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A77EB332-BA4C-457F-AF3D-1A42AE07368E}" xr6:coauthVersionLast="47" xr6:coauthVersionMax="47" xr10:uidLastSave="{00000000-0000-0000-0000-000000000000}"/>
  <workbookProtection workbookAlgorithmName="SHA-512" workbookHashValue="mCd/9h2WrNz0JYkW/oTUmeZ52RJL6RRdek8gQxyNvgrzZXIbRFD5TX5x4n+Jg/RybNdK2bqIbpefcavkRK1anQ==" workbookSaltValue="mae5N0G2azFWbx8kP9lPFQ==" workbookSpinCount="100000" lockStructure="1"/>
  <bookViews>
    <workbookView xWindow="-108" yWindow="-108" windowWidth="23256" windowHeight="12456" firstSheet="20" activeTab="21" xr2:uid="{00000000-000D-0000-FFFF-FFFF00000000}"/>
  </bookViews>
  <sheets>
    <sheet name="Cfg_Status" sheetId="17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r:id="rId12"/>
    <sheet name="EQA.CAP_Dados" sheetId="19" r:id="rId13"/>
    <sheet name="EQA.CAP_Resumo" sheetId="20" r:id="rId14"/>
    <sheet name="EQA.CAP_Nao_Aceitaveis" sheetId="21" r:id="rId15"/>
    <sheet name="EQA.Controllab_Dados" sheetId="22" r:id="rId16"/>
    <sheet name="EQA.Controllab_Resumo" sheetId="23" r:id="rId17"/>
    <sheet name="Cfg_PlanoQC" sheetId="26" r:id="rId18"/>
    <sheet name="Cfg_Westgard_Escopo" sheetId="27" r:id="rId19"/>
    <sheet name="EQA.Controllab_Desvios" sheetId="24" r:id="rId20"/>
    <sheet name="EQA_Base" sheetId="25" r:id="rId21"/>
    <sheet name="Estatística" sheetId="10" r:id="rId22"/>
    <sheet name="Usuarios" sheetId="11" r:id="rId23"/>
    <sheet name="Eng_Saida" sheetId="29" r:id="rId24"/>
    <sheet name="Audit_Legenda" sheetId="31" r:id="rId25"/>
    <sheet name="Audit_Log" sheetId="30" r:id="rId26"/>
    <sheet name="Liberação" sheetId="12" r:id="rId27"/>
    <sheet name="LiberStore" sheetId="13" state="veryHidden" r:id="rId28"/>
    <sheet name="RegistrosStore" sheetId="14" state="veryHidden" r:id="rId29"/>
    <sheet name="Login" sheetId="15" state="veryHidden" r:id="rId30"/>
    <sheet name="BI_Data" sheetId="28" r:id="rId31"/>
  </sheets>
  <functionGroups builtInGroupCount="19">
    <functionGroup name="Commands"/>
  </functionGroups>
  <definedNames>
    <definedName name="aInput">Analitos!$E$4:$J$43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biContratoVersao" hidden="1">"2.0.0"</definedName>
    <definedName name="biProduto" hidden="1">"Hematologia"</definedName>
    <definedName name="biWorkbookID" hidden="1">"FD15AE3C-76A3-4431-85E5-7B0441ABB1B9"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apBanco">200000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Cortadas">Eng_Saida!$M$1</definedName>
    <definedName name="engDados">Eng_Saida!$A$3:$AB$182</definedName>
    <definedName name="engData">Eng_Saida!$AC$3:$AC$182</definedName>
    <definedName name="engEstat">Eng_Saida!$A$190:$M$309</definedName>
    <definedName name="engLote">Eng_Saida!$E$1</definedName>
    <definedName name="engLotesPer">Eng_Saida!$O$1</definedName>
    <definedName name="engNRun">Eng_Saida!$I$1</definedName>
    <definedName name="engNTotal">Eng_Saida!$K$1</definedName>
    <definedName name="engPainel">Eng_Saida!$A$185:$U$187</definedName>
    <definedName name="engParam">Eng_Saida!$Q$1</definedName>
    <definedName name="engRUN">Eng_Saida!$B$3:$B$182</definedName>
    <definedName name="engValN1">Eng_Saida!$Y$3:$Y$182</definedName>
    <definedName name="engValN2">Eng_Saida!$Z$3:$Z$182</definedName>
    <definedName name="engValN3">Eng_Saida!$AA$3:$AA$182</definedName>
    <definedName name="eqAnoEP">Estatística!$N$4</definedName>
    <definedName name="eqProvedor">Estatística!$L$4</definedName>
    <definedName name="eqRodada">Estatística!$P$4</definedName>
    <definedName name="filtroAno">Painel!$K$3</definedName>
    <definedName name="filtroAte">Painel!$G$4</definedName>
    <definedName name="filtroDe">Painel!$G$3</definedName>
    <definedName name="filtroPeriodo">Painel!$K$4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nalise">IF(Painel!$H$3="",Configuração!$C$20,Painel!$H$3)</definedName>
    <definedName name="loteAtivo">Configuração!$C$20</definedName>
    <definedName name="loteCarregado">Configuração!$G$1</definedName>
    <definedName name="loteParam">Configuração!$G$2</definedName>
    <definedName name="loteSel">Painel!$H$3</definedName>
    <definedName name="lsChave">LotesStore!$P$2:$P$4001</definedName>
    <definedName name="lsDPN1">LotesStore!$D$2:$D$4001</definedName>
    <definedName name="lsDPN2">LotesStore!$F$2:$F$4001</definedName>
    <definedName name="lsDPN3">LotesStore!$H$2:$H$4001</definedName>
    <definedName name="lsMedN1">LotesStore!$C$2:$C$4001</definedName>
    <definedName name="lsMedN2">LotesStore!$E$2:$E$4001</definedName>
    <definedName name="lsMedN3">LotesStore!$G$2:$G$4001</definedName>
    <definedName name="lstAnalitos">Analitos!$A$4:INDEX(Analitos!$A$4:$A$43,MAX(1,COUNTA(Analitos!$A$4:$A$43)))</definedName>
    <definedName name="lstAnosCIQ">Configuração!$Z$2:INDEX(Configuração!$Z$2:$Z$50,MAX(1,COUNTA(Configuração!$Z$2:$Z$50)))</definedName>
    <definedName name="lstLotes">Configuração!$AB$2:INDEX(Configuração!$AB$2:$AB$101,MAX(1,COUNTIF(Configuração!$AB$2:$AB$101,"?*")+COUNT(Configuração!$AB$2:$AB$101)))</definedName>
    <definedName name="protegerEstrutura">TRUE</definedName>
    <definedName name="rAnalito">DB_Resultados!$E$4:$E$1578</definedName>
    <definedName name="rData">DB_Resultados!$B$4:$B$1578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Configuração!$C$26:$C$125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DB_Resultados!$BB$4:$BB$1578</definedName>
    <definedName name="rLote">DB_Resultados!$BA$4:$BA$1578</definedName>
    <definedName name="rNivel">DB_Resultados!$C$4:$C$1578</definedName>
    <definedName name="rRUN">DB_Resultados!$A$4:$A$1578</definedName>
    <definedName name="rRunUnico">DB_Resultados!$BC$4:$BC$1578</definedName>
    <definedName name="rStatus">DB_Resultados!$G$4:$G$1578</definedName>
    <definedName name="rValor">DB_Resultados!$F$4:$F$1578</definedName>
    <definedName name="selAnalito">Painel!$C$3</definedName>
    <definedName name="sigmaDoPlano">Cfg_PlanoQC!$B$1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" l="1"/>
  <c r="C26" i="1"/>
  <c r="C25" i="1"/>
  <c r="C24" i="1"/>
  <c r="C23" i="1"/>
  <c r="A2" i="3"/>
  <c r="B4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B116" i="10" s="1"/>
  <c r="A117" i="10"/>
  <c r="AB117" i="10" s="1"/>
  <c r="A118" i="10"/>
  <c r="AB118" i="10" s="1"/>
  <c r="A119" i="10"/>
  <c r="AB119" i="10" s="1"/>
  <c r="A120" i="10"/>
  <c r="AB120" i="10" s="1"/>
  <c r="A121" i="10"/>
  <c r="AB121" i="10" s="1"/>
  <c r="A122" i="10"/>
  <c r="AB122" i="10" s="1"/>
  <c r="A123" i="10"/>
  <c r="AB123" i="10" s="1"/>
  <c r="A124" i="10"/>
  <c r="AB124" i="10" s="1"/>
  <c r="A125" i="10"/>
  <c r="AB125" i="10" s="1"/>
  <c r="A126" i="10"/>
  <c r="AB126" i="10" s="1"/>
  <c r="A127" i="10"/>
  <c r="AB127" i="10" s="1"/>
  <c r="A128" i="10"/>
  <c r="AB128" i="10" s="1"/>
  <c r="A129" i="10"/>
  <c r="AB129" i="10" s="1"/>
  <c r="A130" i="10"/>
  <c r="AB130" i="10" s="1"/>
  <c r="A131" i="10"/>
  <c r="AB131" i="10" s="1"/>
  <c r="A132" i="10"/>
  <c r="AB132" i="10" s="1"/>
  <c r="A133" i="10"/>
  <c r="AB133" i="10" s="1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AB79" i="10"/>
  <c r="AB80" i="10"/>
  <c r="AB81" i="10"/>
  <c r="AB82" i="10"/>
  <c r="AB83" i="10"/>
  <c r="AB84" i="10"/>
  <c r="AB85" i="10"/>
  <c r="AB86" i="10"/>
  <c r="AB87" i="10"/>
  <c r="AB88" i="10"/>
  <c r="AB89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E80" i="7"/>
  <c r="C80" i="7"/>
  <c r="E79" i="7"/>
  <c r="C79" i="7"/>
  <c r="E78" i="7"/>
  <c r="C78" i="7"/>
  <c r="E77" i="7"/>
  <c r="C77" i="7"/>
  <c r="E76" i="7"/>
  <c r="C76" i="7"/>
  <c r="E75" i="7"/>
  <c r="C75" i="7"/>
  <c r="E74" i="7"/>
  <c r="C74" i="7"/>
  <c r="E73" i="7"/>
  <c r="C73" i="7"/>
  <c r="E72" i="7"/>
  <c r="C72" i="7"/>
  <c r="C4" i="7"/>
  <c r="C3" i="7"/>
  <c r="U9" i="7"/>
  <c r="T9" i="7"/>
  <c r="S9" i="7"/>
  <c r="R9" i="7"/>
  <c r="Q9" i="7"/>
  <c r="P9" i="7"/>
  <c r="O9" i="7"/>
  <c r="N9" i="7"/>
  <c r="M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F7" i="7"/>
  <c r="E7" i="7"/>
  <c r="D7" i="7"/>
  <c r="C7" i="7"/>
  <c r="B7" i="7"/>
  <c r="N8" i="26"/>
  <c r="N7" i="26"/>
  <c r="N6" i="26"/>
  <c r="N5" i="26"/>
  <c r="N4" i="26"/>
  <c r="M8" i="26"/>
  <c r="M7" i="26"/>
  <c r="M6" i="26"/>
  <c r="M5" i="26"/>
  <c r="M4" i="26"/>
  <c r="L8" i="26"/>
  <c r="L7" i="26"/>
  <c r="L6" i="26"/>
  <c r="L5" i="26"/>
  <c r="L4" i="26"/>
  <c r="K8" i="26"/>
  <c r="K7" i="26"/>
  <c r="K6" i="26"/>
  <c r="K5" i="26"/>
  <c r="K4" i="26"/>
  <c r="J8" i="26"/>
  <c r="J7" i="26"/>
  <c r="J6" i="26"/>
  <c r="J5" i="26"/>
  <c r="J4" i="2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I1" i="6"/>
  <c r="CH1" i="6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C21" i="2"/>
  <c r="C22" i="1" s="1"/>
  <c r="K5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Z3" i="22"/>
  <c r="Z2" i="22"/>
  <c r="Z3" i="19"/>
  <c r="Z2" i="19"/>
  <c r="J23" i="23"/>
  <c r="J22" i="23"/>
  <c r="J18" i="23"/>
  <c r="D13" i="23"/>
  <c r="G13" i="23" s="1"/>
  <c r="J23" i="20"/>
  <c r="J22" i="20"/>
  <c r="J18" i="20"/>
  <c r="D13" i="20"/>
  <c r="W2" i="22"/>
  <c r="S2" i="22" s="1"/>
  <c r="V2" i="22"/>
  <c r="C13" i="23" s="1"/>
  <c r="U2" i="22"/>
  <c r="T2" i="22"/>
  <c r="W2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W42" i="19"/>
  <c r="W43" i="19"/>
  <c r="W44" i="19"/>
  <c r="W45" i="19"/>
  <c r="W46" i="19"/>
  <c r="W47" i="19"/>
  <c r="W48" i="19"/>
  <c r="W49" i="19"/>
  <c r="W50" i="19"/>
  <c r="W51" i="19"/>
  <c r="W52" i="19"/>
  <c r="W53" i="19"/>
  <c r="W54" i="19"/>
  <c r="W55" i="19"/>
  <c r="W56" i="19"/>
  <c r="W57" i="19"/>
  <c r="W58" i="19"/>
  <c r="W59" i="19"/>
  <c r="W60" i="19"/>
  <c r="W61" i="19"/>
  <c r="W62" i="19"/>
  <c r="W63" i="19"/>
  <c r="W64" i="19"/>
  <c r="W65" i="19"/>
  <c r="W66" i="19"/>
  <c r="W67" i="19"/>
  <c r="W68" i="19"/>
  <c r="W69" i="19"/>
  <c r="W70" i="19"/>
  <c r="W71" i="19"/>
  <c r="W72" i="19"/>
  <c r="W73" i="19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W102" i="19"/>
  <c r="W103" i="19"/>
  <c r="W104" i="19"/>
  <c r="W105" i="19"/>
  <c r="W106" i="19"/>
  <c r="W107" i="19"/>
  <c r="W108" i="19"/>
  <c r="W109" i="19"/>
  <c r="W110" i="19"/>
  <c r="W111" i="19"/>
  <c r="W112" i="19"/>
  <c r="W113" i="19"/>
  <c r="W114" i="19"/>
  <c r="W115" i="19"/>
  <c r="W116" i="19"/>
  <c r="W117" i="19"/>
  <c r="W118" i="19"/>
  <c r="W119" i="19"/>
  <c r="W120" i="19"/>
  <c r="W121" i="19"/>
  <c r="W122" i="19"/>
  <c r="W123" i="19"/>
  <c r="W124" i="19"/>
  <c r="W125" i="19"/>
  <c r="W126" i="19"/>
  <c r="W127" i="19"/>
  <c r="W128" i="19"/>
  <c r="W129" i="19"/>
  <c r="W130" i="19"/>
  <c r="W131" i="19"/>
  <c r="W132" i="19"/>
  <c r="W133" i="19"/>
  <c r="W134" i="19"/>
  <c r="W135" i="19"/>
  <c r="W136" i="19"/>
  <c r="W137" i="19"/>
  <c r="W138" i="19"/>
  <c r="W139" i="19"/>
  <c r="W140" i="19"/>
  <c r="W141" i="19"/>
  <c r="W142" i="19"/>
  <c r="W143" i="19"/>
  <c r="W144" i="19"/>
  <c r="W145" i="19"/>
  <c r="W146" i="19"/>
  <c r="W147" i="19"/>
  <c r="W148" i="19"/>
  <c r="W149" i="19"/>
  <c r="W150" i="19"/>
  <c r="W151" i="19"/>
  <c r="W152" i="19"/>
  <c r="W153" i="19"/>
  <c r="W154" i="19"/>
  <c r="W155" i="19"/>
  <c r="W156" i="19"/>
  <c r="W157" i="19"/>
  <c r="W158" i="19"/>
  <c r="W159" i="19"/>
  <c r="W160" i="19"/>
  <c r="W161" i="19"/>
  <c r="W162" i="19"/>
  <c r="W163" i="19"/>
  <c r="W164" i="19"/>
  <c r="W165" i="19"/>
  <c r="W166" i="19"/>
  <c r="W167" i="19"/>
  <c r="W168" i="19"/>
  <c r="W169" i="19"/>
  <c r="W170" i="19"/>
  <c r="W171" i="19"/>
  <c r="W172" i="19"/>
  <c r="W173" i="19"/>
  <c r="W174" i="19"/>
  <c r="W175" i="19"/>
  <c r="W176" i="19"/>
  <c r="W177" i="19"/>
  <c r="W178" i="19"/>
  <c r="W179" i="19"/>
  <c r="W180" i="19"/>
  <c r="W181" i="19"/>
  <c r="W182" i="19"/>
  <c r="W183" i="19"/>
  <c r="W184" i="19"/>
  <c r="W185" i="19"/>
  <c r="W186" i="19"/>
  <c r="W187" i="19"/>
  <c r="W188" i="19"/>
  <c r="W189" i="19"/>
  <c r="W190" i="19"/>
  <c r="W191" i="19"/>
  <c r="W192" i="19"/>
  <c r="W193" i="19"/>
  <c r="W194" i="19"/>
  <c r="W195" i="19"/>
  <c r="W196" i="19"/>
  <c r="W197" i="19"/>
  <c r="W198" i="19"/>
  <c r="W199" i="19"/>
  <c r="W200" i="19"/>
  <c r="W201" i="19"/>
  <c r="W202" i="19"/>
  <c r="W203" i="19"/>
  <c r="W204" i="19"/>
  <c r="W205" i="19"/>
  <c r="W206" i="19"/>
  <c r="W207" i="19"/>
  <c r="W208" i="19"/>
  <c r="W209" i="19"/>
  <c r="W210" i="19"/>
  <c r="W211" i="19"/>
  <c r="W212" i="19"/>
  <c r="W213" i="19"/>
  <c r="W214" i="19"/>
  <c r="W215" i="19"/>
  <c r="W216" i="19"/>
  <c r="W217" i="19"/>
  <c r="W218" i="19"/>
  <c r="W219" i="19"/>
  <c r="W220" i="19"/>
  <c r="W221" i="19"/>
  <c r="W222" i="19"/>
  <c r="W223" i="19"/>
  <c r="W224" i="19"/>
  <c r="W225" i="19"/>
  <c r="W226" i="19"/>
  <c r="W227" i="19"/>
  <c r="W228" i="19"/>
  <c r="W229" i="19"/>
  <c r="W230" i="19"/>
  <c r="W231" i="19"/>
  <c r="W232" i="19"/>
  <c r="W233" i="19"/>
  <c r="W234" i="19"/>
  <c r="W235" i="19"/>
  <c r="W236" i="19"/>
  <c r="W237" i="19"/>
  <c r="W238" i="19"/>
  <c r="W239" i="19"/>
  <c r="W240" i="19"/>
  <c r="W241" i="19"/>
  <c r="W242" i="19"/>
  <c r="W243" i="19"/>
  <c r="W244" i="19"/>
  <c r="W245" i="19"/>
  <c r="W246" i="19"/>
  <c r="W247" i="19"/>
  <c r="W248" i="19"/>
  <c r="W249" i="19"/>
  <c r="W250" i="19"/>
  <c r="W251" i="19"/>
  <c r="W252" i="19"/>
  <c r="W253" i="19"/>
  <c r="W254" i="19"/>
  <c r="W255" i="19"/>
  <c r="W256" i="19"/>
  <c r="W257" i="19"/>
  <c r="W258" i="19"/>
  <c r="W259" i="19"/>
  <c r="W260" i="19"/>
  <c r="W261" i="19"/>
  <c r="W262" i="19"/>
  <c r="W263" i="19"/>
  <c r="W264" i="19"/>
  <c r="W265" i="19"/>
  <c r="W266" i="19"/>
  <c r="W267" i="19"/>
  <c r="W268" i="19"/>
  <c r="W269" i="19"/>
  <c r="W270" i="19"/>
  <c r="W271" i="19"/>
  <c r="W272" i="19"/>
  <c r="W273" i="19"/>
  <c r="W274" i="19"/>
  <c r="W275" i="19"/>
  <c r="W276" i="19"/>
  <c r="W277" i="19"/>
  <c r="W278" i="19"/>
  <c r="W279" i="19"/>
  <c r="W280" i="19"/>
  <c r="W281" i="19"/>
  <c r="W282" i="19"/>
  <c r="W283" i="19"/>
  <c r="W284" i="19"/>
  <c r="W285" i="19"/>
  <c r="W286" i="19"/>
  <c r="W287" i="19"/>
  <c r="W288" i="19"/>
  <c r="W289" i="19"/>
  <c r="W290" i="19"/>
  <c r="W291" i="19"/>
  <c r="W292" i="19"/>
  <c r="W293" i="19"/>
  <c r="W294" i="19"/>
  <c r="W295" i="19"/>
  <c r="W296" i="19"/>
  <c r="W297" i="19"/>
  <c r="W298" i="19"/>
  <c r="W299" i="19"/>
  <c r="W300" i="19"/>
  <c r="W301" i="19"/>
  <c r="W302" i="19"/>
  <c r="W303" i="19"/>
  <c r="W304" i="19"/>
  <c r="W305" i="19"/>
  <c r="W306" i="19"/>
  <c r="W307" i="19"/>
  <c r="W308" i="19"/>
  <c r="W309" i="19"/>
  <c r="W310" i="19"/>
  <c r="W311" i="19"/>
  <c r="W312" i="19"/>
  <c r="W313" i="19"/>
  <c r="W314" i="19"/>
  <c r="W315" i="19"/>
  <c r="W316" i="19"/>
  <c r="W317" i="19"/>
  <c r="W318" i="19"/>
  <c r="W319" i="19"/>
  <c r="W320" i="19"/>
  <c r="W321" i="19"/>
  <c r="W322" i="19"/>
  <c r="W323" i="19"/>
  <c r="W324" i="19"/>
  <c r="W325" i="19"/>
  <c r="W326" i="19"/>
  <c r="W327" i="19"/>
  <c r="W328" i="19"/>
  <c r="W329" i="19"/>
  <c r="W330" i="19"/>
  <c r="W331" i="19"/>
  <c r="W332" i="19"/>
  <c r="W333" i="19"/>
  <c r="W334" i="19"/>
  <c r="W335" i="19"/>
  <c r="W336" i="19"/>
  <c r="W337" i="19"/>
  <c r="W338" i="19"/>
  <c r="W339" i="19"/>
  <c r="W340" i="19"/>
  <c r="W341" i="19"/>
  <c r="W342" i="19"/>
  <c r="W343" i="19"/>
  <c r="W344" i="19"/>
  <c r="W345" i="19"/>
  <c r="W346" i="19"/>
  <c r="W347" i="19"/>
  <c r="W348" i="19"/>
  <c r="W349" i="19"/>
  <c r="W350" i="19"/>
  <c r="W351" i="19"/>
  <c r="W352" i="19"/>
  <c r="W353" i="19"/>
  <c r="W354" i="19"/>
  <c r="W355" i="19"/>
  <c r="W356" i="19"/>
  <c r="W357" i="19"/>
  <c r="W358" i="19"/>
  <c r="W359" i="19"/>
  <c r="W360" i="19"/>
  <c r="W361" i="19"/>
  <c r="W362" i="19"/>
  <c r="W363" i="19"/>
  <c r="W364" i="19"/>
  <c r="W365" i="19"/>
  <c r="W366" i="19"/>
  <c r="W367" i="19"/>
  <c r="W368" i="19"/>
  <c r="W369" i="19"/>
  <c r="W370" i="19"/>
  <c r="W371" i="19"/>
  <c r="W372" i="19"/>
  <c r="W373" i="19"/>
  <c r="W374" i="19"/>
  <c r="W375" i="19"/>
  <c r="W376" i="19"/>
  <c r="W377" i="19"/>
  <c r="W378" i="19"/>
  <c r="W379" i="19"/>
  <c r="W380" i="19"/>
  <c r="W381" i="19"/>
  <c r="W382" i="19"/>
  <c r="W383" i="19"/>
  <c r="W384" i="19"/>
  <c r="W385" i="19"/>
  <c r="W386" i="19"/>
  <c r="W387" i="19"/>
  <c r="W388" i="19"/>
  <c r="W389" i="19"/>
  <c r="W390" i="19"/>
  <c r="W391" i="19"/>
  <c r="W392" i="19"/>
  <c r="W393" i="19"/>
  <c r="W394" i="19"/>
  <c r="W395" i="19"/>
  <c r="W396" i="19"/>
  <c r="W397" i="19"/>
  <c r="W398" i="19"/>
  <c r="W399" i="19"/>
  <c r="W400" i="19"/>
  <c r="W401" i="19"/>
  <c r="W402" i="19"/>
  <c r="W403" i="19"/>
  <c r="W404" i="19"/>
  <c r="W405" i="19"/>
  <c r="W406" i="19"/>
  <c r="W407" i="19"/>
  <c r="W408" i="19"/>
  <c r="W409" i="19"/>
  <c r="W410" i="19"/>
  <c r="W411" i="19"/>
  <c r="W412" i="19"/>
  <c r="W413" i="19"/>
  <c r="W414" i="19"/>
  <c r="W415" i="19"/>
  <c r="W416" i="19"/>
  <c r="W417" i="19"/>
  <c r="W418" i="19"/>
  <c r="W419" i="19"/>
  <c r="W420" i="19"/>
  <c r="W421" i="19"/>
  <c r="W422" i="19"/>
  <c r="W423" i="19"/>
  <c r="W424" i="19"/>
  <c r="W425" i="19"/>
  <c r="W426" i="19"/>
  <c r="W427" i="19"/>
  <c r="W428" i="19"/>
  <c r="W429" i="19"/>
  <c r="W430" i="19"/>
  <c r="W431" i="19"/>
  <c r="W432" i="19"/>
  <c r="W433" i="19"/>
  <c r="W434" i="19"/>
  <c r="W435" i="19"/>
  <c r="W436" i="19"/>
  <c r="W437" i="19"/>
  <c r="W438" i="19"/>
  <c r="W439" i="19"/>
  <c r="W440" i="19"/>
  <c r="W441" i="19"/>
  <c r="W442" i="19"/>
  <c r="W443" i="19"/>
  <c r="W444" i="19"/>
  <c r="W445" i="19"/>
  <c r="W446" i="19"/>
  <c r="W447" i="19"/>
  <c r="W448" i="19"/>
  <c r="W449" i="19"/>
  <c r="W450" i="19"/>
  <c r="W451" i="19"/>
  <c r="W452" i="19"/>
  <c r="W453" i="19"/>
  <c r="W454" i="19"/>
  <c r="W455" i="19"/>
  <c r="W456" i="19"/>
  <c r="W457" i="19"/>
  <c r="W458" i="19"/>
  <c r="W459" i="19"/>
  <c r="W460" i="19"/>
  <c r="W461" i="19"/>
  <c r="W462" i="19"/>
  <c r="W463" i="19"/>
  <c r="W464" i="19"/>
  <c r="W465" i="19"/>
  <c r="W466" i="19"/>
  <c r="V2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V31" i="19"/>
  <c r="V32" i="19"/>
  <c r="V33" i="19"/>
  <c r="V34" i="19"/>
  <c r="V35" i="19"/>
  <c r="V36" i="19"/>
  <c r="V37" i="19"/>
  <c r="V38" i="19"/>
  <c r="V39" i="19"/>
  <c r="V40" i="19"/>
  <c r="V41" i="19"/>
  <c r="V42" i="19"/>
  <c r="V43" i="19"/>
  <c r="V44" i="19"/>
  <c r="V45" i="19"/>
  <c r="V46" i="19"/>
  <c r="V47" i="19"/>
  <c r="V48" i="19"/>
  <c r="V49" i="19"/>
  <c r="V50" i="19"/>
  <c r="V51" i="19"/>
  <c r="V52" i="19"/>
  <c r="V53" i="19"/>
  <c r="V54" i="19"/>
  <c r="V55" i="19"/>
  <c r="V56" i="19"/>
  <c r="V57" i="19"/>
  <c r="V58" i="19"/>
  <c r="V59" i="19"/>
  <c r="V60" i="19"/>
  <c r="V61" i="19"/>
  <c r="V62" i="19"/>
  <c r="V63" i="19"/>
  <c r="V64" i="19"/>
  <c r="V65" i="19"/>
  <c r="V66" i="19"/>
  <c r="V67" i="19"/>
  <c r="V68" i="19"/>
  <c r="V69" i="19"/>
  <c r="V70" i="19"/>
  <c r="V71" i="19"/>
  <c r="V72" i="19"/>
  <c r="V73" i="19"/>
  <c r="V74" i="19"/>
  <c r="V75" i="19"/>
  <c r="V76" i="19"/>
  <c r="V77" i="19"/>
  <c r="V78" i="19"/>
  <c r="V79" i="19"/>
  <c r="V80" i="19"/>
  <c r="V81" i="19"/>
  <c r="V82" i="19"/>
  <c r="V83" i="19"/>
  <c r="V84" i="19"/>
  <c r="V85" i="19"/>
  <c r="V86" i="19"/>
  <c r="V87" i="19"/>
  <c r="V88" i="19"/>
  <c r="V89" i="19"/>
  <c r="V90" i="19"/>
  <c r="V91" i="19"/>
  <c r="V92" i="19"/>
  <c r="V93" i="19"/>
  <c r="V94" i="19"/>
  <c r="V95" i="19"/>
  <c r="V96" i="19"/>
  <c r="V97" i="19"/>
  <c r="V98" i="19"/>
  <c r="V99" i="19"/>
  <c r="V100" i="19"/>
  <c r="V101" i="19"/>
  <c r="V102" i="19"/>
  <c r="V103" i="19"/>
  <c r="V104" i="19"/>
  <c r="V105" i="19"/>
  <c r="V106" i="19"/>
  <c r="V107" i="19"/>
  <c r="V108" i="19"/>
  <c r="V109" i="19"/>
  <c r="V110" i="19"/>
  <c r="V111" i="19"/>
  <c r="V112" i="19"/>
  <c r="V113" i="19"/>
  <c r="V114" i="19"/>
  <c r="V115" i="19"/>
  <c r="V116" i="19"/>
  <c r="V117" i="19"/>
  <c r="V118" i="19"/>
  <c r="V119" i="19"/>
  <c r="V120" i="19"/>
  <c r="V121" i="19"/>
  <c r="V122" i="19"/>
  <c r="V123" i="19"/>
  <c r="V124" i="19"/>
  <c r="V125" i="19"/>
  <c r="V126" i="19"/>
  <c r="V127" i="19"/>
  <c r="V128" i="19"/>
  <c r="V129" i="19"/>
  <c r="V130" i="19"/>
  <c r="V131" i="19"/>
  <c r="V132" i="19"/>
  <c r="V133" i="19"/>
  <c r="V134" i="19"/>
  <c r="V135" i="19"/>
  <c r="V136" i="19"/>
  <c r="V137" i="19"/>
  <c r="V138" i="19"/>
  <c r="V139" i="19"/>
  <c r="V140" i="19"/>
  <c r="V141" i="19"/>
  <c r="V142" i="19"/>
  <c r="V143" i="19"/>
  <c r="V144" i="19"/>
  <c r="V145" i="19"/>
  <c r="V146" i="19"/>
  <c r="V147" i="19"/>
  <c r="V148" i="19"/>
  <c r="V149" i="19"/>
  <c r="V150" i="19"/>
  <c r="V151" i="19"/>
  <c r="V152" i="19"/>
  <c r="V153" i="19"/>
  <c r="V154" i="19"/>
  <c r="V155" i="19"/>
  <c r="V156" i="19"/>
  <c r="V157" i="19"/>
  <c r="V158" i="19"/>
  <c r="V159" i="19"/>
  <c r="V160" i="19"/>
  <c r="V161" i="19"/>
  <c r="V162" i="19"/>
  <c r="V163" i="19"/>
  <c r="V164" i="19"/>
  <c r="V165" i="19"/>
  <c r="V166" i="19"/>
  <c r="V167" i="19"/>
  <c r="V168" i="19"/>
  <c r="V169" i="19"/>
  <c r="V170" i="19"/>
  <c r="V171" i="19"/>
  <c r="V172" i="19"/>
  <c r="V173" i="19"/>
  <c r="V174" i="19"/>
  <c r="V175" i="19"/>
  <c r="V176" i="19"/>
  <c r="V177" i="19"/>
  <c r="V178" i="19"/>
  <c r="V179" i="19"/>
  <c r="V180" i="19"/>
  <c r="V181" i="19"/>
  <c r="V182" i="19"/>
  <c r="V183" i="19"/>
  <c r="V184" i="19"/>
  <c r="V185" i="19"/>
  <c r="V186" i="19"/>
  <c r="V187" i="19"/>
  <c r="V188" i="19"/>
  <c r="V189" i="19"/>
  <c r="V190" i="19"/>
  <c r="V191" i="19"/>
  <c r="V192" i="19"/>
  <c r="V193" i="19"/>
  <c r="V194" i="19"/>
  <c r="V195" i="19"/>
  <c r="V196" i="19"/>
  <c r="V197" i="19"/>
  <c r="V198" i="19"/>
  <c r="V199" i="19"/>
  <c r="V200" i="19"/>
  <c r="V201" i="19"/>
  <c r="V202" i="19"/>
  <c r="V203" i="19"/>
  <c r="V204" i="19"/>
  <c r="V205" i="19"/>
  <c r="V206" i="19"/>
  <c r="V207" i="19"/>
  <c r="V208" i="19"/>
  <c r="V209" i="19"/>
  <c r="V210" i="19"/>
  <c r="V211" i="19"/>
  <c r="V212" i="19"/>
  <c r="V213" i="19"/>
  <c r="V214" i="19"/>
  <c r="V215" i="19"/>
  <c r="V216" i="19"/>
  <c r="V217" i="19"/>
  <c r="V218" i="19"/>
  <c r="V219" i="19"/>
  <c r="V220" i="19"/>
  <c r="V221" i="19"/>
  <c r="V222" i="19"/>
  <c r="V223" i="19"/>
  <c r="V224" i="19"/>
  <c r="V225" i="19"/>
  <c r="V226" i="19"/>
  <c r="V227" i="19"/>
  <c r="V228" i="19"/>
  <c r="V229" i="19"/>
  <c r="V230" i="19"/>
  <c r="V231" i="19"/>
  <c r="V232" i="19"/>
  <c r="V233" i="19"/>
  <c r="V234" i="19"/>
  <c r="V235" i="19"/>
  <c r="V236" i="19"/>
  <c r="V237" i="19"/>
  <c r="V238" i="19"/>
  <c r="V239" i="19"/>
  <c r="V240" i="19"/>
  <c r="V241" i="19"/>
  <c r="V242" i="19"/>
  <c r="V243" i="19"/>
  <c r="V244" i="19"/>
  <c r="V245" i="19"/>
  <c r="V246" i="19"/>
  <c r="V247" i="19"/>
  <c r="V248" i="19"/>
  <c r="V249" i="19"/>
  <c r="V250" i="19"/>
  <c r="V251" i="19"/>
  <c r="V252" i="19"/>
  <c r="V253" i="19"/>
  <c r="V254" i="19"/>
  <c r="V255" i="19"/>
  <c r="V256" i="19"/>
  <c r="V257" i="19"/>
  <c r="V258" i="19"/>
  <c r="V259" i="19"/>
  <c r="V260" i="19"/>
  <c r="V261" i="19"/>
  <c r="V262" i="19"/>
  <c r="V263" i="19"/>
  <c r="V264" i="19"/>
  <c r="V265" i="19"/>
  <c r="V266" i="19"/>
  <c r="V267" i="19"/>
  <c r="V268" i="19"/>
  <c r="V269" i="19"/>
  <c r="V270" i="19"/>
  <c r="V271" i="19"/>
  <c r="V272" i="19"/>
  <c r="V273" i="19"/>
  <c r="V274" i="19"/>
  <c r="V275" i="19"/>
  <c r="V276" i="19"/>
  <c r="V277" i="19"/>
  <c r="V278" i="19"/>
  <c r="V279" i="19"/>
  <c r="V280" i="19"/>
  <c r="V281" i="19"/>
  <c r="V282" i="19"/>
  <c r="V283" i="19"/>
  <c r="V284" i="19"/>
  <c r="V285" i="19"/>
  <c r="V286" i="19"/>
  <c r="V287" i="19"/>
  <c r="V288" i="19"/>
  <c r="V289" i="19"/>
  <c r="V290" i="19"/>
  <c r="V291" i="19"/>
  <c r="V292" i="19"/>
  <c r="V293" i="19"/>
  <c r="V294" i="19"/>
  <c r="V295" i="19"/>
  <c r="V296" i="19"/>
  <c r="V297" i="19"/>
  <c r="V298" i="19"/>
  <c r="V299" i="19"/>
  <c r="V300" i="19"/>
  <c r="V301" i="19"/>
  <c r="V302" i="19"/>
  <c r="V303" i="19"/>
  <c r="V304" i="19"/>
  <c r="V305" i="19"/>
  <c r="V306" i="19"/>
  <c r="V307" i="19"/>
  <c r="V308" i="19"/>
  <c r="V309" i="19"/>
  <c r="V310" i="19"/>
  <c r="V311" i="19"/>
  <c r="V312" i="19"/>
  <c r="V313" i="19"/>
  <c r="V314" i="19"/>
  <c r="V315" i="19"/>
  <c r="V316" i="19"/>
  <c r="V317" i="19"/>
  <c r="V318" i="19"/>
  <c r="V319" i="19"/>
  <c r="V320" i="19"/>
  <c r="V321" i="19"/>
  <c r="V322" i="19"/>
  <c r="V323" i="19"/>
  <c r="V324" i="19"/>
  <c r="V325" i="19"/>
  <c r="V326" i="19"/>
  <c r="V327" i="19"/>
  <c r="V328" i="19"/>
  <c r="V329" i="19"/>
  <c r="V330" i="19"/>
  <c r="V331" i="19"/>
  <c r="V332" i="19"/>
  <c r="V333" i="19"/>
  <c r="V334" i="19"/>
  <c r="V335" i="19"/>
  <c r="V336" i="19"/>
  <c r="V337" i="19"/>
  <c r="V338" i="19"/>
  <c r="V339" i="19"/>
  <c r="V340" i="19"/>
  <c r="V341" i="19"/>
  <c r="V342" i="19"/>
  <c r="V343" i="19"/>
  <c r="V344" i="19"/>
  <c r="V345" i="19"/>
  <c r="V346" i="19"/>
  <c r="V347" i="19"/>
  <c r="V348" i="19"/>
  <c r="V349" i="19"/>
  <c r="V350" i="19"/>
  <c r="V351" i="19"/>
  <c r="V352" i="19"/>
  <c r="V353" i="19"/>
  <c r="V354" i="19"/>
  <c r="V355" i="19"/>
  <c r="V356" i="19"/>
  <c r="V357" i="19"/>
  <c r="V358" i="19"/>
  <c r="V359" i="19"/>
  <c r="V360" i="19"/>
  <c r="V361" i="19"/>
  <c r="V362" i="19"/>
  <c r="V363" i="19"/>
  <c r="V364" i="19"/>
  <c r="V365" i="19"/>
  <c r="V366" i="19"/>
  <c r="V367" i="19"/>
  <c r="V368" i="19"/>
  <c r="V369" i="19"/>
  <c r="V370" i="19"/>
  <c r="V371" i="19"/>
  <c r="V372" i="19"/>
  <c r="V373" i="19"/>
  <c r="V374" i="19"/>
  <c r="V375" i="19"/>
  <c r="V376" i="19"/>
  <c r="V377" i="19"/>
  <c r="V378" i="19"/>
  <c r="V379" i="19"/>
  <c r="V380" i="19"/>
  <c r="V381" i="19"/>
  <c r="V382" i="19"/>
  <c r="V383" i="19"/>
  <c r="V384" i="19"/>
  <c r="V385" i="19"/>
  <c r="V386" i="19"/>
  <c r="V387" i="19"/>
  <c r="V388" i="19"/>
  <c r="V389" i="19"/>
  <c r="V390" i="19"/>
  <c r="V391" i="19"/>
  <c r="V392" i="19"/>
  <c r="V393" i="19"/>
  <c r="V394" i="19"/>
  <c r="V395" i="19"/>
  <c r="V396" i="19"/>
  <c r="V397" i="19"/>
  <c r="V398" i="19"/>
  <c r="V399" i="19"/>
  <c r="V400" i="19"/>
  <c r="V401" i="19"/>
  <c r="V402" i="19"/>
  <c r="V403" i="19"/>
  <c r="V404" i="19"/>
  <c r="V405" i="19"/>
  <c r="V406" i="19"/>
  <c r="V407" i="19"/>
  <c r="V408" i="19"/>
  <c r="V409" i="19"/>
  <c r="V410" i="19"/>
  <c r="V411" i="19"/>
  <c r="V412" i="19"/>
  <c r="V413" i="19"/>
  <c r="V414" i="19"/>
  <c r="V415" i="19"/>
  <c r="V416" i="19"/>
  <c r="V417" i="19"/>
  <c r="V418" i="19"/>
  <c r="V419" i="19"/>
  <c r="V420" i="19"/>
  <c r="V421" i="19"/>
  <c r="V422" i="19"/>
  <c r="V423" i="19"/>
  <c r="V424" i="19"/>
  <c r="V425" i="19"/>
  <c r="V426" i="19"/>
  <c r="V427" i="19"/>
  <c r="V428" i="19"/>
  <c r="V429" i="19"/>
  <c r="V430" i="19"/>
  <c r="V431" i="19"/>
  <c r="V432" i="19"/>
  <c r="V433" i="19"/>
  <c r="V434" i="19"/>
  <c r="V435" i="19"/>
  <c r="V436" i="19"/>
  <c r="V437" i="19"/>
  <c r="V438" i="19"/>
  <c r="V439" i="19"/>
  <c r="V440" i="19"/>
  <c r="V441" i="19"/>
  <c r="V442" i="19"/>
  <c r="V443" i="19"/>
  <c r="V444" i="19"/>
  <c r="V445" i="19"/>
  <c r="V446" i="19"/>
  <c r="V447" i="19"/>
  <c r="V448" i="19"/>
  <c r="V449" i="19"/>
  <c r="V450" i="19"/>
  <c r="V451" i="19"/>
  <c r="V452" i="19"/>
  <c r="V453" i="19"/>
  <c r="V454" i="19"/>
  <c r="V455" i="19"/>
  <c r="V456" i="19"/>
  <c r="V457" i="19"/>
  <c r="V458" i="19"/>
  <c r="V459" i="19"/>
  <c r="V460" i="19"/>
  <c r="V461" i="19"/>
  <c r="V462" i="19"/>
  <c r="V463" i="19"/>
  <c r="V464" i="19"/>
  <c r="V465" i="19"/>
  <c r="V466" i="19"/>
  <c r="U2" i="19"/>
  <c r="U3" i="19"/>
  <c r="U4" i="19"/>
  <c r="U5" i="19"/>
  <c r="U6" i="19"/>
  <c r="U8" i="19"/>
  <c r="U9" i="19"/>
  <c r="U10" i="19"/>
  <c r="U11" i="19"/>
  <c r="U13" i="19"/>
  <c r="U14" i="19"/>
  <c r="U15" i="19"/>
  <c r="U16" i="19"/>
  <c r="U18" i="19"/>
  <c r="U19" i="19"/>
  <c r="U20" i="19"/>
  <c r="U21" i="19"/>
  <c r="U23" i="19"/>
  <c r="U24" i="19"/>
  <c r="U25" i="19"/>
  <c r="U26" i="19"/>
  <c r="U28" i="19"/>
  <c r="U29" i="19"/>
  <c r="U30" i="19"/>
  <c r="U31" i="19"/>
  <c r="U33" i="19"/>
  <c r="U34" i="19"/>
  <c r="U35" i="19"/>
  <c r="U36" i="19"/>
  <c r="U38" i="19"/>
  <c r="U39" i="19"/>
  <c r="U40" i="19"/>
  <c r="U41" i="19"/>
  <c r="U43" i="19"/>
  <c r="U44" i="19"/>
  <c r="U45" i="19"/>
  <c r="U46" i="19"/>
  <c r="U48" i="19"/>
  <c r="U49" i="19"/>
  <c r="U50" i="19"/>
  <c r="U51" i="19"/>
  <c r="U53" i="19"/>
  <c r="U54" i="19"/>
  <c r="U55" i="19"/>
  <c r="U56" i="19"/>
  <c r="U58" i="19"/>
  <c r="U59" i="19"/>
  <c r="U60" i="19"/>
  <c r="U61" i="19"/>
  <c r="U63" i="19"/>
  <c r="U64" i="19"/>
  <c r="U65" i="19"/>
  <c r="U66" i="19"/>
  <c r="U68" i="19"/>
  <c r="U69" i="19"/>
  <c r="U70" i="19"/>
  <c r="U71" i="19"/>
  <c r="U73" i="19"/>
  <c r="U74" i="19"/>
  <c r="U75" i="19"/>
  <c r="U76" i="19"/>
  <c r="U78" i="19"/>
  <c r="U79" i="19"/>
  <c r="U80" i="19"/>
  <c r="U81" i="19"/>
  <c r="U83" i="19"/>
  <c r="U84" i="19"/>
  <c r="U85" i="19"/>
  <c r="U86" i="19"/>
  <c r="U88" i="19"/>
  <c r="U89" i="19"/>
  <c r="U90" i="19"/>
  <c r="U91" i="19"/>
  <c r="U93" i="19"/>
  <c r="U94" i="19"/>
  <c r="U95" i="19"/>
  <c r="U96" i="19"/>
  <c r="U98" i="19"/>
  <c r="U99" i="19"/>
  <c r="U100" i="19"/>
  <c r="U101" i="19"/>
  <c r="U103" i="19"/>
  <c r="U104" i="19"/>
  <c r="U105" i="19"/>
  <c r="U106" i="19"/>
  <c r="U108" i="19"/>
  <c r="U109" i="19"/>
  <c r="U110" i="19"/>
  <c r="U111" i="19"/>
  <c r="U113" i="19"/>
  <c r="U114" i="19"/>
  <c r="U115" i="19"/>
  <c r="U116" i="19"/>
  <c r="U118" i="19"/>
  <c r="U119" i="19"/>
  <c r="U120" i="19"/>
  <c r="U121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U209" i="19"/>
  <c r="U210" i="19"/>
  <c r="U211" i="19"/>
  <c r="U212" i="19"/>
  <c r="U213" i="19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U313" i="19"/>
  <c r="U314" i="19"/>
  <c r="U315" i="19"/>
  <c r="U316" i="19"/>
  <c r="U317" i="19"/>
  <c r="U318" i="19"/>
  <c r="U319" i="19"/>
  <c r="U320" i="19"/>
  <c r="U321" i="19"/>
  <c r="U322" i="19"/>
  <c r="U323" i="19"/>
  <c r="U324" i="19"/>
  <c r="U325" i="19"/>
  <c r="U326" i="19"/>
  <c r="U327" i="19"/>
  <c r="U328" i="19"/>
  <c r="U329" i="19"/>
  <c r="U330" i="19"/>
  <c r="U331" i="19"/>
  <c r="U332" i="19"/>
  <c r="U333" i="19"/>
  <c r="U334" i="19"/>
  <c r="U335" i="19"/>
  <c r="U336" i="19"/>
  <c r="U337" i="19"/>
  <c r="U338" i="19"/>
  <c r="U339" i="19"/>
  <c r="U340" i="19"/>
  <c r="U341" i="19"/>
  <c r="U342" i="19"/>
  <c r="U343" i="19"/>
  <c r="U344" i="19"/>
  <c r="U345" i="19"/>
  <c r="U346" i="19"/>
  <c r="U347" i="19"/>
  <c r="U348" i="19"/>
  <c r="U349" i="19"/>
  <c r="U350" i="19"/>
  <c r="U351" i="19"/>
  <c r="U352" i="19"/>
  <c r="U353" i="19"/>
  <c r="U354" i="19"/>
  <c r="U355" i="19"/>
  <c r="U356" i="19"/>
  <c r="U357" i="19"/>
  <c r="U358" i="19"/>
  <c r="U359" i="19"/>
  <c r="U360" i="19"/>
  <c r="U361" i="19"/>
  <c r="U362" i="19"/>
  <c r="U363" i="19"/>
  <c r="U364" i="19"/>
  <c r="U365" i="19"/>
  <c r="U366" i="19"/>
  <c r="U367" i="19"/>
  <c r="U368" i="19"/>
  <c r="U369" i="19"/>
  <c r="U370" i="19"/>
  <c r="U371" i="19"/>
  <c r="U372" i="19"/>
  <c r="U373" i="19"/>
  <c r="U374" i="19"/>
  <c r="U375" i="19"/>
  <c r="U376" i="19"/>
  <c r="U378" i="19"/>
  <c r="U379" i="19"/>
  <c r="U380" i="19"/>
  <c r="U381" i="19"/>
  <c r="U383" i="19"/>
  <c r="U384" i="19"/>
  <c r="U385" i="19"/>
  <c r="U386" i="19"/>
  <c r="U387" i="19"/>
  <c r="U388" i="19"/>
  <c r="U389" i="19"/>
  <c r="U390" i="19"/>
  <c r="U391" i="19"/>
  <c r="U392" i="19"/>
  <c r="U393" i="19"/>
  <c r="U394" i="19"/>
  <c r="U395" i="19"/>
  <c r="U396" i="19"/>
  <c r="U398" i="19"/>
  <c r="U399" i="19"/>
  <c r="U400" i="19"/>
  <c r="U401" i="19"/>
  <c r="U403" i="19"/>
  <c r="U404" i="19"/>
  <c r="U405" i="19"/>
  <c r="U406" i="19"/>
  <c r="U407" i="19"/>
  <c r="U408" i="19"/>
  <c r="U409" i="19"/>
  <c r="U410" i="19"/>
  <c r="U411" i="19"/>
  <c r="U412" i="19"/>
  <c r="U413" i="19"/>
  <c r="U414" i="19"/>
  <c r="U415" i="19"/>
  <c r="U416" i="19"/>
  <c r="U417" i="19"/>
  <c r="U418" i="19"/>
  <c r="U419" i="19"/>
  <c r="U420" i="19"/>
  <c r="U421" i="19"/>
  <c r="U422" i="19"/>
  <c r="U423" i="19"/>
  <c r="U424" i="19"/>
  <c r="U425" i="19"/>
  <c r="U426" i="19"/>
  <c r="U427" i="19"/>
  <c r="U428" i="19"/>
  <c r="U429" i="19"/>
  <c r="U430" i="19"/>
  <c r="U431" i="19"/>
  <c r="U432" i="19"/>
  <c r="U433" i="19"/>
  <c r="U434" i="19"/>
  <c r="U435" i="19"/>
  <c r="U436" i="19"/>
  <c r="U437" i="19"/>
  <c r="U438" i="19"/>
  <c r="U439" i="19"/>
  <c r="U440" i="19"/>
  <c r="U441" i="19"/>
  <c r="U442" i="19"/>
  <c r="U443" i="19"/>
  <c r="U444" i="19"/>
  <c r="U445" i="19"/>
  <c r="U446" i="19"/>
  <c r="U447" i="19"/>
  <c r="U448" i="19"/>
  <c r="U449" i="19"/>
  <c r="U450" i="19"/>
  <c r="U451" i="19"/>
  <c r="U452" i="19"/>
  <c r="U453" i="19"/>
  <c r="U454" i="19"/>
  <c r="U455" i="19"/>
  <c r="U456" i="19"/>
  <c r="U457" i="19"/>
  <c r="U458" i="19"/>
  <c r="U459" i="19"/>
  <c r="U460" i="19"/>
  <c r="U461" i="19"/>
  <c r="U462" i="19"/>
  <c r="U463" i="19"/>
  <c r="U464" i="19"/>
  <c r="U465" i="19"/>
  <c r="U466" i="19"/>
  <c r="T2" i="19"/>
  <c r="T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125" i="19"/>
  <c r="T126" i="19"/>
  <c r="T128" i="19"/>
  <c r="T129" i="19"/>
  <c r="T130" i="19"/>
  <c r="T131" i="19"/>
  <c r="T132" i="19"/>
  <c r="T133" i="19"/>
  <c r="T134" i="19"/>
  <c r="T135" i="19"/>
  <c r="T136" i="19"/>
  <c r="T137" i="19"/>
  <c r="T138" i="19"/>
  <c r="T139" i="19"/>
  <c r="T140" i="19"/>
  <c r="T141" i="19"/>
  <c r="T142" i="19"/>
  <c r="T143" i="19"/>
  <c r="T144" i="19"/>
  <c r="T145" i="19"/>
  <c r="T146" i="19"/>
  <c r="T147" i="19"/>
  <c r="T148" i="19"/>
  <c r="T149" i="19"/>
  <c r="T150" i="19"/>
  <c r="T151" i="19"/>
  <c r="T152" i="19"/>
  <c r="T153" i="19"/>
  <c r="T154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T229" i="19"/>
  <c r="T230" i="19"/>
  <c r="T231" i="19"/>
  <c r="T232" i="19"/>
  <c r="T233" i="19"/>
  <c r="T234" i="19"/>
  <c r="T235" i="19"/>
  <c r="T236" i="19"/>
  <c r="T237" i="19"/>
  <c r="T238" i="19"/>
  <c r="T239" i="19"/>
  <c r="T240" i="19"/>
  <c r="T241" i="19"/>
  <c r="T242" i="19"/>
  <c r="T243" i="19"/>
  <c r="T244" i="19"/>
  <c r="T245" i="19"/>
  <c r="T246" i="19"/>
  <c r="T247" i="19"/>
  <c r="T248" i="19"/>
  <c r="T249" i="19"/>
  <c r="T250" i="19"/>
  <c r="T251" i="19"/>
  <c r="T253" i="19"/>
  <c r="T254" i="19"/>
  <c r="T255" i="19"/>
  <c r="T256" i="19"/>
  <c r="T257" i="19"/>
  <c r="T258" i="19"/>
  <c r="T259" i="19"/>
  <c r="T260" i="19"/>
  <c r="T261" i="19"/>
  <c r="T262" i="19"/>
  <c r="T263" i="19"/>
  <c r="T264" i="19"/>
  <c r="T265" i="19"/>
  <c r="T266" i="19"/>
  <c r="T267" i="19"/>
  <c r="T268" i="19"/>
  <c r="T269" i="19"/>
  <c r="T270" i="19"/>
  <c r="T271" i="19"/>
  <c r="T272" i="19"/>
  <c r="T273" i="19"/>
  <c r="T274" i="19"/>
  <c r="T275" i="19"/>
  <c r="T276" i="19"/>
  <c r="T277" i="19"/>
  <c r="T278" i="19"/>
  <c r="T279" i="19"/>
  <c r="T280" i="19"/>
  <c r="T281" i="19"/>
  <c r="T282" i="19"/>
  <c r="T283" i="19"/>
  <c r="T284" i="19"/>
  <c r="T285" i="19"/>
  <c r="T286" i="19"/>
  <c r="T287" i="19"/>
  <c r="T288" i="19"/>
  <c r="T289" i="19"/>
  <c r="T290" i="19"/>
  <c r="T291" i="19"/>
  <c r="T292" i="19"/>
  <c r="T293" i="19"/>
  <c r="T294" i="19"/>
  <c r="T295" i="19"/>
  <c r="T296" i="19"/>
  <c r="T297" i="19"/>
  <c r="T298" i="19"/>
  <c r="T299" i="19"/>
  <c r="T300" i="19"/>
  <c r="T301" i="19"/>
  <c r="T302" i="19"/>
  <c r="T303" i="19"/>
  <c r="T304" i="19"/>
  <c r="T305" i="19"/>
  <c r="T306" i="19"/>
  <c r="T307" i="19"/>
  <c r="T308" i="19"/>
  <c r="T309" i="19"/>
  <c r="T310" i="19"/>
  <c r="T311" i="19"/>
  <c r="T312" i="19"/>
  <c r="T313" i="19"/>
  <c r="T314" i="19"/>
  <c r="T315" i="19"/>
  <c r="T316" i="19"/>
  <c r="T317" i="19"/>
  <c r="T318" i="19"/>
  <c r="T319" i="19"/>
  <c r="T320" i="19"/>
  <c r="T321" i="19"/>
  <c r="T322" i="19"/>
  <c r="T323" i="19"/>
  <c r="T324" i="19"/>
  <c r="T325" i="19"/>
  <c r="T326" i="19"/>
  <c r="T327" i="19"/>
  <c r="T328" i="19"/>
  <c r="T329" i="19"/>
  <c r="T330" i="19"/>
  <c r="T331" i="19"/>
  <c r="T332" i="19"/>
  <c r="T333" i="19"/>
  <c r="T334" i="19"/>
  <c r="T335" i="19"/>
  <c r="T336" i="19"/>
  <c r="T337" i="19"/>
  <c r="T338" i="19"/>
  <c r="T339" i="19"/>
  <c r="T340" i="19"/>
  <c r="T341" i="19"/>
  <c r="T342" i="19"/>
  <c r="T343" i="19"/>
  <c r="T344" i="19"/>
  <c r="T345" i="19"/>
  <c r="T346" i="19"/>
  <c r="T347" i="19"/>
  <c r="T348" i="19"/>
  <c r="T349" i="19"/>
  <c r="T350" i="19"/>
  <c r="T351" i="19"/>
  <c r="T352" i="19"/>
  <c r="T353" i="19"/>
  <c r="T354" i="19"/>
  <c r="T355" i="19"/>
  <c r="T356" i="19"/>
  <c r="T357" i="19"/>
  <c r="T358" i="19"/>
  <c r="T359" i="19"/>
  <c r="T360" i="19"/>
  <c r="T361" i="19"/>
  <c r="T362" i="19"/>
  <c r="T363" i="19"/>
  <c r="T364" i="19"/>
  <c r="T365" i="19"/>
  <c r="T366" i="19"/>
  <c r="T367" i="19"/>
  <c r="T368" i="19"/>
  <c r="T369" i="19"/>
  <c r="T370" i="19"/>
  <c r="T371" i="19"/>
  <c r="T372" i="19"/>
  <c r="T373" i="19"/>
  <c r="T374" i="19"/>
  <c r="T375" i="19"/>
  <c r="T376" i="19"/>
  <c r="T378" i="19"/>
  <c r="T379" i="19"/>
  <c r="T380" i="19"/>
  <c r="T381" i="19"/>
  <c r="T382" i="19"/>
  <c r="T383" i="19"/>
  <c r="T384" i="19"/>
  <c r="T385" i="19"/>
  <c r="T386" i="19"/>
  <c r="T387" i="19"/>
  <c r="T388" i="19"/>
  <c r="T389" i="19"/>
  <c r="T390" i="19"/>
  <c r="T391" i="19"/>
  <c r="T392" i="19"/>
  <c r="T393" i="19"/>
  <c r="T394" i="19"/>
  <c r="T395" i="19"/>
  <c r="T396" i="19"/>
  <c r="T397" i="19"/>
  <c r="T398" i="19"/>
  <c r="T399" i="19"/>
  <c r="T400" i="19"/>
  <c r="T401" i="19"/>
  <c r="T402" i="19"/>
  <c r="T403" i="19"/>
  <c r="T404" i="19"/>
  <c r="T405" i="19"/>
  <c r="T406" i="19"/>
  <c r="T408" i="19"/>
  <c r="T409" i="19"/>
  <c r="T410" i="19"/>
  <c r="T411" i="19"/>
  <c r="T412" i="19"/>
  <c r="T413" i="19"/>
  <c r="T414" i="19"/>
  <c r="T415" i="19"/>
  <c r="T416" i="19"/>
  <c r="T417" i="19"/>
  <c r="T418" i="19"/>
  <c r="T419" i="19"/>
  <c r="T420" i="19"/>
  <c r="T421" i="19"/>
  <c r="T422" i="19"/>
  <c r="T423" i="19"/>
  <c r="T424" i="19"/>
  <c r="T425" i="19"/>
  <c r="T426" i="19"/>
  <c r="T427" i="19"/>
  <c r="T428" i="19"/>
  <c r="T429" i="19"/>
  <c r="T430" i="19"/>
  <c r="T431" i="19"/>
  <c r="T432" i="19"/>
  <c r="T433" i="19"/>
  <c r="T434" i="19"/>
  <c r="T435" i="19"/>
  <c r="T436" i="19"/>
  <c r="T438" i="19"/>
  <c r="T439" i="19"/>
  <c r="T440" i="19"/>
  <c r="T441" i="19"/>
  <c r="T442" i="19"/>
  <c r="T443" i="19"/>
  <c r="T444" i="19"/>
  <c r="T445" i="19"/>
  <c r="T446" i="19"/>
  <c r="T447" i="19"/>
  <c r="T448" i="19"/>
  <c r="T449" i="19"/>
  <c r="T450" i="19"/>
  <c r="T451" i="19"/>
  <c r="T452" i="19"/>
  <c r="T453" i="19"/>
  <c r="T454" i="19"/>
  <c r="T455" i="19"/>
  <c r="T456" i="19"/>
  <c r="T457" i="19"/>
  <c r="T458" i="19"/>
  <c r="T459" i="19"/>
  <c r="T460" i="19"/>
  <c r="T461" i="19"/>
  <c r="T462" i="19"/>
  <c r="T463" i="19"/>
  <c r="T464" i="19"/>
  <c r="T465" i="19"/>
  <c r="T466" i="19"/>
  <c r="O2" i="19"/>
  <c r="P2" i="19" s="1"/>
  <c r="O3" i="19"/>
  <c r="P3" i="19" s="1"/>
  <c r="O4" i="19"/>
  <c r="P4" i="19" s="1"/>
  <c r="O5" i="19"/>
  <c r="P5" i="19" s="1"/>
  <c r="O6" i="19"/>
  <c r="P6" i="19" s="1"/>
  <c r="O7" i="19"/>
  <c r="P7" i="19" s="1"/>
  <c r="O8" i="19"/>
  <c r="P8" i="19" s="1"/>
  <c r="O9" i="19"/>
  <c r="P9" i="19" s="1"/>
  <c r="O10" i="19"/>
  <c r="P10" i="19" s="1"/>
  <c r="O11" i="19"/>
  <c r="P11" i="19" s="1"/>
  <c r="O12" i="19"/>
  <c r="P12" i="19" s="1"/>
  <c r="O13" i="19"/>
  <c r="P13" i="19" s="1"/>
  <c r="O14" i="19"/>
  <c r="P14" i="19" s="1"/>
  <c r="O15" i="19"/>
  <c r="P15" i="19" s="1"/>
  <c r="O16" i="19"/>
  <c r="P16" i="19" s="1"/>
  <c r="O17" i="19"/>
  <c r="P17" i="19" s="1"/>
  <c r="O18" i="19"/>
  <c r="P18" i="19" s="1"/>
  <c r="O19" i="19"/>
  <c r="P19" i="19" s="1"/>
  <c r="O20" i="19"/>
  <c r="P20" i="19" s="1"/>
  <c r="O21" i="19"/>
  <c r="P21" i="19" s="1"/>
  <c r="O22" i="19"/>
  <c r="P22" i="19" s="1"/>
  <c r="O23" i="19"/>
  <c r="P23" i="19" s="1"/>
  <c r="O24" i="19"/>
  <c r="P24" i="19" s="1"/>
  <c r="O25" i="19"/>
  <c r="P25" i="19" s="1"/>
  <c r="O26" i="19"/>
  <c r="P26" i="19" s="1"/>
  <c r="O27" i="19"/>
  <c r="P27" i="19" s="1"/>
  <c r="O28" i="19"/>
  <c r="P28" i="19" s="1"/>
  <c r="O29" i="19"/>
  <c r="P29" i="19" s="1"/>
  <c r="O30" i="19"/>
  <c r="P30" i="19" s="1"/>
  <c r="O31" i="19"/>
  <c r="P31" i="19" s="1"/>
  <c r="O32" i="19"/>
  <c r="P32" i="19" s="1"/>
  <c r="O33" i="19"/>
  <c r="P33" i="19" s="1"/>
  <c r="O34" i="19"/>
  <c r="P34" i="19" s="1"/>
  <c r="O35" i="19"/>
  <c r="P35" i="19" s="1"/>
  <c r="O36" i="19"/>
  <c r="P36" i="19" s="1"/>
  <c r="O37" i="19"/>
  <c r="P37" i="19" s="1"/>
  <c r="O38" i="19"/>
  <c r="P38" i="19" s="1"/>
  <c r="O39" i="19"/>
  <c r="P39" i="19" s="1"/>
  <c r="O40" i="19"/>
  <c r="P40" i="19" s="1"/>
  <c r="O41" i="19"/>
  <c r="P41" i="19" s="1"/>
  <c r="O42" i="19"/>
  <c r="P42" i="19" s="1"/>
  <c r="O43" i="19"/>
  <c r="P43" i="19" s="1"/>
  <c r="O44" i="19"/>
  <c r="P44" i="19" s="1"/>
  <c r="O45" i="19"/>
  <c r="P45" i="19" s="1"/>
  <c r="O46" i="19"/>
  <c r="P46" i="19" s="1"/>
  <c r="O47" i="19"/>
  <c r="P47" i="19" s="1"/>
  <c r="O48" i="19"/>
  <c r="P48" i="19" s="1"/>
  <c r="O49" i="19"/>
  <c r="P49" i="19" s="1"/>
  <c r="O50" i="19"/>
  <c r="P50" i="19" s="1"/>
  <c r="O51" i="19"/>
  <c r="P51" i="19" s="1"/>
  <c r="O52" i="19"/>
  <c r="P52" i="19" s="1"/>
  <c r="O53" i="19"/>
  <c r="P53" i="19" s="1"/>
  <c r="O54" i="19"/>
  <c r="P54" i="19" s="1"/>
  <c r="O55" i="19"/>
  <c r="P55" i="19" s="1"/>
  <c r="O56" i="19"/>
  <c r="P56" i="19" s="1"/>
  <c r="O57" i="19"/>
  <c r="P57" i="19" s="1"/>
  <c r="O58" i="19"/>
  <c r="P58" i="19" s="1"/>
  <c r="O59" i="19"/>
  <c r="P59" i="19" s="1"/>
  <c r="O60" i="19"/>
  <c r="P60" i="19" s="1"/>
  <c r="O61" i="19"/>
  <c r="P61" i="19" s="1"/>
  <c r="O62" i="19"/>
  <c r="P62" i="19" s="1"/>
  <c r="O63" i="19"/>
  <c r="P63" i="19" s="1"/>
  <c r="O64" i="19"/>
  <c r="P64" i="19" s="1"/>
  <c r="O65" i="19"/>
  <c r="P65" i="19" s="1"/>
  <c r="O66" i="19"/>
  <c r="P66" i="19" s="1"/>
  <c r="O67" i="19"/>
  <c r="P67" i="19" s="1"/>
  <c r="O68" i="19"/>
  <c r="P68" i="19" s="1"/>
  <c r="O69" i="19"/>
  <c r="P69" i="19" s="1"/>
  <c r="O70" i="19"/>
  <c r="P70" i="19" s="1"/>
  <c r="O71" i="19"/>
  <c r="P71" i="19" s="1"/>
  <c r="O72" i="19"/>
  <c r="P72" i="19" s="1"/>
  <c r="O73" i="19"/>
  <c r="P73" i="19" s="1"/>
  <c r="O74" i="19"/>
  <c r="P74" i="19" s="1"/>
  <c r="O75" i="19"/>
  <c r="P75" i="19" s="1"/>
  <c r="O76" i="19"/>
  <c r="P76" i="19" s="1"/>
  <c r="O77" i="19"/>
  <c r="P77" i="19" s="1"/>
  <c r="O78" i="19"/>
  <c r="P78" i="19" s="1"/>
  <c r="O79" i="19"/>
  <c r="P79" i="19" s="1"/>
  <c r="O80" i="19"/>
  <c r="P80" i="19" s="1"/>
  <c r="O81" i="19"/>
  <c r="P81" i="19" s="1"/>
  <c r="O82" i="19"/>
  <c r="P82" i="19" s="1"/>
  <c r="O83" i="19"/>
  <c r="P83" i="19" s="1"/>
  <c r="O84" i="19"/>
  <c r="P84" i="19" s="1"/>
  <c r="O85" i="19"/>
  <c r="P85" i="19" s="1"/>
  <c r="O86" i="19"/>
  <c r="P86" i="19" s="1"/>
  <c r="O87" i="19"/>
  <c r="P87" i="19" s="1"/>
  <c r="O88" i="19"/>
  <c r="P88" i="19" s="1"/>
  <c r="O89" i="19"/>
  <c r="P89" i="19" s="1"/>
  <c r="O90" i="19"/>
  <c r="P90" i="19" s="1"/>
  <c r="O91" i="19"/>
  <c r="P91" i="19" s="1"/>
  <c r="O92" i="19"/>
  <c r="P92" i="19" s="1"/>
  <c r="O93" i="19"/>
  <c r="P93" i="19" s="1"/>
  <c r="O94" i="19"/>
  <c r="P94" i="19" s="1"/>
  <c r="O95" i="19"/>
  <c r="P95" i="19" s="1"/>
  <c r="O96" i="19"/>
  <c r="P96" i="19" s="1"/>
  <c r="O97" i="19"/>
  <c r="P97" i="19" s="1"/>
  <c r="O98" i="19"/>
  <c r="P98" i="19" s="1"/>
  <c r="O99" i="19"/>
  <c r="P99" i="19" s="1"/>
  <c r="O100" i="19"/>
  <c r="P100" i="19" s="1"/>
  <c r="O101" i="19"/>
  <c r="P101" i="19" s="1"/>
  <c r="O102" i="19"/>
  <c r="P102" i="19" s="1"/>
  <c r="O103" i="19"/>
  <c r="P103" i="19" s="1"/>
  <c r="O104" i="19"/>
  <c r="P104" i="19" s="1"/>
  <c r="O105" i="19"/>
  <c r="P105" i="19" s="1"/>
  <c r="O106" i="19"/>
  <c r="P106" i="19" s="1"/>
  <c r="O107" i="19"/>
  <c r="P107" i="19" s="1"/>
  <c r="O108" i="19"/>
  <c r="P108" i="19" s="1"/>
  <c r="O109" i="19"/>
  <c r="P109" i="19" s="1"/>
  <c r="O110" i="19"/>
  <c r="P110" i="19" s="1"/>
  <c r="O111" i="19"/>
  <c r="P111" i="19" s="1"/>
  <c r="O112" i="19"/>
  <c r="P112" i="19" s="1"/>
  <c r="O113" i="19"/>
  <c r="P113" i="19" s="1"/>
  <c r="O114" i="19"/>
  <c r="P114" i="19" s="1"/>
  <c r="O115" i="19"/>
  <c r="P115" i="19" s="1"/>
  <c r="O116" i="19"/>
  <c r="P116" i="19" s="1"/>
  <c r="O117" i="19"/>
  <c r="P117" i="19" s="1"/>
  <c r="O118" i="19"/>
  <c r="P118" i="19" s="1"/>
  <c r="O119" i="19"/>
  <c r="P119" i="19" s="1"/>
  <c r="O120" i="19"/>
  <c r="P120" i="19" s="1"/>
  <c r="O121" i="19"/>
  <c r="P121" i="19" s="1"/>
  <c r="O122" i="19"/>
  <c r="P122" i="19" s="1"/>
  <c r="O123" i="19"/>
  <c r="P123" i="19" s="1"/>
  <c r="O124" i="19"/>
  <c r="P124" i="19" s="1"/>
  <c r="O125" i="19"/>
  <c r="P125" i="19" s="1"/>
  <c r="O126" i="19"/>
  <c r="P126" i="19" s="1"/>
  <c r="O127" i="19"/>
  <c r="P127" i="19" s="1"/>
  <c r="O128" i="19"/>
  <c r="P128" i="19" s="1"/>
  <c r="O129" i="19"/>
  <c r="P129" i="19" s="1"/>
  <c r="O130" i="19"/>
  <c r="P130" i="19" s="1"/>
  <c r="O131" i="19"/>
  <c r="P131" i="19" s="1"/>
  <c r="O132" i="19"/>
  <c r="P132" i="19" s="1"/>
  <c r="O133" i="19"/>
  <c r="P133" i="19" s="1"/>
  <c r="O134" i="19"/>
  <c r="P134" i="19" s="1"/>
  <c r="O135" i="19"/>
  <c r="P135" i="19" s="1"/>
  <c r="O136" i="19"/>
  <c r="P136" i="19" s="1"/>
  <c r="O137" i="19"/>
  <c r="P137" i="19" s="1"/>
  <c r="O138" i="19"/>
  <c r="P138" i="19" s="1"/>
  <c r="O139" i="19"/>
  <c r="P139" i="19" s="1"/>
  <c r="O140" i="19"/>
  <c r="P140" i="19" s="1"/>
  <c r="O141" i="19"/>
  <c r="P141" i="19" s="1"/>
  <c r="O142" i="19"/>
  <c r="P142" i="19" s="1"/>
  <c r="O143" i="19"/>
  <c r="P143" i="19" s="1"/>
  <c r="O144" i="19"/>
  <c r="P144" i="19" s="1"/>
  <c r="O145" i="19"/>
  <c r="P145" i="19" s="1"/>
  <c r="O146" i="19"/>
  <c r="P146" i="19" s="1"/>
  <c r="O147" i="19"/>
  <c r="P147" i="19" s="1"/>
  <c r="O148" i="19"/>
  <c r="P148" i="19" s="1"/>
  <c r="O149" i="19"/>
  <c r="P149" i="19" s="1"/>
  <c r="O150" i="19"/>
  <c r="P150" i="19" s="1"/>
  <c r="O151" i="19"/>
  <c r="P151" i="19" s="1"/>
  <c r="O152" i="19"/>
  <c r="P152" i="19" s="1"/>
  <c r="O153" i="19"/>
  <c r="P153" i="19" s="1"/>
  <c r="O154" i="19"/>
  <c r="P154" i="19" s="1"/>
  <c r="O155" i="19"/>
  <c r="P155" i="19" s="1"/>
  <c r="O156" i="19"/>
  <c r="P156" i="19" s="1"/>
  <c r="O157" i="19"/>
  <c r="P157" i="19" s="1"/>
  <c r="O158" i="19"/>
  <c r="P158" i="19" s="1"/>
  <c r="O159" i="19"/>
  <c r="P159" i="19" s="1"/>
  <c r="O160" i="19"/>
  <c r="P160" i="19" s="1"/>
  <c r="O161" i="19"/>
  <c r="P161" i="19" s="1"/>
  <c r="O162" i="19"/>
  <c r="P162" i="19" s="1"/>
  <c r="O163" i="19"/>
  <c r="P163" i="19" s="1"/>
  <c r="O164" i="19"/>
  <c r="P164" i="19" s="1"/>
  <c r="O165" i="19"/>
  <c r="P165" i="19" s="1"/>
  <c r="O166" i="19"/>
  <c r="P166" i="19" s="1"/>
  <c r="O167" i="19"/>
  <c r="P167" i="19" s="1"/>
  <c r="O168" i="19"/>
  <c r="P168" i="19" s="1"/>
  <c r="O169" i="19"/>
  <c r="P169" i="19" s="1"/>
  <c r="O170" i="19"/>
  <c r="P170" i="19" s="1"/>
  <c r="O171" i="19"/>
  <c r="P171" i="19" s="1"/>
  <c r="O172" i="19"/>
  <c r="P172" i="19" s="1"/>
  <c r="O173" i="19"/>
  <c r="P173" i="19" s="1"/>
  <c r="O174" i="19"/>
  <c r="P174" i="19" s="1"/>
  <c r="O175" i="19"/>
  <c r="P175" i="19" s="1"/>
  <c r="O176" i="19"/>
  <c r="P176" i="19" s="1"/>
  <c r="O177" i="19"/>
  <c r="P177" i="19" s="1"/>
  <c r="O178" i="19"/>
  <c r="P178" i="19" s="1"/>
  <c r="O179" i="19"/>
  <c r="P179" i="19" s="1"/>
  <c r="O180" i="19"/>
  <c r="P180" i="19" s="1"/>
  <c r="O181" i="19"/>
  <c r="P181" i="19" s="1"/>
  <c r="O182" i="19"/>
  <c r="P182" i="19" s="1"/>
  <c r="O183" i="19"/>
  <c r="P183" i="19" s="1"/>
  <c r="O184" i="19"/>
  <c r="P184" i="19" s="1"/>
  <c r="O185" i="19"/>
  <c r="P185" i="19" s="1"/>
  <c r="O186" i="19"/>
  <c r="P186" i="19" s="1"/>
  <c r="O187" i="19"/>
  <c r="P187" i="19" s="1"/>
  <c r="O188" i="19"/>
  <c r="P188" i="19" s="1"/>
  <c r="O189" i="19"/>
  <c r="P189" i="19" s="1"/>
  <c r="O190" i="19"/>
  <c r="P190" i="19" s="1"/>
  <c r="O191" i="19"/>
  <c r="P191" i="19" s="1"/>
  <c r="O192" i="19"/>
  <c r="P192" i="19" s="1"/>
  <c r="O193" i="19"/>
  <c r="P193" i="19" s="1"/>
  <c r="O194" i="19"/>
  <c r="P194" i="19" s="1"/>
  <c r="O195" i="19"/>
  <c r="P195" i="19" s="1"/>
  <c r="O196" i="19"/>
  <c r="P196" i="19" s="1"/>
  <c r="O197" i="19"/>
  <c r="P197" i="19" s="1"/>
  <c r="O198" i="19"/>
  <c r="P198" i="19" s="1"/>
  <c r="O199" i="19"/>
  <c r="P199" i="19" s="1"/>
  <c r="O200" i="19"/>
  <c r="P200" i="19" s="1"/>
  <c r="O201" i="19"/>
  <c r="P201" i="19" s="1"/>
  <c r="O202" i="19"/>
  <c r="P202" i="19" s="1"/>
  <c r="O203" i="19"/>
  <c r="P203" i="19" s="1"/>
  <c r="O204" i="19"/>
  <c r="P204" i="19" s="1"/>
  <c r="O205" i="19"/>
  <c r="P205" i="19" s="1"/>
  <c r="O206" i="19"/>
  <c r="P206" i="19" s="1"/>
  <c r="O207" i="19"/>
  <c r="P207" i="19" s="1"/>
  <c r="O208" i="19"/>
  <c r="P208" i="19" s="1"/>
  <c r="O209" i="19"/>
  <c r="P209" i="19" s="1"/>
  <c r="O210" i="19"/>
  <c r="P210" i="19" s="1"/>
  <c r="O211" i="19"/>
  <c r="P211" i="19" s="1"/>
  <c r="O212" i="19"/>
  <c r="P212" i="19" s="1"/>
  <c r="O213" i="19"/>
  <c r="P213" i="19" s="1"/>
  <c r="O214" i="19"/>
  <c r="P214" i="19" s="1"/>
  <c r="O215" i="19"/>
  <c r="P215" i="19" s="1"/>
  <c r="O216" i="19"/>
  <c r="P216" i="19" s="1"/>
  <c r="O217" i="19"/>
  <c r="P217" i="19" s="1"/>
  <c r="O218" i="19"/>
  <c r="P218" i="19" s="1"/>
  <c r="O219" i="19"/>
  <c r="P219" i="19" s="1"/>
  <c r="O220" i="19"/>
  <c r="P220" i="19" s="1"/>
  <c r="O221" i="19"/>
  <c r="P221" i="19" s="1"/>
  <c r="O222" i="19"/>
  <c r="P222" i="19" s="1"/>
  <c r="O223" i="19"/>
  <c r="P223" i="19" s="1"/>
  <c r="O224" i="19"/>
  <c r="P224" i="19" s="1"/>
  <c r="O225" i="19"/>
  <c r="P225" i="19" s="1"/>
  <c r="O226" i="19"/>
  <c r="P226" i="19" s="1"/>
  <c r="O227" i="19"/>
  <c r="P227" i="19" s="1"/>
  <c r="O228" i="19"/>
  <c r="P228" i="19" s="1"/>
  <c r="O229" i="19"/>
  <c r="P229" i="19" s="1"/>
  <c r="O230" i="19"/>
  <c r="P230" i="19" s="1"/>
  <c r="O231" i="19"/>
  <c r="P231" i="19" s="1"/>
  <c r="O232" i="19"/>
  <c r="P232" i="19" s="1"/>
  <c r="O233" i="19"/>
  <c r="P233" i="19" s="1"/>
  <c r="O234" i="19"/>
  <c r="P234" i="19" s="1"/>
  <c r="O235" i="19"/>
  <c r="P235" i="19" s="1"/>
  <c r="O236" i="19"/>
  <c r="P236" i="19" s="1"/>
  <c r="O237" i="19"/>
  <c r="P237" i="19" s="1"/>
  <c r="O238" i="19"/>
  <c r="P238" i="19" s="1"/>
  <c r="O239" i="19"/>
  <c r="P239" i="19" s="1"/>
  <c r="O240" i="19"/>
  <c r="P240" i="19" s="1"/>
  <c r="O241" i="19"/>
  <c r="P241" i="19" s="1"/>
  <c r="O242" i="19"/>
  <c r="P242" i="19" s="1"/>
  <c r="O243" i="19"/>
  <c r="P243" i="19" s="1"/>
  <c r="O244" i="19"/>
  <c r="P244" i="19" s="1"/>
  <c r="O245" i="19"/>
  <c r="P245" i="19" s="1"/>
  <c r="O246" i="19"/>
  <c r="P246" i="19" s="1"/>
  <c r="O247" i="19"/>
  <c r="P247" i="19" s="1"/>
  <c r="O248" i="19"/>
  <c r="P248" i="19" s="1"/>
  <c r="O249" i="19"/>
  <c r="P249" i="19" s="1"/>
  <c r="O250" i="19"/>
  <c r="P250" i="19" s="1"/>
  <c r="O251" i="19"/>
  <c r="P251" i="19" s="1"/>
  <c r="O252" i="19"/>
  <c r="P252" i="19" s="1"/>
  <c r="O253" i="19"/>
  <c r="P253" i="19" s="1"/>
  <c r="O254" i="19"/>
  <c r="P254" i="19" s="1"/>
  <c r="O255" i="19"/>
  <c r="P255" i="19" s="1"/>
  <c r="O256" i="19"/>
  <c r="P256" i="19" s="1"/>
  <c r="O257" i="19"/>
  <c r="P257" i="19" s="1"/>
  <c r="O258" i="19"/>
  <c r="P258" i="19" s="1"/>
  <c r="O259" i="19"/>
  <c r="P259" i="19" s="1"/>
  <c r="O260" i="19"/>
  <c r="P260" i="19" s="1"/>
  <c r="O261" i="19"/>
  <c r="P261" i="19" s="1"/>
  <c r="O262" i="19"/>
  <c r="P262" i="19" s="1"/>
  <c r="O263" i="19"/>
  <c r="P263" i="19" s="1"/>
  <c r="O264" i="19"/>
  <c r="P264" i="19" s="1"/>
  <c r="O265" i="19"/>
  <c r="P265" i="19" s="1"/>
  <c r="O266" i="19"/>
  <c r="P266" i="19" s="1"/>
  <c r="O267" i="19"/>
  <c r="P267" i="19" s="1"/>
  <c r="O268" i="19"/>
  <c r="P268" i="19" s="1"/>
  <c r="O269" i="19"/>
  <c r="P269" i="19" s="1"/>
  <c r="O270" i="19"/>
  <c r="P270" i="19" s="1"/>
  <c r="O271" i="19"/>
  <c r="P271" i="19" s="1"/>
  <c r="O272" i="19"/>
  <c r="P272" i="19" s="1"/>
  <c r="O273" i="19"/>
  <c r="P273" i="19" s="1"/>
  <c r="O274" i="19"/>
  <c r="P274" i="19" s="1"/>
  <c r="O275" i="19"/>
  <c r="P275" i="19" s="1"/>
  <c r="O276" i="19"/>
  <c r="P276" i="19" s="1"/>
  <c r="O277" i="19"/>
  <c r="P277" i="19" s="1"/>
  <c r="O278" i="19"/>
  <c r="P278" i="19" s="1"/>
  <c r="O279" i="19"/>
  <c r="P279" i="19" s="1"/>
  <c r="O280" i="19"/>
  <c r="P280" i="19" s="1"/>
  <c r="O281" i="19"/>
  <c r="P281" i="19" s="1"/>
  <c r="O282" i="19"/>
  <c r="P282" i="19" s="1"/>
  <c r="O283" i="19"/>
  <c r="P283" i="19" s="1"/>
  <c r="O284" i="19"/>
  <c r="P284" i="19" s="1"/>
  <c r="O285" i="19"/>
  <c r="P285" i="19" s="1"/>
  <c r="O286" i="19"/>
  <c r="P286" i="19" s="1"/>
  <c r="O287" i="19"/>
  <c r="P287" i="19" s="1"/>
  <c r="O288" i="19"/>
  <c r="P288" i="19" s="1"/>
  <c r="O289" i="19"/>
  <c r="P289" i="19" s="1"/>
  <c r="O290" i="19"/>
  <c r="P290" i="19" s="1"/>
  <c r="O291" i="19"/>
  <c r="P291" i="19" s="1"/>
  <c r="O292" i="19"/>
  <c r="P292" i="19" s="1"/>
  <c r="O293" i="19"/>
  <c r="P293" i="19" s="1"/>
  <c r="O294" i="19"/>
  <c r="P294" i="19" s="1"/>
  <c r="O295" i="19"/>
  <c r="P295" i="19" s="1"/>
  <c r="O296" i="19"/>
  <c r="P296" i="19" s="1"/>
  <c r="O297" i="19"/>
  <c r="P297" i="19" s="1"/>
  <c r="O298" i="19"/>
  <c r="P298" i="19" s="1"/>
  <c r="O299" i="19"/>
  <c r="P299" i="19" s="1"/>
  <c r="O300" i="19"/>
  <c r="P300" i="19" s="1"/>
  <c r="O301" i="19"/>
  <c r="P301" i="19" s="1"/>
  <c r="O302" i="19"/>
  <c r="P302" i="19" s="1"/>
  <c r="O303" i="19"/>
  <c r="P303" i="19" s="1"/>
  <c r="O304" i="19"/>
  <c r="P304" i="19" s="1"/>
  <c r="O305" i="19"/>
  <c r="P305" i="19" s="1"/>
  <c r="O306" i="19"/>
  <c r="P306" i="19" s="1"/>
  <c r="O307" i="19"/>
  <c r="P307" i="19" s="1"/>
  <c r="O308" i="19"/>
  <c r="P308" i="19" s="1"/>
  <c r="O309" i="19"/>
  <c r="P309" i="19" s="1"/>
  <c r="O310" i="19"/>
  <c r="P310" i="19" s="1"/>
  <c r="O311" i="19"/>
  <c r="P311" i="19" s="1"/>
  <c r="O312" i="19"/>
  <c r="P312" i="19" s="1"/>
  <c r="O313" i="19"/>
  <c r="P313" i="19" s="1"/>
  <c r="O314" i="19"/>
  <c r="P314" i="19" s="1"/>
  <c r="O315" i="19"/>
  <c r="P315" i="19" s="1"/>
  <c r="O316" i="19"/>
  <c r="P316" i="19" s="1"/>
  <c r="O317" i="19"/>
  <c r="P317" i="19" s="1"/>
  <c r="O318" i="19"/>
  <c r="P318" i="19" s="1"/>
  <c r="O319" i="19"/>
  <c r="P319" i="19" s="1"/>
  <c r="O320" i="19"/>
  <c r="P320" i="19" s="1"/>
  <c r="O321" i="19"/>
  <c r="P321" i="19" s="1"/>
  <c r="O322" i="19"/>
  <c r="P322" i="19" s="1"/>
  <c r="O323" i="19"/>
  <c r="P323" i="19" s="1"/>
  <c r="O324" i="19"/>
  <c r="P324" i="19" s="1"/>
  <c r="O325" i="19"/>
  <c r="P325" i="19" s="1"/>
  <c r="O326" i="19"/>
  <c r="P326" i="19" s="1"/>
  <c r="O327" i="19"/>
  <c r="P327" i="19" s="1"/>
  <c r="O328" i="19"/>
  <c r="P328" i="19" s="1"/>
  <c r="O329" i="19"/>
  <c r="P329" i="19" s="1"/>
  <c r="O330" i="19"/>
  <c r="P330" i="19" s="1"/>
  <c r="O331" i="19"/>
  <c r="P331" i="19" s="1"/>
  <c r="O332" i="19"/>
  <c r="P332" i="19" s="1"/>
  <c r="O333" i="19"/>
  <c r="P333" i="19" s="1"/>
  <c r="O334" i="19"/>
  <c r="P334" i="19" s="1"/>
  <c r="O335" i="19"/>
  <c r="P335" i="19" s="1"/>
  <c r="O336" i="19"/>
  <c r="P336" i="19" s="1"/>
  <c r="O337" i="19"/>
  <c r="P337" i="19" s="1"/>
  <c r="O338" i="19"/>
  <c r="P338" i="19" s="1"/>
  <c r="O339" i="19"/>
  <c r="P339" i="19" s="1"/>
  <c r="O340" i="19"/>
  <c r="P340" i="19" s="1"/>
  <c r="O341" i="19"/>
  <c r="P341" i="19" s="1"/>
  <c r="O342" i="19"/>
  <c r="P342" i="19" s="1"/>
  <c r="O343" i="19"/>
  <c r="P343" i="19" s="1"/>
  <c r="O344" i="19"/>
  <c r="P344" i="19" s="1"/>
  <c r="O345" i="19"/>
  <c r="P345" i="19" s="1"/>
  <c r="O346" i="19"/>
  <c r="P346" i="19" s="1"/>
  <c r="O347" i="19"/>
  <c r="P347" i="19" s="1"/>
  <c r="O348" i="19"/>
  <c r="P348" i="19" s="1"/>
  <c r="O349" i="19"/>
  <c r="P349" i="19" s="1"/>
  <c r="O350" i="19"/>
  <c r="P350" i="19" s="1"/>
  <c r="O351" i="19"/>
  <c r="P351" i="19" s="1"/>
  <c r="O352" i="19"/>
  <c r="P352" i="19" s="1"/>
  <c r="O353" i="19"/>
  <c r="P353" i="19" s="1"/>
  <c r="O354" i="19"/>
  <c r="P354" i="19" s="1"/>
  <c r="O355" i="19"/>
  <c r="P355" i="19" s="1"/>
  <c r="O356" i="19"/>
  <c r="P356" i="19" s="1"/>
  <c r="O357" i="19"/>
  <c r="P357" i="19" s="1"/>
  <c r="O358" i="19"/>
  <c r="P358" i="19" s="1"/>
  <c r="O359" i="19"/>
  <c r="P359" i="19" s="1"/>
  <c r="O360" i="19"/>
  <c r="P360" i="19" s="1"/>
  <c r="O361" i="19"/>
  <c r="P361" i="19" s="1"/>
  <c r="O362" i="19"/>
  <c r="P362" i="19" s="1"/>
  <c r="O363" i="19"/>
  <c r="P363" i="19" s="1"/>
  <c r="O364" i="19"/>
  <c r="P364" i="19" s="1"/>
  <c r="O365" i="19"/>
  <c r="P365" i="19" s="1"/>
  <c r="O366" i="19"/>
  <c r="P366" i="19" s="1"/>
  <c r="O367" i="19"/>
  <c r="P367" i="19" s="1"/>
  <c r="O368" i="19"/>
  <c r="P368" i="19" s="1"/>
  <c r="O369" i="19"/>
  <c r="P369" i="19" s="1"/>
  <c r="O370" i="19"/>
  <c r="P370" i="19" s="1"/>
  <c r="O371" i="19"/>
  <c r="P371" i="19" s="1"/>
  <c r="O372" i="19"/>
  <c r="P372" i="19" s="1"/>
  <c r="O373" i="19"/>
  <c r="P373" i="19" s="1"/>
  <c r="O374" i="19"/>
  <c r="P374" i="19" s="1"/>
  <c r="O375" i="19"/>
  <c r="P375" i="19" s="1"/>
  <c r="O376" i="19"/>
  <c r="P376" i="19" s="1"/>
  <c r="O377" i="19"/>
  <c r="P377" i="19" s="1"/>
  <c r="O378" i="19"/>
  <c r="P378" i="19" s="1"/>
  <c r="O379" i="19"/>
  <c r="P379" i="19" s="1"/>
  <c r="O380" i="19"/>
  <c r="P380" i="19" s="1"/>
  <c r="O381" i="19"/>
  <c r="P381" i="19" s="1"/>
  <c r="O382" i="19"/>
  <c r="P382" i="19" s="1"/>
  <c r="O383" i="19"/>
  <c r="P383" i="19" s="1"/>
  <c r="O384" i="19"/>
  <c r="P384" i="19" s="1"/>
  <c r="O385" i="19"/>
  <c r="P385" i="19" s="1"/>
  <c r="O386" i="19"/>
  <c r="P386" i="19" s="1"/>
  <c r="O387" i="19"/>
  <c r="P387" i="19" s="1"/>
  <c r="O388" i="19"/>
  <c r="P388" i="19" s="1"/>
  <c r="O389" i="19"/>
  <c r="P389" i="19" s="1"/>
  <c r="O390" i="19"/>
  <c r="P390" i="19" s="1"/>
  <c r="O391" i="19"/>
  <c r="P391" i="19" s="1"/>
  <c r="O392" i="19"/>
  <c r="P392" i="19" s="1"/>
  <c r="O393" i="19"/>
  <c r="P393" i="19" s="1"/>
  <c r="O394" i="19"/>
  <c r="P394" i="19" s="1"/>
  <c r="O395" i="19"/>
  <c r="P395" i="19" s="1"/>
  <c r="O396" i="19"/>
  <c r="P396" i="19" s="1"/>
  <c r="O397" i="19"/>
  <c r="P397" i="19" s="1"/>
  <c r="O398" i="19"/>
  <c r="P398" i="19" s="1"/>
  <c r="O399" i="19"/>
  <c r="P399" i="19" s="1"/>
  <c r="O400" i="19"/>
  <c r="P400" i="19" s="1"/>
  <c r="O401" i="19"/>
  <c r="P401" i="19" s="1"/>
  <c r="O402" i="19"/>
  <c r="P402" i="19" s="1"/>
  <c r="O403" i="19"/>
  <c r="P403" i="19" s="1"/>
  <c r="O404" i="19"/>
  <c r="P404" i="19" s="1"/>
  <c r="O405" i="19"/>
  <c r="P405" i="19" s="1"/>
  <c r="O406" i="19"/>
  <c r="P406" i="19" s="1"/>
  <c r="O407" i="19"/>
  <c r="P407" i="19" s="1"/>
  <c r="O408" i="19"/>
  <c r="P408" i="19" s="1"/>
  <c r="O409" i="19"/>
  <c r="P409" i="19" s="1"/>
  <c r="O410" i="19"/>
  <c r="P410" i="19" s="1"/>
  <c r="O411" i="19"/>
  <c r="P411" i="19" s="1"/>
  <c r="O412" i="19"/>
  <c r="P412" i="19" s="1"/>
  <c r="O413" i="19"/>
  <c r="P413" i="19" s="1"/>
  <c r="O414" i="19"/>
  <c r="P414" i="19" s="1"/>
  <c r="O415" i="19"/>
  <c r="P415" i="19" s="1"/>
  <c r="O416" i="19"/>
  <c r="P416" i="19" s="1"/>
  <c r="O417" i="19"/>
  <c r="P417" i="19" s="1"/>
  <c r="O418" i="19"/>
  <c r="P418" i="19" s="1"/>
  <c r="O419" i="19"/>
  <c r="P419" i="19" s="1"/>
  <c r="O420" i="19"/>
  <c r="P420" i="19" s="1"/>
  <c r="O421" i="19"/>
  <c r="P421" i="19" s="1"/>
  <c r="O422" i="19"/>
  <c r="P422" i="19" s="1"/>
  <c r="O423" i="19"/>
  <c r="P423" i="19" s="1"/>
  <c r="O424" i="19"/>
  <c r="P424" i="19" s="1"/>
  <c r="O425" i="19"/>
  <c r="P425" i="19" s="1"/>
  <c r="O426" i="19"/>
  <c r="P426" i="19" s="1"/>
  <c r="O427" i="19"/>
  <c r="P427" i="19" s="1"/>
  <c r="O428" i="19"/>
  <c r="P428" i="19" s="1"/>
  <c r="O429" i="19"/>
  <c r="P429" i="19" s="1"/>
  <c r="O430" i="19"/>
  <c r="P430" i="19" s="1"/>
  <c r="O431" i="19"/>
  <c r="P431" i="19" s="1"/>
  <c r="O432" i="19"/>
  <c r="P432" i="19" s="1"/>
  <c r="O433" i="19"/>
  <c r="P433" i="19" s="1"/>
  <c r="O434" i="19"/>
  <c r="P434" i="19" s="1"/>
  <c r="O435" i="19"/>
  <c r="P435" i="19" s="1"/>
  <c r="O436" i="19"/>
  <c r="P436" i="19" s="1"/>
  <c r="O437" i="19"/>
  <c r="P437" i="19" s="1"/>
  <c r="O438" i="19"/>
  <c r="P438" i="19" s="1"/>
  <c r="O439" i="19"/>
  <c r="P439" i="19" s="1"/>
  <c r="O440" i="19"/>
  <c r="P440" i="19" s="1"/>
  <c r="O441" i="19"/>
  <c r="P441" i="19" s="1"/>
  <c r="O442" i="19"/>
  <c r="P442" i="19" s="1"/>
  <c r="O443" i="19"/>
  <c r="P443" i="19" s="1"/>
  <c r="O444" i="19"/>
  <c r="P444" i="19" s="1"/>
  <c r="O445" i="19"/>
  <c r="P445" i="19" s="1"/>
  <c r="O446" i="19"/>
  <c r="P446" i="19" s="1"/>
  <c r="O447" i="19"/>
  <c r="P447" i="19" s="1"/>
  <c r="O448" i="19"/>
  <c r="P448" i="19" s="1"/>
  <c r="O449" i="19"/>
  <c r="P449" i="19" s="1"/>
  <c r="O450" i="19"/>
  <c r="P450" i="19" s="1"/>
  <c r="O451" i="19"/>
  <c r="P451" i="19" s="1"/>
  <c r="O452" i="19"/>
  <c r="P452" i="19" s="1"/>
  <c r="O453" i="19"/>
  <c r="P453" i="19" s="1"/>
  <c r="O454" i="19"/>
  <c r="P454" i="19" s="1"/>
  <c r="O455" i="19"/>
  <c r="P455" i="19" s="1"/>
  <c r="O456" i="19"/>
  <c r="P456" i="19" s="1"/>
  <c r="O457" i="19"/>
  <c r="P457" i="19" s="1"/>
  <c r="O458" i="19"/>
  <c r="P458" i="19" s="1"/>
  <c r="O459" i="19"/>
  <c r="P459" i="19" s="1"/>
  <c r="O460" i="19"/>
  <c r="P460" i="19" s="1"/>
  <c r="O461" i="19"/>
  <c r="P461" i="19" s="1"/>
  <c r="O462" i="19"/>
  <c r="P462" i="19" s="1"/>
  <c r="O463" i="19"/>
  <c r="P463" i="19" s="1"/>
  <c r="O464" i="19"/>
  <c r="P464" i="19" s="1"/>
  <c r="O465" i="19"/>
  <c r="P465" i="19" s="1"/>
  <c r="O466" i="19"/>
  <c r="P466" i="19" s="1"/>
  <c r="O2" i="22"/>
  <c r="P2" i="22" s="1"/>
  <c r="H1" i="12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P44" i="9" s="1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P39" i="9" s="1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P4" i="9" s="1"/>
  <c r="A2" i="8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T14" i="10" l="1"/>
  <c r="D14" i="10"/>
  <c r="C14" i="10"/>
  <c r="G14" i="10"/>
  <c r="S14" i="10"/>
  <c r="R14" i="10"/>
  <c r="K14" i="10"/>
  <c r="I14" i="10"/>
  <c r="J14" i="10" s="1"/>
  <c r="F14" i="10"/>
  <c r="E14" i="10"/>
  <c r="T15" i="10"/>
  <c r="I15" i="10"/>
  <c r="C15" i="10"/>
  <c r="K15" i="10"/>
  <c r="J15" i="10"/>
  <c r="R15" i="10"/>
  <c r="S15" i="10"/>
  <c r="D15" i="10"/>
  <c r="F15" i="10"/>
  <c r="G15" i="10"/>
  <c r="E15" i="10"/>
  <c r="F16" i="10"/>
  <c r="K16" i="10"/>
  <c r="C16" i="10"/>
  <c r="T16" i="10"/>
  <c r="I16" i="10"/>
  <c r="J16" i="10" s="1"/>
  <c r="G16" i="10"/>
  <c r="R16" i="10"/>
  <c r="D16" i="10"/>
  <c r="S16" i="10"/>
  <c r="E16" i="10"/>
  <c r="T17" i="10"/>
  <c r="I17" i="10"/>
  <c r="D17" i="10"/>
  <c r="K17" i="10"/>
  <c r="G17" i="10"/>
  <c r="S17" i="10"/>
  <c r="F17" i="10"/>
  <c r="C17" i="10"/>
  <c r="R17" i="10"/>
  <c r="J17" i="10"/>
  <c r="E17" i="10"/>
  <c r="T18" i="10"/>
  <c r="S18" i="10"/>
  <c r="D18" i="10"/>
  <c r="C18" i="10"/>
  <c r="K18" i="10"/>
  <c r="R18" i="10"/>
  <c r="G18" i="10"/>
  <c r="I18" i="10"/>
  <c r="J18" i="10"/>
  <c r="E18" i="10"/>
  <c r="F18" i="10"/>
  <c r="T19" i="10"/>
  <c r="G19" i="10"/>
  <c r="F19" i="10"/>
  <c r="E19" i="10"/>
  <c r="I19" i="10"/>
  <c r="K19" i="10"/>
  <c r="S19" i="10"/>
  <c r="J19" i="10"/>
  <c r="D19" i="10"/>
  <c r="R19" i="10"/>
  <c r="C19" i="10"/>
  <c r="T20" i="10"/>
  <c r="K20" i="10"/>
  <c r="F20" i="10"/>
  <c r="D20" i="10"/>
  <c r="E20" i="10"/>
  <c r="I20" i="10"/>
  <c r="R20" i="10"/>
  <c r="S20" i="10"/>
  <c r="G20" i="10"/>
  <c r="J20" i="10"/>
  <c r="C20" i="10"/>
  <c r="G21" i="10"/>
  <c r="E21" i="10"/>
  <c r="I21" i="10"/>
  <c r="D21" i="10"/>
  <c r="J21" i="10"/>
  <c r="K21" i="10"/>
  <c r="F21" i="10"/>
  <c r="T21" i="10"/>
  <c r="S21" i="10"/>
  <c r="R21" i="10"/>
  <c r="C21" i="10"/>
  <c r="R22" i="10"/>
  <c r="S22" i="10"/>
  <c r="K22" i="10"/>
  <c r="T22" i="10"/>
  <c r="E22" i="10"/>
  <c r="G22" i="10"/>
  <c r="I22" i="10"/>
  <c r="J22" i="10" s="1"/>
  <c r="F22" i="10"/>
  <c r="D22" i="10"/>
  <c r="C22" i="10"/>
  <c r="R23" i="10"/>
  <c r="E23" i="10"/>
  <c r="D23" i="10"/>
  <c r="T23" i="10"/>
  <c r="G23" i="10"/>
  <c r="K23" i="10"/>
  <c r="S23" i="10"/>
  <c r="F23" i="10"/>
  <c r="I23" i="10"/>
  <c r="J23" i="10" s="1"/>
  <c r="C23" i="10"/>
  <c r="S24" i="10"/>
  <c r="I24" i="10"/>
  <c r="F24" i="10"/>
  <c r="R24" i="10"/>
  <c r="G24" i="10"/>
  <c r="E24" i="10"/>
  <c r="J24" i="10"/>
  <c r="D24" i="10"/>
  <c r="K24" i="10"/>
  <c r="T24" i="10"/>
  <c r="C24" i="10"/>
  <c r="T25" i="10"/>
  <c r="F25" i="10"/>
  <c r="R25" i="10"/>
  <c r="I25" i="10"/>
  <c r="J25" i="10" s="1"/>
  <c r="S25" i="10"/>
  <c r="D25" i="10"/>
  <c r="G25" i="10"/>
  <c r="K25" i="10"/>
  <c r="E25" i="10"/>
  <c r="C25" i="10"/>
  <c r="S26" i="10"/>
  <c r="G26" i="10"/>
  <c r="K26" i="10"/>
  <c r="I26" i="10"/>
  <c r="T26" i="10"/>
  <c r="C26" i="10"/>
  <c r="F26" i="10"/>
  <c r="J26" i="10"/>
  <c r="E26" i="10"/>
  <c r="D26" i="10"/>
  <c r="R26" i="10"/>
  <c r="S27" i="10"/>
  <c r="T27" i="10"/>
  <c r="R27" i="10"/>
  <c r="F27" i="10"/>
  <c r="K27" i="10"/>
  <c r="C27" i="10"/>
  <c r="I27" i="10"/>
  <c r="J27" i="10" s="1"/>
  <c r="D27" i="10"/>
  <c r="G27" i="10"/>
  <c r="E27" i="10"/>
  <c r="S28" i="10"/>
  <c r="K28" i="10"/>
  <c r="F28" i="10"/>
  <c r="C28" i="10"/>
  <c r="E28" i="10"/>
  <c r="T28" i="10"/>
  <c r="R28" i="10"/>
  <c r="G28" i="10"/>
  <c r="D28" i="10"/>
  <c r="I28" i="10"/>
  <c r="J28" i="10" s="1"/>
  <c r="S29" i="10"/>
  <c r="I29" i="10"/>
  <c r="K29" i="10"/>
  <c r="R29" i="10"/>
  <c r="E29" i="10"/>
  <c r="F29" i="10"/>
  <c r="J29" i="10"/>
  <c r="D29" i="10"/>
  <c r="T29" i="10"/>
  <c r="G29" i="10"/>
  <c r="C29" i="10"/>
  <c r="T30" i="10"/>
  <c r="G30" i="10"/>
  <c r="S30" i="10"/>
  <c r="K30" i="10"/>
  <c r="R30" i="10"/>
  <c r="F30" i="10"/>
  <c r="C30" i="10"/>
  <c r="E30" i="10"/>
  <c r="I30" i="10"/>
  <c r="J30" i="10" s="1"/>
  <c r="D30" i="10"/>
  <c r="T31" i="10"/>
  <c r="K31" i="10"/>
  <c r="D31" i="10"/>
  <c r="F31" i="10"/>
  <c r="C31" i="10"/>
  <c r="R31" i="10"/>
  <c r="I31" i="10"/>
  <c r="S31" i="10"/>
  <c r="E31" i="10"/>
  <c r="J31" i="10"/>
  <c r="G31" i="10"/>
  <c r="T32" i="10"/>
  <c r="D32" i="10"/>
  <c r="F32" i="10"/>
  <c r="C32" i="10"/>
  <c r="R32" i="10"/>
  <c r="S32" i="10"/>
  <c r="E32" i="10"/>
  <c r="G32" i="10"/>
  <c r="K32" i="10"/>
  <c r="I32" i="10"/>
  <c r="J32" i="10" s="1"/>
  <c r="T33" i="10"/>
  <c r="D33" i="10"/>
  <c r="K33" i="10"/>
  <c r="G33" i="10"/>
  <c r="I33" i="10"/>
  <c r="J33" i="10" s="1"/>
  <c r="S33" i="10"/>
  <c r="R33" i="10"/>
  <c r="C33" i="10"/>
  <c r="E33" i="10"/>
  <c r="F33" i="10"/>
  <c r="T34" i="10"/>
  <c r="G34" i="10"/>
  <c r="D34" i="10"/>
  <c r="E34" i="10"/>
  <c r="C34" i="10"/>
  <c r="I34" i="10"/>
  <c r="J34" i="10" s="1"/>
  <c r="K34" i="10"/>
  <c r="R34" i="10"/>
  <c r="F34" i="10"/>
  <c r="S34" i="10"/>
  <c r="T35" i="10"/>
  <c r="S35" i="10"/>
  <c r="R35" i="10"/>
  <c r="D35" i="10"/>
  <c r="F35" i="10"/>
  <c r="E35" i="10"/>
  <c r="C35" i="10"/>
  <c r="K35" i="10"/>
  <c r="I35" i="10"/>
  <c r="J35" i="10" s="1"/>
  <c r="G35" i="10"/>
  <c r="T36" i="10"/>
  <c r="I36" i="10"/>
  <c r="J36" i="10" s="1"/>
  <c r="E36" i="10"/>
  <c r="S36" i="10"/>
  <c r="K36" i="10"/>
  <c r="G36" i="10"/>
  <c r="R36" i="10"/>
  <c r="F36" i="10"/>
  <c r="D36" i="10"/>
  <c r="C36" i="10"/>
  <c r="T37" i="10"/>
  <c r="K37" i="10"/>
  <c r="I37" i="10"/>
  <c r="C37" i="10"/>
  <c r="R37" i="10"/>
  <c r="J37" i="10"/>
  <c r="F37" i="10"/>
  <c r="G37" i="10"/>
  <c r="S37" i="10"/>
  <c r="D37" i="10"/>
  <c r="E37" i="10"/>
  <c r="R38" i="10"/>
  <c r="D38" i="10"/>
  <c r="K38" i="10"/>
  <c r="F38" i="10"/>
  <c r="S38" i="10"/>
  <c r="T38" i="10"/>
  <c r="C38" i="10"/>
  <c r="I38" i="10"/>
  <c r="J38" i="10" s="1"/>
  <c r="G38" i="10"/>
  <c r="E38" i="10"/>
  <c r="C39" i="10"/>
  <c r="K39" i="10"/>
  <c r="R39" i="10"/>
  <c r="F39" i="10"/>
  <c r="S39" i="10"/>
  <c r="I39" i="10"/>
  <c r="G39" i="10"/>
  <c r="D39" i="10"/>
  <c r="T39" i="10"/>
  <c r="J39" i="10"/>
  <c r="E39" i="10"/>
  <c r="K40" i="10"/>
  <c r="C40" i="10"/>
  <c r="S40" i="10"/>
  <c r="D40" i="10"/>
  <c r="E40" i="10"/>
  <c r="T40" i="10"/>
  <c r="G40" i="10"/>
  <c r="I40" i="10"/>
  <c r="J40" i="10" s="1"/>
  <c r="F40" i="10"/>
  <c r="R40" i="10"/>
  <c r="F41" i="10"/>
  <c r="C41" i="10"/>
  <c r="S41" i="10"/>
  <c r="E41" i="10"/>
  <c r="T41" i="10"/>
  <c r="I41" i="10"/>
  <c r="G41" i="10"/>
  <c r="D41" i="10"/>
  <c r="J41" i="10"/>
  <c r="R41" i="10"/>
  <c r="K41" i="10"/>
  <c r="S42" i="10"/>
  <c r="D42" i="10"/>
  <c r="R42" i="10"/>
  <c r="F42" i="10"/>
  <c r="I42" i="10"/>
  <c r="J42" i="10" s="1"/>
  <c r="T42" i="10"/>
  <c r="E42" i="10"/>
  <c r="G42" i="10"/>
  <c r="K42" i="10"/>
  <c r="C42" i="10"/>
  <c r="E43" i="10"/>
  <c r="C43" i="10"/>
  <c r="K43" i="10"/>
  <c r="G43" i="10"/>
  <c r="R43" i="10"/>
  <c r="S43" i="10"/>
  <c r="T43" i="10"/>
  <c r="I43" i="10"/>
  <c r="D43" i="10"/>
  <c r="J43" i="10"/>
  <c r="F43" i="10"/>
  <c r="R44" i="10"/>
  <c r="E44" i="10"/>
  <c r="D44" i="10"/>
  <c r="G44" i="10"/>
  <c r="S44" i="10"/>
  <c r="K44" i="10"/>
  <c r="C44" i="10"/>
  <c r="F44" i="10"/>
  <c r="T44" i="10"/>
  <c r="I44" i="10"/>
  <c r="J44" i="10" s="1"/>
  <c r="G45" i="10"/>
  <c r="R45" i="10"/>
  <c r="C45" i="10"/>
  <c r="D45" i="10"/>
  <c r="F45" i="10"/>
  <c r="T45" i="10"/>
  <c r="I45" i="10"/>
  <c r="J45" i="10" s="1"/>
  <c r="S45" i="10"/>
  <c r="K45" i="10"/>
  <c r="E45" i="10"/>
  <c r="C46" i="10"/>
  <c r="T46" i="10"/>
  <c r="I46" i="10"/>
  <c r="D46" i="10"/>
  <c r="F46" i="10"/>
  <c r="S46" i="10"/>
  <c r="K46" i="10"/>
  <c r="R46" i="10"/>
  <c r="G46" i="10"/>
  <c r="J46" i="10"/>
  <c r="E46" i="10"/>
  <c r="C47" i="10"/>
  <c r="K47" i="10"/>
  <c r="I47" i="10"/>
  <c r="D47" i="10"/>
  <c r="G47" i="10"/>
  <c r="F47" i="10"/>
  <c r="S47" i="10"/>
  <c r="T47" i="10"/>
  <c r="J47" i="10"/>
  <c r="R47" i="10"/>
  <c r="E47" i="10"/>
  <c r="R48" i="10"/>
  <c r="K48" i="10"/>
  <c r="G48" i="10"/>
  <c r="I48" i="10"/>
  <c r="J48" i="10" s="1"/>
  <c r="F48" i="10"/>
  <c r="S48" i="10"/>
  <c r="T48" i="10"/>
  <c r="C48" i="10"/>
  <c r="D48" i="10"/>
  <c r="E48" i="10"/>
  <c r="I49" i="10"/>
  <c r="J49" i="10" s="1"/>
  <c r="T49" i="10"/>
  <c r="S49" i="10"/>
  <c r="D49" i="10"/>
  <c r="C49" i="10"/>
  <c r="F49" i="10"/>
  <c r="K49" i="10"/>
  <c r="G49" i="10"/>
  <c r="R49" i="10"/>
  <c r="E49" i="10"/>
  <c r="D50" i="10"/>
  <c r="C50" i="10"/>
  <c r="K50" i="10"/>
  <c r="T50" i="10"/>
  <c r="I50" i="10"/>
  <c r="J50" i="10" s="1"/>
  <c r="S50" i="10"/>
  <c r="G50" i="10"/>
  <c r="R50" i="10"/>
  <c r="F50" i="10"/>
  <c r="E50" i="10"/>
  <c r="T51" i="10"/>
  <c r="K51" i="10"/>
  <c r="F51" i="10"/>
  <c r="G51" i="10"/>
  <c r="R51" i="10"/>
  <c r="D51" i="10"/>
  <c r="S51" i="10"/>
  <c r="I51" i="10"/>
  <c r="J51" i="10" s="1"/>
  <c r="C51" i="10"/>
  <c r="E51" i="10"/>
  <c r="G52" i="10"/>
  <c r="D52" i="10"/>
  <c r="R52" i="10"/>
  <c r="F52" i="10"/>
  <c r="K52" i="10"/>
  <c r="I52" i="10"/>
  <c r="S52" i="10"/>
  <c r="J52" i="10"/>
  <c r="C52" i="10"/>
  <c r="T52" i="10"/>
  <c r="E52" i="10"/>
  <c r="T53" i="10"/>
  <c r="K53" i="10"/>
  <c r="S53" i="10"/>
  <c r="C53" i="10"/>
  <c r="I53" i="10"/>
  <c r="J53" i="10" s="1"/>
  <c r="F53" i="10"/>
  <c r="D53" i="10"/>
  <c r="G53" i="10"/>
  <c r="R53" i="10"/>
  <c r="E53" i="10"/>
  <c r="S54" i="10"/>
  <c r="G54" i="10"/>
  <c r="C54" i="10"/>
  <c r="D54" i="10"/>
  <c r="R54" i="10"/>
  <c r="K54" i="10"/>
  <c r="I54" i="10"/>
  <c r="J54" i="10" s="1"/>
  <c r="F54" i="10"/>
  <c r="T54" i="10"/>
  <c r="E54" i="10"/>
  <c r="D55" i="10"/>
  <c r="C55" i="10"/>
  <c r="R55" i="10"/>
  <c r="S55" i="10"/>
  <c r="K55" i="10"/>
  <c r="E55" i="10"/>
  <c r="I55" i="10"/>
  <c r="J55" i="10" s="1"/>
  <c r="T55" i="10"/>
  <c r="F55" i="10"/>
  <c r="G55" i="10"/>
  <c r="F56" i="10"/>
  <c r="R56" i="10"/>
  <c r="S56" i="10"/>
  <c r="K56" i="10"/>
  <c r="T56" i="10"/>
  <c r="E56" i="10"/>
  <c r="I56" i="10"/>
  <c r="C56" i="10"/>
  <c r="J56" i="10"/>
  <c r="G56" i="10"/>
  <c r="D56" i="10"/>
  <c r="C57" i="10"/>
  <c r="E57" i="10"/>
  <c r="I57" i="10"/>
  <c r="G57" i="10"/>
  <c r="K57" i="10"/>
  <c r="F57" i="10"/>
  <c r="S57" i="10"/>
  <c r="T57" i="10"/>
  <c r="J57" i="10"/>
  <c r="R57" i="10"/>
  <c r="D57" i="10"/>
  <c r="C58" i="10"/>
  <c r="E58" i="10"/>
  <c r="R58" i="10"/>
  <c r="G58" i="10"/>
  <c r="K58" i="10"/>
  <c r="F58" i="10"/>
  <c r="I58" i="10"/>
  <c r="T58" i="10"/>
  <c r="S58" i="10"/>
  <c r="J58" i="10"/>
  <c r="D58" i="10"/>
  <c r="T59" i="10"/>
  <c r="K59" i="10"/>
  <c r="G59" i="10"/>
  <c r="E59" i="10"/>
  <c r="C59" i="10"/>
  <c r="F59" i="10"/>
  <c r="R59" i="10"/>
  <c r="D59" i="10"/>
  <c r="S59" i="10"/>
  <c r="I59" i="10"/>
  <c r="J59" i="10" s="1"/>
  <c r="K60" i="10"/>
  <c r="T60" i="10"/>
  <c r="I60" i="10"/>
  <c r="J60" i="10" s="1"/>
  <c r="D60" i="10"/>
  <c r="R60" i="10"/>
  <c r="C60" i="10"/>
  <c r="S60" i="10"/>
  <c r="F60" i="10"/>
  <c r="G60" i="10"/>
  <c r="E60" i="10"/>
  <c r="I61" i="10"/>
  <c r="R61" i="10"/>
  <c r="S61" i="10"/>
  <c r="F61" i="10"/>
  <c r="C61" i="10"/>
  <c r="E61" i="10"/>
  <c r="K61" i="10"/>
  <c r="J61" i="10"/>
  <c r="G61" i="10"/>
  <c r="D61" i="10"/>
  <c r="T61" i="10"/>
  <c r="S62" i="10"/>
  <c r="R62" i="10"/>
  <c r="G62" i="10"/>
  <c r="D62" i="10"/>
  <c r="F62" i="10"/>
  <c r="I62" i="10"/>
  <c r="J62" i="10" s="1"/>
  <c r="T62" i="10"/>
  <c r="K62" i="10"/>
  <c r="E62" i="10"/>
  <c r="C62" i="10"/>
  <c r="S63" i="10"/>
  <c r="D63" i="10"/>
  <c r="G63" i="10"/>
  <c r="K63" i="10"/>
  <c r="I63" i="10"/>
  <c r="F63" i="10"/>
  <c r="C63" i="10"/>
  <c r="E63" i="10"/>
  <c r="T63" i="10"/>
  <c r="J63" i="10"/>
  <c r="R63" i="10"/>
  <c r="R64" i="10"/>
  <c r="T64" i="10"/>
  <c r="S64" i="10"/>
  <c r="K64" i="10"/>
  <c r="D64" i="10"/>
  <c r="E64" i="10"/>
  <c r="G64" i="10"/>
  <c r="I64" i="10"/>
  <c r="J64" i="10" s="1"/>
  <c r="F64" i="10"/>
  <c r="C64" i="10"/>
  <c r="T65" i="10"/>
  <c r="E65" i="10"/>
  <c r="S65" i="10"/>
  <c r="K65" i="10"/>
  <c r="D65" i="10"/>
  <c r="G65" i="10"/>
  <c r="I65" i="10"/>
  <c r="J65" i="10"/>
  <c r="R65" i="10"/>
  <c r="F65" i="10"/>
  <c r="C65" i="10"/>
  <c r="I66" i="10"/>
  <c r="R66" i="10"/>
  <c r="K66" i="10"/>
  <c r="E66" i="10"/>
  <c r="G66" i="10"/>
  <c r="S66" i="10"/>
  <c r="J66" i="10"/>
  <c r="F66" i="10"/>
  <c r="D66" i="10"/>
  <c r="C66" i="10"/>
  <c r="T66" i="10"/>
  <c r="F67" i="10"/>
  <c r="I67" i="10"/>
  <c r="R67" i="10"/>
  <c r="G67" i="10"/>
  <c r="T67" i="10"/>
  <c r="K67" i="10"/>
  <c r="C67" i="10"/>
  <c r="S67" i="10"/>
  <c r="E67" i="10"/>
  <c r="J67" i="10"/>
  <c r="D67" i="10"/>
  <c r="F68" i="10"/>
  <c r="D68" i="10"/>
  <c r="C68" i="10"/>
  <c r="K68" i="10"/>
  <c r="T68" i="10"/>
  <c r="I68" i="10"/>
  <c r="S68" i="10"/>
  <c r="J68" i="10"/>
  <c r="E68" i="10"/>
  <c r="R68" i="10"/>
  <c r="G68" i="10"/>
  <c r="F69" i="10"/>
  <c r="C69" i="10"/>
  <c r="S69" i="10"/>
  <c r="R69" i="10"/>
  <c r="K69" i="10"/>
  <c r="I69" i="10"/>
  <c r="J69" i="10" s="1"/>
  <c r="T69" i="10"/>
  <c r="E69" i="10"/>
  <c r="D69" i="10"/>
  <c r="G69" i="10"/>
  <c r="F70" i="10"/>
  <c r="R70" i="10"/>
  <c r="I70" i="10"/>
  <c r="J70" i="10"/>
  <c r="T70" i="10"/>
  <c r="E70" i="10"/>
  <c r="K70" i="10"/>
  <c r="D70" i="10"/>
  <c r="G70" i="10"/>
  <c r="C70" i="10"/>
  <c r="S70" i="10"/>
  <c r="F71" i="10"/>
  <c r="T71" i="10"/>
  <c r="S71" i="10"/>
  <c r="K71" i="10"/>
  <c r="E71" i="10"/>
  <c r="G71" i="10"/>
  <c r="I71" i="10"/>
  <c r="J71" i="10" s="1"/>
  <c r="D71" i="10"/>
  <c r="R71" i="10"/>
  <c r="C71" i="10"/>
  <c r="C72" i="10"/>
  <c r="T72" i="10"/>
  <c r="K72" i="10"/>
  <c r="D72" i="10"/>
  <c r="E72" i="10"/>
  <c r="G72" i="10"/>
  <c r="S72" i="10"/>
  <c r="I72" i="10"/>
  <c r="J72" i="10" s="1"/>
  <c r="R72" i="10"/>
  <c r="F72" i="10"/>
  <c r="G73" i="10"/>
  <c r="F73" i="10"/>
  <c r="E73" i="10"/>
  <c r="I73" i="10"/>
  <c r="K73" i="10"/>
  <c r="T73" i="10"/>
  <c r="S73" i="10"/>
  <c r="R73" i="10"/>
  <c r="J73" i="10"/>
  <c r="D73" i="10"/>
  <c r="C73" i="10"/>
  <c r="I74" i="10"/>
  <c r="D74" i="10"/>
  <c r="G74" i="10"/>
  <c r="J74" i="10"/>
  <c r="K74" i="10"/>
  <c r="R74" i="10"/>
  <c r="T74" i="10"/>
  <c r="E74" i="10"/>
  <c r="F74" i="10"/>
  <c r="C74" i="10"/>
  <c r="S74" i="10"/>
  <c r="I75" i="10"/>
  <c r="T75" i="10"/>
  <c r="K75" i="10"/>
  <c r="S75" i="10"/>
  <c r="G75" i="10"/>
  <c r="R75" i="10"/>
  <c r="D75" i="10"/>
  <c r="C75" i="10"/>
  <c r="J75" i="10"/>
  <c r="F75" i="10"/>
  <c r="E75" i="10"/>
  <c r="T76" i="10"/>
  <c r="K76" i="10"/>
  <c r="G76" i="10"/>
  <c r="S76" i="10"/>
  <c r="R76" i="10"/>
  <c r="C76" i="10"/>
  <c r="E76" i="10"/>
  <c r="D76" i="10"/>
  <c r="F76" i="10"/>
  <c r="I76" i="10"/>
  <c r="J76" i="10" s="1"/>
  <c r="T77" i="10"/>
  <c r="K77" i="10"/>
  <c r="C77" i="10"/>
  <c r="E77" i="10"/>
  <c r="I77" i="10"/>
  <c r="J77" i="10" s="1"/>
  <c r="D77" i="10"/>
  <c r="S77" i="10"/>
  <c r="G77" i="10"/>
  <c r="F77" i="10"/>
  <c r="R77" i="10"/>
  <c r="T78" i="10"/>
  <c r="K78" i="10"/>
  <c r="F78" i="10"/>
  <c r="D78" i="10"/>
  <c r="S78" i="10"/>
  <c r="E78" i="10"/>
  <c r="I78" i="10"/>
  <c r="J78" i="10" s="1"/>
  <c r="C78" i="10"/>
  <c r="G78" i="10"/>
  <c r="R78" i="10"/>
  <c r="T79" i="10"/>
  <c r="R79" i="10"/>
  <c r="S79" i="10"/>
  <c r="I79" i="10"/>
  <c r="E79" i="10"/>
  <c r="C79" i="10"/>
  <c r="F79" i="10"/>
  <c r="D79" i="10"/>
  <c r="G79" i="10"/>
  <c r="J79" i="10"/>
  <c r="K79" i="10"/>
  <c r="T80" i="10"/>
  <c r="R80" i="10"/>
  <c r="C80" i="10"/>
  <c r="E80" i="10"/>
  <c r="S80" i="10"/>
  <c r="D80" i="10"/>
  <c r="K80" i="10"/>
  <c r="G80" i="10"/>
  <c r="F80" i="10"/>
  <c r="I80" i="10"/>
  <c r="J80" i="10" s="1"/>
  <c r="T81" i="10"/>
  <c r="C81" i="10"/>
  <c r="I81" i="10"/>
  <c r="K81" i="10"/>
  <c r="D81" i="10"/>
  <c r="F81" i="10"/>
  <c r="E81" i="10"/>
  <c r="G81" i="10"/>
  <c r="S81" i="10"/>
  <c r="J81" i="10"/>
  <c r="R81" i="10"/>
  <c r="T82" i="10"/>
  <c r="E82" i="10"/>
  <c r="S82" i="10"/>
  <c r="G82" i="10"/>
  <c r="K82" i="10"/>
  <c r="F82" i="10"/>
  <c r="R82" i="10"/>
  <c r="D82" i="10"/>
  <c r="I82" i="10"/>
  <c r="J82" i="10" s="1"/>
  <c r="C82" i="10"/>
  <c r="T83" i="10"/>
  <c r="K83" i="10"/>
  <c r="E83" i="10"/>
  <c r="I83" i="10"/>
  <c r="J83" i="10" s="1"/>
  <c r="S83" i="10"/>
  <c r="F83" i="10"/>
  <c r="R83" i="10"/>
  <c r="C83" i="10"/>
  <c r="G83" i="10"/>
  <c r="D83" i="10"/>
  <c r="T84" i="10"/>
  <c r="D84" i="10"/>
  <c r="C84" i="10"/>
  <c r="E84" i="10"/>
  <c r="S84" i="10"/>
  <c r="I84" i="10"/>
  <c r="J84" i="10" s="1"/>
  <c r="K84" i="10"/>
  <c r="R84" i="10"/>
  <c r="F84" i="10"/>
  <c r="G84" i="10"/>
  <c r="T85" i="10"/>
  <c r="K85" i="10"/>
  <c r="D85" i="10"/>
  <c r="G85" i="10"/>
  <c r="S85" i="10"/>
  <c r="F85" i="10"/>
  <c r="C85" i="10"/>
  <c r="E85" i="10"/>
  <c r="I85" i="10"/>
  <c r="R85" i="10"/>
  <c r="J85" i="10"/>
  <c r="T86" i="10"/>
  <c r="S86" i="10"/>
  <c r="E86" i="10"/>
  <c r="C86" i="10"/>
  <c r="G86" i="10"/>
  <c r="F86" i="10"/>
  <c r="R86" i="10"/>
  <c r="D86" i="10"/>
  <c r="I86" i="10"/>
  <c r="J86" i="10" s="1"/>
  <c r="K86" i="10"/>
  <c r="T87" i="10"/>
  <c r="F87" i="10"/>
  <c r="S87" i="10"/>
  <c r="D87" i="10"/>
  <c r="E87" i="10"/>
  <c r="K87" i="10"/>
  <c r="G87" i="10"/>
  <c r="C87" i="10"/>
  <c r="I87" i="10"/>
  <c r="J87" i="10" s="1"/>
  <c r="R87" i="10"/>
  <c r="T88" i="10"/>
  <c r="G88" i="10"/>
  <c r="C88" i="10"/>
  <c r="R88" i="10"/>
  <c r="D88" i="10"/>
  <c r="F88" i="10"/>
  <c r="I88" i="10"/>
  <c r="J88" i="10" s="1"/>
  <c r="K88" i="10"/>
  <c r="S88" i="10"/>
  <c r="E88" i="10"/>
  <c r="T89" i="10"/>
  <c r="E89" i="10"/>
  <c r="I89" i="10"/>
  <c r="G89" i="10"/>
  <c r="K89" i="10"/>
  <c r="R89" i="10"/>
  <c r="J89" i="10"/>
  <c r="S89" i="10"/>
  <c r="C89" i="10"/>
  <c r="F89" i="10"/>
  <c r="D89" i="10"/>
  <c r="E90" i="10"/>
  <c r="R90" i="10"/>
  <c r="I90" i="10"/>
  <c r="J90" i="10" s="1"/>
  <c r="T90" i="10"/>
  <c r="G90" i="10"/>
  <c r="D90" i="10"/>
  <c r="C90" i="10"/>
  <c r="F90" i="10"/>
  <c r="S90" i="10"/>
  <c r="K90" i="10"/>
  <c r="I91" i="10"/>
  <c r="S91" i="10"/>
  <c r="G91" i="10"/>
  <c r="J91" i="10"/>
  <c r="F91" i="10"/>
  <c r="C91" i="10"/>
  <c r="T91" i="10"/>
  <c r="D91" i="10"/>
  <c r="E91" i="10"/>
  <c r="K91" i="10"/>
  <c r="R91" i="10"/>
  <c r="R92" i="10"/>
  <c r="F92" i="10"/>
  <c r="C92" i="10"/>
  <c r="G92" i="10"/>
  <c r="T92" i="10"/>
  <c r="I92" i="10"/>
  <c r="J92" i="10" s="1"/>
  <c r="E92" i="10"/>
  <c r="D92" i="10"/>
  <c r="S92" i="10"/>
  <c r="K92" i="10"/>
  <c r="T93" i="10"/>
  <c r="G93" i="10"/>
  <c r="K93" i="10"/>
  <c r="D93" i="10"/>
  <c r="I93" i="10"/>
  <c r="J93" i="10" s="1"/>
  <c r="E93" i="10"/>
  <c r="S93" i="10"/>
  <c r="C93" i="10"/>
  <c r="R93" i="10"/>
  <c r="F93" i="10"/>
  <c r="T94" i="10"/>
  <c r="R94" i="10"/>
  <c r="D94" i="10"/>
  <c r="K94" i="10"/>
  <c r="C94" i="10"/>
  <c r="F94" i="10"/>
  <c r="I94" i="10"/>
  <c r="J94" i="10" s="1"/>
  <c r="G94" i="10"/>
  <c r="S94" i="10"/>
  <c r="E94" i="10"/>
  <c r="T95" i="10"/>
  <c r="R95" i="10"/>
  <c r="C95" i="10"/>
  <c r="K95" i="10"/>
  <c r="G95" i="10"/>
  <c r="F95" i="10"/>
  <c r="I95" i="10"/>
  <c r="J95" i="10" s="1"/>
  <c r="D95" i="10"/>
  <c r="E95" i="10"/>
  <c r="S95" i="10"/>
  <c r="I96" i="10"/>
  <c r="R96" i="10"/>
  <c r="J96" i="10"/>
  <c r="T96" i="10"/>
  <c r="G96" i="10"/>
  <c r="F96" i="10"/>
  <c r="E96" i="10"/>
  <c r="K96" i="10"/>
  <c r="D96" i="10"/>
  <c r="C96" i="10"/>
  <c r="S96" i="10"/>
  <c r="R97" i="10"/>
  <c r="C97" i="10"/>
  <c r="G97" i="10"/>
  <c r="D97" i="10"/>
  <c r="E97" i="10"/>
  <c r="K97" i="10"/>
  <c r="F97" i="10"/>
  <c r="I97" i="10"/>
  <c r="T97" i="10"/>
  <c r="J97" i="10"/>
  <c r="S97" i="10"/>
  <c r="T98" i="10"/>
  <c r="R98" i="10"/>
  <c r="D98" i="10"/>
  <c r="I98" i="10"/>
  <c r="K98" i="10"/>
  <c r="F98" i="10"/>
  <c r="S98" i="10"/>
  <c r="G98" i="10"/>
  <c r="J98" i="10"/>
  <c r="E98" i="10"/>
  <c r="C98" i="10"/>
  <c r="T99" i="10"/>
  <c r="D99" i="10"/>
  <c r="I99" i="10"/>
  <c r="K99" i="10"/>
  <c r="R99" i="10"/>
  <c r="J99" i="10"/>
  <c r="E99" i="10"/>
  <c r="G99" i="10"/>
  <c r="S99" i="10"/>
  <c r="F99" i="10"/>
  <c r="C99" i="10"/>
  <c r="T100" i="10"/>
  <c r="S100" i="10"/>
  <c r="K100" i="10"/>
  <c r="D100" i="10"/>
  <c r="E100" i="10"/>
  <c r="C100" i="10"/>
  <c r="F100" i="10"/>
  <c r="I100" i="10"/>
  <c r="G100" i="10"/>
  <c r="J100" i="10"/>
  <c r="R100" i="10"/>
  <c r="C101" i="10"/>
  <c r="K101" i="10"/>
  <c r="D101" i="10"/>
  <c r="T101" i="10"/>
  <c r="I101" i="10"/>
  <c r="S101" i="10"/>
  <c r="G101" i="10"/>
  <c r="J101" i="10"/>
  <c r="R101" i="10"/>
  <c r="E101" i="10"/>
  <c r="F101" i="10"/>
  <c r="K102" i="10"/>
  <c r="T102" i="10"/>
  <c r="F102" i="10"/>
  <c r="S102" i="10"/>
  <c r="D102" i="10"/>
  <c r="G102" i="10"/>
  <c r="E102" i="10"/>
  <c r="C102" i="10"/>
  <c r="I102" i="10"/>
  <c r="J102" i="10" s="1"/>
  <c r="R102" i="10"/>
  <c r="F103" i="10"/>
  <c r="K103" i="10"/>
  <c r="S103" i="10"/>
  <c r="E103" i="10"/>
  <c r="I103" i="10"/>
  <c r="J103" i="10"/>
  <c r="C103" i="10"/>
  <c r="R103" i="10"/>
  <c r="G103" i="10"/>
  <c r="D103" i="10"/>
  <c r="T103" i="10"/>
  <c r="C104" i="10"/>
  <c r="R104" i="10"/>
  <c r="E104" i="10"/>
  <c r="G104" i="10"/>
  <c r="F104" i="10"/>
  <c r="D104" i="10"/>
  <c r="T104" i="10"/>
  <c r="I104" i="10"/>
  <c r="J104" i="10" s="1"/>
  <c r="K104" i="10"/>
  <c r="S104" i="10"/>
  <c r="E105" i="10"/>
  <c r="G105" i="10"/>
  <c r="D105" i="10"/>
  <c r="F105" i="10"/>
  <c r="I105" i="10"/>
  <c r="J105" i="10" s="1"/>
  <c r="K105" i="10"/>
  <c r="C105" i="10"/>
  <c r="R105" i="10"/>
  <c r="T105" i="10"/>
  <c r="S105" i="10"/>
  <c r="R106" i="10"/>
  <c r="G106" i="10"/>
  <c r="D106" i="10"/>
  <c r="C106" i="10"/>
  <c r="T106" i="10"/>
  <c r="F106" i="10"/>
  <c r="S106" i="10"/>
  <c r="I106" i="10"/>
  <c r="J106" i="10" s="1"/>
  <c r="K106" i="10"/>
  <c r="E106" i="10"/>
  <c r="S107" i="10"/>
  <c r="R107" i="10"/>
  <c r="K107" i="10"/>
  <c r="D107" i="10"/>
  <c r="C107" i="10"/>
  <c r="I107" i="10"/>
  <c r="T107" i="10"/>
  <c r="E107" i="10"/>
  <c r="J107" i="10"/>
  <c r="G107" i="10"/>
  <c r="F107" i="10"/>
  <c r="C108" i="10"/>
  <c r="G108" i="10"/>
  <c r="D108" i="10"/>
  <c r="R108" i="10"/>
  <c r="K108" i="10"/>
  <c r="T108" i="10"/>
  <c r="E108" i="10"/>
  <c r="I108" i="10"/>
  <c r="J108" i="10"/>
  <c r="F108" i="10"/>
  <c r="S108" i="10"/>
  <c r="D109" i="10"/>
  <c r="C109" i="10"/>
  <c r="G109" i="10"/>
  <c r="R109" i="10"/>
  <c r="S109" i="10"/>
  <c r="I109" i="10"/>
  <c r="T109" i="10"/>
  <c r="E109" i="10"/>
  <c r="K109" i="10"/>
  <c r="F109" i="10"/>
  <c r="J109" i="10"/>
  <c r="T110" i="10"/>
  <c r="E110" i="10"/>
  <c r="I110" i="10"/>
  <c r="J110" i="10"/>
  <c r="S110" i="10"/>
  <c r="F110" i="10"/>
  <c r="C110" i="10"/>
  <c r="D110" i="10"/>
  <c r="G110" i="10"/>
  <c r="K110" i="10"/>
  <c r="R110" i="10"/>
  <c r="T111" i="10"/>
  <c r="S111" i="10"/>
  <c r="D111" i="10"/>
  <c r="K111" i="10"/>
  <c r="C111" i="10"/>
  <c r="G111" i="10"/>
  <c r="E111" i="10"/>
  <c r="F111" i="10"/>
  <c r="R111" i="10"/>
  <c r="I111" i="10"/>
  <c r="J111" i="10" s="1"/>
  <c r="T112" i="10"/>
  <c r="S112" i="10"/>
  <c r="K112" i="10"/>
  <c r="C112" i="10"/>
  <c r="G112" i="10"/>
  <c r="R112" i="10"/>
  <c r="E112" i="10"/>
  <c r="D112" i="10"/>
  <c r="F112" i="10"/>
  <c r="I112" i="10"/>
  <c r="J112" i="10" s="1"/>
  <c r="T113" i="10"/>
  <c r="D113" i="10"/>
  <c r="K113" i="10"/>
  <c r="I113" i="10"/>
  <c r="S113" i="10"/>
  <c r="J113" i="10"/>
  <c r="G113" i="10"/>
  <c r="R113" i="10"/>
  <c r="F113" i="10"/>
  <c r="E113" i="10"/>
  <c r="C113" i="10"/>
  <c r="T114" i="10"/>
  <c r="I114" i="10"/>
  <c r="C114" i="10"/>
  <c r="K114" i="10"/>
  <c r="S114" i="10"/>
  <c r="G114" i="10"/>
  <c r="F114" i="10"/>
  <c r="D114" i="10"/>
  <c r="R114" i="10"/>
  <c r="E114" i="10"/>
  <c r="J114" i="10"/>
  <c r="T115" i="10"/>
  <c r="R115" i="10"/>
  <c r="D115" i="10"/>
  <c r="G115" i="10"/>
  <c r="F115" i="10"/>
  <c r="E115" i="10"/>
  <c r="I115" i="10"/>
  <c r="J115" i="10" s="1"/>
  <c r="C115" i="10"/>
  <c r="S115" i="10"/>
  <c r="K115" i="10"/>
  <c r="T116" i="10"/>
  <c r="I116" i="10"/>
  <c r="D116" i="10"/>
  <c r="R116" i="10"/>
  <c r="F116" i="10"/>
  <c r="C116" i="10"/>
  <c r="G116" i="10"/>
  <c r="J116" i="10"/>
  <c r="S116" i="10"/>
  <c r="E116" i="10"/>
  <c r="K116" i="10"/>
  <c r="T117" i="10"/>
  <c r="E117" i="10"/>
  <c r="I117" i="10"/>
  <c r="S117" i="10"/>
  <c r="G117" i="10"/>
  <c r="C117" i="10"/>
  <c r="D117" i="10"/>
  <c r="F117" i="10"/>
  <c r="R117" i="10"/>
  <c r="K117" i="10"/>
  <c r="J117" i="10"/>
  <c r="T118" i="10"/>
  <c r="K118" i="10"/>
  <c r="I118" i="10"/>
  <c r="J118" i="10" s="1"/>
  <c r="E118" i="10"/>
  <c r="C118" i="10"/>
  <c r="S118" i="10"/>
  <c r="G118" i="10"/>
  <c r="F118" i="10"/>
  <c r="D118" i="10"/>
  <c r="R118" i="10"/>
  <c r="T119" i="10"/>
  <c r="D119" i="10"/>
  <c r="R119" i="10"/>
  <c r="G119" i="10"/>
  <c r="E119" i="10"/>
  <c r="F119" i="10"/>
  <c r="K119" i="10"/>
  <c r="C119" i="10"/>
  <c r="S119" i="10"/>
  <c r="I119" i="10"/>
  <c r="J119" i="10" s="1"/>
  <c r="T120" i="10"/>
  <c r="G120" i="10"/>
  <c r="E120" i="10"/>
  <c r="F120" i="10"/>
  <c r="C120" i="10"/>
  <c r="S120" i="10"/>
  <c r="D120" i="10"/>
  <c r="R120" i="10"/>
  <c r="I120" i="10"/>
  <c r="J120" i="10" s="1"/>
  <c r="K120" i="10"/>
  <c r="G121" i="10"/>
  <c r="K121" i="10"/>
  <c r="E121" i="10"/>
  <c r="F121" i="10"/>
  <c r="T121" i="10"/>
  <c r="C121" i="10"/>
  <c r="S121" i="10"/>
  <c r="I121" i="10"/>
  <c r="J121" i="10" s="1"/>
  <c r="D121" i="10"/>
  <c r="R121" i="10"/>
  <c r="S122" i="10"/>
  <c r="F122" i="10"/>
  <c r="E122" i="10"/>
  <c r="D122" i="10"/>
  <c r="C122" i="10"/>
  <c r="K122" i="10"/>
  <c r="T122" i="10"/>
  <c r="R122" i="10"/>
  <c r="G122" i="10"/>
  <c r="I122" i="10"/>
  <c r="J122" i="10" s="1"/>
  <c r="T123" i="10"/>
  <c r="G123" i="10"/>
  <c r="R123" i="10"/>
  <c r="F123" i="10"/>
  <c r="S123" i="10"/>
  <c r="D123" i="10"/>
  <c r="C123" i="10"/>
  <c r="E123" i="10"/>
  <c r="I123" i="10"/>
  <c r="J123" i="10" s="1"/>
  <c r="K123" i="10"/>
  <c r="T124" i="10"/>
  <c r="C124" i="10"/>
  <c r="G124" i="10"/>
  <c r="D124" i="10"/>
  <c r="E124" i="10"/>
  <c r="S124" i="10"/>
  <c r="F124" i="10"/>
  <c r="R124" i="10"/>
  <c r="I124" i="10"/>
  <c r="J124" i="10" s="1"/>
  <c r="K124" i="10"/>
  <c r="T125" i="10"/>
  <c r="S125" i="10"/>
  <c r="F125" i="10"/>
  <c r="C125" i="10"/>
  <c r="D125" i="10"/>
  <c r="G125" i="10"/>
  <c r="E125" i="10"/>
  <c r="R125" i="10"/>
  <c r="K125" i="10"/>
  <c r="I125" i="10"/>
  <c r="J125" i="10" s="1"/>
  <c r="T126" i="10"/>
  <c r="C126" i="10"/>
  <c r="G126" i="10"/>
  <c r="R126" i="10"/>
  <c r="D126" i="10"/>
  <c r="F126" i="10"/>
  <c r="E126" i="10"/>
  <c r="K126" i="10"/>
  <c r="S126" i="10"/>
  <c r="I126" i="10"/>
  <c r="J126" i="10" s="1"/>
  <c r="T127" i="10"/>
  <c r="S127" i="10"/>
  <c r="K127" i="10"/>
  <c r="R127" i="10"/>
  <c r="F127" i="10"/>
  <c r="I127" i="10"/>
  <c r="J127" i="10" s="1"/>
  <c r="G127" i="10"/>
  <c r="D127" i="10"/>
  <c r="E127" i="10"/>
  <c r="C127" i="10"/>
  <c r="S128" i="10"/>
  <c r="E128" i="10"/>
  <c r="I128" i="10"/>
  <c r="R128" i="10"/>
  <c r="G128" i="10"/>
  <c r="J128" i="10"/>
  <c r="D128" i="10"/>
  <c r="F128" i="10"/>
  <c r="K128" i="10"/>
  <c r="T128" i="10"/>
  <c r="C128" i="10"/>
  <c r="D129" i="10"/>
  <c r="C129" i="10"/>
  <c r="F129" i="10"/>
  <c r="E129" i="10"/>
  <c r="T129" i="10"/>
  <c r="S129" i="10"/>
  <c r="R129" i="10"/>
  <c r="K129" i="10"/>
  <c r="I129" i="10"/>
  <c r="J129" i="10" s="1"/>
  <c r="G129" i="10"/>
  <c r="R130" i="10"/>
  <c r="K130" i="10"/>
  <c r="D130" i="10"/>
  <c r="E130" i="10"/>
  <c r="T130" i="10"/>
  <c r="I130" i="10"/>
  <c r="G130" i="10"/>
  <c r="J130" i="10"/>
  <c r="C130" i="10"/>
  <c r="F130" i="10"/>
  <c r="S130" i="10"/>
  <c r="D131" i="10"/>
  <c r="R131" i="10"/>
  <c r="C131" i="10"/>
  <c r="S131" i="10"/>
  <c r="T131" i="10"/>
  <c r="I131" i="10"/>
  <c r="G131" i="10"/>
  <c r="E131" i="10"/>
  <c r="F131" i="10"/>
  <c r="J131" i="10"/>
  <c r="K131" i="10"/>
  <c r="G132" i="10"/>
  <c r="I132" i="10"/>
  <c r="J132" i="10"/>
  <c r="T132" i="10"/>
  <c r="S132" i="10"/>
  <c r="E132" i="10"/>
  <c r="D132" i="10"/>
  <c r="K132" i="10"/>
  <c r="R132" i="10"/>
  <c r="F132" i="10"/>
  <c r="C132" i="10"/>
  <c r="G133" i="10"/>
  <c r="I133" i="10"/>
  <c r="J133" i="10"/>
  <c r="T133" i="10"/>
  <c r="R133" i="10"/>
  <c r="S133" i="10"/>
  <c r="E133" i="10"/>
  <c r="D133" i="10"/>
  <c r="K133" i="10"/>
  <c r="F133" i="10"/>
  <c r="C133" i="10"/>
  <c r="E63" i="7"/>
  <c r="E62" i="7"/>
  <c r="E61" i="7"/>
  <c r="H47" i="7"/>
  <c r="C47" i="7"/>
  <c r="H46" i="7"/>
  <c r="C46" i="7"/>
  <c r="H45" i="7"/>
  <c r="C45" i="7"/>
  <c r="AX3" i="6"/>
  <c r="F3" i="6"/>
  <c r="C3" i="6"/>
  <c r="D3" i="6" s="1"/>
  <c r="E3" i="6" s="1"/>
  <c r="AB3" i="6"/>
  <c r="F4" i="6"/>
  <c r="AX4" i="6"/>
  <c r="AB4" i="6"/>
  <c r="C4" i="6"/>
  <c r="D4" i="6" s="1"/>
  <c r="E4" i="6" s="1"/>
  <c r="C5" i="6"/>
  <c r="D5" i="6" s="1"/>
  <c r="E5" i="6" s="1"/>
  <c r="AB5" i="6"/>
  <c r="AX5" i="6"/>
  <c r="F5" i="6"/>
  <c r="C6" i="6"/>
  <c r="D6" i="6" s="1"/>
  <c r="E6" i="6" s="1"/>
  <c r="F6" i="6"/>
  <c r="AB6" i="6"/>
  <c r="AX6" i="6"/>
  <c r="AX7" i="6"/>
  <c r="AB7" i="6"/>
  <c r="C7" i="6"/>
  <c r="D7" i="6" s="1"/>
  <c r="E7" i="6" s="1"/>
  <c r="F7" i="6"/>
  <c r="C8" i="6"/>
  <c r="D8" i="6" s="1"/>
  <c r="E8" i="6" s="1"/>
  <c r="F8" i="6"/>
  <c r="AB8" i="6"/>
  <c r="AX8" i="6"/>
  <c r="AX9" i="6"/>
  <c r="AB9" i="6"/>
  <c r="F9" i="6"/>
  <c r="C9" i="6"/>
  <c r="D9" i="6" s="1"/>
  <c r="E9" i="6" s="1"/>
  <c r="AX10" i="6"/>
  <c r="AB10" i="6"/>
  <c r="F10" i="6"/>
  <c r="C10" i="6"/>
  <c r="D10" i="6" s="1"/>
  <c r="E10" i="6" s="1"/>
  <c r="F11" i="6"/>
  <c r="AX11" i="6"/>
  <c r="AB11" i="6"/>
  <c r="C11" i="6"/>
  <c r="D11" i="6" s="1"/>
  <c r="E11" i="6" s="1"/>
  <c r="AB12" i="6"/>
  <c r="AX12" i="6"/>
  <c r="F12" i="6"/>
  <c r="C12" i="6"/>
  <c r="D12" i="6" s="1"/>
  <c r="E12" i="6" s="1"/>
  <c r="AX13" i="6"/>
  <c r="AB13" i="6"/>
  <c r="C13" i="6"/>
  <c r="D13" i="6" s="1"/>
  <c r="E13" i="6" s="1"/>
  <c r="F13" i="6"/>
  <c r="F14" i="6"/>
  <c r="AB14" i="6"/>
  <c r="AX14" i="6"/>
  <c r="C14" i="6"/>
  <c r="D14" i="6" s="1"/>
  <c r="E14" i="6" s="1"/>
  <c r="AB15" i="6"/>
  <c r="F15" i="6"/>
  <c r="AX15" i="6"/>
  <c r="C15" i="6"/>
  <c r="D15" i="6" s="1"/>
  <c r="E15" i="6" s="1"/>
  <c r="AX16" i="6"/>
  <c r="F16" i="6"/>
  <c r="AB16" i="6"/>
  <c r="C16" i="6"/>
  <c r="D16" i="6" s="1"/>
  <c r="E16" i="6" s="1"/>
  <c r="AB17" i="6"/>
  <c r="F17" i="6"/>
  <c r="AX17" i="6"/>
  <c r="C17" i="6"/>
  <c r="D17" i="6" s="1"/>
  <c r="E17" i="6" s="1"/>
  <c r="AB18" i="6"/>
  <c r="F18" i="6"/>
  <c r="AX18" i="6"/>
  <c r="C18" i="6"/>
  <c r="D18" i="6" s="1"/>
  <c r="E18" i="6" s="1"/>
  <c r="AX19" i="6"/>
  <c r="AB19" i="6"/>
  <c r="F19" i="6"/>
  <c r="C19" i="6"/>
  <c r="D19" i="6" s="1"/>
  <c r="E19" i="6" s="1"/>
  <c r="AX20" i="6"/>
  <c r="F20" i="6"/>
  <c r="AB20" i="6"/>
  <c r="C20" i="6"/>
  <c r="D20" i="6" s="1"/>
  <c r="E20" i="6" s="1"/>
  <c r="AB21" i="6"/>
  <c r="AX21" i="6"/>
  <c r="C21" i="6"/>
  <c r="D21" i="6" s="1"/>
  <c r="E21" i="6" s="1"/>
  <c r="F21" i="6"/>
  <c r="AX22" i="6"/>
  <c r="F22" i="6"/>
  <c r="C22" i="6"/>
  <c r="D22" i="6" s="1"/>
  <c r="E22" i="6" s="1"/>
  <c r="AB22" i="6"/>
  <c r="C23" i="6"/>
  <c r="D23" i="6" s="1"/>
  <c r="E23" i="6" s="1"/>
  <c r="F23" i="6"/>
  <c r="AB23" i="6"/>
  <c r="AX23" i="6"/>
  <c r="C24" i="6"/>
  <c r="D24" i="6" s="1"/>
  <c r="E24" i="6" s="1"/>
  <c r="AB24" i="6"/>
  <c r="F24" i="6"/>
  <c r="AX24" i="6"/>
  <c r="AX25" i="6"/>
  <c r="AB25" i="6"/>
  <c r="F25" i="6"/>
  <c r="C25" i="6"/>
  <c r="D25" i="6" s="1"/>
  <c r="E25" i="6" s="1"/>
  <c r="AX26" i="6"/>
  <c r="F26" i="6"/>
  <c r="AB26" i="6"/>
  <c r="C26" i="6"/>
  <c r="D26" i="6" s="1"/>
  <c r="E26" i="6" s="1"/>
  <c r="AX27" i="6"/>
  <c r="F27" i="6"/>
  <c r="AB27" i="6"/>
  <c r="C27" i="6"/>
  <c r="D27" i="6" s="1"/>
  <c r="E27" i="6" s="1"/>
  <c r="F28" i="6"/>
  <c r="AB28" i="6"/>
  <c r="AX28" i="6"/>
  <c r="C28" i="6"/>
  <c r="D28" i="6" s="1"/>
  <c r="E28" i="6" s="1"/>
  <c r="F29" i="6"/>
  <c r="AX29" i="6"/>
  <c r="C29" i="6"/>
  <c r="D29" i="6" s="1"/>
  <c r="E29" i="6" s="1"/>
  <c r="AB29" i="6"/>
  <c r="C30" i="6"/>
  <c r="D30" i="6" s="1"/>
  <c r="E30" i="6" s="1"/>
  <c r="AB30" i="6"/>
  <c r="F30" i="6"/>
  <c r="AX30" i="6"/>
  <c r="AB31" i="6"/>
  <c r="C31" i="6"/>
  <c r="D31" i="6" s="1"/>
  <c r="E31" i="6" s="1"/>
  <c r="F31" i="6"/>
  <c r="AX31" i="6"/>
  <c r="AB32" i="6"/>
  <c r="C32" i="6"/>
  <c r="D32" i="6" s="1"/>
  <c r="E32" i="6" s="1"/>
  <c r="F32" i="6"/>
  <c r="AX32" i="6"/>
  <c r="AB33" i="6"/>
  <c r="C33" i="6"/>
  <c r="D33" i="6" s="1"/>
  <c r="E33" i="6" s="1"/>
  <c r="AX33" i="6"/>
  <c r="F33" i="6"/>
  <c r="AB34" i="6"/>
  <c r="C34" i="6"/>
  <c r="D34" i="6" s="1"/>
  <c r="E34" i="6" s="1"/>
  <c r="F34" i="6"/>
  <c r="AX34" i="6"/>
  <c r="C35" i="6"/>
  <c r="D35" i="6" s="1"/>
  <c r="E35" i="6" s="1"/>
  <c r="AB35" i="6"/>
  <c r="F35" i="6"/>
  <c r="AX35" i="6"/>
  <c r="F36" i="6"/>
  <c r="AB36" i="6"/>
  <c r="AX36" i="6"/>
  <c r="C36" i="6"/>
  <c r="D36" i="6" s="1"/>
  <c r="E36" i="6" s="1"/>
  <c r="F37" i="6"/>
  <c r="AX37" i="6"/>
  <c r="AB37" i="6"/>
  <c r="C37" i="6"/>
  <c r="D37" i="6" s="1"/>
  <c r="E37" i="6" s="1"/>
  <c r="AB38" i="6"/>
  <c r="F38" i="6"/>
  <c r="AX38" i="6"/>
  <c r="C38" i="6"/>
  <c r="D38" i="6" s="1"/>
  <c r="E38" i="6" s="1"/>
  <c r="AX39" i="6"/>
  <c r="AB39" i="6"/>
  <c r="F39" i="6"/>
  <c r="C39" i="6"/>
  <c r="D39" i="6" s="1"/>
  <c r="E39" i="6" s="1"/>
  <c r="F40" i="6"/>
  <c r="C40" i="6"/>
  <c r="D40" i="6" s="1"/>
  <c r="E40" i="6" s="1"/>
  <c r="AX40" i="6"/>
  <c r="AB40" i="6"/>
  <c r="AB41" i="6"/>
  <c r="F41" i="6"/>
  <c r="C41" i="6"/>
  <c r="D41" i="6" s="1"/>
  <c r="E41" i="6" s="1"/>
  <c r="AX41" i="6"/>
  <c r="AB42" i="6"/>
  <c r="AX42" i="6"/>
  <c r="C42" i="6"/>
  <c r="D42" i="6" s="1"/>
  <c r="E42" i="6" s="1"/>
  <c r="F42" i="6"/>
  <c r="AB43" i="6"/>
  <c r="F43" i="6"/>
  <c r="AX43" i="6"/>
  <c r="C43" i="6"/>
  <c r="D43" i="6" s="1"/>
  <c r="E43" i="6" s="1"/>
  <c r="AB44" i="6"/>
  <c r="AX44" i="6"/>
  <c r="F44" i="6"/>
  <c r="C44" i="6"/>
  <c r="D44" i="6" s="1"/>
  <c r="E44" i="6" s="1"/>
  <c r="AB45" i="6"/>
  <c r="F45" i="6"/>
  <c r="AX45" i="6"/>
  <c r="C45" i="6"/>
  <c r="D45" i="6" s="1"/>
  <c r="E45" i="6" s="1"/>
  <c r="AB46" i="6"/>
  <c r="F46" i="6"/>
  <c r="AX46" i="6"/>
  <c r="C46" i="6"/>
  <c r="D46" i="6" s="1"/>
  <c r="E46" i="6" s="1"/>
  <c r="F47" i="6"/>
  <c r="AX47" i="6"/>
  <c r="AB47" i="6"/>
  <c r="C47" i="6"/>
  <c r="D47" i="6" s="1"/>
  <c r="E47" i="6" s="1"/>
  <c r="AB48" i="6"/>
  <c r="AX48" i="6"/>
  <c r="F48" i="6"/>
  <c r="C48" i="6"/>
  <c r="D48" i="6" s="1"/>
  <c r="E48" i="6" s="1"/>
  <c r="AX49" i="6"/>
  <c r="AB49" i="6"/>
  <c r="F49" i="6"/>
  <c r="C49" i="6"/>
  <c r="D49" i="6" s="1"/>
  <c r="E49" i="6" s="1"/>
  <c r="AX50" i="6"/>
  <c r="C50" i="6"/>
  <c r="D50" i="6" s="1"/>
  <c r="E50" i="6" s="1"/>
  <c r="F50" i="6"/>
  <c r="AB50" i="6"/>
  <c r="C51" i="6"/>
  <c r="D51" i="6" s="1"/>
  <c r="AB51" i="6"/>
  <c r="F51" i="6"/>
  <c r="AX51" i="6"/>
  <c r="E51" i="6"/>
  <c r="F52" i="6"/>
  <c r="AB52" i="6"/>
  <c r="AX52" i="6"/>
  <c r="C52" i="6"/>
  <c r="D52" i="6" s="1"/>
  <c r="E52" i="6" s="1"/>
  <c r="AB53" i="6"/>
  <c r="C53" i="6"/>
  <c r="D53" i="6" s="1"/>
  <c r="F53" i="6"/>
  <c r="AX53" i="6"/>
  <c r="E53" i="6"/>
  <c r="AB54" i="6"/>
  <c r="AX54" i="6"/>
  <c r="F54" i="6"/>
  <c r="C54" i="6"/>
  <c r="D54" i="6" s="1"/>
  <c r="E54" i="6" s="1"/>
  <c r="AB55" i="6"/>
  <c r="AX55" i="6"/>
  <c r="F55" i="6"/>
  <c r="C55" i="6"/>
  <c r="D55" i="6" s="1"/>
  <c r="E55" i="6" s="1"/>
  <c r="AX56" i="6"/>
  <c r="AB56" i="6"/>
  <c r="F56" i="6"/>
  <c r="C56" i="6"/>
  <c r="D56" i="6" s="1"/>
  <c r="E56" i="6" s="1"/>
  <c r="AX57" i="6"/>
  <c r="F57" i="6"/>
  <c r="AB57" i="6"/>
  <c r="C57" i="6"/>
  <c r="D57" i="6" s="1"/>
  <c r="E57" i="6" s="1"/>
  <c r="AX58" i="6"/>
  <c r="AB58" i="6"/>
  <c r="C58" i="6"/>
  <c r="D58" i="6" s="1"/>
  <c r="E58" i="6" s="1"/>
  <c r="F58" i="6"/>
  <c r="F59" i="6"/>
  <c r="AB59" i="6"/>
  <c r="AX59" i="6"/>
  <c r="C59" i="6"/>
  <c r="D59" i="6" s="1"/>
  <c r="E59" i="6" s="1"/>
  <c r="AB60" i="6"/>
  <c r="F60" i="6"/>
  <c r="AX60" i="6"/>
  <c r="C60" i="6"/>
  <c r="D60" i="6" s="1"/>
  <c r="E60" i="6" s="1"/>
  <c r="F61" i="6"/>
  <c r="AB61" i="6"/>
  <c r="AX61" i="6"/>
  <c r="C61" i="6"/>
  <c r="D61" i="6" s="1"/>
  <c r="E61" i="6" s="1"/>
  <c r="AB62" i="6"/>
  <c r="F62" i="6"/>
  <c r="AX62" i="6"/>
  <c r="C62" i="6"/>
  <c r="D62" i="6" s="1"/>
  <c r="E62" i="6" s="1"/>
  <c r="AX63" i="6"/>
  <c r="AB63" i="6"/>
  <c r="F63" i="6"/>
  <c r="C63" i="6"/>
  <c r="D63" i="6" s="1"/>
  <c r="E63" i="6" s="1"/>
  <c r="F64" i="6"/>
  <c r="AB64" i="6"/>
  <c r="C64" i="6"/>
  <c r="D64" i="6" s="1"/>
  <c r="E64" i="6" s="1"/>
  <c r="AX64" i="6"/>
  <c r="F65" i="6"/>
  <c r="AX65" i="6"/>
  <c r="C65" i="6"/>
  <c r="D65" i="6" s="1"/>
  <c r="E65" i="6" s="1"/>
  <c r="AB65" i="6"/>
  <c r="C66" i="6"/>
  <c r="D66" i="6" s="1"/>
  <c r="E66" i="6" s="1"/>
  <c r="F66" i="6"/>
  <c r="AX66" i="6"/>
  <c r="AB66" i="6"/>
  <c r="F67" i="6"/>
  <c r="C67" i="6"/>
  <c r="D67" i="6" s="1"/>
  <c r="E67" i="6" s="1"/>
  <c r="AB67" i="6"/>
  <c r="AX67" i="6"/>
  <c r="AB68" i="6"/>
  <c r="F68" i="6"/>
  <c r="AX68" i="6"/>
  <c r="C68" i="6"/>
  <c r="D68" i="6" s="1"/>
  <c r="E68" i="6" s="1"/>
  <c r="AB69" i="6"/>
  <c r="F69" i="6"/>
  <c r="AX69" i="6"/>
  <c r="C69" i="6"/>
  <c r="D69" i="6" s="1"/>
  <c r="E69" i="6" s="1"/>
  <c r="AB70" i="6"/>
  <c r="AX70" i="6"/>
  <c r="F70" i="6"/>
  <c r="C70" i="6"/>
  <c r="D70" i="6" s="1"/>
  <c r="E70" i="6" s="1"/>
  <c r="AB71" i="6"/>
  <c r="F71" i="6"/>
  <c r="AX71" i="6"/>
  <c r="C71" i="6"/>
  <c r="D71" i="6" s="1"/>
  <c r="E71" i="6" s="1"/>
  <c r="AB72" i="6"/>
  <c r="AX72" i="6"/>
  <c r="F72" i="6"/>
  <c r="C72" i="6"/>
  <c r="D72" i="6" s="1"/>
  <c r="E72" i="6" s="1"/>
  <c r="AX73" i="6"/>
  <c r="F73" i="6"/>
  <c r="AB73" i="6"/>
  <c r="C73" i="6"/>
  <c r="D73" i="6" s="1"/>
  <c r="E73" i="6" s="1"/>
  <c r="AX74" i="6"/>
  <c r="C74" i="6"/>
  <c r="D74" i="6" s="1"/>
  <c r="E74" i="6" s="1"/>
  <c r="F74" i="6"/>
  <c r="AB74" i="6"/>
  <c r="C75" i="6"/>
  <c r="D75" i="6" s="1"/>
  <c r="E75" i="6" s="1"/>
  <c r="AX75" i="6"/>
  <c r="F75" i="6"/>
  <c r="AB75" i="6"/>
  <c r="C76" i="6"/>
  <c r="D76" i="6" s="1"/>
  <c r="AX76" i="6"/>
  <c r="AB76" i="6"/>
  <c r="F76" i="6"/>
  <c r="E76" i="6"/>
  <c r="C77" i="6"/>
  <c r="D77" i="6" s="1"/>
  <c r="E77" i="6" s="1"/>
  <c r="F77" i="6"/>
  <c r="AX77" i="6"/>
  <c r="AB77" i="6"/>
  <c r="AX78" i="6"/>
  <c r="F78" i="6"/>
  <c r="AB78" i="6"/>
  <c r="C78" i="6"/>
  <c r="D78" i="6" s="1"/>
  <c r="E78" i="6" s="1"/>
  <c r="AX79" i="6"/>
  <c r="F79" i="6"/>
  <c r="AB79" i="6"/>
  <c r="C79" i="6"/>
  <c r="D79" i="6" s="1"/>
  <c r="E79" i="6" s="1"/>
  <c r="AX80" i="6"/>
  <c r="F80" i="6"/>
  <c r="AB80" i="6"/>
  <c r="C80" i="6"/>
  <c r="D80" i="6" s="1"/>
  <c r="E80" i="6" s="1"/>
  <c r="AB81" i="6"/>
  <c r="AX81" i="6"/>
  <c r="C81" i="6"/>
  <c r="D81" i="6" s="1"/>
  <c r="E81" i="6" s="1"/>
  <c r="F81" i="6"/>
  <c r="AX82" i="6"/>
  <c r="F82" i="6"/>
  <c r="AB82" i="6"/>
  <c r="C82" i="6"/>
  <c r="D82" i="6" s="1"/>
  <c r="E82" i="6" s="1"/>
  <c r="F83" i="6"/>
  <c r="AX83" i="6"/>
  <c r="AB83" i="6"/>
  <c r="C83" i="6"/>
  <c r="D83" i="6" s="1"/>
  <c r="E83" i="6" s="1"/>
  <c r="AB84" i="6"/>
  <c r="F84" i="6"/>
  <c r="AX84" i="6"/>
  <c r="C84" i="6"/>
  <c r="D84" i="6" s="1"/>
  <c r="E84" i="6" s="1"/>
  <c r="AB85" i="6"/>
  <c r="AX85" i="6"/>
  <c r="F85" i="6"/>
  <c r="C85" i="6"/>
  <c r="D85" i="6" s="1"/>
  <c r="E85" i="6" s="1"/>
  <c r="F86" i="6"/>
  <c r="AB86" i="6"/>
  <c r="AX86" i="6"/>
  <c r="C86" i="6"/>
  <c r="D86" i="6" s="1"/>
  <c r="E86" i="6" s="1"/>
  <c r="AB87" i="6"/>
  <c r="F87" i="6"/>
  <c r="AX87" i="6"/>
  <c r="C87" i="6"/>
  <c r="D87" i="6" s="1"/>
  <c r="E87" i="6" s="1"/>
  <c r="F88" i="6"/>
  <c r="C88" i="6"/>
  <c r="D88" i="6" s="1"/>
  <c r="E88" i="6"/>
  <c r="AX88" i="6"/>
  <c r="AB88" i="6"/>
  <c r="AX89" i="6"/>
  <c r="F89" i="6"/>
  <c r="AB89" i="6"/>
  <c r="C89" i="6"/>
  <c r="D89" i="6" s="1"/>
  <c r="E89" i="6"/>
  <c r="AX90" i="6"/>
  <c r="F90" i="6"/>
  <c r="AB90" i="6"/>
  <c r="C90" i="6"/>
  <c r="D90" i="6" s="1"/>
  <c r="E90" i="6" s="1"/>
  <c r="AX91" i="6"/>
  <c r="AB91" i="6"/>
  <c r="F91" i="6"/>
  <c r="C91" i="6"/>
  <c r="D91" i="6" s="1"/>
  <c r="E91" i="6" s="1"/>
  <c r="AX92" i="6"/>
  <c r="F92" i="6"/>
  <c r="AB92" i="6"/>
  <c r="C92" i="6"/>
  <c r="D92" i="6" s="1"/>
  <c r="E92" i="6" s="1"/>
  <c r="F93" i="6"/>
  <c r="AB93" i="6"/>
  <c r="AX93" i="6"/>
  <c r="C93" i="6"/>
  <c r="D93" i="6" s="1"/>
  <c r="E93" i="6" s="1"/>
  <c r="F94" i="6"/>
  <c r="AX94" i="6"/>
  <c r="AB94" i="6"/>
  <c r="C94" i="6"/>
  <c r="D94" i="6" s="1"/>
  <c r="E94" i="6" s="1"/>
  <c r="AX95" i="6"/>
  <c r="F95" i="6"/>
  <c r="AB95" i="6"/>
  <c r="C95" i="6"/>
  <c r="D95" i="6" s="1"/>
  <c r="E95" i="6" s="1"/>
  <c r="AX96" i="6"/>
  <c r="F96" i="6"/>
  <c r="AB96" i="6"/>
  <c r="C96" i="6"/>
  <c r="D96" i="6" s="1"/>
  <c r="E96" i="6" s="1"/>
  <c r="AX97" i="6"/>
  <c r="F97" i="6"/>
  <c r="AB97" i="6"/>
  <c r="C97" i="6"/>
  <c r="D97" i="6" s="1"/>
  <c r="E97" i="6" s="1"/>
  <c r="F98" i="6"/>
  <c r="AB98" i="6"/>
  <c r="AX98" i="6"/>
  <c r="C98" i="6"/>
  <c r="D98" i="6" s="1"/>
  <c r="E98" i="6" s="1"/>
  <c r="F99" i="6"/>
  <c r="AX99" i="6"/>
  <c r="C99" i="6"/>
  <c r="D99" i="6" s="1"/>
  <c r="AB99" i="6"/>
  <c r="E99" i="6"/>
  <c r="AX100" i="6"/>
  <c r="F100" i="6"/>
  <c r="C100" i="6"/>
  <c r="D100" i="6" s="1"/>
  <c r="AB100" i="6"/>
  <c r="E100" i="6"/>
  <c r="AX101" i="6"/>
  <c r="F101" i="6"/>
  <c r="AB101" i="6"/>
  <c r="C101" i="6"/>
  <c r="D101" i="6" s="1"/>
  <c r="E101" i="6" s="1"/>
  <c r="F102" i="6"/>
  <c r="AB102" i="6"/>
  <c r="C102" i="6"/>
  <c r="D102" i="6" s="1"/>
  <c r="E102" i="6" s="1"/>
  <c r="AX102" i="6"/>
  <c r="AX103" i="6"/>
  <c r="F103" i="6"/>
  <c r="AB103" i="6"/>
  <c r="C103" i="6"/>
  <c r="D103" i="6" s="1"/>
  <c r="E103" i="6" s="1"/>
  <c r="AX104" i="6"/>
  <c r="C104" i="6"/>
  <c r="D104" i="6" s="1"/>
  <c r="E104" i="6" s="1"/>
  <c r="F104" i="6"/>
  <c r="AB104" i="6"/>
  <c r="AX105" i="6"/>
  <c r="AB105" i="6"/>
  <c r="F105" i="6"/>
  <c r="C105" i="6"/>
  <c r="D105" i="6" s="1"/>
  <c r="E105" i="6"/>
  <c r="F106" i="6"/>
  <c r="AB106" i="6"/>
  <c r="C106" i="6"/>
  <c r="D106" i="6" s="1"/>
  <c r="AX106" i="6"/>
  <c r="E106" i="6"/>
  <c r="C107" i="6"/>
  <c r="D107" i="6" s="1"/>
  <c r="E107" i="6"/>
  <c r="AX107" i="6"/>
  <c r="F107" i="6"/>
  <c r="AB107" i="6"/>
  <c r="C108" i="6"/>
  <c r="D108" i="6" s="1"/>
  <c r="AX108" i="6"/>
  <c r="F108" i="6"/>
  <c r="AB108" i="6"/>
  <c r="E108" i="6"/>
  <c r="AB109" i="6"/>
  <c r="F109" i="6"/>
  <c r="C109" i="6"/>
  <c r="D109" i="6" s="1"/>
  <c r="E109" i="6"/>
  <c r="AX109" i="6"/>
  <c r="AB110" i="6"/>
  <c r="C110" i="6"/>
  <c r="D110" i="6" s="1"/>
  <c r="AX110" i="6"/>
  <c r="F110" i="6"/>
  <c r="E110" i="6"/>
  <c r="AB111" i="6"/>
  <c r="F111" i="6"/>
  <c r="C111" i="6"/>
  <c r="D111" i="6" s="1"/>
  <c r="AX111" i="6"/>
  <c r="E111" i="6"/>
  <c r="AB112" i="6"/>
  <c r="C112" i="6"/>
  <c r="D112" i="6" s="1"/>
  <c r="AX112" i="6"/>
  <c r="E112" i="6"/>
  <c r="F112" i="6"/>
  <c r="AB113" i="6"/>
  <c r="C113" i="6"/>
  <c r="D113" i="6" s="1"/>
  <c r="AX113" i="6"/>
  <c r="F113" i="6"/>
  <c r="E113" i="6"/>
  <c r="AB114" i="6"/>
  <c r="C114" i="6"/>
  <c r="D114" i="6" s="1"/>
  <c r="E114" i="6"/>
  <c r="AX114" i="6"/>
  <c r="F114" i="6"/>
  <c r="AB115" i="6"/>
  <c r="AX115" i="6"/>
  <c r="C115" i="6"/>
  <c r="D115" i="6" s="1"/>
  <c r="E115" i="6"/>
  <c r="F115" i="6"/>
  <c r="AB116" i="6"/>
  <c r="F116" i="6"/>
  <c r="C116" i="6"/>
  <c r="D116" i="6" s="1"/>
  <c r="AX116" i="6"/>
  <c r="E116" i="6"/>
  <c r="F117" i="6"/>
  <c r="C117" i="6"/>
  <c r="D117" i="6" s="1"/>
  <c r="E117" i="6" s="1"/>
  <c r="AB117" i="6"/>
  <c r="AX117" i="6"/>
  <c r="AX118" i="6"/>
  <c r="AB118" i="6"/>
  <c r="F118" i="6"/>
  <c r="C118" i="6"/>
  <c r="D118" i="6" s="1"/>
  <c r="E118" i="6" s="1"/>
  <c r="AB119" i="6"/>
  <c r="F119" i="6"/>
  <c r="C119" i="6"/>
  <c r="D119" i="6" s="1"/>
  <c r="E119" i="6" s="1"/>
  <c r="AX119" i="6"/>
  <c r="AB120" i="6"/>
  <c r="F120" i="6"/>
  <c r="C120" i="6"/>
  <c r="D120" i="6" s="1"/>
  <c r="E120" i="6" s="1"/>
  <c r="AX120" i="6"/>
  <c r="AX121" i="6"/>
  <c r="F121" i="6"/>
  <c r="AB121" i="6"/>
  <c r="C121" i="6"/>
  <c r="D121" i="6" s="1"/>
  <c r="E121" i="6" s="1"/>
  <c r="F122" i="6"/>
  <c r="AX122" i="6"/>
  <c r="AB122" i="6"/>
  <c r="C122" i="6"/>
  <c r="D122" i="6" s="1"/>
  <c r="E122" i="6" s="1"/>
  <c r="AX123" i="6"/>
  <c r="AB123" i="6"/>
  <c r="C123" i="6"/>
  <c r="D123" i="6" s="1"/>
  <c r="E123" i="6" s="1"/>
  <c r="F123" i="6"/>
  <c r="AX124" i="6"/>
  <c r="C124" i="6"/>
  <c r="D124" i="6" s="1"/>
  <c r="E124" i="6"/>
  <c r="F124" i="6"/>
  <c r="AB124" i="6"/>
  <c r="AB125" i="6"/>
  <c r="C125" i="6"/>
  <c r="D125" i="6" s="1"/>
  <c r="E125" i="6" s="1"/>
  <c r="AX125" i="6"/>
  <c r="F125" i="6"/>
  <c r="AX126" i="6"/>
  <c r="AB126" i="6"/>
  <c r="F126" i="6"/>
  <c r="C126" i="6"/>
  <c r="D126" i="6" s="1"/>
  <c r="E126" i="6" s="1"/>
  <c r="AX127" i="6"/>
  <c r="C127" i="6"/>
  <c r="D127" i="6" s="1"/>
  <c r="F127" i="6"/>
  <c r="AB127" i="6"/>
  <c r="E127" i="6"/>
  <c r="C128" i="6"/>
  <c r="D128" i="6" s="1"/>
  <c r="AX128" i="6"/>
  <c r="F128" i="6"/>
  <c r="E128" i="6"/>
  <c r="AB128" i="6"/>
  <c r="C129" i="6"/>
  <c r="D129" i="6" s="1"/>
  <c r="E129" i="6" s="1"/>
  <c r="AB129" i="6"/>
  <c r="F129" i="6"/>
  <c r="AX129" i="6"/>
  <c r="F130" i="6"/>
  <c r="C130" i="6"/>
  <c r="D130" i="6" s="1"/>
  <c r="E130" i="6" s="1"/>
  <c r="AB130" i="6"/>
  <c r="AX130" i="6"/>
  <c r="F131" i="6"/>
  <c r="AX131" i="6"/>
  <c r="C131" i="6"/>
  <c r="D131" i="6" s="1"/>
  <c r="E131" i="6" s="1"/>
  <c r="AB131" i="6"/>
  <c r="F132" i="6"/>
  <c r="C132" i="6"/>
  <c r="D132" i="6" s="1"/>
  <c r="E132" i="6" s="1"/>
  <c r="AB132" i="6"/>
  <c r="AX132" i="6"/>
  <c r="AX133" i="6"/>
  <c r="C133" i="6"/>
  <c r="D133" i="6" s="1"/>
  <c r="E133" i="6" s="1"/>
  <c r="F133" i="6"/>
  <c r="AB133" i="6"/>
  <c r="AX134" i="6"/>
  <c r="AB134" i="6"/>
  <c r="C134" i="6"/>
  <c r="D134" i="6" s="1"/>
  <c r="E134" i="6" s="1"/>
  <c r="F134" i="6"/>
  <c r="AX135" i="6"/>
  <c r="F135" i="6"/>
  <c r="AB135" i="6"/>
  <c r="C135" i="6"/>
  <c r="D135" i="6" s="1"/>
  <c r="E135" i="6" s="1"/>
  <c r="AX136" i="6"/>
  <c r="F136" i="6"/>
  <c r="C136" i="6"/>
  <c r="D136" i="6" s="1"/>
  <c r="E136" i="6" s="1"/>
  <c r="AB136" i="6"/>
  <c r="C137" i="6"/>
  <c r="D137" i="6" s="1"/>
  <c r="E137" i="6" s="1"/>
  <c r="AX137" i="6"/>
  <c r="F137" i="6"/>
  <c r="AB137" i="6"/>
  <c r="C138" i="6"/>
  <c r="D138" i="6" s="1"/>
  <c r="E138" i="6" s="1"/>
  <c r="AX138" i="6"/>
  <c r="F138" i="6"/>
  <c r="AB138" i="6"/>
  <c r="C139" i="6"/>
  <c r="D139" i="6" s="1"/>
  <c r="E139" i="6" s="1"/>
  <c r="F139" i="6"/>
  <c r="AB139" i="6"/>
  <c r="AX139" i="6"/>
  <c r="F140" i="6"/>
  <c r="AB140" i="6"/>
  <c r="AX140" i="6"/>
  <c r="C140" i="6"/>
  <c r="D140" i="6" s="1"/>
  <c r="E140" i="6" s="1"/>
  <c r="AB141" i="6"/>
  <c r="F141" i="6"/>
  <c r="AX141" i="6"/>
  <c r="C141" i="6"/>
  <c r="D141" i="6" s="1"/>
  <c r="E141" i="6" s="1"/>
  <c r="AX142" i="6"/>
  <c r="F142" i="6"/>
  <c r="AB142" i="6"/>
  <c r="C142" i="6"/>
  <c r="D142" i="6" s="1"/>
  <c r="E142" i="6" s="1"/>
  <c r="F143" i="6"/>
  <c r="AB143" i="6"/>
  <c r="C143" i="6"/>
  <c r="D143" i="6" s="1"/>
  <c r="E143" i="6" s="1"/>
  <c r="AX143" i="6"/>
  <c r="AB144" i="6"/>
  <c r="AX144" i="6"/>
  <c r="C144" i="6"/>
  <c r="D144" i="6" s="1"/>
  <c r="E144" i="6"/>
  <c r="F144" i="6"/>
  <c r="F145" i="6"/>
  <c r="C145" i="6"/>
  <c r="D145" i="6" s="1"/>
  <c r="E145" i="6"/>
  <c r="AB145" i="6"/>
  <c r="AX145" i="6"/>
  <c r="C146" i="6"/>
  <c r="D146" i="6" s="1"/>
  <c r="AX146" i="6"/>
  <c r="E146" i="6"/>
  <c r="F146" i="6"/>
  <c r="AB146" i="6"/>
  <c r="AX147" i="6"/>
  <c r="F147" i="6"/>
  <c r="AB147" i="6"/>
  <c r="C147" i="6"/>
  <c r="D147" i="6" s="1"/>
  <c r="E147" i="6" s="1"/>
  <c r="AB148" i="6"/>
  <c r="F148" i="6"/>
  <c r="AX148" i="6"/>
  <c r="C148" i="6"/>
  <c r="D148" i="6" s="1"/>
  <c r="E148" i="6" s="1"/>
  <c r="F149" i="6"/>
  <c r="AX149" i="6"/>
  <c r="C149" i="6"/>
  <c r="D149" i="6" s="1"/>
  <c r="E149" i="6"/>
  <c r="AB149" i="6"/>
  <c r="AX150" i="6"/>
  <c r="F150" i="6"/>
  <c r="C150" i="6"/>
  <c r="D150" i="6" s="1"/>
  <c r="E150" i="6" s="1"/>
  <c r="AB150" i="6"/>
  <c r="C151" i="6"/>
  <c r="D151" i="6" s="1"/>
  <c r="E151" i="6" s="1"/>
  <c r="F151" i="6"/>
  <c r="AB151" i="6"/>
  <c r="AX151" i="6"/>
  <c r="C152" i="6"/>
  <c r="D152" i="6" s="1"/>
  <c r="E152" i="6"/>
  <c r="F152" i="6"/>
  <c r="AB152" i="6"/>
  <c r="AX152" i="6"/>
  <c r="C153" i="6"/>
  <c r="D153" i="6" s="1"/>
  <c r="E153" i="6" s="1"/>
  <c r="AB153" i="6"/>
  <c r="F153" i="6"/>
  <c r="AX153" i="6"/>
  <c r="F154" i="6"/>
  <c r="C154" i="6"/>
  <c r="D154" i="6" s="1"/>
  <c r="E154" i="6" s="1"/>
  <c r="AB154" i="6"/>
  <c r="AX154" i="6"/>
  <c r="F155" i="6"/>
  <c r="C155" i="6"/>
  <c r="D155" i="6" s="1"/>
  <c r="AB155" i="6"/>
  <c r="E155" i="6"/>
  <c r="AX155" i="6"/>
  <c r="F156" i="6"/>
  <c r="C156" i="6"/>
  <c r="D156" i="6" s="1"/>
  <c r="AX156" i="6"/>
  <c r="AB156" i="6"/>
  <c r="E156" i="6"/>
  <c r="AB157" i="6"/>
  <c r="C157" i="6"/>
  <c r="D157" i="6" s="1"/>
  <c r="E157" i="6" s="1"/>
  <c r="F157" i="6"/>
  <c r="AX157" i="6"/>
  <c r="AX158" i="6"/>
  <c r="C158" i="6"/>
  <c r="D158" i="6" s="1"/>
  <c r="E158" i="6"/>
  <c r="F158" i="6"/>
  <c r="AB158" i="6"/>
  <c r="AB159" i="6"/>
  <c r="C159" i="6"/>
  <c r="D159" i="6" s="1"/>
  <c r="E159" i="6"/>
  <c r="F159" i="6"/>
  <c r="AX159" i="6"/>
  <c r="C160" i="6"/>
  <c r="D160" i="6" s="1"/>
  <c r="E160" i="6"/>
  <c r="F160" i="6"/>
  <c r="AX160" i="6"/>
  <c r="AB160" i="6"/>
  <c r="C161" i="6"/>
  <c r="D161" i="6" s="1"/>
  <c r="E161" i="6"/>
  <c r="F161" i="6"/>
  <c r="AX161" i="6"/>
  <c r="AB161" i="6"/>
  <c r="AX162" i="6"/>
  <c r="C162" i="6"/>
  <c r="D162" i="6" s="1"/>
  <c r="F162" i="6"/>
  <c r="E162" i="6"/>
  <c r="AB162" i="6"/>
  <c r="AX163" i="6"/>
  <c r="F163" i="6"/>
  <c r="C163" i="6"/>
  <c r="D163" i="6" s="1"/>
  <c r="E163" i="6" s="1"/>
  <c r="AB163" i="6"/>
  <c r="C164" i="6"/>
  <c r="D164" i="6" s="1"/>
  <c r="E164" i="6" s="1"/>
  <c r="F164" i="6"/>
  <c r="AX164" i="6"/>
  <c r="AB164" i="6"/>
  <c r="AX165" i="6"/>
  <c r="AB165" i="6"/>
  <c r="F165" i="6"/>
  <c r="C165" i="6"/>
  <c r="D165" i="6" s="1"/>
  <c r="E165" i="6" s="1"/>
  <c r="C166" i="6"/>
  <c r="D166" i="6" s="1"/>
  <c r="AX166" i="6"/>
  <c r="F166" i="6"/>
  <c r="AB166" i="6"/>
  <c r="E166" i="6"/>
  <c r="C167" i="6"/>
  <c r="D167" i="6" s="1"/>
  <c r="AB167" i="6"/>
  <c r="F167" i="6"/>
  <c r="AX167" i="6"/>
  <c r="E167" i="6"/>
  <c r="C168" i="6"/>
  <c r="D168" i="6" s="1"/>
  <c r="E168" i="6" s="1"/>
  <c r="AX168" i="6"/>
  <c r="F168" i="6"/>
  <c r="AB168" i="6"/>
  <c r="AX169" i="6"/>
  <c r="F169" i="6"/>
  <c r="C169" i="6"/>
  <c r="D169" i="6" s="1"/>
  <c r="AB169" i="6"/>
  <c r="E169" i="6"/>
  <c r="AX170" i="6"/>
  <c r="F170" i="6"/>
  <c r="AB170" i="6"/>
  <c r="C170" i="6"/>
  <c r="D170" i="6" s="1"/>
  <c r="E170" i="6" s="1"/>
  <c r="C171" i="6"/>
  <c r="D171" i="6" s="1"/>
  <c r="AX171" i="6"/>
  <c r="E171" i="6"/>
  <c r="AB171" i="6"/>
  <c r="F171" i="6"/>
  <c r="C172" i="6"/>
  <c r="D172" i="6" s="1"/>
  <c r="F172" i="6"/>
  <c r="E172" i="6"/>
  <c r="AB172" i="6"/>
  <c r="AX172" i="6"/>
  <c r="C173" i="6"/>
  <c r="D173" i="6" s="1"/>
  <c r="F173" i="6"/>
  <c r="AB173" i="6"/>
  <c r="AX173" i="6"/>
  <c r="E173" i="6"/>
  <c r="C174" i="6"/>
  <c r="D174" i="6" s="1"/>
  <c r="AB174" i="6"/>
  <c r="F174" i="6"/>
  <c r="E174" i="6"/>
  <c r="AX174" i="6"/>
  <c r="C175" i="6"/>
  <c r="D175" i="6" s="1"/>
  <c r="AB175" i="6"/>
  <c r="F175" i="6"/>
  <c r="E175" i="6"/>
  <c r="AX175" i="6"/>
  <c r="C176" i="6"/>
  <c r="D176" i="6" s="1"/>
  <c r="AX176" i="6"/>
  <c r="AB176" i="6"/>
  <c r="E176" i="6"/>
  <c r="F176" i="6"/>
  <c r="C177" i="6"/>
  <c r="D177" i="6" s="1"/>
  <c r="AX177" i="6"/>
  <c r="E177" i="6"/>
  <c r="F177" i="6"/>
  <c r="AB177" i="6"/>
  <c r="C178" i="6"/>
  <c r="D178" i="6" s="1"/>
  <c r="AX178" i="6"/>
  <c r="E178" i="6"/>
  <c r="AB178" i="6"/>
  <c r="F178" i="6"/>
  <c r="C179" i="6"/>
  <c r="D179" i="6" s="1"/>
  <c r="AX179" i="6"/>
  <c r="AB179" i="6"/>
  <c r="E179" i="6"/>
  <c r="F179" i="6"/>
  <c r="AX180" i="6"/>
  <c r="AB180" i="6"/>
  <c r="C180" i="6"/>
  <c r="D180" i="6" s="1"/>
  <c r="E180" i="6" s="1"/>
  <c r="F180" i="6"/>
  <c r="AX181" i="6"/>
  <c r="C181" i="6"/>
  <c r="D181" i="6" s="1"/>
  <c r="E181" i="6" s="1"/>
  <c r="F181" i="6"/>
  <c r="AB181" i="6"/>
  <c r="C182" i="6"/>
  <c r="D182" i="6" s="1"/>
  <c r="E182" i="6"/>
  <c r="AX182" i="6"/>
  <c r="AB182" i="6"/>
  <c r="F182" i="6"/>
  <c r="BT1" i="6"/>
  <c r="BU1" i="6"/>
  <c r="BY1" i="6"/>
  <c r="BX1" i="6"/>
  <c r="BW1" i="6"/>
  <c r="BV1" i="6"/>
  <c r="T127" i="19"/>
  <c r="T252" i="19"/>
  <c r="T377" i="19" s="1"/>
  <c r="T407" i="19" s="1"/>
  <c r="M34" i="9"/>
  <c r="P34" i="9"/>
  <c r="M19" i="9"/>
  <c r="P19" i="9"/>
  <c r="C13" i="20"/>
  <c r="U7" i="19"/>
  <c r="X2" i="22"/>
  <c r="J20" i="23" s="1"/>
  <c r="E13" i="23"/>
  <c r="J21" i="23"/>
  <c r="J19" i="23"/>
  <c r="F13" i="23"/>
  <c r="A34" i="23"/>
  <c r="J34" i="23" s="1"/>
  <c r="A35" i="23"/>
  <c r="J35" i="23" s="1"/>
  <c r="A36" i="23"/>
  <c r="J36" i="23" s="1"/>
  <c r="A37" i="23"/>
  <c r="J37" i="23" s="1"/>
  <c r="A38" i="23"/>
  <c r="J38" i="23" s="1"/>
  <c r="A39" i="23"/>
  <c r="J39" i="23" s="1"/>
  <c r="A40" i="23"/>
  <c r="J40" i="23" s="1"/>
  <c r="A41" i="23"/>
  <c r="J41" i="23" s="1"/>
  <c r="A42" i="23"/>
  <c r="J42" i="23" s="1"/>
  <c r="A43" i="23"/>
  <c r="J43" i="23" s="1"/>
  <c r="A44" i="23"/>
  <c r="J44" i="23" s="1"/>
  <c r="A45" i="23"/>
  <c r="J45" i="23" s="1"/>
  <c r="A46" i="23"/>
  <c r="J46" i="23" s="1"/>
  <c r="A47" i="23"/>
  <c r="J47" i="23" s="1"/>
  <c r="A48" i="23"/>
  <c r="J48" i="23" s="1"/>
  <c r="A49" i="23"/>
  <c r="J49" i="23" s="1"/>
  <c r="A50" i="23"/>
  <c r="J50" i="23" s="1"/>
  <c r="A51" i="23"/>
  <c r="J51" i="23" s="1"/>
  <c r="A52" i="23"/>
  <c r="J52" i="23" s="1"/>
  <c r="A53" i="23"/>
  <c r="J53" i="23" s="1"/>
  <c r="A54" i="23"/>
  <c r="J54" i="23" s="1"/>
  <c r="A55" i="23"/>
  <c r="J55" i="23" s="1"/>
  <c r="A56" i="23"/>
  <c r="J56" i="23" s="1"/>
  <c r="A57" i="23"/>
  <c r="J57" i="23" s="1"/>
  <c r="A58" i="23"/>
  <c r="J58" i="23" s="1"/>
  <c r="A59" i="23"/>
  <c r="J59" i="23" s="1"/>
  <c r="A60" i="23"/>
  <c r="J60" i="23" s="1"/>
  <c r="A61" i="23"/>
  <c r="J61" i="23" s="1"/>
  <c r="A62" i="23"/>
  <c r="J62" i="23" s="1"/>
  <c r="A63" i="23"/>
  <c r="J63" i="23" s="1"/>
  <c r="A64" i="23"/>
  <c r="J64" i="23" s="1"/>
  <c r="A65" i="23"/>
  <c r="J65" i="23" s="1"/>
  <c r="A66" i="23"/>
  <c r="J66" i="23" s="1"/>
  <c r="A67" i="23"/>
  <c r="J67" i="23" s="1"/>
  <c r="A68" i="23"/>
  <c r="J68" i="23" s="1"/>
  <c r="A69" i="23"/>
  <c r="J69" i="23" s="1"/>
  <c r="A70" i="23"/>
  <c r="J70" i="23" s="1"/>
  <c r="A71" i="23"/>
  <c r="J71" i="23" s="1"/>
  <c r="A72" i="23"/>
  <c r="J72" i="23" s="1"/>
  <c r="A73" i="23"/>
  <c r="J73" i="23" s="1"/>
  <c r="A74" i="23"/>
  <c r="J74" i="23" s="1"/>
  <c r="A75" i="23"/>
  <c r="J75" i="23" s="1"/>
  <c r="A76" i="23"/>
  <c r="J76" i="23" s="1"/>
  <c r="A77" i="23"/>
  <c r="J77" i="23" s="1"/>
  <c r="A78" i="23"/>
  <c r="J78" i="23" s="1"/>
  <c r="A79" i="23"/>
  <c r="J79" i="23" s="1"/>
  <c r="A80" i="23"/>
  <c r="J80" i="23" s="1"/>
  <c r="A81" i="23"/>
  <c r="J81" i="23" s="1"/>
  <c r="A82" i="23"/>
  <c r="J82" i="23" s="1"/>
  <c r="A83" i="23"/>
  <c r="J83" i="23" s="1"/>
  <c r="A84" i="23"/>
  <c r="J84" i="23" s="1"/>
  <c r="A28" i="23"/>
  <c r="J28" i="23" s="1"/>
  <c r="A86" i="23"/>
  <c r="J86" i="23" s="1"/>
  <c r="A87" i="23"/>
  <c r="J87" i="23" s="1"/>
  <c r="A29" i="23"/>
  <c r="J29" i="23" s="1"/>
  <c r="A30" i="23"/>
  <c r="J30" i="23" s="1"/>
  <c r="A31" i="23"/>
  <c r="J31" i="23" s="1"/>
  <c r="J17" i="23"/>
  <c r="A32" i="23"/>
  <c r="J32" i="23" s="1"/>
  <c r="A85" i="23"/>
  <c r="J85" i="23" s="1"/>
  <c r="A33" i="23"/>
  <c r="J33" i="23" s="1"/>
  <c r="J16" i="23"/>
  <c r="A12" i="23"/>
  <c r="A11" i="23"/>
  <c r="A10" i="23"/>
  <c r="A9" i="23"/>
  <c r="A8" i="23"/>
  <c r="A7" i="23"/>
  <c r="A6" i="23"/>
  <c r="A5" i="23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152" i="24"/>
  <c r="P153" i="24"/>
  <c r="P154" i="24"/>
  <c r="P155" i="24"/>
  <c r="P156" i="24"/>
  <c r="P157" i="24"/>
  <c r="P158" i="24"/>
  <c r="P159" i="24"/>
  <c r="P160" i="24"/>
  <c r="P161" i="24"/>
  <c r="P162" i="24"/>
  <c r="P163" i="24"/>
  <c r="P164" i="24"/>
  <c r="P165" i="24"/>
  <c r="P166" i="24"/>
  <c r="P167" i="24"/>
  <c r="P168" i="24"/>
  <c r="P169" i="24"/>
  <c r="P170" i="24"/>
  <c r="P171" i="24"/>
  <c r="P172" i="24"/>
  <c r="P173" i="24"/>
  <c r="P174" i="24"/>
  <c r="P175" i="24"/>
  <c r="P176" i="24"/>
  <c r="P177" i="24"/>
  <c r="P178" i="24"/>
  <c r="P179" i="24"/>
  <c r="P180" i="24"/>
  <c r="P181" i="24"/>
  <c r="P182" i="24"/>
  <c r="P183" i="24"/>
  <c r="P184" i="24"/>
  <c r="P185" i="24"/>
  <c r="P186" i="24"/>
  <c r="P187" i="24"/>
  <c r="P188" i="24"/>
  <c r="P189" i="24"/>
  <c r="P190" i="24"/>
  <c r="P191" i="24"/>
  <c r="P192" i="24"/>
  <c r="P193" i="24"/>
  <c r="P194" i="24"/>
  <c r="P195" i="24"/>
  <c r="P196" i="24"/>
  <c r="P197" i="24"/>
  <c r="P198" i="24"/>
  <c r="P199" i="24"/>
  <c r="P200" i="24"/>
  <c r="P201" i="24"/>
  <c r="P202" i="24"/>
  <c r="P203" i="24"/>
  <c r="P20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O197" i="24"/>
  <c r="O198" i="24"/>
  <c r="O199" i="24"/>
  <c r="O200" i="24"/>
  <c r="O201" i="24"/>
  <c r="O202" i="24"/>
  <c r="O203" i="24"/>
  <c r="O20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N61" i="24"/>
  <c r="N62" i="24"/>
  <c r="N63" i="24"/>
  <c r="N64" i="24"/>
  <c r="N65" i="24"/>
  <c r="N66" i="24"/>
  <c r="N67" i="24"/>
  <c r="N68" i="24"/>
  <c r="N69" i="24"/>
  <c r="N70" i="24"/>
  <c r="N71" i="24"/>
  <c r="N72" i="24"/>
  <c r="N73" i="24"/>
  <c r="N74" i="24"/>
  <c r="N75" i="24"/>
  <c r="N76" i="24"/>
  <c r="N77" i="24"/>
  <c r="N78" i="24"/>
  <c r="N79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22" i="24"/>
  <c r="N123" i="24"/>
  <c r="N124" i="24"/>
  <c r="N125" i="24"/>
  <c r="N126" i="24"/>
  <c r="N127" i="24"/>
  <c r="N128" i="24"/>
  <c r="N129" i="24"/>
  <c r="N130" i="24"/>
  <c r="N131" i="24"/>
  <c r="N132" i="24"/>
  <c r="N133" i="24"/>
  <c r="N134" i="24"/>
  <c r="N135" i="24"/>
  <c r="N136" i="24"/>
  <c r="N137" i="24"/>
  <c r="N138" i="24"/>
  <c r="N139" i="24"/>
  <c r="N140" i="24"/>
  <c r="N141" i="24"/>
  <c r="N142" i="24"/>
  <c r="N143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198" i="24"/>
  <c r="N199" i="24"/>
  <c r="N200" i="24"/>
  <c r="N201" i="24"/>
  <c r="N202" i="24"/>
  <c r="N203" i="24"/>
  <c r="N20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3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J19" i="20"/>
  <c r="F13" i="20"/>
  <c r="E13" i="20"/>
  <c r="G13" i="20" s="1"/>
  <c r="J21" i="20"/>
  <c r="A28" i="20"/>
  <c r="J28" i="20" s="1"/>
  <c r="A7" i="20"/>
  <c r="A5" i="20"/>
  <c r="A8" i="20"/>
  <c r="A6" i="20"/>
  <c r="X2" i="19"/>
  <c r="S2" i="19"/>
  <c r="X3" i="19"/>
  <c r="S3" i="19"/>
  <c r="X4" i="19"/>
  <c r="S4" i="19"/>
  <c r="X5" i="19"/>
  <c r="S5" i="19"/>
  <c r="X6" i="19"/>
  <c r="S6" i="19"/>
  <c r="X7" i="19"/>
  <c r="S7" i="19"/>
  <c r="X8" i="19"/>
  <c r="S8" i="19"/>
  <c r="X9" i="19"/>
  <c r="S9" i="19"/>
  <c r="X10" i="19"/>
  <c r="S10" i="19"/>
  <c r="X11" i="19"/>
  <c r="S11" i="19"/>
  <c r="X12" i="19"/>
  <c r="S12" i="19"/>
  <c r="X13" i="19"/>
  <c r="S13" i="19"/>
  <c r="S14" i="19"/>
  <c r="X14" i="19"/>
  <c r="S15" i="19"/>
  <c r="X15" i="19"/>
  <c r="S16" i="19"/>
  <c r="X16" i="19"/>
  <c r="S17" i="19"/>
  <c r="X17" i="19"/>
  <c r="S18" i="19"/>
  <c r="X18" i="19"/>
  <c r="X19" i="19"/>
  <c r="S19" i="19"/>
  <c r="S20" i="19"/>
  <c r="X20" i="19"/>
  <c r="X21" i="19"/>
  <c r="S21" i="19"/>
  <c r="X22" i="19"/>
  <c r="S22" i="19"/>
  <c r="X23" i="19"/>
  <c r="S23" i="19"/>
  <c r="S24" i="19"/>
  <c r="X24" i="19"/>
  <c r="X25" i="19"/>
  <c r="S25" i="19"/>
  <c r="X26" i="19"/>
  <c r="S26" i="19"/>
  <c r="X27" i="19"/>
  <c r="S27" i="19"/>
  <c r="X28" i="19"/>
  <c r="S28" i="19"/>
  <c r="X29" i="19"/>
  <c r="S29" i="19"/>
  <c r="X30" i="19"/>
  <c r="S30" i="19"/>
  <c r="X31" i="19"/>
  <c r="S31" i="19"/>
  <c r="X32" i="19"/>
  <c r="S32" i="19"/>
  <c r="X33" i="19"/>
  <c r="S33" i="19"/>
  <c r="X34" i="19"/>
  <c r="S34" i="19"/>
  <c r="X35" i="19"/>
  <c r="S35" i="19"/>
  <c r="X36" i="19"/>
  <c r="S36" i="19"/>
  <c r="S37" i="19"/>
  <c r="X37" i="19"/>
  <c r="X38" i="19"/>
  <c r="S38" i="19"/>
  <c r="X39" i="19"/>
  <c r="S39" i="19"/>
  <c r="X40" i="19"/>
  <c r="S40" i="19"/>
  <c r="X41" i="19"/>
  <c r="S41" i="19"/>
  <c r="S42" i="19"/>
  <c r="X42" i="19"/>
  <c r="S43" i="19"/>
  <c r="X43" i="19"/>
  <c r="S44" i="19"/>
  <c r="X44" i="19"/>
  <c r="S45" i="19"/>
  <c r="X45" i="19"/>
  <c r="S46" i="19"/>
  <c r="X46" i="19"/>
  <c r="X47" i="19"/>
  <c r="S47" i="19"/>
  <c r="S48" i="19"/>
  <c r="X48" i="19"/>
  <c r="X49" i="19"/>
  <c r="S49" i="19"/>
  <c r="S50" i="19"/>
  <c r="X50" i="19"/>
  <c r="X51" i="19"/>
  <c r="S51" i="19"/>
  <c r="X52" i="19"/>
  <c r="S52" i="19"/>
  <c r="X53" i="19"/>
  <c r="S53" i="19"/>
  <c r="S54" i="19"/>
  <c r="X54" i="19"/>
  <c r="S55" i="19"/>
  <c r="X55" i="19"/>
  <c r="X56" i="19"/>
  <c r="S56" i="19"/>
  <c r="S57" i="19"/>
  <c r="X57" i="19"/>
  <c r="S58" i="19"/>
  <c r="X58" i="19"/>
  <c r="S59" i="19"/>
  <c r="X59" i="19"/>
  <c r="S60" i="19"/>
  <c r="X60" i="19"/>
  <c r="S61" i="19"/>
  <c r="X61" i="19"/>
  <c r="X62" i="19"/>
  <c r="S62" i="19"/>
  <c r="S63" i="19"/>
  <c r="X63" i="19"/>
  <c r="S64" i="19"/>
  <c r="X64" i="19"/>
  <c r="S65" i="19"/>
  <c r="X65" i="19"/>
  <c r="S66" i="19"/>
  <c r="X66" i="19"/>
  <c r="X67" i="19"/>
  <c r="S67" i="19"/>
  <c r="S68" i="19"/>
  <c r="X68" i="19"/>
  <c r="X69" i="19"/>
  <c r="S69" i="19"/>
  <c r="S70" i="19"/>
  <c r="X70" i="19"/>
  <c r="S71" i="19"/>
  <c r="X71" i="19"/>
  <c r="X72" i="19"/>
  <c r="S72" i="19"/>
  <c r="S73" i="19"/>
  <c r="X73" i="19"/>
  <c r="X74" i="19"/>
  <c r="S74" i="19"/>
  <c r="X75" i="19"/>
  <c r="S75" i="19"/>
  <c r="S76" i="19"/>
  <c r="X76" i="19"/>
  <c r="S77" i="19"/>
  <c r="X77" i="19"/>
  <c r="S78" i="19"/>
  <c r="X78" i="19"/>
  <c r="X79" i="19"/>
  <c r="S79" i="19"/>
  <c r="S80" i="19"/>
  <c r="X80" i="19"/>
  <c r="X81" i="19"/>
  <c r="S81" i="19"/>
  <c r="X82" i="19"/>
  <c r="S82" i="19"/>
  <c r="S83" i="19"/>
  <c r="X83" i="19"/>
  <c r="X84" i="19"/>
  <c r="S84" i="19"/>
  <c r="X85" i="19"/>
  <c r="S85" i="19"/>
  <c r="X86" i="19"/>
  <c r="S86" i="19"/>
  <c r="S87" i="19"/>
  <c r="X87" i="19"/>
  <c r="S88" i="19"/>
  <c r="X88" i="19"/>
  <c r="X89" i="19"/>
  <c r="S89" i="19"/>
  <c r="S90" i="19"/>
  <c r="X90" i="19"/>
  <c r="X91" i="19"/>
  <c r="S91" i="19"/>
  <c r="X92" i="19"/>
  <c r="S92" i="19"/>
  <c r="X93" i="19"/>
  <c r="S93" i="19"/>
  <c r="S94" i="19"/>
  <c r="X94" i="19"/>
  <c r="X95" i="19"/>
  <c r="S95" i="19"/>
  <c r="S96" i="19"/>
  <c r="X96" i="19"/>
  <c r="X97" i="19"/>
  <c r="S97" i="19"/>
  <c r="S98" i="19"/>
  <c r="X98" i="19"/>
  <c r="X99" i="19"/>
  <c r="S99" i="19"/>
  <c r="S100" i="19"/>
  <c r="X100" i="19"/>
  <c r="X101" i="19"/>
  <c r="S101" i="19"/>
  <c r="S102" i="19"/>
  <c r="X102" i="19"/>
  <c r="S103" i="19"/>
  <c r="X103" i="19"/>
  <c r="X104" i="19"/>
  <c r="S104" i="19"/>
  <c r="X105" i="19"/>
  <c r="S105" i="19"/>
  <c r="S106" i="19"/>
  <c r="X106" i="19"/>
  <c r="S107" i="19"/>
  <c r="X107" i="19"/>
  <c r="X108" i="19"/>
  <c r="S108" i="19"/>
  <c r="S109" i="19"/>
  <c r="X109" i="19"/>
  <c r="X110" i="19"/>
  <c r="S110" i="19"/>
  <c r="S111" i="19"/>
  <c r="X111" i="19"/>
  <c r="X112" i="19"/>
  <c r="S112" i="19"/>
  <c r="S113" i="19"/>
  <c r="X113" i="19"/>
  <c r="X114" i="19"/>
  <c r="S114" i="19"/>
  <c r="S115" i="19"/>
  <c r="X115" i="19"/>
  <c r="S116" i="19"/>
  <c r="X116" i="19"/>
  <c r="X117" i="19"/>
  <c r="S117" i="19"/>
  <c r="S118" i="19"/>
  <c r="X118" i="19"/>
  <c r="X119" i="19"/>
  <c r="S119" i="19"/>
  <c r="X120" i="19"/>
  <c r="S120" i="19"/>
  <c r="X121" i="19"/>
  <c r="S121" i="19"/>
  <c r="X122" i="19"/>
  <c r="S122" i="19"/>
  <c r="X123" i="19"/>
  <c r="S123" i="19"/>
  <c r="S124" i="19"/>
  <c r="X124" i="19"/>
  <c r="X125" i="19"/>
  <c r="S125" i="19"/>
  <c r="S126" i="19"/>
  <c r="X126" i="19"/>
  <c r="X127" i="19"/>
  <c r="S127" i="19"/>
  <c r="S128" i="19"/>
  <c r="X128" i="19"/>
  <c r="X129" i="19"/>
  <c r="S129" i="19"/>
  <c r="X130" i="19"/>
  <c r="S130" i="19"/>
  <c r="S131" i="19"/>
  <c r="X131" i="19"/>
  <c r="S132" i="19"/>
  <c r="X132" i="19"/>
  <c r="S133" i="19"/>
  <c r="X133" i="19"/>
  <c r="S134" i="19"/>
  <c r="X134" i="19"/>
  <c r="X135" i="19"/>
  <c r="S135" i="19"/>
  <c r="X136" i="19"/>
  <c r="S136" i="19"/>
  <c r="S137" i="19"/>
  <c r="X137" i="19"/>
  <c r="S138" i="19"/>
  <c r="X138" i="19"/>
  <c r="X139" i="19"/>
  <c r="S139" i="19"/>
  <c r="X140" i="19"/>
  <c r="S140" i="19"/>
  <c r="S141" i="19"/>
  <c r="X141" i="19"/>
  <c r="X142" i="19"/>
  <c r="S142" i="19"/>
  <c r="X143" i="19"/>
  <c r="S143" i="19"/>
  <c r="X144" i="19"/>
  <c r="S144" i="19"/>
  <c r="X145" i="19"/>
  <c r="S145" i="19"/>
  <c r="S146" i="19"/>
  <c r="X146" i="19"/>
  <c r="X147" i="19"/>
  <c r="S147" i="19"/>
  <c r="X148" i="19"/>
  <c r="S148" i="19"/>
  <c r="X149" i="19"/>
  <c r="S149" i="19"/>
  <c r="X150" i="19"/>
  <c r="S150" i="19"/>
  <c r="X151" i="19"/>
  <c r="S151" i="19"/>
  <c r="X152" i="19"/>
  <c r="S152" i="19"/>
  <c r="X153" i="19"/>
  <c r="S153" i="19"/>
  <c r="X154" i="19"/>
  <c r="S154" i="19"/>
  <c r="X155" i="19"/>
  <c r="S155" i="19"/>
  <c r="X156" i="19"/>
  <c r="S156" i="19"/>
  <c r="X157" i="19"/>
  <c r="S157" i="19"/>
  <c r="X158" i="19"/>
  <c r="S158" i="19"/>
  <c r="X159" i="19"/>
  <c r="S159" i="19"/>
  <c r="X160" i="19"/>
  <c r="S160" i="19"/>
  <c r="X161" i="19"/>
  <c r="S161" i="19"/>
  <c r="X162" i="19"/>
  <c r="S162" i="19"/>
  <c r="S163" i="19"/>
  <c r="X163" i="19"/>
  <c r="X164" i="19"/>
  <c r="S164" i="19"/>
  <c r="S165" i="19"/>
  <c r="X165" i="19"/>
  <c r="X166" i="19"/>
  <c r="S166" i="19"/>
  <c r="X167" i="19"/>
  <c r="S167" i="19"/>
  <c r="S168" i="19"/>
  <c r="X168" i="19"/>
  <c r="X169" i="19"/>
  <c r="S169" i="19"/>
  <c r="S170" i="19"/>
  <c r="X170" i="19"/>
  <c r="X171" i="19"/>
  <c r="S171" i="19"/>
  <c r="S172" i="19"/>
  <c r="X172" i="19"/>
  <c r="X173" i="19"/>
  <c r="S173" i="19"/>
  <c r="X174" i="19"/>
  <c r="S174" i="19"/>
  <c r="X175" i="19"/>
  <c r="S175" i="19"/>
  <c r="S176" i="19"/>
  <c r="X176" i="19"/>
  <c r="S177" i="19"/>
  <c r="X177" i="19"/>
  <c r="S178" i="19"/>
  <c r="X178" i="19"/>
  <c r="X179" i="19"/>
  <c r="S179" i="19"/>
  <c r="X180" i="19"/>
  <c r="S180" i="19"/>
  <c r="X181" i="19"/>
  <c r="S181" i="19"/>
  <c r="X182" i="19"/>
  <c r="S182" i="19"/>
  <c r="X183" i="19"/>
  <c r="S183" i="19"/>
  <c r="S184" i="19"/>
  <c r="X184" i="19"/>
  <c r="X185" i="19"/>
  <c r="S185" i="19"/>
  <c r="S186" i="19"/>
  <c r="X186" i="19"/>
  <c r="S187" i="19"/>
  <c r="X187" i="19"/>
  <c r="X188" i="19"/>
  <c r="S188" i="19"/>
  <c r="S189" i="19"/>
  <c r="X189" i="19"/>
  <c r="X190" i="19"/>
  <c r="S190" i="19"/>
  <c r="S191" i="19"/>
  <c r="X191" i="19"/>
  <c r="X192" i="19"/>
  <c r="S192" i="19"/>
  <c r="S193" i="19"/>
  <c r="X193" i="19"/>
  <c r="X194" i="19"/>
  <c r="S194" i="19"/>
  <c r="X195" i="19"/>
  <c r="S195" i="19"/>
  <c r="X196" i="19"/>
  <c r="S196" i="19"/>
  <c r="S197" i="19"/>
  <c r="X197" i="19"/>
  <c r="X198" i="19"/>
  <c r="S198" i="19"/>
  <c r="S199" i="19"/>
  <c r="X199" i="19"/>
  <c r="X200" i="19"/>
  <c r="S200" i="19"/>
  <c r="X201" i="19"/>
  <c r="S201" i="19"/>
  <c r="X202" i="19"/>
  <c r="S202" i="19"/>
  <c r="X203" i="19"/>
  <c r="S203" i="19"/>
  <c r="X204" i="19"/>
  <c r="S204" i="19"/>
  <c r="X205" i="19"/>
  <c r="S205" i="19"/>
  <c r="X206" i="19"/>
  <c r="S206" i="19"/>
  <c r="X207" i="19"/>
  <c r="S207" i="19"/>
  <c r="X208" i="19"/>
  <c r="S208" i="19"/>
  <c r="S209" i="19"/>
  <c r="X209" i="19"/>
  <c r="X210" i="19"/>
  <c r="S210" i="19"/>
  <c r="S211" i="19"/>
  <c r="X211" i="19"/>
  <c r="S212" i="19"/>
  <c r="X212" i="19"/>
  <c r="X213" i="19"/>
  <c r="S213" i="19"/>
  <c r="X214" i="19"/>
  <c r="S214" i="19"/>
  <c r="S215" i="19"/>
  <c r="X215" i="19"/>
  <c r="X216" i="19"/>
  <c r="S216" i="19"/>
  <c r="S217" i="19"/>
  <c r="X217" i="19"/>
  <c r="S218" i="19"/>
  <c r="X218" i="19"/>
  <c r="X219" i="19"/>
  <c r="S219" i="19"/>
  <c r="X220" i="19"/>
  <c r="S220" i="19"/>
  <c r="X221" i="19"/>
  <c r="S221" i="19"/>
  <c r="S222" i="19"/>
  <c r="X222" i="19"/>
  <c r="S223" i="19"/>
  <c r="X223" i="19"/>
  <c r="X224" i="19"/>
  <c r="S224" i="19"/>
  <c r="S225" i="19"/>
  <c r="X225" i="19"/>
  <c r="S226" i="19"/>
  <c r="X226" i="19"/>
  <c r="S227" i="19"/>
  <c r="X227" i="19"/>
  <c r="X228" i="19"/>
  <c r="S228" i="19"/>
  <c r="X229" i="19"/>
  <c r="S229" i="19"/>
  <c r="S230" i="19"/>
  <c r="X230" i="19"/>
  <c r="S231" i="19"/>
  <c r="X231" i="19"/>
  <c r="X232" i="19"/>
  <c r="S232" i="19"/>
  <c r="S233" i="19"/>
  <c r="X233" i="19"/>
  <c r="X234" i="19"/>
  <c r="S234" i="19"/>
  <c r="S235" i="19"/>
  <c r="X235" i="19"/>
  <c r="X236" i="19"/>
  <c r="S236" i="19"/>
  <c r="S237" i="19"/>
  <c r="X237" i="19"/>
  <c r="X238" i="19"/>
  <c r="S238" i="19"/>
  <c r="X239" i="19"/>
  <c r="S239" i="19"/>
  <c r="X240" i="19"/>
  <c r="S240" i="19"/>
  <c r="S241" i="19"/>
  <c r="X241" i="19"/>
  <c r="X242" i="19"/>
  <c r="S242" i="19"/>
  <c r="X243" i="19"/>
  <c r="S243" i="19"/>
  <c r="X244" i="19"/>
  <c r="S244" i="19"/>
  <c r="X245" i="19"/>
  <c r="S245" i="19"/>
  <c r="X246" i="19"/>
  <c r="S246" i="19"/>
  <c r="S247" i="19"/>
  <c r="X247" i="19"/>
  <c r="X248" i="19"/>
  <c r="S248" i="19"/>
  <c r="X249" i="19"/>
  <c r="S249" i="19"/>
  <c r="S250" i="19"/>
  <c r="X250" i="19"/>
  <c r="X251" i="19"/>
  <c r="S251" i="19"/>
  <c r="S252" i="19"/>
  <c r="X252" i="19"/>
  <c r="X253" i="19"/>
  <c r="S253" i="19"/>
  <c r="S254" i="19"/>
  <c r="X254" i="19"/>
  <c r="S255" i="19"/>
  <c r="X255" i="19"/>
  <c r="X256" i="19"/>
  <c r="S256" i="19"/>
  <c r="X257" i="19"/>
  <c r="S257" i="19"/>
  <c r="S258" i="19"/>
  <c r="X258" i="19"/>
  <c r="X259" i="19"/>
  <c r="S259" i="19"/>
  <c r="S260" i="19"/>
  <c r="X260" i="19"/>
  <c r="S261" i="19"/>
  <c r="X261" i="19"/>
  <c r="X262" i="19"/>
  <c r="S262" i="19"/>
  <c r="S263" i="19"/>
  <c r="X263" i="19"/>
  <c r="S264" i="19"/>
  <c r="X264" i="19"/>
  <c r="S265" i="19"/>
  <c r="X265" i="19"/>
  <c r="X266" i="19"/>
  <c r="S266" i="19"/>
  <c r="X267" i="19"/>
  <c r="S267" i="19"/>
  <c r="S268" i="19"/>
  <c r="X268" i="19"/>
  <c r="S269" i="19"/>
  <c r="X269" i="19"/>
  <c r="S270" i="19"/>
  <c r="X270" i="19"/>
  <c r="S271" i="19"/>
  <c r="X271" i="19"/>
  <c r="S272" i="19"/>
  <c r="X272" i="19"/>
  <c r="S273" i="19"/>
  <c r="X273" i="19"/>
  <c r="S274" i="19"/>
  <c r="X274" i="19"/>
  <c r="S275" i="19"/>
  <c r="X275" i="19"/>
  <c r="S276" i="19"/>
  <c r="X276" i="19"/>
  <c r="X277" i="19"/>
  <c r="S277" i="19"/>
  <c r="X278" i="19"/>
  <c r="S278" i="19"/>
  <c r="X279" i="19"/>
  <c r="S279" i="19"/>
  <c r="S280" i="19"/>
  <c r="X280" i="19"/>
  <c r="X281" i="19"/>
  <c r="S281" i="19"/>
  <c r="S282" i="19"/>
  <c r="X282" i="19"/>
  <c r="X283" i="19"/>
  <c r="S283" i="19"/>
  <c r="S284" i="19"/>
  <c r="X284" i="19"/>
  <c r="S285" i="19"/>
  <c r="X285" i="19"/>
  <c r="X286" i="19"/>
  <c r="S286" i="19"/>
  <c r="X287" i="19"/>
  <c r="S287" i="19"/>
  <c r="X288" i="19"/>
  <c r="S288" i="19"/>
  <c r="X289" i="19"/>
  <c r="S289" i="19"/>
  <c r="S290" i="19"/>
  <c r="X290" i="19"/>
  <c r="S291" i="19"/>
  <c r="X291" i="19"/>
  <c r="S292" i="19"/>
  <c r="X292" i="19"/>
  <c r="S293" i="19"/>
  <c r="X293" i="19"/>
  <c r="S294" i="19"/>
  <c r="X294" i="19"/>
  <c r="X295" i="19"/>
  <c r="S295" i="19"/>
  <c r="X296" i="19"/>
  <c r="S296" i="19"/>
  <c r="S297" i="19"/>
  <c r="X297" i="19"/>
  <c r="S298" i="19"/>
  <c r="X298" i="19"/>
  <c r="X299" i="19"/>
  <c r="S299" i="19"/>
  <c r="S300" i="19"/>
  <c r="X300" i="19"/>
  <c r="X301" i="19"/>
  <c r="S301" i="19"/>
  <c r="S302" i="19"/>
  <c r="X302" i="19"/>
  <c r="S303" i="19"/>
  <c r="X303" i="19"/>
  <c r="S304" i="19"/>
  <c r="X304" i="19"/>
  <c r="S305" i="19"/>
  <c r="X305" i="19"/>
  <c r="S306" i="19"/>
  <c r="X306" i="19"/>
  <c r="S307" i="19"/>
  <c r="X307" i="19"/>
  <c r="X308" i="19"/>
  <c r="S308" i="19"/>
  <c r="S309" i="19"/>
  <c r="X309" i="19"/>
  <c r="S310" i="19"/>
  <c r="X310" i="19"/>
  <c r="X311" i="19"/>
  <c r="S311" i="19"/>
  <c r="X312" i="19"/>
  <c r="S312" i="19"/>
  <c r="S313" i="19"/>
  <c r="X313" i="19"/>
  <c r="S314" i="19"/>
  <c r="X314" i="19"/>
  <c r="S315" i="19"/>
  <c r="X315" i="19"/>
  <c r="X316" i="19"/>
  <c r="S316" i="19"/>
  <c r="X317" i="19"/>
  <c r="S317" i="19"/>
  <c r="S318" i="19"/>
  <c r="X318" i="19"/>
  <c r="X319" i="19"/>
  <c r="S319" i="19"/>
  <c r="X320" i="19"/>
  <c r="S320" i="19"/>
  <c r="S321" i="19"/>
  <c r="X321" i="19"/>
  <c r="S322" i="19"/>
  <c r="X322" i="19"/>
  <c r="X323" i="19"/>
  <c r="S323" i="19"/>
  <c r="S324" i="19"/>
  <c r="X324" i="19"/>
  <c r="S325" i="19"/>
  <c r="X325" i="19"/>
  <c r="S326" i="19"/>
  <c r="X326" i="19"/>
  <c r="X327" i="19"/>
  <c r="S327" i="19"/>
  <c r="S328" i="19"/>
  <c r="X328" i="19"/>
  <c r="S329" i="19"/>
  <c r="X329" i="19"/>
  <c r="S330" i="19"/>
  <c r="X330" i="19"/>
  <c r="X331" i="19"/>
  <c r="S331" i="19"/>
  <c r="S332" i="19"/>
  <c r="X332" i="19"/>
  <c r="S333" i="19"/>
  <c r="X333" i="19"/>
  <c r="X334" i="19"/>
  <c r="S334" i="19"/>
  <c r="X335" i="19"/>
  <c r="S335" i="19"/>
  <c r="S336" i="19"/>
  <c r="X336" i="19"/>
  <c r="X337" i="19"/>
  <c r="S337" i="19"/>
  <c r="X338" i="19"/>
  <c r="S338" i="19"/>
  <c r="X339" i="19"/>
  <c r="S339" i="19"/>
  <c r="X340" i="19"/>
  <c r="S340" i="19"/>
  <c r="X341" i="19"/>
  <c r="S341" i="19"/>
  <c r="X342" i="19"/>
  <c r="S342" i="19"/>
  <c r="X343" i="19"/>
  <c r="S343" i="19"/>
  <c r="S344" i="19"/>
  <c r="X344" i="19"/>
  <c r="X345" i="19"/>
  <c r="S345" i="19"/>
  <c r="X346" i="19"/>
  <c r="S346" i="19"/>
  <c r="X347" i="19"/>
  <c r="S347" i="19"/>
  <c r="X348" i="19"/>
  <c r="S348" i="19"/>
  <c r="X349" i="19"/>
  <c r="S349" i="19"/>
  <c r="X350" i="19"/>
  <c r="S350" i="19"/>
  <c r="X351" i="19"/>
  <c r="S351" i="19"/>
  <c r="X352" i="19"/>
  <c r="S352" i="19"/>
  <c r="X353" i="19"/>
  <c r="S353" i="19"/>
  <c r="X354" i="19"/>
  <c r="S354" i="19"/>
  <c r="S355" i="19"/>
  <c r="X355" i="19"/>
  <c r="X356" i="19"/>
  <c r="S356" i="19"/>
  <c r="X357" i="19"/>
  <c r="S357" i="19"/>
  <c r="X358" i="19"/>
  <c r="S358" i="19"/>
  <c r="S359" i="19"/>
  <c r="X359" i="19"/>
  <c r="X360" i="19"/>
  <c r="S360" i="19"/>
  <c r="X361" i="19"/>
  <c r="S361" i="19"/>
  <c r="X362" i="19"/>
  <c r="S362" i="19"/>
  <c r="X363" i="19"/>
  <c r="S363" i="19"/>
  <c r="X364" i="19"/>
  <c r="S364" i="19"/>
  <c r="S365" i="19"/>
  <c r="X365" i="19"/>
  <c r="S366" i="19"/>
  <c r="X366" i="19"/>
  <c r="S367" i="19"/>
  <c r="X367" i="19"/>
  <c r="S368" i="19"/>
  <c r="X368" i="19"/>
  <c r="S369" i="19"/>
  <c r="X369" i="19"/>
  <c r="S370" i="19"/>
  <c r="X370" i="19"/>
  <c r="S371" i="19"/>
  <c r="X371" i="19"/>
  <c r="X372" i="19"/>
  <c r="S372" i="19"/>
  <c r="X373" i="19"/>
  <c r="S373" i="19"/>
  <c r="S374" i="19"/>
  <c r="X374" i="19"/>
  <c r="S375" i="19"/>
  <c r="X375" i="19"/>
  <c r="S376" i="19"/>
  <c r="X376" i="19"/>
  <c r="S377" i="19"/>
  <c r="X377" i="19"/>
  <c r="X378" i="19"/>
  <c r="S378" i="19"/>
  <c r="S379" i="19"/>
  <c r="X379" i="19"/>
  <c r="S380" i="19"/>
  <c r="X380" i="19"/>
  <c r="S381" i="19"/>
  <c r="X381" i="19"/>
  <c r="X382" i="19"/>
  <c r="S382" i="19"/>
  <c r="X383" i="19"/>
  <c r="S383" i="19"/>
  <c r="X384" i="19"/>
  <c r="S384" i="19"/>
  <c r="X385" i="19"/>
  <c r="S385" i="19"/>
  <c r="X386" i="19"/>
  <c r="S386" i="19"/>
  <c r="X387" i="19"/>
  <c r="S387" i="19"/>
  <c r="X388" i="19"/>
  <c r="S388" i="19"/>
  <c r="X389" i="19"/>
  <c r="S389" i="19"/>
  <c r="X390" i="19"/>
  <c r="S390" i="19"/>
  <c r="S391" i="19"/>
  <c r="X391" i="19"/>
  <c r="X392" i="19"/>
  <c r="S392" i="19"/>
  <c r="S393" i="19"/>
  <c r="X393" i="19"/>
  <c r="X394" i="19"/>
  <c r="S394" i="19"/>
  <c r="S395" i="19"/>
  <c r="X395" i="19"/>
  <c r="X396" i="19"/>
  <c r="S396" i="19"/>
  <c r="X397" i="19"/>
  <c r="S397" i="19"/>
  <c r="X398" i="19"/>
  <c r="S398" i="19"/>
  <c r="X399" i="19"/>
  <c r="S399" i="19"/>
  <c r="X400" i="19"/>
  <c r="S400" i="19"/>
  <c r="X401" i="19"/>
  <c r="S401" i="19"/>
  <c r="X402" i="19"/>
  <c r="S402" i="19"/>
  <c r="X403" i="19"/>
  <c r="S403" i="19"/>
  <c r="X404" i="19"/>
  <c r="S404" i="19"/>
  <c r="X405" i="19"/>
  <c r="S405" i="19"/>
  <c r="X406" i="19"/>
  <c r="S406" i="19"/>
  <c r="X407" i="19"/>
  <c r="S407" i="19"/>
  <c r="X408" i="19"/>
  <c r="S408" i="19"/>
  <c r="X409" i="19"/>
  <c r="S409" i="19"/>
  <c r="X410" i="19"/>
  <c r="S410" i="19"/>
  <c r="X411" i="19"/>
  <c r="S411" i="19"/>
  <c r="X412" i="19"/>
  <c r="S412" i="19"/>
  <c r="X413" i="19"/>
  <c r="S413" i="19"/>
  <c r="S414" i="19"/>
  <c r="X414" i="19"/>
  <c r="X415" i="19"/>
  <c r="S415" i="19"/>
  <c r="S416" i="19"/>
  <c r="X416" i="19"/>
  <c r="X417" i="19"/>
  <c r="S417" i="19"/>
  <c r="S418" i="19"/>
  <c r="X418" i="19"/>
  <c r="X419" i="19"/>
  <c r="S419" i="19"/>
  <c r="X420" i="19"/>
  <c r="S420" i="19"/>
  <c r="S421" i="19"/>
  <c r="X421" i="19"/>
  <c r="X422" i="19"/>
  <c r="S422" i="19"/>
  <c r="S423" i="19"/>
  <c r="X423" i="19"/>
  <c r="S424" i="19"/>
  <c r="X424" i="19"/>
  <c r="X425" i="19"/>
  <c r="S425" i="19"/>
  <c r="S426" i="19"/>
  <c r="X426" i="19"/>
  <c r="S427" i="19"/>
  <c r="X427" i="19"/>
  <c r="S428" i="19"/>
  <c r="X428" i="19"/>
  <c r="X429" i="19"/>
  <c r="S429" i="19"/>
  <c r="S430" i="19"/>
  <c r="X430" i="19"/>
  <c r="S431" i="19"/>
  <c r="X431" i="19"/>
  <c r="S432" i="19"/>
  <c r="X432" i="19"/>
  <c r="X433" i="19"/>
  <c r="S433" i="19"/>
  <c r="S434" i="19"/>
  <c r="X434" i="19"/>
  <c r="X435" i="19"/>
  <c r="S435" i="19"/>
  <c r="X436" i="19"/>
  <c r="S436" i="19"/>
  <c r="X437" i="19"/>
  <c r="S437" i="19"/>
  <c r="X438" i="19"/>
  <c r="S438" i="19"/>
  <c r="X439" i="19"/>
  <c r="S439" i="19"/>
  <c r="X440" i="19"/>
  <c r="S440" i="19"/>
  <c r="S441" i="19"/>
  <c r="X441" i="19"/>
  <c r="X442" i="19"/>
  <c r="S442" i="19"/>
  <c r="X443" i="19"/>
  <c r="S443" i="19"/>
  <c r="X444" i="19"/>
  <c r="S444" i="19"/>
  <c r="X445" i="19"/>
  <c r="S445" i="19"/>
  <c r="X446" i="19"/>
  <c r="S446" i="19"/>
  <c r="S447" i="19"/>
  <c r="X447" i="19"/>
  <c r="S448" i="19"/>
  <c r="X448" i="19"/>
  <c r="X449" i="19"/>
  <c r="S449" i="19"/>
  <c r="X450" i="19"/>
  <c r="S450" i="19"/>
  <c r="X451" i="19"/>
  <c r="S451" i="19"/>
  <c r="X452" i="19"/>
  <c r="S452" i="19"/>
  <c r="X453" i="19"/>
  <c r="S453" i="19"/>
  <c r="X454" i="19"/>
  <c r="S454" i="19"/>
  <c r="X455" i="19"/>
  <c r="S455" i="19"/>
  <c r="X456" i="19"/>
  <c r="S456" i="19"/>
  <c r="X457" i="19"/>
  <c r="S457" i="19"/>
  <c r="X458" i="19"/>
  <c r="S458" i="19"/>
  <c r="S459" i="19"/>
  <c r="X459" i="19"/>
  <c r="X460" i="19"/>
  <c r="S460" i="19"/>
  <c r="X461" i="19"/>
  <c r="S461" i="19"/>
  <c r="X462" i="19"/>
  <c r="S462" i="19"/>
  <c r="X463" i="19"/>
  <c r="S463" i="19"/>
  <c r="X464" i="19"/>
  <c r="S464" i="19"/>
  <c r="S465" i="19"/>
  <c r="X465" i="19"/>
  <c r="X466" i="19"/>
  <c r="S466" i="19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H14" i="10" l="1"/>
  <c r="N14" i="10" s="1"/>
  <c r="O14" i="10" s="1"/>
  <c r="P14" i="10" s="1"/>
  <c r="L14" i="10"/>
  <c r="Q14" i="10"/>
  <c r="H15" i="10"/>
  <c r="N15" i="10" s="1"/>
  <c r="O15" i="10" s="1"/>
  <c r="P15" i="10" s="1"/>
  <c r="U15" i="10" s="1"/>
  <c r="L15" i="10"/>
  <c r="Q15" i="10"/>
  <c r="H16" i="10"/>
  <c r="N16" i="10" s="1"/>
  <c r="O16" i="10" s="1"/>
  <c r="P16" i="10" s="1"/>
  <c r="U16" i="10" s="1"/>
  <c r="L16" i="10"/>
  <c r="Q16" i="10"/>
  <c r="H17" i="10"/>
  <c r="L17" i="10"/>
  <c r="Q17" i="10"/>
  <c r="H18" i="10"/>
  <c r="L18" i="10"/>
  <c r="Q18" i="10"/>
  <c r="H19" i="10"/>
  <c r="L19" i="10"/>
  <c r="Q19" i="10"/>
  <c r="H20" i="10"/>
  <c r="N20" i="10" s="1"/>
  <c r="O20" i="10" s="1"/>
  <c r="P20" i="10" s="1"/>
  <c r="U20" i="10" s="1"/>
  <c r="L20" i="10"/>
  <c r="Q20" i="10"/>
  <c r="H21" i="10"/>
  <c r="N21" i="10" s="1"/>
  <c r="O21" i="10" s="1"/>
  <c r="P21" i="10" s="1"/>
  <c r="U21" i="10" s="1"/>
  <c r="L21" i="10"/>
  <c r="Q21" i="10"/>
  <c r="H22" i="10"/>
  <c r="N22" i="10" s="1"/>
  <c r="O22" i="10" s="1"/>
  <c r="P22" i="10" s="1"/>
  <c r="U22" i="10" s="1"/>
  <c r="L22" i="10"/>
  <c r="Q22" i="10"/>
  <c r="H23" i="10"/>
  <c r="N23" i="10" s="1"/>
  <c r="O23" i="10" s="1"/>
  <c r="P23" i="10" s="1"/>
  <c r="L23" i="10"/>
  <c r="Q23" i="10"/>
  <c r="H24" i="10"/>
  <c r="N24" i="10" s="1"/>
  <c r="O24" i="10" s="1"/>
  <c r="P24" i="10" s="1"/>
  <c r="U24" i="10" s="1"/>
  <c r="L24" i="10"/>
  <c r="Q24" i="10"/>
  <c r="H25" i="10"/>
  <c r="N25" i="10" s="1"/>
  <c r="O25" i="10" s="1"/>
  <c r="P25" i="10" s="1"/>
  <c r="U25" i="10" s="1"/>
  <c r="L25" i="10"/>
  <c r="Q25" i="10"/>
  <c r="H26" i="10"/>
  <c r="N26" i="10" s="1"/>
  <c r="O26" i="10" s="1"/>
  <c r="P26" i="10" s="1"/>
  <c r="L26" i="10"/>
  <c r="Q26" i="10"/>
  <c r="H27" i="10"/>
  <c r="N27" i="10" s="1"/>
  <c r="O27" i="10" s="1"/>
  <c r="P27" i="10" s="1"/>
  <c r="L27" i="10"/>
  <c r="Q27" i="10"/>
  <c r="H28" i="10"/>
  <c r="N28" i="10" s="1"/>
  <c r="O28" i="10" s="1"/>
  <c r="P28" i="10" s="1"/>
  <c r="L28" i="10"/>
  <c r="Q28" i="10"/>
  <c r="H29" i="10"/>
  <c r="N29" i="10" s="1"/>
  <c r="O29" i="10" s="1"/>
  <c r="P29" i="10" s="1"/>
  <c r="L29" i="10"/>
  <c r="Q29" i="10"/>
  <c r="H30" i="10"/>
  <c r="N30" i="10" s="1"/>
  <c r="O30" i="10" s="1"/>
  <c r="P30" i="10" s="1"/>
  <c r="L30" i="10"/>
  <c r="Q30" i="10"/>
  <c r="H31" i="10"/>
  <c r="N31" i="10" s="1"/>
  <c r="O31" i="10" s="1"/>
  <c r="P31" i="10" s="1"/>
  <c r="U31" i="10" s="1"/>
  <c r="L31" i="10"/>
  <c r="Q31" i="10"/>
  <c r="H32" i="10"/>
  <c r="N32" i="10" s="1"/>
  <c r="O32" i="10" s="1"/>
  <c r="P32" i="10" s="1"/>
  <c r="L32" i="10"/>
  <c r="Q32" i="10"/>
  <c r="H33" i="10"/>
  <c r="N33" i="10" s="1"/>
  <c r="O33" i="10" s="1"/>
  <c r="P33" i="10" s="1"/>
  <c r="L33" i="10"/>
  <c r="Q33" i="10"/>
  <c r="H34" i="10"/>
  <c r="N34" i="10" s="1"/>
  <c r="O34" i="10" s="1"/>
  <c r="P34" i="10" s="1"/>
  <c r="L34" i="10"/>
  <c r="Q34" i="10"/>
  <c r="H35" i="10"/>
  <c r="N35" i="10" s="1"/>
  <c r="O35" i="10" s="1"/>
  <c r="P35" i="10" s="1"/>
  <c r="U35" i="10" s="1"/>
  <c r="L35" i="10"/>
  <c r="Q35" i="10"/>
  <c r="H36" i="10"/>
  <c r="N36" i="10" s="1"/>
  <c r="O36" i="10" s="1"/>
  <c r="P36" i="10" s="1"/>
  <c r="U36" i="10" s="1"/>
  <c r="L36" i="10"/>
  <c r="Q36" i="10"/>
  <c r="H37" i="10"/>
  <c r="N37" i="10" s="1"/>
  <c r="O37" i="10" s="1"/>
  <c r="P37" i="10" s="1"/>
  <c r="U37" i="10" s="1"/>
  <c r="L37" i="10"/>
  <c r="Q37" i="10"/>
  <c r="H38" i="10"/>
  <c r="N38" i="10" s="1"/>
  <c r="O38" i="10" s="1"/>
  <c r="P38" i="10" s="1"/>
  <c r="U38" i="10" s="1"/>
  <c r="L38" i="10"/>
  <c r="Q38" i="10"/>
  <c r="H39" i="10"/>
  <c r="N39" i="10" s="1"/>
  <c r="O39" i="10" s="1"/>
  <c r="P39" i="10" s="1"/>
  <c r="U39" i="10" s="1"/>
  <c r="L39" i="10"/>
  <c r="Q39" i="10"/>
  <c r="H40" i="10"/>
  <c r="N40" i="10" s="1"/>
  <c r="O40" i="10" s="1"/>
  <c r="P40" i="10" s="1"/>
  <c r="U40" i="10" s="1"/>
  <c r="L40" i="10"/>
  <c r="Q40" i="10"/>
  <c r="H41" i="10"/>
  <c r="N41" i="10" s="1"/>
  <c r="O41" i="10" s="1"/>
  <c r="P41" i="10" s="1"/>
  <c r="U41" i="10" s="1"/>
  <c r="L41" i="10"/>
  <c r="Q41" i="10"/>
  <c r="H42" i="10"/>
  <c r="N42" i="10" s="1"/>
  <c r="O42" i="10" s="1"/>
  <c r="P42" i="10" s="1"/>
  <c r="U42" i="10" s="1"/>
  <c r="L42" i="10"/>
  <c r="Q42" i="10"/>
  <c r="H43" i="10"/>
  <c r="N43" i="10" s="1"/>
  <c r="O43" i="10" s="1"/>
  <c r="P43" i="10" s="1"/>
  <c r="U43" i="10" s="1"/>
  <c r="L43" i="10"/>
  <c r="Q43" i="10"/>
  <c r="H44" i="10"/>
  <c r="N44" i="10" s="1"/>
  <c r="O44" i="10" s="1"/>
  <c r="P44" i="10" s="1"/>
  <c r="U44" i="10" s="1"/>
  <c r="L44" i="10"/>
  <c r="Q44" i="10"/>
  <c r="H45" i="10"/>
  <c r="N45" i="10" s="1"/>
  <c r="O45" i="10" s="1"/>
  <c r="P45" i="10" s="1"/>
  <c r="U45" i="10" s="1"/>
  <c r="L45" i="10"/>
  <c r="Q45" i="10"/>
  <c r="H46" i="10"/>
  <c r="N46" i="10" s="1"/>
  <c r="O46" i="10" s="1"/>
  <c r="P46" i="10" s="1"/>
  <c r="U46" i="10" s="1"/>
  <c r="L46" i="10"/>
  <c r="Q46" i="10"/>
  <c r="H47" i="10"/>
  <c r="N47" i="10" s="1"/>
  <c r="O47" i="10" s="1"/>
  <c r="P47" i="10" s="1"/>
  <c r="U47" i="10" s="1"/>
  <c r="L47" i="10"/>
  <c r="Q47" i="10"/>
  <c r="H48" i="10"/>
  <c r="N48" i="10" s="1"/>
  <c r="O48" i="10" s="1"/>
  <c r="P48" i="10" s="1"/>
  <c r="U48" i="10" s="1"/>
  <c r="L48" i="10"/>
  <c r="Q48" i="10"/>
  <c r="H49" i="10"/>
  <c r="N49" i="10" s="1"/>
  <c r="O49" i="10" s="1"/>
  <c r="P49" i="10" s="1"/>
  <c r="U49" i="10" s="1"/>
  <c r="L49" i="10"/>
  <c r="Q49" i="10"/>
  <c r="H50" i="10"/>
  <c r="N50" i="10" s="1"/>
  <c r="O50" i="10" s="1"/>
  <c r="P50" i="10" s="1"/>
  <c r="U50" i="10" s="1"/>
  <c r="L50" i="10"/>
  <c r="Q50" i="10"/>
  <c r="H51" i="10"/>
  <c r="N51" i="10" s="1"/>
  <c r="O51" i="10" s="1"/>
  <c r="P51" i="10" s="1"/>
  <c r="U51" i="10" s="1"/>
  <c r="L51" i="10"/>
  <c r="Q51" i="10"/>
  <c r="H52" i="10"/>
  <c r="N52" i="10" s="1"/>
  <c r="O52" i="10" s="1"/>
  <c r="P52" i="10" s="1"/>
  <c r="U52" i="10" s="1"/>
  <c r="L52" i="10"/>
  <c r="Q52" i="10"/>
  <c r="H53" i="10"/>
  <c r="N53" i="10" s="1"/>
  <c r="O53" i="10" s="1"/>
  <c r="P53" i="10" s="1"/>
  <c r="U53" i="10" s="1"/>
  <c r="L53" i="10"/>
  <c r="Q53" i="10"/>
  <c r="H54" i="10"/>
  <c r="N54" i="10" s="1"/>
  <c r="O54" i="10" s="1"/>
  <c r="P54" i="10" s="1"/>
  <c r="U54" i="10" s="1"/>
  <c r="L54" i="10"/>
  <c r="Q54" i="10"/>
  <c r="H55" i="10"/>
  <c r="N55" i="10" s="1"/>
  <c r="O55" i="10" s="1"/>
  <c r="P55" i="10" s="1"/>
  <c r="U55" i="10" s="1"/>
  <c r="L55" i="10"/>
  <c r="Q55" i="10"/>
  <c r="H56" i="10"/>
  <c r="N56" i="10" s="1"/>
  <c r="O56" i="10" s="1"/>
  <c r="P56" i="10" s="1"/>
  <c r="U56" i="10" s="1"/>
  <c r="L56" i="10"/>
  <c r="Q56" i="10"/>
  <c r="H57" i="10"/>
  <c r="N57" i="10" s="1"/>
  <c r="O57" i="10" s="1"/>
  <c r="P57" i="10" s="1"/>
  <c r="U57" i="10" s="1"/>
  <c r="L57" i="10"/>
  <c r="Q57" i="10"/>
  <c r="H58" i="10"/>
  <c r="N58" i="10" s="1"/>
  <c r="O58" i="10" s="1"/>
  <c r="P58" i="10" s="1"/>
  <c r="U58" i="10" s="1"/>
  <c r="L58" i="10"/>
  <c r="Q58" i="10"/>
  <c r="H59" i="10"/>
  <c r="N59" i="10" s="1"/>
  <c r="O59" i="10" s="1"/>
  <c r="P59" i="10" s="1"/>
  <c r="U59" i="10" s="1"/>
  <c r="L59" i="10"/>
  <c r="Q59" i="10"/>
  <c r="H60" i="10"/>
  <c r="N60" i="10" s="1"/>
  <c r="O60" i="10" s="1"/>
  <c r="P60" i="10" s="1"/>
  <c r="U60" i="10" s="1"/>
  <c r="L60" i="10"/>
  <c r="Q60" i="10"/>
  <c r="H61" i="10"/>
  <c r="N61" i="10" s="1"/>
  <c r="O61" i="10" s="1"/>
  <c r="P61" i="10" s="1"/>
  <c r="U61" i="10" s="1"/>
  <c r="L61" i="10"/>
  <c r="Q61" i="10"/>
  <c r="H62" i="10"/>
  <c r="N62" i="10" s="1"/>
  <c r="O62" i="10" s="1"/>
  <c r="P62" i="10" s="1"/>
  <c r="U62" i="10" s="1"/>
  <c r="L62" i="10"/>
  <c r="Q62" i="10"/>
  <c r="H63" i="10"/>
  <c r="N63" i="10" s="1"/>
  <c r="O63" i="10" s="1"/>
  <c r="P63" i="10" s="1"/>
  <c r="U63" i="10" s="1"/>
  <c r="L63" i="10"/>
  <c r="Q63" i="10"/>
  <c r="H64" i="10"/>
  <c r="N64" i="10" s="1"/>
  <c r="O64" i="10" s="1"/>
  <c r="P64" i="10" s="1"/>
  <c r="U64" i="10" s="1"/>
  <c r="L64" i="10"/>
  <c r="Q64" i="10"/>
  <c r="H65" i="10"/>
  <c r="N65" i="10" s="1"/>
  <c r="O65" i="10" s="1"/>
  <c r="P65" i="10" s="1"/>
  <c r="U65" i="10" s="1"/>
  <c r="L65" i="10"/>
  <c r="Q65" i="10"/>
  <c r="H66" i="10"/>
  <c r="N66" i="10" s="1"/>
  <c r="O66" i="10" s="1"/>
  <c r="P66" i="10" s="1"/>
  <c r="U66" i="10" s="1"/>
  <c r="L66" i="10"/>
  <c r="Q66" i="10"/>
  <c r="H67" i="10"/>
  <c r="N67" i="10" s="1"/>
  <c r="O67" i="10" s="1"/>
  <c r="P67" i="10" s="1"/>
  <c r="U67" i="10" s="1"/>
  <c r="L67" i="10"/>
  <c r="Q67" i="10"/>
  <c r="H68" i="10"/>
  <c r="N68" i="10" s="1"/>
  <c r="O68" i="10" s="1"/>
  <c r="P68" i="10" s="1"/>
  <c r="U68" i="10" s="1"/>
  <c r="L68" i="10"/>
  <c r="Q68" i="10"/>
  <c r="H69" i="10"/>
  <c r="N69" i="10" s="1"/>
  <c r="O69" i="10" s="1"/>
  <c r="P69" i="10" s="1"/>
  <c r="U69" i="10" s="1"/>
  <c r="L69" i="10"/>
  <c r="Q69" i="10"/>
  <c r="H70" i="10"/>
  <c r="N70" i="10" s="1"/>
  <c r="O70" i="10" s="1"/>
  <c r="P70" i="10" s="1"/>
  <c r="U70" i="10" s="1"/>
  <c r="L70" i="10"/>
  <c r="Q70" i="10"/>
  <c r="H71" i="10"/>
  <c r="N71" i="10" s="1"/>
  <c r="O71" i="10" s="1"/>
  <c r="P71" i="10" s="1"/>
  <c r="U71" i="10" s="1"/>
  <c r="L71" i="10"/>
  <c r="Q71" i="10"/>
  <c r="H72" i="10"/>
  <c r="N72" i="10" s="1"/>
  <c r="O72" i="10" s="1"/>
  <c r="P72" i="10" s="1"/>
  <c r="U72" i="10" s="1"/>
  <c r="L72" i="10"/>
  <c r="Q72" i="10"/>
  <c r="H73" i="10"/>
  <c r="N73" i="10" s="1"/>
  <c r="O73" i="10" s="1"/>
  <c r="P73" i="10" s="1"/>
  <c r="U73" i="10" s="1"/>
  <c r="L73" i="10"/>
  <c r="Q73" i="10"/>
  <c r="H74" i="10"/>
  <c r="N74" i="10" s="1"/>
  <c r="O74" i="10" s="1"/>
  <c r="P74" i="10" s="1"/>
  <c r="U74" i="10" s="1"/>
  <c r="L74" i="10"/>
  <c r="Q74" i="10"/>
  <c r="H75" i="10"/>
  <c r="N75" i="10" s="1"/>
  <c r="O75" i="10" s="1"/>
  <c r="P75" i="10" s="1"/>
  <c r="U75" i="10" s="1"/>
  <c r="L75" i="10"/>
  <c r="Q75" i="10"/>
  <c r="H76" i="10"/>
  <c r="N76" i="10" s="1"/>
  <c r="O76" i="10" s="1"/>
  <c r="P76" i="10" s="1"/>
  <c r="U76" i="10" s="1"/>
  <c r="L76" i="10"/>
  <c r="Q76" i="10"/>
  <c r="H77" i="10"/>
  <c r="N77" i="10" s="1"/>
  <c r="O77" i="10" s="1"/>
  <c r="P77" i="10" s="1"/>
  <c r="U77" i="10" s="1"/>
  <c r="L77" i="10"/>
  <c r="Q77" i="10"/>
  <c r="H78" i="10"/>
  <c r="N78" i="10" s="1"/>
  <c r="O78" i="10" s="1"/>
  <c r="P78" i="10" s="1"/>
  <c r="U78" i="10" s="1"/>
  <c r="L78" i="10"/>
  <c r="Q78" i="10"/>
  <c r="H79" i="10"/>
  <c r="N79" i="10" s="1"/>
  <c r="O79" i="10" s="1"/>
  <c r="P79" i="10" s="1"/>
  <c r="U79" i="10" s="1"/>
  <c r="L79" i="10"/>
  <c r="Q79" i="10"/>
  <c r="H80" i="10"/>
  <c r="N80" i="10" s="1"/>
  <c r="O80" i="10" s="1"/>
  <c r="P80" i="10" s="1"/>
  <c r="U80" i="10" s="1"/>
  <c r="L80" i="10"/>
  <c r="Q80" i="10"/>
  <c r="H81" i="10"/>
  <c r="N81" i="10" s="1"/>
  <c r="O81" i="10" s="1"/>
  <c r="P81" i="10" s="1"/>
  <c r="U81" i="10" s="1"/>
  <c r="L81" i="10"/>
  <c r="Q81" i="10"/>
  <c r="H82" i="10"/>
  <c r="N82" i="10" s="1"/>
  <c r="O82" i="10" s="1"/>
  <c r="P82" i="10" s="1"/>
  <c r="U82" i="10" s="1"/>
  <c r="L82" i="10"/>
  <c r="Q82" i="10"/>
  <c r="H83" i="10"/>
  <c r="N83" i="10" s="1"/>
  <c r="O83" i="10" s="1"/>
  <c r="P83" i="10" s="1"/>
  <c r="U83" i="10" s="1"/>
  <c r="L83" i="10"/>
  <c r="Q83" i="10"/>
  <c r="H84" i="10"/>
  <c r="N84" i="10" s="1"/>
  <c r="O84" i="10" s="1"/>
  <c r="P84" i="10" s="1"/>
  <c r="U84" i="10" s="1"/>
  <c r="L84" i="10"/>
  <c r="Q84" i="10"/>
  <c r="H85" i="10"/>
  <c r="N85" i="10" s="1"/>
  <c r="O85" i="10" s="1"/>
  <c r="P85" i="10" s="1"/>
  <c r="U85" i="10" s="1"/>
  <c r="L85" i="10"/>
  <c r="Q85" i="10"/>
  <c r="H86" i="10"/>
  <c r="N86" i="10" s="1"/>
  <c r="O86" i="10" s="1"/>
  <c r="P86" i="10" s="1"/>
  <c r="U86" i="10" s="1"/>
  <c r="L86" i="10"/>
  <c r="Q86" i="10"/>
  <c r="H87" i="10"/>
  <c r="N87" i="10" s="1"/>
  <c r="O87" i="10" s="1"/>
  <c r="P87" i="10" s="1"/>
  <c r="U87" i="10" s="1"/>
  <c r="L87" i="10"/>
  <c r="Q87" i="10"/>
  <c r="H88" i="10"/>
  <c r="N88" i="10" s="1"/>
  <c r="O88" i="10" s="1"/>
  <c r="P88" i="10" s="1"/>
  <c r="U88" i="10" s="1"/>
  <c r="L88" i="10"/>
  <c r="Q88" i="10"/>
  <c r="H89" i="10"/>
  <c r="N89" i="10" s="1"/>
  <c r="O89" i="10" s="1"/>
  <c r="P89" i="10" s="1"/>
  <c r="U89" i="10" s="1"/>
  <c r="L89" i="10"/>
  <c r="Q89" i="10"/>
  <c r="H90" i="10"/>
  <c r="N90" i="10" s="1"/>
  <c r="O90" i="10" s="1"/>
  <c r="P90" i="10" s="1"/>
  <c r="U90" i="10" s="1"/>
  <c r="L90" i="10"/>
  <c r="Q90" i="10"/>
  <c r="H91" i="10"/>
  <c r="N91" i="10" s="1"/>
  <c r="O91" i="10" s="1"/>
  <c r="P91" i="10" s="1"/>
  <c r="U91" i="10" s="1"/>
  <c r="L91" i="10"/>
  <c r="Q91" i="10"/>
  <c r="H92" i="10"/>
  <c r="N92" i="10" s="1"/>
  <c r="O92" i="10" s="1"/>
  <c r="P92" i="10" s="1"/>
  <c r="U92" i="10" s="1"/>
  <c r="L92" i="10"/>
  <c r="Q92" i="10"/>
  <c r="H93" i="10"/>
  <c r="N93" i="10" s="1"/>
  <c r="O93" i="10" s="1"/>
  <c r="P93" i="10" s="1"/>
  <c r="U93" i="10" s="1"/>
  <c r="L93" i="10"/>
  <c r="Q93" i="10"/>
  <c r="H94" i="10"/>
  <c r="N94" i="10" s="1"/>
  <c r="O94" i="10" s="1"/>
  <c r="P94" i="10" s="1"/>
  <c r="U94" i="10" s="1"/>
  <c r="L94" i="10"/>
  <c r="Q94" i="10"/>
  <c r="H95" i="10"/>
  <c r="N95" i="10" s="1"/>
  <c r="O95" i="10" s="1"/>
  <c r="P95" i="10" s="1"/>
  <c r="U95" i="10" s="1"/>
  <c r="L95" i="10"/>
  <c r="Q95" i="10"/>
  <c r="H96" i="10"/>
  <c r="N96" i="10" s="1"/>
  <c r="O96" i="10" s="1"/>
  <c r="P96" i="10" s="1"/>
  <c r="U96" i="10" s="1"/>
  <c r="L96" i="10"/>
  <c r="Q96" i="10"/>
  <c r="H97" i="10"/>
  <c r="N97" i="10" s="1"/>
  <c r="O97" i="10" s="1"/>
  <c r="P97" i="10" s="1"/>
  <c r="U97" i="10" s="1"/>
  <c r="L97" i="10"/>
  <c r="Q97" i="10"/>
  <c r="H98" i="10"/>
  <c r="N98" i="10" s="1"/>
  <c r="O98" i="10" s="1"/>
  <c r="P98" i="10" s="1"/>
  <c r="U98" i="10" s="1"/>
  <c r="L98" i="10"/>
  <c r="Q98" i="10"/>
  <c r="H99" i="10"/>
  <c r="N99" i="10" s="1"/>
  <c r="O99" i="10" s="1"/>
  <c r="P99" i="10" s="1"/>
  <c r="U99" i="10" s="1"/>
  <c r="L99" i="10"/>
  <c r="Q99" i="10"/>
  <c r="H100" i="10"/>
  <c r="N100" i="10" s="1"/>
  <c r="O100" i="10" s="1"/>
  <c r="P100" i="10" s="1"/>
  <c r="U100" i="10" s="1"/>
  <c r="L100" i="10"/>
  <c r="Q100" i="10"/>
  <c r="H101" i="10"/>
  <c r="N101" i="10" s="1"/>
  <c r="O101" i="10" s="1"/>
  <c r="P101" i="10" s="1"/>
  <c r="U101" i="10" s="1"/>
  <c r="L101" i="10"/>
  <c r="Q101" i="10"/>
  <c r="H102" i="10"/>
  <c r="N102" i="10" s="1"/>
  <c r="O102" i="10" s="1"/>
  <c r="P102" i="10" s="1"/>
  <c r="U102" i="10" s="1"/>
  <c r="L102" i="10"/>
  <c r="Q102" i="10"/>
  <c r="H103" i="10"/>
  <c r="N103" i="10" s="1"/>
  <c r="O103" i="10" s="1"/>
  <c r="P103" i="10" s="1"/>
  <c r="U103" i="10" s="1"/>
  <c r="L103" i="10"/>
  <c r="Q103" i="10"/>
  <c r="H104" i="10"/>
  <c r="N104" i="10" s="1"/>
  <c r="O104" i="10" s="1"/>
  <c r="P104" i="10" s="1"/>
  <c r="U104" i="10" s="1"/>
  <c r="L104" i="10"/>
  <c r="Q104" i="10"/>
  <c r="H105" i="10"/>
  <c r="N105" i="10" s="1"/>
  <c r="O105" i="10" s="1"/>
  <c r="P105" i="10" s="1"/>
  <c r="U105" i="10" s="1"/>
  <c r="L105" i="10"/>
  <c r="Q105" i="10"/>
  <c r="H106" i="10"/>
  <c r="N106" i="10" s="1"/>
  <c r="O106" i="10" s="1"/>
  <c r="P106" i="10" s="1"/>
  <c r="U106" i="10" s="1"/>
  <c r="L106" i="10"/>
  <c r="Q106" i="10"/>
  <c r="H107" i="10"/>
  <c r="N107" i="10" s="1"/>
  <c r="O107" i="10" s="1"/>
  <c r="P107" i="10" s="1"/>
  <c r="U107" i="10" s="1"/>
  <c r="L107" i="10"/>
  <c r="Q107" i="10"/>
  <c r="H108" i="10"/>
  <c r="N108" i="10" s="1"/>
  <c r="O108" i="10" s="1"/>
  <c r="P108" i="10" s="1"/>
  <c r="U108" i="10" s="1"/>
  <c r="L108" i="10"/>
  <c r="Q108" i="10"/>
  <c r="H109" i="10"/>
  <c r="N109" i="10" s="1"/>
  <c r="O109" i="10" s="1"/>
  <c r="P109" i="10" s="1"/>
  <c r="U109" i="10" s="1"/>
  <c r="L109" i="10"/>
  <c r="Q109" i="10"/>
  <c r="H110" i="10"/>
  <c r="N110" i="10" s="1"/>
  <c r="O110" i="10" s="1"/>
  <c r="P110" i="10" s="1"/>
  <c r="U110" i="10" s="1"/>
  <c r="L110" i="10"/>
  <c r="Q110" i="10"/>
  <c r="H111" i="10"/>
  <c r="N111" i="10" s="1"/>
  <c r="O111" i="10" s="1"/>
  <c r="P111" i="10" s="1"/>
  <c r="U111" i="10" s="1"/>
  <c r="L111" i="10"/>
  <c r="Q111" i="10"/>
  <c r="H112" i="10"/>
  <c r="N112" i="10" s="1"/>
  <c r="O112" i="10" s="1"/>
  <c r="P112" i="10" s="1"/>
  <c r="U112" i="10" s="1"/>
  <c r="L112" i="10"/>
  <c r="Q112" i="10"/>
  <c r="H113" i="10"/>
  <c r="N113" i="10" s="1"/>
  <c r="O113" i="10" s="1"/>
  <c r="P113" i="10" s="1"/>
  <c r="U113" i="10" s="1"/>
  <c r="L113" i="10"/>
  <c r="Q113" i="10"/>
  <c r="H114" i="10"/>
  <c r="N114" i="10" s="1"/>
  <c r="O114" i="10" s="1"/>
  <c r="P114" i="10" s="1"/>
  <c r="U114" i="10" s="1"/>
  <c r="L114" i="10"/>
  <c r="Q114" i="10"/>
  <c r="H115" i="10"/>
  <c r="N115" i="10" s="1"/>
  <c r="O115" i="10" s="1"/>
  <c r="P115" i="10" s="1"/>
  <c r="U115" i="10" s="1"/>
  <c r="L115" i="10"/>
  <c r="Q115" i="10"/>
  <c r="H116" i="10"/>
  <c r="N116" i="10" s="1"/>
  <c r="O116" i="10" s="1"/>
  <c r="P116" i="10" s="1"/>
  <c r="U116" i="10" s="1"/>
  <c r="L116" i="10"/>
  <c r="Q116" i="10"/>
  <c r="H117" i="10"/>
  <c r="N117" i="10" s="1"/>
  <c r="O117" i="10" s="1"/>
  <c r="P117" i="10" s="1"/>
  <c r="U117" i="10" s="1"/>
  <c r="L117" i="10"/>
  <c r="Q117" i="10"/>
  <c r="H118" i="10"/>
  <c r="N118" i="10" s="1"/>
  <c r="O118" i="10" s="1"/>
  <c r="P118" i="10" s="1"/>
  <c r="U118" i="10" s="1"/>
  <c r="L118" i="10"/>
  <c r="Q118" i="10"/>
  <c r="H119" i="10"/>
  <c r="N119" i="10" s="1"/>
  <c r="O119" i="10" s="1"/>
  <c r="P119" i="10" s="1"/>
  <c r="U119" i="10" s="1"/>
  <c r="L119" i="10"/>
  <c r="Q119" i="10"/>
  <c r="H120" i="10"/>
  <c r="N120" i="10" s="1"/>
  <c r="O120" i="10" s="1"/>
  <c r="P120" i="10" s="1"/>
  <c r="U120" i="10" s="1"/>
  <c r="L120" i="10"/>
  <c r="Q120" i="10"/>
  <c r="H121" i="10"/>
  <c r="N121" i="10" s="1"/>
  <c r="O121" i="10" s="1"/>
  <c r="P121" i="10" s="1"/>
  <c r="U121" i="10" s="1"/>
  <c r="L121" i="10"/>
  <c r="Q121" i="10"/>
  <c r="H122" i="10"/>
  <c r="N122" i="10" s="1"/>
  <c r="O122" i="10" s="1"/>
  <c r="P122" i="10" s="1"/>
  <c r="U122" i="10" s="1"/>
  <c r="L122" i="10"/>
  <c r="Q122" i="10"/>
  <c r="H123" i="10"/>
  <c r="N123" i="10" s="1"/>
  <c r="O123" i="10" s="1"/>
  <c r="P123" i="10" s="1"/>
  <c r="U123" i="10" s="1"/>
  <c r="L123" i="10"/>
  <c r="Q123" i="10"/>
  <c r="H124" i="10"/>
  <c r="N124" i="10" s="1"/>
  <c r="O124" i="10" s="1"/>
  <c r="P124" i="10" s="1"/>
  <c r="U124" i="10" s="1"/>
  <c r="L124" i="10"/>
  <c r="Q124" i="10"/>
  <c r="H125" i="10"/>
  <c r="N125" i="10" s="1"/>
  <c r="O125" i="10" s="1"/>
  <c r="P125" i="10" s="1"/>
  <c r="U125" i="10" s="1"/>
  <c r="L125" i="10"/>
  <c r="Q125" i="10"/>
  <c r="H126" i="10"/>
  <c r="N126" i="10" s="1"/>
  <c r="O126" i="10" s="1"/>
  <c r="P126" i="10" s="1"/>
  <c r="U126" i="10" s="1"/>
  <c r="L126" i="10"/>
  <c r="Q126" i="10"/>
  <c r="H127" i="10"/>
  <c r="N127" i="10" s="1"/>
  <c r="O127" i="10" s="1"/>
  <c r="P127" i="10" s="1"/>
  <c r="U127" i="10" s="1"/>
  <c r="L127" i="10"/>
  <c r="Q127" i="10"/>
  <c r="H128" i="10"/>
  <c r="N128" i="10" s="1"/>
  <c r="O128" i="10" s="1"/>
  <c r="P128" i="10" s="1"/>
  <c r="U128" i="10" s="1"/>
  <c r="L128" i="10"/>
  <c r="Q128" i="10"/>
  <c r="H129" i="10"/>
  <c r="N129" i="10" s="1"/>
  <c r="O129" i="10" s="1"/>
  <c r="P129" i="10" s="1"/>
  <c r="U129" i="10" s="1"/>
  <c r="L129" i="10"/>
  <c r="Q129" i="10"/>
  <c r="H130" i="10"/>
  <c r="N130" i="10" s="1"/>
  <c r="O130" i="10" s="1"/>
  <c r="P130" i="10" s="1"/>
  <c r="U130" i="10" s="1"/>
  <c r="L130" i="10"/>
  <c r="Q130" i="10"/>
  <c r="H131" i="10"/>
  <c r="N131" i="10" s="1"/>
  <c r="O131" i="10" s="1"/>
  <c r="P131" i="10" s="1"/>
  <c r="U131" i="10" s="1"/>
  <c r="L131" i="10"/>
  <c r="Q131" i="10"/>
  <c r="H132" i="10"/>
  <c r="N132" i="10" s="1"/>
  <c r="O132" i="10" s="1"/>
  <c r="P132" i="10" s="1"/>
  <c r="U132" i="10" s="1"/>
  <c r="L132" i="10"/>
  <c r="Q132" i="10"/>
  <c r="H133" i="10"/>
  <c r="N133" i="10" s="1"/>
  <c r="O133" i="10" s="1"/>
  <c r="P133" i="10" s="1"/>
  <c r="U133" i="10" s="1"/>
  <c r="L133" i="10"/>
  <c r="Q133" i="10"/>
  <c r="BC3" i="6"/>
  <c r="BD3" i="6"/>
  <c r="BE3" i="6"/>
  <c r="AY3" i="6"/>
  <c r="AZ3" i="6"/>
  <c r="BF3" i="6"/>
  <c r="BG3" i="6"/>
  <c r="BH3" i="6"/>
  <c r="CF1" i="6"/>
  <c r="CG1" i="6"/>
  <c r="K3" i="6"/>
  <c r="L3" i="6"/>
  <c r="M3" i="6"/>
  <c r="N3" i="6"/>
  <c r="O3" i="6"/>
  <c r="P3" i="6"/>
  <c r="I3" i="6"/>
  <c r="G3" i="6"/>
  <c r="H3" i="6"/>
  <c r="J3" i="6"/>
  <c r="BS3" i="6"/>
  <c r="Q3" i="6"/>
  <c r="R3" i="6"/>
  <c r="S3" i="6"/>
  <c r="T3" i="6"/>
  <c r="U3" i="6"/>
  <c r="V3" i="6"/>
  <c r="W3" i="6"/>
  <c r="AA3" i="6"/>
  <c r="AM3" i="6"/>
  <c r="AN3" i="6"/>
  <c r="AO3" i="6"/>
  <c r="AP3" i="6"/>
  <c r="AQ3" i="6"/>
  <c r="AR3" i="6"/>
  <c r="AS3" i="6"/>
  <c r="AW3" i="6"/>
  <c r="BI3" i="6"/>
  <c r="BJ3" i="6"/>
  <c r="BK3" i="6"/>
  <c r="BL3" i="6"/>
  <c r="BM3" i="6"/>
  <c r="BN3" i="6"/>
  <c r="BO3" i="6"/>
  <c r="X3" i="6"/>
  <c r="Y3" i="6"/>
  <c r="Z3" i="6"/>
  <c r="AT3" i="6"/>
  <c r="AU3" i="6"/>
  <c r="AV3" i="6"/>
  <c r="BP3" i="6"/>
  <c r="BQ3" i="6"/>
  <c r="BR3" i="6"/>
  <c r="AC3" i="6"/>
  <c r="AD3" i="6"/>
  <c r="AG3" i="6"/>
  <c r="AH3" i="6"/>
  <c r="AI3" i="6"/>
  <c r="AJ3" i="6"/>
  <c r="AK3" i="6"/>
  <c r="AL3" i="6"/>
  <c r="G4" i="6"/>
  <c r="K4" i="6"/>
  <c r="L4" i="6"/>
  <c r="M4" i="6"/>
  <c r="N4" i="6"/>
  <c r="O4" i="6"/>
  <c r="P4" i="6"/>
  <c r="H4" i="6"/>
  <c r="BC4" i="6"/>
  <c r="BD4" i="6"/>
  <c r="BE4" i="6"/>
  <c r="AY4" i="6"/>
  <c r="AZ4" i="6"/>
  <c r="BF4" i="6"/>
  <c r="BG4" i="6"/>
  <c r="BH4" i="6"/>
  <c r="AC4" i="6"/>
  <c r="AD4" i="6"/>
  <c r="AG4" i="6"/>
  <c r="AH4" i="6"/>
  <c r="AI4" i="6"/>
  <c r="AJ4" i="6"/>
  <c r="AK4" i="6"/>
  <c r="AL4" i="6"/>
  <c r="Q4" i="6"/>
  <c r="R4" i="6"/>
  <c r="S4" i="6"/>
  <c r="T4" i="6"/>
  <c r="U4" i="6"/>
  <c r="V4" i="6"/>
  <c r="W4" i="6"/>
  <c r="AA4" i="6"/>
  <c r="AM4" i="6"/>
  <c r="AN4" i="6"/>
  <c r="AO4" i="6"/>
  <c r="AP4" i="6"/>
  <c r="AQ4" i="6"/>
  <c r="AR4" i="6"/>
  <c r="AS4" i="6"/>
  <c r="AW4" i="6"/>
  <c r="BI4" i="6"/>
  <c r="BJ4" i="6"/>
  <c r="BK4" i="6"/>
  <c r="BL4" i="6"/>
  <c r="BM4" i="6"/>
  <c r="BN4" i="6"/>
  <c r="BO4" i="6"/>
  <c r="X4" i="6"/>
  <c r="Y4" i="6"/>
  <c r="Z4" i="6"/>
  <c r="AT4" i="6"/>
  <c r="AU4" i="6"/>
  <c r="AV4" i="6"/>
  <c r="BP4" i="6"/>
  <c r="BS4" i="6"/>
  <c r="BQ4" i="6"/>
  <c r="BR4" i="6"/>
  <c r="BS5" i="6"/>
  <c r="Q5" i="6"/>
  <c r="R5" i="6"/>
  <c r="S5" i="6"/>
  <c r="T5" i="6"/>
  <c r="U5" i="6"/>
  <c r="V5" i="6"/>
  <c r="W5" i="6"/>
  <c r="AA5" i="6"/>
  <c r="AM5" i="6"/>
  <c r="AN5" i="6"/>
  <c r="AO5" i="6"/>
  <c r="AP5" i="6"/>
  <c r="AQ5" i="6"/>
  <c r="AR5" i="6"/>
  <c r="AS5" i="6"/>
  <c r="AW5" i="6"/>
  <c r="BI5" i="6"/>
  <c r="BJ5" i="6"/>
  <c r="BK5" i="6"/>
  <c r="BL5" i="6"/>
  <c r="BM5" i="6"/>
  <c r="BN5" i="6"/>
  <c r="BO5" i="6"/>
  <c r="X5" i="6"/>
  <c r="Y5" i="6"/>
  <c r="Z5" i="6"/>
  <c r="AT5" i="6"/>
  <c r="AU5" i="6"/>
  <c r="AV5" i="6"/>
  <c r="BP5" i="6"/>
  <c r="BQ5" i="6"/>
  <c r="BR5" i="6"/>
  <c r="AC5" i="6"/>
  <c r="AD5" i="6"/>
  <c r="AG5" i="6"/>
  <c r="AH5" i="6"/>
  <c r="AI5" i="6"/>
  <c r="AJ5" i="6"/>
  <c r="AK5" i="6"/>
  <c r="AL5" i="6"/>
  <c r="BC5" i="6"/>
  <c r="BD5" i="6"/>
  <c r="BE5" i="6"/>
  <c r="AY5" i="6"/>
  <c r="AZ5" i="6"/>
  <c r="BF5" i="6"/>
  <c r="BG5" i="6"/>
  <c r="BH5" i="6"/>
  <c r="H5" i="6"/>
  <c r="K5" i="6"/>
  <c r="L5" i="6"/>
  <c r="M5" i="6"/>
  <c r="N5" i="6"/>
  <c r="O5" i="6"/>
  <c r="P5" i="6"/>
  <c r="G5" i="6"/>
  <c r="Q6" i="6"/>
  <c r="R6" i="6"/>
  <c r="S6" i="6"/>
  <c r="T6" i="6"/>
  <c r="U6" i="6"/>
  <c r="V6" i="6"/>
  <c r="W6" i="6"/>
  <c r="AA6" i="6"/>
  <c r="AM6" i="6"/>
  <c r="AN6" i="6"/>
  <c r="AO6" i="6"/>
  <c r="AP6" i="6"/>
  <c r="AQ6" i="6"/>
  <c r="AR6" i="6"/>
  <c r="AS6" i="6"/>
  <c r="AW6" i="6"/>
  <c r="BI6" i="6"/>
  <c r="BJ6" i="6"/>
  <c r="BK6" i="6"/>
  <c r="BL6" i="6"/>
  <c r="BM6" i="6"/>
  <c r="BN6" i="6"/>
  <c r="BO6" i="6"/>
  <c r="X6" i="6"/>
  <c r="Y6" i="6"/>
  <c r="Z6" i="6"/>
  <c r="AT6" i="6"/>
  <c r="AU6" i="6"/>
  <c r="AV6" i="6"/>
  <c r="BP6" i="6"/>
  <c r="BS6" i="6"/>
  <c r="BQ6" i="6"/>
  <c r="BR6" i="6"/>
  <c r="G6" i="6"/>
  <c r="K6" i="6"/>
  <c r="L6" i="6"/>
  <c r="M6" i="6"/>
  <c r="N6" i="6"/>
  <c r="O6" i="6"/>
  <c r="P6" i="6"/>
  <c r="H6" i="6"/>
  <c r="AC6" i="6"/>
  <c r="AD6" i="6"/>
  <c r="AG6" i="6"/>
  <c r="AH6" i="6"/>
  <c r="AI6" i="6"/>
  <c r="AJ6" i="6"/>
  <c r="AK6" i="6"/>
  <c r="AL6" i="6"/>
  <c r="BC6" i="6"/>
  <c r="BD6" i="6"/>
  <c r="BE6" i="6"/>
  <c r="AY6" i="6"/>
  <c r="AZ6" i="6"/>
  <c r="BF6" i="6"/>
  <c r="BG6" i="6"/>
  <c r="BH6" i="6"/>
  <c r="BC7" i="6"/>
  <c r="BD7" i="6"/>
  <c r="BE7" i="6"/>
  <c r="AY7" i="6"/>
  <c r="AZ7" i="6"/>
  <c r="BF7" i="6"/>
  <c r="BG7" i="6"/>
  <c r="BH7" i="6"/>
  <c r="AC7" i="6"/>
  <c r="AD7" i="6"/>
  <c r="AG7" i="6"/>
  <c r="AH7" i="6"/>
  <c r="AI7" i="6"/>
  <c r="AJ7" i="6"/>
  <c r="AK7" i="6"/>
  <c r="AL7" i="6"/>
  <c r="BS7" i="6"/>
  <c r="Q7" i="6"/>
  <c r="R7" i="6"/>
  <c r="S7" i="6"/>
  <c r="T7" i="6"/>
  <c r="U7" i="6"/>
  <c r="V7" i="6"/>
  <c r="W7" i="6"/>
  <c r="AA7" i="6"/>
  <c r="AM7" i="6"/>
  <c r="AN7" i="6"/>
  <c r="AO7" i="6"/>
  <c r="AP7" i="6"/>
  <c r="AQ7" i="6"/>
  <c r="AR7" i="6"/>
  <c r="AS7" i="6"/>
  <c r="AW7" i="6"/>
  <c r="BI7" i="6"/>
  <c r="BJ7" i="6"/>
  <c r="BK7" i="6"/>
  <c r="BL7" i="6"/>
  <c r="BM7" i="6"/>
  <c r="BN7" i="6"/>
  <c r="BO7" i="6"/>
  <c r="X7" i="6"/>
  <c r="Y7" i="6"/>
  <c r="Z7" i="6"/>
  <c r="AT7" i="6"/>
  <c r="AU7" i="6"/>
  <c r="AV7" i="6"/>
  <c r="BP7" i="6"/>
  <c r="BQ7" i="6"/>
  <c r="BR7" i="6"/>
  <c r="K7" i="6"/>
  <c r="L7" i="6"/>
  <c r="M7" i="6"/>
  <c r="N7" i="6"/>
  <c r="O7" i="6"/>
  <c r="P7" i="6"/>
  <c r="G7" i="6"/>
  <c r="H7" i="6"/>
  <c r="Q8" i="6"/>
  <c r="R8" i="6"/>
  <c r="S8" i="6"/>
  <c r="T8" i="6"/>
  <c r="U8" i="6"/>
  <c r="V8" i="6"/>
  <c r="W8" i="6"/>
  <c r="AA8" i="6"/>
  <c r="AM8" i="6"/>
  <c r="AN8" i="6"/>
  <c r="AO8" i="6"/>
  <c r="AP8" i="6"/>
  <c r="AQ8" i="6"/>
  <c r="AR8" i="6"/>
  <c r="AS8" i="6"/>
  <c r="AW8" i="6"/>
  <c r="BI8" i="6"/>
  <c r="BJ8" i="6"/>
  <c r="BK8" i="6"/>
  <c r="BL8" i="6"/>
  <c r="BM8" i="6"/>
  <c r="BN8" i="6"/>
  <c r="BO8" i="6"/>
  <c r="X8" i="6"/>
  <c r="Y8" i="6"/>
  <c r="Z8" i="6"/>
  <c r="AT8" i="6"/>
  <c r="AU8" i="6"/>
  <c r="AV8" i="6"/>
  <c r="BP8" i="6"/>
  <c r="BS8" i="6"/>
  <c r="BQ8" i="6"/>
  <c r="BR8" i="6"/>
  <c r="H8" i="6"/>
  <c r="K8" i="6"/>
  <c r="L8" i="6"/>
  <c r="M8" i="6"/>
  <c r="N8" i="6"/>
  <c r="O8" i="6"/>
  <c r="P8" i="6"/>
  <c r="I8" i="6" s="1"/>
  <c r="G8" i="6"/>
  <c r="J8" i="6"/>
  <c r="AC8" i="6"/>
  <c r="AD8" i="6"/>
  <c r="AG8" i="6"/>
  <c r="AH8" i="6"/>
  <c r="AI8" i="6"/>
  <c r="AJ8" i="6"/>
  <c r="AK8" i="6"/>
  <c r="AL8" i="6"/>
  <c r="BC8" i="6"/>
  <c r="BD8" i="6"/>
  <c r="BE8" i="6"/>
  <c r="AY8" i="6"/>
  <c r="AZ8" i="6"/>
  <c r="BF8" i="6"/>
  <c r="BG8" i="6"/>
  <c r="BH8" i="6"/>
  <c r="BC9" i="6"/>
  <c r="BD9" i="6"/>
  <c r="BE9" i="6"/>
  <c r="AY9" i="6"/>
  <c r="AZ9" i="6"/>
  <c r="BF9" i="6"/>
  <c r="BG9" i="6"/>
  <c r="BH9" i="6"/>
  <c r="AC9" i="6"/>
  <c r="AD9" i="6"/>
  <c r="AG9" i="6"/>
  <c r="AH9" i="6"/>
  <c r="AI9" i="6"/>
  <c r="AJ9" i="6"/>
  <c r="AK9" i="6"/>
  <c r="AL9" i="6"/>
  <c r="G9" i="6"/>
  <c r="K9" i="6"/>
  <c r="L9" i="6"/>
  <c r="M9" i="6"/>
  <c r="N9" i="6"/>
  <c r="O9" i="6"/>
  <c r="P9" i="6"/>
  <c r="H9" i="6"/>
  <c r="Q9" i="6"/>
  <c r="R9" i="6"/>
  <c r="S9" i="6"/>
  <c r="T9" i="6"/>
  <c r="U9" i="6"/>
  <c r="V9" i="6"/>
  <c r="W9" i="6"/>
  <c r="AA9" i="6"/>
  <c r="AM9" i="6"/>
  <c r="AN9" i="6"/>
  <c r="AO9" i="6"/>
  <c r="AP9" i="6"/>
  <c r="AQ9" i="6"/>
  <c r="AR9" i="6"/>
  <c r="AS9" i="6"/>
  <c r="AW9" i="6"/>
  <c r="BI9" i="6"/>
  <c r="BJ9" i="6"/>
  <c r="BK9" i="6"/>
  <c r="BL9" i="6"/>
  <c r="BM9" i="6"/>
  <c r="BN9" i="6"/>
  <c r="BO9" i="6"/>
  <c r="X9" i="6"/>
  <c r="Y9" i="6"/>
  <c r="Z9" i="6"/>
  <c r="AT9" i="6"/>
  <c r="AU9" i="6"/>
  <c r="AV9" i="6"/>
  <c r="BP9" i="6"/>
  <c r="BS9" i="6"/>
  <c r="BQ9" i="6"/>
  <c r="BR9" i="6"/>
  <c r="BC10" i="6"/>
  <c r="BD10" i="6"/>
  <c r="BE10" i="6"/>
  <c r="AY10" i="6"/>
  <c r="AZ10" i="6"/>
  <c r="BF10" i="6"/>
  <c r="BG10" i="6"/>
  <c r="BH10" i="6"/>
  <c r="AC10" i="6"/>
  <c r="AD10" i="6"/>
  <c r="AG10" i="6"/>
  <c r="AH10" i="6"/>
  <c r="AI10" i="6"/>
  <c r="AJ10" i="6"/>
  <c r="AK10" i="6"/>
  <c r="AL10" i="6"/>
  <c r="K10" i="6"/>
  <c r="L10" i="6"/>
  <c r="M10" i="6"/>
  <c r="N10" i="6"/>
  <c r="O10" i="6"/>
  <c r="P10" i="6"/>
  <c r="G10" i="6"/>
  <c r="H10" i="6"/>
  <c r="Q10" i="6"/>
  <c r="R10" i="6"/>
  <c r="S10" i="6"/>
  <c r="T10" i="6"/>
  <c r="U10" i="6"/>
  <c r="V10" i="6"/>
  <c r="W10" i="6"/>
  <c r="AA10" i="6"/>
  <c r="AM10" i="6"/>
  <c r="AN10" i="6"/>
  <c r="AO10" i="6"/>
  <c r="AP10" i="6"/>
  <c r="AQ10" i="6"/>
  <c r="AR10" i="6"/>
  <c r="AS10" i="6"/>
  <c r="AW10" i="6"/>
  <c r="BI10" i="6"/>
  <c r="BJ10" i="6"/>
  <c r="BK10" i="6"/>
  <c r="BL10" i="6"/>
  <c r="BM10" i="6"/>
  <c r="BN10" i="6"/>
  <c r="BO10" i="6"/>
  <c r="X10" i="6"/>
  <c r="Y10" i="6"/>
  <c r="Z10" i="6"/>
  <c r="AT10" i="6"/>
  <c r="AU10" i="6"/>
  <c r="AV10" i="6"/>
  <c r="BP10" i="6"/>
  <c r="BS10" i="6"/>
  <c r="BQ10" i="6"/>
  <c r="BR10" i="6"/>
  <c r="H11" i="6"/>
  <c r="K11" i="6"/>
  <c r="L11" i="6"/>
  <c r="M11" i="6"/>
  <c r="N11" i="6"/>
  <c r="O11" i="6"/>
  <c r="P11" i="6"/>
  <c r="G11" i="6"/>
  <c r="BC11" i="6"/>
  <c r="BD11" i="6"/>
  <c r="BE11" i="6"/>
  <c r="AY11" i="6"/>
  <c r="AZ11" i="6"/>
  <c r="BF11" i="6"/>
  <c r="BG11" i="6"/>
  <c r="BH11" i="6"/>
  <c r="BA11" i="6" s="1"/>
  <c r="BB11" i="6"/>
  <c r="AC11" i="6"/>
  <c r="AD11" i="6"/>
  <c r="AG11" i="6"/>
  <c r="AH11" i="6"/>
  <c r="AI11" i="6"/>
  <c r="AJ11" i="6"/>
  <c r="AK11" i="6"/>
  <c r="AL11" i="6"/>
  <c r="AE11" i="6" s="1"/>
  <c r="AF11" i="6"/>
  <c r="Q11" i="6"/>
  <c r="R11" i="6"/>
  <c r="S11" i="6"/>
  <c r="T11" i="6"/>
  <c r="U11" i="6"/>
  <c r="V11" i="6"/>
  <c r="W11" i="6"/>
  <c r="AA11" i="6"/>
  <c r="AM11" i="6"/>
  <c r="AN11" i="6"/>
  <c r="AO11" i="6"/>
  <c r="AP11" i="6"/>
  <c r="AQ11" i="6"/>
  <c r="AR11" i="6"/>
  <c r="AS11" i="6"/>
  <c r="AW11" i="6"/>
  <c r="BI11" i="6"/>
  <c r="BJ11" i="6"/>
  <c r="BK11" i="6"/>
  <c r="BL11" i="6"/>
  <c r="BM11" i="6"/>
  <c r="BN11" i="6"/>
  <c r="BO11" i="6"/>
  <c r="X11" i="6"/>
  <c r="Y11" i="6"/>
  <c r="Z11" i="6"/>
  <c r="AT11" i="6"/>
  <c r="AU11" i="6"/>
  <c r="AV11" i="6"/>
  <c r="BP11" i="6"/>
  <c r="BS11" i="6"/>
  <c r="BQ11" i="6"/>
  <c r="BR11" i="6"/>
  <c r="AC12" i="6"/>
  <c r="AD12" i="6"/>
  <c r="AG12" i="6"/>
  <c r="AH12" i="6"/>
  <c r="AI12" i="6"/>
  <c r="AJ12" i="6"/>
  <c r="AK12" i="6"/>
  <c r="AL12" i="6"/>
  <c r="AE12" i="6" s="1"/>
  <c r="AF12" i="6"/>
  <c r="BC12" i="6"/>
  <c r="BD12" i="6"/>
  <c r="BE12" i="6"/>
  <c r="AY12" i="6"/>
  <c r="AZ12" i="6"/>
  <c r="BF12" i="6"/>
  <c r="BG12" i="6"/>
  <c r="BH12" i="6"/>
  <c r="BA12" i="6" s="1"/>
  <c r="BB12" i="6"/>
  <c r="K12" i="6"/>
  <c r="L12" i="6"/>
  <c r="M12" i="6"/>
  <c r="N12" i="6"/>
  <c r="O12" i="6"/>
  <c r="P12" i="6"/>
  <c r="G12" i="6"/>
  <c r="I12" i="6"/>
  <c r="H12" i="6"/>
  <c r="J12" i="6"/>
  <c r="BS12" i="6"/>
  <c r="Q12" i="6"/>
  <c r="R12" i="6"/>
  <c r="S12" i="6"/>
  <c r="T12" i="6"/>
  <c r="U12" i="6"/>
  <c r="V12" i="6"/>
  <c r="W12" i="6"/>
  <c r="AA12" i="6"/>
  <c r="AM12" i="6"/>
  <c r="AN12" i="6"/>
  <c r="AO12" i="6"/>
  <c r="AP12" i="6"/>
  <c r="AQ12" i="6"/>
  <c r="AR12" i="6"/>
  <c r="AS12" i="6"/>
  <c r="AW12" i="6"/>
  <c r="BI12" i="6"/>
  <c r="BJ12" i="6"/>
  <c r="BK12" i="6"/>
  <c r="BL12" i="6"/>
  <c r="BM12" i="6"/>
  <c r="BN12" i="6"/>
  <c r="BO12" i="6"/>
  <c r="X12" i="6"/>
  <c r="Y12" i="6"/>
  <c r="Z12" i="6"/>
  <c r="AT12" i="6"/>
  <c r="AU12" i="6"/>
  <c r="AV12" i="6"/>
  <c r="BP12" i="6"/>
  <c r="BQ12" i="6"/>
  <c r="BR12" i="6"/>
  <c r="BC13" i="6"/>
  <c r="BD13" i="6"/>
  <c r="BE13" i="6"/>
  <c r="AY13" i="6"/>
  <c r="AZ13" i="6"/>
  <c r="BF13" i="6"/>
  <c r="BG13" i="6"/>
  <c r="BH13" i="6"/>
  <c r="BA13" i="6" s="1"/>
  <c r="BB13" i="6"/>
  <c r="AC13" i="6"/>
  <c r="AD13" i="6"/>
  <c r="AG13" i="6"/>
  <c r="AH13" i="6"/>
  <c r="AI13" i="6"/>
  <c r="AJ13" i="6"/>
  <c r="AK13" i="6"/>
  <c r="AL13" i="6"/>
  <c r="AE13" i="6" s="1"/>
  <c r="AF13" i="6"/>
  <c r="Q13" i="6"/>
  <c r="R13" i="6"/>
  <c r="S13" i="6"/>
  <c r="T13" i="6"/>
  <c r="U13" i="6"/>
  <c r="V13" i="6"/>
  <c r="W13" i="6"/>
  <c r="AA13" i="6"/>
  <c r="AM13" i="6"/>
  <c r="AN13" i="6"/>
  <c r="AO13" i="6"/>
  <c r="AP13" i="6"/>
  <c r="AQ13" i="6"/>
  <c r="AR13" i="6"/>
  <c r="AS13" i="6"/>
  <c r="AW13" i="6"/>
  <c r="BI13" i="6"/>
  <c r="BJ13" i="6"/>
  <c r="BK13" i="6"/>
  <c r="BL13" i="6"/>
  <c r="BM13" i="6"/>
  <c r="BN13" i="6"/>
  <c r="BO13" i="6"/>
  <c r="X13" i="6"/>
  <c r="Y13" i="6"/>
  <c r="Z13" i="6"/>
  <c r="AT13" i="6"/>
  <c r="AU13" i="6"/>
  <c r="AV13" i="6"/>
  <c r="BP13" i="6"/>
  <c r="BS13" i="6"/>
  <c r="BQ13" i="6"/>
  <c r="BR13" i="6"/>
  <c r="H13" i="6"/>
  <c r="K13" i="6"/>
  <c r="L13" i="6"/>
  <c r="M13" i="6"/>
  <c r="N13" i="6"/>
  <c r="O13" i="6"/>
  <c r="P13" i="6"/>
  <c r="I13" i="6"/>
  <c r="G13" i="6"/>
  <c r="J13" i="6"/>
  <c r="K14" i="6"/>
  <c r="L14" i="6"/>
  <c r="M14" i="6"/>
  <c r="N14" i="6"/>
  <c r="O14" i="6"/>
  <c r="P14" i="6"/>
  <c r="G14" i="6"/>
  <c r="H14" i="6"/>
  <c r="I14" i="6"/>
  <c r="J14" i="6"/>
  <c r="AC14" i="6"/>
  <c r="AD14" i="6"/>
  <c r="AG14" i="6"/>
  <c r="AH14" i="6"/>
  <c r="AI14" i="6"/>
  <c r="AJ14" i="6"/>
  <c r="AK14" i="6"/>
  <c r="AL14" i="6"/>
  <c r="AE14" i="6" s="1"/>
  <c r="AF14" i="6"/>
  <c r="BC14" i="6"/>
  <c r="BD14" i="6"/>
  <c r="BE14" i="6"/>
  <c r="AY14" i="6"/>
  <c r="AZ14" i="6"/>
  <c r="BF14" i="6"/>
  <c r="BG14" i="6"/>
  <c r="BH14" i="6"/>
  <c r="BA14" i="6" s="1"/>
  <c r="BB14" i="6"/>
  <c r="Q14" i="6"/>
  <c r="R14" i="6"/>
  <c r="S14" i="6"/>
  <c r="T14" i="6"/>
  <c r="U14" i="6"/>
  <c r="V14" i="6"/>
  <c r="W14" i="6"/>
  <c r="AA14" i="6"/>
  <c r="AM14" i="6"/>
  <c r="AN14" i="6"/>
  <c r="AO14" i="6"/>
  <c r="AP14" i="6"/>
  <c r="AQ14" i="6"/>
  <c r="AR14" i="6"/>
  <c r="AS14" i="6"/>
  <c r="AW14" i="6"/>
  <c r="BI14" i="6"/>
  <c r="BJ14" i="6"/>
  <c r="BK14" i="6"/>
  <c r="BL14" i="6"/>
  <c r="BM14" i="6"/>
  <c r="BN14" i="6"/>
  <c r="BO14" i="6"/>
  <c r="X14" i="6"/>
  <c r="Y14" i="6"/>
  <c r="Z14" i="6"/>
  <c r="AT14" i="6"/>
  <c r="AU14" i="6"/>
  <c r="AV14" i="6"/>
  <c r="BP14" i="6"/>
  <c r="BS14" i="6"/>
  <c r="BQ14" i="6"/>
  <c r="BR14" i="6"/>
  <c r="AC15" i="6"/>
  <c r="AD15" i="6"/>
  <c r="AG15" i="6"/>
  <c r="AH15" i="6"/>
  <c r="AI15" i="6"/>
  <c r="AJ15" i="6"/>
  <c r="AK15" i="6"/>
  <c r="AL15" i="6"/>
  <c r="AE15" i="6" s="1"/>
  <c r="AF15" i="6"/>
  <c r="K15" i="6"/>
  <c r="L15" i="6"/>
  <c r="M15" i="6"/>
  <c r="N15" i="6"/>
  <c r="O15" i="6"/>
  <c r="P15" i="6"/>
  <c r="I15" i="6"/>
  <c r="G15" i="6"/>
  <c r="H15" i="6"/>
  <c r="J15" i="6"/>
  <c r="BC15" i="6"/>
  <c r="BD15" i="6"/>
  <c r="BE15" i="6"/>
  <c r="AY15" i="6"/>
  <c r="AZ15" i="6"/>
  <c r="BF15" i="6"/>
  <c r="BG15" i="6"/>
  <c r="BH15" i="6"/>
  <c r="BA15" i="6" s="1"/>
  <c r="BB15" i="6"/>
  <c r="BS15" i="6"/>
  <c r="Q15" i="6"/>
  <c r="R15" i="6"/>
  <c r="S15" i="6"/>
  <c r="T15" i="6"/>
  <c r="U15" i="6"/>
  <c r="V15" i="6"/>
  <c r="W15" i="6"/>
  <c r="AA15" i="6"/>
  <c r="AM15" i="6"/>
  <c r="AN15" i="6"/>
  <c r="AO15" i="6"/>
  <c r="AP15" i="6"/>
  <c r="AQ15" i="6"/>
  <c r="AR15" i="6"/>
  <c r="AS15" i="6"/>
  <c r="AW15" i="6"/>
  <c r="BI15" i="6"/>
  <c r="BJ15" i="6"/>
  <c r="BK15" i="6"/>
  <c r="BL15" i="6"/>
  <c r="BM15" i="6"/>
  <c r="BN15" i="6"/>
  <c r="BO15" i="6"/>
  <c r="X15" i="6"/>
  <c r="Y15" i="6"/>
  <c r="Z15" i="6"/>
  <c r="AT15" i="6"/>
  <c r="AU15" i="6"/>
  <c r="AV15" i="6"/>
  <c r="BP15" i="6"/>
  <c r="BQ15" i="6"/>
  <c r="BR15" i="6"/>
  <c r="BC16" i="6"/>
  <c r="BD16" i="6"/>
  <c r="BE16" i="6"/>
  <c r="AY16" i="6"/>
  <c r="AZ16" i="6"/>
  <c r="BF16" i="6"/>
  <c r="BG16" i="6"/>
  <c r="BH16" i="6"/>
  <c r="G16" i="6"/>
  <c r="K16" i="6"/>
  <c r="L16" i="6"/>
  <c r="M16" i="6"/>
  <c r="N16" i="6"/>
  <c r="O16" i="6"/>
  <c r="P16" i="6"/>
  <c r="H16" i="6"/>
  <c r="AC16" i="6"/>
  <c r="AD16" i="6"/>
  <c r="AG16" i="6"/>
  <c r="AH16" i="6"/>
  <c r="AI16" i="6"/>
  <c r="AJ16" i="6"/>
  <c r="AK16" i="6"/>
  <c r="AL16" i="6"/>
  <c r="Q16" i="6"/>
  <c r="R16" i="6"/>
  <c r="S16" i="6"/>
  <c r="T16" i="6"/>
  <c r="U16" i="6"/>
  <c r="V16" i="6"/>
  <c r="W16" i="6"/>
  <c r="AA16" i="6"/>
  <c r="AM16" i="6"/>
  <c r="AN16" i="6"/>
  <c r="AO16" i="6"/>
  <c r="AP16" i="6"/>
  <c r="AQ16" i="6"/>
  <c r="AR16" i="6"/>
  <c r="AS16" i="6"/>
  <c r="AW16" i="6"/>
  <c r="BI16" i="6"/>
  <c r="BJ16" i="6"/>
  <c r="BK16" i="6"/>
  <c r="BL16" i="6"/>
  <c r="BM16" i="6"/>
  <c r="BN16" i="6"/>
  <c r="BO16" i="6"/>
  <c r="X16" i="6"/>
  <c r="Y16" i="6"/>
  <c r="Z16" i="6"/>
  <c r="AT16" i="6"/>
  <c r="AU16" i="6"/>
  <c r="AV16" i="6"/>
  <c r="BP16" i="6"/>
  <c r="BS16" i="6"/>
  <c r="BQ16" i="6"/>
  <c r="BR16" i="6"/>
  <c r="AC17" i="6"/>
  <c r="AD17" i="6"/>
  <c r="AG17" i="6"/>
  <c r="AH17" i="6"/>
  <c r="AI17" i="6"/>
  <c r="AJ17" i="6"/>
  <c r="AK17" i="6"/>
  <c r="AL17" i="6"/>
  <c r="K17" i="6"/>
  <c r="L17" i="6"/>
  <c r="M17" i="6"/>
  <c r="N17" i="6"/>
  <c r="O17" i="6"/>
  <c r="P17" i="6"/>
  <c r="G17" i="6"/>
  <c r="I17" i="6"/>
  <c r="H17" i="6"/>
  <c r="J17" i="6"/>
  <c r="BC17" i="6"/>
  <c r="BD17" i="6"/>
  <c r="BE17" i="6"/>
  <c r="AY17" i="6"/>
  <c r="AZ17" i="6"/>
  <c r="BF17" i="6"/>
  <c r="BG17" i="6"/>
  <c r="BH17" i="6"/>
  <c r="BS17" i="6"/>
  <c r="Q17" i="6"/>
  <c r="R17" i="6"/>
  <c r="S17" i="6"/>
  <c r="T17" i="6"/>
  <c r="U17" i="6"/>
  <c r="V17" i="6"/>
  <c r="W17" i="6"/>
  <c r="AA17" i="6"/>
  <c r="AM17" i="6"/>
  <c r="AN17" i="6"/>
  <c r="AO17" i="6"/>
  <c r="AP17" i="6"/>
  <c r="AQ17" i="6"/>
  <c r="AR17" i="6"/>
  <c r="AS17" i="6"/>
  <c r="AW17" i="6"/>
  <c r="BI17" i="6"/>
  <c r="BJ17" i="6"/>
  <c r="BK17" i="6"/>
  <c r="BL17" i="6"/>
  <c r="BM17" i="6"/>
  <c r="BN17" i="6"/>
  <c r="BO17" i="6"/>
  <c r="X17" i="6"/>
  <c r="Y17" i="6"/>
  <c r="Z17" i="6"/>
  <c r="AT17" i="6"/>
  <c r="AU17" i="6"/>
  <c r="AV17" i="6"/>
  <c r="BP17" i="6"/>
  <c r="BQ17" i="6"/>
  <c r="BR17" i="6"/>
  <c r="AC18" i="6"/>
  <c r="AD18" i="6"/>
  <c r="AG18" i="6"/>
  <c r="AH18" i="6"/>
  <c r="AI18" i="6"/>
  <c r="AJ18" i="6"/>
  <c r="AK18" i="6"/>
  <c r="AL18" i="6"/>
  <c r="H18" i="6"/>
  <c r="K18" i="6"/>
  <c r="L18" i="6"/>
  <c r="M18" i="6"/>
  <c r="N18" i="6"/>
  <c r="O18" i="6"/>
  <c r="P18" i="6"/>
  <c r="G18" i="6"/>
  <c r="BC18" i="6"/>
  <c r="BD18" i="6"/>
  <c r="BE18" i="6"/>
  <c r="AY18" i="6"/>
  <c r="AZ18" i="6"/>
  <c r="BF18" i="6"/>
  <c r="BG18" i="6"/>
  <c r="BH18" i="6"/>
  <c r="Q18" i="6"/>
  <c r="R18" i="6"/>
  <c r="S18" i="6"/>
  <c r="T18" i="6"/>
  <c r="U18" i="6"/>
  <c r="V18" i="6"/>
  <c r="W18" i="6"/>
  <c r="AA18" i="6"/>
  <c r="AM18" i="6"/>
  <c r="AN18" i="6"/>
  <c r="AO18" i="6"/>
  <c r="AP18" i="6"/>
  <c r="AQ18" i="6"/>
  <c r="AR18" i="6"/>
  <c r="AS18" i="6"/>
  <c r="AW18" i="6"/>
  <c r="BI18" i="6"/>
  <c r="BJ18" i="6"/>
  <c r="BK18" i="6"/>
  <c r="BL18" i="6"/>
  <c r="BM18" i="6"/>
  <c r="BN18" i="6"/>
  <c r="BO18" i="6"/>
  <c r="X18" i="6"/>
  <c r="Y18" i="6"/>
  <c r="Z18" i="6"/>
  <c r="AT18" i="6"/>
  <c r="AU18" i="6"/>
  <c r="AV18" i="6"/>
  <c r="BP18" i="6"/>
  <c r="BS18" i="6"/>
  <c r="BQ18" i="6"/>
  <c r="BR18" i="6"/>
  <c r="BC19" i="6"/>
  <c r="BD19" i="6"/>
  <c r="BE19" i="6"/>
  <c r="AY19" i="6"/>
  <c r="AZ19" i="6"/>
  <c r="BF19" i="6"/>
  <c r="BG19" i="6"/>
  <c r="BH19" i="6"/>
  <c r="AC19" i="6"/>
  <c r="AD19" i="6"/>
  <c r="AG19" i="6"/>
  <c r="AH19" i="6"/>
  <c r="AI19" i="6"/>
  <c r="AJ19" i="6"/>
  <c r="AK19" i="6"/>
  <c r="AL19" i="6"/>
  <c r="G19" i="6"/>
  <c r="K19" i="6"/>
  <c r="L19" i="6"/>
  <c r="M19" i="6"/>
  <c r="N19" i="6"/>
  <c r="O19" i="6"/>
  <c r="P19" i="6"/>
  <c r="H19" i="6"/>
  <c r="Q19" i="6"/>
  <c r="R19" i="6"/>
  <c r="S19" i="6"/>
  <c r="T19" i="6"/>
  <c r="U19" i="6"/>
  <c r="V19" i="6"/>
  <c r="W19" i="6"/>
  <c r="AA19" i="6"/>
  <c r="AM19" i="6"/>
  <c r="AN19" i="6"/>
  <c r="AO19" i="6"/>
  <c r="AP19" i="6"/>
  <c r="AQ19" i="6"/>
  <c r="AR19" i="6"/>
  <c r="AS19" i="6"/>
  <c r="AW19" i="6"/>
  <c r="BI19" i="6"/>
  <c r="BJ19" i="6"/>
  <c r="BK19" i="6"/>
  <c r="BL19" i="6"/>
  <c r="BM19" i="6"/>
  <c r="BN19" i="6"/>
  <c r="BO19" i="6"/>
  <c r="X19" i="6"/>
  <c r="Y19" i="6"/>
  <c r="Z19" i="6"/>
  <c r="AT19" i="6"/>
  <c r="AU19" i="6"/>
  <c r="AV19" i="6"/>
  <c r="BP19" i="6"/>
  <c r="BS19" i="6"/>
  <c r="BQ19" i="6"/>
  <c r="BR19" i="6"/>
  <c r="BC20" i="6"/>
  <c r="BD20" i="6"/>
  <c r="BE20" i="6"/>
  <c r="AY20" i="6"/>
  <c r="AZ20" i="6"/>
  <c r="BF20" i="6"/>
  <c r="BG20" i="6"/>
  <c r="BH20" i="6"/>
  <c r="H20" i="6"/>
  <c r="K20" i="6"/>
  <c r="L20" i="6"/>
  <c r="M20" i="6"/>
  <c r="N20" i="6"/>
  <c r="O20" i="6"/>
  <c r="P20" i="6"/>
  <c r="G20" i="6"/>
  <c r="AC20" i="6"/>
  <c r="AD20" i="6"/>
  <c r="AG20" i="6"/>
  <c r="AH20" i="6"/>
  <c r="AI20" i="6"/>
  <c r="AJ20" i="6"/>
  <c r="AK20" i="6"/>
  <c r="AL20" i="6"/>
  <c r="BS20" i="6"/>
  <c r="Q20" i="6"/>
  <c r="R20" i="6"/>
  <c r="S20" i="6"/>
  <c r="T20" i="6"/>
  <c r="U20" i="6"/>
  <c r="V20" i="6"/>
  <c r="W20" i="6"/>
  <c r="AA20" i="6"/>
  <c r="AM20" i="6"/>
  <c r="AN20" i="6"/>
  <c r="AO20" i="6"/>
  <c r="AP20" i="6"/>
  <c r="AQ20" i="6"/>
  <c r="AR20" i="6"/>
  <c r="AS20" i="6"/>
  <c r="AW20" i="6"/>
  <c r="BI20" i="6"/>
  <c r="BJ20" i="6"/>
  <c r="BK20" i="6"/>
  <c r="BL20" i="6"/>
  <c r="BM20" i="6"/>
  <c r="BN20" i="6"/>
  <c r="BO20" i="6"/>
  <c r="X20" i="6"/>
  <c r="Y20" i="6"/>
  <c r="Z20" i="6"/>
  <c r="AT20" i="6"/>
  <c r="AU20" i="6"/>
  <c r="AV20" i="6"/>
  <c r="BP20" i="6"/>
  <c r="BQ20" i="6"/>
  <c r="BR20" i="6"/>
  <c r="AC21" i="6"/>
  <c r="AD21" i="6"/>
  <c r="AG21" i="6"/>
  <c r="AH21" i="6"/>
  <c r="AI21" i="6"/>
  <c r="AJ21" i="6"/>
  <c r="AK21" i="6"/>
  <c r="AL21" i="6"/>
  <c r="BC21" i="6"/>
  <c r="BD21" i="6"/>
  <c r="BE21" i="6"/>
  <c r="AY21" i="6"/>
  <c r="AZ21" i="6"/>
  <c r="BF21" i="6"/>
  <c r="BG21" i="6"/>
  <c r="BH21" i="6"/>
  <c r="Q21" i="6"/>
  <c r="R21" i="6"/>
  <c r="S21" i="6"/>
  <c r="T21" i="6"/>
  <c r="U21" i="6"/>
  <c r="V21" i="6"/>
  <c r="W21" i="6"/>
  <c r="AA21" i="6"/>
  <c r="AM21" i="6"/>
  <c r="AN21" i="6"/>
  <c r="AO21" i="6"/>
  <c r="AP21" i="6"/>
  <c r="AQ21" i="6"/>
  <c r="AR21" i="6"/>
  <c r="AS21" i="6"/>
  <c r="AW21" i="6"/>
  <c r="BI21" i="6"/>
  <c r="BJ21" i="6"/>
  <c r="BK21" i="6"/>
  <c r="BL21" i="6"/>
  <c r="BM21" i="6"/>
  <c r="BN21" i="6"/>
  <c r="BO21" i="6"/>
  <c r="X21" i="6"/>
  <c r="Y21" i="6"/>
  <c r="Z21" i="6"/>
  <c r="AT21" i="6"/>
  <c r="AU21" i="6"/>
  <c r="AV21" i="6"/>
  <c r="BP21" i="6"/>
  <c r="BS21" i="6"/>
  <c r="BQ21" i="6"/>
  <c r="BR21" i="6"/>
  <c r="G21" i="6"/>
  <c r="K21" i="6"/>
  <c r="L21" i="6"/>
  <c r="M21" i="6"/>
  <c r="N21" i="6"/>
  <c r="O21" i="6"/>
  <c r="P21" i="6"/>
  <c r="H21" i="6"/>
  <c r="BC22" i="6"/>
  <c r="BD22" i="6"/>
  <c r="BE22" i="6"/>
  <c r="AY22" i="6"/>
  <c r="AZ22" i="6"/>
  <c r="BF22" i="6"/>
  <c r="BG22" i="6"/>
  <c r="BH22" i="6"/>
  <c r="H22" i="6"/>
  <c r="K22" i="6"/>
  <c r="L22" i="6"/>
  <c r="M22" i="6"/>
  <c r="N22" i="6"/>
  <c r="O22" i="6"/>
  <c r="P22" i="6"/>
  <c r="G22" i="6"/>
  <c r="BS22" i="6"/>
  <c r="Q22" i="6"/>
  <c r="R22" i="6"/>
  <c r="S22" i="6"/>
  <c r="T22" i="6"/>
  <c r="U22" i="6"/>
  <c r="V22" i="6"/>
  <c r="W22" i="6"/>
  <c r="AA22" i="6"/>
  <c r="AM22" i="6"/>
  <c r="AN22" i="6"/>
  <c r="AO22" i="6"/>
  <c r="AP22" i="6"/>
  <c r="AQ22" i="6"/>
  <c r="AR22" i="6"/>
  <c r="AS22" i="6"/>
  <c r="AW22" i="6"/>
  <c r="BI22" i="6"/>
  <c r="BJ22" i="6"/>
  <c r="BK22" i="6"/>
  <c r="BL22" i="6"/>
  <c r="BM22" i="6"/>
  <c r="BN22" i="6"/>
  <c r="BO22" i="6"/>
  <c r="X22" i="6"/>
  <c r="Y22" i="6"/>
  <c r="Z22" i="6"/>
  <c r="AT22" i="6"/>
  <c r="AU22" i="6"/>
  <c r="AV22" i="6"/>
  <c r="BP22" i="6"/>
  <c r="BQ22" i="6"/>
  <c r="BR22" i="6"/>
  <c r="AC22" i="6"/>
  <c r="AD22" i="6"/>
  <c r="AG22" i="6"/>
  <c r="AH22" i="6"/>
  <c r="AI22" i="6"/>
  <c r="AJ22" i="6"/>
  <c r="AK22" i="6"/>
  <c r="AL22" i="6"/>
  <c r="Q23" i="6"/>
  <c r="R23" i="6"/>
  <c r="S23" i="6"/>
  <c r="T23" i="6"/>
  <c r="U23" i="6"/>
  <c r="V23" i="6"/>
  <c r="W23" i="6"/>
  <c r="AA23" i="6"/>
  <c r="AM23" i="6"/>
  <c r="AN23" i="6"/>
  <c r="AO23" i="6"/>
  <c r="AP23" i="6"/>
  <c r="AQ23" i="6"/>
  <c r="AR23" i="6"/>
  <c r="AS23" i="6"/>
  <c r="AW23" i="6"/>
  <c r="BI23" i="6"/>
  <c r="BJ23" i="6"/>
  <c r="BK23" i="6"/>
  <c r="BL23" i="6"/>
  <c r="BM23" i="6"/>
  <c r="BN23" i="6"/>
  <c r="BO23" i="6"/>
  <c r="X23" i="6"/>
  <c r="Y23" i="6"/>
  <c r="Z23" i="6"/>
  <c r="AT23" i="6"/>
  <c r="AU23" i="6"/>
  <c r="AV23" i="6"/>
  <c r="BP23" i="6"/>
  <c r="BS23" i="6"/>
  <c r="BQ23" i="6"/>
  <c r="BR23" i="6"/>
  <c r="K23" i="6"/>
  <c r="L23" i="6"/>
  <c r="M23" i="6"/>
  <c r="N23" i="6"/>
  <c r="O23" i="6"/>
  <c r="P23" i="6"/>
  <c r="H23" i="6"/>
  <c r="G23" i="6"/>
  <c r="AC23" i="6"/>
  <c r="AD23" i="6"/>
  <c r="AG23" i="6"/>
  <c r="AH23" i="6"/>
  <c r="AI23" i="6"/>
  <c r="AJ23" i="6"/>
  <c r="AK23" i="6"/>
  <c r="AL23" i="6"/>
  <c r="BC23" i="6"/>
  <c r="BD23" i="6"/>
  <c r="BE23" i="6"/>
  <c r="AY23" i="6"/>
  <c r="AZ23" i="6"/>
  <c r="BF23" i="6"/>
  <c r="BG23" i="6"/>
  <c r="BH23" i="6"/>
  <c r="BS24" i="6"/>
  <c r="Q24" i="6"/>
  <c r="R24" i="6"/>
  <c r="S24" i="6"/>
  <c r="T24" i="6"/>
  <c r="U24" i="6"/>
  <c r="V24" i="6"/>
  <c r="W24" i="6"/>
  <c r="AA24" i="6"/>
  <c r="AM24" i="6"/>
  <c r="AN24" i="6"/>
  <c r="AO24" i="6"/>
  <c r="AP24" i="6"/>
  <c r="AQ24" i="6"/>
  <c r="AR24" i="6"/>
  <c r="AS24" i="6"/>
  <c r="AW24" i="6"/>
  <c r="BI24" i="6"/>
  <c r="BJ24" i="6"/>
  <c r="BK24" i="6"/>
  <c r="BL24" i="6"/>
  <c r="BM24" i="6"/>
  <c r="BN24" i="6"/>
  <c r="BO24" i="6"/>
  <c r="X24" i="6"/>
  <c r="Y24" i="6"/>
  <c r="Z24" i="6"/>
  <c r="AT24" i="6"/>
  <c r="AU24" i="6"/>
  <c r="AV24" i="6"/>
  <c r="BP24" i="6"/>
  <c r="BQ24" i="6"/>
  <c r="BR24" i="6"/>
  <c r="AC24" i="6"/>
  <c r="AD24" i="6"/>
  <c r="AG24" i="6"/>
  <c r="AH24" i="6"/>
  <c r="AI24" i="6"/>
  <c r="AJ24" i="6"/>
  <c r="AK24" i="6"/>
  <c r="AL24" i="6"/>
  <c r="K24" i="6"/>
  <c r="L24" i="6"/>
  <c r="M24" i="6"/>
  <c r="N24" i="6"/>
  <c r="O24" i="6"/>
  <c r="P24" i="6"/>
  <c r="G24" i="6"/>
  <c r="H24" i="6"/>
  <c r="BC24" i="6"/>
  <c r="BD24" i="6"/>
  <c r="BE24" i="6"/>
  <c r="AY24" i="6"/>
  <c r="AZ24" i="6"/>
  <c r="BF24" i="6"/>
  <c r="BG24" i="6"/>
  <c r="BH24" i="6"/>
  <c r="BC25" i="6"/>
  <c r="BD25" i="6"/>
  <c r="BE25" i="6"/>
  <c r="AY25" i="6"/>
  <c r="AZ25" i="6"/>
  <c r="BF25" i="6"/>
  <c r="BG25" i="6"/>
  <c r="BH25" i="6"/>
  <c r="AC25" i="6"/>
  <c r="AD25" i="6"/>
  <c r="AG25" i="6"/>
  <c r="AH25" i="6"/>
  <c r="AI25" i="6"/>
  <c r="AJ25" i="6"/>
  <c r="AK25" i="6"/>
  <c r="AL25" i="6"/>
  <c r="G25" i="6"/>
  <c r="K25" i="6"/>
  <c r="L25" i="6"/>
  <c r="M25" i="6"/>
  <c r="N25" i="6"/>
  <c r="O25" i="6"/>
  <c r="P25" i="6"/>
  <c r="H25" i="6"/>
  <c r="Q25" i="6"/>
  <c r="R25" i="6"/>
  <c r="S25" i="6"/>
  <c r="T25" i="6"/>
  <c r="U25" i="6"/>
  <c r="V25" i="6"/>
  <c r="W25" i="6"/>
  <c r="AA25" i="6"/>
  <c r="AM25" i="6"/>
  <c r="AN25" i="6"/>
  <c r="AO25" i="6"/>
  <c r="AP25" i="6"/>
  <c r="AQ25" i="6"/>
  <c r="AR25" i="6"/>
  <c r="AS25" i="6"/>
  <c r="AW25" i="6"/>
  <c r="BI25" i="6"/>
  <c r="BJ25" i="6"/>
  <c r="BK25" i="6"/>
  <c r="BL25" i="6"/>
  <c r="BM25" i="6"/>
  <c r="BN25" i="6"/>
  <c r="BO25" i="6"/>
  <c r="X25" i="6"/>
  <c r="Y25" i="6"/>
  <c r="Z25" i="6"/>
  <c r="AT25" i="6"/>
  <c r="AU25" i="6"/>
  <c r="AV25" i="6"/>
  <c r="BP25" i="6"/>
  <c r="BS25" i="6"/>
  <c r="BQ25" i="6"/>
  <c r="BR25" i="6"/>
  <c r="BC26" i="6"/>
  <c r="BD26" i="6"/>
  <c r="BE26" i="6"/>
  <c r="AY26" i="6"/>
  <c r="AZ26" i="6"/>
  <c r="BF26" i="6"/>
  <c r="BG26" i="6"/>
  <c r="BH26" i="6"/>
  <c r="K26" i="6"/>
  <c r="L26" i="6"/>
  <c r="M26" i="6"/>
  <c r="N26" i="6"/>
  <c r="O26" i="6"/>
  <c r="P26" i="6"/>
  <c r="G26" i="6"/>
  <c r="H26" i="6"/>
  <c r="AC26" i="6"/>
  <c r="AD26" i="6"/>
  <c r="AG26" i="6"/>
  <c r="AH26" i="6"/>
  <c r="AI26" i="6"/>
  <c r="AJ26" i="6"/>
  <c r="AK26" i="6"/>
  <c r="AL26" i="6"/>
  <c r="BS26" i="6"/>
  <c r="Q26" i="6"/>
  <c r="R26" i="6"/>
  <c r="S26" i="6"/>
  <c r="T26" i="6"/>
  <c r="U26" i="6"/>
  <c r="V26" i="6"/>
  <c r="W26" i="6"/>
  <c r="AA26" i="6"/>
  <c r="AM26" i="6"/>
  <c r="AN26" i="6"/>
  <c r="AO26" i="6"/>
  <c r="AP26" i="6"/>
  <c r="AQ26" i="6"/>
  <c r="AR26" i="6"/>
  <c r="AS26" i="6"/>
  <c r="AW26" i="6"/>
  <c r="BI26" i="6"/>
  <c r="BJ26" i="6"/>
  <c r="BK26" i="6"/>
  <c r="BL26" i="6"/>
  <c r="BM26" i="6"/>
  <c r="BN26" i="6"/>
  <c r="BO26" i="6"/>
  <c r="X26" i="6"/>
  <c r="Y26" i="6"/>
  <c r="Z26" i="6"/>
  <c r="AT26" i="6"/>
  <c r="AU26" i="6"/>
  <c r="AV26" i="6"/>
  <c r="BP26" i="6"/>
  <c r="BQ26" i="6"/>
  <c r="BR26" i="6"/>
  <c r="BC27" i="6"/>
  <c r="BD27" i="6"/>
  <c r="BE27" i="6"/>
  <c r="AY27" i="6"/>
  <c r="AZ27" i="6"/>
  <c r="BF27" i="6"/>
  <c r="BG27" i="6"/>
  <c r="BH27" i="6"/>
  <c r="G27" i="6"/>
  <c r="K27" i="6"/>
  <c r="L27" i="6"/>
  <c r="M27" i="6"/>
  <c r="N27" i="6"/>
  <c r="O27" i="6"/>
  <c r="P27" i="6"/>
  <c r="H27" i="6"/>
  <c r="AC27" i="6"/>
  <c r="AD27" i="6"/>
  <c r="AG27" i="6"/>
  <c r="AH27" i="6"/>
  <c r="AI27" i="6"/>
  <c r="AJ27" i="6"/>
  <c r="AK27" i="6"/>
  <c r="AL27" i="6"/>
  <c r="BS27" i="6"/>
  <c r="Q27" i="6"/>
  <c r="R27" i="6"/>
  <c r="S27" i="6"/>
  <c r="T27" i="6"/>
  <c r="U27" i="6"/>
  <c r="V27" i="6"/>
  <c r="W27" i="6"/>
  <c r="AA27" i="6"/>
  <c r="AM27" i="6"/>
  <c r="AN27" i="6"/>
  <c r="AO27" i="6"/>
  <c r="AP27" i="6"/>
  <c r="AQ27" i="6"/>
  <c r="AR27" i="6"/>
  <c r="AS27" i="6"/>
  <c r="AW27" i="6"/>
  <c r="BI27" i="6"/>
  <c r="BJ27" i="6"/>
  <c r="BK27" i="6"/>
  <c r="BL27" i="6"/>
  <c r="BM27" i="6"/>
  <c r="BN27" i="6"/>
  <c r="BO27" i="6"/>
  <c r="X27" i="6"/>
  <c r="Y27" i="6"/>
  <c r="Z27" i="6"/>
  <c r="AT27" i="6"/>
  <c r="AU27" i="6"/>
  <c r="AV27" i="6"/>
  <c r="BP27" i="6"/>
  <c r="BQ27" i="6"/>
  <c r="BR27" i="6"/>
  <c r="H28" i="6"/>
  <c r="K28" i="6"/>
  <c r="L28" i="6"/>
  <c r="M28" i="6"/>
  <c r="N28" i="6"/>
  <c r="O28" i="6"/>
  <c r="P28" i="6"/>
  <c r="G28" i="6"/>
  <c r="AC28" i="6"/>
  <c r="AD28" i="6"/>
  <c r="AG28" i="6"/>
  <c r="AH28" i="6"/>
  <c r="AI28" i="6"/>
  <c r="AJ28" i="6"/>
  <c r="AK28" i="6"/>
  <c r="AL28" i="6"/>
  <c r="BC28" i="6"/>
  <c r="BD28" i="6"/>
  <c r="BE28" i="6"/>
  <c r="AY28" i="6"/>
  <c r="AZ28" i="6"/>
  <c r="BF28" i="6"/>
  <c r="BG28" i="6"/>
  <c r="BH28" i="6"/>
  <c r="Q28" i="6"/>
  <c r="R28" i="6"/>
  <c r="S28" i="6"/>
  <c r="T28" i="6"/>
  <c r="U28" i="6"/>
  <c r="V28" i="6"/>
  <c r="W28" i="6"/>
  <c r="AA28" i="6"/>
  <c r="AM28" i="6"/>
  <c r="AN28" i="6"/>
  <c r="AO28" i="6"/>
  <c r="AP28" i="6"/>
  <c r="AQ28" i="6"/>
  <c r="AR28" i="6"/>
  <c r="AS28" i="6"/>
  <c r="AW28" i="6"/>
  <c r="BI28" i="6"/>
  <c r="BJ28" i="6"/>
  <c r="BK28" i="6"/>
  <c r="BL28" i="6"/>
  <c r="BM28" i="6"/>
  <c r="BN28" i="6"/>
  <c r="BO28" i="6"/>
  <c r="X28" i="6"/>
  <c r="Y28" i="6"/>
  <c r="Z28" i="6"/>
  <c r="AT28" i="6"/>
  <c r="AU28" i="6"/>
  <c r="AV28" i="6"/>
  <c r="BP28" i="6"/>
  <c r="BS28" i="6"/>
  <c r="BQ28" i="6"/>
  <c r="BR28" i="6"/>
  <c r="G29" i="6"/>
  <c r="K29" i="6"/>
  <c r="L29" i="6"/>
  <c r="M29" i="6"/>
  <c r="N29" i="6"/>
  <c r="O29" i="6"/>
  <c r="P29" i="6"/>
  <c r="I29" i="6" s="1"/>
  <c r="H29" i="6"/>
  <c r="J29" i="6"/>
  <c r="BC29" i="6"/>
  <c r="BD29" i="6"/>
  <c r="BE29" i="6"/>
  <c r="AY29" i="6"/>
  <c r="AZ29" i="6"/>
  <c r="BF29" i="6"/>
  <c r="BG29" i="6"/>
  <c r="BH29" i="6"/>
  <c r="BS29" i="6"/>
  <c r="Q29" i="6"/>
  <c r="R29" i="6"/>
  <c r="S29" i="6"/>
  <c r="T29" i="6"/>
  <c r="U29" i="6"/>
  <c r="V29" i="6"/>
  <c r="W29" i="6"/>
  <c r="AA29" i="6"/>
  <c r="AM29" i="6"/>
  <c r="AN29" i="6"/>
  <c r="AO29" i="6"/>
  <c r="AP29" i="6"/>
  <c r="AQ29" i="6"/>
  <c r="AR29" i="6"/>
  <c r="AS29" i="6"/>
  <c r="AW29" i="6"/>
  <c r="BI29" i="6"/>
  <c r="BJ29" i="6"/>
  <c r="BK29" i="6"/>
  <c r="BL29" i="6"/>
  <c r="BM29" i="6"/>
  <c r="BN29" i="6"/>
  <c r="BO29" i="6"/>
  <c r="X29" i="6"/>
  <c r="Y29" i="6"/>
  <c r="Z29" i="6"/>
  <c r="AT29" i="6"/>
  <c r="AU29" i="6"/>
  <c r="AV29" i="6"/>
  <c r="BP29" i="6"/>
  <c r="BQ29" i="6"/>
  <c r="BR29" i="6"/>
  <c r="AC29" i="6"/>
  <c r="AD29" i="6"/>
  <c r="AG29" i="6"/>
  <c r="AH29" i="6"/>
  <c r="AI29" i="6"/>
  <c r="AJ29" i="6"/>
  <c r="AK29" i="6"/>
  <c r="AL29" i="6"/>
  <c r="Q30" i="6"/>
  <c r="R30" i="6"/>
  <c r="S30" i="6"/>
  <c r="T30" i="6"/>
  <c r="U30" i="6"/>
  <c r="V30" i="6"/>
  <c r="W30" i="6"/>
  <c r="AA30" i="6"/>
  <c r="AM30" i="6"/>
  <c r="AN30" i="6"/>
  <c r="AO30" i="6"/>
  <c r="AP30" i="6"/>
  <c r="AQ30" i="6"/>
  <c r="AR30" i="6"/>
  <c r="AS30" i="6"/>
  <c r="AW30" i="6"/>
  <c r="BI30" i="6"/>
  <c r="BJ30" i="6"/>
  <c r="BK30" i="6"/>
  <c r="BL30" i="6"/>
  <c r="BM30" i="6"/>
  <c r="BN30" i="6"/>
  <c r="BO30" i="6"/>
  <c r="X30" i="6"/>
  <c r="Y30" i="6"/>
  <c r="Z30" i="6"/>
  <c r="AT30" i="6"/>
  <c r="AU30" i="6"/>
  <c r="AV30" i="6"/>
  <c r="BP30" i="6"/>
  <c r="BS30" i="6"/>
  <c r="BQ30" i="6"/>
  <c r="BR30" i="6"/>
  <c r="AC30" i="6"/>
  <c r="AD30" i="6"/>
  <c r="AG30" i="6"/>
  <c r="AH30" i="6"/>
  <c r="AI30" i="6"/>
  <c r="AJ30" i="6"/>
  <c r="AK30" i="6"/>
  <c r="AL30" i="6"/>
  <c r="G30" i="6"/>
  <c r="K30" i="6"/>
  <c r="L30" i="6"/>
  <c r="M30" i="6"/>
  <c r="N30" i="6"/>
  <c r="O30" i="6"/>
  <c r="P30" i="6"/>
  <c r="I30" i="6" s="1"/>
  <c r="H30" i="6"/>
  <c r="J30" i="6"/>
  <c r="BC30" i="6"/>
  <c r="BD30" i="6"/>
  <c r="BE30" i="6"/>
  <c r="AY30" i="6"/>
  <c r="AZ30" i="6"/>
  <c r="BF30" i="6"/>
  <c r="BG30" i="6"/>
  <c r="BH30" i="6"/>
  <c r="AC31" i="6"/>
  <c r="AD31" i="6"/>
  <c r="AG31" i="6"/>
  <c r="AH31" i="6"/>
  <c r="AI31" i="6"/>
  <c r="AJ31" i="6"/>
  <c r="AK31" i="6"/>
  <c r="AL31" i="6"/>
  <c r="BS31" i="6"/>
  <c r="Q31" i="6"/>
  <c r="R31" i="6"/>
  <c r="S31" i="6"/>
  <c r="T31" i="6"/>
  <c r="U31" i="6"/>
  <c r="V31" i="6"/>
  <c r="W31" i="6"/>
  <c r="AA31" i="6"/>
  <c r="AM31" i="6"/>
  <c r="AN31" i="6"/>
  <c r="AO31" i="6"/>
  <c r="AP31" i="6"/>
  <c r="AQ31" i="6"/>
  <c r="AR31" i="6"/>
  <c r="AS31" i="6"/>
  <c r="AW31" i="6"/>
  <c r="BI31" i="6"/>
  <c r="BJ31" i="6"/>
  <c r="BK31" i="6"/>
  <c r="BL31" i="6"/>
  <c r="BM31" i="6"/>
  <c r="BN31" i="6"/>
  <c r="BO31" i="6"/>
  <c r="X31" i="6"/>
  <c r="Y31" i="6"/>
  <c r="Z31" i="6"/>
  <c r="AT31" i="6"/>
  <c r="AU31" i="6"/>
  <c r="AV31" i="6"/>
  <c r="BP31" i="6"/>
  <c r="BQ31" i="6"/>
  <c r="BR31" i="6"/>
  <c r="G31" i="6"/>
  <c r="K31" i="6"/>
  <c r="L31" i="6"/>
  <c r="M31" i="6"/>
  <c r="N31" i="6"/>
  <c r="O31" i="6"/>
  <c r="P31" i="6"/>
  <c r="H31" i="6"/>
  <c r="I31" i="6"/>
  <c r="J31" i="6"/>
  <c r="BC31" i="6"/>
  <c r="BD31" i="6"/>
  <c r="BE31" i="6"/>
  <c r="AY31" i="6"/>
  <c r="AZ31" i="6"/>
  <c r="BF31" i="6"/>
  <c r="BG31" i="6"/>
  <c r="BH31" i="6"/>
  <c r="AC32" i="6"/>
  <c r="AD32" i="6"/>
  <c r="AG32" i="6"/>
  <c r="AH32" i="6"/>
  <c r="AI32" i="6"/>
  <c r="AJ32" i="6"/>
  <c r="AK32" i="6"/>
  <c r="AL32" i="6"/>
  <c r="Q32" i="6"/>
  <c r="R32" i="6"/>
  <c r="S32" i="6"/>
  <c r="T32" i="6"/>
  <c r="U32" i="6"/>
  <c r="V32" i="6"/>
  <c r="W32" i="6"/>
  <c r="AA32" i="6"/>
  <c r="AM32" i="6"/>
  <c r="AN32" i="6"/>
  <c r="AO32" i="6"/>
  <c r="AP32" i="6"/>
  <c r="AQ32" i="6"/>
  <c r="AR32" i="6"/>
  <c r="AS32" i="6"/>
  <c r="AW32" i="6"/>
  <c r="BI32" i="6"/>
  <c r="BJ32" i="6"/>
  <c r="BK32" i="6"/>
  <c r="BL32" i="6"/>
  <c r="BM32" i="6"/>
  <c r="BN32" i="6"/>
  <c r="BO32" i="6"/>
  <c r="X32" i="6"/>
  <c r="Y32" i="6"/>
  <c r="Z32" i="6"/>
  <c r="AT32" i="6"/>
  <c r="AU32" i="6"/>
  <c r="AV32" i="6"/>
  <c r="BP32" i="6"/>
  <c r="BS32" i="6"/>
  <c r="BQ32" i="6"/>
  <c r="BR32" i="6"/>
  <c r="G32" i="6"/>
  <c r="H32" i="6"/>
  <c r="K32" i="6"/>
  <c r="L32" i="6"/>
  <c r="M32" i="6"/>
  <c r="N32" i="6"/>
  <c r="O32" i="6"/>
  <c r="P32" i="6"/>
  <c r="BC32" i="6"/>
  <c r="BD32" i="6"/>
  <c r="BE32" i="6"/>
  <c r="AY32" i="6"/>
  <c r="AZ32" i="6"/>
  <c r="BF32" i="6"/>
  <c r="BG32" i="6"/>
  <c r="BH32" i="6"/>
  <c r="AC33" i="6"/>
  <c r="AD33" i="6"/>
  <c r="AG33" i="6"/>
  <c r="AH33" i="6"/>
  <c r="AI33" i="6"/>
  <c r="AJ33" i="6"/>
  <c r="AK33" i="6"/>
  <c r="AL33" i="6"/>
  <c r="BS33" i="6"/>
  <c r="Q33" i="6"/>
  <c r="R33" i="6"/>
  <c r="S33" i="6"/>
  <c r="T33" i="6"/>
  <c r="U33" i="6"/>
  <c r="V33" i="6"/>
  <c r="W33" i="6"/>
  <c r="AA33" i="6"/>
  <c r="AM33" i="6"/>
  <c r="AN33" i="6"/>
  <c r="AO33" i="6"/>
  <c r="AP33" i="6"/>
  <c r="AQ33" i="6"/>
  <c r="AR33" i="6"/>
  <c r="AS33" i="6"/>
  <c r="AW33" i="6"/>
  <c r="BI33" i="6"/>
  <c r="BJ33" i="6"/>
  <c r="BK33" i="6"/>
  <c r="BL33" i="6"/>
  <c r="BM33" i="6"/>
  <c r="BN33" i="6"/>
  <c r="BO33" i="6"/>
  <c r="X33" i="6"/>
  <c r="Y33" i="6"/>
  <c r="Z33" i="6"/>
  <c r="AT33" i="6"/>
  <c r="AU33" i="6"/>
  <c r="AV33" i="6"/>
  <c r="BP33" i="6"/>
  <c r="BQ33" i="6"/>
  <c r="BR33" i="6"/>
  <c r="BC33" i="6"/>
  <c r="BD33" i="6"/>
  <c r="BE33" i="6"/>
  <c r="AY33" i="6"/>
  <c r="AZ33" i="6"/>
  <c r="BF33" i="6"/>
  <c r="BG33" i="6"/>
  <c r="BH33" i="6"/>
  <c r="BA33" i="6" s="1"/>
  <c r="BB33" i="6"/>
  <c r="G33" i="6"/>
  <c r="K33" i="6"/>
  <c r="L33" i="6"/>
  <c r="M33" i="6"/>
  <c r="N33" i="6"/>
  <c r="O33" i="6"/>
  <c r="P33" i="6"/>
  <c r="I33" i="6"/>
  <c r="H33" i="6"/>
  <c r="J33" i="6"/>
  <c r="AC34" i="6"/>
  <c r="AD34" i="6"/>
  <c r="AG34" i="6"/>
  <c r="AH34" i="6"/>
  <c r="AI34" i="6"/>
  <c r="AJ34" i="6"/>
  <c r="AK34" i="6"/>
  <c r="AL34" i="6"/>
  <c r="AE34" i="6" s="1"/>
  <c r="AF34" i="6"/>
  <c r="BS34" i="6"/>
  <c r="Q34" i="6"/>
  <c r="R34" i="6"/>
  <c r="S34" i="6"/>
  <c r="T34" i="6"/>
  <c r="U34" i="6"/>
  <c r="V34" i="6"/>
  <c r="W34" i="6"/>
  <c r="AA34" i="6"/>
  <c r="AM34" i="6"/>
  <c r="AN34" i="6"/>
  <c r="AO34" i="6"/>
  <c r="AP34" i="6"/>
  <c r="AQ34" i="6"/>
  <c r="AR34" i="6"/>
  <c r="AS34" i="6"/>
  <c r="AW34" i="6"/>
  <c r="BI34" i="6"/>
  <c r="BJ34" i="6"/>
  <c r="BK34" i="6"/>
  <c r="BL34" i="6"/>
  <c r="BM34" i="6"/>
  <c r="BN34" i="6"/>
  <c r="BO34" i="6"/>
  <c r="X34" i="6"/>
  <c r="Y34" i="6"/>
  <c r="Z34" i="6"/>
  <c r="AT34" i="6"/>
  <c r="AU34" i="6"/>
  <c r="AV34" i="6"/>
  <c r="BP34" i="6"/>
  <c r="BQ34" i="6"/>
  <c r="BR34" i="6"/>
  <c r="G34" i="6"/>
  <c r="K34" i="6"/>
  <c r="L34" i="6"/>
  <c r="M34" i="6"/>
  <c r="N34" i="6"/>
  <c r="O34" i="6"/>
  <c r="P34" i="6"/>
  <c r="H34" i="6"/>
  <c r="I34" i="6"/>
  <c r="J34" i="6"/>
  <c r="BC34" i="6"/>
  <c r="BD34" i="6"/>
  <c r="BE34" i="6"/>
  <c r="AY34" i="6"/>
  <c r="AZ34" i="6"/>
  <c r="BF34" i="6"/>
  <c r="BG34" i="6"/>
  <c r="BH34" i="6"/>
  <c r="BA34" i="6" s="1"/>
  <c r="BB34" i="6"/>
  <c r="Q35" i="6"/>
  <c r="R35" i="6"/>
  <c r="S35" i="6"/>
  <c r="T35" i="6"/>
  <c r="U35" i="6"/>
  <c r="V35" i="6"/>
  <c r="W35" i="6"/>
  <c r="AA35" i="6"/>
  <c r="AM35" i="6"/>
  <c r="AN35" i="6"/>
  <c r="AO35" i="6"/>
  <c r="AP35" i="6"/>
  <c r="AQ35" i="6"/>
  <c r="AR35" i="6"/>
  <c r="AS35" i="6"/>
  <c r="AW35" i="6"/>
  <c r="BI35" i="6"/>
  <c r="BJ35" i="6"/>
  <c r="BK35" i="6"/>
  <c r="BL35" i="6"/>
  <c r="BM35" i="6"/>
  <c r="BN35" i="6"/>
  <c r="BO35" i="6"/>
  <c r="X35" i="6"/>
  <c r="Y35" i="6"/>
  <c r="Z35" i="6"/>
  <c r="AT35" i="6"/>
  <c r="AU35" i="6"/>
  <c r="AV35" i="6"/>
  <c r="BP35" i="6"/>
  <c r="BS35" i="6"/>
  <c r="BQ35" i="6"/>
  <c r="BR35" i="6"/>
  <c r="AC35" i="6"/>
  <c r="AD35" i="6"/>
  <c r="AG35" i="6"/>
  <c r="AH35" i="6"/>
  <c r="AI35" i="6"/>
  <c r="AJ35" i="6"/>
  <c r="AK35" i="6"/>
  <c r="AL35" i="6"/>
  <c r="AE35" i="6" s="1"/>
  <c r="AF35" i="6"/>
  <c r="G35" i="6"/>
  <c r="K35" i="6"/>
  <c r="L35" i="6"/>
  <c r="M35" i="6"/>
  <c r="N35" i="6"/>
  <c r="O35" i="6"/>
  <c r="P35" i="6"/>
  <c r="I35" i="6"/>
  <c r="H35" i="6"/>
  <c r="J35" i="6"/>
  <c r="BC35" i="6"/>
  <c r="BD35" i="6"/>
  <c r="BE35" i="6"/>
  <c r="AY35" i="6"/>
  <c r="AZ35" i="6"/>
  <c r="BF35" i="6"/>
  <c r="BG35" i="6"/>
  <c r="BH35" i="6"/>
  <c r="BA35" i="6" s="1"/>
  <c r="BB35" i="6"/>
  <c r="G36" i="6"/>
  <c r="H36" i="6"/>
  <c r="K36" i="6"/>
  <c r="L36" i="6"/>
  <c r="M36" i="6"/>
  <c r="N36" i="6"/>
  <c r="O36" i="6"/>
  <c r="P36" i="6"/>
  <c r="I36" i="6"/>
  <c r="J36" i="6"/>
  <c r="AC36" i="6"/>
  <c r="AD36" i="6"/>
  <c r="AG36" i="6"/>
  <c r="AH36" i="6"/>
  <c r="AI36" i="6"/>
  <c r="AJ36" i="6"/>
  <c r="AK36" i="6"/>
  <c r="AL36" i="6"/>
  <c r="AE36" i="6" s="1"/>
  <c r="AF36" i="6"/>
  <c r="BC36" i="6"/>
  <c r="BD36" i="6"/>
  <c r="BE36" i="6"/>
  <c r="AY36" i="6"/>
  <c r="AZ36" i="6"/>
  <c r="BF36" i="6"/>
  <c r="BG36" i="6"/>
  <c r="BH36" i="6"/>
  <c r="BA36" i="6" s="1"/>
  <c r="BB36" i="6"/>
  <c r="BS36" i="6"/>
  <c r="Q36" i="6"/>
  <c r="R36" i="6"/>
  <c r="S36" i="6"/>
  <c r="T36" i="6"/>
  <c r="U36" i="6"/>
  <c r="V36" i="6"/>
  <c r="W36" i="6"/>
  <c r="AA36" i="6"/>
  <c r="AM36" i="6"/>
  <c r="AN36" i="6"/>
  <c r="AO36" i="6"/>
  <c r="AP36" i="6"/>
  <c r="AQ36" i="6"/>
  <c r="AR36" i="6"/>
  <c r="AS36" i="6"/>
  <c r="AW36" i="6"/>
  <c r="BI36" i="6"/>
  <c r="BJ36" i="6"/>
  <c r="BK36" i="6"/>
  <c r="BL36" i="6"/>
  <c r="BM36" i="6"/>
  <c r="BN36" i="6"/>
  <c r="BO36" i="6"/>
  <c r="X36" i="6"/>
  <c r="Y36" i="6"/>
  <c r="Z36" i="6"/>
  <c r="AT36" i="6"/>
  <c r="AU36" i="6"/>
  <c r="AV36" i="6"/>
  <c r="BP36" i="6"/>
  <c r="BQ36" i="6"/>
  <c r="BR36" i="6"/>
  <c r="G37" i="6"/>
  <c r="K37" i="6"/>
  <c r="L37" i="6"/>
  <c r="M37" i="6"/>
  <c r="N37" i="6"/>
  <c r="O37" i="6"/>
  <c r="P37" i="6"/>
  <c r="H37" i="6"/>
  <c r="I37" i="6"/>
  <c r="J37" i="6"/>
  <c r="BC37" i="6"/>
  <c r="BD37" i="6"/>
  <c r="BE37" i="6"/>
  <c r="AY37" i="6"/>
  <c r="AZ37" i="6"/>
  <c r="BF37" i="6"/>
  <c r="BG37" i="6"/>
  <c r="BH37" i="6"/>
  <c r="BA37" i="6" s="1"/>
  <c r="BB37" i="6"/>
  <c r="AC37" i="6"/>
  <c r="AD37" i="6"/>
  <c r="AG37" i="6"/>
  <c r="AH37" i="6"/>
  <c r="AI37" i="6"/>
  <c r="AJ37" i="6"/>
  <c r="AK37" i="6"/>
  <c r="AL37" i="6"/>
  <c r="AE37" i="6" s="1"/>
  <c r="AF37" i="6"/>
  <c r="BS37" i="6"/>
  <c r="Q37" i="6"/>
  <c r="R37" i="6"/>
  <c r="S37" i="6"/>
  <c r="T37" i="6"/>
  <c r="U37" i="6"/>
  <c r="V37" i="6"/>
  <c r="W37" i="6"/>
  <c r="AA37" i="6"/>
  <c r="AM37" i="6"/>
  <c r="AN37" i="6"/>
  <c r="AO37" i="6"/>
  <c r="AP37" i="6"/>
  <c r="AQ37" i="6"/>
  <c r="AR37" i="6"/>
  <c r="AS37" i="6"/>
  <c r="AW37" i="6"/>
  <c r="BI37" i="6"/>
  <c r="BJ37" i="6"/>
  <c r="BK37" i="6"/>
  <c r="BL37" i="6"/>
  <c r="BM37" i="6"/>
  <c r="BN37" i="6"/>
  <c r="BO37" i="6"/>
  <c r="X37" i="6"/>
  <c r="Y37" i="6"/>
  <c r="Z37" i="6"/>
  <c r="AT37" i="6"/>
  <c r="AU37" i="6"/>
  <c r="AV37" i="6"/>
  <c r="BP37" i="6"/>
  <c r="BQ37" i="6"/>
  <c r="BR37" i="6"/>
  <c r="AC38" i="6"/>
  <c r="AD38" i="6"/>
  <c r="AG38" i="6"/>
  <c r="AH38" i="6"/>
  <c r="AI38" i="6"/>
  <c r="AJ38" i="6"/>
  <c r="AK38" i="6"/>
  <c r="AL38" i="6"/>
  <c r="AE38" i="6" s="1"/>
  <c r="AF38" i="6"/>
  <c r="G38" i="6"/>
  <c r="K38" i="6"/>
  <c r="L38" i="6"/>
  <c r="M38" i="6"/>
  <c r="N38" i="6"/>
  <c r="O38" i="6"/>
  <c r="P38" i="6"/>
  <c r="I38" i="6"/>
  <c r="H38" i="6"/>
  <c r="J38" i="6"/>
  <c r="BC38" i="6"/>
  <c r="BD38" i="6"/>
  <c r="BE38" i="6"/>
  <c r="AY38" i="6"/>
  <c r="AZ38" i="6"/>
  <c r="BF38" i="6"/>
  <c r="BG38" i="6"/>
  <c r="BH38" i="6"/>
  <c r="BA38" i="6" s="1"/>
  <c r="BB38" i="6"/>
  <c r="Q38" i="6"/>
  <c r="R38" i="6"/>
  <c r="S38" i="6"/>
  <c r="T38" i="6"/>
  <c r="U38" i="6"/>
  <c r="V38" i="6"/>
  <c r="W38" i="6"/>
  <c r="AA38" i="6"/>
  <c r="AM38" i="6"/>
  <c r="AN38" i="6"/>
  <c r="AO38" i="6"/>
  <c r="AP38" i="6"/>
  <c r="AQ38" i="6"/>
  <c r="AR38" i="6"/>
  <c r="AS38" i="6"/>
  <c r="AW38" i="6"/>
  <c r="BI38" i="6"/>
  <c r="BJ38" i="6"/>
  <c r="BK38" i="6"/>
  <c r="BL38" i="6"/>
  <c r="BM38" i="6"/>
  <c r="BN38" i="6"/>
  <c r="BO38" i="6"/>
  <c r="X38" i="6"/>
  <c r="Y38" i="6"/>
  <c r="Z38" i="6"/>
  <c r="AT38" i="6"/>
  <c r="AU38" i="6"/>
  <c r="AV38" i="6"/>
  <c r="BP38" i="6"/>
  <c r="BS38" i="6"/>
  <c r="BQ38" i="6"/>
  <c r="BR38" i="6"/>
  <c r="BC39" i="6"/>
  <c r="BD39" i="6"/>
  <c r="BE39" i="6"/>
  <c r="AY39" i="6"/>
  <c r="AZ39" i="6"/>
  <c r="BF39" i="6"/>
  <c r="BG39" i="6"/>
  <c r="BH39" i="6"/>
  <c r="BA39" i="6" s="1"/>
  <c r="BB39" i="6"/>
  <c r="AC39" i="6"/>
  <c r="AD39" i="6"/>
  <c r="AG39" i="6"/>
  <c r="AH39" i="6"/>
  <c r="AI39" i="6"/>
  <c r="AJ39" i="6"/>
  <c r="AK39" i="6"/>
  <c r="AL39" i="6"/>
  <c r="AE39" i="6" s="1"/>
  <c r="AF39" i="6"/>
  <c r="G39" i="6"/>
  <c r="H39" i="6"/>
  <c r="K39" i="6"/>
  <c r="L39" i="6"/>
  <c r="M39" i="6"/>
  <c r="N39" i="6"/>
  <c r="O39" i="6"/>
  <c r="P39" i="6"/>
  <c r="I39" i="6"/>
  <c r="J39" i="6"/>
  <c r="BS39" i="6"/>
  <c r="Q39" i="6"/>
  <c r="R39" i="6"/>
  <c r="S39" i="6"/>
  <c r="T39" i="6"/>
  <c r="U39" i="6"/>
  <c r="V39" i="6"/>
  <c r="W39" i="6"/>
  <c r="AA39" i="6"/>
  <c r="AM39" i="6"/>
  <c r="AN39" i="6"/>
  <c r="AO39" i="6"/>
  <c r="AP39" i="6"/>
  <c r="AQ39" i="6"/>
  <c r="AR39" i="6"/>
  <c r="AS39" i="6"/>
  <c r="AW39" i="6"/>
  <c r="BI39" i="6"/>
  <c r="BJ39" i="6"/>
  <c r="BK39" i="6"/>
  <c r="BL39" i="6"/>
  <c r="BM39" i="6"/>
  <c r="BN39" i="6"/>
  <c r="BO39" i="6"/>
  <c r="X39" i="6"/>
  <c r="Y39" i="6"/>
  <c r="Z39" i="6"/>
  <c r="AT39" i="6"/>
  <c r="AU39" i="6"/>
  <c r="AV39" i="6"/>
  <c r="BP39" i="6"/>
  <c r="BQ39" i="6"/>
  <c r="BR39" i="6"/>
  <c r="G40" i="6"/>
  <c r="K40" i="6"/>
  <c r="L40" i="6"/>
  <c r="M40" i="6"/>
  <c r="N40" i="6"/>
  <c r="O40" i="6"/>
  <c r="P40" i="6"/>
  <c r="I40" i="6"/>
  <c r="H40" i="6"/>
  <c r="J40" i="6"/>
  <c r="BS40" i="6"/>
  <c r="Q40" i="6"/>
  <c r="R40" i="6"/>
  <c r="S40" i="6"/>
  <c r="T40" i="6"/>
  <c r="U40" i="6"/>
  <c r="V40" i="6"/>
  <c r="W40" i="6"/>
  <c r="AA40" i="6"/>
  <c r="AM40" i="6"/>
  <c r="AN40" i="6"/>
  <c r="AO40" i="6"/>
  <c r="AP40" i="6"/>
  <c r="AQ40" i="6"/>
  <c r="AR40" i="6"/>
  <c r="AS40" i="6"/>
  <c r="AW40" i="6"/>
  <c r="BI40" i="6"/>
  <c r="BJ40" i="6"/>
  <c r="BK40" i="6"/>
  <c r="BL40" i="6"/>
  <c r="BM40" i="6"/>
  <c r="BN40" i="6"/>
  <c r="BO40" i="6"/>
  <c r="X40" i="6"/>
  <c r="Y40" i="6"/>
  <c r="Z40" i="6"/>
  <c r="AT40" i="6"/>
  <c r="AU40" i="6"/>
  <c r="AV40" i="6"/>
  <c r="BP40" i="6"/>
  <c r="BQ40" i="6"/>
  <c r="BR40" i="6"/>
  <c r="BC40" i="6"/>
  <c r="BD40" i="6"/>
  <c r="BE40" i="6"/>
  <c r="AY40" i="6"/>
  <c r="AZ40" i="6"/>
  <c r="BF40" i="6"/>
  <c r="BG40" i="6"/>
  <c r="BH40" i="6"/>
  <c r="BA40" i="6" s="1"/>
  <c r="BB40" i="6"/>
  <c r="AC40" i="6"/>
  <c r="AD40" i="6"/>
  <c r="AG40" i="6"/>
  <c r="AH40" i="6"/>
  <c r="AI40" i="6"/>
  <c r="AJ40" i="6"/>
  <c r="AK40" i="6"/>
  <c r="AL40" i="6"/>
  <c r="AE40" i="6" s="1"/>
  <c r="AF40" i="6"/>
  <c r="AC41" i="6"/>
  <c r="AD41" i="6"/>
  <c r="AG41" i="6"/>
  <c r="AH41" i="6"/>
  <c r="AI41" i="6"/>
  <c r="AJ41" i="6"/>
  <c r="AK41" i="6"/>
  <c r="AL41" i="6"/>
  <c r="AE41" i="6" s="1"/>
  <c r="AF41" i="6"/>
  <c r="G41" i="6"/>
  <c r="K41" i="6"/>
  <c r="L41" i="6"/>
  <c r="M41" i="6"/>
  <c r="N41" i="6"/>
  <c r="O41" i="6"/>
  <c r="P41" i="6"/>
  <c r="H41" i="6"/>
  <c r="I41" i="6"/>
  <c r="J41" i="6"/>
  <c r="Q41" i="6"/>
  <c r="R41" i="6"/>
  <c r="S41" i="6"/>
  <c r="T41" i="6"/>
  <c r="U41" i="6"/>
  <c r="V41" i="6"/>
  <c r="W41" i="6"/>
  <c r="AA41" i="6"/>
  <c r="AM41" i="6"/>
  <c r="AN41" i="6"/>
  <c r="AO41" i="6"/>
  <c r="AP41" i="6"/>
  <c r="AQ41" i="6"/>
  <c r="AR41" i="6"/>
  <c r="AS41" i="6"/>
  <c r="AW41" i="6"/>
  <c r="BI41" i="6"/>
  <c r="BJ41" i="6"/>
  <c r="BK41" i="6"/>
  <c r="BL41" i="6"/>
  <c r="BM41" i="6"/>
  <c r="BN41" i="6"/>
  <c r="BO41" i="6"/>
  <c r="X41" i="6"/>
  <c r="Y41" i="6"/>
  <c r="Z41" i="6"/>
  <c r="AT41" i="6"/>
  <c r="AU41" i="6"/>
  <c r="AV41" i="6"/>
  <c r="BP41" i="6"/>
  <c r="BQ41" i="6"/>
  <c r="BS41" i="6"/>
  <c r="BR41" i="6"/>
  <c r="BC41" i="6"/>
  <c r="BD41" i="6"/>
  <c r="BE41" i="6"/>
  <c r="AY41" i="6"/>
  <c r="AZ41" i="6"/>
  <c r="BF41" i="6"/>
  <c r="BG41" i="6"/>
  <c r="BH41" i="6"/>
  <c r="BA41" i="6" s="1"/>
  <c r="BB41" i="6"/>
  <c r="AC42" i="6"/>
  <c r="AD42" i="6"/>
  <c r="AG42" i="6"/>
  <c r="AH42" i="6"/>
  <c r="AI42" i="6"/>
  <c r="AJ42" i="6"/>
  <c r="AK42" i="6"/>
  <c r="AL42" i="6"/>
  <c r="AE42" i="6" s="1"/>
  <c r="AF42" i="6"/>
  <c r="BC42" i="6"/>
  <c r="BD42" i="6"/>
  <c r="BE42" i="6"/>
  <c r="AY42" i="6"/>
  <c r="AZ42" i="6"/>
  <c r="BF42" i="6"/>
  <c r="BG42" i="6"/>
  <c r="BH42" i="6"/>
  <c r="BA42" i="6" s="1"/>
  <c r="BB42" i="6"/>
  <c r="BS42" i="6"/>
  <c r="Q42" i="6"/>
  <c r="R42" i="6"/>
  <c r="S42" i="6"/>
  <c r="T42" i="6"/>
  <c r="U42" i="6"/>
  <c r="V42" i="6"/>
  <c r="W42" i="6"/>
  <c r="AA42" i="6"/>
  <c r="AM42" i="6"/>
  <c r="AN42" i="6"/>
  <c r="AO42" i="6"/>
  <c r="AP42" i="6"/>
  <c r="AQ42" i="6"/>
  <c r="AR42" i="6"/>
  <c r="AS42" i="6"/>
  <c r="AW42" i="6"/>
  <c r="BI42" i="6"/>
  <c r="BJ42" i="6"/>
  <c r="BK42" i="6"/>
  <c r="BL42" i="6"/>
  <c r="BM42" i="6"/>
  <c r="BN42" i="6"/>
  <c r="BO42" i="6"/>
  <c r="X42" i="6"/>
  <c r="Y42" i="6"/>
  <c r="Z42" i="6"/>
  <c r="AT42" i="6"/>
  <c r="AU42" i="6"/>
  <c r="AV42" i="6"/>
  <c r="BP42" i="6"/>
  <c r="BQ42" i="6"/>
  <c r="BR42" i="6"/>
  <c r="G42" i="6"/>
  <c r="K42" i="6"/>
  <c r="L42" i="6"/>
  <c r="M42" i="6"/>
  <c r="N42" i="6"/>
  <c r="O42" i="6"/>
  <c r="P42" i="6"/>
  <c r="I42" i="6"/>
  <c r="H42" i="6"/>
  <c r="J42" i="6"/>
  <c r="AC43" i="6"/>
  <c r="AD43" i="6"/>
  <c r="AG43" i="6"/>
  <c r="AH43" i="6"/>
  <c r="AI43" i="6"/>
  <c r="AJ43" i="6"/>
  <c r="AK43" i="6"/>
  <c r="AL43" i="6"/>
  <c r="AE43" i="6" s="1"/>
  <c r="AF43" i="6"/>
  <c r="G43" i="6"/>
  <c r="H43" i="6"/>
  <c r="K43" i="6"/>
  <c r="L43" i="6"/>
  <c r="M43" i="6"/>
  <c r="N43" i="6"/>
  <c r="O43" i="6"/>
  <c r="P43" i="6"/>
  <c r="I43" i="6"/>
  <c r="J43" i="6"/>
  <c r="BC43" i="6"/>
  <c r="BD43" i="6"/>
  <c r="BE43" i="6"/>
  <c r="AY43" i="6"/>
  <c r="AZ43" i="6"/>
  <c r="BF43" i="6"/>
  <c r="BG43" i="6"/>
  <c r="BH43" i="6"/>
  <c r="BA43" i="6" s="1"/>
  <c r="BB43" i="6"/>
  <c r="BS43" i="6"/>
  <c r="Q43" i="6"/>
  <c r="R43" i="6"/>
  <c r="S43" i="6"/>
  <c r="T43" i="6"/>
  <c r="U43" i="6"/>
  <c r="V43" i="6"/>
  <c r="W43" i="6"/>
  <c r="AA43" i="6"/>
  <c r="AM43" i="6"/>
  <c r="AN43" i="6"/>
  <c r="AO43" i="6"/>
  <c r="AP43" i="6"/>
  <c r="AQ43" i="6"/>
  <c r="AR43" i="6"/>
  <c r="AS43" i="6"/>
  <c r="AW43" i="6"/>
  <c r="BI43" i="6"/>
  <c r="BJ43" i="6"/>
  <c r="BK43" i="6"/>
  <c r="BL43" i="6"/>
  <c r="BM43" i="6"/>
  <c r="BN43" i="6"/>
  <c r="BO43" i="6"/>
  <c r="X43" i="6"/>
  <c r="Y43" i="6"/>
  <c r="Z43" i="6"/>
  <c r="AT43" i="6"/>
  <c r="AU43" i="6"/>
  <c r="AV43" i="6"/>
  <c r="BP43" i="6"/>
  <c r="BQ43" i="6"/>
  <c r="BR43" i="6"/>
  <c r="AC44" i="6"/>
  <c r="AD44" i="6"/>
  <c r="AG44" i="6"/>
  <c r="AH44" i="6"/>
  <c r="AI44" i="6"/>
  <c r="AJ44" i="6"/>
  <c r="AK44" i="6"/>
  <c r="AL44" i="6"/>
  <c r="AE44" i="6" s="1"/>
  <c r="AF44" i="6"/>
  <c r="BC44" i="6"/>
  <c r="BD44" i="6"/>
  <c r="BE44" i="6"/>
  <c r="AY44" i="6"/>
  <c r="AZ44" i="6"/>
  <c r="BF44" i="6"/>
  <c r="BG44" i="6"/>
  <c r="BH44" i="6"/>
  <c r="BA44" i="6" s="1"/>
  <c r="BB44" i="6"/>
  <c r="G44" i="6"/>
  <c r="K44" i="6"/>
  <c r="L44" i="6"/>
  <c r="M44" i="6"/>
  <c r="N44" i="6"/>
  <c r="O44" i="6"/>
  <c r="P44" i="6"/>
  <c r="I44" i="6"/>
  <c r="H44" i="6"/>
  <c r="J44" i="6"/>
  <c r="Q44" i="6"/>
  <c r="R44" i="6"/>
  <c r="S44" i="6"/>
  <c r="T44" i="6"/>
  <c r="U44" i="6"/>
  <c r="V44" i="6"/>
  <c r="W44" i="6"/>
  <c r="AA44" i="6"/>
  <c r="AM44" i="6"/>
  <c r="AN44" i="6"/>
  <c r="AO44" i="6"/>
  <c r="AP44" i="6"/>
  <c r="AQ44" i="6"/>
  <c r="AR44" i="6"/>
  <c r="AS44" i="6"/>
  <c r="AW44" i="6"/>
  <c r="BI44" i="6"/>
  <c r="BJ44" i="6"/>
  <c r="BK44" i="6"/>
  <c r="BL44" i="6"/>
  <c r="BM44" i="6"/>
  <c r="BN44" i="6"/>
  <c r="BO44" i="6"/>
  <c r="X44" i="6"/>
  <c r="Y44" i="6"/>
  <c r="Z44" i="6"/>
  <c r="AT44" i="6"/>
  <c r="AU44" i="6"/>
  <c r="AV44" i="6"/>
  <c r="BP44" i="6"/>
  <c r="BQ44" i="6"/>
  <c r="BS44" i="6"/>
  <c r="BR44" i="6"/>
  <c r="AC45" i="6"/>
  <c r="AD45" i="6"/>
  <c r="AG45" i="6"/>
  <c r="AH45" i="6"/>
  <c r="AI45" i="6"/>
  <c r="AJ45" i="6"/>
  <c r="AK45" i="6"/>
  <c r="AL45" i="6"/>
  <c r="AE45" i="6" s="1"/>
  <c r="AF45" i="6"/>
  <c r="G45" i="6"/>
  <c r="H45" i="6"/>
  <c r="K45" i="6"/>
  <c r="L45" i="6"/>
  <c r="M45" i="6"/>
  <c r="N45" i="6"/>
  <c r="O45" i="6"/>
  <c r="P45" i="6"/>
  <c r="I45" i="6"/>
  <c r="J45" i="6"/>
  <c r="BC45" i="6"/>
  <c r="BD45" i="6"/>
  <c r="BE45" i="6"/>
  <c r="AY45" i="6"/>
  <c r="AZ45" i="6"/>
  <c r="BF45" i="6"/>
  <c r="BG45" i="6"/>
  <c r="BH45" i="6"/>
  <c r="BA45" i="6" s="1"/>
  <c r="BB45" i="6"/>
  <c r="BS45" i="6"/>
  <c r="Q45" i="6"/>
  <c r="R45" i="6"/>
  <c r="S45" i="6"/>
  <c r="T45" i="6"/>
  <c r="U45" i="6"/>
  <c r="V45" i="6"/>
  <c r="W45" i="6"/>
  <c r="AA45" i="6"/>
  <c r="AM45" i="6"/>
  <c r="AN45" i="6"/>
  <c r="AO45" i="6"/>
  <c r="AP45" i="6"/>
  <c r="AQ45" i="6"/>
  <c r="AR45" i="6"/>
  <c r="AS45" i="6"/>
  <c r="AW45" i="6"/>
  <c r="BI45" i="6"/>
  <c r="BJ45" i="6"/>
  <c r="BK45" i="6"/>
  <c r="BL45" i="6"/>
  <c r="BM45" i="6"/>
  <c r="BN45" i="6"/>
  <c r="BO45" i="6"/>
  <c r="Y45" i="6"/>
  <c r="Z45" i="6"/>
  <c r="AT45" i="6"/>
  <c r="AU45" i="6"/>
  <c r="AV45" i="6"/>
  <c r="BP45" i="6"/>
  <c r="BQ45" i="6"/>
  <c r="X45" i="6"/>
  <c r="BR45" i="6"/>
  <c r="AC46" i="6"/>
  <c r="AD46" i="6"/>
  <c r="AG46" i="6"/>
  <c r="AH46" i="6"/>
  <c r="AI46" i="6"/>
  <c r="AJ46" i="6"/>
  <c r="AK46" i="6"/>
  <c r="AL46" i="6"/>
  <c r="AE46" i="6" s="1"/>
  <c r="AF46" i="6"/>
  <c r="G46" i="6"/>
  <c r="K46" i="6"/>
  <c r="L46" i="6"/>
  <c r="M46" i="6"/>
  <c r="N46" i="6"/>
  <c r="O46" i="6"/>
  <c r="P46" i="6"/>
  <c r="H46" i="6"/>
  <c r="BC46" i="6"/>
  <c r="BD46" i="6"/>
  <c r="BE46" i="6"/>
  <c r="AY46" i="6"/>
  <c r="AZ46" i="6"/>
  <c r="BF46" i="6"/>
  <c r="BG46" i="6"/>
  <c r="BH46" i="6"/>
  <c r="BS46" i="6"/>
  <c r="Q46" i="6"/>
  <c r="R46" i="6"/>
  <c r="S46" i="6"/>
  <c r="T46" i="6"/>
  <c r="U46" i="6"/>
  <c r="V46" i="6"/>
  <c r="W46" i="6"/>
  <c r="AA46" i="6"/>
  <c r="AM46" i="6"/>
  <c r="AN46" i="6"/>
  <c r="AO46" i="6"/>
  <c r="AP46" i="6"/>
  <c r="AQ46" i="6"/>
  <c r="AR46" i="6"/>
  <c r="AS46" i="6"/>
  <c r="AW46" i="6"/>
  <c r="BI46" i="6"/>
  <c r="BJ46" i="6"/>
  <c r="BK46" i="6"/>
  <c r="BL46" i="6"/>
  <c r="BM46" i="6"/>
  <c r="BN46" i="6"/>
  <c r="BO46" i="6"/>
  <c r="X46" i="6"/>
  <c r="Y46" i="6"/>
  <c r="Z46" i="6"/>
  <c r="AT46" i="6"/>
  <c r="AU46" i="6"/>
  <c r="AV46" i="6"/>
  <c r="BP46" i="6"/>
  <c r="BQ46" i="6"/>
  <c r="BR46" i="6"/>
  <c r="G47" i="6"/>
  <c r="K47" i="6"/>
  <c r="L47" i="6"/>
  <c r="M47" i="6"/>
  <c r="N47" i="6"/>
  <c r="O47" i="6"/>
  <c r="P47" i="6"/>
  <c r="I47" i="6"/>
  <c r="H47" i="6"/>
  <c r="J47" i="6"/>
  <c r="BC47" i="6"/>
  <c r="BD47" i="6"/>
  <c r="BE47" i="6"/>
  <c r="AY47" i="6"/>
  <c r="AZ47" i="6"/>
  <c r="BF47" i="6"/>
  <c r="BG47" i="6"/>
  <c r="BH47" i="6"/>
  <c r="BA47" i="6" s="1"/>
  <c r="BB47" i="6"/>
  <c r="AC47" i="6"/>
  <c r="AD47" i="6"/>
  <c r="AG47" i="6"/>
  <c r="AH47" i="6"/>
  <c r="AI47" i="6"/>
  <c r="AJ47" i="6"/>
  <c r="AK47" i="6"/>
  <c r="AL47" i="6"/>
  <c r="BS47" i="6"/>
  <c r="Q47" i="6"/>
  <c r="R47" i="6"/>
  <c r="S47" i="6"/>
  <c r="T47" i="6"/>
  <c r="U47" i="6"/>
  <c r="V47" i="6"/>
  <c r="W47" i="6"/>
  <c r="AA47" i="6"/>
  <c r="AM47" i="6"/>
  <c r="AN47" i="6"/>
  <c r="AO47" i="6"/>
  <c r="AP47" i="6"/>
  <c r="AQ47" i="6"/>
  <c r="AR47" i="6"/>
  <c r="AS47" i="6"/>
  <c r="AW47" i="6"/>
  <c r="BI47" i="6"/>
  <c r="BJ47" i="6"/>
  <c r="BK47" i="6"/>
  <c r="BL47" i="6"/>
  <c r="BM47" i="6"/>
  <c r="BN47" i="6"/>
  <c r="BO47" i="6"/>
  <c r="X47" i="6"/>
  <c r="Y47" i="6"/>
  <c r="Z47" i="6"/>
  <c r="AT47" i="6"/>
  <c r="AU47" i="6"/>
  <c r="AV47" i="6"/>
  <c r="BP47" i="6"/>
  <c r="BQ47" i="6"/>
  <c r="BR47" i="6"/>
  <c r="AC48" i="6"/>
  <c r="AD48" i="6"/>
  <c r="AG48" i="6"/>
  <c r="AH48" i="6"/>
  <c r="AI48" i="6"/>
  <c r="AJ48" i="6"/>
  <c r="AK48" i="6"/>
  <c r="AL48" i="6"/>
  <c r="BC48" i="6"/>
  <c r="BD48" i="6"/>
  <c r="BE48" i="6"/>
  <c r="AY48" i="6"/>
  <c r="AZ48" i="6"/>
  <c r="BF48" i="6"/>
  <c r="BG48" i="6"/>
  <c r="BH48" i="6"/>
  <c r="BA48" i="6" s="1"/>
  <c r="BB48" i="6"/>
  <c r="G48" i="6"/>
  <c r="K48" i="6"/>
  <c r="L48" i="6"/>
  <c r="M48" i="6"/>
  <c r="N48" i="6"/>
  <c r="O48" i="6"/>
  <c r="P48" i="6"/>
  <c r="H48" i="6"/>
  <c r="I48" i="6"/>
  <c r="J48" i="6"/>
  <c r="Q48" i="6"/>
  <c r="R48" i="6"/>
  <c r="S48" i="6"/>
  <c r="T48" i="6"/>
  <c r="U48" i="6"/>
  <c r="V48" i="6"/>
  <c r="W48" i="6"/>
  <c r="AA48" i="6"/>
  <c r="AM48" i="6"/>
  <c r="AN48" i="6"/>
  <c r="AO48" i="6"/>
  <c r="AP48" i="6"/>
  <c r="AQ48" i="6"/>
  <c r="AR48" i="6"/>
  <c r="AS48" i="6"/>
  <c r="AW48" i="6"/>
  <c r="BI48" i="6"/>
  <c r="BJ48" i="6"/>
  <c r="BK48" i="6"/>
  <c r="BL48" i="6"/>
  <c r="BM48" i="6"/>
  <c r="BN48" i="6"/>
  <c r="BO48" i="6"/>
  <c r="X48" i="6"/>
  <c r="Y48" i="6"/>
  <c r="Z48" i="6"/>
  <c r="AT48" i="6"/>
  <c r="AU48" i="6"/>
  <c r="AV48" i="6"/>
  <c r="BP48" i="6"/>
  <c r="BQ48" i="6"/>
  <c r="BS48" i="6"/>
  <c r="BR48" i="6"/>
  <c r="BC49" i="6"/>
  <c r="BD49" i="6"/>
  <c r="BE49" i="6"/>
  <c r="AY49" i="6"/>
  <c r="AZ49" i="6"/>
  <c r="BF49" i="6"/>
  <c r="BG49" i="6"/>
  <c r="BH49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BS49" i="6"/>
  <c r="Q49" i="6"/>
  <c r="R49" i="6"/>
  <c r="S49" i="6"/>
  <c r="T49" i="6"/>
  <c r="U49" i="6"/>
  <c r="V49" i="6"/>
  <c r="W49" i="6"/>
  <c r="AA49" i="6"/>
  <c r="AM49" i="6"/>
  <c r="AN49" i="6"/>
  <c r="AO49" i="6"/>
  <c r="AP49" i="6"/>
  <c r="AQ49" i="6"/>
  <c r="AR49" i="6"/>
  <c r="AS49" i="6"/>
  <c r="AW49" i="6"/>
  <c r="BI49" i="6"/>
  <c r="BJ49" i="6"/>
  <c r="BK49" i="6"/>
  <c r="BL49" i="6"/>
  <c r="BM49" i="6"/>
  <c r="BN49" i="6"/>
  <c r="BO49" i="6"/>
  <c r="Y49" i="6"/>
  <c r="Z49" i="6"/>
  <c r="AT49" i="6"/>
  <c r="AU49" i="6"/>
  <c r="AV49" i="6"/>
  <c r="BP49" i="6"/>
  <c r="BQ49" i="6"/>
  <c r="X49" i="6"/>
  <c r="BR49" i="6"/>
  <c r="BC50" i="6"/>
  <c r="BD50" i="6"/>
  <c r="BE50" i="6"/>
  <c r="AY50" i="6"/>
  <c r="AZ50" i="6"/>
  <c r="BF50" i="6"/>
  <c r="BG50" i="6"/>
  <c r="BH50" i="6"/>
  <c r="BS50" i="6"/>
  <c r="Q50" i="6"/>
  <c r="R50" i="6"/>
  <c r="S50" i="6"/>
  <c r="T50" i="6"/>
  <c r="U50" i="6"/>
  <c r="V50" i="6"/>
  <c r="W50" i="6"/>
  <c r="AA50" i="6"/>
  <c r="AM50" i="6"/>
  <c r="AN50" i="6"/>
  <c r="AO50" i="6"/>
  <c r="AP50" i="6"/>
  <c r="AQ50" i="6"/>
  <c r="AR50" i="6"/>
  <c r="AS50" i="6"/>
  <c r="AW50" i="6"/>
  <c r="BI50" i="6"/>
  <c r="BJ50" i="6"/>
  <c r="BK50" i="6"/>
  <c r="BL50" i="6"/>
  <c r="BM50" i="6"/>
  <c r="BN50" i="6"/>
  <c r="BO50" i="6"/>
  <c r="X50" i="6"/>
  <c r="Y50" i="6"/>
  <c r="Z50" i="6"/>
  <c r="AT50" i="6"/>
  <c r="AU50" i="6"/>
  <c r="AV50" i="6"/>
  <c r="BP50" i="6"/>
  <c r="BQ50" i="6"/>
  <c r="BR50" i="6"/>
  <c r="G50" i="6"/>
  <c r="K50" i="6"/>
  <c r="L50" i="6"/>
  <c r="M50" i="6"/>
  <c r="N50" i="6"/>
  <c r="O50" i="6"/>
  <c r="P50" i="6"/>
  <c r="H50" i="6"/>
  <c r="I50" i="6"/>
  <c r="J50" i="6"/>
  <c r="AC50" i="6"/>
  <c r="AD50" i="6"/>
  <c r="AG50" i="6"/>
  <c r="AH50" i="6"/>
  <c r="AI50" i="6"/>
  <c r="AJ50" i="6"/>
  <c r="AK50" i="6"/>
  <c r="AL50" i="6"/>
  <c r="Q51" i="6"/>
  <c r="R51" i="6"/>
  <c r="S51" i="6"/>
  <c r="T51" i="6"/>
  <c r="U51" i="6"/>
  <c r="V51" i="6"/>
  <c r="W51" i="6"/>
  <c r="AA51" i="6"/>
  <c r="AM51" i="6"/>
  <c r="AN51" i="6"/>
  <c r="AO51" i="6"/>
  <c r="AP51" i="6"/>
  <c r="AQ51" i="6"/>
  <c r="AR51" i="6"/>
  <c r="AS51" i="6"/>
  <c r="AW51" i="6"/>
  <c r="BI51" i="6"/>
  <c r="BJ51" i="6"/>
  <c r="BK51" i="6"/>
  <c r="BL51" i="6"/>
  <c r="BM51" i="6"/>
  <c r="BN51" i="6"/>
  <c r="BO51" i="6"/>
  <c r="Y51" i="6"/>
  <c r="Z51" i="6"/>
  <c r="AT51" i="6"/>
  <c r="AU51" i="6"/>
  <c r="AV51" i="6"/>
  <c r="BP51" i="6"/>
  <c r="BQ51" i="6"/>
  <c r="BS51" i="6"/>
  <c r="X51" i="6"/>
  <c r="BR51" i="6"/>
  <c r="AC51" i="6"/>
  <c r="AD51" i="6"/>
  <c r="AG51" i="6"/>
  <c r="AH51" i="6"/>
  <c r="AI51" i="6"/>
  <c r="AJ51" i="6"/>
  <c r="AK51" i="6"/>
  <c r="AL51" i="6"/>
  <c r="G51" i="6"/>
  <c r="K51" i="6"/>
  <c r="L51" i="6"/>
  <c r="M51" i="6"/>
  <c r="N51" i="6"/>
  <c r="O51" i="6"/>
  <c r="P51" i="6"/>
  <c r="H51" i="6"/>
  <c r="BC51" i="6"/>
  <c r="BD51" i="6"/>
  <c r="BE51" i="6"/>
  <c r="AY51" i="6"/>
  <c r="AZ51" i="6"/>
  <c r="BF51" i="6"/>
  <c r="BG51" i="6"/>
  <c r="BH51" i="6"/>
  <c r="G52" i="6"/>
  <c r="K52" i="6"/>
  <c r="L52" i="6"/>
  <c r="M52" i="6"/>
  <c r="N52" i="6"/>
  <c r="O52" i="6"/>
  <c r="P52" i="6"/>
  <c r="H52" i="6"/>
  <c r="AC52" i="6"/>
  <c r="AD52" i="6"/>
  <c r="AG52" i="6"/>
  <c r="AH52" i="6"/>
  <c r="AI52" i="6"/>
  <c r="AJ52" i="6"/>
  <c r="AK52" i="6"/>
  <c r="AL52" i="6"/>
  <c r="BC52" i="6"/>
  <c r="BD52" i="6"/>
  <c r="BE52" i="6"/>
  <c r="AY52" i="6"/>
  <c r="AZ52" i="6"/>
  <c r="BF52" i="6"/>
  <c r="BG52" i="6"/>
  <c r="BH52" i="6"/>
  <c r="BS52" i="6"/>
  <c r="Q52" i="6"/>
  <c r="R52" i="6"/>
  <c r="S52" i="6"/>
  <c r="T52" i="6"/>
  <c r="U52" i="6"/>
  <c r="V52" i="6"/>
  <c r="W52" i="6"/>
  <c r="AA52" i="6"/>
  <c r="AM52" i="6"/>
  <c r="AN52" i="6"/>
  <c r="AO52" i="6"/>
  <c r="AP52" i="6"/>
  <c r="AQ52" i="6"/>
  <c r="AR52" i="6"/>
  <c r="AS52" i="6"/>
  <c r="AW52" i="6"/>
  <c r="BI52" i="6"/>
  <c r="BJ52" i="6"/>
  <c r="BK52" i="6"/>
  <c r="BL52" i="6"/>
  <c r="BM52" i="6"/>
  <c r="BN52" i="6"/>
  <c r="BO52" i="6"/>
  <c r="X52" i="6"/>
  <c r="Y52" i="6"/>
  <c r="Z52" i="6"/>
  <c r="AT52" i="6"/>
  <c r="AU52" i="6"/>
  <c r="AV52" i="6"/>
  <c r="BP52" i="6"/>
  <c r="BQ52" i="6"/>
  <c r="BR52" i="6"/>
  <c r="AC53" i="6"/>
  <c r="AD53" i="6"/>
  <c r="AG53" i="6"/>
  <c r="AH53" i="6"/>
  <c r="AI53" i="6"/>
  <c r="AJ53" i="6"/>
  <c r="AK53" i="6"/>
  <c r="AL53" i="6"/>
  <c r="Q53" i="6"/>
  <c r="R53" i="6"/>
  <c r="S53" i="6"/>
  <c r="T53" i="6"/>
  <c r="U53" i="6"/>
  <c r="V53" i="6"/>
  <c r="W53" i="6"/>
  <c r="AA53" i="6"/>
  <c r="AM53" i="6"/>
  <c r="AN53" i="6"/>
  <c r="AO53" i="6"/>
  <c r="AP53" i="6"/>
  <c r="AQ53" i="6"/>
  <c r="AR53" i="6"/>
  <c r="AS53" i="6"/>
  <c r="AW53" i="6"/>
  <c r="BI53" i="6"/>
  <c r="BJ53" i="6"/>
  <c r="BK53" i="6"/>
  <c r="BL53" i="6"/>
  <c r="BM53" i="6"/>
  <c r="BN53" i="6"/>
  <c r="BO53" i="6"/>
  <c r="Y53" i="6"/>
  <c r="Z53" i="6"/>
  <c r="AT53" i="6"/>
  <c r="AU53" i="6"/>
  <c r="AV53" i="6"/>
  <c r="BP53" i="6"/>
  <c r="BQ53" i="6"/>
  <c r="BS53" i="6"/>
  <c r="X53" i="6"/>
  <c r="BR53" i="6"/>
  <c r="G53" i="6"/>
  <c r="K53" i="6"/>
  <c r="L53" i="6"/>
  <c r="M53" i="6"/>
  <c r="N53" i="6"/>
  <c r="O53" i="6"/>
  <c r="P53" i="6"/>
  <c r="I53" i="6" s="1"/>
  <c r="H53" i="6"/>
  <c r="J53" i="6"/>
  <c r="BC53" i="6"/>
  <c r="BD53" i="6"/>
  <c r="BE53" i="6"/>
  <c r="AY53" i="6"/>
  <c r="AZ53" i="6"/>
  <c r="BF53" i="6"/>
  <c r="BG53" i="6"/>
  <c r="BH53" i="6"/>
  <c r="AC54" i="6"/>
  <c r="AD54" i="6"/>
  <c r="AG54" i="6"/>
  <c r="AH54" i="6"/>
  <c r="AI54" i="6"/>
  <c r="AJ54" i="6"/>
  <c r="AK54" i="6"/>
  <c r="AL54" i="6"/>
  <c r="BC54" i="6"/>
  <c r="BD54" i="6"/>
  <c r="BE54" i="6"/>
  <c r="AY54" i="6"/>
  <c r="AZ54" i="6"/>
  <c r="BF54" i="6"/>
  <c r="BG54" i="6"/>
  <c r="BH54" i="6"/>
  <c r="G54" i="6"/>
  <c r="H54" i="6"/>
  <c r="K54" i="6"/>
  <c r="L54" i="6"/>
  <c r="M54" i="6"/>
  <c r="N54" i="6"/>
  <c r="O54" i="6"/>
  <c r="P54" i="6"/>
  <c r="I54" i="6"/>
  <c r="J54" i="6"/>
  <c r="BS54" i="6"/>
  <c r="Q54" i="6"/>
  <c r="R54" i="6"/>
  <c r="S54" i="6"/>
  <c r="T54" i="6"/>
  <c r="U54" i="6"/>
  <c r="V54" i="6"/>
  <c r="W54" i="6"/>
  <c r="AA54" i="6"/>
  <c r="AM54" i="6"/>
  <c r="AN54" i="6"/>
  <c r="AO54" i="6"/>
  <c r="AP54" i="6"/>
  <c r="AQ54" i="6"/>
  <c r="AR54" i="6"/>
  <c r="AS54" i="6"/>
  <c r="AW54" i="6"/>
  <c r="BI54" i="6"/>
  <c r="BJ54" i="6"/>
  <c r="BK54" i="6"/>
  <c r="BL54" i="6"/>
  <c r="BM54" i="6"/>
  <c r="BN54" i="6"/>
  <c r="BO54" i="6"/>
  <c r="X54" i="6"/>
  <c r="Y54" i="6"/>
  <c r="Z54" i="6"/>
  <c r="AT54" i="6"/>
  <c r="AU54" i="6"/>
  <c r="AV54" i="6"/>
  <c r="BP54" i="6"/>
  <c r="BQ54" i="6"/>
  <c r="BR54" i="6"/>
  <c r="AC55" i="6"/>
  <c r="AD55" i="6"/>
  <c r="AG55" i="6"/>
  <c r="AH55" i="6"/>
  <c r="AI55" i="6"/>
  <c r="AJ55" i="6"/>
  <c r="AK55" i="6"/>
  <c r="AL55" i="6"/>
  <c r="AE55" i="6" s="1"/>
  <c r="AF55" i="6"/>
  <c r="BC55" i="6"/>
  <c r="BD55" i="6"/>
  <c r="BE55" i="6"/>
  <c r="AY55" i="6"/>
  <c r="AZ55" i="6"/>
  <c r="BF55" i="6"/>
  <c r="BG55" i="6"/>
  <c r="BH55" i="6"/>
  <c r="BA55" i="6" s="1"/>
  <c r="BB55" i="6"/>
  <c r="G55" i="6"/>
  <c r="K55" i="6"/>
  <c r="L55" i="6"/>
  <c r="M55" i="6"/>
  <c r="N55" i="6"/>
  <c r="O55" i="6"/>
  <c r="P55" i="6"/>
  <c r="I55" i="6"/>
  <c r="H55" i="6"/>
  <c r="J55" i="6"/>
  <c r="Q55" i="6"/>
  <c r="R55" i="6"/>
  <c r="S55" i="6"/>
  <c r="T55" i="6"/>
  <c r="U55" i="6"/>
  <c r="V55" i="6"/>
  <c r="W55" i="6"/>
  <c r="AA55" i="6"/>
  <c r="AM55" i="6"/>
  <c r="AN55" i="6"/>
  <c r="AO55" i="6"/>
  <c r="AP55" i="6"/>
  <c r="AQ55" i="6"/>
  <c r="AR55" i="6"/>
  <c r="AS55" i="6"/>
  <c r="AW55" i="6"/>
  <c r="BI55" i="6"/>
  <c r="BJ55" i="6"/>
  <c r="BK55" i="6"/>
  <c r="BL55" i="6"/>
  <c r="BM55" i="6"/>
  <c r="BN55" i="6"/>
  <c r="BO55" i="6"/>
  <c r="X55" i="6"/>
  <c r="Y55" i="6"/>
  <c r="Z55" i="6"/>
  <c r="AT55" i="6"/>
  <c r="AU55" i="6"/>
  <c r="AV55" i="6"/>
  <c r="BP55" i="6"/>
  <c r="BQ55" i="6"/>
  <c r="BS55" i="6"/>
  <c r="BR55" i="6"/>
  <c r="BC56" i="6"/>
  <c r="BD56" i="6"/>
  <c r="BE56" i="6"/>
  <c r="AY56" i="6"/>
  <c r="AZ56" i="6"/>
  <c r="BF56" i="6"/>
  <c r="BG56" i="6"/>
  <c r="BH56" i="6"/>
  <c r="BA56" i="6" s="1"/>
  <c r="BB56" i="6"/>
  <c r="AC56" i="6"/>
  <c r="AD56" i="6"/>
  <c r="AG56" i="6"/>
  <c r="AH56" i="6"/>
  <c r="AI56" i="6"/>
  <c r="AJ56" i="6"/>
  <c r="AK56" i="6"/>
  <c r="AL56" i="6"/>
  <c r="AE56" i="6" s="1"/>
  <c r="AF56" i="6"/>
  <c r="G56" i="6"/>
  <c r="K56" i="6"/>
  <c r="L56" i="6"/>
  <c r="M56" i="6"/>
  <c r="N56" i="6"/>
  <c r="O56" i="6"/>
  <c r="P56" i="6"/>
  <c r="I56" i="6" s="1"/>
  <c r="H56" i="6"/>
  <c r="J56" i="6"/>
  <c r="BS56" i="6"/>
  <c r="Q56" i="6"/>
  <c r="R56" i="6"/>
  <c r="S56" i="6"/>
  <c r="T56" i="6"/>
  <c r="U56" i="6"/>
  <c r="V56" i="6"/>
  <c r="W56" i="6"/>
  <c r="AA56" i="6"/>
  <c r="AM56" i="6"/>
  <c r="AN56" i="6"/>
  <c r="AO56" i="6"/>
  <c r="AP56" i="6"/>
  <c r="AQ56" i="6"/>
  <c r="AR56" i="6"/>
  <c r="AS56" i="6"/>
  <c r="AW56" i="6"/>
  <c r="BI56" i="6"/>
  <c r="BJ56" i="6"/>
  <c r="BK56" i="6"/>
  <c r="BL56" i="6"/>
  <c r="BM56" i="6"/>
  <c r="BN56" i="6"/>
  <c r="BO56" i="6"/>
  <c r="Y56" i="6"/>
  <c r="Z56" i="6"/>
  <c r="AT56" i="6"/>
  <c r="AU56" i="6"/>
  <c r="AV56" i="6"/>
  <c r="BP56" i="6"/>
  <c r="BQ56" i="6"/>
  <c r="X56" i="6"/>
  <c r="BR56" i="6"/>
  <c r="BC57" i="6"/>
  <c r="BD57" i="6"/>
  <c r="BE57" i="6"/>
  <c r="AY57" i="6"/>
  <c r="AZ57" i="6"/>
  <c r="BF57" i="6"/>
  <c r="BG57" i="6"/>
  <c r="BH57" i="6"/>
  <c r="BA57" i="6" s="1"/>
  <c r="BB57" i="6"/>
  <c r="G57" i="6"/>
  <c r="H57" i="6"/>
  <c r="K57" i="6"/>
  <c r="L57" i="6"/>
  <c r="M57" i="6"/>
  <c r="N57" i="6"/>
  <c r="O57" i="6"/>
  <c r="P57" i="6"/>
  <c r="I57" i="6" s="1"/>
  <c r="J57" i="6"/>
  <c r="AC57" i="6"/>
  <c r="AD57" i="6"/>
  <c r="AG57" i="6"/>
  <c r="AH57" i="6"/>
  <c r="AI57" i="6"/>
  <c r="AJ57" i="6"/>
  <c r="AK57" i="6"/>
  <c r="AL57" i="6"/>
  <c r="AE57" i="6" s="1"/>
  <c r="AF57" i="6"/>
  <c r="Q57" i="6"/>
  <c r="R57" i="6"/>
  <c r="S57" i="6"/>
  <c r="T57" i="6"/>
  <c r="U57" i="6"/>
  <c r="V57" i="6"/>
  <c r="W57" i="6"/>
  <c r="AA57" i="6"/>
  <c r="AM57" i="6"/>
  <c r="AN57" i="6"/>
  <c r="AO57" i="6"/>
  <c r="AP57" i="6"/>
  <c r="AQ57" i="6"/>
  <c r="AR57" i="6"/>
  <c r="AS57" i="6"/>
  <c r="AW57" i="6"/>
  <c r="BI57" i="6"/>
  <c r="BJ57" i="6"/>
  <c r="BK57" i="6"/>
  <c r="BL57" i="6"/>
  <c r="BM57" i="6"/>
  <c r="BN57" i="6"/>
  <c r="BO57" i="6"/>
  <c r="Y57" i="6"/>
  <c r="Z57" i="6"/>
  <c r="AT57" i="6"/>
  <c r="AU57" i="6"/>
  <c r="AV57" i="6"/>
  <c r="BP57" i="6"/>
  <c r="BQ57" i="6"/>
  <c r="BS57" i="6"/>
  <c r="X57" i="6"/>
  <c r="BR57" i="6"/>
  <c r="BC58" i="6"/>
  <c r="BD58" i="6"/>
  <c r="BE58" i="6"/>
  <c r="AY58" i="6"/>
  <c r="AZ58" i="6"/>
  <c r="BF58" i="6"/>
  <c r="BG58" i="6"/>
  <c r="BH58" i="6"/>
  <c r="BA58" i="6" s="1"/>
  <c r="BB58" i="6"/>
  <c r="AC58" i="6"/>
  <c r="AD58" i="6"/>
  <c r="AG58" i="6"/>
  <c r="AH58" i="6"/>
  <c r="AI58" i="6"/>
  <c r="AJ58" i="6"/>
  <c r="AK58" i="6"/>
  <c r="AL58" i="6"/>
  <c r="AE58" i="6" s="1"/>
  <c r="AF58" i="6"/>
  <c r="Q58" i="6"/>
  <c r="R58" i="6"/>
  <c r="S58" i="6"/>
  <c r="T58" i="6"/>
  <c r="U58" i="6"/>
  <c r="V58" i="6"/>
  <c r="W58" i="6"/>
  <c r="AA58" i="6"/>
  <c r="AM58" i="6"/>
  <c r="AN58" i="6"/>
  <c r="AO58" i="6"/>
  <c r="AP58" i="6"/>
  <c r="AQ58" i="6"/>
  <c r="AR58" i="6"/>
  <c r="AS58" i="6"/>
  <c r="AW58" i="6"/>
  <c r="BI58" i="6"/>
  <c r="BJ58" i="6"/>
  <c r="BK58" i="6"/>
  <c r="BL58" i="6"/>
  <c r="BM58" i="6"/>
  <c r="BN58" i="6"/>
  <c r="BO58" i="6"/>
  <c r="X58" i="6"/>
  <c r="Y58" i="6"/>
  <c r="Z58" i="6"/>
  <c r="AT58" i="6"/>
  <c r="AU58" i="6"/>
  <c r="AV58" i="6"/>
  <c r="BP58" i="6"/>
  <c r="BQ58" i="6"/>
  <c r="BS58" i="6"/>
  <c r="BR58" i="6"/>
  <c r="G58" i="6"/>
  <c r="K58" i="6"/>
  <c r="L58" i="6"/>
  <c r="M58" i="6"/>
  <c r="N58" i="6"/>
  <c r="O58" i="6"/>
  <c r="P58" i="6"/>
  <c r="I58" i="6" s="1"/>
  <c r="H58" i="6"/>
  <c r="J58" i="6"/>
  <c r="G59" i="6"/>
  <c r="K59" i="6"/>
  <c r="L59" i="6"/>
  <c r="M59" i="6"/>
  <c r="N59" i="6"/>
  <c r="O59" i="6"/>
  <c r="P59" i="6"/>
  <c r="H59" i="6"/>
  <c r="AC59" i="6"/>
  <c r="AD59" i="6"/>
  <c r="AG59" i="6"/>
  <c r="AH59" i="6"/>
  <c r="AI59" i="6"/>
  <c r="AJ59" i="6"/>
  <c r="AK59" i="6"/>
  <c r="AL59" i="6"/>
  <c r="BC59" i="6"/>
  <c r="BD59" i="6"/>
  <c r="BE59" i="6"/>
  <c r="AY59" i="6"/>
  <c r="AZ59" i="6"/>
  <c r="BF59" i="6"/>
  <c r="BG59" i="6"/>
  <c r="BH59" i="6"/>
  <c r="BS59" i="6"/>
  <c r="Q59" i="6"/>
  <c r="R59" i="6"/>
  <c r="S59" i="6"/>
  <c r="T59" i="6"/>
  <c r="U59" i="6"/>
  <c r="V59" i="6"/>
  <c r="W59" i="6"/>
  <c r="AA59" i="6"/>
  <c r="AM59" i="6"/>
  <c r="AN59" i="6"/>
  <c r="AO59" i="6"/>
  <c r="AP59" i="6"/>
  <c r="AQ59" i="6"/>
  <c r="AR59" i="6"/>
  <c r="AS59" i="6"/>
  <c r="AW59" i="6"/>
  <c r="BI59" i="6"/>
  <c r="BJ59" i="6"/>
  <c r="BK59" i="6"/>
  <c r="BL59" i="6"/>
  <c r="BM59" i="6"/>
  <c r="BN59" i="6"/>
  <c r="BO59" i="6"/>
  <c r="X59" i="6"/>
  <c r="Y59" i="6"/>
  <c r="Z59" i="6"/>
  <c r="AT59" i="6"/>
  <c r="AU59" i="6"/>
  <c r="AV59" i="6"/>
  <c r="BP59" i="6"/>
  <c r="BQ59" i="6"/>
  <c r="BR59" i="6"/>
  <c r="AC60" i="6"/>
  <c r="AD60" i="6"/>
  <c r="AG60" i="6"/>
  <c r="AH60" i="6"/>
  <c r="AI60" i="6"/>
  <c r="AJ60" i="6"/>
  <c r="AK60" i="6"/>
  <c r="AL60" i="6"/>
  <c r="AE60" i="6" s="1"/>
  <c r="AF60" i="6"/>
  <c r="G60" i="6"/>
  <c r="H60" i="6"/>
  <c r="K60" i="6"/>
  <c r="L60" i="6"/>
  <c r="M60" i="6"/>
  <c r="N60" i="6"/>
  <c r="O60" i="6"/>
  <c r="P60" i="6"/>
  <c r="BC60" i="6"/>
  <c r="BD60" i="6"/>
  <c r="BE60" i="6"/>
  <c r="AY60" i="6"/>
  <c r="AZ60" i="6"/>
  <c r="BF60" i="6"/>
  <c r="BG60" i="6"/>
  <c r="BH60" i="6"/>
  <c r="Q60" i="6"/>
  <c r="R60" i="6"/>
  <c r="S60" i="6"/>
  <c r="T60" i="6"/>
  <c r="U60" i="6"/>
  <c r="V60" i="6"/>
  <c r="W60" i="6"/>
  <c r="AA60" i="6"/>
  <c r="AM60" i="6"/>
  <c r="AN60" i="6"/>
  <c r="AO60" i="6"/>
  <c r="AP60" i="6"/>
  <c r="AQ60" i="6"/>
  <c r="AR60" i="6"/>
  <c r="AS60" i="6"/>
  <c r="AW60" i="6"/>
  <c r="BI60" i="6"/>
  <c r="BJ60" i="6"/>
  <c r="BK60" i="6"/>
  <c r="BL60" i="6"/>
  <c r="BM60" i="6"/>
  <c r="BN60" i="6"/>
  <c r="BO60" i="6"/>
  <c r="Y60" i="6"/>
  <c r="Z60" i="6"/>
  <c r="AT60" i="6"/>
  <c r="AU60" i="6"/>
  <c r="AV60" i="6"/>
  <c r="BP60" i="6"/>
  <c r="BQ60" i="6"/>
  <c r="BS60" i="6"/>
  <c r="X60" i="6"/>
  <c r="BR60" i="6"/>
  <c r="G61" i="6"/>
  <c r="K61" i="6"/>
  <c r="L61" i="6"/>
  <c r="M61" i="6"/>
  <c r="N61" i="6"/>
  <c r="O61" i="6"/>
  <c r="P61" i="6"/>
  <c r="H61" i="6"/>
  <c r="AC61" i="6"/>
  <c r="AD61" i="6"/>
  <c r="AG61" i="6"/>
  <c r="AH61" i="6"/>
  <c r="AI61" i="6"/>
  <c r="AJ61" i="6"/>
  <c r="AK61" i="6"/>
  <c r="AL61" i="6"/>
  <c r="BC61" i="6"/>
  <c r="BD61" i="6"/>
  <c r="BE61" i="6"/>
  <c r="AY61" i="6"/>
  <c r="AZ61" i="6"/>
  <c r="BF61" i="6"/>
  <c r="BG61" i="6"/>
  <c r="BH61" i="6"/>
  <c r="BS61" i="6"/>
  <c r="Q61" i="6"/>
  <c r="R61" i="6"/>
  <c r="S61" i="6"/>
  <c r="T61" i="6"/>
  <c r="U61" i="6"/>
  <c r="V61" i="6"/>
  <c r="W61" i="6"/>
  <c r="AA61" i="6"/>
  <c r="AM61" i="6"/>
  <c r="AN61" i="6"/>
  <c r="AO61" i="6"/>
  <c r="AP61" i="6"/>
  <c r="AQ61" i="6"/>
  <c r="AR61" i="6"/>
  <c r="AS61" i="6"/>
  <c r="AW61" i="6"/>
  <c r="BI61" i="6"/>
  <c r="BJ61" i="6"/>
  <c r="BK61" i="6"/>
  <c r="BL61" i="6"/>
  <c r="BM61" i="6"/>
  <c r="BN61" i="6"/>
  <c r="BO61" i="6"/>
  <c r="X61" i="6"/>
  <c r="Y61" i="6"/>
  <c r="Z61" i="6"/>
  <c r="AT61" i="6"/>
  <c r="AU61" i="6"/>
  <c r="AV61" i="6"/>
  <c r="BP61" i="6"/>
  <c r="BQ61" i="6"/>
  <c r="BR61" i="6"/>
  <c r="AC62" i="6"/>
  <c r="AD62" i="6"/>
  <c r="AG62" i="6"/>
  <c r="AH62" i="6"/>
  <c r="AI62" i="6"/>
  <c r="AJ62" i="6"/>
  <c r="AK62" i="6"/>
  <c r="AL62" i="6"/>
  <c r="AE62" i="6" s="1"/>
  <c r="AF62" i="6"/>
  <c r="G62" i="6"/>
  <c r="K62" i="6"/>
  <c r="L62" i="6"/>
  <c r="M62" i="6"/>
  <c r="N62" i="6"/>
  <c r="O62" i="6"/>
  <c r="P62" i="6"/>
  <c r="H62" i="6"/>
  <c r="BC62" i="6"/>
  <c r="BD62" i="6"/>
  <c r="BE62" i="6"/>
  <c r="AY62" i="6"/>
  <c r="AZ62" i="6"/>
  <c r="BF62" i="6"/>
  <c r="BG62" i="6"/>
  <c r="BH62" i="6"/>
  <c r="Q62" i="6"/>
  <c r="R62" i="6"/>
  <c r="S62" i="6"/>
  <c r="T62" i="6"/>
  <c r="U62" i="6"/>
  <c r="V62" i="6"/>
  <c r="W62" i="6"/>
  <c r="AA62" i="6"/>
  <c r="AM62" i="6"/>
  <c r="AN62" i="6"/>
  <c r="AO62" i="6"/>
  <c r="AP62" i="6"/>
  <c r="AQ62" i="6"/>
  <c r="AR62" i="6"/>
  <c r="AS62" i="6"/>
  <c r="AW62" i="6"/>
  <c r="BI62" i="6"/>
  <c r="BJ62" i="6"/>
  <c r="BK62" i="6"/>
  <c r="BL62" i="6"/>
  <c r="BM62" i="6"/>
  <c r="BN62" i="6"/>
  <c r="BO62" i="6"/>
  <c r="Y62" i="6"/>
  <c r="Z62" i="6"/>
  <c r="AT62" i="6"/>
  <c r="AU62" i="6"/>
  <c r="AV62" i="6"/>
  <c r="BP62" i="6"/>
  <c r="BQ62" i="6"/>
  <c r="BS62" i="6"/>
  <c r="X62" i="6"/>
  <c r="BR62" i="6"/>
  <c r="BC63" i="6"/>
  <c r="BD63" i="6"/>
  <c r="BE63" i="6"/>
  <c r="AY63" i="6"/>
  <c r="AZ63" i="6"/>
  <c r="BF63" i="6"/>
  <c r="BG63" i="6"/>
  <c r="BH63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BS63" i="6"/>
  <c r="Q63" i="6"/>
  <c r="R63" i="6"/>
  <c r="S63" i="6"/>
  <c r="T63" i="6"/>
  <c r="U63" i="6"/>
  <c r="V63" i="6"/>
  <c r="W63" i="6"/>
  <c r="AA63" i="6"/>
  <c r="AM63" i="6"/>
  <c r="AN63" i="6"/>
  <c r="AO63" i="6"/>
  <c r="AP63" i="6"/>
  <c r="AQ63" i="6"/>
  <c r="AR63" i="6"/>
  <c r="AS63" i="6"/>
  <c r="AW63" i="6"/>
  <c r="BI63" i="6"/>
  <c r="BJ63" i="6"/>
  <c r="BK63" i="6"/>
  <c r="BL63" i="6"/>
  <c r="BM63" i="6"/>
  <c r="BN63" i="6"/>
  <c r="BO63" i="6"/>
  <c r="X63" i="6"/>
  <c r="Y63" i="6"/>
  <c r="Z63" i="6"/>
  <c r="AT63" i="6"/>
  <c r="AU63" i="6"/>
  <c r="AV63" i="6"/>
  <c r="BP63" i="6"/>
  <c r="BQ63" i="6"/>
  <c r="BR63" i="6"/>
  <c r="G64" i="6"/>
  <c r="K64" i="6"/>
  <c r="L64" i="6"/>
  <c r="M64" i="6"/>
  <c r="N64" i="6"/>
  <c r="O64" i="6"/>
  <c r="P64" i="6"/>
  <c r="I64" i="6" s="1"/>
  <c r="H64" i="6"/>
  <c r="J64" i="6"/>
  <c r="AC64" i="6"/>
  <c r="AD64" i="6"/>
  <c r="AG64" i="6"/>
  <c r="AH64" i="6"/>
  <c r="AI64" i="6"/>
  <c r="AJ64" i="6"/>
  <c r="AK64" i="6"/>
  <c r="AL64" i="6"/>
  <c r="Q64" i="6"/>
  <c r="R64" i="6"/>
  <c r="S64" i="6"/>
  <c r="T64" i="6"/>
  <c r="U64" i="6"/>
  <c r="V64" i="6"/>
  <c r="W64" i="6"/>
  <c r="AA64" i="6"/>
  <c r="AM64" i="6"/>
  <c r="AN64" i="6"/>
  <c r="AO64" i="6"/>
  <c r="AP64" i="6"/>
  <c r="AQ64" i="6"/>
  <c r="AR64" i="6"/>
  <c r="AS64" i="6"/>
  <c r="AW64" i="6"/>
  <c r="BI64" i="6"/>
  <c r="BJ64" i="6"/>
  <c r="BK64" i="6"/>
  <c r="BL64" i="6"/>
  <c r="BM64" i="6"/>
  <c r="BN64" i="6"/>
  <c r="BO64" i="6"/>
  <c r="X64" i="6"/>
  <c r="Y64" i="6"/>
  <c r="Z64" i="6"/>
  <c r="AT64" i="6"/>
  <c r="AU64" i="6"/>
  <c r="AV64" i="6"/>
  <c r="BP64" i="6"/>
  <c r="BQ64" i="6"/>
  <c r="BS64" i="6"/>
  <c r="BR64" i="6"/>
  <c r="BC64" i="6"/>
  <c r="BD64" i="6"/>
  <c r="BE64" i="6"/>
  <c r="AY64" i="6"/>
  <c r="AZ64" i="6"/>
  <c r="BF64" i="6"/>
  <c r="BG64" i="6"/>
  <c r="BH64" i="6"/>
  <c r="G65" i="6"/>
  <c r="K65" i="6"/>
  <c r="L65" i="6"/>
  <c r="M65" i="6"/>
  <c r="N65" i="6"/>
  <c r="O65" i="6"/>
  <c r="P65" i="6"/>
  <c r="I65" i="6" s="1"/>
  <c r="H65" i="6"/>
  <c r="J65" i="6"/>
  <c r="BC65" i="6"/>
  <c r="BD65" i="6"/>
  <c r="BE65" i="6"/>
  <c r="AY65" i="6"/>
  <c r="AZ65" i="6"/>
  <c r="BF65" i="6"/>
  <c r="BG65" i="6"/>
  <c r="BH65" i="6"/>
  <c r="BS65" i="6"/>
  <c r="Q65" i="6"/>
  <c r="R65" i="6"/>
  <c r="S65" i="6"/>
  <c r="T65" i="6"/>
  <c r="U65" i="6"/>
  <c r="V65" i="6"/>
  <c r="W65" i="6"/>
  <c r="AA65" i="6"/>
  <c r="AM65" i="6"/>
  <c r="AN65" i="6"/>
  <c r="AO65" i="6"/>
  <c r="AP65" i="6"/>
  <c r="AQ65" i="6"/>
  <c r="AR65" i="6"/>
  <c r="AS65" i="6"/>
  <c r="AW65" i="6"/>
  <c r="BI65" i="6"/>
  <c r="BJ65" i="6"/>
  <c r="BK65" i="6"/>
  <c r="BL65" i="6"/>
  <c r="BM65" i="6"/>
  <c r="BN65" i="6"/>
  <c r="BO65" i="6"/>
  <c r="Y65" i="6"/>
  <c r="Z65" i="6"/>
  <c r="AT65" i="6"/>
  <c r="AU65" i="6"/>
  <c r="AV65" i="6"/>
  <c r="BP65" i="6"/>
  <c r="BQ65" i="6"/>
  <c r="X65" i="6"/>
  <c r="BR65" i="6"/>
  <c r="AC65" i="6"/>
  <c r="AD65" i="6"/>
  <c r="AG65" i="6"/>
  <c r="AH65" i="6"/>
  <c r="AI65" i="6"/>
  <c r="AJ65" i="6"/>
  <c r="AK65" i="6"/>
  <c r="AL65" i="6"/>
  <c r="Q66" i="6"/>
  <c r="R66" i="6"/>
  <c r="S66" i="6"/>
  <c r="T66" i="6"/>
  <c r="U66" i="6"/>
  <c r="V66" i="6"/>
  <c r="W66" i="6"/>
  <c r="AA66" i="6"/>
  <c r="AM66" i="6"/>
  <c r="AN66" i="6"/>
  <c r="AO66" i="6"/>
  <c r="AP66" i="6"/>
  <c r="AQ66" i="6"/>
  <c r="AR66" i="6"/>
  <c r="AS66" i="6"/>
  <c r="AW66" i="6"/>
  <c r="BI66" i="6"/>
  <c r="BJ66" i="6"/>
  <c r="BK66" i="6"/>
  <c r="BL66" i="6"/>
  <c r="BM66" i="6"/>
  <c r="BN66" i="6"/>
  <c r="BO66" i="6"/>
  <c r="X66" i="6"/>
  <c r="Y66" i="6"/>
  <c r="Z66" i="6"/>
  <c r="AT66" i="6"/>
  <c r="AU66" i="6"/>
  <c r="AV66" i="6"/>
  <c r="BP66" i="6"/>
  <c r="BQ66" i="6"/>
  <c r="BS66" i="6"/>
  <c r="BR66" i="6"/>
  <c r="G66" i="6"/>
  <c r="H66" i="6"/>
  <c r="K66" i="6"/>
  <c r="L66" i="6"/>
  <c r="M66" i="6"/>
  <c r="N66" i="6"/>
  <c r="O66" i="6"/>
  <c r="P66" i="6"/>
  <c r="BC66" i="6"/>
  <c r="BD66" i="6"/>
  <c r="BE66" i="6"/>
  <c r="AY66" i="6"/>
  <c r="AZ66" i="6"/>
  <c r="BF66" i="6"/>
  <c r="BG66" i="6"/>
  <c r="BH66" i="6"/>
  <c r="AC66" i="6"/>
  <c r="AD66" i="6"/>
  <c r="AG66" i="6"/>
  <c r="AH66" i="6"/>
  <c r="AI66" i="6"/>
  <c r="AJ66" i="6"/>
  <c r="AK66" i="6"/>
  <c r="AL66" i="6"/>
  <c r="G67" i="6"/>
  <c r="K67" i="6"/>
  <c r="L67" i="6"/>
  <c r="M67" i="6"/>
  <c r="N67" i="6"/>
  <c r="O67" i="6"/>
  <c r="P67" i="6"/>
  <c r="I67" i="6"/>
  <c r="H67" i="6"/>
  <c r="J67" i="6"/>
  <c r="Q67" i="6"/>
  <c r="R67" i="6"/>
  <c r="S67" i="6"/>
  <c r="T67" i="6"/>
  <c r="U67" i="6"/>
  <c r="V67" i="6"/>
  <c r="W67" i="6"/>
  <c r="AA67" i="6"/>
  <c r="AM67" i="6"/>
  <c r="AN67" i="6"/>
  <c r="AO67" i="6"/>
  <c r="AP67" i="6"/>
  <c r="AQ67" i="6"/>
  <c r="AR67" i="6"/>
  <c r="AS67" i="6"/>
  <c r="AW67" i="6"/>
  <c r="BI67" i="6"/>
  <c r="BJ67" i="6"/>
  <c r="BK67" i="6"/>
  <c r="BL67" i="6"/>
  <c r="BM67" i="6"/>
  <c r="BN67" i="6"/>
  <c r="BO67" i="6"/>
  <c r="Y67" i="6"/>
  <c r="Z67" i="6"/>
  <c r="AT67" i="6"/>
  <c r="AU67" i="6"/>
  <c r="AV67" i="6"/>
  <c r="BP67" i="6"/>
  <c r="BQ67" i="6"/>
  <c r="BS67" i="6"/>
  <c r="X67" i="6"/>
  <c r="BR67" i="6"/>
  <c r="AC67" i="6"/>
  <c r="AD67" i="6"/>
  <c r="AG67" i="6"/>
  <c r="AH67" i="6"/>
  <c r="AI67" i="6"/>
  <c r="AJ67" i="6"/>
  <c r="AK67" i="6"/>
  <c r="AL67" i="6"/>
  <c r="BC67" i="6"/>
  <c r="BD67" i="6"/>
  <c r="BE67" i="6"/>
  <c r="AY67" i="6"/>
  <c r="AZ67" i="6"/>
  <c r="BF67" i="6"/>
  <c r="BG67" i="6"/>
  <c r="BH67" i="6"/>
  <c r="BA67" i="6" s="1"/>
  <c r="BB67" i="6"/>
  <c r="AC68" i="6"/>
  <c r="AD68" i="6"/>
  <c r="AG68" i="6"/>
  <c r="AH68" i="6"/>
  <c r="AI68" i="6"/>
  <c r="AJ68" i="6"/>
  <c r="AK68" i="6"/>
  <c r="AL68" i="6"/>
  <c r="G68" i="6"/>
  <c r="K68" i="6"/>
  <c r="L68" i="6"/>
  <c r="M68" i="6"/>
  <c r="N68" i="6"/>
  <c r="O68" i="6"/>
  <c r="P68" i="6"/>
  <c r="H68" i="6"/>
  <c r="BC68" i="6"/>
  <c r="BD68" i="6"/>
  <c r="BE68" i="6"/>
  <c r="AY68" i="6"/>
  <c r="AZ68" i="6"/>
  <c r="BF68" i="6"/>
  <c r="BG68" i="6"/>
  <c r="BH68" i="6"/>
  <c r="BS68" i="6"/>
  <c r="Q68" i="6"/>
  <c r="R68" i="6"/>
  <c r="S68" i="6"/>
  <c r="T68" i="6"/>
  <c r="U68" i="6"/>
  <c r="V68" i="6"/>
  <c r="W68" i="6"/>
  <c r="AA68" i="6"/>
  <c r="AM68" i="6"/>
  <c r="AN68" i="6"/>
  <c r="AO68" i="6"/>
  <c r="AP68" i="6"/>
  <c r="AQ68" i="6"/>
  <c r="AR68" i="6"/>
  <c r="AS68" i="6"/>
  <c r="AW68" i="6"/>
  <c r="BI68" i="6"/>
  <c r="BJ68" i="6"/>
  <c r="BK68" i="6"/>
  <c r="BL68" i="6"/>
  <c r="BM68" i="6"/>
  <c r="BN68" i="6"/>
  <c r="BO68" i="6"/>
  <c r="X68" i="6"/>
  <c r="Y68" i="6"/>
  <c r="Z68" i="6"/>
  <c r="AT68" i="6"/>
  <c r="AU68" i="6"/>
  <c r="AV68" i="6"/>
  <c r="BP68" i="6"/>
  <c r="BQ68" i="6"/>
  <c r="BR68" i="6"/>
  <c r="AC69" i="6"/>
  <c r="AD69" i="6"/>
  <c r="AG69" i="6"/>
  <c r="AH69" i="6"/>
  <c r="AI69" i="6"/>
  <c r="AJ69" i="6"/>
  <c r="AK69" i="6"/>
  <c r="AL69" i="6"/>
  <c r="G69" i="6"/>
  <c r="K69" i="6"/>
  <c r="L69" i="6"/>
  <c r="M69" i="6"/>
  <c r="N69" i="6"/>
  <c r="O69" i="6"/>
  <c r="P69" i="6"/>
  <c r="I69" i="6"/>
  <c r="H69" i="6"/>
  <c r="J69" i="6"/>
  <c r="BC69" i="6"/>
  <c r="BD69" i="6"/>
  <c r="BE69" i="6"/>
  <c r="AY69" i="6"/>
  <c r="AZ69" i="6"/>
  <c r="BF69" i="6"/>
  <c r="BG69" i="6"/>
  <c r="BH69" i="6"/>
  <c r="BA69" i="6" s="1"/>
  <c r="BB69" i="6"/>
  <c r="Q69" i="6"/>
  <c r="R69" i="6"/>
  <c r="S69" i="6"/>
  <c r="T69" i="6"/>
  <c r="U69" i="6"/>
  <c r="V69" i="6"/>
  <c r="W69" i="6"/>
  <c r="AA69" i="6"/>
  <c r="AM69" i="6"/>
  <c r="AN69" i="6"/>
  <c r="AO69" i="6"/>
  <c r="AP69" i="6"/>
  <c r="AQ69" i="6"/>
  <c r="AR69" i="6"/>
  <c r="AS69" i="6"/>
  <c r="AW69" i="6"/>
  <c r="BI69" i="6"/>
  <c r="BJ69" i="6"/>
  <c r="BK69" i="6"/>
  <c r="BL69" i="6"/>
  <c r="BM69" i="6"/>
  <c r="BN69" i="6"/>
  <c r="BO69" i="6"/>
  <c r="X69" i="6"/>
  <c r="Y69" i="6"/>
  <c r="Z69" i="6"/>
  <c r="AT69" i="6"/>
  <c r="AU69" i="6"/>
  <c r="AV69" i="6"/>
  <c r="BP69" i="6"/>
  <c r="BQ69" i="6"/>
  <c r="BS69" i="6"/>
  <c r="BR69" i="6"/>
  <c r="AC70" i="6"/>
  <c r="AD70" i="6"/>
  <c r="AG70" i="6"/>
  <c r="AH70" i="6"/>
  <c r="AI70" i="6"/>
  <c r="AJ70" i="6"/>
  <c r="AK70" i="6"/>
  <c r="AL70" i="6"/>
  <c r="AE70" i="6" s="1"/>
  <c r="AF70" i="6"/>
  <c r="BC70" i="6"/>
  <c r="BD70" i="6"/>
  <c r="BE70" i="6"/>
  <c r="AY70" i="6"/>
  <c r="AZ70" i="6"/>
  <c r="BF70" i="6"/>
  <c r="BG70" i="6"/>
  <c r="BH70" i="6"/>
  <c r="G70" i="6"/>
  <c r="H70" i="6"/>
  <c r="K70" i="6"/>
  <c r="L70" i="6"/>
  <c r="M70" i="6"/>
  <c r="N70" i="6"/>
  <c r="O70" i="6"/>
  <c r="P70" i="6"/>
  <c r="BS70" i="6"/>
  <c r="Q70" i="6"/>
  <c r="R70" i="6"/>
  <c r="S70" i="6"/>
  <c r="T70" i="6"/>
  <c r="U70" i="6"/>
  <c r="V70" i="6"/>
  <c r="W70" i="6"/>
  <c r="AA70" i="6"/>
  <c r="AM70" i="6"/>
  <c r="AN70" i="6"/>
  <c r="AO70" i="6"/>
  <c r="AP70" i="6"/>
  <c r="AQ70" i="6"/>
  <c r="AR70" i="6"/>
  <c r="AS70" i="6"/>
  <c r="AW70" i="6"/>
  <c r="BI70" i="6"/>
  <c r="BJ70" i="6"/>
  <c r="BK70" i="6"/>
  <c r="BL70" i="6"/>
  <c r="BM70" i="6"/>
  <c r="BN70" i="6"/>
  <c r="BO70" i="6"/>
  <c r="Y70" i="6"/>
  <c r="Z70" i="6"/>
  <c r="AT70" i="6"/>
  <c r="AU70" i="6"/>
  <c r="AV70" i="6"/>
  <c r="BP70" i="6"/>
  <c r="BQ70" i="6"/>
  <c r="X70" i="6"/>
  <c r="BR70" i="6"/>
  <c r="AC71" i="6"/>
  <c r="AD71" i="6"/>
  <c r="AG71" i="6"/>
  <c r="AH71" i="6"/>
  <c r="AI71" i="6"/>
  <c r="AJ71" i="6"/>
  <c r="AK71" i="6"/>
  <c r="AL71" i="6"/>
  <c r="G71" i="6"/>
  <c r="K71" i="6"/>
  <c r="L71" i="6"/>
  <c r="M71" i="6"/>
  <c r="N71" i="6"/>
  <c r="O71" i="6"/>
  <c r="P71" i="6"/>
  <c r="H71" i="6"/>
  <c r="BC71" i="6"/>
  <c r="BD71" i="6"/>
  <c r="BE71" i="6"/>
  <c r="AY71" i="6"/>
  <c r="AZ71" i="6"/>
  <c r="BF71" i="6"/>
  <c r="BG71" i="6"/>
  <c r="BH71" i="6"/>
  <c r="Q71" i="6"/>
  <c r="R71" i="6"/>
  <c r="S71" i="6"/>
  <c r="T71" i="6"/>
  <c r="U71" i="6"/>
  <c r="V71" i="6"/>
  <c r="W71" i="6"/>
  <c r="AA71" i="6"/>
  <c r="AM71" i="6"/>
  <c r="AN71" i="6"/>
  <c r="AO71" i="6"/>
  <c r="AP71" i="6"/>
  <c r="AQ71" i="6"/>
  <c r="AR71" i="6"/>
  <c r="AS71" i="6"/>
  <c r="AW71" i="6"/>
  <c r="BI71" i="6"/>
  <c r="BJ71" i="6"/>
  <c r="BK71" i="6"/>
  <c r="BL71" i="6"/>
  <c r="BM71" i="6"/>
  <c r="BN71" i="6"/>
  <c r="BO71" i="6"/>
  <c r="X71" i="6"/>
  <c r="Y71" i="6"/>
  <c r="Z71" i="6"/>
  <c r="AT71" i="6"/>
  <c r="AU71" i="6"/>
  <c r="AV71" i="6"/>
  <c r="BP71" i="6"/>
  <c r="BQ71" i="6"/>
  <c r="BS71" i="6"/>
  <c r="BR71" i="6"/>
  <c r="AC72" i="6"/>
  <c r="AD72" i="6"/>
  <c r="AG72" i="6"/>
  <c r="AH72" i="6"/>
  <c r="AI72" i="6"/>
  <c r="AJ72" i="6"/>
  <c r="AK72" i="6"/>
  <c r="AL72" i="6"/>
  <c r="BC72" i="6"/>
  <c r="BD72" i="6"/>
  <c r="BE72" i="6"/>
  <c r="AY72" i="6"/>
  <c r="AZ72" i="6"/>
  <c r="BF72" i="6"/>
  <c r="BG72" i="6"/>
  <c r="BH72" i="6"/>
  <c r="G72" i="6"/>
  <c r="K72" i="6"/>
  <c r="L72" i="6"/>
  <c r="M72" i="6"/>
  <c r="N72" i="6"/>
  <c r="O72" i="6"/>
  <c r="P72" i="6"/>
  <c r="I72" i="6"/>
  <c r="H72" i="6"/>
  <c r="J72" i="6"/>
  <c r="Q72" i="6"/>
  <c r="R72" i="6"/>
  <c r="S72" i="6"/>
  <c r="T72" i="6"/>
  <c r="U72" i="6"/>
  <c r="V72" i="6"/>
  <c r="W72" i="6"/>
  <c r="AA72" i="6"/>
  <c r="AM72" i="6"/>
  <c r="AN72" i="6"/>
  <c r="AO72" i="6"/>
  <c r="AP72" i="6"/>
  <c r="AQ72" i="6"/>
  <c r="AR72" i="6"/>
  <c r="AS72" i="6"/>
  <c r="AW72" i="6"/>
  <c r="BI72" i="6"/>
  <c r="BJ72" i="6"/>
  <c r="BK72" i="6"/>
  <c r="BL72" i="6"/>
  <c r="BM72" i="6"/>
  <c r="BN72" i="6"/>
  <c r="BO72" i="6"/>
  <c r="X72" i="6"/>
  <c r="Y72" i="6"/>
  <c r="Z72" i="6"/>
  <c r="AT72" i="6"/>
  <c r="AU72" i="6"/>
  <c r="AV72" i="6"/>
  <c r="BP72" i="6"/>
  <c r="BQ72" i="6"/>
  <c r="BS72" i="6"/>
  <c r="BR72" i="6"/>
  <c r="BC73" i="6"/>
  <c r="BD73" i="6"/>
  <c r="BE73" i="6"/>
  <c r="AY73" i="6"/>
  <c r="AZ73" i="6"/>
  <c r="BF73" i="6"/>
  <c r="BG73" i="6"/>
  <c r="BH73" i="6"/>
  <c r="G73" i="6"/>
  <c r="K73" i="6"/>
  <c r="L73" i="6"/>
  <c r="M73" i="6"/>
  <c r="N73" i="6"/>
  <c r="O73" i="6"/>
  <c r="P73" i="6"/>
  <c r="H73" i="6"/>
  <c r="AC73" i="6"/>
  <c r="AD73" i="6"/>
  <c r="AG73" i="6"/>
  <c r="AH73" i="6"/>
  <c r="AI73" i="6"/>
  <c r="AJ73" i="6"/>
  <c r="AK73" i="6"/>
  <c r="AL73" i="6"/>
  <c r="AE73" i="6" s="1"/>
  <c r="AF73" i="6"/>
  <c r="BS73" i="6"/>
  <c r="Q73" i="6"/>
  <c r="R73" i="6"/>
  <c r="S73" i="6"/>
  <c r="T73" i="6"/>
  <c r="U73" i="6"/>
  <c r="V73" i="6"/>
  <c r="W73" i="6"/>
  <c r="AA73" i="6"/>
  <c r="AM73" i="6"/>
  <c r="AN73" i="6"/>
  <c r="AO73" i="6"/>
  <c r="AP73" i="6"/>
  <c r="AQ73" i="6"/>
  <c r="AR73" i="6"/>
  <c r="AS73" i="6"/>
  <c r="AW73" i="6"/>
  <c r="BI73" i="6"/>
  <c r="BJ73" i="6"/>
  <c r="BK73" i="6"/>
  <c r="BL73" i="6"/>
  <c r="BM73" i="6"/>
  <c r="BN73" i="6"/>
  <c r="BO73" i="6"/>
  <c r="Y73" i="6"/>
  <c r="Z73" i="6"/>
  <c r="AT73" i="6"/>
  <c r="AU73" i="6"/>
  <c r="AV73" i="6"/>
  <c r="BP73" i="6"/>
  <c r="BQ73" i="6"/>
  <c r="X73" i="6"/>
  <c r="BR73" i="6"/>
  <c r="BC74" i="6"/>
  <c r="BD74" i="6"/>
  <c r="BE74" i="6"/>
  <c r="AY74" i="6"/>
  <c r="AZ74" i="6"/>
  <c r="BF74" i="6"/>
  <c r="BG74" i="6"/>
  <c r="BH74" i="6"/>
  <c r="Q74" i="6"/>
  <c r="R74" i="6"/>
  <c r="S74" i="6"/>
  <c r="T74" i="6"/>
  <c r="U74" i="6"/>
  <c r="V74" i="6"/>
  <c r="W74" i="6"/>
  <c r="AA74" i="6"/>
  <c r="AM74" i="6"/>
  <c r="AN74" i="6"/>
  <c r="AO74" i="6"/>
  <c r="AP74" i="6"/>
  <c r="AQ74" i="6"/>
  <c r="AR74" i="6"/>
  <c r="AS74" i="6"/>
  <c r="AW74" i="6"/>
  <c r="BI74" i="6"/>
  <c r="BJ74" i="6"/>
  <c r="BK74" i="6"/>
  <c r="BL74" i="6"/>
  <c r="BM74" i="6"/>
  <c r="BN74" i="6"/>
  <c r="BO74" i="6"/>
  <c r="X74" i="6"/>
  <c r="Y74" i="6"/>
  <c r="Z74" i="6"/>
  <c r="AT74" i="6"/>
  <c r="AU74" i="6"/>
  <c r="AV74" i="6"/>
  <c r="BP74" i="6"/>
  <c r="BQ74" i="6"/>
  <c r="BS74" i="6"/>
  <c r="BR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BS75" i="6"/>
  <c r="Q75" i="6"/>
  <c r="R75" i="6"/>
  <c r="S75" i="6"/>
  <c r="T75" i="6"/>
  <c r="U75" i="6"/>
  <c r="V75" i="6"/>
  <c r="W75" i="6"/>
  <c r="AA75" i="6"/>
  <c r="AM75" i="6"/>
  <c r="AN75" i="6"/>
  <c r="AO75" i="6"/>
  <c r="AP75" i="6"/>
  <c r="AQ75" i="6"/>
  <c r="AR75" i="6"/>
  <c r="AS75" i="6"/>
  <c r="AW75" i="6"/>
  <c r="BI75" i="6"/>
  <c r="BJ75" i="6"/>
  <c r="BK75" i="6"/>
  <c r="BL75" i="6"/>
  <c r="BM75" i="6"/>
  <c r="BN75" i="6"/>
  <c r="BO75" i="6"/>
  <c r="Y75" i="6"/>
  <c r="Z75" i="6"/>
  <c r="AT75" i="6"/>
  <c r="AU75" i="6"/>
  <c r="AV75" i="6"/>
  <c r="BP75" i="6"/>
  <c r="BQ75" i="6"/>
  <c r="X75" i="6"/>
  <c r="BR75" i="6"/>
  <c r="BC75" i="6"/>
  <c r="BD75" i="6"/>
  <c r="BE75" i="6"/>
  <c r="AY75" i="6"/>
  <c r="AZ75" i="6"/>
  <c r="BF75" i="6"/>
  <c r="BG75" i="6"/>
  <c r="BH75" i="6"/>
  <c r="BA75" i="6" s="1"/>
  <c r="BB75" i="6"/>
  <c r="G75" i="6"/>
  <c r="K75" i="6"/>
  <c r="L75" i="6"/>
  <c r="M75" i="6"/>
  <c r="N75" i="6"/>
  <c r="O75" i="6"/>
  <c r="P75" i="6"/>
  <c r="I75" i="6"/>
  <c r="H75" i="6"/>
  <c r="J75" i="6"/>
  <c r="AC75" i="6"/>
  <c r="AD75" i="6"/>
  <c r="AG75" i="6"/>
  <c r="AH75" i="6"/>
  <c r="AI75" i="6"/>
  <c r="AJ75" i="6"/>
  <c r="AK75" i="6"/>
  <c r="AL75" i="6"/>
  <c r="AE75" i="6" s="1"/>
  <c r="AF75" i="6"/>
  <c r="Q76" i="6"/>
  <c r="R76" i="6"/>
  <c r="S76" i="6"/>
  <c r="T76" i="6"/>
  <c r="U76" i="6"/>
  <c r="V76" i="6"/>
  <c r="W76" i="6"/>
  <c r="AA76" i="6"/>
  <c r="AM76" i="6"/>
  <c r="AN76" i="6"/>
  <c r="AO76" i="6"/>
  <c r="AP76" i="6"/>
  <c r="AQ76" i="6"/>
  <c r="AR76" i="6"/>
  <c r="AS76" i="6"/>
  <c r="AW76" i="6"/>
  <c r="BI76" i="6"/>
  <c r="BJ76" i="6"/>
  <c r="BK76" i="6"/>
  <c r="BL76" i="6"/>
  <c r="BM76" i="6"/>
  <c r="BN76" i="6"/>
  <c r="BO76" i="6"/>
  <c r="X76" i="6"/>
  <c r="Y76" i="6"/>
  <c r="Z76" i="6"/>
  <c r="AT76" i="6"/>
  <c r="AU76" i="6"/>
  <c r="AV76" i="6"/>
  <c r="BP76" i="6"/>
  <c r="BQ76" i="6"/>
  <c r="BS76" i="6"/>
  <c r="BR76" i="6"/>
  <c r="BC76" i="6"/>
  <c r="BD76" i="6"/>
  <c r="BE76" i="6"/>
  <c r="AY76" i="6"/>
  <c r="AZ76" i="6"/>
  <c r="BF76" i="6"/>
  <c r="BG76" i="6"/>
  <c r="BH76" i="6"/>
  <c r="BA76" i="6" s="1"/>
  <c r="BB76" i="6"/>
  <c r="AC76" i="6"/>
  <c r="AD76" i="6"/>
  <c r="AG76" i="6"/>
  <c r="AH76" i="6"/>
  <c r="AI76" i="6"/>
  <c r="AJ76" i="6"/>
  <c r="AK76" i="6"/>
  <c r="AL76" i="6"/>
  <c r="AE76" i="6" s="1"/>
  <c r="AF76" i="6"/>
  <c r="G76" i="6"/>
  <c r="H76" i="6"/>
  <c r="K76" i="6"/>
  <c r="L76" i="6"/>
  <c r="M76" i="6"/>
  <c r="N76" i="6"/>
  <c r="O76" i="6"/>
  <c r="P76" i="6"/>
  <c r="I76" i="6" s="1"/>
  <c r="J76" i="6"/>
  <c r="BS77" i="6"/>
  <c r="Q77" i="6"/>
  <c r="R77" i="6"/>
  <c r="S77" i="6"/>
  <c r="T77" i="6"/>
  <c r="U77" i="6"/>
  <c r="V77" i="6"/>
  <c r="W77" i="6"/>
  <c r="AA77" i="6"/>
  <c r="AM77" i="6"/>
  <c r="AN77" i="6"/>
  <c r="AO77" i="6"/>
  <c r="AP77" i="6"/>
  <c r="AQ77" i="6"/>
  <c r="AR77" i="6"/>
  <c r="AS77" i="6"/>
  <c r="AW77" i="6"/>
  <c r="BI77" i="6"/>
  <c r="BJ77" i="6"/>
  <c r="BK77" i="6"/>
  <c r="BL77" i="6"/>
  <c r="BM77" i="6"/>
  <c r="BN77" i="6"/>
  <c r="BO77" i="6"/>
  <c r="Y77" i="6"/>
  <c r="Z77" i="6"/>
  <c r="AT77" i="6"/>
  <c r="AU77" i="6"/>
  <c r="AV77" i="6"/>
  <c r="BP77" i="6"/>
  <c r="BQ77" i="6"/>
  <c r="X77" i="6"/>
  <c r="BR77" i="6"/>
  <c r="G77" i="6"/>
  <c r="K77" i="6"/>
  <c r="L77" i="6"/>
  <c r="M77" i="6"/>
  <c r="N77" i="6"/>
  <c r="O77" i="6"/>
  <c r="P77" i="6"/>
  <c r="H77" i="6"/>
  <c r="I77" i="6"/>
  <c r="J77" i="6"/>
  <c r="BC77" i="6"/>
  <c r="BD77" i="6"/>
  <c r="BE77" i="6"/>
  <c r="AY77" i="6"/>
  <c r="AZ77" i="6"/>
  <c r="BF77" i="6"/>
  <c r="BG77" i="6"/>
  <c r="BH77" i="6"/>
  <c r="BA77" i="6" s="1"/>
  <c r="BB77" i="6"/>
  <c r="AC77" i="6"/>
  <c r="AD77" i="6"/>
  <c r="AG77" i="6"/>
  <c r="AH77" i="6"/>
  <c r="AI77" i="6"/>
  <c r="AJ77" i="6"/>
  <c r="AK77" i="6"/>
  <c r="AL77" i="6"/>
  <c r="AE77" i="6" s="1"/>
  <c r="AF77" i="6"/>
  <c r="BC78" i="6"/>
  <c r="BD78" i="6"/>
  <c r="BE78" i="6"/>
  <c r="AY78" i="6"/>
  <c r="AZ78" i="6"/>
  <c r="BF78" i="6"/>
  <c r="BG78" i="6"/>
  <c r="BH78" i="6"/>
  <c r="BA78" i="6" s="1"/>
  <c r="BB78" i="6"/>
  <c r="G78" i="6"/>
  <c r="K78" i="6"/>
  <c r="L78" i="6"/>
  <c r="M78" i="6"/>
  <c r="N78" i="6"/>
  <c r="O78" i="6"/>
  <c r="P78" i="6"/>
  <c r="I78" i="6" s="1"/>
  <c r="H78" i="6"/>
  <c r="J78" i="6"/>
  <c r="AC78" i="6"/>
  <c r="AD78" i="6"/>
  <c r="AG78" i="6"/>
  <c r="AH78" i="6"/>
  <c r="AI78" i="6"/>
  <c r="AJ78" i="6"/>
  <c r="AK78" i="6"/>
  <c r="AL78" i="6"/>
  <c r="AE78" i="6" s="1"/>
  <c r="AF78" i="6"/>
  <c r="Q78" i="6"/>
  <c r="R78" i="6"/>
  <c r="S78" i="6"/>
  <c r="T78" i="6"/>
  <c r="U78" i="6"/>
  <c r="V78" i="6"/>
  <c r="W78" i="6"/>
  <c r="AA78" i="6"/>
  <c r="AM78" i="6"/>
  <c r="AN78" i="6"/>
  <c r="AO78" i="6"/>
  <c r="AP78" i="6"/>
  <c r="AQ78" i="6"/>
  <c r="AR78" i="6"/>
  <c r="AS78" i="6"/>
  <c r="AW78" i="6"/>
  <c r="BI78" i="6"/>
  <c r="BJ78" i="6"/>
  <c r="BK78" i="6"/>
  <c r="BL78" i="6"/>
  <c r="BM78" i="6"/>
  <c r="BN78" i="6"/>
  <c r="BO78" i="6"/>
  <c r="X78" i="6"/>
  <c r="Y78" i="6"/>
  <c r="Z78" i="6"/>
  <c r="AT78" i="6"/>
  <c r="AU78" i="6"/>
  <c r="AV78" i="6"/>
  <c r="BP78" i="6"/>
  <c r="BQ78" i="6"/>
  <c r="BS78" i="6"/>
  <c r="BR78" i="6"/>
  <c r="BC79" i="6"/>
  <c r="BD79" i="6"/>
  <c r="BE79" i="6"/>
  <c r="AY79" i="6"/>
  <c r="AZ79" i="6"/>
  <c r="BF79" i="6"/>
  <c r="BG79" i="6"/>
  <c r="BH79" i="6"/>
  <c r="BA79" i="6" s="1"/>
  <c r="BB79" i="6"/>
  <c r="G79" i="6"/>
  <c r="H79" i="6"/>
  <c r="K79" i="6"/>
  <c r="L79" i="6"/>
  <c r="M79" i="6"/>
  <c r="N79" i="6"/>
  <c r="O79" i="6"/>
  <c r="P79" i="6"/>
  <c r="I79" i="6"/>
  <c r="J79" i="6"/>
  <c r="AC79" i="6"/>
  <c r="AD79" i="6"/>
  <c r="AG79" i="6"/>
  <c r="AH79" i="6"/>
  <c r="AI79" i="6"/>
  <c r="AJ79" i="6"/>
  <c r="AK79" i="6"/>
  <c r="AL79" i="6"/>
  <c r="AE79" i="6" s="1"/>
  <c r="AF79" i="6"/>
  <c r="BS79" i="6"/>
  <c r="Q79" i="6"/>
  <c r="R79" i="6"/>
  <c r="S79" i="6"/>
  <c r="T79" i="6"/>
  <c r="U79" i="6"/>
  <c r="V79" i="6"/>
  <c r="W79" i="6"/>
  <c r="AA79" i="6"/>
  <c r="AM79" i="6"/>
  <c r="AN79" i="6"/>
  <c r="AO79" i="6"/>
  <c r="AP79" i="6"/>
  <c r="AQ79" i="6"/>
  <c r="AR79" i="6"/>
  <c r="AS79" i="6"/>
  <c r="AW79" i="6"/>
  <c r="BI79" i="6"/>
  <c r="BJ79" i="6"/>
  <c r="BK79" i="6"/>
  <c r="BL79" i="6"/>
  <c r="BM79" i="6"/>
  <c r="BN79" i="6"/>
  <c r="BO79" i="6"/>
  <c r="X79" i="6"/>
  <c r="Y79" i="6"/>
  <c r="Z79" i="6"/>
  <c r="AT79" i="6"/>
  <c r="AU79" i="6"/>
  <c r="AV79" i="6"/>
  <c r="BP79" i="6"/>
  <c r="BQ79" i="6"/>
  <c r="BR79" i="6"/>
  <c r="BC80" i="6"/>
  <c r="BD80" i="6"/>
  <c r="BE80" i="6"/>
  <c r="AY80" i="6"/>
  <c r="AZ80" i="6"/>
  <c r="BF80" i="6"/>
  <c r="BG80" i="6"/>
  <c r="BH80" i="6"/>
  <c r="BA80" i="6" s="1"/>
  <c r="BB80" i="6"/>
  <c r="G80" i="6"/>
  <c r="K80" i="6"/>
  <c r="L80" i="6"/>
  <c r="M80" i="6"/>
  <c r="N80" i="6"/>
  <c r="O80" i="6"/>
  <c r="P80" i="6"/>
  <c r="I80" i="6" s="1"/>
  <c r="H80" i="6"/>
  <c r="J80" i="6"/>
  <c r="AC80" i="6"/>
  <c r="AD80" i="6"/>
  <c r="AG80" i="6"/>
  <c r="AH80" i="6"/>
  <c r="AI80" i="6"/>
  <c r="AJ80" i="6"/>
  <c r="AK80" i="6"/>
  <c r="AL80" i="6"/>
  <c r="AE80" i="6" s="1"/>
  <c r="AF80" i="6"/>
  <c r="Q80" i="6"/>
  <c r="R80" i="6"/>
  <c r="S80" i="6"/>
  <c r="T80" i="6"/>
  <c r="U80" i="6"/>
  <c r="V80" i="6"/>
  <c r="W80" i="6"/>
  <c r="AA80" i="6"/>
  <c r="AM80" i="6"/>
  <c r="AN80" i="6"/>
  <c r="AO80" i="6"/>
  <c r="AP80" i="6"/>
  <c r="AQ80" i="6"/>
  <c r="AR80" i="6"/>
  <c r="AS80" i="6"/>
  <c r="AW80" i="6"/>
  <c r="BI80" i="6"/>
  <c r="BJ80" i="6"/>
  <c r="BK80" i="6"/>
  <c r="BL80" i="6"/>
  <c r="BM80" i="6"/>
  <c r="BN80" i="6"/>
  <c r="BO80" i="6"/>
  <c r="Y80" i="6"/>
  <c r="Z80" i="6"/>
  <c r="AT80" i="6"/>
  <c r="AU80" i="6"/>
  <c r="AV80" i="6"/>
  <c r="BP80" i="6"/>
  <c r="BQ80" i="6"/>
  <c r="BS80" i="6"/>
  <c r="X80" i="6"/>
  <c r="BR80" i="6"/>
  <c r="AC81" i="6"/>
  <c r="AD81" i="6"/>
  <c r="AG81" i="6"/>
  <c r="AH81" i="6"/>
  <c r="AI81" i="6"/>
  <c r="AJ81" i="6"/>
  <c r="AK81" i="6"/>
  <c r="AL81" i="6"/>
  <c r="AE81" i="6" s="1"/>
  <c r="AF81" i="6"/>
  <c r="BC81" i="6"/>
  <c r="BD81" i="6"/>
  <c r="BE81" i="6"/>
  <c r="AY81" i="6"/>
  <c r="AZ81" i="6"/>
  <c r="BF81" i="6"/>
  <c r="BG81" i="6"/>
  <c r="BH81" i="6"/>
  <c r="BA81" i="6" s="1"/>
  <c r="BB81" i="6"/>
  <c r="BS81" i="6"/>
  <c r="Q81" i="6"/>
  <c r="R81" i="6"/>
  <c r="S81" i="6"/>
  <c r="T81" i="6"/>
  <c r="U81" i="6"/>
  <c r="V81" i="6"/>
  <c r="W81" i="6"/>
  <c r="AA81" i="6"/>
  <c r="AM81" i="6"/>
  <c r="AN81" i="6"/>
  <c r="AO81" i="6"/>
  <c r="AP81" i="6"/>
  <c r="AQ81" i="6"/>
  <c r="AR81" i="6"/>
  <c r="AS81" i="6"/>
  <c r="AW81" i="6"/>
  <c r="BI81" i="6"/>
  <c r="BJ81" i="6"/>
  <c r="BK81" i="6"/>
  <c r="BL81" i="6"/>
  <c r="BM81" i="6"/>
  <c r="BN81" i="6"/>
  <c r="BO81" i="6"/>
  <c r="X81" i="6"/>
  <c r="Y81" i="6"/>
  <c r="Z81" i="6"/>
  <c r="AT81" i="6"/>
  <c r="AU81" i="6"/>
  <c r="AV81" i="6"/>
  <c r="BP81" i="6"/>
  <c r="BQ81" i="6"/>
  <c r="BR81" i="6"/>
  <c r="G81" i="6"/>
  <c r="H81" i="6"/>
  <c r="K81" i="6"/>
  <c r="L81" i="6"/>
  <c r="M81" i="6"/>
  <c r="N81" i="6"/>
  <c r="O81" i="6"/>
  <c r="P81" i="6"/>
  <c r="I81" i="6"/>
  <c r="J81" i="6"/>
  <c r="BC82" i="6"/>
  <c r="BD82" i="6"/>
  <c r="BE82" i="6"/>
  <c r="AY82" i="6"/>
  <c r="AZ82" i="6"/>
  <c r="BF82" i="6"/>
  <c r="BG82" i="6"/>
  <c r="BH82" i="6"/>
  <c r="BA82" i="6" s="1"/>
  <c r="BB82" i="6"/>
  <c r="G82" i="6"/>
  <c r="K82" i="6"/>
  <c r="L82" i="6"/>
  <c r="M82" i="6"/>
  <c r="N82" i="6"/>
  <c r="O82" i="6"/>
  <c r="P82" i="6"/>
  <c r="I82" i="6"/>
  <c r="H82" i="6"/>
  <c r="J82" i="6"/>
  <c r="AC82" i="6"/>
  <c r="AD82" i="6"/>
  <c r="AG82" i="6"/>
  <c r="AH82" i="6"/>
  <c r="AI82" i="6"/>
  <c r="AJ82" i="6"/>
  <c r="AK82" i="6"/>
  <c r="AL82" i="6"/>
  <c r="AE82" i="6" s="1"/>
  <c r="AF82" i="6"/>
  <c r="Q82" i="6"/>
  <c r="R82" i="6"/>
  <c r="S82" i="6"/>
  <c r="T82" i="6"/>
  <c r="U82" i="6"/>
  <c r="V82" i="6"/>
  <c r="W82" i="6"/>
  <c r="AA82" i="6"/>
  <c r="AM82" i="6"/>
  <c r="AN82" i="6"/>
  <c r="AO82" i="6"/>
  <c r="AP82" i="6"/>
  <c r="AQ82" i="6"/>
  <c r="AR82" i="6"/>
  <c r="AS82" i="6"/>
  <c r="AW82" i="6"/>
  <c r="BI82" i="6"/>
  <c r="BJ82" i="6"/>
  <c r="BK82" i="6"/>
  <c r="BL82" i="6"/>
  <c r="BM82" i="6"/>
  <c r="BN82" i="6"/>
  <c r="BO82" i="6"/>
  <c r="Y82" i="6"/>
  <c r="Z82" i="6"/>
  <c r="AT82" i="6"/>
  <c r="AU82" i="6"/>
  <c r="AV82" i="6"/>
  <c r="BP82" i="6"/>
  <c r="BQ82" i="6"/>
  <c r="BS82" i="6"/>
  <c r="X82" i="6"/>
  <c r="BR82" i="6"/>
  <c r="G83" i="6"/>
  <c r="K83" i="6"/>
  <c r="L83" i="6"/>
  <c r="M83" i="6"/>
  <c r="N83" i="6"/>
  <c r="O83" i="6"/>
  <c r="P83" i="6"/>
  <c r="I83" i="6" s="1"/>
  <c r="H83" i="6"/>
  <c r="J83" i="6"/>
  <c r="BC83" i="6"/>
  <c r="BD83" i="6"/>
  <c r="BE83" i="6"/>
  <c r="AY83" i="6"/>
  <c r="AZ83" i="6"/>
  <c r="BF83" i="6"/>
  <c r="BG83" i="6"/>
  <c r="BH83" i="6"/>
  <c r="BA83" i="6" s="1"/>
  <c r="BB83" i="6"/>
  <c r="AC83" i="6"/>
  <c r="AD83" i="6"/>
  <c r="AG83" i="6"/>
  <c r="AH83" i="6"/>
  <c r="AI83" i="6"/>
  <c r="AJ83" i="6"/>
  <c r="AK83" i="6"/>
  <c r="AL83" i="6"/>
  <c r="AE83" i="6" s="1"/>
  <c r="AF83" i="6"/>
  <c r="BS83" i="6"/>
  <c r="Q83" i="6"/>
  <c r="R83" i="6"/>
  <c r="S83" i="6"/>
  <c r="T83" i="6"/>
  <c r="U83" i="6"/>
  <c r="V83" i="6"/>
  <c r="W83" i="6"/>
  <c r="AA83" i="6"/>
  <c r="AM83" i="6"/>
  <c r="AN83" i="6"/>
  <c r="AO83" i="6"/>
  <c r="AP83" i="6"/>
  <c r="AQ83" i="6"/>
  <c r="AR83" i="6"/>
  <c r="AS83" i="6"/>
  <c r="AW83" i="6"/>
  <c r="BI83" i="6"/>
  <c r="BJ83" i="6"/>
  <c r="BK83" i="6"/>
  <c r="BL83" i="6"/>
  <c r="BM83" i="6"/>
  <c r="BN83" i="6"/>
  <c r="BO83" i="6"/>
  <c r="Y83" i="6"/>
  <c r="Z83" i="6"/>
  <c r="AT83" i="6"/>
  <c r="AU83" i="6"/>
  <c r="AV83" i="6"/>
  <c r="BP83" i="6"/>
  <c r="BQ83" i="6"/>
  <c r="X83" i="6"/>
  <c r="BR83" i="6"/>
  <c r="AC84" i="6"/>
  <c r="AD84" i="6"/>
  <c r="AG84" i="6"/>
  <c r="AH84" i="6"/>
  <c r="AI84" i="6"/>
  <c r="AJ84" i="6"/>
  <c r="AK84" i="6"/>
  <c r="AL84" i="6"/>
  <c r="AE84" i="6" s="1"/>
  <c r="AF84" i="6"/>
  <c r="G84" i="6"/>
  <c r="H84" i="6"/>
  <c r="K84" i="6"/>
  <c r="L84" i="6"/>
  <c r="M84" i="6"/>
  <c r="N84" i="6"/>
  <c r="O84" i="6"/>
  <c r="P84" i="6"/>
  <c r="I84" i="6" s="1"/>
  <c r="J84" i="6"/>
  <c r="BC84" i="6"/>
  <c r="BD84" i="6"/>
  <c r="BE84" i="6"/>
  <c r="AY84" i="6"/>
  <c r="AZ84" i="6"/>
  <c r="BF84" i="6"/>
  <c r="BG84" i="6"/>
  <c r="BH84" i="6"/>
  <c r="BA84" i="6" s="1"/>
  <c r="BB84" i="6"/>
  <c r="Q84" i="6"/>
  <c r="R84" i="6"/>
  <c r="S84" i="6"/>
  <c r="T84" i="6"/>
  <c r="U84" i="6"/>
  <c r="V84" i="6"/>
  <c r="W84" i="6"/>
  <c r="AA84" i="6"/>
  <c r="AM84" i="6"/>
  <c r="AN84" i="6"/>
  <c r="AO84" i="6"/>
  <c r="AP84" i="6"/>
  <c r="AQ84" i="6"/>
  <c r="AR84" i="6"/>
  <c r="AS84" i="6"/>
  <c r="AW84" i="6"/>
  <c r="BI84" i="6"/>
  <c r="BJ84" i="6"/>
  <c r="BK84" i="6"/>
  <c r="BL84" i="6"/>
  <c r="BM84" i="6"/>
  <c r="BN84" i="6"/>
  <c r="BO84" i="6"/>
  <c r="X84" i="6"/>
  <c r="Y84" i="6"/>
  <c r="Z84" i="6"/>
  <c r="AT84" i="6"/>
  <c r="AU84" i="6"/>
  <c r="AV84" i="6"/>
  <c r="BP84" i="6"/>
  <c r="BQ84" i="6"/>
  <c r="BS84" i="6"/>
  <c r="BR84" i="6"/>
  <c r="AC85" i="6"/>
  <c r="AD85" i="6"/>
  <c r="AG85" i="6"/>
  <c r="AH85" i="6"/>
  <c r="AI85" i="6"/>
  <c r="AJ85" i="6"/>
  <c r="AK85" i="6"/>
  <c r="AL85" i="6"/>
  <c r="AE85" i="6" s="1"/>
  <c r="AF85" i="6"/>
  <c r="BC85" i="6"/>
  <c r="BD85" i="6"/>
  <c r="BE85" i="6"/>
  <c r="AY85" i="6"/>
  <c r="AZ85" i="6"/>
  <c r="BF85" i="6"/>
  <c r="BG85" i="6"/>
  <c r="BH85" i="6"/>
  <c r="BA85" i="6" s="1"/>
  <c r="BB85" i="6"/>
  <c r="G85" i="6"/>
  <c r="K85" i="6"/>
  <c r="L85" i="6"/>
  <c r="M85" i="6"/>
  <c r="N85" i="6"/>
  <c r="O85" i="6"/>
  <c r="P85" i="6"/>
  <c r="I85" i="6"/>
  <c r="H85" i="6"/>
  <c r="J85" i="6"/>
  <c r="BS85" i="6"/>
  <c r="Q85" i="6"/>
  <c r="R85" i="6"/>
  <c r="S85" i="6"/>
  <c r="T85" i="6"/>
  <c r="U85" i="6"/>
  <c r="V85" i="6"/>
  <c r="W85" i="6"/>
  <c r="AA85" i="6"/>
  <c r="AM85" i="6"/>
  <c r="AN85" i="6"/>
  <c r="AO85" i="6"/>
  <c r="AP85" i="6"/>
  <c r="AQ85" i="6"/>
  <c r="AR85" i="6"/>
  <c r="AS85" i="6"/>
  <c r="AW85" i="6"/>
  <c r="BI85" i="6"/>
  <c r="BJ85" i="6"/>
  <c r="BK85" i="6"/>
  <c r="BL85" i="6"/>
  <c r="BM85" i="6"/>
  <c r="BN85" i="6"/>
  <c r="BO85" i="6"/>
  <c r="X85" i="6"/>
  <c r="Y85" i="6"/>
  <c r="Z85" i="6"/>
  <c r="AT85" i="6"/>
  <c r="AU85" i="6"/>
  <c r="AV85" i="6"/>
  <c r="BP85" i="6"/>
  <c r="BQ85" i="6"/>
  <c r="BR85" i="6"/>
  <c r="G86" i="6"/>
  <c r="K86" i="6"/>
  <c r="L86" i="6"/>
  <c r="M86" i="6"/>
  <c r="N86" i="6"/>
  <c r="O86" i="6"/>
  <c r="P86" i="6"/>
  <c r="I86" i="6" s="1"/>
  <c r="H86" i="6"/>
  <c r="J86" i="6"/>
  <c r="AC86" i="6"/>
  <c r="AD86" i="6"/>
  <c r="AG86" i="6"/>
  <c r="AH86" i="6"/>
  <c r="AI86" i="6"/>
  <c r="AJ86" i="6"/>
  <c r="AK86" i="6"/>
  <c r="AL86" i="6"/>
  <c r="AE86" i="6" s="1"/>
  <c r="AF86" i="6"/>
  <c r="BC86" i="6"/>
  <c r="BD86" i="6"/>
  <c r="BE86" i="6"/>
  <c r="AY86" i="6"/>
  <c r="AZ86" i="6"/>
  <c r="BF86" i="6"/>
  <c r="BG86" i="6"/>
  <c r="BH86" i="6"/>
  <c r="BA86" i="6" s="1"/>
  <c r="BB86" i="6"/>
  <c r="Q86" i="6"/>
  <c r="R86" i="6"/>
  <c r="S86" i="6"/>
  <c r="T86" i="6"/>
  <c r="U86" i="6"/>
  <c r="V86" i="6"/>
  <c r="W86" i="6"/>
  <c r="AA86" i="6"/>
  <c r="AM86" i="6"/>
  <c r="AN86" i="6"/>
  <c r="AO86" i="6"/>
  <c r="AP86" i="6"/>
  <c r="AQ86" i="6"/>
  <c r="AR86" i="6"/>
  <c r="AS86" i="6"/>
  <c r="AW86" i="6"/>
  <c r="BI86" i="6"/>
  <c r="BJ86" i="6"/>
  <c r="BK86" i="6"/>
  <c r="BL86" i="6"/>
  <c r="BM86" i="6"/>
  <c r="BN86" i="6"/>
  <c r="BO86" i="6"/>
  <c r="Y86" i="6"/>
  <c r="Z86" i="6"/>
  <c r="AT86" i="6"/>
  <c r="AU86" i="6"/>
  <c r="AV86" i="6"/>
  <c r="BP86" i="6"/>
  <c r="BQ86" i="6"/>
  <c r="BS86" i="6"/>
  <c r="X86" i="6"/>
  <c r="BR86" i="6"/>
  <c r="AC87" i="6"/>
  <c r="AD87" i="6"/>
  <c r="AG87" i="6"/>
  <c r="AH87" i="6"/>
  <c r="AI87" i="6"/>
  <c r="AJ87" i="6"/>
  <c r="AK87" i="6"/>
  <c r="AL87" i="6"/>
  <c r="AE87" i="6" s="1"/>
  <c r="AF87" i="6"/>
  <c r="G87" i="6"/>
  <c r="K87" i="6"/>
  <c r="L87" i="6"/>
  <c r="M87" i="6"/>
  <c r="N87" i="6"/>
  <c r="O87" i="6"/>
  <c r="P87" i="6"/>
  <c r="I87" i="6"/>
  <c r="H87" i="6"/>
  <c r="J87" i="6"/>
  <c r="BC87" i="6"/>
  <c r="BD87" i="6"/>
  <c r="BE87" i="6"/>
  <c r="AY87" i="6"/>
  <c r="AZ87" i="6"/>
  <c r="BF87" i="6"/>
  <c r="BG87" i="6"/>
  <c r="BH87" i="6"/>
  <c r="BA87" i="6" s="1"/>
  <c r="BB87" i="6"/>
  <c r="Q87" i="6"/>
  <c r="R87" i="6"/>
  <c r="S87" i="6"/>
  <c r="T87" i="6"/>
  <c r="U87" i="6"/>
  <c r="V87" i="6"/>
  <c r="W87" i="6"/>
  <c r="AA87" i="6"/>
  <c r="AM87" i="6"/>
  <c r="AN87" i="6"/>
  <c r="AO87" i="6"/>
  <c r="AP87" i="6"/>
  <c r="AQ87" i="6"/>
  <c r="AR87" i="6"/>
  <c r="AS87" i="6"/>
  <c r="AW87" i="6"/>
  <c r="BI87" i="6"/>
  <c r="BJ87" i="6"/>
  <c r="BK87" i="6"/>
  <c r="BL87" i="6"/>
  <c r="BM87" i="6"/>
  <c r="BN87" i="6"/>
  <c r="BO87" i="6"/>
  <c r="X87" i="6"/>
  <c r="Y87" i="6"/>
  <c r="Z87" i="6"/>
  <c r="AT87" i="6"/>
  <c r="AU87" i="6"/>
  <c r="AV87" i="6"/>
  <c r="BP87" i="6"/>
  <c r="BQ87" i="6"/>
  <c r="BS87" i="6"/>
  <c r="BR87" i="6"/>
  <c r="G88" i="6"/>
  <c r="K88" i="6"/>
  <c r="L88" i="6"/>
  <c r="M88" i="6"/>
  <c r="N88" i="6"/>
  <c r="O88" i="6"/>
  <c r="P88" i="6"/>
  <c r="I88" i="6" s="1"/>
  <c r="H88" i="6"/>
  <c r="J88" i="6"/>
  <c r="BS88" i="6"/>
  <c r="Q88" i="6"/>
  <c r="R88" i="6"/>
  <c r="S88" i="6"/>
  <c r="T88" i="6"/>
  <c r="U88" i="6"/>
  <c r="V88" i="6"/>
  <c r="W88" i="6"/>
  <c r="AA88" i="6"/>
  <c r="AM88" i="6"/>
  <c r="AN88" i="6"/>
  <c r="AO88" i="6"/>
  <c r="AP88" i="6"/>
  <c r="AQ88" i="6"/>
  <c r="AR88" i="6"/>
  <c r="AS88" i="6"/>
  <c r="AW88" i="6"/>
  <c r="BI88" i="6"/>
  <c r="BJ88" i="6"/>
  <c r="BK88" i="6"/>
  <c r="BL88" i="6"/>
  <c r="BM88" i="6"/>
  <c r="BN88" i="6"/>
  <c r="BO88" i="6"/>
  <c r="Y88" i="6"/>
  <c r="Z88" i="6"/>
  <c r="AT88" i="6"/>
  <c r="AU88" i="6"/>
  <c r="AV88" i="6"/>
  <c r="BP88" i="6"/>
  <c r="BQ88" i="6"/>
  <c r="X88" i="6"/>
  <c r="BR88" i="6"/>
  <c r="BC88" i="6"/>
  <c r="BD88" i="6"/>
  <c r="BE88" i="6"/>
  <c r="AY88" i="6"/>
  <c r="AZ88" i="6"/>
  <c r="BF88" i="6"/>
  <c r="BG88" i="6"/>
  <c r="BH88" i="6"/>
  <c r="BA88" i="6" s="1"/>
  <c r="BB88" i="6"/>
  <c r="AC88" i="6"/>
  <c r="AD88" i="6"/>
  <c r="AG88" i="6"/>
  <c r="AH88" i="6"/>
  <c r="AI88" i="6"/>
  <c r="AJ88" i="6"/>
  <c r="AK88" i="6"/>
  <c r="AL88" i="6"/>
  <c r="AE88" i="6" s="1"/>
  <c r="AF88" i="6"/>
  <c r="BC89" i="6"/>
  <c r="BD89" i="6"/>
  <c r="BE89" i="6"/>
  <c r="AY89" i="6"/>
  <c r="AZ89" i="6"/>
  <c r="BF89" i="6"/>
  <c r="BG89" i="6"/>
  <c r="BH89" i="6"/>
  <c r="BA89" i="6" s="1"/>
  <c r="BB89" i="6"/>
  <c r="G89" i="6"/>
  <c r="K89" i="6"/>
  <c r="L89" i="6"/>
  <c r="M89" i="6"/>
  <c r="N89" i="6"/>
  <c r="O89" i="6"/>
  <c r="P89" i="6"/>
  <c r="I89" i="6" s="1"/>
  <c r="H89" i="6"/>
  <c r="J89" i="6"/>
  <c r="AC89" i="6"/>
  <c r="AD89" i="6"/>
  <c r="AG89" i="6"/>
  <c r="AH89" i="6"/>
  <c r="AI89" i="6"/>
  <c r="AJ89" i="6"/>
  <c r="AK89" i="6"/>
  <c r="AL89" i="6"/>
  <c r="AE89" i="6" s="1"/>
  <c r="AF89" i="6"/>
  <c r="Q89" i="6"/>
  <c r="R89" i="6"/>
  <c r="S89" i="6"/>
  <c r="T89" i="6"/>
  <c r="U89" i="6"/>
  <c r="V89" i="6"/>
  <c r="W89" i="6"/>
  <c r="AA89" i="6"/>
  <c r="AM89" i="6"/>
  <c r="AN89" i="6"/>
  <c r="AO89" i="6"/>
  <c r="AP89" i="6"/>
  <c r="AQ89" i="6"/>
  <c r="AR89" i="6"/>
  <c r="AS89" i="6"/>
  <c r="AW89" i="6"/>
  <c r="BI89" i="6"/>
  <c r="BJ89" i="6"/>
  <c r="BK89" i="6"/>
  <c r="BL89" i="6"/>
  <c r="BM89" i="6"/>
  <c r="BN89" i="6"/>
  <c r="BO89" i="6"/>
  <c r="X89" i="6"/>
  <c r="Y89" i="6"/>
  <c r="Z89" i="6"/>
  <c r="AT89" i="6"/>
  <c r="AU89" i="6"/>
  <c r="AV89" i="6"/>
  <c r="BP89" i="6"/>
  <c r="BQ89" i="6"/>
  <c r="BS89" i="6"/>
  <c r="BR89" i="6"/>
  <c r="BC90" i="6"/>
  <c r="BD90" i="6"/>
  <c r="BE90" i="6"/>
  <c r="AY90" i="6"/>
  <c r="AZ90" i="6"/>
  <c r="BF90" i="6"/>
  <c r="BG90" i="6"/>
  <c r="BH90" i="6"/>
  <c r="BA90" i="6" s="1"/>
  <c r="BB90" i="6"/>
  <c r="G90" i="6"/>
  <c r="K90" i="6"/>
  <c r="L90" i="6"/>
  <c r="M90" i="6"/>
  <c r="N90" i="6"/>
  <c r="O90" i="6"/>
  <c r="P90" i="6"/>
  <c r="H90" i="6"/>
  <c r="I90" i="6"/>
  <c r="J90" i="6"/>
  <c r="AC90" i="6"/>
  <c r="AD90" i="6"/>
  <c r="AG90" i="6"/>
  <c r="AH90" i="6"/>
  <c r="AI90" i="6"/>
  <c r="AJ90" i="6"/>
  <c r="AK90" i="6"/>
  <c r="AL90" i="6"/>
  <c r="AE90" i="6" s="1"/>
  <c r="AF90" i="6"/>
  <c r="Q90" i="6"/>
  <c r="R90" i="6"/>
  <c r="S90" i="6"/>
  <c r="T90" i="6"/>
  <c r="U90" i="6"/>
  <c r="V90" i="6"/>
  <c r="W90" i="6"/>
  <c r="AA90" i="6"/>
  <c r="AM90" i="6"/>
  <c r="AN90" i="6"/>
  <c r="AO90" i="6"/>
  <c r="AP90" i="6"/>
  <c r="AQ90" i="6"/>
  <c r="AR90" i="6"/>
  <c r="AS90" i="6"/>
  <c r="AW90" i="6"/>
  <c r="BI90" i="6"/>
  <c r="BJ90" i="6"/>
  <c r="BK90" i="6"/>
  <c r="BL90" i="6"/>
  <c r="BM90" i="6"/>
  <c r="BN90" i="6"/>
  <c r="BO90" i="6"/>
  <c r="X90" i="6"/>
  <c r="Y90" i="6"/>
  <c r="Z90" i="6"/>
  <c r="AT90" i="6"/>
  <c r="AU90" i="6"/>
  <c r="AV90" i="6"/>
  <c r="BP90" i="6"/>
  <c r="BQ90" i="6"/>
  <c r="BS90" i="6"/>
  <c r="BR90" i="6"/>
  <c r="BC91" i="6"/>
  <c r="BD91" i="6"/>
  <c r="BE91" i="6"/>
  <c r="AY91" i="6"/>
  <c r="AZ91" i="6"/>
  <c r="BF91" i="6"/>
  <c r="BG91" i="6"/>
  <c r="BH91" i="6"/>
  <c r="BA91" i="6" s="1"/>
  <c r="BB91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BS91" i="6"/>
  <c r="Q91" i="6"/>
  <c r="R91" i="6"/>
  <c r="S91" i="6"/>
  <c r="T91" i="6"/>
  <c r="U91" i="6"/>
  <c r="V91" i="6"/>
  <c r="W91" i="6"/>
  <c r="AA91" i="6"/>
  <c r="AM91" i="6"/>
  <c r="AN91" i="6"/>
  <c r="AO91" i="6"/>
  <c r="AP91" i="6"/>
  <c r="AQ91" i="6"/>
  <c r="AR91" i="6"/>
  <c r="AS91" i="6"/>
  <c r="AW91" i="6"/>
  <c r="BI91" i="6"/>
  <c r="BJ91" i="6"/>
  <c r="BK91" i="6"/>
  <c r="BL91" i="6"/>
  <c r="BM91" i="6"/>
  <c r="BN91" i="6"/>
  <c r="BO91" i="6"/>
  <c r="Y91" i="6"/>
  <c r="Z91" i="6"/>
  <c r="AT91" i="6"/>
  <c r="AU91" i="6"/>
  <c r="AV91" i="6"/>
  <c r="BP91" i="6"/>
  <c r="BQ91" i="6"/>
  <c r="X91" i="6"/>
  <c r="BR91" i="6"/>
  <c r="BC92" i="6"/>
  <c r="BD92" i="6"/>
  <c r="BE92" i="6"/>
  <c r="AY92" i="6"/>
  <c r="AZ92" i="6"/>
  <c r="BF92" i="6"/>
  <c r="BG92" i="6"/>
  <c r="BH92" i="6"/>
  <c r="BA92" i="6" s="1"/>
  <c r="BB92" i="6"/>
  <c r="G92" i="6"/>
  <c r="K92" i="6"/>
  <c r="L92" i="6"/>
  <c r="M92" i="6"/>
  <c r="N92" i="6"/>
  <c r="O92" i="6"/>
  <c r="P92" i="6"/>
  <c r="H92" i="6"/>
  <c r="AC92" i="6"/>
  <c r="AD92" i="6"/>
  <c r="AG92" i="6"/>
  <c r="AH92" i="6"/>
  <c r="AI92" i="6"/>
  <c r="AJ92" i="6"/>
  <c r="AK92" i="6"/>
  <c r="AL92" i="6"/>
  <c r="Q92" i="6"/>
  <c r="R92" i="6"/>
  <c r="S92" i="6"/>
  <c r="T92" i="6"/>
  <c r="U92" i="6"/>
  <c r="V92" i="6"/>
  <c r="W92" i="6"/>
  <c r="AA92" i="6"/>
  <c r="AM92" i="6"/>
  <c r="AN92" i="6"/>
  <c r="AO92" i="6"/>
  <c r="AP92" i="6"/>
  <c r="AQ92" i="6"/>
  <c r="AR92" i="6"/>
  <c r="AS92" i="6"/>
  <c r="AW92" i="6"/>
  <c r="BI92" i="6"/>
  <c r="BJ92" i="6"/>
  <c r="BK92" i="6"/>
  <c r="BL92" i="6"/>
  <c r="BM92" i="6"/>
  <c r="BN92" i="6"/>
  <c r="BO92" i="6"/>
  <c r="X92" i="6"/>
  <c r="Y92" i="6"/>
  <c r="Z92" i="6"/>
  <c r="AT92" i="6"/>
  <c r="AU92" i="6"/>
  <c r="AV92" i="6"/>
  <c r="BP92" i="6"/>
  <c r="BQ92" i="6"/>
  <c r="BS92" i="6"/>
  <c r="BR92" i="6"/>
  <c r="G93" i="6"/>
  <c r="K93" i="6"/>
  <c r="L93" i="6"/>
  <c r="M93" i="6"/>
  <c r="N93" i="6"/>
  <c r="O93" i="6"/>
  <c r="P93" i="6"/>
  <c r="I93" i="6" s="1"/>
  <c r="H93" i="6"/>
  <c r="J93" i="6"/>
  <c r="AC93" i="6"/>
  <c r="AD93" i="6"/>
  <c r="AG93" i="6"/>
  <c r="AH93" i="6"/>
  <c r="AI93" i="6"/>
  <c r="AJ93" i="6"/>
  <c r="AK93" i="6"/>
  <c r="AL93" i="6"/>
  <c r="BC93" i="6"/>
  <c r="BD93" i="6"/>
  <c r="BE93" i="6"/>
  <c r="AY93" i="6"/>
  <c r="AZ93" i="6"/>
  <c r="BF93" i="6"/>
  <c r="BG93" i="6"/>
  <c r="BH93" i="6"/>
  <c r="BS93" i="6"/>
  <c r="Q93" i="6"/>
  <c r="R93" i="6"/>
  <c r="S93" i="6"/>
  <c r="T93" i="6"/>
  <c r="U93" i="6"/>
  <c r="V93" i="6"/>
  <c r="W93" i="6"/>
  <c r="AA93" i="6"/>
  <c r="AM93" i="6"/>
  <c r="AN93" i="6"/>
  <c r="AO93" i="6"/>
  <c r="AP93" i="6"/>
  <c r="AQ93" i="6"/>
  <c r="AR93" i="6"/>
  <c r="AS93" i="6"/>
  <c r="AW93" i="6"/>
  <c r="BI93" i="6"/>
  <c r="BJ93" i="6"/>
  <c r="BK93" i="6"/>
  <c r="BL93" i="6"/>
  <c r="BM93" i="6"/>
  <c r="BN93" i="6"/>
  <c r="BO93" i="6"/>
  <c r="X93" i="6"/>
  <c r="Y93" i="6"/>
  <c r="Z93" i="6"/>
  <c r="AT93" i="6"/>
  <c r="AU93" i="6"/>
  <c r="AV93" i="6"/>
  <c r="BP93" i="6"/>
  <c r="BQ93" i="6"/>
  <c r="BR93" i="6"/>
  <c r="G94" i="6"/>
  <c r="H94" i="6"/>
  <c r="K94" i="6"/>
  <c r="L94" i="6"/>
  <c r="M94" i="6"/>
  <c r="N94" i="6"/>
  <c r="O94" i="6"/>
  <c r="P94" i="6"/>
  <c r="BC94" i="6"/>
  <c r="BD94" i="6"/>
  <c r="BE94" i="6"/>
  <c r="AY94" i="6"/>
  <c r="AZ94" i="6"/>
  <c r="BF94" i="6"/>
  <c r="BG94" i="6"/>
  <c r="BH94" i="6"/>
  <c r="BA94" i="6" s="1"/>
  <c r="BB94" i="6"/>
  <c r="AC94" i="6"/>
  <c r="AD94" i="6"/>
  <c r="AG94" i="6"/>
  <c r="AH94" i="6"/>
  <c r="AI94" i="6"/>
  <c r="AJ94" i="6"/>
  <c r="AK94" i="6"/>
  <c r="AL94" i="6"/>
  <c r="AE94" i="6" s="1"/>
  <c r="AF94" i="6"/>
  <c r="Q94" i="6"/>
  <c r="R94" i="6"/>
  <c r="S94" i="6"/>
  <c r="T94" i="6"/>
  <c r="U94" i="6"/>
  <c r="V94" i="6"/>
  <c r="W94" i="6"/>
  <c r="AA94" i="6"/>
  <c r="AM94" i="6"/>
  <c r="AN94" i="6"/>
  <c r="AO94" i="6"/>
  <c r="AP94" i="6"/>
  <c r="AQ94" i="6"/>
  <c r="AR94" i="6"/>
  <c r="AS94" i="6"/>
  <c r="AW94" i="6"/>
  <c r="BI94" i="6"/>
  <c r="BJ94" i="6"/>
  <c r="BK94" i="6"/>
  <c r="BL94" i="6"/>
  <c r="BM94" i="6"/>
  <c r="BN94" i="6"/>
  <c r="BO94" i="6"/>
  <c r="Y94" i="6"/>
  <c r="Z94" i="6"/>
  <c r="AT94" i="6"/>
  <c r="AU94" i="6"/>
  <c r="AV94" i="6"/>
  <c r="BP94" i="6"/>
  <c r="BQ94" i="6"/>
  <c r="BS94" i="6"/>
  <c r="X94" i="6"/>
  <c r="BR94" i="6"/>
  <c r="BC95" i="6"/>
  <c r="BD95" i="6"/>
  <c r="BE95" i="6"/>
  <c r="AY95" i="6"/>
  <c r="AZ95" i="6"/>
  <c r="BF95" i="6"/>
  <c r="BG95" i="6"/>
  <c r="BH95" i="6"/>
  <c r="G95" i="6"/>
  <c r="K95" i="6"/>
  <c r="L95" i="6"/>
  <c r="M95" i="6"/>
  <c r="N95" i="6"/>
  <c r="O95" i="6"/>
  <c r="P95" i="6"/>
  <c r="H95" i="6"/>
  <c r="AC95" i="6"/>
  <c r="AD95" i="6"/>
  <c r="AG95" i="6"/>
  <c r="AH95" i="6"/>
  <c r="AI95" i="6"/>
  <c r="AJ95" i="6"/>
  <c r="AK95" i="6"/>
  <c r="AL95" i="6"/>
  <c r="BS95" i="6"/>
  <c r="Q95" i="6"/>
  <c r="R95" i="6"/>
  <c r="S95" i="6"/>
  <c r="T95" i="6"/>
  <c r="U95" i="6"/>
  <c r="V95" i="6"/>
  <c r="W95" i="6"/>
  <c r="AA95" i="6"/>
  <c r="AM95" i="6"/>
  <c r="AN95" i="6"/>
  <c r="AO95" i="6"/>
  <c r="AP95" i="6"/>
  <c r="AQ95" i="6"/>
  <c r="AR95" i="6"/>
  <c r="AS95" i="6"/>
  <c r="AW95" i="6"/>
  <c r="BI95" i="6"/>
  <c r="BJ95" i="6"/>
  <c r="BK95" i="6"/>
  <c r="BL95" i="6"/>
  <c r="BM95" i="6"/>
  <c r="BN95" i="6"/>
  <c r="BO95" i="6"/>
  <c r="Y95" i="6"/>
  <c r="Z95" i="6"/>
  <c r="AT95" i="6"/>
  <c r="AU95" i="6"/>
  <c r="AV95" i="6"/>
  <c r="BP95" i="6"/>
  <c r="BQ95" i="6"/>
  <c r="X95" i="6"/>
  <c r="BR95" i="6"/>
  <c r="BC96" i="6"/>
  <c r="BD96" i="6"/>
  <c r="BE96" i="6"/>
  <c r="AY96" i="6"/>
  <c r="AZ96" i="6"/>
  <c r="BF96" i="6"/>
  <c r="BG96" i="6"/>
  <c r="BH96" i="6"/>
  <c r="G96" i="6"/>
  <c r="H96" i="6"/>
  <c r="K96" i="6"/>
  <c r="L96" i="6"/>
  <c r="M96" i="6"/>
  <c r="N96" i="6"/>
  <c r="O96" i="6"/>
  <c r="P96" i="6"/>
  <c r="AC96" i="6"/>
  <c r="AD96" i="6"/>
  <c r="AG96" i="6"/>
  <c r="AH96" i="6"/>
  <c r="AI96" i="6"/>
  <c r="AJ96" i="6"/>
  <c r="AK96" i="6"/>
  <c r="AL96" i="6"/>
  <c r="Q96" i="6"/>
  <c r="R96" i="6"/>
  <c r="S96" i="6"/>
  <c r="T96" i="6"/>
  <c r="U96" i="6"/>
  <c r="V96" i="6"/>
  <c r="W96" i="6"/>
  <c r="AA96" i="6"/>
  <c r="AM96" i="6"/>
  <c r="AN96" i="6"/>
  <c r="AO96" i="6"/>
  <c r="AP96" i="6"/>
  <c r="AQ96" i="6"/>
  <c r="AR96" i="6"/>
  <c r="AS96" i="6"/>
  <c r="AW96" i="6"/>
  <c r="BI96" i="6"/>
  <c r="BJ96" i="6"/>
  <c r="BK96" i="6"/>
  <c r="BL96" i="6"/>
  <c r="BM96" i="6"/>
  <c r="BN96" i="6"/>
  <c r="BO96" i="6"/>
  <c r="X96" i="6"/>
  <c r="Y96" i="6"/>
  <c r="Z96" i="6"/>
  <c r="AT96" i="6"/>
  <c r="AU96" i="6"/>
  <c r="AV96" i="6"/>
  <c r="BP96" i="6"/>
  <c r="BQ96" i="6"/>
  <c r="BS96" i="6"/>
  <c r="BR96" i="6"/>
  <c r="BC97" i="6"/>
  <c r="BD97" i="6"/>
  <c r="BE97" i="6"/>
  <c r="AY97" i="6"/>
  <c r="AZ97" i="6"/>
  <c r="BF97" i="6"/>
  <c r="BG97" i="6"/>
  <c r="BH97" i="6"/>
  <c r="BA97" i="6" s="1"/>
  <c r="BB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BS97" i="6"/>
  <c r="Q97" i="6"/>
  <c r="R97" i="6"/>
  <c r="S97" i="6"/>
  <c r="T97" i="6"/>
  <c r="U97" i="6"/>
  <c r="V97" i="6"/>
  <c r="W97" i="6"/>
  <c r="AA97" i="6"/>
  <c r="AM97" i="6"/>
  <c r="AN97" i="6"/>
  <c r="AO97" i="6"/>
  <c r="AP97" i="6"/>
  <c r="AQ97" i="6"/>
  <c r="AR97" i="6"/>
  <c r="AS97" i="6"/>
  <c r="AW97" i="6"/>
  <c r="BI97" i="6"/>
  <c r="BJ97" i="6"/>
  <c r="BK97" i="6"/>
  <c r="BL97" i="6"/>
  <c r="BM97" i="6"/>
  <c r="BN97" i="6"/>
  <c r="BO97" i="6"/>
  <c r="Y97" i="6"/>
  <c r="Z97" i="6"/>
  <c r="AT97" i="6"/>
  <c r="AU97" i="6"/>
  <c r="AV97" i="6"/>
  <c r="BP97" i="6"/>
  <c r="BQ97" i="6"/>
  <c r="X97" i="6"/>
  <c r="BR97" i="6"/>
  <c r="G98" i="6"/>
  <c r="K98" i="6"/>
  <c r="L98" i="6"/>
  <c r="M98" i="6"/>
  <c r="N98" i="6"/>
  <c r="O98" i="6"/>
  <c r="P98" i="6"/>
  <c r="I98" i="6" s="1"/>
  <c r="H98" i="6"/>
  <c r="J98" i="6"/>
  <c r="AC98" i="6"/>
  <c r="AD98" i="6"/>
  <c r="AG98" i="6"/>
  <c r="AH98" i="6"/>
  <c r="AI98" i="6"/>
  <c r="AJ98" i="6"/>
  <c r="AK98" i="6"/>
  <c r="AL98" i="6"/>
  <c r="AE98" i="6" s="1"/>
  <c r="AF98" i="6"/>
  <c r="BC98" i="6"/>
  <c r="BD98" i="6"/>
  <c r="BE98" i="6"/>
  <c r="AY98" i="6"/>
  <c r="AZ98" i="6"/>
  <c r="BF98" i="6"/>
  <c r="BG98" i="6"/>
  <c r="BH98" i="6"/>
  <c r="BA98" i="6" s="1"/>
  <c r="BB98" i="6"/>
  <c r="Q98" i="6"/>
  <c r="R98" i="6"/>
  <c r="S98" i="6"/>
  <c r="T98" i="6"/>
  <c r="U98" i="6"/>
  <c r="V98" i="6"/>
  <c r="W98" i="6"/>
  <c r="AA98" i="6"/>
  <c r="AM98" i="6"/>
  <c r="AN98" i="6"/>
  <c r="AO98" i="6"/>
  <c r="AP98" i="6"/>
  <c r="AQ98" i="6"/>
  <c r="AR98" i="6"/>
  <c r="AS98" i="6"/>
  <c r="AW98" i="6"/>
  <c r="BI98" i="6"/>
  <c r="BJ98" i="6"/>
  <c r="BK98" i="6"/>
  <c r="BL98" i="6"/>
  <c r="BM98" i="6"/>
  <c r="BN98" i="6"/>
  <c r="BO98" i="6"/>
  <c r="X98" i="6"/>
  <c r="Y98" i="6"/>
  <c r="Z98" i="6"/>
  <c r="AT98" i="6"/>
  <c r="AU98" i="6"/>
  <c r="AV98" i="6"/>
  <c r="BP98" i="6"/>
  <c r="BQ98" i="6"/>
  <c r="BS98" i="6"/>
  <c r="BR98" i="6"/>
  <c r="G99" i="6"/>
  <c r="K99" i="6"/>
  <c r="L99" i="6"/>
  <c r="M99" i="6"/>
  <c r="N99" i="6"/>
  <c r="O99" i="6"/>
  <c r="P99" i="6"/>
  <c r="I99" i="6"/>
  <c r="H99" i="6"/>
  <c r="J99" i="6"/>
  <c r="BC99" i="6"/>
  <c r="BD99" i="6"/>
  <c r="BE99" i="6"/>
  <c r="AY99" i="6"/>
  <c r="AZ99" i="6"/>
  <c r="BF99" i="6"/>
  <c r="BG99" i="6"/>
  <c r="BH99" i="6"/>
  <c r="BA99" i="6" s="1"/>
  <c r="BB99" i="6"/>
  <c r="Q99" i="6"/>
  <c r="R99" i="6"/>
  <c r="S99" i="6"/>
  <c r="T99" i="6"/>
  <c r="U99" i="6"/>
  <c r="V99" i="6"/>
  <c r="W99" i="6"/>
  <c r="AA99" i="6"/>
  <c r="AM99" i="6"/>
  <c r="AN99" i="6"/>
  <c r="AO99" i="6"/>
  <c r="AP99" i="6"/>
  <c r="AQ99" i="6"/>
  <c r="AR99" i="6"/>
  <c r="AS99" i="6"/>
  <c r="AW99" i="6"/>
  <c r="BI99" i="6"/>
  <c r="BJ99" i="6"/>
  <c r="BK99" i="6"/>
  <c r="BL99" i="6"/>
  <c r="BM99" i="6"/>
  <c r="BN99" i="6"/>
  <c r="BO99" i="6"/>
  <c r="Y99" i="6"/>
  <c r="Z99" i="6"/>
  <c r="AT99" i="6"/>
  <c r="AU99" i="6"/>
  <c r="AV99" i="6"/>
  <c r="BP99" i="6"/>
  <c r="BQ99" i="6"/>
  <c r="BS99" i="6"/>
  <c r="X99" i="6"/>
  <c r="BR99" i="6"/>
  <c r="AC99" i="6"/>
  <c r="AD99" i="6"/>
  <c r="AG99" i="6"/>
  <c r="AH99" i="6"/>
  <c r="AI99" i="6"/>
  <c r="AJ99" i="6"/>
  <c r="AK99" i="6"/>
  <c r="AL99" i="6"/>
  <c r="AE99" i="6" s="1"/>
  <c r="AF99" i="6"/>
  <c r="BC100" i="6"/>
  <c r="BD100" i="6"/>
  <c r="BE100" i="6"/>
  <c r="AY100" i="6"/>
  <c r="AZ100" i="6"/>
  <c r="BF100" i="6"/>
  <c r="BG100" i="6"/>
  <c r="BH100" i="6"/>
  <c r="BA100" i="6" s="1"/>
  <c r="BB100" i="6"/>
  <c r="G100" i="6"/>
  <c r="K100" i="6"/>
  <c r="L100" i="6"/>
  <c r="M100" i="6"/>
  <c r="N100" i="6"/>
  <c r="O100" i="6"/>
  <c r="P100" i="6"/>
  <c r="I100" i="6" s="1"/>
  <c r="H100" i="6"/>
  <c r="J100" i="6"/>
  <c r="BS100" i="6"/>
  <c r="Q100" i="6"/>
  <c r="R100" i="6"/>
  <c r="S100" i="6"/>
  <c r="T100" i="6"/>
  <c r="U100" i="6"/>
  <c r="V100" i="6"/>
  <c r="W100" i="6"/>
  <c r="AA100" i="6"/>
  <c r="AM100" i="6"/>
  <c r="AN100" i="6"/>
  <c r="AO100" i="6"/>
  <c r="AP100" i="6"/>
  <c r="AQ100" i="6"/>
  <c r="AR100" i="6"/>
  <c r="AS100" i="6"/>
  <c r="AW100" i="6"/>
  <c r="BI100" i="6"/>
  <c r="BJ100" i="6"/>
  <c r="BK100" i="6"/>
  <c r="BL100" i="6"/>
  <c r="BM100" i="6"/>
  <c r="BN100" i="6"/>
  <c r="BO100" i="6"/>
  <c r="X100" i="6"/>
  <c r="Y100" i="6"/>
  <c r="Z100" i="6"/>
  <c r="AT100" i="6"/>
  <c r="AU100" i="6"/>
  <c r="AV100" i="6"/>
  <c r="BP100" i="6"/>
  <c r="BQ100" i="6"/>
  <c r="BR100" i="6"/>
  <c r="AC100" i="6"/>
  <c r="AD100" i="6"/>
  <c r="AG100" i="6"/>
  <c r="AH100" i="6"/>
  <c r="AI100" i="6"/>
  <c r="AJ100" i="6"/>
  <c r="AK100" i="6"/>
  <c r="AL100" i="6"/>
  <c r="AE100" i="6" s="1"/>
  <c r="AF100" i="6"/>
  <c r="BC101" i="6"/>
  <c r="BD101" i="6"/>
  <c r="BE101" i="6"/>
  <c r="AY101" i="6"/>
  <c r="AZ101" i="6"/>
  <c r="BF101" i="6"/>
  <c r="BG101" i="6"/>
  <c r="BH101" i="6"/>
  <c r="BA101" i="6" s="1"/>
  <c r="BB101" i="6"/>
  <c r="G101" i="6"/>
  <c r="H101" i="6"/>
  <c r="K101" i="6"/>
  <c r="L101" i="6"/>
  <c r="M101" i="6"/>
  <c r="N101" i="6"/>
  <c r="O101" i="6"/>
  <c r="P101" i="6"/>
  <c r="I101" i="6" s="1"/>
  <c r="J101" i="6"/>
  <c r="AC101" i="6"/>
  <c r="AD101" i="6"/>
  <c r="AG101" i="6"/>
  <c r="AH101" i="6"/>
  <c r="AI101" i="6"/>
  <c r="AJ101" i="6"/>
  <c r="AK101" i="6"/>
  <c r="AL101" i="6"/>
  <c r="AE101" i="6" s="1"/>
  <c r="AF101" i="6"/>
  <c r="Q101" i="6"/>
  <c r="R101" i="6"/>
  <c r="S101" i="6"/>
  <c r="T101" i="6"/>
  <c r="U101" i="6"/>
  <c r="V101" i="6"/>
  <c r="W101" i="6"/>
  <c r="AA101" i="6"/>
  <c r="AM101" i="6"/>
  <c r="AN101" i="6"/>
  <c r="AO101" i="6"/>
  <c r="AP101" i="6"/>
  <c r="AQ101" i="6"/>
  <c r="AR101" i="6"/>
  <c r="AS101" i="6"/>
  <c r="AW101" i="6"/>
  <c r="BI101" i="6"/>
  <c r="BJ101" i="6"/>
  <c r="BK101" i="6"/>
  <c r="BL101" i="6"/>
  <c r="BM101" i="6"/>
  <c r="BN101" i="6"/>
  <c r="BO101" i="6"/>
  <c r="Y101" i="6"/>
  <c r="Z101" i="6"/>
  <c r="AT101" i="6"/>
  <c r="AU101" i="6"/>
  <c r="AV101" i="6"/>
  <c r="BP101" i="6"/>
  <c r="BQ101" i="6"/>
  <c r="BS101" i="6"/>
  <c r="X101" i="6"/>
  <c r="BR101" i="6"/>
  <c r="G102" i="6"/>
  <c r="K102" i="6"/>
  <c r="L102" i="6"/>
  <c r="M102" i="6"/>
  <c r="N102" i="6"/>
  <c r="O102" i="6"/>
  <c r="P102" i="6"/>
  <c r="H102" i="6"/>
  <c r="I102" i="6"/>
  <c r="J102" i="6"/>
  <c r="AC102" i="6"/>
  <c r="AD102" i="6"/>
  <c r="AG102" i="6"/>
  <c r="AH102" i="6"/>
  <c r="AI102" i="6"/>
  <c r="AJ102" i="6"/>
  <c r="AK102" i="6"/>
  <c r="AL102" i="6"/>
  <c r="AE102" i="6" s="1"/>
  <c r="AF102" i="6"/>
  <c r="BS102" i="6"/>
  <c r="Q102" i="6"/>
  <c r="R102" i="6"/>
  <c r="S102" i="6"/>
  <c r="T102" i="6"/>
  <c r="U102" i="6"/>
  <c r="V102" i="6"/>
  <c r="W102" i="6"/>
  <c r="AA102" i="6"/>
  <c r="AM102" i="6"/>
  <c r="AN102" i="6"/>
  <c r="AO102" i="6"/>
  <c r="AP102" i="6"/>
  <c r="AQ102" i="6"/>
  <c r="AR102" i="6"/>
  <c r="AS102" i="6"/>
  <c r="AW102" i="6"/>
  <c r="BI102" i="6"/>
  <c r="BJ102" i="6"/>
  <c r="BK102" i="6"/>
  <c r="BL102" i="6"/>
  <c r="BM102" i="6"/>
  <c r="BN102" i="6"/>
  <c r="BO102" i="6"/>
  <c r="X102" i="6"/>
  <c r="Y102" i="6"/>
  <c r="Z102" i="6"/>
  <c r="AT102" i="6"/>
  <c r="AU102" i="6"/>
  <c r="AV102" i="6"/>
  <c r="BP102" i="6"/>
  <c r="BQ102" i="6"/>
  <c r="BR102" i="6"/>
  <c r="BC102" i="6"/>
  <c r="BD102" i="6"/>
  <c r="BE102" i="6"/>
  <c r="AY102" i="6"/>
  <c r="AZ102" i="6"/>
  <c r="BF102" i="6"/>
  <c r="BG102" i="6"/>
  <c r="BH102" i="6"/>
  <c r="BA102" i="6" s="1"/>
  <c r="BB102" i="6"/>
  <c r="BC103" i="6"/>
  <c r="BD103" i="6"/>
  <c r="BE103" i="6"/>
  <c r="AY103" i="6"/>
  <c r="AZ103" i="6"/>
  <c r="BF103" i="6"/>
  <c r="BG103" i="6"/>
  <c r="BH103" i="6"/>
  <c r="BA103" i="6" s="1"/>
  <c r="BB103" i="6"/>
  <c r="G103" i="6"/>
  <c r="H103" i="6"/>
  <c r="K103" i="6"/>
  <c r="L103" i="6"/>
  <c r="M103" i="6"/>
  <c r="N103" i="6"/>
  <c r="O103" i="6"/>
  <c r="P103" i="6"/>
  <c r="I103" i="6" s="1"/>
  <c r="J103" i="6"/>
  <c r="AC103" i="6"/>
  <c r="AD103" i="6"/>
  <c r="AG103" i="6"/>
  <c r="AH103" i="6"/>
  <c r="AI103" i="6"/>
  <c r="AJ103" i="6"/>
  <c r="AK103" i="6"/>
  <c r="AL103" i="6"/>
  <c r="AE103" i="6" s="1"/>
  <c r="AF103" i="6"/>
  <c r="Q103" i="6"/>
  <c r="R103" i="6"/>
  <c r="S103" i="6"/>
  <c r="T103" i="6"/>
  <c r="U103" i="6"/>
  <c r="V103" i="6"/>
  <c r="W103" i="6"/>
  <c r="AA103" i="6"/>
  <c r="AM103" i="6"/>
  <c r="AN103" i="6"/>
  <c r="AO103" i="6"/>
  <c r="AP103" i="6"/>
  <c r="AQ103" i="6"/>
  <c r="AR103" i="6"/>
  <c r="AS103" i="6"/>
  <c r="AW103" i="6"/>
  <c r="BI103" i="6"/>
  <c r="BJ103" i="6"/>
  <c r="BK103" i="6"/>
  <c r="BL103" i="6"/>
  <c r="BM103" i="6"/>
  <c r="BN103" i="6"/>
  <c r="BO103" i="6"/>
  <c r="Y103" i="6"/>
  <c r="Z103" i="6"/>
  <c r="AT103" i="6"/>
  <c r="AU103" i="6"/>
  <c r="AV103" i="6"/>
  <c r="BP103" i="6"/>
  <c r="BQ103" i="6"/>
  <c r="BS103" i="6"/>
  <c r="X103" i="6"/>
  <c r="BR103" i="6"/>
  <c r="BC104" i="6"/>
  <c r="BD104" i="6"/>
  <c r="BE104" i="6"/>
  <c r="AY104" i="6"/>
  <c r="AZ104" i="6"/>
  <c r="BF104" i="6"/>
  <c r="BG104" i="6"/>
  <c r="BH104" i="6"/>
  <c r="BA104" i="6" s="1"/>
  <c r="BB104" i="6"/>
  <c r="Q104" i="6"/>
  <c r="R104" i="6"/>
  <c r="S104" i="6"/>
  <c r="T104" i="6"/>
  <c r="U104" i="6"/>
  <c r="V104" i="6"/>
  <c r="W104" i="6"/>
  <c r="AA104" i="6"/>
  <c r="AM104" i="6"/>
  <c r="AN104" i="6"/>
  <c r="AO104" i="6"/>
  <c r="AP104" i="6"/>
  <c r="AQ104" i="6"/>
  <c r="AR104" i="6"/>
  <c r="AS104" i="6"/>
  <c r="AW104" i="6"/>
  <c r="BI104" i="6"/>
  <c r="BJ104" i="6"/>
  <c r="BK104" i="6"/>
  <c r="BL104" i="6"/>
  <c r="BM104" i="6"/>
  <c r="BN104" i="6"/>
  <c r="BO104" i="6"/>
  <c r="X104" i="6"/>
  <c r="Y104" i="6"/>
  <c r="Z104" i="6"/>
  <c r="AT104" i="6"/>
  <c r="AU104" i="6"/>
  <c r="AV104" i="6"/>
  <c r="BP104" i="6"/>
  <c r="BQ104" i="6"/>
  <c r="BS104" i="6"/>
  <c r="BR104" i="6"/>
  <c r="G104" i="6"/>
  <c r="K104" i="6"/>
  <c r="L104" i="6"/>
  <c r="M104" i="6"/>
  <c r="N104" i="6"/>
  <c r="O104" i="6"/>
  <c r="P104" i="6"/>
  <c r="I104" i="6"/>
  <c r="H104" i="6"/>
  <c r="J104" i="6"/>
  <c r="AC104" i="6"/>
  <c r="AD104" i="6"/>
  <c r="AG104" i="6"/>
  <c r="AH104" i="6"/>
  <c r="AI104" i="6"/>
  <c r="AJ104" i="6"/>
  <c r="AK104" i="6"/>
  <c r="AL104" i="6"/>
  <c r="AE104" i="6" s="1"/>
  <c r="AF104" i="6"/>
  <c r="BC105" i="6"/>
  <c r="BD105" i="6"/>
  <c r="BE105" i="6"/>
  <c r="AY105" i="6"/>
  <c r="AZ105" i="6"/>
  <c r="BF105" i="6"/>
  <c r="BG105" i="6"/>
  <c r="BH105" i="6"/>
  <c r="BA105" i="6" s="1"/>
  <c r="BB105" i="6"/>
  <c r="AC105" i="6"/>
  <c r="AD105" i="6"/>
  <c r="AG105" i="6"/>
  <c r="AH105" i="6"/>
  <c r="AI105" i="6"/>
  <c r="AJ105" i="6"/>
  <c r="AK105" i="6"/>
  <c r="AL105" i="6"/>
  <c r="AE105" i="6" s="1"/>
  <c r="AF105" i="6"/>
  <c r="G105" i="6"/>
  <c r="K105" i="6"/>
  <c r="L105" i="6"/>
  <c r="M105" i="6"/>
  <c r="N105" i="6"/>
  <c r="O105" i="6"/>
  <c r="P105" i="6"/>
  <c r="H105" i="6"/>
  <c r="I105" i="6"/>
  <c r="J105" i="6"/>
  <c r="BS105" i="6"/>
  <c r="Q105" i="6"/>
  <c r="R105" i="6"/>
  <c r="S105" i="6"/>
  <c r="T105" i="6"/>
  <c r="U105" i="6"/>
  <c r="V105" i="6"/>
  <c r="W105" i="6"/>
  <c r="AA105" i="6"/>
  <c r="AM105" i="6"/>
  <c r="AN105" i="6"/>
  <c r="AO105" i="6"/>
  <c r="AP105" i="6"/>
  <c r="AQ105" i="6"/>
  <c r="AR105" i="6"/>
  <c r="AS105" i="6"/>
  <c r="AW105" i="6"/>
  <c r="BI105" i="6"/>
  <c r="BJ105" i="6"/>
  <c r="BK105" i="6"/>
  <c r="BL105" i="6"/>
  <c r="BM105" i="6"/>
  <c r="BN105" i="6"/>
  <c r="BO105" i="6"/>
  <c r="X105" i="6"/>
  <c r="Y105" i="6"/>
  <c r="Z105" i="6"/>
  <c r="AT105" i="6"/>
  <c r="AU105" i="6"/>
  <c r="AV105" i="6"/>
  <c r="BP105" i="6"/>
  <c r="BQ105" i="6"/>
  <c r="BR105" i="6"/>
  <c r="G106" i="6"/>
  <c r="H106" i="6"/>
  <c r="K106" i="6"/>
  <c r="L106" i="6"/>
  <c r="M106" i="6"/>
  <c r="N106" i="6"/>
  <c r="O106" i="6"/>
  <c r="P106" i="6"/>
  <c r="I106" i="6" s="1"/>
  <c r="J106" i="6"/>
  <c r="AC106" i="6"/>
  <c r="AD106" i="6"/>
  <c r="AG106" i="6"/>
  <c r="AH106" i="6"/>
  <c r="AI106" i="6"/>
  <c r="AJ106" i="6"/>
  <c r="AK106" i="6"/>
  <c r="AL106" i="6"/>
  <c r="AE106" i="6" s="1"/>
  <c r="AF106" i="6"/>
  <c r="Q106" i="6"/>
  <c r="R106" i="6"/>
  <c r="S106" i="6"/>
  <c r="T106" i="6"/>
  <c r="U106" i="6"/>
  <c r="V106" i="6"/>
  <c r="W106" i="6"/>
  <c r="AA106" i="6"/>
  <c r="AM106" i="6"/>
  <c r="AN106" i="6"/>
  <c r="AO106" i="6"/>
  <c r="AP106" i="6"/>
  <c r="AQ106" i="6"/>
  <c r="AR106" i="6"/>
  <c r="AS106" i="6"/>
  <c r="AW106" i="6"/>
  <c r="BI106" i="6"/>
  <c r="BJ106" i="6"/>
  <c r="BK106" i="6"/>
  <c r="BL106" i="6"/>
  <c r="BM106" i="6"/>
  <c r="BN106" i="6"/>
  <c r="BO106" i="6"/>
  <c r="X106" i="6"/>
  <c r="Y106" i="6"/>
  <c r="Z106" i="6"/>
  <c r="AT106" i="6"/>
  <c r="AU106" i="6"/>
  <c r="AV106" i="6"/>
  <c r="BP106" i="6"/>
  <c r="BQ106" i="6"/>
  <c r="BS106" i="6"/>
  <c r="BR106" i="6"/>
  <c r="BC106" i="6"/>
  <c r="BD106" i="6"/>
  <c r="BE106" i="6"/>
  <c r="AY106" i="6"/>
  <c r="AZ106" i="6"/>
  <c r="BF106" i="6"/>
  <c r="BG106" i="6"/>
  <c r="BH106" i="6"/>
  <c r="BA106" i="6" s="1"/>
  <c r="BB106" i="6"/>
  <c r="BS107" i="6"/>
  <c r="Q107" i="6"/>
  <c r="R107" i="6"/>
  <c r="S107" i="6"/>
  <c r="T107" i="6"/>
  <c r="U107" i="6"/>
  <c r="V107" i="6"/>
  <c r="W107" i="6"/>
  <c r="AA107" i="6"/>
  <c r="AM107" i="6"/>
  <c r="AN107" i="6"/>
  <c r="AO107" i="6"/>
  <c r="AP107" i="6"/>
  <c r="AQ107" i="6"/>
  <c r="AR107" i="6"/>
  <c r="AS107" i="6"/>
  <c r="AW107" i="6"/>
  <c r="BI107" i="6"/>
  <c r="BJ107" i="6"/>
  <c r="BK107" i="6"/>
  <c r="BL107" i="6"/>
  <c r="BM107" i="6"/>
  <c r="BN107" i="6"/>
  <c r="BO107" i="6"/>
  <c r="X107" i="6"/>
  <c r="Y107" i="6"/>
  <c r="Z107" i="6"/>
  <c r="AT107" i="6"/>
  <c r="AU107" i="6"/>
  <c r="AV107" i="6"/>
  <c r="BP107" i="6"/>
  <c r="BQ107" i="6"/>
  <c r="BR107" i="6"/>
  <c r="BC107" i="6"/>
  <c r="BD107" i="6"/>
  <c r="BE107" i="6"/>
  <c r="AY107" i="6"/>
  <c r="AZ107" i="6"/>
  <c r="BF107" i="6"/>
  <c r="BG107" i="6"/>
  <c r="BH107" i="6"/>
  <c r="BA107" i="6" s="1"/>
  <c r="BB107" i="6"/>
  <c r="G107" i="6"/>
  <c r="K107" i="6"/>
  <c r="L107" i="6"/>
  <c r="M107" i="6"/>
  <c r="N107" i="6"/>
  <c r="O107" i="6"/>
  <c r="P107" i="6"/>
  <c r="H107" i="6"/>
  <c r="I107" i="6"/>
  <c r="J107" i="6"/>
  <c r="AC107" i="6"/>
  <c r="AD107" i="6"/>
  <c r="AG107" i="6"/>
  <c r="AH107" i="6"/>
  <c r="AI107" i="6"/>
  <c r="AJ107" i="6"/>
  <c r="AK107" i="6"/>
  <c r="AL107" i="6"/>
  <c r="AE107" i="6" s="1"/>
  <c r="AF107" i="6"/>
  <c r="Q108" i="6"/>
  <c r="R108" i="6"/>
  <c r="S108" i="6"/>
  <c r="T108" i="6"/>
  <c r="U108" i="6"/>
  <c r="V108" i="6"/>
  <c r="W108" i="6"/>
  <c r="AA108" i="6"/>
  <c r="AM108" i="6"/>
  <c r="AN108" i="6"/>
  <c r="AO108" i="6"/>
  <c r="AP108" i="6"/>
  <c r="AQ108" i="6"/>
  <c r="AR108" i="6"/>
  <c r="AS108" i="6"/>
  <c r="AW108" i="6"/>
  <c r="BI108" i="6"/>
  <c r="BJ108" i="6"/>
  <c r="BK108" i="6"/>
  <c r="BL108" i="6"/>
  <c r="BM108" i="6"/>
  <c r="BN108" i="6"/>
  <c r="BO108" i="6"/>
  <c r="X108" i="6"/>
  <c r="Y108" i="6"/>
  <c r="Z108" i="6"/>
  <c r="AT108" i="6"/>
  <c r="AU108" i="6"/>
  <c r="AV108" i="6"/>
  <c r="BP108" i="6"/>
  <c r="BQ108" i="6"/>
  <c r="BS108" i="6"/>
  <c r="BR108" i="6"/>
  <c r="BC108" i="6"/>
  <c r="BD108" i="6"/>
  <c r="BE108" i="6"/>
  <c r="AY108" i="6"/>
  <c r="AZ108" i="6"/>
  <c r="BF108" i="6"/>
  <c r="BG108" i="6"/>
  <c r="BH108" i="6"/>
  <c r="BA108" i="6" s="1"/>
  <c r="BB108" i="6"/>
  <c r="G108" i="6"/>
  <c r="K108" i="6"/>
  <c r="L108" i="6"/>
  <c r="M108" i="6"/>
  <c r="N108" i="6"/>
  <c r="O108" i="6"/>
  <c r="P108" i="6"/>
  <c r="H108" i="6"/>
  <c r="I108" i="6"/>
  <c r="J108" i="6"/>
  <c r="AC108" i="6"/>
  <c r="AD108" i="6"/>
  <c r="AG108" i="6"/>
  <c r="AH108" i="6"/>
  <c r="AI108" i="6"/>
  <c r="AJ108" i="6"/>
  <c r="AK108" i="6"/>
  <c r="AL108" i="6"/>
  <c r="AE108" i="6" s="1"/>
  <c r="AF108" i="6"/>
  <c r="AC109" i="6"/>
  <c r="AD109" i="6"/>
  <c r="AG109" i="6"/>
  <c r="AH109" i="6"/>
  <c r="AI109" i="6"/>
  <c r="AJ109" i="6"/>
  <c r="AK109" i="6"/>
  <c r="AL109" i="6"/>
  <c r="AE109" i="6" s="1"/>
  <c r="AF109" i="6"/>
  <c r="G109" i="6"/>
  <c r="H109" i="6"/>
  <c r="K109" i="6"/>
  <c r="L109" i="6"/>
  <c r="M109" i="6"/>
  <c r="N109" i="6"/>
  <c r="O109" i="6"/>
  <c r="P109" i="6"/>
  <c r="I109" i="6" s="1"/>
  <c r="J109" i="6"/>
  <c r="BS109" i="6"/>
  <c r="Q109" i="6"/>
  <c r="R109" i="6"/>
  <c r="S109" i="6"/>
  <c r="T109" i="6"/>
  <c r="U109" i="6"/>
  <c r="V109" i="6"/>
  <c r="W109" i="6"/>
  <c r="AA109" i="6"/>
  <c r="AM109" i="6"/>
  <c r="AN109" i="6"/>
  <c r="AO109" i="6"/>
  <c r="AP109" i="6"/>
  <c r="AQ109" i="6"/>
  <c r="AR109" i="6"/>
  <c r="AS109" i="6"/>
  <c r="AW109" i="6"/>
  <c r="BI109" i="6"/>
  <c r="BJ109" i="6"/>
  <c r="BK109" i="6"/>
  <c r="BL109" i="6"/>
  <c r="BM109" i="6"/>
  <c r="BN109" i="6"/>
  <c r="BO109" i="6"/>
  <c r="X109" i="6"/>
  <c r="Y109" i="6"/>
  <c r="Z109" i="6"/>
  <c r="AT109" i="6"/>
  <c r="AU109" i="6"/>
  <c r="AV109" i="6"/>
  <c r="BP109" i="6"/>
  <c r="BQ109" i="6"/>
  <c r="BR109" i="6"/>
  <c r="BC109" i="6"/>
  <c r="BD109" i="6"/>
  <c r="BE109" i="6"/>
  <c r="AY109" i="6"/>
  <c r="AZ109" i="6"/>
  <c r="BF109" i="6"/>
  <c r="BG109" i="6"/>
  <c r="BH109" i="6"/>
  <c r="BA109" i="6" s="1"/>
  <c r="BB109" i="6"/>
  <c r="AC110" i="6"/>
  <c r="AD110" i="6"/>
  <c r="AG110" i="6"/>
  <c r="AH110" i="6"/>
  <c r="AI110" i="6"/>
  <c r="AJ110" i="6"/>
  <c r="AK110" i="6"/>
  <c r="AL110" i="6"/>
  <c r="AE110" i="6" s="1"/>
  <c r="AF110" i="6"/>
  <c r="Q110" i="6"/>
  <c r="R110" i="6"/>
  <c r="S110" i="6"/>
  <c r="T110" i="6"/>
  <c r="U110" i="6"/>
  <c r="V110" i="6"/>
  <c r="W110" i="6"/>
  <c r="AA110" i="6"/>
  <c r="AM110" i="6"/>
  <c r="AN110" i="6"/>
  <c r="AO110" i="6"/>
  <c r="AP110" i="6"/>
  <c r="AQ110" i="6"/>
  <c r="AR110" i="6"/>
  <c r="AS110" i="6"/>
  <c r="AW110" i="6"/>
  <c r="BI110" i="6"/>
  <c r="BJ110" i="6"/>
  <c r="BK110" i="6"/>
  <c r="BL110" i="6"/>
  <c r="BM110" i="6"/>
  <c r="BN110" i="6"/>
  <c r="BO110" i="6"/>
  <c r="X110" i="6"/>
  <c r="Y110" i="6"/>
  <c r="Z110" i="6"/>
  <c r="AT110" i="6"/>
  <c r="AU110" i="6"/>
  <c r="AV110" i="6"/>
  <c r="BP110" i="6"/>
  <c r="BQ110" i="6"/>
  <c r="BS110" i="6"/>
  <c r="BR110" i="6"/>
  <c r="BC110" i="6"/>
  <c r="BD110" i="6"/>
  <c r="BE110" i="6"/>
  <c r="AY110" i="6"/>
  <c r="AZ110" i="6"/>
  <c r="BF110" i="6"/>
  <c r="BG110" i="6"/>
  <c r="BH110" i="6"/>
  <c r="BA110" i="6" s="1"/>
  <c r="BB110" i="6"/>
  <c r="G110" i="6"/>
  <c r="K110" i="6"/>
  <c r="L110" i="6"/>
  <c r="M110" i="6"/>
  <c r="N110" i="6"/>
  <c r="O110" i="6"/>
  <c r="P110" i="6"/>
  <c r="I110" i="6" s="1"/>
  <c r="H110" i="6"/>
  <c r="J110" i="6"/>
  <c r="AC111" i="6"/>
  <c r="AD111" i="6"/>
  <c r="AG111" i="6"/>
  <c r="AH111" i="6"/>
  <c r="AI111" i="6"/>
  <c r="AJ111" i="6"/>
  <c r="AK111" i="6"/>
  <c r="AL111" i="6"/>
  <c r="AE111" i="6" s="1"/>
  <c r="AF111" i="6"/>
  <c r="G111" i="6"/>
  <c r="K111" i="6"/>
  <c r="L111" i="6"/>
  <c r="M111" i="6"/>
  <c r="N111" i="6"/>
  <c r="O111" i="6"/>
  <c r="P111" i="6"/>
  <c r="H111" i="6"/>
  <c r="I111" i="6"/>
  <c r="J111" i="6"/>
  <c r="BS111" i="6"/>
  <c r="Q111" i="6"/>
  <c r="R111" i="6"/>
  <c r="S111" i="6"/>
  <c r="T111" i="6"/>
  <c r="U111" i="6"/>
  <c r="V111" i="6"/>
  <c r="W111" i="6"/>
  <c r="AA111" i="6"/>
  <c r="AM111" i="6"/>
  <c r="AN111" i="6"/>
  <c r="AO111" i="6"/>
  <c r="AP111" i="6"/>
  <c r="AQ111" i="6"/>
  <c r="AR111" i="6"/>
  <c r="AS111" i="6"/>
  <c r="AW111" i="6"/>
  <c r="BI111" i="6"/>
  <c r="BJ111" i="6"/>
  <c r="BK111" i="6"/>
  <c r="BL111" i="6"/>
  <c r="BM111" i="6"/>
  <c r="BN111" i="6"/>
  <c r="BO111" i="6"/>
  <c r="X111" i="6"/>
  <c r="Y111" i="6"/>
  <c r="Z111" i="6"/>
  <c r="AT111" i="6"/>
  <c r="AU111" i="6"/>
  <c r="AV111" i="6"/>
  <c r="BP111" i="6"/>
  <c r="BQ111" i="6"/>
  <c r="BR111" i="6"/>
  <c r="BC111" i="6"/>
  <c r="BD111" i="6"/>
  <c r="BE111" i="6"/>
  <c r="AY111" i="6"/>
  <c r="AZ111" i="6"/>
  <c r="BF111" i="6"/>
  <c r="BG111" i="6"/>
  <c r="BH111" i="6"/>
  <c r="AC112" i="6"/>
  <c r="AD112" i="6"/>
  <c r="AG112" i="6"/>
  <c r="AH112" i="6"/>
  <c r="AI112" i="6"/>
  <c r="AJ112" i="6"/>
  <c r="AK112" i="6"/>
  <c r="AL112" i="6"/>
  <c r="Q112" i="6"/>
  <c r="R112" i="6"/>
  <c r="S112" i="6"/>
  <c r="T112" i="6"/>
  <c r="U112" i="6"/>
  <c r="V112" i="6"/>
  <c r="W112" i="6"/>
  <c r="AA112" i="6"/>
  <c r="AM112" i="6"/>
  <c r="AN112" i="6"/>
  <c r="AO112" i="6"/>
  <c r="AP112" i="6"/>
  <c r="AQ112" i="6"/>
  <c r="AR112" i="6"/>
  <c r="AS112" i="6"/>
  <c r="AW112" i="6"/>
  <c r="BI112" i="6"/>
  <c r="BJ112" i="6"/>
  <c r="BK112" i="6"/>
  <c r="BL112" i="6"/>
  <c r="BM112" i="6"/>
  <c r="BN112" i="6"/>
  <c r="BO112" i="6"/>
  <c r="X112" i="6"/>
  <c r="Y112" i="6"/>
  <c r="Z112" i="6"/>
  <c r="AT112" i="6"/>
  <c r="AU112" i="6"/>
  <c r="AV112" i="6"/>
  <c r="BP112" i="6"/>
  <c r="BQ112" i="6"/>
  <c r="BS112" i="6"/>
  <c r="BR112" i="6"/>
  <c r="BC112" i="6"/>
  <c r="BD112" i="6"/>
  <c r="BE112" i="6"/>
  <c r="AY112" i="6"/>
  <c r="AZ112" i="6"/>
  <c r="BF112" i="6"/>
  <c r="BG112" i="6"/>
  <c r="BH112" i="6"/>
  <c r="G112" i="6"/>
  <c r="H112" i="6"/>
  <c r="K112" i="6"/>
  <c r="L112" i="6"/>
  <c r="M112" i="6"/>
  <c r="N112" i="6"/>
  <c r="O112" i="6"/>
  <c r="P112" i="6"/>
  <c r="AC113" i="6"/>
  <c r="AD113" i="6"/>
  <c r="AG113" i="6"/>
  <c r="AH113" i="6"/>
  <c r="AI113" i="6"/>
  <c r="AJ113" i="6"/>
  <c r="AK113" i="6"/>
  <c r="AL113" i="6"/>
  <c r="AE113" i="6" s="1"/>
  <c r="AF113" i="6"/>
  <c r="BS113" i="6"/>
  <c r="Q113" i="6"/>
  <c r="R113" i="6"/>
  <c r="S113" i="6"/>
  <c r="T113" i="6"/>
  <c r="U113" i="6"/>
  <c r="V113" i="6"/>
  <c r="W113" i="6"/>
  <c r="AA113" i="6"/>
  <c r="AM113" i="6"/>
  <c r="AN113" i="6"/>
  <c r="AO113" i="6"/>
  <c r="AP113" i="6"/>
  <c r="AQ113" i="6"/>
  <c r="AR113" i="6"/>
  <c r="AS113" i="6"/>
  <c r="AW113" i="6"/>
  <c r="BI113" i="6"/>
  <c r="BJ113" i="6"/>
  <c r="BK113" i="6"/>
  <c r="BL113" i="6"/>
  <c r="BM113" i="6"/>
  <c r="BN113" i="6"/>
  <c r="BO113" i="6"/>
  <c r="X113" i="6"/>
  <c r="Y113" i="6"/>
  <c r="Z113" i="6"/>
  <c r="AT113" i="6"/>
  <c r="AU113" i="6"/>
  <c r="AV113" i="6"/>
  <c r="BP113" i="6"/>
  <c r="BQ113" i="6"/>
  <c r="BR113" i="6"/>
  <c r="BC113" i="6"/>
  <c r="BD113" i="6"/>
  <c r="BE113" i="6"/>
  <c r="AY113" i="6"/>
  <c r="AZ113" i="6"/>
  <c r="BF113" i="6"/>
  <c r="BG113" i="6"/>
  <c r="BH113" i="6"/>
  <c r="G113" i="6"/>
  <c r="K113" i="6"/>
  <c r="L113" i="6"/>
  <c r="M113" i="6"/>
  <c r="N113" i="6"/>
  <c r="O113" i="6"/>
  <c r="P113" i="6"/>
  <c r="H113" i="6"/>
  <c r="AC114" i="6"/>
  <c r="AD114" i="6"/>
  <c r="AG114" i="6"/>
  <c r="AH114" i="6"/>
  <c r="AI114" i="6"/>
  <c r="AJ114" i="6"/>
  <c r="AK114" i="6"/>
  <c r="AL114" i="6"/>
  <c r="Q114" i="6"/>
  <c r="R114" i="6"/>
  <c r="S114" i="6"/>
  <c r="T114" i="6"/>
  <c r="U114" i="6"/>
  <c r="V114" i="6"/>
  <c r="W114" i="6"/>
  <c r="AA114" i="6"/>
  <c r="AM114" i="6"/>
  <c r="AN114" i="6"/>
  <c r="AO114" i="6"/>
  <c r="AP114" i="6"/>
  <c r="AQ114" i="6"/>
  <c r="AR114" i="6"/>
  <c r="AS114" i="6"/>
  <c r="AW114" i="6"/>
  <c r="BI114" i="6"/>
  <c r="BJ114" i="6"/>
  <c r="BK114" i="6"/>
  <c r="BL114" i="6"/>
  <c r="BM114" i="6"/>
  <c r="BN114" i="6"/>
  <c r="BO114" i="6"/>
  <c r="X114" i="6"/>
  <c r="Y114" i="6"/>
  <c r="Z114" i="6"/>
  <c r="AT114" i="6"/>
  <c r="AU114" i="6"/>
  <c r="AV114" i="6"/>
  <c r="BP114" i="6"/>
  <c r="BQ114" i="6"/>
  <c r="BS114" i="6"/>
  <c r="BR114" i="6"/>
  <c r="BC114" i="6"/>
  <c r="BD114" i="6"/>
  <c r="BE114" i="6"/>
  <c r="AY114" i="6"/>
  <c r="AZ114" i="6"/>
  <c r="BF114" i="6"/>
  <c r="BG114" i="6"/>
  <c r="BH114" i="6"/>
  <c r="G114" i="6"/>
  <c r="H114" i="6"/>
  <c r="K114" i="6"/>
  <c r="L114" i="6"/>
  <c r="M114" i="6"/>
  <c r="N114" i="6"/>
  <c r="O114" i="6"/>
  <c r="P114" i="6"/>
  <c r="AC115" i="6"/>
  <c r="AD115" i="6"/>
  <c r="AG115" i="6"/>
  <c r="AH115" i="6"/>
  <c r="AI115" i="6"/>
  <c r="AJ115" i="6"/>
  <c r="AK115" i="6"/>
  <c r="AL115" i="6"/>
  <c r="AE115" i="6" s="1"/>
  <c r="AF115" i="6"/>
  <c r="BC115" i="6"/>
  <c r="BD115" i="6"/>
  <c r="BE115" i="6"/>
  <c r="AY115" i="6"/>
  <c r="AZ115" i="6"/>
  <c r="BF115" i="6"/>
  <c r="BG115" i="6"/>
  <c r="BH115" i="6"/>
  <c r="Q115" i="6"/>
  <c r="R115" i="6"/>
  <c r="S115" i="6"/>
  <c r="T115" i="6"/>
  <c r="U115" i="6"/>
  <c r="V115" i="6"/>
  <c r="W115" i="6"/>
  <c r="AA115" i="6"/>
  <c r="AM115" i="6"/>
  <c r="AN115" i="6"/>
  <c r="AO115" i="6"/>
  <c r="AP115" i="6"/>
  <c r="AQ115" i="6"/>
  <c r="AR115" i="6"/>
  <c r="AS115" i="6"/>
  <c r="AW115" i="6"/>
  <c r="BI115" i="6"/>
  <c r="BJ115" i="6"/>
  <c r="BK115" i="6"/>
  <c r="BL115" i="6"/>
  <c r="BM115" i="6"/>
  <c r="BN115" i="6"/>
  <c r="BO115" i="6"/>
  <c r="X115" i="6"/>
  <c r="Y115" i="6"/>
  <c r="Z115" i="6"/>
  <c r="AT115" i="6"/>
  <c r="AU115" i="6"/>
  <c r="AV115" i="6"/>
  <c r="BP115" i="6"/>
  <c r="BQ115" i="6"/>
  <c r="BS115" i="6"/>
  <c r="BR115" i="6"/>
  <c r="G115" i="6"/>
  <c r="K115" i="6"/>
  <c r="L115" i="6"/>
  <c r="M115" i="6"/>
  <c r="N115" i="6"/>
  <c r="O115" i="6"/>
  <c r="P115" i="6"/>
  <c r="H115" i="6"/>
  <c r="I115" i="6"/>
  <c r="J115" i="6"/>
  <c r="AC116" i="6"/>
  <c r="AD116" i="6"/>
  <c r="AG116" i="6"/>
  <c r="AH116" i="6"/>
  <c r="AI116" i="6"/>
  <c r="AJ116" i="6"/>
  <c r="AK116" i="6"/>
  <c r="AL116" i="6"/>
  <c r="AE116" i="6" s="1"/>
  <c r="AF116" i="6"/>
  <c r="G116" i="6"/>
  <c r="K116" i="6"/>
  <c r="L116" i="6"/>
  <c r="M116" i="6"/>
  <c r="N116" i="6"/>
  <c r="O116" i="6"/>
  <c r="P116" i="6"/>
  <c r="H116" i="6"/>
  <c r="BS116" i="6"/>
  <c r="Q116" i="6"/>
  <c r="R116" i="6"/>
  <c r="S116" i="6"/>
  <c r="T116" i="6"/>
  <c r="U116" i="6"/>
  <c r="V116" i="6"/>
  <c r="W116" i="6"/>
  <c r="AA116" i="6"/>
  <c r="AM116" i="6"/>
  <c r="AN116" i="6"/>
  <c r="AO116" i="6"/>
  <c r="AP116" i="6"/>
  <c r="AQ116" i="6"/>
  <c r="AR116" i="6"/>
  <c r="AS116" i="6"/>
  <c r="AW116" i="6"/>
  <c r="BI116" i="6"/>
  <c r="BJ116" i="6"/>
  <c r="BK116" i="6"/>
  <c r="BL116" i="6"/>
  <c r="BM116" i="6"/>
  <c r="BN116" i="6"/>
  <c r="BO116" i="6"/>
  <c r="X116" i="6"/>
  <c r="Y116" i="6"/>
  <c r="Z116" i="6"/>
  <c r="AT116" i="6"/>
  <c r="AU116" i="6"/>
  <c r="AV116" i="6"/>
  <c r="BP116" i="6"/>
  <c r="BQ116" i="6"/>
  <c r="BR116" i="6"/>
  <c r="BC116" i="6"/>
  <c r="BD116" i="6"/>
  <c r="BE116" i="6"/>
  <c r="AY116" i="6"/>
  <c r="AZ116" i="6"/>
  <c r="BF116" i="6"/>
  <c r="BG116" i="6"/>
  <c r="BH116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AA117" i="6"/>
  <c r="AM117" i="6"/>
  <c r="AN117" i="6"/>
  <c r="AO117" i="6"/>
  <c r="AP117" i="6"/>
  <c r="AQ117" i="6"/>
  <c r="AR117" i="6"/>
  <c r="AS117" i="6"/>
  <c r="AW117" i="6"/>
  <c r="BI117" i="6"/>
  <c r="BJ117" i="6"/>
  <c r="BK117" i="6"/>
  <c r="BL117" i="6"/>
  <c r="BM117" i="6"/>
  <c r="BN117" i="6"/>
  <c r="BO117" i="6"/>
  <c r="X117" i="6"/>
  <c r="Y117" i="6"/>
  <c r="Z117" i="6"/>
  <c r="AT117" i="6"/>
  <c r="AU117" i="6"/>
  <c r="AV117" i="6"/>
  <c r="BP117" i="6"/>
  <c r="BQ117" i="6"/>
  <c r="BS117" i="6"/>
  <c r="BR117" i="6"/>
  <c r="AC117" i="6"/>
  <c r="AD117" i="6"/>
  <c r="AG117" i="6"/>
  <c r="AH117" i="6"/>
  <c r="AI117" i="6"/>
  <c r="AJ117" i="6"/>
  <c r="AK117" i="6"/>
  <c r="AL117" i="6"/>
  <c r="AE117" i="6" s="1"/>
  <c r="AF117" i="6"/>
  <c r="BC117" i="6"/>
  <c r="BD117" i="6"/>
  <c r="BE117" i="6"/>
  <c r="AY117" i="6"/>
  <c r="AZ117" i="6"/>
  <c r="BF117" i="6"/>
  <c r="BG117" i="6"/>
  <c r="BH117" i="6"/>
  <c r="BA117" i="6" s="1"/>
  <c r="BB117" i="6"/>
  <c r="BC118" i="6"/>
  <c r="BD118" i="6"/>
  <c r="BE118" i="6"/>
  <c r="AY118" i="6"/>
  <c r="AZ118" i="6"/>
  <c r="BF118" i="6"/>
  <c r="BG118" i="6"/>
  <c r="BH118" i="6"/>
  <c r="BA118" i="6" s="1"/>
  <c r="BB118" i="6"/>
  <c r="AC118" i="6"/>
  <c r="AD118" i="6"/>
  <c r="AG118" i="6"/>
  <c r="AH118" i="6"/>
  <c r="AI118" i="6"/>
  <c r="AJ118" i="6"/>
  <c r="AK118" i="6"/>
  <c r="AL118" i="6"/>
  <c r="AE118" i="6" s="1"/>
  <c r="AF118" i="6"/>
  <c r="G118" i="6"/>
  <c r="K118" i="6"/>
  <c r="L118" i="6"/>
  <c r="M118" i="6"/>
  <c r="N118" i="6"/>
  <c r="O118" i="6"/>
  <c r="P118" i="6"/>
  <c r="I118" i="6" s="1"/>
  <c r="H118" i="6"/>
  <c r="J118" i="6"/>
  <c r="BS118" i="6"/>
  <c r="Q118" i="6"/>
  <c r="R118" i="6"/>
  <c r="S118" i="6"/>
  <c r="T118" i="6"/>
  <c r="U118" i="6"/>
  <c r="V118" i="6"/>
  <c r="W118" i="6"/>
  <c r="AA118" i="6"/>
  <c r="AM118" i="6"/>
  <c r="AN118" i="6"/>
  <c r="AO118" i="6"/>
  <c r="AP118" i="6"/>
  <c r="AQ118" i="6"/>
  <c r="AR118" i="6"/>
  <c r="AS118" i="6"/>
  <c r="AW118" i="6"/>
  <c r="BI118" i="6"/>
  <c r="BJ118" i="6"/>
  <c r="BK118" i="6"/>
  <c r="BL118" i="6"/>
  <c r="BM118" i="6"/>
  <c r="BN118" i="6"/>
  <c r="BO118" i="6"/>
  <c r="X118" i="6"/>
  <c r="Y118" i="6"/>
  <c r="Z118" i="6"/>
  <c r="AT118" i="6"/>
  <c r="AU118" i="6"/>
  <c r="AV118" i="6"/>
  <c r="BP118" i="6"/>
  <c r="BQ118" i="6"/>
  <c r="BR118" i="6"/>
  <c r="AC119" i="6"/>
  <c r="AD119" i="6"/>
  <c r="AG119" i="6"/>
  <c r="AH119" i="6"/>
  <c r="AI119" i="6"/>
  <c r="AJ119" i="6"/>
  <c r="AK119" i="6"/>
  <c r="AL119" i="6"/>
  <c r="AE119" i="6" s="1"/>
  <c r="AF119" i="6"/>
  <c r="G119" i="6"/>
  <c r="K119" i="6"/>
  <c r="L119" i="6"/>
  <c r="M119" i="6"/>
  <c r="N119" i="6"/>
  <c r="O119" i="6"/>
  <c r="P119" i="6"/>
  <c r="H119" i="6"/>
  <c r="I119" i="6"/>
  <c r="J119" i="6"/>
  <c r="Q119" i="6"/>
  <c r="R119" i="6"/>
  <c r="S119" i="6"/>
  <c r="T119" i="6"/>
  <c r="U119" i="6"/>
  <c r="V119" i="6"/>
  <c r="W119" i="6"/>
  <c r="AA119" i="6"/>
  <c r="AM119" i="6"/>
  <c r="AN119" i="6"/>
  <c r="AO119" i="6"/>
  <c r="AP119" i="6"/>
  <c r="AQ119" i="6"/>
  <c r="AR119" i="6"/>
  <c r="AS119" i="6"/>
  <c r="AW119" i="6"/>
  <c r="BI119" i="6"/>
  <c r="BJ119" i="6"/>
  <c r="BK119" i="6"/>
  <c r="BL119" i="6"/>
  <c r="BM119" i="6"/>
  <c r="BN119" i="6"/>
  <c r="BO119" i="6"/>
  <c r="Y119" i="6"/>
  <c r="Z119" i="6"/>
  <c r="AT119" i="6"/>
  <c r="AU119" i="6"/>
  <c r="AV119" i="6"/>
  <c r="BP119" i="6"/>
  <c r="BQ119" i="6"/>
  <c r="BS119" i="6"/>
  <c r="X119" i="6"/>
  <c r="BR119" i="6"/>
  <c r="BC119" i="6"/>
  <c r="BD119" i="6"/>
  <c r="BE119" i="6"/>
  <c r="AY119" i="6"/>
  <c r="AZ119" i="6"/>
  <c r="BF119" i="6"/>
  <c r="BG119" i="6"/>
  <c r="BH119" i="6"/>
  <c r="BA119" i="6" s="1"/>
  <c r="BB119" i="6"/>
  <c r="AC120" i="6"/>
  <c r="AD120" i="6"/>
  <c r="AG120" i="6"/>
  <c r="AH120" i="6"/>
  <c r="AI120" i="6"/>
  <c r="AJ120" i="6"/>
  <c r="AK120" i="6"/>
  <c r="AL120" i="6"/>
  <c r="AE120" i="6" s="1"/>
  <c r="AF120" i="6"/>
  <c r="G120" i="6"/>
  <c r="H120" i="6"/>
  <c r="K120" i="6"/>
  <c r="L120" i="6"/>
  <c r="M120" i="6"/>
  <c r="N120" i="6"/>
  <c r="O120" i="6"/>
  <c r="P120" i="6"/>
  <c r="I120" i="6"/>
  <c r="J120" i="6"/>
  <c r="BS120" i="6"/>
  <c r="Q120" i="6"/>
  <c r="R120" i="6"/>
  <c r="S120" i="6"/>
  <c r="T120" i="6"/>
  <c r="U120" i="6"/>
  <c r="V120" i="6"/>
  <c r="W120" i="6"/>
  <c r="AA120" i="6"/>
  <c r="AM120" i="6"/>
  <c r="AN120" i="6"/>
  <c r="AO120" i="6"/>
  <c r="AP120" i="6"/>
  <c r="AQ120" i="6"/>
  <c r="AR120" i="6"/>
  <c r="AS120" i="6"/>
  <c r="AW120" i="6"/>
  <c r="BI120" i="6"/>
  <c r="BJ120" i="6"/>
  <c r="BK120" i="6"/>
  <c r="BL120" i="6"/>
  <c r="BM120" i="6"/>
  <c r="BN120" i="6"/>
  <c r="BO120" i="6"/>
  <c r="X120" i="6"/>
  <c r="Y120" i="6"/>
  <c r="Z120" i="6"/>
  <c r="AT120" i="6"/>
  <c r="AU120" i="6"/>
  <c r="AV120" i="6"/>
  <c r="BP120" i="6"/>
  <c r="BQ120" i="6"/>
  <c r="BR120" i="6"/>
  <c r="BC120" i="6"/>
  <c r="BD120" i="6"/>
  <c r="BE120" i="6"/>
  <c r="AY120" i="6"/>
  <c r="AZ120" i="6"/>
  <c r="BF120" i="6"/>
  <c r="BG120" i="6"/>
  <c r="BH120" i="6"/>
  <c r="BA120" i="6" s="1"/>
  <c r="BB120" i="6"/>
  <c r="BC121" i="6"/>
  <c r="BD121" i="6"/>
  <c r="BE121" i="6"/>
  <c r="AY121" i="6"/>
  <c r="AZ121" i="6"/>
  <c r="BF121" i="6"/>
  <c r="BG121" i="6"/>
  <c r="BH121" i="6"/>
  <c r="BA121" i="6" s="1"/>
  <c r="BB121" i="6"/>
  <c r="G121" i="6"/>
  <c r="K121" i="6"/>
  <c r="L121" i="6"/>
  <c r="M121" i="6"/>
  <c r="N121" i="6"/>
  <c r="O121" i="6"/>
  <c r="P121" i="6"/>
  <c r="H121" i="6"/>
  <c r="I121" i="6"/>
  <c r="J121" i="6"/>
  <c r="AC121" i="6"/>
  <c r="AD121" i="6"/>
  <c r="AG121" i="6"/>
  <c r="AH121" i="6"/>
  <c r="AI121" i="6"/>
  <c r="AJ121" i="6"/>
  <c r="AK121" i="6"/>
  <c r="AL121" i="6"/>
  <c r="AE121" i="6" s="1"/>
  <c r="AF121" i="6"/>
  <c r="Q121" i="6"/>
  <c r="R121" i="6"/>
  <c r="S121" i="6"/>
  <c r="T121" i="6"/>
  <c r="U121" i="6"/>
  <c r="V121" i="6"/>
  <c r="W121" i="6"/>
  <c r="AA121" i="6"/>
  <c r="AM121" i="6"/>
  <c r="AN121" i="6"/>
  <c r="AO121" i="6"/>
  <c r="AP121" i="6"/>
  <c r="AQ121" i="6"/>
  <c r="AR121" i="6"/>
  <c r="AS121" i="6"/>
  <c r="AW121" i="6"/>
  <c r="BI121" i="6"/>
  <c r="BJ121" i="6"/>
  <c r="BK121" i="6"/>
  <c r="BL121" i="6"/>
  <c r="BM121" i="6"/>
  <c r="BN121" i="6"/>
  <c r="BO121" i="6"/>
  <c r="Y121" i="6"/>
  <c r="Z121" i="6"/>
  <c r="AT121" i="6"/>
  <c r="AU121" i="6"/>
  <c r="AV121" i="6"/>
  <c r="BP121" i="6"/>
  <c r="BQ121" i="6"/>
  <c r="BS121" i="6"/>
  <c r="X121" i="6"/>
  <c r="BR121" i="6"/>
  <c r="G122" i="6"/>
  <c r="H122" i="6"/>
  <c r="K122" i="6"/>
  <c r="L122" i="6"/>
  <c r="M122" i="6"/>
  <c r="N122" i="6"/>
  <c r="O122" i="6"/>
  <c r="P122" i="6"/>
  <c r="I122" i="6" s="1"/>
  <c r="J122" i="6"/>
  <c r="BC122" i="6"/>
  <c r="BD122" i="6"/>
  <c r="BE122" i="6"/>
  <c r="AY122" i="6"/>
  <c r="AZ122" i="6"/>
  <c r="BF122" i="6"/>
  <c r="BG122" i="6"/>
  <c r="BH122" i="6"/>
  <c r="BA122" i="6" s="1"/>
  <c r="BB122" i="6"/>
  <c r="AC122" i="6"/>
  <c r="AD122" i="6"/>
  <c r="AG122" i="6"/>
  <c r="AH122" i="6"/>
  <c r="AI122" i="6"/>
  <c r="AJ122" i="6"/>
  <c r="AK122" i="6"/>
  <c r="AL122" i="6"/>
  <c r="AE122" i="6" s="1"/>
  <c r="AF122" i="6"/>
  <c r="Q122" i="6"/>
  <c r="R122" i="6"/>
  <c r="S122" i="6"/>
  <c r="T122" i="6"/>
  <c r="U122" i="6"/>
  <c r="V122" i="6"/>
  <c r="W122" i="6"/>
  <c r="AA122" i="6"/>
  <c r="AM122" i="6"/>
  <c r="AN122" i="6"/>
  <c r="AO122" i="6"/>
  <c r="AP122" i="6"/>
  <c r="AQ122" i="6"/>
  <c r="AR122" i="6"/>
  <c r="AS122" i="6"/>
  <c r="AW122" i="6"/>
  <c r="BI122" i="6"/>
  <c r="BJ122" i="6"/>
  <c r="BK122" i="6"/>
  <c r="BL122" i="6"/>
  <c r="BM122" i="6"/>
  <c r="BN122" i="6"/>
  <c r="BO122" i="6"/>
  <c r="X122" i="6"/>
  <c r="Y122" i="6"/>
  <c r="Z122" i="6"/>
  <c r="AT122" i="6"/>
  <c r="AU122" i="6"/>
  <c r="AV122" i="6"/>
  <c r="BP122" i="6"/>
  <c r="BQ122" i="6"/>
  <c r="BS122" i="6"/>
  <c r="BR122" i="6"/>
  <c r="BC123" i="6"/>
  <c r="BD123" i="6"/>
  <c r="BE123" i="6"/>
  <c r="AY123" i="6"/>
  <c r="AZ123" i="6"/>
  <c r="BF123" i="6"/>
  <c r="BG123" i="6"/>
  <c r="BH123" i="6"/>
  <c r="BA123" i="6" s="1"/>
  <c r="BB123" i="6"/>
  <c r="AC123" i="6"/>
  <c r="AD123" i="6"/>
  <c r="AG123" i="6"/>
  <c r="AH123" i="6"/>
  <c r="AI123" i="6"/>
  <c r="AJ123" i="6"/>
  <c r="AK123" i="6"/>
  <c r="AL123" i="6"/>
  <c r="AE123" i="6" s="1"/>
  <c r="AF123" i="6"/>
  <c r="BS123" i="6"/>
  <c r="Q123" i="6"/>
  <c r="R123" i="6"/>
  <c r="S123" i="6"/>
  <c r="T123" i="6"/>
  <c r="U123" i="6"/>
  <c r="V123" i="6"/>
  <c r="W123" i="6"/>
  <c r="AA123" i="6"/>
  <c r="AM123" i="6"/>
  <c r="AN123" i="6"/>
  <c r="AO123" i="6"/>
  <c r="AP123" i="6"/>
  <c r="AQ123" i="6"/>
  <c r="AR123" i="6"/>
  <c r="AS123" i="6"/>
  <c r="AW123" i="6"/>
  <c r="BI123" i="6"/>
  <c r="BJ123" i="6"/>
  <c r="BK123" i="6"/>
  <c r="BL123" i="6"/>
  <c r="BM123" i="6"/>
  <c r="BN123" i="6"/>
  <c r="BO123" i="6"/>
  <c r="Y123" i="6"/>
  <c r="Z123" i="6"/>
  <c r="AT123" i="6"/>
  <c r="AU123" i="6"/>
  <c r="AV123" i="6"/>
  <c r="BP123" i="6"/>
  <c r="BQ123" i="6"/>
  <c r="X123" i="6"/>
  <c r="BR123" i="6"/>
  <c r="G123" i="6"/>
  <c r="K123" i="6"/>
  <c r="L123" i="6"/>
  <c r="M123" i="6"/>
  <c r="N123" i="6"/>
  <c r="O123" i="6"/>
  <c r="P123" i="6"/>
  <c r="I123" i="6"/>
  <c r="H123" i="6"/>
  <c r="J123" i="6"/>
  <c r="BC124" i="6"/>
  <c r="BD124" i="6"/>
  <c r="BE124" i="6"/>
  <c r="AY124" i="6"/>
  <c r="AZ124" i="6"/>
  <c r="BF124" i="6"/>
  <c r="BG124" i="6"/>
  <c r="BH124" i="6"/>
  <c r="BA124" i="6" s="1"/>
  <c r="BB124" i="6"/>
  <c r="Q124" i="6"/>
  <c r="R124" i="6"/>
  <c r="S124" i="6"/>
  <c r="T124" i="6"/>
  <c r="U124" i="6"/>
  <c r="V124" i="6"/>
  <c r="W124" i="6"/>
  <c r="AA124" i="6"/>
  <c r="AM124" i="6"/>
  <c r="AN124" i="6"/>
  <c r="AO124" i="6"/>
  <c r="AP124" i="6"/>
  <c r="AQ124" i="6"/>
  <c r="AR124" i="6"/>
  <c r="AS124" i="6"/>
  <c r="AW124" i="6"/>
  <c r="BI124" i="6"/>
  <c r="BJ124" i="6"/>
  <c r="BK124" i="6"/>
  <c r="BL124" i="6"/>
  <c r="BM124" i="6"/>
  <c r="BN124" i="6"/>
  <c r="BO124" i="6"/>
  <c r="X124" i="6"/>
  <c r="Y124" i="6"/>
  <c r="Z124" i="6"/>
  <c r="AT124" i="6"/>
  <c r="AU124" i="6"/>
  <c r="AV124" i="6"/>
  <c r="BP124" i="6"/>
  <c r="BQ124" i="6"/>
  <c r="BS124" i="6"/>
  <c r="BR124" i="6"/>
  <c r="G124" i="6"/>
  <c r="K124" i="6"/>
  <c r="L124" i="6"/>
  <c r="M124" i="6"/>
  <c r="N124" i="6"/>
  <c r="O124" i="6"/>
  <c r="P124" i="6"/>
  <c r="H124" i="6"/>
  <c r="I124" i="6"/>
  <c r="J124" i="6"/>
  <c r="AC124" i="6"/>
  <c r="AD124" i="6"/>
  <c r="AG124" i="6"/>
  <c r="AH124" i="6"/>
  <c r="AI124" i="6"/>
  <c r="AJ124" i="6"/>
  <c r="AK124" i="6"/>
  <c r="AL124" i="6"/>
  <c r="AE124" i="6" s="1"/>
  <c r="AF124" i="6"/>
  <c r="AC125" i="6"/>
  <c r="AD125" i="6"/>
  <c r="AG125" i="6"/>
  <c r="AH125" i="6"/>
  <c r="AI125" i="6"/>
  <c r="AJ125" i="6"/>
  <c r="AK125" i="6"/>
  <c r="AL125" i="6"/>
  <c r="AE125" i="6" s="1"/>
  <c r="AF125" i="6"/>
  <c r="BS125" i="6"/>
  <c r="Q125" i="6"/>
  <c r="R125" i="6"/>
  <c r="S125" i="6"/>
  <c r="T125" i="6"/>
  <c r="U125" i="6"/>
  <c r="V125" i="6"/>
  <c r="W125" i="6"/>
  <c r="AA125" i="6"/>
  <c r="AM125" i="6"/>
  <c r="AN125" i="6"/>
  <c r="AO125" i="6"/>
  <c r="AP125" i="6"/>
  <c r="AQ125" i="6"/>
  <c r="AR125" i="6"/>
  <c r="AS125" i="6"/>
  <c r="AW125" i="6"/>
  <c r="BI125" i="6"/>
  <c r="BJ125" i="6"/>
  <c r="BK125" i="6"/>
  <c r="BL125" i="6"/>
  <c r="BM125" i="6"/>
  <c r="BN125" i="6"/>
  <c r="BO125" i="6"/>
  <c r="Y125" i="6"/>
  <c r="Z125" i="6"/>
  <c r="AT125" i="6"/>
  <c r="AU125" i="6"/>
  <c r="AV125" i="6"/>
  <c r="BP125" i="6"/>
  <c r="BQ125" i="6"/>
  <c r="X125" i="6"/>
  <c r="BR125" i="6"/>
  <c r="BC125" i="6"/>
  <c r="BD125" i="6"/>
  <c r="BE125" i="6"/>
  <c r="AY125" i="6"/>
  <c r="AZ125" i="6"/>
  <c r="BF125" i="6"/>
  <c r="BG125" i="6"/>
  <c r="BH125" i="6"/>
  <c r="BA125" i="6" s="1"/>
  <c r="BB125" i="6"/>
  <c r="G125" i="6"/>
  <c r="H125" i="6"/>
  <c r="K125" i="6"/>
  <c r="L125" i="6"/>
  <c r="M125" i="6"/>
  <c r="N125" i="6"/>
  <c r="O125" i="6"/>
  <c r="P125" i="6"/>
  <c r="I125" i="6" s="1"/>
  <c r="J125" i="6"/>
  <c r="BC126" i="6"/>
  <c r="BD126" i="6"/>
  <c r="BE126" i="6"/>
  <c r="AY126" i="6"/>
  <c r="AZ126" i="6"/>
  <c r="BF126" i="6"/>
  <c r="BG126" i="6"/>
  <c r="BH126" i="6"/>
  <c r="BA126" i="6" s="1"/>
  <c r="BB126" i="6"/>
  <c r="AC126" i="6"/>
  <c r="AD126" i="6"/>
  <c r="AG126" i="6"/>
  <c r="AH126" i="6"/>
  <c r="AI126" i="6"/>
  <c r="AJ126" i="6"/>
  <c r="AK126" i="6"/>
  <c r="AL126" i="6"/>
  <c r="AE126" i="6" s="1"/>
  <c r="AF126" i="6"/>
  <c r="G126" i="6"/>
  <c r="K126" i="6"/>
  <c r="L126" i="6"/>
  <c r="M126" i="6"/>
  <c r="N126" i="6"/>
  <c r="O126" i="6"/>
  <c r="P126" i="6"/>
  <c r="H126" i="6"/>
  <c r="I126" i="6"/>
  <c r="J126" i="6"/>
  <c r="Q126" i="6"/>
  <c r="R126" i="6"/>
  <c r="S126" i="6"/>
  <c r="T126" i="6"/>
  <c r="U126" i="6"/>
  <c r="V126" i="6"/>
  <c r="W126" i="6"/>
  <c r="AA126" i="6"/>
  <c r="AM126" i="6"/>
  <c r="AN126" i="6"/>
  <c r="AO126" i="6"/>
  <c r="AP126" i="6"/>
  <c r="AQ126" i="6"/>
  <c r="AR126" i="6"/>
  <c r="AS126" i="6"/>
  <c r="AW126" i="6"/>
  <c r="BI126" i="6"/>
  <c r="BJ126" i="6"/>
  <c r="BK126" i="6"/>
  <c r="BL126" i="6"/>
  <c r="BM126" i="6"/>
  <c r="BN126" i="6"/>
  <c r="BO126" i="6"/>
  <c r="X126" i="6"/>
  <c r="Y126" i="6"/>
  <c r="Z126" i="6"/>
  <c r="AT126" i="6"/>
  <c r="AU126" i="6"/>
  <c r="AV126" i="6"/>
  <c r="BP126" i="6"/>
  <c r="BQ126" i="6"/>
  <c r="BS126" i="6"/>
  <c r="BR126" i="6"/>
  <c r="BC127" i="6"/>
  <c r="BD127" i="6"/>
  <c r="BE127" i="6"/>
  <c r="AY127" i="6"/>
  <c r="AZ127" i="6"/>
  <c r="BF127" i="6"/>
  <c r="BG127" i="6"/>
  <c r="BH127" i="6"/>
  <c r="BA127" i="6" s="1"/>
  <c r="BB127" i="6"/>
  <c r="BS127" i="6"/>
  <c r="Q127" i="6"/>
  <c r="R127" i="6"/>
  <c r="S127" i="6"/>
  <c r="T127" i="6"/>
  <c r="U127" i="6"/>
  <c r="V127" i="6"/>
  <c r="W127" i="6"/>
  <c r="AA127" i="6"/>
  <c r="AM127" i="6"/>
  <c r="AN127" i="6"/>
  <c r="AO127" i="6"/>
  <c r="AP127" i="6"/>
  <c r="AQ127" i="6"/>
  <c r="AR127" i="6"/>
  <c r="AS127" i="6"/>
  <c r="AW127" i="6"/>
  <c r="BI127" i="6"/>
  <c r="BJ127" i="6"/>
  <c r="BK127" i="6"/>
  <c r="BL127" i="6"/>
  <c r="BM127" i="6"/>
  <c r="BN127" i="6"/>
  <c r="BO127" i="6"/>
  <c r="X127" i="6"/>
  <c r="Y127" i="6"/>
  <c r="Z127" i="6"/>
  <c r="AT127" i="6"/>
  <c r="AU127" i="6"/>
  <c r="AV127" i="6"/>
  <c r="BP127" i="6"/>
  <c r="BQ127" i="6"/>
  <c r="BR127" i="6"/>
  <c r="G127" i="6"/>
  <c r="K127" i="6"/>
  <c r="L127" i="6"/>
  <c r="M127" i="6"/>
  <c r="N127" i="6"/>
  <c r="O127" i="6"/>
  <c r="P127" i="6"/>
  <c r="H127" i="6"/>
  <c r="I127" i="6"/>
  <c r="J127" i="6"/>
  <c r="AC127" i="6"/>
  <c r="AD127" i="6"/>
  <c r="AG127" i="6"/>
  <c r="AH127" i="6"/>
  <c r="AI127" i="6"/>
  <c r="AJ127" i="6"/>
  <c r="AK127" i="6"/>
  <c r="AL127" i="6"/>
  <c r="AE127" i="6" s="1"/>
  <c r="AF127" i="6"/>
  <c r="Q128" i="6"/>
  <c r="R128" i="6"/>
  <c r="S128" i="6"/>
  <c r="T128" i="6"/>
  <c r="U128" i="6"/>
  <c r="V128" i="6"/>
  <c r="W128" i="6"/>
  <c r="AA128" i="6"/>
  <c r="AM128" i="6"/>
  <c r="AN128" i="6"/>
  <c r="AO128" i="6"/>
  <c r="AP128" i="6"/>
  <c r="AQ128" i="6"/>
  <c r="AR128" i="6"/>
  <c r="AS128" i="6"/>
  <c r="AW128" i="6"/>
  <c r="BI128" i="6"/>
  <c r="BJ128" i="6"/>
  <c r="BK128" i="6"/>
  <c r="BL128" i="6"/>
  <c r="BM128" i="6"/>
  <c r="BN128" i="6"/>
  <c r="BO128" i="6"/>
  <c r="Y128" i="6"/>
  <c r="Z128" i="6"/>
  <c r="AT128" i="6"/>
  <c r="AU128" i="6"/>
  <c r="AV128" i="6"/>
  <c r="BP128" i="6"/>
  <c r="BQ128" i="6"/>
  <c r="BS128" i="6"/>
  <c r="X128" i="6"/>
  <c r="BR128" i="6"/>
  <c r="BC128" i="6"/>
  <c r="BD128" i="6"/>
  <c r="BE128" i="6"/>
  <c r="AY128" i="6"/>
  <c r="AZ128" i="6"/>
  <c r="BF128" i="6"/>
  <c r="BG128" i="6"/>
  <c r="BH128" i="6"/>
  <c r="BA128" i="6" s="1"/>
  <c r="BB128" i="6"/>
  <c r="G128" i="6"/>
  <c r="H128" i="6"/>
  <c r="K128" i="6"/>
  <c r="L128" i="6"/>
  <c r="M128" i="6"/>
  <c r="N128" i="6"/>
  <c r="O128" i="6"/>
  <c r="P128" i="6"/>
  <c r="I128" i="6" s="1"/>
  <c r="J128" i="6"/>
  <c r="AC128" i="6"/>
  <c r="AD128" i="6"/>
  <c r="AG128" i="6"/>
  <c r="AH128" i="6"/>
  <c r="AI128" i="6"/>
  <c r="AJ128" i="6"/>
  <c r="AK128" i="6"/>
  <c r="AL128" i="6"/>
  <c r="AE128" i="6" s="1"/>
  <c r="AF128" i="6"/>
  <c r="BS129" i="6"/>
  <c r="Q129" i="6"/>
  <c r="R129" i="6"/>
  <c r="S129" i="6"/>
  <c r="T129" i="6"/>
  <c r="U129" i="6"/>
  <c r="V129" i="6"/>
  <c r="W129" i="6"/>
  <c r="AA129" i="6"/>
  <c r="AM129" i="6"/>
  <c r="AN129" i="6"/>
  <c r="AO129" i="6"/>
  <c r="AP129" i="6"/>
  <c r="AQ129" i="6"/>
  <c r="AR129" i="6"/>
  <c r="AS129" i="6"/>
  <c r="AW129" i="6"/>
  <c r="BI129" i="6"/>
  <c r="BJ129" i="6"/>
  <c r="BK129" i="6"/>
  <c r="BL129" i="6"/>
  <c r="BM129" i="6"/>
  <c r="BN129" i="6"/>
  <c r="BO129" i="6"/>
  <c r="X129" i="6"/>
  <c r="Y129" i="6"/>
  <c r="Z129" i="6"/>
  <c r="AT129" i="6"/>
  <c r="AU129" i="6"/>
  <c r="AV129" i="6"/>
  <c r="BP129" i="6"/>
  <c r="BQ129" i="6"/>
  <c r="BR129" i="6"/>
  <c r="AC129" i="6"/>
  <c r="AD129" i="6"/>
  <c r="AG129" i="6"/>
  <c r="AH129" i="6"/>
  <c r="AI129" i="6"/>
  <c r="AJ129" i="6"/>
  <c r="AK129" i="6"/>
  <c r="AL129" i="6"/>
  <c r="AE129" i="6" s="1"/>
  <c r="AF129" i="6"/>
  <c r="G129" i="6"/>
  <c r="K129" i="6"/>
  <c r="L129" i="6"/>
  <c r="M129" i="6"/>
  <c r="N129" i="6"/>
  <c r="O129" i="6"/>
  <c r="P129" i="6"/>
  <c r="I129" i="6" s="1"/>
  <c r="H129" i="6"/>
  <c r="J129" i="6"/>
  <c r="BC129" i="6"/>
  <c r="BD129" i="6"/>
  <c r="BE129" i="6"/>
  <c r="AY129" i="6"/>
  <c r="AZ129" i="6"/>
  <c r="BF129" i="6"/>
  <c r="BG129" i="6"/>
  <c r="BH129" i="6"/>
  <c r="G130" i="6"/>
  <c r="H130" i="6"/>
  <c r="K130" i="6"/>
  <c r="L130" i="6"/>
  <c r="M130" i="6"/>
  <c r="N130" i="6"/>
  <c r="O130" i="6"/>
  <c r="P130" i="6"/>
  <c r="J130" i="6" s="1"/>
  <c r="I130" i="6"/>
  <c r="Q130" i="6"/>
  <c r="R130" i="6"/>
  <c r="S130" i="6"/>
  <c r="T130" i="6"/>
  <c r="U130" i="6"/>
  <c r="V130" i="6"/>
  <c r="W130" i="6"/>
  <c r="AA130" i="6"/>
  <c r="AM130" i="6"/>
  <c r="AN130" i="6"/>
  <c r="AO130" i="6"/>
  <c r="AP130" i="6"/>
  <c r="AQ130" i="6"/>
  <c r="AR130" i="6"/>
  <c r="AS130" i="6"/>
  <c r="AW130" i="6"/>
  <c r="BI130" i="6"/>
  <c r="BJ130" i="6"/>
  <c r="BK130" i="6"/>
  <c r="BL130" i="6"/>
  <c r="BM130" i="6"/>
  <c r="BN130" i="6"/>
  <c r="BO130" i="6"/>
  <c r="Y130" i="6"/>
  <c r="Z130" i="6"/>
  <c r="AT130" i="6"/>
  <c r="AU130" i="6"/>
  <c r="AV130" i="6"/>
  <c r="BP130" i="6"/>
  <c r="BQ130" i="6"/>
  <c r="BS130" i="6"/>
  <c r="X130" i="6"/>
  <c r="BR130" i="6"/>
  <c r="AC130" i="6"/>
  <c r="AD130" i="6"/>
  <c r="AG130" i="6"/>
  <c r="AH130" i="6"/>
  <c r="AI130" i="6"/>
  <c r="AJ130" i="6"/>
  <c r="AK130" i="6"/>
  <c r="AL130" i="6"/>
  <c r="BC130" i="6"/>
  <c r="BD130" i="6"/>
  <c r="BE130" i="6"/>
  <c r="AY130" i="6"/>
  <c r="AZ130" i="6"/>
  <c r="BF130" i="6"/>
  <c r="BG130" i="6"/>
  <c r="BH130" i="6"/>
  <c r="G131" i="6"/>
  <c r="K131" i="6"/>
  <c r="L131" i="6"/>
  <c r="M131" i="6"/>
  <c r="N131" i="6"/>
  <c r="O131" i="6"/>
  <c r="P131" i="6"/>
  <c r="H131" i="6"/>
  <c r="BC131" i="6"/>
  <c r="BD131" i="6"/>
  <c r="BE131" i="6"/>
  <c r="AY131" i="6"/>
  <c r="AZ131" i="6"/>
  <c r="BF131" i="6"/>
  <c r="BG131" i="6"/>
  <c r="BH131" i="6"/>
  <c r="BA131" i="6" s="1"/>
  <c r="BB131" i="6"/>
  <c r="BS131" i="6"/>
  <c r="Q131" i="6"/>
  <c r="R131" i="6"/>
  <c r="S131" i="6"/>
  <c r="T131" i="6"/>
  <c r="U131" i="6"/>
  <c r="V131" i="6"/>
  <c r="W131" i="6"/>
  <c r="AA131" i="6"/>
  <c r="AM131" i="6"/>
  <c r="AN131" i="6"/>
  <c r="AO131" i="6"/>
  <c r="AP131" i="6"/>
  <c r="AQ131" i="6"/>
  <c r="AR131" i="6"/>
  <c r="AS131" i="6"/>
  <c r="AW131" i="6"/>
  <c r="BI131" i="6"/>
  <c r="BJ131" i="6"/>
  <c r="BK131" i="6"/>
  <c r="BL131" i="6"/>
  <c r="BM131" i="6"/>
  <c r="BN131" i="6"/>
  <c r="BO131" i="6"/>
  <c r="X131" i="6"/>
  <c r="Y131" i="6"/>
  <c r="Z131" i="6"/>
  <c r="AT131" i="6"/>
  <c r="AU131" i="6"/>
  <c r="AV131" i="6"/>
  <c r="BP131" i="6"/>
  <c r="BQ131" i="6"/>
  <c r="BR131" i="6"/>
  <c r="AC131" i="6"/>
  <c r="AD131" i="6"/>
  <c r="AG131" i="6"/>
  <c r="AH131" i="6"/>
  <c r="AI131" i="6"/>
  <c r="AJ131" i="6"/>
  <c r="AK131" i="6"/>
  <c r="AL131" i="6"/>
  <c r="AE131" i="6" s="1"/>
  <c r="AF131" i="6"/>
  <c r="G132" i="6"/>
  <c r="K132" i="6"/>
  <c r="L132" i="6"/>
  <c r="M132" i="6"/>
  <c r="N132" i="6"/>
  <c r="O132" i="6"/>
  <c r="P132" i="6"/>
  <c r="I132" i="6" s="1"/>
  <c r="H132" i="6"/>
  <c r="J132" i="6"/>
  <c r="Q132" i="6"/>
  <c r="R132" i="6"/>
  <c r="S132" i="6"/>
  <c r="T132" i="6"/>
  <c r="U132" i="6"/>
  <c r="V132" i="6"/>
  <c r="W132" i="6"/>
  <c r="AA132" i="6"/>
  <c r="AM132" i="6"/>
  <c r="AN132" i="6"/>
  <c r="AO132" i="6"/>
  <c r="AP132" i="6"/>
  <c r="AQ132" i="6"/>
  <c r="AR132" i="6"/>
  <c r="AS132" i="6"/>
  <c r="AW132" i="6"/>
  <c r="BI132" i="6"/>
  <c r="BJ132" i="6"/>
  <c r="BK132" i="6"/>
  <c r="BL132" i="6"/>
  <c r="BM132" i="6"/>
  <c r="BN132" i="6"/>
  <c r="BO132" i="6"/>
  <c r="Y132" i="6"/>
  <c r="Z132" i="6"/>
  <c r="AT132" i="6"/>
  <c r="AU132" i="6"/>
  <c r="AV132" i="6"/>
  <c r="BP132" i="6"/>
  <c r="BQ132" i="6"/>
  <c r="BS132" i="6"/>
  <c r="X132" i="6"/>
  <c r="BR132" i="6"/>
  <c r="AC132" i="6"/>
  <c r="AD132" i="6"/>
  <c r="AG132" i="6"/>
  <c r="AH132" i="6"/>
  <c r="AI132" i="6"/>
  <c r="AJ132" i="6"/>
  <c r="AK132" i="6"/>
  <c r="AL132" i="6"/>
  <c r="BC132" i="6"/>
  <c r="BD132" i="6"/>
  <c r="BE132" i="6"/>
  <c r="AY132" i="6"/>
  <c r="AZ132" i="6"/>
  <c r="BF132" i="6"/>
  <c r="BG132" i="6"/>
  <c r="BH132" i="6"/>
  <c r="BC133" i="6"/>
  <c r="BD133" i="6"/>
  <c r="BE133" i="6"/>
  <c r="AY133" i="6"/>
  <c r="AZ133" i="6"/>
  <c r="BF133" i="6"/>
  <c r="BG133" i="6"/>
  <c r="BH133" i="6"/>
  <c r="BS133" i="6"/>
  <c r="Q133" i="6"/>
  <c r="R133" i="6"/>
  <c r="S133" i="6"/>
  <c r="T133" i="6"/>
  <c r="U133" i="6"/>
  <c r="V133" i="6"/>
  <c r="W133" i="6"/>
  <c r="AA133" i="6"/>
  <c r="AM133" i="6"/>
  <c r="AN133" i="6"/>
  <c r="AO133" i="6"/>
  <c r="AP133" i="6"/>
  <c r="AQ133" i="6"/>
  <c r="AR133" i="6"/>
  <c r="AS133" i="6"/>
  <c r="AW133" i="6"/>
  <c r="BI133" i="6"/>
  <c r="BJ133" i="6"/>
  <c r="BK133" i="6"/>
  <c r="BL133" i="6"/>
  <c r="BM133" i="6"/>
  <c r="BN133" i="6"/>
  <c r="BO133" i="6"/>
  <c r="X133" i="6"/>
  <c r="Y133" i="6"/>
  <c r="Z133" i="6"/>
  <c r="AT133" i="6"/>
  <c r="AU133" i="6"/>
  <c r="AV133" i="6"/>
  <c r="BP133" i="6"/>
  <c r="BQ133" i="6"/>
  <c r="BR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BC134" i="6"/>
  <c r="BD134" i="6"/>
  <c r="BE134" i="6"/>
  <c r="AY134" i="6"/>
  <c r="AZ134" i="6"/>
  <c r="BF134" i="6"/>
  <c r="BG134" i="6"/>
  <c r="BH134" i="6"/>
  <c r="AC134" i="6"/>
  <c r="AD134" i="6"/>
  <c r="AG134" i="6"/>
  <c r="AH134" i="6"/>
  <c r="AI134" i="6"/>
  <c r="AJ134" i="6"/>
  <c r="AK134" i="6"/>
  <c r="AL134" i="6"/>
  <c r="Q134" i="6"/>
  <c r="R134" i="6"/>
  <c r="S134" i="6"/>
  <c r="T134" i="6"/>
  <c r="U134" i="6"/>
  <c r="V134" i="6"/>
  <c r="W134" i="6"/>
  <c r="AA134" i="6"/>
  <c r="AM134" i="6"/>
  <c r="AN134" i="6"/>
  <c r="AO134" i="6"/>
  <c r="AP134" i="6"/>
  <c r="AQ134" i="6"/>
  <c r="AR134" i="6"/>
  <c r="AS134" i="6"/>
  <c r="AW134" i="6"/>
  <c r="BI134" i="6"/>
  <c r="BJ134" i="6"/>
  <c r="BK134" i="6"/>
  <c r="BL134" i="6"/>
  <c r="BM134" i="6"/>
  <c r="BN134" i="6"/>
  <c r="BO134" i="6"/>
  <c r="X134" i="6"/>
  <c r="Y134" i="6"/>
  <c r="Z134" i="6"/>
  <c r="AT134" i="6"/>
  <c r="AU134" i="6"/>
  <c r="AV134" i="6"/>
  <c r="BP134" i="6"/>
  <c r="BQ134" i="6"/>
  <c r="BS134" i="6"/>
  <c r="BR134" i="6"/>
  <c r="G134" i="6"/>
  <c r="K134" i="6"/>
  <c r="L134" i="6"/>
  <c r="M134" i="6"/>
  <c r="N134" i="6"/>
  <c r="O134" i="6"/>
  <c r="P134" i="6"/>
  <c r="H134" i="6"/>
  <c r="BC135" i="6"/>
  <c r="BD135" i="6"/>
  <c r="BE135" i="6"/>
  <c r="AY135" i="6"/>
  <c r="AZ135" i="6"/>
  <c r="BF135" i="6"/>
  <c r="BG135" i="6"/>
  <c r="BH135" i="6"/>
  <c r="G135" i="6"/>
  <c r="K135" i="6"/>
  <c r="L135" i="6"/>
  <c r="M135" i="6"/>
  <c r="N135" i="6"/>
  <c r="O135" i="6"/>
  <c r="P135" i="6"/>
  <c r="H135" i="6"/>
  <c r="I135" i="6"/>
  <c r="J135" i="6"/>
  <c r="AC135" i="6"/>
  <c r="AD135" i="6"/>
  <c r="AG135" i="6"/>
  <c r="AH135" i="6"/>
  <c r="AI135" i="6"/>
  <c r="AJ135" i="6"/>
  <c r="AK135" i="6"/>
  <c r="AL135" i="6"/>
  <c r="Q135" i="6"/>
  <c r="R135" i="6"/>
  <c r="S135" i="6"/>
  <c r="T135" i="6"/>
  <c r="U135" i="6"/>
  <c r="V135" i="6"/>
  <c r="W135" i="6"/>
  <c r="AA135" i="6"/>
  <c r="AM135" i="6"/>
  <c r="AN135" i="6"/>
  <c r="AO135" i="6"/>
  <c r="AP135" i="6"/>
  <c r="AQ135" i="6"/>
  <c r="AR135" i="6"/>
  <c r="AS135" i="6"/>
  <c r="AW135" i="6"/>
  <c r="BI135" i="6"/>
  <c r="BJ135" i="6"/>
  <c r="BK135" i="6"/>
  <c r="BL135" i="6"/>
  <c r="BM135" i="6"/>
  <c r="BN135" i="6"/>
  <c r="BO135" i="6"/>
  <c r="Y135" i="6"/>
  <c r="Z135" i="6"/>
  <c r="AT135" i="6"/>
  <c r="AU135" i="6"/>
  <c r="AV135" i="6"/>
  <c r="BP135" i="6"/>
  <c r="BQ135" i="6"/>
  <c r="BS135" i="6"/>
  <c r="X135" i="6"/>
  <c r="BR135" i="6"/>
  <c r="BC136" i="6"/>
  <c r="BD136" i="6"/>
  <c r="BE136" i="6"/>
  <c r="AY136" i="6"/>
  <c r="AZ136" i="6"/>
  <c r="BF136" i="6"/>
  <c r="BG136" i="6"/>
  <c r="BH136" i="6"/>
  <c r="G136" i="6"/>
  <c r="H136" i="6"/>
  <c r="K136" i="6"/>
  <c r="L136" i="6"/>
  <c r="M136" i="6"/>
  <c r="N136" i="6"/>
  <c r="O136" i="6"/>
  <c r="P136" i="6"/>
  <c r="I136" i="6" s="1"/>
  <c r="J136" i="6"/>
  <c r="BS136" i="6"/>
  <c r="Q136" i="6"/>
  <c r="R136" i="6"/>
  <c r="S136" i="6"/>
  <c r="T136" i="6"/>
  <c r="U136" i="6"/>
  <c r="V136" i="6"/>
  <c r="W136" i="6"/>
  <c r="AA136" i="6"/>
  <c r="AM136" i="6"/>
  <c r="AN136" i="6"/>
  <c r="AO136" i="6"/>
  <c r="AP136" i="6"/>
  <c r="AQ136" i="6"/>
  <c r="AR136" i="6"/>
  <c r="AS136" i="6"/>
  <c r="AW136" i="6"/>
  <c r="BI136" i="6"/>
  <c r="BJ136" i="6"/>
  <c r="BK136" i="6"/>
  <c r="BL136" i="6"/>
  <c r="BM136" i="6"/>
  <c r="BN136" i="6"/>
  <c r="BO136" i="6"/>
  <c r="X136" i="6"/>
  <c r="Y136" i="6"/>
  <c r="Z136" i="6"/>
  <c r="AT136" i="6"/>
  <c r="AU136" i="6"/>
  <c r="AV136" i="6"/>
  <c r="BP136" i="6"/>
  <c r="BQ136" i="6"/>
  <c r="BR136" i="6"/>
  <c r="AC136" i="6"/>
  <c r="AD136" i="6"/>
  <c r="AG136" i="6"/>
  <c r="AH136" i="6"/>
  <c r="AI136" i="6"/>
  <c r="AJ136" i="6"/>
  <c r="AK136" i="6"/>
  <c r="AL136" i="6"/>
  <c r="Q137" i="6"/>
  <c r="R137" i="6"/>
  <c r="S137" i="6"/>
  <c r="T137" i="6"/>
  <c r="U137" i="6"/>
  <c r="V137" i="6"/>
  <c r="W137" i="6"/>
  <c r="AA137" i="6"/>
  <c r="AM137" i="6"/>
  <c r="AN137" i="6"/>
  <c r="AO137" i="6"/>
  <c r="AP137" i="6"/>
  <c r="AQ137" i="6"/>
  <c r="AR137" i="6"/>
  <c r="AS137" i="6"/>
  <c r="AW137" i="6"/>
  <c r="BI137" i="6"/>
  <c r="BJ137" i="6"/>
  <c r="BK137" i="6"/>
  <c r="BL137" i="6"/>
  <c r="BM137" i="6"/>
  <c r="BN137" i="6"/>
  <c r="BO137" i="6"/>
  <c r="X137" i="6"/>
  <c r="Y137" i="6"/>
  <c r="Z137" i="6"/>
  <c r="AT137" i="6"/>
  <c r="AU137" i="6"/>
  <c r="AV137" i="6"/>
  <c r="BP137" i="6"/>
  <c r="BQ137" i="6"/>
  <c r="BS137" i="6"/>
  <c r="BR137" i="6"/>
  <c r="BC137" i="6"/>
  <c r="BD137" i="6"/>
  <c r="BE137" i="6"/>
  <c r="AY137" i="6"/>
  <c r="AZ137" i="6"/>
  <c r="BF137" i="6"/>
  <c r="BG137" i="6"/>
  <c r="BH137" i="6"/>
  <c r="G137" i="6"/>
  <c r="K137" i="6"/>
  <c r="L137" i="6"/>
  <c r="M137" i="6"/>
  <c r="N137" i="6"/>
  <c r="O137" i="6"/>
  <c r="P137" i="6"/>
  <c r="H137" i="6"/>
  <c r="AC137" i="6"/>
  <c r="AD137" i="6"/>
  <c r="AG137" i="6"/>
  <c r="AH137" i="6"/>
  <c r="AI137" i="6"/>
  <c r="AJ137" i="6"/>
  <c r="AK137" i="6"/>
  <c r="AL137" i="6"/>
  <c r="Q138" i="6"/>
  <c r="R138" i="6"/>
  <c r="S138" i="6"/>
  <c r="T138" i="6"/>
  <c r="U138" i="6"/>
  <c r="V138" i="6"/>
  <c r="W138" i="6"/>
  <c r="AA138" i="6"/>
  <c r="AM138" i="6"/>
  <c r="AN138" i="6"/>
  <c r="AO138" i="6"/>
  <c r="AP138" i="6"/>
  <c r="AQ138" i="6"/>
  <c r="AR138" i="6"/>
  <c r="AS138" i="6"/>
  <c r="AW138" i="6"/>
  <c r="BI138" i="6"/>
  <c r="BJ138" i="6"/>
  <c r="BK138" i="6"/>
  <c r="BL138" i="6"/>
  <c r="BM138" i="6"/>
  <c r="BN138" i="6"/>
  <c r="BO138" i="6"/>
  <c r="Y138" i="6"/>
  <c r="Z138" i="6"/>
  <c r="AT138" i="6"/>
  <c r="AU138" i="6"/>
  <c r="AV138" i="6"/>
  <c r="BP138" i="6"/>
  <c r="BQ138" i="6"/>
  <c r="BS138" i="6"/>
  <c r="X138" i="6"/>
  <c r="BR138" i="6"/>
  <c r="BC138" i="6"/>
  <c r="BD138" i="6"/>
  <c r="BE138" i="6"/>
  <c r="AY138" i="6"/>
  <c r="AZ138" i="6"/>
  <c r="BF138" i="6"/>
  <c r="BG138" i="6"/>
  <c r="BH138" i="6"/>
  <c r="G138" i="6"/>
  <c r="K138" i="6"/>
  <c r="L138" i="6"/>
  <c r="M138" i="6"/>
  <c r="N138" i="6"/>
  <c r="O138" i="6"/>
  <c r="P138" i="6"/>
  <c r="H138" i="6"/>
  <c r="AC138" i="6"/>
  <c r="AD138" i="6"/>
  <c r="AG138" i="6"/>
  <c r="AH138" i="6"/>
  <c r="AI138" i="6"/>
  <c r="AJ138" i="6"/>
  <c r="AK138" i="6"/>
  <c r="AL138" i="6"/>
  <c r="AE138" i="6" s="1"/>
  <c r="AF138" i="6"/>
  <c r="BS139" i="6"/>
  <c r="Q139" i="6"/>
  <c r="R139" i="6"/>
  <c r="S139" i="6"/>
  <c r="T139" i="6"/>
  <c r="U139" i="6"/>
  <c r="V139" i="6"/>
  <c r="W139" i="6"/>
  <c r="AA139" i="6"/>
  <c r="AM139" i="6"/>
  <c r="AN139" i="6"/>
  <c r="AO139" i="6"/>
  <c r="AP139" i="6"/>
  <c r="AQ139" i="6"/>
  <c r="AR139" i="6"/>
  <c r="AS139" i="6"/>
  <c r="AW139" i="6"/>
  <c r="BI139" i="6"/>
  <c r="BJ139" i="6"/>
  <c r="BK139" i="6"/>
  <c r="BL139" i="6"/>
  <c r="BM139" i="6"/>
  <c r="BN139" i="6"/>
  <c r="BO139" i="6"/>
  <c r="X139" i="6"/>
  <c r="Y139" i="6"/>
  <c r="Z139" i="6"/>
  <c r="AT139" i="6"/>
  <c r="AU139" i="6"/>
  <c r="AV139" i="6"/>
  <c r="BP139" i="6"/>
  <c r="BQ139" i="6"/>
  <c r="BR139" i="6"/>
  <c r="G139" i="6"/>
  <c r="K139" i="6"/>
  <c r="L139" i="6"/>
  <c r="M139" i="6"/>
  <c r="N139" i="6"/>
  <c r="O139" i="6"/>
  <c r="P139" i="6"/>
  <c r="H139" i="6"/>
  <c r="I139" i="6"/>
  <c r="J139" i="6"/>
  <c r="AC139" i="6"/>
  <c r="AD139" i="6"/>
  <c r="AG139" i="6"/>
  <c r="AH139" i="6"/>
  <c r="AI139" i="6"/>
  <c r="AJ139" i="6"/>
  <c r="AK139" i="6"/>
  <c r="AL139" i="6"/>
  <c r="AE139" i="6" s="1"/>
  <c r="AF139" i="6"/>
  <c r="BC139" i="6"/>
  <c r="BD139" i="6"/>
  <c r="BE139" i="6"/>
  <c r="AY139" i="6"/>
  <c r="AZ139" i="6"/>
  <c r="BF139" i="6"/>
  <c r="BG139" i="6"/>
  <c r="BH139" i="6"/>
  <c r="BA139" i="6" s="1"/>
  <c r="BB139" i="6"/>
  <c r="G140" i="6"/>
  <c r="H140" i="6"/>
  <c r="K140" i="6"/>
  <c r="L140" i="6"/>
  <c r="M140" i="6"/>
  <c r="N140" i="6"/>
  <c r="O140" i="6"/>
  <c r="P140" i="6"/>
  <c r="I140" i="6" s="1"/>
  <c r="J140" i="6"/>
  <c r="AC140" i="6"/>
  <c r="AD140" i="6"/>
  <c r="AG140" i="6"/>
  <c r="AH140" i="6"/>
  <c r="AI140" i="6"/>
  <c r="AJ140" i="6"/>
  <c r="AK140" i="6"/>
  <c r="AL140" i="6"/>
  <c r="AE140" i="6" s="1"/>
  <c r="AF140" i="6"/>
  <c r="BC140" i="6"/>
  <c r="BD140" i="6"/>
  <c r="BE140" i="6"/>
  <c r="AY140" i="6"/>
  <c r="AZ140" i="6"/>
  <c r="BF140" i="6"/>
  <c r="BG140" i="6"/>
  <c r="BH140" i="6"/>
  <c r="BA140" i="6" s="1"/>
  <c r="BB140" i="6"/>
  <c r="Q140" i="6"/>
  <c r="R140" i="6"/>
  <c r="S140" i="6"/>
  <c r="T140" i="6"/>
  <c r="U140" i="6"/>
  <c r="V140" i="6"/>
  <c r="W140" i="6"/>
  <c r="AA140" i="6"/>
  <c r="AM140" i="6"/>
  <c r="AN140" i="6"/>
  <c r="AO140" i="6"/>
  <c r="AP140" i="6"/>
  <c r="AQ140" i="6"/>
  <c r="AR140" i="6"/>
  <c r="AS140" i="6"/>
  <c r="AW140" i="6"/>
  <c r="BI140" i="6"/>
  <c r="BJ140" i="6"/>
  <c r="BK140" i="6"/>
  <c r="BL140" i="6"/>
  <c r="BM140" i="6"/>
  <c r="BN140" i="6"/>
  <c r="BO140" i="6"/>
  <c r="Y140" i="6"/>
  <c r="Z140" i="6"/>
  <c r="AT140" i="6"/>
  <c r="AU140" i="6"/>
  <c r="AV140" i="6"/>
  <c r="BP140" i="6"/>
  <c r="BQ140" i="6"/>
  <c r="BS140" i="6"/>
  <c r="X140" i="6"/>
  <c r="BR140" i="6"/>
  <c r="AC141" i="6"/>
  <c r="AD141" i="6"/>
  <c r="AG141" i="6"/>
  <c r="AH141" i="6"/>
  <c r="AI141" i="6"/>
  <c r="AJ141" i="6"/>
  <c r="AK141" i="6"/>
  <c r="AL141" i="6"/>
  <c r="AE141" i="6" s="1"/>
  <c r="AF141" i="6"/>
  <c r="G141" i="6"/>
  <c r="K141" i="6"/>
  <c r="L141" i="6"/>
  <c r="M141" i="6"/>
  <c r="N141" i="6"/>
  <c r="O141" i="6"/>
  <c r="P141" i="6"/>
  <c r="I141" i="6"/>
  <c r="H141" i="6"/>
  <c r="J141" i="6"/>
  <c r="BC141" i="6"/>
  <c r="BD141" i="6"/>
  <c r="BE141" i="6"/>
  <c r="AY141" i="6"/>
  <c r="AZ141" i="6"/>
  <c r="BF141" i="6"/>
  <c r="BG141" i="6"/>
  <c r="BH141" i="6"/>
  <c r="BA141" i="6" s="1"/>
  <c r="BB141" i="6"/>
  <c r="BS141" i="6"/>
  <c r="Q141" i="6"/>
  <c r="R141" i="6"/>
  <c r="S141" i="6"/>
  <c r="T141" i="6"/>
  <c r="U141" i="6"/>
  <c r="V141" i="6"/>
  <c r="W141" i="6"/>
  <c r="AA141" i="6"/>
  <c r="AM141" i="6"/>
  <c r="AN141" i="6"/>
  <c r="AO141" i="6"/>
  <c r="AP141" i="6"/>
  <c r="AQ141" i="6"/>
  <c r="AR141" i="6"/>
  <c r="AS141" i="6"/>
  <c r="AW141" i="6"/>
  <c r="BI141" i="6"/>
  <c r="BJ141" i="6"/>
  <c r="BK141" i="6"/>
  <c r="BL141" i="6"/>
  <c r="BM141" i="6"/>
  <c r="BN141" i="6"/>
  <c r="BO141" i="6"/>
  <c r="X141" i="6"/>
  <c r="Y141" i="6"/>
  <c r="Z141" i="6"/>
  <c r="AT141" i="6"/>
  <c r="AU141" i="6"/>
  <c r="AV141" i="6"/>
  <c r="BP141" i="6"/>
  <c r="BQ141" i="6"/>
  <c r="BR141" i="6"/>
  <c r="BC142" i="6"/>
  <c r="BD142" i="6"/>
  <c r="BE142" i="6"/>
  <c r="AY142" i="6"/>
  <c r="AZ142" i="6"/>
  <c r="BF142" i="6"/>
  <c r="BG142" i="6"/>
  <c r="BH142" i="6"/>
  <c r="BA142" i="6" s="1"/>
  <c r="BB142" i="6"/>
  <c r="G142" i="6"/>
  <c r="K142" i="6"/>
  <c r="L142" i="6"/>
  <c r="M142" i="6"/>
  <c r="N142" i="6"/>
  <c r="O142" i="6"/>
  <c r="P142" i="6"/>
  <c r="H142" i="6"/>
  <c r="I142" i="6"/>
  <c r="J142" i="6"/>
  <c r="AC142" i="6"/>
  <c r="AD142" i="6"/>
  <c r="AG142" i="6"/>
  <c r="AH142" i="6"/>
  <c r="AI142" i="6"/>
  <c r="AJ142" i="6"/>
  <c r="AK142" i="6"/>
  <c r="AL142" i="6"/>
  <c r="AE142" i="6" s="1"/>
  <c r="AF142" i="6"/>
  <c r="Q142" i="6"/>
  <c r="R142" i="6"/>
  <c r="S142" i="6"/>
  <c r="T142" i="6"/>
  <c r="U142" i="6"/>
  <c r="V142" i="6"/>
  <c r="W142" i="6"/>
  <c r="AA142" i="6"/>
  <c r="AM142" i="6"/>
  <c r="AN142" i="6"/>
  <c r="AO142" i="6"/>
  <c r="AP142" i="6"/>
  <c r="AQ142" i="6"/>
  <c r="AR142" i="6"/>
  <c r="AS142" i="6"/>
  <c r="AW142" i="6"/>
  <c r="BI142" i="6"/>
  <c r="BJ142" i="6"/>
  <c r="BK142" i="6"/>
  <c r="BL142" i="6"/>
  <c r="BM142" i="6"/>
  <c r="BN142" i="6"/>
  <c r="BO142" i="6"/>
  <c r="X142" i="6"/>
  <c r="Y142" i="6"/>
  <c r="Z142" i="6"/>
  <c r="AT142" i="6"/>
  <c r="AU142" i="6"/>
  <c r="AV142" i="6"/>
  <c r="BP142" i="6"/>
  <c r="BQ142" i="6"/>
  <c r="BS142" i="6"/>
  <c r="BR142" i="6"/>
  <c r="G143" i="6"/>
  <c r="H143" i="6"/>
  <c r="K143" i="6"/>
  <c r="L143" i="6"/>
  <c r="M143" i="6"/>
  <c r="N143" i="6"/>
  <c r="O143" i="6"/>
  <c r="P143" i="6"/>
  <c r="I143" i="6" s="1"/>
  <c r="J143" i="6"/>
  <c r="AC143" i="6"/>
  <c r="AD143" i="6"/>
  <c r="AG143" i="6"/>
  <c r="AH143" i="6"/>
  <c r="AI143" i="6"/>
  <c r="AJ143" i="6"/>
  <c r="AK143" i="6"/>
  <c r="AL143" i="6"/>
  <c r="AE143" i="6" s="1"/>
  <c r="AF143" i="6"/>
  <c r="BS143" i="6"/>
  <c r="Q143" i="6"/>
  <c r="R143" i="6"/>
  <c r="S143" i="6"/>
  <c r="T143" i="6"/>
  <c r="U143" i="6"/>
  <c r="V143" i="6"/>
  <c r="W143" i="6"/>
  <c r="AA143" i="6"/>
  <c r="AM143" i="6"/>
  <c r="AN143" i="6"/>
  <c r="AO143" i="6"/>
  <c r="AP143" i="6"/>
  <c r="AQ143" i="6"/>
  <c r="AR143" i="6"/>
  <c r="AS143" i="6"/>
  <c r="AW143" i="6"/>
  <c r="BI143" i="6"/>
  <c r="BJ143" i="6"/>
  <c r="BK143" i="6"/>
  <c r="BL143" i="6"/>
  <c r="BM143" i="6"/>
  <c r="BN143" i="6"/>
  <c r="BO143" i="6"/>
  <c r="Y143" i="6"/>
  <c r="Z143" i="6"/>
  <c r="AT143" i="6"/>
  <c r="AU143" i="6"/>
  <c r="AV143" i="6"/>
  <c r="BP143" i="6"/>
  <c r="BQ143" i="6"/>
  <c r="X143" i="6"/>
  <c r="BR143" i="6"/>
  <c r="BC143" i="6"/>
  <c r="BD143" i="6"/>
  <c r="BE143" i="6"/>
  <c r="AY143" i="6"/>
  <c r="AZ143" i="6"/>
  <c r="BF143" i="6"/>
  <c r="BG143" i="6"/>
  <c r="BH143" i="6"/>
  <c r="BA143" i="6" s="1"/>
  <c r="BB143" i="6"/>
  <c r="AC144" i="6"/>
  <c r="AD144" i="6"/>
  <c r="AG144" i="6"/>
  <c r="AH144" i="6"/>
  <c r="AI144" i="6"/>
  <c r="AJ144" i="6"/>
  <c r="AK144" i="6"/>
  <c r="AL144" i="6"/>
  <c r="AE144" i="6" s="1"/>
  <c r="AF144" i="6"/>
  <c r="BC144" i="6"/>
  <c r="BD144" i="6"/>
  <c r="BE144" i="6"/>
  <c r="AY144" i="6"/>
  <c r="AZ144" i="6"/>
  <c r="BF144" i="6"/>
  <c r="BG144" i="6"/>
  <c r="BH144" i="6"/>
  <c r="BA144" i="6" s="1"/>
  <c r="BB144" i="6"/>
  <c r="Q144" i="6"/>
  <c r="R144" i="6"/>
  <c r="S144" i="6"/>
  <c r="T144" i="6"/>
  <c r="U144" i="6"/>
  <c r="V144" i="6"/>
  <c r="W144" i="6"/>
  <c r="AA144" i="6"/>
  <c r="AM144" i="6"/>
  <c r="AN144" i="6"/>
  <c r="AO144" i="6"/>
  <c r="AP144" i="6"/>
  <c r="AQ144" i="6"/>
  <c r="AR144" i="6"/>
  <c r="AS144" i="6"/>
  <c r="AW144" i="6"/>
  <c r="BI144" i="6"/>
  <c r="BJ144" i="6"/>
  <c r="BK144" i="6"/>
  <c r="BL144" i="6"/>
  <c r="BM144" i="6"/>
  <c r="BN144" i="6"/>
  <c r="BO144" i="6"/>
  <c r="X144" i="6"/>
  <c r="Y144" i="6"/>
  <c r="Z144" i="6"/>
  <c r="AT144" i="6"/>
  <c r="AU144" i="6"/>
  <c r="AV144" i="6"/>
  <c r="BP144" i="6"/>
  <c r="BQ144" i="6"/>
  <c r="BS144" i="6"/>
  <c r="BR144" i="6"/>
  <c r="G144" i="6"/>
  <c r="K144" i="6"/>
  <c r="L144" i="6"/>
  <c r="M144" i="6"/>
  <c r="N144" i="6"/>
  <c r="O144" i="6"/>
  <c r="P144" i="6"/>
  <c r="I144" i="6"/>
  <c r="H144" i="6"/>
  <c r="J144" i="6"/>
  <c r="G145" i="6"/>
  <c r="H145" i="6"/>
  <c r="K145" i="6"/>
  <c r="L145" i="6"/>
  <c r="M145" i="6"/>
  <c r="N145" i="6"/>
  <c r="O145" i="6"/>
  <c r="P145" i="6"/>
  <c r="I145" i="6"/>
  <c r="J145" i="6"/>
  <c r="BS145" i="6"/>
  <c r="Q145" i="6"/>
  <c r="R145" i="6"/>
  <c r="S145" i="6"/>
  <c r="T145" i="6"/>
  <c r="U145" i="6"/>
  <c r="V145" i="6"/>
  <c r="W145" i="6"/>
  <c r="AA145" i="6"/>
  <c r="AM145" i="6"/>
  <c r="AN145" i="6"/>
  <c r="AO145" i="6"/>
  <c r="AP145" i="6"/>
  <c r="AQ145" i="6"/>
  <c r="AR145" i="6"/>
  <c r="AS145" i="6"/>
  <c r="AW145" i="6"/>
  <c r="BI145" i="6"/>
  <c r="BJ145" i="6"/>
  <c r="BK145" i="6"/>
  <c r="BL145" i="6"/>
  <c r="BM145" i="6"/>
  <c r="BN145" i="6"/>
  <c r="BO145" i="6"/>
  <c r="X145" i="6"/>
  <c r="Y145" i="6"/>
  <c r="Z145" i="6"/>
  <c r="AT145" i="6"/>
  <c r="AU145" i="6"/>
  <c r="AV145" i="6"/>
  <c r="BP145" i="6"/>
  <c r="BQ145" i="6"/>
  <c r="BR145" i="6"/>
  <c r="AC145" i="6"/>
  <c r="AD145" i="6"/>
  <c r="AG145" i="6"/>
  <c r="AH145" i="6"/>
  <c r="AI145" i="6"/>
  <c r="AJ145" i="6"/>
  <c r="AK145" i="6"/>
  <c r="AL145" i="6"/>
  <c r="AE145" i="6" s="1"/>
  <c r="AF145" i="6"/>
  <c r="BC145" i="6"/>
  <c r="BD145" i="6"/>
  <c r="BE145" i="6"/>
  <c r="BF145" i="6"/>
  <c r="AY145" i="6"/>
  <c r="AZ145" i="6"/>
  <c r="BG145" i="6"/>
  <c r="BH145" i="6"/>
  <c r="BA145" i="6" s="1"/>
  <c r="BB145" i="6"/>
  <c r="Q146" i="6"/>
  <c r="R146" i="6"/>
  <c r="S146" i="6"/>
  <c r="T146" i="6"/>
  <c r="U146" i="6"/>
  <c r="V146" i="6"/>
  <c r="W146" i="6"/>
  <c r="AA146" i="6"/>
  <c r="AM146" i="6"/>
  <c r="AN146" i="6"/>
  <c r="AO146" i="6"/>
  <c r="AP146" i="6"/>
  <c r="AQ146" i="6"/>
  <c r="AR146" i="6"/>
  <c r="AS146" i="6"/>
  <c r="AW146" i="6"/>
  <c r="BI146" i="6"/>
  <c r="BJ146" i="6"/>
  <c r="BK146" i="6"/>
  <c r="BL146" i="6"/>
  <c r="BM146" i="6"/>
  <c r="BN146" i="6"/>
  <c r="BO146" i="6"/>
  <c r="Y146" i="6"/>
  <c r="Z146" i="6"/>
  <c r="AT146" i="6"/>
  <c r="AU146" i="6"/>
  <c r="AV146" i="6"/>
  <c r="BP146" i="6"/>
  <c r="BQ146" i="6"/>
  <c r="BS146" i="6"/>
  <c r="X146" i="6"/>
  <c r="BR146" i="6"/>
  <c r="BC146" i="6"/>
  <c r="BD146" i="6"/>
  <c r="BE146" i="6"/>
  <c r="BF146" i="6"/>
  <c r="AY146" i="6"/>
  <c r="AZ146" i="6"/>
  <c r="BG146" i="6"/>
  <c r="BH146" i="6"/>
  <c r="BA146" i="6" s="1"/>
  <c r="BB146" i="6"/>
  <c r="G146" i="6"/>
  <c r="K146" i="6"/>
  <c r="L146" i="6"/>
  <c r="M146" i="6"/>
  <c r="N146" i="6"/>
  <c r="O146" i="6"/>
  <c r="P146" i="6"/>
  <c r="I146" i="6" s="1"/>
  <c r="H146" i="6"/>
  <c r="J146" i="6"/>
  <c r="AC146" i="6"/>
  <c r="AD146" i="6"/>
  <c r="AG146" i="6"/>
  <c r="AH146" i="6"/>
  <c r="AI146" i="6"/>
  <c r="AJ146" i="6"/>
  <c r="AK146" i="6"/>
  <c r="AL146" i="6"/>
  <c r="AE146" i="6" s="1"/>
  <c r="AF146" i="6"/>
  <c r="BC147" i="6"/>
  <c r="BD147" i="6"/>
  <c r="BE147" i="6"/>
  <c r="BF147" i="6"/>
  <c r="AY147" i="6"/>
  <c r="AZ147" i="6"/>
  <c r="BG147" i="6"/>
  <c r="BH147" i="6"/>
  <c r="BA147" i="6" s="1"/>
  <c r="BB147" i="6"/>
  <c r="G147" i="6"/>
  <c r="K147" i="6"/>
  <c r="L147" i="6"/>
  <c r="M147" i="6"/>
  <c r="N147" i="6"/>
  <c r="O147" i="6"/>
  <c r="P147" i="6"/>
  <c r="I147" i="6"/>
  <c r="H147" i="6"/>
  <c r="J147" i="6"/>
  <c r="AC147" i="6"/>
  <c r="AD147" i="6"/>
  <c r="AG147" i="6"/>
  <c r="AH147" i="6"/>
  <c r="AI147" i="6"/>
  <c r="AJ147" i="6"/>
  <c r="AK147" i="6"/>
  <c r="AL147" i="6"/>
  <c r="AE147" i="6" s="1"/>
  <c r="AF147" i="6"/>
  <c r="Q147" i="6"/>
  <c r="R147" i="6"/>
  <c r="S147" i="6"/>
  <c r="T147" i="6"/>
  <c r="U147" i="6"/>
  <c r="V147" i="6"/>
  <c r="W147" i="6"/>
  <c r="AA147" i="6"/>
  <c r="AM147" i="6"/>
  <c r="AN147" i="6"/>
  <c r="AO147" i="6"/>
  <c r="AP147" i="6"/>
  <c r="AQ147" i="6"/>
  <c r="AR147" i="6"/>
  <c r="AS147" i="6"/>
  <c r="AW147" i="6"/>
  <c r="BI147" i="6"/>
  <c r="BJ147" i="6"/>
  <c r="BK147" i="6"/>
  <c r="BL147" i="6"/>
  <c r="BM147" i="6"/>
  <c r="BN147" i="6"/>
  <c r="BO147" i="6"/>
  <c r="X147" i="6"/>
  <c r="Y147" i="6"/>
  <c r="Z147" i="6"/>
  <c r="AT147" i="6"/>
  <c r="AU147" i="6"/>
  <c r="AV147" i="6"/>
  <c r="BP147" i="6"/>
  <c r="BQ147" i="6"/>
  <c r="BS147" i="6"/>
  <c r="BR147" i="6"/>
  <c r="AC148" i="6"/>
  <c r="AD148" i="6"/>
  <c r="AG148" i="6"/>
  <c r="AH148" i="6"/>
  <c r="AI148" i="6"/>
  <c r="AJ148" i="6"/>
  <c r="AK148" i="6"/>
  <c r="AL148" i="6"/>
  <c r="AE148" i="6" s="1"/>
  <c r="AF148" i="6"/>
  <c r="G148" i="6"/>
  <c r="K148" i="6"/>
  <c r="L148" i="6"/>
  <c r="M148" i="6"/>
  <c r="N148" i="6"/>
  <c r="O148" i="6"/>
  <c r="P148" i="6"/>
  <c r="H148" i="6"/>
  <c r="I148" i="6"/>
  <c r="J148" i="6"/>
  <c r="BC148" i="6"/>
  <c r="BD148" i="6"/>
  <c r="BE148" i="6"/>
  <c r="BF148" i="6"/>
  <c r="AY148" i="6"/>
  <c r="AZ148" i="6"/>
  <c r="BG148" i="6"/>
  <c r="BH148" i="6"/>
  <c r="BA148" i="6" s="1"/>
  <c r="BB148" i="6"/>
  <c r="BS148" i="6"/>
  <c r="Q148" i="6"/>
  <c r="R148" i="6"/>
  <c r="S148" i="6"/>
  <c r="T148" i="6"/>
  <c r="U148" i="6"/>
  <c r="V148" i="6"/>
  <c r="W148" i="6"/>
  <c r="AA148" i="6"/>
  <c r="AM148" i="6"/>
  <c r="AN148" i="6"/>
  <c r="AO148" i="6"/>
  <c r="AP148" i="6"/>
  <c r="AQ148" i="6"/>
  <c r="AR148" i="6"/>
  <c r="AS148" i="6"/>
  <c r="AW148" i="6"/>
  <c r="BI148" i="6"/>
  <c r="BJ148" i="6"/>
  <c r="BK148" i="6"/>
  <c r="BL148" i="6"/>
  <c r="BM148" i="6"/>
  <c r="BN148" i="6"/>
  <c r="BO148" i="6"/>
  <c r="Y148" i="6"/>
  <c r="Z148" i="6"/>
  <c r="AT148" i="6"/>
  <c r="AU148" i="6"/>
  <c r="AV148" i="6"/>
  <c r="BP148" i="6"/>
  <c r="BQ148" i="6"/>
  <c r="X148" i="6"/>
  <c r="BR148" i="6"/>
  <c r="G149" i="6"/>
  <c r="H149" i="6"/>
  <c r="K149" i="6"/>
  <c r="L149" i="6"/>
  <c r="M149" i="6"/>
  <c r="N149" i="6"/>
  <c r="O149" i="6"/>
  <c r="P149" i="6"/>
  <c r="I149" i="6" s="1"/>
  <c r="J149" i="6"/>
  <c r="BC149" i="6"/>
  <c r="BD149" i="6"/>
  <c r="BE149" i="6"/>
  <c r="BF149" i="6"/>
  <c r="AY149" i="6"/>
  <c r="AZ149" i="6"/>
  <c r="BG149" i="6"/>
  <c r="BH149" i="6"/>
  <c r="BA149" i="6" s="1"/>
  <c r="BB149" i="6"/>
  <c r="Q149" i="6"/>
  <c r="R149" i="6"/>
  <c r="S149" i="6"/>
  <c r="T149" i="6"/>
  <c r="U149" i="6"/>
  <c r="V149" i="6"/>
  <c r="W149" i="6"/>
  <c r="AA149" i="6"/>
  <c r="AM149" i="6"/>
  <c r="AN149" i="6"/>
  <c r="AO149" i="6"/>
  <c r="AP149" i="6"/>
  <c r="AQ149" i="6"/>
  <c r="AR149" i="6"/>
  <c r="AS149" i="6"/>
  <c r="AW149" i="6"/>
  <c r="BI149" i="6"/>
  <c r="BJ149" i="6"/>
  <c r="BK149" i="6"/>
  <c r="BL149" i="6"/>
  <c r="BM149" i="6"/>
  <c r="BN149" i="6"/>
  <c r="BO149" i="6"/>
  <c r="X149" i="6"/>
  <c r="Y149" i="6"/>
  <c r="Z149" i="6"/>
  <c r="AT149" i="6"/>
  <c r="AU149" i="6"/>
  <c r="AV149" i="6"/>
  <c r="BP149" i="6"/>
  <c r="BQ149" i="6"/>
  <c r="BS149" i="6"/>
  <c r="BR149" i="6"/>
  <c r="AC149" i="6"/>
  <c r="AD149" i="6"/>
  <c r="AG149" i="6"/>
  <c r="AH149" i="6"/>
  <c r="AI149" i="6"/>
  <c r="AJ149" i="6"/>
  <c r="AK149" i="6"/>
  <c r="AL149" i="6"/>
  <c r="AE149" i="6" s="1"/>
  <c r="AF149" i="6"/>
  <c r="BC150" i="6"/>
  <c r="BD150" i="6"/>
  <c r="BE150" i="6"/>
  <c r="BF150" i="6"/>
  <c r="AY150" i="6"/>
  <c r="AZ150" i="6"/>
  <c r="BG150" i="6"/>
  <c r="BH150" i="6"/>
  <c r="BA150" i="6" s="1"/>
  <c r="BB150" i="6"/>
  <c r="G150" i="6"/>
  <c r="K150" i="6"/>
  <c r="L150" i="6"/>
  <c r="M150" i="6"/>
  <c r="N150" i="6"/>
  <c r="O150" i="6"/>
  <c r="P150" i="6"/>
  <c r="H150" i="6"/>
  <c r="I150" i="6"/>
  <c r="J150" i="6"/>
  <c r="BS150" i="6"/>
  <c r="Q150" i="6"/>
  <c r="R150" i="6"/>
  <c r="S150" i="6"/>
  <c r="T150" i="6"/>
  <c r="U150" i="6"/>
  <c r="V150" i="6"/>
  <c r="W150" i="6"/>
  <c r="AA150" i="6"/>
  <c r="AM150" i="6"/>
  <c r="AN150" i="6"/>
  <c r="AO150" i="6"/>
  <c r="AP150" i="6"/>
  <c r="AQ150" i="6"/>
  <c r="AR150" i="6"/>
  <c r="AS150" i="6"/>
  <c r="AW150" i="6"/>
  <c r="BI150" i="6"/>
  <c r="BJ150" i="6"/>
  <c r="BK150" i="6"/>
  <c r="BL150" i="6"/>
  <c r="BM150" i="6"/>
  <c r="BN150" i="6"/>
  <c r="BO150" i="6"/>
  <c r="X150" i="6"/>
  <c r="Y150" i="6"/>
  <c r="Z150" i="6"/>
  <c r="AT150" i="6"/>
  <c r="AU150" i="6"/>
  <c r="AV150" i="6"/>
  <c r="BP150" i="6"/>
  <c r="BQ150" i="6"/>
  <c r="BR150" i="6"/>
  <c r="AC150" i="6"/>
  <c r="AD150" i="6"/>
  <c r="AG150" i="6"/>
  <c r="AH150" i="6"/>
  <c r="AI150" i="6"/>
  <c r="AJ150" i="6"/>
  <c r="AK150" i="6"/>
  <c r="AL150" i="6"/>
  <c r="AE150" i="6" s="1"/>
  <c r="AF150" i="6"/>
  <c r="Q151" i="6"/>
  <c r="R151" i="6"/>
  <c r="S151" i="6"/>
  <c r="T151" i="6"/>
  <c r="U151" i="6"/>
  <c r="V151" i="6"/>
  <c r="W151" i="6"/>
  <c r="AA151" i="6"/>
  <c r="AM151" i="6"/>
  <c r="AN151" i="6"/>
  <c r="AO151" i="6"/>
  <c r="AP151" i="6"/>
  <c r="AQ151" i="6"/>
  <c r="AR151" i="6"/>
  <c r="AS151" i="6"/>
  <c r="AW151" i="6"/>
  <c r="BI151" i="6"/>
  <c r="BJ151" i="6"/>
  <c r="BK151" i="6"/>
  <c r="BL151" i="6"/>
  <c r="BM151" i="6"/>
  <c r="BN151" i="6"/>
  <c r="BO151" i="6"/>
  <c r="Y151" i="6"/>
  <c r="Z151" i="6"/>
  <c r="AT151" i="6"/>
  <c r="AU151" i="6"/>
  <c r="AV151" i="6"/>
  <c r="BP151" i="6"/>
  <c r="BQ151" i="6"/>
  <c r="BS151" i="6"/>
  <c r="X151" i="6"/>
  <c r="BR151" i="6"/>
  <c r="G151" i="6"/>
  <c r="H151" i="6"/>
  <c r="K151" i="6"/>
  <c r="L151" i="6"/>
  <c r="M151" i="6"/>
  <c r="N151" i="6"/>
  <c r="O151" i="6"/>
  <c r="P151" i="6"/>
  <c r="I151" i="6" s="1"/>
  <c r="J151" i="6"/>
  <c r="AC151" i="6"/>
  <c r="AD151" i="6"/>
  <c r="AG151" i="6"/>
  <c r="AH151" i="6"/>
  <c r="AI151" i="6"/>
  <c r="AJ151" i="6"/>
  <c r="AK151" i="6"/>
  <c r="AL151" i="6"/>
  <c r="AE151" i="6" s="1"/>
  <c r="AF151" i="6"/>
  <c r="BC151" i="6"/>
  <c r="BD151" i="6"/>
  <c r="BE151" i="6"/>
  <c r="BF151" i="6"/>
  <c r="AY151" i="6"/>
  <c r="AZ151" i="6"/>
  <c r="BG151" i="6"/>
  <c r="BH151" i="6"/>
  <c r="BA151" i="6" s="1"/>
  <c r="BB151" i="6"/>
  <c r="BS152" i="6"/>
  <c r="Q152" i="6"/>
  <c r="R152" i="6"/>
  <c r="S152" i="6"/>
  <c r="T152" i="6"/>
  <c r="U152" i="6"/>
  <c r="V152" i="6"/>
  <c r="W152" i="6"/>
  <c r="AA152" i="6"/>
  <c r="AM152" i="6"/>
  <c r="AN152" i="6"/>
  <c r="AO152" i="6"/>
  <c r="AP152" i="6"/>
  <c r="AQ152" i="6"/>
  <c r="AR152" i="6"/>
  <c r="AS152" i="6"/>
  <c r="AW152" i="6"/>
  <c r="BI152" i="6"/>
  <c r="BJ152" i="6"/>
  <c r="BK152" i="6"/>
  <c r="BL152" i="6"/>
  <c r="BM152" i="6"/>
  <c r="BN152" i="6"/>
  <c r="BO152" i="6"/>
  <c r="X152" i="6"/>
  <c r="Y152" i="6"/>
  <c r="Z152" i="6"/>
  <c r="AT152" i="6"/>
  <c r="AU152" i="6"/>
  <c r="AV152" i="6"/>
  <c r="BP152" i="6"/>
  <c r="BQ152" i="6"/>
  <c r="BR152" i="6"/>
  <c r="G152" i="6"/>
  <c r="K152" i="6"/>
  <c r="L152" i="6"/>
  <c r="M152" i="6"/>
  <c r="N152" i="6"/>
  <c r="O152" i="6"/>
  <c r="P152" i="6"/>
  <c r="H152" i="6"/>
  <c r="I152" i="6"/>
  <c r="J152" i="6"/>
  <c r="AC152" i="6"/>
  <c r="AD152" i="6"/>
  <c r="AG152" i="6"/>
  <c r="AH152" i="6"/>
  <c r="AI152" i="6"/>
  <c r="AJ152" i="6"/>
  <c r="AK152" i="6"/>
  <c r="AL152" i="6"/>
  <c r="AE152" i="6" s="1"/>
  <c r="AF152" i="6"/>
  <c r="BC152" i="6"/>
  <c r="BD152" i="6"/>
  <c r="BE152" i="6"/>
  <c r="BF152" i="6"/>
  <c r="AY152" i="6"/>
  <c r="AZ152" i="6"/>
  <c r="BG152" i="6"/>
  <c r="BH152" i="6"/>
  <c r="BA152" i="6" s="1"/>
  <c r="BB152" i="6"/>
  <c r="Q153" i="6"/>
  <c r="R153" i="6"/>
  <c r="S153" i="6"/>
  <c r="T153" i="6"/>
  <c r="U153" i="6"/>
  <c r="V153" i="6"/>
  <c r="W153" i="6"/>
  <c r="AA153" i="6"/>
  <c r="AM153" i="6"/>
  <c r="AN153" i="6"/>
  <c r="AO153" i="6"/>
  <c r="AP153" i="6"/>
  <c r="AQ153" i="6"/>
  <c r="AR153" i="6"/>
  <c r="AS153" i="6"/>
  <c r="AW153" i="6"/>
  <c r="BI153" i="6"/>
  <c r="BJ153" i="6"/>
  <c r="BK153" i="6"/>
  <c r="BL153" i="6"/>
  <c r="BM153" i="6"/>
  <c r="BN153" i="6"/>
  <c r="BO153" i="6"/>
  <c r="X153" i="6"/>
  <c r="Y153" i="6"/>
  <c r="Z153" i="6"/>
  <c r="AT153" i="6"/>
  <c r="AU153" i="6"/>
  <c r="AV153" i="6"/>
  <c r="BP153" i="6"/>
  <c r="BQ153" i="6"/>
  <c r="BS153" i="6"/>
  <c r="BR153" i="6"/>
  <c r="AC153" i="6"/>
  <c r="AD153" i="6"/>
  <c r="AG153" i="6"/>
  <c r="AH153" i="6"/>
  <c r="AI153" i="6"/>
  <c r="AJ153" i="6"/>
  <c r="AK153" i="6"/>
  <c r="AL153" i="6"/>
  <c r="AE153" i="6" s="1"/>
  <c r="AF153" i="6"/>
  <c r="G153" i="6"/>
  <c r="K153" i="6"/>
  <c r="L153" i="6"/>
  <c r="M153" i="6"/>
  <c r="N153" i="6"/>
  <c r="O153" i="6"/>
  <c r="P153" i="6"/>
  <c r="I153" i="6" s="1"/>
  <c r="H153" i="6"/>
  <c r="J153" i="6"/>
  <c r="BC153" i="6"/>
  <c r="BD153" i="6"/>
  <c r="BE153" i="6"/>
  <c r="BF153" i="6"/>
  <c r="AY153" i="6"/>
  <c r="AZ153" i="6"/>
  <c r="BG153" i="6"/>
  <c r="BH153" i="6"/>
  <c r="BA153" i="6" s="1"/>
  <c r="BB153" i="6"/>
  <c r="G154" i="6"/>
  <c r="K154" i="6"/>
  <c r="L154" i="6"/>
  <c r="M154" i="6"/>
  <c r="N154" i="6"/>
  <c r="O154" i="6"/>
  <c r="P154" i="6"/>
  <c r="H154" i="6"/>
  <c r="I154" i="6"/>
  <c r="J154" i="6"/>
  <c r="BS154" i="6"/>
  <c r="Q154" i="6"/>
  <c r="R154" i="6"/>
  <c r="S154" i="6"/>
  <c r="T154" i="6"/>
  <c r="U154" i="6"/>
  <c r="V154" i="6"/>
  <c r="W154" i="6"/>
  <c r="AA154" i="6"/>
  <c r="AM154" i="6"/>
  <c r="AN154" i="6"/>
  <c r="AO154" i="6"/>
  <c r="AP154" i="6"/>
  <c r="AQ154" i="6"/>
  <c r="AR154" i="6"/>
  <c r="AS154" i="6"/>
  <c r="AW154" i="6"/>
  <c r="BI154" i="6"/>
  <c r="BJ154" i="6"/>
  <c r="BK154" i="6"/>
  <c r="BL154" i="6"/>
  <c r="BM154" i="6"/>
  <c r="BN154" i="6"/>
  <c r="BO154" i="6"/>
  <c r="Y154" i="6"/>
  <c r="Z154" i="6"/>
  <c r="AT154" i="6"/>
  <c r="AU154" i="6"/>
  <c r="AV154" i="6"/>
  <c r="BP154" i="6"/>
  <c r="BQ154" i="6"/>
  <c r="X154" i="6"/>
  <c r="BR154" i="6"/>
  <c r="AC154" i="6"/>
  <c r="AD154" i="6"/>
  <c r="AG154" i="6"/>
  <c r="AH154" i="6"/>
  <c r="AI154" i="6"/>
  <c r="AJ154" i="6"/>
  <c r="AK154" i="6"/>
  <c r="AL154" i="6"/>
  <c r="AE154" i="6" s="1"/>
  <c r="AF154" i="6"/>
  <c r="BC154" i="6"/>
  <c r="BD154" i="6"/>
  <c r="BE154" i="6"/>
  <c r="BF154" i="6"/>
  <c r="AY154" i="6"/>
  <c r="AZ154" i="6"/>
  <c r="BG154" i="6"/>
  <c r="BH154" i="6"/>
  <c r="BA154" i="6" s="1"/>
  <c r="BB154" i="6"/>
  <c r="G155" i="6"/>
  <c r="H155" i="6"/>
  <c r="K155" i="6"/>
  <c r="L155" i="6"/>
  <c r="M155" i="6"/>
  <c r="N155" i="6"/>
  <c r="O155" i="6"/>
  <c r="P155" i="6"/>
  <c r="I155" i="6" s="1"/>
  <c r="J155" i="6"/>
  <c r="Q155" i="6"/>
  <c r="R155" i="6"/>
  <c r="S155" i="6"/>
  <c r="T155" i="6"/>
  <c r="U155" i="6"/>
  <c r="V155" i="6"/>
  <c r="W155" i="6"/>
  <c r="AA155" i="6"/>
  <c r="AM155" i="6"/>
  <c r="AN155" i="6"/>
  <c r="AO155" i="6"/>
  <c r="AP155" i="6"/>
  <c r="AQ155" i="6"/>
  <c r="AR155" i="6"/>
  <c r="AS155" i="6"/>
  <c r="AW155" i="6"/>
  <c r="BI155" i="6"/>
  <c r="BJ155" i="6"/>
  <c r="BK155" i="6"/>
  <c r="BL155" i="6"/>
  <c r="BM155" i="6"/>
  <c r="BN155" i="6"/>
  <c r="BO155" i="6"/>
  <c r="X155" i="6"/>
  <c r="Y155" i="6"/>
  <c r="Z155" i="6"/>
  <c r="AT155" i="6"/>
  <c r="AU155" i="6"/>
  <c r="AV155" i="6"/>
  <c r="BP155" i="6"/>
  <c r="BQ155" i="6"/>
  <c r="BS155" i="6"/>
  <c r="BR155" i="6"/>
  <c r="AC155" i="6"/>
  <c r="AD155" i="6"/>
  <c r="AG155" i="6"/>
  <c r="AH155" i="6"/>
  <c r="AI155" i="6"/>
  <c r="AJ155" i="6"/>
  <c r="AK155" i="6"/>
  <c r="AL155" i="6"/>
  <c r="AE155" i="6" s="1"/>
  <c r="AF155" i="6"/>
  <c r="BC155" i="6"/>
  <c r="BD155" i="6"/>
  <c r="BE155" i="6"/>
  <c r="BF155" i="6"/>
  <c r="AY155" i="6"/>
  <c r="AZ155" i="6"/>
  <c r="BG155" i="6"/>
  <c r="BH155" i="6"/>
  <c r="BA155" i="6" s="1"/>
  <c r="BB155" i="6"/>
  <c r="G156" i="6"/>
  <c r="K156" i="6"/>
  <c r="L156" i="6"/>
  <c r="M156" i="6"/>
  <c r="N156" i="6"/>
  <c r="O156" i="6"/>
  <c r="P156" i="6"/>
  <c r="H156" i="6"/>
  <c r="I156" i="6"/>
  <c r="J156" i="6"/>
  <c r="BS156" i="6"/>
  <c r="Q156" i="6"/>
  <c r="R156" i="6"/>
  <c r="S156" i="6"/>
  <c r="T156" i="6"/>
  <c r="U156" i="6"/>
  <c r="V156" i="6"/>
  <c r="W156" i="6"/>
  <c r="AA156" i="6"/>
  <c r="AM156" i="6"/>
  <c r="AN156" i="6"/>
  <c r="AO156" i="6"/>
  <c r="AP156" i="6"/>
  <c r="AQ156" i="6"/>
  <c r="AR156" i="6"/>
  <c r="AS156" i="6"/>
  <c r="AW156" i="6"/>
  <c r="BI156" i="6"/>
  <c r="BJ156" i="6"/>
  <c r="BK156" i="6"/>
  <c r="BL156" i="6"/>
  <c r="BM156" i="6"/>
  <c r="BN156" i="6"/>
  <c r="BO156" i="6"/>
  <c r="Y156" i="6"/>
  <c r="Z156" i="6"/>
  <c r="AT156" i="6"/>
  <c r="AU156" i="6"/>
  <c r="AV156" i="6"/>
  <c r="BP156" i="6"/>
  <c r="BQ156" i="6"/>
  <c r="X156" i="6"/>
  <c r="BR156" i="6"/>
  <c r="BC156" i="6"/>
  <c r="BD156" i="6"/>
  <c r="BE156" i="6"/>
  <c r="BF156" i="6"/>
  <c r="AY156" i="6"/>
  <c r="AZ156" i="6"/>
  <c r="BG156" i="6"/>
  <c r="BH156" i="6"/>
  <c r="BA156" i="6" s="1"/>
  <c r="BB156" i="6"/>
  <c r="AC156" i="6"/>
  <c r="AD156" i="6"/>
  <c r="AG156" i="6"/>
  <c r="AH156" i="6"/>
  <c r="AI156" i="6"/>
  <c r="AJ156" i="6"/>
  <c r="AK156" i="6"/>
  <c r="AL156" i="6"/>
  <c r="AC157" i="6"/>
  <c r="AD157" i="6"/>
  <c r="AG157" i="6"/>
  <c r="AH157" i="6"/>
  <c r="AI157" i="6"/>
  <c r="AJ157" i="6"/>
  <c r="AK157" i="6"/>
  <c r="AL157" i="6"/>
  <c r="AE157" i="6" s="1"/>
  <c r="AF157" i="6"/>
  <c r="Q157" i="6"/>
  <c r="R157" i="6"/>
  <c r="S157" i="6"/>
  <c r="T157" i="6"/>
  <c r="U157" i="6"/>
  <c r="V157" i="6"/>
  <c r="W157" i="6"/>
  <c r="AA157" i="6"/>
  <c r="AM157" i="6"/>
  <c r="AN157" i="6"/>
  <c r="AO157" i="6"/>
  <c r="AP157" i="6"/>
  <c r="AQ157" i="6"/>
  <c r="AR157" i="6"/>
  <c r="AS157" i="6"/>
  <c r="AW157" i="6"/>
  <c r="BI157" i="6"/>
  <c r="BJ157" i="6"/>
  <c r="BK157" i="6"/>
  <c r="BL157" i="6"/>
  <c r="BM157" i="6"/>
  <c r="BN157" i="6"/>
  <c r="BO157" i="6"/>
  <c r="X157" i="6"/>
  <c r="Y157" i="6"/>
  <c r="Z157" i="6"/>
  <c r="AT157" i="6"/>
  <c r="AU157" i="6"/>
  <c r="AV157" i="6"/>
  <c r="BP157" i="6"/>
  <c r="BQ157" i="6"/>
  <c r="BS157" i="6"/>
  <c r="BR157" i="6"/>
  <c r="G157" i="6"/>
  <c r="K157" i="6"/>
  <c r="L157" i="6"/>
  <c r="M157" i="6"/>
  <c r="N157" i="6"/>
  <c r="O157" i="6"/>
  <c r="P157" i="6"/>
  <c r="I157" i="6" s="1"/>
  <c r="H157" i="6"/>
  <c r="J157" i="6"/>
  <c r="BC157" i="6"/>
  <c r="BD157" i="6"/>
  <c r="BE157" i="6"/>
  <c r="BF157" i="6"/>
  <c r="AY157" i="6"/>
  <c r="AZ157" i="6"/>
  <c r="BG157" i="6"/>
  <c r="BH157" i="6"/>
  <c r="BC158" i="6"/>
  <c r="BD158" i="6"/>
  <c r="BE158" i="6"/>
  <c r="BF158" i="6"/>
  <c r="AY158" i="6"/>
  <c r="AZ158" i="6"/>
  <c r="BG158" i="6"/>
  <c r="BH158" i="6"/>
  <c r="BS158" i="6"/>
  <c r="Q158" i="6"/>
  <c r="R158" i="6"/>
  <c r="S158" i="6"/>
  <c r="T158" i="6"/>
  <c r="U158" i="6"/>
  <c r="V158" i="6"/>
  <c r="W158" i="6"/>
  <c r="AA158" i="6"/>
  <c r="AM158" i="6"/>
  <c r="AN158" i="6"/>
  <c r="AO158" i="6"/>
  <c r="AP158" i="6"/>
  <c r="AQ158" i="6"/>
  <c r="AR158" i="6"/>
  <c r="AS158" i="6"/>
  <c r="AW158" i="6"/>
  <c r="BI158" i="6"/>
  <c r="BJ158" i="6"/>
  <c r="BK158" i="6"/>
  <c r="BL158" i="6"/>
  <c r="BM158" i="6"/>
  <c r="BN158" i="6"/>
  <c r="BO158" i="6"/>
  <c r="Y158" i="6"/>
  <c r="Z158" i="6"/>
  <c r="AT158" i="6"/>
  <c r="AU158" i="6"/>
  <c r="AV158" i="6"/>
  <c r="BP158" i="6"/>
  <c r="BQ158" i="6"/>
  <c r="X158" i="6"/>
  <c r="BR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C159" i="6"/>
  <c r="AD159" i="6"/>
  <c r="AG159" i="6"/>
  <c r="AH159" i="6"/>
  <c r="AI159" i="6"/>
  <c r="AJ159" i="6"/>
  <c r="AK159" i="6"/>
  <c r="AL159" i="6"/>
  <c r="Q159" i="6"/>
  <c r="R159" i="6"/>
  <c r="S159" i="6"/>
  <c r="T159" i="6"/>
  <c r="U159" i="6"/>
  <c r="V159" i="6"/>
  <c r="W159" i="6"/>
  <c r="AA159" i="6"/>
  <c r="AM159" i="6"/>
  <c r="AN159" i="6"/>
  <c r="AO159" i="6"/>
  <c r="AP159" i="6"/>
  <c r="AQ159" i="6"/>
  <c r="AR159" i="6"/>
  <c r="AS159" i="6"/>
  <c r="AW159" i="6"/>
  <c r="BI159" i="6"/>
  <c r="BJ159" i="6"/>
  <c r="BK159" i="6"/>
  <c r="BL159" i="6"/>
  <c r="BM159" i="6"/>
  <c r="BN159" i="6"/>
  <c r="BO159" i="6"/>
  <c r="X159" i="6"/>
  <c r="Y159" i="6"/>
  <c r="Z159" i="6"/>
  <c r="AT159" i="6"/>
  <c r="AU159" i="6"/>
  <c r="AV159" i="6"/>
  <c r="BP159" i="6"/>
  <c r="BQ159" i="6"/>
  <c r="BS159" i="6"/>
  <c r="BR159" i="6"/>
  <c r="G159" i="6"/>
  <c r="K159" i="6"/>
  <c r="L159" i="6"/>
  <c r="M159" i="6"/>
  <c r="N159" i="6"/>
  <c r="O159" i="6"/>
  <c r="P159" i="6"/>
  <c r="I159" i="6" s="1"/>
  <c r="H159" i="6"/>
  <c r="J159" i="6"/>
  <c r="BC159" i="6"/>
  <c r="BD159" i="6"/>
  <c r="BE159" i="6"/>
  <c r="BF159" i="6"/>
  <c r="AY159" i="6"/>
  <c r="AZ159" i="6"/>
  <c r="BG159" i="6"/>
  <c r="BH159" i="6"/>
  <c r="BS160" i="6"/>
  <c r="Q160" i="6"/>
  <c r="R160" i="6"/>
  <c r="S160" i="6"/>
  <c r="T160" i="6"/>
  <c r="U160" i="6"/>
  <c r="V160" i="6"/>
  <c r="W160" i="6"/>
  <c r="AA160" i="6"/>
  <c r="AM160" i="6"/>
  <c r="AN160" i="6"/>
  <c r="AO160" i="6"/>
  <c r="AP160" i="6"/>
  <c r="AQ160" i="6"/>
  <c r="AR160" i="6"/>
  <c r="AS160" i="6"/>
  <c r="AW160" i="6"/>
  <c r="BI160" i="6"/>
  <c r="BJ160" i="6"/>
  <c r="BK160" i="6"/>
  <c r="BL160" i="6"/>
  <c r="BM160" i="6"/>
  <c r="BN160" i="6"/>
  <c r="BO160" i="6"/>
  <c r="Y160" i="6"/>
  <c r="Z160" i="6"/>
  <c r="AT160" i="6"/>
  <c r="AU160" i="6"/>
  <c r="AV160" i="6"/>
  <c r="BP160" i="6"/>
  <c r="BQ160" i="6"/>
  <c r="X160" i="6"/>
  <c r="BR160" i="6"/>
  <c r="G160" i="6"/>
  <c r="K160" i="6"/>
  <c r="L160" i="6"/>
  <c r="M160" i="6"/>
  <c r="N160" i="6"/>
  <c r="O160" i="6"/>
  <c r="P160" i="6"/>
  <c r="H160" i="6"/>
  <c r="I160" i="6"/>
  <c r="J160" i="6"/>
  <c r="BC160" i="6"/>
  <c r="BD160" i="6"/>
  <c r="BE160" i="6"/>
  <c r="BF160" i="6"/>
  <c r="AY160" i="6"/>
  <c r="AZ160" i="6"/>
  <c r="BG160" i="6"/>
  <c r="BH160" i="6"/>
  <c r="BA160" i="6" s="1"/>
  <c r="BB160" i="6"/>
  <c r="AC160" i="6"/>
  <c r="AD160" i="6"/>
  <c r="AG160" i="6"/>
  <c r="AH160" i="6"/>
  <c r="AI160" i="6"/>
  <c r="AJ160" i="6"/>
  <c r="AK160" i="6"/>
  <c r="AL160" i="6"/>
  <c r="AE160" i="6" s="1"/>
  <c r="AF160" i="6"/>
  <c r="Q161" i="6"/>
  <c r="R161" i="6"/>
  <c r="S161" i="6"/>
  <c r="T161" i="6"/>
  <c r="U161" i="6"/>
  <c r="V161" i="6"/>
  <c r="W161" i="6"/>
  <c r="AA161" i="6"/>
  <c r="AM161" i="6"/>
  <c r="AN161" i="6"/>
  <c r="AO161" i="6"/>
  <c r="AP161" i="6"/>
  <c r="AQ161" i="6"/>
  <c r="AR161" i="6"/>
  <c r="AS161" i="6"/>
  <c r="AW161" i="6"/>
  <c r="BI161" i="6"/>
  <c r="BJ161" i="6"/>
  <c r="BK161" i="6"/>
  <c r="BL161" i="6"/>
  <c r="BM161" i="6"/>
  <c r="BN161" i="6"/>
  <c r="BO161" i="6"/>
  <c r="X161" i="6"/>
  <c r="Y161" i="6"/>
  <c r="Z161" i="6"/>
  <c r="AT161" i="6"/>
  <c r="AU161" i="6"/>
  <c r="AV161" i="6"/>
  <c r="BP161" i="6"/>
  <c r="BQ161" i="6"/>
  <c r="BS161" i="6"/>
  <c r="BR161" i="6"/>
  <c r="G161" i="6"/>
  <c r="K161" i="6"/>
  <c r="L161" i="6"/>
  <c r="M161" i="6"/>
  <c r="N161" i="6"/>
  <c r="O161" i="6"/>
  <c r="P161" i="6"/>
  <c r="I161" i="6" s="1"/>
  <c r="H161" i="6"/>
  <c r="J161" i="6"/>
  <c r="BC161" i="6"/>
  <c r="BD161" i="6"/>
  <c r="BE161" i="6"/>
  <c r="BF161" i="6"/>
  <c r="AY161" i="6"/>
  <c r="AZ161" i="6"/>
  <c r="BG161" i="6"/>
  <c r="BH161" i="6"/>
  <c r="BA161" i="6" s="1"/>
  <c r="BB161" i="6"/>
  <c r="AC161" i="6"/>
  <c r="AD161" i="6"/>
  <c r="AG161" i="6"/>
  <c r="AH161" i="6"/>
  <c r="AI161" i="6"/>
  <c r="AJ161" i="6"/>
  <c r="AK161" i="6"/>
  <c r="AL161" i="6"/>
  <c r="AE161" i="6" s="1"/>
  <c r="AF161" i="6"/>
  <c r="BC162" i="6"/>
  <c r="BD162" i="6"/>
  <c r="BE162" i="6"/>
  <c r="BF162" i="6"/>
  <c r="AY162" i="6"/>
  <c r="AZ162" i="6"/>
  <c r="BG162" i="6"/>
  <c r="BH162" i="6"/>
  <c r="BA162" i="6" s="1"/>
  <c r="BB162" i="6"/>
  <c r="BS162" i="6"/>
  <c r="Q162" i="6"/>
  <c r="R162" i="6"/>
  <c r="S162" i="6"/>
  <c r="T162" i="6"/>
  <c r="U162" i="6"/>
  <c r="V162" i="6"/>
  <c r="W162" i="6"/>
  <c r="AA162" i="6"/>
  <c r="AM162" i="6"/>
  <c r="AN162" i="6"/>
  <c r="AO162" i="6"/>
  <c r="AP162" i="6"/>
  <c r="AQ162" i="6"/>
  <c r="AR162" i="6"/>
  <c r="AS162" i="6"/>
  <c r="AW162" i="6"/>
  <c r="BI162" i="6"/>
  <c r="BJ162" i="6"/>
  <c r="BK162" i="6"/>
  <c r="BL162" i="6"/>
  <c r="BM162" i="6"/>
  <c r="BN162" i="6"/>
  <c r="BO162" i="6"/>
  <c r="Y162" i="6"/>
  <c r="Z162" i="6"/>
  <c r="AT162" i="6"/>
  <c r="AU162" i="6"/>
  <c r="AV162" i="6"/>
  <c r="BP162" i="6"/>
  <c r="BQ162" i="6"/>
  <c r="X162" i="6"/>
  <c r="BR162" i="6"/>
  <c r="G162" i="6"/>
  <c r="H162" i="6"/>
  <c r="K162" i="6"/>
  <c r="L162" i="6"/>
  <c r="M162" i="6"/>
  <c r="N162" i="6"/>
  <c r="O162" i="6"/>
  <c r="P162" i="6"/>
  <c r="I162" i="6"/>
  <c r="J162" i="6"/>
  <c r="AC162" i="6"/>
  <c r="AD162" i="6"/>
  <c r="AG162" i="6"/>
  <c r="AH162" i="6"/>
  <c r="AI162" i="6"/>
  <c r="AJ162" i="6"/>
  <c r="AK162" i="6"/>
  <c r="AL162" i="6"/>
  <c r="AE162" i="6" s="1"/>
  <c r="AF162" i="6"/>
  <c r="BC163" i="6"/>
  <c r="BD163" i="6"/>
  <c r="BE163" i="6"/>
  <c r="BF163" i="6"/>
  <c r="AY163" i="6"/>
  <c r="AZ163" i="6"/>
  <c r="BG163" i="6"/>
  <c r="BH163" i="6"/>
  <c r="BA163" i="6" s="1"/>
  <c r="BB163" i="6"/>
  <c r="G163" i="6"/>
  <c r="K163" i="6"/>
  <c r="L163" i="6"/>
  <c r="M163" i="6"/>
  <c r="N163" i="6"/>
  <c r="O163" i="6"/>
  <c r="P163" i="6"/>
  <c r="I163" i="6" s="1"/>
  <c r="H163" i="6"/>
  <c r="J163" i="6"/>
  <c r="Q163" i="6"/>
  <c r="R163" i="6"/>
  <c r="S163" i="6"/>
  <c r="T163" i="6"/>
  <c r="U163" i="6"/>
  <c r="V163" i="6"/>
  <c r="W163" i="6"/>
  <c r="AA163" i="6"/>
  <c r="AM163" i="6"/>
  <c r="AN163" i="6"/>
  <c r="AO163" i="6"/>
  <c r="AP163" i="6"/>
  <c r="AQ163" i="6"/>
  <c r="AR163" i="6"/>
  <c r="AS163" i="6"/>
  <c r="AW163" i="6"/>
  <c r="BI163" i="6"/>
  <c r="BJ163" i="6"/>
  <c r="BK163" i="6"/>
  <c r="BL163" i="6"/>
  <c r="BM163" i="6"/>
  <c r="BN163" i="6"/>
  <c r="BO163" i="6"/>
  <c r="X163" i="6"/>
  <c r="Y163" i="6"/>
  <c r="Z163" i="6"/>
  <c r="AT163" i="6"/>
  <c r="AU163" i="6"/>
  <c r="AV163" i="6"/>
  <c r="BP163" i="6"/>
  <c r="BQ163" i="6"/>
  <c r="BS163" i="6"/>
  <c r="BR163" i="6"/>
  <c r="AC163" i="6"/>
  <c r="AD163" i="6"/>
  <c r="AG163" i="6"/>
  <c r="AH163" i="6"/>
  <c r="AI163" i="6"/>
  <c r="AJ163" i="6"/>
  <c r="AK163" i="6"/>
  <c r="AL163" i="6"/>
  <c r="AE163" i="6" s="1"/>
  <c r="AF163" i="6"/>
  <c r="BS164" i="6"/>
  <c r="Q164" i="6"/>
  <c r="R164" i="6"/>
  <c r="S164" i="6"/>
  <c r="T164" i="6"/>
  <c r="U164" i="6"/>
  <c r="V164" i="6"/>
  <c r="W164" i="6"/>
  <c r="AA164" i="6"/>
  <c r="AM164" i="6"/>
  <c r="AN164" i="6"/>
  <c r="AO164" i="6"/>
  <c r="AP164" i="6"/>
  <c r="AQ164" i="6"/>
  <c r="AR164" i="6"/>
  <c r="AS164" i="6"/>
  <c r="AW164" i="6"/>
  <c r="BI164" i="6"/>
  <c r="BJ164" i="6"/>
  <c r="BK164" i="6"/>
  <c r="BL164" i="6"/>
  <c r="BM164" i="6"/>
  <c r="BN164" i="6"/>
  <c r="BO164" i="6"/>
  <c r="Y164" i="6"/>
  <c r="Z164" i="6"/>
  <c r="AT164" i="6"/>
  <c r="AU164" i="6"/>
  <c r="AV164" i="6"/>
  <c r="BP164" i="6"/>
  <c r="BQ164" i="6"/>
  <c r="X164" i="6"/>
  <c r="BR164" i="6"/>
  <c r="G164" i="6"/>
  <c r="H164" i="6"/>
  <c r="L164" i="6"/>
  <c r="M164" i="6"/>
  <c r="N164" i="6"/>
  <c r="O164" i="6"/>
  <c r="P164" i="6"/>
  <c r="K164" i="6"/>
  <c r="I164" i="6"/>
  <c r="J164" i="6"/>
  <c r="BC164" i="6"/>
  <c r="BD164" i="6"/>
  <c r="BE164" i="6"/>
  <c r="BF164" i="6"/>
  <c r="AY164" i="6"/>
  <c r="AZ164" i="6"/>
  <c r="BG164" i="6"/>
  <c r="BH164" i="6"/>
  <c r="BA164" i="6" s="1"/>
  <c r="BB164" i="6"/>
  <c r="AC164" i="6"/>
  <c r="AD164" i="6"/>
  <c r="AG164" i="6"/>
  <c r="AH164" i="6"/>
  <c r="AI164" i="6"/>
  <c r="AJ164" i="6"/>
  <c r="AK164" i="6"/>
  <c r="AL164" i="6"/>
  <c r="AE164" i="6" s="1"/>
  <c r="AF164" i="6"/>
  <c r="BC165" i="6"/>
  <c r="BD165" i="6"/>
  <c r="BE165" i="6"/>
  <c r="BF165" i="6"/>
  <c r="AY165" i="6"/>
  <c r="AZ165" i="6"/>
  <c r="BG165" i="6"/>
  <c r="BH165" i="6"/>
  <c r="BA165" i="6" s="1"/>
  <c r="BB165" i="6"/>
  <c r="AC165" i="6"/>
  <c r="AD165" i="6"/>
  <c r="AG165" i="6"/>
  <c r="AH165" i="6"/>
  <c r="AI165" i="6"/>
  <c r="AJ165" i="6"/>
  <c r="AK165" i="6"/>
  <c r="AL165" i="6"/>
  <c r="AE165" i="6" s="1"/>
  <c r="AF165" i="6"/>
  <c r="G165" i="6"/>
  <c r="L165" i="6"/>
  <c r="M165" i="6"/>
  <c r="N165" i="6"/>
  <c r="O165" i="6"/>
  <c r="P165" i="6"/>
  <c r="I165" i="6" s="1"/>
  <c r="H165" i="6"/>
  <c r="K165" i="6"/>
  <c r="J165" i="6"/>
  <c r="Q165" i="6"/>
  <c r="R165" i="6"/>
  <c r="S165" i="6"/>
  <c r="T165" i="6"/>
  <c r="U165" i="6"/>
  <c r="V165" i="6"/>
  <c r="W165" i="6"/>
  <c r="AA165" i="6"/>
  <c r="AM165" i="6"/>
  <c r="AN165" i="6"/>
  <c r="AO165" i="6"/>
  <c r="AP165" i="6"/>
  <c r="AQ165" i="6"/>
  <c r="AR165" i="6"/>
  <c r="AS165" i="6"/>
  <c r="AW165" i="6"/>
  <c r="BI165" i="6"/>
  <c r="BJ165" i="6"/>
  <c r="BK165" i="6"/>
  <c r="BL165" i="6"/>
  <c r="BM165" i="6"/>
  <c r="BN165" i="6"/>
  <c r="BO165" i="6"/>
  <c r="X165" i="6"/>
  <c r="Y165" i="6"/>
  <c r="Z165" i="6"/>
  <c r="AT165" i="6"/>
  <c r="AU165" i="6"/>
  <c r="AV165" i="6"/>
  <c r="BP165" i="6"/>
  <c r="BQ165" i="6"/>
  <c r="BS165" i="6"/>
  <c r="BR165" i="6"/>
  <c r="Q166" i="6"/>
  <c r="R166" i="6"/>
  <c r="S166" i="6"/>
  <c r="T166" i="6"/>
  <c r="U166" i="6"/>
  <c r="V166" i="6"/>
  <c r="W166" i="6"/>
  <c r="AA166" i="6"/>
  <c r="AM166" i="6"/>
  <c r="AN166" i="6"/>
  <c r="AO166" i="6"/>
  <c r="AP166" i="6"/>
  <c r="AQ166" i="6"/>
  <c r="AR166" i="6"/>
  <c r="AS166" i="6"/>
  <c r="AW166" i="6"/>
  <c r="BI166" i="6"/>
  <c r="BJ166" i="6"/>
  <c r="BK166" i="6"/>
  <c r="BL166" i="6"/>
  <c r="BM166" i="6"/>
  <c r="BN166" i="6"/>
  <c r="BO166" i="6"/>
  <c r="X166" i="6"/>
  <c r="Y166" i="6"/>
  <c r="Z166" i="6"/>
  <c r="AT166" i="6"/>
  <c r="AU166" i="6"/>
  <c r="AV166" i="6"/>
  <c r="BP166" i="6"/>
  <c r="BQ166" i="6"/>
  <c r="BS166" i="6"/>
  <c r="BR166" i="6"/>
  <c r="BC166" i="6"/>
  <c r="BD166" i="6"/>
  <c r="BE166" i="6"/>
  <c r="BF166" i="6"/>
  <c r="AY166" i="6"/>
  <c r="AZ166" i="6"/>
  <c r="BG166" i="6"/>
  <c r="BH166" i="6"/>
  <c r="BA166" i="6" s="1"/>
  <c r="BB166" i="6"/>
  <c r="G166" i="6"/>
  <c r="L166" i="6"/>
  <c r="M166" i="6"/>
  <c r="N166" i="6"/>
  <c r="O166" i="6"/>
  <c r="P166" i="6"/>
  <c r="K166" i="6"/>
  <c r="H166" i="6"/>
  <c r="I166" i="6"/>
  <c r="J166" i="6"/>
  <c r="AC166" i="6"/>
  <c r="AD166" i="6"/>
  <c r="AG166" i="6"/>
  <c r="AH166" i="6"/>
  <c r="AI166" i="6"/>
  <c r="AJ166" i="6"/>
  <c r="AK166" i="6"/>
  <c r="AL166" i="6"/>
  <c r="AE166" i="6" s="1"/>
  <c r="AF166" i="6"/>
  <c r="BS167" i="6"/>
  <c r="Q167" i="6"/>
  <c r="R167" i="6"/>
  <c r="S167" i="6"/>
  <c r="T167" i="6"/>
  <c r="U167" i="6"/>
  <c r="V167" i="6"/>
  <c r="W167" i="6"/>
  <c r="AA167" i="6"/>
  <c r="AM167" i="6"/>
  <c r="AN167" i="6"/>
  <c r="AO167" i="6"/>
  <c r="AP167" i="6"/>
  <c r="AQ167" i="6"/>
  <c r="AR167" i="6"/>
  <c r="AS167" i="6"/>
  <c r="AW167" i="6"/>
  <c r="BI167" i="6"/>
  <c r="BJ167" i="6"/>
  <c r="BK167" i="6"/>
  <c r="BL167" i="6"/>
  <c r="BM167" i="6"/>
  <c r="BN167" i="6"/>
  <c r="BO167" i="6"/>
  <c r="Y167" i="6"/>
  <c r="Z167" i="6"/>
  <c r="AT167" i="6"/>
  <c r="AU167" i="6"/>
  <c r="AV167" i="6"/>
  <c r="BP167" i="6"/>
  <c r="BQ167" i="6"/>
  <c r="X167" i="6"/>
  <c r="BR167" i="6"/>
  <c r="AC167" i="6"/>
  <c r="AD167" i="6"/>
  <c r="AG167" i="6"/>
  <c r="AH167" i="6"/>
  <c r="AI167" i="6"/>
  <c r="AJ167" i="6"/>
  <c r="AK167" i="6"/>
  <c r="AL167" i="6"/>
  <c r="AE167" i="6" s="1"/>
  <c r="AF167" i="6"/>
  <c r="G167" i="6"/>
  <c r="L167" i="6"/>
  <c r="M167" i="6"/>
  <c r="N167" i="6"/>
  <c r="O167" i="6"/>
  <c r="P167" i="6"/>
  <c r="H167" i="6"/>
  <c r="I167" i="6"/>
  <c r="K167" i="6"/>
  <c r="J167" i="6"/>
  <c r="BC167" i="6"/>
  <c r="BD167" i="6"/>
  <c r="BE167" i="6"/>
  <c r="BF167" i="6"/>
  <c r="AY167" i="6"/>
  <c r="AZ167" i="6"/>
  <c r="BG167" i="6"/>
  <c r="BH167" i="6"/>
  <c r="BA167" i="6" s="1"/>
  <c r="BB167" i="6"/>
  <c r="Q168" i="6"/>
  <c r="R168" i="6"/>
  <c r="S168" i="6"/>
  <c r="T168" i="6"/>
  <c r="U168" i="6"/>
  <c r="V168" i="6"/>
  <c r="W168" i="6"/>
  <c r="AA168" i="6"/>
  <c r="AM168" i="6"/>
  <c r="AN168" i="6"/>
  <c r="AO168" i="6"/>
  <c r="AP168" i="6"/>
  <c r="AQ168" i="6"/>
  <c r="AR168" i="6"/>
  <c r="AS168" i="6"/>
  <c r="AW168" i="6"/>
  <c r="BI168" i="6"/>
  <c r="BJ168" i="6"/>
  <c r="BK168" i="6"/>
  <c r="BL168" i="6"/>
  <c r="BM168" i="6"/>
  <c r="BN168" i="6"/>
  <c r="BO168" i="6"/>
  <c r="X168" i="6"/>
  <c r="Y168" i="6"/>
  <c r="Z168" i="6"/>
  <c r="AT168" i="6"/>
  <c r="AU168" i="6"/>
  <c r="AV168" i="6"/>
  <c r="BP168" i="6"/>
  <c r="BQ168" i="6"/>
  <c r="BS168" i="6"/>
  <c r="BR168" i="6"/>
  <c r="BC168" i="6"/>
  <c r="BD168" i="6"/>
  <c r="BE168" i="6"/>
  <c r="BF168" i="6"/>
  <c r="AY168" i="6"/>
  <c r="AZ168" i="6"/>
  <c r="BG168" i="6"/>
  <c r="BH168" i="6"/>
  <c r="BA168" i="6" s="1"/>
  <c r="BB168" i="6"/>
  <c r="G168" i="6"/>
  <c r="H168" i="6"/>
  <c r="L168" i="6"/>
  <c r="M168" i="6"/>
  <c r="N168" i="6"/>
  <c r="O168" i="6"/>
  <c r="P168" i="6"/>
  <c r="I168" i="6" s="1"/>
  <c r="K168" i="6"/>
  <c r="J168" i="6"/>
  <c r="AC168" i="6"/>
  <c r="AD168" i="6"/>
  <c r="AG168" i="6"/>
  <c r="AH168" i="6"/>
  <c r="AI168" i="6"/>
  <c r="AJ168" i="6"/>
  <c r="AK168" i="6"/>
  <c r="AL168" i="6"/>
  <c r="AE168" i="6" s="1"/>
  <c r="AF168" i="6"/>
  <c r="BC169" i="6"/>
  <c r="BD169" i="6"/>
  <c r="BE169" i="6"/>
  <c r="BF169" i="6"/>
  <c r="AY169" i="6"/>
  <c r="AZ169" i="6"/>
  <c r="BG169" i="6"/>
  <c r="BH169" i="6"/>
  <c r="BA169" i="6" s="1"/>
  <c r="BB169" i="6"/>
  <c r="G169" i="6"/>
  <c r="L169" i="6"/>
  <c r="M169" i="6"/>
  <c r="N169" i="6"/>
  <c r="O169" i="6"/>
  <c r="P169" i="6"/>
  <c r="H169" i="6"/>
  <c r="I169" i="6"/>
  <c r="K169" i="6"/>
  <c r="J169" i="6"/>
  <c r="BS169" i="6"/>
  <c r="Q169" i="6"/>
  <c r="R169" i="6"/>
  <c r="S169" i="6"/>
  <c r="T169" i="6"/>
  <c r="U169" i="6"/>
  <c r="V169" i="6"/>
  <c r="W169" i="6"/>
  <c r="AA169" i="6"/>
  <c r="AM169" i="6"/>
  <c r="AN169" i="6"/>
  <c r="AO169" i="6"/>
  <c r="AP169" i="6"/>
  <c r="AQ169" i="6"/>
  <c r="AR169" i="6"/>
  <c r="AS169" i="6"/>
  <c r="AW169" i="6"/>
  <c r="BI169" i="6"/>
  <c r="BJ169" i="6"/>
  <c r="BK169" i="6"/>
  <c r="BL169" i="6"/>
  <c r="BM169" i="6"/>
  <c r="BN169" i="6"/>
  <c r="BO169" i="6"/>
  <c r="X169" i="6"/>
  <c r="Y169" i="6"/>
  <c r="Z169" i="6"/>
  <c r="AT169" i="6"/>
  <c r="AU169" i="6"/>
  <c r="AV169" i="6"/>
  <c r="BP169" i="6"/>
  <c r="BQ169" i="6"/>
  <c r="BR169" i="6"/>
  <c r="AC169" i="6"/>
  <c r="AD169" i="6"/>
  <c r="AG169" i="6"/>
  <c r="AH169" i="6"/>
  <c r="AI169" i="6"/>
  <c r="AJ169" i="6"/>
  <c r="AK169" i="6"/>
  <c r="AL169" i="6"/>
  <c r="AE169" i="6" s="1"/>
  <c r="AF169" i="6"/>
  <c r="BC170" i="6"/>
  <c r="BD170" i="6"/>
  <c r="BE170" i="6"/>
  <c r="BF170" i="6"/>
  <c r="AY170" i="6"/>
  <c r="AZ170" i="6"/>
  <c r="BG170" i="6"/>
  <c r="BH170" i="6"/>
  <c r="BA170" i="6" s="1"/>
  <c r="BB170" i="6"/>
  <c r="G170" i="6"/>
  <c r="L170" i="6"/>
  <c r="M170" i="6"/>
  <c r="N170" i="6"/>
  <c r="O170" i="6"/>
  <c r="P170" i="6"/>
  <c r="K170" i="6"/>
  <c r="H170" i="6"/>
  <c r="I170" i="6"/>
  <c r="J170" i="6"/>
  <c r="AC170" i="6"/>
  <c r="AD170" i="6"/>
  <c r="AG170" i="6"/>
  <c r="AH170" i="6"/>
  <c r="AI170" i="6"/>
  <c r="AJ170" i="6"/>
  <c r="AK170" i="6"/>
  <c r="AL170" i="6"/>
  <c r="AE170" i="6" s="1"/>
  <c r="AF170" i="6"/>
  <c r="Q170" i="6"/>
  <c r="R170" i="6"/>
  <c r="S170" i="6"/>
  <c r="T170" i="6"/>
  <c r="U170" i="6"/>
  <c r="V170" i="6"/>
  <c r="W170" i="6"/>
  <c r="AA170" i="6"/>
  <c r="AM170" i="6"/>
  <c r="AN170" i="6"/>
  <c r="AO170" i="6"/>
  <c r="AP170" i="6"/>
  <c r="AQ170" i="6"/>
  <c r="AR170" i="6"/>
  <c r="AS170" i="6"/>
  <c r="AW170" i="6"/>
  <c r="BI170" i="6"/>
  <c r="BJ170" i="6"/>
  <c r="BK170" i="6"/>
  <c r="BL170" i="6"/>
  <c r="BM170" i="6"/>
  <c r="BN170" i="6"/>
  <c r="BO170" i="6"/>
  <c r="X170" i="6"/>
  <c r="Y170" i="6"/>
  <c r="Z170" i="6"/>
  <c r="AT170" i="6"/>
  <c r="AU170" i="6"/>
  <c r="AV170" i="6"/>
  <c r="BP170" i="6"/>
  <c r="BQ170" i="6"/>
  <c r="BS170" i="6"/>
  <c r="BR170" i="6"/>
  <c r="BS171" i="6"/>
  <c r="Q171" i="6"/>
  <c r="R171" i="6"/>
  <c r="S171" i="6"/>
  <c r="T171" i="6"/>
  <c r="U171" i="6"/>
  <c r="V171" i="6"/>
  <c r="W171" i="6"/>
  <c r="AA171" i="6"/>
  <c r="AM171" i="6"/>
  <c r="AN171" i="6"/>
  <c r="AO171" i="6"/>
  <c r="AP171" i="6"/>
  <c r="AQ171" i="6"/>
  <c r="AR171" i="6"/>
  <c r="AS171" i="6"/>
  <c r="AW171" i="6"/>
  <c r="BI171" i="6"/>
  <c r="BJ171" i="6"/>
  <c r="BK171" i="6"/>
  <c r="BL171" i="6"/>
  <c r="BM171" i="6"/>
  <c r="BN171" i="6"/>
  <c r="BO171" i="6"/>
  <c r="Y171" i="6"/>
  <c r="Z171" i="6"/>
  <c r="AT171" i="6"/>
  <c r="AU171" i="6"/>
  <c r="AV171" i="6"/>
  <c r="BP171" i="6"/>
  <c r="BQ171" i="6"/>
  <c r="X171" i="6"/>
  <c r="BR171" i="6"/>
  <c r="BC171" i="6"/>
  <c r="BD171" i="6"/>
  <c r="BE171" i="6"/>
  <c r="BF171" i="6"/>
  <c r="AY171" i="6"/>
  <c r="AZ171" i="6"/>
  <c r="BG171" i="6"/>
  <c r="BH171" i="6"/>
  <c r="BA171" i="6" s="1"/>
  <c r="BB171" i="6"/>
  <c r="AC171" i="6"/>
  <c r="AD171" i="6"/>
  <c r="AG171" i="6"/>
  <c r="AH171" i="6"/>
  <c r="AI171" i="6"/>
  <c r="AJ171" i="6"/>
  <c r="AK171" i="6"/>
  <c r="AL171" i="6"/>
  <c r="AE171" i="6" s="1"/>
  <c r="AF171" i="6"/>
  <c r="G171" i="6"/>
  <c r="H171" i="6"/>
  <c r="L171" i="6"/>
  <c r="M171" i="6"/>
  <c r="N171" i="6"/>
  <c r="O171" i="6"/>
  <c r="P171" i="6"/>
  <c r="I171" i="6"/>
  <c r="K171" i="6"/>
  <c r="J171" i="6"/>
  <c r="Q172" i="6"/>
  <c r="R172" i="6"/>
  <c r="S172" i="6"/>
  <c r="T172" i="6"/>
  <c r="U172" i="6"/>
  <c r="V172" i="6"/>
  <c r="W172" i="6"/>
  <c r="AA172" i="6"/>
  <c r="AM172" i="6"/>
  <c r="AN172" i="6"/>
  <c r="AO172" i="6"/>
  <c r="AP172" i="6"/>
  <c r="AQ172" i="6"/>
  <c r="AR172" i="6"/>
  <c r="AS172" i="6"/>
  <c r="AW172" i="6"/>
  <c r="BI172" i="6"/>
  <c r="BJ172" i="6"/>
  <c r="BK172" i="6"/>
  <c r="BL172" i="6"/>
  <c r="BM172" i="6"/>
  <c r="BN172" i="6"/>
  <c r="BO172" i="6"/>
  <c r="X172" i="6"/>
  <c r="Y172" i="6"/>
  <c r="Z172" i="6"/>
  <c r="AT172" i="6"/>
  <c r="AU172" i="6"/>
  <c r="AV172" i="6"/>
  <c r="BP172" i="6"/>
  <c r="BQ172" i="6"/>
  <c r="BS172" i="6"/>
  <c r="BR172" i="6"/>
  <c r="G172" i="6"/>
  <c r="L172" i="6"/>
  <c r="M172" i="6"/>
  <c r="N172" i="6"/>
  <c r="O172" i="6"/>
  <c r="P172" i="6"/>
  <c r="I172" i="6" s="1"/>
  <c r="K172" i="6"/>
  <c r="H172" i="6"/>
  <c r="J172" i="6"/>
  <c r="AC172" i="6"/>
  <c r="AD172" i="6"/>
  <c r="AG172" i="6"/>
  <c r="AH172" i="6"/>
  <c r="AI172" i="6"/>
  <c r="AJ172" i="6"/>
  <c r="AK172" i="6"/>
  <c r="AL172" i="6"/>
  <c r="AE172" i="6" s="1"/>
  <c r="AF172" i="6"/>
  <c r="BC172" i="6"/>
  <c r="BD172" i="6"/>
  <c r="BE172" i="6"/>
  <c r="BF172" i="6"/>
  <c r="AY172" i="6"/>
  <c r="AZ172" i="6"/>
  <c r="BG172" i="6"/>
  <c r="BH172" i="6"/>
  <c r="BA172" i="6" s="1"/>
  <c r="BB172" i="6"/>
  <c r="BS173" i="6"/>
  <c r="Q173" i="6"/>
  <c r="R173" i="6"/>
  <c r="S173" i="6"/>
  <c r="T173" i="6"/>
  <c r="U173" i="6"/>
  <c r="V173" i="6"/>
  <c r="W173" i="6"/>
  <c r="AA173" i="6"/>
  <c r="AM173" i="6"/>
  <c r="AN173" i="6"/>
  <c r="AO173" i="6"/>
  <c r="AP173" i="6"/>
  <c r="AQ173" i="6"/>
  <c r="AR173" i="6"/>
  <c r="AS173" i="6"/>
  <c r="AW173" i="6"/>
  <c r="BI173" i="6"/>
  <c r="BJ173" i="6"/>
  <c r="BK173" i="6"/>
  <c r="BL173" i="6"/>
  <c r="BM173" i="6"/>
  <c r="BN173" i="6"/>
  <c r="BO173" i="6"/>
  <c r="Y173" i="6"/>
  <c r="Z173" i="6"/>
  <c r="AT173" i="6"/>
  <c r="AU173" i="6"/>
  <c r="AV173" i="6"/>
  <c r="BP173" i="6"/>
  <c r="BQ173" i="6"/>
  <c r="X173" i="6"/>
  <c r="BR173" i="6"/>
  <c r="G173" i="6"/>
  <c r="H173" i="6"/>
  <c r="L173" i="6"/>
  <c r="M173" i="6"/>
  <c r="N173" i="6"/>
  <c r="O173" i="6"/>
  <c r="P173" i="6"/>
  <c r="K173" i="6"/>
  <c r="I173" i="6"/>
  <c r="J173" i="6"/>
  <c r="AC173" i="6"/>
  <c r="AD173" i="6"/>
  <c r="AG173" i="6"/>
  <c r="AH173" i="6"/>
  <c r="AI173" i="6"/>
  <c r="AJ173" i="6"/>
  <c r="AK173" i="6"/>
  <c r="AL173" i="6"/>
  <c r="AE173" i="6" s="1"/>
  <c r="AF173" i="6"/>
  <c r="BC173" i="6"/>
  <c r="BD173" i="6"/>
  <c r="BE173" i="6"/>
  <c r="BF173" i="6"/>
  <c r="AY173" i="6"/>
  <c r="AZ173" i="6"/>
  <c r="BG173" i="6"/>
  <c r="BH173" i="6"/>
  <c r="BA173" i="6" s="1"/>
  <c r="BB173" i="6"/>
  <c r="Q174" i="6"/>
  <c r="R174" i="6"/>
  <c r="S174" i="6"/>
  <c r="T174" i="6"/>
  <c r="U174" i="6"/>
  <c r="V174" i="6"/>
  <c r="W174" i="6"/>
  <c r="AA174" i="6"/>
  <c r="AM174" i="6"/>
  <c r="AN174" i="6"/>
  <c r="AO174" i="6"/>
  <c r="AP174" i="6"/>
  <c r="AQ174" i="6"/>
  <c r="AR174" i="6"/>
  <c r="AS174" i="6"/>
  <c r="AW174" i="6"/>
  <c r="BI174" i="6"/>
  <c r="BJ174" i="6"/>
  <c r="BK174" i="6"/>
  <c r="BL174" i="6"/>
  <c r="BM174" i="6"/>
  <c r="BN174" i="6"/>
  <c r="BO174" i="6"/>
  <c r="BS174" i="6"/>
  <c r="X174" i="6"/>
  <c r="Y174" i="6"/>
  <c r="Z174" i="6"/>
  <c r="AT174" i="6"/>
  <c r="AU174" i="6"/>
  <c r="AV174" i="6"/>
  <c r="BP174" i="6"/>
  <c r="BQ174" i="6"/>
  <c r="BR174" i="6"/>
  <c r="AC174" i="6"/>
  <c r="AD174" i="6"/>
  <c r="AG174" i="6"/>
  <c r="AH174" i="6"/>
  <c r="AI174" i="6"/>
  <c r="AJ174" i="6"/>
  <c r="AK174" i="6"/>
  <c r="AL174" i="6"/>
  <c r="AE174" i="6" s="1"/>
  <c r="AF174" i="6"/>
  <c r="G174" i="6"/>
  <c r="L174" i="6"/>
  <c r="M174" i="6"/>
  <c r="N174" i="6"/>
  <c r="O174" i="6"/>
  <c r="P174" i="6"/>
  <c r="H174" i="6"/>
  <c r="I174" i="6"/>
  <c r="K174" i="6"/>
  <c r="J174" i="6"/>
  <c r="BC174" i="6"/>
  <c r="BD174" i="6"/>
  <c r="BE174" i="6"/>
  <c r="BF174" i="6"/>
  <c r="AY174" i="6"/>
  <c r="AZ174" i="6"/>
  <c r="BG174" i="6"/>
  <c r="BH174" i="6"/>
  <c r="BA174" i="6" s="1"/>
  <c r="BB174" i="6"/>
  <c r="Q175" i="6"/>
  <c r="R175" i="6"/>
  <c r="S175" i="6"/>
  <c r="T175" i="6"/>
  <c r="U175" i="6"/>
  <c r="V175" i="6"/>
  <c r="W175" i="6"/>
  <c r="AA175" i="6"/>
  <c r="AM175" i="6"/>
  <c r="AN175" i="6"/>
  <c r="AO175" i="6"/>
  <c r="AP175" i="6"/>
  <c r="AQ175" i="6"/>
  <c r="AR175" i="6"/>
  <c r="AS175" i="6"/>
  <c r="AW175" i="6"/>
  <c r="BI175" i="6"/>
  <c r="BJ175" i="6"/>
  <c r="BK175" i="6"/>
  <c r="BL175" i="6"/>
  <c r="BM175" i="6"/>
  <c r="BN175" i="6"/>
  <c r="BO175" i="6"/>
  <c r="BS175" i="6"/>
  <c r="Y175" i="6"/>
  <c r="Z175" i="6"/>
  <c r="AT175" i="6"/>
  <c r="AU175" i="6"/>
  <c r="AV175" i="6"/>
  <c r="BP175" i="6"/>
  <c r="BQ175" i="6"/>
  <c r="X175" i="6"/>
  <c r="BR175" i="6"/>
  <c r="AC175" i="6"/>
  <c r="AD175" i="6"/>
  <c r="AG175" i="6"/>
  <c r="AH175" i="6"/>
  <c r="AI175" i="6"/>
  <c r="AJ175" i="6"/>
  <c r="AK175" i="6"/>
  <c r="AL175" i="6"/>
  <c r="AE175" i="6" s="1"/>
  <c r="AF175" i="6"/>
  <c r="G175" i="6"/>
  <c r="H175" i="6"/>
  <c r="L175" i="6"/>
  <c r="M175" i="6"/>
  <c r="N175" i="6"/>
  <c r="O175" i="6"/>
  <c r="P175" i="6"/>
  <c r="I175" i="6" s="1"/>
  <c r="K175" i="6"/>
  <c r="J175" i="6"/>
  <c r="BC175" i="6"/>
  <c r="BD175" i="6"/>
  <c r="BE175" i="6"/>
  <c r="BF175" i="6"/>
  <c r="AY175" i="6"/>
  <c r="AZ175" i="6"/>
  <c r="BG175" i="6"/>
  <c r="BH175" i="6"/>
  <c r="BA175" i="6" s="1"/>
  <c r="BB175" i="6"/>
  <c r="Q176" i="6"/>
  <c r="R176" i="6"/>
  <c r="S176" i="6"/>
  <c r="T176" i="6"/>
  <c r="U176" i="6"/>
  <c r="V176" i="6"/>
  <c r="W176" i="6"/>
  <c r="AA176" i="6"/>
  <c r="AM176" i="6"/>
  <c r="AN176" i="6"/>
  <c r="AO176" i="6"/>
  <c r="AP176" i="6"/>
  <c r="AQ176" i="6"/>
  <c r="AR176" i="6"/>
  <c r="AS176" i="6"/>
  <c r="AW176" i="6"/>
  <c r="BI176" i="6"/>
  <c r="BJ176" i="6"/>
  <c r="BK176" i="6"/>
  <c r="BL176" i="6"/>
  <c r="BM176" i="6"/>
  <c r="BN176" i="6"/>
  <c r="BO176" i="6"/>
  <c r="BS176" i="6"/>
  <c r="X176" i="6"/>
  <c r="Y176" i="6"/>
  <c r="Z176" i="6"/>
  <c r="AT176" i="6"/>
  <c r="AU176" i="6"/>
  <c r="AV176" i="6"/>
  <c r="BP176" i="6"/>
  <c r="BQ176" i="6"/>
  <c r="BR176" i="6"/>
  <c r="BC176" i="6"/>
  <c r="BD176" i="6"/>
  <c r="BE176" i="6"/>
  <c r="BF176" i="6"/>
  <c r="AY176" i="6"/>
  <c r="AZ176" i="6"/>
  <c r="BG176" i="6"/>
  <c r="BH176" i="6"/>
  <c r="AC176" i="6"/>
  <c r="AD176" i="6"/>
  <c r="AG176" i="6"/>
  <c r="AH176" i="6"/>
  <c r="AI176" i="6"/>
  <c r="AJ176" i="6"/>
  <c r="AK176" i="6"/>
  <c r="AL176" i="6"/>
  <c r="G176" i="6"/>
  <c r="L176" i="6"/>
  <c r="M176" i="6"/>
  <c r="N176" i="6"/>
  <c r="O176" i="6"/>
  <c r="P176" i="6"/>
  <c r="H176" i="6"/>
  <c r="K176" i="6"/>
  <c r="I176" i="6"/>
  <c r="J176" i="6"/>
  <c r="Q177" i="6"/>
  <c r="R177" i="6"/>
  <c r="S177" i="6"/>
  <c r="T177" i="6"/>
  <c r="U177" i="6"/>
  <c r="V177" i="6"/>
  <c r="W177" i="6"/>
  <c r="AA177" i="6"/>
  <c r="AM177" i="6"/>
  <c r="AN177" i="6"/>
  <c r="AO177" i="6"/>
  <c r="AP177" i="6"/>
  <c r="AQ177" i="6"/>
  <c r="AR177" i="6"/>
  <c r="AS177" i="6"/>
  <c r="AW177" i="6"/>
  <c r="BI177" i="6"/>
  <c r="BJ177" i="6"/>
  <c r="BK177" i="6"/>
  <c r="BL177" i="6"/>
  <c r="BM177" i="6"/>
  <c r="BN177" i="6"/>
  <c r="BO177" i="6"/>
  <c r="BS177" i="6"/>
  <c r="Y177" i="6"/>
  <c r="Z177" i="6"/>
  <c r="AT177" i="6"/>
  <c r="AU177" i="6"/>
  <c r="AV177" i="6"/>
  <c r="BP177" i="6"/>
  <c r="BQ177" i="6"/>
  <c r="X177" i="6"/>
  <c r="BR177" i="6"/>
  <c r="BC177" i="6"/>
  <c r="BD177" i="6"/>
  <c r="BE177" i="6"/>
  <c r="BF177" i="6"/>
  <c r="AY177" i="6"/>
  <c r="AZ177" i="6"/>
  <c r="BG177" i="6"/>
  <c r="BH177" i="6"/>
  <c r="BA177" i="6" s="1"/>
  <c r="BB177" i="6"/>
  <c r="G177" i="6"/>
  <c r="L177" i="6"/>
  <c r="M177" i="6"/>
  <c r="N177" i="6"/>
  <c r="O177" i="6"/>
  <c r="P177" i="6"/>
  <c r="I177" i="6" s="1"/>
  <c r="K177" i="6"/>
  <c r="H177" i="6"/>
  <c r="J177" i="6"/>
  <c r="AC177" i="6"/>
  <c r="AD177" i="6"/>
  <c r="AG177" i="6"/>
  <c r="AH177" i="6"/>
  <c r="AI177" i="6"/>
  <c r="AJ177" i="6"/>
  <c r="AK177" i="6"/>
  <c r="AL177" i="6"/>
  <c r="AE177" i="6" s="1"/>
  <c r="AF177" i="6"/>
  <c r="Q178" i="6"/>
  <c r="R178" i="6"/>
  <c r="S178" i="6"/>
  <c r="T178" i="6"/>
  <c r="U178" i="6"/>
  <c r="V178" i="6"/>
  <c r="W178" i="6"/>
  <c r="AA178" i="6"/>
  <c r="AM178" i="6"/>
  <c r="AN178" i="6"/>
  <c r="AO178" i="6"/>
  <c r="AP178" i="6"/>
  <c r="AQ178" i="6"/>
  <c r="AR178" i="6"/>
  <c r="AS178" i="6"/>
  <c r="AW178" i="6"/>
  <c r="BI178" i="6"/>
  <c r="BJ178" i="6"/>
  <c r="BK178" i="6"/>
  <c r="BL178" i="6"/>
  <c r="BM178" i="6"/>
  <c r="BN178" i="6"/>
  <c r="BO178" i="6"/>
  <c r="BS178" i="6"/>
  <c r="X178" i="6"/>
  <c r="Y178" i="6"/>
  <c r="Z178" i="6"/>
  <c r="AT178" i="6"/>
  <c r="AU178" i="6"/>
  <c r="AV178" i="6"/>
  <c r="BP178" i="6"/>
  <c r="BQ178" i="6"/>
  <c r="BR178" i="6"/>
  <c r="BC178" i="6"/>
  <c r="BD178" i="6"/>
  <c r="BE178" i="6"/>
  <c r="BF178" i="6"/>
  <c r="AY178" i="6"/>
  <c r="AZ178" i="6"/>
  <c r="BG178" i="6"/>
  <c r="BH178" i="6"/>
  <c r="BA178" i="6" s="1"/>
  <c r="BB178" i="6"/>
  <c r="AC178" i="6"/>
  <c r="AD178" i="6"/>
  <c r="AG178" i="6"/>
  <c r="AH178" i="6"/>
  <c r="AI178" i="6"/>
  <c r="AJ178" i="6"/>
  <c r="AK178" i="6"/>
  <c r="AL178" i="6"/>
  <c r="AE178" i="6" s="1"/>
  <c r="AF178" i="6"/>
  <c r="G178" i="6"/>
  <c r="L178" i="6"/>
  <c r="M178" i="6"/>
  <c r="N178" i="6"/>
  <c r="O178" i="6"/>
  <c r="P178" i="6"/>
  <c r="H178" i="6"/>
  <c r="K178" i="6"/>
  <c r="I178" i="6"/>
  <c r="J178" i="6"/>
  <c r="Q179" i="6"/>
  <c r="R179" i="6"/>
  <c r="S179" i="6"/>
  <c r="T179" i="6"/>
  <c r="U179" i="6"/>
  <c r="V179" i="6"/>
  <c r="W179" i="6"/>
  <c r="AA179" i="6"/>
  <c r="AM179" i="6"/>
  <c r="AN179" i="6"/>
  <c r="AO179" i="6"/>
  <c r="AP179" i="6"/>
  <c r="AQ179" i="6"/>
  <c r="AR179" i="6"/>
  <c r="AS179" i="6"/>
  <c r="AW179" i="6"/>
  <c r="BI179" i="6"/>
  <c r="BJ179" i="6"/>
  <c r="BK179" i="6"/>
  <c r="BL179" i="6"/>
  <c r="BM179" i="6"/>
  <c r="BN179" i="6"/>
  <c r="BO179" i="6"/>
  <c r="BS179" i="6"/>
  <c r="Y179" i="6"/>
  <c r="Z179" i="6"/>
  <c r="AT179" i="6"/>
  <c r="AU179" i="6"/>
  <c r="AV179" i="6"/>
  <c r="BP179" i="6"/>
  <c r="BQ179" i="6"/>
  <c r="X179" i="6"/>
  <c r="BR179" i="6"/>
  <c r="BC179" i="6"/>
  <c r="BD179" i="6"/>
  <c r="BE179" i="6"/>
  <c r="BF179" i="6"/>
  <c r="AY179" i="6"/>
  <c r="AZ179" i="6"/>
  <c r="BG179" i="6"/>
  <c r="BH179" i="6"/>
  <c r="BA179" i="6" s="1"/>
  <c r="BB179" i="6"/>
  <c r="AC179" i="6"/>
  <c r="AD179" i="6"/>
  <c r="AG179" i="6"/>
  <c r="AH179" i="6"/>
  <c r="AI179" i="6"/>
  <c r="AJ179" i="6"/>
  <c r="AK179" i="6"/>
  <c r="AL179" i="6"/>
  <c r="AE179" i="6" s="1"/>
  <c r="AF179" i="6"/>
  <c r="G179" i="6"/>
  <c r="H179" i="6"/>
  <c r="L179" i="6"/>
  <c r="M179" i="6"/>
  <c r="N179" i="6"/>
  <c r="O179" i="6"/>
  <c r="P179" i="6"/>
  <c r="I179" i="6"/>
  <c r="K179" i="6"/>
  <c r="J179" i="6"/>
  <c r="BC180" i="6"/>
  <c r="BD180" i="6"/>
  <c r="BE180" i="6"/>
  <c r="BF180" i="6"/>
  <c r="AY180" i="6"/>
  <c r="AZ180" i="6"/>
  <c r="BG180" i="6"/>
  <c r="BH180" i="6"/>
  <c r="BA180" i="6" s="1"/>
  <c r="BB180" i="6"/>
  <c r="AC180" i="6"/>
  <c r="AD180" i="6"/>
  <c r="AG180" i="6"/>
  <c r="AH180" i="6"/>
  <c r="AI180" i="6"/>
  <c r="AJ180" i="6"/>
  <c r="AK180" i="6"/>
  <c r="AL180" i="6"/>
  <c r="AE180" i="6" s="1"/>
  <c r="AF180" i="6"/>
  <c r="Q180" i="6"/>
  <c r="R180" i="6"/>
  <c r="S180" i="6"/>
  <c r="T180" i="6"/>
  <c r="U180" i="6"/>
  <c r="V180" i="6"/>
  <c r="W180" i="6"/>
  <c r="AA180" i="6"/>
  <c r="AM180" i="6"/>
  <c r="AN180" i="6"/>
  <c r="AO180" i="6"/>
  <c r="AP180" i="6"/>
  <c r="AQ180" i="6"/>
  <c r="AR180" i="6"/>
  <c r="AS180" i="6"/>
  <c r="AW180" i="6"/>
  <c r="BI180" i="6"/>
  <c r="BJ180" i="6"/>
  <c r="BK180" i="6"/>
  <c r="BL180" i="6"/>
  <c r="BM180" i="6"/>
  <c r="BN180" i="6"/>
  <c r="BO180" i="6"/>
  <c r="BS180" i="6"/>
  <c r="X180" i="6"/>
  <c r="Y180" i="6"/>
  <c r="Z180" i="6"/>
  <c r="AT180" i="6"/>
  <c r="AU180" i="6"/>
  <c r="AV180" i="6"/>
  <c r="BP180" i="6"/>
  <c r="BQ180" i="6"/>
  <c r="BR180" i="6"/>
  <c r="G180" i="6"/>
  <c r="L180" i="6"/>
  <c r="M180" i="6"/>
  <c r="N180" i="6"/>
  <c r="O180" i="6"/>
  <c r="P180" i="6"/>
  <c r="I180" i="6" s="1"/>
  <c r="K180" i="6"/>
  <c r="H180" i="6"/>
  <c r="J180" i="6"/>
  <c r="BC181" i="6"/>
  <c r="BD181" i="6"/>
  <c r="BE181" i="6"/>
  <c r="BF181" i="6"/>
  <c r="AY181" i="6"/>
  <c r="AZ181" i="6"/>
  <c r="BG181" i="6"/>
  <c r="BH181" i="6"/>
  <c r="BA181" i="6" s="1"/>
  <c r="BB181" i="6"/>
  <c r="Q181" i="6"/>
  <c r="R181" i="6"/>
  <c r="S181" i="6"/>
  <c r="T181" i="6"/>
  <c r="U181" i="6"/>
  <c r="V181" i="6"/>
  <c r="W181" i="6"/>
  <c r="AA181" i="6"/>
  <c r="AM181" i="6"/>
  <c r="AN181" i="6"/>
  <c r="AO181" i="6"/>
  <c r="AP181" i="6"/>
  <c r="AQ181" i="6"/>
  <c r="AR181" i="6"/>
  <c r="AS181" i="6"/>
  <c r="AW181" i="6"/>
  <c r="BI181" i="6"/>
  <c r="BJ181" i="6"/>
  <c r="BK181" i="6"/>
  <c r="BL181" i="6"/>
  <c r="BM181" i="6"/>
  <c r="BN181" i="6"/>
  <c r="BO181" i="6"/>
  <c r="BS181" i="6"/>
  <c r="Y181" i="6"/>
  <c r="Z181" i="6"/>
  <c r="AT181" i="6"/>
  <c r="AU181" i="6"/>
  <c r="AV181" i="6"/>
  <c r="BP181" i="6"/>
  <c r="BQ181" i="6"/>
  <c r="X181" i="6"/>
  <c r="BR181" i="6"/>
  <c r="G181" i="6"/>
  <c r="H181" i="6"/>
  <c r="L181" i="6"/>
  <c r="M181" i="6"/>
  <c r="N181" i="6"/>
  <c r="O181" i="6"/>
  <c r="P181" i="6"/>
  <c r="I181" i="6" s="1"/>
  <c r="K181" i="6"/>
  <c r="J181" i="6"/>
  <c r="AC181" i="6"/>
  <c r="AD181" i="6"/>
  <c r="AG181" i="6"/>
  <c r="AH181" i="6"/>
  <c r="AI181" i="6"/>
  <c r="AJ181" i="6"/>
  <c r="AK181" i="6"/>
  <c r="AL181" i="6"/>
  <c r="AE181" i="6" s="1"/>
  <c r="AF181" i="6"/>
  <c r="Q182" i="6"/>
  <c r="R182" i="6"/>
  <c r="S182" i="6"/>
  <c r="T182" i="6"/>
  <c r="U182" i="6"/>
  <c r="V182" i="6"/>
  <c r="W182" i="6"/>
  <c r="AA182" i="6"/>
  <c r="AM182" i="6"/>
  <c r="AN182" i="6"/>
  <c r="AO182" i="6"/>
  <c r="AP182" i="6"/>
  <c r="AQ182" i="6"/>
  <c r="AR182" i="6"/>
  <c r="AS182" i="6"/>
  <c r="AW182" i="6"/>
  <c r="BI182" i="6"/>
  <c r="BJ182" i="6"/>
  <c r="BK182" i="6"/>
  <c r="BL182" i="6"/>
  <c r="BM182" i="6"/>
  <c r="BN182" i="6"/>
  <c r="BO182" i="6"/>
  <c r="BS182" i="6"/>
  <c r="X182" i="6"/>
  <c r="Y182" i="6"/>
  <c r="Z182" i="6"/>
  <c r="AT182" i="6"/>
  <c r="AU182" i="6"/>
  <c r="AV182" i="6"/>
  <c r="BP182" i="6"/>
  <c r="BQ182" i="6"/>
  <c r="BR182" i="6"/>
  <c r="BC182" i="6"/>
  <c r="BD182" i="6"/>
  <c r="BE182" i="6"/>
  <c r="BF182" i="6"/>
  <c r="AY182" i="6"/>
  <c r="AZ182" i="6"/>
  <c r="BG182" i="6"/>
  <c r="BH182" i="6"/>
  <c r="BA182" i="6" s="1"/>
  <c r="BB182" i="6"/>
  <c r="AC182" i="6"/>
  <c r="AD182" i="6"/>
  <c r="AG182" i="6"/>
  <c r="AH182" i="6"/>
  <c r="AI182" i="6"/>
  <c r="AJ182" i="6"/>
  <c r="AK182" i="6"/>
  <c r="AL182" i="6"/>
  <c r="AE182" i="6" s="1"/>
  <c r="AF182" i="6"/>
  <c r="G182" i="6"/>
  <c r="L182" i="6"/>
  <c r="M182" i="6"/>
  <c r="N182" i="6"/>
  <c r="O182" i="6"/>
  <c r="P182" i="6"/>
  <c r="I182" i="6" s="1"/>
  <c r="H182" i="6"/>
  <c r="K182" i="6"/>
  <c r="J182" i="6"/>
  <c r="J7" i="7"/>
  <c r="O3" i="7"/>
  <c r="J9" i="7"/>
  <c r="J8" i="7"/>
  <c r="G7" i="7"/>
  <c r="E45" i="7"/>
  <c r="G8" i="7"/>
  <c r="E46" i="7"/>
  <c r="E47" i="7"/>
  <c r="G9" i="7"/>
  <c r="D27" i="20"/>
  <c r="D28" i="20" s="1"/>
  <c r="F7" i="20"/>
  <c r="E7" i="20"/>
  <c r="D7" i="20"/>
  <c r="G7" i="20" s="1"/>
  <c r="D8" i="20"/>
  <c r="C8" i="20"/>
  <c r="E27" i="20"/>
  <c r="E28" i="20" s="1"/>
  <c r="B8" i="20"/>
  <c r="F8" i="20"/>
  <c r="E8" i="20"/>
  <c r="C7" i="20"/>
  <c r="B7" i="20"/>
  <c r="B27" i="20"/>
  <c r="F5" i="20"/>
  <c r="E5" i="20"/>
  <c r="D5" i="20"/>
  <c r="C5" i="20"/>
  <c r="B5" i="20"/>
  <c r="C27" i="20"/>
  <c r="C28" i="20" s="1"/>
  <c r="F6" i="20"/>
  <c r="E6" i="20"/>
  <c r="D6" i="20"/>
  <c r="C6" i="20"/>
  <c r="B6" i="20"/>
  <c r="T437" i="19"/>
  <c r="A9" i="20"/>
  <c r="A29" i="20"/>
  <c r="U12" i="19"/>
  <c r="I27" i="23"/>
  <c r="D12" i="23"/>
  <c r="E12" i="23"/>
  <c r="F12" i="23"/>
  <c r="G12" i="23"/>
  <c r="B12" i="23"/>
  <c r="C12" i="23"/>
  <c r="F11" i="23"/>
  <c r="B11" i="23"/>
  <c r="E11" i="23"/>
  <c r="H27" i="23"/>
  <c r="D11" i="23"/>
  <c r="G11" i="23" s="1"/>
  <c r="C11" i="23"/>
  <c r="G27" i="23"/>
  <c r="B10" i="23"/>
  <c r="C10" i="23"/>
  <c r="D10" i="23"/>
  <c r="G10" i="23" s="1"/>
  <c r="E10" i="23"/>
  <c r="F10" i="23"/>
  <c r="B9" i="23"/>
  <c r="F27" i="23"/>
  <c r="F9" i="23"/>
  <c r="E9" i="23"/>
  <c r="D9" i="23"/>
  <c r="G9" i="23" s="1"/>
  <c r="C9" i="23"/>
  <c r="B8" i="23"/>
  <c r="F8" i="23"/>
  <c r="E8" i="23"/>
  <c r="D8" i="23"/>
  <c r="G8" i="23" s="1"/>
  <c r="C8" i="23"/>
  <c r="E27" i="23"/>
  <c r="D27" i="23"/>
  <c r="E7" i="23"/>
  <c r="D7" i="23"/>
  <c r="G7" i="23" s="1"/>
  <c r="C7" i="23"/>
  <c r="B7" i="23"/>
  <c r="F7" i="23"/>
  <c r="F6" i="23"/>
  <c r="B6" i="23"/>
  <c r="C6" i="23"/>
  <c r="E6" i="23"/>
  <c r="C27" i="23"/>
  <c r="D6" i="23"/>
  <c r="G6" i="23" s="1"/>
  <c r="F5" i="23"/>
  <c r="E5" i="23"/>
  <c r="D5" i="23"/>
  <c r="G5" i="23" s="1"/>
  <c r="C5" i="23"/>
  <c r="B5" i="23"/>
  <c r="B27" i="23"/>
  <c r="J20" i="20"/>
  <c r="A196" i="21"/>
  <c r="A197" i="21"/>
  <c r="A198" i="21"/>
  <c r="A199" i="21"/>
  <c r="A200" i="21"/>
  <c r="A201" i="21"/>
  <c r="A202" i="21"/>
  <c r="A203" i="21"/>
  <c r="A204" i="21"/>
  <c r="C145" i="21"/>
  <c r="A3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122" i="21"/>
  <c r="O123" i="21"/>
  <c r="O124" i="21"/>
  <c r="O125" i="21"/>
  <c r="O126" i="21"/>
  <c r="O127" i="21"/>
  <c r="O128" i="21"/>
  <c r="O129" i="21"/>
  <c r="O130" i="21"/>
  <c r="O131" i="21"/>
  <c r="O132" i="21"/>
  <c r="O133" i="21"/>
  <c r="O134" i="21"/>
  <c r="O135" i="21"/>
  <c r="O136" i="21"/>
  <c r="O137" i="21"/>
  <c r="O138" i="21"/>
  <c r="O139" i="21"/>
  <c r="O140" i="21"/>
  <c r="O141" i="21"/>
  <c r="O142" i="21"/>
  <c r="O143" i="21"/>
  <c r="O144" i="21"/>
  <c r="O145" i="21"/>
  <c r="O146" i="21"/>
  <c r="O147" i="21"/>
  <c r="O148" i="21"/>
  <c r="O149" i="21"/>
  <c r="O150" i="21"/>
  <c r="O151" i="21"/>
  <c r="O152" i="21"/>
  <c r="O153" i="21"/>
  <c r="O154" i="21"/>
  <c r="O155" i="21"/>
  <c r="O156" i="21"/>
  <c r="O157" i="21"/>
  <c r="O158" i="21"/>
  <c r="O159" i="21"/>
  <c r="O160" i="21"/>
  <c r="O161" i="21"/>
  <c r="O162" i="21"/>
  <c r="O163" i="21"/>
  <c r="O164" i="21"/>
  <c r="O165" i="21"/>
  <c r="O166" i="21"/>
  <c r="O167" i="21"/>
  <c r="O168" i="21"/>
  <c r="O169" i="21"/>
  <c r="O170" i="21"/>
  <c r="O171" i="21"/>
  <c r="O172" i="21"/>
  <c r="O173" i="21"/>
  <c r="O174" i="21"/>
  <c r="O175" i="21"/>
  <c r="O176" i="21"/>
  <c r="O177" i="21"/>
  <c r="O178" i="21"/>
  <c r="O179" i="21"/>
  <c r="O180" i="21"/>
  <c r="O181" i="21"/>
  <c r="O182" i="21"/>
  <c r="O183" i="21"/>
  <c r="O184" i="21"/>
  <c r="O185" i="21"/>
  <c r="O186" i="21"/>
  <c r="O187" i="21"/>
  <c r="O188" i="21"/>
  <c r="O189" i="21"/>
  <c r="O190" i="21"/>
  <c r="O191" i="21"/>
  <c r="O192" i="21"/>
  <c r="O193" i="21"/>
  <c r="O194" i="21"/>
  <c r="O195" i="21"/>
  <c r="O196" i="21"/>
  <c r="O197" i="21"/>
  <c r="O198" i="21"/>
  <c r="O199" i="21"/>
  <c r="O200" i="21"/>
  <c r="O201" i="21"/>
  <c r="O202" i="21"/>
  <c r="O203" i="21"/>
  <c r="O20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E8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I79" i="23"/>
  <c r="I64" i="23"/>
  <c r="I40" i="23"/>
  <c r="I52" i="23"/>
  <c r="I37" i="23"/>
  <c r="I41" i="23"/>
  <c r="I83" i="23"/>
  <c r="I63" i="23"/>
  <c r="I42" i="23"/>
  <c r="I51" i="23"/>
  <c r="I84" i="23"/>
  <c r="I34" i="23"/>
  <c r="I35" i="23"/>
  <c r="I62" i="23"/>
  <c r="I86" i="23"/>
  <c r="I50" i="23"/>
  <c r="I43" i="23"/>
  <c r="I61" i="23"/>
  <c r="I38" i="23"/>
  <c r="I72" i="23"/>
  <c r="I44" i="23"/>
  <c r="I46" i="23"/>
  <c r="I39" i="23"/>
  <c r="I67" i="23"/>
  <c r="I49" i="23"/>
  <c r="I53" i="23"/>
  <c r="I68" i="23"/>
  <c r="I54" i="23"/>
  <c r="I55" i="23"/>
  <c r="I56" i="23"/>
  <c r="I69" i="23"/>
  <c r="I48" i="23"/>
  <c r="I59" i="23"/>
  <c r="I58" i="23"/>
  <c r="I60" i="23"/>
  <c r="I47" i="23"/>
  <c r="I36" i="23"/>
  <c r="I70" i="23"/>
  <c r="I71" i="23"/>
  <c r="I73" i="23"/>
  <c r="I80" i="23"/>
  <c r="I57" i="23"/>
  <c r="I82" i="23"/>
  <c r="I85" i="23"/>
  <c r="I45" i="23"/>
  <c r="I87" i="23"/>
  <c r="I78" i="23"/>
  <c r="I76" i="23"/>
  <c r="I77" i="23"/>
  <c r="I33" i="23"/>
  <c r="I31" i="23"/>
  <c r="I30" i="23"/>
  <c r="I29" i="23"/>
  <c r="I65" i="23"/>
  <c r="I66" i="23"/>
  <c r="I28" i="23"/>
  <c r="I75" i="23"/>
  <c r="I74" i="23"/>
  <c r="I81" i="23"/>
  <c r="I32" i="23"/>
  <c r="H47" i="23"/>
  <c r="H31" i="23"/>
  <c r="H32" i="23"/>
  <c r="H87" i="23"/>
  <c r="H67" i="23"/>
  <c r="H85" i="23"/>
  <c r="H63" i="23"/>
  <c r="H65" i="23"/>
  <c r="H39" i="23"/>
  <c r="H82" i="23"/>
  <c r="H45" i="23"/>
  <c r="H36" i="23"/>
  <c r="H54" i="23"/>
  <c r="H81" i="23"/>
  <c r="H69" i="23"/>
  <c r="H37" i="23"/>
  <c r="H80" i="23"/>
  <c r="H53" i="23"/>
  <c r="H75" i="23"/>
  <c r="H60" i="23"/>
  <c r="H58" i="23"/>
  <c r="H86" i="23"/>
  <c r="H57" i="23"/>
  <c r="H59" i="23"/>
  <c r="H51" i="23"/>
  <c r="H42" i="23"/>
  <c r="H56" i="23"/>
  <c r="H83" i="23"/>
  <c r="H73" i="23"/>
  <c r="H46" i="23"/>
  <c r="H40" i="23"/>
  <c r="H79" i="23"/>
  <c r="H68" i="23"/>
  <c r="H72" i="23"/>
  <c r="H44" i="23"/>
  <c r="H33" i="23"/>
  <c r="H71" i="23"/>
  <c r="H41" i="23"/>
  <c r="H76" i="23"/>
  <c r="H48" i="23"/>
  <c r="H66" i="23"/>
  <c r="H77" i="23"/>
  <c r="H61" i="23"/>
  <c r="H78" i="23"/>
  <c r="H70" i="23"/>
  <c r="H43" i="23"/>
  <c r="H49" i="23"/>
  <c r="H28" i="23"/>
  <c r="H35" i="23"/>
  <c r="H84" i="23"/>
  <c r="H64" i="23"/>
  <c r="H62" i="23"/>
  <c r="H29" i="23"/>
  <c r="H50" i="23"/>
  <c r="H34" i="23"/>
  <c r="H30" i="23"/>
  <c r="H74" i="23"/>
  <c r="H52" i="23"/>
  <c r="H55" i="23"/>
  <c r="H38" i="23"/>
  <c r="G56" i="23"/>
  <c r="G55" i="23"/>
  <c r="G33" i="23"/>
  <c r="G34" i="23"/>
  <c r="G71" i="23"/>
  <c r="G51" i="23"/>
  <c r="G83" i="23"/>
  <c r="G70" i="23"/>
  <c r="G72" i="23"/>
  <c r="G50" i="23"/>
  <c r="G49" i="23"/>
  <c r="G74" i="23"/>
  <c r="G43" i="23"/>
  <c r="G75" i="23"/>
  <c r="G68" i="23"/>
  <c r="G48" i="23"/>
  <c r="G47" i="23"/>
  <c r="G42" i="23"/>
  <c r="G84" i="23"/>
  <c r="G80" i="23"/>
  <c r="G41" i="23"/>
  <c r="G82" i="23"/>
  <c r="G46" i="23"/>
  <c r="G39" i="23"/>
  <c r="G67" i="23"/>
  <c r="G30" i="23"/>
  <c r="G38" i="23"/>
  <c r="G69" i="23"/>
  <c r="G31" i="23"/>
  <c r="G66" i="23"/>
  <c r="G44" i="23"/>
  <c r="G57" i="23"/>
  <c r="G62" i="23"/>
  <c r="G37" i="23"/>
  <c r="G85" i="23"/>
  <c r="G60" i="23"/>
  <c r="G59" i="23"/>
  <c r="G40" i="23"/>
  <c r="G58" i="23"/>
  <c r="G35" i="23"/>
  <c r="G54" i="23"/>
  <c r="G32" i="23"/>
  <c r="G36" i="23"/>
  <c r="G53" i="23"/>
  <c r="G52" i="23"/>
  <c r="G77" i="23"/>
  <c r="G81" i="23"/>
  <c r="G45" i="23"/>
  <c r="G28" i="23"/>
  <c r="G61" i="23"/>
  <c r="G63" i="23"/>
  <c r="G64" i="23"/>
  <c r="G65" i="23"/>
  <c r="G73" i="23"/>
  <c r="G76" i="23"/>
  <c r="G78" i="23"/>
  <c r="G79" i="23"/>
  <c r="G29" i="23"/>
  <c r="G86" i="23"/>
  <c r="G87" i="23"/>
  <c r="F34" i="23"/>
  <c r="F55" i="23"/>
  <c r="F37" i="23"/>
  <c r="F31" i="23"/>
  <c r="F54" i="23"/>
  <c r="F70" i="23"/>
  <c r="F72" i="23"/>
  <c r="F53" i="23"/>
  <c r="F61" i="23"/>
  <c r="F73" i="23"/>
  <c r="F46" i="23"/>
  <c r="F85" i="23"/>
  <c r="F84" i="23"/>
  <c r="F36" i="23"/>
  <c r="F82" i="23"/>
  <c r="F42" i="23"/>
  <c r="F81" i="23"/>
  <c r="F50" i="23"/>
  <c r="F77" i="23"/>
  <c r="F80" i="23"/>
  <c r="AE33" i="6" l="1"/>
  <c r="AF33" i="6"/>
  <c r="I97" i="6"/>
  <c r="J97" i="6"/>
  <c r="AE97" i="6"/>
  <c r="AF97" i="6"/>
  <c r="BA176" i="6"/>
  <c r="BB176" i="6"/>
  <c r="AE176" i="6"/>
  <c r="AF176" i="6"/>
  <c r="A30" i="20"/>
  <c r="U17" i="19"/>
  <c r="BA3" i="6"/>
  <c r="BB3" i="6"/>
  <c r="AE3" i="6"/>
  <c r="AF3" i="6"/>
  <c r="I4" i="6"/>
  <c r="J4" i="6"/>
  <c r="BA4" i="6"/>
  <c r="BB4" i="6"/>
  <c r="AE4" i="6"/>
  <c r="AF4" i="6"/>
  <c r="AE5" i="6"/>
  <c r="AF5" i="6"/>
  <c r="BA5" i="6"/>
  <c r="BB5" i="6"/>
  <c r="I5" i="6"/>
  <c r="J5" i="6"/>
  <c r="I6" i="6"/>
  <c r="J6" i="6"/>
  <c r="AE6" i="6"/>
  <c r="AF6" i="6"/>
  <c r="BA6" i="6"/>
  <c r="BB6" i="6"/>
  <c r="BA7" i="6"/>
  <c r="BB7" i="6"/>
  <c r="AE7" i="6"/>
  <c r="AF7" i="6"/>
  <c r="I7" i="6"/>
  <c r="J7" i="6"/>
  <c r="AE8" i="6"/>
  <c r="AF8" i="6"/>
  <c r="BA8" i="6"/>
  <c r="BB8" i="6"/>
  <c r="BA9" i="6"/>
  <c r="BB9" i="6"/>
  <c r="AE9" i="6"/>
  <c r="AF9" i="6"/>
  <c r="I9" i="6"/>
  <c r="J9" i="6"/>
  <c r="BA10" i="6"/>
  <c r="BB10" i="6"/>
  <c r="AE10" i="6"/>
  <c r="AF10" i="6"/>
  <c r="I10" i="6"/>
  <c r="J10" i="6"/>
  <c r="BA16" i="6"/>
  <c r="BB16" i="6"/>
  <c r="I16" i="6"/>
  <c r="J16" i="6"/>
  <c r="AE16" i="6"/>
  <c r="AF16" i="6"/>
  <c r="AE17" i="6"/>
  <c r="AF17" i="6"/>
  <c r="BA17" i="6"/>
  <c r="BB17" i="6"/>
  <c r="AE18" i="6"/>
  <c r="AF18" i="6"/>
  <c r="J18" i="6"/>
  <c r="I18" i="6"/>
  <c r="BA18" i="6"/>
  <c r="BB18" i="6"/>
  <c r="BA19" i="6"/>
  <c r="BB19" i="6"/>
  <c r="AE19" i="6"/>
  <c r="AF19" i="6"/>
  <c r="J19" i="6"/>
  <c r="I19" i="6"/>
  <c r="BA20" i="6"/>
  <c r="BB20" i="6"/>
  <c r="I20" i="6"/>
  <c r="J20" i="6"/>
  <c r="AE20" i="6"/>
  <c r="AF20" i="6"/>
  <c r="AE21" i="6"/>
  <c r="AF21" i="6"/>
  <c r="BA21" i="6"/>
  <c r="BB21" i="6"/>
  <c r="I21" i="6"/>
  <c r="J21" i="6"/>
  <c r="BA22" i="6"/>
  <c r="BB22" i="6"/>
  <c r="I22" i="6"/>
  <c r="J22" i="6"/>
  <c r="I23" i="6"/>
  <c r="J23" i="6"/>
  <c r="J28" i="6"/>
  <c r="I28" i="6"/>
  <c r="AE28" i="6"/>
  <c r="AF28" i="6"/>
  <c r="BA32" i="6"/>
  <c r="BB32" i="6"/>
  <c r="J46" i="6"/>
  <c r="I46" i="6"/>
  <c r="BA46" i="6"/>
  <c r="BB46" i="6"/>
  <c r="AE47" i="6"/>
  <c r="AF47" i="6"/>
  <c r="AE48" i="6"/>
  <c r="AF48" i="6"/>
  <c r="BA50" i="6"/>
  <c r="BB50" i="6"/>
  <c r="I51" i="6"/>
  <c r="J51" i="6"/>
  <c r="BA53" i="6"/>
  <c r="BB53" i="6"/>
  <c r="BA54" i="6"/>
  <c r="BB54" i="6"/>
  <c r="I59" i="6"/>
  <c r="J59" i="6"/>
  <c r="AE59" i="6"/>
  <c r="AF59" i="6"/>
  <c r="BA59" i="6"/>
  <c r="BB59" i="6"/>
  <c r="I60" i="6"/>
  <c r="J60" i="6"/>
  <c r="BA60" i="6"/>
  <c r="BB60" i="6"/>
  <c r="I61" i="6"/>
  <c r="J61" i="6"/>
  <c r="AE61" i="6"/>
  <c r="AF61" i="6"/>
  <c r="BA61" i="6"/>
  <c r="BB61" i="6"/>
  <c r="I62" i="6"/>
  <c r="J62" i="6"/>
  <c r="BA62" i="6"/>
  <c r="BB62" i="6"/>
  <c r="BA63" i="6"/>
  <c r="BB63" i="6"/>
  <c r="AE63" i="6"/>
  <c r="AF63" i="6"/>
  <c r="I63" i="6"/>
  <c r="J63" i="6"/>
  <c r="AE64" i="6"/>
  <c r="AF64" i="6"/>
  <c r="BA64" i="6"/>
  <c r="BB64" i="6"/>
  <c r="BA65" i="6"/>
  <c r="BB65" i="6"/>
  <c r="AE65" i="6"/>
  <c r="AF65" i="6"/>
  <c r="I66" i="6"/>
  <c r="J66" i="6"/>
  <c r="BA66" i="6"/>
  <c r="BB66" i="6"/>
  <c r="AE66" i="6"/>
  <c r="AF66" i="6"/>
  <c r="AE67" i="6"/>
  <c r="AF67" i="6"/>
  <c r="AE68" i="6"/>
  <c r="AF68" i="6"/>
  <c r="I68" i="6"/>
  <c r="J68" i="6"/>
  <c r="BA68" i="6"/>
  <c r="BB68" i="6"/>
  <c r="AE69" i="6"/>
  <c r="AF69" i="6"/>
  <c r="BA70" i="6"/>
  <c r="BB70" i="6"/>
  <c r="I70" i="6"/>
  <c r="J70" i="6"/>
  <c r="AE71" i="6"/>
  <c r="AF71" i="6"/>
  <c r="I71" i="6"/>
  <c r="J71" i="6"/>
  <c r="BA71" i="6"/>
  <c r="BB71" i="6"/>
  <c r="AE72" i="6"/>
  <c r="AF72" i="6"/>
  <c r="BA72" i="6"/>
  <c r="BB72" i="6"/>
  <c r="BA73" i="6"/>
  <c r="BB73" i="6"/>
  <c r="I73" i="6"/>
  <c r="J73" i="6"/>
  <c r="BA74" i="6"/>
  <c r="BB74" i="6"/>
  <c r="I74" i="6"/>
  <c r="J74" i="6"/>
  <c r="AE74" i="6"/>
  <c r="AF74" i="6"/>
  <c r="AE91" i="6"/>
  <c r="AF91" i="6"/>
  <c r="I91" i="6"/>
  <c r="J91" i="6"/>
  <c r="I92" i="6"/>
  <c r="J92" i="6"/>
  <c r="AE92" i="6"/>
  <c r="AF92" i="6"/>
  <c r="AE93" i="6"/>
  <c r="AF93" i="6"/>
  <c r="BA93" i="6"/>
  <c r="BB93" i="6"/>
  <c r="I94" i="6"/>
  <c r="J94" i="6"/>
  <c r="BA95" i="6"/>
  <c r="BB95" i="6"/>
  <c r="I95" i="6"/>
  <c r="J95" i="6"/>
  <c r="AE95" i="6"/>
  <c r="AF95" i="6"/>
  <c r="BA96" i="6"/>
  <c r="BB96" i="6"/>
  <c r="I96" i="6"/>
  <c r="J96" i="6"/>
  <c r="BA111" i="6"/>
  <c r="BB111" i="6"/>
  <c r="AE112" i="6"/>
  <c r="AF112" i="6"/>
  <c r="BA112" i="6"/>
  <c r="BB112" i="6"/>
  <c r="I112" i="6"/>
  <c r="J112" i="6"/>
  <c r="BA113" i="6"/>
  <c r="BB113" i="6"/>
  <c r="I113" i="6"/>
  <c r="J113" i="6"/>
  <c r="AE114" i="6"/>
  <c r="AF114" i="6"/>
  <c r="BA114" i="6"/>
  <c r="BB114" i="6"/>
  <c r="I114" i="6"/>
  <c r="J114" i="6"/>
  <c r="BA115" i="6"/>
  <c r="BB115" i="6"/>
  <c r="I116" i="6"/>
  <c r="J116" i="6"/>
  <c r="BA116" i="6"/>
  <c r="BB116" i="6"/>
  <c r="J117" i="6"/>
  <c r="I117" i="6"/>
  <c r="BA129" i="6"/>
  <c r="BB129" i="6"/>
  <c r="AE130" i="6"/>
  <c r="AF130" i="6"/>
  <c r="I131" i="6"/>
  <c r="J131" i="6"/>
  <c r="I133" i="6"/>
  <c r="J133" i="6"/>
  <c r="I134" i="6"/>
  <c r="J134" i="6"/>
  <c r="BA135" i="6"/>
  <c r="BB135" i="6"/>
  <c r="BA136" i="6"/>
  <c r="BB136" i="6"/>
  <c r="BA137" i="6"/>
  <c r="BB137" i="6"/>
  <c r="I138" i="6"/>
  <c r="J138" i="6"/>
  <c r="BA158" i="6"/>
  <c r="BB158" i="6"/>
  <c r="BA159" i="6"/>
  <c r="BB159" i="6"/>
  <c r="I11" i="6"/>
  <c r="J11" i="6"/>
  <c r="AE22" i="6"/>
  <c r="AF22" i="6"/>
  <c r="I24" i="6"/>
  <c r="J24" i="6"/>
  <c r="I25" i="6"/>
  <c r="J25" i="6"/>
  <c r="BA28" i="6"/>
  <c r="BB28" i="6"/>
  <c r="I32" i="6"/>
  <c r="J32" i="6"/>
  <c r="BA51" i="6"/>
  <c r="BB51" i="6"/>
  <c r="I52" i="6"/>
  <c r="J52" i="6"/>
  <c r="AE52" i="6"/>
  <c r="AF52" i="6"/>
  <c r="AE53" i="6"/>
  <c r="AF53" i="6"/>
  <c r="AE54" i="6"/>
  <c r="AF54" i="6"/>
  <c r="AE96" i="6"/>
  <c r="AF96" i="6"/>
  <c r="I137" i="6"/>
  <c r="J137" i="6"/>
  <c r="U14" i="10"/>
  <c r="M14" i="10"/>
  <c r="V14" i="10"/>
  <c r="W14" i="10"/>
  <c r="X14" i="10"/>
  <c r="Y14" i="10"/>
  <c r="Z14" i="10"/>
  <c r="AA14" i="10"/>
  <c r="M15" i="10"/>
  <c r="V15" i="10"/>
  <c r="X15" i="10"/>
  <c r="Z15" i="10"/>
  <c r="AA15" i="10"/>
  <c r="W15" i="10"/>
  <c r="Y15" i="10"/>
  <c r="M16" i="10"/>
  <c r="V16" i="10"/>
  <c r="AA16" i="10"/>
  <c r="W16" i="10"/>
  <c r="X16" i="10"/>
  <c r="Y16" i="10"/>
  <c r="Z16" i="10"/>
  <c r="C61" i="7"/>
  <c r="N17" i="10"/>
  <c r="J45" i="7"/>
  <c r="C52" i="7"/>
  <c r="L52" i="7" s="1"/>
  <c r="M17" i="10"/>
  <c r="K45" i="7" s="1"/>
  <c r="V17" i="10"/>
  <c r="M45" i="7" s="1"/>
  <c r="W17" i="10"/>
  <c r="O45" i="7" s="1"/>
  <c r="Z17" i="10"/>
  <c r="K52" i="7" s="1"/>
  <c r="X17" i="10"/>
  <c r="E52" i="7" s="1"/>
  <c r="Y17" i="10"/>
  <c r="I52" i="7" s="1"/>
  <c r="AA17" i="10"/>
  <c r="P52" i="7" s="1"/>
  <c r="C62" i="7"/>
  <c r="N18" i="10"/>
  <c r="J46" i="7"/>
  <c r="C53" i="7"/>
  <c r="L53" i="7" s="1"/>
  <c r="M18" i="10"/>
  <c r="K46" i="7" s="1"/>
  <c r="V18" i="10"/>
  <c r="M46" i="7" s="1"/>
  <c r="X18" i="10"/>
  <c r="E53" i="7" s="1"/>
  <c r="W18" i="10"/>
  <c r="O46" i="7" s="1"/>
  <c r="Y18" i="10"/>
  <c r="I53" i="7" s="1"/>
  <c r="Z18" i="10"/>
  <c r="K53" i="7" s="1"/>
  <c r="AA18" i="10"/>
  <c r="P53" i="7" s="1"/>
  <c r="C63" i="7"/>
  <c r="N19" i="10"/>
  <c r="J47" i="7"/>
  <c r="C54" i="7"/>
  <c r="L54" i="7" s="1"/>
  <c r="M19" i="10"/>
  <c r="K47" i="7" s="1"/>
  <c r="V19" i="10"/>
  <c r="M47" i="7" s="1"/>
  <c r="W19" i="10"/>
  <c r="O47" i="7" s="1"/>
  <c r="X19" i="10"/>
  <c r="E54" i="7" s="1"/>
  <c r="Z19" i="10"/>
  <c r="K54" i="7" s="1"/>
  <c r="AA19" i="10"/>
  <c r="P54" i="7" s="1"/>
  <c r="Y19" i="10"/>
  <c r="I54" i="7" s="1"/>
  <c r="M20" i="10"/>
  <c r="V20" i="10"/>
  <c r="W20" i="10"/>
  <c r="X20" i="10"/>
  <c r="Y20" i="10"/>
  <c r="Z20" i="10"/>
  <c r="AA20" i="10"/>
  <c r="M21" i="10"/>
  <c r="V21" i="10"/>
  <c r="W21" i="10"/>
  <c r="X21" i="10"/>
  <c r="Z21" i="10"/>
  <c r="AA21" i="10"/>
  <c r="Y21" i="10"/>
  <c r="M22" i="10"/>
  <c r="V22" i="10"/>
  <c r="AA22" i="10"/>
  <c r="W22" i="10"/>
  <c r="X22" i="10"/>
  <c r="Y22" i="10"/>
  <c r="Z22" i="10"/>
  <c r="M23" i="10"/>
  <c r="V23" i="10"/>
  <c r="W23" i="10"/>
  <c r="X23" i="10"/>
  <c r="Z23" i="10"/>
  <c r="Y23" i="10"/>
  <c r="AA23" i="10"/>
  <c r="M24" i="10"/>
  <c r="V24" i="10"/>
  <c r="AA24" i="10"/>
  <c r="W24" i="10"/>
  <c r="X24" i="10"/>
  <c r="Y24" i="10"/>
  <c r="Z24" i="10"/>
  <c r="M25" i="10"/>
  <c r="V25" i="10"/>
  <c r="X25" i="10"/>
  <c r="Z25" i="10"/>
  <c r="W25" i="10"/>
  <c r="Y25" i="10"/>
  <c r="AA25" i="10"/>
  <c r="M26" i="10"/>
  <c r="V26" i="10"/>
  <c r="W26" i="10"/>
  <c r="Z26" i="10"/>
  <c r="AA26" i="10"/>
  <c r="X26" i="10"/>
  <c r="Y26" i="10"/>
  <c r="M27" i="10"/>
  <c r="V27" i="10"/>
  <c r="X27" i="10"/>
  <c r="AA27" i="10"/>
  <c r="W27" i="10"/>
  <c r="Y27" i="10"/>
  <c r="Z27" i="10"/>
  <c r="M28" i="10"/>
  <c r="V28" i="10"/>
  <c r="W28" i="10"/>
  <c r="Z28" i="10"/>
  <c r="X28" i="10"/>
  <c r="Y28" i="10"/>
  <c r="AA28" i="10"/>
  <c r="M29" i="10"/>
  <c r="V29" i="10"/>
  <c r="X29" i="10"/>
  <c r="AA29" i="10"/>
  <c r="W29" i="10"/>
  <c r="Y29" i="10"/>
  <c r="Z29" i="10"/>
  <c r="M30" i="10"/>
  <c r="V30" i="10"/>
  <c r="W30" i="10"/>
  <c r="Z30" i="10"/>
  <c r="X30" i="10"/>
  <c r="Y30" i="10"/>
  <c r="AA30" i="10"/>
  <c r="M31" i="10"/>
  <c r="V31" i="10"/>
  <c r="X31" i="10"/>
  <c r="Z31" i="10"/>
  <c r="AA31" i="10"/>
  <c r="W31" i="10"/>
  <c r="Y31" i="10"/>
  <c r="M32" i="10"/>
  <c r="V32" i="10"/>
  <c r="W32" i="10"/>
  <c r="X32" i="10"/>
  <c r="Y32" i="10"/>
  <c r="Z32" i="10"/>
  <c r="AA32" i="10"/>
  <c r="M33" i="10"/>
  <c r="V33" i="10"/>
  <c r="Z33" i="10"/>
  <c r="AA33" i="10"/>
  <c r="W33" i="10"/>
  <c r="X33" i="10"/>
  <c r="Y33" i="10"/>
  <c r="M34" i="10"/>
  <c r="V34" i="10"/>
  <c r="W34" i="10"/>
  <c r="X34" i="10"/>
  <c r="Y34" i="10"/>
  <c r="Z34" i="10"/>
  <c r="AA34" i="10"/>
  <c r="M35" i="10"/>
  <c r="V35" i="10"/>
  <c r="Z35" i="10"/>
  <c r="AA35" i="10"/>
  <c r="W35" i="10"/>
  <c r="X35" i="10"/>
  <c r="Y35" i="10"/>
  <c r="M36" i="10"/>
  <c r="V36" i="10"/>
  <c r="W36" i="10"/>
  <c r="X36" i="10"/>
  <c r="Y36" i="10"/>
  <c r="Z36" i="10"/>
  <c r="AA36" i="10"/>
  <c r="M37" i="10"/>
  <c r="V37" i="10"/>
  <c r="AA37" i="10"/>
  <c r="W37" i="10"/>
  <c r="X37" i="10"/>
  <c r="Y37" i="10"/>
  <c r="Z37" i="10"/>
  <c r="M38" i="10"/>
  <c r="V38" i="10"/>
  <c r="W38" i="10"/>
  <c r="X38" i="10"/>
  <c r="Z38" i="10"/>
  <c r="Y38" i="10"/>
  <c r="AA38" i="10"/>
  <c r="M39" i="10"/>
  <c r="V39" i="10"/>
  <c r="Z39" i="10"/>
  <c r="AA39" i="10"/>
  <c r="W39" i="10"/>
  <c r="X39" i="10"/>
  <c r="Y39" i="10"/>
  <c r="M40" i="10"/>
  <c r="V40" i="10"/>
  <c r="W40" i="10"/>
  <c r="X40" i="10"/>
  <c r="Y40" i="10"/>
  <c r="Z40" i="10"/>
  <c r="AA40" i="10"/>
  <c r="M41" i="10"/>
  <c r="V41" i="10"/>
  <c r="AA41" i="10"/>
  <c r="W41" i="10"/>
  <c r="X41" i="10"/>
  <c r="Y41" i="10"/>
  <c r="Z41" i="10"/>
  <c r="M42" i="10"/>
  <c r="V42" i="10"/>
  <c r="W42" i="10"/>
  <c r="X42" i="10"/>
  <c r="Z42" i="10"/>
  <c r="Y42" i="10"/>
  <c r="AA42" i="10"/>
  <c r="M43" i="10"/>
  <c r="V43" i="10"/>
  <c r="Y43" i="10"/>
  <c r="Z43" i="10"/>
  <c r="AA43" i="10"/>
  <c r="W43" i="10"/>
  <c r="X43" i="10"/>
  <c r="M44" i="10"/>
  <c r="V44" i="10"/>
  <c r="W44" i="10"/>
  <c r="X44" i="10"/>
  <c r="AA44" i="10"/>
  <c r="Y44" i="10"/>
  <c r="Z44" i="10"/>
  <c r="M45" i="10"/>
  <c r="V45" i="10"/>
  <c r="W45" i="10"/>
  <c r="Y45" i="10"/>
  <c r="Z45" i="10"/>
  <c r="X45" i="10"/>
  <c r="AA45" i="10"/>
  <c r="M46" i="10"/>
  <c r="V46" i="10"/>
  <c r="X46" i="10"/>
  <c r="W46" i="10"/>
  <c r="Y46" i="10"/>
  <c r="Z46" i="10"/>
  <c r="AA46" i="10"/>
  <c r="M47" i="10"/>
  <c r="V47" i="10"/>
  <c r="Y47" i="10"/>
  <c r="Z47" i="10"/>
  <c r="AA47" i="10"/>
  <c r="W47" i="10"/>
  <c r="X47" i="10"/>
  <c r="M48" i="10"/>
  <c r="V48" i="10"/>
  <c r="W48" i="10"/>
  <c r="X48" i="10"/>
  <c r="Y48" i="10"/>
  <c r="Z48" i="10"/>
  <c r="AA48" i="10"/>
  <c r="M49" i="10"/>
  <c r="V49" i="10"/>
  <c r="Y49" i="10"/>
  <c r="Z49" i="10"/>
  <c r="AA49" i="10"/>
  <c r="W49" i="10"/>
  <c r="X49" i="10"/>
  <c r="M50" i="10"/>
  <c r="V50" i="10"/>
  <c r="W50" i="10"/>
  <c r="X50" i="10"/>
  <c r="Y50" i="10"/>
  <c r="Z50" i="10"/>
  <c r="AA50" i="10"/>
  <c r="M51" i="10"/>
  <c r="V51" i="10"/>
  <c r="Y51" i="10"/>
  <c r="Z51" i="10"/>
  <c r="AA51" i="10"/>
  <c r="W51" i="10"/>
  <c r="X51" i="10"/>
  <c r="M52" i="10"/>
  <c r="V52" i="10"/>
  <c r="W52" i="10"/>
  <c r="X52" i="10"/>
  <c r="Y52" i="10"/>
  <c r="Z52" i="10"/>
  <c r="AA52" i="10"/>
  <c r="M53" i="10"/>
  <c r="V53" i="10"/>
  <c r="Y53" i="10"/>
  <c r="Z53" i="10"/>
  <c r="AA53" i="10"/>
  <c r="W53" i="10"/>
  <c r="X53" i="10"/>
  <c r="M54" i="10"/>
  <c r="V54" i="10"/>
  <c r="W54" i="10"/>
  <c r="X54" i="10"/>
  <c r="Y54" i="10"/>
  <c r="Z54" i="10"/>
  <c r="AA54" i="10"/>
  <c r="M55" i="10"/>
  <c r="V55" i="10"/>
  <c r="Y55" i="10"/>
  <c r="Z55" i="10"/>
  <c r="AA55" i="10"/>
  <c r="W55" i="10"/>
  <c r="X55" i="10"/>
  <c r="M56" i="10"/>
  <c r="V56" i="10"/>
  <c r="W56" i="10"/>
  <c r="X56" i="10"/>
  <c r="Y56" i="10"/>
  <c r="Z56" i="10"/>
  <c r="AA56" i="10"/>
  <c r="M57" i="10"/>
  <c r="V57" i="10"/>
  <c r="Y57" i="10"/>
  <c r="Z57" i="10"/>
  <c r="AA57" i="10"/>
  <c r="W57" i="10"/>
  <c r="X57" i="10"/>
  <c r="M58" i="10"/>
  <c r="V58" i="10"/>
  <c r="W58" i="10"/>
  <c r="X58" i="10"/>
  <c r="Y58" i="10"/>
  <c r="AA58" i="10"/>
  <c r="Z58" i="10"/>
  <c r="M59" i="10"/>
  <c r="V59" i="10"/>
  <c r="Y59" i="10"/>
  <c r="Z59" i="10"/>
  <c r="W59" i="10"/>
  <c r="X59" i="10"/>
  <c r="AA59" i="10"/>
  <c r="M60" i="10"/>
  <c r="V60" i="10"/>
  <c r="W60" i="10"/>
  <c r="X60" i="10"/>
  <c r="Y60" i="10"/>
  <c r="AA60" i="10"/>
  <c r="Z60" i="10"/>
  <c r="M61" i="10"/>
  <c r="V61" i="10"/>
  <c r="Y61" i="10"/>
  <c r="Z61" i="10"/>
  <c r="W61" i="10"/>
  <c r="X61" i="10"/>
  <c r="AA61" i="10"/>
  <c r="M62" i="10"/>
  <c r="V62" i="10"/>
  <c r="W62" i="10"/>
  <c r="X62" i="10"/>
  <c r="Y62" i="10"/>
  <c r="AA62" i="10"/>
  <c r="Z62" i="10"/>
  <c r="M63" i="10"/>
  <c r="V63" i="10"/>
  <c r="Y63" i="10"/>
  <c r="Z63" i="10"/>
  <c r="W63" i="10"/>
  <c r="X63" i="10"/>
  <c r="AA63" i="10"/>
  <c r="M64" i="10"/>
  <c r="V64" i="10"/>
  <c r="X64" i="10"/>
  <c r="Y64" i="10"/>
  <c r="AA64" i="10"/>
  <c r="W64" i="10"/>
  <c r="Z64" i="10"/>
  <c r="M65" i="10"/>
  <c r="V65" i="10"/>
  <c r="W65" i="10"/>
  <c r="Y65" i="10"/>
  <c r="Z65" i="10"/>
  <c r="AA65" i="10"/>
  <c r="X65" i="10"/>
  <c r="M66" i="10"/>
  <c r="V66" i="10"/>
  <c r="X66" i="10"/>
  <c r="Y66" i="10"/>
  <c r="W66" i="10"/>
  <c r="Z66" i="10"/>
  <c r="AA66" i="10"/>
  <c r="M67" i="10"/>
  <c r="V67" i="10"/>
  <c r="W67" i="10"/>
  <c r="X67" i="10"/>
  <c r="Y67" i="10"/>
  <c r="Z67" i="10"/>
  <c r="AA67" i="10"/>
  <c r="M68" i="10"/>
  <c r="V68" i="10"/>
  <c r="W68" i="10"/>
  <c r="Y68" i="10"/>
  <c r="Z68" i="10"/>
  <c r="AA68" i="10"/>
  <c r="X68" i="10"/>
  <c r="M69" i="10"/>
  <c r="V69" i="10"/>
  <c r="Y69" i="10"/>
  <c r="W69" i="10"/>
  <c r="X69" i="10"/>
  <c r="Z69" i="10"/>
  <c r="AA69" i="10"/>
  <c r="M70" i="10"/>
  <c r="V70" i="10"/>
  <c r="X70" i="10"/>
  <c r="Y70" i="10"/>
  <c r="W70" i="10"/>
  <c r="Z70" i="10"/>
  <c r="AA70" i="10"/>
  <c r="M71" i="10"/>
  <c r="V71" i="10"/>
  <c r="W71" i="10"/>
  <c r="Y71" i="10"/>
  <c r="Z71" i="10"/>
  <c r="AA71" i="10"/>
  <c r="X71" i="10"/>
  <c r="M72" i="10"/>
  <c r="V72" i="10"/>
  <c r="X72" i="10"/>
  <c r="Y72" i="10"/>
  <c r="W72" i="10"/>
  <c r="Z72" i="10"/>
  <c r="AA72" i="10"/>
  <c r="M73" i="10"/>
  <c r="V73" i="10"/>
  <c r="W73" i="10"/>
  <c r="X73" i="10"/>
  <c r="Y73" i="10"/>
  <c r="Z73" i="10"/>
  <c r="AA73" i="10"/>
  <c r="M74" i="10"/>
  <c r="V74" i="10"/>
  <c r="Y74" i="10"/>
  <c r="Z74" i="10"/>
  <c r="W74" i="10"/>
  <c r="X74" i="10"/>
  <c r="AA74" i="10"/>
  <c r="M75" i="10"/>
  <c r="V75" i="10"/>
  <c r="W75" i="10"/>
  <c r="X75" i="10"/>
  <c r="Y75" i="10"/>
  <c r="AA75" i="10"/>
  <c r="Z75" i="10"/>
  <c r="M76" i="10"/>
  <c r="V76" i="10"/>
  <c r="Y76" i="10"/>
  <c r="Z76" i="10"/>
  <c r="W76" i="10"/>
  <c r="X76" i="10"/>
  <c r="AA76" i="10"/>
  <c r="M77" i="10"/>
  <c r="V77" i="10"/>
  <c r="W77" i="10"/>
  <c r="X77" i="10"/>
  <c r="Y77" i="10"/>
  <c r="AA77" i="10"/>
  <c r="Z77" i="10"/>
  <c r="M78" i="10"/>
  <c r="V78" i="10"/>
  <c r="Y78" i="10"/>
  <c r="Z78" i="10"/>
  <c r="W78" i="10"/>
  <c r="X78" i="10"/>
  <c r="AA78" i="10"/>
  <c r="M79" i="10"/>
  <c r="V79" i="10"/>
  <c r="W79" i="10"/>
  <c r="X79" i="10"/>
  <c r="Y79" i="10"/>
  <c r="Z79" i="10"/>
  <c r="AA79" i="10"/>
  <c r="M80" i="10"/>
  <c r="V80" i="10"/>
  <c r="Y80" i="10"/>
  <c r="W80" i="10"/>
  <c r="X80" i="10"/>
  <c r="Z80" i="10"/>
  <c r="AA80" i="10"/>
  <c r="M81" i="10"/>
  <c r="V81" i="10"/>
  <c r="W81" i="10"/>
  <c r="X81" i="10"/>
  <c r="Y81" i="10"/>
  <c r="AA81" i="10"/>
  <c r="Z81" i="10"/>
  <c r="M82" i="10"/>
  <c r="V82" i="10"/>
  <c r="Y82" i="10"/>
  <c r="Z82" i="10"/>
  <c r="W82" i="10"/>
  <c r="X82" i="10"/>
  <c r="AA82" i="10"/>
  <c r="M83" i="10"/>
  <c r="V83" i="10"/>
  <c r="W83" i="10"/>
  <c r="X83" i="10"/>
  <c r="Y83" i="10"/>
  <c r="AA83" i="10"/>
  <c r="Z83" i="10"/>
  <c r="M84" i="10"/>
  <c r="V84" i="10"/>
  <c r="Y84" i="10"/>
  <c r="Z84" i="10"/>
  <c r="W84" i="10"/>
  <c r="X84" i="10"/>
  <c r="AA84" i="10"/>
  <c r="M85" i="10"/>
  <c r="V85" i="10"/>
  <c r="W85" i="10"/>
  <c r="X85" i="10"/>
  <c r="Y85" i="10"/>
  <c r="AA85" i="10"/>
  <c r="Z85" i="10"/>
  <c r="M86" i="10"/>
  <c r="V86" i="10"/>
  <c r="Y86" i="10"/>
  <c r="Z86" i="10"/>
  <c r="AA86" i="10"/>
  <c r="W86" i="10"/>
  <c r="X86" i="10"/>
  <c r="M87" i="10"/>
  <c r="V87" i="10"/>
  <c r="W87" i="10"/>
  <c r="X87" i="10"/>
  <c r="Y87" i="10"/>
  <c r="Z87" i="10"/>
  <c r="AA87" i="10"/>
  <c r="M88" i="10"/>
  <c r="V88" i="10"/>
  <c r="X88" i="10"/>
  <c r="Y88" i="10"/>
  <c r="Z88" i="10"/>
  <c r="AA88" i="10"/>
  <c r="W88" i="10"/>
  <c r="M89" i="10"/>
  <c r="V89" i="10"/>
  <c r="W89" i="10"/>
  <c r="Y89" i="10"/>
  <c r="X89" i="10"/>
  <c r="Z89" i="10"/>
  <c r="AA89" i="10"/>
  <c r="M90" i="10"/>
  <c r="V90" i="10"/>
  <c r="Z90" i="10"/>
  <c r="AA90" i="10"/>
  <c r="W90" i="10"/>
  <c r="X90" i="10"/>
  <c r="Y90" i="10"/>
  <c r="M91" i="10"/>
  <c r="V91" i="10"/>
  <c r="W91" i="10"/>
  <c r="X91" i="10"/>
  <c r="Y91" i="10"/>
  <c r="Z91" i="10"/>
  <c r="AA91" i="10"/>
  <c r="M92" i="10"/>
  <c r="V92" i="10"/>
  <c r="Z92" i="10"/>
  <c r="AA92" i="10"/>
  <c r="W92" i="10"/>
  <c r="X92" i="10"/>
  <c r="Y92" i="10"/>
  <c r="M93" i="10"/>
  <c r="V93" i="10"/>
  <c r="W93" i="10"/>
  <c r="X93" i="10"/>
  <c r="Y93" i="10"/>
  <c r="Z93" i="10"/>
  <c r="AA93" i="10"/>
  <c r="M94" i="10"/>
  <c r="V94" i="10"/>
  <c r="Z94" i="10"/>
  <c r="W94" i="10"/>
  <c r="X94" i="10"/>
  <c r="Y94" i="10"/>
  <c r="AA94" i="10"/>
  <c r="M95" i="10"/>
  <c r="V95" i="10"/>
  <c r="W95" i="10"/>
  <c r="X95" i="10"/>
  <c r="Y95" i="10"/>
  <c r="Z95" i="10"/>
  <c r="AA95" i="10"/>
  <c r="M96" i="10"/>
  <c r="V96" i="10"/>
  <c r="Z96" i="10"/>
  <c r="AA96" i="10"/>
  <c r="W96" i="10"/>
  <c r="X96" i="10"/>
  <c r="Y96" i="10"/>
  <c r="M97" i="10"/>
  <c r="V97" i="10"/>
  <c r="W97" i="10"/>
  <c r="X97" i="10"/>
  <c r="Y97" i="10"/>
  <c r="Z97" i="10"/>
  <c r="AA97" i="10"/>
  <c r="M98" i="10"/>
  <c r="V98" i="10"/>
  <c r="W98" i="10"/>
  <c r="X98" i="10"/>
  <c r="Z98" i="10"/>
  <c r="AA98" i="10"/>
  <c r="Y98" i="10"/>
  <c r="M99" i="10"/>
  <c r="V99" i="10"/>
  <c r="W99" i="10"/>
  <c r="Y99" i="10"/>
  <c r="X99" i="10"/>
  <c r="Z99" i="10"/>
  <c r="AA99" i="10"/>
  <c r="M100" i="10"/>
  <c r="V100" i="10"/>
  <c r="W100" i="10"/>
  <c r="X100" i="10"/>
  <c r="Z100" i="10"/>
  <c r="AA100" i="10"/>
  <c r="Y100" i="10"/>
  <c r="M101" i="10"/>
  <c r="V101" i="10"/>
  <c r="W101" i="10"/>
  <c r="Y101" i="10"/>
  <c r="X101" i="10"/>
  <c r="Z101" i="10"/>
  <c r="AA101" i="10"/>
  <c r="M102" i="10"/>
  <c r="V102" i="10"/>
  <c r="W102" i="10"/>
  <c r="X102" i="10"/>
  <c r="Z102" i="10"/>
  <c r="AA102" i="10"/>
  <c r="Y102" i="10"/>
  <c r="M103" i="10"/>
  <c r="V103" i="10"/>
  <c r="W103" i="10"/>
  <c r="Y103" i="10"/>
  <c r="X103" i="10"/>
  <c r="Z103" i="10"/>
  <c r="AA103" i="10"/>
  <c r="M104" i="10"/>
  <c r="V104" i="10"/>
  <c r="W104" i="10"/>
  <c r="X104" i="10"/>
  <c r="Z104" i="10"/>
  <c r="AA104" i="10"/>
  <c r="Y104" i="10"/>
  <c r="M105" i="10"/>
  <c r="V105" i="10"/>
  <c r="W105" i="10"/>
  <c r="Y105" i="10"/>
  <c r="Z105" i="10"/>
  <c r="AA105" i="10"/>
  <c r="X105" i="10"/>
  <c r="M106" i="10"/>
  <c r="V106" i="10"/>
  <c r="W106" i="10"/>
  <c r="X106" i="10"/>
  <c r="Y106" i="10"/>
  <c r="Z106" i="10"/>
  <c r="AA106" i="10"/>
  <c r="M107" i="10"/>
  <c r="V107" i="10"/>
  <c r="W107" i="10"/>
  <c r="Y107" i="10"/>
  <c r="Z107" i="10"/>
  <c r="AA107" i="10"/>
  <c r="X107" i="10"/>
  <c r="M108" i="10"/>
  <c r="V108" i="10"/>
  <c r="W108" i="10"/>
  <c r="X108" i="10"/>
  <c r="Y108" i="10"/>
  <c r="Z108" i="10"/>
  <c r="AA108" i="10"/>
  <c r="M109" i="10"/>
  <c r="V109" i="10"/>
  <c r="W109" i="10"/>
  <c r="Y109" i="10"/>
  <c r="Z109" i="10"/>
  <c r="AA109" i="10"/>
  <c r="X109" i="10"/>
  <c r="M110" i="10"/>
  <c r="V110" i="10"/>
  <c r="W110" i="10"/>
  <c r="X110" i="10"/>
  <c r="Z110" i="10"/>
  <c r="Y110" i="10"/>
  <c r="AA110" i="10"/>
  <c r="M111" i="10"/>
  <c r="V111" i="10"/>
  <c r="W111" i="10"/>
  <c r="Y111" i="10"/>
  <c r="AA111" i="10"/>
  <c r="X111" i="10"/>
  <c r="Z111" i="10"/>
  <c r="M112" i="10"/>
  <c r="V112" i="10"/>
  <c r="W112" i="10"/>
  <c r="X112" i="10"/>
  <c r="Z112" i="10"/>
  <c r="Y112" i="10"/>
  <c r="AA112" i="10"/>
  <c r="M113" i="10"/>
  <c r="V113" i="10"/>
  <c r="W113" i="10"/>
  <c r="Y113" i="10"/>
  <c r="AA113" i="10"/>
  <c r="X113" i="10"/>
  <c r="Z113" i="10"/>
  <c r="M114" i="10"/>
  <c r="V114" i="10"/>
  <c r="W114" i="10"/>
  <c r="X114" i="10"/>
  <c r="Z114" i="10"/>
  <c r="Y114" i="10"/>
  <c r="AA114" i="10"/>
  <c r="M115" i="10"/>
  <c r="V115" i="10"/>
  <c r="W115" i="10"/>
  <c r="Y115" i="10"/>
  <c r="AA115" i="10"/>
  <c r="X115" i="10"/>
  <c r="Z115" i="10"/>
  <c r="M116" i="10"/>
  <c r="V116" i="10"/>
  <c r="W116" i="10"/>
  <c r="X116" i="10"/>
  <c r="Z116" i="10"/>
  <c r="Y116" i="10"/>
  <c r="AA116" i="10"/>
  <c r="M117" i="10"/>
  <c r="V117" i="10"/>
  <c r="W117" i="10"/>
  <c r="Y117" i="10"/>
  <c r="AA117" i="10"/>
  <c r="X117" i="10"/>
  <c r="Z117" i="10"/>
  <c r="M118" i="10"/>
  <c r="V118" i="10"/>
  <c r="W118" i="10"/>
  <c r="X118" i="10"/>
  <c r="Z118" i="10"/>
  <c r="Y118" i="10"/>
  <c r="AA118" i="10"/>
  <c r="M119" i="10"/>
  <c r="V119" i="10"/>
  <c r="W119" i="10"/>
  <c r="Y119" i="10"/>
  <c r="AA119" i="10"/>
  <c r="X119" i="10"/>
  <c r="Z119" i="10"/>
  <c r="M120" i="10"/>
  <c r="V120" i="10"/>
  <c r="W120" i="10"/>
  <c r="X120" i="10"/>
  <c r="Z120" i="10"/>
  <c r="Y120" i="10"/>
  <c r="AA120" i="10"/>
  <c r="M121" i="10"/>
  <c r="V121" i="10"/>
  <c r="W121" i="10"/>
  <c r="X121" i="10"/>
  <c r="Y121" i="10"/>
  <c r="AA121" i="10"/>
  <c r="Z121" i="10"/>
  <c r="M122" i="10"/>
  <c r="V122" i="10"/>
  <c r="W122" i="10"/>
  <c r="X122" i="10"/>
  <c r="Z122" i="10"/>
  <c r="Y122" i="10"/>
  <c r="AA122" i="10"/>
  <c r="M123" i="10"/>
  <c r="V123" i="10"/>
  <c r="W123" i="10"/>
  <c r="Y123" i="10"/>
  <c r="AA123" i="10"/>
  <c r="X123" i="10"/>
  <c r="Z123" i="10"/>
  <c r="M124" i="10"/>
  <c r="V124" i="10"/>
  <c r="W124" i="10"/>
  <c r="Z124" i="10"/>
  <c r="X124" i="10"/>
  <c r="Y124" i="10"/>
  <c r="AA124" i="10"/>
  <c r="M125" i="10"/>
  <c r="V125" i="10"/>
  <c r="W125" i="10"/>
  <c r="Y125" i="10"/>
  <c r="AA125" i="10"/>
  <c r="X125" i="10"/>
  <c r="Z125" i="10"/>
  <c r="M126" i="10"/>
  <c r="V126" i="10"/>
  <c r="W126" i="10"/>
  <c r="X126" i="10"/>
  <c r="Y126" i="10"/>
  <c r="Z126" i="10"/>
  <c r="AA126" i="10"/>
  <c r="M127" i="10"/>
  <c r="V127" i="10"/>
  <c r="W127" i="10"/>
  <c r="Y127" i="10"/>
  <c r="AA127" i="10"/>
  <c r="X127" i="10"/>
  <c r="Z127" i="10"/>
  <c r="M128" i="10"/>
  <c r="V128" i="10"/>
  <c r="W128" i="10"/>
  <c r="X128" i="10"/>
  <c r="Y128" i="10"/>
  <c r="Z128" i="10"/>
  <c r="AA128" i="10"/>
  <c r="M129" i="10"/>
  <c r="V129" i="10"/>
  <c r="W129" i="10"/>
  <c r="Y129" i="10"/>
  <c r="AA129" i="10"/>
  <c r="X129" i="10"/>
  <c r="Z129" i="10"/>
  <c r="M130" i="10"/>
  <c r="V130" i="10"/>
  <c r="W130" i="10"/>
  <c r="X130" i="10"/>
  <c r="Y130" i="10"/>
  <c r="Z130" i="10"/>
  <c r="AA130" i="10"/>
  <c r="M131" i="10"/>
  <c r="V131" i="10"/>
  <c r="W131" i="10"/>
  <c r="Y131" i="10"/>
  <c r="AA131" i="10"/>
  <c r="X131" i="10"/>
  <c r="Z131" i="10"/>
  <c r="M132" i="10"/>
  <c r="V132" i="10"/>
  <c r="W132" i="10"/>
  <c r="X132" i="10"/>
  <c r="Y132" i="10"/>
  <c r="Z132" i="10"/>
  <c r="AA132" i="10"/>
  <c r="M133" i="10"/>
  <c r="V133" i="10"/>
  <c r="W133" i="10"/>
  <c r="Y133" i="10"/>
  <c r="AA133" i="10"/>
  <c r="X133" i="10"/>
  <c r="Z133" i="10"/>
  <c r="H7" i="7"/>
  <c r="I7" i="7"/>
  <c r="H8" i="7"/>
  <c r="I8" i="7"/>
  <c r="I9" i="7"/>
  <c r="H9" i="7"/>
  <c r="CD1" i="6"/>
  <c r="CE1" i="6"/>
  <c r="BZ1" i="6"/>
  <c r="CA1" i="6"/>
  <c r="CB1" i="6"/>
  <c r="CC1" i="6"/>
  <c r="AE23" i="6"/>
  <c r="AF23" i="6"/>
  <c r="BB23" i="6"/>
  <c r="BA23" i="6"/>
  <c r="AE24" i="6"/>
  <c r="AF24" i="6"/>
  <c r="BA24" i="6"/>
  <c r="BB24" i="6"/>
  <c r="BA25" i="6"/>
  <c r="BB25" i="6"/>
  <c r="AF25" i="6"/>
  <c r="AE25" i="6"/>
  <c r="BA26" i="6"/>
  <c r="BB26" i="6"/>
  <c r="J26" i="6"/>
  <c r="I26" i="6"/>
  <c r="AE26" i="6"/>
  <c r="AF26" i="6"/>
  <c r="BA27" i="6"/>
  <c r="BB27" i="6"/>
  <c r="J27" i="6"/>
  <c r="I27" i="6"/>
  <c r="AE27" i="6"/>
  <c r="AF27" i="6"/>
  <c r="BA29" i="6"/>
  <c r="BB29" i="6"/>
  <c r="AE29" i="6"/>
  <c r="AF29" i="6"/>
  <c r="AE30" i="6"/>
  <c r="AF30" i="6"/>
  <c r="BA30" i="6"/>
  <c r="BB30" i="6"/>
  <c r="AE31" i="6"/>
  <c r="AF31" i="6"/>
  <c r="BA31" i="6"/>
  <c r="BB31" i="6"/>
  <c r="AE32" i="6"/>
  <c r="AF32" i="6"/>
  <c r="BB49" i="6"/>
  <c r="BA49" i="6"/>
  <c r="AE49" i="6"/>
  <c r="AF49" i="6"/>
  <c r="I49" i="6"/>
  <c r="J49" i="6"/>
  <c r="AE50" i="6"/>
  <c r="AF50" i="6"/>
  <c r="AF51" i="6"/>
  <c r="AE51" i="6"/>
  <c r="BA52" i="6"/>
  <c r="BB52" i="6"/>
  <c r="BA130" i="6"/>
  <c r="BB130" i="6"/>
  <c r="AF132" i="6"/>
  <c r="AE132" i="6"/>
  <c r="BA132" i="6"/>
  <c r="BB132" i="6"/>
  <c r="BA133" i="6"/>
  <c r="BB133" i="6"/>
  <c r="AF133" i="6"/>
  <c r="AE133" i="6"/>
  <c r="BA134" i="6"/>
  <c r="BB134" i="6"/>
  <c r="AE134" i="6"/>
  <c r="AF134" i="6"/>
  <c r="AE135" i="6"/>
  <c r="AF135" i="6"/>
  <c r="AF136" i="6"/>
  <c r="AE136" i="6"/>
  <c r="AE137" i="6"/>
  <c r="AF137" i="6"/>
  <c r="BA138" i="6"/>
  <c r="BB138" i="6"/>
  <c r="AF156" i="6"/>
  <c r="AE156" i="6"/>
  <c r="BB157" i="6"/>
  <c r="BA157" i="6"/>
  <c r="I158" i="6"/>
  <c r="J158" i="6"/>
  <c r="AE158" i="6"/>
  <c r="AF158" i="6"/>
  <c r="AF159" i="6"/>
  <c r="AE159" i="6"/>
  <c r="G8" i="20"/>
  <c r="G5" i="20"/>
  <c r="G6" i="20"/>
  <c r="B28" i="20"/>
  <c r="B29" i="20"/>
  <c r="A11" i="20"/>
  <c r="A10" i="20"/>
  <c r="A12" i="20"/>
  <c r="J16" i="20"/>
  <c r="F9" i="20"/>
  <c r="B9" i="20"/>
  <c r="C9" i="20"/>
  <c r="F27" i="20"/>
  <c r="D9" i="20"/>
  <c r="E9" i="20"/>
  <c r="J29" i="20"/>
  <c r="E29" i="20"/>
  <c r="D29" i="20"/>
  <c r="C29" i="20"/>
  <c r="F47" i="23"/>
  <c r="F41" i="23"/>
  <c r="F51" i="23"/>
  <c r="F71" i="23"/>
  <c r="F64" i="23"/>
  <c r="F60" i="23"/>
  <c r="F56" i="23"/>
  <c r="F57" i="23"/>
  <c r="F83" i="23"/>
  <c r="F59" i="23"/>
  <c r="F67" i="23"/>
  <c r="F39" i="23"/>
  <c r="F43" i="23"/>
  <c r="F44" i="23"/>
  <c r="F63" i="23"/>
  <c r="F58" i="23"/>
  <c r="F62" i="23"/>
  <c r="F68" i="23"/>
  <c r="F29" i="23"/>
  <c r="F74" i="23"/>
  <c r="F52" i="23"/>
  <c r="F75" i="23"/>
  <c r="F65" i="23"/>
  <c r="F76" i="23"/>
  <c r="F45" i="23"/>
  <c r="F79" i="23"/>
  <c r="F87" i="23"/>
  <c r="F38" i="23"/>
  <c r="F40" i="23"/>
  <c r="F78" i="23"/>
  <c r="F35" i="23"/>
  <c r="F33" i="23"/>
  <c r="F86" i="23"/>
  <c r="F69" i="23"/>
  <c r="F32" i="23"/>
  <c r="F49" i="23"/>
  <c r="F48" i="23"/>
  <c r="F66" i="23"/>
  <c r="F28" i="23"/>
  <c r="F30" i="23"/>
  <c r="E39" i="23"/>
  <c r="E41" i="23"/>
  <c r="E42" i="23"/>
  <c r="E45" i="23"/>
  <c r="E46" i="23"/>
  <c r="E48" i="23"/>
  <c r="E49" i="23"/>
  <c r="E52" i="23"/>
  <c r="E68" i="23"/>
  <c r="E30" i="23"/>
  <c r="E53" i="23"/>
  <c r="E33" i="23"/>
  <c r="E55" i="23"/>
  <c r="E35" i="23"/>
  <c r="E36" i="23"/>
  <c r="E67" i="23"/>
  <c r="E57" i="23"/>
  <c r="E66" i="23"/>
  <c r="E58" i="23"/>
  <c r="E73" i="23"/>
  <c r="E75" i="23"/>
  <c r="E79" i="23"/>
  <c r="E38" i="23"/>
  <c r="E81" i="23"/>
  <c r="E69" i="23"/>
  <c r="E82" i="23"/>
  <c r="E83" i="23"/>
  <c r="E63" i="23"/>
  <c r="E86" i="23"/>
  <c r="E87" i="23"/>
  <c r="E64" i="23"/>
  <c r="E72" i="23"/>
  <c r="E71" i="23"/>
  <c r="E84" i="23"/>
  <c r="E65" i="23"/>
  <c r="E62" i="23"/>
  <c r="E61" i="23"/>
  <c r="E60" i="23"/>
  <c r="E56" i="23"/>
  <c r="E77" i="23"/>
  <c r="E54" i="23"/>
  <c r="E51" i="23"/>
  <c r="E50" i="23"/>
  <c r="E47" i="23"/>
  <c r="E80" i="23"/>
  <c r="E44" i="23"/>
  <c r="E70" i="23"/>
  <c r="E40" i="23"/>
  <c r="E29" i="23"/>
  <c r="E85" i="23"/>
  <c r="E37" i="23"/>
  <c r="E34" i="23"/>
  <c r="E28" i="23"/>
  <c r="E32" i="23"/>
  <c r="E59" i="23"/>
  <c r="E78" i="23"/>
  <c r="E76" i="23"/>
  <c r="E74" i="23"/>
  <c r="E31" i="23"/>
  <c r="E43" i="23"/>
  <c r="D43" i="23"/>
  <c r="D31" i="23"/>
  <c r="D58" i="23"/>
  <c r="D49" i="23"/>
  <c r="D59" i="23"/>
  <c r="D50" i="23"/>
  <c r="D44" i="23"/>
  <c r="D35" i="23"/>
  <c r="D76" i="23"/>
  <c r="D85" i="23"/>
  <c r="D74" i="23"/>
  <c r="D32" i="23"/>
  <c r="D82" i="23"/>
  <c r="D41" i="23"/>
  <c r="D46" i="23"/>
  <c r="D80" i="23"/>
  <c r="D78" i="23"/>
  <c r="D47" i="23"/>
  <c r="D68" i="23"/>
  <c r="D62" i="23"/>
  <c r="D51" i="23"/>
  <c r="D48" i="23"/>
  <c r="D77" i="23"/>
  <c r="D63" i="23"/>
  <c r="D75" i="23"/>
  <c r="D29" i="23"/>
  <c r="D70" i="23"/>
  <c r="D64" i="23"/>
  <c r="D54" i="23"/>
  <c r="D73" i="23"/>
  <c r="D72" i="23"/>
  <c r="D69" i="23"/>
  <c r="D37" i="23"/>
  <c r="D52" i="23"/>
  <c r="D56" i="23"/>
  <c r="D87" i="23"/>
  <c r="D39" i="23"/>
  <c r="D57" i="23"/>
  <c r="D45" i="23"/>
  <c r="D53" i="23"/>
  <c r="D38" i="23"/>
  <c r="D34" i="23"/>
  <c r="D28" i="23"/>
  <c r="D36" i="23"/>
  <c r="D30" i="23"/>
  <c r="D33" i="23"/>
  <c r="D81" i="23"/>
  <c r="D71" i="23"/>
  <c r="D55" i="23"/>
  <c r="D79" i="23"/>
  <c r="D40" i="23"/>
  <c r="D83" i="23"/>
  <c r="D84" i="23"/>
  <c r="D60" i="23"/>
  <c r="D61" i="23"/>
  <c r="D42" i="23"/>
  <c r="D65" i="23"/>
  <c r="D66" i="23"/>
  <c r="D86" i="23"/>
  <c r="D67" i="23"/>
  <c r="C45" i="23"/>
  <c r="C39" i="23"/>
  <c r="C83" i="23"/>
  <c r="C48" i="23"/>
  <c r="C28" i="23"/>
  <c r="C76" i="23"/>
  <c r="C85" i="23"/>
  <c r="C42" i="23"/>
  <c r="C67" i="23"/>
  <c r="C50" i="23"/>
  <c r="C68" i="23"/>
  <c r="C52" i="23"/>
  <c r="C43" i="23"/>
  <c r="C44" i="23"/>
  <c r="C65" i="23"/>
  <c r="C36" i="23"/>
  <c r="C46" i="23"/>
  <c r="C69" i="23"/>
  <c r="C33" i="23"/>
  <c r="C30" i="23"/>
  <c r="C80" i="23"/>
  <c r="C47" i="23"/>
  <c r="C56" i="23"/>
  <c r="C79" i="23"/>
  <c r="C34" i="23"/>
  <c r="C82" i="23"/>
  <c r="C55" i="23"/>
  <c r="C59" i="23"/>
  <c r="C37" i="23"/>
  <c r="C51" i="23"/>
  <c r="C78" i="23"/>
  <c r="C77" i="23"/>
  <c r="C75" i="23"/>
  <c r="C38" i="23"/>
  <c r="C35" i="23"/>
  <c r="C63" i="23"/>
  <c r="C32" i="23"/>
  <c r="C57" i="23"/>
  <c r="C40" i="23"/>
  <c r="C53" i="23"/>
  <c r="C74" i="23"/>
  <c r="C81" i="23"/>
  <c r="C60" i="23"/>
  <c r="C29" i="23"/>
  <c r="C49" i="23"/>
  <c r="C61" i="23"/>
  <c r="C84" i="23"/>
  <c r="C86" i="23"/>
  <c r="C73" i="23"/>
  <c r="C66" i="23"/>
  <c r="C64" i="23"/>
  <c r="C54" i="23"/>
  <c r="C87" i="23"/>
  <c r="C41" i="23"/>
  <c r="C31" i="23"/>
  <c r="C62" i="23"/>
  <c r="C70" i="23"/>
  <c r="C71" i="23"/>
  <c r="C72" i="23"/>
  <c r="C58" i="23"/>
  <c r="B38" i="23"/>
  <c r="B40" i="23"/>
  <c r="B41" i="23"/>
  <c r="B42" i="23"/>
  <c r="B43" i="23"/>
  <c r="B44" i="23"/>
  <c r="B45" i="23"/>
  <c r="B46" i="23"/>
  <c r="B48" i="23"/>
  <c r="B51" i="23"/>
  <c r="B52" i="23"/>
  <c r="B56" i="23"/>
  <c r="B57" i="23"/>
  <c r="B58" i="23"/>
  <c r="B60" i="23"/>
  <c r="B65" i="23"/>
  <c r="B72" i="23"/>
  <c r="B34" i="23"/>
  <c r="B37" i="23"/>
  <c r="B68" i="23"/>
  <c r="B69" i="23"/>
  <c r="B75" i="23"/>
  <c r="B71" i="23"/>
  <c r="B74" i="23"/>
  <c r="B31" i="23"/>
  <c r="B39" i="23"/>
  <c r="B47" i="23"/>
  <c r="B77" i="23"/>
  <c r="B49" i="23"/>
  <c r="B50" i="23"/>
  <c r="B78" i="23"/>
  <c r="B53" i="23"/>
  <c r="B54" i="23"/>
  <c r="B55" i="23"/>
  <c r="B61" i="23"/>
  <c r="B62" i="23"/>
  <c r="B63" i="23"/>
  <c r="B64" i="23"/>
  <c r="B66" i="23"/>
  <c r="B67" i="23"/>
  <c r="B70" i="23"/>
  <c r="B82" i="23"/>
  <c r="B59" i="23"/>
  <c r="B73" i="23"/>
  <c r="B76" i="23"/>
  <c r="B84" i="23"/>
  <c r="B79" i="23"/>
  <c r="B80" i="23"/>
  <c r="B81" i="23"/>
  <c r="B83" i="23"/>
  <c r="B85" i="23"/>
  <c r="B86" i="23"/>
  <c r="B28" i="23"/>
  <c r="B29" i="23"/>
  <c r="B30" i="23"/>
  <c r="B32" i="23"/>
  <c r="B33" i="23"/>
  <c r="B35" i="23"/>
  <c r="B36" i="23"/>
  <c r="B87" i="23"/>
  <c r="B30" i="20" l="1"/>
  <c r="F30" i="20"/>
  <c r="E30" i="20"/>
  <c r="J30" i="20"/>
  <c r="D30" i="20"/>
  <c r="C30" i="20"/>
  <c r="U22" i="19"/>
  <c r="U27" i="19"/>
  <c r="A32" i="20"/>
  <c r="A31" i="20"/>
  <c r="H61" i="7"/>
  <c r="O17" i="10"/>
  <c r="H62" i="7"/>
  <c r="O18" i="10"/>
  <c r="H63" i="7"/>
  <c r="O19" i="10"/>
  <c r="B1" i="26"/>
  <c r="E11" i="20"/>
  <c r="F11" i="20"/>
  <c r="F10" i="20"/>
  <c r="C10" i="20"/>
  <c r="B10" i="20"/>
  <c r="D10" i="20"/>
  <c r="E10" i="20"/>
  <c r="G27" i="20"/>
  <c r="B11" i="20"/>
  <c r="C11" i="20"/>
  <c r="H27" i="20"/>
  <c r="D11" i="20"/>
  <c r="G11" i="20" s="1"/>
  <c r="F12" i="20"/>
  <c r="C12" i="20"/>
  <c r="I27" i="20"/>
  <c r="B12" i="20"/>
  <c r="D12" i="20"/>
  <c r="G12" i="20" s="1"/>
  <c r="E12" i="20"/>
  <c r="F28" i="20"/>
  <c r="F29" i="20"/>
  <c r="G9" i="20"/>
  <c r="A33" i="20" l="1"/>
  <c r="U32" i="19"/>
  <c r="J32" i="20"/>
  <c r="B32" i="20"/>
  <c r="C32" i="20"/>
  <c r="D32" i="20"/>
  <c r="E32" i="20"/>
  <c r="F32" i="20"/>
  <c r="J31" i="20"/>
  <c r="B31" i="20"/>
  <c r="C31" i="20"/>
  <c r="D31" i="20"/>
  <c r="F31" i="20"/>
  <c r="E31" i="20"/>
  <c r="H29" i="20"/>
  <c r="H28" i="20"/>
  <c r="H31" i="20"/>
  <c r="H33" i="20"/>
  <c r="I29" i="20"/>
  <c r="I28" i="20"/>
  <c r="I31" i="20"/>
  <c r="A34" i="20"/>
  <c r="U37" i="19"/>
  <c r="U42" i="19" s="1"/>
  <c r="J61" i="7"/>
  <c r="P17" i="10"/>
  <c r="J62" i="7"/>
  <c r="P18" i="10"/>
  <c r="J63" i="7"/>
  <c r="P19" i="10"/>
  <c r="B2" i="26"/>
  <c r="G10" i="20"/>
  <c r="G30" i="20"/>
  <c r="G28" i="20"/>
  <c r="G29" i="20"/>
  <c r="G31" i="20"/>
  <c r="G33" i="20"/>
  <c r="G32" i="20"/>
  <c r="H30" i="20"/>
  <c r="H32" i="20"/>
  <c r="I30" i="20"/>
  <c r="I32" i="20"/>
  <c r="F34" i="20"/>
  <c r="E34" i="20"/>
  <c r="D34" i="20"/>
  <c r="C34" i="20"/>
  <c r="B34" i="20"/>
  <c r="F33" i="20" l="1"/>
  <c r="E33" i="20"/>
  <c r="D33" i="20"/>
  <c r="C33" i="20"/>
  <c r="B33" i="20"/>
  <c r="I33" i="20"/>
  <c r="J33" i="20"/>
  <c r="I34" i="20"/>
  <c r="J34" i="20"/>
  <c r="G34" i="20"/>
  <c r="H34" i="20"/>
  <c r="E66" i="7"/>
  <c r="E67" i="7"/>
  <c r="E68" i="7"/>
  <c r="U34" i="10"/>
  <c r="U33" i="10"/>
  <c r="U32" i="10"/>
  <c r="U30" i="10"/>
  <c r="U29" i="10"/>
  <c r="U28" i="10"/>
  <c r="U27" i="10"/>
  <c r="U26" i="10"/>
  <c r="U23" i="10"/>
  <c r="K61" i="7"/>
  <c r="U17" i="10"/>
  <c r="K62" i="7"/>
  <c r="U18" i="10"/>
  <c r="K63" i="7"/>
  <c r="U19" i="10"/>
  <c r="D1" i="26"/>
  <c r="M10" i="26"/>
  <c r="J10" i="26"/>
  <c r="K10" i="26"/>
  <c r="L10" i="26"/>
  <c r="N10" i="26"/>
  <c r="U47" i="19"/>
  <c r="K9" i="26" l="1"/>
  <c r="L9" i="26"/>
  <c r="M9" i="26"/>
  <c r="N9" i="26"/>
  <c r="U52" i="19"/>
  <c r="U57" i="19" l="1"/>
  <c r="U62" i="19" l="1"/>
  <c r="U67" i="19" l="1"/>
  <c r="U72" i="19" l="1"/>
  <c r="U77" i="19" s="1"/>
  <c r="U82" i="19" l="1"/>
  <c r="U87" i="19" l="1"/>
  <c r="U92" i="19" l="1"/>
  <c r="U97" i="19" s="1"/>
  <c r="U102" i="19" s="1"/>
  <c r="U107" i="19" s="1"/>
  <c r="U112" i="19" s="1"/>
  <c r="U117" i="19" s="1"/>
  <c r="U122" i="19" s="1"/>
  <c r="U377" i="19" s="1"/>
  <c r="U382" i="19" s="1"/>
  <c r="U397" i="19" s="1"/>
  <c r="U402" i="19" s="1"/>
  <c r="A35" i="20" l="1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7" i="20"/>
  <c r="A58" i="20"/>
  <c r="A59" i="20"/>
  <c r="A60" i="20"/>
  <c r="A62" i="20"/>
  <c r="A64" i="20"/>
  <c r="A66" i="20"/>
  <c r="A68" i="20"/>
  <c r="A70" i="20"/>
  <c r="A72" i="20"/>
  <c r="A74" i="20"/>
  <c r="A76" i="20"/>
  <c r="A78" i="20"/>
  <c r="A80" i="20"/>
  <c r="A81" i="20"/>
  <c r="A82" i="20"/>
  <c r="A84" i="20"/>
  <c r="A86" i="20"/>
  <c r="J17" i="20"/>
  <c r="A56" i="20"/>
  <c r="A61" i="20"/>
  <c r="A63" i="20"/>
  <c r="A65" i="20"/>
  <c r="A67" i="20"/>
  <c r="A69" i="20"/>
  <c r="A71" i="20"/>
  <c r="A73" i="20"/>
  <c r="A75" i="20"/>
  <c r="A77" i="20"/>
  <c r="A83" i="20"/>
  <c r="A85" i="20"/>
  <c r="A79" i="20"/>
  <c r="A87" i="20"/>
  <c r="G35" i="20" l="1"/>
  <c r="J35" i="20"/>
  <c r="H35" i="20"/>
  <c r="I35" i="20"/>
  <c r="B35" i="20"/>
  <c r="C35" i="20"/>
  <c r="D35" i="20"/>
  <c r="E35" i="20"/>
  <c r="F35" i="20"/>
  <c r="J36" i="20"/>
  <c r="H36" i="20"/>
  <c r="I36" i="20"/>
  <c r="G36" i="20"/>
  <c r="B36" i="20"/>
  <c r="C36" i="20"/>
  <c r="D36" i="20"/>
  <c r="E36" i="20"/>
  <c r="F36" i="20"/>
  <c r="G37" i="20"/>
  <c r="J37" i="20"/>
  <c r="I37" i="20"/>
  <c r="H37" i="20"/>
  <c r="B37" i="20"/>
  <c r="C37" i="20"/>
  <c r="D37" i="20"/>
  <c r="E37" i="20"/>
  <c r="F37" i="20"/>
  <c r="J38" i="20"/>
  <c r="H38" i="20"/>
  <c r="G38" i="20"/>
  <c r="I38" i="20"/>
  <c r="B38" i="20"/>
  <c r="C38" i="20"/>
  <c r="D38" i="20"/>
  <c r="E38" i="20"/>
  <c r="F38" i="20"/>
  <c r="J39" i="20"/>
  <c r="G39" i="20"/>
  <c r="H39" i="20"/>
  <c r="I39" i="20"/>
  <c r="B39" i="20"/>
  <c r="C39" i="20"/>
  <c r="D39" i="20"/>
  <c r="E39" i="20"/>
  <c r="F39" i="20"/>
  <c r="J40" i="20"/>
  <c r="H40" i="20"/>
  <c r="G40" i="20"/>
  <c r="I40" i="20"/>
  <c r="B40" i="20"/>
  <c r="C40" i="20"/>
  <c r="D40" i="20"/>
  <c r="E40" i="20"/>
  <c r="F40" i="20"/>
  <c r="J41" i="20"/>
  <c r="H41" i="20"/>
  <c r="I41" i="20"/>
  <c r="G41" i="20"/>
  <c r="B41" i="20"/>
  <c r="C41" i="20"/>
  <c r="D41" i="20"/>
  <c r="E41" i="20"/>
  <c r="F41" i="20"/>
  <c r="J42" i="20"/>
  <c r="I42" i="20"/>
  <c r="G42" i="20"/>
  <c r="H42" i="20"/>
  <c r="B42" i="20"/>
  <c r="C42" i="20"/>
  <c r="D42" i="20"/>
  <c r="E42" i="20"/>
  <c r="F42" i="20"/>
  <c r="J43" i="20"/>
  <c r="G43" i="20"/>
  <c r="H43" i="20"/>
  <c r="I43" i="20"/>
  <c r="B43" i="20"/>
  <c r="C43" i="20"/>
  <c r="D43" i="20"/>
  <c r="E43" i="20"/>
  <c r="F43" i="20"/>
  <c r="J44" i="20"/>
  <c r="G44" i="20"/>
  <c r="H44" i="20"/>
  <c r="I44" i="20"/>
  <c r="B44" i="20"/>
  <c r="C44" i="20"/>
  <c r="D44" i="20"/>
  <c r="E44" i="20"/>
  <c r="F44" i="20"/>
  <c r="G45" i="20"/>
  <c r="J45" i="20"/>
  <c r="H45" i="20"/>
  <c r="I45" i="20"/>
  <c r="B45" i="20"/>
  <c r="C45" i="20"/>
  <c r="D45" i="20"/>
  <c r="E45" i="20"/>
  <c r="F45" i="20"/>
  <c r="G46" i="20"/>
  <c r="J46" i="20"/>
  <c r="I46" i="20"/>
  <c r="H46" i="20"/>
  <c r="B46" i="20"/>
  <c r="C46" i="20"/>
  <c r="D46" i="20"/>
  <c r="E46" i="20"/>
  <c r="F46" i="20"/>
  <c r="J47" i="20"/>
  <c r="I47" i="20"/>
  <c r="G47" i="20"/>
  <c r="H47" i="20"/>
  <c r="B47" i="20"/>
  <c r="C47" i="20"/>
  <c r="D47" i="20"/>
  <c r="E47" i="20"/>
  <c r="F47" i="20"/>
  <c r="J48" i="20"/>
  <c r="I48" i="20"/>
  <c r="G48" i="20"/>
  <c r="H48" i="20"/>
  <c r="B48" i="20"/>
  <c r="C48" i="20"/>
  <c r="D48" i="20"/>
  <c r="E48" i="20"/>
  <c r="F48" i="20"/>
  <c r="J49" i="20"/>
  <c r="I49" i="20"/>
  <c r="G49" i="20"/>
  <c r="H49" i="20"/>
  <c r="B49" i="20"/>
  <c r="C49" i="20"/>
  <c r="D49" i="20"/>
  <c r="E49" i="20"/>
  <c r="F49" i="20"/>
  <c r="I50" i="20"/>
  <c r="J50" i="20"/>
  <c r="G50" i="20"/>
  <c r="H50" i="20"/>
  <c r="B50" i="20"/>
  <c r="C50" i="20"/>
  <c r="D50" i="20"/>
  <c r="E50" i="20"/>
  <c r="F50" i="20"/>
  <c r="J51" i="20"/>
  <c r="H51" i="20"/>
  <c r="G51" i="20"/>
  <c r="I51" i="20"/>
  <c r="B51" i="20"/>
  <c r="C51" i="20"/>
  <c r="D51" i="20"/>
  <c r="E51" i="20"/>
  <c r="F51" i="20"/>
  <c r="H52" i="20"/>
  <c r="J52" i="20"/>
  <c r="G52" i="20"/>
  <c r="I52" i="20"/>
  <c r="B52" i="20"/>
  <c r="C52" i="20"/>
  <c r="D52" i="20"/>
  <c r="E52" i="20"/>
  <c r="F52" i="20"/>
  <c r="J53" i="20"/>
  <c r="I53" i="20"/>
  <c r="G53" i="20"/>
  <c r="H53" i="20"/>
  <c r="B53" i="20"/>
  <c r="C53" i="20"/>
  <c r="D53" i="20"/>
  <c r="E53" i="20"/>
  <c r="F53" i="20"/>
  <c r="J54" i="20"/>
  <c r="I54" i="20"/>
  <c r="G54" i="20"/>
  <c r="H54" i="20"/>
  <c r="B54" i="20"/>
  <c r="C54" i="20"/>
  <c r="D54" i="20"/>
  <c r="E54" i="20"/>
  <c r="F54" i="20"/>
  <c r="J55" i="20"/>
  <c r="I55" i="20"/>
  <c r="H55" i="20"/>
  <c r="G55" i="20"/>
  <c r="B55" i="20"/>
  <c r="C55" i="20"/>
  <c r="D55" i="20"/>
  <c r="E55" i="20"/>
  <c r="F55" i="20"/>
  <c r="J57" i="20"/>
  <c r="H57" i="20"/>
  <c r="G57" i="20"/>
  <c r="I57" i="20"/>
  <c r="B57" i="20"/>
  <c r="C57" i="20"/>
  <c r="D57" i="20"/>
  <c r="E57" i="20"/>
  <c r="F57" i="20"/>
  <c r="J58" i="20"/>
  <c r="I58" i="20"/>
  <c r="H58" i="20"/>
  <c r="G58" i="20"/>
  <c r="B58" i="20"/>
  <c r="C58" i="20"/>
  <c r="D58" i="20"/>
  <c r="E58" i="20"/>
  <c r="F58" i="20"/>
  <c r="H59" i="20"/>
  <c r="I59" i="20"/>
  <c r="J59" i="20"/>
  <c r="G59" i="20"/>
  <c r="B59" i="20"/>
  <c r="C59" i="20"/>
  <c r="D59" i="20"/>
  <c r="E59" i="20"/>
  <c r="F59" i="20"/>
  <c r="J60" i="20"/>
  <c r="G60" i="20"/>
  <c r="I60" i="20"/>
  <c r="H60" i="20"/>
  <c r="B60" i="20"/>
  <c r="C60" i="20"/>
  <c r="D60" i="20"/>
  <c r="E60" i="20"/>
  <c r="F60" i="20"/>
  <c r="G62" i="20"/>
  <c r="H62" i="20"/>
  <c r="J62" i="20"/>
  <c r="I62" i="20"/>
  <c r="B62" i="20"/>
  <c r="C62" i="20"/>
  <c r="D62" i="20"/>
  <c r="E62" i="20"/>
  <c r="F62" i="20"/>
  <c r="J64" i="20"/>
  <c r="H64" i="20"/>
  <c r="I64" i="20"/>
  <c r="G64" i="20"/>
  <c r="B64" i="20"/>
  <c r="C64" i="20"/>
  <c r="D64" i="20"/>
  <c r="E64" i="20"/>
  <c r="F64" i="20"/>
  <c r="H66" i="20"/>
  <c r="I66" i="20"/>
  <c r="G66" i="20"/>
  <c r="J66" i="20"/>
  <c r="B66" i="20"/>
  <c r="C66" i="20"/>
  <c r="D66" i="20"/>
  <c r="E66" i="20"/>
  <c r="F66" i="20"/>
  <c r="I68" i="20"/>
  <c r="H68" i="20"/>
  <c r="G68" i="20"/>
  <c r="J68" i="20"/>
  <c r="B68" i="20"/>
  <c r="C68" i="20"/>
  <c r="D68" i="20"/>
  <c r="E68" i="20"/>
  <c r="F68" i="20"/>
  <c r="J70" i="20"/>
  <c r="I70" i="20"/>
  <c r="H70" i="20"/>
  <c r="G70" i="20"/>
  <c r="B70" i="20"/>
  <c r="C70" i="20"/>
  <c r="D70" i="20"/>
  <c r="E70" i="20"/>
  <c r="F70" i="20"/>
  <c r="G72" i="20"/>
  <c r="H72" i="20"/>
  <c r="I72" i="20"/>
  <c r="J72" i="20"/>
  <c r="B72" i="20"/>
  <c r="C72" i="20"/>
  <c r="D72" i="20"/>
  <c r="E72" i="20"/>
  <c r="F72" i="20"/>
  <c r="J74" i="20"/>
  <c r="I74" i="20"/>
  <c r="G74" i="20"/>
  <c r="H74" i="20"/>
  <c r="B74" i="20"/>
  <c r="C74" i="20"/>
  <c r="D74" i="20"/>
  <c r="E74" i="20"/>
  <c r="F74" i="20"/>
  <c r="I76" i="20"/>
  <c r="G76" i="20"/>
  <c r="H76" i="20"/>
  <c r="J76" i="20"/>
  <c r="B76" i="20"/>
  <c r="C76" i="20"/>
  <c r="D76" i="20"/>
  <c r="E76" i="20"/>
  <c r="F76" i="20"/>
  <c r="H78" i="20"/>
  <c r="J78" i="20"/>
  <c r="B78" i="20"/>
  <c r="C78" i="20"/>
  <c r="D78" i="20"/>
  <c r="E78" i="20"/>
  <c r="F78" i="20"/>
  <c r="G78" i="20"/>
  <c r="I78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4" i="20"/>
  <c r="C84" i="20"/>
  <c r="D84" i="20"/>
  <c r="E84" i="20"/>
  <c r="F84" i="20"/>
  <c r="G84" i="20"/>
  <c r="H84" i="20"/>
  <c r="I84" i="20"/>
  <c r="J84" i="20"/>
  <c r="B86" i="20"/>
  <c r="C86" i="20"/>
  <c r="D86" i="20"/>
  <c r="E86" i="20"/>
  <c r="F86" i="20"/>
  <c r="G86" i="20"/>
  <c r="H86" i="20"/>
  <c r="I86" i="20"/>
  <c r="J86" i="20"/>
  <c r="G56" i="20"/>
  <c r="I56" i="20"/>
  <c r="H56" i="20"/>
  <c r="J56" i="20"/>
  <c r="B56" i="20"/>
  <c r="C56" i="20"/>
  <c r="D56" i="20"/>
  <c r="E56" i="20"/>
  <c r="F56" i="20"/>
  <c r="J61" i="20"/>
  <c r="I61" i="20"/>
  <c r="G61" i="20"/>
  <c r="H61" i="20"/>
  <c r="B61" i="20"/>
  <c r="C61" i="20"/>
  <c r="D61" i="20"/>
  <c r="E61" i="20"/>
  <c r="F61" i="20"/>
  <c r="G63" i="20"/>
  <c r="J63" i="20"/>
  <c r="I63" i="20"/>
  <c r="H63" i="20"/>
  <c r="B63" i="20"/>
  <c r="C63" i="20"/>
  <c r="D63" i="20"/>
  <c r="E63" i="20"/>
  <c r="F63" i="20"/>
  <c r="J65" i="20"/>
  <c r="G65" i="20"/>
  <c r="H65" i="20"/>
  <c r="I65" i="20"/>
  <c r="B65" i="20"/>
  <c r="C65" i="20"/>
  <c r="D65" i="20"/>
  <c r="E65" i="20"/>
  <c r="F65" i="20"/>
  <c r="I67" i="20"/>
  <c r="H67" i="20"/>
  <c r="G67" i="20"/>
  <c r="J67" i="20"/>
  <c r="B67" i="20"/>
  <c r="C67" i="20"/>
  <c r="D67" i="20"/>
  <c r="E67" i="20"/>
  <c r="F67" i="20"/>
  <c r="J69" i="20"/>
  <c r="G69" i="20"/>
  <c r="H69" i="20"/>
  <c r="I69" i="20"/>
  <c r="B69" i="20"/>
  <c r="C69" i="20"/>
  <c r="D69" i="20"/>
  <c r="E69" i="20"/>
  <c r="F69" i="20"/>
  <c r="J71" i="20"/>
  <c r="G71" i="20"/>
  <c r="I71" i="20"/>
  <c r="H71" i="20"/>
  <c r="B71" i="20"/>
  <c r="C71" i="20"/>
  <c r="D71" i="20"/>
  <c r="E71" i="20"/>
  <c r="F71" i="20"/>
  <c r="I73" i="20"/>
  <c r="G73" i="20"/>
  <c r="J73" i="20"/>
  <c r="H73" i="20"/>
  <c r="B73" i="20"/>
  <c r="C73" i="20"/>
  <c r="D73" i="20"/>
  <c r="E73" i="20"/>
  <c r="F73" i="20"/>
  <c r="I75" i="20"/>
  <c r="G75" i="20"/>
  <c r="J75" i="20"/>
  <c r="H75" i="20"/>
  <c r="B75" i="20"/>
  <c r="C75" i="20"/>
  <c r="D75" i="20"/>
  <c r="E75" i="20"/>
  <c r="F75" i="20"/>
  <c r="G77" i="20"/>
  <c r="H77" i="20"/>
  <c r="J77" i="20"/>
  <c r="I77" i="20"/>
  <c r="B77" i="20"/>
  <c r="C77" i="20"/>
  <c r="D77" i="20"/>
  <c r="E77" i="20"/>
  <c r="F77" i="20"/>
  <c r="B83" i="20"/>
  <c r="C83" i="20"/>
  <c r="D83" i="20"/>
  <c r="E83" i="20"/>
  <c r="F83" i="20"/>
  <c r="G83" i="20"/>
  <c r="H83" i="20"/>
  <c r="I83" i="20"/>
  <c r="J83" i="20"/>
  <c r="B85" i="20"/>
  <c r="C85" i="20"/>
  <c r="D85" i="20"/>
  <c r="E85" i="20"/>
  <c r="F85" i="20"/>
  <c r="G85" i="20"/>
  <c r="H85" i="20"/>
  <c r="I85" i="20"/>
  <c r="J85" i="20"/>
  <c r="B79" i="20"/>
  <c r="C79" i="20"/>
  <c r="D79" i="20"/>
  <c r="E79" i="20"/>
  <c r="F79" i="20"/>
  <c r="G79" i="20"/>
  <c r="H79" i="20"/>
  <c r="I79" i="20"/>
  <c r="J79" i="20"/>
  <c r="B87" i="20"/>
  <c r="C87" i="20"/>
  <c r="D87" i="20"/>
  <c r="E87" i="20"/>
  <c r="F87" i="20"/>
  <c r="G87" i="20"/>
  <c r="H87" i="20"/>
  <c r="I87" i="20"/>
  <c r="J87" i="20"/>
</calcChain>
</file>

<file path=xl/sharedStrings.xml><?xml version="1.0" encoding="utf-8"?>
<sst xmlns="http://schemas.openxmlformats.org/spreadsheetml/2006/main" count="66020" uniqueCount="4751">
  <si>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</si>
  <si>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</si>
  <si>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</si>
  <si>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</si>
  <si>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</si>
  <si>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</si>
  <si>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</si>
  <si>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</si>
  <si>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</si>
  <si>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</si>
  <si>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</si>
  <si>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</si>
  <si>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</si>
  <si>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</si>
  <si>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</si>
  <si>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</si>
  <si>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</si>
  <si>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</si>
  <si>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</si>
  <si>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</si>
  <si>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</si>
  <si>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</si>
  <si>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</si>
  <si>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</si>
  <si>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</si>
  <si>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</si>
  <si>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</si>
  <si>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</si>
  <si>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</si>
  <si>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</si>
  <si>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</si>
  <si>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</si>
  <si>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</si>
  <si>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</si>
  <si>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</si>
  <si>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</si>
  <si>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</si>
  <si>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</si>
  <si>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</si>
  <si>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</si>
  <si>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</si>
  <si>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</si>
  <si>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</si>
  <si>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</si>
  <si>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</si>
  <si>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</si>
  <si>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</si>
  <si>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</si>
  <si>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</si>
  <si>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</si>
  <si>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</si>
  <si>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</si>
  <si>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</si>
  <si>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</si>
  <si>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</si>
  <si>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</si>
  <si>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</si>
  <si>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</si>
  <si>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</si>
  <si>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</si>
  <si>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</si>
  <si>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</si>
  <si>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</si>
  <si>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</si>
  <si>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</si>
  <si>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</si>
  <si>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</si>
  <si>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</si>
  <si>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</si>
  <si>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</si>
  <si>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</si>
  <si>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</si>
  <si>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</si>
  <si>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</si>
  <si>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</si>
  <si>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</si>
  <si>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</si>
  <si>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</si>
  <si>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</si>
  <si>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</si>
  <si>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</si>
  <si>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</si>
  <si>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</si>
  <si>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</si>
  <si>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</si>
  <si>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</si>
  <si>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</si>
  <si>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</si>
  <si>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</si>
  <si>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</si>
  <si>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</si>
  <si>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</si>
  <si>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</si>
  <si>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</si>
  <si>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</si>
  <si>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</si>
  <si>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</si>
  <si>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</si>
  <si>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</si>
  <si>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</si>
  <si>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</si>
  <si>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</si>
  <si>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</si>
  <si>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</si>
  <si>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</si>
  <si>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</si>
  <si>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</si>
  <si>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</si>
  <si>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</si>
  <si>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</si>
  <si>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</si>
  <si>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</si>
  <si>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</si>
  <si>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</si>
  <si>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</si>
  <si>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</si>
  <si>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</si>
  <si>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</si>
  <si>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</si>
  <si>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</si>
  <si>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</si>
  <si>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</si>
  <si>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</si>
  <si>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</si>
  <si>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</si>
  <si>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</si>
  <si>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</si>
  <si>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</si>
  <si>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</si>
  <si>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</si>
  <si>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</si>
  <si>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</si>
  <si>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</si>
  <si>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</si>
  <si>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</si>
  <si>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</si>
  <si>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</si>
  <si>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</si>
  <si>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</si>
  <si>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</si>
  <si>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</si>
  <si>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</si>
  <si>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</si>
  <si>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</si>
  <si>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</si>
  <si>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</si>
  <si>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</si>
  <si>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</si>
  <si>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</si>
  <si>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</si>
  <si>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</si>
  <si>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</si>
  <si>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</si>
  <si>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</si>
  <si>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</si>
  <si>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</si>
  <si>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</si>
  <si>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</si>
  <si>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</si>
  <si>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</si>
  <si>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</si>
  <si>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</si>
  <si>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</si>
  <si>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</si>
  <si>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</si>
  <si>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</si>
  <si>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</si>
  <si>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</si>
  <si>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</si>
  <si>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</si>
  <si>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</si>
  <si>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</si>
  <si>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</si>
  <si>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</si>
  <si>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</si>
  <si>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</si>
  <si>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</si>
  <si>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</si>
  <si>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</si>
  <si>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</si>
  <si>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</si>
  <si>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</si>
  <si>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</si>
  <si>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</si>
  <si>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</si>
  <si>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</si>
  <si>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</si>
  <si>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</si>
  <si>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</si>
  <si>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</si>
  <si>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</si>
  <si>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</si>
  <si>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</si>
  <si>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</si>
  <si>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</si>
  <si>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</si>
  <si>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</si>
  <si>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</si>
  <si>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</si>
  <si>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</si>
  <si>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</si>
  <si>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</si>
  <si>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</si>
  <si>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</si>
  <si>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</si>
  <si>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</si>
  <si>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</si>
  <si>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</si>
  <si>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</si>
  <si>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</si>
  <si>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</si>
  <si>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</si>
  <si>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</si>
  <si>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</si>
  <si>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</si>
  <si>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</si>
  <si>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</si>
  <si>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</si>
  <si>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</si>
  <si>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</si>
  <si>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</si>
  <si>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</si>
  <si>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</si>
  <si>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</si>
  <si>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</si>
  <si>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</si>
  <si>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</si>
  <si>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</si>
  <si>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</si>
  <si>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</si>
  <si>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</si>
  <si>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</si>
  <si>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</si>
  <si>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</si>
  <si>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</si>
  <si>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</si>
  <si>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</si>
  <si>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</si>
  <si>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</si>
  <si>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</si>
  <si>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</si>
  <si>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</si>
  <si>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</si>
  <si>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</si>
  <si>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</si>
  <si>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</si>
  <si>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</si>
  <si>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</si>
  <si>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</si>
  <si>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</si>
  <si>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</si>
  <si>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</si>
  <si>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</si>
  <si>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</si>
  <si>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</si>
  <si>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</si>
  <si>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</si>
  <si>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</si>
  <si>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</si>
  <si>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</si>
  <si>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</si>
  <si>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</si>
  <si>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</si>
  <si>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</si>
  <si>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</si>
  <si>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</si>
  <si>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</si>
  <si>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</si>
  <si>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</si>
  <si>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</si>
  <si>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</si>
  <si>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</si>
  <si>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</si>
  <si>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</si>
  <si>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</si>
  <si>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</si>
  <si>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</si>
  <si>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</si>
  <si>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</si>
  <si>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</si>
  <si>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</si>
  <si>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</si>
  <si>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</si>
  <si>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</si>
  <si>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</si>
  <si>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</si>
  <si>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</si>
  <si>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</si>
  <si>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</si>
  <si>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</si>
  <si>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</si>
  <si>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</si>
  <si>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</si>
  <si>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</si>
  <si>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</si>
  <si>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</si>
  <si>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</si>
  <si>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</si>
  <si>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</si>
  <si>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</si>
  <si>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</si>
  <si>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</si>
  <si>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</si>
  <si>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</si>
  <si>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</si>
  <si>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</si>
  <si>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</si>
  <si>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</si>
  <si>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</si>
  <si>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</si>
  <si>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</si>
  <si>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</si>
  <si>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</si>
  <si>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</si>
  <si>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</si>
  <si>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</si>
  <si>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</si>
  <si>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</si>
  <si>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</si>
  <si>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</si>
  <si>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</si>
  <si>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</si>
  <si>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</si>
  <si>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</si>
  <si>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</si>
  <si>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</si>
  <si>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</si>
  <si>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</si>
  <si>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</si>
  <si>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</si>
  <si>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</si>
  <si>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</si>
  <si>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</si>
  <si>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</si>
  <si>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</si>
  <si>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</si>
  <si>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</si>
  <si>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</si>
  <si>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</si>
  <si>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</si>
  <si>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</si>
  <si>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</si>
  <si>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</si>
  <si>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</si>
  <si>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</si>
  <si>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</si>
  <si>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</si>
  <si>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</si>
  <si>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</si>
  <si>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</si>
  <si>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</si>
  <si>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</si>
  <si>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</si>
  <si>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</si>
  <si>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</si>
  <si>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</si>
  <si>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</si>
  <si>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</si>
  <si>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</si>
  <si>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</si>
  <si>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</si>
  <si>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</si>
  <si>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</si>
  <si>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</si>
  <si>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</si>
  <si>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</si>
  <si>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</si>
  <si>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</si>
  <si>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</si>
  <si>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</si>
  <si>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</si>
  <si>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</si>
  <si>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</si>
  <si>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</si>
  <si>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</si>
  <si>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</si>
  <si>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</si>
  <si>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</si>
  <si>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</si>
  <si>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</si>
  <si>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</si>
  <si>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</si>
  <si>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</si>
  <si>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</si>
  <si>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</si>
  <si>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</si>
  <si>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</si>
  <si>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</si>
  <si>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</si>
  <si>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</si>
  <si>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</si>
  <si>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</si>
  <si>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</si>
  <si>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</si>
  <si>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</si>
  <si>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</si>
  <si>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</si>
  <si>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CAP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</si>
  <si>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</si>
  <si>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</si>
  <si>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</si>
  <si>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</si>
  <si>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</si>
  <si>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</si>
  <si>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</si>
  <si>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</si>
  <si>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</si>
  <si>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</si>
  <si>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</si>
  <si>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</si>
  <si>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</si>
  <si>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</si>
  <si>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</si>
  <si>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Basophils</t>
  </si>
  <si>
    <t>Basophils Absolute</t>
  </si>
  <si>
    <t>Eosinophils</t>
  </si>
  <si>
    <t>Eosinophils Absolute</t>
  </si>
  <si>
    <t>Hematocrit</t>
  </si>
  <si>
    <t>Hemoglobin</t>
  </si>
  <si>
    <t>IG</t>
  </si>
  <si>
    <t>IG Absolute</t>
  </si>
  <si>
    <t>Immature Platelet Frac</t>
  </si>
  <si>
    <t>Lymphs</t>
  </si>
  <si>
    <t>Lymphs Absolute</t>
  </si>
  <si>
    <t>Monocytes</t>
  </si>
  <si>
    <t>Monocytes Absolute</t>
  </si>
  <si>
    <t>Neut/Gran</t>
  </si>
  <si>
    <t>Neut/Gran Absolute</t>
  </si>
  <si>
    <t>Platelet Count</t>
  </si>
  <si>
    <t>RDW</t>
  </si>
  <si>
    <t>Red Blood Cell Count</t>
  </si>
  <si>
    <t>White Blood Cell Count</t>
  </si>
  <si>
    <t>nRBC Absolute</t>
  </si>
  <si>
    <t>nRBC/100 WBC</t>
  </si>
  <si>
    <t>FH9-A 2025</t>
  </si>
  <si>
    <t>FH9-01</t>
  </si>
  <si>
    <t>Acceptable</t>
  </si>
  <si>
    <t>%</t>
  </si>
  <si>
    <t>FH9-02</t>
  </si>
  <si>
    <t>FH9-03</t>
  </si>
  <si>
    <t>FH9-04</t>
  </si>
  <si>
    <t>FH9-05</t>
  </si>
  <si>
    <t>x 10E9/L</t>
  </si>
  <si>
    <t>g/dL</t>
  </si>
  <si>
    <t>See Note [26]</t>
  </si>
  <si>
    <t>pg</t>
  </si>
  <si>
    <t>Unacceptable</t>
  </si>
  <si>
    <t>fL</t>
  </si>
  <si>
    <t>x 10E12/L</t>
  </si>
  <si>
    <t>/100 WBC</t>
  </si>
  <si>
    <t>FH9-B 2025</t>
  </si>
  <si>
    <t>FH9-06</t>
  </si>
  <si>
    <t>FH9-07</t>
  </si>
  <si>
    <t>FH9-08</t>
  </si>
  <si>
    <t>FH9-09</t>
  </si>
  <si>
    <t>FH9-10</t>
  </si>
  <si>
    <t>FH9-C 2025</t>
  </si>
  <si>
    <t>FH9-11</t>
  </si>
  <si>
    <t>FH9-12</t>
  </si>
  <si>
    <t>FH9-13</t>
  </si>
  <si>
    <t>FH9-14</t>
  </si>
  <si>
    <t>FH9-15</t>
  </si>
  <si>
    <t>OK</t>
  </si>
  <si>
    <t>EQC_Dados (simulação pré-ADR-034)</t>
  </si>
  <si>
    <t>ACEITO</t>
  </si>
  <si>
    <t>CAP|2025|FH9-A 2025|Basophils|FH9-01</t>
  </si>
  <si>
    <t>CAP|2025|FH9-A 2025|Basophils|FH9-02</t>
  </si>
  <si>
    <t>CAP|2025|FH9-A 2025|Basophils|FH9-03</t>
  </si>
  <si>
    <t>CAP|2025|FH9-A 2025|Basophils|FH9-04</t>
  </si>
  <si>
    <t>CAP|2025|FH9-A 2025|Basophils|FH9-05</t>
  </si>
  <si>
    <t>CAP|2025|FH9-A 2025|Basophils Absolute|FH9-01</t>
  </si>
  <si>
    <t>CAP|2025|FH9-A 2025|Basophils Absolute|FH9-02</t>
  </si>
  <si>
    <t>CAP|2025|FH9-A 2025|Basophils Absolute|FH9-03</t>
  </si>
  <si>
    <t>CAP|2025|FH9-A 2025|Basophils Absolute|FH9-04</t>
  </si>
  <si>
    <t>CAP|2025|FH9-A 2025|Basophils Absolute|FH9-05</t>
  </si>
  <si>
    <t>CAP|2025|FH9-A 2025|Eosinophils|FH9-01</t>
  </si>
  <si>
    <t>CAP|2025|FH9-A 2025|Eosinophils|FH9-02</t>
  </si>
  <si>
    <t>CAP|2025|FH9-A 2025|Eosinophils|FH9-03</t>
  </si>
  <si>
    <t>CAP|2025|FH9-A 2025|Eosinophils|FH9-04</t>
  </si>
  <si>
    <t>CAP|2025|FH9-A 2025|Eosinophils|FH9-05</t>
  </si>
  <si>
    <t>CAP|2025|FH9-A 2025|Eosinophils Absolute|FH9-01</t>
  </si>
  <si>
    <t>CAP|2025|FH9-A 2025|Eosinophils Absolute|FH9-02</t>
  </si>
  <si>
    <t>CAP|2025|FH9-A 2025|Eosinophils Absolute|FH9-03</t>
  </si>
  <si>
    <t>CAP|2025|FH9-A 2025|Eosinophils Absolute|FH9-04</t>
  </si>
  <si>
    <t>CAP|2025|FH9-A 2025|Eosinophils Absolute|FH9-05</t>
  </si>
  <si>
    <t>CAP|2025|FH9-A 2025|Hematocrit|FH9-01</t>
  </si>
  <si>
    <t>CAP|2025|FH9-A 2025|Hematocrit|FH9-02</t>
  </si>
  <si>
    <t>CAP|2025|FH9-A 2025|Hematocrit|FH9-03</t>
  </si>
  <si>
    <t>CAP|2025|FH9-A 2025|Hematocrit|FH9-04</t>
  </si>
  <si>
    <t>CAP|2025|FH9-A 2025|Hematocrit|FH9-05</t>
  </si>
  <si>
    <t>CAP|2025|FH9-A 2025|Hemoglobin|FH9-01</t>
  </si>
  <si>
    <t>CAP|2025|FH9-A 2025|Hemoglobin|FH9-02</t>
  </si>
  <si>
    <t>CAP|2025|FH9-A 2025|Hemoglobin|FH9-03</t>
  </si>
  <si>
    <t>CAP|2025|FH9-A 2025|Hemoglobin|FH9-04</t>
  </si>
  <si>
    <t>CAP|2025|FH9-A 2025|Hemoglobin|FH9-05</t>
  </si>
  <si>
    <t>NAO AVALIADO</t>
  </si>
  <si>
    <t>CAP|2025|FH9-A 2025|IG|FH9-01</t>
  </si>
  <si>
    <t>CAP|2025|FH9-A 2025|IG|FH9-02</t>
  </si>
  <si>
    <t>CAP|2025|FH9-A 2025|IG|FH9-03</t>
  </si>
  <si>
    <t>CAP|2025|FH9-A 2025|IG|FH9-04</t>
  </si>
  <si>
    <t>CAP|2025|FH9-A 2025|IG|FH9-05</t>
  </si>
  <si>
    <t>CAP|2025|FH9-A 2025|IG Absolute|FH9-01</t>
  </si>
  <si>
    <t>CAP|2025|FH9-A 2025|IG Absolute|FH9-02</t>
  </si>
  <si>
    <t>CAP|2025|FH9-A 2025|IG Absolute|FH9-03</t>
  </si>
  <si>
    <t>CAP|2025|FH9-A 2025|IG Absolute|FH9-04</t>
  </si>
  <si>
    <t>CAP|2025|FH9-A 2025|IG Absolute|FH9-05</t>
  </si>
  <si>
    <t>CAP|2025|FH9-A 2025|Immature Platelet Frac|FH9-01</t>
  </si>
  <si>
    <t>CAP|2025|FH9-A 2025|Immature Platelet Frac|FH9-02</t>
  </si>
  <si>
    <t>CAP|2025|FH9-A 2025|Immature Platelet Frac|FH9-03</t>
  </si>
  <si>
    <t>CAP|2025|FH9-A 2025|Immature Platelet Frac|FH9-04</t>
  </si>
  <si>
    <t>CAP|2025|FH9-A 2025|Immature Platelet Frac|FH9-05</t>
  </si>
  <si>
    <t>CAP|2025|FH9-A 2025|Lymphs|FH9-01</t>
  </si>
  <si>
    <t>CAP|2025|FH9-A 2025|Lymphs|FH9-02</t>
  </si>
  <si>
    <t>CAP|2025|FH9-A 2025|Lymphs|FH9-03</t>
  </si>
  <si>
    <t>CAP|2025|FH9-A 2025|Lymphs|FH9-04</t>
  </si>
  <si>
    <t>CAP|2025|FH9-A 2025|Lymphs|FH9-05</t>
  </si>
  <si>
    <t>CAP|2025|FH9-A 2025|Lymphs Absolute|FH9-01</t>
  </si>
  <si>
    <t>CAP|2025|FH9-A 2025|Lymphs Absolute|FH9-02</t>
  </si>
  <si>
    <t>CAP|2025|FH9-A 2025|Lymphs Absolute|FH9-03</t>
  </si>
  <si>
    <t>CAP|2025|FH9-A 2025|Lymphs Absolute|FH9-04</t>
  </si>
  <si>
    <t>CAP|2025|FH9-A 2025|Lymphs Absolute|FH9-05</t>
  </si>
  <si>
    <t>CAP|2025|FH9-A 2025|MCH|FH9-01</t>
  </si>
  <si>
    <t>CAP|2025|FH9-A 2025|MCH|FH9-02</t>
  </si>
  <si>
    <t>CAP|2025|FH9-A 2025|MCH|FH9-03</t>
  </si>
  <si>
    <t>CAP|2025|FH9-A 2025|MCH|FH9-04</t>
  </si>
  <si>
    <t>CAP|2025|FH9-A 2025|MCH|FH9-05</t>
  </si>
  <si>
    <t>CAP|2025|FH9-A 2025|MCHC|FH9-01</t>
  </si>
  <si>
    <t>CAP|2025|FH9-A 2025|MCHC|FH9-02</t>
  </si>
  <si>
    <t>CAP|2025|FH9-A 2025|MCHC|FH9-03</t>
  </si>
  <si>
    <t>CAP|2025|FH9-A 2025|MCHC|FH9-04</t>
  </si>
  <si>
    <t>NAO ACEITO</t>
  </si>
  <si>
    <t>CAP|2025|FH9-A 2025|MCHC|FH9-05</t>
  </si>
  <si>
    <t>CAP|2025|FH9-A 2025|MCV|FH9-01</t>
  </si>
  <si>
    <t>CAP|2025|FH9-A 2025|MCV|FH9-02</t>
  </si>
  <si>
    <t>CAP|2025|FH9-A 2025|MCV|FH9-03</t>
  </si>
  <si>
    <t>CAP|2025|FH9-A 2025|MCV|FH9-04</t>
  </si>
  <si>
    <t>CAP|2025|FH9-A 2025|MCV|FH9-05</t>
  </si>
  <si>
    <t>CAP|2025|FH9-A 2025|MPV|FH9-01</t>
  </si>
  <si>
    <t>CAP|2025|FH9-A 2025|MPV|FH9-02</t>
  </si>
  <si>
    <t>CAP|2025|FH9-A 2025|MPV|FH9-03</t>
  </si>
  <si>
    <t>CAP|2025|FH9-A 2025|MPV|FH9-04</t>
  </si>
  <si>
    <t>CAP|2025|FH9-A 2025|MPV|FH9-05</t>
  </si>
  <si>
    <t>CAP|2025|FH9-A 2025|Monocytes|FH9-01</t>
  </si>
  <si>
    <t>CAP|2025|FH9-A 2025|Monocytes|FH9-02</t>
  </si>
  <si>
    <t>CAP|2025|FH9-A 2025|Monocytes|FH9-03</t>
  </si>
  <si>
    <t>CAP|2025|FH9-A 2025|Monocytes|FH9-04</t>
  </si>
  <si>
    <t>CAP|2025|FH9-A 2025|Monocytes|FH9-05</t>
  </si>
  <si>
    <t>CAP|2025|FH9-A 2025|Monocytes Absolute|FH9-01</t>
  </si>
  <si>
    <t>CAP|2025|FH9-A 2025|Monocytes Absolute|FH9-02</t>
  </si>
  <si>
    <t>CAP|2025|FH9-A 2025|Monocytes Absolute|FH9-03</t>
  </si>
  <si>
    <t>CAP|2025|FH9-A 2025|Monocytes Absolute|FH9-04</t>
  </si>
  <si>
    <t>CAP|2025|FH9-A 2025|Monocytes Absolute|FH9-05</t>
  </si>
  <si>
    <t>CAP|2025|FH9-A 2025|Neut/Gran|FH9-01</t>
  </si>
  <si>
    <t>CAP|2025|FH9-A 2025|Neut/Gran|FH9-02</t>
  </si>
  <si>
    <t>CAP|2025|FH9-A 2025|Neut/Gran|FH9-03</t>
  </si>
  <si>
    <t>CAP|2025|FH9-A 2025|Neut/Gran|FH9-04</t>
  </si>
  <si>
    <t>CAP|2025|FH9-A 2025|Neut/Gran|FH9-05</t>
  </si>
  <si>
    <t>CAP|2025|FH9-A 2025|Neut/Gran Absolute|FH9-01</t>
  </si>
  <si>
    <t>CAP|2025|FH9-A 2025|Neut/Gran Absolute|FH9-02</t>
  </si>
  <si>
    <t>CAP|2025|FH9-A 2025|Neut/Gran Absolute|FH9-03</t>
  </si>
  <si>
    <t>CAP|2025|FH9-A 2025|Neut/Gran Absolute|FH9-04</t>
  </si>
  <si>
    <t>CAP|2025|FH9-A 2025|Neut/Gran Absolute|FH9-05</t>
  </si>
  <si>
    <t>CAP|2025|FH9-A 2025|Platelet Count|FH9-01</t>
  </si>
  <si>
    <t>CAP|2025|FH9-A 2025|Platelet Count|FH9-02</t>
  </si>
  <si>
    <t>CAP|2025|FH9-A 2025|Platelet Count|FH9-03</t>
  </si>
  <si>
    <t>CAP|2025|FH9-A 2025|Platelet Count|FH9-04</t>
  </si>
  <si>
    <t>CAP|2025|FH9-A 2025|Platelet Count|FH9-05</t>
  </si>
  <si>
    <t>CAP|2025|FH9-A 2025|RDW|FH9-01</t>
  </si>
  <si>
    <t>CAP|2025|FH9-A 2025|RDW|FH9-02</t>
  </si>
  <si>
    <t>CAP|2025|FH9-A 2025|RDW|FH9-03</t>
  </si>
  <si>
    <t>CAP|2025|FH9-A 2025|RDW|FH9-04</t>
  </si>
  <si>
    <t>CAP|2025|FH9-A 2025|RDW|FH9-05</t>
  </si>
  <si>
    <t>CAP|2025|FH9-A 2025|Red Blood Cell Count|FH9-01</t>
  </si>
  <si>
    <t>CAP|2025|FH9-A 2025|Red Blood Cell Count|FH9-02</t>
  </si>
  <si>
    <t>CAP|2025|FH9-A 2025|Red Blood Cell Count|FH9-03</t>
  </si>
  <si>
    <t>CAP|2025|FH9-A 2025|Red Blood Cell Count|FH9-04</t>
  </si>
  <si>
    <t>CAP|2025|FH9-A 2025|Red Blood Cell Count|FH9-05</t>
  </si>
  <si>
    <t>CAP|2025|FH9-A 2025|White Blood Cell Count|FH9-01</t>
  </si>
  <si>
    <t>CAP|2025|FH9-A 2025|White Blood Cell Count|FH9-02</t>
  </si>
  <si>
    <t>CAP|2025|FH9-A 2025|White Blood Cell Count|FH9-03</t>
  </si>
  <si>
    <t>CAP|2025|FH9-A 2025|White Blood Cell Count|FH9-04</t>
  </si>
  <si>
    <t>CAP|2025|FH9-A 2025|White Blood Cell Count|FH9-05</t>
  </si>
  <si>
    <t>CAP|2025|FH9-A 2025|nRBC Absolute|FH9-01</t>
  </si>
  <si>
    <t>CAP|2025|FH9-A 2025|nRBC Absolute|FH9-02</t>
  </si>
  <si>
    <t>CAP|2025|FH9-A 2025|nRBC Absolute|FH9-03</t>
  </si>
  <si>
    <t>CAP|2025|FH9-A 2025|nRBC Absolute|FH9-04</t>
  </si>
  <si>
    <t>CAP|2025|FH9-A 2025|nRBC Absolute|FH9-05</t>
  </si>
  <si>
    <t>CAP|2025|FH9-A 2025|nRBC/100 WBC|FH9-01</t>
  </si>
  <si>
    <t>CAP|2025|FH9-A 2025|nRBC/100 WBC|FH9-02</t>
  </si>
  <si>
    <t>CAP|2025|FH9-A 2025|nRBC/100 WBC|FH9-03</t>
  </si>
  <si>
    <t>CAP|2025|FH9-A 2025|nRBC/100 WBC|FH9-04</t>
  </si>
  <si>
    <t>CAP|2025|FH9-A 2025|nRBC/100 WBC|FH9-05</t>
  </si>
  <si>
    <t>CAP|2025|FH9-B 2025|Basophils|FH9-06</t>
  </si>
  <si>
    <t>CAP|2025|FH9-B 2025|Basophils|FH9-07</t>
  </si>
  <si>
    <t>CAP|2025|FH9-B 2025|Basophils|FH9-08</t>
  </si>
  <si>
    <t>CAP|2025|FH9-B 2025|Basophils|FH9-09</t>
  </si>
  <si>
    <t>CAP|2025|FH9-B 2025|Basophils|FH9-10</t>
  </si>
  <si>
    <t>CAP|2025|FH9-B 2025|Basophils Absolute|FH9-06</t>
  </si>
  <si>
    <t>CAP|2025|FH9-B 2025|Basophils Absolute|FH9-07</t>
  </si>
  <si>
    <t>CAP|2025|FH9-B 2025|Basophils Absolute|FH9-08</t>
  </si>
  <si>
    <t>CAP|2025|FH9-B 2025|Basophils Absolute|FH9-09</t>
  </si>
  <si>
    <t>CAP|2025|FH9-B 2025|Basophils Absolute|FH9-10</t>
  </si>
  <si>
    <t>CAP|2025|FH9-B 2025|Eosinophils|FH9-06</t>
  </si>
  <si>
    <t>CAP|2025|FH9-B 2025|Eosinophils|FH9-07</t>
  </si>
  <si>
    <t>CAP|2025|FH9-B 2025|Eosinophils|FH9-08</t>
  </si>
  <si>
    <t>CAP|2025|FH9-B 2025|Eosinophils|FH9-09</t>
  </si>
  <si>
    <t>CAP|2025|FH9-B 2025|Eosinophils|FH9-10</t>
  </si>
  <si>
    <t>CAP|2025|FH9-B 2025|Eosinophils Absolute|FH9-06</t>
  </si>
  <si>
    <t>CAP|2025|FH9-B 2025|Eosinophils Absolute|FH9-07</t>
  </si>
  <si>
    <t>CAP|2025|FH9-B 2025|Eosinophils Absolute|FH9-08</t>
  </si>
  <si>
    <t>CAP|2025|FH9-B 2025|Eosinophils Absolute|FH9-09</t>
  </si>
  <si>
    <t>CAP|2025|FH9-B 2025|Eosinophils Absolute|FH9-10</t>
  </si>
  <si>
    <t>CAP|2025|FH9-B 2025|Hematocrit|FH9-06</t>
  </si>
  <si>
    <t>CAP|2025|FH9-B 2025|Hematocrit|FH9-07</t>
  </si>
  <si>
    <t>CAP|2025|FH9-B 2025|Hematocrit|FH9-08</t>
  </si>
  <si>
    <t>CAP|2025|FH9-B 2025|Hematocrit|FH9-09</t>
  </si>
  <si>
    <t>CAP|2025|FH9-B 2025|Hematocrit|FH9-10</t>
  </si>
  <si>
    <t>CAP|2025|FH9-B 2025|Hemoglobin|FH9-06</t>
  </si>
  <si>
    <t>CAP|2025|FH9-B 2025|Hemoglobin|FH9-07</t>
  </si>
  <si>
    <t>CAP|2025|FH9-B 2025|Hemoglobin|FH9-08</t>
  </si>
  <si>
    <t>CAP|2025|FH9-B 2025|Hemoglobin|FH9-09</t>
  </si>
  <si>
    <t>CAP|2025|FH9-B 2025|Hemoglobin|FH9-10</t>
  </si>
  <si>
    <t>CAP|2025|FH9-B 2025|IG|FH9-06</t>
  </si>
  <si>
    <t>CAP|2025|FH9-B 2025|IG|FH9-07</t>
  </si>
  <si>
    <t>CAP|2025|FH9-B 2025|IG|FH9-08</t>
  </si>
  <si>
    <t>CAP|2025|FH9-B 2025|IG|FH9-09</t>
  </si>
  <si>
    <t>CAP|2025|FH9-B 2025|IG|FH9-10</t>
  </si>
  <si>
    <t>CAP|2025|FH9-B 2025|IG Absolute|FH9-06</t>
  </si>
  <si>
    <t>CAP|2025|FH9-B 2025|IG Absolute|FH9-07</t>
  </si>
  <si>
    <t>CAP|2025|FH9-B 2025|IG Absolute|FH9-08</t>
  </si>
  <si>
    <t>CAP|2025|FH9-B 2025|IG Absolute|FH9-09</t>
  </si>
  <si>
    <t>CAP|2025|FH9-B 2025|IG Absolute|FH9-10</t>
  </si>
  <si>
    <t>CAP|2025|FH9-B 2025|Immature Platelet Frac|FH9-06</t>
  </si>
  <si>
    <t>CAP|2025|FH9-B 2025|Immature Platelet Frac|FH9-07</t>
  </si>
  <si>
    <t>CAP|2025|FH9-B 2025|Immature Platelet Frac|FH9-08</t>
  </si>
  <si>
    <t>CAP|2025|FH9-B 2025|Immature Platelet Frac|FH9-09</t>
  </si>
  <si>
    <t>CAP|2025|FH9-B 2025|Immature Platelet Frac|FH9-10</t>
  </si>
  <si>
    <t>CAP|2025|FH9-B 2025|Lymphs|FH9-06</t>
  </si>
  <si>
    <t>CAP|2025|FH9-B 2025|Lymphs|FH9-07</t>
  </si>
  <si>
    <t>CAP|2025|FH9-B 2025|Lymphs|FH9-08</t>
  </si>
  <si>
    <t>CAP|2025|FH9-B 2025|Lymphs|FH9-09</t>
  </si>
  <si>
    <t>CAP|2025|FH9-B 2025|Lymphs|FH9-10</t>
  </si>
  <si>
    <t>CAP|2025|FH9-B 2025|Lymphs Absolute|FH9-06</t>
  </si>
  <si>
    <t>CAP|2025|FH9-B 2025|Lymphs Absolute|FH9-07</t>
  </si>
  <si>
    <t>CAP|2025|FH9-B 2025|Lymphs Absolute|FH9-08</t>
  </si>
  <si>
    <t>CAP|2025|FH9-B 2025|Lymphs Absolute|FH9-09</t>
  </si>
  <si>
    <t>CAP|2025|FH9-B 2025|Lymphs Absolute|FH9-10</t>
  </si>
  <si>
    <t>CAP|2025|FH9-B 2025|MCH|FH9-06</t>
  </si>
  <si>
    <t>CAP|2025|FH9-B 2025|MCH|FH9-07</t>
  </si>
  <si>
    <t>CAP|2025|FH9-B 2025|MCH|FH9-08</t>
  </si>
  <si>
    <t>CAP|2025|FH9-B 2025|MCH|FH9-09</t>
  </si>
  <si>
    <t>CAP|2025|FH9-B 2025|MCH|FH9-10</t>
  </si>
  <si>
    <t>CAP|2025|FH9-B 2025|MCHC|FH9-06</t>
  </si>
  <si>
    <t>CAP|2025|FH9-B 2025|MCHC|FH9-07</t>
  </si>
  <si>
    <t>CAP|2025|FH9-B 2025|MCHC|FH9-08</t>
  </si>
  <si>
    <t>CAP|2025|FH9-B 2025|MCHC|FH9-09</t>
  </si>
  <si>
    <t>CAP|2025|FH9-B 2025|MCHC|FH9-10</t>
  </si>
  <si>
    <t>CAP|2025|FH9-B 2025|MCV|FH9-06</t>
  </si>
  <si>
    <t>CAP|2025|FH9-B 2025|MCV|FH9-07</t>
  </si>
  <si>
    <t>CAP|2025|FH9-B 2025|MCV|FH9-08</t>
  </si>
  <si>
    <t>CAP|2025|FH9-B 2025|MCV|FH9-09</t>
  </si>
  <si>
    <t>CAP|2025|FH9-B 2025|MCV|FH9-10</t>
  </si>
  <si>
    <t>CAP|2025|FH9-B 2025|MPV|FH9-06</t>
  </si>
  <si>
    <t>CAP|2025|FH9-B 2025|MPV|FH9-07</t>
  </si>
  <si>
    <t>CAP|2025|FH9-B 2025|MPV|FH9-08</t>
  </si>
  <si>
    <t>CAP|2025|FH9-B 2025|MPV|FH9-09</t>
  </si>
  <si>
    <t>CAP|2025|FH9-B 2025|MPV|FH9-10</t>
  </si>
  <si>
    <t>CAP|2025|FH9-B 2025|Monocytes|FH9-06</t>
  </si>
  <si>
    <t>CAP|2025|FH9-B 2025|Monocytes|FH9-07</t>
  </si>
  <si>
    <t>CAP|2025|FH9-B 2025|Monocytes|FH9-08</t>
  </si>
  <si>
    <t>CAP|2025|FH9-B 2025|Monocytes|FH9-09</t>
  </si>
  <si>
    <t>CAP|2025|FH9-B 2025|Monocytes|FH9-10</t>
  </si>
  <si>
    <t>CAP|2025|FH9-B 2025|Monocytes Absolute|FH9-06</t>
  </si>
  <si>
    <t>CAP|2025|FH9-B 2025|Monocytes Absolute|FH9-07</t>
  </si>
  <si>
    <t>CAP|2025|FH9-B 2025|Monocytes Absolute|FH9-08</t>
  </si>
  <si>
    <t>CAP|2025|FH9-B 2025|Monocytes Absolute|FH9-09</t>
  </si>
  <si>
    <t>CAP|2025|FH9-B 2025|Monocytes Absolute|FH9-10</t>
  </si>
  <si>
    <t>CAP|2025|FH9-B 2025|Neut/Gran|FH9-06</t>
  </si>
  <si>
    <t>CAP|2025|FH9-B 2025|Neut/Gran|FH9-07</t>
  </si>
  <si>
    <t>CAP|2025|FH9-B 2025|Neut/Gran|FH9-08</t>
  </si>
  <si>
    <t>CAP|2025|FH9-B 2025|Neut/Gran|FH9-09</t>
  </si>
  <si>
    <t>CAP|2025|FH9-B 2025|Neut/Gran|FH9-10</t>
  </si>
  <si>
    <t>CAP|2025|FH9-B 2025|Neut/Gran Absolute|FH9-06</t>
  </si>
  <si>
    <t>CAP|2025|FH9-B 2025|Neut/Gran Absolute|FH9-07</t>
  </si>
  <si>
    <t>CAP|2025|FH9-B 2025|Neut/Gran Absolute|FH9-08</t>
  </si>
  <si>
    <t>CAP|2025|FH9-B 2025|Neut/Gran Absolute|FH9-09</t>
  </si>
  <si>
    <t>CAP|2025|FH9-B 2025|Neut/Gran Absolute|FH9-10</t>
  </si>
  <si>
    <t>CAP|2025|FH9-B 2025|Platelet Count|FH9-06</t>
  </si>
  <si>
    <t>CAP|2025|FH9-B 2025|Platelet Count|FH9-07</t>
  </si>
  <si>
    <t>CAP|2025|FH9-B 2025|Platelet Count|FH9-08</t>
  </si>
  <si>
    <t>CAP|2025|FH9-B 2025|Platelet Count|FH9-09</t>
  </si>
  <si>
    <t>CAP|2025|FH9-B 2025|Platelet Count|FH9-10</t>
  </si>
  <si>
    <t>CAP|2025|FH9-B 2025|RDW|FH9-06</t>
  </si>
  <si>
    <t>CAP|2025|FH9-B 2025|RDW|FH9-07</t>
  </si>
  <si>
    <t>CAP|2025|FH9-B 2025|RDW|FH9-08</t>
  </si>
  <si>
    <t>CAP|2025|FH9-B 2025|RDW|FH9-09</t>
  </si>
  <si>
    <t>CAP|2025|FH9-B 2025|RDW|FH9-10</t>
  </si>
  <si>
    <t>CAP|2025|FH9-B 2025|Red Blood Cell Count|FH9-06</t>
  </si>
  <si>
    <t>CAP|2025|FH9-B 2025|Red Blood Cell Count|FH9-07</t>
  </si>
  <si>
    <t>CAP|2025|FH9-B 2025|Red Blood Cell Count|FH9-08</t>
  </si>
  <si>
    <t>CAP|2025|FH9-B 2025|Red Blood Cell Count|FH9-09</t>
  </si>
  <si>
    <t>CAP|2025|FH9-B 2025|Red Blood Cell Count|FH9-10</t>
  </si>
  <si>
    <t>CAP|2025|FH9-B 2025|White Blood Cell Count|FH9-06</t>
  </si>
  <si>
    <t>CAP|2025|FH9-B 2025|White Blood Cell Count|FH9-07</t>
  </si>
  <si>
    <t>CAP|2025|FH9-B 2025|White Blood Cell Count|FH9-08</t>
  </si>
  <si>
    <t>CAP|2025|FH9-B 2025|White Blood Cell Count|FH9-09</t>
  </si>
  <si>
    <t>CAP|2025|FH9-B 2025|White Blood Cell Count|FH9-10</t>
  </si>
  <si>
    <t>CAP|2025|FH9-B 2025|nRBC Absolute|FH9-06</t>
  </si>
  <si>
    <t>CAP|2025|FH9-B 2025|nRBC Absolute|FH9-07</t>
  </si>
  <si>
    <t>CAP|2025|FH9-B 2025|nRBC Absolute|FH9-08</t>
  </si>
  <si>
    <t>CAP|2025|FH9-B 2025|nRBC Absolute|FH9-09</t>
  </si>
  <si>
    <t>CAP|2025|FH9-B 2025|nRBC Absolute|FH9-10</t>
  </si>
  <si>
    <t>CAP|2025|FH9-B 2025|nRBC/100 WBC|FH9-06</t>
  </si>
  <si>
    <t>CAP|2025|FH9-B 2025|nRBC/100 WBC|FH9-07</t>
  </si>
  <si>
    <t>CAP|2025|FH9-B 2025|nRBC/100 WBC|FH9-08</t>
  </si>
  <si>
    <t>CAP|2025|FH9-B 2025|nRBC/100 WBC|FH9-09</t>
  </si>
  <si>
    <t>CAP|2025|FH9-B 2025|nRBC/100 WBC|FH9-10</t>
  </si>
  <si>
    <t>CAP|2025|FH9-C 2025|Basophils|FH9-11</t>
  </si>
  <si>
    <t>CAP|2025|FH9-C 2025|Basophils|FH9-12</t>
  </si>
  <si>
    <t>CAP|2025|FH9-C 2025|Basophils|FH9-13</t>
  </si>
  <si>
    <t>CAP|2025|FH9-C 2025|Basophils|FH9-14</t>
  </si>
  <si>
    <t>CAP|2025|FH9-C 2025|Basophils|FH9-15</t>
  </si>
  <si>
    <t>CAP|2025|FH9-C 2025|Basophils Absolute|FH9-11</t>
  </si>
  <si>
    <t>CAP|2025|FH9-C 2025|Basophils Absolute|FH9-12</t>
  </si>
  <si>
    <t>CAP|2025|FH9-C 2025|Basophils Absolute|FH9-13</t>
  </si>
  <si>
    <t>CAP|2025|FH9-C 2025|Basophils Absolute|FH9-14</t>
  </si>
  <si>
    <t>CAP|2025|FH9-C 2025|Basophils Absolute|FH9-15</t>
  </si>
  <si>
    <t>CAP|2025|FH9-C 2025|Eosinophils|FH9-11</t>
  </si>
  <si>
    <t>CAP|2025|FH9-C 2025|Eosinophils|FH9-12</t>
  </si>
  <si>
    <t>CAP|2025|FH9-C 2025|Eosinophils|FH9-13</t>
  </si>
  <si>
    <t>CAP|2025|FH9-C 2025|Eosinophils|FH9-14</t>
  </si>
  <si>
    <t>CAP|2025|FH9-C 2025|Eosinophils|FH9-15</t>
  </si>
  <si>
    <t>CAP|2025|FH9-C 2025|Eosinophils Absolute|FH9-11</t>
  </si>
  <si>
    <t>CAP|2025|FH9-C 2025|Eosinophils Absolute|FH9-12</t>
  </si>
  <si>
    <t>CAP|2025|FH9-C 2025|Eosinophils Absolute|FH9-13</t>
  </si>
  <si>
    <t>CAP|2025|FH9-C 2025|Eosinophils Absolute|FH9-14</t>
  </si>
  <si>
    <t>CAP|2025|FH9-C 2025|Eosinophils Absolute|FH9-15</t>
  </si>
  <si>
    <t>CAP|2025|FH9-C 2025|Hematocrit|FH9-11</t>
  </si>
  <si>
    <t>CAP|2025|FH9-C 2025|Hematocrit|FH9-12</t>
  </si>
  <si>
    <t>CAP|2025|FH9-C 2025|Hematocrit|FH9-13</t>
  </si>
  <si>
    <t>CAP|2025|FH9-C 2025|Hematocrit|FH9-14</t>
  </si>
  <si>
    <t>CAP|2025|FH9-C 2025|Hematocrit|FH9-15</t>
  </si>
  <si>
    <t>CAP|2025|FH9-C 2025|Hemoglobin|FH9-11</t>
  </si>
  <si>
    <t>CAP|2025|FH9-C 2025|Hemoglobin|FH9-12</t>
  </si>
  <si>
    <t>CAP|2025|FH9-C 2025|Hemoglobin|FH9-13</t>
  </si>
  <si>
    <t>CAP|2025|FH9-C 2025|Hemoglobin|FH9-14</t>
  </si>
  <si>
    <t>CAP|2025|FH9-C 2025|Hemoglobin|FH9-15</t>
  </si>
  <si>
    <t>CAP|2025|FH9-C 2025|IG|FH9-11</t>
  </si>
  <si>
    <t>CAP|2025|FH9-C 2025|IG|FH9-12</t>
  </si>
  <si>
    <t>CAP|2025|FH9-C 2025|IG|FH9-13</t>
  </si>
  <si>
    <t>CAP|2025|FH9-C 2025|IG|FH9-14</t>
  </si>
  <si>
    <t>CAP|2025|FH9-C 2025|IG|FH9-15</t>
  </si>
  <si>
    <t>CAP|2025|FH9-C 2025|IG Absolute|FH9-11</t>
  </si>
  <si>
    <t>CAP|2025|FH9-C 2025|IG Absolute|FH9-12</t>
  </si>
  <si>
    <t>CAP|2025|FH9-C 2025|IG Absolute|FH9-13</t>
  </si>
  <si>
    <t>CAP|2025|FH9-C 2025|IG Absolute|FH9-14</t>
  </si>
  <si>
    <t>CAP|2025|FH9-C 2025|IG Absolute|FH9-15</t>
  </si>
  <si>
    <t>CAP|2025|FH9-C 2025|Immature Platelet Frac|FH9-11</t>
  </si>
  <si>
    <t>CAP|2025|FH9-C 2025|Immature Platelet Frac|FH9-12</t>
  </si>
  <si>
    <t>CAP|2025|FH9-C 2025|Immature Platelet Frac|FH9-13</t>
  </si>
  <si>
    <t>CAP|2025|FH9-C 2025|Immature Platelet Frac|FH9-14</t>
  </si>
  <si>
    <t>CAP|2025|FH9-C 2025|Immature Platelet Frac|FH9-15</t>
  </si>
  <si>
    <t>CAP|2025|FH9-C 2025|Lymphs|FH9-11</t>
  </si>
  <si>
    <t>CAP|2025|FH9-C 2025|Lymphs|FH9-12</t>
  </si>
  <si>
    <t>CAP|2025|FH9-C 2025|Lymphs|FH9-13</t>
  </si>
  <si>
    <t>CAP|2025|FH9-C 2025|Lymphs|FH9-14</t>
  </si>
  <si>
    <t>CAP|2025|FH9-C 2025|Lymphs|FH9-15</t>
  </si>
  <si>
    <t>CAP|2025|FH9-C 2025|Lymphs Absolute|FH9-11</t>
  </si>
  <si>
    <t>CAP|2025|FH9-C 2025|Lymphs Absolute|FH9-12</t>
  </si>
  <si>
    <t>CAP|2025|FH9-C 2025|Lymphs Absolute|FH9-13</t>
  </si>
  <si>
    <t>CAP|2025|FH9-C 2025|Lymphs Absolute|FH9-14</t>
  </si>
  <si>
    <t>CAP|2025|FH9-C 2025|Lymphs Absolute|FH9-15</t>
  </si>
  <si>
    <t>CAP|2025|FH9-C 2025|MCH|FH9-11</t>
  </si>
  <si>
    <t>CAP|2025|FH9-C 2025|MCH|FH9-12</t>
  </si>
  <si>
    <t>CAP|2025|FH9-C 2025|MCH|FH9-13</t>
  </si>
  <si>
    <t>CAP|2025|FH9-C 2025|MCH|FH9-14</t>
  </si>
  <si>
    <t>CAP|2025|FH9-C 2025|MCH|FH9-15</t>
  </si>
  <si>
    <t>CAP|2025|FH9-C 2025|MCHC|FH9-11</t>
  </si>
  <si>
    <t>CAP|2025|FH9-C 2025|MCHC|FH9-12</t>
  </si>
  <si>
    <t>CAP|2025|FH9-C 2025|MCHC|FH9-13</t>
  </si>
  <si>
    <t>CAP|2025|FH9-C 2025|MCHC|FH9-14</t>
  </si>
  <si>
    <t>CAP|2025|FH9-C 2025|MCHC|FH9-15</t>
  </si>
  <si>
    <t>CAP|2025|FH9-C 2025|MCV|FH9-11</t>
  </si>
  <si>
    <t>CAP|2025|FH9-C 2025|MCV|FH9-12</t>
  </si>
  <si>
    <t>CAP|2025|FH9-C 2025|MCV|FH9-13</t>
  </si>
  <si>
    <t>CAP|2025|FH9-C 2025|MCV|FH9-14</t>
  </si>
  <si>
    <t>CAP|2025|FH9-C 2025|MCV|FH9-15</t>
  </si>
  <si>
    <t>CAP|2025|FH9-C 2025|MPV|FH9-11</t>
  </si>
  <si>
    <t>CAP|2025|FH9-C 2025|MPV|FH9-12</t>
  </si>
  <si>
    <t>CAP|2025|FH9-C 2025|MPV|FH9-13</t>
  </si>
  <si>
    <t>CAP|2025|FH9-C 2025|MPV|FH9-14</t>
  </si>
  <si>
    <t>CAP|2025|FH9-C 2025|MPV|FH9-15</t>
  </si>
  <si>
    <t>CAP|2025|FH9-C 2025|Monocytes|FH9-11</t>
  </si>
  <si>
    <t>CAP|2025|FH9-C 2025|Monocytes|FH9-12</t>
  </si>
  <si>
    <t>CAP|2025|FH9-C 2025|Monocytes|FH9-13</t>
  </si>
  <si>
    <t>CAP|2025|FH9-C 2025|Monocytes|FH9-14</t>
  </si>
  <si>
    <t>CAP|2025|FH9-C 2025|Monocytes|FH9-15</t>
  </si>
  <si>
    <t>CAP|2025|FH9-C 2025|Monocytes Absolute|FH9-11</t>
  </si>
  <si>
    <t>CAP|2025|FH9-C 2025|Monocytes Absolute|FH9-12</t>
  </si>
  <si>
    <t>CAP|2025|FH9-C 2025|Monocytes Absolute|FH9-13</t>
  </si>
  <si>
    <t>CAP|2025|FH9-C 2025|Monocytes Absolute|FH9-14</t>
  </si>
  <si>
    <t>CAP|2025|FH9-C 2025|Monocytes Absolute|FH9-15</t>
  </si>
  <si>
    <t>CAP|2025|FH9-C 2025|Neut/Gran|FH9-11</t>
  </si>
  <si>
    <t>CAP|2025|FH9-C 2025|Neut/Gran|FH9-12</t>
  </si>
  <si>
    <t>CAP|2025|FH9-C 2025|Neut/Gran|FH9-13</t>
  </si>
  <si>
    <t>CAP|2025|FH9-C 2025|Neut/Gran|FH9-14</t>
  </si>
  <si>
    <t>CAP|2025|FH9-C 2025|Neut/Gran|FH9-15</t>
  </si>
  <si>
    <t>CAP|2025|FH9-C 2025|Neut/Gran Absolute|FH9-11</t>
  </si>
  <si>
    <t>CAP|2025|FH9-C 2025|Neut/Gran Absolute|FH9-12</t>
  </si>
  <si>
    <t>CAP|2025|FH9-C 2025|Neut/Gran Absolute|FH9-13</t>
  </si>
  <si>
    <t>CAP|2025|FH9-C 2025|Neut/Gran Absolute|FH9-14</t>
  </si>
  <si>
    <t>CAP|2025|FH9-C 2025|Neut/Gran Absolute|FH9-15</t>
  </si>
  <si>
    <t>CAP|2025|FH9-C 2025|Platelet Count|FH9-11</t>
  </si>
  <si>
    <t>CAP|2025|FH9-C 2025|Platelet Count|FH9-12</t>
  </si>
  <si>
    <t>CAP|2025|FH9-C 2025|Platelet Count|FH9-13</t>
  </si>
  <si>
    <t>CAP|2025|FH9-C 2025|Platelet Count|FH9-14</t>
  </si>
  <si>
    <t>CAP|2025|FH9-C 2025|Platelet Count|FH9-15</t>
  </si>
  <si>
    <t>CAP|2025|FH9-C 2025|RDW|FH9-11</t>
  </si>
  <si>
    <t>CAP|2025|FH9-C 2025|RDW|FH9-12</t>
  </si>
  <si>
    <t>CAP|2025|FH9-C 2025|RDW|FH9-13</t>
  </si>
  <si>
    <t>CAP|2025|FH9-C 2025|RDW|FH9-14</t>
  </si>
  <si>
    <t>CAP|2025|FH9-C 2025|RDW|FH9-15</t>
  </si>
  <si>
    <t>CAP|2025|FH9-C 2025|Red Blood Cell Count|FH9-11</t>
  </si>
  <si>
    <t>CAP|2025|FH9-C 2025|Red Blood Cell Count|FH9-12</t>
  </si>
  <si>
    <t>CAP|2025|FH9-C 2025|Red Blood Cell Count|FH9-13</t>
  </si>
  <si>
    <t>CAP|2025|FH9-C 2025|Red Blood Cell Count|FH9-14</t>
  </si>
  <si>
    <t>CAP|2025|FH9-C 2025|Red Blood Cell Count|FH9-15</t>
  </si>
  <si>
    <t>CAP|2025|FH9-C 2025|White Blood Cell Count|FH9-11</t>
  </si>
  <si>
    <t>CAP|2025|FH9-C 2025|White Blood Cell Count|FH9-12</t>
  </si>
  <si>
    <t>CAP|2025|FH9-C 2025|White Blood Cell Count|FH9-13</t>
  </si>
  <si>
    <t>CAP|2025|FH9-C 2025|White Blood Cell Count|FH9-14</t>
  </si>
  <si>
    <t>CAP|2025|FH9-C 2025|White Blood Cell Count|FH9-15</t>
  </si>
  <si>
    <t>CAP|2025|FH9-C 2025|nRBC Absolute|FH9-11</t>
  </si>
  <si>
    <t>CAP|2025|FH9-C 2025|nRBC Absolute|FH9-12</t>
  </si>
  <si>
    <t>CAP|2025|FH9-C 2025|nRBC Absolute|FH9-13</t>
  </si>
  <si>
    <t>CAP|2025|FH9-C 2025|nRBC Absolute|FH9-14</t>
  </si>
  <si>
    <t>CAP|2025|FH9-C 2025|nRBC Absolute|FH9-15</t>
  </si>
  <si>
    <t>CAP|2025|FH9-C 2025|nRBC/100 WBC|FH9-11</t>
  </si>
  <si>
    <t>CAP|2025|FH9-C 2025|nRBC/100 WBC|FH9-12</t>
  </si>
  <si>
    <t>CAP|2025|FH9-C 2025|nRBC/100 WBC|FH9-13</t>
  </si>
  <si>
    <t>CAP|2025|FH9-C 2025|nRBC/100 WBC|FH9-14</t>
  </si>
  <si>
    <t>CAP|2025|FH9-C 2025|nRBC/100 WBC|FH9-15</t>
  </si>
  <si>
    <t>NAO</t>
  </si>
  <si>
    <t>CAP|2025|1|HCT|1</t>
  </si>
  <si>
    <t>CAP|2025|1|HCT|2</t>
  </si>
  <si>
    <t>CAP|2025|1|HCT|3</t>
  </si>
  <si>
    <t>CAP|2025|1|HCT|4</t>
  </si>
  <si>
    <t>CAP|2025|1|HCT|5</t>
  </si>
  <si>
    <t>CAP|2025|1|HGB|1</t>
  </si>
  <si>
    <t>CAP|2025|1|HGB|2</t>
  </si>
  <si>
    <t>CAP|2025|1|HGB|3</t>
  </si>
  <si>
    <t>CAP|2025|1|HGB|4</t>
  </si>
  <si>
    <t>CAP|2025|1|HGB|5</t>
  </si>
  <si>
    <t>CAP|2025|1|MCH|1</t>
  </si>
  <si>
    <t>CAP|2025|1|MCH|2</t>
  </si>
  <si>
    <t>CAP|2025|1|MCH|3</t>
  </si>
  <si>
    <t>CAP|2025|1|MCH|4</t>
  </si>
  <si>
    <t>CAP|2025|1|MCH|5</t>
  </si>
  <si>
    <t>CAP|2025|1|MCV|1</t>
  </si>
  <si>
    <t>CAP|2025|1|MCV|2</t>
  </si>
  <si>
    <t>CAP|2025|1|MCV|3</t>
  </si>
  <si>
    <t>CAP|2025|1|MCV|4</t>
  </si>
  <si>
    <t>CAP|2025|1|MCV|5</t>
  </si>
  <si>
    <t>CAP|2025|1|RBC|1</t>
  </si>
  <si>
    <t>CAP|2025|1|RBC|2</t>
  </si>
  <si>
    <t>CAP|2025|1|RBC|3</t>
  </si>
  <si>
    <t>CAP|2025|1|RBC|4</t>
  </si>
  <si>
    <t>CAP|2025|1|RBC|5</t>
  </si>
  <si>
    <t>CAP|2025|1|WBC|1</t>
  </si>
  <si>
    <t>CAP|2025|1|WBC|2</t>
  </si>
  <si>
    <t>CAP|2025|1|WBC|3</t>
  </si>
  <si>
    <t>CAP|2025|1|WBC|4</t>
  </si>
  <si>
    <t>CAP|2025|1|WBC|5</t>
  </si>
  <si>
    <t>CAP|2025|2|HCT|1</t>
  </si>
  <si>
    <t>CAP|2025|2|HCT|2</t>
  </si>
  <si>
    <t>CAP|2025|2|HCT|3</t>
  </si>
  <si>
    <t>CAP|2025|2|HCT|4</t>
  </si>
  <si>
    <t>CAP|2025|2|HCT|5</t>
  </si>
  <si>
    <t>CAP|2025|2|HGB|1</t>
  </si>
  <si>
    <t>CAP|2025|2|HGB|2</t>
  </si>
  <si>
    <t>CAP|2025|2|HGB|3</t>
  </si>
  <si>
    <t>CAP|2025|2|HGB|4</t>
  </si>
  <si>
    <t>CAP|2025|2|HGB|5</t>
  </si>
  <si>
    <t>CAP|2025|2|MCH|1</t>
  </si>
  <si>
    <t>CAP|2025|2|MCH|2</t>
  </si>
  <si>
    <t>CAP|2025|2|MCH|3</t>
  </si>
  <si>
    <t>CAP|2025|2|MCH|4</t>
  </si>
  <si>
    <t>CAP|2025|2|MCH|5</t>
  </si>
  <si>
    <t>CAP|2025|2|MCV|1</t>
  </si>
  <si>
    <t>CAP|2025|2|MCV|2</t>
  </si>
  <si>
    <t>CAP|2025|2|MCV|3</t>
  </si>
  <si>
    <t>CAP|2025|2|MCV|4</t>
  </si>
  <si>
    <t>CAP|2025|2|MCV|5</t>
  </si>
  <si>
    <t>CAP|2025|2|RBC|1</t>
  </si>
  <si>
    <t>CAP|2025|2|RBC|2</t>
  </si>
  <si>
    <t>CAP|2025|2|RBC|3</t>
  </si>
  <si>
    <t>CAP|2025|2|RBC|4</t>
  </si>
  <si>
    <t>CAP|2025|2|RBC|5</t>
  </si>
  <si>
    <t>CAP|2025|2|WBC|1</t>
  </si>
  <si>
    <t>CAP|2025|2|WBC|2</t>
  </si>
  <si>
    <t>CAP|2025|2|WBC|3</t>
  </si>
  <si>
    <t>CAP|2025|2|WBC|4</t>
  </si>
  <si>
    <t>CAP|2025|2|WBC|5</t>
  </si>
  <si>
    <t>CAP|2025|3|HCT|1</t>
  </si>
  <si>
    <t>CAP|2025|3|HCT|2</t>
  </si>
  <si>
    <t>CAP|2025|3|HCT|3</t>
  </si>
  <si>
    <t>CAP|2025|3|HCT|4</t>
  </si>
  <si>
    <t>CAP|2025|3|HCT|5</t>
  </si>
  <si>
    <t>CAP|2025|3|HGB|1</t>
  </si>
  <si>
    <t>CAP|2025|3|HGB|2</t>
  </si>
  <si>
    <t>CAP|2025|3|HGB|3</t>
  </si>
  <si>
    <t>CAP|2025|3|HGB|4</t>
  </si>
  <si>
    <t>CAP|2025|3|HGB|5</t>
  </si>
  <si>
    <t>CAP|2025|3|MCH|1</t>
  </si>
  <si>
    <t>CAP|2025|3|MCH|2</t>
  </si>
  <si>
    <t>CAP|2025|3|MCH|3</t>
  </si>
  <si>
    <t>CAP|2025|3|MCH|4</t>
  </si>
  <si>
    <t>CAP|2025|3|MCH|5</t>
  </si>
  <si>
    <t>CAP|2025|3|MCV|1</t>
  </si>
  <si>
    <t>CAP|2025|3|MCV|2</t>
  </si>
  <si>
    <t>CAP|2025|3|MCV|3</t>
  </si>
  <si>
    <t>CAP|2025|3|MCV|4</t>
  </si>
  <si>
    <t>CAP|2025|3|MCV|5</t>
  </si>
  <si>
    <t>CAP|2025|3|RBC|1</t>
  </si>
  <si>
    <t>CAP|2025|3|RBC|2</t>
  </si>
  <si>
    <t>CAP|2025|3|RBC|3</t>
  </si>
  <si>
    <t>CAP|2025|3|RBC|4</t>
  </si>
  <si>
    <t>CAP|2025|3|RBC|5</t>
  </si>
  <si>
    <t>CAP|2025|3|WBC|1</t>
  </si>
  <si>
    <t>CAP|2025|3|WBC|2</t>
  </si>
  <si>
    <t>CAP|2025|3|WBC|3</t>
  </si>
  <si>
    <t>CAP|2025|3|WBC|4</t>
  </si>
  <si>
    <t>CAP|2025|3|WBC|5</t>
  </si>
  <si>
    <t>consolidado: 2026-08-24 15:20:53 | CAP 465 | Controllab 0 | total 465 | sem analito canonico 15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</si>
  <si>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</si>
  <si>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</si>
  <si>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</si>
  <si>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</si>
  <si>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</si>
  <si>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</si>
  <si>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</si>
  <si>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</si>
  <si>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</si>
  <si>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</si>
  <si>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</si>
  <si>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</si>
  <si>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</si>
  <si>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</si>
  <si>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</si>
  <si>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</si>
  <si>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</si>
  <si>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</si>
  <si>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</si>
  <si>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</si>
  <si>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</si>
  <si>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</si>
  <si>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</si>
  <si>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</si>
  <si>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</si>
  <si>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</si>
  <si>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</si>
  <si>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</si>
  <si>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</si>
  <si>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</si>
  <si>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</si>
  <si>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</si>
  <si>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TODAS</t>
  </si>
  <si>
    <t>A</t>
  </si>
  <si>
    <t>B</t>
  </si>
  <si>
    <t>C</t>
  </si>
  <si>
    <t>Status SDI</t>
  </si>
  <si>
    <t>Status SDI (EP)</t>
  </si>
  <si>
    <t>Status limites (EP)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</si>
  <si>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</si>
  <si>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</si>
  <si>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</si>
  <si>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</si>
  <si>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</si>
  <si>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</si>
  <si>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</si>
  <si>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</si>
  <si>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</si>
  <si>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</si>
  <si>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Classe mundial</t>
  </si>
  <si>
    <t>1_3s</t>
  </si>
  <si>
    <t>Uma medicao em cada um dos 3 niveis por evento de CQ</t>
  </si>
  <si>
    <t>Westgard &amp; Westgard, 2019</t>
  </si>
  <si>
    <t>Excelente</t>
  </si>
  <si>
    <t>1_3s / 2of3_2s / R_4s</t>
  </si>
  <si>
    <t>Bom</t>
  </si>
  <si>
    <t>1_3s / 2of3_2s / R_4s / 3_1s</t>
  </si>
  <si>
    <t>Desempenho inadequado</t>
  </si>
  <si>
    <t>1_3s / 2of3_2s / R_4s / 3_1s / 6x</t>
  </si>
  <si>
    <t>N=6 / R=1, ou N=3 / R=2 conforme a estrategia operacional do laboratorio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</si>
  <si>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</si>
  <si>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</si>
  <si>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</si>
  <si>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</si>
  <si>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</si>
  <si>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</si>
  <si>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</si>
  <si>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</si>
  <si>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</si>
  <si>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</si>
  <si>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</si>
  <si>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</si>
  <si>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CV % obs</t>
  </si>
  <si>
    <t>Bias EQC (abs) %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</si>
  <si>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</si>
  <si>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</si>
  <si>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</si>
  <si>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</si>
  <si>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</si>
  <si>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</si>
  <si>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N é o número TOTAL de medições de controle no evento — não o número de níveis. Como distribuir entre níveis, materiais e replicatas depende da configuração do laboratório.</t>
  </si>
  <si>
    <t>Run Size é quantos pacientes podem passar entre eventos de CQ. Não confundir com a regra R_4s.</t>
  </si>
  <si>
    <t>ERRO TOTAL vs ETp — orçamento de erro</t>
  </si>
  <si>
    <t>Margem (p.p.)</t>
  </si>
  <si>
    <t>Margem %</t>
  </si>
  <si>
    <t>Situação</t>
  </si>
  <si>
    <t>MARGEM CRÍTICA — todos os analitos</t>
  </si>
  <si>
    <t>ETp excedido</t>
  </si>
  <si>
    <t>Margem crítica (≤10%)</t>
  </si>
  <si>
    <t>Dentro do orçamento</t>
  </si>
  <si>
    <t>SIGMA × DPM × RENDIMENTO — referência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</si>
  <si>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</si>
  <si>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</si>
  <si>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</si>
  <si>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</si>
  <si>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</si>
  <si>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</si>
  <si>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</si>
  <si>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Marginal</t>
  </si>
  <si>
    <t>Westgard &amp; Westgard, 2019; Peng et al., 2021</t>
  </si>
  <si>
    <t>CQ estatistico isolado pode ser insuficiente - investigar e melhorar o desempenho analitico ou reavaliar o metodo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</si>
  <si>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</si>
  <si>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</si>
  <si>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</si>
  <si>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</si>
  <si>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</si>
  <si>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</si>
  <si>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</si>
  <si>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</si>
  <si>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</si>
  <si>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</si>
  <si>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</si>
  <si>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</si>
  <si>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</si>
  <si>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HEMATOLOGIA</t>
  </si>
  <si>
    <t>INDIVIDUAL</t>
  </si>
  <si>
    <t>WITHIN_RUN</t>
  </si>
  <si>
    <t>Resultado isolado alem do limite, sem depender de outro nivel nem da corrida anterior</t>
  </si>
  <si>
    <t>ADR-044</t>
  </si>
  <si>
    <t>2of3_2s</t>
  </si>
  <si>
    <t>WITHIN_RUN_ACROSS_MATERIALS</t>
  </si>
  <si>
    <t>Avaliado apenas dentro da corrida atual</t>
  </si>
  <si>
    <t>SAME_LEVEL_R3</t>
  </si>
  <si>
    <t>WITHIN_MATERIAL_ACROSS_RUN</t>
  </si>
  <si>
    <t>Complementar: 3 corridas seguidas do mesmo nivel</t>
  </si>
  <si>
    <t>R_4s</t>
  </si>
  <si>
    <t>3_1s</t>
  </si>
  <si>
    <t>N3_R1</t>
  </si>
  <si>
    <t>3 niveis da mesma corrida</t>
  </si>
  <si>
    <t>6x</t>
  </si>
  <si>
    <t>ACROSS_RUN_ACROSS_MATERIALS</t>
  </si>
  <si>
    <t>3 niveis x 2 corridas = 6 observacoes</t>
  </si>
  <si>
    <t>SAME_LEVEL_R6</t>
  </si>
  <si>
    <t>Complementar: 6 corridas seguidas do mesmo nivel</t>
  </si>
  <si>
    <t>N3_R2</t>
  </si>
  <si>
    <t>ID_Result</t>
  </si>
  <si>
    <t>ID_Corrida</t>
  </si>
  <si>
    <t>Mes</t>
  </si>
  <si>
    <t>Trimestre</t>
  </si>
  <si>
    <t>Competencia</t>
  </si>
  <si>
    <t>ID_Analito</t>
  </si>
  <si>
    <t>ID_Lote</t>
  </si>
  <si>
    <t>Nivel</t>
  </si>
  <si>
    <t>Media_Alvo</t>
  </si>
  <si>
    <t>DP_Alvo</t>
  </si>
  <si>
    <t>Z</t>
  </si>
  <si>
    <t>Lim_m3s</t>
  </si>
  <si>
    <t>Lim_m2s</t>
  </si>
  <si>
    <t>Lim_m1s</t>
  </si>
  <si>
    <t>Lim_p1s</t>
  </si>
  <si>
    <t>Lim_p2s</t>
  </si>
  <si>
    <t>Lim_p3s</t>
  </si>
  <si>
    <t>CVtp_pct</t>
  </si>
  <si>
    <t>BIAStp_pct</t>
  </si>
  <si>
    <t>ETp_pct</t>
  </si>
  <si>
    <t>W_1_3s</t>
  </si>
  <si>
    <t>W_2of3_2s</t>
  </si>
  <si>
    <t>W_R_4s</t>
  </si>
  <si>
    <t>W_3_1s</t>
  </si>
  <si>
    <t>W_6x</t>
  </si>
  <si>
    <t>A_1_2s</t>
  </si>
  <si>
    <t>Veredito</t>
  </si>
  <si>
    <t>Produto</t>
  </si>
  <si>
    <t>WorkbookID</t>
  </si>
  <si>
    <t>VersaoContrato</t>
  </si>
  <si>
    <t>AtualizadoEmUTC</t>
  </si>
  <si>
    <t>FonteArquivo</t>
  </si>
  <si>
    <t>ID_Result_Global</t>
  </si>
  <si>
    <t>ID_Corrida_Global</t>
  </si>
  <si>
    <t>ID_Lote_Global</t>
  </si>
  <si>
    <t>ID_Analito_Global</t>
  </si>
  <si>
    <t>N_Observado</t>
  </si>
  <si>
    <t>Media_Observada</t>
  </si>
  <si>
    <t>DP_Observado</t>
  </si>
  <si>
    <t>CV_Observado_pct</t>
  </si>
  <si>
    <t>Bias_Observado_pct</t>
  </si>
  <si>
    <t>ET_Observado_pct</t>
  </si>
  <si>
    <t>Fonte_Especificacao</t>
  </si>
  <si>
    <t>ID_Especificacao</t>
  </si>
  <si>
    <t>Vigencia_Inicio</t>
  </si>
  <si>
    <t>Vigencia_Fim</t>
  </si>
  <si>
    <t>Situacao_Especificacao</t>
  </si>
  <si>
    <t>Usuario_Atualizacao</t>
  </si>
  <si>
    <t>Tipo_Evento</t>
  </si>
  <si>
    <t>Bias_Observado_abs_pct</t>
  </si>
  <si>
    <t>Classificacao_Sigma</t>
  </si>
  <si>
    <t>Margem_ETp_pp</t>
  </si>
  <si>
    <t>Margem_ETp_pct</t>
  </si>
  <si>
    <t>Status_Margem_ETp</t>
  </si>
  <si>
    <t>Provedor_EQA</t>
  </si>
  <si>
    <t>Ano_EQA</t>
  </si>
  <si>
    <t>Rodada_EQA</t>
  </si>
  <si>
    <t>DPM_Teorico</t>
  </si>
  <si>
    <t>Yield_Teorico</t>
  </si>
  <si>
    <t>Regra_Westgard_Recomendada</t>
  </si>
  <si>
    <t>N_Controle_Recomendado</t>
  </si>
  <si>
    <t>RunSize_Max_Recomendado</t>
  </si>
  <si>
    <t>Frequencia_QC_Descricao</t>
  </si>
  <si>
    <t>Cobertura_Motor_Westgard</t>
  </si>
  <si>
    <t>Referencia_Plano_QC</t>
  </si>
  <si>
    <t>Sigma_Plano</t>
  </si>
  <si>
    <t>Nivel_Governante</t>
  </si>
  <si>
    <t>Classificacao_Sigma_Plano</t>
  </si>
  <si>
    <t>Usar_1_3s</t>
  </si>
  <si>
    <t>Usar_2of3_2s</t>
  </si>
  <si>
    <t>Usar_R_4s</t>
  </si>
  <si>
    <t>Usar_3_1s</t>
  </si>
  <si>
    <t>Usar_6x</t>
  </si>
  <si>
    <t>522611|1|1|WBC</t>
  </si>
  <si>
    <t>522611|1</t>
  </si>
  <si>
    <t>2025-01</t>
  </si>
  <si>
    <t>FD15AE3C-76A3-4431-85E5-7B0441ABB1B9</t>
  </si>
  <si>
    <t>2.0.0</t>
  </si>
  <si>
    <t>QC_Hematologia.xlsm</t>
  </si>
  <si>
    <t>FD15AE3C-76A3-4431-85E5-7B0441ABB1B9|RESULT|522611|1|1|WBC</t>
  </si>
  <si>
    <t>FD15AE3C-76A3-4431-85E5-7B0441ABB1B9|RUN|522611|1</t>
  </si>
  <si>
    <t>FD15AE3C-76A3-4431-85E5-7B0441ABB1B9|LOTE|522611</t>
  </si>
  <si>
    <t>Hematologia|ANALITO|WBC</t>
  </si>
  <si>
    <t>ANALITOS_VIGENTE</t>
  </si>
  <si>
    <t>RESULTADO_CQI</t>
  </si>
  <si>
    <t>Estatística!$L$4</t>
  </si>
  <si>
    <t>Nivel 1</t>
  </si>
  <si>
    <t>522611|2|1|WBC</t>
  </si>
  <si>
    <t>522611|2</t>
  </si>
  <si>
    <t>FD15AE3C-76A3-4431-85E5-7B0441ABB1B9|RESULT|522611|2|1|WBC</t>
  </si>
  <si>
    <t>FD15AE3C-76A3-4431-85E5-7B0441ABB1B9|RUN|522611|2</t>
  </si>
  <si>
    <t>522611|3|1|WBC</t>
  </si>
  <si>
    <t>522611|3</t>
  </si>
  <si>
    <t>FD15AE3C-76A3-4431-85E5-7B0441ABB1B9|RESULT|522611|3|1|WBC</t>
  </si>
  <si>
    <t>FD15AE3C-76A3-4431-85E5-7B0441ABB1B9|RUN|522611|3</t>
  </si>
  <si>
    <t>522611|4|1|WBC</t>
  </si>
  <si>
    <t>522611|4</t>
  </si>
  <si>
    <t>FD15AE3C-76A3-4431-85E5-7B0441ABB1B9|RESULT|522611|4|1|WBC</t>
  </si>
  <si>
    <t>FD15AE3C-76A3-4431-85E5-7B0441ABB1B9|RUN|522611|4</t>
  </si>
  <si>
    <t>522611|5|1|WBC</t>
  </si>
  <si>
    <t>522611|5</t>
  </si>
  <si>
    <t>2025-02</t>
  </si>
  <si>
    <t>FD15AE3C-76A3-4431-85E5-7B0441ABB1B9|RESULT|522611|5|1|WBC</t>
  </si>
  <si>
    <t>FD15AE3C-76A3-4431-85E5-7B0441ABB1B9|RUN|522611|5</t>
  </si>
  <si>
    <t>522611|6|1|WBC</t>
  </si>
  <si>
    <t>522611|6</t>
  </si>
  <si>
    <t>FD15AE3C-76A3-4431-85E5-7B0441ABB1B9|RESULT|522611|6|1|WBC</t>
  </si>
  <si>
    <t>FD15AE3C-76A3-4431-85E5-7B0441ABB1B9|RUN|522611|6</t>
  </si>
  <si>
    <t>522611|7|1|WBC</t>
  </si>
  <si>
    <t>522611|7</t>
  </si>
  <si>
    <t>FD15AE3C-76A3-4431-85E5-7B0441ABB1B9|RESULT|522611|7|1|WBC</t>
  </si>
  <si>
    <t>FD15AE3C-76A3-4431-85E5-7B0441ABB1B9|RUN|522611|7</t>
  </si>
  <si>
    <t>522611|8|1|WBC</t>
  </si>
  <si>
    <t>522611|8</t>
  </si>
  <si>
    <t>FD15AE3C-76A3-4431-85E5-7B0441ABB1B9|RESULT|522611|8|1|WBC</t>
  </si>
  <si>
    <t>FD15AE3C-76A3-4431-85E5-7B0441ABB1B9|RUN|522611|8</t>
  </si>
  <si>
    <t>522611|9|1|WBC</t>
  </si>
  <si>
    <t>522611|9</t>
  </si>
  <si>
    <t>2025-03</t>
  </si>
  <si>
    <t>FD15AE3C-76A3-4431-85E5-7B0441ABB1B9|RESULT|522611|9|1|WBC</t>
  </si>
  <si>
    <t>FD15AE3C-76A3-4431-85E5-7B0441ABB1B9|RUN|522611|9</t>
  </si>
  <si>
    <t>522611|10|1|WBC</t>
  </si>
  <si>
    <t>522611|10</t>
  </si>
  <si>
    <t>FD15AE3C-76A3-4431-85E5-7B0441ABB1B9|RESULT|522611|10|1|WBC</t>
  </si>
  <si>
    <t>FD15AE3C-76A3-4431-85E5-7B0441ABB1B9|RUN|522611|10</t>
  </si>
  <si>
    <t>522611|11|1|WBC</t>
  </si>
  <si>
    <t>522611|11</t>
  </si>
  <si>
    <t>FD15AE3C-76A3-4431-85E5-7B0441ABB1B9|RESULT|522611|11|1|WBC</t>
  </si>
  <si>
    <t>FD15AE3C-76A3-4431-85E5-7B0441ABB1B9|RUN|522611|11</t>
  </si>
  <si>
    <t>522611|12|1|WBC</t>
  </si>
  <si>
    <t>522611|12</t>
  </si>
  <si>
    <t>FD15AE3C-76A3-4431-85E5-7B0441ABB1B9|RESULT|522611|12|1|WBC</t>
  </si>
  <si>
    <t>FD15AE3C-76A3-4431-85E5-7B0441ABB1B9|RUN|522611|12</t>
  </si>
  <si>
    <t>522611|13|1|WBC</t>
  </si>
  <si>
    <t>522611|13</t>
  </si>
  <si>
    <t>FD15AE3C-76A3-4431-85E5-7B0441ABB1B9|RESULT|522611|13|1|WBC</t>
  </si>
  <si>
    <t>FD15AE3C-76A3-4431-85E5-7B0441ABB1B9|RUN|522611|13</t>
  </si>
  <si>
    <t>522611|14|1|WBC</t>
  </si>
  <si>
    <t>522611|14</t>
  </si>
  <si>
    <t>2025-04</t>
  </si>
  <si>
    <t>FD15AE3C-76A3-4431-85E5-7B0441ABB1B9|RESULT|522611|14|1|WBC</t>
  </si>
  <si>
    <t>FD15AE3C-76A3-4431-85E5-7B0441ABB1B9|RUN|522611|14</t>
  </si>
  <si>
    <t>522611|15|1|WBC</t>
  </si>
  <si>
    <t>522611|15</t>
  </si>
  <si>
    <t>REJEITADO</t>
  </si>
  <si>
    <t>FD15AE3C-76A3-4431-85E5-7B0441ABB1B9|RESULT|522611|15|1|WBC</t>
  </si>
  <si>
    <t>FD15AE3C-76A3-4431-85E5-7B0441ABB1B9|RUN|522611|15</t>
  </si>
  <si>
    <t>522611|16|1|WBC</t>
  </si>
  <si>
    <t>522611|16</t>
  </si>
  <si>
    <t>FD15AE3C-76A3-4431-85E5-7B0441ABB1B9|RESULT|522611|16|1|WBC</t>
  </si>
  <si>
    <t>FD15AE3C-76A3-4431-85E5-7B0441ABB1B9|RUN|522611|16</t>
  </si>
  <si>
    <t>522611|17|1|WBC</t>
  </si>
  <si>
    <t>522611|17</t>
  </si>
  <si>
    <t>FD15AE3C-76A3-4431-85E5-7B0441ABB1B9|RESULT|522611|17|1|WBC</t>
  </si>
  <si>
    <t>FD15AE3C-76A3-4431-85E5-7B0441ABB1B9|RUN|522611|17</t>
  </si>
  <si>
    <t>522611|18|1|WBC</t>
  </si>
  <si>
    <t>522611|18</t>
  </si>
  <si>
    <t>2025-05</t>
  </si>
  <si>
    <t>FD15AE3C-76A3-4431-85E5-7B0441ABB1B9|RESULT|522611|18|1|WBC</t>
  </si>
  <si>
    <t>FD15AE3C-76A3-4431-85E5-7B0441ABB1B9|RUN|522611|18</t>
  </si>
  <si>
    <t>522611|19|1|WBC</t>
  </si>
  <si>
    <t>522611|19</t>
  </si>
  <si>
    <t>FD15AE3C-76A3-4431-85E5-7B0441ABB1B9|RESULT|522611|19|1|WBC</t>
  </si>
  <si>
    <t>FD15AE3C-76A3-4431-85E5-7B0441ABB1B9|RUN|522611|19</t>
  </si>
  <si>
    <t>522611|20|1|WBC</t>
  </si>
  <si>
    <t>522611|20</t>
  </si>
  <si>
    <t>FD15AE3C-76A3-4431-85E5-7B0441ABB1B9|RESULT|522611|20|1|WBC</t>
  </si>
  <si>
    <t>FD15AE3C-76A3-4431-85E5-7B0441ABB1B9|RUN|522611|20</t>
  </si>
  <si>
    <t>522611|21|1|WBC</t>
  </si>
  <si>
    <t>522611|21</t>
  </si>
  <si>
    <t>FD15AE3C-76A3-4431-85E5-7B0441ABB1B9|RESULT|522611|21|1|WBC</t>
  </si>
  <si>
    <t>FD15AE3C-76A3-4431-85E5-7B0441ABB1B9|RUN|522611|21</t>
  </si>
  <si>
    <t>522611|22|1|WBC</t>
  </si>
  <si>
    <t>522611|22</t>
  </si>
  <si>
    <t>2025-06</t>
  </si>
  <si>
    <t>FD15AE3C-76A3-4431-85E5-7B0441ABB1B9|RESULT|522611|22|1|WBC</t>
  </si>
  <si>
    <t>FD15AE3C-76A3-4431-85E5-7B0441ABB1B9|RUN|522611|22</t>
  </si>
  <si>
    <t>522611|23|1|WBC</t>
  </si>
  <si>
    <t>522611|23</t>
  </si>
  <si>
    <t>FD15AE3C-76A3-4431-85E5-7B0441ABB1B9|RESULT|522611|23|1|WBC</t>
  </si>
  <si>
    <t>FD15AE3C-76A3-4431-85E5-7B0441ABB1B9|RUN|522611|23</t>
  </si>
  <si>
    <t>522611|24|1|WBC</t>
  </si>
  <si>
    <t>522611|24</t>
  </si>
  <si>
    <t>FD15AE3C-76A3-4431-85E5-7B0441ABB1B9|RESULT|522611|24|1|WBC</t>
  </si>
  <si>
    <t>FD15AE3C-76A3-4431-85E5-7B0441ABB1B9|RUN|522611|24</t>
  </si>
  <si>
    <t>522611|25|1|WBC</t>
  </si>
  <si>
    <t>522611|25</t>
  </si>
  <si>
    <t>FD15AE3C-76A3-4431-85E5-7B0441ABB1B9|RESULT|522611|25|1|WBC</t>
  </si>
  <si>
    <t>FD15AE3C-76A3-4431-85E5-7B0441ABB1B9|RUN|522611|25</t>
  </si>
  <si>
    <t>522611|1|2|WBC</t>
  </si>
  <si>
    <t>FD15AE3C-76A3-4431-85E5-7B0441ABB1B9|RESULT|522611|1|2|WBC</t>
  </si>
  <si>
    <t>Dentro do orcamento</t>
  </si>
  <si>
    <t>522611|2|2|WBC</t>
  </si>
  <si>
    <t>FD15AE3C-76A3-4431-85E5-7B0441ABB1B9|RESULT|522611|2|2|WBC</t>
  </si>
  <si>
    <t>522611|3|2|WBC</t>
  </si>
  <si>
    <t>FD15AE3C-76A3-4431-85E5-7B0441ABB1B9|RESULT|522611|3|2|WBC</t>
  </si>
  <si>
    <t>522611|4|2|WBC</t>
  </si>
  <si>
    <t>FD15AE3C-76A3-4431-85E5-7B0441ABB1B9|RESULT|522611|4|2|WBC</t>
  </si>
  <si>
    <t>522611|5|2|WBC</t>
  </si>
  <si>
    <t>FD15AE3C-76A3-4431-85E5-7B0441ABB1B9|RESULT|522611|5|2|WBC</t>
  </si>
  <si>
    <t>522611|6|2|WBC</t>
  </si>
  <si>
    <t>FD15AE3C-76A3-4431-85E5-7B0441ABB1B9|RESULT|522611|6|2|WBC</t>
  </si>
  <si>
    <t>522611|7|2|WBC</t>
  </si>
  <si>
    <t>FD15AE3C-76A3-4431-85E5-7B0441ABB1B9|RESULT|522611|7|2|WBC</t>
  </si>
  <si>
    <t>522611|8|2|WBC</t>
  </si>
  <si>
    <t>FD15AE3C-76A3-4431-85E5-7B0441ABB1B9|RESULT|522611|8|2|WBC</t>
  </si>
  <si>
    <t>522611|9|2|WBC</t>
  </si>
  <si>
    <t>FD15AE3C-76A3-4431-85E5-7B0441ABB1B9|RESULT|522611|9|2|WBC</t>
  </si>
  <si>
    <t>522611|10|2|WBC</t>
  </si>
  <si>
    <t>FD15AE3C-76A3-4431-85E5-7B0441ABB1B9|RESULT|522611|10|2|WBC</t>
  </si>
  <si>
    <t>522611|11|2|WBC</t>
  </si>
  <si>
    <t>FD15AE3C-76A3-4431-85E5-7B0441ABB1B9|RESULT|522611|11|2|WBC</t>
  </si>
  <si>
    <t>522611|12|2|WBC</t>
  </si>
  <si>
    <t>FD15AE3C-76A3-4431-85E5-7B0441ABB1B9|RESULT|522611|12|2|WBC</t>
  </si>
  <si>
    <t>522611|13|2|WBC</t>
  </si>
  <si>
    <t>FD15AE3C-76A3-4431-85E5-7B0441ABB1B9|RESULT|522611|13|2|WBC</t>
  </si>
  <si>
    <t>522611|14|2|WBC</t>
  </si>
  <si>
    <t>FD15AE3C-76A3-4431-85E5-7B0441ABB1B9|RESULT|522611|14|2|WBC</t>
  </si>
  <si>
    <t>522611|15|2|WBC</t>
  </si>
  <si>
    <t>FD15AE3C-76A3-4431-85E5-7B0441ABB1B9|RESULT|522611|15|2|WBC</t>
  </si>
  <si>
    <t>522611|16|2|WBC</t>
  </si>
  <si>
    <t>FD15AE3C-76A3-4431-85E5-7B0441ABB1B9|RESULT|522611|16|2|WBC</t>
  </si>
  <si>
    <t>522611|17|2|WBC</t>
  </si>
  <si>
    <t>FD15AE3C-76A3-4431-85E5-7B0441ABB1B9|RESULT|522611|17|2|WBC</t>
  </si>
  <si>
    <t>522611|18|2|WBC</t>
  </si>
  <si>
    <t>FD15AE3C-76A3-4431-85E5-7B0441ABB1B9|RESULT|522611|18|2|WBC</t>
  </si>
  <si>
    <t>522611|19|2|WBC</t>
  </si>
  <si>
    <t>FD15AE3C-76A3-4431-85E5-7B0441ABB1B9|RESULT|522611|19|2|WBC</t>
  </si>
  <si>
    <t>522611|20|2|WBC</t>
  </si>
  <si>
    <t>FD15AE3C-76A3-4431-85E5-7B0441ABB1B9|RESULT|522611|20|2|WBC</t>
  </si>
  <si>
    <t>522611|21|2|WBC</t>
  </si>
  <si>
    <t>FD15AE3C-76A3-4431-85E5-7B0441ABB1B9|RESULT|522611|21|2|WBC</t>
  </si>
  <si>
    <t>522611|22|2|WBC</t>
  </si>
  <si>
    <t>FD15AE3C-76A3-4431-85E5-7B0441ABB1B9|RESULT|522611|22|2|WBC</t>
  </si>
  <si>
    <t>522611|23|2|WBC</t>
  </si>
  <si>
    <t>FD15AE3C-76A3-4431-85E5-7B0441ABB1B9|RESULT|522611|23|2|WBC</t>
  </si>
  <si>
    <t>522611|24|2|WBC</t>
  </si>
  <si>
    <t>FD15AE3C-76A3-4431-85E5-7B0441ABB1B9|RESULT|522611|24|2|WBC</t>
  </si>
  <si>
    <t>522611|25|2|WBC</t>
  </si>
  <si>
    <t>FD15AE3C-76A3-4431-85E5-7B0441ABB1B9|RESULT|522611|25|2|WBC</t>
  </si>
  <si>
    <t>522611|1|3|WBC</t>
  </si>
  <si>
    <t>FD15AE3C-76A3-4431-85E5-7B0441ABB1B9|RESULT|522611|1|3|WBC</t>
  </si>
  <si>
    <t>522611|2|3|WBC</t>
  </si>
  <si>
    <t>FD15AE3C-76A3-4431-85E5-7B0441ABB1B9|RESULT|522611|2|3|WBC</t>
  </si>
  <si>
    <t>522611|3|3|WBC</t>
  </si>
  <si>
    <t>FD15AE3C-76A3-4431-85E5-7B0441ABB1B9|RESULT|522611|3|3|WBC</t>
  </si>
  <si>
    <t>522611|4|3|WBC</t>
  </si>
  <si>
    <t>FD15AE3C-76A3-4431-85E5-7B0441ABB1B9|RESULT|522611|4|3|WBC</t>
  </si>
  <si>
    <t>522611|5|3|WBC</t>
  </si>
  <si>
    <t>FD15AE3C-76A3-4431-85E5-7B0441ABB1B9|RESULT|522611|5|3|WBC</t>
  </si>
  <si>
    <t>522611|6|3|WBC</t>
  </si>
  <si>
    <t>FD15AE3C-76A3-4431-85E5-7B0441ABB1B9|RESULT|522611|6|3|WBC</t>
  </si>
  <si>
    <t>522611|7|3|WBC</t>
  </si>
  <si>
    <t>FD15AE3C-76A3-4431-85E5-7B0441ABB1B9|RESULT|522611|7|3|WBC</t>
  </si>
  <si>
    <t>522611|8|3|WBC</t>
  </si>
  <si>
    <t>FD15AE3C-76A3-4431-85E5-7B0441ABB1B9|RESULT|522611|8|3|WBC</t>
  </si>
  <si>
    <t>522611|9|3|WBC</t>
  </si>
  <si>
    <t>FD15AE3C-76A3-4431-85E5-7B0441ABB1B9|RESULT|522611|9|3|WBC</t>
  </si>
  <si>
    <t>522611|10|3|WBC</t>
  </si>
  <si>
    <t>FD15AE3C-76A3-4431-85E5-7B0441ABB1B9|RESULT|522611|10|3|WBC</t>
  </si>
  <si>
    <t>522611|11|3|WBC</t>
  </si>
  <si>
    <t>FD15AE3C-76A3-4431-85E5-7B0441ABB1B9|RESULT|522611|11|3|WBC</t>
  </si>
  <si>
    <t>522611|12|3|WBC</t>
  </si>
  <si>
    <t>FD15AE3C-76A3-4431-85E5-7B0441ABB1B9|RESULT|522611|12|3|WBC</t>
  </si>
  <si>
    <t>522611|13|3|WBC</t>
  </si>
  <si>
    <t>FD15AE3C-76A3-4431-85E5-7B0441ABB1B9|RESULT|522611|13|3|WBC</t>
  </si>
  <si>
    <t>522611|14|3|WBC</t>
  </si>
  <si>
    <t>FD15AE3C-76A3-4431-85E5-7B0441ABB1B9|RESULT|522611|14|3|WBC</t>
  </si>
  <si>
    <t>522611|15|3|WBC</t>
  </si>
  <si>
    <t>FD15AE3C-76A3-4431-85E5-7B0441ABB1B9|RESULT|522611|15|3|WBC</t>
  </si>
  <si>
    <t>522611|16|3|WBC</t>
  </si>
  <si>
    <t>FD15AE3C-76A3-4431-85E5-7B0441ABB1B9|RESULT|522611|16|3|WBC</t>
  </si>
  <si>
    <t>522611|17|3|WBC</t>
  </si>
  <si>
    <t>FD15AE3C-76A3-4431-85E5-7B0441ABB1B9|RESULT|522611|17|3|WBC</t>
  </si>
  <si>
    <t>522611|18|3|WBC</t>
  </si>
  <si>
    <t>FD15AE3C-76A3-4431-85E5-7B0441ABB1B9|RESULT|522611|18|3|WBC</t>
  </si>
  <si>
    <t>522611|19|3|WBC</t>
  </si>
  <si>
    <t>FD15AE3C-76A3-4431-85E5-7B0441ABB1B9|RESULT|522611|19|3|WBC</t>
  </si>
  <si>
    <t>522611|20|3|WBC</t>
  </si>
  <si>
    <t>FD15AE3C-76A3-4431-85E5-7B0441ABB1B9|RESULT|522611|20|3|WBC</t>
  </si>
  <si>
    <t>522611|21|3|WBC</t>
  </si>
  <si>
    <t>FD15AE3C-76A3-4431-85E5-7B0441ABB1B9|RESULT|522611|21|3|WBC</t>
  </si>
  <si>
    <t>522611|22|3|WBC</t>
  </si>
  <si>
    <t>FD15AE3C-76A3-4431-85E5-7B0441ABB1B9|RESULT|522611|22|3|WBC</t>
  </si>
  <si>
    <t>522611|23|3|WBC</t>
  </si>
  <si>
    <t>FD15AE3C-76A3-4431-85E5-7B0441ABB1B9|RESULT|522611|23|3|WBC</t>
  </si>
  <si>
    <t>522611|24|3|WBC</t>
  </si>
  <si>
    <t>FD15AE3C-76A3-4431-85E5-7B0441ABB1B9|RESULT|522611|24|3|WBC</t>
  </si>
  <si>
    <t>522611|25|3|WBC</t>
  </si>
  <si>
    <t>FD15AE3C-76A3-4431-85E5-7B0441ABB1B9|RESULT|522611|25|3|WBC</t>
  </si>
  <si>
    <t>522611|1|1|RBC</t>
  </si>
  <si>
    <t>FD15AE3C-76A3-4431-85E5-7B0441ABB1B9|RESULT|522611|1|1|RBC</t>
  </si>
  <si>
    <t>Hematologia|ANALITO|RBC</t>
  </si>
  <si>
    <t>522611|2|1|RBC</t>
  </si>
  <si>
    <t>FD15AE3C-76A3-4431-85E5-7B0441ABB1B9|RESULT|522611|2|1|RBC</t>
  </si>
  <si>
    <t>522611|3|1|RBC</t>
  </si>
  <si>
    <t>FD15AE3C-76A3-4431-85E5-7B0441ABB1B9|RESULT|522611|3|1|RBC</t>
  </si>
  <si>
    <t>522611|4|1|RBC</t>
  </si>
  <si>
    <t>FD15AE3C-76A3-4431-85E5-7B0441ABB1B9|RESULT|522611|4|1|RBC</t>
  </si>
  <si>
    <t>522611|5|1|RBC</t>
  </si>
  <si>
    <t>FD15AE3C-76A3-4431-85E5-7B0441ABB1B9|RESULT|522611|5|1|RBC</t>
  </si>
  <si>
    <t>522611|6|1|RBC</t>
  </si>
  <si>
    <t>FD15AE3C-76A3-4431-85E5-7B0441ABB1B9|RESULT|522611|6|1|RBC</t>
  </si>
  <si>
    <t>522611|7|1|RBC</t>
  </si>
  <si>
    <t>FD15AE3C-76A3-4431-85E5-7B0441ABB1B9|RESULT|522611|7|1|RBC</t>
  </si>
  <si>
    <t>522611|8|1|RBC</t>
  </si>
  <si>
    <t>FD15AE3C-76A3-4431-85E5-7B0441ABB1B9|RESULT|522611|8|1|RBC</t>
  </si>
  <si>
    <t>522611|9|1|RBC</t>
  </si>
  <si>
    <t>FD15AE3C-76A3-4431-85E5-7B0441ABB1B9|RESULT|522611|9|1|RBC</t>
  </si>
  <si>
    <t>522611|10|1|RBC</t>
  </si>
  <si>
    <t>FD15AE3C-76A3-4431-85E5-7B0441ABB1B9|RESULT|522611|10|1|RBC</t>
  </si>
  <si>
    <t>522611|11|1|RBC</t>
  </si>
  <si>
    <t>FD15AE3C-76A3-4431-85E5-7B0441ABB1B9|RESULT|522611|11|1|RBC</t>
  </si>
  <si>
    <t>522611|12|1|RBC</t>
  </si>
  <si>
    <t>FD15AE3C-76A3-4431-85E5-7B0441ABB1B9|RESULT|522611|12|1|RBC</t>
  </si>
  <si>
    <t>522611|13|1|RBC</t>
  </si>
  <si>
    <t>FD15AE3C-76A3-4431-85E5-7B0441ABB1B9|RESULT|522611|13|1|RBC</t>
  </si>
  <si>
    <t>522611|14|1|RBC</t>
  </si>
  <si>
    <t>FD15AE3C-76A3-4431-85E5-7B0441ABB1B9|RESULT|522611|14|1|RBC</t>
  </si>
  <si>
    <t>522611|15|1|RBC</t>
  </si>
  <si>
    <t>FD15AE3C-76A3-4431-85E5-7B0441ABB1B9|RESULT|522611|15|1|RBC</t>
  </si>
  <si>
    <t>522611|16|1|RBC</t>
  </si>
  <si>
    <t>FD15AE3C-76A3-4431-85E5-7B0441ABB1B9|RESULT|522611|16|1|RBC</t>
  </si>
  <si>
    <t>522611|17|1|RBC</t>
  </si>
  <si>
    <t>FD15AE3C-76A3-4431-85E5-7B0441ABB1B9|RESULT|522611|17|1|RBC</t>
  </si>
  <si>
    <t>522611|18|1|RBC</t>
  </si>
  <si>
    <t>FD15AE3C-76A3-4431-85E5-7B0441ABB1B9|RESULT|522611|18|1|RBC</t>
  </si>
  <si>
    <t>522611|19|1|RBC</t>
  </si>
  <si>
    <t>FD15AE3C-76A3-4431-85E5-7B0441ABB1B9|RESULT|522611|19|1|RBC</t>
  </si>
  <si>
    <t>522611|20|1|RBC</t>
  </si>
  <si>
    <t>FD15AE3C-76A3-4431-85E5-7B0441ABB1B9|RESULT|522611|20|1|RBC</t>
  </si>
  <si>
    <t>522611|21|1|RBC</t>
  </si>
  <si>
    <t>FD15AE3C-76A3-4431-85E5-7B0441ABB1B9|RESULT|522611|21|1|RBC</t>
  </si>
  <si>
    <t>522611|22|1|RBC</t>
  </si>
  <si>
    <t>FD15AE3C-76A3-4431-85E5-7B0441ABB1B9|RESULT|522611|22|1|RBC</t>
  </si>
  <si>
    <t>522611|23|1|RBC</t>
  </si>
  <si>
    <t>FD15AE3C-76A3-4431-85E5-7B0441ABB1B9|RESULT|522611|23|1|RBC</t>
  </si>
  <si>
    <t>522611|24|1|RBC</t>
  </si>
  <si>
    <t>FD15AE3C-76A3-4431-85E5-7B0441ABB1B9|RESULT|522611|24|1|RBC</t>
  </si>
  <si>
    <t>522611|25|1|RBC</t>
  </si>
  <si>
    <t>FD15AE3C-76A3-4431-85E5-7B0441ABB1B9|RESULT|522611|25|1|RBC</t>
  </si>
  <si>
    <t>522611|1|2|RBC</t>
  </si>
  <si>
    <t>FD15AE3C-76A3-4431-85E5-7B0441ABB1B9|RESULT|522611|1|2|RBC</t>
  </si>
  <si>
    <t>522611|2|2|RBC</t>
  </si>
  <si>
    <t>FD15AE3C-76A3-4431-85E5-7B0441ABB1B9|RESULT|522611|2|2|RBC</t>
  </si>
  <si>
    <t>522611|3|2|RBC</t>
  </si>
  <si>
    <t>FD15AE3C-76A3-4431-85E5-7B0441ABB1B9|RESULT|522611|3|2|RBC</t>
  </si>
  <si>
    <t>522611|4|2|RBC</t>
  </si>
  <si>
    <t>FD15AE3C-76A3-4431-85E5-7B0441ABB1B9|RESULT|522611|4|2|RBC</t>
  </si>
  <si>
    <t>522611|5|2|RBC</t>
  </si>
  <si>
    <t>FD15AE3C-76A3-4431-85E5-7B0441ABB1B9|RESULT|522611|5|2|RBC</t>
  </si>
  <si>
    <t>522611|6|2|RBC</t>
  </si>
  <si>
    <t>FD15AE3C-76A3-4431-85E5-7B0441ABB1B9|RESULT|522611|6|2|RBC</t>
  </si>
  <si>
    <t>522611|7|2|RBC</t>
  </si>
  <si>
    <t>FD15AE3C-76A3-4431-85E5-7B0441ABB1B9|RESULT|522611|7|2|RBC</t>
  </si>
  <si>
    <t>522611|8|2|RBC</t>
  </si>
  <si>
    <t>FD15AE3C-76A3-4431-85E5-7B0441ABB1B9|RESULT|522611|8|2|RBC</t>
  </si>
  <si>
    <t>522611|9|2|RBC</t>
  </si>
  <si>
    <t>FD15AE3C-76A3-4431-85E5-7B0441ABB1B9|RESULT|522611|9|2|RBC</t>
  </si>
  <si>
    <t>522611|10|2|RBC</t>
  </si>
  <si>
    <t>FD15AE3C-76A3-4431-85E5-7B0441ABB1B9|RESULT|522611|10|2|RBC</t>
  </si>
  <si>
    <t>522611|11|2|RBC</t>
  </si>
  <si>
    <t>FD15AE3C-76A3-4431-85E5-7B0441ABB1B9|RESULT|522611|11|2|RBC</t>
  </si>
  <si>
    <t>522611|12|2|RBC</t>
  </si>
  <si>
    <t>FD15AE3C-76A3-4431-85E5-7B0441ABB1B9|RESULT|522611|12|2|RBC</t>
  </si>
  <si>
    <t>522611|13|2|RBC</t>
  </si>
  <si>
    <t>FD15AE3C-76A3-4431-85E5-7B0441ABB1B9|RESULT|522611|13|2|RBC</t>
  </si>
  <si>
    <t>522611|14|2|RBC</t>
  </si>
  <si>
    <t>FD15AE3C-76A3-4431-85E5-7B0441ABB1B9|RESULT|522611|14|2|RBC</t>
  </si>
  <si>
    <t>522611|15|2|RBC</t>
  </si>
  <si>
    <t>FD15AE3C-76A3-4431-85E5-7B0441ABB1B9|RESULT|522611|15|2|RBC</t>
  </si>
  <si>
    <t>522611|16|2|RBC</t>
  </si>
  <si>
    <t>FD15AE3C-76A3-4431-85E5-7B0441ABB1B9|RESULT|522611|16|2|RBC</t>
  </si>
  <si>
    <t>522611|17|2|RBC</t>
  </si>
  <si>
    <t>FD15AE3C-76A3-4431-85E5-7B0441ABB1B9|RESULT|522611|17|2|RBC</t>
  </si>
  <si>
    <t>522611|18|2|RBC</t>
  </si>
  <si>
    <t>FD15AE3C-76A3-4431-85E5-7B0441ABB1B9|RESULT|522611|18|2|RBC</t>
  </si>
  <si>
    <t>522611|19|2|RBC</t>
  </si>
  <si>
    <t>FD15AE3C-76A3-4431-85E5-7B0441ABB1B9|RESULT|522611|19|2|RBC</t>
  </si>
  <si>
    <t>522611|20|2|RBC</t>
  </si>
  <si>
    <t>FD15AE3C-76A3-4431-85E5-7B0441ABB1B9|RESULT|522611|20|2|RBC</t>
  </si>
  <si>
    <t>522611|21|2|RBC</t>
  </si>
  <si>
    <t>FD15AE3C-76A3-4431-85E5-7B0441ABB1B9|RESULT|522611|21|2|RBC</t>
  </si>
  <si>
    <t>522611|22|2|RBC</t>
  </si>
  <si>
    <t>FD15AE3C-76A3-4431-85E5-7B0441ABB1B9|RESULT|522611|22|2|RBC</t>
  </si>
  <si>
    <t>522611|23|2|RBC</t>
  </si>
  <si>
    <t>FD15AE3C-76A3-4431-85E5-7B0441ABB1B9|RESULT|522611|23|2|RBC</t>
  </si>
  <si>
    <t>522611|24|2|RBC</t>
  </si>
  <si>
    <t>FD15AE3C-76A3-4431-85E5-7B0441ABB1B9|RESULT|522611|24|2|RBC</t>
  </si>
  <si>
    <t>522611|25|2|RBC</t>
  </si>
  <si>
    <t>FD15AE3C-76A3-4431-85E5-7B0441ABB1B9|RESULT|522611|25|2|RBC</t>
  </si>
  <si>
    <t>522611|1|3|RBC</t>
  </si>
  <si>
    <t>FD15AE3C-76A3-4431-85E5-7B0441ABB1B9|RESULT|522611|1|3|RBC</t>
  </si>
  <si>
    <t>522611|2|3|RBC</t>
  </si>
  <si>
    <t>FD15AE3C-76A3-4431-85E5-7B0441ABB1B9|RESULT|522611|2|3|RBC</t>
  </si>
  <si>
    <t>522611|3|3|RBC</t>
  </si>
  <si>
    <t>FD15AE3C-76A3-4431-85E5-7B0441ABB1B9|RESULT|522611|3|3|RBC</t>
  </si>
  <si>
    <t>522611|4|3|RBC</t>
  </si>
  <si>
    <t>FD15AE3C-76A3-4431-85E5-7B0441ABB1B9|RESULT|522611|4|3|RBC</t>
  </si>
  <si>
    <t>522611|5|3|RBC</t>
  </si>
  <si>
    <t>FD15AE3C-76A3-4431-85E5-7B0441ABB1B9|RESULT|522611|5|3|RBC</t>
  </si>
  <si>
    <t>522611|6|3|RBC</t>
  </si>
  <si>
    <t>FD15AE3C-76A3-4431-85E5-7B0441ABB1B9|RESULT|522611|6|3|RBC</t>
  </si>
  <si>
    <t>522611|7|3|RBC</t>
  </si>
  <si>
    <t>FD15AE3C-76A3-4431-85E5-7B0441ABB1B9|RESULT|522611|7|3|RBC</t>
  </si>
  <si>
    <t>522611|8|3|RBC</t>
  </si>
  <si>
    <t>FD15AE3C-76A3-4431-85E5-7B0441ABB1B9|RESULT|522611|8|3|RBC</t>
  </si>
  <si>
    <t>522611|9|3|RBC</t>
  </si>
  <si>
    <t>FD15AE3C-76A3-4431-85E5-7B0441ABB1B9|RESULT|522611|9|3|RBC</t>
  </si>
  <si>
    <t>522611|10|3|RBC</t>
  </si>
  <si>
    <t>FD15AE3C-76A3-4431-85E5-7B0441ABB1B9|RESULT|522611|10|3|RBC</t>
  </si>
  <si>
    <t>522611|11|3|RBC</t>
  </si>
  <si>
    <t>FD15AE3C-76A3-4431-85E5-7B0441ABB1B9|RESULT|522611|11|3|RBC</t>
  </si>
  <si>
    <t>522611|12|3|RBC</t>
  </si>
  <si>
    <t>FD15AE3C-76A3-4431-85E5-7B0441ABB1B9|RESULT|522611|12|3|RBC</t>
  </si>
  <si>
    <t>522611|13|3|RBC</t>
  </si>
  <si>
    <t>FD15AE3C-76A3-4431-85E5-7B0441ABB1B9|RESULT|522611|13|3|RBC</t>
  </si>
  <si>
    <t>522611|14|3|RBC</t>
  </si>
  <si>
    <t>FD15AE3C-76A3-4431-85E5-7B0441ABB1B9|RESULT|522611|14|3|RBC</t>
  </si>
  <si>
    <t>522611|15|3|RBC</t>
  </si>
  <si>
    <t>FD15AE3C-76A3-4431-85E5-7B0441ABB1B9|RESULT|522611|15|3|RBC</t>
  </si>
  <si>
    <t>522611|16|3|RBC</t>
  </si>
  <si>
    <t>FD15AE3C-76A3-4431-85E5-7B0441ABB1B9|RESULT|522611|16|3|RBC</t>
  </si>
  <si>
    <t>522611|17|3|RBC</t>
  </si>
  <si>
    <t>FD15AE3C-76A3-4431-85E5-7B0441ABB1B9|RESULT|522611|17|3|RBC</t>
  </si>
  <si>
    <t>522611|18|3|RBC</t>
  </si>
  <si>
    <t>FD15AE3C-76A3-4431-85E5-7B0441ABB1B9|RESULT|522611|18|3|RBC</t>
  </si>
  <si>
    <t>522611|19|3|RBC</t>
  </si>
  <si>
    <t>FD15AE3C-76A3-4431-85E5-7B0441ABB1B9|RESULT|522611|19|3|RBC</t>
  </si>
  <si>
    <t>522611|20|3|RBC</t>
  </si>
  <si>
    <t>FD15AE3C-76A3-4431-85E5-7B0441ABB1B9|RESULT|522611|20|3|RBC</t>
  </si>
  <si>
    <t>522611|21|3|RBC</t>
  </si>
  <si>
    <t>FD15AE3C-76A3-4431-85E5-7B0441ABB1B9|RESULT|522611|21|3|RBC</t>
  </si>
  <si>
    <t>522611|22|3|RBC</t>
  </si>
  <si>
    <t>FD15AE3C-76A3-4431-85E5-7B0441ABB1B9|RESULT|522611|22|3|RBC</t>
  </si>
  <si>
    <t>522611|23|3|RBC</t>
  </si>
  <si>
    <t>FD15AE3C-76A3-4431-85E5-7B0441ABB1B9|RESULT|522611|23|3|RBC</t>
  </si>
  <si>
    <t>522611|24|3|RBC</t>
  </si>
  <si>
    <t>FD15AE3C-76A3-4431-85E5-7B0441ABB1B9|RESULT|522611|24|3|RBC</t>
  </si>
  <si>
    <t>522611|25|3|RBC</t>
  </si>
  <si>
    <t>FD15AE3C-76A3-4431-85E5-7B0441ABB1B9|RESULT|522611|25|3|RBC</t>
  </si>
  <si>
    <t>522611|1|1|HGB</t>
  </si>
  <si>
    <t>FD15AE3C-76A3-4431-85E5-7B0441ABB1B9|RESULT|522611|1|1|HGB</t>
  </si>
  <si>
    <t>Hematologia|ANALITO|HGB</t>
  </si>
  <si>
    <t>SEM DADOS</t>
  </si>
  <si>
    <t>522611|2|1|HGB</t>
  </si>
  <si>
    <t>FD15AE3C-76A3-4431-85E5-7B0441ABB1B9|RESULT|522611|2|1|HGB</t>
  </si>
  <si>
    <t>522611|3|1|HGB</t>
  </si>
  <si>
    <t>FD15AE3C-76A3-4431-85E5-7B0441ABB1B9|RESULT|522611|3|1|HGB</t>
  </si>
  <si>
    <t>522611|4|1|HGB</t>
  </si>
  <si>
    <t>FD15AE3C-76A3-4431-85E5-7B0441ABB1B9|RESULT|522611|4|1|HGB</t>
  </si>
  <si>
    <t>522611|5|1|HGB</t>
  </si>
  <si>
    <t>FD15AE3C-76A3-4431-85E5-7B0441ABB1B9|RESULT|522611|5|1|HGB</t>
  </si>
  <si>
    <t>522611|6|1|HGB</t>
  </si>
  <si>
    <t>FD15AE3C-76A3-4431-85E5-7B0441ABB1B9|RESULT|522611|6|1|HGB</t>
  </si>
  <si>
    <t>522611|7|1|HGB</t>
  </si>
  <si>
    <t>FD15AE3C-76A3-4431-85E5-7B0441ABB1B9|RESULT|522611|7|1|HGB</t>
  </si>
  <si>
    <t>522611|8|1|HGB</t>
  </si>
  <si>
    <t>FD15AE3C-76A3-4431-85E5-7B0441ABB1B9|RESULT|522611|8|1|HGB</t>
  </si>
  <si>
    <t>522611|9|1|HGB</t>
  </si>
  <si>
    <t>FD15AE3C-76A3-4431-85E5-7B0441ABB1B9|RESULT|522611|9|1|HGB</t>
  </si>
  <si>
    <t>522611|10|1|HGB</t>
  </si>
  <si>
    <t>FD15AE3C-76A3-4431-85E5-7B0441ABB1B9|RESULT|522611|10|1|HGB</t>
  </si>
  <si>
    <t>522611|11|1|HGB</t>
  </si>
  <si>
    <t>FD15AE3C-76A3-4431-85E5-7B0441ABB1B9|RESULT|522611|11|1|HGB</t>
  </si>
  <si>
    <t>522611|12|1|HGB</t>
  </si>
  <si>
    <t>FD15AE3C-76A3-4431-85E5-7B0441ABB1B9|RESULT|522611|12|1|HGB</t>
  </si>
  <si>
    <t>522611|13|1|HGB</t>
  </si>
  <si>
    <t>FD15AE3C-76A3-4431-85E5-7B0441ABB1B9|RESULT|522611|13|1|HGB</t>
  </si>
  <si>
    <t>522611|14|1|HGB</t>
  </si>
  <si>
    <t>FD15AE3C-76A3-4431-85E5-7B0441ABB1B9|RESULT|522611|14|1|HGB</t>
  </si>
  <si>
    <t>522611|15|1|HGB</t>
  </si>
  <si>
    <t>FD15AE3C-76A3-4431-85E5-7B0441ABB1B9|RESULT|522611|15|1|HGB</t>
  </si>
  <si>
    <t>522611|16|1|HGB</t>
  </si>
  <si>
    <t>FD15AE3C-76A3-4431-85E5-7B0441ABB1B9|RESULT|522611|16|1|HGB</t>
  </si>
  <si>
    <t>522611|17|1|HGB</t>
  </si>
  <si>
    <t>FD15AE3C-76A3-4431-85E5-7B0441ABB1B9|RESULT|522611|17|1|HGB</t>
  </si>
  <si>
    <t>522611|18|1|HGB</t>
  </si>
  <si>
    <t>FD15AE3C-76A3-4431-85E5-7B0441ABB1B9|RESULT|522611|18|1|HGB</t>
  </si>
  <si>
    <t>522611|19|1|HGB</t>
  </si>
  <si>
    <t>FD15AE3C-76A3-4431-85E5-7B0441ABB1B9|RESULT|522611|19|1|HGB</t>
  </si>
  <si>
    <t>522611|20|1|HGB</t>
  </si>
  <si>
    <t>FD15AE3C-76A3-4431-85E5-7B0441ABB1B9|RESULT|522611|20|1|HGB</t>
  </si>
  <si>
    <t>522611|21|1|HGB</t>
  </si>
  <si>
    <t>FD15AE3C-76A3-4431-85E5-7B0441ABB1B9|RESULT|522611|21|1|HGB</t>
  </si>
  <si>
    <t>522611|22|1|HGB</t>
  </si>
  <si>
    <t>FD15AE3C-76A3-4431-85E5-7B0441ABB1B9|RESULT|522611|22|1|HGB</t>
  </si>
  <si>
    <t>522611|23|1|HGB</t>
  </si>
  <si>
    <t>FD15AE3C-76A3-4431-85E5-7B0441ABB1B9|RESULT|522611|23|1|HGB</t>
  </si>
  <si>
    <t>522611|24|1|HGB</t>
  </si>
  <si>
    <t>FD15AE3C-76A3-4431-85E5-7B0441ABB1B9|RESULT|522611|24|1|HGB</t>
  </si>
  <si>
    <t>522611|25|1|HGB</t>
  </si>
  <si>
    <t>FD15AE3C-76A3-4431-85E5-7B0441ABB1B9|RESULT|522611|25|1|HGB</t>
  </si>
  <si>
    <t>522611|1|2|HGB</t>
  </si>
  <si>
    <t>FD15AE3C-76A3-4431-85E5-7B0441ABB1B9|RESULT|522611|1|2|HGB</t>
  </si>
  <si>
    <t>522611|2|2|HGB</t>
  </si>
  <si>
    <t>FD15AE3C-76A3-4431-85E5-7B0441ABB1B9|RESULT|522611|2|2|HGB</t>
  </si>
  <si>
    <t>522611|3|2|HGB</t>
  </si>
  <si>
    <t>FD15AE3C-76A3-4431-85E5-7B0441ABB1B9|RESULT|522611|3|2|HGB</t>
  </si>
  <si>
    <t>522611|4|2|HGB</t>
  </si>
  <si>
    <t>FD15AE3C-76A3-4431-85E5-7B0441ABB1B9|RESULT|522611|4|2|HGB</t>
  </si>
  <si>
    <t>522611|5|2|HGB</t>
  </si>
  <si>
    <t>FD15AE3C-76A3-4431-85E5-7B0441ABB1B9|RESULT|522611|5|2|HGB</t>
  </si>
  <si>
    <t>522611|6|2|HGB</t>
  </si>
  <si>
    <t>FD15AE3C-76A3-4431-85E5-7B0441ABB1B9|RESULT|522611|6|2|HGB</t>
  </si>
  <si>
    <t>522611|7|2|HGB</t>
  </si>
  <si>
    <t>FD15AE3C-76A3-4431-85E5-7B0441ABB1B9|RESULT|522611|7|2|HGB</t>
  </si>
  <si>
    <t>522611|8|2|HGB</t>
  </si>
  <si>
    <t>FD15AE3C-76A3-4431-85E5-7B0441ABB1B9|RESULT|522611|8|2|HGB</t>
  </si>
  <si>
    <t>522611|9|2|HGB</t>
  </si>
  <si>
    <t>FD15AE3C-76A3-4431-85E5-7B0441ABB1B9|RESULT|522611|9|2|HGB</t>
  </si>
  <si>
    <t>522611|10|2|HGB</t>
  </si>
  <si>
    <t>FD15AE3C-76A3-4431-85E5-7B0441ABB1B9|RESULT|522611|10|2|HGB</t>
  </si>
  <si>
    <t>522611|11|2|HGB</t>
  </si>
  <si>
    <t>FD15AE3C-76A3-4431-85E5-7B0441ABB1B9|RESULT|522611|11|2|HGB</t>
  </si>
  <si>
    <t>522611|12|2|HGB</t>
  </si>
  <si>
    <t>FD15AE3C-76A3-4431-85E5-7B0441ABB1B9|RESULT|522611|12|2|HGB</t>
  </si>
  <si>
    <t>522611|13|2|HGB</t>
  </si>
  <si>
    <t>FD15AE3C-76A3-4431-85E5-7B0441ABB1B9|RESULT|522611|13|2|HGB</t>
  </si>
  <si>
    <t>522611|14|2|HGB</t>
  </si>
  <si>
    <t>FD15AE3C-76A3-4431-85E5-7B0441ABB1B9|RESULT|522611|14|2|HGB</t>
  </si>
  <si>
    <t>522611|15|2|HGB</t>
  </si>
  <si>
    <t>FD15AE3C-76A3-4431-85E5-7B0441ABB1B9|RESULT|522611|15|2|HGB</t>
  </si>
  <si>
    <t>522611|16|2|HGB</t>
  </si>
  <si>
    <t>FD15AE3C-76A3-4431-85E5-7B0441ABB1B9|RESULT|522611|16|2|HGB</t>
  </si>
  <si>
    <t>522611|17|2|HGB</t>
  </si>
  <si>
    <t>FD15AE3C-76A3-4431-85E5-7B0441ABB1B9|RESULT|522611|17|2|HGB</t>
  </si>
  <si>
    <t>522611|18|2|HGB</t>
  </si>
  <si>
    <t>FD15AE3C-76A3-4431-85E5-7B0441ABB1B9|RESULT|522611|18|2|HGB</t>
  </si>
  <si>
    <t>522611|19|2|HGB</t>
  </si>
  <si>
    <t>FD15AE3C-76A3-4431-85E5-7B0441ABB1B9|RESULT|522611|19|2|HGB</t>
  </si>
  <si>
    <t>522611|20|2|HGB</t>
  </si>
  <si>
    <t>FD15AE3C-76A3-4431-85E5-7B0441ABB1B9|RESULT|522611|20|2|HGB</t>
  </si>
  <si>
    <t>522611|21|2|HGB</t>
  </si>
  <si>
    <t>FD15AE3C-76A3-4431-85E5-7B0441ABB1B9|RESULT|522611|21|2|HGB</t>
  </si>
  <si>
    <t>522611|22|2|HGB</t>
  </si>
  <si>
    <t>FD15AE3C-76A3-4431-85E5-7B0441ABB1B9|RESULT|522611|22|2|HGB</t>
  </si>
  <si>
    <t>522611|23|2|HGB</t>
  </si>
  <si>
    <t>FD15AE3C-76A3-4431-85E5-7B0441ABB1B9|RESULT|522611|23|2|HGB</t>
  </si>
  <si>
    <t>522611|24|2|HGB</t>
  </si>
  <si>
    <t>FD15AE3C-76A3-4431-85E5-7B0441ABB1B9|RESULT|522611|24|2|HGB</t>
  </si>
  <si>
    <t>522611|25|2|HGB</t>
  </si>
  <si>
    <t>FD15AE3C-76A3-4431-85E5-7B0441ABB1B9|RESULT|522611|25|2|HGB</t>
  </si>
  <si>
    <t>522611|1|3|HGB</t>
  </si>
  <si>
    <t>FD15AE3C-76A3-4431-85E5-7B0441ABB1B9|RESULT|522611|1|3|HGB</t>
  </si>
  <si>
    <t>522611|2|3|HGB</t>
  </si>
  <si>
    <t>FD15AE3C-76A3-4431-85E5-7B0441ABB1B9|RESULT|522611|2|3|HGB</t>
  </si>
  <si>
    <t>522611|3|3|HGB</t>
  </si>
  <si>
    <t>FD15AE3C-76A3-4431-85E5-7B0441ABB1B9|RESULT|522611|3|3|HGB</t>
  </si>
  <si>
    <t>522611|4|3|HGB</t>
  </si>
  <si>
    <t>FD15AE3C-76A3-4431-85E5-7B0441ABB1B9|RESULT|522611|4|3|HGB</t>
  </si>
  <si>
    <t>522611|5|3|HGB</t>
  </si>
  <si>
    <t>FD15AE3C-76A3-4431-85E5-7B0441ABB1B9|RESULT|522611|5|3|HGB</t>
  </si>
  <si>
    <t>522611|6|3|HGB</t>
  </si>
  <si>
    <t>FD15AE3C-76A3-4431-85E5-7B0441ABB1B9|RESULT|522611|6|3|HGB</t>
  </si>
  <si>
    <t>522611|7|3|HGB</t>
  </si>
  <si>
    <t>FD15AE3C-76A3-4431-85E5-7B0441ABB1B9|RESULT|522611|7|3|HGB</t>
  </si>
  <si>
    <t>522611|8|3|HGB</t>
  </si>
  <si>
    <t>FD15AE3C-76A3-4431-85E5-7B0441ABB1B9|RESULT|522611|8|3|HGB</t>
  </si>
  <si>
    <t>522611|9|3|HGB</t>
  </si>
  <si>
    <t>FD15AE3C-76A3-4431-85E5-7B0441ABB1B9|RESULT|522611|9|3|HGB</t>
  </si>
  <si>
    <t>522611|10|3|HGB</t>
  </si>
  <si>
    <t>FD15AE3C-76A3-4431-85E5-7B0441ABB1B9|RESULT|522611|10|3|HGB</t>
  </si>
  <si>
    <t>522611|11|3|HGB</t>
  </si>
  <si>
    <t>FD15AE3C-76A3-4431-85E5-7B0441ABB1B9|RESULT|522611|11|3|HGB</t>
  </si>
  <si>
    <t>522611|12|3|HGB</t>
  </si>
  <si>
    <t>FD15AE3C-76A3-4431-85E5-7B0441ABB1B9|RESULT|522611|12|3|HGB</t>
  </si>
  <si>
    <t>522611|13|3|HGB</t>
  </si>
  <si>
    <t>FD15AE3C-76A3-4431-85E5-7B0441ABB1B9|RESULT|522611|13|3|HGB</t>
  </si>
  <si>
    <t>522611|14|3|HGB</t>
  </si>
  <si>
    <t>FD15AE3C-76A3-4431-85E5-7B0441ABB1B9|RESULT|522611|14|3|HGB</t>
  </si>
  <si>
    <t>522611|15|3|HGB</t>
  </si>
  <si>
    <t>FD15AE3C-76A3-4431-85E5-7B0441ABB1B9|RESULT|522611|15|3|HGB</t>
  </si>
  <si>
    <t>522611|16|3|HGB</t>
  </si>
  <si>
    <t>FD15AE3C-76A3-4431-85E5-7B0441ABB1B9|RESULT|522611|16|3|HGB</t>
  </si>
  <si>
    <t>522611|17|3|HGB</t>
  </si>
  <si>
    <t>FD15AE3C-76A3-4431-85E5-7B0441ABB1B9|RESULT|522611|17|3|HGB</t>
  </si>
  <si>
    <t>522611|18|3|HGB</t>
  </si>
  <si>
    <t>FD15AE3C-76A3-4431-85E5-7B0441ABB1B9|RESULT|522611|18|3|HGB</t>
  </si>
  <si>
    <t>522611|19|3|HGB</t>
  </si>
  <si>
    <t>FD15AE3C-76A3-4431-85E5-7B0441ABB1B9|RESULT|522611|19|3|HGB</t>
  </si>
  <si>
    <t>522611|20|3|HGB</t>
  </si>
  <si>
    <t>FD15AE3C-76A3-4431-85E5-7B0441ABB1B9|RESULT|522611|20|3|HGB</t>
  </si>
  <si>
    <t>522611|21|3|HGB</t>
  </si>
  <si>
    <t>FD15AE3C-76A3-4431-85E5-7B0441ABB1B9|RESULT|522611|21|3|HGB</t>
  </si>
  <si>
    <t>522611|22|3|HGB</t>
  </si>
  <si>
    <t>FD15AE3C-76A3-4431-85E5-7B0441ABB1B9|RESULT|522611|22|3|HGB</t>
  </si>
  <si>
    <t>522611|23|3|HGB</t>
  </si>
  <si>
    <t>FD15AE3C-76A3-4431-85E5-7B0441ABB1B9|RESULT|522611|23|3|HGB</t>
  </si>
  <si>
    <t>522611|24|3|HGB</t>
  </si>
  <si>
    <t>FD15AE3C-76A3-4431-85E5-7B0441ABB1B9|RESULT|522611|24|3|HGB</t>
  </si>
  <si>
    <t>522611|25|3|HGB</t>
  </si>
  <si>
    <t>FD15AE3C-76A3-4431-85E5-7B0441ABB1B9|RESULT|522611|25|3|HGB</t>
  </si>
  <si>
    <t>522611|1|1|HCT</t>
  </si>
  <si>
    <t>FD15AE3C-76A3-4431-85E5-7B0441ABB1B9|RESULT|522611|1|1|HCT</t>
  </si>
  <si>
    <t>Hematologia|ANALITO|HCT</t>
  </si>
  <si>
    <t>522611|2|1|HCT</t>
  </si>
  <si>
    <t>FD15AE3C-76A3-4431-85E5-7B0441ABB1B9|RESULT|522611|2|1|HCT</t>
  </si>
  <si>
    <t>522611|3|1|HCT</t>
  </si>
  <si>
    <t>FD15AE3C-76A3-4431-85E5-7B0441ABB1B9|RESULT|522611|3|1|HCT</t>
  </si>
  <si>
    <t>522611|4|1|HCT</t>
  </si>
  <si>
    <t>FD15AE3C-76A3-4431-85E5-7B0441ABB1B9|RESULT|522611|4|1|HCT</t>
  </si>
  <si>
    <t>522611|5|1|HCT</t>
  </si>
  <si>
    <t>FD15AE3C-76A3-4431-85E5-7B0441ABB1B9|RESULT|522611|5|1|HCT</t>
  </si>
  <si>
    <t>522611|6|1|HCT</t>
  </si>
  <si>
    <t>FD15AE3C-76A3-4431-85E5-7B0441ABB1B9|RESULT|522611|6|1|HCT</t>
  </si>
  <si>
    <t>522611|7|1|HCT</t>
  </si>
  <si>
    <t>FD15AE3C-76A3-4431-85E5-7B0441ABB1B9|RESULT|522611|7|1|HCT</t>
  </si>
  <si>
    <t>522611|8|1|HCT</t>
  </si>
  <si>
    <t>FD15AE3C-76A3-4431-85E5-7B0441ABB1B9|RESULT|522611|8|1|HCT</t>
  </si>
  <si>
    <t>522611|9|1|HCT</t>
  </si>
  <si>
    <t>FD15AE3C-76A3-4431-85E5-7B0441ABB1B9|RESULT|522611|9|1|HCT</t>
  </si>
  <si>
    <t>522611|10|1|HCT</t>
  </si>
  <si>
    <t>FD15AE3C-76A3-4431-85E5-7B0441ABB1B9|RESULT|522611|10|1|HCT</t>
  </si>
  <si>
    <t>522611|11|1|HCT</t>
  </si>
  <si>
    <t>FD15AE3C-76A3-4431-85E5-7B0441ABB1B9|RESULT|522611|11|1|HCT</t>
  </si>
  <si>
    <t>522611|12|1|HCT</t>
  </si>
  <si>
    <t>FD15AE3C-76A3-4431-85E5-7B0441ABB1B9|RESULT|522611|12|1|HCT</t>
  </si>
  <si>
    <t>522611|13|1|HCT</t>
  </si>
  <si>
    <t>FD15AE3C-76A3-4431-85E5-7B0441ABB1B9|RESULT|522611|13|1|HCT</t>
  </si>
  <si>
    <t>522611|14|1|HCT</t>
  </si>
  <si>
    <t>FD15AE3C-76A3-4431-85E5-7B0441ABB1B9|RESULT|522611|14|1|HCT</t>
  </si>
  <si>
    <t>522611|15|1|HCT</t>
  </si>
  <si>
    <t>FD15AE3C-76A3-4431-85E5-7B0441ABB1B9|RESULT|522611|15|1|HCT</t>
  </si>
  <si>
    <t>522611|16|1|HCT</t>
  </si>
  <si>
    <t>FD15AE3C-76A3-4431-85E5-7B0441ABB1B9|RESULT|522611|16|1|HCT</t>
  </si>
  <si>
    <t>522611|17|1|HCT</t>
  </si>
  <si>
    <t>FD15AE3C-76A3-4431-85E5-7B0441ABB1B9|RESULT|522611|17|1|HCT</t>
  </si>
  <si>
    <t>522611|18|1|HCT</t>
  </si>
  <si>
    <t>FD15AE3C-76A3-4431-85E5-7B0441ABB1B9|RESULT|522611|18|1|HCT</t>
  </si>
  <si>
    <t>522611|19|1|HCT</t>
  </si>
  <si>
    <t>FD15AE3C-76A3-4431-85E5-7B0441ABB1B9|RESULT|522611|19|1|HCT</t>
  </si>
  <si>
    <t>522611|20|1|HCT</t>
  </si>
  <si>
    <t>FD15AE3C-76A3-4431-85E5-7B0441ABB1B9|RESULT|522611|20|1|HCT</t>
  </si>
  <si>
    <t>522611|21|1|HCT</t>
  </si>
  <si>
    <t>FD15AE3C-76A3-4431-85E5-7B0441ABB1B9|RESULT|522611|21|1|HCT</t>
  </si>
  <si>
    <t>522611|22|1|HCT</t>
  </si>
  <si>
    <t>FD15AE3C-76A3-4431-85E5-7B0441ABB1B9|RESULT|522611|22|1|HCT</t>
  </si>
  <si>
    <t>522611|23|1|HCT</t>
  </si>
  <si>
    <t>FD15AE3C-76A3-4431-85E5-7B0441ABB1B9|RESULT|522611|23|1|HCT</t>
  </si>
  <si>
    <t>522611|24|1|HCT</t>
  </si>
  <si>
    <t>FD15AE3C-76A3-4431-85E5-7B0441ABB1B9|RESULT|522611|24|1|HCT</t>
  </si>
  <si>
    <t>522611|25|1|HCT</t>
  </si>
  <si>
    <t>FD15AE3C-76A3-4431-85E5-7B0441ABB1B9|RESULT|522611|25|1|HCT</t>
  </si>
  <si>
    <t>522611|1|2|HCT</t>
  </si>
  <si>
    <t>FD15AE3C-76A3-4431-85E5-7B0441ABB1B9|RESULT|522611|1|2|HCT</t>
  </si>
  <si>
    <t>522611|2|2|HCT</t>
  </si>
  <si>
    <t>FD15AE3C-76A3-4431-85E5-7B0441ABB1B9|RESULT|522611|2|2|HCT</t>
  </si>
  <si>
    <t>522611|3|2|HCT</t>
  </si>
  <si>
    <t>FD15AE3C-76A3-4431-85E5-7B0441ABB1B9|RESULT|522611|3|2|HCT</t>
  </si>
  <si>
    <t>522611|4|2|HCT</t>
  </si>
  <si>
    <t>FD15AE3C-76A3-4431-85E5-7B0441ABB1B9|RESULT|522611|4|2|HCT</t>
  </si>
  <si>
    <t>522611|5|2|HCT</t>
  </si>
  <si>
    <t>FD15AE3C-76A3-4431-85E5-7B0441ABB1B9|RESULT|522611|5|2|HCT</t>
  </si>
  <si>
    <t>522611|6|2|HCT</t>
  </si>
  <si>
    <t>FD15AE3C-76A3-4431-85E5-7B0441ABB1B9|RESULT|522611|6|2|HCT</t>
  </si>
  <si>
    <t>522611|7|2|HCT</t>
  </si>
  <si>
    <t>FD15AE3C-76A3-4431-85E5-7B0441ABB1B9|RESULT|522611|7|2|HCT</t>
  </si>
  <si>
    <t>522611|8|2|HCT</t>
  </si>
  <si>
    <t>FD15AE3C-76A3-4431-85E5-7B0441ABB1B9|RESULT|522611|8|2|HCT</t>
  </si>
  <si>
    <t>522611|9|2|HCT</t>
  </si>
  <si>
    <t>FD15AE3C-76A3-4431-85E5-7B0441ABB1B9|RESULT|522611|9|2|HCT</t>
  </si>
  <si>
    <t>522611|10|2|HCT</t>
  </si>
  <si>
    <t>FD15AE3C-76A3-4431-85E5-7B0441ABB1B9|RESULT|522611|10|2|HCT</t>
  </si>
  <si>
    <t>522611|11|2|HCT</t>
  </si>
  <si>
    <t>FD15AE3C-76A3-4431-85E5-7B0441ABB1B9|RESULT|522611|11|2|HCT</t>
  </si>
  <si>
    <t>522611|12|2|HCT</t>
  </si>
  <si>
    <t>FD15AE3C-76A3-4431-85E5-7B0441ABB1B9|RESULT|522611|12|2|HCT</t>
  </si>
  <si>
    <t>522611|13|2|HCT</t>
  </si>
  <si>
    <t>FD15AE3C-76A3-4431-85E5-7B0441ABB1B9|RESULT|522611|13|2|HCT</t>
  </si>
  <si>
    <t>522611|14|2|HCT</t>
  </si>
  <si>
    <t>FD15AE3C-76A3-4431-85E5-7B0441ABB1B9|RESULT|522611|14|2|HCT</t>
  </si>
  <si>
    <t>522611|15|2|HCT</t>
  </si>
  <si>
    <t>FD15AE3C-76A3-4431-85E5-7B0441ABB1B9|RESULT|522611|15|2|HCT</t>
  </si>
  <si>
    <t>522611|16|2|HCT</t>
  </si>
  <si>
    <t>FD15AE3C-76A3-4431-85E5-7B0441ABB1B9|RESULT|522611|16|2|HCT</t>
  </si>
  <si>
    <t>522611|17|2|HCT</t>
  </si>
  <si>
    <t>FD15AE3C-76A3-4431-85E5-7B0441ABB1B9|RESULT|522611|17|2|HCT</t>
  </si>
  <si>
    <t>522611|18|2|HCT</t>
  </si>
  <si>
    <t>FD15AE3C-76A3-4431-85E5-7B0441ABB1B9|RESULT|522611|18|2|HCT</t>
  </si>
  <si>
    <t>522611|19|2|HCT</t>
  </si>
  <si>
    <t>FD15AE3C-76A3-4431-85E5-7B0441ABB1B9|RESULT|522611|19|2|HCT</t>
  </si>
  <si>
    <t>522611|20|2|HCT</t>
  </si>
  <si>
    <t>FD15AE3C-76A3-4431-85E5-7B0441ABB1B9|RESULT|522611|20|2|HCT</t>
  </si>
  <si>
    <t>522611|21|2|HCT</t>
  </si>
  <si>
    <t>FD15AE3C-76A3-4431-85E5-7B0441ABB1B9|RESULT|522611|21|2|HCT</t>
  </si>
  <si>
    <t>522611|22|2|HCT</t>
  </si>
  <si>
    <t>FD15AE3C-76A3-4431-85E5-7B0441ABB1B9|RESULT|522611|22|2|HCT</t>
  </si>
  <si>
    <t>522611|23|2|HCT</t>
  </si>
  <si>
    <t>FD15AE3C-76A3-4431-85E5-7B0441ABB1B9|RESULT|522611|23|2|HCT</t>
  </si>
  <si>
    <t>522611|24|2|HCT</t>
  </si>
  <si>
    <t>FD15AE3C-76A3-4431-85E5-7B0441ABB1B9|RESULT|522611|24|2|HCT</t>
  </si>
  <si>
    <t>522611|25|2|HCT</t>
  </si>
  <si>
    <t>FD15AE3C-76A3-4431-85E5-7B0441ABB1B9|RESULT|522611|25|2|HCT</t>
  </si>
  <si>
    <t>522611|1|3|HCT</t>
  </si>
  <si>
    <t>FD15AE3C-76A3-4431-85E5-7B0441ABB1B9|RESULT|522611|1|3|HCT</t>
  </si>
  <si>
    <t>Margem critica</t>
  </si>
  <si>
    <t>522611|2|3|HCT</t>
  </si>
  <si>
    <t>FD15AE3C-76A3-4431-85E5-7B0441ABB1B9|RESULT|522611|2|3|HCT</t>
  </si>
  <si>
    <t>522611|3|3|HCT</t>
  </si>
  <si>
    <t>FD15AE3C-76A3-4431-85E5-7B0441ABB1B9|RESULT|522611|3|3|HCT</t>
  </si>
  <si>
    <t>522611|4|3|HCT</t>
  </si>
  <si>
    <t>FD15AE3C-76A3-4431-85E5-7B0441ABB1B9|RESULT|522611|4|3|HCT</t>
  </si>
  <si>
    <t>522611|5|3|HCT</t>
  </si>
  <si>
    <t>FD15AE3C-76A3-4431-85E5-7B0441ABB1B9|RESULT|522611|5|3|HCT</t>
  </si>
  <si>
    <t>522611|6|3|HCT</t>
  </si>
  <si>
    <t>FD15AE3C-76A3-4431-85E5-7B0441ABB1B9|RESULT|522611|6|3|HCT</t>
  </si>
  <si>
    <t>522611|7|3|HCT</t>
  </si>
  <si>
    <t>FD15AE3C-76A3-4431-85E5-7B0441ABB1B9|RESULT|522611|7|3|HCT</t>
  </si>
  <si>
    <t>522611|8|3|HCT</t>
  </si>
  <si>
    <t>FD15AE3C-76A3-4431-85E5-7B0441ABB1B9|RESULT|522611|8|3|HCT</t>
  </si>
  <si>
    <t>522611|9|3|HCT</t>
  </si>
  <si>
    <t>FD15AE3C-76A3-4431-85E5-7B0441ABB1B9|RESULT|522611|9|3|HCT</t>
  </si>
  <si>
    <t>522611|10|3|HCT</t>
  </si>
  <si>
    <t>FD15AE3C-76A3-4431-85E5-7B0441ABB1B9|RESULT|522611|10|3|HCT</t>
  </si>
  <si>
    <t>522611|11|3|HCT</t>
  </si>
  <si>
    <t>FD15AE3C-76A3-4431-85E5-7B0441ABB1B9|RESULT|522611|11|3|HCT</t>
  </si>
  <si>
    <t>522611|12|3|HCT</t>
  </si>
  <si>
    <t>FD15AE3C-76A3-4431-85E5-7B0441ABB1B9|RESULT|522611|12|3|HCT</t>
  </si>
  <si>
    <t>522611|13|3|HCT</t>
  </si>
  <si>
    <t>FD15AE3C-76A3-4431-85E5-7B0441ABB1B9|RESULT|522611|13|3|HCT</t>
  </si>
  <si>
    <t>522611|14|3|HCT</t>
  </si>
  <si>
    <t>FD15AE3C-76A3-4431-85E5-7B0441ABB1B9|RESULT|522611|14|3|HCT</t>
  </si>
  <si>
    <t>522611|15|3|HCT</t>
  </si>
  <si>
    <t>FD15AE3C-76A3-4431-85E5-7B0441ABB1B9|RESULT|522611|15|3|HCT</t>
  </si>
  <si>
    <t>522611|16|3|HCT</t>
  </si>
  <si>
    <t>FD15AE3C-76A3-4431-85E5-7B0441ABB1B9|RESULT|522611|16|3|HCT</t>
  </si>
  <si>
    <t>522611|17|3|HCT</t>
  </si>
  <si>
    <t>FD15AE3C-76A3-4431-85E5-7B0441ABB1B9|RESULT|522611|17|3|HCT</t>
  </si>
  <si>
    <t>522611|18|3|HCT</t>
  </si>
  <si>
    <t>FD15AE3C-76A3-4431-85E5-7B0441ABB1B9|RESULT|522611|18|3|HCT</t>
  </si>
  <si>
    <t>522611|19|3|HCT</t>
  </si>
  <si>
    <t>FD15AE3C-76A3-4431-85E5-7B0441ABB1B9|RESULT|522611|19|3|HCT</t>
  </si>
  <si>
    <t>522611|20|3|HCT</t>
  </si>
  <si>
    <t>FD15AE3C-76A3-4431-85E5-7B0441ABB1B9|RESULT|522611|20|3|HCT</t>
  </si>
  <si>
    <t>522611|21|3|HCT</t>
  </si>
  <si>
    <t>FD15AE3C-76A3-4431-85E5-7B0441ABB1B9|RESULT|522611|21|3|HCT</t>
  </si>
  <si>
    <t>522611|22|3|HCT</t>
  </si>
  <si>
    <t>FD15AE3C-76A3-4431-85E5-7B0441ABB1B9|RESULT|522611|22|3|HCT</t>
  </si>
  <si>
    <t>522611|23|3|HCT</t>
  </si>
  <si>
    <t>FD15AE3C-76A3-4431-85E5-7B0441ABB1B9|RESULT|522611|23|3|HCT</t>
  </si>
  <si>
    <t>522611|24|3|HCT</t>
  </si>
  <si>
    <t>FD15AE3C-76A3-4431-85E5-7B0441ABB1B9|RESULT|522611|24|3|HCT</t>
  </si>
  <si>
    <t>522611|25|3|HCT</t>
  </si>
  <si>
    <t>FD15AE3C-76A3-4431-85E5-7B0441ABB1B9|RESULT|522611|25|3|HCT</t>
  </si>
  <si>
    <t>522611|1|1|MCV</t>
  </si>
  <si>
    <t>FD15AE3C-76A3-4431-85E5-7B0441ABB1B9|RESULT|522611|1|1|MCV</t>
  </si>
  <si>
    <t>Hematologia|ANALITO|MCV</t>
  </si>
  <si>
    <t>522611|2|1|MCV</t>
  </si>
  <si>
    <t>FD15AE3C-76A3-4431-85E5-7B0441ABB1B9|RESULT|522611|2|1|MCV</t>
  </si>
  <si>
    <t>522611|3|1|MCV</t>
  </si>
  <si>
    <t>FD15AE3C-76A3-4431-85E5-7B0441ABB1B9|RESULT|522611|3|1|MCV</t>
  </si>
  <si>
    <t>522611|4|1|MCV</t>
  </si>
  <si>
    <t>FD15AE3C-76A3-4431-85E5-7B0441ABB1B9|RESULT|522611|4|1|MCV</t>
  </si>
  <si>
    <t>522611|5|1|MCV</t>
  </si>
  <si>
    <t>FD15AE3C-76A3-4431-85E5-7B0441ABB1B9|RESULT|522611|5|1|MCV</t>
  </si>
  <si>
    <t>522611|6|1|MCV</t>
  </si>
  <si>
    <t>FD15AE3C-76A3-4431-85E5-7B0441ABB1B9|RESULT|522611|6|1|MCV</t>
  </si>
  <si>
    <t>522611|7|1|MCV</t>
  </si>
  <si>
    <t>FD15AE3C-76A3-4431-85E5-7B0441ABB1B9|RESULT|522611|7|1|MCV</t>
  </si>
  <si>
    <t>522611|8|1|MCV</t>
  </si>
  <si>
    <t>FD15AE3C-76A3-4431-85E5-7B0441ABB1B9|RESULT|522611|8|1|MCV</t>
  </si>
  <si>
    <t>522611|9|1|MCV</t>
  </si>
  <si>
    <t>FD15AE3C-76A3-4431-85E5-7B0441ABB1B9|RESULT|522611|9|1|MCV</t>
  </si>
  <si>
    <t>522611|10|1|MCV</t>
  </si>
  <si>
    <t>FD15AE3C-76A3-4431-85E5-7B0441ABB1B9|RESULT|522611|10|1|MCV</t>
  </si>
  <si>
    <t>522611|11|1|MCV</t>
  </si>
  <si>
    <t>FD15AE3C-76A3-4431-85E5-7B0441ABB1B9|RESULT|522611|11|1|MCV</t>
  </si>
  <si>
    <t>522611|12|1|MCV</t>
  </si>
  <si>
    <t>FD15AE3C-76A3-4431-85E5-7B0441ABB1B9|RESULT|522611|12|1|MCV</t>
  </si>
  <si>
    <t>522611|13|1|MCV</t>
  </si>
  <si>
    <t>FD15AE3C-76A3-4431-85E5-7B0441ABB1B9|RESULT|522611|13|1|MCV</t>
  </si>
  <si>
    <t>522611|14|1|MCV</t>
  </si>
  <si>
    <t>FD15AE3C-76A3-4431-85E5-7B0441ABB1B9|RESULT|522611|14|1|MCV</t>
  </si>
  <si>
    <t>522611|15|1|MCV</t>
  </si>
  <si>
    <t>FD15AE3C-76A3-4431-85E5-7B0441ABB1B9|RESULT|522611|15|1|MCV</t>
  </si>
  <si>
    <t>522611|16|1|MCV</t>
  </si>
  <si>
    <t>FD15AE3C-76A3-4431-85E5-7B0441ABB1B9|RESULT|522611|16|1|MCV</t>
  </si>
  <si>
    <t>522611|17|1|MCV</t>
  </si>
  <si>
    <t>FD15AE3C-76A3-4431-85E5-7B0441ABB1B9|RESULT|522611|17|1|MCV</t>
  </si>
  <si>
    <t>522611|18|1|MCV</t>
  </si>
  <si>
    <t>FD15AE3C-76A3-4431-85E5-7B0441ABB1B9|RESULT|522611|18|1|MCV</t>
  </si>
  <si>
    <t>522611|19|1|MCV</t>
  </si>
  <si>
    <t>FD15AE3C-76A3-4431-85E5-7B0441ABB1B9|RESULT|522611|19|1|MCV</t>
  </si>
  <si>
    <t>522611|20|1|MCV</t>
  </si>
  <si>
    <t>FD15AE3C-76A3-4431-85E5-7B0441ABB1B9|RESULT|522611|20|1|MCV</t>
  </si>
  <si>
    <t>522611|21|1|MCV</t>
  </si>
  <si>
    <t>FD15AE3C-76A3-4431-85E5-7B0441ABB1B9|RESULT|522611|21|1|MCV</t>
  </si>
  <si>
    <t>522611|22|1|MCV</t>
  </si>
  <si>
    <t>FD15AE3C-76A3-4431-85E5-7B0441ABB1B9|RESULT|522611|22|1|MCV</t>
  </si>
  <si>
    <t>522611|23|1|MCV</t>
  </si>
  <si>
    <t>FD15AE3C-76A3-4431-85E5-7B0441ABB1B9|RESULT|522611|23|1|MCV</t>
  </si>
  <si>
    <t>522611|24|1|MCV</t>
  </si>
  <si>
    <t>FD15AE3C-76A3-4431-85E5-7B0441ABB1B9|RESULT|522611|24|1|MCV</t>
  </si>
  <si>
    <t>522611|25|1|MCV</t>
  </si>
  <si>
    <t>FD15AE3C-76A3-4431-85E5-7B0441ABB1B9|RESULT|522611|25|1|MCV</t>
  </si>
  <si>
    <t>522611|1|2|MCV</t>
  </si>
  <si>
    <t>FD15AE3C-76A3-4431-85E5-7B0441ABB1B9|RESULT|522611|1|2|MCV</t>
  </si>
  <si>
    <t>522611|2|2|MCV</t>
  </si>
  <si>
    <t>FD15AE3C-76A3-4431-85E5-7B0441ABB1B9|RESULT|522611|2|2|MCV</t>
  </si>
  <si>
    <t>522611|3|2|MCV</t>
  </si>
  <si>
    <t>FD15AE3C-76A3-4431-85E5-7B0441ABB1B9|RESULT|522611|3|2|MCV</t>
  </si>
  <si>
    <t>522611|4|2|MCV</t>
  </si>
  <si>
    <t>FD15AE3C-76A3-4431-85E5-7B0441ABB1B9|RESULT|522611|4|2|MCV</t>
  </si>
  <si>
    <t>522611|5|2|MCV</t>
  </si>
  <si>
    <t>FD15AE3C-76A3-4431-85E5-7B0441ABB1B9|RESULT|522611|5|2|MCV</t>
  </si>
  <si>
    <t>522611|6|2|MCV</t>
  </si>
  <si>
    <t>FD15AE3C-76A3-4431-85E5-7B0441ABB1B9|RESULT|522611|6|2|MCV</t>
  </si>
  <si>
    <t>522611|7|2|MCV</t>
  </si>
  <si>
    <t>FD15AE3C-76A3-4431-85E5-7B0441ABB1B9|RESULT|522611|7|2|MCV</t>
  </si>
  <si>
    <t>522611|8|2|MCV</t>
  </si>
  <si>
    <t>FD15AE3C-76A3-4431-85E5-7B0441ABB1B9|RESULT|522611|8|2|MCV</t>
  </si>
  <si>
    <t>522611|9|2|MCV</t>
  </si>
  <si>
    <t>FD15AE3C-76A3-4431-85E5-7B0441ABB1B9|RESULT|522611|9|2|MCV</t>
  </si>
  <si>
    <t>522611|10|2|MCV</t>
  </si>
  <si>
    <t>FD15AE3C-76A3-4431-85E5-7B0441ABB1B9|RESULT|522611|10|2|MCV</t>
  </si>
  <si>
    <t>522611|11|2|MCV</t>
  </si>
  <si>
    <t>FD15AE3C-76A3-4431-85E5-7B0441ABB1B9|RESULT|522611|11|2|MCV</t>
  </si>
  <si>
    <t>522611|12|2|MCV</t>
  </si>
  <si>
    <t>FD15AE3C-76A3-4431-85E5-7B0441ABB1B9|RESULT|522611|12|2|MCV</t>
  </si>
  <si>
    <t>522611|13|2|MCV</t>
  </si>
  <si>
    <t>FD15AE3C-76A3-4431-85E5-7B0441ABB1B9|RESULT|522611|13|2|MCV</t>
  </si>
  <si>
    <t>522611|14|2|MCV</t>
  </si>
  <si>
    <t>FD15AE3C-76A3-4431-85E5-7B0441ABB1B9|RESULT|522611|14|2|MCV</t>
  </si>
  <si>
    <t>522611|15|2|MCV</t>
  </si>
  <si>
    <t>FD15AE3C-76A3-4431-85E5-7B0441ABB1B9|RESULT|522611|15|2|MCV</t>
  </si>
  <si>
    <t>522611|16|2|MCV</t>
  </si>
  <si>
    <t>FD15AE3C-76A3-4431-85E5-7B0441ABB1B9|RESULT|522611|16|2|MCV</t>
  </si>
  <si>
    <t>522611|17|2|MCV</t>
  </si>
  <si>
    <t>FD15AE3C-76A3-4431-85E5-7B0441ABB1B9|RESULT|522611|17|2|MCV</t>
  </si>
  <si>
    <t>522611|18|2|MCV</t>
  </si>
  <si>
    <t>FD15AE3C-76A3-4431-85E5-7B0441ABB1B9|RESULT|522611|18|2|MCV</t>
  </si>
  <si>
    <t>522611|19|2|MCV</t>
  </si>
  <si>
    <t>FD15AE3C-76A3-4431-85E5-7B0441ABB1B9|RESULT|522611|19|2|MCV</t>
  </si>
  <si>
    <t>522611|20|2|MCV</t>
  </si>
  <si>
    <t>FD15AE3C-76A3-4431-85E5-7B0441ABB1B9|RESULT|522611|20|2|MCV</t>
  </si>
  <si>
    <t>522611|21|2|MCV</t>
  </si>
  <si>
    <t>FD15AE3C-76A3-4431-85E5-7B0441ABB1B9|RESULT|522611|21|2|MCV</t>
  </si>
  <si>
    <t>522611|22|2|MCV</t>
  </si>
  <si>
    <t>FD15AE3C-76A3-4431-85E5-7B0441ABB1B9|RESULT|522611|22|2|MCV</t>
  </si>
  <si>
    <t>522611|23|2|MCV</t>
  </si>
  <si>
    <t>FD15AE3C-76A3-4431-85E5-7B0441ABB1B9|RESULT|522611|23|2|MCV</t>
  </si>
  <si>
    <t>522611|24|2|MCV</t>
  </si>
  <si>
    <t>FD15AE3C-76A3-4431-85E5-7B0441ABB1B9|RESULT|522611|24|2|MCV</t>
  </si>
  <si>
    <t>522611|25|2|MCV</t>
  </si>
  <si>
    <t>FD15AE3C-76A3-4431-85E5-7B0441ABB1B9|RESULT|522611|25|2|MCV</t>
  </si>
  <si>
    <t>522611|1|3|MCV</t>
  </si>
  <si>
    <t>FD15AE3C-76A3-4431-85E5-7B0441ABB1B9|RESULT|522611|1|3|MCV</t>
  </si>
  <si>
    <t>522611|2|3|MCV</t>
  </si>
  <si>
    <t>FD15AE3C-76A3-4431-85E5-7B0441ABB1B9|RESULT|522611|2|3|MCV</t>
  </si>
  <si>
    <t>522611|3|3|MCV</t>
  </si>
  <si>
    <t>FD15AE3C-76A3-4431-85E5-7B0441ABB1B9|RESULT|522611|3|3|MCV</t>
  </si>
  <si>
    <t>522611|4|3|MCV</t>
  </si>
  <si>
    <t>FD15AE3C-76A3-4431-85E5-7B0441ABB1B9|RESULT|522611|4|3|MCV</t>
  </si>
  <si>
    <t>522611|5|3|MCV</t>
  </si>
  <si>
    <t>FD15AE3C-76A3-4431-85E5-7B0441ABB1B9|RESULT|522611|5|3|MCV</t>
  </si>
  <si>
    <t>522611|6|3|MCV</t>
  </si>
  <si>
    <t>FD15AE3C-76A3-4431-85E5-7B0441ABB1B9|RESULT|522611|6|3|MCV</t>
  </si>
  <si>
    <t>522611|7|3|MCV</t>
  </si>
  <si>
    <t>FD15AE3C-76A3-4431-85E5-7B0441ABB1B9|RESULT|522611|7|3|MCV</t>
  </si>
  <si>
    <t>522611|8|3|MCV</t>
  </si>
  <si>
    <t>FD15AE3C-76A3-4431-85E5-7B0441ABB1B9|RESULT|522611|8|3|MCV</t>
  </si>
  <si>
    <t>522611|9|3|MCV</t>
  </si>
  <si>
    <t>FD15AE3C-76A3-4431-85E5-7B0441ABB1B9|RESULT|522611|9|3|MCV</t>
  </si>
  <si>
    <t>522611|10|3|MCV</t>
  </si>
  <si>
    <t>FD15AE3C-76A3-4431-85E5-7B0441ABB1B9|RESULT|522611|10|3|MCV</t>
  </si>
  <si>
    <t>522611|11|3|MCV</t>
  </si>
  <si>
    <t>FD15AE3C-76A3-4431-85E5-7B0441ABB1B9|RESULT|522611|11|3|MCV</t>
  </si>
  <si>
    <t>522611|12|3|MCV</t>
  </si>
  <si>
    <t>FD15AE3C-76A3-4431-85E5-7B0441ABB1B9|RESULT|522611|12|3|MCV</t>
  </si>
  <si>
    <t>522611|13|3|MCV</t>
  </si>
  <si>
    <t>FD15AE3C-76A3-4431-85E5-7B0441ABB1B9|RESULT|522611|13|3|MCV</t>
  </si>
  <si>
    <t>522611|14|3|MCV</t>
  </si>
  <si>
    <t>FD15AE3C-76A3-4431-85E5-7B0441ABB1B9|RESULT|522611|14|3|MCV</t>
  </si>
  <si>
    <t>522611|15|3|MCV</t>
  </si>
  <si>
    <t>FD15AE3C-76A3-4431-85E5-7B0441ABB1B9|RESULT|522611|15|3|MCV</t>
  </si>
  <si>
    <t>522611|16|3|MCV</t>
  </si>
  <si>
    <t>FD15AE3C-76A3-4431-85E5-7B0441ABB1B9|RESULT|522611|16|3|MCV</t>
  </si>
  <si>
    <t>522611|17|3|MCV</t>
  </si>
  <si>
    <t>FD15AE3C-76A3-4431-85E5-7B0441ABB1B9|RESULT|522611|17|3|MCV</t>
  </si>
  <si>
    <t>522611|18|3|MCV</t>
  </si>
  <si>
    <t>FD15AE3C-76A3-4431-85E5-7B0441ABB1B9|RESULT|522611|18|3|MCV</t>
  </si>
  <si>
    <t>522611|19|3|MCV</t>
  </si>
  <si>
    <t>FD15AE3C-76A3-4431-85E5-7B0441ABB1B9|RESULT|522611|19|3|MCV</t>
  </si>
  <si>
    <t>522611|20|3|MCV</t>
  </si>
  <si>
    <t>FD15AE3C-76A3-4431-85E5-7B0441ABB1B9|RESULT|522611|20|3|MCV</t>
  </si>
  <si>
    <t>522611|21|3|MCV</t>
  </si>
  <si>
    <t>FD15AE3C-76A3-4431-85E5-7B0441ABB1B9|RESULT|522611|21|3|MCV</t>
  </si>
  <si>
    <t>522611|22|3|MCV</t>
  </si>
  <si>
    <t>FD15AE3C-76A3-4431-85E5-7B0441ABB1B9|RESULT|522611|22|3|MCV</t>
  </si>
  <si>
    <t>522611|23|3|MCV</t>
  </si>
  <si>
    <t>FD15AE3C-76A3-4431-85E5-7B0441ABB1B9|RESULT|522611|23|3|MCV</t>
  </si>
  <si>
    <t>522611|24|3|MCV</t>
  </si>
  <si>
    <t>FD15AE3C-76A3-4431-85E5-7B0441ABB1B9|RESULT|522611|24|3|MCV</t>
  </si>
  <si>
    <t>522611|25|3|MCV</t>
  </si>
  <si>
    <t>FD15AE3C-76A3-4431-85E5-7B0441ABB1B9|RESULT|522611|25|3|MCV</t>
  </si>
  <si>
    <t>522611|1|1|MCH</t>
  </si>
  <si>
    <t>FD15AE3C-76A3-4431-85E5-7B0441ABB1B9|RESULT|522611|1|1|MCH</t>
  </si>
  <si>
    <t>Hematologia|ANALITO|MCH</t>
  </si>
  <si>
    <t>522611|2|1|MCH</t>
  </si>
  <si>
    <t>FD15AE3C-76A3-4431-85E5-7B0441ABB1B9|RESULT|522611|2|1|MCH</t>
  </si>
  <si>
    <t>522611|3|1|MCH</t>
  </si>
  <si>
    <t>FD15AE3C-76A3-4431-85E5-7B0441ABB1B9|RESULT|522611|3|1|MCH</t>
  </si>
  <si>
    <t>522611|4|1|MCH</t>
  </si>
  <si>
    <t>FD15AE3C-76A3-4431-85E5-7B0441ABB1B9|RESULT|522611|4|1|MCH</t>
  </si>
  <si>
    <t>522611|5|1|MCH</t>
  </si>
  <si>
    <t>FD15AE3C-76A3-4431-85E5-7B0441ABB1B9|RESULT|522611|5|1|MCH</t>
  </si>
  <si>
    <t>522611|6|1|MCH</t>
  </si>
  <si>
    <t>FD15AE3C-76A3-4431-85E5-7B0441ABB1B9|RESULT|522611|6|1|MCH</t>
  </si>
  <si>
    <t>522611|7|1|MCH</t>
  </si>
  <si>
    <t>FD15AE3C-76A3-4431-85E5-7B0441ABB1B9|RESULT|522611|7|1|MCH</t>
  </si>
  <si>
    <t>522611|8|1|MCH</t>
  </si>
  <si>
    <t>FD15AE3C-76A3-4431-85E5-7B0441ABB1B9|RESULT|522611|8|1|MCH</t>
  </si>
  <si>
    <t>522611|9|1|MCH</t>
  </si>
  <si>
    <t>FD15AE3C-76A3-4431-85E5-7B0441ABB1B9|RESULT|522611|9|1|MCH</t>
  </si>
  <si>
    <t>522611|10|1|MCH</t>
  </si>
  <si>
    <t>FD15AE3C-76A3-4431-85E5-7B0441ABB1B9|RESULT|522611|10|1|MCH</t>
  </si>
  <si>
    <t>522611|11|1|MCH</t>
  </si>
  <si>
    <t>FD15AE3C-76A3-4431-85E5-7B0441ABB1B9|RESULT|522611|11|1|MCH</t>
  </si>
  <si>
    <t>522611|12|1|MCH</t>
  </si>
  <si>
    <t>FD15AE3C-76A3-4431-85E5-7B0441ABB1B9|RESULT|522611|12|1|MCH</t>
  </si>
  <si>
    <t>522611|13|1|MCH</t>
  </si>
  <si>
    <t>FD15AE3C-76A3-4431-85E5-7B0441ABB1B9|RESULT|522611|13|1|MCH</t>
  </si>
  <si>
    <t>522611|14|1|MCH</t>
  </si>
  <si>
    <t>FD15AE3C-76A3-4431-85E5-7B0441ABB1B9|RESULT|522611|14|1|MCH</t>
  </si>
  <si>
    <t>522611|15|1|MCH</t>
  </si>
  <si>
    <t>FD15AE3C-76A3-4431-85E5-7B0441ABB1B9|RESULT|522611|15|1|MCH</t>
  </si>
  <si>
    <t>522611|16|1|MCH</t>
  </si>
  <si>
    <t>FD15AE3C-76A3-4431-85E5-7B0441ABB1B9|RESULT|522611|16|1|MCH</t>
  </si>
  <si>
    <t>522611|17|1|MCH</t>
  </si>
  <si>
    <t>FD15AE3C-76A3-4431-85E5-7B0441ABB1B9|RESULT|522611|17|1|MCH</t>
  </si>
  <si>
    <t>522611|18|1|MCH</t>
  </si>
  <si>
    <t>FD15AE3C-76A3-4431-85E5-7B0441ABB1B9|RESULT|522611|18|1|MCH</t>
  </si>
  <si>
    <t>522611|19|1|MCH</t>
  </si>
  <si>
    <t>FD15AE3C-76A3-4431-85E5-7B0441ABB1B9|RESULT|522611|19|1|MCH</t>
  </si>
  <si>
    <t>522611|20|1|MCH</t>
  </si>
  <si>
    <t>FD15AE3C-76A3-4431-85E5-7B0441ABB1B9|RESULT|522611|20|1|MCH</t>
  </si>
  <si>
    <t>522611|21|1|MCH</t>
  </si>
  <si>
    <t>FD15AE3C-76A3-4431-85E5-7B0441ABB1B9|RESULT|522611|21|1|MCH</t>
  </si>
  <si>
    <t>522611|22|1|MCH</t>
  </si>
  <si>
    <t>FD15AE3C-76A3-4431-85E5-7B0441ABB1B9|RESULT|522611|22|1|MCH</t>
  </si>
  <si>
    <t>522611|23|1|MCH</t>
  </si>
  <si>
    <t>FD15AE3C-76A3-4431-85E5-7B0441ABB1B9|RESULT|522611|23|1|MCH</t>
  </si>
  <si>
    <t>522611|24|1|MCH</t>
  </si>
  <si>
    <t>FD15AE3C-76A3-4431-85E5-7B0441ABB1B9|RESULT|522611|24|1|MCH</t>
  </si>
  <si>
    <t>522611|25|1|MCH</t>
  </si>
  <si>
    <t>FD15AE3C-76A3-4431-85E5-7B0441ABB1B9|RESULT|522611|25|1|MCH</t>
  </si>
  <si>
    <t>522611|1|2|MCH</t>
  </si>
  <si>
    <t>FD15AE3C-76A3-4431-85E5-7B0441ABB1B9|RESULT|522611|1|2|MCH</t>
  </si>
  <si>
    <t>522611|2|2|MCH</t>
  </si>
  <si>
    <t>FD15AE3C-76A3-4431-85E5-7B0441ABB1B9|RESULT|522611|2|2|MCH</t>
  </si>
  <si>
    <t>522611|3|2|MCH</t>
  </si>
  <si>
    <t>FD15AE3C-76A3-4431-85E5-7B0441ABB1B9|RESULT|522611|3|2|MCH</t>
  </si>
  <si>
    <t>522611|4|2|MCH</t>
  </si>
  <si>
    <t>FD15AE3C-76A3-4431-85E5-7B0441ABB1B9|RESULT|522611|4|2|MCH</t>
  </si>
  <si>
    <t>522611|5|2|MCH</t>
  </si>
  <si>
    <t>FD15AE3C-76A3-4431-85E5-7B0441ABB1B9|RESULT|522611|5|2|MCH</t>
  </si>
  <si>
    <t>522611|6|2|MCH</t>
  </si>
  <si>
    <t>FD15AE3C-76A3-4431-85E5-7B0441ABB1B9|RESULT|522611|6|2|MCH</t>
  </si>
  <si>
    <t>522611|7|2|MCH</t>
  </si>
  <si>
    <t>FD15AE3C-76A3-4431-85E5-7B0441ABB1B9|RESULT|522611|7|2|MCH</t>
  </si>
  <si>
    <t>522611|8|2|MCH</t>
  </si>
  <si>
    <t>FD15AE3C-76A3-4431-85E5-7B0441ABB1B9|RESULT|522611|8|2|MCH</t>
  </si>
  <si>
    <t>522611|9|2|MCH</t>
  </si>
  <si>
    <t>FD15AE3C-76A3-4431-85E5-7B0441ABB1B9|RESULT|522611|9|2|MCH</t>
  </si>
  <si>
    <t>522611|10|2|MCH</t>
  </si>
  <si>
    <t>FD15AE3C-76A3-4431-85E5-7B0441ABB1B9|RESULT|522611|10|2|MCH</t>
  </si>
  <si>
    <t>522611|11|2|MCH</t>
  </si>
  <si>
    <t>FD15AE3C-76A3-4431-85E5-7B0441ABB1B9|RESULT|522611|11|2|MCH</t>
  </si>
  <si>
    <t>522611|12|2|MCH</t>
  </si>
  <si>
    <t>FD15AE3C-76A3-4431-85E5-7B0441ABB1B9|RESULT|522611|12|2|MCH</t>
  </si>
  <si>
    <t>522611|13|2|MCH</t>
  </si>
  <si>
    <t>FD15AE3C-76A3-4431-85E5-7B0441ABB1B9|RESULT|522611|13|2|MCH</t>
  </si>
  <si>
    <t>522611|14|2|MCH</t>
  </si>
  <si>
    <t>FD15AE3C-76A3-4431-85E5-7B0441ABB1B9|RESULT|522611|14|2|MCH</t>
  </si>
  <si>
    <t>522611|15|2|MCH</t>
  </si>
  <si>
    <t>FD15AE3C-76A3-4431-85E5-7B0441ABB1B9|RESULT|522611|15|2|MCH</t>
  </si>
  <si>
    <t>522611|16|2|MCH</t>
  </si>
  <si>
    <t>FD15AE3C-76A3-4431-85E5-7B0441ABB1B9|RESULT|522611|16|2|MCH</t>
  </si>
  <si>
    <t>522611|17|2|MCH</t>
  </si>
  <si>
    <t>FD15AE3C-76A3-4431-85E5-7B0441ABB1B9|RESULT|522611|17|2|MCH</t>
  </si>
  <si>
    <t>522611|18|2|MCH</t>
  </si>
  <si>
    <t>FD15AE3C-76A3-4431-85E5-7B0441ABB1B9|RESULT|522611|18|2|MCH</t>
  </si>
  <si>
    <t>522611|19|2|MCH</t>
  </si>
  <si>
    <t>FD15AE3C-76A3-4431-85E5-7B0441ABB1B9|RESULT|522611|19|2|MCH</t>
  </si>
  <si>
    <t>522611|20|2|MCH</t>
  </si>
  <si>
    <t>FD15AE3C-76A3-4431-85E5-7B0441ABB1B9|RESULT|522611|20|2|MCH</t>
  </si>
  <si>
    <t>522611|21|2|MCH</t>
  </si>
  <si>
    <t>FD15AE3C-76A3-4431-85E5-7B0441ABB1B9|RESULT|522611|21|2|MCH</t>
  </si>
  <si>
    <t>522611|22|2|MCH</t>
  </si>
  <si>
    <t>FD15AE3C-76A3-4431-85E5-7B0441ABB1B9|RESULT|522611|22|2|MCH</t>
  </si>
  <si>
    <t>522611|23|2|MCH</t>
  </si>
  <si>
    <t>FD15AE3C-76A3-4431-85E5-7B0441ABB1B9|RESULT|522611|23|2|MCH</t>
  </si>
  <si>
    <t>522611|24|2|MCH</t>
  </si>
  <si>
    <t>FD15AE3C-76A3-4431-85E5-7B0441ABB1B9|RESULT|522611|24|2|MCH</t>
  </si>
  <si>
    <t>522611|25|2|MCH</t>
  </si>
  <si>
    <t>FD15AE3C-76A3-4431-85E5-7B0441ABB1B9|RESULT|522611|25|2|MCH</t>
  </si>
  <si>
    <t>522611|1|3|MCH</t>
  </si>
  <si>
    <t>FD15AE3C-76A3-4431-85E5-7B0441ABB1B9|RESULT|522611|1|3|MCH</t>
  </si>
  <si>
    <t>522611|2|3|MCH</t>
  </si>
  <si>
    <t>FD15AE3C-76A3-4431-85E5-7B0441ABB1B9|RESULT|522611|2|3|MCH</t>
  </si>
  <si>
    <t>522611|3|3|MCH</t>
  </si>
  <si>
    <t>FD15AE3C-76A3-4431-85E5-7B0441ABB1B9|RESULT|522611|3|3|MCH</t>
  </si>
  <si>
    <t>522611|4|3|MCH</t>
  </si>
  <si>
    <t>FD15AE3C-76A3-4431-85E5-7B0441ABB1B9|RESULT|522611|4|3|MCH</t>
  </si>
  <si>
    <t>522611|5|3|MCH</t>
  </si>
  <si>
    <t>FD15AE3C-76A3-4431-85E5-7B0441ABB1B9|RESULT|522611|5|3|MCH</t>
  </si>
  <si>
    <t>522611|6|3|MCH</t>
  </si>
  <si>
    <t>FD15AE3C-76A3-4431-85E5-7B0441ABB1B9|RESULT|522611|6|3|MCH</t>
  </si>
  <si>
    <t>522611|7|3|MCH</t>
  </si>
  <si>
    <t>FD15AE3C-76A3-4431-85E5-7B0441ABB1B9|RESULT|522611|7|3|MCH</t>
  </si>
  <si>
    <t>522611|8|3|MCH</t>
  </si>
  <si>
    <t>FD15AE3C-76A3-4431-85E5-7B0441ABB1B9|RESULT|522611|8|3|MCH</t>
  </si>
  <si>
    <t>522611|9|3|MCH</t>
  </si>
  <si>
    <t>FD15AE3C-76A3-4431-85E5-7B0441ABB1B9|RESULT|522611|9|3|MCH</t>
  </si>
  <si>
    <t>522611|10|3|MCH</t>
  </si>
  <si>
    <t>FD15AE3C-76A3-4431-85E5-7B0441ABB1B9|RESULT|522611|10|3|MCH</t>
  </si>
  <si>
    <t>522611|11|3|MCH</t>
  </si>
  <si>
    <t>FD15AE3C-76A3-4431-85E5-7B0441ABB1B9|RESULT|522611|11|3|MCH</t>
  </si>
  <si>
    <t>522611|12|3|MCH</t>
  </si>
  <si>
    <t>FD15AE3C-76A3-4431-85E5-7B0441ABB1B9|RESULT|522611|12|3|MCH</t>
  </si>
  <si>
    <t>522611|13|3|MCH</t>
  </si>
  <si>
    <t>FD15AE3C-76A3-4431-85E5-7B0441ABB1B9|RESULT|522611|13|3|MCH</t>
  </si>
  <si>
    <t>522611|14|3|MCH</t>
  </si>
  <si>
    <t>FD15AE3C-76A3-4431-85E5-7B0441ABB1B9|RESULT|522611|14|3|MCH</t>
  </si>
  <si>
    <t>522611|15|3|MCH</t>
  </si>
  <si>
    <t>FD15AE3C-76A3-4431-85E5-7B0441ABB1B9|RESULT|522611|15|3|MCH</t>
  </si>
  <si>
    <t>522611|16|3|MCH</t>
  </si>
  <si>
    <t>FD15AE3C-76A3-4431-85E5-7B0441ABB1B9|RESULT|522611|16|3|MCH</t>
  </si>
  <si>
    <t>522611|17|3|MCH</t>
  </si>
  <si>
    <t>FD15AE3C-76A3-4431-85E5-7B0441ABB1B9|RESULT|522611|17|3|MCH</t>
  </si>
  <si>
    <t>522611|18|3|MCH</t>
  </si>
  <si>
    <t>FD15AE3C-76A3-4431-85E5-7B0441ABB1B9|RESULT|522611|18|3|MCH</t>
  </si>
  <si>
    <t>522611|19|3|MCH</t>
  </si>
  <si>
    <t>FD15AE3C-76A3-4431-85E5-7B0441ABB1B9|RESULT|522611|19|3|MCH</t>
  </si>
  <si>
    <t>522611|20|3|MCH</t>
  </si>
  <si>
    <t>FD15AE3C-76A3-4431-85E5-7B0441ABB1B9|RESULT|522611|20|3|MCH</t>
  </si>
  <si>
    <t>522611|21|3|MCH</t>
  </si>
  <si>
    <t>FD15AE3C-76A3-4431-85E5-7B0441ABB1B9|RESULT|522611|21|3|MCH</t>
  </si>
  <si>
    <t>522611|22|3|MCH</t>
  </si>
  <si>
    <t>FD15AE3C-76A3-4431-85E5-7B0441ABB1B9|RESULT|522611|22|3|MCH</t>
  </si>
  <si>
    <t>522611|23|3|MCH</t>
  </si>
  <si>
    <t>FD15AE3C-76A3-4431-85E5-7B0441ABB1B9|RESULT|522611|23|3|MCH</t>
  </si>
  <si>
    <t>522611|24|3|MCH</t>
  </si>
  <si>
    <t>FD15AE3C-76A3-4431-85E5-7B0441ABB1B9|RESULT|522611|24|3|MCH</t>
  </si>
  <si>
    <t>522611|25|3|MCH</t>
  </si>
  <si>
    <t>FD15AE3C-76A3-4431-85E5-7B0441ABB1B9|RESULT|522611|25|3|MCH</t>
  </si>
  <si>
    <t>522611|1|1|MCHC</t>
  </si>
  <si>
    <t>FD15AE3C-76A3-4431-85E5-7B0441ABB1B9|RESULT|522611|1|1|MCHC</t>
  </si>
  <si>
    <t>Hematologia|ANALITO|MCHC</t>
  </si>
  <si>
    <t>522611|2|1|MCHC</t>
  </si>
  <si>
    <t>FD15AE3C-76A3-4431-85E5-7B0441ABB1B9|RESULT|522611|2|1|MCHC</t>
  </si>
  <si>
    <t>522611|3|1|MCHC</t>
  </si>
  <si>
    <t>FD15AE3C-76A3-4431-85E5-7B0441ABB1B9|RESULT|522611|3|1|MCHC</t>
  </si>
  <si>
    <t>522611|4|1|MCHC</t>
  </si>
  <si>
    <t>FD15AE3C-76A3-4431-85E5-7B0441ABB1B9|RESULT|522611|4|1|MCHC</t>
  </si>
  <si>
    <t>522611|5|1|MCHC</t>
  </si>
  <si>
    <t>FD15AE3C-76A3-4431-85E5-7B0441ABB1B9|RESULT|522611|5|1|MCHC</t>
  </si>
  <si>
    <t>522611|6|1|MCHC</t>
  </si>
  <si>
    <t>FD15AE3C-76A3-4431-85E5-7B0441ABB1B9|RESULT|522611|6|1|MCHC</t>
  </si>
  <si>
    <t>522611|7|1|MCHC</t>
  </si>
  <si>
    <t>FD15AE3C-76A3-4431-85E5-7B0441ABB1B9|RESULT|522611|7|1|MCHC</t>
  </si>
  <si>
    <t>522611|8|1|MCHC</t>
  </si>
  <si>
    <t>FD15AE3C-76A3-4431-85E5-7B0441ABB1B9|RESULT|522611|8|1|MCHC</t>
  </si>
  <si>
    <t>522611|9|1|MCHC</t>
  </si>
  <si>
    <t>FD15AE3C-76A3-4431-85E5-7B0441ABB1B9|RESULT|522611|9|1|MCHC</t>
  </si>
  <si>
    <t>522611|10|1|MCHC</t>
  </si>
  <si>
    <t>FD15AE3C-76A3-4431-85E5-7B0441ABB1B9|RESULT|522611|10|1|MCHC</t>
  </si>
  <si>
    <t>522611|11|1|MCHC</t>
  </si>
  <si>
    <t>FD15AE3C-76A3-4431-85E5-7B0441ABB1B9|RESULT|522611|11|1|MCHC</t>
  </si>
  <si>
    <t>522611|12|1|MCHC</t>
  </si>
  <si>
    <t>FD15AE3C-76A3-4431-85E5-7B0441ABB1B9|RESULT|522611|12|1|MCHC</t>
  </si>
  <si>
    <t>522611|13|1|MCHC</t>
  </si>
  <si>
    <t>FD15AE3C-76A3-4431-85E5-7B0441ABB1B9|RESULT|522611|13|1|MCHC</t>
  </si>
  <si>
    <t>522611|14|1|MCHC</t>
  </si>
  <si>
    <t>FD15AE3C-76A3-4431-85E5-7B0441ABB1B9|RESULT|522611|14|1|MCHC</t>
  </si>
  <si>
    <t>522611|15|1|MCHC</t>
  </si>
  <si>
    <t>FD15AE3C-76A3-4431-85E5-7B0441ABB1B9|RESULT|522611|15|1|MCHC</t>
  </si>
  <si>
    <t>522611|16|1|MCHC</t>
  </si>
  <si>
    <t>FD15AE3C-76A3-4431-85E5-7B0441ABB1B9|RESULT|522611|16|1|MCHC</t>
  </si>
  <si>
    <t>522611|17|1|MCHC</t>
  </si>
  <si>
    <t>FD15AE3C-76A3-4431-85E5-7B0441ABB1B9|RESULT|522611|17|1|MCHC</t>
  </si>
  <si>
    <t>522611|18|1|MCHC</t>
  </si>
  <si>
    <t>FD15AE3C-76A3-4431-85E5-7B0441ABB1B9|RESULT|522611|18|1|MCHC</t>
  </si>
  <si>
    <t>522611|19|1|MCHC</t>
  </si>
  <si>
    <t>FD15AE3C-76A3-4431-85E5-7B0441ABB1B9|RESULT|522611|19|1|MCHC</t>
  </si>
  <si>
    <t>522611|20|1|MCHC</t>
  </si>
  <si>
    <t>FD15AE3C-76A3-4431-85E5-7B0441ABB1B9|RESULT|522611|20|1|MCHC</t>
  </si>
  <si>
    <t>522611|21|1|MCHC</t>
  </si>
  <si>
    <t>FD15AE3C-76A3-4431-85E5-7B0441ABB1B9|RESULT|522611|21|1|MCHC</t>
  </si>
  <si>
    <t>522611|22|1|MCHC</t>
  </si>
  <si>
    <t>FD15AE3C-76A3-4431-85E5-7B0441ABB1B9|RESULT|522611|22|1|MCHC</t>
  </si>
  <si>
    <t>522611|23|1|MCHC</t>
  </si>
  <si>
    <t>FD15AE3C-76A3-4431-85E5-7B0441ABB1B9|RESULT|522611|23|1|MCHC</t>
  </si>
  <si>
    <t>522611|24|1|MCHC</t>
  </si>
  <si>
    <t>FD15AE3C-76A3-4431-85E5-7B0441ABB1B9|RESULT|522611|24|1|MCHC</t>
  </si>
  <si>
    <t>522611|25|1|MCHC</t>
  </si>
  <si>
    <t>FD15AE3C-76A3-4431-85E5-7B0441ABB1B9|RESULT|522611|25|1|MCHC</t>
  </si>
  <si>
    <t>522611|1|2|MCHC</t>
  </si>
  <si>
    <t>FD15AE3C-76A3-4431-85E5-7B0441ABB1B9|RESULT|522611|1|2|MCHC</t>
  </si>
  <si>
    <t>522611|2|2|MCHC</t>
  </si>
  <si>
    <t>FD15AE3C-76A3-4431-85E5-7B0441ABB1B9|RESULT|522611|2|2|MCHC</t>
  </si>
  <si>
    <t>522611|3|2|MCHC</t>
  </si>
  <si>
    <t>FD15AE3C-76A3-4431-85E5-7B0441ABB1B9|RESULT|522611|3|2|MCHC</t>
  </si>
  <si>
    <t>522611|4|2|MCHC</t>
  </si>
  <si>
    <t>FD15AE3C-76A3-4431-85E5-7B0441ABB1B9|RESULT|522611|4|2|MCHC</t>
  </si>
  <si>
    <t>522611|5|2|MCHC</t>
  </si>
  <si>
    <t>FD15AE3C-76A3-4431-85E5-7B0441ABB1B9|RESULT|522611|5|2|MCHC</t>
  </si>
  <si>
    <t>522611|6|2|MCHC</t>
  </si>
  <si>
    <t>FD15AE3C-76A3-4431-85E5-7B0441ABB1B9|RESULT|522611|6|2|MCHC</t>
  </si>
  <si>
    <t>522611|7|2|MCHC</t>
  </si>
  <si>
    <t>FD15AE3C-76A3-4431-85E5-7B0441ABB1B9|RESULT|522611|7|2|MCHC</t>
  </si>
  <si>
    <t>522611|8|2|MCHC</t>
  </si>
  <si>
    <t>FD15AE3C-76A3-4431-85E5-7B0441ABB1B9|RESULT|522611|8|2|MCHC</t>
  </si>
  <si>
    <t>522611|9|2|MCHC</t>
  </si>
  <si>
    <t>FD15AE3C-76A3-4431-85E5-7B0441ABB1B9|RESULT|522611|9|2|MCHC</t>
  </si>
  <si>
    <t>522611|10|2|MCHC</t>
  </si>
  <si>
    <t>FD15AE3C-76A3-4431-85E5-7B0441ABB1B9|RESULT|522611|10|2|MCHC</t>
  </si>
  <si>
    <t>522611|11|2|MCHC</t>
  </si>
  <si>
    <t>FD15AE3C-76A3-4431-85E5-7B0441ABB1B9|RESULT|522611|11|2|MCHC</t>
  </si>
  <si>
    <t>522611|12|2|MCHC</t>
  </si>
  <si>
    <t>FD15AE3C-76A3-4431-85E5-7B0441ABB1B9|RESULT|522611|12|2|MCHC</t>
  </si>
  <si>
    <t>522611|13|2|MCHC</t>
  </si>
  <si>
    <t>FD15AE3C-76A3-4431-85E5-7B0441ABB1B9|RESULT|522611|13|2|MCHC</t>
  </si>
  <si>
    <t>522611|14|2|MCHC</t>
  </si>
  <si>
    <t>FD15AE3C-76A3-4431-85E5-7B0441ABB1B9|RESULT|522611|14|2|MCHC</t>
  </si>
  <si>
    <t>522611|15|2|MCHC</t>
  </si>
  <si>
    <t>FD15AE3C-76A3-4431-85E5-7B0441ABB1B9|RESULT|522611|15|2|MCHC</t>
  </si>
  <si>
    <t>522611|16|2|MCHC</t>
  </si>
  <si>
    <t>FD15AE3C-76A3-4431-85E5-7B0441ABB1B9|RESULT|522611|16|2|MCHC</t>
  </si>
  <si>
    <t>522611|17|2|MCHC</t>
  </si>
  <si>
    <t>FD15AE3C-76A3-4431-85E5-7B0441ABB1B9|RESULT|522611|17|2|MCHC</t>
  </si>
  <si>
    <t>522611|18|2|MCHC</t>
  </si>
  <si>
    <t>FD15AE3C-76A3-4431-85E5-7B0441ABB1B9|RESULT|522611|18|2|MCHC</t>
  </si>
  <si>
    <t>522611|19|2|MCHC</t>
  </si>
  <si>
    <t>FD15AE3C-76A3-4431-85E5-7B0441ABB1B9|RESULT|522611|19|2|MCHC</t>
  </si>
  <si>
    <t>522611|20|2|MCHC</t>
  </si>
  <si>
    <t>FD15AE3C-76A3-4431-85E5-7B0441ABB1B9|RESULT|522611|20|2|MCHC</t>
  </si>
  <si>
    <t>522611|21|2|MCHC</t>
  </si>
  <si>
    <t>FD15AE3C-76A3-4431-85E5-7B0441ABB1B9|RESULT|522611|21|2|MCHC</t>
  </si>
  <si>
    <t>522611|22|2|MCHC</t>
  </si>
  <si>
    <t>FD15AE3C-76A3-4431-85E5-7B0441ABB1B9|RESULT|522611|22|2|MCHC</t>
  </si>
  <si>
    <t>522611|23|2|MCHC</t>
  </si>
  <si>
    <t>FD15AE3C-76A3-4431-85E5-7B0441ABB1B9|RESULT|522611|23|2|MCHC</t>
  </si>
  <si>
    <t>522611|24|2|MCHC</t>
  </si>
  <si>
    <t>FD15AE3C-76A3-4431-85E5-7B0441ABB1B9|RESULT|522611|24|2|MCHC</t>
  </si>
  <si>
    <t>522611|25|2|MCHC</t>
  </si>
  <si>
    <t>FD15AE3C-76A3-4431-85E5-7B0441ABB1B9|RESULT|522611|25|2|MCHC</t>
  </si>
  <si>
    <t>522611|1|3|MCHC</t>
  </si>
  <si>
    <t>FD15AE3C-76A3-4431-85E5-7B0441ABB1B9|RESULT|522611|1|3|MCHC</t>
  </si>
  <si>
    <t>522611|2|3|MCHC</t>
  </si>
  <si>
    <t>FD15AE3C-76A3-4431-85E5-7B0441ABB1B9|RESULT|522611|2|3|MCHC</t>
  </si>
  <si>
    <t>522611|3|3|MCHC</t>
  </si>
  <si>
    <t>FD15AE3C-76A3-4431-85E5-7B0441ABB1B9|RESULT|522611|3|3|MCHC</t>
  </si>
  <si>
    <t>522611|4|3|MCHC</t>
  </si>
  <si>
    <t>FD15AE3C-76A3-4431-85E5-7B0441ABB1B9|RESULT|522611|4|3|MCHC</t>
  </si>
  <si>
    <t>522611|5|3|MCHC</t>
  </si>
  <si>
    <t>FD15AE3C-76A3-4431-85E5-7B0441ABB1B9|RESULT|522611|5|3|MCHC</t>
  </si>
  <si>
    <t>522611|6|3|MCHC</t>
  </si>
  <si>
    <t>FD15AE3C-76A3-4431-85E5-7B0441ABB1B9|RESULT|522611|6|3|MCHC</t>
  </si>
  <si>
    <t>522611|7|3|MCHC</t>
  </si>
  <si>
    <t>FD15AE3C-76A3-4431-85E5-7B0441ABB1B9|RESULT|522611|7|3|MCHC</t>
  </si>
  <si>
    <t>522611|8|3|MCHC</t>
  </si>
  <si>
    <t>FD15AE3C-76A3-4431-85E5-7B0441ABB1B9|RESULT|522611|8|3|MCHC</t>
  </si>
  <si>
    <t>522611|9|3|MCHC</t>
  </si>
  <si>
    <t>FD15AE3C-76A3-4431-85E5-7B0441ABB1B9|RESULT|522611|9|3|MCHC</t>
  </si>
  <si>
    <t>522611|10|3|MCHC</t>
  </si>
  <si>
    <t>FD15AE3C-76A3-4431-85E5-7B0441ABB1B9|RESULT|522611|10|3|MCHC</t>
  </si>
  <si>
    <t>522611|11|3|MCHC</t>
  </si>
  <si>
    <t>FD15AE3C-76A3-4431-85E5-7B0441ABB1B9|RESULT|522611|11|3|MCHC</t>
  </si>
  <si>
    <t>522611|12|3|MCHC</t>
  </si>
  <si>
    <t>FD15AE3C-76A3-4431-85E5-7B0441ABB1B9|RESULT|522611|12|3|MCHC</t>
  </si>
  <si>
    <t>522611|13|3|MCHC</t>
  </si>
  <si>
    <t>FD15AE3C-76A3-4431-85E5-7B0441ABB1B9|RESULT|522611|13|3|MCHC</t>
  </si>
  <si>
    <t>522611|14|3|MCHC</t>
  </si>
  <si>
    <t>FD15AE3C-76A3-4431-85E5-7B0441ABB1B9|RESULT|522611|14|3|MCHC</t>
  </si>
  <si>
    <t>522611|15|3|MCHC</t>
  </si>
  <si>
    <t>FD15AE3C-76A3-4431-85E5-7B0441ABB1B9|RESULT|522611|15|3|MCHC</t>
  </si>
  <si>
    <t>522611|16|3|MCHC</t>
  </si>
  <si>
    <t>FD15AE3C-76A3-4431-85E5-7B0441ABB1B9|RESULT|522611|16|3|MCHC</t>
  </si>
  <si>
    <t>522611|17|3|MCHC</t>
  </si>
  <si>
    <t>FD15AE3C-76A3-4431-85E5-7B0441ABB1B9|RESULT|522611|17|3|MCHC</t>
  </si>
  <si>
    <t>522611|18|3|MCHC</t>
  </si>
  <si>
    <t>FD15AE3C-76A3-4431-85E5-7B0441ABB1B9|RESULT|522611|18|3|MCHC</t>
  </si>
  <si>
    <t>522611|19|3|MCHC</t>
  </si>
  <si>
    <t>FD15AE3C-76A3-4431-85E5-7B0441ABB1B9|RESULT|522611|19|3|MCHC</t>
  </si>
  <si>
    <t>522611|20|3|MCHC</t>
  </si>
  <si>
    <t>FD15AE3C-76A3-4431-85E5-7B0441ABB1B9|RESULT|522611|20|3|MCHC</t>
  </si>
  <si>
    <t>522611|21|3|MCHC</t>
  </si>
  <si>
    <t>FD15AE3C-76A3-4431-85E5-7B0441ABB1B9|RESULT|522611|21|3|MCHC</t>
  </si>
  <si>
    <t>522611|22|3|MCHC</t>
  </si>
  <si>
    <t>FD15AE3C-76A3-4431-85E5-7B0441ABB1B9|RESULT|522611|22|3|MCHC</t>
  </si>
  <si>
    <t>522611|23|3|MCHC</t>
  </si>
  <si>
    <t>FD15AE3C-76A3-4431-85E5-7B0441ABB1B9|RESULT|522611|23|3|MCHC</t>
  </si>
  <si>
    <t>522611|24|3|MCHC</t>
  </si>
  <si>
    <t>FD15AE3C-76A3-4431-85E5-7B0441ABB1B9|RESULT|522611|24|3|MCHC</t>
  </si>
  <si>
    <t>522611|25|3|MCHC</t>
  </si>
  <si>
    <t>FD15AE3C-76A3-4431-85E5-7B0441ABB1B9|RESULT|522611|25|3|MCHC</t>
  </si>
  <si>
    <t>522611|1|1|PLT</t>
  </si>
  <si>
    <t>FD15AE3C-76A3-4431-85E5-7B0441ABB1B9|RESULT|522611|1|1|PLT</t>
  </si>
  <si>
    <t>Hematologia|ANALITO|PLT</t>
  </si>
  <si>
    <t>Nivel 2</t>
  </si>
  <si>
    <t>522611|2|1|PLT</t>
  </si>
  <si>
    <t>FD15AE3C-76A3-4431-85E5-7B0441ABB1B9|RESULT|522611|2|1|PLT</t>
  </si>
  <si>
    <t>522611|3|1|PLT</t>
  </si>
  <si>
    <t>FD15AE3C-76A3-4431-85E5-7B0441ABB1B9|RESULT|522611|3|1|PLT</t>
  </si>
  <si>
    <t>522611|4|1|PLT</t>
  </si>
  <si>
    <t>FD15AE3C-76A3-4431-85E5-7B0441ABB1B9|RESULT|522611|4|1|PLT</t>
  </si>
  <si>
    <t>522611|5|1|PLT</t>
  </si>
  <si>
    <t>FD15AE3C-76A3-4431-85E5-7B0441ABB1B9|RESULT|522611|5|1|PLT</t>
  </si>
  <si>
    <t>522611|6|1|PLT</t>
  </si>
  <si>
    <t>FD15AE3C-76A3-4431-85E5-7B0441ABB1B9|RESULT|522611|6|1|PLT</t>
  </si>
  <si>
    <t>522611|7|1|PLT</t>
  </si>
  <si>
    <t>FD15AE3C-76A3-4431-85E5-7B0441ABB1B9|RESULT|522611|7|1|PLT</t>
  </si>
  <si>
    <t>522611|8|1|PLT</t>
  </si>
  <si>
    <t>FD15AE3C-76A3-4431-85E5-7B0441ABB1B9|RESULT|522611|8|1|PLT</t>
  </si>
  <si>
    <t>522611|9|1|PLT</t>
  </si>
  <si>
    <t>FD15AE3C-76A3-4431-85E5-7B0441ABB1B9|RESULT|522611|9|1|PLT</t>
  </si>
  <si>
    <t>522611|10|1|PLT</t>
  </si>
  <si>
    <t>FD15AE3C-76A3-4431-85E5-7B0441ABB1B9|RESULT|522611|10|1|PLT</t>
  </si>
  <si>
    <t>522611|11|1|PLT</t>
  </si>
  <si>
    <t>FD15AE3C-76A3-4431-85E5-7B0441ABB1B9|RESULT|522611|11|1|PLT</t>
  </si>
  <si>
    <t>522611|12|1|PLT</t>
  </si>
  <si>
    <t>FD15AE3C-76A3-4431-85E5-7B0441ABB1B9|RESULT|522611|12|1|PLT</t>
  </si>
  <si>
    <t>522611|13|1|PLT</t>
  </si>
  <si>
    <t>FD15AE3C-76A3-4431-85E5-7B0441ABB1B9|RESULT|522611|13|1|PLT</t>
  </si>
  <si>
    <t>522611|14|1|PLT</t>
  </si>
  <si>
    <t>FD15AE3C-76A3-4431-85E5-7B0441ABB1B9|RESULT|522611|14|1|PLT</t>
  </si>
  <si>
    <t>522611|15|1|PLT</t>
  </si>
  <si>
    <t>FD15AE3C-76A3-4431-85E5-7B0441ABB1B9|RESULT|522611|15|1|PLT</t>
  </si>
  <si>
    <t>522611|16|1|PLT</t>
  </si>
  <si>
    <t>FD15AE3C-76A3-4431-85E5-7B0441ABB1B9|RESULT|522611|16|1|PLT</t>
  </si>
  <si>
    <t>522611|17|1|PLT</t>
  </si>
  <si>
    <t>FD15AE3C-76A3-4431-85E5-7B0441ABB1B9|RESULT|522611|17|1|PLT</t>
  </si>
  <si>
    <t>522611|18|1|PLT</t>
  </si>
  <si>
    <t>FD15AE3C-76A3-4431-85E5-7B0441ABB1B9|RESULT|522611|18|1|PLT</t>
  </si>
  <si>
    <t>522611|19|1|PLT</t>
  </si>
  <si>
    <t>FD15AE3C-76A3-4431-85E5-7B0441ABB1B9|RESULT|522611|19|1|PLT</t>
  </si>
  <si>
    <t>522611|20|1|PLT</t>
  </si>
  <si>
    <t>FD15AE3C-76A3-4431-85E5-7B0441ABB1B9|RESULT|522611|20|1|PLT</t>
  </si>
  <si>
    <t>522611|21|1|PLT</t>
  </si>
  <si>
    <t>FD15AE3C-76A3-4431-85E5-7B0441ABB1B9|RESULT|522611|21|1|PLT</t>
  </si>
  <si>
    <t>522611|22|1|PLT</t>
  </si>
  <si>
    <t>FD15AE3C-76A3-4431-85E5-7B0441ABB1B9|RESULT|522611|22|1|PLT</t>
  </si>
  <si>
    <t>522611|23|1|PLT</t>
  </si>
  <si>
    <t>FD15AE3C-76A3-4431-85E5-7B0441ABB1B9|RESULT|522611|23|1|PLT</t>
  </si>
  <si>
    <t>522611|24|1|PLT</t>
  </si>
  <si>
    <t>FD15AE3C-76A3-4431-85E5-7B0441ABB1B9|RESULT|522611|24|1|PLT</t>
  </si>
  <si>
    <t>522611|25|1|PLT</t>
  </si>
  <si>
    <t>FD15AE3C-76A3-4431-85E5-7B0441ABB1B9|RESULT|522611|25|1|PLT</t>
  </si>
  <si>
    <t>522611|1|2|PLT</t>
  </si>
  <si>
    <t>FD15AE3C-76A3-4431-85E5-7B0441ABB1B9|RESULT|522611|1|2|PLT</t>
  </si>
  <si>
    <t>522611|2|2|PLT</t>
  </si>
  <si>
    <t>FD15AE3C-76A3-4431-85E5-7B0441ABB1B9|RESULT|522611|2|2|PLT</t>
  </si>
  <si>
    <t>522611|3|2|PLT</t>
  </si>
  <si>
    <t>FD15AE3C-76A3-4431-85E5-7B0441ABB1B9|RESULT|522611|3|2|PLT</t>
  </si>
  <si>
    <t>522611|4|2|PLT</t>
  </si>
  <si>
    <t>FD15AE3C-76A3-4431-85E5-7B0441ABB1B9|RESULT|522611|4|2|PLT</t>
  </si>
  <si>
    <t>522611|5|2|PLT</t>
  </si>
  <si>
    <t>FD15AE3C-76A3-4431-85E5-7B0441ABB1B9|RESULT|522611|5|2|PLT</t>
  </si>
  <si>
    <t>522611|6|2|PLT</t>
  </si>
  <si>
    <t>FD15AE3C-76A3-4431-85E5-7B0441ABB1B9|RESULT|522611|6|2|PLT</t>
  </si>
  <si>
    <t>522611|7|2|PLT</t>
  </si>
  <si>
    <t>FD15AE3C-76A3-4431-85E5-7B0441ABB1B9|RESULT|522611|7|2|PLT</t>
  </si>
  <si>
    <t>522611|8|2|PLT</t>
  </si>
  <si>
    <t>FD15AE3C-76A3-4431-85E5-7B0441ABB1B9|RESULT|522611|8|2|PLT</t>
  </si>
  <si>
    <t>522611|9|2|PLT</t>
  </si>
  <si>
    <t>FD15AE3C-76A3-4431-85E5-7B0441ABB1B9|RESULT|522611|9|2|PLT</t>
  </si>
  <si>
    <t>522611|10|2|PLT</t>
  </si>
  <si>
    <t>FD15AE3C-76A3-4431-85E5-7B0441ABB1B9|RESULT|522611|10|2|PLT</t>
  </si>
  <si>
    <t>522611|11|2|PLT</t>
  </si>
  <si>
    <t>FD15AE3C-76A3-4431-85E5-7B0441ABB1B9|RESULT|522611|11|2|PLT</t>
  </si>
  <si>
    <t>522611|12|2|PLT</t>
  </si>
  <si>
    <t>FD15AE3C-76A3-4431-85E5-7B0441ABB1B9|RESULT|522611|12|2|PLT</t>
  </si>
  <si>
    <t>522611|13|2|PLT</t>
  </si>
  <si>
    <t>FD15AE3C-76A3-4431-85E5-7B0441ABB1B9|RESULT|522611|13|2|PLT</t>
  </si>
  <si>
    <t>522611|14|2|PLT</t>
  </si>
  <si>
    <t>FD15AE3C-76A3-4431-85E5-7B0441ABB1B9|RESULT|522611|14|2|PLT</t>
  </si>
  <si>
    <t>522611|15|2|PLT</t>
  </si>
  <si>
    <t>FD15AE3C-76A3-4431-85E5-7B0441ABB1B9|RESULT|522611|15|2|PLT</t>
  </si>
  <si>
    <t>522611|16|2|PLT</t>
  </si>
  <si>
    <t>FD15AE3C-76A3-4431-85E5-7B0441ABB1B9|RESULT|522611|16|2|PLT</t>
  </si>
  <si>
    <t>522611|17|2|PLT</t>
  </si>
  <si>
    <t>FD15AE3C-76A3-4431-85E5-7B0441ABB1B9|RESULT|522611|17|2|PLT</t>
  </si>
  <si>
    <t>522611|18|2|PLT</t>
  </si>
  <si>
    <t>FD15AE3C-76A3-4431-85E5-7B0441ABB1B9|RESULT|522611|18|2|PLT</t>
  </si>
  <si>
    <t>522611|19|2|PLT</t>
  </si>
  <si>
    <t>FD15AE3C-76A3-4431-85E5-7B0441ABB1B9|RESULT|522611|19|2|PLT</t>
  </si>
  <si>
    <t>522611|20|2|PLT</t>
  </si>
  <si>
    <t>FD15AE3C-76A3-4431-85E5-7B0441ABB1B9|RESULT|522611|20|2|PLT</t>
  </si>
  <si>
    <t>522611|21|2|PLT</t>
  </si>
  <si>
    <t>FD15AE3C-76A3-4431-85E5-7B0441ABB1B9|RESULT|522611|21|2|PLT</t>
  </si>
  <si>
    <t>522611|22|2|PLT</t>
  </si>
  <si>
    <t>FD15AE3C-76A3-4431-85E5-7B0441ABB1B9|RESULT|522611|22|2|PLT</t>
  </si>
  <si>
    <t>522611|23|2|PLT</t>
  </si>
  <si>
    <t>FD15AE3C-76A3-4431-85E5-7B0441ABB1B9|RESULT|522611|23|2|PLT</t>
  </si>
  <si>
    <t>522611|24|2|PLT</t>
  </si>
  <si>
    <t>FD15AE3C-76A3-4431-85E5-7B0441ABB1B9|RESULT|522611|24|2|PLT</t>
  </si>
  <si>
    <t>522611|25|2|PLT</t>
  </si>
  <si>
    <t>FD15AE3C-76A3-4431-85E5-7B0441ABB1B9|RESULT|522611|25|2|PLT</t>
  </si>
  <si>
    <t>522611|1|3|PLT</t>
  </si>
  <si>
    <t>FD15AE3C-76A3-4431-85E5-7B0441ABB1B9|RESULT|522611|1|3|PLT</t>
  </si>
  <si>
    <t>522611|2|3|PLT</t>
  </si>
  <si>
    <t>FD15AE3C-76A3-4431-85E5-7B0441ABB1B9|RESULT|522611|2|3|PLT</t>
  </si>
  <si>
    <t>522611|3|3|PLT</t>
  </si>
  <si>
    <t>FD15AE3C-76A3-4431-85E5-7B0441ABB1B9|RESULT|522611|3|3|PLT</t>
  </si>
  <si>
    <t>522611|4|3|PLT</t>
  </si>
  <si>
    <t>FD15AE3C-76A3-4431-85E5-7B0441ABB1B9|RESULT|522611|4|3|PLT</t>
  </si>
  <si>
    <t>522611|5|3|PLT</t>
  </si>
  <si>
    <t>FD15AE3C-76A3-4431-85E5-7B0441ABB1B9|RESULT|522611|5|3|PLT</t>
  </si>
  <si>
    <t>522611|6|3|PLT</t>
  </si>
  <si>
    <t>FD15AE3C-76A3-4431-85E5-7B0441ABB1B9|RESULT|522611|6|3|PLT</t>
  </si>
  <si>
    <t>522611|7|3|PLT</t>
  </si>
  <si>
    <t>FD15AE3C-76A3-4431-85E5-7B0441ABB1B9|RESULT|522611|7|3|PLT</t>
  </si>
  <si>
    <t>522611|8|3|PLT</t>
  </si>
  <si>
    <t>FD15AE3C-76A3-4431-85E5-7B0441ABB1B9|RESULT|522611|8|3|PLT</t>
  </si>
  <si>
    <t>522611|9|3|PLT</t>
  </si>
  <si>
    <t>FD15AE3C-76A3-4431-85E5-7B0441ABB1B9|RESULT|522611|9|3|PLT</t>
  </si>
  <si>
    <t>522611|10|3|PLT</t>
  </si>
  <si>
    <t>FD15AE3C-76A3-4431-85E5-7B0441ABB1B9|RESULT|522611|10|3|PLT</t>
  </si>
  <si>
    <t>522611|11|3|PLT</t>
  </si>
  <si>
    <t>FD15AE3C-76A3-4431-85E5-7B0441ABB1B9|RESULT|522611|11|3|PLT</t>
  </si>
  <si>
    <t>522611|12|3|PLT</t>
  </si>
  <si>
    <t>FD15AE3C-76A3-4431-85E5-7B0441ABB1B9|RESULT|522611|12|3|PLT</t>
  </si>
  <si>
    <t>522611|13|3|PLT</t>
  </si>
  <si>
    <t>FD15AE3C-76A3-4431-85E5-7B0441ABB1B9|RESULT|522611|13|3|PLT</t>
  </si>
  <si>
    <t>522611|14|3|PLT</t>
  </si>
  <si>
    <t>FD15AE3C-76A3-4431-85E5-7B0441ABB1B9|RESULT|522611|14|3|PLT</t>
  </si>
  <si>
    <t>522611|15|3|PLT</t>
  </si>
  <si>
    <t>FD15AE3C-76A3-4431-85E5-7B0441ABB1B9|RESULT|522611|15|3|PLT</t>
  </si>
  <si>
    <t>522611|16|3|PLT</t>
  </si>
  <si>
    <t>FD15AE3C-76A3-4431-85E5-7B0441ABB1B9|RESULT|522611|16|3|PLT</t>
  </si>
  <si>
    <t>522611|17|3|PLT</t>
  </si>
  <si>
    <t>FD15AE3C-76A3-4431-85E5-7B0441ABB1B9|RESULT|522611|17|3|PLT</t>
  </si>
  <si>
    <t>522611|18|3|PLT</t>
  </si>
  <si>
    <t>FD15AE3C-76A3-4431-85E5-7B0441ABB1B9|RESULT|522611|18|3|PLT</t>
  </si>
  <si>
    <t>522611|19|3|PLT</t>
  </si>
  <si>
    <t>FD15AE3C-76A3-4431-85E5-7B0441ABB1B9|RESULT|522611|19|3|PLT</t>
  </si>
  <si>
    <t>522611|20|3|PLT</t>
  </si>
  <si>
    <t>FD15AE3C-76A3-4431-85E5-7B0441ABB1B9|RESULT|522611|20|3|PLT</t>
  </si>
  <si>
    <t>522611|21|3|PLT</t>
  </si>
  <si>
    <t>FD15AE3C-76A3-4431-85E5-7B0441ABB1B9|RESULT|522611|21|3|PLT</t>
  </si>
  <si>
    <t>522611|22|3|PLT</t>
  </si>
  <si>
    <t>FD15AE3C-76A3-4431-85E5-7B0441ABB1B9|RESULT|522611|22|3|PLT</t>
  </si>
  <si>
    <t>522611|23|3|PLT</t>
  </si>
  <si>
    <t>FD15AE3C-76A3-4431-85E5-7B0441ABB1B9|RESULT|522611|23|3|PLT</t>
  </si>
  <si>
    <t>522611|24|3|PLT</t>
  </si>
  <si>
    <t>FD15AE3C-76A3-4431-85E5-7B0441ABB1B9|RESULT|522611|24|3|PLT</t>
  </si>
  <si>
    <t>522611|25|3|PLT</t>
  </si>
  <si>
    <t>FD15AE3C-76A3-4431-85E5-7B0441ABB1B9|RESULT|522611|25|3|PLT</t>
  </si>
  <si>
    <t>522611|1|1|NEUT#</t>
  </si>
  <si>
    <t>FD15AE3C-76A3-4431-85E5-7B0441ABB1B9|RESULT|522611|1|1|NEUT#</t>
  </si>
  <si>
    <t>Hematologia|ANALITO|NEUT#</t>
  </si>
  <si>
    <t>522611|2|1|NEUT#</t>
  </si>
  <si>
    <t>FD15AE3C-76A3-4431-85E5-7B0441ABB1B9|RESULT|522611|2|1|NEUT#</t>
  </si>
  <si>
    <t>522611|3|1|NEUT#</t>
  </si>
  <si>
    <t>FD15AE3C-76A3-4431-85E5-7B0441ABB1B9|RESULT|522611|3|1|NEUT#</t>
  </si>
  <si>
    <t>522611|4|1|NEUT#</t>
  </si>
  <si>
    <t>FD15AE3C-76A3-4431-85E5-7B0441ABB1B9|RESULT|522611|4|1|NEUT#</t>
  </si>
  <si>
    <t>522611|5|1|NEUT#</t>
  </si>
  <si>
    <t>FD15AE3C-76A3-4431-85E5-7B0441ABB1B9|RESULT|522611|5|1|NEUT#</t>
  </si>
  <si>
    <t>522611|6|1|NEUT#</t>
  </si>
  <si>
    <t>FD15AE3C-76A3-4431-85E5-7B0441ABB1B9|RESULT|522611|6|1|NEUT#</t>
  </si>
  <si>
    <t>522611|7|1|NEUT#</t>
  </si>
  <si>
    <t>FD15AE3C-76A3-4431-85E5-7B0441ABB1B9|RESULT|522611|7|1|NEUT#</t>
  </si>
  <si>
    <t>522611|8|1|NEUT#</t>
  </si>
  <si>
    <t>FD15AE3C-76A3-4431-85E5-7B0441ABB1B9|RESULT|522611|8|1|NEUT#</t>
  </si>
  <si>
    <t>522611|9|1|NEUT#</t>
  </si>
  <si>
    <t>FD15AE3C-76A3-4431-85E5-7B0441ABB1B9|RESULT|522611|9|1|NEUT#</t>
  </si>
  <si>
    <t>522611|10|1|NEUT#</t>
  </si>
  <si>
    <t>FD15AE3C-76A3-4431-85E5-7B0441ABB1B9|RESULT|522611|10|1|NEUT#</t>
  </si>
  <si>
    <t>522611|11|1|NEUT#</t>
  </si>
  <si>
    <t>FD15AE3C-76A3-4431-85E5-7B0441ABB1B9|RESULT|522611|11|1|NEUT#</t>
  </si>
  <si>
    <t>522611|12|1|NEUT#</t>
  </si>
  <si>
    <t>FD15AE3C-76A3-4431-85E5-7B0441ABB1B9|RESULT|522611|12|1|NEUT#</t>
  </si>
  <si>
    <t>522611|13|1|NEUT#</t>
  </si>
  <si>
    <t>FD15AE3C-76A3-4431-85E5-7B0441ABB1B9|RESULT|522611|13|1|NEUT#</t>
  </si>
  <si>
    <t>522611|14|1|NEUT#</t>
  </si>
  <si>
    <t>FD15AE3C-76A3-4431-85E5-7B0441ABB1B9|RESULT|522611|14|1|NEUT#</t>
  </si>
  <si>
    <t>522611|15|1|NEUT#</t>
  </si>
  <si>
    <t>FD15AE3C-76A3-4431-85E5-7B0441ABB1B9|RESULT|522611|15|1|NEUT#</t>
  </si>
  <si>
    <t>522611|16|1|NEUT#</t>
  </si>
  <si>
    <t>FD15AE3C-76A3-4431-85E5-7B0441ABB1B9|RESULT|522611|16|1|NEUT#</t>
  </si>
  <si>
    <t>522611|17|1|NEUT#</t>
  </si>
  <si>
    <t>FD15AE3C-76A3-4431-85E5-7B0441ABB1B9|RESULT|522611|17|1|NEUT#</t>
  </si>
  <si>
    <t>522611|18|1|NEUT#</t>
  </si>
  <si>
    <t>FD15AE3C-76A3-4431-85E5-7B0441ABB1B9|RESULT|522611|18|1|NEUT#</t>
  </si>
  <si>
    <t>522611|19|1|NEUT#</t>
  </si>
  <si>
    <t>FD15AE3C-76A3-4431-85E5-7B0441ABB1B9|RESULT|522611|19|1|NEUT#</t>
  </si>
  <si>
    <t>522611|20|1|NEUT#</t>
  </si>
  <si>
    <t>FD15AE3C-76A3-4431-85E5-7B0441ABB1B9|RESULT|522611|20|1|NEUT#</t>
  </si>
  <si>
    <t>522611|21|1|NEUT#</t>
  </si>
  <si>
    <t>FD15AE3C-76A3-4431-85E5-7B0441ABB1B9|RESULT|522611|21|1|NEUT#</t>
  </si>
  <si>
    <t>522611|22|1|NEUT#</t>
  </si>
  <si>
    <t>FD15AE3C-76A3-4431-85E5-7B0441ABB1B9|RESULT|522611|22|1|NEUT#</t>
  </si>
  <si>
    <t>522611|23|1|NEUT#</t>
  </si>
  <si>
    <t>FD15AE3C-76A3-4431-85E5-7B0441ABB1B9|RESULT|522611|23|1|NEUT#</t>
  </si>
  <si>
    <t>522611|24|1|NEUT#</t>
  </si>
  <si>
    <t>FD15AE3C-76A3-4431-85E5-7B0441ABB1B9|RESULT|522611|24|1|NEUT#</t>
  </si>
  <si>
    <t>522611|25|1|NEUT#</t>
  </si>
  <si>
    <t>FD15AE3C-76A3-4431-85E5-7B0441ABB1B9|RESULT|522611|25|1|NEUT#</t>
  </si>
  <si>
    <t>522611|1|2|NEUT#</t>
  </si>
  <si>
    <t>FD15AE3C-76A3-4431-85E5-7B0441ABB1B9|RESULT|522611|1|2|NEUT#</t>
  </si>
  <si>
    <t>522611|2|2|NEUT#</t>
  </si>
  <si>
    <t>FD15AE3C-76A3-4431-85E5-7B0441ABB1B9|RESULT|522611|2|2|NEUT#</t>
  </si>
  <si>
    <t>522611|3|2|NEUT#</t>
  </si>
  <si>
    <t>FD15AE3C-76A3-4431-85E5-7B0441ABB1B9|RESULT|522611|3|2|NEUT#</t>
  </si>
  <si>
    <t>522611|4|2|NEUT#</t>
  </si>
  <si>
    <t>FD15AE3C-76A3-4431-85E5-7B0441ABB1B9|RESULT|522611|4|2|NEUT#</t>
  </si>
  <si>
    <t>522611|5|2|NEUT#</t>
  </si>
  <si>
    <t>FD15AE3C-76A3-4431-85E5-7B0441ABB1B9|RESULT|522611|5|2|NEUT#</t>
  </si>
  <si>
    <t>522611|6|2|NEUT#</t>
  </si>
  <si>
    <t>FD15AE3C-76A3-4431-85E5-7B0441ABB1B9|RESULT|522611|6|2|NEUT#</t>
  </si>
  <si>
    <t>522611|7|2|NEUT#</t>
  </si>
  <si>
    <t>FD15AE3C-76A3-4431-85E5-7B0441ABB1B9|RESULT|522611|7|2|NEUT#</t>
  </si>
  <si>
    <t>522611|8|2|NEUT#</t>
  </si>
  <si>
    <t>FD15AE3C-76A3-4431-85E5-7B0441ABB1B9|RESULT|522611|8|2|NEUT#</t>
  </si>
  <si>
    <t>522611|9|2|NEUT#</t>
  </si>
  <si>
    <t>FD15AE3C-76A3-4431-85E5-7B0441ABB1B9|RESULT|522611|9|2|NEUT#</t>
  </si>
  <si>
    <t>522611|10|2|NEUT#</t>
  </si>
  <si>
    <t>FD15AE3C-76A3-4431-85E5-7B0441ABB1B9|RESULT|522611|10|2|NEUT#</t>
  </si>
  <si>
    <t>522611|11|2|NEUT#</t>
  </si>
  <si>
    <t>FD15AE3C-76A3-4431-85E5-7B0441ABB1B9|RESULT|522611|11|2|NEUT#</t>
  </si>
  <si>
    <t>522611|12|2|NEUT#</t>
  </si>
  <si>
    <t>FD15AE3C-76A3-4431-85E5-7B0441ABB1B9|RESULT|522611|12|2|NEUT#</t>
  </si>
  <si>
    <t>522611|13|2|NEUT#</t>
  </si>
  <si>
    <t>FD15AE3C-76A3-4431-85E5-7B0441ABB1B9|RESULT|522611|13|2|NEUT#</t>
  </si>
  <si>
    <t>522611|14|2|NEUT#</t>
  </si>
  <si>
    <t>FD15AE3C-76A3-4431-85E5-7B0441ABB1B9|RESULT|522611|14|2|NEUT#</t>
  </si>
  <si>
    <t>522611|15|2|NEUT#</t>
  </si>
  <si>
    <t>FD15AE3C-76A3-4431-85E5-7B0441ABB1B9|RESULT|522611|15|2|NEUT#</t>
  </si>
  <si>
    <t>522611|16|2|NEUT#</t>
  </si>
  <si>
    <t>FD15AE3C-76A3-4431-85E5-7B0441ABB1B9|RESULT|522611|16|2|NEUT#</t>
  </si>
  <si>
    <t>522611|17|2|NEUT#</t>
  </si>
  <si>
    <t>FD15AE3C-76A3-4431-85E5-7B0441ABB1B9|RESULT|522611|17|2|NEUT#</t>
  </si>
  <si>
    <t>522611|18|2|NEUT#</t>
  </si>
  <si>
    <t>FD15AE3C-76A3-4431-85E5-7B0441ABB1B9|RESULT|522611|18|2|NEUT#</t>
  </si>
  <si>
    <t>522611|19|2|NEUT#</t>
  </si>
  <si>
    <t>FD15AE3C-76A3-4431-85E5-7B0441ABB1B9|RESULT|522611|19|2|NEUT#</t>
  </si>
  <si>
    <t>522611|20|2|NEUT#</t>
  </si>
  <si>
    <t>FD15AE3C-76A3-4431-85E5-7B0441ABB1B9|RESULT|522611|20|2|NEUT#</t>
  </si>
  <si>
    <t>522611|21|2|NEUT#</t>
  </si>
  <si>
    <t>FD15AE3C-76A3-4431-85E5-7B0441ABB1B9|RESULT|522611|21|2|NEUT#</t>
  </si>
  <si>
    <t>522611|22|2|NEUT#</t>
  </si>
  <si>
    <t>FD15AE3C-76A3-4431-85E5-7B0441ABB1B9|RESULT|522611|22|2|NEUT#</t>
  </si>
  <si>
    <t>522611|23|2|NEUT#</t>
  </si>
  <si>
    <t>FD15AE3C-76A3-4431-85E5-7B0441ABB1B9|RESULT|522611|23|2|NEUT#</t>
  </si>
  <si>
    <t>522611|24|2|NEUT#</t>
  </si>
  <si>
    <t>FD15AE3C-76A3-4431-85E5-7B0441ABB1B9|RESULT|522611|24|2|NEUT#</t>
  </si>
  <si>
    <t>522611|25|2|NEUT#</t>
  </si>
  <si>
    <t>FD15AE3C-76A3-4431-85E5-7B0441ABB1B9|RESULT|522611|25|2|NEUT#</t>
  </si>
  <si>
    <t>522611|1|3|NEUT#</t>
  </si>
  <si>
    <t>FD15AE3C-76A3-4431-85E5-7B0441ABB1B9|RESULT|522611|1|3|NEUT#</t>
  </si>
  <si>
    <t>522611|2|3|NEUT#</t>
  </si>
  <si>
    <t>FD15AE3C-76A3-4431-85E5-7B0441ABB1B9|RESULT|522611|2|3|NEUT#</t>
  </si>
  <si>
    <t>522611|3|3|NEUT#</t>
  </si>
  <si>
    <t>FD15AE3C-76A3-4431-85E5-7B0441ABB1B9|RESULT|522611|3|3|NEUT#</t>
  </si>
  <si>
    <t>522611|4|3|NEUT#</t>
  </si>
  <si>
    <t>FD15AE3C-76A3-4431-85E5-7B0441ABB1B9|RESULT|522611|4|3|NEUT#</t>
  </si>
  <si>
    <t>522611|5|3|NEUT#</t>
  </si>
  <si>
    <t>FD15AE3C-76A3-4431-85E5-7B0441ABB1B9|RESULT|522611|5|3|NEUT#</t>
  </si>
  <si>
    <t>522611|6|3|NEUT#</t>
  </si>
  <si>
    <t>FD15AE3C-76A3-4431-85E5-7B0441ABB1B9|RESULT|522611|6|3|NEUT#</t>
  </si>
  <si>
    <t>522611|7|3|NEUT#</t>
  </si>
  <si>
    <t>FD15AE3C-76A3-4431-85E5-7B0441ABB1B9|RESULT|522611|7|3|NEUT#</t>
  </si>
  <si>
    <t>522611|8|3|NEUT#</t>
  </si>
  <si>
    <t>FD15AE3C-76A3-4431-85E5-7B0441ABB1B9|RESULT|522611|8|3|NEUT#</t>
  </si>
  <si>
    <t>522611|9|3|NEUT#</t>
  </si>
  <si>
    <t>FD15AE3C-76A3-4431-85E5-7B0441ABB1B9|RESULT|522611|9|3|NEUT#</t>
  </si>
  <si>
    <t>522611|10|3|NEUT#</t>
  </si>
  <si>
    <t>FD15AE3C-76A3-4431-85E5-7B0441ABB1B9|RESULT|522611|10|3|NEUT#</t>
  </si>
  <si>
    <t>522611|11|3|NEUT#</t>
  </si>
  <si>
    <t>FD15AE3C-76A3-4431-85E5-7B0441ABB1B9|RESULT|522611|11|3|NEUT#</t>
  </si>
  <si>
    <t>522611|12|3|NEUT#</t>
  </si>
  <si>
    <t>FD15AE3C-76A3-4431-85E5-7B0441ABB1B9|RESULT|522611|12|3|NEUT#</t>
  </si>
  <si>
    <t>522611|13|3|NEUT#</t>
  </si>
  <si>
    <t>FD15AE3C-76A3-4431-85E5-7B0441ABB1B9|RESULT|522611|13|3|NEUT#</t>
  </si>
  <si>
    <t>522611|14|3|NEUT#</t>
  </si>
  <si>
    <t>FD15AE3C-76A3-4431-85E5-7B0441ABB1B9|RESULT|522611|14|3|NEUT#</t>
  </si>
  <si>
    <t>522611|15|3|NEUT#</t>
  </si>
  <si>
    <t>FD15AE3C-76A3-4431-85E5-7B0441ABB1B9|RESULT|522611|15|3|NEUT#</t>
  </si>
  <si>
    <t>522611|16|3|NEUT#</t>
  </si>
  <si>
    <t>FD15AE3C-76A3-4431-85E5-7B0441ABB1B9|RESULT|522611|16|3|NEUT#</t>
  </si>
  <si>
    <t>522611|17|3|NEUT#</t>
  </si>
  <si>
    <t>FD15AE3C-76A3-4431-85E5-7B0441ABB1B9|RESULT|522611|17|3|NEUT#</t>
  </si>
  <si>
    <t>522611|18|3|NEUT#</t>
  </si>
  <si>
    <t>FD15AE3C-76A3-4431-85E5-7B0441ABB1B9|RESULT|522611|18|3|NEUT#</t>
  </si>
  <si>
    <t>522611|19|3|NEUT#</t>
  </si>
  <si>
    <t>FD15AE3C-76A3-4431-85E5-7B0441ABB1B9|RESULT|522611|19|3|NEUT#</t>
  </si>
  <si>
    <t>522611|20|3|NEUT#</t>
  </si>
  <si>
    <t>FD15AE3C-76A3-4431-85E5-7B0441ABB1B9|RESULT|522611|20|3|NEUT#</t>
  </si>
  <si>
    <t>522611|21|3|NEUT#</t>
  </si>
  <si>
    <t>FD15AE3C-76A3-4431-85E5-7B0441ABB1B9|RESULT|522611|21|3|NEUT#</t>
  </si>
  <si>
    <t>522611|22|3|NEUT#</t>
  </si>
  <si>
    <t>FD15AE3C-76A3-4431-85E5-7B0441ABB1B9|RESULT|522611|22|3|NEUT#</t>
  </si>
  <si>
    <t>522611|23|3|NEUT#</t>
  </si>
  <si>
    <t>FD15AE3C-76A3-4431-85E5-7B0441ABB1B9|RESULT|522611|23|3|NEUT#</t>
  </si>
  <si>
    <t>522611|24|3|NEUT#</t>
  </si>
  <si>
    <t>FD15AE3C-76A3-4431-85E5-7B0441ABB1B9|RESULT|522611|24|3|NEUT#</t>
  </si>
  <si>
    <t>522611|25|3|NEUT#</t>
  </si>
  <si>
    <t>FD15AE3C-76A3-4431-85E5-7B0441ABB1B9|RESULT|522611|25|3|NEUT#</t>
  </si>
  <si>
    <t>522611|1|1|LYMPH#</t>
  </si>
  <si>
    <t>FD15AE3C-76A3-4431-85E5-7B0441ABB1B9|RESULT|522611|1|1|LYMPH#</t>
  </si>
  <si>
    <t>Hematologia|ANALITO|LYMPH#</t>
  </si>
  <si>
    <t>Nivel 3</t>
  </si>
  <si>
    <t>522611|2|1|LYMPH#</t>
  </si>
  <si>
    <t>FD15AE3C-76A3-4431-85E5-7B0441ABB1B9|RESULT|522611|2|1|LYMPH#</t>
  </si>
  <si>
    <t>522611|3|1|LYMPH#</t>
  </si>
  <si>
    <t>FD15AE3C-76A3-4431-85E5-7B0441ABB1B9|RESULT|522611|3|1|LYMPH#</t>
  </si>
  <si>
    <t>522611|4|1|LYMPH#</t>
  </si>
  <si>
    <t>FD15AE3C-76A3-4431-85E5-7B0441ABB1B9|RESULT|522611|4|1|LYMPH#</t>
  </si>
  <si>
    <t>522611|5|1|LYMPH#</t>
  </si>
  <si>
    <t>FD15AE3C-76A3-4431-85E5-7B0441ABB1B9|RESULT|522611|5|1|LYMPH#</t>
  </si>
  <si>
    <t>522611|6|1|LYMPH#</t>
  </si>
  <si>
    <t>FD15AE3C-76A3-4431-85E5-7B0441ABB1B9|RESULT|522611|6|1|LYMPH#</t>
  </si>
  <si>
    <t>522611|7|1|LYMPH#</t>
  </si>
  <si>
    <t>FD15AE3C-76A3-4431-85E5-7B0441ABB1B9|RESULT|522611|7|1|LYMPH#</t>
  </si>
  <si>
    <t>522611|8|1|LYMPH#</t>
  </si>
  <si>
    <t>FD15AE3C-76A3-4431-85E5-7B0441ABB1B9|RESULT|522611|8|1|LYMPH#</t>
  </si>
  <si>
    <t>522611|9|1|LYMPH#</t>
  </si>
  <si>
    <t>FD15AE3C-76A3-4431-85E5-7B0441ABB1B9|RESULT|522611|9|1|LYMPH#</t>
  </si>
  <si>
    <t>522611|10|1|LYMPH#</t>
  </si>
  <si>
    <t>FD15AE3C-76A3-4431-85E5-7B0441ABB1B9|RESULT|522611|10|1|LYMPH#</t>
  </si>
  <si>
    <t>522611|11|1|LYMPH#</t>
  </si>
  <si>
    <t>FD15AE3C-76A3-4431-85E5-7B0441ABB1B9|RESULT|522611|11|1|LYMPH#</t>
  </si>
  <si>
    <t>522611|12|1|LYMPH#</t>
  </si>
  <si>
    <t>FD15AE3C-76A3-4431-85E5-7B0441ABB1B9|RESULT|522611|12|1|LYMPH#</t>
  </si>
  <si>
    <t>522611|13|1|LYMPH#</t>
  </si>
  <si>
    <t>FD15AE3C-76A3-4431-85E5-7B0441ABB1B9|RESULT|522611|13|1|LYMPH#</t>
  </si>
  <si>
    <t>522611|14|1|LYMPH#</t>
  </si>
  <si>
    <t>FD15AE3C-76A3-4431-85E5-7B0441ABB1B9|RESULT|522611|14|1|LYMPH#</t>
  </si>
  <si>
    <t>522611|15|1|LYMPH#</t>
  </si>
  <si>
    <t>FD15AE3C-76A3-4431-85E5-7B0441ABB1B9|RESULT|522611|15|1|LYMPH#</t>
  </si>
  <si>
    <t>522611|16|1|LYMPH#</t>
  </si>
  <si>
    <t>FD15AE3C-76A3-4431-85E5-7B0441ABB1B9|RESULT|522611|16|1|LYMPH#</t>
  </si>
  <si>
    <t>522611|17|1|LYMPH#</t>
  </si>
  <si>
    <t>FD15AE3C-76A3-4431-85E5-7B0441ABB1B9|RESULT|522611|17|1|LYMPH#</t>
  </si>
  <si>
    <t>522611|18|1|LYMPH#</t>
  </si>
  <si>
    <t>FD15AE3C-76A3-4431-85E5-7B0441ABB1B9|RESULT|522611|18|1|LYMPH#</t>
  </si>
  <si>
    <t>522611|19|1|LYMPH#</t>
  </si>
  <si>
    <t>FD15AE3C-76A3-4431-85E5-7B0441ABB1B9|RESULT|522611|19|1|LYMPH#</t>
  </si>
  <si>
    <t>522611|20|1|LYMPH#</t>
  </si>
  <si>
    <t>FD15AE3C-76A3-4431-85E5-7B0441ABB1B9|RESULT|522611|20|1|LYMPH#</t>
  </si>
  <si>
    <t>522611|21|1|LYMPH#</t>
  </si>
  <si>
    <t>FD15AE3C-76A3-4431-85E5-7B0441ABB1B9|RESULT|522611|21|1|LYMPH#</t>
  </si>
  <si>
    <t>522611|22|1|LYMPH#</t>
  </si>
  <si>
    <t>FD15AE3C-76A3-4431-85E5-7B0441ABB1B9|RESULT|522611|22|1|LYMPH#</t>
  </si>
  <si>
    <t>522611|23|1|LYMPH#</t>
  </si>
  <si>
    <t>FD15AE3C-76A3-4431-85E5-7B0441ABB1B9|RESULT|522611|23|1|LYMPH#</t>
  </si>
  <si>
    <t>522611|24|1|LYMPH#</t>
  </si>
  <si>
    <t>FD15AE3C-76A3-4431-85E5-7B0441ABB1B9|RESULT|522611|24|1|LYMPH#</t>
  </si>
  <si>
    <t>522611|25|1|LYMPH#</t>
  </si>
  <si>
    <t>FD15AE3C-76A3-4431-85E5-7B0441ABB1B9|RESULT|522611|25|1|LYMPH#</t>
  </si>
  <si>
    <t>522611|1|2|LYMPH#</t>
  </si>
  <si>
    <t>FD15AE3C-76A3-4431-85E5-7B0441ABB1B9|RESULT|522611|1|2|LYMPH#</t>
  </si>
  <si>
    <t>522611|2|2|LYMPH#</t>
  </si>
  <si>
    <t>FD15AE3C-76A3-4431-85E5-7B0441ABB1B9|RESULT|522611|2|2|LYMPH#</t>
  </si>
  <si>
    <t>522611|3|2|LYMPH#</t>
  </si>
  <si>
    <t>FD15AE3C-76A3-4431-85E5-7B0441ABB1B9|RESULT|522611|3|2|LYMPH#</t>
  </si>
  <si>
    <t>522611|4|2|LYMPH#</t>
  </si>
  <si>
    <t>FD15AE3C-76A3-4431-85E5-7B0441ABB1B9|RESULT|522611|4|2|LYMPH#</t>
  </si>
  <si>
    <t>522611|5|2|LYMPH#</t>
  </si>
  <si>
    <t>FD15AE3C-76A3-4431-85E5-7B0441ABB1B9|RESULT|522611|5|2|LYMPH#</t>
  </si>
  <si>
    <t>522611|6|2|LYMPH#</t>
  </si>
  <si>
    <t>FD15AE3C-76A3-4431-85E5-7B0441ABB1B9|RESULT|522611|6|2|LYMPH#</t>
  </si>
  <si>
    <t>522611|7|2|LYMPH#</t>
  </si>
  <si>
    <t>FD15AE3C-76A3-4431-85E5-7B0441ABB1B9|RESULT|522611|7|2|LYMPH#</t>
  </si>
  <si>
    <t>522611|8|2|LYMPH#</t>
  </si>
  <si>
    <t>FD15AE3C-76A3-4431-85E5-7B0441ABB1B9|RESULT|522611|8|2|LYMPH#</t>
  </si>
  <si>
    <t>522611|9|2|LYMPH#</t>
  </si>
  <si>
    <t>FD15AE3C-76A3-4431-85E5-7B0441ABB1B9|RESULT|522611|9|2|LYMPH#</t>
  </si>
  <si>
    <t>522611|10|2|LYMPH#</t>
  </si>
  <si>
    <t>FD15AE3C-76A3-4431-85E5-7B0441ABB1B9|RESULT|522611|10|2|LYMPH#</t>
  </si>
  <si>
    <t>522611|11|2|LYMPH#</t>
  </si>
  <si>
    <t>FD15AE3C-76A3-4431-85E5-7B0441ABB1B9|RESULT|522611|11|2|LYMPH#</t>
  </si>
  <si>
    <t>522611|12|2|LYMPH#</t>
  </si>
  <si>
    <t>FD15AE3C-76A3-4431-85E5-7B0441ABB1B9|RESULT|522611|12|2|LYMPH#</t>
  </si>
  <si>
    <t>522611|13|2|LYMPH#</t>
  </si>
  <si>
    <t>FD15AE3C-76A3-4431-85E5-7B0441ABB1B9|RESULT|522611|13|2|LYMPH#</t>
  </si>
  <si>
    <t>522611|14|2|LYMPH#</t>
  </si>
  <si>
    <t>FD15AE3C-76A3-4431-85E5-7B0441ABB1B9|RESULT|522611|14|2|LYMPH#</t>
  </si>
  <si>
    <t>522611|15|2|LYMPH#</t>
  </si>
  <si>
    <t>FD15AE3C-76A3-4431-85E5-7B0441ABB1B9|RESULT|522611|15|2|LYMPH#</t>
  </si>
  <si>
    <t>522611|16|2|LYMPH#</t>
  </si>
  <si>
    <t>FD15AE3C-76A3-4431-85E5-7B0441ABB1B9|RESULT|522611|16|2|LYMPH#</t>
  </si>
  <si>
    <t>522611|17|2|LYMPH#</t>
  </si>
  <si>
    <t>FD15AE3C-76A3-4431-85E5-7B0441ABB1B9|RESULT|522611|17|2|LYMPH#</t>
  </si>
  <si>
    <t>522611|18|2|LYMPH#</t>
  </si>
  <si>
    <t>FD15AE3C-76A3-4431-85E5-7B0441ABB1B9|RESULT|522611|18|2|LYMPH#</t>
  </si>
  <si>
    <t>522611|19|2|LYMPH#</t>
  </si>
  <si>
    <t>FD15AE3C-76A3-4431-85E5-7B0441ABB1B9|RESULT|522611|19|2|LYMPH#</t>
  </si>
  <si>
    <t>522611|20|2|LYMPH#</t>
  </si>
  <si>
    <t>FD15AE3C-76A3-4431-85E5-7B0441ABB1B9|RESULT|522611|20|2|LYMPH#</t>
  </si>
  <si>
    <t>522611|21|2|LYMPH#</t>
  </si>
  <si>
    <t>FD15AE3C-76A3-4431-85E5-7B0441ABB1B9|RESULT|522611|21|2|LYMPH#</t>
  </si>
  <si>
    <t>522611|22|2|LYMPH#</t>
  </si>
  <si>
    <t>FD15AE3C-76A3-4431-85E5-7B0441ABB1B9|RESULT|522611|22|2|LYMPH#</t>
  </si>
  <si>
    <t>522611|23|2|LYMPH#</t>
  </si>
  <si>
    <t>FD15AE3C-76A3-4431-85E5-7B0441ABB1B9|RESULT|522611|23|2|LYMPH#</t>
  </si>
  <si>
    <t>522611|24|2|LYMPH#</t>
  </si>
  <si>
    <t>FD15AE3C-76A3-4431-85E5-7B0441ABB1B9|RESULT|522611|24|2|LYMPH#</t>
  </si>
  <si>
    <t>522611|25|2|LYMPH#</t>
  </si>
  <si>
    <t>FD15AE3C-76A3-4431-85E5-7B0441ABB1B9|RESULT|522611|25|2|LYMPH#</t>
  </si>
  <si>
    <t>522611|1|3|LYMPH#</t>
  </si>
  <si>
    <t>FD15AE3C-76A3-4431-85E5-7B0441ABB1B9|RESULT|522611|1|3|LYMPH#</t>
  </si>
  <si>
    <t>522611|2|3|LYMPH#</t>
  </si>
  <si>
    <t>FD15AE3C-76A3-4431-85E5-7B0441ABB1B9|RESULT|522611|2|3|LYMPH#</t>
  </si>
  <si>
    <t>522611|3|3|LYMPH#</t>
  </si>
  <si>
    <t>FD15AE3C-76A3-4431-85E5-7B0441ABB1B9|RESULT|522611|3|3|LYMPH#</t>
  </si>
  <si>
    <t>522611|4|3|LYMPH#</t>
  </si>
  <si>
    <t>FD15AE3C-76A3-4431-85E5-7B0441ABB1B9|RESULT|522611|4|3|LYMPH#</t>
  </si>
  <si>
    <t>522611|5|3|LYMPH#</t>
  </si>
  <si>
    <t>FD15AE3C-76A3-4431-85E5-7B0441ABB1B9|RESULT|522611|5|3|LYMPH#</t>
  </si>
  <si>
    <t>522611|6|3|LYMPH#</t>
  </si>
  <si>
    <t>FD15AE3C-76A3-4431-85E5-7B0441ABB1B9|RESULT|522611|6|3|LYMPH#</t>
  </si>
  <si>
    <t>522611|7|3|LYMPH#</t>
  </si>
  <si>
    <t>FD15AE3C-76A3-4431-85E5-7B0441ABB1B9|RESULT|522611|7|3|LYMPH#</t>
  </si>
  <si>
    <t>522611|8|3|LYMPH#</t>
  </si>
  <si>
    <t>FD15AE3C-76A3-4431-85E5-7B0441ABB1B9|RESULT|522611|8|3|LYMPH#</t>
  </si>
  <si>
    <t>522611|9|3|LYMPH#</t>
  </si>
  <si>
    <t>FD15AE3C-76A3-4431-85E5-7B0441ABB1B9|RESULT|522611|9|3|LYMPH#</t>
  </si>
  <si>
    <t>522611|10|3|LYMPH#</t>
  </si>
  <si>
    <t>FD15AE3C-76A3-4431-85E5-7B0441ABB1B9|RESULT|522611|10|3|LYMPH#</t>
  </si>
  <si>
    <t>522611|11|3|LYMPH#</t>
  </si>
  <si>
    <t>FD15AE3C-76A3-4431-85E5-7B0441ABB1B9|RESULT|522611|11|3|LYMPH#</t>
  </si>
  <si>
    <t>522611|12|3|LYMPH#</t>
  </si>
  <si>
    <t>FD15AE3C-76A3-4431-85E5-7B0441ABB1B9|RESULT|522611|12|3|LYMPH#</t>
  </si>
  <si>
    <t>522611|13|3|LYMPH#</t>
  </si>
  <si>
    <t>FD15AE3C-76A3-4431-85E5-7B0441ABB1B9|RESULT|522611|13|3|LYMPH#</t>
  </si>
  <si>
    <t>522611|14|3|LYMPH#</t>
  </si>
  <si>
    <t>FD15AE3C-76A3-4431-85E5-7B0441ABB1B9|RESULT|522611|14|3|LYMPH#</t>
  </si>
  <si>
    <t>522611|15|3|LYMPH#</t>
  </si>
  <si>
    <t>FD15AE3C-76A3-4431-85E5-7B0441ABB1B9|RESULT|522611|15|3|LYMPH#</t>
  </si>
  <si>
    <t>522611|16|3|LYMPH#</t>
  </si>
  <si>
    <t>FD15AE3C-76A3-4431-85E5-7B0441ABB1B9|RESULT|522611|16|3|LYMPH#</t>
  </si>
  <si>
    <t>522611|17|3|LYMPH#</t>
  </si>
  <si>
    <t>FD15AE3C-76A3-4431-85E5-7B0441ABB1B9|RESULT|522611|17|3|LYMPH#</t>
  </si>
  <si>
    <t>522611|18|3|LYMPH#</t>
  </si>
  <si>
    <t>FD15AE3C-76A3-4431-85E5-7B0441ABB1B9|RESULT|522611|18|3|LYMPH#</t>
  </si>
  <si>
    <t>522611|19|3|LYMPH#</t>
  </si>
  <si>
    <t>FD15AE3C-76A3-4431-85E5-7B0441ABB1B9|RESULT|522611|19|3|LYMPH#</t>
  </si>
  <si>
    <t>522611|20|3|LYMPH#</t>
  </si>
  <si>
    <t>FD15AE3C-76A3-4431-85E5-7B0441ABB1B9|RESULT|522611|20|3|LYMPH#</t>
  </si>
  <si>
    <t>522611|21|3|LYMPH#</t>
  </si>
  <si>
    <t>FD15AE3C-76A3-4431-85E5-7B0441ABB1B9|RESULT|522611|21|3|LYMPH#</t>
  </si>
  <si>
    <t>522611|22|3|LYMPH#</t>
  </si>
  <si>
    <t>FD15AE3C-76A3-4431-85E5-7B0441ABB1B9|RESULT|522611|22|3|LYMPH#</t>
  </si>
  <si>
    <t>522611|23|3|LYMPH#</t>
  </si>
  <si>
    <t>FD15AE3C-76A3-4431-85E5-7B0441ABB1B9|RESULT|522611|23|3|LYMPH#</t>
  </si>
  <si>
    <t>522611|24|3|LYMPH#</t>
  </si>
  <si>
    <t>FD15AE3C-76A3-4431-85E5-7B0441ABB1B9|RESULT|522611|24|3|LYMPH#</t>
  </si>
  <si>
    <t>522611|25|3|LYMPH#</t>
  </si>
  <si>
    <t>FD15AE3C-76A3-4431-85E5-7B0441ABB1B9|RESULT|522611|25|3|LYMPH#</t>
  </si>
  <si>
    <t>522611|1|1|MONO#</t>
  </si>
  <si>
    <t>FD15AE3C-76A3-4431-85E5-7B0441ABB1B9|RESULT|522611|1|1|MONO#</t>
  </si>
  <si>
    <t>Hematologia|ANALITO|MONO#</t>
  </si>
  <si>
    <t>522611|2|1|MONO#</t>
  </si>
  <si>
    <t>FD15AE3C-76A3-4431-85E5-7B0441ABB1B9|RESULT|522611|2|1|MONO#</t>
  </si>
  <si>
    <t>522611|3|1|MONO#</t>
  </si>
  <si>
    <t>FD15AE3C-76A3-4431-85E5-7B0441ABB1B9|RESULT|522611|3|1|MONO#</t>
  </si>
  <si>
    <t>522611|4|1|MONO#</t>
  </si>
  <si>
    <t>FD15AE3C-76A3-4431-85E5-7B0441ABB1B9|RESULT|522611|4|1|MONO#</t>
  </si>
  <si>
    <t>522611|5|1|MONO#</t>
  </si>
  <si>
    <t>FD15AE3C-76A3-4431-85E5-7B0441ABB1B9|RESULT|522611|5|1|MONO#</t>
  </si>
  <si>
    <t>522611|6|1|MONO#</t>
  </si>
  <si>
    <t>FD15AE3C-76A3-4431-85E5-7B0441ABB1B9|RESULT|522611|6|1|MONO#</t>
  </si>
  <si>
    <t>522611|7|1|MONO#</t>
  </si>
  <si>
    <t>FD15AE3C-76A3-4431-85E5-7B0441ABB1B9|RESULT|522611|7|1|MONO#</t>
  </si>
  <si>
    <t>522611|8|1|MONO#</t>
  </si>
  <si>
    <t>FD15AE3C-76A3-4431-85E5-7B0441ABB1B9|RESULT|522611|8|1|MONO#</t>
  </si>
  <si>
    <t>522611|9|1|MONO#</t>
  </si>
  <si>
    <t>FD15AE3C-76A3-4431-85E5-7B0441ABB1B9|RESULT|522611|9|1|MONO#</t>
  </si>
  <si>
    <t>522611|10|1|MONO#</t>
  </si>
  <si>
    <t>FD15AE3C-76A3-4431-85E5-7B0441ABB1B9|RESULT|522611|10|1|MONO#</t>
  </si>
  <si>
    <t>522611|11|1|MONO#</t>
  </si>
  <si>
    <t>FD15AE3C-76A3-4431-85E5-7B0441ABB1B9|RESULT|522611|11|1|MONO#</t>
  </si>
  <si>
    <t>522611|12|1|MONO#</t>
  </si>
  <si>
    <t>FD15AE3C-76A3-4431-85E5-7B0441ABB1B9|RESULT|522611|12|1|MONO#</t>
  </si>
  <si>
    <t>522611|13|1|MONO#</t>
  </si>
  <si>
    <t>FD15AE3C-76A3-4431-85E5-7B0441ABB1B9|RESULT|522611|13|1|MONO#</t>
  </si>
  <si>
    <t>522611|14|1|MONO#</t>
  </si>
  <si>
    <t>FD15AE3C-76A3-4431-85E5-7B0441ABB1B9|RESULT|522611|14|1|MONO#</t>
  </si>
  <si>
    <t>522611|15|1|MONO#</t>
  </si>
  <si>
    <t>FD15AE3C-76A3-4431-85E5-7B0441ABB1B9|RESULT|522611|15|1|MONO#</t>
  </si>
  <si>
    <t>522611|16|1|MONO#</t>
  </si>
  <si>
    <t>FD15AE3C-76A3-4431-85E5-7B0441ABB1B9|RESULT|522611|16|1|MONO#</t>
  </si>
  <si>
    <t>522611|17|1|MONO#</t>
  </si>
  <si>
    <t>FD15AE3C-76A3-4431-85E5-7B0441ABB1B9|RESULT|522611|17|1|MONO#</t>
  </si>
  <si>
    <t>522611|18|1|MONO#</t>
  </si>
  <si>
    <t>FD15AE3C-76A3-4431-85E5-7B0441ABB1B9|RESULT|522611|18|1|MONO#</t>
  </si>
  <si>
    <t>522611|19|1|MONO#</t>
  </si>
  <si>
    <t>FD15AE3C-76A3-4431-85E5-7B0441ABB1B9|RESULT|522611|19|1|MONO#</t>
  </si>
  <si>
    <t>522611|20|1|MONO#</t>
  </si>
  <si>
    <t>FD15AE3C-76A3-4431-85E5-7B0441ABB1B9|RESULT|522611|20|1|MONO#</t>
  </si>
  <si>
    <t>522611|21|1|MONO#</t>
  </si>
  <si>
    <t>FD15AE3C-76A3-4431-85E5-7B0441ABB1B9|RESULT|522611|21|1|MONO#</t>
  </si>
  <si>
    <t>522611|22|1|MONO#</t>
  </si>
  <si>
    <t>FD15AE3C-76A3-4431-85E5-7B0441ABB1B9|RESULT|522611|22|1|MONO#</t>
  </si>
  <si>
    <t>522611|23|1|MONO#</t>
  </si>
  <si>
    <t>FD15AE3C-76A3-4431-85E5-7B0441ABB1B9|RESULT|522611|23|1|MONO#</t>
  </si>
  <si>
    <t>522611|24|1|MONO#</t>
  </si>
  <si>
    <t>FD15AE3C-76A3-4431-85E5-7B0441ABB1B9|RESULT|522611|24|1|MONO#</t>
  </si>
  <si>
    <t>522611|25|1|MONO#</t>
  </si>
  <si>
    <t>FD15AE3C-76A3-4431-85E5-7B0441ABB1B9|RESULT|522611|25|1|MONO#</t>
  </si>
  <si>
    <t>522611|1|2|MONO#</t>
  </si>
  <si>
    <t>FD15AE3C-76A3-4431-85E5-7B0441ABB1B9|RESULT|522611|1|2|MONO#</t>
  </si>
  <si>
    <t>522611|2|2|MONO#</t>
  </si>
  <si>
    <t>FD15AE3C-76A3-4431-85E5-7B0441ABB1B9|RESULT|522611|2|2|MONO#</t>
  </si>
  <si>
    <t>522611|3|2|MONO#</t>
  </si>
  <si>
    <t>FD15AE3C-76A3-4431-85E5-7B0441ABB1B9|RESULT|522611|3|2|MONO#</t>
  </si>
  <si>
    <t>522611|4|2|MONO#</t>
  </si>
  <si>
    <t>FD15AE3C-76A3-4431-85E5-7B0441ABB1B9|RESULT|522611|4|2|MONO#</t>
  </si>
  <si>
    <t>522611|5|2|MONO#</t>
  </si>
  <si>
    <t>FD15AE3C-76A3-4431-85E5-7B0441ABB1B9|RESULT|522611|5|2|MONO#</t>
  </si>
  <si>
    <t>522611|6|2|MONO#</t>
  </si>
  <si>
    <t>FD15AE3C-76A3-4431-85E5-7B0441ABB1B9|RESULT|522611|6|2|MONO#</t>
  </si>
  <si>
    <t>522611|7|2|MONO#</t>
  </si>
  <si>
    <t>FD15AE3C-76A3-4431-85E5-7B0441ABB1B9|RESULT|522611|7|2|MONO#</t>
  </si>
  <si>
    <t>522611|8|2|MONO#</t>
  </si>
  <si>
    <t>FD15AE3C-76A3-4431-85E5-7B0441ABB1B9|RESULT|522611|8|2|MONO#</t>
  </si>
  <si>
    <t>522611|9|2|MONO#</t>
  </si>
  <si>
    <t>FD15AE3C-76A3-4431-85E5-7B0441ABB1B9|RESULT|522611|9|2|MONO#</t>
  </si>
  <si>
    <t>522611|10|2|MONO#</t>
  </si>
  <si>
    <t>FD15AE3C-76A3-4431-85E5-7B0441ABB1B9|RESULT|522611|10|2|MONO#</t>
  </si>
  <si>
    <t>522611|11|2|MONO#</t>
  </si>
  <si>
    <t>FD15AE3C-76A3-4431-85E5-7B0441ABB1B9|RESULT|522611|11|2|MONO#</t>
  </si>
  <si>
    <t>522611|12|2|MONO#</t>
  </si>
  <si>
    <t>FD15AE3C-76A3-4431-85E5-7B0441ABB1B9|RESULT|522611|12|2|MONO#</t>
  </si>
  <si>
    <t>522611|13|2|MONO#</t>
  </si>
  <si>
    <t>FD15AE3C-76A3-4431-85E5-7B0441ABB1B9|RESULT|522611|13|2|MONO#</t>
  </si>
  <si>
    <t>522611|14|2|MONO#</t>
  </si>
  <si>
    <t>FD15AE3C-76A3-4431-85E5-7B0441ABB1B9|RESULT|522611|14|2|MONO#</t>
  </si>
  <si>
    <t>522611|15|2|MONO#</t>
  </si>
  <si>
    <t>FD15AE3C-76A3-4431-85E5-7B0441ABB1B9|RESULT|522611|15|2|MONO#</t>
  </si>
  <si>
    <t>522611|16|2|MONO#</t>
  </si>
  <si>
    <t>FD15AE3C-76A3-4431-85E5-7B0441ABB1B9|RESULT|522611|16|2|MONO#</t>
  </si>
  <si>
    <t>522611|17|2|MONO#</t>
  </si>
  <si>
    <t>FD15AE3C-76A3-4431-85E5-7B0441ABB1B9|RESULT|522611|17|2|MONO#</t>
  </si>
  <si>
    <t>522611|18|2|MONO#</t>
  </si>
  <si>
    <t>FD15AE3C-76A3-4431-85E5-7B0441ABB1B9|RESULT|522611|18|2|MONO#</t>
  </si>
  <si>
    <t>522611|19|2|MONO#</t>
  </si>
  <si>
    <t>FD15AE3C-76A3-4431-85E5-7B0441ABB1B9|RESULT|522611|19|2|MONO#</t>
  </si>
  <si>
    <t>522611|20|2|MONO#</t>
  </si>
  <si>
    <t>FD15AE3C-76A3-4431-85E5-7B0441ABB1B9|RESULT|522611|20|2|MONO#</t>
  </si>
  <si>
    <t>522611|21|2|MONO#</t>
  </si>
  <si>
    <t>FD15AE3C-76A3-4431-85E5-7B0441ABB1B9|RESULT|522611|21|2|MONO#</t>
  </si>
  <si>
    <t>522611|22|2|MONO#</t>
  </si>
  <si>
    <t>FD15AE3C-76A3-4431-85E5-7B0441ABB1B9|RESULT|522611|22|2|MONO#</t>
  </si>
  <si>
    <t>522611|23|2|MONO#</t>
  </si>
  <si>
    <t>FD15AE3C-76A3-4431-85E5-7B0441ABB1B9|RESULT|522611|23|2|MONO#</t>
  </si>
  <si>
    <t>522611|24|2|MONO#</t>
  </si>
  <si>
    <t>FD15AE3C-76A3-4431-85E5-7B0441ABB1B9|RESULT|522611|24|2|MONO#</t>
  </si>
  <si>
    <t>522611|25|2|MONO#</t>
  </si>
  <si>
    <t>FD15AE3C-76A3-4431-85E5-7B0441ABB1B9|RESULT|522611|25|2|MONO#</t>
  </si>
  <si>
    <t>522611|1|3|MONO#</t>
  </si>
  <si>
    <t>FD15AE3C-76A3-4431-85E5-7B0441ABB1B9|RESULT|522611|1|3|MONO#</t>
  </si>
  <si>
    <t>522611|2|3|MONO#</t>
  </si>
  <si>
    <t>FD15AE3C-76A3-4431-85E5-7B0441ABB1B9|RESULT|522611|2|3|MONO#</t>
  </si>
  <si>
    <t>522611|3|3|MONO#</t>
  </si>
  <si>
    <t>FD15AE3C-76A3-4431-85E5-7B0441ABB1B9|RESULT|522611|3|3|MONO#</t>
  </si>
  <si>
    <t>522611|4|3|MONO#</t>
  </si>
  <si>
    <t>FD15AE3C-76A3-4431-85E5-7B0441ABB1B9|RESULT|522611|4|3|MONO#</t>
  </si>
  <si>
    <t>522611|5|3|MONO#</t>
  </si>
  <si>
    <t>FD15AE3C-76A3-4431-85E5-7B0441ABB1B9|RESULT|522611|5|3|MONO#</t>
  </si>
  <si>
    <t>522611|6|3|MONO#</t>
  </si>
  <si>
    <t>FD15AE3C-76A3-4431-85E5-7B0441ABB1B9|RESULT|522611|6|3|MONO#</t>
  </si>
  <si>
    <t>522611|7|3|MONO#</t>
  </si>
  <si>
    <t>FD15AE3C-76A3-4431-85E5-7B0441ABB1B9|RESULT|522611|7|3|MONO#</t>
  </si>
  <si>
    <t>522611|8|3|MONO#</t>
  </si>
  <si>
    <t>FD15AE3C-76A3-4431-85E5-7B0441ABB1B9|RESULT|522611|8|3|MONO#</t>
  </si>
  <si>
    <t>522611|9|3|MONO#</t>
  </si>
  <si>
    <t>FD15AE3C-76A3-4431-85E5-7B0441ABB1B9|RESULT|522611|9|3|MONO#</t>
  </si>
  <si>
    <t>522611|10|3|MONO#</t>
  </si>
  <si>
    <t>FD15AE3C-76A3-4431-85E5-7B0441ABB1B9|RESULT|522611|10|3|MONO#</t>
  </si>
  <si>
    <t>522611|11|3|MONO#</t>
  </si>
  <si>
    <t>FD15AE3C-76A3-4431-85E5-7B0441ABB1B9|RESULT|522611|11|3|MONO#</t>
  </si>
  <si>
    <t>522611|12|3|MONO#</t>
  </si>
  <si>
    <t>FD15AE3C-76A3-4431-85E5-7B0441ABB1B9|RESULT|522611|12|3|MONO#</t>
  </si>
  <si>
    <t>522611|13|3|MONO#</t>
  </si>
  <si>
    <t>FD15AE3C-76A3-4431-85E5-7B0441ABB1B9|RESULT|522611|13|3|MONO#</t>
  </si>
  <si>
    <t>522611|14|3|MONO#</t>
  </si>
  <si>
    <t>FD15AE3C-76A3-4431-85E5-7B0441ABB1B9|RESULT|522611|14|3|MONO#</t>
  </si>
  <si>
    <t>522611|15|3|MONO#</t>
  </si>
  <si>
    <t>FD15AE3C-76A3-4431-85E5-7B0441ABB1B9|RESULT|522611|15|3|MONO#</t>
  </si>
  <si>
    <t>522611|16|3|MONO#</t>
  </si>
  <si>
    <t>FD15AE3C-76A3-4431-85E5-7B0441ABB1B9|RESULT|522611|16|3|MONO#</t>
  </si>
  <si>
    <t>522611|17|3|MONO#</t>
  </si>
  <si>
    <t>FD15AE3C-76A3-4431-85E5-7B0441ABB1B9|RESULT|522611|17|3|MONO#</t>
  </si>
  <si>
    <t>522611|18|3|MONO#</t>
  </si>
  <si>
    <t>FD15AE3C-76A3-4431-85E5-7B0441ABB1B9|RESULT|522611|18|3|MONO#</t>
  </si>
  <si>
    <t>522611|19|3|MONO#</t>
  </si>
  <si>
    <t>FD15AE3C-76A3-4431-85E5-7B0441ABB1B9|RESULT|522611|19|3|MONO#</t>
  </si>
  <si>
    <t>522611|20|3|MONO#</t>
  </si>
  <si>
    <t>FD15AE3C-76A3-4431-85E5-7B0441ABB1B9|RESULT|522611|20|3|MONO#</t>
  </si>
  <si>
    <t>522611|21|3|MONO#</t>
  </si>
  <si>
    <t>FD15AE3C-76A3-4431-85E5-7B0441ABB1B9|RESULT|522611|21|3|MONO#</t>
  </si>
  <si>
    <t>522611|22|3|MONO#</t>
  </si>
  <si>
    <t>FD15AE3C-76A3-4431-85E5-7B0441ABB1B9|RESULT|522611|22|3|MONO#</t>
  </si>
  <si>
    <t>522611|23|3|MONO#</t>
  </si>
  <si>
    <t>FD15AE3C-76A3-4431-85E5-7B0441ABB1B9|RESULT|522611|23|3|MONO#</t>
  </si>
  <si>
    <t>522611|24|3|MONO#</t>
  </si>
  <si>
    <t>FD15AE3C-76A3-4431-85E5-7B0441ABB1B9|RESULT|522611|24|3|MONO#</t>
  </si>
  <si>
    <t>522611|25|3|MONO#</t>
  </si>
  <si>
    <t>FD15AE3C-76A3-4431-85E5-7B0441ABB1B9|RESULT|522611|25|3|MONO#</t>
  </si>
  <si>
    <t>522611|1|1|EO#</t>
  </si>
  <si>
    <t>FD15AE3C-76A3-4431-85E5-7B0441ABB1B9|RESULT|522611|1|1|EO#</t>
  </si>
  <si>
    <t>Hematologia|ANALITO|EO#</t>
  </si>
  <si>
    <t>522611|2|1|EO#</t>
  </si>
  <si>
    <t>FD15AE3C-76A3-4431-85E5-7B0441ABB1B9|RESULT|522611|2|1|EO#</t>
  </si>
  <si>
    <t>522611|3|1|EO#</t>
  </si>
  <si>
    <t>FD15AE3C-76A3-4431-85E5-7B0441ABB1B9|RESULT|522611|3|1|EO#</t>
  </si>
  <si>
    <t>522611|4|1|EO#</t>
  </si>
  <si>
    <t>FD15AE3C-76A3-4431-85E5-7B0441ABB1B9|RESULT|522611|4|1|EO#</t>
  </si>
  <si>
    <t>522611|5|1|EO#</t>
  </si>
  <si>
    <t>FD15AE3C-76A3-4431-85E5-7B0441ABB1B9|RESULT|522611|5|1|EO#</t>
  </si>
  <si>
    <t>522611|6|1|EO#</t>
  </si>
  <si>
    <t>FD15AE3C-76A3-4431-85E5-7B0441ABB1B9|RESULT|522611|6|1|EO#</t>
  </si>
  <si>
    <t>522611|7|1|EO#</t>
  </si>
  <si>
    <t>FD15AE3C-76A3-4431-85E5-7B0441ABB1B9|RESULT|522611|7|1|EO#</t>
  </si>
  <si>
    <t>522611|8|1|EO#</t>
  </si>
  <si>
    <t>FD15AE3C-76A3-4431-85E5-7B0441ABB1B9|RESULT|522611|8|1|EO#</t>
  </si>
  <si>
    <t>522611|9|1|EO#</t>
  </si>
  <si>
    <t>FD15AE3C-76A3-4431-85E5-7B0441ABB1B9|RESULT|522611|9|1|EO#</t>
  </si>
  <si>
    <t>522611|10|1|EO#</t>
  </si>
  <si>
    <t>FD15AE3C-76A3-4431-85E5-7B0441ABB1B9|RESULT|522611|10|1|EO#</t>
  </si>
  <si>
    <t>522611|11|1|EO#</t>
  </si>
  <si>
    <t>FD15AE3C-76A3-4431-85E5-7B0441ABB1B9|RESULT|522611|11|1|EO#</t>
  </si>
  <si>
    <t>522611|12|1|EO#</t>
  </si>
  <si>
    <t>FD15AE3C-76A3-4431-85E5-7B0441ABB1B9|RESULT|522611|12|1|EO#</t>
  </si>
  <si>
    <t>522611|13|1|EO#</t>
  </si>
  <si>
    <t>FD15AE3C-76A3-4431-85E5-7B0441ABB1B9|RESULT|522611|13|1|EO#</t>
  </si>
  <si>
    <t>522611|14|1|EO#</t>
  </si>
  <si>
    <t>FD15AE3C-76A3-4431-85E5-7B0441ABB1B9|RESULT|522611|14|1|EO#</t>
  </si>
  <si>
    <t>522611|15|1|EO#</t>
  </si>
  <si>
    <t>FD15AE3C-76A3-4431-85E5-7B0441ABB1B9|RESULT|522611|15|1|EO#</t>
  </si>
  <si>
    <t>522611|16|1|EO#</t>
  </si>
  <si>
    <t>FD15AE3C-76A3-4431-85E5-7B0441ABB1B9|RESULT|522611|16|1|EO#</t>
  </si>
  <si>
    <t>522611|17|1|EO#</t>
  </si>
  <si>
    <t>FD15AE3C-76A3-4431-85E5-7B0441ABB1B9|RESULT|522611|17|1|EO#</t>
  </si>
  <si>
    <t>522611|18|1|EO#</t>
  </si>
  <si>
    <t>FD15AE3C-76A3-4431-85E5-7B0441ABB1B9|RESULT|522611|18|1|EO#</t>
  </si>
  <si>
    <t>522611|19|1|EO#</t>
  </si>
  <si>
    <t>FD15AE3C-76A3-4431-85E5-7B0441ABB1B9|RESULT|522611|19|1|EO#</t>
  </si>
  <si>
    <t>522611|20|1|EO#</t>
  </si>
  <si>
    <t>FD15AE3C-76A3-4431-85E5-7B0441ABB1B9|RESULT|522611|20|1|EO#</t>
  </si>
  <si>
    <t>522611|21|1|EO#</t>
  </si>
  <si>
    <t>FD15AE3C-76A3-4431-85E5-7B0441ABB1B9|RESULT|522611|21|1|EO#</t>
  </si>
  <si>
    <t>522611|22|1|EO#</t>
  </si>
  <si>
    <t>FD15AE3C-76A3-4431-85E5-7B0441ABB1B9|RESULT|522611|22|1|EO#</t>
  </si>
  <si>
    <t>522611|23|1|EO#</t>
  </si>
  <si>
    <t>FD15AE3C-76A3-4431-85E5-7B0441ABB1B9|RESULT|522611|23|1|EO#</t>
  </si>
  <si>
    <t>522611|24|1|EO#</t>
  </si>
  <si>
    <t>FD15AE3C-76A3-4431-85E5-7B0441ABB1B9|RESULT|522611|24|1|EO#</t>
  </si>
  <si>
    <t>522611|25|1|EO#</t>
  </si>
  <si>
    <t>FD15AE3C-76A3-4431-85E5-7B0441ABB1B9|RESULT|522611|25|1|EO#</t>
  </si>
  <si>
    <t>522611|1|2|EO#</t>
  </si>
  <si>
    <t>FD15AE3C-76A3-4431-85E5-7B0441ABB1B9|RESULT|522611|1|2|EO#</t>
  </si>
  <si>
    <t>522611|2|2|EO#</t>
  </si>
  <si>
    <t>FD15AE3C-76A3-4431-85E5-7B0441ABB1B9|RESULT|522611|2|2|EO#</t>
  </si>
  <si>
    <t>522611|3|2|EO#</t>
  </si>
  <si>
    <t>FD15AE3C-76A3-4431-85E5-7B0441ABB1B9|RESULT|522611|3|2|EO#</t>
  </si>
  <si>
    <t>522611|4|2|EO#</t>
  </si>
  <si>
    <t>FD15AE3C-76A3-4431-85E5-7B0441ABB1B9|RESULT|522611|4|2|EO#</t>
  </si>
  <si>
    <t>522611|5|2|EO#</t>
  </si>
  <si>
    <t>FD15AE3C-76A3-4431-85E5-7B0441ABB1B9|RESULT|522611|5|2|EO#</t>
  </si>
  <si>
    <t>522611|6|2|EO#</t>
  </si>
  <si>
    <t>FD15AE3C-76A3-4431-85E5-7B0441ABB1B9|RESULT|522611|6|2|EO#</t>
  </si>
  <si>
    <t>522611|7|2|EO#</t>
  </si>
  <si>
    <t>FD15AE3C-76A3-4431-85E5-7B0441ABB1B9|RESULT|522611|7|2|EO#</t>
  </si>
  <si>
    <t>522611|8|2|EO#</t>
  </si>
  <si>
    <t>FD15AE3C-76A3-4431-85E5-7B0441ABB1B9|RESULT|522611|8|2|EO#</t>
  </si>
  <si>
    <t>522611|9|2|EO#</t>
  </si>
  <si>
    <t>FD15AE3C-76A3-4431-85E5-7B0441ABB1B9|RESULT|522611|9|2|EO#</t>
  </si>
  <si>
    <t>522611|10|2|EO#</t>
  </si>
  <si>
    <t>FD15AE3C-76A3-4431-85E5-7B0441ABB1B9|RESULT|522611|10|2|EO#</t>
  </si>
  <si>
    <t>522611|11|2|EO#</t>
  </si>
  <si>
    <t>FD15AE3C-76A3-4431-85E5-7B0441ABB1B9|RESULT|522611|11|2|EO#</t>
  </si>
  <si>
    <t>522611|12|2|EO#</t>
  </si>
  <si>
    <t>FD15AE3C-76A3-4431-85E5-7B0441ABB1B9|RESULT|522611|12|2|EO#</t>
  </si>
  <si>
    <t>522611|13|2|EO#</t>
  </si>
  <si>
    <t>FD15AE3C-76A3-4431-85E5-7B0441ABB1B9|RESULT|522611|13|2|EO#</t>
  </si>
  <si>
    <t>522611|14|2|EO#</t>
  </si>
  <si>
    <t>FD15AE3C-76A3-4431-85E5-7B0441ABB1B9|RESULT|522611|14|2|EO#</t>
  </si>
  <si>
    <t>522611|15|2|EO#</t>
  </si>
  <si>
    <t>FD15AE3C-76A3-4431-85E5-7B0441ABB1B9|RESULT|522611|15|2|EO#</t>
  </si>
  <si>
    <t>522611|16|2|EO#</t>
  </si>
  <si>
    <t>FD15AE3C-76A3-4431-85E5-7B0441ABB1B9|RESULT|522611|16|2|EO#</t>
  </si>
  <si>
    <t>522611|17|2|EO#</t>
  </si>
  <si>
    <t>FD15AE3C-76A3-4431-85E5-7B0441ABB1B9|RESULT|522611|17|2|EO#</t>
  </si>
  <si>
    <t>522611|18|2|EO#</t>
  </si>
  <si>
    <t>FD15AE3C-76A3-4431-85E5-7B0441ABB1B9|RESULT|522611|18|2|EO#</t>
  </si>
  <si>
    <t>522611|19|2|EO#</t>
  </si>
  <si>
    <t>FD15AE3C-76A3-4431-85E5-7B0441ABB1B9|RESULT|522611|19|2|EO#</t>
  </si>
  <si>
    <t>522611|20|2|EO#</t>
  </si>
  <si>
    <t>FD15AE3C-76A3-4431-85E5-7B0441ABB1B9|RESULT|522611|20|2|EO#</t>
  </si>
  <si>
    <t>522611|21|2|EO#</t>
  </si>
  <si>
    <t>FD15AE3C-76A3-4431-85E5-7B0441ABB1B9|RESULT|522611|21|2|EO#</t>
  </si>
  <si>
    <t>522611|22|2|EO#</t>
  </si>
  <si>
    <t>FD15AE3C-76A3-4431-85E5-7B0441ABB1B9|RESULT|522611|22|2|EO#</t>
  </si>
  <si>
    <t>522611|23|2|EO#</t>
  </si>
  <si>
    <t>FD15AE3C-76A3-4431-85E5-7B0441ABB1B9|RESULT|522611|23|2|EO#</t>
  </si>
  <si>
    <t>522611|24|2|EO#</t>
  </si>
  <si>
    <t>FD15AE3C-76A3-4431-85E5-7B0441ABB1B9|RESULT|522611|24|2|EO#</t>
  </si>
  <si>
    <t>522611|25|2|EO#</t>
  </si>
  <si>
    <t>FD15AE3C-76A3-4431-85E5-7B0441ABB1B9|RESULT|522611|25|2|EO#</t>
  </si>
  <si>
    <t>522611|1|3|EO#</t>
  </si>
  <si>
    <t>FD15AE3C-76A3-4431-85E5-7B0441ABB1B9|RESULT|522611|1|3|EO#</t>
  </si>
  <si>
    <t>522611|2|3|EO#</t>
  </si>
  <si>
    <t>FD15AE3C-76A3-4431-85E5-7B0441ABB1B9|RESULT|522611|2|3|EO#</t>
  </si>
  <si>
    <t>522611|3|3|EO#</t>
  </si>
  <si>
    <t>FD15AE3C-76A3-4431-85E5-7B0441ABB1B9|RESULT|522611|3|3|EO#</t>
  </si>
  <si>
    <t>522611|4|3|EO#</t>
  </si>
  <si>
    <t>FD15AE3C-76A3-4431-85E5-7B0441ABB1B9|RESULT|522611|4|3|EO#</t>
  </si>
  <si>
    <t>522611|5|3|EO#</t>
  </si>
  <si>
    <t>FD15AE3C-76A3-4431-85E5-7B0441ABB1B9|RESULT|522611|5|3|EO#</t>
  </si>
  <si>
    <t>522611|6|3|EO#</t>
  </si>
  <si>
    <t>FD15AE3C-76A3-4431-85E5-7B0441ABB1B9|RESULT|522611|6|3|EO#</t>
  </si>
  <si>
    <t>522611|7|3|EO#</t>
  </si>
  <si>
    <t>FD15AE3C-76A3-4431-85E5-7B0441ABB1B9|RESULT|522611|7|3|EO#</t>
  </si>
  <si>
    <t>522611|8|3|EO#</t>
  </si>
  <si>
    <t>FD15AE3C-76A3-4431-85E5-7B0441ABB1B9|RESULT|522611|8|3|EO#</t>
  </si>
  <si>
    <t>522611|9|3|EO#</t>
  </si>
  <si>
    <t>FD15AE3C-76A3-4431-85E5-7B0441ABB1B9|RESULT|522611|9|3|EO#</t>
  </si>
  <si>
    <t>522611|10|3|EO#</t>
  </si>
  <si>
    <t>FD15AE3C-76A3-4431-85E5-7B0441ABB1B9|RESULT|522611|10|3|EO#</t>
  </si>
  <si>
    <t>522611|11|3|EO#</t>
  </si>
  <si>
    <t>FD15AE3C-76A3-4431-85E5-7B0441ABB1B9|RESULT|522611|11|3|EO#</t>
  </si>
  <si>
    <t>522611|12|3|EO#</t>
  </si>
  <si>
    <t>FD15AE3C-76A3-4431-85E5-7B0441ABB1B9|RESULT|522611|12|3|EO#</t>
  </si>
  <si>
    <t>522611|13|3|EO#</t>
  </si>
  <si>
    <t>FD15AE3C-76A3-4431-85E5-7B0441ABB1B9|RESULT|522611|13|3|EO#</t>
  </si>
  <si>
    <t>522611|14|3|EO#</t>
  </si>
  <si>
    <t>FD15AE3C-76A3-4431-85E5-7B0441ABB1B9|RESULT|522611|14|3|EO#</t>
  </si>
  <si>
    <t>522611|15|3|EO#</t>
  </si>
  <si>
    <t>FD15AE3C-76A3-4431-85E5-7B0441ABB1B9|RESULT|522611|15|3|EO#</t>
  </si>
  <si>
    <t>522611|16|3|EO#</t>
  </si>
  <si>
    <t>FD15AE3C-76A3-4431-85E5-7B0441ABB1B9|RESULT|522611|16|3|EO#</t>
  </si>
  <si>
    <t>522611|17|3|EO#</t>
  </si>
  <si>
    <t>FD15AE3C-76A3-4431-85E5-7B0441ABB1B9|RESULT|522611|17|3|EO#</t>
  </si>
  <si>
    <t>522611|18|3|EO#</t>
  </si>
  <si>
    <t>FD15AE3C-76A3-4431-85E5-7B0441ABB1B9|RESULT|522611|18|3|EO#</t>
  </si>
  <si>
    <t>522611|19|3|EO#</t>
  </si>
  <si>
    <t>FD15AE3C-76A3-4431-85E5-7B0441ABB1B9|RESULT|522611|19|3|EO#</t>
  </si>
  <si>
    <t>522611|20|3|EO#</t>
  </si>
  <si>
    <t>FD15AE3C-76A3-4431-85E5-7B0441ABB1B9|RESULT|522611|20|3|EO#</t>
  </si>
  <si>
    <t>522611|21|3|EO#</t>
  </si>
  <si>
    <t>FD15AE3C-76A3-4431-85E5-7B0441ABB1B9|RESULT|522611|21|3|EO#</t>
  </si>
  <si>
    <t>522611|22|3|EO#</t>
  </si>
  <si>
    <t>FD15AE3C-76A3-4431-85E5-7B0441ABB1B9|RESULT|522611|22|3|EO#</t>
  </si>
  <si>
    <t>522611|23|3|EO#</t>
  </si>
  <si>
    <t>FD15AE3C-76A3-4431-85E5-7B0441ABB1B9|RESULT|522611|23|3|EO#</t>
  </si>
  <si>
    <t>522611|24|3|EO#</t>
  </si>
  <si>
    <t>FD15AE3C-76A3-4431-85E5-7B0441ABB1B9|RESULT|522611|24|3|EO#</t>
  </si>
  <si>
    <t>522611|25|3|EO#</t>
  </si>
  <si>
    <t>FD15AE3C-76A3-4431-85E5-7B0441ABB1B9|RESULT|522611|25|3|EO#</t>
  </si>
  <si>
    <t>522611|1|1|BASO#</t>
  </si>
  <si>
    <t>FD15AE3C-76A3-4431-85E5-7B0441ABB1B9|RESULT|522611|1|1|BASO#</t>
  </si>
  <si>
    <t>Hematologia|ANALITO|BASO#</t>
  </si>
  <si>
    <t>522611|2|1|BASO#</t>
  </si>
  <si>
    <t>FD15AE3C-76A3-4431-85E5-7B0441ABB1B9|RESULT|522611|2|1|BASO#</t>
  </si>
  <si>
    <t>522611|3|1|BASO#</t>
  </si>
  <si>
    <t>FD15AE3C-76A3-4431-85E5-7B0441ABB1B9|RESULT|522611|3|1|BASO#</t>
  </si>
  <si>
    <t>522611|4|1|BASO#</t>
  </si>
  <si>
    <t>FD15AE3C-76A3-4431-85E5-7B0441ABB1B9|RESULT|522611|4|1|BASO#</t>
  </si>
  <si>
    <t>522611|5|1|BASO#</t>
  </si>
  <si>
    <t>FD15AE3C-76A3-4431-85E5-7B0441ABB1B9|RESULT|522611|5|1|BASO#</t>
  </si>
  <si>
    <t>522611|6|1|BASO#</t>
  </si>
  <si>
    <t>FD15AE3C-76A3-4431-85E5-7B0441ABB1B9|RESULT|522611|6|1|BASO#</t>
  </si>
  <si>
    <t>522611|7|1|BASO#</t>
  </si>
  <si>
    <t>FD15AE3C-76A3-4431-85E5-7B0441ABB1B9|RESULT|522611|7|1|BASO#</t>
  </si>
  <si>
    <t>522611|8|1|BASO#</t>
  </si>
  <si>
    <t>FD15AE3C-76A3-4431-85E5-7B0441ABB1B9|RESULT|522611|8|1|BASO#</t>
  </si>
  <si>
    <t>522611|9|1|BASO#</t>
  </si>
  <si>
    <t>FD15AE3C-76A3-4431-85E5-7B0441ABB1B9|RESULT|522611|9|1|BASO#</t>
  </si>
  <si>
    <t>522611|10|1|BASO#</t>
  </si>
  <si>
    <t>FD15AE3C-76A3-4431-85E5-7B0441ABB1B9|RESULT|522611|10|1|BASO#</t>
  </si>
  <si>
    <t>522611|11|1|BASO#</t>
  </si>
  <si>
    <t>FD15AE3C-76A3-4431-85E5-7B0441ABB1B9|RESULT|522611|11|1|BASO#</t>
  </si>
  <si>
    <t>522611|12|1|BASO#</t>
  </si>
  <si>
    <t>FD15AE3C-76A3-4431-85E5-7B0441ABB1B9|RESULT|522611|12|1|BASO#</t>
  </si>
  <si>
    <t>522611|13|1|BASO#</t>
  </si>
  <si>
    <t>FD15AE3C-76A3-4431-85E5-7B0441ABB1B9|RESULT|522611|13|1|BASO#</t>
  </si>
  <si>
    <t>522611|14|1|BASO#</t>
  </si>
  <si>
    <t>FD15AE3C-76A3-4431-85E5-7B0441ABB1B9|RESULT|522611|14|1|BASO#</t>
  </si>
  <si>
    <t>522611|15|1|BASO#</t>
  </si>
  <si>
    <t>FD15AE3C-76A3-4431-85E5-7B0441ABB1B9|RESULT|522611|15|1|BASO#</t>
  </si>
  <si>
    <t>522611|16|1|BASO#</t>
  </si>
  <si>
    <t>FD15AE3C-76A3-4431-85E5-7B0441ABB1B9|RESULT|522611|16|1|BASO#</t>
  </si>
  <si>
    <t>522611|17|1|BASO#</t>
  </si>
  <si>
    <t>FD15AE3C-76A3-4431-85E5-7B0441ABB1B9|RESULT|522611|17|1|BASO#</t>
  </si>
  <si>
    <t>522611|18|1|BASO#</t>
  </si>
  <si>
    <t>FD15AE3C-76A3-4431-85E5-7B0441ABB1B9|RESULT|522611|18|1|BASO#</t>
  </si>
  <si>
    <t>522611|19|1|BASO#</t>
  </si>
  <si>
    <t>FD15AE3C-76A3-4431-85E5-7B0441ABB1B9|RESULT|522611|19|1|BASO#</t>
  </si>
  <si>
    <t>522611|20|1|BASO#</t>
  </si>
  <si>
    <t>FD15AE3C-76A3-4431-85E5-7B0441ABB1B9|RESULT|522611|20|1|BASO#</t>
  </si>
  <si>
    <t>522611|21|1|BASO#</t>
  </si>
  <si>
    <t>FD15AE3C-76A3-4431-85E5-7B0441ABB1B9|RESULT|522611|21|1|BASO#</t>
  </si>
  <si>
    <t>522611|22|1|BASO#</t>
  </si>
  <si>
    <t>FD15AE3C-76A3-4431-85E5-7B0441ABB1B9|RESULT|522611|22|1|BASO#</t>
  </si>
  <si>
    <t>522611|23|1|BASO#</t>
  </si>
  <si>
    <t>FD15AE3C-76A3-4431-85E5-7B0441ABB1B9|RESULT|522611|23|1|BASO#</t>
  </si>
  <si>
    <t>522611|24|1|BASO#</t>
  </si>
  <si>
    <t>FD15AE3C-76A3-4431-85E5-7B0441ABB1B9|RESULT|522611|24|1|BASO#</t>
  </si>
  <si>
    <t>522611|25|1|BASO#</t>
  </si>
  <si>
    <t>FD15AE3C-76A3-4431-85E5-7B0441ABB1B9|RESULT|522611|25|1|BASO#</t>
  </si>
  <si>
    <t>522611|1|2|BASO#</t>
  </si>
  <si>
    <t>FD15AE3C-76A3-4431-85E5-7B0441ABB1B9|RESULT|522611|1|2|BASO#</t>
  </si>
  <si>
    <t>522611|2|2|BASO#</t>
  </si>
  <si>
    <t>FD15AE3C-76A3-4431-85E5-7B0441ABB1B9|RESULT|522611|2|2|BASO#</t>
  </si>
  <si>
    <t>522611|3|2|BASO#</t>
  </si>
  <si>
    <t>FD15AE3C-76A3-4431-85E5-7B0441ABB1B9|RESULT|522611|3|2|BASO#</t>
  </si>
  <si>
    <t>522611|4|2|BASO#</t>
  </si>
  <si>
    <t>FD15AE3C-76A3-4431-85E5-7B0441ABB1B9|RESULT|522611|4|2|BASO#</t>
  </si>
  <si>
    <t>522611|5|2|BASO#</t>
  </si>
  <si>
    <t>FD15AE3C-76A3-4431-85E5-7B0441ABB1B9|RESULT|522611|5|2|BASO#</t>
  </si>
  <si>
    <t>522611|6|2|BASO#</t>
  </si>
  <si>
    <t>FD15AE3C-76A3-4431-85E5-7B0441ABB1B9|RESULT|522611|6|2|BASO#</t>
  </si>
  <si>
    <t>522611|7|2|BASO#</t>
  </si>
  <si>
    <t>FD15AE3C-76A3-4431-85E5-7B0441ABB1B9|RESULT|522611|7|2|BASO#</t>
  </si>
  <si>
    <t>522611|8|2|BASO#</t>
  </si>
  <si>
    <t>FD15AE3C-76A3-4431-85E5-7B0441ABB1B9|RESULT|522611|8|2|BASO#</t>
  </si>
  <si>
    <t>522611|9|2|BASO#</t>
  </si>
  <si>
    <t>FD15AE3C-76A3-4431-85E5-7B0441ABB1B9|RESULT|522611|9|2|BASO#</t>
  </si>
  <si>
    <t>522611|10|2|BASO#</t>
  </si>
  <si>
    <t>FD15AE3C-76A3-4431-85E5-7B0441ABB1B9|RESULT|522611|10|2|BASO#</t>
  </si>
  <si>
    <t>522611|11|2|BASO#</t>
  </si>
  <si>
    <t>FD15AE3C-76A3-4431-85E5-7B0441ABB1B9|RESULT|522611|11|2|BASO#</t>
  </si>
  <si>
    <t>522611|12|2|BASO#</t>
  </si>
  <si>
    <t>FD15AE3C-76A3-4431-85E5-7B0441ABB1B9|RESULT|522611|12|2|BASO#</t>
  </si>
  <si>
    <t>522611|13|2|BASO#</t>
  </si>
  <si>
    <t>FD15AE3C-76A3-4431-85E5-7B0441ABB1B9|RESULT|522611|13|2|BASO#</t>
  </si>
  <si>
    <t>522611|14|2|BASO#</t>
  </si>
  <si>
    <t>FD15AE3C-76A3-4431-85E5-7B0441ABB1B9|RESULT|522611|14|2|BASO#</t>
  </si>
  <si>
    <t>522611|15|2|BASO#</t>
  </si>
  <si>
    <t>FD15AE3C-76A3-4431-85E5-7B0441ABB1B9|RESULT|522611|15|2|BASO#</t>
  </si>
  <si>
    <t>522611|16|2|BASO#</t>
  </si>
  <si>
    <t>FD15AE3C-76A3-4431-85E5-7B0441ABB1B9|RESULT|522611|16|2|BASO#</t>
  </si>
  <si>
    <t>522611|17|2|BASO#</t>
  </si>
  <si>
    <t>FD15AE3C-76A3-4431-85E5-7B0441ABB1B9|RESULT|522611|17|2|BASO#</t>
  </si>
  <si>
    <t>522611|18|2|BASO#</t>
  </si>
  <si>
    <t>FD15AE3C-76A3-4431-85E5-7B0441ABB1B9|RESULT|522611|18|2|BASO#</t>
  </si>
  <si>
    <t>522611|19|2|BASO#</t>
  </si>
  <si>
    <t>FD15AE3C-76A3-4431-85E5-7B0441ABB1B9|RESULT|522611|19|2|BASO#</t>
  </si>
  <si>
    <t>522611|20|2|BASO#</t>
  </si>
  <si>
    <t>FD15AE3C-76A3-4431-85E5-7B0441ABB1B9|RESULT|522611|20|2|BASO#</t>
  </si>
  <si>
    <t>522611|21|2|BASO#</t>
  </si>
  <si>
    <t>FD15AE3C-76A3-4431-85E5-7B0441ABB1B9|RESULT|522611|21|2|BASO#</t>
  </si>
  <si>
    <t>522611|22|2|BASO#</t>
  </si>
  <si>
    <t>FD15AE3C-76A3-4431-85E5-7B0441ABB1B9|RESULT|522611|22|2|BASO#</t>
  </si>
  <si>
    <t>522611|23|2|BASO#</t>
  </si>
  <si>
    <t>FD15AE3C-76A3-4431-85E5-7B0441ABB1B9|RESULT|522611|23|2|BASO#</t>
  </si>
  <si>
    <t>522611|24|2|BASO#</t>
  </si>
  <si>
    <t>FD15AE3C-76A3-4431-85E5-7B0441ABB1B9|RESULT|522611|24|2|BASO#</t>
  </si>
  <si>
    <t>522611|25|2|BASO#</t>
  </si>
  <si>
    <t>FD15AE3C-76A3-4431-85E5-7B0441ABB1B9|RESULT|522611|25|2|BASO#</t>
  </si>
  <si>
    <t>522611|1|3|BASO#</t>
  </si>
  <si>
    <t>FD15AE3C-76A3-4431-85E5-7B0441ABB1B9|RESULT|522611|1|3|BASO#</t>
  </si>
  <si>
    <t>522611|2|3|BASO#</t>
  </si>
  <si>
    <t>FD15AE3C-76A3-4431-85E5-7B0441ABB1B9|RESULT|522611|2|3|BASO#</t>
  </si>
  <si>
    <t>522611|3|3|BASO#</t>
  </si>
  <si>
    <t>FD15AE3C-76A3-4431-85E5-7B0441ABB1B9|RESULT|522611|3|3|BASO#</t>
  </si>
  <si>
    <t>522611|4|3|BASO#</t>
  </si>
  <si>
    <t>FD15AE3C-76A3-4431-85E5-7B0441ABB1B9|RESULT|522611|4|3|BASO#</t>
  </si>
  <si>
    <t>522611|5|3|BASO#</t>
  </si>
  <si>
    <t>FD15AE3C-76A3-4431-85E5-7B0441ABB1B9|RESULT|522611|5|3|BASO#</t>
  </si>
  <si>
    <t>522611|6|3|BASO#</t>
  </si>
  <si>
    <t>FD15AE3C-76A3-4431-85E5-7B0441ABB1B9|RESULT|522611|6|3|BASO#</t>
  </si>
  <si>
    <t>522611|7|3|BASO#</t>
  </si>
  <si>
    <t>FD15AE3C-76A3-4431-85E5-7B0441ABB1B9|RESULT|522611|7|3|BASO#</t>
  </si>
  <si>
    <t>522611|8|3|BASO#</t>
  </si>
  <si>
    <t>FD15AE3C-76A3-4431-85E5-7B0441ABB1B9|RESULT|522611|8|3|BASO#</t>
  </si>
  <si>
    <t>522611|9|3|BASO#</t>
  </si>
  <si>
    <t>FD15AE3C-76A3-4431-85E5-7B0441ABB1B9|RESULT|522611|9|3|BASO#</t>
  </si>
  <si>
    <t>522611|10|3|BASO#</t>
  </si>
  <si>
    <t>FD15AE3C-76A3-4431-85E5-7B0441ABB1B9|RESULT|522611|10|3|BASO#</t>
  </si>
  <si>
    <t>522611|11|3|BASO#</t>
  </si>
  <si>
    <t>FD15AE3C-76A3-4431-85E5-7B0441ABB1B9|RESULT|522611|11|3|BASO#</t>
  </si>
  <si>
    <t>522611|12|3|BASO#</t>
  </si>
  <si>
    <t>FD15AE3C-76A3-4431-85E5-7B0441ABB1B9|RESULT|522611|12|3|BASO#</t>
  </si>
  <si>
    <t>522611|13|3|BASO#</t>
  </si>
  <si>
    <t>FD15AE3C-76A3-4431-85E5-7B0441ABB1B9|RESULT|522611|13|3|BASO#</t>
  </si>
  <si>
    <t>522611|14|3|BASO#</t>
  </si>
  <si>
    <t>FD15AE3C-76A3-4431-85E5-7B0441ABB1B9|RESULT|522611|14|3|BASO#</t>
  </si>
  <si>
    <t>522611|15|3|BASO#</t>
  </si>
  <si>
    <t>FD15AE3C-76A3-4431-85E5-7B0441ABB1B9|RESULT|522611|15|3|BASO#</t>
  </si>
  <si>
    <t>522611|16|3|BASO#</t>
  </si>
  <si>
    <t>FD15AE3C-76A3-4431-85E5-7B0441ABB1B9|RESULT|522611|16|3|BASO#</t>
  </si>
  <si>
    <t>522611|17|3|BASO#</t>
  </si>
  <si>
    <t>FD15AE3C-76A3-4431-85E5-7B0441ABB1B9|RESULT|522611|17|3|BASO#</t>
  </si>
  <si>
    <t>522611|18|3|BASO#</t>
  </si>
  <si>
    <t>FD15AE3C-76A3-4431-85E5-7B0441ABB1B9|RESULT|522611|18|3|BASO#</t>
  </si>
  <si>
    <t>522611|19|3|BASO#</t>
  </si>
  <si>
    <t>FD15AE3C-76A3-4431-85E5-7B0441ABB1B9|RESULT|522611|19|3|BASO#</t>
  </si>
  <si>
    <t>522611|20|3|BASO#</t>
  </si>
  <si>
    <t>FD15AE3C-76A3-4431-85E5-7B0441ABB1B9|RESULT|522611|20|3|BASO#</t>
  </si>
  <si>
    <t>522611|21|3|BASO#</t>
  </si>
  <si>
    <t>FD15AE3C-76A3-4431-85E5-7B0441ABB1B9|RESULT|522611|21|3|BASO#</t>
  </si>
  <si>
    <t>522611|22|3|BASO#</t>
  </si>
  <si>
    <t>FD15AE3C-76A3-4431-85E5-7B0441ABB1B9|RESULT|522611|22|3|BASO#</t>
  </si>
  <si>
    <t>522611|23|3|BASO#</t>
  </si>
  <si>
    <t>FD15AE3C-76A3-4431-85E5-7B0441ABB1B9|RESULT|522611|23|3|BASO#</t>
  </si>
  <si>
    <t>522611|24|3|BASO#</t>
  </si>
  <si>
    <t>FD15AE3C-76A3-4431-85E5-7B0441ABB1B9|RESULT|522611|24|3|BASO#</t>
  </si>
  <si>
    <t>522611|25|3|BASO#</t>
  </si>
  <si>
    <t>FD15AE3C-76A3-4431-85E5-7B0441ABB1B9|RESULT|522611|25|3|BASO#</t>
  </si>
  <si>
    <t>522611|1|1|IG#</t>
  </si>
  <si>
    <t>FD15AE3C-76A3-4431-85E5-7B0441ABB1B9|RESULT|522611|1|1|IG#</t>
  </si>
  <si>
    <t>Hematologia|ANALITO|IG#</t>
  </si>
  <si>
    <t>522611|2|1|IG#</t>
  </si>
  <si>
    <t>FD15AE3C-76A3-4431-85E5-7B0441ABB1B9|RESULT|522611|2|1|IG#</t>
  </si>
  <si>
    <t>522611|3|1|IG#</t>
  </si>
  <si>
    <t>FD15AE3C-76A3-4431-85E5-7B0441ABB1B9|RESULT|522611|3|1|IG#</t>
  </si>
  <si>
    <t>522611|4|1|IG#</t>
  </si>
  <si>
    <t>FD15AE3C-76A3-4431-85E5-7B0441ABB1B9|RESULT|522611|4|1|IG#</t>
  </si>
  <si>
    <t>522611|5|1|IG#</t>
  </si>
  <si>
    <t>FD15AE3C-76A3-4431-85E5-7B0441ABB1B9|RESULT|522611|5|1|IG#</t>
  </si>
  <si>
    <t>522611|6|1|IG#</t>
  </si>
  <si>
    <t>FD15AE3C-76A3-4431-85E5-7B0441ABB1B9|RESULT|522611|6|1|IG#</t>
  </si>
  <si>
    <t>522611|7|1|IG#</t>
  </si>
  <si>
    <t>FD15AE3C-76A3-4431-85E5-7B0441ABB1B9|RESULT|522611|7|1|IG#</t>
  </si>
  <si>
    <t>522611|8|1|IG#</t>
  </si>
  <si>
    <t>FD15AE3C-76A3-4431-85E5-7B0441ABB1B9|RESULT|522611|8|1|IG#</t>
  </si>
  <si>
    <t>522611|9|1|IG#</t>
  </si>
  <si>
    <t>FD15AE3C-76A3-4431-85E5-7B0441ABB1B9|RESULT|522611|9|1|IG#</t>
  </si>
  <si>
    <t>522611|10|1|IG#</t>
  </si>
  <si>
    <t>FD15AE3C-76A3-4431-85E5-7B0441ABB1B9|RESULT|522611|10|1|IG#</t>
  </si>
  <si>
    <t>522611|11|1|IG#</t>
  </si>
  <si>
    <t>FD15AE3C-76A3-4431-85E5-7B0441ABB1B9|RESULT|522611|11|1|IG#</t>
  </si>
  <si>
    <t>522611|12|1|IG#</t>
  </si>
  <si>
    <t>FD15AE3C-76A3-4431-85E5-7B0441ABB1B9|RESULT|522611|12|1|IG#</t>
  </si>
  <si>
    <t>522611|13|1|IG#</t>
  </si>
  <si>
    <t>FD15AE3C-76A3-4431-85E5-7B0441ABB1B9|RESULT|522611|13|1|IG#</t>
  </si>
  <si>
    <t>522611|14|1|IG#</t>
  </si>
  <si>
    <t>FD15AE3C-76A3-4431-85E5-7B0441ABB1B9|RESULT|522611|14|1|IG#</t>
  </si>
  <si>
    <t>522611|15|1|IG#</t>
  </si>
  <si>
    <t>FD15AE3C-76A3-4431-85E5-7B0441ABB1B9|RESULT|522611|15|1|IG#</t>
  </si>
  <si>
    <t>522611|16|1|IG#</t>
  </si>
  <si>
    <t>FD15AE3C-76A3-4431-85E5-7B0441ABB1B9|RESULT|522611|16|1|IG#</t>
  </si>
  <si>
    <t>522611|17|1|IG#</t>
  </si>
  <si>
    <t>FD15AE3C-76A3-4431-85E5-7B0441ABB1B9|RESULT|522611|17|1|IG#</t>
  </si>
  <si>
    <t>522611|18|1|IG#</t>
  </si>
  <si>
    <t>FD15AE3C-76A3-4431-85E5-7B0441ABB1B9|RESULT|522611|18|1|IG#</t>
  </si>
  <si>
    <t>522611|19|1|IG#</t>
  </si>
  <si>
    <t>FD15AE3C-76A3-4431-85E5-7B0441ABB1B9|RESULT|522611|19|1|IG#</t>
  </si>
  <si>
    <t>522611|20|1|IG#</t>
  </si>
  <si>
    <t>FD15AE3C-76A3-4431-85E5-7B0441ABB1B9|RESULT|522611|20|1|IG#</t>
  </si>
  <si>
    <t>522611|21|1|IG#</t>
  </si>
  <si>
    <t>FD15AE3C-76A3-4431-85E5-7B0441ABB1B9|RESULT|522611|21|1|IG#</t>
  </si>
  <si>
    <t>522611|22|1|IG#</t>
  </si>
  <si>
    <t>FD15AE3C-76A3-4431-85E5-7B0441ABB1B9|RESULT|522611|22|1|IG#</t>
  </si>
  <si>
    <t>522611|23|1|IG#</t>
  </si>
  <si>
    <t>FD15AE3C-76A3-4431-85E5-7B0441ABB1B9|RESULT|522611|23|1|IG#</t>
  </si>
  <si>
    <t>522611|24|1|IG#</t>
  </si>
  <si>
    <t>FD15AE3C-76A3-4431-85E5-7B0441ABB1B9|RESULT|522611|24|1|IG#</t>
  </si>
  <si>
    <t>522611|25|1|IG#</t>
  </si>
  <si>
    <t>FD15AE3C-76A3-4431-85E5-7B0441ABB1B9|RESULT|522611|25|1|IG#</t>
  </si>
  <si>
    <t>522611|1|2|IG#</t>
  </si>
  <si>
    <t>FD15AE3C-76A3-4431-85E5-7B0441ABB1B9|RESULT|522611|1|2|IG#</t>
  </si>
  <si>
    <t>522611|2|2|IG#</t>
  </si>
  <si>
    <t>FD15AE3C-76A3-4431-85E5-7B0441ABB1B9|RESULT|522611|2|2|IG#</t>
  </si>
  <si>
    <t>522611|3|2|IG#</t>
  </si>
  <si>
    <t>FD15AE3C-76A3-4431-85E5-7B0441ABB1B9|RESULT|522611|3|2|IG#</t>
  </si>
  <si>
    <t>522611|4|2|IG#</t>
  </si>
  <si>
    <t>FD15AE3C-76A3-4431-85E5-7B0441ABB1B9|RESULT|522611|4|2|IG#</t>
  </si>
  <si>
    <t>522611|5|2|IG#</t>
  </si>
  <si>
    <t>FD15AE3C-76A3-4431-85E5-7B0441ABB1B9|RESULT|522611|5|2|IG#</t>
  </si>
  <si>
    <t>522611|6|2|IG#</t>
  </si>
  <si>
    <t>FD15AE3C-76A3-4431-85E5-7B0441ABB1B9|RESULT|522611|6|2|IG#</t>
  </si>
  <si>
    <t>522611|7|2|IG#</t>
  </si>
  <si>
    <t>FD15AE3C-76A3-4431-85E5-7B0441ABB1B9|RESULT|522611|7|2|IG#</t>
  </si>
  <si>
    <t>522611|8|2|IG#</t>
  </si>
  <si>
    <t>FD15AE3C-76A3-4431-85E5-7B0441ABB1B9|RESULT|522611|8|2|IG#</t>
  </si>
  <si>
    <t>522611|9|2|IG#</t>
  </si>
  <si>
    <t>FD15AE3C-76A3-4431-85E5-7B0441ABB1B9|RESULT|522611|9|2|IG#</t>
  </si>
  <si>
    <t>522611|10|2|IG#</t>
  </si>
  <si>
    <t>FD15AE3C-76A3-4431-85E5-7B0441ABB1B9|RESULT|522611|10|2|IG#</t>
  </si>
  <si>
    <t>522611|11|2|IG#</t>
  </si>
  <si>
    <t>FD15AE3C-76A3-4431-85E5-7B0441ABB1B9|RESULT|522611|11|2|IG#</t>
  </si>
  <si>
    <t>522611|12|2|IG#</t>
  </si>
  <si>
    <t>FD15AE3C-76A3-4431-85E5-7B0441ABB1B9|RESULT|522611|12|2|IG#</t>
  </si>
  <si>
    <t>522611|13|2|IG#</t>
  </si>
  <si>
    <t>FD15AE3C-76A3-4431-85E5-7B0441ABB1B9|RESULT|522611|13|2|IG#</t>
  </si>
  <si>
    <t>522611|14|2|IG#</t>
  </si>
  <si>
    <t>FD15AE3C-76A3-4431-85E5-7B0441ABB1B9|RESULT|522611|14|2|IG#</t>
  </si>
  <si>
    <t>522611|15|2|IG#</t>
  </si>
  <si>
    <t>FD15AE3C-76A3-4431-85E5-7B0441ABB1B9|RESULT|522611|15|2|IG#</t>
  </si>
  <si>
    <t>522611|16|2|IG#</t>
  </si>
  <si>
    <t>FD15AE3C-76A3-4431-85E5-7B0441ABB1B9|RESULT|522611|16|2|IG#</t>
  </si>
  <si>
    <t>522611|17|2|IG#</t>
  </si>
  <si>
    <t>FD15AE3C-76A3-4431-85E5-7B0441ABB1B9|RESULT|522611|17|2|IG#</t>
  </si>
  <si>
    <t>522611|18|2|IG#</t>
  </si>
  <si>
    <t>FD15AE3C-76A3-4431-85E5-7B0441ABB1B9|RESULT|522611|18|2|IG#</t>
  </si>
  <si>
    <t>522611|19|2|IG#</t>
  </si>
  <si>
    <t>FD15AE3C-76A3-4431-85E5-7B0441ABB1B9|RESULT|522611|19|2|IG#</t>
  </si>
  <si>
    <t>522611|20|2|IG#</t>
  </si>
  <si>
    <t>FD15AE3C-76A3-4431-85E5-7B0441ABB1B9|RESULT|522611|20|2|IG#</t>
  </si>
  <si>
    <t>522611|21|2|IG#</t>
  </si>
  <si>
    <t>FD15AE3C-76A3-4431-85E5-7B0441ABB1B9|RESULT|522611|21|2|IG#</t>
  </si>
  <si>
    <t>522611|22|2|IG#</t>
  </si>
  <si>
    <t>FD15AE3C-76A3-4431-85E5-7B0441ABB1B9|RESULT|522611|22|2|IG#</t>
  </si>
  <si>
    <t>522611|23|2|IG#</t>
  </si>
  <si>
    <t>FD15AE3C-76A3-4431-85E5-7B0441ABB1B9|RESULT|522611|23|2|IG#</t>
  </si>
  <si>
    <t>522611|24|2|IG#</t>
  </si>
  <si>
    <t>FD15AE3C-76A3-4431-85E5-7B0441ABB1B9|RESULT|522611|24|2|IG#</t>
  </si>
  <si>
    <t>522611|25|2|IG#</t>
  </si>
  <si>
    <t>FD15AE3C-76A3-4431-85E5-7B0441ABB1B9|RESULT|522611|25|2|IG#</t>
  </si>
  <si>
    <t>522611|1|3|IG#</t>
  </si>
  <si>
    <t>FD15AE3C-76A3-4431-85E5-7B0441ABB1B9|RESULT|522611|1|3|IG#</t>
  </si>
  <si>
    <t>522611|2|3|IG#</t>
  </si>
  <si>
    <t>FD15AE3C-76A3-4431-85E5-7B0441ABB1B9|RESULT|522611|2|3|IG#</t>
  </si>
  <si>
    <t>522611|3|3|IG#</t>
  </si>
  <si>
    <t>FD15AE3C-76A3-4431-85E5-7B0441ABB1B9|RESULT|522611|3|3|IG#</t>
  </si>
  <si>
    <t>522611|4|3|IG#</t>
  </si>
  <si>
    <t>FD15AE3C-76A3-4431-85E5-7B0441ABB1B9|RESULT|522611|4|3|IG#</t>
  </si>
  <si>
    <t>522611|5|3|IG#</t>
  </si>
  <si>
    <t>FD15AE3C-76A3-4431-85E5-7B0441ABB1B9|RESULT|522611|5|3|IG#</t>
  </si>
  <si>
    <t>522611|6|3|IG#</t>
  </si>
  <si>
    <t>FD15AE3C-76A3-4431-85E5-7B0441ABB1B9|RESULT|522611|6|3|IG#</t>
  </si>
  <si>
    <t>522611|7|3|IG#</t>
  </si>
  <si>
    <t>FD15AE3C-76A3-4431-85E5-7B0441ABB1B9|RESULT|522611|7|3|IG#</t>
  </si>
  <si>
    <t>522611|8|3|IG#</t>
  </si>
  <si>
    <t>FD15AE3C-76A3-4431-85E5-7B0441ABB1B9|RESULT|522611|8|3|IG#</t>
  </si>
  <si>
    <t>522611|9|3|IG#</t>
  </si>
  <si>
    <t>FD15AE3C-76A3-4431-85E5-7B0441ABB1B9|RESULT|522611|9|3|IG#</t>
  </si>
  <si>
    <t>522611|10|3|IG#</t>
  </si>
  <si>
    <t>FD15AE3C-76A3-4431-85E5-7B0441ABB1B9|RESULT|522611|10|3|IG#</t>
  </si>
  <si>
    <t>522611|11|3|IG#</t>
  </si>
  <si>
    <t>FD15AE3C-76A3-4431-85E5-7B0441ABB1B9|RESULT|522611|11|3|IG#</t>
  </si>
  <si>
    <t>522611|12|3|IG#</t>
  </si>
  <si>
    <t>FD15AE3C-76A3-4431-85E5-7B0441ABB1B9|RESULT|522611|12|3|IG#</t>
  </si>
  <si>
    <t>522611|13|3|IG#</t>
  </si>
  <si>
    <t>FD15AE3C-76A3-4431-85E5-7B0441ABB1B9|RESULT|522611|13|3|IG#</t>
  </si>
  <si>
    <t>522611|14|3|IG#</t>
  </si>
  <si>
    <t>FD15AE3C-76A3-4431-85E5-7B0441ABB1B9|RESULT|522611|14|3|IG#</t>
  </si>
  <si>
    <t>522611|15|3|IG#</t>
  </si>
  <si>
    <t>FD15AE3C-76A3-4431-85E5-7B0441ABB1B9|RESULT|522611|15|3|IG#</t>
  </si>
  <si>
    <t>522611|16|3|IG#</t>
  </si>
  <si>
    <t>FD15AE3C-76A3-4431-85E5-7B0441ABB1B9|RESULT|522611|16|3|IG#</t>
  </si>
  <si>
    <t>522611|17|3|IG#</t>
  </si>
  <si>
    <t>FD15AE3C-76A3-4431-85E5-7B0441ABB1B9|RESULT|522611|17|3|IG#</t>
  </si>
  <si>
    <t>522611|18|3|IG#</t>
  </si>
  <si>
    <t>FD15AE3C-76A3-4431-85E5-7B0441ABB1B9|RESULT|522611|18|3|IG#</t>
  </si>
  <si>
    <t>522611|19|3|IG#</t>
  </si>
  <si>
    <t>FD15AE3C-76A3-4431-85E5-7B0441ABB1B9|RESULT|522611|19|3|IG#</t>
  </si>
  <si>
    <t>522611|20|3|IG#</t>
  </si>
  <si>
    <t>FD15AE3C-76A3-4431-85E5-7B0441ABB1B9|RESULT|522611|20|3|IG#</t>
  </si>
  <si>
    <t>522611|21|3|IG#</t>
  </si>
  <si>
    <t>FD15AE3C-76A3-4431-85E5-7B0441ABB1B9|RESULT|522611|21|3|IG#</t>
  </si>
  <si>
    <t>522611|22|3|IG#</t>
  </si>
  <si>
    <t>FD15AE3C-76A3-4431-85E5-7B0441ABB1B9|RESULT|522611|22|3|IG#</t>
  </si>
  <si>
    <t>522611|23|3|IG#</t>
  </si>
  <si>
    <t>FD15AE3C-76A3-4431-85E5-7B0441ABB1B9|RESULT|522611|23|3|IG#</t>
  </si>
  <si>
    <t>522611|24|3|IG#</t>
  </si>
  <si>
    <t>FD15AE3C-76A3-4431-85E5-7B0441ABB1B9|RESULT|522611|24|3|IG#</t>
  </si>
  <si>
    <t>522611|25|3|IG#</t>
  </si>
  <si>
    <t>FD15AE3C-76A3-4431-85E5-7B0441ABB1B9|RESULT|522611|25|3|IG#</t>
  </si>
  <si>
    <t>522611|1|1|NRBC%</t>
  </si>
  <si>
    <t>FD15AE3C-76A3-4431-85E5-7B0441ABB1B9|RESULT|522611|1|1|NRBC%</t>
  </si>
  <si>
    <t>Hematologia|ANALITO|NRBC%</t>
  </si>
  <si>
    <t>522611|2|1|NRBC%</t>
  </si>
  <si>
    <t>FD15AE3C-76A3-4431-85E5-7B0441ABB1B9|RESULT|522611|2|1|NRBC%</t>
  </si>
  <si>
    <t>522611|3|1|NRBC%</t>
  </si>
  <si>
    <t>FD15AE3C-76A3-4431-85E5-7B0441ABB1B9|RESULT|522611|3|1|NRBC%</t>
  </si>
  <si>
    <t>522611|4|1|NRBC%</t>
  </si>
  <si>
    <t>FD15AE3C-76A3-4431-85E5-7B0441ABB1B9|RESULT|522611|4|1|NRBC%</t>
  </si>
  <si>
    <t>522611|5|1|NRBC%</t>
  </si>
  <si>
    <t>FD15AE3C-76A3-4431-85E5-7B0441ABB1B9|RESULT|522611|5|1|NRBC%</t>
  </si>
  <si>
    <t>522611|6|1|NRBC%</t>
  </si>
  <si>
    <t>FD15AE3C-76A3-4431-85E5-7B0441ABB1B9|RESULT|522611|6|1|NRBC%</t>
  </si>
  <si>
    <t>522611|7|1|NRBC%</t>
  </si>
  <si>
    <t>FD15AE3C-76A3-4431-85E5-7B0441ABB1B9|RESULT|522611|7|1|NRBC%</t>
  </si>
  <si>
    <t>522611|8|1|NRBC%</t>
  </si>
  <si>
    <t>FD15AE3C-76A3-4431-85E5-7B0441ABB1B9|RESULT|522611|8|1|NRBC%</t>
  </si>
  <si>
    <t>522611|9|1|NRBC%</t>
  </si>
  <si>
    <t>FD15AE3C-76A3-4431-85E5-7B0441ABB1B9|RESULT|522611|9|1|NRBC%</t>
  </si>
  <si>
    <t>522611|10|1|NRBC%</t>
  </si>
  <si>
    <t>FD15AE3C-76A3-4431-85E5-7B0441ABB1B9|RESULT|522611|10|1|NRBC%</t>
  </si>
  <si>
    <t>522611|11|1|NRBC%</t>
  </si>
  <si>
    <t>FD15AE3C-76A3-4431-85E5-7B0441ABB1B9|RESULT|522611|11|1|NRBC%</t>
  </si>
  <si>
    <t>522611|12|1|NRBC%</t>
  </si>
  <si>
    <t>FD15AE3C-76A3-4431-85E5-7B0441ABB1B9|RESULT|522611|12|1|NRBC%</t>
  </si>
  <si>
    <t>522611|13|1|NRBC%</t>
  </si>
  <si>
    <t>FD15AE3C-76A3-4431-85E5-7B0441ABB1B9|RESULT|522611|13|1|NRBC%</t>
  </si>
  <si>
    <t>522611|14|1|NRBC%</t>
  </si>
  <si>
    <t>FD15AE3C-76A3-4431-85E5-7B0441ABB1B9|RESULT|522611|14|1|NRBC%</t>
  </si>
  <si>
    <t>522611|15|1|NRBC%</t>
  </si>
  <si>
    <t>FD15AE3C-76A3-4431-85E5-7B0441ABB1B9|RESULT|522611|15|1|NRBC%</t>
  </si>
  <si>
    <t>522611|16|1|NRBC%</t>
  </si>
  <si>
    <t>FD15AE3C-76A3-4431-85E5-7B0441ABB1B9|RESULT|522611|16|1|NRBC%</t>
  </si>
  <si>
    <t>522611|17|1|NRBC%</t>
  </si>
  <si>
    <t>FD15AE3C-76A3-4431-85E5-7B0441ABB1B9|RESULT|522611|17|1|NRBC%</t>
  </si>
  <si>
    <t>522611|18|1|NRBC%</t>
  </si>
  <si>
    <t>FD15AE3C-76A3-4431-85E5-7B0441ABB1B9|RESULT|522611|18|1|NRBC%</t>
  </si>
  <si>
    <t>522611|19|1|NRBC%</t>
  </si>
  <si>
    <t>FD15AE3C-76A3-4431-85E5-7B0441ABB1B9|RESULT|522611|19|1|NRBC%</t>
  </si>
  <si>
    <t>522611|20|1|NRBC%</t>
  </si>
  <si>
    <t>FD15AE3C-76A3-4431-85E5-7B0441ABB1B9|RESULT|522611|20|1|NRBC%</t>
  </si>
  <si>
    <t>522611|21|1|NRBC%</t>
  </si>
  <si>
    <t>FD15AE3C-76A3-4431-85E5-7B0441ABB1B9|RESULT|522611|21|1|NRBC%</t>
  </si>
  <si>
    <t>522611|22|1|NRBC%</t>
  </si>
  <si>
    <t>FD15AE3C-76A3-4431-85E5-7B0441ABB1B9|RESULT|522611|22|1|NRBC%</t>
  </si>
  <si>
    <t>522611|23|1|NRBC%</t>
  </si>
  <si>
    <t>FD15AE3C-76A3-4431-85E5-7B0441ABB1B9|RESULT|522611|23|1|NRBC%</t>
  </si>
  <si>
    <t>522611|24|1|NRBC%</t>
  </si>
  <si>
    <t>FD15AE3C-76A3-4431-85E5-7B0441ABB1B9|RESULT|522611|24|1|NRBC%</t>
  </si>
  <si>
    <t>522611|25|1|NRBC%</t>
  </si>
  <si>
    <t>FD15AE3C-76A3-4431-85E5-7B0441ABB1B9|RESULT|522611|25|1|NRBC%</t>
  </si>
  <si>
    <t>522611|1|2|NRBC%</t>
  </si>
  <si>
    <t>FD15AE3C-76A3-4431-85E5-7B0441ABB1B9|RESULT|522611|1|2|NRBC%</t>
  </si>
  <si>
    <t>522611|2|2|NRBC%</t>
  </si>
  <si>
    <t>FD15AE3C-76A3-4431-85E5-7B0441ABB1B9|RESULT|522611|2|2|NRBC%</t>
  </si>
  <si>
    <t>522611|3|2|NRBC%</t>
  </si>
  <si>
    <t>FD15AE3C-76A3-4431-85E5-7B0441ABB1B9|RESULT|522611|3|2|NRBC%</t>
  </si>
  <si>
    <t>522611|4|2|NRBC%</t>
  </si>
  <si>
    <t>FD15AE3C-76A3-4431-85E5-7B0441ABB1B9|RESULT|522611|4|2|NRBC%</t>
  </si>
  <si>
    <t>522611|5|2|NRBC%</t>
  </si>
  <si>
    <t>FD15AE3C-76A3-4431-85E5-7B0441ABB1B9|RESULT|522611|5|2|NRBC%</t>
  </si>
  <si>
    <t>522611|6|2|NRBC%</t>
  </si>
  <si>
    <t>FD15AE3C-76A3-4431-85E5-7B0441ABB1B9|RESULT|522611|6|2|NRBC%</t>
  </si>
  <si>
    <t>522611|7|2|NRBC%</t>
  </si>
  <si>
    <t>FD15AE3C-76A3-4431-85E5-7B0441ABB1B9|RESULT|522611|7|2|NRBC%</t>
  </si>
  <si>
    <t>522611|8|2|NRBC%</t>
  </si>
  <si>
    <t>FD15AE3C-76A3-4431-85E5-7B0441ABB1B9|RESULT|522611|8|2|NRBC%</t>
  </si>
  <si>
    <t>522611|9|2|NRBC%</t>
  </si>
  <si>
    <t>FD15AE3C-76A3-4431-85E5-7B0441ABB1B9|RESULT|522611|9|2|NRBC%</t>
  </si>
  <si>
    <t>522611|10|2|NRBC%</t>
  </si>
  <si>
    <t>FD15AE3C-76A3-4431-85E5-7B0441ABB1B9|RESULT|522611|10|2|NRBC%</t>
  </si>
  <si>
    <t>522611|11|2|NRBC%</t>
  </si>
  <si>
    <t>FD15AE3C-76A3-4431-85E5-7B0441ABB1B9|RESULT|522611|11|2|NRBC%</t>
  </si>
  <si>
    <t>522611|12|2|NRBC%</t>
  </si>
  <si>
    <t>FD15AE3C-76A3-4431-85E5-7B0441ABB1B9|RESULT|522611|12|2|NRBC%</t>
  </si>
  <si>
    <t>522611|13|2|NRBC%</t>
  </si>
  <si>
    <t>FD15AE3C-76A3-4431-85E5-7B0441ABB1B9|RESULT|522611|13|2|NRBC%</t>
  </si>
  <si>
    <t>522611|14|2|NRBC%</t>
  </si>
  <si>
    <t>FD15AE3C-76A3-4431-85E5-7B0441ABB1B9|RESULT|522611|14|2|NRBC%</t>
  </si>
  <si>
    <t>522611|15|2|NRBC%</t>
  </si>
  <si>
    <t>FD15AE3C-76A3-4431-85E5-7B0441ABB1B9|RESULT|522611|15|2|NRBC%</t>
  </si>
  <si>
    <t>522611|16|2|NRBC%</t>
  </si>
  <si>
    <t>FD15AE3C-76A3-4431-85E5-7B0441ABB1B9|RESULT|522611|16|2|NRBC%</t>
  </si>
  <si>
    <t>522611|17|2|NRBC%</t>
  </si>
  <si>
    <t>FD15AE3C-76A3-4431-85E5-7B0441ABB1B9|RESULT|522611|17|2|NRBC%</t>
  </si>
  <si>
    <t>522611|18|2|NRBC%</t>
  </si>
  <si>
    <t>FD15AE3C-76A3-4431-85E5-7B0441ABB1B9|RESULT|522611|18|2|NRBC%</t>
  </si>
  <si>
    <t>522611|19|2|NRBC%</t>
  </si>
  <si>
    <t>FD15AE3C-76A3-4431-85E5-7B0441ABB1B9|RESULT|522611|19|2|NRBC%</t>
  </si>
  <si>
    <t>522611|20|2|NRBC%</t>
  </si>
  <si>
    <t>FD15AE3C-76A3-4431-85E5-7B0441ABB1B9|RESULT|522611|20|2|NRBC%</t>
  </si>
  <si>
    <t>522611|21|2|NRBC%</t>
  </si>
  <si>
    <t>FD15AE3C-76A3-4431-85E5-7B0441ABB1B9|RESULT|522611|21|2|NRBC%</t>
  </si>
  <si>
    <t>522611|22|2|NRBC%</t>
  </si>
  <si>
    <t>FD15AE3C-76A3-4431-85E5-7B0441ABB1B9|RESULT|522611|22|2|NRBC%</t>
  </si>
  <si>
    <t>522611|23|2|NRBC%</t>
  </si>
  <si>
    <t>FD15AE3C-76A3-4431-85E5-7B0441ABB1B9|RESULT|522611|23|2|NRBC%</t>
  </si>
  <si>
    <t>522611|24|2|NRBC%</t>
  </si>
  <si>
    <t>FD15AE3C-76A3-4431-85E5-7B0441ABB1B9|RESULT|522611|24|2|NRBC%</t>
  </si>
  <si>
    <t>522611|25|2|NRBC%</t>
  </si>
  <si>
    <t>FD15AE3C-76A3-4431-85E5-7B0441ABB1B9|RESULT|522611|25|2|NRBC%</t>
  </si>
  <si>
    <t>522611|1|3|NRBC%</t>
  </si>
  <si>
    <t>FD15AE3C-76A3-4431-85E5-7B0441ABB1B9|RESULT|522611|1|3|NRBC%</t>
  </si>
  <si>
    <t>522611|2|3|NRBC%</t>
  </si>
  <si>
    <t>FD15AE3C-76A3-4431-85E5-7B0441ABB1B9|RESULT|522611|2|3|NRBC%</t>
  </si>
  <si>
    <t>522611|3|3|NRBC%</t>
  </si>
  <si>
    <t>FD15AE3C-76A3-4431-85E5-7B0441ABB1B9|RESULT|522611|3|3|NRBC%</t>
  </si>
  <si>
    <t>522611|4|3|NRBC%</t>
  </si>
  <si>
    <t>FD15AE3C-76A3-4431-85E5-7B0441ABB1B9|RESULT|522611|4|3|NRBC%</t>
  </si>
  <si>
    <t>522611|5|3|NRBC%</t>
  </si>
  <si>
    <t>FD15AE3C-76A3-4431-85E5-7B0441ABB1B9|RESULT|522611|5|3|NRBC%</t>
  </si>
  <si>
    <t>522611|6|3|NRBC%</t>
  </si>
  <si>
    <t>FD15AE3C-76A3-4431-85E5-7B0441ABB1B9|RESULT|522611|6|3|NRBC%</t>
  </si>
  <si>
    <t>522611|7|3|NRBC%</t>
  </si>
  <si>
    <t>FD15AE3C-76A3-4431-85E5-7B0441ABB1B9|RESULT|522611|7|3|NRBC%</t>
  </si>
  <si>
    <t>522611|8|3|NRBC%</t>
  </si>
  <si>
    <t>FD15AE3C-76A3-4431-85E5-7B0441ABB1B9|RESULT|522611|8|3|NRBC%</t>
  </si>
  <si>
    <t>522611|9|3|NRBC%</t>
  </si>
  <si>
    <t>FD15AE3C-76A3-4431-85E5-7B0441ABB1B9|RESULT|522611|9|3|NRBC%</t>
  </si>
  <si>
    <t>522611|10|3|NRBC%</t>
  </si>
  <si>
    <t>FD15AE3C-76A3-4431-85E5-7B0441ABB1B9|RESULT|522611|10|3|NRBC%</t>
  </si>
  <si>
    <t>522611|11|3|NRBC%</t>
  </si>
  <si>
    <t>FD15AE3C-76A3-4431-85E5-7B0441ABB1B9|RESULT|522611|11|3|NRBC%</t>
  </si>
  <si>
    <t>522611|12|3|NRBC%</t>
  </si>
  <si>
    <t>FD15AE3C-76A3-4431-85E5-7B0441ABB1B9|RESULT|522611|12|3|NRBC%</t>
  </si>
  <si>
    <t>522611|13|3|NRBC%</t>
  </si>
  <si>
    <t>FD15AE3C-76A3-4431-85E5-7B0441ABB1B9|RESULT|522611|13|3|NRBC%</t>
  </si>
  <si>
    <t>522611|14|3|NRBC%</t>
  </si>
  <si>
    <t>FD15AE3C-76A3-4431-85E5-7B0441ABB1B9|RESULT|522611|14|3|NRBC%</t>
  </si>
  <si>
    <t>522611|15|3|NRBC%</t>
  </si>
  <si>
    <t>FD15AE3C-76A3-4431-85E5-7B0441ABB1B9|RESULT|522611|15|3|NRBC%</t>
  </si>
  <si>
    <t>522611|16|3|NRBC%</t>
  </si>
  <si>
    <t>FD15AE3C-76A3-4431-85E5-7B0441ABB1B9|RESULT|522611|16|3|NRBC%</t>
  </si>
  <si>
    <t>522611|17|3|NRBC%</t>
  </si>
  <si>
    <t>FD15AE3C-76A3-4431-85E5-7B0441ABB1B9|RESULT|522611|17|3|NRBC%</t>
  </si>
  <si>
    <t>522611|18|3|NRBC%</t>
  </si>
  <si>
    <t>FD15AE3C-76A3-4431-85E5-7B0441ABB1B9|RESULT|522611|18|3|NRBC%</t>
  </si>
  <si>
    <t>522611|19|3|NRBC%</t>
  </si>
  <si>
    <t>FD15AE3C-76A3-4431-85E5-7B0441ABB1B9|RESULT|522611|19|3|NRBC%</t>
  </si>
  <si>
    <t>522611|20|3|NRBC%</t>
  </si>
  <si>
    <t>FD15AE3C-76A3-4431-85E5-7B0441ABB1B9|RESULT|522611|20|3|NRBC%</t>
  </si>
  <si>
    <t>522611|21|3|NRBC%</t>
  </si>
  <si>
    <t>FD15AE3C-76A3-4431-85E5-7B0441ABB1B9|RESULT|522611|21|3|NRBC%</t>
  </si>
  <si>
    <t>522611|22|3|NRBC%</t>
  </si>
  <si>
    <t>FD15AE3C-76A3-4431-85E5-7B0441ABB1B9|RESULT|522611|22|3|NRBC%</t>
  </si>
  <si>
    <t>522611|23|3|NRBC%</t>
  </si>
  <si>
    <t>FD15AE3C-76A3-4431-85E5-7B0441ABB1B9|RESULT|522611|23|3|NRBC%</t>
  </si>
  <si>
    <t>522611|24|3|NRBC%</t>
  </si>
  <si>
    <t>FD15AE3C-76A3-4431-85E5-7B0441ABB1B9|RESULT|522611|24|3|NRBC%</t>
  </si>
  <si>
    <t>522611|25|3|NRBC%</t>
  </si>
  <si>
    <t>FD15AE3C-76A3-4431-85E5-7B0441ABB1B9|RESULT|522611|25|3|NRBC%</t>
  </si>
  <si>
    <t>522611|1|1|NRBC#</t>
  </si>
  <si>
    <t>FD15AE3C-76A3-4431-85E5-7B0441ABB1B9|RESULT|522611|1|1|NRBC#</t>
  </si>
  <si>
    <t>Hematologia|ANALITO|NRBC#</t>
  </si>
  <si>
    <t>522611|2|1|NRBC#</t>
  </si>
  <si>
    <t>FD15AE3C-76A3-4431-85E5-7B0441ABB1B9|RESULT|522611|2|1|NRBC#</t>
  </si>
  <si>
    <t>522611|3|1|NRBC#</t>
  </si>
  <si>
    <t>FD15AE3C-76A3-4431-85E5-7B0441ABB1B9|RESULT|522611|3|1|NRBC#</t>
  </si>
  <si>
    <t>522611|4|1|NRBC#</t>
  </si>
  <si>
    <t>FD15AE3C-76A3-4431-85E5-7B0441ABB1B9|RESULT|522611|4|1|NRBC#</t>
  </si>
  <si>
    <t>522611|5|1|NRBC#</t>
  </si>
  <si>
    <t>FD15AE3C-76A3-4431-85E5-7B0441ABB1B9|RESULT|522611|5|1|NRBC#</t>
  </si>
  <si>
    <t>522611|6|1|NRBC#</t>
  </si>
  <si>
    <t>FD15AE3C-76A3-4431-85E5-7B0441ABB1B9|RESULT|522611|6|1|NRBC#</t>
  </si>
  <si>
    <t>522611|7|1|NRBC#</t>
  </si>
  <si>
    <t>FD15AE3C-76A3-4431-85E5-7B0441ABB1B9|RESULT|522611|7|1|NRBC#</t>
  </si>
  <si>
    <t>522611|8|1|NRBC#</t>
  </si>
  <si>
    <t>FD15AE3C-76A3-4431-85E5-7B0441ABB1B9|RESULT|522611|8|1|NRBC#</t>
  </si>
  <si>
    <t>522611|9|1|NRBC#</t>
  </si>
  <si>
    <t>FD15AE3C-76A3-4431-85E5-7B0441ABB1B9|RESULT|522611|9|1|NRBC#</t>
  </si>
  <si>
    <t>522611|10|1|NRBC#</t>
  </si>
  <si>
    <t>FD15AE3C-76A3-4431-85E5-7B0441ABB1B9|RESULT|522611|10|1|NRBC#</t>
  </si>
  <si>
    <t>522611|11|1|NRBC#</t>
  </si>
  <si>
    <t>FD15AE3C-76A3-4431-85E5-7B0441ABB1B9|RESULT|522611|11|1|NRBC#</t>
  </si>
  <si>
    <t>522611|12|1|NRBC#</t>
  </si>
  <si>
    <t>FD15AE3C-76A3-4431-85E5-7B0441ABB1B9|RESULT|522611|12|1|NRBC#</t>
  </si>
  <si>
    <t>522611|13|1|NRBC#</t>
  </si>
  <si>
    <t>FD15AE3C-76A3-4431-85E5-7B0441ABB1B9|RESULT|522611|13|1|NRBC#</t>
  </si>
  <si>
    <t>522611|14|1|NRBC#</t>
  </si>
  <si>
    <t>FD15AE3C-76A3-4431-85E5-7B0441ABB1B9|RESULT|522611|14|1|NRBC#</t>
  </si>
  <si>
    <t>522611|15|1|NRBC#</t>
  </si>
  <si>
    <t>FD15AE3C-76A3-4431-85E5-7B0441ABB1B9|RESULT|522611|15|1|NRBC#</t>
  </si>
  <si>
    <t>522611|16|1|NRBC#</t>
  </si>
  <si>
    <t>FD15AE3C-76A3-4431-85E5-7B0441ABB1B9|RESULT|522611|16|1|NRBC#</t>
  </si>
  <si>
    <t>522611|17|1|NRBC#</t>
  </si>
  <si>
    <t>FD15AE3C-76A3-4431-85E5-7B0441ABB1B9|RESULT|522611|17|1|NRBC#</t>
  </si>
  <si>
    <t>522611|18|1|NRBC#</t>
  </si>
  <si>
    <t>FD15AE3C-76A3-4431-85E5-7B0441ABB1B9|RESULT|522611|18|1|NRBC#</t>
  </si>
  <si>
    <t>522611|19|1|NRBC#</t>
  </si>
  <si>
    <t>FD15AE3C-76A3-4431-85E5-7B0441ABB1B9|RESULT|522611|19|1|NRBC#</t>
  </si>
  <si>
    <t>522611|20|1|NRBC#</t>
  </si>
  <si>
    <t>FD15AE3C-76A3-4431-85E5-7B0441ABB1B9|RESULT|522611|20|1|NRBC#</t>
  </si>
  <si>
    <t>522611|21|1|NRBC#</t>
  </si>
  <si>
    <t>FD15AE3C-76A3-4431-85E5-7B0441ABB1B9|RESULT|522611|21|1|NRBC#</t>
  </si>
  <si>
    <t>522611|22|1|NRBC#</t>
  </si>
  <si>
    <t>FD15AE3C-76A3-4431-85E5-7B0441ABB1B9|RESULT|522611|22|1|NRBC#</t>
  </si>
  <si>
    <t>522611|23|1|NRBC#</t>
  </si>
  <si>
    <t>FD15AE3C-76A3-4431-85E5-7B0441ABB1B9|RESULT|522611|23|1|NRBC#</t>
  </si>
  <si>
    <t>522611|24|1|NRBC#</t>
  </si>
  <si>
    <t>FD15AE3C-76A3-4431-85E5-7B0441ABB1B9|RESULT|522611|24|1|NRBC#</t>
  </si>
  <si>
    <t>522611|25|1|NRBC#</t>
  </si>
  <si>
    <t>FD15AE3C-76A3-4431-85E5-7B0441ABB1B9|RESULT|522611|25|1|NRBC#</t>
  </si>
  <si>
    <t>522611|1|2|NRBC#</t>
  </si>
  <si>
    <t>FD15AE3C-76A3-4431-85E5-7B0441ABB1B9|RESULT|522611|1|2|NRBC#</t>
  </si>
  <si>
    <t>522611|2|2|NRBC#</t>
  </si>
  <si>
    <t>FD15AE3C-76A3-4431-85E5-7B0441ABB1B9|RESULT|522611|2|2|NRBC#</t>
  </si>
  <si>
    <t>522611|3|2|NRBC#</t>
  </si>
  <si>
    <t>FD15AE3C-76A3-4431-85E5-7B0441ABB1B9|RESULT|522611|3|2|NRBC#</t>
  </si>
  <si>
    <t>522611|4|2|NRBC#</t>
  </si>
  <si>
    <t>FD15AE3C-76A3-4431-85E5-7B0441ABB1B9|RESULT|522611|4|2|NRBC#</t>
  </si>
  <si>
    <t>522611|5|2|NRBC#</t>
  </si>
  <si>
    <t>FD15AE3C-76A3-4431-85E5-7B0441ABB1B9|RESULT|522611|5|2|NRBC#</t>
  </si>
  <si>
    <t>522611|6|2|NRBC#</t>
  </si>
  <si>
    <t>FD15AE3C-76A3-4431-85E5-7B0441ABB1B9|RESULT|522611|6|2|NRBC#</t>
  </si>
  <si>
    <t>522611|7|2|NRBC#</t>
  </si>
  <si>
    <t>FD15AE3C-76A3-4431-85E5-7B0441ABB1B9|RESULT|522611|7|2|NRBC#</t>
  </si>
  <si>
    <t>522611|8|2|NRBC#</t>
  </si>
  <si>
    <t>FD15AE3C-76A3-4431-85E5-7B0441ABB1B9|RESULT|522611|8|2|NRBC#</t>
  </si>
  <si>
    <t>522611|9|2|NRBC#</t>
  </si>
  <si>
    <t>FD15AE3C-76A3-4431-85E5-7B0441ABB1B9|RESULT|522611|9|2|NRBC#</t>
  </si>
  <si>
    <t>522611|10|2|NRBC#</t>
  </si>
  <si>
    <t>FD15AE3C-76A3-4431-85E5-7B0441ABB1B9|RESULT|522611|10|2|NRBC#</t>
  </si>
  <si>
    <t>522611|11|2|NRBC#</t>
  </si>
  <si>
    <t>FD15AE3C-76A3-4431-85E5-7B0441ABB1B9|RESULT|522611|11|2|NRBC#</t>
  </si>
  <si>
    <t>522611|12|2|NRBC#</t>
  </si>
  <si>
    <t>FD15AE3C-76A3-4431-85E5-7B0441ABB1B9|RESULT|522611|12|2|NRBC#</t>
  </si>
  <si>
    <t>522611|13|2|NRBC#</t>
  </si>
  <si>
    <t>FD15AE3C-76A3-4431-85E5-7B0441ABB1B9|RESULT|522611|13|2|NRBC#</t>
  </si>
  <si>
    <t>522611|14|2|NRBC#</t>
  </si>
  <si>
    <t>FD15AE3C-76A3-4431-85E5-7B0441ABB1B9|RESULT|522611|14|2|NRBC#</t>
  </si>
  <si>
    <t>522611|15|2|NRBC#</t>
  </si>
  <si>
    <t>FD15AE3C-76A3-4431-85E5-7B0441ABB1B9|RESULT|522611|15|2|NRBC#</t>
  </si>
  <si>
    <t>522611|16|2|NRBC#</t>
  </si>
  <si>
    <t>FD15AE3C-76A3-4431-85E5-7B0441ABB1B9|RESULT|522611|16|2|NRBC#</t>
  </si>
  <si>
    <t>522611|17|2|NRBC#</t>
  </si>
  <si>
    <t>FD15AE3C-76A3-4431-85E5-7B0441ABB1B9|RESULT|522611|17|2|NRBC#</t>
  </si>
  <si>
    <t>522611|18|2|NRBC#</t>
  </si>
  <si>
    <t>FD15AE3C-76A3-4431-85E5-7B0441ABB1B9|RESULT|522611|18|2|NRBC#</t>
  </si>
  <si>
    <t>522611|19|2|NRBC#</t>
  </si>
  <si>
    <t>FD15AE3C-76A3-4431-85E5-7B0441ABB1B9|RESULT|522611|19|2|NRBC#</t>
  </si>
  <si>
    <t>522611|20|2|NRBC#</t>
  </si>
  <si>
    <t>FD15AE3C-76A3-4431-85E5-7B0441ABB1B9|RESULT|522611|20|2|NRBC#</t>
  </si>
  <si>
    <t>522611|21|2|NRBC#</t>
  </si>
  <si>
    <t>FD15AE3C-76A3-4431-85E5-7B0441ABB1B9|RESULT|522611|21|2|NRBC#</t>
  </si>
  <si>
    <t>522611|22|2|NRBC#</t>
  </si>
  <si>
    <t>FD15AE3C-76A3-4431-85E5-7B0441ABB1B9|RESULT|522611|22|2|NRBC#</t>
  </si>
  <si>
    <t>522611|23|2|NRBC#</t>
  </si>
  <si>
    <t>FD15AE3C-76A3-4431-85E5-7B0441ABB1B9|RESULT|522611|23|2|NRBC#</t>
  </si>
  <si>
    <t>522611|24|2|NRBC#</t>
  </si>
  <si>
    <t>FD15AE3C-76A3-4431-85E5-7B0441ABB1B9|RESULT|522611|24|2|NRBC#</t>
  </si>
  <si>
    <t>522611|25|2|NRBC#</t>
  </si>
  <si>
    <t>FD15AE3C-76A3-4431-85E5-7B0441ABB1B9|RESULT|522611|25|2|NRBC#</t>
  </si>
  <si>
    <t>522611|1|3|NRBC#</t>
  </si>
  <si>
    <t>FD15AE3C-76A3-4431-85E5-7B0441ABB1B9|RESULT|522611|1|3|NRBC#</t>
  </si>
  <si>
    <t>522611|2|3|NRBC#</t>
  </si>
  <si>
    <t>FD15AE3C-76A3-4431-85E5-7B0441ABB1B9|RESULT|522611|2|3|NRBC#</t>
  </si>
  <si>
    <t>522611|3|3|NRBC#</t>
  </si>
  <si>
    <t>FD15AE3C-76A3-4431-85E5-7B0441ABB1B9|RESULT|522611|3|3|NRBC#</t>
  </si>
  <si>
    <t>522611|4|3|NRBC#</t>
  </si>
  <si>
    <t>FD15AE3C-76A3-4431-85E5-7B0441ABB1B9|RESULT|522611|4|3|NRBC#</t>
  </si>
  <si>
    <t>522611|5|3|NRBC#</t>
  </si>
  <si>
    <t>FD15AE3C-76A3-4431-85E5-7B0441ABB1B9|RESULT|522611|5|3|NRBC#</t>
  </si>
  <si>
    <t>522611|6|3|NRBC#</t>
  </si>
  <si>
    <t>FD15AE3C-76A3-4431-85E5-7B0441ABB1B9|RESULT|522611|6|3|NRBC#</t>
  </si>
  <si>
    <t>522611|7|3|NRBC#</t>
  </si>
  <si>
    <t>FD15AE3C-76A3-4431-85E5-7B0441ABB1B9|RESULT|522611|7|3|NRBC#</t>
  </si>
  <si>
    <t>522611|8|3|NRBC#</t>
  </si>
  <si>
    <t>FD15AE3C-76A3-4431-85E5-7B0441ABB1B9|RESULT|522611|8|3|NRBC#</t>
  </si>
  <si>
    <t>522611|9|3|NRBC#</t>
  </si>
  <si>
    <t>FD15AE3C-76A3-4431-85E5-7B0441ABB1B9|RESULT|522611|9|3|NRBC#</t>
  </si>
  <si>
    <t>522611|10|3|NRBC#</t>
  </si>
  <si>
    <t>FD15AE3C-76A3-4431-85E5-7B0441ABB1B9|RESULT|522611|10|3|NRBC#</t>
  </si>
  <si>
    <t>522611|11|3|NRBC#</t>
  </si>
  <si>
    <t>FD15AE3C-76A3-4431-85E5-7B0441ABB1B9|RESULT|522611|11|3|NRBC#</t>
  </si>
  <si>
    <t>522611|12|3|NRBC#</t>
  </si>
  <si>
    <t>FD15AE3C-76A3-4431-85E5-7B0441ABB1B9|RESULT|522611|12|3|NRBC#</t>
  </si>
  <si>
    <t>522611|13|3|NRBC#</t>
  </si>
  <si>
    <t>FD15AE3C-76A3-4431-85E5-7B0441ABB1B9|RESULT|522611|13|3|NRBC#</t>
  </si>
  <si>
    <t>522611|14|3|NRBC#</t>
  </si>
  <si>
    <t>FD15AE3C-76A3-4431-85E5-7B0441ABB1B9|RESULT|522611|14|3|NRBC#</t>
  </si>
  <si>
    <t>522611|15|3|NRBC#</t>
  </si>
  <si>
    <t>FD15AE3C-76A3-4431-85E5-7B0441ABB1B9|RESULT|522611|15|3|NRBC#</t>
  </si>
  <si>
    <t>522611|16|3|NRBC#</t>
  </si>
  <si>
    <t>FD15AE3C-76A3-4431-85E5-7B0441ABB1B9|RESULT|522611|16|3|NRBC#</t>
  </si>
  <si>
    <t>522611|17|3|NRBC#</t>
  </si>
  <si>
    <t>FD15AE3C-76A3-4431-85E5-7B0441ABB1B9|RESULT|522611|17|3|NRBC#</t>
  </si>
  <si>
    <t>522611|18|3|NRBC#</t>
  </si>
  <si>
    <t>FD15AE3C-76A3-4431-85E5-7B0441ABB1B9|RESULT|522611|18|3|NRBC#</t>
  </si>
  <si>
    <t>522611|19|3|NRBC#</t>
  </si>
  <si>
    <t>FD15AE3C-76A3-4431-85E5-7B0441ABB1B9|RESULT|522611|19|3|NRBC#</t>
  </si>
  <si>
    <t>522611|20|3|NRBC#</t>
  </si>
  <si>
    <t>FD15AE3C-76A3-4431-85E5-7B0441ABB1B9|RESULT|522611|20|3|NRBC#</t>
  </si>
  <si>
    <t>522611|21|3|NRBC#</t>
  </si>
  <si>
    <t>FD15AE3C-76A3-4431-85E5-7B0441ABB1B9|RESULT|522611|21|3|NRBC#</t>
  </si>
  <si>
    <t>522611|22|3|NRBC#</t>
  </si>
  <si>
    <t>FD15AE3C-76A3-4431-85E5-7B0441ABB1B9|RESULT|522611|22|3|NRBC#</t>
  </si>
  <si>
    <t>522611|23|3|NRBC#</t>
  </si>
  <si>
    <t>FD15AE3C-76A3-4431-85E5-7B0441ABB1B9|RESULT|522611|23|3|NRBC#</t>
  </si>
  <si>
    <t>522611|24|3|NRBC#</t>
  </si>
  <si>
    <t>FD15AE3C-76A3-4431-85E5-7B0441ABB1B9|RESULT|522611|24|3|NRBC#</t>
  </si>
  <si>
    <t>522611|25|3|NRBC#</t>
  </si>
  <si>
    <t>FD15AE3C-76A3-4431-85E5-7B0441ABB1B9|RESULT|522611|25|3|NRBC#</t>
  </si>
  <si>
    <t>522611|1|1|RDW-SD</t>
  </si>
  <si>
    <t>FD15AE3C-76A3-4431-85E5-7B0441ABB1B9|RESULT|522611|1|1|RDW-SD</t>
  </si>
  <si>
    <t>Hematologia|ANALITO|RDW-SD</t>
  </si>
  <si>
    <t>522611|2|1|RDW-SD</t>
  </si>
  <si>
    <t>FD15AE3C-76A3-4431-85E5-7B0441ABB1B9|RESULT|522611|2|1|RDW-SD</t>
  </si>
  <si>
    <t>522611|3|1|RDW-SD</t>
  </si>
  <si>
    <t>FD15AE3C-76A3-4431-85E5-7B0441ABB1B9|RESULT|522611|3|1|RDW-SD</t>
  </si>
  <si>
    <t>522611|4|1|RDW-SD</t>
  </si>
  <si>
    <t>FD15AE3C-76A3-4431-85E5-7B0441ABB1B9|RESULT|522611|4|1|RDW-SD</t>
  </si>
  <si>
    <t>522611|5|1|RDW-SD</t>
  </si>
  <si>
    <t>FD15AE3C-76A3-4431-85E5-7B0441ABB1B9|RESULT|522611|5|1|RDW-SD</t>
  </si>
  <si>
    <t>522611|6|1|RDW-SD</t>
  </si>
  <si>
    <t>FD15AE3C-76A3-4431-85E5-7B0441ABB1B9|RESULT|522611|6|1|RDW-SD</t>
  </si>
  <si>
    <t>522611|7|1|RDW-SD</t>
  </si>
  <si>
    <t>FD15AE3C-76A3-4431-85E5-7B0441ABB1B9|RESULT|522611|7|1|RDW-SD</t>
  </si>
  <si>
    <t>522611|8|1|RDW-SD</t>
  </si>
  <si>
    <t>FD15AE3C-76A3-4431-85E5-7B0441ABB1B9|RESULT|522611|8|1|RDW-SD</t>
  </si>
  <si>
    <t>522611|9|1|RDW-SD</t>
  </si>
  <si>
    <t>FD15AE3C-76A3-4431-85E5-7B0441ABB1B9|RESULT|522611|9|1|RDW-SD</t>
  </si>
  <si>
    <t>522611|10|1|RDW-SD</t>
  </si>
  <si>
    <t>FD15AE3C-76A3-4431-85E5-7B0441ABB1B9|RESULT|522611|10|1|RDW-SD</t>
  </si>
  <si>
    <t>522611|11|1|RDW-SD</t>
  </si>
  <si>
    <t>FD15AE3C-76A3-4431-85E5-7B0441ABB1B9|RESULT|522611|11|1|RDW-SD</t>
  </si>
  <si>
    <t>522611|12|1|RDW-SD</t>
  </si>
  <si>
    <t>FD15AE3C-76A3-4431-85E5-7B0441ABB1B9|RESULT|522611|12|1|RDW-SD</t>
  </si>
  <si>
    <t>522611|13|1|RDW-SD</t>
  </si>
  <si>
    <t>FD15AE3C-76A3-4431-85E5-7B0441ABB1B9|RESULT|522611|13|1|RDW-SD</t>
  </si>
  <si>
    <t>522611|14|1|RDW-SD</t>
  </si>
  <si>
    <t>FD15AE3C-76A3-4431-85E5-7B0441ABB1B9|RESULT|522611|14|1|RDW-SD</t>
  </si>
  <si>
    <t>522611|15|1|RDW-SD</t>
  </si>
  <si>
    <t>FD15AE3C-76A3-4431-85E5-7B0441ABB1B9|RESULT|522611|15|1|RDW-SD</t>
  </si>
  <si>
    <t>522611|16|1|RDW-SD</t>
  </si>
  <si>
    <t>FD15AE3C-76A3-4431-85E5-7B0441ABB1B9|RESULT|522611|16|1|RDW-SD</t>
  </si>
  <si>
    <t>522611|17|1|RDW-SD</t>
  </si>
  <si>
    <t>FD15AE3C-76A3-4431-85E5-7B0441ABB1B9|RESULT|522611|17|1|RDW-SD</t>
  </si>
  <si>
    <t>522611|18|1|RDW-SD</t>
  </si>
  <si>
    <t>FD15AE3C-76A3-4431-85E5-7B0441ABB1B9|RESULT|522611|18|1|RDW-SD</t>
  </si>
  <si>
    <t>522611|19|1|RDW-SD</t>
  </si>
  <si>
    <t>FD15AE3C-76A3-4431-85E5-7B0441ABB1B9|RESULT|522611|19|1|RDW-SD</t>
  </si>
  <si>
    <t>522611|20|1|RDW-SD</t>
  </si>
  <si>
    <t>FD15AE3C-76A3-4431-85E5-7B0441ABB1B9|RESULT|522611|20|1|RDW-SD</t>
  </si>
  <si>
    <t>522611|21|1|RDW-SD</t>
  </si>
  <si>
    <t>FD15AE3C-76A3-4431-85E5-7B0441ABB1B9|RESULT|522611|21|1|RDW-SD</t>
  </si>
  <si>
    <t>522611|22|1|RDW-SD</t>
  </si>
  <si>
    <t>FD15AE3C-76A3-4431-85E5-7B0441ABB1B9|RESULT|522611|22|1|RDW-SD</t>
  </si>
  <si>
    <t>522611|23|1|RDW-SD</t>
  </si>
  <si>
    <t>FD15AE3C-76A3-4431-85E5-7B0441ABB1B9|RESULT|522611|23|1|RDW-SD</t>
  </si>
  <si>
    <t>522611|24|1|RDW-SD</t>
  </si>
  <si>
    <t>FD15AE3C-76A3-4431-85E5-7B0441ABB1B9|RESULT|522611|24|1|RDW-SD</t>
  </si>
  <si>
    <t>522611|25|1|RDW-SD</t>
  </si>
  <si>
    <t>FD15AE3C-76A3-4431-85E5-7B0441ABB1B9|RESULT|522611|25|1|RDW-SD</t>
  </si>
  <si>
    <t>522611|1|2|RDW-SD</t>
  </si>
  <si>
    <t>FD15AE3C-76A3-4431-85E5-7B0441ABB1B9|RESULT|522611|1|2|RDW-SD</t>
  </si>
  <si>
    <t>522611|2|2|RDW-SD</t>
  </si>
  <si>
    <t>FD15AE3C-76A3-4431-85E5-7B0441ABB1B9|RESULT|522611|2|2|RDW-SD</t>
  </si>
  <si>
    <t>522611|3|2|RDW-SD</t>
  </si>
  <si>
    <t>FD15AE3C-76A3-4431-85E5-7B0441ABB1B9|RESULT|522611|3|2|RDW-SD</t>
  </si>
  <si>
    <t>522611|4|2|RDW-SD</t>
  </si>
  <si>
    <t>FD15AE3C-76A3-4431-85E5-7B0441ABB1B9|RESULT|522611|4|2|RDW-SD</t>
  </si>
  <si>
    <t>522611|5|2|RDW-SD</t>
  </si>
  <si>
    <t>FD15AE3C-76A3-4431-85E5-7B0441ABB1B9|RESULT|522611|5|2|RDW-SD</t>
  </si>
  <si>
    <t>522611|6|2|RDW-SD</t>
  </si>
  <si>
    <t>FD15AE3C-76A3-4431-85E5-7B0441ABB1B9|RESULT|522611|6|2|RDW-SD</t>
  </si>
  <si>
    <t>522611|7|2|RDW-SD</t>
  </si>
  <si>
    <t>FD15AE3C-76A3-4431-85E5-7B0441ABB1B9|RESULT|522611|7|2|RDW-SD</t>
  </si>
  <si>
    <t>522611|8|2|RDW-SD</t>
  </si>
  <si>
    <t>FD15AE3C-76A3-4431-85E5-7B0441ABB1B9|RESULT|522611|8|2|RDW-SD</t>
  </si>
  <si>
    <t>522611|9|2|RDW-SD</t>
  </si>
  <si>
    <t>FD15AE3C-76A3-4431-85E5-7B0441ABB1B9|RESULT|522611|9|2|RDW-SD</t>
  </si>
  <si>
    <t>522611|10|2|RDW-SD</t>
  </si>
  <si>
    <t>FD15AE3C-76A3-4431-85E5-7B0441ABB1B9|RESULT|522611|10|2|RDW-SD</t>
  </si>
  <si>
    <t>522611|11|2|RDW-SD</t>
  </si>
  <si>
    <t>FD15AE3C-76A3-4431-85E5-7B0441ABB1B9|RESULT|522611|11|2|RDW-SD</t>
  </si>
  <si>
    <t>522611|12|2|RDW-SD</t>
  </si>
  <si>
    <t>FD15AE3C-76A3-4431-85E5-7B0441ABB1B9|RESULT|522611|12|2|RDW-SD</t>
  </si>
  <si>
    <t>522611|13|2|RDW-SD</t>
  </si>
  <si>
    <t>FD15AE3C-76A3-4431-85E5-7B0441ABB1B9|RESULT|522611|13|2|RDW-SD</t>
  </si>
  <si>
    <t>522611|14|2|RDW-SD</t>
  </si>
  <si>
    <t>FD15AE3C-76A3-4431-85E5-7B0441ABB1B9|RESULT|522611|14|2|RDW-SD</t>
  </si>
  <si>
    <t>522611|15|2|RDW-SD</t>
  </si>
  <si>
    <t>FD15AE3C-76A3-4431-85E5-7B0441ABB1B9|RESULT|522611|15|2|RDW-SD</t>
  </si>
  <si>
    <t>522611|16|2|RDW-SD</t>
  </si>
  <si>
    <t>FD15AE3C-76A3-4431-85E5-7B0441ABB1B9|RESULT|522611|16|2|RDW-SD</t>
  </si>
  <si>
    <t>522611|17|2|RDW-SD</t>
  </si>
  <si>
    <t>FD15AE3C-76A3-4431-85E5-7B0441ABB1B9|RESULT|522611|17|2|RDW-SD</t>
  </si>
  <si>
    <t>522611|18|2|RDW-SD</t>
  </si>
  <si>
    <t>FD15AE3C-76A3-4431-85E5-7B0441ABB1B9|RESULT|522611|18|2|RDW-SD</t>
  </si>
  <si>
    <t>522611|19|2|RDW-SD</t>
  </si>
  <si>
    <t>FD15AE3C-76A3-4431-85E5-7B0441ABB1B9|RESULT|522611|19|2|RDW-SD</t>
  </si>
  <si>
    <t>522611|20|2|RDW-SD</t>
  </si>
  <si>
    <t>FD15AE3C-76A3-4431-85E5-7B0441ABB1B9|RESULT|522611|20|2|RDW-SD</t>
  </si>
  <si>
    <t>522611|21|2|RDW-SD</t>
  </si>
  <si>
    <t>FD15AE3C-76A3-4431-85E5-7B0441ABB1B9|RESULT|522611|21|2|RDW-SD</t>
  </si>
  <si>
    <t>522611|22|2|RDW-SD</t>
  </si>
  <si>
    <t>FD15AE3C-76A3-4431-85E5-7B0441ABB1B9|RESULT|522611|22|2|RDW-SD</t>
  </si>
  <si>
    <t>522611|23|2|RDW-SD</t>
  </si>
  <si>
    <t>FD15AE3C-76A3-4431-85E5-7B0441ABB1B9|RESULT|522611|23|2|RDW-SD</t>
  </si>
  <si>
    <t>522611|24|2|RDW-SD</t>
  </si>
  <si>
    <t>FD15AE3C-76A3-4431-85E5-7B0441ABB1B9|RESULT|522611|24|2|RDW-SD</t>
  </si>
  <si>
    <t>522611|25|2|RDW-SD</t>
  </si>
  <si>
    <t>FD15AE3C-76A3-4431-85E5-7B0441ABB1B9|RESULT|522611|25|2|RDW-SD</t>
  </si>
  <si>
    <t>522611|1|3|RDW-SD</t>
  </si>
  <si>
    <t>FD15AE3C-76A3-4431-85E5-7B0441ABB1B9|RESULT|522611|1|3|RDW-SD</t>
  </si>
  <si>
    <t>522611|2|3|RDW-SD</t>
  </si>
  <si>
    <t>FD15AE3C-76A3-4431-85E5-7B0441ABB1B9|RESULT|522611|2|3|RDW-SD</t>
  </si>
  <si>
    <t>522611|3|3|RDW-SD</t>
  </si>
  <si>
    <t>FD15AE3C-76A3-4431-85E5-7B0441ABB1B9|RESULT|522611|3|3|RDW-SD</t>
  </si>
  <si>
    <t>522611|4|3|RDW-SD</t>
  </si>
  <si>
    <t>FD15AE3C-76A3-4431-85E5-7B0441ABB1B9|RESULT|522611|4|3|RDW-SD</t>
  </si>
  <si>
    <t>522611|5|3|RDW-SD</t>
  </si>
  <si>
    <t>FD15AE3C-76A3-4431-85E5-7B0441ABB1B9|RESULT|522611|5|3|RDW-SD</t>
  </si>
  <si>
    <t>522611|6|3|RDW-SD</t>
  </si>
  <si>
    <t>FD15AE3C-76A3-4431-85E5-7B0441ABB1B9|RESULT|522611|6|3|RDW-SD</t>
  </si>
  <si>
    <t>522611|7|3|RDW-SD</t>
  </si>
  <si>
    <t>FD15AE3C-76A3-4431-85E5-7B0441ABB1B9|RESULT|522611|7|3|RDW-SD</t>
  </si>
  <si>
    <t>522611|8|3|RDW-SD</t>
  </si>
  <si>
    <t>FD15AE3C-76A3-4431-85E5-7B0441ABB1B9|RESULT|522611|8|3|RDW-SD</t>
  </si>
  <si>
    <t>522611|9|3|RDW-SD</t>
  </si>
  <si>
    <t>FD15AE3C-76A3-4431-85E5-7B0441ABB1B9|RESULT|522611|9|3|RDW-SD</t>
  </si>
  <si>
    <t>522611|10|3|RDW-SD</t>
  </si>
  <si>
    <t>FD15AE3C-76A3-4431-85E5-7B0441ABB1B9|RESULT|522611|10|3|RDW-SD</t>
  </si>
  <si>
    <t>522611|11|3|RDW-SD</t>
  </si>
  <si>
    <t>FD15AE3C-76A3-4431-85E5-7B0441ABB1B9|RESULT|522611|11|3|RDW-SD</t>
  </si>
  <si>
    <t>522611|12|3|RDW-SD</t>
  </si>
  <si>
    <t>FD15AE3C-76A3-4431-85E5-7B0441ABB1B9|RESULT|522611|12|3|RDW-SD</t>
  </si>
  <si>
    <t>522611|13|3|RDW-SD</t>
  </si>
  <si>
    <t>FD15AE3C-76A3-4431-85E5-7B0441ABB1B9|RESULT|522611|13|3|RDW-SD</t>
  </si>
  <si>
    <t>522611|14|3|RDW-SD</t>
  </si>
  <si>
    <t>FD15AE3C-76A3-4431-85E5-7B0441ABB1B9|RESULT|522611|14|3|RDW-SD</t>
  </si>
  <si>
    <t>522611|15|3|RDW-SD</t>
  </si>
  <si>
    <t>FD15AE3C-76A3-4431-85E5-7B0441ABB1B9|RESULT|522611|15|3|RDW-SD</t>
  </si>
  <si>
    <t>522611|16|3|RDW-SD</t>
  </si>
  <si>
    <t>FD15AE3C-76A3-4431-85E5-7B0441ABB1B9|RESULT|522611|16|3|RDW-SD</t>
  </si>
  <si>
    <t>522611|17|3|RDW-SD</t>
  </si>
  <si>
    <t>FD15AE3C-76A3-4431-85E5-7B0441ABB1B9|RESULT|522611|17|3|RDW-SD</t>
  </si>
  <si>
    <t>522611|18|3|RDW-SD</t>
  </si>
  <si>
    <t>FD15AE3C-76A3-4431-85E5-7B0441ABB1B9|RESULT|522611|18|3|RDW-SD</t>
  </si>
  <si>
    <t>522611|19|3|RDW-SD</t>
  </si>
  <si>
    <t>FD15AE3C-76A3-4431-85E5-7B0441ABB1B9|RESULT|522611|19|3|RDW-SD</t>
  </si>
  <si>
    <t>522611|20|3|RDW-SD</t>
  </si>
  <si>
    <t>FD15AE3C-76A3-4431-85E5-7B0441ABB1B9|RESULT|522611|20|3|RDW-SD</t>
  </si>
  <si>
    <t>522611|21|3|RDW-SD</t>
  </si>
  <si>
    <t>FD15AE3C-76A3-4431-85E5-7B0441ABB1B9|RESULT|522611|21|3|RDW-SD</t>
  </si>
  <si>
    <t>522611|22|3|RDW-SD</t>
  </si>
  <si>
    <t>FD15AE3C-76A3-4431-85E5-7B0441ABB1B9|RESULT|522611|22|3|RDW-SD</t>
  </si>
  <si>
    <t>522611|23|3|RDW-SD</t>
  </si>
  <si>
    <t>FD15AE3C-76A3-4431-85E5-7B0441ABB1B9|RESULT|522611|23|3|RDW-SD</t>
  </si>
  <si>
    <t>522611|24|3|RDW-SD</t>
  </si>
  <si>
    <t>FD15AE3C-76A3-4431-85E5-7B0441ABB1B9|RESULT|522611|24|3|RDW-SD</t>
  </si>
  <si>
    <t>522611|25|3|RDW-SD</t>
  </si>
  <si>
    <t>FD15AE3C-76A3-4431-85E5-7B0441ABB1B9|RESULT|522611|25|3|RDW-SD</t>
  </si>
  <si>
    <t>522611|1|1|RDW-CV</t>
  </si>
  <si>
    <t>FD15AE3C-76A3-4431-85E5-7B0441ABB1B9|RESULT|522611|1|1|RDW-CV</t>
  </si>
  <si>
    <t>Hematologia|ANALITO|RDW-CV</t>
  </si>
  <si>
    <t>522611|2|1|RDW-CV</t>
  </si>
  <si>
    <t>FD15AE3C-76A3-4431-85E5-7B0441ABB1B9|RESULT|522611|2|1|RDW-CV</t>
  </si>
  <si>
    <t>522611|3|1|RDW-CV</t>
  </si>
  <si>
    <t>FD15AE3C-76A3-4431-85E5-7B0441ABB1B9|RESULT|522611|3|1|RDW-CV</t>
  </si>
  <si>
    <t>522611|4|1|RDW-CV</t>
  </si>
  <si>
    <t>FD15AE3C-76A3-4431-85E5-7B0441ABB1B9|RESULT|522611|4|1|RDW-CV</t>
  </si>
  <si>
    <t>522611|5|1|RDW-CV</t>
  </si>
  <si>
    <t>FD15AE3C-76A3-4431-85E5-7B0441ABB1B9|RESULT|522611|5|1|RDW-CV</t>
  </si>
  <si>
    <t>522611|6|1|RDW-CV</t>
  </si>
  <si>
    <t>FD15AE3C-76A3-4431-85E5-7B0441ABB1B9|RESULT|522611|6|1|RDW-CV</t>
  </si>
  <si>
    <t>522611|7|1|RDW-CV</t>
  </si>
  <si>
    <t>FD15AE3C-76A3-4431-85E5-7B0441ABB1B9|RESULT|522611|7|1|RDW-CV</t>
  </si>
  <si>
    <t>522611|8|1|RDW-CV</t>
  </si>
  <si>
    <t>FD15AE3C-76A3-4431-85E5-7B0441ABB1B9|RESULT|522611|8|1|RDW-CV</t>
  </si>
  <si>
    <t>522611|9|1|RDW-CV</t>
  </si>
  <si>
    <t>FD15AE3C-76A3-4431-85E5-7B0441ABB1B9|RESULT|522611|9|1|RDW-CV</t>
  </si>
  <si>
    <t>522611|10|1|RDW-CV</t>
  </si>
  <si>
    <t>FD15AE3C-76A3-4431-85E5-7B0441ABB1B9|RESULT|522611|10|1|RDW-CV</t>
  </si>
  <si>
    <t>522611|11|1|RDW-CV</t>
  </si>
  <si>
    <t>FD15AE3C-76A3-4431-85E5-7B0441ABB1B9|RESULT|522611|11|1|RDW-CV</t>
  </si>
  <si>
    <t>522611|12|1|RDW-CV</t>
  </si>
  <si>
    <t>FD15AE3C-76A3-4431-85E5-7B0441ABB1B9|RESULT|522611|12|1|RDW-CV</t>
  </si>
  <si>
    <t>522611|13|1|RDW-CV</t>
  </si>
  <si>
    <t>FD15AE3C-76A3-4431-85E5-7B0441ABB1B9|RESULT|522611|13|1|RDW-CV</t>
  </si>
  <si>
    <t>522611|14|1|RDW-CV</t>
  </si>
  <si>
    <t>FD15AE3C-76A3-4431-85E5-7B0441ABB1B9|RESULT|522611|14|1|RDW-CV</t>
  </si>
  <si>
    <t>522611|15|1|RDW-CV</t>
  </si>
  <si>
    <t>FD15AE3C-76A3-4431-85E5-7B0441ABB1B9|RESULT|522611|15|1|RDW-CV</t>
  </si>
  <si>
    <t>522611|16|1|RDW-CV</t>
  </si>
  <si>
    <t>FD15AE3C-76A3-4431-85E5-7B0441ABB1B9|RESULT|522611|16|1|RDW-CV</t>
  </si>
  <si>
    <t>522611|17|1|RDW-CV</t>
  </si>
  <si>
    <t>FD15AE3C-76A3-4431-85E5-7B0441ABB1B9|RESULT|522611|17|1|RDW-CV</t>
  </si>
  <si>
    <t>522611|18|1|RDW-CV</t>
  </si>
  <si>
    <t>FD15AE3C-76A3-4431-85E5-7B0441ABB1B9|RESULT|522611|18|1|RDW-CV</t>
  </si>
  <si>
    <t>522611|19|1|RDW-CV</t>
  </si>
  <si>
    <t>FD15AE3C-76A3-4431-85E5-7B0441ABB1B9|RESULT|522611|19|1|RDW-CV</t>
  </si>
  <si>
    <t>522611|20|1|RDW-CV</t>
  </si>
  <si>
    <t>FD15AE3C-76A3-4431-85E5-7B0441ABB1B9|RESULT|522611|20|1|RDW-CV</t>
  </si>
  <si>
    <t>522611|21|1|RDW-CV</t>
  </si>
  <si>
    <t>FD15AE3C-76A3-4431-85E5-7B0441ABB1B9|RESULT|522611|21|1|RDW-CV</t>
  </si>
  <si>
    <t>522611|22|1|RDW-CV</t>
  </si>
  <si>
    <t>FD15AE3C-76A3-4431-85E5-7B0441ABB1B9|RESULT|522611|22|1|RDW-CV</t>
  </si>
  <si>
    <t>522611|23|1|RDW-CV</t>
  </si>
  <si>
    <t>FD15AE3C-76A3-4431-85E5-7B0441ABB1B9|RESULT|522611|23|1|RDW-CV</t>
  </si>
  <si>
    <t>522611|24|1|RDW-CV</t>
  </si>
  <si>
    <t>FD15AE3C-76A3-4431-85E5-7B0441ABB1B9|RESULT|522611|24|1|RDW-CV</t>
  </si>
  <si>
    <t>522611|25|1|RDW-CV</t>
  </si>
  <si>
    <t>FD15AE3C-76A3-4431-85E5-7B0441ABB1B9|RESULT|522611|25|1|RDW-CV</t>
  </si>
  <si>
    <t>522611|1|2|RDW-CV</t>
  </si>
  <si>
    <t>FD15AE3C-76A3-4431-85E5-7B0441ABB1B9|RESULT|522611|1|2|RDW-CV</t>
  </si>
  <si>
    <t>522611|2|2|RDW-CV</t>
  </si>
  <si>
    <t>FD15AE3C-76A3-4431-85E5-7B0441ABB1B9|RESULT|522611|2|2|RDW-CV</t>
  </si>
  <si>
    <t>522611|3|2|RDW-CV</t>
  </si>
  <si>
    <t>FD15AE3C-76A3-4431-85E5-7B0441ABB1B9|RESULT|522611|3|2|RDW-CV</t>
  </si>
  <si>
    <t>522611|4|2|RDW-CV</t>
  </si>
  <si>
    <t>FD15AE3C-76A3-4431-85E5-7B0441ABB1B9|RESULT|522611|4|2|RDW-CV</t>
  </si>
  <si>
    <t>522611|5|2|RDW-CV</t>
  </si>
  <si>
    <t>FD15AE3C-76A3-4431-85E5-7B0441ABB1B9|RESULT|522611|5|2|RDW-CV</t>
  </si>
  <si>
    <t>522611|6|2|RDW-CV</t>
  </si>
  <si>
    <t>FD15AE3C-76A3-4431-85E5-7B0441ABB1B9|RESULT|522611|6|2|RDW-CV</t>
  </si>
  <si>
    <t>522611|7|2|RDW-CV</t>
  </si>
  <si>
    <t>FD15AE3C-76A3-4431-85E5-7B0441ABB1B9|RESULT|522611|7|2|RDW-CV</t>
  </si>
  <si>
    <t>522611|8|2|RDW-CV</t>
  </si>
  <si>
    <t>FD15AE3C-76A3-4431-85E5-7B0441ABB1B9|RESULT|522611|8|2|RDW-CV</t>
  </si>
  <si>
    <t>522611|9|2|RDW-CV</t>
  </si>
  <si>
    <t>FD15AE3C-76A3-4431-85E5-7B0441ABB1B9|RESULT|522611|9|2|RDW-CV</t>
  </si>
  <si>
    <t>522611|10|2|RDW-CV</t>
  </si>
  <si>
    <t>FD15AE3C-76A3-4431-85E5-7B0441ABB1B9|RESULT|522611|10|2|RDW-CV</t>
  </si>
  <si>
    <t>522611|11|2|RDW-CV</t>
  </si>
  <si>
    <t>FD15AE3C-76A3-4431-85E5-7B0441ABB1B9|RESULT|522611|11|2|RDW-CV</t>
  </si>
  <si>
    <t>522611|12|2|RDW-CV</t>
  </si>
  <si>
    <t>FD15AE3C-76A3-4431-85E5-7B0441ABB1B9|RESULT|522611|12|2|RDW-CV</t>
  </si>
  <si>
    <t>522611|13|2|RDW-CV</t>
  </si>
  <si>
    <t>FD15AE3C-76A3-4431-85E5-7B0441ABB1B9|RESULT|522611|13|2|RDW-CV</t>
  </si>
  <si>
    <t>522611|14|2|RDW-CV</t>
  </si>
  <si>
    <t>FD15AE3C-76A3-4431-85E5-7B0441ABB1B9|RESULT|522611|14|2|RDW-CV</t>
  </si>
  <si>
    <t>522611|15|2|RDW-CV</t>
  </si>
  <si>
    <t>FD15AE3C-76A3-4431-85E5-7B0441ABB1B9|RESULT|522611|15|2|RDW-CV</t>
  </si>
  <si>
    <t>522611|16|2|RDW-CV</t>
  </si>
  <si>
    <t>FD15AE3C-76A3-4431-85E5-7B0441ABB1B9|RESULT|522611|16|2|RDW-CV</t>
  </si>
  <si>
    <t>522611|17|2|RDW-CV</t>
  </si>
  <si>
    <t>FD15AE3C-76A3-4431-85E5-7B0441ABB1B9|RESULT|522611|17|2|RDW-CV</t>
  </si>
  <si>
    <t>522611|18|2|RDW-CV</t>
  </si>
  <si>
    <t>FD15AE3C-76A3-4431-85E5-7B0441ABB1B9|RESULT|522611|18|2|RDW-CV</t>
  </si>
  <si>
    <t>522611|19|2|RDW-CV</t>
  </si>
  <si>
    <t>FD15AE3C-76A3-4431-85E5-7B0441ABB1B9|RESULT|522611|19|2|RDW-CV</t>
  </si>
  <si>
    <t>522611|20|2|RDW-CV</t>
  </si>
  <si>
    <t>FD15AE3C-76A3-4431-85E5-7B0441ABB1B9|RESULT|522611|20|2|RDW-CV</t>
  </si>
  <si>
    <t>522611|21|2|RDW-CV</t>
  </si>
  <si>
    <t>FD15AE3C-76A3-4431-85E5-7B0441ABB1B9|RESULT|522611|21|2|RDW-CV</t>
  </si>
  <si>
    <t>522611|22|2|RDW-CV</t>
  </si>
  <si>
    <t>FD15AE3C-76A3-4431-85E5-7B0441ABB1B9|RESULT|522611|22|2|RDW-CV</t>
  </si>
  <si>
    <t>522611|23|2|RDW-CV</t>
  </si>
  <si>
    <t>FD15AE3C-76A3-4431-85E5-7B0441ABB1B9|RESULT|522611|23|2|RDW-CV</t>
  </si>
  <si>
    <t>522611|24|2|RDW-CV</t>
  </si>
  <si>
    <t>FD15AE3C-76A3-4431-85E5-7B0441ABB1B9|RESULT|522611|24|2|RDW-CV</t>
  </si>
  <si>
    <t>522611|25|2|RDW-CV</t>
  </si>
  <si>
    <t>FD15AE3C-76A3-4431-85E5-7B0441ABB1B9|RESULT|522611|25|2|RDW-CV</t>
  </si>
  <si>
    <t>522611|1|3|RDW-CV</t>
  </si>
  <si>
    <t>FD15AE3C-76A3-4431-85E5-7B0441ABB1B9|RESULT|522611|1|3|RDW-CV</t>
  </si>
  <si>
    <t>522611|2|3|RDW-CV</t>
  </si>
  <si>
    <t>FD15AE3C-76A3-4431-85E5-7B0441ABB1B9|RESULT|522611|2|3|RDW-CV</t>
  </si>
  <si>
    <t>522611|3|3|RDW-CV</t>
  </si>
  <si>
    <t>FD15AE3C-76A3-4431-85E5-7B0441ABB1B9|RESULT|522611|3|3|RDW-CV</t>
  </si>
  <si>
    <t>522611|4|3|RDW-CV</t>
  </si>
  <si>
    <t>FD15AE3C-76A3-4431-85E5-7B0441ABB1B9|RESULT|522611|4|3|RDW-CV</t>
  </si>
  <si>
    <t>522611|5|3|RDW-CV</t>
  </si>
  <si>
    <t>FD15AE3C-76A3-4431-85E5-7B0441ABB1B9|RESULT|522611|5|3|RDW-CV</t>
  </si>
  <si>
    <t>522611|6|3|RDW-CV</t>
  </si>
  <si>
    <t>FD15AE3C-76A3-4431-85E5-7B0441ABB1B9|RESULT|522611|6|3|RDW-CV</t>
  </si>
  <si>
    <t>522611|7|3|RDW-CV</t>
  </si>
  <si>
    <t>FD15AE3C-76A3-4431-85E5-7B0441ABB1B9|RESULT|522611|7|3|RDW-CV</t>
  </si>
  <si>
    <t>522611|8|3|RDW-CV</t>
  </si>
  <si>
    <t>FD15AE3C-76A3-4431-85E5-7B0441ABB1B9|RESULT|522611|8|3|RDW-CV</t>
  </si>
  <si>
    <t>522611|9|3|RDW-CV</t>
  </si>
  <si>
    <t>FD15AE3C-76A3-4431-85E5-7B0441ABB1B9|RESULT|522611|9|3|RDW-CV</t>
  </si>
  <si>
    <t>522611|10|3|RDW-CV</t>
  </si>
  <si>
    <t>FD15AE3C-76A3-4431-85E5-7B0441ABB1B9|RESULT|522611|10|3|RDW-CV</t>
  </si>
  <si>
    <t>522611|11|3|RDW-CV</t>
  </si>
  <si>
    <t>FD15AE3C-76A3-4431-85E5-7B0441ABB1B9|RESULT|522611|11|3|RDW-CV</t>
  </si>
  <si>
    <t>522611|12|3|RDW-CV</t>
  </si>
  <si>
    <t>FD15AE3C-76A3-4431-85E5-7B0441ABB1B9|RESULT|522611|12|3|RDW-CV</t>
  </si>
  <si>
    <t>522611|13|3|RDW-CV</t>
  </si>
  <si>
    <t>FD15AE3C-76A3-4431-85E5-7B0441ABB1B9|RESULT|522611|13|3|RDW-CV</t>
  </si>
  <si>
    <t>522611|14|3|RDW-CV</t>
  </si>
  <si>
    <t>FD15AE3C-76A3-4431-85E5-7B0441ABB1B9|RESULT|522611|14|3|RDW-CV</t>
  </si>
  <si>
    <t>522611|15|3|RDW-CV</t>
  </si>
  <si>
    <t>FD15AE3C-76A3-4431-85E5-7B0441ABB1B9|RESULT|522611|15|3|RDW-CV</t>
  </si>
  <si>
    <t>522611|16|3|RDW-CV</t>
  </si>
  <si>
    <t>FD15AE3C-76A3-4431-85E5-7B0441ABB1B9|RESULT|522611|16|3|RDW-CV</t>
  </si>
  <si>
    <t>522611|17|3|RDW-CV</t>
  </si>
  <si>
    <t>FD15AE3C-76A3-4431-85E5-7B0441ABB1B9|RESULT|522611|17|3|RDW-CV</t>
  </si>
  <si>
    <t>522611|18|3|RDW-CV</t>
  </si>
  <si>
    <t>FD15AE3C-76A3-4431-85E5-7B0441ABB1B9|RESULT|522611|18|3|RDW-CV</t>
  </si>
  <si>
    <t>522611|19|3|RDW-CV</t>
  </si>
  <si>
    <t>FD15AE3C-76A3-4431-85E5-7B0441ABB1B9|RESULT|522611|19|3|RDW-CV</t>
  </si>
  <si>
    <t>522611|20|3|RDW-CV</t>
  </si>
  <si>
    <t>FD15AE3C-76A3-4431-85E5-7B0441ABB1B9|RESULT|522611|20|3|RDW-CV</t>
  </si>
  <si>
    <t>522611|21|3|RDW-CV</t>
  </si>
  <si>
    <t>FD15AE3C-76A3-4431-85E5-7B0441ABB1B9|RESULT|522611|21|3|RDW-CV</t>
  </si>
  <si>
    <t>522611|22|3|RDW-CV</t>
  </si>
  <si>
    <t>FD15AE3C-76A3-4431-85E5-7B0441ABB1B9|RESULT|522611|22|3|RDW-CV</t>
  </si>
  <si>
    <t>522611|23|3|RDW-CV</t>
  </si>
  <si>
    <t>FD15AE3C-76A3-4431-85E5-7B0441ABB1B9|RESULT|522611|23|3|RDW-CV</t>
  </si>
  <si>
    <t>522611|24|3|RDW-CV</t>
  </si>
  <si>
    <t>FD15AE3C-76A3-4431-85E5-7B0441ABB1B9|RESULT|522611|24|3|RDW-CV</t>
  </si>
  <si>
    <t>522611|25|3|RDW-CV</t>
  </si>
  <si>
    <t>FD15AE3C-76A3-4431-85E5-7B0441ABB1B9|RESULT|522611|25|3|RDW-CV</t>
  </si>
  <si>
    <t>522611|1|1|RET%</t>
  </si>
  <si>
    <t>FD15AE3C-76A3-4431-85E5-7B0441ABB1B9|RESULT|522611|1|1|RET%</t>
  </si>
  <si>
    <t>Hematologia|ANALITO|RET%</t>
  </si>
  <si>
    <t>522611|2|1|RET%</t>
  </si>
  <si>
    <t>FD15AE3C-76A3-4431-85E5-7B0441ABB1B9|RESULT|522611|2|1|RET%</t>
  </si>
  <si>
    <t>522611|3|1|RET%</t>
  </si>
  <si>
    <t>FD15AE3C-76A3-4431-85E5-7B0441ABB1B9|RESULT|522611|3|1|RET%</t>
  </si>
  <si>
    <t>522611|4|1|RET%</t>
  </si>
  <si>
    <t>FD15AE3C-76A3-4431-85E5-7B0441ABB1B9|RESULT|522611|4|1|RET%</t>
  </si>
  <si>
    <t>522611|5|1|RET%</t>
  </si>
  <si>
    <t>FD15AE3C-76A3-4431-85E5-7B0441ABB1B9|RESULT|522611|5|1|RET%</t>
  </si>
  <si>
    <t>522611|6|1|RET%</t>
  </si>
  <si>
    <t>FD15AE3C-76A3-4431-85E5-7B0441ABB1B9|RESULT|522611|6|1|RET%</t>
  </si>
  <si>
    <t>522611|7|1|RET%</t>
  </si>
  <si>
    <t>FD15AE3C-76A3-4431-85E5-7B0441ABB1B9|RESULT|522611|7|1|RET%</t>
  </si>
  <si>
    <t>522611|8|1|RET%</t>
  </si>
  <si>
    <t>FD15AE3C-76A3-4431-85E5-7B0441ABB1B9|RESULT|522611|8|1|RET%</t>
  </si>
  <si>
    <t>522611|9|1|RET%</t>
  </si>
  <si>
    <t>FD15AE3C-76A3-4431-85E5-7B0441ABB1B9|RESULT|522611|9|1|RET%</t>
  </si>
  <si>
    <t>522611|10|1|RET%</t>
  </si>
  <si>
    <t>FD15AE3C-76A3-4431-85E5-7B0441ABB1B9|RESULT|522611|10|1|RET%</t>
  </si>
  <si>
    <t>522611|11|1|RET%</t>
  </si>
  <si>
    <t>FD15AE3C-76A3-4431-85E5-7B0441ABB1B9|RESULT|522611|11|1|RET%</t>
  </si>
  <si>
    <t>522611|12|1|RET%</t>
  </si>
  <si>
    <t>FD15AE3C-76A3-4431-85E5-7B0441ABB1B9|RESULT|522611|12|1|RET%</t>
  </si>
  <si>
    <t>522611|13|1|RET%</t>
  </si>
  <si>
    <t>FD15AE3C-76A3-4431-85E5-7B0441ABB1B9|RESULT|522611|13|1|RET%</t>
  </si>
  <si>
    <t>522611|14|1|RET%</t>
  </si>
  <si>
    <t>FD15AE3C-76A3-4431-85E5-7B0441ABB1B9|RESULT|522611|14|1|RET%</t>
  </si>
  <si>
    <t>522611|15|1|RET%</t>
  </si>
  <si>
    <t>FD15AE3C-76A3-4431-85E5-7B0441ABB1B9|RESULT|522611|15|1|RET%</t>
  </si>
  <si>
    <t>522611|16|1|RET%</t>
  </si>
  <si>
    <t>FD15AE3C-76A3-4431-85E5-7B0441ABB1B9|RESULT|522611|16|1|RET%</t>
  </si>
  <si>
    <t>522611|17|1|RET%</t>
  </si>
  <si>
    <t>FD15AE3C-76A3-4431-85E5-7B0441ABB1B9|RESULT|522611|17|1|RET%</t>
  </si>
  <si>
    <t>522611|18|1|RET%</t>
  </si>
  <si>
    <t>FD15AE3C-76A3-4431-85E5-7B0441ABB1B9|RESULT|522611|18|1|RET%</t>
  </si>
  <si>
    <t>522611|19|1|RET%</t>
  </si>
  <si>
    <t>FD15AE3C-76A3-4431-85E5-7B0441ABB1B9|RESULT|522611|19|1|RET%</t>
  </si>
  <si>
    <t>522611|20|1|RET%</t>
  </si>
  <si>
    <t>FD15AE3C-76A3-4431-85E5-7B0441ABB1B9|RESULT|522611|20|1|RET%</t>
  </si>
  <si>
    <t>522611|21|1|RET%</t>
  </si>
  <si>
    <t>FD15AE3C-76A3-4431-85E5-7B0441ABB1B9|RESULT|522611|21|1|RET%</t>
  </si>
  <si>
    <t>522611|22|1|RET%</t>
  </si>
  <si>
    <t>FD15AE3C-76A3-4431-85E5-7B0441ABB1B9|RESULT|522611|22|1|RET%</t>
  </si>
  <si>
    <t>522611|23|1|RET%</t>
  </si>
  <si>
    <t>FD15AE3C-76A3-4431-85E5-7B0441ABB1B9|RESULT|522611|23|1|RET%</t>
  </si>
  <si>
    <t>522611|24|1|RET%</t>
  </si>
  <si>
    <t>FD15AE3C-76A3-4431-85E5-7B0441ABB1B9|RESULT|522611|24|1|RET%</t>
  </si>
  <si>
    <t>522611|25|1|RET%</t>
  </si>
  <si>
    <t>FD15AE3C-76A3-4431-85E5-7B0441ABB1B9|RESULT|522611|25|1|RET%</t>
  </si>
  <si>
    <t>522611|1|2|RET%</t>
  </si>
  <si>
    <t>FD15AE3C-76A3-4431-85E5-7B0441ABB1B9|RESULT|522611|1|2|RET%</t>
  </si>
  <si>
    <t>522611|2|2|RET%</t>
  </si>
  <si>
    <t>FD15AE3C-76A3-4431-85E5-7B0441ABB1B9|RESULT|522611|2|2|RET%</t>
  </si>
  <si>
    <t>522611|3|2|RET%</t>
  </si>
  <si>
    <t>FD15AE3C-76A3-4431-85E5-7B0441ABB1B9|RESULT|522611|3|2|RET%</t>
  </si>
  <si>
    <t>522611|4|2|RET%</t>
  </si>
  <si>
    <t>FD15AE3C-76A3-4431-85E5-7B0441ABB1B9|RESULT|522611|4|2|RET%</t>
  </si>
  <si>
    <t>522611|5|2|RET%</t>
  </si>
  <si>
    <t>FD15AE3C-76A3-4431-85E5-7B0441ABB1B9|RESULT|522611|5|2|RET%</t>
  </si>
  <si>
    <t>522611|6|2|RET%</t>
  </si>
  <si>
    <t>FD15AE3C-76A3-4431-85E5-7B0441ABB1B9|RESULT|522611|6|2|RET%</t>
  </si>
  <si>
    <t>522611|7|2|RET%</t>
  </si>
  <si>
    <t>FD15AE3C-76A3-4431-85E5-7B0441ABB1B9|RESULT|522611|7|2|RET%</t>
  </si>
  <si>
    <t>522611|8|2|RET%</t>
  </si>
  <si>
    <t>FD15AE3C-76A3-4431-85E5-7B0441ABB1B9|RESULT|522611|8|2|RET%</t>
  </si>
  <si>
    <t>522611|9|2|RET%</t>
  </si>
  <si>
    <t>FD15AE3C-76A3-4431-85E5-7B0441ABB1B9|RESULT|522611|9|2|RET%</t>
  </si>
  <si>
    <t>522611|10|2|RET%</t>
  </si>
  <si>
    <t>FD15AE3C-76A3-4431-85E5-7B0441ABB1B9|RESULT|522611|10|2|RET%</t>
  </si>
  <si>
    <t>522611|11|2|RET%</t>
  </si>
  <si>
    <t>FD15AE3C-76A3-4431-85E5-7B0441ABB1B9|RESULT|522611|11|2|RET%</t>
  </si>
  <si>
    <t>522611|12|2|RET%</t>
  </si>
  <si>
    <t>FD15AE3C-76A3-4431-85E5-7B0441ABB1B9|RESULT|522611|12|2|RET%</t>
  </si>
  <si>
    <t>522611|13|2|RET%</t>
  </si>
  <si>
    <t>FD15AE3C-76A3-4431-85E5-7B0441ABB1B9|RESULT|522611|13|2|RET%</t>
  </si>
  <si>
    <t>522611|14|2|RET%</t>
  </si>
  <si>
    <t>FD15AE3C-76A3-4431-85E5-7B0441ABB1B9|RESULT|522611|14|2|RET%</t>
  </si>
  <si>
    <t>522611|15|2|RET%</t>
  </si>
  <si>
    <t>FD15AE3C-76A3-4431-85E5-7B0441ABB1B9|RESULT|522611|15|2|RET%</t>
  </si>
  <si>
    <t>522611|16|2|RET%</t>
  </si>
  <si>
    <t>FD15AE3C-76A3-4431-85E5-7B0441ABB1B9|RESULT|522611|16|2|RET%</t>
  </si>
  <si>
    <t>522611|17|2|RET%</t>
  </si>
  <si>
    <t>FD15AE3C-76A3-4431-85E5-7B0441ABB1B9|RESULT|522611|17|2|RET%</t>
  </si>
  <si>
    <t>522611|18|2|RET%</t>
  </si>
  <si>
    <t>FD15AE3C-76A3-4431-85E5-7B0441ABB1B9|RESULT|522611|18|2|RET%</t>
  </si>
  <si>
    <t>522611|19|2|RET%</t>
  </si>
  <si>
    <t>FD15AE3C-76A3-4431-85E5-7B0441ABB1B9|RESULT|522611|19|2|RET%</t>
  </si>
  <si>
    <t>522611|20|2|RET%</t>
  </si>
  <si>
    <t>FD15AE3C-76A3-4431-85E5-7B0441ABB1B9|RESULT|522611|20|2|RET%</t>
  </si>
  <si>
    <t>522611|21|2|RET%</t>
  </si>
  <si>
    <t>FD15AE3C-76A3-4431-85E5-7B0441ABB1B9|RESULT|522611|21|2|RET%</t>
  </si>
  <si>
    <t>522611|22|2|RET%</t>
  </si>
  <si>
    <t>FD15AE3C-76A3-4431-85E5-7B0441ABB1B9|RESULT|522611|22|2|RET%</t>
  </si>
  <si>
    <t>522611|23|2|RET%</t>
  </si>
  <si>
    <t>FD15AE3C-76A3-4431-85E5-7B0441ABB1B9|RESULT|522611|23|2|RET%</t>
  </si>
  <si>
    <t>522611|24|2|RET%</t>
  </si>
  <si>
    <t>FD15AE3C-76A3-4431-85E5-7B0441ABB1B9|RESULT|522611|24|2|RET%</t>
  </si>
  <si>
    <t>522611|25|2|RET%</t>
  </si>
  <si>
    <t>FD15AE3C-76A3-4431-85E5-7B0441ABB1B9|RESULT|522611|25|2|RET%</t>
  </si>
  <si>
    <t>522611|1|3|RET%</t>
  </si>
  <si>
    <t>FD15AE3C-76A3-4431-85E5-7B0441ABB1B9|RESULT|522611|1|3|RET%</t>
  </si>
  <si>
    <t>522611|2|3|RET%</t>
  </si>
  <si>
    <t>FD15AE3C-76A3-4431-85E5-7B0441ABB1B9|RESULT|522611|2|3|RET%</t>
  </si>
  <si>
    <t>522611|3|3|RET%</t>
  </si>
  <si>
    <t>FD15AE3C-76A3-4431-85E5-7B0441ABB1B9|RESULT|522611|3|3|RET%</t>
  </si>
  <si>
    <t>522611|4|3|RET%</t>
  </si>
  <si>
    <t>FD15AE3C-76A3-4431-85E5-7B0441ABB1B9|RESULT|522611|4|3|RET%</t>
  </si>
  <si>
    <t>522611|5|3|RET%</t>
  </si>
  <si>
    <t>FD15AE3C-76A3-4431-85E5-7B0441ABB1B9|RESULT|522611|5|3|RET%</t>
  </si>
  <si>
    <t>522611|6|3|RET%</t>
  </si>
  <si>
    <t>FD15AE3C-76A3-4431-85E5-7B0441ABB1B9|RESULT|522611|6|3|RET%</t>
  </si>
  <si>
    <t>522611|7|3|RET%</t>
  </si>
  <si>
    <t>FD15AE3C-76A3-4431-85E5-7B0441ABB1B9|RESULT|522611|7|3|RET%</t>
  </si>
  <si>
    <t>522611|8|3|RET%</t>
  </si>
  <si>
    <t>FD15AE3C-76A3-4431-85E5-7B0441ABB1B9|RESULT|522611|8|3|RET%</t>
  </si>
  <si>
    <t>522611|9|3|RET%</t>
  </si>
  <si>
    <t>FD15AE3C-76A3-4431-85E5-7B0441ABB1B9|RESULT|522611|9|3|RET%</t>
  </si>
  <si>
    <t>522611|10|3|RET%</t>
  </si>
  <si>
    <t>FD15AE3C-76A3-4431-85E5-7B0441ABB1B9|RESULT|522611|10|3|RET%</t>
  </si>
  <si>
    <t>522611|11|3|RET%</t>
  </si>
  <si>
    <t>FD15AE3C-76A3-4431-85E5-7B0441ABB1B9|RESULT|522611|11|3|RET%</t>
  </si>
  <si>
    <t>522611|12|3|RET%</t>
  </si>
  <si>
    <t>FD15AE3C-76A3-4431-85E5-7B0441ABB1B9|RESULT|522611|12|3|RET%</t>
  </si>
  <si>
    <t>522611|13|3|RET%</t>
  </si>
  <si>
    <t>FD15AE3C-76A3-4431-85E5-7B0441ABB1B9|RESULT|522611|13|3|RET%</t>
  </si>
  <si>
    <t>522611|14|3|RET%</t>
  </si>
  <si>
    <t>FD15AE3C-76A3-4431-85E5-7B0441ABB1B9|RESULT|522611|14|3|RET%</t>
  </si>
  <si>
    <t>522611|15|3|RET%</t>
  </si>
  <si>
    <t>FD15AE3C-76A3-4431-85E5-7B0441ABB1B9|RESULT|522611|15|3|RET%</t>
  </si>
  <si>
    <t>522611|16|3|RET%</t>
  </si>
  <si>
    <t>FD15AE3C-76A3-4431-85E5-7B0441ABB1B9|RESULT|522611|16|3|RET%</t>
  </si>
  <si>
    <t>522611|17|3|RET%</t>
  </si>
  <si>
    <t>FD15AE3C-76A3-4431-85E5-7B0441ABB1B9|RESULT|522611|17|3|RET%</t>
  </si>
  <si>
    <t>522611|18|3|RET%</t>
  </si>
  <si>
    <t>FD15AE3C-76A3-4431-85E5-7B0441ABB1B9|RESULT|522611|18|3|RET%</t>
  </si>
  <si>
    <t>522611|19|3|RET%</t>
  </si>
  <si>
    <t>FD15AE3C-76A3-4431-85E5-7B0441ABB1B9|RESULT|522611|19|3|RET%</t>
  </si>
  <si>
    <t>522611|20|3|RET%</t>
  </si>
  <si>
    <t>FD15AE3C-76A3-4431-85E5-7B0441ABB1B9|RESULT|522611|20|3|RET%</t>
  </si>
  <si>
    <t>522611|21|3|RET%</t>
  </si>
  <si>
    <t>FD15AE3C-76A3-4431-85E5-7B0441ABB1B9|RESULT|522611|21|3|RET%</t>
  </si>
  <si>
    <t>522611|22|3|RET%</t>
  </si>
  <si>
    <t>FD15AE3C-76A3-4431-85E5-7B0441ABB1B9|RESULT|522611|22|3|RET%</t>
  </si>
  <si>
    <t>522611|23|3|RET%</t>
  </si>
  <si>
    <t>FD15AE3C-76A3-4431-85E5-7B0441ABB1B9|RESULT|522611|23|3|RET%</t>
  </si>
  <si>
    <t>522611|24|3|RET%</t>
  </si>
  <si>
    <t>FD15AE3C-76A3-4431-85E5-7B0441ABB1B9|RESULT|522611|24|3|RET%</t>
  </si>
  <si>
    <t>522611|25|3|RET%</t>
  </si>
  <si>
    <t>FD15AE3C-76A3-4431-85E5-7B0441ABB1B9|RESULT|522611|25|3|RET%</t>
  </si>
  <si>
    <t>522611|1|1|RET#</t>
  </si>
  <si>
    <t>FD15AE3C-76A3-4431-85E5-7B0441ABB1B9|RESULT|522611|1|1|RET#</t>
  </si>
  <si>
    <t>Hematologia|ANALITO|RET#</t>
  </si>
  <si>
    <t>522611|2|1|RET#</t>
  </si>
  <si>
    <t>FD15AE3C-76A3-4431-85E5-7B0441ABB1B9|RESULT|522611|2|1|RET#</t>
  </si>
  <si>
    <t>522611|3|1|RET#</t>
  </si>
  <si>
    <t>FD15AE3C-76A3-4431-85E5-7B0441ABB1B9|RESULT|522611|3|1|RET#</t>
  </si>
  <si>
    <t>522611|4|1|RET#</t>
  </si>
  <si>
    <t>FD15AE3C-76A3-4431-85E5-7B0441ABB1B9|RESULT|522611|4|1|RET#</t>
  </si>
  <si>
    <t>522611|5|1|RET#</t>
  </si>
  <si>
    <t>FD15AE3C-76A3-4431-85E5-7B0441ABB1B9|RESULT|522611|5|1|RET#</t>
  </si>
  <si>
    <t>522611|6|1|RET#</t>
  </si>
  <si>
    <t>FD15AE3C-76A3-4431-85E5-7B0441ABB1B9|RESULT|522611|6|1|RET#</t>
  </si>
  <si>
    <t>522611|7|1|RET#</t>
  </si>
  <si>
    <t>FD15AE3C-76A3-4431-85E5-7B0441ABB1B9|RESULT|522611|7|1|RET#</t>
  </si>
  <si>
    <t>522611|8|1|RET#</t>
  </si>
  <si>
    <t>FD15AE3C-76A3-4431-85E5-7B0441ABB1B9|RESULT|522611|8|1|RET#</t>
  </si>
  <si>
    <t>522611|9|1|RET#</t>
  </si>
  <si>
    <t>FD15AE3C-76A3-4431-85E5-7B0441ABB1B9|RESULT|522611|9|1|RET#</t>
  </si>
  <si>
    <t>522611|10|1|RET#</t>
  </si>
  <si>
    <t>FD15AE3C-76A3-4431-85E5-7B0441ABB1B9|RESULT|522611|10|1|RET#</t>
  </si>
  <si>
    <t>522611|11|1|RET#</t>
  </si>
  <si>
    <t>FD15AE3C-76A3-4431-85E5-7B0441ABB1B9|RESULT|522611|11|1|RET#</t>
  </si>
  <si>
    <t>522611|12|1|RET#</t>
  </si>
  <si>
    <t>FD15AE3C-76A3-4431-85E5-7B0441ABB1B9|RESULT|522611|12|1|RET#</t>
  </si>
  <si>
    <t>522611|13|1|RET#</t>
  </si>
  <si>
    <t>FD15AE3C-76A3-4431-85E5-7B0441ABB1B9|RESULT|522611|13|1|RET#</t>
  </si>
  <si>
    <t>522611|14|1|RET#</t>
  </si>
  <si>
    <t>FD15AE3C-76A3-4431-85E5-7B0441ABB1B9|RESULT|522611|14|1|RET#</t>
  </si>
  <si>
    <t>522611|15|1|RET#</t>
  </si>
  <si>
    <t>FD15AE3C-76A3-4431-85E5-7B0441ABB1B9|RESULT|522611|15|1|RET#</t>
  </si>
  <si>
    <t>522611|16|1|RET#</t>
  </si>
  <si>
    <t>FD15AE3C-76A3-4431-85E5-7B0441ABB1B9|RESULT|522611|16|1|RET#</t>
  </si>
  <si>
    <t>522611|17|1|RET#</t>
  </si>
  <si>
    <t>FD15AE3C-76A3-4431-85E5-7B0441ABB1B9|RESULT|522611|17|1|RET#</t>
  </si>
  <si>
    <t>522611|18|1|RET#</t>
  </si>
  <si>
    <t>FD15AE3C-76A3-4431-85E5-7B0441ABB1B9|RESULT|522611|18|1|RET#</t>
  </si>
  <si>
    <t>522611|19|1|RET#</t>
  </si>
  <si>
    <t>FD15AE3C-76A3-4431-85E5-7B0441ABB1B9|RESULT|522611|19|1|RET#</t>
  </si>
  <si>
    <t>522611|20|1|RET#</t>
  </si>
  <si>
    <t>FD15AE3C-76A3-4431-85E5-7B0441ABB1B9|RESULT|522611|20|1|RET#</t>
  </si>
  <si>
    <t>522611|21|1|RET#</t>
  </si>
  <si>
    <t>FD15AE3C-76A3-4431-85E5-7B0441ABB1B9|RESULT|522611|21|1|RET#</t>
  </si>
  <si>
    <t>522611|22|1|RET#</t>
  </si>
  <si>
    <t>FD15AE3C-76A3-4431-85E5-7B0441ABB1B9|RESULT|522611|22|1|RET#</t>
  </si>
  <si>
    <t>522611|23|1|RET#</t>
  </si>
  <si>
    <t>FD15AE3C-76A3-4431-85E5-7B0441ABB1B9|RESULT|522611|23|1|RET#</t>
  </si>
  <si>
    <t>522611|24|1|RET#</t>
  </si>
  <si>
    <t>FD15AE3C-76A3-4431-85E5-7B0441ABB1B9|RESULT|522611|24|1|RET#</t>
  </si>
  <si>
    <t>522611|25|1|RET#</t>
  </si>
  <si>
    <t>FD15AE3C-76A3-4431-85E5-7B0441ABB1B9|RESULT|522611|25|1|RET#</t>
  </si>
  <si>
    <t>522611|1|2|RET#</t>
  </si>
  <si>
    <t>FD15AE3C-76A3-4431-85E5-7B0441ABB1B9|RESULT|522611|1|2|RET#</t>
  </si>
  <si>
    <t>522611|2|2|RET#</t>
  </si>
  <si>
    <t>FD15AE3C-76A3-4431-85E5-7B0441ABB1B9|RESULT|522611|2|2|RET#</t>
  </si>
  <si>
    <t>522611|3|2|RET#</t>
  </si>
  <si>
    <t>FD15AE3C-76A3-4431-85E5-7B0441ABB1B9|RESULT|522611|3|2|RET#</t>
  </si>
  <si>
    <t>522611|4|2|RET#</t>
  </si>
  <si>
    <t>FD15AE3C-76A3-4431-85E5-7B0441ABB1B9|RESULT|522611|4|2|RET#</t>
  </si>
  <si>
    <t>522611|5|2|RET#</t>
  </si>
  <si>
    <t>FD15AE3C-76A3-4431-85E5-7B0441ABB1B9|RESULT|522611|5|2|RET#</t>
  </si>
  <si>
    <t>522611|6|2|RET#</t>
  </si>
  <si>
    <t>FD15AE3C-76A3-4431-85E5-7B0441ABB1B9|RESULT|522611|6|2|RET#</t>
  </si>
  <si>
    <t>522611|7|2|RET#</t>
  </si>
  <si>
    <t>FD15AE3C-76A3-4431-85E5-7B0441ABB1B9|RESULT|522611|7|2|RET#</t>
  </si>
  <si>
    <t>522611|8|2|RET#</t>
  </si>
  <si>
    <t>FD15AE3C-76A3-4431-85E5-7B0441ABB1B9|RESULT|522611|8|2|RET#</t>
  </si>
  <si>
    <t>522611|9|2|RET#</t>
  </si>
  <si>
    <t>FD15AE3C-76A3-4431-85E5-7B0441ABB1B9|RESULT|522611|9|2|RET#</t>
  </si>
  <si>
    <t>522611|10|2|RET#</t>
  </si>
  <si>
    <t>FD15AE3C-76A3-4431-85E5-7B0441ABB1B9|RESULT|522611|10|2|RET#</t>
  </si>
  <si>
    <t>522611|11|2|RET#</t>
  </si>
  <si>
    <t>FD15AE3C-76A3-4431-85E5-7B0441ABB1B9|RESULT|522611|11|2|RET#</t>
  </si>
  <si>
    <t>522611|12|2|RET#</t>
  </si>
  <si>
    <t>FD15AE3C-76A3-4431-85E5-7B0441ABB1B9|RESULT|522611|12|2|RET#</t>
  </si>
  <si>
    <t>522611|13|2|RET#</t>
  </si>
  <si>
    <t>FD15AE3C-76A3-4431-85E5-7B0441ABB1B9|RESULT|522611|13|2|RET#</t>
  </si>
  <si>
    <t>522611|14|2|RET#</t>
  </si>
  <si>
    <t>FD15AE3C-76A3-4431-85E5-7B0441ABB1B9|RESULT|522611|14|2|RET#</t>
  </si>
  <si>
    <t>522611|15|2|RET#</t>
  </si>
  <si>
    <t>FD15AE3C-76A3-4431-85E5-7B0441ABB1B9|RESULT|522611|15|2|RET#</t>
  </si>
  <si>
    <t>522611|16|2|RET#</t>
  </si>
  <si>
    <t>FD15AE3C-76A3-4431-85E5-7B0441ABB1B9|RESULT|522611|16|2|RET#</t>
  </si>
  <si>
    <t>522611|17|2|RET#</t>
  </si>
  <si>
    <t>FD15AE3C-76A3-4431-85E5-7B0441ABB1B9|RESULT|522611|17|2|RET#</t>
  </si>
  <si>
    <t>522611|18|2|RET#</t>
  </si>
  <si>
    <t>FD15AE3C-76A3-4431-85E5-7B0441ABB1B9|RESULT|522611|18|2|RET#</t>
  </si>
  <si>
    <t>522611|19|2|RET#</t>
  </si>
  <si>
    <t>FD15AE3C-76A3-4431-85E5-7B0441ABB1B9|RESULT|522611|19|2|RET#</t>
  </si>
  <si>
    <t>522611|20|2|RET#</t>
  </si>
  <si>
    <t>FD15AE3C-76A3-4431-85E5-7B0441ABB1B9|RESULT|522611|20|2|RET#</t>
  </si>
  <si>
    <t>522611|21|2|RET#</t>
  </si>
  <si>
    <t>FD15AE3C-76A3-4431-85E5-7B0441ABB1B9|RESULT|522611|21|2|RET#</t>
  </si>
  <si>
    <t>522611|22|2|RET#</t>
  </si>
  <si>
    <t>FD15AE3C-76A3-4431-85E5-7B0441ABB1B9|RESULT|522611|22|2|RET#</t>
  </si>
  <si>
    <t>522611|23|2|RET#</t>
  </si>
  <si>
    <t>FD15AE3C-76A3-4431-85E5-7B0441ABB1B9|RESULT|522611|23|2|RET#</t>
  </si>
  <si>
    <t>522611|24|2|RET#</t>
  </si>
  <si>
    <t>FD15AE3C-76A3-4431-85E5-7B0441ABB1B9|RESULT|522611|24|2|RET#</t>
  </si>
  <si>
    <t>522611|25|2|RET#</t>
  </si>
  <si>
    <t>FD15AE3C-76A3-4431-85E5-7B0441ABB1B9|RESULT|522611|25|2|RET#</t>
  </si>
  <si>
    <t>522611|1|3|RET#</t>
  </si>
  <si>
    <t>FD15AE3C-76A3-4431-85E5-7B0441ABB1B9|RESULT|522611|1|3|RET#</t>
  </si>
  <si>
    <t>522611|2|3|RET#</t>
  </si>
  <si>
    <t>FD15AE3C-76A3-4431-85E5-7B0441ABB1B9|RESULT|522611|2|3|RET#</t>
  </si>
  <si>
    <t>522611|3|3|RET#</t>
  </si>
  <si>
    <t>FD15AE3C-76A3-4431-85E5-7B0441ABB1B9|RESULT|522611|3|3|RET#</t>
  </si>
  <si>
    <t>522611|4|3|RET#</t>
  </si>
  <si>
    <t>FD15AE3C-76A3-4431-85E5-7B0441ABB1B9|RESULT|522611|4|3|RET#</t>
  </si>
  <si>
    <t>522611|5|3|RET#</t>
  </si>
  <si>
    <t>FD15AE3C-76A3-4431-85E5-7B0441ABB1B9|RESULT|522611|5|3|RET#</t>
  </si>
  <si>
    <t>522611|6|3|RET#</t>
  </si>
  <si>
    <t>FD15AE3C-76A3-4431-85E5-7B0441ABB1B9|RESULT|522611|6|3|RET#</t>
  </si>
  <si>
    <t>522611|7|3|RET#</t>
  </si>
  <si>
    <t>FD15AE3C-76A3-4431-85E5-7B0441ABB1B9|RESULT|522611|7|3|RET#</t>
  </si>
  <si>
    <t>522611|8|3|RET#</t>
  </si>
  <si>
    <t>FD15AE3C-76A3-4431-85E5-7B0441ABB1B9|RESULT|522611|8|3|RET#</t>
  </si>
  <si>
    <t>522611|9|3|RET#</t>
  </si>
  <si>
    <t>FD15AE3C-76A3-4431-85E5-7B0441ABB1B9|RESULT|522611|9|3|RET#</t>
  </si>
  <si>
    <t>522611|10|3|RET#</t>
  </si>
  <si>
    <t>FD15AE3C-76A3-4431-85E5-7B0441ABB1B9|RESULT|522611|10|3|RET#</t>
  </si>
  <si>
    <t>522611|11|3|RET#</t>
  </si>
  <si>
    <t>FD15AE3C-76A3-4431-85E5-7B0441ABB1B9|RESULT|522611|11|3|RET#</t>
  </si>
  <si>
    <t>522611|12|3|RET#</t>
  </si>
  <si>
    <t>FD15AE3C-76A3-4431-85E5-7B0441ABB1B9|RESULT|522611|12|3|RET#</t>
  </si>
  <si>
    <t>522611|13|3|RET#</t>
  </si>
  <si>
    <t>FD15AE3C-76A3-4431-85E5-7B0441ABB1B9|RESULT|522611|13|3|RET#</t>
  </si>
  <si>
    <t>522611|14|3|RET#</t>
  </si>
  <si>
    <t>FD15AE3C-76A3-4431-85E5-7B0441ABB1B9|RESULT|522611|14|3|RET#</t>
  </si>
  <si>
    <t>522611|15|3|RET#</t>
  </si>
  <si>
    <t>FD15AE3C-76A3-4431-85E5-7B0441ABB1B9|RESULT|522611|15|3|RET#</t>
  </si>
  <si>
    <t>522611|16|3|RET#</t>
  </si>
  <si>
    <t>FD15AE3C-76A3-4431-85E5-7B0441ABB1B9|RESULT|522611|16|3|RET#</t>
  </si>
  <si>
    <t>522611|17|3|RET#</t>
  </si>
  <si>
    <t>FD15AE3C-76A3-4431-85E5-7B0441ABB1B9|RESULT|522611|17|3|RET#</t>
  </si>
  <si>
    <t>522611|18|3|RET#</t>
  </si>
  <si>
    <t>FD15AE3C-76A3-4431-85E5-7B0441ABB1B9|RESULT|522611|18|3|RET#</t>
  </si>
  <si>
    <t>522611|19|3|RET#</t>
  </si>
  <si>
    <t>FD15AE3C-76A3-4431-85E5-7B0441ABB1B9|RESULT|522611|19|3|RET#</t>
  </si>
  <si>
    <t>522611|20|3|RET#</t>
  </si>
  <si>
    <t>FD15AE3C-76A3-4431-85E5-7B0441ABB1B9|RESULT|522611|20|3|RET#</t>
  </si>
  <si>
    <t>522611|21|3|RET#</t>
  </si>
  <si>
    <t>FD15AE3C-76A3-4431-85E5-7B0441ABB1B9|RESULT|522611|21|3|RET#</t>
  </si>
  <si>
    <t>522611|22|3|RET#</t>
  </si>
  <si>
    <t>FD15AE3C-76A3-4431-85E5-7B0441ABB1B9|RESULT|522611|22|3|RET#</t>
  </si>
  <si>
    <t>522611|23|3|RET#</t>
  </si>
  <si>
    <t>FD15AE3C-76A3-4431-85E5-7B0441ABB1B9|RESULT|522611|23|3|RET#</t>
  </si>
  <si>
    <t>522611|24|3|RET#</t>
  </si>
  <si>
    <t>FD15AE3C-76A3-4431-85E5-7B0441ABB1B9|RESULT|522611|24|3|RET#</t>
  </si>
  <si>
    <t>522611|25|3|RET#</t>
  </si>
  <si>
    <t>FD15AE3C-76A3-4431-85E5-7B0441ABB1B9|RESULT|522611|25|3|RET#</t>
  </si>
  <si>
    <t>522611|1|1|IRF</t>
  </si>
  <si>
    <t>FD15AE3C-76A3-4431-85E5-7B0441ABB1B9|RESULT|522611|1|1|IRF</t>
  </si>
  <si>
    <t>Hematologia|ANALITO|IRF</t>
  </si>
  <si>
    <t>522611|2|1|IRF</t>
  </si>
  <si>
    <t>FD15AE3C-76A3-4431-85E5-7B0441ABB1B9|RESULT|522611|2|1|IRF</t>
  </si>
  <si>
    <t>522611|3|1|IRF</t>
  </si>
  <si>
    <t>FD15AE3C-76A3-4431-85E5-7B0441ABB1B9|RESULT|522611|3|1|IRF</t>
  </si>
  <si>
    <t>522611|4|1|IRF</t>
  </si>
  <si>
    <t>FD15AE3C-76A3-4431-85E5-7B0441ABB1B9|RESULT|522611|4|1|IRF</t>
  </si>
  <si>
    <t>522611|5|1|IRF</t>
  </si>
  <si>
    <t>FD15AE3C-76A3-4431-85E5-7B0441ABB1B9|RESULT|522611|5|1|IRF</t>
  </si>
  <si>
    <t>522611|6|1|IRF</t>
  </si>
  <si>
    <t>FD15AE3C-76A3-4431-85E5-7B0441ABB1B9|RESULT|522611|6|1|IRF</t>
  </si>
  <si>
    <t>522611|7|1|IRF</t>
  </si>
  <si>
    <t>FD15AE3C-76A3-4431-85E5-7B0441ABB1B9|RESULT|522611|7|1|IRF</t>
  </si>
  <si>
    <t>522611|8|1|IRF</t>
  </si>
  <si>
    <t>FD15AE3C-76A3-4431-85E5-7B0441ABB1B9|RESULT|522611|8|1|IRF</t>
  </si>
  <si>
    <t>522611|9|1|IRF</t>
  </si>
  <si>
    <t>FD15AE3C-76A3-4431-85E5-7B0441ABB1B9|RESULT|522611|9|1|IRF</t>
  </si>
  <si>
    <t>522611|10|1|IRF</t>
  </si>
  <si>
    <t>FD15AE3C-76A3-4431-85E5-7B0441ABB1B9|RESULT|522611|10|1|IRF</t>
  </si>
  <si>
    <t>522611|11|1|IRF</t>
  </si>
  <si>
    <t>FD15AE3C-76A3-4431-85E5-7B0441ABB1B9|RESULT|522611|11|1|IRF</t>
  </si>
  <si>
    <t>522611|12|1|IRF</t>
  </si>
  <si>
    <t>FD15AE3C-76A3-4431-85E5-7B0441ABB1B9|RESULT|522611|12|1|IRF</t>
  </si>
  <si>
    <t>522611|13|1|IRF</t>
  </si>
  <si>
    <t>FD15AE3C-76A3-4431-85E5-7B0441ABB1B9|RESULT|522611|13|1|IRF</t>
  </si>
  <si>
    <t>522611|14|1|IRF</t>
  </si>
  <si>
    <t>FD15AE3C-76A3-4431-85E5-7B0441ABB1B9|RESULT|522611|14|1|IRF</t>
  </si>
  <si>
    <t>522611|15|1|IRF</t>
  </si>
  <si>
    <t>FD15AE3C-76A3-4431-85E5-7B0441ABB1B9|RESULT|522611|15|1|IRF</t>
  </si>
  <si>
    <t>522611|16|1|IRF</t>
  </si>
  <si>
    <t>FD15AE3C-76A3-4431-85E5-7B0441ABB1B9|RESULT|522611|16|1|IRF</t>
  </si>
  <si>
    <t>522611|17|1|IRF</t>
  </si>
  <si>
    <t>FD15AE3C-76A3-4431-85E5-7B0441ABB1B9|RESULT|522611|17|1|IRF</t>
  </si>
  <si>
    <t>522611|18|1|IRF</t>
  </si>
  <si>
    <t>FD15AE3C-76A3-4431-85E5-7B0441ABB1B9|RESULT|522611|18|1|IRF</t>
  </si>
  <si>
    <t>522611|19|1|IRF</t>
  </si>
  <si>
    <t>FD15AE3C-76A3-4431-85E5-7B0441ABB1B9|RESULT|522611|19|1|IRF</t>
  </si>
  <si>
    <t>522611|20|1|IRF</t>
  </si>
  <si>
    <t>FD15AE3C-76A3-4431-85E5-7B0441ABB1B9|RESULT|522611|20|1|IRF</t>
  </si>
  <si>
    <t>522611|21|1|IRF</t>
  </si>
  <si>
    <t>FD15AE3C-76A3-4431-85E5-7B0441ABB1B9|RESULT|522611|21|1|IRF</t>
  </si>
  <si>
    <t>522611|22|1|IRF</t>
  </si>
  <si>
    <t>FD15AE3C-76A3-4431-85E5-7B0441ABB1B9|RESULT|522611|22|1|IRF</t>
  </si>
  <si>
    <t>522611|23|1|IRF</t>
  </si>
  <si>
    <t>FD15AE3C-76A3-4431-85E5-7B0441ABB1B9|RESULT|522611|23|1|IRF</t>
  </si>
  <si>
    <t>522611|24|1|IRF</t>
  </si>
  <si>
    <t>FD15AE3C-76A3-4431-85E5-7B0441ABB1B9|RESULT|522611|24|1|IRF</t>
  </si>
  <si>
    <t>522611|25|1|IRF</t>
  </si>
  <si>
    <t>FD15AE3C-76A3-4431-85E5-7B0441ABB1B9|RESULT|522611|25|1|IRF</t>
  </si>
  <si>
    <t>522611|1|2|IRF</t>
  </si>
  <si>
    <t>FD15AE3C-76A3-4431-85E5-7B0441ABB1B9|RESULT|522611|1|2|IRF</t>
  </si>
  <si>
    <t>522611|2|2|IRF</t>
  </si>
  <si>
    <t>FD15AE3C-76A3-4431-85E5-7B0441ABB1B9|RESULT|522611|2|2|IRF</t>
  </si>
  <si>
    <t>522611|3|2|IRF</t>
  </si>
  <si>
    <t>FD15AE3C-76A3-4431-85E5-7B0441ABB1B9|RESULT|522611|3|2|IRF</t>
  </si>
  <si>
    <t>522611|4|2|IRF</t>
  </si>
  <si>
    <t>FD15AE3C-76A3-4431-85E5-7B0441ABB1B9|RESULT|522611|4|2|IRF</t>
  </si>
  <si>
    <t>522611|5|2|IRF</t>
  </si>
  <si>
    <t>FD15AE3C-76A3-4431-85E5-7B0441ABB1B9|RESULT|522611|5|2|IRF</t>
  </si>
  <si>
    <t>522611|6|2|IRF</t>
  </si>
  <si>
    <t>FD15AE3C-76A3-4431-85E5-7B0441ABB1B9|RESULT|522611|6|2|IRF</t>
  </si>
  <si>
    <t>522611|7|2|IRF</t>
  </si>
  <si>
    <t>FD15AE3C-76A3-4431-85E5-7B0441ABB1B9|RESULT|522611|7|2|IRF</t>
  </si>
  <si>
    <t>522611|8|2|IRF</t>
  </si>
  <si>
    <t>FD15AE3C-76A3-4431-85E5-7B0441ABB1B9|RESULT|522611|8|2|IRF</t>
  </si>
  <si>
    <t>522611|9|2|IRF</t>
  </si>
  <si>
    <t>FD15AE3C-76A3-4431-85E5-7B0441ABB1B9|RESULT|522611|9|2|IRF</t>
  </si>
  <si>
    <t>522611|10|2|IRF</t>
  </si>
  <si>
    <t>FD15AE3C-76A3-4431-85E5-7B0441ABB1B9|RESULT|522611|10|2|IRF</t>
  </si>
  <si>
    <t>522611|11|2|IRF</t>
  </si>
  <si>
    <t>FD15AE3C-76A3-4431-85E5-7B0441ABB1B9|RESULT|522611|11|2|IRF</t>
  </si>
  <si>
    <t>522611|12|2|IRF</t>
  </si>
  <si>
    <t>FD15AE3C-76A3-4431-85E5-7B0441ABB1B9|RESULT|522611|12|2|IRF</t>
  </si>
  <si>
    <t>522611|13|2|IRF</t>
  </si>
  <si>
    <t>FD15AE3C-76A3-4431-85E5-7B0441ABB1B9|RESULT|522611|13|2|IRF</t>
  </si>
  <si>
    <t>522611|14|2|IRF</t>
  </si>
  <si>
    <t>FD15AE3C-76A3-4431-85E5-7B0441ABB1B9|RESULT|522611|14|2|IRF</t>
  </si>
  <si>
    <t>522611|15|2|IRF</t>
  </si>
  <si>
    <t>FD15AE3C-76A3-4431-85E5-7B0441ABB1B9|RESULT|522611|15|2|IRF</t>
  </si>
  <si>
    <t>522611|16|2|IRF</t>
  </si>
  <si>
    <t>FD15AE3C-76A3-4431-85E5-7B0441ABB1B9|RESULT|522611|16|2|IRF</t>
  </si>
  <si>
    <t>522611|17|2|IRF</t>
  </si>
  <si>
    <t>FD15AE3C-76A3-4431-85E5-7B0441ABB1B9|RESULT|522611|17|2|IRF</t>
  </si>
  <si>
    <t>522611|18|2|IRF</t>
  </si>
  <si>
    <t>FD15AE3C-76A3-4431-85E5-7B0441ABB1B9|RESULT|522611|18|2|IRF</t>
  </si>
  <si>
    <t>522611|19|2|IRF</t>
  </si>
  <si>
    <t>FD15AE3C-76A3-4431-85E5-7B0441ABB1B9|RESULT|522611|19|2|IRF</t>
  </si>
  <si>
    <t>522611|20|2|IRF</t>
  </si>
  <si>
    <t>FD15AE3C-76A3-4431-85E5-7B0441ABB1B9|RESULT|522611|20|2|IRF</t>
  </si>
  <si>
    <t>522611|21|2|IRF</t>
  </si>
  <si>
    <t>FD15AE3C-76A3-4431-85E5-7B0441ABB1B9|RESULT|522611|21|2|IRF</t>
  </si>
  <si>
    <t>522611|22|2|IRF</t>
  </si>
  <si>
    <t>FD15AE3C-76A3-4431-85E5-7B0441ABB1B9|RESULT|522611|22|2|IRF</t>
  </si>
  <si>
    <t>522611|23|2|IRF</t>
  </si>
  <si>
    <t>FD15AE3C-76A3-4431-85E5-7B0441ABB1B9|RESULT|522611|23|2|IRF</t>
  </si>
  <si>
    <t>522611|24|2|IRF</t>
  </si>
  <si>
    <t>FD15AE3C-76A3-4431-85E5-7B0441ABB1B9|RESULT|522611|24|2|IRF</t>
  </si>
  <si>
    <t>522611|25|2|IRF</t>
  </si>
  <si>
    <t>FD15AE3C-76A3-4431-85E5-7B0441ABB1B9|RESULT|522611|25|2|IRF</t>
  </si>
  <si>
    <t>522611|1|3|IRF</t>
  </si>
  <si>
    <t>FD15AE3C-76A3-4431-85E5-7B0441ABB1B9|RESULT|522611|1|3|IRF</t>
  </si>
  <si>
    <t>522611|2|3|IRF</t>
  </si>
  <si>
    <t>FD15AE3C-76A3-4431-85E5-7B0441ABB1B9|RESULT|522611|2|3|IRF</t>
  </si>
  <si>
    <t>522611|3|3|IRF</t>
  </si>
  <si>
    <t>FD15AE3C-76A3-4431-85E5-7B0441ABB1B9|RESULT|522611|3|3|IRF</t>
  </si>
  <si>
    <t>522611|4|3|IRF</t>
  </si>
  <si>
    <t>FD15AE3C-76A3-4431-85E5-7B0441ABB1B9|RESULT|522611|4|3|IRF</t>
  </si>
  <si>
    <t>522611|5|3|IRF</t>
  </si>
  <si>
    <t>FD15AE3C-76A3-4431-85E5-7B0441ABB1B9|RESULT|522611|5|3|IRF</t>
  </si>
  <si>
    <t>522611|6|3|IRF</t>
  </si>
  <si>
    <t>FD15AE3C-76A3-4431-85E5-7B0441ABB1B9|RESULT|522611|6|3|IRF</t>
  </si>
  <si>
    <t>522611|7|3|IRF</t>
  </si>
  <si>
    <t>FD15AE3C-76A3-4431-85E5-7B0441ABB1B9|RESULT|522611|7|3|IRF</t>
  </si>
  <si>
    <t>522611|8|3|IRF</t>
  </si>
  <si>
    <t>FD15AE3C-76A3-4431-85E5-7B0441ABB1B9|RESULT|522611|8|3|IRF</t>
  </si>
  <si>
    <t>522611|9|3|IRF</t>
  </si>
  <si>
    <t>FD15AE3C-76A3-4431-85E5-7B0441ABB1B9|RESULT|522611|9|3|IRF</t>
  </si>
  <si>
    <t>522611|10|3|IRF</t>
  </si>
  <si>
    <t>FD15AE3C-76A3-4431-85E5-7B0441ABB1B9|RESULT|522611|10|3|IRF</t>
  </si>
  <si>
    <t>522611|11|3|IRF</t>
  </si>
  <si>
    <t>FD15AE3C-76A3-4431-85E5-7B0441ABB1B9|RESULT|522611|11|3|IRF</t>
  </si>
  <si>
    <t>522611|12|3|IRF</t>
  </si>
  <si>
    <t>FD15AE3C-76A3-4431-85E5-7B0441ABB1B9|RESULT|522611|12|3|IRF</t>
  </si>
  <si>
    <t>522611|13|3|IRF</t>
  </si>
  <si>
    <t>FD15AE3C-76A3-4431-85E5-7B0441ABB1B9|RESULT|522611|13|3|IRF</t>
  </si>
  <si>
    <t>522611|14|3|IRF</t>
  </si>
  <si>
    <t>FD15AE3C-76A3-4431-85E5-7B0441ABB1B9|RESULT|522611|14|3|IRF</t>
  </si>
  <si>
    <t>522611|15|3|IRF</t>
  </si>
  <si>
    <t>FD15AE3C-76A3-4431-85E5-7B0441ABB1B9|RESULT|522611|15|3|IRF</t>
  </si>
  <si>
    <t>522611|16|3|IRF</t>
  </si>
  <si>
    <t>FD15AE3C-76A3-4431-85E5-7B0441ABB1B9|RESULT|522611|16|3|IRF</t>
  </si>
  <si>
    <t>522611|17|3|IRF</t>
  </si>
  <si>
    <t>FD15AE3C-76A3-4431-85E5-7B0441ABB1B9|RESULT|522611|17|3|IRF</t>
  </si>
  <si>
    <t>522611|18|3|IRF</t>
  </si>
  <si>
    <t>FD15AE3C-76A3-4431-85E5-7B0441ABB1B9|RESULT|522611|18|3|IRF</t>
  </si>
  <si>
    <t>522611|19|3|IRF</t>
  </si>
  <si>
    <t>FD15AE3C-76A3-4431-85E5-7B0441ABB1B9|RESULT|522611|19|3|IRF</t>
  </si>
  <si>
    <t>522611|20|3|IRF</t>
  </si>
  <si>
    <t>FD15AE3C-76A3-4431-85E5-7B0441ABB1B9|RESULT|522611|20|3|IRF</t>
  </si>
  <si>
    <t>522611|21|3|IRF</t>
  </si>
  <si>
    <t>FD15AE3C-76A3-4431-85E5-7B0441ABB1B9|RESULT|522611|21|3|IRF</t>
  </si>
  <si>
    <t>522611|22|3|IRF</t>
  </si>
  <si>
    <t>FD15AE3C-76A3-4431-85E5-7B0441ABB1B9|RESULT|522611|22|3|IRF</t>
  </si>
  <si>
    <t>522611|23|3|IRF</t>
  </si>
  <si>
    <t>FD15AE3C-76A3-4431-85E5-7B0441ABB1B9|RESULT|522611|23|3|IRF</t>
  </si>
  <si>
    <t>522611|24|3|IRF</t>
  </si>
  <si>
    <t>FD15AE3C-76A3-4431-85E5-7B0441ABB1B9|RESULT|522611|24|3|IRF</t>
  </si>
  <si>
    <t>522611|25|3|IRF</t>
  </si>
  <si>
    <t>FD15AE3C-76A3-4431-85E5-7B0441ABB1B9|RESULT|522611|25|3|IRF</t>
  </si>
  <si>
    <t>—</t>
  </si>
  <si>
    <t>Últ. violação</t>
  </si>
  <si>
    <t>Histórico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</si>
  <si>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</si>
  <si>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</si>
  <si>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</si>
  <si>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</si>
  <si>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</si>
  <si>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</si>
  <si>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</si>
  <si>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</si>
  <si>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</si>
  <si>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</si>
  <si>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</si>
  <si>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</si>
  <si>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</si>
  <si>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</si>
  <si>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</si>
  <si>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</si>
  <si>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</si>
  <si>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</si>
  <si>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</si>
  <si>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</si>
  <si>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</si>
  <si>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</si>
  <si>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</si>
  <si>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</si>
  <si>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</si>
  <si>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</si>
  <si>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</si>
  <si>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</si>
  <si>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</si>
  <si>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</si>
  <si>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</si>
  <si>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</si>
  <si>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</si>
  <si>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</si>
  <si>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</si>
  <si>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</si>
  <si>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</si>
  <si>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</si>
  <si>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</si>
  <si>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</si>
  <si>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</si>
  <si>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</si>
  <si>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</si>
  <si>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</si>
  <si>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</si>
  <si>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</si>
  <si>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</si>
  <si>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</si>
  <si>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</si>
  <si>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</si>
  <si>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</si>
  <si>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</si>
  <si>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</si>
  <si>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</si>
  <si>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</si>
  <si>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Hora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</si>
  <si>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</si>
  <si>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</si>
  <si>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</si>
  <si>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</si>
  <si>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</si>
  <si>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</si>
  <si>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</si>
  <si>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</si>
  <si>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</si>
  <si>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</si>
  <si>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</si>
  <si>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</si>
  <si>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</si>
  <si>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</si>
  <si>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</si>
  <si>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</si>
  <si>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</si>
  <si>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</si>
  <si>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</si>
  <si>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</si>
  <si>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</si>
  <si>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</si>
  <si>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</si>
  <si>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</si>
  <si>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</si>
  <si>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</si>
  <si>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</si>
  <si>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</si>
  <si>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</si>
  <si>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</si>
  <si>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</si>
  <si>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</si>
  <si>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</si>
  <si>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</si>
  <si>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</si>
  <si>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</si>
  <si>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</si>
  <si>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</si>
  <si>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</si>
  <si>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</si>
  <si>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</si>
  <si>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</si>
  <si>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</si>
  <si>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</si>
  <si>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</si>
  <si>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</si>
  <si>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</si>
  <si>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</si>
  <si>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</si>
  <si>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</si>
  <si>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</si>
  <si>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</si>
  <si>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</si>
  <si>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</si>
  <si>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</si>
  <si>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</si>
  <si>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</si>
  <si>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</si>
  <si>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</si>
  <si>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</si>
  <si>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</si>
  <si>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</si>
  <si>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</si>
  <si>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</si>
  <si>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</si>
  <si>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</si>
  <si>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</si>
  <si>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</si>
  <si>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</si>
  <si>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</si>
  <si>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</si>
  <si>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</si>
  <si>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</si>
  <si>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</si>
  <si>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</si>
  <si>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</si>
  <si>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</si>
  <si>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</si>
  <si>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</si>
  <si>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</si>
  <si>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</si>
  <si>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</si>
  <si>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</si>
  <si>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</si>
  <si>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</si>
  <si>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</si>
  <si>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</si>
  <si>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</si>
  <si>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</si>
  <si>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</si>
  <si>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</si>
  <si>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</si>
  <si>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2</t>
  </si>
  <si>
    <t>COMPLEMENTAR</t>
  </si>
  <si>
    <t>N2 runs 8..10</t>
  </si>
  <si>
    <t>Não classificada</t>
  </si>
  <si>
    <t>N2 runs 5..10</t>
  </si>
  <si>
    <t>1,2</t>
  </si>
  <si>
    <t>OFICIAL</t>
  </si>
  <si>
    <t>N1=2,30 N2=2,30</t>
  </si>
  <si>
    <t>N1xN2 z=2,40/-2,40</t>
  </si>
  <si>
    <t>1</t>
  </si>
  <si>
    <t>N1 z=3,60</t>
  </si>
  <si>
    <t>1,3</t>
  </si>
  <si>
    <t>N1xN3 z=3,60/-0,79</t>
  </si>
  <si>
    <t>N2 z=-3,25</t>
  </si>
  <si>
    <t>2,3</t>
  </si>
  <si>
    <t>N2xN3 z=-3,25/0,77</t>
  </si>
  <si>
    <t>3</t>
  </si>
  <si>
    <t>N3 runs 17..22</t>
  </si>
  <si>
    <t>1,2,3</t>
  </si>
  <si>
    <t>runs 1..2 ++++++</t>
  </si>
  <si>
    <t>runs 6..7 ------</t>
  </si>
  <si>
    <t>N3 runs 3..8</t>
  </si>
  <si>
    <t>N3 runs 4..9</t>
  </si>
  <si>
    <t>N3 runs 5..10</t>
  </si>
  <si>
    <t>N3 runs 6..11</t>
  </si>
  <si>
    <t>N1 runs 10..12</t>
  </si>
  <si>
    <t>N3 runs 7..12</t>
  </si>
  <si>
    <t>N1=-1,81 N2=-1,01 N3=-1,12</t>
  </si>
  <si>
    <t>runs 12..13 ------</t>
  </si>
  <si>
    <t>N2 runs 11..13</t>
  </si>
  <si>
    <t>N3 runs 8..13</t>
  </si>
  <si>
    <t>runs 13..14 ------</t>
  </si>
  <si>
    <t>N2 runs 12..14</t>
  </si>
  <si>
    <t>N3 runs 9..14</t>
  </si>
  <si>
    <t>N3 runs 10..15</t>
  </si>
  <si>
    <t>runs 18..19 ------</t>
  </si>
  <si>
    <t>N3 runs 18..23</t>
  </si>
  <si>
    <t>N3 runs 19..24</t>
  </si>
  <si>
    <t>N1 runs 18..23</t>
  </si>
  <si>
    <t>N1 runs 5..10</t>
  </si>
  <si>
    <t>N1xN3 z=-2,76/2,00</t>
  </si>
  <si>
    <t>N3 runs 14..16</t>
  </si>
  <si>
    <t>N3 runs 14..19</t>
  </si>
  <si>
    <t>N1 runs 19..24</t>
  </si>
  <si>
    <t>N1=-1,02 N2=-2,03 N3=-1,51</t>
  </si>
  <si>
    <t>N3 runs 13..18</t>
  </si>
  <si>
    <t>N3 runs 20..22</t>
  </si>
  <si>
    <t>runs 16..17 ++++++</t>
  </si>
  <si>
    <t>N3 runs 2..7</t>
  </si>
  <si>
    <t>N1 runs 9..14</t>
  </si>
  <si>
    <t>N1 runs 10..15</t>
  </si>
  <si>
    <t>N1 runs 11..16</t>
  </si>
  <si>
    <t>N1 runs 12..17</t>
  </si>
  <si>
    <t>N1 runs 1..3</t>
  </si>
  <si>
    <t>N2 runs 22..24</t>
  </si>
  <si>
    <t>N2 runs 23..25</t>
  </si>
  <si>
    <t>N1=2,44 N3=2,51</t>
  </si>
  <si>
    <t>runs 5..6 ------</t>
  </si>
  <si>
    <t>runs 14..15 ------</t>
  </si>
  <si>
    <t>runs 8..9 ------</t>
  </si>
  <si>
    <t>runs 9..10 ------</t>
  </si>
  <si>
    <t>runs 21..22 ++++++</t>
  </si>
  <si>
    <t>N1 runs 20..22</t>
  </si>
  <si>
    <t>N1 runs 17..22</t>
  </si>
  <si>
    <t>N1 runs 20..25</t>
  </si>
  <si>
    <t>N2 runs 7..9</t>
  </si>
  <si>
    <t>N2 runs 6..11</t>
  </si>
  <si>
    <t>N2 runs 19..24</t>
  </si>
  <si>
    <t>N2xN3 z=-1,70/2,70</t>
  </si>
  <si>
    <t>N1 runs 8..13</t>
  </si>
  <si>
    <t>N1 runs 15..17</t>
  </si>
  <si>
    <t>N1xN2 z=1,59/-2,59</t>
  </si>
  <si>
    <t>N2=-2,14 N3=-2,20</t>
  </si>
  <si>
    <t>N2xN3 z=2,83/-1,32</t>
  </si>
  <si>
    <t>runs 19..20 ++++++</t>
  </si>
  <si>
    <t>runs 7..8 ++++++</t>
  </si>
  <si>
    <t>N3 runs 16..21</t>
  </si>
  <si>
    <t>N2xN3 z=2,99/-1,09</t>
  </si>
  <si>
    <t>N1=2,71 N2=2,99</t>
  </si>
  <si>
    <t>runs 11..12 ++++++</t>
  </si>
  <si>
    <t>Níveis</t>
  </si>
  <si>
    <t>Classe</t>
  </si>
  <si>
    <t>RUN_Inicial</t>
  </si>
  <si>
    <t>Evidência</t>
  </si>
  <si>
    <t>Z_Max</t>
  </si>
  <si>
    <t>VB</t>
  </si>
  <si>
    <t>-</t>
  </si>
  <si>
    <t>522611|WBC</t>
  </si>
  <si>
    <t>522611|RBC</t>
  </si>
  <si>
    <t>522611|HGB</t>
  </si>
  <si>
    <t>522611|HCT</t>
  </si>
  <si>
    <t>522611|MCV</t>
  </si>
  <si>
    <t>522611|MCH</t>
  </si>
  <si>
    <t>522611|MCHC</t>
  </si>
  <si>
    <t>522611|PLT</t>
  </si>
  <si>
    <t>522611|NEUT%</t>
  </si>
  <si>
    <t>522611|LYMPH%</t>
  </si>
  <si>
    <t>522611|MONO%</t>
  </si>
  <si>
    <t>522611|EO%</t>
  </si>
  <si>
    <t>522611|BASO%</t>
  </si>
  <si>
    <t>522611|NEUT#</t>
  </si>
  <si>
    <t>522611|LYMPH#</t>
  </si>
  <si>
    <t>522611|MONO#</t>
  </si>
  <si>
    <t>522611|EO#</t>
  </si>
  <si>
    <t>522611|BASO#</t>
  </si>
  <si>
    <t>522611|IG%</t>
  </si>
  <si>
    <t>522611|IG#</t>
  </si>
  <si>
    <t>522611|NRBC%</t>
  </si>
  <si>
    <t>522611|NRBC#</t>
  </si>
  <si>
    <t>522611|RDW-SD</t>
  </si>
  <si>
    <t>522611|RDW-CV</t>
  </si>
  <si>
    <t>522611|MPV</t>
  </si>
  <si>
    <t>522611|RET%</t>
  </si>
  <si>
    <t>522611|RET#</t>
  </si>
  <si>
    <t>522611|IRF</t>
  </si>
  <si>
    <t>loteParam→</t>
  </si>
  <si>
    <t>Lote 51</t>
  </si>
  <si>
    <t>Lote 52</t>
  </si>
  <si>
    <t>Lote 53</t>
  </si>
  <si>
    <t>Lote 54</t>
  </si>
  <si>
    <t>Lote 55</t>
  </si>
  <si>
    <t>Lote 56</t>
  </si>
  <si>
    <t>Lote 57</t>
  </si>
  <si>
    <t>Lote 58</t>
  </si>
  <si>
    <t>Lote 59</t>
  </si>
  <si>
    <t>Lote 60</t>
  </si>
  <si>
    <t>Lote 61</t>
  </si>
  <si>
    <t>Lote 62</t>
  </si>
  <si>
    <t>Lote 63</t>
  </si>
  <si>
    <t>Lote 64</t>
  </si>
  <si>
    <t>Lote 65</t>
  </si>
  <si>
    <t>Lote 66</t>
  </si>
  <si>
    <t>Lote 67</t>
  </si>
  <si>
    <t>Lote 68</t>
  </si>
  <si>
    <t>Lote 69</t>
  </si>
  <si>
    <t>Lote 70</t>
  </si>
  <si>
    <t>Lote 71</t>
  </si>
  <si>
    <t>Lote 72</t>
  </si>
  <si>
    <t>Lote 73</t>
  </si>
  <si>
    <t>Lote 74</t>
  </si>
  <si>
    <t>Lote 75</t>
  </si>
  <si>
    <t>Lote 76</t>
  </si>
  <si>
    <t>Lote 77</t>
  </si>
  <si>
    <t>Lote 78</t>
  </si>
  <si>
    <t>Lote 79</t>
  </si>
  <si>
    <t>Lote 80</t>
  </si>
  <si>
    <t>Lote 81</t>
  </si>
  <si>
    <t>Lote 82</t>
  </si>
  <si>
    <t>Lote 83</t>
  </si>
  <si>
    <t>Lote 84</t>
  </si>
  <si>
    <t>Lote 85</t>
  </si>
  <si>
    <t>Lote 86</t>
  </si>
  <si>
    <t>Lote 87</t>
  </si>
  <si>
    <t>Lote 88</t>
  </si>
  <si>
    <t>Lote 89</t>
  </si>
  <si>
    <t>Lote 90</t>
  </si>
  <si>
    <t>Lote 91</t>
  </si>
  <si>
    <t>Lote 92</t>
  </si>
  <si>
    <t>Lote 93</t>
  </si>
  <si>
    <t>Lote 94</t>
  </si>
  <si>
    <t>Lote 95</t>
  </si>
  <si>
    <t>Lote 96</t>
  </si>
  <si>
    <t>Lote 97</t>
  </si>
  <si>
    <t>Lote 98</t>
  </si>
  <si>
    <t>Lote 99</t>
  </si>
  <si>
    <t>Lote 100</t>
  </si>
  <si>
    <t>HISTÓRICO DE LOTES CADASTRADOS (cadastre novos aqui — até 100)</t>
  </si>
  <si>
    <t>lstLotes (auto - nao editar)</t>
  </si>
  <si>
    <t>nTotal:</t>
  </si>
  <si>
    <t>cortadas:</t>
  </si>
  <si>
    <t>lotes no período:</t>
  </si>
  <si>
    <t>param:</t>
  </si>
  <si>
    <t>▲ lote em análise</t>
  </si>
  <si>
    <t>ESPQ FONTE</t>
  </si>
  <si>
    <t>CVTp %</t>
  </si>
  <si>
    <t>SIX SIGMA</t>
  </si>
  <si>
    <t>Status sigma</t>
  </si>
  <si>
    <t>Margem ETp (p.p.)</t>
  </si>
  <si>
    <t>Margem ETp %</t>
  </si>
  <si>
    <t>Status margem</t>
  </si>
  <si>
    <t>Status CV</t>
  </si>
  <si>
    <t>Bias EQC (sinal) %</t>
  </si>
  <si>
    <t>ordem crítico</t>
  </si>
  <si>
    <t>N EQA Resultados</t>
  </si>
  <si>
    <t>N EQA Rodadas</t>
  </si>
  <si>
    <t>(refletido do Painel)</t>
  </si>
  <si>
    <t>Ano De/Até filtram um intervalo (ex.: 3 ou 5 anos). O lote é o escolhido no Painel (H3): média, DP e CV nunca misturam lotes.</t>
  </si>
  <si>
    <t>Bias, ET e Sigma pelo controle EXTERNO (EP), como na Bioquímica; n/Média/DP/CV pelo motor.</t>
  </si>
  <si>
    <t>O QUE VOCÊ QUER FAZER?</t>
  </si>
  <si>
    <t>SITUAÇÃO AGORA</t>
  </si>
  <si>
    <t>Lote em uso (lançamentos)</t>
  </si>
  <si>
    <t>Lote em análise (Painel)</t>
  </si>
  <si>
    <t>Última corrida registrada</t>
  </si>
  <si>
    <t>Resultados no banco</t>
  </si>
  <si>
    <t>Lotes cadastrados</t>
  </si>
  <si>
    <t>Analitos sem média/DP no lote em uso</t>
  </si>
  <si>
    <t>COMO USAR — 3 PASSOS</t>
  </si>
  <si>
    <t>1.  Chegou lote novo de controle?  Clique em "Novo lote de controle": cadastra, pergunta se passa a ser o lote dos lançamentos e abre a digitação de média e DP.</t>
  </si>
  <si>
    <t>2.  Todo dia:  "+ Lançar resultados".  Os gráficos, o Westgard e a Estatística se atualizam sozinhos.</t>
  </si>
  <si>
    <t>3.  Para analisar:  "Painel".  Escolha o LOTE e o ANALITO nas listas (ou ▲▼).  Gráfico, limites, Westgard e Estatística usam SÓ a média/DP do lote escolhido — lote antigo continua consultável.</t>
  </si>
  <si>
    <t>Dica:  a barra no alto de cada tela leva a qualquer lugar.  Cada troca leva menos de 1 segundo.</t>
  </si>
  <si>
    <t>Clique em "+ Novo lote" (cadastro guiado) ou digite na próxima linha livre. Lote = núcleo do código, sem "QC-" e sem os 2 dígitos finais de nível.</t>
  </si>
  <si>
    <t>N1=OK;N2=OK;N3=OK</t>
  </si>
  <si>
    <t>Lote:</t>
  </si>
  <si>
    <t>lstAnosCIQ (auto - nao editar)</t>
  </si>
  <si>
    <t>lstAnosCEQ (auto - nao editar)</t>
  </si>
  <si>
    <t>Analito: spinner ▲▼ ou a lista (C3)  ·  Lote em análise: H3  ·  Período: Ano + Período (K3/K4) ou as datas De/Até (G3/G4)</t>
  </si>
  <si>
    <t>Período</t>
  </si>
  <si>
    <t>Tudo (sem filtro)</t>
  </si>
  <si>
    <t>522611 (25)</t>
  </si>
  <si>
    <t>Sigma efetivo do plano</t>
  </si>
  <si>
    <t>Regras que o motor executa nesta faixa</t>
  </si>
  <si>
    <t>Linha da faixa vigente (índice na matriz):</t>
  </si>
  <si>
    <t>Nível que governa o plano: o de MENOR Sigma</t>
  </si>
  <si>
    <t>matriz derivada da coluna Regras — não editar à mão</t>
  </si>
  <si>
    <t>regras ativas para o Sigma selecionado: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</si>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</sst>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  <numFmt numFmtId="170" formatCode="#,000"/>
    <numFmt numFmtId="171" formatCode="0,000"/>
    <numFmt numFmtId="172" formatCode="\+#,#00;\-#,#00;#,#00"/>
    <numFmt numFmtId="173" formatCode="#,#00"/>
    <numFmt numFmtId="174" formatCode="[&lt;1]0.0000;[&lt;1000]0.0;#,##0"/>
    <numFmt numFmtId="175" formatCode="0.0"/>
    <numFmt numFmtId="176" formatCode="0.00000"/>
    <numFmt numFmtId="177" formatCode="yyyy\-mm\-dd;@"/>
    <numFmt numFmtId="178" formatCode="yyyy\-mm\-dd\ hh:mm:ss;@"/>
    <numFmt numFmtId="179" formatCode="&quot;Lote &quot;0;;;&quot;Lote &quot;@"/>
    <numFmt numFmtId="180" formatCode="dd/mm/\y\y\y\y\ hh:mm"/>
    <numFmt numFmtId="181" formatCode="#,##0.0"/>
  </numFmts>
  <fonts count="76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8"/>
      <color rgb="FF5FE3C2"/>
      <name val="Calibri"/>
      <family val="2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8"/>
      <color rgb="FF808080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0" tint="-4.9989318521683403E-2"/>
      <name val="Calibri"/>
      <family val="2"/>
      <scheme val="minor"/>
    </font>
    <font>
      <b/>
      <sz val="10"/>
      <color rgb="FF1B3B40"/>
      <name val="Calibri"/>
      <family val="2"/>
    </font>
    <font>
      <sz val="10"/>
      <color rgb="FF1B2B2E"/>
      <name val="Calibri"/>
      <family val="2"/>
    </font>
    <font>
      <sz val="8"/>
      <color rgb="FF7A8C89"/>
      <name val="Calibri"/>
      <family val="2"/>
    </font>
    <font>
      <i/>
      <sz val="9"/>
      <color theme="1"/>
      <name val="Calibri"/>
      <family val="2"/>
      <scheme val="minor"/>
    </font>
    <font>
      <b/>
      <sz val="12"/>
      <color rgb="FF13282C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9"/>
      <color theme="1"/>
      <name val="Segoe UI"/>
      <family val="2"/>
    </font>
    <font>
      <b/>
      <sz val="9"/>
      <color rgb="FF13282C"/>
      <name val="Segoe U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b/>
      <sz val="10"/>
      <color rgb="FF0000FF"/>
      <name val="Segoe UI"/>
      <family val="2"/>
    </font>
    <font>
      <sz val="11"/>
      <color rgb="FF0000FF"/>
      <name val="Calibri"/>
      <family val="2"/>
      <scheme val="minor"/>
    </font>
    <font>
      <b/>
      <sz val="10"/>
      <color rgb="FF13282C"/>
      <name val="Segoe UI"/>
      <family val="2"/>
    </font>
    <font>
      <b/>
      <sz val="9"/>
      <color rgb="FFFFFFFF"/>
      <name val="Segoe UI"/>
      <family val="2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8"/>
      <color rgb="FF808080"/>
      <name val="Calibri"/>
      <family val="2"/>
      <scheme val="minor"/>
    </font>
    <font>
      <b/>
      <sz val="11"/>
      <color rgb="FF13282C"/>
      <name val="Segoe UI"/>
      <family val="2"/>
    </font>
    <font>
      <i/>
      <sz val="8"/>
      <color rgb="FF595959"/>
      <name val="Segoe UI"/>
      <family val="2"/>
    </font>
    <font>
      <u/>
      <sz val="9"/>
      <color theme="10"/>
      <name val="Segoe UI"/>
      <family val="2"/>
    </font>
    <font>
      <b/>
      <i/>
      <sz val="13"/>
      <color theme="1"/>
      <name val="Calibri"/>
      <family val="2"/>
      <scheme val="minor"/>
    </font>
    <font>
      <b/>
      <sz val="16"/>
      <color rgb="FF5FE3C2"/>
      <name val="Segoe UI"/>
      <family val="2"/>
    </font>
    <font>
      <sz val="9"/>
      <color rgb="FFCFEEE7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F6F4"/>
        <bgColor indexed="64"/>
      </patternFill>
    </fill>
    <fill>
      <patternFill patternType="solid">
        <fgColor rgb="FF1F6F6B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8DCD8"/>
      </top>
      <bottom/>
      <diagonal/>
    </border>
    <border>
      <left/>
      <right/>
      <top style="thin">
        <color rgb="FFC8DCD8"/>
      </top>
      <bottom style="thin">
        <color rgb="FFC8DCD8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1F6F6B"/>
      </left>
      <right/>
      <top style="thin">
        <color rgb="FF1F6F6B"/>
      </top>
      <bottom/>
      <diagonal/>
    </border>
    <border>
      <left/>
      <right/>
      <top style="thin">
        <color rgb="FF1F6F6B"/>
      </top>
      <bottom/>
      <diagonal/>
    </border>
    <border>
      <left/>
      <right style="thin">
        <color rgb="FF1F6F6B"/>
      </right>
      <top style="thin">
        <color rgb="FF1F6F6B"/>
      </top>
      <bottom/>
      <diagonal/>
    </border>
    <border>
      <left style="thin">
        <color rgb="FFC8C8D8"/>
      </left>
      <right/>
      <top style="thin">
        <color rgb="FFC8C8D8"/>
      </top>
      <bottom/>
      <diagonal/>
    </border>
    <border>
      <left/>
      <right/>
      <top style="thin">
        <color rgb="FFC8C8D8"/>
      </top>
      <bottom/>
      <diagonal/>
    </border>
    <border>
      <left style="thin">
        <color rgb="FFC8C8D8"/>
      </left>
      <right/>
      <top style="thin">
        <color rgb="FFC8C8D8"/>
      </top>
      <bottom style="thin">
        <color rgb="FFC8C8D8"/>
      </bottom>
      <diagonal/>
    </border>
    <border>
      <left/>
      <right/>
      <top style="thin">
        <color rgb="FFC8C8D8"/>
      </top>
      <bottom style="thin">
        <color rgb="FFC8C8D8"/>
      </bottom>
      <diagonal/>
    </border>
    <border>
      <left/>
      <right style="thin">
        <color rgb="FFC8C8D8"/>
      </right>
      <top style="thin">
        <color rgb="FFC8C8D8"/>
      </top>
      <bottom style="thin">
        <color rgb="FFC8C8D8"/>
      </bottom>
      <diagonal/>
    </border>
    <border>
      <left/>
      <right style="thin">
        <color rgb="FFC8C8D8"/>
      </right>
      <top style="thin">
        <color rgb="FFC8C8D8"/>
      </top>
      <bottom/>
      <diagonal/>
    </border>
    <border>
      <left/>
      <right/>
      <top/>
      <bottom style="thin">
        <color rgb="FF1F6F6B"/>
      </bottom>
      <diagonal/>
    </border>
  </borders>
  <cellStyleXfs count="2">
    <xf numFmtId="0" fontId="0" fillId="0" borderId="0"/>
    <xf numFmtId="0" fontId="44" fillId="0" borderId="0" applyNumberFormat="0" applyFill="0" applyBorder="0" applyAlignment="0" applyProtection="0"/>
  </cellStyleXfs>
  <cellXfs count="25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12" fillId="0" borderId="0" xfId="0" applyFont="1"/>
    <xf numFmtId="0" fontId="4" fillId="4" borderId="1" xfId="0" applyFont="1" applyFill="1" applyBorder="1"/>
    <xf numFmtId="0" fontId="7" fillId="0" borderId="0" xfId="0" applyFont="1"/>
    <xf numFmtId="14" fontId="11" fillId="5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6" fillId="0" borderId="1" xfId="0" applyFont="1" applyBorder="1" applyProtection="1">
      <protection locked="0"/>
    </xf>
    <xf numFmtId="49" fontId="8" fillId="5" borderId="1" xfId="0" applyNumberFormat="1" applyFont="1" applyFill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/>
    </xf>
    <xf numFmtId="0" fontId="16" fillId="0" borderId="1" xfId="0" applyFont="1" applyBorder="1"/>
    <xf numFmtId="2" fontId="18" fillId="0" borderId="1" xfId="0" applyNumberFormat="1" applyFont="1" applyBorder="1"/>
    <xf numFmtId="2" fontId="10" fillId="0" borderId="1" xfId="0" applyNumberFormat="1" applyFont="1" applyBorder="1"/>
    <xf numFmtId="164" fontId="10" fillId="0" borderId="1" xfId="0" applyNumberFormat="1" applyFont="1" applyBorder="1"/>
    <xf numFmtId="164" fontId="19" fillId="0" borderId="1" xfId="0" applyNumberFormat="1" applyFont="1" applyBorder="1"/>
    <xf numFmtId="0" fontId="4" fillId="0" borderId="1" xfId="0" applyFont="1" applyBorder="1" applyProtection="1">
      <protection locked="0"/>
    </xf>
    <xf numFmtId="0" fontId="16" fillId="0" borderId="1" xfId="0" applyFont="1" applyBorder="1" applyProtection="1">
      <protection locked="0"/>
    </xf>
    <xf numFmtId="0" fontId="17" fillId="0" borderId="1" xfId="0" applyFont="1" applyBorder="1" applyProtection="1">
      <protection locked="0"/>
    </xf>
    <xf numFmtId="164" fontId="17" fillId="0" borderId="1" xfId="0" applyNumberFormat="1" applyFont="1" applyBorder="1" applyProtection="1">
      <protection locked="0"/>
    </xf>
    <xf numFmtId="2" fontId="17" fillId="0" borderId="1" xfId="0" applyNumberFormat="1" applyFont="1" applyBorder="1" applyProtection="1">
      <protection locked="0"/>
    </xf>
    <xf numFmtId="0" fontId="15" fillId="0" borderId="1" xfId="0" applyFont="1" applyBorder="1" applyProtection="1">
      <protection locked="0"/>
    </xf>
    <xf numFmtId="0" fontId="14" fillId="6" borderId="0" xfId="0" applyFont="1" applyFill="1"/>
    <xf numFmtId="49" fontId="15" fillId="0" borderId="0" xfId="0" applyNumberFormat="1" applyFont="1"/>
    <xf numFmtId="0" fontId="15" fillId="0" borderId="0" xfId="0" applyFont="1"/>
    <xf numFmtId="164" fontId="15" fillId="0" borderId="0" xfId="0" applyNumberFormat="1" applyFont="1"/>
    <xf numFmtId="0" fontId="16" fillId="0" borderId="0" xfId="0" applyFont="1"/>
    <xf numFmtId="0" fontId="20" fillId="6" borderId="0" xfId="0" applyFont="1" applyFill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4" fontId="16" fillId="0" borderId="1" xfId="0" applyNumberFormat="1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49" fontId="17" fillId="0" borderId="1" xfId="0" applyNumberFormat="1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0" fontId="14" fillId="6" borderId="0" xfId="0" applyFont="1" applyFill="1" applyAlignment="1">
      <alignment horizontal="center"/>
    </xf>
    <xf numFmtId="0" fontId="20" fillId="6" borderId="0" xfId="0" applyFont="1" applyFill="1" applyAlignment="1">
      <alignment horizontal="center"/>
    </xf>
    <xf numFmtId="14" fontId="15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left" vertical="center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0" fontId="16" fillId="0" borderId="1" xfId="0" applyFont="1" applyBorder="1" applyAlignment="1" applyProtection="1">
      <alignment horizontal="left" vertical="center"/>
      <protection locked="0"/>
    </xf>
    <xf numFmtId="2" fontId="16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0" fontId="18" fillId="0" borderId="1" xfId="0" applyFont="1" applyBorder="1" applyProtection="1">
      <protection locked="0"/>
    </xf>
    <xf numFmtId="0" fontId="28" fillId="0" borderId="0" xfId="0" applyFont="1"/>
    <xf numFmtId="0" fontId="10" fillId="0" borderId="1" xfId="0" applyFont="1" applyBorder="1"/>
    <xf numFmtId="0" fontId="26" fillId="0" borderId="1" xfId="0" applyFont="1" applyBorder="1" applyAlignment="1">
      <alignment horizontal="left" vertical="center"/>
    </xf>
    <xf numFmtId="0" fontId="24" fillId="0" borderId="1" xfId="0" applyFont="1" applyBorder="1" applyProtection="1"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left" vertic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167" fontId="27" fillId="5" borderId="1" xfId="0" applyNumberFormat="1" applyFont="1" applyFill="1" applyBorder="1" applyAlignment="1" applyProtection="1">
      <alignment horizontal="center" vertical="center"/>
      <protection locked="0"/>
    </xf>
    <xf numFmtId="1" fontId="16" fillId="0" borderId="1" xfId="0" applyNumberFormat="1" applyFont="1" applyBorder="1" applyAlignment="1" applyProtection="1">
      <alignment horizontal="center" vertical="center"/>
      <protection locked="0"/>
    </xf>
    <xf numFmtId="49" fontId="16" fillId="0" borderId="1" xfId="0" applyNumberFormat="1" applyFont="1" applyBorder="1" applyAlignment="1" applyProtection="1">
      <alignment horizontal="center" vertical="center"/>
      <protection locked="0"/>
    </xf>
    <xf numFmtId="168" fontId="16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5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6" fillId="0" borderId="0" xfId="0" applyFont="1"/>
    <xf numFmtId="0" fontId="37" fillId="0" borderId="0" xfId="0" applyFont="1"/>
    <xf numFmtId="0" fontId="38" fillId="9" borderId="0" xfId="0" applyFont="1" applyFill="1"/>
    <xf numFmtId="0" fontId="39" fillId="0" borderId="0" xfId="0" applyFont="1"/>
    <xf numFmtId="0" fontId="38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38" fillId="10" borderId="0" xfId="0" applyFont="1" applyFill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38" fillId="10" borderId="0" xfId="0" applyFont="1" applyFill="1" applyAlignment="1">
      <alignment horizontal="center" vertical="center"/>
    </xf>
    <xf numFmtId="0" fontId="38" fillId="10" borderId="0" xfId="0" applyFont="1" applyFill="1" applyAlignment="1">
      <alignment vertical="center"/>
    </xf>
    <xf numFmtId="0" fontId="43" fillId="0" borderId="0" xfId="0" applyFont="1"/>
    <xf numFmtId="0" fontId="38" fillId="10" borderId="0" xfId="0" applyFont="1" applyFill="1" applyAlignment="1">
      <alignment horizontal="center" wrapText="1"/>
    </xf>
    <xf numFmtId="0" fontId="36" fillId="11" borderId="0" xfId="0" applyFont="1" applyFill="1"/>
    <xf numFmtId="173" fontId="0" fillId="0" borderId="0" xfId="0" applyNumberFormat="1"/>
    <xf numFmtId="173" fontId="36" fillId="11" borderId="0" xfId="0" applyNumberFormat="1" applyFont="1" applyFill="1"/>
    <xf numFmtId="0" fontId="45" fillId="0" borderId="0" xfId="0" applyFont="1"/>
    <xf numFmtId="0" fontId="46" fillId="0" borderId="0" xfId="0" applyFont="1"/>
    <xf numFmtId="3" fontId="0" fillId="0" borderId="0" xfId="0" applyNumberFormat="1"/>
    <xf numFmtId="177" fontId="0" fillId="0" borderId="0" xfId="0" applyNumberFormat="1"/>
    <xf numFmtId="49" fontId="0" fillId="0" borderId="0" xfId="0" applyNumberFormat="1"/>
    <xf numFmtId="178" fontId="0" fillId="0" borderId="0" xfId="0" applyNumberFormat="1"/>
    <xf numFmtId="49" fontId="45" fillId="0" borderId="0" xfId="0" applyNumberFormat="1" applyFont="1"/>
    <xf numFmtId="49" fontId="39" fillId="0" borderId="0" xfId="0" applyNumberFormat="1" applyFont="1"/>
    <xf numFmtId="49" fontId="47" fillId="0" borderId="0" xfId="0" applyNumberFormat="1" applyFont="1"/>
    <xf numFmtId="0" fontId="47" fillId="0" borderId="0" xfId="0" applyFont="1"/>
    <xf numFmtId="22" fontId="36" fillId="0" borderId="0" xfId="0" applyNumberFormat="1" applyFont="1"/>
    <xf numFmtId="0" fontId="48" fillId="0" borderId="0" xfId="0" applyFont="1"/>
    <xf numFmtId="0" fontId="50" fillId="7" borderId="1" xfId="0" applyFont="1" applyFill="1" applyBorder="1" applyAlignment="1" applyProtection="1">
      <alignment horizontal="center" vertical="center" wrapText="1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38" fillId="10" borderId="0" xfId="0" applyFont="1" applyFill="1" applyAlignment="1" applyProtection="1">
      <alignment horizontal="center" vertical="center" wrapText="1"/>
      <protection locked="0"/>
    </xf>
    <xf numFmtId="0" fontId="52" fillId="0" borderId="1" xfId="0" applyFont="1" applyBorder="1" applyProtection="1">
      <protection locked="0"/>
    </xf>
    <xf numFmtId="0" fontId="53" fillId="0" borderId="1" xfId="0" applyFont="1" applyBorder="1" applyAlignment="1" applyProtection="1">
      <alignment horizontal="center" vertical="center"/>
      <protection locked="0"/>
    </xf>
    <xf numFmtId="1" fontId="53" fillId="0" borderId="1" xfId="0" applyNumberFormat="1" applyFont="1" applyBorder="1" applyAlignment="1" applyProtection="1">
      <alignment horizontal="center" vertical="center"/>
      <protection locked="0"/>
    </xf>
    <xf numFmtId="164" fontId="53" fillId="0" borderId="1" xfId="0" applyNumberFormat="1" applyFont="1" applyBorder="1" applyAlignment="1" applyProtection="1">
      <alignment horizontal="center" vertical="center"/>
      <protection locked="0"/>
    </xf>
    <xf numFmtId="2" fontId="53" fillId="0" borderId="1" xfId="0" applyNumberFormat="1" applyFont="1" applyBorder="1" applyAlignment="1" applyProtection="1">
      <alignment horizontal="center" vertical="center"/>
      <protection locked="0"/>
    </xf>
    <xf numFmtId="2" fontId="5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55" fillId="0" borderId="0" xfId="0" applyFont="1"/>
    <xf numFmtId="180" fontId="0" fillId="0" borderId="0" xfId="0" applyNumberFormat="1"/>
    <xf numFmtId="0" fontId="0" fillId="9" borderId="0" xfId="0" applyFill="1"/>
    <xf numFmtId="0" fontId="0" fillId="7" borderId="0" xfId="0" applyFill="1"/>
    <xf numFmtId="0" fontId="12" fillId="7" borderId="0" xfId="0" applyFont="1" applyFill="1"/>
    <xf numFmtId="49" fontId="10" fillId="7" borderId="0" xfId="0" applyNumberFormat="1" applyFont="1" applyFill="1"/>
    <xf numFmtId="0" fontId="0" fillId="13" borderId="0" xfId="0" applyFill="1"/>
    <xf numFmtId="0" fontId="56" fillId="0" borderId="0" xfId="0" applyFont="1"/>
    <xf numFmtId="0" fontId="36" fillId="14" borderId="5" xfId="0" applyFont="1" applyFill="1" applyBorder="1"/>
    <xf numFmtId="0" fontId="36" fillId="14" borderId="4" xfId="0" applyFont="1" applyFill="1" applyBorder="1"/>
    <xf numFmtId="49" fontId="12" fillId="0" borderId="0" xfId="0" applyNumberFormat="1" applyFont="1"/>
    <xf numFmtId="49" fontId="36" fillId="0" borderId="0" xfId="0" applyNumberFormat="1" applyFont="1"/>
    <xf numFmtId="0" fontId="60" fillId="0" borderId="0" xfId="0" applyFont="1" applyAlignment="1">
      <alignment horizontal="right" vertical="center"/>
    </xf>
    <xf numFmtId="14" fontId="57" fillId="0" borderId="6" xfId="0" applyNumberFormat="1" applyFont="1" applyBorder="1" applyAlignment="1" applyProtection="1">
      <alignment horizontal="center"/>
      <protection locked="0"/>
    </xf>
    <xf numFmtId="14" fontId="57" fillId="0" borderId="8" xfId="0" applyNumberFormat="1" applyFont="1" applyBorder="1" applyAlignment="1" applyProtection="1">
      <alignment horizontal="center"/>
      <protection locked="0"/>
    </xf>
    <xf numFmtId="0" fontId="49" fillId="0" borderId="0" xfId="0" applyFont="1" applyAlignment="1">
      <alignment horizontal="center"/>
    </xf>
    <xf numFmtId="0" fontId="62" fillId="12" borderId="8" xfId="0" applyFont="1" applyFill="1" applyBorder="1" applyAlignment="1" applyProtection="1">
      <alignment horizontal="center" vertical="center"/>
      <protection locked="0"/>
    </xf>
    <xf numFmtId="0" fontId="62" fillId="12" borderId="9" xfId="0" applyFont="1" applyFill="1" applyBorder="1" applyAlignment="1" applyProtection="1">
      <alignment horizontal="center" vertical="center"/>
      <protection locked="0"/>
    </xf>
    <xf numFmtId="0" fontId="66" fillId="15" borderId="11" xfId="0" applyFont="1" applyFill="1" applyBorder="1" applyAlignment="1">
      <alignment horizontal="center" vertical="center" wrapText="1"/>
    </xf>
    <xf numFmtId="0" fontId="66" fillId="15" borderId="12" xfId="0" applyFont="1" applyFill="1" applyBorder="1" applyAlignment="1">
      <alignment horizontal="center" vertical="center" wrapText="1"/>
    </xf>
    <xf numFmtId="0" fontId="66" fillId="15" borderId="13" xfId="0" applyFont="1" applyFill="1" applyBorder="1" applyAlignment="1">
      <alignment horizontal="center" vertical="center" wrapText="1"/>
    </xf>
    <xf numFmtId="0" fontId="67" fillId="0" borderId="14" xfId="0" applyFont="1" applyBorder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164" fontId="67" fillId="0" borderId="15" xfId="0" applyNumberFormat="1" applyFont="1" applyBorder="1" applyAlignment="1">
      <alignment horizontal="center" vertical="center"/>
    </xf>
    <xf numFmtId="165" fontId="67" fillId="0" borderId="15" xfId="0" applyNumberFormat="1" applyFont="1" applyBorder="1" applyAlignment="1">
      <alignment horizontal="center" vertical="center"/>
    </xf>
    <xf numFmtId="2" fontId="67" fillId="0" borderId="15" xfId="0" applyNumberFormat="1" applyFont="1" applyBorder="1" applyAlignment="1">
      <alignment horizontal="center" vertical="center"/>
    </xf>
    <xf numFmtId="0" fontId="67" fillId="0" borderId="16" xfId="0" applyFont="1" applyBorder="1" applyAlignment="1">
      <alignment horizontal="center" vertical="center"/>
    </xf>
    <xf numFmtId="0" fontId="67" fillId="0" borderId="17" xfId="0" applyFont="1" applyBorder="1" applyAlignment="1">
      <alignment horizontal="center" vertical="center"/>
    </xf>
    <xf numFmtId="164" fontId="67" fillId="0" borderId="17" xfId="0" applyNumberFormat="1" applyFont="1" applyBorder="1" applyAlignment="1">
      <alignment horizontal="center" vertical="center"/>
    </xf>
    <xf numFmtId="165" fontId="67" fillId="0" borderId="17" xfId="0" applyNumberFormat="1" applyFont="1" applyBorder="1" applyAlignment="1">
      <alignment horizontal="center" vertical="center"/>
    </xf>
    <xf numFmtId="2" fontId="67" fillId="0" borderId="17" xfId="0" applyNumberFormat="1" applyFont="1" applyBorder="1" applyAlignment="1">
      <alignment horizontal="center" vertical="center"/>
    </xf>
    <xf numFmtId="0" fontId="68" fillId="0" borderId="15" xfId="0" applyFont="1" applyBorder="1" applyAlignment="1">
      <alignment horizontal="left" vertical="center"/>
    </xf>
    <xf numFmtId="0" fontId="68" fillId="0" borderId="17" xfId="0" applyFont="1" applyBorder="1" applyAlignment="1">
      <alignment horizontal="left" vertical="center"/>
    </xf>
    <xf numFmtId="0" fontId="68" fillId="0" borderId="18" xfId="0" applyFont="1" applyBorder="1" applyAlignment="1">
      <alignment horizontal="left" vertical="center"/>
    </xf>
    <xf numFmtId="0" fontId="68" fillId="0" borderId="19" xfId="0" applyFont="1" applyBorder="1" applyAlignment="1">
      <alignment horizontal="left" vertical="center"/>
    </xf>
    <xf numFmtId="0" fontId="36" fillId="0" borderId="0" xfId="0" applyFont="1" applyAlignment="1" applyProtection="1">
      <alignment horizontal="center"/>
      <protection locked="0"/>
    </xf>
    <xf numFmtId="2" fontId="67" fillId="0" borderId="15" xfId="0" applyNumberFormat="1" applyFont="1" applyBorder="1" applyAlignment="1">
      <alignment horizontal="center"/>
    </xf>
    <xf numFmtId="2" fontId="67" fillId="0" borderId="17" xfId="0" applyNumberFormat="1" applyFont="1" applyBorder="1" applyAlignment="1">
      <alignment horizontal="center"/>
    </xf>
    <xf numFmtId="164" fontId="67" fillId="0" borderId="18" xfId="0" applyNumberFormat="1" applyFont="1" applyBorder="1" applyAlignment="1">
      <alignment horizontal="center"/>
    </xf>
    <xf numFmtId="164" fontId="67" fillId="0" borderId="19" xfId="0" applyNumberFormat="1" applyFont="1" applyBorder="1" applyAlignment="1">
      <alignment horizontal="center"/>
    </xf>
    <xf numFmtId="0" fontId="61" fillId="0" borderId="18" xfId="0" applyFont="1" applyBorder="1" applyAlignment="1">
      <alignment horizontal="center"/>
    </xf>
    <xf numFmtId="0" fontId="61" fillId="0" borderId="19" xfId="0" applyFont="1" applyBorder="1" applyAlignment="1">
      <alignment horizontal="center"/>
    </xf>
    <xf numFmtId="0" fontId="73" fillId="0" borderId="0" xfId="0" applyFont="1"/>
    <xf numFmtId="0" fontId="7" fillId="0" borderId="0" xfId="0" applyFont="1"/>
    <xf numFmtId="0" fontId="0" fillId="0" borderId="0" xfId="0"/>
    <xf numFmtId="0" fontId="36" fillId="0" borderId="0" xfId="0" applyFont="1"/>
    <xf numFmtId="0" fontId="2" fillId="3" borderId="0" xfId="0" applyFont="1" applyFill="1" applyAlignment="1">
      <alignment horizontal="left" vertical="center" indent="1"/>
    </xf>
    <xf numFmtId="0" fontId="1" fillId="2" borderId="0" xfId="0" applyFont="1" applyFill="1" applyAlignment="1">
      <alignment horizontal="left" vertical="center" indent="1"/>
    </xf>
    <xf numFmtId="0" fontId="40" fillId="9" borderId="0" xfId="0" applyFont="1" applyFill="1"/>
    <xf numFmtId="0" fontId="33" fillId="7" borderId="0" xfId="0" applyFont="1" applyFill="1"/>
    <xf numFmtId="0" fontId="34" fillId="8" borderId="0" xfId="0" applyFont="1" applyFill="1"/>
    <xf numFmtId="0" fontId="0" fillId="14" borderId="0" xfId="0" applyFill="1" applyAlignment="1">
      <alignment horizontal="left"/>
    </xf>
    <xf numFmtId="0" fontId="57" fillId="0" borderId="0" xfId="0" applyFont="1" applyAlignment="1">
      <alignment wrapText="1"/>
    </xf>
    <xf numFmtId="0" fontId="58" fillId="0" borderId="0" xfId="0" applyFont="1" applyAlignment="1">
      <alignment wrapText="1"/>
    </xf>
    <xf numFmtId="0" fontId="0" fillId="14" borderId="4" xfId="0" applyFill="1" applyBorder="1" applyAlignment="1">
      <alignment horizontal="left"/>
    </xf>
    <xf numFmtId="0" fontId="0" fillId="14" borderId="5" xfId="0" applyFill="1" applyBorder="1" applyAlignment="1">
      <alignment horizontal="left"/>
    </xf>
    <xf numFmtId="0" fontId="13" fillId="3" borderId="0" xfId="0" applyFont="1" applyFill="1" applyAlignment="1">
      <alignment horizontal="left" vertical="center" indent="1"/>
    </xf>
    <xf numFmtId="0" fontId="7" fillId="0" borderId="0" xfId="0" applyFont="1" applyAlignment="1">
      <alignment horizontal="center" vertical="center"/>
    </xf>
    <xf numFmtId="0" fontId="7" fillId="3" borderId="0" xfId="0" applyFont="1" applyFill="1"/>
    <xf numFmtId="0" fontId="21" fillId="2" borderId="0" xfId="0" applyFont="1" applyFill="1" applyAlignment="1">
      <alignment horizontal="left" vertical="center"/>
    </xf>
    <xf numFmtId="0" fontId="74" fillId="2" borderId="0" xfId="0" applyFont="1" applyFill="1" applyAlignment="1">
      <alignment horizontal="left" vertical="center" indent="1"/>
    </xf>
    <xf numFmtId="0" fontId="75" fillId="3" borderId="0" xfId="0" applyFont="1" applyFill="1" applyAlignment="1">
      <alignment horizontal="left" vertical="center" indent="1"/>
    </xf>
    <xf numFmtId="0" fontId="65" fillId="14" borderId="0" xfId="0" applyFont="1" applyFill="1" applyAlignment="1">
      <alignment horizontal="left"/>
    </xf>
    <xf numFmtId="0" fontId="59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70" fillId="14" borderId="20" xfId="0" applyFont="1" applyFill="1" applyBorder="1" applyAlignment="1">
      <alignment horizontal="left" vertical="center"/>
    </xf>
    <xf numFmtId="0" fontId="0" fillId="14" borderId="20" xfId="0" applyFill="1" applyBorder="1" applyAlignment="1">
      <alignment horizontal="left" vertical="center"/>
    </xf>
    <xf numFmtId="0" fontId="71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66" fillId="15" borderId="11" xfId="0" applyFont="1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66" fillId="15" borderId="12" xfId="0" applyFont="1" applyFill="1" applyBorder="1" applyAlignment="1">
      <alignment horizontal="center" vertical="center" wrapText="1"/>
    </xf>
    <xf numFmtId="0" fontId="62" fillId="12" borderId="7" xfId="0" applyFont="1" applyFill="1" applyBorder="1" applyAlignment="1" applyProtection="1">
      <alignment horizontal="center" vertical="center"/>
      <protection locked="0"/>
    </xf>
    <xf numFmtId="0" fontId="0" fillId="12" borderId="10" xfId="0" applyFill="1" applyBorder="1" applyAlignment="1" applyProtection="1">
      <alignment horizontal="center" vertical="center"/>
      <protection locked="0"/>
    </xf>
    <xf numFmtId="179" fontId="63" fillId="12" borderId="7" xfId="0" quotePrefix="1" applyNumberFormat="1" applyFont="1" applyFill="1" applyBorder="1" applyAlignment="1" applyProtection="1">
      <alignment horizontal="center" vertical="center"/>
      <protection locked="0"/>
    </xf>
    <xf numFmtId="179" fontId="64" fillId="12" borderId="10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/>
    <xf numFmtId="0" fontId="69" fillId="0" borderId="0" xfId="0" applyFont="1" applyAlignment="1">
      <alignment shrinkToFit="1"/>
    </xf>
    <xf numFmtId="0" fontId="0" fillId="0" borderId="0" xfId="0" applyAlignment="1">
      <alignment shrinkToFit="1"/>
    </xf>
    <xf numFmtId="3" fontId="67" fillId="0" borderId="15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2" fontId="67" fillId="0" borderId="15" xfId="0" applyNumberFormat="1" applyFont="1" applyBorder="1" applyAlignment="1">
      <alignment horizontal="center"/>
    </xf>
    <xf numFmtId="3" fontId="67" fillId="0" borderId="17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71" fillId="0" borderId="15" xfId="0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2" fontId="67" fillId="0" borderId="17" xfId="0" applyNumberFormat="1" applyFont="1" applyBorder="1" applyAlignment="1">
      <alignment horizontal="center"/>
    </xf>
    <xf numFmtId="0" fontId="7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67" fillId="0" borderId="14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67" fillId="0" borderId="16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center"/>
    </xf>
    <xf numFmtId="175" fontId="67" fillId="0" borderId="14" xfId="0" applyNumberFormat="1" applyFont="1" applyBorder="1" applyAlignment="1">
      <alignment horizontal="center"/>
    </xf>
    <xf numFmtId="181" fontId="67" fillId="0" borderId="15" xfId="0" applyNumberFormat="1" applyFont="1" applyBorder="1" applyAlignment="1">
      <alignment horizontal="center"/>
    </xf>
    <xf numFmtId="176" fontId="67" fillId="0" borderId="15" xfId="0" applyNumberFormat="1" applyFont="1" applyBorder="1" applyAlignment="1">
      <alignment horizontal="center"/>
    </xf>
    <xf numFmtId="0" fontId="72" fillId="0" borderId="0" xfId="1" applyFont="1" applyAlignment="1">
      <alignment horizontal="left"/>
    </xf>
    <xf numFmtId="0" fontId="0" fillId="0" borderId="0" xfId="0" applyAlignment="1">
      <alignment horizontal="left"/>
    </xf>
    <xf numFmtId="175" fontId="67" fillId="0" borderId="16" xfId="0" applyNumberFormat="1" applyFont="1" applyBorder="1" applyAlignment="1">
      <alignment horizontal="center"/>
    </xf>
    <xf numFmtId="181" fontId="67" fillId="0" borderId="17" xfId="0" applyNumberFormat="1" applyFont="1" applyBorder="1" applyAlignment="1">
      <alignment horizontal="center"/>
    </xf>
    <xf numFmtId="176" fontId="67" fillId="0" borderId="17" xfId="0" applyNumberFormat="1" applyFont="1" applyBorder="1" applyAlignment="1">
      <alignment horizontal="center"/>
    </xf>
    <xf numFmtId="0" fontId="41" fillId="2" borderId="0" xfId="0" applyFont="1" applyFill="1" applyAlignment="1">
      <alignment horizontal="left" vertical="center" indent="1"/>
    </xf>
    <xf numFmtId="0" fontId="24" fillId="0" borderId="0" xfId="0" applyFont="1"/>
    <xf numFmtId="0" fontId="3" fillId="0" borderId="0" xfId="0" applyFont="1"/>
    <xf numFmtId="0" fontId="23" fillId="7" borderId="1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29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3" fillId="3" borderId="0" xfId="0" applyFont="1" applyFill="1" applyAlignment="1">
      <alignment horizontal="center" vertical="center"/>
    </xf>
    <xf numFmtId="0" fontId="31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0" fontId="67" fillId="0" borderId="14" xfId="0" applyNumberFormat="1" applyFont="1" applyBorder="1" applyAlignment="1">
      <alignment horizontal="center" vertical="center"/>
    </xf>
    <xf numFmtId="0" fontId="67" fillId="0" borderId="15" xfId="0" applyNumberFormat="1" applyFont="1" applyBorder="1" applyAlignment="1">
      <alignment horizontal="center" vertical="center"/>
    </xf>
    <xf numFmtId="0" fontId="67" fillId="0" borderId="16" xfId="0" applyNumberFormat="1" applyFont="1" applyBorder="1" applyAlignment="1">
      <alignment horizontal="center" vertical="center"/>
    </xf>
    <xf numFmtId="0" fontId="67" fillId="0" borderId="17" xfId="0" applyNumberFormat="1" applyFont="1" applyBorder="1" applyAlignment="1">
      <alignment horizontal="center" vertical="center"/>
    </xf>
    <xf numFmtId="0" fontId="67" fillId="0" borderId="18" xfId="0" applyNumberFormat="1" applyFont="1" applyBorder="1" applyAlignment="1">
      <alignment horizontal="center" vertical="center"/>
    </xf>
    <xf numFmtId="0" fontId="67" fillId="0" borderId="19" xfId="0" applyNumberFormat="1" applyFont="1" applyBorder="1" applyAlignment="1">
      <alignment horizontal="center" vertical="center"/>
    </xf>
    <xf numFmtId="0" fontId="67" fillId="0" borderId="14" xfId="0" applyNumberFormat="1" applyFont="1" applyBorder="1" applyAlignment="1">
      <alignment horizontal="center"/>
    </xf>
    <xf numFmtId="0" fontId="67" fillId="0" borderId="15" xfId="0" applyNumberFormat="1" applyFont="1" applyBorder="1" applyAlignment="1">
      <alignment horizontal="center"/>
    </xf>
    <xf numFmtId="0" fontId="67" fillId="0" borderId="16" xfId="0" applyNumberFormat="1" applyFont="1" applyBorder="1" applyAlignment="1">
      <alignment horizontal="center"/>
    </xf>
    <xf numFmtId="0" fontId="67" fillId="0" borderId="17" xfId="0" applyNumberFormat="1" applyFont="1" applyBorder="1" applyAlignment="1">
      <alignment horizontal="center"/>
    </xf>
    <xf numFmtId="0" fontId="70" fillId="14" borderId="0" xfId="0" applyFont="1" applyFill="1" applyBorder="1" applyAlignment="1">
      <alignment horizontal="left" vertical="center"/>
    </xf>
    <xf numFmtId="0" fontId="0" fillId="14" borderId="0" xfId="0" applyFill="1" applyBorder="1" applyAlignment="1">
      <alignment horizontal="left" vertical="center"/>
    </xf>
    <xf numFmtId="0" fontId="67" fillId="0" borderId="15" xfId="0" applyNumberFormat="1" applyFont="1" applyBorder="1" applyAlignment="1">
      <alignment horizontal="center"/>
    </xf>
    <xf numFmtId="0" fontId="67" fillId="0" borderId="17" xfId="0" applyNumberFormat="1" applyFont="1" applyBorder="1" applyAlignment="1">
      <alignment horizontal="center"/>
    </xf>
    <xf numFmtId="0" fontId="67" fillId="0" borderId="18" xfId="0" applyNumberFormat="1" applyFont="1" applyBorder="1" applyAlignment="1">
      <alignment horizontal="center"/>
    </xf>
    <xf numFmtId="0" fontId="67" fillId="0" borderId="19" xfId="0" applyNumberFormat="1" applyFont="1" applyBorder="1" applyAlignment="1">
      <alignment horizontal="center"/>
    </xf>
    <xf numFmtId="0" fontId="22" fillId="5" borderId="1" xfId="0" applyNumberFormat="1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Border="1"/>
    <xf numFmtId="0" fontId="0" fillId="14" borderId="0" xfId="0" applyFill="1" applyBorder="1" applyAlignment="1">
      <alignment horizontal="left"/>
    </xf>
  </cellXfs>
  <cellStyles count="2">
    <cellStyle name="Hiperlink" xfId="1" builtinId="8"/>
    <cellStyle name="Normal" xfId="0" builtinId="0"/>
  </cellStyles>
  <dxfs count="89">
    <dxf>
      <font>
        <color rgb="FF13282C"/>
      </font>
      <fill>
        <patternFill>
          <bgColor rgb="FFE3F4EA"/>
        </patternFill>
      </fill>
    </dxf>
    <dxf>
      <font>
        <color rgb="FF7A5000"/>
      </font>
      <fill>
        <patternFill>
          <bgColor rgb="FFFFF4CE"/>
        </patternFill>
      </fill>
    </dxf>
    <dxf>
      <font>
        <color rgb="FF9C0006"/>
      </font>
      <fill>
        <patternFill>
          <bgColor rgb="FFFDE2E1"/>
        </patternFill>
      </fill>
    </dxf>
    <dxf>
      <font>
        <b/>
        <i val="0"/>
        <color rgb="FFC00000"/>
      </font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C00000"/>
      </font>
    </dxf>
    <dxf>
      <font>
        <color rgb="FFBFBFBF"/>
      </font>
    </dxf>
    <dxf>
      <font>
        <b/>
        <i val="0"/>
        <color rgb="FF9C7A00"/>
      </font>
      <fill>
        <patternFill>
          <bgColor rgb="FFFFF4CE"/>
        </patternFill>
      </fill>
    </dxf>
    <dxf>
      <font>
        <b/>
        <i val="0"/>
        <color rgb="FFC00000"/>
      </font>
      <fill>
        <patternFill>
          <bgColor rgb="FFFDE2E1"/>
        </patternFill>
      </fill>
    </dxf>
    <dxf>
      <font>
        <b/>
        <i val="0"/>
        <color rgb="FF1F6F1F"/>
      </font>
    </dxf>
    <dxf>
      <font>
        <b/>
        <i val="0"/>
        <color rgb="FFC00000"/>
      </font>
    </dxf>
    <dxf>
      <font>
        <b/>
        <i val="0"/>
        <color rgb="FF1F6F1F"/>
      </font>
    </dxf>
    <dxf>
      <numFmt numFmtId="177" formatCode="yyyy\-mm\-dd;@"/>
    </dxf>
    <dxf>
      <numFmt numFmtId="177" formatCode="yyyy\-mm\-dd;@"/>
    </dxf>
    <dxf>
      <numFmt numFmtId="178" formatCode="yyyy\-mm\-dd\ hh:mm:ss;@"/>
    </dxf>
    <dxf>
      <numFmt numFmtId="30" formatCode="@"/>
    </dxf>
    <dxf>
      <numFmt numFmtId="177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color rgb="FF13282C"/>
      </font>
      <fill>
        <patternFill>
          <bgColor rgb="FFE3F4EA"/>
        </patternFill>
      </fill>
    </dxf>
    <dxf>
      <font>
        <color rgb="FF7A5000"/>
      </font>
      <fill>
        <patternFill>
          <bgColor rgb="FFFFF4CE"/>
        </patternFill>
      </fill>
    </dxf>
    <dxf>
      <font>
        <color rgb="FF9C0006"/>
      </font>
      <fill>
        <patternFill>
          <bgColor rgb="FFFDE2E1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13282C"/>
      </font>
      <fill>
        <patternFill>
          <bgColor rgb="FF3CD6B0"/>
        </patternFill>
      </fill>
    </dxf>
    <dxf>
      <font>
        <b/>
        <i val="0"/>
        <color rgb="FFA00000"/>
      </font>
      <fill>
        <patternFill>
          <bgColor rgb="FFFFD5D5"/>
        </patternFill>
      </fill>
    </dxf>
    <dxf>
      <font>
        <b/>
        <i val="0"/>
        <color rgb="FFC00000"/>
      </font>
    </dxf>
    <dxf>
      <font>
        <color rgb="FFBFBFBF"/>
      </font>
    </dxf>
    <dxf>
      <font>
        <b/>
        <i val="0"/>
        <color rgb="FF9C7A00"/>
      </font>
      <fill>
        <patternFill>
          <bgColor rgb="FFFFF4CE"/>
        </patternFill>
      </fill>
    </dxf>
    <dxf>
      <font>
        <b/>
        <i val="0"/>
        <color rgb="FFC00000"/>
      </font>
      <fill>
        <patternFill>
          <bgColor rgb="FFFDE2E1"/>
        </patternFill>
      </fill>
    </dxf>
    <dxf>
      <font>
        <b/>
        <i val="0"/>
        <color rgb="FF1F6F1F"/>
      </font>
    </dxf>
    <dxf>
      <font>
        <b/>
        <i val="0"/>
        <color rgb="FFC00000"/>
      </font>
    </dxf>
    <dxf>
      <font>
        <b/>
        <i val="0"/>
        <color rgb="FF1F6F1F"/>
      </font>
    </dxf>
    <dxf>
      <font>
        <b/>
        <i val="0"/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txPr>
        <a:bodyPr/>
        <a:lstStyle/>
        <a:p>
          <a:pPr>
            <a:defRPr sz="900">
              <a:latin typeface="Segoe UI"/>
              <a:ea typeface="Segoe UI"/>
              <a:cs typeface="Segoe UI"/>
            </a:defRPr>
          </a:pPr>
          <a:endParaRPr lang="pt-BR"/>
        </a:p>
      </c:txPr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3999999999999"/>
          <c:min val="4.261400000000000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txPr>
        <a:bodyPr/>
        <a:lstStyle/>
        <a:p>
          <a:pPr>
            <a:defRPr sz="900">
              <a:latin typeface="Segoe UI"/>
              <a:ea typeface="Segoe UI"/>
              <a:cs typeface="Segoe UI"/>
            </a:defRPr>
          </a:pPr>
          <a:endParaRPr lang="pt-BR"/>
        </a:p>
      </c:txPr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txPr>
        <a:bodyPr/>
        <a:lstStyle/>
        <a:p>
          <a:pPr>
            <a:defRPr sz="900">
              <a:latin typeface="Segoe UI"/>
              <a:ea typeface="Segoe UI"/>
              <a:cs typeface="Segoe UI"/>
            </a:defRPr>
          </a:pPr>
          <a:endParaRPr lang="pt-BR"/>
        </a:p>
      </c:txPr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Unacceptable por survey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EQA.CAP_Resumo!$A$5:$A$12</c:f>
              <c:strCache>
                <c:ptCount val="6"/>
                <c:pt idx="0">
                  <c:v>FH9-A 2025</c:v>
                </c:pt>
                <c:pt idx="1">
                  <c:v>FH9-B 2025</c:v>
                </c:pt>
                <c:pt idx="2">
                  <c:v>FH9-C 2025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A-4257-99D4-3C9C8C72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5648"/>
        <c:axId val="717900512"/>
      </c:barChart>
      <c:catAx>
        <c:axId val="7203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0512"/>
        <c:crosses val="autoZero"/>
        <c:auto val="1"/>
        <c:lblAlgn val="ctr"/>
        <c:lblOffset val="100"/>
        <c:noMultiLvlLbl val="0"/>
      </c:catAx>
      <c:valAx>
        <c:axId val="7179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56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Resultados com desvio por rodada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6-4B90-BBBD-D97E2943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1008"/>
        <c:axId val="717907712"/>
      </c:barChart>
      <c:catAx>
        <c:axId val="7203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7712"/>
        <c:crosses val="autoZero"/>
        <c:auto val="1"/>
        <c:lblAlgn val="ctr"/>
        <c:lblOffset val="100"/>
        <c:noMultiLvlLbl val="0"/>
      </c:catAx>
      <c:valAx>
        <c:axId val="7179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1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189212</xdr:colOff>
      <xdr:row>0</xdr:row>
      <xdr:rowOff>58420</xdr:rowOff>
    </xdr:from>
    <xdr:to>
      <xdr:col>7</xdr:col>
      <xdr:colOff>158732</xdr:colOff>
      <xdr:row>0</xdr:row>
      <xdr:rowOff>299720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16FB11E9-3B9A-5F1E-D626-032443A19215}"/>
            </a:ext>
          </a:extLst>
        </xdr:cNvPr>
        <xdr:cNvSpPr/>
      </xdr:nvSpPr>
      <xdr:spPr>
        <a:xfrm>
          <a:off x="55384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7</xdr:col>
      <xdr:colOff>196832</xdr:colOff>
      <xdr:row>0</xdr:row>
      <xdr:rowOff>58420</xdr:rowOff>
    </xdr:from>
    <xdr:to>
      <xdr:col>8</xdr:col>
      <xdr:colOff>303512</xdr:colOff>
      <xdr:row>0</xdr:row>
      <xdr:rowOff>299720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35C39458-CB5E-147C-1164-2D1D6D8AE602}"/>
            </a:ext>
          </a:extLst>
        </xdr:cNvPr>
        <xdr:cNvSpPr/>
      </xdr:nvSpPr>
      <xdr:spPr>
        <a:xfrm>
          <a:off x="64147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8</xdr:col>
      <xdr:colOff>341612</xdr:colOff>
      <xdr:row>0</xdr:row>
      <xdr:rowOff>58420</xdr:rowOff>
    </xdr:from>
    <xdr:to>
      <xdr:col>9</xdr:col>
      <xdr:colOff>570212</xdr:colOff>
      <xdr:row>0</xdr:row>
      <xdr:rowOff>299720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E767A7DE-25BE-CE32-7CD0-C1C5EE24AA82}"/>
            </a:ext>
          </a:extLst>
        </xdr:cNvPr>
        <xdr:cNvSpPr/>
      </xdr:nvSpPr>
      <xdr:spPr>
        <a:xfrm>
          <a:off x="72910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9</xdr:col>
      <xdr:colOff>608312</xdr:colOff>
      <xdr:row>0</xdr:row>
      <xdr:rowOff>58420</xdr:rowOff>
    </xdr:from>
    <xdr:to>
      <xdr:col>11</xdr:col>
      <xdr:colOff>227312</xdr:colOff>
      <xdr:row>0</xdr:row>
      <xdr:rowOff>299720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CA1EDB09-0D12-6178-C6CA-D1A4A85E8302}"/>
            </a:ext>
          </a:extLst>
        </xdr:cNvPr>
        <xdr:cNvSpPr/>
      </xdr:nvSpPr>
      <xdr:spPr>
        <a:xfrm>
          <a:off x="81673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11</xdr:col>
      <xdr:colOff>265412</xdr:colOff>
      <xdr:row>0</xdr:row>
      <xdr:rowOff>58420</xdr:rowOff>
    </xdr:from>
    <xdr:to>
      <xdr:col>12</xdr:col>
      <xdr:colOff>494012</xdr:colOff>
      <xdr:row>0</xdr:row>
      <xdr:rowOff>299720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EB847B13-07C6-CE48-20A8-3321A7B576B5}"/>
            </a:ext>
          </a:extLst>
        </xdr:cNvPr>
        <xdr:cNvSpPr/>
      </xdr:nvSpPr>
      <xdr:spPr>
        <a:xfrm>
          <a:off x="90436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12</xdr:col>
      <xdr:colOff>532112</xdr:colOff>
      <xdr:row>0</xdr:row>
      <xdr:rowOff>58420</xdr:rowOff>
    </xdr:from>
    <xdr:to>
      <xdr:col>14</xdr:col>
      <xdr:colOff>151112</xdr:colOff>
      <xdr:row>0</xdr:row>
      <xdr:rowOff>299720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0793EA7A-EB1C-89B2-40AC-333483CFAABF}"/>
            </a:ext>
          </a:extLst>
        </xdr:cNvPr>
        <xdr:cNvSpPr/>
      </xdr:nvSpPr>
      <xdr:spPr>
        <a:xfrm>
          <a:off x="99199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14</xdr:col>
      <xdr:colOff>189212</xdr:colOff>
      <xdr:row>0</xdr:row>
      <xdr:rowOff>58420</xdr:rowOff>
    </xdr:from>
    <xdr:to>
      <xdr:col>15</xdr:col>
      <xdr:colOff>417812</xdr:colOff>
      <xdr:row>0</xdr:row>
      <xdr:rowOff>299720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273DFB4F-435C-7668-9DB1-EDD6020345C2}"/>
            </a:ext>
          </a:extLst>
        </xdr:cNvPr>
        <xdr:cNvSpPr/>
      </xdr:nvSpPr>
      <xdr:spPr>
        <a:xfrm>
          <a:off x="107962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15</xdr:col>
      <xdr:colOff>455912</xdr:colOff>
      <xdr:row>0</xdr:row>
      <xdr:rowOff>58420</xdr:rowOff>
    </xdr:from>
    <xdr:to>
      <xdr:col>17</xdr:col>
      <xdr:colOff>74912</xdr:colOff>
      <xdr:row>0</xdr:row>
      <xdr:rowOff>299720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7BA4F57C-FC9A-E353-A0F0-E1E756CB6E8F}"/>
            </a:ext>
          </a:extLst>
        </xdr:cNvPr>
        <xdr:cNvSpPr/>
      </xdr:nvSpPr>
      <xdr:spPr>
        <a:xfrm>
          <a:off x="11672552" y="584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17</xdr:col>
      <xdr:colOff>113012</xdr:colOff>
      <xdr:row>0</xdr:row>
      <xdr:rowOff>58420</xdr:rowOff>
    </xdr:from>
    <xdr:to>
      <xdr:col>18</xdr:col>
      <xdr:colOff>341613</xdr:colOff>
      <xdr:row>0</xdr:row>
      <xdr:rowOff>299720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CCB12D86-D0E1-706B-AE0E-FF588A5AB49A}"/>
            </a:ext>
          </a:extLst>
        </xdr:cNvPr>
        <xdr:cNvSpPr/>
      </xdr:nvSpPr>
      <xdr:spPr>
        <a:xfrm>
          <a:off x="12548852" y="58420"/>
          <a:ext cx="838201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22860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22860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22860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22860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16</xdr:col>
      <xdr:colOff>297179</xdr:colOff>
      <xdr:row>0</xdr:row>
      <xdr:rowOff>96520</xdr:rowOff>
    </xdr:from>
    <xdr:to>
      <xdr:col>17</xdr:col>
      <xdr:colOff>525779</xdr:colOff>
      <xdr:row>0</xdr:row>
      <xdr:rowOff>337820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D171E9A6-B439-4155-8BCE-8932AB7432CE}"/>
            </a:ext>
          </a:extLst>
        </xdr:cNvPr>
        <xdr:cNvSpPr/>
      </xdr:nvSpPr>
      <xdr:spPr>
        <a:xfrm>
          <a:off x="131597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17</xdr:col>
      <xdr:colOff>563879</xdr:colOff>
      <xdr:row>0</xdr:row>
      <xdr:rowOff>96520</xdr:rowOff>
    </xdr:from>
    <xdr:to>
      <xdr:col>19</xdr:col>
      <xdr:colOff>182879</xdr:colOff>
      <xdr:row>0</xdr:row>
      <xdr:rowOff>337820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C9ECD9B0-DE55-EE91-9277-CD101E68A61F}"/>
            </a:ext>
          </a:extLst>
        </xdr:cNvPr>
        <xdr:cNvSpPr/>
      </xdr:nvSpPr>
      <xdr:spPr>
        <a:xfrm>
          <a:off x="140360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19</xdr:col>
      <xdr:colOff>220979</xdr:colOff>
      <xdr:row>0</xdr:row>
      <xdr:rowOff>96520</xdr:rowOff>
    </xdr:from>
    <xdr:to>
      <xdr:col>20</xdr:col>
      <xdr:colOff>449579</xdr:colOff>
      <xdr:row>0</xdr:row>
      <xdr:rowOff>337820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64F1933A-B452-B1D4-649E-D597030F2178}"/>
            </a:ext>
          </a:extLst>
        </xdr:cNvPr>
        <xdr:cNvSpPr/>
      </xdr:nvSpPr>
      <xdr:spPr>
        <a:xfrm>
          <a:off x="14912339" y="965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20</xdr:col>
      <xdr:colOff>487679</xdr:colOff>
      <xdr:row>0</xdr:row>
      <xdr:rowOff>96520</xdr:rowOff>
    </xdr:from>
    <xdr:to>
      <xdr:col>21</xdr:col>
      <xdr:colOff>800099</xdr:colOff>
      <xdr:row>0</xdr:row>
      <xdr:rowOff>337820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E8E78825-D8B9-75BB-5660-DEF5262FF815}"/>
            </a:ext>
          </a:extLst>
        </xdr:cNvPr>
        <xdr:cNvSpPr/>
      </xdr:nvSpPr>
      <xdr:spPr>
        <a:xfrm>
          <a:off x="157886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21</xdr:col>
      <xdr:colOff>838199</xdr:colOff>
      <xdr:row>0</xdr:row>
      <xdr:rowOff>96520</xdr:rowOff>
    </xdr:from>
    <xdr:to>
      <xdr:col>22</xdr:col>
      <xdr:colOff>807719</xdr:colOff>
      <xdr:row>0</xdr:row>
      <xdr:rowOff>337820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04D3F708-BDAE-37CB-2B96-BE80012E9F57}"/>
            </a:ext>
          </a:extLst>
        </xdr:cNvPr>
        <xdr:cNvSpPr/>
      </xdr:nvSpPr>
      <xdr:spPr>
        <a:xfrm>
          <a:off x="166649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22</xdr:col>
      <xdr:colOff>845819</xdr:colOff>
      <xdr:row>0</xdr:row>
      <xdr:rowOff>96520</xdr:rowOff>
    </xdr:from>
    <xdr:to>
      <xdr:col>23</xdr:col>
      <xdr:colOff>678179</xdr:colOff>
      <xdr:row>0</xdr:row>
      <xdr:rowOff>337820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102D10A6-C653-E5DD-2BD2-07A69872D944}"/>
            </a:ext>
          </a:extLst>
        </xdr:cNvPr>
        <xdr:cNvSpPr/>
      </xdr:nvSpPr>
      <xdr:spPr>
        <a:xfrm>
          <a:off x="175412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23</xdr:col>
      <xdr:colOff>716279</xdr:colOff>
      <xdr:row>0</xdr:row>
      <xdr:rowOff>96520</xdr:rowOff>
    </xdr:from>
    <xdr:to>
      <xdr:col>24</xdr:col>
      <xdr:colOff>411479</xdr:colOff>
      <xdr:row>0</xdr:row>
      <xdr:rowOff>337820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1810975C-49B9-B3D2-27FD-324D03CC1EC5}"/>
            </a:ext>
          </a:extLst>
        </xdr:cNvPr>
        <xdr:cNvSpPr/>
      </xdr:nvSpPr>
      <xdr:spPr>
        <a:xfrm>
          <a:off x="184175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24</xdr:col>
      <xdr:colOff>449579</xdr:colOff>
      <xdr:row>0</xdr:row>
      <xdr:rowOff>96520</xdr:rowOff>
    </xdr:from>
    <xdr:to>
      <xdr:col>25</xdr:col>
      <xdr:colOff>419099</xdr:colOff>
      <xdr:row>0</xdr:row>
      <xdr:rowOff>337820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F5EF179C-047F-B7ED-E117-E086E8C0740D}"/>
            </a:ext>
          </a:extLst>
        </xdr:cNvPr>
        <xdr:cNvSpPr/>
      </xdr:nvSpPr>
      <xdr:spPr>
        <a:xfrm>
          <a:off x="192938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25</xdr:col>
      <xdr:colOff>457199</xdr:colOff>
      <xdr:row>0</xdr:row>
      <xdr:rowOff>96520</xdr:rowOff>
    </xdr:from>
    <xdr:to>
      <xdr:col>26</xdr:col>
      <xdr:colOff>495299</xdr:colOff>
      <xdr:row>0</xdr:row>
      <xdr:rowOff>337820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9C62BDE1-6D38-621D-D403-51B29C067048}"/>
            </a:ext>
          </a:extLst>
        </xdr:cNvPr>
        <xdr:cNvSpPr/>
      </xdr:nvSpPr>
      <xdr:spPr>
        <a:xfrm>
          <a:off x="20170139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11</xdr:row>
      <xdr:rowOff>25400</xdr:rowOff>
    </xdr:from>
    <xdr:to>
      <xdr:col>2</xdr:col>
      <xdr:colOff>271780</xdr:colOff>
      <xdr:row>14</xdr:row>
      <xdr:rowOff>38100</xdr:rowOff>
    </xdr:to>
    <xdr:sp macro="IrPainel" textlink="">
      <xdr:nvSpPr>
        <xdr:cNvPr id="11" name="tile_painel">
          <a:extLst>
            <a:ext uri="{FF2B5EF4-FFF2-40B4-BE49-F238E27FC236}">
              <a16:creationId xmlns:a16="http://schemas.microsoft.com/office/drawing/2014/main" id="{8D978E2B-514C-744B-439F-3316DBF96B92}"/>
            </a:ext>
          </a:extLst>
        </xdr:cNvPr>
        <xdr:cNvSpPr/>
      </xdr:nvSpPr>
      <xdr:spPr>
        <a:xfrm>
          <a:off x="205740" y="24638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Painel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gráficos de Levey-Jennings e Westgard por lote</a:t>
          </a:r>
        </a:p>
      </xdr:txBody>
    </xdr:sp>
    <xdr:clientData/>
  </xdr:twoCellAnchor>
  <xdr:twoCellAnchor editAs="absolute">
    <xdr:from>
      <xdr:col>2</xdr:col>
      <xdr:colOff>398780</xdr:colOff>
      <xdr:row>11</xdr:row>
      <xdr:rowOff>25400</xdr:rowOff>
    </xdr:from>
    <xdr:to>
      <xdr:col>3</xdr:col>
      <xdr:colOff>670560</xdr:colOff>
      <xdr:row>14</xdr:row>
      <xdr:rowOff>38100</xdr:rowOff>
    </xdr:to>
    <xdr:sp macro="IrLancar" textlink="">
      <xdr:nvSpPr>
        <xdr:cNvPr id="12" name="tile_lancar">
          <a:extLst>
            <a:ext uri="{FF2B5EF4-FFF2-40B4-BE49-F238E27FC236}">
              <a16:creationId xmlns:a16="http://schemas.microsoft.com/office/drawing/2014/main" id="{B0F92769-3DBF-944E-FF44-53DE9894DCE5}"/>
            </a:ext>
          </a:extLst>
        </xdr:cNvPr>
        <xdr:cNvSpPr/>
      </xdr:nvSpPr>
      <xdr:spPr>
        <a:xfrm>
          <a:off x="2936240" y="2463800"/>
          <a:ext cx="2603500" cy="584200"/>
        </a:xfrm>
        <a:prstGeom prst="roundRect">
          <a:avLst>
            <a:gd name="adj" fmla="val 25000"/>
          </a:avLst>
        </a:prstGeom>
        <a:solidFill>
          <a:srgbClr val="1F6F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+ Lançar resultados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a corrida do dia (ou várias de uma vez)</a:t>
          </a:r>
        </a:p>
      </xdr:txBody>
    </xdr:sp>
    <xdr:clientData/>
  </xdr:twoCellAnchor>
  <xdr:twoCellAnchor editAs="absolute">
    <xdr:from>
      <xdr:col>3</xdr:col>
      <xdr:colOff>797560</xdr:colOff>
      <xdr:row>11</xdr:row>
      <xdr:rowOff>25400</xdr:rowOff>
    </xdr:from>
    <xdr:to>
      <xdr:col>6</xdr:col>
      <xdr:colOff>520700</xdr:colOff>
      <xdr:row>14</xdr:row>
      <xdr:rowOff>38100</xdr:rowOff>
    </xdr:to>
    <xdr:sp macro="NovoLote" textlink="">
      <xdr:nvSpPr>
        <xdr:cNvPr id="13" name="tile_novolote">
          <a:extLst>
            <a:ext uri="{FF2B5EF4-FFF2-40B4-BE49-F238E27FC236}">
              <a16:creationId xmlns:a16="http://schemas.microsoft.com/office/drawing/2014/main" id="{8EE70F1B-C744-1473-42F7-82D6C5B0DA72}"/>
            </a:ext>
          </a:extLst>
        </xdr:cNvPr>
        <xdr:cNvSpPr/>
      </xdr:nvSpPr>
      <xdr:spPr>
        <a:xfrm>
          <a:off x="5666740" y="24638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Novo lote de controle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cadastrar, usar e digitar média/DP</a:t>
          </a:r>
        </a:p>
      </xdr:txBody>
    </xdr:sp>
    <xdr:clientData/>
  </xdr:twoCellAnchor>
  <xdr:twoCellAnchor editAs="absolute">
    <xdr:from>
      <xdr:col>6</xdr:col>
      <xdr:colOff>647700</xdr:colOff>
      <xdr:row>11</xdr:row>
      <xdr:rowOff>25400</xdr:rowOff>
    </xdr:from>
    <xdr:to>
      <xdr:col>10</xdr:col>
      <xdr:colOff>386080</xdr:colOff>
      <xdr:row>14</xdr:row>
      <xdr:rowOff>38100</xdr:rowOff>
    </xdr:to>
    <xdr:sp macro="IrAnalitos" textlink="">
      <xdr:nvSpPr>
        <xdr:cNvPr id="14" name="tile_analitos">
          <a:extLst>
            <a:ext uri="{FF2B5EF4-FFF2-40B4-BE49-F238E27FC236}">
              <a16:creationId xmlns:a16="http://schemas.microsoft.com/office/drawing/2014/main" id="{D639189D-BD68-8DDF-DEFC-6C8CAB3C15E1}"/>
            </a:ext>
          </a:extLst>
        </xdr:cNvPr>
        <xdr:cNvSpPr/>
      </xdr:nvSpPr>
      <xdr:spPr>
        <a:xfrm>
          <a:off x="8397240" y="24638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Média e DP por lote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parâmetros e especificações</a:t>
          </a:r>
        </a:p>
      </xdr:txBody>
    </xdr:sp>
    <xdr:clientData/>
  </xdr:twoCellAnchor>
  <xdr:twoCellAnchor editAs="absolute">
    <xdr:from>
      <xdr:col>1</xdr:col>
      <xdr:colOff>0</xdr:colOff>
      <xdr:row>14</xdr:row>
      <xdr:rowOff>165100</xdr:rowOff>
    </xdr:from>
    <xdr:to>
      <xdr:col>2</xdr:col>
      <xdr:colOff>271780</xdr:colOff>
      <xdr:row>17</xdr:row>
      <xdr:rowOff>177800</xdr:rowOff>
    </xdr:to>
    <xdr:sp macro="IrEstatistica" textlink="">
      <xdr:nvSpPr>
        <xdr:cNvPr id="15" name="tile_estat">
          <a:extLst>
            <a:ext uri="{FF2B5EF4-FFF2-40B4-BE49-F238E27FC236}">
              <a16:creationId xmlns:a16="http://schemas.microsoft.com/office/drawing/2014/main" id="{9AAA37D4-D0A9-6890-2C9E-AFDC5F997CEF}"/>
            </a:ext>
          </a:extLst>
        </xdr:cNvPr>
        <xdr:cNvSpPr/>
      </xdr:nvSpPr>
      <xdr:spPr>
        <a:xfrm>
          <a:off x="205740" y="31750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Estatística e Sigma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CV, bias, ET, Sigma e plano de CQ</a:t>
          </a:r>
        </a:p>
      </xdr:txBody>
    </xdr:sp>
    <xdr:clientData/>
  </xdr:twoCellAnchor>
  <xdr:twoCellAnchor editAs="absolute">
    <xdr:from>
      <xdr:col>2</xdr:col>
      <xdr:colOff>398780</xdr:colOff>
      <xdr:row>14</xdr:row>
      <xdr:rowOff>165100</xdr:rowOff>
    </xdr:from>
    <xdr:to>
      <xdr:col>3</xdr:col>
      <xdr:colOff>670560</xdr:colOff>
      <xdr:row>17</xdr:row>
      <xdr:rowOff>177800</xdr:rowOff>
    </xdr:to>
    <xdr:sp macro="IrLiberacao" textlink="">
      <xdr:nvSpPr>
        <xdr:cNvPr id="16" name="tile_liber">
          <a:extLst>
            <a:ext uri="{FF2B5EF4-FFF2-40B4-BE49-F238E27FC236}">
              <a16:creationId xmlns:a16="http://schemas.microsoft.com/office/drawing/2014/main" id="{5C2EABE6-B9CB-E7B0-DBD9-C3EDF8AB8AF5}"/>
            </a:ext>
          </a:extLst>
        </xdr:cNvPr>
        <xdr:cNvSpPr/>
      </xdr:nvSpPr>
      <xdr:spPr>
        <a:xfrm>
          <a:off x="2936240" y="31750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Liberação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iniciar e finalizar a corrida (assinatura)</a:t>
          </a:r>
        </a:p>
      </xdr:txBody>
    </xdr:sp>
    <xdr:clientData/>
  </xdr:twoCellAnchor>
  <xdr:twoCellAnchor editAs="absolute">
    <xdr:from>
      <xdr:col>3</xdr:col>
      <xdr:colOff>797560</xdr:colOff>
      <xdr:row>14</xdr:row>
      <xdr:rowOff>165100</xdr:rowOff>
    </xdr:from>
    <xdr:to>
      <xdr:col>6</xdr:col>
      <xdr:colOff>520700</xdr:colOff>
      <xdr:row>17</xdr:row>
      <xdr:rowOff>177800</xdr:rowOff>
    </xdr:to>
    <xdr:sp macro="IrRegistros" textlink="">
      <xdr:nvSpPr>
        <xdr:cNvPr id="17" name="tile_reg">
          <a:extLst>
            <a:ext uri="{FF2B5EF4-FFF2-40B4-BE49-F238E27FC236}">
              <a16:creationId xmlns:a16="http://schemas.microsoft.com/office/drawing/2014/main" id="{EA6F16DB-AEC0-C58D-8798-B5079298E866}"/>
            </a:ext>
          </a:extLst>
        </xdr:cNvPr>
        <xdr:cNvSpPr/>
      </xdr:nvSpPr>
      <xdr:spPr>
        <a:xfrm>
          <a:off x="5666740" y="31750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Repetições e calibração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aparecem marcadas no gráfico</a:t>
          </a:r>
        </a:p>
      </xdr:txBody>
    </xdr:sp>
    <xdr:clientData/>
  </xdr:twoCellAnchor>
  <xdr:twoCellAnchor editAs="absolute">
    <xdr:from>
      <xdr:col>6</xdr:col>
      <xdr:colOff>647700</xdr:colOff>
      <xdr:row>14</xdr:row>
      <xdr:rowOff>165100</xdr:rowOff>
    </xdr:from>
    <xdr:to>
      <xdr:col>10</xdr:col>
      <xdr:colOff>386080</xdr:colOff>
      <xdr:row>17</xdr:row>
      <xdr:rowOff>177800</xdr:rowOff>
    </xdr:to>
    <xdr:sp macro="IrEQA" textlink="">
      <xdr:nvSpPr>
        <xdr:cNvPr id="18" name="tile_eqa">
          <a:extLst>
            <a:ext uri="{FF2B5EF4-FFF2-40B4-BE49-F238E27FC236}">
              <a16:creationId xmlns:a16="http://schemas.microsoft.com/office/drawing/2014/main" id="{0E08D0D9-3AF9-46F7-78A5-F58EA1B19B64}"/>
            </a:ext>
          </a:extLst>
        </xdr:cNvPr>
        <xdr:cNvSpPr/>
      </xdr:nvSpPr>
      <xdr:spPr>
        <a:xfrm>
          <a:off x="8397240" y="3175000"/>
          <a:ext cx="2603500" cy="5842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Controle externo (EQA)
</a:t>
          </a:r>
          <a:r>
            <a:rPr lang="pt-BR" sz="800" b="0">
              <a:solidFill>
                <a:srgbClr val="FFFFFF"/>
              </a:solidFill>
              <a:latin typeface="Segoe UI" panose="020B0502040204020203" pitchFamily="34" charset="0"/>
            </a:rPr>
            <a:t>rodadas CAP / Controllab, SDI e bias</a:t>
          </a:r>
        </a:p>
      </xdr:txBody>
    </xdr:sp>
    <xdr:clientData/>
  </xdr:twoCellAnchor>
  <xdr:twoCellAnchor editAs="absolute">
    <xdr:from>
      <xdr:col>1</xdr:col>
      <xdr:colOff>0</xdr:colOff>
      <xdr:row>33</xdr:row>
      <xdr:rowOff>50800</xdr:rowOff>
    </xdr:from>
    <xdr:to>
      <xdr:col>2</xdr:col>
      <xdr:colOff>81280</xdr:colOff>
      <xdr:row>34</xdr:row>
      <xdr:rowOff>71120</xdr:rowOff>
    </xdr:to>
    <xdr:sp macro="AlternarGuias" textlink="">
      <xdr:nvSpPr>
        <xdr:cNvPr id="19" name="tile_guias">
          <a:extLst>
            <a:ext uri="{FF2B5EF4-FFF2-40B4-BE49-F238E27FC236}">
              <a16:creationId xmlns:a16="http://schemas.microsoft.com/office/drawing/2014/main" id="{75C6C5BF-EC9C-2F9F-4AD3-75D567A8169C}"/>
            </a:ext>
          </a:extLst>
        </xdr:cNvPr>
        <xdr:cNvSpPr/>
      </xdr:nvSpPr>
      <xdr:spPr>
        <a:xfrm>
          <a:off x="205740" y="7274560"/>
          <a:ext cx="2413000" cy="203200"/>
        </a:xfrm>
        <a:prstGeom prst="roundRect">
          <a:avLst>
            <a:gd name="adj" fmla="val 25000"/>
          </a:avLst>
        </a:prstGeom>
        <a:solidFill>
          <a:srgbClr val="EDF6F4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700" b="0">
              <a:solidFill>
                <a:srgbClr val="1F6F6B"/>
              </a:solidFill>
              <a:latin typeface="Segoe UI" panose="020B0502040204020203" pitchFamily="34" charset="0"/>
            </a:rPr>
            <a:t>mostrar/ocultar guias das planilhas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1606370</xdr:colOff>
      <xdr:row>0</xdr:row>
      <xdr:rowOff>134620</xdr:rowOff>
    </xdr:from>
    <xdr:to>
      <xdr:col>2</xdr:col>
      <xdr:colOff>768170</xdr:colOff>
      <xdr:row>0</xdr:row>
      <xdr:rowOff>375920</xdr:rowOff>
    </xdr:to>
    <xdr:sp macro="NovoLote" textlink="">
      <xdr:nvSpPr>
        <xdr:cNvPr id="22" name="nav_novolote">
          <a:extLst>
            <a:ext uri="{FF2B5EF4-FFF2-40B4-BE49-F238E27FC236}">
              <a16:creationId xmlns:a16="http://schemas.microsoft.com/office/drawing/2014/main" id="{1A9F0043-C1B8-E520-03DB-B20C38E0C82E}"/>
            </a:ext>
          </a:extLst>
        </xdr:cNvPr>
        <xdr:cNvSpPr/>
      </xdr:nvSpPr>
      <xdr:spPr>
        <a:xfrm>
          <a:off x="1812110" y="134620"/>
          <a:ext cx="1219200" cy="241300"/>
        </a:xfrm>
        <a:prstGeom prst="roundRect">
          <a:avLst>
            <a:gd name="adj" fmla="val 25000"/>
          </a:avLst>
        </a:prstGeom>
        <a:solidFill>
          <a:srgbClr val="1F6F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Novo lote</a:t>
          </a:r>
        </a:p>
      </xdr:txBody>
    </xdr:sp>
    <xdr:clientData/>
  </xdr:twoCellAnchor>
  <xdr:twoCellAnchor editAs="absolute">
    <xdr:from>
      <xdr:col>2</xdr:col>
      <xdr:colOff>869770</xdr:colOff>
      <xdr:row>0</xdr:row>
      <xdr:rowOff>134620</xdr:rowOff>
    </xdr:from>
    <xdr:to>
      <xdr:col>2</xdr:col>
      <xdr:colOff>1707970</xdr:colOff>
      <xdr:row>0</xdr:row>
      <xdr:rowOff>375920</xdr:rowOff>
    </xdr:to>
    <xdr:sp macro="IrInicio" textlink="">
      <xdr:nvSpPr>
        <xdr:cNvPr id="23" name="nav_inicio">
          <a:extLst>
            <a:ext uri="{FF2B5EF4-FFF2-40B4-BE49-F238E27FC236}">
              <a16:creationId xmlns:a16="http://schemas.microsoft.com/office/drawing/2014/main" id="{5C1D0589-BB07-57D3-78CB-E46A8D14A7B0}"/>
            </a:ext>
          </a:extLst>
        </xdr:cNvPr>
        <xdr:cNvSpPr/>
      </xdr:nvSpPr>
      <xdr:spPr>
        <a:xfrm>
          <a:off x="31329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2</xdr:col>
      <xdr:colOff>1746070</xdr:colOff>
      <xdr:row>0</xdr:row>
      <xdr:rowOff>134620</xdr:rowOff>
    </xdr:from>
    <xdr:to>
      <xdr:col>2</xdr:col>
      <xdr:colOff>2584270</xdr:colOff>
      <xdr:row>0</xdr:row>
      <xdr:rowOff>375920</xdr:rowOff>
    </xdr:to>
    <xdr:sp macro="IrPainel" textlink="">
      <xdr:nvSpPr>
        <xdr:cNvPr id="24" name="nav_painel">
          <a:extLst>
            <a:ext uri="{FF2B5EF4-FFF2-40B4-BE49-F238E27FC236}">
              <a16:creationId xmlns:a16="http://schemas.microsoft.com/office/drawing/2014/main" id="{4006CE3A-AD6F-B37C-13C0-6EC04872BF6C}"/>
            </a:ext>
          </a:extLst>
        </xdr:cNvPr>
        <xdr:cNvSpPr/>
      </xdr:nvSpPr>
      <xdr:spPr>
        <a:xfrm>
          <a:off x="40092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2</xdr:col>
      <xdr:colOff>2622370</xdr:colOff>
      <xdr:row>0</xdr:row>
      <xdr:rowOff>134620</xdr:rowOff>
    </xdr:from>
    <xdr:to>
      <xdr:col>3</xdr:col>
      <xdr:colOff>443050</xdr:colOff>
      <xdr:row>0</xdr:row>
      <xdr:rowOff>375920</xdr:rowOff>
    </xdr:to>
    <xdr:sp macro="IrLancar" textlink="">
      <xdr:nvSpPr>
        <xdr:cNvPr id="25" name="nav_lancar">
          <a:extLst>
            <a:ext uri="{FF2B5EF4-FFF2-40B4-BE49-F238E27FC236}">
              <a16:creationId xmlns:a16="http://schemas.microsoft.com/office/drawing/2014/main" id="{6A366295-DB2F-E465-B3D3-311581F6C3A3}"/>
            </a:ext>
          </a:extLst>
        </xdr:cNvPr>
        <xdr:cNvSpPr/>
      </xdr:nvSpPr>
      <xdr:spPr>
        <a:xfrm>
          <a:off x="48855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3</xdr:col>
      <xdr:colOff>481150</xdr:colOff>
      <xdr:row>0</xdr:row>
      <xdr:rowOff>134620</xdr:rowOff>
    </xdr:from>
    <xdr:to>
      <xdr:col>7</xdr:col>
      <xdr:colOff>84910</xdr:colOff>
      <xdr:row>0</xdr:row>
      <xdr:rowOff>375920</xdr:rowOff>
    </xdr:to>
    <xdr:sp macro="IrAnalitos" textlink="">
      <xdr:nvSpPr>
        <xdr:cNvPr id="26" name="nav_analitos">
          <a:extLst>
            <a:ext uri="{FF2B5EF4-FFF2-40B4-BE49-F238E27FC236}">
              <a16:creationId xmlns:a16="http://schemas.microsoft.com/office/drawing/2014/main" id="{213808EF-78C5-2EDB-0541-6B91525E04C0}"/>
            </a:ext>
          </a:extLst>
        </xdr:cNvPr>
        <xdr:cNvSpPr/>
      </xdr:nvSpPr>
      <xdr:spPr>
        <a:xfrm>
          <a:off x="57618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7</xdr:col>
      <xdr:colOff>123010</xdr:colOff>
      <xdr:row>0</xdr:row>
      <xdr:rowOff>134620</xdr:rowOff>
    </xdr:from>
    <xdr:to>
      <xdr:col>8</xdr:col>
      <xdr:colOff>351610</xdr:colOff>
      <xdr:row>0</xdr:row>
      <xdr:rowOff>375920</xdr:rowOff>
    </xdr:to>
    <xdr:sp macro="IrLotes" textlink="">
      <xdr:nvSpPr>
        <xdr:cNvPr id="27" name="nav_lotes">
          <a:extLst>
            <a:ext uri="{FF2B5EF4-FFF2-40B4-BE49-F238E27FC236}">
              <a16:creationId xmlns:a16="http://schemas.microsoft.com/office/drawing/2014/main" id="{CFAA78DA-AFC4-9B07-7E6E-BECA4A4BC9E0}"/>
            </a:ext>
          </a:extLst>
        </xdr:cNvPr>
        <xdr:cNvSpPr/>
      </xdr:nvSpPr>
      <xdr:spPr>
        <a:xfrm>
          <a:off x="6638110" y="1346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8</xdr:col>
      <xdr:colOff>389710</xdr:colOff>
      <xdr:row>0</xdr:row>
      <xdr:rowOff>134620</xdr:rowOff>
    </xdr:from>
    <xdr:to>
      <xdr:col>10</xdr:col>
      <xdr:colOff>8710</xdr:colOff>
      <xdr:row>0</xdr:row>
      <xdr:rowOff>375920</xdr:rowOff>
    </xdr:to>
    <xdr:sp macro="IrEstatistica" textlink="">
      <xdr:nvSpPr>
        <xdr:cNvPr id="28" name="nav_estat">
          <a:extLst>
            <a:ext uri="{FF2B5EF4-FFF2-40B4-BE49-F238E27FC236}">
              <a16:creationId xmlns:a16="http://schemas.microsoft.com/office/drawing/2014/main" id="{404E12F8-EF42-176D-3B58-73D124D65865}"/>
            </a:ext>
          </a:extLst>
        </xdr:cNvPr>
        <xdr:cNvSpPr/>
      </xdr:nvSpPr>
      <xdr:spPr>
        <a:xfrm>
          <a:off x="75144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10</xdr:col>
      <xdr:colOff>46810</xdr:colOff>
      <xdr:row>0</xdr:row>
      <xdr:rowOff>134620</xdr:rowOff>
    </xdr:from>
    <xdr:to>
      <xdr:col>11</xdr:col>
      <xdr:colOff>275410</xdr:colOff>
      <xdr:row>0</xdr:row>
      <xdr:rowOff>375920</xdr:rowOff>
    </xdr:to>
    <xdr:sp macro="IrLiberacao" textlink="">
      <xdr:nvSpPr>
        <xdr:cNvPr id="29" name="nav_liber">
          <a:extLst>
            <a:ext uri="{FF2B5EF4-FFF2-40B4-BE49-F238E27FC236}">
              <a16:creationId xmlns:a16="http://schemas.microsoft.com/office/drawing/2014/main" id="{7279CE46-098D-B2CE-D6E1-E58865AC55DB}"/>
            </a:ext>
          </a:extLst>
        </xdr:cNvPr>
        <xdr:cNvSpPr/>
      </xdr:nvSpPr>
      <xdr:spPr>
        <a:xfrm>
          <a:off x="83907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11</xdr:col>
      <xdr:colOff>313510</xdr:colOff>
      <xdr:row>0</xdr:row>
      <xdr:rowOff>134620</xdr:rowOff>
    </xdr:from>
    <xdr:to>
      <xdr:col>12</xdr:col>
      <xdr:colOff>542110</xdr:colOff>
      <xdr:row>0</xdr:row>
      <xdr:rowOff>375920</xdr:rowOff>
    </xdr:to>
    <xdr:sp macro="IrRegistros" textlink="">
      <xdr:nvSpPr>
        <xdr:cNvPr id="30" name="nav_reg">
          <a:extLst>
            <a:ext uri="{FF2B5EF4-FFF2-40B4-BE49-F238E27FC236}">
              <a16:creationId xmlns:a16="http://schemas.microsoft.com/office/drawing/2014/main" id="{AC64EC94-0DC4-1081-DFC2-E39D9FA3440E}"/>
            </a:ext>
          </a:extLst>
        </xdr:cNvPr>
        <xdr:cNvSpPr/>
      </xdr:nvSpPr>
      <xdr:spPr>
        <a:xfrm>
          <a:off x="92670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12</xdr:col>
      <xdr:colOff>580210</xdr:colOff>
      <xdr:row>0</xdr:row>
      <xdr:rowOff>134620</xdr:rowOff>
    </xdr:from>
    <xdr:to>
      <xdr:col>14</xdr:col>
      <xdr:colOff>199210</xdr:colOff>
      <xdr:row>0</xdr:row>
      <xdr:rowOff>375920</xdr:rowOff>
    </xdr:to>
    <xdr:sp macro="IrEventos" textlink="">
      <xdr:nvSpPr>
        <xdr:cNvPr id="31" name="nav_eventos">
          <a:extLst>
            <a:ext uri="{FF2B5EF4-FFF2-40B4-BE49-F238E27FC236}">
              <a16:creationId xmlns:a16="http://schemas.microsoft.com/office/drawing/2014/main" id="{34A69FC7-4D24-EDCC-4B58-1C5BD4896EBF}"/>
            </a:ext>
          </a:extLst>
        </xdr:cNvPr>
        <xdr:cNvSpPr/>
      </xdr:nvSpPr>
      <xdr:spPr>
        <a:xfrm>
          <a:off x="1014331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  <xdr:twoCellAnchor editAs="absolute">
    <xdr:from>
      <xdr:col>4</xdr:col>
      <xdr:colOff>76200</xdr:colOff>
      <xdr:row>21</xdr:row>
      <xdr:rowOff>157480</xdr:rowOff>
    </xdr:from>
    <xdr:to>
      <xdr:col>8</xdr:col>
      <xdr:colOff>411480</xdr:colOff>
      <xdr:row>23</xdr:row>
      <xdr:rowOff>30480</xdr:rowOff>
    </xdr:to>
    <xdr:sp macro="NovoLote" textlink="">
      <xdr:nvSpPr>
        <xdr:cNvPr id="32" name="nav_novolote2">
          <a:extLst>
            <a:ext uri="{FF2B5EF4-FFF2-40B4-BE49-F238E27FC236}">
              <a16:creationId xmlns:a16="http://schemas.microsoft.com/office/drawing/2014/main" id="{57977AC7-8DC1-3B50-1D05-309590713BA7}"/>
            </a:ext>
          </a:extLst>
        </xdr:cNvPr>
        <xdr:cNvSpPr/>
      </xdr:nvSpPr>
      <xdr:spPr>
        <a:xfrm>
          <a:off x="6316980" y="4424680"/>
          <a:ext cx="1219200" cy="254000"/>
        </a:xfrm>
        <a:prstGeom prst="roundRect">
          <a:avLst>
            <a:gd name="adj" fmla="val 25000"/>
          </a:avLst>
        </a:prstGeom>
        <a:solidFill>
          <a:srgbClr val="1F6F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+ Novo lote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375636</xdr:colOff>
      <xdr:row>0</xdr:row>
      <xdr:rowOff>134620</xdr:rowOff>
    </xdr:from>
    <xdr:to>
      <xdr:col>9</xdr:col>
      <xdr:colOff>291816</xdr:colOff>
      <xdr:row>0</xdr:row>
      <xdr:rowOff>375920</xdr:rowOff>
    </xdr:to>
    <xdr:sp macro="IrLotePainel" textlink="">
      <xdr:nvSpPr>
        <xdr:cNvPr id="21" name="nav_trocarlote">
          <a:extLst>
            <a:ext uri="{FF2B5EF4-FFF2-40B4-BE49-F238E27FC236}">
              <a16:creationId xmlns:a16="http://schemas.microsoft.com/office/drawing/2014/main" id="{B71F8564-6079-97F4-A7AD-61B889F6637B}"/>
            </a:ext>
          </a:extLst>
        </xdr:cNvPr>
        <xdr:cNvSpPr/>
      </xdr:nvSpPr>
      <xdr:spPr>
        <a:xfrm>
          <a:off x="5176236" y="134620"/>
          <a:ext cx="1219200" cy="241300"/>
        </a:xfrm>
        <a:prstGeom prst="roundRect">
          <a:avLst>
            <a:gd name="adj" fmla="val 25000"/>
          </a:avLst>
        </a:prstGeom>
        <a:solidFill>
          <a:srgbClr val="1F6F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Trocar lote ▸</a:t>
          </a:r>
        </a:p>
      </xdr:txBody>
    </xdr:sp>
    <xdr:clientData/>
  </xdr:twoCellAnchor>
  <xdr:twoCellAnchor editAs="absolute">
    <xdr:from>
      <xdr:col>9</xdr:col>
      <xdr:colOff>393416</xdr:colOff>
      <xdr:row>0</xdr:row>
      <xdr:rowOff>134620</xdr:rowOff>
    </xdr:from>
    <xdr:to>
      <xdr:col>10</xdr:col>
      <xdr:colOff>614396</xdr:colOff>
      <xdr:row>0</xdr:row>
      <xdr:rowOff>375920</xdr:rowOff>
    </xdr:to>
    <xdr:sp macro="IrInicio" textlink="">
      <xdr:nvSpPr>
        <xdr:cNvPr id="22" name="nav_inicio">
          <a:extLst>
            <a:ext uri="{FF2B5EF4-FFF2-40B4-BE49-F238E27FC236}">
              <a16:creationId xmlns:a16="http://schemas.microsoft.com/office/drawing/2014/main" id="{4E609C95-6B51-E2EA-A780-BD2DE22BD6EE}"/>
            </a:ext>
          </a:extLst>
        </xdr:cNvPr>
        <xdr:cNvSpPr/>
      </xdr:nvSpPr>
      <xdr:spPr>
        <a:xfrm>
          <a:off x="64970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10</xdr:col>
      <xdr:colOff>652496</xdr:colOff>
      <xdr:row>0</xdr:row>
      <xdr:rowOff>134620</xdr:rowOff>
    </xdr:from>
    <xdr:to>
      <xdr:col>12</xdr:col>
      <xdr:colOff>187676</xdr:colOff>
      <xdr:row>0</xdr:row>
      <xdr:rowOff>375920</xdr:rowOff>
    </xdr:to>
    <xdr:sp macro="IrPainel" textlink="">
      <xdr:nvSpPr>
        <xdr:cNvPr id="23" name="nav_painel">
          <a:extLst>
            <a:ext uri="{FF2B5EF4-FFF2-40B4-BE49-F238E27FC236}">
              <a16:creationId xmlns:a16="http://schemas.microsoft.com/office/drawing/2014/main" id="{E2FF9B3F-E1B7-6898-F67B-10D36F226876}"/>
            </a:ext>
          </a:extLst>
        </xdr:cNvPr>
        <xdr:cNvSpPr/>
      </xdr:nvSpPr>
      <xdr:spPr>
        <a:xfrm>
          <a:off x="73733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12</xdr:col>
      <xdr:colOff>225776</xdr:colOff>
      <xdr:row>0</xdr:row>
      <xdr:rowOff>134620</xdr:rowOff>
    </xdr:from>
    <xdr:to>
      <xdr:col>14</xdr:col>
      <xdr:colOff>103856</xdr:colOff>
      <xdr:row>0</xdr:row>
      <xdr:rowOff>375920</xdr:rowOff>
    </xdr:to>
    <xdr:sp macro="IrLancar" textlink="">
      <xdr:nvSpPr>
        <xdr:cNvPr id="24" name="nav_lancar">
          <a:extLst>
            <a:ext uri="{FF2B5EF4-FFF2-40B4-BE49-F238E27FC236}">
              <a16:creationId xmlns:a16="http://schemas.microsoft.com/office/drawing/2014/main" id="{B3C90918-5898-5046-37EB-60629C46AD54}"/>
            </a:ext>
          </a:extLst>
        </xdr:cNvPr>
        <xdr:cNvSpPr/>
      </xdr:nvSpPr>
      <xdr:spPr>
        <a:xfrm>
          <a:off x="82496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14</xdr:col>
      <xdr:colOff>141956</xdr:colOff>
      <xdr:row>0</xdr:row>
      <xdr:rowOff>134620</xdr:rowOff>
    </xdr:from>
    <xdr:to>
      <xdr:col>15</xdr:col>
      <xdr:colOff>431516</xdr:colOff>
      <xdr:row>0</xdr:row>
      <xdr:rowOff>375920</xdr:rowOff>
    </xdr:to>
    <xdr:sp macro="IrAnalitos" textlink="">
      <xdr:nvSpPr>
        <xdr:cNvPr id="25" name="nav_analitos">
          <a:extLst>
            <a:ext uri="{FF2B5EF4-FFF2-40B4-BE49-F238E27FC236}">
              <a16:creationId xmlns:a16="http://schemas.microsoft.com/office/drawing/2014/main" id="{F604D821-4638-712B-40BC-F059D230BE3B}"/>
            </a:ext>
          </a:extLst>
        </xdr:cNvPr>
        <xdr:cNvSpPr/>
      </xdr:nvSpPr>
      <xdr:spPr>
        <a:xfrm>
          <a:off x="9125936" y="1346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15</xdr:col>
      <xdr:colOff>469616</xdr:colOff>
      <xdr:row>0</xdr:row>
      <xdr:rowOff>134620</xdr:rowOff>
    </xdr:from>
    <xdr:to>
      <xdr:col>16</xdr:col>
      <xdr:colOff>622016</xdr:colOff>
      <xdr:row>0</xdr:row>
      <xdr:rowOff>375920</xdr:rowOff>
    </xdr:to>
    <xdr:sp macro="IrLotes" textlink="">
      <xdr:nvSpPr>
        <xdr:cNvPr id="26" name="nav_lotes">
          <a:extLst>
            <a:ext uri="{FF2B5EF4-FFF2-40B4-BE49-F238E27FC236}">
              <a16:creationId xmlns:a16="http://schemas.microsoft.com/office/drawing/2014/main" id="{40E442C0-3F31-E526-0C82-13B18FA8C38C}"/>
            </a:ext>
          </a:extLst>
        </xdr:cNvPr>
        <xdr:cNvSpPr/>
      </xdr:nvSpPr>
      <xdr:spPr>
        <a:xfrm>
          <a:off x="100022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16</xdr:col>
      <xdr:colOff>660116</xdr:colOff>
      <xdr:row>0</xdr:row>
      <xdr:rowOff>134620</xdr:rowOff>
    </xdr:from>
    <xdr:to>
      <xdr:col>18</xdr:col>
      <xdr:colOff>58136</xdr:colOff>
      <xdr:row>0</xdr:row>
      <xdr:rowOff>375920</xdr:rowOff>
    </xdr:to>
    <xdr:sp macro="IrEstatistica" textlink="">
      <xdr:nvSpPr>
        <xdr:cNvPr id="27" name="nav_estat">
          <a:extLst>
            <a:ext uri="{FF2B5EF4-FFF2-40B4-BE49-F238E27FC236}">
              <a16:creationId xmlns:a16="http://schemas.microsoft.com/office/drawing/2014/main" id="{D66DD574-EFCF-7EA9-9D86-A37041BB6DB0}"/>
            </a:ext>
          </a:extLst>
        </xdr:cNvPr>
        <xdr:cNvSpPr/>
      </xdr:nvSpPr>
      <xdr:spPr>
        <a:xfrm>
          <a:off x="108785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18</xdr:col>
      <xdr:colOff>96236</xdr:colOff>
      <xdr:row>0</xdr:row>
      <xdr:rowOff>134620</xdr:rowOff>
    </xdr:from>
    <xdr:to>
      <xdr:col>19</xdr:col>
      <xdr:colOff>180056</xdr:colOff>
      <xdr:row>0</xdr:row>
      <xdr:rowOff>375920</xdr:rowOff>
    </xdr:to>
    <xdr:sp macro="IrLiberacao" textlink="">
      <xdr:nvSpPr>
        <xdr:cNvPr id="28" name="nav_liber">
          <a:extLst>
            <a:ext uri="{FF2B5EF4-FFF2-40B4-BE49-F238E27FC236}">
              <a16:creationId xmlns:a16="http://schemas.microsoft.com/office/drawing/2014/main" id="{D0E462B5-C923-30F3-4817-1261D1DB4F63}"/>
            </a:ext>
          </a:extLst>
        </xdr:cNvPr>
        <xdr:cNvSpPr/>
      </xdr:nvSpPr>
      <xdr:spPr>
        <a:xfrm>
          <a:off x="117548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19</xdr:col>
      <xdr:colOff>218156</xdr:colOff>
      <xdr:row>0</xdr:row>
      <xdr:rowOff>134620</xdr:rowOff>
    </xdr:from>
    <xdr:to>
      <xdr:col>20</xdr:col>
      <xdr:colOff>370556</xdr:colOff>
      <xdr:row>0</xdr:row>
      <xdr:rowOff>375920</xdr:rowOff>
    </xdr:to>
    <xdr:sp macro="IrRegistros" textlink="">
      <xdr:nvSpPr>
        <xdr:cNvPr id="29" name="nav_reg">
          <a:extLst>
            <a:ext uri="{FF2B5EF4-FFF2-40B4-BE49-F238E27FC236}">
              <a16:creationId xmlns:a16="http://schemas.microsoft.com/office/drawing/2014/main" id="{A49E40F7-2C8C-079C-A6BE-AA300F6B4369}"/>
            </a:ext>
          </a:extLst>
        </xdr:cNvPr>
        <xdr:cNvSpPr/>
      </xdr:nvSpPr>
      <xdr:spPr>
        <a:xfrm>
          <a:off x="126311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20</xdr:col>
      <xdr:colOff>408656</xdr:colOff>
      <xdr:row>0</xdr:row>
      <xdr:rowOff>134620</xdr:rowOff>
    </xdr:from>
    <xdr:to>
      <xdr:col>22</xdr:col>
      <xdr:colOff>27656</xdr:colOff>
      <xdr:row>0</xdr:row>
      <xdr:rowOff>375920</xdr:rowOff>
    </xdr:to>
    <xdr:sp macro="IrEventos" textlink="">
      <xdr:nvSpPr>
        <xdr:cNvPr id="30" name="nav_eventos">
          <a:extLst>
            <a:ext uri="{FF2B5EF4-FFF2-40B4-BE49-F238E27FC236}">
              <a16:creationId xmlns:a16="http://schemas.microsoft.com/office/drawing/2014/main" id="{0C93382E-4F13-629F-1DC0-70C2F1E6349F}"/>
            </a:ext>
          </a:extLst>
        </xdr:cNvPr>
        <xdr:cNvSpPr/>
      </xdr:nvSpPr>
      <xdr:spPr>
        <a:xfrm>
          <a:off x="1350743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388620</xdr:rowOff>
        </xdr:from>
        <xdr:to>
          <xdr:col>8</xdr:col>
          <xdr:colOff>937260</xdr:colOff>
          <xdr:row>2</xdr:row>
          <xdr:rowOff>22860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20</xdr:col>
      <xdr:colOff>1552304</xdr:colOff>
      <xdr:row>19</xdr:row>
      <xdr:rowOff>57429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19</xdr:row>
      <xdr:rowOff>0</xdr:rowOff>
    </xdr:from>
    <xdr:to>
      <xdr:col>20</xdr:col>
      <xdr:colOff>1552304</xdr:colOff>
      <xdr:row>29</xdr:row>
      <xdr:rowOff>57428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29</xdr:row>
      <xdr:rowOff>0</xdr:rowOff>
    </xdr:from>
    <xdr:to>
      <xdr:col>20</xdr:col>
      <xdr:colOff>1552304</xdr:colOff>
      <xdr:row>39</xdr:row>
      <xdr:rowOff>57429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20683</xdr:colOff>
          <xdr:row>2</xdr:row>
          <xdr:rowOff>0</xdr:rowOff>
        </xdr:from>
        <xdr:to>
          <xdr:col>4</xdr:col>
          <xdr:colOff>279763</xdr:colOff>
          <xdr:row>4</xdr:row>
          <xdr:rowOff>8709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20</xdr:col>
      <xdr:colOff>1323704</xdr:colOff>
      <xdr:row>0</xdr:row>
      <xdr:rowOff>25400</xdr:rowOff>
    </xdr:from>
    <xdr:to>
      <xdr:col>20</xdr:col>
      <xdr:colOff>1501504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19568161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17</xdr:col>
      <xdr:colOff>462643</xdr:colOff>
      <xdr:row>3</xdr:row>
      <xdr:rowOff>173446</xdr:rowOff>
    </xdr:from>
    <xdr:to>
      <xdr:col>20</xdr:col>
      <xdr:colOff>1501504</xdr:colOff>
      <xdr:row>4</xdr:row>
      <xdr:rowOff>178889</xdr:rowOff>
    </xdr:to>
    <xdr:sp macro="AbrirEventosWestgard" textlink="">
      <xdr:nvSpPr>
        <xdr:cNvPr id="6" name="btnHist">
          <a:extLst>
            <a:ext uri="{FF2B5EF4-FFF2-40B4-BE49-F238E27FC236}">
              <a16:creationId xmlns:a16="http://schemas.microsoft.com/office/drawing/2014/main" id="{7C18A9A6-2F64-DD70-61B6-8BBE2DA511B9}"/>
            </a:ext>
          </a:extLst>
        </xdr:cNvPr>
        <xdr:cNvSpPr/>
      </xdr:nvSpPr>
      <xdr:spPr>
        <a:xfrm>
          <a:off x="15659100" y="1153160"/>
          <a:ext cx="4086861" cy="1905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Histórico auditável dos eventos ▸</a:t>
          </a:r>
        </a:p>
      </xdr:txBody>
    </xdr:sp>
    <xdr:clientData/>
  </xdr:twoCellAnchor>
  <xdr:twoCellAnchor editAs="absolute">
    <xdr:from>
      <xdr:col>9</xdr:col>
      <xdr:colOff>654231</xdr:colOff>
      <xdr:row>0</xdr:row>
      <xdr:rowOff>134620</xdr:rowOff>
    </xdr:from>
    <xdr:to>
      <xdr:col>11</xdr:col>
      <xdr:colOff>538117</xdr:colOff>
      <xdr:row>0</xdr:row>
      <xdr:rowOff>375920</xdr:rowOff>
    </xdr:to>
    <xdr:sp macro="IrParametrosDoAnalito" textlink="">
      <xdr:nvSpPr>
        <xdr:cNvPr id="26" name="nav_mediadp">
          <a:extLst>
            <a:ext uri="{FF2B5EF4-FFF2-40B4-BE49-F238E27FC236}">
              <a16:creationId xmlns:a16="http://schemas.microsoft.com/office/drawing/2014/main" id="{AC44429B-8BF1-1BF0-7AFF-7F7C994ACD28}"/>
            </a:ext>
          </a:extLst>
        </xdr:cNvPr>
        <xdr:cNvSpPr/>
      </xdr:nvSpPr>
      <xdr:spPr>
        <a:xfrm>
          <a:off x="6423660" y="134620"/>
          <a:ext cx="1625600" cy="241300"/>
        </a:xfrm>
        <a:prstGeom prst="roundRect">
          <a:avLst>
            <a:gd name="adj" fmla="val 25000"/>
          </a:avLst>
        </a:prstGeom>
        <a:solidFill>
          <a:srgbClr val="1F6F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✎ Média/DP deste lote</a:t>
          </a:r>
        </a:p>
      </xdr:txBody>
    </xdr:sp>
    <xdr:clientData/>
  </xdr:twoCellAnchor>
  <xdr:twoCellAnchor editAs="absolute">
    <xdr:from>
      <xdr:col>11</xdr:col>
      <xdr:colOff>639717</xdr:colOff>
      <xdr:row>0</xdr:row>
      <xdr:rowOff>134620</xdr:rowOff>
    </xdr:from>
    <xdr:to>
      <xdr:col>12</xdr:col>
      <xdr:colOff>334917</xdr:colOff>
      <xdr:row>0</xdr:row>
      <xdr:rowOff>375920</xdr:rowOff>
    </xdr:to>
    <xdr:sp macro="IrInicio" textlink="">
      <xdr:nvSpPr>
        <xdr:cNvPr id="27" name="nav_inicio">
          <a:extLst>
            <a:ext uri="{FF2B5EF4-FFF2-40B4-BE49-F238E27FC236}">
              <a16:creationId xmlns:a16="http://schemas.microsoft.com/office/drawing/2014/main" id="{BB60C81D-FD8D-1950-6BCB-CCA6B6C2AB81}"/>
            </a:ext>
          </a:extLst>
        </xdr:cNvPr>
        <xdr:cNvSpPr/>
      </xdr:nvSpPr>
      <xdr:spPr>
        <a:xfrm>
          <a:off x="815086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12</xdr:col>
      <xdr:colOff>373017</xdr:colOff>
      <xdr:row>0</xdr:row>
      <xdr:rowOff>134620</xdr:rowOff>
    </xdr:from>
    <xdr:to>
      <xdr:col>13</xdr:col>
      <xdr:colOff>133531</xdr:colOff>
      <xdr:row>0</xdr:row>
      <xdr:rowOff>375920</xdr:rowOff>
    </xdr:to>
    <xdr:sp macro="IrPainel" textlink="">
      <xdr:nvSpPr>
        <xdr:cNvPr id="28" name="nav_painel">
          <a:extLst>
            <a:ext uri="{FF2B5EF4-FFF2-40B4-BE49-F238E27FC236}">
              <a16:creationId xmlns:a16="http://schemas.microsoft.com/office/drawing/2014/main" id="{461EA83B-5D0B-DD6B-EF45-1F0970FFD17F}"/>
            </a:ext>
          </a:extLst>
        </xdr:cNvPr>
        <xdr:cNvSpPr/>
      </xdr:nvSpPr>
      <xdr:spPr>
        <a:xfrm>
          <a:off x="9027160" y="1346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13</xdr:col>
      <xdr:colOff>171631</xdr:colOff>
      <xdr:row>0</xdr:row>
      <xdr:rowOff>134620</xdr:rowOff>
    </xdr:from>
    <xdr:to>
      <xdr:col>14</xdr:col>
      <xdr:colOff>73660</xdr:colOff>
      <xdr:row>0</xdr:row>
      <xdr:rowOff>375920</xdr:rowOff>
    </xdr:to>
    <xdr:sp macro="IrLancar" textlink="">
      <xdr:nvSpPr>
        <xdr:cNvPr id="29" name="nav_lancar">
          <a:extLst>
            <a:ext uri="{FF2B5EF4-FFF2-40B4-BE49-F238E27FC236}">
              <a16:creationId xmlns:a16="http://schemas.microsoft.com/office/drawing/2014/main" id="{6EBB3E0B-17A8-D056-DB99-EFF171F2D921}"/>
            </a:ext>
          </a:extLst>
        </xdr:cNvPr>
        <xdr:cNvSpPr/>
      </xdr:nvSpPr>
      <xdr:spPr>
        <a:xfrm>
          <a:off x="990346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14</xdr:col>
      <xdr:colOff>111760</xdr:colOff>
      <xdr:row>0</xdr:row>
      <xdr:rowOff>134620</xdr:rowOff>
    </xdr:from>
    <xdr:to>
      <xdr:col>14</xdr:col>
      <xdr:colOff>949960</xdr:colOff>
      <xdr:row>0</xdr:row>
      <xdr:rowOff>375920</xdr:rowOff>
    </xdr:to>
    <xdr:sp macro="IrAnalitos" textlink="">
      <xdr:nvSpPr>
        <xdr:cNvPr id="30" name="nav_analitos">
          <a:extLst>
            <a:ext uri="{FF2B5EF4-FFF2-40B4-BE49-F238E27FC236}">
              <a16:creationId xmlns:a16="http://schemas.microsoft.com/office/drawing/2014/main" id="{79266D44-E687-2D32-355D-CBC19BBC97B2}"/>
            </a:ext>
          </a:extLst>
        </xdr:cNvPr>
        <xdr:cNvSpPr/>
      </xdr:nvSpPr>
      <xdr:spPr>
        <a:xfrm>
          <a:off x="1077976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14</xdr:col>
      <xdr:colOff>988060</xdr:colOff>
      <xdr:row>0</xdr:row>
      <xdr:rowOff>134620</xdr:rowOff>
    </xdr:from>
    <xdr:to>
      <xdr:col>15</xdr:col>
      <xdr:colOff>269603</xdr:colOff>
      <xdr:row>0</xdr:row>
      <xdr:rowOff>375920</xdr:rowOff>
    </xdr:to>
    <xdr:sp macro="IrLotes" textlink="">
      <xdr:nvSpPr>
        <xdr:cNvPr id="31" name="nav_lotes">
          <a:extLst>
            <a:ext uri="{FF2B5EF4-FFF2-40B4-BE49-F238E27FC236}">
              <a16:creationId xmlns:a16="http://schemas.microsoft.com/office/drawing/2014/main" id="{05EF9179-22A7-1D08-9CCA-A25F670797A5}"/>
            </a:ext>
          </a:extLst>
        </xdr:cNvPr>
        <xdr:cNvSpPr/>
      </xdr:nvSpPr>
      <xdr:spPr>
        <a:xfrm>
          <a:off x="1165606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15</xdr:col>
      <xdr:colOff>307703</xdr:colOff>
      <xdr:row>0</xdr:row>
      <xdr:rowOff>134620</xdr:rowOff>
    </xdr:from>
    <xdr:to>
      <xdr:col>15</xdr:col>
      <xdr:colOff>1145904</xdr:colOff>
      <xdr:row>0</xdr:row>
      <xdr:rowOff>375920</xdr:rowOff>
    </xdr:to>
    <xdr:sp macro="IrEstatistica" textlink="">
      <xdr:nvSpPr>
        <xdr:cNvPr id="32" name="nav_estat">
          <a:extLst>
            <a:ext uri="{FF2B5EF4-FFF2-40B4-BE49-F238E27FC236}">
              <a16:creationId xmlns:a16="http://schemas.microsoft.com/office/drawing/2014/main" id="{929DA7B9-7DF1-8AFE-E6F3-6CE6103BF9F5}"/>
            </a:ext>
          </a:extLst>
        </xdr:cNvPr>
        <xdr:cNvSpPr/>
      </xdr:nvSpPr>
      <xdr:spPr>
        <a:xfrm>
          <a:off x="12532360" y="134620"/>
          <a:ext cx="838201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15</xdr:col>
      <xdr:colOff>1184004</xdr:colOff>
      <xdr:row>0</xdr:row>
      <xdr:rowOff>134620</xdr:rowOff>
    </xdr:from>
    <xdr:to>
      <xdr:col>16</xdr:col>
      <xdr:colOff>334918</xdr:colOff>
      <xdr:row>0</xdr:row>
      <xdr:rowOff>375920</xdr:rowOff>
    </xdr:to>
    <xdr:sp macro="IrLiberacao" textlink="">
      <xdr:nvSpPr>
        <xdr:cNvPr id="33" name="nav_liber">
          <a:extLst>
            <a:ext uri="{FF2B5EF4-FFF2-40B4-BE49-F238E27FC236}">
              <a16:creationId xmlns:a16="http://schemas.microsoft.com/office/drawing/2014/main" id="{29790B0A-D2A2-97B1-57F8-5710D636C115}"/>
            </a:ext>
          </a:extLst>
        </xdr:cNvPr>
        <xdr:cNvSpPr/>
      </xdr:nvSpPr>
      <xdr:spPr>
        <a:xfrm>
          <a:off x="13408661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16</xdr:col>
      <xdr:colOff>373018</xdr:colOff>
      <xdr:row>0</xdr:row>
      <xdr:rowOff>134620</xdr:rowOff>
    </xdr:from>
    <xdr:to>
      <xdr:col>16</xdr:col>
      <xdr:colOff>1211218</xdr:colOff>
      <xdr:row>0</xdr:row>
      <xdr:rowOff>375920</xdr:rowOff>
    </xdr:to>
    <xdr:sp macro="IrRegistros" textlink="">
      <xdr:nvSpPr>
        <xdr:cNvPr id="34" name="nav_reg">
          <a:extLst>
            <a:ext uri="{FF2B5EF4-FFF2-40B4-BE49-F238E27FC236}">
              <a16:creationId xmlns:a16="http://schemas.microsoft.com/office/drawing/2014/main" id="{08A2655F-9AE7-B86A-2632-90A6ABBEEBED}"/>
            </a:ext>
          </a:extLst>
        </xdr:cNvPr>
        <xdr:cNvSpPr/>
      </xdr:nvSpPr>
      <xdr:spPr>
        <a:xfrm>
          <a:off x="14284961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16</xdr:col>
      <xdr:colOff>1249318</xdr:colOff>
      <xdr:row>0</xdr:row>
      <xdr:rowOff>134620</xdr:rowOff>
    </xdr:from>
    <xdr:to>
      <xdr:col>18</xdr:col>
      <xdr:colOff>324032</xdr:colOff>
      <xdr:row>0</xdr:row>
      <xdr:rowOff>375920</xdr:rowOff>
    </xdr:to>
    <xdr:sp macro="IrEventos" textlink="">
      <xdr:nvSpPr>
        <xdr:cNvPr id="35" name="nav_eventos">
          <a:extLst>
            <a:ext uri="{FF2B5EF4-FFF2-40B4-BE49-F238E27FC236}">
              <a16:creationId xmlns:a16="http://schemas.microsoft.com/office/drawing/2014/main" id="{3609B600-0B1A-03D8-B3C5-F5C7D5E6B6A6}"/>
            </a:ext>
          </a:extLst>
        </xdr:cNvPr>
        <xdr:cNvSpPr/>
      </xdr:nvSpPr>
      <xdr:spPr>
        <a:xfrm>
          <a:off x="15161261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8977</xdr:colOff>
      <xdr:row>0</xdr:row>
      <xdr:rowOff>134620</xdr:rowOff>
    </xdr:from>
    <xdr:to>
      <xdr:col>8</xdr:col>
      <xdr:colOff>847177</xdr:colOff>
      <xdr:row>0</xdr:row>
      <xdr:rowOff>375920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1009077D-AA04-7EF8-E149-8D37214B1FC6}"/>
            </a:ext>
          </a:extLst>
        </xdr:cNvPr>
        <xdr:cNvSpPr/>
      </xdr:nvSpPr>
      <xdr:spPr>
        <a:xfrm>
          <a:off x="58382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8</xdr:col>
      <xdr:colOff>885277</xdr:colOff>
      <xdr:row>0</xdr:row>
      <xdr:rowOff>134620</xdr:rowOff>
    </xdr:from>
    <xdr:to>
      <xdr:col>9</xdr:col>
      <xdr:colOff>831937</xdr:colOff>
      <xdr:row>0</xdr:row>
      <xdr:rowOff>375920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DE7756E8-1274-3CAB-E716-216434F62A91}"/>
            </a:ext>
          </a:extLst>
        </xdr:cNvPr>
        <xdr:cNvSpPr/>
      </xdr:nvSpPr>
      <xdr:spPr>
        <a:xfrm>
          <a:off x="67145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9</xdr:col>
      <xdr:colOff>870037</xdr:colOff>
      <xdr:row>0</xdr:row>
      <xdr:rowOff>134620</xdr:rowOff>
    </xdr:from>
    <xdr:to>
      <xdr:col>9</xdr:col>
      <xdr:colOff>1708237</xdr:colOff>
      <xdr:row>0</xdr:row>
      <xdr:rowOff>375920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BBAAC3FF-4F0F-4F50-F80D-93FC78AA6816}"/>
            </a:ext>
          </a:extLst>
        </xdr:cNvPr>
        <xdr:cNvSpPr/>
      </xdr:nvSpPr>
      <xdr:spPr>
        <a:xfrm>
          <a:off x="75908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9</xdr:col>
      <xdr:colOff>1746337</xdr:colOff>
      <xdr:row>0</xdr:row>
      <xdr:rowOff>134620</xdr:rowOff>
    </xdr:from>
    <xdr:to>
      <xdr:col>10</xdr:col>
      <xdr:colOff>527137</xdr:colOff>
      <xdr:row>0</xdr:row>
      <xdr:rowOff>375920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E5325AAA-A95F-5057-FD57-CEDD238E2B4E}"/>
            </a:ext>
          </a:extLst>
        </xdr:cNvPr>
        <xdr:cNvSpPr/>
      </xdr:nvSpPr>
      <xdr:spPr>
        <a:xfrm>
          <a:off x="84671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10</xdr:col>
      <xdr:colOff>565237</xdr:colOff>
      <xdr:row>0</xdr:row>
      <xdr:rowOff>134620</xdr:rowOff>
    </xdr:from>
    <xdr:to>
      <xdr:col>11</xdr:col>
      <xdr:colOff>168997</xdr:colOff>
      <xdr:row>0</xdr:row>
      <xdr:rowOff>375920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02D95D11-C587-9CC7-F093-58DBEE7EEFDA}"/>
            </a:ext>
          </a:extLst>
        </xdr:cNvPr>
        <xdr:cNvSpPr/>
      </xdr:nvSpPr>
      <xdr:spPr>
        <a:xfrm>
          <a:off x="93434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11</xdr:col>
      <xdr:colOff>207097</xdr:colOff>
      <xdr:row>0</xdr:row>
      <xdr:rowOff>134620</xdr:rowOff>
    </xdr:from>
    <xdr:to>
      <xdr:col>11</xdr:col>
      <xdr:colOff>1045297</xdr:colOff>
      <xdr:row>0</xdr:row>
      <xdr:rowOff>375920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54C04950-DC97-56B4-93B2-78599D4896BF}"/>
            </a:ext>
          </a:extLst>
        </xdr:cNvPr>
        <xdr:cNvSpPr/>
      </xdr:nvSpPr>
      <xdr:spPr>
        <a:xfrm>
          <a:off x="102197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11</xdr:col>
      <xdr:colOff>1083397</xdr:colOff>
      <xdr:row>0</xdr:row>
      <xdr:rowOff>134620</xdr:rowOff>
    </xdr:from>
    <xdr:to>
      <xdr:col>13</xdr:col>
      <xdr:colOff>1357</xdr:colOff>
      <xdr:row>0</xdr:row>
      <xdr:rowOff>375920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CB804E3F-B679-6C9D-EEE0-03E930275B0F}"/>
            </a:ext>
          </a:extLst>
        </xdr:cNvPr>
        <xdr:cNvSpPr/>
      </xdr:nvSpPr>
      <xdr:spPr>
        <a:xfrm>
          <a:off x="11096077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13</xdr:col>
      <xdr:colOff>39457</xdr:colOff>
      <xdr:row>0</xdr:row>
      <xdr:rowOff>134620</xdr:rowOff>
    </xdr:from>
    <xdr:to>
      <xdr:col>14</xdr:col>
      <xdr:colOff>268057</xdr:colOff>
      <xdr:row>0</xdr:row>
      <xdr:rowOff>375920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483E0427-96E5-D7B9-2B62-B1FEFAD21F03}"/>
            </a:ext>
          </a:extLst>
        </xdr:cNvPr>
        <xdr:cNvSpPr/>
      </xdr:nvSpPr>
      <xdr:spPr>
        <a:xfrm>
          <a:off x="11972377" y="1346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14</xdr:col>
      <xdr:colOff>306157</xdr:colOff>
      <xdr:row>0</xdr:row>
      <xdr:rowOff>134620</xdr:rowOff>
    </xdr:from>
    <xdr:to>
      <xdr:col>15</xdr:col>
      <xdr:colOff>534756</xdr:colOff>
      <xdr:row>0</xdr:row>
      <xdr:rowOff>375920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642737D5-EC4A-AE30-CE65-79258185BF9D}"/>
            </a:ext>
          </a:extLst>
        </xdr:cNvPr>
        <xdr:cNvSpPr/>
      </xdr:nvSpPr>
      <xdr:spPr>
        <a:xfrm>
          <a:off x="12848677" y="134620"/>
          <a:ext cx="838199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CFE1C2C-3EA4-FCE2-7B5E-CFFCA853A194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  <xdr:twoCellAnchor editAs="absolute">
    <xdr:from>
      <xdr:col>0</xdr:col>
      <xdr:colOff>769197</xdr:colOff>
      <xdr:row>0</xdr:row>
      <xdr:rowOff>54610</xdr:rowOff>
    </xdr:from>
    <xdr:to>
      <xdr:col>1</xdr:col>
      <xdr:colOff>670137</xdr:colOff>
      <xdr:row>0</xdr:row>
      <xdr:rowOff>295910</xdr:rowOff>
    </xdr:to>
    <xdr:sp macro="IrInicio" textlink="">
      <xdr:nvSpPr>
        <xdr:cNvPr id="12" name="nav_inicio">
          <a:extLst>
            <a:ext uri="{FF2B5EF4-FFF2-40B4-BE49-F238E27FC236}">
              <a16:creationId xmlns:a16="http://schemas.microsoft.com/office/drawing/2014/main" id="{74EA4BF0-8047-62C2-F368-264E03EF7029}"/>
            </a:ext>
          </a:extLst>
        </xdr:cNvPr>
        <xdr:cNvSpPr/>
      </xdr:nvSpPr>
      <xdr:spPr>
        <a:xfrm>
          <a:off x="7691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1</xdr:col>
      <xdr:colOff>708237</xdr:colOff>
      <xdr:row>0</xdr:row>
      <xdr:rowOff>54610</xdr:rowOff>
    </xdr:from>
    <xdr:to>
      <xdr:col>2</xdr:col>
      <xdr:colOff>350097</xdr:colOff>
      <xdr:row>0</xdr:row>
      <xdr:rowOff>295910</xdr:rowOff>
    </xdr:to>
    <xdr:sp macro="IrPainel" textlink="">
      <xdr:nvSpPr>
        <xdr:cNvPr id="13" name="nav_painel">
          <a:extLst>
            <a:ext uri="{FF2B5EF4-FFF2-40B4-BE49-F238E27FC236}">
              <a16:creationId xmlns:a16="http://schemas.microsoft.com/office/drawing/2014/main" id="{5DB96479-06DF-024F-25B0-D35EE439576F}"/>
            </a:ext>
          </a:extLst>
        </xdr:cNvPr>
        <xdr:cNvSpPr/>
      </xdr:nvSpPr>
      <xdr:spPr>
        <a:xfrm>
          <a:off x="16454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2</xdr:col>
      <xdr:colOff>388197</xdr:colOff>
      <xdr:row>0</xdr:row>
      <xdr:rowOff>54610</xdr:rowOff>
    </xdr:from>
    <xdr:to>
      <xdr:col>3</xdr:col>
      <xdr:colOff>632037</xdr:colOff>
      <xdr:row>0</xdr:row>
      <xdr:rowOff>295910</xdr:rowOff>
    </xdr:to>
    <xdr:sp macro="IrLancar" textlink="">
      <xdr:nvSpPr>
        <xdr:cNvPr id="14" name="nav_lancar">
          <a:extLst>
            <a:ext uri="{FF2B5EF4-FFF2-40B4-BE49-F238E27FC236}">
              <a16:creationId xmlns:a16="http://schemas.microsoft.com/office/drawing/2014/main" id="{C0D3A529-2BAE-D2D0-D6FF-88E70383E976}"/>
            </a:ext>
          </a:extLst>
        </xdr:cNvPr>
        <xdr:cNvSpPr/>
      </xdr:nvSpPr>
      <xdr:spPr>
        <a:xfrm>
          <a:off x="25217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3</xdr:col>
      <xdr:colOff>670137</xdr:colOff>
      <xdr:row>0</xdr:row>
      <xdr:rowOff>54610</xdr:rowOff>
    </xdr:from>
    <xdr:to>
      <xdr:col>3</xdr:col>
      <xdr:colOff>1508337</xdr:colOff>
      <xdr:row>0</xdr:row>
      <xdr:rowOff>295910</xdr:rowOff>
    </xdr:to>
    <xdr:sp macro="IrAnalitos" textlink="">
      <xdr:nvSpPr>
        <xdr:cNvPr id="15" name="nav_analitos">
          <a:extLst>
            <a:ext uri="{FF2B5EF4-FFF2-40B4-BE49-F238E27FC236}">
              <a16:creationId xmlns:a16="http://schemas.microsoft.com/office/drawing/2014/main" id="{022CB358-6853-347D-912A-32AE0A9ECF5D}"/>
            </a:ext>
          </a:extLst>
        </xdr:cNvPr>
        <xdr:cNvSpPr/>
      </xdr:nvSpPr>
      <xdr:spPr>
        <a:xfrm>
          <a:off x="33980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3</xdr:col>
      <xdr:colOff>1546437</xdr:colOff>
      <xdr:row>0</xdr:row>
      <xdr:rowOff>54610</xdr:rowOff>
    </xdr:from>
    <xdr:to>
      <xdr:col>4</xdr:col>
      <xdr:colOff>487257</xdr:colOff>
      <xdr:row>0</xdr:row>
      <xdr:rowOff>295910</xdr:rowOff>
    </xdr:to>
    <xdr:sp macro="IrLotes" textlink="">
      <xdr:nvSpPr>
        <xdr:cNvPr id="16" name="nav_lotes">
          <a:extLst>
            <a:ext uri="{FF2B5EF4-FFF2-40B4-BE49-F238E27FC236}">
              <a16:creationId xmlns:a16="http://schemas.microsoft.com/office/drawing/2014/main" id="{E76C0CFD-2828-614B-6F26-13066C570D52}"/>
            </a:ext>
          </a:extLst>
        </xdr:cNvPr>
        <xdr:cNvSpPr/>
      </xdr:nvSpPr>
      <xdr:spPr>
        <a:xfrm>
          <a:off x="42743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4</xdr:col>
      <xdr:colOff>525357</xdr:colOff>
      <xdr:row>0</xdr:row>
      <xdr:rowOff>54610</xdr:rowOff>
    </xdr:from>
    <xdr:to>
      <xdr:col>5</xdr:col>
      <xdr:colOff>563457</xdr:colOff>
      <xdr:row>0</xdr:row>
      <xdr:rowOff>295910</xdr:rowOff>
    </xdr:to>
    <xdr:sp macro="IrEstatistica" textlink="">
      <xdr:nvSpPr>
        <xdr:cNvPr id="17" name="nav_estat">
          <a:extLst>
            <a:ext uri="{FF2B5EF4-FFF2-40B4-BE49-F238E27FC236}">
              <a16:creationId xmlns:a16="http://schemas.microsoft.com/office/drawing/2014/main" id="{5440A369-7A4C-71B6-602F-0621E6EFC4A9}"/>
            </a:ext>
          </a:extLst>
        </xdr:cNvPr>
        <xdr:cNvSpPr/>
      </xdr:nvSpPr>
      <xdr:spPr>
        <a:xfrm>
          <a:off x="51506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5</xdr:col>
      <xdr:colOff>601557</xdr:colOff>
      <xdr:row>0</xdr:row>
      <xdr:rowOff>54610</xdr:rowOff>
    </xdr:from>
    <xdr:to>
      <xdr:col>6</xdr:col>
      <xdr:colOff>365336</xdr:colOff>
      <xdr:row>0</xdr:row>
      <xdr:rowOff>295910</xdr:rowOff>
    </xdr:to>
    <xdr:sp macro="IrLiberacao" textlink="">
      <xdr:nvSpPr>
        <xdr:cNvPr id="18" name="nav_liber">
          <a:extLst>
            <a:ext uri="{FF2B5EF4-FFF2-40B4-BE49-F238E27FC236}">
              <a16:creationId xmlns:a16="http://schemas.microsoft.com/office/drawing/2014/main" id="{8C85444B-1E43-D29B-7966-4D39E6417559}"/>
            </a:ext>
          </a:extLst>
        </xdr:cNvPr>
        <xdr:cNvSpPr/>
      </xdr:nvSpPr>
      <xdr:spPr>
        <a:xfrm>
          <a:off x="6026997" y="54610"/>
          <a:ext cx="838199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6</xdr:col>
      <xdr:colOff>403437</xdr:colOff>
      <xdr:row>0</xdr:row>
      <xdr:rowOff>54610</xdr:rowOff>
    </xdr:from>
    <xdr:to>
      <xdr:col>6</xdr:col>
      <xdr:colOff>1241637</xdr:colOff>
      <xdr:row>0</xdr:row>
      <xdr:rowOff>295910</xdr:rowOff>
    </xdr:to>
    <xdr:sp macro="IrRegistros" textlink="">
      <xdr:nvSpPr>
        <xdr:cNvPr id="19" name="nav_reg">
          <a:extLst>
            <a:ext uri="{FF2B5EF4-FFF2-40B4-BE49-F238E27FC236}">
              <a16:creationId xmlns:a16="http://schemas.microsoft.com/office/drawing/2014/main" id="{006D5718-F97D-5D33-6502-4E71C56C3621}"/>
            </a:ext>
          </a:extLst>
        </xdr:cNvPr>
        <xdr:cNvSpPr/>
      </xdr:nvSpPr>
      <xdr:spPr>
        <a:xfrm>
          <a:off x="69032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6</xdr:col>
      <xdr:colOff>1279737</xdr:colOff>
      <xdr:row>0</xdr:row>
      <xdr:rowOff>54610</xdr:rowOff>
    </xdr:from>
    <xdr:to>
      <xdr:col>7</xdr:col>
      <xdr:colOff>769197</xdr:colOff>
      <xdr:row>0</xdr:row>
      <xdr:rowOff>295910</xdr:rowOff>
    </xdr:to>
    <xdr:sp macro="IrEventos" textlink="">
      <xdr:nvSpPr>
        <xdr:cNvPr id="20" name="nav_eventos">
          <a:extLst>
            <a:ext uri="{FF2B5EF4-FFF2-40B4-BE49-F238E27FC236}">
              <a16:creationId xmlns:a16="http://schemas.microsoft.com/office/drawing/2014/main" id="{8B85DBA6-BB12-578B-4D59-5475969EBE87}"/>
            </a:ext>
          </a:extLst>
        </xdr:cNvPr>
        <xdr:cNvSpPr/>
      </xdr:nvSpPr>
      <xdr:spPr>
        <a:xfrm>
          <a:off x="77795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E2A29F-B03C-083F-D024-6EEEB45F9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108187</xdr:colOff>
      <xdr:row>0</xdr:row>
      <xdr:rowOff>96520</xdr:rowOff>
    </xdr:from>
    <xdr:to>
      <xdr:col>3</xdr:col>
      <xdr:colOff>9127</xdr:colOff>
      <xdr:row>1</xdr:row>
      <xdr:rowOff>86360</xdr:rowOff>
    </xdr:to>
    <xdr:sp macro="IrInicio" textlink="">
      <xdr:nvSpPr>
        <xdr:cNvPr id="12" name="nav_inicio">
          <a:extLst>
            <a:ext uri="{FF2B5EF4-FFF2-40B4-BE49-F238E27FC236}">
              <a16:creationId xmlns:a16="http://schemas.microsoft.com/office/drawing/2014/main" id="{37ED6170-E417-2649-F624-76FF5D721673}"/>
            </a:ext>
          </a:extLst>
        </xdr:cNvPr>
        <xdr:cNvSpPr/>
      </xdr:nvSpPr>
      <xdr:spPr>
        <a:xfrm>
          <a:off x="31485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3</xdr:col>
      <xdr:colOff>47227</xdr:colOff>
      <xdr:row>0</xdr:row>
      <xdr:rowOff>96520</xdr:rowOff>
    </xdr:from>
    <xdr:to>
      <xdr:col>3</xdr:col>
      <xdr:colOff>885427</xdr:colOff>
      <xdr:row>1</xdr:row>
      <xdr:rowOff>86360</xdr:rowOff>
    </xdr:to>
    <xdr:sp macro="IrPainel" textlink="">
      <xdr:nvSpPr>
        <xdr:cNvPr id="13" name="nav_painel">
          <a:extLst>
            <a:ext uri="{FF2B5EF4-FFF2-40B4-BE49-F238E27FC236}">
              <a16:creationId xmlns:a16="http://schemas.microsoft.com/office/drawing/2014/main" id="{115E86BA-9EEC-C253-2BD0-3070120C20E2}"/>
            </a:ext>
          </a:extLst>
        </xdr:cNvPr>
        <xdr:cNvSpPr/>
      </xdr:nvSpPr>
      <xdr:spPr>
        <a:xfrm>
          <a:off x="40248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3</xdr:col>
      <xdr:colOff>923527</xdr:colOff>
      <xdr:row>0</xdr:row>
      <xdr:rowOff>96520</xdr:rowOff>
    </xdr:from>
    <xdr:to>
      <xdr:col>4</xdr:col>
      <xdr:colOff>824467</xdr:colOff>
      <xdr:row>1</xdr:row>
      <xdr:rowOff>86360</xdr:rowOff>
    </xdr:to>
    <xdr:sp macro="IrLancar" textlink="">
      <xdr:nvSpPr>
        <xdr:cNvPr id="14" name="nav_lancar">
          <a:extLst>
            <a:ext uri="{FF2B5EF4-FFF2-40B4-BE49-F238E27FC236}">
              <a16:creationId xmlns:a16="http://schemas.microsoft.com/office/drawing/2014/main" id="{58981273-5CB5-B767-7C8E-24920DF4C939}"/>
            </a:ext>
          </a:extLst>
        </xdr:cNvPr>
        <xdr:cNvSpPr/>
      </xdr:nvSpPr>
      <xdr:spPr>
        <a:xfrm>
          <a:off x="49011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4</xdr:col>
      <xdr:colOff>862567</xdr:colOff>
      <xdr:row>0</xdr:row>
      <xdr:rowOff>96520</xdr:rowOff>
    </xdr:from>
    <xdr:to>
      <xdr:col>5</xdr:col>
      <xdr:colOff>763507</xdr:colOff>
      <xdr:row>1</xdr:row>
      <xdr:rowOff>86360</xdr:rowOff>
    </xdr:to>
    <xdr:sp macro="IrAnalitos" textlink="">
      <xdr:nvSpPr>
        <xdr:cNvPr id="15" name="nav_analitos">
          <a:extLst>
            <a:ext uri="{FF2B5EF4-FFF2-40B4-BE49-F238E27FC236}">
              <a16:creationId xmlns:a16="http://schemas.microsoft.com/office/drawing/2014/main" id="{FB131FF3-8ED8-C141-4EE7-F2FC1F3C722D}"/>
            </a:ext>
          </a:extLst>
        </xdr:cNvPr>
        <xdr:cNvSpPr/>
      </xdr:nvSpPr>
      <xdr:spPr>
        <a:xfrm>
          <a:off x="57774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5</xdr:col>
      <xdr:colOff>801607</xdr:colOff>
      <xdr:row>0</xdr:row>
      <xdr:rowOff>96520</xdr:rowOff>
    </xdr:from>
    <xdr:to>
      <xdr:col>6</xdr:col>
      <xdr:colOff>702547</xdr:colOff>
      <xdr:row>1</xdr:row>
      <xdr:rowOff>86360</xdr:rowOff>
    </xdr:to>
    <xdr:sp macro="IrLotes" textlink="">
      <xdr:nvSpPr>
        <xdr:cNvPr id="16" name="nav_lotes">
          <a:extLst>
            <a:ext uri="{FF2B5EF4-FFF2-40B4-BE49-F238E27FC236}">
              <a16:creationId xmlns:a16="http://schemas.microsoft.com/office/drawing/2014/main" id="{9090F812-82DB-DB1B-6F23-F5AECE1C7325}"/>
            </a:ext>
          </a:extLst>
        </xdr:cNvPr>
        <xdr:cNvSpPr/>
      </xdr:nvSpPr>
      <xdr:spPr>
        <a:xfrm>
          <a:off x="66537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6</xdr:col>
      <xdr:colOff>740647</xdr:colOff>
      <xdr:row>0</xdr:row>
      <xdr:rowOff>96520</xdr:rowOff>
    </xdr:from>
    <xdr:to>
      <xdr:col>7</xdr:col>
      <xdr:colOff>641587</xdr:colOff>
      <xdr:row>1</xdr:row>
      <xdr:rowOff>86360</xdr:rowOff>
    </xdr:to>
    <xdr:sp macro="IrEstatistica" textlink="">
      <xdr:nvSpPr>
        <xdr:cNvPr id="17" name="nav_estat">
          <a:extLst>
            <a:ext uri="{FF2B5EF4-FFF2-40B4-BE49-F238E27FC236}">
              <a16:creationId xmlns:a16="http://schemas.microsoft.com/office/drawing/2014/main" id="{1BA21823-6F09-E5F3-9FA3-F79D53406A82}"/>
            </a:ext>
          </a:extLst>
        </xdr:cNvPr>
        <xdr:cNvSpPr/>
      </xdr:nvSpPr>
      <xdr:spPr>
        <a:xfrm>
          <a:off x="75300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7</xdr:col>
      <xdr:colOff>679687</xdr:colOff>
      <xdr:row>0</xdr:row>
      <xdr:rowOff>96520</xdr:rowOff>
    </xdr:from>
    <xdr:to>
      <xdr:col>8</xdr:col>
      <xdr:colOff>580627</xdr:colOff>
      <xdr:row>1</xdr:row>
      <xdr:rowOff>86360</xdr:rowOff>
    </xdr:to>
    <xdr:sp macro="IrLiberacao" textlink="">
      <xdr:nvSpPr>
        <xdr:cNvPr id="18" name="nav_liber">
          <a:extLst>
            <a:ext uri="{FF2B5EF4-FFF2-40B4-BE49-F238E27FC236}">
              <a16:creationId xmlns:a16="http://schemas.microsoft.com/office/drawing/2014/main" id="{40C1BCA2-59F9-ACF3-1E7B-23294CC3A78A}"/>
            </a:ext>
          </a:extLst>
        </xdr:cNvPr>
        <xdr:cNvSpPr/>
      </xdr:nvSpPr>
      <xdr:spPr>
        <a:xfrm>
          <a:off x="84063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8</xdr:col>
      <xdr:colOff>618727</xdr:colOff>
      <xdr:row>0</xdr:row>
      <xdr:rowOff>96520</xdr:rowOff>
    </xdr:from>
    <xdr:to>
      <xdr:col>9</xdr:col>
      <xdr:colOff>519667</xdr:colOff>
      <xdr:row>1</xdr:row>
      <xdr:rowOff>86360</xdr:rowOff>
    </xdr:to>
    <xdr:sp macro="IrRegistros" textlink="">
      <xdr:nvSpPr>
        <xdr:cNvPr id="19" name="nav_reg">
          <a:extLst>
            <a:ext uri="{FF2B5EF4-FFF2-40B4-BE49-F238E27FC236}">
              <a16:creationId xmlns:a16="http://schemas.microsoft.com/office/drawing/2014/main" id="{1C44BAF1-1103-FE53-F84E-4382F890C758}"/>
            </a:ext>
          </a:extLst>
        </xdr:cNvPr>
        <xdr:cNvSpPr/>
      </xdr:nvSpPr>
      <xdr:spPr>
        <a:xfrm>
          <a:off x="92826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9</xdr:col>
      <xdr:colOff>557767</xdr:colOff>
      <xdr:row>0</xdr:row>
      <xdr:rowOff>96520</xdr:rowOff>
    </xdr:from>
    <xdr:to>
      <xdr:col>10</xdr:col>
      <xdr:colOff>115807</xdr:colOff>
      <xdr:row>1</xdr:row>
      <xdr:rowOff>86360</xdr:rowOff>
    </xdr:to>
    <xdr:sp macro="IrEventos" textlink="">
      <xdr:nvSpPr>
        <xdr:cNvPr id="20" name="nav_eventos">
          <a:extLst>
            <a:ext uri="{FF2B5EF4-FFF2-40B4-BE49-F238E27FC236}">
              <a16:creationId xmlns:a16="http://schemas.microsoft.com/office/drawing/2014/main" id="{96497318-81B8-CA47-2AA8-AADBB5DC72EC}"/>
            </a:ext>
          </a:extLst>
        </xdr:cNvPr>
        <xdr:cNvSpPr/>
      </xdr:nvSpPr>
      <xdr:spPr>
        <a:xfrm>
          <a:off x="1015896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219040</xdr:colOff>
      <xdr:row>0</xdr:row>
      <xdr:rowOff>96520</xdr:rowOff>
    </xdr:from>
    <xdr:to>
      <xdr:col>3</xdr:col>
      <xdr:colOff>1057240</xdr:colOff>
      <xdr:row>1</xdr:row>
      <xdr:rowOff>86360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8B39A94D-E938-6DB4-1571-B7F57D992259}"/>
            </a:ext>
          </a:extLst>
        </xdr:cNvPr>
        <xdr:cNvSpPr/>
      </xdr:nvSpPr>
      <xdr:spPr>
        <a:xfrm>
          <a:off x="28250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3</xdr:col>
      <xdr:colOff>1095340</xdr:colOff>
      <xdr:row>0</xdr:row>
      <xdr:rowOff>96520</xdr:rowOff>
    </xdr:from>
    <xdr:to>
      <xdr:col>4</xdr:col>
      <xdr:colOff>36160</xdr:colOff>
      <xdr:row>1</xdr:row>
      <xdr:rowOff>86360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9BE3388E-EB78-A493-26B5-2284C076C1D9}"/>
            </a:ext>
          </a:extLst>
        </xdr:cNvPr>
        <xdr:cNvSpPr/>
      </xdr:nvSpPr>
      <xdr:spPr>
        <a:xfrm>
          <a:off x="37013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4</xdr:col>
      <xdr:colOff>74260</xdr:colOff>
      <xdr:row>0</xdr:row>
      <xdr:rowOff>96520</xdr:rowOff>
    </xdr:from>
    <xdr:to>
      <xdr:col>5</xdr:col>
      <xdr:colOff>112360</xdr:colOff>
      <xdr:row>1</xdr:row>
      <xdr:rowOff>86360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9426B376-091F-CED4-3CB4-1F7E484B4404}"/>
            </a:ext>
          </a:extLst>
        </xdr:cNvPr>
        <xdr:cNvSpPr/>
      </xdr:nvSpPr>
      <xdr:spPr>
        <a:xfrm>
          <a:off x="45776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5</xdr:col>
      <xdr:colOff>150460</xdr:colOff>
      <xdr:row>0</xdr:row>
      <xdr:rowOff>96520</xdr:rowOff>
    </xdr:from>
    <xdr:to>
      <xdr:col>6</xdr:col>
      <xdr:colOff>51400</xdr:colOff>
      <xdr:row>1</xdr:row>
      <xdr:rowOff>86360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09905411-ACF1-DFB2-1299-D29EA4D0EA7C}"/>
            </a:ext>
          </a:extLst>
        </xdr:cNvPr>
        <xdr:cNvSpPr/>
      </xdr:nvSpPr>
      <xdr:spPr>
        <a:xfrm>
          <a:off x="54539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6</xdr:col>
      <xdr:colOff>89500</xdr:colOff>
      <xdr:row>0</xdr:row>
      <xdr:rowOff>96520</xdr:rowOff>
    </xdr:from>
    <xdr:to>
      <xdr:col>6</xdr:col>
      <xdr:colOff>927700</xdr:colOff>
      <xdr:row>1</xdr:row>
      <xdr:rowOff>86360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09E5267C-475D-804F-F686-C2C4B6B43445}"/>
            </a:ext>
          </a:extLst>
        </xdr:cNvPr>
        <xdr:cNvSpPr/>
      </xdr:nvSpPr>
      <xdr:spPr>
        <a:xfrm>
          <a:off x="63302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6</xdr:col>
      <xdr:colOff>965800</xdr:colOff>
      <xdr:row>0</xdr:row>
      <xdr:rowOff>96520</xdr:rowOff>
    </xdr:from>
    <xdr:to>
      <xdr:col>7</xdr:col>
      <xdr:colOff>592420</xdr:colOff>
      <xdr:row>1</xdr:row>
      <xdr:rowOff>86360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3BB7171D-1249-6A8C-37D5-7C4EFE12455C}"/>
            </a:ext>
          </a:extLst>
        </xdr:cNvPr>
        <xdr:cNvSpPr/>
      </xdr:nvSpPr>
      <xdr:spPr>
        <a:xfrm>
          <a:off x="72065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7</xdr:col>
      <xdr:colOff>630520</xdr:colOff>
      <xdr:row>0</xdr:row>
      <xdr:rowOff>96520</xdr:rowOff>
    </xdr:from>
    <xdr:to>
      <xdr:col>9</xdr:col>
      <xdr:colOff>5680</xdr:colOff>
      <xdr:row>1</xdr:row>
      <xdr:rowOff>86360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5F022FEA-B1C5-5DAE-6ACE-1DDBF9812D00}"/>
            </a:ext>
          </a:extLst>
        </xdr:cNvPr>
        <xdr:cNvSpPr/>
      </xdr:nvSpPr>
      <xdr:spPr>
        <a:xfrm>
          <a:off x="80828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9</xdr:col>
      <xdr:colOff>43780</xdr:colOff>
      <xdr:row>0</xdr:row>
      <xdr:rowOff>96520</xdr:rowOff>
    </xdr:from>
    <xdr:to>
      <xdr:col>9</xdr:col>
      <xdr:colOff>881980</xdr:colOff>
      <xdr:row>1</xdr:row>
      <xdr:rowOff>86360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2A51DEC7-1B1A-4484-F35B-EBD6314A4A44}"/>
            </a:ext>
          </a:extLst>
        </xdr:cNvPr>
        <xdr:cNvSpPr/>
      </xdr:nvSpPr>
      <xdr:spPr>
        <a:xfrm>
          <a:off x="89591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9</xdr:col>
      <xdr:colOff>920080</xdr:colOff>
      <xdr:row>0</xdr:row>
      <xdr:rowOff>96520</xdr:rowOff>
    </xdr:from>
    <xdr:to>
      <xdr:col>10</xdr:col>
      <xdr:colOff>752440</xdr:colOff>
      <xdr:row>1</xdr:row>
      <xdr:rowOff>86360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EBA3366B-2F7A-4C95-255F-5A57E4D8AA4D}"/>
            </a:ext>
          </a:extLst>
        </xdr:cNvPr>
        <xdr:cNvSpPr/>
      </xdr:nvSpPr>
      <xdr:spPr>
        <a:xfrm>
          <a:off x="9835480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244F25-E14C-44AA-AC64-851D1C04938C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  <xdr:twoCellAnchor editAs="absolute">
    <xdr:from>
      <xdr:col>0</xdr:col>
      <xdr:colOff>769197</xdr:colOff>
      <xdr:row>0</xdr:row>
      <xdr:rowOff>54610</xdr:rowOff>
    </xdr:from>
    <xdr:to>
      <xdr:col>1</xdr:col>
      <xdr:colOff>670137</xdr:colOff>
      <xdr:row>0</xdr:row>
      <xdr:rowOff>295910</xdr:rowOff>
    </xdr:to>
    <xdr:sp macro="IrInicio" textlink="">
      <xdr:nvSpPr>
        <xdr:cNvPr id="12" name="nav_inicio">
          <a:extLst>
            <a:ext uri="{FF2B5EF4-FFF2-40B4-BE49-F238E27FC236}">
              <a16:creationId xmlns:a16="http://schemas.microsoft.com/office/drawing/2014/main" id="{F7F45126-D28F-99E4-1DB3-96298F9A7E78}"/>
            </a:ext>
          </a:extLst>
        </xdr:cNvPr>
        <xdr:cNvSpPr/>
      </xdr:nvSpPr>
      <xdr:spPr>
        <a:xfrm>
          <a:off x="7691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1</xdr:col>
      <xdr:colOff>708237</xdr:colOff>
      <xdr:row>0</xdr:row>
      <xdr:rowOff>54610</xdr:rowOff>
    </xdr:from>
    <xdr:to>
      <xdr:col>2</xdr:col>
      <xdr:colOff>350097</xdr:colOff>
      <xdr:row>0</xdr:row>
      <xdr:rowOff>295910</xdr:rowOff>
    </xdr:to>
    <xdr:sp macro="IrPainel" textlink="">
      <xdr:nvSpPr>
        <xdr:cNvPr id="13" name="nav_painel">
          <a:extLst>
            <a:ext uri="{FF2B5EF4-FFF2-40B4-BE49-F238E27FC236}">
              <a16:creationId xmlns:a16="http://schemas.microsoft.com/office/drawing/2014/main" id="{FB80E502-C2CD-EA1A-1A59-79DCF2D0E972}"/>
            </a:ext>
          </a:extLst>
        </xdr:cNvPr>
        <xdr:cNvSpPr/>
      </xdr:nvSpPr>
      <xdr:spPr>
        <a:xfrm>
          <a:off x="16454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2</xdr:col>
      <xdr:colOff>388197</xdr:colOff>
      <xdr:row>0</xdr:row>
      <xdr:rowOff>54610</xdr:rowOff>
    </xdr:from>
    <xdr:to>
      <xdr:col>3</xdr:col>
      <xdr:colOff>632037</xdr:colOff>
      <xdr:row>0</xdr:row>
      <xdr:rowOff>295910</xdr:rowOff>
    </xdr:to>
    <xdr:sp macro="IrLancar" textlink="">
      <xdr:nvSpPr>
        <xdr:cNvPr id="14" name="nav_lancar">
          <a:extLst>
            <a:ext uri="{FF2B5EF4-FFF2-40B4-BE49-F238E27FC236}">
              <a16:creationId xmlns:a16="http://schemas.microsoft.com/office/drawing/2014/main" id="{DF1B21A0-64DC-834F-F850-64E7CFF3D283}"/>
            </a:ext>
          </a:extLst>
        </xdr:cNvPr>
        <xdr:cNvSpPr/>
      </xdr:nvSpPr>
      <xdr:spPr>
        <a:xfrm>
          <a:off x="25217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3</xdr:col>
      <xdr:colOff>670137</xdr:colOff>
      <xdr:row>0</xdr:row>
      <xdr:rowOff>54610</xdr:rowOff>
    </xdr:from>
    <xdr:to>
      <xdr:col>3</xdr:col>
      <xdr:colOff>1508337</xdr:colOff>
      <xdr:row>0</xdr:row>
      <xdr:rowOff>295910</xdr:rowOff>
    </xdr:to>
    <xdr:sp macro="IrAnalitos" textlink="">
      <xdr:nvSpPr>
        <xdr:cNvPr id="15" name="nav_analitos">
          <a:extLst>
            <a:ext uri="{FF2B5EF4-FFF2-40B4-BE49-F238E27FC236}">
              <a16:creationId xmlns:a16="http://schemas.microsoft.com/office/drawing/2014/main" id="{13B9057D-C272-C896-DEF6-99A6EC28EEC3}"/>
            </a:ext>
          </a:extLst>
        </xdr:cNvPr>
        <xdr:cNvSpPr/>
      </xdr:nvSpPr>
      <xdr:spPr>
        <a:xfrm>
          <a:off x="33980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3</xdr:col>
      <xdr:colOff>1546437</xdr:colOff>
      <xdr:row>0</xdr:row>
      <xdr:rowOff>54610</xdr:rowOff>
    </xdr:from>
    <xdr:to>
      <xdr:col>4</xdr:col>
      <xdr:colOff>487257</xdr:colOff>
      <xdr:row>0</xdr:row>
      <xdr:rowOff>295910</xdr:rowOff>
    </xdr:to>
    <xdr:sp macro="IrLotes" textlink="">
      <xdr:nvSpPr>
        <xdr:cNvPr id="16" name="nav_lotes">
          <a:extLst>
            <a:ext uri="{FF2B5EF4-FFF2-40B4-BE49-F238E27FC236}">
              <a16:creationId xmlns:a16="http://schemas.microsoft.com/office/drawing/2014/main" id="{FFD431ED-D93D-F737-65DF-24BC10F5BB54}"/>
            </a:ext>
          </a:extLst>
        </xdr:cNvPr>
        <xdr:cNvSpPr/>
      </xdr:nvSpPr>
      <xdr:spPr>
        <a:xfrm>
          <a:off x="42743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4</xdr:col>
      <xdr:colOff>525357</xdr:colOff>
      <xdr:row>0</xdr:row>
      <xdr:rowOff>54610</xdr:rowOff>
    </xdr:from>
    <xdr:to>
      <xdr:col>5</xdr:col>
      <xdr:colOff>563457</xdr:colOff>
      <xdr:row>0</xdr:row>
      <xdr:rowOff>295910</xdr:rowOff>
    </xdr:to>
    <xdr:sp macro="IrEstatistica" textlink="">
      <xdr:nvSpPr>
        <xdr:cNvPr id="17" name="nav_estat">
          <a:extLst>
            <a:ext uri="{FF2B5EF4-FFF2-40B4-BE49-F238E27FC236}">
              <a16:creationId xmlns:a16="http://schemas.microsoft.com/office/drawing/2014/main" id="{F88A5BF3-622D-3287-CAF7-3DBC3DFB6F60}"/>
            </a:ext>
          </a:extLst>
        </xdr:cNvPr>
        <xdr:cNvSpPr/>
      </xdr:nvSpPr>
      <xdr:spPr>
        <a:xfrm>
          <a:off x="51506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5</xdr:col>
      <xdr:colOff>601557</xdr:colOff>
      <xdr:row>0</xdr:row>
      <xdr:rowOff>54610</xdr:rowOff>
    </xdr:from>
    <xdr:to>
      <xdr:col>6</xdr:col>
      <xdr:colOff>365336</xdr:colOff>
      <xdr:row>0</xdr:row>
      <xdr:rowOff>295910</xdr:rowOff>
    </xdr:to>
    <xdr:sp macro="IrLiberacao" textlink="">
      <xdr:nvSpPr>
        <xdr:cNvPr id="18" name="nav_liber">
          <a:extLst>
            <a:ext uri="{FF2B5EF4-FFF2-40B4-BE49-F238E27FC236}">
              <a16:creationId xmlns:a16="http://schemas.microsoft.com/office/drawing/2014/main" id="{5C55C072-FD9E-1CAA-1248-ABFB1847E7F4}"/>
            </a:ext>
          </a:extLst>
        </xdr:cNvPr>
        <xdr:cNvSpPr/>
      </xdr:nvSpPr>
      <xdr:spPr>
        <a:xfrm>
          <a:off x="6026997" y="54610"/>
          <a:ext cx="838199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6</xdr:col>
      <xdr:colOff>403437</xdr:colOff>
      <xdr:row>0</xdr:row>
      <xdr:rowOff>54610</xdr:rowOff>
    </xdr:from>
    <xdr:to>
      <xdr:col>6</xdr:col>
      <xdr:colOff>1241637</xdr:colOff>
      <xdr:row>0</xdr:row>
      <xdr:rowOff>295910</xdr:rowOff>
    </xdr:to>
    <xdr:sp macro="IrRegistros" textlink="">
      <xdr:nvSpPr>
        <xdr:cNvPr id="19" name="nav_reg">
          <a:extLst>
            <a:ext uri="{FF2B5EF4-FFF2-40B4-BE49-F238E27FC236}">
              <a16:creationId xmlns:a16="http://schemas.microsoft.com/office/drawing/2014/main" id="{0060D8D4-7661-DA80-783A-53B65908116B}"/>
            </a:ext>
          </a:extLst>
        </xdr:cNvPr>
        <xdr:cNvSpPr/>
      </xdr:nvSpPr>
      <xdr:spPr>
        <a:xfrm>
          <a:off x="69032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6</xdr:col>
      <xdr:colOff>1279737</xdr:colOff>
      <xdr:row>0</xdr:row>
      <xdr:rowOff>54610</xdr:rowOff>
    </xdr:from>
    <xdr:to>
      <xdr:col>7</xdr:col>
      <xdr:colOff>769197</xdr:colOff>
      <xdr:row>0</xdr:row>
      <xdr:rowOff>295910</xdr:rowOff>
    </xdr:to>
    <xdr:sp macro="IrEventos" textlink="">
      <xdr:nvSpPr>
        <xdr:cNvPr id="20" name="nav_eventos">
          <a:extLst>
            <a:ext uri="{FF2B5EF4-FFF2-40B4-BE49-F238E27FC236}">
              <a16:creationId xmlns:a16="http://schemas.microsoft.com/office/drawing/2014/main" id="{634375ED-DB3A-2804-8EA1-2C6D205C4CD8}"/>
            </a:ext>
          </a:extLst>
        </xdr:cNvPr>
        <xdr:cNvSpPr/>
      </xdr:nvSpPr>
      <xdr:spPr>
        <a:xfrm>
          <a:off x="7779597" y="5461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44353F-7D0C-DDFA-96F8-EFC691E0D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627047</xdr:colOff>
      <xdr:row>0</xdr:row>
      <xdr:rowOff>96520</xdr:rowOff>
    </xdr:from>
    <xdr:to>
      <xdr:col>3</xdr:col>
      <xdr:colOff>527987</xdr:colOff>
      <xdr:row>1</xdr:row>
      <xdr:rowOff>86360</xdr:rowOff>
    </xdr:to>
    <xdr:sp macro="IrInicio" textlink="">
      <xdr:nvSpPr>
        <xdr:cNvPr id="12" name="nav_inicio">
          <a:extLst>
            <a:ext uri="{FF2B5EF4-FFF2-40B4-BE49-F238E27FC236}">
              <a16:creationId xmlns:a16="http://schemas.microsoft.com/office/drawing/2014/main" id="{A9B7AD27-9A0F-37CB-FA30-B2D58293B92F}"/>
            </a:ext>
          </a:extLst>
        </xdr:cNvPr>
        <xdr:cNvSpPr/>
      </xdr:nvSpPr>
      <xdr:spPr>
        <a:xfrm>
          <a:off x="36674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3</xdr:col>
      <xdr:colOff>566087</xdr:colOff>
      <xdr:row>0</xdr:row>
      <xdr:rowOff>96520</xdr:rowOff>
    </xdr:from>
    <xdr:to>
      <xdr:col>4</xdr:col>
      <xdr:colOff>467027</xdr:colOff>
      <xdr:row>1</xdr:row>
      <xdr:rowOff>86360</xdr:rowOff>
    </xdr:to>
    <xdr:sp macro="IrPainel" textlink="">
      <xdr:nvSpPr>
        <xdr:cNvPr id="13" name="nav_painel">
          <a:extLst>
            <a:ext uri="{FF2B5EF4-FFF2-40B4-BE49-F238E27FC236}">
              <a16:creationId xmlns:a16="http://schemas.microsoft.com/office/drawing/2014/main" id="{C64AFEE6-DCF3-FC84-BB33-3498F22014B9}"/>
            </a:ext>
          </a:extLst>
        </xdr:cNvPr>
        <xdr:cNvSpPr/>
      </xdr:nvSpPr>
      <xdr:spPr>
        <a:xfrm>
          <a:off x="45437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4</xdr:col>
      <xdr:colOff>505127</xdr:colOff>
      <xdr:row>0</xdr:row>
      <xdr:rowOff>96520</xdr:rowOff>
    </xdr:from>
    <xdr:to>
      <xdr:col>5</xdr:col>
      <xdr:colOff>406067</xdr:colOff>
      <xdr:row>1</xdr:row>
      <xdr:rowOff>86360</xdr:rowOff>
    </xdr:to>
    <xdr:sp macro="IrLancar" textlink="">
      <xdr:nvSpPr>
        <xdr:cNvPr id="14" name="nav_lancar">
          <a:extLst>
            <a:ext uri="{FF2B5EF4-FFF2-40B4-BE49-F238E27FC236}">
              <a16:creationId xmlns:a16="http://schemas.microsoft.com/office/drawing/2014/main" id="{78DC913C-26C7-9C21-492C-F980D0E20A05}"/>
            </a:ext>
          </a:extLst>
        </xdr:cNvPr>
        <xdr:cNvSpPr/>
      </xdr:nvSpPr>
      <xdr:spPr>
        <a:xfrm>
          <a:off x="54200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5</xdr:col>
      <xdr:colOff>444167</xdr:colOff>
      <xdr:row>0</xdr:row>
      <xdr:rowOff>96520</xdr:rowOff>
    </xdr:from>
    <xdr:to>
      <xdr:col>6</xdr:col>
      <xdr:colOff>345107</xdr:colOff>
      <xdr:row>1</xdr:row>
      <xdr:rowOff>86360</xdr:rowOff>
    </xdr:to>
    <xdr:sp macro="IrAnalitos" textlink="">
      <xdr:nvSpPr>
        <xdr:cNvPr id="15" name="nav_analitos">
          <a:extLst>
            <a:ext uri="{FF2B5EF4-FFF2-40B4-BE49-F238E27FC236}">
              <a16:creationId xmlns:a16="http://schemas.microsoft.com/office/drawing/2014/main" id="{40B119F0-A157-620E-BEDE-266BA0D792CB}"/>
            </a:ext>
          </a:extLst>
        </xdr:cNvPr>
        <xdr:cNvSpPr/>
      </xdr:nvSpPr>
      <xdr:spPr>
        <a:xfrm>
          <a:off x="62963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6</xdr:col>
      <xdr:colOff>383207</xdr:colOff>
      <xdr:row>0</xdr:row>
      <xdr:rowOff>96520</xdr:rowOff>
    </xdr:from>
    <xdr:to>
      <xdr:col>7</xdr:col>
      <xdr:colOff>284147</xdr:colOff>
      <xdr:row>1</xdr:row>
      <xdr:rowOff>86360</xdr:rowOff>
    </xdr:to>
    <xdr:sp macro="IrLotes" textlink="">
      <xdr:nvSpPr>
        <xdr:cNvPr id="16" name="nav_lotes">
          <a:extLst>
            <a:ext uri="{FF2B5EF4-FFF2-40B4-BE49-F238E27FC236}">
              <a16:creationId xmlns:a16="http://schemas.microsoft.com/office/drawing/2014/main" id="{E5C22E55-D10A-9079-7084-708BA0C3C571}"/>
            </a:ext>
          </a:extLst>
        </xdr:cNvPr>
        <xdr:cNvSpPr/>
      </xdr:nvSpPr>
      <xdr:spPr>
        <a:xfrm>
          <a:off x="71726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7</xdr:col>
      <xdr:colOff>322247</xdr:colOff>
      <xdr:row>0</xdr:row>
      <xdr:rowOff>96520</xdr:rowOff>
    </xdr:from>
    <xdr:to>
      <xdr:col>8</xdr:col>
      <xdr:colOff>223187</xdr:colOff>
      <xdr:row>1</xdr:row>
      <xdr:rowOff>86360</xdr:rowOff>
    </xdr:to>
    <xdr:sp macro="IrEstatistica" textlink="">
      <xdr:nvSpPr>
        <xdr:cNvPr id="17" name="nav_estat">
          <a:extLst>
            <a:ext uri="{FF2B5EF4-FFF2-40B4-BE49-F238E27FC236}">
              <a16:creationId xmlns:a16="http://schemas.microsoft.com/office/drawing/2014/main" id="{90D34A02-F7E5-BEBC-9CC1-4238D397364F}"/>
            </a:ext>
          </a:extLst>
        </xdr:cNvPr>
        <xdr:cNvSpPr/>
      </xdr:nvSpPr>
      <xdr:spPr>
        <a:xfrm>
          <a:off x="80489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8</xdr:col>
      <xdr:colOff>261287</xdr:colOff>
      <xdr:row>0</xdr:row>
      <xdr:rowOff>96520</xdr:rowOff>
    </xdr:from>
    <xdr:to>
      <xdr:col>9</xdr:col>
      <xdr:colOff>162227</xdr:colOff>
      <xdr:row>1</xdr:row>
      <xdr:rowOff>86360</xdr:rowOff>
    </xdr:to>
    <xdr:sp macro="IrLiberacao" textlink="">
      <xdr:nvSpPr>
        <xdr:cNvPr id="18" name="nav_liber">
          <a:extLst>
            <a:ext uri="{FF2B5EF4-FFF2-40B4-BE49-F238E27FC236}">
              <a16:creationId xmlns:a16="http://schemas.microsoft.com/office/drawing/2014/main" id="{2749F362-34E7-D598-3CB2-F99A3F3B2BAC}"/>
            </a:ext>
          </a:extLst>
        </xdr:cNvPr>
        <xdr:cNvSpPr/>
      </xdr:nvSpPr>
      <xdr:spPr>
        <a:xfrm>
          <a:off x="89252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9</xdr:col>
      <xdr:colOff>200327</xdr:colOff>
      <xdr:row>0</xdr:row>
      <xdr:rowOff>96520</xdr:rowOff>
    </xdr:from>
    <xdr:to>
      <xdr:col>9</xdr:col>
      <xdr:colOff>1038527</xdr:colOff>
      <xdr:row>1</xdr:row>
      <xdr:rowOff>86360</xdr:rowOff>
    </xdr:to>
    <xdr:sp macro="IrRegistros" textlink="">
      <xdr:nvSpPr>
        <xdr:cNvPr id="19" name="nav_reg">
          <a:extLst>
            <a:ext uri="{FF2B5EF4-FFF2-40B4-BE49-F238E27FC236}">
              <a16:creationId xmlns:a16="http://schemas.microsoft.com/office/drawing/2014/main" id="{DFAA9653-1D0B-6F87-6222-4EDCDA8229B3}"/>
            </a:ext>
          </a:extLst>
        </xdr:cNvPr>
        <xdr:cNvSpPr/>
      </xdr:nvSpPr>
      <xdr:spPr>
        <a:xfrm>
          <a:off x="98015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9</xdr:col>
      <xdr:colOff>1076627</xdr:colOff>
      <xdr:row>0</xdr:row>
      <xdr:rowOff>96520</xdr:rowOff>
    </xdr:from>
    <xdr:to>
      <xdr:col>11</xdr:col>
      <xdr:colOff>25067</xdr:colOff>
      <xdr:row>1</xdr:row>
      <xdr:rowOff>86360</xdr:rowOff>
    </xdr:to>
    <xdr:sp macro="IrEventos" textlink="">
      <xdr:nvSpPr>
        <xdr:cNvPr id="20" name="nav_eventos">
          <a:extLst>
            <a:ext uri="{FF2B5EF4-FFF2-40B4-BE49-F238E27FC236}">
              <a16:creationId xmlns:a16="http://schemas.microsoft.com/office/drawing/2014/main" id="{8760D810-F358-96D8-7E8E-2329A2E1CCF5}"/>
            </a:ext>
          </a:extLst>
        </xdr:cNvPr>
        <xdr:cNvSpPr/>
      </xdr:nvSpPr>
      <xdr:spPr>
        <a:xfrm>
          <a:off x="10677827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546502</xdr:colOff>
      <xdr:row>0</xdr:row>
      <xdr:rowOff>96520</xdr:rowOff>
    </xdr:from>
    <xdr:to>
      <xdr:col>3</xdr:col>
      <xdr:colOff>1384702</xdr:colOff>
      <xdr:row>1</xdr:row>
      <xdr:rowOff>86360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884FB895-AB46-BC3C-23C7-5025B41D0CC4}"/>
            </a:ext>
          </a:extLst>
        </xdr:cNvPr>
        <xdr:cNvSpPr/>
      </xdr:nvSpPr>
      <xdr:spPr>
        <a:xfrm>
          <a:off x="31525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3</xdr:col>
      <xdr:colOff>1422802</xdr:colOff>
      <xdr:row>0</xdr:row>
      <xdr:rowOff>96520</xdr:rowOff>
    </xdr:from>
    <xdr:to>
      <xdr:col>4</xdr:col>
      <xdr:colOff>363622</xdr:colOff>
      <xdr:row>1</xdr:row>
      <xdr:rowOff>86360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8E737101-7BDD-8767-A014-21A5DFF69D6A}"/>
            </a:ext>
          </a:extLst>
        </xdr:cNvPr>
        <xdr:cNvSpPr/>
      </xdr:nvSpPr>
      <xdr:spPr>
        <a:xfrm>
          <a:off x="40288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4</xdr:col>
      <xdr:colOff>401722</xdr:colOff>
      <xdr:row>0</xdr:row>
      <xdr:rowOff>96520</xdr:rowOff>
    </xdr:from>
    <xdr:to>
      <xdr:col>5</xdr:col>
      <xdr:colOff>439822</xdr:colOff>
      <xdr:row>1</xdr:row>
      <xdr:rowOff>86360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20BEC859-8900-1DBE-AC35-D4DDE9D5B0B8}"/>
            </a:ext>
          </a:extLst>
        </xdr:cNvPr>
        <xdr:cNvSpPr/>
      </xdr:nvSpPr>
      <xdr:spPr>
        <a:xfrm>
          <a:off x="49051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5</xdr:col>
      <xdr:colOff>477922</xdr:colOff>
      <xdr:row>0</xdr:row>
      <xdr:rowOff>96520</xdr:rowOff>
    </xdr:from>
    <xdr:to>
      <xdr:col>6</xdr:col>
      <xdr:colOff>378862</xdr:colOff>
      <xdr:row>1</xdr:row>
      <xdr:rowOff>86360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DE0F7B93-E2FA-5224-CF90-A7592AA6C1D9}"/>
            </a:ext>
          </a:extLst>
        </xdr:cNvPr>
        <xdr:cNvSpPr/>
      </xdr:nvSpPr>
      <xdr:spPr>
        <a:xfrm>
          <a:off x="57814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6</xdr:col>
      <xdr:colOff>416962</xdr:colOff>
      <xdr:row>0</xdr:row>
      <xdr:rowOff>96520</xdr:rowOff>
    </xdr:from>
    <xdr:to>
      <xdr:col>7</xdr:col>
      <xdr:colOff>43582</xdr:colOff>
      <xdr:row>1</xdr:row>
      <xdr:rowOff>86360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4E3A0513-B765-76F1-FBCD-363A8E07BE9C}"/>
            </a:ext>
          </a:extLst>
        </xdr:cNvPr>
        <xdr:cNvSpPr/>
      </xdr:nvSpPr>
      <xdr:spPr>
        <a:xfrm>
          <a:off x="66577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7</xdr:col>
      <xdr:colOff>81682</xdr:colOff>
      <xdr:row>0</xdr:row>
      <xdr:rowOff>96520</xdr:rowOff>
    </xdr:from>
    <xdr:to>
      <xdr:col>8</xdr:col>
      <xdr:colOff>119782</xdr:colOff>
      <xdr:row>1</xdr:row>
      <xdr:rowOff>86360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71E6018F-498C-B174-E36B-7FD9AD776E49}"/>
            </a:ext>
          </a:extLst>
        </xdr:cNvPr>
        <xdr:cNvSpPr/>
      </xdr:nvSpPr>
      <xdr:spPr>
        <a:xfrm>
          <a:off x="75340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8</xdr:col>
      <xdr:colOff>157882</xdr:colOff>
      <xdr:row>0</xdr:row>
      <xdr:rowOff>96520</xdr:rowOff>
    </xdr:from>
    <xdr:to>
      <xdr:col>9</xdr:col>
      <xdr:colOff>333142</xdr:colOff>
      <xdr:row>1</xdr:row>
      <xdr:rowOff>86360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5137E654-2CC6-DBFF-9E0B-EE3981CBAB1E}"/>
            </a:ext>
          </a:extLst>
        </xdr:cNvPr>
        <xdr:cNvSpPr/>
      </xdr:nvSpPr>
      <xdr:spPr>
        <a:xfrm>
          <a:off x="84103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9</xdr:col>
      <xdr:colOff>371242</xdr:colOff>
      <xdr:row>0</xdr:row>
      <xdr:rowOff>96520</xdr:rowOff>
    </xdr:from>
    <xdr:to>
      <xdr:col>10</xdr:col>
      <xdr:colOff>203602</xdr:colOff>
      <xdr:row>1</xdr:row>
      <xdr:rowOff>86360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95A51C9D-923E-EF42-28B7-79D3C4B3C764}"/>
            </a:ext>
          </a:extLst>
        </xdr:cNvPr>
        <xdr:cNvSpPr/>
      </xdr:nvSpPr>
      <xdr:spPr>
        <a:xfrm>
          <a:off x="92866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10</xdr:col>
      <xdr:colOff>241702</xdr:colOff>
      <xdr:row>0</xdr:row>
      <xdr:rowOff>96520</xdr:rowOff>
    </xdr:from>
    <xdr:to>
      <xdr:col>11</xdr:col>
      <xdr:colOff>74062</xdr:colOff>
      <xdr:row>1</xdr:row>
      <xdr:rowOff>86360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ADF575C5-5D2F-1175-DCC2-2A24E4FE189E}"/>
            </a:ext>
          </a:extLst>
        </xdr:cNvPr>
        <xdr:cNvSpPr/>
      </xdr:nvSpPr>
      <xdr:spPr>
        <a:xfrm>
          <a:off x="10162942" y="965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289560</xdr:colOff>
      <xdr:row>0</xdr:row>
      <xdr:rowOff>134620</xdr:rowOff>
    </xdr:from>
    <xdr:to>
      <xdr:col>7</xdr:col>
      <xdr:colOff>7620</xdr:colOff>
      <xdr:row>0</xdr:row>
      <xdr:rowOff>375920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CB8B6821-9CB6-7AD1-369B-29B124CA7129}"/>
            </a:ext>
          </a:extLst>
        </xdr:cNvPr>
        <xdr:cNvSpPr/>
      </xdr:nvSpPr>
      <xdr:spPr>
        <a:xfrm>
          <a:off x="75361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7</xdr:col>
      <xdr:colOff>45720</xdr:colOff>
      <xdr:row>0</xdr:row>
      <xdr:rowOff>134620</xdr:rowOff>
    </xdr:from>
    <xdr:to>
      <xdr:col>7</xdr:col>
      <xdr:colOff>883920</xdr:colOff>
      <xdr:row>0</xdr:row>
      <xdr:rowOff>375920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2002ED95-7A21-A847-15C7-4B99D9F04405}"/>
            </a:ext>
          </a:extLst>
        </xdr:cNvPr>
        <xdr:cNvSpPr/>
      </xdr:nvSpPr>
      <xdr:spPr>
        <a:xfrm>
          <a:off x="84124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7</xdr:col>
      <xdr:colOff>922020</xdr:colOff>
      <xdr:row>0</xdr:row>
      <xdr:rowOff>134620</xdr:rowOff>
    </xdr:from>
    <xdr:to>
      <xdr:col>8</xdr:col>
      <xdr:colOff>640080</xdr:colOff>
      <xdr:row>0</xdr:row>
      <xdr:rowOff>375920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AEA405EE-5FE7-6030-2453-1047F43F1CCF}"/>
            </a:ext>
          </a:extLst>
        </xdr:cNvPr>
        <xdr:cNvSpPr/>
      </xdr:nvSpPr>
      <xdr:spPr>
        <a:xfrm>
          <a:off x="92887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8</xdr:col>
      <xdr:colOff>678180</xdr:colOff>
      <xdr:row>0</xdr:row>
      <xdr:rowOff>134620</xdr:rowOff>
    </xdr:from>
    <xdr:to>
      <xdr:col>9</xdr:col>
      <xdr:colOff>396240</xdr:colOff>
      <xdr:row>0</xdr:row>
      <xdr:rowOff>375920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F16F4E6C-F4D3-9EC8-4B06-1B2643868C91}"/>
            </a:ext>
          </a:extLst>
        </xdr:cNvPr>
        <xdr:cNvSpPr/>
      </xdr:nvSpPr>
      <xdr:spPr>
        <a:xfrm>
          <a:off x="101650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9</xdr:col>
      <xdr:colOff>434340</xdr:colOff>
      <xdr:row>0</xdr:row>
      <xdr:rowOff>134620</xdr:rowOff>
    </xdr:from>
    <xdr:to>
      <xdr:col>10</xdr:col>
      <xdr:colOff>152400</xdr:colOff>
      <xdr:row>0</xdr:row>
      <xdr:rowOff>375920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842D1816-B9F9-148C-ECA0-02DC290C9A14}"/>
            </a:ext>
          </a:extLst>
        </xdr:cNvPr>
        <xdr:cNvSpPr/>
      </xdr:nvSpPr>
      <xdr:spPr>
        <a:xfrm>
          <a:off x="110413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10</xdr:col>
      <xdr:colOff>190500</xdr:colOff>
      <xdr:row>0</xdr:row>
      <xdr:rowOff>134620</xdr:rowOff>
    </xdr:from>
    <xdr:to>
      <xdr:col>10</xdr:col>
      <xdr:colOff>1028700</xdr:colOff>
      <xdr:row>0</xdr:row>
      <xdr:rowOff>375920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734FE3DA-9827-678C-DF8C-15B7E06581F5}"/>
            </a:ext>
          </a:extLst>
        </xdr:cNvPr>
        <xdr:cNvSpPr/>
      </xdr:nvSpPr>
      <xdr:spPr>
        <a:xfrm>
          <a:off x="11917680" y="1346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10</xdr:col>
      <xdr:colOff>1066800</xdr:colOff>
      <xdr:row>0</xdr:row>
      <xdr:rowOff>134620</xdr:rowOff>
    </xdr:from>
    <xdr:to>
      <xdr:col>11</xdr:col>
      <xdr:colOff>784860</xdr:colOff>
      <xdr:row>0</xdr:row>
      <xdr:rowOff>375920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6513C784-4152-FD72-375B-158C45C6575F}"/>
            </a:ext>
          </a:extLst>
        </xdr:cNvPr>
        <xdr:cNvSpPr/>
      </xdr:nvSpPr>
      <xdr:spPr>
        <a:xfrm>
          <a:off x="127939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11</xdr:col>
      <xdr:colOff>822960</xdr:colOff>
      <xdr:row>0</xdr:row>
      <xdr:rowOff>134620</xdr:rowOff>
    </xdr:from>
    <xdr:to>
      <xdr:col>12</xdr:col>
      <xdr:colOff>541020</xdr:colOff>
      <xdr:row>0</xdr:row>
      <xdr:rowOff>375920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29472CDE-3960-357F-69BC-841D69EACB34}"/>
            </a:ext>
          </a:extLst>
        </xdr:cNvPr>
        <xdr:cNvSpPr/>
      </xdr:nvSpPr>
      <xdr:spPr>
        <a:xfrm>
          <a:off x="136702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12</xdr:col>
      <xdr:colOff>579120</xdr:colOff>
      <xdr:row>0</xdr:row>
      <xdr:rowOff>134620</xdr:rowOff>
    </xdr:from>
    <xdr:to>
      <xdr:col>12</xdr:col>
      <xdr:colOff>1417320</xdr:colOff>
      <xdr:row>0</xdr:row>
      <xdr:rowOff>375920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A6DB1332-B8C4-CC0D-7E35-77307F5468F3}"/>
            </a:ext>
          </a:extLst>
        </xdr:cNvPr>
        <xdr:cNvSpPr/>
      </xdr:nvSpPr>
      <xdr:spPr>
        <a:xfrm>
          <a:off x="14546580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434606</xdr:colOff>
      <xdr:row>0</xdr:row>
      <xdr:rowOff>134620</xdr:rowOff>
    </xdr:from>
    <xdr:to>
      <xdr:col>4</xdr:col>
      <xdr:colOff>1272806</xdr:colOff>
      <xdr:row>0</xdr:row>
      <xdr:rowOff>375920</xdr:rowOff>
    </xdr:to>
    <xdr:sp macro="IrInicio" textlink="">
      <xdr:nvSpPr>
        <xdr:cNvPr id="11" name="nav_inicio">
          <a:extLst>
            <a:ext uri="{FF2B5EF4-FFF2-40B4-BE49-F238E27FC236}">
              <a16:creationId xmlns:a16="http://schemas.microsoft.com/office/drawing/2014/main" id="{DBAD13C2-772B-CA5D-7139-66994DA81341}"/>
            </a:ext>
          </a:extLst>
        </xdr:cNvPr>
        <xdr:cNvSpPr/>
      </xdr:nvSpPr>
      <xdr:spPr>
        <a:xfrm>
          <a:off x="56466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Início</a:t>
          </a:r>
        </a:p>
      </xdr:txBody>
    </xdr:sp>
    <xdr:clientData/>
  </xdr:twoCellAnchor>
  <xdr:twoCellAnchor editAs="absolute">
    <xdr:from>
      <xdr:col>4</xdr:col>
      <xdr:colOff>1310906</xdr:colOff>
      <xdr:row>0</xdr:row>
      <xdr:rowOff>134620</xdr:rowOff>
    </xdr:from>
    <xdr:to>
      <xdr:col>5</xdr:col>
      <xdr:colOff>640346</xdr:colOff>
      <xdr:row>0</xdr:row>
      <xdr:rowOff>375920</xdr:rowOff>
    </xdr:to>
    <xdr:sp macro="IrPainel" textlink="">
      <xdr:nvSpPr>
        <xdr:cNvPr id="12" name="nav_painel">
          <a:extLst>
            <a:ext uri="{FF2B5EF4-FFF2-40B4-BE49-F238E27FC236}">
              <a16:creationId xmlns:a16="http://schemas.microsoft.com/office/drawing/2014/main" id="{A9FE3E18-5A90-5D68-2774-27C3D4E7A5C5}"/>
            </a:ext>
          </a:extLst>
        </xdr:cNvPr>
        <xdr:cNvSpPr/>
      </xdr:nvSpPr>
      <xdr:spPr>
        <a:xfrm>
          <a:off x="65229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5</xdr:col>
      <xdr:colOff>678446</xdr:colOff>
      <xdr:row>0</xdr:row>
      <xdr:rowOff>134620</xdr:rowOff>
    </xdr:from>
    <xdr:to>
      <xdr:col>5</xdr:col>
      <xdr:colOff>1516646</xdr:colOff>
      <xdr:row>0</xdr:row>
      <xdr:rowOff>375920</xdr:rowOff>
    </xdr:to>
    <xdr:sp macro="IrLancar" textlink="">
      <xdr:nvSpPr>
        <xdr:cNvPr id="13" name="nav_lancar">
          <a:extLst>
            <a:ext uri="{FF2B5EF4-FFF2-40B4-BE49-F238E27FC236}">
              <a16:creationId xmlns:a16="http://schemas.microsoft.com/office/drawing/2014/main" id="{B5D83FF1-E239-E4B8-80DB-E915D43B3568}"/>
            </a:ext>
          </a:extLst>
        </xdr:cNvPr>
        <xdr:cNvSpPr/>
      </xdr:nvSpPr>
      <xdr:spPr>
        <a:xfrm>
          <a:off x="73992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+ Lançar</a:t>
          </a:r>
        </a:p>
      </xdr:txBody>
    </xdr:sp>
    <xdr:clientData/>
  </xdr:twoCellAnchor>
  <xdr:twoCellAnchor editAs="absolute">
    <xdr:from>
      <xdr:col>5</xdr:col>
      <xdr:colOff>1554746</xdr:colOff>
      <xdr:row>0</xdr:row>
      <xdr:rowOff>134620</xdr:rowOff>
    </xdr:from>
    <xdr:to>
      <xdr:col>6</xdr:col>
      <xdr:colOff>198386</xdr:colOff>
      <xdr:row>0</xdr:row>
      <xdr:rowOff>375920</xdr:rowOff>
    </xdr:to>
    <xdr:sp macro="IrAnalitos" textlink="">
      <xdr:nvSpPr>
        <xdr:cNvPr id="14" name="nav_analitos">
          <a:extLst>
            <a:ext uri="{FF2B5EF4-FFF2-40B4-BE49-F238E27FC236}">
              <a16:creationId xmlns:a16="http://schemas.microsoft.com/office/drawing/2014/main" id="{E878E3C7-2689-21DA-E357-1E8D4487851B}"/>
            </a:ext>
          </a:extLst>
        </xdr:cNvPr>
        <xdr:cNvSpPr/>
      </xdr:nvSpPr>
      <xdr:spPr>
        <a:xfrm>
          <a:off x="82755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Média/DP</a:t>
          </a:r>
        </a:p>
      </xdr:txBody>
    </xdr:sp>
    <xdr:clientData/>
  </xdr:twoCellAnchor>
  <xdr:twoCellAnchor editAs="absolute">
    <xdr:from>
      <xdr:col>6</xdr:col>
      <xdr:colOff>236486</xdr:colOff>
      <xdr:row>0</xdr:row>
      <xdr:rowOff>134620</xdr:rowOff>
    </xdr:from>
    <xdr:to>
      <xdr:col>7</xdr:col>
      <xdr:colOff>465086</xdr:colOff>
      <xdr:row>0</xdr:row>
      <xdr:rowOff>375920</xdr:rowOff>
    </xdr:to>
    <xdr:sp macro="IrLotes" textlink="">
      <xdr:nvSpPr>
        <xdr:cNvPr id="15" name="nav_lotes">
          <a:extLst>
            <a:ext uri="{FF2B5EF4-FFF2-40B4-BE49-F238E27FC236}">
              <a16:creationId xmlns:a16="http://schemas.microsoft.com/office/drawing/2014/main" id="{F9902327-11E5-447B-098E-077A8B16D9A5}"/>
            </a:ext>
          </a:extLst>
        </xdr:cNvPr>
        <xdr:cNvSpPr/>
      </xdr:nvSpPr>
      <xdr:spPr>
        <a:xfrm>
          <a:off x="91518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Lotes</a:t>
          </a:r>
        </a:p>
      </xdr:txBody>
    </xdr:sp>
    <xdr:clientData/>
  </xdr:twoCellAnchor>
  <xdr:twoCellAnchor editAs="absolute">
    <xdr:from>
      <xdr:col>7</xdr:col>
      <xdr:colOff>503186</xdr:colOff>
      <xdr:row>0</xdr:row>
      <xdr:rowOff>134620</xdr:rowOff>
    </xdr:from>
    <xdr:to>
      <xdr:col>8</xdr:col>
      <xdr:colOff>655586</xdr:colOff>
      <xdr:row>0</xdr:row>
      <xdr:rowOff>375920</xdr:rowOff>
    </xdr:to>
    <xdr:sp macro="IrEstatistica" textlink="">
      <xdr:nvSpPr>
        <xdr:cNvPr id="16" name="nav_estat">
          <a:extLst>
            <a:ext uri="{FF2B5EF4-FFF2-40B4-BE49-F238E27FC236}">
              <a16:creationId xmlns:a16="http://schemas.microsoft.com/office/drawing/2014/main" id="{FBE92C74-E383-4445-A7B3-F58D3C27A0B2}"/>
            </a:ext>
          </a:extLst>
        </xdr:cNvPr>
        <xdr:cNvSpPr/>
      </xdr:nvSpPr>
      <xdr:spPr>
        <a:xfrm>
          <a:off x="100281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Estatística</a:t>
          </a:r>
        </a:p>
      </xdr:txBody>
    </xdr:sp>
    <xdr:clientData/>
  </xdr:twoCellAnchor>
  <xdr:twoCellAnchor editAs="absolute">
    <xdr:from>
      <xdr:col>8</xdr:col>
      <xdr:colOff>693686</xdr:colOff>
      <xdr:row>0</xdr:row>
      <xdr:rowOff>134620</xdr:rowOff>
    </xdr:from>
    <xdr:to>
      <xdr:col>10</xdr:col>
      <xdr:colOff>23126</xdr:colOff>
      <xdr:row>0</xdr:row>
      <xdr:rowOff>375920</xdr:rowOff>
    </xdr:to>
    <xdr:sp macro="IrLiberacao" textlink="">
      <xdr:nvSpPr>
        <xdr:cNvPr id="17" name="nav_liber">
          <a:extLst>
            <a:ext uri="{FF2B5EF4-FFF2-40B4-BE49-F238E27FC236}">
              <a16:creationId xmlns:a16="http://schemas.microsoft.com/office/drawing/2014/main" id="{4A95C900-8658-B4B1-F2A6-BDF926C4A351}"/>
            </a:ext>
          </a:extLst>
        </xdr:cNvPr>
        <xdr:cNvSpPr/>
      </xdr:nvSpPr>
      <xdr:spPr>
        <a:xfrm>
          <a:off x="10904486" y="134620"/>
          <a:ext cx="838200" cy="241300"/>
        </a:xfrm>
        <a:prstGeom prst="roundRect">
          <a:avLst>
            <a:gd name="adj" fmla="val 25000"/>
          </a:avLst>
        </a:prstGeom>
        <a:solidFill>
          <a:srgbClr val="3CD6B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13282C"/>
              </a:solidFill>
              <a:latin typeface="Segoe UI" panose="020B0502040204020203" pitchFamily="34" charset="0"/>
            </a:rPr>
            <a:t>Liberação</a:t>
          </a:r>
        </a:p>
      </xdr:txBody>
    </xdr:sp>
    <xdr:clientData/>
  </xdr:twoCellAnchor>
  <xdr:twoCellAnchor editAs="absolute">
    <xdr:from>
      <xdr:col>10</xdr:col>
      <xdr:colOff>61226</xdr:colOff>
      <xdr:row>0</xdr:row>
      <xdr:rowOff>134620</xdr:rowOff>
    </xdr:from>
    <xdr:to>
      <xdr:col>11</xdr:col>
      <xdr:colOff>289826</xdr:colOff>
      <xdr:row>0</xdr:row>
      <xdr:rowOff>375920</xdr:rowOff>
    </xdr:to>
    <xdr:sp macro="IrRegistros" textlink="">
      <xdr:nvSpPr>
        <xdr:cNvPr id="18" name="nav_reg">
          <a:extLst>
            <a:ext uri="{FF2B5EF4-FFF2-40B4-BE49-F238E27FC236}">
              <a16:creationId xmlns:a16="http://schemas.microsoft.com/office/drawing/2014/main" id="{C21EC756-11D9-2334-D2E8-81A41A632902}"/>
            </a:ext>
          </a:extLst>
        </xdr:cNvPr>
        <xdr:cNvSpPr/>
      </xdr:nvSpPr>
      <xdr:spPr>
        <a:xfrm>
          <a:off x="117807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Registros</a:t>
          </a:r>
        </a:p>
      </xdr:txBody>
    </xdr:sp>
    <xdr:clientData/>
  </xdr:twoCellAnchor>
  <xdr:twoCellAnchor editAs="absolute">
    <xdr:from>
      <xdr:col>11</xdr:col>
      <xdr:colOff>327926</xdr:colOff>
      <xdr:row>0</xdr:row>
      <xdr:rowOff>134620</xdr:rowOff>
    </xdr:from>
    <xdr:to>
      <xdr:col>12</xdr:col>
      <xdr:colOff>556526</xdr:colOff>
      <xdr:row>0</xdr:row>
      <xdr:rowOff>375920</xdr:rowOff>
    </xdr:to>
    <xdr:sp macro="IrEventos" textlink="">
      <xdr:nvSpPr>
        <xdr:cNvPr id="19" name="nav_eventos">
          <a:extLst>
            <a:ext uri="{FF2B5EF4-FFF2-40B4-BE49-F238E27FC236}">
              <a16:creationId xmlns:a16="http://schemas.microsoft.com/office/drawing/2014/main" id="{DDEE97F5-D40F-B9C8-51E3-D27A98DCAFF9}"/>
            </a:ext>
          </a:extLst>
        </xdr:cNvPr>
        <xdr:cNvSpPr/>
      </xdr:nvSpPr>
      <xdr:spPr>
        <a:xfrm>
          <a:off x="12657086" y="134620"/>
          <a:ext cx="838200" cy="241300"/>
        </a:xfrm>
        <a:prstGeom prst="roundRect">
          <a:avLst>
            <a:gd name="adj" fmla="val 25000"/>
          </a:avLst>
        </a:prstGeom>
        <a:solidFill>
          <a:srgbClr val="1F6F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Westgard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68550-91F5-428C-8018-3D862B8F058C}" name="tblEQA_CAP_Dados" displayName="tblEQA_CAP_Dados" ref="A1:X466" totalsRowShown="0" headerRowDxfId="59">
  <autoFilter ref="A1:X466" xr:uid="{CD168550-91F5-428C-8018-3D862B8F058C}"/>
  <tableColumns count="24">
    <tableColumn id="1" xr3:uid="{C98D6D0D-0ACF-4E52-B199-750D781C8620}" name="Provedor"/>
    <tableColumn id="2" xr3:uid="{79E3E303-C7C5-4378-8831-5D3EFEC7E7C4}" name="Survey / Rodada"/>
    <tableColumn id="3" xr3:uid="{2C752999-07DF-468F-AC23-3572458F214D}" name="Ano" dataDxfId="58"/>
    <tableColumn id="4" xr3:uid="{CD90E84C-95B5-465D-A56E-4E58F9705CF4}" name="Analito"/>
    <tableColumn id="5" xr3:uid="{18D69AF6-3A0F-4DBE-9D10-E1E4E3EF74EF}" name="Amostra"/>
    <tableColumn id="6" xr3:uid="{9505977A-9EFC-46EE-B2E9-CA618CE50355}" name="Seu Resultado" dataDxfId="57"/>
    <tableColumn id="7" xr3:uid="{6F0E8570-9576-44A9-8DA3-2B8797021DED}" name="Média / Valor-alvo" dataDxfId="56"/>
    <tableColumn id="8" xr3:uid="{66CBBFA9-1F90-4B67-9128-F309C2A7EA2D}" name="SD" dataDxfId="55"/>
    <tableColumn id="9" xr3:uid="{BED88E3A-5E96-41B1-A656-DF7FD33E46C7}" name="SDI" dataDxfId="54"/>
    <tableColumn id="10" xr3:uid="{0BFA352B-56CA-41AC-835B-E1B22D5146A9}" name="Limite Inferior" dataDxfId="53"/>
    <tableColumn id="11" xr3:uid="{EFEFC719-3436-4614-B734-E50472E25AAD}" name="Limite Superior" dataDxfId="52"/>
    <tableColumn id="12" xr3:uid="{A9971F59-7CB0-44B3-AC7C-027AC7ADC7E9}" name="Avaliação"/>
    <tableColumn id="13" xr3:uid="{45BBDF98-85D3-483A-8591-D9C7ADE0CD05}" name="Nº Laboratórios" dataDxfId="51"/>
    <tableColumn id="14" xr3:uid="{14026A1B-4775-4E45-A2CC-FA88C3F1BB50}" name="Unidade"/>
    <tableColumn id="15" xr3:uid="{B0F9D6D8-1598-4772-8CB8-C2CBC7203060}" name="Bias (%)" dataDxfId="50">
      <calculatedColumnFormula>IFERROR((F2-G2)/G2*100,"")</calculatedColumnFormula>
    </tableColumn>
    <tableColumn id="16" xr3:uid="{9D70E2BC-7353-4052-A898-EBE49B1041E4}" name="|Bias| (%)" dataDxfId="49">
      <calculatedColumnFormula>IF(O2="","",ABS(O2))</calculatedColumnFormula>
    </tableColumn>
    <tableColumn id="17" xr3:uid="{FC98C614-49BA-411D-B435-12051770D51F}" name="Página Fonte" dataDxfId="48"/>
    <tableColumn id="18" xr3:uid="{1FE45C40-D925-4801-A5B6-F278D09F39E0}" name="Arquivo Fonte"/>
    <tableColumn id="19" xr3:uid="{4E2FD8C6-D14B-4BD9-96FD-A542C0DE3861}" name="ordem_desvio">
      <calculatedColumnFormula>IF($W2&lt;&gt;"NAO ACEITO","",COUNTIFS($W$2:$W2,"NAO ACEITO"))</calculatedColumnFormula>
    </tableColumn>
    <tableColumn id="20" xr3:uid="{D9385065-2BAB-4758-AC8F-EF8360E36806}" name="ordem_rodada">
      <calculatedColumnFormula>IF($B2="","",IF(COUNTIF($B$2:$B2,$B2)=1,MAX($T$1:$T1)+1,""))</calculatedColumnFormula>
    </tableColumn>
    <tableColumn id="21" xr3:uid="{86FE508B-3D2B-4D84-9D1B-4AB864740081}" name="ordem_analito">
      <calculatedColumnFormula>IF($D2="","",IF(COUNTIF($D$2:$D2,$D2)=1,MAX($U$1:$U1)+1,""))</calculatedColumnFormula>
    </tableColumn>
    <tableColumn id="22" xr3:uid="{7CF527D2-7BF6-445F-9971-72DA6D097C19}" name="par_rodada_analito">
      <calculatedColumnFormula>IF($D2="","",IF(COUNTIFS($B$2:$B2,$B2,$D$2:$D2,$D2)=1,1,0))</calculatedColumnFormula>
    </tableColumn>
    <tableColumn id="23" xr3:uid="{8F181376-3702-4AC4-92BD-82100B0BC3F3}" name="status_padronizado">
      <calculatedColumnFormula>IF($D2="","",mEQA.PadronizarStatus($L2))</calculatedColumnFormula>
    </tableColumn>
    <tableColumn id="24" xr3:uid="{D7809698-0109-47D0-8BE3-0CADAD2C4FF3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FF0803-5566-4DBC-9C89-ACE9E2777DAD}" name="tblEQA_Controllab_Dados" displayName="tblEQA_Controllab_Dados" ref="A1:X2" totalsRowShown="0" headerRowDxfId="43">
  <autoFilter ref="A1:X2" xr:uid="{9EFF0803-5566-4DBC-9C89-ACE9E2777DAD}"/>
  <tableColumns count="24">
    <tableColumn id="1" xr3:uid="{6457C3EA-2629-49C6-833B-9684B05161BC}" name="Provedor"/>
    <tableColumn id="2" xr3:uid="{EB3E3A5F-1F57-4819-B12F-198A60DBD87A}" name="Survey / Rodada"/>
    <tableColumn id="3" xr3:uid="{0A61B200-5206-4488-9F1C-85C32DE30A15}" name="Ano" dataDxfId="42"/>
    <tableColumn id="4" xr3:uid="{6B34A32E-6889-431B-B1F2-6780A97C9E16}" name="Analito"/>
    <tableColumn id="5" xr3:uid="{92CB4320-4353-4761-A8A9-442F37EECC19}" name="Amostra"/>
    <tableColumn id="6" xr3:uid="{D7A28948-BF5D-40BC-BB81-6D2254E42925}" name="Seu Resultado" dataDxfId="41"/>
    <tableColumn id="7" xr3:uid="{89AF3069-703F-452E-963B-282FDA2B6ADF}" name="Média / Valor-alvo" dataDxfId="40"/>
    <tableColumn id="8" xr3:uid="{A7A308DB-AEAC-4343-9B4C-F86695C712C1}" name="SD" dataDxfId="39"/>
    <tableColumn id="9" xr3:uid="{971F5D9F-1C15-45A9-AC14-40D0EFB2A39E}" name="SDI" dataDxfId="38"/>
    <tableColumn id="10" xr3:uid="{AA78C394-F66C-46D6-BCE6-396D07E99EC4}" name="Limite Inferior" dataDxfId="37"/>
    <tableColumn id="11" xr3:uid="{F17C3B33-F0B9-498C-A00F-D8A5C793B0C6}" name="Limite Superior" dataDxfId="36"/>
    <tableColumn id="12" xr3:uid="{76C05DF7-18CB-4B04-B9FC-6CDF6DD053C3}" name="Avaliação"/>
    <tableColumn id="13" xr3:uid="{BB9031FE-2A00-493F-87C9-BE967CB8712B}" name="Nº Laboratórios" dataDxfId="35"/>
    <tableColumn id="14" xr3:uid="{64BF686F-CDBF-4491-812C-D7EFCA53E258}" name="Unidade"/>
    <tableColumn id="15" xr3:uid="{3846867E-25F8-4E50-ADA2-6A00C1259072}" name="Bias (%)" dataDxfId="34">
      <calculatedColumnFormula>IFERROR((F2-G2)/G2*100,"")</calculatedColumnFormula>
    </tableColumn>
    <tableColumn id="16" xr3:uid="{9258C984-08F8-429C-857B-28AC1CE0489E}" name="|Bias| (%)" dataDxfId="33">
      <calculatedColumnFormula>IF(O2="","",ABS(O2))</calculatedColumnFormula>
    </tableColumn>
    <tableColumn id="17" xr3:uid="{E10F75D7-7825-4925-B279-FDA92AB9F07D}" name="Página Fonte" dataDxfId="32"/>
    <tableColumn id="18" xr3:uid="{ACD65BE9-EF58-4BB1-A607-D917813B5018}" name="Arquivo Fonte"/>
    <tableColumn id="19" xr3:uid="{1C8AC787-46EC-47C5-825B-5BBBA5F14DE7}" name="ordem_desvio">
      <calculatedColumnFormula>IF($W2&lt;&gt;"NAO ACEITO","",COUNTIFS($W$2:$W2,"NAO ACEITO"))</calculatedColumnFormula>
    </tableColumn>
    <tableColumn id="20" xr3:uid="{95EF40A8-EC2E-4622-9015-152ECD9DB82D}" name="ordem_rodada">
      <calculatedColumnFormula>IF($B2="","",IF(COUNTIF($B$2:$B2,$B2)=1,MAX($T$1:$T1)+1,""))</calculatedColumnFormula>
    </tableColumn>
    <tableColumn id="21" xr3:uid="{C1FA719D-B2B8-436F-BB7D-CA2A38BC2F65}" name="ordem_analito">
      <calculatedColumnFormula>IF($D2="","",IF(COUNTIF($D$2:$D2,$D2)=1,MAX($U$1:$U1)+1,""))</calculatedColumnFormula>
    </tableColumn>
    <tableColumn id="22" xr3:uid="{023BCB34-4F5F-4BF6-9168-86CDEF209B22}" name="par_rodada_analito">
      <calculatedColumnFormula>IF($D2="","",IF(COUNTIFS($B$2:$B2,$B2,$D$2:$D2,$D2)=1,1,0))</calculatedColumnFormula>
    </tableColumn>
    <tableColumn id="23" xr3:uid="{B1A23B27-9970-437E-A7DD-315B319F10E8}" name="status_padronizado">
      <calculatedColumnFormula>IF($D2="","",mEQA.PadronizarStatus($L2))</calculatedColumnFormula>
    </tableColumn>
    <tableColumn id="24" xr3:uid="{EEA0C7A5-051F-4CC2-9991-5DE168C82F9D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46AB7B-120F-41E4-8379-1ED0D7DB8738}" name="tblPlanoQC_Sigma" displayName="tblPlanoQC_Sigma" ref="A3:N8" totalsRowShown="0" headerRowDxfId="31">
  <autoFilter ref="A3:N8" xr:uid="{9246AB7B-120F-41E4-8379-1ED0D7DB8738}"/>
  <tableColumns count="14">
    <tableColumn id="1" xr3:uid="{E252DE4F-DC27-42E8-B534-F5C4608B3447}" name="Sigma_Min"/>
    <tableColumn id="2" xr3:uid="{74B3C0F5-C5E9-4D6D-8D80-D1D0C3D234A0}" name="Sigma_Max"/>
    <tableColumn id="3" xr3:uid="{D48B3EDB-BBF2-4D4C-967D-836CA7637153}" name="Classificacao"/>
    <tableColumn id="4" xr3:uid="{016A590D-394C-427C-89C4-9301D8C8ABF2}" name="Regras"/>
    <tableColumn id="5" xr3:uid="{A313791F-02B1-4756-A913-2A10BDA78B99}" name="N_Controle"/>
    <tableColumn id="6" xr3:uid="{1E22E8BD-F9E4-441A-A0F1-12944FF9002C}" name="RunSize_Max"/>
    <tableColumn id="7" xr3:uid="{E7E3D9F6-53A4-4AFD-A2DB-ADFEE9A132FB}" name="Frequencia"/>
    <tableColumn id="8" xr3:uid="{A853FDAF-6349-406C-B91E-0B56D60AF72C}" name="Referencia"/>
    <tableColumn id="9" xr3:uid="{6A44DB39-C906-4601-ACAC-F0EE0B63DAE9}" name="Coluna1"/>
    <tableColumn id="10" xr3:uid="{EF133685-F29C-4ADC-8E9C-05712AED5475}" name="1-3S">
      <calculatedColumnFormula>IF(ISNUMBER(SEARCH("1_3s",IF($D4="",$D$1,$D4))),1,0)</calculatedColumnFormula>
    </tableColumn>
    <tableColumn id="11" xr3:uid="{938BA9FA-E728-4CBE-9E67-B8781305693D}" name="3-1S">
      <calculatedColumnFormula>IF(ISNUMBER(SEARCH("3_1s",IF($D4="",$D$1,$D4))),1,0)</calculatedColumnFormula>
    </tableColumn>
    <tableColumn id="12" xr3:uid="{1FCA2CBA-328A-4628-811E-5D9401E58D6E}" name="6X">
      <calculatedColumnFormula>IF(ISNUMBER(SEARCH("6x",IF($D4="",$D$1,$D4))),1,0)</calculatedColumnFormula>
    </tableColumn>
    <tableColumn id="13" xr3:uid="{40474745-A191-4AFC-A4D0-5CC8B07834A6}" name="2of3-2S">
      <calculatedColumnFormula>IF(ISNUMBER(SEARCH("2of3_2s",IF($D4="",$D$1,$D4))),1,0)</calculatedColumnFormula>
    </tableColumn>
    <tableColumn id="14" xr3:uid="{F526509A-0884-4D39-B965-A1271B85B417}" name="R4S">
      <calculatedColumnFormula>IF(ISNUMBER(SEARCH("R_4s",IF($D4="",$D$1,$D4))),1,0)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695B1E-66A9-48F5-9A53-F4AD7DF9B27C}" name="tblAuditoria" displayName="tblAuditoria" ref="A3:AG4" totalsRowShown="0" headerRowDxfId="30">
  <autoFilter ref="A3:AG4" xr:uid="{99695B1E-66A9-48F5-9A53-F4AD7DF9B27C}"/>
  <tableColumns count="33">
    <tableColumn id="1" xr3:uid="{0306B195-D120-447A-B0E7-A453238669FC}" name="ID_Evento" dataDxfId="29"/>
    <tableColumn id="2" xr3:uid="{CCA07EE8-E8E1-42D0-B21A-E0ECD8471EB5}" name="VersaoSchema"/>
    <tableColumn id="3" xr3:uid="{A35F8026-6582-4629-BE4F-0F6A177637F2}" name="Timestamp"/>
    <tableColumn id="4" xr3:uid="{5578F8BF-47D6-47F1-8BC0-91F0203C8B49}" name="Data"/>
    <tableColumn id="5" xr3:uid="{8B726901-6A07-4156-BB55-39F3CE94573F}" name="Hora"/>
    <tableColumn id="6" xr3:uid="{B8A81A1B-840A-48CF-B045-D4A2FC9EE90B}" name="Categoria"/>
    <tableColumn id="7" xr3:uid="{04FDBF9F-DE00-40E8-B315-F6E454BBCC24}" name="Acao"/>
    <tableColumn id="8" xr3:uid="{0905E70E-8C14-4D5B-830D-CE7ADF2AB675}" name="Modulo"/>
    <tableColumn id="9" xr3:uid="{5EFBAE08-AC32-4EE2-BB5A-7956DE567BE6}" name="ChaveRegistro"/>
    <tableColumn id="10" xr3:uid="{D9E0E59D-D1AD-4EFC-8D8F-6B109D4AD3F1}" name="RUN"/>
    <tableColumn id="11" xr3:uid="{557ADBCB-1471-4F06-850D-306BC6832ECF}" name="DataCorrida"/>
    <tableColumn id="12" xr3:uid="{EA48169E-3F5B-4119-A3F6-7AB791F0F819}" name="Equipamento"/>
    <tableColumn id="13" xr3:uid="{9F08A834-2ACF-4A9F-8AB4-9C04B849722A}" name="Lote"/>
    <tableColumn id="14" xr3:uid="{69673BE3-F214-4795-9FCE-7CC5312E0F49}" name="Nivel"/>
    <tableColumn id="15" xr3:uid="{F42DDE3F-6996-4136-B402-91F5783CD789}" name="Analito"/>
    <tableColumn id="16" xr3:uid="{F754123F-738D-42B3-BAC2-3006662172A7}" name="SeqAlteracao"/>
    <tableColumn id="17" xr3:uid="{34D3D224-A62C-4602-BDF2-634F7B84E2EA}" name="ResultadoAnterior"/>
    <tableColumn id="18" xr3:uid="{F3D6A279-D591-48F8-A387-DF65DA72A6E7}" name="ResultadoNovo"/>
    <tableColumn id="19" xr3:uid="{A1FFDC4B-C616-4F4F-B14B-3B4729D2D6F4}" name="Delta"/>
    <tableColumn id="20" xr3:uid="{325E5C50-56DD-4A2A-B5C3-04496E2655F6}" name="DeltaPerc"/>
    <tableColumn id="21" xr3:uid="{F7137AE3-53CD-40B2-8A7A-709673785642}" name="StatusAnterior"/>
    <tableColumn id="22" xr3:uid="{5713B61E-273F-4B63-9ABF-21827F38C6FC}" name="StatusNovo"/>
    <tableColumn id="23" xr3:uid="{A2BED94C-89EC-4F04-B9F8-9D17D154003A}" name="Motivo"/>
    <tableColumn id="24" xr3:uid="{17605111-D887-451B-B429-B97F4C3FE3AC}" name="ParecerTecnico"/>
    <tableColumn id="25" xr3:uid="{56EEB83F-A714-4B39-BC20-6F5D198A54C9}" name="UsuarioSistema"/>
    <tableColumn id="26" xr3:uid="{08A39314-737F-4789-A37F-73C1C1066FD4}" name="Papel"/>
    <tableColumn id="27" xr3:uid="{5189281E-8FB8-4CBD-A6A5-4EACD4F70975}" name="UsuarioOffice"/>
    <tableColumn id="28" xr3:uid="{9B9C90DF-5815-46EE-A5D4-C7697464A0C6}" name="UsuarioWindows"/>
    <tableColumn id="29" xr3:uid="{7FC402A1-27AF-4E51-8CEF-7D39C33E84BC}" name="Computador"/>
    <tableColumn id="30" xr3:uid="{824E00F9-4298-4B07-95ED-13DBAB873249}" name="Arquivo"/>
    <tableColumn id="31" xr3:uid="{AC2A9B2E-21DF-4021-A48E-89E829D14A96}" name="VersaoSistema"/>
    <tableColumn id="32" xr3:uid="{CD386381-5E73-4B0C-BD41-BDD34E080A67}" name="HashAnterior" dataDxfId="28"/>
    <tableColumn id="33" xr3:uid="{F14EE852-6C62-4D17-AA65-638DAE8A748F}" name="Hash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D08264-CE3D-4C7C-A716-A48754C6797D}" name="tblBI_Fato" displayName="tblBI_Fato" ref="A1:CF1576" totalsRowShown="0" headerRowDxfId="26">
  <autoFilter ref="A1:CF1576" xr:uid="{1ED08264-CE3D-4C7C-A716-A48754C6797D}"/>
  <tableColumns count="84">
    <tableColumn id="1" xr3:uid="{F0ABC187-8F08-46B9-8DDE-EBB887CD5158}" name="ID_Result"/>
    <tableColumn id="2" xr3:uid="{680115D1-73DD-447B-831C-5CF737D935A1}" name="ID_Corrida"/>
    <tableColumn id="3" xr3:uid="{2ECDD2A0-40A9-4C6C-8BDA-41DE43CBAB02}" name="Data" dataDxfId="25"/>
    <tableColumn id="4" xr3:uid="{090D8893-5E8E-498F-9E3F-2170E12AAB76}" name="Ano"/>
    <tableColumn id="5" xr3:uid="{944D24AB-3D93-40F8-B1B5-3B2F59D1209E}" name="Mes"/>
    <tableColumn id="6" xr3:uid="{D6C62788-AD50-4418-BB0A-C41D1CED564F}" name="Trimestre"/>
    <tableColumn id="7" xr3:uid="{C8F0E741-BF8C-4D3D-84F5-07E7D5A7F64F}" name="Competencia"/>
    <tableColumn id="8" xr3:uid="{E271062B-8872-4109-A518-172041F0F0FF}" name="ID_Analito"/>
    <tableColumn id="9" xr3:uid="{095F0318-368B-42F2-B9BE-A8ADB3373E06}" name="Analito"/>
    <tableColumn id="10" xr3:uid="{584C677A-5721-435C-B7C7-D216992513EB}" name="Area"/>
    <tableColumn id="11" xr3:uid="{19D758A4-E85B-4EDA-A9C6-9B2C76E3EF3A}" name="Unidade"/>
    <tableColumn id="12" xr3:uid="{6E54C092-8C2B-4AAD-A3A9-10269921BB3F}" name="ID_Lote"/>
    <tableColumn id="13" xr3:uid="{4EF991B3-CC83-4FAF-BB41-3EAB09BC8DAE}" name="Lote" dataDxfId="24"/>
    <tableColumn id="14" xr3:uid="{E0BDF6AE-2A2F-43C5-B12B-E72C83ED55E0}" name="Nivel"/>
    <tableColumn id="15" xr3:uid="{5C647E68-7CC4-46E6-BC32-91891E58345C}" name="RUN"/>
    <tableColumn id="16" xr3:uid="{F5A8D624-A3D0-4CAE-9C6C-EA3FA53EF8CC}" name="Resultado"/>
    <tableColumn id="17" xr3:uid="{B8350729-6644-4A45-962C-916D0398E8A7}" name="Status"/>
    <tableColumn id="18" xr3:uid="{FEBF6F68-4080-4E4C-87E7-55F23203FE40}" name="Ativo"/>
    <tableColumn id="19" xr3:uid="{3BDC2A99-DEDC-4A86-AC3D-E5DB3EED73E0}" name="Media_Alvo"/>
    <tableColumn id="20" xr3:uid="{FB3729FA-FDA2-46C6-BD04-6E3DD7086FA4}" name="DP_Alvo"/>
    <tableColumn id="21" xr3:uid="{31467E09-76DB-4201-B1F9-4F6C4E679181}" name="Z"/>
    <tableColumn id="22" xr3:uid="{0C684D13-FC86-4C53-AE1D-073E1F33744D}" name="Lim_m3s"/>
    <tableColumn id="23" xr3:uid="{40D2100F-006B-4310-A1F4-4497CA91CA56}" name="Lim_m2s"/>
    <tableColumn id="24" xr3:uid="{FCF9C538-D002-4CA2-BFE2-3D844291B5AA}" name="Lim_m1s"/>
    <tableColumn id="25" xr3:uid="{181AD7A0-23B0-4066-B63B-CEF182D303D1}" name="Lim_p1s"/>
    <tableColumn id="26" xr3:uid="{510D40A1-E756-4113-8428-ED54DDDC0D54}" name="Lim_p2s"/>
    <tableColumn id="27" xr3:uid="{E2E3FAEF-25B5-4757-8773-50241CC69AB7}" name="Lim_p3s"/>
    <tableColumn id="28" xr3:uid="{DE184BF4-13CD-49AA-9D7B-97DD56E2CBD2}" name="CVtp_pct"/>
    <tableColumn id="29" xr3:uid="{076E9A7C-4D02-40E6-B385-5A9978C126C3}" name="BIAStp_pct"/>
    <tableColumn id="30" xr3:uid="{BE1799DF-55C0-4958-B7B7-66226C4F064A}" name="ETp_pct"/>
    <tableColumn id="31" xr3:uid="{4728940B-8A95-4EE9-895A-F2509D3E58DD}" name="W_1_3s"/>
    <tableColumn id="32" xr3:uid="{F4EDF276-7273-4DBE-BA2C-F836C65AB02D}" name="W_2of3_2s"/>
    <tableColumn id="33" xr3:uid="{B01423F6-9127-41C6-80C6-B0FA1894D769}" name="W_R_4s"/>
    <tableColumn id="34" xr3:uid="{263ED2EE-1905-4F89-BB64-923A68E63629}" name="W_3_1s"/>
    <tableColumn id="35" xr3:uid="{B885BC72-4A8C-42A0-A7AA-C33315522F84}" name="W_6x"/>
    <tableColumn id="36" xr3:uid="{26A40408-3D72-481A-9314-5FE0C40C003D}" name="A_1_2s"/>
    <tableColumn id="37" xr3:uid="{66757EE9-01C9-4CE4-9543-2F9F500DF994}" name="Veredito"/>
    <tableColumn id="38" xr3:uid="{B2CC9716-2912-4F71-8CDB-5742456535C3}" name="Produto"/>
    <tableColumn id="39" xr3:uid="{5B9622DC-FBFA-4984-A66A-3E9C230DE202}" name="WorkbookID"/>
    <tableColumn id="40" xr3:uid="{EAACEB0E-7139-4367-A755-9AB8BC45B146}" name="VersaoContrato"/>
    <tableColumn id="41" xr3:uid="{41ED5CF0-5D42-458E-958A-B10D682FA0BD}" name="AtualizadoEmUTC" dataDxfId="23"/>
    <tableColumn id="42" xr3:uid="{00ABA715-124C-4FB7-9F02-AA8075824C2C}" name="FonteArquivo"/>
    <tableColumn id="43" xr3:uid="{A507ECBD-C28C-4BF1-A662-791EF5842368}" name="ID_Result_Global"/>
    <tableColumn id="44" xr3:uid="{4470C54D-064E-4DD9-861C-7673AC25A026}" name="ID_Corrida_Global"/>
    <tableColumn id="45" xr3:uid="{F2BB8E64-45B1-44A5-B70C-72FC4ED9EBC7}" name="ID_Lote_Global"/>
    <tableColumn id="46" xr3:uid="{12AA64CC-7172-42CE-8DDD-2810CE1D2CFC}" name="ID_Analito_Global"/>
    <tableColumn id="47" xr3:uid="{49CE7660-A00D-4CB0-A38D-F4C538452ADB}" name="N_Observado"/>
    <tableColumn id="48" xr3:uid="{438C2908-FBD3-4DF3-906B-F6A68444CB2B}" name="Media_Observada"/>
    <tableColumn id="49" xr3:uid="{48CB1B5D-CAAA-4110-9773-E93B595002EC}" name="DP_Observado"/>
    <tableColumn id="50" xr3:uid="{B5ED121B-5F3C-4C71-A54D-326F3C37F7AB}" name="CV_Observado_pct"/>
    <tableColumn id="51" xr3:uid="{45047F8A-87C5-4A1C-A10A-E825C7B03318}" name="Bias_Observado_pct"/>
    <tableColumn id="52" xr3:uid="{1D1A0B6E-E3E9-43E7-B23B-1E3F3120F3A4}" name="ET_Observado_pct"/>
    <tableColumn id="53" xr3:uid="{6E448BA0-3BE5-41E0-9098-CD4DDADA523A}" name="Sigma"/>
    <tableColumn id="54" xr3:uid="{3FED3B25-E37B-48A1-A44C-852A5BE651AC}" name="Fonte_Especificacao"/>
    <tableColumn id="55" xr3:uid="{EF78DD31-54DE-40C8-8D8A-BEC40BBC5D89}" name="ID_Especificacao"/>
    <tableColumn id="56" xr3:uid="{A00BB0E8-6EF2-4AE6-AD38-BA123B3984AC}" name="Vigencia_Inicio" dataDxfId="22"/>
    <tableColumn id="57" xr3:uid="{41D3E9A6-3C42-4E41-BBE1-276AE86C3ACA}" name="Vigencia_Fim" dataDxfId="21"/>
    <tableColumn id="58" xr3:uid="{227CB25D-0D2F-4DD8-A019-DFF4CC698EE3}" name="Situacao_Especificacao"/>
    <tableColumn id="59" xr3:uid="{B38B04BC-2E9D-4B8B-991E-0BFA7CC0B011}" name="Usuario_Atualizacao"/>
    <tableColumn id="60" xr3:uid="{02425A9D-E232-47F7-B42A-A5474B849849}" name="Tipo_Evento"/>
    <tableColumn id="61" xr3:uid="{E4BE07DD-EF07-4D14-8C5C-1F13123CDF3C}" name="Bias_Observado_abs_pct"/>
    <tableColumn id="62" xr3:uid="{D7D51D75-A2A9-41B1-ACD0-FB4CA24EB025}" name="Classificacao_Sigma"/>
    <tableColumn id="63" xr3:uid="{A53E4A93-F505-48CC-B993-39E5EF2D1C7A}" name="Margem_ETp_pp"/>
    <tableColumn id="64" xr3:uid="{9419DF0C-E98E-487D-8322-0EEA559FD4C0}" name="Margem_ETp_pct"/>
    <tableColumn id="65" xr3:uid="{39FCF340-6AAB-4A08-83D5-657E52F0F70E}" name="Status_Margem_ETp"/>
    <tableColumn id="66" xr3:uid="{F70ABADE-7473-471B-BF0E-AC4D94A8125A}" name="Provedor_EQA"/>
    <tableColumn id="67" xr3:uid="{F9AB8579-676A-4D36-BADA-CF4F715E9666}" name="Ano_EQA"/>
    <tableColumn id="68" xr3:uid="{1027BB2C-70EF-49C5-9A38-716C368A8480}" name="Rodada_EQA"/>
    <tableColumn id="69" xr3:uid="{329E0356-2B21-4043-9B6F-1CA34B15A613}" name="DPM_Teorico"/>
    <tableColumn id="70" xr3:uid="{755112E3-740C-47D8-BE60-548607FDA752}" name="Yield_Teorico"/>
    <tableColumn id="71" xr3:uid="{E94EBF2F-B72D-4B6D-AF80-DE7C9D125B4A}" name="Regra_Westgard_Recomendada"/>
    <tableColumn id="72" xr3:uid="{796DA784-11D0-458E-9A64-89E6EE144BE9}" name="N_Controle_Recomendado"/>
    <tableColumn id="73" xr3:uid="{3916180A-A4B6-4745-9E91-AB4320104AC7}" name="RunSize_Max_Recomendado"/>
    <tableColumn id="74" xr3:uid="{9797F289-82FC-414B-9EE4-5AFF3422444B}" name="Frequencia_QC_Descricao"/>
    <tableColumn id="75" xr3:uid="{65E34962-AF73-48EA-810D-247B284F1FBE}" name="Cobertura_Motor_Westgard"/>
    <tableColumn id="76" xr3:uid="{68EC8E60-6966-483C-8F14-CD941B9724F1}" name="Referencia_Plano_QC"/>
    <tableColumn id="77" xr3:uid="{6DFA814E-C893-4619-8FE6-F3C4FFFEE313}" name="Sigma_Plano"/>
    <tableColumn id="78" xr3:uid="{6892EC4B-5959-4D60-AE94-094626332B9F}" name="Nivel_Governante"/>
    <tableColumn id="79" xr3:uid="{3AEC085E-07F5-443B-8F07-D67984717AD6}" name="Classificacao_Sigma_Plano"/>
    <tableColumn id="80" xr3:uid="{210B21D9-24A1-4940-A8E9-051279F731F5}" name="Usar_1_3s"/>
    <tableColumn id="81" xr3:uid="{826CB63F-37F3-452B-8352-2F3ED92E1302}" name="Usar_2of3_2s"/>
    <tableColumn id="82" xr3:uid="{4BBD200A-FCD2-4476-B3B9-EEB19273DF1C}" name="Usar_R_4s"/>
    <tableColumn id="83" xr3:uid="{BB03C60A-C557-47C3-9508-BC6396209506}" name="Usar_3_1s"/>
    <tableColumn id="84" xr3:uid="{ED2C590A-2C13-49B1-932B-160937C9C954}" name="Usar_6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7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7.xml"/><Relationship Id="rId4" Type="http://schemas.openxmlformats.org/officeDocument/2006/relationships/hyperlink" Target="https://clsi.org/standards/products/method-evaluation/documents/c24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4.4" x14ac:dyDescent="0.3"/>
  <cols>
    <col min="2" max="2" width="24.6640625" customWidth="1"/>
    <col min="3" max="3" width="10.6640625" customWidth="1"/>
    <col min="4" max="4" width="62.6640625" customWidth="1"/>
  </cols>
  <sheetData>
    <row r="2" spans="2:4" ht="15.6" x14ac:dyDescent="0.3">
      <c r="B2" s="77" t="s">
        <v>357</v>
      </c>
    </row>
    <row r="3" spans="2:4" x14ac:dyDescent="0.3">
      <c r="B3" s="78" t="s">
        <v>264</v>
      </c>
      <c r="C3" s="78" t="s">
        <v>358</v>
      </c>
      <c r="D3" s="78" t="s">
        <v>359</v>
      </c>
    </row>
    <row r="4" spans="2:4" x14ac:dyDescent="0.3">
      <c r="B4" t="s">
        <v>352</v>
      </c>
      <c r="C4" t="s">
        <v>360</v>
      </c>
      <c r="D4" t="s">
        <v>361</v>
      </c>
    </row>
    <row r="5" spans="2:4" x14ac:dyDescent="0.3">
      <c r="B5" t="s">
        <v>362</v>
      </c>
      <c r="C5" t="s">
        <v>363</v>
      </c>
      <c r="D5" t="s">
        <v>364</v>
      </c>
    </row>
    <row r="6" spans="2:4" x14ac:dyDescent="0.3">
      <c r="B6" t="s">
        <v>365</v>
      </c>
      <c r="C6" t="s">
        <v>363</v>
      </c>
      <c r="D6" t="s">
        <v>366</v>
      </c>
    </row>
    <row r="7" spans="2:4" x14ac:dyDescent="0.3">
      <c r="B7" t="s">
        <v>367</v>
      </c>
      <c r="C7" t="s">
        <v>363</v>
      </c>
      <c r="D7" t="s">
        <v>368</v>
      </c>
    </row>
    <row r="8" spans="2:4" x14ac:dyDescent="0.3">
      <c r="B8" t="s">
        <v>369</v>
      </c>
      <c r="C8" t="s">
        <v>363</v>
      </c>
      <c r="D8" t="s">
        <v>370</v>
      </c>
    </row>
    <row r="9" spans="2:4" x14ac:dyDescent="0.3">
      <c r="B9" t="s">
        <v>371</v>
      </c>
      <c r="C9" t="s">
        <v>363</v>
      </c>
      <c r="D9" t="s">
        <v>372</v>
      </c>
    </row>
    <row r="10" spans="2:4" x14ac:dyDescent="0.3">
      <c r="B10" t="s">
        <v>373</v>
      </c>
      <c r="C10" t="s">
        <v>363</v>
      </c>
      <c r="D10" t="s">
        <v>374</v>
      </c>
    </row>
    <row r="11" spans="2:4" x14ac:dyDescent="0.3">
      <c r="B11" t="s">
        <v>375</v>
      </c>
      <c r="C11" t="s">
        <v>363</v>
      </c>
      <c r="D11" t="s">
        <v>376</v>
      </c>
    </row>
    <row r="12" spans="2:4" x14ac:dyDescent="0.3">
      <c r="B12" s="79" t="s">
        <v>377</v>
      </c>
    </row>
  </sheetData>
  <sheetProtection algorithmName="SHA-512" hashValue="Lw9hlwBfG36nV96cqvCeFAu3xO5BRKfek7yL0AORyOxxgxjnpKWJtxE98bvOc7v3Qj0M3wa5/JCqnjRnm/DMiQ==" saltValue="+2oP3+57A0KJrFc8vwQ2Xw==" spinCount="100000" sheet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X5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12.6640625" customWidth="1"/>
    <col min="2" max="2" width="8.6640625" customWidth="1"/>
    <col min="3" max="3" width="16.6640625" customWidth="1"/>
    <col min="4" max="4" width="8.6640625" customWidth="1"/>
    <col min="5" max="5" width="12.6640625" customWidth="1"/>
    <col min="6" max="6" width="18.6640625" customWidth="1"/>
    <col min="7" max="7" width="12.6640625" customWidth="1"/>
    <col min="8" max="8" width="10.6640625" customWidth="1"/>
  </cols>
  <sheetData>
    <row r="1" spans="1:24" ht="28.2" customHeight="1" x14ac:dyDescent="0.35">
      <c r="A1" s="170" t="s">
        <v>378</v>
      </c>
      <c r="B1" s="166"/>
      <c r="C1" s="166"/>
      <c r="D1" s="166"/>
      <c r="E1" s="166"/>
      <c r="F1" s="166"/>
      <c r="G1" s="166"/>
      <c r="H1" s="166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</row>
    <row r="2" spans="1:24" x14ac:dyDescent="0.3">
      <c r="I2" s="76" t="s">
        <v>379</v>
      </c>
      <c r="J2">
        <v>95</v>
      </c>
      <c r="K2" t="s">
        <v>4737</v>
      </c>
      <c r="L2" s="99" t="s">
        <v>15</v>
      </c>
    </row>
    <row r="3" spans="1:24" x14ac:dyDescent="0.3">
      <c r="A3" s="80" t="s">
        <v>173</v>
      </c>
      <c r="B3" s="80" t="s">
        <v>353</v>
      </c>
      <c r="C3" s="80" t="s">
        <v>88</v>
      </c>
      <c r="D3" s="80" t="s">
        <v>4614</v>
      </c>
      <c r="E3" s="80" t="s">
        <v>380</v>
      </c>
      <c r="F3" s="80" t="s">
        <v>1039</v>
      </c>
      <c r="G3" s="80" t="s">
        <v>1040</v>
      </c>
      <c r="H3" s="80" t="s">
        <v>4615</v>
      </c>
      <c r="I3" t="s">
        <v>1041</v>
      </c>
      <c r="J3" t="s">
        <v>1042</v>
      </c>
      <c r="K3" t="s">
        <v>4616</v>
      </c>
      <c r="L3" t="s">
        <v>4617</v>
      </c>
      <c r="M3" t="s">
        <v>311</v>
      </c>
      <c r="N3" t="s">
        <v>4618</v>
      </c>
    </row>
    <row r="4" spans="1:24" x14ac:dyDescent="0.3">
      <c r="A4" s="82">
        <v>45726</v>
      </c>
      <c r="B4" s="81">
        <v>10</v>
      </c>
      <c r="C4" t="s">
        <v>122</v>
      </c>
      <c r="D4" s="99" t="s">
        <v>4534</v>
      </c>
      <c r="E4" t="s">
        <v>1060</v>
      </c>
      <c r="F4" t="s">
        <v>1056</v>
      </c>
      <c r="G4" t="s">
        <v>1057</v>
      </c>
      <c r="H4" s="83" t="s">
        <v>4535</v>
      </c>
      <c r="I4">
        <v>1</v>
      </c>
      <c r="J4">
        <v>3</v>
      </c>
      <c r="K4">
        <v>8</v>
      </c>
      <c r="L4" t="s">
        <v>4536</v>
      </c>
      <c r="M4" t="s">
        <v>4537</v>
      </c>
      <c r="N4">
        <v>1.3596491228070138</v>
      </c>
    </row>
    <row r="5" spans="1:24" x14ac:dyDescent="0.3">
      <c r="A5" s="82">
        <v>45726</v>
      </c>
      <c r="B5" s="81">
        <v>10</v>
      </c>
      <c r="C5" t="s">
        <v>122</v>
      </c>
      <c r="D5" s="99" t="s">
        <v>4534</v>
      </c>
      <c r="E5" t="s">
        <v>1063</v>
      </c>
      <c r="F5" t="s">
        <v>1066</v>
      </c>
      <c r="G5" t="s">
        <v>1057</v>
      </c>
      <c r="H5" s="83" t="s">
        <v>4535</v>
      </c>
      <c r="I5">
        <v>1</v>
      </c>
      <c r="J5">
        <v>6</v>
      </c>
      <c r="K5">
        <v>5</v>
      </c>
      <c r="L5" t="s">
        <v>4538</v>
      </c>
      <c r="M5" t="s">
        <v>4537</v>
      </c>
      <c r="N5">
        <v>1.3596491228070138</v>
      </c>
    </row>
    <row r="6" spans="1:24" x14ac:dyDescent="0.3">
      <c r="A6" s="82">
        <v>45761</v>
      </c>
      <c r="B6" s="81">
        <v>15</v>
      </c>
      <c r="C6" t="s">
        <v>122</v>
      </c>
      <c r="D6" s="99" t="s">
        <v>4539</v>
      </c>
      <c r="E6" t="s">
        <v>1053</v>
      </c>
      <c r="F6" t="s">
        <v>1050</v>
      </c>
      <c r="G6" t="s">
        <v>1054</v>
      </c>
      <c r="H6" s="83" t="s">
        <v>4540</v>
      </c>
      <c r="I6">
        <v>3</v>
      </c>
      <c r="J6">
        <v>1</v>
      </c>
      <c r="K6">
        <v>15</v>
      </c>
      <c r="L6" t="s">
        <v>4541</v>
      </c>
      <c r="M6" t="s">
        <v>4537</v>
      </c>
      <c r="N6">
        <v>2.2993421052631553</v>
      </c>
    </row>
    <row r="7" spans="1:24" x14ac:dyDescent="0.3">
      <c r="A7" s="82">
        <v>45782</v>
      </c>
      <c r="B7" s="81">
        <v>18</v>
      </c>
      <c r="C7" t="s">
        <v>122</v>
      </c>
      <c r="D7" s="99" t="s">
        <v>4539</v>
      </c>
      <c r="E7" t="s">
        <v>1059</v>
      </c>
      <c r="F7" t="s">
        <v>1050</v>
      </c>
      <c r="G7" t="s">
        <v>1054</v>
      </c>
      <c r="H7" s="83" t="s">
        <v>4540</v>
      </c>
      <c r="I7">
        <v>3</v>
      </c>
      <c r="J7">
        <v>1</v>
      </c>
      <c r="K7">
        <v>18</v>
      </c>
      <c r="L7" t="s">
        <v>4542</v>
      </c>
      <c r="M7" t="s">
        <v>4537</v>
      </c>
      <c r="N7">
        <v>-2.3991228070175423</v>
      </c>
    </row>
    <row r="8" spans="1:24" x14ac:dyDescent="0.3">
      <c r="A8" s="82">
        <v>45796</v>
      </c>
      <c r="B8" s="81">
        <v>20</v>
      </c>
      <c r="C8" t="s">
        <v>122</v>
      </c>
      <c r="D8" s="99" t="s">
        <v>4543</v>
      </c>
      <c r="E8" t="s">
        <v>984</v>
      </c>
      <c r="F8" t="s">
        <v>1049</v>
      </c>
      <c r="G8" t="s">
        <v>1050</v>
      </c>
      <c r="H8" s="83" t="s">
        <v>4540</v>
      </c>
      <c r="I8">
        <v>1</v>
      </c>
      <c r="J8">
        <v>1</v>
      </c>
      <c r="K8">
        <v>20</v>
      </c>
      <c r="L8" t="s">
        <v>4544</v>
      </c>
      <c r="M8" t="s">
        <v>4537</v>
      </c>
      <c r="N8">
        <v>3.5973534971644638</v>
      </c>
    </row>
    <row r="9" spans="1:24" x14ac:dyDescent="0.3">
      <c r="A9" s="82">
        <v>45796</v>
      </c>
      <c r="B9" s="81">
        <v>20</v>
      </c>
      <c r="C9" t="s">
        <v>122</v>
      </c>
      <c r="D9" s="99" t="s">
        <v>4545</v>
      </c>
      <c r="E9" t="s">
        <v>1059</v>
      </c>
      <c r="F9" t="s">
        <v>1050</v>
      </c>
      <c r="G9" t="s">
        <v>1054</v>
      </c>
      <c r="H9" s="83" t="s">
        <v>4540</v>
      </c>
      <c r="I9">
        <v>3</v>
      </c>
      <c r="J9">
        <v>1</v>
      </c>
      <c r="K9">
        <v>20</v>
      </c>
      <c r="L9" t="s">
        <v>4546</v>
      </c>
      <c r="M9" t="s">
        <v>4537</v>
      </c>
      <c r="N9">
        <v>3.5973534971644638</v>
      </c>
    </row>
    <row r="10" spans="1:24" x14ac:dyDescent="0.3">
      <c r="A10" s="82">
        <v>45663</v>
      </c>
      <c r="B10" s="81">
        <v>1</v>
      </c>
      <c r="C10" t="s">
        <v>128</v>
      </c>
      <c r="D10" s="99" t="s">
        <v>4534</v>
      </c>
      <c r="E10" t="s">
        <v>984</v>
      </c>
      <c r="F10" t="s">
        <v>1049</v>
      </c>
      <c r="G10" t="s">
        <v>1050</v>
      </c>
      <c r="H10" s="83" t="s">
        <v>4540</v>
      </c>
      <c r="I10">
        <v>1</v>
      </c>
      <c r="J10">
        <v>1</v>
      </c>
      <c r="K10">
        <v>1</v>
      </c>
      <c r="L10" t="s">
        <v>4547</v>
      </c>
      <c r="M10" t="s">
        <v>4537</v>
      </c>
      <c r="N10">
        <v>-3.2514374170720957</v>
      </c>
    </row>
    <row r="11" spans="1:24" x14ac:dyDescent="0.3">
      <c r="A11" s="82">
        <v>45663</v>
      </c>
      <c r="B11" s="81">
        <v>1</v>
      </c>
      <c r="C11" t="s">
        <v>128</v>
      </c>
      <c r="D11" s="99" t="s">
        <v>4548</v>
      </c>
      <c r="E11" t="s">
        <v>1059</v>
      </c>
      <c r="F11" t="s">
        <v>1050</v>
      </c>
      <c r="G11" t="s">
        <v>1054</v>
      </c>
      <c r="H11" s="83" t="s">
        <v>4540</v>
      </c>
      <c r="I11">
        <v>3</v>
      </c>
      <c r="J11">
        <v>1</v>
      </c>
      <c r="K11">
        <v>1</v>
      </c>
      <c r="L11" t="s">
        <v>4549</v>
      </c>
      <c r="M11" t="s">
        <v>4537</v>
      </c>
      <c r="N11">
        <v>-3.2514374170720957</v>
      </c>
    </row>
    <row r="12" spans="1:24" x14ac:dyDescent="0.3">
      <c r="A12" s="82">
        <v>45810</v>
      </c>
      <c r="B12" s="81">
        <v>22</v>
      </c>
      <c r="C12" t="s">
        <v>128</v>
      </c>
      <c r="D12" s="99" t="s">
        <v>4550</v>
      </c>
      <c r="E12" t="s">
        <v>1063</v>
      </c>
      <c r="F12" t="s">
        <v>1066</v>
      </c>
      <c r="G12" t="s">
        <v>1057</v>
      </c>
      <c r="H12" s="83" t="s">
        <v>4535</v>
      </c>
      <c r="I12">
        <v>1</v>
      </c>
      <c r="J12">
        <v>6</v>
      </c>
      <c r="K12">
        <v>17</v>
      </c>
      <c r="L12" t="s">
        <v>4551</v>
      </c>
      <c r="M12" t="s">
        <v>4537</v>
      </c>
      <c r="N12">
        <v>0.21551724137931375</v>
      </c>
    </row>
    <row r="13" spans="1:24" x14ac:dyDescent="0.3">
      <c r="A13" s="82">
        <v>45670</v>
      </c>
      <c r="B13" s="81">
        <v>2</v>
      </c>
      <c r="C13" t="s">
        <v>130</v>
      </c>
      <c r="D13" s="99" t="s">
        <v>4552</v>
      </c>
      <c r="E13" t="s">
        <v>1063</v>
      </c>
      <c r="F13" t="s">
        <v>1068</v>
      </c>
      <c r="G13" t="s">
        <v>1064</v>
      </c>
      <c r="H13" s="83" t="s">
        <v>4540</v>
      </c>
      <c r="I13">
        <v>3</v>
      </c>
      <c r="J13">
        <v>2</v>
      </c>
      <c r="K13">
        <v>1</v>
      </c>
      <c r="L13" t="s">
        <v>4553</v>
      </c>
      <c r="M13" t="s">
        <v>4537</v>
      </c>
      <c r="N13">
        <v>0.39198855507868513</v>
      </c>
    </row>
    <row r="14" spans="1:24" x14ac:dyDescent="0.3">
      <c r="A14" s="82">
        <v>45705</v>
      </c>
      <c r="B14" s="81">
        <v>7</v>
      </c>
      <c r="C14" t="s">
        <v>130</v>
      </c>
      <c r="D14" s="99" t="s">
        <v>4552</v>
      </c>
      <c r="E14" t="s">
        <v>1063</v>
      </c>
      <c r="F14" t="s">
        <v>1068</v>
      </c>
      <c r="G14" t="s">
        <v>1064</v>
      </c>
      <c r="H14" s="83" t="s">
        <v>4540</v>
      </c>
      <c r="I14">
        <v>3</v>
      </c>
      <c r="J14">
        <v>2</v>
      </c>
      <c r="K14">
        <v>6</v>
      </c>
      <c r="L14" t="s">
        <v>4554</v>
      </c>
      <c r="M14" t="s">
        <v>4537</v>
      </c>
      <c r="N14">
        <v>-1.1512390670554036</v>
      </c>
    </row>
    <row r="15" spans="1:24" x14ac:dyDescent="0.3">
      <c r="A15" s="82">
        <v>45712</v>
      </c>
      <c r="B15" s="81">
        <v>8</v>
      </c>
      <c r="C15" t="s">
        <v>130</v>
      </c>
      <c r="D15" s="99" t="s">
        <v>4550</v>
      </c>
      <c r="E15" t="s">
        <v>1063</v>
      </c>
      <c r="F15" t="s">
        <v>1066</v>
      </c>
      <c r="G15" t="s">
        <v>1057</v>
      </c>
      <c r="H15" s="83" t="s">
        <v>4535</v>
      </c>
      <c r="I15">
        <v>1</v>
      </c>
      <c r="J15">
        <v>6</v>
      </c>
      <c r="K15">
        <v>3</v>
      </c>
      <c r="L15" t="s">
        <v>4555</v>
      </c>
      <c r="M15" t="s">
        <v>4537</v>
      </c>
      <c r="N15">
        <v>-0.82729570345408832</v>
      </c>
    </row>
    <row r="16" spans="1:24" x14ac:dyDescent="0.3">
      <c r="A16" s="82">
        <v>45719</v>
      </c>
      <c r="B16" s="81">
        <v>9</v>
      </c>
      <c r="C16" t="s">
        <v>130</v>
      </c>
      <c r="D16" s="99" t="s">
        <v>4550</v>
      </c>
      <c r="E16" t="s">
        <v>1063</v>
      </c>
      <c r="F16" t="s">
        <v>1066</v>
      </c>
      <c r="G16" t="s">
        <v>1057</v>
      </c>
      <c r="H16" s="83" t="s">
        <v>4535</v>
      </c>
      <c r="I16">
        <v>1</v>
      </c>
      <c r="J16">
        <v>6</v>
      </c>
      <c r="K16">
        <v>4</v>
      </c>
      <c r="L16" t="s">
        <v>4556</v>
      </c>
      <c r="M16" t="s">
        <v>4537</v>
      </c>
      <c r="N16">
        <v>-0.30454928390902286</v>
      </c>
    </row>
    <row r="17" spans="1:14" x14ac:dyDescent="0.3">
      <c r="A17" s="82">
        <v>45726</v>
      </c>
      <c r="B17" s="81">
        <v>10</v>
      </c>
      <c r="C17" t="s">
        <v>130</v>
      </c>
      <c r="D17" s="99" t="s">
        <v>4550</v>
      </c>
      <c r="E17" t="s">
        <v>1063</v>
      </c>
      <c r="F17" t="s">
        <v>1066</v>
      </c>
      <c r="G17" t="s">
        <v>1057</v>
      </c>
      <c r="H17" s="83" t="s">
        <v>4535</v>
      </c>
      <c r="I17">
        <v>1</v>
      </c>
      <c r="J17">
        <v>6</v>
      </c>
      <c r="K17">
        <v>5</v>
      </c>
      <c r="L17" t="s">
        <v>4557</v>
      </c>
      <c r="M17" t="s">
        <v>4537</v>
      </c>
      <c r="N17">
        <v>-1.0269587194608265</v>
      </c>
    </row>
    <row r="18" spans="1:14" x14ac:dyDescent="0.3">
      <c r="A18" s="82">
        <v>45733</v>
      </c>
      <c r="B18" s="81">
        <v>11</v>
      </c>
      <c r="C18" t="s">
        <v>130</v>
      </c>
      <c r="D18" s="99" t="s">
        <v>4550</v>
      </c>
      <c r="E18" t="s">
        <v>1063</v>
      </c>
      <c r="F18" t="s">
        <v>1066</v>
      </c>
      <c r="G18" t="s">
        <v>1057</v>
      </c>
      <c r="H18" s="83" t="s">
        <v>4535</v>
      </c>
      <c r="I18">
        <v>1</v>
      </c>
      <c r="J18">
        <v>6</v>
      </c>
      <c r="K18">
        <v>6</v>
      </c>
      <c r="L18" t="s">
        <v>4558</v>
      </c>
      <c r="M18" t="s">
        <v>4537</v>
      </c>
      <c r="N18">
        <v>-1.2898062342038774</v>
      </c>
    </row>
    <row r="19" spans="1:14" x14ac:dyDescent="0.3">
      <c r="A19" s="82">
        <v>45740</v>
      </c>
      <c r="B19" s="81">
        <v>12</v>
      </c>
      <c r="C19" t="s">
        <v>130</v>
      </c>
      <c r="D19" s="99" t="s">
        <v>4543</v>
      </c>
      <c r="E19" t="s">
        <v>1060</v>
      </c>
      <c r="F19" t="s">
        <v>1056</v>
      </c>
      <c r="G19" t="s">
        <v>1057</v>
      </c>
      <c r="H19" s="83" t="s">
        <v>4535</v>
      </c>
      <c r="I19">
        <v>1</v>
      </c>
      <c r="J19">
        <v>3</v>
      </c>
      <c r="K19">
        <v>10</v>
      </c>
      <c r="L19" t="s">
        <v>4559</v>
      </c>
      <c r="M19" t="s">
        <v>4537</v>
      </c>
      <c r="N19">
        <v>1.0849125364431451</v>
      </c>
    </row>
    <row r="20" spans="1:14" x14ac:dyDescent="0.3">
      <c r="A20" s="82">
        <v>45740</v>
      </c>
      <c r="B20" s="81">
        <v>12</v>
      </c>
      <c r="C20" t="s">
        <v>130</v>
      </c>
      <c r="D20" s="99" t="s">
        <v>4550</v>
      </c>
      <c r="E20" t="s">
        <v>1063</v>
      </c>
      <c r="F20" t="s">
        <v>1066</v>
      </c>
      <c r="G20" t="s">
        <v>1057</v>
      </c>
      <c r="H20" s="83" t="s">
        <v>4535</v>
      </c>
      <c r="I20">
        <v>1</v>
      </c>
      <c r="J20">
        <v>6</v>
      </c>
      <c r="K20">
        <v>7</v>
      </c>
      <c r="L20" t="s">
        <v>4560</v>
      </c>
      <c r="M20" t="s">
        <v>4537</v>
      </c>
      <c r="N20">
        <v>-4.8020219039603428E-2</v>
      </c>
    </row>
    <row r="21" spans="1:14" x14ac:dyDescent="0.3">
      <c r="A21" s="82">
        <v>45733</v>
      </c>
      <c r="B21" s="81">
        <v>11</v>
      </c>
      <c r="C21" t="s">
        <v>131</v>
      </c>
      <c r="D21" s="99" t="s">
        <v>4550</v>
      </c>
      <c r="E21" t="s">
        <v>1063</v>
      </c>
      <c r="F21" t="s">
        <v>1066</v>
      </c>
      <c r="G21" t="s">
        <v>1057</v>
      </c>
      <c r="H21" s="83" t="s">
        <v>4535</v>
      </c>
      <c r="I21">
        <v>1</v>
      </c>
      <c r="J21">
        <v>6</v>
      </c>
      <c r="K21">
        <v>6</v>
      </c>
      <c r="L21" t="s">
        <v>4558</v>
      </c>
      <c r="M21" t="s">
        <v>4537</v>
      </c>
      <c r="N21">
        <v>-8.4076777507440192E-2</v>
      </c>
    </row>
    <row r="22" spans="1:14" x14ac:dyDescent="0.3">
      <c r="A22" s="82">
        <v>45740</v>
      </c>
      <c r="B22" s="81">
        <v>12</v>
      </c>
      <c r="C22" t="s">
        <v>131</v>
      </c>
      <c r="D22" s="99" t="s">
        <v>4550</v>
      </c>
      <c r="E22" t="s">
        <v>1063</v>
      </c>
      <c r="F22" t="s">
        <v>1066</v>
      </c>
      <c r="G22" t="s">
        <v>1057</v>
      </c>
      <c r="H22" s="83" t="s">
        <v>4535</v>
      </c>
      <c r="I22">
        <v>1</v>
      </c>
      <c r="J22">
        <v>6</v>
      </c>
      <c r="K22">
        <v>7</v>
      </c>
      <c r="L22" t="s">
        <v>4560</v>
      </c>
      <c r="M22" t="s">
        <v>4537</v>
      </c>
      <c r="N22">
        <v>-9.3809137604760312E-2</v>
      </c>
    </row>
    <row r="23" spans="1:14" x14ac:dyDescent="0.3">
      <c r="A23" s="82">
        <v>45747</v>
      </c>
      <c r="B23" s="81">
        <v>13</v>
      </c>
      <c r="C23" t="s">
        <v>131</v>
      </c>
      <c r="D23" s="99" t="s">
        <v>4552</v>
      </c>
      <c r="E23" t="s">
        <v>1060</v>
      </c>
      <c r="F23" t="s">
        <v>1061</v>
      </c>
      <c r="G23" t="s">
        <v>1054</v>
      </c>
      <c r="H23" s="83" t="s">
        <v>4540</v>
      </c>
      <c r="I23">
        <v>3</v>
      </c>
      <c r="J23">
        <v>1</v>
      </c>
      <c r="K23">
        <v>13</v>
      </c>
      <c r="L23" t="s">
        <v>4561</v>
      </c>
      <c r="M23" t="s">
        <v>4537</v>
      </c>
      <c r="N23">
        <v>-1.8062953995157438</v>
      </c>
    </row>
    <row r="24" spans="1:14" x14ac:dyDescent="0.3">
      <c r="A24" s="82">
        <v>45747</v>
      </c>
      <c r="B24" s="81">
        <v>13</v>
      </c>
      <c r="C24" t="s">
        <v>131</v>
      </c>
      <c r="D24" s="99" t="s">
        <v>4552</v>
      </c>
      <c r="E24" t="s">
        <v>1063</v>
      </c>
      <c r="F24" t="s">
        <v>1068</v>
      </c>
      <c r="G24" t="s">
        <v>1064</v>
      </c>
      <c r="H24" s="83" t="s">
        <v>4540</v>
      </c>
      <c r="I24">
        <v>3</v>
      </c>
      <c r="J24">
        <v>2</v>
      </c>
      <c r="K24">
        <v>12</v>
      </c>
      <c r="L24" t="s">
        <v>4562</v>
      </c>
      <c r="M24" t="s">
        <v>4537</v>
      </c>
      <c r="N24">
        <v>-1.8062953995157438</v>
      </c>
    </row>
    <row r="25" spans="1:14" x14ac:dyDescent="0.3">
      <c r="A25" s="82">
        <v>45747</v>
      </c>
      <c r="B25" s="81">
        <v>13</v>
      </c>
      <c r="C25" t="s">
        <v>131</v>
      </c>
      <c r="D25" s="99" t="s">
        <v>4534</v>
      </c>
      <c r="E25" t="s">
        <v>1060</v>
      </c>
      <c r="F25" t="s">
        <v>1056</v>
      </c>
      <c r="G25" t="s">
        <v>1057</v>
      </c>
      <c r="H25" s="83" t="s">
        <v>4535</v>
      </c>
      <c r="I25">
        <v>1</v>
      </c>
      <c r="J25">
        <v>3</v>
      </c>
      <c r="K25">
        <v>11</v>
      </c>
      <c r="L25" t="s">
        <v>4563</v>
      </c>
      <c r="M25" t="s">
        <v>4537</v>
      </c>
      <c r="N25">
        <v>-1.0118483412322172</v>
      </c>
    </row>
    <row r="26" spans="1:14" x14ac:dyDescent="0.3">
      <c r="A26" s="82">
        <v>45747</v>
      </c>
      <c r="B26" s="81">
        <v>13</v>
      </c>
      <c r="C26" t="s">
        <v>131</v>
      </c>
      <c r="D26" s="99" t="s">
        <v>4550</v>
      </c>
      <c r="E26" t="s">
        <v>1063</v>
      </c>
      <c r="F26" t="s">
        <v>1066</v>
      </c>
      <c r="G26" t="s">
        <v>1057</v>
      </c>
      <c r="H26" s="83" t="s">
        <v>4535</v>
      </c>
      <c r="I26">
        <v>1</v>
      </c>
      <c r="J26">
        <v>6</v>
      </c>
      <c r="K26">
        <v>8</v>
      </c>
      <c r="L26" t="s">
        <v>4564</v>
      </c>
      <c r="M26" t="s">
        <v>4537</v>
      </c>
      <c r="N26">
        <v>-1.1216545012165529</v>
      </c>
    </row>
    <row r="27" spans="1:14" x14ac:dyDescent="0.3">
      <c r="A27" s="82">
        <v>45754</v>
      </c>
      <c r="B27" s="81">
        <v>14</v>
      </c>
      <c r="C27" t="s">
        <v>131</v>
      </c>
      <c r="D27" s="99" t="s">
        <v>4552</v>
      </c>
      <c r="E27" t="s">
        <v>1063</v>
      </c>
      <c r="F27" t="s">
        <v>1068</v>
      </c>
      <c r="G27" t="s">
        <v>1064</v>
      </c>
      <c r="H27" s="83" t="s">
        <v>4540</v>
      </c>
      <c r="I27">
        <v>3</v>
      </c>
      <c r="J27">
        <v>2</v>
      </c>
      <c r="K27">
        <v>13</v>
      </c>
      <c r="L27" t="s">
        <v>4565</v>
      </c>
      <c r="M27" t="s">
        <v>4537</v>
      </c>
      <c r="N27">
        <v>-1.3343865192206381</v>
      </c>
    </row>
    <row r="28" spans="1:14" x14ac:dyDescent="0.3">
      <c r="A28" s="82">
        <v>45754</v>
      </c>
      <c r="B28" s="81">
        <v>14</v>
      </c>
      <c r="C28" t="s">
        <v>131</v>
      </c>
      <c r="D28" s="99" t="s">
        <v>4534</v>
      </c>
      <c r="E28" t="s">
        <v>1060</v>
      </c>
      <c r="F28" t="s">
        <v>1056</v>
      </c>
      <c r="G28" t="s">
        <v>1057</v>
      </c>
      <c r="H28" s="83" t="s">
        <v>4535</v>
      </c>
      <c r="I28">
        <v>1</v>
      </c>
      <c r="J28">
        <v>3</v>
      </c>
      <c r="K28">
        <v>12</v>
      </c>
      <c r="L28" t="s">
        <v>4566</v>
      </c>
      <c r="M28" t="s">
        <v>4537</v>
      </c>
      <c r="N28">
        <v>-1.3343865192206381</v>
      </c>
    </row>
    <row r="29" spans="1:14" x14ac:dyDescent="0.3">
      <c r="A29" s="82">
        <v>45754</v>
      </c>
      <c r="B29" s="81">
        <v>14</v>
      </c>
      <c r="C29" t="s">
        <v>131</v>
      </c>
      <c r="D29" s="99" t="s">
        <v>4550</v>
      </c>
      <c r="E29" t="s">
        <v>1063</v>
      </c>
      <c r="F29" t="s">
        <v>1066</v>
      </c>
      <c r="G29" t="s">
        <v>1057</v>
      </c>
      <c r="H29" s="83" t="s">
        <v>4535</v>
      </c>
      <c r="I29">
        <v>1</v>
      </c>
      <c r="J29">
        <v>6</v>
      </c>
      <c r="K29">
        <v>9</v>
      </c>
      <c r="L29" t="s">
        <v>4567</v>
      </c>
      <c r="M29" t="s">
        <v>4537</v>
      </c>
      <c r="N29">
        <v>-6.6234117329016753E-2</v>
      </c>
    </row>
    <row r="30" spans="1:14" x14ac:dyDescent="0.3">
      <c r="A30" s="82">
        <v>45761</v>
      </c>
      <c r="B30" s="81">
        <v>15</v>
      </c>
      <c r="C30" t="s">
        <v>131</v>
      </c>
      <c r="D30" s="99" t="s">
        <v>4550</v>
      </c>
      <c r="E30" t="s">
        <v>1063</v>
      </c>
      <c r="F30" t="s">
        <v>1066</v>
      </c>
      <c r="G30" t="s">
        <v>1057</v>
      </c>
      <c r="H30" s="83" t="s">
        <v>4535</v>
      </c>
      <c r="I30">
        <v>1</v>
      </c>
      <c r="J30">
        <v>6</v>
      </c>
      <c r="K30">
        <v>10</v>
      </c>
      <c r="L30" t="s">
        <v>4568</v>
      </c>
      <c r="M30" t="s">
        <v>4537</v>
      </c>
      <c r="N30">
        <v>-3.8659097053253981E-2</v>
      </c>
    </row>
    <row r="31" spans="1:14" x14ac:dyDescent="0.3">
      <c r="A31" s="82">
        <v>45789</v>
      </c>
      <c r="B31" s="81">
        <v>19</v>
      </c>
      <c r="C31" t="s">
        <v>131</v>
      </c>
      <c r="D31" s="99" t="s">
        <v>4552</v>
      </c>
      <c r="E31" t="s">
        <v>1063</v>
      </c>
      <c r="F31" t="s">
        <v>1068</v>
      </c>
      <c r="G31" t="s">
        <v>1064</v>
      </c>
      <c r="H31" s="83" t="s">
        <v>4540</v>
      </c>
      <c r="I31">
        <v>3</v>
      </c>
      <c r="J31">
        <v>2</v>
      </c>
      <c r="K31">
        <v>18</v>
      </c>
      <c r="L31" t="s">
        <v>4569</v>
      </c>
      <c r="M31" t="s">
        <v>4537</v>
      </c>
      <c r="N31">
        <v>-1.1295399515738533</v>
      </c>
    </row>
    <row r="32" spans="1:14" x14ac:dyDescent="0.3">
      <c r="A32" s="82">
        <v>45817</v>
      </c>
      <c r="B32" s="81">
        <v>23</v>
      </c>
      <c r="C32" t="s">
        <v>131</v>
      </c>
      <c r="D32" s="99" t="s">
        <v>4550</v>
      </c>
      <c r="E32" t="s">
        <v>1063</v>
      </c>
      <c r="F32" t="s">
        <v>1066</v>
      </c>
      <c r="G32" t="s">
        <v>1057</v>
      </c>
      <c r="H32" s="83" t="s">
        <v>4535</v>
      </c>
      <c r="I32">
        <v>1</v>
      </c>
      <c r="J32">
        <v>6</v>
      </c>
      <c r="K32">
        <v>18</v>
      </c>
      <c r="L32" t="s">
        <v>4570</v>
      </c>
      <c r="M32" t="s">
        <v>4537</v>
      </c>
      <c r="N32">
        <v>-5.8664503919985719E-2</v>
      </c>
    </row>
    <row r="33" spans="1:14" x14ac:dyDescent="0.3">
      <c r="A33" s="82">
        <v>45824</v>
      </c>
      <c r="B33" s="81">
        <v>24</v>
      </c>
      <c r="C33" t="s">
        <v>131</v>
      </c>
      <c r="D33" s="99" t="s">
        <v>4550</v>
      </c>
      <c r="E33" t="s">
        <v>1063</v>
      </c>
      <c r="F33" t="s">
        <v>1066</v>
      </c>
      <c r="G33" t="s">
        <v>1057</v>
      </c>
      <c r="H33" s="83" t="s">
        <v>4535</v>
      </c>
      <c r="I33">
        <v>1</v>
      </c>
      <c r="J33">
        <v>6</v>
      </c>
      <c r="K33">
        <v>19</v>
      </c>
      <c r="L33" t="s">
        <v>4571</v>
      </c>
      <c r="M33" t="s">
        <v>4537</v>
      </c>
      <c r="N33">
        <v>-1.0432549337658812</v>
      </c>
    </row>
    <row r="34" spans="1:14" x14ac:dyDescent="0.3">
      <c r="A34" s="82">
        <v>45817</v>
      </c>
      <c r="B34" s="81">
        <v>23</v>
      </c>
      <c r="C34" t="s">
        <v>132</v>
      </c>
      <c r="D34" s="99" t="s">
        <v>4543</v>
      </c>
      <c r="E34" t="s">
        <v>1063</v>
      </c>
      <c r="F34" t="s">
        <v>1066</v>
      </c>
      <c r="G34" t="s">
        <v>1057</v>
      </c>
      <c r="H34" s="83" t="s">
        <v>4535</v>
      </c>
      <c r="I34">
        <v>1</v>
      </c>
      <c r="J34">
        <v>6</v>
      </c>
      <c r="K34">
        <v>18</v>
      </c>
      <c r="L34" t="s">
        <v>4572</v>
      </c>
      <c r="M34" t="s">
        <v>4537</v>
      </c>
      <c r="N34">
        <v>-0.55260349978659862</v>
      </c>
    </row>
    <row r="35" spans="1:14" x14ac:dyDescent="0.3">
      <c r="A35" s="82">
        <v>45726</v>
      </c>
      <c r="B35" s="81">
        <v>10</v>
      </c>
      <c r="C35" t="s">
        <v>138</v>
      </c>
      <c r="D35" s="99" t="s">
        <v>4543</v>
      </c>
      <c r="E35" t="s">
        <v>1063</v>
      </c>
      <c r="F35" t="s">
        <v>1066</v>
      </c>
      <c r="G35" t="s">
        <v>1057</v>
      </c>
      <c r="H35" s="83" t="s">
        <v>4535</v>
      </c>
      <c r="I35">
        <v>1</v>
      </c>
      <c r="J35">
        <v>6</v>
      </c>
      <c r="K35">
        <v>5</v>
      </c>
      <c r="L35" t="s">
        <v>4573</v>
      </c>
      <c r="M35" t="s">
        <v>4537</v>
      </c>
      <c r="N35">
        <v>-0.33509234828496448</v>
      </c>
    </row>
    <row r="36" spans="1:14" x14ac:dyDescent="0.3">
      <c r="A36" s="82">
        <v>45768</v>
      </c>
      <c r="B36" s="81">
        <v>16</v>
      </c>
      <c r="C36" t="s">
        <v>138</v>
      </c>
      <c r="D36" s="99" t="s">
        <v>4545</v>
      </c>
      <c r="E36" t="s">
        <v>1059</v>
      </c>
      <c r="F36" t="s">
        <v>1050</v>
      </c>
      <c r="G36" t="s">
        <v>1054</v>
      </c>
      <c r="H36" s="83" t="s">
        <v>4540</v>
      </c>
      <c r="I36">
        <v>3</v>
      </c>
      <c r="J36">
        <v>1</v>
      </c>
      <c r="K36">
        <v>16</v>
      </c>
      <c r="L36" t="s">
        <v>4574</v>
      </c>
      <c r="M36" t="s">
        <v>4537</v>
      </c>
      <c r="N36">
        <v>-2.7598944591029029</v>
      </c>
    </row>
    <row r="37" spans="1:14" x14ac:dyDescent="0.3">
      <c r="A37" s="82">
        <v>45768</v>
      </c>
      <c r="B37" s="81">
        <v>16</v>
      </c>
      <c r="C37" t="s">
        <v>138</v>
      </c>
      <c r="D37" s="99" t="s">
        <v>4550</v>
      </c>
      <c r="E37" t="s">
        <v>1060</v>
      </c>
      <c r="F37" t="s">
        <v>1056</v>
      </c>
      <c r="G37" t="s">
        <v>1057</v>
      </c>
      <c r="H37" s="83" t="s">
        <v>4535</v>
      </c>
      <c r="I37">
        <v>1</v>
      </c>
      <c r="J37">
        <v>3</v>
      </c>
      <c r="K37">
        <v>14</v>
      </c>
      <c r="L37" t="s">
        <v>4575</v>
      </c>
      <c r="M37" t="s">
        <v>4537</v>
      </c>
      <c r="N37">
        <v>1.9988738738738712</v>
      </c>
    </row>
    <row r="38" spans="1:14" x14ac:dyDescent="0.3">
      <c r="A38" s="82">
        <v>45789</v>
      </c>
      <c r="B38" s="81">
        <v>19</v>
      </c>
      <c r="C38" t="s">
        <v>138</v>
      </c>
      <c r="D38" s="99" t="s">
        <v>4550</v>
      </c>
      <c r="E38" t="s">
        <v>1063</v>
      </c>
      <c r="F38" t="s">
        <v>1066</v>
      </c>
      <c r="G38" t="s">
        <v>1057</v>
      </c>
      <c r="H38" s="83" t="s">
        <v>4535</v>
      </c>
      <c r="I38">
        <v>1</v>
      </c>
      <c r="J38">
        <v>6</v>
      </c>
      <c r="K38">
        <v>14</v>
      </c>
      <c r="L38" t="s">
        <v>4576</v>
      </c>
      <c r="M38" t="s">
        <v>4537</v>
      </c>
      <c r="N38">
        <v>1.5332207207207231</v>
      </c>
    </row>
    <row r="39" spans="1:14" x14ac:dyDescent="0.3">
      <c r="A39" s="82">
        <v>45817</v>
      </c>
      <c r="B39" s="81">
        <v>23</v>
      </c>
      <c r="C39" t="s">
        <v>138</v>
      </c>
      <c r="D39" s="99" t="s">
        <v>4543</v>
      </c>
      <c r="E39" t="s">
        <v>1063</v>
      </c>
      <c r="F39" t="s">
        <v>1066</v>
      </c>
      <c r="G39" t="s">
        <v>1057</v>
      </c>
      <c r="H39" s="83" t="s">
        <v>4535</v>
      </c>
      <c r="I39">
        <v>1</v>
      </c>
      <c r="J39">
        <v>6</v>
      </c>
      <c r="K39">
        <v>18</v>
      </c>
      <c r="L39" t="s">
        <v>4572</v>
      </c>
      <c r="M39" t="s">
        <v>4537</v>
      </c>
      <c r="N39">
        <v>0.30343007915566866</v>
      </c>
    </row>
    <row r="40" spans="1:14" x14ac:dyDescent="0.3">
      <c r="A40" s="82">
        <v>45824</v>
      </c>
      <c r="B40" s="81">
        <v>24</v>
      </c>
      <c r="C40" t="s">
        <v>138</v>
      </c>
      <c r="D40" s="99" t="s">
        <v>4543</v>
      </c>
      <c r="E40" t="s">
        <v>1063</v>
      </c>
      <c r="F40" t="s">
        <v>1066</v>
      </c>
      <c r="G40" t="s">
        <v>1057</v>
      </c>
      <c r="H40" s="83" t="s">
        <v>4535</v>
      </c>
      <c r="I40">
        <v>1</v>
      </c>
      <c r="J40">
        <v>6</v>
      </c>
      <c r="K40">
        <v>19</v>
      </c>
      <c r="L40" t="s">
        <v>4577</v>
      </c>
      <c r="M40" t="s">
        <v>4537</v>
      </c>
      <c r="N40">
        <v>0.78627968337730991</v>
      </c>
    </row>
    <row r="41" spans="1:14" x14ac:dyDescent="0.3">
      <c r="A41" s="82">
        <v>45733</v>
      </c>
      <c r="B41" s="81">
        <v>11</v>
      </c>
      <c r="C41" t="s">
        <v>139</v>
      </c>
      <c r="D41" s="99" t="s">
        <v>4552</v>
      </c>
      <c r="E41" t="s">
        <v>1060</v>
      </c>
      <c r="F41" t="s">
        <v>1061</v>
      </c>
      <c r="G41" t="s">
        <v>1054</v>
      </c>
      <c r="H41" s="83" t="s">
        <v>4540</v>
      </c>
      <c r="I41">
        <v>3</v>
      </c>
      <c r="J41">
        <v>1</v>
      </c>
      <c r="K41">
        <v>11</v>
      </c>
      <c r="L41" t="s">
        <v>4578</v>
      </c>
      <c r="M41" t="s">
        <v>4537</v>
      </c>
      <c r="N41">
        <v>-2.0267489711934163</v>
      </c>
    </row>
    <row r="42" spans="1:14" x14ac:dyDescent="0.3">
      <c r="A42" s="82">
        <v>45782</v>
      </c>
      <c r="B42" s="81">
        <v>18</v>
      </c>
      <c r="C42" t="s">
        <v>139</v>
      </c>
      <c r="D42" s="99" t="s">
        <v>4550</v>
      </c>
      <c r="E42" t="s">
        <v>1063</v>
      </c>
      <c r="F42" t="s">
        <v>1066</v>
      </c>
      <c r="G42" t="s">
        <v>1057</v>
      </c>
      <c r="H42" s="83" t="s">
        <v>4535</v>
      </c>
      <c r="I42">
        <v>1</v>
      </c>
      <c r="J42">
        <v>6</v>
      </c>
      <c r="K42">
        <v>13</v>
      </c>
      <c r="L42" t="s">
        <v>4579</v>
      </c>
      <c r="M42" t="s">
        <v>4537</v>
      </c>
      <c r="N42">
        <v>-1.6829679595278264</v>
      </c>
    </row>
    <row r="43" spans="1:14" x14ac:dyDescent="0.3">
      <c r="A43" s="82">
        <v>45789</v>
      </c>
      <c r="B43" s="81">
        <v>19</v>
      </c>
      <c r="C43" t="s">
        <v>139</v>
      </c>
      <c r="D43" s="99" t="s">
        <v>4550</v>
      </c>
      <c r="E43" t="s">
        <v>1063</v>
      </c>
      <c r="F43" t="s">
        <v>1066</v>
      </c>
      <c r="G43" t="s">
        <v>1057</v>
      </c>
      <c r="H43" s="83" t="s">
        <v>4535</v>
      </c>
      <c r="I43">
        <v>1</v>
      </c>
      <c r="J43">
        <v>6</v>
      </c>
      <c r="K43">
        <v>14</v>
      </c>
      <c r="L43" t="s">
        <v>4576</v>
      </c>
      <c r="M43" t="s">
        <v>4537</v>
      </c>
      <c r="N43">
        <v>-2.9792017987633965E-2</v>
      </c>
    </row>
    <row r="44" spans="1:14" x14ac:dyDescent="0.3">
      <c r="A44" s="82">
        <v>45810</v>
      </c>
      <c r="B44" s="81">
        <v>22</v>
      </c>
      <c r="C44" t="s">
        <v>139</v>
      </c>
      <c r="D44" s="99" t="s">
        <v>4550</v>
      </c>
      <c r="E44" t="s">
        <v>1060</v>
      </c>
      <c r="F44" t="s">
        <v>1056</v>
      </c>
      <c r="G44" t="s">
        <v>1057</v>
      </c>
      <c r="H44" s="83" t="s">
        <v>4535</v>
      </c>
      <c r="I44">
        <v>1</v>
      </c>
      <c r="J44">
        <v>3</v>
      </c>
      <c r="K44">
        <v>20</v>
      </c>
      <c r="L44" t="s">
        <v>4580</v>
      </c>
      <c r="M44" t="s">
        <v>4537</v>
      </c>
      <c r="N44">
        <v>1.3220910623946029</v>
      </c>
    </row>
    <row r="45" spans="1:14" x14ac:dyDescent="0.3">
      <c r="A45" s="82">
        <v>45712</v>
      </c>
      <c r="B45" s="81">
        <v>8</v>
      </c>
      <c r="C45" t="s">
        <v>140</v>
      </c>
      <c r="D45" s="99" t="s">
        <v>4550</v>
      </c>
      <c r="E45" t="s">
        <v>1063</v>
      </c>
      <c r="F45" t="s">
        <v>1066</v>
      </c>
      <c r="G45" t="s">
        <v>1057</v>
      </c>
      <c r="H45" s="83" t="s">
        <v>4535</v>
      </c>
      <c r="I45">
        <v>1</v>
      </c>
      <c r="J45">
        <v>6</v>
      </c>
      <c r="K45">
        <v>3</v>
      </c>
      <c r="L45" t="s">
        <v>4555</v>
      </c>
      <c r="M45" t="s">
        <v>4537</v>
      </c>
      <c r="N45">
        <v>0.42511346444780657</v>
      </c>
    </row>
    <row r="46" spans="1:14" x14ac:dyDescent="0.3">
      <c r="A46" s="82">
        <v>45719</v>
      </c>
      <c r="B46" s="81">
        <v>9</v>
      </c>
      <c r="C46" t="s">
        <v>140</v>
      </c>
      <c r="D46" s="99" t="s">
        <v>4550</v>
      </c>
      <c r="E46" t="s">
        <v>1063</v>
      </c>
      <c r="F46" t="s">
        <v>1066</v>
      </c>
      <c r="G46" t="s">
        <v>1057</v>
      </c>
      <c r="H46" s="83" t="s">
        <v>4535</v>
      </c>
      <c r="I46">
        <v>1</v>
      </c>
      <c r="J46">
        <v>6</v>
      </c>
      <c r="K46">
        <v>4</v>
      </c>
      <c r="L46" t="s">
        <v>4556</v>
      </c>
      <c r="M46" t="s">
        <v>4537</v>
      </c>
      <c r="N46">
        <v>0.3918305597579419</v>
      </c>
    </row>
    <row r="47" spans="1:14" x14ac:dyDescent="0.3">
      <c r="A47" s="82">
        <v>45726</v>
      </c>
      <c r="B47" s="81">
        <v>10</v>
      </c>
      <c r="C47" t="s">
        <v>140</v>
      </c>
      <c r="D47" s="99" t="s">
        <v>4550</v>
      </c>
      <c r="E47" t="s">
        <v>1063</v>
      </c>
      <c r="F47" t="s">
        <v>1066</v>
      </c>
      <c r="G47" t="s">
        <v>1057</v>
      </c>
      <c r="H47" s="83" t="s">
        <v>4535</v>
      </c>
      <c r="I47">
        <v>1</v>
      </c>
      <c r="J47">
        <v>6</v>
      </c>
      <c r="K47">
        <v>5</v>
      </c>
      <c r="L47" t="s">
        <v>4557</v>
      </c>
      <c r="M47" t="s">
        <v>4537</v>
      </c>
      <c r="N47">
        <v>0.40998487140695877</v>
      </c>
    </row>
    <row r="48" spans="1:14" x14ac:dyDescent="0.3">
      <c r="A48" s="82">
        <v>45775</v>
      </c>
      <c r="B48" s="81">
        <v>17</v>
      </c>
      <c r="C48" t="s">
        <v>140</v>
      </c>
      <c r="D48" s="99" t="s">
        <v>4552</v>
      </c>
      <c r="E48" t="s">
        <v>1063</v>
      </c>
      <c r="F48" t="s">
        <v>1068</v>
      </c>
      <c r="G48" t="s">
        <v>1064</v>
      </c>
      <c r="H48" s="83" t="s">
        <v>4540</v>
      </c>
      <c r="I48">
        <v>3</v>
      </c>
      <c r="J48">
        <v>2</v>
      </c>
      <c r="K48">
        <v>16</v>
      </c>
      <c r="L48" t="s">
        <v>4581</v>
      </c>
      <c r="M48" t="s">
        <v>4537</v>
      </c>
      <c r="N48">
        <v>1.5855263157894726</v>
      </c>
    </row>
    <row r="49" spans="1:14" x14ac:dyDescent="0.3">
      <c r="A49" s="82">
        <v>45705</v>
      </c>
      <c r="B49" s="81">
        <v>7</v>
      </c>
      <c r="C49" t="s">
        <v>141</v>
      </c>
      <c r="D49" s="99" t="s">
        <v>4550</v>
      </c>
      <c r="E49" t="s">
        <v>1063</v>
      </c>
      <c r="F49" t="s">
        <v>1066</v>
      </c>
      <c r="G49" t="s">
        <v>1057</v>
      </c>
      <c r="H49" s="83" t="s">
        <v>4535</v>
      </c>
      <c r="I49">
        <v>1</v>
      </c>
      <c r="J49">
        <v>6</v>
      </c>
      <c r="K49">
        <v>2</v>
      </c>
      <c r="L49" t="s">
        <v>4582</v>
      </c>
      <c r="M49" t="s">
        <v>4537</v>
      </c>
      <c r="N49">
        <v>1.7876175548589357</v>
      </c>
    </row>
    <row r="50" spans="1:14" x14ac:dyDescent="0.3">
      <c r="A50" s="82">
        <v>45754</v>
      </c>
      <c r="B50" s="81">
        <v>14</v>
      </c>
      <c r="C50" t="s">
        <v>141</v>
      </c>
      <c r="D50" s="99" t="s">
        <v>4543</v>
      </c>
      <c r="E50" t="s">
        <v>1063</v>
      </c>
      <c r="F50" t="s">
        <v>1066</v>
      </c>
      <c r="G50" t="s">
        <v>1057</v>
      </c>
      <c r="H50" s="83" t="s">
        <v>4535</v>
      </c>
      <c r="I50">
        <v>1</v>
      </c>
      <c r="J50">
        <v>6</v>
      </c>
      <c r="K50">
        <v>9</v>
      </c>
      <c r="L50" t="s">
        <v>4583</v>
      </c>
      <c r="M50" t="s">
        <v>4537</v>
      </c>
      <c r="N50">
        <v>-0.47904191616766512</v>
      </c>
    </row>
    <row r="51" spans="1:14" x14ac:dyDescent="0.3">
      <c r="A51" s="82">
        <v>45761</v>
      </c>
      <c r="B51" s="81">
        <v>15</v>
      </c>
      <c r="C51" t="s">
        <v>141</v>
      </c>
      <c r="D51" s="99" t="s">
        <v>4543</v>
      </c>
      <c r="E51" t="s">
        <v>1063</v>
      </c>
      <c r="F51" t="s">
        <v>1066</v>
      </c>
      <c r="G51" t="s">
        <v>1057</v>
      </c>
      <c r="H51" s="83" t="s">
        <v>4535</v>
      </c>
      <c r="I51">
        <v>1</v>
      </c>
      <c r="J51">
        <v>6</v>
      </c>
      <c r="K51">
        <v>10</v>
      </c>
      <c r="L51" t="s">
        <v>4584</v>
      </c>
      <c r="M51" t="s">
        <v>4537</v>
      </c>
      <c r="N51">
        <v>-2.1017964071856299</v>
      </c>
    </row>
    <row r="52" spans="1:14" x14ac:dyDescent="0.3">
      <c r="A52" s="82">
        <v>45768</v>
      </c>
      <c r="B52" s="81">
        <v>16</v>
      </c>
      <c r="C52" t="s">
        <v>141</v>
      </c>
      <c r="D52" s="99" t="s">
        <v>4543</v>
      </c>
      <c r="E52" t="s">
        <v>1063</v>
      </c>
      <c r="F52" t="s">
        <v>1066</v>
      </c>
      <c r="G52" t="s">
        <v>1057</v>
      </c>
      <c r="H52" s="83" t="s">
        <v>4535</v>
      </c>
      <c r="I52">
        <v>1</v>
      </c>
      <c r="J52">
        <v>6</v>
      </c>
      <c r="K52">
        <v>11</v>
      </c>
      <c r="L52" t="s">
        <v>4585</v>
      </c>
      <c r="M52" t="s">
        <v>4537</v>
      </c>
      <c r="N52">
        <v>-1.4431137724550904</v>
      </c>
    </row>
    <row r="53" spans="1:14" x14ac:dyDescent="0.3">
      <c r="A53" s="82">
        <v>45775</v>
      </c>
      <c r="B53" s="81">
        <v>17</v>
      </c>
      <c r="C53" t="s">
        <v>141</v>
      </c>
      <c r="D53" s="99" t="s">
        <v>4543</v>
      </c>
      <c r="E53" t="s">
        <v>1063</v>
      </c>
      <c r="F53" t="s">
        <v>1066</v>
      </c>
      <c r="G53" t="s">
        <v>1057</v>
      </c>
      <c r="H53" s="83" t="s">
        <v>4535</v>
      </c>
      <c r="I53">
        <v>1</v>
      </c>
      <c r="J53">
        <v>6</v>
      </c>
      <c r="K53">
        <v>12</v>
      </c>
      <c r="L53" t="s">
        <v>4586</v>
      </c>
      <c r="M53" t="s">
        <v>4537</v>
      </c>
      <c r="N53">
        <v>-0.41317365269461181</v>
      </c>
    </row>
    <row r="54" spans="1:14" x14ac:dyDescent="0.3">
      <c r="A54" s="82">
        <v>45677</v>
      </c>
      <c r="B54" s="81">
        <v>3</v>
      </c>
      <c r="C54" t="s">
        <v>142</v>
      </c>
      <c r="D54" s="99" t="s">
        <v>4543</v>
      </c>
      <c r="E54" t="s">
        <v>1060</v>
      </c>
      <c r="F54" t="s">
        <v>1056</v>
      </c>
      <c r="G54" t="s">
        <v>1057</v>
      </c>
      <c r="H54" s="83" t="s">
        <v>4535</v>
      </c>
      <c r="I54">
        <v>1</v>
      </c>
      <c r="J54">
        <v>3</v>
      </c>
      <c r="K54">
        <v>1</v>
      </c>
      <c r="L54" t="s">
        <v>4587</v>
      </c>
      <c r="M54" t="s">
        <v>4537</v>
      </c>
      <c r="N54">
        <v>2.0350877192982453</v>
      </c>
    </row>
    <row r="55" spans="1:14" x14ac:dyDescent="0.3">
      <c r="A55" s="82">
        <v>45705</v>
      </c>
      <c r="B55" s="81">
        <v>7</v>
      </c>
      <c r="C55" t="s">
        <v>142</v>
      </c>
      <c r="D55" s="99" t="s">
        <v>4550</v>
      </c>
      <c r="E55" t="s">
        <v>1063</v>
      </c>
      <c r="F55" t="s">
        <v>1066</v>
      </c>
      <c r="G55" t="s">
        <v>1057</v>
      </c>
      <c r="H55" s="83" t="s">
        <v>4535</v>
      </c>
      <c r="I55">
        <v>1</v>
      </c>
      <c r="J55">
        <v>6</v>
      </c>
      <c r="K55">
        <v>2</v>
      </c>
      <c r="L55" t="s">
        <v>4582</v>
      </c>
      <c r="M55" t="s">
        <v>4537</v>
      </c>
      <c r="N55">
        <v>2.2764976958525347</v>
      </c>
    </row>
    <row r="56" spans="1:14" x14ac:dyDescent="0.3">
      <c r="A56" s="82">
        <v>45775</v>
      </c>
      <c r="B56" s="81">
        <v>17</v>
      </c>
      <c r="C56" t="s">
        <v>142</v>
      </c>
      <c r="D56" s="99" t="s">
        <v>4552</v>
      </c>
      <c r="E56" t="s">
        <v>1063</v>
      </c>
      <c r="F56" t="s">
        <v>1068</v>
      </c>
      <c r="G56" t="s">
        <v>1064</v>
      </c>
      <c r="H56" s="83" t="s">
        <v>4540</v>
      </c>
      <c r="I56">
        <v>3</v>
      </c>
      <c r="J56">
        <v>2</v>
      </c>
      <c r="K56">
        <v>16</v>
      </c>
      <c r="L56" t="s">
        <v>4581</v>
      </c>
      <c r="M56" t="s">
        <v>4537</v>
      </c>
      <c r="N56">
        <v>0.73732718894009275</v>
      </c>
    </row>
    <row r="57" spans="1:14" x14ac:dyDescent="0.3">
      <c r="A57" s="82">
        <v>45824</v>
      </c>
      <c r="B57" s="81">
        <v>24</v>
      </c>
      <c r="C57" t="s">
        <v>144</v>
      </c>
      <c r="D57" s="99" t="s">
        <v>4534</v>
      </c>
      <c r="E57" t="s">
        <v>1060</v>
      </c>
      <c r="F57" t="s">
        <v>1056</v>
      </c>
      <c r="G57" t="s">
        <v>1057</v>
      </c>
      <c r="H57" s="83" t="s">
        <v>4535</v>
      </c>
      <c r="I57">
        <v>1</v>
      </c>
      <c r="J57">
        <v>3</v>
      </c>
      <c r="K57">
        <v>22</v>
      </c>
      <c r="L57" t="s">
        <v>4588</v>
      </c>
      <c r="M57" t="s">
        <v>4537</v>
      </c>
      <c r="N57">
        <v>-1.0659069910686783</v>
      </c>
    </row>
    <row r="58" spans="1:14" x14ac:dyDescent="0.3">
      <c r="A58" s="82">
        <v>45831</v>
      </c>
      <c r="B58" s="81">
        <v>25</v>
      </c>
      <c r="C58" t="s">
        <v>144</v>
      </c>
      <c r="D58" s="99" t="s">
        <v>4534</v>
      </c>
      <c r="E58" t="s">
        <v>1060</v>
      </c>
      <c r="F58" t="s">
        <v>1056</v>
      </c>
      <c r="G58" t="s">
        <v>1057</v>
      </c>
      <c r="H58" s="83" t="s">
        <v>4535</v>
      </c>
      <c r="I58">
        <v>1</v>
      </c>
      <c r="J58">
        <v>3</v>
      </c>
      <c r="K58">
        <v>23</v>
      </c>
      <c r="L58" t="s">
        <v>4589</v>
      </c>
      <c r="M58" t="s">
        <v>4537</v>
      </c>
      <c r="N58">
        <v>-2.0418848167539276</v>
      </c>
    </row>
    <row r="59" spans="1:14" x14ac:dyDescent="0.3">
      <c r="A59" s="82">
        <v>45670</v>
      </c>
      <c r="B59" s="81">
        <v>2</v>
      </c>
      <c r="C59" t="s">
        <v>145</v>
      </c>
      <c r="D59" s="99" t="s">
        <v>4545</v>
      </c>
      <c r="E59" t="s">
        <v>1053</v>
      </c>
      <c r="F59" t="s">
        <v>1050</v>
      </c>
      <c r="G59" t="s">
        <v>1054</v>
      </c>
      <c r="H59" s="83" t="s">
        <v>4540</v>
      </c>
      <c r="I59">
        <v>3</v>
      </c>
      <c r="J59">
        <v>1</v>
      </c>
      <c r="K59">
        <v>2</v>
      </c>
      <c r="L59" t="s">
        <v>4590</v>
      </c>
      <c r="M59" t="s">
        <v>4537</v>
      </c>
      <c r="N59">
        <v>2.5091249415067809</v>
      </c>
    </row>
    <row r="60" spans="1:14" x14ac:dyDescent="0.3">
      <c r="A60" s="82">
        <v>45698</v>
      </c>
      <c r="B60" s="81">
        <v>6</v>
      </c>
      <c r="C60" t="s">
        <v>145</v>
      </c>
      <c r="D60" s="99" t="s">
        <v>4552</v>
      </c>
      <c r="E60" t="s">
        <v>1063</v>
      </c>
      <c r="F60" t="s">
        <v>1068</v>
      </c>
      <c r="G60" t="s">
        <v>1064</v>
      </c>
      <c r="H60" s="83" t="s">
        <v>4540</v>
      </c>
      <c r="I60">
        <v>3</v>
      </c>
      <c r="J60">
        <v>2</v>
      </c>
      <c r="K60">
        <v>5</v>
      </c>
      <c r="L60" t="s">
        <v>4591</v>
      </c>
      <c r="M60" t="s">
        <v>4537</v>
      </c>
      <c r="N60">
        <v>-1.1068249258160237</v>
      </c>
    </row>
    <row r="61" spans="1:14" x14ac:dyDescent="0.3">
      <c r="A61" s="82">
        <v>45754</v>
      </c>
      <c r="B61" s="81">
        <v>14</v>
      </c>
      <c r="C61" t="s">
        <v>145</v>
      </c>
      <c r="D61" s="99" t="s">
        <v>4552</v>
      </c>
      <c r="E61" t="s">
        <v>1063</v>
      </c>
      <c r="F61" t="s">
        <v>1068</v>
      </c>
      <c r="G61" t="s">
        <v>1064</v>
      </c>
      <c r="H61" s="83" t="s">
        <v>4540</v>
      </c>
      <c r="I61">
        <v>3</v>
      </c>
      <c r="J61">
        <v>2</v>
      </c>
      <c r="K61">
        <v>13</v>
      </c>
      <c r="L61" t="s">
        <v>4565</v>
      </c>
      <c r="M61" t="s">
        <v>4537</v>
      </c>
      <c r="N61">
        <v>-1.5497300121929967</v>
      </c>
    </row>
    <row r="62" spans="1:14" x14ac:dyDescent="0.3">
      <c r="A62" s="82">
        <v>45761</v>
      </c>
      <c r="B62" s="81">
        <v>15</v>
      </c>
      <c r="C62" t="s">
        <v>145</v>
      </c>
      <c r="D62" s="99" t="s">
        <v>4552</v>
      </c>
      <c r="E62" t="s">
        <v>1063</v>
      </c>
      <c r="F62" t="s">
        <v>1068</v>
      </c>
      <c r="G62" t="s">
        <v>1064</v>
      </c>
      <c r="H62" s="83" t="s">
        <v>4540</v>
      </c>
      <c r="I62">
        <v>3</v>
      </c>
      <c r="J62">
        <v>2</v>
      </c>
      <c r="K62">
        <v>14</v>
      </c>
      <c r="L62" t="s">
        <v>4592</v>
      </c>
      <c r="M62" t="s">
        <v>4537</v>
      </c>
      <c r="N62">
        <v>-0.71439169139465752</v>
      </c>
    </row>
    <row r="63" spans="1:14" x14ac:dyDescent="0.3">
      <c r="A63" s="82">
        <v>45761</v>
      </c>
      <c r="B63" s="81">
        <v>15</v>
      </c>
      <c r="C63" t="s">
        <v>145</v>
      </c>
      <c r="D63" s="99" t="s">
        <v>4550</v>
      </c>
      <c r="E63" t="s">
        <v>1063</v>
      </c>
      <c r="F63" t="s">
        <v>1066</v>
      </c>
      <c r="G63" t="s">
        <v>1057</v>
      </c>
      <c r="H63" s="83" t="s">
        <v>4535</v>
      </c>
      <c r="I63">
        <v>1</v>
      </c>
      <c r="J63">
        <v>6</v>
      </c>
      <c r="K63">
        <v>10</v>
      </c>
      <c r="L63" t="s">
        <v>4568</v>
      </c>
      <c r="M63" t="s">
        <v>4537</v>
      </c>
      <c r="N63">
        <v>-0.18062704726252052</v>
      </c>
    </row>
    <row r="64" spans="1:14" x14ac:dyDescent="0.3">
      <c r="A64" s="82">
        <v>45719</v>
      </c>
      <c r="B64" s="81">
        <v>9</v>
      </c>
      <c r="C64" t="s">
        <v>146</v>
      </c>
      <c r="D64" s="99" t="s">
        <v>4552</v>
      </c>
      <c r="E64" t="s">
        <v>1063</v>
      </c>
      <c r="F64" t="s">
        <v>1068</v>
      </c>
      <c r="G64" t="s">
        <v>1064</v>
      </c>
      <c r="H64" s="83" t="s">
        <v>4540</v>
      </c>
      <c r="I64">
        <v>3</v>
      </c>
      <c r="J64">
        <v>2</v>
      </c>
      <c r="K64">
        <v>8</v>
      </c>
      <c r="L64" t="s">
        <v>4593</v>
      </c>
      <c r="M64" t="s">
        <v>4537</v>
      </c>
      <c r="N64">
        <v>-2.2702702702702697</v>
      </c>
    </row>
    <row r="65" spans="1:14" x14ac:dyDescent="0.3">
      <c r="A65" s="82">
        <v>45726</v>
      </c>
      <c r="B65" s="81">
        <v>10</v>
      </c>
      <c r="C65" t="s">
        <v>146</v>
      </c>
      <c r="D65" s="99" t="s">
        <v>4552</v>
      </c>
      <c r="E65" t="s">
        <v>1063</v>
      </c>
      <c r="F65" t="s">
        <v>1068</v>
      </c>
      <c r="G65" t="s">
        <v>1064</v>
      </c>
      <c r="H65" s="83" t="s">
        <v>4540</v>
      </c>
      <c r="I65">
        <v>3</v>
      </c>
      <c r="J65">
        <v>2</v>
      </c>
      <c r="K65">
        <v>9</v>
      </c>
      <c r="L65" t="s">
        <v>4594</v>
      </c>
      <c r="M65" t="s">
        <v>4537</v>
      </c>
      <c r="N65">
        <v>-0.72972972972972949</v>
      </c>
    </row>
    <row r="66" spans="1:14" x14ac:dyDescent="0.3">
      <c r="A66" s="82">
        <v>45733</v>
      </c>
      <c r="B66" s="81">
        <v>11</v>
      </c>
      <c r="C66" t="s">
        <v>146</v>
      </c>
      <c r="D66" s="99" t="s">
        <v>4550</v>
      </c>
      <c r="E66" t="s">
        <v>1063</v>
      </c>
      <c r="F66" t="s">
        <v>1066</v>
      </c>
      <c r="G66" t="s">
        <v>1057</v>
      </c>
      <c r="H66" s="83" t="s">
        <v>4535</v>
      </c>
      <c r="I66">
        <v>1</v>
      </c>
      <c r="J66">
        <v>6</v>
      </c>
      <c r="K66">
        <v>6</v>
      </c>
      <c r="L66" t="s">
        <v>4558</v>
      </c>
      <c r="M66" t="s">
        <v>4537</v>
      </c>
      <c r="N66">
        <v>-1.8773006134969303</v>
      </c>
    </row>
    <row r="67" spans="1:14" x14ac:dyDescent="0.3">
      <c r="A67" s="82">
        <v>45740</v>
      </c>
      <c r="B67" s="81">
        <v>12</v>
      </c>
      <c r="C67" t="s">
        <v>146</v>
      </c>
      <c r="D67" s="99" t="s">
        <v>4550</v>
      </c>
      <c r="E67" t="s">
        <v>1063</v>
      </c>
      <c r="F67" t="s">
        <v>1066</v>
      </c>
      <c r="G67" t="s">
        <v>1057</v>
      </c>
      <c r="H67" s="83" t="s">
        <v>4535</v>
      </c>
      <c r="I67">
        <v>1</v>
      </c>
      <c r="J67">
        <v>6</v>
      </c>
      <c r="K67">
        <v>7</v>
      </c>
      <c r="L67" t="s">
        <v>4560</v>
      </c>
      <c r="M67" t="s">
        <v>4537</v>
      </c>
      <c r="N67">
        <v>-0.14723926380367841</v>
      </c>
    </row>
    <row r="68" spans="1:14" x14ac:dyDescent="0.3">
      <c r="A68" s="82">
        <v>45747</v>
      </c>
      <c r="B68" s="81">
        <v>13</v>
      </c>
      <c r="C68" t="s">
        <v>146</v>
      </c>
      <c r="D68" s="99" t="s">
        <v>4550</v>
      </c>
      <c r="E68" t="s">
        <v>1063</v>
      </c>
      <c r="F68" t="s">
        <v>1066</v>
      </c>
      <c r="G68" t="s">
        <v>1057</v>
      </c>
      <c r="H68" s="83" t="s">
        <v>4535</v>
      </c>
      <c r="I68">
        <v>1</v>
      </c>
      <c r="J68">
        <v>6</v>
      </c>
      <c r="K68">
        <v>8</v>
      </c>
      <c r="L68" t="s">
        <v>4564</v>
      </c>
      <c r="M68" t="s">
        <v>4537</v>
      </c>
      <c r="N68">
        <v>-0.85582822085889687</v>
      </c>
    </row>
    <row r="69" spans="1:14" x14ac:dyDescent="0.3">
      <c r="A69" s="82">
        <v>45754</v>
      </c>
      <c r="B69" s="81">
        <v>14</v>
      </c>
      <c r="C69" t="s">
        <v>146</v>
      </c>
      <c r="D69" s="99" t="s">
        <v>4550</v>
      </c>
      <c r="E69" t="s">
        <v>1063</v>
      </c>
      <c r="F69" t="s">
        <v>1066</v>
      </c>
      <c r="G69" t="s">
        <v>1057</v>
      </c>
      <c r="H69" s="83" t="s">
        <v>4535</v>
      </c>
      <c r="I69">
        <v>1</v>
      </c>
      <c r="J69">
        <v>6</v>
      </c>
      <c r="K69">
        <v>9</v>
      </c>
      <c r="L69" t="s">
        <v>4567</v>
      </c>
      <c r="M69" t="s">
        <v>4537</v>
      </c>
      <c r="N69">
        <v>-0.54907975460122782</v>
      </c>
    </row>
    <row r="70" spans="1:14" x14ac:dyDescent="0.3">
      <c r="A70" s="82">
        <v>45810</v>
      </c>
      <c r="B70" s="81">
        <v>22</v>
      </c>
      <c r="C70" t="s">
        <v>146</v>
      </c>
      <c r="D70" s="99" t="s">
        <v>4552</v>
      </c>
      <c r="E70" t="s">
        <v>1063</v>
      </c>
      <c r="F70" t="s">
        <v>1068</v>
      </c>
      <c r="G70" t="s">
        <v>1064</v>
      </c>
      <c r="H70" s="83" t="s">
        <v>4540</v>
      </c>
      <c r="I70">
        <v>3</v>
      </c>
      <c r="J70">
        <v>2</v>
      </c>
      <c r="K70">
        <v>21</v>
      </c>
      <c r="L70" t="s">
        <v>4595</v>
      </c>
      <c r="M70" t="s">
        <v>4537</v>
      </c>
      <c r="N70">
        <v>1.3865030674846666</v>
      </c>
    </row>
    <row r="71" spans="1:14" x14ac:dyDescent="0.3">
      <c r="A71" s="82">
        <v>45810</v>
      </c>
      <c r="B71" s="81">
        <v>22</v>
      </c>
      <c r="C71" t="s">
        <v>146</v>
      </c>
      <c r="D71" s="99" t="s">
        <v>4543</v>
      </c>
      <c r="E71" t="s">
        <v>1060</v>
      </c>
      <c r="F71" t="s">
        <v>1056</v>
      </c>
      <c r="G71" t="s">
        <v>1057</v>
      </c>
      <c r="H71" s="83" t="s">
        <v>4535</v>
      </c>
      <c r="I71">
        <v>1</v>
      </c>
      <c r="J71">
        <v>3</v>
      </c>
      <c r="K71">
        <v>20</v>
      </c>
      <c r="L71" t="s">
        <v>4596</v>
      </c>
      <c r="M71" t="s">
        <v>4537</v>
      </c>
      <c r="N71">
        <v>1.2972972972972978</v>
      </c>
    </row>
    <row r="72" spans="1:14" x14ac:dyDescent="0.3">
      <c r="A72" s="82">
        <v>45810</v>
      </c>
      <c r="B72" s="81">
        <v>22</v>
      </c>
      <c r="C72" t="s">
        <v>146</v>
      </c>
      <c r="D72" s="99" t="s">
        <v>4550</v>
      </c>
      <c r="E72" t="s">
        <v>1060</v>
      </c>
      <c r="F72" t="s">
        <v>1056</v>
      </c>
      <c r="G72" t="s">
        <v>1057</v>
      </c>
      <c r="H72" s="83" t="s">
        <v>4535</v>
      </c>
      <c r="I72">
        <v>1</v>
      </c>
      <c r="J72">
        <v>3</v>
      </c>
      <c r="K72">
        <v>20</v>
      </c>
      <c r="L72" t="s">
        <v>4580</v>
      </c>
      <c r="M72" t="s">
        <v>4537</v>
      </c>
      <c r="N72">
        <v>1.3865030674846666</v>
      </c>
    </row>
    <row r="73" spans="1:14" x14ac:dyDescent="0.3">
      <c r="A73" s="82">
        <v>45810</v>
      </c>
      <c r="B73" s="81">
        <v>22</v>
      </c>
      <c r="C73" t="s">
        <v>146</v>
      </c>
      <c r="D73" s="99" t="s">
        <v>4543</v>
      </c>
      <c r="E73" t="s">
        <v>1063</v>
      </c>
      <c r="F73" t="s">
        <v>1066</v>
      </c>
      <c r="G73" t="s">
        <v>1057</v>
      </c>
      <c r="H73" s="83" t="s">
        <v>4535</v>
      </c>
      <c r="I73">
        <v>1</v>
      </c>
      <c r="J73">
        <v>6</v>
      </c>
      <c r="K73">
        <v>17</v>
      </c>
      <c r="L73" t="s">
        <v>4597</v>
      </c>
      <c r="M73" t="s">
        <v>4537</v>
      </c>
      <c r="N73">
        <v>1.2972972972972978</v>
      </c>
    </row>
    <row r="74" spans="1:14" x14ac:dyDescent="0.3">
      <c r="A74" s="82">
        <v>45817</v>
      </c>
      <c r="B74" s="81">
        <v>23</v>
      </c>
      <c r="C74" t="s">
        <v>146</v>
      </c>
      <c r="D74" s="99" t="s">
        <v>4543</v>
      </c>
      <c r="E74" t="s">
        <v>1063</v>
      </c>
      <c r="F74" t="s">
        <v>1066</v>
      </c>
      <c r="G74" t="s">
        <v>1057</v>
      </c>
      <c r="H74" s="83" t="s">
        <v>4535</v>
      </c>
      <c r="I74">
        <v>1</v>
      </c>
      <c r="J74">
        <v>6</v>
      </c>
      <c r="K74">
        <v>18</v>
      </c>
      <c r="L74" t="s">
        <v>4572</v>
      </c>
      <c r="M74" t="s">
        <v>4537</v>
      </c>
      <c r="N74">
        <v>0.13851351351351418</v>
      </c>
    </row>
    <row r="75" spans="1:14" x14ac:dyDescent="0.3">
      <c r="A75" s="82">
        <v>45824</v>
      </c>
      <c r="B75" s="81">
        <v>24</v>
      </c>
      <c r="C75" t="s">
        <v>146</v>
      </c>
      <c r="D75" s="99" t="s">
        <v>4543</v>
      </c>
      <c r="E75" t="s">
        <v>1063</v>
      </c>
      <c r="F75" t="s">
        <v>1066</v>
      </c>
      <c r="G75" t="s">
        <v>1057</v>
      </c>
      <c r="H75" s="83" t="s">
        <v>4535</v>
      </c>
      <c r="I75">
        <v>1</v>
      </c>
      <c r="J75">
        <v>6</v>
      </c>
      <c r="K75">
        <v>19</v>
      </c>
      <c r="L75" t="s">
        <v>4577</v>
      </c>
      <c r="M75" t="s">
        <v>4537</v>
      </c>
      <c r="N75">
        <v>0.35472972972973005</v>
      </c>
    </row>
    <row r="76" spans="1:14" x14ac:dyDescent="0.3">
      <c r="A76" s="82">
        <v>45831</v>
      </c>
      <c r="B76" s="81">
        <v>25</v>
      </c>
      <c r="C76" t="s">
        <v>146</v>
      </c>
      <c r="D76" s="99" t="s">
        <v>4543</v>
      </c>
      <c r="E76" t="s">
        <v>1063</v>
      </c>
      <c r="F76" t="s">
        <v>1066</v>
      </c>
      <c r="G76" t="s">
        <v>1057</v>
      </c>
      <c r="H76" s="83" t="s">
        <v>4535</v>
      </c>
      <c r="I76">
        <v>1</v>
      </c>
      <c r="J76">
        <v>6</v>
      </c>
      <c r="K76">
        <v>20</v>
      </c>
      <c r="L76" t="s">
        <v>4598</v>
      </c>
      <c r="M76" t="s">
        <v>4537</v>
      </c>
      <c r="N76">
        <v>0.61824324324324353</v>
      </c>
    </row>
    <row r="77" spans="1:14" x14ac:dyDescent="0.3">
      <c r="A77" s="82">
        <v>45719</v>
      </c>
      <c r="B77" s="81">
        <v>9</v>
      </c>
      <c r="C77" t="s">
        <v>147</v>
      </c>
      <c r="D77" s="99" t="s">
        <v>4534</v>
      </c>
      <c r="E77" t="s">
        <v>1060</v>
      </c>
      <c r="F77" t="s">
        <v>1056</v>
      </c>
      <c r="G77" t="s">
        <v>1057</v>
      </c>
      <c r="H77" s="83" t="s">
        <v>4535</v>
      </c>
      <c r="I77">
        <v>1</v>
      </c>
      <c r="J77">
        <v>3</v>
      </c>
      <c r="K77">
        <v>7</v>
      </c>
      <c r="L77" t="s">
        <v>4599</v>
      </c>
      <c r="M77" t="s">
        <v>4537</v>
      </c>
      <c r="N77">
        <v>1.1843711843712004</v>
      </c>
    </row>
    <row r="78" spans="1:14" x14ac:dyDescent="0.3">
      <c r="A78" s="82">
        <v>45726</v>
      </c>
      <c r="B78" s="81">
        <v>10</v>
      </c>
      <c r="C78" t="s">
        <v>147</v>
      </c>
      <c r="D78" s="99" t="s">
        <v>4534</v>
      </c>
      <c r="E78" t="s">
        <v>1060</v>
      </c>
      <c r="F78" t="s">
        <v>1056</v>
      </c>
      <c r="G78" t="s">
        <v>1057</v>
      </c>
      <c r="H78" s="83" t="s">
        <v>4535</v>
      </c>
      <c r="I78">
        <v>1</v>
      </c>
      <c r="J78">
        <v>3</v>
      </c>
      <c r="K78">
        <v>8</v>
      </c>
      <c r="L78" t="s">
        <v>4536</v>
      </c>
      <c r="M78" t="s">
        <v>4537</v>
      </c>
      <c r="N78">
        <v>1.3614163614163768</v>
      </c>
    </row>
    <row r="79" spans="1:14" x14ac:dyDescent="0.3">
      <c r="A79" s="82">
        <v>45726</v>
      </c>
      <c r="B79" s="81">
        <v>10</v>
      </c>
      <c r="C79" t="s">
        <v>147</v>
      </c>
      <c r="D79" s="99" t="s">
        <v>4534</v>
      </c>
      <c r="E79" t="s">
        <v>1063</v>
      </c>
      <c r="F79" t="s">
        <v>1066</v>
      </c>
      <c r="G79" t="s">
        <v>1057</v>
      </c>
      <c r="H79" s="83" t="s">
        <v>4535</v>
      </c>
      <c r="I79">
        <v>1</v>
      </c>
      <c r="J79">
        <v>6</v>
      </c>
      <c r="K79">
        <v>5</v>
      </c>
      <c r="L79" t="s">
        <v>4538</v>
      </c>
      <c r="M79" t="s">
        <v>4537</v>
      </c>
      <c r="N79">
        <v>1.3614163614163768</v>
      </c>
    </row>
    <row r="80" spans="1:14" x14ac:dyDescent="0.3">
      <c r="A80" s="82">
        <v>45733</v>
      </c>
      <c r="B80" s="81">
        <v>11</v>
      </c>
      <c r="C80" t="s">
        <v>147</v>
      </c>
      <c r="D80" s="99" t="s">
        <v>4534</v>
      </c>
      <c r="E80" t="s">
        <v>1063</v>
      </c>
      <c r="F80" t="s">
        <v>1066</v>
      </c>
      <c r="G80" t="s">
        <v>1057</v>
      </c>
      <c r="H80" s="83" t="s">
        <v>4535</v>
      </c>
      <c r="I80">
        <v>1</v>
      </c>
      <c r="J80">
        <v>6</v>
      </c>
      <c r="K80">
        <v>6</v>
      </c>
      <c r="L80" t="s">
        <v>4600</v>
      </c>
      <c r="M80" t="s">
        <v>4537</v>
      </c>
      <c r="N80">
        <v>0.66056166056166099</v>
      </c>
    </row>
    <row r="81" spans="1:14" x14ac:dyDescent="0.3">
      <c r="A81" s="82">
        <v>45824</v>
      </c>
      <c r="B81" s="81">
        <v>24</v>
      </c>
      <c r="C81" t="s">
        <v>147</v>
      </c>
      <c r="D81" s="99" t="s">
        <v>4534</v>
      </c>
      <c r="E81" t="s">
        <v>1063</v>
      </c>
      <c r="F81" t="s">
        <v>1066</v>
      </c>
      <c r="G81" t="s">
        <v>1057</v>
      </c>
      <c r="H81" s="83" t="s">
        <v>4535</v>
      </c>
      <c r="I81">
        <v>1</v>
      </c>
      <c r="J81">
        <v>6</v>
      </c>
      <c r="K81">
        <v>19</v>
      </c>
      <c r="L81" t="s">
        <v>4601</v>
      </c>
      <c r="M81" t="s">
        <v>4537</v>
      </c>
      <c r="N81">
        <v>0.34065934065934922</v>
      </c>
    </row>
    <row r="82" spans="1:14" x14ac:dyDescent="0.3">
      <c r="A82" s="82">
        <v>45698</v>
      </c>
      <c r="B82" s="81">
        <v>6</v>
      </c>
      <c r="C82" t="s">
        <v>148</v>
      </c>
      <c r="D82" s="99" t="s">
        <v>4548</v>
      </c>
      <c r="E82" t="s">
        <v>1059</v>
      </c>
      <c r="F82" t="s">
        <v>1050</v>
      </c>
      <c r="G82" t="s">
        <v>1054</v>
      </c>
      <c r="H82" s="83" t="s">
        <v>4540</v>
      </c>
      <c r="I82">
        <v>3</v>
      </c>
      <c r="J82">
        <v>1</v>
      </c>
      <c r="K82">
        <v>6</v>
      </c>
      <c r="L82" t="s">
        <v>4602</v>
      </c>
      <c r="M82" t="s">
        <v>4537</v>
      </c>
      <c r="N82">
        <v>2.7021978021977899</v>
      </c>
    </row>
    <row r="83" spans="1:14" x14ac:dyDescent="0.3">
      <c r="A83" s="82">
        <v>45747</v>
      </c>
      <c r="B83" s="81">
        <v>13</v>
      </c>
      <c r="C83" t="s">
        <v>148</v>
      </c>
      <c r="D83" s="99" t="s">
        <v>4543</v>
      </c>
      <c r="E83" t="s">
        <v>1063</v>
      </c>
      <c r="F83" t="s">
        <v>1066</v>
      </c>
      <c r="G83" t="s">
        <v>1057</v>
      </c>
      <c r="H83" s="83" t="s">
        <v>4535</v>
      </c>
      <c r="I83">
        <v>1</v>
      </c>
      <c r="J83">
        <v>6</v>
      </c>
      <c r="K83">
        <v>8</v>
      </c>
      <c r="L83" t="s">
        <v>4603</v>
      </c>
      <c r="M83" t="s">
        <v>4537</v>
      </c>
      <c r="N83">
        <v>1.517241379310355</v>
      </c>
    </row>
    <row r="84" spans="1:14" x14ac:dyDescent="0.3">
      <c r="A84" s="82">
        <v>45754</v>
      </c>
      <c r="B84" s="81">
        <v>14</v>
      </c>
      <c r="C84" t="s">
        <v>148</v>
      </c>
      <c r="D84" s="99" t="s">
        <v>4543</v>
      </c>
      <c r="E84" t="s">
        <v>1063</v>
      </c>
      <c r="F84" t="s">
        <v>1066</v>
      </c>
      <c r="G84" t="s">
        <v>1057</v>
      </c>
      <c r="H84" s="83" t="s">
        <v>4535</v>
      </c>
      <c r="I84">
        <v>1</v>
      </c>
      <c r="J84">
        <v>6</v>
      </c>
      <c r="K84">
        <v>9</v>
      </c>
      <c r="L84" t="s">
        <v>4583</v>
      </c>
      <c r="M84" t="s">
        <v>4537</v>
      </c>
      <c r="N84">
        <v>0.16454930429522419</v>
      </c>
    </row>
    <row r="85" spans="1:14" x14ac:dyDescent="0.3">
      <c r="A85" s="82">
        <v>45775</v>
      </c>
      <c r="B85" s="81">
        <v>17</v>
      </c>
      <c r="C85" t="s">
        <v>148</v>
      </c>
      <c r="D85" s="99" t="s">
        <v>4543</v>
      </c>
      <c r="E85" t="s">
        <v>1060</v>
      </c>
      <c r="F85" t="s">
        <v>1056</v>
      </c>
      <c r="G85" t="s">
        <v>1057</v>
      </c>
      <c r="H85" s="83" t="s">
        <v>4535</v>
      </c>
      <c r="I85">
        <v>1</v>
      </c>
      <c r="J85">
        <v>3</v>
      </c>
      <c r="K85">
        <v>15</v>
      </c>
      <c r="L85" t="s">
        <v>4604</v>
      </c>
      <c r="M85" t="s">
        <v>4537</v>
      </c>
      <c r="N85">
        <v>-1.4385964912280702</v>
      </c>
    </row>
    <row r="86" spans="1:14" x14ac:dyDescent="0.3">
      <c r="A86" s="82">
        <v>45782</v>
      </c>
      <c r="B86" s="81">
        <v>18</v>
      </c>
      <c r="C86" t="s">
        <v>148</v>
      </c>
      <c r="D86" s="99" t="s">
        <v>4539</v>
      </c>
      <c r="E86" t="s">
        <v>1059</v>
      </c>
      <c r="F86" t="s">
        <v>1050</v>
      </c>
      <c r="G86" t="s">
        <v>1054</v>
      </c>
      <c r="H86" s="83" t="s">
        <v>4540</v>
      </c>
      <c r="I86">
        <v>3</v>
      </c>
      <c r="J86">
        <v>1</v>
      </c>
      <c r="K86">
        <v>18</v>
      </c>
      <c r="L86" t="s">
        <v>4605</v>
      </c>
      <c r="M86" t="s">
        <v>4537</v>
      </c>
      <c r="N86">
        <v>-2.5857475857475869</v>
      </c>
    </row>
    <row r="87" spans="1:14" x14ac:dyDescent="0.3">
      <c r="A87" s="82">
        <v>45677</v>
      </c>
      <c r="B87" s="81">
        <v>3</v>
      </c>
      <c r="C87" t="s">
        <v>150</v>
      </c>
      <c r="D87" s="99" t="s">
        <v>4548</v>
      </c>
      <c r="E87" t="s">
        <v>1053</v>
      </c>
      <c r="F87" t="s">
        <v>1050</v>
      </c>
      <c r="G87" t="s">
        <v>1054</v>
      </c>
      <c r="H87" s="83" t="s">
        <v>4540</v>
      </c>
      <c r="I87">
        <v>3</v>
      </c>
      <c r="J87">
        <v>1</v>
      </c>
      <c r="K87">
        <v>3</v>
      </c>
      <c r="L87" t="s">
        <v>4606</v>
      </c>
      <c r="M87" t="s">
        <v>4537</v>
      </c>
      <c r="N87">
        <v>-2.201923076923078</v>
      </c>
    </row>
    <row r="88" spans="1:14" x14ac:dyDescent="0.3">
      <c r="A88" s="82">
        <v>45782</v>
      </c>
      <c r="B88" s="81">
        <v>18</v>
      </c>
      <c r="C88" t="s">
        <v>150</v>
      </c>
      <c r="D88" s="99" t="s">
        <v>4548</v>
      </c>
      <c r="E88" t="s">
        <v>1059</v>
      </c>
      <c r="F88" t="s">
        <v>1050</v>
      </c>
      <c r="G88" t="s">
        <v>1054</v>
      </c>
      <c r="H88" s="83" t="s">
        <v>4540</v>
      </c>
      <c r="I88">
        <v>3</v>
      </c>
      <c r="J88">
        <v>1</v>
      </c>
      <c r="K88">
        <v>18</v>
      </c>
      <c r="L88" t="s">
        <v>4607</v>
      </c>
      <c r="M88" t="s">
        <v>4537</v>
      </c>
      <c r="N88">
        <v>2.8270799347471489</v>
      </c>
    </row>
    <row r="89" spans="1:14" x14ac:dyDescent="0.3">
      <c r="A89" s="82">
        <v>45796</v>
      </c>
      <c r="B89" s="81">
        <v>20</v>
      </c>
      <c r="C89" t="s">
        <v>150</v>
      </c>
      <c r="D89" s="99" t="s">
        <v>4552</v>
      </c>
      <c r="E89" t="s">
        <v>1063</v>
      </c>
      <c r="F89" t="s">
        <v>1068</v>
      </c>
      <c r="G89" t="s">
        <v>1064</v>
      </c>
      <c r="H89" s="83" t="s">
        <v>4540</v>
      </c>
      <c r="I89">
        <v>3</v>
      </c>
      <c r="J89">
        <v>2</v>
      </c>
      <c r="K89">
        <v>19</v>
      </c>
      <c r="L89" t="s">
        <v>4608</v>
      </c>
      <c r="M89" t="s">
        <v>4537</v>
      </c>
      <c r="N89">
        <v>1.8172920065252882</v>
      </c>
    </row>
    <row r="90" spans="1:14" x14ac:dyDescent="0.3">
      <c r="A90" s="82">
        <v>45824</v>
      </c>
      <c r="B90" s="81">
        <v>24</v>
      </c>
      <c r="C90" t="s">
        <v>150</v>
      </c>
      <c r="D90" s="99" t="s">
        <v>4534</v>
      </c>
      <c r="E90" t="s">
        <v>1060</v>
      </c>
      <c r="F90" t="s">
        <v>1056</v>
      </c>
      <c r="G90" t="s">
        <v>1057</v>
      </c>
      <c r="H90" s="83" t="s">
        <v>4535</v>
      </c>
      <c r="I90">
        <v>1</v>
      </c>
      <c r="J90">
        <v>3</v>
      </c>
      <c r="K90">
        <v>22</v>
      </c>
      <c r="L90" t="s">
        <v>4588</v>
      </c>
      <c r="M90" t="s">
        <v>4537</v>
      </c>
      <c r="N90">
        <v>1.5530179445350762</v>
      </c>
    </row>
    <row r="91" spans="1:14" x14ac:dyDescent="0.3">
      <c r="A91" s="82">
        <v>45712</v>
      </c>
      <c r="B91" s="81">
        <v>8</v>
      </c>
      <c r="C91" t="s">
        <v>151</v>
      </c>
      <c r="D91" s="99" t="s">
        <v>4552</v>
      </c>
      <c r="E91" t="s">
        <v>1063</v>
      </c>
      <c r="F91" t="s">
        <v>1068</v>
      </c>
      <c r="G91" t="s">
        <v>1064</v>
      </c>
      <c r="H91" s="83" t="s">
        <v>4540</v>
      </c>
      <c r="I91">
        <v>3</v>
      </c>
      <c r="J91">
        <v>2</v>
      </c>
      <c r="K91">
        <v>7</v>
      </c>
      <c r="L91" t="s">
        <v>4609</v>
      </c>
      <c r="M91" t="s">
        <v>4537</v>
      </c>
      <c r="N91">
        <v>1.5925925925925919</v>
      </c>
    </row>
    <row r="92" spans="1:14" x14ac:dyDescent="0.3">
      <c r="A92" s="82">
        <v>45768</v>
      </c>
      <c r="B92" s="81">
        <v>16</v>
      </c>
      <c r="C92" t="s">
        <v>151</v>
      </c>
      <c r="D92" s="99" t="s">
        <v>4543</v>
      </c>
      <c r="E92" t="s">
        <v>1063</v>
      </c>
      <c r="F92" t="s">
        <v>1066</v>
      </c>
      <c r="G92" t="s">
        <v>1057</v>
      </c>
      <c r="H92" s="83" t="s">
        <v>4535</v>
      </c>
      <c r="I92">
        <v>1</v>
      </c>
      <c r="J92">
        <v>6</v>
      </c>
      <c r="K92">
        <v>11</v>
      </c>
      <c r="L92" t="s">
        <v>4585</v>
      </c>
      <c r="M92" t="s">
        <v>4537</v>
      </c>
      <c r="N92">
        <v>-0.134328358208957</v>
      </c>
    </row>
    <row r="93" spans="1:14" x14ac:dyDescent="0.3">
      <c r="A93" s="82">
        <v>45775</v>
      </c>
      <c r="B93" s="81">
        <v>17</v>
      </c>
      <c r="C93" t="s">
        <v>151</v>
      </c>
      <c r="D93" s="99" t="s">
        <v>4543</v>
      </c>
      <c r="E93" t="s">
        <v>1063</v>
      </c>
      <c r="F93" t="s">
        <v>1066</v>
      </c>
      <c r="G93" t="s">
        <v>1057</v>
      </c>
      <c r="H93" s="83" t="s">
        <v>4535</v>
      </c>
      <c r="I93">
        <v>1</v>
      </c>
      <c r="J93">
        <v>6</v>
      </c>
      <c r="K93">
        <v>12</v>
      </c>
      <c r="L93" t="s">
        <v>4586</v>
      </c>
      <c r="M93" t="s">
        <v>4537</v>
      </c>
      <c r="N93">
        <v>-0.95522388059701535</v>
      </c>
    </row>
    <row r="94" spans="1:14" x14ac:dyDescent="0.3">
      <c r="A94" s="82">
        <v>45803</v>
      </c>
      <c r="B94" s="81">
        <v>21</v>
      </c>
      <c r="C94" t="s">
        <v>151</v>
      </c>
      <c r="D94" s="99" t="s">
        <v>4550</v>
      </c>
      <c r="E94" t="s">
        <v>1063</v>
      </c>
      <c r="F94" t="s">
        <v>1066</v>
      </c>
      <c r="G94" t="s">
        <v>1057</v>
      </c>
      <c r="H94" s="83" t="s">
        <v>4535</v>
      </c>
      <c r="I94">
        <v>1</v>
      </c>
      <c r="J94">
        <v>6</v>
      </c>
      <c r="K94">
        <v>16</v>
      </c>
      <c r="L94" t="s">
        <v>4610</v>
      </c>
      <c r="M94" t="s">
        <v>4537</v>
      </c>
      <c r="N94">
        <v>-0.37037037037036813</v>
      </c>
    </row>
    <row r="95" spans="1:14" x14ac:dyDescent="0.3">
      <c r="A95" s="82">
        <v>45810</v>
      </c>
      <c r="B95" s="81">
        <v>22</v>
      </c>
      <c r="C95" t="s">
        <v>151</v>
      </c>
      <c r="D95" s="99" t="s">
        <v>4550</v>
      </c>
      <c r="E95" t="s">
        <v>1063</v>
      </c>
      <c r="F95" t="s">
        <v>1066</v>
      </c>
      <c r="G95" t="s">
        <v>1057</v>
      </c>
      <c r="H95" s="83" t="s">
        <v>4535</v>
      </c>
      <c r="I95">
        <v>1</v>
      </c>
      <c r="J95">
        <v>6</v>
      </c>
      <c r="K95">
        <v>17</v>
      </c>
      <c r="L95" t="s">
        <v>4551</v>
      </c>
      <c r="M95" t="s">
        <v>4537</v>
      </c>
      <c r="N95">
        <v>-0.40740740740740622</v>
      </c>
    </row>
    <row r="96" spans="1:14" x14ac:dyDescent="0.3">
      <c r="A96" s="82">
        <v>45719</v>
      </c>
      <c r="B96" s="81">
        <v>9</v>
      </c>
      <c r="C96" t="s">
        <v>152</v>
      </c>
      <c r="D96" s="99" t="s">
        <v>4548</v>
      </c>
      <c r="E96" t="s">
        <v>1059</v>
      </c>
      <c r="F96" t="s">
        <v>1050</v>
      </c>
      <c r="G96" t="s">
        <v>1054</v>
      </c>
      <c r="H96" s="83" t="s">
        <v>4540</v>
      </c>
      <c r="I96">
        <v>3</v>
      </c>
      <c r="J96">
        <v>1</v>
      </c>
      <c r="K96">
        <v>9</v>
      </c>
      <c r="L96" t="s">
        <v>4611</v>
      </c>
      <c r="M96" t="s">
        <v>4537</v>
      </c>
      <c r="N96">
        <v>2.9882741138317299</v>
      </c>
    </row>
    <row r="97" spans="1:14" x14ac:dyDescent="0.3">
      <c r="A97" s="82">
        <v>45719</v>
      </c>
      <c r="B97" s="81">
        <v>9</v>
      </c>
      <c r="C97" t="s">
        <v>152</v>
      </c>
      <c r="D97" s="99" t="s">
        <v>4539</v>
      </c>
      <c r="E97" t="s">
        <v>1053</v>
      </c>
      <c r="F97" t="s">
        <v>1050</v>
      </c>
      <c r="G97" t="s">
        <v>1054</v>
      </c>
      <c r="H97" s="83" t="s">
        <v>4540</v>
      </c>
      <c r="I97">
        <v>3</v>
      </c>
      <c r="J97">
        <v>1</v>
      </c>
      <c r="K97">
        <v>9</v>
      </c>
      <c r="L97" t="s">
        <v>4612</v>
      </c>
      <c r="M97" t="s">
        <v>4537</v>
      </c>
      <c r="N97">
        <v>2.9882741138317299</v>
      </c>
    </row>
    <row r="98" spans="1:14" x14ac:dyDescent="0.3">
      <c r="A98" s="82">
        <v>45740</v>
      </c>
      <c r="B98" s="81">
        <v>12</v>
      </c>
      <c r="C98" t="s">
        <v>152</v>
      </c>
      <c r="D98" s="99" t="s">
        <v>4552</v>
      </c>
      <c r="E98" t="s">
        <v>1063</v>
      </c>
      <c r="F98" t="s">
        <v>1068</v>
      </c>
      <c r="G98" t="s">
        <v>1064</v>
      </c>
      <c r="H98" s="83" t="s">
        <v>4540</v>
      </c>
      <c r="I98">
        <v>3</v>
      </c>
      <c r="J98">
        <v>2</v>
      </c>
      <c r="K98">
        <v>11</v>
      </c>
      <c r="L98" t="s">
        <v>4613</v>
      </c>
      <c r="M98" t="s">
        <v>4537</v>
      </c>
      <c r="N98">
        <v>1.6979226498181121</v>
      </c>
    </row>
    <row r="99" spans="1:14" x14ac:dyDescent="0.3">
      <c r="A99" s="82"/>
      <c r="B99" s="81"/>
      <c r="H99" s="83"/>
    </row>
    <row r="100" spans="1:14" x14ac:dyDescent="0.3">
      <c r="A100" s="82"/>
      <c r="B100" s="81"/>
      <c r="H100" s="83"/>
    </row>
    <row r="101" spans="1:14" x14ac:dyDescent="0.3">
      <c r="A101" s="82"/>
      <c r="B101" s="81"/>
      <c r="H101" s="83"/>
    </row>
    <row r="102" spans="1:14" x14ac:dyDescent="0.3">
      <c r="A102" s="82"/>
      <c r="B102" s="81"/>
      <c r="H102" s="83"/>
    </row>
    <row r="103" spans="1:14" x14ac:dyDescent="0.3">
      <c r="A103" s="82"/>
      <c r="B103" s="81"/>
      <c r="H103" s="83"/>
    </row>
    <row r="104" spans="1:14" x14ac:dyDescent="0.3">
      <c r="A104" s="82"/>
      <c r="B104" s="81"/>
      <c r="H104" s="83"/>
    </row>
    <row r="105" spans="1:14" x14ac:dyDescent="0.3">
      <c r="A105" s="82"/>
      <c r="B105" s="81"/>
      <c r="H105" s="83"/>
    </row>
    <row r="106" spans="1:14" x14ac:dyDescent="0.3">
      <c r="A106" s="82"/>
      <c r="B106" s="81"/>
      <c r="H106" s="83"/>
    </row>
    <row r="107" spans="1:14" x14ac:dyDescent="0.3">
      <c r="A107" s="82"/>
      <c r="B107" s="81"/>
      <c r="H107" s="83"/>
    </row>
    <row r="108" spans="1:14" x14ac:dyDescent="0.3">
      <c r="A108" s="82"/>
      <c r="B108" s="81"/>
      <c r="H108" s="83"/>
    </row>
    <row r="109" spans="1:14" x14ac:dyDescent="0.3">
      <c r="A109" s="82"/>
      <c r="B109" s="81"/>
      <c r="H109" s="83"/>
    </row>
    <row r="110" spans="1:14" x14ac:dyDescent="0.3">
      <c r="A110" s="82"/>
      <c r="B110" s="81"/>
      <c r="H110" s="83"/>
    </row>
    <row r="111" spans="1:14" x14ac:dyDescent="0.3">
      <c r="A111" s="82"/>
      <c r="B111" s="81"/>
      <c r="H111" s="83"/>
    </row>
    <row r="112" spans="1:14" x14ac:dyDescent="0.3">
      <c r="A112" s="82"/>
      <c r="B112" s="81"/>
      <c r="H112" s="83"/>
    </row>
    <row r="113" spans="1:8" x14ac:dyDescent="0.3">
      <c r="A113" s="82"/>
      <c r="B113" s="81"/>
      <c r="H113" s="83"/>
    </row>
    <row r="114" spans="1:8" x14ac:dyDescent="0.3">
      <c r="A114" s="82"/>
      <c r="B114" s="81"/>
      <c r="H114" s="83"/>
    </row>
    <row r="115" spans="1:8" x14ac:dyDescent="0.3">
      <c r="A115" s="82"/>
      <c r="B115" s="81"/>
      <c r="H115" s="83"/>
    </row>
    <row r="116" spans="1:8" x14ac:dyDescent="0.3">
      <c r="A116" s="82"/>
      <c r="B116" s="81"/>
      <c r="H116" s="83"/>
    </row>
    <row r="117" spans="1:8" x14ac:dyDescent="0.3">
      <c r="A117" s="82"/>
      <c r="B117" s="81"/>
      <c r="H117" s="83"/>
    </row>
    <row r="118" spans="1:8" x14ac:dyDescent="0.3">
      <c r="A118" s="82"/>
      <c r="B118" s="81"/>
      <c r="H118" s="83"/>
    </row>
    <row r="119" spans="1:8" x14ac:dyDescent="0.3">
      <c r="A119" s="82"/>
      <c r="B119" s="81"/>
      <c r="H119" s="83"/>
    </row>
    <row r="120" spans="1:8" x14ac:dyDescent="0.3">
      <c r="A120" s="82"/>
      <c r="B120" s="81"/>
      <c r="H120" s="83"/>
    </row>
    <row r="121" spans="1:8" x14ac:dyDescent="0.3">
      <c r="A121" s="82"/>
      <c r="B121" s="81"/>
      <c r="H121" s="83"/>
    </row>
    <row r="122" spans="1:8" x14ac:dyDescent="0.3">
      <c r="A122" s="82"/>
      <c r="B122" s="81"/>
      <c r="H122" s="83"/>
    </row>
    <row r="123" spans="1:8" x14ac:dyDescent="0.3">
      <c r="A123" s="82"/>
      <c r="B123" s="81"/>
      <c r="H123" s="83"/>
    </row>
    <row r="124" spans="1:8" x14ac:dyDescent="0.3">
      <c r="A124" s="82"/>
      <c r="B124" s="81"/>
      <c r="H124" s="83"/>
    </row>
    <row r="125" spans="1:8" x14ac:dyDescent="0.3">
      <c r="A125" s="82"/>
      <c r="B125" s="81"/>
      <c r="H125" s="83"/>
    </row>
    <row r="126" spans="1:8" x14ac:dyDescent="0.3">
      <c r="A126" s="82"/>
      <c r="B126" s="81"/>
      <c r="H126" s="83"/>
    </row>
    <row r="127" spans="1:8" x14ac:dyDescent="0.3">
      <c r="A127" s="82"/>
      <c r="B127" s="81"/>
      <c r="H127" s="83"/>
    </row>
    <row r="128" spans="1:8" x14ac:dyDescent="0.3">
      <c r="A128" s="82"/>
      <c r="B128" s="81"/>
      <c r="H128" s="83"/>
    </row>
    <row r="129" spans="1:8" x14ac:dyDescent="0.3">
      <c r="A129" s="82"/>
      <c r="B129" s="81"/>
      <c r="H129" s="83"/>
    </row>
    <row r="130" spans="1:8" x14ac:dyDescent="0.3">
      <c r="A130" s="82"/>
      <c r="B130" s="81"/>
      <c r="H130" s="83"/>
    </row>
    <row r="131" spans="1:8" x14ac:dyDescent="0.3">
      <c r="A131" s="82"/>
      <c r="B131" s="81"/>
      <c r="H131" s="83"/>
    </row>
    <row r="132" spans="1:8" x14ac:dyDescent="0.3">
      <c r="A132" s="82"/>
      <c r="B132" s="81"/>
      <c r="H132" s="83"/>
    </row>
    <row r="133" spans="1:8" x14ac:dyDescent="0.3">
      <c r="A133" s="82"/>
      <c r="B133" s="81"/>
      <c r="H133" s="83"/>
    </row>
    <row r="134" spans="1:8" x14ac:dyDescent="0.3">
      <c r="A134" s="82"/>
      <c r="B134" s="81"/>
      <c r="H134" s="83"/>
    </row>
    <row r="135" spans="1:8" x14ac:dyDescent="0.3">
      <c r="A135" s="82"/>
      <c r="B135" s="81"/>
      <c r="H135" s="83"/>
    </row>
    <row r="136" spans="1:8" x14ac:dyDescent="0.3">
      <c r="A136" s="82"/>
      <c r="B136" s="81"/>
      <c r="H136" s="83"/>
    </row>
    <row r="137" spans="1:8" x14ac:dyDescent="0.3">
      <c r="A137" s="82"/>
      <c r="B137" s="81"/>
      <c r="H137" s="83"/>
    </row>
    <row r="138" spans="1:8" x14ac:dyDescent="0.3">
      <c r="A138" s="82"/>
      <c r="B138" s="81"/>
      <c r="H138" s="83"/>
    </row>
    <row r="139" spans="1:8" x14ac:dyDescent="0.3">
      <c r="A139" s="82"/>
      <c r="B139" s="81"/>
      <c r="H139" s="83"/>
    </row>
    <row r="140" spans="1:8" x14ac:dyDescent="0.3">
      <c r="A140" s="82"/>
      <c r="B140" s="81"/>
      <c r="H140" s="83"/>
    </row>
    <row r="141" spans="1:8" x14ac:dyDescent="0.3">
      <c r="A141" s="82"/>
      <c r="B141" s="81"/>
      <c r="H141" s="83"/>
    </row>
    <row r="142" spans="1:8" x14ac:dyDescent="0.3">
      <c r="A142" s="82"/>
      <c r="B142" s="81"/>
      <c r="H142" s="83"/>
    </row>
    <row r="143" spans="1:8" x14ac:dyDescent="0.3">
      <c r="A143" s="82"/>
      <c r="B143" s="81"/>
      <c r="H143" s="83"/>
    </row>
    <row r="144" spans="1:8" x14ac:dyDescent="0.3">
      <c r="A144" s="82"/>
      <c r="B144" s="81"/>
      <c r="H144" s="83"/>
    </row>
    <row r="145" spans="1:8" x14ac:dyDescent="0.3">
      <c r="A145" s="82"/>
      <c r="B145" s="81"/>
      <c r="H145" s="83"/>
    </row>
    <row r="146" spans="1:8" x14ac:dyDescent="0.3">
      <c r="A146" s="82"/>
      <c r="B146" s="81"/>
      <c r="H146" s="83"/>
    </row>
    <row r="147" spans="1:8" x14ac:dyDescent="0.3">
      <c r="A147" s="82"/>
      <c r="B147" s="81"/>
      <c r="H147" s="83"/>
    </row>
    <row r="148" spans="1:8" x14ac:dyDescent="0.3">
      <c r="A148" s="82"/>
      <c r="B148" s="81"/>
      <c r="H148" s="83"/>
    </row>
    <row r="149" spans="1:8" x14ac:dyDescent="0.3">
      <c r="A149" s="82"/>
      <c r="B149" s="81"/>
      <c r="H149" s="83"/>
    </row>
    <row r="150" spans="1:8" x14ac:dyDescent="0.3">
      <c r="A150" s="82"/>
      <c r="B150" s="81"/>
      <c r="H150" s="83"/>
    </row>
    <row r="151" spans="1:8" x14ac:dyDescent="0.3">
      <c r="A151" s="82"/>
      <c r="B151" s="81"/>
      <c r="H151" s="83"/>
    </row>
    <row r="152" spans="1:8" x14ac:dyDescent="0.3">
      <c r="A152" s="82"/>
      <c r="B152" s="81"/>
      <c r="H152" s="83"/>
    </row>
    <row r="153" spans="1:8" x14ac:dyDescent="0.3">
      <c r="A153" s="82"/>
      <c r="B153" s="81"/>
      <c r="H153" s="83"/>
    </row>
    <row r="154" spans="1:8" x14ac:dyDescent="0.3">
      <c r="A154" s="82"/>
      <c r="B154" s="81"/>
      <c r="H154" s="83"/>
    </row>
    <row r="155" spans="1:8" x14ac:dyDescent="0.3">
      <c r="A155" s="82"/>
      <c r="B155" s="81"/>
      <c r="H155" s="83"/>
    </row>
    <row r="156" spans="1:8" x14ac:dyDescent="0.3">
      <c r="A156" s="82"/>
      <c r="B156" s="81"/>
      <c r="H156" s="83"/>
    </row>
    <row r="157" spans="1:8" x14ac:dyDescent="0.3">
      <c r="A157" s="82"/>
      <c r="B157" s="81"/>
      <c r="H157" s="83"/>
    </row>
    <row r="158" spans="1:8" x14ac:dyDescent="0.3">
      <c r="A158" s="82"/>
      <c r="B158" s="81"/>
      <c r="H158" s="83"/>
    </row>
    <row r="159" spans="1:8" x14ac:dyDescent="0.3">
      <c r="A159" s="82"/>
      <c r="B159" s="81"/>
      <c r="H159" s="83"/>
    </row>
    <row r="160" spans="1:8" x14ac:dyDescent="0.3">
      <c r="A160" s="82"/>
      <c r="B160" s="81"/>
      <c r="H160" s="83"/>
    </row>
    <row r="161" spans="1:8" x14ac:dyDescent="0.3">
      <c r="A161" s="82"/>
      <c r="B161" s="81"/>
      <c r="H161" s="83"/>
    </row>
    <row r="162" spans="1:8" x14ac:dyDescent="0.3">
      <c r="A162" s="82"/>
      <c r="B162" s="81"/>
      <c r="H162" s="83"/>
    </row>
    <row r="163" spans="1:8" x14ac:dyDescent="0.3">
      <c r="A163" s="82"/>
      <c r="B163" s="81"/>
      <c r="H163" s="83"/>
    </row>
    <row r="164" spans="1:8" x14ac:dyDescent="0.3">
      <c r="A164" s="82"/>
      <c r="B164" s="81"/>
      <c r="H164" s="83"/>
    </row>
    <row r="165" spans="1:8" x14ac:dyDescent="0.3">
      <c r="A165" s="82"/>
      <c r="B165" s="81"/>
      <c r="H165" s="83"/>
    </row>
    <row r="166" spans="1:8" x14ac:dyDescent="0.3">
      <c r="A166" s="82"/>
      <c r="B166" s="81"/>
      <c r="H166" s="83"/>
    </row>
    <row r="167" spans="1:8" x14ac:dyDescent="0.3">
      <c r="A167" s="82"/>
      <c r="B167" s="81"/>
      <c r="H167" s="83"/>
    </row>
    <row r="168" spans="1:8" x14ac:dyDescent="0.3">
      <c r="A168" s="82"/>
      <c r="B168" s="81"/>
      <c r="H168" s="83"/>
    </row>
    <row r="169" spans="1:8" x14ac:dyDescent="0.3">
      <c r="A169" s="82"/>
      <c r="B169" s="81"/>
      <c r="H169" s="83"/>
    </row>
    <row r="170" spans="1:8" x14ac:dyDescent="0.3">
      <c r="A170" s="82"/>
      <c r="B170" s="81"/>
      <c r="H170" s="83"/>
    </row>
    <row r="171" spans="1:8" x14ac:dyDescent="0.3">
      <c r="A171" s="82"/>
      <c r="B171" s="81"/>
      <c r="H171" s="83"/>
    </row>
    <row r="172" spans="1:8" x14ac:dyDescent="0.3">
      <c r="A172" s="82"/>
      <c r="B172" s="81"/>
      <c r="H172" s="83"/>
    </row>
    <row r="173" spans="1:8" x14ac:dyDescent="0.3">
      <c r="A173" s="82"/>
      <c r="B173" s="81"/>
      <c r="H173" s="83"/>
    </row>
    <row r="174" spans="1:8" x14ac:dyDescent="0.3">
      <c r="A174" s="82"/>
      <c r="B174" s="81"/>
      <c r="H174" s="83"/>
    </row>
    <row r="175" spans="1:8" x14ac:dyDescent="0.3">
      <c r="A175" s="82"/>
      <c r="B175" s="81"/>
      <c r="H175" s="83"/>
    </row>
    <row r="176" spans="1:8" x14ac:dyDescent="0.3">
      <c r="A176" s="82"/>
      <c r="B176" s="81"/>
      <c r="H176" s="83"/>
    </row>
    <row r="177" spans="1:8" x14ac:dyDescent="0.3">
      <c r="A177" s="82"/>
      <c r="B177" s="81"/>
      <c r="H177" s="83"/>
    </row>
    <row r="178" spans="1:8" x14ac:dyDescent="0.3">
      <c r="A178" s="82"/>
      <c r="B178" s="81"/>
      <c r="H178" s="83"/>
    </row>
    <row r="179" spans="1:8" x14ac:dyDescent="0.3">
      <c r="A179" s="82"/>
      <c r="B179" s="81"/>
      <c r="H179" s="83"/>
    </row>
    <row r="180" spans="1:8" x14ac:dyDescent="0.3">
      <c r="A180" s="82"/>
      <c r="B180" s="81"/>
      <c r="H180" s="83"/>
    </row>
    <row r="181" spans="1:8" x14ac:dyDescent="0.3">
      <c r="A181" s="82"/>
      <c r="B181" s="81"/>
      <c r="H181" s="83"/>
    </row>
    <row r="182" spans="1:8" x14ac:dyDescent="0.3">
      <c r="A182" s="82"/>
      <c r="B182" s="81"/>
      <c r="H182" s="83"/>
    </row>
    <row r="183" spans="1:8" x14ac:dyDescent="0.3">
      <c r="A183" s="82"/>
      <c r="B183" s="81"/>
      <c r="H183" s="83"/>
    </row>
    <row r="184" spans="1:8" x14ac:dyDescent="0.3">
      <c r="A184" s="82"/>
      <c r="B184" s="81"/>
      <c r="H184" s="83"/>
    </row>
    <row r="185" spans="1:8" x14ac:dyDescent="0.3">
      <c r="A185" s="82"/>
      <c r="B185" s="81"/>
      <c r="H185" s="83"/>
    </row>
    <row r="186" spans="1:8" x14ac:dyDescent="0.3">
      <c r="A186" s="82"/>
      <c r="B186" s="81"/>
      <c r="H186" s="83"/>
    </row>
    <row r="187" spans="1:8" x14ac:dyDescent="0.3">
      <c r="A187" s="82"/>
      <c r="B187" s="81"/>
      <c r="H187" s="83"/>
    </row>
    <row r="188" spans="1:8" x14ac:dyDescent="0.3">
      <c r="A188" s="82"/>
      <c r="B188" s="81"/>
      <c r="H188" s="83"/>
    </row>
    <row r="189" spans="1:8" x14ac:dyDescent="0.3">
      <c r="A189" s="82"/>
      <c r="B189" s="81"/>
      <c r="H189" s="83"/>
    </row>
    <row r="190" spans="1:8" x14ac:dyDescent="0.3">
      <c r="A190" s="82"/>
      <c r="B190" s="81"/>
      <c r="H190" s="83"/>
    </row>
    <row r="191" spans="1:8" x14ac:dyDescent="0.3">
      <c r="A191" s="82"/>
      <c r="B191" s="81"/>
      <c r="H191" s="83"/>
    </row>
    <row r="192" spans="1:8" x14ac:dyDescent="0.3">
      <c r="A192" s="82"/>
      <c r="B192" s="81"/>
      <c r="H192" s="83"/>
    </row>
    <row r="193" spans="1:8" x14ac:dyDescent="0.3">
      <c r="A193" s="82"/>
      <c r="B193" s="81"/>
      <c r="H193" s="83"/>
    </row>
    <row r="194" spans="1:8" x14ac:dyDescent="0.3">
      <c r="A194" s="82"/>
      <c r="B194" s="81"/>
      <c r="H194" s="83"/>
    </row>
    <row r="195" spans="1:8" x14ac:dyDescent="0.3">
      <c r="A195" s="82"/>
      <c r="B195" s="81"/>
      <c r="H195" s="83"/>
    </row>
    <row r="196" spans="1:8" x14ac:dyDescent="0.3">
      <c r="A196" s="82"/>
      <c r="B196" s="81"/>
      <c r="H196" s="83"/>
    </row>
    <row r="197" spans="1:8" x14ac:dyDescent="0.3">
      <c r="A197" s="82"/>
      <c r="B197" s="81"/>
      <c r="H197" s="83"/>
    </row>
    <row r="198" spans="1:8" x14ac:dyDescent="0.3">
      <c r="A198" s="82"/>
      <c r="B198" s="81"/>
      <c r="H198" s="83"/>
    </row>
    <row r="199" spans="1:8" x14ac:dyDescent="0.3">
      <c r="A199" s="82"/>
      <c r="B199" s="81"/>
      <c r="H199" s="83"/>
    </row>
    <row r="200" spans="1:8" x14ac:dyDescent="0.3">
      <c r="A200" s="82"/>
      <c r="B200" s="81"/>
      <c r="H200" s="83"/>
    </row>
    <row r="201" spans="1:8" x14ac:dyDescent="0.3">
      <c r="A201" s="82"/>
      <c r="B201" s="81"/>
      <c r="H201" s="83"/>
    </row>
    <row r="202" spans="1:8" x14ac:dyDescent="0.3">
      <c r="A202" s="82"/>
      <c r="B202" s="81"/>
      <c r="H202" s="83"/>
    </row>
    <row r="203" spans="1:8" x14ac:dyDescent="0.3">
      <c r="A203" s="82"/>
      <c r="B203" s="81"/>
      <c r="H203" s="83"/>
    </row>
    <row r="204" spans="1:8" x14ac:dyDescent="0.3">
      <c r="A204" s="82"/>
      <c r="B204" s="81"/>
      <c r="H204" s="83"/>
    </row>
    <row r="205" spans="1:8" x14ac:dyDescent="0.3">
      <c r="A205" s="82"/>
      <c r="B205" s="81"/>
      <c r="H205" s="83"/>
    </row>
    <row r="206" spans="1:8" x14ac:dyDescent="0.3">
      <c r="A206" s="82"/>
      <c r="B206" s="81"/>
      <c r="H206" s="83"/>
    </row>
    <row r="207" spans="1:8" x14ac:dyDescent="0.3">
      <c r="A207" s="82"/>
      <c r="B207" s="81"/>
      <c r="H207" s="83"/>
    </row>
    <row r="208" spans="1:8" x14ac:dyDescent="0.3">
      <c r="A208" s="82"/>
      <c r="B208" s="81"/>
      <c r="H208" s="83"/>
    </row>
    <row r="209" spans="1:8" x14ac:dyDescent="0.3">
      <c r="A209" s="82"/>
      <c r="B209" s="81"/>
      <c r="H209" s="83"/>
    </row>
    <row r="210" spans="1:8" x14ac:dyDescent="0.3">
      <c r="A210" s="82"/>
      <c r="B210" s="81"/>
      <c r="H210" s="83"/>
    </row>
    <row r="211" spans="1:8" x14ac:dyDescent="0.3">
      <c r="A211" s="82"/>
      <c r="B211" s="81"/>
      <c r="H211" s="83"/>
    </row>
    <row r="212" spans="1:8" x14ac:dyDescent="0.3">
      <c r="A212" s="82"/>
      <c r="B212" s="81"/>
      <c r="H212" s="83"/>
    </row>
    <row r="213" spans="1:8" x14ac:dyDescent="0.3">
      <c r="A213" s="82"/>
      <c r="B213" s="81"/>
      <c r="H213" s="83"/>
    </row>
    <row r="214" spans="1:8" x14ac:dyDescent="0.3">
      <c r="A214" s="82"/>
      <c r="B214" s="81"/>
      <c r="H214" s="83"/>
    </row>
    <row r="215" spans="1:8" x14ac:dyDescent="0.3">
      <c r="A215" s="82"/>
      <c r="B215" s="81"/>
      <c r="H215" s="83"/>
    </row>
    <row r="216" spans="1:8" x14ac:dyDescent="0.3">
      <c r="A216" s="82"/>
      <c r="B216" s="81"/>
      <c r="H216" s="83"/>
    </row>
    <row r="217" spans="1:8" x14ac:dyDescent="0.3">
      <c r="A217" s="82"/>
      <c r="B217" s="81"/>
      <c r="H217" s="83"/>
    </row>
    <row r="218" spans="1:8" x14ac:dyDescent="0.3">
      <c r="A218" s="82"/>
      <c r="B218" s="81"/>
      <c r="H218" s="83"/>
    </row>
    <row r="219" spans="1:8" x14ac:dyDescent="0.3">
      <c r="A219" s="82"/>
      <c r="B219" s="81"/>
      <c r="H219" s="83"/>
    </row>
    <row r="220" spans="1:8" x14ac:dyDescent="0.3">
      <c r="A220" s="82"/>
      <c r="B220" s="81"/>
      <c r="H220" s="83"/>
    </row>
    <row r="221" spans="1:8" x14ac:dyDescent="0.3">
      <c r="A221" s="82"/>
      <c r="B221" s="81"/>
      <c r="H221" s="83"/>
    </row>
    <row r="222" spans="1:8" x14ac:dyDescent="0.3">
      <c r="A222" s="82"/>
      <c r="B222" s="81"/>
      <c r="H222" s="83"/>
    </row>
    <row r="223" spans="1:8" x14ac:dyDescent="0.3">
      <c r="A223" s="82"/>
      <c r="B223" s="81"/>
      <c r="H223" s="83"/>
    </row>
    <row r="224" spans="1:8" x14ac:dyDescent="0.3">
      <c r="A224" s="82"/>
      <c r="B224" s="81"/>
      <c r="H224" s="83"/>
    </row>
    <row r="225" spans="1:8" x14ac:dyDescent="0.3">
      <c r="A225" s="82"/>
      <c r="B225" s="81"/>
      <c r="H225" s="83"/>
    </row>
    <row r="226" spans="1:8" x14ac:dyDescent="0.3">
      <c r="A226" s="82"/>
      <c r="B226" s="81"/>
      <c r="H226" s="83"/>
    </row>
    <row r="227" spans="1:8" x14ac:dyDescent="0.3">
      <c r="A227" s="82"/>
      <c r="B227" s="81"/>
      <c r="H227" s="83"/>
    </row>
    <row r="228" spans="1:8" x14ac:dyDescent="0.3">
      <c r="A228" s="82"/>
      <c r="B228" s="81"/>
      <c r="H228" s="83"/>
    </row>
    <row r="229" spans="1:8" x14ac:dyDescent="0.3">
      <c r="A229" s="82"/>
      <c r="B229" s="81"/>
      <c r="H229" s="83"/>
    </row>
    <row r="230" spans="1:8" x14ac:dyDescent="0.3">
      <c r="A230" s="82"/>
      <c r="B230" s="81"/>
      <c r="H230" s="83"/>
    </row>
    <row r="231" spans="1:8" x14ac:dyDescent="0.3">
      <c r="A231" s="82"/>
      <c r="B231" s="81"/>
      <c r="H231" s="83"/>
    </row>
    <row r="232" spans="1:8" x14ac:dyDescent="0.3">
      <c r="A232" s="82"/>
      <c r="B232" s="81"/>
      <c r="H232" s="83"/>
    </row>
    <row r="233" spans="1:8" x14ac:dyDescent="0.3">
      <c r="A233" s="82"/>
      <c r="B233" s="81"/>
      <c r="H233" s="83"/>
    </row>
    <row r="234" spans="1:8" x14ac:dyDescent="0.3">
      <c r="A234" s="82"/>
      <c r="B234" s="81"/>
      <c r="H234" s="83"/>
    </row>
    <row r="235" spans="1:8" x14ac:dyDescent="0.3">
      <c r="A235" s="82"/>
      <c r="B235" s="81"/>
      <c r="H235" s="83"/>
    </row>
    <row r="236" spans="1:8" x14ac:dyDescent="0.3">
      <c r="A236" s="82"/>
      <c r="B236" s="81"/>
      <c r="H236" s="83"/>
    </row>
    <row r="237" spans="1:8" x14ac:dyDescent="0.3">
      <c r="A237" s="82"/>
      <c r="B237" s="81"/>
      <c r="H237" s="83"/>
    </row>
    <row r="238" spans="1:8" x14ac:dyDescent="0.3">
      <c r="A238" s="82"/>
      <c r="B238" s="81"/>
      <c r="H238" s="83"/>
    </row>
    <row r="239" spans="1:8" x14ac:dyDescent="0.3">
      <c r="A239" s="82"/>
      <c r="B239" s="81"/>
      <c r="H239" s="83"/>
    </row>
    <row r="240" spans="1:8" x14ac:dyDescent="0.3">
      <c r="A240" s="82"/>
      <c r="B240" s="81"/>
      <c r="H240" s="83"/>
    </row>
    <row r="241" spans="1:8" x14ac:dyDescent="0.3">
      <c r="A241" s="82"/>
      <c r="B241" s="81"/>
      <c r="H241" s="83"/>
    </row>
    <row r="242" spans="1:8" x14ac:dyDescent="0.3">
      <c r="A242" s="82"/>
      <c r="B242" s="81"/>
      <c r="H242" s="83"/>
    </row>
    <row r="243" spans="1:8" x14ac:dyDescent="0.3">
      <c r="A243" s="82"/>
      <c r="B243" s="81"/>
      <c r="H243" s="83"/>
    </row>
    <row r="244" spans="1:8" x14ac:dyDescent="0.3">
      <c r="A244" s="82"/>
      <c r="B244" s="81"/>
      <c r="H244" s="83"/>
    </row>
    <row r="245" spans="1:8" x14ac:dyDescent="0.3">
      <c r="A245" s="82"/>
      <c r="B245" s="81"/>
      <c r="H245" s="83"/>
    </row>
    <row r="246" spans="1:8" x14ac:dyDescent="0.3">
      <c r="A246" s="82"/>
      <c r="B246" s="81"/>
      <c r="H246" s="83"/>
    </row>
    <row r="247" spans="1:8" x14ac:dyDescent="0.3">
      <c r="A247" s="82"/>
      <c r="B247" s="81"/>
      <c r="H247" s="83"/>
    </row>
    <row r="248" spans="1:8" x14ac:dyDescent="0.3">
      <c r="A248" s="82"/>
      <c r="B248" s="81"/>
      <c r="H248" s="83"/>
    </row>
    <row r="249" spans="1:8" x14ac:dyDescent="0.3">
      <c r="A249" s="82"/>
      <c r="B249" s="81"/>
      <c r="H249" s="83"/>
    </row>
    <row r="250" spans="1:8" x14ac:dyDescent="0.3">
      <c r="A250" s="82"/>
      <c r="B250" s="81"/>
      <c r="H250" s="83"/>
    </row>
    <row r="251" spans="1:8" x14ac:dyDescent="0.3">
      <c r="A251" s="82"/>
      <c r="B251" s="81"/>
      <c r="H251" s="83"/>
    </row>
    <row r="252" spans="1:8" x14ac:dyDescent="0.3">
      <c r="A252" s="82"/>
      <c r="B252" s="81"/>
      <c r="H252" s="83"/>
    </row>
    <row r="253" spans="1:8" x14ac:dyDescent="0.3">
      <c r="A253" s="82"/>
      <c r="B253" s="81"/>
      <c r="H253" s="83"/>
    </row>
    <row r="254" spans="1:8" x14ac:dyDescent="0.3">
      <c r="A254" s="82"/>
      <c r="B254" s="81"/>
      <c r="H254" s="83"/>
    </row>
    <row r="255" spans="1:8" x14ac:dyDescent="0.3">
      <c r="A255" s="82"/>
      <c r="B255" s="81"/>
      <c r="H255" s="83"/>
    </row>
    <row r="256" spans="1:8" x14ac:dyDescent="0.3">
      <c r="A256" s="82"/>
      <c r="B256" s="81"/>
      <c r="H256" s="83"/>
    </row>
    <row r="257" spans="1:8" x14ac:dyDescent="0.3">
      <c r="A257" s="82"/>
      <c r="B257" s="81"/>
      <c r="H257" s="83"/>
    </row>
    <row r="258" spans="1:8" x14ac:dyDescent="0.3">
      <c r="A258" s="82"/>
      <c r="B258" s="81"/>
      <c r="H258" s="83"/>
    </row>
    <row r="259" spans="1:8" x14ac:dyDescent="0.3">
      <c r="A259" s="82"/>
      <c r="B259" s="81"/>
      <c r="H259" s="83"/>
    </row>
    <row r="260" spans="1:8" x14ac:dyDescent="0.3">
      <c r="A260" s="82"/>
      <c r="B260" s="81"/>
      <c r="H260" s="83"/>
    </row>
    <row r="261" spans="1:8" x14ac:dyDescent="0.3">
      <c r="A261" s="82"/>
      <c r="B261" s="81"/>
      <c r="H261" s="83"/>
    </row>
    <row r="262" spans="1:8" x14ac:dyDescent="0.3">
      <c r="A262" s="82"/>
      <c r="B262" s="81"/>
      <c r="H262" s="83"/>
    </row>
    <row r="263" spans="1:8" x14ac:dyDescent="0.3">
      <c r="A263" s="82"/>
      <c r="B263" s="81"/>
      <c r="H263" s="83"/>
    </row>
    <row r="264" spans="1:8" x14ac:dyDescent="0.3">
      <c r="A264" s="82"/>
      <c r="B264" s="81"/>
      <c r="H264" s="83"/>
    </row>
    <row r="265" spans="1:8" x14ac:dyDescent="0.3">
      <c r="A265" s="82"/>
      <c r="B265" s="81"/>
      <c r="H265" s="83"/>
    </row>
    <row r="266" spans="1:8" x14ac:dyDescent="0.3">
      <c r="A266" s="82"/>
      <c r="B266" s="81"/>
      <c r="H266" s="83"/>
    </row>
    <row r="267" spans="1:8" x14ac:dyDescent="0.3">
      <c r="A267" s="82"/>
      <c r="B267" s="81"/>
      <c r="H267" s="83"/>
    </row>
    <row r="268" spans="1:8" x14ac:dyDescent="0.3">
      <c r="A268" s="82"/>
      <c r="B268" s="81"/>
      <c r="H268" s="83"/>
    </row>
    <row r="269" spans="1:8" x14ac:dyDescent="0.3">
      <c r="A269" s="82"/>
      <c r="B269" s="81"/>
      <c r="H269" s="83"/>
    </row>
    <row r="270" spans="1:8" x14ac:dyDescent="0.3">
      <c r="A270" s="82"/>
      <c r="B270" s="81"/>
      <c r="H270" s="83"/>
    </row>
    <row r="271" spans="1:8" x14ac:dyDescent="0.3">
      <c r="A271" s="82"/>
      <c r="B271" s="81"/>
      <c r="H271" s="83"/>
    </row>
    <row r="272" spans="1:8" x14ac:dyDescent="0.3">
      <c r="A272" s="82"/>
      <c r="B272" s="81"/>
      <c r="H272" s="83"/>
    </row>
    <row r="273" spans="1:8" x14ac:dyDescent="0.3">
      <c r="A273" s="82"/>
      <c r="B273" s="81"/>
      <c r="H273" s="83"/>
    </row>
    <row r="274" spans="1:8" x14ac:dyDescent="0.3">
      <c r="A274" s="82"/>
      <c r="B274" s="81"/>
      <c r="H274" s="83"/>
    </row>
    <row r="275" spans="1:8" x14ac:dyDescent="0.3">
      <c r="A275" s="82"/>
      <c r="B275" s="81"/>
      <c r="H275" s="83"/>
    </row>
    <row r="276" spans="1:8" x14ac:dyDescent="0.3">
      <c r="A276" s="82"/>
      <c r="B276" s="81"/>
      <c r="H276" s="83"/>
    </row>
    <row r="277" spans="1:8" x14ac:dyDescent="0.3">
      <c r="A277" s="82"/>
      <c r="B277" s="81"/>
      <c r="H277" s="83"/>
    </row>
    <row r="278" spans="1:8" x14ac:dyDescent="0.3">
      <c r="A278" s="82"/>
      <c r="B278" s="81"/>
      <c r="H278" s="83"/>
    </row>
    <row r="279" spans="1:8" x14ac:dyDescent="0.3">
      <c r="A279" s="82"/>
      <c r="B279" s="81"/>
      <c r="H279" s="83"/>
    </row>
    <row r="280" spans="1:8" x14ac:dyDescent="0.3">
      <c r="A280" s="82"/>
      <c r="B280" s="81"/>
      <c r="H280" s="83"/>
    </row>
    <row r="281" spans="1:8" x14ac:dyDescent="0.3">
      <c r="A281" s="82"/>
      <c r="B281" s="81"/>
      <c r="H281" s="83"/>
    </row>
    <row r="282" spans="1:8" x14ac:dyDescent="0.3">
      <c r="A282" s="82"/>
      <c r="B282" s="81"/>
      <c r="H282" s="83"/>
    </row>
    <row r="283" spans="1:8" x14ac:dyDescent="0.3">
      <c r="A283" s="82"/>
      <c r="B283" s="81"/>
      <c r="H283" s="83"/>
    </row>
    <row r="284" spans="1:8" x14ac:dyDescent="0.3">
      <c r="A284" s="82"/>
      <c r="B284" s="81"/>
      <c r="H284" s="83"/>
    </row>
    <row r="285" spans="1:8" x14ac:dyDescent="0.3">
      <c r="A285" s="82"/>
      <c r="B285" s="81"/>
      <c r="H285" s="83"/>
    </row>
    <row r="286" spans="1:8" x14ac:dyDescent="0.3">
      <c r="A286" s="82"/>
      <c r="B286" s="81"/>
      <c r="H286" s="83"/>
    </row>
    <row r="287" spans="1:8" x14ac:dyDescent="0.3">
      <c r="A287" s="82"/>
      <c r="B287" s="81"/>
      <c r="H287" s="83"/>
    </row>
    <row r="288" spans="1:8" x14ac:dyDescent="0.3">
      <c r="A288" s="82"/>
      <c r="B288" s="81"/>
      <c r="H288" s="83"/>
    </row>
    <row r="289" spans="1:8" x14ac:dyDescent="0.3">
      <c r="A289" s="82"/>
      <c r="B289" s="81"/>
      <c r="H289" s="83"/>
    </row>
    <row r="290" spans="1:8" x14ac:dyDescent="0.3">
      <c r="A290" s="82"/>
      <c r="B290" s="81"/>
      <c r="H290" s="83"/>
    </row>
    <row r="291" spans="1:8" x14ac:dyDescent="0.3">
      <c r="A291" s="82"/>
      <c r="B291" s="81"/>
      <c r="H291" s="83"/>
    </row>
    <row r="292" spans="1:8" x14ac:dyDescent="0.3">
      <c r="A292" s="82"/>
      <c r="B292" s="81"/>
      <c r="H292" s="83"/>
    </row>
    <row r="293" spans="1:8" x14ac:dyDescent="0.3">
      <c r="A293" s="82"/>
      <c r="B293" s="81"/>
      <c r="H293" s="83"/>
    </row>
    <row r="294" spans="1:8" x14ac:dyDescent="0.3">
      <c r="A294" s="82"/>
      <c r="B294" s="81"/>
      <c r="H294" s="83"/>
    </row>
    <row r="295" spans="1:8" x14ac:dyDescent="0.3">
      <c r="A295" s="82"/>
      <c r="B295" s="81"/>
      <c r="H295" s="83"/>
    </row>
    <row r="296" spans="1:8" x14ac:dyDescent="0.3">
      <c r="A296" s="82"/>
      <c r="B296" s="81"/>
      <c r="H296" s="83"/>
    </row>
    <row r="297" spans="1:8" x14ac:dyDescent="0.3">
      <c r="A297" s="82"/>
      <c r="B297" s="81"/>
      <c r="H297" s="83"/>
    </row>
    <row r="298" spans="1:8" x14ac:dyDescent="0.3">
      <c r="A298" s="82"/>
      <c r="B298" s="81"/>
      <c r="H298" s="83"/>
    </row>
    <row r="299" spans="1:8" x14ac:dyDescent="0.3">
      <c r="A299" s="82"/>
      <c r="B299" s="81"/>
      <c r="H299" s="83"/>
    </row>
    <row r="300" spans="1:8" x14ac:dyDescent="0.3">
      <c r="A300" s="82"/>
      <c r="B300" s="81"/>
      <c r="H300" s="83"/>
    </row>
    <row r="301" spans="1:8" x14ac:dyDescent="0.3">
      <c r="A301" s="82"/>
      <c r="B301" s="81"/>
      <c r="H301" s="83"/>
    </row>
    <row r="302" spans="1:8" x14ac:dyDescent="0.3">
      <c r="A302" s="82"/>
      <c r="B302" s="81"/>
      <c r="H302" s="83"/>
    </row>
    <row r="303" spans="1:8" x14ac:dyDescent="0.3">
      <c r="A303" s="82"/>
      <c r="B303" s="81"/>
      <c r="H303" s="83"/>
    </row>
    <row r="304" spans="1:8" x14ac:dyDescent="0.3">
      <c r="A304" s="82"/>
      <c r="B304" s="81"/>
      <c r="H304" s="83"/>
    </row>
    <row r="305" spans="1:8" x14ac:dyDescent="0.3">
      <c r="A305" s="82"/>
      <c r="B305" s="81"/>
      <c r="H305" s="83"/>
    </row>
    <row r="306" spans="1:8" x14ac:dyDescent="0.3">
      <c r="A306" s="82"/>
      <c r="B306" s="81"/>
      <c r="H306" s="83"/>
    </row>
    <row r="307" spans="1:8" x14ac:dyDescent="0.3">
      <c r="A307" s="82"/>
      <c r="B307" s="81"/>
      <c r="H307" s="83"/>
    </row>
    <row r="308" spans="1:8" x14ac:dyDescent="0.3">
      <c r="A308" s="82"/>
      <c r="B308" s="81"/>
      <c r="H308" s="83"/>
    </row>
    <row r="309" spans="1:8" x14ac:dyDescent="0.3">
      <c r="A309" s="82"/>
      <c r="B309" s="81"/>
      <c r="H309" s="83"/>
    </row>
    <row r="310" spans="1:8" x14ac:dyDescent="0.3">
      <c r="A310" s="82"/>
      <c r="B310" s="81"/>
      <c r="H310" s="83"/>
    </row>
    <row r="311" spans="1:8" x14ac:dyDescent="0.3">
      <c r="A311" s="82"/>
      <c r="B311" s="81"/>
      <c r="H311" s="83"/>
    </row>
    <row r="312" spans="1:8" x14ac:dyDescent="0.3">
      <c r="A312" s="82"/>
      <c r="B312" s="81"/>
      <c r="H312" s="83"/>
    </row>
    <row r="313" spans="1:8" x14ac:dyDescent="0.3">
      <c r="A313" s="82"/>
      <c r="B313" s="81"/>
      <c r="H313" s="83"/>
    </row>
    <row r="314" spans="1:8" x14ac:dyDescent="0.3">
      <c r="A314" s="82"/>
      <c r="B314" s="81"/>
      <c r="H314" s="83"/>
    </row>
    <row r="315" spans="1:8" x14ac:dyDescent="0.3">
      <c r="A315" s="82"/>
      <c r="B315" s="81"/>
      <c r="H315" s="83"/>
    </row>
    <row r="316" spans="1:8" x14ac:dyDescent="0.3">
      <c r="A316" s="82"/>
      <c r="B316" s="81"/>
      <c r="H316" s="83"/>
    </row>
    <row r="317" spans="1:8" x14ac:dyDescent="0.3">
      <c r="A317" s="82"/>
      <c r="B317" s="81"/>
      <c r="H317" s="83"/>
    </row>
    <row r="318" spans="1:8" x14ac:dyDescent="0.3">
      <c r="A318" s="82"/>
      <c r="B318" s="81"/>
      <c r="H318" s="83"/>
    </row>
    <row r="319" spans="1:8" x14ac:dyDescent="0.3">
      <c r="A319" s="82"/>
      <c r="B319" s="81"/>
      <c r="H319" s="83"/>
    </row>
    <row r="320" spans="1:8" x14ac:dyDescent="0.3">
      <c r="A320" s="82"/>
      <c r="B320" s="81"/>
      <c r="H320" s="83"/>
    </row>
    <row r="321" spans="1:8" x14ac:dyDescent="0.3">
      <c r="A321" s="82"/>
      <c r="B321" s="81"/>
      <c r="H321" s="83"/>
    </row>
    <row r="322" spans="1:8" x14ac:dyDescent="0.3">
      <c r="A322" s="82"/>
      <c r="B322" s="81"/>
      <c r="H322" s="83"/>
    </row>
    <row r="323" spans="1:8" x14ac:dyDescent="0.3">
      <c r="A323" s="82"/>
      <c r="B323" s="81"/>
      <c r="H323" s="83"/>
    </row>
    <row r="324" spans="1:8" x14ac:dyDescent="0.3">
      <c r="A324" s="82"/>
      <c r="B324" s="81"/>
      <c r="H324" s="83"/>
    </row>
    <row r="325" spans="1:8" x14ac:dyDescent="0.3">
      <c r="A325" s="82"/>
      <c r="B325" s="81"/>
      <c r="H325" s="83"/>
    </row>
    <row r="326" spans="1:8" x14ac:dyDescent="0.3">
      <c r="A326" s="82"/>
      <c r="B326" s="81"/>
      <c r="H326" s="83"/>
    </row>
    <row r="327" spans="1:8" x14ac:dyDescent="0.3">
      <c r="A327" s="82"/>
      <c r="B327" s="81"/>
      <c r="H327" s="83"/>
    </row>
    <row r="328" spans="1:8" x14ac:dyDescent="0.3">
      <c r="A328" s="82"/>
      <c r="B328" s="81"/>
      <c r="H328" s="83"/>
    </row>
    <row r="329" spans="1:8" x14ac:dyDescent="0.3">
      <c r="A329" s="82"/>
      <c r="B329" s="81"/>
      <c r="H329" s="83"/>
    </row>
    <row r="330" spans="1:8" x14ac:dyDescent="0.3">
      <c r="A330" s="82"/>
      <c r="B330" s="81"/>
      <c r="H330" s="83"/>
    </row>
    <row r="331" spans="1:8" x14ac:dyDescent="0.3">
      <c r="A331" s="82"/>
      <c r="B331" s="81"/>
      <c r="H331" s="83"/>
    </row>
    <row r="332" spans="1:8" x14ac:dyDescent="0.3">
      <c r="A332" s="82"/>
      <c r="B332" s="81"/>
      <c r="H332" s="83"/>
    </row>
    <row r="333" spans="1:8" x14ac:dyDescent="0.3">
      <c r="A333" s="82"/>
      <c r="B333" s="81"/>
      <c r="H333" s="83"/>
    </row>
    <row r="334" spans="1:8" x14ac:dyDescent="0.3">
      <c r="A334" s="82"/>
      <c r="B334" s="81"/>
      <c r="H334" s="83"/>
    </row>
    <row r="335" spans="1:8" x14ac:dyDescent="0.3">
      <c r="A335" s="82"/>
      <c r="B335" s="81"/>
      <c r="H335" s="83"/>
    </row>
    <row r="336" spans="1:8" x14ac:dyDescent="0.3">
      <c r="A336" s="82"/>
      <c r="B336" s="81"/>
      <c r="H336" s="83"/>
    </row>
    <row r="337" spans="1:8" x14ac:dyDescent="0.3">
      <c r="A337" s="82"/>
      <c r="B337" s="81"/>
      <c r="H337" s="83"/>
    </row>
    <row r="338" spans="1:8" x14ac:dyDescent="0.3">
      <c r="A338" s="82"/>
      <c r="B338" s="81"/>
      <c r="H338" s="83"/>
    </row>
    <row r="339" spans="1:8" x14ac:dyDescent="0.3">
      <c r="A339" s="82"/>
      <c r="B339" s="81"/>
      <c r="H339" s="83"/>
    </row>
    <row r="340" spans="1:8" x14ac:dyDescent="0.3">
      <c r="A340" s="82"/>
      <c r="B340" s="81"/>
      <c r="H340" s="83"/>
    </row>
    <row r="341" spans="1:8" x14ac:dyDescent="0.3">
      <c r="A341" s="82"/>
      <c r="B341" s="81"/>
      <c r="H341" s="83"/>
    </row>
    <row r="342" spans="1:8" x14ac:dyDescent="0.3">
      <c r="A342" s="82"/>
      <c r="B342" s="81"/>
      <c r="H342" s="83"/>
    </row>
    <row r="343" spans="1:8" x14ac:dyDescent="0.3">
      <c r="A343" s="82"/>
      <c r="B343" s="81"/>
      <c r="H343" s="83"/>
    </row>
    <row r="344" spans="1:8" x14ac:dyDescent="0.3">
      <c r="A344" s="82"/>
      <c r="B344" s="81"/>
      <c r="H344" s="83"/>
    </row>
    <row r="345" spans="1:8" x14ac:dyDescent="0.3">
      <c r="A345" s="82"/>
      <c r="B345" s="81"/>
      <c r="H345" s="83"/>
    </row>
    <row r="346" spans="1:8" x14ac:dyDescent="0.3">
      <c r="A346" s="82"/>
      <c r="B346" s="81"/>
      <c r="H346" s="83"/>
    </row>
    <row r="347" spans="1:8" x14ac:dyDescent="0.3">
      <c r="A347" s="82"/>
      <c r="B347" s="81"/>
      <c r="H347" s="83"/>
    </row>
    <row r="348" spans="1:8" x14ac:dyDescent="0.3">
      <c r="A348" s="82"/>
      <c r="B348" s="81"/>
      <c r="H348" s="83"/>
    </row>
    <row r="349" spans="1:8" x14ac:dyDescent="0.3">
      <c r="A349" s="82"/>
      <c r="B349" s="81"/>
      <c r="H349" s="83"/>
    </row>
    <row r="350" spans="1:8" x14ac:dyDescent="0.3">
      <c r="A350" s="82"/>
      <c r="B350" s="81"/>
      <c r="H350" s="83"/>
    </row>
    <row r="351" spans="1:8" x14ac:dyDescent="0.3">
      <c r="A351" s="82"/>
      <c r="B351" s="81"/>
      <c r="H351" s="83"/>
    </row>
    <row r="352" spans="1:8" x14ac:dyDescent="0.3">
      <c r="A352" s="82"/>
      <c r="B352" s="81"/>
      <c r="H352" s="83"/>
    </row>
    <row r="353" spans="1:8" x14ac:dyDescent="0.3">
      <c r="A353" s="82"/>
      <c r="B353" s="81"/>
      <c r="H353" s="83"/>
    </row>
    <row r="354" spans="1:8" x14ac:dyDescent="0.3">
      <c r="A354" s="82"/>
      <c r="B354" s="81"/>
      <c r="H354" s="83"/>
    </row>
    <row r="355" spans="1:8" x14ac:dyDescent="0.3">
      <c r="A355" s="82"/>
      <c r="B355" s="81"/>
      <c r="H355" s="83"/>
    </row>
    <row r="356" spans="1:8" x14ac:dyDescent="0.3">
      <c r="A356" s="82"/>
      <c r="B356" s="81"/>
      <c r="H356" s="83"/>
    </row>
    <row r="357" spans="1:8" x14ac:dyDescent="0.3">
      <c r="A357" s="82"/>
      <c r="B357" s="81"/>
      <c r="H357" s="83"/>
    </row>
    <row r="358" spans="1:8" x14ac:dyDescent="0.3">
      <c r="A358" s="82"/>
      <c r="B358" s="81"/>
      <c r="H358" s="83"/>
    </row>
    <row r="359" spans="1:8" x14ac:dyDescent="0.3">
      <c r="A359" s="82"/>
      <c r="B359" s="81"/>
      <c r="H359" s="83"/>
    </row>
    <row r="360" spans="1:8" x14ac:dyDescent="0.3">
      <c r="A360" s="82"/>
      <c r="B360" s="81"/>
      <c r="H360" s="83"/>
    </row>
    <row r="361" spans="1:8" x14ac:dyDescent="0.3">
      <c r="A361" s="82"/>
      <c r="B361" s="81"/>
      <c r="H361" s="83"/>
    </row>
    <row r="362" spans="1:8" x14ac:dyDescent="0.3">
      <c r="A362" s="82"/>
      <c r="B362" s="81"/>
      <c r="H362" s="83"/>
    </row>
    <row r="363" spans="1:8" x14ac:dyDescent="0.3">
      <c r="A363" s="82"/>
      <c r="B363" s="81"/>
      <c r="H363" s="83"/>
    </row>
    <row r="364" spans="1:8" x14ac:dyDescent="0.3">
      <c r="A364" s="82"/>
      <c r="B364" s="81"/>
      <c r="H364" s="83"/>
    </row>
    <row r="365" spans="1:8" x14ac:dyDescent="0.3">
      <c r="A365" s="82"/>
      <c r="B365" s="81"/>
      <c r="H365" s="83"/>
    </row>
    <row r="366" spans="1:8" x14ac:dyDescent="0.3">
      <c r="A366" s="82"/>
      <c r="B366" s="81"/>
      <c r="H366" s="83"/>
    </row>
    <row r="367" spans="1:8" x14ac:dyDescent="0.3">
      <c r="A367" s="82"/>
      <c r="B367" s="81"/>
      <c r="H367" s="83"/>
    </row>
    <row r="368" spans="1:8" x14ac:dyDescent="0.3">
      <c r="A368" s="82"/>
      <c r="B368" s="81"/>
      <c r="H368" s="83"/>
    </row>
    <row r="369" spans="1:8" x14ac:dyDescent="0.3">
      <c r="A369" s="82"/>
      <c r="B369" s="81"/>
      <c r="H369" s="83"/>
    </row>
    <row r="370" spans="1:8" x14ac:dyDescent="0.3">
      <c r="A370" s="82"/>
      <c r="B370" s="81"/>
      <c r="H370" s="83"/>
    </row>
    <row r="371" spans="1:8" x14ac:dyDescent="0.3">
      <c r="A371" s="82"/>
      <c r="B371" s="81"/>
      <c r="H371" s="83"/>
    </row>
    <row r="372" spans="1:8" x14ac:dyDescent="0.3">
      <c r="A372" s="82"/>
      <c r="B372" s="81"/>
      <c r="H372" s="83"/>
    </row>
    <row r="373" spans="1:8" x14ac:dyDescent="0.3">
      <c r="A373" s="82"/>
      <c r="B373" s="81"/>
      <c r="H373" s="83"/>
    </row>
    <row r="374" spans="1:8" x14ac:dyDescent="0.3">
      <c r="A374" s="82"/>
      <c r="B374" s="81"/>
      <c r="H374" s="83"/>
    </row>
    <row r="375" spans="1:8" x14ac:dyDescent="0.3">
      <c r="A375" s="82"/>
      <c r="B375" s="81"/>
      <c r="H375" s="83"/>
    </row>
    <row r="376" spans="1:8" x14ac:dyDescent="0.3">
      <c r="A376" s="82"/>
      <c r="B376" s="81"/>
      <c r="H376" s="83"/>
    </row>
    <row r="377" spans="1:8" x14ac:dyDescent="0.3">
      <c r="A377" s="82"/>
      <c r="B377" s="81"/>
      <c r="H377" s="83"/>
    </row>
    <row r="378" spans="1:8" x14ac:dyDescent="0.3">
      <c r="A378" s="82"/>
      <c r="B378" s="81"/>
      <c r="H378" s="83"/>
    </row>
    <row r="379" spans="1:8" x14ac:dyDescent="0.3">
      <c r="A379" s="82"/>
      <c r="B379" s="81"/>
      <c r="H379" s="83"/>
    </row>
    <row r="380" spans="1:8" x14ac:dyDescent="0.3">
      <c r="A380" s="82"/>
      <c r="B380" s="81"/>
      <c r="H380" s="83"/>
    </row>
    <row r="381" spans="1:8" x14ac:dyDescent="0.3">
      <c r="A381" s="82"/>
      <c r="B381" s="81"/>
      <c r="H381" s="83"/>
    </row>
    <row r="382" spans="1:8" x14ac:dyDescent="0.3">
      <c r="A382" s="82"/>
      <c r="B382" s="81"/>
      <c r="H382" s="83"/>
    </row>
    <row r="383" spans="1:8" x14ac:dyDescent="0.3">
      <c r="A383" s="82"/>
      <c r="B383" s="81"/>
      <c r="H383" s="83"/>
    </row>
    <row r="384" spans="1:8" x14ac:dyDescent="0.3">
      <c r="A384" s="82"/>
      <c r="B384" s="81"/>
      <c r="H384" s="83"/>
    </row>
    <row r="385" spans="1:8" x14ac:dyDescent="0.3">
      <c r="A385" s="82"/>
      <c r="B385" s="81"/>
      <c r="H385" s="83"/>
    </row>
    <row r="386" spans="1:8" x14ac:dyDescent="0.3">
      <c r="A386" s="82"/>
      <c r="B386" s="81"/>
      <c r="H386" s="83"/>
    </row>
    <row r="387" spans="1:8" x14ac:dyDescent="0.3">
      <c r="A387" s="82"/>
      <c r="B387" s="81"/>
      <c r="H387" s="83"/>
    </row>
    <row r="388" spans="1:8" x14ac:dyDescent="0.3">
      <c r="A388" s="82"/>
      <c r="B388" s="81"/>
      <c r="H388" s="83"/>
    </row>
    <row r="389" spans="1:8" x14ac:dyDescent="0.3">
      <c r="A389" s="82"/>
      <c r="B389" s="81"/>
      <c r="H389" s="83"/>
    </row>
    <row r="390" spans="1:8" x14ac:dyDescent="0.3">
      <c r="A390" s="82"/>
      <c r="B390" s="81"/>
      <c r="H390" s="83"/>
    </row>
    <row r="391" spans="1:8" x14ac:dyDescent="0.3">
      <c r="A391" s="82"/>
      <c r="B391" s="81"/>
      <c r="H391" s="83"/>
    </row>
    <row r="392" spans="1:8" x14ac:dyDescent="0.3">
      <c r="A392" s="82"/>
      <c r="B392" s="81"/>
      <c r="H392" s="83"/>
    </row>
    <row r="393" spans="1:8" x14ac:dyDescent="0.3">
      <c r="A393" s="82"/>
      <c r="B393" s="81"/>
      <c r="H393" s="83"/>
    </row>
    <row r="394" spans="1:8" x14ac:dyDescent="0.3">
      <c r="A394" s="82"/>
      <c r="B394" s="81"/>
      <c r="H394" s="83"/>
    </row>
    <row r="395" spans="1:8" x14ac:dyDescent="0.3">
      <c r="A395" s="82"/>
      <c r="B395" s="81"/>
      <c r="H395" s="83"/>
    </row>
    <row r="396" spans="1:8" x14ac:dyDescent="0.3">
      <c r="A396" s="82"/>
      <c r="B396" s="81"/>
      <c r="H396" s="83"/>
    </row>
    <row r="397" spans="1:8" x14ac:dyDescent="0.3">
      <c r="A397" s="82"/>
      <c r="B397" s="81"/>
      <c r="H397" s="83"/>
    </row>
    <row r="398" spans="1:8" x14ac:dyDescent="0.3">
      <c r="A398" s="82"/>
      <c r="B398" s="81"/>
      <c r="H398" s="83"/>
    </row>
    <row r="399" spans="1:8" x14ac:dyDescent="0.3">
      <c r="A399" s="82"/>
      <c r="B399" s="81"/>
      <c r="H399" s="83"/>
    </row>
    <row r="400" spans="1:8" x14ac:dyDescent="0.3">
      <c r="A400" s="82"/>
      <c r="B400" s="81"/>
      <c r="H400" s="83"/>
    </row>
    <row r="401" spans="1:8" x14ac:dyDescent="0.3">
      <c r="A401" s="82"/>
      <c r="B401" s="81"/>
      <c r="H401" s="83"/>
    </row>
    <row r="402" spans="1:8" x14ac:dyDescent="0.3">
      <c r="A402" s="82"/>
      <c r="B402" s="81"/>
      <c r="H402" s="83"/>
    </row>
    <row r="403" spans="1:8" x14ac:dyDescent="0.3">
      <c r="A403" s="82"/>
      <c r="B403" s="81"/>
      <c r="H403" s="83"/>
    </row>
    <row r="404" spans="1:8" x14ac:dyDescent="0.3">
      <c r="A404" s="82"/>
      <c r="B404" s="81"/>
      <c r="H404" s="83"/>
    </row>
    <row r="405" spans="1:8" x14ac:dyDescent="0.3">
      <c r="A405" s="82"/>
      <c r="B405" s="81"/>
      <c r="H405" s="83"/>
    </row>
    <row r="406" spans="1:8" x14ac:dyDescent="0.3">
      <c r="A406" s="82"/>
      <c r="B406" s="81"/>
      <c r="H406" s="83"/>
    </row>
    <row r="407" spans="1:8" x14ac:dyDescent="0.3">
      <c r="A407" s="82"/>
      <c r="B407" s="81"/>
      <c r="H407" s="83"/>
    </row>
    <row r="408" spans="1:8" x14ac:dyDescent="0.3">
      <c r="A408" s="82"/>
      <c r="B408" s="81"/>
      <c r="H408" s="83"/>
    </row>
    <row r="409" spans="1:8" x14ac:dyDescent="0.3">
      <c r="A409" s="82"/>
      <c r="B409" s="81"/>
      <c r="H409" s="83"/>
    </row>
    <row r="410" spans="1:8" x14ac:dyDescent="0.3">
      <c r="A410" s="82"/>
      <c r="B410" s="81"/>
      <c r="H410" s="83"/>
    </row>
    <row r="411" spans="1:8" x14ac:dyDescent="0.3">
      <c r="A411" s="82"/>
      <c r="B411" s="81"/>
      <c r="H411" s="83"/>
    </row>
    <row r="412" spans="1:8" x14ac:dyDescent="0.3">
      <c r="A412" s="82"/>
      <c r="B412" s="81"/>
      <c r="H412" s="83"/>
    </row>
    <row r="413" spans="1:8" x14ac:dyDescent="0.3">
      <c r="A413" s="82"/>
      <c r="B413" s="81"/>
      <c r="H413" s="83"/>
    </row>
    <row r="414" spans="1:8" x14ac:dyDescent="0.3">
      <c r="A414" s="82"/>
      <c r="B414" s="81"/>
      <c r="H414" s="83"/>
    </row>
    <row r="415" spans="1:8" x14ac:dyDescent="0.3">
      <c r="A415" s="82"/>
      <c r="B415" s="81"/>
      <c r="H415" s="83"/>
    </row>
    <row r="416" spans="1:8" x14ac:dyDescent="0.3">
      <c r="A416" s="82"/>
      <c r="B416" s="81"/>
      <c r="H416" s="83"/>
    </row>
    <row r="417" spans="1:8" x14ac:dyDescent="0.3">
      <c r="A417" s="82"/>
      <c r="B417" s="81"/>
      <c r="H417" s="83"/>
    </row>
    <row r="418" spans="1:8" x14ac:dyDescent="0.3">
      <c r="A418" s="82"/>
      <c r="B418" s="81"/>
      <c r="H418" s="83"/>
    </row>
    <row r="419" spans="1:8" x14ac:dyDescent="0.3">
      <c r="A419" s="82"/>
      <c r="B419" s="81"/>
      <c r="H419" s="83"/>
    </row>
    <row r="420" spans="1:8" x14ac:dyDescent="0.3">
      <c r="A420" s="82"/>
      <c r="B420" s="81"/>
      <c r="H420" s="83"/>
    </row>
    <row r="421" spans="1:8" x14ac:dyDescent="0.3">
      <c r="A421" s="82"/>
      <c r="B421" s="81"/>
      <c r="H421" s="83"/>
    </row>
    <row r="422" spans="1:8" x14ac:dyDescent="0.3">
      <c r="A422" s="82"/>
      <c r="B422" s="81"/>
      <c r="H422" s="83"/>
    </row>
    <row r="423" spans="1:8" x14ac:dyDescent="0.3">
      <c r="A423" s="82"/>
      <c r="B423" s="81"/>
      <c r="H423" s="83"/>
    </row>
    <row r="424" spans="1:8" x14ac:dyDescent="0.3">
      <c r="A424" s="82"/>
      <c r="B424" s="81"/>
      <c r="H424" s="83"/>
    </row>
    <row r="425" spans="1:8" x14ac:dyDescent="0.3">
      <c r="A425" s="82"/>
      <c r="B425" s="81"/>
      <c r="H425" s="83"/>
    </row>
    <row r="426" spans="1:8" x14ac:dyDescent="0.3">
      <c r="A426" s="82"/>
      <c r="B426" s="81"/>
      <c r="H426" s="83"/>
    </row>
    <row r="427" spans="1:8" x14ac:dyDescent="0.3">
      <c r="A427" s="82"/>
      <c r="B427" s="81"/>
      <c r="H427" s="83"/>
    </row>
    <row r="428" spans="1:8" x14ac:dyDescent="0.3">
      <c r="A428" s="82"/>
      <c r="B428" s="81"/>
      <c r="H428" s="83"/>
    </row>
    <row r="429" spans="1:8" x14ac:dyDescent="0.3">
      <c r="A429" s="82"/>
      <c r="B429" s="81"/>
      <c r="H429" s="83"/>
    </row>
    <row r="430" spans="1:8" x14ac:dyDescent="0.3">
      <c r="A430" s="82"/>
      <c r="B430" s="81"/>
      <c r="H430" s="83"/>
    </row>
    <row r="431" spans="1:8" x14ac:dyDescent="0.3">
      <c r="A431" s="82"/>
      <c r="B431" s="81"/>
      <c r="H431" s="83"/>
    </row>
    <row r="432" spans="1:8" x14ac:dyDescent="0.3">
      <c r="A432" s="82"/>
      <c r="B432" s="81"/>
      <c r="H432" s="83"/>
    </row>
    <row r="433" spans="1:8" x14ac:dyDescent="0.3">
      <c r="A433" s="82"/>
      <c r="B433" s="81"/>
      <c r="H433" s="83"/>
    </row>
    <row r="434" spans="1:8" x14ac:dyDescent="0.3">
      <c r="A434" s="82"/>
      <c r="B434" s="81"/>
      <c r="H434" s="83"/>
    </row>
    <row r="435" spans="1:8" x14ac:dyDescent="0.3">
      <c r="A435" s="82"/>
      <c r="B435" s="81"/>
      <c r="H435" s="83"/>
    </row>
    <row r="436" spans="1:8" x14ac:dyDescent="0.3">
      <c r="A436" s="82"/>
      <c r="B436" s="81"/>
      <c r="H436" s="83"/>
    </row>
    <row r="437" spans="1:8" x14ac:dyDescent="0.3">
      <c r="A437" s="82"/>
      <c r="B437" s="81"/>
      <c r="H437" s="83"/>
    </row>
    <row r="438" spans="1:8" x14ac:dyDescent="0.3">
      <c r="A438" s="82"/>
      <c r="B438" s="81"/>
      <c r="H438" s="83"/>
    </row>
    <row r="439" spans="1:8" x14ac:dyDescent="0.3">
      <c r="A439" s="82"/>
      <c r="B439" s="81"/>
      <c r="H439" s="83"/>
    </row>
    <row r="440" spans="1:8" x14ac:dyDescent="0.3">
      <c r="A440" s="82"/>
      <c r="B440" s="81"/>
      <c r="H440" s="83"/>
    </row>
    <row r="441" spans="1:8" x14ac:dyDescent="0.3">
      <c r="A441" s="82"/>
      <c r="B441" s="81"/>
      <c r="H441" s="83"/>
    </row>
    <row r="442" spans="1:8" x14ac:dyDescent="0.3">
      <c r="A442" s="82"/>
      <c r="B442" s="81"/>
      <c r="H442" s="83"/>
    </row>
    <row r="443" spans="1:8" x14ac:dyDescent="0.3">
      <c r="A443" s="82"/>
      <c r="B443" s="81"/>
      <c r="H443" s="83"/>
    </row>
    <row r="444" spans="1:8" x14ac:dyDescent="0.3">
      <c r="A444" s="82"/>
      <c r="B444" s="81"/>
      <c r="H444" s="83"/>
    </row>
    <row r="445" spans="1:8" x14ac:dyDescent="0.3">
      <c r="A445" s="82"/>
      <c r="B445" s="81"/>
      <c r="H445" s="83"/>
    </row>
    <row r="446" spans="1:8" x14ac:dyDescent="0.3">
      <c r="A446" s="82"/>
      <c r="B446" s="81"/>
      <c r="H446" s="83"/>
    </row>
    <row r="447" spans="1:8" x14ac:dyDescent="0.3">
      <c r="A447" s="82"/>
      <c r="B447" s="81"/>
      <c r="H447" s="83"/>
    </row>
    <row r="448" spans="1:8" x14ac:dyDescent="0.3">
      <c r="A448" s="82"/>
      <c r="B448" s="81"/>
      <c r="H448" s="83"/>
    </row>
    <row r="449" spans="1:8" x14ac:dyDescent="0.3">
      <c r="A449" s="82"/>
      <c r="B449" s="81"/>
      <c r="H449" s="83"/>
    </row>
    <row r="450" spans="1:8" x14ac:dyDescent="0.3">
      <c r="A450" s="82"/>
      <c r="B450" s="81"/>
      <c r="H450" s="83"/>
    </row>
    <row r="451" spans="1:8" x14ac:dyDescent="0.3">
      <c r="A451" s="82"/>
      <c r="B451" s="81"/>
      <c r="H451" s="83"/>
    </row>
    <row r="452" spans="1:8" x14ac:dyDescent="0.3">
      <c r="A452" s="82"/>
      <c r="B452" s="81"/>
      <c r="H452" s="83"/>
    </row>
    <row r="453" spans="1:8" x14ac:dyDescent="0.3">
      <c r="A453" s="82"/>
      <c r="B453" s="81"/>
      <c r="H453" s="83"/>
    </row>
    <row r="454" spans="1:8" x14ac:dyDescent="0.3">
      <c r="A454" s="82"/>
      <c r="B454" s="81"/>
      <c r="H454" s="83"/>
    </row>
    <row r="455" spans="1:8" x14ac:dyDescent="0.3">
      <c r="A455" s="82"/>
      <c r="B455" s="81"/>
      <c r="H455" s="83"/>
    </row>
    <row r="456" spans="1:8" x14ac:dyDescent="0.3">
      <c r="A456" s="82"/>
      <c r="B456" s="81"/>
      <c r="H456" s="83"/>
    </row>
    <row r="457" spans="1:8" x14ac:dyDescent="0.3">
      <c r="A457" s="82"/>
      <c r="B457" s="81"/>
      <c r="H457" s="83"/>
    </row>
    <row r="458" spans="1:8" x14ac:dyDescent="0.3">
      <c r="A458" s="82"/>
      <c r="B458" s="81"/>
      <c r="H458" s="83"/>
    </row>
    <row r="459" spans="1:8" x14ac:dyDescent="0.3">
      <c r="A459" s="82"/>
      <c r="B459" s="81"/>
      <c r="H459" s="83"/>
    </row>
    <row r="460" spans="1:8" x14ac:dyDescent="0.3">
      <c r="A460" s="82"/>
      <c r="B460" s="81"/>
      <c r="H460" s="83"/>
    </row>
    <row r="461" spans="1:8" x14ac:dyDescent="0.3">
      <c r="A461" s="82"/>
      <c r="B461" s="81"/>
      <c r="H461" s="83"/>
    </row>
    <row r="462" spans="1:8" x14ac:dyDescent="0.3">
      <c r="A462" s="82"/>
      <c r="B462" s="81"/>
      <c r="H462" s="83"/>
    </row>
    <row r="463" spans="1:8" x14ac:dyDescent="0.3">
      <c r="A463" s="82"/>
      <c r="B463" s="81"/>
      <c r="H463" s="83"/>
    </row>
    <row r="464" spans="1:8" x14ac:dyDescent="0.3">
      <c r="A464" s="82"/>
      <c r="B464" s="81"/>
      <c r="H464" s="83"/>
    </row>
    <row r="465" spans="1:8" x14ac:dyDescent="0.3">
      <c r="A465" s="82"/>
      <c r="B465" s="81"/>
      <c r="H465" s="83"/>
    </row>
    <row r="466" spans="1:8" x14ac:dyDescent="0.3">
      <c r="A466" s="82"/>
      <c r="B466" s="81"/>
      <c r="H466" s="83"/>
    </row>
    <row r="467" spans="1:8" x14ac:dyDescent="0.3">
      <c r="A467" s="82"/>
      <c r="B467" s="81"/>
      <c r="H467" s="83"/>
    </row>
    <row r="468" spans="1:8" x14ac:dyDescent="0.3">
      <c r="A468" s="82"/>
      <c r="B468" s="81"/>
      <c r="H468" s="83"/>
    </row>
    <row r="469" spans="1:8" x14ac:dyDescent="0.3">
      <c r="A469" s="82"/>
      <c r="B469" s="81"/>
      <c r="H469" s="83"/>
    </row>
    <row r="470" spans="1:8" x14ac:dyDescent="0.3">
      <c r="A470" s="82"/>
      <c r="B470" s="81"/>
      <c r="H470" s="83"/>
    </row>
    <row r="471" spans="1:8" x14ac:dyDescent="0.3">
      <c r="A471" s="82"/>
      <c r="B471" s="81"/>
      <c r="H471" s="83"/>
    </row>
    <row r="472" spans="1:8" x14ac:dyDescent="0.3">
      <c r="A472" s="82"/>
      <c r="B472" s="81"/>
      <c r="H472" s="83"/>
    </row>
    <row r="473" spans="1:8" x14ac:dyDescent="0.3">
      <c r="A473" s="82"/>
      <c r="B473" s="81"/>
      <c r="H473" s="83"/>
    </row>
    <row r="474" spans="1:8" x14ac:dyDescent="0.3">
      <c r="A474" s="82"/>
      <c r="B474" s="81"/>
      <c r="H474" s="83"/>
    </row>
    <row r="475" spans="1:8" x14ac:dyDescent="0.3">
      <c r="A475" s="82"/>
      <c r="B475" s="81"/>
      <c r="H475" s="83"/>
    </row>
    <row r="476" spans="1:8" x14ac:dyDescent="0.3">
      <c r="A476" s="82"/>
      <c r="B476" s="81"/>
      <c r="H476" s="83"/>
    </row>
    <row r="477" spans="1:8" x14ac:dyDescent="0.3">
      <c r="A477" s="82"/>
      <c r="B477" s="81"/>
      <c r="H477" s="83"/>
    </row>
    <row r="478" spans="1:8" x14ac:dyDescent="0.3">
      <c r="A478" s="82"/>
      <c r="B478" s="81"/>
      <c r="H478" s="83"/>
    </row>
    <row r="479" spans="1:8" x14ac:dyDescent="0.3">
      <c r="A479" s="82"/>
      <c r="B479" s="81"/>
      <c r="H479" s="83"/>
    </row>
    <row r="480" spans="1:8" x14ac:dyDescent="0.3">
      <c r="A480" s="82"/>
      <c r="B480" s="81"/>
      <c r="H480" s="83"/>
    </row>
    <row r="481" spans="1:8" x14ac:dyDescent="0.3">
      <c r="A481" s="82"/>
      <c r="B481" s="81"/>
      <c r="H481" s="83"/>
    </row>
    <row r="482" spans="1:8" x14ac:dyDescent="0.3">
      <c r="A482" s="82"/>
      <c r="B482" s="81"/>
      <c r="H482" s="83"/>
    </row>
    <row r="483" spans="1:8" x14ac:dyDescent="0.3">
      <c r="A483" s="82"/>
      <c r="B483" s="81"/>
      <c r="H483" s="83"/>
    </row>
    <row r="484" spans="1:8" x14ac:dyDescent="0.3">
      <c r="A484" s="82"/>
      <c r="B484" s="81"/>
      <c r="H484" s="83"/>
    </row>
    <row r="485" spans="1:8" x14ac:dyDescent="0.3">
      <c r="A485" s="82"/>
      <c r="B485" s="81"/>
      <c r="H485" s="83"/>
    </row>
    <row r="486" spans="1:8" x14ac:dyDescent="0.3">
      <c r="A486" s="82"/>
      <c r="B486" s="81"/>
      <c r="H486" s="83"/>
    </row>
    <row r="487" spans="1:8" x14ac:dyDescent="0.3">
      <c r="A487" s="82"/>
      <c r="B487" s="81"/>
      <c r="H487" s="83"/>
    </row>
    <row r="488" spans="1:8" x14ac:dyDescent="0.3">
      <c r="A488" s="82"/>
      <c r="B488" s="81"/>
      <c r="H488" s="83"/>
    </row>
    <row r="489" spans="1:8" x14ac:dyDescent="0.3">
      <c r="A489" s="82"/>
      <c r="B489" s="81"/>
      <c r="H489" s="83"/>
    </row>
    <row r="490" spans="1:8" x14ac:dyDescent="0.3">
      <c r="A490" s="82"/>
      <c r="B490" s="81"/>
      <c r="H490" s="83"/>
    </row>
    <row r="491" spans="1:8" x14ac:dyDescent="0.3">
      <c r="A491" s="82"/>
      <c r="B491" s="81"/>
      <c r="H491" s="83"/>
    </row>
    <row r="492" spans="1:8" x14ac:dyDescent="0.3">
      <c r="A492" s="82"/>
      <c r="B492" s="81"/>
      <c r="H492" s="83"/>
    </row>
    <row r="493" spans="1:8" x14ac:dyDescent="0.3">
      <c r="A493" s="82"/>
      <c r="B493" s="81"/>
      <c r="H493" s="83"/>
    </row>
    <row r="494" spans="1:8" x14ac:dyDescent="0.3">
      <c r="A494" s="82"/>
      <c r="B494" s="81"/>
      <c r="H494" s="83"/>
    </row>
    <row r="495" spans="1:8" x14ac:dyDescent="0.3">
      <c r="A495" s="82"/>
      <c r="B495" s="81"/>
      <c r="H495" s="83"/>
    </row>
    <row r="496" spans="1:8" x14ac:dyDescent="0.3">
      <c r="A496" s="82"/>
      <c r="B496" s="81"/>
      <c r="H496" s="83"/>
    </row>
    <row r="497" spans="1:8" x14ac:dyDescent="0.3">
      <c r="A497" s="82"/>
      <c r="B497" s="81"/>
      <c r="H497" s="83"/>
    </row>
    <row r="498" spans="1:8" x14ac:dyDescent="0.3">
      <c r="A498" s="82"/>
      <c r="B498" s="81"/>
      <c r="H498" s="83"/>
    </row>
    <row r="499" spans="1:8" x14ac:dyDescent="0.3">
      <c r="A499" s="82"/>
      <c r="B499" s="81"/>
      <c r="H499" s="83"/>
    </row>
    <row r="500" spans="1:8" x14ac:dyDescent="0.3">
      <c r="A500" s="82"/>
      <c r="B500" s="81"/>
      <c r="H500" s="83"/>
    </row>
    <row r="501" spans="1:8" x14ac:dyDescent="0.3">
      <c r="A501" s="82"/>
      <c r="B501" s="81"/>
      <c r="H501" s="83"/>
    </row>
    <row r="502" spans="1:8" x14ac:dyDescent="0.3">
      <c r="A502" s="82"/>
      <c r="B502" s="81"/>
      <c r="H502" s="83"/>
    </row>
    <row r="503" spans="1:8" x14ac:dyDescent="0.3">
      <c r="A503" s="82"/>
      <c r="B503" s="81"/>
      <c r="H503" s="83"/>
    </row>
    <row r="504" spans="1:8" x14ac:dyDescent="0.3">
      <c r="A504" s="82"/>
      <c r="B504" s="81"/>
      <c r="H504" s="83"/>
    </row>
    <row r="505" spans="1:8" x14ac:dyDescent="0.3">
      <c r="A505" s="82"/>
      <c r="B505" s="81"/>
      <c r="H505" s="83"/>
    </row>
    <row r="506" spans="1:8" x14ac:dyDescent="0.3">
      <c r="A506" s="82"/>
      <c r="B506" s="81"/>
      <c r="H506" s="83"/>
    </row>
    <row r="507" spans="1:8" x14ac:dyDescent="0.3">
      <c r="A507" s="82"/>
      <c r="B507" s="81"/>
      <c r="H507" s="83"/>
    </row>
    <row r="508" spans="1:8" x14ac:dyDescent="0.3">
      <c r="A508" s="82"/>
      <c r="B508" s="81"/>
      <c r="H508" s="83"/>
    </row>
    <row r="509" spans="1:8" x14ac:dyDescent="0.3">
      <c r="A509" s="82"/>
      <c r="B509" s="81"/>
      <c r="H509" s="83"/>
    </row>
    <row r="510" spans="1:8" x14ac:dyDescent="0.3">
      <c r="A510" s="82"/>
      <c r="B510" s="81"/>
      <c r="H510" s="83"/>
    </row>
    <row r="511" spans="1:8" x14ac:dyDescent="0.3">
      <c r="A511" s="82"/>
      <c r="B511" s="81"/>
      <c r="H511" s="83"/>
    </row>
    <row r="512" spans="1:8" x14ac:dyDescent="0.3">
      <c r="A512" s="82"/>
      <c r="B512" s="81"/>
      <c r="H512" s="83"/>
    </row>
    <row r="513" spans="1:8" x14ac:dyDescent="0.3">
      <c r="A513" s="82"/>
      <c r="B513" s="81"/>
      <c r="H513" s="83"/>
    </row>
    <row r="514" spans="1:8" x14ac:dyDescent="0.3">
      <c r="A514" s="82"/>
      <c r="B514" s="81"/>
      <c r="H514" s="83"/>
    </row>
    <row r="515" spans="1:8" x14ac:dyDescent="0.3">
      <c r="A515" s="82"/>
      <c r="B515" s="81"/>
      <c r="H515" s="83"/>
    </row>
    <row r="516" spans="1:8" x14ac:dyDescent="0.3">
      <c r="A516" s="82"/>
      <c r="B516" s="81"/>
      <c r="H516" s="83"/>
    </row>
    <row r="517" spans="1:8" x14ac:dyDescent="0.3">
      <c r="A517" s="82"/>
      <c r="B517" s="81"/>
      <c r="H517" s="83"/>
    </row>
    <row r="518" spans="1:8" x14ac:dyDescent="0.3">
      <c r="A518" s="82"/>
      <c r="B518" s="81"/>
      <c r="H518" s="83"/>
    </row>
    <row r="519" spans="1:8" x14ac:dyDescent="0.3">
      <c r="A519" s="82"/>
      <c r="B519" s="81"/>
      <c r="H519" s="83"/>
    </row>
    <row r="520" spans="1:8" x14ac:dyDescent="0.3">
      <c r="A520" s="82"/>
      <c r="B520" s="81"/>
      <c r="H520" s="83"/>
    </row>
    <row r="521" spans="1:8" x14ac:dyDescent="0.3">
      <c r="A521" s="82"/>
      <c r="B521" s="81"/>
      <c r="H521" s="83"/>
    </row>
    <row r="522" spans="1:8" x14ac:dyDescent="0.3">
      <c r="A522" s="82"/>
      <c r="B522" s="81"/>
      <c r="H522" s="83"/>
    </row>
    <row r="523" spans="1:8" x14ac:dyDescent="0.3">
      <c r="A523" s="82"/>
      <c r="B523" s="81"/>
      <c r="H523" s="83"/>
    </row>
    <row r="524" spans="1:8" x14ac:dyDescent="0.3">
      <c r="A524" s="82"/>
      <c r="B524" s="81"/>
      <c r="H524" s="83"/>
    </row>
    <row r="525" spans="1:8" x14ac:dyDescent="0.3">
      <c r="A525" s="82"/>
      <c r="B525" s="81"/>
      <c r="H525" s="83"/>
    </row>
    <row r="526" spans="1:8" x14ac:dyDescent="0.3">
      <c r="A526" s="82"/>
      <c r="B526" s="81"/>
      <c r="H526" s="83"/>
    </row>
    <row r="527" spans="1:8" x14ac:dyDescent="0.3">
      <c r="A527" s="82"/>
      <c r="B527" s="81"/>
      <c r="H527" s="83"/>
    </row>
    <row r="528" spans="1:8" x14ac:dyDescent="0.3">
      <c r="A528" s="82"/>
      <c r="B528" s="81"/>
      <c r="H528" s="83"/>
    </row>
    <row r="529" spans="1:8" x14ac:dyDescent="0.3">
      <c r="A529" s="82"/>
      <c r="B529" s="81"/>
      <c r="H529" s="83"/>
    </row>
    <row r="530" spans="1:8" x14ac:dyDescent="0.3">
      <c r="A530" s="82"/>
      <c r="B530" s="81"/>
      <c r="H530" s="83"/>
    </row>
    <row r="531" spans="1:8" x14ac:dyDescent="0.3">
      <c r="A531" s="82"/>
      <c r="B531" s="81"/>
      <c r="H531" s="83"/>
    </row>
    <row r="532" spans="1:8" x14ac:dyDescent="0.3">
      <c r="A532" s="82"/>
      <c r="B532" s="81"/>
      <c r="H532" s="83"/>
    </row>
    <row r="533" spans="1:8" x14ac:dyDescent="0.3">
      <c r="A533" s="82"/>
      <c r="B533" s="81"/>
      <c r="H533" s="83"/>
    </row>
    <row r="534" spans="1:8" x14ac:dyDescent="0.3">
      <c r="A534" s="82"/>
      <c r="B534" s="81"/>
      <c r="H534" s="83"/>
    </row>
    <row r="535" spans="1:8" x14ac:dyDescent="0.3">
      <c r="A535" s="82"/>
      <c r="B535" s="81"/>
      <c r="H535" s="83"/>
    </row>
    <row r="536" spans="1:8" x14ac:dyDescent="0.3">
      <c r="A536" s="82"/>
      <c r="B536" s="81"/>
      <c r="H536" s="83"/>
    </row>
    <row r="537" spans="1:8" x14ac:dyDescent="0.3">
      <c r="A537" s="82"/>
      <c r="B537" s="81"/>
      <c r="H537" s="83"/>
    </row>
    <row r="538" spans="1:8" x14ac:dyDescent="0.3">
      <c r="A538" s="82"/>
      <c r="B538" s="81"/>
      <c r="H538" s="83"/>
    </row>
    <row r="539" spans="1:8" x14ac:dyDescent="0.3">
      <c r="A539" s="82"/>
      <c r="B539" s="81"/>
      <c r="H539" s="83"/>
    </row>
    <row r="540" spans="1:8" x14ac:dyDescent="0.3">
      <c r="A540" s="82"/>
      <c r="B540" s="81"/>
      <c r="H540" s="83"/>
    </row>
    <row r="541" spans="1:8" x14ac:dyDescent="0.3">
      <c r="A541" s="82"/>
      <c r="B541" s="81"/>
      <c r="H541" s="83"/>
    </row>
    <row r="542" spans="1:8" x14ac:dyDescent="0.3">
      <c r="A542" s="82"/>
      <c r="B542" s="81"/>
      <c r="H542" s="83"/>
    </row>
    <row r="543" spans="1:8" x14ac:dyDescent="0.3">
      <c r="A543" s="82"/>
      <c r="B543" s="81"/>
      <c r="H543" s="83"/>
    </row>
    <row r="544" spans="1:8" x14ac:dyDescent="0.3">
      <c r="A544" s="82"/>
      <c r="B544" s="81"/>
      <c r="H544" s="83"/>
    </row>
    <row r="545" spans="1:8" x14ac:dyDescent="0.3">
      <c r="A545" s="82"/>
      <c r="B545" s="81"/>
      <c r="H545" s="83"/>
    </row>
    <row r="546" spans="1:8" x14ac:dyDescent="0.3">
      <c r="A546" s="82"/>
      <c r="B546" s="81"/>
      <c r="H546" s="83"/>
    </row>
    <row r="547" spans="1:8" x14ac:dyDescent="0.3">
      <c r="A547" s="82"/>
      <c r="B547" s="81"/>
      <c r="H547" s="83"/>
    </row>
    <row r="548" spans="1:8" x14ac:dyDescent="0.3">
      <c r="A548" s="82"/>
      <c r="B548" s="81"/>
      <c r="H548" s="83"/>
    </row>
    <row r="549" spans="1:8" x14ac:dyDescent="0.3">
      <c r="A549" s="82"/>
      <c r="B549" s="81"/>
      <c r="H549" s="83"/>
    </row>
    <row r="550" spans="1:8" x14ac:dyDescent="0.3">
      <c r="A550" s="82"/>
      <c r="B550" s="81"/>
      <c r="H550" s="83"/>
    </row>
    <row r="551" spans="1:8" x14ac:dyDescent="0.3">
      <c r="A551" s="82"/>
      <c r="B551" s="81"/>
      <c r="H551" s="83"/>
    </row>
    <row r="552" spans="1:8" x14ac:dyDescent="0.3">
      <c r="A552" s="82"/>
      <c r="B552" s="81"/>
      <c r="H552" s="83"/>
    </row>
    <row r="553" spans="1:8" x14ac:dyDescent="0.3">
      <c r="A553" s="82"/>
      <c r="B553" s="81"/>
      <c r="H553" s="83"/>
    </row>
    <row r="554" spans="1:8" x14ac:dyDescent="0.3">
      <c r="A554" s="82"/>
      <c r="B554" s="81"/>
      <c r="H554" s="83"/>
    </row>
    <row r="555" spans="1:8" x14ac:dyDescent="0.3">
      <c r="A555" s="82"/>
      <c r="B555" s="81"/>
      <c r="H555" s="83"/>
    </row>
    <row r="556" spans="1:8" x14ac:dyDescent="0.3">
      <c r="A556" s="82"/>
      <c r="B556" s="81"/>
      <c r="H556" s="83"/>
    </row>
    <row r="557" spans="1:8" x14ac:dyDescent="0.3">
      <c r="A557" s="82"/>
      <c r="B557" s="81"/>
      <c r="H557" s="83"/>
    </row>
    <row r="558" spans="1:8" x14ac:dyDescent="0.3">
      <c r="A558" s="82"/>
      <c r="B558" s="81"/>
      <c r="H558" s="83"/>
    </row>
    <row r="559" spans="1:8" x14ac:dyDescent="0.3">
      <c r="A559" s="82"/>
      <c r="B559" s="81"/>
      <c r="H559" s="83"/>
    </row>
    <row r="560" spans="1:8" x14ac:dyDescent="0.3">
      <c r="A560" s="82"/>
      <c r="B560" s="81"/>
      <c r="H560" s="83"/>
    </row>
    <row r="561" spans="1:8" x14ac:dyDescent="0.3">
      <c r="A561" s="82"/>
      <c r="B561" s="81"/>
      <c r="H561" s="83"/>
    </row>
    <row r="562" spans="1:8" x14ac:dyDescent="0.3">
      <c r="A562" s="82"/>
      <c r="B562" s="81"/>
      <c r="H562" s="83"/>
    </row>
    <row r="563" spans="1:8" x14ac:dyDescent="0.3">
      <c r="A563" s="82"/>
      <c r="B563" s="81"/>
      <c r="H563" s="83"/>
    </row>
    <row r="564" spans="1:8" x14ac:dyDescent="0.3">
      <c r="A564" s="82"/>
      <c r="B564" s="81"/>
      <c r="H564" s="83"/>
    </row>
    <row r="565" spans="1:8" x14ac:dyDescent="0.3">
      <c r="A565" s="82"/>
      <c r="B565" s="81"/>
      <c r="H565" s="83"/>
    </row>
    <row r="566" spans="1:8" x14ac:dyDescent="0.3">
      <c r="A566" s="82"/>
      <c r="B566" s="81"/>
      <c r="H566" s="83"/>
    </row>
    <row r="567" spans="1:8" x14ac:dyDescent="0.3">
      <c r="A567" s="82"/>
      <c r="B567" s="81"/>
      <c r="H567" s="83"/>
    </row>
    <row r="568" spans="1:8" x14ac:dyDescent="0.3">
      <c r="A568" s="82"/>
      <c r="B568" s="81"/>
      <c r="H568" s="83"/>
    </row>
    <row r="569" spans="1:8" x14ac:dyDescent="0.3">
      <c r="A569" s="82"/>
      <c r="B569" s="81"/>
      <c r="H569" s="83"/>
    </row>
    <row r="570" spans="1:8" x14ac:dyDescent="0.3">
      <c r="A570" s="82"/>
      <c r="B570" s="81"/>
      <c r="H570" s="83"/>
    </row>
    <row r="571" spans="1:8" x14ac:dyDescent="0.3">
      <c r="A571" s="82"/>
      <c r="B571" s="81"/>
      <c r="H571" s="83"/>
    </row>
    <row r="572" spans="1:8" x14ac:dyDescent="0.3">
      <c r="A572" s="82"/>
      <c r="B572" s="81"/>
      <c r="H572" s="83"/>
    </row>
    <row r="573" spans="1:8" x14ac:dyDescent="0.3">
      <c r="A573" s="82"/>
      <c r="B573" s="81"/>
      <c r="H573" s="83"/>
    </row>
    <row r="574" spans="1:8" x14ac:dyDescent="0.3">
      <c r="A574" s="82"/>
      <c r="B574" s="81"/>
      <c r="H574" s="83"/>
    </row>
    <row r="575" spans="1:8" x14ac:dyDescent="0.3">
      <c r="A575" s="82"/>
      <c r="B575" s="81"/>
      <c r="H575" s="83"/>
    </row>
    <row r="576" spans="1:8" x14ac:dyDescent="0.3">
      <c r="A576" s="82"/>
      <c r="B576" s="81"/>
      <c r="H576" s="83"/>
    </row>
    <row r="577" spans="1:8" x14ac:dyDescent="0.3">
      <c r="A577" s="82"/>
      <c r="B577" s="81"/>
      <c r="H577" s="83"/>
    </row>
    <row r="578" spans="1:8" x14ac:dyDescent="0.3">
      <c r="A578" s="82"/>
      <c r="B578" s="81"/>
      <c r="H578" s="83"/>
    </row>
    <row r="579" spans="1:8" x14ac:dyDescent="0.3">
      <c r="A579" s="82"/>
      <c r="B579" s="81"/>
      <c r="H579" s="83"/>
    </row>
    <row r="580" spans="1:8" x14ac:dyDescent="0.3">
      <c r="A580" s="82"/>
      <c r="B580" s="81"/>
      <c r="H580" s="83"/>
    </row>
    <row r="581" spans="1:8" x14ac:dyDescent="0.3">
      <c r="A581" s="82"/>
      <c r="B581" s="81"/>
      <c r="H581" s="83"/>
    </row>
    <row r="582" spans="1:8" x14ac:dyDescent="0.3">
      <c r="A582" s="82"/>
      <c r="B582" s="81"/>
      <c r="H582" s="83"/>
    </row>
    <row r="583" spans="1:8" x14ac:dyDescent="0.3">
      <c r="A583" s="82"/>
      <c r="B583" s="81"/>
      <c r="H583" s="83"/>
    </row>
    <row r="584" spans="1:8" x14ac:dyDescent="0.3">
      <c r="A584" s="82"/>
      <c r="B584" s="81"/>
      <c r="H584" s="83"/>
    </row>
    <row r="585" spans="1:8" x14ac:dyDescent="0.3">
      <c r="A585" s="82"/>
      <c r="B585" s="81"/>
      <c r="H585" s="83"/>
    </row>
    <row r="586" spans="1:8" x14ac:dyDescent="0.3">
      <c r="A586" s="82"/>
      <c r="B586" s="81"/>
      <c r="H586" s="83"/>
    </row>
    <row r="587" spans="1:8" x14ac:dyDescent="0.3">
      <c r="A587" s="82"/>
      <c r="B587" s="81"/>
      <c r="H587" s="83"/>
    </row>
    <row r="588" spans="1:8" x14ac:dyDescent="0.3">
      <c r="A588" s="82"/>
      <c r="B588" s="81"/>
      <c r="H588" s="83"/>
    </row>
    <row r="589" spans="1:8" x14ac:dyDescent="0.3">
      <c r="A589" s="82"/>
      <c r="B589" s="81"/>
      <c r="H589" s="83"/>
    </row>
    <row r="590" spans="1:8" x14ac:dyDescent="0.3">
      <c r="A590" s="82"/>
      <c r="B590" s="81"/>
      <c r="H590" s="83"/>
    </row>
    <row r="591" spans="1:8" x14ac:dyDescent="0.3">
      <c r="A591" s="82"/>
      <c r="B591" s="81"/>
      <c r="H591" s="83"/>
    </row>
    <row r="592" spans="1:8" x14ac:dyDescent="0.3">
      <c r="A592" s="82"/>
      <c r="B592" s="81"/>
      <c r="H592" s="83"/>
    </row>
    <row r="593" spans="1:8" x14ac:dyDescent="0.3">
      <c r="A593" s="82"/>
      <c r="B593" s="81"/>
      <c r="H593" s="83"/>
    </row>
    <row r="594" spans="1:8" x14ac:dyDescent="0.3">
      <c r="A594" s="82"/>
      <c r="B594" s="81"/>
      <c r="H594" s="83"/>
    </row>
    <row r="595" spans="1:8" x14ac:dyDescent="0.3">
      <c r="A595" s="82"/>
      <c r="B595" s="81"/>
      <c r="H595" s="83"/>
    </row>
    <row r="596" spans="1:8" x14ac:dyDescent="0.3">
      <c r="A596" s="82"/>
      <c r="B596" s="81"/>
      <c r="H596" s="83"/>
    </row>
    <row r="597" spans="1:8" x14ac:dyDescent="0.3">
      <c r="A597" s="82"/>
      <c r="B597" s="81"/>
      <c r="H597" s="83"/>
    </row>
    <row r="598" spans="1:8" x14ac:dyDescent="0.3">
      <c r="A598" s="82"/>
      <c r="B598" s="81"/>
      <c r="H598" s="83"/>
    </row>
    <row r="599" spans="1:8" x14ac:dyDescent="0.3">
      <c r="A599" s="82"/>
      <c r="B599" s="81"/>
      <c r="H599" s="83"/>
    </row>
    <row r="600" spans="1:8" x14ac:dyDescent="0.3">
      <c r="A600" s="82"/>
      <c r="B600" s="81"/>
      <c r="H600" s="83"/>
    </row>
    <row r="601" spans="1:8" x14ac:dyDescent="0.3">
      <c r="A601" s="82"/>
      <c r="B601" s="81"/>
      <c r="H601" s="83"/>
    </row>
    <row r="602" spans="1:8" x14ac:dyDescent="0.3">
      <c r="A602" s="82"/>
      <c r="B602" s="81"/>
      <c r="H602" s="83"/>
    </row>
    <row r="603" spans="1:8" x14ac:dyDescent="0.3">
      <c r="A603" s="82"/>
      <c r="B603" s="81"/>
      <c r="H603" s="83"/>
    </row>
    <row r="604" spans="1:8" x14ac:dyDescent="0.3">
      <c r="A604" s="82"/>
      <c r="B604" s="81"/>
      <c r="H604" s="83"/>
    </row>
    <row r="605" spans="1:8" x14ac:dyDescent="0.3">
      <c r="A605" s="82"/>
      <c r="B605" s="81"/>
      <c r="H605" s="83"/>
    </row>
    <row r="606" spans="1:8" x14ac:dyDescent="0.3">
      <c r="A606" s="82"/>
      <c r="B606" s="81"/>
      <c r="H606" s="83"/>
    </row>
    <row r="607" spans="1:8" x14ac:dyDescent="0.3">
      <c r="A607" s="82"/>
      <c r="B607" s="81"/>
      <c r="H607" s="83"/>
    </row>
    <row r="608" spans="1:8" x14ac:dyDescent="0.3">
      <c r="A608" s="82"/>
      <c r="B608" s="81"/>
      <c r="H608" s="83"/>
    </row>
    <row r="609" spans="1:8" x14ac:dyDescent="0.3">
      <c r="A609" s="82"/>
      <c r="B609" s="81"/>
      <c r="H609" s="83"/>
    </row>
    <row r="610" spans="1:8" x14ac:dyDescent="0.3">
      <c r="A610" s="82"/>
      <c r="B610" s="81"/>
      <c r="H610" s="83"/>
    </row>
    <row r="611" spans="1:8" x14ac:dyDescent="0.3">
      <c r="A611" s="82"/>
      <c r="B611" s="81"/>
      <c r="H611" s="83"/>
    </row>
    <row r="612" spans="1:8" x14ac:dyDescent="0.3">
      <c r="A612" s="82"/>
      <c r="B612" s="81"/>
      <c r="H612" s="83"/>
    </row>
    <row r="613" spans="1:8" x14ac:dyDescent="0.3">
      <c r="A613" s="82"/>
      <c r="B613" s="81"/>
      <c r="H613" s="83"/>
    </row>
    <row r="614" spans="1:8" x14ac:dyDescent="0.3">
      <c r="A614" s="82"/>
      <c r="B614" s="81"/>
      <c r="H614" s="83"/>
    </row>
    <row r="615" spans="1:8" x14ac:dyDescent="0.3">
      <c r="A615" s="82"/>
      <c r="B615" s="81"/>
      <c r="H615" s="83"/>
    </row>
    <row r="616" spans="1:8" x14ac:dyDescent="0.3">
      <c r="A616" s="82"/>
      <c r="B616" s="81"/>
      <c r="H616" s="83"/>
    </row>
    <row r="617" spans="1:8" x14ac:dyDescent="0.3">
      <c r="A617" s="82"/>
      <c r="B617" s="81"/>
      <c r="H617" s="83"/>
    </row>
    <row r="618" spans="1:8" x14ac:dyDescent="0.3">
      <c r="A618" s="82"/>
      <c r="B618" s="81"/>
      <c r="H618" s="83"/>
    </row>
    <row r="619" spans="1:8" x14ac:dyDescent="0.3">
      <c r="A619" s="82"/>
      <c r="B619" s="81"/>
      <c r="H619" s="83"/>
    </row>
    <row r="620" spans="1:8" x14ac:dyDescent="0.3">
      <c r="A620" s="82"/>
      <c r="B620" s="81"/>
      <c r="H620" s="83"/>
    </row>
    <row r="621" spans="1:8" x14ac:dyDescent="0.3">
      <c r="A621" s="82"/>
      <c r="B621" s="81"/>
      <c r="H621" s="83"/>
    </row>
    <row r="622" spans="1:8" x14ac:dyDescent="0.3">
      <c r="A622" s="82"/>
      <c r="B622" s="81"/>
      <c r="H622" s="83"/>
    </row>
    <row r="623" spans="1:8" x14ac:dyDescent="0.3">
      <c r="A623" s="82"/>
      <c r="B623" s="81"/>
      <c r="H623" s="83"/>
    </row>
    <row r="624" spans="1:8" x14ac:dyDescent="0.3">
      <c r="A624" s="82"/>
      <c r="B624" s="81"/>
      <c r="H624" s="83"/>
    </row>
    <row r="625" spans="1:8" x14ac:dyDescent="0.3">
      <c r="A625" s="82"/>
      <c r="B625" s="81"/>
      <c r="H625" s="83"/>
    </row>
    <row r="626" spans="1:8" x14ac:dyDescent="0.3">
      <c r="A626" s="82"/>
      <c r="B626" s="81"/>
      <c r="H626" s="83"/>
    </row>
    <row r="627" spans="1:8" x14ac:dyDescent="0.3">
      <c r="A627" s="82"/>
      <c r="B627" s="81"/>
      <c r="H627" s="83"/>
    </row>
    <row r="628" spans="1:8" x14ac:dyDescent="0.3">
      <c r="A628" s="82"/>
      <c r="B628" s="81"/>
      <c r="H628" s="83"/>
    </row>
    <row r="629" spans="1:8" x14ac:dyDescent="0.3">
      <c r="A629" s="82"/>
      <c r="B629" s="81"/>
      <c r="H629" s="83"/>
    </row>
    <row r="630" spans="1:8" x14ac:dyDescent="0.3">
      <c r="A630" s="82"/>
      <c r="B630" s="81"/>
      <c r="H630" s="83"/>
    </row>
    <row r="631" spans="1:8" x14ac:dyDescent="0.3">
      <c r="A631" s="82"/>
      <c r="B631" s="81"/>
      <c r="H631" s="83"/>
    </row>
    <row r="632" spans="1:8" x14ac:dyDescent="0.3">
      <c r="A632" s="82"/>
      <c r="B632" s="81"/>
      <c r="H632" s="83"/>
    </row>
    <row r="633" spans="1:8" x14ac:dyDescent="0.3">
      <c r="A633" s="82"/>
      <c r="B633" s="81"/>
      <c r="H633" s="83"/>
    </row>
    <row r="634" spans="1:8" x14ac:dyDescent="0.3">
      <c r="A634" s="82"/>
      <c r="B634" s="81"/>
      <c r="H634" s="83"/>
    </row>
    <row r="635" spans="1:8" x14ac:dyDescent="0.3">
      <c r="A635" s="82"/>
      <c r="B635" s="81"/>
      <c r="H635" s="83"/>
    </row>
    <row r="636" spans="1:8" x14ac:dyDescent="0.3">
      <c r="A636" s="82"/>
      <c r="B636" s="81"/>
      <c r="H636" s="83"/>
    </row>
    <row r="637" spans="1:8" x14ac:dyDescent="0.3">
      <c r="A637" s="82"/>
      <c r="B637" s="81"/>
      <c r="H637" s="83"/>
    </row>
    <row r="638" spans="1:8" x14ac:dyDescent="0.3">
      <c r="A638" s="82"/>
      <c r="B638" s="81"/>
      <c r="H638" s="83"/>
    </row>
    <row r="639" spans="1:8" x14ac:dyDescent="0.3">
      <c r="A639" s="82"/>
      <c r="B639" s="81"/>
      <c r="H639" s="83"/>
    </row>
    <row r="640" spans="1:8" x14ac:dyDescent="0.3">
      <c r="A640" s="82"/>
      <c r="B640" s="81"/>
      <c r="H640" s="83"/>
    </row>
    <row r="641" spans="1:8" x14ac:dyDescent="0.3">
      <c r="A641" s="82"/>
      <c r="B641" s="81"/>
      <c r="H641" s="83"/>
    </row>
    <row r="642" spans="1:8" x14ac:dyDescent="0.3">
      <c r="A642" s="82"/>
      <c r="B642" s="81"/>
      <c r="H642" s="83"/>
    </row>
    <row r="643" spans="1:8" x14ac:dyDescent="0.3">
      <c r="A643" s="82"/>
      <c r="B643" s="81"/>
      <c r="H643" s="83"/>
    </row>
    <row r="644" spans="1:8" x14ac:dyDescent="0.3">
      <c r="A644" s="82"/>
      <c r="B644" s="81"/>
      <c r="H644" s="83"/>
    </row>
    <row r="645" spans="1:8" x14ac:dyDescent="0.3">
      <c r="A645" s="82"/>
      <c r="B645" s="81"/>
      <c r="H645" s="83"/>
    </row>
    <row r="646" spans="1:8" x14ac:dyDescent="0.3">
      <c r="A646" s="82"/>
      <c r="B646" s="81"/>
      <c r="H646" s="83"/>
    </row>
    <row r="647" spans="1:8" x14ac:dyDescent="0.3">
      <c r="A647" s="82"/>
      <c r="B647" s="81"/>
      <c r="H647" s="83"/>
    </row>
    <row r="648" spans="1:8" x14ac:dyDescent="0.3">
      <c r="A648" s="82"/>
      <c r="B648" s="81"/>
      <c r="H648" s="83"/>
    </row>
    <row r="649" spans="1:8" x14ac:dyDescent="0.3">
      <c r="A649" s="82"/>
      <c r="B649" s="81"/>
      <c r="H649" s="83"/>
    </row>
    <row r="650" spans="1:8" x14ac:dyDescent="0.3">
      <c r="A650" s="82"/>
      <c r="B650" s="81"/>
      <c r="H650" s="83"/>
    </row>
    <row r="651" spans="1:8" x14ac:dyDescent="0.3">
      <c r="A651" s="82"/>
      <c r="B651" s="81"/>
      <c r="H651" s="83"/>
    </row>
    <row r="652" spans="1:8" x14ac:dyDescent="0.3">
      <c r="A652" s="82"/>
      <c r="B652" s="81"/>
      <c r="H652" s="83"/>
    </row>
    <row r="653" spans="1:8" x14ac:dyDescent="0.3">
      <c r="A653" s="82"/>
      <c r="B653" s="81"/>
      <c r="H653" s="83"/>
    </row>
    <row r="654" spans="1:8" x14ac:dyDescent="0.3">
      <c r="A654" s="82"/>
      <c r="B654" s="81"/>
      <c r="H654" s="83"/>
    </row>
    <row r="655" spans="1:8" x14ac:dyDescent="0.3">
      <c r="A655" s="82"/>
      <c r="B655" s="81"/>
      <c r="H655" s="83"/>
    </row>
    <row r="656" spans="1:8" x14ac:dyDescent="0.3">
      <c r="A656" s="82"/>
      <c r="B656" s="81"/>
      <c r="H656" s="83"/>
    </row>
    <row r="657" spans="1:8" x14ac:dyDescent="0.3">
      <c r="A657" s="82"/>
      <c r="B657" s="81"/>
      <c r="H657" s="83"/>
    </row>
    <row r="658" spans="1:8" x14ac:dyDescent="0.3">
      <c r="A658" s="82"/>
      <c r="B658" s="81"/>
      <c r="H658" s="83"/>
    </row>
    <row r="659" spans="1:8" x14ac:dyDescent="0.3">
      <c r="A659" s="82"/>
      <c r="B659" s="81"/>
      <c r="H659" s="83"/>
    </row>
    <row r="660" spans="1:8" x14ac:dyDescent="0.3">
      <c r="A660" s="82"/>
      <c r="B660" s="81"/>
      <c r="H660" s="83"/>
    </row>
    <row r="661" spans="1:8" x14ac:dyDescent="0.3">
      <c r="A661" s="82"/>
      <c r="B661" s="81"/>
      <c r="H661" s="83"/>
    </row>
    <row r="662" spans="1:8" x14ac:dyDescent="0.3">
      <c r="A662" s="82"/>
      <c r="B662" s="81"/>
      <c r="H662" s="83"/>
    </row>
    <row r="663" spans="1:8" x14ac:dyDescent="0.3">
      <c r="A663" s="82"/>
      <c r="B663" s="81"/>
      <c r="H663" s="83"/>
    </row>
    <row r="664" spans="1:8" x14ac:dyDescent="0.3">
      <c r="A664" s="82"/>
      <c r="B664" s="81"/>
      <c r="H664" s="83"/>
    </row>
    <row r="665" spans="1:8" x14ac:dyDescent="0.3">
      <c r="A665" s="82"/>
      <c r="B665" s="81"/>
      <c r="H665" s="83"/>
    </row>
    <row r="666" spans="1:8" x14ac:dyDescent="0.3">
      <c r="A666" s="82"/>
      <c r="B666" s="81"/>
      <c r="H666" s="83"/>
    </row>
    <row r="667" spans="1:8" x14ac:dyDescent="0.3">
      <c r="A667" s="82"/>
      <c r="B667" s="81"/>
      <c r="H667" s="83"/>
    </row>
    <row r="668" spans="1:8" x14ac:dyDescent="0.3">
      <c r="A668" s="82"/>
      <c r="B668" s="81"/>
      <c r="H668" s="83"/>
    </row>
    <row r="669" spans="1:8" x14ac:dyDescent="0.3">
      <c r="A669" s="82"/>
      <c r="B669" s="81"/>
      <c r="H669" s="83"/>
    </row>
    <row r="670" spans="1:8" x14ac:dyDescent="0.3">
      <c r="A670" s="82"/>
      <c r="B670" s="81"/>
      <c r="H670" s="83"/>
    </row>
    <row r="671" spans="1:8" x14ac:dyDescent="0.3">
      <c r="A671" s="82"/>
      <c r="B671" s="81"/>
      <c r="H671" s="83"/>
    </row>
    <row r="672" spans="1:8" x14ac:dyDescent="0.3">
      <c r="A672" s="82"/>
      <c r="B672" s="81"/>
      <c r="H672" s="83"/>
    </row>
    <row r="673" spans="1:8" x14ac:dyDescent="0.3">
      <c r="A673" s="82"/>
      <c r="B673" s="81"/>
      <c r="H673" s="83"/>
    </row>
    <row r="674" spans="1:8" x14ac:dyDescent="0.3">
      <c r="A674" s="82"/>
      <c r="B674" s="81"/>
      <c r="H674" s="83"/>
    </row>
    <row r="675" spans="1:8" x14ac:dyDescent="0.3">
      <c r="A675" s="82"/>
      <c r="B675" s="81"/>
      <c r="H675" s="83"/>
    </row>
    <row r="676" spans="1:8" x14ac:dyDescent="0.3">
      <c r="A676" s="82"/>
      <c r="B676" s="81"/>
      <c r="H676" s="83"/>
    </row>
    <row r="677" spans="1:8" x14ac:dyDescent="0.3">
      <c r="A677" s="82"/>
      <c r="B677" s="81"/>
      <c r="H677" s="83"/>
    </row>
    <row r="678" spans="1:8" x14ac:dyDescent="0.3">
      <c r="A678" s="82"/>
      <c r="B678" s="81"/>
      <c r="H678" s="83"/>
    </row>
    <row r="679" spans="1:8" x14ac:dyDescent="0.3">
      <c r="A679" s="82"/>
      <c r="B679" s="81"/>
      <c r="H679" s="83"/>
    </row>
    <row r="680" spans="1:8" x14ac:dyDescent="0.3">
      <c r="A680" s="82"/>
      <c r="B680" s="81"/>
      <c r="H680" s="83"/>
    </row>
    <row r="681" spans="1:8" x14ac:dyDescent="0.3">
      <c r="A681" s="82"/>
      <c r="B681" s="81"/>
      <c r="H681" s="83"/>
    </row>
    <row r="682" spans="1:8" x14ac:dyDescent="0.3">
      <c r="A682" s="82"/>
      <c r="B682" s="81"/>
      <c r="H682" s="83"/>
    </row>
    <row r="683" spans="1:8" x14ac:dyDescent="0.3">
      <c r="A683" s="82"/>
      <c r="B683" s="81"/>
      <c r="H683" s="83"/>
    </row>
    <row r="684" spans="1:8" x14ac:dyDescent="0.3">
      <c r="A684" s="82"/>
      <c r="B684" s="81"/>
      <c r="H684" s="83"/>
    </row>
    <row r="685" spans="1:8" x14ac:dyDescent="0.3">
      <c r="A685" s="82"/>
      <c r="B685" s="81"/>
      <c r="H685" s="83"/>
    </row>
    <row r="686" spans="1:8" x14ac:dyDescent="0.3">
      <c r="A686" s="82"/>
      <c r="B686" s="81"/>
      <c r="H686" s="83"/>
    </row>
    <row r="687" spans="1:8" x14ac:dyDescent="0.3">
      <c r="A687" s="82"/>
      <c r="B687" s="81"/>
      <c r="H687" s="83"/>
    </row>
    <row r="688" spans="1:8" x14ac:dyDescent="0.3">
      <c r="A688" s="82"/>
      <c r="B688" s="81"/>
      <c r="H688" s="83"/>
    </row>
    <row r="689" spans="1:8" x14ac:dyDescent="0.3">
      <c r="A689" s="82"/>
      <c r="B689" s="81"/>
      <c r="H689" s="83"/>
    </row>
    <row r="690" spans="1:8" x14ac:dyDescent="0.3">
      <c r="A690" s="82"/>
      <c r="B690" s="81"/>
      <c r="H690" s="83"/>
    </row>
    <row r="691" spans="1:8" x14ac:dyDescent="0.3">
      <c r="A691" s="82"/>
      <c r="B691" s="81"/>
      <c r="H691" s="83"/>
    </row>
    <row r="692" spans="1:8" x14ac:dyDescent="0.3">
      <c r="A692" s="82"/>
      <c r="B692" s="81"/>
      <c r="H692" s="83"/>
    </row>
    <row r="693" spans="1:8" x14ac:dyDescent="0.3">
      <c r="A693" s="82"/>
      <c r="B693" s="81"/>
      <c r="H693" s="83"/>
    </row>
    <row r="694" spans="1:8" x14ac:dyDescent="0.3">
      <c r="A694" s="82"/>
      <c r="B694" s="81"/>
      <c r="H694" s="83"/>
    </row>
    <row r="695" spans="1:8" x14ac:dyDescent="0.3">
      <c r="A695" s="82"/>
      <c r="B695" s="81"/>
      <c r="H695" s="83"/>
    </row>
    <row r="696" spans="1:8" x14ac:dyDescent="0.3">
      <c r="A696" s="82"/>
      <c r="B696" s="81"/>
      <c r="H696" s="83"/>
    </row>
    <row r="697" spans="1:8" x14ac:dyDescent="0.3">
      <c r="A697" s="82"/>
      <c r="B697" s="81"/>
      <c r="H697" s="83"/>
    </row>
    <row r="698" spans="1:8" x14ac:dyDescent="0.3">
      <c r="A698" s="82"/>
      <c r="B698" s="81"/>
      <c r="H698" s="83"/>
    </row>
    <row r="699" spans="1:8" x14ac:dyDescent="0.3">
      <c r="A699" s="82"/>
      <c r="B699" s="81"/>
      <c r="H699" s="83"/>
    </row>
    <row r="700" spans="1:8" x14ac:dyDescent="0.3">
      <c r="A700" s="82"/>
      <c r="B700" s="81"/>
      <c r="H700" s="83"/>
    </row>
    <row r="701" spans="1:8" x14ac:dyDescent="0.3">
      <c r="A701" s="82"/>
      <c r="B701" s="81"/>
      <c r="H701" s="83"/>
    </row>
    <row r="702" spans="1:8" x14ac:dyDescent="0.3">
      <c r="A702" s="82"/>
      <c r="B702" s="81"/>
      <c r="H702" s="83"/>
    </row>
    <row r="703" spans="1:8" x14ac:dyDescent="0.3">
      <c r="A703" s="82"/>
      <c r="B703" s="81"/>
      <c r="H703" s="83"/>
    </row>
    <row r="704" spans="1:8" x14ac:dyDescent="0.3">
      <c r="A704" s="82"/>
      <c r="B704" s="81"/>
      <c r="H704" s="83"/>
    </row>
    <row r="705" spans="1:8" x14ac:dyDescent="0.3">
      <c r="A705" s="82"/>
      <c r="B705" s="81"/>
      <c r="H705" s="83"/>
    </row>
    <row r="706" spans="1:8" x14ac:dyDescent="0.3">
      <c r="A706" s="82"/>
      <c r="B706" s="81"/>
      <c r="H706" s="83"/>
    </row>
    <row r="707" spans="1:8" x14ac:dyDescent="0.3">
      <c r="A707" s="82"/>
      <c r="B707" s="81"/>
      <c r="H707" s="83"/>
    </row>
    <row r="708" spans="1:8" x14ac:dyDescent="0.3">
      <c r="A708" s="82"/>
      <c r="B708" s="81"/>
      <c r="H708" s="83"/>
    </row>
    <row r="709" spans="1:8" x14ac:dyDescent="0.3">
      <c r="A709" s="82"/>
      <c r="B709" s="81"/>
      <c r="H709" s="83"/>
    </row>
    <row r="710" spans="1:8" x14ac:dyDescent="0.3">
      <c r="A710" s="82"/>
      <c r="B710" s="81"/>
      <c r="H710" s="83"/>
    </row>
    <row r="711" spans="1:8" x14ac:dyDescent="0.3">
      <c r="A711" s="82"/>
      <c r="B711" s="81"/>
      <c r="H711" s="83"/>
    </row>
    <row r="712" spans="1:8" x14ac:dyDescent="0.3">
      <c r="A712" s="82"/>
      <c r="B712" s="81"/>
      <c r="H712" s="83"/>
    </row>
    <row r="713" spans="1:8" x14ac:dyDescent="0.3">
      <c r="A713" s="82"/>
      <c r="B713" s="81"/>
      <c r="H713" s="83"/>
    </row>
    <row r="714" spans="1:8" x14ac:dyDescent="0.3">
      <c r="A714" s="82"/>
      <c r="B714" s="81"/>
      <c r="H714" s="83"/>
    </row>
    <row r="715" spans="1:8" x14ac:dyDescent="0.3">
      <c r="A715" s="82"/>
      <c r="B715" s="81"/>
      <c r="H715" s="83"/>
    </row>
    <row r="716" spans="1:8" x14ac:dyDescent="0.3">
      <c r="A716" s="82"/>
      <c r="B716" s="81"/>
      <c r="H716" s="83"/>
    </row>
    <row r="717" spans="1:8" x14ac:dyDescent="0.3">
      <c r="A717" s="82"/>
      <c r="B717" s="81"/>
      <c r="H717" s="83"/>
    </row>
    <row r="718" spans="1:8" x14ac:dyDescent="0.3">
      <c r="A718" s="82"/>
      <c r="B718" s="81"/>
      <c r="H718" s="83"/>
    </row>
    <row r="719" spans="1:8" x14ac:dyDescent="0.3">
      <c r="A719" s="82"/>
      <c r="B719" s="81"/>
      <c r="H719" s="83"/>
    </row>
    <row r="720" spans="1:8" x14ac:dyDescent="0.3">
      <c r="A720" s="82"/>
      <c r="B720" s="81"/>
      <c r="H720" s="83"/>
    </row>
    <row r="721" spans="1:8" x14ac:dyDescent="0.3">
      <c r="A721" s="82"/>
      <c r="B721" s="81"/>
      <c r="H721" s="83"/>
    </row>
    <row r="722" spans="1:8" x14ac:dyDescent="0.3">
      <c r="A722" s="82"/>
      <c r="B722" s="81"/>
      <c r="H722" s="83"/>
    </row>
    <row r="723" spans="1:8" x14ac:dyDescent="0.3">
      <c r="A723" s="82"/>
      <c r="B723" s="81"/>
      <c r="H723" s="83"/>
    </row>
    <row r="724" spans="1:8" x14ac:dyDescent="0.3">
      <c r="A724" s="82"/>
      <c r="B724" s="81"/>
      <c r="H724" s="83"/>
    </row>
    <row r="725" spans="1:8" x14ac:dyDescent="0.3">
      <c r="A725" s="82"/>
      <c r="B725" s="81"/>
      <c r="H725" s="83"/>
    </row>
    <row r="726" spans="1:8" x14ac:dyDescent="0.3">
      <c r="A726" s="82"/>
      <c r="B726" s="81"/>
      <c r="H726" s="83"/>
    </row>
    <row r="727" spans="1:8" x14ac:dyDescent="0.3">
      <c r="A727" s="82"/>
      <c r="B727" s="81"/>
      <c r="H727" s="83"/>
    </row>
    <row r="728" spans="1:8" x14ac:dyDescent="0.3">
      <c r="A728" s="82"/>
      <c r="B728" s="81"/>
      <c r="H728" s="83"/>
    </row>
    <row r="729" spans="1:8" x14ac:dyDescent="0.3">
      <c r="A729" s="82"/>
      <c r="B729" s="81"/>
      <c r="H729" s="83"/>
    </row>
    <row r="730" spans="1:8" x14ac:dyDescent="0.3">
      <c r="A730" s="82"/>
      <c r="B730" s="81"/>
      <c r="H730" s="83"/>
    </row>
    <row r="731" spans="1:8" x14ac:dyDescent="0.3">
      <c r="A731" s="82"/>
      <c r="B731" s="81"/>
      <c r="H731" s="83"/>
    </row>
    <row r="732" spans="1:8" x14ac:dyDescent="0.3">
      <c r="A732" s="82"/>
      <c r="B732" s="81"/>
      <c r="H732" s="83"/>
    </row>
    <row r="733" spans="1:8" x14ac:dyDescent="0.3">
      <c r="A733" s="82"/>
      <c r="B733" s="81"/>
      <c r="H733" s="83"/>
    </row>
    <row r="734" spans="1:8" x14ac:dyDescent="0.3">
      <c r="A734" s="82"/>
      <c r="B734" s="81"/>
      <c r="H734" s="83"/>
    </row>
    <row r="735" spans="1:8" x14ac:dyDescent="0.3">
      <c r="A735" s="82"/>
      <c r="B735" s="81"/>
      <c r="H735" s="83"/>
    </row>
    <row r="736" spans="1:8" x14ac:dyDescent="0.3">
      <c r="A736" s="82"/>
      <c r="B736" s="81"/>
      <c r="H736" s="83"/>
    </row>
    <row r="737" spans="1:8" x14ac:dyDescent="0.3">
      <c r="A737" s="82"/>
      <c r="B737" s="81"/>
      <c r="H737" s="83"/>
    </row>
    <row r="738" spans="1:8" x14ac:dyDescent="0.3">
      <c r="A738" s="82"/>
      <c r="B738" s="81"/>
      <c r="H738" s="83"/>
    </row>
    <row r="739" spans="1:8" x14ac:dyDescent="0.3">
      <c r="A739" s="82"/>
      <c r="B739" s="81"/>
      <c r="H739" s="83"/>
    </row>
    <row r="740" spans="1:8" x14ac:dyDescent="0.3">
      <c r="A740" s="82"/>
      <c r="B740" s="81"/>
      <c r="H740" s="83"/>
    </row>
    <row r="741" spans="1:8" x14ac:dyDescent="0.3">
      <c r="A741" s="82"/>
      <c r="B741" s="81"/>
      <c r="H741" s="83"/>
    </row>
    <row r="742" spans="1:8" x14ac:dyDescent="0.3">
      <c r="A742" s="82"/>
      <c r="B742" s="81"/>
      <c r="H742" s="83"/>
    </row>
    <row r="743" spans="1:8" x14ac:dyDescent="0.3">
      <c r="A743" s="82"/>
      <c r="B743" s="81"/>
      <c r="H743" s="83"/>
    </row>
    <row r="744" spans="1:8" x14ac:dyDescent="0.3">
      <c r="A744" s="82"/>
      <c r="B744" s="81"/>
      <c r="H744" s="83"/>
    </row>
    <row r="745" spans="1:8" x14ac:dyDescent="0.3">
      <c r="A745" s="82"/>
      <c r="B745" s="81"/>
      <c r="H745" s="83"/>
    </row>
    <row r="746" spans="1:8" x14ac:dyDescent="0.3">
      <c r="A746" s="82"/>
      <c r="B746" s="81"/>
      <c r="H746" s="83"/>
    </row>
    <row r="747" spans="1:8" x14ac:dyDescent="0.3">
      <c r="A747" s="82"/>
      <c r="B747" s="81"/>
      <c r="H747" s="83"/>
    </row>
    <row r="748" spans="1:8" x14ac:dyDescent="0.3">
      <c r="A748" s="82"/>
      <c r="B748" s="81"/>
      <c r="H748" s="83"/>
    </row>
    <row r="749" spans="1:8" x14ac:dyDescent="0.3">
      <c r="A749" s="82"/>
      <c r="B749" s="81"/>
      <c r="H749" s="83"/>
    </row>
    <row r="750" spans="1:8" x14ac:dyDescent="0.3">
      <c r="A750" s="82"/>
      <c r="B750" s="81"/>
      <c r="H750" s="83"/>
    </row>
    <row r="751" spans="1:8" x14ac:dyDescent="0.3">
      <c r="A751" s="82"/>
      <c r="B751" s="81"/>
      <c r="H751" s="83"/>
    </row>
    <row r="752" spans="1:8" x14ac:dyDescent="0.3">
      <c r="A752" s="82"/>
      <c r="B752" s="81"/>
      <c r="H752" s="83"/>
    </row>
    <row r="753" spans="1:8" x14ac:dyDescent="0.3">
      <c r="A753" s="82"/>
      <c r="B753" s="81"/>
      <c r="H753" s="83"/>
    </row>
    <row r="754" spans="1:8" x14ac:dyDescent="0.3">
      <c r="A754" s="82"/>
      <c r="B754" s="81"/>
      <c r="H754" s="83"/>
    </row>
    <row r="755" spans="1:8" x14ac:dyDescent="0.3">
      <c r="A755" s="82"/>
      <c r="B755" s="81"/>
      <c r="H755" s="83"/>
    </row>
    <row r="756" spans="1:8" x14ac:dyDescent="0.3">
      <c r="A756" s="82"/>
      <c r="B756" s="81"/>
      <c r="H756" s="83"/>
    </row>
    <row r="757" spans="1:8" x14ac:dyDescent="0.3">
      <c r="A757" s="82"/>
      <c r="B757" s="81"/>
      <c r="H757" s="83"/>
    </row>
    <row r="758" spans="1:8" x14ac:dyDescent="0.3">
      <c r="A758" s="82"/>
      <c r="B758" s="81"/>
      <c r="H758" s="83"/>
    </row>
    <row r="759" spans="1:8" x14ac:dyDescent="0.3">
      <c r="A759" s="82"/>
      <c r="B759" s="81"/>
      <c r="H759" s="83"/>
    </row>
    <row r="760" spans="1:8" x14ac:dyDescent="0.3">
      <c r="A760" s="82"/>
      <c r="B760" s="81"/>
      <c r="H760" s="83"/>
    </row>
    <row r="761" spans="1:8" x14ac:dyDescent="0.3">
      <c r="A761" s="82"/>
      <c r="B761" s="81"/>
      <c r="H761" s="83"/>
    </row>
    <row r="762" spans="1:8" x14ac:dyDescent="0.3">
      <c r="A762" s="82"/>
      <c r="B762" s="81"/>
      <c r="H762" s="83"/>
    </row>
    <row r="763" spans="1:8" x14ac:dyDescent="0.3">
      <c r="A763" s="82"/>
      <c r="B763" s="81"/>
      <c r="H763" s="83"/>
    </row>
    <row r="764" spans="1:8" x14ac:dyDescent="0.3">
      <c r="A764" s="82"/>
      <c r="B764" s="81"/>
      <c r="H764" s="83"/>
    </row>
    <row r="765" spans="1:8" x14ac:dyDescent="0.3">
      <c r="A765" s="82"/>
      <c r="B765" s="81"/>
      <c r="H765" s="83"/>
    </row>
    <row r="766" spans="1:8" x14ac:dyDescent="0.3">
      <c r="A766" s="82"/>
      <c r="B766" s="81"/>
      <c r="H766" s="83"/>
    </row>
    <row r="767" spans="1:8" x14ac:dyDescent="0.3">
      <c r="A767" s="82"/>
      <c r="B767" s="81"/>
      <c r="H767" s="83"/>
    </row>
    <row r="768" spans="1:8" x14ac:dyDescent="0.3">
      <c r="A768" s="82"/>
      <c r="B768" s="81"/>
      <c r="H768" s="83"/>
    </row>
    <row r="769" spans="1:8" x14ac:dyDescent="0.3">
      <c r="A769" s="82"/>
      <c r="B769" s="81"/>
      <c r="H769" s="83"/>
    </row>
    <row r="770" spans="1:8" x14ac:dyDescent="0.3">
      <c r="A770" s="82"/>
      <c r="B770" s="81"/>
      <c r="H770" s="83"/>
    </row>
    <row r="771" spans="1:8" x14ac:dyDescent="0.3">
      <c r="A771" s="82"/>
      <c r="B771" s="81"/>
      <c r="H771" s="83"/>
    </row>
    <row r="772" spans="1:8" x14ac:dyDescent="0.3">
      <c r="A772" s="82"/>
      <c r="B772" s="81"/>
      <c r="H772" s="83"/>
    </row>
    <row r="773" spans="1:8" x14ac:dyDescent="0.3">
      <c r="A773" s="82"/>
      <c r="B773" s="81"/>
      <c r="H773" s="83"/>
    </row>
    <row r="774" spans="1:8" x14ac:dyDescent="0.3">
      <c r="A774" s="82"/>
      <c r="B774" s="81"/>
      <c r="H774" s="83"/>
    </row>
    <row r="775" spans="1:8" x14ac:dyDescent="0.3">
      <c r="A775" s="82"/>
      <c r="B775" s="81"/>
      <c r="H775" s="83"/>
    </row>
    <row r="776" spans="1:8" x14ac:dyDescent="0.3">
      <c r="A776" s="82"/>
      <c r="B776" s="81"/>
      <c r="H776" s="83"/>
    </row>
    <row r="777" spans="1:8" x14ac:dyDescent="0.3">
      <c r="A777" s="82"/>
      <c r="B777" s="81"/>
      <c r="H777" s="83"/>
    </row>
    <row r="778" spans="1:8" x14ac:dyDescent="0.3">
      <c r="A778" s="82"/>
      <c r="B778" s="81"/>
      <c r="H778" s="83"/>
    </row>
    <row r="779" spans="1:8" x14ac:dyDescent="0.3">
      <c r="A779" s="82"/>
      <c r="B779" s="81"/>
      <c r="H779" s="83"/>
    </row>
    <row r="780" spans="1:8" x14ac:dyDescent="0.3">
      <c r="A780" s="82"/>
      <c r="B780" s="81"/>
      <c r="H780" s="83"/>
    </row>
    <row r="781" spans="1:8" x14ac:dyDescent="0.3">
      <c r="A781" s="82"/>
      <c r="B781" s="81"/>
      <c r="H781" s="83"/>
    </row>
    <row r="782" spans="1:8" x14ac:dyDescent="0.3">
      <c r="A782" s="82"/>
      <c r="B782" s="81"/>
      <c r="H782" s="83"/>
    </row>
    <row r="783" spans="1:8" x14ac:dyDescent="0.3">
      <c r="A783" s="82"/>
      <c r="B783" s="81"/>
      <c r="H783" s="83"/>
    </row>
    <row r="784" spans="1:8" x14ac:dyDescent="0.3">
      <c r="A784" s="82"/>
      <c r="B784" s="81"/>
      <c r="H784" s="83"/>
    </row>
    <row r="785" spans="1:8" x14ac:dyDescent="0.3">
      <c r="A785" s="82"/>
      <c r="B785" s="81"/>
      <c r="H785" s="83"/>
    </row>
    <row r="786" spans="1:8" x14ac:dyDescent="0.3">
      <c r="A786" s="82"/>
      <c r="B786" s="81"/>
      <c r="H786" s="83"/>
    </row>
    <row r="787" spans="1:8" x14ac:dyDescent="0.3">
      <c r="A787" s="82"/>
      <c r="B787" s="81"/>
      <c r="H787" s="83"/>
    </row>
    <row r="788" spans="1:8" x14ac:dyDescent="0.3">
      <c r="A788" s="82"/>
      <c r="B788" s="81"/>
      <c r="H788" s="83"/>
    </row>
    <row r="789" spans="1:8" x14ac:dyDescent="0.3">
      <c r="A789" s="82"/>
      <c r="B789" s="81"/>
      <c r="H789" s="83"/>
    </row>
    <row r="790" spans="1:8" x14ac:dyDescent="0.3">
      <c r="A790" s="82"/>
      <c r="B790" s="81"/>
      <c r="H790" s="83"/>
    </row>
    <row r="791" spans="1:8" x14ac:dyDescent="0.3">
      <c r="A791" s="82"/>
      <c r="B791" s="81"/>
      <c r="H791" s="83"/>
    </row>
    <row r="792" spans="1:8" x14ac:dyDescent="0.3">
      <c r="A792" s="82"/>
      <c r="B792" s="81"/>
      <c r="H792" s="83"/>
    </row>
    <row r="793" spans="1:8" x14ac:dyDescent="0.3">
      <c r="A793" s="82"/>
      <c r="B793" s="81"/>
      <c r="H793" s="83"/>
    </row>
    <row r="794" spans="1:8" x14ac:dyDescent="0.3">
      <c r="A794" s="82"/>
      <c r="B794" s="81"/>
      <c r="H794" s="83"/>
    </row>
    <row r="795" spans="1:8" x14ac:dyDescent="0.3">
      <c r="A795" s="82"/>
      <c r="B795" s="81"/>
      <c r="H795" s="83"/>
    </row>
    <row r="796" spans="1:8" x14ac:dyDescent="0.3">
      <c r="A796" s="82"/>
      <c r="B796" s="81"/>
      <c r="H796" s="83"/>
    </row>
    <row r="797" spans="1:8" x14ac:dyDescent="0.3">
      <c r="A797" s="82"/>
      <c r="B797" s="81"/>
      <c r="H797" s="83"/>
    </row>
    <row r="798" spans="1:8" x14ac:dyDescent="0.3">
      <c r="A798" s="82"/>
      <c r="B798" s="81"/>
      <c r="H798" s="83"/>
    </row>
    <row r="799" spans="1:8" x14ac:dyDescent="0.3">
      <c r="A799" s="82"/>
      <c r="B799" s="81"/>
      <c r="H799" s="83"/>
    </row>
    <row r="800" spans="1:8" x14ac:dyDescent="0.3">
      <c r="A800" s="82"/>
      <c r="B800" s="81"/>
      <c r="H800" s="83"/>
    </row>
    <row r="801" spans="1:8" x14ac:dyDescent="0.3">
      <c r="A801" s="82"/>
      <c r="B801" s="81"/>
      <c r="H801" s="83"/>
    </row>
    <row r="802" spans="1:8" x14ac:dyDescent="0.3">
      <c r="A802" s="82"/>
      <c r="B802" s="81"/>
      <c r="H802" s="83"/>
    </row>
    <row r="803" spans="1:8" x14ac:dyDescent="0.3">
      <c r="A803" s="82"/>
      <c r="B803" s="81"/>
      <c r="H803" s="83"/>
    </row>
    <row r="804" spans="1:8" x14ac:dyDescent="0.3">
      <c r="A804" s="82"/>
      <c r="B804" s="81"/>
      <c r="H804" s="83"/>
    </row>
    <row r="805" spans="1:8" x14ac:dyDescent="0.3">
      <c r="A805" s="82"/>
      <c r="B805" s="81"/>
      <c r="H805" s="83"/>
    </row>
    <row r="806" spans="1:8" x14ac:dyDescent="0.3">
      <c r="A806" s="82"/>
      <c r="B806" s="81"/>
      <c r="H806" s="83"/>
    </row>
    <row r="807" spans="1:8" x14ac:dyDescent="0.3">
      <c r="A807" s="82"/>
      <c r="B807" s="81"/>
      <c r="H807" s="83"/>
    </row>
    <row r="808" spans="1:8" x14ac:dyDescent="0.3">
      <c r="A808" s="82"/>
      <c r="B808" s="81"/>
      <c r="H808" s="83"/>
    </row>
    <row r="809" spans="1:8" x14ac:dyDescent="0.3">
      <c r="A809" s="82"/>
      <c r="B809" s="81"/>
      <c r="H809" s="83"/>
    </row>
    <row r="810" spans="1:8" x14ac:dyDescent="0.3">
      <c r="A810" s="82"/>
      <c r="B810" s="81"/>
      <c r="H810" s="83"/>
    </row>
    <row r="811" spans="1:8" x14ac:dyDescent="0.3">
      <c r="A811" s="82"/>
      <c r="B811" s="81"/>
      <c r="H811" s="83"/>
    </row>
    <row r="812" spans="1:8" x14ac:dyDescent="0.3">
      <c r="A812" s="82"/>
      <c r="B812" s="81"/>
      <c r="H812" s="83"/>
    </row>
    <row r="813" spans="1:8" x14ac:dyDescent="0.3">
      <c r="A813" s="82"/>
      <c r="B813" s="81"/>
      <c r="H813" s="83"/>
    </row>
    <row r="814" spans="1:8" x14ac:dyDescent="0.3">
      <c r="A814" s="82"/>
      <c r="B814" s="81"/>
      <c r="H814" s="83"/>
    </row>
    <row r="815" spans="1:8" x14ac:dyDescent="0.3">
      <c r="A815" s="82"/>
      <c r="B815" s="81"/>
      <c r="H815" s="83"/>
    </row>
    <row r="816" spans="1:8" x14ac:dyDescent="0.3">
      <c r="A816" s="82"/>
      <c r="B816" s="81"/>
      <c r="H816" s="83"/>
    </row>
    <row r="817" spans="1:8" x14ac:dyDescent="0.3">
      <c r="A817" s="82"/>
      <c r="B817" s="81"/>
      <c r="H817" s="83"/>
    </row>
    <row r="818" spans="1:8" x14ac:dyDescent="0.3">
      <c r="A818" s="82"/>
      <c r="B818" s="81"/>
      <c r="H818" s="83"/>
    </row>
    <row r="819" spans="1:8" x14ac:dyDescent="0.3">
      <c r="A819" s="82"/>
      <c r="B819" s="81"/>
      <c r="H819" s="83"/>
    </row>
    <row r="820" spans="1:8" x14ac:dyDescent="0.3">
      <c r="A820" s="82"/>
      <c r="B820" s="81"/>
      <c r="H820" s="83"/>
    </row>
    <row r="821" spans="1:8" x14ac:dyDescent="0.3">
      <c r="A821" s="82"/>
      <c r="B821" s="81"/>
      <c r="H821" s="83"/>
    </row>
    <row r="822" spans="1:8" x14ac:dyDescent="0.3">
      <c r="A822" s="82"/>
      <c r="B822" s="81"/>
      <c r="H822" s="83"/>
    </row>
    <row r="823" spans="1:8" x14ac:dyDescent="0.3">
      <c r="A823" s="82"/>
      <c r="B823" s="81"/>
      <c r="H823" s="83"/>
    </row>
    <row r="824" spans="1:8" x14ac:dyDescent="0.3">
      <c r="A824" s="82"/>
      <c r="B824" s="81"/>
      <c r="H824" s="83"/>
    </row>
    <row r="825" spans="1:8" x14ac:dyDescent="0.3">
      <c r="A825" s="82"/>
      <c r="B825" s="81"/>
      <c r="H825" s="83"/>
    </row>
    <row r="826" spans="1:8" x14ac:dyDescent="0.3">
      <c r="A826" s="82"/>
      <c r="B826" s="81"/>
      <c r="H826" s="83"/>
    </row>
    <row r="827" spans="1:8" x14ac:dyDescent="0.3">
      <c r="A827" s="82"/>
      <c r="B827" s="81"/>
      <c r="H827" s="83"/>
    </row>
    <row r="828" spans="1:8" x14ac:dyDescent="0.3">
      <c r="A828" s="82"/>
      <c r="B828" s="81"/>
      <c r="H828" s="83"/>
    </row>
    <row r="829" spans="1:8" x14ac:dyDescent="0.3">
      <c r="A829" s="82"/>
      <c r="B829" s="81"/>
      <c r="H829" s="83"/>
    </row>
    <row r="830" spans="1:8" x14ac:dyDescent="0.3">
      <c r="A830" s="82"/>
      <c r="B830" s="81"/>
      <c r="H830" s="83"/>
    </row>
    <row r="831" spans="1:8" x14ac:dyDescent="0.3">
      <c r="A831" s="82"/>
      <c r="B831" s="81"/>
      <c r="H831" s="83"/>
    </row>
    <row r="832" spans="1:8" x14ac:dyDescent="0.3">
      <c r="A832" s="82"/>
      <c r="B832" s="81"/>
      <c r="H832" s="83"/>
    </row>
    <row r="833" spans="1:8" x14ac:dyDescent="0.3">
      <c r="A833" s="82"/>
      <c r="B833" s="81"/>
      <c r="H833" s="83"/>
    </row>
    <row r="834" spans="1:8" x14ac:dyDescent="0.3">
      <c r="A834" s="82"/>
      <c r="B834" s="81"/>
      <c r="H834" s="83"/>
    </row>
    <row r="835" spans="1:8" x14ac:dyDescent="0.3">
      <c r="A835" s="82"/>
      <c r="B835" s="81"/>
      <c r="H835" s="83"/>
    </row>
    <row r="836" spans="1:8" x14ac:dyDescent="0.3">
      <c r="A836" s="82"/>
      <c r="B836" s="81"/>
      <c r="H836" s="83"/>
    </row>
    <row r="837" spans="1:8" x14ac:dyDescent="0.3">
      <c r="A837" s="82"/>
      <c r="B837" s="81"/>
      <c r="H837" s="83"/>
    </row>
    <row r="838" spans="1:8" x14ac:dyDescent="0.3">
      <c r="A838" s="82"/>
      <c r="B838" s="81"/>
      <c r="H838" s="83"/>
    </row>
    <row r="839" spans="1:8" x14ac:dyDescent="0.3">
      <c r="A839" s="82"/>
      <c r="B839" s="81"/>
      <c r="H839" s="83"/>
    </row>
    <row r="840" spans="1:8" x14ac:dyDescent="0.3">
      <c r="A840" s="82"/>
      <c r="B840" s="81"/>
      <c r="H840" s="83"/>
    </row>
    <row r="841" spans="1:8" x14ac:dyDescent="0.3">
      <c r="A841" s="82"/>
      <c r="B841" s="81"/>
      <c r="H841" s="83"/>
    </row>
    <row r="842" spans="1:8" x14ac:dyDescent="0.3">
      <c r="A842" s="82"/>
      <c r="B842" s="81"/>
      <c r="H842" s="83"/>
    </row>
    <row r="843" spans="1:8" x14ac:dyDescent="0.3">
      <c r="A843" s="82"/>
      <c r="B843" s="81"/>
      <c r="H843" s="83"/>
    </row>
    <row r="844" spans="1:8" x14ac:dyDescent="0.3">
      <c r="A844" s="82"/>
      <c r="B844" s="81"/>
      <c r="H844" s="83"/>
    </row>
    <row r="845" spans="1:8" x14ac:dyDescent="0.3">
      <c r="A845" s="82"/>
      <c r="B845" s="81"/>
      <c r="H845" s="83"/>
    </row>
    <row r="846" spans="1:8" x14ac:dyDescent="0.3">
      <c r="A846" s="82"/>
      <c r="B846" s="81"/>
      <c r="H846" s="83"/>
    </row>
    <row r="847" spans="1:8" x14ac:dyDescent="0.3">
      <c r="A847" s="82"/>
      <c r="B847" s="81"/>
      <c r="H847" s="83"/>
    </row>
    <row r="848" spans="1:8" x14ac:dyDescent="0.3">
      <c r="A848" s="82"/>
      <c r="B848" s="81"/>
      <c r="H848" s="83"/>
    </row>
    <row r="849" spans="1:8" x14ac:dyDescent="0.3">
      <c r="A849" s="82"/>
      <c r="B849" s="81"/>
      <c r="H849" s="83"/>
    </row>
    <row r="850" spans="1:8" x14ac:dyDescent="0.3">
      <c r="A850" s="82"/>
      <c r="B850" s="81"/>
      <c r="H850" s="83"/>
    </row>
    <row r="851" spans="1:8" x14ac:dyDescent="0.3">
      <c r="A851" s="82"/>
      <c r="B851" s="81"/>
      <c r="H851" s="83"/>
    </row>
    <row r="852" spans="1:8" x14ac:dyDescent="0.3">
      <c r="A852" s="82"/>
      <c r="B852" s="81"/>
      <c r="H852" s="83"/>
    </row>
    <row r="853" spans="1:8" x14ac:dyDescent="0.3">
      <c r="A853" s="82"/>
      <c r="B853" s="81"/>
      <c r="H853" s="83"/>
    </row>
    <row r="854" spans="1:8" x14ac:dyDescent="0.3">
      <c r="A854" s="82"/>
      <c r="B854" s="81"/>
      <c r="H854" s="83"/>
    </row>
    <row r="855" spans="1:8" x14ac:dyDescent="0.3">
      <c r="A855" s="82"/>
      <c r="B855" s="81"/>
      <c r="H855" s="83"/>
    </row>
    <row r="856" spans="1:8" x14ac:dyDescent="0.3">
      <c r="A856" s="82"/>
      <c r="B856" s="81"/>
      <c r="H856" s="83"/>
    </row>
    <row r="857" spans="1:8" x14ac:dyDescent="0.3">
      <c r="A857" s="82"/>
      <c r="B857" s="81"/>
      <c r="H857" s="83"/>
    </row>
    <row r="858" spans="1:8" x14ac:dyDescent="0.3">
      <c r="A858" s="82"/>
      <c r="B858" s="81"/>
      <c r="H858" s="83"/>
    </row>
    <row r="859" spans="1:8" x14ac:dyDescent="0.3">
      <c r="A859" s="82"/>
      <c r="B859" s="81"/>
      <c r="H859" s="83"/>
    </row>
    <row r="860" spans="1:8" x14ac:dyDescent="0.3">
      <c r="A860" s="82"/>
      <c r="B860" s="81"/>
      <c r="H860" s="83"/>
    </row>
    <row r="861" spans="1:8" x14ac:dyDescent="0.3">
      <c r="A861" s="82"/>
      <c r="B861" s="81"/>
      <c r="H861" s="83"/>
    </row>
    <row r="862" spans="1:8" x14ac:dyDescent="0.3">
      <c r="A862" s="82"/>
      <c r="B862" s="81"/>
      <c r="H862" s="83"/>
    </row>
    <row r="863" spans="1:8" x14ac:dyDescent="0.3">
      <c r="A863" s="82"/>
      <c r="B863" s="81"/>
      <c r="H863" s="83"/>
    </row>
    <row r="864" spans="1:8" x14ac:dyDescent="0.3">
      <c r="A864" s="82"/>
      <c r="B864" s="81"/>
      <c r="H864" s="83"/>
    </row>
    <row r="865" spans="1:8" x14ac:dyDescent="0.3">
      <c r="A865" s="82"/>
      <c r="B865" s="81"/>
      <c r="H865" s="83"/>
    </row>
    <row r="866" spans="1:8" x14ac:dyDescent="0.3">
      <c r="A866" s="82"/>
      <c r="B866" s="81"/>
      <c r="H866" s="83"/>
    </row>
    <row r="867" spans="1:8" x14ac:dyDescent="0.3">
      <c r="A867" s="82"/>
      <c r="B867" s="81"/>
      <c r="H867" s="83"/>
    </row>
    <row r="868" spans="1:8" x14ac:dyDescent="0.3">
      <c r="A868" s="82"/>
      <c r="B868" s="81"/>
      <c r="H868" s="83"/>
    </row>
    <row r="869" spans="1:8" x14ac:dyDescent="0.3">
      <c r="A869" s="82"/>
      <c r="B869" s="81"/>
      <c r="H869" s="83"/>
    </row>
    <row r="870" spans="1:8" x14ac:dyDescent="0.3">
      <c r="A870" s="82"/>
      <c r="B870" s="81"/>
      <c r="H870" s="83"/>
    </row>
    <row r="871" spans="1:8" x14ac:dyDescent="0.3">
      <c r="A871" s="82"/>
      <c r="B871" s="81"/>
      <c r="H871" s="83"/>
    </row>
    <row r="872" spans="1:8" x14ac:dyDescent="0.3">
      <c r="A872" s="82"/>
      <c r="B872" s="81"/>
      <c r="H872" s="83"/>
    </row>
    <row r="873" spans="1:8" x14ac:dyDescent="0.3">
      <c r="A873" s="82"/>
      <c r="B873" s="81"/>
      <c r="H873" s="83"/>
    </row>
    <row r="874" spans="1:8" x14ac:dyDescent="0.3">
      <c r="A874" s="82"/>
      <c r="B874" s="81"/>
      <c r="H874" s="83"/>
    </row>
    <row r="875" spans="1:8" x14ac:dyDescent="0.3">
      <c r="A875" s="82"/>
      <c r="B875" s="81"/>
      <c r="H875" s="83"/>
    </row>
    <row r="876" spans="1:8" x14ac:dyDescent="0.3">
      <c r="A876" s="82"/>
      <c r="B876" s="81"/>
      <c r="H876" s="83"/>
    </row>
    <row r="877" spans="1:8" x14ac:dyDescent="0.3">
      <c r="A877" s="82"/>
      <c r="B877" s="81"/>
      <c r="H877" s="83"/>
    </row>
    <row r="878" spans="1:8" x14ac:dyDescent="0.3">
      <c r="A878" s="82"/>
      <c r="B878" s="81"/>
      <c r="H878" s="83"/>
    </row>
    <row r="879" spans="1:8" x14ac:dyDescent="0.3">
      <c r="A879" s="82"/>
      <c r="B879" s="81"/>
      <c r="H879" s="83"/>
    </row>
    <row r="880" spans="1:8" x14ac:dyDescent="0.3">
      <c r="A880" s="82"/>
      <c r="B880" s="81"/>
      <c r="H880" s="83"/>
    </row>
    <row r="881" spans="1:8" x14ac:dyDescent="0.3">
      <c r="A881" s="82"/>
      <c r="B881" s="81"/>
      <c r="H881" s="83"/>
    </row>
    <row r="882" spans="1:8" x14ac:dyDescent="0.3">
      <c r="A882" s="82"/>
      <c r="B882" s="81"/>
      <c r="H882" s="83"/>
    </row>
    <row r="883" spans="1:8" x14ac:dyDescent="0.3">
      <c r="A883" s="82"/>
      <c r="B883" s="81"/>
      <c r="H883" s="83"/>
    </row>
    <row r="884" spans="1:8" x14ac:dyDescent="0.3">
      <c r="A884" s="82"/>
      <c r="B884" s="81"/>
      <c r="H884" s="83"/>
    </row>
    <row r="885" spans="1:8" x14ac:dyDescent="0.3">
      <c r="A885" s="82"/>
      <c r="B885" s="81"/>
      <c r="H885" s="83"/>
    </row>
    <row r="886" spans="1:8" x14ac:dyDescent="0.3">
      <c r="A886" s="82"/>
      <c r="B886" s="81"/>
      <c r="H886" s="83"/>
    </row>
    <row r="887" spans="1:8" x14ac:dyDescent="0.3">
      <c r="A887" s="82"/>
      <c r="B887" s="81"/>
      <c r="H887" s="83"/>
    </row>
    <row r="888" spans="1:8" x14ac:dyDescent="0.3">
      <c r="A888" s="82"/>
      <c r="B888" s="81"/>
      <c r="H888" s="83"/>
    </row>
    <row r="889" spans="1:8" x14ac:dyDescent="0.3">
      <c r="A889" s="82"/>
      <c r="B889" s="81"/>
      <c r="H889" s="83"/>
    </row>
    <row r="890" spans="1:8" x14ac:dyDescent="0.3">
      <c r="A890" s="82"/>
      <c r="B890" s="81"/>
      <c r="H890" s="83"/>
    </row>
    <row r="891" spans="1:8" x14ac:dyDescent="0.3">
      <c r="A891" s="82"/>
      <c r="B891" s="81"/>
      <c r="H891" s="83"/>
    </row>
    <row r="892" spans="1:8" x14ac:dyDescent="0.3">
      <c r="A892" s="82"/>
      <c r="B892" s="81"/>
      <c r="H892" s="83"/>
    </row>
    <row r="893" spans="1:8" x14ac:dyDescent="0.3">
      <c r="A893" s="82"/>
      <c r="B893" s="81"/>
      <c r="H893" s="83"/>
    </row>
    <row r="894" spans="1:8" x14ac:dyDescent="0.3">
      <c r="A894" s="82"/>
      <c r="B894" s="81"/>
      <c r="H894" s="83"/>
    </row>
    <row r="895" spans="1:8" x14ac:dyDescent="0.3">
      <c r="A895" s="82"/>
      <c r="B895" s="81"/>
      <c r="H895" s="83"/>
    </row>
    <row r="896" spans="1:8" x14ac:dyDescent="0.3">
      <c r="A896" s="82"/>
      <c r="B896" s="81"/>
      <c r="H896" s="83"/>
    </row>
    <row r="897" spans="1:8" x14ac:dyDescent="0.3">
      <c r="A897" s="82"/>
      <c r="B897" s="81"/>
      <c r="H897" s="83"/>
    </row>
    <row r="898" spans="1:8" x14ac:dyDescent="0.3">
      <c r="A898" s="82"/>
      <c r="B898" s="81"/>
      <c r="H898" s="83"/>
    </row>
    <row r="899" spans="1:8" x14ac:dyDescent="0.3">
      <c r="A899" s="82"/>
      <c r="B899" s="81"/>
      <c r="H899" s="83"/>
    </row>
    <row r="900" spans="1:8" x14ac:dyDescent="0.3">
      <c r="A900" s="82"/>
      <c r="B900" s="81"/>
      <c r="H900" s="83"/>
    </row>
    <row r="901" spans="1:8" x14ac:dyDescent="0.3">
      <c r="A901" s="82"/>
      <c r="B901" s="81"/>
      <c r="H901" s="83"/>
    </row>
    <row r="902" spans="1:8" x14ac:dyDescent="0.3">
      <c r="A902" s="82"/>
      <c r="B902" s="81"/>
      <c r="H902" s="83"/>
    </row>
    <row r="903" spans="1:8" x14ac:dyDescent="0.3">
      <c r="A903" s="82"/>
      <c r="B903" s="81"/>
      <c r="H903" s="83"/>
    </row>
    <row r="904" spans="1:8" x14ac:dyDescent="0.3">
      <c r="A904" s="82"/>
      <c r="B904" s="81"/>
      <c r="H904" s="83"/>
    </row>
    <row r="905" spans="1:8" x14ac:dyDescent="0.3">
      <c r="A905" s="82"/>
      <c r="B905" s="81"/>
      <c r="H905" s="83"/>
    </row>
    <row r="906" spans="1:8" x14ac:dyDescent="0.3">
      <c r="A906" s="82"/>
      <c r="B906" s="81"/>
      <c r="H906" s="83"/>
    </row>
    <row r="907" spans="1:8" x14ac:dyDescent="0.3">
      <c r="A907" s="82"/>
      <c r="B907" s="81"/>
      <c r="H907" s="83"/>
    </row>
    <row r="908" spans="1:8" x14ac:dyDescent="0.3">
      <c r="A908" s="82"/>
      <c r="B908" s="81"/>
      <c r="H908" s="83"/>
    </row>
    <row r="909" spans="1:8" x14ac:dyDescent="0.3">
      <c r="A909" s="82"/>
      <c r="B909" s="81"/>
      <c r="H909" s="83"/>
    </row>
    <row r="910" spans="1:8" x14ac:dyDescent="0.3">
      <c r="A910" s="82"/>
      <c r="B910" s="81"/>
      <c r="H910" s="83"/>
    </row>
    <row r="911" spans="1:8" x14ac:dyDescent="0.3">
      <c r="A911" s="82"/>
      <c r="B911" s="81"/>
      <c r="H911" s="83"/>
    </row>
    <row r="912" spans="1:8" x14ac:dyDescent="0.3">
      <c r="A912" s="82"/>
      <c r="B912" s="81"/>
      <c r="H912" s="83"/>
    </row>
    <row r="913" spans="1:8" x14ac:dyDescent="0.3">
      <c r="A913" s="82"/>
      <c r="B913" s="81"/>
      <c r="H913" s="83"/>
    </row>
    <row r="914" spans="1:8" x14ac:dyDescent="0.3">
      <c r="A914" s="82"/>
      <c r="B914" s="81"/>
      <c r="H914" s="83"/>
    </row>
    <row r="915" spans="1:8" x14ac:dyDescent="0.3">
      <c r="A915" s="82"/>
      <c r="B915" s="81"/>
      <c r="H915" s="83"/>
    </row>
    <row r="916" spans="1:8" x14ac:dyDescent="0.3">
      <c r="A916" s="82"/>
      <c r="B916" s="81"/>
      <c r="H916" s="83"/>
    </row>
    <row r="917" spans="1:8" x14ac:dyDescent="0.3">
      <c r="A917" s="82"/>
      <c r="B917" s="81"/>
      <c r="H917" s="83"/>
    </row>
    <row r="918" spans="1:8" x14ac:dyDescent="0.3">
      <c r="A918" s="82"/>
      <c r="B918" s="81"/>
      <c r="H918" s="83"/>
    </row>
    <row r="919" spans="1:8" x14ac:dyDescent="0.3">
      <c r="A919" s="82"/>
      <c r="B919" s="81"/>
      <c r="H919" s="83"/>
    </row>
    <row r="920" spans="1:8" x14ac:dyDescent="0.3">
      <c r="A920" s="82"/>
      <c r="B920" s="81"/>
      <c r="H920" s="83"/>
    </row>
    <row r="921" spans="1:8" x14ac:dyDescent="0.3">
      <c r="A921" s="82"/>
      <c r="B921" s="81"/>
      <c r="H921" s="83"/>
    </row>
    <row r="922" spans="1:8" x14ac:dyDescent="0.3">
      <c r="A922" s="82"/>
      <c r="B922" s="81"/>
      <c r="H922" s="83"/>
    </row>
    <row r="923" spans="1:8" x14ac:dyDescent="0.3">
      <c r="A923" s="82"/>
      <c r="B923" s="81"/>
      <c r="H923" s="83"/>
    </row>
    <row r="924" spans="1:8" x14ac:dyDescent="0.3">
      <c r="A924" s="82"/>
      <c r="B924" s="81"/>
      <c r="H924" s="83"/>
    </row>
    <row r="925" spans="1:8" x14ac:dyDescent="0.3">
      <c r="A925" s="82"/>
      <c r="B925" s="81"/>
      <c r="H925" s="83"/>
    </row>
    <row r="926" spans="1:8" x14ac:dyDescent="0.3">
      <c r="A926" s="82"/>
      <c r="B926" s="81"/>
      <c r="H926" s="83"/>
    </row>
    <row r="927" spans="1:8" x14ac:dyDescent="0.3">
      <c r="A927" s="82"/>
      <c r="B927" s="81"/>
      <c r="H927" s="83"/>
    </row>
    <row r="928" spans="1:8" x14ac:dyDescent="0.3">
      <c r="A928" s="82"/>
      <c r="B928" s="81"/>
      <c r="H928" s="83"/>
    </row>
    <row r="929" spans="1:8" x14ac:dyDescent="0.3">
      <c r="A929" s="82"/>
      <c r="B929" s="81"/>
      <c r="H929" s="83"/>
    </row>
    <row r="930" spans="1:8" x14ac:dyDescent="0.3">
      <c r="A930" s="82"/>
      <c r="B930" s="81"/>
      <c r="H930" s="83"/>
    </row>
    <row r="931" spans="1:8" x14ac:dyDescent="0.3">
      <c r="A931" s="82"/>
      <c r="B931" s="81"/>
      <c r="H931" s="83"/>
    </row>
    <row r="932" spans="1:8" x14ac:dyDescent="0.3">
      <c r="A932" s="82"/>
      <c r="B932" s="81"/>
      <c r="H932" s="83"/>
    </row>
    <row r="933" spans="1:8" x14ac:dyDescent="0.3">
      <c r="A933" s="82"/>
      <c r="B933" s="81"/>
      <c r="H933" s="83"/>
    </row>
    <row r="934" spans="1:8" x14ac:dyDescent="0.3">
      <c r="A934" s="82"/>
      <c r="B934" s="81"/>
      <c r="H934" s="83"/>
    </row>
    <row r="935" spans="1:8" x14ac:dyDescent="0.3">
      <c r="A935" s="82"/>
      <c r="B935" s="81"/>
      <c r="H935" s="83"/>
    </row>
    <row r="936" spans="1:8" x14ac:dyDescent="0.3">
      <c r="A936" s="82"/>
      <c r="B936" s="81"/>
      <c r="H936" s="83"/>
    </row>
    <row r="937" spans="1:8" x14ac:dyDescent="0.3">
      <c r="A937" s="82"/>
      <c r="B937" s="81"/>
      <c r="H937" s="83"/>
    </row>
    <row r="938" spans="1:8" x14ac:dyDescent="0.3">
      <c r="A938" s="82"/>
      <c r="B938" s="81"/>
      <c r="H938" s="83"/>
    </row>
    <row r="939" spans="1:8" x14ac:dyDescent="0.3">
      <c r="A939" s="82"/>
      <c r="B939" s="81"/>
      <c r="H939" s="83"/>
    </row>
    <row r="940" spans="1:8" x14ac:dyDescent="0.3">
      <c r="A940" s="82"/>
      <c r="B940" s="81"/>
      <c r="H940" s="83"/>
    </row>
    <row r="941" spans="1:8" x14ac:dyDescent="0.3">
      <c r="A941" s="82"/>
      <c r="B941" s="81"/>
      <c r="H941" s="83"/>
    </row>
    <row r="942" spans="1:8" x14ac:dyDescent="0.3">
      <c r="A942" s="82"/>
      <c r="B942" s="81"/>
      <c r="H942" s="83"/>
    </row>
    <row r="943" spans="1:8" x14ac:dyDescent="0.3">
      <c r="A943" s="82"/>
      <c r="B943" s="81"/>
      <c r="H943" s="83"/>
    </row>
    <row r="944" spans="1:8" x14ac:dyDescent="0.3">
      <c r="A944" s="82"/>
      <c r="B944" s="81"/>
      <c r="H944" s="83"/>
    </row>
    <row r="945" spans="1:8" x14ac:dyDescent="0.3">
      <c r="A945" s="82"/>
      <c r="B945" s="81"/>
      <c r="H945" s="83"/>
    </row>
    <row r="946" spans="1:8" x14ac:dyDescent="0.3">
      <c r="A946" s="82"/>
      <c r="B946" s="81"/>
      <c r="H946" s="83"/>
    </row>
    <row r="947" spans="1:8" x14ac:dyDescent="0.3">
      <c r="A947" s="82"/>
      <c r="B947" s="81"/>
      <c r="H947" s="83"/>
    </row>
    <row r="948" spans="1:8" x14ac:dyDescent="0.3">
      <c r="A948" s="82"/>
      <c r="B948" s="81"/>
      <c r="H948" s="83"/>
    </row>
    <row r="949" spans="1:8" x14ac:dyDescent="0.3">
      <c r="A949" s="82"/>
      <c r="B949" s="81"/>
      <c r="H949" s="83"/>
    </row>
    <row r="950" spans="1:8" x14ac:dyDescent="0.3">
      <c r="A950" s="82"/>
      <c r="B950" s="81"/>
      <c r="H950" s="83"/>
    </row>
    <row r="951" spans="1:8" x14ac:dyDescent="0.3">
      <c r="A951" s="82"/>
      <c r="B951" s="81"/>
      <c r="H951" s="83"/>
    </row>
    <row r="952" spans="1:8" x14ac:dyDescent="0.3">
      <c r="A952" s="82"/>
      <c r="B952" s="81"/>
      <c r="H952" s="83"/>
    </row>
    <row r="953" spans="1:8" x14ac:dyDescent="0.3">
      <c r="A953" s="82"/>
      <c r="B953" s="81"/>
      <c r="H953" s="83"/>
    </row>
    <row r="954" spans="1:8" x14ac:dyDescent="0.3">
      <c r="A954" s="82"/>
      <c r="B954" s="81"/>
      <c r="H954" s="83"/>
    </row>
    <row r="955" spans="1:8" x14ac:dyDescent="0.3">
      <c r="A955" s="82"/>
      <c r="B955" s="81"/>
      <c r="H955" s="83"/>
    </row>
    <row r="956" spans="1:8" x14ac:dyDescent="0.3">
      <c r="A956" s="82"/>
      <c r="B956" s="81"/>
      <c r="H956" s="83"/>
    </row>
    <row r="957" spans="1:8" x14ac:dyDescent="0.3">
      <c r="A957" s="82"/>
      <c r="B957" s="81"/>
      <c r="H957" s="83"/>
    </row>
    <row r="958" spans="1:8" x14ac:dyDescent="0.3">
      <c r="A958" s="82"/>
      <c r="B958" s="81"/>
      <c r="H958" s="83"/>
    </row>
    <row r="959" spans="1:8" x14ac:dyDescent="0.3">
      <c r="A959" s="82"/>
      <c r="B959" s="81"/>
      <c r="H959" s="83"/>
    </row>
    <row r="960" spans="1:8" x14ac:dyDescent="0.3">
      <c r="A960" s="82"/>
      <c r="B960" s="81"/>
      <c r="H960" s="83"/>
    </row>
    <row r="961" spans="1:8" x14ac:dyDescent="0.3">
      <c r="A961" s="82"/>
      <c r="B961" s="81"/>
      <c r="H961" s="83"/>
    </row>
    <row r="962" spans="1:8" x14ac:dyDescent="0.3">
      <c r="A962" s="82"/>
      <c r="B962" s="81"/>
      <c r="H962" s="83"/>
    </row>
    <row r="963" spans="1:8" x14ac:dyDescent="0.3">
      <c r="A963" s="82"/>
      <c r="B963" s="81"/>
      <c r="H963" s="83"/>
    </row>
    <row r="964" spans="1:8" x14ac:dyDescent="0.3">
      <c r="A964" s="82"/>
      <c r="B964" s="81"/>
      <c r="H964" s="83"/>
    </row>
    <row r="965" spans="1:8" x14ac:dyDescent="0.3">
      <c r="A965" s="82"/>
      <c r="B965" s="81"/>
      <c r="H965" s="83"/>
    </row>
    <row r="966" spans="1:8" x14ac:dyDescent="0.3">
      <c r="A966" s="82"/>
      <c r="B966" s="81"/>
      <c r="H966" s="83"/>
    </row>
    <row r="967" spans="1:8" x14ac:dyDescent="0.3">
      <c r="A967" s="82"/>
      <c r="B967" s="81"/>
      <c r="H967" s="83"/>
    </row>
    <row r="968" spans="1:8" x14ac:dyDescent="0.3">
      <c r="A968" s="82"/>
      <c r="B968" s="81"/>
      <c r="H968" s="83"/>
    </row>
    <row r="969" spans="1:8" x14ac:dyDescent="0.3">
      <c r="A969" s="82"/>
      <c r="B969" s="81"/>
      <c r="H969" s="83"/>
    </row>
    <row r="970" spans="1:8" x14ac:dyDescent="0.3">
      <c r="A970" s="82"/>
      <c r="B970" s="81"/>
      <c r="H970" s="83"/>
    </row>
    <row r="971" spans="1:8" x14ac:dyDescent="0.3">
      <c r="A971" s="82"/>
      <c r="B971" s="81"/>
      <c r="H971" s="83"/>
    </row>
    <row r="972" spans="1:8" x14ac:dyDescent="0.3">
      <c r="A972" s="82"/>
      <c r="B972" s="81"/>
      <c r="H972" s="83"/>
    </row>
    <row r="973" spans="1:8" x14ac:dyDescent="0.3">
      <c r="A973" s="82"/>
      <c r="B973" s="81"/>
      <c r="H973" s="83"/>
    </row>
    <row r="974" spans="1:8" x14ac:dyDescent="0.3">
      <c r="A974" s="82"/>
      <c r="B974" s="81"/>
      <c r="H974" s="83"/>
    </row>
    <row r="975" spans="1:8" x14ac:dyDescent="0.3">
      <c r="A975" s="82"/>
      <c r="B975" s="81"/>
      <c r="H975" s="83"/>
    </row>
    <row r="976" spans="1:8" x14ac:dyDescent="0.3">
      <c r="A976" s="82"/>
      <c r="B976" s="81"/>
      <c r="H976" s="83"/>
    </row>
    <row r="977" spans="1:8" x14ac:dyDescent="0.3">
      <c r="A977" s="82"/>
      <c r="B977" s="81"/>
      <c r="H977" s="83"/>
    </row>
    <row r="978" spans="1:8" x14ac:dyDescent="0.3">
      <c r="A978" s="82"/>
      <c r="B978" s="81"/>
      <c r="H978" s="83"/>
    </row>
    <row r="979" spans="1:8" x14ac:dyDescent="0.3">
      <c r="A979" s="82"/>
      <c r="B979" s="81"/>
      <c r="H979" s="83"/>
    </row>
    <row r="980" spans="1:8" x14ac:dyDescent="0.3">
      <c r="A980" s="82"/>
      <c r="B980" s="81"/>
      <c r="H980" s="83"/>
    </row>
    <row r="981" spans="1:8" x14ac:dyDescent="0.3">
      <c r="A981" s="82"/>
      <c r="B981" s="81"/>
      <c r="H981" s="83"/>
    </row>
    <row r="982" spans="1:8" x14ac:dyDescent="0.3">
      <c r="A982" s="82"/>
      <c r="B982" s="81"/>
      <c r="H982" s="83"/>
    </row>
    <row r="983" spans="1:8" x14ac:dyDescent="0.3">
      <c r="A983" s="82"/>
      <c r="B983" s="81"/>
      <c r="H983" s="83"/>
    </row>
    <row r="984" spans="1:8" x14ac:dyDescent="0.3">
      <c r="A984" s="82"/>
      <c r="B984" s="81"/>
      <c r="H984" s="83"/>
    </row>
    <row r="985" spans="1:8" x14ac:dyDescent="0.3">
      <c r="A985" s="82"/>
      <c r="B985" s="81"/>
      <c r="H985" s="83"/>
    </row>
    <row r="986" spans="1:8" x14ac:dyDescent="0.3">
      <c r="A986" s="82"/>
      <c r="B986" s="81"/>
      <c r="H986" s="83"/>
    </row>
    <row r="987" spans="1:8" x14ac:dyDescent="0.3">
      <c r="A987" s="82"/>
      <c r="B987" s="81"/>
      <c r="H987" s="83"/>
    </row>
    <row r="988" spans="1:8" x14ac:dyDescent="0.3">
      <c r="A988" s="82"/>
      <c r="B988" s="81"/>
      <c r="H988" s="83"/>
    </row>
    <row r="989" spans="1:8" x14ac:dyDescent="0.3">
      <c r="A989" s="82"/>
      <c r="B989" s="81"/>
      <c r="H989" s="83"/>
    </row>
    <row r="990" spans="1:8" x14ac:dyDescent="0.3">
      <c r="A990" s="82"/>
      <c r="B990" s="81"/>
      <c r="H990" s="83"/>
    </row>
    <row r="991" spans="1:8" x14ac:dyDescent="0.3">
      <c r="A991" s="82"/>
      <c r="B991" s="81"/>
      <c r="H991" s="83"/>
    </row>
    <row r="992" spans="1:8" x14ac:dyDescent="0.3">
      <c r="A992" s="82"/>
      <c r="B992" s="81"/>
      <c r="H992" s="83"/>
    </row>
    <row r="993" spans="1:8" x14ac:dyDescent="0.3">
      <c r="A993" s="82"/>
      <c r="B993" s="81"/>
      <c r="H993" s="83"/>
    </row>
    <row r="994" spans="1:8" x14ac:dyDescent="0.3">
      <c r="A994" s="82"/>
      <c r="B994" s="81"/>
      <c r="H994" s="83"/>
    </row>
    <row r="995" spans="1:8" x14ac:dyDescent="0.3">
      <c r="A995" s="82"/>
      <c r="B995" s="81"/>
      <c r="H995" s="83"/>
    </row>
    <row r="996" spans="1:8" x14ac:dyDescent="0.3">
      <c r="A996" s="82"/>
      <c r="B996" s="81"/>
      <c r="H996" s="83"/>
    </row>
    <row r="997" spans="1:8" x14ac:dyDescent="0.3">
      <c r="A997" s="82"/>
      <c r="B997" s="81"/>
      <c r="H997" s="83"/>
    </row>
    <row r="998" spans="1:8" x14ac:dyDescent="0.3">
      <c r="A998" s="82"/>
      <c r="B998" s="81"/>
      <c r="H998" s="83"/>
    </row>
    <row r="999" spans="1:8" x14ac:dyDescent="0.3">
      <c r="A999" s="82"/>
      <c r="B999" s="81"/>
      <c r="H999" s="83"/>
    </row>
    <row r="1000" spans="1:8" x14ac:dyDescent="0.3">
      <c r="A1000" s="82"/>
      <c r="B1000" s="81"/>
      <c r="H1000" s="83"/>
    </row>
    <row r="1001" spans="1:8" x14ac:dyDescent="0.3">
      <c r="A1001" s="82"/>
      <c r="B1001" s="81"/>
      <c r="H1001" s="83"/>
    </row>
    <row r="1002" spans="1:8" x14ac:dyDescent="0.3">
      <c r="A1002" s="82"/>
      <c r="B1002" s="81"/>
      <c r="H1002" s="83"/>
    </row>
    <row r="1003" spans="1:8" x14ac:dyDescent="0.3">
      <c r="A1003" s="82"/>
      <c r="B1003" s="81"/>
      <c r="H1003" s="83"/>
    </row>
    <row r="1004" spans="1:8" x14ac:dyDescent="0.3">
      <c r="A1004" s="82"/>
      <c r="B1004" s="81"/>
      <c r="H1004" s="83"/>
    </row>
    <row r="1005" spans="1:8" x14ac:dyDescent="0.3">
      <c r="A1005" s="82"/>
      <c r="B1005" s="81"/>
      <c r="H1005" s="83"/>
    </row>
    <row r="1006" spans="1:8" x14ac:dyDescent="0.3">
      <c r="A1006" s="82"/>
      <c r="B1006" s="81"/>
      <c r="H1006" s="83"/>
    </row>
    <row r="1007" spans="1:8" x14ac:dyDescent="0.3">
      <c r="A1007" s="82"/>
      <c r="B1007" s="81"/>
      <c r="H1007" s="83"/>
    </row>
    <row r="1008" spans="1:8" x14ac:dyDescent="0.3">
      <c r="A1008" s="82"/>
      <c r="B1008" s="81"/>
      <c r="H1008" s="83"/>
    </row>
    <row r="1009" spans="1:8" x14ac:dyDescent="0.3">
      <c r="A1009" s="82"/>
      <c r="B1009" s="81"/>
      <c r="H1009" s="83"/>
    </row>
    <row r="1010" spans="1:8" x14ac:dyDescent="0.3">
      <c r="A1010" s="82"/>
      <c r="B1010" s="81"/>
      <c r="H1010" s="83"/>
    </row>
    <row r="1011" spans="1:8" x14ac:dyDescent="0.3">
      <c r="A1011" s="82"/>
      <c r="B1011" s="81"/>
      <c r="H1011" s="83"/>
    </row>
    <row r="1012" spans="1:8" x14ac:dyDescent="0.3">
      <c r="A1012" s="82"/>
      <c r="B1012" s="81"/>
      <c r="H1012" s="83"/>
    </row>
    <row r="1013" spans="1:8" x14ac:dyDescent="0.3">
      <c r="A1013" s="82"/>
      <c r="B1013" s="81"/>
      <c r="H1013" s="83"/>
    </row>
    <row r="1014" spans="1:8" x14ac:dyDescent="0.3">
      <c r="A1014" s="82"/>
      <c r="B1014" s="81"/>
      <c r="H1014" s="83"/>
    </row>
    <row r="1015" spans="1:8" x14ac:dyDescent="0.3">
      <c r="A1015" s="82"/>
      <c r="B1015" s="81"/>
      <c r="H1015" s="83"/>
    </row>
    <row r="1016" spans="1:8" x14ac:dyDescent="0.3">
      <c r="A1016" s="82"/>
      <c r="B1016" s="81"/>
      <c r="H1016" s="83"/>
    </row>
    <row r="1017" spans="1:8" x14ac:dyDescent="0.3">
      <c r="A1017" s="82"/>
      <c r="B1017" s="81"/>
      <c r="H1017" s="83"/>
    </row>
    <row r="1018" spans="1:8" x14ac:dyDescent="0.3">
      <c r="A1018" s="82"/>
      <c r="B1018" s="81"/>
      <c r="H1018" s="83"/>
    </row>
    <row r="1019" spans="1:8" x14ac:dyDescent="0.3">
      <c r="A1019" s="82"/>
      <c r="B1019" s="81"/>
      <c r="H1019" s="83"/>
    </row>
    <row r="1020" spans="1:8" x14ac:dyDescent="0.3">
      <c r="A1020" s="82"/>
      <c r="B1020" s="81"/>
      <c r="H1020" s="83"/>
    </row>
    <row r="1021" spans="1:8" x14ac:dyDescent="0.3">
      <c r="A1021" s="82"/>
      <c r="B1021" s="81"/>
      <c r="H1021" s="83"/>
    </row>
    <row r="1022" spans="1:8" x14ac:dyDescent="0.3">
      <c r="A1022" s="82"/>
      <c r="B1022" s="81"/>
      <c r="H1022" s="83"/>
    </row>
    <row r="1023" spans="1:8" x14ac:dyDescent="0.3">
      <c r="A1023" s="82"/>
      <c r="B1023" s="81"/>
      <c r="H1023" s="83"/>
    </row>
    <row r="1024" spans="1:8" x14ac:dyDescent="0.3">
      <c r="A1024" s="82"/>
      <c r="B1024" s="81"/>
      <c r="H1024" s="83"/>
    </row>
    <row r="1025" spans="1:8" x14ac:dyDescent="0.3">
      <c r="A1025" s="82"/>
      <c r="B1025" s="81"/>
      <c r="H1025" s="83"/>
    </row>
    <row r="1026" spans="1:8" x14ac:dyDescent="0.3">
      <c r="A1026" s="82"/>
      <c r="B1026" s="81"/>
      <c r="H1026" s="83"/>
    </row>
    <row r="1027" spans="1:8" x14ac:dyDescent="0.3">
      <c r="A1027" s="82"/>
      <c r="B1027" s="81"/>
      <c r="H1027" s="83"/>
    </row>
    <row r="1028" spans="1:8" x14ac:dyDescent="0.3">
      <c r="A1028" s="82"/>
      <c r="B1028" s="81"/>
      <c r="H1028" s="83"/>
    </row>
    <row r="1029" spans="1:8" x14ac:dyDescent="0.3">
      <c r="A1029" s="82"/>
      <c r="B1029" s="81"/>
      <c r="H1029" s="83"/>
    </row>
    <row r="1030" spans="1:8" x14ac:dyDescent="0.3">
      <c r="A1030" s="82"/>
      <c r="B1030" s="81"/>
      <c r="H1030" s="83"/>
    </row>
    <row r="1031" spans="1:8" x14ac:dyDescent="0.3">
      <c r="A1031" s="82"/>
      <c r="B1031" s="81"/>
      <c r="H1031" s="83"/>
    </row>
    <row r="1032" spans="1:8" x14ac:dyDescent="0.3">
      <c r="A1032" s="82"/>
      <c r="B1032" s="81"/>
      <c r="H1032" s="83"/>
    </row>
    <row r="1033" spans="1:8" x14ac:dyDescent="0.3">
      <c r="A1033" s="82"/>
      <c r="B1033" s="81"/>
      <c r="H1033" s="83"/>
    </row>
    <row r="1034" spans="1:8" x14ac:dyDescent="0.3">
      <c r="A1034" s="82"/>
      <c r="B1034" s="81"/>
      <c r="H1034" s="83"/>
    </row>
    <row r="1035" spans="1:8" x14ac:dyDescent="0.3">
      <c r="A1035" s="82"/>
      <c r="B1035" s="81"/>
      <c r="H1035" s="83"/>
    </row>
    <row r="1036" spans="1:8" x14ac:dyDescent="0.3">
      <c r="A1036" s="82"/>
      <c r="B1036" s="81"/>
      <c r="H1036" s="83"/>
    </row>
    <row r="1037" spans="1:8" x14ac:dyDescent="0.3">
      <c r="A1037" s="82"/>
      <c r="B1037" s="81"/>
      <c r="H1037" s="83"/>
    </row>
    <row r="1038" spans="1:8" x14ac:dyDescent="0.3">
      <c r="A1038" s="82"/>
      <c r="B1038" s="81"/>
      <c r="H1038" s="83"/>
    </row>
    <row r="1039" spans="1:8" x14ac:dyDescent="0.3">
      <c r="A1039" s="82"/>
      <c r="B1039" s="81"/>
      <c r="H1039" s="83"/>
    </row>
    <row r="1040" spans="1:8" x14ac:dyDescent="0.3">
      <c r="A1040" s="82"/>
      <c r="B1040" s="81"/>
      <c r="H1040" s="83"/>
    </row>
    <row r="1041" spans="1:8" x14ac:dyDescent="0.3">
      <c r="A1041" s="82"/>
      <c r="B1041" s="81"/>
      <c r="H1041" s="83"/>
    </row>
    <row r="1042" spans="1:8" x14ac:dyDescent="0.3">
      <c r="A1042" s="82"/>
      <c r="B1042" s="81"/>
      <c r="H1042" s="83"/>
    </row>
    <row r="1043" spans="1:8" x14ac:dyDescent="0.3">
      <c r="A1043" s="82"/>
      <c r="B1043" s="81"/>
      <c r="H1043" s="83"/>
    </row>
    <row r="1044" spans="1:8" x14ac:dyDescent="0.3">
      <c r="A1044" s="82"/>
      <c r="B1044" s="81"/>
      <c r="H1044" s="83"/>
    </row>
    <row r="1045" spans="1:8" x14ac:dyDescent="0.3">
      <c r="A1045" s="82"/>
      <c r="B1045" s="81"/>
      <c r="H1045" s="83"/>
    </row>
    <row r="1046" spans="1:8" x14ac:dyDescent="0.3">
      <c r="A1046" s="82"/>
      <c r="B1046" s="81"/>
      <c r="H1046" s="83"/>
    </row>
    <row r="1047" spans="1:8" x14ac:dyDescent="0.3">
      <c r="A1047" s="82"/>
      <c r="B1047" s="81"/>
      <c r="H1047" s="83"/>
    </row>
    <row r="1048" spans="1:8" x14ac:dyDescent="0.3">
      <c r="A1048" s="82"/>
      <c r="B1048" s="81"/>
      <c r="H1048" s="83"/>
    </row>
    <row r="1049" spans="1:8" x14ac:dyDescent="0.3">
      <c r="A1049" s="82"/>
      <c r="B1049" s="81"/>
      <c r="H1049" s="83"/>
    </row>
    <row r="1050" spans="1:8" x14ac:dyDescent="0.3">
      <c r="A1050" s="82"/>
      <c r="B1050" s="81"/>
      <c r="H1050" s="83"/>
    </row>
    <row r="1051" spans="1:8" x14ac:dyDescent="0.3">
      <c r="A1051" s="82"/>
      <c r="B1051" s="81"/>
      <c r="H1051" s="83"/>
    </row>
    <row r="1052" spans="1:8" x14ac:dyDescent="0.3">
      <c r="A1052" s="82"/>
      <c r="B1052" s="81"/>
      <c r="H1052" s="83"/>
    </row>
    <row r="1053" spans="1:8" x14ac:dyDescent="0.3">
      <c r="A1053" s="82"/>
      <c r="B1053" s="81"/>
      <c r="H1053" s="83"/>
    </row>
    <row r="1054" spans="1:8" x14ac:dyDescent="0.3">
      <c r="A1054" s="82"/>
      <c r="B1054" s="81"/>
      <c r="H1054" s="83"/>
    </row>
    <row r="1055" spans="1:8" x14ac:dyDescent="0.3">
      <c r="A1055" s="82"/>
      <c r="B1055" s="81"/>
      <c r="H1055" s="83"/>
    </row>
    <row r="1056" spans="1:8" x14ac:dyDescent="0.3">
      <c r="A1056" s="82"/>
      <c r="B1056" s="81"/>
      <c r="H1056" s="83"/>
    </row>
    <row r="1057" spans="1:8" x14ac:dyDescent="0.3">
      <c r="A1057" s="82"/>
      <c r="B1057" s="81"/>
      <c r="H1057" s="83"/>
    </row>
    <row r="1058" spans="1:8" x14ac:dyDescent="0.3">
      <c r="A1058" s="82"/>
      <c r="B1058" s="81"/>
      <c r="H1058" s="83"/>
    </row>
    <row r="1059" spans="1:8" x14ac:dyDescent="0.3">
      <c r="A1059" s="82"/>
      <c r="B1059" s="81"/>
      <c r="H1059" s="83"/>
    </row>
    <row r="1060" spans="1:8" x14ac:dyDescent="0.3">
      <c r="A1060" s="82"/>
      <c r="B1060" s="81"/>
      <c r="H1060" s="83"/>
    </row>
    <row r="1061" spans="1:8" x14ac:dyDescent="0.3">
      <c r="A1061" s="82"/>
      <c r="B1061" s="81"/>
      <c r="H1061" s="83"/>
    </row>
    <row r="1062" spans="1:8" x14ac:dyDescent="0.3">
      <c r="A1062" s="82"/>
      <c r="B1062" s="81"/>
      <c r="H1062" s="83"/>
    </row>
    <row r="1063" spans="1:8" x14ac:dyDescent="0.3">
      <c r="A1063" s="82"/>
      <c r="B1063" s="81"/>
      <c r="H1063" s="83"/>
    </row>
    <row r="1064" spans="1:8" x14ac:dyDescent="0.3">
      <c r="A1064" s="82"/>
      <c r="B1064" s="81"/>
      <c r="H1064" s="83"/>
    </row>
    <row r="1065" spans="1:8" x14ac:dyDescent="0.3">
      <c r="A1065" s="82"/>
      <c r="B1065" s="81"/>
      <c r="H1065" s="83"/>
    </row>
    <row r="1066" spans="1:8" x14ac:dyDescent="0.3">
      <c r="A1066" s="82"/>
      <c r="B1066" s="81"/>
      <c r="H1066" s="83"/>
    </row>
    <row r="1067" spans="1:8" x14ac:dyDescent="0.3">
      <c r="A1067" s="82"/>
      <c r="B1067" s="81"/>
      <c r="H1067" s="83"/>
    </row>
    <row r="1068" spans="1:8" x14ac:dyDescent="0.3">
      <c r="A1068" s="82"/>
      <c r="B1068" s="81"/>
      <c r="H1068" s="83"/>
    </row>
    <row r="1069" spans="1:8" x14ac:dyDescent="0.3">
      <c r="A1069" s="82"/>
      <c r="B1069" s="81"/>
      <c r="H1069" s="83"/>
    </row>
    <row r="1070" spans="1:8" x14ac:dyDescent="0.3">
      <c r="A1070" s="82"/>
      <c r="B1070" s="81"/>
      <c r="H1070" s="83"/>
    </row>
    <row r="1071" spans="1:8" x14ac:dyDescent="0.3">
      <c r="A1071" s="82"/>
      <c r="B1071" s="81"/>
      <c r="H1071" s="83"/>
    </row>
    <row r="1072" spans="1:8" x14ac:dyDescent="0.3">
      <c r="A1072" s="82"/>
      <c r="B1072" s="81"/>
      <c r="H1072" s="83"/>
    </row>
    <row r="1073" spans="1:8" x14ac:dyDescent="0.3">
      <c r="A1073" s="82"/>
      <c r="B1073" s="81"/>
      <c r="H1073" s="83"/>
    </row>
    <row r="1074" spans="1:8" x14ac:dyDescent="0.3">
      <c r="A1074" s="82"/>
      <c r="B1074" s="81"/>
      <c r="H1074" s="83"/>
    </row>
    <row r="1075" spans="1:8" x14ac:dyDescent="0.3">
      <c r="A1075" s="82"/>
      <c r="B1075" s="81"/>
      <c r="H1075" s="83"/>
    </row>
    <row r="1076" spans="1:8" x14ac:dyDescent="0.3">
      <c r="A1076" s="82"/>
      <c r="B1076" s="81"/>
      <c r="H1076" s="83"/>
    </row>
    <row r="1077" spans="1:8" x14ac:dyDescent="0.3">
      <c r="A1077" s="82"/>
      <c r="B1077" s="81"/>
      <c r="H1077" s="83"/>
    </row>
    <row r="1078" spans="1:8" x14ac:dyDescent="0.3">
      <c r="A1078" s="82"/>
      <c r="B1078" s="81"/>
      <c r="H1078" s="83"/>
    </row>
    <row r="1079" spans="1:8" x14ac:dyDescent="0.3">
      <c r="A1079" s="82"/>
      <c r="B1079" s="81"/>
      <c r="H1079" s="83"/>
    </row>
    <row r="1080" spans="1:8" x14ac:dyDescent="0.3">
      <c r="A1080" s="82"/>
      <c r="B1080" s="81"/>
      <c r="H1080" s="83"/>
    </row>
    <row r="1081" spans="1:8" x14ac:dyDescent="0.3">
      <c r="A1081" s="82"/>
      <c r="B1081" s="81"/>
      <c r="H1081" s="83"/>
    </row>
    <row r="1082" spans="1:8" x14ac:dyDescent="0.3">
      <c r="A1082" s="82"/>
      <c r="B1082" s="81"/>
      <c r="H1082" s="83"/>
    </row>
    <row r="1083" spans="1:8" x14ac:dyDescent="0.3">
      <c r="A1083" s="82"/>
      <c r="B1083" s="81"/>
      <c r="H1083" s="83"/>
    </row>
    <row r="1084" spans="1:8" x14ac:dyDescent="0.3">
      <c r="A1084" s="82"/>
      <c r="B1084" s="81"/>
      <c r="H1084" s="83"/>
    </row>
    <row r="1085" spans="1:8" x14ac:dyDescent="0.3">
      <c r="A1085" s="82"/>
      <c r="B1085" s="81"/>
      <c r="H1085" s="83"/>
    </row>
    <row r="1086" spans="1:8" x14ac:dyDescent="0.3">
      <c r="A1086" s="82"/>
      <c r="B1086" s="81"/>
      <c r="H1086" s="83"/>
    </row>
    <row r="1087" spans="1:8" x14ac:dyDescent="0.3">
      <c r="A1087" s="82"/>
      <c r="B1087" s="81"/>
      <c r="H1087" s="83"/>
    </row>
    <row r="1088" spans="1:8" x14ac:dyDescent="0.3">
      <c r="A1088" s="82"/>
      <c r="B1088" s="81"/>
      <c r="H1088" s="83"/>
    </row>
    <row r="1089" spans="1:8" x14ac:dyDescent="0.3">
      <c r="A1089" s="82"/>
      <c r="B1089" s="81"/>
      <c r="H1089" s="83"/>
    </row>
    <row r="1090" spans="1:8" x14ac:dyDescent="0.3">
      <c r="A1090" s="82"/>
      <c r="B1090" s="81"/>
      <c r="H1090" s="83"/>
    </row>
    <row r="1091" spans="1:8" x14ac:dyDescent="0.3">
      <c r="A1091" s="82"/>
      <c r="B1091" s="81"/>
      <c r="H1091" s="83"/>
    </row>
    <row r="1092" spans="1:8" x14ac:dyDescent="0.3">
      <c r="A1092" s="82"/>
      <c r="B1092" s="81"/>
      <c r="H1092" s="83"/>
    </row>
    <row r="1093" spans="1:8" x14ac:dyDescent="0.3">
      <c r="A1093" s="82"/>
      <c r="B1093" s="81"/>
      <c r="H1093" s="83"/>
    </row>
    <row r="1094" spans="1:8" x14ac:dyDescent="0.3">
      <c r="A1094" s="82"/>
      <c r="B1094" s="81"/>
      <c r="H1094" s="83"/>
    </row>
    <row r="1095" spans="1:8" x14ac:dyDescent="0.3">
      <c r="A1095" s="82"/>
      <c r="B1095" s="81"/>
      <c r="H1095" s="83"/>
    </row>
    <row r="1096" spans="1:8" x14ac:dyDescent="0.3">
      <c r="A1096" s="82"/>
      <c r="B1096" s="81"/>
      <c r="H1096" s="83"/>
    </row>
    <row r="1097" spans="1:8" x14ac:dyDescent="0.3">
      <c r="A1097" s="82"/>
      <c r="B1097" s="81"/>
      <c r="H1097" s="83"/>
    </row>
    <row r="1098" spans="1:8" x14ac:dyDescent="0.3">
      <c r="A1098" s="82"/>
      <c r="B1098" s="81"/>
      <c r="H1098" s="83"/>
    </row>
    <row r="1099" spans="1:8" x14ac:dyDescent="0.3">
      <c r="A1099" s="82"/>
      <c r="B1099" s="81"/>
      <c r="H1099" s="83"/>
    </row>
    <row r="1100" spans="1:8" x14ac:dyDescent="0.3">
      <c r="A1100" s="82"/>
      <c r="B1100" s="81"/>
      <c r="H1100" s="83"/>
    </row>
    <row r="1101" spans="1:8" x14ac:dyDescent="0.3">
      <c r="A1101" s="82"/>
      <c r="B1101" s="81"/>
      <c r="H1101" s="83"/>
    </row>
    <row r="1102" spans="1:8" x14ac:dyDescent="0.3">
      <c r="A1102" s="82"/>
      <c r="B1102" s="81"/>
      <c r="H1102" s="83"/>
    </row>
    <row r="1103" spans="1:8" x14ac:dyDescent="0.3">
      <c r="A1103" s="82"/>
      <c r="B1103" s="81"/>
      <c r="H1103" s="83"/>
    </row>
    <row r="1104" spans="1:8" x14ac:dyDescent="0.3">
      <c r="A1104" s="82"/>
      <c r="B1104" s="81"/>
      <c r="H1104" s="83"/>
    </row>
    <row r="1105" spans="1:8" x14ac:dyDescent="0.3">
      <c r="A1105" s="82"/>
      <c r="B1105" s="81"/>
      <c r="H1105" s="83"/>
    </row>
    <row r="1106" spans="1:8" x14ac:dyDescent="0.3">
      <c r="A1106" s="82"/>
      <c r="B1106" s="81"/>
      <c r="H1106" s="83"/>
    </row>
    <row r="1107" spans="1:8" x14ac:dyDescent="0.3">
      <c r="A1107" s="82"/>
      <c r="B1107" s="81"/>
      <c r="H1107" s="83"/>
    </row>
    <row r="1108" spans="1:8" x14ac:dyDescent="0.3">
      <c r="A1108" s="82"/>
      <c r="B1108" s="81"/>
      <c r="H1108" s="83"/>
    </row>
    <row r="1109" spans="1:8" x14ac:dyDescent="0.3">
      <c r="A1109" s="82"/>
      <c r="B1109" s="81"/>
      <c r="H1109" s="83"/>
    </row>
    <row r="1110" spans="1:8" x14ac:dyDescent="0.3">
      <c r="A1110" s="82"/>
      <c r="B1110" s="81"/>
      <c r="H1110" s="83"/>
    </row>
    <row r="1111" spans="1:8" x14ac:dyDescent="0.3">
      <c r="A1111" s="82"/>
      <c r="B1111" s="81"/>
      <c r="H1111" s="83"/>
    </row>
    <row r="1112" spans="1:8" x14ac:dyDescent="0.3">
      <c r="A1112" s="82"/>
      <c r="B1112" s="81"/>
      <c r="H1112" s="83"/>
    </row>
    <row r="1113" spans="1:8" x14ac:dyDescent="0.3">
      <c r="A1113" s="82"/>
      <c r="B1113" s="81"/>
      <c r="H1113" s="83"/>
    </row>
    <row r="1114" spans="1:8" x14ac:dyDescent="0.3">
      <c r="A1114" s="82"/>
      <c r="B1114" s="81"/>
      <c r="H1114" s="83"/>
    </row>
    <row r="1115" spans="1:8" x14ac:dyDescent="0.3">
      <c r="A1115" s="82"/>
      <c r="B1115" s="81"/>
      <c r="H1115" s="83"/>
    </row>
    <row r="1116" spans="1:8" x14ac:dyDescent="0.3">
      <c r="A1116" s="82"/>
      <c r="B1116" s="81"/>
      <c r="H1116" s="83"/>
    </row>
    <row r="1117" spans="1:8" x14ac:dyDescent="0.3">
      <c r="A1117" s="82"/>
      <c r="B1117" s="81"/>
      <c r="H1117" s="83"/>
    </row>
    <row r="1118" spans="1:8" x14ac:dyDescent="0.3">
      <c r="A1118" s="82"/>
      <c r="B1118" s="81"/>
      <c r="H1118" s="83"/>
    </row>
    <row r="1119" spans="1:8" x14ac:dyDescent="0.3">
      <c r="A1119" s="82"/>
      <c r="B1119" s="81"/>
      <c r="H1119" s="83"/>
    </row>
    <row r="1120" spans="1:8" x14ac:dyDescent="0.3">
      <c r="A1120" s="82"/>
      <c r="B1120" s="81"/>
      <c r="H1120" s="83"/>
    </row>
    <row r="1121" spans="1:8" x14ac:dyDescent="0.3">
      <c r="A1121" s="82"/>
      <c r="B1121" s="81"/>
      <c r="H1121" s="83"/>
    </row>
    <row r="1122" spans="1:8" x14ac:dyDescent="0.3">
      <c r="A1122" s="82"/>
      <c r="B1122" s="81"/>
      <c r="H1122" s="83"/>
    </row>
    <row r="1123" spans="1:8" x14ac:dyDescent="0.3">
      <c r="A1123" s="82"/>
      <c r="B1123" s="81"/>
      <c r="H1123" s="83"/>
    </row>
    <row r="1124" spans="1:8" x14ac:dyDescent="0.3">
      <c r="A1124" s="82"/>
      <c r="B1124" s="81"/>
      <c r="H1124" s="83"/>
    </row>
    <row r="1125" spans="1:8" x14ac:dyDescent="0.3">
      <c r="A1125" s="82"/>
      <c r="B1125" s="81"/>
      <c r="H1125" s="83"/>
    </row>
    <row r="1126" spans="1:8" x14ac:dyDescent="0.3">
      <c r="A1126" s="82"/>
      <c r="B1126" s="81"/>
      <c r="H1126" s="83"/>
    </row>
    <row r="1127" spans="1:8" x14ac:dyDescent="0.3">
      <c r="A1127" s="82"/>
      <c r="B1127" s="81"/>
      <c r="H1127" s="83"/>
    </row>
    <row r="1128" spans="1:8" x14ac:dyDescent="0.3">
      <c r="A1128" s="82"/>
      <c r="B1128" s="81"/>
      <c r="H1128" s="83"/>
    </row>
    <row r="1129" spans="1:8" x14ac:dyDescent="0.3">
      <c r="A1129" s="82"/>
      <c r="B1129" s="81"/>
      <c r="H1129" s="83"/>
    </row>
    <row r="1130" spans="1:8" x14ac:dyDescent="0.3">
      <c r="A1130" s="82"/>
      <c r="B1130" s="81"/>
      <c r="H1130" s="83"/>
    </row>
    <row r="1131" spans="1:8" x14ac:dyDescent="0.3">
      <c r="A1131" s="82"/>
      <c r="B1131" s="81"/>
      <c r="H1131" s="83"/>
    </row>
    <row r="1132" spans="1:8" x14ac:dyDescent="0.3">
      <c r="A1132" s="82"/>
      <c r="B1132" s="81"/>
      <c r="H1132" s="83"/>
    </row>
    <row r="1133" spans="1:8" x14ac:dyDescent="0.3">
      <c r="A1133" s="82"/>
      <c r="B1133" s="81"/>
      <c r="H1133" s="83"/>
    </row>
    <row r="1134" spans="1:8" x14ac:dyDescent="0.3">
      <c r="A1134" s="82"/>
      <c r="B1134" s="81"/>
      <c r="H1134" s="83"/>
    </row>
    <row r="1135" spans="1:8" x14ac:dyDescent="0.3">
      <c r="A1135" s="82"/>
      <c r="B1135" s="81"/>
      <c r="H1135" s="83"/>
    </row>
    <row r="1136" spans="1:8" x14ac:dyDescent="0.3">
      <c r="A1136" s="82"/>
      <c r="B1136" s="81"/>
      <c r="H1136" s="83"/>
    </row>
    <row r="1137" spans="1:8" x14ac:dyDescent="0.3">
      <c r="A1137" s="82"/>
      <c r="B1137" s="81"/>
      <c r="H1137" s="83"/>
    </row>
    <row r="1138" spans="1:8" x14ac:dyDescent="0.3">
      <c r="A1138" s="82"/>
      <c r="B1138" s="81"/>
      <c r="H1138" s="83"/>
    </row>
    <row r="1139" spans="1:8" x14ac:dyDescent="0.3">
      <c r="A1139" s="82"/>
      <c r="B1139" s="81"/>
      <c r="H1139" s="83"/>
    </row>
    <row r="1140" spans="1:8" x14ac:dyDescent="0.3">
      <c r="A1140" s="82"/>
      <c r="B1140" s="81"/>
      <c r="H1140" s="83"/>
    </row>
    <row r="1141" spans="1:8" x14ac:dyDescent="0.3">
      <c r="A1141" s="82"/>
      <c r="B1141" s="81"/>
      <c r="H1141" s="83"/>
    </row>
    <row r="1142" spans="1:8" x14ac:dyDescent="0.3">
      <c r="A1142" s="82"/>
      <c r="B1142" s="81"/>
      <c r="H1142" s="83"/>
    </row>
    <row r="1143" spans="1:8" x14ac:dyDescent="0.3">
      <c r="A1143" s="82"/>
      <c r="B1143" s="81"/>
      <c r="H1143" s="83"/>
    </row>
    <row r="1144" spans="1:8" x14ac:dyDescent="0.3">
      <c r="A1144" s="82"/>
      <c r="B1144" s="81"/>
      <c r="H1144" s="83"/>
    </row>
    <row r="1145" spans="1:8" x14ac:dyDescent="0.3">
      <c r="A1145" s="82"/>
      <c r="B1145" s="81"/>
      <c r="H1145" s="83"/>
    </row>
    <row r="1146" spans="1:8" x14ac:dyDescent="0.3">
      <c r="A1146" s="82"/>
      <c r="B1146" s="81"/>
      <c r="H1146" s="83"/>
    </row>
    <row r="1147" spans="1:8" x14ac:dyDescent="0.3">
      <c r="A1147" s="82"/>
      <c r="B1147" s="81"/>
      <c r="H1147" s="83"/>
    </row>
    <row r="1148" spans="1:8" x14ac:dyDescent="0.3">
      <c r="A1148" s="82"/>
      <c r="B1148" s="81"/>
      <c r="H1148" s="83"/>
    </row>
    <row r="1149" spans="1:8" x14ac:dyDescent="0.3">
      <c r="A1149" s="82"/>
      <c r="B1149" s="81"/>
      <c r="H1149" s="83"/>
    </row>
    <row r="1150" spans="1:8" x14ac:dyDescent="0.3">
      <c r="A1150" s="82"/>
      <c r="B1150" s="81"/>
      <c r="H1150" s="83"/>
    </row>
    <row r="1151" spans="1:8" x14ac:dyDescent="0.3">
      <c r="A1151" s="82"/>
      <c r="B1151" s="81"/>
      <c r="H1151" s="83"/>
    </row>
    <row r="1152" spans="1:8" x14ac:dyDescent="0.3">
      <c r="A1152" s="82"/>
      <c r="B1152" s="81"/>
      <c r="H1152" s="83"/>
    </row>
    <row r="1153" spans="1:8" x14ac:dyDescent="0.3">
      <c r="A1153" s="82"/>
      <c r="B1153" s="81"/>
      <c r="H1153" s="83"/>
    </row>
    <row r="1154" spans="1:8" x14ac:dyDescent="0.3">
      <c r="A1154" s="82"/>
      <c r="B1154" s="81"/>
      <c r="H1154" s="83"/>
    </row>
    <row r="1155" spans="1:8" x14ac:dyDescent="0.3">
      <c r="A1155" s="82"/>
      <c r="B1155" s="81"/>
      <c r="H1155" s="83"/>
    </row>
    <row r="1156" spans="1:8" x14ac:dyDescent="0.3">
      <c r="A1156" s="82"/>
      <c r="B1156" s="81"/>
      <c r="H1156" s="83"/>
    </row>
    <row r="1157" spans="1:8" x14ac:dyDescent="0.3">
      <c r="A1157" s="82"/>
      <c r="B1157" s="81"/>
      <c r="H1157" s="83"/>
    </row>
    <row r="1158" spans="1:8" x14ac:dyDescent="0.3">
      <c r="A1158" s="82"/>
      <c r="B1158" s="81"/>
      <c r="H1158" s="83"/>
    </row>
    <row r="1159" spans="1:8" x14ac:dyDescent="0.3">
      <c r="A1159" s="82"/>
      <c r="B1159" s="81"/>
      <c r="H1159" s="83"/>
    </row>
    <row r="1160" spans="1:8" x14ac:dyDescent="0.3">
      <c r="A1160" s="82"/>
      <c r="B1160" s="81"/>
      <c r="H1160" s="83"/>
    </row>
    <row r="1161" spans="1:8" x14ac:dyDescent="0.3">
      <c r="A1161" s="82"/>
      <c r="B1161" s="81"/>
      <c r="H1161" s="83"/>
    </row>
    <row r="1162" spans="1:8" x14ac:dyDescent="0.3">
      <c r="A1162" s="82"/>
      <c r="B1162" s="81"/>
      <c r="H1162" s="83"/>
    </row>
    <row r="1163" spans="1:8" x14ac:dyDescent="0.3">
      <c r="A1163" s="82"/>
      <c r="B1163" s="81"/>
      <c r="H1163" s="83"/>
    </row>
    <row r="1164" spans="1:8" x14ac:dyDescent="0.3">
      <c r="A1164" s="82"/>
      <c r="B1164" s="81"/>
      <c r="H1164" s="83"/>
    </row>
    <row r="1165" spans="1:8" x14ac:dyDescent="0.3">
      <c r="A1165" s="82"/>
      <c r="B1165" s="81"/>
      <c r="H1165" s="83"/>
    </row>
    <row r="1166" spans="1:8" x14ac:dyDescent="0.3">
      <c r="A1166" s="82"/>
      <c r="B1166" s="81"/>
      <c r="H1166" s="83"/>
    </row>
    <row r="1167" spans="1:8" x14ac:dyDescent="0.3">
      <c r="A1167" s="82"/>
      <c r="B1167" s="81"/>
      <c r="H1167" s="83"/>
    </row>
    <row r="1168" spans="1:8" x14ac:dyDescent="0.3">
      <c r="A1168" s="82"/>
      <c r="B1168" s="81"/>
      <c r="H1168" s="83"/>
    </row>
    <row r="1169" spans="1:8" x14ac:dyDescent="0.3">
      <c r="A1169" s="82"/>
      <c r="B1169" s="81"/>
      <c r="H1169" s="83"/>
    </row>
    <row r="1170" spans="1:8" x14ac:dyDescent="0.3">
      <c r="A1170" s="82"/>
      <c r="B1170" s="81"/>
      <c r="H1170" s="83"/>
    </row>
    <row r="1171" spans="1:8" x14ac:dyDescent="0.3">
      <c r="A1171" s="82"/>
      <c r="B1171" s="81"/>
      <c r="H1171" s="83"/>
    </row>
    <row r="1172" spans="1:8" x14ac:dyDescent="0.3">
      <c r="A1172" s="82"/>
      <c r="B1172" s="81"/>
      <c r="H1172" s="83"/>
    </row>
    <row r="1173" spans="1:8" x14ac:dyDescent="0.3">
      <c r="A1173" s="82"/>
      <c r="B1173" s="81"/>
      <c r="H1173" s="83"/>
    </row>
    <row r="1174" spans="1:8" x14ac:dyDescent="0.3">
      <c r="A1174" s="82"/>
      <c r="B1174" s="81"/>
      <c r="H1174" s="83"/>
    </row>
    <row r="1175" spans="1:8" x14ac:dyDescent="0.3">
      <c r="A1175" s="82"/>
      <c r="B1175" s="81"/>
      <c r="H1175" s="83"/>
    </row>
    <row r="1176" spans="1:8" x14ac:dyDescent="0.3">
      <c r="A1176" s="82"/>
      <c r="B1176" s="81"/>
      <c r="H1176" s="83"/>
    </row>
    <row r="1177" spans="1:8" x14ac:dyDescent="0.3">
      <c r="A1177" s="82"/>
      <c r="B1177" s="81"/>
      <c r="H1177" s="83"/>
    </row>
    <row r="1178" spans="1:8" x14ac:dyDescent="0.3">
      <c r="A1178" s="82"/>
      <c r="B1178" s="81"/>
      <c r="H1178" s="83"/>
    </row>
    <row r="1179" spans="1:8" x14ac:dyDescent="0.3">
      <c r="A1179" s="82"/>
      <c r="B1179" s="81"/>
      <c r="H1179" s="83"/>
    </row>
    <row r="1180" spans="1:8" x14ac:dyDescent="0.3">
      <c r="A1180" s="82"/>
      <c r="B1180" s="81"/>
      <c r="H1180" s="83"/>
    </row>
    <row r="1181" spans="1:8" x14ac:dyDescent="0.3">
      <c r="A1181" s="82"/>
      <c r="B1181" s="81"/>
      <c r="H1181" s="83"/>
    </row>
    <row r="1182" spans="1:8" x14ac:dyDescent="0.3">
      <c r="A1182" s="82"/>
      <c r="B1182" s="81"/>
      <c r="H1182" s="83"/>
    </row>
    <row r="1183" spans="1:8" x14ac:dyDescent="0.3">
      <c r="A1183" s="82"/>
      <c r="B1183" s="81"/>
      <c r="H1183" s="83"/>
    </row>
    <row r="1184" spans="1:8" x14ac:dyDescent="0.3">
      <c r="A1184" s="82"/>
      <c r="B1184" s="81"/>
      <c r="H1184" s="83"/>
    </row>
    <row r="1185" spans="1:8" x14ac:dyDescent="0.3">
      <c r="A1185" s="82"/>
      <c r="B1185" s="81"/>
      <c r="H1185" s="83"/>
    </row>
    <row r="1186" spans="1:8" x14ac:dyDescent="0.3">
      <c r="A1186" s="82"/>
      <c r="B1186" s="81"/>
      <c r="H1186" s="83"/>
    </row>
    <row r="1187" spans="1:8" x14ac:dyDescent="0.3">
      <c r="A1187" s="82"/>
      <c r="B1187" s="81"/>
      <c r="H1187" s="83"/>
    </row>
    <row r="1188" spans="1:8" x14ac:dyDescent="0.3">
      <c r="A1188" s="82"/>
      <c r="B1188" s="81"/>
      <c r="H1188" s="83"/>
    </row>
    <row r="1189" spans="1:8" x14ac:dyDescent="0.3">
      <c r="A1189" s="82"/>
      <c r="B1189" s="81"/>
      <c r="H1189" s="83"/>
    </row>
    <row r="1190" spans="1:8" x14ac:dyDescent="0.3">
      <c r="A1190" s="82"/>
      <c r="B1190" s="81"/>
      <c r="H1190" s="83"/>
    </row>
    <row r="1191" spans="1:8" x14ac:dyDescent="0.3">
      <c r="A1191" s="82"/>
      <c r="B1191" s="81"/>
      <c r="H1191" s="83"/>
    </row>
    <row r="1192" spans="1:8" x14ac:dyDescent="0.3">
      <c r="A1192" s="82"/>
      <c r="B1192" s="81"/>
      <c r="H1192" s="83"/>
    </row>
    <row r="1193" spans="1:8" x14ac:dyDescent="0.3">
      <c r="A1193" s="82"/>
      <c r="B1193" s="81"/>
      <c r="H1193" s="83"/>
    </row>
    <row r="1194" spans="1:8" x14ac:dyDescent="0.3">
      <c r="A1194" s="82"/>
      <c r="B1194" s="81"/>
      <c r="H1194" s="83"/>
    </row>
    <row r="1195" spans="1:8" x14ac:dyDescent="0.3">
      <c r="A1195" s="82"/>
      <c r="B1195" s="81"/>
      <c r="H1195" s="83"/>
    </row>
    <row r="1196" spans="1:8" x14ac:dyDescent="0.3">
      <c r="A1196" s="82"/>
      <c r="B1196" s="81"/>
      <c r="H1196" s="83"/>
    </row>
    <row r="1197" spans="1:8" x14ac:dyDescent="0.3">
      <c r="A1197" s="82"/>
      <c r="B1197" s="81"/>
      <c r="H1197" s="83"/>
    </row>
    <row r="1198" spans="1:8" x14ac:dyDescent="0.3">
      <c r="A1198" s="82"/>
      <c r="B1198" s="81"/>
      <c r="H1198" s="83"/>
    </row>
    <row r="1199" spans="1:8" x14ac:dyDescent="0.3">
      <c r="A1199" s="82"/>
      <c r="B1199" s="81"/>
      <c r="H1199" s="83"/>
    </row>
    <row r="1200" spans="1:8" x14ac:dyDescent="0.3">
      <c r="A1200" s="82"/>
      <c r="B1200" s="81"/>
      <c r="H1200" s="83"/>
    </row>
    <row r="1201" spans="1:8" x14ac:dyDescent="0.3">
      <c r="A1201" s="82"/>
      <c r="B1201" s="81"/>
      <c r="H1201" s="83"/>
    </row>
    <row r="1202" spans="1:8" x14ac:dyDescent="0.3">
      <c r="A1202" s="82"/>
      <c r="B1202" s="81"/>
      <c r="H1202" s="83"/>
    </row>
    <row r="1203" spans="1:8" x14ac:dyDescent="0.3">
      <c r="A1203" s="82"/>
      <c r="B1203" s="81"/>
      <c r="H1203" s="83"/>
    </row>
    <row r="1204" spans="1:8" x14ac:dyDescent="0.3">
      <c r="A1204" s="82"/>
      <c r="B1204" s="81"/>
      <c r="H1204" s="83"/>
    </row>
    <row r="1205" spans="1:8" x14ac:dyDescent="0.3">
      <c r="A1205" s="82"/>
      <c r="B1205" s="81"/>
      <c r="H1205" s="83"/>
    </row>
    <row r="1206" spans="1:8" x14ac:dyDescent="0.3">
      <c r="A1206" s="82"/>
      <c r="B1206" s="81"/>
      <c r="H1206" s="83"/>
    </row>
    <row r="1207" spans="1:8" x14ac:dyDescent="0.3">
      <c r="A1207" s="82"/>
      <c r="B1207" s="81"/>
      <c r="H1207" s="83"/>
    </row>
    <row r="1208" spans="1:8" x14ac:dyDescent="0.3">
      <c r="A1208" s="82"/>
      <c r="B1208" s="81"/>
      <c r="H1208" s="83"/>
    </row>
    <row r="1209" spans="1:8" x14ac:dyDescent="0.3">
      <c r="A1209" s="82"/>
      <c r="B1209" s="81"/>
      <c r="H1209" s="83"/>
    </row>
    <row r="1210" spans="1:8" x14ac:dyDescent="0.3">
      <c r="A1210" s="82"/>
      <c r="B1210" s="81"/>
      <c r="H1210" s="83"/>
    </row>
    <row r="1211" spans="1:8" x14ac:dyDescent="0.3">
      <c r="A1211" s="82"/>
      <c r="B1211" s="81"/>
      <c r="H1211" s="83"/>
    </row>
    <row r="1212" spans="1:8" x14ac:dyDescent="0.3">
      <c r="A1212" s="82"/>
      <c r="B1212" s="81"/>
      <c r="H1212" s="83"/>
    </row>
    <row r="1213" spans="1:8" x14ac:dyDescent="0.3">
      <c r="A1213" s="82"/>
      <c r="B1213" s="81"/>
      <c r="H1213" s="83"/>
    </row>
    <row r="1214" spans="1:8" x14ac:dyDescent="0.3">
      <c r="A1214" s="82"/>
      <c r="B1214" s="81"/>
      <c r="H1214" s="83"/>
    </row>
    <row r="1215" spans="1:8" x14ac:dyDescent="0.3">
      <c r="A1215" s="82"/>
      <c r="B1215" s="81"/>
      <c r="H1215" s="83"/>
    </row>
    <row r="1216" spans="1:8" x14ac:dyDescent="0.3">
      <c r="A1216" s="82"/>
      <c r="B1216" s="81"/>
      <c r="H1216" s="83"/>
    </row>
    <row r="1217" spans="1:8" x14ac:dyDescent="0.3">
      <c r="A1217" s="82"/>
      <c r="B1217" s="81"/>
      <c r="H1217" s="83"/>
    </row>
    <row r="1218" spans="1:8" x14ac:dyDescent="0.3">
      <c r="A1218" s="82"/>
      <c r="B1218" s="81"/>
      <c r="H1218" s="83"/>
    </row>
    <row r="1219" spans="1:8" x14ac:dyDescent="0.3">
      <c r="A1219" s="82"/>
      <c r="B1219" s="81"/>
      <c r="H1219" s="83"/>
    </row>
    <row r="1220" spans="1:8" x14ac:dyDescent="0.3">
      <c r="A1220" s="82"/>
      <c r="B1220" s="81"/>
      <c r="H1220" s="83"/>
    </row>
    <row r="1221" spans="1:8" x14ac:dyDescent="0.3">
      <c r="A1221" s="82"/>
      <c r="B1221" s="81"/>
      <c r="H1221" s="83"/>
    </row>
    <row r="1222" spans="1:8" x14ac:dyDescent="0.3">
      <c r="A1222" s="82"/>
      <c r="B1222" s="81"/>
      <c r="H1222" s="83"/>
    </row>
    <row r="1223" spans="1:8" x14ac:dyDescent="0.3">
      <c r="A1223" s="82"/>
      <c r="B1223" s="81"/>
      <c r="H1223" s="83"/>
    </row>
    <row r="1224" spans="1:8" x14ac:dyDescent="0.3">
      <c r="A1224" s="82"/>
      <c r="B1224" s="81"/>
      <c r="H1224" s="83"/>
    </row>
    <row r="1225" spans="1:8" x14ac:dyDescent="0.3">
      <c r="A1225" s="82"/>
      <c r="B1225" s="81"/>
      <c r="H1225" s="83"/>
    </row>
    <row r="1226" spans="1:8" x14ac:dyDescent="0.3">
      <c r="A1226" s="82"/>
      <c r="B1226" s="81"/>
      <c r="H1226" s="83"/>
    </row>
    <row r="1227" spans="1:8" x14ac:dyDescent="0.3">
      <c r="A1227" s="82"/>
      <c r="B1227" s="81"/>
      <c r="H1227" s="83"/>
    </row>
    <row r="1228" spans="1:8" x14ac:dyDescent="0.3">
      <c r="A1228" s="82"/>
      <c r="B1228" s="81"/>
      <c r="H1228" s="83"/>
    </row>
    <row r="1229" spans="1:8" x14ac:dyDescent="0.3">
      <c r="A1229" s="82"/>
      <c r="B1229" s="81"/>
      <c r="H1229" s="83"/>
    </row>
    <row r="1230" spans="1:8" x14ac:dyDescent="0.3">
      <c r="A1230" s="82"/>
      <c r="B1230" s="81"/>
      <c r="H1230" s="83"/>
    </row>
    <row r="1231" spans="1:8" x14ac:dyDescent="0.3">
      <c r="A1231" s="82"/>
      <c r="B1231" s="81"/>
      <c r="H1231" s="83"/>
    </row>
    <row r="1232" spans="1:8" x14ac:dyDescent="0.3">
      <c r="A1232" s="82"/>
      <c r="B1232" s="81"/>
      <c r="H1232" s="83"/>
    </row>
    <row r="1233" spans="1:8" x14ac:dyDescent="0.3">
      <c r="A1233" s="82"/>
      <c r="B1233" s="81"/>
      <c r="H1233" s="83"/>
    </row>
    <row r="1234" spans="1:8" x14ac:dyDescent="0.3">
      <c r="A1234" s="82"/>
      <c r="B1234" s="81"/>
      <c r="H1234" s="83"/>
    </row>
    <row r="1235" spans="1:8" x14ac:dyDescent="0.3">
      <c r="A1235" s="82"/>
      <c r="B1235" s="81"/>
      <c r="H1235" s="83"/>
    </row>
    <row r="1236" spans="1:8" x14ac:dyDescent="0.3">
      <c r="A1236" s="82"/>
      <c r="B1236" s="81"/>
      <c r="H1236" s="83"/>
    </row>
    <row r="1237" spans="1:8" x14ac:dyDescent="0.3">
      <c r="A1237" s="82"/>
      <c r="B1237" s="81"/>
      <c r="H1237" s="83"/>
    </row>
    <row r="1238" spans="1:8" x14ac:dyDescent="0.3">
      <c r="A1238" s="82"/>
      <c r="B1238" s="81"/>
      <c r="H1238" s="83"/>
    </row>
    <row r="1239" spans="1:8" x14ac:dyDescent="0.3">
      <c r="A1239" s="82"/>
      <c r="B1239" s="81"/>
      <c r="H1239" s="83"/>
    </row>
    <row r="1240" spans="1:8" x14ac:dyDescent="0.3">
      <c r="A1240" s="82"/>
      <c r="B1240" s="81"/>
      <c r="H1240" s="83"/>
    </row>
    <row r="1241" spans="1:8" x14ac:dyDescent="0.3">
      <c r="A1241" s="82"/>
      <c r="B1241" s="81"/>
      <c r="H1241" s="83"/>
    </row>
    <row r="1242" spans="1:8" x14ac:dyDescent="0.3">
      <c r="A1242" s="82"/>
      <c r="B1242" s="81"/>
      <c r="H1242" s="83"/>
    </row>
    <row r="1243" spans="1:8" x14ac:dyDescent="0.3">
      <c r="A1243" s="82"/>
      <c r="B1243" s="81"/>
      <c r="H1243" s="83"/>
    </row>
    <row r="1244" spans="1:8" x14ac:dyDescent="0.3">
      <c r="A1244" s="82"/>
      <c r="B1244" s="81"/>
      <c r="H1244" s="83"/>
    </row>
    <row r="1245" spans="1:8" x14ac:dyDescent="0.3">
      <c r="A1245" s="82"/>
      <c r="B1245" s="81"/>
      <c r="H1245" s="83"/>
    </row>
    <row r="1246" spans="1:8" x14ac:dyDescent="0.3">
      <c r="A1246" s="82"/>
      <c r="B1246" s="81"/>
      <c r="H1246" s="83"/>
    </row>
    <row r="1247" spans="1:8" x14ac:dyDescent="0.3">
      <c r="A1247" s="82"/>
      <c r="B1247" s="81"/>
      <c r="H1247" s="83"/>
    </row>
    <row r="1248" spans="1:8" x14ac:dyDescent="0.3">
      <c r="A1248" s="82"/>
      <c r="B1248" s="81"/>
      <c r="H1248" s="83"/>
    </row>
    <row r="1249" spans="1:8" x14ac:dyDescent="0.3">
      <c r="A1249" s="82"/>
      <c r="B1249" s="81"/>
      <c r="H1249" s="83"/>
    </row>
    <row r="1250" spans="1:8" x14ac:dyDescent="0.3">
      <c r="A1250" s="82"/>
      <c r="B1250" s="81"/>
      <c r="H1250" s="83"/>
    </row>
    <row r="1251" spans="1:8" x14ac:dyDescent="0.3">
      <c r="A1251" s="82"/>
      <c r="B1251" s="81"/>
      <c r="H1251" s="83"/>
    </row>
    <row r="1252" spans="1:8" x14ac:dyDescent="0.3">
      <c r="A1252" s="82"/>
      <c r="B1252" s="81"/>
      <c r="H1252" s="83"/>
    </row>
    <row r="1253" spans="1:8" x14ac:dyDescent="0.3">
      <c r="A1253" s="82"/>
      <c r="B1253" s="81"/>
      <c r="H1253" s="83"/>
    </row>
    <row r="1254" spans="1:8" x14ac:dyDescent="0.3">
      <c r="A1254" s="82"/>
      <c r="B1254" s="81"/>
      <c r="H1254" s="83"/>
    </row>
    <row r="1255" spans="1:8" x14ac:dyDescent="0.3">
      <c r="A1255" s="82"/>
      <c r="B1255" s="81"/>
      <c r="H1255" s="83"/>
    </row>
    <row r="1256" spans="1:8" x14ac:dyDescent="0.3">
      <c r="A1256" s="82"/>
      <c r="B1256" s="81"/>
      <c r="H1256" s="83"/>
    </row>
    <row r="1257" spans="1:8" x14ac:dyDescent="0.3">
      <c r="A1257" s="82"/>
      <c r="B1257" s="81"/>
      <c r="H1257" s="83"/>
    </row>
    <row r="1258" spans="1:8" x14ac:dyDescent="0.3">
      <c r="A1258" s="82"/>
      <c r="B1258" s="81"/>
      <c r="H1258" s="83"/>
    </row>
    <row r="1259" spans="1:8" x14ac:dyDescent="0.3">
      <c r="A1259" s="82"/>
      <c r="B1259" s="81"/>
      <c r="H1259" s="83"/>
    </row>
    <row r="1260" spans="1:8" x14ac:dyDescent="0.3">
      <c r="A1260" s="82"/>
      <c r="B1260" s="81"/>
      <c r="H1260" s="83"/>
    </row>
    <row r="1261" spans="1:8" x14ac:dyDescent="0.3">
      <c r="A1261" s="82"/>
      <c r="B1261" s="81"/>
      <c r="H1261" s="83"/>
    </row>
    <row r="1262" spans="1:8" x14ac:dyDescent="0.3">
      <c r="A1262" s="82"/>
      <c r="B1262" s="81"/>
      <c r="H1262" s="83"/>
    </row>
    <row r="1263" spans="1:8" x14ac:dyDescent="0.3">
      <c r="A1263" s="82"/>
      <c r="B1263" s="81"/>
      <c r="H1263" s="83"/>
    </row>
    <row r="1264" spans="1:8" x14ac:dyDescent="0.3">
      <c r="A1264" s="82"/>
      <c r="B1264" s="81"/>
      <c r="H1264" s="83"/>
    </row>
    <row r="1265" spans="1:8" x14ac:dyDescent="0.3">
      <c r="A1265" s="82"/>
      <c r="B1265" s="81"/>
      <c r="H1265" s="83"/>
    </row>
    <row r="1266" spans="1:8" x14ac:dyDescent="0.3">
      <c r="A1266" s="82"/>
      <c r="B1266" s="81"/>
      <c r="H1266" s="83"/>
    </row>
    <row r="1267" spans="1:8" x14ac:dyDescent="0.3">
      <c r="A1267" s="82"/>
      <c r="B1267" s="81"/>
      <c r="H1267" s="83"/>
    </row>
    <row r="1268" spans="1:8" x14ac:dyDescent="0.3">
      <c r="A1268" s="82"/>
      <c r="B1268" s="81"/>
      <c r="H1268" s="83"/>
    </row>
    <row r="1269" spans="1:8" x14ac:dyDescent="0.3">
      <c r="A1269" s="82"/>
      <c r="B1269" s="81"/>
      <c r="H1269" s="83"/>
    </row>
    <row r="1270" spans="1:8" x14ac:dyDescent="0.3">
      <c r="A1270" s="82"/>
      <c r="B1270" s="81"/>
      <c r="H1270" s="83"/>
    </row>
    <row r="1271" spans="1:8" x14ac:dyDescent="0.3">
      <c r="A1271" s="82"/>
      <c r="B1271" s="81"/>
      <c r="H1271" s="83"/>
    </row>
    <row r="1272" spans="1:8" x14ac:dyDescent="0.3">
      <c r="A1272" s="82"/>
      <c r="B1272" s="81"/>
      <c r="H1272" s="83"/>
    </row>
    <row r="1273" spans="1:8" x14ac:dyDescent="0.3">
      <c r="A1273" s="82"/>
      <c r="B1273" s="81"/>
      <c r="H1273" s="83"/>
    </row>
    <row r="1274" spans="1:8" x14ac:dyDescent="0.3">
      <c r="A1274" s="82"/>
      <c r="B1274" s="81"/>
      <c r="H1274" s="83"/>
    </row>
    <row r="1275" spans="1:8" x14ac:dyDescent="0.3">
      <c r="A1275" s="82"/>
      <c r="B1275" s="81"/>
      <c r="H1275" s="83"/>
    </row>
    <row r="1276" spans="1:8" x14ac:dyDescent="0.3">
      <c r="A1276" s="82"/>
      <c r="B1276" s="81"/>
      <c r="H1276" s="83"/>
    </row>
    <row r="1277" spans="1:8" x14ac:dyDescent="0.3">
      <c r="A1277" s="82"/>
      <c r="B1277" s="81"/>
      <c r="H1277" s="83"/>
    </row>
    <row r="1278" spans="1:8" x14ac:dyDescent="0.3">
      <c r="A1278" s="82"/>
      <c r="B1278" s="81"/>
      <c r="H1278" s="83"/>
    </row>
    <row r="1279" spans="1:8" x14ac:dyDescent="0.3">
      <c r="A1279" s="82"/>
      <c r="B1279" s="81"/>
      <c r="H1279" s="83"/>
    </row>
    <row r="1280" spans="1:8" x14ac:dyDescent="0.3">
      <c r="A1280" s="82"/>
      <c r="B1280" s="81"/>
      <c r="H1280" s="83"/>
    </row>
    <row r="1281" spans="1:8" x14ac:dyDescent="0.3">
      <c r="A1281" s="82"/>
      <c r="B1281" s="81"/>
      <c r="H1281" s="83"/>
    </row>
    <row r="1282" spans="1:8" x14ac:dyDescent="0.3">
      <c r="A1282" s="82"/>
      <c r="B1282" s="81"/>
      <c r="H1282" s="83"/>
    </row>
    <row r="1283" spans="1:8" x14ac:dyDescent="0.3">
      <c r="A1283" s="82"/>
      <c r="B1283" s="81"/>
      <c r="H1283" s="83"/>
    </row>
    <row r="1284" spans="1:8" x14ac:dyDescent="0.3">
      <c r="A1284" s="82"/>
      <c r="B1284" s="81"/>
      <c r="H1284" s="83"/>
    </row>
    <row r="1285" spans="1:8" x14ac:dyDescent="0.3">
      <c r="A1285" s="82"/>
      <c r="B1285" s="81"/>
      <c r="H1285" s="83"/>
    </row>
    <row r="1286" spans="1:8" x14ac:dyDescent="0.3">
      <c r="A1286" s="82"/>
      <c r="B1286" s="81"/>
      <c r="H1286" s="83"/>
    </row>
    <row r="1287" spans="1:8" x14ac:dyDescent="0.3">
      <c r="A1287" s="82"/>
      <c r="B1287" s="81"/>
      <c r="H1287" s="83"/>
    </row>
    <row r="1288" spans="1:8" x14ac:dyDescent="0.3">
      <c r="A1288" s="82"/>
      <c r="B1288" s="81"/>
      <c r="H1288" s="83"/>
    </row>
    <row r="1289" spans="1:8" x14ac:dyDescent="0.3">
      <c r="A1289" s="82"/>
      <c r="B1289" s="81"/>
      <c r="H1289" s="83"/>
    </row>
    <row r="1290" spans="1:8" x14ac:dyDescent="0.3">
      <c r="A1290" s="82"/>
      <c r="B1290" s="81"/>
      <c r="H1290" s="83"/>
    </row>
    <row r="1291" spans="1:8" x14ac:dyDescent="0.3">
      <c r="A1291" s="82"/>
      <c r="B1291" s="81"/>
      <c r="H1291" s="83"/>
    </row>
    <row r="1292" spans="1:8" x14ac:dyDescent="0.3">
      <c r="A1292" s="82"/>
      <c r="B1292" s="81"/>
      <c r="H1292" s="83"/>
    </row>
    <row r="1293" spans="1:8" x14ac:dyDescent="0.3">
      <c r="A1293" s="82"/>
      <c r="B1293" s="81"/>
      <c r="H1293" s="83"/>
    </row>
    <row r="1294" spans="1:8" x14ac:dyDescent="0.3">
      <c r="A1294" s="82"/>
      <c r="B1294" s="81"/>
      <c r="H1294" s="83"/>
    </row>
    <row r="1295" spans="1:8" x14ac:dyDescent="0.3">
      <c r="A1295" s="82"/>
      <c r="B1295" s="81"/>
      <c r="H1295" s="83"/>
    </row>
    <row r="1296" spans="1:8" x14ac:dyDescent="0.3">
      <c r="A1296" s="82"/>
      <c r="B1296" s="81"/>
      <c r="H1296" s="83"/>
    </row>
    <row r="1297" spans="1:8" x14ac:dyDescent="0.3">
      <c r="A1297" s="82"/>
      <c r="B1297" s="81"/>
      <c r="H1297" s="83"/>
    </row>
    <row r="1298" spans="1:8" x14ac:dyDescent="0.3">
      <c r="A1298" s="82"/>
      <c r="B1298" s="81"/>
      <c r="H1298" s="83"/>
    </row>
    <row r="1299" spans="1:8" x14ac:dyDescent="0.3">
      <c r="A1299" s="82"/>
      <c r="B1299" s="81"/>
      <c r="H1299" s="83"/>
    </row>
    <row r="1300" spans="1:8" x14ac:dyDescent="0.3">
      <c r="A1300" s="82"/>
      <c r="B1300" s="81"/>
      <c r="H1300" s="83"/>
    </row>
    <row r="1301" spans="1:8" x14ac:dyDescent="0.3">
      <c r="A1301" s="82"/>
      <c r="B1301" s="81"/>
      <c r="H1301" s="83"/>
    </row>
    <row r="1302" spans="1:8" x14ac:dyDescent="0.3">
      <c r="A1302" s="82"/>
      <c r="B1302" s="81"/>
      <c r="H1302" s="83"/>
    </row>
    <row r="1303" spans="1:8" x14ac:dyDescent="0.3">
      <c r="A1303" s="82"/>
      <c r="B1303" s="81"/>
      <c r="H1303" s="83"/>
    </row>
    <row r="1304" spans="1:8" x14ac:dyDescent="0.3">
      <c r="A1304" s="82"/>
      <c r="B1304" s="81"/>
      <c r="H1304" s="83"/>
    </row>
    <row r="1305" spans="1:8" x14ac:dyDescent="0.3">
      <c r="A1305" s="82"/>
      <c r="B1305" s="81"/>
      <c r="H1305" s="83"/>
    </row>
    <row r="1306" spans="1:8" x14ac:dyDescent="0.3">
      <c r="A1306" s="82"/>
      <c r="B1306" s="81"/>
      <c r="H1306" s="83"/>
    </row>
    <row r="1307" spans="1:8" x14ac:dyDescent="0.3">
      <c r="A1307" s="82"/>
      <c r="B1307" s="81"/>
      <c r="H1307" s="83"/>
    </row>
    <row r="1308" spans="1:8" x14ac:dyDescent="0.3">
      <c r="A1308" s="82"/>
      <c r="B1308" s="81"/>
      <c r="H1308" s="83"/>
    </row>
    <row r="1309" spans="1:8" x14ac:dyDescent="0.3">
      <c r="A1309" s="82"/>
      <c r="B1309" s="81"/>
      <c r="H1309" s="83"/>
    </row>
    <row r="1310" spans="1:8" x14ac:dyDescent="0.3">
      <c r="A1310" s="82"/>
      <c r="B1310" s="81"/>
      <c r="H1310" s="83"/>
    </row>
    <row r="1311" spans="1:8" x14ac:dyDescent="0.3">
      <c r="A1311" s="82"/>
      <c r="B1311" s="81"/>
      <c r="H1311" s="83"/>
    </row>
    <row r="1312" spans="1:8" x14ac:dyDescent="0.3">
      <c r="A1312" s="82"/>
      <c r="B1312" s="81"/>
      <c r="H1312" s="83"/>
    </row>
    <row r="1313" spans="1:8" x14ac:dyDescent="0.3">
      <c r="A1313" s="82"/>
      <c r="B1313" s="81"/>
      <c r="H1313" s="83"/>
    </row>
    <row r="1314" spans="1:8" x14ac:dyDescent="0.3">
      <c r="A1314" s="82"/>
      <c r="B1314" s="81"/>
      <c r="H1314" s="83"/>
    </row>
    <row r="1315" spans="1:8" x14ac:dyDescent="0.3">
      <c r="A1315" s="82"/>
      <c r="B1315" s="81"/>
      <c r="H1315" s="83"/>
    </row>
    <row r="1316" spans="1:8" x14ac:dyDescent="0.3">
      <c r="A1316" s="82"/>
      <c r="B1316" s="81"/>
      <c r="H1316" s="83"/>
    </row>
    <row r="1317" spans="1:8" x14ac:dyDescent="0.3">
      <c r="A1317" s="82"/>
      <c r="B1317" s="81"/>
      <c r="H1317" s="83"/>
    </row>
    <row r="1318" spans="1:8" x14ac:dyDescent="0.3">
      <c r="A1318" s="82"/>
      <c r="B1318" s="81"/>
      <c r="H1318" s="83"/>
    </row>
    <row r="1319" spans="1:8" x14ac:dyDescent="0.3">
      <c r="A1319" s="82"/>
      <c r="B1319" s="81"/>
      <c r="H1319" s="83"/>
    </row>
    <row r="1320" spans="1:8" x14ac:dyDescent="0.3">
      <c r="A1320" s="82"/>
      <c r="B1320" s="81"/>
      <c r="H1320" s="83"/>
    </row>
    <row r="1321" spans="1:8" x14ac:dyDescent="0.3">
      <c r="A1321" s="82"/>
      <c r="B1321" s="81"/>
      <c r="H1321" s="83"/>
    </row>
    <row r="1322" spans="1:8" x14ac:dyDescent="0.3">
      <c r="A1322" s="82"/>
      <c r="B1322" s="81"/>
      <c r="H1322" s="83"/>
    </row>
    <row r="1323" spans="1:8" x14ac:dyDescent="0.3">
      <c r="A1323" s="82"/>
      <c r="B1323" s="81"/>
      <c r="H1323" s="83"/>
    </row>
    <row r="1324" spans="1:8" x14ac:dyDescent="0.3">
      <c r="A1324" s="82"/>
      <c r="B1324" s="81"/>
      <c r="H1324" s="83"/>
    </row>
    <row r="1325" spans="1:8" x14ac:dyDescent="0.3">
      <c r="A1325" s="82"/>
      <c r="B1325" s="81"/>
      <c r="H1325" s="83"/>
    </row>
    <row r="1326" spans="1:8" x14ac:dyDescent="0.3">
      <c r="A1326" s="82"/>
      <c r="B1326" s="81"/>
      <c r="H1326" s="83"/>
    </row>
    <row r="1327" spans="1:8" x14ac:dyDescent="0.3">
      <c r="A1327" s="82"/>
      <c r="B1327" s="81"/>
      <c r="H1327" s="83"/>
    </row>
    <row r="1328" spans="1:8" x14ac:dyDescent="0.3">
      <c r="A1328" s="82"/>
      <c r="B1328" s="81"/>
      <c r="H1328" s="83"/>
    </row>
    <row r="1329" spans="1:8" x14ac:dyDescent="0.3">
      <c r="A1329" s="82"/>
      <c r="B1329" s="81"/>
      <c r="H1329" s="83"/>
    </row>
    <row r="1330" spans="1:8" x14ac:dyDescent="0.3">
      <c r="A1330" s="82"/>
      <c r="B1330" s="81"/>
      <c r="H1330" s="83"/>
    </row>
    <row r="1331" spans="1:8" x14ac:dyDescent="0.3">
      <c r="A1331" s="82"/>
      <c r="B1331" s="81"/>
      <c r="H1331" s="83"/>
    </row>
    <row r="1332" spans="1:8" x14ac:dyDescent="0.3">
      <c r="A1332" s="82"/>
      <c r="B1332" s="81"/>
      <c r="H1332" s="83"/>
    </row>
    <row r="1333" spans="1:8" x14ac:dyDescent="0.3">
      <c r="A1333" s="82"/>
      <c r="B1333" s="81"/>
      <c r="H1333" s="83"/>
    </row>
    <row r="1334" spans="1:8" x14ac:dyDescent="0.3">
      <c r="A1334" s="82"/>
      <c r="B1334" s="81"/>
      <c r="H1334" s="83"/>
    </row>
    <row r="1335" spans="1:8" x14ac:dyDescent="0.3">
      <c r="A1335" s="82"/>
      <c r="B1335" s="81"/>
      <c r="H1335" s="83"/>
    </row>
    <row r="1336" spans="1:8" x14ac:dyDescent="0.3">
      <c r="A1336" s="82"/>
      <c r="B1336" s="81"/>
      <c r="H1336" s="83"/>
    </row>
    <row r="1337" spans="1:8" x14ac:dyDescent="0.3">
      <c r="A1337" s="82"/>
      <c r="B1337" s="81"/>
      <c r="H1337" s="83"/>
    </row>
    <row r="1338" spans="1:8" x14ac:dyDescent="0.3">
      <c r="A1338" s="82"/>
      <c r="B1338" s="81"/>
      <c r="H1338" s="83"/>
    </row>
    <row r="1339" spans="1:8" x14ac:dyDescent="0.3">
      <c r="A1339" s="82"/>
      <c r="B1339" s="81"/>
      <c r="H1339" s="83"/>
    </row>
    <row r="1340" spans="1:8" x14ac:dyDescent="0.3">
      <c r="A1340" s="82"/>
      <c r="B1340" s="81"/>
      <c r="H1340" s="83"/>
    </row>
    <row r="1341" spans="1:8" x14ac:dyDescent="0.3">
      <c r="A1341" s="82"/>
      <c r="B1341" s="81"/>
      <c r="H1341" s="83"/>
    </row>
    <row r="1342" spans="1:8" x14ac:dyDescent="0.3">
      <c r="A1342" s="82"/>
      <c r="B1342" s="81"/>
      <c r="H1342" s="83"/>
    </row>
    <row r="1343" spans="1:8" x14ac:dyDescent="0.3">
      <c r="A1343" s="82"/>
      <c r="B1343" s="81"/>
      <c r="H1343" s="83"/>
    </row>
    <row r="1344" spans="1:8" x14ac:dyDescent="0.3">
      <c r="A1344" s="82"/>
      <c r="B1344" s="81"/>
      <c r="H1344" s="83"/>
    </row>
    <row r="1345" spans="1:8" x14ac:dyDescent="0.3">
      <c r="A1345" s="82"/>
      <c r="B1345" s="81"/>
      <c r="H1345" s="83"/>
    </row>
    <row r="1346" spans="1:8" x14ac:dyDescent="0.3">
      <c r="A1346" s="82"/>
      <c r="B1346" s="81"/>
      <c r="H1346" s="83"/>
    </row>
    <row r="1347" spans="1:8" x14ac:dyDescent="0.3">
      <c r="A1347" s="82"/>
      <c r="B1347" s="81"/>
      <c r="H1347" s="83"/>
    </row>
    <row r="1348" spans="1:8" x14ac:dyDescent="0.3">
      <c r="A1348" s="82"/>
      <c r="B1348" s="81"/>
      <c r="H1348" s="83"/>
    </row>
    <row r="1349" spans="1:8" x14ac:dyDescent="0.3">
      <c r="A1349" s="82"/>
      <c r="B1349" s="81"/>
      <c r="H1349" s="83"/>
    </row>
    <row r="1350" spans="1:8" x14ac:dyDescent="0.3">
      <c r="A1350" s="82"/>
      <c r="B1350" s="81"/>
      <c r="H1350" s="83"/>
    </row>
    <row r="1351" spans="1:8" x14ac:dyDescent="0.3">
      <c r="A1351" s="82"/>
      <c r="B1351" s="81"/>
      <c r="H1351" s="83"/>
    </row>
    <row r="1352" spans="1:8" x14ac:dyDescent="0.3">
      <c r="A1352" s="82"/>
      <c r="B1352" s="81"/>
      <c r="H1352" s="83"/>
    </row>
    <row r="1353" spans="1:8" x14ac:dyDescent="0.3">
      <c r="A1353" s="82"/>
      <c r="B1353" s="81"/>
      <c r="H1353" s="83"/>
    </row>
    <row r="1354" spans="1:8" x14ac:dyDescent="0.3">
      <c r="A1354" s="82"/>
      <c r="B1354" s="81"/>
      <c r="H1354" s="83"/>
    </row>
    <row r="1355" spans="1:8" x14ac:dyDescent="0.3">
      <c r="A1355" s="82"/>
      <c r="B1355" s="81"/>
      <c r="H1355" s="83"/>
    </row>
    <row r="1356" spans="1:8" x14ac:dyDescent="0.3">
      <c r="A1356" s="82"/>
      <c r="B1356" s="81"/>
      <c r="H1356" s="83"/>
    </row>
    <row r="1357" spans="1:8" x14ac:dyDescent="0.3">
      <c r="A1357" s="82"/>
      <c r="B1357" s="81"/>
      <c r="H1357" s="83"/>
    </row>
    <row r="1358" spans="1:8" x14ac:dyDescent="0.3">
      <c r="A1358" s="82"/>
      <c r="B1358" s="81"/>
      <c r="H1358" s="83"/>
    </row>
    <row r="1359" spans="1:8" x14ac:dyDescent="0.3">
      <c r="A1359" s="82"/>
      <c r="B1359" s="81"/>
      <c r="H1359" s="83"/>
    </row>
    <row r="1360" spans="1:8" x14ac:dyDescent="0.3">
      <c r="A1360" s="82"/>
      <c r="B1360" s="81"/>
      <c r="H1360" s="83"/>
    </row>
    <row r="1361" spans="1:8" x14ac:dyDescent="0.3">
      <c r="A1361" s="82"/>
      <c r="B1361" s="81"/>
      <c r="H1361" s="83"/>
    </row>
    <row r="1362" spans="1:8" x14ac:dyDescent="0.3">
      <c r="A1362" s="82"/>
      <c r="B1362" s="81"/>
      <c r="H1362" s="83"/>
    </row>
    <row r="1363" spans="1:8" x14ac:dyDescent="0.3">
      <c r="A1363" s="82"/>
      <c r="B1363" s="81"/>
      <c r="H1363" s="83"/>
    </row>
    <row r="1364" spans="1:8" x14ac:dyDescent="0.3">
      <c r="A1364" s="82"/>
      <c r="B1364" s="81"/>
      <c r="H1364" s="83"/>
    </row>
    <row r="1365" spans="1:8" x14ac:dyDescent="0.3">
      <c r="A1365" s="82"/>
      <c r="B1365" s="81"/>
      <c r="H1365" s="83"/>
    </row>
    <row r="1366" spans="1:8" x14ac:dyDescent="0.3">
      <c r="A1366" s="82"/>
      <c r="B1366" s="81"/>
      <c r="H1366" s="83"/>
    </row>
    <row r="1367" spans="1:8" x14ac:dyDescent="0.3">
      <c r="A1367" s="82"/>
      <c r="B1367" s="81"/>
      <c r="H1367" s="83"/>
    </row>
    <row r="1368" spans="1:8" x14ac:dyDescent="0.3">
      <c r="A1368" s="82"/>
      <c r="B1368" s="81"/>
      <c r="H1368" s="83"/>
    </row>
    <row r="1369" spans="1:8" x14ac:dyDescent="0.3">
      <c r="A1369" s="82"/>
      <c r="B1369" s="81"/>
      <c r="H1369" s="83"/>
    </row>
    <row r="1370" spans="1:8" x14ac:dyDescent="0.3">
      <c r="A1370" s="82"/>
      <c r="B1370" s="81"/>
      <c r="H1370" s="83"/>
    </row>
    <row r="1371" spans="1:8" x14ac:dyDescent="0.3">
      <c r="A1371" s="82"/>
      <c r="B1371" s="81"/>
      <c r="H1371" s="83"/>
    </row>
    <row r="1372" spans="1:8" x14ac:dyDescent="0.3">
      <c r="A1372" s="82"/>
      <c r="B1372" s="81"/>
      <c r="H1372" s="83"/>
    </row>
    <row r="1373" spans="1:8" x14ac:dyDescent="0.3">
      <c r="A1373" s="82"/>
      <c r="B1373" s="81"/>
      <c r="H1373" s="83"/>
    </row>
    <row r="1374" spans="1:8" x14ac:dyDescent="0.3">
      <c r="A1374" s="82"/>
      <c r="B1374" s="81"/>
      <c r="H1374" s="83"/>
    </row>
    <row r="1375" spans="1:8" x14ac:dyDescent="0.3">
      <c r="A1375" s="82"/>
      <c r="B1375" s="81"/>
      <c r="H1375" s="83"/>
    </row>
    <row r="1376" spans="1:8" x14ac:dyDescent="0.3">
      <c r="A1376" s="82"/>
      <c r="B1376" s="81"/>
      <c r="H1376" s="83"/>
    </row>
    <row r="1377" spans="1:8" x14ac:dyDescent="0.3">
      <c r="A1377" s="82"/>
      <c r="B1377" s="81"/>
      <c r="H1377" s="83"/>
    </row>
    <row r="1378" spans="1:8" x14ac:dyDescent="0.3">
      <c r="A1378" s="82"/>
      <c r="B1378" s="81"/>
      <c r="H1378" s="83"/>
    </row>
    <row r="1379" spans="1:8" x14ac:dyDescent="0.3">
      <c r="A1379" s="82"/>
      <c r="B1379" s="81"/>
      <c r="H1379" s="83"/>
    </row>
    <row r="1380" spans="1:8" x14ac:dyDescent="0.3">
      <c r="A1380" s="82"/>
      <c r="B1380" s="81"/>
      <c r="H1380" s="83"/>
    </row>
    <row r="1381" spans="1:8" x14ac:dyDescent="0.3">
      <c r="A1381" s="82"/>
      <c r="B1381" s="81"/>
      <c r="H1381" s="83"/>
    </row>
    <row r="1382" spans="1:8" x14ac:dyDescent="0.3">
      <c r="A1382" s="82"/>
      <c r="B1382" s="81"/>
      <c r="H1382" s="83"/>
    </row>
    <row r="1383" spans="1:8" x14ac:dyDescent="0.3">
      <c r="A1383" s="82"/>
      <c r="B1383" s="81"/>
      <c r="H1383" s="83"/>
    </row>
    <row r="1384" spans="1:8" x14ac:dyDescent="0.3">
      <c r="A1384" s="82"/>
      <c r="B1384" s="81"/>
      <c r="H1384" s="83"/>
    </row>
    <row r="1385" spans="1:8" x14ac:dyDescent="0.3">
      <c r="A1385" s="82"/>
      <c r="B1385" s="81"/>
      <c r="H1385" s="83"/>
    </row>
    <row r="1386" spans="1:8" x14ac:dyDescent="0.3">
      <c r="A1386" s="82"/>
      <c r="B1386" s="81"/>
      <c r="H1386" s="83"/>
    </row>
    <row r="1387" spans="1:8" x14ac:dyDescent="0.3">
      <c r="A1387" s="82"/>
      <c r="B1387" s="81"/>
      <c r="H1387" s="83"/>
    </row>
    <row r="1388" spans="1:8" x14ac:dyDescent="0.3">
      <c r="A1388" s="82"/>
      <c r="B1388" s="81"/>
      <c r="H1388" s="83"/>
    </row>
    <row r="1389" spans="1:8" x14ac:dyDescent="0.3">
      <c r="A1389" s="82"/>
      <c r="B1389" s="81"/>
      <c r="H1389" s="83"/>
    </row>
    <row r="1390" spans="1:8" x14ac:dyDescent="0.3">
      <c r="A1390" s="82"/>
      <c r="B1390" s="81"/>
      <c r="H1390" s="83"/>
    </row>
    <row r="1391" spans="1:8" x14ac:dyDescent="0.3">
      <c r="A1391" s="82"/>
      <c r="B1391" s="81"/>
      <c r="H1391" s="83"/>
    </row>
    <row r="1392" spans="1:8" x14ac:dyDescent="0.3">
      <c r="A1392" s="82"/>
      <c r="B1392" s="81"/>
      <c r="H1392" s="83"/>
    </row>
    <row r="1393" spans="1:8" x14ac:dyDescent="0.3">
      <c r="A1393" s="82"/>
      <c r="B1393" s="81"/>
      <c r="H1393" s="83"/>
    </row>
    <row r="1394" spans="1:8" x14ac:dyDescent="0.3">
      <c r="A1394" s="82"/>
      <c r="B1394" s="81"/>
      <c r="H1394" s="83"/>
    </row>
    <row r="1395" spans="1:8" x14ac:dyDescent="0.3">
      <c r="A1395" s="82"/>
      <c r="B1395" s="81"/>
      <c r="H1395" s="83"/>
    </row>
    <row r="1396" spans="1:8" x14ac:dyDescent="0.3">
      <c r="A1396" s="82"/>
      <c r="B1396" s="81"/>
      <c r="H1396" s="83"/>
    </row>
    <row r="1397" spans="1:8" x14ac:dyDescent="0.3">
      <c r="A1397" s="82"/>
      <c r="B1397" s="81"/>
      <c r="H1397" s="83"/>
    </row>
    <row r="1398" spans="1:8" x14ac:dyDescent="0.3">
      <c r="A1398" s="82"/>
      <c r="B1398" s="81"/>
      <c r="H1398" s="83"/>
    </row>
    <row r="1399" spans="1:8" x14ac:dyDescent="0.3">
      <c r="A1399" s="82"/>
      <c r="B1399" s="81"/>
      <c r="H1399" s="83"/>
    </row>
    <row r="1400" spans="1:8" x14ac:dyDescent="0.3">
      <c r="A1400" s="82"/>
      <c r="B1400" s="81"/>
      <c r="H1400" s="83"/>
    </row>
    <row r="1401" spans="1:8" x14ac:dyDescent="0.3">
      <c r="A1401" s="82"/>
      <c r="B1401" s="81"/>
      <c r="H1401" s="83"/>
    </row>
    <row r="1402" spans="1:8" x14ac:dyDescent="0.3">
      <c r="A1402" s="82"/>
      <c r="B1402" s="81"/>
      <c r="H1402" s="83"/>
    </row>
    <row r="1403" spans="1:8" x14ac:dyDescent="0.3">
      <c r="A1403" s="82"/>
      <c r="B1403" s="81"/>
      <c r="H1403" s="83"/>
    </row>
    <row r="1404" spans="1:8" x14ac:dyDescent="0.3">
      <c r="A1404" s="82"/>
      <c r="B1404" s="81"/>
      <c r="H1404" s="83"/>
    </row>
    <row r="1405" spans="1:8" x14ac:dyDescent="0.3">
      <c r="A1405" s="82"/>
      <c r="B1405" s="81"/>
      <c r="H1405" s="83"/>
    </row>
    <row r="1406" spans="1:8" x14ac:dyDescent="0.3">
      <c r="A1406" s="82"/>
      <c r="B1406" s="81"/>
      <c r="H1406" s="83"/>
    </row>
    <row r="1407" spans="1:8" x14ac:dyDescent="0.3">
      <c r="A1407" s="82"/>
      <c r="B1407" s="81"/>
      <c r="H1407" s="83"/>
    </row>
    <row r="1408" spans="1:8" x14ac:dyDescent="0.3">
      <c r="A1408" s="82"/>
      <c r="B1408" s="81"/>
      <c r="H1408" s="83"/>
    </row>
    <row r="1409" spans="1:8" x14ac:dyDescent="0.3">
      <c r="A1409" s="82"/>
      <c r="B1409" s="81"/>
      <c r="H1409" s="83"/>
    </row>
    <row r="1410" spans="1:8" x14ac:dyDescent="0.3">
      <c r="A1410" s="82"/>
      <c r="B1410" s="81"/>
      <c r="H1410" s="83"/>
    </row>
    <row r="1411" spans="1:8" x14ac:dyDescent="0.3">
      <c r="A1411" s="82"/>
      <c r="B1411" s="81"/>
      <c r="H1411" s="83"/>
    </row>
    <row r="1412" spans="1:8" x14ac:dyDescent="0.3">
      <c r="A1412" s="82"/>
      <c r="B1412" s="81"/>
      <c r="H1412" s="83"/>
    </row>
    <row r="1413" spans="1:8" x14ac:dyDescent="0.3">
      <c r="A1413" s="82"/>
      <c r="B1413" s="81"/>
      <c r="H1413" s="83"/>
    </row>
    <row r="1414" spans="1:8" x14ac:dyDescent="0.3">
      <c r="A1414" s="82"/>
      <c r="B1414" s="81"/>
      <c r="H1414" s="83"/>
    </row>
    <row r="1415" spans="1:8" x14ac:dyDescent="0.3">
      <c r="A1415" s="82"/>
      <c r="B1415" s="81"/>
      <c r="H1415" s="83"/>
    </row>
    <row r="1416" spans="1:8" x14ac:dyDescent="0.3">
      <c r="A1416" s="82"/>
      <c r="B1416" s="81"/>
      <c r="H1416" s="83"/>
    </row>
    <row r="1417" spans="1:8" x14ac:dyDescent="0.3">
      <c r="A1417" s="82"/>
      <c r="B1417" s="81"/>
      <c r="H1417" s="83"/>
    </row>
    <row r="1418" spans="1:8" x14ac:dyDescent="0.3">
      <c r="A1418" s="82"/>
      <c r="B1418" s="81"/>
      <c r="H1418" s="83"/>
    </row>
    <row r="1419" spans="1:8" x14ac:dyDescent="0.3">
      <c r="A1419" s="82"/>
      <c r="B1419" s="81"/>
      <c r="H1419" s="83"/>
    </row>
    <row r="1420" spans="1:8" x14ac:dyDescent="0.3">
      <c r="A1420" s="82"/>
      <c r="B1420" s="81"/>
      <c r="H1420" s="83"/>
    </row>
    <row r="1421" spans="1:8" x14ac:dyDescent="0.3">
      <c r="A1421" s="82"/>
      <c r="B1421" s="81"/>
      <c r="H1421" s="83"/>
    </row>
    <row r="1422" spans="1:8" x14ac:dyDescent="0.3">
      <c r="A1422" s="82"/>
      <c r="B1422" s="81"/>
      <c r="H1422" s="83"/>
    </row>
    <row r="1423" spans="1:8" x14ac:dyDescent="0.3">
      <c r="A1423" s="82"/>
      <c r="B1423" s="81"/>
      <c r="H1423" s="83"/>
    </row>
    <row r="1424" spans="1:8" x14ac:dyDescent="0.3">
      <c r="A1424" s="82"/>
      <c r="B1424" s="81"/>
      <c r="H1424" s="83"/>
    </row>
    <row r="1425" spans="1:8" x14ac:dyDescent="0.3">
      <c r="A1425" s="82"/>
      <c r="B1425" s="81"/>
      <c r="H1425" s="83"/>
    </row>
    <row r="1426" spans="1:8" x14ac:dyDescent="0.3">
      <c r="A1426" s="82"/>
      <c r="B1426" s="81"/>
      <c r="H1426" s="83"/>
    </row>
    <row r="1427" spans="1:8" x14ac:dyDescent="0.3">
      <c r="A1427" s="82"/>
      <c r="B1427" s="81"/>
      <c r="H1427" s="83"/>
    </row>
    <row r="1428" spans="1:8" x14ac:dyDescent="0.3">
      <c r="A1428" s="82"/>
      <c r="B1428" s="81"/>
      <c r="H1428" s="83"/>
    </row>
    <row r="1429" spans="1:8" x14ac:dyDescent="0.3">
      <c r="A1429" s="82"/>
      <c r="B1429" s="81"/>
      <c r="H1429" s="83"/>
    </row>
    <row r="1430" spans="1:8" x14ac:dyDescent="0.3">
      <c r="A1430" s="82"/>
      <c r="B1430" s="81"/>
      <c r="H1430" s="83"/>
    </row>
    <row r="1431" spans="1:8" x14ac:dyDescent="0.3">
      <c r="A1431" s="82"/>
      <c r="B1431" s="81"/>
      <c r="H1431" s="83"/>
    </row>
    <row r="1432" spans="1:8" x14ac:dyDescent="0.3">
      <c r="A1432" s="82"/>
      <c r="B1432" s="81"/>
      <c r="H1432" s="83"/>
    </row>
    <row r="1433" spans="1:8" x14ac:dyDescent="0.3">
      <c r="A1433" s="82"/>
      <c r="B1433" s="81"/>
      <c r="H1433" s="83"/>
    </row>
    <row r="1434" spans="1:8" x14ac:dyDescent="0.3">
      <c r="A1434" s="82"/>
      <c r="B1434" s="81"/>
      <c r="H1434" s="83"/>
    </row>
    <row r="1435" spans="1:8" x14ac:dyDescent="0.3">
      <c r="A1435" s="82"/>
      <c r="B1435" s="81"/>
      <c r="H1435" s="83"/>
    </row>
    <row r="1436" spans="1:8" x14ac:dyDescent="0.3">
      <c r="A1436" s="82"/>
      <c r="B1436" s="81"/>
      <c r="H1436" s="83"/>
    </row>
    <row r="1437" spans="1:8" x14ac:dyDescent="0.3">
      <c r="A1437" s="82"/>
      <c r="B1437" s="81"/>
      <c r="H1437" s="83"/>
    </row>
    <row r="1438" spans="1:8" x14ac:dyDescent="0.3">
      <c r="A1438" s="82"/>
      <c r="B1438" s="81"/>
      <c r="H1438" s="83"/>
    </row>
    <row r="1439" spans="1:8" x14ac:dyDescent="0.3">
      <c r="A1439" s="82"/>
      <c r="B1439" s="81"/>
      <c r="H1439" s="83"/>
    </row>
    <row r="1440" spans="1:8" x14ac:dyDescent="0.3">
      <c r="A1440" s="82"/>
      <c r="B1440" s="81"/>
      <c r="H1440" s="83"/>
    </row>
    <row r="1441" spans="1:8" x14ac:dyDescent="0.3">
      <c r="A1441" s="82"/>
      <c r="B1441" s="81"/>
      <c r="H1441" s="83"/>
    </row>
    <row r="1442" spans="1:8" x14ac:dyDescent="0.3">
      <c r="A1442" s="82"/>
      <c r="B1442" s="81"/>
      <c r="H1442" s="83"/>
    </row>
    <row r="1443" spans="1:8" x14ac:dyDescent="0.3">
      <c r="A1443" s="82"/>
      <c r="B1443" s="81"/>
      <c r="H1443" s="83"/>
    </row>
    <row r="1444" spans="1:8" x14ac:dyDescent="0.3">
      <c r="A1444" s="82"/>
      <c r="B1444" s="81"/>
      <c r="H1444" s="83"/>
    </row>
    <row r="1445" spans="1:8" x14ac:dyDescent="0.3">
      <c r="A1445" s="82"/>
      <c r="B1445" s="81"/>
      <c r="H1445" s="83"/>
    </row>
    <row r="1446" spans="1:8" x14ac:dyDescent="0.3">
      <c r="A1446" s="82"/>
      <c r="B1446" s="81"/>
      <c r="H1446" s="83"/>
    </row>
    <row r="1447" spans="1:8" x14ac:dyDescent="0.3">
      <c r="A1447" s="82"/>
      <c r="B1447" s="81"/>
      <c r="H1447" s="83"/>
    </row>
    <row r="1448" spans="1:8" x14ac:dyDescent="0.3">
      <c r="A1448" s="82"/>
      <c r="B1448" s="81"/>
      <c r="H1448" s="83"/>
    </row>
    <row r="1449" spans="1:8" x14ac:dyDescent="0.3">
      <c r="A1449" s="82"/>
      <c r="B1449" s="81"/>
      <c r="H1449" s="83"/>
    </row>
    <row r="1450" spans="1:8" x14ac:dyDescent="0.3">
      <c r="A1450" s="82"/>
      <c r="B1450" s="81"/>
      <c r="H1450" s="83"/>
    </row>
    <row r="1451" spans="1:8" x14ac:dyDescent="0.3">
      <c r="A1451" s="82"/>
      <c r="B1451" s="81"/>
      <c r="H1451" s="83"/>
    </row>
    <row r="1452" spans="1:8" x14ac:dyDescent="0.3">
      <c r="A1452" s="82"/>
      <c r="B1452" s="81"/>
      <c r="H1452" s="83"/>
    </row>
    <row r="1453" spans="1:8" x14ac:dyDescent="0.3">
      <c r="A1453" s="82"/>
      <c r="B1453" s="81"/>
      <c r="H1453" s="83"/>
    </row>
    <row r="1454" spans="1:8" x14ac:dyDescent="0.3">
      <c r="A1454" s="82"/>
      <c r="B1454" s="81"/>
      <c r="H1454" s="83"/>
    </row>
    <row r="1455" spans="1:8" x14ac:dyDescent="0.3">
      <c r="A1455" s="82"/>
      <c r="B1455" s="81"/>
      <c r="H1455" s="83"/>
    </row>
    <row r="1456" spans="1:8" x14ac:dyDescent="0.3">
      <c r="A1456" s="82"/>
      <c r="B1456" s="81"/>
      <c r="H1456" s="83"/>
    </row>
    <row r="1457" spans="1:8" x14ac:dyDescent="0.3">
      <c r="A1457" s="82"/>
      <c r="B1457" s="81"/>
      <c r="H1457" s="83"/>
    </row>
    <row r="1458" spans="1:8" x14ac:dyDescent="0.3">
      <c r="A1458" s="82"/>
      <c r="B1458" s="81"/>
      <c r="H1458" s="83"/>
    </row>
    <row r="1459" spans="1:8" x14ac:dyDescent="0.3">
      <c r="A1459" s="82"/>
      <c r="B1459" s="81"/>
      <c r="H1459" s="83"/>
    </row>
    <row r="1460" spans="1:8" x14ac:dyDescent="0.3">
      <c r="A1460" s="82"/>
      <c r="B1460" s="81"/>
      <c r="H1460" s="83"/>
    </row>
    <row r="1461" spans="1:8" x14ac:dyDescent="0.3">
      <c r="A1461" s="82"/>
      <c r="B1461" s="81"/>
      <c r="H1461" s="83"/>
    </row>
    <row r="1462" spans="1:8" x14ac:dyDescent="0.3">
      <c r="A1462" s="82"/>
      <c r="B1462" s="81"/>
      <c r="H1462" s="83"/>
    </row>
    <row r="1463" spans="1:8" x14ac:dyDescent="0.3">
      <c r="A1463" s="82"/>
      <c r="B1463" s="81"/>
      <c r="H1463" s="83"/>
    </row>
    <row r="1464" spans="1:8" x14ac:dyDescent="0.3">
      <c r="A1464" s="82"/>
      <c r="B1464" s="81"/>
      <c r="H1464" s="83"/>
    </row>
    <row r="1465" spans="1:8" x14ac:dyDescent="0.3">
      <c r="A1465" s="82"/>
      <c r="B1465" s="81"/>
      <c r="H1465" s="83"/>
    </row>
    <row r="1466" spans="1:8" x14ac:dyDescent="0.3">
      <c r="A1466" s="82"/>
      <c r="B1466" s="81"/>
      <c r="H1466" s="83"/>
    </row>
    <row r="1467" spans="1:8" x14ac:dyDescent="0.3">
      <c r="A1467" s="82"/>
      <c r="B1467" s="81"/>
      <c r="H1467" s="83"/>
    </row>
    <row r="1468" spans="1:8" x14ac:dyDescent="0.3">
      <c r="A1468" s="82"/>
      <c r="B1468" s="81"/>
      <c r="H1468" s="83"/>
    </row>
    <row r="1469" spans="1:8" x14ac:dyDescent="0.3">
      <c r="A1469" s="82"/>
      <c r="B1469" s="81"/>
      <c r="H1469" s="83"/>
    </row>
    <row r="1470" spans="1:8" x14ac:dyDescent="0.3">
      <c r="A1470" s="82"/>
      <c r="B1470" s="81"/>
      <c r="H1470" s="83"/>
    </row>
    <row r="1471" spans="1:8" x14ac:dyDescent="0.3">
      <c r="A1471" s="82"/>
      <c r="B1471" s="81"/>
      <c r="H1471" s="83"/>
    </row>
    <row r="1472" spans="1:8" x14ac:dyDescent="0.3">
      <c r="A1472" s="82"/>
      <c r="B1472" s="81"/>
      <c r="H1472" s="83"/>
    </row>
    <row r="1473" spans="1:8" x14ac:dyDescent="0.3">
      <c r="A1473" s="82"/>
      <c r="B1473" s="81"/>
      <c r="H1473" s="83"/>
    </row>
    <row r="1474" spans="1:8" x14ac:dyDescent="0.3">
      <c r="A1474" s="82"/>
      <c r="B1474" s="81"/>
      <c r="H1474" s="83"/>
    </row>
    <row r="1475" spans="1:8" x14ac:dyDescent="0.3">
      <c r="A1475" s="82"/>
      <c r="B1475" s="81"/>
      <c r="H1475" s="83"/>
    </row>
    <row r="1476" spans="1:8" x14ac:dyDescent="0.3">
      <c r="A1476" s="82"/>
      <c r="B1476" s="81"/>
      <c r="H1476" s="83"/>
    </row>
    <row r="1477" spans="1:8" x14ac:dyDescent="0.3">
      <c r="A1477" s="82"/>
      <c r="B1477" s="81"/>
      <c r="H1477" s="83"/>
    </row>
    <row r="1478" spans="1:8" x14ac:dyDescent="0.3">
      <c r="A1478" s="82"/>
      <c r="B1478" s="81"/>
      <c r="H1478" s="83"/>
    </row>
    <row r="1479" spans="1:8" x14ac:dyDescent="0.3">
      <c r="A1479" s="82"/>
      <c r="B1479" s="81"/>
      <c r="H1479" s="83"/>
    </row>
    <row r="1480" spans="1:8" x14ac:dyDescent="0.3">
      <c r="A1480" s="82"/>
      <c r="B1480" s="81"/>
      <c r="H1480" s="83"/>
    </row>
    <row r="1481" spans="1:8" x14ac:dyDescent="0.3">
      <c r="A1481" s="82"/>
      <c r="B1481" s="81"/>
      <c r="H1481" s="83"/>
    </row>
    <row r="1482" spans="1:8" x14ac:dyDescent="0.3">
      <c r="A1482" s="82"/>
      <c r="B1482" s="81"/>
      <c r="H1482" s="83"/>
    </row>
    <row r="1483" spans="1:8" x14ac:dyDescent="0.3">
      <c r="A1483" s="82"/>
      <c r="B1483" s="81"/>
      <c r="H1483" s="83"/>
    </row>
    <row r="1484" spans="1:8" x14ac:dyDescent="0.3">
      <c r="A1484" s="82"/>
      <c r="B1484" s="81"/>
      <c r="H1484" s="83"/>
    </row>
    <row r="1485" spans="1:8" x14ac:dyDescent="0.3">
      <c r="A1485" s="82"/>
      <c r="B1485" s="81"/>
      <c r="H1485" s="83"/>
    </row>
    <row r="1486" spans="1:8" x14ac:dyDescent="0.3">
      <c r="A1486" s="82"/>
      <c r="B1486" s="81"/>
      <c r="H1486" s="83"/>
    </row>
    <row r="1487" spans="1:8" x14ac:dyDescent="0.3">
      <c r="A1487" s="82"/>
      <c r="B1487" s="81"/>
      <c r="H1487" s="83"/>
    </row>
    <row r="1488" spans="1:8" x14ac:dyDescent="0.3">
      <c r="A1488" s="82"/>
      <c r="B1488" s="81"/>
      <c r="H1488" s="83"/>
    </row>
    <row r="1489" spans="1:8" x14ac:dyDescent="0.3">
      <c r="A1489" s="82"/>
      <c r="B1489" s="81"/>
      <c r="H1489" s="83"/>
    </row>
    <row r="1490" spans="1:8" x14ac:dyDescent="0.3">
      <c r="A1490" s="82"/>
      <c r="B1490" s="81"/>
      <c r="H1490" s="83"/>
    </row>
    <row r="1491" spans="1:8" x14ac:dyDescent="0.3">
      <c r="A1491" s="82"/>
      <c r="B1491" s="81"/>
      <c r="H1491" s="83"/>
    </row>
    <row r="1492" spans="1:8" x14ac:dyDescent="0.3">
      <c r="A1492" s="82"/>
      <c r="B1492" s="81"/>
      <c r="H1492" s="83"/>
    </row>
    <row r="1493" spans="1:8" x14ac:dyDescent="0.3">
      <c r="A1493" s="82"/>
      <c r="B1493" s="81"/>
      <c r="H1493" s="83"/>
    </row>
    <row r="1494" spans="1:8" x14ac:dyDescent="0.3">
      <c r="A1494" s="82"/>
      <c r="B1494" s="81"/>
      <c r="H1494" s="83"/>
    </row>
    <row r="1495" spans="1:8" x14ac:dyDescent="0.3">
      <c r="A1495" s="82"/>
      <c r="B1495" s="81"/>
      <c r="H1495" s="83"/>
    </row>
    <row r="1496" spans="1:8" x14ac:dyDescent="0.3">
      <c r="A1496" s="82"/>
      <c r="B1496" s="81"/>
      <c r="H1496" s="83"/>
    </row>
    <row r="1497" spans="1:8" x14ac:dyDescent="0.3">
      <c r="A1497" s="82"/>
      <c r="B1497" s="81"/>
      <c r="H1497" s="83"/>
    </row>
    <row r="1498" spans="1:8" x14ac:dyDescent="0.3">
      <c r="A1498" s="82"/>
      <c r="B1498" s="81"/>
      <c r="H1498" s="83"/>
    </row>
    <row r="1499" spans="1:8" x14ac:dyDescent="0.3">
      <c r="A1499" s="82"/>
      <c r="B1499" s="81"/>
      <c r="H1499" s="83"/>
    </row>
    <row r="1500" spans="1:8" x14ac:dyDescent="0.3">
      <c r="A1500" s="82"/>
      <c r="B1500" s="81"/>
      <c r="H1500" s="83"/>
    </row>
    <row r="1501" spans="1:8" x14ac:dyDescent="0.3">
      <c r="A1501" s="82"/>
      <c r="B1501" s="81"/>
      <c r="H1501" s="83"/>
    </row>
    <row r="1502" spans="1:8" x14ac:dyDescent="0.3">
      <c r="A1502" s="82"/>
      <c r="B1502" s="81"/>
      <c r="H1502" s="83"/>
    </row>
    <row r="1503" spans="1:8" x14ac:dyDescent="0.3">
      <c r="A1503" s="82"/>
      <c r="B1503" s="81"/>
      <c r="H1503" s="83"/>
    </row>
    <row r="1504" spans="1:8" x14ac:dyDescent="0.3">
      <c r="A1504" s="82"/>
      <c r="B1504" s="81"/>
      <c r="H1504" s="83"/>
    </row>
    <row r="1505" spans="1:8" x14ac:dyDescent="0.3">
      <c r="A1505" s="82"/>
      <c r="B1505" s="81"/>
      <c r="H1505" s="83"/>
    </row>
    <row r="1506" spans="1:8" x14ac:dyDescent="0.3">
      <c r="A1506" s="82"/>
      <c r="B1506" s="81"/>
      <c r="H1506" s="83"/>
    </row>
    <row r="1507" spans="1:8" x14ac:dyDescent="0.3">
      <c r="A1507" s="82"/>
      <c r="B1507" s="81"/>
      <c r="H1507" s="83"/>
    </row>
    <row r="1508" spans="1:8" x14ac:dyDescent="0.3">
      <c r="A1508" s="82"/>
      <c r="B1508" s="81"/>
      <c r="H1508" s="83"/>
    </row>
    <row r="1509" spans="1:8" x14ac:dyDescent="0.3">
      <c r="A1509" s="82"/>
      <c r="B1509" s="81"/>
      <c r="H1509" s="83"/>
    </row>
    <row r="1510" spans="1:8" x14ac:dyDescent="0.3">
      <c r="A1510" s="82"/>
      <c r="B1510" s="81"/>
      <c r="H1510" s="83"/>
    </row>
    <row r="1511" spans="1:8" x14ac:dyDescent="0.3">
      <c r="A1511" s="82"/>
      <c r="B1511" s="81"/>
      <c r="H1511" s="83"/>
    </row>
    <row r="1512" spans="1:8" x14ac:dyDescent="0.3">
      <c r="A1512" s="82"/>
      <c r="B1512" s="81"/>
      <c r="H1512" s="83"/>
    </row>
    <row r="1513" spans="1:8" x14ac:dyDescent="0.3">
      <c r="A1513" s="82"/>
      <c r="B1513" s="81"/>
      <c r="H1513" s="83"/>
    </row>
    <row r="1514" spans="1:8" x14ac:dyDescent="0.3">
      <c r="A1514" s="82"/>
      <c r="B1514" s="81"/>
      <c r="H1514" s="83"/>
    </row>
    <row r="1515" spans="1:8" x14ac:dyDescent="0.3">
      <c r="A1515" s="82"/>
      <c r="B1515" s="81"/>
      <c r="H1515" s="83"/>
    </row>
    <row r="1516" spans="1:8" x14ac:dyDescent="0.3">
      <c r="A1516" s="82"/>
      <c r="B1516" s="81"/>
      <c r="H1516" s="83"/>
    </row>
    <row r="1517" spans="1:8" x14ac:dyDescent="0.3">
      <c r="A1517" s="82"/>
      <c r="B1517" s="81"/>
      <c r="H1517" s="83"/>
    </row>
    <row r="1518" spans="1:8" x14ac:dyDescent="0.3">
      <c r="A1518" s="82"/>
      <c r="B1518" s="81"/>
      <c r="H1518" s="83"/>
    </row>
    <row r="1519" spans="1:8" x14ac:dyDescent="0.3">
      <c r="A1519" s="82"/>
      <c r="B1519" s="81"/>
      <c r="H1519" s="83"/>
    </row>
    <row r="1520" spans="1:8" x14ac:dyDescent="0.3">
      <c r="A1520" s="82"/>
      <c r="B1520" s="81"/>
      <c r="H1520" s="83"/>
    </row>
    <row r="1521" spans="1:8" x14ac:dyDescent="0.3">
      <c r="A1521" s="82"/>
      <c r="B1521" s="81"/>
      <c r="H1521" s="83"/>
    </row>
    <row r="1522" spans="1:8" x14ac:dyDescent="0.3">
      <c r="A1522" s="82"/>
      <c r="B1522" s="81"/>
      <c r="H1522" s="83"/>
    </row>
    <row r="1523" spans="1:8" x14ac:dyDescent="0.3">
      <c r="A1523" s="82"/>
      <c r="B1523" s="81"/>
      <c r="H1523" s="83"/>
    </row>
    <row r="1524" spans="1:8" x14ac:dyDescent="0.3">
      <c r="A1524" s="82"/>
      <c r="B1524" s="81"/>
      <c r="H1524" s="83"/>
    </row>
    <row r="1525" spans="1:8" x14ac:dyDescent="0.3">
      <c r="A1525" s="82"/>
      <c r="B1525" s="81"/>
      <c r="H1525" s="83"/>
    </row>
    <row r="1526" spans="1:8" x14ac:dyDescent="0.3">
      <c r="A1526" s="82"/>
      <c r="B1526" s="81"/>
      <c r="H1526" s="83"/>
    </row>
    <row r="1527" spans="1:8" x14ac:dyDescent="0.3">
      <c r="A1527" s="82"/>
      <c r="B1527" s="81"/>
      <c r="H1527" s="83"/>
    </row>
    <row r="1528" spans="1:8" x14ac:dyDescent="0.3">
      <c r="A1528" s="82"/>
      <c r="B1528" s="81"/>
      <c r="H1528" s="83"/>
    </row>
    <row r="1529" spans="1:8" x14ac:dyDescent="0.3">
      <c r="A1529" s="82"/>
      <c r="B1529" s="81"/>
      <c r="H1529" s="83"/>
    </row>
    <row r="1530" spans="1:8" x14ac:dyDescent="0.3">
      <c r="A1530" s="82"/>
      <c r="B1530" s="81"/>
      <c r="H1530" s="83"/>
    </row>
    <row r="1531" spans="1:8" x14ac:dyDescent="0.3">
      <c r="A1531" s="82"/>
      <c r="B1531" s="81"/>
      <c r="H1531" s="83"/>
    </row>
    <row r="1532" spans="1:8" x14ac:dyDescent="0.3">
      <c r="A1532" s="82"/>
      <c r="B1532" s="81"/>
      <c r="H1532" s="83"/>
    </row>
    <row r="1533" spans="1:8" x14ac:dyDescent="0.3">
      <c r="A1533" s="82"/>
      <c r="B1533" s="81"/>
      <c r="H1533" s="83"/>
    </row>
    <row r="1534" spans="1:8" x14ac:dyDescent="0.3">
      <c r="A1534" s="82"/>
      <c r="B1534" s="81"/>
      <c r="H1534" s="83"/>
    </row>
    <row r="1535" spans="1:8" x14ac:dyDescent="0.3">
      <c r="A1535" s="82"/>
      <c r="B1535" s="81"/>
      <c r="H1535" s="83"/>
    </row>
    <row r="1536" spans="1:8" x14ac:dyDescent="0.3">
      <c r="A1536" s="82"/>
      <c r="B1536" s="81"/>
      <c r="H1536" s="83"/>
    </row>
    <row r="1537" spans="1:8" x14ac:dyDescent="0.3">
      <c r="A1537" s="82"/>
      <c r="B1537" s="81"/>
      <c r="H1537" s="83"/>
    </row>
    <row r="1538" spans="1:8" x14ac:dyDescent="0.3">
      <c r="A1538" s="82"/>
      <c r="B1538" s="81"/>
      <c r="H1538" s="83"/>
    </row>
    <row r="1539" spans="1:8" x14ac:dyDescent="0.3">
      <c r="A1539" s="82"/>
      <c r="B1539" s="81"/>
      <c r="H1539" s="83"/>
    </row>
    <row r="1540" spans="1:8" x14ac:dyDescent="0.3">
      <c r="A1540" s="82"/>
      <c r="B1540" s="81"/>
      <c r="H1540" s="83"/>
    </row>
    <row r="1541" spans="1:8" x14ac:dyDescent="0.3">
      <c r="A1541" s="82"/>
      <c r="B1541" s="81"/>
      <c r="H1541" s="83"/>
    </row>
    <row r="1542" spans="1:8" x14ac:dyDescent="0.3">
      <c r="A1542" s="82"/>
      <c r="B1542" s="81"/>
      <c r="H1542" s="83"/>
    </row>
    <row r="1543" spans="1:8" x14ac:dyDescent="0.3">
      <c r="A1543" s="82"/>
      <c r="B1543" s="81"/>
      <c r="H1543" s="83"/>
    </row>
    <row r="1544" spans="1:8" x14ac:dyDescent="0.3">
      <c r="A1544" s="82"/>
      <c r="B1544" s="81"/>
      <c r="H1544" s="83"/>
    </row>
    <row r="1545" spans="1:8" x14ac:dyDescent="0.3">
      <c r="A1545" s="82"/>
      <c r="B1545" s="81"/>
      <c r="H1545" s="83"/>
    </row>
    <row r="1546" spans="1:8" x14ac:dyDescent="0.3">
      <c r="A1546" s="82"/>
      <c r="B1546" s="81"/>
      <c r="H1546" s="83"/>
    </row>
    <row r="1547" spans="1:8" x14ac:dyDescent="0.3">
      <c r="A1547" s="82"/>
      <c r="B1547" s="81"/>
      <c r="H1547" s="83"/>
    </row>
    <row r="1548" spans="1:8" x14ac:dyDescent="0.3">
      <c r="A1548" s="82"/>
      <c r="B1548" s="81"/>
      <c r="H1548" s="83"/>
    </row>
    <row r="1549" spans="1:8" x14ac:dyDescent="0.3">
      <c r="A1549" s="82"/>
      <c r="B1549" s="81"/>
      <c r="H1549" s="83"/>
    </row>
    <row r="1550" spans="1:8" x14ac:dyDescent="0.3">
      <c r="A1550" s="82"/>
      <c r="B1550" s="81"/>
      <c r="H1550" s="83"/>
    </row>
    <row r="1551" spans="1:8" x14ac:dyDescent="0.3">
      <c r="A1551" s="82"/>
      <c r="B1551" s="81"/>
      <c r="H1551" s="83"/>
    </row>
    <row r="1552" spans="1:8" x14ac:dyDescent="0.3">
      <c r="A1552" s="82"/>
      <c r="B1552" s="81"/>
      <c r="H1552" s="83"/>
    </row>
    <row r="1553" spans="1:8" x14ac:dyDescent="0.3">
      <c r="A1553" s="82"/>
      <c r="B1553" s="81"/>
      <c r="H1553" s="83"/>
    </row>
    <row r="1554" spans="1:8" x14ac:dyDescent="0.3">
      <c r="A1554" s="82"/>
      <c r="B1554" s="81"/>
      <c r="H1554" s="83"/>
    </row>
    <row r="1555" spans="1:8" x14ac:dyDescent="0.3">
      <c r="A1555" s="82"/>
      <c r="B1555" s="81"/>
      <c r="H1555" s="83"/>
    </row>
    <row r="1556" spans="1:8" x14ac:dyDescent="0.3">
      <c r="A1556" s="82"/>
      <c r="B1556" s="81"/>
      <c r="H1556" s="83"/>
    </row>
    <row r="1557" spans="1:8" x14ac:dyDescent="0.3">
      <c r="A1557" s="82"/>
      <c r="B1557" s="81"/>
      <c r="H1557" s="83"/>
    </row>
    <row r="1558" spans="1:8" x14ac:dyDescent="0.3">
      <c r="A1558" s="82"/>
      <c r="B1558" s="81"/>
      <c r="H1558" s="83"/>
    </row>
    <row r="1559" spans="1:8" x14ac:dyDescent="0.3">
      <c r="A1559" s="82"/>
      <c r="B1559" s="81"/>
      <c r="H1559" s="83"/>
    </row>
    <row r="1560" spans="1:8" x14ac:dyDescent="0.3">
      <c r="A1560" s="82"/>
      <c r="B1560" s="81"/>
      <c r="H1560" s="83"/>
    </row>
    <row r="1561" spans="1:8" x14ac:dyDescent="0.3">
      <c r="A1561" s="82"/>
      <c r="B1561" s="81"/>
      <c r="H1561" s="83"/>
    </row>
    <row r="1562" spans="1:8" x14ac:dyDescent="0.3">
      <c r="A1562" s="82"/>
      <c r="B1562" s="81"/>
      <c r="H1562" s="83"/>
    </row>
    <row r="1563" spans="1:8" x14ac:dyDescent="0.3">
      <c r="A1563" s="82"/>
      <c r="B1563" s="81"/>
      <c r="H1563" s="83"/>
    </row>
    <row r="1564" spans="1:8" x14ac:dyDescent="0.3">
      <c r="A1564" s="82"/>
      <c r="B1564" s="81"/>
      <c r="H1564" s="83"/>
    </row>
    <row r="1565" spans="1:8" x14ac:dyDescent="0.3">
      <c r="A1565" s="82"/>
      <c r="B1565" s="81"/>
      <c r="H1565" s="83"/>
    </row>
    <row r="1566" spans="1:8" x14ac:dyDescent="0.3">
      <c r="A1566" s="82"/>
      <c r="B1566" s="81"/>
      <c r="H1566" s="83"/>
    </row>
    <row r="1567" spans="1:8" x14ac:dyDescent="0.3">
      <c r="A1567" s="82"/>
      <c r="B1567" s="81"/>
      <c r="H1567" s="83"/>
    </row>
    <row r="1568" spans="1:8" x14ac:dyDescent="0.3">
      <c r="A1568" s="82"/>
      <c r="B1568" s="81"/>
      <c r="H1568" s="83"/>
    </row>
    <row r="1569" spans="1:8" x14ac:dyDescent="0.3">
      <c r="A1569" s="82"/>
      <c r="B1569" s="81"/>
      <c r="H1569" s="83"/>
    </row>
    <row r="1570" spans="1:8" x14ac:dyDescent="0.3">
      <c r="A1570" s="82"/>
      <c r="B1570" s="81"/>
      <c r="H1570" s="83"/>
    </row>
    <row r="1571" spans="1:8" x14ac:dyDescent="0.3">
      <c r="A1571" s="82"/>
      <c r="B1571" s="81"/>
      <c r="H1571" s="83"/>
    </row>
    <row r="1572" spans="1:8" x14ac:dyDescent="0.3">
      <c r="A1572" s="82"/>
      <c r="B1572" s="81"/>
      <c r="H1572" s="83"/>
    </row>
    <row r="1573" spans="1:8" x14ac:dyDescent="0.3">
      <c r="A1573" s="82"/>
      <c r="B1573" s="81"/>
      <c r="H1573" s="83"/>
    </row>
    <row r="1574" spans="1:8" x14ac:dyDescent="0.3">
      <c r="A1574" s="82"/>
      <c r="B1574" s="81"/>
      <c r="H1574" s="83"/>
    </row>
    <row r="1575" spans="1:8" x14ac:dyDescent="0.3">
      <c r="A1575" s="82"/>
      <c r="B1575" s="81"/>
      <c r="H1575" s="83"/>
    </row>
    <row r="1576" spans="1:8" x14ac:dyDescent="0.3">
      <c r="A1576" s="82"/>
      <c r="B1576" s="81"/>
      <c r="H1576" s="83"/>
    </row>
    <row r="1577" spans="1:8" x14ac:dyDescent="0.3">
      <c r="A1577" s="82"/>
      <c r="B1577" s="81"/>
      <c r="H1577" s="83"/>
    </row>
    <row r="1578" spans="1:8" x14ac:dyDescent="0.3">
      <c r="A1578" s="82"/>
      <c r="B1578" s="81"/>
      <c r="H1578" s="83"/>
    </row>
    <row r="1579" spans="1:8" x14ac:dyDescent="0.3">
      <c r="A1579" s="82"/>
      <c r="B1579" s="81"/>
      <c r="H1579" s="83"/>
    </row>
    <row r="1580" spans="1:8" x14ac:dyDescent="0.3">
      <c r="A1580" s="82"/>
      <c r="B1580" s="81"/>
      <c r="H1580" s="83"/>
    </row>
    <row r="1581" spans="1:8" x14ac:dyDescent="0.3">
      <c r="A1581" s="82"/>
      <c r="B1581" s="81"/>
      <c r="H1581" s="83"/>
    </row>
    <row r="1582" spans="1:8" x14ac:dyDescent="0.3">
      <c r="A1582" s="82"/>
      <c r="B1582" s="81"/>
      <c r="H1582" s="83"/>
    </row>
    <row r="1583" spans="1:8" x14ac:dyDescent="0.3">
      <c r="A1583" s="82"/>
      <c r="B1583" s="81"/>
      <c r="H1583" s="83"/>
    </row>
    <row r="1584" spans="1:8" x14ac:dyDescent="0.3">
      <c r="A1584" s="82"/>
      <c r="B1584" s="81"/>
      <c r="H1584" s="83"/>
    </row>
    <row r="1585" spans="1:8" x14ac:dyDescent="0.3">
      <c r="A1585" s="82"/>
      <c r="B1585" s="81"/>
      <c r="H1585" s="83"/>
    </row>
    <row r="1586" spans="1:8" x14ac:dyDescent="0.3">
      <c r="A1586" s="82"/>
      <c r="B1586" s="81"/>
      <c r="H1586" s="83"/>
    </row>
    <row r="1587" spans="1:8" x14ac:dyDescent="0.3">
      <c r="A1587" s="82"/>
      <c r="B1587" s="81"/>
      <c r="H1587" s="83"/>
    </row>
    <row r="1588" spans="1:8" x14ac:dyDescent="0.3">
      <c r="A1588" s="82"/>
      <c r="B1588" s="81"/>
      <c r="H1588" s="83"/>
    </row>
    <row r="1589" spans="1:8" x14ac:dyDescent="0.3">
      <c r="A1589" s="82"/>
      <c r="B1589" s="81"/>
      <c r="H1589" s="83"/>
    </row>
    <row r="1590" spans="1:8" x14ac:dyDescent="0.3">
      <c r="A1590" s="82"/>
      <c r="B1590" s="81"/>
      <c r="H1590" s="83"/>
    </row>
    <row r="1591" spans="1:8" x14ac:dyDescent="0.3">
      <c r="A1591" s="82"/>
      <c r="B1591" s="81"/>
      <c r="H1591" s="83"/>
    </row>
    <row r="1592" spans="1:8" x14ac:dyDescent="0.3">
      <c r="A1592" s="82"/>
      <c r="B1592" s="81"/>
      <c r="H1592" s="83"/>
    </row>
    <row r="1593" spans="1:8" x14ac:dyDescent="0.3">
      <c r="A1593" s="82"/>
      <c r="B1593" s="81"/>
      <c r="H1593" s="83"/>
    </row>
    <row r="1594" spans="1:8" x14ac:dyDescent="0.3">
      <c r="A1594" s="82"/>
      <c r="B1594" s="81"/>
      <c r="H1594" s="83"/>
    </row>
    <row r="1595" spans="1:8" x14ac:dyDescent="0.3">
      <c r="A1595" s="82"/>
      <c r="B1595" s="81"/>
      <c r="H1595" s="83"/>
    </row>
    <row r="1596" spans="1:8" x14ac:dyDescent="0.3">
      <c r="A1596" s="82"/>
      <c r="B1596" s="81"/>
      <c r="H1596" s="83"/>
    </row>
    <row r="1597" spans="1:8" x14ac:dyDescent="0.3">
      <c r="A1597" s="82"/>
      <c r="B1597" s="81"/>
      <c r="H1597" s="83"/>
    </row>
    <row r="1598" spans="1:8" x14ac:dyDescent="0.3">
      <c r="A1598" s="82"/>
      <c r="B1598" s="81"/>
      <c r="H1598" s="83"/>
    </row>
    <row r="1599" spans="1:8" x14ac:dyDescent="0.3">
      <c r="A1599" s="82"/>
      <c r="B1599" s="81"/>
      <c r="H1599" s="83"/>
    </row>
    <row r="1600" spans="1:8" x14ac:dyDescent="0.3">
      <c r="A1600" s="82"/>
      <c r="B1600" s="81"/>
      <c r="H1600" s="83"/>
    </row>
    <row r="1601" spans="1:8" x14ac:dyDescent="0.3">
      <c r="A1601" s="82"/>
      <c r="B1601" s="81"/>
      <c r="H1601" s="83"/>
    </row>
    <row r="1602" spans="1:8" x14ac:dyDescent="0.3">
      <c r="A1602" s="82"/>
      <c r="B1602" s="81"/>
      <c r="H1602" s="83"/>
    </row>
    <row r="1603" spans="1:8" x14ac:dyDescent="0.3">
      <c r="A1603" s="82"/>
      <c r="B1603" s="81"/>
      <c r="H1603" s="83"/>
    </row>
    <row r="1604" spans="1:8" x14ac:dyDescent="0.3">
      <c r="A1604" s="82"/>
      <c r="B1604" s="81"/>
      <c r="H1604" s="83"/>
    </row>
    <row r="1605" spans="1:8" x14ac:dyDescent="0.3">
      <c r="A1605" s="82"/>
      <c r="B1605" s="81"/>
      <c r="H1605" s="83"/>
    </row>
    <row r="1606" spans="1:8" x14ac:dyDescent="0.3">
      <c r="A1606" s="82"/>
      <c r="B1606" s="81"/>
      <c r="H1606" s="83"/>
    </row>
    <row r="1607" spans="1:8" x14ac:dyDescent="0.3">
      <c r="A1607" s="82"/>
      <c r="B1607" s="81"/>
      <c r="H1607" s="83"/>
    </row>
    <row r="1608" spans="1:8" x14ac:dyDescent="0.3">
      <c r="A1608" s="82"/>
      <c r="B1608" s="81"/>
      <c r="H1608" s="83"/>
    </row>
    <row r="1609" spans="1:8" x14ac:dyDescent="0.3">
      <c r="A1609" s="82"/>
      <c r="B1609" s="81"/>
      <c r="H1609" s="83"/>
    </row>
    <row r="1610" spans="1:8" x14ac:dyDescent="0.3">
      <c r="A1610" s="82"/>
      <c r="B1610" s="81"/>
      <c r="H1610" s="83"/>
    </row>
    <row r="1611" spans="1:8" x14ac:dyDescent="0.3">
      <c r="A1611" s="82"/>
      <c r="B1611" s="81"/>
      <c r="H1611" s="83"/>
    </row>
    <row r="1612" spans="1:8" x14ac:dyDescent="0.3">
      <c r="A1612" s="82"/>
      <c r="B1612" s="81"/>
      <c r="H1612" s="83"/>
    </row>
    <row r="1613" spans="1:8" x14ac:dyDescent="0.3">
      <c r="A1613" s="82"/>
      <c r="B1613" s="81"/>
      <c r="H1613" s="83"/>
    </row>
    <row r="1614" spans="1:8" x14ac:dyDescent="0.3">
      <c r="A1614" s="82"/>
      <c r="B1614" s="81"/>
      <c r="H1614" s="83"/>
    </row>
    <row r="1615" spans="1:8" x14ac:dyDescent="0.3">
      <c r="A1615" s="82"/>
      <c r="B1615" s="81"/>
      <c r="H1615" s="83"/>
    </row>
    <row r="1616" spans="1:8" x14ac:dyDescent="0.3">
      <c r="A1616" s="82"/>
      <c r="B1616" s="81"/>
      <c r="H1616" s="83"/>
    </row>
    <row r="1617" spans="1:8" x14ac:dyDescent="0.3">
      <c r="A1617" s="82"/>
      <c r="B1617" s="81"/>
      <c r="H1617" s="83"/>
    </row>
    <row r="1618" spans="1:8" x14ac:dyDescent="0.3">
      <c r="A1618" s="82"/>
      <c r="B1618" s="81"/>
      <c r="H1618" s="83"/>
    </row>
    <row r="1619" spans="1:8" x14ac:dyDescent="0.3">
      <c r="A1619" s="82"/>
      <c r="B1619" s="81"/>
      <c r="H1619" s="83"/>
    </row>
    <row r="1620" spans="1:8" x14ac:dyDescent="0.3">
      <c r="A1620" s="82"/>
      <c r="B1620" s="81"/>
      <c r="H1620" s="83"/>
    </row>
    <row r="1621" spans="1:8" x14ac:dyDescent="0.3">
      <c r="A1621" s="82"/>
      <c r="B1621" s="81"/>
      <c r="H1621" s="83"/>
    </row>
    <row r="1622" spans="1:8" x14ac:dyDescent="0.3">
      <c r="A1622" s="82"/>
      <c r="B1622" s="81"/>
      <c r="H1622" s="83"/>
    </row>
    <row r="1623" spans="1:8" x14ac:dyDescent="0.3">
      <c r="A1623" s="82"/>
      <c r="B1623" s="81"/>
      <c r="H1623" s="83"/>
    </row>
    <row r="1624" spans="1:8" x14ac:dyDescent="0.3">
      <c r="A1624" s="82"/>
      <c r="B1624" s="81"/>
      <c r="H1624" s="83"/>
    </row>
    <row r="1625" spans="1:8" x14ac:dyDescent="0.3">
      <c r="A1625" s="82"/>
      <c r="B1625" s="81"/>
      <c r="H1625" s="83"/>
    </row>
    <row r="1626" spans="1:8" x14ac:dyDescent="0.3">
      <c r="A1626" s="82"/>
      <c r="B1626" s="81"/>
      <c r="H1626" s="83"/>
    </row>
    <row r="1627" spans="1:8" x14ac:dyDescent="0.3">
      <c r="A1627" s="82"/>
      <c r="B1627" s="81"/>
      <c r="H1627" s="83"/>
    </row>
    <row r="1628" spans="1:8" x14ac:dyDescent="0.3">
      <c r="A1628" s="82"/>
      <c r="B1628" s="81"/>
      <c r="H1628" s="83"/>
    </row>
    <row r="1629" spans="1:8" x14ac:dyDescent="0.3">
      <c r="A1629" s="82"/>
      <c r="B1629" s="81"/>
      <c r="H1629" s="83"/>
    </row>
    <row r="1630" spans="1:8" x14ac:dyDescent="0.3">
      <c r="A1630" s="82"/>
      <c r="B1630" s="81"/>
      <c r="H1630" s="83"/>
    </row>
    <row r="1631" spans="1:8" x14ac:dyDescent="0.3">
      <c r="A1631" s="82"/>
      <c r="B1631" s="81"/>
      <c r="H1631" s="83"/>
    </row>
    <row r="1632" spans="1:8" x14ac:dyDescent="0.3">
      <c r="A1632" s="82"/>
      <c r="B1632" s="81"/>
      <c r="H1632" s="83"/>
    </row>
    <row r="1633" spans="1:8" x14ac:dyDescent="0.3">
      <c r="A1633" s="82"/>
      <c r="B1633" s="81"/>
      <c r="H1633" s="83"/>
    </row>
    <row r="1634" spans="1:8" x14ac:dyDescent="0.3">
      <c r="A1634" s="82"/>
      <c r="B1634" s="81"/>
      <c r="H1634" s="83"/>
    </row>
    <row r="1635" spans="1:8" x14ac:dyDescent="0.3">
      <c r="A1635" s="82"/>
      <c r="B1635" s="81"/>
      <c r="H1635" s="83"/>
    </row>
    <row r="1636" spans="1:8" x14ac:dyDescent="0.3">
      <c r="A1636" s="82"/>
      <c r="B1636" s="81"/>
      <c r="H1636" s="83"/>
    </row>
    <row r="1637" spans="1:8" x14ac:dyDescent="0.3">
      <c r="A1637" s="82"/>
      <c r="B1637" s="81"/>
      <c r="H1637" s="83"/>
    </row>
    <row r="1638" spans="1:8" x14ac:dyDescent="0.3">
      <c r="A1638" s="82"/>
      <c r="B1638" s="81"/>
      <c r="H1638" s="83"/>
    </row>
    <row r="1639" spans="1:8" x14ac:dyDescent="0.3">
      <c r="A1639" s="82"/>
      <c r="B1639" s="81"/>
      <c r="H1639" s="83"/>
    </row>
    <row r="1640" spans="1:8" x14ac:dyDescent="0.3">
      <c r="A1640" s="82"/>
      <c r="B1640" s="81"/>
      <c r="H1640" s="83"/>
    </row>
    <row r="1641" spans="1:8" x14ac:dyDescent="0.3">
      <c r="A1641" s="82"/>
      <c r="B1641" s="81"/>
      <c r="H1641" s="83"/>
    </row>
    <row r="1642" spans="1:8" x14ac:dyDescent="0.3">
      <c r="A1642" s="82"/>
      <c r="B1642" s="81"/>
      <c r="H1642" s="83"/>
    </row>
    <row r="1643" spans="1:8" x14ac:dyDescent="0.3">
      <c r="A1643" s="82"/>
      <c r="B1643" s="81"/>
      <c r="H1643" s="83"/>
    </row>
    <row r="1644" spans="1:8" x14ac:dyDescent="0.3">
      <c r="A1644" s="82"/>
      <c r="B1644" s="81"/>
      <c r="H1644" s="83"/>
    </row>
    <row r="1645" spans="1:8" x14ac:dyDescent="0.3">
      <c r="A1645" s="82"/>
      <c r="B1645" s="81"/>
      <c r="H1645" s="83"/>
    </row>
    <row r="1646" spans="1:8" x14ac:dyDescent="0.3">
      <c r="A1646" s="82"/>
      <c r="B1646" s="81"/>
      <c r="H1646" s="83"/>
    </row>
    <row r="1647" spans="1:8" x14ac:dyDescent="0.3">
      <c r="A1647" s="82"/>
      <c r="B1647" s="81"/>
      <c r="H1647" s="83"/>
    </row>
    <row r="1648" spans="1:8" x14ac:dyDescent="0.3">
      <c r="A1648" s="82"/>
      <c r="B1648" s="81"/>
      <c r="H1648" s="83"/>
    </row>
    <row r="1649" spans="1:8" x14ac:dyDescent="0.3">
      <c r="A1649" s="82"/>
      <c r="B1649" s="81"/>
      <c r="H1649" s="83"/>
    </row>
    <row r="1650" spans="1:8" x14ac:dyDescent="0.3">
      <c r="A1650" s="82"/>
      <c r="B1650" s="81"/>
      <c r="H1650" s="83"/>
    </row>
    <row r="1651" spans="1:8" x14ac:dyDescent="0.3">
      <c r="A1651" s="82"/>
      <c r="B1651" s="81"/>
      <c r="H1651" s="83"/>
    </row>
    <row r="1652" spans="1:8" x14ac:dyDescent="0.3">
      <c r="A1652" s="82"/>
      <c r="B1652" s="81"/>
      <c r="H1652" s="83"/>
    </row>
    <row r="1653" spans="1:8" x14ac:dyDescent="0.3">
      <c r="A1653" s="82"/>
      <c r="B1653" s="81"/>
      <c r="H1653" s="83"/>
    </row>
    <row r="1654" spans="1:8" x14ac:dyDescent="0.3">
      <c r="A1654" s="82"/>
      <c r="B1654" s="81"/>
      <c r="H1654" s="83"/>
    </row>
    <row r="1655" spans="1:8" x14ac:dyDescent="0.3">
      <c r="A1655" s="82"/>
      <c r="B1655" s="81"/>
      <c r="H1655" s="83"/>
    </row>
    <row r="1656" spans="1:8" x14ac:dyDescent="0.3">
      <c r="A1656" s="82"/>
      <c r="B1656" s="81"/>
      <c r="H1656" s="83"/>
    </row>
    <row r="1657" spans="1:8" x14ac:dyDescent="0.3">
      <c r="A1657" s="82"/>
      <c r="B1657" s="81"/>
      <c r="H1657" s="83"/>
    </row>
    <row r="1658" spans="1:8" x14ac:dyDescent="0.3">
      <c r="A1658" s="82"/>
      <c r="B1658" s="81"/>
      <c r="H1658" s="83"/>
    </row>
    <row r="1659" spans="1:8" x14ac:dyDescent="0.3">
      <c r="A1659" s="82"/>
      <c r="B1659" s="81"/>
      <c r="H1659" s="83"/>
    </row>
    <row r="1660" spans="1:8" x14ac:dyDescent="0.3">
      <c r="A1660" s="82"/>
      <c r="B1660" s="81"/>
      <c r="H1660" s="83"/>
    </row>
    <row r="1661" spans="1:8" x14ac:dyDescent="0.3">
      <c r="A1661" s="82"/>
      <c r="B1661" s="81"/>
      <c r="H1661" s="83"/>
    </row>
    <row r="1662" spans="1:8" x14ac:dyDescent="0.3">
      <c r="A1662" s="82"/>
      <c r="B1662" s="81"/>
      <c r="H1662" s="83"/>
    </row>
    <row r="1663" spans="1:8" x14ac:dyDescent="0.3">
      <c r="A1663" s="82"/>
      <c r="B1663" s="81"/>
      <c r="H1663" s="83"/>
    </row>
    <row r="1664" spans="1:8" x14ac:dyDescent="0.3">
      <c r="A1664" s="82"/>
      <c r="B1664" s="81"/>
      <c r="H1664" s="83"/>
    </row>
    <row r="1665" spans="1:8" x14ac:dyDescent="0.3">
      <c r="A1665" s="82"/>
      <c r="B1665" s="81"/>
      <c r="H1665" s="83"/>
    </row>
    <row r="1666" spans="1:8" x14ac:dyDescent="0.3">
      <c r="A1666" s="82"/>
      <c r="B1666" s="81"/>
      <c r="H1666" s="83"/>
    </row>
    <row r="1667" spans="1:8" x14ac:dyDescent="0.3">
      <c r="A1667" s="82"/>
      <c r="B1667" s="81"/>
      <c r="H1667" s="83"/>
    </row>
    <row r="1668" spans="1:8" x14ac:dyDescent="0.3">
      <c r="A1668" s="82"/>
      <c r="B1668" s="81"/>
      <c r="H1668" s="83"/>
    </row>
    <row r="1669" spans="1:8" x14ac:dyDescent="0.3">
      <c r="A1669" s="82"/>
      <c r="B1669" s="81"/>
      <c r="H1669" s="83"/>
    </row>
    <row r="1670" spans="1:8" x14ac:dyDescent="0.3">
      <c r="A1670" s="82"/>
      <c r="B1670" s="81"/>
      <c r="H1670" s="83"/>
    </row>
    <row r="1671" spans="1:8" x14ac:dyDescent="0.3">
      <c r="A1671" s="82"/>
      <c r="B1671" s="81"/>
      <c r="H1671" s="83"/>
    </row>
    <row r="1672" spans="1:8" x14ac:dyDescent="0.3">
      <c r="A1672" s="82"/>
      <c r="B1672" s="81"/>
      <c r="H1672" s="83"/>
    </row>
    <row r="1673" spans="1:8" x14ac:dyDescent="0.3">
      <c r="A1673" s="82"/>
      <c r="B1673" s="81"/>
      <c r="H1673" s="83"/>
    </row>
    <row r="1674" spans="1:8" x14ac:dyDescent="0.3">
      <c r="A1674" s="82"/>
      <c r="B1674" s="81"/>
      <c r="H1674" s="83"/>
    </row>
    <row r="1675" spans="1:8" x14ac:dyDescent="0.3">
      <c r="A1675" s="82"/>
      <c r="B1675" s="81"/>
      <c r="H1675" s="83"/>
    </row>
    <row r="1676" spans="1:8" x14ac:dyDescent="0.3">
      <c r="A1676" s="82"/>
      <c r="B1676" s="81"/>
      <c r="H1676" s="83"/>
    </row>
    <row r="1677" spans="1:8" x14ac:dyDescent="0.3">
      <c r="A1677" s="82"/>
      <c r="B1677" s="81"/>
      <c r="H1677" s="83"/>
    </row>
    <row r="1678" spans="1:8" x14ac:dyDescent="0.3">
      <c r="A1678" s="82"/>
      <c r="B1678" s="81"/>
      <c r="H1678" s="83"/>
    </row>
    <row r="1679" spans="1:8" x14ac:dyDescent="0.3">
      <c r="A1679" s="82"/>
      <c r="B1679" s="81"/>
      <c r="H1679" s="83"/>
    </row>
    <row r="1680" spans="1:8" x14ac:dyDescent="0.3">
      <c r="A1680" s="82"/>
      <c r="B1680" s="81"/>
      <c r="H1680" s="83"/>
    </row>
    <row r="1681" spans="1:8" x14ac:dyDescent="0.3">
      <c r="A1681" s="82"/>
      <c r="B1681" s="81"/>
      <c r="H1681" s="83"/>
    </row>
    <row r="1682" spans="1:8" x14ac:dyDescent="0.3">
      <c r="A1682" s="82"/>
      <c r="B1682" s="81"/>
      <c r="H1682" s="83"/>
    </row>
    <row r="1683" spans="1:8" x14ac:dyDescent="0.3">
      <c r="A1683" s="82"/>
      <c r="B1683" s="81"/>
      <c r="H1683" s="83"/>
    </row>
    <row r="1684" spans="1:8" x14ac:dyDescent="0.3">
      <c r="A1684" s="82"/>
      <c r="B1684" s="81"/>
      <c r="H1684" s="83"/>
    </row>
    <row r="1685" spans="1:8" x14ac:dyDescent="0.3">
      <c r="A1685" s="82"/>
      <c r="B1685" s="81"/>
      <c r="H1685" s="83"/>
    </row>
    <row r="1686" spans="1:8" x14ac:dyDescent="0.3">
      <c r="A1686" s="82"/>
      <c r="B1686" s="81"/>
      <c r="H1686" s="83"/>
    </row>
    <row r="1687" spans="1:8" x14ac:dyDescent="0.3">
      <c r="A1687" s="82"/>
      <c r="B1687" s="81"/>
      <c r="H1687" s="83"/>
    </row>
    <row r="1688" spans="1:8" x14ac:dyDescent="0.3">
      <c r="A1688" s="82"/>
      <c r="B1688" s="81"/>
      <c r="H1688" s="83"/>
    </row>
    <row r="1689" spans="1:8" x14ac:dyDescent="0.3">
      <c r="A1689" s="82"/>
      <c r="B1689" s="81"/>
      <c r="H1689" s="83"/>
    </row>
    <row r="1690" spans="1:8" x14ac:dyDescent="0.3">
      <c r="A1690" s="82"/>
      <c r="B1690" s="81"/>
      <c r="H1690" s="83"/>
    </row>
    <row r="1691" spans="1:8" x14ac:dyDescent="0.3">
      <c r="A1691" s="82"/>
      <c r="B1691" s="81"/>
      <c r="H1691" s="83"/>
    </row>
    <row r="1692" spans="1:8" x14ac:dyDescent="0.3">
      <c r="A1692" s="82"/>
      <c r="B1692" s="81"/>
      <c r="H1692" s="83"/>
    </row>
    <row r="1693" spans="1:8" x14ac:dyDescent="0.3">
      <c r="A1693" s="82"/>
      <c r="B1693" s="81"/>
      <c r="H1693" s="83"/>
    </row>
    <row r="1694" spans="1:8" x14ac:dyDescent="0.3">
      <c r="A1694" s="82"/>
      <c r="B1694" s="81"/>
      <c r="H1694" s="83"/>
    </row>
    <row r="1695" spans="1:8" x14ac:dyDescent="0.3">
      <c r="A1695" s="82"/>
      <c r="B1695" s="81"/>
      <c r="H1695" s="83"/>
    </row>
    <row r="1696" spans="1:8" x14ac:dyDescent="0.3">
      <c r="A1696" s="82"/>
      <c r="B1696" s="81"/>
      <c r="H1696" s="83"/>
    </row>
    <row r="1697" spans="1:8" x14ac:dyDescent="0.3">
      <c r="A1697" s="82"/>
      <c r="B1697" s="81"/>
      <c r="H1697" s="83"/>
    </row>
    <row r="1698" spans="1:8" x14ac:dyDescent="0.3">
      <c r="A1698" s="82"/>
      <c r="B1698" s="81"/>
      <c r="H1698" s="83"/>
    </row>
    <row r="1699" spans="1:8" x14ac:dyDescent="0.3">
      <c r="A1699" s="82"/>
      <c r="B1699" s="81"/>
      <c r="H1699" s="83"/>
    </row>
    <row r="1700" spans="1:8" x14ac:dyDescent="0.3">
      <c r="A1700" s="82"/>
      <c r="B1700" s="81"/>
      <c r="H1700" s="83"/>
    </row>
    <row r="1701" spans="1:8" x14ac:dyDescent="0.3">
      <c r="A1701" s="82"/>
      <c r="B1701" s="81"/>
      <c r="H1701" s="83"/>
    </row>
    <row r="1702" spans="1:8" x14ac:dyDescent="0.3">
      <c r="A1702" s="82"/>
      <c r="B1702" s="81"/>
      <c r="H1702" s="83"/>
    </row>
    <row r="1703" spans="1:8" x14ac:dyDescent="0.3">
      <c r="A1703" s="82"/>
      <c r="B1703" s="81"/>
      <c r="H1703" s="83"/>
    </row>
    <row r="1704" spans="1:8" x14ac:dyDescent="0.3">
      <c r="A1704" s="82"/>
      <c r="B1704" s="81"/>
      <c r="H1704" s="83"/>
    </row>
    <row r="1705" spans="1:8" x14ac:dyDescent="0.3">
      <c r="A1705" s="82"/>
      <c r="B1705" s="81"/>
      <c r="H1705" s="83"/>
    </row>
    <row r="1706" spans="1:8" x14ac:dyDescent="0.3">
      <c r="A1706" s="82"/>
      <c r="B1706" s="81"/>
      <c r="H1706" s="83"/>
    </row>
    <row r="1707" spans="1:8" x14ac:dyDescent="0.3">
      <c r="A1707" s="82"/>
      <c r="B1707" s="81"/>
      <c r="H1707" s="83"/>
    </row>
    <row r="1708" spans="1:8" x14ac:dyDescent="0.3">
      <c r="A1708" s="82"/>
      <c r="B1708" s="81"/>
      <c r="H1708" s="83"/>
    </row>
    <row r="1709" spans="1:8" x14ac:dyDescent="0.3">
      <c r="A1709" s="82"/>
      <c r="B1709" s="81"/>
      <c r="H1709" s="83"/>
    </row>
    <row r="1710" spans="1:8" x14ac:dyDescent="0.3">
      <c r="A1710" s="82"/>
      <c r="B1710" s="81"/>
      <c r="H1710" s="83"/>
    </row>
    <row r="1711" spans="1:8" x14ac:dyDescent="0.3">
      <c r="A1711" s="82"/>
      <c r="B1711" s="81"/>
      <c r="H1711" s="83"/>
    </row>
    <row r="1712" spans="1:8" x14ac:dyDescent="0.3">
      <c r="A1712" s="82"/>
      <c r="B1712" s="81"/>
      <c r="H1712" s="83"/>
    </row>
    <row r="1713" spans="1:8" x14ac:dyDescent="0.3">
      <c r="A1713" s="82"/>
      <c r="B1713" s="81"/>
      <c r="H1713" s="83"/>
    </row>
    <row r="1714" spans="1:8" x14ac:dyDescent="0.3">
      <c r="A1714" s="82"/>
      <c r="B1714" s="81"/>
      <c r="H1714" s="83"/>
    </row>
    <row r="1715" spans="1:8" x14ac:dyDescent="0.3">
      <c r="A1715" s="82"/>
      <c r="B1715" s="81"/>
      <c r="H1715" s="83"/>
    </row>
    <row r="1716" spans="1:8" x14ac:dyDescent="0.3">
      <c r="A1716" s="82"/>
      <c r="B1716" s="81"/>
      <c r="H1716" s="83"/>
    </row>
    <row r="1717" spans="1:8" x14ac:dyDescent="0.3">
      <c r="A1717" s="82"/>
      <c r="B1717" s="81"/>
      <c r="H1717" s="83"/>
    </row>
    <row r="1718" spans="1:8" x14ac:dyDescent="0.3">
      <c r="A1718" s="82"/>
      <c r="B1718" s="81"/>
      <c r="H1718" s="83"/>
    </row>
    <row r="1719" spans="1:8" x14ac:dyDescent="0.3">
      <c r="A1719" s="82"/>
      <c r="B1719" s="81"/>
      <c r="H1719" s="83"/>
    </row>
    <row r="1720" spans="1:8" x14ac:dyDescent="0.3">
      <c r="A1720" s="82"/>
      <c r="B1720" s="81"/>
      <c r="H1720" s="83"/>
    </row>
    <row r="1721" spans="1:8" x14ac:dyDescent="0.3">
      <c r="A1721" s="82"/>
      <c r="B1721" s="81"/>
      <c r="H1721" s="83"/>
    </row>
    <row r="1722" spans="1:8" x14ac:dyDescent="0.3">
      <c r="A1722" s="82"/>
      <c r="B1722" s="81"/>
      <c r="H1722" s="83"/>
    </row>
    <row r="1723" spans="1:8" x14ac:dyDescent="0.3">
      <c r="A1723" s="82"/>
      <c r="B1723" s="81"/>
      <c r="H1723" s="83"/>
    </row>
    <row r="1724" spans="1:8" x14ac:dyDescent="0.3">
      <c r="A1724" s="82"/>
      <c r="B1724" s="81"/>
      <c r="H1724" s="83"/>
    </row>
    <row r="1725" spans="1:8" x14ac:dyDescent="0.3">
      <c r="A1725" s="82"/>
      <c r="B1725" s="81"/>
      <c r="H1725" s="83"/>
    </row>
    <row r="1726" spans="1:8" x14ac:dyDescent="0.3">
      <c r="A1726" s="82"/>
      <c r="B1726" s="81"/>
      <c r="H1726" s="83"/>
    </row>
    <row r="1727" spans="1:8" x14ac:dyDescent="0.3">
      <c r="A1727" s="82"/>
      <c r="B1727" s="81"/>
      <c r="H1727" s="83"/>
    </row>
    <row r="1728" spans="1:8" x14ac:dyDescent="0.3">
      <c r="A1728" s="82"/>
      <c r="B1728" s="81"/>
      <c r="H1728" s="83"/>
    </row>
    <row r="1729" spans="1:8" x14ac:dyDescent="0.3">
      <c r="A1729" s="82"/>
      <c r="B1729" s="81"/>
      <c r="H1729" s="83"/>
    </row>
    <row r="1730" spans="1:8" x14ac:dyDescent="0.3">
      <c r="A1730" s="82"/>
      <c r="B1730" s="81"/>
      <c r="H1730" s="83"/>
    </row>
    <row r="1731" spans="1:8" x14ac:dyDescent="0.3">
      <c r="A1731" s="82"/>
      <c r="B1731" s="81"/>
      <c r="H1731" s="83"/>
    </row>
    <row r="1732" spans="1:8" x14ac:dyDescent="0.3">
      <c r="A1732" s="82"/>
      <c r="B1732" s="81"/>
      <c r="H1732" s="83"/>
    </row>
    <row r="1733" spans="1:8" x14ac:dyDescent="0.3">
      <c r="A1733" s="82"/>
      <c r="B1733" s="81"/>
      <c r="H1733" s="83"/>
    </row>
    <row r="1734" spans="1:8" x14ac:dyDescent="0.3">
      <c r="A1734" s="82"/>
      <c r="B1734" s="81"/>
      <c r="H1734" s="83"/>
    </row>
    <row r="1735" spans="1:8" x14ac:dyDescent="0.3">
      <c r="A1735" s="82"/>
      <c r="B1735" s="81"/>
      <c r="H1735" s="83"/>
    </row>
    <row r="1736" spans="1:8" x14ac:dyDescent="0.3">
      <c r="A1736" s="82"/>
      <c r="B1736" s="81"/>
      <c r="H1736" s="83"/>
    </row>
    <row r="1737" spans="1:8" x14ac:dyDescent="0.3">
      <c r="A1737" s="82"/>
      <c r="B1737" s="81"/>
      <c r="H1737" s="83"/>
    </row>
    <row r="1738" spans="1:8" x14ac:dyDescent="0.3">
      <c r="A1738" s="82"/>
      <c r="B1738" s="81"/>
      <c r="H1738" s="83"/>
    </row>
    <row r="1739" spans="1:8" x14ac:dyDescent="0.3">
      <c r="A1739" s="82"/>
      <c r="B1739" s="81"/>
      <c r="H1739" s="83"/>
    </row>
    <row r="1740" spans="1:8" x14ac:dyDescent="0.3">
      <c r="A1740" s="82"/>
      <c r="B1740" s="81"/>
      <c r="H1740" s="83"/>
    </row>
    <row r="1741" spans="1:8" x14ac:dyDescent="0.3">
      <c r="A1741" s="82"/>
      <c r="B1741" s="81"/>
      <c r="H1741" s="83"/>
    </row>
    <row r="1742" spans="1:8" x14ac:dyDescent="0.3">
      <c r="A1742" s="82"/>
      <c r="B1742" s="81"/>
      <c r="H1742" s="83"/>
    </row>
    <row r="1743" spans="1:8" x14ac:dyDescent="0.3">
      <c r="A1743" s="82"/>
      <c r="B1743" s="81"/>
      <c r="H1743" s="83"/>
    </row>
    <row r="1744" spans="1:8" x14ac:dyDescent="0.3">
      <c r="A1744" s="82"/>
      <c r="B1744" s="81"/>
      <c r="H1744" s="83"/>
    </row>
    <row r="1745" spans="1:8" x14ac:dyDescent="0.3">
      <c r="A1745" s="82"/>
      <c r="B1745" s="81"/>
      <c r="H1745" s="83"/>
    </row>
    <row r="1746" spans="1:8" x14ac:dyDescent="0.3">
      <c r="A1746" s="82"/>
      <c r="B1746" s="81"/>
      <c r="H1746" s="83"/>
    </row>
    <row r="1747" spans="1:8" x14ac:dyDescent="0.3">
      <c r="A1747" s="82"/>
      <c r="B1747" s="81"/>
      <c r="H1747" s="83"/>
    </row>
    <row r="1748" spans="1:8" x14ac:dyDescent="0.3">
      <c r="A1748" s="82"/>
      <c r="B1748" s="81"/>
      <c r="H1748" s="83"/>
    </row>
    <row r="1749" spans="1:8" x14ac:dyDescent="0.3">
      <c r="A1749" s="82"/>
      <c r="B1749" s="81"/>
      <c r="H1749" s="83"/>
    </row>
    <row r="1750" spans="1:8" x14ac:dyDescent="0.3">
      <c r="A1750" s="82"/>
      <c r="B1750" s="81"/>
      <c r="H1750" s="83"/>
    </row>
    <row r="1751" spans="1:8" x14ac:dyDescent="0.3">
      <c r="A1751" s="82"/>
      <c r="B1751" s="81"/>
      <c r="H1751" s="83"/>
    </row>
    <row r="1752" spans="1:8" x14ac:dyDescent="0.3">
      <c r="A1752" s="82"/>
      <c r="B1752" s="81"/>
      <c r="H1752" s="83"/>
    </row>
    <row r="1753" spans="1:8" x14ac:dyDescent="0.3">
      <c r="A1753" s="82"/>
      <c r="B1753" s="81"/>
      <c r="H1753" s="83"/>
    </row>
    <row r="1754" spans="1:8" x14ac:dyDescent="0.3">
      <c r="A1754" s="82"/>
      <c r="B1754" s="81"/>
      <c r="H1754" s="83"/>
    </row>
    <row r="1755" spans="1:8" x14ac:dyDescent="0.3">
      <c r="A1755" s="82"/>
      <c r="B1755" s="81"/>
      <c r="H1755" s="83"/>
    </row>
    <row r="1756" spans="1:8" x14ac:dyDescent="0.3">
      <c r="A1756" s="82"/>
      <c r="B1756" s="81"/>
      <c r="H1756" s="83"/>
    </row>
    <row r="1757" spans="1:8" x14ac:dyDescent="0.3">
      <c r="A1757" s="82"/>
      <c r="B1757" s="81"/>
      <c r="H1757" s="83"/>
    </row>
    <row r="1758" spans="1:8" x14ac:dyDescent="0.3">
      <c r="A1758" s="82"/>
      <c r="B1758" s="81"/>
      <c r="H1758" s="83"/>
    </row>
    <row r="1759" spans="1:8" x14ac:dyDescent="0.3">
      <c r="A1759" s="82"/>
      <c r="B1759" s="81"/>
      <c r="H1759" s="83"/>
    </row>
    <row r="1760" spans="1:8" x14ac:dyDescent="0.3">
      <c r="A1760" s="82"/>
      <c r="B1760" s="81"/>
      <c r="H1760" s="83"/>
    </row>
    <row r="1761" spans="1:8" x14ac:dyDescent="0.3">
      <c r="A1761" s="82"/>
      <c r="B1761" s="81"/>
      <c r="H1761" s="83"/>
    </row>
    <row r="1762" spans="1:8" x14ac:dyDescent="0.3">
      <c r="A1762" s="82"/>
      <c r="B1762" s="81"/>
      <c r="H1762" s="83"/>
    </row>
    <row r="1763" spans="1:8" x14ac:dyDescent="0.3">
      <c r="A1763" s="82"/>
      <c r="B1763" s="81"/>
      <c r="H1763" s="83"/>
    </row>
    <row r="1764" spans="1:8" x14ac:dyDescent="0.3">
      <c r="A1764" s="82"/>
      <c r="B1764" s="81"/>
      <c r="H1764" s="83"/>
    </row>
    <row r="1765" spans="1:8" x14ac:dyDescent="0.3">
      <c r="A1765" s="82"/>
      <c r="B1765" s="81"/>
      <c r="H1765" s="83"/>
    </row>
    <row r="1766" spans="1:8" x14ac:dyDescent="0.3">
      <c r="A1766" s="82"/>
      <c r="B1766" s="81"/>
      <c r="H1766" s="83"/>
    </row>
    <row r="1767" spans="1:8" x14ac:dyDescent="0.3">
      <c r="A1767" s="82"/>
      <c r="B1767" s="81"/>
      <c r="H1767" s="83"/>
    </row>
    <row r="1768" spans="1:8" x14ac:dyDescent="0.3">
      <c r="A1768" s="82"/>
      <c r="B1768" s="81"/>
      <c r="H1768" s="83"/>
    </row>
    <row r="1769" spans="1:8" x14ac:dyDescent="0.3">
      <c r="A1769" s="82"/>
      <c r="B1769" s="81"/>
      <c r="H1769" s="83"/>
    </row>
    <row r="1770" spans="1:8" x14ac:dyDescent="0.3">
      <c r="A1770" s="82"/>
      <c r="B1770" s="81"/>
      <c r="H1770" s="83"/>
    </row>
    <row r="1771" spans="1:8" x14ac:dyDescent="0.3">
      <c r="A1771" s="82"/>
      <c r="B1771" s="81"/>
      <c r="H1771" s="83"/>
    </row>
    <row r="1772" spans="1:8" x14ac:dyDescent="0.3">
      <c r="A1772" s="82"/>
      <c r="B1772" s="81"/>
      <c r="H1772" s="83"/>
    </row>
    <row r="1773" spans="1:8" x14ac:dyDescent="0.3">
      <c r="A1773" s="82"/>
      <c r="B1773" s="81"/>
      <c r="H1773" s="83"/>
    </row>
    <row r="1774" spans="1:8" x14ac:dyDescent="0.3">
      <c r="A1774" s="82"/>
      <c r="B1774" s="81"/>
      <c r="H1774" s="83"/>
    </row>
    <row r="1775" spans="1:8" x14ac:dyDescent="0.3">
      <c r="A1775" s="82"/>
      <c r="B1775" s="81"/>
      <c r="H1775" s="83"/>
    </row>
    <row r="1776" spans="1:8" x14ac:dyDescent="0.3">
      <c r="A1776" s="82"/>
      <c r="B1776" s="81"/>
      <c r="H1776" s="83"/>
    </row>
    <row r="1777" spans="1:8" x14ac:dyDescent="0.3">
      <c r="A1777" s="82"/>
      <c r="B1777" s="81"/>
      <c r="H1777" s="83"/>
    </row>
    <row r="1778" spans="1:8" x14ac:dyDescent="0.3">
      <c r="A1778" s="82"/>
      <c r="B1778" s="81"/>
      <c r="H1778" s="83"/>
    </row>
    <row r="1779" spans="1:8" x14ac:dyDescent="0.3">
      <c r="A1779" s="82"/>
      <c r="B1779" s="81"/>
      <c r="H1779" s="83"/>
    </row>
    <row r="1780" spans="1:8" x14ac:dyDescent="0.3">
      <c r="A1780" s="82"/>
      <c r="B1780" s="81"/>
      <c r="H1780" s="83"/>
    </row>
    <row r="1781" spans="1:8" x14ac:dyDescent="0.3">
      <c r="A1781" s="82"/>
      <c r="B1781" s="81"/>
      <c r="H1781" s="83"/>
    </row>
    <row r="1782" spans="1:8" x14ac:dyDescent="0.3">
      <c r="A1782" s="82"/>
      <c r="B1782" s="81"/>
      <c r="H1782" s="83"/>
    </row>
    <row r="1783" spans="1:8" x14ac:dyDescent="0.3">
      <c r="A1783" s="82"/>
      <c r="B1783" s="81"/>
      <c r="H1783" s="83"/>
    </row>
    <row r="1784" spans="1:8" x14ac:dyDescent="0.3">
      <c r="A1784" s="82"/>
      <c r="B1784" s="81"/>
      <c r="H1784" s="83"/>
    </row>
    <row r="1785" spans="1:8" x14ac:dyDescent="0.3">
      <c r="A1785" s="82"/>
      <c r="B1785" s="81"/>
      <c r="H1785" s="83"/>
    </row>
    <row r="1786" spans="1:8" x14ac:dyDescent="0.3">
      <c r="A1786" s="82"/>
      <c r="B1786" s="81"/>
      <c r="H1786" s="83"/>
    </row>
    <row r="1787" spans="1:8" x14ac:dyDescent="0.3">
      <c r="A1787" s="82"/>
      <c r="B1787" s="81"/>
      <c r="H1787" s="83"/>
    </row>
    <row r="1788" spans="1:8" x14ac:dyDescent="0.3">
      <c r="A1788" s="82"/>
      <c r="B1788" s="81"/>
      <c r="H1788" s="83"/>
    </row>
    <row r="1789" spans="1:8" x14ac:dyDescent="0.3">
      <c r="A1789" s="82"/>
      <c r="B1789" s="81"/>
      <c r="H1789" s="83"/>
    </row>
    <row r="1790" spans="1:8" x14ac:dyDescent="0.3">
      <c r="A1790" s="82"/>
      <c r="B1790" s="81"/>
      <c r="H1790" s="83"/>
    </row>
    <row r="1791" spans="1:8" x14ac:dyDescent="0.3">
      <c r="A1791" s="82"/>
      <c r="B1791" s="81"/>
      <c r="H1791" s="83"/>
    </row>
    <row r="1792" spans="1:8" x14ac:dyDescent="0.3">
      <c r="A1792" s="82"/>
      <c r="B1792" s="81"/>
      <c r="H1792" s="83"/>
    </row>
    <row r="1793" spans="1:8" x14ac:dyDescent="0.3">
      <c r="A1793" s="82"/>
      <c r="B1793" s="81"/>
      <c r="H1793" s="83"/>
    </row>
    <row r="1794" spans="1:8" x14ac:dyDescent="0.3">
      <c r="A1794" s="82"/>
      <c r="B1794" s="81"/>
      <c r="H1794" s="83"/>
    </row>
    <row r="1795" spans="1:8" x14ac:dyDescent="0.3">
      <c r="A1795" s="82"/>
      <c r="B1795" s="81"/>
      <c r="H1795" s="83"/>
    </row>
    <row r="1796" spans="1:8" x14ac:dyDescent="0.3">
      <c r="A1796" s="82"/>
      <c r="B1796" s="81"/>
      <c r="H1796" s="83"/>
    </row>
    <row r="1797" spans="1:8" x14ac:dyDescent="0.3">
      <c r="A1797" s="82"/>
      <c r="B1797" s="81"/>
      <c r="H1797" s="83"/>
    </row>
    <row r="1798" spans="1:8" x14ac:dyDescent="0.3">
      <c r="A1798" s="82"/>
      <c r="B1798" s="81"/>
      <c r="H1798" s="83"/>
    </row>
    <row r="1799" spans="1:8" x14ac:dyDescent="0.3">
      <c r="A1799" s="82"/>
      <c r="B1799" s="81"/>
      <c r="H1799" s="83"/>
    </row>
    <row r="1800" spans="1:8" x14ac:dyDescent="0.3">
      <c r="A1800" s="82"/>
      <c r="B1800" s="81"/>
      <c r="H1800" s="83"/>
    </row>
    <row r="1801" spans="1:8" x14ac:dyDescent="0.3">
      <c r="A1801" s="82"/>
      <c r="B1801" s="81"/>
      <c r="H1801" s="83"/>
    </row>
    <row r="1802" spans="1:8" x14ac:dyDescent="0.3">
      <c r="A1802" s="82"/>
      <c r="B1802" s="81"/>
      <c r="H1802" s="83"/>
    </row>
    <row r="1803" spans="1:8" x14ac:dyDescent="0.3">
      <c r="A1803" s="82"/>
      <c r="B1803" s="81"/>
      <c r="H1803" s="83"/>
    </row>
    <row r="1804" spans="1:8" x14ac:dyDescent="0.3">
      <c r="A1804" s="82"/>
      <c r="B1804" s="81"/>
      <c r="H1804" s="83"/>
    </row>
    <row r="1805" spans="1:8" x14ac:dyDescent="0.3">
      <c r="A1805" s="82"/>
      <c r="B1805" s="81"/>
      <c r="H1805" s="83"/>
    </row>
    <row r="1806" spans="1:8" x14ac:dyDescent="0.3">
      <c r="A1806" s="82"/>
      <c r="B1806" s="81"/>
      <c r="H1806" s="83"/>
    </row>
    <row r="1807" spans="1:8" x14ac:dyDescent="0.3">
      <c r="A1807" s="82"/>
      <c r="B1807" s="81"/>
      <c r="H1807" s="83"/>
    </row>
    <row r="1808" spans="1:8" x14ac:dyDescent="0.3">
      <c r="A1808" s="82"/>
      <c r="B1808" s="81"/>
      <c r="H1808" s="83"/>
    </row>
    <row r="1809" spans="1:8" x14ac:dyDescent="0.3">
      <c r="A1809" s="82"/>
      <c r="B1809" s="81"/>
      <c r="H1809" s="83"/>
    </row>
    <row r="1810" spans="1:8" x14ac:dyDescent="0.3">
      <c r="A1810" s="82"/>
      <c r="B1810" s="81"/>
      <c r="H1810" s="83"/>
    </row>
    <row r="1811" spans="1:8" x14ac:dyDescent="0.3">
      <c r="A1811" s="82"/>
      <c r="B1811" s="81"/>
      <c r="H1811" s="83"/>
    </row>
    <row r="1812" spans="1:8" x14ac:dyDescent="0.3">
      <c r="A1812" s="82"/>
      <c r="B1812" s="81"/>
      <c r="H1812" s="83"/>
    </row>
    <row r="1813" spans="1:8" x14ac:dyDescent="0.3">
      <c r="A1813" s="82"/>
      <c r="B1813" s="81"/>
      <c r="H1813" s="83"/>
    </row>
    <row r="1814" spans="1:8" x14ac:dyDescent="0.3">
      <c r="A1814" s="82"/>
      <c r="B1814" s="81"/>
      <c r="H1814" s="83"/>
    </row>
    <row r="1815" spans="1:8" x14ac:dyDescent="0.3">
      <c r="A1815" s="82"/>
      <c r="B1815" s="81"/>
      <c r="H1815" s="83"/>
    </row>
    <row r="1816" spans="1:8" x14ac:dyDescent="0.3">
      <c r="A1816" s="82"/>
      <c r="B1816" s="81"/>
      <c r="H1816" s="83"/>
    </row>
    <row r="1817" spans="1:8" x14ac:dyDescent="0.3">
      <c r="A1817" s="82"/>
      <c r="B1817" s="81"/>
      <c r="H1817" s="83"/>
    </row>
    <row r="1818" spans="1:8" x14ac:dyDescent="0.3">
      <c r="A1818" s="82"/>
      <c r="B1818" s="81"/>
      <c r="H1818" s="83"/>
    </row>
    <row r="1819" spans="1:8" x14ac:dyDescent="0.3">
      <c r="A1819" s="82"/>
      <c r="B1819" s="81"/>
      <c r="H1819" s="83"/>
    </row>
    <row r="1820" spans="1:8" x14ac:dyDescent="0.3">
      <c r="A1820" s="82"/>
      <c r="B1820" s="81"/>
      <c r="H1820" s="83"/>
    </row>
    <row r="1821" spans="1:8" x14ac:dyDescent="0.3">
      <c r="A1821" s="82"/>
      <c r="B1821" s="81"/>
      <c r="H1821" s="83"/>
    </row>
    <row r="1822" spans="1:8" x14ac:dyDescent="0.3">
      <c r="A1822" s="82"/>
      <c r="B1822" s="81"/>
      <c r="H1822" s="83"/>
    </row>
    <row r="1823" spans="1:8" x14ac:dyDescent="0.3">
      <c r="A1823" s="82"/>
      <c r="B1823" s="81"/>
      <c r="H1823" s="83"/>
    </row>
    <row r="1824" spans="1:8" x14ac:dyDescent="0.3">
      <c r="A1824" s="82"/>
      <c r="B1824" s="81"/>
      <c r="H1824" s="83"/>
    </row>
    <row r="1825" spans="1:8" x14ac:dyDescent="0.3">
      <c r="A1825" s="82"/>
      <c r="B1825" s="81"/>
      <c r="H1825" s="83"/>
    </row>
    <row r="1826" spans="1:8" x14ac:dyDescent="0.3">
      <c r="A1826" s="82"/>
      <c r="B1826" s="81"/>
      <c r="H1826" s="83"/>
    </row>
    <row r="1827" spans="1:8" x14ac:dyDescent="0.3">
      <c r="A1827" s="82"/>
      <c r="B1827" s="81"/>
      <c r="H1827" s="83"/>
    </row>
    <row r="1828" spans="1:8" x14ac:dyDescent="0.3">
      <c r="A1828" s="82"/>
      <c r="B1828" s="81"/>
      <c r="H1828" s="83"/>
    </row>
    <row r="1829" spans="1:8" x14ac:dyDescent="0.3">
      <c r="A1829" s="82"/>
      <c r="B1829" s="81"/>
      <c r="H1829" s="83"/>
    </row>
    <row r="1830" spans="1:8" x14ac:dyDescent="0.3">
      <c r="A1830" s="82"/>
      <c r="B1830" s="81"/>
      <c r="H1830" s="83"/>
    </row>
    <row r="1831" spans="1:8" x14ac:dyDescent="0.3">
      <c r="A1831" s="82"/>
      <c r="B1831" s="81"/>
      <c r="H1831" s="83"/>
    </row>
    <row r="1832" spans="1:8" x14ac:dyDescent="0.3">
      <c r="A1832" s="82"/>
      <c r="B1832" s="81"/>
      <c r="H1832" s="83"/>
    </row>
    <row r="1833" spans="1:8" x14ac:dyDescent="0.3">
      <c r="A1833" s="82"/>
      <c r="B1833" s="81"/>
      <c r="H1833" s="83"/>
    </row>
    <row r="1834" spans="1:8" x14ac:dyDescent="0.3">
      <c r="A1834" s="82"/>
      <c r="B1834" s="81"/>
      <c r="H1834" s="83"/>
    </row>
    <row r="1835" spans="1:8" x14ac:dyDescent="0.3">
      <c r="A1835" s="82"/>
      <c r="B1835" s="81"/>
      <c r="H1835" s="83"/>
    </row>
    <row r="1836" spans="1:8" x14ac:dyDescent="0.3">
      <c r="A1836" s="82"/>
      <c r="B1836" s="81"/>
      <c r="H1836" s="83"/>
    </row>
    <row r="1837" spans="1:8" x14ac:dyDescent="0.3">
      <c r="A1837" s="82"/>
      <c r="B1837" s="81"/>
      <c r="H1837" s="83"/>
    </row>
    <row r="1838" spans="1:8" x14ac:dyDescent="0.3">
      <c r="A1838" s="82"/>
      <c r="B1838" s="81"/>
      <c r="H1838" s="83"/>
    </row>
    <row r="1839" spans="1:8" x14ac:dyDescent="0.3">
      <c r="A1839" s="82"/>
      <c r="B1839" s="81"/>
      <c r="H1839" s="83"/>
    </row>
    <row r="1840" spans="1:8" x14ac:dyDescent="0.3">
      <c r="A1840" s="82"/>
      <c r="B1840" s="81"/>
      <c r="H1840" s="83"/>
    </row>
    <row r="1841" spans="1:8" x14ac:dyDescent="0.3">
      <c r="A1841" s="82"/>
      <c r="B1841" s="81"/>
      <c r="H1841" s="83"/>
    </row>
    <row r="1842" spans="1:8" x14ac:dyDescent="0.3">
      <c r="A1842" s="82"/>
      <c r="B1842" s="81"/>
      <c r="H1842" s="83"/>
    </row>
    <row r="1843" spans="1:8" x14ac:dyDescent="0.3">
      <c r="A1843" s="82"/>
      <c r="B1843" s="81"/>
      <c r="H1843" s="83"/>
    </row>
    <row r="1844" spans="1:8" x14ac:dyDescent="0.3">
      <c r="A1844" s="82"/>
      <c r="B1844" s="81"/>
      <c r="H1844" s="83"/>
    </row>
    <row r="1845" spans="1:8" x14ac:dyDescent="0.3">
      <c r="A1845" s="82"/>
      <c r="B1845" s="81"/>
      <c r="H1845" s="83"/>
    </row>
    <row r="1846" spans="1:8" x14ac:dyDescent="0.3">
      <c r="A1846" s="82"/>
      <c r="B1846" s="81"/>
      <c r="H1846" s="83"/>
    </row>
    <row r="1847" spans="1:8" x14ac:dyDescent="0.3">
      <c r="A1847" s="82"/>
      <c r="B1847" s="81"/>
      <c r="H1847" s="83"/>
    </row>
    <row r="1848" spans="1:8" x14ac:dyDescent="0.3">
      <c r="A1848" s="82"/>
      <c r="B1848" s="81"/>
      <c r="H1848" s="83"/>
    </row>
    <row r="1849" spans="1:8" x14ac:dyDescent="0.3">
      <c r="A1849" s="82"/>
      <c r="B1849" s="81"/>
      <c r="H1849" s="83"/>
    </row>
    <row r="1850" spans="1:8" x14ac:dyDescent="0.3">
      <c r="A1850" s="82"/>
      <c r="B1850" s="81"/>
      <c r="H1850" s="83"/>
    </row>
    <row r="1851" spans="1:8" x14ac:dyDescent="0.3">
      <c r="A1851" s="82"/>
      <c r="B1851" s="81"/>
      <c r="H1851" s="83"/>
    </row>
    <row r="1852" spans="1:8" x14ac:dyDescent="0.3">
      <c r="A1852" s="82"/>
      <c r="B1852" s="81"/>
      <c r="H1852" s="83"/>
    </row>
    <row r="1853" spans="1:8" x14ac:dyDescent="0.3">
      <c r="A1853" s="82"/>
      <c r="B1853" s="81"/>
      <c r="H1853" s="83"/>
    </row>
    <row r="1854" spans="1:8" x14ac:dyDescent="0.3">
      <c r="A1854" s="82"/>
      <c r="B1854" s="81"/>
      <c r="H1854" s="83"/>
    </row>
    <row r="1855" spans="1:8" x14ac:dyDescent="0.3">
      <c r="A1855" s="82"/>
      <c r="B1855" s="81"/>
      <c r="H1855" s="83"/>
    </row>
    <row r="1856" spans="1:8" x14ac:dyDescent="0.3">
      <c r="A1856" s="82"/>
      <c r="B1856" s="81"/>
      <c r="H1856" s="83"/>
    </row>
    <row r="1857" spans="1:8" x14ac:dyDescent="0.3">
      <c r="A1857" s="82"/>
      <c r="B1857" s="81"/>
      <c r="H1857" s="83"/>
    </row>
    <row r="1858" spans="1:8" x14ac:dyDescent="0.3">
      <c r="A1858" s="82"/>
      <c r="B1858" s="81"/>
      <c r="H1858" s="83"/>
    </row>
    <row r="1859" spans="1:8" x14ac:dyDescent="0.3">
      <c r="A1859" s="82"/>
      <c r="B1859" s="81"/>
      <c r="H1859" s="83"/>
    </row>
    <row r="1860" spans="1:8" x14ac:dyDescent="0.3">
      <c r="A1860" s="82"/>
      <c r="B1860" s="81"/>
      <c r="H1860" s="83"/>
    </row>
    <row r="1861" spans="1:8" x14ac:dyDescent="0.3">
      <c r="A1861" s="82"/>
      <c r="B1861" s="81"/>
      <c r="H1861" s="83"/>
    </row>
    <row r="1862" spans="1:8" x14ac:dyDescent="0.3">
      <c r="A1862" s="82"/>
      <c r="B1862" s="81"/>
      <c r="H1862" s="83"/>
    </row>
    <row r="1863" spans="1:8" x14ac:dyDescent="0.3">
      <c r="A1863" s="82"/>
      <c r="B1863" s="81"/>
      <c r="H1863" s="83"/>
    </row>
    <row r="1864" spans="1:8" x14ac:dyDescent="0.3">
      <c r="A1864" s="82"/>
      <c r="B1864" s="81"/>
      <c r="H1864" s="83"/>
    </row>
    <row r="1865" spans="1:8" x14ac:dyDescent="0.3">
      <c r="A1865" s="82"/>
      <c r="B1865" s="81"/>
      <c r="H1865" s="83"/>
    </row>
    <row r="1866" spans="1:8" x14ac:dyDescent="0.3">
      <c r="A1866" s="82"/>
      <c r="B1866" s="81"/>
      <c r="H1866" s="83"/>
    </row>
    <row r="1867" spans="1:8" x14ac:dyDescent="0.3">
      <c r="A1867" s="82"/>
      <c r="B1867" s="81"/>
      <c r="H1867" s="83"/>
    </row>
    <row r="1868" spans="1:8" x14ac:dyDescent="0.3">
      <c r="A1868" s="82"/>
      <c r="B1868" s="81"/>
      <c r="H1868" s="83"/>
    </row>
    <row r="1869" spans="1:8" x14ac:dyDescent="0.3">
      <c r="A1869" s="82"/>
      <c r="B1869" s="81"/>
      <c r="H1869" s="83"/>
    </row>
    <row r="1870" spans="1:8" x14ac:dyDescent="0.3">
      <c r="A1870" s="82"/>
      <c r="B1870" s="81"/>
      <c r="H1870" s="83"/>
    </row>
    <row r="1871" spans="1:8" x14ac:dyDescent="0.3">
      <c r="A1871" s="82"/>
      <c r="B1871" s="81"/>
      <c r="H1871" s="83"/>
    </row>
    <row r="1872" spans="1:8" x14ac:dyDescent="0.3">
      <c r="A1872" s="82"/>
      <c r="B1872" s="81"/>
      <c r="H1872" s="83"/>
    </row>
    <row r="1873" spans="1:8" x14ac:dyDescent="0.3">
      <c r="A1873" s="82"/>
      <c r="B1873" s="81"/>
      <c r="H1873" s="83"/>
    </row>
    <row r="1874" spans="1:8" x14ac:dyDescent="0.3">
      <c r="A1874" s="82"/>
      <c r="B1874" s="81"/>
      <c r="H1874" s="83"/>
    </row>
    <row r="1875" spans="1:8" x14ac:dyDescent="0.3">
      <c r="A1875" s="82"/>
      <c r="B1875" s="81"/>
      <c r="H1875" s="83"/>
    </row>
    <row r="1876" spans="1:8" x14ac:dyDescent="0.3">
      <c r="A1876" s="82"/>
      <c r="B1876" s="81"/>
      <c r="H1876" s="83"/>
    </row>
    <row r="1877" spans="1:8" x14ac:dyDescent="0.3">
      <c r="A1877" s="82"/>
      <c r="B1877" s="81"/>
      <c r="H1877" s="83"/>
    </row>
    <row r="1878" spans="1:8" x14ac:dyDescent="0.3">
      <c r="A1878" s="82"/>
      <c r="B1878" s="81"/>
      <c r="H1878" s="83"/>
    </row>
    <row r="1879" spans="1:8" x14ac:dyDescent="0.3">
      <c r="A1879" s="82"/>
      <c r="B1879" s="81"/>
      <c r="H1879" s="83"/>
    </row>
    <row r="1880" spans="1:8" x14ac:dyDescent="0.3">
      <c r="A1880" s="82"/>
      <c r="B1880" s="81"/>
      <c r="H1880" s="83"/>
    </row>
    <row r="1881" spans="1:8" x14ac:dyDescent="0.3">
      <c r="A1881" s="82"/>
      <c r="B1881" s="81"/>
      <c r="H1881" s="83"/>
    </row>
    <row r="1882" spans="1:8" x14ac:dyDescent="0.3">
      <c r="A1882" s="82"/>
      <c r="B1882" s="81"/>
      <c r="H1882" s="83"/>
    </row>
    <row r="1883" spans="1:8" x14ac:dyDescent="0.3">
      <c r="A1883" s="82"/>
      <c r="B1883" s="81"/>
      <c r="H1883" s="83"/>
    </row>
    <row r="1884" spans="1:8" x14ac:dyDescent="0.3">
      <c r="A1884" s="82"/>
      <c r="B1884" s="81"/>
      <c r="H1884" s="83"/>
    </row>
    <row r="1885" spans="1:8" x14ac:dyDescent="0.3">
      <c r="A1885" s="82"/>
      <c r="B1885" s="81"/>
      <c r="H1885" s="83"/>
    </row>
    <row r="1886" spans="1:8" x14ac:dyDescent="0.3">
      <c r="A1886" s="82"/>
      <c r="B1886" s="81"/>
      <c r="H1886" s="83"/>
    </row>
    <row r="1887" spans="1:8" x14ac:dyDescent="0.3">
      <c r="A1887" s="82"/>
      <c r="B1887" s="81"/>
      <c r="H1887" s="83"/>
    </row>
    <row r="1888" spans="1:8" x14ac:dyDescent="0.3">
      <c r="A1888" s="82"/>
      <c r="B1888" s="81"/>
      <c r="H1888" s="83"/>
    </row>
    <row r="1889" spans="1:8" x14ac:dyDescent="0.3">
      <c r="A1889" s="82"/>
      <c r="B1889" s="81"/>
      <c r="H1889" s="83"/>
    </row>
    <row r="1890" spans="1:8" x14ac:dyDescent="0.3">
      <c r="A1890" s="82"/>
      <c r="B1890" s="81"/>
      <c r="H1890" s="83"/>
    </row>
    <row r="1891" spans="1:8" x14ac:dyDescent="0.3">
      <c r="A1891" s="82"/>
      <c r="B1891" s="81"/>
      <c r="H1891" s="83"/>
    </row>
    <row r="1892" spans="1:8" x14ac:dyDescent="0.3">
      <c r="A1892" s="82"/>
      <c r="B1892" s="81"/>
      <c r="H1892" s="83"/>
    </row>
    <row r="1893" spans="1:8" x14ac:dyDescent="0.3">
      <c r="A1893" s="82"/>
      <c r="B1893" s="81"/>
      <c r="H1893" s="83"/>
    </row>
    <row r="1894" spans="1:8" x14ac:dyDescent="0.3">
      <c r="A1894" s="82"/>
      <c r="B1894" s="81"/>
      <c r="H1894" s="83"/>
    </row>
    <row r="1895" spans="1:8" x14ac:dyDescent="0.3">
      <c r="A1895" s="82"/>
      <c r="B1895" s="81"/>
      <c r="H1895" s="83"/>
    </row>
    <row r="1896" spans="1:8" x14ac:dyDescent="0.3">
      <c r="A1896" s="82"/>
      <c r="B1896" s="81"/>
      <c r="H1896" s="83"/>
    </row>
    <row r="1897" spans="1:8" x14ac:dyDescent="0.3">
      <c r="A1897" s="82"/>
      <c r="B1897" s="81"/>
      <c r="H1897" s="83"/>
    </row>
    <row r="1898" spans="1:8" x14ac:dyDescent="0.3">
      <c r="A1898" s="82"/>
      <c r="B1898" s="81"/>
      <c r="H1898" s="83"/>
    </row>
    <row r="1899" spans="1:8" x14ac:dyDescent="0.3">
      <c r="A1899" s="82"/>
      <c r="B1899" s="81"/>
      <c r="H1899" s="83"/>
    </row>
    <row r="1900" spans="1:8" x14ac:dyDescent="0.3">
      <c r="A1900" s="82"/>
      <c r="B1900" s="81"/>
      <c r="H1900" s="83"/>
    </row>
    <row r="1901" spans="1:8" x14ac:dyDescent="0.3">
      <c r="A1901" s="82"/>
      <c r="B1901" s="81"/>
      <c r="H1901" s="83"/>
    </row>
    <row r="1902" spans="1:8" x14ac:dyDescent="0.3">
      <c r="A1902" s="82"/>
      <c r="B1902" s="81"/>
      <c r="H1902" s="83"/>
    </row>
    <row r="1903" spans="1:8" x14ac:dyDescent="0.3">
      <c r="A1903" s="82"/>
      <c r="B1903" s="81"/>
      <c r="H1903" s="83"/>
    </row>
    <row r="1904" spans="1:8" x14ac:dyDescent="0.3">
      <c r="A1904" s="82"/>
      <c r="B1904" s="81"/>
      <c r="H1904" s="83"/>
    </row>
    <row r="1905" spans="1:8" x14ac:dyDescent="0.3">
      <c r="A1905" s="82"/>
      <c r="B1905" s="81"/>
      <c r="H1905" s="83"/>
    </row>
    <row r="1906" spans="1:8" x14ac:dyDescent="0.3">
      <c r="A1906" s="82"/>
      <c r="B1906" s="81"/>
      <c r="H1906" s="83"/>
    </row>
    <row r="1907" spans="1:8" x14ac:dyDescent="0.3">
      <c r="A1907" s="82"/>
      <c r="B1907" s="81"/>
      <c r="H1907" s="83"/>
    </row>
    <row r="1908" spans="1:8" x14ac:dyDescent="0.3">
      <c r="A1908" s="82"/>
      <c r="B1908" s="81"/>
      <c r="H1908" s="83"/>
    </row>
    <row r="1909" spans="1:8" x14ac:dyDescent="0.3">
      <c r="A1909" s="82"/>
      <c r="B1909" s="81"/>
      <c r="H1909" s="83"/>
    </row>
    <row r="1910" spans="1:8" x14ac:dyDescent="0.3">
      <c r="A1910" s="82"/>
      <c r="B1910" s="81"/>
      <c r="H1910" s="83"/>
    </row>
    <row r="1911" spans="1:8" x14ac:dyDescent="0.3">
      <c r="A1911" s="82"/>
      <c r="B1911" s="81"/>
      <c r="H1911" s="83"/>
    </row>
    <row r="1912" spans="1:8" x14ac:dyDescent="0.3">
      <c r="A1912" s="82"/>
      <c r="B1912" s="81"/>
      <c r="H1912" s="83"/>
    </row>
    <row r="1913" spans="1:8" x14ac:dyDescent="0.3">
      <c r="A1913" s="82"/>
      <c r="B1913" s="81"/>
      <c r="H1913" s="83"/>
    </row>
    <row r="1914" spans="1:8" x14ac:dyDescent="0.3">
      <c r="A1914" s="82"/>
      <c r="B1914" s="81"/>
      <c r="H1914" s="83"/>
    </row>
    <row r="1915" spans="1:8" x14ac:dyDescent="0.3">
      <c r="A1915" s="82"/>
      <c r="B1915" s="81"/>
      <c r="H1915" s="83"/>
    </row>
    <row r="1916" spans="1:8" x14ac:dyDescent="0.3">
      <c r="A1916" s="82"/>
      <c r="B1916" s="81"/>
      <c r="H1916" s="83"/>
    </row>
    <row r="1917" spans="1:8" x14ac:dyDescent="0.3">
      <c r="A1917" s="82"/>
      <c r="B1917" s="81"/>
      <c r="H1917" s="83"/>
    </row>
    <row r="1918" spans="1:8" x14ac:dyDescent="0.3">
      <c r="A1918" s="82"/>
      <c r="B1918" s="81"/>
      <c r="H1918" s="83"/>
    </row>
    <row r="1919" spans="1:8" x14ac:dyDescent="0.3">
      <c r="A1919" s="82"/>
      <c r="B1919" s="81"/>
      <c r="H1919" s="83"/>
    </row>
    <row r="1920" spans="1:8" x14ac:dyDescent="0.3">
      <c r="A1920" s="82"/>
      <c r="B1920" s="81"/>
      <c r="H1920" s="83"/>
    </row>
    <row r="1921" spans="1:8" x14ac:dyDescent="0.3">
      <c r="A1921" s="82"/>
      <c r="B1921" s="81"/>
      <c r="H1921" s="83"/>
    </row>
    <row r="1922" spans="1:8" x14ac:dyDescent="0.3">
      <c r="A1922" s="82"/>
      <c r="B1922" s="81"/>
      <c r="H1922" s="83"/>
    </row>
    <row r="1923" spans="1:8" x14ac:dyDescent="0.3">
      <c r="A1923" s="82"/>
      <c r="B1923" s="81"/>
      <c r="H1923" s="83"/>
    </row>
    <row r="1924" spans="1:8" x14ac:dyDescent="0.3">
      <c r="A1924" s="82"/>
      <c r="B1924" s="81"/>
      <c r="H1924" s="83"/>
    </row>
    <row r="1925" spans="1:8" x14ac:dyDescent="0.3">
      <c r="A1925" s="82"/>
      <c r="B1925" s="81"/>
      <c r="H1925" s="83"/>
    </row>
    <row r="1926" spans="1:8" x14ac:dyDescent="0.3">
      <c r="A1926" s="82"/>
      <c r="B1926" s="81"/>
      <c r="H1926" s="83"/>
    </row>
    <row r="1927" spans="1:8" x14ac:dyDescent="0.3">
      <c r="A1927" s="82"/>
      <c r="B1927" s="81"/>
      <c r="H1927" s="83"/>
    </row>
    <row r="1928" spans="1:8" x14ac:dyDescent="0.3">
      <c r="A1928" s="82"/>
      <c r="B1928" s="81"/>
      <c r="H1928" s="83"/>
    </row>
    <row r="1929" spans="1:8" x14ac:dyDescent="0.3">
      <c r="A1929" s="82"/>
      <c r="B1929" s="81"/>
      <c r="H1929" s="83"/>
    </row>
    <row r="1930" spans="1:8" x14ac:dyDescent="0.3">
      <c r="A1930" s="82"/>
      <c r="B1930" s="81"/>
      <c r="H1930" s="83"/>
    </row>
    <row r="1931" spans="1:8" x14ac:dyDescent="0.3">
      <c r="A1931" s="82"/>
      <c r="B1931" s="81"/>
      <c r="H1931" s="83"/>
    </row>
    <row r="1932" spans="1:8" x14ac:dyDescent="0.3">
      <c r="A1932" s="82"/>
      <c r="B1932" s="81"/>
      <c r="H1932" s="83"/>
    </row>
    <row r="1933" spans="1:8" x14ac:dyDescent="0.3">
      <c r="A1933" s="82"/>
      <c r="B1933" s="81"/>
      <c r="H1933" s="83"/>
    </row>
    <row r="1934" spans="1:8" x14ac:dyDescent="0.3">
      <c r="A1934" s="82"/>
      <c r="B1934" s="81"/>
      <c r="H1934" s="83"/>
    </row>
    <row r="1935" spans="1:8" x14ac:dyDescent="0.3">
      <c r="A1935" s="82"/>
      <c r="B1935" s="81"/>
      <c r="H1935" s="83"/>
    </row>
    <row r="1936" spans="1:8" x14ac:dyDescent="0.3">
      <c r="A1936" s="82"/>
      <c r="B1936" s="81"/>
      <c r="H1936" s="83"/>
    </row>
    <row r="1937" spans="1:8" x14ac:dyDescent="0.3">
      <c r="A1937" s="82"/>
      <c r="B1937" s="81"/>
      <c r="H1937" s="83"/>
    </row>
    <row r="1938" spans="1:8" x14ac:dyDescent="0.3">
      <c r="A1938" s="82"/>
      <c r="B1938" s="81"/>
      <c r="H1938" s="83"/>
    </row>
    <row r="1939" spans="1:8" x14ac:dyDescent="0.3">
      <c r="A1939" s="82"/>
      <c r="B1939" s="81"/>
      <c r="H1939" s="83"/>
    </row>
    <row r="1940" spans="1:8" x14ac:dyDescent="0.3">
      <c r="A1940" s="82"/>
      <c r="B1940" s="81"/>
      <c r="H1940" s="83"/>
    </row>
    <row r="1941" spans="1:8" x14ac:dyDescent="0.3">
      <c r="A1941" s="82"/>
      <c r="B1941" s="81"/>
      <c r="H1941" s="83"/>
    </row>
    <row r="1942" spans="1:8" x14ac:dyDescent="0.3">
      <c r="A1942" s="82"/>
      <c r="B1942" s="81"/>
      <c r="H1942" s="83"/>
    </row>
    <row r="1943" spans="1:8" x14ac:dyDescent="0.3">
      <c r="A1943" s="82"/>
      <c r="B1943" s="81"/>
      <c r="H1943" s="83"/>
    </row>
    <row r="1944" spans="1:8" x14ac:dyDescent="0.3">
      <c r="A1944" s="82"/>
      <c r="B1944" s="81"/>
      <c r="H1944" s="83"/>
    </row>
    <row r="1945" spans="1:8" x14ac:dyDescent="0.3">
      <c r="A1945" s="82"/>
      <c r="B1945" s="81"/>
      <c r="H1945" s="83"/>
    </row>
    <row r="1946" spans="1:8" x14ac:dyDescent="0.3">
      <c r="A1946" s="82"/>
      <c r="B1946" s="81"/>
      <c r="H1946" s="83"/>
    </row>
    <row r="1947" spans="1:8" x14ac:dyDescent="0.3">
      <c r="A1947" s="82"/>
      <c r="B1947" s="81"/>
      <c r="H1947" s="83"/>
    </row>
    <row r="1948" spans="1:8" x14ac:dyDescent="0.3">
      <c r="A1948" s="82"/>
      <c r="B1948" s="81"/>
      <c r="H1948" s="83"/>
    </row>
    <row r="1949" spans="1:8" x14ac:dyDescent="0.3">
      <c r="A1949" s="82"/>
      <c r="B1949" s="81"/>
      <c r="H1949" s="83"/>
    </row>
    <row r="1950" spans="1:8" x14ac:dyDescent="0.3">
      <c r="A1950" s="82"/>
      <c r="B1950" s="81"/>
      <c r="H1950" s="83"/>
    </row>
    <row r="1951" spans="1:8" x14ac:dyDescent="0.3">
      <c r="A1951" s="82"/>
      <c r="B1951" s="81"/>
      <c r="H1951" s="83"/>
    </row>
    <row r="1952" spans="1:8" x14ac:dyDescent="0.3">
      <c r="A1952" s="82"/>
      <c r="B1952" s="81"/>
      <c r="H1952" s="83"/>
    </row>
    <row r="1953" spans="1:8" x14ac:dyDescent="0.3">
      <c r="A1953" s="82"/>
      <c r="B1953" s="81"/>
      <c r="H1953" s="83"/>
    </row>
    <row r="1954" spans="1:8" x14ac:dyDescent="0.3">
      <c r="A1954" s="82"/>
      <c r="B1954" s="81"/>
      <c r="H1954" s="83"/>
    </row>
    <row r="1955" spans="1:8" x14ac:dyDescent="0.3">
      <c r="A1955" s="82"/>
      <c r="B1955" s="81"/>
      <c r="H1955" s="83"/>
    </row>
    <row r="1956" spans="1:8" x14ac:dyDescent="0.3">
      <c r="A1956" s="82"/>
      <c r="B1956" s="81"/>
      <c r="H1956" s="83"/>
    </row>
    <row r="1957" spans="1:8" x14ac:dyDescent="0.3">
      <c r="A1957" s="82"/>
      <c r="B1957" s="81"/>
      <c r="H1957" s="83"/>
    </row>
    <row r="1958" spans="1:8" x14ac:dyDescent="0.3">
      <c r="A1958" s="82"/>
      <c r="B1958" s="81"/>
      <c r="H1958" s="83"/>
    </row>
    <row r="1959" spans="1:8" x14ac:dyDescent="0.3">
      <c r="A1959" s="82"/>
      <c r="B1959" s="81"/>
      <c r="H1959" s="83"/>
    </row>
    <row r="1960" spans="1:8" x14ac:dyDescent="0.3">
      <c r="A1960" s="82"/>
      <c r="B1960" s="81"/>
      <c r="H1960" s="83"/>
    </row>
    <row r="1961" spans="1:8" x14ac:dyDescent="0.3">
      <c r="A1961" s="82"/>
      <c r="B1961" s="81"/>
      <c r="H1961" s="83"/>
    </row>
    <row r="1962" spans="1:8" x14ac:dyDescent="0.3">
      <c r="A1962" s="82"/>
      <c r="B1962" s="81"/>
      <c r="H1962" s="83"/>
    </row>
    <row r="1963" spans="1:8" x14ac:dyDescent="0.3">
      <c r="A1963" s="82"/>
      <c r="B1963" s="81"/>
      <c r="H1963" s="83"/>
    </row>
    <row r="1964" spans="1:8" x14ac:dyDescent="0.3">
      <c r="A1964" s="82"/>
      <c r="B1964" s="81"/>
      <c r="H1964" s="83"/>
    </row>
    <row r="1965" spans="1:8" x14ac:dyDescent="0.3">
      <c r="A1965" s="82"/>
      <c r="B1965" s="81"/>
      <c r="H1965" s="83"/>
    </row>
    <row r="1966" spans="1:8" x14ac:dyDescent="0.3">
      <c r="A1966" s="82"/>
      <c r="B1966" s="81"/>
      <c r="H1966" s="83"/>
    </row>
    <row r="1967" spans="1:8" x14ac:dyDescent="0.3">
      <c r="A1967" s="82"/>
      <c r="B1967" s="81"/>
      <c r="H1967" s="83"/>
    </row>
    <row r="1968" spans="1:8" x14ac:dyDescent="0.3">
      <c r="A1968" s="82"/>
      <c r="B1968" s="81"/>
      <c r="H1968" s="83"/>
    </row>
    <row r="1969" spans="1:8" x14ac:dyDescent="0.3">
      <c r="A1969" s="82"/>
      <c r="B1969" s="81"/>
      <c r="H1969" s="83"/>
    </row>
    <row r="1970" spans="1:8" x14ac:dyDescent="0.3">
      <c r="A1970" s="82"/>
      <c r="B1970" s="81"/>
      <c r="H1970" s="83"/>
    </row>
    <row r="1971" spans="1:8" x14ac:dyDescent="0.3">
      <c r="A1971" s="82"/>
      <c r="B1971" s="81"/>
      <c r="H1971" s="83"/>
    </row>
    <row r="1972" spans="1:8" x14ac:dyDescent="0.3">
      <c r="A1972" s="82"/>
      <c r="B1972" s="81"/>
      <c r="H1972" s="83"/>
    </row>
    <row r="1973" spans="1:8" x14ac:dyDescent="0.3">
      <c r="A1973" s="82"/>
      <c r="B1973" s="81"/>
      <c r="H1973" s="83"/>
    </row>
    <row r="1974" spans="1:8" x14ac:dyDescent="0.3">
      <c r="A1974" s="82"/>
      <c r="B1974" s="81"/>
      <c r="H1974" s="83"/>
    </row>
    <row r="1975" spans="1:8" x14ac:dyDescent="0.3">
      <c r="A1975" s="82"/>
      <c r="B1975" s="81"/>
      <c r="H1975" s="83"/>
    </row>
    <row r="1976" spans="1:8" x14ac:dyDescent="0.3">
      <c r="A1976" s="82"/>
      <c r="B1976" s="81"/>
      <c r="H1976" s="83"/>
    </row>
    <row r="1977" spans="1:8" x14ac:dyDescent="0.3">
      <c r="A1977" s="82"/>
      <c r="B1977" s="81"/>
      <c r="H1977" s="83"/>
    </row>
    <row r="1978" spans="1:8" x14ac:dyDescent="0.3">
      <c r="A1978" s="82"/>
      <c r="B1978" s="81"/>
      <c r="H1978" s="83"/>
    </row>
    <row r="1979" spans="1:8" x14ac:dyDescent="0.3">
      <c r="A1979" s="82"/>
      <c r="B1979" s="81"/>
      <c r="H1979" s="83"/>
    </row>
    <row r="1980" spans="1:8" x14ac:dyDescent="0.3">
      <c r="A1980" s="82"/>
      <c r="B1980" s="81"/>
      <c r="H1980" s="83"/>
    </row>
    <row r="1981" spans="1:8" x14ac:dyDescent="0.3">
      <c r="A1981" s="82"/>
      <c r="B1981" s="81"/>
      <c r="H1981" s="83"/>
    </row>
    <row r="1982" spans="1:8" x14ac:dyDescent="0.3">
      <c r="A1982" s="82"/>
      <c r="B1982" s="81"/>
      <c r="H1982" s="83"/>
    </row>
    <row r="1983" spans="1:8" x14ac:dyDescent="0.3">
      <c r="A1983" s="82"/>
      <c r="B1983" s="81"/>
      <c r="H1983" s="83"/>
    </row>
    <row r="1984" spans="1:8" x14ac:dyDescent="0.3">
      <c r="A1984" s="82"/>
      <c r="B1984" s="81"/>
      <c r="H1984" s="83"/>
    </row>
    <row r="1985" spans="1:8" x14ac:dyDescent="0.3">
      <c r="A1985" s="82"/>
      <c r="B1985" s="81"/>
      <c r="H1985" s="83"/>
    </row>
    <row r="1986" spans="1:8" x14ac:dyDescent="0.3">
      <c r="A1986" s="82"/>
      <c r="B1986" s="81"/>
      <c r="H1986" s="83"/>
    </row>
    <row r="1987" spans="1:8" x14ac:dyDescent="0.3">
      <c r="A1987" s="82"/>
      <c r="B1987" s="81"/>
      <c r="H1987" s="83"/>
    </row>
    <row r="1988" spans="1:8" x14ac:dyDescent="0.3">
      <c r="A1988" s="82"/>
      <c r="B1988" s="81"/>
      <c r="H1988" s="83"/>
    </row>
    <row r="1989" spans="1:8" x14ac:dyDescent="0.3">
      <c r="A1989" s="82"/>
      <c r="B1989" s="81"/>
      <c r="H1989" s="83"/>
    </row>
    <row r="1990" spans="1:8" x14ac:dyDescent="0.3">
      <c r="A1990" s="82"/>
      <c r="B1990" s="81"/>
      <c r="H1990" s="83"/>
    </row>
    <row r="1991" spans="1:8" x14ac:dyDescent="0.3">
      <c r="A1991" s="82"/>
      <c r="B1991" s="81"/>
      <c r="H1991" s="83"/>
    </row>
    <row r="1992" spans="1:8" x14ac:dyDescent="0.3">
      <c r="A1992" s="82"/>
      <c r="B1992" s="81"/>
      <c r="H1992" s="83"/>
    </row>
    <row r="1993" spans="1:8" x14ac:dyDescent="0.3">
      <c r="A1993" s="82"/>
      <c r="B1993" s="81"/>
      <c r="H1993" s="83"/>
    </row>
    <row r="1994" spans="1:8" x14ac:dyDescent="0.3">
      <c r="A1994" s="82"/>
      <c r="B1994" s="81"/>
      <c r="H1994" s="83"/>
    </row>
    <row r="1995" spans="1:8" x14ac:dyDescent="0.3">
      <c r="A1995" s="82"/>
      <c r="B1995" s="81"/>
      <c r="H1995" s="83"/>
    </row>
    <row r="1996" spans="1:8" x14ac:dyDescent="0.3">
      <c r="A1996" s="82"/>
      <c r="B1996" s="81"/>
      <c r="H1996" s="83"/>
    </row>
    <row r="1997" spans="1:8" x14ac:dyDescent="0.3">
      <c r="A1997" s="82"/>
      <c r="B1997" s="81"/>
      <c r="H1997" s="83"/>
    </row>
    <row r="1998" spans="1:8" x14ac:dyDescent="0.3">
      <c r="A1998" s="82"/>
      <c r="B1998" s="81"/>
      <c r="H1998" s="83"/>
    </row>
    <row r="1999" spans="1:8" x14ac:dyDescent="0.3">
      <c r="A1999" s="82"/>
      <c r="B1999" s="81"/>
      <c r="H1999" s="83"/>
    </row>
    <row r="2000" spans="1:8" x14ac:dyDescent="0.3">
      <c r="A2000" s="82"/>
      <c r="B2000" s="81"/>
      <c r="H2000" s="83"/>
    </row>
    <row r="2001" spans="1:8" x14ac:dyDescent="0.3">
      <c r="A2001" s="82"/>
      <c r="B2001" s="81"/>
      <c r="H2001" s="83"/>
    </row>
    <row r="2002" spans="1:8" x14ac:dyDescent="0.3">
      <c r="A2002" s="82"/>
      <c r="B2002" s="81"/>
      <c r="H2002" s="83"/>
    </row>
    <row r="2003" spans="1:8" x14ac:dyDescent="0.3">
      <c r="A2003" s="82"/>
      <c r="B2003" s="81"/>
      <c r="H2003" s="83"/>
    </row>
    <row r="2004" spans="1:8" x14ac:dyDescent="0.3">
      <c r="A2004" s="82"/>
      <c r="B2004" s="81"/>
      <c r="H2004" s="83"/>
    </row>
    <row r="2005" spans="1:8" x14ac:dyDescent="0.3">
      <c r="A2005" s="82"/>
      <c r="B2005" s="81"/>
      <c r="H2005" s="83"/>
    </row>
    <row r="2006" spans="1:8" x14ac:dyDescent="0.3">
      <c r="A2006" s="82"/>
      <c r="B2006" s="81"/>
      <c r="H2006" s="83"/>
    </row>
    <row r="2007" spans="1:8" x14ac:dyDescent="0.3">
      <c r="A2007" s="82"/>
      <c r="B2007" s="81"/>
      <c r="H2007" s="83"/>
    </row>
    <row r="2008" spans="1:8" x14ac:dyDescent="0.3">
      <c r="A2008" s="82"/>
      <c r="B2008" s="81"/>
      <c r="H2008" s="83"/>
    </row>
    <row r="2009" spans="1:8" x14ac:dyDescent="0.3">
      <c r="A2009" s="82"/>
      <c r="B2009" s="81"/>
      <c r="H2009" s="83"/>
    </row>
    <row r="2010" spans="1:8" x14ac:dyDescent="0.3">
      <c r="A2010" s="82"/>
      <c r="B2010" s="81"/>
      <c r="H2010" s="83"/>
    </row>
    <row r="2011" spans="1:8" x14ac:dyDescent="0.3">
      <c r="A2011" s="82"/>
      <c r="B2011" s="81"/>
      <c r="H2011" s="83"/>
    </row>
    <row r="2012" spans="1:8" x14ac:dyDescent="0.3">
      <c r="A2012" s="82"/>
      <c r="B2012" s="81"/>
      <c r="H2012" s="83"/>
    </row>
    <row r="2013" spans="1:8" x14ac:dyDescent="0.3">
      <c r="A2013" s="82"/>
      <c r="B2013" s="81"/>
      <c r="H2013" s="83"/>
    </row>
    <row r="2014" spans="1:8" x14ac:dyDescent="0.3">
      <c r="A2014" s="82"/>
      <c r="B2014" s="81"/>
      <c r="H2014" s="83"/>
    </row>
    <row r="2015" spans="1:8" x14ac:dyDescent="0.3">
      <c r="A2015" s="82"/>
      <c r="B2015" s="81"/>
      <c r="H2015" s="83"/>
    </row>
    <row r="2016" spans="1:8" x14ac:dyDescent="0.3">
      <c r="A2016" s="82"/>
      <c r="B2016" s="81"/>
      <c r="H2016" s="83"/>
    </row>
    <row r="2017" spans="1:8" x14ac:dyDescent="0.3">
      <c r="A2017" s="82"/>
      <c r="B2017" s="81"/>
      <c r="H2017" s="83"/>
    </row>
    <row r="2018" spans="1:8" x14ac:dyDescent="0.3">
      <c r="A2018" s="82"/>
      <c r="B2018" s="81"/>
      <c r="H2018" s="83"/>
    </row>
    <row r="2019" spans="1:8" x14ac:dyDescent="0.3">
      <c r="A2019" s="82"/>
      <c r="B2019" s="81"/>
      <c r="H2019" s="83"/>
    </row>
    <row r="2020" spans="1:8" x14ac:dyDescent="0.3">
      <c r="A2020" s="82"/>
      <c r="B2020" s="81"/>
      <c r="H2020" s="83"/>
    </row>
    <row r="2021" spans="1:8" x14ac:dyDescent="0.3">
      <c r="A2021" s="82"/>
      <c r="B2021" s="81"/>
      <c r="H2021" s="83"/>
    </row>
    <row r="2022" spans="1:8" x14ac:dyDescent="0.3">
      <c r="A2022" s="82"/>
      <c r="B2022" s="81"/>
      <c r="H2022" s="83"/>
    </row>
    <row r="2023" spans="1:8" x14ac:dyDescent="0.3">
      <c r="A2023" s="82"/>
      <c r="B2023" s="81"/>
      <c r="H2023" s="83"/>
    </row>
    <row r="2024" spans="1:8" x14ac:dyDescent="0.3">
      <c r="A2024" s="82"/>
      <c r="B2024" s="81"/>
      <c r="H2024" s="83"/>
    </row>
    <row r="2025" spans="1:8" x14ac:dyDescent="0.3">
      <c r="A2025" s="82"/>
      <c r="B2025" s="81"/>
      <c r="H2025" s="83"/>
    </row>
    <row r="2026" spans="1:8" x14ac:dyDescent="0.3">
      <c r="A2026" s="82"/>
      <c r="B2026" s="81"/>
      <c r="H2026" s="83"/>
    </row>
    <row r="2027" spans="1:8" x14ac:dyDescent="0.3">
      <c r="A2027" s="82"/>
      <c r="B2027" s="81"/>
      <c r="H2027" s="83"/>
    </row>
    <row r="2028" spans="1:8" x14ac:dyDescent="0.3">
      <c r="A2028" s="82"/>
      <c r="B2028" s="81"/>
      <c r="H2028" s="83"/>
    </row>
    <row r="2029" spans="1:8" x14ac:dyDescent="0.3">
      <c r="A2029" s="82"/>
      <c r="B2029" s="81"/>
      <c r="H2029" s="83"/>
    </row>
    <row r="2030" spans="1:8" x14ac:dyDescent="0.3">
      <c r="A2030" s="82"/>
      <c r="B2030" s="81"/>
      <c r="H2030" s="83"/>
    </row>
    <row r="2031" spans="1:8" x14ac:dyDescent="0.3">
      <c r="A2031" s="82"/>
      <c r="B2031" s="81"/>
      <c r="H2031" s="83"/>
    </row>
    <row r="2032" spans="1:8" x14ac:dyDescent="0.3">
      <c r="A2032" s="82"/>
      <c r="B2032" s="81"/>
      <c r="H2032" s="83"/>
    </row>
    <row r="2033" spans="1:8" x14ac:dyDescent="0.3">
      <c r="A2033" s="82"/>
      <c r="B2033" s="81"/>
      <c r="H2033" s="83"/>
    </row>
    <row r="2034" spans="1:8" x14ac:dyDescent="0.3">
      <c r="A2034" s="82"/>
      <c r="B2034" s="81"/>
      <c r="H2034" s="83"/>
    </row>
    <row r="2035" spans="1:8" x14ac:dyDescent="0.3">
      <c r="A2035" s="82"/>
      <c r="B2035" s="81"/>
      <c r="H2035" s="83"/>
    </row>
    <row r="2036" spans="1:8" x14ac:dyDescent="0.3">
      <c r="A2036" s="82"/>
      <c r="B2036" s="81"/>
      <c r="H2036" s="83"/>
    </row>
    <row r="2037" spans="1:8" x14ac:dyDescent="0.3">
      <c r="A2037" s="82"/>
      <c r="B2037" s="81"/>
      <c r="H2037" s="83"/>
    </row>
    <row r="2038" spans="1:8" x14ac:dyDescent="0.3">
      <c r="A2038" s="82"/>
      <c r="B2038" s="81"/>
      <c r="H2038" s="83"/>
    </row>
    <row r="2039" spans="1:8" x14ac:dyDescent="0.3">
      <c r="A2039" s="82"/>
      <c r="B2039" s="81"/>
      <c r="H2039" s="83"/>
    </row>
    <row r="2040" spans="1:8" x14ac:dyDescent="0.3">
      <c r="A2040" s="82"/>
      <c r="B2040" s="81"/>
      <c r="H2040" s="83"/>
    </row>
    <row r="2041" spans="1:8" x14ac:dyDescent="0.3">
      <c r="A2041" s="82"/>
      <c r="B2041" s="81"/>
      <c r="H2041" s="83"/>
    </row>
    <row r="2042" spans="1:8" x14ac:dyDescent="0.3">
      <c r="A2042" s="82"/>
      <c r="B2042" s="81"/>
      <c r="H2042" s="83"/>
    </row>
    <row r="2043" spans="1:8" x14ac:dyDescent="0.3">
      <c r="A2043" s="82"/>
      <c r="B2043" s="81"/>
      <c r="H2043" s="83"/>
    </row>
    <row r="2044" spans="1:8" x14ac:dyDescent="0.3">
      <c r="A2044" s="82"/>
      <c r="B2044" s="81"/>
      <c r="H2044" s="83"/>
    </row>
    <row r="2045" spans="1:8" x14ac:dyDescent="0.3">
      <c r="A2045" s="82"/>
      <c r="B2045" s="81"/>
      <c r="H2045" s="83"/>
    </row>
    <row r="2046" spans="1:8" x14ac:dyDescent="0.3">
      <c r="A2046" s="82"/>
      <c r="B2046" s="81"/>
      <c r="H2046" s="83"/>
    </row>
    <row r="2047" spans="1:8" x14ac:dyDescent="0.3">
      <c r="A2047" s="82"/>
      <c r="B2047" s="81"/>
      <c r="H2047" s="83"/>
    </row>
    <row r="2048" spans="1:8" x14ac:dyDescent="0.3">
      <c r="A2048" s="82"/>
      <c r="B2048" s="81"/>
      <c r="H2048" s="83"/>
    </row>
    <row r="2049" spans="1:8" x14ac:dyDescent="0.3">
      <c r="A2049" s="82"/>
      <c r="B2049" s="81"/>
      <c r="H2049" s="83"/>
    </row>
    <row r="2050" spans="1:8" x14ac:dyDescent="0.3">
      <c r="A2050" s="82"/>
      <c r="B2050" s="81"/>
      <c r="H2050" s="83"/>
    </row>
    <row r="2051" spans="1:8" x14ac:dyDescent="0.3">
      <c r="A2051" s="82"/>
      <c r="B2051" s="81"/>
      <c r="H2051" s="83"/>
    </row>
    <row r="2052" spans="1:8" x14ac:dyDescent="0.3">
      <c r="A2052" s="82"/>
      <c r="B2052" s="81"/>
      <c r="H2052" s="83"/>
    </row>
    <row r="2053" spans="1:8" x14ac:dyDescent="0.3">
      <c r="A2053" s="82"/>
      <c r="B2053" s="81"/>
      <c r="H2053" s="83"/>
    </row>
    <row r="2054" spans="1:8" x14ac:dyDescent="0.3">
      <c r="A2054" s="82"/>
      <c r="B2054" s="81"/>
      <c r="H2054" s="83"/>
    </row>
    <row r="2055" spans="1:8" x14ac:dyDescent="0.3">
      <c r="A2055" s="82"/>
      <c r="B2055" s="81"/>
      <c r="H2055" s="83"/>
    </row>
    <row r="2056" spans="1:8" x14ac:dyDescent="0.3">
      <c r="A2056" s="82"/>
      <c r="B2056" s="81"/>
      <c r="H2056" s="83"/>
    </row>
    <row r="2057" spans="1:8" x14ac:dyDescent="0.3">
      <c r="A2057" s="82"/>
      <c r="B2057" s="81"/>
      <c r="H2057" s="83"/>
    </row>
    <row r="2058" spans="1:8" x14ac:dyDescent="0.3">
      <c r="A2058" s="82"/>
      <c r="B2058" s="81"/>
      <c r="H2058" s="83"/>
    </row>
    <row r="2059" spans="1:8" x14ac:dyDescent="0.3">
      <c r="A2059" s="82"/>
      <c r="B2059" s="81"/>
      <c r="H2059" s="83"/>
    </row>
    <row r="2060" spans="1:8" x14ac:dyDescent="0.3">
      <c r="A2060" s="82"/>
      <c r="B2060" s="81"/>
      <c r="H2060" s="83"/>
    </row>
    <row r="2061" spans="1:8" x14ac:dyDescent="0.3">
      <c r="A2061" s="82"/>
      <c r="B2061" s="81"/>
      <c r="H2061" s="83"/>
    </row>
    <row r="2062" spans="1:8" x14ac:dyDescent="0.3">
      <c r="A2062" s="82"/>
      <c r="B2062" s="81"/>
      <c r="H2062" s="83"/>
    </row>
    <row r="2063" spans="1:8" x14ac:dyDescent="0.3">
      <c r="A2063" s="82"/>
      <c r="B2063" s="81"/>
      <c r="H2063" s="83"/>
    </row>
    <row r="2064" spans="1:8" x14ac:dyDescent="0.3">
      <c r="A2064" s="82"/>
      <c r="B2064" s="81"/>
      <c r="H2064" s="83"/>
    </row>
    <row r="2065" spans="1:8" x14ac:dyDescent="0.3">
      <c r="A2065" s="82"/>
      <c r="B2065" s="81"/>
      <c r="H2065" s="83"/>
    </row>
    <row r="2066" spans="1:8" x14ac:dyDescent="0.3">
      <c r="A2066" s="82"/>
      <c r="B2066" s="81"/>
      <c r="H2066" s="83"/>
    </row>
    <row r="2067" spans="1:8" x14ac:dyDescent="0.3">
      <c r="A2067" s="82"/>
      <c r="B2067" s="81"/>
      <c r="H2067" s="83"/>
    </row>
    <row r="2068" spans="1:8" x14ac:dyDescent="0.3">
      <c r="A2068" s="82"/>
      <c r="B2068" s="81"/>
      <c r="H2068" s="83"/>
    </row>
    <row r="2069" spans="1:8" x14ac:dyDescent="0.3">
      <c r="A2069" s="82"/>
      <c r="B2069" s="81"/>
      <c r="H2069" s="83"/>
    </row>
    <row r="2070" spans="1:8" x14ac:dyDescent="0.3">
      <c r="A2070" s="82"/>
      <c r="B2070" s="81"/>
      <c r="H2070" s="83"/>
    </row>
    <row r="2071" spans="1:8" x14ac:dyDescent="0.3">
      <c r="A2071" s="82"/>
      <c r="B2071" s="81"/>
      <c r="H2071" s="83"/>
    </row>
    <row r="2072" spans="1:8" x14ac:dyDescent="0.3">
      <c r="A2072" s="82"/>
      <c r="B2072" s="81"/>
      <c r="H2072" s="83"/>
    </row>
    <row r="2073" spans="1:8" x14ac:dyDescent="0.3">
      <c r="A2073" s="82"/>
      <c r="B2073" s="81"/>
      <c r="H2073" s="83"/>
    </row>
    <row r="2074" spans="1:8" x14ac:dyDescent="0.3">
      <c r="A2074" s="82"/>
      <c r="B2074" s="81"/>
      <c r="H2074" s="83"/>
    </row>
    <row r="2075" spans="1:8" x14ac:dyDescent="0.3">
      <c r="A2075" s="82"/>
      <c r="B2075" s="81"/>
      <c r="H2075" s="83"/>
    </row>
    <row r="2076" spans="1:8" x14ac:dyDescent="0.3">
      <c r="A2076" s="82"/>
      <c r="B2076" s="81"/>
      <c r="H2076" s="83"/>
    </row>
    <row r="2077" spans="1:8" x14ac:dyDescent="0.3">
      <c r="A2077" s="82"/>
      <c r="B2077" s="81"/>
      <c r="H2077" s="83"/>
    </row>
    <row r="2078" spans="1:8" x14ac:dyDescent="0.3">
      <c r="A2078" s="82"/>
      <c r="B2078" s="81"/>
      <c r="H2078" s="83"/>
    </row>
    <row r="2079" spans="1:8" x14ac:dyDescent="0.3">
      <c r="A2079" s="82"/>
      <c r="B2079" s="81"/>
      <c r="H2079" s="83"/>
    </row>
    <row r="2080" spans="1:8" x14ac:dyDescent="0.3">
      <c r="A2080" s="82"/>
      <c r="B2080" s="81"/>
      <c r="H2080" s="83"/>
    </row>
    <row r="2081" spans="1:8" x14ac:dyDescent="0.3">
      <c r="A2081" s="82"/>
      <c r="B2081" s="81"/>
      <c r="H2081" s="83"/>
    </row>
    <row r="2082" spans="1:8" x14ac:dyDescent="0.3">
      <c r="A2082" s="82"/>
      <c r="B2082" s="81"/>
      <c r="H2082" s="83"/>
    </row>
    <row r="2083" spans="1:8" x14ac:dyDescent="0.3">
      <c r="A2083" s="82"/>
      <c r="B2083" s="81"/>
      <c r="H2083" s="83"/>
    </row>
    <row r="2084" spans="1:8" x14ac:dyDescent="0.3">
      <c r="A2084" s="82"/>
      <c r="B2084" s="81"/>
      <c r="H2084" s="83"/>
    </row>
    <row r="2085" spans="1:8" x14ac:dyDescent="0.3">
      <c r="A2085" s="82"/>
      <c r="B2085" s="81"/>
      <c r="H2085" s="83"/>
    </row>
    <row r="2086" spans="1:8" x14ac:dyDescent="0.3">
      <c r="A2086" s="82"/>
      <c r="B2086" s="81"/>
      <c r="H2086" s="83"/>
    </row>
    <row r="2087" spans="1:8" x14ac:dyDescent="0.3">
      <c r="A2087" s="82"/>
      <c r="B2087" s="81"/>
      <c r="H2087" s="83"/>
    </row>
    <row r="2088" spans="1:8" x14ac:dyDescent="0.3">
      <c r="A2088" s="82"/>
      <c r="B2088" s="81"/>
      <c r="H2088" s="83"/>
    </row>
    <row r="2089" spans="1:8" x14ac:dyDescent="0.3">
      <c r="A2089" s="82"/>
      <c r="B2089" s="81"/>
      <c r="H2089" s="83"/>
    </row>
    <row r="2090" spans="1:8" x14ac:dyDescent="0.3">
      <c r="A2090" s="82"/>
      <c r="B2090" s="81"/>
      <c r="H2090" s="83"/>
    </row>
    <row r="2091" spans="1:8" x14ac:dyDescent="0.3">
      <c r="A2091" s="82"/>
      <c r="B2091" s="81"/>
      <c r="H2091" s="83"/>
    </row>
    <row r="2092" spans="1:8" x14ac:dyDescent="0.3">
      <c r="A2092" s="82"/>
      <c r="B2092" s="81"/>
      <c r="H2092" s="83"/>
    </row>
    <row r="2093" spans="1:8" x14ac:dyDescent="0.3">
      <c r="A2093" s="82"/>
      <c r="B2093" s="81"/>
      <c r="H2093" s="83"/>
    </row>
    <row r="2094" spans="1:8" x14ac:dyDescent="0.3">
      <c r="A2094" s="82"/>
      <c r="B2094" s="81"/>
      <c r="H2094" s="83"/>
    </row>
    <row r="2095" spans="1:8" x14ac:dyDescent="0.3">
      <c r="A2095" s="82"/>
      <c r="B2095" s="81"/>
      <c r="H2095" s="83"/>
    </row>
    <row r="2096" spans="1:8" x14ac:dyDescent="0.3">
      <c r="A2096" s="82"/>
      <c r="B2096" s="81"/>
      <c r="H2096" s="83"/>
    </row>
    <row r="2097" spans="1:8" x14ac:dyDescent="0.3">
      <c r="A2097" s="82"/>
      <c r="B2097" s="81"/>
      <c r="H2097" s="83"/>
    </row>
    <row r="2098" spans="1:8" x14ac:dyDescent="0.3">
      <c r="A2098" s="82"/>
      <c r="B2098" s="81"/>
      <c r="H2098" s="83"/>
    </row>
    <row r="2099" spans="1:8" x14ac:dyDescent="0.3">
      <c r="A2099" s="82"/>
      <c r="B2099" s="81"/>
      <c r="H2099" s="83"/>
    </row>
    <row r="2100" spans="1:8" x14ac:dyDescent="0.3">
      <c r="A2100" s="82"/>
      <c r="B2100" s="81"/>
      <c r="H2100" s="83"/>
    </row>
    <row r="2101" spans="1:8" x14ac:dyDescent="0.3">
      <c r="A2101" s="82"/>
      <c r="B2101" s="81"/>
      <c r="H2101" s="83"/>
    </row>
    <row r="2102" spans="1:8" x14ac:dyDescent="0.3">
      <c r="A2102" s="82"/>
      <c r="B2102" s="81"/>
      <c r="H2102" s="83"/>
    </row>
    <row r="2103" spans="1:8" x14ac:dyDescent="0.3">
      <c r="A2103" s="82"/>
      <c r="B2103" s="81"/>
      <c r="H2103" s="83"/>
    </row>
    <row r="2104" spans="1:8" x14ac:dyDescent="0.3">
      <c r="A2104" s="82"/>
      <c r="B2104" s="81"/>
      <c r="H2104" s="83"/>
    </row>
    <row r="2105" spans="1:8" x14ac:dyDescent="0.3">
      <c r="A2105" s="82"/>
      <c r="B2105" s="81"/>
      <c r="H2105" s="83"/>
    </row>
    <row r="2106" spans="1:8" x14ac:dyDescent="0.3">
      <c r="A2106" s="82"/>
      <c r="B2106" s="81"/>
      <c r="H2106" s="83"/>
    </row>
    <row r="2107" spans="1:8" x14ac:dyDescent="0.3">
      <c r="A2107" s="82"/>
      <c r="B2107" s="81"/>
      <c r="H2107" s="83"/>
    </row>
    <row r="2108" spans="1:8" x14ac:dyDescent="0.3">
      <c r="A2108" s="82"/>
      <c r="B2108" s="81"/>
      <c r="H2108" s="83"/>
    </row>
    <row r="2109" spans="1:8" x14ac:dyDescent="0.3">
      <c r="A2109" s="82"/>
      <c r="B2109" s="81"/>
      <c r="H2109" s="83"/>
    </row>
    <row r="2110" spans="1:8" x14ac:dyDescent="0.3">
      <c r="A2110" s="82"/>
      <c r="B2110" s="81"/>
      <c r="H2110" s="83"/>
    </row>
    <row r="2111" spans="1:8" x14ac:dyDescent="0.3">
      <c r="A2111" s="82"/>
      <c r="B2111" s="81"/>
      <c r="H2111" s="83"/>
    </row>
    <row r="2112" spans="1:8" x14ac:dyDescent="0.3">
      <c r="A2112" s="82"/>
      <c r="B2112" s="81"/>
      <c r="H2112" s="83"/>
    </row>
    <row r="2113" spans="1:8" x14ac:dyDescent="0.3">
      <c r="A2113" s="82"/>
      <c r="B2113" s="81"/>
      <c r="H2113" s="83"/>
    </row>
    <row r="2114" spans="1:8" x14ac:dyDescent="0.3">
      <c r="A2114" s="82"/>
      <c r="B2114" s="81"/>
      <c r="H2114" s="83"/>
    </row>
    <row r="2115" spans="1:8" x14ac:dyDescent="0.3">
      <c r="A2115" s="82"/>
      <c r="B2115" s="81"/>
      <c r="H2115" s="83"/>
    </row>
    <row r="2116" spans="1:8" x14ac:dyDescent="0.3">
      <c r="A2116" s="82"/>
      <c r="B2116" s="81"/>
      <c r="H2116" s="83"/>
    </row>
    <row r="2117" spans="1:8" x14ac:dyDescent="0.3">
      <c r="A2117" s="82"/>
      <c r="B2117" s="81"/>
      <c r="H2117" s="83"/>
    </row>
    <row r="2118" spans="1:8" x14ac:dyDescent="0.3">
      <c r="A2118" s="82"/>
      <c r="B2118" s="81"/>
      <c r="H2118" s="83"/>
    </row>
    <row r="2119" spans="1:8" x14ac:dyDescent="0.3">
      <c r="A2119" s="82"/>
      <c r="B2119" s="81"/>
      <c r="H2119" s="83"/>
    </row>
    <row r="2120" spans="1:8" x14ac:dyDescent="0.3">
      <c r="A2120" s="82"/>
      <c r="B2120" s="81"/>
      <c r="H2120" s="83"/>
    </row>
    <row r="2121" spans="1:8" x14ac:dyDescent="0.3">
      <c r="A2121" s="82"/>
      <c r="B2121" s="81"/>
      <c r="H2121" s="83"/>
    </row>
    <row r="2122" spans="1:8" x14ac:dyDescent="0.3">
      <c r="A2122" s="82"/>
      <c r="B2122" s="81"/>
      <c r="H2122" s="83"/>
    </row>
    <row r="2123" spans="1:8" x14ac:dyDescent="0.3">
      <c r="A2123" s="82"/>
      <c r="B2123" s="81"/>
      <c r="H2123" s="83"/>
    </row>
    <row r="2124" spans="1:8" x14ac:dyDescent="0.3">
      <c r="A2124" s="82"/>
      <c r="B2124" s="81"/>
      <c r="H2124" s="83"/>
    </row>
    <row r="2125" spans="1:8" x14ac:dyDescent="0.3">
      <c r="A2125" s="82"/>
      <c r="B2125" s="81"/>
      <c r="H2125" s="83"/>
    </row>
    <row r="2126" spans="1:8" x14ac:dyDescent="0.3">
      <c r="A2126" s="82"/>
      <c r="B2126" s="81"/>
      <c r="H2126" s="83"/>
    </row>
    <row r="2127" spans="1:8" x14ac:dyDescent="0.3">
      <c r="A2127" s="82"/>
      <c r="B2127" s="81"/>
      <c r="H2127" s="83"/>
    </row>
    <row r="2128" spans="1:8" x14ac:dyDescent="0.3">
      <c r="A2128" s="82"/>
      <c r="B2128" s="81"/>
      <c r="H2128" s="83"/>
    </row>
    <row r="2129" spans="1:8" x14ac:dyDescent="0.3">
      <c r="A2129" s="82"/>
      <c r="B2129" s="81"/>
      <c r="H2129" s="83"/>
    </row>
    <row r="2130" spans="1:8" x14ac:dyDescent="0.3">
      <c r="A2130" s="82"/>
      <c r="B2130" s="81"/>
      <c r="H2130" s="83"/>
    </row>
    <row r="2131" spans="1:8" x14ac:dyDescent="0.3">
      <c r="A2131" s="82"/>
      <c r="B2131" s="81"/>
      <c r="H2131" s="83"/>
    </row>
    <row r="2132" spans="1:8" x14ac:dyDescent="0.3">
      <c r="A2132" s="82"/>
      <c r="B2132" s="81"/>
      <c r="H2132" s="83"/>
    </row>
    <row r="2133" spans="1:8" x14ac:dyDescent="0.3">
      <c r="A2133" s="82"/>
      <c r="B2133" s="81"/>
      <c r="H2133" s="83"/>
    </row>
    <row r="2134" spans="1:8" x14ac:dyDescent="0.3">
      <c r="A2134" s="82"/>
      <c r="B2134" s="81"/>
      <c r="H2134" s="83"/>
    </row>
    <row r="2135" spans="1:8" x14ac:dyDescent="0.3">
      <c r="A2135" s="82"/>
      <c r="B2135" s="81"/>
      <c r="H2135" s="83"/>
    </row>
    <row r="2136" spans="1:8" x14ac:dyDescent="0.3">
      <c r="A2136" s="82"/>
      <c r="B2136" s="81"/>
      <c r="H2136" s="83"/>
    </row>
    <row r="2137" spans="1:8" x14ac:dyDescent="0.3">
      <c r="A2137" s="82"/>
      <c r="B2137" s="81"/>
      <c r="H2137" s="83"/>
    </row>
    <row r="2138" spans="1:8" x14ac:dyDescent="0.3">
      <c r="A2138" s="82"/>
      <c r="B2138" s="81"/>
      <c r="H2138" s="83"/>
    </row>
    <row r="2139" spans="1:8" x14ac:dyDescent="0.3">
      <c r="A2139" s="82"/>
      <c r="B2139" s="81"/>
      <c r="H2139" s="83"/>
    </row>
    <row r="2140" spans="1:8" x14ac:dyDescent="0.3">
      <c r="A2140" s="82"/>
      <c r="B2140" s="81"/>
      <c r="H2140" s="83"/>
    </row>
    <row r="2141" spans="1:8" x14ac:dyDescent="0.3">
      <c r="A2141" s="82"/>
      <c r="B2141" s="81"/>
      <c r="H2141" s="83"/>
    </row>
    <row r="2142" spans="1:8" x14ac:dyDescent="0.3">
      <c r="A2142" s="82"/>
      <c r="B2142" s="81"/>
      <c r="H2142" s="83"/>
    </row>
    <row r="2143" spans="1:8" x14ac:dyDescent="0.3">
      <c r="A2143" s="82"/>
      <c r="B2143" s="81"/>
      <c r="H2143" s="83"/>
    </row>
    <row r="2144" spans="1:8" x14ac:dyDescent="0.3">
      <c r="A2144" s="82"/>
      <c r="B2144" s="81"/>
      <c r="H2144" s="83"/>
    </row>
    <row r="2145" spans="1:8" x14ac:dyDescent="0.3">
      <c r="A2145" s="82"/>
      <c r="B2145" s="81"/>
      <c r="H2145" s="83"/>
    </row>
    <row r="2146" spans="1:8" x14ac:dyDescent="0.3">
      <c r="A2146" s="82"/>
      <c r="B2146" s="81"/>
      <c r="H2146" s="83"/>
    </row>
    <row r="2147" spans="1:8" x14ac:dyDescent="0.3">
      <c r="A2147" s="82"/>
      <c r="B2147" s="81"/>
      <c r="H2147" s="83"/>
    </row>
    <row r="2148" spans="1:8" x14ac:dyDescent="0.3">
      <c r="A2148" s="82"/>
      <c r="B2148" s="81"/>
      <c r="H2148" s="83"/>
    </row>
    <row r="2149" spans="1:8" x14ac:dyDescent="0.3">
      <c r="A2149" s="82"/>
      <c r="B2149" s="81"/>
      <c r="H2149" s="83"/>
    </row>
    <row r="2150" spans="1:8" x14ac:dyDescent="0.3">
      <c r="A2150" s="82"/>
      <c r="B2150" s="81"/>
      <c r="H2150" s="83"/>
    </row>
    <row r="2151" spans="1:8" x14ac:dyDescent="0.3">
      <c r="A2151" s="82"/>
      <c r="B2151" s="81"/>
      <c r="H2151" s="83"/>
    </row>
    <row r="2152" spans="1:8" x14ac:dyDescent="0.3">
      <c r="A2152" s="82"/>
      <c r="B2152" s="81"/>
      <c r="H2152" s="83"/>
    </row>
    <row r="2153" spans="1:8" x14ac:dyDescent="0.3">
      <c r="A2153" s="82"/>
      <c r="B2153" s="81"/>
      <c r="H2153" s="83"/>
    </row>
    <row r="2154" spans="1:8" x14ac:dyDescent="0.3">
      <c r="A2154" s="82"/>
      <c r="B2154" s="81"/>
      <c r="H2154" s="83"/>
    </row>
    <row r="2155" spans="1:8" x14ac:dyDescent="0.3">
      <c r="A2155" s="82"/>
      <c r="B2155" s="81"/>
      <c r="H2155" s="83"/>
    </row>
    <row r="2156" spans="1:8" x14ac:dyDescent="0.3">
      <c r="A2156" s="82"/>
      <c r="B2156" s="81"/>
      <c r="H2156" s="83"/>
    </row>
    <row r="2157" spans="1:8" x14ac:dyDescent="0.3">
      <c r="A2157" s="82"/>
      <c r="B2157" s="81"/>
      <c r="H2157" s="83"/>
    </row>
    <row r="2158" spans="1:8" x14ac:dyDescent="0.3">
      <c r="A2158" s="82"/>
      <c r="B2158" s="81"/>
      <c r="H2158" s="83"/>
    </row>
    <row r="2159" spans="1:8" x14ac:dyDescent="0.3">
      <c r="A2159" s="82"/>
      <c r="B2159" s="81"/>
      <c r="H2159" s="83"/>
    </row>
    <row r="2160" spans="1:8" x14ac:dyDescent="0.3">
      <c r="A2160" s="82"/>
      <c r="B2160" s="81"/>
      <c r="H2160" s="83"/>
    </row>
    <row r="2161" spans="1:8" x14ac:dyDescent="0.3">
      <c r="A2161" s="82"/>
      <c r="B2161" s="81"/>
      <c r="H2161" s="83"/>
    </row>
    <row r="2162" spans="1:8" x14ac:dyDescent="0.3">
      <c r="A2162" s="82"/>
      <c r="B2162" s="81"/>
      <c r="H2162" s="83"/>
    </row>
    <row r="2163" spans="1:8" x14ac:dyDescent="0.3">
      <c r="A2163" s="82"/>
      <c r="B2163" s="81"/>
      <c r="H2163" s="83"/>
    </row>
    <row r="2164" spans="1:8" x14ac:dyDescent="0.3">
      <c r="A2164" s="82"/>
      <c r="B2164" s="81"/>
      <c r="H2164" s="83"/>
    </row>
    <row r="2165" spans="1:8" x14ac:dyDescent="0.3">
      <c r="A2165" s="82"/>
      <c r="B2165" s="81"/>
      <c r="H2165" s="83"/>
    </row>
    <row r="2166" spans="1:8" x14ac:dyDescent="0.3">
      <c r="A2166" s="82"/>
      <c r="B2166" s="81"/>
      <c r="H2166" s="83"/>
    </row>
    <row r="2167" spans="1:8" x14ac:dyDescent="0.3">
      <c r="A2167" s="82"/>
      <c r="B2167" s="81"/>
      <c r="H2167" s="83"/>
    </row>
    <row r="2168" spans="1:8" x14ac:dyDescent="0.3">
      <c r="A2168" s="82"/>
      <c r="B2168" s="81"/>
      <c r="H2168" s="83"/>
    </row>
    <row r="2169" spans="1:8" x14ac:dyDescent="0.3">
      <c r="A2169" s="82"/>
      <c r="B2169" s="81"/>
      <c r="H2169" s="83"/>
    </row>
    <row r="2170" spans="1:8" x14ac:dyDescent="0.3">
      <c r="A2170" s="82"/>
      <c r="B2170" s="81"/>
      <c r="H2170" s="83"/>
    </row>
    <row r="2171" spans="1:8" x14ac:dyDescent="0.3">
      <c r="A2171" s="82"/>
      <c r="B2171" s="81"/>
      <c r="H2171" s="83"/>
    </row>
    <row r="2172" spans="1:8" x14ac:dyDescent="0.3">
      <c r="A2172" s="82"/>
      <c r="B2172" s="81"/>
      <c r="H2172" s="83"/>
    </row>
    <row r="2173" spans="1:8" x14ac:dyDescent="0.3">
      <c r="A2173" s="82"/>
      <c r="B2173" s="81"/>
      <c r="H2173" s="83"/>
    </row>
    <row r="2174" spans="1:8" x14ac:dyDescent="0.3">
      <c r="A2174" s="82"/>
      <c r="B2174" s="81"/>
      <c r="H2174" s="83"/>
    </row>
    <row r="2175" spans="1:8" x14ac:dyDescent="0.3">
      <c r="A2175" s="82"/>
      <c r="B2175" s="81"/>
      <c r="H2175" s="83"/>
    </row>
    <row r="2176" spans="1:8" x14ac:dyDescent="0.3">
      <c r="A2176" s="82"/>
      <c r="B2176" s="81"/>
      <c r="H2176" s="83"/>
    </row>
    <row r="2177" spans="1:8" x14ac:dyDescent="0.3">
      <c r="A2177" s="82"/>
      <c r="B2177" s="81"/>
      <c r="H2177" s="83"/>
    </row>
    <row r="2178" spans="1:8" x14ac:dyDescent="0.3">
      <c r="A2178" s="82"/>
      <c r="B2178" s="81"/>
      <c r="H2178" s="83"/>
    </row>
    <row r="2179" spans="1:8" x14ac:dyDescent="0.3">
      <c r="A2179" s="82"/>
      <c r="B2179" s="81"/>
      <c r="H2179" s="83"/>
    </row>
    <row r="2180" spans="1:8" x14ac:dyDescent="0.3">
      <c r="A2180" s="82"/>
      <c r="B2180" s="81"/>
      <c r="H2180" s="83"/>
    </row>
    <row r="2181" spans="1:8" x14ac:dyDescent="0.3">
      <c r="A2181" s="82"/>
      <c r="B2181" s="81"/>
      <c r="H2181" s="83"/>
    </row>
    <row r="2182" spans="1:8" x14ac:dyDescent="0.3">
      <c r="A2182" s="82"/>
      <c r="B2182" s="81"/>
      <c r="H2182" s="83"/>
    </row>
    <row r="2183" spans="1:8" x14ac:dyDescent="0.3">
      <c r="A2183" s="82"/>
      <c r="B2183" s="81"/>
      <c r="H2183" s="83"/>
    </row>
    <row r="2184" spans="1:8" x14ac:dyDescent="0.3">
      <c r="A2184" s="82"/>
      <c r="B2184" s="81"/>
      <c r="H2184" s="83"/>
    </row>
    <row r="2185" spans="1:8" x14ac:dyDescent="0.3">
      <c r="A2185" s="82"/>
      <c r="B2185" s="81"/>
      <c r="H2185" s="83"/>
    </row>
    <row r="2186" spans="1:8" x14ac:dyDescent="0.3">
      <c r="A2186" s="82"/>
      <c r="B2186" s="81"/>
      <c r="H2186" s="83"/>
    </row>
    <row r="2187" spans="1:8" x14ac:dyDescent="0.3">
      <c r="A2187" s="82"/>
      <c r="B2187" s="81"/>
      <c r="H2187" s="83"/>
    </row>
    <row r="2188" spans="1:8" x14ac:dyDescent="0.3">
      <c r="A2188" s="82"/>
      <c r="B2188" s="81"/>
      <c r="H2188" s="83"/>
    </row>
    <row r="2189" spans="1:8" x14ac:dyDescent="0.3">
      <c r="A2189" s="82"/>
      <c r="B2189" s="81"/>
      <c r="H2189" s="83"/>
    </row>
    <row r="2190" spans="1:8" x14ac:dyDescent="0.3">
      <c r="A2190" s="82"/>
      <c r="B2190" s="81"/>
      <c r="H2190" s="83"/>
    </row>
    <row r="2191" spans="1:8" x14ac:dyDescent="0.3">
      <c r="A2191" s="82"/>
      <c r="B2191" s="81"/>
      <c r="H2191" s="83"/>
    </row>
    <row r="2192" spans="1:8" x14ac:dyDescent="0.3">
      <c r="A2192" s="82"/>
      <c r="B2192" s="81"/>
      <c r="H2192" s="83"/>
    </row>
    <row r="2193" spans="1:8" x14ac:dyDescent="0.3">
      <c r="A2193" s="82"/>
      <c r="B2193" s="81"/>
      <c r="H2193" s="83"/>
    </row>
    <row r="2194" spans="1:8" x14ac:dyDescent="0.3">
      <c r="A2194" s="82"/>
      <c r="B2194" s="81"/>
      <c r="H2194" s="83"/>
    </row>
    <row r="2195" spans="1:8" x14ac:dyDescent="0.3">
      <c r="A2195" s="82"/>
      <c r="B2195" s="81"/>
      <c r="H2195" s="83"/>
    </row>
    <row r="2196" spans="1:8" x14ac:dyDescent="0.3">
      <c r="A2196" s="82"/>
      <c r="B2196" s="81"/>
      <c r="H2196" s="83"/>
    </row>
    <row r="2197" spans="1:8" x14ac:dyDescent="0.3">
      <c r="A2197" s="82"/>
      <c r="B2197" s="81"/>
      <c r="H2197" s="83"/>
    </row>
    <row r="2198" spans="1:8" x14ac:dyDescent="0.3">
      <c r="A2198" s="82"/>
      <c r="B2198" s="81"/>
      <c r="H2198" s="83"/>
    </row>
    <row r="2199" spans="1:8" x14ac:dyDescent="0.3">
      <c r="A2199" s="82"/>
      <c r="B2199" s="81"/>
      <c r="H2199" s="83"/>
    </row>
    <row r="2200" spans="1:8" x14ac:dyDescent="0.3">
      <c r="A2200" s="82"/>
      <c r="B2200" s="81"/>
      <c r="H2200" s="83"/>
    </row>
    <row r="2201" spans="1:8" x14ac:dyDescent="0.3">
      <c r="A2201" s="82"/>
      <c r="B2201" s="81"/>
      <c r="H2201" s="83"/>
    </row>
    <row r="2202" spans="1:8" x14ac:dyDescent="0.3">
      <c r="A2202" s="82"/>
      <c r="B2202" s="81"/>
      <c r="H2202" s="83"/>
    </row>
    <row r="2203" spans="1:8" x14ac:dyDescent="0.3">
      <c r="A2203" s="82"/>
      <c r="B2203" s="81"/>
      <c r="H2203" s="83"/>
    </row>
    <row r="2204" spans="1:8" x14ac:dyDescent="0.3">
      <c r="A2204" s="82"/>
      <c r="B2204" s="81"/>
      <c r="H2204" s="83"/>
    </row>
    <row r="2205" spans="1:8" x14ac:dyDescent="0.3">
      <c r="A2205" s="82"/>
      <c r="B2205" s="81"/>
      <c r="H2205" s="83"/>
    </row>
    <row r="2206" spans="1:8" x14ac:dyDescent="0.3">
      <c r="A2206" s="82"/>
      <c r="B2206" s="81"/>
      <c r="H2206" s="83"/>
    </row>
    <row r="2207" spans="1:8" x14ac:dyDescent="0.3">
      <c r="A2207" s="82"/>
      <c r="B2207" s="81"/>
      <c r="H2207" s="83"/>
    </row>
    <row r="2208" spans="1:8" x14ac:dyDescent="0.3">
      <c r="A2208" s="82"/>
      <c r="B2208" s="81"/>
      <c r="H2208" s="83"/>
    </row>
    <row r="2209" spans="1:8" x14ac:dyDescent="0.3">
      <c r="A2209" s="82"/>
      <c r="B2209" s="81"/>
      <c r="H2209" s="83"/>
    </row>
    <row r="2210" spans="1:8" x14ac:dyDescent="0.3">
      <c r="A2210" s="82"/>
      <c r="B2210" s="81"/>
      <c r="H2210" s="83"/>
    </row>
    <row r="2211" spans="1:8" x14ac:dyDescent="0.3">
      <c r="A2211" s="82"/>
      <c r="B2211" s="81"/>
      <c r="H2211" s="83"/>
    </row>
    <row r="2212" spans="1:8" x14ac:dyDescent="0.3">
      <c r="A2212" s="82"/>
      <c r="B2212" s="81"/>
      <c r="H2212" s="83"/>
    </row>
    <row r="2213" spans="1:8" x14ac:dyDescent="0.3">
      <c r="A2213" s="82"/>
      <c r="B2213" s="81"/>
      <c r="H2213" s="83"/>
    </row>
    <row r="2214" spans="1:8" x14ac:dyDescent="0.3">
      <c r="A2214" s="82"/>
      <c r="B2214" s="81"/>
      <c r="H2214" s="83"/>
    </row>
    <row r="2215" spans="1:8" x14ac:dyDescent="0.3">
      <c r="A2215" s="82"/>
      <c r="B2215" s="81"/>
      <c r="H2215" s="83"/>
    </row>
    <row r="2216" spans="1:8" x14ac:dyDescent="0.3">
      <c r="A2216" s="82"/>
      <c r="B2216" s="81"/>
      <c r="H2216" s="83"/>
    </row>
    <row r="2217" spans="1:8" x14ac:dyDescent="0.3">
      <c r="A2217" s="82"/>
      <c r="B2217" s="81"/>
      <c r="H2217" s="83"/>
    </row>
    <row r="2218" spans="1:8" x14ac:dyDescent="0.3">
      <c r="A2218" s="82"/>
      <c r="B2218" s="81"/>
      <c r="H2218" s="83"/>
    </row>
    <row r="2219" spans="1:8" x14ac:dyDescent="0.3">
      <c r="A2219" s="82"/>
      <c r="B2219" s="81"/>
      <c r="H2219" s="83"/>
    </row>
    <row r="2220" spans="1:8" x14ac:dyDescent="0.3">
      <c r="A2220" s="82"/>
      <c r="B2220" s="81"/>
      <c r="H2220" s="83"/>
    </row>
    <row r="2221" spans="1:8" x14ac:dyDescent="0.3">
      <c r="A2221" s="82"/>
      <c r="B2221" s="81"/>
      <c r="H2221" s="83"/>
    </row>
    <row r="2222" spans="1:8" x14ac:dyDescent="0.3">
      <c r="A2222" s="82"/>
      <c r="B2222" s="81"/>
      <c r="H2222" s="83"/>
    </row>
    <row r="2223" spans="1:8" x14ac:dyDescent="0.3">
      <c r="A2223" s="82"/>
      <c r="B2223" s="81"/>
      <c r="H2223" s="83"/>
    </row>
    <row r="2224" spans="1:8" x14ac:dyDescent="0.3">
      <c r="A2224" s="82"/>
      <c r="B2224" s="81"/>
      <c r="H2224" s="83"/>
    </row>
    <row r="2225" spans="1:8" x14ac:dyDescent="0.3">
      <c r="A2225" s="82"/>
      <c r="B2225" s="81"/>
      <c r="H2225" s="83"/>
    </row>
    <row r="2226" spans="1:8" x14ac:dyDescent="0.3">
      <c r="A2226" s="82"/>
      <c r="B2226" s="81"/>
      <c r="H2226" s="83"/>
    </row>
    <row r="2227" spans="1:8" x14ac:dyDescent="0.3">
      <c r="A2227" s="82"/>
      <c r="B2227" s="81"/>
      <c r="H2227" s="83"/>
    </row>
    <row r="2228" spans="1:8" x14ac:dyDescent="0.3">
      <c r="A2228" s="82"/>
      <c r="B2228" s="81"/>
      <c r="H2228" s="83"/>
    </row>
    <row r="2229" spans="1:8" x14ac:dyDescent="0.3">
      <c r="A2229" s="82"/>
      <c r="B2229" s="81"/>
      <c r="H2229" s="83"/>
    </row>
    <row r="2230" spans="1:8" x14ac:dyDescent="0.3">
      <c r="A2230" s="82"/>
      <c r="B2230" s="81"/>
      <c r="H2230" s="83"/>
    </row>
    <row r="2231" spans="1:8" x14ac:dyDescent="0.3">
      <c r="A2231" s="82"/>
      <c r="B2231" s="81"/>
      <c r="H2231" s="83"/>
    </row>
    <row r="2232" spans="1:8" x14ac:dyDescent="0.3">
      <c r="A2232" s="82"/>
      <c r="B2232" s="81"/>
      <c r="H2232" s="83"/>
    </row>
    <row r="2233" spans="1:8" x14ac:dyDescent="0.3">
      <c r="A2233" s="82"/>
      <c r="B2233" s="81"/>
      <c r="H2233" s="83"/>
    </row>
    <row r="2234" spans="1:8" x14ac:dyDescent="0.3">
      <c r="A2234" s="82"/>
      <c r="B2234" s="81"/>
      <c r="H2234" s="83"/>
    </row>
    <row r="2235" spans="1:8" x14ac:dyDescent="0.3">
      <c r="A2235" s="82"/>
      <c r="B2235" s="81"/>
      <c r="H2235" s="83"/>
    </row>
    <row r="2236" spans="1:8" x14ac:dyDescent="0.3">
      <c r="A2236" s="82"/>
      <c r="B2236" s="81"/>
      <c r="H2236" s="83"/>
    </row>
    <row r="2237" spans="1:8" x14ac:dyDescent="0.3">
      <c r="A2237" s="82"/>
      <c r="B2237" s="81"/>
      <c r="H2237" s="83"/>
    </row>
    <row r="2238" spans="1:8" x14ac:dyDescent="0.3">
      <c r="A2238" s="82"/>
      <c r="B2238" s="81"/>
      <c r="H2238" s="83"/>
    </row>
    <row r="2239" spans="1:8" x14ac:dyDescent="0.3">
      <c r="A2239" s="82"/>
      <c r="B2239" s="81"/>
      <c r="H2239" s="83"/>
    </row>
    <row r="2240" spans="1:8" x14ac:dyDescent="0.3">
      <c r="A2240" s="82"/>
      <c r="B2240" s="81"/>
      <c r="H2240" s="83"/>
    </row>
    <row r="2241" spans="1:8" x14ac:dyDescent="0.3">
      <c r="A2241" s="82"/>
      <c r="B2241" s="81"/>
      <c r="H2241" s="83"/>
    </row>
    <row r="2242" spans="1:8" x14ac:dyDescent="0.3">
      <c r="A2242" s="82"/>
      <c r="B2242" s="81"/>
      <c r="H2242" s="83"/>
    </row>
    <row r="2243" spans="1:8" x14ac:dyDescent="0.3">
      <c r="A2243" s="82"/>
      <c r="B2243" s="81"/>
      <c r="H2243" s="83"/>
    </row>
    <row r="2244" spans="1:8" x14ac:dyDescent="0.3">
      <c r="A2244" s="82"/>
      <c r="B2244" s="81"/>
      <c r="H2244" s="83"/>
    </row>
    <row r="2245" spans="1:8" x14ac:dyDescent="0.3">
      <c r="A2245" s="82"/>
      <c r="B2245" s="81"/>
      <c r="H2245" s="83"/>
    </row>
    <row r="2246" spans="1:8" x14ac:dyDescent="0.3">
      <c r="A2246" s="82"/>
      <c r="B2246" s="81"/>
      <c r="H2246" s="83"/>
    </row>
    <row r="2247" spans="1:8" x14ac:dyDescent="0.3">
      <c r="A2247" s="82"/>
      <c r="B2247" s="81"/>
      <c r="H2247" s="83"/>
    </row>
    <row r="2248" spans="1:8" x14ac:dyDescent="0.3">
      <c r="A2248" s="82"/>
      <c r="B2248" s="81"/>
      <c r="H2248" s="83"/>
    </row>
    <row r="2249" spans="1:8" x14ac:dyDescent="0.3">
      <c r="A2249" s="82"/>
      <c r="B2249" s="81"/>
      <c r="H2249" s="83"/>
    </row>
    <row r="2250" spans="1:8" x14ac:dyDescent="0.3">
      <c r="A2250" s="82"/>
      <c r="B2250" s="81"/>
      <c r="H2250" s="83"/>
    </row>
    <row r="2251" spans="1:8" x14ac:dyDescent="0.3">
      <c r="A2251" s="82"/>
      <c r="B2251" s="81"/>
      <c r="H2251" s="83"/>
    </row>
    <row r="2252" spans="1:8" x14ac:dyDescent="0.3">
      <c r="A2252" s="82"/>
      <c r="B2252" s="81"/>
      <c r="H2252" s="83"/>
    </row>
    <row r="2253" spans="1:8" x14ac:dyDescent="0.3">
      <c r="A2253" s="82"/>
      <c r="B2253" s="81"/>
      <c r="H2253" s="83"/>
    </row>
    <row r="2254" spans="1:8" x14ac:dyDescent="0.3">
      <c r="A2254" s="82"/>
      <c r="B2254" s="81"/>
      <c r="H2254" s="83"/>
    </row>
    <row r="2255" spans="1:8" x14ac:dyDescent="0.3">
      <c r="A2255" s="82"/>
      <c r="B2255" s="81"/>
      <c r="H2255" s="83"/>
    </row>
    <row r="2256" spans="1:8" x14ac:dyDescent="0.3">
      <c r="A2256" s="82"/>
      <c r="B2256" s="81"/>
      <c r="H2256" s="83"/>
    </row>
    <row r="2257" spans="1:8" x14ac:dyDescent="0.3">
      <c r="A2257" s="82"/>
      <c r="B2257" s="81"/>
      <c r="H2257" s="83"/>
    </row>
    <row r="2258" spans="1:8" x14ac:dyDescent="0.3">
      <c r="A2258" s="82"/>
      <c r="B2258" s="81"/>
      <c r="H2258" s="83"/>
    </row>
    <row r="2259" spans="1:8" x14ac:dyDescent="0.3">
      <c r="A2259" s="82"/>
      <c r="B2259" s="81"/>
      <c r="H2259" s="83"/>
    </row>
    <row r="2260" spans="1:8" x14ac:dyDescent="0.3">
      <c r="A2260" s="82"/>
      <c r="B2260" s="81"/>
      <c r="H2260" s="83"/>
    </row>
    <row r="2261" spans="1:8" x14ac:dyDescent="0.3">
      <c r="A2261" s="82"/>
      <c r="B2261" s="81"/>
      <c r="H2261" s="83"/>
    </row>
    <row r="2262" spans="1:8" x14ac:dyDescent="0.3">
      <c r="A2262" s="82"/>
      <c r="B2262" s="81"/>
      <c r="H2262" s="83"/>
    </row>
    <row r="2263" spans="1:8" x14ac:dyDescent="0.3">
      <c r="A2263" s="82"/>
      <c r="B2263" s="81"/>
      <c r="H2263" s="83"/>
    </row>
    <row r="2264" spans="1:8" x14ac:dyDescent="0.3">
      <c r="A2264" s="82"/>
      <c r="B2264" s="81"/>
      <c r="H2264" s="83"/>
    </row>
    <row r="2265" spans="1:8" x14ac:dyDescent="0.3">
      <c r="A2265" s="82"/>
      <c r="B2265" s="81"/>
      <c r="H2265" s="83"/>
    </row>
    <row r="2266" spans="1:8" x14ac:dyDescent="0.3">
      <c r="A2266" s="82"/>
      <c r="B2266" s="81"/>
      <c r="H2266" s="83"/>
    </row>
    <row r="2267" spans="1:8" x14ac:dyDescent="0.3">
      <c r="A2267" s="82"/>
      <c r="B2267" s="81"/>
      <c r="H2267" s="83"/>
    </row>
    <row r="2268" spans="1:8" x14ac:dyDescent="0.3">
      <c r="A2268" s="82"/>
      <c r="B2268" s="81"/>
      <c r="H2268" s="83"/>
    </row>
    <row r="2269" spans="1:8" x14ac:dyDescent="0.3">
      <c r="A2269" s="82"/>
      <c r="B2269" s="81"/>
      <c r="H2269" s="83"/>
    </row>
    <row r="2270" spans="1:8" x14ac:dyDescent="0.3">
      <c r="A2270" s="82"/>
      <c r="B2270" s="81"/>
      <c r="H2270" s="83"/>
    </row>
    <row r="2271" spans="1:8" x14ac:dyDescent="0.3">
      <c r="A2271" s="82"/>
      <c r="B2271" s="81"/>
      <c r="H2271" s="83"/>
    </row>
    <row r="2272" spans="1:8" x14ac:dyDescent="0.3">
      <c r="A2272" s="82"/>
      <c r="B2272" s="81"/>
      <c r="H2272" s="83"/>
    </row>
    <row r="2273" spans="1:8" x14ac:dyDescent="0.3">
      <c r="A2273" s="82"/>
      <c r="B2273" s="81"/>
      <c r="H2273" s="83"/>
    </row>
    <row r="2274" spans="1:8" x14ac:dyDescent="0.3">
      <c r="A2274" s="82"/>
      <c r="B2274" s="81"/>
      <c r="H2274" s="83"/>
    </row>
    <row r="2275" spans="1:8" x14ac:dyDescent="0.3">
      <c r="A2275" s="82"/>
      <c r="B2275" s="81"/>
      <c r="H2275" s="83"/>
    </row>
    <row r="2276" spans="1:8" x14ac:dyDescent="0.3">
      <c r="A2276" s="82"/>
      <c r="B2276" s="81"/>
      <c r="H2276" s="83"/>
    </row>
    <row r="2277" spans="1:8" x14ac:dyDescent="0.3">
      <c r="A2277" s="82"/>
      <c r="B2277" s="81"/>
      <c r="H2277" s="83"/>
    </row>
    <row r="2278" spans="1:8" x14ac:dyDescent="0.3">
      <c r="A2278" s="82"/>
      <c r="B2278" s="81"/>
      <c r="H2278" s="83"/>
    </row>
    <row r="2279" spans="1:8" x14ac:dyDescent="0.3">
      <c r="A2279" s="82"/>
      <c r="B2279" s="81"/>
      <c r="H2279" s="83"/>
    </row>
    <row r="2280" spans="1:8" x14ac:dyDescent="0.3">
      <c r="A2280" s="82"/>
      <c r="B2280" s="81"/>
      <c r="H2280" s="83"/>
    </row>
    <row r="2281" spans="1:8" x14ac:dyDescent="0.3">
      <c r="A2281" s="82"/>
      <c r="B2281" s="81"/>
      <c r="H2281" s="83"/>
    </row>
    <row r="2282" spans="1:8" x14ac:dyDescent="0.3">
      <c r="A2282" s="82"/>
      <c r="B2282" s="81"/>
      <c r="H2282" s="83"/>
    </row>
    <row r="2283" spans="1:8" x14ac:dyDescent="0.3">
      <c r="A2283" s="82"/>
      <c r="B2283" s="81"/>
      <c r="H2283" s="83"/>
    </row>
    <row r="2284" spans="1:8" x14ac:dyDescent="0.3">
      <c r="A2284" s="82"/>
      <c r="B2284" s="81"/>
      <c r="H2284" s="83"/>
    </row>
    <row r="2285" spans="1:8" x14ac:dyDescent="0.3">
      <c r="A2285" s="82"/>
      <c r="B2285" s="81"/>
      <c r="H2285" s="83"/>
    </row>
    <row r="2286" spans="1:8" x14ac:dyDescent="0.3">
      <c r="A2286" s="82"/>
      <c r="B2286" s="81"/>
      <c r="H2286" s="83"/>
    </row>
    <row r="2287" spans="1:8" x14ac:dyDescent="0.3">
      <c r="A2287" s="82"/>
      <c r="B2287" s="81"/>
      <c r="H2287" s="83"/>
    </row>
    <row r="2288" spans="1:8" x14ac:dyDescent="0.3">
      <c r="A2288" s="82"/>
      <c r="B2288" s="81"/>
      <c r="H2288" s="83"/>
    </row>
    <row r="2289" spans="1:8" x14ac:dyDescent="0.3">
      <c r="A2289" s="82"/>
      <c r="B2289" s="81"/>
      <c r="H2289" s="83"/>
    </row>
    <row r="2290" spans="1:8" x14ac:dyDescent="0.3">
      <c r="A2290" s="82"/>
      <c r="B2290" s="81"/>
      <c r="H2290" s="83"/>
    </row>
    <row r="2291" spans="1:8" x14ac:dyDescent="0.3">
      <c r="A2291" s="82"/>
      <c r="B2291" s="81"/>
      <c r="H2291" s="83"/>
    </row>
    <row r="2292" spans="1:8" x14ac:dyDescent="0.3">
      <c r="A2292" s="82"/>
      <c r="B2292" s="81"/>
      <c r="H2292" s="83"/>
    </row>
    <row r="2293" spans="1:8" x14ac:dyDescent="0.3">
      <c r="A2293" s="82"/>
      <c r="B2293" s="81"/>
      <c r="H2293" s="83"/>
    </row>
    <row r="2294" spans="1:8" x14ac:dyDescent="0.3">
      <c r="A2294" s="82"/>
      <c r="B2294" s="81"/>
      <c r="H2294" s="83"/>
    </row>
    <row r="2295" spans="1:8" x14ac:dyDescent="0.3">
      <c r="A2295" s="82"/>
      <c r="B2295" s="81"/>
      <c r="H2295" s="83"/>
    </row>
    <row r="2296" spans="1:8" x14ac:dyDescent="0.3">
      <c r="A2296" s="82"/>
      <c r="B2296" s="81"/>
      <c r="H2296" s="83"/>
    </row>
    <row r="2297" spans="1:8" x14ac:dyDescent="0.3">
      <c r="A2297" s="82"/>
      <c r="B2297" s="81"/>
      <c r="H2297" s="83"/>
    </row>
    <row r="2298" spans="1:8" x14ac:dyDescent="0.3">
      <c r="A2298" s="82"/>
      <c r="B2298" s="81"/>
      <c r="H2298" s="83"/>
    </row>
    <row r="2299" spans="1:8" x14ac:dyDescent="0.3">
      <c r="A2299" s="82"/>
      <c r="B2299" s="81"/>
      <c r="H2299" s="83"/>
    </row>
    <row r="2300" spans="1:8" x14ac:dyDescent="0.3">
      <c r="A2300" s="82"/>
      <c r="B2300" s="81"/>
      <c r="H2300" s="83"/>
    </row>
    <row r="2301" spans="1:8" x14ac:dyDescent="0.3">
      <c r="A2301" s="82"/>
      <c r="B2301" s="81"/>
      <c r="H2301" s="83"/>
    </row>
    <row r="2302" spans="1:8" x14ac:dyDescent="0.3">
      <c r="A2302" s="82"/>
      <c r="B2302" s="81"/>
      <c r="H2302" s="83"/>
    </row>
    <row r="2303" spans="1:8" x14ac:dyDescent="0.3">
      <c r="A2303" s="82"/>
      <c r="B2303" s="81"/>
      <c r="H2303" s="83"/>
    </row>
    <row r="2304" spans="1:8" x14ac:dyDescent="0.3">
      <c r="A2304" s="82"/>
      <c r="B2304" s="81"/>
      <c r="H2304" s="83"/>
    </row>
    <row r="2305" spans="1:8" x14ac:dyDescent="0.3">
      <c r="A2305" s="82"/>
      <c r="B2305" s="81"/>
      <c r="H2305" s="83"/>
    </row>
    <row r="2306" spans="1:8" x14ac:dyDescent="0.3">
      <c r="A2306" s="82"/>
      <c r="B2306" s="81"/>
      <c r="H2306" s="83"/>
    </row>
    <row r="2307" spans="1:8" x14ac:dyDescent="0.3">
      <c r="A2307" s="82"/>
      <c r="B2307" s="81"/>
      <c r="H2307" s="83"/>
    </row>
    <row r="2308" spans="1:8" x14ac:dyDescent="0.3">
      <c r="A2308" s="82"/>
      <c r="B2308" s="81"/>
      <c r="H2308" s="83"/>
    </row>
    <row r="2309" spans="1:8" x14ac:dyDescent="0.3">
      <c r="A2309" s="82"/>
      <c r="B2309" s="81"/>
      <c r="H2309" s="83"/>
    </row>
    <row r="2310" spans="1:8" x14ac:dyDescent="0.3">
      <c r="A2310" s="82"/>
      <c r="B2310" s="81"/>
      <c r="H2310" s="83"/>
    </row>
    <row r="2311" spans="1:8" x14ac:dyDescent="0.3">
      <c r="A2311" s="82"/>
      <c r="B2311" s="81"/>
      <c r="H2311" s="83"/>
    </row>
    <row r="2312" spans="1:8" x14ac:dyDescent="0.3">
      <c r="A2312" s="82"/>
      <c r="B2312" s="81"/>
      <c r="H2312" s="83"/>
    </row>
    <row r="2313" spans="1:8" x14ac:dyDescent="0.3">
      <c r="A2313" s="82"/>
      <c r="B2313" s="81"/>
      <c r="H2313" s="83"/>
    </row>
    <row r="2314" spans="1:8" x14ac:dyDescent="0.3">
      <c r="A2314" s="82"/>
      <c r="B2314" s="81"/>
      <c r="H2314" s="83"/>
    </row>
    <row r="2315" spans="1:8" x14ac:dyDescent="0.3">
      <c r="A2315" s="82"/>
      <c r="B2315" s="81"/>
      <c r="H2315" s="83"/>
    </row>
    <row r="2316" spans="1:8" x14ac:dyDescent="0.3">
      <c r="A2316" s="82"/>
      <c r="B2316" s="81"/>
      <c r="H2316" s="83"/>
    </row>
    <row r="2317" spans="1:8" x14ac:dyDescent="0.3">
      <c r="A2317" s="82"/>
      <c r="B2317" s="81"/>
      <c r="H2317" s="83"/>
    </row>
    <row r="2318" spans="1:8" x14ac:dyDescent="0.3">
      <c r="A2318" s="82"/>
      <c r="B2318" s="81"/>
      <c r="H2318" s="83"/>
    </row>
    <row r="2319" spans="1:8" x14ac:dyDescent="0.3">
      <c r="A2319" s="82"/>
      <c r="B2319" s="81"/>
      <c r="H2319" s="83"/>
    </row>
    <row r="2320" spans="1:8" x14ac:dyDescent="0.3">
      <c r="A2320" s="82"/>
      <c r="B2320" s="81"/>
      <c r="H2320" s="83"/>
    </row>
    <row r="2321" spans="1:8" x14ac:dyDescent="0.3">
      <c r="A2321" s="82"/>
      <c r="B2321" s="81"/>
      <c r="H2321" s="83"/>
    </row>
    <row r="2322" spans="1:8" x14ac:dyDescent="0.3">
      <c r="A2322" s="82"/>
      <c r="B2322" s="81"/>
      <c r="H2322" s="83"/>
    </row>
    <row r="2323" spans="1:8" x14ac:dyDescent="0.3">
      <c r="A2323" s="82"/>
      <c r="B2323" s="81"/>
      <c r="H2323" s="83"/>
    </row>
    <row r="2324" spans="1:8" x14ac:dyDescent="0.3">
      <c r="A2324" s="82"/>
      <c r="B2324" s="81"/>
      <c r="H2324" s="83"/>
    </row>
    <row r="2325" spans="1:8" x14ac:dyDescent="0.3">
      <c r="A2325" s="82"/>
      <c r="B2325" s="81"/>
      <c r="H2325" s="83"/>
    </row>
    <row r="2326" spans="1:8" x14ac:dyDescent="0.3">
      <c r="A2326" s="82"/>
      <c r="B2326" s="81"/>
      <c r="H2326" s="83"/>
    </row>
    <row r="2327" spans="1:8" x14ac:dyDescent="0.3">
      <c r="A2327" s="82"/>
      <c r="B2327" s="81"/>
      <c r="H2327" s="83"/>
    </row>
    <row r="2328" spans="1:8" x14ac:dyDescent="0.3">
      <c r="A2328" s="82"/>
      <c r="B2328" s="81"/>
      <c r="H2328" s="83"/>
    </row>
    <row r="2329" spans="1:8" x14ac:dyDescent="0.3">
      <c r="A2329" s="82"/>
      <c r="B2329" s="81"/>
      <c r="H2329" s="83"/>
    </row>
    <row r="2330" spans="1:8" x14ac:dyDescent="0.3">
      <c r="A2330" s="82"/>
      <c r="B2330" s="81"/>
      <c r="H2330" s="83"/>
    </row>
    <row r="2331" spans="1:8" x14ac:dyDescent="0.3">
      <c r="A2331" s="82"/>
      <c r="B2331" s="81"/>
      <c r="H2331" s="83"/>
    </row>
    <row r="2332" spans="1:8" x14ac:dyDescent="0.3">
      <c r="A2332" s="82"/>
      <c r="B2332" s="81"/>
      <c r="H2332" s="83"/>
    </row>
    <row r="2333" spans="1:8" x14ac:dyDescent="0.3">
      <c r="A2333" s="82"/>
      <c r="B2333" s="81"/>
      <c r="H2333" s="83"/>
    </row>
    <row r="2334" spans="1:8" x14ac:dyDescent="0.3">
      <c r="A2334" s="82"/>
      <c r="B2334" s="81"/>
      <c r="H2334" s="83"/>
    </row>
    <row r="2335" spans="1:8" x14ac:dyDescent="0.3">
      <c r="A2335" s="82"/>
      <c r="B2335" s="81"/>
      <c r="H2335" s="83"/>
    </row>
    <row r="2336" spans="1:8" x14ac:dyDescent="0.3">
      <c r="A2336" s="82"/>
      <c r="B2336" s="81"/>
      <c r="H2336" s="83"/>
    </row>
    <row r="2337" spans="1:8" x14ac:dyDescent="0.3">
      <c r="A2337" s="82"/>
      <c r="B2337" s="81"/>
      <c r="H2337" s="83"/>
    </row>
    <row r="2338" spans="1:8" x14ac:dyDescent="0.3">
      <c r="A2338" s="82"/>
      <c r="B2338" s="81"/>
      <c r="H2338" s="83"/>
    </row>
    <row r="2339" spans="1:8" x14ac:dyDescent="0.3">
      <c r="A2339" s="82"/>
      <c r="B2339" s="81"/>
      <c r="H2339" s="83"/>
    </row>
    <row r="2340" spans="1:8" x14ac:dyDescent="0.3">
      <c r="A2340" s="82"/>
      <c r="B2340" s="81"/>
      <c r="H2340" s="83"/>
    </row>
    <row r="2341" spans="1:8" x14ac:dyDescent="0.3">
      <c r="A2341" s="82"/>
      <c r="B2341" s="81"/>
      <c r="H2341" s="83"/>
    </row>
    <row r="2342" spans="1:8" x14ac:dyDescent="0.3">
      <c r="A2342" s="82"/>
      <c r="B2342" s="81"/>
      <c r="H2342" s="83"/>
    </row>
    <row r="2343" spans="1:8" x14ac:dyDescent="0.3">
      <c r="A2343" s="82"/>
      <c r="B2343" s="81"/>
      <c r="H2343" s="83"/>
    </row>
    <row r="2344" spans="1:8" x14ac:dyDescent="0.3">
      <c r="A2344" s="82"/>
      <c r="B2344" s="81"/>
      <c r="H2344" s="83"/>
    </row>
    <row r="2345" spans="1:8" x14ac:dyDescent="0.3">
      <c r="A2345" s="82"/>
      <c r="B2345" s="81"/>
      <c r="H2345" s="83"/>
    </row>
    <row r="2346" spans="1:8" x14ac:dyDescent="0.3">
      <c r="A2346" s="82"/>
      <c r="B2346" s="81"/>
      <c r="H2346" s="83"/>
    </row>
    <row r="2347" spans="1:8" x14ac:dyDescent="0.3">
      <c r="A2347" s="82"/>
      <c r="B2347" s="81"/>
      <c r="H2347" s="83"/>
    </row>
    <row r="2348" spans="1:8" x14ac:dyDescent="0.3">
      <c r="A2348" s="82"/>
      <c r="B2348" s="81"/>
      <c r="H2348" s="83"/>
    </row>
    <row r="2349" spans="1:8" x14ac:dyDescent="0.3">
      <c r="A2349" s="82"/>
      <c r="B2349" s="81"/>
      <c r="H2349" s="83"/>
    </row>
    <row r="2350" spans="1:8" x14ac:dyDescent="0.3">
      <c r="A2350" s="82"/>
      <c r="B2350" s="81"/>
      <c r="H2350" s="83"/>
    </row>
    <row r="2351" spans="1:8" x14ac:dyDescent="0.3">
      <c r="A2351" s="82"/>
      <c r="B2351" s="81"/>
      <c r="H2351" s="83"/>
    </row>
    <row r="2352" spans="1:8" x14ac:dyDescent="0.3">
      <c r="A2352" s="82"/>
      <c r="B2352" s="81"/>
      <c r="H2352" s="83"/>
    </row>
    <row r="2353" spans="1:8" x14ac:dyDescent="0.3">
      <c r="A2353" s="82"/>
      <c r="B2353" s="81"/>
      <c r="H2353" s="83"/>
    </row>
    <row r="2354" spans="1:8" x14ac:dyDescent="0.3">
      <c r="A2354" s="82"/>
      <c r="B2354" s="81"/>
      <c r="H2354" s="83"/>
    </row>
    <row r="2355" spans="1:8" x14ac:dyDescent="0.3">
      <c r="A2355" s="82"/>
      <c r="B2355" s="81"/>
      <c r="H2355" s="83"/>
    </row>
    <row r="2356" spans="1:8" x14ac:dyDescent="0.3">
      <c r="A2356" s="82"/>
      <c r="B2356" s="81"/>
      <c r="H2356" s="83"/>
    </row>
    <row r="2357" spans="1:8" x14ac:dyDescent="0.3">
      <c r="A2357" s="82"/>
      <c r="B2357" s="81"/>
      <c r="H2357" s="83"/>
    </row>
    <row r="2358" spans="1:8" x14ac:dyDescent="0.3">
      <c r="A2358" s="82"/>
      <c r="B2358" s="81"/>
      <c r="H2358" s="83"/>
    </row>
    <row r="2359" spans="1:8" x14ac:dyDescent="0.3">
      <c r="A2359" s="82"/>
      <c r="B2359" s="81"/>
      <c r="H2359" s="83"/>
    </row>
    <row r="2360" spans="1:8" x14ac:dyDescent="0.3">
      <c r="A2360" s="82"/>
      <c r="B2360" s="81"/>
      <c r="H2360" s="83"/>
    </row>
    <row r="2361" spans="1:8" x14ac:dyDescent="0.3">
      <c r="A2361" s="82"/>
      <c r="B2361" s="81"/>
      <c r="H2361" s="83"/>
    </row>
    <row r="2362" spans="1:8" x14ac:dyDescent="0.3">
      <c r="A2362" s="82"/>
      <c r="B2362" s="81"/>
      <c r="H2362" s="83"/>
    </row>
    <row r="2363" spans="1:8" x14ac:dyDescent="0.3">
      <c r="A2363" s="82"/>
      <c r="B2363" s="81"/>
      <c r="H2363" s="83"/>
    </row>
    <row r="2364" spans="1:8" x14ac:dyDescent="0.3">
      <c r="A2364" s="82"/>
      <c r="B2364" s="81"/>
      <c r="H2364" s="83"/>
    </row>
    <row r="2365" spans="1:8" x14ac:dyDescent="0.3">
      <c r="A2365" s="82"/>
      <c r="B2365" s="81"/>
      <c r="H2365" s="83"/>
    </row>
    <row r="2366" spans="1:8" x14ac:dyDescent="0.3">
      <c r="A2366" s="82"/>
      <c r="B2366" s="81"/>
      <c r="H2366" s="83"/>
    </row>
    <row r="2367" spans="1:8" x14ac:dyDescent="0.3">
      <c r="A2367" s="82"/>
      <c r="B2367" s="81"/>
      <c r="H2367" s="83"/>
    </row>
    <row r="2368" spans="1:8" x14ac:dyDescent="0.3">
      <c r="A2368" s="82"/>
      <c r="B2368" s="81"/>
      <c r="H2368" s="83"/>
    </row>
    <row r="2369" spans="1:8" x14ac:dyDescent="0.3">
      <c r="A2369" s="82"/>
      <c r="B2369" s="81"/>
      <c r="H2369" s="83"/>
    </row>
    <row r="2370" spans="1:8" x14ac:dyDescent="0.3">
      <c r="A2370" s="82"/>
      <c r="B2370" s="81"/>
      <c r="H2370" s="83"/>
    </row>
    <row r="2371" spans="1:8" x14ac:dyDescent="0.3">
      <c r="A2371" s="82"/>
      <c r="B2371" s="81"/>
      <c r="H2371" s="83"/>
    </row>
    <row r="2372" spans="1:8" x14ac:dyDescent="0.3">
      <c r="A2372" s="82"/>
      <c r="B2372" s="81"/>
      <c r="H2372" s="83"/>
    </row>
    <row r="2373" spans="1:8" x14ac:dyDescent="0.3">
      <c r="A2373" s="82"/>
      <c r="B2373" s="81"/>
      <c r="H2373" s="83"/>
    </row>
    <row r="2374" spans="1:8" x14ac:dyDescent="0.3">
      <c r="A2374" s="82"/>
      <c r="B2374" s="81"/>
      <c r="H2374" s="83"/>
    </row>
    <row r="2375" spans="1:8" x14ac:dyDescent="0.3">
      <c r="A2375" s="82"/>
      <c r="B2375" s="81"/>
      <c r="H2375" s="83"/>
    </row>
    <row r="2376" spans="1:8" x14ac:dyDescent="0.3">
      <c r="A2376" s="82"/>
      <c r="B2376" s="81"/>
      <c r="H2376" s="83"/>
    </row>
    <row r="2377" spans="1:8" x14ac:dyDescent="0.3">
      <c r="A2377" s="82"/>
      <c r="B2377" s="81"/>
      <c r="H2377" s="83"/>
    </row>
    <row r="2378" spans="1:8" x14ac:dyDescent="0.3">
      <c r="A2378" s="82"/>
      <c r="B2378" s="81"/>
      <c r="H2378" s="83"/>
    </row>
    <row r="2379" spans="1:8" x14ac:dyDescent="0.3">
      <c r="A2379" s="82"/>
      <c r="B2379" s="81"/>
      <c r="H2379" s="83"/>
    </row>
    <row r="2380" spans="1:8" x14ac:dyDescent="0.3">
      <c r="A2380" s="82"/>
      <c r="B2380" s="81"/>
      <c r="H2380" s="83"/>
    </row>
    <row r="2381" spans="1:8" x14ac:dyDescent="0.3">
      <c r="A2381" s="82"/>
      <c r="B2381" s="81"/>
      <c r="H2381" s="83"/>
    </row>
    <row r="2382" spans="1:8" x14ac:dyDescent="0.3">
      <c r="A2382" s="82"/>
      <c r="B2382" s="81"/>
      <c r="H2382" s="83"/>
    </row>
    <row r="2383" spans="1:8" x14ac:dyDescent="0.3">
      <c r="A2383" s="82"/>
      <c r="B2383" s="81"/>
      <c r="H2383" s="83"/>
    </row>
    <row r="2384" spans="1:8" x14ac:dyDescent="0.3">
      <c r="A2384" s="82"/>
      <c r="B2384" s="81"/>
      <c r="H2384" s="83"/>
    </row>
    <row r="2385" spans="1:8" x14ac:dyDescent="0.3">
      <c r="A2385" s="82"/>
      <c r="B2385" s="81"/>
      <c r="H2385" s="83"/>
    </row>
    <row r="2386" spans="1:8" x14ac:dyDescent="0.3">
      <c r="A2386" s="82"/>
      <c r="B2386" s="81"/>
      <c r="H2386" s="83"/>
    </row>
    <row r="2387" spans="1:8" x14ac:dyDescent="0.3">
      <c r="A2387" s="82"/>
      <c r="B2387" s="81"/>
      <c r="H2387" s="83"/>
    </row>
    <row r="2388" spans="1:8" x14ac:dyDescent="0.3">
      <c r="A2388" s="82"/>
      <c r="B2388" s="81"/>
      <c r="H2388" s="83"/>
    </row>
    <row r="2389" spans="1:8" x14ac:dyDescent="0.3">
      <c r="A2389" s="82"/>
      <c r="B2389" s="81"/>
      <c r="H2389" s="83"/>
    </row>
    <row r="2390" spans="1:8" x14ac:dyDescent="0.3">
      <c r="A2390" s="82"/>
      <c r="B2390" s="81"/>
      <c r="H2390" s="83"/>
    </row>
    <row r="2391" spans="1:8" x14ac:dyDescent="0.3">
      <c r="A2391" s="82"/>
      <c r="B2391" s="81"/>
      <c r="H2391" s="83"/>
    </row>
    <row r="2392" spans="1:8" x14ac:dyDescent="0.3">
      <c r="A2392" s="82"/>
      <c r="B2392" s="81"/>
      <c r="H2392" s="83"/>
    </row>
    <row r="2393" spans="1:8" x14ac:dyDescent="0.3">
      <c r="A2393" s="82"/>
      <c r="B2393" s="81"/>
      <c r="H2393" s="83"/>
    </row>
    <row r="2394" spans="1:8" x14ac:dyDescent="0.3">
      <c r="A2394" s="82"/>
      <c r="B2394" s="81"/>
      <c r="H2394" s="83"/>
    </row>
    <row r="2395" spans="1:8" x14ac:dyDescent="0.3">
      <c r="A2395" s="82"/>
      <c r="B2395" s="81"/>
      <c r="H2395" s="83"/>
    </row>
    <row r="2396" spans="1:8" x14ac:dyDescent="0.3">
      <c r="A2396" s="82"/>
      <c r="B2396" s="81"/>
      <c r="H2396" s="83"/>
    </row>
    <row r="2397" spans="1:8" x14ac:dyDescent="0.3">
      <c r="A2397" s="82"/>
      <c r="B2397" s="81"/>
      <c r="H2397" s="83"/>
    </row>
    <row r="2398" spans="1:8" x14ac:dyDescent="0.3">
      <c r="A2398" s="82"/>
      <c r="B2398" s="81"/>
      <c r="H2398" s="83"/>
    </row>
    <row r="2399" spans="1:8" x14ac:dyDescent="0.3">
      <c r="A2399" s="82"/>
      <c r="B2399" s="81"/>
      <c r="H2399" s="83"/>
    </row>
    <row r="2400" spans="1:8" x14ac:dyDescent="0.3">
      <c r="A2400" s="82"/>
      <c r="B2400" s="81"/>
      <c r="H2400" s="83"/>
    </row>
    <row r="2401" spans="1:8" x14ac:dyDescent="0.3">
      <c r="A2401" s="82"/>
      <c r="B2401" s="81"/>
      <c r="H2401" s="83"/>
    </row>
    <row r="2402" spans="1:8" x14ac:dyDescent="0.3">
      <c r="A2402" s="82"/>
      <c r="B2402" s="81"/>
      <c r="H2402" s="83"/>
    </row>
    <row r="2403" spans="1:8" x14ac:dyDescent="0.3">
      <c r="A2403" s="82"/>
      <c r="B2403" s="81"/>
      <c r="H2403" s="83"/>
    </row>
    <row r="2404" spans="1:8" x14ac:dyDescent="0.3">
      <c r="A2404" s="82"/>
      <c r="B2404" s="81"/>
      <c r="H2404" s="83"/>
    </row>
    <row r="2405" spans="1:8" x14ac:dyDescent="0.3">
      <c r="A2405" s="82"/>
      <c r="B2405" s="81"/>
      <c r="H2405" s="83"/>
    </row>
    <row r="2406" spans="1:8" x14ac:dyDescent="0.3">
      <c r="A2406" s="82"/>
      <c r="B2406" s="81"/>
      <c r="H2406" s="83"/>
    </row>
    <row r="2407" spans="1:8" x14ac:dyDescent="0.3">
      <c r="A2407" s="82"/>
      <c r="B2407" s="81"/>
      <c r="H2407" s="83"/>
    </row>
    <row r="2408" spans="1:8" x14ac:dyDescent="0.3">
      <c r="A2408" s="82"/>
      <c r="B2408" s="81"/>
      <c r="H2408" s="83"/>
    </row>
    <row r="2409" spans="1:8" x14ac:dyDescent="0.3">
      <c r="A2409" s="82"/>
      <c r="B2409" s="81"/>
      <c r="H2409" s="83"/>
    </row>
    <row r="2410" spans="1:8" x14ac:dyDescent="0.3">
      <c r="A2410" s="82"/>
      <c r="B2410" s="81"/>
      <c r="H2410" s="83"/>
    </row>
    <row r="2411" spans="1:8" x14ac:dyDescent="0.3">
      <c r="A2411" s="82"/>
      <c r="B2411" s="81"/>
      <c r="H2411" s="83"/>
    </row>
    <row r="2412" spans="1:8" x14ac:dyDescent="0.3">
      <c r="A2412" s="82"/>
      <c r="B2412" s="81"/>
      <c r="H2412" s="83"/>
    </row>
    <row r="2413" spans="1:8" x14ac:dyDescent="0.3">
      <c r="A2413" s="82"/>
      <c r="B2413" s="81"/>
      <c r="H2413" s="83"/>
    </row>
    <row r="2414" spans="1:8" x14ac:dyDescent="0.3">
      <c r="A2414" s="82"/>
      <c r="B2414" s="81"/>
      <c r="H2414" s="83"/>
    </row>
    <row r="2415" spans="1:8" x14ac:dyDescent="0.3">
      <c r="A2415" s="82"/>
      <c r="B2415" s="81"/>
      <c r="H2415" s="83"/>
    </row>
    <row r="2416" spans="1:8" x14ac:dyDescent="0.3">
      <c r="A2416" s="82"/>
      <c r="B2416" s="81"/>
      <c r="H2416" s="83"/>
    </row>
    <row r="2417" spans="1:8" x14ac:dyDescent="0.3">
      <c r="A2417" s="82"/>
      <c r="B2417" s="81"/>
      <c r="H2417" s="83"/>
    </row>
    <row r="2418" spans="1:8" x14ac:dyDescent="0.3">
      <c r="A2418" s="82"/>
      <c r="B2418" s="81"/>
      <c r="H2418" s="83"/>
    </row>
    <row r="2419" spans="1:8" x14ac:dyDescent="0.3">
      <c r="A2419" s="82"/>
      <c r="B2419" s="81"/>
      <c r="H2419" s="83"/>
    </row>
    <row r="2420" spans="1:8" x14ac:dyDescent="0.3">
      <c r="A2420" s="82"/>
      <c r="B2420" s="81"/>
      <c r="H2420" s="83"/>
    </row>
    <row r="2421" spans="1:8" x14ac:dyDescent="0.3">
      <c r="A2421" s="82"/>
      <c r="B2421" s="81"/>
      <c r="H2421" s="83"/>
    </row>
    <row r="2422" spans="1:8" x14ac:dyDescent="0.3">
      <c r="A2422" s="82"/>
      <c r="B2422" s="81"/>
      <c r="H2422" s="83"/>
    </row>
    <row r="2423" spans="1:8" x14ac:dyDescent="0.3">
      <c r="A2423" s="82"/>
      <c r="B2423" s="81"/>
      <c r="H2423" s="83"/>
    </row>
    <row r="2424" spans="1:8" x14ac:dyDescent="0.3">
      <c r="A2424" s="82"/>
      <c r="B2424" s="81"/>
      <c r="H2424" s="83"/>
    </row>
    <row r="2425" spans="1:8" x14ac:dyDescent="0.3">
      <c r="A2425" s="82"/>
      <c r="B2425" s="81"/>
      <c r="H2425" s="83"/>
    </row>
    <row r="2426" spans="1:8" x14ac:dyDescent="0.3">
      <c r="A2426" s="82"/>
      <c r="B2426" s="81"/>
      <c r="H2426" s="83"/>
    </row>
    <row r="2427" spans="1:8" x14ac:dyDescent="0.3">
      <c r="A2427" s="82"/>
      <c r="B2427" s="81"/>
      <c r="H2427" s="83"/>
    </row>
    <row r="2428" spans="1:8" x14ac:dyDescent="0.3">
      <c r="A2428" s="82"/>
      <c r="B2428" s="81"/>
      <c r="H2428" s="83"/>
    </row>
    <row r="2429" spans="1:8" x14ac:dyDescent="0.3">
      <c r="A2429" s="82"/>
      <c r="B2429" s="81"/>
      <c r="H2429" s="83"/>
    </row>
    <row r="2430" spans="1:8" x14ac:dyDescent="0.3">
      <c r="A2430" s="82"/>
      <c r="B2430" s="81"/>
      <c r="H2430" s="83"/>
    </row>
    <row r="2431" spans="1:8" x14ac:dyDescent="0.3">
      <c r="A2431" s="82"/>
      <c r="B2431" s="81"/>
      <c r="H2431" s="83"/>
    </row>
    <row r="2432" spans="1:8" x14ac:dyDescent="0.3">
      <c r="A2432" s="82"/>
      <c r="B2432" s="81"/>
      <c r="H2432" s="83"/>
    </row>
    <row r="2433" spans="1:8" x14ac:dyDescent="0.3">
      <c r="A2433" s="82"/>
      <c r="B2433" s="81"/>
      <c r="H2433" s="83"/>
    </row>
    <row r="2434" spans="1:8" x14ac:dyDescent="0.3">
      <c r="A2434" s="82"/>
      <c r="B2434" s="81"/>
      <c r="H2434" s="83"/>
    </row>
    <row r="2435" spans="1:8" x14ac:dyDescent="0.3">
      <c r="A2435" s="82"/>
      <c r="B2435" s="81"/>
      <c r="H2435" s="83"/>
    </row>
    <row r="2436" spans="1:8" x14ac:dyDescent="0.3">
      <c r="A2436" s="82"/>
      <c r="B2436" s="81"/>
      <c r="H2436" s="83"/>
    </row>
    <row r="2437" spans="1:8" x14ac:dyDescent="0.3">
      <c r="A2437" s="82"/>
      <c r="B2437" s="81"/>
      <c r="H2437" s="83"/>
    </row>
    <row r="2438" spans="1:8" x14ac:dyDescent="0.3">
      <c r="A2438" s="82"/>
      <c r="B2438" s="81"/>
      <c r="H2438" s="83"/>
    </row>
    <row r="2439" spans="1:8" x14ac:dyDescent="0.3">
      <c r="A2439" s="82"/>
      <c r="B2439" s="81"/>
      <c r="H2439" s="83"/>
    </row>
    <row r="2440" spans="1:8" x14ac:dyDescent="0.3">
      <c r="A2440" s="82"/>
      <c r="B2440" s="81"/>
      <c r="H2440" s="83"/>
    </row>
    <row r="2441" spans="1:8" x14ac:dyDescent="0.3">
      <c r="A2441" s="82"/>
      <c r="B2441" s="81"/>
      <c r="H2441" s="83"/>
    </row>
    <row r="2442" spans="1:8" x14ac:dyDescent="0.3">
      <c r="A2442" s="82"/>
      <c r="B2442" s="81"/>
      <c r="H2442" s="83"/>
    </row>
    <row r="2443" spans="1:8" x14ac:dyDescent="0.3">
      <c r="A2443" s="82"/>
      <c r="B2443" s="81"/>
      <c r="H2443" s="83"/>
    </row>
    <row r="2444" spans="1:8" x14ac:dyDescent="0.3">
      <c r="A2444" s="82"/>
      <c r="B2444" s="81"/>
      <c r="H2444" s="83"/>
    </row>
    <row r="2445" spans="1:8" x14ac:dyDescent="0.3">
      <c r="A2445" s="82"/>
      <c r="B2445" s="81"/>
      <c r="H2445" s="83"/>
    </row>
    <row r="2446" spans="1:8" x14ac:dyDescent="0.3">
      <c r="A2446" s="82"/>
      <c r="B2446" s="81"/>
      <c r="H2446" s="83"/>
    </row>
    <row r="2447" spans="1:8" x14ac:dyDescent="0.3">
      <c r="A2447" s="82"/>
      <c r="B2447" s="81"/>
      <c r="H2447" s="83"/>
    </row>
    <row r="2448" spans="1:8" x14ac:dyDescent="0.3">
      <c r="A2448" s="82"/>
      <c r="B2448" s="81"/>
      <c r="H2448" s="83"/>
    </row>
    <row r="2449" spans="1:8" x14ac:dyDescent="0.3">
      <c r="A2449" s="82"/>
      <c r="B2449" s="81"/>
      <c r="H2449" s="83"/>
    </row>
    <row r="2450" spans="1:8" x14ac:dyDescent="0.3">
      <c r="A2450" s="82"/>
      <c r="B2450" s="81"/>
      <c r="H2450" s="83"/>
    </row>
    <row r="2451" spans="1:8" x14ac:dyDescent="0.3">
      <c r="A2451" s="82"/>
      <c r="B2451" s="81"/>
      <c r="H2451" s="83"/>
    </row>
    <row r="2452" spans="1:8" x14ac:dyDescent="0.3">
      <c r="A2452" s="82"/>
      <c r="B2452" s="81"/>
      <c r="H2452" s="83"/>
    </row>
    <row r="2453" spans="1:8" x14ac:dyDescent="0.3">
      <c r="A2453" s="82"/>
      <c r="B2453" s="81"/>
      <c r="H2453" s="83"/>
    </row>
    <row r="2454" spans="1:8" x14ac:dyDescent="0.3">
      <c r="A2454" s="82"/>
      <c r="B2454" s="81"/>
      <c r="H2454" s="83"/>
    </row>
    <row r="2455" spans="1:8" x14ac:dyDescent="0.3">
      <c r="A2455" s="82"/>
      <c r="B2455" s="81"/>
      <c r="H2455" s="83"/>
    </row>
    <row r="2456" spans="1:8" x14ac:dyDescent="0.3">
      <c r="A2456" s="82"/>
      <c r="B2456" s="81"/>
      <c r="H2456" s="83"/>
    </row>
    <row r="2457" spans="1:8" x14ac:dyDescent="0.3">
      <c r="A2457" s="82"/>
      <c r="B2457" s="81"/>
      <c r="H2457" s="83"/>
    </row>
    <row r="2458" spans="1:8" x14ac:dyDescent="0.3">
      <c r="A2458" s="82"/>
      <c r="B2458" s="81"/>
      <c r="H2458" s="83"/>
    </row>
    <row r="2459" spans="1:8" x14ac:dyDescent="0.3">
      <c r="A2459" s="82"/>
      <c r="B2459" s="81"/>
      <c r="H2459" s="83"/>
    </row>
    <row r="2460" spans="1:8" x14ac:dyDescent="0.3">
      <c r="A2460" s="82"/>
      <c r="B2460" s="81"/>
      <c r="H2460" s="83"/>
    </row>
    <row r="2461" spans="1:8" x14ac:dyDescent="0.3">
      <c r="A2461" s="82"/>
      <c r="B2461" s="81"/>
      <c r="H2461" s="83"/>
    </row>
    <row r="2462" spans="1:8" x14ac:dyDescent="0.3">
      <c r="A2462" s="82"/>
      <c r="B2462" s="81"/>
      <c r="H2462" s="83"/>
    </row>
    <row r="2463" spans="1:8" x14ac:dyDescent="0.3">
      <c r="A2463" s="82"/>
      <c r="B2463" s="81"/>
      <c r="H2463" s="83"/>
    </row>
    <row r="2464" spans="1:8" x14ac:dyDescent="0.3">
      <c r="A2464" s="82"/>
      <c r="B2464" s="81"/>
      <c r="H2464" s="83"/>
    </row>
    <row r="2465" spans="1:8" x14ac:dyDescent="0.3">
      <c r="A2465" s="82"/>
      <c r="B2465" s="81"/>
      <c r="H2465" s="83"/>
    </row>
    <row r="2466" spans="1:8" x14ac:dyDescent="0.3">
      <c r="A2466" s="82"/>
      <c r="B2466" s="81"/>
      <c r="H2466" s="83"/>
    </row>
    <row r="2467" spans="1:8" x14ac:dyDescent="0.3">
      <c r="A2467" s="82"/>
      <c r="B2467" s="81"/>
      <c r="H2467" s="83"/>
    </row>
    <row r="2468" spans="1:8" x14ac:dyDescent="0.3">
      <c r="A2468" s="82"/>
      <c r="B2468" s="81"/>
      <c r="H2468" s="83"/>
    </row>
    <row r="2469" spans="1:8" x14ac:dyDescent="0.3">
      <c r="A2469" s="82"/>
      <c r="B2469" s="81"/>
      <c r="H2469" s="83"/>
    </row>
    <row r="2470" spans="1:8" x14ac:dyDescent="0.3">
      <c r="A2470" s="82"/>
      <c r="B2470" s="81"/>
      <c r="H2470" s="83"/>
    </row>
    <row r="2471" spans="1:8" x14ac:dyDescent="0.3">
      <c r="A2471" s="82"/>
      <c r="B2471" s="81"/>
      <c r="H2471" s="83"/>
    </row>
    <row r="2472" spans="1:8" x14ac:dyDescent="0.3">
      <c r="A2472" s="82"/>
      <c r="B2472" s="81"/>
      <c r="H2472" s="83"/>
    </row>
    <row r="2473" spans="1:8" x14ac:dyDescent="0.3">
      <c r="A2473" s="82"/>
      <c r="B2473" s="81"/>
      <c r="H2473" s="83"/>
    </row>
    <row r="2474" spans="1:8" x14ac:dyDescent="0.3">
      <c r="A2474" s="82"/>
      <c r="B2474" s="81"/>
      <c r="H2474" s="83"/>
    </row>
    <row r="2475" spans="1:8" x14ac:dyDescent="0.3">
      <c r="A2475" s="82"/>
      <c r="B2475" s="81"/>
      <c r="H2475" s="83"/>
    </row>
    <row r="2476" spans="1:8" x14ac:dyDescent="0.3">
      <c r="A2476" s="82"/>
      <c r="B2476" s="81"/>
      <c r="H2476" s="83"/>
    </row>
    <row r="2477" spans="1:8" x14ac:dyDescent="0.3">
      <c r="A2477" s="82"/>
      <c r="B2477" s="81"/>
      <c r="H2477" s="83"/>
    </row>
    <row r="2478" spans="1:8" x14ac:dyDescent="0.3">
      <c r="A2478" s="82"/>
      <c r="B2478" s="81"/>
      <c r="H2478" s="83"/>
    </row>
    <row r="2479" spans="1:8" x14ac:dyDescent="0.3">
      <c r="A2479" s="82"/>
      <c r="B2479" s="81"/>
      <c r="H2479" s="83"/>
    </row>
    <row r="2480" spans="1:8" x14ac:dyDescent="0.3">
      <c r="A2480" s="82"/>
      <c r="B2480" s="81"/>
      <c r="H2480" s="83"/>
    </row>
    <row r="2481" spans="1:8" x14ac:dyDescent="0.3">
      <c r="A2481" s="82"/>
      <c r="B2481" s="81"/>
      <c r="H2481" s="83"/>
    </row>
    <row r="2482" spans="1:8" x14ac:dyDescent="0.3">
      <c r="A2482" s="82"/>
      <c r="B2482" s="81"/>
      <c r="H2482" s="83"/>
    </row>
    <row r="2483" spans="1:8" x14ac:dyDescent="0.3">
      <c r="A2483" s="82"/>
      <c r="B2483" s="81"/>
      <c r="H2483" s="83"/>
    </row>
    <row r="2484" spans="1:8" x14ac:dyDescent="0.3">
      <c r="A2484" s="82"/>
      <c r="B2484" s="81"/>
      <c r="H2484" s="83"/>
    </row>
    <row r="2485" spans="1:8" x14ac:dyDescent="0.3">
      <c r="A2485" s="82"/>
      <c r="B2485" s="81"/>
      <c r="H2485" s="83"/>
    </row>
    <row r="2486" spans="1:8" x14ac:dyDescent="0.3">
      <c r="A2486" s="82"/>
      <c r="B2486" s="81"/>
      <c r="H2486" s="83"/>
    </row>
    <row r="2487" spans="1:8" x14ac:dyDescent="0.3">
      <c r="A2487" s="82"/>
      <c r="B2487" s="81"/>
      <c r="H2487" s="83"/>
    </row>
    <row r="2488" spans="1:8" x14ac:dyDescent="0.3">
      <c r="A2488" s="82"/>
      <c r="B2488" s="81"/>
      <c r="H2488" s="83"/>
    </row>
    <row r="2489" spans="1:8" x14ac:dyDescent="0.3">
      <c r="A2489" s="82"/>
      <c r="B2489" s="81"/>
      <c r="H2489" s="83"/>
    </row>
    <row r="2490" spans="1:8" x14ac:dyDescent="0.3">
      <c r="A2490" s="82"/>
      <c r="B2490" s="81"/>
      <c r="H2490" s="83"/>
    </row>
    <row r="2491" spans="1:8" x14ac:dyDescent="0.3">
      <c r="A2491" s="82"/>
      <c r="B2491" s="81"/>
      <c r="H2491" s="83"/>
    </row>
    <row r="2492" spans="1:8" x14ac:dyDescent="0.3">
      <c r="A2492" s="82"/>
      <c r="B2492" s="81"/>
      <c r="H2492" s="83"/>
    </row>
    <row r="2493" spans="1:8" x14ac:dyDescent="0.3">
      <c r="A2493" s="82"/>
      <c r="B2493" s="81"/>
      <c r="H2493" s="83"/>
    </row>
    <row r="2494" spans="1:8" x14ac:dyDescent="0.3">
      <c r="A2494" s="82"/>
      <c r="B2494" s="81"/>
      <c r="H2494" s="83"/>
    </row>
    <row r="2495" spans="1:8" x14ac:dyDescent="0.3">
      <c r="A2495" s="82"/>
      <c r="B2495" s="81"/>
      <c r="H2495" s="83"/>
    </row>
    <row r="2496" spans="1:8" x14ac:dyDescent="0.3">
      <c r="A2496" s="82"/>
      <c r="B2496" s="81"/>
      <c r="H2496" s="83"/>
    </row>
    <row r="2497" spans="1:8" x14ac:dyDescent="0.3">
      <c r="A2497" s="82"/>
      <c r="B2497" s="81"/>
      <c r="H2497" s="83"/>
    </row>
    <row r="2498" spans="1:8" x14ac:dyDescent="0.3">
      <c r="A2498" s="82"/>
      <c r="B2498" s="81"/>
      <c r="H2498" s="83"/>
    </row>
    <row r="2499" spans="1:8" x14ac:dyDescent="0.3">
      <c r="A2499" s="82"/>
      <c r="B2499" s="81"/>
      <c r="H2499" s="83"/>
    </row>
    <row r="2500" spans="1:8" x14ac:dyDescent="0.3">
      <c r="A2500" s="82"/>
      <c r="B2500" s="81"/>
      <c r="H2500" s="83"/>
    </row>
    <row r="2501" spans="1:8" x14ac:dyDescent="0.3">
      <c r="A2501" s="82"/>
      <c r="B2501" s="81"/>
      <c r="H2501" s="83"/>
    </row>
    <row r="2502" spans="1:8" x14ac:dyDescent="0.3">
      <c r="A2502" s="82"/>
      <c r="B2502" s="81"/>
      <c r="H2502" s="83"/>
    </row>
    <row r="2503" spans="1:8" x14ac:dyDescent="0.3">
      <c r="A2503" s="82"/>
      <c r="B2503" s="81"/>
      <c r="H2503" s="83"/>
    </row>
    <row r="2504" spans="1:8" x14ac:dyDescent="0.3">
      <c r="A2504" s="82"/>
      <c r="B2504" s="81"/>
      <c r="H2504" s="83"/>
    </row>
    <row r="2505" spans="1:8" x14ac:dyDescent="0.3">
      <c r="A2505" s="82"/>
      <c r="B2505" s="81"/>
      <c r="H2505" s="83"/>
    </row>
    <row r="2506" spans="1:8" x14ac:dyDescent="0.3">
      <c r="A2506" s="82"/>
      <c r="B2506" s="81"/>
      <c r="H2506" s="83"/>
    </row>
    <row r="2507" spans="1:8" x14ac:dyDescent="0.3">
      <c r="A2507" s="82"/>
      <c r="B2507" s="81"/>
      <c r="H2507" s="83"/>
    </row>
    <row r="2508" spans="1:8" x14ac:dyDescent="0.3">
      <c r="A2508" s="82"/>
      <c r="B2508" s="81"/>
      <c r="H2508" s="83"/>
    </row>
    <row r="2509" spans="1:8" x14ac:dyDescent="0.3">
      <c r="A2509" s="82"/>
      <c r="B2509" s="81"/>
      <c r="H2509" s="83"/>
    </row>
    <row r="2510" spans="1:8" x14ac:dyDescent="0.3">
      <c r="A2510" s="82"/>
      <c r="B2510" s="81"/>
      <c r="H2510" s="83"/>
    </row>
    <row r="2511" spans="1:8" x14ac:dyDescent="0.3">
      <c r="A2511" s="82"/>
      <c r="B2511" s="81"/>
      <c r="H2511" s="83"/>
    </row>
    <row r="2512" spans="1:8" x14ac:dyDescent="0.3">
      <c r="A2512" s="82"/>
      <c r="B2512" s="81"/>
      <c r="H2512" s="83"/>
    </row>
    <row r="2513" spans="1:8" x14ac:dyDescent="0.3">
      <c r="A2513" s="82"/>
      <c r="B2513" s="81"/>
      <c r="H2513" s="83"/>
    </row>
    <row r="2514" spans="1:8" x14ac:dyDescent="0.3">
      <c r="A2514" s="82"/>
      <c r="B2514" s="81"/>
      <c r="H2514" s="83"/>
    </row>
    <row r="2515" spans="1:8" x14ac:dyDescent="0.3">
      <c r="A2515" s="82"/>
      <c r="B2515" s="81"/>
      <c r="H2515" s="83"/>
    </row>
    <row r="2516" spans="1:8" x14ac:dyDescent="0.3">
      <c r="A2516" s="82"/>
      <c r="B2516" s="81"/>
      <c r="H2516" s="83"/>
    </row>
    <row r="2517" spans="1:8" x14ac:dyDescent="0.3">
      <c r="A2517" s="82"/>
      <c r="B2517" s="81"/>
      <c r="H2517" s="83"/>
    </row>
    <row r="2518" spans="1:8" x14ac:dyDescent="0.3">
      <c r="A2518" s="82"/>
      <c r="B2518" s="81"/>
      <c r="H2518" s="83"/>
    </row>
    <row r="2519" spans="1:8" x14ac:dyDescent="0.3">
      <c r="A2519" s="82"/>
      <c r="B2519" s="81"/>
      <c r="H2519" s="83"/>
    </row>
    <row r="2520" spans="1:8" x14ac:dyDescent="0.3">
      <c r="A2520" s="82"/>
      <c r="B2520" s="81"/>
      <c r="H2520" s="83"/>
    </row>
    <row r="2521" spans="1:8" x14ac:dyDescent="0.3">
      <c r="A2521" s="82"/>
      <c r="B2521" s="81"/>
      <c r="H2521" s="83"/>
    </row>
    <row r="2522" spans="1:8" x14ac:dyDescent="0.3">
      <c r="A2522" s="82"/>
      <c r="B2522" s="81"/>
      <c r="H2522" s="83"/>
    </row>
    <row r="2523" spans="1:8" x14ac:dyDescent="0.3">
      <c r="A2523" s="82"/>
      <c r="B2523" s="81"/>
      <c r="H2523" s="83"/>
    </row>
    <row r="2524" spans="1:8" x14ac:dyDescent="0.3">
      <c r="A2524" s="82"/>
      <c r="B2524" s="81"/>
      <c r="H2524" s="83"/>
    </row>
    <row r="2525" spans="1:8" x14ac:dyDescent="0.3">
      <c r="A2525" s="82"/>
      <c r="B2525" s="81"/>
      <c r="H2525" s="83"/>
    </row>
    <row r="2526" spans="1:8" x14ac:dyDescent="0.3">
      <c r="A2526" s="82"/>
      <c r="B2526" s="81"/>
      <c r="H2526" s="83"/>
    </row>
    <row r="2527" spans="1:8" x14ac:dyDescent="0.3">
      <c r="A2527" s="82"/>
      <c r="B2527" s="81"/>
      <c r="H2527" s="83"/>
    </row>
    <row r="2528" spans="1:8" x14ac:dyDescent="0.3">
      <c r="A2528" s="82"/>
      <c r="B2528" s="81"/>
      <c r="H2528" s="83"/>
    </row>
    <row r="2529" spans="1:8" x14ac:dyDescent="0.3">
      <c r="A2529" s="82"/>
      <c r="B2529" s="81"/>
      <c r="H2529" s="83"/>
    </row>
    <row r="2530" spans="1:8" x14ac:dyDescent="0.3">
      <c r="A2530" s="82"/>
      <c r="B2530" s="81"/>
      <c r="H2530" s="83"/>
    </row>
    <row r="2531" spans="1:8" x14ac:dyDescent="0.3">
      <c r="A2531" s="82"/>
      <c r="B2531" s="81"/>
      <c r="H2531" s="83"/>
    </row>
    <row r="2532" spans="1:8" x14ac:dyDescent="0.3">
      <c r="A2532" s="82"/>
      <c r="B2532" s="81"/>
      <c r="H2532" s="83"/>
    </row>
    <row r="2533" spans="1:8" x14ac:dyDescent="0.3">
      <c r="A2533" s="82"/>
      <c r="B2533" s="81"/>
      <c r="H2533" s="83"/>
    </row>
    <row r="2534" spans="1:8" x14ac:dyDescent="0.3">
      <c r="A2534" s="82"/>
      <c r="B2534" s="81"/>
      <c r="H2534" s="83"/>
    </row>
    <row r="2535" spans="1:8" x14ac:dyDescent="0.3">
      <c r="A2535" s="82"/>
      <c r="B2535" s="81"/>
      <c r="H2535" s="83"/>
    </row>
    <row r="2536" spans="1:8" x14ac:dyDescent="0.3">
      <c r="A2536" s="82"/>
      <c r="B2536" s="81"/>
      <c r="H2536" s="83"/>
    </row>
    <row r="2537" spans="1:8" x14ac:dyDescent="0.3">
      <c r="A2537" s="82"/>
      <c r="B2537" s="81"/>
      <c r="H2537" s="83"/>
    </row>
    <row r="2538" spans="1:8" x14ac:dyDescent="0.3">
      <c r="A2538" s="82"/>
      <c r="B2538" s="81"/>
      <c r="H2538" s="83"/>
    </row>
    <row r="2539" spans="1:8" x14ac:dyDescent="0.3">
      <c r="A2539" s="82"/>
      <c r="B2539" s="81"/>
      <c r="H2539" s="83"/>
    </row>
    <row r="2540" spans="1:8" x14ac:dyDescent="0.3">
      <c r="A2540" s="82"/>
      <c r="B2540" s="81"/>
      <c r="H2540" s="83"/>
    </row>
    <row r="2541" spans="1:8" x14ac:dyDescent="0.3">
      <c r="A2541" s="82"/>
      <c r="B2541" s="81"/>
      <c r="H2541" s="83"/>
    </row>
    <row r="2542" spans="1:8" x14ac:dyDescent="0.3">
      <c r="A2542" s="82"/>
      <c r="B2542" s="81"/>
      <c r="H2542" s="83"/>
    </row>
    <row r="2543" spans="1:8" x14ac:dyDescent="0.3">
      <c r="A2543" s="82"/>
      <c r="B2543" s="81"/>
      <c r="H2543" s="83"/>
    </row>
    <row r="2544" spans="1:8" x14ac:dyDescent="0.3">
      <c r="A2544" s="82"/>
      <c r="B2544" s="81"/>
      <c r="H2544" s="83"/>
    </row>
    <row r="2545" spans="1:8" x14ac:dyDescent="0.3">
      <c r="A2545" s="82"/>
      <c r="B2545" s="81"/>
      <c r="H2545" s="83"/>
    </row>
    <row r="2546" spans="1:8" x14ac:dyDescent="0.3">
      <c r="A2546" s="82"/>
      <c r="B2546" s="81"/>
      <c r="H2546" s="83"/>
    </row>
    <row r="2547" spans="1:8" x14ac:dyDescent="0.3">
      <c r="A2547" s="82"/>
      <c r="B2547" s="81"/>
      <c r="H2547" s="83"/>
    </row>
    <row r="2548" spans="1:8" x14ac:dyDescent="0.3">
      <c r="A2548" s="82"/>
      <c r="B2548" s="81"/>
      <c r="H2548" s="83"/>
    </row>
    <row r="2549" spans="1:8" x14ac:dyDescent="0.3">
      <c r="A2549" s="82"/>
      <c r="B2549" s="81"/>
      <c r="H2549" s="83"/>
    </row>
    <row r="2550" spans="1:8" x14ac:dyDescent="0.3">
      <c r="A2550" s="82"/>
      <c r="B2550" s="81"/>
      <c r="H2550" s="83"/>
    </row>
    <row r="2551" spans="1:8" x14ac:dyDescent="0.3">
      <c r="A2551" s="82"/>
      <c r="B2551" s="81"/>
      <c r="H2551" s="83"/>
    </row>
    <row r="2552" spans="1:8" x14ac:dyDescent="0.3">
      <c r="A2552" s="82"/>
      <c r="B2552" s="81"/>
      <c r="H2552" s="83"/>
    </row>
    <row r="2553" spans="1:8" x14ac:dyDescent="0.3">
      <c r="A2553" s="82"/>
      <c r="B2553" s="81"/>
      <c r="H2553" s="83"/>
    </row>
    <row r="2554" spans="1:8" x14ac:dyDescent="0.3">
      <c r="A2554" s="82"/>
      <c r="B2554" s="81"/>
      <c r="H2554" s="83"/>
    </row>
    <row r="2555" spans="1:8" x14ac:dyDescent="0.3">
      <c r="A2555" s="82"/>
      <c r="B2555" s="81"/>
      <c r="H2555" s="83"/>
    </row>
    <row r="2556" spans="1:8" x14ac:dyDescent="0.3">
      <c r="A2556" s="82"/>
      <c r="B2556" s="81"/>
      <c r="H2556" s="83"/>
    </row>
    <row r="2557" spans="1:8" x14ac:dyDescent="0.3">
      <c r="A2557" s="82"/>
      <c r="B2557" s="81"/>
      <c r="H2557" s="83"/>
    </row>
    <row r="2558" spans="1:8" x14ac:dyDescent="0.3">
      <c r="A2558" s="82"/>
      <c r="B2558" s="81"/>
      <c r="H2558" s="83"/>
    </row>
    <row r="2559" spans="1:8" x14ac:dyDescent="0.3">
      <c r="A2559" s="82"/>
      <c r="B2559" s="81"/>
      <c r="H2559" s="83"/>
    </row>
    <row r="2560" spans="1:8" x14ac:dyDescent="0.3">
      <c r="A2560" s="82"/>
      <c r="B2560" s="81"/>
      <c r="H2560" s="83"/>
    </row>
    <row r="2561" spans="1:8" x14ac:dyDescent="0.3">
      <c r="A2561" s="82"/>
      <c r="B2561" s="81"/>
      <c r="H2561" s="83"/>
    </row>
    <row r="2562" spans="1:8" x14ac:dyDescent="0.3">
      <c r="A2562" s="82"/>
      <c r="B2562" s="81"/>
      <c r="H2562" s="83"/>
    </row>
    <row r="2563" spans="1:8" x14ac:dyDescent="0.3">
      <c r="A2563" s="82"/>
      <c r="B2563" s="81"/>
      <c r="H2563" s="83"/>
    </row>
    <row r="2564" spans="1:8" x14ac:dyDescent="0.3">
      <c r="A2564" s="82"/>
      <c r="B2564" s="81"/>
      <c r="H2564" s="83"/>
    </row>
    <row r="2565" spans="1:8" x14ac:dyDescent="0.3">
      <c r="A2565" s="82"/>
      <c r="B2565" s="81"/>
      <c r="H2565" s="83"/>
    </row>
    <row r="2566" spans="1:8" x14ac:dyDescent="0.3">
      <c r="A2566" s="82"/>
      <c r="B2566" s="81"/>
      <c r="H2566" s="83"/>
    </row>
    <row r="2567" spans="1:8" x14ac:dyDescent="0.3">
      <c r="A2567" s="82"/>
      <c r="B2567" s="81"/>
      <c r="H2567" s="83"/>
    </row>
    <row r="2568" spans="1:8" x14ac:dyDescent="0.3">
      <c r="A2568" s="82"/>
      <c r="B2568" s="81"/>
      <c r="H2568" s="83"/>
    </row>
    <row r="2569" spans="1:8" x14ac:dyDescent="0.3">
      <c r="A2569" s="82"/>
      <c r="B2569" s="81"/>
      <c r="H2569" s="83"/>
    </row>
    <row r="2570" spans="1:8" x14ac:dyDescent="0.3">
      <c r="A2570" s="82"/>
      <c r="B2570" s="81"/>
      <c r="H2570" s="83"/>
    </row>
    <row r="2571" spans="1:8" x14ac:dyDescent="0.3">
      <c r="A2571" s="82"/>
      <c r="B2571" s="81"/>
      <c r="H2571" s="83"/>
    </row>
    <row r="2572" spans="1:8" x14ac:dyDescent="0.3">
      <c r="A2572" s="82"/>
      <c r="B2572" s="81"/>
      <c r="H2572" s="83"/>
    </row>
    <row r="2573" spans="1:8" x14ac:dyDescent="0.3">
      <c r="A2573" s="82"/>
      <c r="B2573" s="81"/>
      <c r="H2573" s="83"/>
    </row>
    <row r="2574" spans="1:8" x14ac:dyDescent="0.3">
      <c r="A2574" s="82"/>
      <c r="B2574" s="81"/>
      <c r="H2574" s="83"/>
    </row>
    <row r="2575" spans="1:8" x14ac:dyDescent="0.3">
      <c r="A2575" s="82"/>
      <c r="B2575" s="81"/>
      <c r="H2575" s="83"/>
    </row>
    <row r="2576" spans="1:8" x14ac:dyDescent="0.3">
      <c r="A2576" s="82"/>
      <c r="B2576" s="81"/>
      <c r="H2576" s="83"/>
    </row>
    <row r="2577" spans="1:8" x14ac:dyDescent="0.3">
      <c r="A2577" s="82"/>
      <c r="B2577" s="81"/>
      <c r="H2577" s="83"/>
    </row>
    <row r="2578" spans="1:8" x14ac:dyDescent="0.3">
      <c r="A2578" s="82"/>
      <c r="B2578" s="81"/>
      <c r="H2578" s="83"/>
    </row>
    <row r="2579" spans="1:8" x14ac:dyDescent="0.3">
      <c r="A2579" s="82"/>
      <c r="B2579" s="81"/>
      <c r="H2579" s="83"/>
    </row>
    <row r="2580" spans="1:8" x14ac:dyDescent="0.3">
      <c r="A2580" s="82"/>
      <c r="B2580" s="81"/>
      <c r="H2580" s="83"/>
    </row>
    <row r="2581" spans="1:8" x14ac:dyDescent="0.3">
      <c r="A2581" s="82"/>
      <c r="B2581" s="81"/>
      <c r="H2581" s="83"/>
    </row>
    <row r="2582" spans="1:8" x14ac:dyDescent="0.3">
      <c r="A2582" s="82"/>
      <c r="B2582" s="81"/>
      <c r="H2582" s="83"/>
    </row>
    <row r="2583" spans="1:8" x14ac:dyDescent="0.3">
      <c r="A2583" s="82"/>
      <c r="B2583" s="81"/>
      <c r="H2583" s="83"/>
    </row>
    <row r="2584" spans="1:8" x14ac:dyDescent="0.3">
      <c r="A2584" s="82"/>
      <c r="B2584" s="81"/>
      <c r="H2584" s="83"/>
    </row>
    <row r="2585" spans="1:8" x14ac:dyDescent="0.3">
      <c r="A2585" s="82"/>
      <c r="B2585" s="81"/>
      <c r="H2585" s="83"/>
    </row>
    <row r="2586" spans="1:8" x14ac:dyDescent="0.3">
      <c r="A2586" s="82"/>
      <c r="B2586" s="81"/>
      <c r="H2586" s="83"/>
    </row>
    <row r="2587" spans="1:8" x14ac:dyDescent="0.3">
      <c r="A2587" s="82"/>
      <c r="B2587" s="81"/>
      <c r="H2587" s="83"/>
    </row>
    <row r="2588" spans="1:8" x14ac:dyDescent="0.3">
      <c r="A2588" s="82"/>
      <c r="B2588" s="81"/>
      <c r="H2588" s="83"/>
    </row>
    <row r="2589" spans="1:8" x14ac:dyDescent="0.3">
      <c r="A2589" s="82"/>
      <c r="B2589" s="81"/>
      <c r="H2589" s="83"/>
    </row>
    <row r="2590" spans="1:8" x14ac:dyDescent="0.3">
      <c r="A2590" s="82"/>
      <c r="B2590" s="81"/>
      <c r="H2590" s="83"/>
    </row>
    <row r="2591" spans="1:8" x14ac:dyDescent="0.3">
      <c r="A2591" s="82"/>
      <c r="B2591" s="81"/>
      <c r="H2591" s="83"/>
    </row>
    <row r="2592" spans="1:8" x14ac:dyDescent="0.3">
      <c r="A2592" s="82"/>
      <c r="B2592" s="81"/>
      <c r="H2592" s="83"/>
    </row>
    <row r="2593" spans="1:8" x14ac:dyDescent="0.3">
      <c r="A2593" s="82"/>
      <c r="B2593" s="81"/>
      <c r="H2593" s="83"/>
    </row>
    <row r="2594" spans="1:8" x14ac:dyDescent="0.3">
      <c r="A2594" s="82"/>
      <c r="B2594" s="81"/>
      <c r="H2594" s="83"/>
    </row>
    <row r="2595" spans="1:8" x14ac:dyDescent="0.3">
      <c r="A2595" s="82"/>
      <c r="B2595" s="81"/>
      <c r="H2595" s="83"/>
    </row>
    <row r="2596" spans="1:8" x14ac:dyDescent="0.3">
      <c r="A2596" s="82"/>
      <c r="B2596" s="81"/>
      <c r="H2596" s="83"/>
    </row>
    <row r="2597" spans="1:8" x14ac:dyDescent="0.3">
      <c r="A2597" s="82"/>
      <c r="B2597" s="81"/>
      <c r="H2597" s="83"/>
    </row>
    <row r="2598" spans="1:8" x14ac:dyDescent="0.3">
      <c r="A2598" s="82"/>
      <c r="B2598" s="81"/>
      <c r="H2598" s="83"/>
    </row>
    <row r="2599" spans="1:8" x14ac:dyDescent="0.3">
      <c r="A2599" s="82"/>
      <c r="B2599" s="81"/>
      <c r="H2599" s="83"/>
    </row>
    <row r="2600" spans="1:8" x14ac:dyDescent="0.3">
      <c r="A2600" s="82"/>
      <c r="B2600" s="81"/>
      <c r="H2600" s="83"/>
    </row>
    <row r="2601" spans="1:8" x14ac:dyDescent="0.3">
      <c r="A2601" s="82"/>
      <c r="B2601" s="81"/>
      <c r="H2601" s="83"/>
    </row>
    <row r="2602" spans="1:8" x14ac:dyDescent="0.3">
      <c r="A2602" s="82"/>
      <c r="B2602" s="81"/>
      <c r="H2602" s="83"/>
    </row>
    <row r="2603" spans="1:8" x14ac:dyDescent="0.3">
      <c r="A2603" s="82"/>
      <c r="B2603" s="81"/>
      <c r="H2603" s="83"/>
    </row>
    <row r="2604" spans="1:8" x14ac:dyDescent="0.3">
      <c r="A2604" s="82"/>
      <c r="B2604" s="81"/>
      <c r="H2604" s="83"/>
    </row>
    <row r="2605" spans="1:8" x14ac:dyDescent="0.3">
      <c r="A2605" s="82"/>
      <c r="B2605" s="81"/>
      <c r="H2605" s="83"/>
    </row>
    <row r="2606" spans="1:8" x14ac:dyDescent="0.3">
      <c r="A2606" s="82"/>
      <c r="B2606" s="81"/>
      <c r="H2606" s="83"/>
    </row>
    <row r="2607" spans="1:8" x14ac:dyDescent="0.3">
      <c r="A2607" s="82"/>
      <c r="B2607" s="81"/>
      <c r="H2607" s="83"/>
    </row>
    <row r="2608" spans="1:8" x14ac:dyDescent="0.3">
      <c r="A2608" s="82"/>
      <c r="B2608" s="81"/>
      <c r="H2608" s="83"/>
    </row>
    <row r="2609" spans="1:8" x14ac:dyDescent="0.3">
      <c r="A2609" s="82"/>
      <c r="B2609" s="81"/>
      <c r="H2609" s="83"/>
    </row>
    <row r="2610" spans="1:8" x14ac:dyDescent="0.3">
      <c r="A2610" s="82"/>
      <c r="B2610" s="81"/>
      <c r="H2610" s="83"/>
    </row>
    <row r="2611" spans="1:8" x14ac:dyDescent="0.3">
      <c r="A2611" s="82"/>
      <c r="B2611" s="81"/>
      <c r="H2611" s="83"/>
    </row>
    <row r="2612" spans="1:8" x14ac:dyDescent="0.3">
      <c r="A2612" s="82"/>
      <c r="B2612" s="81"/>
      <c r="H2612" s="83"/>
    </row>
    <row r="2613" spans="1:8" x14ac:dyDescent="0.3">
      <c r="A2613" s="82"/>
      <c r="B2613" s="81"/>
      <c r="H2613" s="83"/>
    </row>
    <row r="2614" spans="1:8" x14ac:dyDescent="0.3">
      <c r="A2614" s="82"/>
      <c r="B2614" s="81"/>
      <c r="H2614" s="83"/>
    </row>
    <row r="2615" spans="1:8" x14ac:dyDescent="0.3">
      <c r="A2615" s="82"/>
      <c r="B2615" s="81"/>
      <c r="H2615" s="83"/>
    </row>
    <row r="2616" spans="1:8" x14ac:dyDescent="0.3">
      <c r="A2616" s="82"/>
      <c r="B2616" s="81"/>
      <c r="H2616" s="83"/>
    </row>
    <row r="2617" spans="1:8" x14ac:dyDescent="0.3">
      <c r="A2617" s="82"/>
      <c r="B2617" s="81"/>
      <c r="H2617" s="83"/>
    </row>
    <row r="2618" spans="1:8" x14ac:dyDescent="0.3">
      <c r="A2618" s="82"/>
      <c r="B2618" s="81"/>
      <c r="H2618" s="83"/>
    </row>
    <row r="2619" spans="1:8" x14ac:dyDescent="0.3">
      <c r="A2619" s="82"/>
      <c r="B2619" s="81"/>
      <c r="H2619" s="83"/>
    </row>
    <row r="2620" spans="1:8" x14ac:dyDescent="0.3">
      <c r="A2620" s="82"/>
      <c r="B2620" s="81"/>
      <c r="H2620" s="83"/>
    </row>
    <row r="2621" spans="1:8" x14ac:dyDescent="0.3">
      <c r="A2621" s="82"/>
      <c r="B2621" s="81"/>
      <c r="H2621" s="83"/>
    </row>
    <row r="2622" spans="1:8" x14ac:dyDescent="0.3">
      <c r="A2622" s="82"/>
      <c r="B2622" s="81"/>
      <c r="H2622" s="83"/>
    </row>
    <row r="2623" spans="1:8" x14ac:dyDescent="0.3">
      <c r="A2623" s="82"/>
      <c r="B2623" s="81"/>
      <c r="H2623" s="83"/>
    </row>
    <row r="2624" spans="1:8" x14ac:dyDescent="0.3">
      <c r="A2624" s="82"/>
      <c r="B2624" s="81"/>
      <c r="H2624" s="83"/>
    </row>
    <row r="2625" spans="1:8" x14ac:dyDescent="0.3">
      <c r="A2625" s="82"/>
      <c r="B2625" s="81"/>
      <c r="H2625" s="83"/>
    </row>
    <row r="2626" spans="1:8" x14ac:dyDescent="0.3">
      <c r="A2626" s="82"/>
      <c r="B2626" s="81"/>
      <c r="H2626" s="83"/>
    </row>
    <row r="2627" spans="1:8" x14ac:dyDescent="0.3">
      <c r="A2627" s="82"/>
      <c r="B2627" s="81"/>
      <c r="H2627" s="83"/>
    </row>
    <row r="2628" spans="1:8" x14ac:dyDescent="0.3">
      <c r="A2628" s="82"/>
      <c r="B2628" s="81"/>
      <c r="H2628" s="83"/>
    </row>
    <row r="2629" spans="1:8" x14ac:dyDescent="0.3">
      <c r="A2629" s="82"/>
      <c r="B2629" s="81"/>
      <c r="H2629" s="83"/>
    </row>
    <row r="2630" spans="1:8" x14ac:dyDescent="0.3">
      <c r="A2630" s="82"/>
      <c r="B2630" s="81"/>
      <c r="H2630" s="83"/>
    </row>
    <row r="2631" spans="1:8" x14ac:dyDescent="0.3">
      <c r="A2631" s="82"/>
      <c r="B2631" s="81"/>
      <c r="H2631" s="83"/>
    </row>
    <row r="2632" spans="1:8" x14ac:dyDescent="0.3">
      <c r="A2632" s="82"/>
      <c r="B2632" s="81"/>
      <c r="H2632" s="83"/>
    </row>
    <row r="2633" spans="1:8" x14ac:dyDescent="0.3">
      <c r="A2633" s="82"/>
      <c r="B2633" s="81"/>
      <c r="H2633" s="83"/>
    </row>
    <row r="2634" spans="1:8" x14ac:dyDescent="0.3">
      <c r="A2634" s="82"/>
      <c r="B2634" s="81"/>
      <c r="H2634" s="83"/>
    </row>
    <row r="2635" spans="1:8" x14ac:dyDescent="0.3">
      <c r="A2635" s="82"/>
      <c r="B2635" s="81"/>
      <c r="H2635" s="83"/>
    </row>
    <row r="2636" spans="1:8" x14ac:dyDescent="0.3">
      <c r="A2636" s="82"/>
      <c r="B2636" s="81"/>
      <c r="H2636" s="83"/>
    </row>
    <row r="2637" spans="1:8" x14ac:dyDescent="0.3">
      <c r="A2637" s="82"/>
      <c r="B2637" s="81"/>
      <c r="H2637" s="83"/>
    </row>
    <row r="2638" spans="1:8" x14ac:dyDescent="0.3">
      <c r="A2638" s="82"/>
      <c r="B2638" s="81"/>
      <c r="H2638" s="83"/>
    </row>
    <row r="2639" spans="1:8" x14ac:dyDescent="0.3">
      <c r="A2639" s="82"/>
      <c r="B2639" s="81"/>
      <c r="H2639" s="83"/>
    </row>
    <row r="2640" spans="1:8" x14ac:dyDescent="0.3">
      <c r="A2640" s="82"/>
      <c r="B2640" s="81"/>
      <c r="H2640" s="83"/>
    </row>
    <row r="2641" spans="1:8" x14ac:dyDescent="0.3">
      <c r="A2641" s="82"/>
      <c r="B2641" s="81"/>
      <c r="H2641" s="83"/>
    </row>
    <row r="2642" spans="1:8" x14ac:dyDescent="0.3">
      <c r="A2642" s="82"/>
      <c r="B2642" s="81"/>
      <c r="H2642" s="83"/>
    </row>
    <row r="2643" spans="1:8" x14ac:dyDescent="0.3">
      <c r="A2643" s="82"/>
      <c r="B2643" s="81"/>
      <c r="H2643" s="83"/>
    </row>
    <row r="2644" spans="1:8" x14ac:dyDescent="0.3">
      <c r="A2644" s="82"/>
      <c r="B2644" s="81"/>
      <c r="H2644" s="83"/>
    </row>
    <row r="2645" spans="1:8" x14ac:dyDescent="0.3">
      <c r="A2645" s="82"/>
      <c r="B2645" s="81"/>
      <c r="H2645" s="83"/>
    </row>
    <row r="2646" spans="1:8" x14ac:dyDescent="0.3">
      <c r="A2646" s="82"/>
      <c r="B2646" s="81"/>
      <c r="H2646" s="83"/>
    </row>
    <row r="2647" spans="1:8" x14ac:dyDescent="0.3">
      <c r="A2647" s="82"/>
      <c r="B2647" s="81"/>
      <c r="H2647" s="83"/>
    </row>
    <row r="2648" spans="1:8" x14ac:dyDescent="0.3">
      <c r="A2648" s="82"/>
      <c r="B2648" s="81"/>
      <c r="H2648" s="83"/>
    </row>
    <row r="2649" spans="1:8" x14ac:dyDescent="0.3">
      <c r="A2649" s="82"/>
      <c r="B2649" s="81"/>
      <c r="H2649" s="83"/>
    </row>
    <row r="2650" spans="1:8" x14ac:dyDescent="0.3">
      <c r="A2650" s="82"/>
      <c r="B2650" s="81"/>
      <c r="H2650" s="83"/>
    </row>
    <row r="2651" spans="1:8" x14ac:dyDescent="0.3">
      <c r="A2651" s="82"/>
      <c r="B2651" s="81"/>
      <c r="H2651" s="83"/>
    </row>
    <row r="2652" spans="1:8" x14ac:dyDescent="0.3">
      <c r="A2652" s="82"/>
      <c r="B2652" s="81"/>
      <c r="H2652" s="83"/>
    </row>
    <row r="2653" spans="1:8" x14ac:dyDescent="0.3">
      <c r="A2653" s="82"/>
      <c r="B2653" s="81"/>
      <c r="H2653" s="83"/>
    </row>
    <row r="2654" spans="1:8" x14ac:dyDescent="0.3">
      <c r="A2654" s="82"/>
      <c r="B2654" s="81"/>
      <c r="H2654" s="83"/>
    </row>
    <row r="2655" spans="1:8" x14ac:dyDescent="0.3">
      <c r="A2655" s="82"/>
      <c r="B2655" s="81"/>
      <c r="H2655" s="83"/>
    </row>
    <row r="2656" spans="1:8" x14ac:dyDescent="0.3">
      <c r="A2656" s="82"/>
      <c r="B2656" s="81"/>
      <c r="H2656" s="83"/>
    </row>
    <row r="2657" spans="1:8" x14ac:dyDescent="0.3">
      <c r="A2657" s="82"/>
      <c r="B2657" s="81"/>
      <c r="H2657" s="83"/>
    </row>
    <row r="2658" spans="1:8" x14ac:dyDescent="0.3">
      <c r="A2658" s="82"/>
      <c r="B2658" s="81"/>
      <c r="H2658" s="83"/>
    </row>
    <row r="2659" spans="1:8" x14ac:dyDescent="0.3">
      <c r="A2659" s="82"/>
      <c r="B2659" s="81"/>
      <c r="H2659" s="83"/>
    </row>
    <row r="2660" spans="1:8" x14ac:dyDescent="0.3">
      <c r="A2660" s="82"/>
      <c r="B2660" s="81"/>
      <c r="H2660" s="83"/>
    </row>
    <row r="2661" spans="1:8" x14ac:dyDescent="0.3">
      <c r="A2661" s="82"/>
      <c r="B2661" s="81"/>
      <c r="H2661" s="83"/>
    </row>
    <row r="2662" spans="1:8" x14ac:dyDescent="0.3">
      <c r="A2662" s="82"/>
      <c r="B2662" s="81"/>
      <c r="H2662" s="83"/>
    </row>
    <row r="2663" spans="1:8" x14ac:dyDescent="0.3">
      <c r="A2663" s="82"/>
      <c r="B2663" s="81"/>
      <c r="H2663" s="83"/>
    </row>
    <row r="2664" spans="1:8" x14ac:dyDescent="0.3">
      <c r="A2664" s="82"/>
      <c r="B2664" s="81"/>
      <c r="H2664" s="83"/>
    </row>
    <row r="2665" spans="1:8" x14ac:dyDescent="0.3">
      <c r="A2665" s="82"/>
      <c r="B2665" s="81"/>
      <c r="H2665" s="83"/>
    </row>
    <row r="2666" spans="1:8" x14ac:dyDescent="0.3">
      <c r="A2666" s="82"/>
      <c r="B2666" s="81"/>
      <c r="H2666" s="83"/>
    </row>
    <row r="2667" spans="1:8" x14ac:dyDescent="0.3">
      <c r="A2667" s="82"/>
      <c r="B2667" s="81"/>
      <c r="H2667" s="83"/>
    </row>
    <row r="2668" spans="1:8" x14ac:dyDescent="0.3">
      <c r="A2668" s="82"/>
      <c r="B2668" s="81"/>
      <c r="H2668" s="83"/>
    </row>
    <row r="2669" spans="1:8" x14ac:dyDescent="0.3">
      <c r="A2669" s="82"/>
      <c r="B2669" s="81"/>
      <c r="H2669" s="83"/>
    </row>
    <row r="2670" spans="1:8" x14ac:dyDescent="0.3">
      <c r="A2670" s="82"/>
      <c r="B2670" s="81"/>
      <c r="H2670" s="83"/>
    </row>
    <row r="2671" spans="1:8" x14ac:dyDescent="0.3">
      <c r="A2671" s="82"/>
      <c r="B2671" s="81"/>
      <c r="H2671" s="83"/>
    </row>
    <row r="2672" spans="1:8" x14ac:dyDescent="0.3">
      <c r="A2672" s="82"/>
      <c r="B2672" s="81"/>
      <c r="H2672" s="83"/>
    </row>
    <row r="2673" spans="1:8" x14ac:dyDescent="0.3">
      <c r="A2673" s="82"/>
      <c r="B2673" s="81"/>
      <c r="H2673" s="83"/>
    </row>
    <row r="2674" spans="1:8" x14ac:dyDescent="0.3">
      <c r="A2674" s="82"/>
      <c r="B2674" s="81"/>
      <c r="H2674" s="83"/>
    </row>
    <row r="2675" spans="1:8" x14ac:dyDescent="0.3">
      <c r="A2675" s="82"/>
      <c r="B2675" s="81"/>
      <c r="H2675" s="83"/>
    </row>
    <row r="2676" spans="1:8" x14ac:dyDescent="0.3">
      <c r="A2676" s="82"/>
      <c r="B2676" s="81"/>
      <c r="H2676" s="83"/>
    </row>
    <row r="2677" spans="1:8" x14ac:dyDescent="0.3">
      <c r="A2677" s="82"/>
      <c r="B2677" s="81"/>
      <c r="H2677" s="83"/>
    </row>
    <row r="2678" spans="1:8" x14ac:dyDescent="0.3">
      <c r="A2678" s="82"/>
      <c r="B2678" s="81"/>
      <c r="H2678" s="83"/>
    </row>
    <row r="2679" spans="1:8" x14ac:dyDescent="0.3">
      <c r="A2679" s="82"/>
      <c r="B2679" s="81"/>
      <c r="H2679" s="83"/>
    </row>
    <row r="2680" spans="1:8" x14ac:dyDescent="0.3">
      <c r="A2680" s="82"/>
      <c r="B2680" s="81"/>
      <c r="H2680" s="83"/>
    </row>
    <row r="2681" spans="1:8" x14ac:dyDescent="0.3">
      <c r="A2681" s="82"/>
      <c r="B2681" s="81"/>
      <c r="H2681" s="83"/>
    </row>
    <row r="2682" spans="1:8" x14ac:dyDescent="0.3">
      <c r="A2682" s="82"/>
      <c r="B2682" s="81"/>
      <c r="H2682" s="83"/>
    </row>
    <row r="2683" spans="1:8" x14ac:dyDescent="0.3">
      <c r="A2683" s="82"/>
      <c r="B2683" s="81"/>
      <c r="H2683" s="83"/>
    </row>
    <row r="2684" spans="1:8" x14ac:dyDescent="0.3">
      <c r="A2684" s="82"/>
      <c r="B2684" s="81"/>
      <c r="H2684" s="83"/>
    </row>
    <row r="2685" spans="1:8" x14ac:dyDescent="0.3">
      <c r="A2685" s="82"/>
      <c r="B2685" s="81"/>
      <c r="H2685" s="83"/>
    </row>
    <row r="2686" spans="1:8" x14ac:dyDescent="0.3">
      <c r="A2686" s="82"/>
      <c r="B2686" s="81"/>
      <c r="H2686" s="83"/>
    </row>
    <row r="2687" spans="1:8" x14ac:dyDescent="0.3">
      <c r="A2687" s="82"/>
      <c r="B2687" s="81"/>
      <c r="H2687" s="83"/>
    </row>
    <row r="2688" spans="1:8" x14ac:dyDescent="0.3">
      <c r="A2688" s="82"/>
      <c r="B2688" s="81"/>
      <c r="H2688" s="83"/>
    </row>
    <row r="2689" spans="1:8" x14ac:dyDescent="0.3">
      <c r="A2689" s="82"/>
      <c r="B2689" s="81"/>
      <c r="H2689" s="83"/>
    </row>
    <row r="2690" spans="1:8" x14ac:dyDescent="0.3">
      <c r="A2690" s="82"/>
      <c r="B2690" s="81"/>
      <c r="H2690" s="83"/>
    </row>
    <row r="2691" spans="1:8" x14ac:dyDescent="0.3">
      <c r="A2691" s="82"/>
      <c r="B2691" s="81"/>
      <c r="H2691" s="83"/>
    </row>
    <row r="2692" spans="1:8" x14ac:dyDescent="0.3">
      <c r="A2692" s="82"/>
      <c r="B2692" s="81"/>
      <c r="H2692" s="83"/>
    </row>
    <row r="2693" spans="1:8" x14ac:dyDescent="0.3">
      <c r="A2693" s="82"/>
      <c r="B2693" s="81"/>
      <c r="H2693" s="83"/>
    </row>
    <row r="2694" spans="1:8" x14ac:dyDescent="0.3">
      <c r="A2694" s="82"/>
      <c r="B2694" s="81"/>
      <c r="H2694" s="83"/>
    </row>
    <row r="2695" spans="1:8" x14ac:dyDescent="0.3">
      <c r="A2695" s="82"/>
      <c r="B2695" s="81"/>
      <c r="H2695" s="83"/>
    </row>
    <row r="2696" spans="1:8" x14ac:dyDescent="0.3">
      <c r="A2696" s="82"/>
      <c r="B2696" s="81"/>
      <c r="H2696" s="83"/>
    </row>
    <row r="2697" spans="1:8" x14ac:dyDescent="0.3">
      <c r="A2697" s="82"/>
      <c r="B2697" s="81"/>
      <c r="H2697" s="83"/>
    </row>
    <row r="2698" spans="1:8" x14ac:dyDescent="0.3">
      <c r="A2698" s="82"/>
      <c r="B2698" s="81"/>
      <c r="H2698" s="83"/>
    </row>
    <row r="2699" spans="1:8" x14ac:dyDescent="0.3">
      <c r="A2699" s="82"/>
      <c r="B2699" s="81"/>
      <c r="H2699" s="83"/>
    </row>
    <row r="2700" spans="1:8" x14ac:dyDescent="0.3">
      <c r="A2700" s="82"/>
      <c r="B2700" s="81"/>
      <c r="H2700" s="83"/>
    </row>
    <row r="2701" spans="1:8" x14ac:dyDescent="0.3">
      <c r="A2701" s="82"/>
      <c r="B2701" s="81"/>
      <c r="H2701" s="83"/>
    </row>
    <row r="2702" spans="1:8" x14ac:dyDescent="0.3">
      <c r="A2702" s="82"/>
      <c r="B2702" s="81"/>
      <c r="H2702" s="83"/>
    </row>
    <row r="2703" spans="1:8" x14ac:dyDescent="0.3">
      <c r="A2703" s="82"/>
      <c r="B2703" s="81"/>
      <c r="H2703" s="83"/>
    </row>
    <row r="2704" spans="1:8" x14ac:dyDescent="0.3">
      <c r="A2704" s="82"/>
      <c r="B2704" s="81"/>
      <c r="H2704" s="83"/>
    </row>
    <row r="2705" spans="1:8" x14ac:dyDescent="0.3">
      <c r="A2705" s="82"/>
      <c r="B2705" s="81"/>
      <c r="H2705" s="83"/>
    </row>
    <row r="2706" spans="1:8" x14ac:dyDescent="0.3">
      <c r="A2706" s="82"/>
      <c r="B2706" s="81"/>
      <c r="H2706" s="83"/>
    </row>
    <row r="2707" spans="1:8" x14ac:dyDescent="0.3">
      <c r="A2707" s="82"/>
      <c r="B2707" s="81"/>
      <c r="H2707" s="83"/>
    </row>
    <row r="2708" spans="1:8" x14ac:dyDescent="0.3">
      <c r="A2708" s="82"/>
      <c r="B2708" s="81"/>
      <c r="H2708" s="83"/>
    </row>
    <row r="2709" spans="1:8" x14ac:dyDescent="0.3">
      <c r="A2709" s="82"/>
      <c r="B2709" s="81"/>
      <c r="H2709" s="83"/>
    </row>
    <row r="2710" spans="1:8" x14ac:dyDescent="0.3">
      <c r="A2710" s="82"/>
      <c r="B2710" s="81"/>
      <c r="H2710" s="83"/>
    </row>
    <row r="2711" spans="1:8" x14ac:dyDescent="0.3">
      <c r="A2711" s="82"/>
      <c r="B2711" s="81"/>
      <c r="H2711" s="83"/>
    </row>
    <row r="2712" spans="1:8" x14ac:dyDescent="0.3">
      <c r="A2712" s="82"/>
      <c r="B2712" s="81"/>
      <c r="H2712" s="83"/>
    </row>
    <row r="2713" spans="1:8" x14ac:dyDescent="0.3">
      <c r="A2713" s="82"/>
      <c r="B2713" s="81"/>
      <c r="H2713" s="83"/>
    </row>
    <row r="2714" spans="1:8" x14ac:dyDescent="0.3">
      <c r="A2714" s="82"/>
      <c r="B2714" s="81"/>
      <c r="H2714" s="83"/>
    </row>
    <row r="2715" spans="1:8" x14ac:dyDescent="0.3">
      <c r="A2715" s="82"/>
      <c r="B2715" s="81"/>
      <c r="H2715" s="83"/>
    </row>
    <row r="2716" spans="1:8" x14ac:dyDescent="0.3">
      <c r="A2716" s="82"/>
      <c r="B2716" s="81"/>
      <c r="H2716" s="83"/>
    </row>
    <row r="2717" spans="1:8" x14ac:dyDescent="0.3">
      <c r="A2717" s="82"/>
      <c r="B2717" s="81"/>
      <c r="H2717" s="83"/>
    </row>
    <row r="2718" spans="1:8" x14ac:dyDescent="0.3">
      <c r="A2718" s="82"/>
      <c r="B2718" s="81"/>
      <c r="H2718" s="83"/>
    </row>
    <row r="2719" spans="1:8" x14ac:dyDescent="0.3">
      <c r="A2719" s="82"/>
      <c r="B2719" s="81"/>
      <c r="H2719" s="83"/>
    </row>
    <row r="2720" spans="1:8" x14ac:dyDescent="0.3">
      <c r="A2720" s="82"/>
      <c r="B2720" s="81"/>
      <c r="H2720" s="83"/>
    </row>
    <row r="2721" spans="1:8" x14ac:dyDescent="0.3">
      <c r="A2721" s="82"/>
      <c r="B2721" s="81"/>
      <c r="H2721" s="83"/>
    </row>
    <row r="2722" spans="1:8" x14ac:dyDescent="0.3">
      <c r="A2722" s="82"/>
      <c r="B2722" s="81"/>
      <c r="H2722" s="83"/>
    </row>
    <row r="2723" spans="1:8" x14ac:dyDescent="0.3">
      <c r="A2723" s="82"/>
      <c r="B2723" s="81"/>
      <c r="H2723" s="83"/>
    </row>
    <row r="2724" spans="1:8" x14ac:dyDescent="0.3">
      <c r="A2724" s="82"/>
      <c r="B2724" s="81"/>
      <c r="H2724" s="83"/>
    </row>
    <row r="2725" spans="1:8" x14ac:dyDescent="0.3">
      <c r="A2725" s="82"/>
      <c r="B2725" s="81"/>
      <c r="H2725" s="83"/>
    </row>
    <row r="2726" spans="1:8" x14ac:dyDescent="0.3">
      <c r="A2726" s="82"/>
      <c r="B2726" s="81"/>
      <c r="H2726" s="83"/>
    </row>
    <row r="2727" spans="1:8" x14ac:dyDescent="0.3">
      <c r="A2727" s="82"/>
      <c r="B2727" s="81"/>
      <c r="H2727" s="83"/>
    </row>
    <row r="2728" spans="1:8" x14ac:dyDescent="0.3">
      <c r="A2728" s="82"/>
      <c r="B2728" s="81"/>
      <c r="H2728" s="83"/>
    </row>
    <row r="2729" spans="1:8" x14ac:dyDescent="0.3">
      <c r="A2729" s="82"/>
      <c r="B2729" s="81"/>
      <c r="H2729" s="83"/>
    </row>
    <row r="2730" spans="1:8" x14ac:dyDescent="0.3">
      <c r="A2730" s="82"/>
      <c r="B2730" s="81"/>
      <c r="H2730" s="83"/>
    </row>
    <row r="2731" spans="1:8" x14ac:dyDescent="0.3">
      <c r="A2731" s="82"/>
      <c r="B2731" s="81"/>
      <c r="H2731" s="83"/>
    </row>
    <row r="2732" spans="1:8" x14ac:dyDescent="0.3">
      <c r="A2732" s="82"/>
      <c r="B2732" s="81"/>
      <c r="H2732" s="83"/>
    </row>
    <row r="2733" spans="1:8" x14ac:dyDescent="0.3">
      <c r="A2733" s="82"/>
      <c r="B2733" s="81"/>
      <c r="H2733" s="83"/>
    </row>
    <row r="2734" spans="1:8" x14ac:dyDescent="0.3">
      <c r="A2734" s="82"/>
      <c r="B2734" s="81"/>
      <c r="H2734" s="83"/>
    </row>
    <row r="2735" spans="1:8" x14ac:dyDescent="0.3">
      <c r="A2735" s="82"/>
      <c r="B2735" s="81"/>
      <c r="H2735" s="83"/>
    </row>
    <row r="2736" spans="1:8" x14ac:dyDescent="0.3">
      <c r="A2736" s="82"/>
      <c r="B2736" s="81"/>
      <c r="H2736" s="83"/>
    </row>
    <row r="2737" spans="1:8" x14ac:dyDescent="0.3">
      <c r="A2737" s="82"/>
      <c r="B2737" s="81"/>
      <c r="H2737" s="83"/>
    </row>
    <row r="2738" spans="1:8" x14ac:dyDescent="0.3">
      <c r="A2738" s="82"/>
      <c r="B2738" s="81"/>
      <c r="H2738" s="83"/>
    </row>
    <row r="2739" spans="1:8" x14ac:dyDescent="0.3">
      <c r="A2739" s="82"/>
      <c r="B2739" s="81"/>
      <c r="H2739" s="83"/>
    </row>
    <row r="2740" spans="1:8" x14ac:dyDescent="0.3">
      <c r="A2740" s="82"/>
      <c r="B2740" s="81"/>
      <c r="H2740" s="83"/>
    </row>
    <row r="2741" spans="1:8" x14ac:dyDescent="0.3">
      <c r="A2741" s="82"/>
      <c r="B2741" s="81"/>
      <c r="H2741" s="83"/>
    </row>
    <row r="2742" spans="1:8" x14ac:dyDescent="0.3">
      <c r="A2742" s="82"/>
      <c r="B2742" s="81"/>
      <c r="H2742" s="83"/>
    </row>
    <row r="2743" spans="1:8" x14ac:dyDescent="0.3">
      <c r="A2743" s="82"/>
      <c r="B2743" s="81"/>
      <c r="H2743" s="83"/>
    </row>
    <row r="2744" spans="1:8" x14ac:dyDescent="0.3">
      <c r="A2744" s="82"/>
      <c r="B2744" s="81"/>
      <c r="H2744" s="83"/>
    </row>
    <row r="2745" spans="1:8" x14ac:dyDescent="0.3">
      <c r="A2745" s="82"/>
      <c r="B2745" s="81"/>
      <c r="H2745" s="83"/>
    </row>
    <row r="2746" spans="1:8" x14ac:dyDescent="0.3">
      <c r="A2746" s="82"/>
      <c r="B2746" s="81"/>
      <c r="H2746" s="83"/>
    </row>
    <row r="2747" spans="1:8" x14ac:dyDescent="0.3">
      <c r="A2747" s="82"/>
      <c r="B2747" s="81"/>
      <c r="H2747" s="83"/>
    </row>
    <row r="2748" spans="1:8" x14ac:dyDescent="0.3">
      <c r="A2748" s="82"/>
      <c r="B2748" s="81"/>
      <c r="H2748" s="83"/>
    </row>
    <row r="2749" spans="1:8" x14ac:dyDescent="0.3">
      <c r="A2749" s="82"/>
      <c r="B2749" s="81"/>
      <c r="H2749" s="83"/>
    </row>
    <row r="2750" spans="1:8" x14ac:dyDescent="0.3">
      <c r="A2750" s="82"/>
      <c r="B2750" s="81"/>
      <c r="H2750" s="83"/>
    </row>
    <row r="2751" spans="1:8" x14ac:dyDescent="0.3">
      <c r="A2751" s="82"/>
      <c r="B2751" s="81"/>
      <c r="H2751" s="83"/>
    </row>
    <row r="2752" spans="1:8" x14ac:dyDescent="0.3">
      <c r="A2752" s="82"/>
      <c r="B2752" s="81"/>
      <c r="H2752" s="83"/>
    </row>
    <row r="2753" spans="1:8" x14ac:dyDescent="0.3">
      <c r="A2753" s="82"/>
      <c r="B2753" s="81"/>
      <c r="H2753" s="83"/>
    </row>
    <row r="2754" spans="1:8" x14ac:dyDescent="0.3">
      <c r="A2754" s="82"/>
      <c r="B2754" s="81"/>
      <c r="H2754" s="83"/>
    </row>
    <row r="2755" spans="1:8" x14ac:dyDescent="0.3">
      <c r="A2755" s="82"/>
      <c r="B2755" s="81"/>
      <c r="H2755" s="83"/>
    </row>
    <row r="2756" spans="1:8" x14ac:dyDescent="0.3">
      <c r="A2756" s="82"/>
      <c r="B2756" s="81"/>
      <c r="H2756" s="83"/>
    </row>
    <row r="2757" spans="1:8" x14ac:dyDescent="0.3">
      <c r="A2757" s="82"/>
      <c r="B2757" s="81"/>
      <c r="H2757" s="83"/>
    </row>
    <row r="2758" spans="1:8" x14ac:dyDescent="0.3">
      <c r="A2758" s="82"/>
      <c r="B2758" s="81"/>
      <c r="H2758" s="83"/>
    </row>
    <row r="2759" spans="1:8" x14ac:dyDescent="0.3">
      <c r="A2759" s="82"/>
      <c r="B2759" s="81"/>
      <c r="H2759" s="83"/>
    </row>
    <row r="2760" spans="1:8" x14ac:dyDescent="0.3">
      <c r="A2760" s="82"/>
      <c r="B2760" s="81"/>
      <c r="H2760" s="83"/>
    </row>
    <row r="2761" spans="1:8" x14ac:dyDescent="0.3">
      <c r="A2761" s="82"/>
      <c r="B2761" s="81"/>
      <c r="H2761" s="83"/>
    </row>
    <row r="2762" spans="1:8" x14ac:dyDescent="0.3">
      <c r="A2762" s="82"/>
      <c r="B2762" s="81"/>
      <c r="H2762" s="83"/>
    </row>
    <row r="2763" spans="1:8" x14ac:dyDescent="0.3">
      <c r="A2763" s="82"/>
      <c r="B2763" s="81"/>
      <c r="H2763" s="83"/>
    </row>
    <row r="2764" spans="1:8" x14ac:dyDescent="0.3">
      <c r="A2764" s="82"/>
      <c r="B2764" s="81"/>
      <c r="H2764" s="83"/>
    </row>
    <row r="2765" spans="1:8" x14ac:dyDescent="0.3">
      <c r="A2765" s="82"/>
      <c r="B2765" s="81"/>
      <c r="H2765" s="83"/>
    </row>
    <row r="2766" spans="1:8" x14ac:dyDescent="0.3">
      <c r="A2766" s="82"/>
      <c r="B2766" s="81"/>
      <c r="H2766" s="83"/>
    </row>
    <row r="2767" spans="1:8" x14ac:dyDescent="0.3">
      <c r="A2767" s="82"/>
      <c r="B2767" s="81"/>
      <c r="H2767" s="83"/>
    </row>
    <row r="2768" spans="1:8" x14ac:dyDescent="0.3">
      <c r="A2768" s="82"/>
      <c r="B2768" s="81"/>
      <c r="H2768" s="83"/>
    </row>
    <row r="2769" spans="1:8" x14ac:dyDescent="0.3">
      <c r="A2769" s="82"/>
      <c r="B2769" s="81"/>
      <c r="H2769" s="83"/>
    </row>
    <row r="2770" spans="1:8" x14ac:dyDescent="0.3">
      <c r="A2770" s="82"/>
      <c r="B2770" s="81"/>
      <c r="H2770" s="83"/>
    </row>
    <row r="2771" spans="1:8" x14ac:dyDescent="0.3">
      <c r="A2771" s="82"/>
      <c r="B2771" s="81"/>
      <c r="H2771" s="83"/>
    </row>
    <row r="2772" spans="1:8" x14ac:dyDescent="0.3">
      <c r="A2772" s="82"/>
      <c r="B2772" s="81"/>
      <c r="H2772" s="83"/>
    </row>
    <row r="2773" spans="1:8" x14ac:dyDescent="0.3">
      <c r="A2773" s="82"/>
      <c r="B2773" s="81"/>
      <c r="H2773" s="83"/>
    </row>
    <row r="2774" spans="1:8" x14ac:dyDescent="0.3">
      <c r="A2774" s="82"/>
      <c r="B2774" s="81"/>
      <c r="H2774" s="83"/>
    </row>
    <row r="2775" spans="1:8" x14ac:dyDescent="0.3">
      <c r="A2775" s="82"/>
      <c r="B2775" s="81"/>
      <c r="H2775" s="83"/>
    </row>
    <row r="2776" spans="1:8" x14ac:dyDescent="0.3">
      <c r="A2776" s="82"/>
      <c r="B2776" s="81"/>
      <c r="H2776" s="83"/>
    </row>
    <row r="2777" spans="1:8" x14ac:dyDescent="0.3">
      <c r="A2777" s="82"/>
      <c r="B2777" s="81"/>
      <c r="H2777" s="83"/>
    </row>
    <row r="2778" spans="1:8" x14ac:dyDescent="0.3">
      <c r="A2778" s="82"/>
      <c r="B2778" s="81"/>
      <c r="H2778" s="83"/>
    </row>
    <row r="2779" spans="1:8" x14ac:dyDescent="0.3">
      <c r="A2779" s="82"/>
      <c r="B2779" s="81"/>
      <c r="H2779" s="83"/>
    </row>
    <row r="2780" spans="1:8" x14ac:dyDescent="0.3">
      <c r="A2780" s="82"/>
      <c r="B2780" s="81"/>
      <c r="H2780" s="83"/>
    </row>
    <row r="2781" spans="1:8" x14ac:dyDescent="0.3">
      <c r="A2781" s="82"/>
      <c r="B2781" s="81"/>
      <c r="H2781" s="83"/>
    </row>
    <row r="2782" spans="1:8" x14ac:dyDescent="0.3">
      <c r="A2782" s="82"/>
      <c r="B2782" s="81"/>
      <c r="H2782" s="83"/>
    </row>
    <row r="2783" spans="1:8" x14ac:dyDescent="0.3">
      <c r="A2783" s="82"/>
      <c r="B2783" s="81"/>
      <c r="H2783" s="83"/>
    </row>
    <row r="2784" spans="1:8" x14ac:dyDescent="0.3">
      <c r="A2784" s="82"/>
      <c r="B2784" s="81"/>
      <c r="H2784" s="83"/>
    </row>
    <row r="2785" spans="1:8" x14ac:dyDescent="0.3">
      <c r="A2785" s="82"/>
      <c r="B2785" s="81"/>
      <c r="H2785" s="83"/>
    </row>
    <row r="2786" spans="1:8" x14ac:dyDescent="0.3">
      <c r="A2786" s="82"/>
      <c r="B2786" s="81"/>
      <c r="H2786" s="83"/>
    </row>
    <row r="2787" spans="1:8" x14ac:dyDescent="0.3">
      <c r="A2787" s="82"/>
      <c r="B2787" s="81"/>
      <c r="H2787" s="83"/>
    </row>
    <row r="2788" spans="1:8" x14ac:dyDescent="0.3">
      <c r="A2788" s="82"/>
      <c r="B2788" s="81"/>
      <c r="H2788" s="83"/>
    </row>
    <row r="2789" spans="1:8" x14ac:dyDescent="0.3">
      <c r="A2789" s="82"/>
      <c r="B2789" s="81"/>
      <c r="H2789" s="83"/>
    </row>
    <row r="2790" spans="1:8" x14ac:dyDescent="0.3">
      <c r="A2790" s="82"/>
      <c r="B2790" s="81"/>
      <c r="H2790" s="83"/>
    </row>
    <row r="2791" spans="1:8" x14ac:dyDescent="0.3">
      <c r="A2791" s="82"/>
      <c r="B2791" s="81"/>
      <c r="H2791" s="83"/>
    </row>
    <row r="2792" spans="1:8" x14ac:dyDescent="0.3">
      <c r="A2792" s="82"/>
      <c r="B2792" s="81"/>
      <c r="H2792" s="83"/>
    </row>
    <row r="2793" spans="1:8" x14ac:dyDescent="0.3">
      <c r="A2793" s="82"/>
      <c r="B2793" s="81"/>
      <c r="H2793" s="83"/>
    </row>
    <row r="2794" spans="1:8" x14ac:dyDescent="0.3">
      <c r="A2794" s="82"/>
      <c r="B2794" s="81"/>
      <c r="H2794" s="83"/>
    </row>
    <row r="2795" spans="1:8" x14ac:dyDescent="0.3">
      <c r="A2795" s="82"/>
      <c r="B2795" s="81"/>
      <c r="H2795" s="83"/>
    </row>
    <row r="2796" spans="1:8" x14ac:dyDescent="0.3">
      <c r="A2796" s="82"/>
      <c r="B2796" s="81"/>
      <c r="H2796" s="83"/>
    </row>
    <row r="2797" spans="1:8" x14ac:dyDescent="0.3">
      <c r="A2797" s="82"/>
      <c r="B2797" s="81"/>
      <c r="H2797" s="83"/>
    </row>
    <row r="2798" spans="1:8" x14ac:dyDescent="0.3">
      <c r="A2798" s="82"/>
      <c r="B2798" s="81"/>
      <c r="H2798" s="83"/>
    </row>
    <row r="2799" spans="1:8" x14ac:dyDescent="0.3">
      <c r="A2799" s="82"/>
      <c r="B2799" s="81"/>
      <c r="H2799" s="83"/>
    </row>
    <row r="2800" spans="1:8" x14ac:dyDescent="0.3">
      <c r="A2800" s="82"/>
      <c r="B2800" s="81"/>
      <c r="H2800" s="83"/>
    </row>
    <row r="2801" spans="1:8" x14ac:dyDescent="0.3">
      <c r="A2801" s="82"/>
      <c r="B2801" s="81"/>
      <c r="H2801" s="83"/>
    </row>
    <row r="2802" spans="1:8" x14ac:dyDescent="0.3">
      <c r="A2802" s="82"/>
      <c r="B2802" s="81"/>
      <c r="H2802" s="83"/>
    </row>
    <row r="2803" spans="1:8" x14ac:dyDescent="0.3">
      <c r="A2803" s="82"/>
      <c r="B2803" s="81"/>
      <c r="H2803" s="83"/>
    </row>
    <row r="2804" spans="1:8" x14ac:dyDescent="0.3">
      <c r="A2804" s="82"/>
      <c r="B2804" s="81"/>
      <c r="H2804" s="83"/>
    </row>
    <row r="2805" spans="1:8" x14ac:dyDescent="0.3">
      <c r="A2805" s="82"/>
      <c r="B2805" s="81"/>
      <c r="H2805" s="83"/>
    </row>
    <row r="2806" spans="1:8" x14ac:dyDescent="0.3">
      <c r="A2806" s="82"/>
      <c r="B2806" s="81"/>
      <c r="H2806" s="83"/>
    </row>
    <row r="2807" spans="1:8" x14ac:dyDescent="0.3">
      <c r="A2807" s="82"/>
      <c r="B2807" s="81"/>
      <c r="H2807" s="83"/>
    </row>
    <row r="2808" spans="1:8" x14ac:dyDescent="0.3">
      <c r="A2808" s="82"/>
      <c r="B2808" s="81"/>
      <c r="H2808" s="83"/>
    </row>
    <row r="2809" spans="1:8" x14ac:dyDescent="0.3">
      <c r="A2809" s="82"/>
      <c r="B2809" s="81"/>
      <c r="H2809" s="83"/>
    </row>
    <row r="2810" spans="1:8" x14ac:dyDescent="0.3">
      <c r="A2810" s="82"/>
      <c r="B2810" s="81"/>
      <c r="H2810" s="83"/>
    </row>
    <row r="2811" spans="1:8" x14ac:dyDescent="0.3">
      <c r="A2811" s="82"/>
      <c r="B2811" s="81"/>
      <c r="H2811" s="83"/>
    </row>
    <row r="2812" spans="1:8" x14ac:dyDescent="0.3">
      <c r="A2812" s="82"/>
      <c r="B2812" s="81"/>
      <c r="H2812" s="83"/>
    </row>
    <row r="2813" spans="1:8" x14ac:dyDescent="0.3">
      <c r="A2813" s="82"/>
      <c r="B2813" s="81"/>
      <c r="H2813" s="83"/>
    </row>
    <row r="2814" spans="1:8" x14ac:dyDescent="0.3">
      <c r="A2814" s="82"/>
      <c r="B2814" s="81"/>
      <c r="H2814" s="83"/>
    </row>
    <row r="2815" spans="1:8" x14ac:dyDescent="0.3">
      <c r="A2815" s="82"/>
      <c r="B2815" s="81"/>
      <c r="H2815" s="83"/>
    </row>
    <row r="2816" spans="1:8" x14ac:dyDescent="0.3">
      <c r="A2816" s="82"/>
      <c r="B2816" s="81"/>
      <c r="H2816" s="83"/>
    </row>
    <row r="2817" spans="1:8" x14ac:dyDescent="0.3">
      <c r="A2817" s="82"/>
      <c r="B2817" s="81"/>
      <c r="H2817" s="83"/>
    </row>
    <row r="2818" spans="1:8" x14ac:dyDescent="0.3">
      <c r="A2818" s="82"/>
      <c r="B2818" s="81"/>
      <c r="H2818" s="83"/>
    </row>
    <row r="2819" spans="1:8" x14ac:dyDescent="0.3">
      <c r="A2819" s="82"/>
      <c r="B2819" s="81"/>
      <c r="H2819" s="83"/>
    </row>
    <row r="2820" spans="1:8" x14ac:dyDescent="0.3">
      <c r="A2820" s="82"/>
      <c r="B2820" s="81"/>
      <c r="H2820" s="83"/>
    </row>
    <row r="2821" spans="1:8" x14ac:dyDescent="0.3">
      <c r="A2821" s="82"/>
      <c r="B2821" s="81"/>
      <c r="H2821" s="83"/>
    </row>
    <row r="2822" spans="1:8" x14ac:dyDescent="0.3">
      <c r="A2822" s="82"/>
      <c r="B2822" s="81"/>
      <c r="H2822" s="83"/>
    </row>
    <row r="2823" spans="1:8" x14ac:dyDescent="0.3">
      <c r="A2823" s="82"/>
      <c r="B2823" s="81"/>
      <c r="H2823" s="83"/>
    </row>
    <row r="2824" spans="1:8" x14ac:dyDescent="0.3">
      <c r="A2824" s="82"/>
      <c r="B2824" s="81"/>
      <c r="H2824" s="83"/>
    </row>
    <row r="2825" spans="1:8" x14ac:dyDescent="0.3">
      <c r="A2825" s="82"/>
      <c r="B2825" s="81"/>
      <c r="H2825" s="83"/>
    </row>
    <row r="2826" spans="1:8" x14ac:dyDescent="0.3">
      <c r="A2826" s="82"/>
      <c r="B2826" s="81"/>
      <c r="H2826" s="83"/>
    </row>
    <row r="2827" spans="1:8" x14ac:dyDescent="0.3">
      <c r="A2827" s="82"/>
      <c r="B2827" s="81"/>
      <c r="H2827" s="83"/>
    </row>
    <row r="2828" spans="1:8" x14ac:dyDescent="0.3">
      <c r="A2828" s="82"/>
      <c r="B2828" s="81"/>
      <c r="H2828" s="83"/>
    </row>
    <row r="2829" spans="1:8" x14ac:dyDescent="0.3">
      <c r="A2829" s="82"/>
      <c r="B2829" s="81"/>
      <c r="H2829" s="83"/>
    </row>
    <row r="2830" spans="1:8" x14ac:dyDescent="0.3">
      <c r="A2830" s="82"/>
      <c r="B2830" s="81"/>
      <c r="H2830" s="83"/>
    </row>
    <row r="2831" spans="1:8" x14ac:dyDescent="0.3">
      <c r="A2831" s="82"/>
      <c r="B2831" s="81"/>
      <c r="H2831" s="83"/>
    </row>
    <row r="2832" spans="1:8" x14ac:dyDescent="0.3">
      <c r="A2832" s="82"/>
      <c r="B2832" s="81"/>
      <c r="H2832" s="83"/>
    </row>
    <row r="2833" spans="1:8" x14ac:dyDescent="0.3">
      <c r="A2833" s="82"/>
      <c r="B2833" s="81"/>
      <c r="H2833" s="83"/>
    </row>
    <row r="2834" spans="1:8" x14ac:dyDescent="0.3">
      <c r="A2834" s="82"/>
      <c r="B2834" s="81"/>
      <c r="H2834" s="83"/>
    </row>
    <row r="2835" spans="1:8" x14ac:dyDescent="0.3">
      <c r="A2835" s="82"/>
      <c r="B2835" s="81"/>
      <c r="H2835" s="83"/>
    </row>
    <row r="2836" spans="1:8" x14ac:dyDescent="0.3">
      <c r="A2836" s="82"/>
      <c r="B2836" s="81"/>
      <c r="H2836" s="83"/>
    </row>
    <row r="2837" spans="1:8" x14ac:dyDescent="0.3">
      <c r="A2837" s="82"/>
      <c r="B2837" s="81"/>
      <c r="H2837" s="83"/>
    </row>
    <row r="2838" spans="1:8" x14ac:dyDescent="0.3">
      <c r="A2838" s="82"/>
      <c r="B2838" s="81"/>
      <c r="H2838" s="83"/>
    </row>
    <row r="2839" spans="1:8" x14ac:dyDescent="0.3">
      <c r="A2839" s="82"/>
      <c r="B2839" s="81"/>
      <c r="H2839" s="83"/>
    </row>
    <row r="2840" spans="1:8" x14ac:dyDescent="0.3">
      <c r="A2840" s="82"/>
      <c r="B2840" s="81"/>
      <c r="H2840" s="83"/>
    </row>
    <row r="2841" spans="1:8" x14ac:dyDescent="0.3">
      <c r="A2841" s="82"/>
      <c r="B2841" s="81"/>
      <c r="H2841" s="83"/>
    </row>
    <row r="2842" spans="1:8" x14ac:dyDescent="0.3">
      <c r="A2842" s="82"/>
      <c r="B2842" s="81"/>
      <c r="H2842" s="83"/>
    </row>
    <row r="2843" spans="1:8" x14ac:dyDescent="0.3">
      <c r="A2843" s="82"/>
      <c r="B2843" s="81"/>
      <c r="H2843" s="83"/>
    </row>
    <row r="2844" spans="1:8" x14ac:dyDescent="0.3">
      <c r="A2844" s="82"/>
      <c r="B2844" s="81"/>
      <c r="H2844" s="83"/>
    </row>
    <row r="2845" spans="1:8" x14ac:dyDescent="0.3">
      <c r="A2845" s="82"/>
      <c r="B2845" s="81"/>
      <c r="H2845" s="83"/>
    </row>
    <row r="2846" spans="1:8" x14ac:dyDescent="0.3">
      <c r="A2846" s="82"/>
      <c r="B2846" s="81"/>
      <c r="H2846" s="83"/>
    </row>
    <row r="2847" spans="1:8" x14ac:dyDescent="0.3">
      <c r="A2847" s="82"/>
      <c r="B2847" s="81"/>
      <c r="H2847" s="83"/>
    </row>
    <row r="2848" spans="1:8" x14ac:dyDescent="0.3">
      <c r="A2848" s="82"/>
      <c r="B2848" s="81"/>
      <c r="H2848" s="83"/>
    </row>
    <row r="2849" spans="1:8" x14ac:dyDescent="0.3">
      <c r="A2849" s="82"/>
      <c r="B2849" s="81"/>
      <c r="H2849" s="83"/>
    </row>
    <row r="2850" spans="1:8" x14ac:dyDescent="0.3">
      <c r="A2850" s="82"/>
      <c r="B2850" s="81"/>
      <c r="H2850" s="83"/>
    </row>
    <row r="2851" spans="1:8" x14ac:dyDescent="0.3">
      <c r="A2851" s="82"/>
      <c r="B2851" s="81"/>
      <c r="H2851" s="83"/>
    </row>
    <row r="2852" spans="1:8" x14ac:dyDescent="0.3">
      <c r="A2852" s="82"/>
      <c r="B2852" s="81"/>
      <c r="H2852" s="83"/>
    </row>
    <row r="2853" spans="1:8" x14ac:dyDescent="0.3">
      <c r="A2853" s="82"/>
      <c r="B2853" s="81"/>
      <c r="H2853" s="83"/>
    </row>
    <row r="2854" spans="1:8" x14ac:dyDescent="0.3">
      <c r="A2854" s="82"/>
      <c r="B2854" s="81"/>
      <c r="H2854" s="83"/>
    </row>
    <row r="2855" spans="1:8" x14ac:dyDescent="0.3">
      <c r="A2855" s="82"/>
      <c r="B2855" s="81"/>
      <c r="H2855" s="83"/>
    </row>
    <row r="2856" spans="1:8" x14ac:dyDescent="0.3">
      <c r="A2856" s="82"/>
      <c r="B2856" s="81"/>
      <c r="H2856" s="83"/>
    </row>
    <row r="2857" spans="1:8" x14ac:dyDescent="0.3">
      <c r="A2857" s="82"/>
      <c r="B2857" s="81"/>
      <c r="H2857" s="83"/>
    </row>
    <row r="2858" spans="1:8" x14ac:dyDescent="0.3">
      <c r="A2858" s="82"/>
      <c r="B2858" s="81"/>
      <c r="H2858" s="83"/>
    </row>
    <row r="2859" spans="1:8" x14ac:dyDescent="0.3">
      <c r="A2859" s="82"/>
      <c r="B2859" s="81"/>
      <c r="H2859" s="83"/>
    </row>
    <row r="2860" spans="1:8" x14ac:dyDescent="0.3">
      <c r="A2860" s="82"/>
      <c r="B2860" s="81"/>
      <c r="H2860" s="83"/>
    </row>
    <row r="2861" spans="1:8" x14ac:dyDescent="0.3">
      <c r="A2861" s="82"/>
      <c r="B2861" s="81"/>
      <c r="H2861" s="83"/>
    </row>
    <row r="2862" spans="1:8" x14ac:dyDescent="0.3">
      <c r="A2862" s="82"/>
      <c r="B2862" s="81"/>
      <c r="H2862" s="83"/>
    </row>
    <row r="2863" spans="1:8" x14ac:dyDescent="0.3">
      <c r="A2863" s="82"/>
      <c r="B2863" s="81"/>
      <c r="H2863" s="83"/>
    </row>
    <row r="2864" spans="1:8" x14ac:dyDescent="0.3">
      <c r="A2864" s="82"/>
      <c r="B2864" s="81"/>
      <c r="H2864" s="83"/>
    </row>
    <row r="2865" spans="1:8" x14ac:dyDescent="0.3">
      <c r="A2865" s="82"/>
      <c r="B2865" s="81"/>
      <c r="H2865" s="83"/>
    </row>
    <row r="2866" spans="1:8" x14ac:dyDescent="0.3">
      <c r="A2866" s="82"/>
      <c r="B2866" s="81"/>
      <c r="H2866" s="83"/>
    </row>
    <row r="2867" spans="1:8" x14ac:dyDescent="0.3">
      <c r="A2867" s="82"/>
      <c r="B2867" s="81"/>
      <c r="H2867" s="83"/>
    </row>
    <row r="2868" spans="1:8" x14ac:dyDescent="0.3">
      <c r="A2868" s="82"/>
      <c r="B2868" s="81"/>
      <c r="H2868" s="83"/>
    </row>
    <row r="2869" spans="1:8" x14ac:dyDescent="0.3">
      <c r="A2869" s="82"/>
      <c r="B2869" s="81"/>
      <c r="H2869" s="83"/>
    </row>
    <row r="2870" spans="1:8" x14ac:dyDescent="0.3">
      <c r="A2870" s="82"/>
      <c r="B2870" s="81"/>
      <c r="H2870" s="83"/>
    </row>
    <row r="2871" spans="1:8" x14ac:dyDescent="0.3">
      <c r="A2871" s="82"/>
      <c r="B2871" s="81"/>
      <c r="H2871" s="83"/>
    </row>
    <row r="2872" spans="1:8" x14ac:dyDescent="0.3">
      <c r="A2872" s="82"/>
      <c r="B2872" s="81"/>
      <c r="H2872" s="83"/>
    </row>
    <row r="2873" spans="1:8" x14ac:dyDescent="0.3">
      <c r="A2873" s="82"/>
      <c r="B2873" s="81"/>
      <c r="H2873" s="83"/>
    </row>
    <row r="2874" spans="1:8" x14ac:dyDescent="0.3">
      <c r="A2874" s="82"/>
      <c r="B2874" s="81"/>
      <c r="H2874" s="83"/>
    </row>
    <row r="2875" spans="1:8" x14ac:dyDescent="0.3">
      <c r="A2875" s="82"/>
      <c r="B2875" s="81"/>
      <c r="H2875" s="83"/>
    </row>
    <row r="2876" spans="1:8" x14ac:dyDescent="0.3">
      <c r="A2876" s="82"/>
      <c r="B2876" s="81"/>
      <c r="H2876" s="83"/>
    </row>
    <row r="2877" spans="1:8" x14ac:dyDescent="0.3">
      <c r="A2877" s="82"/>
      <c r="B2877" s="81"/>
      <c r="H2877" s="83"/>
    </row>
    <row r="2878" spans="1:8" x14ac:dyDescent="0.3">
      <c r="A2878" s="82"/>
      <c r="B2878" s="81"/>
      <c r="H2878" s="83"/>
    </row>
    <row r="2879" spans="1:8" x14ac:dyDescent="0.3">
      <c r="A2879" s="82"/>
      <c r="B2879" s="81"/>
      <c r="H2879" s="83"/>
    </row>
    <row r="2880" spans="1:8" x14ac:dyDescent="0.3">
      <c r="A2880" s="82"/>
      <c r="B2880" s="81"/>
      <c r="H2880" s="83"/>
    </row>
    <row r="2881" spans="1:8" x14ac:dyDescent="0.3">
      <c r="A2881" s="82"/>
      <c r="B2881" s="81"/>
      <c r="H2881" s="83"/>
    </row>
    <row r="2882" spans="1:8" x14ac:dyDescent="0.3">
      <c r="A2882" s="82"/>
      <c r="B2882" s="81"/>
      <c r="H2882" s="83"/>
    </row>
    <row r="2883" spans="1:8" x14ac:dyDescent="0.3">
      <c r="A2883" s="82"/>
      <c r="B2883" s="81"/>
      <c r="H2883" s="83"/>
    </row>
    <row r="2884" spans="1:8" x14ac:dyDescent="0.3">
      <c r="A2884" s="82"/>
      <c r="B2884" s="81"/>
      <c r="H2884" s="83"/>
    </row>
    <row r="2885" spans="1:8" x14ac:dyDescent="0.3">
      <c r="A2885" s="82"/>
      <c r="B2885" s="81"/>
      <c r="H2885" s="83"/>
    </row>
    <row r="2886" spans="1:8" x14ac:dyDescent="0.3">
      <c r="A2886" s="82"/>
      <c r="B2886" s="81"/>
      <c r="H2886" s="83"/>
    </row>
    <row r="2887" spans="1:8" x14ac:dyDescent="0.3">
      <c r="A2887" s="82"/>
      <c r="B2887" s="81"/>
      <c r="H2887" s="83"/>
    </row>
    <row r="2888" spans="1:8" x14ac:dyDescent="0.3">
      <c r="A2888" s="82"/>
      <c r="B2888" s="81"/>
      <c r="H2888" s="83"/>
    </row>
    <row r="2889" spans="1:8" x14ac:dyDescent="0.3">
      <c r="A2889" s="82"/>
      <c r="B2889" s="81"/>
      <c r="H2889" s="83"/>
    </row>
    <row r="2890" spans="1:8" x14ac:dyDescent="0.3">
      <c r="A2890" s="82"/>
      <c r="B2890" s="81"/>
      <c r="H2890" s="83"/>
    </row>
    <row r="2891" spans="1:8" x14ac:dyDescent="0.3">
      <c r="A2891" s="82"/>
      <c r="B2891" s="81"/>
      <c r="H2891" s="83"/>
    </row>
    <row r="2892" spans="1:8" x14ac:dyDescent="0.3">
      <c r="A2892" s="82"/>
      <c r="B2892" s="81"/>
      <c r="H2892" s="83"/>
    </row>
    <row r="2893" spans="1:8" x14ac:dyDescent="0.3">
      <c r="A2893" s="82"/>
      <c r="B2893" s="81"/>
      <c r="H2893" s="83"/>
    </row>
    <row r="2894" spans="1:8" x14ac:dyDescent="0.3">
      <c r="A2894" s="82"/>
      <c r="B2894" s="81"/>
      <c r="H2894" s="83"/>
    </row>
    <row r="2895" spans="1:8" x14ac:dyDescent="0.3">
      <c r="A2895" s="82"/>
      <c r="B2895" s="81"/>
      <c r="H2895" s="83"/>
    </row>
    <row r="2896" spans="1:8" x14ac:dyDescent="0.3">
      <c r="A2896" s="82"/>
      <c r="B2896" s="81"/>
      <c r="H2896" s="83"/>
    </row>
    <row r="2897" spans="1:8" x14ac:dyDescent="0.3">
      <c r="A2897" s="82"/>
      <c r="B2897" s="81"/>
      <c r="H2897" s="83"/>
    </row>
    <row r="2898" spans="1:8" x14ac:dyDescent="0.3">
      <c r="A2898" s="82"/>
      <c r="B2898" s="81"/>
      <c r="H2898" s="83"/>
    </row>
    <row r="2899" spans="1:8" x14ac:dyDescent="0.3">
      <c r="A2899" s="82"/>
      <c r="B2899" s="81"/>
      <c r="H2899" s="83"/>
    </row>
    <row r="2900" spans="1:8" x14ac:dyDescent="0.3">
      <c r="A2900" s="82"/>
      <c r="B2900" s="81"/>
      <c r="H2900" s="83"/>
    </row>
    <row r="2901" spans="1:8" x14ac:dyDescent="0.3">
      <c r="A2901" s="82"/>
      <c r="B2901" s="81"/>
      <c r="H2901" s="83"/>
    </row>
    <row r="2902" spans="1:8" x14ac:dyDescent="0.3">
      <c r="A2902" s="82"/>
      <c r="B2902" s="81"/>
      <c r="H2902" s="83"/>
    </row>
    <row r="2903" spans="1:8" x14ac:dyDescent="0.3">
      <c r="A2903" s="82"/>
      <c r="B2903" s="81"/>
      <c r="H2903" s="83"/>
    </row>
    <row r="2904" spans="1:8" x14ac:dyDescent="0.3">
      <c r="A2904" s="82"/>
      <c r="B2904" s="81"/>
      <c r="H2904" s="83"/>
    </row>
    <row r="2905" spans="1:8" x14ac:dyDescent="0.3">
      <c r="A2905" s="82"/>
      <c r="B2905" s="81"/>
      <c r="H2905" s="83"/>
    </row>
    <row r="2906" spans="1:8" x14ac:dyDescent="0.3">
      <c r="A2906" s="82"/>
      <c r="B2906" s="81"/>
      <c r="H2906" s="83"/>
    </row>
    <row r="2907" spans="1:8" x14ac:dyDescent="0.3">
      <c r="A2907" s="82"/>
      <c r="B2907" s="81"/>
      <c r="H2907" s="83"/>
    </row>
    <row r="2908" spans="1:8" x14ac:dyDescent="0.3">
      <c r="A2908" s="82"/>
      <c r="B2908" s="81"/>
      <c r="H2908" s="83"/>
    </row>
    <row r="2909" spans="1:8" x14ac:dyDescent="0.3">
      <c r="A2909" s="82"/>
      <c r="B2909" s="81"/>
      <c r="H2909" s="83"/>
    </row>
    <row r="2910" spans="1:8" x14ac:dyDescent="0.3">
      <c r="A2910" s="82"/>
      <c r="B2910" s="81"/>
      <c r="H2910" s="83"/>
    </row>
    <row r="2911" spans="1:8" x14ac:dyDescent="0.3">
      <c r="A2911" s="82"/>
      <c r="B2911" s="81"/>
      <c r="H2911" s="83"/>
    </row>
    <row r="2912" spans="1:8" x14ac:dyDescent="0.3">
      <c r="A2912" s="82"/>
      <c r="B2912" s="81"/>
      <c r="H2912" s="83"/>
    </row>
    <row r="2913" spans="1:8" x14ac:dyDescent="0.3">
      <c r="A2913" s="82"/>
      <c r="B2913" s="81"/>
      <c r="H2913" s="83"/>
    </row>
    <row r="2914" spans="1:8" x14ac:dyDescent="0.3">
      <c r="A2914" s="82"/>
      <c r="B2914" s="81"/>
      <c r="H2914" s="83"/>
    </row>
    <row r="2915" spans="1:8" x14ac:dyDescent="0.3">
      <c r="A2915" s="82"/>
      <c r="B2915" s="81"/>
      <c r="H2915" s="83"/>
    </row>
    <row r="2916" spans="1:8" x14ac:dyDescent="0.3">
      <c r="A2916" s="82"/>
      <c r="B2916" s="81"/>
      <c r="H2916" s="83"/>
    </row>
    <row r="2917" spans="1:8" x14ac:dyDescent="0.3">
      <c r="A2917" s="82"/>
      <c r="B2917" s="81"/>
      <c r="H2917" s="83"/>
    </row>
    <row r="2918" spans="1:8" x14ac:dyDescent="0.3">
      <c r="A2918" s="82"/>
      <c r="B2918" s="81"/>
      <c r="H2918" s="83"/>
    </row>
    <row r="2919" spans="1:8" x14ac:dyDescent="0.3">
      <c r="A2919" s="82"/>
      <c r="B2919" s="81"/>
      <c r="H2919" s="83"/>
    </row>
    <row r="2920" spans="1:8" x14ac:dyDescent="0.3">
      <c r="A2920" s="82"/>
      <c r="B2920" s="81"/>
      <c r="H2920" s="83"/>
    </row>
    <row r="2921" spans="1:8" x14ac:dyDescent="0.3">
      <c r="A2921" s="82"/>
      <c r="B2921" s="81"/>
      <c r="H2921" s="83"/>
    </row>
    <row r="2922" spans="1:8" x14ac:dyDescent="0.3">
      <c r="A2922" s="82"/>
      <c r="B2922" s="81"/>
      <c r="H2922" s="83"/>
    </row>
    <row r="2923" spans="1:8" x14ac:dyDescent="0.3">
      <c r="A2923" s="82"/>
      <c r="B2923" s="81"/>
      <c r="H2923" s="83"/>
    </row>
    <row r="2924" spans="1:8" x14ac:dyDescent="0.3">
      <c r="A2924" s="82"/>
      <c r="B2924" s="81"/>
      <c r="H2924" s="83"/>
    </row>
    <row r="2925" spans="1:8" x14ac:dyDescent="0.3">
      <c r="A2925" s="82"/>
      <c r="B2925" s="81"/>
      <c r="H2925" s="83"/>
    </row>
    <row r="2926" spans="1:8" x14ac:dyDescent="0.3">
      <c r="A2926" s="82"/>
      <c r="B2926" s="81"/>
      <c r="H2926" s="83"/>
    </row>
    <row r="2927" spans="1:8" x14ac:dyDescent="0.3">
      <c r="A2927" s="82"/>
      <c r="B2927" s="81"/>
      <c r="H2927" s="83"/>
    </row>
    <row r="2928" spans="1:8" x14ac:dyDescent="0.3">
      <c r="A2928" s="82"/>
      <c r="B2928" s="81"/>
      <c r="H2928" s="83"/>
    </row>
    <row r="2929" spans="1:8" x14ac:dyDescent="0.3">
      <c r="A2929" s="82"/>
      <c r="B2929" s="81"/>
      <c r="H2929" s="83"/>
    </row>
    <row r="2930" spans="1:8" x14ac:dyDescent="0.3">
      <c r="A2930" s="82"/>
      <c r="B2930" s="81"/>
      <c r="H2930" s="83"/>
    </row>
    <row r="2931" spans="1:8" x14ac:dyDescent="0.3">
      <c r="A2931" s="82"/>
      <c r="B2931" s="81"/>
      <c r="H2931" s="83"/>
    </row>
    <row r="2932" spans="1:8" x14ac:dyDescent="0.3">
      <c r="A2932" s="82"/>
      <c r="B2932" s="81"/>
      <c r="H2932" s="83"/>
    </row>
    <row r="2933" spans="1:8" x14ac:dyDescent="0.3">
      <c r="A2933" s="82"/>
      <c r="B2933" s="81"/>
      <c r="H2933" s="83"/>
    </row>
    <row r="2934" spans="1:8" x14ac:dyDescent="0.3">
      <c r="A2934" s="82"/>
      <c r="B2934" s="81"/>
      <c r="H2934" s="83"/>
    </row>
    <row r="2935" spans="1:8" x14ac:dyDescent="0.3">
      <c r="A2935" s="82"/>
      <c r="B2935" s="81"/>
      <c r="H2935" s="83"/>
    </row>
    <row r="2936" spans="1:8" x14ac:dyDescent="0.3">
      <c r="A2936" s="82"/>
      <c r="B2936" s="81"/>
      <c r="H2936" s="83"/>
    </row>
    <row r="2937" spans="1:8" x14ac:dyDescent="0.3">
      <c r="A2937" s="82"/>
      <c r="B2937" s="81"/>
      <c r="H2937" s="83"/>
    </row>
    <row r="2938" spans="1:8" x14ac:dyDescent="0.3">
      <c r="A2938" s="82"/>
      <c r="B2938" s="81"/>
      <c r="H2938" s="83"/>
    </row>
    <row r="2939" spans="1:8" x14ac:dyDescent="0.3">
      <c r="A2939" s="82"/>
      <c r="B2939" s="81"/>
      <c r="H2939" s="83"/>
    </row>
    <row r="2940" spans="1:8" x14ac:dyDescent="0.3">
      <c r="A2940" s="82"/>
      <c r="B2940" s="81"/>
      <c r="H2940" s="83"/>
    </row>
    <row r="2941" spans="1:8" x14ac:dyDescent="0.3">
      <c r="A2941" s="82"/>
      <c r="B2941" s="81"/>
      <c r="H2941" s="83"/>
    </row>
    <row r="2942" spans="1:8" x14ac:dyDescent="0.3">
      <c r="A2942" s="82"/>
      <c r="B2942" s="81"/>
      <c r="H2942" s="83"/>
    </row>
    <row r="2943" spans="1:8" x14ac:dyDescent="0.3">
      <c r="A2943" s="82"/>
      <c r="B2943" s="81"/>
      <c r="H2943" s="83"/>
    </row>
    <row r="2944" spans="1:8" x14ac:dyDescent="0.3">
      <c r="A2944" s="82"/>
      <c r="B2944" s="81"/>
      <c r="H2944" s="83"/>
    </row>
    <row r="2945" spans="1:8" x14ac:dyDescent="0.3">
      <c r="A2945" s="82"/>
      <c r="B2945" s="81"/>
      <c r="H2945" s="83"/>
    </row>
    <row r="2946" spans="1:8" x14ac:dyDescent="0.3">
      <c r="A2946" s="82"/>
      <c r="B2946" s="81"/>
      <c r="H2946" s="83"/>
    </row>
    <row r="2947" spans="1:8" x14ac:dyDescent="0.3">
      <c r="A2947" s="82"/>
      <c r="B2947" s="81"/>
      <c r="H2947" s="83"/>
    </row>
    <row r="2948" spans="1:8" x14ac:dyDescent="0.3">
      <c r="A2948" s="82"/>
      <c r="B2948" s="81"/>
      <c r="H2948" s="83"/>
    </row>
    <row r="2949" spans="1:8" x14ac:dyDescent="0.3">
      <c r="A2949" s="82"/>
      <c r="B2949" s="81"/>
      <c r="H2949" s="83"/>
    </row>
    <row r="2950" spans="1:8" x14ac:dyDescent="0.3">
      <c r="A2950" s="82"/>
      <c r="B2950" s="81"/>
      <c r="H2950" s="83"/>
    </row>
    <row r="2951" spans="1:8" x14ac:dyDescent="0.3">
      <c r="A2951" s="82"/>
      <c r="B2951" s="81"/>
      <c r="H2951" s="83"/>
    </row>
    <row r="2952" spans="1:8" x14ac:dyDescent="0.3">
      <c r="A2952" s="82"/>
      <c r="B2952" s="81"/>
      <c r="H2952" s="83"/>
    </row>
    <row r="2953" spans="1:8" x14ac:dyDescent="0.3">
      <c r="A2953" s="82"/>
      <c r="B2953" s="81"/>
      <c r="H2953" s="83"/>
    </row>
    <row r="2954" spans="1:8" x14ac:dyDescent="0.3">
      <c r="A2954" s="82"/>
      <c r="B2954" s="81"/>
      <c r="H2954" s="83"/>
    </row>
    <row r="2955" spans="1:8" x14ac:dyDescent="0.3">
      <c r="A2955" s="82"/>
      <c r="B2955" s="81"/>
      <c r="H2955" s="83"/>
    </row>
    <row r="2956" spans="1:8" x14ac:dyDescent="0.3">
      <c r="A2956" s="82"/>
      <c r="B2956" s="81"/>
      <c r="H2956" s="83"/>
    </row>
    <row r="2957" spans="1:8" x14ac:dyDescent="0.3">
      <c r="A2957" s="82"/>
      <c r="B2957" s="81"/>
      <c r="H2957" s="83"/>
    </row>
    <row r="2958" spans="1:8" x14ac:dyDescent="0.3">
      <c r="A2958" s="82"/>
      <c r="B2958" s="81"/>
      <c r="H2958" s="83"/>
    </row>
    <row r="2959" spans="1:8" x14ac:dyDescent="0.3">
      <c r="A2959" s="82"/>
      <c r="B2959" s="81"/>
      <c r="H2959" s="83"/>
    </row>
    <row r="2960" spans="1:8" x14ac:dyDescent="0.3">
      <c r="A2960" s="82"/>
      <c r="B2960" s="81"/>
      <c r="H2960" s="83"/>
    </row>
    <row r="2961" spans="1:8" x14ac:dyDescent="0.3">
      <c r="A2961" s="82"/>
      <c r="B2961" s="81"/>
      <c r="H2961" s="83"/>
    </row>
    <row r="2962" spans="1:8" x14ac:dyDescent="0.3">
      <c r="A2962" s="82"/>
      <c r="B2962" s="81"/>
      <c r="H2962" s="83"/>
    </row>
    <row r="2963" spans="1:8" x14ac:dyDescent="0.3">
      <c r="A2963" s="82"/>
      <c r="B2963" s="81"/>
      <c r="H2963" s="83"/>
    </row>
    <row r="2964" spans="1:8" x14ac:dyDescent="0.3">
      <c r="A2964" s="82"/>
      <c r="B2964" s="81"/>
      <c r="H2964" s="83"/>
    </row>
    <row r="2965" spans="1:8" x14ac:dyDescent="0.3">
      <c r="A2965" s="82"/>
      <c r="B2965" s="81"/>
      <c r="H2965" s="83"/>
    </row>
    <row r="2966" spans="1:8" x14ac:dyDescent="0.3">
      <c r="A2966" s="82"/>
      <c r="B2966" s="81"/>
      <c r="H2966" s="83"/>
    </row>
    <row r="2967" spans="1:8" x14ac:dyDescent="0.3">
      <c r="A2967" s="82"/>
      <c r="B2967" s="81"/>
      <c r="H2967" s="83"/>
    </row>
    <row r="2968" spans="1:8" x14ac:dyDescent="0.3">
      <c r="A2968" s="82"/>
      <c r="B2968" s="81"/>
      <c r="H2968" s="83"/>
    </row>
    <row r="2969" spans="1:8" x14ac:dyDescent="0.3">
      <c r="A2969" s="82"/>
      <c r="B2969" s="81"/>
      <c r="H2969" s="83"/>
    </row>
    <row r="2970" spans="1:8" x14ac:dyDescent="0.3">
      <c r="A2970" s="82"/>
      <c r="B2970" s="81"/>
      <c r="H2970" s="83"/>
    </row>
    <row r="2971" spans="1:8" x14ac:dyDescent="0.3">
      <c r="A2971" s="82"/>
      <c r="B2971" s="81"/>
      <c r="H2971" s="83"/>
    </row>
    <row r="2972" spans="1:8" x14ac:dyDescent="0.3">
      <c r="A2972" s="82"/>
      <c r="B2972" s="81"/>
      <c r="H2972" s="83"/>
    </row>
    <row r="2973" spans="1:8" x14ac:dyDescent="0.3">
      <c r="A2973" s="82"/>
      <c r="B2973" s="81"/>
      <c r="H2973" s="83"/>
    </row>
    <row r="2974" spans="1:8" x14ac:dyDescent="0.3">
      <c r="A2974" s="82"/>
      <c r="B2974" s="81"/>
      <c r="H2974" s="83"/>
    </row>
    <row r="2975" spans="1:8" x14ac:dyDescent="0.3">
      <c r="A2975" s="82"/>
      <c r="B2975" s="81"/>
      <c r="H2975" s="83"/>
    </row>
    <row r="2976" spans="1:8" x14ac:dyDescent="0.3">
      <c r="A2976" s="82"/>
      <c r="B2976" s="81"/>
      <c r="H2976" s="83"/>
    </row>
    <row r="2977" spans="1:8" x14ac:dyDescent="0.3">
      <c r="A2977" s="82"/>
      <c r="B2977" s="81"/>
      <c r="H2977" s="83"/>
    </row>
    <row r="2978" spans="1:8" x14ac:dyDescent="0.3">
      <c r="A2978" s="82"/>
      <c r="B2978" s="81"/>
      <c r="H2978" s="83"/>
    </row>
    <row r="2979" spans="1:8" x14ac:dyDescent="0.3">
      <c r="A2979" s="82"/>
      <c r="B2979" s="81"/>
      <c r="H2979" s="83"/>
    </row>
    <row r="2980" spans="1:8" x14ac:dyDescent="0.3">
      <c r="A2980" s="82"/>
      <c r="B2980" s="81"/>
      <c r="H2980" s="83"/>
    </row>
    <row r="2981" spans="1:8" x14ac:dyDescent="0.3">
      <c r="A2981" s="82"/>
      <c r="B2981" s="81"/>
      <c r="H2981" s="83"/>
    </row>
    <row r="2982" spans="1:8" x14ac:dyDescent="0.3">
      <c r="A2982" s="82"/>
      <c r="B2982" s="81"/>
      <c r="H2982" s="83"/>
    </row>
    <row r="2983" spans="1:8" x14ac:dyDescent="0.3">
      <c r="A2983" s="82"/>
      <c r="B2983" s="81"/>
      <c r="H2983" s="83"/>
    </row>
    <row r="2984" spans="1:8" x14ac:dyDescent="0.3">
      <c r="A2984" s="82"/>
      <c r="B2984" s="81"/>
      <c r="H2984" s="83"/>
    </row>
    <row r="2985" spans="1:8" x14ac:dyDescent="0.3">
      <c r="A2985" s="82"/>
      <c r="B2985" s="81"/>
      <c r="H2985" s="83"/>
    </row>
    <row r="2986" spans="1:8" x14ac:dyDescent="0.3">
      <c r="A2986" s="82"/>
      <c r="B2986" s="81"/>
      <c r="H2986" s="83"/>
    </row>
    <row r="2987" spans="1:8" x14ac:dyDescent="0.3">
      <c r="A2987" s="82"/>
      <c r="B2987" s="81"/>
      <c r="H2987" s="83"/>
    </row>
    <row r="2988" spans="1:8" x14ac:dyDescent="0.3">
      <c r="A2988" s="82"/>
      <c r="B2988" s="81"/>
      <c r="H2988" s="83"/>
    </row>
    <row r="2989" spans="1:8" x14ac:dyDescent="0.3">
      <c r="A2989" s="82"/>
      <c r="B2989" s="81"/>
      <c r="H2989" s="83"/>
    </row>
    <row r="2990" spans="1:8" x14ac:dyDescent="0.3">
      <c r="A2990" s="82"/>
      <c r="B2990" s="81"/>
      <c r="H2990" s="83"/>
    </row>
    <row r="2991" spans="1:8" x14ac:dyDescent="0.3">
      <c r="A2991" s="82"/>
      <c r="B2991" s="81"/>
      <c r="H2991" s="83"/>
    </row>
    <row r="2992" spans="1:8" x14ac:dyDescent="0.3">
      <c r="A2992" s="82"/>
      <c r="B2992" s="81"/>
      <c r="H2992" s="83"/>
    </row>
    <row r="2993" spans="1:8" x14ac:dyDescent="0.3">
      <c r="A2993" s="82"/>
      <c r="B2993" s="81"/>
      <c r="H2993" s="83"/>
    </row>
    <row r="2994" spans="1:8" x14ac:dyDescent="0.3">
      <c r="A2994" s="82"/>
      <c r="B2994" s="81"/>
      <c r="H2994" s="83"/>
    </row>
    <row r="2995" spans="1:8" x14ac:dyDescent="0.3">
      <c r="A2995" s="82"/>
      <c r="B2995" s="81"/>
      <c r="H2995" s="83"/>
    </row>
    <row r="2996" spans="1:8" x14ac:dyDescent="0.3">
      <c r="A2996" s="82"/>
      <c r="B2996" s="81"/>
      <c r="H2996" s="83"/>
    </row>
    <row r="2997" spans="1:8" x14ac:dyDescent="0.3">
      <c r="A2997" s="82"/>
      <c r="B2997" s="81"/>
      <c r="H2997" s="83"/>
    </row>
    <row r="2998" spans="1:8" x14ac:dyDescent="0.3">
      <c r="A2998" s="82"/>
      <c r="B2998" s="81"/>
      <c r="H2998" s="83"/>
    </row>
    <row r="2999" spans="1:8" x14ac:dyDescent="0.3">
      <c r="A2999" s="82"/>
      <c r="B2999" s="81"/>
      <c r="H2999" s="83"/>
    </row>
    <row r="3000" spans="1:8" x14ac:dyDescent="0.3">
      <c r="A3000" s="82"/>
      <c r="B3000" s="81"/>
      <c r="H3000" s="83"/>
    </row>
    <row r="3001" spans="1:8" x14ac:dyDescent="0.3">
      <c r="A3001" s="82"/>
      <c r="B3001" s="81"/>
      <c r="H3001" s="83"/>
    </row>
    <row r="3002" spans="1:8" x14ac:dyDescent="0.3">
      <c r="A3002" s="82"/>
      <c r="B3002" s="81"/>
      <c r="H3002" s="83"/>
    </row>
    <row r="3003" spans="1:8" x14ac:dyDescent="0.3">
      <c r="A3003" s="82"/>
      <c r="B3003" s="81"/>
      <c r="H3003" s="83"/>
    </row>
    <row r="3004" spans="1:8" x14ac:dyDescent="0.3">
      <c r="A3004" s="82"/>
      <c r="B3004" s="81"/>
      <c r="H3004" s="83"/>
    </row>
    <row r="3005" spans="1:8" x14ac:dyDescent="0.3">
      <c r="A3005" s="82"/>
      <c r="B3005" s="81"/>
      <c r="H3005" s="83"/>
    </row>
    <row r="3006" spans="1:8" x14ac:dyDescent="0.3">
      <c r="A3006" s="82"/>
      <c r="B3006" s="81"/>
      <c r="H3006" s="83"/>
    </row>
    <row r="3007" spans="1:8" x14ac:dyDescent="0.3">
      <c r="A3007" s="82"/>
      <c r="B3007" s="81"/>
      <c r="H3007" s="83"/>
    </row>
    <row r="3008" spans="1:8" x14ac:dyDescent="0.3">
      <c r="A3008" s="82"/>
      <c r="B3008" s="81"/>
      <c r="H3008" s="83"/>
    </row>
    <row r="3009" spans="1:8" x14ac:dyDescent="0.3">
      <c r="A3009" s="82"/>
      <c r="B3009" s="81"/>
      <c r="H3009" s="83"/>
    </row>
    <row r="3010" spans="1:8" x14ac:dyDescent="0.3">
      <c r="A3010" s="82"/>
      <c r="B3010" s="81"/>
      <c r="H3010" s="83"/>
    </row>
    <row r="3011" spans="1:8" x14ac:dyDescent="0.3">
      <c r="A3011" s="82"/>
      <c r="B3011" s="81"/>
      <c r="H3011" s="83"/>
    </row>
    <row r="3012" spans="1:8" x14ac:dyDescent="0.3">
      <c r="A3012" s="82"/>
      <c r="B3012" s="81"/>
      <c r="H3012" s="83"/>
    </row>
    <row r="3013" spans="1:8" x14ac:dyDescent="0.3">
      <c r="A3013" s="82"/>
      <c r="B3013" s="81"/>
      <c r="H3013" s="83"/>
    </row>
    <row r="3014" spans="1:8" x14ac:dyDescent="0.3">
      <c r="A3014" s="82"/>
      <c r="B3014" s="81"/>
      <c r="H3014" s="83"/>
    </row>
    <row r="3015" spans="1:8" x14ac:dyDescent="0.3">
      <c r="A3015" s="82"/>
      <c r="B3015" s="81"/>
      <c r="H3015" s="83"/>
    </row>
    <row r="3016" spans="1:8" x14ac:dyDescent="0.3">
      <c r="A3016" s="82"/>
      <c r="B3016" s="81"/>
      <c r="H3016" s="83"/>
    </row>
    <row r="3017" spans="1:8" x14ac:dyDescent="0.3">
      <c r="A3017" s="82"/>
      <c r="B3017" s="81"/>
      <c r="H3017" s="83"/>
    </row>
    <row r="3018" spans="1:8" x14ac:dyDescent="0.3">
      <c r="A3018" s="82"/>
      <c r="B3018" s="81"/>
      <c r="H3018" s="83"/>
    </row>
    <row r="3019" spans="1:8" x14ac:dyDescent="0.3">
      <c r="A3019" s="82"/>
      <c r="B3019" s="81"/>
      <c r="H3019" s="83"/>
    </row>
    <row r="3020" spans="1:8" x14ac:dyDescent="0.3">
      <c r="A3020" s="82"/>
      <c r="B3020" s="81"/>
      <c r="H3020" s="83"/>
    </row>
    <row r="3021" spans="1:8" x14ac:dyDescent="0.3">
      <c r="A3021" s="82"/>
      <c r="B3021" s="81"/>
      <c r="H3021" s="83"/>
    </row>
    <row r="3022" spans="1:8" x14ac:dyDescent="0.3">
      <c r="A3022" s="82"/>
      <c r="B3022" s="81"/>
      <c r="H3022" s="83"/>
    </row>
    <row r="3023" spans="1:8" x14ac:dyDescent="0.3">
      <c r="A3023" s="82"/>
      <c r="B3023" s="81"/>
      <c r="H3023" s="83"/>
    </row>
    <row r="3024" spans="1:8" x14ac:dyDescent="0.3">
      <c r="A3024" s="82"/>
      <c r="B3024" s="81"/>
      <c r="H3024" s="83"/>
    </row>
    <row r="3025" spans="1:8" x14ac:dyDescent="0.3">
      <c r="A3025" s="82"/>
      <c r="B3025" s="81"/>
      <c r="H3025" s="83"/>
    </row>
    <row r="3026" spans="1:8" x14ac:dyDescent="0.3">
      <c r="A3026" s="82"/>
      <c r="B3026" s="81"/>
      <c r="H3026" s="83"/>
    </row>
    <row r="3027" spans="1:8" x14ac:dyDescent="0.3">
      <c r="A3027" s="82"/>
      <c r="B3027" s="81"/>
      <c r="H3027" s="83"/>
    </row>
    <row r="3028" spans="1:8" x14ac:dyDescent="0.3">
      <c r="A3028" s="82"/>
      <c r="B3028" s="81"/>
      <c r="H3028" s="83"/>
    </row>
    <row r="3029" spans="1:8" x14ac:dyDescent="0.3">
      <c r="A3029" s="82"/>
      <c r="B3029" s="81"/>
      <c r="H3029" s="83"/>
    </row>
    <row r="3030" spans="1:8" x14ac:dyDescent="0.3">
      <c r="A3030" s="82"/>
      <c r="B3030" s="81"/>
      <c r="H3030" s="83"/>
    </row>
    <row r="3031" spans="1:8" x14ac:dyDescent="0.3">
      <c r="A3031" s="82"/>
      <c r="B3031" s="81"/>
      <c r="H3031" s="83"/>
    </row>
    <row r="3032" spans="1:8" x14ac:dyDescent="0.3">
      <c r="A3032" s="82"/>
      <c r="B3032" s="81"/>
      <c r="H3032" s="83"/>
    </row>
    <row r="3033" spans="1:8" x14ac:dyDescent="0.3">
      <c r="A3033" s="82"/>
      <c r="B3033" s="81"/>
      <c r="H3033" s="83"/>
    </row>
    <row r="3034" spans="1:8" x14ac:dyDescent="0.3">
      <c r="A3034" s="82"/>
      <c r="B3034" s="81"/>
      <c r="H3034" s="83"/>
    </row>
    <row r="3035" spans="1:8" x14ac:dyDescent="0.3">
      <c r="A3035" s="82"/>
      <c r="B3035" s="81"/>
      <c r="H3035" s="83"/>
    </row>
    <row r="3036" spans="1:8" x14ac:dyDescent="0.3">
      <c r="A3036" s="82"/>
      <c r="B3036" s="81"/>
      <c r="H3036" s="83"/>
    </row>
    <row r="3037" spans="1:8" x14ac:dyDescent="0.3">
      <c r="A3037" s="82"/>
      <c r="B3037" s="81"/>
      <c r="H3037" s="83"/>
    </row>
    <row r="3038" spans="1:8" x14ac:dyDescent="0.3">
      <c r="A3038" s="82"/>
      <c r="B3038" s="81"/>
      <c r="H3038" s="83"/>
    </row>
    <row r="3039" spans="1:8" x14ac:dyDescent="0.3">
      <c r="A3039" s="82"/>
      <c r="B3039" s="81"/>
      <c r="H3039" s="83"/>
    </row>
    <row r="3040" spans="1:8" x14ac:dyDescent="0.3">
      <c r="A3040" s="82"/>
      <c r="B3040" s="81"/>
      <c r="H3040" s="83"/>
    </row>
    <row r="3041" spans="1:8" x14ac:dyDescent="0.3">
      <c r="A3041" s="82"/>
      <c r="B3041" s="81"/>
      <c r="H3041" s="83"/>
    </row>
    <row r="3042" spans="1:8" x14ac:dyDescent="0.3">
      <c r="A3042" s="82"/>
      <c r="B3042" s="81"/>
      <c r="H3042" s="83"/>
    </row>
    <row r="3043" spans="1:8" x14ac:dyDescent="0.3">
      <c r="A3043" s="82"/>
      <c r="B3043" s="81"/>
      <c r="H3043" s="83"/>
    </row>
    <row r="3044" spans="1:8" x14ac:dyDescent="0.3">
      <c r="A3044" s="82"/>
      <c r="B3044" s="81"/>
      <c r="H3044" s="83"/>
    </row>
    <row r="3045" spans="1:8" x14ac:dyDescent="0.3">
      <c r="A3045" s="82"/>
      <c r="B3045" s="81"/>
      <c r="H3045" s="83"/>
    </row>
    <row r="3046" spans="1:8" x14ac:dyDescent="0.3">
      <c r="A3046" s="82"/>
      <c r="B3046" s="81"/>
      <c r="H3046" s="83"/>
    </row>
    <row r="3047" spans="1:8" x14ac:dyDescent="0.3">
      <c r="A3047" s="82"/>
      <c r="B3047" s="81"/>
      <c r="H3047" s="83"/>
    </row>
    <row r="3048" spans="1:8" x14ac:dyDescent="0.3">
      <c r="A3048" s="82"/>
      <c r="B3048" s="81"/>
      <c r="H3048" s="83"/>
    </row>
    <row r="3049" spans="1:8" x14ac:dyDescent="0.3">
      <c r="A3049" s="82"/>
      <c r="B3049" s="81"/>
      <c r="H3049" s="83"/>
    </row>
    <row r="3050" spans="1:8" x14ac:dyDescent="0.3">
      <c r="A3050" s="82"/>
      <c r="B3050" s="81"/>
      <c r="H3050" s="83"/>
    </row>
    <row r="3051" spans="1:8" x14ac:dyDescent="0.3">
      <c r="A3051" s="82"/>
      <c r="B3051" s="81"/>
      <c r="H3051" s="83"/>
    </row>
    <row r="3052" spans="1:8" x14ac:dyDescent="0.3">
      <c r="A3052" s="82"/>
      <c r="B3052" s="81"/>
      <c r="H3052" s="83"/>
    </row>
    <row r="3053" spans="1:8" x14ac:dyDescent="0.3">
      <c r="A3053" s="82"/>
      <c r="B3053" s="81"/>
      <c r="H3053" s="83"/>
    </row>
    <row r="3054" spans="1:8" x14ac:dyDescent="0.3">
      <c r="A3054" s="82"/>
      <c r="B3054" s="81"/>
      <c r="H3054" s="83"/>
    </row>
    <row r="3055" spans="1:8" x14ac:dyDescent="0.3">
      <c r="A3055" s="82"/>
      <c r="B3055" s="81"/>
      <c r="H3055" s="83"/>
    </row>
    <row r="3056" spans="1:8" x14ac:dyDescent="0.3">
      <c r="A3056" s="82"/>
      <c r="B3056" s="81"/>
      <c r="H3056" s="83"/>
    </row>
    <row r="3057" spans="1:8" x14ac:dyDescent="0.3">
      <c r="A3057" s="82"/>
      <c r="B3057" s="81"/>
      <c r="H3057" s="83"/>
    </row>
    <row r="3058" spans="1:8" x14ac:dyDescent="0.3">
      <c r="A3058" s="82"/>
      <c r="B3058" s="81"/>
      <c r="H3058" s="83"/>
    </row>
    <row r="3059" spans="1:8" x14ac:dyDescent="0.3">
      <c r="A3059" s="82"/>
      <c r="B3059" s="81"/>
      <c r="H3059" s="83"/>
    </row>
    <row r="3060" spans="1:8" x14ac:dyDescent="0.3">
      <c r="A3060" s="82"/>
      <c r="B3060" s="81"/>
      <c r="H3060" s="83"/>
    </row>
    <row r="3061" spans="1:8" x14ac:dyDescent="0.3">
      <c r="A3061" s="82"/>
      <c r="B3061" s="81"/>
      <c r="H3061" s="83"/>
    </row>
    <row r="3062" spans="1:8" x14ac:dyDescent="0.3">
      <c r="A3062" s="82"/>
      <c r="B3062" s="81"/>
      <c r="H3062" s="83"/>
    </row>
    <row r="3063" spans="1:8" x14ac:dyDescent="0.3">
      <c r="A3063" s="82"/>
      <c r="B3063" s="81"/>
      <c r="H3063" s="83"/>
    </row>
    <row r="3064" spans="1:8" x14ac:dyDescent="0.3">
      <c r="A3064" s="82"/>
      <c r="B3064" s="81"/>
      <c r="H3064" s="83"/>
    </row>
    <row r="3065" spans="1:8" x14ac:dyDescent="0.3">
      <c r="A3065" s="82"/>
      <c r="B3065" s="81"/>
      <c r="H3065" s="83"/>
    </row>
    <row r="3066" spans="1:8" x14ac:dyDescent="0.3">
      <c r="A3066" s="82"/>
      <c r="B3066" s="81"/>
      <c r="H3066" s="83"/>
    </row>
    <row r="3067" spans="1:8" x14ac:dyDescent="0.3">
      <c r="A3067" s="82"/>
      <c r="B3067" s="81"/>
      <c r="H3067" s="83"/>
    </row>
    <row r="3068" spans="1:8" x14ac:dyDescent="0.3">
      <c r="A3068" s="82"/>
      <c r="B3068" s="81"/>
      <c r="H3068" s="83"/>
    </row>
    <row r="3069" spans="1:8" x14ac:dyDescent="0.3">
      <c r="A3069" s="82"/>
      <c r="B3069" s="81"/>
      <c r="H3069" s="83"/>
    </row>
    <row r="3070" spans="1:8" x14ac:dyDescent="0.3">
      <c r="A3070" s="82"/>
      <c r="B3070" s="81"/>
      <c r="H3070" s="83"/>
    </row>
    <row r="3071" spans="1:8" x14ac:dyDescent="0.3">
      <c r="A3071" s="82"/>
      <c r="B3071" s="81"/>
      <c r="H3071" s="83"/>
    </row>
    <row r="3072" spans="1:8" x14ac:dyDescent="0.3">
      <c r="A3072" s="82"/>
      <c r="B3072" s="81"/>
      <c r="H3072" s="83"/>
    </row>
    <row r="3073" spans="1:8" x14ac:dyDescent="0.3">
      <c r="A3073" s="82"/>
      <c r="B3073" s="81"/>
      <c r="H3073" s="83"/>
    </row>
    <row r="3074" spans="1:8" x14ac:dyDescent="0.3">
      <c r="A3074" s="82"/>
      <c r="B3074" s="81"/>
      <c r="H3074" s="83"/>
    </row>
    <row r="3075" spans="1:8" x14ac:dyDescent="0.3">
      <c r="A3075" s="82"/>
      <c r="B3075" s="81"/>
      <c r="H3075" s="83"/>
    </row>
    <row r="3076" spans="1:8" x14ac:dyDescent="0.3">
      <c r="A3076" s="82"/>
      <c r="B3076" s="81"/>
      <c r="H3076" s="83"/>
    </row>
    <row r="3077" spans="1:8" x14ac:dyDescent="0.3">
      <c r="A3077" s="82"/>
      <c r="B3077" s="81"/>
      <c r="H3077" s="83"/>
    </row>
    <row r="3078" spans="1:8" x14ac:dyDescent="0.3">
      <c r="A3078" s="82"/>
      <c r="B3078" s="81"/>
      <c r="H3078" s="83"/>
    </row>
    <row r="3079" spans="1:8" x14ac:dyDescent="0.3">
      <c r="A3079" s="82"/>
      <c r="B3079" s="81"/>
      <c r="H3079" s="83"/>
    </row>
    <row r="3080" spans="1:8" x14ac:dyDescent="0.3">
      <c r="A3080" s="82"/>
      <c r="B3080" s="81"/>
      <c r="H3080" s="83"/>
    </row>
    <row r="3081" spans="1:8" x14ac:dyDescent="0.3">
      <c r="A3081" s="82"/>
      <c r="B3081" s="81"/>
      <c r="H3081" s="83"/>
    </row>
    <row r="3082" spans="1:8" x14ac:dyDescent="0.3">
      <c r="A3082" s="82"/>
      <c r="B3082" s="81"/>
      <c r="H3082" s="83"/>
    </row>
    <row r="3083" spans="1:8" x14ac:dyDescent="0.3">
      <c r="A3083" s="82"/>
      <c r="B3083" s="81"/>
      <c r="H3083" s="83"/>
    </row>
    <row r="3084" spans="1:8" x14ac:dyDescent="0.3">
      <c r="A3084" s="82"/>
      <c r="B3084" s="81"/>
      <c r="H3084" s="83"/>
    </row>
    <row r="3085" spans="1:8" x14ac:dyDescent="0.3">
      <c r="A3085" s="82"/>
      <c r="B3085" s="81"/>
      <c r="H3085" s="83"/>
    </row>
    <row r="3086" spans="1:8" x14ac:dyDescent="0.3">
      <c r="A3086" s="82"/>
      <c r="B3086" s="81"/>
      <c r="H3086" s="83"/>
    </row>
    <row r="3087" spans="1:8" x14ac:dyDescent="0.3">
      <c r="A3087" s="82"/>
      <c r="B3087" s="81"/>
      <c r="H3087" s="83"/>
    </row>
    <row r="3088" spans="1:8" x14ac:dyDescent="0.3">
      <c r="A3088" s="82"/>
      <c r="B3088" s="81"/>
      <c r="H3088" s="83"/>
    </row>
    <row r="3089" spans="1:8" x14ac:dyDescent="0.3">
      <c r="A3089" s="82"/>
      <c r="B3089" s="81"/>
      <c r="H3089" s="83"/>
    </row>
    <row r="3090" spans="1:8" x14ac:dyDescent="0.3">
      <c r="A3090" s="82"/>
      <c r="B3090" s="81"/>
      <c r="H3090" s="83"/>
    </row>
    <row r="3091" spans="1:8" x14ac:dyDescent="0.3">
      <c r="A3091" s="82"/>
      <c r="B3091" s="81"/>
      <c r="H3091" s="83"/>
    </row>
    <row r="3092" spans="1:8" x14ac:dyDescent="0.3">
      <c r="A3092" s="82"/>
      <c r="B3092" s="81"/>
      <c r="H3092" s="83"/>
    </row>
    <row r="3093" spans="1:8" x14ac:dyDescent="0.3">
      <c r="A3093" s="82"/>
      <c r="B3093" s="81"/>
      <c r="H3093" s="83"/>
    </row>
    <row r="3094" spans="1:8" x14ac:dyDescent="0.3">
      <c r="A3094" s="82"/>
      <c r="B3094" s="81"/>
      <c r="H3094" s="83"/>
    </row>
    <row r="3095" spans="1:8" x14ac:dyDescent="0.3">
      <c r="A3095" s="82"/>
      <c r="B3095" s="81"/>
      <c r="H3095" s="83"/>
    </row>
    <row r="3096" spans="1:8" x14ac:dyDescent="0.3">
      <c r="A3096" s="82"/>
      <c r="B3096" s="81"/>
      <c r="H3096" s="83"/>
    </row>
    <row r="3097" spans="1:8" x14ac:dyDescent="0.3">
      <c r="A3097" s="82"/>
      <c r="B3097" s="81"/>
      <c r="H3097" s="83"/>
    </row>
    <row r="3098" spans="1:8" x14ac:dyDescent="0.3">
      <c r="A3098" s="82"/>
      <c r="B3098" s="81"/>
      <c r="H3098" s="83"/>
    </row>
    <row r="3099" spans="1:8" x14ac:dyDescent="0.3">
      <c r="A3099" s="82"/>
      <c r="B3099" s="81"/>
      <c r="H3099" s="83"/>
    </row>
    <row r="3100" spans="1:8" x14ac:dyDescent="0.3">
      <c r="A3100" s="82"/>
      <c r="B3100" s="81"/>
      <c r="H3100" s="83"/>
    </row>
    <row r="3101" spans="1:8" x14ac:dyDescent="0.3">
      <c r="A3101" s="82"/>
      <c r="B3101" s="81"/>
      <c r="H3101" s="83"/>
    </row>
    <row r="3102" spans="1:8" x14ac:dyDescent="0.3">
      <c r="A3102" s="82"/>
      <c r="B3102" s="81"/>
      <c r="H3102" s="83"/>
    </row>
    <row r="3103" spans="1:8" x14ac:dyDescent="0.3">
      <c r="A3103" s="82"/>
      <c r="B3103" s="81"/>
      <c r="H3103" s="83"/>
    </row>
    <row r="3104" spans="1:8" x14ac:dyDescent="0.3">
      <c r="A3104" s="82"/>
      <c r="B3104" s="81"/>
      <c r="H3104" s="83"/>
    </row>
    <row r="3105" spans="1:8" x14ac:dyDescent="0.3">
      <c r="A3105" s="82"/>
      <c r="B3105" s="81"/>
      <c r="H3105" s="83"/>
    </row>
    <row r="3106" spans="1:8" x14ac:dyDescent="0.3">
      <c r="A3106" s="82"/>
      <c r="B3106" s="81"/>
      <c r="H3106" s="83"/>
    </row>
    <row r="3107" spans="1:8" x14ac:dyDescent="0.3">
      <c r="A3107" s="82"/>
      <c r="B3107" s="81"/>
      <c r="H3107" s="83"/>
    </row>
    <row r="3108" spans="1:8" x14ac:dyDescent="0.3">
      <c r="A3108" s="82"/>
      <c r="B3108" s="81"/>
      <c r="H3108" s="83"/>
    </row>
    <row r="3109" spans="1:8" x14ac:dyDescent="0.3">
      <c r="A3109" s="82"/>
      <c r="B3109" s="81"/>
      <c r="H3109" s="83"/>
    </row>
    <row r="3110" spans="1:8" x14ac:dyDescent="0.3">
      <c r="A3110" s="82"/>
      <c r="B3110" s="81"/>
      <c r="H3110" s="83"/>
    </row>
    <row r="3111" spans="1:8" x14ac:dyDescent="0.3">
      <c r="A3111" s="82"/>
      <c r="B3111" s="81"/>
      <c r="H3111" s="83"/>
    </row>
    <row r="3112" spans="1:8" x14ac:dyDescent="0.3">
      <c r="A3112" s="82"/>
      <c r="B3112" s="81"/>
      <c r="H3112" s="83"/>
    </row>
    <row r="3113" spans="1:8" x14ac:dyDescent="0.3">
      <c r="A3113" s="82"/>
      <c r="B3113" s="81"/>
      <c r="H3113" s="83"/>
    </row>
    <row r="3114" spans="1:8" x14ac:dyDescent="0.3">
      <c r="A3114" s="82"/>
      <c r="B3114" s="81"/>
      <c r="H3114" s="83"/>
    </row>
    <row r="3115" spans="1:8" x14ac:dyDescent="0.3">
      <c r="A3115" s="82"/>
      <c r="B3115" s="81"/>
      <c r="H3115" s="83"/>
    </row>
    <row r="3116" spans="1:8" x14ac:dyDescent="0.3">
      <c r="A3116" s="82"/>
      <c r="B3116" s="81"/>
      <c r="H3116" s="83"/>
    </row>
    <row r="3117" spans="1:8" x14ac:dyDescent="0.3">
      <c r="A3117" s="82"/>
      <c r="B3117" s="81"/>
      <c r="H3117" s="83"/>
    </row>
    <row r="3118" spans="1:8" x14ac:dyDescent="0.3">
      <c r="A3118" s="82"/>
      <c r="B3118" s="81"/>
      <c r="H3118" s="83"/>
    </row>
    <row r="3119" spans="1:8" x14ac:dyDescent="0.3">
      <c r="A3119" s="82"/>
      <c r="B3119" s="81"/>
      <c r="H3119" s="83"/>
    </row>
    <row r="3120" spans="1:8" x14ac:dyDescent="0.3">
      <c r="A3120" s="82"/>
      <c r="B3120" s="81"/>
      <c r="H3120" s="83"/>
    </row>
    <row r="3121" spans="1:8" x14ac:dyDescent="0.3">
      <c r="A3121" s="82"/>
      <c r="B3121" s="81"/>
      <c r="H3121" s="83"/>
    </row>
    <row r="3122" spans="1:8" x14ac:dyDescent="0.3">
      <c r="A3122" s="82"/>
      <c r="B3122" s="81"/>
      <c r="H3122" s="83"/>
    </row>
    <row r="3123" spans="1:8" x14ac:dyDescent="0.3">
      <c r="A3123" s="82"/>
      <c r="B3123" s="81"/>
      <c r="H3123" s="83"/>
    </row>
    <row r="3124" spans="1:8" x14ac:dyDescent="0.3">
      <c r="A3124" s="82"/>
      <c r="B3124" s="81"/>
      <c r="H3124" s="83"/>
    </row>
    <row r="3125" spans="1:8" x14ac:dyDescent="0.3">
      <c r="A3125" s="82"/>
      <c r="B3125" s="81"/>
      <c r="H3125" s="83"/>
    </row>
    <row r="3126" spans="1:8" x14ac:dyDescent="0.3">
      <c r="A3126" s="82"/>
      <c r="B3126" s="81"/>
      <c r="H3126" s="83"/>
    </row>
    <row r="3127" spans="1:8" x14ac:dyDescent="0.3">
      <c r="A3127" s="82"/>
      <c r="B3127" s="81"/>
      <c r="H3127" s="83"/>
    </row>
    <row r="3128" spans="1:8" x14ac:dyDescent="0.3">
      <c r="A3128" s="82"/>
      <c r="B3128" s="81"/>
      <c r="H3128" s="83"/>
    </row>
    <row r="3129" spans="1:8" x14ac:dyDescent="0.3">
      <c r="A3129" s="82"/>
      <c r="B3129" s="81"/>
      <c r="H3129" s="83"/>
    </row>
    <row r="3130" spans="1:8" x14ac:dyDescent="0.3">
      <c r="A3130" s="82"/>
      <c r="B3130" s="81"/>
      <c r="H3130" s="83"/>
    </row>
    <row r="3131" spans="1:8" x14ac:dyDescent="0.3">
      <c r="A3131" s="82"/>
      <c r="B3131" s="81"/>
      <c r="H3131" s="83"/>
    </row>
    <row r="3132" spans="1:8" x14ac:dyDescent="0.3">
      <c r="A3132" s="82"/>
      <c r="B3132" s="81"/>
      <c r="H3132" s="83"/>
    </row>
    <row r="3133" spans="1:8" x14ac:dyDescent="0.3">
      <c r="A3133" s="82"/>
      <c r="B3133" s="81"/>
      <c r="H3133" s="83"/>
    </row>
    <row r="3134" spans="1:8" x14ac:dyDescent="0.3">
      <c r="A3134" s="82"/>
      <c r="B3134" s="81"/>
      <c r="H3134" s="83"/>
    </row>
    <row r="3135" spans="1:8" x14ac:dyDescent="0.3">
      <c r="A3135" s="82"/>
      <c r="B3135" s="81"/>
      <c r="H3135" s="83"/>
    </row>
    <row r="3136" spans="1:8" x14ac:dyDescent="0.3">
      <c r="A3136" s="82"/>
      <c r="B3136" s="81"/>
      <c r="H3136" s="83"/>
    </row>
    <row r="3137" spans="1:8" x14ac:dyDescent="0.3">
      <c r="A3137" s="82"/>
      <c r="B3137" s="81"/>
      <c r="H3137" s="83"/>
    </row>
    <row r="3138" spans="1:8" x14ac:dyDescent="0.3">
      <c r="A3138" s="82"/>
      <c r="B3138" s="81"/>
      <c r="H3138" s="83"/>
    </row>
    <row r="3139" spans="1:8" x14ac:dyDescent="0.3">
      <c r="A3139" s="82"/>
      <c r="B3139" s="81"/>
      <c r="H3139" s="83"/>
    </row>
    <row r="3140" spans="1:8" x14ac:dyDescent="0.3">
      <c r="A3140" s="82"/>
      <c r="B3140" s="81"/>
      <c r="H3140" s="83"/>
    </row>
    <row r="3141" spans="1:8" x14ac:dyDescent="0.3">
      <c r="A3141" s="82"/>
      <c r="B3141" s="81"/>
      <c r="H3141" s="83"/>
    </row>
    <row r="3142" spans="1:8" x14ac:dyDescent="0.3">
      <c r="A3142" s="82"/>
      <c r="B3142" s="81"/>
      <c r="H3142" s="83"/>
    </row>
    <row r="3143" spans="1:8" x14ac:dyDescent="0.3">
      <c r="A3143" s="82"/>
      <c r="B3143" s="81"/>
      <c r="H3143" s="83"/>
    </row>
    <row r="3144" spans="1:8" x14ac:dyDescent="0.3">
      <c r="A3144" s="82"/>
      <c r="B3144" s="81"/>
      <c r="H3144" s="83"/>
    </row>
    <row r="3145" spans="1:8" x14ac:dyDescent="0.3">
      <c r="A3145" s="82"/>
      <c r="B3145" s="81"/>
      <c r="H3145" s="83"/>
    </row>
    <row r="3146" spans="1:8" x14ac:dyDescent="0.3">
      <c r="A3146" s="82"/>
      <c r="B3146" s="81"/>
      <c r="H3146" s="83"/>
    </row>
    <row r="3147" spans="1:8" x14ac:dyDescent="0.3">
      <c r="A3147" s="82"/>
      <c r="B3147" s="81"/>
      <c r="H3147" s="83"/>
    </row>
    <row r="3148" spans="1:8" x14ac:dyDescent="0.3">
      <c r="A3148" s="82"/>
      <c r="B3148" s="81"/>
      <c r="H3148" s="83"/>
    </row>
    <row r="3149" spans="1:8" x14ac:dyDescent="0.3">
      <c r="A3149" s="82"/>
      <c r="B3149" s="81"/>
      <c r="H3149" s="83"/>
    </row>
    <row r="3150" spans="1:8" x14ac:dyDescent="0.3">
      <c r="A3150" s="82"/>
      <c r="B3150" s="81"/>
      <c r="H3150" s="83"/>
    </row>
    <row r="3151" spans="1:8" x14ac:dyDescent="0.3">
      <c r="A3151" s="82"/>
      <c r="B3151" s="81"/>
      <c r="H3151" s="83"/>
    </row>
    <row r="3152" spans="1:8" x14ac:dyDescent="0.3">
      <c r="A3152" s="82"/>
      <c r="B3152" s="81"/>
      <c r="H3152" s="83"/>
    </row>
    <row r="3153" spans="1:8" x14ac:dyDescent="0.3">
      <c r="A3153" s="82"/>
      <c r="B3153" s="81"/>
      <c r="H3153" s="83"/>
    </row>
    <row r="3154" spans="1:8" x14ac:dyDescent="0.3">
      <c r="A3154" s="82"/>
      <c r="B3154" s="81"/>
      <c r="H3154" s="83"/>
    </row>
    <row r="3155" spans="1:8" x14ac:dyDescent="0.3">
      <c r="A3155" s="82"/>
      <c r="B3155" s="81"/>
      <c r="H3155" s="83"/>
    </row>
    <row r="3156" spans="1:8" x14ac:dyDescent="0.3">
      <c r="A3156" s="82"/>
      <c r="B3156" s="81"/>
      <c r="H3156" s="83"/>
    </row>
    <row r="3157" spans="1:8" x14ac:dyDescent="0.3">
      <c r="A3157" s="82"/>
      <c r="B3157" s="81"/>
      <c r="H3157" s="83"/>
    </row>
    <row r="3158" spans="1:8" x14ac:dyDescent="0.3">
      <c r="A3158" s="82"/>
      <c r="B3158" s="81"/>
      <c r="H3158" s="83"/>
    </row>
    <row r="3159" spans="1:8" x14ac:dyDescent="0.3">
      <c r="A3159" s="82"/>
      <c r="B3159" s="81"/>
      <c r="H3159" s="83"/>
    </row>
    <row r="3160" spans="1:8" x14ac:dyDescent="0.3">
      <c r="A3160" s="82"/>
      <c r="B3160" s="81"/>
      <c r="H3160" s="83"/>
    </row>
    <row r="3161" spans="1:8" x14ac:dyDescent="0.3">
      <c r="A3161" s="82"/>
      <c r="B3161" s="81"/>
      <c r="H3161" s="83"/>
    </row>
    <row r="3162" spans="1:8" x14ac:dyDescent="0.3">
      <c r="A3162" s="82"/>
      <c r="B3162" s="81"/>
      <c r="H3162" s="83"/>
    </row>
    <row r="3163" spans="1:8" x14ac:dyDescent="0.3">
      <c r="A3163" s="82"/>
      <c r="B3163" s="81"/>
      <c r="H3163" s="83"/>
    </row>
    <row r="3164" spans="1:8" x14ac:dyDescent="0.3">
      <c r="A3164" s="82"/>
      <c r="B3164" s="81"/>
      <c r="H3164" s="83"/>
    </row>
    <row r="3165" spans="1:8" x14ac:dyDescent="0.3">
      <c r="A3165" s="82"/>
      <c r="B3165" s="81"/>
      <c r="H3165" s="83"/>
    </row>
    <row r="3166" spans="1:8" x14ac:dyDescent="0.3">
      <c r="A3166" s="82"/>
      <c r="B3166" s="81"/>
      <c r="H3166" s="83"/>
    </row>
    <row r="3167" spans="1:8" x14ac:dyDescent="0.3">
      <c r="A3167" s="82"/>
      <c r="B3167" s="81"/>
      <c r="H3167" s="83"/>
    </row>
    <row r="3168" spans="1:8" x14ac:dyDescent="0.3">
      <c r="A3168" s="82"/>
      <c r="B3168" s="81"/>
      <c r="H3168" s="83"/>
    </row>
    <row r="3169" spans="1:8" x14ac:dyDescent="0.3">
      <c r="A3169" s="82"/>
      <c r="B3169" s="81"/>
      <c r="H3169" s="83"/>
    </row>
    <row r="3170" spans="1:8" x14ac:dyDescent="0.3">
      <c r="A3170" s="82"/>
      <c r="B3170" s="81"/>
      <c r="H3170" s="83"/>
    </row>
    <row r="3171" spans="1:8" x14ac:dyDescent="0.3">
      <c r="A3171" s="82"/>
      <c r="B3171" s="81"/>
      <c r="H3171" s="83"/>
    </row>
    <row r="3172" spans="1:8" x14ac:dyDescent="0.3">
      <c r="A3172" s="82"/>
      <c r="B3172" s="81"/>
      <c r="H3172" s="83"/>
    </row>
    <row r="3173" spans="1:8" x14ac:dyDescent="0.3">
      <c r="A3173" s="82"/>
      <c r="B3173" s="81"/>
      <c r="H3173" s="83"/>
    </row>
    <row r="3174" spans="1:8" x14ac:dyDescent="0.3">
      <c r="A3174" s="82"/>
      <c r="B3174" s="81"/>
      <c r="H3174" s="83"/>
    </row>
    <row r="3175" spans="1:8" x14ac:dyDescent="0.3">
      <c r="A3175" s="82"/>
      <c r="B3175" s="81"/>
      <c r="H3175" s="83"/>
    </row>
    <row r="3176" spans="1:8" x14ac:dyDescent="0.3">
      <c r="A3176" s="82"/>
      <c r="B3176" s="81"/>
      <c r="H3176" s="83"/>
    </row>
    <row r="3177" spans="1:8" x14ac:dyDescent="0.3">
      <c r="A3177" s="82"/>
      <c r="B3177" s="81"/>
      <c r="H3177" s="83"/>
    </row>
    <row r="3178" spans="1:8" x14ac:dyDescent="0.3">
      <c r="A3178" s="82"/>
      <c r="B3178" s="81"/>
      <c r="H3178" s="83"/>
    </row>
    <row r="3179" spans="1:8" x14ac:dyDescent="0.3">
      <c r="A3179" s="82"/>
      <c r="B3179" s="81"/>
      <c r="H3179" s="83"/>
    </row>
    <row r="3180" spans="1:8" x14ac:dyDescent="0.3">
      <c r="A3180" s="82"/>
      <c r="B3180" s="81"/>
      <c r="H3180" s="83"/>
    </row>
    <row r="3181" spans="1:8" x14ac:dyDescent="0.3">
      <c r="A3181" s="82"/>
      <c r="B3181" s="81"/>
      <c r="H3181" s="83"/>
    </row>
    <row r="3182" spans="1:8" x14ac:dyDescent="0.3">
      <c r="A3182" s="82"/>
      <c r="B3182" s="81"/>
      <c r="H3182" s="83"/>
    </row>
    <row r="3183" spans="1:8" x14ac:dyDescent="0.3">
      <c r="A3183" s="82"/>
      <c r="B3183" s="81"/>
      <c r="H3183" s="83"/>
    </row>
    <row r="3184" spans="1:8" x14ac:dyDescent="0.3">
      <c r="A3184" s="82"/>
      <c r="B3184" s="81"/>
      <c r="H3184" s="83"/>
    </row>
    <row r="3185" spans="1:8" x14ac:dyDescent="0.3">
      <c r="A3185" s="82"/>
      <c r="B3185" s="81"/>
      <c r="H3185" s="83"/>
    </row>
    <row r="3186" spans="1:8" x14ac:dyDescent="0.3">
      <c r="A3186" s="82"/>
      <c r="B3186" s="81"/>
      <c r="H3186" s="83"/>
    </row>
    <row r="3187" spans="1:8" x14ac:dyDescent="0.3">
      <c r="A3187" s="82"/>
      <c r="B3187" s="81"/>
      <c r="H3187" s="83"/>
    </row>
    <row r="3188" spans="1:8" x14ac:dyDescent="0.3">
      <c r="A3188" s="82"/>
      <c r="B3188" s="81"/>
      <c r="H3188" s="83"/>
    </row>
    <row r="3189" spans="1:8" x14ac:dyDescent="0.3">
      <c r="A3189" s="82"/>
      <c r="B3189" s="81"/>
      <c r="H3189" s="83"/>
    </row>
    <row r="3190" spans="1:8" x14ac:dyDescent="0.3">
      <c r="A3190" s="82"/>
      <c r="B3190" s="81"/>
      <c r="H3190" s="83"/>
    </row>
    <row r="3191" spans="1:8" x14ac:dyDescent="0.3">
      <c r="A3191" s="82"/>
      <c r="B3191" s="81"/>
      <c r="H3191" s="83"/>
    </row>
    <row r="3192" spans="1:8" x14ac:dyDescent="0.3">
      <c r="A3192" s="82"/>
      <c r="B3192" s="81"/>
      <c r="H3192" s="83"/>
    </row>
    <row r="3193" spans="1:8" x14ac:dyDescent="0.3">
      <c r="A3193" s="82"/>
      <c r="B3193" s="81"/>
      <c r="H3193" s="83"/>
    </row>
    <row r="3194" spans="1:8" x14ac:dyDescent="0.3">
      <c r="A3194" s="82"/>
      <c r="B3194" s="81"/>
      <c r="H3194" s="83"/>
    </row>
    <row r="3195" spans="1:8" x14ac:dyDescent="0.3">
      <c r="A3195" s="82"/>
      <c r="B3195" s="81"/>
      <c r="H3195" s="83"/>
    </row>
    <row r="3196" spans="1:8" x14ac:dyDescent="0.3">
      <c r="A3196" s="82"/>
      <c r="B3196" s="81"/>
      <c r="H3196" s="83"/>
    </row>
    <row r="3197" spans="1:8" x14ac:dyDescent="0.3">
      <c r="A3197" s="82"/>
      <c r="B3197" s="81"/>
      <c r="H3197" s="83"/>
    </row>
    <row r="3198" spans="1:8" x14ac:dyDescent="0.3">
      <c r="A3198" s="82"/>
      <c r="B3198" s="81"/>
      <c r="H3198" s="83"/>
    </row>
    <row r="3199" spans="1:8" x14ac:dyDescent="0.3">
      <c r="A3199" s="82"/>
      <c r="B3199" s="81"/>
      <c r="H3199" s="83"/>
    </row>
    <row r="3200" spans="1:8" x14ac:dyDescent="0.3">
      <c r="A3200" s="82"/>
      <c r="B3200" s="81"/>
      <c r="H3200" s="83"/>
    </row>
    <row r="3201" spans="1:8" x14ac:dyDescent="0.3">
      <c r="A3201" s="82"/>
      <c r="B3201" s="81"/>
      <c r="H3201" s="83"/>
    </row>
    <row r="3202" spans="1:8" x14ac:dyDescent="0.3">
      <c r="A3202" s="82"/>
      <c r="B3202" s="81"/>
      <c r="H3202" s="83"/>
    </row>
    <row r="3203" spans="1:8" x14ac:dyDescent="0.3">
      <c r="A3203" s="82"/>
      <c r="B3203" s="81"/>
      <c r="H3203" s="83"/>
    </row>
    <row r="3204" spans="1:8" x14ac:dyDescent="0.3">
      <c r="A3204" s="82"/>
      <c r="B3204" s="81"/>
      <c r="H3204" s="83"/>
    </row>
    <row r="3205" spans="1:8" x14ac:dyDescent="0.3">
      <c r="A3205" s="82"/>
      <c r="B3205" s="81"/>
      <c r="H3205" s="83"/>
    </row>
    <row r="3206" spans="1:8" x14ac:dyDescent="0.3">
      <c r="A3206" s="82"/>
      <c r="B3206" s="81"/>
      <c r="H3206" s="83"/>
    </row>
    <row r="3207" spans="1:8" x14ac:dyDescent="0.3">
      <c r="A3207" s="82"/>
      <c r="B3207" s="81"/>
      <c r="H3207" s="83"/>
    </row>
    <row r="3208" spans="1:8" x14ac:dyDescent="0.3">
      <c r="A3208" s="82"/>
      <c r="B3208" s="81"/>
      <c r="H3208" s="83"/>
    </row>
    <row r="3209" spans="1:8" x14ac:dyDescent="0.3">
      <c r="A3209" s="82"/>
      <c r="B3209" s="81"/>
      <c r="H3209" s="83"/>
    </row>
    <row r="3210" spans="1:8" x14ac:dyDescent="0.3">
      <c r="A3210" s="82"/>
      <c r="B3210" s="81"/>
      <c r="H3210" s="83"/>
    </row>
    <row r="3211" spans="1:8" x14ac:dyDescent="0.3">
      <c r="A3211" s="82"/>
      <c r="B3211" s="81"/>
      <c r="H3211" s="83"/>
    </row>
    <row r="3212" spans="1:8" x14ac:dyDescent="0.3">
      <c r="A3212" s="82"/>
      <c r="B3212" s="81"/>
      <c r="H3212" s="83"/>
    </row>
    <row r="3213" spans="1:8" x14ac:dyDescent="0.3">
      <c r="A3213" s="82"/>
      <c r="B3213" s="81"/>
      <c r="H3213" s="83"/>
    </row>
    <row r="3214" spans="1:8" x14ac:dyDescent="0.3">
      <c r="A3214" s="82"/>
      <c r="B3214" s="81"/>
      <c r="H3214" s="83"/>
    </row>
    <row r="3215" spans="1:8" x14ac:dyDescent="0.3">
      <c r="A3215" s="82"/>
      <c r="B3215" s="81"/>
      <c r="H3215" s="83"/>
    </row>
    <row r="3216" spans="1:8" x14ac:dyDescent="0.3">
      <c r="A3216" s="82"/>
      <c r="B3216" s="81"/>
      <c r="H3216" s="83"/>
    </row>
    <row r="3217" spans="1:8" x14ac:dyDescent="0.3">
      <c r="A3217" s="82"/>
      <c r="B3217" s="81"/>
      <c r="H3217" s="83"/>
    </row>
    <row r="3218" spans="1:8" x14ac:dyDescent="0.3">
      <c r="A3218" s="82"/>
      <c r="B3218" s="81"/>
      <c r="H3218" s="83"/>
    </row>
    <row r="3219" spans="1:8" x14ac:dyDescent="0.3">
      <c r="A3219" s="82"/>
      <c r="B3219" s="81"/>
      <c r="H3219" s="83"/>
    </row>
    <row r="3220" spans="1:8" x14ac:dyDescent="0.3">
      <c r="A3220" s="82"/>
      <c r="B3220" s="81"/>
      <c r="H3220" s="83"/>
    </row>
    <row r="3221" spans="1:8" x14ac:dyDescent="0.3">
      <c r="A3221" s="82"/>
      <c r="B3221" s="81"/>
      <c r="H3221" s="83"/>
    </row>
    <row r="3222" spans="1:8" x14ac:dyDescent="0.3">
      <c r="A3222" s="82"/>
      <c r="B3222" s="81"/>
      <c r="H3222" s="83"/>
    </row>
    <row r="3223" spans="1:8" x14ac:dyDescent="0.3">
      <c r="A3223" s="82"/>
      <c r="B3223" s="81"/>
      <c r="H3223" s="83"/>
    </row>
    <row r="3224" spans="1:8" x14ac:dyDescent="0.3">
      <c r="A3224" s="82"/>
      <c r="B3224" s="81"/>
      <c r="H3224" s="83"/>
    </row>
    <row r="3225" spans="1:8" x14ac:dyDescent="0.3">
      <c r="A3225" s="82"/>
      <c r="B3225" s="81"/>
      <c r="H3225" s="83"/>
    </row>
    <row r="3226" spans="1:8" x14ac:dyDescent="0.3">
      <c r="A3226" s="82"/>
      <c r="B3226" s="81"/>
      <c r="H3226" s="83"/>
    </row>
    <row r="3227" spans="1:8" x14ac:dyDescent="0.3">
      <c r="A3227" s="82"/>
      <c r="B3227" s="81"/>
      <c r="H3227" s="83"/>
    </row>
    <row r="3228" spans="1:8" x14ac:dyDescent="0.3">
      <c r="A3228" s="82"/>
      <c r="B3228" s="81"/>
      <c r="H3228" s="83"/>
    </row>
    <row r="3229" spans="1:8" x14ac:dyDescent="0.3">
      <c r="A3229" s="82"/>
      <c r="B3229" s="81"/>
      <c r="H3229" s="83"/>
    </row>
    <row r="3230" spans="1:8" x14ac:dyDescent="0.3">
      <c r="A3230" s="82"/>
      <c r="B3230" s="81"/>
      <c r="H3230" s="83"/>
    </row>
    <row r="3231" spans="1:8" x14ac:dyDescent="0.3">
      <c r="A3231" s="82"/>
      <c r="B3231" s="81"/>
      <c r="H3231" s="83"/>
    </row>
    <row r="3232" spans="1:8" x14ac:dyDescent="0.3">
      <c r="A3232" s="82"/>
      <c r="B3232" s="81"/>
      <c r="H3232" s="83"/>
    </row>
    <row r="3233" spans="1:8" x14ac:dyDescent="0.3">
      <c r="A3233" s="82"/>
      <c r="B3233" s="81"/>
      <c r="H3233" s="83"/>
    </row>
    <row r="3234" spans="1:8" x14ac:dyDescent="0.3">
      <c r="A3234" s="82"/>
      <c r="B3234" s="81"/>
      <c r="H3234" s="83"/>
    </row>
    <row r="3235" spans="1:8" x14ac:dyDescent="0.3">
      <c r="A3235" s="82"/>
      <c r="B3235" s="81"/>
      <c r="H3235" s="83"/>
    </row>
    <row r="3236" spans="1:8" x14ac:dyDescent="0.3">
      <c r="A3236" s="82"/>
      <c r="B3236" s="81"/>
      <c r="H3236" s="83"/>
    </row>
    <row r="3237" spans="1:8" x14ac:dyDescent="0.3">
      <c r="A3237" s="82"/>
      <c r="B3237" s="81"/>
      <c r="H3237" s="83"/>
    </row>
    <row r="3238" spans="1:8" x14ac:dyDescent="0.3">
      <c r="A3238" s="82"/>
      <c r="B3238" s="81"/>
      <c r="H3238" s="83"/>
    </row>
    <row r="3239" spans="1:8" x14ac:dyDescent="0.3">
      <c r="A3239" s="82"/>
      <c r="B3239" s="81"/>
      <c r="H3239" s="83"/>
    </row>
    <row r="3240" spans="1:8" x14ac:dyDescent="0.3">
      <c r="A3240" s="82"/>
      <c r="B3240" s="81"/>
      <c r="H3240" s="83"/>
    </row>
    <row r="3241" spans="1:8" x14ac:dyDescent="0.3">
      <c r="A3241" s="82"/>
      <c r="B3241" s="81"/>
      <c r="H3241" s="83"/>
    </row>
    <row r="3242" spans="1:8" x14ac:dyDescent="0.3">
      <c r="A3242" s="82"/>
      <c r="B3242" s="81"/>
      <c r="H3242" s="83"/>
    </row>
    <row r="3243" spans="1:8" x14ac:dyDescent="0.3">
      <c r="A3243" s="82"/>
      <c r="B3243" s="81"/>
      <c r="H3243" s="83"/>
    </row>
    <row r="3244" spans="1:8" x14ac:dyDescent="0.3">
      <c r="A3244" s="82"/>
      <c r="B3244" s="81"/>
      <c r="H3244" s="83"/>
    </row>
    <row r="3245" spans="1:8" x14ac:dyDescent="0.3">
      <c r="A3245" s="82"/>
      <c r="B3245" s="81"/>
      <c r="H3245" s="83"/>
    </row>
    <row r="3246" spans="1:8" x14ac:dyDescent="0.3">
      <c r="A3246" s="82"/>
      <c r="B3246" s="81"/>
      <c r="H3246" s="83"/>
    </row>
    <row r="3247" spans="1:8" x14ac:dyDescent="0.3">
      <c r="A3247" s="82"/>
      <c r="B3247" s="81"/>
      <c r="H3247" s="83"/>
    </row>
    <row r="3248" spans="1:8" x14ac:dyDescent="0.3">
      <c r="A3248" s="82"/>
      <c r="B3248" s="81"/>
      <c r="H3248" s="83"/>
    </row>
    <row r="3249" spans="1:8" x14ac:dyDescent="0.3">
      <c r="A3249" s="82"/>
      <c r="B3249" s="81"/>
      <c r="H3249" s="83"/>
    </row>
    <row r="3250" spans="1:8" x14ac:dyDescent="0.3">
      <c r="A3250" s="82"/>
      <c r="B3250" s="81"/>
      <c r="H3250" s="83"/>
    </row>
    <row r="3251" spans="1:8" x14ac:dyDescent="0.3">
      <c r="A3251" s="82"/>
      <c r="B3251" s="81"/>
      <c r="H3251" s="83"/>
    </row>
    <row r="3252" spans="1:8" x14ac:dyDescent="0.3">
      <c r="A3252" s="82"/>
      <c r="B3252" s="81"/>
      <c r="H3252" s="83"/>
    </row>
    <row r="3253" spans="1:8" x14ac:dyDescent="0.3">
      <c r="A3253" s="82"/>
      <c r="B3253" s="81"/>
      <c r="H3253" s="83"/>
    </row>
    <row r="3254" spans="1:8" x14ac:dyDescent="0.3">
      <c r="A3254" s="82"/>
      <c r="B3254" s="81"/>
      <c r="H3254" s="83"/>
    </row>
    <row r="3255" spans="1:8" x14ac:dyDescent="0.3">
      <c r="A3255" s="82"/>
      <c r="B3255" s="81"/>
      <c r="H3255" s="83"/>
    </row>
    <row r="3256" spans="1:8" x14ac:dyDescent="0.3">
      <c r="A3256" s="82"/>
      <c r="B3256" s="81"/>
      <c r="H3256" s="83"/>
    </row>
    <row r="3257" spans="1:8" x14ac:dyDescent="0.3">
      <c r="A3257" s="82"/>
      <c r="B3257" s="81"/>
      <c r="H3257" s="83"/>
    </row>
    <row r="3258" spans="1:8" x14ac:dyDescent="0.3">
      <c r="A3258" s="82"/>
      <c r="B3258" s="81"/>
      <c r="H3258" s="83"/>
    </row>
    <row r="3259" spans="1:8" x14ac:dyDescent="0.3">
      <c r="A3259" s="82"/>
      <c r="B3259" s="81"/>
      <c r="H3259" s="83"/>
    </row>
    <row r="3260" spans="1:8" x14ac:dyDescent="0.3">
      <c r="A3260" s="82"/>
      <c r="B3260" s="81"/>
      <c r="H3260" s="83"/>
    </row>
    <row r="3261" spans="1:8" x14ac:dyDescent="0.3">
      <c r="A3261" s="82"/>
      <c r="B3261" s="81"/>
      <c r="H3261" s="83"/>
    </row>
    <row r="3262" spans="1:8" x14ac:dyDescent="0.3">
      <c r="A3262" s="82"/>
      <c r="B3262" s="81"/>
      <c r="H3262" s="83"/>
    </row>
    <row r="3263" spans="1:8" x14ac:dyDescent="0.3">
      <c r="A3263" s="82"/>
      <c r="B3263" s="81"/>
      <c r="H3263" s="83"/>
    </row>
    <row r="3264" spans="1:8" x14ac:dyDescent="0.3">
      <c r="A3264" s="82"/>
      <c r="B3264" s="81"/>
      <c r="H3264" s="83"/>
    </row>
    <row r="3265" spans="1:8" x14ac:dyDescent="0.3">
      <c r="A3265" s="82"/>
      <c r="B3265" s="81"/>
      <c r="H3265" s="83"/>
    </row>
    <row r="3266" spans="1:8" x14ac:dyDescent="0.3">
      <c r="A3266" s="82"/>
      <c r="B3266" s="81"/>
      <c r="H3266" s="83"/>
    </row>
    <row r="3267" spans="1:8" x14ac:dyDescent="0.3">
      <c r="A3267" s="82"/>
      <c r="B3267" s="81"/>
      <c r="H3267" s="83"/>
    </row>
    <row r="3268" spans="1:8" x14ac:dyDescent="0.3">
      <c r="A3268" s="82"/>
      <c r="B3268" s="81"/>
      <c r="H3268" s="83"/>
    </row>
    <row r="3269" spans="1:8" x14ac:dyDescent="0.3">
      <c r="A3269" s="82"/>
      <c r="B3269" s="81"/>
      <c r="H3269" s="83"/>
    </row>
    <row r="3270" spans="1:8" x14ac:dyDescent="0.3">
      <c r="A3270" s="82"/>
      <c r="B3270" s="81"/>
      <c r="H3270" s="83"/>
    </row>
    <row r="3271" spans="1:8" x14ac:dyDescent="0.3">
      <c r="A3271" s="82"/>
      <c r="B3271" s="81"/>
      <c r="H3271" s="83"/>
    </row>
    <row r="3272" spans="1:8" x14ac:dyDescent="0.3">
      <c r="A3272" s="82"/>
      <c r="B3272" s="81"/>
      <c r="H3272" s="83"/>
    </row>
    <row r="3273" spans="1:8" x14ac:dyDescent="0.3">
      <c r="A3273" s="82"/>
      <c r="B3273" s="81"/>
      <c r="H3273" s="83"/>
    </row>
    <row r="3274" spans="1:8" x14ac:dyDescent="0.3">
      <c r="A3274" s="82"/>
      <c r="B3274" s="81"/>
      <c r="H3274" s="83"/>
    </row>
    <row r="3275" spans="1:8" x14ac:dyDescent="0.3">
      <c r="A3275" s="82"/>
      <c r="B3275" s="81"/>
      <c r="H3275" s="83"/>
    </row>
    <row r="3276" spans="1:8" x14ac:dyDescent="0.3">
      <c r="A3276" s="82"/>
      <c r="B3276" s="81"/>
      <c r="H3276" s="83"/>
    </row>
    <row r="3277" spans="1:8" x14ac:dyDescent="0.3">
      <c r="A3277" s="82"/>
      <c r="B3277" s="81"/>
      <c r="H3277" s="83"/>
    </row>
    <row r="3278" spans="1:8" x14ac:dyDescent="0.3">
      <c r="A3278" s="82"/>
      <c r="B3278" s="81"/>
      <c r="H3278" s="83"/>
    </row>
    <row r="3279" spans="1:8" x14ac:dyDescent="0.3">
      <c r="A3279" s="82"/>
      <c r="B3279" s="81"/>
      <c r="H3279" s="83"/>
    </row>
    <row r="3280" spans="1:8" x14ac:dyDescent="0.3">
      <c r="A3280" s="82"/>
      <c r="B3280" s="81"/>
      <c r="H3280" s="83"/>
    </row>
    <row r="3281" spans="1:8" x14ac:dyDescent="0.3">
      <c r="A3281" s="82"/>
      <c r="B3281" s="81"/>
      <c r="H3281" s="83"/>
    </row>
    <row r="3282" spans="1:8" x14ac:dyDescent="0.3">
      <c r="A3282" s="82"/>
      <c r="B3282" s="81"/>
      <c r="H3282" s="83"/>
    </row>
    <row r="3283" spans="1:8" x14ac:dyDescent="0.3">
      <c r="A3283" s="82"/>
      <c r="B3283" s="81"/>
      <c r="H3283" s="83"/>
    </row>
    <row r="3284" spans="1:8" x14ac:dyDescent="0.3">
      <c r="A3284" s="82"/>
      <c r="B3284" s="81"/>
      <c r="H3284" s="83"/>
    </row>
    <row r="3285" spans="1:8" x14ac:dyDescent="0.3">
      <c r="A3285" s="82"/>
      <c r="B3285" s="81"/>
      <c r="H3285" s="83"/>
    </row>
    <row r="3286" spans="1:8" x14ac:dyDescent="0.3">
      <c r="A3286" s="82"/>
      <c r="B3286" s="81"/>
      <c r="H3286" s="83"/>
    </row>
    <row r="3287" spans="1:8" x14ac:dyDescent="0.3">
      <c r="A3287" s="82"/>
      <c r="B3287" s="81"/>
      <c r="H3287" s="83"/>
    </row>
    <row r="3288" spans="1:8" x14ac:dyDescent="0.3">
      <c r="A3288" s="82"/>
      <c r="B3288" s="81"/>
      <c r="H3288" s="83"/>
    </row>
    <row r="3289" spans="1:8" x14ac:dyDescent="0.3">
      <c r="A3289" s="82"/>
      <c r="B3289" s="81"/>
      <c r="H3289" s="83"/>
    </row>
    <row r="3290" spans="1:8" x14ac:dyDescent="0.3">
      <c r="A3290" s="82"/>
      <c r="B3290" s="81"/>
      <c r="H3290" s="83"/>
    </row>
    <row r="3291" spans="1:8" x14ac:dyDescent="0.3">
      <c r="A3291" s="82"/>
      <c r="B3291" s="81"/>
      <c r="H3291" s="83"/>
    </row>
    <row r="3292" spans="1:8" x14ac:dyDescent="0.3">
      <c r="A3292" s="82"/>
      <c r="B3292" s="81"/>
      <c r="H3292" s="83"/>
    </row>
    <row r="3293" spans="1:8" x14ac:dyDescent="0.3">
      <c r="A3293" s="82"/>
      <c r="B3293" s="81"/>
      <c r="H3293" s="83"/>
    </row>
    <row r="3294" spans="1:8" x14ac:dyDescent="0.3">
      <c r="A3294" s="82"/>
      <c r="B3294" s="81"/>
      <c r="H3294" s="83"/>
    </row>
    <row r="3295" spans="1:8" x14ac:dyDescent="0.3">
      <c r="A3295" s="82"/>
      <c r="B3295" s="81"/>
      <c r="H3295" s="83"/>
    </row>
    <row r="3296" spans="1:8" x14ac:dyDescent="0.3">
      <c r="A3296" s="82"/>
      <c r="B3296" s="81"/>
      <c r="H3296" s="83"/>
    </row>
    <row r="3297" spans="1:8" x14ac:dyDescent="0.3">
      <c r="A3297" s="82"/>
      <c r="B3297" s="81"/>
      <c r="H3297" s="83"/>
    </row>
    <row r="3298" spans="1:8" x14ac:dyDescent="0.3">
      <c r="A3298" s="82"/>
      <c r="B3298" s="81"/>
      <c r="H3298" s="83"/>
    </row>
    <row r="3299" spans="1:8" x14ac:dyDescent="0.3">
      <c r="A3299" s="82"/>
      <c r="B3299" s="81"/>
      <c r="H3299" s="83"/>
    </row>
    <row r="3300" spans="1:8" x14ac:dyDescent="0.3">
      <c r="A3300" s="82"/>
      <c r="B3300" s="81"/>
      <c r="H3300" s="83"/>
    </row>
    <row r="3301" spans="1:8" x14ac:dyDescent="0.3">
      <c r="A3301" s="82"/>
      <c r="B3301" s="81"/>
      <c r="H3301" s="83"/>
    </row>
    <row r="3302" spans="1:8" x14ac:dyDescent="0.3">
      <c r="A3302" s="82"/>
      <c r="B3302" s="81"/>
      <c r="H3302" s="83"/>
    </row>
    <row r="3303" spans="1:8" x14ac:dyDescent="0.3">
      <c r="A3303" s="82"/>
      <c r="B3303" s="81"/>
      <c r="H3303" s="83"/>
    </row>
    <row r="3304" spans="1:8" x14ac:dyDescent="0.3">
      <c r="A3304" s="82"/>
      <c r="B3304" s="81"/>
      <c r="H3304" s="83"/>
    </row>
    <row r="3305" spans="1:8" x14ac:dyDescent="0.3">
      <c r="A3305" s="82"/>
      <c r="B3305" s="81"/>
      <c r="H3305" s="83"/>
    </row>
    <row r="3306" spans="1:8" x14ac:dyDescent="0.3">
      <c r="A3306" s="82"/>
      <c r="B3306" s="81"/>
      <c r="H3306" s="83"/>
    </row>
    <row r="3307" spans="1:8" x14ac:dyDescent="0.3">
      <c r="A3307" s="82"/>
      <c r="B3307" s="81"/>
      <c r="H3307" s="83"/>
    </row>
    <row r="3308" spans="1:8" x14ac:dyDescent="0.3">
      <c r="A3308" s="82"/>
      <c r="B3308" s="81"/>
      <c r="H3308" s="83"/>
    </row>
    <row r="3309" spans="1:8" x14ac:dyDescent="0.3">
      <c r="A3309" s="82"/>
      <c r="B3309" s="81"/>
      <c r="H3309" s="83"/>
    </row>
    <row r="3310" spans="1:8" x14ac:dyDescent="0.3">
      <c r="A3310" s="82"/>
      <c r="B3310" s="81"/>
      <c r="H3310" s="83"/>
    </row>
    <row r="3311" spans="1:8" x14ac:dyDescent="0.3">
      <c r="A3311" s="82"/>
      <c r="B3311" s="81"/>
      <c r="H3311" s="83"/>
    </row>
    <row r="3312" spans="1:8" x14ac:dyDescent="0.3">
      <c r="A3312" s="82"/>
      <c r="B3312" s="81"/>
      <c r="H3312" s="83"/>
    </row>
    <row r="3313" spans="1:8" x14ac:dyDescent="0.3">
      <c r="A3313" s="82"/>
      <c r="B3313" s="81"/>
      <c r="H3313" s="83"/>
    </row>
    <row r="3314" spans="1:8" x14ac:dyDescent="0.3">
      <c r="A3314" s="82"/>
      <c r="B3314" s="81"/>
      <c r="H3314" s="83"/>
    </row>
    <row r="3315" spans="1:8" x14ac:dyDescent="0.3">
      <c r="A3315" s="82"/>
      <c r="B3315" s="81"/>
      <c r="H3315" s="83"/>
    </row>
    <row r="3316" spans="1:8" x14ac:dyDescent="0.3">
      <c r="A3316" s="82"/>
      <c r="B3316" s="81"/>
      <c r="H3316" s="83"/>
    </row>
    <row r="3317" spans="1:8" x14ac:dyDescent="0.3">
      <c r="A3317" s="82"/>
      <c r="B3317" s="81"/>
      <c r="H3317" s="83"/>
    </row>
    <row r="3318" spans="1:8" x14ac:dyDescent="0.3">
      <c r="A3318" s="82"/>
      <c r="B3318" s="81"/>
      <c r="H3318" s="83"/>
    </row>
    <row r="3319" spans="1:8" x14ac:dyDescent="0.3">
      <c r="A3319" s="82"/>
      <c r="B3319" s="81"/>
      <c r="H3319" s="83"/>
    </row>
    <row r="3320" spans="1:8" x14ac:dyDescent="0.3">
      <c r="A3320" s="82"/>
      <c r="B3320" s="81"/>
      <c r="H3320" s="83"/>
    </row>
    <row r="3321" spans="1:8" x14ac:dyDescent="0.3">
      <c r="A3321" s="82"/>
      <c r="B3321" s="81"/>
      <c r="H3321" s="83"/>
    </row>
    <row r="3322" spans="1:8" x14ac:dyDescent="0.3">
      <c r="A3322" s="82"/>
      <c r="B3322" s="81"/>
      <c r="H3322" s="83"/>
    </row>
    <row r="3323" spans="1:8" x14ac:dyDescent="0.3">
      <c r="A3323" s="82"/>
      <c r="B3323" s="81"/>
      <c r="H3323" s="83"/>
    </row>
    <row r="3324" spans="1:8" x14ac:dyDescent="0.3">
      <c r="A3324" s="82"/>
      <c r="B3324" s="81"/>
      <c r="H3324" s="83"/>
    </row>
    <row r="3325" spans="1:8" x14ac:dyDescent="0.3">
      <c r="A3325" s="82"/>
      <c r="B3325" s="81"/>
      <c r="H3325" s="83"/>
    </row>
    <row r="3326" spans="1:8" x14ac:dyDescent="0.3">
      <c r="A3326" s="82"/>
      <c r="B3326" s="81"/>
      <c r="H3326" s="83"/>
    </row>
    <row r="3327" spans="1:8" x14ac:dyDescent="0.3">
      <c r="A3327" s="82"/>
      <c r="B3327" s="81"/>
      <c r="H3327" s="83"/>
    </row>
    <row r="3328" spans="1:8" x14ac:dyDescent="0.3">
      <c r="A3328" s="82"/>
      <c r="B3328" s="81"/>
      <c r="H3328" s="83"/>
    </row>
    <row r="3329" spans="1:8" x14ac:dyDescent="0.3">
      <c r="A3329" s="82"/>
      <c r="B3329" s="81"/>
      <c r="H3329" s="83"/>
    </row>
    <row r="3330" spans="1:8" x14ac:dyDescent="0.3">
      <c r="A3330" s="82"/>
      <c r="B3330" s="81"/>
      <c r="H3330" s="83"/>
    </row>
    <row r="3331" spans="1:8" x14ac:dyDescent="0.3">
      <c r="A3331" s="82"/>
      <c r="B3331" s="81"/>
      <c r="H3331" s="83"/>
    </row>
    <row r="3332" spans="1:8" x14ac:dyDescent="0.3">
      <c r="A3332" s="82"/>
      <c r="B3332" s="81"/>
      <c r="H3332" s="83"/>
    </row>
    <row r="3333" spans="1:8" x14ac:dyDescent="0.3">
      <c r="A3333" s="82"/>
      <c r="B3333" s="81"/>
      <c r="H3333" s="83"/>
    </row>
    <row r="3334" spans="1:8" x14ac:dyDescent="0.3">
      <c r="A3334" s="82"/>
      <c r="B3334" s="81"/>
      <c r="H3334" s="83"/>
    </row>
    <row r="3335" spans="1:8" x14ac:dyDescent="0.3">
      <c r="A3335" s="82"/>
      <c r="B3335" s="81"/>
      <c r="H3335" s="83"/>
    </row>
    <row r="3336" spans="1:8" x14ac:dyDescent="0.3">
      <c r="A3336" s="82"/>
      <c r="B3336" s="81"/>
      <c r="H3336" s="83"/>
    </row>
    <row r="3337" spans="1:8" x14ac:dyDescent="0.3">
      <c r="A3337" s="82"/>
      <c r="B3337" s="81"/>
      <c r="H3337" s="83"/>
    </row>
    <row r="3338" spans="1:8" x14ac:dyDescent="0.3">
      <c r="A3338" s="82"/>
      <c r="B3338" s="81"/>
      <c r="H3338" s="83"/>
    </row>
    <row r="3339" spans="1:8" x14ac:dyDescent="0.3">
      <c r="A3339" s="82"/>
      <c r="B3339" s="81"/>
      <c r="H3339" s="83"/>
    </row>
    <row r="3340" spans="1:8" x14ac:dyDescent="0.3">
      <c r="A3340" s="82"/>
      <c r="B3340" s="81"/>
      <c r="H3340" s="83"/>
    </row>
    <row r="3341" spans="1:8" x14ac:dyDescent="0.3">
      <c r="A3341" s="82"/>
      <c r="B3341" s="81"/>
      <c r="H3341" s="83"/>
    </row>
    <row r="3342" spans="1:8" x14ac:dyDescent="0.3">
      <c r="A3342" s="82"/>
      <c r="B3342" s="81"/>
      <c r="H3342" s="83"/>
    </row>
    <row r="3343" spans="1:8" x14ac:dyDescent="0.3">
      <c r="A3343" s="82"/>
      <c r="B3343" s="81"/>
      <c r="H3343" s="83"/>
    </row>
    <row r="3344" spans="1:8" x14ac:dyDescent="0.3">
      <c r="A3344" s="82"/>
      <c r="B3344" s="81"/>
      <c r="H3344" s="83"/>
    </row>
    <row r="3345" spans="1:8" x14ac:dyDescent="0.3">
      <c r="A3345" s="82"/>
      <c r="B3345" s="81"/>
      <c r="H3345" s="83"/>
    </row>
    <row r="3346" spans="1:8" x14ac:dyDescent="0.3">
      <c r="A3346" s="82"/>
      <c r="B3346" s="81"/>
      <c r="H3346" s="83"/>
    </row>
    <row r="3347" spans="1:8" x14ac:dyDescent="0.3">
      <c r="A3347" s="82"/>
      <c r="B3347" s="81"/>
      <c r="H3347" s="83"/>
    </row>
    <row r="3348" spans="1:8" x14ac:dyDescent="0.3">
      <c r="A3348" s="82"/>
      <c r="B3348" s="81"/>
      <c r="H3348" s="83"/>
    </row>
    <row r="3349" spans="1:8" x14ac:dyDescent="0.3">
      <c r="A3349" s="82"/>
      <c r="B3349" s="81"/>
      <c r="H3349" s="83"/>
    </row>
    <row r="3350" spans="1:8" x14ac:dyDescent="0.3">
      <c r="A3350" s="82"/>
      <c r="B3350" s="81"/>
      <c r="H3350" s="83"/>
    </row>
    <row r="3351" spans="1:8" x14ac:dyDescent="0.3">
      <c r="A3351" s="82"/>
      <c r="B3351" s="81"/>
      <c r="H3351" s="83"/>
    </row>
    <row r="3352" spans="1:8" x14ac:dyDescent="0.3">
      <c r="A3352" s="82"/>
      <c r="B3352" s="81"/>
      <c r="H3352" s="83"/>
    </row>
    <row r="3353" spans="1:8" x14ac:dyDescent="0.3">
      <c r="A3353" s="82"/>
      <c r="B3353" s="81"/>
      <c r="H3353" s="83"/>
    </row>
    <row r="3354" spans="1:8" x14ac:dyDescent="0.3">
      <c r="A3354" s="82"/>
      <c r="B3354" s="81"/>
      <c r="H3354" s="83"/>
    </row>
    <row r="3355" spans="1:8" x14ac:dyDescent="0.3">
      <c r="A3355" s="82"/>
      <c r="B3355" s="81"/>
      <c r="H3355" s="83"/>
    </row>
    <row r="3356" spans="1:8" x14ac:dyDescent="0.3">
      <c r="A3356" s="82"/>
      <c r="B3356" s="81"/>
      <c r="H3356" s="83"/>
    </row>
    <row r="3357" spans="1:8" x14ac:dyDescent="0.3">
      <c r="A3357" s="82"/>
      <c r="B3357" s="81"/>
      <c r="H3357" s="83"/>
    </row>
    <row r="3358" spans="1:8" x14ac:dyDescent="0.3">
      <c r="A3358" s="82"/>
      <c r="B3358" s="81"/>
      <c r="H3358" s="83"/>
    </row>
    <row r="3359" spans="1:8" x14ac:dyDescent="0.3">
      <c r="A3359" s="82"/>
      <c r="B3359" s="81"/>
      <c r="H3359" s="83"/>
    </row>
    <row r="3360" spans="1:8" x14ac:dyDescent="0.3">
      <c r="A3360" s="82"/>
      <c r="B3360" s="81"/>
      <c r="H3360" s="83"/>
    </row>
    <row r="3361" spans="1:8" x14ac:dyDescent="0.3">
      <c r="A3361" s="82"/>
      <c r="B3361" s="81"/>
      <c r="H3361" s="83"/>
    </row>
    <row r="3362" spans="1:8" x14ac:dyDescent="0.3">
      <c r="A3362" s="82"/>
      <c r="B3362" s="81"/>
      <c r="H3362" s="83"/>
    </row>
    <row r="3363" spans="1:8" x14ac:dyDescent="0.3">
      <c r="A3363" s="82"/>
      <c r="B3363" s="81"/>
      <c r="H3363" s="83"/>
    </row>
    <row r="3364" spans="1:8" x14ac:dyDescent="0.3">
      <c r="A3364" s="82"/>
      <c r="B3364" s="81"/>
      <c r="H3364" s="83"/>
    </row>
    <row r="3365" spans="1:8" x14ac:dyDescent="0.3">
      <c r="A3365" s="82"/>
      <c r="B3365" s="81"/>
      <c r="H3365" s="83"/>
    </row>
    <row r="3366" spans="1:8" x14ac:dyDescent="0.3">
      <c r="A3366" s="82"/>
      <c r="B3366" s="81"/>
      <c r="H3366" s="83"/>
    </row>
    <row r="3367" spans="1:8" x14ac:dyDescent="0.3">
      <c r="A3367" s="82"/>
      <c r="B3367" s="81"/>
      <c r="H3367" s="83"/>
    </row>
    <row r="3368" spans="1:8" x14ac:dyDescent="0.3">
      <c r="A3368" s="82"/>
      <c r="B3368" s="81"/>
      <c r="H3368" s="83"/>
    </row>
    <row r="3369" spans="1:8" x14ac:dyDescent="0.3">
      <c r="A3369" s="82"/>
      <c r="B3369" s="81"/>
      <c r="H3369" s="83"/>
    </row>
    <row r="3370" spans="1:8" x14ac:dyDescent="0.3">
      <c r="A3370" s="82"/>
      <c r="B3370" s="81"/>
      <c r="H3370" s="83"/>
    </row>
    <row r="3371" spans="1:8" x14ac:dyDescent="0.3">
      <c r="A3371" s="82"/>
      <c r="B3371" s="81"/>
      <c r="H3371" s="83"/>
    </row>
    <row r="3372" spans="1:8" x14ac:dyDescent="0.3">
      <c r="A3372" s="82"/>
      <c r="B3372" s="81"/>
      <c r="H3372" s="83"/>
    </row>
    <row r="3373" spans="1:8" x14ac:dyDescent="0.3">
      <c r="A3373" s="82"/>
      <c r="B3373" s="81"/>
      <c r="H3373" s="83"/>
    </row>
    <row r="3374" spans="1:8" x14ac:dyDescent="0.3">
      <c r="A3374" s="82"/>
      <c r="B3374" s="81"/>
      <c r="H3374" s="83"/>
    </row>
    <row r="3375" spans="1:8" x14ac:dyDescent="0.3">
      <c r="A3375" s="82"/>
      <c r="B3375" s="81"/>
      <c r="H3375" s="83"/>
    </row>
    <row r="3376" spans="1:8" x14ac:dyDescent="0.3">
      <c r="A3376" s="82"/>
      <c r="B3376" s="81"/>
      <c r="H3376" s="83"/>
    </row>
    <row r="3377" spans="1:8" x14ac:dyDescent="0.3">
      <c r="A3377" s="82"/>
      <c r="B3377" s="81"/>
      <c r="H3377" s="83"/>
    </row>
    <row r="3378" spans="1:8" x14ac:dyDescent="0.3">
      <c r="A3378" s="82"/>
      <c r="B3378" s="81"/>
      <c r="H3378" s="83"/>
    </row>
    <row r="3379" spans="1:8" x14ac:dyDescent="0.3">
      <c r="A3379" s="82"/>
      <c r="B3379" s="81"/>
      <c r="H3379" s="83"/>
    </row>
    <row r="3380" spans="1:8" x14ac:dyDescent="0.3">
      <c r="A3380" s="82"/>
      <c r="B3380" s="81"/>
      <c r="H3380" s="83"/>
    </row>
    <row r="3381" spans="1:8" x14ac:dyDescent="0.3">
      <c r="A3381" s="82"/>
      <c r="B3381" s="81"/>
      <c r="H3381" s="83"/>
    </row>
    <row r="3382" spans="1:8" x14ac:dyDescent="0.3">
      <c r="A3382" s="82"/>
      <c r="B3382" s="81"/>
      <c r="H3382" s="83"/>
    </row>
    <row r="3383" spans="1:8" x14ac:dyDescent="0.3">
      <c r="A3383" s="82"/>
      <c r="B3383" s="81"/>
      <c r="H3383" s="83"/>
    </row>
    <row r="3384" spans="1:8" x14ac:dyDescent="0.3">
      <c r="A3384" s="82"/>
      <c r="B3384" s="81"/>
      <c r="H3384" s="83"/>
    </row>
    <row r="3385" spans="1:8" x14ac:dyDescent="0.3">
      <c r="A3385" s="82"/>
      <c r="B3385" s="81"/>
      <c r="H3385" s="83"/>
    </row>
    <row r="3386" spans="1:8" x14ac:dyDescent="0.3">
      <c r="A3386" s="82"/>
      <c r="B3386" s="81"/>
      <c r="H3386" s="83"/>
    </row>
    <row r="3387" spans="1:8" x14ac:dyDescent="0.3">
      <c r="A3387" s="82"/>
      <c r="B3387" s="81"/>
      <c r="H3387" s="83"/>
    </row>
    <row r="3388" spans="1:8" x14ac:dyDescent="0.3">
      <c r="A3388" s="82"/>
      <c r="B3388" s="81"/>
      <c r="H3388" s="83"/>
    </row>
    <row r="3389" spans="1:8" x14ac:dyDescent="0.3">
      <c r="A3389" s="82"/>
      <c r="B3389" s="81"/>
      <c r="H3389" s="83"/>
    </row>
    <row r="3390" spans="1:8" x14ac:dyDescent="0.3">
      <c r="A3390" s="82"/>
      <c r="B3390" s="81"/>
      <c r="H3390" s="83"/>
    </row>
    <row r="3391" spans="1:8" x14ac:dyDescent="0.3">
      <c r="A3391" s="82"/>
      <c r="B3391" s="81"/>
      <c r="H3391" s="83"/>
    </row>
    <row r="3392" spans="1:8" x14ac:dyDescent="0.3">
      <c r="A3392" s="82"/>
      <c r="B3392" s="81"/>
      <c r="H3392" s="83"/>
    </row>
    <row r="3393" spans="1:8" x14ac:dyDescent="0.3">
      <c r="A3393" s="82"/>
      <c r="B3393" s="81"/>
      <c r="H3393" s="83"/>
    </row>
    <row r="3394" spans="1:8" x14ac:dyDescent="0.3">
      <c r="A3394" s="82"/>
      <c r="B3394" s="81"/>
      <c r="H3394" s="83"/>
    </row>
    <row r="3395" spans="1:8" x14ac:dyDescent="0.3">
      <c r="A3395" s="82"/>
      <c r="B3395" s="81"/>
      <c r="H3395" s="83"/>
    </row>
    <row r="3396" spans="1:8" x14ac:dyDescent="0.3">
      <c r="A3396" s="82"/>
      <c r="B3396" s="81"/>
      <c r="H3396" s="83"/>
    </row>
    <row r="3397" spans="1:8" x14ac:dyDescent="0.3">
      <c r="A3397" s="82"/>
      <c r="B3397" s="81"/>
      <c r="H3397" s="83"/>
    </row>
    <row r="3398" spans="1:8" x14ac:dyDescent="0.3">
      <c r="A3398" s="82"/>
      <c r="B3398" s="81"/>
      <c r="H3398" s="83"/>
    </row>
    <row r="3399" spans="1:8" x14ac:dyDescent="0.3">
      <c r="A3399" s="82"/>
      <c r="B3399" s="81"/>
      <c r="H3399" s="83"/>
    </row>
    <row r="3400" spans="1:8" x14ac:dyDescent="0.3">
      <c r="A3400" s="82"/>
      <c r="B3400" s="81"/>
      <c r="H3400" s="83"/>
    </row>
    <row r="3401" spans="1:8" x14ac:dyDescent="0.3">
      <c r="A3401" s="82"/>
      <c r="B3401" s="81"/>
      <c r="H3401" s="83"/>
    </row>
    <row r="3402" spans="1:8" x14ac:dyDescent="0.3">
      <c r="A3402" s="82"/>
      <c r="B3402" s="81"/>
      <c r="H3402" s="83"/>
    </row>
    <row r="3403" spans="1:8" x14ac:dyDescent="0.3">
      <c r="A3403" s="82"/>
      <c r="B3403" s="81"/>
      <c r="H3403" s="83"/>
    </row>
    <row r="3404" spans="1:8" x14ac:dyDescent="0.3">
      <c r="A3404" s="82"/>
      <c r="B3404" s="81"/>
      <c r="H3404" s="83"/>
    </row>
    <row r="3405" spans="1:8" x14ac:dyDescent="0.3">
      <c r="A3405" s="82"/>
      <c r="B3405" s="81"/>
      <c r="H3405" s="83"/>
    </row>
    <row r="3406" spans="1:8" x14ac:dyDescent="0.3">
      <c r="A3406" s="82"/>
      <c r="B3406" s="81"/>
      <c r="H3406" s="83"/>
    </row>
    <row r="3407" spans="1:8" x14ac:dyDescent="0.3">
      <c r="A3407" s="82"/>
      <c r="B3407" s="81"/>
      <c r="H3407" s="83"/>
    </row>
    <row r="3408" spans="1:8" x14ac:dyDescent="0.3">
      <c r="A3408" s="82"/>
      <c r="B3408" s="81"/>
      <c r="H3408" s="83"/>
    </row>
    <row r="3409" spans="1:8" x14ac:dyDescent="0.3">
      <c r="A3409" s="82"/>
      <c r="B3409" s="81"/>
      <c r="H3409" s="83"/>
    </row>
    <row r="3410" spans="1:8" x14ac:dyDescent="0.3">
      <c r="A3410" s="82"/>
      <c r="B3410" s="81"/>
      <c r="H3410" s="83"/>
    </row>
    <row r="3411" spans="1:8" x14ac:dyDescent="0.3">
      <c r="A3411" s="82"/>
      <c r="B3411" s="81"/>
      <c r="H3411" s="83"/>
    </row>
    <row r="3412" spans="1:8" x14ac:dyDescent="0.3">
      <c r="A3412" s="82"/>
      <c r="B3412" s="81"/>
      <c r="H3412" s="83"/>
    </row>
    <row r="3413" spans="1:8" x14ac:dyDescent="0.3">
      <c r="A3413" s="82"/>
      <c r="B3413" s="81"/>
      <c r="H3413" s="83"/>
    </row>
    <row r="3414" spans="1:8" x14ac:dyDescent="0.3">
      <c r="A3414" s="82"/>
      <c r="B3414" s="81"/>
      <c r="H3414" s="83"/>
    </row>
    <row r="3415" spans="1:8" x14ac:dyDescent="0.3">
      <c r="A3415" s="82"/>
      <c r="B3415" s="81"/>
      <c r="H3415" s="83"/>
    </row>
    <row r="3416" spans="1:8" x14ac:dyDescent="0.3">
      <c r="A3416" s="82"/>
      <c r="B3416" s="81"/>
      <c r="H3416" s="83"/>
    </row>
    <row r="3417" spans="1:8" x14ac:dyDescent="0.3">
      <c r="A3417" s="82"/>
      <c r="B3417" s="81"/>
      <c r="H3417" s="83"/>
    </row>
    <row r="3418" spans="1:8" x14ac:dyDescent="0.3">
      <c r="A3418" s="82"/>
      <c r="B3418" s="81"/>
      <c r="H3418" s="83"/>
    </row>
    <row r="3419" spans="1:8" x14ac:dyDescent="0.3">
      <c r="A3419" s="82"/>
      <c r="B3419" s="81"/>
      <c r="H3419" s="83"/>
    </row>
    <row r="3420" spans="1:8" x14ac:dyDescent="0.3">
      <c r="A3420" s="82"/>
      <c r="B3420" s="81"/>
      <c r="H3420" s="83"/>
    </row>
    <row r="3421" spans="1:8" x14ac:dyDescent="0.3">
      <c r="A3421" s="82"/>
      <c r="B3421" s="81"/>
      <c r="H3421" s="83"/>
    </row>
    <row r="3422" spans="1:8" x14ac:dyDescent="0.3">
      <c r="A3422" s="82"/>
      <c r="B3422" s="81"/>
      <c r="H3422" s="83"/>
    </row>
    <row r="3423" spans="1:8" x14ac:dyDescent="0.3">
      <c r="A3423" s="82"/>
      <c r="B3423" s="81"/>
      <c r="H3423" s="83"/>
    </row>
    <row r="3424" spans="1:8" x14ac:dyDescent="0.3">
      <c r="A3424" s="82"/>
      <c r="B3424" s="81"/>
      <c r="H3424" s="83"/>
    </row>
    <row r="3425" spans="1:8" x14ac:dyDescent="0.3">
      <c r="A3425" s="82"/>
      <c r="B3425" s="81"/>
      <c r="H3425" s="83"/>
    </row>
    <row r="3426" spans="1:8" x14ac:dyDescent="0.3">
      <c r="A3426" s="82"/>
      <c r="B3426" s="81"/>
      <c r="H3426" s="83"/>
    </row>
    <row r="3427" spans="1:8" x14ac:dyDescent="0.3">
      <c r="A3427" s="82"/>
      <c r="B3427" s="81"/>
      <c r="H3427" s="83"/>
    </row>
    <row r="3428" spans="1:8" x14ac:dyDescent="0.3">
      <c r="A3428" s="82"/>
      <c r="B3428" s="81"/>
      <c r="H3428" s="83"/>
    </row>
    <row r="3429" spans="1:8" x14ac:dyDescent="0.3">
      <c r="A3429" s="82"/>
      <c r="B3429" s="81"/>
      <c r="H3429" s="83"/>
    </row>
    <row r="3430" spans="1:8" x14ac:dyDescent="0.3">
      <c r="A3430" s="82"/>
      <c r="B3430" s="81"/>
      <c r="H3430" s="83"/>
    </row>
    <row r="3431" spans="1:8" x14ac:dyDescent="0.3">
      <c r="A3431" s="82"/>
      <c r="B3431" s="81"/>
      <c r="H3431" s="83"/>
    </row>
    <row r="3432" spans="1:8" x14ac:dyDescent="0.3">
      <c r="A3432" s="82"/>
      <c r="B3432" s="81"/>
      <c r="H3432" s="83"/>
    </row>
    <row r="3433" spans="1:8" x14ac:dyDescent="0.3">
      <c r="A3433" s="82"/>
      <c r="B3433" s="81"/>
      <c r="H3433" s="83"/>
    </row>
    <row r="3434" spans="1:8" x14ac:dyDescent="0.3">
      <c r="A3434" s="82"/>
      <c r="B3434" s="81"/>
      <c r="H3434" s="83"/>
    </row>
    <row r="3435" spans="1:8" x14ac:dyDescent="0.3">
      <c r="A3435" s="82"/>
      <c r="B3435" s="81"/>
      <c r="H3435" s="83"/>
    </row>
    <row r="3436" spans="1:8" x14ac:dyDescent="0.3">
      <c r="A3436" s="82"/>
      <c r="B3436" s="81"/>
      <c r="H3436" s="83"/>
    </row>
    <row r="3437" spans="1:8" x14ac:dyDescent="0.3">
      <c r="A3437" s="82"/>
      <c r="B3437" s="81"/>
      <c r="H3437" s="83"/>
    </row>
    <row r="3438" spans="1:8" x14ac:dyDescent="0.3">
      <c r="A3438" s="82"/>
      <c r="B3438" s="81"/>
      <c r="H3438" s="83"/>
    </row>
    <row r="3439" spans="1:8" x14ac:dyDescent="0.3">
      <c r="A3439" s="82"/>
      <c r="B3439" s="81"/>
      <c r="H3439" s="83"/>
    </row>
    <row r="3440" spans="1:8" x14ac:dyDescent="0.3">
      <c r="A3440" s="82"/>
      <c r="B3440" s="81"/>
      <c r="H3440" s="83"/>
    </row>
    <row r="3441" spans="1:8" x14ac:dyDescent="0.3">
      <c r="A3441" s="82"/>
      <c r="B3441" s="81"/>
      <c r="H3441" s="83"/>
    </row>
    <row r="3442" spans="1:8" x14ac:dyDescent="0.3">
      <c r="A3442" s="82"/>
      <c r="B3442" s="81"/>
      <c r="H3442" s="83"/>
    </row>
    <row r="3443" spans="1:8" x14ac:dyDescent="0.3">
      <c r="A3443" s="82"/>
      <c r="B3443" s="81"/>
      <c r="H3443" s="83"/>
    </row>
    <row r="3444" spans="1:8" x14ac:dyDescent="0.3">
      <c r="A3444" s="82"/>
      <c r="B3444" s="81"/>
      <c r="H3444" s="83"/>
    </row>
    <row r="3445" spans="1:8" x14ac:dyDescent="0.3">
      <c r="A3445" s="82"/>
      <c r="B3445" s="81"/>
      <c r="H3445" s="83"/>
    </row>
    <row r="3446" spans="1:8" x14ac:dyDescent="0.3">
      <c r="A3446" s="82"/>
      <c r="B3446" s="81"/>
      <c r="H3446" s="83"/>
    </row>
    <row r="3447" spans="1:8" x14ac:dyDescent="0.3">
      <c r="A3447" s="82"/>
      <c r="B3447" s="81"/>
      <c r="H3447" s="83"/>
    </row>
    <row r="3448" spans="1:8" x14ac:dyDescent="0.3">
      <c r="A3448" s="82"/>
      <c r="B3448" s="81"/>
      <c r="H3448" s="83"/>
    </row>
    <row r="3449" spans="1:8" x14ac:dyDescent="0.3">
      <c r="A3449" s="82"/>
      <c r="B3449" s="81"/>
      <c r="H3449" s="83"/>
    </row>
    <row r="3450" spans="1:8" x14ac:dyDescent="0.3">
      <c r="A3450" s="82"/>
      <c r="B3450" s="81"/>
      <c r="H3450" s="83"/>
    </row>
    <row r="3451" spans="1:8" x14ac:dyDescent="0.3">
      <c r="A3451" s="82"/>
      <c r="B3451" s="81"/>
      <c r="H3451" s="83"/>
    </row>
    <row r="3452" spans="1:8" x14ac:dyDescent="0.3">
      <c r="A3452" s="82"/>
      <c r="B3452" s="81"/>
      <c r="H3452" s="83"/>
    </row>
    <row r="3453" spans="1:8" x14ac:dyDescent="0.3">
      <c r="A3453" s="82"/>
      <c r="B3453" s="81"/>
      <c r="H3453" s="83"/>
    </row>
    <row r="3454" spans="1:8" x14ac:dyDescent="0.3">
      <c r="A3454" s="82"/>
      <c r="B3454" s="81"/>
      <c r="H3454" s="83"/>
    </row>
    <row r="3455" spans="1:8" x14ac:dyDescent="0.3">
      <c r="A3455" s="82"/>
      <c r="B3455" s="81"/>
      <c r="H3455" s="83"/>
    </row>
    <row r="3456" spans="1:8" x14ac:dyDescent="0.3">
      <c r="A3456" s="82"/>
      <c r="B3456" s="81"/>
      <c r="H3456" s="83"/>
    </row>
    <row r="3457" spans="1:8" x14ac:dyDescent="0.3">
      <c r="A3457" s="82"/>
      <c r="B3457" s="81"/>
      <c r="H3457" s="83"/>
    </row>
    <row r="3458" spans="1:8" x14ac:dyDescent="0.3">
      <c r="A3458" s="82"/>
      <c r="B3458" s="81"/>
      <c r="H3458" s="83"/>
    </row>
    <row r="3459" spans="1:8" x14ac:dyDescent="0.3">
      <c r="A3459" s="82"/>
      <c r="B3459" s="81"/>
      <c r="H3459" s="83"/>
    </row>
    <row r="3460" spans="1:8" x14ac:dyDescent="0.3">
      <c r="A3460" s="82"/>
      <c r="B3460" s="81"/>
      <c r="H3460" s="83"/>
    </row>
    <row r="3461" spans="1:8" x14ac:dyDescent="0.3">
      <c r="A3461" s="82"/>
      <c r="B3461" s="81"/>
      <c r="H3461" s="83"/>
    </row>
    <row r="3462" spans="1:8" x14ac:dyDescent="0.3">
      <c r="A3462" s="82"/>
      <c r="B3462" s="81"/>
      <c r="H3462" s="83"/>
    </row>
    <row r="3463" spans="1:8" x14ac:dyDescent="0.3">
      <c r="A3463" s="82"/>
      <c r="B3463" s="81"/>
      <c r="H3463" s="83"/>
    </row>
    <row r="3464" spans="1:8" x14ac:dyDescent="0.3">
      <c r="A3464" s="82"/>
      <c r="B3464" s="81"/>
      <c r="H3464" s="83"/>
    </row>
    <row r="3465" spans="1:8" x14ac:dyDescent="0.3">
      <c r="A3465" s="82"/>
      <c r="B3465" s="81"/>
      <c r="H3465" s="83"/>
    </row>
    <row r="3466" spans="1:8" x14ac:dyDescent="0.3">
      <c r="A3466" s="82"/>
      <c r="B3466" s="81"/>
      <c r="H3466" s="83"/>
    </row>
    <row r="3467" spans="1:8" x14ac:dyDescent="0.3">
      <c r="A3467" s="82"/>
      <c r="B3467" s="81"/>
      <c r="H3467" s="83"/>
    </row>
    <row r="3468" spans="1:8" x14ac:dyDescent="0.3">
      <c r="A3468" s="82"/>
      <c r="B3468" s="81"/>
      <c r="H3468" s="83"/>
    </row>
    <row r="3469" spans="1:8" x14ac:dyDescent="0.3">
      <c r="A3469" s="82"/>
      <c r="B3469" s="81"/>
      <c r="H3469" s="83"/>
    </row>
    <row r="3470" spans="1:8" x14ac:dyDescent="0.3">
      <c r="A3470" s="82"/>
      <c r="B3470" s="81"/>
      <c r="H3470" s="83"/>
    </row>
    <row r="3471" spans="1:8" x14ac:dyDescent="0.3">
      <c r="A3471" s="82"/>
      <c r="B3471" s="81"/>
      <c r="H3471" s="83"/>
    </row>
    <row r="3472" spans="1:8" x14ac:dyDescent="0.3">
      <c r="A3472" s="82"/>
      <c r="B3472" s="81"/>
      <c r="H3472" s="83"/>
    </row>
    <row r="3473" spans="1:8" x14ac:dyDescent="0.3">
      <c r="A3473" s="82"/>
      <c r="B3473" s="81"/>
      <c r="H3473" s="83"/>
    </row>
    <row r="3474" spans="1:8" x14ac:dyDescent="0.3">
      <c r="A3474" s="82"/>
      <c r="B3474" s="81"/>
      <c r="H3474" s="83"/>
    </row>
    <row r="3475" spans="1:8" x14ac:dyDescent="0.3">
      <c r="A3475" s="82"/>
      <c r="B3475" s="81"/>
      <c r="H3475" s="83"/>
    </row>
    <row r="3476" spans="1:8" x14ac:dyDescent="0.3">
      <c r="A3476" s="82"/>
      <c r="B3476" s="81"/>
      <c r="H3476" s="83"/>
    </row>
    <row r="3477" spans="1:8" x14ac:dyDescent="0.3">
      <c r="A3477" s="82"/>
      <c r="B3477" s="81"/>
      <c r="H3477" s="83"/>
    </row>
    <row r="3478" spans="1:8" x14ac:dyDescent="0.3">
      <c r="A3478" s="82"/>
      <c r="B3478" s="81"/>
      <c r="H3478" s="83"/>
    </row>
    <row r="3479" spans="1:8" x14ac:dyDescent="0.3">
      <c r="A3479" s="82"/>
      <c r="B3479" s="81"/>
      <c r="H3479" s="83"/>
    </row>
    <row r="3480" spans="1:8" x14ac:dyDescent="0.3">
      <c r="A3480" s="82"/>
      <c r="B3480" s="81"/>
      <c r="H3480" s="83"/>
    </row>
    <row r="3481" spans="1:8" x14ac:dyDescent="0.3">
      <c r="A3481" s="82"/>
      <c r="B3481" s="81"/>
      <c r="H3481" s="83"/>
    </row>
    <row r="3482" spans="1:8" x14ac:dyDescent="0.3">
      <c r="A3482" s="82"/>
      <c r="B3482" s="81"/>
      <c r="H3482" s="83"/>
    </row>
    <row r="3483" spans="1:8" x14ac:dyDescent="0.3">
      <c r="A3483" s="82"/>
      <c r="B3483" s="81"/>
      <c r="H3483" s="83"/>
    </row>
    <row r="3484" spans="1:8" x14ac:dyDescent="0.3">
      <c r="A3484" s="82"/>
      <c r="B3484" s="81"/>
      <c r="H3484" s="83"/>
    </row>
    <row r="3485" spans="1:8" x14ac:dyDescent="0.3">
      <c r="A3485" s="82"/>
      <c r="B3485" s="81"/>
      <c r="H3485" s="83"/>
    </row>
    <row r="3486" spans="1:8" x14ac:dyDescent="0.3">
      <c r="A3486" s="82"/>
      <c r="B3486" s="81"/>
      <c r="H3486" s="83"/>
    </row>
    <row r="3487" spans="1:8" x14ac:dyDescent="0.3">
      <c r="A3487" s="82"/>
      <c r="B3487" s="81"/>
      <c r="H3487" s="83"/>
    </row>
    <row r="3488" spans="1:8" x14ac:dyDescent="0.3">
      <c r="A3488" s="82"/>
      <c r="B3488" s="81"/>
      <c r="H3488" s="83"/>
    </row>
    <row r="3489" spans="1:8" x14ac:dyDescent="0.3">
      <c r="A3489" s="82"/>
      <c r="B3489" s="81"/>
      <c r="H3489" s="83"/>
    </row>
    <row r="3490" spans="1:8" x14ac:dyDescent="0.3">
      <c r="A3490" s="82"/>
      <c r="B3490" s="81"/>
      <c r="H3490" s="83"/>
    </row>
    <row r="3491" spans="1:8" x14ac:dyDescent="0.3">
      <c r="A3491" s="82"/>
      <c r="B3491" s="81"/>
      <c r="H3491" s="83"/>
    </row>
    <row r="3492" spans="1:8" x14ac:dyDescent="0.3">
      <c r="A3492" s="82"/>
      <c r="B3492" s="81"/>
      <c r="H3492" s="83"/>
    </row>
    <row r="3493" spans="1:8" x14ac:dyDescent="0.3">
      <c r="A3493" s="82"/>
      <c r="B3493" s="81"/>
      <c r="H3493" s="83"/>
    </row>
    <row r="3494" spans="1:8" x14ac:dyDescent="0.3">
      <c r="A3494" s="82"/>
      <c r="B3494" s="81"/>
      <c r="H3494" s="83"/>
    </row>
    <row r="3495" spans="1:8" x14ac:dyDescent="0.3">
      <c r="A3495" s="82"/>
      <c r="B3495" s="81"/>
      <c r="H3495" s="83"/>
    </row>
    <row r="3496" spans="1:8" x14ac:dyDescent="0.3">
      <c r="A3496" s="82"/>
      <c r="B3496" s="81"/>
      <c r="H3496" s="83"/>
    </row>
    <row r="3497" spans="1:8" x14ac:dyDescent="0.3">
      <c r="A3497" s="82"/>
      <c r="B3497" s="81"/>
      <c r="H3497" s="83"/>
    </row>
    <row r="3498" spans="1:8" x14ac:dyDescent="0.3">
      <c r="A3498" s="82"/>
      <c r="B3498" s="81"/>
      <c r="H3498" s="83"/>
    </row>
    <row r="3499" spans="1:8" x14ac:dyDescent="0.3">
      <c r="A3499" s="82"/>
      <c r="B3499" s="81"/>
      <c r="H3499" s="83"/>
    </row>
    <row r="3500" spans="1:8" x14ac:dyDescent="0.3">
      <c r="A3500" s="82"/>
      <c r="B3500" s="81"/>
      <c r="H3500" s="83"/>
    </row>
    <row r="3501" spans="1:8" x14ac:dyDescent="0.3">
      <c r="A3501" s="82"/>
      <c r="B3501" s="81"/>
      <c r="H3501" s="83"/>
    </row>
    <row r="3502" spans="1:8" x14ac:dyDescent="0.3">
      <c r="A3502" s="82"/>
      <c r="B3502" s="81"/>
      <c r="H3502" s="83"/>
    </row>
    <row r="3503" spans="1:8" x14ac:dyDescent="0.3">
      <c r="A3503" s="82"/>
      <c r="B3503" s="81"/>
      <c r="H3503" s="83"/>
    </row>
    <row r="3504" spans="1:8" x14ac:dyDescent="0.3">
      <c r="A3504" s="82"/>
      <c r="B3504" s="81"/>
      <c r="H3504" s="83"/>
    </row>
    <row r="3505" spans="1:8" x14ac:dyDescent="0.3">
      <c r="A3505" s="82"/>
      <c r="B3505" s="81"/>
      <c r="H3505" s="83"/>
    </row>
    <row r="3506" spans="1:8" x14ac:dyDescent="0.3">
      <c r="A3506" s="82"/>
      <c r="B3506" s="81"/>
      <c r="H3506" s="83"/>
    </row>
    <row r="3507" spans="1:8" x14ac:dyDescent="0.3">
      <c r="A3507" s="82"/>
      <c r="B3507" s="81"/>
      <c r="H3507" s="83"/>
    </row>
    <row r="3508" spans="1:8" x14ac:dyDescent="0.3">
      <c r="A3508" s="82"/>
      <c r="B3508" s="81"/>
      <c r="H3508" s="83"/>
    </row>
    <row r="3509" spans="1:8" x14ac:dyDescent="0.3">
      <c r="A3509" s="82"/>
      <c r="B3509" s="81"/>
      <c r="H3509" s="83"/>
    </row>
    <row r="3510" spans="1:8" x14ac:dyDescent="0.3">
      <c r="A3510" s="82"/>
      <c r="B3510" s="81"/>
      <c r="H3510" s="83"/>
    </row>
    <row r="3511" spans="1:8" x14ac:dyDescent="0.3">
      <c r="A3511" s="82"/>
      <c r="B3511" s="81"/>
      <c r="H3511" s="83"/>
    </row>
    <row r="3512" spans="1:8" x14ac:dyDescent="0.3">
      <c r="A3512" s="82"/>
      <c r="B3512" s="81"/>
      <c r="H3512" s="83"/>
    </row>
    <row r="3513" spans="1:8" x14ac:dyDescent="0.3">
      <c r="A3513" s="82"/>
      <c r="B3513" s="81"/>
      <c r="H3513" s="83"/>
    </row>
    <row r="3514" spans="1:8" x14ac:dyDescent="0.3">
      <c r="A3514" s="82"/>
      <c r="B3514" s="81"/>
      <c r="H3514" s="83"/>
    </row>
    <row r="3515" spans="1:8" x14ac:dyDescent="0.3">
      <c r="A3515" s="82"/>
      <c r="B3515" s="81"/>
      <c r="H3515" s="83"/>
    </row>
    <row r="3516" spans="1:8" x14ac:dyDescent="0.3">
      <c r="A3516" s="82"/>
      <c r="B3516" s="81"/>
      <c r="H3516" s="83"/>
    </row>
    <row r="3517" spans="1:8" x14ac:dyDescent="0.3">
      <c r="A3517" s="82"/>
      <c r="B3517" s="81"/>
      <c r="H3517" s="83"/>
    </row>
    <row r="3518" spans="1:8" x14ac:dyDescent="0.3">
      <c r="A3518" s="82"/>
      <c r="B3518" s="81"/>
      <c r="H3518" s="83"/>
    </row>
    <row r="3519" spans="1:8" x14ac:dyDescent="0.3">
      <c r="A3519" s="82"/>
      <c r="B3519" s="81"/>
      <c r="H3519" s="83"/>
    </row>
    <row r="3520" spans="1:8" x14ac:dyDescent="0.3">
      <c r="A3520" s="82"/>
      <c r="B3520" s="81"/>
      <c r="H3520" s="83"/>
    </row>
    <row r="3521" spans="1:8" x14ac:dyDescent="0.3">
      <c r="A3521" s="82"/>
      <c r="B3521" s="81"/>
      <c r="H3521" s="83"/>
    </row>
    <row r="3522" spans="1:8" x14ac:dyDescent="0.3">
      <c r="A3522" s="82"/>
      <c r="B3522" s="81"/>
      <c r="H3522" s="83"/>
    </row>
    <row r="3523" spans="1:8" x14ac:dyDescent="0.3">
      <c r="A3523" s="82"/>
      <c r="B3523" s="81"/>
      <c r="H3523" s="83"/>
    </row>
    <row r="3524" spans="1:8" x14ac:dyDescent="0.3">
      <c r="A3524" s="82"/>
      <c r="B3524" s="81"/>
      <c r="H3524" s="83"/>
    </row>
    <row r="3525" spans="1:8" x14ac:dyDescent="0.3">
      <c r="A3525" s="82"/>
      <c r="B3525" s="81"/>
      <c r="H3525" s="83"/>
    </row>
    <row r="3526" spans="1:8" x14ac:dyDescent="0.3">
      <c r="A3526" s="82"/>
      <c r="B3526" s="81"/>
      <c r="H3526" s="83"/>
    </row>
    <row r="3527" spans="1:8" x14ac:dyDescent="0.3">
      <c r="A3527" s="82"/>
      <c r="B3527" s="81"/>
      <c r="H3527" s="83"/>
    </row>
    <row r="3528" spans="1:8" x14ac:dyDescent="0.3">
      <c r="A3528" s="82"/>
      <c r="B3528" s="81"/>
      <c r="H3528" s="83"/>
    </row>
    <row r="3529" spans="1:8" x14ac:dyDescent="0.3">
      <c r="A3529" s="82"/>
      <c r="B3529" s="81"/>
      <c r="H3529" s="83"/>
    </row>
    <row r="3530" spans="1:8" x14ac:dyDescent="0.3">
      <c r="A3530" s="82"/>
      <c r="B3530" s="81"/>
      <c r="H3530" s="83"/>
    </row>
    <row r="3531" spans="1:8" x14ac:dyDescent="0.3">
      <c r="A3531" s="82"/>
      <c r="B3531" s="81"/>
      <c r="H3531" s="83"/>
    </row>
    <row r="3532" spans="1:8" x14ac:dyDescent="0.3">
      <c r="A3532" s="82"/>
      <c r="B3532" s="81"/>
      <c r="H3532" s="83"/>
    </row>
    <row r="3533" spans="1:8" x14ac:dyDescent="0.3">
      <c r="A3533" s="82"/>
      <c r="B3533" s="81"/>
      <c r="H3533" s="83"/>
    </row>
    <row r="3534" spans="1:8" x14ac:dyDescent="0.3">
      <c r="A3534" s="82"/>
      <c r="B3534" s="81"/>
      <c r="H3534" s="83"/>
    </row>
    <row r="3535" spans="1:8" x14ac:dyDescent="0.3">
      <c r="A3535" s="82"/>
      <c r="B3535" s="81"/>
      <c r="H3535" s="83"/>
    </row>
    <row r="3536" spans="1:8" x14ac:dyDescent="0.3">
      <c r="A3536" s="82"/>
      <c r="B3536" s="81"/>
      <c r="H3536" s="83"/>
    </row>
    <row r="3537" spans="1:8" x14ac:dyDescent="0.3">
      <c r="A3537" s="82"/>
      <c r="B3537" s="81"/>
      <c r="H3537" s="83"/>
    </row>
    <row r="3538" spans="1:8" x14ac:dyDescent="0.3">
      <c r="A3538" s="82"/>
      <c r="B3538" s="81"/>
      <c r="H3538" s="83"/>
    </row>
    <row r="3539" spans="1:8" x14ac:dyDescent="0.3">
      <c r="A3539" s="82"/>
      <c r="B3539" s="81"/>
      <c r="H3539" s="83"/>
    </row>
    <row r="3540" spans="1:8" x14ac:dyDescent="0.3">
      <c r="A3540" s="82"/>
      <c r="B3540" s="81"/>
      <c r="H3540" s="83"/>
    </row>
    <row r="3541" spans="1:8" x14ac:dyDescent="0.3">
      <c r="A3541" s="82"/>
      <c r="B3541" s="81"/>
      <c r="H3541" s="83"/>
    </row>
    <row r="3542" spans="1:8" x14ac:dyDescent="0.3">
      <c r="A3542" s="82"/>
      <c r="B3542" s="81"/>
      <c r="H3542" s="83"/>
    </row>
    <row r="3543" spans="1:8" x14ac:dyDescent="0.3">
      <c r="A3543" s="82"/>
      <c r="B3543" s="81"/>
      <c r="H3543" s="83"/>
    </row>
    <row r="3544" spans="1:8" x14ac:dyDescent="0.3">
      <c r="A3544" s="82"/>
      <c r="B3544" s="81"/>
      <c r="H3544" s="83"/>
    </row>
    <row r="3545" spans="1:8" x14ac:dyDescent="0.3">
      <c r="A3545" s="82"/>
      <c r="B3545" s="81"/>
      <c r="H3545" s="83"/>
    </row>
    <row r="3546" spans="1:8" x14ac:dyDescent="0.3">
      <c r="A3546" s="82"/>
      <c r="B3546" s="81"/>
      <c r="H3546" s="83"/>
    </row>
    <row r="3547" spans="1:8" x14ac:dyDescent="0.3">
      <c r="A3547" s="82"/>
      <c r="B3547" s="81"/>
      <c r="H3547" s="83"/>
    </row>
    <row r="3548" spans="1:8" x14ac:dyDescent="0.3">
      <c r="A3548" s="82"/>
      <c r="B3548" s="81"/>
      <c r="H3548" s="83"/>
    </row>
    <row r="3549" spans="1:8" x14ac:dyDescent="0.3">
      <c r="A3549" s="82"/>
      <c r="B3549" s="81"/>
      <c r="H3549" s="83"/>
    </row>
    <row r="3550" spans="1:8" x14ac:dyDescent="0.3">
      <c r="A3550" s="82"/>
      <c r="B3550" s="81"/>
      <c r="H3550" s="83"/>
    </row>
    <row r="3551" spans="1:8" x14ac:dyDescent="0.3">
      <c r="A3551" s="82"/>
      <c r="B3551" s="81"/>
      <c r="H3551" s="83"/>
    </row>
    <row r="3552" spans="1:8" x14ac:dyDescent="0.3">
      <c r="A3552" s="82"/>
      <c r="B3552" s="81"/>
      <c r="H3552" s="83"/>
    </row>
    <row r="3553" spans="1:8" x14ac:dyDescent="0.3">
      <c r="A3553" s="82"/>
      <c r="B3553" s="81"/>
      <c r="H3553" s="83"/>
    </row>
    <row r="3554" spans="1:8" x14ac:dyDescent="0.3">
      <c r="A3554" s="82"/>
      <c r="B3554" s="81"/>
      <c r="H3554" s="83"/>
    </row>
    <row r="3555" spans="1:8" x14ac:dyDescent="0.3">
      <c r="A3555" s="82"/>
      <c r="B3555" s="81"/>
      <c r="H3555" s="83"/>
    </row>
    <row r="3556" spans="1:8" x14ac:dyDescent="0.3">
      <c r="A3556" s="82"/>
      <c r="B3556" s="81"/>
      <c r="H3556" s="83"/>
    </row>
    <row r="3557" spans="1:8" x14ac:dyDescent="0.3">
      <c r="A3557" s="82"/>
      <c r="B3557" s="81"/>
      <c r="H3557" s="83"/>
    </row>
    <row r="3558" spans="1:8" x14ac:dyDescent="0.3">
      <c r="A3558" s="82"/>
      <c r="B3558" s="81"/>
      <c r="H3558" s="83"/>
    </row>
    <row r="3559" spans="1:8" x14ac:dyDescent="0.3">
      <c r="A3559" s="82"/>
      <c r="B3559" s="81"/>
      <c r="H3559" s="83"/>
    </row>
    <row r="3560" spans="1:8" x14ac:dyDescent="0.3">
      <c r="A3560" s="82"/>
      <c r="B3560" s="81"/>
      <c r="H3560" s="83"/>
    </row>
    <row r="3561" spans="1:8" x14ac:dyDescent="0.3">
      <c r="A3561" s="82"/>
      <c r="B3561" s="81"/>
      <c r="H3561" s="83"/>
    </row>
    <row r="3562" spans="1:8" x14ac:dyDescent="0.3">
      <c r="A3562" s="82"/>
      <c r="B3562" s="81"/>
      <c r="H3562" s="83"/>
    </row>
    <row r="3563" spans="1:8" x14ac:dyDescent="0.3">
      <c r="A3563" s="82"/>
      <c r="B3563" s="81"/>
      <c r="H3563" s="83"/>
    </row>
    <row r="3564" spans="1:8" x14ac:dyDescent="0.3">
      <c r="A3564" s="82"/>
      <c r="B3564" s="81"/>
      <c r="H3564" s="83"/>
    </row>
    <row r="3565" spans="1:8" x14ac:dyDescent="0.3">
      <c r="A3565" s="82"/>
      <c r="B3565" s="81"/>
      <c r="H3565" s="83"/>
    </row>
    <row r="3566" spans="1:8" x14ac:dyDescent="0.3">
      <c r="A3566" s="82"/>
      <c r="B3566" s="81"/>
      <c r="H3566" s="83"/>
    </row>
    <row r="3567" spans="1:8" x14ac:dyDescent="0.3">
      <c r="A3567" s="82"/>
      <c r="B3567" s="81"/>
      <c r="H3567" s="83"/>
    </row>
    <row r="3568" spans="1:8" x14ac:dyDescent="0.3">
      <c r="A3568" s="82"/>
      <c r="B3568" s="81"/>
      <c r="H3568" s="83"/>
    </row>
    <row r="3569" spans="1:8" x14ac:dyDescent="0.3">
      <c r="A3569" s="82"/>
      <c r="B3569" s="81"/>
      <c r="H3569" s="83"/>
    </row>
    <row r="3570" spans="1:8" x14ac:dyDescent="0.3">
      <c r="A3570" s="82"/>
      <c r="B3570" s="81"/>
      <c r="H3570" s="83"/>
    </row>
    <row r="3571" spans="1:8" x14ac:dyDescent="0.3">
      <c r="A3571" s="82"/>
      <c r="B3571" s="81"/>
      <c r="H3571" s="83"/>
    </row>
    <row r="3572" spans="1:8" x14ac:dyDescent="0.3">
      <c r="A3572" s="82"/>
      <c r="B3572" s="81"/>
      <c r="H3572" s="83"/>
    </row>
    <row r="3573" spans="1:8" x14ac:dyDescent="0.3">
      <c r="A3573" s="82"/>
      <c r="B3573" s="81"/>
      <c r="H3573" s="83"/>
    </row>
    <row r="3574" spans="1:8" x14ac:dyDescent="0.3">
      <c r="A3574" s="82"/>
      <c r="B3574" s="81"/>
      <c r="H3574" s="83"/>
    </row>
    <row r="3575" spans="1:8" x14ac:dyDescent="0.3">
      <c r="A3575" s="82"/>
      <c r="B3575" s="81"/>
      <c r="H3575" s="83"/>
    </row>
    <row r="3576" spans="1:8" x14ac:dyDescent="0.3">
      <c r="A3576" s="82"/>
      <c r="B3576" s="81"/>
      <c r="H3576" s="83"/>
    </row>
    <row r="3577" spans="1:8" x14ac:dyDescent="0.3">
      <c r="A3577" s="82"/>
      <c r="B3577" s="81"/>
      <c r="H3577" s="83"/>
    </row>
    <row r="3578" spans="1:8" x14ac:dyDescent="0.3">
      <c r="A3578" s="82"/>
      <c r="B3578" s="81"/>
      <c r="H3578" s="83"/>
    </row>
    <row r="3579" spans="1:8" x14ac:dyDescent="0.3">
      <c r="A3579" s="82"/>
      <c r="B3579" s="81"/>
      <c r="H3579" s="83"/>
    </row>
    <row r="3580" spans="1:8" x14ac:dyDescent="0.3">
      <c r="A3580" s="82"/>
      <c r="B3580" s="81"/>
      <c r="H3580" s="83"/>
    </row>
    <row r="3581" spans="1:8" x14ac:dyDescent="0.3">
      <c r="A3581" s="82"/>
      <c r="B3581" s="81"/>
      <c r="H3581" s="83"/>
    </row>
    <row r="3582" spans="1:8" x14ac:dyDescent="0.3">
      <c r="A3582" s="82"/>
      <c r="B3582" s="81"/>
      <c r="H3582" s="83"/>
    </row>
    <row r="3583" spans="1:8" x14ac:dyDescent="0.3">
      <c r="A3583" s="82"/>
      <c r="B3583" s="81"/>
      <c r="H3583" s="83"/>
    </row>
    <row r="3584" spans="1:8" x14ac:dyDescent="0.3">
      <c r="A3584" s="82"/>
      <c r="B3584" s="81"/>
      <c r="H3584" s="83"/>
    </row>
    <row r="3585" spans="1:8" x14ac:dyDescent="0.3">
      <c r="A3585" s="82"/>
      <c r="B3585" s="81"/>
      <c r="H3585" s="83"/>
    </row>
    <row r="3586" spans="1:8" x14ac:dyDescent="0.3">
      <c r="A3586" s="82"/>
      <c r="B3586" s="81"/>
      <c r="H3586" s="83"/>
    </row>
    <row r="3587" spans="1:8" x14ac:dyDescent="0.3">
      <c r="A3587" s="82"/>
      <c r="B3587" s="81"/>
      <c r="H3587" s="83"/>
    </row>
    <row r="3588" spans="1:8" x14ac:dyDescent="0.3">
      <c r="A3588" s="82"/>
      <c r="B3588" s="81"/>
      <c r="H3588" s="83"/>
    </row>
    <row r="3589" spans="1:8" x14ac:dyDescent="0.3">
      <c r="A3589" s="82"/>
      <c r="B3589" s="81"/>
      <c r="H3589" s="83"/>
    </row>
    <row r="3590" spans="1:8" x14ac:dyDescent="0.3">
      <c r="A3590" s="82"/>
      <c r="B3590" s="81"/>
      <c r="H3590" s="83"/>
    </row>
    <row r="3591" spans="1:8" x14ac:dyDescent="0.3">
      <c r="A3591" s="82"/>
      <c r="B3591" s="81"/>
      <c r="H3591" s="83"/>
    </row>
    <row r="3592" spans="1:8" x14ac:dyDescent="0.3">
      <c r="A3592" s="82"/>
      <c r="B3592" s="81"/>
      <c r="H3592" s="83"/>
    </row>
    <row r="3593" spans="1:8" x14ac:dyDescent="0.3">
      <c r="A3593" s="82"/>
      <c r="B3593" s="81"/>
      <c r="H3593" s="83"/>
    </row>
    <row r="3594" spans="1:8" x14ac:dyDescent="0.3">
      <c r="A3594" s="82"/>
      <c r="B3594" s="81"/>
      <c r="H3594" s="83"/>
    </row>
    <row r="3595" spans="1:8" x14ac:dyDescent="0.3">
      <c r="A3595" s="82"/>
      <c r="B3595" s="81"/>
      <c r="H3595" s="83"/>
    </row>
    <row r="3596" spans="1:8" x14ac:dyDescent="0.3">
      <c r="A3596" s="82"/>
      <c r="B3596" s="81"/>
      <c r="H3596" s="83"/>
    </row>
    <row r="3597" spans="1:8" x14ac:dyDescent="0.3">
      <c r="A3597" s="82"/>
      <c r="B3597" s="81"/>
      <c r="H3597" s="83"/>
    </row>
    <row r="3598" spans="1:8" x14ac:dyDescent="0.3">
      <c r="A3598" s="82"/>
      <c r="B3598" s="81"/>
      <c r="H3598" s="83"/>
    </row>
    <row r="3599" spans="1:8" x14ac:dyDescent="0.3">
      <c r="A3599" s="82"/>
      <c r="B3599" s="81"/>
      <c r="H3599" s="83"/>
    </row>
    <row r="3600" spans="1:8" x14ac:dyDescent="0.3">
      <c r="A3600" s="82"/>
      <c r="B3600" s="81"/>
      <c r="H3600" s="83"/>
    </row>
    <row r="3601" spans="1:8" x14ac:dyDescent="0.3">
      <c r="A3601" s="82"/>
      <c r="B3601" s="81"/>
      <c r="H3601" s="83"/>
    </row>
    <row r="3602" spans="1:8" x14ac:dyDescent="0.3">
      <c r="A3602" s="82"/>
      <c r="B3602" s="81"/>
      <c r="H3602" s="83"/>
    </row>
    <row r="3603" spans="1:8" x14ac:dyDescent="0.3">
      <c r="A3603" s="82"/>
      <c r="B3603" s="81"/>
      <c r="H3603" s="83"/>
    </row>
    <row r="3604" spans="1:8" x14ac:dyDescent="0.3">
      <c r="A3604" s="82"/>
      <c r="B3604" s="81"/>
      <c r="H3604" s="83"/>
    </row>
    <row r="3605" spans="1:8" x14ac:dyDescent="0.3">
      <c r="A3605" s="82"/>
      <c r="B3605" s="81"/>
      <c r="H3605" s="83"/>
    </row>
    <row r="3606" spans="1:8" x14ac:dyDescent="0.3">
      <c r="A3606" s="82"/>
      <c r="B3606" s="81"/>
      <c r="H3606" s="83"/>
    </row>
    <row r="3607" spans="1:8" x14ac:dyDescent="0.3">
      <c r="A3607" s="82"/>
      <c r="B3607" s="81"/>
      <c r="H3607" s="83"/>
    </row>
    <row r="3608" spans="1:8" x14ac:dyDescent="0.3">
      <c r="A3608" s="82"/>
      <c r="B3608" s="81"/>
      <c r="H3608" s="83"/>
    </row>
    <row r="3609" spans="1:8" x14ac:dyDescent="0.3">
      <c r="A3609" s="82"/>
      <c r="B3609" s="81"/>
      <c r="H3609" s="83"/>
    </row>
    <row r="3610" spans="1:8" x14ac:dyDescent="0.3">
      <c r="A3610" s="82"/>
      <c r="B3610" s="81"/>
      <c r="H3610" s="83"/>
    </row>
    <row r="3611" spans="1:8" x14ac:dyDescent="0.3">
      <c r="A3611" s="82"/>
      <c r="B3611" s="81"/>
      <c r="H3611" s="83"/>
    </row>
    <row r="3612" spans="1:8" x14ac:dyDescent="0.3">
      <c r="A3612" s="82"/>
      <c r="B3612" s="81"/>
      <c r="H3612" s="83"/>
    </row>
    <row r="3613" spans="1:8" x14ac:dyDescent="0.3">
      <c r="A3613" s="82"/>
      <c r="B3613" s="81"/>
      <c r="H3613" s="83"/>
    </row>
    <row r="3614" spans="1:8" x14ac:dyDescent="0.3">
      <c r="A3614" s="82"/>
      <c r="B3614" s="81"/>
      <c r="H3614" s="83"/>
    </row>
    <row r="3615" spans="1:8" x14ac:dyDescent="0.3">
      <c r="A3615" s="82"/>
      <c r="B3615" s="81"/>
      <c r="H3615" s="83"/>
    </row>
    <row r="3616" spans="1:8" x14ac:dyDescent="0.3">
      <c r="A3616" s="82"/>
      <c r="B3616" s="81"/>
      <c r="H3616" s="83"/>
    </row>
    <row r="3617" spans="1:8" x14ac:dyDescent="0.3">
      <c r="A3617" s="82"/>
      <c r="B3617" s="81"/>
      <c r="H3617" s="83"/>
    </row>
    <row r="3618" spans="1:8" x14ac:dyDescent="0.3">
      <c r="A3618" s="82"/>
      <c r="B3618" s="81"/>
      <c r="H3618" s="83"/>
    </row>
    <row r="3619" spans="1:8" x14ac:dyDescent="0.3">
      <c r="A3619" s="82"/>
      <c r="B3619" s="81"/>
      <c r="H3619" s="83"/>
    </row>
    <row r="3620" spans="1:8" x14ac:dyDescent="0.3">
      <c r="A3620" s="82"/>
      <c r="B3620" s="81"/>
      <c r="H3620" s="83"/>
    </row>
    <row r="3621" spans="1:8" x14ac:dyDescent="0.3">
      <c r="A3621" s="82"/>
      <c r="B3621" s="81"/>
      <c r="H3621" s="83"/>
    </row>
    <row r="3622" spans="1:8" x14ac:dyDescent="0.3">
      <c r="A3622" s="82"/>
      <c r="B3622" s="81"/>
      <c r="H3622" s="83"/>
    </row>
    <row r="3623" spans="1:8" x14ac:dyDescent="0.3">
      <c r="A3623" s="82"/>
      <c r="B3623" s="81"/>
      <c r="H3623" s="83"/>
    </row>
    <row r="3624" spans="1:8" x14ac:dyDescent="0.3">
      <c r="A3624" s="82"/>
      <c r="B3624" s="81"/>
      <c r="H3624" s="83"/>
    </row>
    <row r="3625" spans="1:8" x14ac:dyDescent="0.3">
      <c r="A3625" s="82"/>
      <c r="B3625" s="81"/>
      <c r="H3625" s="83"/>
    </row>
    <row r="3626" spans="1:8" x14ac:dyDescent="0.3">
      <c r="A3626" s="82"/>
      <c r="B3626" s="81"/>
      <c r="H3626" s="83"/>
    </row>
    <row r="3627" spans="1:8" x14ac:dyDescent="0.3">
      <c r="A3627" s="82"/>
      <c r="B3627" s="81"/>
      <c r="H3627" s="83"/>
    </row>
    <row r="3628" spans="1:8" x14ac:dyDescent="0.3">
      <c r="A3628" s="82"/>
      <c r="B3628" s="81"/>
      <c r="H3628" s="83"/>
    </row>
    <row r="3629" spans="1:8" x14ac:dyDescent="0.3">
      <c r="A3629" s="82"/>
      <c r="B3629" s="81"/>
      <c r="H3629" s="83"/>
    </row>
    <row r="3630" spans="1:8" x14ac:dyDescent="0.3">
      <c r="A3630" s="82"/>
      <c r="B3630" s="81"/>
      <c r="H3630" s="83"/>
    </row>
    <row r="3631" spans="1:8" x14ac:dyDescent="0.3">
      <c r="A3631" s="82"/>
      <c r="B3631" s="81"/>
      <c r="H3631" s="83"/>
    </row>
    <row r="3632" spans="1:8" x14ac:dyDescent="0.3">
      <c r="A3632" s="82"/>
      <c r="B3632" s="81"/>
      <c r="H3632" s="83"/>
    </row>
    <row r="3633" spans="1:8" x14ac:dyDescent="0.3">
      <c r="A3633" s="82"/>
      <c r="B3633" s="81"/>
      <c r="H3633" s="83"/>
    </row>
    <row r="3634" spans="1:8" x14ac:dyDescent="0.3">
      <c r="A3634" s="82"/>
      <c r="B3634" s="81"/>
      <c r="H3634" s="83"/>
    </row>
    <row r="3635" spans="1:8" x14ac:dyDescent="0.3">
      <c r="A3635" s="82"/>
      <c r="B3635" s="81"/>
      <c r="H3635" s="83"/>
    </row>
    <row r="3636" spans="1:8" x14ac:dyDescent="0.3">
      <c r="A3636" s="82"/>
      <c r="B3636" s="81"/>
      <c r="H3636" s="83"/>
    </row>
    <row r="3637" spans="1:8" x14ac:dyDescent="0.3">
      <c r="A3637" s="82"/>
      <c r="B3637" s="81"/>
      <c r="H3637" s="83"/>
    </row>
    <row r="3638" spans="1:8" x14ac:dyDescent="0.3">
      <c r="A3638" s="82"/>
      <c r="B3638" s="81"/>
      <c r="H3638" s="83"/>
    </row>
    <row r="3639" spans="1:8" x14ac:dyDescent="0.3">
      <c r="A3639" s="82"/>
      <c r="B3639" s="81"/>
      <c r="H3639" s="83"/>
    </row>
    <row r="3640" spans="1:8" x14ac:dyDescent="0.3">
      <c r="A3640" s="82"/>
      <c r="B3640" s="81"/>
      <c r="H3640" s="83"/>
    </row>
    <row r="3641" spans="1:8" x14ac:dyDescent="0.3">
      <c r="A3641" s="82"/>
      <c r="B3641" s="81"/>
      <c r="H3641" s="83"/>
    </row>
    <row r="3642" spans="1:8" x14ac:dyDescent="0.3">
      <c r="A3642" s="82"/>
      <c r="B3642" s="81"/>
      <c r="H3642" s="83"/>
    </row>
    <row r="3643" spans="1:8" x14ac:dyDescent="0.3">
      <c r="A3643" s="82"/>
      <c r="B3643" s="81"/>
      <c r="H3643" s="83"/>
    </row>
    <row r="3644" spans="1:8" x14ac:dyDescent="0.3">
      <c r="A3644" s="82"/>
      <c r="B3644" s="81"/>
      <c r="H3644" s="83"/>
    </row>
    <row r="3645" spans="1:8" x14ac:dyDescent="0.3">
      <c r="A3645" s="82"/>
      <c r="B3645" s="81"/>
      <c r="H3645" s="83"/>
    </row>
    <row r="3646" spans="1:8" x14ac:dyDescent="0.3">
      <c r="A3646" s="82"/>
      <c r="B3646" s="81"/>
      <c r="H3646" s="83"/>
    </row>
    <row r="3647" spans="1:8" x14ac:dyDescent="0.3">
      <c r="A3647" s="82"/>
      <c r="B3647" s="81"/>
      <c r="H3647" s="83"/>
    </row>
    <row r="3648" spans="1:8" x14ac:dyDescent="0.3">
      <c r="A3648" s="82"/>
      <c r="B3648" s="81"/>
      <c r="H3648" s="83"/>
    </row>
    <row r="3649" spans="1:8" x14ac:dyDescent="0.3">
      <c r="A3649" s="82"/>
      <c r="B3649" s="81"/>
      <c r="H3649" s="83"/>
    </row>
    <row r="3650" spans="1:8" x14ac:dyDescent="0.3">
      <c r="A3650" s="82"/>
      <c r="B3650" s="81"/>
      <c r="H3650" s="83"/>
    </row>
    <row r="3651" spans="1:8" x14ac:dyDescent="0.3">
      <c r="A3651" s="82"/>
      <c r="B3651" s="81"/>
      <c r="H3651" s="83"/>
    </row>
    <row r="3652" spans="1:8" x14ac:dyDescent="0.3">
      <c r="A3652" s="82"/>
      <c r="B3652" s="81"/>
      <c r="H3652" s="83"/>
    </row>
    <row r="3653" spans="1:8" x14ac:dyDescent="0.3">
      <c r="A3653" s="82"/>
      <c r="B3653" s="81"/>
      <c r="H3653" s="83"/>
    </row>
    <row r="3654" spans="1:8" x14ac:dyDescent="0.3">
      <c r="A3654" s="82"/>
      <c r="B3654" s="81"/>
      <c r="H3654" s="83"/>
    </row>
    <row r="3655" spans="1:8" x14ac:dyDescent="0.3">
      <c r="A3655" s="82"/>
      <c r="B3655" s="81"/>
      <c r="H3655" s="83"/>
    </row>
    <row r="3656" spans="1:8" x14ac:dyDescent="0.3">
      <c r="A3656" s="82"/>
      <c r="B3656" s="81"/>
      <c r="H3656" s="83"/>
    </row>
    <row r="3657" spans="1:8" x14ac:dyDescent="0.3">
      <c r="A3657" s="82"/>
      <c r="B3657" s="81"/>
      <c r="H3657" s="83"/>
    </row>
    <row r="3658" spans="1:8" x14ac:dyDescent="0.3">
      <c r="A3658" s="82"/>
      <c r="B3658" s="81"/>
      <c r="H3658" s="83"/>
    </row>
    <row r="3659" spans="1:8" x14ac:dyDescent="0.3">
      <c r="A3659" s="82"/>
      <c r="B3659" s="81"/>
      <c r="H3659" s="83"/>
    </row>
    <row r="3660" spans="1:8" x14ac:dyDescent="0.3">
      <c r="A3660" s="82"/>
      <c r="B3660" s="81"/>
      <c r="H3660" s="83"/>
    </row>
    <row r="3661" spans="1:8" x14ac:dyDescent="0.3">
      <c r="A3661" s="82"/>
      <c r="B3661" s="81"/>
      <c r="H3661" s="83"/>
    </row>
    <row r="3662" spans="1:8" x14ac:dyDescent="0.3">
      <c r="A3662" s="82"/>
      <c r="B3662" s="81"/>
      <c r="H3662" s="83"/>
    </row>
    <row r="3663" spans="1:8" x14ac:dyDescent="0.3">
      <c r="A3663" s="82"/>
      <c r="B3663" s="81"/>
      <c r="H3663" s="83"/>
    </row>
    <row r="3664" spans="1:8" x14ac:dyDescent="0.3">
      <c r="A3664" s="82"/>
      <c r="B3664" s="81"/>
      <c r="H3664" s="83"/>
    </row>
    <row r="3665" spans="1:8" x14ac:dyDescent="0.3">
      <c r="A3665" s="82"/>
      <c r="B3665" s="81"/>
      <c r="H3665" s="83"/>
    </row>
    <row r="3666" spans="1:8" x14ac:dyDescent="0.3">
      <c r="A3666" s="82"/>
      <c r="B3666" s="81"/>
      <c r="H3666" s="83"/>
    </row>
    <row r="3667" spans="1:8" x14ac:dyDescent="0.3">
      <c r="A3667" s="82"/>
      <c r="B3667" s="81"/>
      <c r="H3667" s="83"/>
    </row>
    <row r="3668" spans="1:8" x14ac:dyDescent="0.3">
      <c r="A3668" s="82"/>
      <c r="B3668" s="81"/>
      <c r="H3668" s="83"/>
    </row>
    <row r="3669" spans="1:8" x14ac:dyDescent="0.3">
      <c r="A3669" s="82"/>
      <c r="B3669" s="81"/>
      <c r="H3669" s="83"/>
    </row>
    <row r="3670" spans="1:8" x14ac:dyDescent="0.3">
      <c r="A3670" s="82"/>
      <c r="B3670" s="81"/>
      <c r="H3670" s="83"/>
    </row>
    <row r="3671" spans="1:8" x14ac:dyDescent="0.3">
      <c r="A3671" s="82"/>
      <c r="B3671" s="81"/>
      <c r="H3671" s="83"/>
    </row>
    <row r="3672" spans="1:8" x14ac:dyDescent="0.3">
      <c r="A3672" s="82"/>
      <c r="B3672" s="81"/>
      <c r="H3672" s="83"/>
    </row>
    <row r="3673" spans="1:8" x14ac:dyDescent="0.3">
      <c r="A3673" s="82"/>
      <c r="B3673" s="81"/>
      <c r="H3673" s="83"/>
    </row>
    <row r="3674" spans="1:8" x14ac:dyDescent="0.3">
      <c r="A3674" s="82"/>
      <c r="B3674" s="81"/>
      <c r="H3674" s="83"/>
    </row>
    <row r="3675" spans="1:8" x14ac:dyDescent="0.3">
      <c r="A3675" s="82"/>
      <c r="B3675" s="81"/>
      <c r="H3675" s="83"/>
    </row>
    <row r="3676" spans="1:8" x14ac:dyDescent="0.3">
      <c r="A3676" s="82"/>
      <c r="B3676" s="81"/>
      <c r="H3676" s="83"/>
    </row>
    <row r="3677" spans="1:8" x14ac:dyDescent="0.3">
      <c r="A3677" s="82"/>
      <c r="B3677" s="81"/>
      <c r="H3677" s="83"/>
    </row>
    <row r="3678" spans="1:8" x14ac:dyDescent="0.3">
      <c r="A3678" s="82"/>
      <c r="B3678" s="81"/>
      <c r="H3678" s="83"/>
    </row>
    <row r="3679" spans="1:8" x14ac:dyDescent="0.3">
      <c r="A3679" s="82"/>
      <c r="B3679" s="81"/>
      <c r="H3679" s="83"/>
    </row>
    <row r="3680" spans="1:8" x14ac:dyDescent="0.3">
      <c r="A3680" s="82"/>
      <c r="B3680" s="81"/>
      <c r="H3680" s="83"/>
    </row>
    <row r="3681" spans="1:8" x14ac:dyDescent="0.3">
      <c r="A3681" s="82"/>
      <c r="B3681" s="81"/>
      <c r="H3681" s="83"/>
    </row>
    <row r="3682" spans="1:8" x14ac:dyDescent="0.3">
      <c r="A3682" s="82"/>
      <c r="B3682" s="81"/>
      <c r="H3682" s="83"/>
    </row>
    <row r="3683" spans="1:8" x14ac:dyDescent="0.3">
      <c r="A3683" s="82"/>
      <c r="B3683" s="81"/>
      <c r="H3683" s="83"/>
    </row>
    <row r="3684" spans="1:8" x14ac:dyDescent="0.3">
      <c r="A3684" s="82"/>
      <c r="B3684" s="81"/>
      <c r="H3684" s="83"/>
    </row>
    <row r="3685" spans="1:8" x14ac:dyDescent="0.3">
      <c r="A3685" s="82"/>
      <c r="B3685" s="81"/>
      <c r="H3685" s="83"/>
    </row>
    <row r="3686" spans="1:8" x14ac:dyDescent="0.3">
      <c r="A3686" s="82"/>
      <c r="B3686" s="81"/>
      <c r="H3686" s="83"/>
    </row>
    <row r="3687" spans="1:8" x14ac:dyDescent="0.3">
      <c r="A3687" s="82"/>
      <c r="B3687" s="81"/>
      <c r="H3687" s="83"/>
    </row>
    <row r="3688" spans="1:8" x14ac:dyDescent="0.3">
      <c r="A3688" s="82"/>
      <c r="B3688" s="81"/>
      <c r="H3688" s="83"/>
    </row>
    <row r="3689" spans="1:8" x14ac:dyDescent="0.3">
      <c r="A3689" s="82"/>
      <c r="B3689" s="81"/>
      <c r="H3689" s="83"/>
    </row>
    <row r="3690" spans="1:8" x14ac:dyDescent="0.3">
      <c r="A3690" s="82"/>
      <c r="B3690" s="81"/>
      <c r="H3690" s="83"/>
    </row>
    <row r="3691" spans="1:8" x14ac:dyDescent="0.3">
      <c r="A3691" s="82"/>
      <c r="B3691" s="81"/>
      <c r="H3691" s="83"/>
    </row>
    <row r="3692" spans="1:8" x14ac:dyDescent="0.3">
      <c r="A3692" s="82"/>
      <c r="B3692" s="81"/>
      <c r="H3692" s="83"/>
    </row>
    <row r="3693" spans="1:8" x14ac:dyDescent="0.3">
      <c r="A3693" s="82"/>
      <c r="B3693" s="81"/>
      <c r="H3693" s="83"/>
    </row>
    <row r="3694" spans="1:8" x14ac:dyDescent="0.3">
      <c r="A3694" s="82"/>
      <c r="B3694" s="81"/>
      <c r="H3694" s="83"/>
    </row>
    <row r="3695" spans="1:8" x14ac:dyDescent="0.3">
      <c r="A3695" s="82"/>
      <c r="B3695" s="81"/>
      <c r="H3695" s="83"/>
    </row>
    <row r="3696" spans="1:8" x14ac:dyDescent="0.3">
      <c r="A3696" s="82"/>
      <c r="B3696" s="81"/>
      <c r="H3696" s="83"/>
    </row>
    <row r="3697" spans="1:8" x14ac:dyDescent="0.3">
      <c r="A3697" s="82"/>
      <c r="B3697" s="81"/>
      <c r="H3697" s="83"/>
    </row>
    <row r="3698" spans="1:8" x14ac:dyDescent="0.3">
      <c r="A3698" s="82"/>
      <c r="B3698" s="81"/>
      <c r="H3698" s="83"/>
    </row>
    <row r="3699" spans="1:8" x14ac:dyDescent="0.3">
      <c r="A3699" s="82"/>
      <c r="B3699" s="81"/>
      <c r="H3699" s="83"/>
    </row>
    <row r="3700" spans="1:8" x14ac:dyDescent="0.3">
      <c r="A3700" s="82"/>
      <c r="B3700" s="81"/>
      <c r="H3700" s="83"/>
    </row>
    <row r="3701" spans="1:8" x14ac:dyDescent="0.3">
      <c r="A3701" s="82"/>
      <c r="B3701" s="81"/>
      <c r="H3701" s="83"/>
    </row>
    <row r="3702" spans="1:8" x14ac:dyDescent="0.3">
      <c r="A3702" s="82"/>
      <c r="B3702" s="81"/>
      <c r="H3702" s="83"/>
    </row>
    <row r="3703" spans="1:8" x14ac:dyDescent="0.3">
      <c r="A3703" s="82"/>
      <c r="B3703" s="81"/>
      <c r="H3703" s="83"/>
    </row>
    <row r="3704" spans="1:8" x14ac:dyDescent="0.3">
      <c r="A3704" s="82"/>
      <c r="B3704" s="81"/>
      <c r="H3704" s="83"/>
    </row>
    <row r="3705" spans="1:8" x14ac:dyDescent="0.3">
      <c r="A3705" s="82"/>
      <c r="B3705" s="81"/>
      <c r="H3705" s="83"/>
    </row>
    <row r="3706" spans="1:8" x14ac:dyDescent="0.3">
      <c r="A3706" s="82"/>
      <c r="B3706" s="81"/>
      <c r="H3706" s="83"/>
    </row>
    <row r="3707" spans="1:8" x14ac:dyDescent="0.3">
      <c r="A3707" s="82"/>
      <c r="B3707" s="81"/>
      <c r="H3707" s="83"/>
    </row>
    <row r="3708" spans="1:8" x14ac:dyDescent="0.3">
      <c r="A3708" s="82"/>
      <c r="B3708" s="81"/>
      <c r="H3708" s="83"/>
    </row>
    <row r="3709" spans="1:8" x14ac:dyDescent="0.3">
      <c r="A3709" s="82"/>
      <c r="B3709" s="81"/>
      <c r="H3709" s="83"/>
    </row>
    <row r="3710" spans="1:8" x14ac:dyDescent="0.3">
      <c r="A3710" s="82"/>
      <c r="B3710" s="81"/>
      <c r="H3710" s="83"/>
    </row>
    <row r="3711" spans="1:8" x14ac:dyDescent="0.3">
      <c r="A3711" s="82"/>
      <c r="B3711" s="81"/>
      <c r="H3711" s="83"/>
    </row>
    <row r="3712" spans="1:8" x14ac:dyDescent="0.3">
      <c r="A3712" s="82"/>
      <c r="B3712" s="81"/>
      <c r="H3712" s="83"/>
    </row>
    <row r="3713" spans="1:8" x14ac:dyDescent="0.3">
      <c r="A3713" s="82"/>
      <c r="B3713" s="81"/>
      <c r="H3713" s="83"/>
    </row>
    <row r="3714" spans="1:8" x14ac:dyDescent="0.3">
      <c r="A3714" s="82"/>
      <c r="B3714" s="81"/>
      <c r="H3714" s="83"/>
    </row>
    <row r="3715" spans="1:8" x14ac:dyDescent="0.3">
      <c r="A3715" s="82"/>
      <c r="B3715" s="81"/>
      <c r="H3715" s="83"/>
    </row>
    <row r="3716" spans="1:8" x14ac:dyDescent="0.3">
      <c r="A3716" s="82"/>
      <c r="B3716" s="81"/>
      <c r="H3716" s="83"/>
    </row>
    <row r="3717" spans="1:8" x14ac:dyDescent="0.3">
      <c r="A3717" s="82"/>
      <c r="B3717" s="81"/>
      <c r="H3717" s="83"/>
    </row>
    <row r="3718" spans="1:8" x14ac:dyDescent="0.3">
      <c r="A3718" s="82"/>
      <c r="B3718" s="81"/>
      <c r="H3718" s="83"/>
    </row>
    <row r="3719" spans="1:8" x14ac:dyDescent="0.3">
      <c r="A3719" s="82"/>
      <c r="B3719" s="81"/>
      <c r="H3719" s="83"/>
    </row>
    <row r="3720" spans="1:8" x14ac:dyDescent="0.3">
      <c r="A3720" s="82"/>
      <c r="B3720" s="81"/>
      <c r="H3720" s="83"/>
    </row>
    <row r="3721" spans="1:8" x14ac:dyDescent="0.3">
      <c r="A3721" s="82"/>
      <c r="B3721" s="81"/>
      <c r="H3721" s="83"/>
    </row>
    <row r="3722" spans="1:8" x14ac:dyDescent="0.3">
      <c r="A3722" s="82"/>
      <c r="B3722" s="81"/>
      <c r="H3722" s="83"/>
    </row>
    <row r="3723" spans="1:8" x14ac:dyDescent="0.3">
      <c r="A3723" s="82"/>
      <c r="B3723" s="81"/>
      <c r="H3723" s="83"/>
    </row>
    <row r="3724" spans="1:8" x14ac:dyDescent="0.3">
      <c r="A3724" s="82"/>
      <c r="B3724" s="81"/>
      <c r="H3724" s="83"/>
    </row>
    <row r="3725" spans="1:8" x14ac:dyDescent="0.3">
      <c r="A3725" s="82"/>
      <c r="B3725" s="81"/>
      <c r="H3725" s="83"/>
    </row>
    <row r="3726" spans="1:8" x14ac:dyDescent="0.3">
      <c r="A3726" s="82"/>
      <c r="B3726" s="81"/>
      <c r="H3726" s="83"/>
    </row>
    <row r="3727" spans="1:8" x14ac:dyDescent="0.3">
      <c r="A3727" s="82"/>
      <c r="B3727" s="81"/>
      <c r="H3727" s="83"/>
    </row>
    <row r="3728" spans="1:8" x14ac:dyDescent="0.3">
      <c r="A3728" s="82"/>
      <c r="B3728" s="81"/>
      <c r="H3728" s="83"/>
    </row>
    <row r="3729" spans="1:8" x14ac:dyDescent="0.3">
      <c r="A3729" s="82"/>
      <c r="B3729" s="81"/>
      <c r="H3729" s="83"/>
    </row>
    <row r="3730" spans="1:8" x14ac:dyDescent="0.3">
      <c r="A3730" s="82"/>
      <c r="B3730" s="81"/>
      <c r="H3730" s="83"/>
    </row>
    <row r="3731" spans="1:8" x14ac:dyDescent="0.3">
      <c r="A3731" s="82"/>
      <c r="B3731" s="81"/>
      <c r="H3731" s="83"/>
    </row>
    <row r="3732" spans="1:8" x14ac:dyDescent="0.3">
      <c r="A3732" s="82"/>
      <c r="B3732" s="81"/>
      <c r="H3732" s="83"/>
    </row>
    <row r="3733" spans="1:8" x14ac:dyDescent="0.3">
      <c r="A3733" s="82"/>
      <c r="B3733" s="81"/>
      <c r="H3733" s="83"/>
    </row>
    <row r="3734" spans="1:8" x14ac:dyDescent="0.3">
      <c r="A3734" s="82"/>
      <c r="B3734" s="81"/>
      <c r="H3734" s="83"/>
    </row>
    <row r="3735" spans="1:8" x14ac:dyDescent="0.3">
      <c r="A3735" s="82"/>
      <c r="B3735" s="81"/>
      <c r="H3735" s="83"/>
    </row>
    <row r="3736" spans="1:8" x14ac:dyDescent="0.3">
      <c r="A3736" s="82"/>
      <c r="B3736" s="81"/>
      <c r="H3736" s="83"/>
    </row>
    <row r="3737" spans="1:8" x14ac:dyDescent="0.3">
      <c r="A3737" s="82"/>
      <c r="B3737" s="81"/>
      <c r="H3737" s="83"/>
    </row>
    <row r="3738" spans="1:8" x14ac:dyDescent="0.3">
      <c r="A3738" s="82"/>
      <c r="B3738" s="81"/>
      <c r="H3738" s="83"/>
    </row>
    <row r="3739" spans="1:8" x14ac:dyDescent="0.3">
      <c r="A3739" s="82"/>
      <c r="B3739" s="81"/>
      <c r="H3739" s="83"/>
    </row>
    <row r="3740" spans="1:8" x14ac:dyDescent="0.3">
      <c r="A3740" s="82"/>
      <c r="B3740" s="81"/>
      <c r="H3740" s="83"/>
    </row>
    <row r="3741" spans="1:8" x14ac:dyDescent="0.3">
      <c r="A3741" s="82"/>
      <c r="B3741" s="81"/>
      <c r="H3741" s="83"/>
    </row>
    <row r="3742" spans="1:8" x14ac:dyDescent="0.3">
      <c r="A3742" s="82"/>
      <c r="B3742" s="81"/>
      <c r="H3742" s="83"/>
    </row>
    <row r="3743" spans="1:8" x14ac:dyDescent="0.3">
      <c r="A3743" s="82"/>
      <c r="B3743" s="81"/>
      <c r="H3743" s="83"/>
    </row>
    <row r="3744" spans="1:8" x14ac:dyDescent="0.3">
      <c r="A3744" s="82"/>
      <c r="B3744" s="81"/>
      <c r="H3744" s="83"/>
    </row>
    <row r="3745" spans="1:8" x14ac:dyDescent="0.3">
      <c r="A3745" s="82"/>
      <c r="B3745" s="81"/>
      <c r="H3745" s="83"/>
    </row>
    <row r="3746" spans="1:8" x14ac:dyDescent="0.3">
      <c r="A3746" s="82"/>
      <c r="B3746" s="81"/>
      <c r="H3746" s="83"/>
    </row>
    <row r="3747" spans="1:8" x14ac:dyDescent="0.3">
      <c r="A3747" s="82"/>
      <c r="B3747" s="81"/>
      <c r="H3747" s="83"/>
    </row>
    <row r="3748" spans="1:8" x14ac:dyDescent="0.3">
      <c r="A3748" s="82"/>
      <c r="B3748" s="81"/>
      <c r="H3748" s="83"/>
    </row>
    <row r="3749" spans="1:8" x14ac:dyDescent="0.3">
      <c r="A3749" s="82"/>
      <c r="B3749" s="81"/>
      <c r="H3749" s="83"/>
    </row>
    <row r="3750" spans="1:8" x14ac:dyDescent="0.3">
      <c r="A3750" s="82"/>
      <c r="B3750" s="81"/>
      <c r="H3750" s="83"/>
    </row>
    <row r="3751" spans="1:8" x14ac:dyDescent="0.3">
      <c r="A3751" s="82"/>
      <c r="B3751" s="81"/>
      <c r="H3751" s="83"/>
    </row>
    <row r="3752" spans="1:8" x14ac:dyDescent="0.3">
      <c r="A3752" s="82"/>
      <c r="B3752" s="81"/>
      <c r="H3752" s="83"/>
    </row>
    <row r="3753" spans="1:8" x14ac:dyDescent="0.3">
      <c r="A3753" s="82"/>
      <c r="B3753" s="81"/>
      <c r="H3753" s="83"/>
    </row>
    <row r="3754" spans="1:8" x14ac:dyDescent="0.3">
      <c r="A3754" s="82"/>
      <c r="B3754" s="81"/>
      <c r="H3754" s="83"/>
    </row>
    <row r="3755" spans="1:8" x14ac:dyDescent="0.3">
      <c r="A3755" s="82"/>
      <c r="B3755" s="81"/>
      <c r="H3755" s="83"/>
    </row>
    <row r="3756" spans="1:8" x14ac:dyDescent="0.3">
      <c r="A3756" s="82"/>
      <c r="B3756" s="81"/>
      <c r="H3756" s="83"/>
    </row>
    <row r="3757" spans="1:8" x14ac:dyDescent="0.3">
      <c r="A3757" s="82"/>
      <c r="B3757" s="81"/>
      <c r="H3757" s="83"/>
    </row>
    <row r="3758" spans="1:8" x14ac:dyDescent="0.3">
      <c r="A3758" s="82"/>
      <c r="B3758" s="81"/>
      <c r="H3758" s="83"/>
    </row>
    <row r="3759" spans="1:8" x14ac:dyDescent="0.3">
      <c r="A3759" s="82"/>
      <c r="B3759" s="81"/>
      <c r="H3759" s="83"/>
    </row>
    <row r="3760" spans="1:8" x14ac:dyDescent="0.3">
      <c r="A3760" s="82"/>
      <c r="B3760" s="81"/>
      <c r="H3760" s="83"/>
    </row>
    <row r="3761" spans="1:8" x14ac:dyDescent="0.3">
      <c r="A3761" s="82"/>
      <c r="B3761" s="81"/>
      <c r="H3761" s="83"/>
    </row>
    <row r="3762" spans="1:8" x14ac:dyDescent="0.3">
      <c r="A3762" s="82"/>
      <c r="B3762" s="81"/>
      <c r="H3762" s="83"/>
    </row>
    <row r="3763" spans="1:8" x14ac:dyDescent="0.3">
      <c r="A3763" s="82"/>
      <c r="B3763" s="81"/>
      <c r="H3763" s="83"/>
    </row>
    <row r="3764" spans="1:8" x14ac:dyDescent="0.3">
      <c r="A3764" s="82"/>
      <c r="B3764" s="81"/>
      <c r="H3764" s="83"/>
    </row>
    <row r="3765" spans="1:8" x14ac:dyDescent="0.3">
      <c r="A3765" s="82"/>
      <c r="B3765" s="81"/>
      <c r="H3765" s="83"/>
    </row>
    <row r="3766" spans="1:8" x14ac:dyDescent="0.3">
      <c r="A3766" s="82"/>
      <c r="B3766" s="81"/>
      <c r="H3766" s="83"/>
    </row>
    <row r="3767" spans="1:8" x14ac:dyDescent="0.3">
      <c r="A3767" s="82"/>
      <c r="B3767" s="81"/>
      <c r="H3767" s="83"/>
    </row>
    <row r="3768" spans="1:8" x14ac:dyDescent="0.3">
      <c r="A3768" s="82"/>
      <c r="B3768" s="81"/>
      <c r="H3768" s="83"/>
    </row>
    <row r="3769" spans="1:8" x14ac:dyDescent="0.3">
      <c r="A3769" s="82"/>
      <c r="B3769" s="81"/>
      <c r="H3769" s="83"/>
    </row>
    <row r="3770" spans="1:8" x14ac:dyDescent="0.3">
      <c r="A3770" s="82"/>
      <c r="B3770" s="81"/>
      <c r="H3770" s="83"/>
    </row>
    <row r="3771" spans="1:8" x14ac:dyDescent="0.3">
      <c r="A3771" s="82"/>
      <c r="B3771" s="81"/>
      <c r="H3771" s="83"/>
    </row>
    <row r="3772" spans="1:8" x14ac:dyDescent="0.3">
      <c r="A3772" s="82"/>
      <c r="B3772" s="81"/>
      <c r="H3772" s="83"/>
    </row>
    <row r="3773" spans="1:8" x14ac:dyDescent="0.3">
      <c r="A3773" s="82"/>
      <c r="B3773" s="81"/>
      <c r="H3773" s="83"/>
    </row>
    <row r="3774" spans="1:8" x14ac:dyDescent="0.3">
      <c r="A3774" s="82"/>
      <c r="B3774" s="81"/>
      <c r="H3774" s="83"/>
    </row>
    <row r="3775" spans="1:8" x14ac:dyDescent="0.3">
      <c r="A3775" s="82"/>
      <c r="B3775" s="81"/>
      <c r="H3775" s="83"/>
    </row>
    <row r="3776" spans="1:8" x14ac:dyDescent="0.3">
      <c r="A3776" s="82"/>
      <c r="B3776" s="81"/>
      <c r="H3776" s="83"/>
    </row>
    <row r="3777" spans="1:8" x14ac:dyDescent="0.3">
      <c r="A3777" s="82"/>
      <c r="B3777" s="81"/>
      <c r="H3777" s="83"/>
    </row>
    <row r="3778" spans="1:8" x14ac:dyDescent="0.3">
      <c r="A3778" s="82"/>
      <c r="B3778" s="81"/>
      <c r="H3778" s="83"/>
    </row>
    <row r="3779" spans="1:8" x14ac:dyDescent="0.3">
      <c r="A3779" s="82"/>
      <c r="B3779" s="81"/>
      <c r="H3779" s="83"/>
    </row>
    <row r="3780" spans="1:8" x14ac:dyDescent="0.3">
      <c r="A3780" s="82"/>
      <c r="B3780" s="81"/>
      <c r="H3780" s="83"/>
    </row>
    <row r="3781" spans="1:8" x14ac:dyDescent="0.3">
      <c r="A3781" s="82"/>
      <c r="B3781" s="81"/>
      <c r="H3781" s="83"/>
    </row>
    <row r="3782" spans="1:8" x14ac:dyDescent="0.3">
      <c r="A3782" s="82"/>
      <c r="B3782" s="81"/>
      <c r="H3782" s="83"/>
    </row>
    <row r="3783" spans="1:8" x14ac:dyDescent="0.3">
      <c r="A3783" s="82"/>
      <c r="B3783" s="81"/>
      <c r="H3783" s="83"/>
    </row>
    <row r="3784" spans="1:8" x14ac:dyDescent="0.3">
      <c r="A3784" s="82"/>
      <c r="B3784" s="81"/>
      <c r="H3784" s="83"/>
    </row>
    <row r="3785" spans="1:8" x14ac:dyDescent="0.3">
      <c r="A3785" s="82"/>
      <c r="B3785" s="81"/>
      <c r="H3785" s="83"/>
    </row>
    <row r="3786" spans="1:8" x14ac:dyDescent="0.3">
      <c r="A3786" s="82"/>
      <c r="B3786" s="81"/>
      <c r="H3786" s="83"/>
    </row>
    <row r="3787" spans="1:8" x14ac:dyDescent="0.3">
      <c r="A3787" s="82"/>
      <c r="B3787" s="81"/>
      <c r="H3787" s="83"/>
    </row>
    <row r="3788" spans="1:8" x14ac:dyDescent="0.3">
      <c r="A3788" s="82"/>
      <c r="B3788" s="81"/>
      <c r="H3788" s="83"/>
    </row>
    <row r="3789" spans="1:8" x14ac:dyDescent="0.3">
      <c r="A3789" s="82"/>
      <c r="B3789" s="81"/>
      <c r="H3789" s="83"/>
    </row>
    <row r="3790" spans="1:8" x14ac:dyDescent="0.3">
      <c r="A3790" s="82"/>
      <c r="B3790" s="81"/>
      <c r="H3790" s="83"/>
    </row>
    <row r="3791" spans="1:8" x14ac:dyDescent="0.3">
      <c r="A3791" s="82"/>
      <c r="B3791" s="81"/>
      <c r="H3791" s="83"/>
    </row>
    <row r="3792" spans="1:8" x14ac:dyDescent="0.3">
      <c r="A3792" s="82"/>
      <c r="B3792" s="81"/>
      <c r="H3792" s="83"/>
    </row>
    <row r="3793" spans="1:8" x14ac:dyDescent="0.3">
      <c r="A3793" s="82"/>
      <c r="B3793" s="81"/>
      <c r="H3793" s="83"/>
    </row>
    <row r="3794" spans="1:8" x14ac:dyDescent="0.3">
      <c r="A3794" s="82"/>
      <c r="B3794" s="81"/>
      <c r="H3794" s="83"/>
    </row>
    <row r="3795" spans="1:8" x14ac:dyDescent="0.3">
      <c r="A3795" s="82"/>
      <c r="B3795" s="81"/>
      <c r="H3795" s="83"/>
    </row>
    <row r="3796" spans="1:8" x14ac:dyDescent="0.3">
      <c r="A3796" s="82"/>
      <c r="B3796" s="81"/>
      <c r="H3796" s="83"/>
    </row>
    <row r="3797" spans="1:8" x14ac:dyDescent="0.3">
      <c r="A3797" s="82"/>
      <c r="B3797" s="81"/>
      <c r="H3797" s="83"/>
    </row>
    <row r="3798" spans="1:8" x14ac:dyDescent="0.3">
      <c r="A3798" s="82"/>
      <c r="B3798" s="81"/>
      <c r="H3798" s="83"/>
    </row>
    <row r="3799" spans="1:8" x14ac:dyDescent="0.3">
      <c r="A3799" s="82"/>
      <c r="B3799" s="81"/>
      <c r="H3799" s="83"/>
    </row>
    <row r="3800" spans="1:8" x14ac:dyDescent="0.3">
      <c r="A3800" s="82"/>
      <c r="B3800" s="81"/>
      <c r="H3800" s="83"/>
    </row>
    <row r="3801" spans="1:8" x14ac:dyDescent="0.3">
      <c r="A3801" s="82"/>
      <c r="B3801" s="81"/>
      <c r="H3801" s="83"/>
    </row>
    <row r="3802" spans="1:8" x14ac:dyDescent="0.3">
      <c r="A3802" s="82"/>
      <c r="B3802" s="81"/>
      <c r="H3802" s="83"/>
    </row>
    <row r="3803" spans="1:8" x14ac:dyDescent="0.3">
      <c r="A3803" s="82"/>
      <c r="B3803" s="81"/>
      <c r="H3803" s="83"/>
    </row>
    <row r="3804" spans="1:8" x14ac:dyDescent="0.3">
      <c r="A3804" s="82"/>
      <c r="B3804" s="81"/>
      <c r="H3804" s="83"/>
    </row>
    <row r="3805" spans="1:8" x14ac:dyDescent="0.3">
      <c r="A3805" s="82"/>
      <c r="B3805" s="81"/>
      <c r="H3805" s="83"/>
    </row>
    <row r="3806" spans="1:8" x14ac:dyDescent="0.3">
      <c r="A3806" s="82"/>
      <c r="B3806" s="81"/>
      <c r="H3806" s="83"/>
    </row>
    <row r="3807" spans="1:8" x14ac:dyDescent="0.3">
      <c r="A3807" s="82"/>
      <c r="B3807" s="81"/>
      <c r="H3807" s="83"/>
    </row>
    <row r="3808" spans="1:8" x14ac:dyDescent="0.3">
      <c r="A3808" s="82"/>
      <c r="B3808" s="81"/>
      <c r="H3808" s="83"/>
    </row>
    <row r="3809" spans="1:8" x14ac:dyDescent="0.3">
      <c r="A3809" s="82"/>
      <c r="B3809" s="81"/>
      <c r="H3809" s="83"/>
    </row>
    <row r="3810" spans="1:8" x14ac:dyDescent="0.3">
      <c r="A3810" s="82"/>
      <c r="B3810" s="81"/>
      <c r="H3810" s="83"/>
    </row>
    <row r="3811" spans="1:8" x14ac:dyDescent="0.3">
      <c r="A3811" s="82"/>
      <c r="B3811" s="81"/>
      <c r="H3811" s="83"/>
    </row>
    <row r="3812" spans="1:8" x14ac:dyDescent="0.3">
      <c r="A3812" s="82"/>
      <c r="B3812" s="81"/>
      <c r="H3812" s="83"/>
    </row>
    <row r="3813" spans="1:8" x14ac:dyDescent="0.3">
      <c r="A3813" s="82"/>
      <c r="B3813" s="81"/>
      <c r="H3813" s="83"/>
    </row>
    <row r="3814" spans="1:8" x14ac:dyDescent="0.3">
      <c r="A3814" s="82"/>
      <c r="B3814" s="81"/>
      <c r="H3814" s="83"/>
    </row>
    <row r="3815" spans="1:8" x14ac:dyDescent="0.3">
      <c r="A3815" s="82"/>
      <c r="B3815" s="81"/>
      <c r="H3815" s="83"/>
    </row>
    <row r="3816" spans="1:8" x14ac:dyDescent="0.3">
      <c r="A3816" s="82"/>
      <c r="B3816" s="81"/>
      <c r="H3816" s="83"/>
    </row>
    <row r="3817" spans="1:8" x14ac:dyDescent="0.3">
      <c r="A3817" s="82"/>
      <c r="B3817" s="81"/>
      <c r="H3817" s="83"/>
    </row>
    <row r="3818" spans="1:8" x14ac:dyDescent="0.3">
      <c r="A3818" s="82"/>
      <c r="B3818" s="81"/>
      <c r="H3818" s="83"/>
    </row>
    <row r="3819" spans="1:8" x14ac:dyDescent="0.3">
      <c r="A3819" s="82"/>
      <c r="B3819" s="81"/>
      <c r="H3819" s="83"/>
    </row>
    <row r="3820" spans="1:8" x14ac:dyDescent="0.3">
      <c r="A3820" s="82"/>
      <c r="B3820" s="81"/>
      <c r="H3820" s="83"/>
    </row>
    <row r="3821" spans="1:8" x14ac:dyDescent="0.3">
      <c r="A3821" s="82"/>
      <c r="B3821" s="81"/>
      <c r="H3821" s="83"/>
    </row>
    <row r="3822" spans="1:8" x14ac:dyDescent="0.3">
      <c r="A3822" s="82"/>
      <c r="B3822" s="81"/>
      <c r="H3822" s="83"/>
    </row>
    <row r="3823" spans="1:8" x14ac:dyDescent="0.3">
      <c r="A3823" s="82"/>
      <c r="B3823" s="81"/>
      <c r="H3823" s="83"/>
    </row>
    <row r="3824" spans="1:8" x14ac:dyDescent="0.3">
      <c r="A3824" s="82"/>
      <c r="B3824" s="81"/>
      <c r="H3824" s="83"/>
    </row>
    <row r="3825" spans="1:8" x14ac:dyDescent="0.3">
      <c r="A3825" s="82"/>
      <c r="B3825" s="81"/>
      <c r="H3825" s="83"/>
    </row>
    <row r="3826" spans="1:8" x14ac:dyDescent="0.3">
      <c r="A3826" s="82"/>
      <c r="B3826" s="81"/>
      <c r="H3826" s="83"/>
    </row>
    <row r="3827" spans="1:8" x14ac:dyDescent="0.3">
      <c r="A3827" s="82"/>
      <c r="B3827" s="81"/>
      <c r="H3827" s="83"/>
    </row>
    <row r="3828" spans="1:8" x14ac:dyDescent="0.3">
      <c r="A3828" s="82"/>
      <c r="B3828" s="81"/>
      <c r="H3828" s="83"/>
    </row>
    <row r="3829" spans="1:8" x14ac:dyDescent="0.3">
      <c r="A3829" s="82"/>
      <c r="B3829" s="81"/>
      <c r="H3829" s="83"/>
    </row>
    <row r="3830" spans="1:8" x14ac:dyDescent="0.3">
      <c r="A3830" s="82"/>
      <c r="B3830" s="81"/>
      <c r="H3830" s="83"/>
    </row>
    <row r="3831" spans="1:8" x14ac:dyDescent="0.3">
      <c r="A3831" s="82"/>
      <c r="B3831" s="81"/>
      <c r="H3831" s="83"/>
    </row>
    <row r="3832" spans="1:8" x14ac:dyDescent="0.3">
      <c r="A3832" s="82"/>
      <c r="B3832" s="81"/>
      <c r="H3832" s="83"/>
    </row>
    <row r="3833" spans="1:8" x14ac:dyDescent="0.3">
      <c r="A3833" s="82"/>
      <c r="B3833" s="81"/>
      <c r="H3833" s="83"/>
    </row>
    <row r="3834" spans="1:8" x14ac:dyDescent="0.3">
      <c r="A3834" s="82"/>
      <c r="B3834" s="81"/>
      <c r="H3834" s="83"/>
    </row>
    <row r="3835" spans="1:8" x14ac:dyDescent="0.3">
      <c r="A3835" s="82"/>
      <c r="B3835" s="81"/>
      <c r="H3835" s="83"/>
    </row>
    <row r="3836" spans="1:8" x14ac:dyDescent="0.3">
      <c r="A3836" s="82"/>
      <c r="B3836" s="81"/>
      <c r="H3836" s="83"/>
    </row>
    <row r="3837" spans="1:8" x14ac:dyDescent="0.3">
      <c r="A3837" s="82"/>
      <c r="B3837" s="81"/>
      <c r="H3837" s="83"/>
    </row>
    <row r="3838" spans="1:8" x14ac:dyDescent="0.3">
      <c r="A3838" s="82"/>
      <c r="B3838" s="81"/>
      <c r="H3838" s="83"/>
    </row>
    <row r="3839" spans="1:8" x14ac:dyDescent="0.3">
      <c r="A3839" s="82"/>
      <c r="B3839" s="81"/>
      <c r="H3839" s="83"/>
    </row>
    <row r="3840" spans="1:8" x14ac:dyDescent="0.3">
      <c r="A3840" s="82"/>
      <c r="B3840" s="81"/>
      <c r="H3840" s="83"/>
    </row>
    <row r="3841" spans="1:8" x14ac:dyDescent="0.3">
      <c r="A3841" s="82"/>
      <c r="B3841" s="81"/>
      <c r="H3841" s="83"/>
    </row>
    <row r="3842" spans="1:8" x14ac:dyDescent="0.3">
      <c r="A3842" s="82"/>
      <c r="B3842" s="81"/>
      <c r="H3842" s="83"/>
    </row>
    <row r="3843" spans="1:8" x14ac:dyDescent="0.3">
      <c r="A3843" s="82"/>
      <c r="B3843" s="81"/>
      <c r="H3843" s="83"/>
    </row>
    <row r="3844" spans="1:8" x14ac:dyDescent="0.3">
      <c r="A3844" s="82"/>
      <c r="B3844" s="81"/>
      <c r="H3844" s="83"/>
    </row>
    <row r="3845" spans="1:8" x14ac:dyDescent="0.3">
      <c r="A3845" s="82"/>
      <c r="B3845" s="81"/>
      <c r="H3845" s="83"/>
    </row>
    <row r="3846" spans="1:8" x14ac:dyDescent="0.3">
      <c r="A3846" s="82"/>
      <c r="B3846" s="81"/>
      <c r="H3846" s="83"/>
    </row>
    <row r="3847" spans="1:8" x14ac:dyDescent="0.3">
      <c r="A3847" s="82"/>
      <c r="B3847" s="81"/>
      <c r="H3847" s="83"/>
    </row>
    <row r="3848" spans="1:8" x14ac:dyDescent="0.3">
      <c r="A3848" s="82"/>
      <c r="B3848" s="81"/>
      <c r="H3848" s="83"/>
    </row>
    <row r="3849" spans="1:8" x14ac:dyDescent="0.3">
      <c r="A3849" s="82"/>
      <c r="B3849" s="81"/>
      <c r="H3849" s="83"/>
    </row>
    <row r="3850" spans="1:8" x14ac:dyDescent="0.3">
      <c r="A3850" s="82"/>
      <c r="B3850" s="81"/>
      <c r="H3850" s="83"/>
    </row>
    <row r="3851" spans="1:8" x14ac:dyDescent="0.3">
      <c r="A3851" s="82"/>
      <c r="B3851" s="81"/>
      <c r="H3851" s="83"/>
    </row>
    <row r="3852" spans="1:8" x14ac:dyDescent="0.3">
      <c r="A3852" s="82"/>
      <c r="B3852" s="81"/>
      <c r="H3852" s="83"/>
    </row>
    <row r="3853" spans="1:8" x14ac:dyDescent="0.3">
      <c r="A3853" s="82"/>
      <c r="B3853" s="81"/>
      <c r="H3853" s="83"/>
    </row>
    <row r="3854" spans="1:8" x14ac:dyDescent="0.3">
      <c r="A3854" s="82"/>
      <c r="B3854" s="81"/>
      <c r="H3854" s="83"/>
    </row>
    <row r="3855" spans="1:8" x14ac:dyDescent="0.3">
      <c r="A3855" s="82"/>
      <c r="B3855" s="81"/>
      <c r="H3855" s="83"/>
    </row>
    <row r="3856" spans="1:8" x14ac:dyDescent="0.3">
      <c r="A3856" s="82"/>
      <c r="B3856" s="81"/>
      <c r="H3856" s="83"/>
    </row>
    <row r="3857" spans="1:8" x14ac:dyDescent="0.3">
      <c r="A3857" s="82"/>
      <c r="B3857" s="81"/>
      <c r="H3857" s="83"/>
    </row>
    <row r="3858" spans="1:8" x14ac:dyDescent="0.3">
      <c r="A3858" s="82"/>
      <c r="B3858" s="81"/>
      <c r="H3858" s="83"/>
    </row>
    <row r="3859" spans="1:8" x14ac:dyDescent="0.3">
      <c r="A3859" s="82"/>
      <c r="B3859" s="81"/>
      <c r="H3859" s="83"/>
    </row>
    <row r="3860" spans="1:8" x14ac:dyDescent="0.3">
      <c r="A3860" s="82"/>
      <c r="B3860" s="81"/>
      <c r="H3860" s="83"/>
    </row>
    <row r="3861" spans="1:8" x14ac:dyDescent="0.3">
      <c r="A3861" s="82"/>
      <c r="B3861" s="81"/>
      <c r="H3861" s="83"/>
    </row>
    <row r="3862" spans="1:8" x14ac:dyDescent="0.3">
      <c r="A3862" s="82"/>
      <c r="B3862" s="81"/>
      <c r="H3862" s="83"/>
    </row>
    <row r="3863" spans="1:8" x14ac:dyDescent="0.3">
      <c r="A3863" s="82"/>
      <c r="B3863" s="81"/>
      <c r="H3863" s="83"/>
    </row>
    <row r="3864" spans="1:8" x14ac:dyDescent="0.3">
      <c r="A3864" s="82"/>
      <c r="B3864" s="81"/>
      <c r="H3864" s="83"/>
    </row>
    <row r="3865" spans="1:8" x14ac:dyDescent="0.3">
      <c r="A3865" s="82"/>
      <c r="B3865" s="81"/>
      <c r="H3865" s="83"/>
    </row>
    <row r="3866" spans="1:8" x14ac:dyDescent="0.3">
      <c r="A3866" s="82"/>
      <c r="B3866" s="81"/>
      <c r="H3866" s="83"/>
    </row>
    <row r="3867" spans="1:8" x14ac:dyDescent="0.3">
      <c r="A3867" s="82"/>
      <c r="B3867" s="81"/>
      <c r="H3867" s="83"/>
    </row>
    <row r="3868" spans="1:8" x14ac:dyDescent="0.3">
      <c r="A3868" s="82"/>
      <c r="B3868" s="81"/>
      <c r="H3868" s="83"/>
    </row>
    <row r="3869" spans="1:8" x14ac:dyDescent="0.3">
      <c r="A3869" s="82"/>
      <c r="B3869" s="81"/>
      <c r="H3869" s="83"/>
    </row>
    <row r="3870" spans="1:8" x14ac:dyDescent="0.3">
      <c r="A3870" s="82"/>
      <c r="B3870" s="81"/>
      <c r="H3870" s="83"/>
    </row>
    <row r="3871" spans="1:8" x14ac:dyDescent="0.3">
      <c r="A3871" s="82"/>
      <c r="B3871" s="81"/>
      <c r="H3871" s="83"/>
    </row>
    <row r="3872" spans="1:8" x14ac:dyDescent="0.3">
      <c r="A3872" s="82"/>
      <c r="B3872" s="81"/>
      <c r="H3872" s="83"/>
    </row>
    <row r="3873" spans="1:8" x14ac:dyDescent="0.3">
      <c r="A3873" s="82"/>
      <c r="B3873" s="81"/>
      <c r="H3873" s="83"/>
    </row>
    <row r="3874" spans="1:8" x14ac:dyDescent="0.3">
      <c r="A3874" s="82"/>
      <c r="B3874" s="81"/>
      <c r="H3874" s="83"/>
    </row>
    <row r="3875" spans="1:8" x14ac:dyDescent="0.3">
      <c r="A3875" s="82"/>
      <c r="B3875" s="81"/>
      <c r="H3875" s="83"/>
    </row>
    <row r="3876" spans="1:8" x14ac:dyDescent="0.3">
      <c r="A3876" s="82"/>
      <c r="B3876" s="81"/>
      <c r="H3876" s="83"/>
    </row>
    <row r="3877" spans="1:8" x14ac:dyDescent="0.3">
      <c r="A3877" s="82"/>
      <c r="B3877" s="81"/>
      <c r="H3877" s="83"/>
    </row>
    <row r="3878" spans="1:8" x14ac:dyDescent="0.3">
      <c r="A3878" s="82"/>
      <c r="B3878" s="81"/>
      <c r="H3878" s="83"/>
    </row>
    <row r="3879" spans="1:8" x14ac:dyDescent="0.3">
      <c r="A3879" s="82"/>
      <c r="B3879" s="81"/>
      <c r="H3879" s="83"/>
    </row>
    <row r="3880" spans="1:8" x14ac:dyDescent="0.3">
      <c r="A3880" s="82"/>
      <c r="B3880" s="81"/>
      <c r="H3880" s="83"/>
    </row>
    <row r="3881" spans="1:8" x14ac:dyDescent="0.3">
      <c r="A3881" s="82"/>
      <c r="B3881" s="81"/>
      <c r="H3881" s="83"/>
    </row>
    <row r="3882" spans="1:8" x14ac:dyDescent="0.3">
      <c r="A3882" s="82"/>
      <c r="B3882" s="81"/>
      <c r="H3882" s="83"/>
    </row>
    <row r="3883" spans="1:8" x14ac:dyDescent="0.3">
      <c r="A3883" s="82"/>
      <c r="B3883" s="81"/>
      <c r="H3883" s="83"/>
    </row>
    <row r="3884" spans="1:8" x14ac:dyDescent="0.3">
      <c r="A3884" s="82"/>
      <c r="B3884" s="81"/>
      <c r="H3884" s="83"/>
    </row>
    <row r="3885" spans="1:8" x14ac:dyDescent="0.3">
      <c r="A3885" s="82"/>
      <c r="B3885" s="81"/>
      <c r="H3885" s="83"/>
    </row>
    <row r="3886" spans="1:8" x14ac:dyDescent="0.3">
      <c r="A3886" s="82"/>
      <c r="B3886" s="81"/>
      <c r="H3886" s="83"/>
    </row>
    <row r="3887" spans="1:8" x14ac:dyDescent="0.3">
      <c r="A3887" s="82"/>
      <c r="B3887" s="81"/>
      <c r="H3887" s="83"/>
    </row>
    <row r="3888" spans="1:8" x14ac:dyDescent="0.3">
      <c r="A3888" s="82"/>
      <c r="B3888" s="81"/>
      <c r="H3888" s="83"/>
    </row>
    <row r="3889" spans="1:8" x14ac:dyDescent="0.3">
      <c r="A3889" s="82"/>
      <c r="B3889" s="81"/>
      <c r="H3889" s="83"/>
    </row>
    <row r="3890" spans="1:8" x14ac:dyDescent="0.3">
      <c r="A3890" s="82"/>
      <c r="B3890" s="81"/>
      <c r="H3890" s="83"/>
    </row>
    <row r="3891" spans="1:8" x14ac:dyDescent="0.3">
      <c r="A3891" s="82"/>
      <c r="B3891" s="81"/>
      <c r="H3891" s="83"/>
    </row>
    <row r="3892" spans="1:8" x14ac:dyDescent="0.3">
      <c r="A3892" s="82"/>
      <c r="B3892" s="81"/>
      <c r="H3892" s="83"/>
    </row>
    <row r="3893" spans="1:8" x14ac:dyDescent="0.3">
      <c r="A3893" s="82"/>
      <c r="B3893" s="81"/>
      <c r="H3893" s="83"/>
    </row>
    <row r="3894" spans="1:8" x14ac:dyDescent="0.3">
      <c r="A3894" s="82"/>
      <c r="B3894" s="81"/>
      <c r="H3894" s="83"/>
    </row>
    <row r="3895" spans="1:8" x14ac:dyDescent="0.3">
      <c r="A3895" s="82"/>
      <c r="B3895" s="81"/>
      <c r="H3895" s="83"/>
    </row>
    <row r="3896" spans="1:8" x14ac:dyDescent="0.3">
      <c r="A3896" s="82"/>
      <c r="B3896" s="81"/>
      <c r="H3896" s="83"/>
    </row>
    <row r="3897" spans="1:8" x14ac:dyDescent="0.3">
      <c r="A3897" s="82"/>
      <c r="B3897" s="81"/>
      <c r="H3897" s="83"/>
    </row>
    <row r="3898" spans="1:8" x14ac:dyDescent="0.3">
      <c r="A3898" s="82"/>
      <c r="B3898" s="81"/>
      <c r="H3898" s="83"/>
    </row>
    <row r="3899" spans="1:8" x14ac:dyDescent="0.3">
      <c r="A3899" s="82"/>
      <c r="B3899" s="81"/>
      <c r="H3899" s="83"/>
    </row>
    <row r="3900" spans="1:8" x14ac:dyDescent="0.3">
      <c r="A3900" s="82"/>
      <c r="B3900" s="81"/>
      <c r="H3900" s="83"/>
    </row>
    <row r="3901" spans="1:8" x14ac:dyDescent="0.3">
      <c r="A3901" s="82"/>
      <c r="B3901" s="81"/>
      <c r="H3901" s="83"/>
    </row>
    <row r="3902" spans="1:8" x14ac:dyDescent="0.3">
      <c r="A3902" s="82"/>
      <c r="B3902" s="81"/>
      <c r="H3902" s="83"/>
    </row>
    <row r="3903" spans="1:8" x14ac:dyDescent="0.3">
      <c r="A3903" s="82"/>
      <c r="B3903" s="81"/>
      <c r="H3903" s="83"/>
    </row>
    <row r="3904" spans="1:8" x14ac:dyDescent="0.3">
      <c r="A3904" s="82"/>
      <c r="B3904" s="81"/>
      <c r="H3904" s="83"/>
    </row>
    <row r="3905" spans="1:8" x14ac:dyDescent="0.3">
      <c r="A3905" s="82"/>
      <c r="B3905" s="81"/>
      <c r="H3905" s="83"/>
    </row>
    <row r="3906" spans="1:8" x14ac:dyDescent="0.3">
      <c r="A3906" s="82"/>
      <c r="B3906" s="81"/>
      <c r="H3906" s="83"/>
    </row>
    <row r="3907" spans="1:8" x14ac:dyDescent="0.3">
      <c r="A3907" s="82"/>
      <c r="B3907" s="81"/>
      <c r="H3907" s="83"/>
    </row>
    <row r="3908" spans="1:8" x14ac:dyDescent="0.3">
      <c r="A3908" s="82"/>
      <c r="B3908" s="81"/>
      <c r="H3908" s="83"/>
    </row>
    <row r="3909" spans="1:8" x14ac:dyDescent="0.3">
      <c r="A3909" s="82"/>
      <c r="B3909" s="81"/>
      <c r="H3909" s="83"/>
    </row>
    <row r="3910" spans="1:8" x14ac:dyDescent="0.3">
      <c r="A3910" s="82"/>
      <c r="B3910" s="81"/>
      <c r="H3910" s="83"/>
    </row>
    <row r="3911" spans="1:8" x14ac:dyDescent="0.3">
      <c r="A3911" s="82"/>
      <c r="B3911" s="81"/>
      <c r="H3911" s="83"/>
    </row>
    <row r="3912" spans="1:8" x14ac:dyDescent="0.3">
      <c r="A3912" s="82"/>
      <c r="B3912" s="81"/>
      <c r="H3912" s="83"/>
    </row>
    <row r="3913" spans="1:8" x14ac:dyDescent="0.3">
      <c r="A3913" s="82"/>
      <c r="B3913" s="81"/>
      <c r="H3913" s="83"/>
    </row>
    <row r="3914" spans="1:8" x14ac:dyDescent="0.3">
      <c r="A3914" s="82"/>
      <c r="B3914" s="81"/>
      <c r="H3914" s="83"/>
    </row>
    <row r="3915" spans="1:8" x14ac:dyDescent="0.3">
      <c r="A3915" s="82"/>
      <c r="B3915" s="81"/>
      <c r="H3915" s="83"/>
    </row>
    <row r="3916" spans="1:8" x14ac:dyDescent="0.3">
      <c r="A3916" s="82"/>
      <c r="B3916" s="81"/>
      <c r="H3916" s="83"/>
    </row>
    <row r="3917" spans="1:8" x14ac:dyDescent="0.3">
      <c r="A3917" s="82"/>
      <c r="B3917" s="81"/>
      <c r="H3917" s="83"/>
    </row>
    <row r="3918" spans="1:8" x14ac:dyDescent="0.3">
      <c r="A3918" s="82"/>
      <c r="B3918" s="81"/>
      <c r="H3918" s="83"/>
    </row>
    <row r="3919" spans="1:8" x14ac:dyDescent="0.3">
      <c r="A3919" s="82"/>
      <c r="B3919" s="81"/>
      <c r="H3919" s="83"/>
    </row>
    <row r="3920" spans="1:8" x14ac:dyDescent="0.3">
      <c r="A3920" s="82"/>
      <c r="B3920" s="81"/>
      <c r="H3920" s="83"/>
    </row>
    <row r="3921" spans="1:8" x14ac:dyDescent="0.3">
      <c r="A3921" s="82"/>
      <c r="B3921" s="81"/>
      <c r="H3921" s="83"/>
    </row>
    <row r="3922" spans="1:8" x14ac:dyDescent="0.3">
      <c r="A3922" s="82"/>
      <c r="B3922" s="81"/>
      <c r="H3922" s="83"/>
    </row>
    <row r="3923" spans="1:8" x14ac:dyDescent="0.3">
      <c r="A3923" s="82"/>
      <c r="B3923" s="81"/>
      <c r="H3923" s="83"/>
    </row>
    <row r="3924" spans="1:8" x14ac:dyDescent="0.3">
      <c r="A3924" s="82"/>
      <c r="B3924" s="81"/>
      <c r="H3924" s="83"/>
    </row>
    <row r="3925" spans="1:8" x14ac:dyDescent="0.3">
      <c r="A3925" s="82"/>
      <c r="B3925" s="81"/>
      <c r="H3925" s="83"/>
    </row>
    <row r="3926" spans="1:8" x14ac:dyDescent="0.3">
      <c r="A3926" s="82"/>
      <c r="B3926" s="81"/>
      <c r="H3926" s="83"/>
    </row>
    <row r="3927" spans="1:8" x14ac:dyDescent="0.3">
      <c r="A3927" s="82"/>
      <c r="B3927" s="81"/>
      <c r="H3927" s="83"/>
    </row>
    <row r="3928" spans="1:8" x14ac:dyDescent="0.3">
      <c r="A3928" s="82"/>
      <c r="B3928" s="81"/>
      <c r="H3928" s="83"/>
    </row>
    <row r="3929" spans="1:8" x14ac:dyDescent="0.3">
      <c r="A3929" s="82"/>
      <c r="B3929" s="81"/>
      <c r="H3929" s="83"/>
    </row>
    <row r="3930" spans="1:8" x14ac:dyDescent="0.3">
      <c r="A3930" s="82"/>
      <c r="B3930" s="81"/>
      <c r="H3930" s="83"/>
    </row>
    <row r="3931" spans="1:8" x14ac:dyDescent="0.3">
      <c r="A3931" s="82"/>
      <c r="B3931" s="81"/>
      <c r="H3931" s="83"/>
    </row>
    <row r="3932" spans="1:8" x14ac:dyDescent="0.3">
      <c r="A3932" s="82"/>
      <c r="B3932" s="81"/>
      <c r="H3932" s="83"/>
    </row>
    <row r="3933" spans="1:8" x14ac:dyDescent="0.3">
      <c r="A3933" s="82"/>
      <c r="B3933" s="81"/>
      <c r="H3933" s="83"/>
    </row>
    <row r="3934" spans="1:8" x14ac:dyDescent="0.3">
      <c r="A3934" s="82"/>
      <c r="B3934" s="81"/>
      <c r="H3934" s="83"/>
    </row>
    <row r="3935" spans="1:8" x14ac:dyDescent="0.3">
      <c r="A3935" s="82"/>
      <c r="B3935" s="81"/>
      <c r="H3935" s="83"/>
    </row>
    <row r="3936" spans="1:8" x14ac:dyDescent="0.3">
      <c r="A3936" s="82"/>
      <c r="B3936" s="81"/>
      <c r="H3936" s="83"/>
    </row>
    <row r="3937" spans="1:8" x14ac:dyDescent="0.3">
      <c r="A3937" s="82"/>
      <c r="B3937" s="81"/>
      <c r="H3937" s="83"/>
    </row>
    <row r="3938" spans="1:8" x14ac:dyDescent="0.3">
      <c r="A3938" s="82"/>
      <c r="B3938" s="81"/>
      <c r="H3938" s="83"/>
    </row>
    <row r="3939" spans="1:8" x14ac:dyDescent="0.3">
      <c r="A3939" s="82"/>
      <c r="B3939" s="81"/>
      <c r="H3939" s="83"/>
    </row>
    <row r="3940" spans="1:8" x14ac:dyDescent="0.3">
      <c r="A3940" s="82"/>
      <c r="B3940" s="81"/>
      <c r="H3940" s="83"/>
    </row>
    <row r="3941" spans="1:8" x14ac:dyDescent="0.3">
      <c r="A3941" s="82"/>
      <c r="B3941" s="81"/>
      <c r="H3941" s="83"/>
    </row>
    <row r="3942" spans="1:8" x14ac:dyDescent="0.3">
      <c r="A3942" s="82"/>
      <c r="B3942" s="81"/>
      <c r="H3942" s="83"/>
    </row>
    <row r="3943" spans="1:8" x14ac:dyDescent="0.3">
      <c r="A3943" s="82"/>
      <c r="B3943" s="81"/>
      <c r="H3943" s="83"/>
    </row>
    <row r="3944" spans="1:8" x14ac:dyDescent="0.3">
      <c r="A3944" s="82"/>
      <c r="B3944" s="81"/>
      <c r="H3944" s="83"/>
    </row>
    <row r="3945" spans="1:8" x14ac:dyDescent="0.3">
      <c r="A3945" s="82"/>
      <c r="B3945" s="81"/>
      <c r="H3945" s="83"/>
    </row>
    <row r="3946" spans="1:8" x14ac:dyDescent="0.3">
      <c r="A3946" s="82"/>
      <c r="B3946" s="81"/>
      <c r="H3946" s="83"/>
    </row>
    <row r="3947" spans="1:8" x14ac:dyDescent="0.3">
      <c r="A3947" s="82"/>
      <c r="B3947" s="81"/>
      <c r="H3947" s="83"/>
    </row>
    <row r="3948" spans="1:8" x14ac:dyDescent="0.3">
      <c r="A3948" s="82"/>
      <c r="B3948" s="81"/>
      <c r="H3948" s="83"/>
    </row>
    <row r="3949" spans="1:8" x14ac:dyDescent="0.3">
      <c r="A3949" s="82"/>
      <c r="B3949" s="81"/>
      <c r="H3949" s="83"/>
    </row>
    <row r="3950" spans="1:8" x14ac:dyDescent="0.3">
      <c r="A3950" s="82"/>
      <c r="B3950" s="81"/>
      <c r="H3950" s="83"/>
    </row>
    <row r="3951" spans="1:8" x14ac:dyDescent="0.3">
      <c r="A3951" s="82"/>
      <c r="B3951" s="81"/>
      <c r="H3951" s="83"/>
    </row>
    <row r="3952" spans="1:8" x14ac:dyDescent="0.3">
      <c r="A3952" s="82"/>
      <c r="B3952" s="81"/>
      <c r="H3952" s="83"/>
    </row>
    <row r="3953" spans="1:8" x14ac:dyDescent="0.3">
      <c r="A3953" s="82"/>
      <c r="B3953" s="81"/>
      <c r="H3953" s="83"/>
    </row>
    <row r="3954" spans="1:8" x14ac:dyDescent="0.3">
      <c r="A3954" s="82"/>
      <c r="B3954" s="81"/>
      <c r="H3954" s="83"/>
    </row>
    <row r="3955" spans="1:8" x14ac:dyDescent="0.3">
      <c r="A3955" s="82"/>
      <c r="B3955" s="81"/>
      <c r="H3955" s="83"/>
    </row>
    <row r="3956" spans="1:8" x14ac:dyDescent="0.3">
      <c r="A3956" s="82"/>
      <c r="B3956" s="81"/>
      <c r="H3956" s="83"/>
    </row>
    <row r="3957" spans="1:8" x14ac:dyDescent="0.3">
      <c r="A3957" s="82"/>
      <c r="B3957" s="81"/>
      <c r="H3957" s="83"/>
    </row>
    <row r="3958" spans="1:8" x14ac:dyDescent="0.3">
      <c r="A3958" s="82"/>
      <c r="B3958" s="81"/>
      <c r="H3958" s="83"/>
    </row>
    <row r="3959" spans="1:8" x14ac:dyDescent="0.3">
      <c r="A3959" s="82"/>
      <c r="B3959" s="81"/>
      <c r="H3959" s="83"/>
    </row>
    <row r="3960" spans="1:8" x14ac:dyDescent="0.3">
      <c r="A3960" s="82"/>
      <c r="B3960" s="81"/>
      <c r="H3960" s="83"/>
    </row>
    <row r="3961" spans="1:8" x14ac:dyDescent="0.3">
      <c r="A3961" s="82"/>
      <c r="B3961" s="81"/>
      <c r="H3961" s="83"/>
    </row>
    <row r="3962" spans="1:8" x14ac:dyDescent="0.3">
      <c r="A3962" s="82"/>
      <c r="B3962" s="81"/>
      <c r="H3962" s="83"/>
    </row>
    <row r="3963" spans="1:8" x14ac:dyDescent="0.3">
      <c r="A3963" s="82"/>
      <c r="B3963" s="81"/>
      <c r="H3963" s="83"/>
    </row>
    <row r="3964" spans="1:8" x14ac:dyDescent="0.3">
      <c r="A3964" s="82"/>
      <c r="B3964" s="81"/>
      <c r="H3964" s="83"/>
    </row>
    <row r="3965" spans="1:8" x14ac:dyDescent="0.3">
      <c r="A3965" s="82"/>
      <c r="B3965" s="81"/>
      <c r="H3965" s="83"/>
    </row>
    <row r="3966" spans="1:8" x14ac:dyDescent="0.3">
      <c r="A3966" s="82"/>
      <c r="B3966" s="81"/>
      <c r="H3966" s="83"/>
    </row>
    <row r="3967" spans="1:8" x14ac:dyDescent="0.3">
      <c r="A3967" s="82"/>
      <c r="B3967" s="81"/>
      <c r="H3967" s="83"/>
    </row>
    <row r="3968" spans="1:8" x14ac:dyDescent="0.3">
      <c r="A3968" s="82"/>
      <c r="B3968" s="81"/>
      <c r="H3968" s="83"/>
    </row>
    <row r="3969" spans="1:8" x14ac:dyDescent="0.3">
      <c r="A3969" s="82"/>
      <c r="B3969" s="81"/>
      <c r="H3969" s="83"/>
    </row>
    <row r="3970" spans="1:8" x14ac:dyDescent="0.3">
      <c r="A3970" s="82"/>
      <c r="B3970" s="81"/>
      <c r="H3970" s="83"/>
    </row>
    <row r="3971" spans="1:8" x14ac:dyDescent="0.3">
      <c r="A3971" s="82"/>
      <c r="B3971" s="81"/>
      <c r="H3971" s="83"/>
    </row>
    <row r="3972" spans="1:8" x14ac:dyDescent="0.3">
      <c r="A3972" s="82"/>
      <c r="B3972" s="81"/>
      <c r="H3972" s="83"/>
    </row>
    <row r="3973" spans="1:8" x14ac:dyDescent="0.3">
      <c r="A3973" s="82"/>
      <c r="B3973" s="81"/>
      <c r="H3973" s="83"/>
    </row>
    <row r="3974" spans="1:8" x14ac:dyDescent="0.3">
      <c r="A3974" s="82"/>
      <c r="B3974" s="81"/>
      <c r="H3974" s="83"/>
    </row>
    <row r="3975" spans="1:8" x14ac:dyDescent="0.3">
      <c r="A3975" s="82"/>
      <c r="B3975" s="81"/>
      <c r="H3975" s="83"/>
    </row>
    <row r="3976" spans="1:8" x14ac:dyDescent="0.3">
      <c r="A3976" s="82"/>
      <c r="B3976" s="81"/>
      <c r="H3976" s="83"/>
    </row>
    <row r="3977" spans="1:8" x14ac:dyDescent="0.3">
      <c r="A3977" s="82"/>
      <c r="B3977" s="81"/>
      <c r="H3977" s="83"/>
    </row>
    <row r="3978" spans="1:8" x14ac:dyDescent="0.3">
      <c r="A3978" s="82"/>
      <c r="B3978" s="81"/>
      <c r="H3978" s="83"/>
    </row>
    <row r="3979" spans="1:8" x14ac:dyDescent="0.3">
      <c r="A3979" s="82"/>
      <c r="B3979" s="81"/>
      <c r="H3979" s="83"/>
    </row>
    <row r="3980" spans="1:8" x14ac:dyDescent="0.3">
      <c r="A3980" s="82"/>
      <c r="B3980" s="81"/>
      <c r="H3980" s="83"/>
    </row>
    <row r="3981" spans="1:8" x14ac:dyDescent="0.3">
      <c r="A3981" s="82"/>
      <c r="B3981" s="81"/>
      <c r="H3981" s="83"/>
    </row>
    <row r="3982" spans="1:8" x14ac:dyDescent="0.3">
      <c r="A3982" s="82"/>
      <c r="B3982" s="81"/>
      <c r="H3982" s="83"/>
    </row>
    <row r="3983" spans="1:8" x14ac:dyDescent="0.3">
      <c r="A3983" s="82"/>
      <c r="B3983" s="81"/>
      <c r="H3983" s="83"/>
    </row>
    <row r="3984" spans="1:8" x14ac:dyDescent="0.3">
      <c r="A3984" s="82"/>
      <c r="B3984" s="81"/>
      <c r="H3984" s="83"/>
    </row>
    <row r="3985" spans="1:8" x14ac:dyDescent="0.3">
      <c r="A3985" s="82"/>
      <c r="B3985" s="81"/>
      <c r="H3985" s="83"/>
    </row>
    <row r="3986" spans="1:8" x14ac:dyDescent="0.3">
      <c r="A3986" s="82"/>
      <c r="B3986" s="81"/>
      <c r="H3986" s="83"/>
    </row>
    <row r="3987" spans="1:8" x14ac:dyDescent="0.3">
      <c r="A3987" s="82"/>
      <c r="B3987" s="81"/>
      <c r="H3987" s="83"/>
    </row>
    <row r="3988" spans="1:8" x14ac:dyDescent="0.3">
      <c r="A3988" s="82"/>
      <c r="B3988" s="81"/>
      <c r="H3988" s="83"/>
    </row>
    <row r="3989" spans="1:8" x14ac:dyDescent="0.3">
      <c r="A3989" s="82"/>
      <c r="B3989" s="81"/>
      <c r="H3989" s="83"/>
    </row>
    <row r="3990" spans="1:8" x14ac:dyDescent="0.3">
      <c r="A3990" s="82"/>
      <c r="B3990" s="81"/>
      <c r="H3990" s="83"/>
    </row>
    <row r="3991" spans="1:8" x14ac:dyDescent="0.3">
      <c r="A3991" s="82"/>
      <c r="B3991" s="81"/>
      <c r="H3991" s="83"/>
    </row>
    <row r="3992" spans="1:8" x14ac:dyDescent="0.3">
      <c r="A3992" s="82"/>
      <c r="B3992" s="81"/>
      <c r="H3992" s="83"/>
    </row>
    <row r="3993" spans="1:8" x14ac:dyDescent="0.3">
      <c r="A3993" s="82"/>
      <c r="B3993" s="81"/>
      <c r="H3993" s="83"/>
    </row>
    <row r="3994" spans="1:8" x14ac:dyDescent="0.3">
      <c r="A3994" s="82"/>
      <c r="B3994" s="81"/>
      <c r="H3994" s="83"/>
    </row>
    <row r="3995" spans="1:8" x14ac:dyDescent="0.3">
      <c r="A3995" s="82"/>
      <c r="B3995" s="81"/>
      <c r="H3995" s="83"/>
    </row>
    <row r="3996" spans="1:8" x14ac:dyDescent="0.3">
      <c r="A3996" s="82"/>
      <c r="B3996" s="81"/>
      <c r="H3996" s="83"/>
    </row>
    <row r="3997" spans="1:8" x14ac:dyDescent="0.3">
      <c r="A3997" s="82"/>
      <c r="B3997" s="81"/>
      <c r="H3997" s="83"/>
    </row>
    <row r="3998" spans="1:8" x14ac:dyDescent="0.3">
      <c r="A3998" s="82"/>
      <c r="B3998" s="81"/>
      <c r="H3998" s="83"/>
    </row>
    <row r="3999" spans="1:8" x14ac:dyDescent="0.3">
      <c r="A3999" s="82"/>
      <c r="B3999" s="81"/>
      <c r="H3999" s="83"/>
    </row>
    <row r="4000" spans="1:8" x14ac:dyDescent="0.3">
      <c r="A4000" s="82"/>
      <c r="B4000" s="81"/>
      <c r="H4000" s="83"/>
    </row>
    <row r="4001" spans="1:8" x14ac:dyDescent="0.3">
      <c r="A4001" s="82"/>
      <c r="B4001" s="81"/>
      <c r="H4001" s="83"/>
    </row>
    <row r="4002" spans="1:8" x14ac:dyDescent="0.3">
      <c r="A4002" s="82"/>
      <c r="B4002" s="81"/>
      <c r="H4002" s="83"/>
    </row>
    <row r="4003" spans="1:8" x14ac:dyDescent="0.3">
      <c r="A4003" s="82"/>
      <c r="B4003" s="81"/>
      <c r="H4003" s="83"/>
    </row>
    <row r="4004" spans="1:8" x14ac:dyDescent="0.3">
      <c r="A4004" s="82"/>
      <c r="B4004" s="81"/>
      <c r="H4004" s="83"/>
    </row>
    <row r="4005" spans="1:8" x14ac:dyDescent="0.3">
      <c r="A4005" s="82"/>
      <c r="B4005" s="81"/>
      <c r="H4005" s="83"/>
    </row>
    <row r="4006" spans="1:8" x14ac:dyDescent="0.3">
      <c r="A4006" s="82"/>
      <c r="B4006" s="81"/>
      <c r="H4006" s="83"/>
    </row>
    <row r="4007" spans="1:8" x14ac:dyDescent="0.3">
      <c r="A4007" s="82"/>
      <c r="B4007" s="81"/>
      <c r="H4007" s="83"/>
    </row>
    <row r="4008" spans="1:8" x14ac:dyDescent="0.3">
      <c r="A4008" s="82"/>
      <c r="B4008" s="81"/>
      <c r="H4008" s="83"/>
    </row>
    <row r="4009" spans="1:8" x14ac:dyDescent="0.3">
      <c r="A4009" s="82"/>
      <c r="B4009" s="81"/>
      <c r="H4009" s="83"/>
    </row>
    <row r="4010" spans="1:8" x14ac:dyDescent="0.3">
      <c r="A4010" s="82"/>
      <c r="B4010" s="81"/>
      <c r="H4010" s="83"/>
    </row>
    <row r="4011" spans="1:8" x14ac:dyDescent="0.3">
      <c r="A4011" s="82"/>
      <c r="B4011" s="81"/>
      <c r="H4011" s="83"/>
    </row>
    <row r="4012" spans="1:8" x14ac:dyDescent="0.3">
      <c r="A4012" s="82"/>
      <c r="B4012" s="81"/>
      <c r="H4012" s="83"/>
    </row>
    <row r="4013" spans="1:8" x14ac:dyDescent="0.3">
      <c r="A4013" s="82"/>
      <c r="B4013" s="81"/>
      <c r="H4013" s="83"/>
    </row>
    <row r="4014" spans="1:8" x14ac:dyDescent="0.3">
      <c r="A4014" s="82"/>
      <c r="B4014" s="81"/>
      <c r="H4014" s="83"/>
    </row>
    <row r="4015" spans="1:8" x14ac:dyDescent="0.3">
      <c r="A4015" s="82"/>
      <c r="B4015" s="81"/>
      <c r="H4015" s="83"/>
    </row>
    <row r="4016" spans="1:8" x14ac:dyDescent="0.3">
      <c r="A4016" s="82"/>
      <c r="B4016" s="81"/>
      <c r="H4016" s="83"/>
    </row>
    <row r="4017" spans="1:8" x14ac:dyDescent="0.3">
      <c r="A4017" s="82"/>
      <c r="B4017" s="81"/>
      <c r="H4017" s="83"/>
    </row>
    <row r="4018" spans="1:8" x14ac:dyDescent="0.3">
      <c r="A4018" s="82"/>
      <c r="B4018" s="81"/>
      <c r="H4018" s="83"/>
    </row>
    <row r="4019" spans="1:8" x14ac:dyDescent="0.3">
      <c r="A4019" s="82"/>
      <c r="B4019" s="81"/>
      <c r="H4019" s="83"/>
    </row>
    <row r="4020" spans="1:8" x14ac:dyDescent="0.3">
      <c r="A4020" s="82"/>
      <c r="B4020" s="81"/>
      <c r="H4020" s="83"/>
    </row>
    <row r="4021" spans="1:8" x14ac:dyDescent="0.3">
      <c r="A4021" s="82"/>
      <c r="B4021" s="81"/>
      <c r="H4021" s="83"/>
    </row>
    <row r="4022" spans="1:8" x14ac:dyDescent="0.3">
      <c r="A4022" s="82"/>
      <c r="B4022" s="81"/>
      <c r="H4022" s="83"/>
    </row>
    <row r="4023" spans="1:8" x14ac:dyDescent="0.3">
      <c r="A4023" s="82"/>
      <c r="B4023" s="81"/>
      <c r="H4023" s="83"/>
    </row>
    <row r="4024" spans="1:8" x14ac:dyDescent="0.3">
      <c r="A4024" s="82"/>
      <c r="B4024" s="81"/>
      <c r="H4024" s="83"/>
    </row>
    <row r="4025" spans="1:8" x14ac:dyDescent="0.3">
      <c r="A4025" s="82"/>
      <c r="B4025" s="81"/>
      <c r="H4025" s="83"/>
    </row>
    <row r="4026" spans="1:8" x14ac:dyDescent="0.3">
      <c r="A4026" s="82"/>
      <c r="B4026" s="81"/>
      <c r="H4026" s="83"/>
    </row>
    <row r="4027" spans="1:8" x14ac:dyDescent="0.3">
      <c r="A4027" s="82"/>
      <c r="B4027" s="81"/>
      <c r="H4027" s="83"/>
    </row>
    <row r="4028" spans="1:8" x14ac:dyDescent="0.3">
      <c r="A4028" s="82"/>
      <c r="B4028" s="81"/>
      <c r="H4028" s="83"/>
    </row>
    <row r="4029" spans="1:8" x14ac:dyDescent="0.3">
      <c r="A4029" s="82"/>
      <c r="B4029" s="81"/>
      <c r="H4029" s="83"/>
    </row>
    <row r="4030" spans="1:8" x14ac:dyDescent="0.3">
      <c r="A4030" s="82"/>
      <c r="B4030" s="81"/>
      <c r="H4030" s="83"/>
    </row>
    <row r="4031" spans="1:8" x14ac:dyDescent="0.3">
      <c r="A4031" s="82"/>
      <c r="B4031" s="81"/>
      <c r="H4031" s="83"/>
    </row>
    <row r="4032" spans="1:8" x14ac:dyDescent="0.3">
      <c r="A4032" s="82"/>
      <c r="B4032" s="81"/>
      <c r="H4032" s="83"/>
    </row>
    <row r="4033" spans="1:8" x14ac:dyDescent="0.3">
      <c r="A4033" s="82"/>
      <c r="B4033" s="81"/>
      <c r="H4033" s="83"/>
    </row>
    <row r="4034" spans="1:8" x14ac:dyDescent="0.3">
      <c r="A4034" s="82"/>
      <c r="B4034" s="81"/>
      <c r="H4034" s="83"/>
    </row>
    <row r="4035" spans="1:8" x14ac:dyDescent="0.3">
      <c r="A4035" s="82"/>
      <c r="B4035" s="81"/>
      <c r="H4035" s="83"/>
    </row>
    <row r="4036" spans="1:8" x14ac:dyDescent="0.3">
      <c r="A4036" s="82"/>
      <c r="B4036" s="81"/>
      <c r="H4036" s="83"/>
    </row>
    <row r="4037" spans="1:8" x14ac:dyDescent="0.3">
      <c r="A4037" s="82"/>
      <c r="B4037" s="81"/>
      <c r="H4037" s="83"/>
    </row>
    <row r="4038" spans="1:8" x14ac:dyDescent="0.3">
      <c r="A4038" s="82"/>
      <c r="B4038" s="81"/>
      <c r="H4038" s="83"/>
    </row>
    <row r="4039" spans="1:8" x14ac:dyDescent="0.3">
      <c r="A4039" s="82"/>
      <c r="B4039" s="81"/>
      <c r="H4039" s="83"/>
    </row>
    <row r="4040" spans="1:8" x14ac:dyDescent="0.3">
      <c r="A4040" s="82"/>
      <c r="B4040" s="81"/>
      <c r="H4040" s="83"/>
    </row>
    <row r="4041" spans="1:8" x14ac:dyDescent="0.3">
      <c r="A4041" s="82"/>
      <c r="B4041" s="81"/>
      <c r="H4041" s="83"/>
    </row>
    <row r="4042" spans="1:8" x14ac:dyDescent="0.3">
      <c r="A4042" s="82"/>
      <c r="B4042" s="81"/>
      <c r="H4042" s="83"/>
    </row>
    <row r="4043" spans="1:8" x14ac:dyDescent="0.3">
      <c r="A4043" s="82"/>
      <c r="B4043" s="81"/>
      <c r="H4043" s="83"/>
    </row>
    <row r="4044" spans="1:8" x14ac:dyDescent="0.3">
      <c r="A4044" s="82"/>
      <c r="B4044" s="81"/>
      <c r="H4044" s="83"/>
    </row>
    <row r="4045" spans="1:8" x14ac:dyDescent="0.3">
      <c r="A4045" s="82"/>
      <c r="B4045" s="81"/>
      <c r="H4045" s="83"/>
    </row>
    <row r="4046" spans="1:8" x14ac:dyDescent="0.3">
      <c r="A4046" s="82"/>
      <c r="B4046" s="81"/>
      <c r="H4046" s="83"/>
    </row>
    <row r="4047" spans="1:8" x14ac:dyDescent="0.3">
      <c r="A4047" s="82"/>
      <c r="B4047" s="81"/>
      <c r="H4047" s="83"/>
    </row>
    <row r="4048" spans="1:8" x14ac:dyDescent="0.3">
      <c r="A4048" s="82"/>
      <c r="B4048" s="81"/>
      <c r="H4048" s="83"/>
    </row>
    <row r="4049" spans="1:8" x14ac:dyDescent="0.3">
      <c r="A4049" s="82"/>
      <c r="B4049" s="81"/>
      <c r="H4049" s="83"/>
    </row>
    <row r="4050" spans="1:8" x14ac:dyDescent="0.3">
      <c r="A4050" s="82"/>
      <c r="B4050" s="81"/>
      <c r="H4050" s="83"/>
    </row>
    <row r="4051" spans="1:8" x14ac:dyDescent="0.3">
      <c r="A4051" s="82"/>
      <c r="B4051" s="81"/>
      <c r="H4051" s="83"/>
    </row>
    <row r="4052" spans="1:8" x14ac:dyDescent="0.3">
      <c r="A4052" s="82"/>
      <c r="B4052" s="81"/>
      <c r="H4052" s="83"/>
    </row>
    <row r="4053" spans="1:8" x14ac:dyDescent="0.3">
      <c r="A4053" s="82"/>
      <c r="B4053" s="81"/>
      <c r="H4053" s="83"/>
    </row>
    <row r="4054" spans="1:8" x14ac:dyDescent="0.3">
      <c r="A4054" s="82"/>
      <c r="B4054" s="81"/>
      <c r="H4054" s="83"/>
    </row>
    <row r="4055" spans="1:8" x14ac:dyDescent="0.3">
      <c r="A4055" s="82"/>
      <c r="B4055" s="81"/>
      <c r="H4055" s="83"/>
    </row>
    <row r="4056" spans="1:8" x14ac:dyDescent="0.3">
      <c r="A4056" s="82"/>
      <c r="B4056" s="81"/>
      <c r="H4056" s="83"/>
    </row>
    <row r="4057" spans="1:8" x14ac:dyDescent="0.3">
      <c r="A4057" s="82"/>
      <c r="B4057" s="81"/>
      <c r="H4057" s="83"/>
    </row>
    <row r="4058" spans="1:8" x14ac:dyDescent="0.3">
      <c r="A4058" s="82"/>
      <c r="B4058" s="81"/>
      <c r="H4058" s="83"/>
    </row>
    <row r="4059" spans="1:8" x14ac:dyDescent="0.3">
      <c r="A4059" s="82"/>
      <c r="B4059" s="81"/>
      <c r="H4059" s="83"/>
    </row>
    <row r="4060" spans="1:8" x14ac:dyDescent="0.3">
      <c r="A4060" s="82"/>
      <c r="B4060" s="81"/>
      <c r="H4060" s="83"/>
    </row>
    <row r="4061" spans="1:8" x14ac:dyDescent="0.3">
      <c r="A4061" s="82"/>
      <c r="B4061" s="81"/>
      <c r="H4061" s="83"/>
    </row>
    <row r="4062" spans="1:8" x14ac:dyDescent="0.3">
      <c r="A4062" s="82"/>
      <c r="B4062" s="81"/>
      <c r="H4062" s="83"/>
    </row>
    <row r="4063" spans="1:8" x14ac:dyDescent="0.3">
      <c r="A4063" s="82"/>
      <c r="B4063" s="81"/>
      <c r="H4063" s="83"/>
    </row>
    <row r="4064" spans="1:8" x14ac:dyDescent="0.3">
      <c r="A4064" s="82"/>
      <c r="B4064" s="81"/>
      <c r="H4064" s="83"/>
    </row>
    <row r="4065" spans="1:8" x14ac:dyDescent="0.3">
      <c r="A4065" s="82"/>
      <c r="B4065" s="81"/>
      <c r="H4065" s="83"/>
    </row>
    <row r="4066" spans="1:8" x14ac:dyDescent="0.3">
      <c r="A4066" s="82"/>
      <c r="B4066" s="81"/>
      <c r="H4066" s="83"/>
    </row>
    <row r="4067" spans="1:8" x14ac:dyDescent="0.3">
      <c r="A4067" s="82"/>
      <c r="B4067" s="81"/>
      <c r="H4067" s="83"/>
    </row>
    <row r="4068" spans="1:8" x14ac:dyDescent="0.3">
      <c r="A4068" s="82"/>
      <c r="B4068" s="81"/>
      <c r="H4068" s="83"/>
    </row>
    <row r="4069" spans="1:8" x14ac:dyDescent="0.3">
      <c r="A4069" s="82"/>
      <c r="B4069" s="81"/>
      <c r="H4069" s="83"/>
    </row>
    <row r="4070" spans="1:8" x14ac:dyDescent="0.3">
      <c r="A4070" s="82"/>
      <c r="B4070" s="81"/>
      <c r="H4070" s="83"/>
    </row>
    <row r="4071" spans="1:8" x14ac:dyDescent="0.3">
      <c r="A4071" s="82"/>
      <c r="B4071" s="81"/>
      <c r="H4071" s="83"/>
    </row>
    <row r="4072" spans="1:8" x14ac:dyDescent="0.3">
      <c r="A4072" s="82"/>
      <c r="B4072" s="81"/>
      <c r="H4072" s="83"/>
    </row>
    <row r="4073" spans="1:8" x14ac:dyDescent="0.3">
      <c r="A4073" s="82"/>
      <c r="B4073" s="81"/>
      <c r="H4073" s="83"/>
    </row>
    <row r="4074" spans="1:8" x14ac:dyDescent="0.3">
      <c r="A4074" s="82"/>
      <c r="B4074" s="81"/>
      <c r="H4074" s="83"/>
    </row>
    <row r="4075" spans="1:8" x14ac:dyDescent="0.3">
      <c r="A4075" s="82"/>
      <c r="B4075" s="81"/>
      <c r="H4075" s="83"/>
    </row>
    <row r="4076" spans="1:8" x14ac:dyDescent="0.3">
      <c r="A4076" s="82"/>
      <c r="B4076" s="81"/>
      <c r="H4076" s="83"/>
    </row>
    <row r="4077" spans="1:8" x14ac:dyDescent="0.3">
      <c r="A4077" s="82"/>
      <c r="B4077" s="81"/>
      <c r="H4077" s="83"/>
    </row>
    <row r="4078" spans="1:8" x14ac:dyDescent="0.3">
      <c r="A4078" s="82"/>
      <c r="B4078" s="81"/>
      <c r="H4078" s="83"/>
    </row>
    <row r="4079" spans="1:8" x14ac:dyDescent="0.3">
      <c r="A4079" s="82"/>
      <c r="B4079" s="81"/>
      <c r="H4079" s="83"/>
    </row>
    <row r="4080" spans="1:8" x14ac:dyDescent="0.3">
      <c r="A4080" s="82"/>
      <c r="B4080" s="81"/>
      <c r="H4080" s="83"/>
    </row>
    <row r="4081" spans="1:8" x14ac:dyDescent="0.3">
      <c r="A4081" s="82"/>
      <c r="B4081" s="81"/>
      <c r="H4081" s="83"/>
    </row>
    <row r="4082" spans="1:8" x14ac:dyDescent="0.3">
      <c r="A4082" s="82"/>
      <c r="B4082" s="81"/>
      <c r="H4082" s="83"/>
    </row>
    <row r="4083" spans="1:8" x14ac:dyDescent="0.3">
      <c r="A4083" s="82"/>
      <c r="B4083" s="81"/>
      <c r="H4083" s="83"/>
    </row>
    <row r="4084" spans="1:8" x14ac:dyDescent="0.3">
      <c r="A4084" s="82"/>
      <c r="B4084" s="81"/>
      <c r="H4084" s="83"/>
    </row>
    <row r="4085" spans="1:8" x14ac:dyDescent="0.3">
      <c r="A4085" s="82"/>
      <c r="B4085" s="81"/>
      <c r="H4085" s="83"/>
    </row>
    <row r="4086" spans="1:8" x14ac:dyDescent="0.3">
      <c r="A4086" s="82"/>
      <c r="B4086" s="81"/>
      <c r="H4086" s="83"/>
    </row>
    <row r="4087" spans="1:8" x14ac:dyDescent="0.3">
      <c r="A4087" s="82"/>
      <c r="B4087" s="81"/>
      <c r="H4087" s="83"/>
    </row>
    <row r="4088" spans="1:8" x14ac:dyDescent="0.3">
      <c r="A4088" s="82"/>
      <c r="B4088" s="81"/>
      <c r="H4088" s="83"/>
    </row>
    <row r="4089" spans="1:8" x14ac:dyDescent="0.3">
      <c r="A4089" s="82"/>
      <c r="B4089" s="81"/>
      <c r="H4089" s="83"/>
    </row>
    <row r="4090" spans="1:8" x14ac:dyDescent="0.3">
      <c r="A4090" s="82"/>
      <c r="B4090" s="81"/>
      <c r="H4090" s="83"/>
    </row>
    <row r="4091" spans="1:8" x14ac:dyDescent="0.3">
      <c r="A4091" s="82"/>
      <c r="B4091" s="81"/>
      <c r="H4091" s="83"/>
    </row>
    <row r="4092" spans="1:8" x14ac:dyDescent="0.3">
      <c r="A4092" s="82"/>
      <c r="B4092" s="81"/>
      <c r="H4092" s="83"/>
    </row>
    <row r="4093" spans="1:8" x14ac:dyDescent="0.3">
      <c r="A4093" s="82"/>
      <c r="B4093" s="81"/>
      <c r="H4093" s="83"/>
    </row>
    <row r="4094" spans="1:8" x14ac:dyDescent="0.3">
      <c r="A4094" s="82"/>
      <c r="B4094" s="81"/>
      <c r="H4094" s="83"/>
    </row>
    <row r="4095" spans="1:8" x14ac:dyDescent="0.3">
      <c r="A4095" s="82"/>
      <c r="B4095" s="81"/>
      <c r="H4095" s="83"/>
    </row>
    <row r="4096" spans="1:8" x14ac:dyDescent="0.3">
      <c r="A4096" s="82"/>
      <c r="B4096" s="81"/>
      <c r="H4096" s="83"/>
    </row>
    <row r="4097" spans="1:8" x14ac:dyDescent="0.3">
      <c r="A4097" s="82"/>
      <c r="B4097" s="81"/>
      <c r="H4097" s="83"/>
    </row>
    <row r="4098" spans="1:8" x14ac:dyDescent="0.3">
      <c r="A4098" s="82"/>
      <c r="B4098" s="81"/>
      <c r="H4098" s="83"/>
    </row>
    <row r="4099" spans="1:8" x14ac:dyDescent="0.3">
      <c r="A4099" s="82"/>
      <c r="B4099" s="81"/>
      <c r="H4099" s="83"/>
    </row>
    <row r="4100" spans="1:8" x14ac:dyDescent="0.3">
      <c r="A4100" s="82"/>
      <c r="B4100" s="81"/>
      <c r="H4100" s="83"/>
    </row>
    <row r="4101" spans="1:8" x14ac:dyDescent="0.3">
      <c r="A4101" s="82"/>
      <c r="B4101" s="81"/>
      <c r="H4101" s="83"/>
    </row>
    <row r="4102" spans="1:8" x14ac:dyDescent="0.3">
      <c r="A4102" s="82"/>
      <c r="B4102" s="81"/>
      <c r="H4102" s="83"/>
    </row>
    <row r="4103" spans="1:8" x14ac:dyDescent="0.3">
      <c r="A4103" s="82"/>
      <c r="B4103" s="81"/>
      <c r="H4103" s="83"/>
    </row>
    <row r="4104" spans="1:8" x14ac:dyDescent="0.3">
      <c r="A4104" s="82"/>
      <c r="B4104" s="81"/>
      <c r="H4104" s="83"/>
    </row>
    <row r="4105" spans="1:8" x14ac:dyDescent="0.3">
      <c r="A4105" s="82"/>
      <c r="B4105" s="81"/>
      <c r="H4105" s="83"/>
    </row>
    <row r="4106" spans="1:8" x14ac:dyDescent="0.3">
      <c r="A4106" s="82"/>
      <c r="B4106" s="81"/>
      <c r="H4106" s="83"/>
    </row>
    <row r="4107" spans="1:8" x14ac:dyDescent="0.3">
      <c r="A4107" s="82"/>
      <c r="B4107" s="81"/>
      <c r="H4107" s="83"/>
    </row>
    <row r="4108" spans="1:8" x14ac:dyDescent="0.3">
      <c r="A4108" s="82"/>
      <c r="B4108" s="81"/>
      <c r="H4108" s="83"/>
    </row>
    <row r="4109" spans="1:8" x14ac:dyDescent="0.3">
      <c r="A4109" s="82"/>
      <c r="B4109" s="81"/>
      <c r="H4109" s="83"/>
    </row>
    <row r="4110" spans="1:8" x14ac:dyDescent="0.3">
      <c r="A4110" s="82"/>
      <c r="B4110" s="81"/>
      <c r="H4110" s="83"/>
    </row>
    <row r="4111" spans="1:8" x14ac:dyDescent="0.3">
      <c r="A4111" s="82"/>
      <c r="B4111" s="81"/>
      <c r="H4111" s="83"/>
    </row>
    <row r="4112" spans="1:8" x14ac:dyDescent="0.3">
      <c r="A4112" s="82"/>
      <c r="B4112" s="81"/>
      <c r="H4112" s="83"/>
    </row>
    <row r="4113" spans="1:8" x14ac:dyDescent="0.3">
      <c r="A4113" s="82"/>
      <c r="B4113" s="81"/>
      <c r="H4113" s="83"/>
    </row>
    <row r="4114" spans="1:8" x14ac:dyDescent="0.3">
      <c r="A4114" s="82"/>
      <c r="B4114" s="81"/>
      <c r="H4114" s="83"/>
    </row>
    <row r="4115" spans="1:8" x14ac:dyDescent="0.3">
      <c r="A4115" s="82"/>
      <c r="B4115" s="81"/>
      <c r="H4115" s="83"/>
    </row>
    <row r="4116" spans="1:8" x14ac:dyDescent="0.3">
      <c r="A4116" s="82"/>
      <c r="B4116" s="81"/>
      <c r="H4116" s="83"/>
    </row>
    <row r="4117" spans="1:8" x14ac:dyDescent="0.3">
      <c r="A4117" s="82"/>
      <c r="B4117" s="81"/>
      <c r="H4117" s="83"/>
    </row>
    <row r="4118" spans="1:8" x14ac:dyDescent="0.3">
      <c r="A4118" s="82"/>
      <c r="B4118" s="81"/>
      <c r="H4118" s="83"/>
    </row>
    <row r="4119" spans="1:8" x14ac:dyDescent="0.3">
      <c r="A4119" s="82"/>
      <c r="B4119" s="81"/>
      <c r="H4119" s="83"/>
    </row>
    <row r="4120" spans="1:8" x14ac:dyDescent="0.3">
      <c r="A4120" s="82"/>
      <c r="B4120" s="81"/>
      <c r="H4120" s="83"/>
    </row>
    <row r="4121" spans="1:8" x14ac:dyDescent="0.3">
      <c r="A4121" s="82"/>
      <c r="B4121" s="81"/>
      <c r="H4121" s="83"/>
    </row>
    <row r="4122" spans="1:8" x14ac:dyDescent="0.3">
      <c r="A4122" s="82"/>
      <c r="B4122" s="81"/>
      <c r="H4122" s="83"/>
    </row>
    <row r="4123" spans="1:8" x14ac:dyDescent="0.3">
      <c r="A4123" s="82"/>
      <c r="B4123" s="81"/>
      <c r="H4123" s="83"/>
    </row>
    <row r="4124" spans="1:8" x14ac:dyDescent="0.3">
      <c r="A4124" s="82"/>
      <c r="B4124" s="81"/>
      <c r="H4124" s="83"/>
    </row>
    <row r="4125" spans="1:8" x14ac:dyDescent="0.3">
      <c r="A4125" s="82"/>
      <c r="B4125" s="81"/>
      <c r="H4125" s="83"/>
    </row>
    <row r="4126" spans="1:8" x14ac:dyDescent="0.3">
      <c r="A4126" s="82"/>
      <c r="B4126" s="81"/>
      <c r="H4126" s="83"/>
    </row>
    <row r="4127" spans="1:8" x14ac:dyDescent="0.3">
      <c r="A4127" s="82"/>
      <c r="B4127" s="81"/>
      <c r="H4127" s="83"/>
    </row>
    <row r="4128" spans="1:8" x14ac:dyDescent="0.3">
      <c r="A4128" s="82"/>
      <c r="B4128" s="81"/>
      <c r="H4128" s="83"/>
    </row>
    <row r="4129" spans="1:8" x14ac:dyDescent="0.3">
      <c r="A4129" s="82"/>
      <c r="B4129" s="81"/>
      <c r="H4129" s="83"/>
    </row>
    <row r="4130" spans="1:8" x14ac:dyDescent="0.3">
      <c r="A4130" s="82"/>
      <c r="B4130" s="81"/>
      <c r="H4130" s="83"/>
    </row>
    <row r="4131" spans="1:8" x14ac:dyDescent="0.3">
      <c r="A4131" s="82"/>
      <c r="B4131" s="81"/>
      <c r="H4131" s="83"/>
    </row>
    <row r="4132" spans="1:8" x14ac:dyDescent="0.3">
      <c r="A4132" s="82"/>
      <c r="B4132" s="81"/>
      <c r="H4132" s="83"/>
    </row>
    <row r="4133" spans="1:8" x14ac:dyDescent="0.3">
      <c r="A4133" s="82"/>
      <c r="B4133" s="81"/>
      <c r="H4133" s="83"/>
    </row>
    <row r="4134" spans="1:8" x14ac:dyDescent="0.3">
      <c r="A4134" s="82"/>
      <c r="B4134" s="81"/>
      <c r="H4134" s="83"/>
    </row>
    <row r="4135" spans="1:8" x14ac:dyDescent="0.3">
      <c r="A4135" s="82"/>
      <c r="B4135" s="81"/>
      <c r="H4135" s="83"/>
    </row>
    <row r="4136" spans="1:8" x14ac:dyDescent="0.3">
      <c r="A4136" s="82"/>
      <c r="B4136" s="81"/>
      <c r="H4136" s="83"/>
    </row>
    <row r="4137" spans="1:8" x14ac:dyDescent="0.3">
      <c r="A4137" s="82"/>
      <c r="B4137" s="81"/>
      <c r="H4137" s="83"/>
    </row>
    <row r="4138" spans="1:8" x14ac:dyDescent="0.3">
      <c r="A4138" s="82"/>
      <c r="B4138" s="81"/>
      <c r="H4138" s="83"/>
    </row>
    <row r="4139" spans="1:8" x14ac:dyDescent="0.3">
      <c r="A4139" s="82"/>
      <c r="B4139" s="81"/>
      <c r="H4139" s="83"/>
    </row>
    <row r="4140" spans="1:8" x14ac:dyDescent="0.3">
      <c r="A4140" s="82"/>
      <c r="B4140" s="81"/>
      <c r="H4140" s="83"/>
    </row>
    <row r="4141" spans="1:8" x14ac:dyDescent="0.3">
      <c r="A4141" s="82"/>
      <c r="B4141" s="81"/>
      <c r="H4141" s="83"/>
    </row>
    <row r="4142" spans="1:8" x14ac:dyDescent="0.3">
      <c r="A4142" s="82"/>
      <c r="B4142" s="81"/>
      <c r="H4142" s="83"/>
    </row>
    <row r="4143" spans="1:8" x14ac:dyDescent="0.3">
      <c r="A4143" s="82"/>
      <c r="B4143" s="81"/>
      <c r="H4143" s="83"/>
    </row>
    <row r="4144" spans="1:8" x14ac:dyDescent="0.3">
      <c r="A4144" s="82"/>
      <c r="B4144" s="81"/>
      <c r="H4144" s="83"/>
    </row>
    <row r="4145" spans="1:8" x14ac:dyDescent="0.3">
      <c r="A4145" s="82"/>
      <c r="B4145" s="81"/>
      <c r="H4145" s="83"/>
    </row>
    <row r="4146" spans="1:8" x14ac:dyDescent="0.3">
      <c r="A4146" s="82"/>
      <c r="B4146" s="81"/>
      <c r="H4146" s="83"/>
    </row>
    <row r="4147" spans="1:8" x14ac:dyDescent="0.3">
      <c r="A4147" s="82"/>
      <c r="B4147" s="81"/>
      <c r="H4147" s="83"/>
    </row>
    <row r="4148" spans="1:8" x14ac:dyDescent="0.3">
      <c r="A4148" s="82"/>
      <c r="B4148" s="81"/>
      <c r="H4148" s="83"/>
    </row>
    <row r="4149" spans="1:8" x14ac:dyDescent="0.3">
      <c r="A4149" s="82"/>
      <c r="B4149" s="81"/>
      <c r="H4149" s="83"/>
    </row>
    <row r="4150" spans="1:8" x14ac:dyDescent="0.3">
      <c r="A4150" s="82"/>
      <c r="B4150" s="81"/>
      <c r="H4150" s="83"/>
    </row>
    <row r="4151" spans="1:8" x14ac:dyDescent="0.3">
      <c r="A4151" s="82"/>
      <c r="B4151" s="81"/>
      <c r="H4151" s="83"/>
    </row>
    <row r="4152" spans="1:8" x14ac:dyDescent="0.3">
      <c r="A4152" s="82"/>
      <c r="B4152" s="81"/>
      <c r="H4152" s="83"/>
    </row>
    <row r="4153" spans="1:8" x14ac:dyDescent="0.3">
      <c r="A4153" s="82"/>
      <c r="B4153" s="81"/>
      <c r="H4153" s="83"/>
    </row>
    <row r="4154" spans="1:8" x14ac:dyDescent="0.3">
      <c r="A4154" s="82"/>
      <c r="B4154" s="81"/>
      <c r="H4154" s="83"/>
    </row>
    <row r="4155" spans="1:8" x14ac:dyDescent="0.3">
      <c r="A4155" s="82"/>
      <c r="B4155" s="81"/>
      <c r="H4155" s="83"/>
    </row>
    <row r="4156" spans="1:8" x14ac:dyDescent="0.3">
      <c r="A4156" s="82"/>
      <c r="B4156" s="81"/>
      <c r="H4156" s="83"/>
    </row>
    <row r="4157" spans="1:8" x14ac:dyDescent="0.3">
      <c r="A4157" s="82"/>
      <c r="B4157" s="81"/>
      <c r="H4157" s="83"/>
    </row>
    <row r="4158" spans="1:8" x14ac:dyDescent="0.3">
      <c r="A4158" s="82"/>
      <c r="B4158" s="81"/>
      <c r="H4158" s="83"/>
    </row>
    <row r="4159" spans="1:8" x14ac:dyDescent="0.3">
      <c r="A4159" s="82"/>
      <c r="B4159" s="81"/>
      <c r="H4159" s="83"/>
    </row>
    <row r="4160" spans="1:8" x14ac:dyDescent="0.3">
      <c r="A4160" s="82"/>
      <c r="B4160" s="81"/>
      <c r="H4160" s="83"/>
    </row>
    <row r="4161" spans="1:8" x14ac:dyDescent="0.3">
      <c r="A4161" s="82"/>
      <c r="B4161" s="81"/>
      <c r="H4161" s="83"/>
    </row>
    <row r="4162" spans="1:8" x14ac:dyDescent="0.3">
      <c r="A4162" s="82"/>
      <c r="B4162" s="81"/>
      <c r="H4162" s="83"/>
    </row>
    <row r="4163" spans="1:8" x14ac:dyDescent="0.3">
      <c r="A4163" s="82"/>
      <c r="B4163" s="81"/>
      <c r="H4163" s="83"/>
    </row>
    <row r="4164" spans="1:8" x14ac:dyDescent="0.3">
      <c r="A4164" s="82"/>
      <c r="B4164" s="81"/>
      <c r="H4164" s="83"/>
    </row>
    <row r="4165" spans="1:8" x14ac:dyDescent="0.3">
      <c r="A4165" s="82"/>
      <c r="B4165" s="81"/>
      <c r="H4165" s="83"/>
    </row>
    <row r="4166" spans="1:8" x14ac:dyDescent="0.3">
      <c r="A4166" s="82"/>
      <c r="B4166" s="81"/>
      <c r="H4166" s="83"/>
    </row>
    <row r="4167" spans="1:8" x14ac:dyDescent="0.3">
      <c r="A4167" s="82"/>
      <c r="B4167" s="81"/>
      <c r="H4167" s="83"/>
    </row>
    <row r="4168" spans="1:8" x14ac:dyDescent="0.3">
      <c r="A4168" s="82"/>
      <c r="B4168" s="81"/>
      <c r="H4168" s="83"/>
    </row>
    <row r="4169" spans="1:8" x14ac:dyDescent="0.3">
      <c r="A4169" s="82"/>
      <c r="B4169" s="81"/>
      <c r="H4169" s="83"/>
    </row>
    <row r="4170" spans="1:8" x14ac:dyDescent="0.3">
      <c r="A4170" s="82"/>
      <c r="B4170" s="81"/>
      <c r="H4170" s="83"/>
    </row>
    <row r="4171" spans="1:8" x14ac:dyDescent="0.3">
      <c r="A4171" s="82"/>
      <c r="B4171" s="81"/>
      <c r="H4171" s="83"/>
    </row>
    <row r="4172" spans="1:8" x14ac:dyDescent="0.3">
      <c r="A4172" s="82"/>
      <c r="B4172" s="81"/>
      <c r="H4172" s="83"/>
    </row>
    <row r="4173" spans="1:8" x14ac:dyDescent="0.3">
      <c r="A4173" s="82"/>
      <c r="B4173" s="81"/>
      <c r="H4173" s="83"/>
    </row>
    <row r="4174" spans="1:8" x14ac:dyDescent="0.3">
      <c r="A4174" s="82"/>
      <c r="B4174" s="81"/>
      <c r="H4174" s="83"/>
    </row>
    <row r="4175" spans="1:8" x14ac:dyDescent="0.3">
      <c r="A4175" s="82"/>
      <c r="B4175" s="81"/>
      <c r="H4175" s="83"/>
    </row>
    <row r="4176" spans="1:8" x14ac:dyDescent="0.3">
      <c r="A4176" s="82"/>
      <c r="B4176" s="81"/>
      <c r="H4176" s="83"/>
    </row>
    <row r="4177" spans="1:8" x14ac:dyDescent="0.3">
      <c r="A4177" s="82"/>
      <c r="B4177" s="81"/>
      <c r="H4177" s="83"/>
    </row>
    <row r="4178" spans="1:8" x14ac:dyDescent="0.3">
      <c r="A4178" s="82"/>
      <c r="B4178" s="81"/>
      <c r="H4178" s="83"/>
    </row>
    <row r="4179" spans="1:8" x14ac:dyDescent="0.3">
      <c r="A4179" s="82"/>
      <c r="B4179" s="81"/>
      <c r="H4179" s="83"/>
    </row>
    <row r="4180" spans="1:8" x14ac:dyDescent="0.3">
      <c r="A4180" s="82"/>
      <c r="B4180" s="81"/>
      <c r="H4180" s="83"/>
    </row>
    <row r="4181" spans="1:8" x14ac:dyDescent="0.3">
      <c r="A4181" s="82"/>
      <c r="B4181" s="81"/>
      <c r="H4181" s="83"/>
    </row>
    <row r="4182" spans="1:8" x14ac:dyDescent="0.3">
      <c r="A4182" s="82"/>
      <c r="B4182" s="81"/>
      <c r="H4182" s="83"/>
    </row>
    <row r="4183" spans="1:8" x14ac:dyDescent="0.3">
      <c r="A4183" s="82"/>
      <c r="B4183" s="81"/>
      <c r="H4183" s="83"/>
    </row>
    <row r="4184" spans="1:8" x14ac:dyDescent="0.3">
      <c r="A4184" s="82"/>
      <c r="B4184" s="81"/>
      <c r="H4184" s="83"/>
    </row>
    <row r="4185" spans="1:8" x14ac:dyDescent="0.3">
      <c r="A4185" s="82"/>
      <c r="B4185" s="81"/>
      <c r="H4185" s="83"/>
    </row>
    <row r="4186" spans="1:8" x14ac:dyDescent="0.3">
      <c r="A4186" s="82"/>
      <c r="B4186" s="81"/>
      <c r="H4186" s="83"/>
    </row>
    <row r="4187" spans="1:8" x14ac:dyDescent="0.3">
      <c r="A4187" s="82"/>
      <c r="B4187" s="81"/>
      <c r="H4187" s="83"/>
    </row>
    <row r="4188" spans="1:8" x14ac:dyDescent="0.3">
      <c r="A4188" s="82"/>
      <c r="B4188" s="81"/>
      <c r="H4188" s="83"/>
    </row>
    <row r="4189" spans="1:8" x14ac:dyDescent="0.3">
      <c r="A4189" s="82"/>
      <c r="B4189" s="81"/>
      <c r="H4189" s="83"/>
    </row>
    <row r="4190" spans="1:8" x14ac:dyDescent="0.3">
      <c r="A4190" s="82"/>
      <c r="B4190" s="81"/>
      <c r="H4190" s="83"/>
    </row>
    <row r="4191" spans="1:8" x14ac:dyDescent="0.3">
      <c r="A4191" s="82"/>
      <c r="B4191" s="81"/>
      <c r="H4191" s="83"/>
    </row>
    <row r="4192" spans="1:8" x14ac:dyDescent="0.3">
      <c r="A4192" s="82"/>
      <c r="B4192" s="81"/>
      <c r="H4192" s="83"/>
    </row>
    <row r="4193" spans="1:8" x14ac:dyDescent="0.3">
      <c r="A4193" s="82"/>
      <c r="B4193" s="81"/>
      <c r="H4193" s="83"/>
    </row>
    <row r="4194" spans="1:8" x14ac:dyDescent="0.3">
      <c r="A4194" s="82"/>
      <c r="B4194" s="81"/>
      <c r="H4194" s="83"/>
    </row>
    <row r="4195" spans="1:8" x14ac:dyDescent="0.3">
      <c r="A4195" s="82"/>
      <c r="B4195" s="81"/>
      <c r="H4195" s="83"/>
    </row>
    <row r="4196" spans="1:8" x14ac:dyDescent="0.3">
      <c r="A4196" s="82"/>
      <c r="B4196" s="81"/>
      <c r="H4196" s="83"/>
    </row>
    <row r="4197" spans="1:8" x14ac:dyDescent="0.3">
      <c r="A4197" s="82"/>
      <c r="B4197" s="81"/>
      <c r="H4197" s="83"/>
    </row>
    <row r="4198" spans="1:8" x14ac:dyDescent="0.3">
      <c r="A4198" s="82"/>
      <c r="B4198" s="81"/>
      <c r="H4198" s="83"/>
    </row>
    <row r="4199" spans="1:8" x14ac:dyDescent="0.3">
      <c r="A4199" s="82"/>
      <c r="B4199" s="81"/>
      <c r="H4199" s="83"/>
    </row>
    <row r="4200" spans="1:8" x14ac:dyDescent="0.3">
      <c r="A4200" s="82"/>
      <c r="B4200" s="81"/>
      <c r="H4200" s="83"/>
    </row>
    <row r="4201" spans="1:8" x14ac:dyDescent="0.3">
      <c r="A4201" s="82"/>
      <c r="B4201" s="81"/>
      <c r="H4201" s="83"/>
    </row>
    <row r="4202" spans="1:8" x14ac:dyDescent="0.3">
      <c r="A4202" s="82"/>
      <c r="B4202" s="81"/>
      <c r="H4202" s="83"/>
    </row>
    <row r="4203" spans="1:8" x14ac:dyDescent="0.3">
      <c r="A4203" s="82"/>
      <c r="B4203" s="81"/>
      <c r="H4203" s="83"/>
    </row>
    <row r="4204" spans="1:8" x14ac:dyDescent="0.3">
      <c r="A4204" s="82"/>
      <c r="B4204" s="81"/>
      <c r="H4204" s="83"/>
    </row>
    <row r="4205" spans="1:8" x14ac:dyDescent="0.3">
      <c r="A4205" s="82"/>
      <c r="B4205" s="81"/>
      <c r="H4205" s="83"/>
    </row>
    <row r="4206" spans="1:8" x14ac:dyDescent="0.3">
      <c r="A4206" s="82"/>
      <c r="B4206" s="81"/>
      <c r="H4206" s="83"/>
    </row>
    <row r="4207" spans="1:8" x14ac:dyDescent="0.3">
      <c r="A4207" s="82"/>
      <c r="B4207" s="81"/>
      <c r="H4207" s="83"/>
    </row>
    <row r="4208" spans="1:8" x14ac:dyDescent="0.3">
      <c r="A4208" s="82"/>
      <c r="B4208" s="81"/>
      <c r="H4208" s="83"/>
    </row>
    <row r="4209" spans="1:8" x14ac:dyDescent="0.3">
      <c r="A4209" s="82"/>
      <c r="B4209" s="81"/>
      <c r="H4209" s="83"/>
    </row>
    <row r="4210" spans="1:8" x14ac:dyDescent="0.3">
      <c r="A4210" s="82"/>
      <c r="B4210" s="81"/>
      <c r="H4210" s="83"/>
    </row>
    <row r="4211" spans="1:8" x14ac:dyDescent="0.3">
      <c r="A4211" s="82"/>
      <c r="B4211" s="81"/>
      <c r="H4211" s="83"/>
    </row>
    <row r="4212" spans="1:8" x14ac:dyDescent="0.3">
      <c r="A4212" s="82"/>
      <c r="B4212" s="81"/>
      <c r="H4212" s="83"/>
    </row>
    <row r="4213" spans="1:8" x14ac:dyDescent="0.3">
      <c r="A4213" s="82"/>
      <c r="B4213" s="81"/>
      <c r="H4213" s="83"/>
    </row>
    <row r="4214" spans="1:8" x14ac:dyDescent="0.3">
      <c r="A4214" s="82"/>
      <c r="B4214" s="81"/>
      <c r="H4214" s="83"/>
    </row>
    <row r="4215" spans="1:8" x14ac:dyDescent="0.3">
      <c r="A4215" s="82"/>
      <c r="B4215" s="81"/>
      <c r="H4215" s="83"/>
    </row>
    <row r="4216" spans="1:8" x14ac:dyDescent="0.3">
      <c r="A4216" s="82"/>
      <c r="B4216" s="81"/>
      <c r="H4216" s="83"/>
    </row>
    <row r="4217" spans="1:8" x14ac:dyDescent="0.3">
      <c r="A4217" s="82"/>
      <c r="B4217" s="81"/>
      <c r="H4217" s="83"/>
    </row>
    <row r="4218" spans="1:8" x14ac:dyDescent="0.3">
      <c r="A4218" s="82"/>
      <c r="B4218" s="81"/>
      <c r="H4218" s="83"/>
    </row>
    <row r="4219" spans="1:8" x14ac:dyDescent="0.3">
      <c r="A4219" s="82"/>
      <c r="B4219" s="81"/>
      <c r="H4219" s="83"/>
    </row>
    <row r="4220" spans="1:8" x14ac:dyDescent="0.3">
      <c r="A4220" s="82"/>
      <c r="B4220" s="81"/>
      <c r="H4220" s="83"/>
    </row>
    <row r="4221" spans="1:8" x14ac:dyDescent="0.3">
      <c r="A4221" s="82"/>
      <c r="B4221" s="81"/>
      <c r="H4221" s="83"/>
    </row>
    <row r="4222" spans="1:8" x14ac:dyDescent="0.3">
      <c r="A4222" s="82"/>
      <c r="B4222" s="81"/>
      <c r="H4222" s="83"/>
    </row>
    <row r="4223" spans="1:8" x14ac:dyDescent="0.3">
      <c r="A4223" s="82"/>
      <c r="B4223" s="81"/>
      <c r="H4223" s="83"/>
    </row>
    <row r="4224" spans="1:8" x14ac:dyDescent="0.3">
      <c r="A4224" s="82"/>
      <c r="B4224" s="81"/>
      <c r="H4224" s="83"/>
    </row>
    <row r="4225" spans="1:8" x14ac:dyDescent="0.3">
      <c r="A4225" s="82"/>
      <c r="B4225" s="81"/>
      <c r="H4225" s="83"/>
    </row>
    <row r="4226" spans="1:8" x14ac:dyDescent="0.3">
      <c r="A4226" s="82"/>
      <c r="B4226" s="81"/>
      <c r="H4226" s="83"/>
    </row>
    <row r="4227" spans="1:8" x14ac:dyDescent="0.3">
      <c r="A4227" s="82"/>
      <c r="B4227" s="81"/>
      <c r="H4227" s="83"/>
    </row>
    <row r="4228" spans="1:8" x14ac:dyDescent="0.3">
      <c r="A4228" s="82"/>
      <c r="B4228" s="81"/>
      <c r="H4228" s="83"/>
    </row>
    <row r="4229" spans="1:8" x14ac:dyDescent="0.3">
      <c r="A4229" s="82"/>
      <c r="B4229" s="81"/>
      <c r="H4229" s="83"/>
    </row>
    <row r="4230" spans="1:8" x14ac:dyDescent="0.3">
      <c r="A4230" s="82"/>
      <c r="B4230" s="81"/>
      <c r="H4230" s="83"/>
    </row>
    <row r="4231" spans="1:8" x14ac:dyDescent="0.3">
      <c r="A4231" s="82"/>
      <c r="B4231" s="81"/>
      <c r="H4231" s="83"/>
    </row>
    <row r="4232" spans="1:8" x14ac:dyDescent="0.3">
      <c r="A4232" s="82"/>
      <c r="B4232" s="81"/>
      <c r="H4232" s="83"/>
    </row>
    <row r="4233" spans="1:8" x14ac:dyDescent="0.3">
      <c r="A4233" s="82"/>
      <c r="B4233" s="81"/>
      <c r="H4233" s="83"/>
    </row>
    <row r="4234" spans="1:8" x14ac:dyDescent="0.3">
      <c r="A4234" s="82"/>
      <c r="B4234" s="81"/>
      <c r="H4234" s="83"/>
    </row>
    <row r="4235" spans="1:8" x14ac:dyDescent="0.3">
      <c r="A4235" s="82"/>
      <c r="B4235" s="81"/>
      <c r="H4235" s="83"/>
    </row>
    <row r="4236" spans="1:8" x14ac:dyDescent="0.3">
      <c r="A4236" s="82"/>
      <c r="B4236" s="81"/>
      <c r="H4236" s="83"/>
    </row>
    <row r="4237" spans="1:8" x14ac:dyDescent="0.3">
      <c r="A4237" s="82"/>
      <c r="B4237" s="81"/>
      <c r="H4237" s="83"/>
    </row>
    <row r="4238" spans="1:8" x14ac:dyDescent="0.3">
      <c r="A4238" s="82"/>
      <c r="B4238" s="81"/>
      <c r="H4238" s="83"/>
    </row>
    <row r="4239" spans="1:8" x14ac:dyDescent="0.3">
      <c r="A4239" s="82"/>
      <c r="B4239" s="81"/>
      <c r="H4239" s="83"/>
    </row>
    <row r="4240" spans="1:8" x14ac:dyDescent="0.3">
      <c r="A4240" s="82"/>
      <c r="B4240" s="81"/>
      <c r="H4240" s="83"/>
    </row>
    <row r="4241" spans="1:8" x14ac:dyDescent="0.3">
      <c r="A4241" s="82"/>
      <c r="B4241" s="81"/>
      <c r="H4241" s="83"/>
    </row>
    <row r="4242" spans="1:8" x14ac:dyDescent="0.3">
      <c r="A4242" s="82"/>
      <c r="B4242" s="81"/>
      <c r="H4242" s="83"/>
    </row>
    <row r="4243" spans="1:8" x14ac:dyDescent="0.3">
      <c r="A4243" s="82"/>
      <c r="B4243" s="81"/>
      <c r="H4243" s="83"/>
    </row>
    <row r="4244" spans="1:8" x14ac:dyDescent="0.3">
      <c r="A4244" s="82"/>
      <c r="B4244" s="81"/>
      <c r="H4244" s="83"/>
    </row>
    <row r="4245" spans="1:8" x14ac:dyDescent="0.3">
      <c r="A4245" s="82"/>
      <c r="B4245" s="81"/>
      <c r="H4245" s="83"/>
    </row>
    <row r="4246" spans="1:8" x14ac:dyDescent="0.3">
      <c r="A4246" s="82"/>
      <c r="B4246" s="81"/>
      <c r="H4246" s="83"/>
    </row>
    <row r="4247" spans="1:8" x14ac:dyDescent="0.3">
      <c r="A4247" s="82"/>
      <c r="B4247" s="81"/>
      <c r="H4247" s="83"/>
    </row>
    <row r="4248" spans="1:8" x14ac:dyDescent="0.3">
      <c r="A4248" s="82"/>
      <c r="B4248" s="81"/>
      <c r="H4248" s="83"/>
    </row>
    <row r="4249" spans="1:8" x14ac:dyDescent="0.3">
      <c r="A4249" s="82"/>
      <c r="B4249" s="81"/>
      <c r="H4249" s="83"/>
    </row>
    <row r="4250" spans="1:8" x14ac:dyDescent="0.3">
      <c r="A4250" s="82"/>
      <c r="B4250" s="81"/>
      <c r="H4250" s="83"/>
    </row>
    <row r="4251" spans="1:8" x14ac:dyDescent="0.3">
      <c r="A4251" s="82"/>
      <c r="B4251" s="81"/>
      <c r="H4251" s="83"/>
    </row>
    <row r="4252" spans="1:8" x14ac:dyDescent="0.3">
      <c r="A4252" s="82"/>
      <c r="B4252" s="81"/>
      <c r="H4252" s="83"/>
    </row>
    <row r="4253" spans="1:8" x14ac:dyDescent="0.3">
      <c r="A4253" s="82"/>
      <c r="B4253" s="81"/>
      <c r="H4253" s="83"/>
    </row>
    <row r="4254" spans="1:8" x14ac:dyDescent="0.3">
      <c r="A4254" s="82"/>
      <c r="B4254" s="81"/>
      <c r="H4254" s="83"/>
    </row>
    <row r="4255" spans="1:8" x14ac:dyDescent="0.3">
      <c r="A4255" s="82"/>
      <c r="B4255" s="81"/>
      <c r="H4255" s="83"/>
    </row>
    <row r="4256" spans="1:8" x14ac:dyDescent="0.3">
      <c r="A4256" s="82"/>
      <c r="B4256" s="81"/>
      <c r="H4256" s="83"/>
    </row>
    <row r="4257" spans="1:8" x14ac:dyDescent="0.3">
      <c r="A4257" s="82"/>
      <c r="B4257" s="81"/>
      <c r="H4257" s="83"/>
    </row>
    <row r="4258" spans="1:8" x14ac:dyDescent="0.3">
      <c r="A4258" s="82"/>
      <c r="B4258" s="81"/>
      <c r="H4258" s="83"/>
    </row>
    <row r="4259" spans="1:8" x14ac:dyDescent="0.3">
      <c r="A4259" s="82"/>
      <c r="B4259" s="81"/>
      <c r="H4259" s="83"/>
    </row>
    <row r="4260" spans="1:8" x14ac:dyDescent="0.3">
      <c r="A4260" s="82"/>
      <c r="B4260" s="81"/>
      <c r="H4260" s="83"/>
    </row>
    <row r="4261" spans="1:8" x14ac:dyDescent="0.3">
      <c r="A4261" s="82"/>
      <c r="B4261" s="81"/>
      <c r="H4261" s="83"/>
    </row>
    <row r="4262" spans="1:8" x14ac:dyDescent="0.3">
      <c r="A4262" s="82"/>
      <c r="B4262" s="81"/>
      <c r="H4262" s="83"/>
    </row>
    <row r="4263" spans="1:8" x14ac:dyDescent="0.3">
      <c r="A4263" s="82"/>
      <c r="B4263" s="81"/>
      <c r="H4263" s="83"/>
    </row>
    <row r="4264" spans="1:8" x14ac:dyDescent="0.3">
      <c r="A4264" s="82"/>
      <c r="B4264" s="81"/>
      <c r="H4264" s="83"/>
    </row>
    <row r="4265" spans="1:8" x14ac:dyDescent="0.3">
      <c r="A4265" s="82"/>
      <c r="B4265" s="81"/>
      <c r="H4265" s="83"/>
    </row>
    <row r="4266" spans="1:8" x14ac:dyDescent="0.3">
      <c r="A4266" s="82"/>
      <c r="B4266" s="81"/>
      <c r="H4266" s="83"/>
    </row>
    <row r="4267" spans="1:8" x14ac:dyDescent="0.3">
      <c r="A4267" s="82"/>
      <c r="B4267" s="81"/>
      <c r="H4267" s="83"/>
    </row>
    <row r="4268" spans="1:8" x14ac:dyDescent="0.3">
      <c r="A4268" s="82"/>
      <c r="B4268" s="81"/>
      <c r="H4268" s="83"/>
    </row>
    <row r="4269" spans="1:8" x14ac:dyDescent="0.3">
      <c r="A4269" s="82"/>
      <c r="B4269" s="81"/>
      <c r="H4269" s="83"/>
    </row>
    <row r="4270" spans="1:8" x14ac:dyDescent="0.3">
      <c r="A4270" s="82"/>
      <c r="B4270" s="81"/>
      <c r="H4270" s="83"/>
    </row>
    <row r="4271" spans="1:8" x14ac:dyDescent="0.3">
      <c r="A4271" s="82"/>
      <c r="B4271" s="81"/>
      <c r="H4271" s="83"/>
    </row>
    <row r="4272" spans="1:8" x14ac:dyDescent="0.3">
      <c r="A4272" s="82"/>
      <c r="B4272" s="81"/>
      <c r="H4272" s="83"/>
    </row>
    <row r="4273" spans="1:8" x14ac:dyDescent="0.3">
      <c r="A4273" s="82"/>
      <c r="B4273" s="81"/>
      <c r="H4273" s="83"/>
    </row>
    <row r="4274" spans="1:8" x14ac:dyDescent="0.3">
      <c r="A4274" s="82"/>
      <c r="B4274" s="81"/>
      <c r="H4274" s="83"/>
    </row>
    <row r="4275" spans="1:8" x14ac:dyDescent="0.3">
      <c r="A4275" s="82"/>
      <c r="B4275" s="81"/>
      <c r="H4275" s="83"/>
    </row>
    <row r="4276" spans="1:8" x14ac:dyDescent="0.3">
      <c r="A4276" s="82"/>
      <c r="B4276" s="81"/>
      <c r="H4276" s="83"/>
    </row>
    <row r="4277" spans="1:8" x14ac:dyDescent="0.3">
      <c r="A4277" s="82"/>
      <c r="B4277" s="81"/>
      <c r="H4277" s="83"/>
    </row>
    <row r="4278" spans="1:8" x14ac:dyDescent="0.3">
      <c r="A4278" s="82"/>
      <c r="B4278" s="81"/>
      <c r="H4278" s="83"/>
    </row>
    <row r="4279" spans="1:8" x14ac:dyDescent="0.3">
      <c r="A4279" s="82"/>
      <c r="B4279" s="81"/>
      <c r="H4279" s="83"/>
    </row>
    <row r="4280" spans="1:8" x14ac:dyDescent="0.3">
      <c r="A4280" s="82"/>
      <c r="B4280" s="81"/>
      <c r="H4280" s="83"/>
    </row>
    <row r="4281" spans="1:8" x14ac:dyDescent="0.3">
      <c r="A4281" s="82"/>
      <c r="B4281" s="81"/>
      <c r="H4281" s="83"/>
    </row>
    <row r="4282" spans="1:8" x14ac:dyDescent="0.3">
      <c r="A4282" s="82"/>
      <c r="B4282" s="81"/>
      <c r="H4282" s="83"/>
    </row>
    <row r="4283" spans="1:8" x14ac:dyDescent="0.3">
      <c r="A4283" s="82"/>
      <c r="B4283" s="81"/>
      <c r="H4283" s="83"/>
    </row>
    <row r="4284" spans="1:8" x14ac:dyDescent="0.3">
      <c r="A4284" s="82"/>
      <c r="B4284" s="81"/>
      <c r="H4284" s="83"/>
    </row>
    <row r="4285" spans="1:8" x14ac:dyDescent="0.3">
      <c r="A4285" s="82"/>
      <c r="B4285" s="81"/>
      <c r="H4285" s="83"/>
    </row>
    <row r="4286" spans="1:8" x14ac:dyDescent="0.3">
      <c r="A4286" s="82"/>
      <c r="B4286" s="81"/>
      <c r="H4286" s="83"/>
    </row>
    <row r="4287" spans="1:8" x14ac:dyDescent="0.3">
      <c r="A4287" s="82"/>
      <c r="B4287" s="81"/>
      <c r="H4287" s="83"/>
    </row>
    <row r="4288" spans="1:8" x14ac:dyDescent="0.3">
      <c r="A4288" s="82"/>
      <c r="B4288" s="81"/>
      <c r="H4288" s="83"/>
    </row>
    <row r="4289" spans="1:8" x14ac:dyDescent="0.3">
      <c r="A4289" s="82"/>
      <c r="B4289" s="81"/>
      <c r="H4289" s="83"/>
    </row>
    <row r="4290" spans="1:8" x14ac:dyDescent="0.3">
      <c r="A4290" s="82"/>
      <c r="B4290" s="81"/>
      <c r="H4290" s="83"/>
    </row>
    <row r="4291" spans="1:8" x14ac:dyDescent="0.3">
      <c r="A4291" s="82"/>
      <c r="B4291" s="81"/>
      <c r="H4291" s="83"/>
    </row>
    <row r="4292" spans="1:8" x14ac:dyDescent="0.3">
      <c r="A4292" s="82"/>
      <c r="B4292" s="81"/>
      <c r="H4292" s="83"/>
    </row>
    <row r="4293" spans="1:8" x14ac:dyDescent="0.3">
      <c r="A4293" s="82"/>
      <c r="B4293" s="81"/>
      <c r="H4293" s="83"/>
    </row>
    <row r="4294" spans="1:8" x14ac:dyDescent="0.3">
      <c r="A4294" s="82"/>
      <c r="B4294" s="81"/>
      <c r="H4294" s="83"/>
    </row>
    <row r="4295" spans="1:8" x14ac:dyDescent="0.3">
      <c r="A4295" s="82"/>
      <c r="B4295" s="81"/>
      <c r="H4295" s="83"/>
    </row>
    <row r="4296" spans="1:8" x14ac:dyDescent="0.3">
      <c r="A4296" s="82"/>
      <c r="B4296" s="81"/>
      <c r="H4296" s="83"/>
    </row>
    <row r="4297" spans="1:8" x14ac:dyDescent="0.3">
      <c r="A4297" s="82"/>
      <c r="B4297" s="81"/>
      <c r="H4297" s="83"/>
    </row>
    <row r="4298" spans="1:8" x14ac:dyDescent="0.3">
      <c r="A4298" s="82"/>
      <c r="B4298" s="81"/>
      <c r="H4298" s="83"/>
    </row>
    <row r="4299" spans="1:8" x14ac:dyDescent="0.3">
      <c r="A4299" s="82"/>
      <c r="B4299" s="81"/>
      <c r="H4299" s="83"/>
    </row>
    <row r="4300" spans="1:8" x14ac:dyDescent="0.3">
      <c r="A4300" s="82"/>
      <c r="B4300" s="81"/>
      <c r="H4300" s="83"/>
    </row>
    <row r="4301" spans="1:8" x14ac:dyDescent="0.3">
      <c r="A4301" s="82"/>
      <c r="B4301" s="81"/>
      <c r="H4301" s="83"/>
    </row>
    <row r="4302" spans="1:8" x14ac:dyDescent="0.3">
      <c r="A4302" s="82"/>
      <c r="B4302" s="81"/>
      <c r="H4302" s="83"/>
    </row>
    <row r="4303" spans="1:8" x14ac:dyDescent="0.3">
      <c r="A4303" s="82"/>
      <c r="B4303" s="81"/>
      <c r="H4303" s="83"/>
    </row>
    <row r="4304" spans="1:8" x14ac:dyDescent="0.3">
      <c r="A4304" s="82"/>
      <c r="B4304" s="81"/>
      <c r="H4304" s="83"/>
    </row>
    <row r="4305" spans="1:8" x14ac:dyDescent="0.3">
      <c r="A4305" s="82"/>
      <c r="B4305" s="81"/>
      <c r="H4305" s="83"/>
    </row>
    <row r="4306" spans="1:8" x14ac:dyDescent="0.3">
      <c r="A4306" s="82"/>
      <c r="B4306" s="81"/>
      <c r="H4306" s="83"/>
    </row>
    <row r="4307" spans="1:8" x14ac:dyDescent="0.3">
      <c r="A4307" s="82"/>
      <c r="B4307" s="81"/>
      <c r="H4307" s="83"/>
    </row>
    <row r="4308" spans="1:8" x14ac:dyDescent="0.3">
      <c r="A4308" s="82"/>
      <c r="B4308" s="81"/>
      <c r="H4308" s="83"/>
    </row>
    <row r="4309" spans="1:8" x14ac:dyDescent="0.3">
      <c r="A4309" s="82"/>
      <c r="B4309" s="81"/>
      <c r="H4309" s="83"/>
    </row>
    <row r="4310" spans="1:8" x14ac:dyDescent="0.3">
      <c r="A4310" s="82"/>
      <c r="B4310" s="81"/>
      <c r="H4310" s="83"/>
    </row>
    <row r="4311" spans="1:8" x14ac:dyDescent="0.3">
      <c r="A4311" s="82"/>
      <c r="B4311" s="81"/>
      <c r="H4311" s="83"/>
    </row>
    <row r="4312" spans="1:8" x14ac:dyDescent="0.3">
      <c r="A4312" s="82"/>
      <c r="B4312" s="81"/>
      <c r="H4312" s="83"/>
    </row>
    <row r="4313" spans="1:8" x14ac:dyDescent="0.3">
      <c r="A4313" s="82"/>
      <c r="B4313" s="81"/>
      <c r="H4313" s="83"/>
    </row>
    <row r="4314" spans="1:8" x14ac:dyDescent="0.3">
      <c r="A4314" s="82"/>
      <c r="B4314" s="81"/>
      <c r="H4314" s="83"/>
    </row>
    <row r="4315" spans="1:8" x14ac:dyDescent="0.3">
      <c r="A4315" s="82"/>
      <c r="B4315" s="81"/>
      <c r="H4315" s="83"/>
    </row>
    <row r="4316" spans="1:8" x14ac:dyDescent="0.3">
      <c r="A4316" s="82"/>
      <c r="B4316" s="81"/>
      <c r="H4316" s="83"/>
    </row>
    <row r="4317" spans="1:8" x14ac:dyDescent="0.3">
      <c r="A4317" s="82"/>
      <c r="B4317" s="81"/>
      <c r="H4317" s="83"/>
    </row>
    <row r="4318" spans="1:8" x14ac:dyDescent="0.3">
      <c r="A4318" s="82"/>
      <c r="B4318" s="81"/>
      <c r="H4318" s="83"/>
    </row>
    <row r="4319" spans="1:8" x14ac:dyDescent="0.3">
      <c r="A4319" s="82"/>
      <c r="B4319" s="81"/>
      <c r="H4319" s="83"/>
    </row>
    <row r="4320" spans="1:8" x14ac:dyDescent="0.3">
      <c r="A4320" s="82"/>
      <c r="B4320" s="81"/>
      <c r="H4320" s="83"/>
    </row>
    <row r="4321" spans="1:8" x14ac:dyDescent="0.3">
      <c r="A4321" s="82"/>
      <c r="B4321" s="81"/>
      <c r="H4321" s="83"/>
    </row>
    <row r="4322" spans="1:8" x14ac:dyDescent="0.3">
      <c r="A4322" s="82"/>
      <c r="B4322" s="81"/>
      <c r="H4322" s="83"/>
    </row>
    <row r="4323" spans="1:8" x14ac:dyDescent="0.3">
      <c r="A4323" s="82"/>
      <c r="B4323" s="81"/>
      <c r="H4323" s="83"/>
    </row>
    <row r="4324" spans="1:8" x14ac:dyDescent="0.3">
      <c r="A4324" s="82"/>
      <c r="B4324" s="81"/>
      <c r="H4324" s="83"/>
    </row>
    <row r="4325" spans="1:8" x14ac:dyDescent="0.3">
      <c r="A4325" s="82"/>
      <c r="B4325" s="81"/>
      <c r="H4325" s="83"/>
    </row>
    <row r="4326" spans="1:8" x14ac:dyDescent="0.3">
      <c r="A4326" s="82"/>
      <c r="B4326" s="81"/>
      <c r="H4326" s="83"/>
    </row>
    <row r="4327" spans="1:8" x14ac:dyDescent="0.3">
      <c r="A4327" s="82"/>
      <c r="B4327" s="81"/>
      <c r="H4327" s="83"/>
    </row>
    <row r="4328" spans="1:8" x14ac:dyDescent="0.3">
      <c r="A4328" s="82"/>
      <c r="B4328" s="81"/>
      <c r="H4328" s="83"/>
    </row>
    <row r="4329" spans="1:8" x14ac:dyDescent="0.3">
      <c r="A4329" s="82"/>
      <c r="B4329" s="81"/>
      <c r="H4329" s="83"/>
    </row>
    <row r="4330" spans="1:8" x14ac:dyDescent="0.3">
      <c r="A4330" s="82"/>
      <c r="B4330" s="81"/>
      <c r="H4330" s="83"/>
    </row>
    <row r="4331" spans="1:8" x14ac:dyDescent="0.3">
      <c r="A4331" s="82"/>
      <c r="B4331" s="81"/>
      <c r="H4331" s="83"/>
    </row>
    <row r="4332" spans="1:8" x14ac:dyDescent="0.3">
      <c r="A4332" s="82"/>
      <c r="B4332" s="81"/>
      <c r="H4332" s="83"/>
    </row>
    <row r="4333" spans="1:8" x14ac:dyDescent="0.3">
      <c r="A4333" s="82"/>
      <c r="B4333" s="81"/>
      <c r="H4333" s="83"/>
    </row>
    <row r="4334" spans="1:8" x14ac:dyDescent="0.3">
      <c r="A4334" s="82"/>
      <c r="B4334" s="81"/>
      <c r="H4334" s="83"/>
    </row>
    <row r="4335" spans="1:8" x14ac:dyDescent="0.3">
      <c r="A4335" s="82"/>
      <c r="B4335" s="81"/>
      <c r="H4335" s="83"/>
    </row>
    <row r="4336" spans="1:8" x14ac:dyDescent="0.3">
      <c r="A4336" s="82"/>
      <c r="B4336" s="81"/>
      <c r="H4336" s="83"/>
    </row>
    <row r="4337" spans="1:8" x14ac:dyDescent="0.3">
      <c r="A4337" s="82"/>
      <c r="B4337" s="81"/>
      <c r="H4337" s="83"/>
    </row>
    <row r="4338" spans="1:8" x14ac:dyDescent="0.3">
      <c r="A4338" s="82"/>
      <c r="B4338" s="81"/>
      <c r="H4338" s="83"/>
    </row>
    <row r="4339" spans="1:8" x14ac:dyDescent="0.3">
      <c r="A4339" s="82"/>
      <c r="B4339" s="81"/>
      <c r="H4339" s="83"/>
    </row>
    <row r="4340" spans="1:8" x14ac:dyDescent="0.3">
      <c r="A4340" s="82"/>
      <c r="B4340" s="81"/>
      <c r="H4340" s="83"/>
    </row>
    <row r="4341" spans="1:8" x14ac:dyDescent="0.3">
      <c r="A4341" s="82"/>
      <c r="B4341" s="81"/>
      <c r="H4341" s="83"/>
    </row>
    <row r="4342" spans="1:8" x14ac:dyDescent="0.3">
      <c r="A4342" s="82"/>
      <c r="B4342" s="81"/>
      <c r="H4342" s="83"/>
    </row>
    <row r="4343" spans="1:8" x14ac:dyDescent="0.3">
      <c r="A4343" s="82"/>
      <c r="B4343" s="81"/>
      <c r="H4343" s="83"/>
    </row>
    <row r="4344" spans="1:8" x14ac:dyDescent="0.3">
      <c r="A4344" s="82"/>
      <c r="B4344" s="81"/>
      <c r="H4344" s="83"/>
    </row>
    <row r="4345" spans="1:8" x14ac:dyDescent="0.3">
      <c r="A4345" s="82"/>
      <c r="B4345" s="81"/>
      <c r="H4345" s="83"/>
    </row>
    <row r="4346" spans="1:8" x14ac:dyDescent="0.3">
      <c r="A4346" s="82"/>
      <c r="B4346" s="81"/>
      <c r="H4346" s="83"/>
    </row>
    <row r="4347" spans="1:8" x14ac:dyDescent="0.3">
      <c r="A4347" s="82"/>
      <c r="B4347" s="81"/>
      <c r="H4347" s="83"/>
    </row>
    <row r="4348" spans="1:8" x14ac:dyDescent="0.3">
      <c r="A4348" s="82"/>
      <c r="B4348" s="81"/>
      <c r="H4348" s="83"/>
    </row>
    <row r="4349" spans="1:8" x14ac:dyDescent="0.3">
      <c r="A4349" s="82"/>
      <c r="B4349" s="81"/>
      <c r="H4349" s="83"/>
    </row>
    <row r="4350" spans="1:8" x14ac:dyDescent="0.3">
      <c r="A4350" s="82"/>
      <c r="B4350" s="81"/>
      <c r="H4350" s="83"/>
    </row>
    <row r="4351" spans="1:8" x14ac:dyDescent="0.3">
      <c r="A4351" s="82"/>
      <c r="B4351" s="81"/>
      <c r="H4351" s="83"/>
    </row>
    <row r="4352" spans="1:8" x14ac:dyDescent="0.3">
      <c r="A4352" s="82"/>
      <c r="B4352" s="81"/>
      <c r="H4352" s="83"/>
    </row>
    <row r="4353" spans="1:8" x14ac:dyDescent="0.3">
      <c r="A4353" s="82"/>
      <c r="B4353" s="81"/>
      <c r="H4353" s="83"/>
    </row>
    <row r="4354" spans="1:8" x14ac:dyDescent="0.3">
      <c r="A4354" s="82"/>
      <c r="B4354" s="81"/>
      <c r="H4354" s="83"/>
    </row>
    <row r="4355" spans="1:8" x14ac:dyDescent="0.3">
      <c r="A4355" s="82"/>
      <c r="B4355" s="81"/>
      <c r="H4355" s="83"/>
    </row>
    <row r="4356" spans="1:8" x14ac:dyDescent="0.3">
      <c r="A4356" s="82"/>
      <c r="B4356" s="81"/>
      <c r="H4356" s="83"/>
    </row>
    <row r="4357" spans="1:8" x14ac:dyDescent="0.3">
      <c r="A4357" s="82"/>
      <c r="B4357" s="81"/>
      <c r="H4357" s="83"/>
    </row>
    <row r="4358" spans="1:8" x14ac:dyDescent="0.3">
      <c r="A4358" s="82"/>
      <c r="B4358" s="81"/>
      <c r="H4358" s="83"/>
    </row>
    <row r="4359" spans="1:8" x14ac:dyDescent="0.3">
      <c r="A4359" s="82"/>
      <c r="B4359" s="81"/>
      <c r="H4359" s="83"/>
    </row>
    <row r="4360" spans="1:8" x14ac:dyDescent="0.3">
      <c r="A4360" s="82"/>
      <c r="B4360" s="81"/>
      <c r="H4360" s="83"/>
    </row>
    <row r="4361" spans="1:8" x14ac:dyDescent="0.3">
      <c r="A4361" s="82"/>
      <c r="B4361" s="81"/>
      <c r="H4361" s="83"/>
    </row>
    <row r="4362" spans="1:8" x14ac:dyDescent="0.3">
      <c r="A4362" s="82"/>
      <c r="B4362" s="81"/>
      <c r="H4362" s="83"/>
    </row>
    <row r="4363" spans="1:8" x14ac:dyDescent="0.3">
      <c r="A4363" s="82"/>
      <c r="B4363" s="81"/>
      <c r="H4363" s="83"/>
    </row>
    <row r="4364" spans="1:8" x14ac:dyDescent="0.3">
      <c r="A4364" s="82"/>
      <c r="B4364" s="81"/>
      <c r="H4364" s="83"/>
    </row>
    <row r="4365" spans="1:8" x14ac:dyDescent="0.3">
      <c r="A4365" s="82"/>
      <c r="B4365" s="81"/>
      <c r="H4365" s="83"/>
    </row>
    <row r="4366" spans="1:8" x14ac:dyDescent="0.3">
      <c r="A4366" s="82"/>
      <c r="B4366" s="81"/>
      <c r="H4366" s="83"/>
    </row>
    <row r="4367" spans="1:8" x14ac:dyDescent="0.3">
      <c r="A4367" s="82"/>
      <c r="B4367" s="81"/>
      <c r="H4367" s="83"/>
    </row>
    <row r="4368" spans="1:8" x14ac:dyDescent="0.3">
      <c r="A4368" s="82"/>
      <c r="B4368" s="81"/>
      <c r="H4368" s="83"/>
    </row>
    <row r="4369" spans="1:8" x14ac:dyDescent="0.3">
      <c r="A4369" s="82"/>
      <c r="B4369" s="81"/>
      <c r="H4369" s="83"/>
    </row>
    <row r="4370" spans="1:8" x14ac:dyDescent="0.3">
      <c r="A4370" s="82"/>
      <c r="B4370" s="81"/>
      <c r="H4370" s="83"/>
    </row>
    <row r="4371" spans="1:8" x14ac:dyDescent="0.3">
      <c r="A4371" s="82"/>
      <c r="B4371" s="81"/>
      <c r="H4371" s="83"/>
    </row>
    <row r="4372" spans="1:8" x14ac:dyDescent="0.3">
      <c r="A4372" s="82"/>
      <c r="B4372" s="81"/>
      <c r="H4372" s="83"/>
    </row>
    <row r="4373" spans="1:8" x14ac:dyDescent="0.3">
      <c r="A4373" s="82"/>
      <c r="B4373" s="81"/>
      <c r="H4373" s="83"/>
    </row>
    <row r="4374" spans="1:8" x14ac:dyDescent="0.3">
      <c r="A4374" s="82"/>
      <c r="B4374" s="81"/>
      <c r="H4374" s="83"/>
    </row>
    <row r="4375" spans="1:8" x14ac:dyDescent="0.3">
      <c r="A4375" s="82"/>
      <c r="B4375" s="81"/>
      <c r="H4375" s="83"/>
    </row>
    <row r="4376" spans="1:8" x14ac:dyDescent="0.3">
      <c r="A4376" s="82"/>
      <c r="B4376" s="81"/>
      <c r="H4376" s="83"/>
    </row>
    <row r="4377" spans="1:8" x14ac:dyDescent="0.3">
      <c r="A4377" s="82"/>
      <c r="B4377" s="81"/>
      <c r="H4377" s="83"/>
    </row>
    <row r="4378" spans="1:8" x14ac:dyDescent="0.3">
      <c r="A4378" s="82"/>
      <c r="B4378" s="81"/>
      <c r="H4378" s="83"/>
    </row>
    <row r="4379" spans="1:8" x14ac:dyDescent="0.3">
      <c r="A4379" s="82"/>
      <c r="B4379" s="81"/>
      <c r="H4379" s="83"/>
    </row>
    <row r="4380" spans="1:8" x14ac:dyDescent="0.3">
      <c r="A4380" s="82"/>
      <c r="B4380" s="81"/>
      <c r="H4380" s="83"/>
    </row>
    <row r="4381" spans="1:8" x14ac:dyDescent="0.3">
      <c r="A4381" s="82"/>
      <c r="B4381" s="81"/>
      <c r="H4381" s="83"/>
    </row>
    <row r="4382" spans="1:8" x14ac:dyDescent="0.3">
      <c r="A4382" s="82"/>
      <c r="B4382" s="81"/>
      <c r="H4382" s="83"/>
    </row>
    <row r="4383" spans="1:8" x14ac:dyDescent="0.3">
      <c r="A4383" s="82"/>
      <c r="B4383" s="81"/>
      <c r="H4383" s="83"/>
    </row>
    <row r="4384" spans="1:8" x14ac:dyDescent="0.3">
      <c r="A4384" s="82"/>
      <c r="B4384" s="81"/>
      <c r="H4384" s="83"/>
    </row>
    <row r="4385" spans="1:8" x14ac:dyDescent="0.3">
      <c r="A4385" s="82"/>
      <c r="B4385" s="81"/>
      <c r="H4385" s="83"/>
    </row>
    <row r="4386" spans="1:8" x14ac:dyDescent="0.3">
      <c r="A4386" s="82"/>
      <c r="B4386" s="81"/>
      <c r="H4386" s="83"/>
    </row>
    <row r="4387" spans="1:8" x14ac:dyDescent="0.3">
      <c r="A4387" s="82"/>
      <c r="B4387" s="81"/>
      <c r="H4387" s="83"/>
    </row>
    <row r="4388" spans="1:8" x14ac:dyDescent="0.3">
      <c r="A4388" s="82"/>
      <c r="B4388" s="81"/>
      <c r="H4388" s="83"/>
    </row>
    <row r="4389" spans="1:8" x14ac:dyDescent="0.3">
      <c r="A4389" s="82"/>
      <c r="B4389" s="81"/>
      <c r="H4389" s="83"/>
    </row>
    <row r="4390" spans="1:8" x14ac:dyDescent="0.3">
      <c r="A4390" s="82"/>
      <c r="B4390" s="81"/>
      <c r="H4390" s="83"/>
    </row>
    <row r="4391" spans="1:8" x14ac:dyDescent="0.3">
      <c r="A4391" s="82"/>
      <c r="B4391" s="81"/>
      <c r="H4391" s="83"/>
    </row>
    <row r="4392" spans="1:8" x14ac:dyDescent="0.3">
      <c r="A4392" s="82"/>
      <c r="B4392" s="81"/>
      <c r="H4392" s="83"/>
    </row>
    <row r="4393" spans="1:8" x14ac:dyDescent="0.3">
      <c r="A4393" s="82"/>
      <c r="B4393" s="81"/>
      <c r="H4393" s="83"/>
    </row>
    <row r="4394" spans="1:8" x14ac:dyDescent="0.3">
      <c r="A4394" s="82"/>
      <c r="B4394" s="81"/>
      <c r="H4394" s="83"/>
    </row>
    <row r="4395" spans="1:8" x14ac:dyDescent="0.3">
      <c r="A4395" s="82"/>
      <c r="B4395" s="81"/>
      <c r="H4395" s="83"/>
    </row>
    <row r="4396" spans="1:8" x14ac:dyDescent="0.3">
      <c r="A4396" s="82"/>
      <c r="B4396" s="81"/>
      <c r="H4396" s="83"/>
    </row>
    <row r="4397" spans="1:8" x14ac:dyDescent="0.3">
      <c r="A4397" s="82"/>
      <c r="B4397" s="81"/>
      <c r="H4397" s="83"/>
    </row>
    <row r="4398" spans="1:8" x14ac:dyDescent="0.3">
      <c r="A4398" s="82"/>
      <c r="B4398" s="81"/>
      <c r="H4398" s="83"/>
    </row>
    <row r="4399" spans="1:8" x14ac:dyDescent="0.3">
      <c r="A4399" s="82"/>
      <c r="B4399" s="81"/>
      <c r="H4399" s="83"/>
    </row>
    <row r="4400" spans="1:8" x14ac:dyDescent="0.3">
      <c r="A4400" s="82"/>
      <c r="B4400" s="81"/>
      <c r="H4400" s="83"/>
    </row>
    <row r="4401" spans="1:8" x14ac:dyDescent="0.3">
      <c r="A4401" s="82"/>
      <c r="B4401" s="81"/>
      <c r="H4401" s="83"/>
    </row>
    <row r="4402" spans="1:8" x14ac:dyDescent="0.3">
      <c r="A4402" s="82"/>
      <c r="B4402" s="81"/>
      <c r="H4402" s="83"/>
    </row>
    <row r="4403" spans="1:8" x14ac:dyDescent="0.3">
      <c r="A4403" s="82"/>
      <c r="B4403" s="81"/>
      <c r="H4403" s="83"/>
    </row>
    <row r="4404" spans="1:8" x14ac:dyDescent="0.3">
      <c r="A4404" s="82"/>
      <c r="B4404" s="81"/>
      <c r="H4404" s="83"/>
    </row>
    <row r="4405" spans="1:8" x14ac:dyDescent="0.3">
      <c r="A4405" s="82"/>
      <c r="B4405" s="81"/>
      <c r="H4405" s="83"/>
    </row>
    <row r="4406" spans="1:8" x14ac:dyDescent="0.3">
      <c r="A4406" s="82"/>
      <c r="B4406" s="81"/>
      <c r="H4406" s="83"/>
    </row>
    <row r="4407" spans="1:8" x14ac:dyDescent="0.3">
      <c r="A4407" s="82"/>
      <c r="B4407" s="81"/>
      <c r="H4407" s="83"/>
    </row>
    <row r="4408" spans="1:8" x14ac:dyDescent="0.3">
      <c r="A4408" s="82"/>
      <c r="B4408" s="81"/>
      <c r="H4408" s="83"/>
    </row>
    <row r="4409" spans="1:8" x14ac:dyDescent="0.3">
      <c r="A4409" s="82"/>
      <c r="B4409" s="81"/>
      <c r="H4409" s="83"/>
    </row>
    <row r="4410" spans="1:8" x14ac:dyDescent="0.3">
      <c r="A4410" s="82"/>
      <c r="B4410" s="81"/>
      <c r="H4410" s="83"/>
    </row>
    <row r="4411" spans="1:8" x14ac:dyDescent="0.3">
      <c r="A4411" s="82"/>
      <c r="B4411" s="81"/>
      <c r="H4411" s="83"/>
    </row>
    <row r="4412" spans="1:8" x14ac:dyDescent="0.3">
      <c r="A4412" s="82"/>
      <c r="B4412" s="81"/>
      <c r="H4412" s="83"/>
    </row>
    <row r="4413" spans="1:8" x14ac:dyDescent="0.3">
      <c r="A4413" s="82"/>
      <c r="B4413" s="81"/>
      <c r="H4413" s="83"/>
    </row>
    <row r="4414" spans="1:8" x14ac:dyDescent="0.3">
      <c r="A4414" s="82"/>
      <c r="B4414" s="81"/>
      <c r="H4414" s="83"/>
    </row>
    <row r="4415" spans="1:8" x14ac:dyDescent="0.3">
      <c r="A4415" s="82"/>
      <c r="B4415" s="81"/>
      <c r="H4415" s="83"/>
    </row>
    <row r="4416" spans="1:8" x14ac:dyDescent="0.3">
      <c r="A4416" s="82"/>
      <c r="B4416" s="81"/>
      <c r="H4416" s="83"/>
    </row>
    <row r="4417" spans="1:8" x14ac:dyDescent="0.3">
      <c r="A4417" s="82"/>
      <c r="B4417" s="81"/>
      <c r="H4417" s="83"/>
    </row>
    <row r="4418" spans="1:8" x14ac:dyDescent="0.3">
      <c r="A4418" s="82"/>
      <c r="B4418" s="81"/>
      <c r="H4418" s="83"/>
    </row>
    <row r="4419" spans="1:8" x14ac:dyDescent="0.3">
      <c r="A4419" s="82"/>
      <c r="B4419" s="81"/>
      <c r="H4419" s="83"/>
    </row>
    <row r="4420" spans="1:8" x14ac:dyDescent="0.3">
      <c r="A4420" s="82"/>
      <c r="B4420" s="81"/>
      <c r="H4420" s="83"/>
    </row>
    <row r="4421" spans="1:8" x14ac:dyDescent="0.3">
      <c r="A4421" s="82"/>
      <c r="B4421" s="81"/>
      <c r="H4421" s="83"/>
    </row>
    <row r="4422" spans="1:8" x14ac:dyDescent="0.3">
      <c r="A4422" s="82"/>
      <c r="B4422" s="81"/>
      <c r="H4422" s="83"/>
    </row>
    <row r="4423" spans="1:8" x14ac:dyDescent="0.3">
      <c r="A4423" s="82"/>
      <c r="B4423" s="81"/>
      <c r="H4423" s="83"/>
    </row>
    <row r="4424" spans="1:8" x14ac:dyDescent="0.3">
      <c r="A4424" s="82"/>
      <c r="B4424" s="81"/>
      <c r="H4424" s="83"/>
    </row>
    <row r="4425" spans="1:8" x14ac:dyDescent="0.3">
      <c r="A4425" s="82"/>
      <c r="B4425" s="81"/>
      <c r="H4425" s="83"/>
    </row>
    <row r="4426" spans="1:8" x14ac:dyDescent="0.3">
      <c r="A4426" s="82"/>
      <c r="B4426" s="81"/>
      <c r="H4426" s="83"/>
    </row>
    <row r="4427" spans="1:8" x14ac:dyDescent="0.3">
      <c r="A4427" s="82"/>
      <c r="B4427" s="81"/>
      <c r="H4427" s="83"/>
    </row>
    <row r="4428" spans="1:8" x14ac:dyDescent="0.3">
      <c r="A4428" s="82"/>
      <c r="B4428" s="81"/>
      <c r="H4428" s="83"/>
    </row>
    <row r="4429" spans="1:8" x14ac:dyDescent="0.3">
      <c r="A4429" s="82"/>
      <c r="B4429" s="81"/>
      <c r="H4429" s="83"/>
    </row>
    <row r="4430" spans="1:8" x14ac:dyDescent="0.3">
      <c r="A4430" s="82"/>
      <c r="B4430" s="81"/>
      <c r="H4430" s="83"/>
    </row>
    <row r="4431" spans="1:8" x14ac:dyDescent="0.3">
      <c r="A4431" s="82"/>
      <c r="B4431" s="81"/>
      <c r="H4431" s="83"/>
    </row>
    <row r="4432" spans="1:8" x14ac:dyDescent="0.3">
      <c r="A4432" s="82"/>
      <c r="B4432" s="81"/>
      <c r="H4432" s="83"/>
    </row>
    <row r="4433" spans="1:8" x14ac:dyDescent="0.3">
      <c r="A4433" s="82"/>
      <c r="B4433" s="81"/>
      <c r="H4433" s="83"/>
    </row>
    <row r="4434" spans="1:8" x14ac:dyDescent="0.3">
      <c r="A4434" s="82"/>
      <c r="B4434" s="81"/>
      <c r="H4434" s="83"/>
    </row>
    <row r="4435" spans="1:8" x14ac:dyDescent="0.3">
      <c r="A4435" s="82"/>
      <c r="B4435" s="81"/>
      <c r="H4435" s="83"/>
    </row>
    <row r="4436" spans="1:8" x14ac:dyDescent="0.3">
      <c r="A4436" s="82"/>
      <c r="B4436" s="81"/>
      <c r="H4436" s="83"/>
    </row>
    <row r="4437" spans="1:8" x14ac:dyDescent="0.3">
      <c r="A4437" s="82"/>
      <c r="B4437" s="81"/>
      <c r="H4437" s="83"/>
    </row>
    <row r="4438" spans="1:8" x14ac:dyDescent="0.3">
      <c r="A4438" s="82"/>
      <c r="B4438" s="81"/>
      <c r="H4438" s="83"/>
    </row>
    <row r="4439" spans="1:8" x14ac:dyDescent="0.3">
      <c r="A4439" s="82"/>
      <c r="B4439" s="81"/>
      <c r="H4439" s="83"/>
    </row>
    <row r="4440" spans="1:8" x14ac:dyDescent="0.3">
      <c r="A4440" s="82"/>
      <c r="B4440" s="81"/>
      <c r="H4440" s="83"/>
    </row>
    <row r="4441" spans="1:8" x14ac:dyDescent="0.3">
      <c r="A4441" s="82"/>
      <c r="B4441" s="81"/>
      <c r="H4441" s="83"/>
    </row>
    <row r="4442" spans="1:8" x14ac:dyDescent="0.3">
      <c r="A4442" s="82"/>
      <c r="B4442" s="81"/>
      <c r="H4442" s="83"/>
    </row>
    <row r="4443" spans="1:8" x14ac:dyDescent="0.3">
      <c r="A4443" s="82"/>
      <c r="B4443" s="81"/>
      <c r="H4443" s="83"/>
    </row>
    <row r="4444" spans="1:8" x14ac:dyDescent="0.3">
      <c r="A4444" s="82"/>
      <c r="B4444" s="81"/>
      <c r="H4444" s="83"/>
    </row>
    <row r="4445" spans="1:8" x14ac:dyDescent="0.3">
      <c r="A4445" s="82"/>
      <c r="B4445" s="81"/>
      <c r="H4445" s="83"/>
    </row>
    <row r="4446" spans="1:8" x14ac:dyDescent="0.3">
      <c r="A4446" s="82"/>
      <c r="B4446" s="81"/>
      <c r="H4446" s="83"/>
    </row>
    <row r="4447" spans="1:8" x14ac:dyDescent="0.3">
      <c r="A4447" s="82"/>
      <c r="B4447" s="81"/>
      <c r="H4447" s="83"/>
    </row>
    <row r="4448" spans="1:8" x14ac:dyDescent="0.3">
      <c r="A4448" s="82"/>
      <c r="B4448" s="81"/>
      <c r="H4448" s="83"/>
    </row>
    <row r="4449" spans="1:8" x14ac:dyDescent="0.3">
      <c r="A4449" s="82"/>
      <c r="B4449" s="81"/>
      <c r="H4449" s="83"/>
    </row>
    <row r="4450" spans="1:8" x14ac:dyDescent="0.3">
      <c r="A4450" s="82"/>
      <c r="B4450" s="81"/>
      <c r="H4450" s="83"/>
    </row>
    <row r="4451" spans="1:8" x14ac:dyDescent="0.3">
      <c r="A4451" s="82"/>
      <c r="B4451" s="81"/>
      <c r="H4451" s="83"/>
    </row>
    <row r="4452" spans="1:8" x14ac:dyDescent="0.3">
      <c r="A4452" s="82"/>
      <c r="B4452" s="81"/>
      <c r="H4452" s="83"/>
    </row>
    <row r="4453" spans="1:8" x14ac:dyDescent="0.3">
      <c r="A4453" s="82"/>
      <c r="B4453" s="81"/>
      <c r="H4453" s="83"/>
    </row>
    <row r="4454" spans="1:8" x14ac:dyDescent="0.3">
      <c r="A4454" s="82"/>
      <c r="B4454" s="81"/>
      <c r="H4454" s="83"/>
    </row>
    <row r="4455" spans="1:8" x14ac:dyDescent="0.3">
      <c r="A4455" s="82"/>
      <c r="B4455" s="81"/>
      <c r="H4455" s="83"/>
    </row>
    <row r="4456" spans="1:8" x14ac:dyDescent="0.3">
      <c r="A4456" s="82"/>
      <c r="B4456" s="81"/>
      <c r="H4456" s="83"/>
    </row>
    <row r="4457" spans="1:8" x14ac:dyDescent="0.3">
      <c r="A4457" s="82"/>
      <c r="B4457" s="81"/>
      <c r="H4457" s="83"/>
    </row>
    <row r="4458" spans="1:8" x14ac:dyDescent="0.3">
      <c r="A4458" s="82"/>
      <c r="B4458" s="81"/>
      <c r="H4458" s="83"/>
    </row>
    <row r="4459" spans="1:8" x14ac:dyDescent="0.3">
      <c r="A4459" s="82"/>
      <c r="B4459" s="81"/>
      <c r="H4459" s="83"/>
    </row>
    <row r="4460" spans="1:8" x14ac:dyDescent="0.3">
      <c r="A4460" s="82"/>
      <c r="B4460" s="81"/>
      <c r="H4460" s="83"/>
    </row>
    <row r="4461" spans="1:8" x14ac:dyDescent="0.3">
      <c r="A4461" s="82"/>
      <c r="B4461" s="81"/>
      <c r="H4461" s="83"/>
    </row>
    <row r="4462" spans="1:8" x14ac:dyDescent="0.3">
      <c r="A4462" s="82"/>
      <c r="B4462" s="81"/>
      <c r="H4462" s="83"/>
    </row>
    <row r="4463" spans="1:8" x14ac:dyDescent="0.3">
      <c r="A4463" s="82"/>
      <c r="B4463" s="81"/>
      <c r="H4463" s="83"/>
    </row>
    <row r="4464" spans="1:8" x14ac:dyDescent="0.3">
      <c r="A4464" s="82"/>
      <c r="B4464" s="81"/>
      <c r="H4464" s="83"/>
    </row>
    <row r="4465" spans="1:8" x14ac:dyDescent="0.3">
      <c r="A4465" s="82"/>
      <c r="B4465" s="81"/>
      <c r="H4465" s="83"/>
    </row>
    <row r="4466" spans="1:8" x14ac:dyDescent="0.3">
      <c r="A4466" s="82"/>
      <c r="B4466" s="81"/>
      <c r="H4466" s="83"/>
    </row>
    <row r="4467" spans="1:8" x14ac:dyDescent="0.3">
      <c r="A4467" s="82"/>
      <c r="B4467" s="81"/>
      <c r="H4467" s="83"/>
    </row>
    <row r="4468" spans="1:8" x14ac:dyDescent="0.3">
      <c r="A4468" s="82"/>
      <c r="B4468" s="81"/>
      <c r="H4468" s="83"/>
    </row>
    <row r="4469" spans="1:8" x14ac:dyDescent="0.3">
      <c r="A4469" s="82"/>
      <c r="B4469" s="81"/>
      <c r="H4469" s="83"/>
    </row>
    <row r="4470" spans="1:8" x14ac:dyDescent="0.3">
      <c r="A4470" s="82"/>
      <c r="B4470" s="81"/>
      <c r="H4470" s="83"/>
    </row>
    <row r="4471" spans="1:8" x14ac:dyDescent="0.3">
      <c r="A4471" s="82"/>
      <c r="B4471" s="81"/>
      <c r="H4471" s="83"/>
    </row>
    <row r="4472" spans="1:8" x14ac:dyDescent="0.3">
      <c r="A4472" s="82"/>
      <c r="B4472" s="81"/>
      <c r="H4472" s="83"/>
    </row>
    <row r="4473" spans="1:8" x14ac:dyDescent="0.3">
      <c r="A4473" s="82"/>
      <c r="B4473" s="81"/>
      <c r="H4473" s="83"/>
    </row>
    <row r="4474" spans="1:8" x14ac:dyDescent="0.3">
      <c r="A4474" s="82"/>
      <c r="B4474" s="81"/>
      <c r="H4474" s="83"/>
    </row>
    <row r="4475" spans="1:8" x14ac:dyDescent="0.3">
      <c r="A4475" s="82"/>
      <c r="B4475" s="81"/>
      <c r="H4475" s="83"/>
    </row>
    <row r="4476" spans="1:8" x14ac:dyDescent="0.3">
      <c r="A4476" s="82"/>
      <c r="B4476" s="81"/>
      <c r="H4476" s="83"/>
    </row>
    <row r="4477" spans="1:8" x14ac:dyDescent="0.3">
      <c r="A4477" s="82"/>
      <c r="B4477" s="81"/>
      <c r="H4477" s="83"/>
    </row>
    <row r="4478" spans="1:8" x14ac:dyDescent="0.3">
      <c r="A4478" s="82"/>
      <c r="B4478" s="81"/>
      <c r="H4478" s="83"/>
    </row>
    <row r="4479" spans="1:8" x14ac:dyDescent="0.3">
      <c r="A4479" s="82"/>
      <c r="B4479" s="81"/>
      <c r="H4479" s="83"/>
    </row>
    <row r="4480" spans="1:8" x14ac:dyDescent="0.3">
      <c r="A4480" s="82"/>
      <c r="B4480" s="81"/>
      <c r="H4480" s="83"/>
    </row>
    <row r="4481" spans="1:8" x14ac:dyDescent="0.3">
      <c r="A4481" s="82"/>
      <c r="B4481" s="81"/>
      <c r="H4481" s="83"/>
    </row>
    <row r="4482" spans="1:8" x14ac:dyDescent="0.3">
      <c r="A4482" s="82"/>
      <c r="B4482" s="81"/>
      <c r="H4482" s="83"/>
    </row>
    <row r="4483" spans="1:8" x14ac:dyDescent="0.3">
      <c r="A4483" s="82"/>
      <c r="B4483" s="81"/>
      <c r="H4483" s="83"/>
    </row>
    <row r="4484" spans="1:8" x14ac:dyDescent="0.3">
      <c r="A4484" s="82"/>
      <c r="B4484" s="81"/>
      <c r="H4484" s="83"/>
    </row>
    <row r="4485" spans="1:8" x14ac:dyDescent="0.3">
      <c r="A4485" s="82"/>
      <c r="B4485" s="81"/>
      <c r="H4485" s="83"/>
    </row>
    <row r="4486" spans="1:8" x14ac:dyDescent="0.3">
      <c r="A4486" s="82"/>
      <c r="B4486" s="81"/>
      <c r="H4486" s="83"/>
    </row>
    <row r="4487" spans="1:8" x14ac:dyDescent="0.3">
      <c r="A4487" s="82"/>
      <c r="B4487" s="81"/>
      <c r="H4487" s="83"/>
    </row>
    <row r="4488" spans="1:8" x14ac:dyDescent="0.3">
      <c r="A4488" s="82"/>
      <c r="B4488" s="81"/>
      <c r="H4488" s="83"/>
    </row>
    <row r="4489" spans="1:8" x14ac:dyDescent="0.3">
      <c r="A4489" s="82"/>
      <c r="B4489" s="81"/>
      <c r="H4489" s="83"/>
    </row>
    <row r="4490" spans="1:8" x14ac:dyDescent="0.3">
      <c r="A4490" s="82"/>
      <c r="B4490" s="81"/>
      <c r="H4490" s="83"/>
    </row>
    <row r="4491" spans="1:8" x14ac:dyDescent="0.3">
      <c r="A4491" s="82"/>
      <c r="B4491" s="81"/>
      <c r="H4491" s="83"/>
    </row>
    <row r="4492" spans="1:8" x14ac:dyDescent="0.3">
      <c r="A4492" s="82"/>
      <c r="B4492" s="81"/>
      <c r="H4492" s="83"/>
    </row>
    <row r="4493" spans="1:8" x14ac:dyDescent="0.3">
      <c r="A4493" s="82"/>
      <c r="B4493" s="81"/>
      <c r="H4493" s="83"/>
    </row>
    <row r="4494" spans="1:8" x14ac:dyDescent="0.3">
      <c r="A4494" s="82"/>
      <c r="B4494" s="81"/>
      <c r="H4494" s="83"/>
    </row>
    <row r="4495" spans="1:8" x14ac:dyDescent="0.3">
      <c r="A4495" s="82"/>
      <c r="B4495" s="81"/>
      <c r="H4495" s="83"/>
    </row>
    <row r="4496" spans="1:8" x14ac:dyDescent="0.3">
      <c r="A4496" s="82"/>
      <c r="B4496" s="81"/>
      <c r="H4496" s="83"/>
    </row>
    <row r="4497" spans="1:8" x14ac:dyDescent="0.3">
      <c r="A4497" s="82"/>
      <c r="B4497" s="81"/>
      <c r="H4497" s="83"/>
    </row>
    <row r="4498" spans="1:8" x14ac:dyDescent="0.3">
      <c r="A4498" s="82"/>
      <c r="B4498" s="81"/>
      <c r="H4498" s="83"/>
    </row>
    <row r="4499" spans="1:8" x14ac:dyDescent="0.3">
      <c r="A4499" s="82"/>
      <c r="B4499" s="81"/>
      <c r="H4499" s="83"/>
    </row>
    <row r="4500" spans="1:8" x14ac:dyDescent="0.3">
      <c r="A4500" s="82"/>
      <c r="B4500" s="81"/>
      <c r="H4500" s="83"/>
    </row>
    <row r="4501" spans="1:8" x14ac:dyDescent="0.3">
      <c r="A4501" s="82"/>
      <c r="B4501" s="81"/>
      <c r="H4501" s="83"/>
    </row>
    <row r="4502" spans="1:8" x14ac:dyDescent="0.3">
      <c r="A4502" s="82"/>
      <c r="B4502" s="81"/>
      <c r="H4502" s="83"/>
    </row>
    <row r="4503" spans="1:8" x14ac:dyDescent="0.3">
      <c r="A4503" s="82"/>
      <c r="B4503" s="81"/>
      <c r="H4503" s="83"/>
    </row>
    <row r="4504" spans="1:8" x14ac:dyDescent="0.3">
      <c r="A4504" s="82"/>
      <c r="B4504" s="81"/>
      <c r="H4504" s="83"/>
    </row>
    <row r="4505" spans="1:8" x14ac:dyDescent="0.3">
      <c r="A4505" s="82"/>
      <c r="B4505" s="81"/>
      <c r="H4505" s="83"/>
    </row>
    <row r="4506" spans="1:8" x14ac:dyDescent="0.3">
      <c r="A4506" s="82"/>
      <c r="B4506" s="81"/>
      <c r="H4506" s="83"/>
    </row>
    <row r="4507" spans="1:8" x14ac:dyDescent="0.3">
      <c r="A4507" s="82"/>
      <c r="B4507" s="81"/>
      <c r="H4507" s="83"/>
    </row>
    <row r="4508" spans="1:8" x14ac:dyDescent="0.3">
      <c r="A4508" s="82"/>
      <c r="B4508" s="81"/>
      <c r="H4508" s="83"/>
    </row>
    <row r="4509" spans="1:8" x14ac:dyDescent="0.3">
      <c r="A4509" s="82"/>
      <c r="B4509" s="81"/>
      <c r="H4509" s="83"/>
    </row>
    <row r="4510" spans="1:8" x14ac:dyDescent="0.3">
      <c r="A4510" s="82"/>
      <c r="B4510" s="81"/>
      <c r="H4510" s="83"/>
    </row>
    <row r="4511" spans="1:8" x14ac:dyDescent="0.3">
      <c r="A4511" s="82"/>
      <c r="B4511" s="81"/>
      <c r="H4511" s="83"/>
    </row>
    <row r="4512" spans="1:8" x14ac:dyDescent="0.3">
      <c r="A4512" s="82"/>
      <c r="B4512" s="81"/>
      <c r="H4512" s="83"/>
    </row>
    <row r="4513" spans="1:8" x14ac:dyDescent="0.3">
      <c r="A4513" s="82"/>
      <c r="B4513" s="81"/>
      <c r="H4513" s="83"/>
    </row>
    <row r="4514" spans="1:8" x14ac:dyDescent="0.3">
      <c r="A4514" s="82"/>
      <c r="B4514" s="81"/>
      <c r="H4514" s="83"/>
    </row>
    <row r="4515" spans="1:8" x14ac:dyDescent="0.3">
      <c r="A4515" s="82"/>
      <c r="B4515" s="81"/>
      <c r="H4515" s="83"/>
    </row>
    <row r="4516" spans="1:8" x14ac:dyDescent="0.3">
      <c r="A4516" s="82"/>
      <c r="B4516" s="81"/>
      <c r="H4516" s="83"/>
    </row>
    <row r="4517" spans="1:8" x14ac:dyDescent="0.3">
      <c r="A4517" s="82"/>
      <c r="B4517" s="81"/>
      <c r="H4517" s="83"/>
    </row>
    <row r="4518" spans="1:8" x14ac:dyDescent="0.3">
      <c r="A4518" s="82"/>
      <c r="B4518" s="81"/>
      <c r="H4518" s="83"/>
    </row>
    <row r="4519" spans="1:8" x14ac:dyDescent="0.3">
      <c r="A4519" s="82"/>
      <c r="B4519" s="81"/>
      <c r="H4519" s="83"/>
    </row>
    <row r="4520" spans="1:8" x14ac:dyDescent="0.3">
      <c r="A4520" s="82"/>
      <c r="B4520" s="81"/>
      <c r="H4520" s="83"/>
    </row>
    <row r="4521" spans="1:8" x14ac:dyDescent="0.3">
      <c r="A4521" s="82"/>
      <c r="B4521" s="81"/>
      <c r="H4521" s="83"/>
    </row>
    <row r="4522" spans="1:8" x14ac:dyDescent="0.3">
      <c r="A4522" s="82"/>
      <c r="B4522" s="81"/>
      <c r="H4522" s="83"/>
    </row>
    <row r="4523" spans="1:8" x14ac:dyDescent="0.3">
      <c r="A4523" s="82"/>
      <c r="B4523" s="81"/>
      <c r="H4523" s="83"/>
    </row>
    <row r="4524" spans="1:8" x14ac:dyDescent="0.3">
      <c r="A4524" s="82"/>
      <c r="B4524" s="81"/>
      <c r="H4524" s="83"/>
    </row>
    <row r="4525" spans="1:8" x14ac:dyDescent="0.3">
      <c r="A4525" s="82"/>
      <c r="B4525" s="81"/>
      <c r="H4525" s="83"/>
    </row>
    <row r="4526" spans="1:8" x14ac:dyDescent="0.3">
      <c r="A4526" s="82"/>
      <c r="B4526" s="81"/>
      <c r="H4526" s="83"/>
    </row>
    <row r="4527" spans="1:8" x14ac:dyDescent="0.3">
      <c r="A4527" s="82"/>
      <c r="B4527" s="81"/>
      <c r="H4527" s="83"/>
    </row>
    <row r="4528" spans="1:8" x14ac:dyDescent="0.3">
      <c r="A4528" s="82"/>
      <c r="B4528" s="81"/>
      <c r="H4528" s="83"/>
    </row>
    <row r="4529" spans="1:8" x14ac:dyDescent="0.3">
      <c r="A4529" s="82"/>
      <c r="B4529" s="81"/>
      <c r="H4529" s="83"/>
    </row>
    <row r="4530" spans="1:8" x14ac:dyDescent="0.3">
      <c r="A4530" s="82"/>
      <c r="B4530" s="81"/>
      <c r="H4530" s="83"/>
    </row>
    <row r="4531" spans="1:8" x14ac:dyDescent="0.3">
      <c r="A4531" s="82"/>
      <c r="B4531" s="81"/>
      <c r="H4531" s="83"/>
    </row>
    <row r="4532" spans="1:8" x14ac:dyDescent="0.3">
      <c r="A4532" s="82"/>
      <c r="B4532" s="81"/>
      <c r="H4532" s="83"/>
    </row>
    <row r="4533" spans="1:8" x14ac:dyDescent="0.3">
      <c r="A4533" s="82"/>
      <c r="B4533" s="81"/>
      <c r="H4533" s="83"/>
    </row>
    <row r="4534" spans="1:8" x14ac:dyDescent="0.3">
      <c r="A4534" s="82"/>
      <c r="B4534" s="81"/>
      <c r="H4534" s="83"/>
    </row>
    <row r="4535" spans="1:8" x14ac:dyDescent="0.3">
      <c r="A4535" s="82"/>
      <c r="B4535" s="81"/>
      <c r="H4535" s="83"/>
    </row>
    <row r="4536" spans="1:8" x14ac:dyDescent="0.3">
      <c r="A4536" s="82"/>
      <c r="B4536" s="81"/>
      <c r="H4536" s="83"/>
    </row>
    <row r="4537" spans="1:8" x14ac:dyDescent="0.3">
      <c r="A4537" s="82"/>
      <c r="B4537" s="81"/>
      <c r="H4537" s="83"/>
    </row>
    <row r="4538" spans="1:8" x14ac:dyDescent="0.3">
      <c r="A4538" s="82"/>
      <c r="B4538" s="81"/>
      <c r="H4538" s="83"/>
    </row>
    <row r="4539" spans="1:8" x14ac:dyDescent="0.3">
      <c r="A4539" s="82"/>
      <c r="B4539" s="81"/>
      <c r="H4539" s="83"/>
    </row>
    <row r="4540" spans="1:8" x14ac:dyDescent="0.3">
      <c r="A4540" s="82"/>
      <c r="B4540" s="81"/>
      <c r="H4540" s="83"/>
    </row>
    <row r="4541" spans="1:8" x14ac:dyDescent="0.3">
      <c r="A4541" s="82"/>
      <c r="B4541" s="81"/>
      <c r="H4541" s="83"/>
    </row>
    <row r="4542" spans="1:8" x14ac:dyDescent="0.3">
      <c r="A4542" s="82"/>
      <c r="B4542" s="81"/>
      <c r="H4542" s="83"/>
    </row>
    <row r="4543" spans="1:8" x14ac:dyDescent="0.3">
      <c r="A4543" s="82"/>
      <c r="B4543" s="81"/>
      <c r="H4543" s="83"/>
    </row>
    <row r="4544" spans="1:8" x14ac:dyDescent="0.3">
      <c r="A4544" s="82"/>
      <c r="B4544" s="81"/>
      <c r="H4544" s="83"/>
    </row>
    <row r="4545" spans="1:8" x14ac:dyDescent="0.3">
      <c r="A4545" s="82"/>
      <c r="B4545" s="81"/>
      <c r="H4545" s="83"/>
    </row>
    <row r="4546" spans="1:8" x14ac:dyDescent="0.3">
      <c r="A4546" s="82"/>
      <c r="B4546" s="81"/>
      <c r="H4546" s="83"/>
    </row>
    <row r="4547" spans="1:8" x14ac:dyDescent="0.3">
      <c r="A4547" s="82"/>
      <c r="B4547" s="81"/>
      <c r="H4547" s="83"/>
    </row>
    <row r="4548" spans="1:8" x14ac:dyDescent="0.3">
      <c r="A4548" s="82"/>
      <c r="B4548" s="81"/>
      <c r="H4548" s="83"/>
    </row>
    <row r="4549" spans="1:8" x14ac:dyDescent="0.3">
      <c r="A4549" s="82"/>
      <c r="B4549" s="81"/>
      <c r="H4549" s="83"/>
    </row>
    <row r="4550" spans="1:8" x14ac:dyDescent="0.3">
      <c r="A4550" s="82"/>
      <c r="B4550" s="81"/>
      <c r="H4550" s="83"/>
    </row>
    <row r="4551" spans="1:8" x14ac:dyDescent="0.3">
      <c r="A4551" s="82"/>
      <c r="B4551" s="81"/>
      <c r="H4551" s="83"/>
    </row>
    <row r="4552" spans="1:8" x14ac:dyDescent="0.3">
      <c r="A4552" s="82"/>
      <c r="B4552" s="81"/>
      <c r="H4552" s="83"/>
    </row>
    <row r="4553" spans="1:8" x14ac:dyDescent="0.3">
      <c r="A4553" s="82"/>
      <c r="B4553" s="81"/>
      <c r="H4553" s="83"/>
    </row>
    <row r="4554" spans="1:8" x14ac:dyDescent="0.3">
      <c r="A4554" s="82"/>
      <c r="B4554" s="81"/>
      <c r="H4554" s="83"/>
    </row>
    <row r="4555" spans="1:8" x14ac:dyDescent="0.3">
      <c r="A4555" s="82"/>
      <c r="B4555" s="81"/>
      <c r="H4555" s="83"/>
    </row>
    <row r="4556" spans="1:8" x14ac:dyDescent="0.3">
      <c r="A4556" s="82"/>
      <c r="B4556" s="81"/>
      <c r="H4556" s="83"/>
    </row>
    <row r="4557" spans="1:8" x14ac:dyDescent="0.3">
      <c r="A4557" s="82"/>
      <c r="B4557" s="81"/>
      <c r="H4557" s="83"/>
    </row>
    <row r="4558" spans="1:8" x14ac:dyDescent="0.3">
      <c r="A4558" s="82"/>
      <c r="B4558" s="81"/>
      <c r="H4558" s="83"/>
    </row>
    <row r="4559" spans="1:8" x14ac:dyDescent="0.3">
      <c r="A4559" s="82"/>
      <c r="B4559" s="81"/>
      <c r="H4559" s="83"/>
    </row>
    <row r="4560" spans="1:8" x14ac:dyDescent="0.3">
      <c r="A4560" s="82"/>
      <c r="B4560" s="81"/>
      <c r="H4560" s="83"/>
    </row>
    <row r="4561" spans="1:8" x14ac:dyDescent="0.3">
      <c r="A4561" s="82"/>
      <c r="B4561" s="81"/>
      <c r="H4561" s="83"/>
    </row>
    <row r="4562" spans="1:8" x14ac:dyDescent="0.3">
      <c r="A4562" s="82"/>
      <c r="B4562" s="81"/>
      <c r="H4562" s="83"/>
    </row>
    <row r="4563" spans="1:8" x14ac:dyDescent="0.3">
      <c r="A4563" s="82"/>
      <c r="B4563" s="81"/>
      <c r="H4563" s="83"/>
    </row>
    <row r="4564" spans="1:8" x14ac:dyDescent="0.3">
      <c r="A4564" s="82"/>
      <c r="B4564" s="81"/>
      <c r="H4564" s="83"/>
    </row>
    <row r="4565" spans="1:8" x14ac:dyDescent="0.3">
      <c r="A4565" s="82"/>
      <c r="B4565" s="81"/>
      <c r="H4565" s="83"/>
    </row>
    <row r="4566" spans="1:8" x14ac:dyDescent="0.3">
      <c r="A4566" s="82"/>
      <c r="B4566" s="81"/>
      <c r="H4566" s="83"/>
    </row>
    <row r="4567" spans="1:8" x14ac:dyDescent="0.3">
      <c r="A4567" s="82"/>
      <c r="B4567" s="81"/>
      <c r="H4567" s="83"/>
    </row>
    <row r="4568" spans="1:8" x14ac:dyDescent="0.3">
      <c r="A4568" s="82"/>
      <c r="B4568" s="81"/>
      <c r="H4568" s="83"/>
    </row>
    <row r="4569" spans="1:8" x14ac:dyDescent="0.3">
      <c r="A4569" s="82"/>
      <c r="B4569" s="81"/>
      <c r="H4569" s="83"/>
    </row>
    <row r="4570" spans="1:8" x14ac:dyDescent="0.3">
      <c r="A4570" s="82"/>
      <c r="B4570" s="81"/>
      <c r="H4570" s="83"/>
    </row>
    <row r="4571" spans="1:8" x14ac:dyDescent="0.3">
      <c r="A4571" s="82"/>
      <c r="B4571" s="81"/>
      <c r="H4571" s="83"/>
    </row>
    <row r="4572" spans="1:8" x14ac:dyDescent="0.3">
      <c r="A4572" s="82"/>
      <c r="B4572" s="81"/>
      <c r="H4572" s="83"/>
    </row>
    <row r="4573" spans="1:8" x14ac:dyDescent="0.3">
      <c r="A4573" s="82"/>
      <c r="B4573" s="81"/>
      <c r="H4573" s="83"/>
    </row>
    <row r="4574" spans="1:8" x14ac:dyDescent="0.3">
      <c r="A4574" s="82"/>
      <c r="B4574" s="81"/>
      <c r="H4574" s="83"/>
    </row>
    <row r="4575" spans="1:8" x14ac:dyDescent="0.3">
      <c r="A4575" s="82"/>
      <c r="B4575" s="81"/>
      <c r="H4575" s="83"/>
    </row>
    <row r="4576" spans="1:8" x14ac:dyDescent="0.3">
      <c r="A4576" s="82"/>
      <c r="B4576" s="81"/>
      <c r="H4576" s="83"/>
    </row>
    <row r="4577" spans="1:8" x14ac:dyDescent="0.3">
      <c r="A4577" s="82"/>
      <c r="B4577" s="81"/>
      <c r="H4577" s="83"/>
    </row>
    <row r="4578" spans="1:8" x14ac:dyDescent="0.3">
      <c r="A4578" s="82"/>
      <c r="B4578" s="81"/>
      <c r="H4578" s="83"/>
    </row>
    <row r="4579" spans="1:8" x14ac:dyDescent="0.3">
      <c r="A4579" s="82"/>
      <c r="B4579" s="81"/>
      <c r="H4579" s="83"/>
    </row>
    <row r="4580" spans="1:8" x14ac:dyDescent="0.3">
      <c r="A4580" s="82"/>
      <c r="B4580" s="81"/>
      <c r="H4580" s="83"/>
    </row>
    <row r="4581" spans="1:8" x14ac:dyDescent="0.3">
      <c r="A4581" s="82"/>
      <c r="B4581" s="81"/>
      <c r="H4581" s="83"/>
    </row>
    <row r="4582" spans="1:8" x14ac:dyDescent="0.3">
      <c r="A4582" s="82"/>
      <c r="B4582" s="81"/>
      <c r="H4582" s="83"/>
    </row>
    <row r="4583" spans="1:8" x14ac:dyDescent="0.3">
      <c r="A4583" s="82"/>
      <c r="B4583" s="81"/>
      <c r="H4583" s="83"/>
    </row>
    <row r="4584" spans="1:8" x14ac:dyDescent="0.3">
      <c r="A4584" s="82"/>
      <c r="B4584" s="81"/>
      <c r="H4584" s="83"/>
    </row>
    <row r="4585" spans="1:8" x14ac:dyDescent="0.3">
      <c r="A4585" s="82"/>
      <c r="B4585" s="81"/>
      <c r="H4585" s="83"/>
    </row>
    <row r="4586" spans="1:8" x14ac:dyDescent="0.3">
      <c r="A4586" s="82"/>
      <c r="B4586" s="81"/>
      <c r="H4586" s="83"/>
    </row>
    <row r="4587" spans="1:8" x14ac:dyDescent="0.3">
      <c r="A4587" s="82"/>
      <c r="B4587" s="81"/>
      <c r="H4587" s="83"/>
    </row>
    <row r="4588" spans="1:8" x14ac:dyDescent="0.3">
      <c r="A4588" s="82"/>
      <c r="B4588" s="81"/>
      <c r="H4588" s="83"/>
    </row>
    <row r="4589" spans="1:8" x14ac:dyDescent="0.3">
      <c r="A4589" s="82"/>
      <c r="B4589" s="81"/>
      <c r="H4589" s="83"/>
    </row>
    <row r="4590" spans="1:8" x14ac:dyDescent="0.3">
      <c r="A4590" s="82"/>
      <c r="B4590" s="81"/>
      <c r="H4590" s="83"/>
    </row>
    <row r="4591" spans="1:8" x14ac:dyDescent="0.3">
      <c r="A4591" s="82"/>
      <c r="B4591" s="81"/>
      <c r="H4591" s="83"/>
    </row>
    <row r="4592" spans="1:8" x14ac:dyDescent="0.3">
      <c r="A4592" s="82"/>
      <c r="B4592" s="81"/>
      <c r="H4592" s="83"/>
    </row>
    <row r="4593" spans="1:8" x14ac:dyDescent="0.3">
      <c r="A4593" s="82"/>
      <c r="B4593" s="81"/>
      <c r="H4593" s="83"/>
    </row>
    <row r="4594" spans="1:8" x14ac:dyDescent="0.3">
      <c r="A4594" s="82"/>
      <c r="B4594" s="81"/>
      <c r="H4594" s="83"/>
    </row>
    <row r="4595" spans="1:8" x14ac:dyDescent="0.3">
      <c r="A4595" s="82"/>
      <c r="B4595" s="81"/>
      <c r="H4595" s="83"/>
    </row>
    <row r="4596" spans="1:8" x14ac:dyDescent="0.3">
      <c r="A4596" s="82"/>
      <c r="B4596" s="81"/>
      <c r="H4596" s="83"/>
    </row>
    <row r="4597" spans="1:8" x14ac:dyDescent="0.3">
      <c r="A4597" s="82"/>
      <c r="B4597" s="81"/>
      <c r="H4597" s="83"/>
    </row>
    <row r="4598" spans="1:8" x14ac:dyDescent="0.3">
      <c r="A4598" s="82"/>
      <c r="B4598" s="81"/>
      <c r="H4598" s="83"/>
    </row>
    <row r="4599" spans="1:8" x14ac:dyDescent="0.3">
      <c r="A4599" s="82"/>
      <c r="B4599" s="81"/>
      <c r="H4599" s="83"/>
    </row>
    <row r="4600" spans="1:8" x14ac:dyDescent="0.3">
      <c r="A4600" s="82"/>
      <c r="B4600" s="81"/>
      <c r="H4600" s="83"/>
    </row>
    <row r="4601" spans="1:8" x14ac:dyDescent="0.3">
      <c r="A4601" s="82"/>
      <c r="B4601" s="81"/>
      <c r="H4601" s="83"/>
    </row>
    <row r="4602" spans="1:8" x14ac:dyDescent="0.3">
      <c r="A4602" s="82"/>
      <c r="B4602" s="81"/>
      <c r="H4602" s="83"/>
    </row>
    <row r="4603" spans="1:8" x14ac:dyDescent="0.3">
      <c r="A4603" s="82"/>
      <c r="B4603" s="81"/>
      <c r="H4603" s="83"/>
    </row>
    <row r="4604" spans="1:8" x14ac:dyDescent="0.3">
      <c r="A4604" s="82"/>
      <c r="B4604" s="81"/>
      <c r="H4604" s="83"/>
    </row>
    <row r="4605" spans="1:8" x14ac:dyDescent="0.3">
      <c r="A4605" s="82"/>
      <c r="B4605" s="81"/>
      <c r="H4605" s="83"/>
    </row>
    <row r="4606" spans="1:8" x14ac:dyDescent="0.3">
      <c r="A4606" s="82"/>
      <c r="B4606" s="81"/>
      <c r="H4606" s="83"/>
    </row>
    <row r="4607" spans="1:8" x14ac:dyDescent="0.3">
      <c r="A4607" s="82"/>
      <c r="B4607" s="81"/>
      <c r="H4607" s="83"/>
    </row>
    <row r="4608" spans="1:8" x14ac:dyDescent="0.3">
      <c r="A4608" s="82"/>
      <c r="B4608" s="81"/>
      <c r="H4608" s="83"/>
    </row>
    <row r="4609" spans="1:8" x14ac:dyDescent="0.3">
      <c r="A4609" s="82"/>
      <c r="B4609" s="81"/>
      <c r="H4609" s="83"/>
    </row>
    <row r="4610" spans="1:8" x14ac:dyDescent="0.3">
      <c r="A4610" s="82"/>
      <c r="B4610" s="81"/>
      <c r="H4610" s="83"/>
    </row>
    <row r="4611" spans="1:8" x14ac:dyDescent="0.3">
      <c r="A4611" s="82"/>
      <c r="B4611" s="81"/>
      <c r="H4611" s="83"/>
    </row>
    <row r="4612" spans="1:8" x14ac:dyDescent="0.3">
      <c r="A4612" s="82"/>
      <c r="B4612" s="81"/>
      <c r="H4612" s="83"/>
    </row>
    <row r="4613" spans="1:8" x14ac:dyDescent="0.3">
      <c r="A4613" s="82"/>
      <c r="B4613" s="81"/>
      <c r="H4613" s="83"/>
    </row>
    <row r="4614" spans="1:8" x14ac:dyDescent="0.3">
      <c r="A4614" s="82"/>
      <c r="B4614" s="81"/>
      <c r="H4614" s="83"/>
    </row>
    <row r="4615" spans="1:8" x14ac:dyDescent="0.3">
      <c r="A4615" s="82"/>
      <c r="B4615" s="81"/>
      <c r="H4615" s="83"/>
    </row>
    <row r="4616" spans="1:8" x14ac:dyDescent="0.3">
      <c r="A4616" s="82"/>
      <c r="B4616" s="81"/>
      <c r="H4616" s="83"/>
    </row>
    <row r="4617" spans="1:8" x14ac:dyDescent="0.3">
      <c r="A4617" s="82"/>
      <c r="B4617" s="81"/>
      <c r="H4617" s="83"/>
    </row>
    <row r="4618" spans="1:8" x14ac:dyDescent="0.3">
      <c r="A4618" s="82"/>
      <c r="B4618" s="81"/>
      <c r="H4618" s="83"/>
    </row>
    <row r="4619" spans="1:8" x14ac:dyDescent="0.3">
      <c r="A4619" s="82"/>
      <c r="B4619" s="81"/>
      <c r="H4619" s="83"/>
    </row>
    <row r="4620" spans="1:8" x14ac:dyDescent="0.3">
      <c r="A4620" s="82"/>
      <c r="B4620" s="81"/>
      <c r="H4620" s="83"/>
    </row>
    <row r="4621" spans="1:8" x14ac:dyDescent="0.3">
      <c r="A4621" s="82"/>
      <c r="B4621" s="81"/>
      <c r="H4621" s="83"/>
    </row>
    <row r="4622" spans="1:8" x14ac:dyDescent="0.3">
      <c r="A4622" s="82"/>
      <c r="B4622" s="81"/>
      <c r="H4622" s="83"/>
    </row>
    <row r="4623" spans="1:8" x14ac:dyDescent="0.3">
      <c r="A4623" s="82"/>
      <c r="B4623" s="81"/>
      <c r="H4623" s="83"/>
    </row>
    <row r="4624" spans="1:8" x14ac:dyDescent="0.3">
      <c r="A4624" s="82"/>
      <c r="B4624" s="81"/>
      <c r="H4624" s="83"/>
    </row>
    <row r="4625" spans="1:8" x14ac:dyDescent="0.3">
      <c r="A4625" s="82"/>
      <c r="B4625" s="81"/>
      <c r="H4625" s="83"/>
    </row>
    <row r="4626" spans="1:8" x14ac:dyDescent="0.3">
      <c r="A4626" s="82"/>
      <c r="B4626" s="81"/>
      <c r="H4626" s="83"/>
    </row>
    <row r="4627" spans="1:8" x14ac:dyDescent="0.3">
      <c r="A4627" s="82"/>
      <c r="B4627" s="81"/>
      <c r="H4627" s="83"/>
    </row>
    <row r="4628" spans="1:8" x14ac:dyDescent="0.3">
      <c r="A4628" s="82"/>
      <c r="B4628" s="81"/>
      <c r="H4628" s="83"/>
    </row>
    <row r="4629" spans="1:8" x14ac:dyDescent="0.3">
      <c r="A4629" s="82"/>
      <c r="B4629" s="81"/>
      <c r="H4629" s="83"/>
    </row>
    <row r="4630" spans="1:8" x14ac:dyDescent="0.3">
      <c r="A4630" s="82"/>
      <c r="B4630" s="81"/>
      <c r="H4630" s="83"/>
    </row>
    <row r="4631" spans="1:8" x14ac:dyDescent="0.3">
      <c r="A4631" s="82"/>
      <c r="B4631" s="81"/>
      <c r="H4631" s="83"/>
    </row>
    <row r="4632" spans="1:8" x14ac:dyDescent="0.3">
      <c r="A4632" s="82"/>
      <c r="B4632" s="81"/>
      <c r="H4632" s="83"/>
    </row>
    <row r="4633" spans="1:8" x14ac:dyDescent="0.3">
      <c r="A4633" s="82"/>
      <c r="B4633" s="81"/>
      <c r="H4633" s="83"/>
    </row>
    <row r="4634" spans="1:8" x14ac:dyDescent="0.3">
      <c r="A4634" s="82"/>
      <c r="B4634" s="81"/>
      <c r="H4634" s="83"/>
    </row>
    <row r="4635" spans="1:8" x14ac:dyDescent="0.3">
      <c r="A4635" s="82"/>
      <c r="B4635" s="81"/>
      <c r="H4635" s="83"/>
    </row>
    <row r="4636" spans="1:8" x14ac:dyDescent="0.3">
      <c r="A4636" s="82"/>
      <c r="B4636" s="81"/>
      <c r="H4636" s="83"/>
    </row>
    <row r="4637" spans="1:8" x14ac:dyDescent="0.3">
      <c r="A4637" s="82"/>
      <c r="B4637" s="81"/>
      <c r="H4637" s="83"/>
    </row>
    <row r="4638" spans="1:8" x14ac:dyDescent="0.3">
      <c r="A4638" s="82"/>
      <c r="B4638" s="81"/>
      <c r="H4638" s="83"/>
    </row>
    <row r="4639" spans="1:8" x14ac:dyDescent="0.3">
      <c r="A4639" s="82"/>
      <c r="B4639" s="81"/>
      <c r="H4639" s="83"/>
    </row>
    <row r="4640" spans="1:8" x14ac:dyDescent="0.3">
      <c r="A4640" s="82"/>
      <c r="B4640" s="81"/>
      <c r="H4640" s="83"/>
    </row>
    <row r="4641" spans="1:8" x14ac:dyDescent="0.3">
      <c r="A4641" s="82"/>
      <c r="B4641" s="81"/>
      <c r="H4641" s="83"/>
    </row>
    <row r="4642" spans="1:8" x14ac:dyDescent="0.3">
      <c r="A4642" s="82"/>
      <c r="B4642" s="81"/>
      <c r="H4642" s="83"/>
    </row>
    <row r="4643" spans="1:8" x14ac:dyDescent="0.3">
      <c r="A4643" s="82"/>
      <c r="B4643" s="81"/>
      <c r="H4643" s="83"/>
    </row>
    <row r="4644" spans="1:8" x14ac:dyDescent="0.3">
      <c r="A4644" s="82"/>
      <c r="B4644" s="81"/>
      <c r="H4644" s="83"/>
    </row>
    <row r="4645" spans="1:8" x14ac:dyDescent="0.3">
      <c r="A4645" s="82"/>
      <c r="B4645" s="81"/>
      <c r="H4645" s="83"/>
    </row>
    <row r="4646" spans="1:8" x14ac:dyDescent="0.3">
      <c r="A4646" s="82"/>
      <c r="B4646" s="81"/>
      <c r="H4646" s="83"/>
    </row>
    <row r="4647" spans="1:8" x14ac:dyDescent="0.3">
      <c r="A4647" s="82"/>
      <c r="B4647" s="81"/>
      <c r="H4647" s="83"/>
    </row>
    <row r="4648" spans="1:8" x14ac:dyDescent="0.3">
      <c r="A4648" s="82"/>
      <c r="B4648" s="81"/>
      <c r="H4648" s="83"/>
    </row>
    <row r="4649" spans="1:8" x14ac:dyDescent="0.3">
      <c r="A4649" s="82"/>
      <c r="B4649" s="81"/>
      <c r="H4649" s="83"/>
    </row>
    <row r="4650" spans="1:8" x14ac:dyDescent="0.3">
      <c r="A4650" s="82"/>
      <c r="B4650" s="81"/>
      <c r="H4650" s="83"/>
    </row>
    <row r="4651" spans="1:8" x14ac:dyDescent="0.3">
      <c r="A4651" s="82"/>
      <c r="B4651" s="81"/>
      <c r="H4651" s="83"/>
    </row>
    <row r="4652" spans="1:8" x14ac:dyDescent="0.3">
      <c r="A4652" s="82"/>
      <c r="B4652" s="81"/>
      <c r="H4652" s="83"/>
    </row>
    <row r="4653" spans="1:8" x14ac:dyDescent="0.3">
      <c r="A4653" s="82"/>
      <c r="B4653" s="81"/>
      <c r="H4653" s="83"/>
    </row>
    <row r="4654" spans="1:8" x14ac:dyDescent="0.3">
      <c r="A4654" s="82"/>
      <c r="B4654" s="81"/>
      <c r="H4654" s="83"/>
    </row>
    <row r="4655" spans="1:8" x14ac:dyDescent="0.3">
      <c r="A4655" s="82"/>
      <c r="B4655" s="81"/>
      <c r="H4655" s="83"/>
    </row>
    <row r="4656" spans="1:8" x14ac:dyDescent="0.3">
      <c r="A4656" s="82"/>
      <c r="B4656" s="81"/>
      <c r="H4656" s="83"/>
    </row>
    <row r="4657" spans="1:8" x14ac:dyDescent="0.3">
      <c r="A4657" s="82"/>
      <c r="B4657" s="81"/>
      <c r="H4657" s="83"/>
    </row>
    <row r="4658" spans="1:8" x14ac:dyDescent="0.3">
      <c r="A4658" s="82"/>
      <c r="B4658" s="81"/>
      <c r="H4658" s="83"/>
    </row>
    <row r="4659" spans="1:8" x14ac:dyDescent="0.3">
      <c r="A4659" s="82"/>
      <c r="B4659" s="81"/>
      <c r="H4659" s="83"/>
    </row>
    <row r="4660" spans="1:8" x14ac:dyDescent="0.3">
      <c r="A4660" s="82"/>
      <c r="B4660" s="81"/>
      <c r="H4660" s="83"/>
    </row>
    <row r="4661" spans="1:8" x14ac:dyDescent="0.3">
      <c r="A4661" s="82"/>
      <c r="B4661" s="81"/>
      <c r="H4661" s="83"/>
    </row>
    <row r="4662" spans="1:8" x14ac:dyDescent="0.3">
      <c r="A4662" s="82"/>
      <c r="B4662" s="81"/>
      <c r="H4662" s="83"/>
    </row>
    <row r="4663" spans="1:8" x14ac:dyDescent="0.3">
      <c r="A4663" s="82"/>
      <c r="B4663" s="81"/>
      <c r="H4663" s="83"/>
    </row>
    <row r="4664" spans="1:8" x14ac:dyDescent="0.3">
      <c r="A4664" s="82"/>
      <c r="B4664" s="81"/>
      <c r="H4664" s="83"/>
    </row>
    <row r="4665" spans="1:8" x14ac:dyDescent="0.3">
      <c r="A4665" s="82"/>
      <c r="B4665" s="81"/>
      <c r="H4665" s="83"/>
    </row>
    <row r="4666" spans="1:8" x14ac:dyDescent="0.3">
      <c r="A4666" s="82"/>
      <c r="B4666" s="81"/>
      <c r="H4666" s="83"/>
    </row>
    <row r="4667" spans="1:8" x14ac:dyDescent="0.3">
      <c r="A4667" s="82"/>
      <c r="B4667" s="81"/>
      <c r="H4667" s="83"/>
    </row>
    <row r="4668" spans="1:8" x14ac:dyDescent="0.3">
      <c r="A4668" s="82"/>
      <c r="B4668" s="81"/>
      <c r="H4668" s="83"/>
    </row>
    <row r="4669" spans="1:8" x14ac:dyDescent="0.3">
      <c r="A4669" s="82"/>
      <c r="B4669" s="81"/>
      <c r="H4669" s="83"/>
    </row>
    <row r="4670" spans="1:8" x14ac:dyDescent="0.3">
      <c r="A4670" s="82"/>
      <c r="B4670" s="81"/>
      <c r="H4670" s="83"/>
    </row>
    <row r="4671" spans="1:8" x14ac:dyDescent="0.3">
      <c r="A4671" s="82"/>
      <c r="B4671" s="81"/>
      <c r="H4671" s="83"/>
    </row>
    <row r="4672" spans="1:8" x14ac:dyDescent="0.3">
      <c r="A4672" s="82"/>
      <c r="B4672" s="81"/>
      <c r="H4672" s="83"/>
    </row>
    <row r="4673" spans="1:8" x14ac:dyDescent="0.3">
      <c r="A4673" s="82"/>
      <c r="B4673" s="81"/>
      <c r="H4673" s="83"/>
    </row>
    <row r="4674" spans="1:8" x14ac:dyDescent="0.3">
      <c r="A4674" s="82"/>
      <c r="B4674" s="81"/>
      <c r="H4674" s="83"/>
    </row>
    <row r="4675" spans="1:8" x14ac:dyDescent="0.3">
      <c r="A4675" s="82"/>
      <c r="B4675" s="81"/>
      <c r="H4675" s="83"/>
    </row>
    <row r="4676" spans="1:8" x14ac:dyDescent="0.3">
      <c r="A4676" s="82"/>
      <c r="B4676" s="81"/>
      <c r="H4676" s="83"/>
    </row>
    <row r="4677" spans="1:8" x14ac:dyDescent="0.3">
      <c r="A4677" s="82"/>
      <c r="B4677" s="81"/>
      <c r="H4677" s="83"/>
    </row>
    <row r="4678" spans="1:8" x14ac:dyDescent="0.3">
      <c r="A4678" s="82"/>
      <c r="B4678" s="81"/>
      <c r="H4678" s="83"/>
    </row>
    <row r="4679" spans="1:8" x14ac:dyDescent="0.3">
      <c r="A4679" s="82"/>
      <c r="B4679" s="81"/>
      <c r="H4679" s="83"/>
    </row>
    <row r="4680" spans="1:8" x14ac:dyDescent="0.3">
      <c r="A4680" s="82"/>
      <c r="B4680" s="81"/>
      <c r="H4680" s="83"/>
    </row>
    <row r="4681" spans="1:8" x14ac:dyDescent="0.3">
      <c r="A4681" s="82"/>
      <c r="B4681" s="81"/>
      <c r="H4681" s="83"/>
    </row>
    <row r="4682" spans="1:8" x14ac:dyDescent="0.3">
      <c r="A4682" s="82"/>
      <c r="B4682" s="81"/>
      <c r="H4682" s="83"/>
    </row>
    <row r="4683" spans="1:8" x14ac:dyDescent="0.3">
      <c r="A4683" s="82"/>
      <c r="B4683" s="81"/>
      <c r="H4683" s="83"/>
    </row>
    <row r="4684" spans="1:8" x14ac:dyDescent="0.3">
      <c r="A4684" s="82"/>
      <c r="B4684" s="81"/>
      <c r="H4684" s="83"/>
    </row>
    <row r="4685" spans="1:8" x14ac:dyDescent="0.3">
      <c r="A4685" s="82"/>
      <c r="B4685" s="81"/>
      <c r="H4685" s="83"/>
    </row>
    <row r="4686" spans="1:8" x14ac:dyDescent="0.3">
      <c r="A4686" s="82"/>
      <c r="B4686" s="81"/>
      <c r="H4686" s="83"/>
    </row>
    <row r="4687" spans="1:8" x14ac:dyDescent="0.3">
      <c r="A4687" s="82"/>
      <c r="B4687" s="81"/>
      <c r="H4687" s="83"/>
    </row>
    <row r="4688" spans="1:8" x14ac:dyDescent="0.3">
      <c r="A4688" s="82"/>
      <c r="B4688" s="81"/>
      <c r="H4688" s="83"/>
    </row>
    <row r="4689" spans="1:8" x14ac:dyDescent="0.3">
      <c r="A4689" s="82"/>
      <c r="B4689" s="81"/>
      <c r="H4689" s="83"/>
    </row>
    <row r="4690" spans="1:8" x14ac:dyDescent="0.3">
      <c r="A4690" s="82"/>
      <c r="B4690" s="81"/>
      <c r="H4690" s="83"/>
    </row>
    <row r="4691" spans="1:8" x14ac:dyDescent="0.3">
      <c r="A4691" s="82"/>
      <c r="B4691" s="81"/>
      <c r="H4691" s="83"/>
    </row>
    <row r="4692" spans="1:8" x14ac:dyDescent="0.3">
      <c r="A4692" s="82"/>
      <c r="B4692" s="81"/>
      <c r="H4692" s="83"/>
    </row>
    <row r="4693" spans="1:8" x14ac:dyDescent="0.3">
      <c r="A4693" s="82"/>
      <c r="B4693" s="81"/>
      <c r="H4693" s="83"/>
    </row>
    <row r="4694" spans="1:8" x14ac:dyDescent="0.3">
      <c r="A4694" s="82"/>
      <c r="B4694" s="81"/>
      <c r="H4694" s="83"/>
    </row>
    <row r="4695" spans="1:8" x14ac:dyDescent="0.3">
      <c r="A4695" s="82"/>
      <c r="B4695" s="81"/>
      <c r="H4695" s="83"/>
    </row>
    <row r="4696" spans="1:8" x14ac:dyDescent="0.3">
      <c r="A4696" s="82"/>
      <c r="B4696" s="81"/>
      <c r="H4696" s="83"/>
    </row>
    <row r="4697" spans="1:8" x14ac:dyDescent="0.3">
      <c r="A4697" s="82"/>
      <c r="B4697" s="81"/>
      <c r="H4697" s="83"/>
    </row>
    <row r="4698" spans="1:8" x14ac:dyDescent="0.3">
      <c r="A4698" s="82"/>
      <c r="B4698" s="81"/>
      <c r="H4698" s="83"/>
    </row>
    <row r="4699" spans="1:8" x14ac:dyDescent="0.3">
      <c r="A4699" s="82"/>
      <c r="B4699" s="81"/>
      <c r="H4699" s="83"/>
    </row>
    <row r="4700" spans="1:8" x14ac:dyDescent="0.3">
      <c r="A4700" s="82"/>
      <c r="B4700" s="81"/>
      <c r="H4700" s="83"/>
    </row>
    <row r="4701" spans="1:8" x14ac:dyDescent="0.3">
      <c r="A4701" s="82"/>
      <c r="B4701" s="81"/>
      <c r="H4701" s="83"/>
    </row>
    <row r="4702" spans="1:8" x14ac:dyDescent="0.3">
      <c r="A4702" s="82"/>
      <c r="B4702" s="81"/>
      <c r="H4702" s="83"/>
    </row>
    <row r="4703" spans="1:8" x14ac:dyDescent="0.3">
      <c r="A4703" s="82"/>
      <c r="B4703" s="81"/>
      <c r="H4703" s="83"/>
    </row>
    <row r="4704" spans="1:8" x14ac:dyDescent="0.3">
      <c r="A4704" s="82"/>
      <c r="B4704" s="81"/>
      <c r="H4704" s="83"/>
    </row>
    <row r="4705" spans="1:8" x14ac:dyDescent="0.3">
      <c r="A4705" s="82"/>
      <c r="B4705" s="81"/>
      <c r="H4705" s="83"/>
    </row>
    <row r="4706" spans="1:8" x14ac:dyDescent="0.3">
      <c r="A4706" s="82"/>
      <c r="B4706" s="81"/>
      <c r="H4706" s="83"/>
    </row>
    <row r="4707" spans="1:8" x14ac:dyDescent="0.3">
      <c r="A4707" s="82"/>
      <c r="B4707" s="81"/>
      <c r="H4707" s="83"/>
    </row>
    <row r="4708" spans="1:8" x14ac:dyDescent="0.3">
      <c r="A4708" s="82"/>
      <c r="B4708" s="81"/>
      <c r="H4708" s="83"/>
    </row>
    <row r="4709" spans="1:8" x14ac:dyDescent="0.3">
      <c r="A4709" s="82"/>
      <c r="B4709" s="81"/>
      <c r="H4709" s="83"/>
    </row>
    <row r="4710" spans="1:8" x14ac:dyDescent="0.3">
      <c r="A4710" s="82"/>
      <c r="B4710" s="81"/>
      <c r="H4710" s="83"/>
    </row>
    <row r="4711" spans="1:8" x14ac:dyDescent="0.3">
      <c r="A4711" s="82"/>
      <c r="B4711" s="81"/>
      <c r="H4711" s="83"/>
    </row>
    <row r="4712" spans="1:8" x14ac:dyDescent="0.3">
      <c r="A4712" s="82"/>
      <c r="B4712" s="81"/>
      <c r="H4712" s="83"/>
    </row>
    <row r="4713" spans="1:8" x14ac:dyDescent="0.3">
      <c r="A4713" s="82"/>
      <c r="B4713" s="81"/>
      <c r="H4713" s="83"/>
    </row>
    <row r="4714" spans="1:8" x14ac:dyDescent="0.3">
      <c r="A4714" s="82"/>
      <c r="B4714" s="81"/>
      <c r="H4714" s="83"/>
    </row>
    <row r="4715" spans="1:8" x14ac:dyDescent="0.3">
      <c r="A4715" s="82"/>
      <c r="B4715" s="81"/>
      <c r="H4715" s="83"/>
    </row>
    <row r="4716" spans="1:8" x14ac:dyDescent="0.3">
      <c r="A4716" s="82"/>
      <c r="B4716" s="81"/>
      <c r="H4716" s="83"/>
    </row>
    <row r="4717" spans="1:8" x14ac:dyDescent="0.3">
      <c r="A4717" s="82"/>
      <c r="B4717" s="81"/>
      <c r="H4717" s="83"/>
    </row>
    <row r="4718" spans="1:8" x14ac:dyDescent="0.3">
      <c r="A4718" s="82"/>
      <c r="B4718" s="81"/>
      <c r="H4718" s="83"/>
    </row>
    <row r="4719" spans="1:8" x14ac:dyDescent="0.3">
      <c r="A4719" s="82"/>
      <c r="B4719" s="81"/>
      <c r="H4719" s="83"/>
    </row>
    <row r="4720" spans="1:8" x14ac:dyDescent="0.3">
      <c r="A4720" s="82"/>
      <c r="B4720" s="81"/>
      <c r="H4720" s="83"/>
    </row>
    <row r="4721" spans="1:8" x14ac:dyDescent="0.3">
      <c r="A4721" s="82"/>
      <c r="B4721" s="81"/>
      <c r="H4721" s="83"/>
    </row>
    <row r="4722" spans="1:8" x14ac:dyDescent="0.3">
      <c r="A4722" s="82"/>
      <c r="B4722" s="81"/>
      <c r="H4722" s="83"/>
    </row>
    <row r="4723" spans="1:8" x14ac:dyDescent="0.3">
      <c r="A4723" s="82"/>
      <c r="B4723" s="81"/>
      <c r="H4723" s="83"/>
    </row>
    <row r="4724" spans="1:8" x14ac:dyDescent="0.3">
      <c r="A4724" s="82"/>
      <c r="B4724" s="81"/>
      <c r="H4724" s="83"/>
    </row>
    <row r="4725" spans="1:8" x14ac:dyDescent="0.3">
      <c r="A4725" s="82"/>
      <c r="B4725" s="81"/>
      <c r="H4725" s="83"/>
    </row>
    <row r="4726" spans="1:8" x14ac:dyDescent="0.3">
      <c r="A4726" s="82"/>
      <c r="B4726" s="81"/>
      <c r="H4726" s="83"/>
    </row>
    <row r="4727" spans="1:8" x14ac:dyDescent="0.3">
      <c r="A4727" s="82"/>
      <c r="B4727" s="81"/>
      <c r="H4727" s="83"/>
    </row>
    <row r="4728" spans="1:8" x14ac:dyDescent="0.3">
      <c r="A4728" s="82"/>
      <c r="B4728" s="81"/>
      <c r="H4728" s="83"/>
    </row>
    <row r="4729" spans="1:8" x14ac:dyDescent="0.3">
      <c r="A4729" s="82"/>
      <c r="B4729" s="81"/>
      <c r="H4729" s="83"/>
    </row>
    <row r="4730" spans="1:8" x14ac:dyDescent="0.3">
      <c r="A4730" s="82"/>
      <c r="B4730" s="81"/>
      <c r="H4730" s="83"/>
    </row>
    <row r="4731" spans="1:8" x14ac:dyDescent="0.3">
      <c r="A4731" s="82"/>
      <c r="B4731" s="81"/>
      <c r="H4731" s="83"/>
    </row>
    <row r="4732" spans="1:8" x14ac:dyDescent="0.3">
      <c r="A4732" s="82"/>
      <c r="B4732" s="81"/>
      <c r="H4732" s="83"/>
    </row>
    <row r="4733" spans="1:8" x14ac:dyDescent="0.3">
      <c r="A4733" s="82"/>
      <c r="B4733" s="81"/>
      <c r="H4733" s="83"/>
    </row>
    <row r="4734" spans="1:8" x14ac:dyDescent="0.3">
      <c r="A4734" s="82"/>
      <c r="B4734" s="81"/>
      <c r="H4734" s="83"/>
    </row>
    <row r="4735" spans="1:8" x14ac:dyDescent="0.3">
      <c r="A4735" s="82"/>
      <c r="B4735" s="81"/>
      <c r="H4735" s="83"/>
    </row>
    <row r="4736" spans="1:8" x14ac:dyDescent="0.3">
      <c r="A4736" s="82"/>
      <c r="B4736" s="81"/>
      <c r="H4736" s="83"/>
    </row>
    <row r="4737" spans="1:8" x14ac:dyDescent="0.3">
      <c r="A4737" s="82"/>
      <c r="B4737" s="81"/>
      <c r="H4737" s="83"/>
    </row>
    <row r="4738" spans="1:8" x14ac:dyDescent="0.3">
      <c r="A4738" s="82"/>
      <c r="B4738" s="81"/>
      <c r="H4738" s="83"/>
    </row>
    <row r="4739" spans="1:8" x14ac:dyDescent="0.3">
      <c r="A4739" s="82"/>
      <c r="B4739" s="81"/>
      <c r="H4739" s="83"/>
    </row>
    <row r="4740" spans="1:8" x14ac:dyDescent="0.3">
      <c r="A4740" s="82"/>
      <c r="B4740" s="81"/>
      <c r="H4740" s="83"/>
    </row>
    <row r="4741" spans="1:8" x14ac:dyDescent="0.3">
      <c r="A4741" s="82"/>
      <c r="B4741" s="81"/>
      <c r="H4741" s="83"/>
    </row>
    <row r="4742" spans="1:8" x14ac:dyDescent="0.3">
      <c r="A4742" s="82"/>
      <c r="B4742" s="81"/>
      <c r="H4742" s="83"/>
    </row>
    <row r="4743" spans="1:8" x14ac:dyDescent="0.3">
      <c r="A4743" s="82"/>
      <c r="B4743" s="81"/>
      <c r="H4743" s="83"/>
    </row>
    <row r="4744" spans="1:8" x14ac:dyDescent="0.3">
      <c r="A4744" s="82"/>
      <c r="B4744" s="81"/>
      <c r="H4744" s="83"/>
    </row>
    <row r="4745" spans="1:8" x14ac:dyDescent="0.3">
      <c r="A4745" s="82"/>
      <c r="B4745" s="81"/>
      <c r="H4745" s="83"/>
    </row>
    <row r="4746" spans="1:8" x14ac:dyDescent="0.3">
      <c r="A4746" s="82"/>
      <c r="B4746" s="81"/>
      <c r="H4746" s="83"/>
    </row>
    <row r="4747" spans="1:8" x14ac:dyDescent="0.3">
      <c r="A4747" s="82"/>
      <c r="B4747" s="81"/>
      <c r="H4747" s="83"/>
    </row>
    <row r="4748" spans="1:8" x14ac:dyDescent="0.3">
      <c r="A4748" s="82"/>
      <c r="B4748" s="81"/>
      <c r="H4748" s="83"/>
    </row>
    <row r="4749" spans="1:8" x14ac:dyDescent="0.3">
      <c r="A4749" s="82"/>
      <c r="B4749" s="81"/>
      <c r="H4749" s="83"/>
    </row>
    <row r="4750" spans="1:8" x14ac:dyDescent="0.3">
      <c r="A4750" s="82"/>
      <c r="B4750" s="81"/>
      <c r="H4750" s="83"/>
    </row>
    <row r="4751" spans="1:8" x14ac:dyDescent="0.3">
      <c r="A4751" s="82"/>
      <c r="B4751" s="81"/>
      <c r="H4751" s="83"/>
    </row>
    <row r="4752" spans="1:8" x14ac:dyDescent="0.3">
      <c r="A4752" s="82"/>
      <c r="B4752" s="81"/>
      <c r="H4752" s="83"/>
    </row>
    <row r="4753" spans="1:8" x14ac:dyDescent="0.3">
      <c r="A4753" s="82"/>
      <c r="B4753" s="81"/>
      <c r="H4753" s="83"/>
    </row>
    <row r="4754" spans="1:8" x14ac:dyDescent="0.3">
      <c r="A4754" s="82"/>
      <c r="B4754" s="81"/>
      <c r="H4754" s="83"/>
    </row>
    <row r="4755" spans="1:8" x14ac:dyDescent="0.3">
      <c r="A4755" s="82"/>
      <c r="B4755" s="81"/>
      <c r="H4755" s="83"/>
    </row>
    <row r="4756" spans="1:8" x14ac:dyDescent="0.3">
      <c r="A4756" s="82"/>
      <c r="B4756" s="81"/>
      <c r="H4756" s="83"/>
    </row>
    <row r="4757" spans="1:8" x14ac:dyDescent="0.3">
      <c r="A4757" s="82"/>
      <c r="B4757" s="81"/>
      <c r="H4757" s="83"/>
    </row>
    <row r="4758" spans="1:8" x14ac:dyDescent="0.3">
      <c r="A4758" s="82"/>
      <c r="B4758" s="81"/>
      <c r="H4758" s="83"/>
    </row>
    <row r="4759" spans="1:8" x14ac:dyDescent="0.3">
      <c r="A4759" s="82"/>
      <c r="B4759" s="81"/>
      <c r="H4759" s="83"/>
    </row>
    <row r="4760" spans="1:8" x14ac:dyDescent="0.3">
      <c r="A4760" s="82"/>
      <c r="B4760" s="81"/>
      <c r="H4760" s="83"/>
    </row>
    <row r="4761" spans="1:8" x14ac:dyDescent="0.3">
      <c r="A4761" s="82"/>
      <c r="B4761" s="81"/>
      <c r="H4761" s="83"/>
    </row>
    <row r="4762" spans="1:8" x14ac:dyDescent="0.3">
      <c r="A4762" s="82"/>
      <c r="B4762" s="81"/>
      <c r="H4762" s="83"/>
    </row>
    <row r="4763" spans="1:8" x14ac:dyDescent="0.3">
      <c r="A4763" s="82"/>
      <c r="B4763" s="81"/>
      <c r="H4763" s="83"/>
    </row>
    <row r="4764" spans="1:8" x14ac:dyDescent="0.3">
      <c r="A4764" s="82"/>
      <c r="B4764" s="81"/>
      <c r="H4764" s="83"/>
    </row>
    <row r="4765" spans="1:8" x14ac:dyDescent="0.3">
      <c r="A4765" s="82"/>
      <c r="B4765" s="81"/>
      <c r="H4765" s="83"/>
    </row>
    <row r="4766" spans="1:8" x14ac:dyDescent="0.3">
      <c r="A4766" s="82"/>
      <c r="B4766" s="81"/>
      <c r="H4766" s="83"/>
    </row>
    <row r="4767" spans="1:8" x14ac:dyDescent="0.3">
      <c r="A4767" s="82"/>
      <c r="B4767" s="81"/>
      <c r="H4767" s="83"/>
    </row>
    <row r="4768" spans="1:8" x14ac:dyDescent="0.3">
      <c r="A4768" s="82"/>
      <c r="B4768" s="81"/>
      <c r="H4768" s="83"/>
    </row>
    <row r="4769" spans="1:8" x14ac:dyDescent="0.3">
      <c r="A4769" s="82"/>
      <c r="B4769" s="81"/>
      <c r="H4769" s="83"/>
    </row>
    <row r="4770" spans="1:8" x14ac:dyDescent="0.3">
      <c r="A4770" s="82"/>
      <c r="B4770" s="81"/>
      <c r="H4770" s="83"/>
    </row>
    <row r="4771" spans="1:8" x14ac:dyDescent="0.3">
      <c r="A4771" s="82"/>
      <c r="B4771" s="81"/>
      <c r="H4771" s="83"/>
    </row>
    <row r="4772" spans="1:8" x14ac:dyDescent="0.3">
      <c r="A4772" s="82"/>
      <c r="B4772" s="81"/>
      <c r="H4772" s="83"/>
    </row>
    <row r="4773" spans="1:8" x14ac:dyDescent="0.3">
      <c r="A4773" s="82"/>
      <c r="B4773" s="81"/>
      <c r="H4773" s="83"/>
    </row>
    <row r="4774" spans="1:8" x14ac:dyDescent="0.3">
      <c r="A4774" s="82"/>
      <c r="B4774" s="81"/>
      <c r="H4774" s="83"/>
    </row>
    <row r="4775" spans="1:8" x14ac:dyDescent="0.3">
      <c r="A4775" s="82"/>
      <c r="B4775" s="81"/>
      <c r="H4775" s="83"/>
    </row>
    <row r="4776" spans="1:8" x14ac:dyDescent="0.3">
      <c r="A4776" s="82"/>
      <c r="B4776" s="81"/>
      <c r="H4776" s="83"/>
    </row>
    <row r="4777" spans="1:8" x14ac:dyDescent="0.3">
      <c r="A4777" s="82"/>
      <c r="B4777" s="81"/>
      <c r="H4777" s="83"/>
    </row>
    <row r="4778" spans="1:8" x14ac:dyDescent="0.3">
      <c r="A4778" s="82"/>
      <c r="B4778" s="81"/>
      <c r="H4778" s="83"/>
    </row>
    <row r="4779" spans="1:8" x14ac:dyDescent="0.3">
      <c r="A4779" s="82"/>
      <c r="B4779" s="81"/>
      <c r="H4779" s="83"/>
    </row>
    <row r="4780" spans="1:8" x14ac:dyDescent="0.3">
      <c r="A4780" s="82"/>
      <c r="B4780" s="81"/>
      <c r="H4780" s="83"/>
    </row>
    <row r="4781" spans="1:8" x14ac:dyDescent="0.3">
      <c r="A4781" s="82"/>
      <c r="B4781" s="81"/>
      <c r="H4781" s="83"/>
    </row>
    <row r="4782" spans="1:8" x14ac:dyDescent="0.3">
      <c r="A4782" s="82"/>
      <c r="B4782" s="81"/>
      <c r="H4782" s="83"/>
    </row>
    <row r="4783" spans="1:8" x14ac:dyDescent="0.3">
      <c r="A4783" s="82"/>
      <c r="B4783" s="81"/>
      <c r="H4783" s="83"/>
    </row>
    <row r="4784" spans="1:8" x14ac:dyDescent="0.3">
      <c r="A4784" s="82"/>
      <c r="B4784" s="81"/>
      <c r="H4784" s="83"/>
    </row>
    <row r="4785" spans="1:8" x14ac:dyDescent="0.3">
      <c r="A4785" s="82"/>
      <c r="B4785" s="81"/>
      <c r="H4785" s="83"/>
    </row>
    <row r="4786" spans="1:8" x14ac:dyDescent="0.3">
      <c r="A4786" s="82"/>
      <c r="B4786" s="81"/>
      <c r="H4786" s="83"/>
    </row>
    <row r="4787" spans="1:8" x14ac:dyDescent="0.3">
      <c r="A4787" s="82"/>
      <c r="B4787" s="81"/>
      <c r="H4787" s="83"/>
    </row>
    <row r="4788" spans="1:8" x14ac:dyDescent="0.3">
      <c r="A4788" s="82"/>
      <c r="B4788" s="81"/>
      <c r="H4788" s="83"/>
    </row>
    <row r="4789" spans="1:8" x14ac:dyDescent="0.3">
      <c r="A4789" s="82"/>
      <c r="B4789" s="81"/>
      <c r="H4789" s="83"/>
    </row>
    <row r="4790" spans="1:8" x14ac:dyDescent="0.3">
      <c r="A4790" s="82"/>
      <c r="B4790" s="81"/>
      <c r="H4790" s="83"/>
    </row>
    <row r="4791" spans="1:8" x14ac:dyDescent="0.3">
      <c r="A4791" s="82"/>
      <c r="B4791" s="81"/>
      <c r="H4791" s="83"/>
    </row>
    <row r="4792" spans="1:8" x14ac:dyDescent="0.3">
      <c r="A4792" s="82"/>
      <c r="B4792" s="81"/>
      <c r="H4792" s="83"/>
    </row>
    <row r="4793" spans="1:8" x14ac:dyDescent="0.3">
      <c r="A4793" s="82"/>
      <c r="B4793" s="81"/>
      <c r="H4793" s="83"/>
    </row>
    <row r="4794" spans="1:8" x14ac:dyDescent="0.3">
      <c r="A4794" s="82"/>
      <c r="B4794" s="81"/>
      <c r="H4794" s="83"/>
    </row>
    <row r="4795" spans="1:8" x14ac:dyDescent="0.3">
      <c r="A4795" s="82"/>
      <c r="B4795" s="81"/>
      <c r="H4795" s="83"/>
    </row>
    <row r="4796" spans="1:8" x14ac:dyDescent="0.3">
      <c r="A4796" s="82"/>
      <c r="B4796" s="81"/>
      <c r="H4796" s="83"/>
    </row>
    <row r="4797" spans="1:8" x14ac:dyDescent="0.3">
      <c r="A4797" s="82"/>
      <c r="B4797" s="81"/>
      <c r="H4797" s="83"/>
    </row>
    <row r="4798" spans="1:8" x14ac:dyDescent="0.3">
      <c r="A4798" s="82"/>
      <c r="B4798" s="81"/>
      <c r="H4798" s="83"/>
    </row>
    <row r="4799" spans="1:8" x14ac:dyDescent="0.3">
      <c r="A4799" s="82"/>
      <c r="B4799" s="81"/>
      <c r="H4799" s="83"/>
    </row>
    <row r="4800" spans="1:8" x14ac:dyDescent="0.3">
      <c r="A4800" s="82"/>
      <c r="B4800" s="81"/>
      <c r="H4800" s="83"/>
    </row>
    <row r="4801" spans="1:8" x14ac:dyDescent="0.3">
      <c r="A4801" s="82"/>
      <c r="B4801" s="81"/>
      <c r="H4801" s="83"/>
    </row>
    <row r="4802" spans="1:8" x14ac:dyDescent="0.3">
      <c r="A4802" s="82"/>
      <c r="B4802" s="81"/>
      <c r="H4802" s="83"/>
    </row>
    <row r="4803" spans="1:8" x14ac:dyDescent="0.3">
      <c r="A4803" s="82"/>
      <c r="B4803" s="81"/>
      <c r="H4803" s="83"/>
    </row>
    <row r="4804" spans="1:8" x14ac:dyDescent="0.3">
      <c r="A4804" s="82"/>
      <c r="B4804" s="81"/>
      <c r="H4804" s="83"/>
    </row>
    <row r="4805" spans="1:8" x14ac:dyDescent="0.3">
      <c r="A4805" s="82"/>
      <c r="B4805" s="81"/>
      <c r="H4805" s="83"/>
    </row>
    <row r="4806" spans="1:8" x14ac:dyDescent="0.3">
      <c r="A4806" s="82"/>
      <c r="B4806" s="81"/>
      <c r="H4806" s="83"/>
    </row>
    <row r="4807" spans="1:8" x14ac:dyDescent="0.3">
      <c r="A4807" s="82"/>
      <c r="B4807" s="81"/>
      <c r="H4807" s="83"/>
    </row>
    <row r="4808" spans="1:8" x14ac:dyDescent="0.3">
      <c r="A4808" s="82"/>
      <c r="B4808" s="81"/>
      <c r="H4808" s="83"/>
    </row>
    <row r="4809" spans="1:8" x14ac:dyDescent="0.3">
      <c r="A4809" s="82"/>
      <c r="B4809" s="81"/>
      <c r="H4809" s="83"/>
    </row>
    <row r="4810" spans="1:8" x14ac:dyDescent="0.3">
      <c r="A4810" s="82"/>
      <c r="B4810" s="81"/>
      <c r="H4810" s="83"/>
    </row>
    <row r="4811" spans="1:8" x14ac:dyDescent="0.3">
      <c r="A4811" s="82"/>
      <c r="B4811" s="81"/>
      <c r="H4811" s="83"/>
    </row>
    <row r="4812" spans="1:8" x14ac:dyDescent="0.3">
      <c r="A4812" s="82"/>
      <c r="B4812" s="81"/>
      <c r="H4812" s="83"/>
    </row>
    <row r="4813" spans="1:8" x14ac:dyDescent="0.3">
      <c r="A4813" s="82"/>
      <c r="B4813" s="81"/>
      <c r="H4813" s="83"/>
    </row>
    <row r="4814" spans="1:8" x14ac:dyDescent="0.3">
      <c r="A4814" s="82"/>
      <c r="B4814" s="81"/>
      <c r="H4814" s="83"/>
    </row>
    <row r="4815" spans="1:8" x14ac:dyDescent="0.3">
      <c r="A4815" s="82"/>
      <c r="B4815" s="81"/>
      <c r="H4815" s="83"/>
    </row>
    <row r="4816" spans="1:8" x14ac:dyDescent="0.3">
      <c r="A4816" s="82"/>
      <c r="B4816" s="81"/>
      <c r="H4816" s="83"/>
    </row>
    <row r="4817" spans="1:8" x14ac:dyDescent="0.3">
      <c r="A4817" s="82"/>
      <c r="B4817" s="81"/>
      <c r="H4817" s="83"/>
    </row>
    <row r="4818" spans="1:8" x14ac:dyDescent="0.3">
      <c r="A4818" s="82"/>
      <c r="B4818" s="81"/>
      <c r="H4818" s="83"/>
    </row>
    <row r="4819" spans="1:8" x14ac:dyDescent="0.3">
      <c r="A4819" s="82"/>
      <c r="B4819" s="81"/>
      <c r="H4819" s="83"/>
    </row>
    <row r="4820" spans="1:8" x14ac:dyDescent="0.3">
      <c r="A4820" s="82"/>
      <c r="B4820" s="81"/>
      <c r="H4820" s="83"/>
    </row>
    <row r="4821" spans="1:8" x14ac:dyDescent="0.3">
      <c r="A4821" s="82"/>
      <c r="B4821" s="81"/>
      <c r="H4821" s="83"/>
    </row>
    <row r="4822" spans="1:8" x14ac:dyDescent="0.3">
      <c r="A4822" s="82"/>
      <c r="B4822" s="81"/>
      <c r="H4822" s="83"/>
    </row>
    <row r="4823" spans="1:8" x14ac:dyDescent="0.3">
      <c r="A4823" s="82"/>
      <c r="B4823" s="81"/>
      <c r="H4823" s="83"/>
    </row>
    <row r="4824" spans="1:8" x14ac:dyDescent="0.3">
      <c r="A4824" s="82"/>
      <c r="B4824" s="81"/>
      <c r="H4824" s="83"/>
    </row>
    <row r="4825" spans="1:8" x14ac:dyDescent="0.3">
      <c r="A4825" s="82"/>
      <c r="B4825" s="81"/>
      <c r="H4825" s="83"/>
    </row>
    <row r="4826" spans="1:8" x14ac:dyDescent="0.3">
      <c r="A4826" s="82"/>
      <c r="B4826" s="81"/>
      <c r="H4826" s="83"/>
    </row>
    <row r="4827" spans="1:8" x14ac:dyDescent="0.3">
      <c r="A4827" s="82"/>
      <c r="B4827" s="81"/>
      <c r="H4827" s="83"/>
    </row>
    <row r="4828" spans="1:8" x14ac:dyDescent="0.3">
      <c r="A4828" s="82"/>
      <c r="B4828" s="81"/>
      <c r="H4828" s="83"/>
    </row>
    <row r="4829" spans="1:8" x14ac:dyDescent="0.3">
      <c r="A4829" s="82"/>
      <c r="B4829" s="81"/>
      <c r="H4829" s="83"/>
    </row>
    <row r="4830" spans="1:8" x14ac:dyDescent="0.3">
      <c r="A4830" s="82"/>
      <c r="B4830" s="81"/>
      <c r="H4830" s="83"/>
    </row>
    <row r="4831" spans="1:8" x14ac:dyDescent="0.3">
      <c r="A4831" s="82"/>
      <c r="B4831" s="81"/>
      <c r="H4831" s="83"/>
    </row>
    <row r="4832" spans="1:8" x14ac:dyDescent="0.3">
      <c r="A4832" s="82"/>
      <c r="B4832" s="81"/>
      <c r="H4832" s="83"/>
    </row>
    <row r="4833" spans="1:8" x14ac:dyDescent="0.3">
      <c r="A4833" s="82"/>
      <c r="B4833" s="81"/>
      <c r="H4833" s="83"/>
    </row>
    <row r="4834" spans="1:8" x14ac:dyDescent="0.3">
      <c r="A4834" s="82"/>
      <c r="B4834" s="81"/>
      <c r="H4834" s="83"/>
    </row>
    <row r="4835" spans="1:8" x14ac:dyDescent="0.3">
      <c r="A4835" s="82"/>
      <c r="B4835" s="81"/>
      <c r="H4835" s="83"/>
    </row>
    <row r="4836" spans="1:8" x14ac:dyDescent="0.3">
      <c r="A4836" s="82"/>
      <c r="B4836" s="81"/>
      <c r="H4836" s="83"/>
    </row>
    <row r="4837" spans="1:8" x14ac:dyDescent="0.3">
      <c r="A4837" s="82"/>
      <c r="B4837" s="81"/>
      <c r="H4837" s="83"/>
    </row>
    <row r="4838" spans="1:8" x14ac:dyDescent="0.3">
      <c r="A4838" s="82"/>
      <c r="B4838" s="81"/>
      <c r="H4838" s="83"/>
    </row>
    <row r="4839" spans="1:8" x14ac:dyDescent="0.3">
      <c r="A4839" s="82"/>
      <c r="B4839" s="81"/>
      <c r="H4839" s="83"/>
    </row>
    <row r="4840" spans="1:8" x14ac:dyDescent="0.3">
      <c r="A4840" s="82"/>
      <c r="B4840" s="81"/>
      <c r="H4840" s="83"/>
    </row>
    <row r="4841" spans="1:8" x14ac:dyDescent="0.3">
      <c r="A4841" s="82"/>
      <c r="B4841" s="81"/>
      <c r="H4841" s="83"/>
    </row>
    <row r="4842" spans="1:8" x14ac:dyDescent="0.3">
      <c r="A4842" s="82"/>
      <c r="B4842" s="81"/>
      <c r="H4842" s="83"/>
    </row>
    <row r="4843" spans="1:8" x14ac:dyDescent="0.3">
      <c r="A4843" s="82"/>
      <c r="B4843" s="81"/>
      <c r="H4843" s="83"/>
    </row>
    <row r="4844" spans="1:8" x14ac:dyDescent="0.3">
      <c r="A4844" s="82"/>
      <c r="B4844" s="81"/>
      <c r="H4844" s="83"/>
    </row>
    <row r="4845" spans="1:8" x14ac:dyDescent="0.3">
      <c r="A4845" s="82"/>
      <c r="B4845" s="81"/>
      <c r="H4845" s="83"/>
    </row>
    <row r="4846" spans="1:8" x14ac:dyDescent="0.3">
      <c r="A4846" s="82"/>
      <c r="B4846" s="81"/>
      <c r="H4846" s="83"/>
    </row>
    <row r="4847" spans="1:8" x14ac:dyDescent="0.3">
      <c r="A4847" s="82"/>
      <c r="B4847" s="81"/>
      <c r="H4847" s="83"/>
    </row>
    <row r="4848" spans="1:8" x14ac:dyDescent="0.3">
      <c r="A4848" s="82"/>
      <c r="B4848" s="81"/>
      <c r="H4848" s="83"/>
    </row>
    <row r="4849" spans="1:8" x14ac:dyDescent="0.3">
      <c r="A4849" s="82"/>
      <c r="B4849" s="81"/>
      <c r="H4849" s="83"/>
    </row>
    <row r="4850" spans="1:8" x14ac:dyDescent="0.3">
      <c r="A4850" s="82"/>
      <c r="B4850" s="81"/>
      <c r="H4850" s="83"/>
    </row>
    <row r="4851" spans="1:8" x14ac:dyDescent="0.3">
      <c r="A4851" s="82"/>
      <c r="B4851" s="81"/>
      <c r="H4851" s="83"/>
    </row>
    <row r="4852" spans="1:8" x14ac:dyDescent="0.3">
      <c r="A4852" s="82"/>
      <c r="B4852" s="81"/>
      <c r="H4852" s="83"/>
    </row>
    <row r="4853" spans="1:8" x14ac:dyDescent="0.3">
      <c r="A4853" s="82"/>
      <c r="B4853" s="81"/>
      <c r="H4853" s="83"/>
    </row>
    <row r="4854" spans="1:8" x14ac:dyDescent="0.3">
      <c r="A4854" s="82"/>
      <c r="B4854" s="81"/>
      <c r="H4854" s="83"/>
    </row>
    <row r="4855" spans="1:8" x14ac:dyDescent="0.3">
      <c r="A4855" s="82"/>
      <c r="B4855" s="81"/>
      <c r="H4855" s="83"/>
    </row>
    <row r="4856" spans="1:8" x14ac:dyDescent="0.3">
      <c r="A4856" s="82"/>
      <c r="B4856" s="81"/>
      <c r="H4856" s="83"/>
    </row>
    <row r="4857" spans="1:8" x14ac:dyDescent="0.3">
      <c r="A4857" s="82"/>
      <c r="B4857" s="81"/>
      <c r="H4857" s="83"/>
    </row>
    <row r="4858" spans="1:8" x14ac:dyDescent="0.3">
      <c r="A4858" s="82"/>
      <c r="B4858" s="81"/>
      <c r="H4858" s="83"/>
    </row>
    <row r="4859" spans="1:8" x14ac:dyDescent="0.3">
      <c r="A4859" s="82"/>
      <c r="B4859" s="81"/>
      <c r="H4859" s="83"/>
    </row>
    <row r="4860" spans="1:8" x14ac:dyDescent="0.3">
      <c r="A4860" s="82"/>
      <c r="B4860" s="81"/>
      <c r="H4860" s="83"/>
    </row>
    <row r="4861" spans="1:8" x14ac:dyDescent="0.3">
      <c r="A4861" s="82"/>
      <c r="B4861" s="81"/>
      <c r="H4861" s="83"/>
    </row>
    <row r="4862" spans="1:8" x14ac:dyDescent="0.3">
      <c r="A4862" s="82"/>
      <c r="B4862" s="81"/>
      <c r="H4862" s="83"/>
    </row>
    <row r="4863" spans="1:8" x14ac:dyDescent="0.3">
      <c r="A4863" s="82"/>
      <c r="B4863" s="81"/>
      <c r="H4863" s="83"/>
    </row>
    <row r="4864" spans="1:8" x14ac:dyDescent="0.3">
      <c r="A4864" s="82"/>
      <c r="B4864" s="81"/>
      <c r="H4864" s="83"/>
    </row>
    <row r="4865" spans="1:8" x14ac:dyDescent="0.3">
      <c r="A4865" s="82"/>
      <c r="B4865" s="81"/>
      <c r="H4865" s="83"/>
    </row>
    <row r="4866" spans="1:8" x14ac:dyDescent="0.3">
      <c r="A4866" s="82"/>
      <c r="B4866" s="81"/>
      <c r="H4866" s="83"/>
    </row>
    <row r="4867" spans="1:8" x14ac:dyDescent="0.3">
      <c r="A4867" s="82"/>
      <c r="B4867" s="81"/>
      <c r="H4867" s="83"/>
    </row>
    <row r="4868" spans="1:8" x14ac:dyDescent="0.3">
      <c r="A4868" s="82"/>
      <c r="B4868" s="81"/>
      <c r="H4868" s="83"/>
    </row>
    <row r="4869" spans="1:8" x14ac:dyDescent="0.3">
      <c r="A4869" s="82"/>
      <c r="B4869" s="81"/>
      <c r="H4869" s="83"/>
    </row>
    <row r="4870" spans="1:8" x14ac:dyDescent="0.3">
      <c r="A4870" s="82"/>
      <c r="B4870" s="81"/>
      <c r="H4870" s="83"/>
    </row>
    <row r="4871" spans="1:8" x14ac:dyDescent="0.3">
      <c r="A4871" s="82"/>
      <c r="B4871" s="81"/>
      <c r="H4871" s="83"/>
    </row>
    <row r="4872" spans="1:8" x14ac:dyDescent="0.3">
      <c r="A4872" s="82"/>
      <c r="B4872" s="81"/>
      <c r="H4872" s="83"/>
    </row>
    <row r="4873" spans="1:8" x14ac:dyDescent="0.3">
      <c r="A4873" s="82"/>
      <c r="B4873" s="81"/>
      <c r="H4873" s="83"/>
    </row>
    <row r="4874" spans="1:8" x14ac:dyDescent="0.3">
      <c r="A4874" s="82"/>
      <c r="B4874" s="81"/>
      <c r="H4874" s="83"/>
    </row>
    <row r="4875" spans="1:8" x14ac:dyDescent="0.3">
      <c r="A4875" s="82"/>
      <c r="B4875" s="81"/>
      <c r="H4875" s="83"/>
    </row>
    <row r="4876" spans="1:8" x14ac:dyDescent="0.3">
      <c r="A4876" s="82"/>
      <c r="B4876" s="81"/>
      <c r="H4876" s="83"/>
    </row>
    <row r="4877" spans="1:8" x14ac:dyDescent="0.3">
      <c r="A4877" s="82"/>
      <c r="B4877" s="81"/>
      <c r="H4877" s="83"/>
    </row>
    <row r="4878" spans="1:8" x14ac:dyDescent="0.3">
      <c r="A4878" s="82"/>
      <c r="B4878" s="81"/>
      <c r="H4878" s="83"/>
    </row>
    <row r="4879" spans="1:8" x14ac:dyDescent="0.3">
      <c r="A4879" s="82"/>
      <c r="B4879" s="81"/>
      <c r="H4879" s="83"/>
    </row>
    <row r="4880" spans="1:8" x14ac:dyDescent="0.3">
      <c r="A4880" s="82"/>
      <c r="B4880" s="81"/>
      <c r="H4880" s="83"/>
    </row>
    <row r="4881" spans="1:8" x14ac:dyDescent="0.3">
      <c r="A4881" s="82"/>
      <c r="B4881" s="81"/>
      <c r="H4881" s="83"/>
    </row>
    <row r="4882" spans="1:8" x14ac:dyDescent="0.3">
      <c r="A4882" s="82"/>
      <c r="B4882" s="81"/>
      <c r="H4882" s="83"/>
    </row>
    <row r="4883" spans="1:8" x14ac:dyDescent="0.3">
      <c r="A4883" s="82"/>
      <c r="B4883" s="81"/>
      <c r="H4883" s="83"/>
    </row>
    <row r="4884" spans="1:8" x14ac:dyDescent="0.3">
      <c r="A4884" s="82"/>
      <c r="B4884" s="81"/>
      <c r="H4884" s="83"/>
    </row>
    <row r="4885" spans="1:8" x14ac:dyDescent="0.3">
      <c r="A4885" s="82"/>
      <c r="B4885" s="81"/>
      <c r="H4885" s="83"/>
    </row>
    <row r="4886" spans="1:8" x14ac:dyDescent="0.3">
      <c r="A4886" s="82"/>
      <c r="B4886" s="81"/>
      <c r="H4886" s="83"/>
    </row>
    <row r="4887" spans="1:8" x14ac:dyDescent="0.3">
      <c r="A4887" s="82"/>
      <c r="B4887" s="81"/>
      <c r="H4887" s="83"/>
    </row>
    <row r="4888" spans="1:8" x14ac:dyDescent="0.3">
      <c r="A4888" s="82"/>
      <c r="B4888" s="81"/>
      <c r="H4888" s="83"/>
    </row>
    <row r="4889" spans="1:8" x14ac:dyDescent="0.3">
      <c r="A4889" s="82"/>
      <c r="B4889" s="81"/>
      <c r="H4889" s="83"/>
    </row>
    <row r="4890" spans="1:8" x14ac:dyDescent="0.3">
      <c r="A4890" s="82"/>
      <c r="B4890" s="81"/>
      <c r="H4890" s="83"/>
    </row>
    <row r="4891" spans="1:8" x14ac:dyDescent="0.3">
      <c r="A4891" s="82"/>
      <c r="B4891" s="81"/>
      <c r="H4891" s="83"/>
    </row>
    <row r="4892" spans="1:8" x14ac:dyDescent="0.3">
      <c r="A4892" s="82"/>
      <c r="B4892" s="81"/>
      <c r="H4892" s="83"/>
    </row>
    <row r="4893" spans="1:8" x14ac:dyDescent="0.3">
      <c r="A4893" s="82"/>
      <c r="B4893" s="81"/>
      <c r="H4893" s="83"/>
    </row>
    <row r="4894" spans="1:8" x14ac:dyDescent="0.3">
      <c r="A4894" s="82"/>
      <c r="B4894" s="81"/>
      <c r="H4894" s="83"/>
    </row>
    <row r="4895" spans="1:8" x14ac:dyDescent="0.3">
      <c r="A4895" s="82"/>
      <c r="B4895" s="81"/>
      <c r="H4895" s="83"/>
    </row>
    <row r="4896" spans="1:8" x14ac:dyDescent="0.3">
      <c r="A4896" s="82"/>
      <c r="B4896" s="81"/>
      <c r="H4896" s="83"/>
    </row>
    <row r="4897" spans="1:8" x14ac:dyDescent="0.3">
      <c r="A4897" s="82"/>
      <c r="B4897" s="81"/>
      <c r="H4897" s="83"/>
    </row>
    <row r="4898" spans="1:8" x14ac:dyDescent="0.3">
      <c r="A4898" s="82"/>
      <c r="B4898" s="81"/>
      <c r="H4898" s="83"/>
    </row>
    <row r="4899" spans="1:8" x14ac:dyDescent="0.3">
      <c r="A4899" s="82"/>
      <c r="B4899" s="81"/>
      <c r="H4899" s="83"/>
    </row>
    <row r="4900" spans="1:8" x14ac:dyDescent="0.3">
      <c r="A4900" s="82"/>
      <c r="B4900" s="81"/>
      <c r="H4900" s="83"/>
    </row>
    <row r="4901" spans="1:8" x14ac:dyDescent="0.3">
      <c r="A4901" s="82"/>
      <c r="B4901" s="81"/>
      <c r="H4901" s="83"/>
    </row>
    <row r="4902" spans="1:8" x14ac:dyDescent="0.3">
      <c r="A4902" s="82"/>
      <c r="B4902" s="81"/>
      <c r="H4902" s="83"/>
    </row>
    <row r="4903" spans="1:8" x14ac:dyDescent="0.3">
      <c r="A4903" s="82"/>
      <c r="B4903" s="81"/>
      <c r="H4903" s="83"/>
    </row>
    <row r="4904" spans="1:8" x14ac:dyDescent="0.3">
      <c r="A4904" s="82"/>
      <c r="B4904" s="81"/>
      <c r="H4904" s="83"/>
    </row>
    <row r="4905" spans="1:8" x14ac:dyDescent="0.3">
      <c r="A4905" s="82"/>
      <c r="B4905" s="81"/>
      <c r="H4905" s="83"/>
    </row>
    <row r="4906" spans="1:8" x14ac:dyDescent="0.3">
      <c r="A4906" s="82"/>
      <c r="B4906" s="81"/>
      <c r="H4906" s="83"/>
    </row>
    <row r="4907" spans="1:8" x14ac:dyDescent="0.3">
      <c r="A4907" s="82"/>
      <c r="B4907" s="81"/>
      <c r="H4907" s="83"/>
    </row>
    <row r="4908" spans="1:8" x14ac:dyDescent="0.3">
      <c r="A4908" s="82"/>
      <c r="B4908" s="81"/>
      <c r="H4908" s="83"/>
    </row>
    <row r="4909" spans="1:8" x14ac:dyDescent="0.3">
      <c r="A4909" s="82"/>
      <c r="B4909" s="81"/>
      <c r="H4909" s="83"/>
    </row>
    <row r="4910" spans="1:8" x14ac:dyDescent="0.3">
      <c r="A4910" s="82"/>
      <c r="B4910" s="81"/>
      <c r="H4910" s="83"/>
    </row>
    <row r="4911" spans="1:8" x14ac:dyDescent="0.3">
      <c r="A4911" s="82"/>
      <c r="B4911" s="81"/>
      <c r="H4911" s="83"/>
    </row>
    <row r="4912" spans="1:8" x14ac:dyDescent="0.3">
      <c r="A4912" s="82"/>
      <c r="B4912" s="81"/>
      <c r="H4912" s="83"/>
    </row>
    <row r="4913" spans="1:8" x14ac:dyDescent="0.3">
      <c r="A4913" s="82"/>
      <c r="B4913" s="81"/>
      <c r="H4913" s="83"/>
    </row>
    <row r="4914" spans="1:8" x14ac:dyDescent="0.3">
      <c r="A4914" s="82"/>
      <c r="B4914" s="81"/>
      <c r="H4914" s="83"/>
    </row>
    <row r="4915" spans="1:8" x14ac:dyDescent="0.3">
      <c r="A4915" s="82"/>
      <c r="B4915" s="81"/>
      <c r="H4915" s="83"/>
    </row>
    <row r="4916" spans="1:8" x14ac:dyDescent="0.3">
      <c r="A4916" s="82"/>
      <c r="B4916" s="81"/>
      <c r="H4916" s="83"/>
    </row>
    <row r="4917" spans="1:8" x14ac:dyDescent="0.3">
      <c r="A4917" s="82"/>
      <c r="B4917" s="81"/>
      <c r="H4917" s="83"/>
    </row>
    <row r="4918" spans="1:8" x14ac:dyDescent="0.3">
      <c r="A4918" s="82"/>
      <c r="B4918" s="81"/>
      <c r="H4918" s="83"/>
    </row>
    <row r="4919" spans="1:8" x14ac:dyDescent="0.3">
      <c r="A4919" s="82"/>
      <c r="B4919" s="81"/>
      <c r="H4919" s="83"/>
    </row>
    <row r="4920" spans="1:8" x14ac:dyDescent="0.3">
      <c r="A4920" s="82"/>
      <c r="B4920" s="81"/>
      <c r="H4920" s="83"/>
    </row>
    <row r="4921" spans="1:8" x14ac:dyDescent="0.3">
      <c r="A4921" s="82"/>
      <c r="B4921" s="81"/>
      <c r="H4921" s="83"/>
    </row>
    <row r="4922" spans="1:8" x14ac:dyDescent="0.3">
      <c r="A4922" s="82"/>
      <c r="B4922" s="81"/>
      <c r="H4922" s="83"/>
    </row>
    <row r="4923" spans="1:8" x14ac:dyDescent="0.3">
      <c r="A4923" s="82"/>
      <c r="B4923" s="81"/>
      <c r="H4923" s="83"/>
    </row>
    <row r="4924" spans="1:8" x14ac:dyDescent="0.3">
      <c r="A4924" s="82"/>
      <c r="B4924" s="81"/>
      <c r="H4924" s="83"/>
    </row>
    <row r="4925" spans="1:8" x14ac:dyDescent="0.3">
      <c r="A4925" s="82"/>
      <c r="B4925" s="81"/>
      <c r="H4925" s="83"/>
    </row>
    <row r="4926" spans="1:8" x14ac:dyDescent="0.3">
      <c r="A4926" s="82"/>
      <c r="B4926" s="81"/>
      <c r="H4926" s="83"/>
    </row>
    <row r="4927" spans="1:8" x14ac:dyDescent="0.3">
      <c r="A4927" s="82"/>
      <c r="B4927" s="81"/>
      <c r="H4927" s="83"/>
    </row>
    <row r="4928" spans="1:8" x14ac:dyDescent="0.3">
      <c r="A4928" s="82"/>
      <c r="B4928" s="81"/>
      <c r="H4928" s="83"/>
    </row>
    <row r="4929" spans="1:8" x14ac:dyDescent="0.3">
      <c r="A4929" s="82"/>
      <c r="B4929" s="81"/>
      <c r="H4929" s="83"/>
    </row>
    <row r="4930" spans="1:8" x14ac:dyDescent="0.3">
      <c r="A4930" s="82"/>
      <c r="B4930" s="81"/>
      <c r="H4930" s="83"/>
    </row>
    <row r="4931" spans="1:8" x14ac:dyDescent="0.3">
      <c r="A4931" s="82"/>
      <c r="B4931" s="81"/>
      <c r="H4931" s="83"/>
    </row>
    <row r="4932" spans="1:8" x14ac:dyDescent="0.3">
      <c r="A4932" s="82"/>
      <c r="B4932" s="81"/>
      <c r="H4932" s="83"/>
    </row>
    <row r="4933" spans="1:8" x14ac:dyDescent="0.3">
      <c r="A4933" s="82"/>
      <c r="B4933" s="81"/>
      <c r="H4933" s="83"/>
    </row>
    <row r="4934" spans="1:8" x14ac:dyDescent="0.3">
      <c r="A4934" s="82"/>
      <c r="B4934" s="81"/>
      <c r="H4934" s="83"/>
    </row>
    <row r="4935" spans="1:8" x14ac:dyDescent="0.3">
      <c r="A4935" s="82"/>
      <c r="B4935" s="81"/>
      <c r="H4935" s="83"/>
    </row>
    <row r="4936" spans="1:8" x14ac:dyDescent="0.3">
      <c r="A4936" s="82"/>
      <c r="B4936" s="81"/>
      <c r="H4936" s="83"/>
    </row>
    <row r="4937" spans="1:8" x14ac:dyDescent="0.3">
      <c r="A4937" s="82"/>
      <c r="B4937" s="81"/>
      <c r="H4937" s="83"/>
    </row>
    <row r="4938" spans="1:8" x14ac:dyDescent="0.3">
      <c r="A4938" s="82"/>
      <c r="B4938" s="81"/>
      <c r="H4938" s="83"/>
    </row>
    <row r="4939" spans="1:8" x14ac:dyDescent="0.3">
      <c r="A4939" s="82"/>
      <c r="B4939" s="81"/>
      <c r="H4939" s="83"/>
    </row>
    <row r="4940" spans="1:8" x14ac:dyDescent="0.3">
      <c r="A4940" s="82"/>
      <c r="B4940" s="81"/>
      <c r="H4940" s="83"/>
    </row>
    <row r="4941" spans="1:8" x14ac:dyDescent="0.3">
      <c r="A4941" s="82"/>
      <c r="B4941" s="81"/>
      <c r="H4941" s="83"/>
    </row>
    <row r="4942" spans="1:8" x14ac:dyDescent="0.3">
      <c r="A4942" s="82"/>
      <c r="B4942" s="81"/>
      <c r="H4942" s="83"/>
    </row>
    <row r="4943" spans="1:8" x14ac:dyDescent="0.3">
      <c r="A4943" s="82"/>
      <c r="B4943" s="81"/>
      <c r="H4943" s="83"/>
    </row>
    <row r="4944" spans="1:8" x14ac:dyDescent="0.3">
      <c r="A4944" s="82"/>
      <c r="B4944" s="81"/>
      <c r="H4944" s="83"/>
    </row>
    <row r="4945" spans="1:8" x14ac:dyDescent="0.3">
      <c r="A4945" s="82"/>
      <c r="B4945" s="81"/>
      <c r="H4945" s="83"/>
    </row>
    <row r="4946" spans="1:8" x14ac:dyDescent="0.3">
      <c r="A4946" s="82"/>
      <c r="B4946" s="81"/>
      <c r="H4946" s="83"/>
    </row>
    <row r="4947" spans="1:8" x14ac:dyDescent="0.3">
      <c r="A4947" s="82"/>
      <c r="B4947" s="81"/>
      <c r="H4947" s="83"/>
    </row>
    <row r="4948" spans="1:8" x14ac:dyDescent="0.3">
      <c r="A4948" s="82"/>
      <c r="B4948" s="81"/>
      <c r="H4948" s="83"/>
    </row>
    <row r="4949" spans="1:8" x14ac:dyDescent="0.3">
      <c r="A4949" s="82"/>
      <c r="B4949" s="81"/>
      <c r="H4949" s="83"/>
    </row>
    <row r="4950" spans="1:8" x14ac:dyDescent="0.3">
      <c r="A4950" s="82"/>
      <c r="B4950" s="81"/>
      <c r="H4950" s="83"/>
    </row>
    <row r="4951" spans="1:8" x14ac:dyDescent="0.3">
      <c r="A4951" s="82"/>
      <c r="B4951" s="81"/>
      <c r="H4951" s="83"/>
    </row>
    <row r="4952" spans="1:8" x14ac:dyDescent="0.3">
      <c r="A4952" s="82"/>
      <c r="B4952" s="81"/>
      <c r="H4952" s="83"/>
    </row>
    <row r="4953" spans="1:8" x14ac:dyDescent="0.3">
      <c r="A4953" s="82"/>
      <c r="B4953" s="81"/>
      <c r="H4953" s="83"/>
    </row>
    <row r="4954" spans="1:8" x14ac:dyDescent="0.3">
      <c r="A4954" s="82"/>
      <c r="B4954" s="81"/>
      <c r="H4954" s="83"/>
    </row>
    <row r="4955" spans="1:8" x14ac:dyDescent="0.3">
      <c r="A4955" s="82"/>
      <c r="B4955" s="81"/>
      <c r="H4955" s="83"/>
    </row>
    <row r="4956" spans="1:8" x14ac:dyDescent="0.3">
      <c r="A4956" s="82"/>
      <c r="B4956" s="81"/>
      <c r="H4956" s="83"/>
    </row>
    <row r="4957" spans="1:8" x14ac:dyDescent="0.3">
      <c r="A4957" s="82"/>
      <c r="B4957" s="81"/>
      <c r="H4957" s="83"/>
    </row>
    <row r="4958" spans="1:8" x14ac:dyDescent="0.3">
      <c r="A4958" s="82"/>
      <c r="B4958" s="81"/>
      <c r="H4958" s="83"/>
    </row>
    <row r="4959" spans="1:8" x14ac:dyDescent="0.3">
      <c r="A4959" s="82"/>
      <c r="B4959" s="81"/>
      <c r="H4959" s="83"/>
    </row>
    <row r="4960" spans="1:8" x14ac:dyDescent="0.3">
      <c r="A4960" s="82"/>
      <c r="B4960" s="81"/>
      <c r="H4960" s="83"/>
    </row>
    <row r="4961" spans="1:8" x14ac:dyDescent="0.3">
      <c r="A4961" s="82"/>
      <c r="B4961" s="81"/>
      <c r="H4961" s="83"/>
    </row>
    <row r="4962" spans="1:8" x14ac:dyDescent="0.3">
      <c r="A4962" s="82"/>
      <c r="B4962" s="81"/>
      <c r="H4962" s="83"/>
    </row>
    <row r="4963" spans="1:8" x14ac:dyDescent="0.3">
      <c r="A4963" s="82"/>
      <c r="B4963" s="81"/>
      <c r="H4963" s="83"/>
    </row>
    <row r="4964" spans="1:8" x14ac:dyDescent="0.3">
      <c r="A4964" s="82"/>
      <c r="B4964" s="81"/>
      <c r="H4964" s="83"/>
    </row>
    <row r="4965" spans="1:8" x14ac:dyDescent="0.3">
      <c r="A4965" s="82"/>
      <c r="B4965" s="81"/>
      <c r="H4965" s="83"/>
    </row>
    <row r="4966" spans="1:8" x14ac:dyDescent="0.3">
      <c r="A4966" s="82"/>
      <c r="B4966" s="81"/>
      <c r="H4966" s="83"/>
    </row>
    <row r="4967" spans="1:8" x14ac:dyDescent="0.3">
      <c r="A4967" s="82"/>
      <c r="B4967" s="81"/>
      <c r="H4967" s="83"/>
    </row>
    <row r="4968" spans="1:8" x14ac:dyDescent="0.3">
      <c r="A4968" s="82"/>
      <c r="B4968" s="81"/>
      <c r="H4968" s="83"/>
    </row>
    <row r="4969" spans="1:8" x14ac:dyDescent="0.3">
      <c r="A4969" s="82"/>
      <c r="B4969" s="81"/>
      <c r="H4969" s="83"/>
    </row>
    <row r="4970" spans="1:8" x14ac:dyDescent="0.3">
      <c r="A4970" s="82"/>
      <c r="B4970" s="81"/>
      <c r="H4970" s="83"/>
    </row>
    <row r="4971" spans="1:8" x14ac:dyDescent="0.3">
      <c r="A4971" s="82"/>
      <c r="B4971" s="81"/>
      <c r="H4971" s="83"/>
    </row>
    <row r="4972" spans="1:8" x14ac:dyDescent="0.3">
      <c r="A4972" s="82"/>
      <c r="B4972" s="81"/>
      <c r="H4972" s="83"/>
    </row>
    <row r="4973" spans="1:8" x14ac:dyDescent="0.3">
      <c r="A4973" s="82"/>
      <c r="B4973" s="81"/>
      <c r="H4973" s="83"/>
    </row>
    <row r="4974" spans="1:8" x14ac:dyDescent="0.3">
      <c r="A4974" s="82"/>
      <c r="B4974" s="81"/>
      <c r="H4974" s="83"/>
    </row>
    <row r="4975" spans="1:8" x14ac:dyDescent="0.3">
      <c r="A4975" s="82"/>
      <c r="B4975" s="81"/>
      <c r="H4975" s="83"/>
    </row>
    <row r="4976" spans="1:8" x14ac:dyDescent="0.3">
      <c r="A4976" s="82"/>
      <c r="B4976" s="81"/>
      <c r="H4976" s="83"/>
    </row>
    <row r="4977" spans="1:8" x14ac:dyDescent="0.3">
      <c r="A4977" s="82"/>
      <c r="B4977" s="81"/>
      <c r="H4977" s="83"/>
    </row>
    <row r="4978" spans="1:8" x14ac:dyDescent="0.3">
      <c r="A4978" s="82"/>
      <c r="B4978" s="81"/>
      <c r="H4978" s="83"/>
    </row>
    <row r="4979" spans="1:8" x14ac:dyDescent="0.3">
      <c r="A4979" s="82"/>
      <c r="B4979" s="81"/>
      <c r="H4979" s="83"/>
    </row>
    <row r="4980" spans="1:8" x14ac:dyDescent="0.3">
      <c r="A4980" s="82"/>
      <c r="B4980" s="81"/>
      <c r="H4980" s="83"/>
    </row>
    <row r="4981" spans="1:8" x14ac:dyDescent="0.3">
      <c r="A4981" s="82"/>
      <c r="B4981" s="81"/>
      <c r="H4981" s="83"/>
    </row>
    <row r="4982" spans="1:8" x14ac:dyDescent="0.3">
      <c r="A4982" s="82"/>
      <c r="B4982" s="81"/>
      <c r="H4982" s="83"/>
    </row>
    <row r="4983" spans="1:8" x14ac:dyDescent="0.3">
      <c r="A4983" s="82"/>
      <c r="B4983" s="81"/>
      <c r="H4983" s="83"/>
    </row>
    <row r="4984" spans="1:8" x14ac:dyDescent="0.3">
      <c r="A4984" s="82"/>
      <c r="B4984" s="81"/>
      <c r="H4984" s="83"/>
    </row>
    <row r="4985" spans="1:8" x14ac:dyDescent="0.3">
      <c r="A4985" s="82"/>
      <c r="B4985" s="81"/>
      <c r="H4985" s="83"/>
    </row>
    <row r="4986" spans="1:8" x14ac:dyDescent="0.3">
      <c r="A4986" s="82"/>
      <c r="B4986" s="81"/>
      <c r="H4986" s="83"/>
    </row>
    <row r="4987" spans="1:8" x14ac:dyDescent="0.3">
      <c r="A4987" s="82"/>
      <c r="B4987" s="81"/>
      <c r="H4987" s="83"/>
    </row>
    <row r="4988" spans="1:8" x14ac:dyDescent="0.3">
      <c r="A4988" s="82"/>
      <c r="B4988" s="81"/>
      <c r="H4988" s="83"/>
    </row>
    <row r="4989" spans="1:8" x14ac:dyDescent="0.3">
      <c r="A4989" s="82"/>
      <c r="B4989" s="81"/>
      <c r="H4989" s="83"/>
    </row>
    <row r="4990" spans="1:8" x14ac:dyDescent="0.3">
      <c r="A4990" s="82"/>
      <c r="B4990" s="81"/>
      <c r="H4990" s="83"/>
    </row>
    <row r="4991" spans="1:8" x14ac:dyDescent="0.3">
      <c r="A4991" s="82"/>
      <c r="B4991" s="81"/>
      <c r="H4991" s="83"/>
    </row>
    <row r="4992" spans="1:8" x14ac:dyDescent="0.3">
      <c r="A4992" s="82"/>
      <c r="B4992" s="81"/>
      <c r="H4992" s="83"/>
    </row>
    <row r="4993" spans="1:8" x14ac:dyDescent="0.3">
      <c r="A4993" s="82"/>
      <c r="B4993" s="81"/>
      <c r="H4993" s="83"/>
    </row>
    <row r="4994" spans="1:8" x14ac:dyDescent="0.3">
      <c r="A4994" s="82"/>
      <c r="B4994" s="81"/>
      <c r="H4994" s="83"/>
    </row>
    <row r="4995" spans="1:8" x14ac:dyDescent="0.3">
      <c r="A4995" s="82"/>
      <c r="B4995" s="81"/>
      <c r="H4995" s="83"/>
    </row>
    <row r="4996" spans="1:8" x14ac:dyDescent="0.3">
      <c r="A4996" s="82"/>
      <c r="B4996" s="81"/>
      <c r="H4996" s="83"/>
    </row>
    <row r="4997" spans="1:8" x14ac:dyDescent="0.3">
      <c r="A4997" s="82"/>
      <c r="B4997" s="81"/>
      <c r="H4997" s="83"/>
    </row>
    <row r="4998" spans="1:8" x14ac:dyDescent="0.3">
      <c r="A4998" s="82"/>
      <c r="B4998" s="81"/>
      <c r="H4998" s="83"/>
    </row>
    <row r="4999" spans="1:8" x14ac:dyDescent="0.3">
      <c r="A4999" s="82"/>
      <c r="B4999" s="81"/>
      <c r="H4999" s="83"/>
    </row>
    <row r="5000" spans="1:8" x14ac:dyDescent="0.3">
      <c r="A5000" s="82"/>
      <c r="B5000" s="81"/>
      <c r="H5000" s="83"/>
    </row>
    <row r="5001" spans="1:8" x14ac:dyDescent="0.3">
      <c r="A5001" s="82"/>
      <c r="B5001" s="81"/>
      <c r="H5001" s="83"/>
    </row>
    <row r="5002" spans="1:8" x14ac:dyDescent="0.3">
      <c r="A5002" s="82"/>
      <c r="B5002" s="81"/>
      <c r="H5002" s="83"/>
    </row>
    <row r="5003" spans="1:8" x14ac:dyDescent="0.3">
      <c r="A5003" s="82"/>
      <c r="B5003" s="81"/>
      <c r="H5003" s="83"/>
    </row>
  </sheetData>
  <sheetProtection algorithmName="SHA-512" hashValue="c72CL+GiqwLJHMU4VR5YwDmr+y087DD/w95X4Za571HjpETKK9GAt/FZqA7RyWV1MAOiPDR4PiIKRsJ9H5PQKQ==" saltValue="GJHu/54QV/mtnW5w7Q+5mQ==" spinCount="100000" sheet="1" scenarios="1"/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C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  <col min="21" max="21" width="7.6640625" customWidth="1"/>
    <col min="22" max="22" width="12.6640625" customWidth="1"/>
    <col min="23" max="23" width="14.6640625" customWidth="1"/>
    <col min="24" max="24" width="16.6640625" customWidth="1"/>
    <col min="25" max="25" width="12.6640625" customWidth="1"/>
    <col min="26" max="26" width="11.6640625" customWidth="1"/>
  </cols>
  <sheetData>
    <row r="1" spans="1:29" ht="34.200000000000003" customHeight="1" x14ac:dyDescent="0.4">
      <c r="A1" s="171" t="s">
        <v>356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25"/>
      <c r="AC1" s="125"/>
    </row>
    <row r="2" spans="1:29" ht="19.95" customHeight="1" x14ac:dyDescent="0.3">
      <c r="A2" s="172"/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</row>
    <row r="3" spans="1:29" ht="24" customHeight="1" x14ac:dyDescent="0.3">
      <c r="A3" s="71" t="s">
        <v>353</v>
      </c>
      <c r="B3" s="71" t="s">
        <v>173</v>
      </c>
      <c r="C3" s="71" t="s">
        <v>153</v>
      </c>
      <c r="D3" s="71" t="s">
        <v>88</v>
      </c>
      <c r="E3" s="71" t="s">
        <v>354</v>
      </c>
      <c r="F3" s="71" t="s">
        <v>264</v>
      </c>
      <c r="K3" s="71" t="s">
        <v>353</v>
      </c>
      <c r="L3" s="71" t="s">
        <v>173</v>
      </c>
      <c r="M3" s="71" t="s">
        <v>153</v>
      </c>
      <c r="N3" s="71" t="s">
        <v>88</v>
      </c>
      <c r="O3" s="71" t="s">
        <v>354</v>
      </c>
      <c r="P3" s="71" t="s">
        <v>264</v>
      </c>
      <c r="U3" s="71" t="s">
        <v>353</v>
      </c>
      <c r="V3" s="71" t="s">
        <v>173</v>
      </c>
      <c r="W3" s="71" t="s">
        <v>153</v>
      </c>
      <c r="X3" s="71" t="s">
        <v>88</v>
      </c>
      <c r="Y3" s="71" t="s">
        <v>354</v>
      </c>
      <c r="Z3" s="71" t="s">
        <v>264</v>
      </c>
    </row>
    <row r="4" spans="1:29" x14ac:dyDescent="0.3">
      <c r="A4" s="72">
        <v>1</v>
      </c>
      <c r="B4" s="73">
        <v>45663</v>
      </c>
      <c r="C4" s="70" t="s">
        <v>178</v>
      </c>
      <c r="D4" s="74" t="s">
        <v>122</v>
      </c>
      <c r="E4" s="75">
        <v>3.0038999999999998</v>
      </c>
      <c r="F4" s="75" t="s">
        <v>352</v>
      </c>
      <c r="K4" s="72">
        <v>1</v>
      </c>
      <c r="L4" s="73">
        <v>45663</v>
      </c>
      <c r="M4" s="70" t="s">
        <v>179</v>
      </c>
      <c r="N4" s="74" t="s">
        <v>122</v>
      </c>
      <c r="O4" s="75">
        <v>6.7881</v>
      </c>
      <c r="P4" s="75" t="s">
        <v>352</v>
      </c>
      <c r="U4" s="72">
        <v>1</v>
      </c>
      <c r="V4" s="73">
        <v>45663</v>
      </c>
      <c r="W4" s="70" t="s">
        <v>180</v>
      </c>
      <c r="X4" s="74" t="s">
        <v>122</v>
      </c>
      <c r="Y4" s="75">
        <v>16.652799999999999</v>
      </c>
      <c r="Z4" s="75" t="s">
        <v>352</v>
      </c>
    </row>
    <row r="5" spans="1:29" x14ac:dyDescent="0.3">
      <c r="A5" s="72">
        <v>2</v>
      </c>
      <c r="B5" s="73">
        <v>45670</v>
      </c>
      <c r="C5" s="70" t="s">
        <v>178</v>
      </c>
      <c r="D5" s="74" t="s">
        <v>122</v>
      </c>
      <c r="E5" s="75">
        <v>3.0196000000000001</v>
      </c>
      <c r="F5" s="75" t="s">
        <v>352</v>
      </c>
      <c r="K5" s="72">
        <v>2</v>
      </c>
      <c r="L5" s="73">
        <v>45670</v>
      </c>
      <c r="M5" s="70" t="s">
        <v>179</v>
      </c>
      <c r="N5" s="74" t="s">
        <v>122</v>
      </c>
      <c r="O5" s="75">
        <v>6.5757000000000003</v>
      </c>
      <c r="P5" s="75" t="s">
        <v>352</v>
      </c>
      <c r="U5" s="72">
        <v>2</v>
      </c>
      <c r="V5" s="73">
        <v>45670</v>
      </c>
      <c r="W5" s="70" t="s">
        <v>180</v>
      </c>
      <c r="X5" s="74" t="s">
        <v>122</v>
      </c>
      <c r="Y5" s="75">
        <v>16.320799999999998</v>
      </c>
      <c r="Z5" s="75" t="s">
        <v>352</v>
      </c>
    </row>
    <row r="6" spans="1:29" x14ac:dyDescent="0.3">
      <c r="A6" s="72">
        <v>3</v>
      </c>
      <c r="B6" s="73">
        <v>45677</v>
      </c>
      <c r="C6" s="70" t="s">
        <v>178</v>
      </c>
      <c r="D6" s="74" t="s">
        <v>122</v>
      </c>
      <c r="E6" s="75">
        <v>2.9893000000000001</v>
      </c>
      <c r="F6" s="75" t="s">
        <v>352</v>
      </c>
      <c r="K6" s="72">
        <v>3</v>
      </c>
      <c r="L6" s="73">
        <v>45677</v>
      </c>
      <c r="M6" s="70" t="s">
        <v>179</v>
      </c>
      <c r="N6" s="74" t="s">
        <v>122</v>
      </c>
      <c r="O6" s="75">
        <v>6.7561</v>
      </c>
      <c r="P6" s="75" t="s">
        <v>352</v>
      </c>
      <c r="U6" s="72">
        <v>3</v>
      </c>
      <c r="V6" s="73">
        <v>45677</v>
      </c>
      <c r="W6" s="70" t="s">
        <v>180</v>
      </c>
      <c r="X6" s="74" t="s">
        <v>122</v>
      </c>
      <c r="Y6" s="75">
        <v>16.5364</v>
      </c>
      <c r="Z6" s="75" t="s">
        <v>352</v>
      </c>
    </row>
    <row r="7" spans="1:29" x14ac:dyDescent="0.3">
      <c r="A7" s="72">
        <v>4</v>
      </c>
      <c r="B7" s="73">
        <v>45684</v>
      </c>
      <c r="C7" s="70" t="s">
        <v>178</v>
      </c>
      <c r="D7" s="74" t="s">
        <v>122</v>
      </c>
      <c r="E7" s="75">
        <v>2.9567000000000001</v>
      </c>
      <c r="F7" s="75" t="s">
        <v>352</v>
      </c>
      <c r="K7" s="72">
        <v>4</v>
      </c>
      <c r="L7" s="73">
        <v>45684</v>
      </c>
      <c r="M7" s="70" t="s">
        <v>179</v>
      </c>
      <c r="N7" s="74" t="s">
        <v>122</v>
      </c>
      <c r="O7" s="75">
        <v>6.8007999999999997</v>
      </c>
      <c r="P7" s="75" t="s">
        <v>352</v>
      </c>
      <c r="U7" s="72">
        <v>4</v>
      </c>
      <c r="V7" s="73">
        <v>45684</v>
      </c>
      <c r="W7" s="70" t="s">
        <v>180</v>
      </c>
      <c r="X7" s="74" t="s">
        <v>122</v>
      </c>
      <c r="Y7" s="75">
        <v>16.621400000000001</v>
      </c>
      <c r="Z7" s="75" t="s">
        <v>352</v>
      </c>
    </row>
    <row r="8" spans="1:29" x14ac:dyDescent="0.3">
      <c r="A8" s="72">
        <v>5</v>
      </c>
      <c r="B8" s="73">
        <v>45691</v>
      </c>
      <c r="C8" s="70" t="s">
        <v>178</v>
      </c>
      <c r="D8" s="74" t="s">
        <v>122</v>
      </c>
      <c r="E8" s="75">
        <v>2.9798</v>
      </c>
      <c r="F8" s="75" t="s">
        <v>352</v>
      </c>
      <c r="K8" s="72">
        <v>5</v>
      </c>
      <c r="L8" s="73">
        <v>45691</v>
      </c>
      <c r="M8" s="70" t="s">
        <v>179</v>
      </c>
      <c r="N8" s="74" t="s">
        <v>122</v>
      </c>
      <c r="O8" s="75">
        <v>6.8429000000000002</v>
      </c>
      <c r="P8" s="75" t="s">
        <v>352</v>
      </c>
      <c r="U8" s="72">
        <v>5</v>
      </c>
      <c r="V8" s="73">
        <v>45691</v>
      </c>
      <c r="W8" s="70" t="s">
        <v>180</v>
      </c>
      <c r="X8" s="74" t="s">
        <v>122</v>
      </c>
      <c r="Y8" s="75">
        <v>16.491800000000001</v>
      </c>
      <c r="Z8" s="75" t="s">
        <v>352</v>
      </c>
    </row>
    <row r="9" spans="1:29" x14ac:dyDescent="0.3">
      <c r="A9" s="72">
        <v>6</v>
      </c>
      <c r="B9" s="73">
        <v>45698</v>
      </c>
      <c r="C9" s="70" t="s">
        <v>178</v>
      </c>
      <c r="D9" s="74" t="s">
        <v>122</v>
      </c>
      <c r="E9" s="75">
        <v>2.9514</v>
      </c>
      <c r="F9" s="75" t="s">
        <v>352</v>
      </c>
      <c r="K9" s="72">
        <v>6</v>
      </c>
      <c r="L9" s="73">
        <v>45698</v>
      </c>
      <c r="M9" s="70" t="s">
        <v>179</v>
      </c>
      <c r="N9" s="74" t="s">
        <v>122</v>
      </c>
      <c r="O9" s="75">
        <v>6.9720000000000004</v>
      </c>
      <c r="P9" s="75" t="s">
        <v>352</v>
      </c>
      <c r="U9" s="72">
        <v>6</v>
      </c>
      <c r="V9" s="73">
        <v>45698</v>
      </c>
      <c r="W9" s="70" t="s">
        <v>180</v>
      </c>
      <c r="X9" s="74" t="s">
        <v>122</v>
      </c>
      <c r="Y9" s="75">
        <v>16.639399999999998</v>
      </c>
      <c r="Z9" s="75" t="s">
        <v>352</v>
      </c>
    </row>
    <row r="10" spans="1:29" x14ac:dyDescent="0.3">
      <c r="A10" s="72">
        <v>7</v>
      </c>
      <c r="B10" s="73">
        <v>45705</v>
      </c>
      <c r="C10" s="70" t="s">
        <v>178</v>
      </c>
      <c r="D10" s="74" t="s">
        <v>122</v>
      </c>
      <c r="E10" s="75">
        <v>3.0070000000000001</v>
      </c>
      <c r="F10" s="75" t="s">
        <v>352</v>
      </c>
      <c r="K10" s="72">
        <v>7</v>
      </c>
      <c r="L10" s="73">
        <v>45705</v>
      </c>
      <c r="M10" s="70" t="s">
        <v>179</v>
      </c>
      <c r="N10" s="74" t="s">
        <v>122</v>
      </c>
      <c r="O10" s="75">
        <v>6.8761000000000001</v>
      </c>
      <c r="P10" s="75" t="s">
        <v>352</v>
      </c>
      <c r="U10" s="72">
        <v>7</v>
      </c>
      <c r="V10" s="73">
        <v>45705</v>
      </c>
      <c r="W10" s="70" t="s">
        <v>180</v>
      </c>
      <c r="X10" s="74" t="s">
        <v>122</v>
      </c>
      <c r="Y10" s="75">
        <v>16.512499999999999</v>
      </c>
      <c r="Z10" s="75" t="s">
        <v>352</v>
      </c>
    </row>
    <row r="11" spans="1:29" x14ac:dyDescent="0.3">
      <c r="A11" s="72">
        <v>8</v>
      </c>
      <c r="B11" s="73">
        <v>45712</v>
      </c>
      <c r="C11" s="70" t="s">
        <v>178</v>
      </c>
      <c r="D11" s="74" t="s">
        <v>122</v>
      </c>
      <c r="E11" s="75">
        <v>3.0747</v>
      </c>
      <c r="F11" s="75" t="s">
        <v>352</v>
      </c>
      <c r="K11" s="72">
        <v>8</v>
      </c>
      <c r="L11" s="73">
        <v>45712</v>
      </c>
      <c r="M11" s="70" t="s">
        <v>179</v>
      </c>
      <c r="N11" s="74" t="s">
        <v>122</v>
      </c>
      <c r="O11" s="75">
        <v>6.9217000000000004</v>
      </c>
      <c r="P11" s="75" t="s">
        <v>352</v>
      </c>
      <c r="U11" s="72">
        <v>8</v>
      </c>
      <c r="V11" s="73">
        <v>45712</v>
      </c>
      <c r="W11" s="70" t="s">
        <v>180</v>
      </c>
      <c r="X11" s="74" t="s">
        <v>122</v>
      </c>
      <c r="Y11" s="75">
        <v>16.636700000000001</v>
      </c>
      <c r="Z11" s="75" t="s">
        <v>352</v>
      </c>
    </row>
    <row r="12" spans="1:29" x14ac:dyDescent="0.3">
      <c r="A12" s="72">
        <v>9</v>
      </c>
      <c r="B12" s="73">
        <v>45719</v>
      </c>
      <c r="C12" s="70" t="s">
        <v>178</v>
      </c>
      <c r="D12" s="74" t="s">
        <v>122</v>
      </c>
      <c r="E12" s="75">
        <v>2.9777999999999998</v>
      </c>
      <c r="F12" s="75" t="s">
        <v>352</v>
      </c>
      <c r="K12" s="72">
        <v>9</v>
      </c>
      <c r="L12" s="73">
        <v>45719</v>
      </c>
      <c r="M12" s="70" t="s">
        <v>179</v>
      </c>
      <c r="N12" s="74" t="s">
        <v>122</v>
      </c>
      <c r="O12" s="75">
        <v>6.9062999999999999</v>
      </c>
      <c r="P12" s="75" t="s">
        <v>352</v>
      </c>
      <c r="U12" s="72">
        <v>9</v>
      </c>
      <c r="V12" s="73">
        <v>45719</v>
      </c>
      <c r="W12" s="70" t="s">
        <v>180</v>
      </c>
      <c r="X12" s="74" t="s">
        <v>122</v>
      </c>
      <c r="Y12" s="75">
        <v>16.767299999999999</v>
      </c>
      <c r="Z12" s="75" t="s">
        <v>352</v>
      </c>
    </row>
    <row r="13" spans="1:29" x14ac:dyDescent="0.3">
      <c r="A13" s="72">
        <v>10</v>
      </c>
      <c r="B13" s="73">
        <v>45726</v>
      </c>
      <c r="C13" s="70" t="s">
        <v>178</v>
      </c>
      <c r="D13" s="74" t="s">
        <v>122</v>
      </c>
      <c r="E13" s="75">
        <v>2.9710000000000001</v>
      </c>
      <c r="F13" s="75" t="s">
        <v>352</v>
      </c>
      <c r="K13" s="72">
        <v>10</v>
      </c>
      <c r="L13" s="73">
        <v>45726</v>
      </c>
      <c r="M13" s="70" t="s">
        <v>179</v>
      </c>
      <c r="N13" s="74" t="s">
        <v>122</v>
      </c>
      <c r="O13" s="75">
        <v>6.9291999999999998</v>
      </c>
      <c r="P13" s="75" t="s">
        <v>352</v>
      </c>
      <c r="U13" s="72">
        <v>10</v>
      </c>
      <c r="V13" s="73">
        <v>45726</v>
      </c>
      <c r="W13" s="70" t="s">
        <v>180</v>
      </c>
      <c r="X13" s="74" t="s">
        <v>122</v>
      </c>
      <c r="Y13" s="75">
        <v>16.409400000000002</v>
      </c>
      <c r="Z13" s="75" t="s">
        <v>352</v>
      </c>
    </row>
    <row r="14" spans="1:29" x14ac:dyDescent="0.3">
      <c r="A14" s="72">
        <v>11</v>
      </c>
      <c r="B14" s="73">
        <v>45733</v>
      </c>
      <c r="C14" s="70" t="s">
        <v>178</v>
      </c>
      <c r="D14" s="74" t="s">
        <v>122</v>
      </c>
      <c r="E14" s="75">
        <v>3.0297000000000001</v>
      </c>
      <c r="F14" s="75" t="s">
        <v>352</v>
      </c>
      <c r="K14" s="72">
        <v>11</v>
      </c>
      <c r="L14" s="73">
        <v>45733</v>
      </c>
      <c r="M14" s="70" t="s">
        <v>179</v>
      </c>
      <c r="N14" s="74" t="s">
        <v>122</v>
      </c>
      <c r="O14" s="75">
        <v>6.7316000000000003</v>
      </c>
      <c r="P14" s="75" t="s">
        <v>352</v>
      </c>
      <c r="U14" s="72">
        <v>11</v>
      </c>
      <c r="V14" s="73">
        <v>45733</v>
      </c>
      <c r="W14" s="70" t="s">
        <v>180</v>
      </c>
      <c r="X14" s="74" t="s">
        <v>122</v>
      </c>
      <c r="Y14" s="75">
        <v>16.558199999999999</v>
      </c>
      <c r="Z14" s="75" t="s">
        <v>352</v>
      </c>
    </row>
    <row r="15" spans="1:29" x14ac:dyDescent="0.3">
      <c r="A15" s="72">
        <v>12</v>
      </c>
      <c r="B15" s="73">
        <v>45740</v>
      </c>
      <c r="C15" s="70" t="s">
        <v>178</v>
      </c>
      <c r="D15" s="74" t="s">
        <v>122</v>
      </c>
      <c r="E15" s="75">
        <v>3.0226999999999999</v>
      </c>
      <c r="F15" s="75" t="s">
        <v>352</v>
      </c>
      <c r="K15" s="72">
        <v>12</v>
      </c>
      <c r="L15" s="73">
        <v>45740</v>
      </c>
      <c r="M15" s="70" t="s">
        <v>179</v>
      </c>
      <c r="N15" s="74" t="s">
        <v>122</v>
      </c>
      <c r="O15" s="75">
        <v>6.8022</v>
      </c>
      <c r="P15" s="75" t="s">
        <v>352</v>
      </c>
      <c r="U15" s="72">
        <v>12</v>
      </c>
      <c r="V15" s="73">
        <v>45740</v>
      </c>
      <c r="W15" s="70" t="s">
        <v>180</v>
      </c>
      <c r="X15" s="74" t="s">
        <v>122</v>
      </c>
      <c r="Y15" s="75">
        <v>16.445399999999999</v>
      </c>
      <c r="Z15" s="75" t="s">
        <v>352</v>
      </c>
    </row>
    <row r="16" spans="1:29" x14ac:dyDescent="0.3">
      <c r="A16" s="72">
        <v>13</v>
      </c>
      <c r="B16" s="73">
        <v>45747</v>
      </c>
      <c r="C16" s="70" t="s">
        <v>178</v>
      </c>
      <c r="D16" s="74" t="s">
        <v>122</v>
      </c>
      <c r="E16" s="75">
        <v>3.0093999999999999</v>
      </c>
      <c r="F16" s="75" t="s">
        <v>352</v>
      </c>
      <c r="K16" s="72">
        <v>13</v>
      </c>
      <c r="L16" s="73">
        <v>45747</v>
      </c>
      <c r="M16" s="70" t="s">
        <v>179</v>
      </c>
      <c r="N16" s="74" t="s">
        <v>122</v>
      </c>
      <c r="O16" s="75">
        <v>6.8857999999999997</v>
      </c>
      <c r="P16" s="75" t="s">
        <v>352</v>
      </c>
      <c r="U16" s="72">
        <v>13</v>
      </c>
      <c r="V16" s="73">
        <v>45747</v>
      </c>
      <c r="W16" s="70" t="s">
        <v>180</v>
      </c>
      <c r="X16" s="74" t="s">
        <v>122</v>
      </c>
      <c r="Y16" s="75">
        <v>16.545300000000001</v>
      </c>
      <c r="Z16" s="75" t="s">
        <v>352</v>
      </c>
    </row>
    <row r="17" spans="1:26" x14ac:dyDescent="0.3">
      <c r="A17" s="72">
        <v>14</v>
      </c>
      <c r="B17" s="73">
        <v>45754</v>
      </c>
      <c r="C17" s="70" t="s">
        <v>178</v>
      </c>
      <c r="D17" s="74" t="s">
        <v>122</v>
      </c>
      <c r="E17" s="75">
        <v>2.9546000000000001</v>
      </c>
      <c r="F17" s="75" t="s">
        <v>352</v>
      </c>
      <c r="K17" s="72">
        <v>14</v>
      </c>
      <c r="L17" s="73">
        <v>45754</v>
      </c>
      <c r="M17" s="70" t="s">
        <v>179</v>
      </c>
      <c r="N17" s="74" t="s">
        <v>122</v>
      </c>
      <c r="O17" s="75">
        <v>6.7519999999999998</v>
      </c>
      <c r="P17" s="75" t="s">
        <v>352</v>
      </c>
      <c r="U17" s="72">
        <v>14</v>
      </c>
      <c r="V17" s="73">
        <v>45754</v>
      </c>
      <c r="W17" s="70" t="s">
        <v>180</v>
      </c>
      <c r="X17" s="74" t="s">
        <v>122</v>
      </c>
      <c r="Y17" s="75">
        <v>16.322900000000001</v>
      </c>
      <c r="Z17" s="75" t="s">
        <v>352</v>
      </c>
    </row>
    <row r="18" spans="1:26" x14ac:dyDescent="0.3">
      <c r="A18" s="72">
        <v>15</v>
      </c>
      <c r="B18" s="73">
        <v>45761</v>
      </c>
      <c r="C18" s="70" t="s">
        <v>178</v>
      </c>
      <c r="D18" s="74" t="s">
        <v>122</v>
      </c>
      <c r="E18" s="75">
        <v>3.1254</v>
      </c>
      <c r="F18" s="75" t="s">
        <v>352</v>
      </c>
      <c r="K18" s="72">
        <v>15</v>
      </c>
      <c r="L18" s="73">
        <v>45761</v>
      </c>
      <c r="M18" s="70" t="s">
        <v>179</v>
      </c>
      <c r="N18" s="74" t="s">
        <v>122</v>
      </c>
      <c r="O18" s="75">
        <v>7.0148999999999999</v>
      </c>
      <c r="P18" s="75" t="s">
        <v>352</v>
      </c>
      <c r="U18" s="72">
        <v>15</v>
      </c>
      <c r="V18" s="73">
        <v>45761</v>
      </c>
      <c r="W18" s="70" t="s">
        <v>180</v>
      </c>
      <c r="X18" s="74" t="s">
        <v>122</v>
      </c>
      <c r="Y18" s="75">
        <v>16.425699999999999</v>
      </c>
      <c r="Z18" s="75" t="s">
        <v>352</v>
      </c>
    </row>
    <row r="19" spans="1:26" x14ac:dyDescent="0.3">
      <c r="A19" s="72">
        <v>16</v>
      </c>
      <c r="B19" s="73">
        <v>45768</v>
      </c>
      <c r="C19" s="70" t="s">
        <v>178</v>
      </c>
      <c r="D19" s="74" t="s">
        <v>122</v>
      </c>
      <c r="E19" s="75">
        <v>3.0406</v>
      </c>
      <c r="F19" s="75" t="s">
        <v>352</v>
      </c>
      <c r="K19" s="72">
        <v>16</v>
      </c>
      <c r="L19" s="73">
        <v>45768</v>
      </c>
      <c r="M19" s="70" t="s">
        <v>179</v>
      </c>
      <c r="N19" s="74" t="s">
        <v>122</v>
      </c>
      <c r="O19" s="75">
        <v>6.8151999999999999</v>
      </c>
      <c r="P19" s="75" t="s">
        <v>352</v>
      </c>
      <c r="U19" s="72">
        <v>16</v>
      </c>
      <c r="V19" s="73">
        <v>45768</v>
      </c>
      <c r="W19" s="70" t="s">
        <v>180</v>
      </c>
      <c r="X19" s="74" t="s">
        <v>122</v>
      </c>
      <c r="Y19" s="75">
        <v>16.490600000000001</v>
      </c>
      <c r="Z19" s="75" t="s">
        <v>352</v>
      </c>
    </row>
    <row r="20" spans="1:26" x14ac:dyDescent="0.3">
      <c r="A20" s="72">
        <v>17</v>
      </c>
      <c r="B20" s="73">
        <v>45775</v>
      </c>
      <c r="C20" s="70" t="s">
        <v>178</v>
      </c>
      <c r="D20" s="74" t="s">
        <v>122</v>
      </c>
      <c r="E20" s="75">
        <v>2.9327000000000001</v>
      </c>
      <c r="F20" s="75" t="s">
        <v>352</v>
      </c>
      <c r="K20" s="72">
        <v>17</v>
      </c>
      <c r="L20" s="73">
        <v>45775</v>
      </c>
      <c r="M20" s="70" t="s">
        <v>179</v>
      </c>
      <c r="N20" s="74" t="s">
        <v>122</v>
      </c>
      <c r="O20" s="75">
        <v>6.8109999999999999</v>
      </c>
      <c r="P20" s="75" t="s">
        <v>352</v>
      </c>
      <c r="U20" s="72">
        <v>17</v>
      </c>
      <c r="V20" s="73">
        <v>45775</v>
      </c>
      <c r="W20" s="70" t="s">
        <v>180</v>
      </c>
      <c r="X20" s="74" t="s">
        <v>122</v>
      </c>
      <c r="Y20" s="75">
        <v>16.675899999999999</v>
      </c>
      <c r="Z20" s="75" t="s">
        <v>352</v>
      </c>
    </row>
    <row r="21" spans="1:26" x14ac:dyDescent="0.3">
      <c r="A21" s="72">
        <v>18</v>
      </c>
      <c r="B21" s="73">
        <v>45782</v>
      </c>
      <c r="C21" s="70" t="s">
        <v>178</v>
      </c>
      <c r="D21" s="74" t="s">
        <v>122</v>
      </c>
      <c r="E21" s="75">
        <v>3.1307</v>
      </c>
      <c r="F21" s="75" t="s">
        <v>352</v>
      </c>
      <c r="K21" s="72">
        <v>18</v>
      </c>
      <c r="L21" s="73">
        <v>45782</v>
      </c>
      <c r="M21" s="70" t="s">
        <v>179</v>
      </c>
      <c r="N21" s="74" t="s">
        <v>122</v>
      </c>
      <c r="O21" s="75">
        <v>6.5864000000000003</v>
      </c>
      <c r="P21" s="75" t="s">
        <v>352</v>
      </c>
      <c r="U21" s="72">
        <v>18</v>
      </c>
      <c r="V21" s="73">
        <v>45782</v>
      </c>
      <c r="W21" s="70" t="s">
        <v>180</v>
      </c>
      <c r="X21" s="74" t="s">
        <v>122</v>
      </c>
      <c r="Y21" s="75">
        <v>16.717600000000001</v>
      </c>
      <c r="Z21" s="75" t="s">
        <v>352</v>
      </c>
    </row>
    <row r="22" spans="1:26" x14ac:dyDescent="0.3">
      <c r="A22" s="72">
        <v>19</v>
      </c>
      <c r="B22" s="73">
        <v>45789</v>
      </c>
      <c r="C22" s="70" t="s">
        <v>178</v>
      </c>
      <c r="D22" s="74" t="s">
        <v>122</v>
      </c>
      <c r="E22" s="75">
        <v>2.9033000000000002</v>
      </c>
      <c r="F22" s="75" t="s">
        <v>352</v>
      </c>
      <c r="K22" s="72">
        <v>19</v>
      </c>
      <c r="L22" s="73">
        <v>45789</v>
      </c>
      <c r="M22" s="70" t="s">
        <v>179</v>
      </c>
      <c r="N22" s="74" t="s">
        <v>122</v>
      </c>
      <c r="O22" s="75">
        <v>6.8121</v>
      </c>
      <c r="P22" s="75" t="s">
        <v>352</v>
      </c>
      <c r="U22" s="72">
        <v>19</v>
      </c>
      <c r="V22" s="73">
        <v>45789</v>
      </c>
      <c r="W22" s="70" t="s">
        <v>180</v>
      </c>
      <c r="X22" s="74" t="s">
        <v>122</v>
      </c>
      <c r="Y22" s="75">
        <v>16.299800000000001</v>
      </c>
      <c r="Z22" s="75" t="s">
        <v>352</v>
      </c>
    </row>
    <row r="23" spans="1:26" x14ac:dyDescent="0.3">
      <c r="A23" s="72">
        <v>20</v>
      </c>
      <c r="B23" s="73">
        <v>45796</v>
      </c>
      <c r="C23" s="70" t="s">
        <v>178</v>
      </c>
      <c r="D23" s="74" t="s">
        <v>122</v>
      </c>
      <c r="E23" s="75">
        <v>3.1941000000000002</v>
      </c>
      <c r="F23" s="75" t="s">
        <v>352</v>
      </c>
      <c r="K23" s="72">
        <v>20</v>
      </c>
      <c r="L23" s="73">
        <v>45796</v>
      </c>
      <c r="M23" s="70" t="s">
        <v>179</v>
      </c>
      <c r="N23" s="74" t="s">
        <v>122</v>
      </c>
      <c r="O23" s="75">
        <v>6.9291</v>
      </c>
      <c r="P23" s="75" t="s">
        <v>352</v>
      </c>
      <c r="U23" s="72">
        <v>20</v>
      </c>
      <c r="V23" s="73">
        <v>45796</v>
      </c>
      <c r="W23" s="70" t="s">
        <v>180</v>
      </c>
      <c r="X23" s="74" t="s">
        <v>122</v>
      </c>
      <c r="Y23" s="75">
        <v>16.389299999999999</v>
      </c>
      <c r="Z23" s="75" t="s">
        <v>352</v>
      </c>
    </row>
    <row r="24" spans="1:26" x14ac:dyDescent="0.3">
      <c r="A24" s="72">
        <v>21</v>
      </c>
      <c r="B24" s="73">
        <v>45803</v>
      </c>
      <c r="C24" s="70" t="s">
        <v>178</v>
      </c>
      <c r="D24" s="74" t="s">
        <v>122</v>
      </c>
      <c r="E24" s="75">
        <v>2.9064000000000001</v>
      </c>
      <c r="F24" s="75" t="s">
        <v>352</v>
      </c>
      <c r="K24" s="72">
        <v>21</v>
      </c>
      <c r="L24" s="73">
        <v>45803</v>
      </c>
      <c r="M24" s="70" t="s">
        <v>179</v>
      </c>
      <c r="N24" s="74" t="s">
        <v>122</v>
      </c>
      <c r="O24" s="75">
        <v>6.6641000000000004</v>
      </c>
      <c r="P24" s="75" t="s">
        <v>352</v>
      </c>
      <c r="U24" s="72">
        <v>21</v>
      </c>
      <c r="V24" s="73">
        <v>45803</v>
      </c>
      <c r="W24" s="70" t="s">
        <v>180</v>
      </c>
      <c r="X24" s="74" t="s">
        <v>122</v>
      </c>
      <c r="Y24" s="75">
        <v>16.633299999999998</v>
      </c>
      <c r="Z24" s="75" t="s">
        <v>352</v>
      </c>
    </row>
    <row r="25" spans="1:26" x14ac:dyDescent="0.3">
      <c r="A25" s="72">
        <v>22</v>
      </c>
      <c r="B25" s="73">
        <v>45810</v>
      </c>
      <c r="C25" s="70" t="s">
        <v>178</v>
      </c>
      <c r="D25" s="74" t="s">
        <v>122</v>
      </c>
      <c r="E25" s="75">
        <v>2.9914000000000001</v>
      </c>
      <c r="F25" s="75" t="s">
        <v>352</v>
      </c>
      <c r="K25" s="72">
        <v>22</v>
      </c>
      <c r="L25" s="73">
        <v>45810</v>
      </c>
      <c r="M25" s="70" t="s">
        <v>179</v>
      </c>
      <c r="N25" s="74" t="s">
        <v>122</v>
      </c>
      <c r="O25" s="75">
        <v>6.8834999999999997</v>
      </c>
      <c r="P25" s="75" t="s">
        <v>352</v>
      </c>
      <c r="U25" s="72">
        <v>22</v>
      </c>
      <c r="V25" s="73">
        <v>45810</v>
      </c>
      <c r="W25" s="70" t="s">
        <v>180</v>
      </c>
      <c r="X25" s="74" t="s">
        <v>122</v>
      </c>
      <c r="Y25" s="75">
        <v>16.186599999999999</v>
      </c>
      <c r="Z25" s="75" t="s">
        <v>352</v>
      </c>
    </row>
    <row r="26" spans="1:26" x14ac:dyDescent="0.3">
      <c r="A26" s="72">
        <v>23</v>
      </c>
      <c r="B26" s="73">
        <v>45817</v>
      </c>
      <c r="C26" s="70" t="s">
        <v>178</v>
      </c>
      <c r="D26" s="74" t="s">
        <v>122</v>
      </c>
      <c r="E26" s="75">
        <v>2.9367999999999999</v>
      </c>
      <c r="F26" s="75" t="s">
        <v>352</v>
      </c>
      <c r="K26" s="72">
        <v>23</v>
      </c>
      <c r="L26" s="73">
        <v>45817</v>
      </c>
      <c r="M26" s="70" t="s">
        <v>179</v>
      </c>
      <c r="N26" s="74" t="s">
        <v>122</v>
      </c>
      <c r="O26" s="75">
        <v>6.8160999999999996</v>
      </c>
      <c r="P26" s="75" t="s">
        <v>352</v>
      </c>
      <c r="U26" s="72">
        <v>23</v>
      </c>
      <c r="V26" s="73">
        <v>45817</v>
      </c>
      <c r="W26" s="70" t="s">
        <v>180</v>
      </c>
      <c r="X26" s="74" t="s">
        <v>122</v>
      </c>
      <c r="Y26" s="75">
        <v>16.445399999999999</v>
      </c>
      <c r="Z26" s="75" t="s">
        <v>352</v>
      </c>
    </row>
    <row r="27" spans="1:26" x14ac:dyDescent="0.3">
      <c r="A27" s="72">
        <v>24</v>
      </c>
      <c r="B27" s="73">
        <v>45824</v>
      </c>
      <c r="C27" s="70" t="s">
        <v>178</v>
      </c>
      <c r="D27" s="74" t="s">
        <v>122</v>
      </c>
      <c r="E27" s="75">
        <v>3.0181</v>
      </c>
      <c r="F27" s="75" t="s">
        <v>352</v>
      </c>
      <c r="K27" s="72">
        <v>24</v>
      </c>
      <c r="L27" s="73">
        <v>45824</v>
      </c>
      <c r="M27" s="70" t="s">
        <v>179</v>
      </c>
      <c r="N27" s="74" t="s">
        <v>122</v>
      </c>
      <c r="O27" s="75">
        <v>6.7466999999999997</v>
      </c>
      <c r="P27" s="75" t="s">
        <v>352</v>
      </c>
      <c r="U27" s="72">
        <v>24</v>
      </c>
      <c r="V27" s="73">
        <v>45824</v>
      </c>
      <c r="W27" s="70" t="s">
        <v>180</v>
      </c>
      <c r="X27" s="74" t="s">
        <v>122</v>
      </c>
      <c r="Y27" s="75">
        <v>16.507300000000001</v>
      </c>
      <c r="Z27" s="75" t="s">
        <v>352</v>
      </c>
    </row>
    <row r="28" spans="1:26" x14ac:dyDescent="0.3">
      <c r="A28" s="72">
        <v>25</v>
      </c>
      <c r="B28" s="73">
        <v>45831</v>
      </c>
      <c r="C28" s="70" t="s">
        <v>178</v>
      </c>
      <c r="D28" s="74" t="s">
        <v>122</v>
      </c>
      <c r="E28" s="75">
        <v>3.0121000000000002</v>
      </c>
      <c r="F28" s="75" t="s">
        <v>352</v>
      </c>
      <c r="K28" s="72">
        <v>25</v>
      </c>
      <c r="L28" s="73">
        <v>45831</v>
      </c>
      <c r="M28" s="70" t="s">
        <v>179</v>
      </c>
      <c r="N28" s="74" t="s">
        <v>122</v>
      </c>
      <c r="O28" s="75">
        <v>6.9874999999999998</v>
      </c>
      <c r="P28" s="75" t="s">
        <v>352</v>
      </c>
      <c r="U28" s="72">
        <v>25</v>
      </c>
      <c r="V28" s="73">
        <v>45831</v>
      </c>
      <c r="W28" s="70" t="s">
        <v>180</v>
      </c>
      <c r="X28" s="74" t="s">
        <v>122</v>
      </c>
      <c r="Y28" s="75">
        <v>16.736499999999999</v>
      </c>
      <c r="Z28" s="75" t="s">
        <v>352</v>
      </c>
    </row>
    <row r="29" spans="1:26" x14ac:dyDescent="0.3">
      <c r="A29" s="72">
        <v>1</v>
      </c>
      <c r="B29" s="73">
        <v>45663</v>
      </c>
      <c r="C29" s="70" t="s">
        <v>178</v>
      </c>
      <c r="D29" s="74" t="s">
        <v>125</v>
      </c>
      <c r="E29" s="75">
        <v>2.3216999999999999</v>
      </c>
      <c r="F29" s="75" t="s">
        <v>352</v>
      </c>
      <c r="K29" s="72">
        <v>1</v>
      </c>
      <c r="L29" s="73">
        <v>45663</v>
      </c>
      <c r="M29" s="70" t="s">
        <v>179</v>
      </c>
      <c r="N29" s="74" t="s">
        <v>125</v>
      </c>
      <c r="O29" s="75">
        <v>4.3662999999999998</v>
      </c>
      <c r="P29" s="75" t="s">
        <v>352</v>
      </c>
      <c r="U29" s="72">
        <v>1</v>
      </c>
      <c r="V29" s="73">
        <v>45663</v>
      </c>
      <c r="W29" s="70" t="s">
        <v>180</v>
      </c>
      <c r="X29" s="74" t="s">
        <v>125</v>
      </c>
      <c r="Y29" s="75">
        <v>5.1353</v>
      </c>
      <c r="Z29" s="75" t="s">
        <v>352</v>
      </c>
    </row>
    <row r="30" spans="1:26" x14ac:dyDescent="0.3">
      <c r="A30" s="72">
        <v>2</v>
      </c>
      <c r="B30" s="73">
        <v>45670</v>
      </c>
      <c r="C30" s="70" t="s">
        <v>178</v>
      </c>
      <c r="D30" s="74" t="s">
        <v>125</v>
      </c>
      <c r="E30" s="75">
        <v>2.2993999999999999</v>
      </c>
      <c r="F30" s="75" t="s">
        <v>352</v>
      </c>
      <c r="K30" s="72">
        <v>2</v>
      </c>
      <c r="L30" s="73">
        <v>45670</v>
      </c>
      <c r="M30" s="70" t="s">
        <v>179</v>
      </c>
      <c r="N30" s="74" t="s">
        <v>125</v>
      </c>
      <c r="O30" s="75">
        <v>4.3453999999999997</v>
      </c>
      <c r="P30" s="75" t="s">
        <v>352</v>
      </c>
      <c r="U30" s="72">
        <v>2</v>
      </c>
      <c r="V30" s="73">
        <v>45670</v>
      </c>
      <c r="W30" s="70" t="s">
        <v>180</v>
      </c>
      <c r="X30" s="74" t="s">
        <v>125</v>
      </c>
      <c r="Y30" s="75">
        <v>5.0492999999999997</v>
      </c>
      <c r="Z30" s="75" t="s">
        <v>352</v>
      </c>
    </row>
    <row r="31" spans="1:26" x14ac:dyDescent="0.3">
      <c r="A31" s="72">
        <v>3</v>
      </c>
      <c r="B31" s="73">
        <v>45677</v>
      </c>
      <c r="C31" s="70" t="s">
        <v>178</v>
      </c>
      <c r="D31" s="74" t="s">
        <v>125</v>
      </c>
      <c r="E31" s="75">
        <v>2.2985000000000002</v>
      </c>
      <c r="F31" s="75" t="s">
        <v>352</v>
      </c>
      <c r="K31" s="72">
        <v>3</v>
      </c>
      <c r="L31" s="73">
        <v>45677</v>
      </c>
      <c r="M31" s="70" t="s">
        <v>179</v>
      </c>
      <c r="N31" s="74" t="s">
        <v>125</v>
      </c>
      <c r="O31" s="75">
        <v>4.3826000000000001</v>
      </c>
      <c r="P31" s="75" t="s">
        <v>352</v>
      </c>
      <c r="U31" s="72">
        <v>3</v>
      </c>
      <c r="V31" s="73">
        <v>45677</v>
      </c>
      <c r="W31" s="70" t="s">
        <v>180</v>
      </c>
      <c r="X31" s="74" t="s">
        <v>125</v>
      </c>
      <c r="Y31" s="75">
        <v>5.1520000000000001</v>
      </c>
      <c r="Z31" s="75" t="s">
        <v>352</v>
      </c>
    </row>
    <row r="32" spans="1:26" x14ac:dyDescent="0.3">
      <c r="A32" s="72">
        <v>4</v>
      </c>
      <c r="B32" s="73">
        <v>45684</v>
      </c>
      <c r="C32" s="70" t="s">
        <v>178</v>
      </c>
      <c r="D32" s="74" t="s">
        <v>125</v>
      </c>
      <c r="E32" s="75">
        <v>2.3010999999999999</v>
      </c>
      <c r="F32" s="75" t="s">
        <v>352</v>
      </c>
      <c r="K32" s="72">
        <v>4</v>
      </c>
      <c r="L32" s="73">
        <v>45684</v>
      </c>
      <c r="M32" s="70" t="s">
        <v>179</v>
      </c>
      <c r="N32" s="74" t="s">
        <v>125</v>
      </c>
      <c r="O32" s="75">
        <v>4.4554</v>
      </c>
      <c r="P32" s="75" t="s">
        <v>352</v>
      </c>
      <c r="U32" s="72">
        <v>4</v>
      </c>
      <c r="V32" s="73">
        <v>45684</v>
      </c>
      <c r="W32" s="70" t="s">
        <v>180</v>
      </c>
      <c r="X32" s="74" t="s">
        <v>125</v>
      </c>
      <c r="Y32" s="75">
        <v>5.0625</v>
      </c>
      <c r="Z32" s="75" t="s">
        <v>352</v>
      </c>
    </row>
    <row r="33" spans="1:26" x14ac:dyDescent="0.3">
      <c r="A33" s="72">
        <v>5</v>
      </c>
      <c r="B33" s="73">
        <v>45691</v>
      </c>
      <c r="C33" s="70" t="s">
        <v>178</v>
      </c>
      <c r="D33" s="74" t="s">
        <v>125</v>
      </c>
      <c r="E33" s="75">
        <v>2.3399000000000001</v>
      </c>
      <c r="F33" s="75" t="s">
        <v>352</v>
      </c>
      <c r="K33" s="72">
        <v>5</v>
      </c>
      <c r="L33" s="73">
        <v>45691</v>
      </c>
      <c r="M33" s="70" t="s">
        <v>179</v>
      </c>
      <c r="N33" s="74" t="s">
        <v>125</v>
      </c>
      <c r="O33" s="75">
        <v>4.3478000000000003</v>
      </c>
      <c r="P33" s="75" t="s">
        <v>352</v>
      </c>
      <c r="U33" s="72">
        <v>5</v>
      </c>
      <c r="V33" s="73">
        <v>45691</v>
      </c>
      <c r="W33" s="70" t="s">
        <v>180</v>
      </c>
      <c r="X33" s="74" t="s">
        <v>125</v>
      </c>
      <c r="Y33" s="75">
        <v>5.1489000000000003</v>
      </c>
      <c r="Z33" s="75" t="s">
        <v>352</v>
      </c>
    </row>
    <row r="34" spans="1:26" x14ac:dyDescent="0.3">
      <c r="A34" s="72">
        <v>6</v>
      </c>
      <c r="B34" s="73">
        <v>45698</v>
      </c>
      <c r="C34" s="70" t="s">
        <v>178</v>
      </c>
      <c r="D34" s="74" t="s">
        <v>125</v>
      </c>
      <c r="E34" s="75">
        <v>2.2972000000000001</v>
      </c>
      <c r="F34" s="75" t="s">
        <v>352</v>
      </c>
      <c r="K34" s="72">
        <v>6</v>
      </c>
      <c r="L34" s="73">
        <v>45698</v>
      </c>
      <c r="M34" s="70" t="s">
        <v>179</v>
      </c>
      <c r="N34" s="74" t="s">
        <v>125</v>
      </c>
      <c r="O34" s="75">
        <v>4.3551000000000002</v>
      </c>
      <c r="P34" s="75" t="s">
        <v>352</v>
      </c>
      <c r="U34" s="72">
        <v>6</v>
      </c>
      <c r="V34" s="73">
        <v>45698</v>
      </c>
      <c r="W34" s="70" t="s">
        <v>180</v>
      </c>
      <c r="X34" s="74" t="s">
        <v>125</v>
      </c>
      <c r="Y34" s="75">
        <v>5.0936000000000003</v>
      </c>
      <c r="Z34" s="75" t="s">
        <v>352</v>
      </c>
    </row>
    <row r="35" spans="1:26" x14ac:dyDescent="0.3">
      <c r="A35" s="72">
        <v>7</v>
      </c>
      <c r="B35" s="73">
        <v>45705</v>
      </c>
      <c r="C35" s="70" t="s">
        <v>178</v>
      </c>
      <c r="D35" s="74" t="s">
        <v>125</v>
      </c>
      <c r="E35" s="75">
        <v>2.2999000000000001</v>
      </c>
      <c r="F35" s="75" t="s">
        <v>352</v>
      </c>
      <c r="K35" s="72">
        <v>7</v>
      </c>
      <c r="L35" s="73">
        <v>45705</v>
      </c>
      <c r="M35" s="70" t="s">
        <v>179</v>
      </c>
      <c r="N35" s="74" t="s">
        <v>125</v>
      </c>
      <c r="O35" s="75">
        <v>4.3841000000000001</v>
      </c>
      <c r="P35" s="75" t="s">
        <v>352</v>
      </c>
      <c r="U35" s="72">
        <v>7</v>
      </c>
      <c r="V35" s="73">
        <v>45705</v>
      </c>
      <c r="W35" s="70" t="s">
        <v>180</v>
      </c>
      <c r="X35" s="74" t="s">
        <v>125</v>
      </c>
      <c r="Y35" s="75">
        <v>5.1497000000000002</v>
      </c>
      <c r="Z35" s="75" t="s">
        <v>352</v>
      </c>
    </row>
    <row r="36" spans="1:26" x14ac:dyDescent="0.3">
      <c r="A36" s="72">
        <v>8</v>
      </c>
      <c r="B36" s="73">
        <v>45712</v>
      </c>
      <c r="C36" s="70" t="s">
        <v>178</v>
      </c>
      <c r="D36" s="74" t="s">
        <v>125</v>
      </c>
      <c r="E36" s="75">
        <v>2.3142999999999998</v>
      </c>
      <c r="F36" s="75" t="s">
        <v>352</v>
      </c>
      <c r="K36" s="72">
        <v>8</v>
      </c>
      <c r="L36" s="73">
        <v>45712</v>
      </c>
      <c r="M36" s="70" t="s">
        <v>179</v>
      </c>
      <c r="N36" s="74" t="s">
        <v>125</v>
      </c>
      <c r="O36" s="75">
        <v>4.3940999999999999</v>
      </c>
      <c r="P36" s="75" t="s">
        <v>352</v>
      </c>
      <c r="U36" s="72">
        <v>8</v>
      </c>
      <c r="V36" s="73">
        <v>45712</v>
      </c>
      <c r="W36" s="70" t="s">
        <v>180</v>
      </c>
      <c r="X36" s="74" t="s">
        <v>125</v>
      </c>
      <c r="Y36" s="75">
        <v>5.1273</v>
      </c>
      <c r="Z36" s="75" t="s">
        <v>352</v>
      </c>
    </row>
    <row r="37" spans="1:26" x14ac:dyDescent="0.3">
      <c r="A37" s="72">
        <v>9</v>
      </c>
      <c r="B37" s="73">
        <v>45719</v>
      </c>
      <c r="C37" s="70" t="s">
        <v>178</v>
      </c>
      <c r="D37" s="74" t="s">
        <v>125</v>
      </c>
      <c r="E37" s="75">
        <v>2.3039000000000001</v>
      </c>
      <c r="F37" s="75" t="s">
        <v>352</v>
      </c>
      <c r="K37" s="72">
        <v>9</v>
      </c>
      <c r="L37" s="73">
        <v>45719</v>
      </c>
      <c r="M37" s="70" t="s">
        <v>179</v>
      </c>
      <c r="N37" s="74" t="s">
        <v>125</v>
      </c>
      <c r="O37" s="75">
        <v>4.3707000000000003</v>
      </c>
      <c r="P37" s="75" t="s">
        <v>352</v>
      </c>
      <c r="U37" s="72">
        <v>9</v>
      </c>
      <c r="V37" s="73">
        <v>45719</v>
      </c>
      <c r="W37" s="70" t="s">
        <v>180</v>
      </c>
      <c r="X37" s="74" t="s">
        <v>125</v>
      </c>
      <c r="Y37" s="75">
        <v>5.0697000000000001</v>
      </c>
      <c r="Z37" s="75" t="s">
        <v>352</v>
      </c>
    </row>
    <row r="38" spans="1:26" x14ac:dyDescent="0.3">
      <c r="A38" s="72">
        <v>10</v>
      </c>
      <c r="B38" s="73">
        <v>45726</v>
      </c>
      <c r="C38" s="70" t="s">
        <v>178</v>
      </c>
      <c r="D38" s="74" t="s">
        <v>125</v>
      </c>
      <c r="E38" s="75">
        <v>2.3022</v>
      </c>
      <c r="F38" s="75" t="s">
        <v>352</v>
      </c>
      <c r="K38" s="72">
        <v>10</v>
      </c>
      <c r="L38" s="73">
        <v>45726</v>
      </c>
      <c r="M38" s="70" t="s">
        <v>179</v>
      </c>
      <c r="N38" s="74" t="s">
        <v>125</v>
      </c>
      <c r="O38" s="75">
        <v>4.3696999999999999</v>
      </c>
      <c r="P38" s="75" t="s">
        <v>352</v>
      </c>
      <c r="U38" s="72">
        <v>10</v>
      </c>
      <c r="V38" s="73">
        <v>45726</v>
      </c>
      <c r="W38" s="70" t="s">
        <v>180</v>
      </c>
      <c r="X38" s="74" t="s">
        <v>125</v>
      </c>
      <c r="Y38" s="75">
        <v>5.1658999999999997</v>
      </c>
      <c r="Z38" s="75" t="s">
        <v>352</v>
      </c>
    </row>
    <row r="39" spans="1:26" x14ac:dyDescent="0.3">
      <c r="A39" s="72">
        <v>11</v>
      </c>
      <c r="B39" s="73">
        <v>45733</v>
      </c>
      <c r="C39" s="70" t="s">
        <v>178</v>
      </c>
      <c r="D39" s="74" t="s">
        <v>125</v>
      </c>
      <c r="E39" s="75">
        <v>2.2820999999999998</v>
      </c>
      <c r="F39" s="75" t="s">
        <v>352</v>
      </c>
      <c r="K39" s="72">
        <v>11</v>
      </c>
      <c r="L39" s="73">
        <v>45733</v>
      </c>
      <c r="M39" s="70" t="s">
        <v>179</v>
      </c>
      <c r="N39" s="74" t="s">
        <v>125</v>
      </c>
      <c r="O39" s="75">
        <v>4.4015000000000004</v>
      </c>
      <c r="P39" s="75" t="s">
        <v>352</v>
      </c>
      <c r="U39" s="72">
        <v>11</v>
      </c>
      <c r="V39" s="73">
        <v>45733</v>
      </c>
      <c r="W39" s="70" t="s">
        <v>180</v>
      </c>
      <c r="X39" s="74" t="s">
        <v>125</v>
      </c>
      <c r="Y39" s="75">
        <v>5.1725000000000003</v>
      </c>
      <c r="Z39" s="75" t="s">
        <v>352</v>
      </c>
    </row>
    <row r="40" spans="1:26" x14ac:dyDescent="0.3">
      <c r="A40" s="72">
        <v>12</v>
      </c>
      <c r="B40" s="73">
        <v>45740</v>
      </c>
      <c r="C40" s="70" t="s">
        <v>178</v>
      </c>
      <c r="D40" s="74" t="s">
        <v>125</v>
      </c>
      <c r="E40" s="75">
        <v>2.3062999999999998</v>
      </c>
      <c r="F40" s="75" t="s">
        <v>352</v>
      </c>
      <c r="K40" s="72">
        <v>12</v>
      </c>
      <c r="L40" s="73">
        <v>45740</v>
      </c>
      <c r="M40" s="70" t="s">
        <v>179</v>
      </c>
      <c r="N40" s="74" t="s">
        <v>125</v>
      </c>
      <c r="O40" s="75">
        <v>4.3951000000000002</v>
      </c>
      <c r="P40" s="75" t="s">
        <v>352</v>
      </c>
      <c r="U40" s="72">
        <v>12</v>
      </c>
      <c r="V40" s="73">
        <v>45740</v>
      </c>
      <c r="W40" s="70" t="s">
        <v>180</v>
      </c>
      <c r="X40" s="74" t="s">
        <v>125</v>
      </c>
      <c r="Y40" s="75">
        <v>5.1204999999999998</v>
      </c>
      <c r="Z40" s="75" t="s">
        <v>352</v>
      </c>
    </row>
    <row r="41" spans="1:26" x14ac:dyDescent="0.3">
      <c r="A41" s="72">
        <v>13</v>
      </c>
      <c r="B41" s="73">
        <v>45747</v>
      </c>
      <c r="C41" s="70" t="s">
        <v>178</v>
      </c>
      <c r="D41" s="74" t="s">
        <v>125</v>
      </c>
      <c r="E41" s="75">
        <v>2.2968000000000002</v>
      </c>
      <c r="F41" s="75" t="s">
        <v>352</v>
      </c>
      <c r="K41" s="72">
        <v>13</v>
      </c>
      <c r="L41" s="73">
        <v>45747</v>
      </c>
      <c r="M41" s="70" t="s">
        <v>179</v>
      </c>
      <c r="N41" s="74" t="s">
        <v>125</v>
      </c>
      <c r="O41" s="75">
        <v>4.3407999999999998</v>
      </c>
      <c r="P41" s="75" t="s">
        <v>352</v>
      </c>
      <c r="U41" s="72">
        <v>13</v>
      </c>
      <c r="V41" s="73">
        <v>45747</v>
      </c>
      <c r="W41" s="70" t="s">
        <v>180</v>
      </c>
      <c r="X41" s="74" t="s">
        <v>125</v>
      </c>
      <c r="Y41" s="75">
        <v>5.1132999999999997</v>
      </c>
      <c r="Z41" s="75" t="s">
        <v>352</v>
      </c>
    </row>
    <row r="42" spans="1:26" x14ac:dyDescent="0.3">
      <c r="A42" s="72">
        <v>14</v>
      </c>
      <c r="B42" s="73">
        <v>45754</v>
      </c>
      <c r="C42" s="70" t="s">
        <v>178</v>
      </c>
      <c r="D42" s="74" t="s">
        <v>125</v>
      </c>
      <c r="E42" s="75">
        <v>2.3321000000000001</v>
      </c>
      <c r="F42" s="75" t="s">
        <v>352</v>
      </c>
      <c r="K42" s="72">
        <v>14</v>
      </c>
      <c r="L42" s="73">
        <v>45754</v>
      </c>
      <c r="M42" s="70" t="s">
        <v>179</v>
      </c>
      <c r="N42" s="74" t="s">
        <v>125</v>
      </c>
      <c r="O42" s="75">
        <v>4.3741000000000003</v>
      </c>
      <c r="P42" s="75" t="s">
        <v>352</v>
      </c>
      <c r="U42" s="72">
        <v>14</v>
      </c>
      <c r="V42" s="73">
        <v>45754</v>
      </c>
      <c r="W42" s="70" t="s">
        <v>180</v>
      </c>
      <c r="X42" s="74" t="s">
        <v>125</v>
      </c>
      <c r="Y42" s="75">
        <v>5.1172000000000004</v>
      </c>
      <c r="Z42" s="75" t="s">
        <v>352</v>
      </c>
    </row>
    <row r="43" spans="1:26" x14ac:dyDescent="0.3">
      <c r="A43" s="72">
        <v>15</v>
      </c>
      <c r="B43" s="73">
        <v>45761</v>
      </c>
      <c r="C43" s="70" t="s">
        <v>178</v>
      </c>
      <c r="D43" s="74" t="s">
        <v>125</v>
      </c>
      <c r="E43" s="75">
        <v>2.3209</v>
      </c>
      <c r="F43" s="75" t="s">
        <v>352</v>
      </c>
      <c r="K43" s="72">
        <v>15</v>
      </c>
      <c r="L43" s="73">
        <v>45761</v>
      </c>
      <c r="M43" s="70" t="s">
        <v>179</v>
      </c>
      <c r="N43" s="74" t="s">
        <v>125</v>
      </c>
      <c r="O43" s="75">
        <v>4.3780999999999999</v>
      </c>
      <c r="P43" s="75" t="s">
        <v>352</v>
      </c>
      <c r="U43" s="72">
        <v>15</v>
      </c>
      <c r="V43" s="73">
        <v>45761</v>
      </c>
      <c r="W43" s="70" t="s">
        <v>180</v>
      </c>
      <c r="X43" s="74" t="s">
        <v>125</v>
      </c>
      <c r="Y43" s="75">
        <v>5.0891000000000002</v>
      </c>
      <c r="Z43" s="75" t="s">
        <v>352</v>
      </c>
    </row>
    <row r="44" spans="1:26" x14ac:dyDescent="0.3">
      <c r="A44" s="72">
        <v>16</v>
      </c>
      <c r="B44" s="73">
        <v>45768</v>
      </c>
      <c r="C44" s="70" t="s">
        <v>178</v>
      </c>
      <c r="D44" s="74" t="s">
        <v>125</v>
      </c>
      <c r="E44" s="75">
        <v>2.306</v>
      </c>
      <c r="F44" s="75" t="s">
        <v>352</v>
      </c>
      <c r="K44" s="72">
        <v>16</v>
      </c>
      <c r="L44" s="73">
        <v>45768</v>
      </c>
      <c r="M44" s="70" t="s">
        <v>179</v>
      </c>
      <c r="N44" s="74" t="s">
        <v>125</v>
      </c>
      <c r="O44" s="75">
        <v>4.34</v>
      </c>
      <c r="P44" s="75" t="s">
        <v>352</v>
      </c>
      <c r="U44" s="72">
        <v>16</v>
      </c>
      <c r="V44" s="73">
        <v>45768</v>
      </c>
      <c r="W44" s="70" t="s">
        <v>180</v>
      </c>
      <c r="X44" s="74" t="s">
        <v>125</v>
      </c>
      <c r="Y44" s="75">
        <v>5.1607000000000003</v>
      </c>
      <c r="Z44" s="75" t="s">
        <v>352</v>
      </c>
    </row>
    <row r="45" spans="1:26" x14ac:dyDescent="0.3">
      <c r="A45" s="72">
        <v>17</v>
      </c>
      <c r="B45" s="73">
        <v>45775</v>
      </c>
      <c r="C45" s="70" t="s">
        <v>178</v>
      </c>
      <c r="D45" s="74" t="s">
        <v>125</v>
      </c>
      <c r="E45" s="75">
        <v>2.3212000000000002</v>
      </c>
      <c r="F45" s="75" t="s">
        <v>352</v>
      </c>
      <c r="K45" s="72">
        <v>17</v>
      </c>
      <c r="L45" s="73">
        <v>45775</v>
      </c>
      <c r="M45" s="70" t="s">
        <v>179</v>
      </c>
      <c r="N45" s="74" t="s">
        <v>125</v>
      </c>
      <c r="O45" s="75">
        <v>4.3860000000000001</v>
      </c>
      <c r="P45" s="75" t="s">
        <v>352</v>
      </c>
      <c r="U45" s="72">
        <v>17</v>
      </c>
      <c r="V45" s="73">
        <v>45775</v>
      </c>
      <c r="W45" s="70" t="s">
        <v>180</v>
      </c>
      <c r="X45" s="74" t="s">
        <v>125</v>
      </c>
      <c r="Y45" s="75">
        <v>5.1040000000000001</v>
      </c>
      <c r="Z45" s="75" t="s">
        <v>352</v>
      </c>
    </row>
    <row r="46" spans="1:26" x14ac:dyDescent="0.3">
      <c r="A46" s="72">
        <v>18</v>
      </c>
      <c r="B46" s="73">
        <v>45782</v>
      </c>
      <c r="C46" s="70" t="s">
        <v>178</v>
      </c>
      <c r="D46" s="74" t="s">
        <v>125</v>
      </c>
      <c r="E46" s="75">
        <v>2.2991000000000001</v>
      </c>
      <c r="F46" s="75" t="s">
        <v>352</v>
      </c>
      <c r="K46" s="72">
        <v>18</v>
      </c>
      <c r="L46" s="73">
        <v>45782</v>
      </c>
      <c r="M46" s="70" t="s">
        <v>179</v>
      </c>
      <c r="N46" s="74" t="s">
        <v>125</v>
      </c>
      <c r="O46" s="75">
        <v>4.3468999999999998</v>
      </c>
      <c r="P46" s="75" t="s">
        <v>352</v>
      </c>
      <c r="U46" s="72">
        <v>18</v>
      </c>
      <c r="V46" s="73">
        <v>45782</v>
      </c>
      <c r="W46" s="70" t="s">
        <v>180</v>
      </c>
      <c r="X46" s="74" t="s">
        <v>125</v>
      </c>
      <c r="Y46" s="75">
        <v>5.1210000000000004</v>
      </c>
      <c r="Z46" s="75" t="s">
        <v>352</v>
      </c>
    </row>
    <row r="47" spans="1:26" x14ac:dyDescent="0.3">
      <c r="A47" s="72">
        <v>19</v>
      </c>
      <c r="B47" s="73">
        <v>45789</v>
      </c>
      <c r="C47" s="70" t="s">
        <v>178</v>
      </c>
      <c r="D47" s="74" t="s">
        <v>125</v>
      </c>
      <c r="E47" s="75">
        <v>2.3296000000000001</v>
      </c>
      <c r="F47" s="75" t="s">
        <v>352</v>
      </c>
      <c r="K47" s="72">
        <v>19</v>
      </c>
      <c r="L47" s="73">
        <v>45789</v>
      </c>
      <c r="M47" s="70" t="s">
        <v>179</v>
      </c>
      <c r="N47" s="74" t="s">
        <v>125</v>
      </c>
      <c r="O47" s="75">
        <v>4.4108999999999998</v>
      </c>
      <c r="P47" s="75" t="s">
        <v>352</v>
      </c>
      <c r="U47" s="72">
        <v>19</v>
      </c>
      <c r="V47" s="73">
        <v>45789</v>
      </c>
      <c r="W47" s="70" t="s">
        <v>180</v>
      </c>
      <c r="X47" s="74" t="s">
        <v>125</v>
      </c>
      <c r="Y47" s="75">
        <v>5.0953999999999997</v>
      </c>
      <c r="Z47" s="75" t="s">
        <v>352</v>
      </c>
    </row>
    <row r="48" spans="1:26" x14ac:dyDescent="0.3">
      <c r="A48" s="72">
        <v>20</v>
      </c>
      <c r="B48" s="73">
        <v>45796</v>
      </c>
      <c r="C48" s="70" t="s">
        <v>178</v>
      </c>
      <c r="D48" s="74" t="s">
        <v>125</v>
      </c>
      <c r="E48" s="75">
        <v>2.3064</v>
      </c>
      <c r="F48" s="75" t="s">
        <v>352</v>
      </c>
      <c r="K48" s="72">
        <v>20</v>
      </c>
      <c r="L48" s="73">
        <v>45796</v>
      </c>
      <c r="M48" s="70" t="s">
        <v>179</v>
      </c>
      <c r="N48" s="74" t="s">
        <v>125</v>
      </c>
      <c r="O48" s="75">
        <v>4.3836000000000004</v>
      </c>
      <c r="P48" s="75" t="s">
        <v>352</v>
      </c>
      <c r="U48" s="72">
        <v>20</v>
      </c>
      <c r="V48" s="73">
        <v>45796</v>
      </c>
      <c r="W48" s="70" t="s">
        <v>180</v>
      </c>
      <c r="X48" s="74" t="s">
        <v>125</v>
      </c>
      <c r="Y48" s="75">
        <v>5.1010999999999997</v>
      </c>
      <c r="Z48" s="75" t="s">
        <v>352</v>
      </c>
    </row>
    <row r="49" spans="1:26" x14ac:dyDescent="0.3">
      <c r="A49" s="72">
        <v>21</v>
      </c>
      <c r="B49" s="73">
        <v>45803</v>
      </c>
      <c r="C49" s="70" t="s">
        <v>178</v>
      </c>
      <c r="D49" s="74" t="s">
        <v>125</v>
      </c>
      <c r="E49" s="75">
        <v>2.3193000000000001</v>
      </c>
      <c r="F49" s="75" t="s">
        <v>352</v>
      </c>
      <c r="K49" s="72">
        <v>21</v>
      </c>
      <c r="L49" s="73">
        <v>45803</v>
      </c>
      <c r="M49" s="70" t="s">
        <v>179</v>
      </c>
      <c r="N49" s="74" t="s">
        <v>125</v>
      </c>
      <c r="O49" s="75">
        <v>4.38</v>
      </c>
      <c r="P49" s="75" t="s">
        <v>352</v>
      </c>
      <c r="U49" s="72">
        <v>21</v>
      </c>
      <c r="V49" s="73">
        <v>45803</v>
      </c>
      <c r="W49" s="70" t="s">
        <v>180</v>
      </c>
      <c r="X49" s="74" t="s">
        <v>125</v>
      </c>
      <c r="Y49" s="75">
        <v>5.0785999999999998</v>
      </c>
      <c r="Z49" s="75" t="s">
        <v>352</v>
      </c>
    </row>
    <row r="50" spans="1:26" x14ac:dyDescent="0.3">
      <c r="A50" s="72">
        <v>22</v>
      </c>
      <c r="B50" s="73">
        <v>45810</v>
      </c>
      <c r="C50" s="70" t="s">
        <v>178</v>
      </c>
      <c r="D50" s="74" t="s">
        <v>125</v>
      </c>
      <c r="E50" s="75">
        <v>2.2783000000000002</v>
      </c>
      <c r="F50" s="75" t="s">
        <v>352</v>
      </c>
      <c r="K50" s="72">
        <v>22</v>
      </c>
      <c r="L50" s="73">
        <v>45810</v>
      </c>
      <c r="M50" s="70" t="s">
        <v>179</v>
      </c>
      <c r="N50" s="74" t="s">
        <v>125</v>
      </c>
      <c r="O50" s="75">
        <v>4.3562000000000003</v>
      </c>
      <c r="P50" s="75" t="s">
        <v>352</v>
      </c>
      <c r="U50" s="72">
        <v>22</v>
      </c>
      <c r="V50" s="73">
        <v>45810</v>
      </c>
      <c r="W50" s="70" t="s">
        <v>180</v>
      </c>
      <c r="X50" s="74" t="s">
        <v>125</v>
      </c>
      <c r="Y50" s="75">
        <v>5.1661999999999999</v>
      </c>
      <c r="Z50" s="75" t="s">
        <v>352</v>
      </c>
    </row>
    <row r="51" spans="1:26" x14ac:dyDescent="0.3">
      <c r="A51" s="72">
        <v>23</v>
      </c>
      <c r="B51" s="73">
        <v>45817</v>
      </c>
      <c r="C51" s="70" t="s">
        <v>178</v>
      </c>
      <c r="D51" s="74" t="s">
        <v>125</v>
      </c>
      <c r="E51" s="75">
        <v>2.3142</v>
      </c>
      <c r="F51" s="75" t="s">
        <v>352</v>
      </c>
      <c r="K51" s="72">
        <v>23</v>
      </c>
      <c r="L51" s="73">
        <v>45817</v>
      </c>
      <c r="M51" s="70" t="s">
        <v>179</v>
      </c>
      <c r="N51" s="74" t="s">
        <v>125</v>
      </c>
      <c r="O51" s="75">
        <v>4.3727999999999998</v>
      </c>
      <c r="P51" s="75" t="s">
        <v>352</v>
      </c>
      <c r="U51" s="72">
        <v>23</v>
      </c>
      <c r="V51" s="73">
        <v>45817</v>
      </c>
      <c r="W51" s="70" t="s">
        <v>180</v>
      </c>
      <c r="X51" s="74" t="s">
        <v>125</v>
      </c>
      <c r="Y51" s="75">
        <v>5.1173999999999999</v>
      </c>
      <c r="Z51" s="75" t="s">
        <v>352</v>
      </c>
    </row>
    <row r="52" spans="1:26" x14ac:dyDescent="0.3">
      <c r="A52" s="72">
        <v>24</v>
      </c>
      <c r="B52" s="73">
        <v>45824</v>
      </c>
      <c r="C52" s="70" t="s">
        <v>178</v>
      </c>
      <c r="D52" s="74" t="s">
        <v>125</v>
      </c>
      <c r="E52" s="75">
        <v>2.2694999999999999</v>
      </c>
      <c r="F52" s="75" t="s">
        <v>352</v>
      </c>
      <c r="K52" s="72">
        <v>24</v>
      </c>
      <c r="L52" s="73">
        <v>45824</v>
      </c>
      <c r="M52" s="70" t="s">
        <v>179</v>
      </c>
      <c r="N52" s="74" t="s">
        <v>125</v>
      </c>
      <c r="O52" s="75">
        <v>4.3071000000000002</v>
      </c>
      <c r="P52" s="75" t="s">
        <v>352</v>
      </c>
      <c r="U52" s="72">
        <v>24</v>
      </c>
      <c r="V52" s="73">
        <v>45824</v>
      </c>
      <c r="W52" s="70" t="s">
        <v>180</v>
      </c>
      <c r="X52" s="74" t="s">
        <v>125</v>
      </c>
      <c r="Y52" s="75">
        <v>5.1561000000000003</v>
      </c>
      <c r="Z52" s="75" t="s">
        <v>352</v>
      </c>
    </row>
    <row r="53" spans="1:26" x14ac:dyDescent="0.3">
      <c r="A53" s="72">
        <v>25</v>
      </c>
      <c r="B53" s="73">
        <v>45831</v>
      </c>
      <c r="C53" s="70" t="s">
        <v>178</v>
      </c>
      <c r="D53" s="74" t="s">
        <v>125</v>
      </c>
      <c r="E53" s="75">
        <v>2.2618999999999998</v>
      </c>
      <c r="F53" s="75" t="s">
        <v>352</v>
      </c>
      <c r="K53" s="72">
        <v>25</v>
      </c>
      <c r="L53" s="73">
        <v>45831</v>
      </c>
      <c r="M53" s="70" t="s">
        <v>179</v>
      </c>
      <c r="N53" s="74" t="s">
        <v>125</v>
      </c>
      <c r="O53" s="75">
        <v>4.3372999999999999</v>
      </c>
      <c r="P53" s="75" t="s">
        <v>352</v>
      </c>
      <c r="U53" s="72">
        <v>25</v>
      </c>
      <c r="V53" s="73">
        <v>45831</v>
      </c>
      <c r="W53" s="70" t="s">
        <v>180</v>
      </c>
      <c r="X53" s="74" t="s">
        <v>125</v>
      </c>
      <c r="Y53" s="75">
        <v>5.1231999999999998</v>
      </c>
      <c r="Z53" s="75" t="s">
        <v>352</v>
      </c>
    </row>
    <row r="54" spans="1:26" x14ac:dyDescent="0.3">
      <c r="A54" s="72">
        <v>1</v>
      </c>
      <c r="B54" s="73">
        <v>45663</v>
      </c>
      <c r="C54" s="70" t="s">
        <v>178</v>
      </c>
      <c r="D54" s="74" t="s">
        <v>127</v>
      </c>
      <c r="E54" s="75">
        <v>5.4584999999999999</v>
      </c>
      <c r="F54" s="75" t="s">
        <v>352</v>
      </c>
      <c r="K54" s="72">
        <v>1</v>
      </c>
      <c r="L54" s="73">
        <v>45663</v>
      </c>
      <c r="M54" s="70" t="s">
        <v>179</v>
      </c>
      <c r="N54" s="74" t="s">
        <v>127</v>
      </c>
      <c r="O54" s="75">
        <v>12.174899999999999</v>
      </c>
      <c r="P54" s="75" t="s">
        <v>352</v>
      </c>
      <c r="U54" s="72">
        <v>1</v>
      </c>
      <c r="V54" s="73">
        <v>45663</v>
      </c>
      <c r="W54" s="70" t="s">
        <v>180</v>
      </c>
      <c r="X54" s="74" t="s">
        <v>127</v>
      </c>
      <c r="Y54" s="75">
        <v>15.464</v>
      </c>
      <c r="Z54" s="75" t="s">
        <v>352</v>
      </c>
    </row>
    <row r="55" spans="1:26" x14ac:dyDescent="0.3">
      <c r="A55" s="72">
        <v>2</v>
      </c>
      <c r="B55" s="73">
        <v>45670</v>
      </c>
      <c r="C55" s="70" t="s">
        <v>178</v>
      </c>
      <c r="D55" s="74" t="s">
        <v>127</v>
      </c>
      <c r="E55" s="75">
        <v>5.4805000000000001</v>
      </c>
      <c r="F55" s="75" t="s">
        <v>352</v>
      </c>
      <c r="K55" s="72">
        <v>2</v>
      </c>
      <c r="L55" s="73">
        <v>45670</v>
      </c>
      <c r="M55" s="70" t="s">
        <v>179</v>
      </c>
      <c r="N55" s="74" t="s">
        <v>127</v>
      </c>
      <c r="O55" s="75">
        <v>12.386799999999999</v>
      </c>
      <c r="P55" s="75" t="s">
        <v>352</v>
      </c>
      <c r="U55" s="72">
        <v>2</v>
      </c>
      <c r="V55" s="73">
        <v>45670</v>
      </c>
      <c r="W55" s="70" t="s">
        <v>180</v>
      </c>
      <c r="X55" s="74" t="s">
        <v>127</v>
      </c>
      <c r="Y55" s="75">
        <v>15.6357</v>
      </c>
      <c r="Z55" s="75" t="s">
        <v>352</v>
      </c>
    </row>
    <row r="56" spans="1:26" x14ac:dyDescent="0.3">
      <c r="A56" s="72">
        <v>3</v>
      </c>
      <c r="B56" s="73">
        <v>45677</v>
      </c>
      <c r="C56" s="70" t="s">
        <v>178</v>
      </c>
      <c r="D56" s="74" t="s">
        <v>127</v>
      </c>
      <c r="E56" s="75">
        <v>5.4664999999999999</v>
      </c>
      <c r="F56" s="75" t="s">
        <v>352</v>
      </c>
      <c r="K56" s="72">
        <v>3</v>
      </c>
      <c r="L56" s="73">
        <v>45677</v>
      </c>
      <c r="M56" s="70" t="s">
        <v>179</v>
      </c>
      <c r="N56" s="74" t="s">
        <v>127</v>
      </c>
      <c r="O56" s="75">
        <v>12.233700000000001</v>
      </c>
      <c r="P56" s="75" t="s">
        <v>352</v>
      </c>
      <c r="U56" s="72">
        <v>3</v>
      </c>
      <c r="V56" s="73">
        <v>45677</v>
      </c>
      <c r="W56" s="70" t="s">
        <v>180</v>
      </c>
      <c r="X56" s="74" t="s">
        <v>127</v>
      </c>
      <c r="Y56" s="75">
        <v>15.605700000000001</v>
      </c>
      <c r="Z56" s="75" t="s">
        <v>352</v>
      </c>
    </row>
    <row r="57" spans="1:26" x14ac:dyDescent="0.3">
      <c r="A57" s="72">
        <v>4</v>
      </c>
      <c r="B57" s="73">
        <v>45684</v>
      </c>
      <c r="C57" s="70" t="s">
        <v>178</v>
      </c>
      <c r="D57" s="74" t="s">
        <v>127</v>
      </c>
      <c r="E57" s="75">
        <v>5.5004999999999997</v>
      </c>
      <c r="F57" s="75" t="s">
        <v>352</v>
      </c>
      <c r="K57" s="72">
        <v>4</v>
      </c>
      <c r="L57" s="73">
        <v>45684</v>
      </c>
      <c r="M57" s="70" t="s">
        <v>179</v>
      </c>
      <c r="N57" s="74" t="s">
        <v>127</v>
      </c>
      <c r="O57" s="75">
        <v>12.3001</v>
      </c>
      <c r="P57" s="75" t="s">
        <v>352</v>
      </c>
      <c r="U57" s="72">
        <v>4</v>
      </c>
      <c r="V57" s="73">
        <v>45684</v>
      </c>
      <c r="W57" s="70" t="s">
        <v>180</v>
      </c>
      <c r="X57" s="74" t="s">
        <v>127</v>
      </c>
      <c r="Y57" s="75">
        <v>15.6366</v>
      </c>
      <c r="Z57" s="75" t="s">
        <v>352</v>
      </c>
    </row>
    <row r="58" spans="1:26" x14ac:dyDescent="0.3">
      <c r="A58" s="72">
        <v>5</v>
      </c>
      <c r="B58" s="73">
        <v>45691</v>
      </c>
      <c r="C58" s="70" t="s">
        <v>178</v>
      </c>
      <c r="D58" s="74" t="s">
        <v>127</v>
      </c>
      <c r="E58" s="75">
        <v>5.4775999999999998</v>
      </c>
      <c r="F58" s="75" t="s">
        <v>352</v>
      </c>
      <c r="K58" s="72">
        <v>5</v>
      </c>
      <c r="L58" s="73">
        <v>45691</v>
      </c>
      <c r="M58" s="70" t="s">
        <v>179</v>
      </c>
      <c r="N58" s="74" t="s">
        <v>127</v>
      </c>
      <c r="O58" s="75">
        <v>12.273099999999999</v>
      </c>
      <c r="P58" s="75" t="s">
        <v>352</v>
      </c>
      <c r="U58" s="72">
        <v>5</v>
      </c>
      <c r="V58" s="73">
        <v>45691</v>
      </c>
      <c r="W58" s="70" t="s">
        <v>180</v>
      </c>
      <c r="X58" s="74" t="s">
        <v>127</v>
      </c>
      <c r="Y58" s="75">
        <v>15.718500000000001</v>
      </c>
      <c r="Z58" s="75" t="s">
        <v>352</v>
      </c>
    </row>
    <row r="59" spans="1:26" x14ac:dyDescent="0.3">
      <c r="A59" s="72">
        <v>6</v>
      </c>
      <c r="B59" s="73">
        <v>45698</v>
      </c>
      <c r="C59" s="70" t="s">
        <v>178</v>
      </c>
      <c r="D59" s="74" t="s">
        <v>127</v>
      </c>
      <c r="E59" s="75">
        <v>5.4821</v>
      </c>
      <c r="F59" s="75" t="s">
        <v>352</v>
      </c>
      <c r="K59" s="72">
        <v>6</v>
      </c>
      <c r="L59" s="73">
        <v>45698</v>
      </c>
      <c r="M59" s="70" t="s">
        <v>179</v>
      </c>
      <c r="N59" s="74" t="s">
        <v>127</v>
      </c>
      <c r="O59" s="75">
        <v>12.2392</v>
      </c>
      <c r="P59" s="75" t="s">
        <v>352</v>
      </c>
      <c r="U59" s="72">
        <v>6</v>
      </c>
      <c r="V59" s="73">
        <v>45698</v>
      </c>
      <c r="W59" s="70" t="s">
        <v>180</v>
      </c>
      <c r="X59" s="74" t="s">
        <v>127</v>
      </c>
      <c r="Y59" s="75">
        <v>15.686299999999999</v>
      </c>
      <c r="Z59" s="75" t="s">
        <v>352</v>
      </c>
    </row>
    <row r="60" spans="1:26" x14ac:dyDescent="0.3">
      <c r="A60" s="72">
        <v>7</v>
      </c>
      <c r="B60" s="73">
        <v>45705</v>
      </c>
      <c r="C60" s="70" t="s">
        <v>178</v>
      </c>
      <c r="D60" s="74" t="s">
        <v>127</v>
      </c>
      <c r="E60" s="75">
        <v>5.4176000000000002</v>
      </c>
      <c r="F60" s="75" t="s">
        <v>352</v>
      </c>
      <c r="K60" s="72">
        <v>7</v>
      </c>
      <c r="L60" s="73">
        <v>45705</v>
      </c>
      <c r="M60" s="70" t="s">
        <v>179</v>
      </c>
      <c r="N60" s="74" t="s">
        <v>127</v>
      </c>
      <c r="O60" s="75">
        <v>12.233700000000001</v>
      </c>
      <c r="P60" s="75" t="s">
        <v>352</v>
      </c>
      <c r="U60" s="72">
        <v>7</v>
      </c>
      <c r="V60" s="73">
        <v>45705</v>
      </c>
      <c r="W60" s="70" t="s">
        <v>180</v>
      </c>
      <c r="X60" s="74" t="s">
        <v>127</v>
      </c>
      <c r="Y60" s="75">
        <v>15.472300000000001</v>
      </c>
      <c r="Z60" s="75" t="s">
        <v>352</v>
      </c>
    </row>
    <row r="61" spans="1:26" x14ac:dyDescent="0.3">
      <c r="A61" s="72">
        <v>8</v>
      </c>
      <c r="B61" s="73">
        <v>45712</v>
      </c>
      <c r="C61" s="70" t="s">
        <v>178</v>
      </c>
      <c r="D61" s="74" t="s">
        <v>127</v>
      </c>
      <c r="E61" s="75">
        <v>5.4518000000000004</v>
      </c>
      <c r="F61" s="75" t="s">
        <v>352</v>
      </c>
      <c r="K61" s="72">
        <v>8</v>
      </c>
      <c r="L61" s="73">
        <v>45712</v>
      </c>
      <c r="M61" s="70" t="s">
        <v>179</v>
      </c>
      <c r="N61" s="74" t="s">
        <v>127</v>
      </c>
      <c r="O61" s="75">
        <v>12.328200000000001</v>
      </c>
      <c r="P61" s="75" t="s">
        <v>352</v>
      </c>
      <c r="U61" s="72">
        <v>8</v>
      </c>
      <c r="V61" s="73">
        <v>45712</v>
      </c>
      <c r="W61" s="70" t="s">
        <v>180</v>
      </c>
      <c r="X61" s="74" t="s">
        <v>127</v>
      </c>
      <c r="Y61" s="75">
        <v>15.428100000000001</v>
      </c>
      <c r="Z61" s="75" t="s">
        <v>352</v>
      </c>
    </row>
    <row r="62" spans="1:26" x14ac:dyDescent="0.3">
      <c r="A62" s="72">
        <v>9</v>
      </c>
      <c r="B62" s="73">
        <v>45719</v>
      </c>
      <c r="C62" s="70" t="s">
        <v>178</v>
      </c>
      <c r="D62" s="74" t="s">
        <v>127</v>
      </c>
      <c r="E62" s="75">
        <v>5.5987999999999998</v>
      </c>
      <c r="F62" s="75" t="s">
        <v>352</v>
      </c>
      <c r="K62" s="72">
        <v>9</v>
      </c>
      <c r="L62" s="73">
        <v>45719</v>
      </c>
      <c r="M62" s="70" t="s">
        <v>179</v>
      </c>
      <c r="N62" s="74" t="s">
        <v>127</v>
      </c>
      <c r="O62" s="75">
        <v>12.2508</v>
      </c>
      <c r="P62" s="75" t="s">
        <v>352</v>
      </c>
      <c r="U62" s="72">
        <v>9</v>
      </c>
      <c r="V62" s="73">
        <v>45719</v>
      </c>
      <c r="W62" s="70" t="s">
        <v>180</v>
      </c>
      <c r="X62" s="74" t="s">
        <v>127</v>
      </c>
      <c r="Y62" s="75">
        <v>15.632</v>
      </c>
      <c r="Z62" s="75" t="s">
        <v>352</v>
      </c>
    </row>
    <row r="63" spans="1:26" x14ac:dyDescent="0.3">
      <c r="A63" s="72">
        <v>10</v>
      </c>
      <c r="B63" s="73">
        <v>45726</v>
      </c>
      <c r="C63" s="70" t="s">
        <v>178</v>
      </c>
      <c r="D63" s="74" t="s">
        <v>127</v>
      </c>
      <c r="E63" s="75">
        <v>5.4599000000000002</v>
      </c>
      <c r="F63" s="75" t="s">
        <v>352</v>
      </c>
      <c r="K63" s="72">
        <v>10</v>
      </c>
      <c r="L63" s="73">
        <v>45726</v>
      </c>
      <c r="M63" s="70" t="s">
        <v>179</v>
      </c>
      <c r="N63" s="74" t="s">
        <v>127</v>
      </c>
      <c r="O63" s="75">
        <v>12.263299999999999</v>
      </c>
      <c r="P63" s="75" t="s">
        <v>352</v>
      </c>
      <c r="U63" s="72">
        <v>10</v>
      </c>
      <c r="V63" s="73">
        <v>45726</v>
      </c>
      <c r="W63" s="70" t="s">
        <v>180</v>
      </c>
      <c r="X63" s="74" t="s">
        <v>127</v>
      </c>
      <c r="Y63" s="75">
        <v>15.482900000000001</v>
      </c>
      <c r="Z63" s="75" t="s">
        <v>352</v>
      </c>
    </row>
    <row r="64" spans="1:26" x14ac:dyDescent="0.3">
      <c r="A64" s="72">
        <v>11</v>
      </c>
      <c r="B64" s="73">
        <v>45733</v>
      </c>
      <c r="C64" s="70" t="s">
        <v>178</v>
      </c>
      <c r="D64" s="74" t="s">
        <v>127</v>
      </c>
      <c r="E64" s="75">
        <v>5.4370000000000003</v>
      </c>
      <c r="F64" s="75" t="s">
        <v>352</v>
      </c>
      <c r="K64" s="72">
        <v>11</v>
      </c>
      <c r="L64" s="73">
        <v>45733</v>
      </c>
      <c r="M64" s="70" t="s">
        <v>179</v>
      </c>
      <c r="N64" s="74" t="s">
        <v>127</v>
      </c>
      <c r="O64" s="75">
        <v>12.277699999999999</v>
      </c>
      <c r="P64" s="75" t="s">
        <v>352</v>
      </c>
      <c r="U64" s="72">
        <v>11</v>
      </c>
      <c r="V64" s="73">
        <v>45733</v>
      </c>
      <c r="W64" s="70" t="s">
        <v>180</v>
      </c>
      <c r="X64" s="74" t="s">
        <v>127</v>
      </c>
      <c r="Y64" s="75">
        <v>15.564500000000001</v>
      </c>
      <c r="Z64" s="75" t="s">
        <v>352</v>
      </c>
    </row>
    <row r="65" spans="1:26" x14ac:dyDescent="0.3">
      <c r="A65" s="72">
        <v>12</v>
      </c>
      <c r="B65" s="73">
        <v>45740</v>
      </c>
      <c r="C65" s="70" t="s">
        <v>178</v>
      </c>
      <c r="D65" s="74" t="s">
        <v>127</v>
      </c>
      <c r="E65" s="75">
        <v>5.5202</v>
      </c>
      <c r="F65" s="75" t="s">
        <v>352</v>
      </c>
      <c r="K65" s="72">
        <v>12</v>
      </c>
      <c r="L65" s="73">
        <v>45740</v>
      </c>
      <c r="M65" s="70" t="s">
        <v>179</v>
      </c>
      <c r="N65" s="74" t="s">
        <v>127</v>
      </c>
      <c r="O65" s="75">
        <v>12.3736</v>
      </c>
      <c r="P65" s="75" t="s">
        <v>352</v>
      </c>
      <c r="U65" s="72">
        <v>12</v>
      </c>
      <c r="V65" s="73">
        <v>45740</v>
      </c>
      <c r="W65" s="70" t="s">
        <v>180</v>
      </c>
      <c r="X65" s="74" t="s">
        <v>127</v>
      </c>
      <c r="Y65" s="75">
        <v>15.633900000000001</v>
      </c>
      <c r="Z65" s="75" t="s">
        <v>352</v>
      </c>
    </row>
    <row r="66" spans="1:26" x14ac:dyDescent="0.3">
      <c r="A66" s="72">
        <v>13</v>
      </c>
      <c r="B66" s="73">
        <v>45747</v>
      </c>
      <c r="C66" s="70" t="s">
        <v>178</v>
      </c>
      <c r="D66" s="74" t="s">
        <v>127</v>
      </c>
      <c r="E66" s="75">
        <v>5.5841000000000003</v>
      </c>
      <c r="F66" s="75" t="s">
        <v>352</v>
      </c>
      <c r="K66" s="72">
        <v>13</v>
      </c>
      <c r="L66" s="73">
        <v>45747</v>
      </c>
      <c r="M66" s="70" t="s">
        <v>179</v>
      </c>
      <c r="N66" s="74" t="s">
        <v>127</v>
      </c>
      <c r="O66" s="75">
        <v>12.3324</v>
      </c>
      <c r="P66" s="75" t="s">
        <v>352</v>
      </c>
      <c r="U66" s="72">
        <v>13</v>
      </c>
      <c r="V66" s="73">
        <v>45747</v>
      </c>
      <c r="W66" s="70" t="s">
        <v>180</v>
      </c>
      <c r="X66" s="74" t="s">
        <v>127</v>
      </c>
      <c r="Y66" s="75">
        <v>15.431699999999999</v>
      </c>
      <c r="Z66" s="75" t="s">
        <v>352</v>
      </c>
    </row>
    <row r="67" spans="1:26" x14ac:dyDescent="0.3">
      <c r="A67" s="72">
        <v>14</v>
      </c>
      <c r="B67" s="73">
        <v>45754</v>
      </c>
      <c r="C67" s="70" t="s">
        <v>178</v>
      </c>
      <c r="D67" s="74" t="s">
        <v>127</v>
      </c>
      <c r="E67" s="75">
        <v>5.4131</v>
      </c>
      <c r="F67" s="75" t="s">
        <v>352</v>
      </c>
      <c r="K67" s="72">
        <v>14</v>
      </c>
      <c r="L67" s="73">
        <v>45754</v>
      </c>
      <c r="M67" s="70" t="s">
        <v>179</v>
      </c>
      <c r="N67" s="74" t="s">
        <v>127</v>
      </c>
      <c r="O67" s="75">
        <v>12.307600000000001</v>
      </c>
      <c r="P67" s="75" t="s">
        <v>352</v>
      </c>
      <c r="U67" s="72">
        <v>14</v>
      </c>
      <c r="V67" s="73">
        <v>45754</v>
      </c>
      <c r="W67" s="70" t="s">
        <v>180</v>
      </c>
      <c r="X67" s="74" t="s">
        <v>127</v>
      </c>
      <c r="Y67" s="75">
        <v>15.393800000000001</v>
      </c>
      <c r="Z67" s="75" t="s">
        <v>352</v>
      </c>
    </row>
    <row r="68" spans="1:26" x14ac:dyDescent="0.3">
      <c r="A68" s="72">
        <v>15</v>
      </c>
      <c r="B68" s="73">
        <v>45761</v>
      </c>
      <c r="C68" s="70" t="s">
        <v>178</v>
      </c>
      <c r="D68" s="74" t="s">
        <v>127</v>
      </c>
      <c r="E68" s="75">
        <v>5.4874999999999998</v>
      </c>
      <c r="F68" s="75" t="s">
        <v>352</v>
      </c>
      <c r="K68" s="72">
        <v>15</v>
      </c>
      <c r="L68" s="73">
        <v>45761</v>
      </c>
      <c r="M68" s="70" t="s">
        <v>179</v>
      </c>
      <c r="N68" s="74" t="s">
        <v>127</v>
      </c>
      <c r="O68" s="75">
        <v>12.229100000000001</v>
      </c>
      <c r="P68" s="75" t="s">
        <v>352</v>
      </c>
      <c r="U68" s="72">
        <v>15</v>
      </c>
      <c r="V68" s="73">
        <v>45761</v>
      </c>
      <c r="W68" s="70" t="s">
        <v>180</v>
      </c>
      <c r="X68" s="74" t="s">
        <v>127</v>
      </c>
      <c r="Y68" s="75">
        <v>15.586600000000001</v>
      </c>
      <c r="Z68" s="75" t="s">
        <v>352</v>
      </c>
    </row>
    <row r="69" spans="1:26" x14ac:dyDescent="0.3">
      <c r="A69" s="72">
        <v>16</v>
      </c>
      <c r="B69" s="73">
        <v>45768</v>
      </c>
      <c r="C69" s="70" t="s">
        <v>178</v>
      </c>
      <c r="D69" s="74" t="s">
        <v>127</v>
      </c>
      <c r="E69" s="75">
        <v>5.4622000000000002</v>
      </c>
      <c r="F69" s="75" t="s">
        <v>352</v>
      </c>
      <c r="K69" s="72">
        <v>16</v>
      </c>
      <c r="L69" s="73">
        <v>45768</v>
      </c>
      <c r="M69" s="70" t="s">
        <v>179</v>
      </c>
      <c r="N69" s="74" t="s">
        <v>127</v>
      </c>
      <c r="O69" s="75">
        <v>12.161099999999999</v>
      </c>
      <c r="P69" s="75" t="s">
        <v>352</v>
      </c>
      <c r="U69" s="72">
        <v>16</v>
      </c>
      <c r="V69" s="73">
        <v>45768</v>
      </c>
      <c r="W69" s="70" t="s">
        <v>180</v>
      </c>
      <c r="X69" s="74" t="s">
        <v>127</v>
      </c>
      <c r="Y69" s="75">
        <v>15.569100000000001</v>
      </c>
      <c r="Z69" s="75" t="s">
        <v>352</v>
      </c>
    </row>
    <row r="70" spans="1:26" x14ac:dyDescent="0.3">
      <c r="A70" s="72">
        <v>17</v>
      </c>
      <c r="B70" s="73">
        <v>45775</v>
      </c>
      <c r="C70" s="70" t="s">
        <v>178</v>
      </c>
      <c r="D70" s="74" t="s">
        <v>127</v>
      </c>
      <c r="E70" s="75">
        <v>5.3948</v>
      </c>
      <c r="F70" s="75" t="s">
        <v>352</v>
      </c>
      <c r="K70" s="72">
        <v>17</v>
      </c>
      <c r="L70" s="73">
        <v>45775</v>
      </c>
      <c r="M70" s="70" t="s">
        <v>179</v>
      </c>
      <c r="N70" s="74" t="s">
        <v>127</v>
      </c>
      <c r="O70" s="75">
        <v>12.354699999999999</v>
      </c>
      <c r="P70" s="75" t="s">
        <v>352</v>
      </c>
      <c r="U70" s="72">
        <v>17</v>
      </c>
      <c r="V70" s="73">
        <v>45775</v>
      </c>
      <c r="W70" s="70" t="s">
        <v>180</v>
      </c>
      <c r="X70" s="74" t="s">
        <v>127</v>
      </c>
      <c r="Y70" s="75">
        <v>15.545500000000001</v>
      </c>
      <c r="Z70" s="75" t="s">
        <v>352</v>
      </c>
    </row>
    <row r="71" spans="1:26" x14ac:dyDescent="0.3">
      <c r="A71" s="72">
        <v>18</v>
      </c>
      <c r="B71" s="73">
        <v>45782</v>
      </c>
      <c r="C71" s="70" t="s">
        <v>178</v>
      </c>
      <c r="D71" s="74" t="s">
        <v>127</v>
      </c>
      <c r="E71" s="75">
        <v>5.5438999999999998</v>
      </c>
      <c r="F71" s="75" t="s">
        <v>352</v>
      </c>
      <c r="K71" s="72">
        <v>18</v>
      </c>
      <c r="L71" s="73">
        <v>45782</v>
      </c>
      <c r="M71" s="70" t="s">
        <v>179</v>
      </c>
      <c r="N71" s="74" t="s">
        <v>127</v>
      </c>
      <c r="O71" s="75">
        <v>12.3561</v>
      </c>
      <c r="P71" s="75" t="s">
        <v>352</v>
      </c>
      <c r="U71" s="72">
        <v>18</v>
      </c>
      <c r="V71" s="73">
        <v>45782</v>
      </c>
      <c r="W71" s="70" t="s">
        <v>180</v>
      </c>
      <c r="X71" s="74" t="s">
        <v>127</v>
      </c>
      <c r="Y71" s="75">
        <v>15.5687</v>
      </c>
      <c r="Z71" s="75" t="s">
        <v>352</v>
      </c>
    </row>
    <row r="72" spans="1:26" x14ac:dyDescent="0.3">
      <c r="A72" s="72">
        <v>19</v>
      </c>
      <c r="B72" s="73">
        <v>45789</v>
      </c>
      <c r="C72" s="70" t="s">
        <v>178</v>
      </c>
      <c r="D72" s="74" t="s">
        <v>127</v>
      </c>
      <c r="E72" s="75">
        <v>5.4985999999999997</v>
      </c>
      <c r="F72" s="75" t="s">
        <v>352</v>
      </c>
      <c r="K72" s="72">
        <v>19</v>
      </c>
      <c r="L72" s="73">
        <v>45789</v>
      </c>
      <c r="M72" s="70" t="s">
        <v>179</v>
      </c>
      <c r="N72" s="74" t="s">
        <v>127</v>
      </c>
      <c r="O72" s="75">
        <v>12.264200000000001</v>
      </c>
      <c r="P72" s="75" t="s">
        <v>352</v>
      </c>
      <c r="U72" s="72">
        <v>19</v>
      </c>
      <c r="V72" s="73">
        <v>45789</v>
      </c>
      <c r="W72" s="70" t="s">
        <v>180</v>
      </c>
      <c r="X72" s="74" t="s">
        <v>127</v>
      </c>
      <c r="Y72" s="75">
        <v>15.4955</v>
      </c>
      <c r="Z72" s="75" t="s">
        <v>352</v>
      </c>
    </row>
    <row r="73" spans="1:26" x14ac:dyDescent="0.3">
      <c r="A73" s="72">
        <v>20</v>
      </c>
      <c r="B73" s="73">
        <v>45796</v>
      </c>
      <c r="C73" s="70" t="s">
        <v>178</v>
      </c>
      <c r="D73" s="74" t="s">
        <v>127</v>
      </c>
      <c r="E73" s="75">
        <v>5.5042999999999997</v>
      </c>
      <c r="F73" s="75" t="s">
        <v>352</v>
      </c>
      <c r="K73" s="72">
        <v>20</v>
      </c>
      <c r="L73" s="73">
        <v>45796</v>
      </c>
      <c r="M73" s="70" t="s">
        <v>179</v>
      </c>
      <c r="N73" s="74" t="s">
        <v>127</v>
      </c>
      <c r="O73" s="75">
        <v>12.3209</v>
      </c>
      <c r="P73" s="75" t="s">
        <v>352</v>
      </c>
      <c r="U73" s="72">
        <v>20</v>
      </c>
      <c r="V73" s="73">
        <v>45796</v>
      </c>
      <c r="W73" s="70" t="s">
        <v>180</v>
      </c>
      <c r="X73" s="74" t="s">
        <v>127</v>
      </c>
      <c r="Y73" s="75">
        <v>15.442299999999999</v>
      </c>
      <c r="Z73" s="75" t="s">
        <v>352</v>
      </c>
    </row>
    <row r="74" spans="1:26" x14ac:dyDescent="0.3">
      <c r="A74" s="72">
        <v>21</v>
      </c>
      <c r="B74" s="73">
        <v>45803</v>
      </c>
      <c r="C74" s="70" t="s">
        <v>178</v>
      </c>
      <c r="D74" s="74" t="s">
        <v>127</v>
      </c>
      <c r="E74" s="75">
        <v>5.4550000000000001</v>
      </c>
      <c r="F74" s="75" t="s">
        <v>352</v>
      </c>
      <c r="K74" s="72">
        <v>21</v>
      </c>
      <c r="L74" s="73">
        <v>45803</v>
      </c>
      <c r="M74" s="70" t="s">
        <v>179</v>
      </c>
      <c r="N74" s="74" t="s">
        <v>127</v>
      </c>
      <c r="O74" s="75">
        <v>12.3408</v>
      </c>
      <c r="P74" s="75" t="s">
        <v>352</v>
      </c>
      <c r="U74" s="72">
        <v>21</v>
      </c>
      <c r="V74" s="73">
        <v>45803</v>
      </c>
      <c r="W74" s="70" t="s">
        <v>180</v>
      </c>
      <c r="X74" s="74" t="s">
        <v>127</v>
      </c>
      <c r="Y74" s="75">
        <v>15.552</v>
      </c>
      <c r="Z74" s="75" t="s">
        <v>352</v>
      </c>
    </row>
    <row r="75" spans="1:26" x14ac:dyDescent="0.3">
      <c r="A75" s="72">
        <v>22</v>
      </c>
      <c r="B75" s="73">
        <v>45810</v>
      </c>
      <c r="C75" s="70" t="s">
        <v>178</v>
      </c>
      <c r="D75" s="74" t="s">
        <v>127</v>
      </c>
      <c r="E75" s="75">
        <v>5.5271999999999997</v>
      </c>
      <c r="F75" s="75" t="s">
        <v>352</v>
      </c>
      <c r="K75" s="72">
        <v>22</v>
      </c>
      <c r="L75" s="73">
        <v>45810</v>
      </c>
      <c r="M75" s="70" t="s">
        <v>179</v>
      </c>
      <c r="N75" s="74" t="s">
        <v>127</v>
      </c>
      <c r="O75" s="75">
        <v>12.344900000000001</v>
      </c>
      <c r="P75" s="75" t="s">
        <v>352</v>
      </c>
      <c r="U75" s="72">
        <v>22</v>
      </c>
      <c r="V75" s="73">
        <v>45810</v>
      </c>
      <c r="W75" s="70" t="s">
        <v>180</v>
      </c>
      <c r="X75" s="74" t="s">
        <v>127</v>
      </c>
      <c r="Y75" s="75">
        <v>15.4864</v>
      </c>
      <c r="Z75" s="75" t="s">
        <v>352</v>
      </c>
    </row>
    <row r="76" spans="1:26" x14ac:dyDescent="0.3">
      <c r="A76" s="72">
        <v>23</v>
      </c>
      <c r="B76" s="73">
        <v>45817</v>
      </c>
      <c r="C76" s="70" t="s">
        <v>178</v>
      </c>
      <c r="D76" s="74" t="s">
        <v>127</v>
      </c>
      <c r="E76" s="75">
        <v>5.4678000000000004</v>
      </c>
      <c r="F76" s="75" t="s">
        <v>352</v>
      </c>
      <c r="K76" s="72">
        <v>23</v>
      </c>
      <c r="L76" s="73">
        <v>45817</v>
      </c>
      <c r="M76" s="70" t="s">
        <v>179</v>
      </c>
      <c r="N76" s="74" t="s">
        <v>127</v>
      </c>
      <c r="O76" s="75">
        <v>12.352399999999999</v>
      </c>
      <c r="P76" s="75" t="s">
        <v>352</v>
      </c>
      <c r="U76" s="72">
        <v>23</v>
      </c>
      <c r="V76" s="73">
        <v>45817</v>
      </c>
      <c r="W76" s="70" t="s">
        <v>180</v>
      </c>
      <c r="X76" s="74" t="s">
        <v>127</v>
      </c>
      <c r="Y76" s="75">
        <v>15.431699999999999</v>
      </c>
      <c r="Z76" s="75" t="s">
        <v>352</v>
      </c>
    </row>
    <row r="77" spans="1:26" x14ac:dyDescent="0.3">
      <c r="A77" s="72">
        <v>24</v>
      </c>
      <c r="B77" s="73">
        <v>45824</v>
      </c>
      <c r="C77" s="70" t="s">
        <v>178</v>
      </c>
      <c r="D77" s="74" t="s">
        <v>127</v>
      </c>
      <c r="E77" s="75">
        <v>5.4915000000000003</v>
      </c>
      <c r="F77" s="75" t="s">
        <v>352</v>
      </c>
      <c r="K77" s="72">
        <v>24</v>
      </c>
      <c r="L77" s="73">
        <v>45824</v>
      </c>
      <c r="M77" s="70" t="s">
        <v>179</v>
      </c>
      <c r="N77" s="74" t="s">
        <v>127</v>
      </c>
      <c r="O77" s="75">
        <v>12.238</v>
      </c>
      <c r="P77" s="75" t="s">
        <v>352</v>
      </c>
      <c r="U77" s="72">
        <v>24</v>
      </c>
      <c r="V77" s="73">
        <v>45824</v>
      </c>
      <c r="W77" s="70" t="s">
        <v>180</v>
      </c>
      <c r="X77" s="74" t="s">
        <v>127</v>
      </c>
      <c r="Y77" s="75">
        <v>15.6067</v>
      </c>
      <c r="Z77" s="75" t="s">
        <v>352</v>
      </c>
    </row>
    <row r="78" spans="1:26" x14ac:dyDescent="0.3">
      <c r="A78" s="72">
        <v>25</v>
      </c>
      <c r="B78" s="73">
        <v>45831</v>
      </c>
      <c r="C78" s="70" t="s">
        <v>178</v>
      </c>
      <c r="D78" s="74" t="s">
        <v>127</v>
      </c>
      <c r="E78" s="75">
        <v>5.4337999999999997</v>
      </c>
      <c r="F78" s="75" t="s">
        <v>352</v>
      </c>
      <c r="K78" s="72">
        <v>25</v>
      </c>
      <c r="L78" s="73">
        <v>45831</v>
      </c>
      <c r="M78" s="70" t="s">
        <v>179</v>
      </c>
      <c r="N78" s="74" t="s">
        <v>127</v>
      </c>
      <c r="O78" s="75">
        <v>12.4017</v>
      </c>
      <c r="P78" s="75" t="s">
        <v>352</v>
      </c>
      <c r="U78" s="72">
        <v>25</v>
      </c>
      <c r="V78" s="73">
        <v>45831</v>
      </c>
      <c r="W78" s="70" t="s">
        <v>180</v>
      </c>
      <c r="X78" s="74" t="s">
        <v>127</v>
      </c>
      <c r="Y78" s="75">
        <v>15.560499999999999</v>
      </c>
      <c r="Z78" s="75" t="s">
        <v>352</v>
      </c>
    </row>
    <row r="79" spans="1:26" x14ac:dyDescent="0.3">
      <c r="A79" s="72">
        <v>1</v>
      </c>
      <c r="B79" s="73">
        <v>45663</v>
      </c>
      <c r="C79" s="70" t="s">
        <v>178</v>
      </c>
      <c r="D79" s="74" t="s">
        <v>128</v>
      </c>
      <c r="E79" s="75">
        <v>16.760400000000001</v>
      </c>
      <c r="F79" s="75" t="s">
        <v>352</v>
      </c>
      <c r="K79" s="72">
        <v>1</v>
      </c>
      <c r="L79" s="73">
        <v>45663</v>
      </c>
      <c r="M79" s="70" t="s">
        <v>179</v>
      </c>
      <c r="N79" s="74" t="s">
        <v>128</v>
      </c>
      <c r="O79" s="75">
        <v>34.364199999999997</v>
      </c>
      <c r="P79" s="75" t="s">
        <v>352</v>
      </c>
      <c r="U79" s="72">
        <v>1</v>
      </c>
      <c r="V79" s="73">
        <v>45663</v>
      </c>
      <c r="W79" s="70" t="s">
        <v>180</v>
      </c>
      <c r="X79" s="74" t="s">
        <v>128</v>
      </c>
      <c r="Y79" s="75">
        <v>45.295299999999997</v>
      </c>
      <c r="Z79" s="75" t="s">
        <v>352</v>
      </c>
    </row>
    <row r="80" spans="1:26" x14ac:dyDescent="0.3">
      <c r="A80" s="72">
        <v>2</v>
      </c>
      <c r="B80" s="73">
        <v>45670</v>
      </c>
      <c r="C80" s="70" t="s">
        <v>178</v>
      </c>
      <c r="D80" s="74" t="s">
        <v>128</v>
      </c>
      <c r="E80" s="75">
        <v>16.328099999999999</v>
      </c>
      <c r="F80" s="75" t="s">
        <v>352</v>
      </c>
      <c r="K80" s="72">
        <v>2</v>
      </c>
      <c r="L80" s="73">
        <v>45670</v>
      </c>
      <c r="M80" s="70" t="s">
        <v>179</v>
      </c>
      <c r="N80" s="74" t="s">
        <v>128</v>
      </c>
      <c r="O80" s="75">
        <v>35.594799999999999</v>
      </c>
      <c r="P80" s="75" t="s">
        <v>352</v>
      </c>
      <c r="U80" s="72">
        <v>2</v>
      </c>
      <c r="V80" s="73">
        <v>45670</v>
      </c>
      <c r="W80" s="70" t="s">
        <v>180</v>
      </c>
      <c r="X80" s="74" t="s">
        <v>128</v>
      </c>
      <c r="Y80" s="75">
        <v>45.099200000000003</v>
      </c>
      <c r="Z80" s="75" t="s">
        <v>352</v>
      </c>
    </row>
    <row r="81" spans="1:26" x14ac:dyDescent="0.3">
      <c r="A81" s="72">
        <v>3</v>
      </c>
      <c r="B81" s="73">
        <v>45677</v>
      </c>
      <c r="C81" s="70" t="s">
        <v>178</v>
      </c>
      <c r="D81" s="74" t="s">
        <v>128</v>
      </c>
      <c r="E81" s="75">
        <v>16.430700000000002</v>
      </c>
      <c r="F81" s="75" t="s">
        <v>352</v>
      </c>
      <c r="K81" s="72">
        <v>3</v>
      </c>
      <c r="L81" s="73">
        <v>45677</v>
      </c>
      <c r="M81" s="70" t="s">
        <v>179</v>
      </c>
      <c r="N81" s="74" t="s">
        <v>128</v>
      </c>
      <c r="O81" s="75">
        <v>36.4375</v>
      </c>
      <c r="P81" s="75" t="s">
        <v>352</v>
      </c>
      <c r="U81" s="72">
        <v>3</v>
      </c>
      <c r="V81" s="73">
        <v>45677</v>
      </c>
      <c r="W81" s="70" t="s">
        <v>180</v>
      </c>
      <c r="X81" s="74" t="s">
        <v>128</v>
      </c>
      <c r="Y81" s="75">
        <v>43.606699999999996</v>
      </c>
      <c r="Z81" s="75" t="s">
        <v>352</v>
      </c>
    </row>
    <row r="82" spans="1:26" x14ac:dyDescent="0.3">
      <c r="A82" s="72">
        <v>4</v>
      </c>
      <c r="B82" s="73">
        <v>45684</v>
      </c>
      <c r="C82" s="70" t="s">
        <v>178</v>
      </c>
      <c r="D82" s="74" t="s">
        <v>128</v>
      </c>
      <c r="E82" s="75">
        <v>16.325099999999999</v>
      </c>
      <c r="F82" s="75" t="s">
        <v>352</v>
      </c>
      <c r="K82" s="72">
        <v>4</v>
      </c>
      <c r="L82" s="73">
        <v>45684</v>
      </c>
      <c r="M82" s="70" t="s">
        <v>179</v>
      </c>
      <c r="N82" s="74" t="s">
        <v>128</v>
      </c>
      <c r="O82" s="75">
        <v>35.855800000000002</v>
      </c>
      <c r="P82" s="75" t="s">
        <v>352</v>
      </c>
      <c r="U82" s="72">
        <v>4</v>
      </c>
      <c r="V82" s="73">
        <v>45684</v>
      </c>
      <c r="W82" s="70" t="s">
        <v>180</v>
      </c>
      <c r="X82" s="74" t="s">
        <v>128</v>
      </c>
      <c r="Y82" s="75">
        <v>45.035200000000003</v>
      </c>
      <c r="Z82" s="75" t="s">
        <v>352</v>
      </c>
    </row>
    <row r="83" spans="1:26" x14ac:dyDescent="0.3">
      <c r="A83" s="72">
        <v>5</v>
      </c>
      <c r="B83" s="73">
        <v>45691</v>
      </c>
      <c r="C83" s="70" t="s">
        <v>178</v>
      </c>
      <c r="D83" s="74" t="s">
        <v>128</v>
      </c>
      <c r="E83" s="75">
        <v>16.3599</v>
      </c>
      <c r="F83" s="75" t="s">
        <v>352</v>
      </c>
      <c r="K83" s="72">
        <v>5</v>
      </c>
      <c r="L83" s="73">
        <v>45691</v>
      </c>
      <c r="M83" s="70" t="s">
        <v>179</v>
      </c>
      <c r="N83" s="74" t="s">
        <v>128</v>
      </c>
      <c r="O83" s="75">
        <v>35.304299999999998</v>
      </c>
      <c r="P83" s="75" t="s">
        <v>352</v>
      </c>
      <c r="U83" s="72">
        <v>5</v>
      </c>
      <c r="V83" s="73">
        <v>45691</v>
      </c>
      <c r="W83" s="70" t="s">
        <v>180</v>
      </c>
      <c r="X83" s="74" t="s">
        <v>128</v>
      </c>
      <c r="Y83" s="75">
        <v>44.8797</v>
      </c>
      <c r="Z83" s="75" t="s">
        <v>352</v>
      </c>
    </row>
    <row r="84" spans="1:26" x14ac:dyDescent="0.3">
      <c r="A84" s="72">
        <v>6</v>
      </c>
      <c r="B84" s="73">
        <v>45698</v>
      </c>
      <c r="C84" s="70" t="s">
        <v>178</v>
      </c>
      <c r="D84" s="74" t="s">
        <v>128</v>
      </c>
      <c r="E84" s="75">
        <v>16.695</v>
      </c>
      <c r="F84" s="75" t="s">
        <v>352</v>
      </c>
      <c r="K84" s="72">
        <v>6</v>
      </c>
      <c r="L84" s="73">
        <v>45698</v>
      </c>
      <c r="M84" s="70" t="s">
        <v>179</v>
      </c>
      <c r="N84" s="74" t="s">
        <v>128</v>
      </c>
      <c r="O84" s="75">
        <v>35.409100000000002</v>
      </c>
      <c r="P84" s="75" t="s">
        <v>352</v>
      </c>
      <c r="U84" s="72">
        <v>6</v>
      </c>
      <c r="V84" s="73">
        <v>45698</v>
      </c>
      <c r="W84" s="70" t="s">
        <v>180</v>
      </c>
      <c r="X84" s="74" t="s">
        <v>128</v>
      </c>
      <c r="Y84" s="75">
        <v>44.951900000000002</v>
      </c>
      <c r="Z84" s="75" t="s">
        <v>352</v>
      </c>
    </row>
    <row r="85" spans="1:26" x14ac:dyDescent="0.3">
      <c r="A85" s="72">
        <v>7</v>
      </c>
      <c r="B85" s="73">
        <v>45705</v>
      </c>
      <c r="C85" s="70" t="s">
        <v>178</v>
      </c>
      <c r="D85" s="74" t="s">
        <v>128</v>
      </c>
      <c r="E85" s="75">
        <v>16.391999999999999</v>
      </c>
      <c r="F85" s="75" t="s">
        <v>352</v>
      </c>
      <c r="K85" s="72">
        <v>7</v>
      </c>
      <c r="L85" s="73">
        <v>45705</v>
      </c>
      <c r="M85" s="70" t="s">
        <v>179</v>
      </c>
      <c r="N85" s="74" t="s">
        <v>128</v>
      </c>
      <c r="O85" s="75">
        <v>36.345700000000001</v>
      </c>
      <c r="P85" s="75" t="s">
        <v>352</v>
      </c>
      <c r="U85" s="72">
        <v>7</v>
      </c>
      <c r="V85" s="73">
        <v>45705</v>
      </c>
      <c r="W85" s="70" t="s">
        <v>180</v>
      </c>
      <c r="X85" s="74" t="s">
        <v>128</v>
      </c>
      <c r="Y85" s="75">
        <v>44.373199999999997</v>
      </c>
      <c r="Z85" s="75" t="s">
        <v>352</v>
      </c>
    </row>
    <row r="86" spans="1:26" x14ac:dyDescent="0.3">
      <c r="A86" s="72">
        <v>8</v>
      </c>
      <c r="B86" s="73">
        <v>45712</v>
      </c>
      <c r="C86" s="70" t="s">
        <v>178</v>
      </c>
      <c r="D86" s="74" t="s">
        <v>128</v>
      </c>
      <c r="E86" s="75">
        <v>16.744800000000001</v>
      </c>
      <c r="F86" s="75" t="s">
        <v>352</v>
      </c>
      <c r="K86" s="72">
        <v>8</v>
      </c>
      <c r="L86" s="73">
        <v>45712</v>
      </c>
      <c r="M86" s="70" t="s">
        <v>179</v>
      </c>
      <c r="N86" s="74" t="s">
        <v>128</v>
      </c>
      <c r="O86" s="75">
        <v>35.905799999999999</v>
      </c>
      <c r="P86" s="75" t="s">
        <v>352</v>
      </c>
      <c r="U86" s="72">
        <v>8</v>
      </c>
      <c r="V86" s="73">
        <v>45712</v>
      </c>
      <c r="W86" s="70" t="s">
        <v>180</v>
      </c>
      <c r="X86" s="74" t="s">
        <v>128</v>
      </c>
      <c r="Y86" s="75">
        <v>44.776000000000003</v>
      </c>
      <c r="Z86" s="75" t="s">
        <v>352</v>
      </c>
    </row>
    <row r="87" spans="1:26" x14ac:dyDescent="0.3">
      <c r="A87" s="72">
        <v>9</v>
      </c>
      <c r="B87" s="73">
        <v>45719</v>
      </c>
      <c r="C87" s="70" t="s">
        <v>178</v>
      </c>
      <c r="D87" s="74" t="s">
        <v>128</v>
      </c>
      <c r="E87" s="75">
        <v>16.739699999999999</v>
      </c>
      <c r="F87" s="75" t="s">
        <v>352</v>
      </c>
      <c r="K87" s="72">
        <v>9</v>
      </c>
      <c r="L87" s="73">
        <v>45719</v>
      </c>
      <c r="M87" s="70" t="s">
        <v>179</v>
      </c>
      <c r="N87" s="74" t="s">
        <v>128</v>
      </c>
      <c r="O87" s="75">
        <v>35.856200000000001</v>
      </c>
      <c r="P87" s="75" t="s">
        <v>352</v>
      </c>
      <c r="U87" s="72">
        <v>9</v>
      </c>
      <c r="V87" s="73">
        <v>45719</v>
      </c>
      <c r="W87" s="70" t="s">
        <v>180</v>
      </c>
      <c r="X87" s="74" t="s">
        <v>128</v>
      </c>
      <c r="Y87" s="75">
        <v>44.821399999999997</v>
      </c>
      <c r="Z87" s="75" t="s">
        <v>352</v>
      </c>
    </row>
    <row r="88" spans="1:26" x14ac:dyDescent="0.3">
      <c r="A88" s="72">
        <v>10</v>
      </c>
      <c r="B88" s="73">
        <v>45726</v>
      </c>
      <c r="C88" s="70" t="s">
        <v>178</v>
      </c>
      <c r="D88" s="74" t="s">
        <v>128</v>
      </c>
      <c r="E88" s="75">
        <v>17.261700000000001</v>
      </c>
      <c r="F88" s="75" t="s">
        <v>352</v>
      </c>
      <c r="K88" s="72">
        <v>10</v>
      </c>
      <c r="L88" s="73">
        <v>45726</v>
      </c>
      <c r="M88" s="70" t="s">
        <v>179</v>
      </c>
      <c r="N88" s="74" t="s">
        <v>128</v>
      </c>
      <c r="O88" s="75">
        <v>35.810299999999998</v>
      </c>
      <c r="P88" s="75" t="s">
        <v>352</v>
      </c>
      <c r="U88" s="72">
        <v>10</v>
      </c>
      <c r="V88" s="73">
        <v>45726</v>
      </c>
      <c r="W88" s="70" t="s">
        <v>180</v>
      </c>
      <c r="X88" s="74" t="s">
        <v>128</v>
      </c>
      <c r="Y88" s="75">
        <v>45.503</v>
      </c>
      <c r="Z88" s="75" t="s">
        <v>352</v>
      </c>
    </row>
    <row r="89" spans="1:26" x14ac:dyDescent="0.3">
      <c r="A89" s="72">
        <v>11</v>
      </c>
      <c r="B89" s="73">
        <v>45733</v>
      </c>
      <c r="C89" s="70" t="s">
        <v>178</v>
      </c>
      <c r="D89" s="74" t="s">
        <v>128</v>
      </c>
      <c r="E89" s="75">
        <v>16.203099999999999</v>
      </c>
      <c r="F89" s="75" t="s">
        <v>352</v>
      </c>
      <c r="K89" s="72">
        <v>11</v>
      </c>
      <c r="L89" s="73">
        <v>45733</v>
      </c>
      <c r="M89" s="70" t="s">
        <v>179</v>
      </c>
      <c r="N89" s="74" t="s">
        <v>128</v>
      </c>
      <c r="O89" s="75">
        <v>35.851799999999997</v>
      </c>
      <c r="P89" s="75" t="s">
        <v>352</v>
      </c>
      <c r="U89" s="72">
        <v>11</v>
      </c>
      <c r="V89" s="73">
        <v>45733</v>
      </c>
      <c r="W89" s="70" t="s">
        <v>180</v>
      </c>
      <c r="X89" s="74" t="s">
        <v>128</v>
      </c>
      <c r="Y89" s="75">
        <v>45.077199999999998</v>
      </c>
      <c r="Z89" s="75" t="s">
        <v>352</v>
      </c>
    </row>
    <row r="90" spans="1:26" x14ac:dyDescent="0.3">
      <c r="A90" s="72">
        <v>12</v>
      </c>
      <c r="B90" s="73">
        <v>45740</v>
      </c>
      <c r="C90" s="70" t="s">
        <v>178</v>
      </c>
      <c r="D90" s="74" t="s">
        <v>128</v>
      </c>
      <c r="E90" s="75">
        <v>16.909500000000001</v>
      </c>
      <c r="F90" s="75" t="s">
        <v>352</v>
      </c>
      <c r="K90" s="72">
        <v>12</v>
      </c>
      <c r="L90" s="73">
        <v>45740</v>
      </c>
      <c r="M90" s="70" t="s">
        <v>179</v>
      </c>
      <c r="N90" s="74" t="s">
        <v>128</v>
      </c>
      <c r="O90" s="75">
        <v>36.198700000000002</v>
      </c>
      <c r="P90" s="75" t="s">
        <v>352</v>
      </c>
      <c r="U90" s="72">
        <v>12</v>
      </c>
      <c r="V90" s="73">
        <v>45740</v>
      </c>
      <c r="W90" s="70" t="s">
        <v>180</v>
      </c>
      <c r="X90" s="74" t="s">
        <v>128</v>
      </c>
      <c r="Y90" s="75">
        <v>44.907600000000002</v>
      </c>
      <c r="Z90" s="75" t="s">
        <v>352</v>
      </c>
    </row>
    <row r="91" spans="1:26" x14ac:dyDescent="0.3">
      <c r="A91" s="72">
        <v>13</v>
      </c>
      <c r="B91" s="73">
        <v>45747</v>
      </c>
      <c r="C91" s="70" t="s">
        <v>178</v>
      </c>
      <c r="D91" s="74" t="s">
        <v>128</v>
      </c>
      <c r="E91" s="75">
        <v>16.6068</v>
      </c>
      <c r="F91" s="75" t="s">
        <v>352</v>
      </c>
      <c r="K91" s="72">
        <v>13</v>
      </c>
      <c r="L91" s="73">
        <v>45747</v>
      </c>
      <c r="M91" s="70" t="s">
        <v>179</v>
      </c>
      <c r="N91" s="74" t="s">
        <v>128</v>
      </c>
      <c r="O91" s="75">
        <v>36.084400000000002</v>
      </c>
      <c r="P91" s="75" t="s">
        <v>352</v>
      </c>
      <c r="U91" s="72">
        <v>13</v>
      </c>
      <c r="V91" s="73">
        <v>45747</v>
      </c>
      <c r="W91" s="70" t="s">
        <v>180</v>
      </c>
      <c r="X91" s="74" t="s">
        <v>128</v>
      </c>
      <c r="Y91" s="75">
        <v>45.673000000000002</v>
      </c>
      <c r="Z91" s="75" t="s">
        <v>352</v>
      </c>
    </row>
    <row r="92" spans="1:26" x14ac:dyDescent="0.3">
      <c r="A92" s="72">
        <v>14</v>
      </c>
      <c r="B92" s="73">
        <v>45754</v>
      </c>
      <c r="C92" s="70" t="s">
        <v>178</v>
      </c>
      <c r="D92" s="74" t="s">
        <v>128</v>
      </c>
      <c r="E92" s="75">
        <v>16.630099999999999</v>
      </c>
      <c r="F92" s="75" t="s">
        <v>352</v>
      </c>
      <c r="K92" s="72">
        <v>14</v>
      </c>
      <c r="L92" s="73">
        <v>45754</v>
      </c>
      <c r="M92" s="70" t="s">
        <v>179</v>
      </c>
      <c r="N92" s="74" t="s">
        <v>128</v>
      </c>
      <c r="O92" s="75">
        <v>35.932000000000002</v>
      </c>
      <c r="P92" s="75" t="s">
        <v>352</v>
      </c>
      <c r="U92" s="72">
        <v>14</v>
      </c>
      <c r="V92" s="73">
        <v>45754</v>
      </c>
      <c r="W92" s="70" t="s">
        <v>180</v>
      </c>
      <c r="X92" s="74" t="s">
        <v>128</v>
      </c>
      <c r="Y92" s="75">
        <v>44.633400000000002</v>
      </c>
      <c r="Z92" s="75" t="s">
        <v>352</v>
      </c>
    </row>
    <row r="93" spans="1:26" x14ac:dyDescent="0.3">
      <c r="A93" s="72">
        <v>15</v>
      </c>
      <c r="B93" s="73">
        <v>45761</v>
      </c>
      <c r="C93" s="70" t="s">
        <v>178</v>
      </c>
      <c r="D93" s="74" t="s">
        <v>128</v>
      </c>
      <c r="E93" s="75">
        <v>16.185500000000001</v>
      </c>
      <c r="F93" s="75" t="s">
        <v>352</v>
      </c>
      <c r="K93" s="72">
        <v>15</v>
      </c>
      <c r="L93" s="73">
        <v>45761</v>
      </c>
      <c r="M93" s="70" t="s">
        <v>179</v>
      </c>
      <c r="N93" s="74" t="s">
        <v>128</v>
      </c>
      <c r="O93" s="75">
        <v>35.362900000000003</v>
      </c>
      <c r="P93" s="75" t="s">
        <v>352</v>
      </c>
      <c r="U93" s="72">
        <v>15</v>
      </c>
      <c r="V93" s="73">
        <v>45761</v>
      </c>
      <c r="W93" s="70" t="s">
        <v>180</v>
      </c>
      <c r="X93" s="74" t="s">
        <v>128</v>
      </c>
      <c r="Y93" s="75">
        <v>44.716099999999997</v>
      </c>
      <c r="Z93" s="75" t="s">
        <v>352</v>
      </c>
    </row>
    <row r="94" spans="1:26" x14ac:dyDescent="0.3">
      <c r="A94" s="72">
        <v>16</v>
      </c>
      <c r="B94" s="73">
        <v>45768</v>
      </c>
      <c r="C94" s="70" t="s">
        <v>178</v>
      </c>
      <c r="D94" s="74" t="s">
        <v>128</v>
      </c>
      <c r="E94" s="75">
        <v>16.492000000000001</v>
      </c>
      <c r="F94" s="75" t="s">
        <v>352</v>
      </c>
      <c r="K94" s="72">
        <v>16</v>
      </c>
      <c r="L94" s="73">
        <v>45768</v>
      </c>
      <c r="M94" s="70" t="s">
        <v>179</v>
      </c>
      <c r="N94" s="74" t="s">
        <v>128</v>
      </c>
      <c r="O94" s="75">
        <v>36.065600000000003</v>
      </c>
      <c r="P94" s="75" t="s">
        <v>352</v>
      </c>
      <c r="U94" s="72">
        <v>16</v>
      </c>
      <c r="V94" s="73">
        <v>45768</v>
      </c>
      <c r="W94" s="70" t="s">
        <v>180</v>
      </c>
      <c r="X94" s="74" t="s">
        <v>128</v>
      </c>
      <c r="Y94" s="75">
        <v>44.004100000000001</v>
      </c>
      <c r="Z94" s="75" t="s">
        <v>352</v>
      </c>
    </row>
    <row r="95" spans="1:26" x14ac:dyDescent="0.3">
      <c r="A95" s="72">
        <v>17</v>
      </c>
      <c r="B95" s="73">
        <v>45775</v>
      </c>
      <c r="C95" s="70" t="s">
        <v>178</v>
      </c>
      <c r="D95" s="74" t="s">
        <v>128</v>
      </c>
      <c r="E95" s="75">
        <v>16.864599999999999</v>
      </c>
      <c r="F95" s="75" t="s">
        <v>352</v>
      </c>
      <c r="K95" s="72">
        <v>17</v>
      </c>
      <c r="L95" s="73">
        <v>45775</v>
      </c>
      <c r="M95" s="70" t="s">
        <v>179</v>
      </c>
      <c r="N95" s="74" t="s">
        <v>128</v>
      </c>
      <c r="O95" s="75">
        <v>35.525100000000002</v>
      </c>
      <c r="P95" s="75" t="s">
        <v>352</v>
      </c>
      <c r="U95" s="72">
        <v>17</v>
      </c>
      <c r="V95" s="73">
        <v>45775</v>
      </c>
      <c r="W95" s="70" t="s">
        <v>180</v>
      </c>
      <c r="X95" s="74" t="s">
        <v>128</v>
      </c>
      <c r="Y95" s="75">
        <v>45.692999999999998</v>
      </c>
      <c r="Z95" s="75" t="s">
        <v>352</v>
      </c>
    </row>
    <row r="96" spans="1:26" x14ac:dyDescent="0.3">
      <c r="A96" s="72">
        <v>18</v>
      </c>
      <c r="B96" s="73">
        <v>45782</v>
      </c>
      <c r="C96" s="70" t="s">
        <v>178</v>
      </c>
      <c r="D96" s="74" t="s">
        <v>128</v>
      </c>
      <c r="E96" s="75">
        <v>16.608899999999998</v>
      </c>
      <c r="F96" s="75" t="s">
        <v>352</v>
      </c>
      <c r="K96" s="72">
        <v>18</v>
      </c>
      <c r="L96" s="73">
        <v>45782</v>
      </c>
      <c r="M96" s="70" t="s">
        <v>179</v>
      </c>
      <c r="N96" s="74" t="s">
        <v>128</v>
      </c>
      <c r="O96" s="75">
        <v>36.329099999999997</v>
      </c>
      <c r="P96" s="75" t="s">
        <v>352</v>
      </c>
      <c r="U96" s="72">
        <v>18</v>
      </c>
      <c r="V96" s="73">
        <v>45782</v>
      </c>
      <c r="W96" s="70" t="s">
        <v>180</v>
      </c>
      <c r="X96" s="74" t="s">
        <v>128</v>
      </c>
      <c r="Y96" s="75">
        <v>45.391399999999997</v>
      </c>
      <c r="Z96" s="75" t="s">
        <v>352</v>
      </c>
    </row>
    <row r="97" spans="1:26" x14ac:dyDescent="0.3">
      <c r="A97" s="72">
        <v>19</v>
      </c>
      <c r="B97" s="73">
        <v>45789</v>
      </c>
      <c r="C97" s="70" t="s">
        <v>178</v>
      </c>
      <c r="D97" s="74" t="s">
        <v>128</v>
      </c>
      <c r="E97" s="75">
        <v>16.659600000000001</v>
      </c>
      <c r="F97" s="75" t="s">
        <v>352</v>
      </c>
      <c r="K97" s="72">
        <v>19</v>
      </c>
      <c r="L97" s="73">
        <v>45789</v>
      </c>
      <c r="M97" s="70" t="s">
        <v>179</v>
      </c>
      <c r="N97" s="74" t="s">
        <v>128</v>
      </c>
      <c r="O97" s="75">
        <v>35.259700000000002</v>
      </c>
      <c r="P97" s="75" t="s">
        <v>352</v>
      </c>
      <c r="U97" s="72">
        <v>19</v>
      </c>
      <c r="V97" s="73">
        <v>45789</v>
      </c>
      <c r="W97" s="70" t="s">
        <v>180</v>
      </c>
      <c r="X97" s="74" t="s">
        <v>128</v>
      </c>
      <c r="Y97" s="75">
        <v>45.367699999999999</v>
      </c>
      <c r="Z97" s="75" t="s">
        <v>352</v>
      </c>
    </row>
    <row r="98" spans="1:26" x14ac:dyDescent="0.3">
      <c r="A98" s="72">
        <v>20</v>
      </c>
      <c r="B98" s="73">
        <v>45796</v>
      </c>
      <c r="C98" s="70" t="s">
        <v>178</v>
      </c>
      <c r="D98" s="74" t="s">
        <v>128</v>
      </c>
      <c r="E98" s="75">
        <v>16.5444</v>
      </c>
      <c r="F98" s="75" t="s">
        <v>352</v>
      </c>
      <c r="K98" s="72">
        <v>20</v>
      </c>
      <c r="L98" s="73">
        <v>45796</v>
      </c>
      <c r="M98" s="70" t="s">
        <v>179</v>
      </c>
      <c r="N98" s="74" t="s">
        <v>128</v>
      </c>
      <c r="O98" s="75">
        <v>35.772300000000001</v>
      </c>
      <c r="P98" s="75" t="s">
        <v>352</v>
      </c>
      <c r="U98" s="72">
        <v>20</v>
      </c>
      <c r="V98" s="73">
        <v>45796</v>
      </c>
      <c r="W98" s="70" t="s">
        <v>180</v>
      </c>
      <c r="X98" s="74" t="s">
        <v>128</v>
      </c>
      <c r="Y98" s="75">
        <v>45.244</v>
      </c>
      <c r="Z98" s="75" t="s">
        <v>352</v>
      </c>
    </row>
    <row r="99" spans="1:26" x14ac:dyDescent="0.3">
      <c r="A99" s="72">
        <v>21</v>
      </c>
      <c r="B99" s="73">
        <v>45803</v>
      </c>
      <c r="C99" s="70" t="s">
        <v>178</v>
      </c>
      <c r="D99" s="74" t="s">
        <v>128</v>
      </c>
      <c r="E99" s="75">
        <v>16.992000000000001</v>
      </c>
      <c r="F99" s="75" t="s">
        <v>352</v>
      </c>
      <c r="K99" s="72">
        <v>21</v>
      </c>
      <c r="L99" s="73">
        <v>45803</v>
      </c>
      <c r="M99" s="70" t="s">
        <v>179</v>
      </c>
      <c r="N99" s="74" t="s">
        <v>128</v>
      </c>
      <c r="O99" s="75">
        <v>35.831200000000003</v>
      </c>
      <c r="P99" s="75" t="s">
        <v>352</v>
      </c>
      <c r="U99" s="72">
        <v>21</v>
      </c>
      <c r="V99" s="73">
        <v>45803</v>
      </c>
      <c r="W99" s="70" t="s">
        <v>180</v>
      </c>
      <c r="X99" s="74" t="s">
        <v>128</v>
      </c>
      <c r="Y99" s="75">
        <v>44.965299999999999</v>
      </c>
      <c r="Z99" s="75" t="s">
        <v>352</v>
      </c>
    </row>
    <row r="100" spans="1:26" x14ac:dyDescent="0.3">
      <c r="A100" s="72">
        <v>22</v>
      </c>
      <c r="B100" s="73">
        <v>45810</v>
      </c>
      <c r="C100" s="70" t="s">
        <v>178</v>
      </c>
      <c r="D100" s="74" t="s">
        <v>128</v>
      </c>
      <c r="E100" s="75">
        <v>16.627800000000001</v>
      </c>
      <c r="F100" s="75" t="s">
        <v>352</v>
      </c>
      <c r="K100" s="72">
        <v>22</v>
      </c>
      <c r="L100" s="73">
        <v>45810</v>
      </c>
      <c r="M100" s="70" t="s">
        <v>179</v>
      </c>
      <c r="N100" s="74" t="s">
        <v>128</v>
      </c>
      <c r="O100" s="75">
        <v>35.235500000000002</v>
      </c>
      <c r="P100" s="75" t="s">
        <v>352</v>
      </c>
      <c r="U100" s="72">
        <v>22</v>
      </c>
      <c r="V100" s="73">
        <v>45810</v>
      </c>
      <c r="W100" s="70" t="s">
        <v>180</v>
      </c>
      <c r="X100" s="74" t="s">
        <v>128</v>
      </c>
      <c r="Y100" s="75">
        <v>45.017800000000001</v>
      </c>
      <c r="Z100" s="75" t="s">
        <v>352</v>
      </c>
    </row>
    <row r="101" spans="1:26" x14ac:dyDescent="0.3">
      <c r="A101" s="72">
        <v>23</v>
      </c>
      <c r="B101" s="73">
        <v>45817</v>
      </c>
      <c r="C101" s="70" t="s">
        <v>178</v>
      </c>
      <c r="D101" s="74" t="s">
        <v>128</v>
      </c>
      <c r="E101" s="75">
        <v>15.952999999999999</v>
      </c>
      <c r="F101" s="75" t="s">
        <v>352</v>
      </c>
      <c r="K101" s="72">
        <v>23</v>
      </c>
      <c r="L101" s="73">
        <v>45817</v>
      </c>
      <c r="M101" s="70" t="s">
        <v>179</v>
      </c>
      <c r="N101" s="74" t="s">
        <v>128</v>
      </c>
      <c r="O101" s="75">
        <v>36.613199999999999</v>
      </c>
      <c r="P101" s="75" t="s">
        <v>352</v>
      </c>
      <c r="U101" s="72">
        <v>23</v>
      </c>
      <c r="V101" s="73">
        <v>45817</v>
      </c>
      <c r="W101" s="70" t="s">
        <v>180</v>
      </c>
      <c r="X101" s="74" t="s">
        <v>128</v>
      </c>
      <c r="Y101" s="75">
        <v>44.784599999999998</v>
      </c>
      <c r="Z101" s="75" t="s">
        <v>352</v>
      </c>
    </row>
    <row r="102" spans="1:26" x14ac:dyDescent="0.3">
      <c r="A102" s="72">
        <v>24</v>
      </c>
      <c r="B102" s="73">
        <v>45824</v>
      </c>
      <c r="C102" s="70" t="s">
        <v>178</v>
      </c>
      <c r="D102" s="74" t="s">
        <v>128</v>
      </c>
      <c r="E102" s="75">
        <v>16.420200000000001</v>
      </c>
      <c r="F102" s="75" t="s">
        <v>352</v>
      </c>
      <c r="K102" s="72">
        <v>24</v>
      </c>
      <c r="L102" s="73">
        <v>45824</v>
      </c>
      <c r="M102" s="70" t="s">
        <v>179</v>
      </c>
      <c r="N102" s="74" t="s">
        <v>128</v>
      </c>
      <c r="O102" s="75">
        <v>36.494900000000001</v>
      </c>
      <c r="P102" s="75" t="s">
        <v>352</v>
      </c>
      <c r="U102" s="72">
        <v>24</v>
      </c>
      <c r="V102" s="73">
        <v>45824</v>
      </c>
      <c r="W102" s="70" t="s">
        <v>180</v>
      </c>
      <c r="X102" s="74" t="s">
        <v>128</v>
      </c>
      <c r="Y102" s="75">
        <v>44.808799999999998</v>
      </c>
      <c r="Z102" s="75" t="s">
        <v>352</v>
      </c>
    </row>
    <row r="103" spans="1:26" x14ac:dyDescent="0.3">
      <c r="A103" s="72">
        <v>25</v>
      </c>
      <c r="B103" s="73">
        <v>45831</v>
      </c>
      <c r="C103" s="70" t="s">
        <v>178</v>
      </c>
      <c r="D103" s="74" t="s">
        <v>128</v>
      </c>
      <c r="E103" s="75">
        <v>16.024799999999999</v>
      </c>
      <c r="F103" s="75" t="s">
        <v>352</v>
      </c>
      <c r="K103" s="72">
        <v>25</v>
      </c>
      <c r="L103" s="73">
        <v>45831</v>
      </c>
      <c r="M103" s="70" t="s">
        <v>179</v>
      </c>
      <c r="N103" s="74" t="s">
        <v>128</v>
      </c>
      <c r="O103" s="75">
        <v>35.624899999999997</v>
      </c>
      <c r="P103" s="75" t="s">
        <v>352</v>
      </c>
      <c r="U103" s="72">
        <v>25</v>
      </c>
      <c r="V103" s="73">
        <v>45831</v>
      </c>
      <c r="W103" s="70" t="s">
        <v>180</v>
      </c>
      <c r="X103" s="74" t="s">
        <v>128</v>
      </c>
      <c r="Y103" s="75">
        <v>44.937399999999997</v>
      </c>
      <c r="Z103" s="75" t="s">
        <v>352</v>
      </c>
    </row>
    <row r="104" spans="1:26" x14ac:dyDescent="0.3">
      <c r="A104" s="72">
        <v>1</v>
      </c>
      <c r="B104" s="73">
        <v>45663</v>
      </c>
      <c r="C104" s="70" t="s">
        <v>178</v>
      </c>
      <c r="D104" s="74" t="s">
        <v>129</v>
      </c>
      <c r="E104" s="75">
        <v>73.509900000000002</v>
      </c>
      <c r="F104" s="75" t="s">
        <v>352</v>
      </c>
      <c r="K104" s="72">
        <v>1</v>
      </c>
      <c r="L104" s="73">
        <v>45663</v>
      </c>
      <c r="M104" s="70" t="s">
        <v>179</v>
      </c>
      <c r="N104" s="74" t="s">
        <v>129</v>
      </c>
      <c r="O104" s="75">
        <v>82.017300000000006</v>
      </c>
      <c r="P104" s="75" t="s">
        <v>352</v>
      </c>
      <c r="U104" s="72">
        <v>1</v>
      </c>
      <c r="V104" s="73">
        <v>45663</v>
      </c>
      <c r="W104" s="70" t="s">
        <v>180</v>
      </c>
      <c r="X104" s="74" t="s">
        <v>129</v>
      </c>
      <c r="Y104" s="75">
        <v>87.058000000000007</v>
      </c>
      <c r="Z104" s="75" t="s">
        <v>352</v>
      </c>
    </row>
    <row r="105" spans="1:26" x14ac:dyDescent="0.3">
      <c r="A105" s="72">
        <v>2</v>
      </c>
      <c r="B105" s="73">
        <v>45670</v>
      </c>
      <c r="C105" s="70" t="s">
        <v>178</v>
      </c>
      <c r="D105" s="74" t="s">
        <v>129</v>
      </c>
      <c r="E105" s="75">
        <v>72.648799999999994</v>
      </c>
      <c r="F105" s="75" t="s">
        <v>352</v>
      </c>
      <c r="K105" s="72">
        <v>2</v>
      </c>
      <c r="L105" s="73">
        <v>45670</v>
      </c>
      <c r="M105" s="70" t="s">
        <v>179</v>
      </c>
      <c r="N105" s="74" t="s">
        <v>129</v>
      </c>
      <c r="O105" s="75">
        <v>81.874399999999994</v>
      </c>
      <c r="P105" s="75" t="s">
        <v>352</v>
      </c>
      <c r="U105" s="72">
        <v>2</v>
      </c>
      <c r="V105" s="73">
        <v>45670</v>
      </c>
      <c r="W105" s="70" t="s">
        <v>180</v>
      </c>
      <c r="X105" s="74" t="s">
        <v>129</v>
      </c>
      <c r="Y105" s="75">
        <v>87.307400000000001</v>
      </c>
      <c r="Z105" s="75" t="s">
        <v>352</v>
      </c>
    </row>
    <row r="106" spans="1:26" x14ac:dyDescent="0.3">
      <c r="A106" s="72">
        <v>3</v>
      </c>
      <c r="B106" s="73">
        <v>45677</v>
      </c>
      <c r="C106" s="70" t="s">
        <v>178</v>
      </c>
      <c r="D106" s="74" t="s">
        <v>129</v>
      </c>
      <c r="E106" s="75">
        <v>72.095600000000005</v>
      </c>
      <c r="F106" s="75" t="s">
        <v>352</v>
      </c>
      <c r="K106" s="72">
        <v>3</v>
      </c>
      <c r="L106" s="73">
        <v>45677</v>
      </c>
      <c r="M106" s="70" t="s">
        <v>179</v>
      </c>
      <c r="N106" s="74" t="s">
        <v>129</v>
      </c>
      <c r="O106" s="75">
        <v>81.141499999999994</v>
      </c>
      <c r="P106" s="75" t="s">
        <v>352</v>
      </c>
      <c r="U106" s="72">
        <v>3</v>
      </c>
      <c r="V106" s="73">
        <v>45677</v>
      </c>
      <c r="W106" s="70" t="s">
        <v>180</v>
      </c>
      <c r="X106" s="74" t="s">
        <v>129</v>
      </c>
      <c r="Y106" s="75">
        <v>87.873099999999994</v>
      </c>
      <c r="Z106" s="75" t="s">
        <v>352</v>
      </c>
    </row>
    <row r="107" spans="1:26" x14ac:dyDescent="0.3">
      <c r="A107" s="72">
        <v>4</v>
      </c>
      <c r="B107" s="73">
        <v>45684</v>
      </c>
      <c r="C107" s="70" t="s">
        <v>178</v>
      </c>
      <c r="D107" s="74" t="s">
        <v>129</v>
      </c>
      <c r="E107" s="75">
        <v>71.626499999999993</v>
      </c>
      <c r="F107" s="75" t="s">
        <v>352</v>
      </c>
      <c r="K107" s="72">
        <v>4</v>
      </c>
      <c r="L107" s="73">
        <v>45684</v>
      </c>
      <c r="M107" s="70" t="s">
        <v>179</v>
      </c>
      <c r="N107" s="74" t="s">
        <v>129</v>
      </c>
      <c r="O107" s="75">
        <v>82.216499999999996</v>
      </c>
      <c r="P107" s="75" t="s">
        <v>352</v>
      </c>
      <c r="U107" s="72">
        <v>4</v>
      </c>
      <c r="V107" s="73">
        <v>45684</v>
      </c>
      <c r="W107" s="70" t="s">
        <v>180</v>
      </c>
      <c r="X107" s="74" t="s">
        <v>129</v>
      </c>
      <c r="Y107" s="75">
        <v>87.5197</v>
      </c>
      <c r="Z107" s="75" t="s">
        <v>352</v>
      </c>
    </row>
    <row r="108" spans="1:26" x14ac:dyDescent="0.3">
      <c r="A108" s="72">
        <v>5</v>
      </c>
      <c r="B108" s="73">
        <v>45691</v>
      </c>
      <c r="C108" s="70" t="s">
        <v>178</v>
      </c>
      <c r="D108" s="74" t="s">
        <v>129</v>
      </c>
      <c r="E108" s="75">
        <v>71.576400000000007</v>
      </c>
      <c r="F108" s="75" t="s">
        <v>352</v>
      </c>
      <c r="K108" s="72">
        <v>5</v>
      </c>
      <c r="L108" s="73">
        <v>45691</v>
      </c>
      <c r="M108" s="70" t="s">
        <v>179</v>
      </c>
      <c r="N108" s="74" t="s">
        <v>129</v>
      </c>
      <c r="O108" s="75">
        <v>83.365399999999994</v>
      </c>
      <c r="P108" s="75" t="s">
        <v>352</v>
      </c>
      <c r="U108" s="72">
        <v>5</v>
      </c>
      <c r="V108" s="73">
        <v>45691</v>
      </c>
      <c r="W108" s="70" t="s">
        <v>180</v>
      </c>
      <c r="X108" s="74" t="s">
        <v>129</v>
      </c>
      <c r="Y108" s="75">
        <v>87.817800000000005</v>
      </c>
      <c r="Z108" s="75" t="s">
        <v>352</v>
      </c>
    </row>
    <row r="109" spans="1:26" x14ac:dyDescent="0.3">
      <c r="A109" s="72">
        <v>6</v>
      </c>
      <c r="B109" s="73">
        <v>45698</v>
      </c>
      <c r="C109" s="70" t="s">
        <v>178</v>
      </c>
      <c r="D109" s="74" t="s">
        <v>129</v>
      </c>
      <c r="E109" s="75">
        <v>73.591700000000003</v>
      </c>
      <c r="F109" s="75" t="s">
        <v>352</v>
      </c>
      <c r="K109" s="72">
        <v>6</v>
      </c>
      <c r="L109" s="73">
        <v>45698</v>
      </c>
      <c r="M109" s="70" t="s">
        <v>179</v>
      </c>
      <c r="N109" s="74" t="s">
        <v>129</v>
      </c>
      <c r="O109" s="75">
        <v>81.685100000000006</v>
      </c>
      <c r="P109" s="75" t="s">
        <v>352</v>
      </c>
      <c r="U109" s="72">
        <v>6</v>
      </c>
      <c r="V109" s="73">
        <v>45698</v>
      </c>
      <c r="W109" s="70" t="s">
        <v>180</v>
      </c>
      <c r="X109" s="74" t="s">
        <v>129</v>
      </c>
      <c r="Y109" s="75">
        <v>87.876300000000001</v>
      </c>
      <c r="Z109" s="75" t="s">
        <v>352</v>
      </c>
    </row>
    <row r="110" spans="1:26" x14ac:dyDescent="0.3">
      <c r="A110" s="72">
        <v>7</v>
      </c>
      <c r="B110" s="73">
        <v>45705</v>
      </c>
      <c r="C110" s="70" t="s">
        <v>178</v>
      </c>
      <c r="D110" s="74" t="s">
        <v>129</v>
      </c>
      <c r="E110" s="75">
        <v>72.604600000000005</v>
      </c>
      <c r="F110" s="75" t="s">
        <v>352</v>
      </c>
      <c r="K110" s="72">
        <v>7</v>
      </c>
      <c r="L110" s="73">
        <v>45705</v>
      </c>
      <c r="M110" s="70" t="s">
        <v>179</v>
      </c>
      <c r="N110" s="74" t="s">
        <v>129</v>
      </c>
      <c r="O110" s="75">
        <v>81.725899999999996</v>
      </c>
      <c r="P110" s="75" t="s">
        <v>352</v>
      </c>
      <c r="U110" s="72">
        <v>7</v>
      </c>
      <c r="V110" s="73">
        <v>45705</v>
      </c>
      <c r="W110" s="70" t="s">
        <v>180</v>
      </c>
      <c r="X110" s="74" t="s">
        <v>129</v>
      </c>
      <c r="Y110" s="75">
        <v>87.453299999999999</v>
      </c>
      <c r="Z110" s="75" t="s">
        <v>352</v>
      </c>
    </row>
    <row r="111" spans="1:26" x14ac:dyDescent="0.3">
      <c r="A111" s="72">
        <v>8</v>
      </c>
      <c r="B111" s="73">
        <v>45712</v>
      </c>
      <c r="C111" s="70" t="s">
        <v>178</v>
      </c>
      <c r="D111" s="74" t="s">
        <v>129</v>
      </c>
      <c r="E111" s="75">
        <v>72.209100000000007</v>
      </c>
      <c r="F111" s="75" t="s">
        <v>352</v>
      </c>
      <c r="K111" s="72">
        <v>8</v>
      </c>
      <c r="L111" s="73">
        <v>45712</v>
      </c>
      <c r="M111" s="70" t="s">
        <v>179</v>
      </c>
      <c r="N111" s="74" t="s">
        <v>129</v>
      </c>
      <c r="O111" s="75">
        <v>81.1036</v>
      </c>
      <c r="P111" s="75" t="s">
        <v>352</v>
      </c>
      <c r="U111" s="72">
        <v>8</v>
      </c>
      <c r="V111" s="73">
        <v>45712</v>
      </c>
      <c r="W111" s="70" t="s">
        <v>180</v>
      </c>
      <c r="X111" s="74" t="s">
        <v>129</v>
      </c>
      <c r="Y111" s="75">
        <v>87.637</v>
      </c>
      <c r="Z111" s="75" t="s">
        <v>352</v>
      </c>
    </row>
    <row r="112" spans="1:26" x14ac:dyDescent="0.3">
      <c r="A112" s="72">
        <v>9</v>
      </c>
      <c r="B112" s="73">
        <v>45719</v>
      </c>
      <c r="C112" s="70" t="s">
        <v>178</v>
      </c>
      <c r="D112" s="74" t="s">
        <v>129</v>
      </c>
      <c r="E112" s="75">
        <v>71.836500000000001</v>
      </c>
      <c r="F112" s="75" t="s">
        <v>352</v>
      </c>
      <c r="K112" s="72">
        <v>9</v>
      </c>
      <c r="L112" s="73">
        <v>45719</v>
      </c>
      <c r="M112" s="70" t="s">
        <v>179</v>
      </c>
      <c r="N112" s="74" t="s">
        <v>129</v>
      </c>
      <c r="O112" s="75">
        <v>82.111699999999999</v>
      </c>
      <c r="P112" s="75" t="s">
        <v>352</v>
      </c>
      <c r="U112" s="72">
        <v>9</v>
      </c>
      <c r="V112" s="73">
        <v>45719</v>
      </c>
      <c r="W112" s="70" t="s">
        <v>180</v>
      </c>
      <c r="X112" s="74" t="s">
        <v>129</v>
      </c>
      <c r="Y112" s="75">
        <v>87.812299999999993</v>
      </c>
      <c r="Z112" s="75" t="s">
        <v>352</v>
      </c>
    </row>
    <row r="113" spans="1:26" x14ac:dyDescent="0.3">
      <c r="A113" s="72">
        <v>10</v>
      </c>
      <c r="B113" s="73">
        <v>45726</v>
      </c>
      <c r="C113" s="70" t="s">
        <v>178</v>
      </c>
      <c r="D113" s="74" t="s">
        <v>129</v>
      </c>
      <c r="E113" s="75">
        <v>71.1494</v>
      </c>
      <c r="F113" s="75" t="s">
        <v>352</v>
      </c>
      <c r="K113" s="72">
        <v>10</v>
      </c>
      <c r="L113" s="73">
        <v>45726</v>
      </c>
      <c r="M113" s="70" t="s">
        <v>179</v>
      </c>
      <c r="N113" s="74" t="s">
        <v>129</v>
      </c>
      <c r="O113" s="75">
        <v>80.954300000000003</v>
      </c>
      <c r="P113" s="75" t="s">
        <v>352</v>
      </c>
      <c r="U113" s="72">
        <v>10</v>
      </c>
      <c r="V113" s="73">
        <v>45726</v>
      </c>
      <c r="W113" s="70" t="s">
        <v>180</v>
      </c>
      <c r="X113" s="74" t="s">
        <v>129</v>
      </c>
      <c r="Y113" s="75">
        <v>87.605900000000005</v>
      </c>
      <c r="Z113" s="75" t="s">
        <v>352</v>
      </c>
    </row>
    <row r="114" spans="1:26" x14ac:dyDescent="0.3">
      <c r="A114" s="72">
        <v>11</v>
      </c>
      <c r="B114" s="73">
        <v>45733</v>
      </c>
      <c r="C114" s="70" t="s">
        <v>178</v>
      </c>
      <c r="D114" s="74" t="s">
        <v>129</v>
      </c>
      <c r="E114" s="75">
        <v>72.088099999999997</v>
      </c>
      <c r="F114" s="75" t="s">
        <v>352</v>
      </c>
      <c r="K114" s="72">
        <v>11</v>
      </c>
      <c r="L114" s="73">
        <v>45733</v>
      </c>
      <c r="M114" s="70" t="s">
        <v>179</v>
      </c>
      <c r="N114" s="74" t="s">
        <v>129</v>
      </c>
      <c r="O114" s="75">
        <v>81.0578</v>
      </c>
      <c r="P114" s="75" t="s">
        <v>352</v>
      </c>
      <c r="U114" s="72">
        <v>11</v>
      </c>
      <c r="V114" s="73">
        <v>45733</v>
      </c>
      <c r="W114" s="70" t="s">
        <v>180</v>
      </c>
      <c r="X114" s="74" t="s">
        <v>129</v>
      </c>
      <c r="Y114" s="75">
        <v>88.023200000000003</v>
      </c>
      <c r="Z114" s="75" t="s">
        <v>352</v>
      </c>
    </row>
    <row r="115" spans="1:26" x14ac:dyDescent="0.3">
      <c r="A115" s="72">
        <v>12</v>
      </c>
      <c r="B115" s="73">
        <v>45740</v>
      </c>
      <c r="C115" s="70" t="s">
        <v>178</v>
      </c>
      <c r="D115" s="74" t="s">
        <v>129</v>
      </c>
      <c r="E115" s="75">
        <v>72.935100000000006</v>
      </c>
      <c r="F115" s="75" t="s">
        <v>352</v>
      </c>
      <c r="K115" s="72">
        <v>12</v>
      </c>
      <c r="L115" s="73">
        <v>45740</v>
      </c>
      <c r="M115" s="70" t="s">
        <v>179</v>
      </c>
      <c r="N115" s="74" t="s">
        <v>129</v>
      </c>
      <c r="O115" s="75">
        <v>82.821600000000004</v>
      </c>
      <c r="P115" s="75" t="s">
        <v>352</v>
      </c>
      <c r="U115" s="72">
        <v>12</v>
      </c>
      <c r="V115" s="73">
        <v>45740</v>
      </c>
      <c r="W115" s="70" t="s">
        <v>180</v>
      </c>
      <c r="X115" s="74" t="s">
        <v>129</v>
      </c>
      <c r="Y115" s="75">
        <v>88.994299999999996</v>
      </c>
      <c r="Z115" s="75" t="s">
        <v>352</v>
      </c>
    </row>
    <row r="116" spans="1:26" x14ac:dyDescent="0.3">
      <c r="A116" s="72">
        <v>13</v>
      </c>
      <c r="B116" s="73">
        <v>45747</v>
      </c>
      <c r="C116" s="70" t="s">
        <v>178</v>
      </c>
      <c r="D116" s="74" t="s">
        <v>129</v>
      </c>
      <c r="E116" s="75">
        <v>71.794700000000006</v>
      </c>
      <c r="F116" s="75" t="s">
        <v>352</v>
      </c>
      <c r="K116" s="72">
        <v>13</v>
      </c>
      <c r="L116" s="73">
        <v>45747</v>
      </c>
      <c r="M116" s="70" t="s">
        <v>179</v>
      </c>
      <c r="N116" s="74" t="s">
        <v>129</v>
      </c>
      <c r="O116" s="75">
        <v>81.206699999999998</v>
      </c>
      <c r="P116" s="75" t="s">
        <v>352</v>
      </c>
      <c r="U116" s="72">
        <v>13</v>
      </c>
      <c r="V116" s="73">
        <v>45747</v>
      </c>
      <c r="W116" s="70" t="s">
        <v>180</v>
      </c>
      <c r="X116" s="74" t="s">
        <v>129</v>
      </c>
      <c r="Y116" s="75">
        <v>88.085999999999999</v>
      </c>
      <c r="Z116" s="75" t="s">
        <v>352</v>
      </c>
    </row>
    <row r="117" spans="1:26" x14ac:dyDescent="0.3">
      <c r="A117" s="72">
        <v>14</v>
      </c>
      <c r="B117" s="73">
        <v>45754</v>
      </c>
      <c r="C117" s="70" t="s">
        <v>178</v>
      </c>
      <c r="D117" s="74" t="s">
        <v>129</v>
      </c>
      <c r="E117" s="75">
        <v>71.943600000000004</v>
      </c>
      <c r="F117" s="75" t="s">
        <v>352</v>
      </c>
      <c r="K117" s="72">
        <v>14</v>
      </c>
      <c r="L117" s="73">
        <v>45754</v>
      </c>
      <c r="M117" s="70" t="s">
        <v>179</v>
      </c>
      <c r="N117" s="74" t="s">
        <v>129</v>
      </c>
      <c r="O117" s="75">
        <v>82.674999999999997</v>
      </c>
      <c r="P117" s="75" t="s">
        <v>352</v>
      </c>
      <c r="U117" s="72">
        <v>14</v>
      </c>
      <c r="V117" s="73">
        <v>45754</v>
      </c>
      <c r="W117" s="70" t="s">
        <v>180</v>
      </c>
      <c r="X117" s="74" t="s">
        <v>129</v>
      </c>
      <c r="Y117" s="75">
        <v>87.705200000000005</v>
      </c>
      <c r="Z117" s="75" t="s">
        <v>352</v>
      </c>
    </row>
    <row r="118" spans="1:26" x14ac:dyDescent="0.3">
      <c r="A118" s="72">
        <v>15</v>
      </c>
      <c r="B118" s="73">
        <v>45761</v>
      </c>
      <c r="C118" s="70" t="s">
        <v>178</v>
      </c>
      <c r="D118" s="74" t="s">
        <v>129</v>
      </c>
      <c r="E118" s="75">
        <v>71.949200000000005</v>
      </c>
      <c r="F118" s="75" t="s">
        <v>352</v>
      </c>
      <c r="K118" s="72">
        <v>15</v>
      </c>
      <c r="L118" s="73">
        <v>45761</v>
      </c>
      <c r="M118" s="70" t="s">
        <v>179</v>
      </c>
      <c r="N118" s="74" t="s">
        <v>129</v>
      </c>
      <c r="O118" s="75">
        <v>83.002399999999994</v>
      </c>
      <c r="P118" s="75" t="s">
        <v>352</v>
      </c>
      <c r="U118" s="72">
        <v>15</v>
      </c>
      <c r="V118" s="73">
        <v>45761</v>
      </c>
      <c r="W118" s="70" t="s">
        <v>180</v>
      </c>
      <c r="X118" s="74" t="s">
        <v>129</v>
      </c>
      <c r="Y118" s="75">
        <v>86.4679</v>
      </c>
      <c r="Z118" s="75" t="s">
        <v>352</v>
      </c>
    </row>
    <row r="119" spans="1:26" x14ac:dyDescent="0.3">
      <c r="A119" s="72">
        <v>16</v>
      </c>
      <c r="B119" s="73">
        <v>45768</v>
      </c>
      <c r="C119" s="70" t="s">
        <v>178</v>
      </c>
      <c r="D119" s="74" t="s">
        <v>129</v>
      </c>
      <c r="E119" s="75">
        <v>72.247</v>
      </c>
      <c r="F119" s="75" t="s">
        <v>352</v>
      </c>
      <c r="K119" s="72">
        <v>16</v>
      </c>
      <c r="L119" s="73">
        <v>45768</v>
      </c>
      <c r="M119" s="70" t="s">
        <v>179</v>
      </c>
      <c r="N119" s="74" t="s">
        <v>129</v>
      </c>
      <c r="O119" s="75">
        <v>82.067499999999995</v>
      </c>
      <c r="P119" s="75" t="s">
        <v>352</v>
      </c>
      <c r="U119" s="72">
        <v>16</v>
      </c>
      <c r="V119" s="73">
        <v>45768</v>
      </c>
      <c r="W119" s="70" t="s">
        <v>180</v>
      </c>
      <c r="X119" s="74" t="s">
        <v>129</v>
      </c>
      <c r="Y119" s="75">
        <v>87.941100000000006</v>
      </c>
      <c r="Z119" s="75" t="s">
        <v>352</v>
      </c>
    </row>
    <row r="120" spans="1:26" x14ac:dyDescent="0.3">
      <c r="A120" s="72">
        <v>17</v>
      </c>
      <c r="B120" s="73">
        <v>45775</v>
      </c>
      <c r="C120" s="70" t="s">
        <v>178</v>
      </c>
      <c r="D120" s="74" t="s">
        <v>129</v>
      </c>
      <c r="E120" s="75">
        <v>70.713499999999996</v>
      </c>
      <c r="F120" s="75" t="s">
        <v>352</v>
      </c>
      <c r="K120" s="72">
        <v>17</v>
      </c>
      <c r="L120" s="73">
        <v>45775</v>
      </c>
      <c r="M120" s="70" t="s">
        <v>179</v>
      </c>
      <c r="N120" s="74" t="s">
        <v>129</v>
      </c>
      <c r="O120" s="75">
        <v>82.284800000000004</v>
      </c>
      <c r="P120" s="75" t="s">
        <v>352</v>
      </c>
      <c r="U120" s="72">
        <v>17</v>
      </c>
      <c r="V120" s="73">
        <v>45775</v>
      </c>
      <c r="W120" s="70" t="s">
        <v>180</v>
      </c>
      <c r="X120" s="74" t="s">
        <v>129</v>
      </c>
      <c r="Y120" s="75">
        <v>86.282899999999998</v>
      </c>
      <c r="Z120" s="75" t="s">
        <v>352</v>
      </c>
    </row>
    <row r="121" spans="1:26" x14ac:dyDescent="0.3">
      <c r="A121" s="72">
        <v>18</v>
      </c>
      <c r="B121" s="73">
        <v>45782</v>
      </c>
      <c r="C121" s="70" t="s">
        <v>178</v>
      </c>
      <c r="D121" s="74" t="s">
        <v>129</v>
      </c>
      <c r="E121" s="75">
        <v>71.936300000000003</v>
      </c>
      <c r="F121" s="75" t="s">
        <v>352</v>
      </c>
      <c r="K121" s="72">
        <v>18</v>
      </c>
      <c r="L121" s="73">
        <v>45782</v>
      </c>
      <c r="M121" s="70" t="s">
        <v>179</v>
      </c>
      <c r="N121" s="74" t="s">
        <v>129</v>
      </c>
      <c r="O121" s="75">
        <v>83.318700000000007</v>
      </c>
      <c r="P121" s="75" t="s">
        <v>352</v>
      </c>
      <c r="U121" s="72">
        <v>18</v>
      </c>
      <c r="V121" s="73">
        <v>45782</v>
      </c>
      <c r="W121" s="70" t="s">
        <v>180</v>
      </c>
      <c r="X121" s="74" t="s">
        <v>129</v>
      </c>
      <c r="Y121" s="75">
        <v>86.664699999999996</v>
      </c>
      <c r="Z121" s="75" t="s">
        <v>352</v>
      </c>
    </row>
    <row r="122" spans="1:26" x14ac:dyDescent="0.3">
      <c r="A122" s="72">
        <v>19</v>
      </c>
      <c r="B122" s="73">
        <v>45789</v>
      </c>
      <c r="C122" s="70" t="s">
        <v>178</v>
      </c>
      <c r="D122" s="74" t="s">
        <v>129</v>
      </c>
      <c r="E122" s="75">
        <v>71.378799999999998</v>
      </c>
      <c r="F122" s="75" t="s">
        <v>352</v>
      </c>
      <c r="K122" s="72">
        <v>19</v>
      </c>
      <c r="L122" s="73">
        <v>45789</v>
      </c>
      <c r="M122" s="70" t="s">
        <v>179</v>
      </c>
      <c r="N122" s="74" t="s">
        <v>129</v>
      </c>
      <c r="O122" s="75">
        <v>81.730500000000006</v>
      </c>
      <c r="P122" s="75" t="s">
        <v>352</v>
      </c>
      <c r="U122" s="72">
        <v>19</v>
      </c>
      <c r="V122" s="73">
        <v>45789</v>
      </c>
      <c r="W122" s="70" t="s">
        <v>180</v>
      </c>
      <c r="X122" s="74" t="s">
        <v>129</v>
      </c>
      <c r="Y122" s="75">
        <v>88.272499999999994</v>
      </c>
      <c r="Z122" s="75" t="s">
        <v>352</v>
      </c>
    </row>
    <row r="123" spans="1:26" x14ac:dyDescent="0.3">
      <c r="A123" s="72">
        <v>20</v>
      </c>
      <c r="B123" s="73">
        <v>45796</v>
      </c>
      <c r="C123" s="70" t="s">
        <v>178</v>
      </c>
      <c r="D123" s="74" t="s">
        <v>129</v>
      </c>
      <c r="E123" s="75">
        <v>72.944999999999993</v>
      </c>
      <c r="F123" s="75" t="s">
        <v>352</v>
      </c>
      <c r="K123" s="72">
        <v>20</v>
      </c>
      <c r="L123" s="73">
        <v>45796</v>
      </c>
      <c r="M123" s="70" t="s">
        <v>179</v>
      </c>
      <c r="N123" s="74" t="s">
        <v>129</v>
      </c>
      <c r="O123" s="75">
        <v>81.437600000000003</v>
      </c>
      <c r="P123" s="75" t="s">
        <v>352</v>
      </c>
      <c r="U123" s="72">
        <v>20</v>
      </c>
      <c r="V123" s="73">
        <v>45796</v>
      </c>
      <c r="W123" s="70" t="s">
        <v>180</v>
      </c>
      <c r="X123" s="74" t="s">
        <v>129</v>
      </c>
      <c r="Y123" s="75">
        <v>88.167100000000005</v>
      </c>
      <c r="Z123" s="75" t="s">
        <v>352</v>
      </c>
    </row>
    <row r="124" spans="1:26" x14ac:dyDescent="0.3">
      <c r="A124" s="72">
        <v>21</v>
      </c>
      <c r="B124" s="73">
        <v>45803</v>
      </c>
      <c r="C124" s="70" t="s">
        <v>178</v>
      </c>
      <c r="D124" s="74" t="s">
        <v>129</v>
      </c>
      <c r="E124" s="75">
        <v>71.4542</v>
      </c>
      <c r="F124" s="75" t="s">
        <v>352</v>
      </c>
      <c r="K124" s="72">
        <v>21</v>
      </c>
      <c r="L124" s="73">
        <v>45803</v>
      </c>
      <c r="M124" s="70" t="s">
        <v>179</v>
      </c>
      <c r="N124" s="74" t="s">
        <v>129</v>
      </c>
      <c r="O124" s="75">
        <v>80.875799999999998</v>
      </c>
      <c r="P124" s="75" t="s">
        <v>352</v>
      </c>
      <c r="U124" s="72">
        <v>21</v>
      </c>
      <c r="V124" s="73">
        <v>45803</v>
      </c>
      <c r="W124" s="70" t="s">
        <v>180</v>
      </c>
      <c r="X124" s="74" t="s">
        <v>129</v>
      </c>
      <c r="Y124" s="75">
        <v>87.558999999999997</v>
      </c>
      <c r="Z124" s="75" t="s">
        <v>352</v>
      </c>
    </row>
    <row r="125" spans="1:26" x14ac:dyDescent="0.3">
      <c r="A125" s="72">
        <v>22</v>
      </c>
      <c r="B125" s="73">
        <v>45810</v>
      </c>
      <c r="C125" s="70" t="s">
        <v>178</v>
      </c>
      <c r="D125" s="74" t="s">
        <v>129</v>
      </c>
      <c r="E125" s="75">
        <v>72.668000000000006</v>
      </c>
      <c r="F125" s="75" t="s">
        <v>352</v>
      </c>
      <c r="K125" s="72">
        <v>22</v>
      </c>
      <c r="L125" s="73">
        <v>45810</v>
      </c>
      <c r="M125" s="70" t="s">
        <v>179</v>
      </c>
      <c r="N125" s="74" t="s">
        <v>129</v>
      </c>
      <c r="O125" s="75">
        <v>81.906700000000001</v>
      </c>
      <c r="P125" s="75" t="s">
        <v>352</v>
      </c>
      <c r="U125" s="72">
        <v>22</v>
      </c>
      <c r="V125" s="73">
        <v>45810</v>
      </c>
      <c r="W125" s="70" t="s">
        <v>180</v>
      </c>
      <c r="X125" s="74" t="s">
        <v>129</v>
      </c>
      <c r="Y125" s="75">
        <v>86.450900000000004</v>
      </c>
      <c r="Z125" s="75" t="s">
        <v>352</v>
      </c>
    </row>
    <row r="126" spans="1:26" x14ac:dyDescent="0.3">
      <c r="A126" s="72">
        <v>23</v>
      </c>
      <c r="B126" s="73">
        <v>45817</v>
      </c>
      <c r="C126" s="70" t="s">
        <v>178</v>
      </c>
      <c r="D126" s="74" t="s">
        <v>129</v>
      </c>
      <c r="E126" s="75">
        <v>73.521199999999993</v>
      </c>
      <c r="F126" s="75" t="s">
        <v>352</v>
      </c>
      <c r="K126" s="72">
        <v>23</v>
      </c>
      <c r="L126" s="73">
        <v>45817</v>
      </c>
      <c r="M126" s="70" t="s">
        <v>179</v>
      </c>
      <c r="N126" s="74" t="s">
        <v>129</v>
      </c>
      <c r="O126" s="75">
        <v>82.968999999999994</v>
      </c>
      <c r="P126" s="75" t="s">
        <v>352</v>
      </c>
      <c r="U126" s="72">
        <v>23</v>
      </c>
      <c r="V126" s="73">
        <v>45817</v>
      </c>
      <c r="W126" s="70" t="s">
        <v>180</v>
      </c>
      <c r="X126" s="74" t="s">
        <v>129</v>
      </c>
      <c r="Y126" s="75">
        <v>87.401799999999994</v>
      </c>
      <c r="Z126" s="75" t="s">
        <v>352</v>
      </c>
    </row>
    <row r="127" spans="1:26" x14ac:dyDescent="0.3">
      <c r="A127" s="72">
        <v>24</v>
      </c>
      <c r="B127" s="73">
        <v>45824</v>
      </c>
      <c r="C127" s="70" t="s">
        <v>178</v>
      </c>
      <c r="D127" s="74" t="s">
        <v>129</v>
      </c>
      <c r="E127" s="75">
        <v>71.865799999999993</v>
      </c>
      <c r="F127" s="75" t="s">
        <v>352</v>
      </c>
      <c r="K127" s="72">
        <v>24</v>
      </c>
      <c r="L127" s="73">
        <v>45824</v>
      </c>
      <c r="M127" s="70" t="s">
        <v>179</v>
      </c>
      <c r="N127" s="74" t="s">
        <v>129</v>
      </c>
      <c r="O127" s="75">
        <v>82.584999999999994</v>
      </c>
      <c r="P127" s="75" t="s">
        <v>352</v>
      </c>
      <c r="U127" s="72">
        <v>24</v>
      </c>
      <c r="V127" s="73">
        <v>45824</v>
      </c>
      <c r="W127" s="70" t="s">
        <v>180</v>
      </c>
      <c r="X127" s="74" t="s">
        <v>129</v>
      </c>
      <c r="Y127" s="75">
        <v>87.183400000000006</v>
      </c>
      <c r="Z127" s="75" t="s">
        <v>352</v>
      </c>
    </row>
    <row r="128" spans="1:26" x14ac:dyDescent="0.3">
      <c r="A128" s="72">
        <v>25</v>
      </c>
      <c r="B128" s="73">
        <v>45831</v>
      </c>
      <c r="C128" s="70" t="s">
        <v>178</v>
      </c>
      <c r="D128" s="74" t="s">
        <v>129</v>
      </c>
      <c r="E128" s="75">
        <v>71.606499999999997</v>
      </c>
      <c r="F128" s="75" t="s">
        <v>352</v>
      </c>
      <c r="K128" s="72">
        <v>25</v>
      </c>
      <c r="L128" s="73">
        <v>45831</v>
      </c>
      <c r="M128" s="70" t="s">
        <v>179</v>
      </c>
      <c r="N128" s="74" t="s">
        <v>129</v>
      </c>
      <c r="O128" s="75">
        <v>81.179599999999994</v>
      </c>
      <c r="P128" s="75" t="s">
        <v>352</v>
      </c>
      <c r="U128" s="72">
        <v>25</v>
      </c>
      <c r="V128" s="73">
        <v>45831</v>
      </c>
      <c r="W128" s="70" t="s">
        <v>180</v>
      </c>
      <c r="X128" s="74" t="s">
        <v>129</v>
      </c>
      <c r="Y128" s="75">
        <v>88.117800000000003</v>
      </c>
      <c r="Z128" s="75" t="s">
        <v>352</v>
      </c>
    </row>
    <row r="129" spans="1:26" x14ac:dyDescent="0.3">
      <c r="A129" s="72">
        <v>1</v>
      </c>
      <c r="B129" s="73">
        <v>45663</v>
      </c>
      <c r="C129" s="70" t="s">
        <v>178</v>
      </c>
      <c r="D129" s="74" t="s">
        <v>130</v>
      </c>
      <c r="E129" s="75">
        <v>24.4575</v>
      </c>
      <c r="F129" s="75" t="s">
        <v>352</v>
      </c>
      <c r="K129" s="72">
        <v>1</v>
      </c>
      <c r="L129" s="73">
        <v>45663</v>
      </c>
      <c r="M129" s="70" t="s">
        <v>179</v>
      </c>
      <c r="N129" s="74" t="s">
        <v>130</v>
      </c>
      <c r="O129" s="75">
        <v>28.091899999999999</v>
      </c>
      <c r="P129" s="75" t="s">
        <v>352</v>
      </c>
      <c r="U129" s="72">
        <v>1</v>
      </c>
      <c r="V129" s="73">
        <v>45663</v>
      </c>
      <c r="W129" s="70" t="s">
        <v>180</v>
      </c>
      <c r="X129" s="74" t="s">
        <v>130</v>
      </c>
      <c r="Y129" s="75">
        <v>30.6477</v>
      </c>
      <c r="Z129" s="75" t="s">
        <v>352</v>
      </c>
    </row>
    <row r="130" spans="1:26" x14ac:dyDescent="0.3">
      <c r="A130" s="72">
        <v>2</v>
      </c>
      <c r="B130" s="73">
        <v>45670</v>
      </c>
      <c r="C130" s="70" t="s">
        <v>178</v>
      </c>
      <c r="D130" s="74" t="s">
        <v>130</v>
      </c>
      <c r="E130" s="75">
        <v>23.897500000000001</v>
      </c>
      <c r="F130" s="75" t="s">
        <v>352</v>
      </c>
      <c r="K130" s="72">
        <v>2</v>
      </c>
      <c r="L130" s="73">
        <v>45670</v>
      </c>
      <c r="M130" s="70" t="s">
        <v>179</v>
      </c>
      <c r="N130" s="74" t="s">
        <v>130</v>
      </c>
      <c r="O130" s="75">
        <v>28.1374</v>
      </c>
      <c r="P130" s="75" t="s">
        <v>352</v>
      </c>
      <c r="U130" s="72">
        <v>2</v>
      </c>
      <c r="V130" s="73">
        <v>45670</v>
      </c>
      <c r="W130" s="70" t="s">
        <v>180</v>
      </c>
      <c r="X130" s="74" t="s">
        <v>130</v>
      </c>
      <c r="Y130" s="75">
        <v>30.473199999999999</v>
      </c>
      <c r="Z130" s="75" t="s">
        <v>352</v>
      </c>
    </row>
    <row r="131" spans="1:26" x14ac:dyDescent="0.3">
      <c r="A131" s="72">
        <v>3</v>
      </c>
      <c r="B131" s="73">
        <v>45677</v>
      </c>
      <c r="C131" s="70" t="s">
        <v>178</v>
      </c>
      <c r="D131" s="74" t="s">
        <v>130</v>
      </c>
      <c r="E131" s="75">
        <v>23.624099999999999</v>
      </c>
      <c r="F131" s="75" t="s">
        <v>352</v>
      </c>
      <c r="K131" s="72">
        <v>3</v>
      </c>
      <c r="L131" s="73">
        <v>45677</v>
      </c>
      <c r="M131" s="70" t="s">
        <v>179</v>
      </c>
      <c r="N131" s="74" t="s">
        <v>130</v>
      </c>
      <c r="O131" s="75">
        <v>27.976099999999999</v>
      </c>
      <c r="P131" s="75" t="s">
        <v>352</v>
      </c>
      <c r="U131" s="72">
        <v>3</v>
      </c>
      <c r="V131" s="73">
        <v>45677</v>
      </c>
      <c r="W131" s="70" t="s">
        <v>180</v>
      </c>
      <c r="X131" s="74" t="s">
        <v>130</v>
      </c>
      <c r="Y131" s="75">
        <v>30.145199999999999</v>
      </c>
      <c r="Z131" s="75" t="s">
        <v>352</v>
      </c>
    </row>
    <row r="132" spans="1:26" x14ac:dyDescent="0.3">
      <c r="A132" s="72">
        <v>4</v>
      </c>
      <c r="B132" s="73">
        <v>45684</v>
      </c>
      <c r="C132" s="70" t="s">
        <v>178</v>
      </c>
      <c r="D132" s="74" t="s">
        <v>130</v>
      </c>
      <c r="E132" s="75">
        <v>23.5167</v>
      </c>
      <c r="F132" s="75" t="s">
        <v>352</v>
      </c>
      <c r="K132" s="72">
        <v>4</v>
      </c>
      <c r="L132" s="73">
        <v>45684</v>
      </c>
      <c r="M132" s="70" t="s">
        <v>179</v>
      </c>
      <c r="N132" s="74" t="s">
        <v>130</v>
      </c>
      <c r="O132" s="75">
        <v>28.271000000000001</v>
      </c>
      <c r="P132" s="75" t="s">
        <v>352</v>
      </c>
      <c r="U132" s="72">
        <v>4</v>
      </c>
      <c r="V132" s="73">
        <v>45684</v>
      </c>
      <c r="W132" s="70" t="s">
        <v>180</v>
      </c>
      <c r="X132" s="74" t="s">
        <v>130</v>
      </c>
      <c r="Y132" s="75">
        <v>30.274000000000001</v>
      </c>
      <c r="Z132" s="75" t="s">
        <v>352</v>
      </c>
    </row>
    <row r="133" spans="1:26" x14ac:dyDescent="0.3">
      <c r="A133" s="72">
        <v>5</v>
      </c>
      <c r="B133" s="73">
        <v>45691</v>
      </c>
      <c r="C133" s="70" t="s">
        <v>178</v>
      </c>
      <c r="D133" s="74" t="s">
        <v>130</v>
      </c>
      <c r="E133" s="75">
        <v>23.822500000000002</v>
      </c>
      <c r="F133" s="75" t="s">
        <v>352</v>
      </c>
      <c r="K133" s="72">
        <v>5</v>
      </c>
      <c r="L133" s="73">
        <v>45691</v>
      </c>
      <c r="M133" s="70" t="s">
        <v>179</v>
      </c>
      <c r="N133" s="74" t="s">
        <v>130</v>
      </c>
      <c r="O133" s="75">
        <v>28.099299999999999</v>
      </c>
      <c r="P133" s="75" t="s">
        <v>352</v>
      </c>
      <c r="U133" s="72">
        <v>5</v>
      </c>
      <c r="V133" s="73">
        <v>45691</v>
      </c>
      <c r="W133" s="70" t="s">
        <v>180</v>
      </c>
      <c r="X133" s="74" t="s">
        <v>130</v>
      </c>
      <c r="Y133" s="75">
        <v>30.284099999999999</v>
      </c>
      <c r="Z133" s="75" t="s">
        <v>352</v>
      </c>
    </row>
    <row r="134" spans="1:26" x14ac:dyDescent="0.3">
      <c r="A134" s="72">
        <v>6</v>
      </c>
      <c r="B134" s="73">
        <v>45698</v>
      </c>
      <c r="C134" s="70" t="s">
        <v>178</v>
      </c>
      <c r="D134" s="74" t="s">
        <v>130</v>
      </c>
      <c r="E134" s="75">
        <v>23.789400000000001</v>
      </c>
      <c r="F134" s="75" t="s">
        <v>352</v>
      </c>
      <c r="K134" s="72">
        <v>6</v>
      </c>
      <c r="L134" s="73">
        <v>45698</v>
      </c>
      <c r="M134" s="70" t="s">
        <v>179</v>
      </c>
      <c r="N134" s="74" t="s">
        <v>130</v>
      </c>
      <c r="O134" s="75">
        <v>27.800699999999999</v>
      </c>
      <c r="P134" s="75" t="s">
        <v>352</v>
      </c>
      <c r="U134" s="72">
        <v>6</v>
      </c>
      <c r="V134" s="73">
        <v>45698</v>
      </c>
      <c r="W134" s="70" t="s">
        <v>180</v>
      </c>
      <c r="X134" s="74" t="s">
        <v>130</v>
      </c>
      <c r="Y134" s="75">
        <v>30.3813</v>
      </c>
      <c r="Z134" s="75" t="s">
        <v>352</v>
      </c>
    </row>
    <row r="135" spans="1:26" x14ac:dyDescent="0.3">
      <c r="A135" s="72">
        <v>7</v>
      </c>
      <c r="B135" s="73">
        <v>45705</v>
      </c>
      <c r="C135" s="70" t="s">
        <v>178</v>
      </c>
      <c r="D135" s="74" t="s">
        <v>130</v>
      </c>
      <c r="E135" s="75">
        <v>23.521999999999998</v>
      </c>
      <c r="F135" s="75" t="s">
        <v>352</v>
      </c>
      <c r="K135" s="72">
        <v>7</v>
      </c>
      <c r="L135" s="73">
        <v>45705</v>
      </c>
      <c r="M135" s="70" t="s">
        <v>179</v>
      </c>
      <c r="N135" s="74" t="s">
        <v>130</v>
      </c>
      <c r="O135" s="75">
        <v>27.86</v>
      </c>
      <c r="P135" s="75" t="s">
        <v>352</v>
      </c>
      <c r="U135" s="72">
        <v>7</v>
      </c>
      <c r="V135" s="73">
        <v>45705</v>
      </c>
      <c r="W135" s="70" t="s">
        <v>180</v>
      </c>
      <c r="X135" s="74" t="s">
        <v>130</v>
      </c>
      <c r="Y135" s="75">
        <v>30.265799999999999</v>
      </c>
      <c r="Z135" s="75" t="s">
        <v>352</v>
      </c>
    </row>
    <row r="136" spans="1:26" x14ac:dyDescent="0.3">
      <c r="A136" s="72">
        <v>8</v>
      </c>
      <c r="B136" s="73">
        <v>45712</v>
      </c>
      <c r="C136" s="70" t="s">
        <v>178</v>
      </c>
      <c r="D136" s="74" t="s">
        <v>130</v>
      </c>
      <c r="E136" s="75">
        <v>23.869900000000001</v>
      </c>
      <c r="F136" s="75" t="s">
        <v>352</v>
      </c>
      <c r="K136" s="72">
        <v>8</v>
      </c>
      <c r="L136" s="73">
        <v>45712</v>
      </c>
      <c r="M136" s="70" t="s">
        <v>179</v>
      </c>
      <c r="N136" s="74" t="s">
        <v>130</v>
      </c>
      <c r="O136" s="75">
        <v>28.2241</v>
      </c>
      <c r="P136" s="75" t="s">
        <v>352</v>
      </c>
      <c r="U136" s="72">
        <v>8</v>
      </c>
      <c r="V136" s="73">
        <v>45712</v>
      </c>
      <c r="W136" s="70" t="s">
        <v>180</v>
      </c>
      <c r="X136" s="74" t="s">
        <v>130</v>
      </c>
      <c r="Y136" s="75">
        <v>30.1967</v>
      </c>
      <c r="Z136" s="75" t="s">
        <v>352</v>
      </c>
    </row>
    <row r="137" spans="1:26" x14ac:dyDescent="0.3">
      <c r="A137" s="72">
        <v>9</v>
      </c>
      <c r="B137" s="73">
        <v>45719</v>
      </c>
      <c r="C137" s="70" t="s">
        <v>178</v>
      </c>
      <c r="D137" s="74" t="s">
        <v>130</v>
      </c>
      <c r="E137" s="75">
        <v>23.522099999999998</v>
      </c>
      <c r="F137" s="75" t="s">
        <v>352</v>
      </c>
      <c r="K137" s="72">
        <v>9</v>
      </c>
      <c r="L137" s="73">
        <v>45719</v>
      </c>
      <c r="M137" s="70" t="s">
        <v>179</v>
      </c>
      <c r="N137" s="74" t="s">
        <v>130</v>
      </c>
      <c r="O137" s="75">
        <v>28.1525</v>
      </c>
      <c r="P137" s="75" t="s">
        <v>352</v>
      </c>
      <c r="U137" s="72">
        <v>9</v>
      </c>
      <c r="V137" s="73">
        <v>45719</v>
      </c>
      <c r="W137" s="70" t="s">
        <v>180</v>
      </c>
      <c r="X137" s="74" t="s">
        <v>130</v>
      </c>
      <c r="Y137" s="75">
        <v>30.320799999999998</v>
      </c>
      <c r="Z137" s="75" t="s">
        <v>352</v>
      </c>
    </row>
    <row r="138" spans="1:26" x14ac:dyDescent="0.3">
      <c r="A138" s="72">
        <v>10</v>
      </c>
      <c r="B138" s="73">
        <v>45726</v>
      </c>
      <c r="C138" s="70" t="s">
        <v>178</v>
      </c>
      <c r="D138" s="74" t="s">
        <v>130</v>
      </c>
      <c r="E138" s="75">
        <v>24.1431</v>
      </c>
      <c r="F138" s="75" t="s">
        <v>352</v>
      </c>
      <c r="K138" s="72">
        <v>10</v>
      </c>
      <c r="L138" s="73">
        <v>45726</v>
      </c>
      <c r="M138" s="70" t="s">
        <v>179</v>
      </c>
      <c r="N138" s="74" t="s">
        <v>130</v>
      </c>
      <c r="O138" s="75">
        <v>27.6569</v>
      </c>
      <c r="P138" s="75" t="s">
        <v>352</v>
      </c>
      <c r="U138" s="72">
        <v>10</v>
      </c>
      <c r="V138" s="73">
        <v>45726</v>
      </c>
      <c r="W138" s="70" t="s">
        <v>180</v>
      </c>
      <c r="X138" s="74" t="s">
        <v>130</v>
      </c>
      <c r="Y138" s="75">
        <v>30.1493</v>
      </c>
      <c r="Z138" s="75" t="s">
        <v>352</v>
      </c>
    </row>
    <row r="139" spans="1:26" x14ac:dyDescent="0.3">
      <c r="A139" s="72">
        <v>11</v>
      </c>
      <c r="B139" s="73">
        <v>45733</v>
      </c>
      <c r="C139" s="70" t="s">
        <v>178</v>
      </c>
      <c r="D139" s="74" t="s">
        <v>130</v>
      </c>
      <c r="E139" s="75">
        <v>24.1295</v>
      </c>
      <c r="F139" s="75" t="s">
        <v>352</v>
      </c>
      <c r="K139" s="72">
        <v>11</v>
      </c>
      <c r="L139" s="73">
        <v>45733</v>
      </c>
      <c r="M139" s="70" t="s">
        <v>179</v>
      </c>
      <c r="N139" s="74" t="s">
        <v>130</v>
      </c>
      <c r="O139" s="75">
        <v>28.337800000000001</v>
      </c>
      <c r="P139" s="75" t="s">
        <v>352</v>
      </c>
      <c r="U139" s="72">
        <v>11</v>
      </c>
      <c r="V139" s="73">
        <v>45733</v>
      </c>
      <c r="W139" s="70" t="s">
        <v>180</v>
      </c>
      <c r="X139" s="74" t="s">
        <v>130</v>
      </c>
      <c r="Y139" s="75">
        <v>30.0869</v>
      </c>
      <c r="Z139" s="75" t="s">
        <v>352</v>
      </c>
    </row>
    <row r="140" spans="1:26" x14ac:dyDescent="0.3">
      <c r="A140" s="72">
        <v>12</v>
      </c>
      <c r="B140" s="73">
        <v>45740</v>
      </c>
      <c r="C140" s="70" t="s">
        <v>178</v>
      </c>
      <c r="D140" s="74" t="s">
        <v>130</v>
      </c>
      <c r="E140" s="75">
        <v>24.1356</v>
      </c>
      <c r="F140" s="75" t="s">
        <v>352</v>
      </c>
      <c r="K140" s="72">
        <v>12</v>
      </c>
      <c r="L140" s="73">
        <v>45740</v>
      </c>
      <c r="M140" s="70" t="s">
        <v>179</v>
      </c>
      <c r="N140" s="74" t="s">
        <v>130</v>
      </c>
      <c r="O140" s="75">
        <v>28.180599999999998</v>
      </c>
      <c r="P140" s="75" t="s">
        <v>352</v>
      </c>
      <c r="U140" s="72">
        <v>12</v>
      </c>
      <c r="V140" s="73">
        <v>45740</v>
      </c>
      <c r="W140" s="70" t="s">
        <v>180</v>
      </c>
      <c r="X140" s="74" t="s">
        <v>130</v>
      </c>
      <c r="Y140" s="75">
        <v>30.381699999999999</v>
      </c>
      <c r="Z140" s="75" t="s">
        <v>352</v>
      </c>
    </row>
    <row r="141" spans="1:26" x14ac:dyDescent="0.3">
      <c r="A141" s="72">
        <v>13</v>
      </c>
      <c r="B141" s="73">
        <v>45747</v>
      </c>
      <c r="C141" s="70" t="s">
        <v>178</v>
      </c>
      <c r="D141" s="74" t="s">
        <v>130</v>
      </c>
      <c r="E141" s="75">
        <v>23.707899999999999</v>
      </c>
      <c r="F141" s="75" t="s">
        <v>352</v>
      </c>
      <c r="K141" s="72">
        <v>13</v>
      </c>
      <c r="L141" s="73">
        <v>45747</v>
      </c>
      <c r="M141" s="70" t="s">
        <v>179</v>
      </c>
      <c r="N141" s="74" t="s">
        <v>130</v>
      </c>
      <c r="O141" s="75">
        <v>28.3369</v>
      </c>
      <c r="P141" s="75" t="s">
        <v>352</v>
      </c>
      <c r="U141" s="72">
        <v>13</v>
      </c>
      <c r="V141" s="73">
        <v>45747</v>
      </c>
      <c r="W141" s="70" t="s">
        <v>180</v>
      </c>
      <c r="X141" s="74" t="s">
        <v>130</v>
      </c>
      <c r="Y141" s="75">
        <v>30.602699999999999</v>
      </c>
      <c r="Z141" s="75" t="s">
        <v>352</v>
      </c>
    </row>
    <row r="142" spans="1:26" x14ac:dyDescent="0.3">
      <c r="A142" s="72">
        <v>14</v>
      </c>
      <c r="B142" s="73">
        <v>45754</v>
      </c>
      <c r="C142" s="70" t="s">
        <v>178</v>
      </c>
      <c r="D142" s="74" t="s">
        <v>130</v>
      </c>
      <c r="E142" s="75">
        <v>23.979099999999999</v>
      </c>
      <c r="F142" s="75" t="s">
        <v>352</v>
      </c>
      <c r="K142" s="72">
        <v>14</v>
      </c>
      <c r="L142" s="73">
        <v>45754</v>
      </c>
      <c r="M142" s="70" t="s">
        <v>179</v>
      </c>
      <c r="N142" s="74" t="s">
        <v>130</v>
      </c>
      <c r="O142" s="75">
        <v>27.974699999999999</v>
      </c>
      <c r="P142" s="75" t="s">
        <v>352</v>
      </c>
      <c r="U142" s="72">
        <v>14</v>
      </c>
      <c r="V142" s="73">
        <v>45754</v>
      </c>
      <c r="W142" s="70" t="s">
        <v>180</v>
      </c>
      <c r="X142" s="74" t="s">
        <v>130</v>
      </c>
      <c r="Y142" s="75">
        <v>30.03</v>
      </c>
      <c r="Z142" s="75" t="s">
        <v>352</v>
      </c>
    </row>
    <row r="143" spans="1:26" x14ac:dyDescent="0.3">
      <c r="A143" s="72">
        <v>15</v>
      </c>
      <c r="B143" s="73">
        <v>45761</v>
      </c>
      <c r="C143" s="70" t="s">
        <v>178</v>
      </c>
      <c r="D143" s="74" t="s">
        <v>130</v>
      </c>
      <c r="E143" s="75">
        <v>23.8017</v>
      </c>
      <c r="F143" s="75" t="s">
        <v>352</v>
      </c>
      <c r="K143" s="72">
        <v>15</v>
      </c>
      <c r="L143" s="73">
        <v>45761</v>
      </c>
      <c r="M143" s="70" t="s">
        <v>179</v>
      </c>
      <c r="N143" s="74" t="s">
        <v>130</v>
      </c>
      <c r="O143" s="75">
        <v>27.993200000000002</v>
      </c>
      <c r="P143" s="75" t="s">
        <v>352</v>
      </c>
      <c r="U143" s="72">
        <v>15</v>
      </c>
      <c r="V143" s="73">
        <v>45761</v>
      </c>
      <c r="W143" s="70" t="s">
        <v>180</v>
      </c>
      <c r="X143" s="74" t="s">
        <v>130</v>
      </c>
      <c r="Y143" s="75">
        <v>30.393899999999999</v>
      </c>
      <c r="Z143" s="75" t="s">
        <v>352</v>
      </c>
    </row>
    <row r="144" spans="1:26" x14ac:dyDescent="0.3">
      <c r="A144" s="72">
        <v>16</v>
      </c>
      <c r="B144" s="73">
        <v>45768</v>
      </c>
      <c r="C144" s="70" t="s">
        <v>178</v>
      </c>
      <c r="D144" s="74" t="s">
        <v>130</v>
      </c>
      <c r="E144" s="75">
        <v>23.731200000000001</v>
      </c>
      <c r="F144" s="75" t="s">
        <v>352</v>
      </c>
      <c r="K144" s="72">
        <v>16</v>
      </c>
      <c r="L144" s="73">
        <v>45768</v>
      </c>
      <c r="M144" s="70" t="s">
        <v>179</v>
      </c>
      <c r="N144" s="74" t="s">
        <v>130</v>
      </c>
      <c r="O144" s="75">
        <v>27.818899999999999</v>
      </c>
      <c r="P144" s="75" t="s">
        <v>352</v>
      </c>
      <c r="U144" s="72">
        <v>16</v>
      </c>
      <c r="V144" s="73">
        <v>45768</v>
      </c>
      <c r="W144" s="70" t="s">
        <v>180</v>
      </c>
      <c r="X144" s="74" t="s">
        <v>130</v>
      </c>
      <c r="Y144" s="75">
        <v>30.238800000000001</v>
      </c>
      <c r="Z144" s="75" t="s">
        <v>352</v>
      </c>
    </row>
    <row r="145" spans="1:26" x14ac:dyDescent="0.3">
      <c r="A145" s="72">
        <v>17</v>
      </c>
      <c r="B145" s="73">
        <v>45775</v>
      </c>
      <c r="C145" s="70" t="s">
        <v>178</v>
      </c>
      <c r="D145" s="74" t="s">
        <v>130</v>
      </c>
      <c r="E145" s="75">
        <v>23.744900000000001</v>
      </c>
      <c r="F145" s="75" t="s">
        <v>352</v>
      </c>
      <c r="K145" s="72">
        <v>17</v>
      </c>
      <c r="L145" s="73">
        <v>45775</v>
      </c>
      <c r="M145" s="70" t="s">
        <v>179</v>
      </c>
      <c r="N145" s="74" t="s">
        <v>130</v>
      </c>
      <c r="O145" s="75">
        <v>28.587299999999999</v>
      </c>
      <c r="P145" s="75" t="s">
        <v>352</v>
      </c>
      <c r="U145" s="72">
        <v>17</v>
      </c>
      <c r="V145" s="73">
        <v>45775</v>
      </c>
      <c r="W145" s="70" t="s">
        <v>180</v>
      </c>
      <c r="X145" s="74" t="s">
        <v>130</v>
      </c>
      <c r="Y145" s="75">
        <v>30.161100000000001</v>
      </c>
      <c r="Z145" s="75" t="s">
        <v>352</v>
      </c>
    </row>
    <row r="146" spans="1:26" x14ac:dyDescent="0.3">
      <c r="A146" s="72">
        <v>18</v>
      </c>
      <c r="B146" s="73">
        <v>45782</v>
      </c>
      <c r="C146" s="70" t="s">
        <v>178</v>
      </c>
      <c r="D146" s="74" t="s">
        <v>130</v>
      </c>
      <c r="E146" s="75">
        <v>23.481300000000001</v>
      </c>
      <c r="F146" s="75" t="s">
        <v>352</v>
      </c>
      <c r="K146" s="72">
        <v>18</v>
      </c>
      <c r="L146" s="73">
        <v>45782</v>
      </c>
      <c r="M146" s="70" t="s">
        <v>179</v>
      </c>
      <c r="N146" s="74" t="s">
        <v>130</v>
      </c>
      <c r="O146" s="75">
        <v>28.0184</v>
      </c>
      <c r="P146" s="75" t="s">
        <v>352</v>
      </c>
      <c r="U146" s="72">
        <v>18</v>
      </c>
      <c r="V146" s="73">
        <v>45782</v>
      </c>
      <c r="W146" s="70" t="s">
        <v>180</v>
      </c>
      <c r="X146" s="74" t="s">
        <v>130</v>
      </c>
      <c r="Y146" s="75">
        <v>30.595700000000001</v>
      </c>
      <c r="Z146" s="75" t="s">
        <v>352</v>
      </c>
    </row>
    <row r="147" spans="1:26" x14ac:dyDescent="0.3">
      <c r="A147" s="72">
        <v>19</v>
      </c>
      <c r="B147" s="73">
        <v>45789</v>
      </c>
      <c r="C147" s="70" t="s">
        <v>178</v>
      </c>
      <c r="D147" s="74" t="s">
        <v>130</v>
      </c>
      <c r="E147" s="75">
        <v>23.441700000000001</v>
      </c>
      <c r="F147" s="75" t="s">
        <v>352</v>
      </c>
      <c r="K147" s="72">
        <v>19</v>
      </c>
      <c r="L147" s="73">
        <v>45789</v>
      </c>
      <c r="M147" s="70" t="s">
        <v>179</v>
      </c>
      <c r="N147" s="74" t="s">
        <v>130</v>
      </c>
      <c r="O147" s="75">
        <v>28.388100000000001</v>
      </c>
      <c r="P147" s="75" t="s">
        <v>352</v>
      </c>
      <c r="U147" s="72">
        <v>19</v>
      </c>
      <c r="V147" s="73">
        <v>45789</v>
      </c>
      <c r="W147" s="70" t="s">
        <v>180</v>
      </c>
      <c r="X147" s="74" t="s">
        <v>130</v>
      </c>
      <c r="Y147" s="75">
        <v>30.270099999999999</v>
      </c>
      <c r="Z147" s="75" t="s">
        <v>352</v>
      </c>
    </row>
    <row r="148" spans="1:26" x14ac:dyDescent="0.3">
      <c r="A148" s="72">
        <v>20</v>
      </c>
      <c r="B148" s="73">
        <v>45796</v>
      </c>
      <c r="C148" s="70" t="s">
        <v>178</v>
      </c>
      <c r="D148" s="74" t="s">
        <v>130</v>
      </c>
      <c r="E148" s="75">
        <v>24.055900000000001</v>
      </c>
      <c r="F148" s="75" t="s">
        <v>352</v>
      </c>
      <c r="K148" s="72">
        <v>20</v>
      </c>
      <c r="L148" s="73">
        <v>45796</v>
      </c>
      <c r="M148" s="70" t="s">
        <v>179</v>
      </c>
      <c r="N148" s="74" t="s">
        <v>130</v>
      </c>
      <c r="O148" s="75">
        <v>27.9194</v>
      </c>
      <c r="P148" s="75" t="s">
        <v>352</v>
      </c>
      <c r="U148" s="72">
        <v>20</v>
      </c>
      <c r="V148" s="73">
        <v>45796</v>
      </c>
      <c r="W148" s="70" t="s">
        <v>180</v>
      </c>
      <c r="X148" s="74" t="s">
        <v>130</v>
      </c>
      <c r="Y148" s="75">
        <v>30.748899999999999</v>
      </c>
      <c r="Z148" s="75" t="s">
        <v>352</v>
      </c>
    </row>
    <row r="149" spans="1:26" x14ac:dyDescent="0.3">
      <c r="A149" s="72">
        <v>21</v>
      </c>
      <c r="B149" s="73">
        <v>45803</v>
      </c>
      <c r="C149" s="70" t="s">
        <v>178</v>
      </c>
      <c r="D149" s="74" t="s">
        <v>130</v>
      </c>
      <c r="E149" s="75">
        <v>23.785499999999999</v>
      </c>
      <c r="F149" s="75" t="s">
        <v>352</v>
      </c>
      <c r="K149" s="72">
        <v>21</v>
      </c>
      <c r="L149" s="73">
        <v>45803</v>
      </c>
      <c r="M149" s="70" t="s">
        <v>179</v>
      </c>
      <c r="N149" s="74" t="s">
        <v>130</v>
      </c>
      <c r="O149" s="75">
        <v>28.089500000000001</v>
      </c>
      <c r="P149" s="75" t="s">
        <v>352</v>
      </c>
      <c r="U149" s="72">
        <v>21</v>
      </c>
      <c r="V149" s="73">
        <v>45803</v>
      </c>
      <c r="W149" s="70" t="s">
        <v>180</v>
      </c>
      <c r="X149" s="74" t="s">
        <v>130</v>
      </c>
      <c r="Y149" s="75">
        <v>30.207899999999999</v>
      </c>
      <c r="Z149" s="75" t="s">
        <v>352</v>
      </c>
    </row>
    <row r="150" spans="1:26" x14ac:dyDescent="0.3">
      <c r="A150" s="72">
        <v>22</v>
      </c>
      <c r="B150" s="73">
        <v>45810</v>
      </c>
      <c r="C150" s="70" t="s">
        <v>178</v>
      </c>
      <c r="D150" s="74" t="s">
        <v>130</v>
      </c>
      <c r="E150" s="75">
        <v>23.897300000000001</v>
      </c>
      <c r="F150" s="75" t="s">
        <v>352</v>
      </c>
      <c r="K150" s="72">
        <v>22</v>
      </c>
      <c r="L150" s="73">
        <v>45810</v>
      </c>
      <c r="M150" s="70" t="s">
        <v>179</v>
      </c>
      <c r="N150" s="74" t="s">
        <v>130</v>
      </c>
      <c r="O150" s="75">
        <v>27.704599999999999</v>
      </c>
      <c r="P150" s="75" t="s">
        <v>352</v>
      </c>
      <c r="U150" s="72">
        <v>22</v>
      </c>
      <c r="V150" s="73">
        <v>45810</v>
      </c>
      <c r="W150" s="70" t="s">
        <v>180</v>
      </c>
      <c r="X150" s="74" t="s">
        <v>130</v>
      </c>
      <c r="Y150" s="75">
        <v>30.4849</v>
      </c>
      <c r="Z150" s="75" t="s">
        <v>352</v>
      </c>
    </row>
    <row r="151" spans="1:26" x14ac:dyDescent="0.3">
      <c r="A151" s="72">
        <v>23</v>
      </c>
      <c r="B151" s="73">
        <v>45817</v>
      </c>
      <c r="C151" s="70" t="s">
        <v>178</v>
      </c>
      <c r="D151" s="74" t="s">
        <v>130</v>
      </c>
      <c r="E151" s="75">
        <v>24.1128</v>
      </c>
      <c r="F151" s="75" t="s">
        <v>352</v>
      </c>
      <c r="K151" s="72">
        <v>23</v>
      </c>
      <c r="L151" s="73">
        <v>45817</v>
      </c>
      <c r="M151" s="70" t="s">
        <v>179</v>
      </c>
      <c r="N151" s="74" t="s">
        <v>130</v>
      </c>
      <c r="O151" s="75">
        <v>27.974900000000002</v>
      </c>
      <c r="P151" s="75" t="s">
        <v>352</v>
      </c>
      <c r="U151" s="72">
        <v>23</v>
      </c>
      <c r="V151" s="73">
        <v>45817</v>
      </c>
      <c r="W151" s="70" t="s">
        <v>180</v>
      </c>
      <c r="X151" s="74" t="s">
        <v>130</v>
      </c>
      <c r="Y151" s="75">
        <v>30.339099999999998</v>
      </c>
      <c r="Z151" s="75" t="s">
        <v>352</v>
      </c>
    </row>
    <row r="152" spans="1:26" x14ac:dyDescent="0.3">
      <c r="A152" s="72">
        <v>24</v>
      </c>
      <c r="B152" s="73">
        <v>45824</v>
      </c>
      <c r="C152" s="70" t="s">
        <v>178</v>
      </c>
      <c r="D152" s="74" t="s">
        <v>130</v>
      </c>
      <c r="E152" s="75">
        <v>23.362400000000001</v>
      </c>
      <c r="F152" s="75" t="s">
        <v>352</v>
      </c>
      <c r="K152" s="72">
        <v>24</v>
      </c>
      <c r="L152" s="73">
        <v>45824</v>
      </c>
      <c r="M152" s="70" t="s">
        <v>179</v>
      </c>
      <c r="N152" s="74" t="s">
        <v>130</v>
      </c>
      <c r="O152" s="75">
        <v>28.261500000000002</v>
      </c>
      <c r="P152" s="75" t="s">
        <v>352</v>
      </c>
      <c r="U152" s="72">
        <v>24</v>
      </c>
      <c r="V152" s="73">
        <v>45824</v>
      </c>
      <c r="W152" s="70" t="s">
        <v>180</v>
      </c>
      <c r="X152" s="74" t="s">
        <v>130</v>
      </c>
      <c r="Y152" s="75">
        <v>30.214099999999998</v>
      </c>
      <c r="Z152" s="75" t="s">
        <v>352</v>
      </c>
    </row>
    <row r="153" spans="1:26" x14ac:dyDescent="0.3">
      <c r="A153" s="72">
        <v>25</v>
      </c>
      <c r="B153" s="73">
        <v>45831</v>
      </c>
      <c r="C153" s="70" t="s">
        <v>178</v>
      </c>
      <c r="D153" s="74" t="s">
        <v>130</v>
      </c>
      <c r="E153" s="75">
        <v>23.622800000000002</v>
      </c>
      <c r="F153" s="75" t="s">
        <v>352</v>
      </c>
      <c r="K153" s="72">
        <v>25</v>
      </c>
      <c r="L153" s="73">
        <v>45831</v>
      </c>
      <c r="M153" s="70" t="s">
        <v>179</v>
      </c>
      <c r="N153" s="74" t="s">
        <v>130</v>
      </c>
      <c r="O153" s="75">
        <v>27.7926</v>
      </c>
      <c r="P153" s="75" t="s">
        <v>352</v>
      </c>
      <c r="U153" s="72">
        <v>25</v>
      </c>
      <c r="V153" s="73">
        <v>45831</v>
      </c>
      <c r="W153" s="70" t="s">
        <v>180</v>
      </c>
      <c r="X153" s="74" t="s">
        <v>130</v>
      </c>
      <c r="Y153" s="75">
        <v>30.532599999999999</v>
      </c>
      <c r="Z153" s="75" t="s">
        <v>352</v>
      </c>
    </row>
    <row r="154" spans="1:26" x14ac:dyDescent="0.3">
      <c r="A154" s="72">
        <v>1</v>
      </c>
      <c r="B154" s="73">
        <v>45663</v>
      </c>
      <c r="C154" s="70" t="s">
        <v>178</v>
      </c>
      <c r="D154" s="74" t="s">
        <v>131</v>
      </c>
      <c r="E154" s="75">
        <v>32.927599999999998</v>
      </c>
      <c r="F154" s="75" t="s">
        <v>352</v>
      </c>
      <c r="K154" s="72">
        <v>1</v>
      </c>
      <c r="L154" s="73">
        <v>45663</v>
      </c>
      <c r="M154" s="70" t="s">
        <v>179</v>
      </c>
      <c r="N154" s="74" t="s">
        <v>131</v>
      </c>
      <c r="O154" s="75">
        <v>33.903500000000001</v>
      </c>
      <c r="P154" s="75" t="s">
        <v>352</v>
      </c>
      <c r="U154" s="72">
        <v>1</v>
      </c>
      <c r="V154" s="73">
        <v>45663</v>
      </c>
      <c r="W154" s="70" t="s">
        <v>180</v>
      </c>
      <c r="X154" s="74" t="s">
        <v>131</v>
      </c>
      <c r="Y154" s="75">
        <v>34.553100000000001</v>
      </c>
      <c r="Z154" s="75" t="s">
        <v>352</v>
      </c>
    </row>
    <row r="155" spans="1:26" x14ac:dyDescent="0.3">
      <c r="A155" s="72">
        <v>2</v>
      </c>
      <c r="B155" s="73">
        <v>45670</v>
      </c>
      <c r="C155" s="70" t="s">
        <v>178</v>
      </c>
      <c r="D155" s="74" t="s">
        <v>131</v>
      </c>
      <c r="E155" s="75">
        <v>33.366</v>
      </c>
      <c r="F155" s="75" t="s">
        <v>352</v>
      </c>
      <c r="K155" s="72">
        <v>2</v>
      </c>
      <c r="L155" s="73">
        <v>45670</v>
      </c>
      <c r="M155" s="70" t="s">
        <v>179</v>
      </c>
      <c r="N155" s="74" t="s">
        <v>131</v>
      </c>
      <c r="O155" s="75">
        <v>33.812100000000001</v>
      </c>
      <c r="P155" s="75" t="s">
        <v>352</v>
      </c>
      <c r="U155" s="72">
        <v>2</v>
      </c>
      <c r="V155" s="73">
        <v>45670</v>
      </c>
      <c r="W155" s="70" t="s">
        <v>180</v>
      </c>
      <c r="X155" s="74" t="s">
        <v>131</v>
      </c>
      <c r="Y155" s="75">
        <v>34.101500000000001</v>
      </c>
      <c r="Z155" s="75" t="s">
        <v>352</v>
      </c>
    </row>
    <row r="156" spans="1:26" x14ac:dyDescent="0.3">
      <c r="A156" s="72">
        <v>3</v>
      </c>
      <c r="B156" s="73">
        <v>45677</v>
      </c>
      <c r="C156" s="70" t="s">
        <v>178</v>
      </c>
      <c r="D156" s="74" t="s">
        <v>131</v>
      </c>
      <c r="E156" s="75">
        <v>32.989899999999999</v>
      </c>
      <c r="F156" s="75" t="s">
        <v>352</v>
      </c>
      <c r="K156" s="72">
        <v>3</v>
      </c>
      <c r="L156" s="73">
        <v>45677</v>
      </c>
      <c r="M156" s="70" t="s">
        <v>179</v>
      </c>
      <c r="N156" s="74" t="s">
        <v>131</v>
      </c>
      <c r="O156" s="75">
        <v>33.575400000000002</v>
      </c>
      <c r="P156" s="75" t="s">
        <v>352</v>
      </c>
      <c r="U156" s="72">
        <v>3</v>
      </c>
      <c r="V156" s="73">
        <v>45677</v>
      </c>
      <c r="W156" s="70" t="s">
        <v>180</v>
      </c>
      <c r="X156" s="74" t="s">
        <v>131</v>
      </c>
      <c r="Y156" s="75">
        <v>34.297199999999997</v>
      </c>
      <c r="Z156" s="75" t="s">
        <v>352</v>
      </c>
    </row>
    <row r="157" spans="1:26" x14ac:dyDescent="0.3">
      <c r="A157" s="72">
        <v>4</v>
      </c>
      <c r="B157" s="73">
        <v>45684</v>
      </c>
      <c r="C157" s="70" t="s">
        <v>178</v>
      </c>
      <c r="D157" s="74" t="s">
        <v>131</v>
      </c>
      <c r="E157" s="75">
        <v>32.389400000000002</v>
      </c>
      <c r="F157" s="75" t="s">
        <v>352</v>
      </c>
      <c r="K157" s="72">
        <v>4</v>
      </c>
      <c r="L157" s="73">
        <v>45684</v>
      </c>
      <c r="M157" s="70" t="s">
        <v>179</v>
      </c>
      <c r="N157" s="74" t="s">
        <v>131</v>
      </c>
      <c r="O157" s="75">
        <v>34.979199999999999</v>
      </c>
      <c r="P157" s="75" t="s">
        <v>352</v>
      </c>
      <c r="U157" s="72">
        <v>4</v>
      </c>
      <c r="V157" s="73">
        <v>45684</v>
      </c>
      <c r="W157" s="70" t="s">
        <v>180</v>
      </c>
      <c r="X157" s="74" t="s">
        <v>131</v>
      </c>
      <c r="Y157" s="75">
        <v>35.171199999999999</v>
      </c>
      <c r="Z157" s="75" t="s">
        <v>352</v>
      </c>
    </row>
    <row r="158" spans="1:26" x14ac:dyDescent="0.3">
      <c r="A158" s="72">
        <v>5</v>
      </c>
      <c r="B158" s="73">
        <v>45691</v>
      </c>
      <c r="C158" s="70" t="s">
        <v>178</v>
      </c>
      <c r="D158" s="74" t="s">
        <v>131</v>
      </c>
      <c r="E158" s="75">
        <v>32.958199999999998</v>
      </c>
      <c r="F158" s="75" t="s">
        <v>352</v>
      </c>
      <c r="K158" s="72">
        <v>5</v>
      </c>
      <c r="L158" s="73">
        <v>45691</v>
      </c>
      <c r="M158" s="70" t="s">
        <v>179</v>
      </c>
      <c r="N158" s="74" t="s">
        <v>131</v>
      </c>
      <c r="O158" s="75">
        <v>34.150799999999997</v>
      </c>
      <c r="P158" s="75" t="s">
        <v>352</v>
      </c>
      <c r="U158" s="72">
        <v>5</v>
      </c>
      <c r="V158" s="73">
        <v>45691</v>
      </c>
      <c r="W158" s="70" t="s">
        <v>180</v>
      </c>
      <c r="X158" s="74" t="s">
        <v>131</v>
      </c>
      <c r="Y158" s="75">
        <v>34.9621</v>
      </c>
      <c r="Z158" s="75" t="s">
        <v>352</v>
      </c>
    </row>
    <row r="159" spans="1:26" x14ac:dyDescent="0.3">
      <c r="A159" s="72">
        <v>6</v>
      </c>
      <c r="B159" s="73">
        <v>45698</v>
      </c>
      <c r="C159" s="70" t="s">
        <v>178</v>
      </c>
      <c r="D159" s="74" t="s">
        <v>131</v>
      </c>
      <c r="E159" s="75">
        <v>33.0473</v>
      </c>
      <c r="F159" s="75" t="s">
        <v>352</v>
      </c>
      <c r="K159" s="72">
        <v>6</v>
      </c>
      <c r="L159" s="73">
        <v>45698</v>
      </c>
      <c r="M159" s="70" t="s">
        <v>179</v>
      </c>
      <c r="N159" s="74" t="s">
        <v>131</v>
      </c>
      <c r="O159" s="75">
        <v>34.365000000000002</v>
      </c>
      <c r="P159" s="75" t="s">
        <v>352</v>
      </c>
      <c r="U159" s="72">
        <v>6</v>
      </c>
      <c r="V159" s="73">
        <v>45698</v>
      </c>
      <c r="W159" s="70" t="s">
        <v>180</v>
      </c>
      <c r="X159" s="74" t="s">
        <v>131</v>
      </c>
      <c r="Y159" s="75">
        <v>34.510100000000001</v>
      </c>
      <c r="Z159" s="75" t="s">
        <v>352</v>
      </c>
    </row>
    <row r="160" spans="1:26" x14ac:dyDescent="0.3">
      <c r="A160" s="72">
        <v>7</v>
      </c>
      <c r="B160" s="73">
        <v>45705</v>
      </c>
      <c r="C160" s="70" t="s">
        <v>178</v>
      </c>
      <c r="D160" s="74" t="s">
        <v>131</v>
      </c>
      <c r="E160" s="75">
        <v>33.571399999999997</v>
      </c>
      <c r="F160" s="75" t="s">
        <v>352</v>
      </c>
      <c r="K160" s="72">
        <v>7</v>
      </c>
      <c r="L160" s="73">
        <v>45705</v>
      </c>
      <c r="M160" s="70" t="s">
        <v>179</v>
      </c>
      <c r="N160" s="74" t="s">
        <v>131</v>
      </c>
      <c r="O160" s="75">
        <v>34.260599999999997</v>
      </c>
      <c r="P160" s="75" t="s">
        <v>352</v>
      </c>
      <c r="U160" s="72">
        <v>7</v>
      </c>
      <c r="V160" s="73">
        <v>45705</v>
      </c>
      <c r="W160" s="70" t="s">
        <v>180</v>
      </c>
      <c r="X160" s="74" t="s">
        <v>131</v>
      </c>
      <c r="Y160" s="75">
        <v>34.336799999999997</v>
      </c>
      <c r="Z160" s="75" t="s">
        <v>352</v>
      </c>
    </row>
    <row r="161" spans="1:26" x14ac:dyDescent="0.3">
      <c r="A161" s="72">
        <v>8</v>
      </c>
      <c r="B161" s="73">
        <v>45712</v>
      </c>
      <c r="C161" s="70" t="s">
        <v>178</v>
      </c>
      <c r="D161" s="74" t="s">
        <v>131</v>
      </c>
      <c r="E161" s="75">
        <v>32.493200000000002</v>
      </c>
      <c r="F161" s="75" t="s">
        <v>352</v>
      </c>
      <c r="K161" s="72">
        <v>8</v>
      </c>
      <c r="L161" s="73">
        <v>45712</v>
      </c>
      <c r="M161" s="70" t="s">
        <v>179</v>
      </c>
      <c r="N161" s="74" t="s">
        <v>131</v>
      </c>
      <c r="O161" s="75">
        <v>34.333199999999998</v>
      </c>
      <c r="P161" s="75" t="s">
        <v>352</v>
      </c>
      <c r="U161" s="72">
        <v>8</v>
      </c>
      <c r="V161" s="73">
        <v>45712</v>
      </c>
      <c r="W161" s="70" t="s">
        <v>180</v>
      </c>
      <c r="X161" s="74" t="s">
        <v>131</v>
      </c>
      <c r="Y161" s="75">
        <v>33.958199999999998</v>
      </c>
      <c r="Z161" s="75" t="s">
        <v>352</v>
      </c>
    </row>
    <row r="162" spans="1:26" x14ac:dyDescent="0.3">
      <c r="A162" s="72">
        <v>9</v>
      </c>
      <c r="B162" s="73">
        <v>45719</v>
      </c>
      <c r="C162" s="70" t="s">
        <v>178</v>
      </c>
      <c r="D162" s="74" t="s">
        <v>131</v>
      </c>
      <c r="E162" s="75">
        <v>32.994500000000002</v>
      </c>
      <c r="F162" s="75" t="s">
        <v>352</v>
      </c>
      <c r="K162" s="72">
        <v>9</v>
      </c>
      <c r="L162" s="73">
        <v>45719</v>
      </c>
      <c r="M162" s="70" t="s">
        <v>179</v>
      </c>
      <c r="N162" s="74" t="s">
        <v>131</v>
      </c>
      <c r="O162" s="75">
        <v>34.2913</v>
      </c>
      <c r="P162" s="75" t="s">
        <v>352</v>
      </c>
      <c r="U162" s="72">
        <v>9</v>
      </c>
      <c r="V162" s="73">
        <v>45719</v>
      </c>
      <c r="W162" s="70" t="s">
        <v>180</v>
      </c>
      <c r="X162" s="74" t="s">
        <v>131</v>
      </c>
      <c r="Y162" s="75">
        <v>34.512999999999998</v>
      </c>
      <c r="Z162" s="75" t="s">
        <v>352</v>
      </c>
    </row>
    <row r="163" spans="1:26" x14ac:dyDescent="0.3">
      <c r="A163" s="72">
        <v>10</v>
      </c>
      <c r="B163" s="73">
        <v>45726</v>
      </c>
      <c r="C163" s="70" t="s">
        <v>178</v>
      </c>
      <c r="D163" s="74" t="s">
        <v>131</v>
      </c>
      <c r="E163" s="75">
        <v>32.021599999999999</v>
      </c>
      <c r="F163" s="75" t="s">
        <v>352</v>
      </c>
      <c r="K163" s="72">
        <v>10</v>
      </c>
      <c r="L163" s="73">
        <v>45726</v>
      </c>
      <c r="M163" s="70" t="s">
        <v>179</v>
      </c>
      <c r="N163" s="74" t="s">
        <v>131</v>
      </c>
      <c r="O163" s="75">
        <v>34.997100000000003</v>
      </c>
      <c r="P163" s="75" t="s">
        <v>352</v>
      </c>
      <c r="U163" s="72">
        <v>10</v>
      </c>
      <c r="V163" s="73">
        <v>45726</v>
      </c>
      <c r="W163" s="70" t="s">
        <v>180</v>
      </c>
      <c r="X163" s="74" t="s">
        <v>131</v>
      </c>
      <c r="Y163" s="75">
        <v>34.647199999999998</v>
      </c>
      <c r="Z163" s="75" t="s">
        <v>352</v>
      </c>
    </row>
    <row r="164" spans="1:26" x14ac:dyDescent="0.3">
      <c r="A164" s="72">
        <v>11</v>
      </c>
      <c r="B164" s="73">
        <v>45733</v>
      </c>
      <c r="C164" s="70" t="s">
        <v>178</v>
      </c>
      <c r="D164" s="74" t="s">
        <v>131</v>
      </c>
      <c r="E164" s="75">
        <v>33.393900000000002</v>
      </c>
      <c r="F164" s="75" t="s">
        <v>352</v>
      </c>
      <c r="K164" s="72">
        <v>11</v>
      </c>
      <c r="L164" s="73">
        <v>45733</v>
      </c>
      <c r="M164" s="70" t="s">
        <v>179</v>
      </c>
      <c r="N164" s="74" t="s">
        <v>131</v>
      </c>
      <c r="O164" s="75">
        <v>33.877899999999997</v>
      </c>
      <c r="P164" s="75" t="s">
        <v>352</v>
      </c>
      <c r="U164" s="72">
        <v>11</v>
      </c>
      <c r="V164" s="73">
        <v>45733</v>
      </c>
      <c r="W164" s="70" t="s">
        <v>180</v>
      </c>
      <c r="X164" s="74" t="s">
        <v>131</v>
      </c>
      <c r="Y164" s="75">
        <v>34.627499999999998</v>
      </c>
      <c r="Z164" s="75" t="s">
        <v>352</v>
      </c>
    </row>
    <row r="165" spans="1:26" x14ac:dyDescent="0.3">
      <c r="A165" s="72">
        <v>12</v>
      </c>
      <c r="B165" s="73">
        <v>45740</v>
      </c>
      <c r="C165" s="70" t="s">
        <v>178</v>
      </c>
      <c r="D165" s="74" t="s">
        <v>131</v>
      </c>
      <c r="E165" s="75">
        <v>32.3919</v>
      </c>
      <c r="F165" s="75" t="s">
        <v>352</v>
      </c>
      <c r="K165" s="72">
        <v>12</v>
      </c>
      <c r="L165" s="73">
        <v>45740</v>
      </c>
      <c r="M165" s="70" t="s">
        <v>179</v>
      </c>
      <c r="N165" s="74" t="s">
        <v>131</v>
      </c>
      <c r="O165" s="75">
        <v>33.680999999999997</v>
      </c>
      <c r="P165" s="75" t="s">
        <v>352</v>
      </c>
      <c r="U165" s="72">
        <v>12</v>
      </c>
      <c r="V165" s="73">
        <v>45740</v>
      </c>
      <c r="W165" s="70" t="s">
        <v>180</v>
      </c>
      <c r="X165" s="74" t="s">
        <v>131</v>
      </c>
      <c r="Y165" s="75">
        <v>34.623899999999999</v>
      </c>
      <c r="Z165" s="75" t="s">
        <v>352</v>
      </c>
    </row>
    <row r="166" spans="1:26" x14ac:dyDescent="0.3">
      <c r="A166" s="72">
        <v>13</v>
      </c>
      <c r="B166" s="73">
        <v>45747</v>
      </c>
      <c r="C166" s="70" t="s">
        <v>178</v>
      </c>
      <c r="D166" s="74" t="s">
        <v>131</v>
      </c>
      <c r="E166" s="75">
        <v>31.972799999999999</v>
      </c>
      <c r="F166" s="75" t="s">
        <v>352</v>
      </c>
      <c r="K166" s="72">
        <v>13</v>
      </c>
      <c r="L166" s="73">
        <v>45747</v>
      </c>
      <c r="M166" s="70" t="s">
        <v>179</v>
      </c>
      <c r="N166" s="74" t="s">
        <v>131</v>
      </c>
      <c r="O166" s="75">
        <v>33.888100000000001</v>
      </c>
      <c r="P166" s="75" t="s">
        <v>352</v>
      </c>
      <c r="U166" s="72">
        <v>13</v>
      </c>
      <c r="V166" s="73">
        <v>45747</v>
      </c>
      <c r="W166" s="70" t="s">
        <v>180</v>
      </c>
      <c r="X166" s="74" t="s">
        <v>131</v>
      </c>
      <c r="Y166" s="75">
        <v>34.243699999999997</v>
      </c>
      <c r="Z166" s="75" t="s">
        <v>352</v>
      </c>
    </row>
    <row r="167" spans="1:26" x14ac:dyDescent="0.3">
      <c r="A167" s="72">
        <v>14</v>
      </c>
      <c r="B167" s="73">
        <v>45754</v>
      </c>
      <c r="C167" s="70" t="s">
        <v>178</v>
      </c>
      <c r="D167" s="74" t="s">
        <v>131</v>
      </c>
      <c r="E167" s="75">
        <v>32.982999999999997</v>
      </c>
      <c r="F167" s="75" t="s">
        <v>352</v>
      </c>
      <c r="K167" s="72">
        <v>14</v>
      </c>
      <c r="L167" s="73">
        <v>45754</v>
      </c>
      <c r="M167" s="70" t="s">
        <v>179</v>
      </c>
      <c r="N167" s="74" t="s">
        <v>131</v>
      </c>
      <c r="O167" s="75">
        <v>33.765599999999999</v>
      </c>
      <c r="P167" s="75" t="s">
        <v>352</v>
      </c>
      <c r="U167" s="72">
        <v>14</v>
      </c>
      <c r="V167" s="73">
        <v>45754</v>
      </c>
      <c r="W167" s="70" t="s">
        <v>180</v>
      </c>
      <c r="X167" s="74" t="s">
        <v>131</v>
      </c>
      <c r="Y167" s="75">
        <v>34.634099999999997</v>
      </c>
      <c r="Z167" s="75" t="s">
        <v>352</v>
      </c>
    </row>
    <row r="168" spans="1:26" x14ac:dyDescent="0.3">
      <c r="A168" s="72">
        <v>15</v>
      </c>
      <c r="B168" s="73">
        <v>45761</v>
      </c>
      <c r="C168" s="70" t="s">
        <v>178</v>
      </c>
      <c r="D168" s="74" t="s">
        <v>131</v>
      </c>
      <c r="E168" s="75">
        <v>33.656599999999997</v>
      </c>
      <c r="F168" s="75" t="s">
        <v>352</v>
      </c>
      <c r="K168" s="72">
        <v>15</v>
      </c>
      <c r="L168" s="73">
        <v>45761</v>
      </c>
      <c r="M168" s="70" t="s">
        <v>179</v>
      </c>
      <c r="N168" s="74" t="s">
        <v>131</v>
      </c>
      <c r="O168" s="75">
        <v>34.556100000000001</v>
      </c>
      <c r="P168" s="75" t="s">
        <v>352</v>
      </c>
      <c r="U168" s="72">
        <v>15</v>
      </c>
      <c r="V168" s="73">
        <v>45761</v>
      </c>
      <c r="W168" s="70" t="s">
        <v>180</v>
      </c>
      <c r="X168" s="74" t="s">
        <v>131</v>
      </c>
      <c r="Y168" s="75">
        <v>34.644300000000001</v>
      </c>
      <c r="Z168" s="75" t="s">
        <v>352</v>
      </c>
    </row>
    <row r="169" spans="1:26" x14ac:dyDescent="0.3">
      <c r="A169" s="72">
        <v>16</v>
      </c>
      <c r="B169" s="73">
        <v>45768</v>
      </c>
      <c r="C169" s="70" t="s">
        <v>178</v>
      </c>
      <c r="D169" s="74" t="s">
        <v>131</v>
      </c>
      <c r="E169" s="75">
        <v>32.135800000000003</v>
      </c>
      <c r="F169" s="75" t="s">
        <v>352</v>
      </c>
      <c r="K169" s="72">
        <v>16</v>
      </c>
      <c r="L169" s="73">
        <v>45768</v>
      </c>
      <c r="M169" s="70" t="s">
        <v>179</v>
      </c>
      <c r="N169" s="74" t="s">
        <v>131</v>
      </c>
      <c r="O169" s="75">
        <v>34.584000000000003</v>
      </c>
      <c r="P169" s="75" t="s">
        <v>352</v>
      </c>
      <c r="U169" s="72">
        <v>16</v>
      </c>
      <c r="V169" s="73">
        <v>45768</v>
      </c>
      <c r="W169" s="70" t="s">
        <v>180</v>
      </c>
      <c r="X169" s="74" t="s">
        <v>131</v>
      </c>
      <c r="Y169" s="75">
        <v>35.136000000000003</v>
      </c>
      <c r="Z169" s="75" t="s">
        <v>352</v>
      </c>
    </row>
    <row r="170" spans="1:26" x14ac:dyDescent="0.3">
      <c r="A170" s="72">
        <v>17</v>
      </c>
      <c r="B170" s="73">
        <v>45775</v>
      </c>
      <c r="C170" s="70" t="s">
        <v>178</v>
      </c>
      <c r="D170" s="74" t="s">
        <v>131</v>
      </c>
      <c r="E170" s="75">
        <v>32.388100000000001</v>
      </c>
      <c r="F170" s="75" t="s">
        <v>352</v>
      </c>
      <c r="K170" s="72">
        <v>17</v>
      </c>
      <c r="L170" s="73">
        <v>45775</v>
      </c>
      <c r="M170" s="70" t="s">
        <v>179</v>
      </c>
      <c r="N170" s="74" t="s">
        <v>131</v>
      </c>
      <c r="O170" s="75">
        <v>33.907400000000003</v>
      </c>
      <c r="P170" s="75" t="s">
        <v>352</v>
      </c>
      <c r="U170" s="72">
        <v>17</v>
      </c>
      <c r="V170" s="73">
        <v>45775</v>
      </c>
      <c r="W170" s="70" t="s">
        <v>180</v>
      </c>
      <c r="X170" s="74" t="s">
        <v>131</v>
      </c>
      <c r="Y170" s="75">
        <v>35.3491</v>
      </c>
      <c r="Z170" s="75" t="s">
        <v>352</v>
      </c>
    </row>
    <row r="171" spans="1:26" x14ac:dyDescent="0.3">
      <c r="A171" s="72">
        <v>18</v>
      </c>
      <c r="B171" s="73">
        <v>45782</v>
      </c>
      <c r="C171" s="70" t="s">
        <v>178</v>
      </c>
      <c r="D171" s="74" t="s">
        <v>131</v>
      </c>
      <c r="E171" s="75">
        <v>32.587499999999999</v>
      </c>
      <c r="F171" s="75" t="s">
        <v>352</v>
      </c>
      <c r="K171" s="72">
        <v>18</v>
      </c>
      <c r="L171" s="73">
        <v>45782</v>
      </c>
      <c r="M171" s="70" t="s">
        <v>179</v>
      </c>
      <c r="N171" s="74" t="s">
        <v>131</v>
      </c>
      <c r="O171" s="75">
        <v>33.744399999999999</v>
      </c>
      <c r="P171" s="75" t="s">
        <v>352</v>
      </c>
      <c r="U171" s="72">
        <v>18</v>
      </c>
      <c r="V171" s="73">
        <v>45782</v>
      </c>
      <c r="W171" s="70" t="s">
        <v>180</v>
      </c>
      <c r="X171" s="74" t="s">
        <v>131</v>
      </c>
      <c r="Y171" s="75">
        <v>34.607999999999997</v>
      </c>
      <c r="Z171" s="75" t="s">
        <v>352</v>
      </c>
    </row>
    <row r="172" spans="1:26" x14ac:dyDescent="0.3">
      <c r="A172" s="72">
        <v>19</v>
      </c>
      <c r="B172" s="73">
        <v>45789</v>
      </c>
      <c r="C172" s="70" t="s">
        <v>178</v>
      </c>
      <c r="D172" s="74" t="s">
        <v>131</v>
      </c>
      <c r="E172" s="75">
        <v>32.364100000000001</v>
      </c>
      <c r="F172" s="75" t="s">
        <v>352</v>
      </c>
      <c r="K172" s="72">
        <v>19</v>
      </c>
      <c r="L172" s="73">
        <v>45789</v>
      </c>
      <c r="M172" s="70" t="s">
        <v>179</v>
      </c>
      <c r="N172" s="74" t="s">
        <v>131</v>
      </c>
      <c r="O172" s="75">
        <v>34.137700000000002</v>
      </c>
      <c r="P172" s="75" t="s">
        <v>352</v>
      </c>
      <c r="U172" s="72">
        <v>19</v>
      </c>
      <c r="V172" s="73">
        <v>45789</v>
      </c>
      <c r="W172" s="70" t="s">
        <v>180</v>
      </c>
      <c r="X172" s="74" t="s">
        <v>131</v>
      </c>
      <c r="Y172" s="75">
        <v>34.3752</v>
      </c>
      <c r="Z172" s="75" t="s">
        <v>352</v>
      </c>
    </row>
    <row r="173" spans="1:26" x14ac:dyDescent="0.3">
      <c r="A173" s="72">
        <v>20</v>
      </c>
      <c r="B173" s="73">
        <v>45796</v>
      </c>
      <c r="C173" s="70" t="s">
        <v>178</v>
      </c>
      <c r="D173" s="74" t="s">
        <v>131</v>
      </c>
      <c r="E173" s="75">
        <v>33.236600000000003</v>
      </c>
      <c r="F173" s="75" t="s">
        <v>352</v>
      </c>
      <c r="K173" s="72">
        <v>20</v>
      </c>
      <c r="L173" s="73">
        <v>45796</v>
      </c>
      <c r="M173" s="70" t="s">
        <v>179</v>
      </c>
      <c r="N173" s="74" t="s">
        <v>131</v>
      </c>
      <c r="O173" s="75">
        <v>34.800699999999999</v>
      </c>
      <c r="P173" s="75" t="s">
        <v>352</v>
      </c>
      <c r="U173" s="72">
        <v>20</v>
      </c>
      <c r="V173" s="73">
        <v>45796</v>
      </c>
      <c r="W173" s="70" t="s">
        <v>180</v>
      </c>
      <c r="X173" s="74" t="s">
        <v>131</v>
      </c>
      <c r="Y173" s="75">
        <v>34.634599999999999</v>
      </c>
      <c r="Z173" s="75" t="s">
        <v>352</v>
      </c>
    </row>
    <row r="174" spans="1:26" x14ac:dyDescent="0.3">
      <c r="A174" s="72">
        <v>21</v>
      </c>
      <c r="B174" s="73">
        <v>45803</v>
      </c>
      <c r="C174" s="70" t="s">
        <v>178</v>
      </c>
      <c r="D174" s="74" t="s">
        <v>131</v>
      </c>
      <c r="E174" s="75">
        <v>32.550400000000003</v>
      </c>
      <c r="F174" s="75" t="s">
        <v>352</v>
      </c>
      <c r="K174" s="72">
        <v>21</v>
      </c>
      <c r="L174" s="73">
        <v>45803</v>
      </c>
      <c r="M174" s="70" t="s">
        <v>179</v>
      </c>
      <c r="N174" s="74" t="s">
        <v>131</v>
      </c>
      <c r="O174" s="75">
        <v>33.201700000000002</v>
      </c>
      <c r="P174" s="75" t="s">
        <v>352</v>
      </c>
      <c r="U174" s="72">
        <v>21</v>
      </c>
      <c r="V174" s="73">
        <v>45803</v>
      </c>
      <c r="W174" s="70" t="s">
        <v>180</v>
      </c>
      <c r="X174" s="74" t="s">
        <v>131</v>
      </c>
      <c r="Y174" s="75">
        <v>34.433900000000001</v>
      </c>
      <c r="Z174" s="75" t="s">
        <v>352</v>
      </c>
    </row>
    <row r="175" spans="1:26" x14ac:dyDescent="0.3">
      <c r="A175" s="72">
        <v>22</v>
      </c>
      <c r="B175" s="73">
        <v>45810</v>
      </c>
      <c r="C175" s="70" t="s">
        <v>178</v>
      </c>
      <c r="D175" s="74" t="s">
        <v>131</v>
      </c>
      <c r="E175" s="75">
        <v>32.6</v>
      </c>
      <c r="F175" s="75" t="s">
        <v>352</v>
      </c>
      <c r="K175" s="72">
        <v>22</v>
      </c>
      <c r="L175" s="73">
        <v>45810</v>
      </c>
      <c r="M175" s="70" t="s">
        <v>179</v>
      </c>
      <c r="N175" s="74" t="s">
        <v>131</v>
      </c>
      <c r="O175" s="75">
        <v>34.4724</v>
      </c>
      <c r="P175" s="75" t="s">
        <v>352</v>
      </c>
      <c r="U175" s="72">
        <v>22</v>
      </c>
      <c r="V175" s="73">
        <v>45810</v>
      </c>
      <c r="W175" s="70" t="s">
        <v>180</v>
      </c>
      <c r="X175" s="74" t="s">
        <v>131</v>
      </c>
      <c r="Y175" s="75">
        <v>34.384</v>
      </c>
      <c r="Z175" s="75" t="s">
        <v>352</v>
      </c>
    </row>
    <row r="176" spans="1:26" x14ac:dyDescent="0.3">
      <c r="A176" s="72">
        <v>23</v>
      </c>
      <c r="B176" s="73">
        <v>45817</v>
      </c>
      <c r="C176" s="70" t="s">
        <v>178</v>
      </c>
      <c r="D176" s="74" t="s">
        <v>131</v>
      </c>
      <c r="E176" s="75">
        <v>33.354500000000002</v>
      </c>
      <c r="F176" s="75" t="s">
        <v>352</v>
      </c>
      <c r="K176" s="72">
        <v>23</v>
      </c>
      <c r="L176" s="73">
        <v>45817</v>
      </c>
      <c r="M176" s="70" t="s">
        <v>179</v>
      </c>
      <c r="N176" s="74" t="s">
        <v>131</v>
      </c>
      <c r="O176" s="75">
        <v>33.863900000000001</v>
      </c>
      <c r="P176" s="75" t="s">
        <v>352</v>
      </c>
      <c r="U176" s="72">
        <v>23</v>
      </c>
      <c r="V176" s="73">
        <v>45817</v>
      </c>
      <c r="W176" s="70" t="s">
        <v>180</v>
      </c>
      <c r="X176" s="74" t="s">
        <v>131</v>
      </c>
      <c r="Y176" s="75">
        <v>34.636899999999997</v>
      </c>
      <c r="Z176" s="75" t="s">
        <v>352</v>
      </c>
    </row>
    <row r="177" spans="1:26" x14ac:dyDescent="0.3">
      <c r="A177" s="72">
        <v>24</v>
      </c>
      <c r="B177" s="73">
        <v>45824</v>
      </c>
      <c r="C177" s="70" t="s">
        <v>178</v>
      </c>
      <c r="D177" s="74" t="s">
        <v>131</v>
      </c>
      <c r="E177" s="75">
        <v>32.580399999999997</v>
      </c>
      <c r="F177" s="75" t="s">
        <v>352</v>
      </c>
      <c r="K177" s="72">
        <v>24</v>
      </c>
      <c r="L177" s="73">
        <v>45824</v>
      </c>
      <c r="M177" s="70" t="s">
        <v>179</v>
      </c>
      <c r="N177" s="74" t="s">
        <v>131</v>
      </c>
      <c r="O177" s="75">
        <v>34.667499999999997</v>
      </c>
      <c r="P177" s="75" t="s">
        <v>352</v>
      </c>
      <c r="U177" s="72">
        <v>24</v>
      </c>
      <c r="V177" s="73">
        <v>45824</v>
      </c>
      <c r="W177" s="70" t="s">
        <v>180</v>
      </c>
      <c r="X177" s="74" t="s">
        <v>131</v>
      </c>
      <c r="Y177" s="75">
        <v>34.2727</v>
      </c>
      <c r="Z177" s="75" t="s">
        <v>352</v>
      </c>
    </row>
    <row r="178" spans="1:26" x14ac:dyDescent="0.3">
      <c r="A178" s="72">
        <v>25</v>
      </c>
      <c r="B178" s="73">
        <v>45831</v>
      </c>
      <c r="C178" s="70" t="s">
        <v>178</v>
      </c>
      <c r="D178" s="74" t="s">
        <v>131</v>
      </c>
      <c r="E178" s="75">
        <v>33.267499999999998</v>
      </c>
      <c r="F178" s="75" t="s">
        <v>352</v>
      </c>
      <c r="K178" s="72">
        <v>25</v>
      </c>
      <c r="L178" s="73">
        <v>45831</v>
      </c>
      <c r="M178" s="70" t="s">
        <v>179</v>
      </c>
      <c r="N178" s="74" t="s">
        <v>131</v>
      </c>
      <c r="O178" s="75">
        <v>33.863100000000003</v>
      </c>
      <c r="P178" s="75" t="s">
        <v>352</v>
      </c>
      <c r="U178" s="72">
        <v>25</v>
      </c>
      <c r="V178" s="73">
        <v>45831</v>
      </c>
      <c r="W178" s="70" t="s">
        <v>180</v>
      </c>
      <c r="X178" s="74" t="s">
        <v>131</v>
      </c>
      <c r="Y178" s="75">
        <v>34.882800000000003</v>
      </c>
      <c r="Z178" s="75" t="s">
        <v>352</v>
      </c>
    </row>
    <row r="179" spans="1:26" x14ac:dyDescent="0.3">
      <c r="A179" s="72">
        <v>1</v>
      </c>
      <c r="B179" s="73">
        <v>45663</v>
      </c>
      <c r="C179" s="70" t="s">
        <v>178</v>
      </c>
      <c r="D179" s="74" t="s">
        <v>132</v>
      </c>
      <c r="E179" s="75">
        <v>70.133700000000005</v>
      </c>
      <c r="F179" s="75" t="s">
        <v>352</v>
      </c>
      <c r="K179" s="72">
        <v>1</v>
      </c>
      <c r="L179" s="73">
        <v>45663</v>
      </c>
      <c r="M179" s="70" t="s">
        <v>179</v>
      </c>
      <c r="N179" s="74" t="s">
        <v>132</v>
      </c>
      <c r="O179" s="75">
        <v>230.4932</v>
      </c>
      <c r="P179" s="75" t="s">
        <v>352</v>
      </c>
      <c r="U179" s="72">
        <v>1</v>
      </c>
      <c r="V179" s="73">
        <v>45663</v>
      </c>
      <c r="W179" s="70" t="s">
        <v>180</v>
      </c>
      <c r="X179" s="74" t="s">
        <v>132</v>
      </c>
      <c r="Y179" s="75">
        <v>494.11500000000001</v>
      </c>
      <c r="Z179" s="75" t="s">
        <v>352</v>
      </c>
    </row>
    <row r="180" spans="1:26" x14ac:dyDescent="0.3">
      <c r="A180" s="72">
        <v>2</v>
      </c>
      <c r="B180" s="73">
        <v>45670</v>
      </c>
      <c r="C180" s="70" t="s">
        <v>178</v>
      </c>
      <c r="D180" s="74" t="s">
        <v>132</v>
      </c>
      <c r="E180" s="75">
        <v>71.792199999999994</v>
      </c>
      <c r="F180" s="75" t="s">
        <v>352</v>
      </c>
      <c r="K180" s="72">
        <v>2</v>
      </c>
      <c r="L180" s="73">
        <v>45670</v>
      </c>
      <c r="M180" s="70" t="s">
        <v>179</v>
      </c>
      <c r="N180" s="74" t="s">
        <v>132</v>
      </c>
      <c r="O180" s="75">
        <v>229.48859999999999</v>
      </c>
      <c r="P180" s="75" t="s">
        <v>352</v>
      </c>
      <c r="U180" s="72">
        <v>2</v>
      </c>
      <c r="V180" s="73">
        <v>45670</v>
      </c>
      <c r="W180" s="70" t="s">
        <v>180</v>
      </c>
      <c r="X180" s="74" t="s">
        <v>132</v>
      </c>
      <c r="Y180" s="75">
        <v>497.02190000000002</v>
      </c>
      <c r="Z180" s="75" t="s">
        <v>352</v>
      </c>
    </row>
    <row r="181" spans="1:26" x14ac:dyDescent="0.3">
      <c r="A181" s="72">
        <v>3</v>
      </c>
      <c r="B181" s="73">
        <v>45677</v>
      </c>
      <c r="C181" s="70" t="s">
        <v>178</v>
      </c>
      <c r="D181" s="74" t="s">
        <v>132</v>
      </c>
      <c r="E181" s="75">
        <v>69.763400000000004</v>
      </c>
      <c r="F181" s="75" t="s">
        <v>352</v>
      </c>
      <c r="K181" s="72">
        <v>3</v>
      </c>
      <c r="L181" s="73">
        <v>45677</v>
      </c>
      <c r="M181" s="70" t="s">
        <v>179</v>
      </c>
      <c r="N181" s="74" t="s">
        <v>132</v>
      </c>
      <c r="O181" s="75">
        <v>226.3914</v>
      </c>
      <c r="P181" s="75" t="s">
        <v>352</v>
      </c>
      <c r="U181" s="72">
        <v>3</v>
      </c>
      <c r="V181" s="73">
        <v>45677</v>
      </c>
      <c r="W181" s="70" t="s">
        <v>180</v>
      </c>
      <c r="X181" s="74" t="s">
        <v>132</v>
      </c>
      <c r="Y181" s="75">
        <v>506.8458</v>
      </c>
      <c r="Z181" s="75" t="s">
        <v>352</v>
      </c>
    </row>
    <row r="182" spans="1:26" x14ac:dyDescent="0.3">
      <c r="A182" s="72">
        <v>4</v>
      </c>
      <c r="B182" s="73">
        <v>45684</v>
      </c>
      <c r="C182" s="70" t="s">
        <v>178</v>
      </c>
      <c r="D182" s="74" t="s">
        <v>132</v>
      </c>
      <c r="E182" s="75">
        <v>67.212800000000001</v>
      </c>
      <c r="F182" s="75" t="s">
        <v>352</v>
      </c>
      <c r="K182" s="72">
        <v>4</v>
      </c>
      <c r="L182" s="73">
        <v>45684</v>
      </c>
      <c r="M182" s="70" t="s">
        <v>179</v>
      </c>
      <c r="N182" s="74" t="s">
        <v>132</v>
      </c>
      <c r="O182" s="75">
        <v>223.15440000000001</v>
      </c>
      <c r="P182" s="75" t="s">
        <v>352</v>
      </c>
      <c r="U182" s="72">
        <v>4</v>
      </c>
      <c r="V182" s="73">
        <v>45684</v>
      </c>
      <c r="W182" s="70" t="s">
        <v>180</v>
      </c>
      <c r="X182" s="74" t="s">
        <v>132</v>
      </c>
      <c r="Y182" s="75">
        <v>535.17560000000003</v>
      </c>
      <c r="Z182" s="75" t="s">
        <v>352</v>
      </c>
    </row>
    <row r="183" spans="1:26" x14ac:dyDescent="0.3">
      <c r="A183" s="72">
        <v>5</v>
      </c>
      <c r="B183" s="73">
        <v>45691</v>
      </c>
      <c r="C183" s="70" t="s">
        <v>178</v>
      </c>
      <c r="D183" s="74" t="s">
        <v>132</v>
      </c>
      <c r="E183" s="75">
        <v>66.178600000000003</v>
      </c>
      <c r="F183" s="75" t="s">
        <v>352</v>
      </c>
      <c r="K183" s="72">
        <v>5</v>
      </c>
      <c r="L183" s="73">
        <v>45691</v>
      </c>
      <c r="M183" s="70" t="s">
        <v>179</v>
      </c>
      <c r="N183" s="74" t="s">
        <v>132</v>
      </c>
      <c r="O183" s="75">
        <v>233.93809999999999</v>
      </c>
      <c r="P183" s="75" t="s">
        <v>352</v>
      </c>
      <c r="U183" s="72">
        <v>5</v>
      </c>
      <c r="V183" s="73">
        <v>45691</v>
      </c>
      <c r="W183" s="70" t="s">
        <v>180</v>
      </c>
      <c r="X183" s="74" t="s">
        <v>132</v>
      </c>
      <c r="Y183" s="75">
        <v>510.76830000000001</v>
      </c>
      <c r="Z183" s="75" t="s">
        <v>352</v>
      </c>
    </row>
    <row r="184" spans="1:26" x14ac:dyDescent="0.3">
      <c r="A184" s="72">
        <v>6</v>
      </c>
      <c r="B184" s="73">
        <v>45698</v>
      </c>
      <c r="C184" s="70" t="s">
        <v>178</v>
      </c>
      <c r="D184" s="74" t="s">
        <v>132</v>
      </c>
      <c r="E184" s="75">
        <v>69.508799999999994</v>
      </c>
      <c r="F184" s="75" t="s">
        <v>352</v>
      </c>
      <c r="K184" s="72">
        <v>6</v>
      </c>
      <c r="L184" s="73">
        <v>45698</v>
      </c>
      <c r="M184" s="70" t="s">
        <v>179</v>
      </c>
      <c r="N184" s="74" t="s">
        <v>132</v>
      </c>
      <c r="O184" s="75">
        <v>209.82730000000001</v>
      </c>
      <c r="P184" s="75" t="s">
        <v>352</v>
      </c>
      <c r="U184" s="72">
        <v>6</v>
      </c>
      <c r="V184" s="73">
        <v>45698</v>
      </c>
      <c r="W184" s="70" t="s">
        <v>180</v>
      </c>
      <c r="X184" s="74" t="s">
        <v>132</v>
      </c>
      <c r="Y184" s="75">
        <v>520.30050000000006</v>
      </c>
      <c r="Z184" s="75" t="s">
        <v>352</v>
      </c>
    </row>
    <row r="185" spans="1:26" x14ac:dyDescent="0.3">
      <c r="A185" s="72">
        <v>7</v>
      </c>
      <c r="B185" s="73">
        <v>45705</v>
      </c>
      <c r="C185" s="70" t="s">
        <v>178</v>
      </c>
      <c r="D185" s="74" t="s">
        <v>132</v>
      </c>
      <c r="E185" s="75">
        <v>68.049199999999999</v>
      </c>
      <c r="F185" s="75" t="s">
        <v>352</v>
      </c>
      <c r="K185" s="72">
        <v>7</v>
      </c>
      <c r="L185" s="73">
        <v>45705</v>
      </c>
      <c r="M185" s="70" t="s">
        <v>179</v>
      </c>
      <c r="N185" s="74" t="s">
        <v>132</v>
      </c>
      <c r="O185" s="75">
        <v>232.93879999999999</v>
      </c>
      <c r="P185" s="75" t="s">
        <v>352</v>
      </c>
      <c r="U185" s="72">
        <v>7</v>
      </c>
      <c r="V185" s="73">
        <v>45705</v>
      </c>
      <c r="W185" s="70" t="s">
        <v>180</v>
      </c>
      <c r="X185" s="74" t="s">
        <v>132</v>
      </c>
      <c r="Y185" s="75">
        <v>542.23559999999998</v>
      </c>
      <c r="Z185" s="75" t="s">
        <v>352</v>
      </c>
    </row>
    <row r="186" spans="1:26" x14ac:dyDescent="0.3">
      <c r="A186" s="72">
        <v>8</v>
      </c>
      <c r="B186" s="73">
        <v>45712</v>
      </c>
      <c r="C186" s="70" t="s">
        <v>178</v>
      </c>
      <c r="D186" s="74" t="s">
        <v>132</v>
      </c>
      <c r="E186" s="75">
        <v>71.716700000000003</v>
      </c>
      <c r="F186" s="75" t="s">
        <v>352</v>
      </c>
      <c r="K186" s="72">
        <v>8</v>
      </c>
      <c r="L186" s="73">
        <v>45712</v>
      </c>
      <c r="M186" s="70" t="s">
        <v>179</v>
      </c>
      <c r="N186" s="74" t="s">
        <v>132</v>
      </c>
      <c r="O186" s="75">
        <v>230.57419999999999</v>
      </c>
      <c r="P186" s="75" t="s">
        <v>352</v>
      </c>
      <c r="U186" s="72">
        <v>8</v>
      </c>
      <c r="V186" s="73">
        <v>45712</v>
      </c>
      <c r="W186" s="70" t="s">
        <v>180</v>
      </c>
      <c r="X186" s="74" t="s">
        <v>132</v>
      </c>
      <c r="Y186" s="75">
        <v>539.94939999999997</v>
      </c>
      <c r="Z186" s="75" t="s">
        <v>352</v>
      </c>
    </row>
    <row r="187" spans="1:26" x14ac:dyDescent="0.3">
      <c r="A187" s="72">
        <v>9</v>
      </c>
      <c r="B187" s="73">
        <v>45719</v>
      </c>
      <c r="C187" s="70" t="s">
        <v>178</v>
      </c>
      <c r="D187" s="74" t="s">
        <v>132</v>
      </c>
      <c r="E187" s="75">
        <v>70.599900000000005</v>
      </c>
      <c r="F187" s="75" t="s">
        <v>352</v>
      </c>
      <c r="K187" s="72">
        <v>9</v>
      </c>
      <c r="L187" s="73">
        <v>45719</v>
      </c>
      <c r="M187" s="70" t="s">
        <v>179</v>
      </c>
      <c r="N187" s="74" t="s">
        <v>132</v>
      </c>
      <c r="O187" s="75">
        <v>231.0129</v>
      </c>
      <c r="P187" s="75" t="s">
        <v>352</v>
      </c>
      <c r="U187" s="72">
        <v>9</v>
      </c>
      <c r="V187" s="73">
        <v>45719</v>
      </c>
      <c r="W187" s="70" t="s">
        <v>180</v>
      </c>
      <c r="X187" s="74" t="s">
        <v>132</v>
      </c>
      <c r="Y187" s="75">
        <v>514.74090000000001</v>
      </c>
      <c r="Z187" s="75" t="s">
        <v>352</v>
      </c>
    </row>
    <row r="188" spans="1:26" x14ac:dyDescent="0.3">
      <c r="A188" s="72">
        <v>10</v>
      </c>
      <c r="B188" s="73">
        <v>45726</v>
      </c>
      <c r="C188" s="70" t="s">
        <v>178</v>
      </c>
      <c r="D188" s="74" t="s">
        <v>132</v>
      </c>
      <c r="E188" s="75">
        <v>64.236999999999995</v>
      </c>
      <c r="F188" s="75" t="s">
        <v>352</v>
      </c>
      <c r="K188" s="72">
        <v>10</v>
      </c>
      <c r="L188" s="73">
        <v>45726</v>
      </c>
      <c r="M188" s="70" t="s">
        <v>179</v>
      </c>
      <c r="N188" s="74" t="s">
        <v>132</v>
      </c>
      <c r="O188" s="75">
        <v>232.09979999999999</v>
      </c>
      <c r="P188" s="75" t="s">
        <v>352</v>
      </c>
      <c r="U188" s="72">
        <v>10</v>
      </c>
      <c r="V188" s="73">
        <v>45726</v>
      </c>
      <c r="W188" s="70" t="s">
        <v>180</v>
      </c>
      <c r="X188" s="74" t="s">
        <v>132</v>
      </c>
      <c r="Y188" s="75">
        <v>512.68889999999999</v>
      </c>
      <c r="Z188" s="75" t="s">
        <v>352</v>
      </c>
    </row>
    <row r="189" spans="1:26" x14ac:dyDescent="0.3">
      <c r="A189" s="72">
        <v>11</v>
      </c>
      <c r="B189" s="73">
        <v>45733</v>
      </c>
      <c r="C189" s="70" t="s">
        <v>178</v>
      </c>
      <c r="D189" s="74" t="s">
        <v>132</v>
      </c>
      <c r="E189" s="75">
        <v>70.935199999999995</v>
      </c>
      <c r="F189" s="75" t="s">
        <v>352</v>
      </c>
      <c r="K189" s="72">
        <v>11</v>
      </c>
      <c r="L189" s="73">
        <v>45733</v>
      </c>
      <c r="M189" s="70" t="s">
        <v>179</v>
      </c>
      <c r="N189" s="74" t="s">
        <v>132</v>
      </c>
      <c r="O189" s="75">
        <v>220.82220000000001</v>
      </c>
      <c r="P189" s="75" t="s">
        <v>352</v>
      </c>
      <c r="U189" s="72">
        <v>11</v>
      </c>
      <c r="V189" s="73">
        <v>45733</v>
      </c>
      <c r="W189" s="70" t="s">
        <v>180</v>
      </c>
      <c r="X189" s="74" t="s">
        <v>132</v>
      </c>
      <c r="Y189" s="75">
        <v>497.55020000000002</v>
      </c>
      <c r="Z189" s="75" t="s">
        <v>352</v>
      </c>
    </row>
    <row r="190" spans="1:26" x14ac:dyDescent="0.3">
      <c r="A190" s="72">
        <v>12</v>
      </c>
      <c r="B190" s="73">
        <v>45740</v>
      </c>
      <c r="C190" s="70" t="s">
        <v>178</v>
      </c>
      <c r="D190" s="74" t="s">
        <v>132</v>
      </c>
      <c r="E190" s="75">
        <v>64.328100000000006</v>
      </c>
      <c r="F190" s="75" t="s">
        <v>352</v>
      </c>
      <c r="K190" s="72">
        <v>12</v>
      </c>
      <c r="L190" s="73">
        <v>45740</v>
      </c>
      <c r="M190" s="70" t="s">
        <v>179</v>
      </c>
      <c r="N190" s="74" t="s">
        <v>132</v>
      </c>
      <c r="O190" s="75">
        <v>225.10919999999999</v>
      </c>
      <c r="P190" s="75" t="s">
        <v>352</v>
      </c>
      <c r="U190" s="72">
        <v>12</v>
      </c>
      <c r="V190" s="73">
        <v>45740</v>
      </c>
      <c r="W190" s="70" t="s">
        <v>180</v>
      </c>
      <c r="X190" s="74" t="s">
        <v>132</v>
      </c>
      <c r="Y190" s="75">
        <v>505.9622</v>
      </c>
      <c r="Z190" s="75" t="s">
        <v>352</v>
      </c>
    </row>
    <row r="191" spans="1:26" x14ac:dyDescent="0.3">
      <c r="A191" s="72">
        <v>13</v>
      </c>
      <c r="B191" s="73">
        <v>45747</v>
      </c>
      <c r="C191" s="70" t="s">
        <v>178</v>
      </c>
      <c r="D191" s="74" t="s">
        <v>132</v>
      </c>
      <c r="E191" s="75">
        <v>67.731899999999996</v>
      </c>
      <c r="F191" s="75" t="s">
        <v>352</v>
      </c>
      <c r="K191" s="72">
        <v>13</v>
      </c>
      <c r="L191" s="73">
        <v>45747</v>
      </c>
      <c r="M191" s="70" t="s">
        <v>179</v>
      </c>
      <c r="N191" s="74" t="s">
        <v>132</v>
      </c>
      <c r="O191" s="75">
        <v>234.8595</v>
      </c>
      <c r="P191" s="75" t="s">
        <v>352</v>
      </c>
      <c r="U191" s="72">
        <v>13</v>
      </c>
      <c r="V191" s="73">
        <v>45747</v>
      </c>
      <c r="W191" s="70" t="s">
        <v>180</v>
      </c>
      <c r="X191" s="74" t="s">
        <v>132</v>
      </c>
      <c r="Y191" s="75">
        <v>522.59299999999996</v>
      </c>
      <c r="Z191" s="75" t="s">
        <v>352</v>
      </c>
    </row>
    <row r="192" spans="1:26" x14ac:dyDescent="0.3">
      <c r="A192" s="72">
        <v>14</v>
      </c>
      <c r="B192" s="73">
        <v>45754</v>
      </c>
      <c r="C192" s="70" t="s">
        <v>178</v>
      </c>
      <c r="D192" s="74" t="s">
        <v>132</v>
      </c>
      <c r="E192" s="75">
        <v>69.241399999999999</v>
      </c>
      <c r="F192" s="75" t="s">
        <v>352</v>
      </c>
      <c r="K192" s="72">
        <v>14</v>
      </c>
      <c r="L192" s="73">
        <v>45754</v>
      </c>
      <c r="M192" s="70" t="s">
        <v>179</v>
      </c>
      <c r="N192" s="74" t="s">
        <v>132</v>
      </c>
      <c r="O192" s="75">
        <v>232.61449999999999</v>
      </c>
      <c r="P192" s="75" t="s">
        <v>352</v>
      </c>
      <c r="U192" s="72">
        <v>14</v>
      </c>
      <c r="V192" s="73">
        <v>45754</v>
      </c>
      <c r="W192" s="70" t="s">
        <v>180</v>
      </c>
      <c r="X192" s="74" t="s">
        <v>132</v>
      </c>
      <c r="Y192" s="75">
        <v>522.15300000000002</v>
      </c>
      <c r="Z192" s="75" t="s">
        <v>352</v>
      </c>
    </row>
    <row r="193" spans="1:26" x14ac:dyDescent="0.3">
      <c r="A193" s="72">
        <v>15</v>
      </c>
      <c r="B193" s="73">
        <v>45761</v>
      </c>
      <c r="C193" s="70" t="s">
        <v>178</v>
      </c>
      <c r="D193" s="74" t="s">
        <v>132</v>
      </c>
      <c r="E193" s="75">
        <v>60.896099999999997</v>
      </c>
      <c r="F193" s="75" t="s">
        <v>352</v>
      </c>
      <c r="K193" s="72">
        <v>15</v>
      </c>
      <c r="L193" s="73">
        <v>45761</v>
      </c>
      <c r="M193" s="70" t="s">
        <v>179</v>
      </c>
      <c r="N193" s="74" t="s">
        <v>132</v>
      </c>
      <c r="O193" s="75">
        <v>230.17920000000001</v>
      </c>
      <c r="P193" s="75" t="s">
        <v>352</v>
      </c>
      <c r="U193" s="72">
        <v>15</v>
      </c>
      <c r="V193" s="73">
        <v>45761</v>
      </c>
      <c r="W193" s="70" t="s">
        <v>180</v>
      </c>
      <c r="X193" s="74" t="s">
        <v>132</v>
      </c>
      <c r="Y193" s="75">
        <v>517.91309999999999</v>
      </c>
      <c r="Z193" s="75" t="s">
        <v>352</v>
      </c>
    </row>
    <row r="194" spans="1:26" x14ac:dyDescent="0.3">
      <c r="A194" s="72">
        <v>16</v>
      </c>
      <c r="B194" s="73">
        <v>45768</v>
      </c>
      <c r="C194" s="70" t="s">
        <v>178</v>
      </c>
      <c r="D194" s="74" t="s">
        <v>132</v>
      </c>
      <c r="E194" s="75">
        <v>71.049499999999995</v>
      </c>
      <c r="F194" s="75" t="s">
        <v>352</v>
      </c>
      <c r="K194" s="72">
        <v>16</v>
      </c>
      <c r="L194" s="73">
        <v>45768</v>
      </c>
      <c r="M194" s="70" t="s">
        <v>179</v>
      </c>
      <c r="N194" s="74" t="s">
        <v>132</v>
      </c>
      <c r="O194" s="75">
        <v>211.46170000000001</v>
      </c>
      <c r="P194" s="75" t="s">
        <v>352</v>
      </c>
      <c r="U194" s="72">
        <v>16</v>
      </c>
      <c r="V194" s="73">
        <v>45768</v>
      </c>
      <c r="W194" s="70" t="s">
        <v>180</v>
      </c>
      <c r="X194" s="74" t="s">
        <v>132</v>
      </c>
      <c r="Y194" s="75">
        <v>531.05010000000004</v>
      </c>
      <c r="Z194" s="75" t="s">
        <v>352</v>
      </c>
    </row>
    <row r="195" spans="1:26" x14ac:dyDescent="0.3">
      <c r="A195" s="72">
        <v>17</v>
      </c>
      <c r="B195" s="73">
        <v>45775</v>
      </c>
      <c r="C195" s="70" t="s">
        <v>178</v>
      </c>
      <c r="D195" s="74" t="s">
        <v>132</v>
      </c>
      <c r="E195" s="75">
        <v>71.328199999999995</v>
      </c>
      <c r="F195" s="75" t="s">
        <v>352</v>
      </c>
      <c r="K195" s="72">
        <v>17</v>
      </c>
      <c r="L195" s="73">
        <v>45775</v>
      </c>
      <c r="M195" s="70" t="s">
        <v>179</v>
      </c>
      <c r="N195" s="74" t="s">
        <v>132</v>
      </c>
      <c r="O195" s="75">
        <v>233.7809</v>
      </c>
      <c r="P195" s="75" t="s">
        <v>352</v>
      </c>
      <c r="U195" s="72">
        <v>17</v>
      </c>
      <c r="V195" s="73">
        <v>45775</v>
      </c>
      <c r="W195" s="70" t="s">
        <v>180</v>
      </c>
      <c r="X195" s="74" t="s">
        <v>132</v>
      </c>
      <c r="Y195" s="75">
        <v>504.80509999999998</v>
      </c>
      <c r="Z195" s="75" t="s">
        <v>352</v>
      </c>
    </row>
    <row r="196" spans="1:26" x14ac:dyDescent="0.3">
      <c r="A196" s="72">
        <v>18</v>
      </c>
      <c r="B196" s="73">
        <v>45782</v>
      </c>
      <c r="C196" s="70" t="s">
        <v>178</v>
      </c>
      <c r="D196" s="74" t="s">
        <v>132</v>
      </c>
      <c r="E196" s="75">
        <v>69.880200000000002</v>
      </c>
      <c r="F196" s="75" t="s">
        <v>352</v>
      </c>
      <c r="K196" s="72">
        <v>18</v>
      </c>
      <c r="L196" s="73">
        <v>45782</v>
      </c>
      <c r="M196" s="70" t="s">
        <v>179</v>
      </c>
      <c r="N196" s="74" t="s">
        <v>132</v>
      </c>
      <c r="O196" s="75">
        <v>240.6498</v>
      </c>
      <c r="P196" s="75" t="s">
        <v>352</v>
      </c>
      <c r="U196" s="72">
        <v>18</v>
      </c>
      <c r="V196" s="73">
        <v>45782</v>
      </c>
      <c r="W196" s="70" t="s">
        <v>180</v>
      </c>
      <c r="X196" s="74" t="s">
        <v>132</v>
      </c>
      <c r="Y196" s="75">
        <v>515.44299999999998</v>
      </c>
      <c r="Z196" s="75" t="s">
        <v>352</v>
      </c>
    </row>
    <row r="197" spans="1:26" x14ac:dyDescent="0.3">
      <c r="A197" s="72">
        <v>19</v>
      </c>
      <c r="B197" s="73">
        <v>45789</v>
      </c>
      <c r="C197" s="70" t="s">
        <v>178</v>
      </c>
      <c r="D197" s="74" t="s">
        <v>132</v>
      </c>
      <c r="E197" s="75">
        <v>68.632400000000004</v>
      </c>
      <c r="F197" s="75" t="s">
        <v>352</v>
      </c>
      <c r="K197" s="72">
        <v>19</v>
      </c>
      <c r="L197" s="73">
        <v>45789</v>
      </c>
      <c r="M197" s="70" t="s">
        <v>179</v>
      </c>
      <c r="N197" s="74" t="s">
        <v>132</v>
      </c>
      <c r="O197" s="75">
        <v>238.9119</v>
      </c>
      <c r="P197" s="75" t="s">
        <v>352</v>
      </c>
      <c r="U197" s="72">
        <v>19</v>
      </c>
      <c r="V197" s="73">
        <v>45789</v>
      </c>
      <c r="W197" s="70" t="s">
        <v>180</v>
      </c>
      <c r="X197" s="74" t="s">
        <v>132</v>
      </c>
      <c r="Y197" s="75">
        <v>527.13580000000002</v>
      </c>
      <c r="Z197" s="75" t="s">
        <v>352</v>
      </c>
    </row>
    <row r="198" spans="1:26" x14ac:dyDescent="0.3">
      <c r="A198" s="72">
        <v>20</v>
      </c>
      <c r="B198" s="73">
        <v>45796</v>
      </c>
      <c r="C198" s="70" t="s">
        <v>178</v>
      </c>
      <c r="D198" s="74" t="s">
        <v>132</v>
      </c>
      <c r="E198" s="75">
        <v>68.87</v>
      </c>
      <c r="F198" s="75" t="s">
        <v>352</v>
      </c>
      <c r="K198" s="72">
        <v>20</v>
      </c>
      <c r="L198" s="73">
        <v>45796</v>
      </c>
      <c r="M198" s="70" t="s">
        <v>179</v>
      </c>
      <c r="N198" s="74" t="s">
        <v>132</v>
      </c>
      <c r="O198" s="75">
        <v>230.47460000000001</v>
      </c>
      <c r="P198" s="75" t="s">
        <v>352</v>
      </c>
      <c r="U198" s="72">
        <v>20</v>
      </c>
      <c r="V198" s="73">
        <v>45796</v>
      </c>
      <c r="W198" s="70" t="s">
        <v>180</v>
      </c>
      <c r="X198" s="74" t="s">
        <v>132</v>
      </c>
      <c r="Y198" s="75">
        <v>524.95119999999997</v>
      </c>
      <c r="Z198" s="75" t="s">
        <v>352</v>
      </c>
    </row>
    <row r="199" spans="1:26" x14ac:dyDescent="0.3">
      <c r="A199" s="72">
        <v>21</v>
      </c>
      <c r="B199" s="73">
        <v>45803</v>
      </c>
      <c r="C199" s="70" t="s">
        <v>178</v>
      </c>
      <c r="D199" s="74" t="s">
        <v>132</v>
      </c>
      <c r="E199" s="75">
        <v>66.044700000000006</v>
      </c>
      <c r="F199" s="75" t="s">
        <v>352</v>
      </c>
      <c r="K199" s="72">
        <v>21</v>
      </c>
      <c r="L199" s="73">
        <v>45803</v>
      </c>
      <c r="M199" s="70" t="s">
        <v>179</v>
      </c>
      <c r="N199" s="74" t="s">
        <v>132</v>
      </c>
      <c r="O199" s="75">
        <v>210.99019999999999</v>
      </c>
      <c r="P199" s="75" t="s">
        <v>352</v>
      </c>
      <c r="U199" s="72">
        <v>21</v>
      </c>
      <c r="V199" s="73">
        <v>45803</v>
      </c>
      <c r="W199" s="70" t="s">
        <v>180</v>
      </c>
      <c r="X199" s="74" t="s">
        <v>132</v>
      </c>
      <c r="Y199" s="75">
        <v>532.18089999999995</v>
      </c>
      <c r="Z199" s="75" t="s">
        <v>352</v>
      </c>
    </row>
    <row r="200" spans="1:26" x14ac:dyDescent="0.3">
      <c r="A200" s="72">
        <v>22</v>
      </c>
      <c r="B200" s="73">
        <v>45810</v>
      </c>
      <c r="C200" s="70" t="s">
        <v>178</v>
      </c>
      <c r="D200" s="74" t="s">
        <v>132</v>
      </c>
      <c r="E200" s="75">
        <v>69.356899999999996</v>
      </c>
      <c r="F200" s="75" t="s">
        <v>352</v>
      </c>
      <c r="K200" s="72">
        <v>22</v>
      </c>
      <c r="L200" s="73">
        <v>45810</v>
      </c>
      <c r="M200" s="70" t="s">
        <v>179</v>
      </c>
      <c r="N200" s="74" t="s">
        <v>132</v>
      </c>
      <c r="O200" s="75">
        <v>238.18190000000001</v>
      </c>
      <c r="P200" s="75" t="s">
        <v>352</v>
      </c>
      <c r="U200" s="72">
        <v>22</v>
      </c>
      <c r="V200" s="73">
        <v>45810</v>
      </c>
      <c r="W200" s="70" t="s">
        <v>180</v>
      </c>
      <c r="X200" s="74" t="s">
        <v>132</v>
      </c>
      <c r="Y200" s="75">
        <v>522.17219999999998</v>
      </c>
      <c r="Z200" s="75" t="s">
        <v>352</v>
      </c>
    </row>
    <row r="201" spans="1:26" x14ac:dyDescent="0.3">
      <c r="A201" s="72">
        <v>23</v>
      </c>
      <c r="B201" s="73">
        <v>45817</v>
      </c>
      <c r="C201" s="70" t="s">
        <v>178</v>
      </c>
      <c r="D201" s="74" t="s">
        <v>132</v>
      </c>
      <c r="E201" s="75">
        <v>68.031199999999998</v>
      </c>
      <c r="F201" s="75" t="s">
        <v>352</v>
      </c>
      <c r="K201" s="72">
        <v>23</v>
      </c>
      <c r="L201" s="73">
        <v>45817</v>
      </c>
      <c r="M201" s="70" t="s">
        <v>179</v>
      </c>
      <c r="N201" s="74" t="s">
        <v>132</v>
      </c>
      <c r="O201" s="75">
        <v>226.3295</v>
      </c>
      <c r="P201" s="75" t="s">
        <v>352</v>
      </c>
      <c r="U201" s="72">
        <v>23</v>
      </c>
      <c r="V201" s="73">
        <v>45817</v>
      </c>
      <c r="W201" s="70" t="s">
        <v>180</v>
      </c>
      <c r="X201" s="74" t="s">
        <v>132</v>
      </c>
      <c r="Y201" s="75">
        <v>511.68079999999998</v>
      </c>
      <c r="Z201" s="75" t="s">
        <v>352</v>
      </c>
    </row>
    <row r="202" spans="1:26" x14ac:dyDescent="0.3">
      <c r="A202" s="72">
        <v>24</v>
      </c>
      <c r="B202" s="73">
        <v>45824</v>
      </c>
      <c r="C202" s="70" t="s">
        <v>178</v>
      </c>
      <c r="D202" s="74" t="s">
        <v>132</v>
      </c>
      <c r="E202" s="75">
        <v>71.050299999999993</v>
      </c>
      <c r="F202" s="75" t="s">
        <v>352</v>
      </c>
      <c r="K202" s="72">
        <v>24</v>
      </c>
      <c r="L202" s="73">
        <v>45824</v>
      </c>
      <c r="M202" s="70" t="s">
        <v>179</v>
      </c>
      <c r="N202" s="74" t="s">
        <v>132</v>
      </c>
      <c r="O202" s="75">
        <v>200.38810000000001</v>
      </c>
      <c r="P202" s="75" t="s">
        <v>352</v>
      </c>
      <c r="U202" s="72">
        <v>24</v>
      </c>
      <c r="V202" s="73">
        <v>45824</v>
      </c>
      <c r="W202" s="70" t="s">
        <v>180</v>
      </c>
      <c r="X202" s="74" t="s">
        <v>132</v>
      </c>
      <c r="Y202" s="75">
        <v>521.6549</v>
      </c>
      <c r="Z202" s="75" t="s">
        <v>352</v>
      </c>
    </row>
    <row r="203" spans="1:26" x14ac:dyDescent="0.3">
      <c r="A203" s="72">
        <v>25</v>
      </c>
      <c r="B203" s="73">
        <v>45831</v>
      </c>
      <c r="C203" s="70" t="s">
        <v>178</v>
      </c>
      <c r="D203" s="74" t="s">
        <v>132</v>
      </c>
      <c r="E203" s="75">
        <v>64.978200000000001</v>
      </c>
      <c r="F203" s="75" t="s">
        <v>352</v>
      </c>
      <c r="K203" s="72">
        <v>25</v>
      </c>
      <c r="L203" s="73">
        <v>45831</v>
      </c>
      <c r="M203" s="70" t="s">
        <v>179</v>
      </c>
      <c r="N203" s="74" t="s">
        <v>132</v>
      </c>
      <c r="O203" s="75">
        <v>232.0334</v>
      </c>
      <c r="P203" s="75" t="s">
        <v>352</v>
      </c>
      <c r="U203" s="72">
        <v>25</v>
      </c>
      <c r="V203" s="73">
        <v>45831</v>
      </c>
      <c r="W203" s="70" t="s">
        <v>180</v>
      </c>
      <c r="X203" s="74" t="s">
        <v>132</v>
      </c>
      <c r="Y203" s="75">
        <v>501.38589999999999</v>
      </c>
      <c r="Z203" s="75" t="s">
        <v>352</v>
      </c>
    </row>
    <row r="204" spans="1:26" x14ac:dyDescent="0.3">
      <c r="A204" s="72">
        <v>1</v>
      </c>
      <c r="B204" s="73">
        <v>45663</v>
      </c>
      <c r="C204" s="70" t="s">
        <v>178</v>
      </c>
      <c r="D204" s="74" t="s">
        <v>138</v>
      </c>
      <c r="E204" s="75">
        <v>1.1572</v>
      </c>
      <c r="F204" s="75" t="s">
        <v>352</v>
      </c>
      <c r="K204" s="72">
        <v>1</v>
      </c>
      <c r="L204" s="73">
        <v>45663</v>
      </c>
      <c r="M204" s="70" t="s">
        <v>179</v>
      </c>
      <c r="N204" s="74" t="s">
        <v>138</v>
      </c>
      <c r="O204" s="75">
        <v>2.9714</v>
      </c>
      <c r="P204" s="75" t="s">
        <v>352</v>
      </c>
      <c r="U204" s="72">
        <v>1</v>
      </c>
      <c r="V204" s="73">
        <v>45663</v>
      </c>
      <c r="W204" s="70" t="s">
        <v>180</v>
      </c>
      <c r="X204" s="74" t="s">
        <v>138</v>
      </c>
      <c r="Y204" s="75">
        <v>8.0402000000000005</v>
      </c>
      <c r="Z204" s="75" t="s">
        <v>352</v>
      </c>
    </row>
    <row r="205" spans="1:26" x14ac:dyDescent="0.3">
      <c r="A205" s="72">
        <v>2</v>
      </c>
      <c r="B205" s="73">
        <v>45670</v>
      </c>
      <c r="C205" s="70" t="s">
        <v>178</v>
      </c>
      <c r="D205" s="74" t="s">
        <v>138</v>
      </c>
      <c r="E205" s="75">
        <v>1.2413000000000001</v>
      </c>
      <c r="F205" s="75" t="s">
        <v>352</v>
      </c>
      <c r="K205" s="72">
        <v>2</v>
      </c>
      <c r="L205" s="73">
        <v>45670</v>
      </c>
      <c r="M205" s="70" t="s">
        <v>179</v>
      </c>
      <c r="N205" s="74" t="s">
        <v>138</v>
      </c>
      <c r="O205" s="75">
        <v>3.0285000000000002</v>
      </c>
      <c r="P205" s="75" t="s">
        <v>352</v>
      </c>
      <c r="U205" s="72">
        <v>2</v>
      </c>
      <c r="V205" s="73">
        <v>45670</v>
      </c>
      <c r="W205" s="70" t="s">
        <v>180</v>
      </c>
      <c r="X205" s="74" t="s">
        <v>138</v>
      </c>
      <c r="Y205" s="75">
        <v>7.6836000000000002</v>
      </c>
      <c r="Z205" s="75" t="s">
        <v>352</v>
      </c>
    </row>
    <row r="206" spans="1:26" x14ac:dyDescent="0.3">
      <c r="A206" s="72">
        <v>3</v>
      </c>
      <c r="B206" s="73">
        <v>45677</v>
      </c>
      <c r="C206" s="70" t="s">
        <v>178</v>
      </c>
      <c r="D206" s="74" t="s">
        <v>138</v>
      </c>
      <c r="E206" s="75">
        <v>1.2172000000000001</v>
      </c>
      <c r="F206" s="75" t="s">
        <v>352</v>
      </c>
      <c r="K206" s="72">
        <v>3</v>
      </c>
      <c r="L206" s="73">
        <v>45677</v>
      </c>
      <c r="M206" s="70" t="s">
        <v>179</v>
      </c>
      <c r="N206" s="74" t="s">
        <v>138</v>
      </c>
      <c r="O206" s="75">
        <v>3.0920000000000001</v>
      </c>
      <c r="P206" s="75" t="s">
        <v>352</v>
      </c>
      <c r="U206" s="72">
        <v>3</v>
      </c>
      <c r="V206" s="73">
        <v>45677</v>
      </c>
      <c r="W206" s="70" t="s">
        <v>180</v>
      </c>
      <c r="X206" s="74" t="s">
        <v>138</v>
      </c>
      <c r="Y206" s="75">
        <v>7.6938000000000004</v>
      </c>
      <c r="Z206" s="75" t="s">
        <v>352</v>
      </c>
    </row>
    <row r="207" spans="1:26" x14ac:dyDescent="0.3">
      <c r="A207" s="72">
        <v>4</v>
      </c>
      <c r="B207" s="73">
        <v>45684</v>
      </c>
      <c r="C207" s="70" t="s">
        <v>178</v>
      </c>
      <c r="D207" s="74" t="s">
        <v>138</v>
      </c>
      <c r="E207" s="75">
        <v>1.2310000000000001</v>
      </c>
      <c r="F207" s="75" t="s">
        <v>352</v>
      </c>
      <c r="K207" s="72">
        <v>4</v>
      </c>
      <c r="L207" s="73">
        <v>45684</v>
      </c>
      <c r="M207" s="70" t="s">
        <v>179</v>
      </c>
      <c r="N207" s="74" t="s">
        <v>138</v>
      </c>
      <c r="O207" s="75">
        <v>2.9641999999999999</v>
      </c>
      <c r="P207" s="75" t="s">
        <v>352</v>
      </c>
      <c r="U207" s="72">
        <v>4</v>
      </c>
      <c r="V207" s="73">
        <v>45684</v>
      </c>
      <c r="W207" s="70" t="s">
        <v>180</v>
      </c>
      <c r="X207" s="74" t="s">
        <v>138</v>
      </c>
      <c r="Y207" s="75">
        <v>7.8818999999999999</v>
      </c>
      <c r="Z207" s="75" t="s">
        <v>352</v>
      </c>
    </row>
    <row r="208" spans="1:26" x14ac:dyDescent="0.3">
      <c r="A208" s="72">
        <v>5</v>
      </c>
      <c r="B208" s="73">
        <v>45691</v>
      </c>
      <c r="C208" s="70" t="s">
        <v>178</v>
      </c>
      <c r="D208" s="74" t="s">
        <v>138</v>
      </c>
      <c r="E208" s="75">
        <v>1.155</v>
      </c>
      <c r="F208" s="75" t="s">
        <v>352</v>
      </c>
      <c r="K208" s="72">
        <v>5</v>
      </c>
      <c r="L208" s="73">
        <v>45691</v>
      </c>
      <c r="M208" s="70" t="s">
        <v>179</v>
      </c>
      <c r="N208" s="74" t="s">
        <v>138</v>
      </c>
      <c r="O208" s="75">
        <v>2.9708999999999999</v>
      </c>
      <c r="P208" s="75" t="s">
        <v>352</v>
      </c>
      <c r="U208" s="72">
        <v>5</v>
      </c>
      <c r="V208" s="73">
        <v>45691</v>
      </c>
      <c r="W208" s="70" t="s">
        <v>180</v>
      </c>
      <c r="X208" s="74" t="s">
        <v>138</v>
      </c>
      <c r="Y208" s="75">
        <v>7.7207999999999997</v>
      </c>
      <c r="Z208" s="75" t="s">
        <v>352</v>
      </c>
    </row>
    <row r="209" spans="1:26" x14ac:dyDescent="0.3">
      <c r="A209" s="72">
        <v>6</v>
      </c>
      <c r="B209" s="73">
        <v>45698</v>
      </c>
      <c r="C209" s="70" t="s">
        <v>178</v>
      </c>
      <c r="D209" s="74" t="s">
        <v>138</v>
      </c>
      <c r="E209" s="75">
        <v>1.2055</v>
      </c>
      <c r="F209" s="75" t="s">
        <v>352</v>
      </c>
      <c r="K209" s="72">
        <v>6</v>
      </c>
      <c r="L209" s="73">
        <v>45698</v>
      </c>
      <c r="M209" s="70" t="s">
        <v>179</v>
      </c>
      <c r="N209" s="74" t="s">
        <v>138</v>
      </c>
      <c r="O209" s="75">
        <v>2.9857999999999998</v>
      </c>
      <c r="P209" s="75" t="s">
        <v>352</v>
      </c>
      <c r="U209" s="72">
        <v>6</v>
      </c>
      <c r="V209" s="73">
        <v>45698</v>
      </c>
      <c r="W209" s="70" t="s">
        <v>180</v>
      </c>
      <c r="X209" s="74" t="s">
        <v>138</v>
      </c>
      <c r="Y209" s="75">
        <v>7.9654999999999996</v>
      </c>
      <c r="Z209" s="75" t="s">
        <v>352</v>
      </c>
    </row>
    <row r="210" spans="1:26" x14ac:dyDescent="0.3">
      <c r="A210" s="72">
        <v>7</v>
      </c>
      <c r="B210" s="73">
        <v>45705</v>
      </c>
      <c r="C210" s="70" t="s">
        <v>178</v>
      </c>
      <c r="D210" s="74" t="s">
        <v>138</v>
      </c>
      <c r="E210" s="75">
        <v>1.1966000000000001</v>
      </c>
      <c r="F210" s="75" t="s">
        <v>352</v>
      </c>
      <c r="K210" s="72">
        <v>7</v>
      </c>
      <c r="L210" s="73">
        <v>45705</v>
      </c>
      <c r="M210" s="70" t="s">
        <v>179</v>
      </c>
      <c r="N210" s="74" t="s">
        <v>138</v>
      </c>
      <c r="O210" s="75">
        <v>3.0548999999999999</v>
      </c>
      <c r="P210" s="75" t="s">
        <v>352</v>
      </c>
      <c r="U210" s="72">
        <v>7</v>
      </c>
      <c r="V210" s="73">
        <v>45705</v>
      </c>
      <c r="W210" s="70" t="s">
        <v>180</v>
      </c>
      <c r="X210" s="74" t="s">
        <v>138</v>
      </c>
      <c r="Y210" s="75">
        <v>7.8917000000000002</v>
      </c>
      <c r="Z210" s="75" t="s">
        <v>352</v>
      </c>
    </row>
    <row r="211" spans="1:26" x14ac:dyDescent="0.3">
      <c r="A211" s="72">
        <v>8</v>
      </c>
      <c r="B211" s="73">
        <v>45712</v>
      </c>
      <c r="C211" s="70" t="s">
        <v>178</v>
      </c>
      <c r="D211" s="74" t="s">
        <v>138</v>
      </c>
      <c r="E211" s="75">
        <v>1.1866000000000001</v>
      </c>
      <c r="F211" s="75" t="s">
        <v>352</v>
      </c>
      <c r="K211" s="72">
        <v>8</v>
      </c>
      <c r="L211" s="73">
        <v>45712</v>
      </c>
      <c r="M211" s="70" t="s">
        <v>179</v>
      </c>
      <c r="N211" s="74" t="s">
        <v>138</v>
      </c>
      <c r="O211" s="75">
        <v>2.972</v>
      </c>
      <c r="P211" s="75" t="s">
        <v>352</v>
      </c>
      <c r="U211" s="72">
        <v>8</v>
      </c>
      <c r="V211" s="73">
        <v>45712</v>
      </c>
      <c r="W211" s="70" t="s">
        <v>180</v>
      </c>
      <c r="X211" s="74" t="s">
        <v>138</v>
      </c>
      <c r="Y211" s="75">
        <v>7.6816000000000004</v>
      </c>
      <c r="Z211" s="75" t="s">
        <v>352</v>
      </c>
    </row>
    <row r="212" spans="1:26" x14ac:dyDescent="0.3">
      <c r="A212" s="72">
        <v>9</v>
      </c>
      <c r="B212" s="73">
        <v>45719</v>
      </c>
      <c r="C212" s="70" t="s">
        <v>178</v>
      </c>
      <c r="D212" s="74" t="s">
        <v>138</v>
      </c>
      <c r="E212" s="75">
        <v>1.1338999999999999</v>
      </c>
      <c r="F212" s="75" t="s">
        <v>352</v>
      </c>
      <c r="K212" s="72">
        <v>9</v>
      </c>
      <c r="L212" s="73">
        <v>45719</v>
      </c>
      <c r="M212" s="70" t="s">
        <v>179</v>
      </c>
      <c r="N212" s="74" t="s">
        <v>138</v>
      </c>
      <c r="O212" s="75">
        <v>3.0625</v>
      </c>
      <c r="P212" s="75" t="s">
        <v>352</v>
      </c>
      <c r="U212" s="72">
        <v>9</v>
      </c>
      <c r="V212" s="73">
        <v>45719</v>
      </c>
      <c r="W212" s="70" t="s">
        <v>180</v>
      </c>
      <c r="X212" s="74" t="s">
        <v>138</v>
      </c>
      <c r="Y212" s="75">
        <v>7.8585000000000003</v>
      </c>
      <c r="Z212" s="75" t="s">
        <v>352</v>
      </c>
    </row>
    <row r="213" spans="1:26" x14ac:dyDescent="0.3">
      <c r="A213" s="72">
        <v>10</v>
      </c>
      <c r="B213" s="73">
        <v>45726</v>
      </c>
      <c r="C213" s="70" t="s">
        <v>178</v>
      </c>
      <c r="D213" s="74" t="s">
        <v>138</v>
      </c>
      <c r="E213" s="75">
        <v>1.2065999999999999</v>
      </c>
      <c r="F213" s="75" t="s">
        <v>352</v>
      </c>
      <c r="K213" s="72">
        <v>10</v>
      </c>
      <c r="L213" s="73">
        <v>45726</v>
      </c>
      <c r="M213" s="70" t="s">
        <v>179</v>
      </c>
      <c r="N213" s="74" t="s">
        <v>138</v>
      </c>
      <c r="O213" s="75">
        <v>2.9154</v>
      </c>
      <c r="P213" s="75" t="s">
        <v>352</v>
      </c>
      <c r="U213" s="72">
        <v>10</v>
      </c>
      <c r="V213" s="73">
        <v>45726</v>
      </c>
      <c r="W213" s="70" t="s">
        <v>180</v>
      </c>
      <c r="X213" s="74" t="s">
        <v>138</v>
      </c>
      <c r="Y213" s="75">
        <v>7.7831000000000001</v>
      </c>
      <c r="Z213" s="75" t="s">
        <v>352</v>
      </c>
    </row>
    <row r="214" spans="1:26" x14ac:dyDescent="0.3">
      <c r="A214" s="72">
        <v>11</v>
      </c>
      <c r="B214" s="73">
        <v>45733</v>
      </c>
      <c r="C214" s="70" t="s">
        <v>178</v>
      </c>
      <c r="D214" s="74" t="s">
        <v>138</v>
      </c>
      <c r="E214" s="75">
        <v>1.2533000000000001</v>
      </c>
      <c r="F214" s="75" t="s">
        <v>352</v>
      </c>
      <c r="K214" s="72">
        <v>11</v>
      </c>
      <c r="L214" s="73">
        <v>45733</v>
      </c>
      <c r="M214" s="70" t="s">
        <v>179</v>
      </c>
      <c r="N214" s="74" t="s">
        <v>138</v>
      </c>
      <c r="O214" s="75">
        <v>2.9626000000000001</v>
      </c>
      <c r="P214" s="75" t="s">
        <v>352</v>
      </c>
      <c r="U214" s="72">
        <v>11</v>
      </c>
      <c r="V214" s="73">
        <v>45733</v>
      </c>
      <c r="W214" s="70" t="s">
        <v>180</v>
      </c>
      <c r="X214" s="74" t="s">
        <v>138</v>
      </c>
      <c r="Y214" s="75">
        <v>8.0081000000000007</v>
      </c>
      <c r="Z214" s="75" t="s">
        <v>352</v>
      </c>
    </row>
    <row r="215" spans="1:26" x14ac:dyDescent="0.3">
      <c r="A215" s="72">
        <v>12</v>
      </c>
      <c r="B215" s="73">
        <v>45740</v>
      </c>
      <c r="C215" s="70" t="s">
        <v>178</v>
      </c>
      <c r="D215" s="74" t="s">
        <v>138</v>
      </c>
      <c r="E215" s="75">
        <v>1.2337</v>
      </c>
      <c r="F215" s="75" t="s">
        <v>352</v>
      </c>
      <c r="K215" s="72">
        <v>12</v>
      </c>
      <c r="L215" s="73">
        <v>45740</v>
      </c>
      <c r="M215" s="70" t="s">
        <v>179</v>
      </c>
      <c r="N215" s="74" t="s">
        <v>138</v>
      </c>
      <c r="O215" s="75">
        <v>2.9618000000000002</v>
      </c>
      <c r="P215" s="75" t="s">
        <v>352</v>
      </c>
      <c r="U215" s="72">
        <v>12</v>
      </c>
      <c r="V215" s="73">
        <v>45740</v>
      </c>
      <c r="W215" s="70" t="s">
        <v>180</v>
      </c>
      <c r="X215" s="74" t="s">
        <v>138</v>
      </c>
      <c r="Y215" s="75">
        <v>7.7332000000000001</v>
      </c>
      <c r="Z215" s="75" t="s">
        <v>352</v>
      </c>
    </row>
    <row r="216" spans="1:26" x14ac:dyDescent="0.3">
      <c r="A216" s="72">
        <v>13</v>
      </c>
      <c r="B216" s="73">
        <v>45747</v>
      </c>
      <c r="C216" s="70" t="s">
        <v>178</v>
      </c>
      <c r="D216" s="74" t="s">
        <v>138</v>
      </c>
      <c r="E216" s="75">
        <v>1.1964999999999999</v>
      </c>
      <c r="F216" s="75" t="s">
        <v>352</v>
      </c>
      <c r="K216" s="72">
        <v>13</v>
      </c>
      <c r="L216" s="73">
        <v>45747</v>
      </c>
      <c r="M216" s="70" t="s">
        <v>179</v>
      </c>
      <c r="N216" s="74" t="s">
        <v>138</v>
      </c>
      <c r="O216" s="75">
        <v>3.0213000000000001</v>
      </c>
      <c r="P216" s="75" t="s">
        <v>352</v>
      </c>
      <c r="U216" s="72">
        <v>13</v>
      </c>
      <c r="V216" s="73">
        <v>45747</v>
      </c>
      <c r="W216" s="70" t="s">
        <v>180</v>
      </c>
      <c r="X216" s="74" t="s">
        <v>138</v>
      </c>
      <c r="Y216" s="75">
        <v>7.7675000000000001</v>
      </c>
      <c r="Z216" s="75" t="s">
        <v>352</v>
      </c>
    </row>
    <row r="217" spans="1:26" x14ac:dyDescent="0.3">
      <c r="A217" s="72">
        <v>14</v>
      </c>
      <c r="B217" s="73">
        <v>45754</v>
      </c>
      <c r="C217" s="70" t="s">
        <v>178</v>
      </c>
      <c r="D217" s="74" t="s">
        <v>138</v>
      </c>
      <c r="E217" s="75">
        <v>1.2186999999999999</v>
      </c>
      <c r="F217" s="75" t="s">
        <v>352</v>
      </c>
      <c r="K217" s="72">
        <v>14</v>
      </c>
      <c r="L217" s="73">
        <v>45754</v>
      </c>
      <c r="M217" s="70" t="s">
        <v>179</v>
      </c>
      <c r="N217" s="74" t="s">
        <v>138</v>
      </c>
      <c r="O217" s="75">
        <v>3.0369000000000002</v>
      </c>
      <c r="P217" s="75" t="s">
        <v>352</v>
      </c>
      <c r="U217" s="72">
        <v>14</v>
      </c>
      <c r="V217" s="73">
        <v>45754</v>
      </c>
      <c r="W217" s="70" t="s">
        <v>180</v>
      </c>
      <c r="X217" s="74" t="s">
        <v>138</v>
      </c>
      <c r="Y217" s="75">
        <v>8.0606000000000009</v>
      </c>
      <c r="Z217" s="75" t="s">
        <v>352</v>
      </c>
    </row>
    <row r="218" spans="1:26" x14ac:dyDescent="0.3">
      <c r="A218" s="72">
        <v>15</v>
      </c>
      <c r="B218" s="73">
        <v>45761</v>
      </c>
      <c r="C218" s="70" t="s">
        <v>178</v>
      </c>
      <c r="D218" s="74" t="s">
        <v>138</v>
      </c>
      <c r="E218" s="75">
        <v>1.248</v>
      </c>
      <c r="F218" s="75" t="s">
        <v>352</v>
      </c>
      <c r="K218" s="72">
        <v>15</v>
      </c>
      <c r="L218" s="73">
        <v>45761</v>
      </c>
      <c r="M218" s="70" t="s">
        <v>179</v>
      </c>
      <c r="N218" s="74" t="s">
        <v>138</v>
      </c>
      <c r="O218" s="75">
        <v>2.8826999999999998</v>
      </c>
      <c r="P218" s="75" t="s">
        <v>352</v>
      </c>
      <c r="U218" s="72">
        <v>15</v>
      </c>
      <c r="V218" s="73">
        <v>45761</v>
      </c>
      <c r="W218" s="70" t="s">
        <v>180</v>
      </c>
      <c r="X218" s="74" t="s">
        <v>138</v>
      </c>
      <c r="Y218" s="75">
        <v>8.2430000000000003</v>
      </c>
      <c r="Z218" s="75" t="s">
        <v>352</v>
      </c>
    </row>
    <row r="219" spans="1:26" x14ac:dyDescent="0.3">
      <c r="A219" s="72">
        <v>16</v>
      </c>
      <c r="B219" s="73">
        <v>45768</v>
      </c>
      <c r="C219" s="70" t="s">
        <v>178</v>
      </c>
      <c r="D219" s="74" t="s">
        <v>138</v>
      </c>
      <c r="E219" s="75">
        <v>1.1147</v>
      </c>
      <c r="F219" s="75" t="s">
        <v>352</v>
      </c>
      <c r="K219" s="72">
        <v>16</v>
      </c>
      <c r="L219" s="73">
        <v>45768</v>
      </c>
      <c r="M219" s="70" t="s">
        <v>179</v>
      </c>
      <c r="N219" s="74" t="s">
        <v>138</v>
      </c>
      <c r="O219" s="75">
        <v>2.9184999999999999</v>
      </c>
      <c r="P219" s="75" t="s">
        <v>352</v>
      </c>
      <c r="U219" s="72">
        <v>16</v>
      </c>
      <c r="V219" s="73">
        <v>45768</v>
      </c>
      <c r="W219" s="70" t="s">
        <v>180</v>
      </c>
      <c r="X219" s="74" t="s">
        <v>138</v>
      </c>
      <c r="Y219" s="75">
        <v>8.2004999999999999</v>
      </c>
      <c r="Z219" s="75" t="s">
        <v>352</v>
      </c>
    </row>
    <row r="220" spans="1:26" x14ac:dyDescent="0.3">
      <c r="A220" s="72">
        <v>17</v>
      </c>
      <c r="B220" s="73">
        <v>45775</v>
      </c>
      <c r="C220" s="70" t="s">
        <v>178</v>
      </c>
      <c r="D220" s="74" t="s">
        <v>138</v>
      </c>
      <c r="E220" s="75">
        <v>1.2145999999999999</v>
      </c>
      <c r="F220" s="75" t="s">
        <v>352</v>
      </c>
      <c r="K220" s="72">
        <v>17</v>
      </c>
      <c r="L220" s="73">
        <v>45775</v>
      </c>
      <c r="M220" s="70" t="s">
        <v>179</v>
      </c>
      <c r="N220" s="74" t="s">
        <v>138</v>
      </c>
      <c r="O220" s="75">
        <v>2.9941</v>
      </c>
      <c r="P220" s="75" t="s">
        <v>352</v>
      </c>
      <c r="U220" s="72">
        <v>17</v>
      </c>
      <c r="V220" s="73">
        <v>45775</v>
      </c>
      <c r="W220" s="70" t="s">
        <v>180</v>
      </c>
      <c r="X220" s="74" t="s">
        <v>138</v>
      </c>
      <c r="Y220" s="75">
        <v>7.8567</v>
      </c>
      <c r="Z220" s="75" t="s">
        <v>352</v>
      </c>
    </row>
    <row r="221" spans="1:26" x14ac:dyDescent="0.3">
      <c r="A221" s="72">
        <v>18</v>
      </c>
      <c r="B221" s="73">
        <v>45782</v>
      </c>
      <c r="C221" s="70" t="s">
        <v>178</v>
      </c>
      <c r="D221" s="74" t="s">
        <v>138</v>
      </c>
      <c r="E221" s="75">
        <v>1.2399</v>
      </c>
      <c r="F221" s="75" t="s">
        <v>352</v>
      </c>
      <c r="K221" s="72">
        <v>18</v>
      </c>
      <c r="L221" s="73">
        <v>45782</v>
      </c>
      <c r="M221" s="70" t="s">
        <v>179</v>
      </c>
      <c r="N221" s="74" t="s">
        <v>138</v>
      </c>
      <c r="O221" s="75">
        <v>2.9340000000000002</v>
      </c>
      <c r="P221" s="75" t="s">
        <v>352</v>
      </c>
      <c r="U221" s="72">
        <v>18</v>
      </c>
      <c r="V221" s="73">
        <v>45782</v>
      </c>
      <c r="W221" s="70" t="s">
        <v>180</v>
      </c>
      <c r="X221" s="74" t="s">
        <v>138</v>
      </c>
      <c r="Y221" s="75">
        <v>7.8844000000000003</v>
      </c>
      <c r="Z221" s="75" t="s">
        <v>352</v>
      </c>
    </row>
    <row r="222" spans="1:26" x14ac:dyDescent="0.3">
      <c r="A222" s="72">
        <v>19</v>
      </c>
      <c r="B222" s="73">
        <v>45789</v>
      </c>
      <c r="C222" s="70" t="s">
        <v>178</v>
      </c>
      <c r="D222" s="74" t="s">
        <v>138</v>
      </c>
      <c r="E222" s="75">
        <v>1.2452000000000001</v>
      </c>
      <c r="F222" s="75" t="s">
        <v>352</v>
      </c>
      <c r="K222" s="72">
        <v>19</v>
      </c>
      <c r="L222" s="73">
        <v>45789</v>
      </c>
      <c r="M222" s="70" t="s">
        <v>179</v>
      </c>
      <c r="N222" s="74" t="s">
        <v>138</v>
      </c>
      <c r="O222" s="75">
        <v>2.8818999999999999</v>
      </c>
      <c r="P222" s="75" t="s">
        <v>352</v>
      </c>
      <c r="U222" s="72">
        <v>19</v>
      </c>
      <c r="V222" s="73">
        <v>45789</v>
      </c>
      <c r="W222" s="70" t="s">
        <v>180</v>
      </c>
      <c r="X222" s="74" t="s">
        <v>138</v>
      </c>
      <c r="Y222" s="75">
        <v>8.1178000000000008</v>
      </c>
      <c r="Z222" s="75" t="s">
        <v>352</v>
      </c>
    </row>
    <row r="223" spans="1:26" x14ac:dyDescent="0.3">
      <c r="A223" s="72">
        <v>20</v>
      </c>
      <c r="B223" s="73">
        <v>45796</v>
      </c>
      <c r="C223" s="70" t="s">
        <v>178</v>
      </c>
      <c r="D223" s="74" t="s">
        <v>138</v>
      </c>
      <c r="E223" s="75">
        <v>1.2837000000000001</v>
      </c>
      <c r="F223" s="75" t="s">
        <v>352</v>
      </c>
      <c r="K223" s="72">
        <v>20</v>
      </c>
      <c r="L223" s="73">
        <v>45796</v>
      </c>
      <c r="M223" s="70" t="s">
        <v>179</v>
      </c>
      <c r="N223" s="74" t="s">
        <v>138</v>
      </c>
      <c r="O223" s="75">
        <v>3.0365000000000002</v>
      </c>
      <c r="P223" s="75" t="s">
        <v>352</v>
      </c>
      <c r="U223" s="72">
        <v>20</v>
      </c>
      <c r="V223" s="73">
        <v>45796</v>
      </c>
      <c r="W223" s="70" t="s">
        <v>180</v>
      </c>
      <c r="X223" s="74" t="s">
        <v>138</v>
      </c>
      <c r="Y223" s="75">
        <v>7.8234000000000004</v>
      </c>
      <c r="Z223" s="75" t="s">
        <v>352</v>
      </c>
    </row>
    <row r="224" spans="1:26" x14ac:dyDescent="0.3">
      <c r="A224" s="72">
        <v>21</v>
      </c>
      <c r="B224" s="73">
        <v>45803</v>
      </c>
      <c r="C224" s="70" t="s">
        <v>178</v>
      </c>
      <c r="D224" s="74" t="s">
        <v>138</v>
      </c>
      <c r="E224" s="75">
        <v>1.2623</v>
      </c>
      <c r="F224" s="75" t="s">
        <v>352</v>
      </c>
      <c r="K224" s="72">
        <v>21</v>
      </c>
      <c r="L224" s="73">
        <v>45803</v>
      </c>
      <c r="M224" s="70" t="s">
        <v>179</v>
      </c>
      <c r="N224" s="74" t="s">
        <v>138</v>
      </c>
      <c r="O224" s="75">
        <v>3.0036</v>
      </c>
      <c r="P224" s="75" t="s">
        <v>352</v>
      </c>
      <c r="U224" s="72">
        <v>21</v>
      </c>
      <c r="V224" s="73">
        <v>45803</v>
      </c>
      <c r="W224" s="70" t="s">
        <v>180</v>
      </c>
      <c r="X224" s="74" t="s">
        <v>138</v>
      </c>
      <c r="Y224" s="75">
        <v>7.6721000000000004</v>
      </c>
      <c r="Z224" s="75" t="s">
        <v>352</v>
      </c>
    </row>
    <row r="225" spans="1:26" x14ac:dyDescent="0.3">
      <c r="A225" s="72">
        <v>22</v>
      </c>
      <c r="B225" s="73">
        <v>45810</v>
      </c>
      <c r="C225" s="70" t="s">
        <v>178</v>
      </c>
      <c r="D225" s="74" t="s">
        <v>138</v>
      </c>
      <c r="E225" s="75">
        <v>1.2312000000000001</v>
      </c>
      <c r="F225" s="75" t="s">
        <v>352</v>
      </c>
      <c r="K225" s="72">
        <v>22</v>
      </c>
      <c r="L225" s="73">
        <v>45810</v>
      </c>
      <c r="M225" s="70" t="s">
        <v>179</v>
      </c>
      <c r="N225" s="74" t="s">
        <v>138</v>
      </c>
      <c r="O225" s="75">
        <v>3.0036</v>
      </c>
      <c r="P225" s="75" t="s">
        <v>352</v>
      </c>
      <c r="U225" s="72">
        <v>22</v>
      </c>
      <c r="V225" s="73">
        <v>45810</v>
      </c>
      <c r="W225" s="70" t="s">
        <v>180</v>
      </c>
      <c r="X225" s="74" t="s">
        <v>138</v>
      </c>
      <c r="Y225" s="75">
        <v>7.8662999999999998</v>
      </c>
      <c r="Z225" s="75" t="s">
        <v>352</v>
      </c>
    </row>
    <row r="226" spans="1:26" x14ac:dyDescent="0.3">
      <c r="A226" s="72">
        <v>23</v>
      </c>
      <c r="B226" s="73">
        <v>45817</v>
      </c>
      <c r="C226" s="70" t="s">
        <v>178</v>
      </c>
      <c r="D226" s="74" t="s">
        <v>138</v>
      </c>
      <c r="E226" s="75">
        <v>1.2307999999999999</v>
      </c>
      <c r="F226" s="75" t="s">
        <v>352</v>
      </c>
      <c r="K226" s="72">
        <v>23</v>
      </c>
      <c r="L226" s="73">
        <v>45817</v>
      </c>
      <c r="M226" s="70" t="s">
        <v>179</v>
      </c>
      <c r="N226" s="74" t="s">
        <v>138</v>
      </c>
      <c r="O226" s="75">
        <v>2.9451000000000001</v>
      </c>
      <c r="P226" s="75" t="s">
        <v>352</v>
      </c>
      <c r="U226" s="72">
        <v>23</v>
      </c>
      <c r="V226" s="73">
        <v>45817</v>
      </c>
      <c r="W226" s="70" t="s">
        <v>180</v>
      </c>
      <c r="X226" s="74" t="s">
        <v>138</v>
      </c>
      <c r="Y226" s="75">
        <v>7.9257</v>
      </c>
      <c r="Z226" s="75" t="s">
        <v>352</v>
      </c>
    </row>
    <row r="227" spans="1:26" x14ac:dyDescent="0.3">
      <c r="A227" s="72">
        <v>24</v>
      </c>
      <c r="B227" s="73">
        <v>45824</v>
      </c>
      <c r="C227" s="70" t="s">
        <v>178</v>
      </c>
      <c r="D227" s="74" t="s">
        <v>138</v>
      </c>
      <c r="E227" s="75">
        <v>1.2491000000000001</v>
      </c>
      <c r="F227" s="75" t="s">
        <v>352</v>
      </c>
      <c r="K227" s="72">
        <v>24</v>
      </c>
      <c r="L227" s="73">
        <v>45824</v>
      </c>
      <c r="M227" s="70" t="s">
        <v>179</v>
      </c>
      <c r="N227" s="74" t="s">
        <v>138</v>
      </c>
      <c r="O227" s="75">
        <v>3.0358999999999998</v>
      </c>
      <c r="P227" s="75" t="s">
        <v>352</v>
      </c>
      <c r="U227" s="72">
        <v>24</v>
      </c>
      <c r="V227" s="73">
        <v>45824</v>
      </c>
      <c r="W227" s="70" t="s">
        <v>180</v>
      </c>
      <c r="X227" s="74" t="s">
        <v>138</v>
      </c>
      <c r="Y227" s="75">
        <v>7.6982999999999997</v>
      </c>
      <c r="Z227" s="75" t="s">
        <v>352</v>
      </c>
    </row>
    <row r="228" spans="1:26" x14ac:dyDescent="0.3">
      <c r="A228" s="72">
        <v>25</v>
      </c>
      <c r="B228" s="73">
        <v>45831</v>
      </c>
      <c r="C228" s="70" t="s">
        <v>178</v>
      </c>
      <c r="D228" s="74" t="s">
        <v>138</v>
      </c>
      <c r="E228" s="75">
        <v>1.1989000000000001</v>
      </c>
      <c r="F228" s="75" t="s">
        <v>352</v>
      </c>
      <c r="K228" s="72">
        <v>25</v>
      </c>
      <c r="L228" s="73">
        <v>45831</v>
      </c>
      <c r="M228" s="70" t="s">
        <v>179</v>
      </c>
      <c r="N228" s="74" t="s">
        <v>138</v>
      </c>
      <c r="O228" s="75">
        <v>2.9592999999999998</v>
      </c>
      <c r="P228" s="75" t="s">
        <v>352</v>
      </c>
      <c r="U228" s="72">
        <v>25</v>
      </c>
      <c r="V228" s="73">
        <v>45831</v>
      </c>
      <c r="W228" s="70" t="s">
        <v>180</v>
      </c>
      <c r="X228" s="74" t="s">
        <v>138</v>
      </c>
      <c r="Y228" s="75">
        <v>7.5532000000000004</v>
      </c>
      <c r="Z228" s="75" t="s">
        <v>352</v>
      </c>
    </row>
    <row r="229" spans="1:26" x14ac:dyDescent="0.3">
      <c r="A229" s="72">
        <v>1</v>
      </c>
      <c r="B229" s="73">
        <v>45663</v>
      </c>
      <c r="C229" s="70" t="s">
        <v>178</v>
      </c>
      <c r="D229" s="74" t="s">
        <v>139</v>
      </c>
      <c r="E229" s="75">
        <v>0.93730000000000002</v>
      </c>
      <c r="F229" s="75" t="s">
        <v>352</v>
      </c>
      <c r="K229" s="72">
        <v>1</v>
      </c>
      <c r="L229" s="73">
        <v>45663</v>
      </c>
      <c r="M229" s="70" t="s">
        <v>179</v>
      </c>
      <c r="N229" s="74" t="s">
        <v>139</v>
      </c>
      <c r="O229" s="75">
        <v>1.9769000000000001</v>
      </c>
      <c r="P229" s="75" t="s">
        <v>352</v>
      </c>
      <c r="U229" s="72">
        <v>1</v>
      </c>
      <c r="V229" s="73">
        <v>45663</v>
      </c>
      <c r="W229" s="70" t="s">
        <v>180</v>
      </c>
      <c r="X229" s="74" t="s">
        <v>139</v>
      </c>
      <c r="Y229" s="75">
        <v>4.2352999999999996</v>
      </c>
      <c r="Z229" s="75" t="s">
        <v>352</v>
      </c>
    </row>
    <row r="230" spans="1:26" x14ac:dyDescent="0.3">
      <c r="A230" s="72">
        <v>2</v>
      </c>
      <c r="B230" s="73">
        <v>45670</v>
      </c>
      <c r="C230" s="70" t="s">
        <v>178</v>
      </c>
      <c r="D230" s="74" t="s">
        <v>139</v>
      </c>
      <c r="E230" s="75">
        <v>1.0361</v>
      </c>
      <c r="F230" s="75" t="s">
        <v>352</v>
      </c>
      <c r="K230" s="72">
        <v>2</v>
      </c>
      <c r="L230" s="73">
        <v>45670</v>
      </c>
      <c r="M230" s="70" t="s">
        <v>179</v>
      </c>
      <c r="N230" s="74" t="s">
        <v>139</v>
      </c>
      <c r="O230" s="75">
        <v>1.9704999999999999</v>
      </c>
      <c r="P230" s="75" t="s">
        <v>352</v>
      </c>
      <c r="U230" s="72">
        <v>2</v>
      </c>
      <c r="V230" s="73">
        <v>45670</v>
      </c>
      <c r="W230" s="70" t="s">
        <v>180</v>
      </c>
      <c r="X230" s="74" t="s">
        <v>139</v>
      </c>
      <c r="Y230" s="75">
        <v>4.3898999999999999</v>
      </c>
      <c r="Z230" s="75" t="s">
        <v>352</v>
      </c>
    </row>
    <row r="231" spans="1:26" x14ac:dyDescent="0.3">
      <c r="A231" s="72">
        <v>3</v>
      </c>
      <c r="B231" s="73">
        <v>45677</v>
      </c>
      <c r="C231" s="70" t="s">
        <v>178</v>
      </c>
      <c r="D231" s="74" t="s">
        <v>139</v>
      </c>
      <c r="E231" s="75">
        <v>0.96919999999999995</v>
      </c>
      <c r="F231" s="75" t="s">
        <v>352</v>
      </c>
      <c r="K231" s="72">
        <v>3</v>
      </c>
      <c r="L231" s="73">
        <v>45677</v>
      </c>
      <c r="M231" s="70" t="s">
        <v>179</v>
      </c>
      <c r="N231" s="74" t="s">
        <v>139</v>
      </c>
      <c r="O231" s="75">
        <v>2.0470999999999999</v>
      </c>
      <c r="P231" s="75" t="s">
        <v>352</v>
      </c>
      <c r="U231" s="72">
        <v>3</v>
      </c>
      <c r="V231" s="73">
        <v>45677</v>
      </c>
      <c r="W231" s="70" t="s">
        <v>180</v>
      </c>
      <c r="X231" s="74" t="s">
        <v>139</v>
      </c>
      <c r="Y231" s="75">
        <v>4.0415999999999999</v>
      </c>
      <c r="Z231" s="75" t="s">
        <v>352</v>
      </c>
    </row>
    <row r="232" spans="1:26" x14ac:dyDescent="0.3">
      <c r="A232" s="72">
        <v>4</v>
      </c>
      <c r="B232" s="73">
        <v>45684</v>
      </c>
      <c r="C232" s="70" t="s">
        <v>178</v>
      </c>
      <c r="D232" s="74" t="s">
        <v>139</v>
      </c>
      <c r="E232" s="75">
        <v>0.99819999999999998</v>
      </c>
      <c r="F232" s="75" t="s">
        <v>352</v>
      </c>
      <c r="K232" s="72">
        <v>4</v>
      </c>
      <c r="L232" s="73">
        <v>45684</v>
      </c>
      <c r="M232" s="70" t="s">
        <v>179</v>
      </c>
      <c r="N232" s="74" t="s">
        <v>139</v>
      </c>
      <c r="O232" s="75">
        <v>2.0123000000000002</v>
      </c>
      <c r="P232" s="75" t="s">
        <v>352</v>
      </c>
      <c r="U232" s="72">
        <v>4</v>
      </c>
      <c r="V232" s="73">
        <v>45684</v>
      </c>
      <c r="W232" s="70" t="s">
        <v>180</v>
      </c>
      <c r="X232" s="74" t="s">
        <v>139</v>
      </c>
      <c r="Y232" s="75">
        <v>3.7168999999999999</v>
      </c>
      <c r="Z232" s="75" t="s">
        <v>352</v>
      </c>
    </row>
    <row r="233" spans="1:26" x14ac:dyDescent="0.3">
      <c r="A233" s="72">
        <v>5</v>
      </c>
      <c r="B233" s="73">
        <v>45691</v>
      </c>
      <c r="C233" s="70" t="s">
        <v>178</v>
      </c>
      <c r="D233" s="74" t="s">
        <v>139</v>
      </c>
      <c r="E233" s="75">
        <v>1.0147999999999999</v>
      </c>
      <c r="F233" s="75" t="s">
        <v>352</v>
      </c>
      <c r="K233" s="72">
        <v>5</v>
      </c>
      <c r="L233" s="73">
        <v>45691</v>
      </c>
      <c r="M233" s="70" t="s">
        <v>179</v>
      </c>
      <c r="N233" s="74" t="s">
        <v>139</v>
      </c>
      <c r="O233" s="75">
        <v>2.0209000000000001</v>
      </c>
      <c r="P233" s="75" t="s">
        <v>352</v>
      </c>
      <c r="U233" s="72">
        <v>5</v>
      </c>
      <c r="V233" s="73">
        <v>45691</v>
      </c>
      <c r="W233" s="70" t="s">
        <v>180</v>
      </c>
      <c r="X233" s="74" t="s">
        <v>139</v>
      </c>
      <c r="Y233" s="75">
        <v>3.8784999999999998</v>
      </c>
      <c r="Z233" s="75" t="s">
        <v>352</v>
      </c>
    </row>
    <row r="234" spans="1:26" x14ac:dyDescent="0.3">
      <c r="A234" s="72">
        <v>6</v>
      </c>
      <c r="B234" s="73">
        <v>45698</v>
      </c>
      <c r="C234" s="70" t="s">
        <v>178</v>
      </c>
      <c r="D234" s="74" t="s">
        <v>139</v>
      </c>
      <c r="E234" s="75">
        <v>1.0339</v>
      </c>
      <c r="F234" s="75" t="s">
        <v>352</v>
      </c>
      <c r="K234" s="72">
        <v>6</v>
      </c>
      <c r="L234" s="73">
        <v>45698</v>
      </c>
      <c r="M234" s="70" t="s">
        <v>179</v>
      </c>
      <c r="N234" s="74" t="s">
        <v>139</v>
      </c>
      <c r="O234" s="75">
        <v>1.9636</v>
      </c>
      <c r="P234" s="75" t="s">
        <v>352</v>
      </c>
      <c r="U234" s="72">
        <v>6</v>
      </c>
      <c r="V234" s="73">
        <v>45698</v>
      </c>
      <c r="W234" s="70" t="s">
        <v>180</v>
      </c>
      <c r="X234" s="74" t="s">
        <v>139</v>
      </c>
      <c r="Y234" s="75">
        <v>3.8228</v>
      </c>
      <c r="Z234" s="75" t="s">
        <v>352</v>
      </c>
    </row>
    <row r="235" spans="1:26" x14ac:dyDescent="0.3">
      <c r="A235" s="72">
        <v>7</v>
      </c>
      <c r="B235" s="73">
        <v>45705</v>
      </c>
      <c r="C235" s="70" t="s">
        <v>178</v>
      </c>
      <c r="D235" s="74" t="s">
        <v>139</v>
      </c>
      <c r="E235" s="75">
        <v>0.98909999999999998</v>
      </c>
      <c r="F235" s="75" t="s">
        <v>352</v>
      </c>
      <c r="K235" s="72">
        <v>7</v>
      </c>
      <c r="L235" s="73">
        <v>45705</v>
      </c>
      <c r="M235" s="70" t="s">
        <v>179</v>
      </c>
      <c r="N235" s="74" t="s">
        <v>139</v>
      </c>
      <c r="O235" s="75">
        <v>2.0817000000000001</v>
      </c>
      <c r="P235" s="75" t="s">
        <v>352</v>
      </c>
      <c r="U235" s="72">
        <v>7</v>
      </c>
      <c r="V235" s="73">
        <v>45705</v>
      </c>
      <c r="W235" s="70" t="s">
        <v>180</v>
      </c>
      <c r="X235" s="74" t="s">
        <v>139</v>
      </c>
      <c r="Y235" s="75">
        <v>3.9483000000000001</v>
      </c>
      <c r="Z235" s="75" t="s">
        <v>352</v>
      </c>
    </row>
    <row r="236" spans="1:26" x14ac:dyDescent="0.3">
      <c r="A236" s="72">
        <v>8</v>
      </c>
      <c r="B236" s="73">
        <v>45712</v>
      </c>
      <c r="C236" s="70" t="s">
        <v>178</v>
      </c>
      <c r="D236" s="74" t="s">
        <v>139</v>
      </c>
      <c r="E236" s="75">
        <v>1.0283</v>
      </c>
      <c r="F236" s="75" t="s">
        <v>352</v>
      </c>
      <c r="K236" s="72">
        <v>8</v>
      </c>
      <c r="L236" s="73">
        <v>45712</v>
      </c>
      <c r="M236" s="70" t="s">
        <v>179</v>
      </c>
      <c r="N236" s="74" t="s">
        <v>139</v>
      </c>
      <c r="O236" s="75">
        <v>2.0712999999999999</v>
      </c>
      <c r="P236" s="75" t="s">
        <v>352</v>
      </c>
      <c r="U236" s="72">
        <v>8</v>
      </c>
      <c r="V236" s="73">
        <v>45712</v>
      </c>
      <c r="W236" s="70" t="s">
        <v>180</v>
      </c>
      <c r="X236" s="74" t="s">
        <v>139</v>
      </c>
      <c r="Y236" s="75">
        <v>4.0518000000000001</v>
      </c>
      <c r="Z236" s="75" t="s">
        <v>352</v>
      </c>
    </row>
    <row r="237" spans="1:26" x14ac:dyDescent="0.3">
      <c r="A237" s="72">
        <v>9</v>
      </c>
      <c r="B237" s="73">
        <v>45719</v>
      </c>
      <c r="C237" s="70" t="s">
        <v>178</v>
      </c>
      <c r="D237" s="74" t="s">
        <v>139</v>
      </c>
      <c r="E237" s="75">
        <v>0.96299999999999997</v>
      </c>
      <c r="F237" s="75" t="s">
        <v>352</v>
      </c>
      <c r="K237" s="72">
        <v>9</v>
      </c>
      <c r="L237" s="73">
        <v>45719</v>
      </c>
      <c r="M237" s="70" t="s">
        <v>179</v>
      </c>
      <c r="N237" s="74" t="s">
        <v>139</v>
      </c>
      <c r="O237" s="75">
        <v>2.0158</v>
      </c>
      <c r="P237" s="75" t="s">
        <v>352</v>
      </c>
      <c r="U237" s="72">
        <v>9</v>
      </c>
      <c r="V237" s="73">
        <v>45719</v>
      </c>
      <c r="W237" s="70" t="s">
        <v>180</v>
      </c>
      <c r="X237" s="74" t="s">
        <v>139</v>
      </c>
      <c r="Y237" s="75">
        <v>3.6812999999999998</v>
      </c>
      <c r="Z237" s="75" t="s">
        <v>352</v>
      </c>
    </row>
    <row r="238" spans="1:26" x14ac:dyDescent="0.3">
      <c r="A238" s="72">
        <v>10</v>
      </c>
      <c r="B238" s="73">
        <v>45726</v>
      </c>
      <c r="C238" s="70" t="s">
        <v>178</v>
      </c>
      <c r="D238" s="74" t="s">
        <v>139</v>
      </c>
      <c r="E238" s="75">
        <v>0.98780000000000001</v>
      </c>
      <c r="F238" s="75" t="s">
        <v>352</v>
      </c>
      <c r="K238" s="72">
        <v>10</v>
      </c>
      <c r="L238" s="73">
        <v>45726</v>
      </c>
      <c r="M238" s="70" t="s">
        <v>179</v>
      </c>
      <c r="N238" s="74" t="s">
        <v>139</v>
      </c>
      <c r="O238" s="75">
        <v>2.0215000000000001</v>
      </c>
      <c r="P238" s="75" t="s">
        <v>352</v>
      </c>
      <c r="U238" s="72">
        <v>10</v>
      </c>
      <c r="V238" s="73">
        <v>45726</v>
      </c>
      <c r="W238" s="70" t="s">
        <v>180</v>
      </c>
      <c r="X238" s="74" t="s">
        <v>139</v>
      </c>
      <c r="Y238" s="75">
        <v>4.0984999999999996</v>
      </c>
      <c r="Z238" s="75" t="s">
        <v>352</v>
      </c>
    </row>
    <row r="239" spans="1:26" x14ac:dyDescent="0.3">
      <c r="A239" s="72">
        <v>11</v>
      </c>
      <c r="B239" s="73">
        <v>45733</v>
      </c>
      <c r="C239" s="70" t="s">
        <v>178</v>
      </c>
      <c r="D239" s="74" t="s">
        <v>139</v>
      </c>
      <c r="E239" s="75">
        <v>0.95669999999999999</v>
      </c>
      <c r="F239" s="75" t="s">
        <v>352</v>
      </c>
      <c r="K239" s="72">
        <v>11</v>
      </c>
      <c r="L239" s="73">
        <v>45733</v>
      </c>
      <c r="M239" s="70" t="s">
        <v>179</v>
      </c>
      <c r="N239" s="74" t="s">
        <v>139</v>
      </c>
      <c r="O239" s="75">
        <v>1.8897999999999999</v>
      </c>
      <c r="P239" s="75" t="s">
        <v>352</v>
      </c>
      <c r="U239" s="72">
        <v>11</v>
      </c>
      <c r="V239" s="73">
        <v>45733</v>
      </c>
      <c r="W239" s="70" t="s">
        <v>180</v>
      </c>
      <c r="X239" s="74" t="s">
        <v>139</v>
      </c>
      <c r="Y239" s="75">
        <v>3.7688000000000001</v>
      </c>
      <c r="Z239" s="75" t="s">
        <v>352</v>
      </c>
    </row>
    <row r="240" spans="1:26" x14ac:dyDescent="0.3">
      <c r="A240" s="72">
        <v>12</v>
      </c>
      <c r="B240" s="73">
        <v>45740</v>
      </c>
      <c r="C240" s="70" t="s">
        <v>178</v>
      </c>
      <c r="D240" s="74" t="s">
        <v>139</v>
      </c>
      <c r="E240" s="75">
        <v>1.0581</v>
      </c>
      <c r="F240" s="75" t="s">
        <v>352</v>
      </c>
      <c r="K240" s="72">
        <v>12</v>
      </c>
      <c r="L240" s="73">
        <v>45740</v>
      </c>
      <c r="M240" s="70" t="s">
        <v>179</v>
      </c>
      <c r="N240" s="74" t="s">
        <v>139</v>
      </c>
      <c r="O240" s="75">
        <v>2.0192000000000001</v>
      </c>
      <c r="P240" s="75" t="s">
        <v>352</v>
      </c>
      <c r="U240" s="72">
        <v>12</v>
      </c>
      <c r="V240" s="73">
        <v>45740</v>
      </c>
      <c r="W240" s="70" t="s">
        <v>180</v>
      </c>
      <c r="X240" s="74" t="s">
        <v>139</v>
      </c>
      <c r="Y240" s="75">
        <v>4.0904999999999996</v>
      </c>
      <c r="Z240" s="75" t="s">
        <v>352</v>
      </c>
    </row>
    <row r="241" spans="1:26" x14ac:dyDescent="0.3">
      <c r="A241" s="72">
        <v>13</v>
      </c>
      <c r="B241" s="73">
        <v>45747</v>
      </c>
      <c r="C241" s="70" t="s">
        <v>178</v>
      </c>
      <c r="D241" s="74" t="s">
        <v>139</v>
      </c>
      <c r="E241" s="75">
        <v>1.0036</v>
      </c>
      <c r="F241" s="75" t="s">
        <v>352</v>
      </c>
      <c r="K241" s="72">
        <v>13</v>
      </c>
      <c r="L241" s="73">
        <v>45747</v>
      </c>
      <c r="M241" s="70" t="s">
        <v>179</v>
      </c>
      <c r="N241" s="74" t="s">
        <v>139</v>
      </c>
      <c r="O241" s="75">
        <v>1.9789000000000001</v>
      </c>
      <c r="P241" s="75" t="s">
        <v>352</v>
      </c>
      <c r="U241" s="72">
        <v>13</v>
      </c>
      <c r="V241" s="73">
        <v>45747</v>
      </c>
      <c r="W241" s="70" t="s">
        <v>180</v>
      </c>
      <c r="X241" s="74" t="s">
        <v>139</v>
      </c>
      <c r="Y241" s="75">
        <v>4.0180999999999996</v>
      </c>
      <c r="Z241" s="75" t="s">
        <v>352</v>
      </c>
    </row>
    <row r="242" spans="1:26" x14ac:dyDescent="0.3">
      <c r="A242" s="72">
        <v>14</v>
      </c>
      <c r="B242" s="73">
        <v>45754</v>
      </c>
      <c r="C242" s="70" t="s">
        <v>178</v>
      </c>
      <c r="D242" s="74" t="s">
        <v>139</v>
      </c>
      <c r="E242" s="75">
        <v>0.97009999999999996</v>
      </c>
      <c r="F242" s="75" t="s">
        <v>352</v>
      </c>
      <c r="K242" s="72">
        <v>14</v>
      </c>
      <c r="L242" s="73">
        <v>45754</v>
      </c>
      <c r="M242" s="70" t="s">
        <v>179</v>
      </c>
      <c r="N242" s="74" t="s">
        <v>139</v>
      </c>
      <c r="O242" s="75">
        <v>2.0093000000000001</v>
      </c>
      <c r="P242" s="75" t="s">
        <v>352</v>
      </c>
      <c r="U242" s="72">
        <v>14</v>
      </c>
      <c r="V242" s="73">
        <v>45754</v>
      </c>
      <c r="W242" s="70" t="s">
        <v>180</v>
      </c>
      <c r="X242" s="74" t="s">
        <v>139</v>
      </c>
      <c r="Y242" s="75">
        <v>3.9817999999999998</v>
      </c>
      <c r="Z242" s="75" t="s">
        <v>352</v>
      </c>
    </row>
    <row r="243" spans="1:26" x14ac:dyDescent="0.3">
      <c r="A243" s="72">
        <v>15</v>
      </c>
      <c r="B243" s="73">
        <v>45761</v>
      </c>
      <c r="C243" s="70" t="s">
        <v>178</v>
      </c>
      <c r="D243" s="74" t="s">
        <v>139</v>
      </c>
      <c r="E243" s="75">
        <v>0.98829999999999996</v>
      </c>
      <c r="F243" s="75" t="s">
        <v>352</v>
      </c>
      <c r="K243" s="72">
        <v>15</v>
      </c>
      <c r="L243" s="73">
        <v>45761</v>
      </c>
      <c r="M243" s="70" t="s">
        <v>179</v>
      </c>
      <c r="N243" s="74" t="s">
        <v>139</v>
      </c>
      <c r="O243" s="75">
        <v>2.0213999999999999</v>
      </c>
      <c r="P243" s="75" t="s">
        <v>352</v>
      </c>
      <c r="U243" s="72">
        <v>15</v>
      </c>
      <c r="V243" s="73">
        <v>45761</v>
      </c>
      <c r="W243" s="70" t="s">
        <v>180</v>
      </c>
      <c r="X243" s="74" t="s">
        <v>139</v>
      </c>
      <c r="Y243" s="75">
        <v>4.0246000000000004</v>
      </c>
      <c r="Z243" s="75" t="s">
        <v>352</v>
      </c>
    </row>
    <row r="244" spans="1:26" x14ac:dyDescent="0.3">
      <c r="A244" s="72">
        <v>16</v>
      </c>
      <c r="B244" s="73">
        <v>45768</v>
      </c>
      <c r="C244" s="70" t="s">
        <v>178</v>
      </c>
      <c r="D244" s="74" t="s">
        <v>139</v>
      </c>
      <c r="E244" s="75">
        <v>0.99439999999999995</v>
      </c>
      <c r="F244" s="75" t="s">
        <v>352</v>
      </c>
      <c r="K244" s="72">
        <v>16</v>
      </c>
      <c r="L244" s="73">
        <v>45768</v>
      </c>
      <c r="M244" s="70" t="s">
        <v>179</v>
      </c>
      <c r="N244" s="74" t="s">
        <v>139</v>
      </c>
      <c r="O244" s="75">
        <v>1.9717</v>
      </c>
      <c r="P244" s="75" t="s">
        <v>352</v>
      </c>
      <c r="U244" s="72">
        <v>16</v>
      </c>
      <c r="V244" s="73">
        <v>45768</v>
      </c>
      <c r="W244" s="70" t="s">
        <v>180</v>
      </c>
      <c r="X244" s="74" t="s">
        <v>139</v>
      </c>
      <c r="Y244" s="75">
        <v>3.9415</v>
      </c>
      <c r="Z244" s="75" t="s">
        <v>352</v>
      </c>
    </row>
    <row r="245" spans="1:26" x14ac:dyDescent="0.3">
      <c r="A245" s="72">
        <v>17</v>
      </c>
      <c r="B245" s="73">
        <v>45775</v>
      </c>
      <c r="C245" s="70" t="s">
        <v>178</v>
      </c>
      <c r="D245" s="74" t="s">
        <v>139</v>
      </c>
      <c r="E245" s="75">
        <v>1.0378000000000001</v>
      </c>
      <c r="F245" s="75" t="s">
        <v>352</v>
      </c>
      <c r="K245" s="72">
        <v>17</v>
      </c>
      <c r="L245" s="73">
        <v>45775</v>
      </c>
      <c r="M245" s="70" t="s">
        <v>179</v>
      </c>
      <c r="N245" s="74" t="s">
        <v>139</v>
      </c>
      <c r="O245" s="75">
        <v>1.9061999999999999</v>
      </c>
      <c r="P245" s="75" t="s">
        <v>352</v>
      </c>
      <c r="U245" s="72">
        <v>17</v>
      </c>
      <c r="V245" s="73">
        <v>45775</v>
      </c>
      <c r="W245" s="70" t="s">
        <v>180</v>
      </c>
      <c r="X245" s="74" t="s">
        <v>139</v>
      </c>
      <c r="Y245" s="75">
        <v>3.9285999999999999</v>
      </c>
      <c r="Z245" s="75" t="s">
        <v>352</v>
      </c>
    </row>
    <row r="246" spans="1:26" x14ac:dyDescent="0.3">
      <c r="A246" s="72">
        <v>18</v>
      </c>
      <c r="B246" s="73">
        <v>45782</v>
      </c>
      <c r="C246" s="70" t="s">
        <v>178</v>
      </c>
      <c r="D246" s="74" t="s">
        <v>139</v>
      </c>
      <c r="E246" s="75">
        <v>0.92979999999999996</v>
      </c>
      <c r="F246" s="75" t="s">
        <v>352</v>
      </c>
      <c r="K246" s="72">
        <v>18</v>
      </c>
      <c r="L246" s="73">
        <v>45782</v>
      </c>
      <c r="M246" s="70" t="s">
        <v>179</v>
      </c>
      <c r="N246" s="74" t="s">
        <v>139</v>
      </c>
      <c r="O246" s="75">
        <v>2.0061</v>
      </c>
      <c r="P246" s="75" t="s">
        <v>352</v>
      </c>
      <c r="U246" s="72">
        <v>18</v>
      </c>
      <c r="V246" s="73">
        <v>45782</v>
      </c>
      <c r="W246" s="70" t="s">
        <v>180</v>
      </c>
      <c r="X246" s="74" t="s">
        <v>139</v>
      </c>
      <c r="Y246" s="75">
        <v>3.7382</v>
      </c>
      <c r="Z246" s="75" t="s">
        <v>352</v>
      </c>
    </row>
    <row r="247" spans="1:26" x14ac:dyDescent="0.3">
      <c r="A247" s="72">
        <v>19</v>
      </c>
      <c r="B247" s="73">
        <v>45789</v>
      </c>
      <c r="C247" s="70" t="s">
        <v>178</v>
      </c>
      <c r="D247" s="74" t="s">
        <v>139</v>
      </c>
      <c r="E247" s="75">
        <v>0.95609999999999995</v>
      </c>
      <c r="F247" s="75" t="s">
        <v>352</v>
      </c>
      <c r="K247" s="72">
        <v>19</v>
      </c>
      <c r="L247" s="73">
        <v>45789</v>
      </c>
      <c r="M247" s="70" t="s">
        <v>179</v>
      </c>
      <c r="N247" s="74" t="s">
        <v>139</v>
      </c>
      <c r="O247" s="75">
        <v>1.9522999999999999</v>
      </c>
      <c r="P247" s="75" t="s">
        <v>352</v>
      </c>
      <c r="U247" s="72">
        <v>19</v>
      </c>
      <c r="V247" s="73">
        <v>45789</v>
      </c>
      <c r="W247" s="70" t="s">
        <v>180</v>
      </c>
      <c r="X247" s="74" t="s">
        <v>139</v>
      </c>
      <c r="Y247" s="75">
        <v>4.0323000000000002</v>
      </c>
      <c r="Z247" s="75" t="s">
        <v>352</v>
      </c>
    </row>
    <row r="248" spans="1:26" x14ac:dyDescent="0.3">
      <c r="A248" s="72">
        <v>20</v>
      </c>
      <c r="B248" s="73">
        <v>45796</v>
      </c>
      <c r="C248" s="70" t="s">
        <v>178</v>
      </c>
      <c r="D248" s="74" t="s">
        <v>139</v>
      </c>
      <c r="E248" s="75">
        <v>0.98699999999999999</v>
      </c>
      <c r="F248" s="75" t="s">
        <v>352</v>
      </c>
      <c r="K248" s="72">
        <v>20</v>
      </c>
      <c r="L248" s="73">
        <v>45796</v>
      </c>
      <c r="M248" s="70" t="s">
        <v>179</v>
      </c>
      <c r="N248" s="74" t="s">
        <v>139</v>
      </c>
      <c r="O248" s="75">
        <v>1.9722</v>
      </c>
      <c r="P248" s="75" t="s">
        <v>352</v>
      </c>
      <c r="U248" s="72">
        <v>20</v>
      </c>
      <c r="V248" s="73">
        <v>45796</v>
      </c>
      <c r="W248" s="70" t="s">
        <v>180</v>
      </c>
      <c r="X248" s="74" t="s">
        <v>139</v>
      </c>
      <c r="Y248" s="75">
        <v>4.3659999999999997</v>
      </c>
      <c r="Z248" s="75" t="s">
        <v>352</v>
      </c>
    </row>
    <row r="249" spans="1:26" x14ac:dyDescent="0.3">
      <c r="A249" s="72">
        <v>21</v>
      </c>
      <c r="B249" s="73">
        <v>45803</v>
      </c>
      <c r="C249" s="70" t="s">
        <v>178</v>
      </c>
      <c r="D249" s="74" t="s">
        <v>139</v>
      </c>
      <c r="E249" s="75">
        <v>1.1238999999999999</v>
      </c>
      <c r="F249" s="75" t="s">
        <v>352</v>
      </c>
      <c r="K249" s="72">
        <v>21</v>
      </c>
      <c r="L249" s="73">
        <v>45803</v>
      </c>
      <c r="M249" s="70" t="s">
        <v>179</v>
      </c>
      <c r="N249" s="74" t="s">
        <v>139</v>
      </c>
      <c r="O249" s="75">
        <v>1.9589000000000001</v>
      </c>
      <c r="P249" s="75" t="s">
        <v>352</v>
      </c>
      <c r="U249" s="72">
        <v>21</v>
      </c>
      <c r="V249" s="73">
        <v>45803</v>
      </c>
      <c r="W249" s="70" t="s">
        <v>180</v>
      </c>
      <c r="X249" s="74" t="s">
        <v>139</v>
      </c>
      <c r="Y249" s="75">
        <v>4.3899999999999997</v>
      </c>
      <c r="Z249" s="75" t="s">
        <v>352</v>
      </c>
    </row>
    <row r="250" spans="1:26" x14ac:dyDescent="0.3">
      <c r="A250" s="72">
        <v>22</v>
      </c>
      <c r="B250" s="73">
        <v>45810</v>
      </c>
      <c r="C250" s="70" t="s">
        <v>178</v>
      </c>
      <c r="D250" s="74" t="s">
        <v>139</v>
      </c>
      <c r="E250" s="75">
        <v>1.0498000000000001</v>
      </c>
      <c r="F250" s="75" t="s">
        <v>352</v>
      </c>
      <c r="K250" s="72">
        <v>22</v>
      </c>
      <c r="L250" s="73">
        <v>45810</v>
      </c>
      <c r="M250" s="70" t="s">
        <v>179</v>
      </c>
      <c r="N250" s="74" t="s">
        <v>139</v>
      </c>
      <c r="O250" s="75">
        <v>1.9717</v>
      </c>
      <c r="P250" s="75" t="s">
        <v>352</v>
      </c>
      <c r="U250" s="72">
        <v>22</v>
      </c>
      <c r="V250" s="73">
        <v>45810</v>
      </c>
      <c r="W250" s="70" t="s">
        <v>180</v>
      </c>
      <c r="X250" s="74" t="s">
        <v>139</v>
      </c>
      <c r="Y250" s="75">
        <v>4.2728000000000002</v>
      </c>
      <c r="Z250" s="75" t="s">
        <v>352</v>
      </c>
    </row>
    <row r="251" spans="1:26" x14ac:dyDescent="0.3">
      <c r="A251" s="72">
        <v>23</v>
      </c>
      <c r="B251" s="73">
        <v>45817</v>
      </c>
      <c r="C251" s="70" t="s">
        <v>178</v>
      </c>
      <c r="D251" s="74" t="s">
        <v>139</v>
      </c>
      <c r="E251" s="75">
        <v>0.99960000000000004</v>
      </c>
      <c r="F251" s="75" t="s">
        <v>352</v>
      </c>
      <c r="K251" s="72">
        <v>23</v>
      </c>
      <c r="L251" s="73">
        <v>45817</v>
      </c>
      <c r="M251" s="70" t="s">
        <v>179</v>
      </c>
      <c r="N251" s="74" t="s">
        <v>139</v>
      </c>
      <c r="O251" s="75">
        <v>1.8761000000000001</v>
      </c>
      <c r="P251" s="75" t="s">
        <v>352</v>
      </c>
      <c r="U251" s="72">
        <v>23</v>
      </c>
      <c r="V251" s="73">
        <v>45817</v>
      </c>
      <c r="W251" s="70" t="s">
        <v>180</v>
      </c>
      <c r="X251" s="74" t="s">
        <v>139</v>
      </c>
      <c r="Y251" s="75">
        <v>4.1631999999999998</v>
      </c>
      <c r="Z251" s="75" t="s">
        <v>352</v>
      </c>
    </row>
    <row r="252" spans="1:26" x14ac:dyDescent="0.3">
      <c r="A252" s="72">
        <v>24</v>
      </c>
      <c r="B252" s="73">
        <v>45824</v>
      </c>
      <c r="C252" s="70" t="s">
        <v>178</v>
      </c>
      <c r="D252" s="74" t="s">
        <v>139</v>
      </c>
      <c r="E252" s="75">
        <v>1.0383</v>
      </c>
      <c r="F252" s="75" t="s">
        <v>352</v>
      </c>
      <c r="K252" s="72">
        <v>24</v>
      </c>
      <c r="L252" s="73">
        <v>45824</v>
      </c>
      <c r="M252" s="70" t="s">
        <v>179</v>
      </c>
      <c r="N252" s="74" t="s">
        <v>139</v>
      </c>
      <c r="O252" s="75">
        <v>2.0474000000000001</v>
      </c>
      <c r="P252" s="75" t="s">
        <v>352</v>
      </c>
      <c r="U252" s="72">
        <v>24</v>
      </c>
      <c r="V252" s="73">
        <v>45824</v>
      </c>
      <c r="W252" s="70" t="s">
        <v>180</v>
      </c>
      <c r="X252" s="74" t="s">
        <v>139</v>
      </c>
      <c r="Y252" s="75">
        <v>3.9171999999999998</v>
      </c>
      <c r="Z252" s="75" t="s">
        <v>352</v>
      </c>
    </row>
    <row r="253" spans="1:26" x14ac:dyDescent="0.3">
      <c r="A253" s="72">
        <v>25</v>
      </c>
      <c r="B253" s="73">
        <v>45831</v>
      </c>
      <c r="C253" s="70" t="s">
        <v>178</v>
      </c>
      <c r="D253" s="74" t="s">
        <v>139</v>
      </c>
      <c r="E253" s="75">
        <v>1.1015999999999999</v>
      </c>
      <c r="F253" s="75" t="s">
        <v>352</v>
      </c>
      <c r="K253" s="72">
        <v>25</v>
      </c>
      <c r="L253" s="73">
        <v>45831</v>
      </c>
      <c r="M253" s="70" t="s">
        <v>179</v>
      </c>
      <c r="N253" s="74" t="s">
        <v>139</v>
      </c>
      <c r="O253" s="75">
        <v>2.0005999999999999</v>
      </c>
      <c r="P253" s="75" t="s">
        <v>352</v>
      </c>
      <c r="U253" s="72">
        <v>25</v>
      </c>
      <c r="V253" s="73">
        <v>45831</v>
      </c>
      <c r="W253" s="70" t="s">
        <v>180</v>
      </c>
      <c r="X253" s="74" t="s">
        <v>139</v>
      </c>
      <c r="Y253" s="75">
        <v>4.2942999999999998</v>
      </c>
      <c r="Z253" s="75" t="s">
        <v>352</v>
      </c>
    </row>
    <row r="254" spans="1:26" x14ac:dyDescent="0.3">
      <c r="A254" s="72">
        <v>1</v>
      </c>
      <c r="B254" s="73">
        <v>45663</v>
      </c>
      <c r="C254" s="70" t="s">
        <v>178</v>
      </c>
      <c r="D254" s="74" t="s">
        <v>140</v>
      </c>
      <c r="E254" s="75">
        <v>0.34460000000000002</v>
      </c>
      <c r="F254" s="75" t="s">
        <v>352</v>
      </c>
      <c r="K254" s="72">
        <v>1</v>
      </c>
      <c r="L254" s="73">
        <v>45663</v>
      </c>
      <c r="M254" s="70" t="s">
        <v>179</v>
      </c>
      <c r="N254" s="74" t="s">
        <v>140</v>
      </c>
      <c r="O254" s="75">
        <v>0.74060000000000004</v>
      </c>
      <c r="P254" s="75" t="s">
        <v>352</v>
      </c>
      <c r="U254" s="72">
        <v>1</v>
      </c>
      <c r="V254" s="73">
        <v>45663</v>
      </c>
      <c r="W254" s="70" t="s">
        <v>180</v>
      </c>
      <c r="X254" s="74" t="s">
        <v>140</v>
      </c>
      <c r="Y254" s="75">
        <v>2.0958000000000001</v>
      </c>
      <c r="Z254" s="75" t="s">
        <v>352</v>
      </c>
    </row>
    <row r="255" spans="1:26" x14ac:dyDescent="0.3">
      <c r="A255" s="72">
        <v>2</v>
      </c>
      <c r="B255" s="73">
        <v>45670</v>
      </c>
      <c r="C255" s="70" t="s">
        <v>178</v>
      </c>
      <c r="D255" s="74" t="s">
        <v>140</v>
      </c>
      <c r="E255" s="75">
        <v>0.34420000000000001</v>
      </c>
      <c r="F255" s="75" t="s">
        <v>352</v>
      </c>
      <c r="K255" s="72">
        <v>2</v>
      </c>
      <c r="L255" s="73">
        <v>45670</v>
      </c>
      <c r="M255" s="70" t="s">
        <v>179</v>
      </c>
      <c r="N255" s="74" t="s">
        <v>140</v>
      </c>
      <c r="O255" s="75">
        <v>0.81310000000000004</v>
      </c>
      <c r="P255" s="75" t="s">
        <v>352</v>
      </c>
      <c r="U255" s="72">
        <v>2</v>
      </c>
      <c r="V255" s="73">
        <v>45670</v>
      </c>
      <c r="W255" s="70" t="s">
        <v>180</v>
      </c>
      <c r="X255" s="74" t="s">
        <v>140</v>
      </c>
      <c r="Y255" s="75">
        <v>1.9355</v>
      </c>
      <c r="Z255" s="75" t="s">
        <v>352</v>
      </c>
    </row>
    <row r="256" spans="1:26" x14ac:dyDescent="0.3">
      <c r="A256" s="72">
        <v>3</v>
      </c>
      <c r="B256" s="73">
        <v>45677</v>
      </c>
      <c r="C256" s="70" t="s">
        <v>178</v>
      </c>
      <c r="D256" s="74" t="s">
        <v>140</v>
      </c>
      <c r="E256" s="75">
        <v>0.3377</v>
      </c>
      <c r="F256" s="75" t="s">
        <v>352</v>
      </c>
      <c r="K256" s="72">
        <v>3</v>
      </c>
      <c r="L256" s="73">
        <v>45677</v>
      </c>
      <c r="M256" s="70" t="s">
        <v>179</v>
      </c>
      <c r="N256" s="74" t="s">
        <v>140</v>
      </c>
      <c r="O256" s="75">
        <v>0.80959999999999999</v>
      </c>
      <c r="P256" s="75" t="s">
        <v>352</v>
      </c>
      <c r="U256" s="72">
        <v>3</v>
      </c>
      <c r="V256" s="73">
        <v>45677</v>
      </c>
      <c r="W256" s="70" t="s">
        <v>180</v>
      </c>
      <c r="X256" s="74" t="s">
        <v>140</v>
      </c>
      <c r="Y256" s="75">
        <v>2.0283000000000002</v>
      </c>
      <c r="Z256" s="75" t="s">
        <v>352</v>
      </c>
    </row>
    <row r="257" spans="1:26" x14ac:dyDescent="0.3">
      <c r="A257" s="72">
        <v>4</v>
      </c>
      <c r="B257" s="73">
        <v>45684</v>
      </c>
      <c r="C257" s="70" t="s">
        <v>178</v>
      </c>
      <c r="D257" s="74" t="s">
        <v>140</v>
      </c>
      <c r="E257" s="75">
        <v>0.34889999999999999</v>
      </c>
      <c r="F257" s="75" t="s">
        <v>352</v>
      </c>
      <c r="K257" s="72">
        <v>4</v>
      </c>
      <c r="L257" s="73">
        <v>45684</v>
      </c>
      <c r="M257" s="70" t="s">
        <v>179</v>
      </c>
      <c r="N257" s="74" t="s">
        <v>140</v>
      </c>
      <c r="O257" s="75">
        <v>0.85750000000000004</v>
      </c>
      <c r="P257" s="75" t="s">
        <v>352</v>
      </c>
      <c r="U257" s="72">
        <v>4</v>
      </c>
      <c r="V257" s="73">
        <v>45684</v>
      </c>
      <c r="W257" s="70" t="s">
        <v>180</v>
      </c>
      <c r="X257" s="74" t="s">
        <v>140</v>
      </c>
      <c r="Y257" s="75">
        <v>1.9785999999999999</v>
      </c>
      <c r="Z257" s="75" t="s">
        <v>352</v>
      </c>
    </row>
    <row r="258" spans="1:26" x14ac:dyDescent="0.3">
      <c r="A258" s="72">
        <v>5</v>
      </c>
      <c r="B258" s="73">
        <v>45691</v>
      </c>
      <c r="C258" s="70" t="s">
        <v>178</v>
      </c>
      <c r="D258" s="74" t="s">
        <v>140</v>
      </c>
      <c r="E258" s="75">
        <v>0.33350000000000002</v>
      </c>
      <c r="F258" s="75" t="s">
        <v>352</v>
      </c>
      <c r="K258" s="72">
        <v>5</v>
      </c>
      <c r="L258" s="73">
        <v>45691</v>
      </c>
      <c r="M258" s="70" t="s">
        <v>179</v>
      </c>
      <c r="N258" s="74" t="s">
        <v>140</v>
      </c>
      <c r="O258" s="75">
        <v>0.67710000000000004</v>
      </c>
      <c r="P258" s="75" t="s">
        <v>352</v>
      </c>
      <c r="U258" s="72">
        <v>5</v>
      </c>
      <c r="V258" s="73">
        <v>45691</v>
      </c>
      <c r="W258" s="70" t="s">
        <v>180</v>
      </c>
      <c r="X258" s="74" t="s">
        <v>140</v>
      </c>
      <c r="Y258" s="75">
        <v>2.0828000000000002</v>
      </c>
      <c r="Z258" s="75" t="s">
        <v>352</v>
      </c>
    </row>
    <row r="259" spans="1:26" x14ac:dyDescent="0.3">
      <c r="A259" s="72">
        <v>6</v>
      </c>
      <c r="B259" s="73">
        <v>45698</v>
      </c>
      <c r="C259" s="70" t="s">
        <v>178</v>
      </c>
      <c r="D259" s="74" t="s">
        <v>140</v>
      </c>
      <c r="E259" s="75">
        <v>0.34379999999999999</v>
      </c>
      <c r="F259" s="75" t="s">
        <v>352</v>
      </c>
      <c r="K259" s="72">
        <v>6</v>
      </c>
      <c r="L259" s="73">
        <v>45698</v>
      </c>
      <c r="M259" s="70" t="s">
        <v>179</v>
      </c>
      <c r="N259" s="74" t="s">
        <v>140</v>
      </c>
      <c r="O259" s="75">
        <v>0.81840000000000002</v>
      </c>
      <c r="P259" s="75" t="s">
        <v>352</v>
      </c>
      <c r="U259" s="72">
        <v>6</v>
      </c>
      <c r="V259" s="73">
        <v>45698</v>
      </c>
      <c r="W259" s="70" t="s">
        <v>180</v>
      </c>
      <c r="X259" s="74" t="s">
        <v>140</v>
      </c>
      <c r="Y259" s="75">
        <v>1.9651000000000001</v>
      </c>
      <c r="Z259" s="75" t="s">
        <v>352</v>
      </c>
    </row>
    <row r="260" spans="1:26" x14ac:dyDescent="0.3">
      <c r="A260" s="72">
        <v>7</v>
      </c>
      <c r="B260" s="73">
        <v>45705</v>
      </c>
      <c r="C260" s="70" t="s">
        <v>178</v>
      </c>
      <c r="D260" s="74" t="s">
        <v>140</v>
      </c>
      <c r="E260" s="75">
        <v>0.3145</v>
      </c>
      <c r="F260" s="75" t="s">
        <v>352</v>
      </c>
      <c r="K260" s="72">
        <v>7</v>
      </c>
      <c r="L260" s="73">
        <v>45705</v>
      </c>
      <c r="M260" s="70" t="s">
        <v>179</v>
      </c>
      <c r="N260" s="74" t="s">
        <v>140</v>
      </c>
      <c r="O260" s="75">
        <v>0.75490000000000002</v>
      </c>
      <c r="P260" s="75" t="s">
        <v>352</v>
      </c>
      <c r="U260" s="72">
        <v>7</v>
      </c>
      <c r="V260" s="73">
        <v>45705</v>
      </c>
      <c r="W260" s="70" t="s">
        <v>180</v>
      </c>
      <c r="X260" s="74" t="s">
        <v>140</v>
      </c>
      <c r="Y260" s="75">
        <v>2.2027000000000001</v>
      </c>
      <c r="Z260" s="75" t="s">
        <v>352</v>
      </c>
    </row>
    <row r="261" spans="1:26" x14ac:dyDescent="0.3">
      <c r="A261" s="72">
        <v>8</v>
      </c>
      <c r="B261" s="73">
        <v>45712</v>
      </c>
      <c r="C261" s="70" t="s">
        <v>178</v>
      </c>
      <c r="D261" s="74" t="s">
        <v>140</v>
      </c>
      <c r="E261" s="75">
        <v>0.33529999999999999</v>
      </c>
      <c r="F261" s="75" t="s">
        <v>352</v>
      </c>
      <c r="K261" s="72">
        <v>8</v>
      </c>
      <c r="L261" s="73">
        <v>45712</v>
      </c>
      <c r="M261" s="70" t="s">
        <v>179</v>
      </c>
      <c r="N261" s="74" t="s">
        <v>140</v>
      </c>
      <c r="O261" s="75">
        <v>0.73229999999999995</v>
      </c>
      <c r="P261" s="75" t="s">
        <v>352</v>
      </c>
      <c r="U261" s="72">
        <v>8</v>
      </c>
      <c r="V261" s="73">
        <v>45712</v>
      </c>
      <c r="W261" s="70" t="s">
        <v>180</v>
      </c>
      <c r="X261" s="74" t="s">
        <v>140</v>
      </c>
      <c r="Y261" s="75">
        <v>2.0419</v>
      </c>
      <c r="Z261" s="75" t="s">
        <v>352</v>
      </c>
    </row>
    <row r="262" spans="1:26" x14ac:dyDescent="0.3">
      <c r="A262" s="72">
        <v>9</v>
      </c>
      <c r="B262" s="73">
        <v>45719</v>
      </c>
      <c r="C262" s="70" t="s">
        <v>178</v>
      </c>
      <c r="D262" s="74" t="s">
        <v>140</v>
      </c>
      <c r="E262" s="75">
        <v>0.4128</v>
      </c>
      <c r="F262" s="75" t="s">
        <v>352</v>
      </c>
      <c r="K262" s="72">
        <v>9</v>
      </c>
      <c r="L262" s="73">
        <v>45719</v>
      </c>
      <c r="M262" s="70" t="s">
        <v>179</v>
      </c>
      <c r="N262" s="74" t="s">
        <v>140</v>
      </c>
      <c r="O262" s="75">
        <v>0.80549999999999999</v>
      </c>
      <c r="P262" s="75" t="s">
        <v>352</v>
      </c>
      <c r="U262" s="72">
        <v>9</v>
      </c>
      <c r="V262" s="73">
        <v>45719</v>
      </c>
      <c r="W262" s="70" t="s">
        <v>180</v>
      </c>
      <c r="X262" s="74" t="s">
        <v>140</v>
      </c>
      <c r="Y262" s="75">
        <v>2.0352999999999999</v>
      </c>
      <c r="Z262" s="75" t="s">
        <v>352</v>
      </c>
    </row>
    <row r="263" spans="1:26" x14ac:dyDescent="0.3">
      <c r="A263" s="72">
        <v>10</v>
      </c>
      <c r="B263" s="73">
        <v>45726</v>
      </c>
      <c r="C263" s="70" t="s">
        <v>178</v>
      </c>
      <c r="D263" s="74" t="s">
        <v>140</v>
      </c>
      <c r="E263" s="75">
        <v>0.34420000000000001</v>
      </c>
      <c r="F263" s="75" t="s">
        <v>352</v>
      </c>
      <c r="K263" s="72">
        <v>10</v>
      </c>
      <c r="L263" s="73">
        <v>45726</v>
      </c>
      <c r="M263" s="70" t="s">
        <v>179</v>
      </c>
      <c r="N263" s="74" t="s">
        <v>140</v>
      </c>
      <c r="O263" s="75">
        <v>0.71679999999999999</v>
      </c>
      <c r="P263" s="75" t="s">
        <v>352</v>
      </c>
      <c r="U263" s="72">
        <v>10</v>
      </c>
      <c r="V263" s="73">
        <v>45726</v>
      </c>
      <c r="W263" s="70" t="s">
        <v>180</v>
      </c>
      <c r="X263" s="74" t="s">
        <v>140</v>
      </c>
      <c r="Y263" s="75">
        <v>2.0388999999999999</v>
      </c>
      <c r="Z263" s="75" t="s">
        <v>352</v>
      </c>
    </row>
    <row r="264" spans="1:26" x14ac:dyDescent="0.3">
      <c r="A264" s="72">
        <v>11</v>
      </c>
      <c r="B264" s="73">
        <v>45733</v>
      </c>
      <c r="C264" s="70" t="s">
        <v>178</v>
      </c>
      <c r="D264" s="74" t="s">
        <v>140</v>
      </c>
      <c r="E264" s="75">
        <v>0.3392</v>
      </c>
      <c r="F264" s="75" t="s">
        <v>352</v>
      </c>
      <c r="K264" s="72">
        <v>11</v>
      </c>
      <c r="L264" s="73">
        <v>45733</v>
      </c>
      <c r="M264" s="70" t="s">
        <v>179</v>
      </c>
      <c r="N264" s="74" t="s">
        <v>140</v>
      </c>
      <c r="O264" s="75">
        <v>0.64659999999999995</v>
      </c>
      <c r="P264" s="75" t="s">
        <v>352</v>
      </c>
      <c r="U264" s="72">
        <v>11</v>
      </c>
      <c r="V264" s="73">
        <v>45733</v>
      </c>
      <c r="W264" s="70" t="s">
        <v>180</v>
      </c>
      <c r="X264" s="74" t="s">
        <v>140</v>
      </c>
      <c r="Y264" s="75">
        <v>1.6687000000000001</v>
      </c>
      <c r="Z264" s="75" t="s">
        <v>352</v>
      </c>
    </row>
    <row r="265" spans="1:26" x14ac:dyDescent="0.3">
      <c r="A265" s="72">
        <v>12</v>
      </c>
      <c r="B265" s="73">
        <v>45740</v>
      </c>
      <c r="C265" s="70" t="s">
        <v>178</v>
      </c>
      <c r="D265" s="74" t="s">
        <v>140</v>
      </c>
      <c r="E265" s="75">
        <v>0.36180000000000001</v>
      </c>
      <c r="F265" s="75" t="s">
        <v>352</v>
      </c>
      <c r="K265" s="72">
        <v>12</v>
      </c>
      <c r="L265" s="73">
        <v>45740</v>
      </c>
      <c r="M265" s="70" t="s">
        <v>179</v>
      </c>
      <c r="N265" s="74" t="s">
        <v>140</v>
      </c>
      <c r="O265" s="75">
        <v>0.75029999999999997</v>
      </c>
      <c r="P265" s="75" t="s">
        <v>352</v>
      </c>
      <c r="U265" s="72">
        <v>12</v>
      </c>
      <c r="V265" s="73">
        <v>45740</v>
      </c>
      <c r="W265" s="70" t="s">
        <v>180</v>
      </c>
      <c r="X265" s="74" t="s">
        <v>140</v>
      </c>
      <c r="Y265" s="75">
        <v>1.9249000000000001</v>
      </c>
      <c r="Z265" s="75" t="s">
        <v>352</v>
      </c>
    </row>
    <row r="266" spans="1:26" x14ac:dyDescent="0.3">
      <c r="A266" s="72">
        <v>13</v>
      </c>
      <c r="B266" s="73">
        <v>45747</v>
      </c>
      <c r="C266" s="70" t="s">
        <v>178</v>
      </c>
      <c r="D266" s="74" t="s">
        <v>140</v>
      </c>
      <c r="E266" s="75">
        <v>0.3669</v>
      </c>
      <c r="F266" s="75" t="s">
        <v>352</v>
      </c>
      <c r="K266" s="72">
        <v>13</v>
      </c>
      <c r="L266" s="73">
        <v>45747</v>
      </c>
      <c r="M266" s="70" t="s">
        <v>179</v>
      </c>
      <c r="N266" s="74" t="s">
        <v>140</v>
      </c>
      <c r="O266" s="75">
        <v>0.68169999999999997</v>
      </c>
      <c r="P266" s="75" t="s">
        <v>352</v>
      </c>
      <c r="U266" s="72">
        <v>13</v>
      </c>
      <c r="V266" s="73">
        <v>45747</v>
      </c>
      <c r="W266" s="70" t="s">
        <v>180</v>
      </c>
      <c r="X266" s="74" t="s">
        <v>140</v>
      </c>
      <c r="Y266" s="75">
        <v>1.9061999999999999</v>
      </c>
      <c r="Z266" s="75" t="s">
        <v>352</v>
      </c>
    </row>
    <row r="267" spans="1:26" x14ac:dyDescent="0.3">
      <c r="A267" s="72">
        <v>14</v>
      </c>
      <c r="B267" s="73">
        <v>45754</v>
      </c>
      <c r="C267" s="70" t="s">
        <v>178</v>
      </c>
      <c r="D267" s="74" t="s">
        <v>140</v>
      </c>
      <c r="E267" s="75">
        <v>0.31369999999999998</v>
      </c>
      <c r="F267" s="75" t="s">
        <v>352</v>
      </c>
      <c r="K267" s="72">
        <v>14</v>
      </c>
      <c r="L267" s="73">
        <v>45754</v>
      </c>
      <c r="M267" s="70" t="s">
        <v>179</v>
      </c>
      <c r="N267" s="74" t="s">
        <v>140</v>
      </c>
      <c r="O267" s="75">
        <v>0.73329999999999995</v>
      </c>
      <c r="P267" s="75" t="s">
        <v>352</v>
      </c>
      <c r="U267" s="72">
        <v>14</v>
      </c>
      <c r="V267" s="73">
        <v>45754</v>
      </c>
      <c r="W267" s="70" t="s">
        <v>180</v>
      </c>
      <c r="X267" s="74" t="s">
        <v>140</v>
      </c>
      <c r="Y267" s="75">
        <v>1.9986999999999999</v>
      </c>
      <c r="Z267" s="75" t="s">
        <v>352</v>
      </c>
    </row>
    <row r="268" spans="1:26" x14ac:dyDescent="0.3">
      <c r="A268" s="72">
        <v>15</v>
      </c>
      <c r="B268" s="73">
        <v>45761</v>
      </c>
      <c r="C268" s="70" t="s">
        <v>178</v>
      </c>
      <c r="D268" s="74" t="s">
        <v>140</v>
      </c>
      <c r="E268" s="75">
        <v>0.3402</v>
      </c>
      <c r="F268" s="75" t="s">
        <v>352</v>
      </c>
      <c r="K268" s="72">
        <v>15</v>
      </c>
      <c r="L268" s="73">
        <v>45761</v>
      </c>
      <c r="M268" s="70" t="s">
        <v>179</v>
      </c>
      <c r="N268" s="74" t="s">
        <v>140</v>
      </c>
      <c r="O268" s="75">
        <v>0.79530000000000001</v>
      </c>
      <c r="P268" s="75" t="s">
        <v>352</v>
      </c>
      <c r="U268" s="72">
        <v>15</v>
      </c>
      <c r="V268" s="73">
        <v>45761</v>
      </c>
      <c r="W268" s="70" t="s">
        <v>180</v>
      </c>
      <c r="X268" s="74" t="s">
        <v>140</v>
      </c>
      <c r="Y268" s="75">
        <v>1.6880999999999999</v>
      </c>
      <c r="Z268" s="75" t="s">
        <v>352</v>
      </c>
    </row>
    <row r="269" spans="1:26" x14ac:dyDescent="0.3">
      <c r="A269" s="72">
        <v>16</v>
      </c>
      <c r="B269" s="73">
        <v>45768</v>
      </c>
      <c r="C269" s="70" t="s">
        <v>178</v>
      </c>
      <c r="D269" s="74" t="s">
        <v>140</v>
      </c>
      <c r="E269" s="75">
        <v>0.373</v>
      </c>
      <c r="F269" s="75" t="s">
        <v>352</v>
      </c>
      <c r="K269" s="72">
        <v>16</v>
      </c>
      <c r="L269" s="73">
        <v>45768</v>
      </c>
      <c r="M269" s="70" t="s">
        <v>179</v>
      </c>
      <c r="N269" s="74" t="s">
        <v>140</v>
      </c>
      <c r="O269" s="75">
        <v>0.79169999999999996</v>
      </c>
      <c r="P269" s="75" t="s">
        <v>352</v>
      </c>
      <c r="U269" s="72">
        <v>16</v>
      </c>
      <c r="V269" s="73">
        <v>45768</v>
      </c>
      <c r="W269" s="70" t="s">
        <v>180</v>
      </c>
      <c r="X269" s="74" t="s">
        <v>140</v>
      </c>
      <c r="Y269" s="75">
        <v>2.2816000000000001</v>
      </c>
      <c r="Z269" s="75" t="s">
        <v>352</v>
      </c>
    </row>
    <row r="270" spans="1:26" x14ac:dyDescent="0.3">
      <c r="A270" s="72">
        <v>17</v>
      </c>
      <c r="B270" s="73">
        <v>45775</v>
      </c>
      <c r="C270" s="70" t="s">
        <v>178</v>
      </c>
      <c r="D270" s="74" t="s">
        <v>140</v>
      </c>
      <c r="E270" s="75">
        <v>0.35410000000000003</v>
      </c>
      <c r="F270" s="75" t="s">
        <v>352</v>
      </c>
      <c r="K270" s="72">
        <v>17</v>
      </c>
      <c r="L270" s="73">
        <v>45775</v>
      </c>
      <c r="M270" s="70" t="s">
        <v>179</v>
      </c>
      <c r="N270" s="74" t="s">
        <v>140</v>
      </c>
      <c r="O270" s="75">
        <v>0.86919999999999997</v>
      </c>
      <c r="P270" s="75" t="s">
        <v>352</v>
      </c>
      <c r="U270" s="72">
        <v>17</v>
      </c>
      <c r="V270" s="73">
        <v>45775</v>
      </c>
      <c r="W270" s="70" t="s">
        <v>180</v>
      </c>
      <c r="X270" s="74" t="s">
        <v>140</v>
      </c>
      <c r="Y270" s="75">
        <v>1.9782999999999999</v>
      </c>
      <c r="Z270" s="75" t="s">
        <v>352</v>
      </c>
    </row>
    <row r="271" spans="1:26" x14ac:dyDescent="0.3">
      <c r="A271" s="72">
        <v>18</v>
      </c>
      <c r="B271" s="73">
        <v>45782</v>
      </c>
      <c r="C271" s="70" t="s">
        <v>178</v>
      </c>
      <c r="D271" s="74" t="s">
        <v>140</v>
      </c>
      <c r="E271" s="75">
        <v>0.3498</v>
      </c>
      <c r="F271" s="75" t="s">
        <v>352</v>
      </c>
      <c r="K271" s="72">
        <v>18</v>
      </c>
      <c r="L271" s="73">
        <v>45782</v>
      </c>
      <c r="M271" s="70" t="s">
        <v>179</v>
      </c>
      <c r="N271" s="74" t="s">
        <v>140</v>
      </c>
      <c r="O271" s="75">
        <v>0.76060000000000005</v>
      </c>
      <c r="P271" s="75" t="s">
        <v>352</v>
      </c>
      <c r="U271" s="72">
        <v>18</v>
      </c>
      <c r="V271" s="73">
        <v>45782</v>
      </c>
      <c r="W271" s="70" t="s">
        <v>180</v>
      </c>
      <c r="X271" s="74" t="s">
        <v>140</v>
      </c>
      <c r="Y271" s="75">
        <v>1.7174</v>
      </c>
      <c r="Z271" s="75" t="s">
        <v>352</v>
      </c>
    </row>
    <row r="272" spans="1:26" x14ac:dyDescent="0.3">
      <c r="A272" s="72">
        <v>19</v>
      </c>
      <c r="B272" s="73">
        <v>45789</v>
      </c>
      <c r="C272" s="70" t="s">
        <v>178</v>
      </c>
      <c r="D272" s="74" t="s">
        <v>140</v>
      </c>
      <c r="E272" s="75">
        <v>0.3916</v>
      </c>
      <c r="F272" s="75" t="s">
        <v>352</v>
      </c>
      <c r="K272" s="72">
        <v>19</v>
      </c>
      <c r="L272" s="73">
        <v>45789</v>
      </c>
      <c r="M272" s="70" t="s">
        <v>179</v>
      </c>
      <c r="N272" s="74" t="s">
        <v>140</v>
      </c>
      <c r="O272" s="75">
        <v>0.67959999999999998</v>
      </c>
      <c r="P272" s="75" t="s">
        <v>352</v>
      </c>
      <c r="U272" s="72">
        <v>19</v>
      </c>
      <c r="V272" s="73">
        <v>45789</v>
      </c>
      <c r="W272" s="70" t="s">
        <v>180</v>
      </c>
      <c r="X272" s="74" t="s">
        <v>140</v>
      </c>
      <c r="Y272" s="75">
        <v>1.6187</v>
      </c>
      <c r="Z272" s="75" t="s">
        <v>352</v>
      </c>
    </row>
    <row r="273" spans="1:26" x14ac:dyDescent="0.3">
      <c r="A273" s="72">
        <v>20</v>
      </c>
      <c r="B273" s="73">
        <v>45796</v>
      </c>
      <c r="C273" s="70" t="s">
        <v>178</v>
      </c>
      <c r="D273" s="74" t="s">
        <v>140</v>
      </c>
      <c r="E273" s="75">
        <v>0.32640000000000002</v>
      </c>
      <c r="F273" s="75" t="s">
        <v>352</v>
      </c>
      <c r="K273" s="72">
        <v>20</v>
      </c>
      <c r="L273" s="73">
        <v>45796</v>
      </c>
      <c r="M273" s="70" t="s">
        <v>179</v>
      </c>
      <c r="N273" s="74" t="s">
        <v>140</v>
      </c>
      <c r="O273" s="75">
        <v>0.7268</v>
      </c>
      <c r="P273" s="75" t="s">
        <v>352</v>
      </c>
      <c r="U273" s="72">
        <v>20</v>
      </c>
      <c r="V273" s="73">
        <v>45796</v>
      </c>
      <c r="W273" s="70" t="s">
        <v>180</v>
      </c>
      <c r="X273" s="74" t="s">
        <v>140</v>
      </c>
      <c r="Y273" s="75">
        <v>1.9017999999999999</v>
      </c>
      <c r="Z273" s="75" t="s">
        <v>352</v>
      </c>
    </row>
    <row r="274" spans="1:26" x14ac:dyDescent="0.3">
      <c r="A274" s="72">
        <v>21</v>
      </c>
      <c r="B274" s="73">
        <v>45803</v>
      </c>
      <c r="C274" s="70" t="s">
        <v>178</v>
      </c>
      <c r="D274" s="74" t="s">
        <v>140</v>
      </c>
      <c r="E274" s="75">
        <v>0.34860000000000002</v>
      </c>
      <c r="F274" s="75" t="s">
        <v>352</v>
      </c>
      <c r="K274" s="72">
        <v>21</v>
      </c>
      <c r="L274" s="73">
        <v>45803</v>
      </c>
      <c r="M274" s="70" t="s">
        <v>179</v>
      </c>
      <c r="N274" s="74" t="s">
        <v>140</v>
      </c>
      <c r="O274" s="75">
        <v>0.71689999999999998</v>
      </c>
      <c r="P274" s="75" t="s">
        <v>352</v>
      </c>
      <c r="U274" s="72">
        <v>21</v>
      </c>
      <c r="V274" s="73">
        <v>45803</v>
      </c>
      <c r="W274" s="70" t="s">
        <v>180</v>
      </c>
      <c r="X274" s="74" t="s">
        <v>140</v>
      </c>
      <c r="Y274" s="75">
        <v>1.9398</v>
      </c>
      <c r="Z274" s="75" t="s">
        <v>352</v>
      </c>
    </row>
    <row r="275" spans="1:26" x14ac:dyDescent="0.3">
      <c r="A275" s="72">
        <v>22</v>
      </c>
      <c r="B275" s="73">
        <v>45810</v>
      </c>
      <c r="C275" s="70" t="s">
        <v>178</v>
      </c>
      <c r="D275" s="74" t="s">
        <v>140</v>
      </c>
      <c r="E275" s="75">
        <v>0.33100000000000002</v>
      </c>
      <c r="F275" s="75" t="s">
        <v>352</v>
      </c>
      <c r="K275" s="72">
        <v>22</v>
      </c>
      <c r="L275" s="73">
        <v>45810</v>
      </c>
      <c r="M275" s="70" t="s">
        <v>179</v>
      </c>
      <c r="N275" s="74" t="s">
        <v>140</v>
      </c>
      <c r="O275" s="75">
        <v>0.69879999999999998</v>
      </c>
      <c r="P275" s="75" t="s">
        <v>352</v>
      </c>
      <c r="U275" s="72">
        <v>22</v>
      </c>
      <c r="V275" s="73">
        <v>45810</v>
      </c>
      <c r="W275" s="70" t="s">
        <v>180</v>
      </c>
      <c r="X275" s="74" t="s">
        <v>140</v>
      </c>
      <c r="Y275" s="75">
        <v>1.8150999999999999</v>
      </c>
      <c r="Z275" s="75" t="s">
        <v>352</v>
      </c>
    </row>
    <row r="276" spans="1:26" x14ac:dyDescent="0.3">
      <c r="A276" s="72">
        <v>23</v>
      </c>
      <c r="B276" s="73">
        <v>45817</v>
      </c>
      <c r="C276" s="70" t="s">
        <v>178</v>
      </c>
      <c r="D276" s="74" t="s">
        <v>140</v>
      </c>
      <c r="E276" s="75">
        <v>0.38969999999999999</v>
      </c>
      <c r="F276" s="75" t="s">
        <v>352</v>
      </c>
      <c r="K276" s="72">
        <v>23</v>
      </c>
      <c r="L276" s="73">
        <v>45817</v>
      </c>
      <c r="M276" s="70" t="s">
        <v>179</v>
      </c>
      <c r="N276" s="74" t="s">
        <v>140</v>
      </c>
      <c r="O276" s="75">
        <v>0.79920000000000002</v>
      </c>
      <c r="P276" s="75" t="s">
        <v>352</v>
      </c>
      <c r="U276" s="72">
        <v>23</v>
      </c>
      <c r="V276" s="73">
        <v>45817</v>
      </c>
      <c r="W276" s="70" t="s">
        <v>180</v>
      </c>
      <c r="X276" s="74" t="s">
        <v>140</v>
      </c>
      <c r="Y276" s="75">
        <v>1.9759</v>
      </c>
      <c r="Z276" s="75" t="s">
        <v>352</v>
      </c>
    </row>
    <row r="277" spans="1:26" x14ac:dyDescent="0.3">
      <c r="A277" s="72">
        <v>24</v>
      </c>
      <c r="B277" s="73">
        <v>45824</v>
      </c>
      <c r="C277" s="70" t="s">
        <v>178</v>
      </c>
      <c r="D277" s="74" t="s">
        <v>140</v>
      </c>
      <c r="E277" s="75">
        <v>0.28920000000000001</v>
      </c>
      <c r="F277" s="75" t="s">
        <v>352</v>
      </c>
      <c r="K277" s="72">
        <v>24</v>
      </c>
      <c r="L277" s="73">
        <v>45824</v>
      </c>
      <c r="M277" s="70" t="s">
        <v>179</v>
      </c>
      <c r="N277" s="74" t="s">
        <v>140</v>
      </c>
      <c r="O277" s="75">
        <v>0.73360000000000003</v>
      </c>
      <c r="P277" s="75" t="s">
        <v>352</v>
      </c>
      <c r="U277" s="72">
        <v>24</v>
      </c>
      <c r="V277" s="73">
        <v>45824</v>
      </c>
      <c r="W277" s="70" t="s">
        <v>180</v>
      </c>
      <c r="X277" s="74" t="s">
        <v>140</v>
      </c>
      <c r="Y277" s="75">
        <v>1.8304</v>
      </c>
      <c r="Z277" s="75" t="s">
        <v>352</v>
      </c>
    </row>
    <row r="278" spans="1:26" x14ac:dyDescent="0.3">
      <c r="A278" s="72">
        <v>25</v>
      </c>
      <c r="B278" s="73">
        <v>45831</v>
      </c>
      <c r="C278" s="70" t="s">
        <v>178</v>
      </c>
      <c r="D278" s="74" t="s">
        <v>140</v>
      </c>
      <c r="E278" s="75">
        <v>0.3266</v>
      </c>
      <c r="F278" s="75" t="s">
        <v>352</v>
      </c>
      <c r="K278" s="72">
        <v>25</v>
      </c>
      <c r="L278" s="73">
        <v>45831</v>
      </c>
      <c r="M278" s="70" t="s">
        <v>179</v>
      </c>
      <c r="N278" s="74" t="s">
        <v>140</v>
      </c>
      <c r="O278" s="75">
        <v>0.65259999999999996</v>
      </c>
      <c r="P278" s="75" t="s">
        <v>352</v>
      </c>
      <c r="U278" s="72">
        <v>25</v>
      </c>
      <c r="V278" s="73">
        <v>45831</v>
      </c>
      <c r="W278" s="70" t="s">
        <v>180</v>
      </c>
      <c r="X278" s="74" t="s">
        <v>140</v>
      </c>
      <c r="Y278" s="75">
        <v>2.0670000000000002</v>
      </c>
      <c r="Z278" s="75" t="s">
        <v>352</v>
      </c>
    </row>
    <row r="279" spans="1:26" x14ac:dyDescent="0.3">
      <c r="A279" s="72">
        <v>1</v>
      </c>
      <c r="B279" s="73">
        <v>45663</v>
      </c>
      <c r="C279" s="70" t="s">
        <v>178</v>
      </c>
      <c r="D279" s="74" t="s">
        <v>141</v>
      </c>
      <c r="E279" s="75">
        <v>0.28070000000000001</v>
      </c>
      <c r="F279" s="75" t="s">
        <v>352</v>
      </c>
      <c r="K279" s="72">
        <v>1</v>
      </c>
      <c r="L279" s="73">
        <v>45663</v>
      </c>
      <c r="M279" s="70" t="s">
        <v>179</v>
      </c>
      <c r="N279" s="74" t="s">
        <v>141</v>
      </c>
      <c r="O279" s="75">
        <v>0.75360000000000005</v>
      </c>
      <c r="P279" s="75" t="s">
        <v>352</v>
      </c>
      <c r="U279" s="72">
        <v>1</v>
      </c>
      <c r="V279" s="73">
        <v>45663</v>
      </c>
      <c r="W279" s="70" t="s">
        <v>180</v>
      </c>
      <c r="X279" s="74" t="s">
        <v>141</v>
      </c>
      <c r="Y279" s="75">
        <v>1.7225999999999999</v>
      </c>
      <c r="Z279" s="75" t="s">
        <v>352</v>
      </c>
    </row>
    <row r="280" spans="1:26" x14ac:dyDescent="0.3">
      <c r="A280" s="72">
        <v>2</v>
      </c>
      <c r="B280" s="73">
        <v>45670</v>
      </c>
      <c r="C280" s="70" t="s">
        <v>178</v>
      </c>
      <c r="D280" s="74" t="s">
        <v>141</v>
      </c>
      <c r="E280" s="75">
        <v>0.29210000000000003</v>
      </c>
      <c r="F280" s="75" t="s">
        <v>352</v>
      </c>
      <c r="K280" s="72">
        <v>2</v>
      </c>
      <c r="L280" s="73">
        <v>45670</v>
      </c>
      <c r="M280" s="70" t="s">
        <v>179</v>
      </c>
      <c r="N280" s="74" t="s">
        <v>141</v>
      </c>
      <c r="O280" s="75">
        <v>0.70430000000000004</v>
      </c>
      <c r="P280" s="75" t="s">
        <v>352</v>
      </c>
      <c r="U280" s="72">
        <v>2</v>
      </c>
      <c r="V280" s="73">
        <v>45670</v>
      </c>
      <c r="W280" s="70" t="s">
        <v>180</v>
      </c>
      <c r="X280" s="74" t="s">
        <v>141</v>
      </c>
      <c r="Y280" s="75">
        <v>1.9739</v>
      </c>
      <c r="Z280" s="75" t="s">
        <v>352</v>
      </c>
    </row>
    <row r="281" spans="1:26" x14ac:dyDescent="0.3">
      <c r="A281" s="72">
        <v>3</v>
      </c>
      <c r="B281" s="73">
        <v>45677</v>
      </c>
      <c r="C281" s="70" t="s">
        <v>178</v>
      </c>
      <c r="D281" s="74" t="s">
        <v>141</v>
      </c>
      <c r="E281" s="75">
        <v>0.30909999999999999</v>
      </c>
      <c r="F281" s="75" t="s">
        <v>352</v>
      </c>
      <c r="K281" s="72">
        <v>3</v>
      </c>
      <c r="L281" s="73">
        <v>45677</v>
      </c>
      <c r="M281" s="70" t="s">
        <v>179</v>
      </c>
      <c r="N281" s="74" t="s">
        <v>141</v>
      </c>
      <c r="O281" s="75">
        <v>0.68030000000000002</v>
      </c>
      <c r="P281" s="75" t="s">
        <v>352</v>
      </c>
      <c r="U281" s="72">
        <v>3</v>
      </c>
      <c r="V281" s="73">
        <v>45677</v>
      </c>
      <c r="W281" s="70" t="s">
        <v>180</v>
      </c>
      <c r="X281" s="74" t="s">
        <v>141</v>
      </c>
      <c r="Y281" s="75">
        <v>2.1307</v>
      </c>
      <c r="Z281" s="75" t="s">
        <v>352</v>
      </c>
    </row>
    <row r="282" spans="1:26" x14ac:dyDescent="0.3">
      <c r="A282" s="72">
        <v>4</v>
      </c>
      <c r="B282" s="73">
        <v>45684</v>
      </c>
      <c r="C282" s="70" t="s">
        <v>178</v>
      </c>
      <c r="D282" s="74" t="s">
        <v>141</v>
      </c>
      <c r="E282" s="75">
        <v>0.33560000000000001</v>
      </c>
      <c r="F282" s="75" t="s">
        <v>352</v>
      </c>
      <c r="K282" s="72">
        <v>4</v>
      </c>
      <c r="L282" s="73">
        <v>45684</v>
      </c>
      <c r="M282" s="70" t="s">
        <v>179</v>
      </c>
      <c r="N282" s="74" t="s">
        <v>141</v>
      </c>
      <c r="O282" s="75">
        <v>0.69520000000000004</v>
      </c>
      <c r="P282" s="75" t="s">
        <v>352</v>
      </c>
      <c r="U282" s="72">
        <v>4</v>
      </c>
      <c r="V282" s="73">
        <v>45684</v>
      </c>
      <c r="W282" s="70" t="s">
        <v>180</v>
      </c>
      <c r="X282" s="74" t="s">
        <v>141</v>
      </c>
      <c r="Y282" s="75">
        <v>1.9618</v>
      </c>
      <c r="Z282" s="75" t="s">
        <v>352</v>
      </c>
    </row>
    <row r="283" spans="1:26" x14ac:dyDescent="0.3">
      <c r="A283" s="72">
        <v>5</v>
      </c>
      <c r="B283" s="73">
        <v>45691</v>
      </c>
      <c r="C283" s="70" t="s">
        <v>178</v>
      </c>
      <c r="D283" s="74" t="s">
        <v>141</v>
      </c>
      <c r="E283" s="75">
        <v>0.27600000000000002</v>
      </c>
      <c r="F283" s="75" t="s">
        <v>352</v>
      </c>
      <c r="K283" s="72">
        <v>5</v>
      </c>
      <c r="L283" s="73">
        <v>45691</v>
      </c>
      <c r="M283" s="70" t="s">
        <v>179</v>
      </c>
      <c r="N283" s="74" t="s">
        <v>141</v>
      </c>
      <c r="O283" s="75">
        <v>0.78690000000000004</v>
      </c>
      <c r="P283" s="75" t="s">
        <v>352</v>
      </c>
      <c r="U283" s="72">
        <v>5</v>
      </c>
      <c r="V283" s="73">
        <v>45691</v>
      </c>
      <c r="W283" s="70" t="s">
        <v>180</v>
      </c>
      <c r="X283" s="74" t="s">
        <v>141</v>
      </c>
      <c r="Y283" s="75">
        <v>1.8955</v>
      </c>
      <c r="Z283" s="75" t="s">
        <v>352</v>
      </c>
    </row>
    <row r="284" spans="1:26" x14ac:dyDescent="0.3">
      <c r="A284" s="72">
        <v>6</v>
      </c>
      <c r="B284" s="73">
        <v>45698</v>
      </c>
      <c r="C284" s="70" t="s">
        <v>178</v>
      </c>
      <c r="D284" s="74" t="s">
        <v>141</v>
      </c>
      <c r="E284" s="75">
        <v>0.28499999999999998</v>
      </c>
      <c r="F284" s="75" t="s">
        <v>352</v>
      </c>
      <c r="K284" s="72">
        <v>6</v>
      </c>
      <c r="L284" s="73">
        <v>45698</v>
      </c>
      <c r="M284" s="70" t="s">
        <v>179</v>
      </c>
      <c r="N284" s="74" t="s">
        <v>141</v>
      </c>
      <c r="O284" s="75">
        <v>0.7369</v>
      </c>
      <c r="P284" s="75" t="s">
        <v>352</v>
      </c>
      <c r="U284" s="72">
        <v>6</v>
      </c>
      <c r="V284" s="73">
        <v>45698</v>
      </c>
      <c r="W284" s="70" t="s">
        <v>180</v>
      </c>
      <c r="X284" s="74" t="s">
        <v>141</v>
      </c>
      <c r="Y284" s="75">
        <v>1.8828</v>
      </c>
      <c r="Z284" s="75" t="s">
        <v>352</v>
      </c>
    </row>
    <row r="285" spans="1:26" x14ac:dyDescent="0.3">
      <c r="A285" s="72">
        <v>7</v>
      </c>
      <c r="B285" s="73">
        <v>45705</v>
      </c>
      <c r="C285" s="70" t="s">
        <v>178</v>
      </c>
      <c r="D285" s="74" t="s">
        <v>141</v>
      </c>
      <c r="E285" s="75">
        <v>0.27879999999999999</v>
      </c>
      <c r="F285" s="75" t="s">
        <v>352</v>
      </c>
      <c r="K285" s="72">
        <v>7</v>
      </c>
      <c r="L285" s="73">
        <v>45705</v>
      </c>
      <c r="M285" s="70" t="s">
        <v>179</v>
      </c>
      <c r="N285" s="74" t="s">
        <v>141</v>
      </c>
      <c r="O285" s="75">
        <v>0.7752</v>
      </c>
      <c r="P285" s="75" t="s">
        <v>352</v>
      </c>
      <c r="U285" s="72">
        <v>7</v>
      </c>
      <c r="V285" s="73">
        <v>45705</v>
      </c>
      <c r="W285" s="70" t="s">
        <v>180</v>
      </c>
      <c r="X285" s="74" t="s">
        <v>141</v>
      </c>
      <c r="Y285" s="75">
        <v>2.0912000000000002</v>
      </c>
      <c r="Z285" s="75" t="s">
        <v>352</v>
      </c>
    </row>
    <row r="286" spans="1:26" x14ac:dyDescent="0.3">
      <c r="A286" s="72">
        <v>8</v>
      </c>
      <c r="B286" s="73">
        <v>45712</v>
      </c>
      <c r="C286" s="70" t="s">
        <v>178</v>
      </c>
      <c r="D286" s="74" t="s">
        <v>141</v>
      </c>
      <c r="E286" s="75">
        <v>0.30580000000000002</v>
      </c>
      <c r="F286" s="75" t="s">
        <v>352</v>
      </c>
      <c r="K286" s="72">
        <v>8</v>
      </c>
      <c r="L286" s="73">
        <v>45712</v>
      </c>
      <c r="M286" s="70" t="s">
        <v>179</v>
      </c>
      <c r="N286" s="74" t="s">
        <v>141</v>
      </c>
      <c r="O286" s="75">
        <v>0.70840000000000003</v>
      </c>
      <c r="P286" s="75" t="s">
        <v>352</v>
      </c>
      <c r="U286" s="72">
        <v>8</v>
      </c>
      <c r="V286" s="73">
        <v>45712</v>
      </c>
      <c r="W286" s="70" t="s">
        <v>180</v>
      </c>
      <c r="X286" s="74" t="s">
        <v>141</v>
      </c>
      <c r="Y286" s="75">
        <v>1.7447999999999999</v>
      </c>
      <c r="Z286" s="75" t="s">
        <v>352</v>
      </c>
    </row>
    <row r="287" spans="1:26" x14ac:dyDescent="0.3">
      <c r="A287" s="72">
        <v>9</v>
      </c>
      <c r="B287" s="73">
        <v>45719</v>
      </c>
      <c r="C287" s="70" t="s">
        <v>178</v>
      </c>
      <c r="D287" s="74" t="s">
        <v>141</v>
      </c>
      <c r="E287" s="75">
        <v>0.27360000000000001</v>
      </c>
      <c r="F287" s="75" t="s">
        <v>352</v>
      </c>
      <c r="K287" s="72">
        <v>9</v>
      </c>
      <c r="L287" s="73">
        <v>45719</v>
      </c>
      <c r="M287" s="70" t="s">
        <v>179</v>
      </c>
      <c r="N287" s="74" t="s">
        <v>141</v>
      </c>
      <c r="O287" s="75">
        <v>0.76619999999999999</v>
      </c>
      <c r="P287" s="75" t="s">
        <v>352</v>
      </c>
      <c r="U287" s="72">
        <v>9</v>
      </c>
      <c r="V287" s="73">
        <v>45719</v>
      </c>
      <c r="W287" s="70" t="s">
        <v>180</v>
      </c>
      <c r="X287" s="74" t="s">
        <v>141</v>
      </c>
      <c r="Y287" s="75">
        <v>1.8489</v>
      </c>
      <c r="Z287" s="75" t="s">
        <v>352</v>
      </c>
    </row>
    <row r="288" spans="1:26" x14ac:dyDescent="0.3">
      <c r="A288" s="72">
        <v>10</v>
      </c>
      <c r="B288" s="73">
        <v>45726</v>
      </c>
      <c r="C288" s="70" t="s">
        <v>178</v>
      </c>
      <c r="D288" s="74" t="s">
        <v>141</v>
      </c>
      <c r="E288" s="75">
        <v>0.28470000000000001</v>
      </c>
      <c r="F288" s="75" t="s">
        <v>352</v>
      </c>
      <c r="K288" s="72">
        <v>10</v>
      </c>
      <c r="L288" s="73">
        <v>45726</v>
      </c>
      <c r="M288" s="70" t="s">
        <v>179</v>
      </c>
      <c r="N288" s="74" t="s">
        <v>141</v>
      </c>
      <c r="O288" s="75">
        <v>0.70340000000000003</v>
      </c>
      <c r="P288" s="75" t="s">
        <v>352</v>
      </c>
      <c r="U288" s="72">
        <v>10</v>
      </c>
      <c r="V288" s="73">
        <v>45726</v>
      </c>
      <c r="W288" s="70" t="s">
        <v>180</v>
      </c>
      <c r="X288" s="74" t="s">
        <v>141</v>
      </c>
      <c r="Y288" s="75">
        <v>1.9218</v>
      </c>
      <c r="Z288" s="75" t="s">
        <v>352</v>
      </c>
    </row>
    <row r="289" spans="1:26" x14ac:dyDescent="0.3">
      <c r="A289" s="72">
        <v>11</v>
      </c>
      <c r="B289" s="73">
        <v>45733</v>
      </c>
      <c r="C289" s="70" t="s">
        <v>178</v>
      </c>
      <c r="D289" s="74" t="s">
        <v>141</v>
      </c>
      <c r="E289" s="75">
        <v>0.2923</v>
      </c>
      <c r="F289" s="75" t="s">
        <v>352</v>
      </c>
      <c r="K289" s="72">
        <v>11</v>
      </c>
      <c r="L289" s="73">
        <v>45733</v>
      </c>
      <c r="M289" s="70" t="s">
        <v>179</v>
      </c>
      <c r="N289" s="74" t="s">
        <v>141</v>
      </c>
      <c r="O289" s="75">
        <v>0.72150000000000003</v>
      </c>
      <c r="P289" s="75" t="s">
        <v>352</v>
      </c>
      <c r="U289" s="72">
        <v>11</v>
      </c>
      <c r="V289" s="73">
        <v>45733</v>
      </c>
      <c r="W289" s="70" t="s">
        <v>180</v>
      </c>
      <c r="X289" s="74" t="s">
        <v>141</v>
      </c>
      <c r="Y289" s="75">
        <v>1.9581</v>
      </c>
      <c r="Z289" s="75" t="s">
        <v>352</v>
      </c>
    </row>
    <row r="290" spans="1:26" x14ac:dyDescent="0.3">
      <c r="A290" s="72">
        <v>12</v>
      </c>
      <c r="B290" s="73">
        <v>45740</v>
      </c>
      <c r="C290" s="70" t="s">
        <v>178</v>
      </c>
      <c r="D290" s="74" t="s">
        <v>141</v>
      </c>
      <c r="E290" s="75">
        <v>0.27639999999999998</v>
      </c>
      <c r="F290" s="75" t="s">
        <v>352</v>
      </c>
      <c r="K290" s="72">
        <v>12</v>
      </c>
      <c r="L290" s="73">
        <v>45740</v>
      </c>
      <c r="M290" s="70" t="s">
        <v>179</v>
      </c>
      <c r="N290" s="74" t="s">
        <v>141</v>
      </c>
      <c r="O290" s="75">
        <v>0.82920000000000005</v>
      </c>
      <c r="P290" s="75" t="s">
        <v>352</v>
      </c>
      <c r="U290" s="72">
        <v>12</v>
      </c>
      <c r="V290" s="73">
        <v>45740</v>
      </c>
      <c r="W290" s="70" t="s">
        <v>180</v>
      </c>
      <c r="X290" s="74" t="s">
        <v>141</v>
      </c>
      <c r="Y290" s="75">
        <v>1.8072999999999999</v>
      </c>
      <c r="Z290" s="75" t="s">
        <v>352</v>
      </c>
    </row>
    <row r="291" spans="1:26" x14ac:dyDescent="0.3">
      <c r="A291" s="72">
        <v>13</v>
      </c>
      <c r="B291" s="73">
        <v>45747</v>
      </c>
      <c r="C291" s="70" t="s">
        <v>178</v>
      </c>
      <c r="D291" s="74" t="s">
        <v>141</v>
      </c>
      <c r="E291" s="75">
        <v>0.27679999999999999</v>
      </c>
      <c r="F291" s="75" t="s">
        <v>352</v>
      </c>
      <c r="K291" s="72">
        <v>13</v>
      </c>
      <c r="L291" s="73">
        <v>45747</v>
      </c>
      <c r="M291" s="70" t="s">
        <v>179</v>
      </c>
      <c r="N291" s="74" t="s">
        <v>141</v>
      </c>
      <c r="O291" s="75">
        <v>0.75919999999999999</v>
      </c>
      <c r="P291" s="75" t="s">
        <v>352</v>
      </c>
      <c r="U291" s="72">
        <v>13</v>
      </c>
      <c r="V291" s="73">
        <v>45747</v>
      </c>
      <c r="W291" s="70" t="s">
        <v>180</v>
      </c>
      <c r="X291" s="74" t="s">
        <v>141</v>
      </c>
      <c r="Y291" s="75">
        <v>1.9023000000000001</v>
      </c>
      <c r="Z291" s="75" t="s">
        <v>352</v>
      </c>
    </row>
    <row r="292" spans="1:26" x14ac:dyDescent="0.3">
      <c r="A292" s="72">
        <v>14</v>
      </c>
      <c r="B292" s="73">
        <v>45754</v>
      </c>
      <c r="C292" s="70" t="s">
        <v>178</v>
      </c>
      <c r="D292" s="74" t="s">
        <v>141</v>
      </c>
      <c r="E292" s="75">
        <v>0.2848</v>
      </c>
      <c r="F292" s="75" t="s">
        <v>352</v>
      </c>
      <c r="K292" s="72">
        <v>14</v>
      </c>
      <c r="L292" s="73">
        <v>45754</v>
      </c>
      <c r="M292" s="70" t="s">
        <v>179</v>
      </c>
      <c r="N292" s="74" t="s">
        <v>141</v>
      </c>
      <c r="O292" s="75">
        <v>0.70750000000000002</v>
      </c>
      <c r="P292" s="75" t="s">
        <v>352</v>
      </c>
      <c r="U292" s="72">
        <v>14</v>
      </c>
      <c r="V292" s="73">
        <v>45754</v>
      </c>
      <c r="W292" s="70" t="s">
        <v>180</v>
      </c>
      <c r="X292" s="74" t="s">
        <v>141</v>
      </c>
      <c r="Y292" s="75">
        <v>1.8275999999999999</v>
      </c>
      <c r="Z292" s="75" t="s">
        <v>352</v>
      </c>
    </row>
    <row r="293" spans="1:26" x14ac:dyDescent="0.3">
      <c r="A293" s="72">
        <v>15</v>
      </c>
      <c r="B293" s="73">
        <v>45761</v>
      </c>
      <c r="C293" s="70" t="s">
        <v>178</v>
      </c>
      <c r="D293" s="74" t="s">
        <v>141</v>
      </c>
      <c r="E293" s="75">
        <v>0.25769999999999998</v>
      </c>
      <c r="F293" s="75" t="s">
        <v>352</v>
      </c>
      <c r="K293" s="72">
        <v>15</v>
      </c>
      <c r="L293" s="73">
        <v>45761</v>
      </c>
      <c r="M293" s="70" t="s">
        <v>179</v>
      </c>
      <c r="N293" s="74" t="s">
        <v>141</v>
      </c>
      <c r="O293" s="75">
        <v>0.72450000000000003</v>
      </c>
      <c r="P293" s="75" t="s">
        <v>352</v>
      </c>
      <c r="U293" s="72">
        <v>15</v>
      </c>
      <c r="V293" s="73">
        <v>45761</v>
      </c>
      <c r="W293" s="70" t="s">
        <v>180</v>
      </c>
      <c r="X293" s="74" t="s">
        <v>141</v>
      </c>
      <c r="Y293" s="75">
        <v>1.8785000000000001</v>
      </c>
      <c r="Z293" s="75" t="s">
        <v>352</v>
      </c>
    </row>
    <row r="294" spans="1:26" x14ac:dyDescent="0.3">
      <c r="A294" s="72">
        <v>16</v>
      </c>
      <c r="B294" s="73">
        <v>45768</v>
      </c>
      <c r="C294" s="70" t="s">
        <v>178</v>
      </c>
      <c r="D294" s="74" t="s">
        <v>141</v>
      </c>
      <c r="E294" s="75">
        <v>0.26869999999999999</v>
      </c>
      <c r="F294" s="75" t="s">
        <v>352</v>
      </c>
      <c r="K294" s="72">
        <v>16</v>
      </c>
      <c r="L294" s="73">
        <v>45768</v>
      </c>
      <c r="M294" s="70" t="s">
        <v>179</v>
      </c>
      <c r="N294" s="74" t="s">
        <v>141</v>
      </c>
      <c r="O294" s="75">
        <v>0.74119999999999997</v>
      </c>
      <c r="P294" s="75" t="s">
        <v>352</v>
      </c>
      <c r="U294" s="72">
        <v>16</v>
      </c>
      <c r="V294" s="73">
        <v>45768</v>
      </c>
      <c r="W294" s="70" t="s">
        <v>180</v>
      </c>
      <c r="X294" s="74" t="s">
        <v>141</v>
      </c>
      <c r="Y294" s="75">
        <v>1.8462000000000001</v>
      </c>
      <c r="Z294" s="75" t="s">
        <v>352</v>
      </c>
    </row>
    <row r="295" spans="1:26" x14ac:dyDescent="0.3">
      <c r="A295" s="72">
        <v>17</v>
      </c>
      <c r="B295" s="73">
        <v>45775</v>
      </c>
      <c r="C295" s="70" t="s">
        <v>178</v>
      </c>
      <c r="D295" s="74" t="s">
        <v>141</v>
      </c>
      <c r="E295" s="75">
        <v>0.28589999999999999</v>
      </c>
      <c r="F295" s="75" t="s">
        <v>352</v>
      </c>
      <c r="K295" s="72">
        <v>17</v>
      </c>
      <c r="L295" s="73">
        <v>45775</v>
      </c>
      <c r="M295" s="70" t="s">
        <v>179</v>
      </c>
      <c r="N295" s="74" t="s">
        <v>141</v>
      </c>
      <c r="O295" s="75">
        <v>0.7772</v>
      </c>
      <c r="P295" s="75" t="s">
        <v>352</v>
      </c>
      <c r="U295" s="72">
        <v>17</v>
      </c>
      <c r="V295" s="73">
        <v>45775</v>
      </c>
      <c r="W295" s="70" t="s">
        <v>180</v>
      </c>
      <c r="X295" s="74" t="s">
        <v>141</v>
      </c>
      <c r="Y295" s="75">
        <v>1.7174</v>
      </c>
      <c r="Z295" s="75" t="s">
        <v>352</v>
      </c>
    </row>
    <row r="296" spans="1:26" x14ac:dyDescent="0.3">
      <c r="A296" s="72">
        <v>18</v>
      </c>
      <c r="B296" s="73">
        <v>45782</v>
      </c>
      <c r="C296" s="70" t="s">
        <v>178</v>
      </c>
      <c r="D296" s="74" t="s">
        <v>141</v>
      </c>
      <c r="E296" s="75">
        <v>0.29520000000000002</v>
      </c>
      <c r="F296" s="75" t="s">
        <v>352</v>
      </c>
      <c r="K296" s="72">
        <v>18</v>
      </c>
      <c r="L296" s="73">
        <v>45782</v>
      </c>
      <c r="M296" s="70" t="s">
        <v>179</v>
      </c>
      <c r="N296" s="74" t="s">
        <v>141</v>
      </c>
      <c r="O296" s="75">
        <v>0.70799999999999996</v>
      </c>
      <c r="P296" s="75" t="s">
        <v>352</v>
      </c>
      <c r="U296" s="72">
        <v>18</v>
      </c>
      <c r="V296" s="73">
        <v>45782</v>
      </c>
      <c r="W296" s="70" t="s">
        <v>180</v>
      </c>
      <c r="X296" s="74" t="s">
        <v>141</v>
      </c>
      <c r="Y296" s="75">
        <v>1.8604000000000001</v>
      </c>
      <c r="Z296" s="75" t="s">
        <v>352</v>
      </c>
    </row>
    <row r="297" spans="1:26" x14ac:dyDescent="0.3">
      <c r="A297" s="72">
        <v>19</v>
      </c>
      <c r="B297" s="73">
        <v>45789</v>
      </c>
      <c r="C297" s="70" t="s">
        <v>178</v>
      </c>
      <c r="D297" s="74" t="s">
        <v>141</v>
      </c>
      <c r="E297" s="75">
        <v>0.28970000000000001</v>
      </c>
      <c r="F297" s="75" t="s">
        <v>352</v>
      </c>
      <c r="K297" s="72">
        <v>19</v>
      </c>
      <c r="L297" s="73">
        <v>45789</v>
      </c>
      <c r="M297" s="70" t="s">
        <v>179</v>
      </c>
      <c r="N297" s="74" t="s">
        <v>141</v>
      </c>
      <c r="O297" s="75">
        <v>0.65700000000000003</v>
      </c>
      <c r="P297" s="75" t="s">
        <v>352</v>
      </c>
      <c r="U297" s="72">
        <v>19</v>
      </c>
      <c r="V297" s="73">
        <v>45789</v>
      </c>
      <c r="W297" s="70" t="s">
        <v>180</v>
      </c>
      <c r="X297" s="74" t="s">
        <v>141</v>
      </c>
      <c r="Y297" s="75">
        <v>1.9751000000000001</v>
      </c>
      <c r="Z297" s="75" t="s">
        <v>352</v>
      </c>
    </row>
    <row r="298" spans="1:26" x14ac:dyDescent="0.3">
      <c r="A298" s="72">
        <v>20</v>
      </c>
      <c r="B298" s="73">
        <v>45796</v>
      </c>
      <c r="C298" s="70" t="s">
        <v>178</v>
      </c>
      <c r="D298" s="74" t="s">
        <v>141</v>
      </c>
      <c r="E298" s="75">
        <v>0.26319999999999999</v>
      </c>
      <c r="F298" s="75" t="s">
        <v>352</v>
      </c>
      <c r="K298" s="72">
        <v>20</v>
      </c>
      <c r="L298" s="73">
        <v>45796</v>
      </c>
      <c r="M298" s="70" t="s">
        <v>179</v>
      </c>
      <c r="N298" s="74" t="s">
        <v>141</v>
      </c>
      <c r="O298" s="75">
        <v>0.71650000000000003</v>
      </c>
      <c r="P298" s="75" t="s">
        <v>352</v>
      </c>
      <c r="U298" s="72">
        <v>20</v>
      </c>
      <c r="V298" s="73">
        <v>45796</v>
      </c>
      <c r="W298" s="70" t="s">
        <v>180</v>
      </c>
      <c r="X298" s="74" t="s">
        <v>141</v>
      </c>
      <c r="Y298" s="75">
        <v>1.7397</v>
      </c>
      <c r="Z298" s="75" t="s">
        <v>352</v>
      </c>
    </row>
    <row r="299" spans="1:26" x14ac:dyDescent="0.3">
      <c r="A299" s="72">
        <v>21</v>
      </c>
      <c r="B299" s="73">
        <v>45803</v>
      </c>
      <c r="C299" s="70" t="s">
        <v>178</v>
      </c>
      <c r="D299" s="74" t="s">
        <v>141</v>
      </c>
      <c r="E299" s="75">
        <v>0.28499999999999998</v>
      </c>
      <c r="F299" s="75" t="s">
        <v>352</v>
      </c>
      <c r="K299" s="72">
        <v>21</v>
      </c>
      <c r="L299" s="73">
        <v>45803</v>
      </c>
      <c r="M299" s="70" t="s">
        <v>179</v>
      </c>
      <c r="N299" s="74" t="s">
        <v>141</v>
      </c>
      <c r="O299" s="75">
        <v>0.72860000000000003</v>
      </c>
      <c r="P299" s="75" t="s">
        <v>352</v>
      </c>
      <c r="U299" s="72">
        <v>21</v>
      </c>
      <c r="V299" s="73">
        <v>45803</v>
      </c>
      <c r="W299" s="70" t="s">
        <v>180</v>
      </c>
      <c r="X299" s="74" t="s">
        <v>141</v>
      </c>
      <c r="Y299" s="75">
        <v>1.8323</v>
      </c>
      <c r="Z299" s="75" t="s">
        <v>352</v>
      </c>
    </row>
    <row r="300" spans="1:26" x14ac:dyDescent="0.3">
      <c r="A300" s="72">
        <v>22</v>
      </c>
      <c r="B300" s="73">
        <v>45810</v>
      </c>
      <c r="C300" s="70" t="s">
        <v>178</v>
      </c>
      <c r="D300" s="74" t="s">
        <v>141</v>
      </c>
      <c r="E300" s="75">
        <v>0.30609999999999998</v>
      </c>
      <c r="F300" s="75" t="s">
        <v>352</v>
      </c>
      <c r="K300" s="72">
        <v>22</v>
      </c>
      <c r="L300" s="73">
        <v>45810</v>
      </c>
      <c r="M300" s="70" t="s">
        <v>179</v>
      </c>
      <c r="N300" s="74" t="s">
        <v>141</v>
      </c>
      <c r="O300" s="75">
        <v>0.73240000000000005</v>
      </c>
      <c r="P300" s="75" t="s">
        <v>352</v>
      </c>
      <c r="U300" s="72">
        <v>22</v>
      </c>
      <c r="V300" s="73">
        <v>45810</v>
      </c>
      <c r="W300" s="70" t="s">
        <v>180</v>
      </c>
      <c r="X300" s="74" t="s">
        <v>141</v>
      </c>
      <c r="Y300" s="75">
        <v>1.948</v>
      </c>
      <c r="Z300" s="75" t="s">
        <v>352</v>
      </c>
    </row>
    <row r="301" spans="1:26" x14ac:dyDescent="0.3">
      <c r="A301" s="72">
        <v>23</v>
      </c>
      <c r="B301" s="73">
        <v>45817</v>
      </c>
      <c r="C301" s="70" t="s">
        <v>178</v>
      </c>
      <c r="D301" s="74" t="s">
        <v>141</v>
      </c>
      <c r="E301" s="75">
        <v>0.30199999999999999</v>
      </c>
      <c r="F301" s="75" t="s">
        <v>352</v>
      </c>
      <c r="K301" s="72">
        <v>23</v>
      </c>
      <c r="L301" s="73">
        <v>45817</v>
      </c>
      <c r="M301" s="70" t="s">
        <v>179</v>
      </c>
      <c r="N301" s="74" t="s">
        <v>141</v>
      </c>
      <c r="O301" s="75">
        <v>0.78159999999999996</v>
      </c>
      <c r="P301" s="75" t="s">
        <v>352</v>
      </c>
      <c r="U301" s="72">
        <v>23</v>
      </c>
      <c r="V301" s="73">
        <v>45817</v>
      </c>
      <c r="W301" s="70" t="s">
        <v>180</v>
      </c>
      <c r="X301" s="74" t="s">
        <v>141</v>
      </c>
      <c r="Y301" s="75">
        <v>1.7264999999999999</v>
      </c>
      <c r="Z301" s="75" t="s">
        <v>352</v>
      </c>
    </row>
    <row r="302" spans="1:26" x14ac:dyDescent="0.3">
      <c r="A302" s="72">
        <v>24</v>
      </c>
      <c r="B302" s="73">
        <v>45824</v>
      </c>
      <c r="C302" s="70" t="s">
        <v>178</v>
      </c>
      <c r="D302" s="74" t="s">
        <v>141</v>
      </c>
      <c r="E302" s="75">
        <v>0.29139999999999999</v>
      </c>
      <c r="F302" s="75" t="s">
        <v>352</v>
      </c>
      <c r="K302" s="72">
        <v>24</v>
      </c>
      <c r="L302" s="73">
        <v>45824</v>
      </c>
      <c r="M302" s="70" t="s">
        <v>179</v>
      </c>
      <c r="N302" s="74" t="s">
        <v>141</v>
      </c>
      <c r="O302" s="75">
        <v>0.74080000000000001</v>
      </c>
      <c r="P302" s="75" t="s">
        <v>352</v>
      </c>
      <c r="U302" s="72">
        <v>24</v>
      </c>
      <c r="V302" s="73">
        <v>45824</v>
      </c>
      <c r="W302" s="70" t="s">
        <v>180</v>
      </c>
      <c r="X302" s="74" t="s">
        <v>141</v>
      </c>
      <c r="Y302" s="75">
        <v>1.8864000000000001</v>
      </c>
      <c r="Z302" s="75" t="s">
        <v>352</v>
      </c>
    </row>
    <row r="303" spans="1:26" x14ac:dyDescent="0.3">
      <c r="A303" s="72">
        <v>25</v>
      </c>
      <c r="B303" s="73">
        <v>45831</v>
      </c>
      <c r="C303" s="70" t="s">
        <v>178</v>
      </c>
      <c r="D303" s="74" t="s">
        <v>141</v>
      </c>
      <c r="E303" s="75">
        <v>0.27800000000000002</v>
      </c>
      <c r="F303" s="75" t="s">
        <v>352</v>
      </c>
      <c r="K303" s="72">
        <v>25</v>
      </c>
      <c r="L303" s="73">
        <v>45831</v>
      </c>
      <c r="M303" s="70" t="s">
        <v>179</v>
      </c>
      <c r="N303" s="74" t="s">
        <v>141</v>
      </c>
      <c r="O303" s="75">
        <v>0.7611</v>
      </c>
      <c r="P303" s="75" t="s">
        <v>352</v>
      </c>
      <c r="U303" s="72">
        <v>25</v>
      </c>
      <c r="V303" s="73">
        <v>45831</v>
      </c>
      <c r="W303" s="70" t="s">
        <v>180</v>
      </c>
      <c r="X303" s="74" t="s">
        <v>141</v>
      </c>
      <c r="Y303" s="75">
        <v>1.7278</v>
      </c>
      <c r="Z303" s="75" t="s">
        <v>352</v>
      </c>
    </row>
    <row r="304" spans="1:26" x14ac:dyDescent="0.3">
      <c r="A304" s="72">
        <v>1</v>
      </c>
      <c r="B304" s="73">
        <v>45663</v>
      </c>
      <c r="C304" s="70" t="s">
        <v>178</v>
      </c>
      <c r="D304" s="74" t="s">
        <v>142</v>
      </c>
      <c r="E304" s="75">
        <v>0.151</v>
      </c>
      <c r="F304" s="75" t="s">
        <v>352</v>
      </c>
      <c r="K304" s="72">
        <v>1</v>
      </c>
      <c r="L304" s="73">
        <v>45663</v>
      </c>
      <c r="M304" s="70" t="s">
        <v>179</v>
      </c>
      <c r="N304" s="74" t="s">
        <v>142</v>
      </c>
      <c r="O304" s="75">
        <v>0.32119999999999999</v>
      </c>
      <c r="P304" s="75" t="s">
        <v>352</v>
      </c>
      <c r="U304" s="72">
        <v>1</v>
      </c>
      <c r="V304" s="73">
        <v>45663</v>
      </c>
      <c r="W304" s="70" t="s">
        <v>180</v>
      </c>
      <c r="X304" s="74" t="s">
        <v>142</v>
      </c>
      <c r="Y304" s="75">
        <v>0.78249999999999997</v>
      </c>
      <c r="Z304" s="75" t="s">
        <v>352</v>
      </c>
    </row>
    <row r="305" spans="1:26" x14ac:dyDescent="0.3">
      <c r="A305" s="72">
        <v>2</v>
      </c>
      <c r="B305" s="73">
        <v>45670</v>
      </c>
      <c r="C305" s="70" t="s">
        <v>178</v>
      </c>
      <c r="D305" s="74" t="s">
        <v>142</v>
      </c>
      <c r="E305" s="75">
        <v>0.15770000000000001</v>
      </c>
      <c r="F305" s="75" t="s">
        <v>352</v>
      </c>
      <c r="K305" s="72">
        <v>2</v>
      </c>
      <c r="L305" s="73">
        <v>45670</v>
      </c>
      <c r="M305" s="70" t="s">
        <v>179</v>
      </c>
      <c r="N305" s="74" t="s">
        <v>142</v>
      </c>
      <c r="O305" s="75">
        <v>0.31900000000000001</v>
      </c>
      <c r="P305" s="75" t="s">
        <v>352</v>
      </c>
      <c r="U305" s="72">
        <v>2</v>
      </c>
      <c r="V305" s="73">
        <v>45670</v>
      </c>
      <c r="W305" s="70" t="s">
        <v>180</v>
      </c>
      <c r="X305" s="74" t="s">
        <v>142</v>
      </c>
      <c r="Y305" s="75">
        <v>0.81589999999999996</v>
      </c>
      <c r="Z305" s="75" t="s">
        <v>352</v>
      </c>
    </row>
    <row r="306" spans="1:26" x14ac:dyDescent="0.3">
      <c r="A306" s="72">
        <v>3</v>
      </c>
      <c r="B306" s="73">
        <v>45677</v>
      </c>
      <c r="C306" s="70" t="s">
        <v>178</v>
      </c>
      <c r="D306" s="74" t="s">
        <v>142</v>
      </c>
      <c r="E306" s="75">
        <v>0.15609999999999999</v>
      </c>
      <c r="F306" s="75" t="s">
        <v>352</v>
      </c>
      <c r="K306" s="72">
        <v>3</v>
      </c>
      <c r="L306" s="73">
        <v>45677</v>
      </c>
      <c r="M306" s="70" t="s">
        <v>179</v>
      </c>
      <c r="N306" s="74" t="s">
        <v>142</v>
      </c>
      <c r="O306" s="75">
        <v>0.32350000000000001</v>
      </c>
      <c r="P306" s="75" t="s">
        <v>352</v>
      </c>
      <c r="U306" s="72">
        <v>3</v>
      </c>
      <c r="V306" s="73">
        <v>45677</v>
      </c>
      <c r="W306" s="70" t="s">
        <v>180</v>
      </c>
      <c r="X306" s="74" t="s">
        <v>142</v>
      </c>
      <c r="Y306" s="75">
        <v>0.7964</v>
      </c>
      <c r="Z306" s="75" t="s">
        <v>352</v>
      </c>
    </row>
    <row r="307" spans="1:26" x14ac:dyDescent="0.3">
      <c r="A307" s="72">
        <v>4</v>
      </c>
      <c r="B307" s="73">
        <v>45684</v>
      </c>
      <c r="C307" s="70" t="s">
        <v>178</v>
      </c>
      <c r="D307" s="74" t="s">
        <v>142</v>
      </c>
      <c r="E307" s="75">
        <v>0.14319999999999999</v>
      </c>
      <c r="F307" s="75" t="s">
        <v>352</v>
      </c>
      <c r="K307" s="72">
        <v>4</v>
      </c>
      <c r="L307" s="73">
        <v>45684</v>
      </c>
      <c r="M307" s="70" t="s">
        <v>179</v>
      </c>
      <c r="N307" s="74" t="s">
        <v>142</v>
      </c>
      <c r="O307" s="75">
        <v>0.33550000000000002</v>
      </c>
      <c r="P307" s="75" t="s">
        <v>352</v>
      </c>
      <c r="U307" s="72">
        <v>4</v>
      </c>
      <c r="V307" s="73">
        <v>45684</v>
      </c>
      <c r="W307" s="70" t="s">
        <v>180</v>
      </c>
      <c r="X307" s="74" t="s">
        <v>142</v>
      </c>
      <c r="Y307" s="75">
        <v>0.81100000000000005</v>
      </c>
      <c r="Z307" s="75" t="s">
        <v>352</v>
      </c>
    </row>
    <row r="308" spans="1:26" x14ac:dyDescent="0.3">
      <c r="A308" s="72">
        <v>5</v>
      </c>
      <c r="B308" s="73">
        <v>45691</v>
      </c>
      <c r="C308" s="70" t="s">
        <v>178</v>
      </c>
      <c r="D308" s="74" t="s">
        <v>142</v>
      </c>
      <c r="E308" s="75">
        <v>0.1487</v>
      </c>
      <c r="F308" s="75" t="s">
        <v>352</v>
      </c>
      <c r="K308" s="72">
        <v>5</v>
      </c>
      <c r="L308" s="73">
        <v>45691</v>
      </c>
      <c r="M308" s="70" t="s">
        <v>179</v>
      </c>
      <c r="N308" s="74" t="s">
        <v>142</v>
      </c>
      <c r="O308" s="75">
        <v>0.31309999999999999</v>
      </c>
      <c r="P308" s="75" t="s">
        <v>352</v>
      </c>
      <c r="U308" s="72">
        <v>5</v>
      </c>
      <c r="V308" s="73">
        <v>45691</v>
      </c>
      <c r="W308" s="70" t="s">
        <v>180</v>
      </c>
      <c r="X308" s="74" t="s">
        <v>142</v>
      </c>
      <c r="Y308" s="75">
        <v>0.81779999999999997</v>
      </c>
      <c r="Z308" s="75" t="s">
        <v>352</v>
      </c>
    </row>
    <row r="309" spans="1:26" x14ac:dyDescent="0.3">
      <c r="A309" s="72">
        <v>6</v>
      </c>
      <c r="B309" s="73">
        <v>45698</v>
      </c>
      <c r="C309" s="70" t="s">
        <v>178</v>
      </c>
      <c r="D309" s="74" t="s">
        <v>142</v>
      </c>
      <c r="E309" s="75">
        <v>0.1452</v>
      </c>
      <c r="F309" s="75" t="s">
        <v>352</v>
      </c>
      <c r="K309" s="72">
        <v>6</v>
      </c>
      <c r="L309" s="73">
        <v>45698</v>
      </c>
      <c r="M309" s="70" t="s">
        <v>179</v>
      </c>
      <c r="N309" s="74" t="s">
        <v>142</v>
      </c>
      <c r="O309" s="75">
        <v>0.33560000000000001</v>
      </c>
      <c r="P309" s="75" t="s">
        <v>352</v>
      </c>
      <c r="U309" s="72">
        <v>6</v>
      </c>
      <c r="V309" s="73">
        <v>45698</v>
      </c>
      <c r="W309" s="70" t="s">
        <v>180</v>
      </c>
      <c r="X309" s="74" t="s">
        <v>142</v>
      </c>
      <c r="Y309" s="75">
        <v>0.80449999999999999</v>
      </c>
      <c r="Z309" s="75" t="s">
        <v>352</v>
      </c>
    </row>
    <row r="310" spans="1:26" x14ac:dyDescent="0.3">
      <c r="A310" s="72">
        <v>7</v>
      </c>
      <c r="B310" s="73">
        <v>45705</v>
      </c>
      <c r="C310" s="70" t="s">
        <v>178</v>
      </c>
      <c r="D310" s="74" t="s">
        <v>142</v>
      </c>
      <c r="E310" s="75">
        <v>0.14510000000000001</v>
      </c>
      <c r="F310" s="75" t="s">
        <v>352</v>
      </c>
      <c r="K310" s="72">
        <v>7</v>
      </c>
      <c r="L310" s="73">
        <v>45705</v>
      </c>
      <c r="M310" s="70" t="s">
        <v>179</v>
      </c>
      <c r="N310" s="74" t="s">
        <v>142</v>
      </c>
      <c r="O310" s="75">
        <v>0.3196</v>
      </c>
      <c r="P310" s="75" t="s">
        <v>352</v>
      </c>
      <c r="U310" s="72">
        <v>7</v>
      </c>
      <c r="V310" s="73">
        <v>45705</v>
      </c>
      <c r="W310" s="70" t="s">
        <v>180</v>
      </c>
      <c r="X310" s="74" t="s">
        <v>142</v>
      </c>
      <c r="Y310" s="75">
        <v>0.84109999999999996</v>
      </c>
      <c r="Z310" s="75" t="s">
        <v>352</v>
      </c>
    </row>
    <row r="311" spans="1:26" x14ac:dyDescent="0.3">
      <c r="A311" s="72">
        <v>8</v>
      </c>
      <c r="B311" s="73">
        <v>45712</v>
      </c>
      <c r="C311" s="70" t="s">
        <v>178</v>
      </c>
      <c r="D311" s="74" t="s">
        <v>142</v>
      </c>
      <c r="E311" s="75">
        <v>0.15329999999999999</v>
      </c>
      <c r="F311" s="75" t="s">
        <v>352</v>
      </c>
      <c r="K311" s="72">
        <v>8</v>
      </c>
      <c r="L311" s="73">
        <v>45712</v>
      </c>
      <c r="M311" s="70" t="s">
        <v>179</v>
      </c>
      <c r="N311" s="74" t="s">
        <v>142</v>
      </c>
      <c r="O311" s="75">
        <v>0.31559999999999999</v>
      </c>
      <c r="P311" s="75" t="s">
        <v>352</v>
      </c>
      <c r="U311" s="72">
        <v>8</v>
      </c>
      <c r="V311" s="73">
        <v>45712</v>
      </c>
      <c r="W311" s="70" t="s">
        <v>180</v>
      </c>
      <c r="X311" s="74" t="s">
        <v>142</v>
      </c>
      <c r="Y311" s="75">
        <v>0.77380000000000004</v>
      </c>
      <c r="Z311" s="75" t="s">
        <v>352</v>
      </c>
    </row>
    <row r="312" spans="1:26" x14ac:dyDescent="0.3">
      <c r="A312" s="72">
        <v>9</v>
      </c>
      <c r="B312" s="73">
        <v>45719</v>
      </c>
      <c r="C312" s="70" t="s">
        <v>178</v>
      </c>
      <c r="D312" s="74" t="s">
        <v>142</v>
      </c>
      <c r="E312" s="75">
        <v>0.13689999999999999</v>
      </c>
      <c r="F312" s="75" t="s">
        <v>352</v>
      </c>
      <c r="K312" s="72">
        <v>9</v>
      </c>
      <c r="L312" s="73">
        <v>45719</v>
      </c>
      <c r="M312" s="70" t="s">
        <v>179</v>
      </c>
      <c r="N312" s="74" t="s">
        <v>142</v>
      </c>
      <c r="O312" s="75">
        <v>0.33610000000000001</v>
      </c>
      <c r="P312" s="75" t="s">
        <v>352</v>
      </c>
      <c r="U312" s="72">
        <v>9</v>
      </c>
      <c r="V312" s="73">
        <v>45719</v>
      </c>
      <c r="W312" s="70" t="s">
        <v>180</v>
      </c>
      <c r="X312" s="74" t="s">
        <v>142</v>
      </c>
      <c r="Y312" s="75">
        <v>0.80930000000000002</v>
      </c>
      <c r="Z312" s="75" t="s">
        <v>352</v>
      </c>
    </row>
    <row r="313" spans="1:26" x14ac:dyDescent="0.3">
      <c r="A313" s="72">
        <v>10</v>
      </c>
      <c r="B313" s="73">
        <v>45726</v>
      </c>
      <c r="C313" s="70" t="s">
        <v>178</v>
      </c>
      <c r="D313" s="74" t="s">
        <v>142</v>
      </c>
      <c r="E313" s="75">
        <v>0.15049999999999999</v>
      </c>
      <c r="F313" s="75" t="s">
        <v>352</v>
      </c>
      <c r="K313" s="72">
        <v>10</v>
      </c>
      <c r="L313" s="73">
        <v>45726</v>
      </c>
      <c r="M313" s="70" t="s">
        <v>179</v>
      </c>
      <c r="N313" s="74" t="s">
        <v>142</v>
      </c>
      <c r="O313" s="75">
        <v>0.32429999999999998</v>
      </c>
      <c r="P313" s="75" t="s">
        <v>352</v>
      </c>
      <c r="U313" s="72">
        <v>10</v>
      </c>
      <c r="V313" s="73">
        <v>45726</v>
      </c>
      <c r="W313" s="70" t="s">
        <v>180</v>
      </c>
      <c r="X313" s="74" t="s">
        <v>142</v>
      </c>
      <c r="Y313" s="75">
        <v>0.78480000000000005</v>
      </c>
      <c r="Z313" s="75" t="s">
        <v>352</v>
      </c>
    </row>
    <row r="314" spans="1:26" x14ac:dyDescent="0.3">
      <c r="A314" s="72">
        <v>11</v>
      </c>
      <c r="B314" s="73">
        <v>45733</v>
      </c>
      <c r="C314" s="70" t="s">
        <v>178</v>
      </c>
      <c r="D314" s="74" t="s">
        <v>142</v>
      </c>
      <c r="E314" s="75">
        <v>0.14419999999999999</v>
      </c>
      <c r="F314" s="75" t="s">
        <v>352</v>
      </c>
      <c r="K314" s="72">
        <v>11</v>
      </c>
      <c r="L314" s="73">
        <v>45733</v>
      </c>
      <c r="M314" s="70" t="s">
        <v>179</v>
      </c>
      <c r="N314" s="74" t="s">
        <v>142</v>
      </c>
      <c r="O314" s="75">
        <v>0.31380000000000002</v>
      </c>
      <c r="P314" s="75" t="s">
        <v>352</v>
      </c>
      <c r="U314" s="72">
        <v>11</v>
      </c>
      <c r="V314" s="73">
        <v>45733</v>
      </c>
      <c r="W314" s="70" t="s">
        <v>180</v>
      </c>
      <c r="X314" s="74" t="s">
        <v>142</v>
      </c>
      <c r="Y314" s="75">
        <v>0.83199999999999996</v>
      </c>
      <c r="Z314" s="75" t="s">
        <v>352</v>
      </c>
    </row>
    <row r="315" spans="1:26" x14ac:dyDescent="0.3">
      <c r="A315" s="72">
        <v>12</v>
      </c>
      <c r="B315" s="73">
        <v>45740</v>
      </c>
      <c r="C315" s="70" t="s">
        <v>178</v>
      </c>
      <c r="D315" s="74" t="s">
        <v>142</v>
      </c>
      <c r="E315" s="75">
        <v>0.1525</v>
      </c>
      <c r="F315" s="75" t="s">
        <v>352</v>
      </c>
      <c r="K315" s="72">
        <v>12</v>
      </c>
      <c r="L315" s="73">
        <v>45740</v>
      </c>
      <c r="M315" s="70" t="s">
        <v>179</v>
      </c>
      <c r="N315" s="74" t="s">
        <v>142</v>
      </c>
      <c r="O315" s="75">
        <v>0.32200000000000001</v>
      </c>
      <c r="P315" s="75" t="s">
        <v>352</v>
      </c>
      <c r="U315" s="72">
        <v>12</v>
      </c>
      <c r="V315" s="73">
        <v>45740</v>
      </c>
      <c r="W315" s="70" t="s">
        <v>180</v>
      </c>
      <c r="X315" s="74" t="s">
        <v>142</v>
      </c>
      <c r="Y315" s="75">
        <v>0.82869999999999999</v>
      </c>
      <c r="Z315" s="75" t="s">
        <v>352</v>
      </c>
    </row>
    <row r="316" spans="1:26" x14ac:dyDescent="0.3">
      <c r="A316" s="72">
        <v>13</v>
      </c>
      <c r="B316" s="73">
        <v>45747</v>
      </c>
      <c r="C316" s="70" t="s">
        <v>178</v>
      </c>
      <c r="D316" s="74" t="s">
        <v>142</v>
      </c>
      <c r="E316" s="75">
        <v>0.14560000000000001</v>
      </c>
      <c r="F316" s="75" t="s">
        <v>352</v>
      </c>
      <c r="K316" s="72">
        <v>13</v>
      </c>
      <c r="L316" s="73">
        <v>45747</v>
      </c>
      <c r="M316" s="70" t="s">
        <v>179</v>
      </c>
      <c r="N316" s="74" t="s">
        <v>142</v>
      </c>
      <c r="O316" s="75">
        <v>0.33329999999999999</v>
      </c>
      <c r="P316" s="75" t="s">
        <v>352</v>
      </c>
      <c r="U316" s="72">
        <v>13</v>
      </c>
      <c r="V316" s="73">
        <v>45747</v>
      </c>
      <c r="W316" s="70" t="s">
        <v>180</v>
      </c>
      <c r="X316" s="74" t="s">
        <v>142</v>
      </c>
      <c r="Y316" s="75">
        <v>0.74929999999999997</v>
      </c>
      <c r="Z316" s="75" t="s">
        <v>352</v>
      </c>
    </row>
    <row r="317" spans="1:26" x14ac:dyDescent="0.3">
      <c r="A317" s="72">
        <v>14</v>
      </c>
      <c r="B317" s="73">
        <v>45754</v>
      </c>
      <c r="C317" s="70" t="s">
        <v>178</v>
      </c>
      <c r="D317" s="74" t="s">
        <v>142</v>
      </c>
      <c r="E317" s="75">
        <v>0.1406</v>
      </c>
      <c r="F317" s="75" t="s">
        <v>352</v>
      </c>
      <c r="K317" s="72">
        <v>14</v>
      </c>
      <c r="L317" s="73">
        <v>45754</v>
      </c>
      <c r="M317" s="70" t="s">
        <v>179</v>
      </c>
      <c r="N317" s="74" t="s">
        <v>142</v>
      </c>
      <c r="O317" s="75">
        <v>0.33560000000000001</v>
      </c>
      <c r="P317" s="75" t="s">
        <v>352</v>
      </c>
      <c r="U317" s="72">
        <v>14</v>
      </c>
      <c r="V317" s="73">
        <v>45754</v>
      </c>
      <c r="W317" s="70" t="s">
        <v>180</v>
      </c>
      <c r="X317" s="74" t="s">
        <v>142</v>
      </c>
      <c r="Y317" s="75">
        <v>0.77070000000000005</v>
      </c>
      <c r="Z317" s="75" t="s">
        <v>352</v>
      </c>
    </row>
    <row r="318" spans="1:26" x14ac:dyDescent="0.3">
      <c r="A318" s="72">
        <v>15</v>
      </c>
      <c r="B318" s="73">
        <v>45761</v>
      </c>
      <c r="C318" s="70" t="s">
        <v>178</v>
      </c>
      <c r="D318" s="74" t="s">
        <v>142</v>
      </c>
      <c r="E318" s="75">
        <v>0.14610000000000001</v>
      </c>
      <c r="F318" s="75" t="s">
        <v>352</v>
      </c>
      <c r="K318" s="72">
        <v>15</v>
      </c>
      <c r="L318" s="73">
        <v>45761</v>
      </c>
      <c r="M318" s="70" t="s">
        <v>179</v>
      </c>
      <c r="N318" s="74" t="s">
        <v>142</v>
      </c>
      <c r="O318" s="75">
        <v>0.32150000000000001</v>
      </c>
      <c r="P318" s="75" t="s">
        <v>352</v>
      </c>
      <c r="U318" s="72">
        <v>15</v>
      </c>
      <c r="V318" s="73">
        <v>45761</v>
      </c>
      <c r="W318" s="70" t="s">
        <v>180</v>
      </c>
      <c r="X318" s="74" t="s">
        <v>142</v>
      </c>
      <c r="Y318" s="75">
        <v>0.80620000000000003</v>
      </c>
      <c r="Z318" s="75" t="s">
        <v>352</v>
      </c>
    </row>
    <row r="319" spans="1:26" x14ac:dyDescent="0.3">
      <c r="A319" s="72">
        <v>16</v>
      </c>
      <c r="B319" s="73">
        <v>45768</v>
      </c>
      <c r="C319" s="70" t="s">
        <v>178</v>
      </c>
      <c r="D319" s="74" t="s">
        <v>142</v>
      </c>
      <c r="E319" s="75">
        <v>0.1487</v>
      </c>
      <c r="F319" s="75" t="s">
        <v>352</v>
      </c>
      <c r="K319" s="72">
        <v>16</v>
      </c>
      <c r="L319" s="73">
        <v>45768</v>
      </c>
      <c r="M319" s="70" t="s">
        <v>179</v>
      </c>
      <c r="N319" s="74" t="s">
        <v>142</v>
      </c>
      <c r="O319" s="75">
        <v>0.32869999999999999</v>
      </c>
      <c r="P319" s="75" t="s">
        <v>352</v>
      </c>
      <c r="U319" s="72">
        <v>16</v>
      </c>
      <c r="V319" s="73">
        <v>45768</v>
      </c>
      <c r="W319" s="70" t="s">
        <v>180</v>
      </c>
      <c r="X319" s="74" t="s">
        <v>142</v>
      </c>
      <c r="Y319" s="75">
        <v>0.80889999999999995</v>
      </c>
      <c r="Z319" s="75" t="s">
        <v>352</v>
      </c>
    </row>
    <row r="320" spans="1:26" x14ac:dyDescent="0.3">
      <c r="A320" s="72">
        <v>17</v>
      </c>
      <c r="B320" s="73">
        <v>45775</v>
      </c>
      <c r="C320" s="70" t="s">
        <v>178</v>
      </c>
      <c r="D320" s="74" t="s">
        <v>142</v>
      </c>
      <c r="E320" s="75">
        <v>0.1447</v>
      </c>
      <c r="F320" s="75" t="s">
        <v>352</v>
      </c>
      <c r="K320" s="72">
        <v>17</v>
      </c>
      <c r="L320" s="73">
        <v>45775</v>
      </c>
      <c r="M320" s="70" t="s">
        <v>179</v>
      </c>
      <c r="N320" s="74" t="s">
        <v>142</v>
      </c>
      <c r="O320" s="75">
        <v>0.33139999999999997</v>
      </c>
      <c r="P320" s="75" t="s">
        <v>352</v>
      </c>
      <c r="U320" s="72">
        <v>17</v>
      </c>
      <c r="V320" s="73">
        <v>45775</v>
      </c>
      <c r="W320" s="70" t="s">
        <v>180</v>
      </c>
      <c r="X320" s="74" t="s">
        <v>142</v>
      </c>
      <c r="Y320" s="75">
        <v>0.80769999999999997</v>
      </c>
      <c r="Z320" s="75" t="s">
        <v>352</v>
      </c>
    </row>
    <row r="321" spans="1:26" x14ac:dyDescent="0.3">
      <c r="A321" s="72">
        <v>18</v>
      </c>
      <c r="B321" s="73">
        <v>45782</v>
      </c>
      <c r="C321" s="70" t="s">
        <v>178</v>
      </c>
      <c r="D321" s="74" t="s">
        <v>142</v>
      </c>
      <c r="E321" s="75">
        <v>0.14729999999999999</v>
      </c>
      <c r="F321" s="75" t="s">
        <v>352</v>
      </c>
      <c r="K321" s="72">
        <v>18</v>
      </c>
      <c r="L321" s="73">
        <v>45782</v>
      </c>
      <c r="M321" s="70" t="s">
        <v>179</v>
      </c>
      <c r="N321" s="74" t="s">
        <v>142</v>
      </c>
      <c r="O321" s="75">
        <v>0.3196</v>
      </c>
      <c r="P321" s="75" t="s">
        <v>352</v>
      </c>
      <c r="U321" s="72">
        <v>18</v>
      </c>
      <c r="V321" s="73">
        <v>45782</v>
      </c>
      <c r="W321" s="70" t="s">
        <v>180</v>
      </c>
      <c r="X321" s="74" t="s">
        <v>142</v>
      </c>
      <c r="Y321" s="75">
        <v>0.79020000000000001</v>
      </c>
      <c r="Z321" s="75" t="s">
        <v>352</v>
      </c>
    </row>
    <row r="322" spans="1:26" x14ac:dyDescent="0.3">
      <c r="A322" s="72">
        <v>19</v>
      </c>
      <c r="B322" s="73">
        <v>45789</v>
      </c>
      <c r="C322" s="70" t="s">
        <v>178</v>
      </c>
      <c r="D322" s="74" t="s">
        <v>142</v>
      </c>
      <c r="E322" s="75">
        <v>0.14149999999999999</v>
      </c>
      <c r="F322" s="75" t="s">
        <v>352</v>
      </c>
      <c r="K322" s="72">
        <v>19</v>
      </c>
      <c r="L322" s="73">
        <v>45789</v>
      </c>
      <c r="M322" s="70" t="s">
        <v>179</v>
      </c>
      <c r="N322" s="74" t="s">
        <v>142</v>
      </c>
      <c r="O322" s="75">
        <v>0.32829999999999998</v>
      </c>
      <c r="P322" s="75" t="s">
        <v>352</v>
      </c>
      <c r="U322" s="72">
        <v>19</v>
      </c>
      <c r="V322" s="73">
        <v>45789</v>
      </c>
      <c r="W322" s="70" t="s">
        <v>180</v>
      </c>
      <c r="X322" s="74" t="s">
        <v>142</v>
      </c>
      <c r="Y322" s="75">
        <v>0.80159999999999998</v>
      </c>
      <c r="Z322" s="75" t="s">
        <v>352</v>
      </c>
    </row>
    <row r="323" spans="1:26" x14ac:dyDescent="0.3">
      <c r="A323" s="72">
        <v>20</v>
      </c>
      <c r="B323" s="73">
        <v>45796</v>
      </c>
      <c r="C323" s="70" t="s">
        <v>178</v>
      </c>
      <c r="D323" s="74" t="s">
        <v>142</v>
      </c>
      <c r="E323" s="75">
        <v>0.1323</v>
      </c>
      <c r="F323" s="75" t="s">
        <v>352</v>
      </c>
      <c r="K323" s="72">
        <v>20</v>
      </c>
      <c r="L323" s="73">
        <v>45796</v>
      </c>
      <c r="M323" s="70" t="s">
        <v>179</v>
      </c>
      <c r="N323" s="74" t="s">
        <v>142</v>
      </c>
      <c r="O323" s="75">
        <v>0.32490000000000002</v>
      </c>
      <c r="P323" s="75" t="s">
        <v>352</v>
      </c>
      <c r="U323" s="72">
        <v>20</v>
      </c>
      <c r="V323" s="73">
        <v>45796</v>
      </c>
      <c r="W323" s="70" t="s">
        <v>180</v>
      </c>
      <c r="X323" s="74" t="s">
        <v>142</v>
      </c>
      <c r="Y323" s="75">
        <v>0.80589999999999995</v>
      </c>
      <c r="Z323" s="75" t="s">
        <v>352</v>
      </c>
    </row>
    <row r="324" spans="1:26" x14ac:dyDescent="0.3">
      <c r="A324" s="72">
        <v>21</v>
      </c>
      <c r="B324" s="73">
        <v>45803</v>
      </c>
      <c r="C324" s="70" t="s">
        <v>178</v>
      </c>
      <c r="D324" s="74" t="s">
        <v>142</v>
      </c>
      <c r="E324" s="75">
        <v>0.14960000000000001</v>
      </c>
      <c r="F324" s="75" t="s">
        <v>352</v>
      </c>
      <c r="K324" s="72">
        <v>21</v>
      </c>
      <c r="L324" s="73">
        <v>45803</v>
      </c>
      <c r="M324" s="70" t="s">
        <v>179</v>
      </c>
      <c r="N324" s="74" t="s">
        <v>142</v>
      </c>
      <c r="O324" s="75">
        <v>0.32050000000000001</v>
      </c>
      <c r="P324" s="75" t="s">
        <v>352</v>
      </c>
      <c r="U324" s="72">
        <v>21</v>
      </c>
      <c r="V324" s="73">
        <v>45803</v>
      </c>
      <c r="W324" s="70" t="s">
        <v>180</v>
      </c>
      <c r="X324" s="74" t="s">
        <v>142</v>
      </c>
      <c r="Y324" s="75">
        <v>0.79</v>
      </c>
      <c r="Z324" s="75" t="s">
        <v>352</v>
      </c>
    </row>
    <row r="325" spans="1:26" x14ac:dyDescent="0.3">
      <c r="A325" s="72">
        <v>22</v>
      </c>
      <c r="B325" s="73">
        <v>45810</v>
      </c>
      <c r="C325" s="70" t="s">
        <v>178</v>
      </c>
      <c r="D325" s="74" t="s">
        <v>142</v>
      </c>
      <c r="E325" s="75">
        <v>0.14849999999999999</v>
      </c>
      <c r="F325" s="75" t="s">
        <v>352</v>
      </c>
      <c r="K325" s="72">
        <v>22</v>
      </c>
      <c r="L325" s="73">
        <v>45810</v>
      </c>
      <c r="M325" s="70" t="s">
        <v>179</v>
      </c>
      <c r="N325" s="74" t="s">
        <v>142</v>
      </c>
      <c r="O325" s="75">
        <v>0.32090000000000002</v>
      </c>
      <c r="P325" s="75" t="s">
        <v>352</v>
      </c>
      <c r="U325" s="72">
        <v>22</v>
      </c>
      <c r="V325" s="73">
        <v>45810</v>
      </c>
      <c r="W325" s="70" t="s">
        <v>180</v>
      </c>
      <c r="X325" s="74" t="s">
        <v>142</v>
      </c>
      <c r="Y325" s="75">
        <v>0.81399999999999995</v>
      </c>
      <c r="Z325" s="75" t="s">
        <v>352</v>
      </c>
    </row>
    <row r="326" spans="1:26" x14ac:dyDescent="0.3">
      <c r="A326" s="72">
        <v>23</v>
      </c>
      <c r="B326" s="73">
        <v>45817</v>
      </c>
      <c r="C326" s="70" t="s">
        <v>178</v>
      </c>
      <c r="D326" s="74" t="s">
        <v>142</v>
      </c>
      <c r="E326" s="75">
        <v>0.14530000000000001</v>
      </c>
      <c r="F326" s="75" t="s">
        <v>352</v>
      </c>
      <c r="K326" s="72">
        <v>23</v>
      </c>
      <c r="L326" s="73">
        <v>45817</v>
      </c>
      <c r="M326" s="70" t="s">
        <v>179</v>
      </c>
      <c r="N326" s="74" t="s">
        <v>142</v>
      </c>
      <c r="O326" s="75">
        <v>0.32579999999999998</v>
      </c>
      <c r="P326" s="75" t="s">
        <v>352</v>
      </c>
      <c r="U326" s="72">
        <v>23</v>
      </c>
      <c r="V326" s="73">
        <v>45817</v>
      </c>
      <c r="W326" s="70" t="s">
        <v>180</v>
      </c>
      <c r="X326" s="74" t="s">
        <v>142</v>
      </c>
      <c r="Y326" s="75">
        <v>0.74260000000000004</v>
      </c>
      <c r="Z326" s="75" t="s">
        <v>352</v>
      </c>
    </row>
    <row r="327" spans="1:26" x14ac:dyDescent="0.3">
      <c r="A327" s="72">
        <v>24</v>
      </c>
      <c r="B327" s="73">
        <v>45824</v>
      </c>
      <c r="C327" s="70" t="s">
        <v>178</v>
      </c>
      <c r="D327" s="74" t="s">
        <v>142</v>
      </c>
      <c r="E327" s="75">
        <v>0.1449</v>
      </c>
      <c r="F327" s="75" t="s">
        <v>352</v>
      </c>
      <c r="K327" s="72">
        <v>24</v>
      </c>
      <c r="L327" s="73">
        <v>45824</v>
      </c>
      <c r="M327" s="70" t="s">
        <v>179</v>
      </c>
      <c r="N327" s="74" t="s">
        <v>142</v>
      </c>
      <c r="O327" s="75">
        <v>0.32540000000000002</v>
      </c>
      <c r="P327" s="75" t="s">
        <v>352</v>
      </c>
      <c r="U327" s="72">
        <v>24</v>
      </c>
      <c r="V327" s="73">
        <v>45824</v>
      </c>
      <c r="W327" s="70" t="s">
        <v>180</v>
      </c>
      <c r="X327" s="74" t="s">
        <v>142</v>
      </c>
      <c r="Y327" s="75">
        <v>0.80549999999999999</v>
      </c>
      <c r="Z327" s="75" t="s">
        <v>352</v>
      </c>
    </row>
    <row r="328" spans="1:26" x14ac:dyDescent="0.3">
      <c r="A328" s="72">
        <v>25</v>
      </c>
      <c r="B328" s="73">
        <v>45831</v>
      </c>
      <c r="C328" s="70" t="s">
        <v>178</v>
      </c>
      <c r="D328" s="74" t="s">
        <v>142</v>
      </c>
      <c r="E328" s="75">
        <v>0.15040000000000001</v>
      </c>
      <c r="F328" s="75" t="s">
        <v>352</v>
      </c>
      <c r="K328" s="72">
        <v>25</v>
      </c>
      <c r="L328" s="73">
        <v>45831</v>
      </c>
      <c r="M328" s="70" t="s">
        <v>179</v>
      </c>
      <c r="N328" s="74" t="s">
        <v>142</v>
      </c>
      <c r="O328" s="75">
        <v>0.32019999999999998</v>
      </c>
      <c r="P328" s="75" t="s">
        <v>352</v>
      </c>
      <c r="U328" s="72">
        <v>25</v>
      </c>
      <c r="V328" s="73">
        <v>45831</v>
      </c>
      <c r="W328" s="70" t="s">
        <v>180</v>
      </c>
      <c r="X328" s="74" t="s">
        <v>142</v>
      </c>
      <c r="Y328" s="75">
        <v>0.76929999999999998</v>
      </c>
      <c r="Z328" s="75" t="s">
        <v>352</v>
      </c>
    </row>
    <row r="329" spans="1:26" x14ac:dyDescent="0.3">
      <c r="A329" s="72">
        <v>1</v>
      </c>
      <c r="B329" s="73">
        <v>45663</v>
      </c>
      <c r="C329" s="70" t="s">
        <v>178</v>
      </c>
      <c r="D329" s="74" t="s">
        <v>144</v>
      </c>
      <c r="E329" s="75">
        <v>10.6241</v>
      </c>
      <c r="F329" s="75" t="s">
        <v>352</v>
      </c>
      <c r="K329" s="72">
        <v>1</v>
      </c>
      <c r="L329" s="73">
        <v>45663</v>
      </c>
      <c r="M329" s="70" t="s">
        <v>179</v>
      </c>
      <c r="N329" s="74" t="s">
        <v>144</v>
      </c>
      <c r="O329" s="75">
        <v>11.168200000000001</v>
      </c>
      <c r="P329" s="75" t="s">
        <v>352</v>
      </c>
      <c r="U329" s="72">
        <v>1</v>
      </c>
      <c r="V329" s="73">
        <v>45663</v>
      </c>
      <c r="W329" s="70" t="s">
        <v>180</v>
      </c>
      <c r="X329" s="74" t="s">
        <v>144</v>
      </c>
      <c r="Y329" s="75">
        <v>11.5524</v>
      </c>
      <c r="Z329" s="75" t="s">
        <v>352</v>
      </c>
    </row>
    <row r="330" spans="1:26" x14ac:dyDescent="0.3">
      <c r="A330" s="72">
        <v>2</v>
      </c>
      <c r="B330" s="73">
        <v>45670</v>
      </c>
      <c r="C330" s="70" t="s">
        <v>178</v>
      </c>
      <c r="D330" s="74" t="s">
        <v>144</v>
      </c>
      <c r="E330" s="75">
        <v>10.209899999999999</v>
      </c>
      <c r="F330" s="75" t="s">
        <v>352</v>
      </c>
      <c r="K330" s="72">
        <v>2</v>
      </c>
      <c r="L330" s="73">
        <v>45670</v>
      </c>
      <c r="M330" s="70" t="s">
        <v>179</v>
      </c>
      <c r="N330" s="74" t="s">
        <v>144</v>
      </c>
      <c r="O330" s="75">
        <v>11.178900000000001</v>
      </c>
      <c r="P330" s="75" t="s">
        <v>352</v>
      </c>
      <c r="U330" s="72">
        <v>2</v>
      </c>
      <c r="V330" s="73">
        <v>45670</v>
      </c>
      <c r="W330" s="70" t="s">
        <v>180</v>
      </c>
      <c r="X330" s="74" t="s">
        <v>144</v>
      </c>
      <c r="Y330" s="75">
        <v>12.407999999999999</v>
      </c>
      <c r="Z330" s="75" t="s">
        <v>352</v>
      </c>
    </row>
    <row r="331" spans="1:26" x14ac:dyDescent="0.3">
      <c r="A331" s="72">
        <v>3</v>
      </c>
      <c r="B331" s="73">
        <v>45677</v>
      </c>
      <c r="C331" s="70" t="s">
        <v>178</v>
      </c>
      <c r="D331" s="74" t="s">
        <v>144</v>
      </c>
      <c r="E331" s="75">
        <v>9.9795999999999996</v>
      </c>
      <c r="F331" s="75" t="s">
        <v>352</v>
      </c>
      <c r="K331" s="72">
        <v>3</v>
      </c>
      <c r="L331" s="73">
        <v>45677</v>
      </c>
      <c r="M331" s="70" t="s">
        <v>179</v>
      </c>
      <c r="N331" s="74" t="s">
        <v>144</v>
      </c>
      <c r="O331" s="75">
        <v>10.915100000000001</v>
      </c>
      <c r="P331" s="75" t="s">
        <v>352</v>
      </c>
      <c r="U331" s="72">
        <v>3</v>
      </c>
      <c r="V331" s="73">
        <v>45677</v>
      </c>
      <c r="W331" s="70" t="s">
        <v>180</v>
      </c>
      <c r="X331" s="74" t="s">
        <v>144</v>
      </c>
      <c r="Y331" s="75">
        <v>11.522399999999999</v>
      </c>
      <c r="Z331" s="75" t="s">
        <v>352</v>
      </c>
    </row>
    <row r="332" spans="1:26" x14ac:dyDescent="0.3">
      <c r="A332" s="72">
        <v>4</v>
      </c>
      <c r="B332" s="73">
        <v>45684</v>
      </c>
      <c r="C332" s="70" t="s">
        <v>178</v>
      </c>
      <c r="D332" s="74" t="s">
        <v>144</v>
      </c>
      <c r="E332" s="75">
        <v>10.4201</v>
      </c>
      <c r="F332" s="75" t="s">
        <v>352</v>
      </c>
      <c r="K332" s="72">
        <v>4</v>
      </c>
      <c r="L332" s="73">
        <v>45684</v>
      </c>
      <c r="M332" s="70" t="s">
        <v>179</v>
      </c>
      <c r="N332" s="74" t="s">
        <v>144</v>
      </c>
      <c r="O332" s="75">
        <v>11.7079</v>
      </c>
      <c r="P332" s="75" t="s">
        <v>352</v>
      </c>
      <c r="U332" s="72">
        <v>4</v>
      </c>
      <c r="V332" s="73">
        <v>45684</v>
      </c>
      <c r="W332" s="70" t="s">
        <v>180</v>
      </c>
      <c r="X332" s="74" t="s">
        <v>144</v>
      </c>
      <c r="Y332" s="75">
        <v>12.0938</v>
      </c>
      <c r="Z332" s="75" t="s">
        <v>352</v>
      </c>
    </row>
    <row r="333" spans="1:26" x14ac:dyDescent="0.3">
      <c r="A333" s="72">
        <v>5</v>
      </c>
      <c r="B333" s="73">
        <v>45691</v>
      </c>
      <c r="C333" s="70" t="s">
        <v>178</v>
      </c>
      <c r="D333" s="74" t="s">
        <v>144</v>
      </c>
      <c r="E333" s="75">
        <v>9.9718</v>
      </c>
      <c r="F333" s="75" t="s">
        <v>352</v>
      </c>
      <c r="K333" s="72">
        <v>5</v>
      </c>
      <c r="L333" s="73">
        <v>45691</v>
      </c>
      <c r="M333" s="70" t="s">
        <v>179</v>
      </c>
      <c r="N333" s="74" t="s">
        <v>144</v>
      </c>
      <c r="O333" s="75">
        <v>11.1722</v>
      </c>
      <c r="P333" s="75" t="s">
        <v>352</v>
      </c>
      <c r="U333" s="72">
        <v>5</v>
      </c>
      <c r="V333" s="73">
        <v>45691</v>
      </c>
      <c r="W333" s="70" t="s">
        <v>180</v>
      </c>
      <c r="X333" s="74" t="s">
        <v>144</v>
      </c>
      <c r="Y333" s="75">
        <v>11.417</v>
      </c>
      <c r="Z333" s="75" t="s">
        <v>352</v>
      </c>
    </row>
    <row r="334" spans="1:26" x14ac:dyDescent="0.3">
      <c r="A334" s="72">
        <v>6</v>
      </c>
      <c r="B334" s="73">
        <v>45698</v>
      </c>
      <c r="C334" s="70" t="s">
        <v>178</v>
      </c>
      <c r="D334" s="74" t="s">
        <v>144</v>
      </c>
      <c r="E334" s="75">
        <v>9.9712999999999994</v>
      </c>
      <c r="F334" s="75" t="s">
        <v>352</v>
      </c>
      <c r="K334" s="72">
        <v>6</v>
      </c>
      <c r="L334" s="73">
        <v>45698</v>
      </c>
      <c r="M334" s="70" t="s">
        <v>179</v>
      </c>
      <c r="N334" s="74" t="s">
        <v>144</v>
      </c>
      <c r="O334" s="75">
        <v>11.6287</v>
      </c>
      <c r="P334" s="75" t="s">
        <v>352</v>
      </c>
      <c r="U334" s="72">
        <v>6</v>
      </c>
      <c r="V334" s="73">
        <v>45698</v>
      </c>
      <c r="W334" s="70" t="s">
        <v>180</v>
      </c>
      <c r="X334" s="74" t="s">
        <v>144</v>
      </c>
      <c r="Y334" s="75">
        <v>11.975899999999999</v>
      </c>
      <c r="Z334" s="75" t="s">
        <v>352</v>
      </c>
    </row>
    <row r="335" spans="1:26" x14ac:dyDescent="0.3">
      <c r="A335" s="72">
        <v>7</v>
      </c>
      <c r="B335" s="73">
        <v>45705</v>
      </c>
      <c r="C335" s="70" t="s">
        <v>178</v>
      </c>
      <c r="D335" s="74" t="s">
        <v>144</v>
      </c>
      <c r="E335" s="75">
        <v>9.7430000000000003</v>
      </c>
      <c r="F335" s="75" t="s">
        <v>352</v>
      </c>
      <c r="K335" s="72">
        <v>7</v>
      </c>
      <c r="L335" s="73">
        <v>45705</v>
      </c>
      <c r="M335" s="70" t="s">
        <v>179</v>
      </c>
      <c r="N335" s="74" t="s">
        <v>144</v>
      </c>
      <c r="O335" s="75">
        <v>11.363200000000001</v>
      </c>
      <c r="P335" s="75" t="s">
        <v>352</v>
      </c>
      <c r="U335" s="72">
        <v>7</v>
      </c>
      <c r="V335" s="73">
        <v>45705</v>
      </c>
      <c r="W335" s="70" t="s">
        <v>180</v>
      </c>
      <c r="X335" s="74" t="s">
        <v>144</v>
      </c>
      <c r="Y335" s="75">
        <v>11.7689</v>
      </c>
      <c r="Z335" s="75" t="s">
        <v>352</v>
      </c>
    </row>
    <row r="336" spans="1:26" x14ac:dyDescent="0.3">
      <c r="A336" s="72">
        <v>8</v>
      </c>
      <c r="B336" s="73">
        <v>45712</v>
      </c>
      <c r="C336" s="70" t="s">
        <v>178</v>
      </c>
      <c r="D336" s="74" t="s">
        <v>144</v>
      </c>
      <c r="E336" s="75">
        <v>10.2803</v>
      </c>
      <c r="F336" s="75" t="s">
        <v>352</v>
      </c>
      <c r="K336" s="72">
        <v>8</v>
      </c>
      <c r="L336" s="73">
        <v>45712</v>
      </c>
      <c r="M336" s="70" t="s">
        <v>179</v>
      </c>
      <c r="N336" s="74" t="s">
        <v>144</v>
      </c>
      <c r="O336" s="75">
        <v>10.8367</v>
      </c>
      <c r="P336" s="75" t="s">
        <v>352</v>
      </c>
      <c r="U336" s="72">
        <v>8</v>
      </c>
      <c r="V336" s="73">
        <v>45712</v>
      </c>
      <c r="W336" s="70" t="s">
        <v>180</v>
      </c>
      <c r="X336" s="74" t="s">
        <v>144</v>
      </c>
      <c r="Y336" s="75">
        <v>11.8559</v>
      </c>
      <c r="Z336" s="75" t="s">
        <v>352</v>
      </c>
    </row>
    <row r="337" spans="1:26" x14ac:dyDescent="0.3">
      <c r="A337" s="72">
        <v>9</v>
      </c>
      <c r="B337" s="73">
        <v>45719</v>
      </c>
      <c r="C337" s="70" t="s">
        <v>178</v>
      </c>
      <c r="D337" s="74" t="s">
        <v>144</v>
      </c>
      <c r="E337" s="75">
        <v>10.462999999999999</v>
      </c>
      <c r="F337" s="75" t="s">
        <v>352</v>
      </c>
      <c r="K337" s="72">
        <v>9</v>
      </c>
      <c r="L337" s="73">
        <v>45719</v>
      </c>
      <c r="M337" s="70" t="s">
        <v>179</v>
      </c>
      <c r="N337" s="74" t="s">
        <v>144</v>
      </c>
      <c r="O337" s="75">
        <v>10.9276</v>
      </c>
      <c r="P337" s="75" t="s">
        <v>352</v>
      </c>
      <c r="U337" s="72">
        <v>9</v>
      </c>
      <c r="V337" s="73">
        <v>45719</v>
      </c>
      <c r="W337" s="70" t="s">
        <v>180</v>
      </c>
      <c r="X337" s="74" t="s">
        <v>144</v>
      </c>
      <c r="Y337" s="75">
        <v>12.0661</v>
      </c>
      <c r="Z337" s="75" t="s">
        <v>352</v>
      </c>
    </row>
    <row r="338" spans="1:26" x14ac:dyDescent="0.3">
      <c r="A338" s="72">
        <v>10</v>
      </c>
      <c r="B338" s="73">
        <v>45726</v>
      </c>
      <c r="C338" s="70" t="s">
        <v>178</v>
      </c>
      <c r="D338" s="74" t="s">
        <v>144</v>
      </c>
      <c r="E338" s="75">
        <v>10.6465</v>
      </c>
      <c r="F338" s="75" t="s">
        <v>352</v>
      </c>
      <c r="K338" s="72">
        <v>10</v>
      </c>
      <c r="L338" s="73">
        <v>45726</v>
      </c>
      <c r="M338" s="70" t="s">
        <v>179</v>
      </c>
      <c r="N338" s="74" t="s">
        <v>144</v>
      </c>
      <c r="O338" s="75">
        <v>11.193300000000001</v>
      </c>
      <c r="P338" s="75" t="s">
        <v>352</v>
      </c>
      <c r="U338" s="72">
        <v>10</v>
      </c>
      <c r="V338" s="73">
        <v>45726</v>
      </c>
      <c r="W338" s="70" t="s">
        <v>180</v>
      </c>
      <c r="X338" s="74" t="s">
        <v>144</v>
      </c>
      <c r="Y338" s="75">
        <v>12.4633</v>
      </c>
      <c r="Z338" s="75" t="s">
        <v>352</v>
      </c>
    </row>
    <row r="339" spans="1:26" x14ac:dyDescent="0.3">
      <c r="A339" s="72">
        <v>11</v>
      </c>
      <c r="B339" s="73">
        <v>45733</v>
      </c>
      <c r="C339" s="70" t="s">
        <v>178</v>
      </c>
      <c r="D339" s="74" t="s">
        <v>144</v>
      </c>
      <c r="E339" s="75">
        <v>10.2402</v>
      </c>
      <c r="F339" s="75" t="s">
        <v>352</v>
      </c>
      <c r="K339" s="72">
        <v>11</v>
      </c>
      <c r="L339" s="73">
        <v>45733</v>
      </c>
      <c r="M339" s="70" t="s">
        <v>179</v>
      </c>
      <c r="N339" s="74" t="s">
        <v>144</v>
      </c>
      <c r="O339" s="75">
        <v>11.0716</v>
      </c>
      <c r="P339" s="75" t="s">
        <v>352</v>
      </c>
      <c r="U339" s="72">
        <v>11</v>
      </c>
      <c r="V339" s="73">
        <v>45733</v>
      </c>
      <c r="W339" s="70" t="s">
        <v>180</v>
      </c>
      <c r="X339" s="74" t="s">
        <v>144</v>
      </c>
      <c r="Y339" s="75">
        <v>11.941000000000001</v>
      </c>
      <c r="Z339" s="75" t="s">
        <v>352</v>
      </c>
    </row>
    <row r="340" spans="1:26" x14ac:dyDescent="0.3">
      <c r="A340" s="72">
        <v>12</v>
      </c>
      <c r="B340" s="73">
        <v>45740</v>
      </c>
      <c r="C340" s="70" t="s">
        <v>178</v>
      </c>
      <c r="D340" s="74" t="s">
        <v>144</v>
      </c>
      <c r="E340" s="75">
        <v>10.655200000000001</v>
      </c>
      <c r="F340" s="75" t="s">
        <v>352</v>
      </c>
      <c r="K340" s="72">
        <v>12</v>
      </c>
      <c r="L340" s="73">
        <v>45740</v>
      </c>
      <c r="M340" s="70" t="s">
        <v>179</v>
      </c>
      <c r="N340" s="74" t="s">
        <v>144</v>
      </c>
      <c r="O340" s="75">
        <v>11.0678</v>
      </c>
      <c r="P340" s="75" t="s">
        <v>352</v>
      </c>
      <c r="U340" s="72">
        <v>12</v>
      </c>
      <c r="V340" s="73">
        <v>45740</v>
      </c>
      <c r="W340" s="70" t="s">
        <v>180</v>
      </c>
      <c r="X340" s="74" t="s">
        <v>144</v>
      </c>
      <c r="Y340" s="75">
        <v>11.9175</v>
      </c>
      <c r="Z340" s="75" t="s">
        <v>352</v>
      </c>
    </row>
    <row r="341" spans="1:26" x14ac:dyDescent="0.3">
      <c r="A341" s="72">
        <v>13</v>
      </c>
      <c r="B341" s="73">
        <v>45747</v>
      </c>
      <c r="C341" s="70" t="s">
        <v>178</v>
      </c>
      <c r="D341" s="74" t="s">
        <v>144</v>
      </c>
      <c r="E341" s="75">
        <v>10.2959</v>
      </c>
      <c r="F341" s="75" t="s">
        <v>352</v>
      </c>
      <c r="K341" s="72">
        <v>13</v>
      </c>
      <c r="L341" s="73">
        <v>45747</v>
      </c>
      <c r="M341" s="70" t="s">
        <v>179</v>
      </c>
      <c r="N341" s="74" t="s">
        <v>144</v>
      </c>
      <c r="O341" s="75">
        <v>10.9588</v>
      </c>
      <c r="P341" s="75" t="s">
        <v>352</v>
      </c>
      <c r="U341" s="72">
        <v>13</v>
      </c>
      <c r="V341" s="73">
        <v>45747</v>
      </c>
      <c r="W341" s="70" t="s">
        <v>180</v>
      </c>
      <c r="X341" s="74" t="s">
        <v>144</v>
      </c>
      <c r="Y341" s="75">
        <v>11.5503</v>
      </c>
      <c r="Z341" s="75" t="s">
        <v>352</v>
      </c>
    </row>
    <row r="342" spans="1:26" x14ac:dyDescent="0.3">
      <c r="A342" s="72">
        <v>14</v>
      </c>
      <c r="B342" s="73">
        <v>45754</v>
      </c>
      <c r="C342" s="70" t="s">
        <v>178</v>
      </c>
      <c r="D342" s="74" t="s">
        <v>144</v>
      </c>
      <c r="E342" s="75">
        <v>10.257099999999999</v>
      </c>
      <c r="F342" s="75" t="s">
        <v>352</v>
      </c>
      <c r="K342" s="72">
        <v>14</v>
      </c>
      <c r="L342" s="73">
        <v>45754</v>
      </c>
      <c r="M342" s="70" t="s">
        <v>179</v>
      </c>
      <c r="N342" s="74" t="s">
        <v>144</v>
      </c>
      <c r="O342" s="75">
        <v>10.464499999999999</v>
      </c>
      <c r="P342" s="75" t="s">
        <v>352</v>
      </c>
      <c r="U342" s="72">
        <v>14</v>
      </c>
      <c r="V342" s="73">
        <v>45754</v>
      </c>
      <c r="W342" s="70" t="s">
        <v>180</v>
      </c>
      <c r="X342" s="74" t="s">
        <v>144</v>
      </c>
      <c r="Y342" s="75">
        <v>12.071</v>
      </c>
      <c r="Z342" s="75" t="s">
        <v>352</v>
      </c>
    </row>
    <row r="343" spans="1:26" x14ac:dyDescent="0.3">
      <c r="A343" s="72">
        <v>15</v>
      </c>
      <c r="B343" s="73">
        <v>45761</v>
      </c>
      <c r="C343" s="70" t="s">
        <v>178</v>
      </c>
      <c r="D343" s="74" t="s">
        <v>144</v>
      </c>
      <c r="E343" s="75">
        <v>10.489699999999999</v>
      </c>
      <c r="F343" s="75" t="s">
        <v>352</v>
      </c>
      <c r="K343" s="72">
        <v>15</v>
      </c>
      <c r="L343" s="73">
        <v>45761</v>
      </c>
      <c r="M343" s="70" t="s">
        <v>179</v>
      </c>
      <c r="N343" s="74" t="s">
        <v>144</v>
      </c>
      <c r="O343" s="75">
        <v>10.9785</v>
      </c>
      <c r="P343" s="75" t="s">
        <v>352</v>
      </c>
      <c r="U343" s="72">
        <v>15</v>
      </c>
      <c r="V343" s="73">
        <v>45761</v>
      </c>
      <c r="W343" s="70" t="s">
        <v>180</v>
      </c>
      <c r="X343" s="74" t="s">
        <v>144</v>
      </c>
      <c r="Y343" s="75">
        <v>11.7935</v>
      </c>
      <c r="Z343" s="75" t="s">
        <v>352</v>
      </c>
    </row>
    <row r="344" spans="1:26" x14ac:dyDescent="0.3">
      <c r="A344" s="72">
        <v>16</v>
      </c>
      <c r="B344" s="73">
        <v>45768</v>
      </c>
      <c r="C344" s="70" t="s">
        <v>178</v>
      </c>
      <c r="D344" s="74" t="s">
        <v>144</v>
      </c>
      <c r="E344" s="75">
        <v>10.658799999999999</v>
      </c>
      <c r="F344" s="75" t="s">
        <v>352</v>
      </c>
      <c r="K344" s="72">
        <v>16</v>
      </c>
      <c r="L344" s="73">
        <v>45768</v>
      </c>
      <c r="M344" s="70" t="s">
        <v>179</v>
      </c>
      <c r="N344" s="74" t="s">
        <v>144</v>
      </c>
      <c r="O344" s="75">
        <v>10.3315</v>
      </c>
      <c r="P344" s="75" t="s">
        <v>352</v>
      </c>
      <c r="U344" s="72">
        <v>16</v>
      </c>
      <c r="V344" s="73">
        <v>45768</v>
      </c>
      <c r="W344" s="70" t="s">
        <v>180</v>
      </c>
      <c r="X344" s="74" t="s">
        <v>144</v>
      </c>
      <c r="Y344" s="75">
        <v>12.154199999999999</v>
      </c>
      <c r="Z344" s="75" t="s">
        <v>352</v>
      </c>
    </row>
    <row r="345" spans="1:26" x14ac:dyDescent="0.3">
      <c r="A345" s="72">
        <v>17</v>
      </c>
      <c r="B345" s="73">
        <v>45775</v>
      </c>
      <c r="C345" s="70" t="s">
        <v>178</v>
      </c>
      <c r="D345" s="74" t="s">
        <v>144</v>
      </c>
      <c r="E345" s="75">
        <v>10.1706</v>
      </c>
      <c r="F345" s="75" t="s">
        <v>352</v>
      </c>
      <c r="K345" s="72">
        <v>17</v>
      </c>
      <c r="L345" s="73">
        <v>45775</v>
      </c>
      <c r="M345" s="70" t="s">
        <v>179</v>
      </c>
      <c r="N345" s="74" t="s">
        <v>144</v>
      </c>
      <c r="O345" s="75">
        <v>11.172499999999999</v>
      </c>
      <c r="P345" s="75" t="s">
        <v>352</v>
      </c>
      <c r="U345" s="72">
        <v>17</v>
      </c>
      <c r="V345" s="73">
        <v>45775</v>
      </c>
      <c r="W345" s="70" t="s">
        <v>180</v>
      </c>
      <c r="X345" s="74" t="s">
        <v>144</v>
      </c>
      <c r="Y345" s="75">
        <v>11.8612</v>
      </c>
      <c r="Z345" s="75" t="s">
        <v>352</v>
      </c>
    </row>
    <row r="346" spans="1:26" x14ac:dyDescent="0.3">
      <c r="A346" s="72">
        <v>18</v>
      </c>
      <c r="B346" s="73">
        <v>45782</v>
      </c>
      <c r="C346" s="70" t="s">
        <v>178</v>
      </c>
      <c r="D346" s="74" t="s">
        <v>144</v>
      </c>
      <c r="E346" s="75">
        <v>10.204599999999999</v>
      </c>
      <c r="F346" s="75" t="s">
        <v>352</v>
      </c>
      <c r="K346" s="72">
        <v>18</v>
      </c>
      <c r="L346" s="73">
        <v>45782</v>
      </c>
      <c r="M346" s="70" t="s">
        <v>179</v>
      </c>
      <c r="N346" s="74" t="s">
        <v>144</v>
      </c>
      <c r="O346" s="75">
        <v>10.816000000000001</v>
      </c>
      <c r="P346" s="75" t="s">
        <v>352</v>
      </c>
      <c r="U346" s="72">
        <v>18</v>
      </c>
      <c r="V346" s="73">
        <v>45782</v>
      </c>
      <c r="W346" s="70" t="s">
        <v>180</v>
      </c>
      <c r="X346" s="74" t="s">
        <v>144</v>
      </c>
      <c r="Y346" s="75">
        <v>12.4582</v>
      </c>
      <c r="Z346" s="75" t="s">
        <v>352</v>
      </c>
    </row>
    <row r="347" spans="1:26" x14ac:dyDescent="0.3">
      <c r="A347" s="72">
        <v>19</v>
      </c>
      <c r="B347" s="73">
        <v>45789</v>
      </c>
      <c r="C347" s="70" t="s">
        <v>178</v>
      </c>
      <c r="D347" s="74" t="s">
        <v>144</v>
      </c>
      <c r="E347" s="75">
        <v>10.233599999999999</v>
      </c>
      <c r="F347" s="75" t="s">
        <v>352</v>
      </c>
      <c r="K347" s="72">
        <v>19</v>
      </c>
      <c r="L347" s="73">
        <v>45789</v>
      </c>
      <c r="M347" s="70" t="s">
        <v>179</v>
      </c>
      <c r="N347" s="74" t="s">
        <v>144</v>
      </c>
      <c r="O347" s="75">
        <v>10.8194</v>
      </c>
      <c r="P347" s="75" t="s">
        <v>352</v>
      </c>
      <c r="U347" s="72">
        <v>19</v>
      </c>
      <c r="V347" s="73">
        <v>45789</v>
      </c>
      <c r="W347" s="70" t="s">
        <v>180</v>
      </c>
      <c r="X347" s="74" t="s">
        <v>144</v>
      </c>
      <c r="Y347" s="75">
        <v>11.2126</v>
      </c>
      <c r="Z347" s="75" t="s">
        <v>352</v>
      </c>
    </row>
    <row r="348" spans="1:26" x14ac:dyDescent="0.3">
      <c r="A348" s="72">
        <v>20</v>
      </c>
      <c r="B348" s="73">
        <v>45796</v>
      </c>
      <c r="C348" s="70" t="s">
        <v>178</v>
      </c>
      <c r="D348" s="74" t="s">
        <v>144</v>
      </c>
      <c r="E348" s="75">
        <v>10.3185</v>
      </c>
      <c r="F348" s="75" t="s">
        <v>352</v>
      </c>
      <c r="K348" s="72">
        <v>20</v>
      </c>
      <c r="L348" s="73">
        <v>45796</v>
      </c>
      <c r="M348" s="70" t="s">
        <v>179</v>
      </c>
      <c r="N348" s="74" t="s">
        <v>144</v>
      </c>
      <c r="O348" s="75">
        <v>10.980499999999999</v>
      </c>
      <c r="P348" s="75" t="s">
        <v>352</v>
      </c>
      <c r="U348" s="72">
        <v>20</v>
      </c>
      <c r="V348" s="73">
        <v>45796</v>
      </c>
      <c r="W348" s="70" t="s">
        <v>180</v>
      </c>
      <c r="X348" s="74" t="s">
        <v>144</v>
      </c>
      <c r="Y348" s="75">
        <v>11.7766</v>
      </c>
      <c r="Z348" s="75" t="s">
        <v>352</v>
      </c>
    </row>
    <row r="349" spans="1:26" x14ac:dyDescent="0.3">
      <c r="A349" s="72">
        <v>21</v>
      </c>
      <c r="B349" s="73">
        <v>45803</v>
      </c>
      <c r="C349" s="70" t="s">
        <v>178</v>
      </c>
      <c r="D349" s="74" t="s">
        <v>144</v>
      </c>
      <c r="E349" s="75">
        <v>9.9756</v>
      </c>
      <c r="F349" s="75" t="s">
        <v>352</v>
      </c>
      <c r="K349" s="72">
        <v>21</v>
      </c>
      <c r="L349" s="73">
        <v>45803</v>
      </c>
      <c r="M349" s="70" t="s">
        <v>179</v>
      </c>
      <c r="N349" s="74" t="s">
        <v>144</v>
      </c>
      <c r="O349" s="75">
        <v>11.1403</v>
      </c>
      <c r="P349" s="75" t="s">
        <v>352</v>
      </c>
      <c r="U349" s="72">
        <v>21</v>
      </c>
      <c r="V349" s="73">
        <v>45803</v>
      </c>
      <c r="W349" s="70" t="s">
        <v>180</v>
      </c>
      <c r="X349" s="74" t="s">
        <v>144</v>
      </c>
      <c r="Y349" s="75">
        <v>12.1707</v>
      </c>
      <c r="Z349" s="75" t="s">
        <v>352</v>
      </c>
    </row>
    <row r="350" spans="1:26" x14ac:dyDescent="0.3">
      <c r="A350" s="72">
        <v>22</v>
      </c>
      <c r="B350" s="73">
        <v>45810</v>
      </c>
      <c r="C350" s="70" t="s">
        <v>178</v>
      </c>
      <c r="D350" s="74" t="s">
        <v>144</v>
      </c>
      <c r="E350" s="75">
        <v>10.648199999999999</v>
      </c>
      <c r="F350" s="75" t="s">
        <v>352</v>
      </c>
      <c r="K350" s="72">
        <v>22</v>
      </c>
      <c r="L350" s="73">
        <v>45810</v>
      </c>
      <c r="M350" s="70" t="s">
        <v>179</v>
      </c>
      <c r="N350" s="74" t="s">
        <v>144</v>
      </c>
      <c r="O350" s="75">
        <v>10.5867</v>
      </c>
      <c r="P350" s="75" t="s">
        <v>352</v>
      </c>
      <c r="U350" s="72">
        <v>22</v>
      </c>
      <c r="V350" s="73">
        <v>45810</v>
      </c>
      <c r="W350" s="70" t="s">
        <v>180</v>
      </c>
      <c r="X350" s="74" t="s">
        <v>144</v>
      </c>
      <c r="Y350" s="75">
        <v>11.758599999999999</v>
      </c>
      <c r="Z350" s="75" t="s">
        <v>352</v>
      </c>
    </row>
    <row r="351" spans="1:26" x14ac:dyDescent="0.3">
      <c r="A351" s="72">
        <v>23</v>
      </c>
      <c r="B351" s="73">
        <v>45817</v>
      </c>
      <c r="C351" s="70" t="s">
        <v>178</v>
      </c>
      <c r="D351" s="74" t="s">
        <v>144</v>
      </c>
      <c r="E351" s="75">
        <v>10.15</v>
      </c>
      <c r="F351" s="75" t="s">
        <v>352</v>
      </c>
      <c r="K351" s="72">
        <v>23</v>
      </c>
      <c r="L351" s="73">
        <v>45817</v>
      </c>
      <c r="M351" s="70" t="s">
        <v>179</v>
      </c>
      <c r="N351" s="74" t="s">
        <v>144</v>
      </c>
      <c r="O351" s="75">
        <v>10.4839</v>
      </c>
      <c r="P351" s="75" t="s">
        <v>352</v>
      </c>
      <c r="U351" s="72">
        <v>23</v>
      </c>
      <c r="V351" s="73">
        <v>45817</v>
      </c>
      <c r="W351" s="70" t="s">
        <v>180</v>
      </c>
      <c r="X351" s="74" t="s">
        <v>144</v>
      </c>
      <c r="Y351" s="75">
        <v>11.610900000000001</v>
      </c>
      <c r="Z351" s="75" t="s">
        <v>352</v>
      </c>
    </row>
    <row r="352" spans="1:26" x14ac:dyDescent="0.3">
      <c r="A352" s="72">
        <v>24</v>
      </c>
      <c r="B352" s="73">
        <v>45824</v>
      </c>
      <c r="C352" s="70" t="s">
        <v>178</v>
      </c>
      <c r="D352" s="74" t="s">
        <v>144</v>
      </c>
      <c r="E352" s="75">
        <v>10.451000000000001</v>
      </c>
      <c r="F352" s="75" t="s">
        <v>352</v>
      </c>
      <c r="K352" s="72">
        <v>24</v>
      </c>
      <c r="L352" s="73">
        <v>45824</v>
      </c>
      <c r="M352" s="70" t="s">
        <v>179</v>
      </c>
      <c r="N352" s="74" t="s">
        <v>144</v>
      </c>
      <c r="O352" s="75">
        <v>10.7056</v>
      </c>
      <c r="P352" s="75" t="s">
        <v>352</v>
      </c>
      <c r="U352" s="72">
        <v>24</v>
      </c>
      <c r="V352" s="73">
        <v>45824</v>
      </c>
      <c r="W352" s="70" t="s">
        <v>180</v>
      </c>
      <c r="X352" s="74" t="s">
        <v>144</v>
      </c>
      <c r="Y352" s="75">
        <v>11.786899999999999</v>
      </c>
      <c r="Z352" s="75" t="s">
        <v>352</v>
      </c>
    </row>
    <row r="353" spans="1:26" x14ac:dyDescent="0.3">
      <c r="A353" s="72">
        <v>25</v>
      </c>
      <c r="B353" s="73">
        <v>45831</v>
      </c>
      <c r="C353" s="70" t="s">
        <v>178</v>
      </c>
      <c r="D353" s="74" t="s">
        <v>144</v>
      </c>
      <c r="E353" s="75">
        <v>10.0017</v>
      </c>
      <c r="F353" s="75" t="s">
        <v>352</v>
      </c>
      <c r="K353" s="72">
        <v>25</v>
      </c>
      <c r="L353" s="73">
        <v>45831</v>
      </c>
      <c r="M353" s="70" t="s">
        <v>179</v>
      </c>
      <c r="N353" s="74" t="s">
        <v>144</v>
      </c>
      <c r="O353" s="75">
        <v>10.3887</v>
      </c>
      <c r="P353" s="75" t="s">
        <v>352</v>
      </c>
      <c r="U353" s="72">
        <v>25</v>
      </c>
      <c r="V353" s="73">
        <v>45831</v>
      </c>
      <c r="W353" s="70" t="s">
        <v>180</v>
      </c>
      <c r="X353" s="74" t="s">
        <v>144</v>
      </c>
      <c r="Y353" s="75">
        <v>11.414300000000001</v>
      </c>
      <c r="Z353" s="75" t="s">
        <v>352</v>
      </c>
    </row>
    <row r="354" spans="1:26" x14ac:dyDescent="0.3">
      <c r="A354" s="72">
        <v>1</v>
      </c>
      <c r="B354" s="73">
        <v>45663</v>
      </c>
      <c r="C354" s="70" t="s">
        <v>178</v>
      </c>
      <c r="D354" s="74" t="s">
        <v>145</v>
      </c>
      <c r="E354" s="75">
        <v>5.2445000000000004</v>
      </c>
      <c r="F354" s="75" t="s">
        <v>352</v>
      </c>
      <c r="K354" s="72">
        <v>1</v>
      </c>
      <c r="L354" s="73">
        <v>45663</v>
      </c>
      <c r="M354" s="70" t="s">
        <v>179</v>
      </c>
      <c r="N354" s="74" t="s">
        <v>145</v>
      </c>
      <c r="O354" s="75">
        <v>5.9568000000000003</v>
      </c>
      <c r="P354" s="75" t="s">
        <v>352</v>
      </c>
      <c r="U354" s="72">
        <v>1</v>
      </c>
      <c r="V354" s="73">
        <v>45663</v>
      </c>
      <c r="W354" s="70" t="s">
        <v>180</v>
      </c>
      <c r="X354" s="74" t="s">
        <v>145</v>
      </c>
      <c r="Y354" s="75">
        <v>6.6714000000000002</v>
      </c>
      <c r="Z354" s="75" t="s">
        <v>352</v>
      </c>
    </row>
    <row r="355" spans="1:26" x14ac:dyDescent="0.3">
      <c r="A355" s="72">
        <v>2</v>
      </c>
      <c r="B355" s="73">
        <v>45670</v>
      </c>
      <c r="C355" s="70" t="s">
        <v>178</v>
      </c>
      <c r="D355" s="74" t="s">
        <v>145</v>
      </c>
      <c r="E355" s="75">
        <v>6.5773000000000001</v>
      </c>
      <c r="F355" s="75" t="s">
        <v>352</v>
      </c>
      <c r="K355" s="72">
        <v>2</v>
      </c>
      <c r="L355" s="73">
        <v>45670</v>
      </c>
      <c r="M355" s="70" t="s">
        <v>179</v>
      </c>
      <c r="N355" s="74" t="s">
        <v>145</v>
      </c>
      <c r="O355" s="75">
        <v>6.1841999999999997</v>
      </c>
      <c r="P355" s="75" t="s">
        <v>352</v>
      </c>
      <c r="U355" s="72">
        <v>2</v>
      </c>
      <c r="V355" s="73">
        <v>45670</v>
      </c>
      <c r="W355" s="70" t="s">
        <v>180</v>
      </c>
      <c r="X355" s="74" t="s">
        <v>145</v>
      </c>
      <c r="Y355" s="75">
        <v>7.1430999999999996</v>
      </c>
      <c r="Z355" s="75" t="s">
        <v>352</v>
      </c>
    </row>
    <row r="356" spans="1:26" x14ac:dyDescent="0.3">
      <c r="A356" s="72">
        <v>3</v>
      </c>
      <c r="B356" s="73">
        <v>45677</v>
      </c>
      <c r="C356" s="70" t="s">
        <v>178</v>
      </c>
      <c r="D356" s="74" t="s">
        <v>145</v>
      </c>
      <c r="E356" s="75">
        <v>5.8335999999999997</v>
      </c>
      <c r="F356" s="75" t="s">
        <v>352</v>
      </c>
      <c r="K356" s="72">
        <v>3</v>
      </c>
      <c r="L356" s="73">
        <v>45677</v>
      </c>
      <c r="M356" s="70" t="s">
        <v>179</v>
      </c>
      <c r="N356" s="74" t="s">
        <v>145</v>
      </c>
      <c r="O356" s="75">
        <v>5.7820999999999998</v>
      </c>
      <c r="P356" s="75" t="s">
        <v>352</v>
      </c>
      <c r="U356" s="72">
        <v>3</v>
      </c>
      <c r="V356" s="73">
        <v>45677</v>
      </c>
      <c r="W356" s="70" t="s">
        <v>180</v>
      </c>
      <c r="X356" s="74" t="s">
        <v>145</v>
      </c>
      <c r="Y356" s="75">
        <v>6.7744</v>
      </c>
      <c r="Z356" s="75" t="s">
        <v>352</v>
      </c>
    </row>
    <row r="357" spans="1:26" x14ac:dyDescent="0.3">
      <c r="A357" s="72">
        <v>4</v>
      </c>
      <c r="B357" s="73">
        <v>45684</v>
      </c>
      <c r="C357" s="70" t="s">
        <v>178</v>
      </c>
      <c r="D357" s="74" t="s">
        <v>145</v>
      </c>
      <c r="E357" s="75">
        <v>4.5395000000000003</v>
      </c>
      <c r="F357" s="75" t="s">
        <v>352</v>
      </c>
      <c r="K357" s="72">
        <v>4</v>
      </c>
      <c r="L357" s="73">
        <v>45684</v>
      </c>
      <c r="M357" s="70" t="s">
        <v>179</v>
      </c>
      <c r="N357" s="74" t="s">
        <v>145</v>
      </c>
      <c r="O357" s="75">
        <v>6.6101999999999999</v>
      </c>
      <c r="P357" s="75" t="s">
        <v>352</v>
      </c>
      <c r="U357" s="72">
        <v>4</v>
      </c>
      <c r="V357" s="73">
        <v>45684</v>
      </c>
      <c r="W357" s="70" t="s">
        <v>180</v>
      </c>
      <c r="X357" s="74" t="s">
        <v>145</v>
      </c>
      <c r="Y357" s="75">
        <v>6.6540999999999997</v>
      </c>
      <c r="Z357" s="75" t="s">
        <v>352</v>
      </c>
    </row>
    <row r="358" spans="1:26" x14ac:dyDescent="0.3">
      <c r="A358" s="72">
        <v>5</v>
      </c>
      <c r="B358" s="73">
        <v>45691</v>
      </c>
      <c r="C358" s="70" t="s">
        <v>178</v>
      </c>
      <c r="D358" s="74" t="s">
        <v>145</v>
      </c>
      <c r="E358" s="75">
        <v>4.6748000000000003</v>
      </c>
      <c r="F358" s="75" t="s">
        <v>352</v>
      </c>
      <c r="K358" s="72">
        <v>5</v>
      </c>
      <c r="L358" s="73">
        <v>45691</v>
      </c>
      <c r="M358" s="70" t="s">
        <v>179</v>
      </c>
      <c r="N358" s="74" t="s">
        <v>145</v>
      </c>
      <c r="O358" s="75">
        <v>5.5654000000000003</v>
      </c>
      <c r="P358" s="75" t="s">
        <v>352</v>
      </c>
      <c r="U358" s="72">
        <v>5</v>
      </c>
      <c r="V358" s="73">
        <v>45691</v>
      </c>
      <c r="W358" s="70" t="s">
        <v>180</v>
      </c>
      <c r="X358" s="74" t="s">
        <v>145</v>
      </c>
      <c r="Y358" s="75">
        <v>6.5624000000000002</v>
      </c>
      <c r="Z358" s="75" t="s">
        <v>352</v>
      </c>
    </row>
    <row r="359" spans="1:26" x14ac:dyDescent="0.3">
      <c r="A359" s="72">
        <v>6</v>
      </c>
      <c r="B359" s="73">
        <v>45698</v>
      </c>
      <c r="C359" s="70" t="s">
        <v>178</v>
      </c>
      <c r="D359" s="74" t="s">
        <v>145</v>
      </c>
      <c r="E359" s="75">
        <v>4.9438000000000004</v>
      </c>
      <c r="F359" s="75" t="s">
        <v>352</v>
      </c>
      <c r="K359" s="72">
        <v>6</v>
      </c>
      <c r="L359" s="73">
        <v>45698</v>
      </c>
      <c r="M359" s="70" t="s">
        <v>179</v>
      </c>
      <c r="N359" s="74" t="s">
        <v>145</v>
      </c>
      <c r="O359" s="75">
        <v>5.9154</v>
      </c>
      <c r="P359" s="75" t="s">
        <v>352</v>
      </c>
      <c r="U359" s="72">
        <v>6</v>
      </c>
      <c r="V359" s="73">
        <v>45698</v>
      </c>
      <c r="W359" s="70" t="s">
        <v>180</v>
      </c>
      <c r="X359" s="74" t="s">
        <v>145</v>
      </c>
      <c r="Y359" s="75">
        <v>6.4912000000000001</v>
      </c>
      <c r="Z359" s="75" t="s">
        <v>352</v>
      </c>
    </row>
    <row r="360" spans="1:26" x14ac:dyDescent="0.3">
      <c r="A360" s="72">
        <v>7</v>
      </c>
      <c r="B360" s="73">
        <v>45705</v>
      </c>
      <c r="C360" s="70" t="s">
        <v>178</v>
      </c>
      <c r="D360" s="74" t="s">
        <v>145</v>
      </c>
      <c r="E360" s="75">
        <v>5.7529000000000003</v>
      </c>
      <c r="F360" s="75" t="s">
        <v>352</v>
      </c>
      <c r="K360" s="72">
        <v>7</v>
      </c>
      <c r="L360" s="73">
        <v>45705</v>
      </c>
      <c r="M360" s="70" t="s">
        <v>179</v>
      </c>
      <c r="N360" s="74" t="s">
        <v>145</v>
      </c>
      <c r="O360" s="75">
        <v>6.1410999999999998</v>
      </c>
      <c r="P360" s="75" t="s">
        <v>352</v>
      </c>
      <c r="U360" s="72">
        <v>7</v>
      </c>
      <c r="V360" s="73">
        <v>45705</v>
      </c>
      <c r="W360" s="70" t="s">
        <v>180</v>
      </c>
      <c r="X360" s="74" t="s">
        <v>145</v>
      </c>
      <c r="Y360" s="75">
        <v>6.5614999999999997</v>
      </c>
      <c r="Z360" s="75" t="s">
        <v>352</v>
      </c>
    </row>
    <row r="361" spans="1:26" x14ac:dyDescent="0.3">
      <c r="A361" s="72">
        <v>8</v>
      </c>
      <c r="B361" s="73">
        <v>45712</v>
      </c>
      <c r="C361" s="70" t="s">
        <v>178</v>
      </c>
      <c r="D361" s="74" t="s">
        <v>145</v>
      </c>
      <c r="E361" s="75">
        <v>4.7046000000000001</v>
      </c>
      <c r="F361" s="75" t="s">
        <v>352</v>
      </c>
      <c r="K361" s="72">
        <v>8</v>
      </c>
      <c r="L361" s="73">
        <v>45712</v>
      </c>
      <c r="M361" s="70" t="s">
        <v>179</v>
      </c>
      <c r="N361" s="74" t="s">
        <v>145</v>
      </c>
      <c r="O361" s="75">
        <v>6.1525999999999996</v>
      </c>
      <c r="P361" s="75" t="s">
        <v>352</v>
      </c>
      <c r="U361" s="72">
        <v>8</v>
      </c>
      <c r="V361" s="73">
        <v>45712</v>
      </c>
      <c r="W361" s="70" t="s">
        <v>180</v>
      </c>
      <c r="X361" s="74" t="s">
        <v>145</v>
      </c>
      <c r="Y361" s="75">
        <v>6.4892000000000003</v>
      </c>
      <c r="Z361" s="75" t="s">
        <v>352</v>
      </c>
    </row>
    <row r="362" spans="1:26" x14ac:dyDescent="0.3">
      <c r="A362" s="72">
        <v>9</v>
      </c>
      <c r="B362" s="73">
        <v>45719</v>
      </c>
      <c r="C362" s="70" t="s">
        <v>178</v>
      </c>
      <c r="D362" s="74" t="s">
        <v>145</v>
      </c>
      <c r="E362" s="75">
        <v>4.7798999999999996</v>
      </c>
      <c r="F362" s="75" t="s">
        <v>352</v>
      </c>
      <c r="K362" s="72">
        <v>9</v>
      </c>
      <c r="L362" s="73">
        <v>45719</v>
      </c>
      <c r="M362" s="70" t="s">
        <v>179</v>
      </c>
      <c r="N362" s="74" t="s">
        <v>145</v>
      </c>
      <c r="O362" s="75">
        <v>6.2586000000000004</v>
      </c>
      <c r="P362" s="75" t="s">
        <v>352</v>
      </c>
      <c r="U362" s="72">
        <v>9</v>
      </c>
      <c r="V362" s="73">
        <v>45719</v>
      </c>
      <c r="W362" s="70" t="s">
        <v>180</v>
      </c>
      <c r="X362" s="74" t="s">
        <v>145</v>
      </c>
      <c r="Y362" s="75">
        <v>6.7660999999999998</v>
      </c>
      <c r="Z362" s="75" t="s">
        <v>352</v>
      </c>
    </row>
    <row r="363" spans="1:26" x14ac:dyDescent="0.3">
      <c r="A363" s="72">
        <v>10</v>
      </c>
      <c r="B363" s="73">
        <v>45726</v>
      </c>
      <c r="C363" s="70" t="s">
        <v>178</v>
      </c>
      <c r="D363" s="74" t="s">
        <v>145</v>
      </c>
      <c r="E363" s="75">
        <v>5.6841999999999997</v>
      </c>
      <c r="F363" s="75" t="s">
        <v>352</v>
      </c>
      <c r="K363" s="72">
        <v>10</v>
      </c>
      <c r="L363" s="73">
        <v>45726</v>
      </c>
      <c r="M363" s="70" t="s">
        <v>179</v>
      </c>
      <c r="N363" s="74" t="s">
        <v>145</v>
      </c>
      <c r="O363" s="75">
        <v>6.2869999999999999</v>
      </c>
      <c r="P363" s="75" t="s">
        <v>352</v>
      </c>
      <c r="U363" s="72">
        <v>10</v>
      </c>
      <c r="V363" s="73">
        <v>45726</v>
      </c>
      <c r="W363" s="70" t="s">
        <v>180</v>
      </c>
      <c r="X363" s="74" t="s">
        <v>145</v>
      </c>
      <c r="Y363" s="75">
        <v>6.5217999999999998</v>
      </c>
      <c r="Z363" s="75" t="s">
        <v>352</v>
      </c>
    </row>
    <row r="364" spans="1:26" x14ac:dyDescent="0.3">
      <c r="A364" s="72">
        <v>11</v>
      </c>
      <c r="B364" s="73">
        <v>45733</v>
      </c>
      <c r="C364" s="70" t="s">
        <v>178</v>
      </c>
      <c r="D364" s="74" t="s">
        <v>145</v>
      </c>
      <c r="E364" s="75">
        <v>5.6726000000000001</v>
      </c>
      <c r="F364" s="75" t="s">
        <v>352</v>
      </c>
      <c r="K364" s="72">
        <v>11</v>
      </c>
      <c r="L364" s="73">
        <v>45733</v>
      </c>
      <c r="M364" s="70" t="s">
        <v>179</v>
      </c>
      <c r="N364" s="74" t="s">
        <v>145</v>
      </c>
      <c r="O364" s="75">
        <v>6.1562000000000001</v>
      </c>
      <c r="P364" s="75" t="s">
        <v>352</v>
      </c>
      <c r="U364" s="72">
        <v>11</v>
      </c>
      <c r="V364" s="73">
        <v>45733</v>
      </c>
      <c r="W364" s="70" t="s">
        <v>180</v>
      </c>
      <c r="X364" s="74" t="s">
        <v>145</v>
      </c>
      <c r="Y364" s="75">
        <v>6.5125999999999999</v>
      </c>
      <c r="Z364" s="75" t="s">
        <v>352</v>
      </c>
    </row>
    <row r="365" spans="1:26" x14ac:dyDescent="0.3">
      <c r="A365" s="72">
        <v>12</v>
      </c>
      <c r="B365" s="73">
        <v>45740</v>
      </c>
      <c r="C365" s="70" t="s">
        <v>178</v>
      </c>
      <c r="D365" s="74" t="s">
        <v>145</v>
      </c>
      <c r="E365" s="75">
        <v>4.9615999999999998</v>
      </c>
      <c r="F365" s="75" t="s">
        <v>352</v>
      </c>
      <c r="K365" s="72">
        <v>12</v>
      </c>
      <c r="L365" s="73">
        <v>45740</v>
      </c>
      <c r="M365" s="70" t="s">
        <v>179</v>
      </c>
      <c r="N365" s="74" t="s">
        <v>145</v>
      </c>
      <c r="O365" s="75">
        <v>6.5202</v>
      </c>
      <c r="P365" s="75" t="s">
        <v>352</v>
      </c>
      <c r="U365" s="72">
        <v>12</v>
      </c>
      <c r="V365" s="73">
        <v>45740</v>
      </c>
      <c r="W365" s="70" t="s">
        <v>180</v>
      </c>
      <c r="X365" s="74" t="s">
        <v>145</v>
      </c>
      <c r="Y365" s="75">
        <v>6.35</v>
      </c>
      <c r="Z365" s="75" t="s">
        <v>352</v>
      </c>
    </row>
    <row r="366" spans="1:26" x14ac:dyDescent="0.3">
      <c r="A366" s="72">
        <v>13</v>
      </c>
      <c r="B366" s="73">
        <v>45747</v>
      </c>
      <c r="C366" s="70" t="s">
        <v>178</v>
      </c>
      <c r="D366" s="74" t="s">
        <v>145</v>
      </c>
      <c r="E366" s="75">
        <v>4.5345000000000004</v>
      </c>
      <c r="F366" s="75" t="s">
        <v>352</v>
      </c>
      <c r="K366" s="72">
        <v>13</v>
      </c>
      <c r="L366" s="73">
        <v>45747</v>
      </c>
      <c r="M366" s="70" t="s">
        <v>179</v>
      </c>
      <c r="N366" s="74" t="s">
        <v>145</v>
      </c>
      <c r="O366" s="75">
        <v>5.6371000000000002</v>
      </c>
      <c r="P366" s="75" t="s">
        <v>352</v>
      </c>
      <c r="U366" s="72">
        <v>13</v>
      </c>
      <c r="V366" s="73">
        <v>45747</v>
      </c>
      <c r="W366" s="70" t="s">
        <v>180</v>
      </c>
      <c r="X366" s="74" t="s">
        <v>145</v>
      </c>
      <c r="Y366" s="75">
        <v>6.5963000000000003</v>
      </c>
      <c r="Z366" s="75" t="s">
        <v>352</v>
      </c>
    </row>
    <row r="367" spans="1:26" x14ac:dyDescent="0.3">
      <c r="A367" s="72">
        <v>14</v>
      </c>
      <c r="B367" s="73">
        <v>45754</v>
      </c>
      <c r="C367" s="70" t="s">
        <v>178</v>
      </c>
      <c r="D367" s="74" t="s">
        <v>145</v>
      </c>
      <c r="E367" s="75">
        <v>4.2865000000000002</v>
      </c>
      <c r="F367" s="75" t="s">
        <v>352</v>
      </c>
      <c r="K367" s="72">
        <v>14</v>
      </c>
      <c r="L367" s="73">
        <v>45754</v>
      </c>
      <c r="M367" s="70" t="s">
        <v>179</v>
      </c>
      <c r="N367" s="74" t="s">
        <v>145</v>
      </c>
      <c r="O367" s="75">
        <v>6.2137000000000002</v>
      </c>
      <c r="P367" s="75" t="s">
        <v>352</v>
      </c>
      <c r="U367" s="72">
        <v>14</v>
      </c>
      <c r="V367" s="73">
        <v>45754</v>
      </c>
      <c r="W367" s="70" t="s">
        <v>180</v>
      </c>
      <c r="X367" s="74" t="s">
        <v>145</v>
      </c>
      <c r="Y367" s="75">
        <v>6.4157999999999999</v>
      </c>
      <c r="Z367" s="75" t="s">
        <v>352</v>
      </c>
    </row>
    <row r="368" spans="1:26" x14ac:dyDescent="0.3">
      <c r="A368" s="72">
        <v>15</v>
      </c>
      <c r="B368" s="73">
        <v>45761</v>
      </c>
      <c r="C368" s="70" t="s">
        <v>178</v>
      </c>
      <c r="D368" s="74" t="s">
        <v>145</v>
      </c>
      <c r="E368" s="75">
        <v>4.7748999999999997</v>
      </c>
      <c r="F368" s="75" t="s">
        <v>352</v>
      </c>
      <c r="K368" s="72">
        <v>15</v>
      </c>
      <c r="L368" s="73">
        <v>45761</v>
      </c>
      <c r="M368" s="70" t="s">
        <v>179</v>
      </c>
      <c r="N368" s="74" t="s">
        <v>145</v>
      </c>
      <c r="O368" s="75">
        <v>6.0212000000000003</v>
      </c>
      <c r="P368" s="75" t="s">
        <v>352</v>
      </c>
      <c r="U368" s="72">
        <v>15</v>
      </c>
      <c r="V368" s="73">
        <v>45761</v>
      </c>
      <c r="W368" s="70" t="s">
        <v>180</v>
      </c>
      <c r="X368" s="74" t="s">
        <v>145</v>
      </c>
      <c r="Y368" s="75">
        <v>6.5682999999999998</v>
      </c>
      <c r="Z368" s="75" t="s">
        <v>352</v>
      </c>
    </row>
    <row r="369" spans="1:26" x14ac:dyDescent="0.3">
      <c r="A369" s="72">
        <v>16</v>
      </c>
      <c r="B369" s="73">
        <v>45768</v>
      </c>
      <c r="C369" s="70" t="s">
        <v>178</v>
      </c>
      <c r="D369" s="74" t="s">
        <v>145</v>
      </c>
      <c r="E369" s="75">
        <v>3.8956</v>
      </c>
      <c r="F369" s="75" t="s">
        <v>352</v>
      </c>
      <c r="K369" s="72">
        <v>16</v>
      </c>
      <c r="L369" s="73">
        <v>45768</v>
      </c>
      <c r="M369" s="70" t="s">
        <v>179</v>
      </c>
      <c r="N369" s="74" t="s">
        <v>145</v>
      </c>
      <c r="O369" s="75">
        <v>6.2495000000000003</v>
      </c>
      <c r="P369" s="75" t="s">
        <v>352</v>
      </c>
      <c r="U369" s="72">
        <v>16</v>
      </c>
      <c r="V369" s="73">
        <v>45768</v>
      </c>
      <c r="W369" s="70" t="s">
        <v>180</v>
      </c>
      <c r="X369" s="74" t="s">
        <v>145</v>
      </c>
      <c r="Y369" s="75">
        <v>6.8295000000000003</v>
      </c>
      <c r="Z369" s="75" t="s">
        <v>352</v>
      </c>
    </row>
    <row r="370" spans="1:26" x14ac:dyDescent="0.3">
      <c r="A370" s="72">
        <v>17</v>
      </c>
      <c r="B370" s="73">
        <v>45775</v>
      </c>
      <c r="C370" s="70" t="s">
        <v>178</v>
      </c>
      <c r="D370" s="74" t="s">
        <v>145</v>
      </c>
      <c r="E370" s="75">
        <v>5.6067</v>
      </c>
      <c r="F370" s="75" t="s">
        <v>352</v>
      </c>
      <c r="K370" s="72">
        <v>17</v>
      </c>
      <c r="L370" s="73">
        <v>45775</v>
      </c>
      <c r="M370" s="70" t="s">
        <v>179</v>
      </c>
      <c r="N370" s="74" t="s">
        <v>145</v>
      </c>
      <c r="O370" s="75">
        <v>6.2732999999999999</v>
      </c>
      <c r="P370" s="75" t="s">
        <v>352</v>
      </c>
      <c r="U370" s="72">
        <v>17</v>
      </c>
      <c r="V370" s="73">
        <v>45775</v>
      </c>
      <c r="W370" s="70" t="s">
        <v>180</v>
      </c>
      <c r="X370" s="74" t="s">
        <v>145</v>
      </c>
      <c r="Y370" s="75">
        <v>6.6851000000000003</v>
      </c>
      <c r="Z370" s="75" t="s">
        <v>352</v>
      </c>
    </row>
    <row r="371" spans="1:26" x14ac:dyDescent="0.3">
      <c r="A371" s="72">
        <v>18</v>
      </c>
      <c r="B371" s="73">
        <v>45782</v>
      </c>
      <c r="C371" s="70" t="s">
        <v>178</v>
      </c>
      <c r="D371" s="74" t="s">
        <v>145</v>
      </c>
      <c r="E371" s="75">
        <v>4.8144999999999998</v>
      </c>
      <c r="F371" s="75" t="s">
        <v>352</v>
      </c>
      <c r="K371" s="72">
        <v>18</v>
      </c>
      <c r="L371" s="73">
        <v>45782</v>
      </c>
      <c r="M371" s="70" t="s">
        <v>179</v>
      </c>
      <c r="N371" s="74" t="s">
        <v>145</v>
      </c>
      <c r="O371" s="75">
        <v>5.968</v>
      </c>
      <c r="P371" s="75" t="s">
        <v>352</v>
      </c>
      <c r="U371" s="72">
        <v>18</v>
      </c>
      <c r="V371" s="73">
        <v>45782</v>
      </c>
      <c r="W371" s="70" t="s">
        <v>180</v>
      </c>
      <c r="X371" s="74" t="s">
        <v>145</v>
      </c>
      <c r="Y371" s="75">
        <v>6.7148000000000003</v>
      </c>
      <c r="Z371" s="75" t="s">
        <v>352</v>
      </c>
    </row>
    <row r="372" spans="1:26" x14ac:dyDescent="0.3">
      <c r="A372" s="72">
        <v>19</v>
      </c>
      <c r="B372" s="73">
        <v>45789</v>
      </c>
      <c r="C372" s="70" t="s">
        <v>178</v>
      </c>
      <c r="D372" s="74" t="s">
        <v>145</v>
      </c>
      <c r="E372" s="75">
        <v>5.4524999999999997</v>
      </c>
      <c r="F372" s="75" t="s">
        <v>352</v>
      </c>
      <c r="K372" s="72">
        <v>19</v>
      </c>
      <c r="L372" s="73">
        <v>45789</v>
      </c>
      <c r="M372" s="70" t="s">
        <v>179</v>
      </c>
      <c r="N372" s="74" t="s">
        <v>145</v>
      </c>
      <c r="O372" s="75">
        <v>6.0410000000000004</v>
      </c>
      <c r="P372" s="75" t="s">
        <v>352</v>
      </c>
      <c r="U372" s="72">
        <v>19</v>
      </c>
      <c r="V372" s="73">
        <v>45789</v>
      </c>
      <c r="W372" s="70" t="s">
        <v>180</v>
      </c>
      <c r="X372" s="74" t="s">
        <v>145</v>
      </c>
      <c r="Y372" s="75">
        <v>6.6829999999999998</v>
      </c>
      <c r="Z372" s="75" t="s">
        <v>352</v>
      </c>
    </row>
    <row r="373" spans="1:26" x14ac:dyDescent="0.3">
      <c r="A373" s="72">
        <v>20</v>
      </c>
      <c r="B373" s="73">
        <v>45796</v>
      </c>
      <c r="C373" s="70" t="s">
        <v>178</v>
      </c>
      <c r="D373" s="74" t="s">
        <v>145</v>
      </c>
      <c r="E373" s="75">
        <v>6.2488999999999999</v>
      </c>
      <c r="F373" s="75" t="s">
        <v>352</v>
      </c>
      <c r="K373" s="72">
        <v>20</v>
      </c>
      <c r="L373" s="73">
        <v>45796</v>
      </c>
      <c r="M373" s="70" t="s">
        <v>179</v>
      </c>
      <c r="N373" s="74" t="s">
        <v>145</v>
      </c>
      <c r="O373" s="75">
        <v>6.4273999999999996</v>
      </c>
      <c r="P373" s="75" t="s">
        <v>352</v>
      </c>
      <c r="U373" s="72">
        <v>20</v>
      </c>
      <c r="V373" s="73">
        <v>45796</v>
      </c>
      <c r="W373" s="70" t="s">
        <v>180</v>
      </c>
      <c r="X373" s="74" t="s">
        <v>145</v>
      </c>
      <c r="Y373" s="75">
        <v>6.6195000000000004</v>
      </c>
      <c r="Z373" s="75" t="s">
        <v>352</v>
      </c>
    </row>
    <row r="374" spans="1:26" x14ac:dyDescent="0.3">
      <c r="A374" s="72">
        <v>21</v>
      </c>
      <c r="B374" s="73">
        <v>45803</v>
      </c>
      <c r="C374" s="70" t="s">
        <v>178</v>
      </c>
      <c r="D374" s="74" t="s">
        <v>145</v>
      </c>
      <c r="E374" s="75">
        <v>5.8497000000000003</v>
      </c>
      <c r="F374" s="75" t="s">
        <v>352</v>
      </c>
      <c r="K374" s="72">
        <v>21</v>
      </c>
      <c r="L374" s="73">
        <v>45803</v>
      </c>
      <c r="M374" s="70" t="s">
        <v>179</v>
      </c>
      <c r="N374" s="74" t="s">
        <v>145</v>
      </c>
      <c r="O374" s="75">
        <v>6.3079000000000001</v>
      </c>
      <c r="P374" s="75" t="s">
        <v>352</v>
      </c>
      <c r="U374" s="72">
        <v>21</v>
      </c>
      <c r="V374" s="73">
        <v>45803</v>
      </c>
      <c r="W374" s="70" t="s">
        <v>180</v>
      </c>
      <c r="X374" s="74" t="s">
        <v>145</v>
      </c>
      <c r="Y374" s="75">
        <v>6.5796999999999999</v>
      </c>
      <c r="Z374" s="75" t="s">
        <v>352</v>
      </c>
    </row>
    <row r="375" spans="1:26" x14ac:dyDescent="0.3">
      <c r="A375" s="72">
        <v>22</v>
      </c>
      <c r="B375" s="73">
        <v>45810</v>
      </c>
      <c r="C375" s="70" t="s">
        <v>178</v>
      </c>
      <c r="D375" s="74" t="s">
        <v>145</v>
      </c>
      <c r="E375" s="75">
        <v>4.5152999999999999</v>
      </c>
      <c r="F375" s="75" t="s">
        <v>352</v>
      </c>
      <c r="K375" s="72">
        <v>22</v>
      </c>
      <c r="L375" s="73">
        <v>45810</v>
      </c>
      <c r="M375" s="70" t="s">
        <v>179</v>
      </c>
      <c r="N375" s="74" t="s">
        <v>145</v>
      </c>
      <c r="O375" s="75">
        <v>6.0304000000000002</v>
      </c>
      <c r="P375" s="75" t="s">
        <v>352</v>
      </c>
      <c r="U375" s="72">
        <v>22</v>
      </c>
      <c r="V375" s="73">
        <v>45810</v>
      </c>
      <c r="W375" s="70" t="s">
        <v>180</v>
      </c>
      <c r="X375" s="74" t="s">
        <v>145</v>
      </c>
      <c r="Y375" s="75">
        <v>6.5411000000000001</v>
      </c>
      <c r="Z375" s="75" t="s">
        <v>352</v>
      </c>
    </row>
    <row r="376" spans="1:26" x14ac:dyDescent="0.3">
      <c r="A376" s="72">
        <v>23</v>
      </c>
      <c r="B376" s="73">
        <v>45817</v>
      </c>
      <c r="C376" s="70" t="s">
        <v>178</v>
      </c>
      <c r="D376" s="74" t="s">
        <v>145</v>
      </c>
      <c r="E376" s="75">
        <v>5.6753</v>
      </c>
      <c r="F376" s="75" t="s">
        <v>352</v>
      </c>
      <c r="K376" s="72">
        <v>23</v>
      </c>
      <c r="L376" s="73">
        <v>45817</v>
      </c>
      <c r="M376" s="70" t="s">
        <v>179</v>
      </c>
      <c r="N376" s="74" t="s">
        <v>145</v>
      </c>
      <c r="O376" s="75">
        <v>6.7637</v>
      </c>
      <c r="P376" s="75" t="s">
        <v>352</v>
      </c>
      <c r="U376" s="72">
        <v>23</v>
      </c>
      <c r="V376" s="73">
        <v>45817</v>
      </c>
      <c r="W376" s="70" t="s">
        <v>180</v>
      </c>
      <c r="X376" s="74" t="s">
        <v>145</v>
      </c>
      <c r="Y376" s="75">
        <v>6.7690999999999999</v>
      </c>
      <c r="Z376" s="75" t="s">
        <v>352</v>
      </c>
    </row>
    <row r="377" spans="1:26" x14ac:dyDescent="0.3">
      <c r="A377" s="72">
        <v>24</v>
      </c>
      <c r="B377" s="73">
        <v>45824</v>
      </c>
      <c r="C377" s="70" t="s">
        <v>178</v>
      </c>
      <c r="D377" s="74" t="s">
        <v>145</v>
      </c>
      <c r="E377" s="75">
        <v>5.8410000000000002</v>
      </c>
      <c r="F377" s="75" t="s">
        <v>352</v>
      </c>
      <c r="K377" s="72">
        <v>24</v>
      </c>
      <c r="L377" s="73">
        <v>45824</v>
      </c>
      <c r="M377" s="70" t="s">
        <v>179</v>
      </c>
      <c r="N377" s="74" t="s">
        <v>145</v>
      </c>
      <c r="O377" s="75">
        <v>6.8361999999999998</v>
      </c>
      <c r="P377" s="75" t="s">
        <v>352</v>
      </c>
      <c r="U377" s="72">
        <v>24</v>
      </c>
      <c r="V377" s="73">
        <v>45824</v>
      </c>
      <c r="W377" s="70" t="s">
        <v>180</v>
      </c>
      <c r="X377" s="74" t="s">
        <v>145</v>
      </c>
      <c r="Y377" s="75">
        <v>6.3752000000000004</v>
      </c>
      <c r="Z377" s="75" t="s">
        <v>352</v>
      </c>
    </row>
    <row r="378" spans="1:26" x14ac:dyDescent="0.3">
      <c r="A378" s="72">
        <v>25</v>
      </c>
      <c r="B378" s="73">
        <v>45831</v>
      </c>
      <c r="C378" s="70" t="s">
        <v>178</v>
      </c>
      <c r="D378" s="74" t="s">
        <v>145</v>
      </c>
      <c r="E378" s="75">
        <v>4.7477</v>
      </c>
      <c r="F378" s="75" t="s">
        <v>352</v>
      </c>
      <c r="K378" s="72">
        <v>25</v>
      </c>
      <c r="L378" s="73">
        <v>45831</v>
      </c>
      <c r="M378" s="70" t="s">
        <v>179</v>
      </c>
      <c r="N378" s="74" t="s">
        <v>145</v>
      </c>
      <c r="O378" s="75">
        <v>5.8196000000000003</v>
      </c>
      <c r="P378" s="75" t="s">
        <v>352</v>
      </c>
      <c r="U378" s="72">
        <v>25</v>
      </c>
      <c r="V378" s="73">
        <v>45831</v>
      </c>
      <c r="W378" s="70" t="s">
        <v>180</v>
      </c>
      <c r="X378" s="74" t="s">
        <v>145</v>
      </c>
      <c r="Y378" s="75">
        <v>6.8933999999999997</v>
      </c>
      <c r="Z378" s="75" t="s">
        <v>352</v>
      </c>
    </row>
    <row r="379" spans="1:26" x14ac:dyDescent="0.3">
      <c r="A379" s="72">
        <v>1</v>
      </c>
      <c r="B379" s="73">
        <v>45663</v>
      </c>
      <c r="C379" s="70" t="s">
        <v>178</v>
      </c>
      <c r="D379" s="74" t="s">
        <v>146</v>
      </c>
      <c r="E379" s="75">
        <v>0.14399999999999999</v>
      </c>
      <c r="F379" s="75" t="s">
        <v>352</v>
      </c>
      <c r="K379" s="72">
        <v>1</v>
      </c>
      <c r="L379" s="73">
        <v>45663</v>
      </c>
      <c r="M379" s="70" t="s">
        <v>179</v>
      </c>
      <c r="N379" s="74" t="s">
        <v>146</v>
      </c>
      <c r="O379" s="75">
        <v>0.41160000000000002</v>
      </c>
      <c r="P379" s="75" t="s">
        <v>352</v>
      </c>
      <c r="U379" s="72">
        <v>1</v>
      </c>
      <c r="V379" s="73">
        <v>45663</v>
      </c>
      <c r="W379" s="70" t="s">
        <v>180</v>
      </c>
      <c r="X379" s="74" t="s">
        <v>146</v>
      </c>
      <c r="Y379" s="75">
        <v>1.0515000000000001</v>
      </c>
      <c r="Z379" s="75" t="s">
        <v>352</v>
      </c>
    </row>
    <row r="380" spans="1:26" x14ac:dyDescent="0.3">
      <c r="A380" s="72">
        <v>2</v>
      </c>
      <c r="B380" s="73">
        <v>45670</v>
      </c>
      <c r="C380" s="70" t="s">
        <v>178</v>
      </c>
      <c r="D380" s="74" t="s">
        <v>146</v>
      </c>
      <c r="E380" s="75">
        <v>0.12089999999999999</v>
      </c>
      <c r="F380" s="75" t="s">
        <v>352</v>
      </c>
      <c r="K380" s="72">
        <v>2</v>
      </c>
      <c r="L380" s="73">
        <v>45670</v>
      </c>
      <c r="M380" s="70" t="s">
        <v>179</v>
      </c>
      <c r="N380" s="74" t="s">
        <v>146</v>
      </c>
      <c r="O380" s="75">
        <v>0.4037</v>
      </c>
      <c r="P380" s="75" t="s">
        <v>352</v>
      </c>
      <c r="U380" s="72">
        <v>2</v>
      </c>
      <c r="V380" s="73">
        <v>45670</v>
      </c>
      <c r="W380" s="70" t="s">
        <v>180</v>
      </c>
      <c r="X380" s="74" t="s">
        <v>146</v>
      </c>
      <c r="Y380" s="75">
        <v>1.1415999999999999</v>
      </c>
      <c r="Z380" s="75" t="s">
        <v>352</v>
      </c>
    </row>
    <row r="381" spans="1:26" x14ac:dyDescent="0.3">
      <c r="A381" s="72">
        <v>3</v>
      </c>
      <c r="B381" s="73">
        <v>45677</v>
      </c>
      <c r="C381" s="70" t="s">
        <v>178</v>
      </c>
      <c r="D381" s="74" t="s">
        <v>146</v>
      </c>
      <c r="E381" s="75">
        <v>0.1285</v>
      </c>
      <c r="F381" s="75" t="s">
        <v>352</v>
      </c>
      <c r="K381" s="72">
        <v>3</v>
      </c>
      <c r="L381" s="73">
        <v>45677</v>
      </c>
      <c r="M381" s="70" t="s">
        <v>179</v>
      </c>
      <c r="N381" s="74" t="s">
        <v>146</v>
      </c>
      <c r="O381" s="75">
        <v>0.42330000000000001</v>
      </c>
      <c r="P381" s="75" t="s">
        <v>352</v>
      </c>
      <c r="U381" s="72">
        <v>3</v>
      </c>
      <c r="V381" s="73">
        <v>45677</v>
      </c>
      <c r="W381" s="70" t="s">
        <v>180</v>
      </c>
      <c r="X381" s="74" t="s">
        <v>146</v>
      </c>
      <c r="Y381" s="75">
        <v>1.0177</v>
      </c>
      <c r="Z381" s="75" t="s">
        <v>352</v>
      </c>
    </row>
    <row r="382" spans="1:26" x14ac:dyDescent="0.3">
      <c r="A382" s="72">
        <v>4</v>
      </c>
      <c r="B382" s="73">
        <v>45684</v>
      </c>
      <c r="C382" s="70" t="s">
        <v>178</v>
      </c>
      <c r="D382" s="74" t="s">
        <v>146</v>
      </c>
      <c r="E382" s="75">
        <v>0.123</v>
      </c>
      <c r="F382" s="75" t="s">
        <v>352</v>
      </c>
      <c r="K382" s="72">
        <v>4</v>
      </c>
      <c r="L382" s="73">
        <v>45684</v>
      </c>
      <c r="M382" s="70" t="s">
        <v>179</v>
      </c>
      <c r="N382" s="74" t="s">
        <v>146</v>
      </c>
      <c r="O382" s="75">
        <v>0.40570000000000001</v>
      </c>
      <c r="P382" s="75" t="s">
        <v>352</v>
      </c>
      <c r="U382" s="72">
        <v>4</v>
      </c>
      <c r="V382" s="73">
        <v>45684</v>
      </c>
      <c r="W382" s="70" t="s">
        <v>180</v>
      </c>
      <c r="X382" s="74" t="s">
        <v>146</v>
      </c>
      <c r="Y382" s="75">
        <v>1.0780000000000001</v>
      </c>
      <c r="Z382" s="75" t="s">
        <v>352</v>
      </c>
    </row>
    <row r="383" spans="1:26" x14ac:dyDescent="0.3">
      <c r="A383" s="72">
        <v>5</v>
      </c>
      <c r="B383" s="73">
        <v>45691</v>
      </c>
      <c r="C383" s="70" t="s">
        <v>178</v>
      </c>
      <c r="D383" s="74" t="s">
        <v>146</v>
      </c>
      <c r="E383" s="75">
        <v>0.14779999999999999</v>
      </c>
      <c r="F383" s="75" t="s">
        <v>352</v>
      </c>
      <c r="K383" s="72">
        <v>5</v>
      </c>
      <c r="L383" s="73">
        <v>45691</v>
      </c>
      <c r="M383" s="70" t="s">
        <v>179</v>
      </c>
      <c r="N383" s="74" t="s">
        <v>146</v>
      </c>
      <c r="O383" s="75">
        <v>0.42130000000000001</v>
      </c>
      <c r="P383" s="75" t="s">
        <v>352</v>
      </c>
      <c r="U383" s="72">
        <v>5</v>
      </c>
      <c r="V383" s="73">
        <v>45691</v>
      </c>
      <c r="W383" s="70" t="s">
        <v>180</v>
      </c>
      <c r="X383" s="74" t="s">
        <v>146</v>
      </c>
      <c r="Y383" s="75">
        <v>1.0961000000000001</v>
      </c>
      <c r="Z383" s="75" t="s">
        <v>352</v>
      </c>
    </row>
    <row r="384" spans="1:26" x14ac:dyDescent="0.3">
      <c r="A384" s="72">
        <v>6</v>
      </c>
      <c r="B384" s="73">
        <v>45698</v>
      </c>
      <c r="C384" s="70" t="s">
        <v>178</v>
      </c>
      <c r="D384" s="74" t="s">
        <v>146</v>
      </c>
      <c r="E384" s="75">
        <v>0.12180000000000001</v>
      </c>
      <c r="F384" s="75" t="s">
        <v>352</v>
      </c>
      <c r="K384" s="72">
        <v>6</v>
      </c>
      <c r="L384" s="73">
        <v>45698</v>
      </c>
      <c r="M384" s="70" t="s">
        <v>179</v>
      </c>
      <c r="N384" s="74" t="s">
        <v>146</v>
      </c>
      <c r="O384" s="75">
        <v>0.42409999999999998</v>
      </c>
      <c r="P384" s="75" t="s">
        <v>352</v>
      </c>
      <c r="U384" s="72">
        <v>6</v>
      </c>
      <c r="V384" s="73">
        <v>45698</v>
      </c>
      <c r="W384" s="70" t="s">
        <v>180</v>
      </c>
      <c r="X384" s="74" t="s">
        <v>146</v>
      </c>
      <c r="Y384" s="75">
        <v>1.0768</v>
      </c>
      <c r="Z384" s="75" t="s">
        <v>352</v>
      </c>
    </row>
    <row r="385" spans="1:26" x14ac:dyDescent="0.3">
      <c r="A385" s="72">
        <v>7</v>
      </c>
      <c r="B385" s="73">
        <v>45705</v>
      </c>
      <c r="C385" s="70" t="s">
        <v>178</v>
      </c>
      <c r="D385" s="74" t="s">
        <v>146</v>
      </c>
      <c r="E385" s="75">
        <v>0.17680000000000001</v>
      </c>
      <c r="F385" s="75" t="s">
        <v>352</v>
      </c>
      <c r="K385" s="72">
        <v>7</v>
      </c>
      <c r="L385" s="73">
        <v>45705</v>
      </c>
      <c r="M385" s="70" t="s">
        <v>179</v>
      </c>
      <c r="N385" s="74" t="s">
        <v>146</v>
      </c>
      <c r="O385" s="75">
        <v>0.46379999999999999</v>
      </c>
      <c r="P385" s="75" t="s">
        <v>352</v>
      </c>
      <c r="U385" s="72">
        <v>7</v>
      </c>
      <c r="V385" s="73">
        <v>45705</v>
      </c>
      <c r="W385" s="70" t="s">
        <v>180</v>
      </c>
      <c r="X385" s="74" t="s">
        <v>146</v>
      </c>
      <c r="Y385" s="75">
        <v>1.0627</v>
      </c>
      <c r="Z385" s="75" t="s">
        <v>352</v>
      </c>
    </row>
    <row r="386" spans="1:26" x14ac:dyDescent="0.3">
      <c r="A386" s="72">
        <v>8</v>
      </c>
      <c r="B386" s="73">
        <v>45712</v>
      </c>
      <c r="C386" s="70" t="s">
        <v>178</v>
      </c>
      <c r="D386" s="74" t="s">
        <v>146</v>
      </c>
      <c r="E386" s="75">
        <v>0.11990000000000001</v>
      </c>
      <c r="F386" s="75" t="s">
        <v>352</v>
      </c>
      <c r="K386" s="72">
        <v>8</v>
      </c>
      <c r="L386" s="73">
        <v>45712</v>
      </c>
      <c r="M386" s="70" t="s">
        <v>179</v>
      </c>
      <c r="N386" s="74" t="s">
        <v>146</v>
      </c>
      <c r="O386" s="75">
        <v>0.40739999999999998</v>
      </c>
      <c r="P386" s="75" t="s">
        <v>352</v>
      </c>
      <c r="U386" s="72">
        <v>8</v>
      </c>
      <c r="V386" s="73">
        <v>45712</v>
      </c>
      <c r="W386" s="70" t="s">
        <v>180</v>
      </c>
      <c r="X386" s="74" t="s">
        <v>146</v>
      </c>
      <c r="Y386" s="75">
        <v>1.087</v>
      </c>
      <c r="Z386" s="75" t="s">
        <v>352</v>
      </c>
    </row>
    <row r="387" spans="1:26" x14ac:dyDescent="0.3">
      <c r="A387" s="72">
        <v>9</v>
      </c>
      <c r="B387" s="73">
        <v>45719</v>
      </c>
      <c r="C387" s="70" t="s">
        <v>178</v>
      </c>
      <c r="D387" s="74" t="s">
        <v>146</v>
      </c>
      <c r="E387" s="75">
        <v>7.5800000000000006E-2</v>
      </c>
      <c r="F387" s="75" t="s">
        <v>352</v>
      </c>
      <c r="K387" s="72">
        <v>9</v>
      </c>
      <c r="L387" s="73">
        <v>45719</v>
      </c>
      <c r="M387" s="70" t="s">
        <v>179</v>
      </c>
      <c r="N387" s="74" t="s">
        <v>146</v>
      </c>
      <c r="O387" s="75">
        <v>0.42030000000000001</v>
      </c>
      <c r="P387" s="75" t="s">
        <v>352</v>
      </c>
      <c r="U387" s="72">
        <v>9</v>
      </c>
      <c r="V387" s="73">
        <v>45719</v>
      </c>
      <c r="W387" s="70" t="s">
        <v>180</v>
      </c>
      <c r="X387" s="74" t="s">
        <v>146</v>
      </c>
      <c r="Y387" s="75">
        <v>1.0888</v>
      </c>
      <c r="Z387" s="75" t="s">
        <v>352</v>
      </c>
    </row>
    <row r="388" spans="1:26" x14ac:dyDescent="0.3">
      <c r="A388" s="72">
        <v>10</v>
      </c>
      <c r="B388" s="73">
        <v>45726</v>
      </c>
      <c r="C388" s="70" t="s">
        <v>178</v>
      </c>
      <c r="D388" s="74" t="s">
        <v>146</v>
      </c>
      <c r="E388" s="75">
        <v>0.12139999999999999</v>
      </c>
      <c r="F388" s="75" t="s">
        <v>352</v>
      </c>
      <c r="K388" s="72">
        <v>10</v>
      </c>
      <c r="L388" s="73">
        <v>45726</v>
      </c>
      <c r="M388" s="70" t="s">
        <v>179</v>
      </c>
      <c r="N388" s="74" t="s">
        <v>146</v>
      </c>
      <c r="O388" s="75">
        <v>0.41949999999999998</v>
      </c>
      <c r="P388" s="75" t="s">
        <v>352</v>
      </c>
      <c r="U388" s="72">
        <v>10</v>
      </c>
      <c r="V388" s="73">
        <v>45726</v>
      </c>
      <c r="W388" s="70" t="s">
        <v>180</v>
      </c>
      <c r="X388" s="74" t="s">
        <v>146</v>
      </c>
      <c r="Y388" s="75">
        <v>1.0863</v>
      </c>
      <c r="Z388" s="75" t="s">
        <v>352</v>
      </c>
    </row>
    <row r="389" spans="1:26" x14ac:dyDescent="0.3">
      <c r="A389" s="72">
        <v>11</v>
      </c>
      <c r="B389" s="73">
        <v>45733</v>
      </c>
      <c r="C389" s="70" t="s">
        <v>178</v>
      </c>
      <c r="D389" s="74" t="s">
        <v>146</v>
      </c>
      <c r="E389" s="75">
        <v>8.3599999999999994E-2</v>
      </c>
      <c r="F389" s="75" t="s">
        <v>352</v>
      </c>
      <c r="K389" s="72">
        <v>11</v>
      </c>
      <c r="L389" s="73">
        <v>45733</v>
      </c>
      <c r="M389" s="70" t="s">
        <v>179</v>
      </c>
      <c r="N389" s="74" t="s">
        <v>146</v>
      </c>
      <c r="O389" s="75">
        <v>0.43009999999999998</v>
      </c>
      <c r="P389" s="75" t="s">
        <v>352</v>
      </c>
      <c r="U389" s="72">
        <v>11</v>
      </c>
      <c r="V389" s="73">
        <v>45733</v>
      </c>
      <c r="W389" s="70" t="s">
        <v>180</v>
      </c>
      <c r="X389" s="74" t="s">
        <v>146</v>
      </c>
      <c r="Y389" s="75">
        <v>1.0278</v>
      </c>
      <c r="Z389" s="75" t="s">
        <v>352</v>
      </c>
    </row>
    <row r="390" spans="1:26" x14ac:dyDescent="0.3">
      <c r="A390" s="72">
        <v>12</v>
      </c>
      <c r="B390" s="73">
        <v>45740</v>
      </c>
      <c r="C390" s="70" t="s">
        <v>178</v>
      </c>
      <c r="D390" s="74" t="s">
        <v>146</v>
      </c>
      <c r="E390" s="75">
        <v>0.14180000000000001</v>
      </c>
      <c r="F390" s="75" t="s">
        <v>352</v>
      </c>
      <c r="K390" s="72">
        <v>12</v>
      </c>
      <c r="L390" s="73">
        <v>45740</v>
      </c>
      <c r="M390" s="70" t="s">
        <v>179</v>
      </c>
      <c r="N390" s="74" t="s">
        <v>146</v>
      </c>
      <c r="O390" s="75">
        <v>0.44090000000000001</v>
      </c>
      <c r="P390" s="75" t="s">
        <v>352</v>
      </c>
      <c r="U390" s="72">
        <v>12</v>
      </c>
      <c r="V390" s="73">
        <v>45740</v>
      </c>
      <c r="W390" s="70" t="s">
        <v>180</v>
      </c>
      <c r="X390" s="74" t="s">
        <v>146</v>
      </c>
      <c r="Y390" s="75">
        <v>1.0842000000000001</v>
      </c>
      <c r="Z390" s="75" t="s">
        <v>352</v>
      </c>
    </row>
    <row r="391" spans="1:26" x14ac:dyDescent="0.3">
      <c r="A391" s="72">
        <v>13</v>
      </c>
      <c r="B391" s="73">
        <v>45747</v>
      </c>
      <c r="C391" s="70" t="s">
        <v>178</v>
      </c>
      <c r="D391" s="74" t="s">
        <v>146</v>
      </c>
      <c r="E391" s="75">
        <v>0.1744</v>
      </c>
      <c r="F391" s="75" t="s">
        <v>352</v>
      </c>
      <c r="K391" s="72">
        <v>13</v>
      </c>
      <c r="L391" s="73">
        <v>45747</v>
      </c>
      <c r="M391" s="70" t="s">
        <v>179</v>
      </c>
      <c r="N391" s="74" t="s">
        <v>146</v>
      </c>
      <c r="O391" s="75">
        <v>0.4138</v>
      </c>
      <c r="P391" s="75" t="s">
        <v>352</v>
      </c>
      <c r="U391" s="72">
        <v>13</v>
      </c>
      <c r="V391" s="73">
        <v>45747</v>
      </c>
      <c r="W391" s="70" t="s">
        <v>180</v>
      </c>
      <c r="X391" s="74" t="s">
        <v>146</v>
      </c>
      <c r="Y391" s="75">
        <v>1.0610999999999999</v>
      </c>
      <c r="Z391" s="75" t="s">
        <v>352</v>
      </c>
    </row>
    <row r="392" spans="1:26" x14ac:dyDescent="0.3">
      <c r="A392" s="72">
        <v>14</v>
      </c>
      <c r="B392" s="73">
        <v>45754</v>
      </c>
      <c r="C392" s="70" t="s">
        <v>178</v>
      </c>
      <c r="D392" s="74" t="s">
        <v>146</v>
      </c>
      <c r="E392" s="75">
        <v>0.16220000000000001</v>
      </c>
      <c r="F392" s="75" t="s">
        <v>352</v>
      </c>
      <c r="K392" s="72">
        <v>14</v>
      </c>
      <c r="L392" s="73">
        <v>45754</v>
      </c>
      <c r="M392" s="70" t="s">
        <v>179</v>
      </c>
      <c r="N392" s="74" t="s">
        <v>146</v>
      </c>
      <c r="O392" s="75">
        <v>0.40789999999999998</v>
      </c>
      <c r="P392" s="75" t="s">
        <v>352</v>
      </c>
      <c r="U392" s="72">
        <v>14</v>
      </c>
      <c r="V392" s="73">
        <v>45754</v>
      </c>
      <c r="W392" s="70" t="s">
        <v>180</v>
      </c>
      <c r="X392" s="74" t="s">
        <v>146</v>
      </c>
      <c r="Y392" s="75">
        <v>1.0710999999999999</v>
      </c>
      <c r="Z392" s="75" t="s">
        <v>352</v>
      </c>
    </row>
    <row r="393" spans="1:26" x14ac:dyDescent="0.3">
      <c r="A393" s="72">
        <v>15</v>
      </c>
      <c r="B393" s="73">
        <v>45761</v>
      </c>
      <c r="C393" s="70" t="s">
        <v>178</v>
      </c>
      <c r="D393" s="74" t="s">
        <v>146</v>
      </c>
      <c r="E393" s="75">
        <v>0.10340000000000001</v>
      </c>
      <c r="F393" s="75" t="s">
        <v>352</v>
      </c>
      <c r="K393" s="72">
        <v>15</v>
      </c>
      <c r="L393" s="73">
        <v>45761</v>
      </c>
      <c r="M393" s="70" t="s">
        <v>179</v>
      </c>
      <c r="N393" s="74" t="s">
        <v>146</v>
      </c>
      <c r="O393" s="75">
        <v>0.39340000000000003</v>
      </c>
      <c r="P393" s="75" t="s">
        <v>352</v>
      </c>
      <c r="U393" s="72">
        <v>15</v>
      </c>
      <c r="V393" s="73">
        <v>45761</v>
      </c>
      <c r="W393" s="70" t="s">
        <v>180</v>
      </c>
      <c r="X393" s="74" t="s">
        <v>146</v>
      </c>
      <c r="Y393" s="75">
        <v>1.0964</v>
      </c>
      <c r="Z393" s="75" t="s">
        <v>352</v>
      </c>
    </row>
    <row r="394" spans="1:26" x14ac:dyDescent="0.3">
      <c r="A394" s="72">
        <v>16</v>
      </c>
      <c r="B394" s="73">
        <v>45768</v>
      </c>
      <c r="C394" s="70" t="s">
        <v>178</v>
      </c>
      <c r="D394" s="74" t="s">
        <v>146</v>
      </c>
      <c r="E394" s="75">
        <v>0.1205</v>
      </c>
      <c r="F394" s="75" t="s">
        <v>352</v>
      </c>
      <c r="K394" s="72">
        <v>16</v>
      </c>
      <c r="L394" s="73">
        <v>45768</v>
      </c>
      <c r="M394" s="70" t="s">
        <v>179</v>
      </c>
      <c r="N394" s="74" t="s">
        <v>146</v>
      </c>
      <c r="O394" s="75">
        <v>0.40610000000000002</v>
      </c>
      <c r="P394" s="75" t="s">
        <v>352</v>
      </c>
      <c r="U394" s="72">
        <v>16</v>
      </c>
      <c r="V394" s="73">
        <v>45768</v>
      </c>
      <c r="W394" s="70" t="s">
        <v>180</v>
      </c>
      <c r="X394" s="74" t="s">
        <v>146</v>
      </c>
      <c r="Y394" s="75">
        <v>1.1097999999999999</v>
      </c>
      <c r="Z394" s="75" t="s">
        <v>352</v>
      </c>
    </row>
    <row r="395" spans="1:26" x14ac:dyDescent="0.3">
      <c r="A395" s="72">
        <v>17</v>
      </c>
      <c r="B395" s="73">
        <v>45775</v>
      </c>
      <c r="C395" s="70" t="s">
        <v>178</v>
      </c>
      <c r="D395" s="74" t="s">
        <v>146</v>
      </c>
      <c r="E395" s="75">
        <v>0.19570000000000001</v>
      </c>
      <c r="F395" s="75" t="s">
        <v>352</v>
      </c>
      <c r="K395" s="72">
        <v>17</v>
      </c>
      <c r="L395" s="73">
        <v>45775</v>
      </c>
      <c r="M395" s="70" t="s">
        <v>179</v>
      </c>
      <c r="N395" s="74" t="s">
        <v>146</v>
      </c>
      <c r="O395" s="75">
        <v>0.43190000000000001</v>
      </c>
      <c r="P395" s="75" t="s">
        <v>352</v>
      </c>
      <c r="U395" s="72">
        <v>17</v>
      </c>
      <c r="V395" s="73">
        <v>45775</v>
      </c>
      <c r="W395" s="70" t="s">
        <v>180</v>
      </c>
      <c r="X395" s="74" t="s">
        <v>146</v>
      </c>
      <c r="Y395" s="75">
        <v>1.1182000000000001</v>
      </c>
      <c r="Z395" s="75" t="s">
        <v>352</v>
      </c>
    </row>
    <row r="396" spans="1:26" x14ac:dyDescent="0.3">
      <c r="A396" s="72">
        <v>18</v>
      </c>
      <c r="B396" s="73">
        <v>45782</v>
      </c>
      <c r="C396" s="70" t="s">
        <v>178</v>
      </c>
      <c r="D396" s="74" t="s">
        <v>146</v>
      </c>
      <c r="E396" s="75">
        <v>0.15240000000000001</v>
      </c>
      <c r="F396" s="75" t="s">
        <v>352</v>
      </c>
      <c r="K396" s="72">
        <v>18</v>
      </c>
      <c r="L396" s="73">
        <v>45782</v>
      </c>
      <c r="M396" s="70" t="s">
        <v>179</v>
      </c>
      <c r="N396" s="74" t="s">
        <v>146</v>
      </c>
      <c r="O396" s="75">
        <v>0.42320000000000002</v>
      </c>
      <c r="P396" s="75" t="s">
        <v>352</v>
      </c>
      <c r="U396" s="72">
        <v>18</v>
      </c>
      <c r="V396" s="73">
        <v>45782</v>
      </c>
      <c r="W396" s="70" t="s">
        <v>180</v>
      </c>
      <c r="X396" s="74" t="s">
        <v>146</v>
      </c>
      <c r="Y396" s="75">
        <v>1.0728</v>
      </c>
      <c r="Z396" s="75" t="s">
        <v>352</v>
      </c>
    </row>
    <row r="397" spans="1:26" x14ac:dyDescent="0.3">
      <c r="A397" s="72">
        <v>19</v>
      </c>
      <c r="B397" s="73">
        <v>45789</v>
      </c>
      <c r="C397" s="70" t="s">
        <v>178</v>
      </c>
      <c r="D397" s="74" t="s">
        <v>146</v>
      </c>
      <c r="E397" s="75">
        <v>0.1431</v>
      </c>
      <c r="F397" s="75" t="s">
        <v>352</v>
      </c>
      <c r="K397" s="72">
        <v>19</v>
      </c>
      <c r="L397" s="73">
        <v>45789</v>
      </c>
      <c r="M397" s="70" t="s">
        <v>179</v>
      </c>
      <c r="N397" s="74" t="s">
        <v>146</v>
      </c>
      <c r="O397" s="75">
        <v>0.40450000000000003</v>
      </c>
      <c r="P397" s="75" t="s">
        <v>352</v>
      </c>
      <c r="U397" s="72">
        <v>19</v>
      </c>
      <c r="V397" s="73">
        <v>45789</v>
      </c>
      <c r="W397" s="70" t="s">
        <v>180</v>
      </c>
      <c r="X397" s="74" t="s">
        <v>146</v>
      </c>
      <c r="Y397" s="75">
        <v>1.119</v>
      </c>
      <c r="Z397" s="75" t="s">
        <v>352</v>
      </c>
    </row>
    <row r="398" spans="1:26" x14ac:dyDescent="0.3">
      <c r="A398" s="72">
        <v>20</v>
      </c>
      <c r="B398" s="73">
        <v>45796</v>
      </c>
      <c r="C398" s="70" t="s">
        <v>178</v>
      </c>
      <c r="D398" s="74" t="s">
        <v>146</v>
      </c>
      <c r="E398" s="75">
        <v>0.17430000000000001</v>
      </c>
      <c r="F398" s="75" t="s">
        <v>352</v>
      </c>
      <c r="K398" s="72">
        <v>20</v>
      </c>
      <c r="L398" s="73">
        <v>45796</v>
      </c>
      <c r="M398" s="70" t="s">
        <v>179</v>
      </c>
      <c r="N398" s="74" t="s">
        <v>146</v>
      </c>
      <c r="O398" s="75">
        <v>0.4158</v>
      </c>
      <c r="P398" s="75" t="s">
        <v>352</v>
      </c>
      <c r="U398" s="72">
        <v>20</v>
      </c>
      <c r="V398" s="73">
        <v>45796</v>
      </c>
      <c r="W398" s="70" t="s">
        <v>180</v>
      </c>
      <c r="X398" s="74" t="s">
        <v>146</v>
      </c>
      <c r="Y398" s="75">
        <v>1.1272</v>
      </c>
      <c r="Z398" s="75" t="s">
        <v>352</v>
      </c>
    </row>
    <row r="399" spans="1:26" x14ac:dyDescent="0.3">
      <c r="A399" s="72">
        <v>21</v>
      </c>
      <c r="B399" s="73">
        <v>45803</v>
      </c>
      <c r="C399" s="70" t="s">
        <v>178</v>
      </c>
      <c r="D399" s="74" t="s">
        <v>146</v>
      </c>
      <c r="E399" s="75">
        <v>0.21560000000000001</v>
      </c>
      <c r="F399" s="75" t="s">
        <v>352</v>
      </c>
      <c r="K399" s="72">
        <v>21</v>
      </c>
      <c r="L399" s="73">
        <v>45803</v>
      </c>
      <c r="M399" s="70" t="s">
        <v>179</v>
      </c>
      <c r="N399" s="74" t="s">
        <v>146</v>
      </c>
      <c r="O399" s="75">
        <v>0.42299999999999999</v>
      </c>
      <c r="P399" s="75" t="s">
        <v>352</v>
      </c>
      <c r="U399" s="72">
        <v>21</v>
      </c>
      <c r="V399" s="73">
        <v>45803</v>
      </c>
      <c r="W399" s="70" t="s">
        <v>180</v>
      </c>
      <c r="X399" s="74" t="s">
        <v>146</v>
      </c>
      <c r="Y399" s="75">
        <v>1.1259999999999999</v>
      </c>
      <c r="Z399" s="75" t="s">
        <v>352</v>
      </c>
    </row>
    <row r="400" spans="1:26" x14ac:dyDescent="0.3">
      <c r="A400" s="72">
        <v>22</v>
      </c>
      <c r="B400" s="73">
        <v>45810</v>
      </c>
      <c r="C400" s="70" t="s">
        <v>178</v>
      </c>
      <c r="D400" s="74" t="s">
        <v>146</v>
      </c>
      <c r="E400" s="75">
        <v>0.18140000000000001</v>
      </c>
      <c r="F400" s="75" t="s">
        <v>352</v>
      </c>
      <c r="K400" s="72">
        <v>22</v>
      </c>
      <c r="L400" s="73">
        <v>45810</v>
      </c>
      <c r="M400" s="70" t="s">
        <v>179</v>
      </c>
      <c r="N400" s="74" t="s">
        <v>146</v>
      </c>
      <c r="O400" s="75">
        <v>0.43130000000000002</v>
      </c>
      <c r="P400" s="75" t="s">
        <v>352</v>
      </c>
      <c r="U400" s="72">
        <v>22</v>
      </c>
      <c r="V400" s="73">
        <v>45810</v>
      </c>
      <c r="W400" s="70" t="s">
        <v>180</v>
      </c>
      <c r="X400" s="74" t="s">
        <v>146</v>
      </c>
      <c r="Y400" s="75">
        <v>1.1342000000000001</v>
      </c>
      <c r="Z400" s="75" t="s">
        <v>352</v>
      </c>
    </row>
    <row r="401" spans="1:26" x14ac:dyDescent="0.3">
      <c r="A401" s="72">
        <v>23</v>
      </c>
      <c r="B401" s="73">
        <v>45817</v>
      </c>
      <c r="C401" s="70" t="s">
        <v>178</v>
      </c>
      <c r="D401" s="74" t="s">
        <v>146</v>
      </c>
      <c r="E401" s="75">
        <v>0.14710000000000001</v>
      </c>
      <c r="F401" s="75" t="s">
        <v>352</v>
      </c>
      <c r="K401" s="72">
        <v>23</v>
      </c>
      <c r="L401" s="73">
        <v>45817</v>
      </c>
      <c r="M401" s="70" t="s">
        <v>179</v>
      </c>
      <c r="N401" s="74" t="s">
        <v>146</v>
      </c>
      <c r="O401" s="75">
        <v>0.41189999999999999</v>
      </c>
      <c r="P401" s="75" t="s">
        <v>352</v>
      </c>
      <c r="U401" s="72">
        <v>23</v>
      </c>
      <c r="V401" s="73">
        <v>45817</v>
      </c>
      <c r="W401" s="70" t="s">
        <v>180</v>
      </c>
      <c r="X401" s="74" t="s">
        <v>146</v>
      </c>
      <c r="Y401" s="75">
        <v>1.0842000000000001</v>
      </c>
      <c r="Z401" s="75" t="s">
        <v>352</v>
      </c>
    </row>
    <row r="402" spans="1:26" x14ac:dyDescent="0.3">
      <c r="A402" s="72">
        <v>24</v>
      </c>
      <c r="B402" s="73">
        <v>45824</v>
      </c>
      <c r="C402" s="70" t="s">
        <v>178</v>
      </c>
      <c r="D402" s="74" t="s">
        <v>146</v>
      </c>
      <c r="E402" s="75">
        <v>0.1535</v>
      </c>
      <c r="F402" s="75" t="s">
        <v>352</v>
      </c>
      <c r="K402" s="72">
        <v>24</v>
      </c>
      <c r="L402" s="73">
        <v>45824</v>
      </c>
      <c r="M402" s="70" t="s">
        <v>179</v>
      </c>
      <c r="N402" s="74" t="s">
        <v>146</v>
      </c>
      <c r="O402" s="75">
        <v>0.41799999999999998</v>
      </c>
      <c r="P402" s="75" t="s">
        <v>352</v>
      </c>
      <c r="U402" s="72">
        <v>24</v>
      </c>
      <c r="V402" s="73">
        <v>45824</v>
      </c>
      <c r="W402" s="70" t="s">
        <v>180</v>
      </c>
      <c r="X402" s="74" t="s">
        <v>146</v>
      </c>
      <c r="Y402" s="75">
        <v>1.0832999999999999</v>
      </c>
      <c r="Z402" s="75" t="s">
        <v>352</v>
      </c>
    </row>
    <row r="403" spans="1:26" x14ac:dyDescent="0.3">
      <c r="A403" s="72">
        <v>25</v>
      </c>
      <c r="B403" s="73">
        <v>45831</v>
      </c>
      <c r="C403" s="70" t="s">
        <v>178</v>
      </c>
      <c r="D403" s="74" t="s">
        <v>146</v>
      </c>
      <c r="E403" s="75">
        <v>0.1613</v>
      </c>
      <c r="F403" s="75" t="s">
        <v>352</v>
      </c>
      <c r="K403" s="72">
        <v>25</v>
      </c>
      <c r="L403" s="73">
        <v>45831</v>
      </c>
      <c r="M403" s="70" t="s">
        <v>179</v>
      </c>
      <c r="N403" s="74" t="s">
        <v>146</v>
      </c>
      <c r="O403" s="75">
        <v>0.39029999999999998</v>
      </c>
      <c r="P403" s="75" t="s">
        <v>352</v>
      </c>
      <c r="U403" s="72">
        <v>25</v>
      </c>
      <c r="V403" s="73">
        <v>45831</v>
      </c>
      <c r="W403" s="70" t="s">
        <v>180</v>
      </c>
      <c r="X403" s="74" t="s">
        <v>146</v>
      </c>
      <c r="Y403" s="75">
        <v>1.1157999999999999</v>
      </c>
      <c r="Z403" s="75" t="s">
        <v>352</v>
      </c>
    </row>
    <row r="404" spans="1:26" x14ac:dyDescent="0.3">
      <c r="A404" s="72">
        <v>1</v>
      </c>
      <c r="B404" s="73">
        <v>45663</v>
      </c>
      <c r="C404" s="70" t="s">
        <v>178</v>
      </c>
      <c r="D404" s="74" t="s">
        <v>147</v>
      </c>
      <c r="E404" s="75">
        <v>49.153399999999998</v>
      </c>
      <c r="F404" s="75" t="s">
        <v>352</v>
      </c>
      <c r="K404" s="72">
        <v>1</v>
      </c>
      <c r="L404" s="73">
        <v>45663</v>
      </c>
      <c r="M404" s="70" t="s">
        <v>179</v>
      </c>
      <c r="N404" s="74" t="s">
        <v>147</v>
      </c>
      <c r="O404" s="75">
        <v>14.8825</v>
      </c>
      <c r="P404" s="75" t="s">
        <v>352</v>
      </c>
      <c r="U404" s="72">
        <v>1</v>
      </c>
      <c r="V404" s="73">
        <v>45663</v>
      </c>
      <c r="W404" s="70" t="s">
        <v>180</v>
      </c>
      <c r="X404" s="74" t="s">
        <v>147</v>
      </c>
      <c r="Y404" s="75">
        <v>46.912500000000001</v>
      </c>
      <c r="Z404" s="75" t="s">
        <v>352</v>
      </c>
    </row>
    <row r="405" spans="1:26" x14ac:dyDescent="0.3">
      <c r="A405" s="72">
        <v>2</v>
      </c>
      <c r="B405" s="73">
        <v>45670</v>
      </c>
      <c r="C405" s="70" t="s">
        <v>178</v>
      </c>
      <c r="D405" s="74" t="s">
        <v>147</v>
      </c>
      <c r="E405" s="75">
        <v>50.105899999999998</v>
      </c>
      <c r="F405" s="75" t="s">
        <v>352</v>
      </c>
      <c r="K405" s="72">
        <v>2</v>
      </c>
      <c r="L405" s="73">
        <v>45670</v>
      </c>
      <c r="M405" s="70" t="s">
        <v>179</v>
      </c>
      <c r="N405" s="74" t="s">
        <v>147</v>
      </c>
      <c r="O405" s="75">
        <v>14.7499</v>
      </c>
      <c r="P405" s="75" t="s">
        <v>352</v>
      </c>
      <c r="U405" s="72">
        <v>2</v>
      </c>
      <c r="V405" s="73">
        <v>45670</v>
      </c>
      <c r="W405" s="70" t="s">
        <v>180</v>
      </c>
      <c r="X405" s="74" t="s">
        <v>147</v>
      </c>
      <c r="Y405" s="75">
        <v>47.034799999999997</v>
      </c>
      <c r="Z405" s="75" t="s">
        <v>352</v>
      </c>
    </row>
    <row r="406" spans="1:26" x14ac:dyDescent="0.3">
      <c r="A406" s="72">
        <v>3</v>
      </c>
      <c r="B406" s="73">
        <v>45677</v>
      </c>
      <c r="C406" s="70" t="s">
        <v>178</v>
      </c>
      <c r="D406" s="74" t="s">
        <v>147</v>
      </c>
      <c r="E406" s="75">
        <v>49.658700000000003</v>
      </c>
      <c r="F406" s="75" t="s">
        <v>352</v>
      </c>
      <c r="K406" s="72">
        <v>3</v>
      </c>
      <c r="L406" s="73">
        <v>45677</v>
      </c>
      <c r="M406" s="70" t="s">
        <v>179</v>
      </c>
      <c r="N406" s="74" t="s">
        <v>147</v>
      </c>
      <c r="O406" s="75">
        <v>14.724</v>
      </c>
      <c r="P406" s="75" t="s">
        <v>352</v>
      </c>
      <c r="U406" s="72">
        <v>3</v>
      </c>
      <c r="V406" s="73">
        <v>45677</v>
      </c>
      <c r="W406" s="70" t="s">
        <v>180</v>
      </c>
      <c r="X406" s="74" t="s">
        <v>147</v>
      </c>
      <c r="Y406" s="75">
        <v>46.740200000000002</v>
      </c>
      <c r="Z406" s="75" t="s">
        <v>352</v>
      </c>
    </row>
    <row r="407" spans="1:26" x14ac:dyDescent="0.3">
      <c r="A407" s="72">
        <v>4</v>
      </c>
      <c r="B407" s="73">
        <v>45684</v>
      </c>
      <c r="C407" s="70" t="s">
        <v>178</v>
      </c>
      <c r="D407" s="74" t="s">
        <v>147</v>
      </c>
      <c r="E407" s="75">
        <v>49.756399999999999</v>
      </c>
      <c r="F407" s="75" t="s">
        <v>352</v>
      </c>
      <c r="K407" s="72">
        <v>4</v>
      </c>
      <c r="L407" s="73">
        <v>45684</v>
      </c>
      <c r="M407" s="70" t="s">
        <v>179</v>
      </c>
      <c r="N407" s="74" t="s">
        <v>147</v>
      </c>
      <c r="O407" s="75">
        <v>14.7517</v>
      </c>
      <c r="P407" s="75" t="s">
        <v>352</v>
      </c>
      <c r="U407" s="72">
        <v>4</v>
      </c>
      <c r="V407" s="73">
        <v>45684</v>
      </c>
      <c r="W407" s="70" t="s">
        <v>180</v>
      </c>
      <c r="X407" s="74" t="s">
        <v>147</v>
      </c>
      <c r="Y407" s="75">
        <v>47.400599999999997</v>
      </c>
      <c r="Z407" s="75" t="s">
        <v>352</v>
      </c>
    </row>
    <row r="408" spans="1:26" x14ac:dyDescent="0.3">
      <c r="A408" s="72">
        <v>5</v>
      </c>
      <c r="B408" s="73">
        <v>45691</v>
      </c>
      <c r="C408" s="70" t="s">
        <v>178</v>
      </c>
      <c r="D408" s="74" t="s">
        <v>147</v>
      </c>
      <c r="E408" s="75">
        <v>48.9268</v>
      </c>
      <c r="F408" s="75" t="s">
        <v>352</v>
      </c>
      <c r="K408" s="72">
        <v>5</v>
      </c>
      <c r="L408" s="73">
        <v>45691</v>
      </c>
      <c r="M408" s="70" t="s">
        <v>179</v>
      </c>
      <c r="N408" s="74" t="s">
        <v>147</v>
      </c>
      <c r="O408" s="75">
        <v>14.8026</v>
      </c>
      <c r="P408" s="75" t="s">
        <v>352</v>
      </c>
      <c r="U408" s="72">
        <v>5</v>
      </c>
      <c r="V408" s="73">
        <v>45691</v>
      </c>
      <c r="W408" s="70" t="s">
        <v>180</v>
      </c>
      <c r="X408" s="74" t="s">
        <v>147</v>
      </c>
      <c r="Y408" s="75">
        <v>47.955199999999998</v>
      </c>
      <c r="Z408" s="75" t="s">
        <v>352</v>
      </c>
    </row>
    <row r="409" spans="1:26" x14ac:dyDescent="0.3">
      <c r="A409" s="72">
        <v>6</v>
      </c>
      <c r="B409" s="73">
        <v>45698</v>
      </c>
      <c r="C409" s="70" t="s">
        <v>178</v>
      </c>
      <c r="D409" s="74" t="s">
        <v>147</v>
      </c>
      <c r="E409" s="75">
        <v>49.441099999999999</v>
      </c>
      <c r="F409" s="75" t="s">
        <v>352</v>
      </c>
      <c r="K409" s="72">
        <v>6</v>
      </c>
      <c r="L409" s="73">
        <v>45698</v>
      </c>
      <c r="M409" s="70" t="s">
        <v>179</v>
      </c>
      <c r="N409" s="74" t="s">
        <v>147</v>
      </c>
      <c r="O409" s="75">
        <v>14.8317</v>
      </c>
      <c r="P409" s="75" t="s">
        <v>352</v>
      </c>
      <c r="U409" s="72">
        <v>6</v>
      </c>
      <c r="V409" s="73">
        <v>45698</v>
      </c>
      <c r="W409" s="70" t="s">
        <v>180</v>
      </c>
      <c r="X409" s="74" t="s">
        <v>147</v>
      </c>
      <c r="Y409" s="75">
        <v>47.018900000000002</v>
      </c>
      <c r="Z409" s="75" t="s">
        <v>352</v>
      </c>
    </row>
    <row r="410" spans="1:26" x14ac:dyDescent="0.3">
      <c r="A410" s="72">
        <v>7</v>
      </c>
      <c r="B410" s="73">
        <v>45705</v>
      </c>
      <c r="C410" s="70" t="s">
        <v>178</v>
      </c>
      <c r="D410" s="74" t="s">
        <v>147</v>
      </c>
      <c r="E410" s="75">
        <v>49.966900000000003</v>
      </c>
      <c r="F410" s="75" t="s">
        <v>352</v>
      </c>
      <c r="K410" s="72">
        <v>7</v>
      </c>
      <c r="L410" s="73">
        <v>45705</v>
      </c>
      <c r="M410" s="70" t="s">
        <v>179</v>
      </c>
      <c r="N410" s="74" t="s">
        <v>147</v>
      </c>
      <c r="O410" s="75">
        <v>14.876099999999999</v>
      </c>
      <c r="P410" s="75" t="s">
        <v>352</v>
      </c>
      <c r="U410" s="72">
        <v>7</v>
      </c>
      <c r="V410" s="73">
        <v>45705</v>
      </c>
      <c r="W410" s="70" t="s">
        <v>180</v>
      </c>
      <c r="X410" s="74" t="s">
        <v>147</v>
      </c>
      <c r="Y410" s="75">
        <v>46.656100000000002</v>
      </c>
      <c r="Z410" s="75" t="s">
        <v>352</v>
      </c>
    </row>
    <row r="411" spans="1:26" x14ac:dyDescent="0.3">
      <c r="A411" s="72">
        <v>8</v>
      </c>
      <c r="B411" s="73">
        <v>45712</v>
      </c>
      <c r="C411" s="70" t="s">
        <v>178</v>
      </c>
      <c r="D411" s="74" t="s">
        <v>147</v>
      </c>
      <c r="E411" s="75">
        <v>50.516300000000001</v>
      </c>
      <c r="F411" s="75" t="s">
        <v>352</v>
      </c>
      <c r="K411" s="72">
        <v>8</v>
      </c>
      <c r="L411" s="73">
        <v>45712</v>
      </c>
      <c r="M411" s="70" t="s">
        <v>179</v>
      </c>
      <c r="N411" s="74" t="s">
        <v>147</v>
      </c>
      <c r="O411" s="75">
        <v>14.8786</v>
      </c>
      <c r="P411" s="75" t="s">
        <v>352</v>
      </c>
      <c r="U411" s="72">
        <v>8</v>
      </c>
      <c r="V411" s="73">
        <v>45712</v>
      </c>
      <c r="W411" s="70" t="s">
        <v>180</v>
      </c>
      <c r="X411" s="74" t="s">
        <v>147</v>
      </c>
      <c r="Y411" s="75">
        <v>48.421900000000001</v>
      </c>
      <c r="Z411" s="75" t="s">
        <v>352</v>
      </c>
    </row>
    <row r="412" spans="1:26" x14ac:dyDescent="0.3">
      <c r="A412" s="72">
        <v>9</v>
      </c>
      <c r="B412" s="73">
        <v>45719</v>
      </c>
      <c r="C412" s="70" t="s">
        <v>178</v>
      </c>
      <c r="D412" s="74" t="s">
        <v>147</v>
      </c>
      <c r="E412" s="75">
        <v>50.5777</v>
      </c>
      <c r="F412" s="75" t="s">
        <v>352</v>
      </c>
      <c r="K412" s="72">
        <v>9</v>
      </c>
      <c r="L412" s="73">
        <v>45719</v>
      </c>
      <c r="M412" s="70" t="s">
        <v>179</v>
      </c>
      <c r="N412" s="74" t="s">
        <v>147</v>
      </c>
      <c r="O412" s="75">
        <v>14.876300000000001</v>
      </c>
      <c r="P412" s="75" t="s">
        <v>352</v>
      </c>
      <c r="U412" s="72">
        <v>9</v>
      </c>
      <c r="V412" s="73">
        <v>45719</v>
      </c>
      <c r="W412" s="70" t="s">
        <v>180</v>
      </c>
      <c r="X412" s="74" t="s">
        <v>147</v>
      </c>
      <c r="Y412" s="75">
        <v>47.037599999999998</v>
      </c>
      <c r="Z412" s="75" t="s">
        <v>352</v>
      </c>
    </row>
    <row r="413" spans="1:26" x14ac:dyDescent="0.3">
      <c r="A413" s="72">
        <v>10</v>
      </c>
      <c r="B413" s="73">
        <v>45726</v>
      </c>
      <c r="C413" s="70" t="s">
        <v>178</v>
      </c>
      <c r="D413" s="74" t="s">
        <v>147</v>
      </c>
      <c r="E413" s="75">
        <v>49.930799999999998</v>
      </c>
      <c r="F413" s="75" t="s">
        <v>352</v>
      </c>
      <c r="K413" s="72">
        <v>10</v>
      </c>
      <c r="L413" s="73">
        <v>45726</v>
      </c>
      <c r="M413" s="70" t="s">
        <v>179</v>
      </c>
      <c r="N413" s="74" t="s">
        <v>147</v>
      </c>
      <c r="O413" s="75">
        <v>14.8908</v>
      </c>
      <c r="P413" s="75" t="s">
        <v>352</v>
      </c>
      <c r="U413" s="72">
        <v>10</v>
      </c>
      <c r="V413" s="73">
        <v>45726</v>
      </c>
      <c r="W413" s="70" t="s">
        <v>180</v>
      </c>
      <c r="X413" s="74" t="s">
        <v>147</v>
      </c>
      <c r="Y413" s="75">
        <v>46.601300000000002</v>
      </c>
      <c r="Z413" s="75" t="s">
        <v>352</v>
      </c>
    </row>
    <row r="414" spans="1:26" x14ac:dyDescent="0.3">
      <c r="A414" s="72">
        <v>11</v>
      </c>
      <c r="B414" s="73">
        <v>45733</v>
      </c>
      <c r="C414" s="70" t="s">
        <v>178</v>
      </c>
      <c r="D414" s="74" t="s">
        <v>147</v>
      </c>
      <c r="E414" s="75">
        <v>49.864899999999999</v>
      </c>
      <c r="F414" s="75" t="s">
        <v>352</v>
      </c>
      <c r="K414" s="72">
        <v>11</v>
      </c>
      <c r="L414" s="73">
        <v>45733</v>
      </c>
      <c r="M414" s="70" t="s">
        <v>179</v>
      </c>
      <c r="N414" s="74" t="s">
        <v>147</v>
      </c>
      <c r="O414" s="75">
        <v>14.833399999999999</v>
      </c>
      <c r="P414" s="75" t="s">
        <v>352</v>
      </c>
      <c r="U414" s="72">
        <v>11</v>
      </c>
      <c r="V414" s="73">
        <v>45733</v>
      </c>
      <c r="W414" s="70" t="s">
        <v>180</v>
      </c>
      <c r="X414" s="74" t="s">
        <v>147</v>
      </c>
      <c r="Y414" s="75">
        <v>47.4223</v>
      </c>
      <c r="Z414" s="75" t="s">
        <v>352</v>
      </c>
    </row>
    <row r="415" spans="1:26" x14ac:dyDescent="0.3">
      <c r="A415" s="72">
        <v>12</v>
      </c>
      <c r="B415" s="73">
        <v>45740</v>
      </c>
      <c r="C415" s="70" t="s">
        <v>178</v>
      </c>
      <c r="D415" s="74" t="s">
        <v>147</v>
      </c>
      <c r="E415" s="75">
        <v>49.4773</v>
      </c>
      <c r="F415" s="75" t="s">
        <v>352</v>
      </c>
      <c r="K415" s="72">
        <v>12</v>
      </c>
      <c r="L415" s="73">
        <v>45740</v>
      </c>
      <c r="M415" s="70" t="s">
        <v>179</v>
      </c>
      <c r="N415" s="74" t="s">
        <v>147</v>
      </c>
      <c r="O415" s="75">
        <v>14.654</v>
      </c>
      <c r="P415" s="75" t="s">
        <v>352</v>
      </c>
      <c r="U415" s="72">
        <v>12</v>
      </c>
      <c r="V415" s="73">
        <v>45740</v>
      </c>
      <c r="W415" s="70" t="s">
        <v>180</v>
      </c>
      <c r="X415" s="74" t="s">
        <v>147</v>
      </c>
      <c r="Y415" s="75">
        <v>47.527299999999997</v>
      </c>
      <c r="Z415" s="75" t="s">
        <v>352</v>
      </c>
    </row>
    <row r="416" spans="1:26" x14ac:dyDescent="0.3">
      <c r="A416" s="72">
        <v>13</v>
      </c>
      <c r="B416" s="73">
        <v>45747</v>
      </c>
      <c r="C416" s="70" t="s">
        <v>178</v>
      </c>
      <c r="D416" s="74" t="s">
        <v>147</v>
      </c>
      <c r="E416" s="75">
        <v>50.222499999999997</v>
      </c>
      <c r="F416" s="75" t="s">
        <v>352</v>
      </c>
      <c r="K416" s="72">
        <v>13</v>
      </c>
      <c r="L416" s="73">
        <v>45747</v>
      </c>
      <c r="M416" s="70" t="s">
        <v>179</v>
      </c>
      <c r="N416" s="74" t="s">
        <v>147</v>
      </c>
      <c r="O416" s="75">
        <v>14.768599999999999</v>
      </c>
      <c r="P416" s="75" t="s">
        <v>352</v>
      </c>
      <c r="U416" s="72">
        <v>13</v>
      </c>
      <c r="V416" s="73">
        <v>45747</v>
      </c>
      <c r="W416" s="70" t="s">
        <v>180</v>
      </c>
      <c r="X416" s="74" t="s">
        <v>147</v>
      </c>
      <c r="Y416" s="75">
        <v>46.896000000000001</v>
      </c>
      <c r="Z416" s="75" t="s">
        <v>352</v>
      </c>
    </row>
    <row r="417" spans="1:26" x14ac:dyDescent="0.3">
      <c r="A417" s="72">
        <v>14</v>
      </c>
      <c r="B417" s="73">
        <v>45754</v>
      </c>
      <c r="C417" s="70" t="s">
        <v>178</v>
      </c>
      <c r="D417" s="74" t="s">
        <v>147</v>
      </c>
      <c r="E417" s="75">
        <v>49.829700000000003</v>
      </c>
      <c r="F417" s="75" t="s">
        <v>352</v>
      </c>
      <c r="K417" s="72">
        <v>14</v>
      </c>
      <c r="L417" s="73">
        <v>45754</v>
      </c>
      <c r="M417" s="70" t="s">
        <v>179</v>
      </c>
      <c r="N417" s="74" t="s">
        <v>147</v>
      </c>
      <c r="O417" s="75">
        <v>14.805</v>
      </c>
      <c r="P417" s="75" t="s">
        <v>352</v>
      </c>
      <c r="U417" s="72">
        <v>14</v>
      </c>
      <c r="V417" s="73">
        <v>45754</v>
      </c>
      <c r="W417" s="70" t="s">
        <v>180</v>
      </c>
      <c r="X417" s="74" t="s">
        <v>147</v>
      </c>
      <c r="Y417" s="75">
        <v>47.730899999999998</v>
      </c>
      <c r="Z417" s="75" t="s">
        <v>352</v>
      </c>
    </row>
    <row r="418" spans="1:26" x14ac:dyDescent="0.3">
      <c r="A418" s="72">
        <v>15</v>
      </c>
      <c r="B418" s="73">
        <v>45761</v>
      </c>
      <c r="C418" s="70" t="s">
        <v>178</v>
      </c>
      <c r="D418" s="74" t="s">
        <v>147</v>
      </c>
      <c r="E418" s="75">
        <v>50.345500000000001</v>
      </c>
      <c r="F418" s="75" t="s">
        <v>352</v>
      </c>
      <c r="K418" s="72">
        <v>15</v>
      </c>
      <c r="L418" s="73">
        <v>45761</v>
      </c>
      <c r="M418" s="70" t="s">
        <v>179</v>
      </c>
      <c r="N418" s="74" t="s">
        <v>147</v>
      </c>
      <c r="O418" s="75">
        <v>14.747999999999999</v>
      </c>
      <c r="P418" s="75" t="s">
        <v>352</v>
      </c>
      <c r="U418" s="72">
        <v>15</v>
      </c>
      <c r="V418" s="73">
        <v>45761</v>
      </c>
      <c r="W418" s="70" t="s">
        <v>180</v>
      </c>
      <c r="X418" s="74" t="s">
        <v>147</v>
      </c>
      <c r="Y418" s="75">
        <v>47.017600000000002</v>
      </c>
      <c r="Z418" s="75" t="s">
        <v>352</v>
      </c>
    </row>
    <row r="419" spans="1:26" x14ac:dyDescent="0.3">
      <c r="A419" s="72">
        <v>16</v>
      </c>
      <c r="B419" s="73">
        <v>45768</v>
      </c>
      <c r="C419" s="70" t="s">
        <v>178</v>
      </c>
      <c r="D419" s="74" t="s">
        <v>147</v>
      </c>
      <c r="E419" s="75">
        <v>51.037999999999997</v>
      </c>
      <c r="F419" s="75" t="s">
        <v>352</v>
      </c>
      <c r="K419" s="72">
        <v>16</v>
      </c>
      <c r="L419" s="73">
        <v>45768</v>
      </c>
      <c r="M419" s="70" t="s">
        <v>179</v>
      </c>
      <c r="N419" s="74" t="s">
        <v>147</v>
      </c>
      <c r="O419" s="75">
        <v>14.853899999999999</v>
      </c>
      <c r="P419" s="75" t="s">
        <v>352</v>
      </c>
      <c r="U419" s="72">
        <v>16</v>
      </c>
      <c r="V419" s="73">
        <v>45768</v>
      </c>
      <c r="W419" s="70" t="s">
        <v>180</v>
      </c>
      <c r="X419" s="74" t="s">
        <v>147</v>
      </c>
      <c r="Y419" s="75">
        <v>46.7744</v>
      </c>
      <c r="Z419" s="75" t="s">
        <v>352</v>
      </c>
    </row>
    <row r="420" spans="1:26" x14ac:dyDescent="0.3">
      <c r="A420" s="72">
        <v>17</v>
      </c>
      <c r="B420" s="73">
        <v>45775</v>
      </c>
      <c r="C420" s="70" t="s">
        <v>178</v>
      </c>
      <c r="D420" s="74" t="s">
        <v>147</v>
      </c>
      <c r="E420" s="75">
        <v>49.959699999999998</v>
      </c>
      <c r="F420" s="75" t="s">
        <v>352</v>
      </c>
      <c r="K420" s="72">
        <v>17</v>
      </c>
      <c r="L420" s="73">
        <v>45775</v>
      </c>
      <c r="M420" s="70" t="s">
        <v>179</v>
      </c>
      <c r="N420" s="74" t="s">
        <v>147</v>
      </c>
      <c r="O420" s="75">
        <v>14.7498</v>
      </c>
      <c r="P420" s="75" t="s">
        <v>352</v>
      </c>
      <c r="U420" s="72">
        <v>17</v>
      </c>
      <c r="V420" s="73">
        <v>45775</v>
      </c>
      <c r="W420" s="70" t="s">
        <v>180</v>
      </c>
      <c r="X420" s="74" t="s">
        <v>147</v>
      </c>
      <c r="Y420" s="75">
        <v>47.389400000000002</v>
      </c>
      <c r="Z420" s="75" t="s">
        <v>352</v>
      </c>
    </row>
    <row r="421" spans="1:26" x14ac:dyDescent="0.3">
      <c r="A421" s="72">
        <v>18</v>
      </c>
      <c r="B421" s="73">
        <v>45782</v>
      </c>
      <c r="C421" s="70" t="s">
        <v>178</v>
      </c>
      <c r="D421" s="74" t="s">
        <v>147</v>
      </c>
      <c r="E421" s="75">
        <v>49.074300000000001</v>
      </c>
      <c r="F421" s="75" t="s">
        <v>352</v>
      </c>
      <c r="K421" s="72">
        <v>18</v>
      </c>
      <c r="L421" s="73">
        <v>45782</v>
      </c>
      <c r="M421" s="70" t="s">
        <v>179</v>
      </c>
      <c r="N421" s="74" t="s">
        <v>147</v>
      </c>
      <c r="O421" s="75">
        <v>14.7035</v>
      </c>
      <c r="P421" s="75" t="s">
        <v>352</v>
      </c>
      <c r="U421" s="72">
        <v>18</v>
      </c>
      <c r="V421" s="73">
        <v>45782</v>
      </c>
      <c r="W421" s="70" t="s">
        <v>180</v>
      </c>
      <c r="X421" s="74" t="s">
        <v>147</v>
      </c>
      <c r="Y421" s="75">
        <v>47.72</v>
      </c>
      <c r="Z421" s="75" t="s">
        <v>352</v>
      </c>
    </row>
    <row r="422" spans="1:26" x14ac:dyDescent="0.3">
      <c r="A422" s="72">
        <v>19</v>
      </c>
      <c r="B422" s="73">
        <v>45789</v>
      </c>
      <c r="C422" s="70" t="s">
        <v>178</v>
      </c>
      <c r="D422" s="74" t="s">
        <v>147</v>
      </c>
      <c r="E422" s="75">
        <v>49.459000000000003</v>
      </c>
      <c r="F422" s="75" t="s">
        <v>352</v>
      </c>
      <c r="K422" s="72">
        <v>19</v>
      </c>
      <c r="L422" s="73">
        <v>45789</v>
      </c>
      <c r="M422" s="70" t="s">
        <v>179</v>
      </c>
      <c r="N422" s="74" t="s">
        <v>147</v>
      </c>
      <c r="O422" s="75">
        <v>14.897500000000001</v>
      </c>
      <c r="P422" s="75" t="s">
        <v>352</v>
      </c>
      <c r="U422" s="72">
        <v>19</v>
      </c>
      <c r="V422" s="73">
        <v>45789</v>
      </c>
      <c r="W422" s="70" t="s">
        <v>180</v>
      </c>
      <c r="X422" s="74" t="s">
        <v>147</v>
      </c>
      <c r="Y422" s="75">
        <v>46.9358</v>
      </c>
      <c r="Z422" s="75" t="s">
        <v>352</v>
      </c>
    </row>
    <row r="423" spans="1:26" x14ac:dyDescent="0.3">
      <c r="A423" s="72">
        <v>20</v>
      </c>
      <c r="B423" s="73">
        <v>45796</v>
      </c>
      <c r="C423" s="70" t="s">
        <v>178</v>
      </c>
      <c r="D423" s="74" t="s">
        <v>147</v>
      </c>
      <c r="E423" s="75">
        <v>49.097999999999999</v>
      </c>
      <c r="F423" s="75" t="s">
        <v>352</v>
      </c>
      <c r="K423" s="72">
        <v>20</v>
      </c>
      <c r="L423" s="73">
        <v>45796</v>
      </c>
      <c r="M423" s="70" t="s">
        <v>179</v>
      </c>
      <c r="N423" s="74" t="s">
        <v>147</v>
      </c>
      <c r="O423" s="75">
        <v>14.8338</v>
      </c>
      <c r="P423" s="75" t="s">
        <v>352</v>
      </c>
      <c r="U423" s="72">
        <v>20</v>
      </c>
      <c r="V423" s="73">
        <v>45796</v>
      </c>
      <c r="W423" s="70" t="s">
        <v>180</v>
      </c>
      <c r="X423" s="74" t="s">
        <v>147</v>
      </c>
      <c r="Y423" s="75">
        <v>47.474200000000003</v>
      </c>
      <c r="Z423" s="75" t="s">
        <v>352</v>
      </c>
    </row>
    <row r="424" spans="1:26" x14ac:dyDescent="0.3">
      <c r="A424" s="72">
        <v>21</v>
      </c>
      <c r="B424" s="73">
        <v>45803</v>
      </c>
      <c r="C424" s="70" t="s">
        <v>178</v>
      </c>
      <c r="D424" s="74" t="s">
        <v>147</v>
      </c>
      <c r="E424" s="75">
        <v>49.255800000000001</v>
      </c>
      <c r="F424" s="75" t="s">
        <v>352</v>
      </c>
      <c r="K424" s="72">
        <v>21</v>
      </c>
      <c r="L424" s="73">
        <v>45803</v>
      </c>
      <c r="M424" s="70" t="s">
        <v>179</v>
      </c>
      <c r="N424" s="74" t="s">
        <v>147</v>
      </c>
      <c r="O424" s="75">
        <v>14.7973</v>
      </c>
      <c r="P424" s="75" t="s">
        <v>352</v>
      </c>
      <c r="U424" s="72">
        <v>21</v>
      </c>
      <c r="V424" s="73">
        <v>45803</v>
      </c>
      <c r="W424" s="70" t="s">
        <v>180</v>
      </c>
      <c r="X424" s="74" t="s">
        <v>147</v>
      </c>
      <c r="Y424" s="75">
        <v>47.237499999999997</v>
      </c>
      <c r="Z424" s="75" t="s">
        <v>352</v>
      </c>
    </row>
    <row r="425" spans="1:26" x14ac:dyDescent="0.3">
      <c r="A425" s="72">
        <v>22</v>
      </c>
      <c r="B425" s="73">
        <v>45810</v>
      </c>
      <c r="C425" s="70" t="s">
        <v>178</v>
      </c>
      <c r="D425" s="74" t="s">
        <v>147</v>
      </c>
      <c r="E425" s="75">
        <v>50.7682</v>
      </c>
      <c r="F425" s="75" t="s">
        <v>352</v>
      </c>
      <c r="K425" s="72">
        <v>22</v>
      </c>
      <c r="L425" s="73">
        <v>45810</v>
      </c>
      <c r="M425" s="70" t="s">
        <v>179</v>
      </c>
      <c r="N425" s="74" t="s">
        <v>147</v>
      </c>
      <c r="O425" s="75">
        <v>14.8552</v>
      </c>
      <c r="P425" s="75" t="s">
        <v>352</v>
      </c>
      <c r="U425" s="72">
        <v>22</v>
      </c>
      <c r="V425" s="73">
        <v>45810</v>
      </c>
      <c r="W425" s="70" t="s">
        <v>180</v>
      </c>
      <c r="X425" s="74" t="s">
        <v>147</v>
      </c>
      <c r="Y425" s="75">
        <v>48.866500000000002</v>
      </c>
      <c r="Z425" s="75" t="s">
        <v>352</v>
      </c>
    </row>
    <row r="426" spans="1:26" x14ac:dyDescent="0.3">
      <c r="A426" s="72">
        <v>23</v>
      </c>
      <c r="B426" s="73">
        <v>45817</v>
      </c>
      <c r="C426" s="70" t="s">
        <v>178</v>
      </c>
      <c r="D426" s="74" t="s">
        <v>147</v>
      </c>
      <c r="E426" s="75">
        <v>50.116300000000003</v>
      </c>
      <c r="F426" s="75" t="s">
        <v>352</v>
      </c>
      <c r="K426" s="72">
        <v>23</v>
      </c>
      <c r="L426" s="73">
        <v>45817</v>
      </c>
      <c r="M426" s="70" t="s">
        <v>179</v>
      </c>
      <c r="N426" s="74" t="s">
        <v>147</v>
      </c>
      <c r="O426" s="75">
        <v>14.866300000000001</v>
      </c>
      <c r="P426" s="75" t="s">
        <v>352</v>
      </c>
      <c r="U426" s="72">
        <v>23</v>
      </c>
      <c r="V426" s="73">
        <v>45817</v>
      </c>
      <c r="W426" s="70" t="s">
        <v>180</v>
      </c>
      <c r="X426" s="74" t="s">
        <v>147</v>
      </c>
      <c r="Y426" s="75">
        <v>46.894100000000002</v>
      </c>
      <c r="Z426" s="75" t="s">
        <v>352</v>
      </c>
    </row>
    <row r="427" spans="1:26" x14ac:dyDescent="0.3">
      <c r="A427" s="72">
        <v>24</v>
      </c>
      <c r="B427" s="73">
        <v>45824</v>
      </c>
      <c r="C427" s="70" t="s">
        <v>178</v>
      </c>
      <c r="D427" s="74" t="s">
        <v>147</v>
      </c>
      <c r="E427" s="75">
        <v>49.060600000000001</v>
      </c>
      <c r="F427" s="75" t="s">
        <v>352</v>
      </c>
      <c r="K427" s="72">
        <v>24</v>
      </c>
      <c r="L427" s="73">
        <v>45824</v>
      </c>
      <c r="M427" s="70" t="s">
        <v>179</v>
      </c>
      <c r="N427" s="74" t="s">
        <v>147</v>
      </c>
      <c r="O427" s="75">
        <v>14.8072</v>
      </c>
      <c r="P427" s="75" t="s">
        <v>352</v>
      </c>
      <c r="U427" s="72">
        <v>24</v>
      </c>
      <c r="V427" s="73">
        <v>45824</v>
      </c>
      <c r="W427" s="70" t="s">
        <v>180</v>
      </c>
      <c r="X427" s="74" t="s">
        <v>147</v>
      </c>
      <c r="Y427" s="75">
        <v>48.062399999999997</v>
      </c>
      <c r="Z427" s="75" t="s">
        <v>352</v>
      </c>
    </row>
    <row r="428" spans="1:26" x14ac:dyDescent="0.3">
      <c r="A428" s="72">
        <v>25</v>
      </c>
      <c r="B428" s="73">
        <v>45831</v>
      </c>
      <c r="C428" s="70" t="s">
        <v>178</v>
      </c>
      <c r="D428" s="74" t="s">
        <v>147</v>
      </c>
      <c r="E428" s="75">
        <v>50.374400000000001</v>
      </c>
      <c r="F428" s="75" t="s">
        <v>352</v>
      </c>
      <c r="K428" s="72">
        <v>25</v>
      </c>
      <c r="L428" s="73">
        <v>45831</v>
      </c>
      <c r="M428" s="70" t="s">
        <v>179</v>
      </c>
      <c r="N428" s="74" t="s">
        <v>147</v>
      </c>
      <c r="O428" s="75">
        <v>14.578099999999999</v>
      </c>
      <c r="P428" s="75" t="s">
        <v>352</v>
      </c>
      <c r="U428" s="72">
        <v>25</v>
      </c>
      <c r="V428" s="73">
        <v>45831</v>
      </c>
      <c r="W428" s="70" t="s">
        <v>180</v>
      </c>
      <c r="X428" s="74" t="s">
        <v>147</v>
      </c>
      <c r="Y428" s="75">
        <v>47.260399999999997</v>
      </c>
      <c r="Z428" s="75" t="s">
        <v>352</v>
      </c>
    </row>
    <row r="429" spans="1:26" x14ac:dyDescent="0.3">
      <c r="A429" s="72">
        <v>1</v>
      </c>
      <c r="B429" s="73">
        <v>45663</v>
      </c>
      <c r="C429" s="70" t="s">
        <v>178</v>
      </c>
      <c r="D429" s="74" t="s">
        <v>148</v>
      </c>
      <c r="E429" s="75">
        <v>19.413499999999999</v>
      </c>
      <c r="F429" s="75" t="s">
        <v>352</v>
      </c>
      <c r="K429" s="72">
        <v>1</v>
      </c>
      <c r="L429" s="73">
        <v>45663</v>
      </c>
      <c r="M429" s="70" t="s">
        <v>179</v>
      </c>
      <c r="N429" s="74" t="s">
        <v>148</v>
      </c>
      <c r="O429" s="75">
        <v>9.8600999999999992</v>
      </c>
      <c r="P429" s="75" t="s">
        <v>352</v>
      </c>
      <c r="U429" s="72">
        <v>1</v>
      </c>
      <c r="V429" s="73">
        <v>45663</v>
      </c>
      <c r="W429" s="70" t="s">
        <v>180</v>
      </c>
      <c r="X429" s="74" t="s">
        <v>148</v>
      </c>
      <c r="Y429" s="75">
        <v>15.1092</v>
      </c>
      <c r="Z429" s="75" t="s">
        <v>352</v>
      </c>
    </row>
    <row r="430" spans="1:26" x14ac:dyDescent="0.3">
      <c r="A430" s="72">
        <v>2</v>
      </c>
      <c r="B430" s="73">
        <v>45670</v>
      </c>
      <c r="C430" s="70" t="s">
        <v>178</v>
      </c>
      <c r="D430" s="74" t="s">
        <v>148</v>
      </c>
      <c r="E430" s="75">
        <v>19.553799999999999</v>
      </c>
      <c r="F430" s="75" t="s">
        <v>352</v>
      </c>
      <c r="K430" s="72">
        <v>2</v>
      </c>
      <c r="L430" s="73">
        <v>45670</v>
      </c>
      <c r="M430" s="70" t="s">
        <v>179</v>
      </c>
      <c r="N430" s="74" t="s">
        <v>148</v>
      </c>
      <c r="O430" s="75">
        <v>9.8871000000000002</v>
      </c>
      <c r="P430" s="75" t="s">
        <v>352</v>
      </c>
      <c r="U430" s="72">
        <v>2</v>
      </c>
      <c r="V430" s="73">
        <v>45670</v>
      </c>
      <c r="W430" s="70" t="s">
        <v>180</v>
      </c>
      <c r="X430" s="74" t="s">
        <v>148</v>
      </c>
      <c r="Y430" s="75">
        <v>14.9474</v>
      </c>
      <c r="Z430" s="75" t="s">
        <v>352</v>
      </c>
    </row>
    <row r="431" spans="1:26" x14ac:dyDescent="0.3">
      <c r="A431" s="72">
        <v>3</v>
      </c>
      <c r="B431" s="73">
        <v>45677</v>
      </c>
      <c r="C431" s="70" t="s">
        <v>178</v>
      </c>
      <c r="D431" s="74" t="s">
        <v>148</v>
      </c>
      <c r="E431" s="75">
        <v>19.5823</v>
      </c>
      <c r="F431" s="75" t="s">
        <v>352</v>
      </c>
      <c r="K431" s="72">
        <v>3</v>
      </c>
      <c r="L431" s="73">
        <v>45677</v>
      </c>
      <c r="M431" s="70" t="s">
        <v>179</v>
      </c>
      <c r="N431" s="74" t="s">
        <v>148</v>
      </c>
      <c r="O431" s="75">
        <v>9.6751000000000005</v>
      </c>
      <c r="P431" s="75" t="s">
        <v>352</v>
      </c>
      <c r="U431" s="72">
        <v>3</v>
      </c>
      <c r="V431" s="73">
        <v>45677</v>
      </c>
      <c r="W431" s="70" t="s">
        <v>180</v>
      </c>
      <c r="X431" s="74" t="s">
        <v>148</v>
      </c>
      <c r="Y431" s="75">
        <v>14.924799999999999</v>
      </c>
      <c r="Z431" s="75" t="s">
        <v>352</v>
      </c>
    </row>
    <row r="432" spans="1:26" x14ac:dyDescent="0.3">
      <c r="A432" s="72">
        <v>4</v>
      </c>
      <c r="B432" s="73">
        <v>45684</v>
      </c>
      <c r="C432" s="70" t="s">
        <v>178</v>
      </c>
      <c r="D432" s="74" t="s">
        <v>148</v>
      </c>
      <c r="E432" s="75">
        <v>19.643999999999998</v>
      </c>
      <c r="F432" s="75" t="s">
        <v>352</v>
      </c>
      <c r="K432" s="72">
        <v>4</v>
      </c>
      <c r="L432" s="73">
        <v>45684</v>
      </c>
      <c r="M432" s="70" t="s">
        <v>179</v>
      </c>
      <c r="N432" s="74" t="s">
        <v>148</v>
      </c>
      <c r="O432" s="75">
        <v>9.8247</v>
      </c>
      <c r="P432" s="75" t="s">
        <v>352</v>
      </c>
      <c r="U432" s="72">
        <v>4</v>
      </c>
      <c r="V432" s="73">
        <v>45684</v>
      </c>
      <c r="W432" s="70" t="s">
        <v>180</v>
      </c>
      <c r="X432" s="74" t="s">
        <v>148</v>
      </c>
      <c r="Y432" s="75">
        <v>14.797499999999999</v>
      </c>
      <c r="Z432" s="75" t="s">
        <v>352</v>
      </c>
    </row>
    <row r="433" spans="1:26" x14ac:dyDescent="0.3">
      <c r="A433" s="72">
        <v>5</v>
      </c>
      <c r="B433" s="73">
        <v>45691</v>
      </c>
      <c r="C433" s="70" t="s">
        <v>178</v>
      </c>
      <c r="D433" s="74" t="s">
        <v>148</v>
      </c>
      <c r="E433" s="75">
        <v>19.488800000000001</v>
      </c>
      <c r="F433" s="75" t="s">
        <v>352</v>
      </c>
      <c r="K433" s="72">
        <v>5</v>
      </c>
      <c r="L433" s="73">
        <v>45691</v>
      </c>
      <c r="M433" s="70" t="s">
        <v>179</v>
      </c>
      <c r="N433" s="74" t="s">
        <v>148</v>
      </c>
      <c r="O433" s="75">
        <v>10.3178</v>
      </c>
      <c r="P433" s="75" t="s">
        <v>352</v>
      </c>
      <c r="U433" s="72">
        <v>5</v>
      </c>
      <c r="V433" s="73">
        <v>45691</v>
      </c>
      <c r="W433" s="70" t="s">
        <v>180</v>
      </c>
      <c r="X433" s="74" t="s">
        <v>148</v>
      </c>
      <c r="Y433" s="75">
        <v>15.0252</v>
      </c>
      <c r="Z433" s="75" t="s">
        <v>352</v>
      </c>
    </row>
    <row r="434" spans="1:26" x14ac:dyDescent="0.3">
      <c r="A434" s="72">
        <v>6</v>
      </c>
      <c r="B434" s="73">
        <v>45698</v>
      </c>
      <c r="C434" s="70" t="s">
        <v>178</v>
      </c>
      <c r="D434" s="74" t="s">
        <v>148</v>
      </c>
      <c r="E434" s="75">
        <v>19.3352</v>
      </c>
      <c r="F434" s="75" t="s">
        <v>352</v>
      </c>
      <c r="K434" s="72">
        <v>6</v>
      </c>
      <c r="L434" s="73">
        <v>45698</v>
      </c>
      <c r="M434" s="70" t="s">
        <v>179</v>
      </c>
      <c r="N434" s="74" t="s">
        <v>148</v>
      </c>
      <c r="O434" s="75">
        <v>9.3232999999999997</v>
      </c>
      <c r="P434" s="75" t="s">
        <v>352</v>
      </c>
      <c r="U434" s="72">
        <v>6</v>
      </c>
      <c r="V434" s="73">
        <v>45698</v>
      </c>
      <c r="W434" s="70" t="s">
        <v>180</v>
      </c>
      <c r="X434" s="74" t="s">
        <v>148</v>
      </c>
      <c r="Y434" s="75">
        <v>15.1907</v>
      </c>
      <c r="Z434" s="75" t="s">
        <v>352</v>
      </c>
    </row>
    <row r="435" spans="1:26" x14ac:dyDescent="0.3">
      <c r="A435" s="72">
        <v>7</v>
      </c>
      <c r="B435" s="73">
        <v>45705</v>
      </c>
      <c r="C435" s="70" t="s">
        <v>178</v>
      </c>
      <c r="D435" s="74" t="s">
        <v>148</v>
      </c>
      <c r="E435" s="75">
        <v>19.345600000000001</v>
      </c>
      <c r="F435" s="75" t="s">
        <v>352</v>
      </c>
      <c r="K435" s="72">
        <v>7</v>
      </c>
      <c r="L435" s="73">
        <v>45705</v>
      </c>
      <c r="M435" s="70" t="s">
        <v>179</v>
      </c>
      <c r="N435" s="74" t="s">
        <v>148</v>
      </c>
      <c r="O435" s="75">
        <v>9.9121000000000006</v>
      </c>
      <c r="P435" s="75" t="s">
        <v>352</v>
      </c>
      <c r="U435" s="72">
        <v>7</v>
      </c>
      <c r="V435" s="73">
        <v>45705</v>
      </c>
      <c r="W435" s="70" t="s">
        <v>180</v>
      </c>
      <c r="X435" s="74" t="s">
        <v>148</v>
      </c>
      <c r="Y435" s="75">
        <v>15.0101</v>
      </c>
      <c r="Z435" s="75" t="s">
        <v>352</v>
      </c>
    </row>
    <row r="436" spans="1:26" x14ac:dyDescent="0.3">
      <c r="A436" s="72">
        <v>8</v>
      </c>
      <c r="B436" s="73">
        <v>45712</v>
      </c>
      <c r="C436" s="70" t="s">
        <v>178</v>
      </c>
      <c r="D436" s="74" t="s">
        <v>148</v>
      </c>
      <c r="E436" s="75">
        <v>19.518799999999999</v>
      </c>
      <c r="F436" s="75" t="s">
        <v>352</v>
      </c>
      <c r="K436" s="72">
        <v>8</v>
      </c>
      <c r="L436" s="73">
        <v>45712</v>
      </c>
      <c r="M436" s="70" t="s">
        <v>179</v>
      </c>
      <c r="N436" s="74" t="s">
        <v>148</v>
      </c>
      <c r="O436" s="75">
        <v>9.5620999999999992</v>
      </c>
      <c r="P436" s="75" t="s">
        <v>352</v>
      </c>
      <c r="U436" s="72">
        <v>8</v>
      </c>
      <c r="V436" s="73">
        <v>45712</v>
      </c>
      <c r="W436" s="70" t="s">
        <v>180</v>
      </c>
      <c r="X436" s="74" t="s">
        <v>148</v>
      </c>
      <c r="Y436" s="75">
        <v>15.059799999999999</v>
      </c>
      <c r="Z436" s="75" t="s">
        <v>352</v>
      </c>
    </row>
    <row r="437" spans="1:26" x14ac:dyDescent="0.3">
      <c r="A437" s="72">
        <v>9</v>
      </c>
      <c r="B437" s="73">
        <v>45719</v>
      </c>
      <c r="C437" s="70" t="s">
        <v>178</v>
      </c>
      <c r="D437" s="74" t="s">
        <v>148</v>
      </c>
      <c r="E437" s="75">
        <v>19.5305</v>
      </c>
      <c r="F437" s="75" t="s">
        <v>352</v>
      </c>
      <c r="K437" s="72">
        <v>9</v>
      </c>
      <c r="L437" s="73">
        <v>45719</v>
      </c>
      <c r="M437" s="70" t="s">
        <v>179</v>
      </c>
      <c r="N437" s="74" t="s">
        <v>148</v>
      </c>
      <c r="O437" s="75">
        <v>9.8907000000000007</v>
      </c>
      <c r="P437" s="75" t="s">
        <v>352</v>
      </c>
      <c r="U437" s="72">
        <v>9</v>
      </c>
      <c r="V437" s="73">
        <v>45719</v>
      </c>
      <c r="W437" s="70" t="s">
        <v>180</v>
      </c>
      <c r="X437" s="74" t="s">
        <v>148</v>
      </c>
      <c r="Y437" s="75">
        <v>14.9941</v>
      </c>
      <c r="Z437" s="75" t="s">
        <v>352</v>
      </c>
    </row>
    <row r="438" spans="1:26" x14ac:dyDescent="0.3">
      <c r="A438" s="72">
        <v>10</v>
      </c>
      <c r="B438" s="73">
        <v>45726</v>
      </c>
      <c r="C438" s="70" t="s">
        <v>178</v>
      </c>
      <c r="D438" s="74" t="s">
        <v>148</v>
      </c>
      <c r="E438" s="75">
        <v>19.665600000000001</v>
      </c>
      <c r="F438" s="75" t="s">
        <v>352</v>
      </c>
      <c r="K438" s="72">
        <v>10</v>
      </c>
      <c r="L438" s="73">
        <v>45726</v>
      </c>
      <c r="M438" s="70" t="s">
        <v>179</v>
      </c>
      <c r="N438" s="74" t="s">
        <v>148</v>
      </c>
      <c r="O438" s="75">
        <v>10.0867</v>
      </c>
      <c r="P438" s="75" t="s">
        <v>352</v>
      </c>
      <c r="U438" s="72">
        <v>10</v>
      </c>
      <c r="V438" s="73">
        <v>45726</v>
      </c>
      <c r="W438" s="70" t="s">
        <v>180</v>
      </c>
      <c r="X438" s="74" t="s">
        <v>148</v>
      </c>
      <c r="Y438" s="75">
        <v>14.8552</v>
      </c>
      <c r="Z438" s="75" t="s">
        <v>352</v>
      </c>
    </row>
    <row r="439" spans="1:26" x14ac:dyDescent="0.3">
      <c r="A439" s="72">
        <v>11</v>
      </c>
      <c r="B439" s="73">
        <v>45733</v>
      </c>
      <c r="C439" s="70" t="s">
        <v>178</v>
      </c>
      <c r="D439" s="74" t="s">
        <v>148</v>
      </c>
      <c r="E439" s="75">
        <v>19.503699999999998</v>
      </c>
      <c r="F439" s="75" t="s">
        <v>352</v>
      </c>
      <c r="K439" s="72">
        <v>11</v>
      </c>
      <c r="L439" s="73">
        <v>45733</v>
      </c>
      <c r="M439" s="70" t="s">
        <v>179</v>
      </c>
      <c r="N439" s="74" t="s">
        <v>148</v>
      </c>
      <c r="O439" s="75">
        <v>9.8171999999999997</v>
      </c>
      <c r="P439" s="75" t="s">
        <v>352</v>
      </c>
      <c r="U439" s="72">
        <v>11</v>
      </c>
      <c r="V439" s="73">
        <v>45733</v>
      </c>
      <c r="W439" s="70" t="s">
        <v>180</v>
      </c>
      <c r="X439" s="74" t="s">
        <v>148</v>
      </c>
      <c r="Y439" s="75">
        <v>15.0664</v>
      </c>
      <c r="Z439" s="75" t="s">
        <v>352</v>
      </c>
    </row>
    <row r="440" spans="1:26" x14ac:dyDescent="0.3">
      <c r="A440" s="72">
        <v>12</v>
      </c>
      <c r="B440" s="73">
        <v>45740</v>
      </c>
      <c r="C440" s="70" t="s">
        <v>178</v>
      </c>
      <c r="D440" s="74" t="s">
        <v>148</v>
      </c>
      <c r="E440" s="75">
        <v>19.6098</v>
      </c>
      <c r="F440" s="75" t="s">
        <v>352</v>
      </c>
      <c r="K440" s="72">
        <v>12</v>
      </c>
      <c r="L440" s="73">
        <v>45740</v>
      </c>
      <c r="M440" s="70" t="s">
        <v>179</v>
      </c>
      <c r="N440" s="74" t="s">
        <v>148</v>
      </c>
      <c r="O440" s="75">
        <v>10.066599999999999</v>
      </c>
      <c r="P440" s="75" t="s">
        <v>352</v>
      </c>
      <c r="U440" s="72">
        <v>12</v>
      </c>
      <c r="V440" s="73">
        <v>45740</v>
      </c>
      <c r="W440" s="70" t="s">
        <v>180</v>
      </c>
      <c r="X440" s="74" t="s">
        <v>148</v>
      </c>
      <c r="Y440" s="75">
        <v>14.8325</v>
      </c>
      <c r="Z440" s="75" t="s">
        <v>352</v>
      </c>
    </row>
    <row r="441" spans="1:26" x14ac:dyDescent="0.3">
      <c r="A441" s="72">
        <v>13</v>
      </c>
      <c r="B441" s="73">
        <v>45747</v>
      </c>
      <c r="C441" s="70" t="s">
        <v>178</v>
      </c>
      <c r="D441" s="74" t="s">
        <v>148</v>
      </c>
      <c r="E441" s="75">
        <v>19.685300000000002</v>
      </c>
      <c r="F441" s="75" t="s">
        <v>352</v>
      </c>
      <c r="K441" s="72">
        <v>13</v>
      </c>
      <c r="L441" s="73">
        <v>45747</v>
      </c>
      <c r="M441" s="70" t="s">
        <v>179</v>
      </c>
      <c r="N441" s="74" t="s">
        <v>148</v>
      </c>
      <c r="O441" s="75">
        <v>9.3569999999999993</v>
      </c>
      <c r="P441" s="75" t="s">
        <v>352</v>
      </c>
      <c r="U441" s="72">
        <v>13</v>
      </c>
      <c r="V441" s="73">
        <v>45747</v>
      </c>
      <c r="W441" s="70" t="s">
        <v>180</v>
      </c>
      <c r="X441" s="74" t="s">
        <v>148</v>
      </c>
      <c r="Y441" s="75">
        <v>14.925700000000001</v>
      </c>
      <c r="Z441" s="75" t="s">
        <v>352</v>
      </c>
    </row>
    <row r="442" spans="1:26" x14ac:dyDescent="0.3">
      <c r="A442" s="72">
        <v>14</v>
      </c>
      <c r="B442" s="73">
        <v>45754</v>
      </c>
      <c r="C442" s="70" t="s">
        <v>178</v>
      </c>
      <c r="D442" s="74" t="s">
        <v>148</v>
      </c>
      <c r="E442" s="75">
        <v>19.4617</v>
      </c>
      <c r="F442" s="75" t="s">
        <v>352</v>
      </c>
      <c r="K442" s="72">
        <v>14</v>
      </c>
      <c r="L442" s="73">
        <v>45754</v>
      </c>
      <c r="M442" s="70" t="s">
        <v>179</v>
      </c>
      <c r="N442" s="74" t="s">
        <v>148</v>
      </c>
      <c r="O442" s="75">
        <v>10.1669</v>
      </c>
      <c r="P442" s="75" t="s">
        <v>352</v>
      </c>
      <c r="U442" s="72">
        <v>14</v>
      </c>
      <c r="V442" s="73">
        <v>45754</v>
      </c>
      <c r="W442" s="70" t="s">
        <v>180</v>
      </c>
      <c r="X442" s="74" t="s">
        <v>148</v>
      </c>
      <c r="Y442" s="75">
        <v>14.9702</v>
      </c>
      <c r="Z442" s="75" t="s">
        <v>352</v>
      </c>
    </row>
    <row r="443" spans="1:26" x14ac:dyDescent="0.3">
      <c r="A443" s="72">
        <v>15</v>
      </c>
      <c r="B443" s="73">
        <v>45761</v>
      </c>
      <c r="C443" s="70" t="s">
        <v>178</v>
      </c>
      <c r="D443" s="74" t="s">
        <v>148</v>
      </c>
      <c r="E443" s="75">
        <v>19.188800000000001</v>
      </c>
      <c r="F443" s="75" t="s">
        <v>352</v>
      </c>
      <c r="K443" s="72">
        <v>15</v>
      </c>
      <c r="L443" s="73">
        <v>45761</v>
      </c>
      <c r="M443" s="70" t="s">
        <v>179</v>
      </c>
      <c r="N443" s="74" t="s">
        <v>148</v>
      </c>
      <c r="O443" s="75">
        <v>9.6532999999999998</v>
      </c>
      <c r="P443" s="75" t="s">
        <v>352</v>
      </c>
      <c r="U443" s="72">
        <v>15</v>
      </c>
      <c r="V443" s="73">
        <v>45761</v>
      </c>
      <c r="W443" s="70" t="s">
        <v>180</v>
      </c>
      <c r="X443" s="74" t="s">
        <v>148</v>
      </c>
      <c r="Y443" s="75">
        <v>15.0251</v>
      </c>
      <c r="Z443" s="75" t="s">
        <v>352</v>
      </c>
    </row>
    <row r="444" spans="1:26" x14ac:dyDescent="0.3">
      <c r="A444" s="72">
        <v>16</v>
      </c>
      <c r="B444" s="73">
        <v>45768</v>
      </c>
      <c r="C444" s="70" t="s">
        <v>178</v>
      </c>
      <c r="D444" s="74" t="s">
        <v>148</v>
      </c>
      <c r="E444" s="75">
        <v>19.2395</v>
      </c>
      <c r="F444" s="75" t="s">
        <v>352</v>
      </c>
      <c r="K444" s="72">
        <v>16</v>
      </c>
      <c r="L444" s="73">
        <v>45768</v>
      </c>
      <c r="M444" s="70" t="s">
        <v>179</v>
      </c>
      <c r="N444" s="74" t="s">
        <v>148</v>
      </c>
      <c r="O444" s="75">
        <v>10.0214</v>
      </c>
      <c r="P444" s="75" t="s">
        <v>352</v>
      </c>
      <c r="U444" s="72">
        <v>16</v>
      </c>
      <c r="V444" s="73">
        <v>45768</v>
      </c>
      <c r="W444" s="70" t="s">
        <v>180</v>
      </c>
      <c r="X444" s="74" t="s">
        <v>148</v>
      </c>
      <c r="Y444" s="75">
        <v>14.982699999999999</v>
      </c>
      <c r="Z444" s="75" t="s">
        <v>352</v>
      </c>
    </row>
    <row r="445" spans="1:26" x14ac:dyDescent="0.3">
      <c r="A445" s="72">
        <v>17</v>
      </c>
      <c r="B445" s="73">
        <v>45775</v>
      </c>
      <c r="C445" s="70" t="s">
        <v>178</v>
      </c>
      <c r="D445" s="74" t="s">
        <v>148</v>
      </c>
      <c r="E445" s="75">
        <v>19.1967</v>
      </c>
      <c r="F445" s="75" t="s">
        <v>352</v>
      </c>
      <c r="K445" s="72">
        <v>17</v>
      </c>
      <c r="L445" s="73">
        <v>45775</v>
      </c>
      <c r="M445" s="70" t="s">
        <v>179</v>
      </c>
      <c r="N445" s="74" t="s">
        <v>148</v>
      </c>
      <c r="O445" s="75">
        <v>9.8893000000000004</v>
      </c>
      <c r="P445" s="75" t="s">
        <v>352</v>
      </c>
      <c r="U445" s="72">
        <v>17</v>
      </c>
      <c r="V445" s="73">
        <v>45775</v>
      </c>
      <c r="W445" s="70" t="s">
        <v>180</v>
      </c>
      <c r="X445" s="74" t="s">
        <v>148</v>
      </c>
      <c r="Y445" s="75">
        <v>14.98</v>
      </c>
      <c r="Z445" s="75" t="s">
        <v>352</v>
      </c>
    </row>
    <row r="446" spans="1:26" x14ac:dyDescent="0.3">
      <c r="A446" s="72">
        <v>18</v>
      </c>
      <c r="B446" s="73">
        <v>45782</v>
      </c>
      <c r="C446" s="70" t="s">
        <v>178</v>
      </c>
      <c r="D446" s="74" t="s">
        <v>148</v>
      </c>
      <c r="E446" s="75">
        <v>19.697600000000001</v>
      </c>
      <c r="F446" s="75" t="s">
        <v>352</v>
      </c>
      <c r="K446" s="72">
        <v>18</v>
      </c>
      <c r="L446" s="73">
        <v>45782</v>
      </c>
      <c r="M446" s="70" t="s">
        <v>179</v>
      </c>
      <c r="N446" s="74" t="s">
        <v>148</v>
      </c>
      <c r="O446" s="75">
        <v>9.0579999999999998</v>
      </c>
      <c r="P446" s="75" t="s">
        <v>352</v>
      </c>
      <c r="U446" s="72">
        <v>18</v>
      </c>
      <c r="V446" s="73">
        <v>45782</v>
      </c>
      <c r="W446" s="70" t="s">
        <v>180</v>
      </c>
      <c r="X446" s="74" t="s">
        <v>148</v>
      </c>
      <c r="Y446" s="75">
        <v>14.8756</v>
      </c>
      <c r="Z446" s="75" t="s">
        <v>352</v>
      </c>
    </row>
    <row r="447" spans="1:26" x14ac:dyDescent="0.3">
      <c r="A447" s="72">
        <v>19</v>
      </c>
      <c r="B447" s="73">
        <v>45789</v>
      </c>
      <c r="C447" s="70" t="s">
        <v>178</v>
      </c>
      <c r="D447" s="74" t="s">
        <v>148</v>
      </c>
      <c r="E447" s="75">
        <v>19.2944</v>
      </c>
      <c r="F447" s="75" t="s">
        <v>352</v>
      </c>
      <c r="K447" s="72">
        <v>19</v>
      </c>
      <c r="L447" s="73">
        <v>45789</v>
      </c>
      <c r="M447" s="70" t="s">
        <v>179</v>
      </c>
      <c r="N447" s="74" t="s">
        <v>148</v>
      </c>
      <c r="O447" s="75">
        <v>9.6074000000000002</v>
      </c>
      <c r="P447" s="75" t="s">
        <v>352</v>
      </c>
      <c r="U447" s="72">
        <v>19</v>
      </c>
      <c r="V447" s="73">
        <v>45789</v>
      </c>
      <c r="W447" s="70" t="s">
        <v>180</v>
      </c>
      <c r="X447" s="74" t="s">
        <v>148</v>
      </c>
      <c r="Y447" s="75">
        <v>14.827500000000001</v>
      </c>
      <c r="Z447" s="75" t="s">
        <v>352</v>
      </c>
    </row>
    <row r="448" spans="1:26" x14ac:dyDescent="0.3">
      <c r="A448" s="72">
        <v>20</v>
      </c>
      <c r="B448" s="73">
        <v>45796</v>
      </c>
      <c r="C448" s="70" t="s">
        <v>178</v>
      </c>
      <c r="D448" s="74" t="s">
        <v>148</v>
      </c>
      <c r="E448" s="75">
        <v>19.638200000000001</v>
      </c>
      <c r="F448" s="75" t="s">
        <v>352</v>
      </c>
      <c r="K448" s="72">
        <v>20</v>
      </c>
      <c r="L448" s="73">
        <v>45796</v>
      </c>
      <c r="M448" s="70" t="s">
        <v>179</v>
      </c>
      <c r="N448" s="74" t="s">
        <v>148</v>
      </c>
      <c r="O448" s="75">
        <v>9.9007000000000005</v>
      </c>
      <c r="P448" s="75" t="s">
        <v>352</v>
      </c>
      <c r="U448" s="72">
        <v>20</v>
      </c>
      <c r="V448" s="73">
        <v>45796</v>
      </c>
      <c r="W448" s="70" t="s">
        <v>180</v>
      </c>
      <c r="X448" s="74" t="s">
        <v>148</v>
      </c>
      <c r="Y448" s="75">
        <v>14.9504</v>
      </c>
      <c r="Z448" s="75" t="s">
        <v>352</v>
      </c>
    </row>
    <row r="449" spans="1:26" x14ac:dyDescent="0.3">
      <c r="A449" s="72">
        <v>21</v>
      </c>
      <c r="B449" s="73">
        <v>45803</v>
      </c>
      <c r="C449" s="70" t="s">
        <v>178</v>
      </c>
      <c r="D449" s="74" t="s">
        <v>148</v>
      </c>
      <c r="E449" s="75">
        <v>19.531300000000002</v>
      </c>
      <c r="F449" s="75" t="s">
        <v>352</v>
      </c>
      <c r="K449" s="72">
        <v>21</v>
      </c>
      <c r="L449" s="73">
        <v>45803</v>
      </c>
      <c r="M449" s="70" t="s">
        <v>179</v>
      </c>
      <c r="N449" s="74" t="s">
        <v>148</v>
      </c>
      <c r="O449" s="75">
        <v>10.3012</v>
      </c>
      <c r="P449" s="75" t="s">
        <v>352</v>
      </c>
      <c r="U449" s="72">
        <v>21</v>
      </c>
      <c r="V449" s="73">
        <v>45803</v>
      </c>
      <c r="W449" s="70" t="s">
        <v>180</v>
      </c>
      <c r="X449" s="74" t="s">
        <v>148</v>
      </c>
      <c r="Y449" s="75">
        <v>14.8802</v>
      </c>
      <c r="Z449" s="75" t="s">
        <v>352</v>
      </c>
    </row>
    <row r="450" spans="1:26" x14ac:dyDescent="0.3">
      <c r="A450" s="72">
        <v>22</v>
      </c>
      <c r="B450" s="73">
        <v>45810</v>
      </c>
      <c r="C450" s="70" t="s">
        <v>178</v>
      </c>
      <c r="D450" s="74" t="s">
        <v>148</v>
      </c>
      <c r="E450" s="75">
        <v>19.7181</v>
      </c>
      <c r="F450" s="75" t="s">
        <v>352</v>
      </c>
      <c r="K450" s="72">
        <v>22</v>
      </c>
      <c r="L450" s="73">
        <v>45810</v>
      </c>
      <c r="M450" s="70" t="s">
        <v>179</v>
      </c>
      <c r="N450" s="74" t="s">
        <v>148</v>
      </c>
      <c r="O450" s="75">
        <v>9.9207999999999998</v>
      </c>
      <c r="P450" s="75" t="s">
        <v>352</v>
      </c>
      <c r="U450" s="72">
        <v>22</v>
      </c>
      <c r="V450" s="73">
        <v>45810</v>
      </c>
      <c r="W450" s="70" t="s">
        <v>180</v>
      </c>
      <c r="X450" s="74" t="s">
        <v>148</v>
      </c>
      <c r="Y450" s="75">
        <v>14.825900000000001</v>
      </c>
      <c r="Z450" s="75" t="s">
        <v>352</v>
      </c>
    </row>
    <row r="451" spans="1:26" x14ac:dyDescent="0.3">
      <c r="A451" s="72">
        <v>23</v>
      </c>
      <c r="B451" s="73">
        <v>45817</v>
      </c>
      <c r="C451" s="70" t="s">
        <v>178</v>
      </c>
      <c r="D451" s="74" t="s">
        <v>148</v>
      </c>
      <c r="E451" s="75">
        <v>19.600300000000001</v>
      </c>
      <c r="F451" s="75" t="s">
        <v>352</v>
      </c>
      <c r="K451" s="72">
        <v>23</v>
      </c>
      <c r="L451" s="73">
        <v>45817</v>
      </c>
      <c r="M451" s="70" t="s">
        <v>179</v>
      </c>
      <c r="N451" s="74" t="s">
        <v>148</v>
      </c>
      <c r="O451" s="75">
        <v>9.9118999999999993</v>
      </c>
      <c r="P451" s="75" t="s">
        <v>352</v>
      </c>
      <c r="U451" s="72">
        <v>23</v>
      </c>
      <c r="V451" s="73">
        <v>45817</v>
      </c>
      <c r="W451" s="70" t="s">
        <v>180</v>
      </c>
      <c r="X451" s="74" t="s">
        <v>148</v>
      </c>
      <c r="Y451" s="75">
        <v>14.829700000000001</v>
      </c>
      <c r="Z451" s="75" t="s">
        <v>352</v>
      </c>
    </row>
    <row r="452" spans="1:26" x14ac:dyDescent="0.3">
      <c r="A452" s="72">
        <v>24</v>
      </c>
      <c r="B452" s="73">
        <v>45824</v>
      </c>
      <c r="C452" s="70" t="s">
        <v>178</v>
      </c>
      <c r="D452" s="74" t="s">
        <v>148</v>
      </c>
      <c r="E452" s="75">
        <v>19.4176</v>
      </c>
      <c r="F452" s="75" t="s">
        <v>352</v>
      </c>
      <c r="K452" s="72">
        <v>24</v>
      </c>
      <c r="L452" s="73">
        <v>45824</v>
      </c>
      <c r="M452" s="70" t="s">
        <v>179</v>
      </c>
      <c r="N452" s="74" t="s">
        <v>148</v>
      </c>
      <c r="O452" s="75">
        <v>9.4101999999999997</v>
      </c>
      <c r="P452" s="75" t="s">
        <v>352</v>
      </c>
      <c r="U452" s="72">
        <v>24</v>
      </c>
      <c r="V452" s="73">
        <v>45824</v>
      </c>
      <c r="W452" s="70" t="s">
        <v>180</v>
      </c>
      <c r="X452" s="74" t="s">
        <v>148</v>
      </c>
      <c r="Y452" s="75">
        <v>14.9002</v>
      </c>
      <c r="Z452" s="75" t="s">
        <v>352</v>
      </c>
    </row>
    <row r="453" spans="1:26" x14ac:dyDescent="0.3">
      <c r="A453" s="72">
        <v>25</v>
      </c>
      <c r="B453" s="73">
        <v>45831</v>
      </c>
      <c r="C453" s="70" t="s">
        <v>178</v>
      </c>
      <c r="D453" s="74" t="s">
        <v>148</v>
      </c>
      <c r="E453" s="75">
        <v>19.401399999999999</v>
      </c>
      <c r="F453" s="75" t="s">
        <v>352</v>
      </c>
      <c r="K453" s="72">
        <v>25</v>
      </c>
      <c r="L453" s="73">
        <v>45831</v>
      </c>
      <c r="M453" s="70" t="s">
        <v>179</v>
      </c>
      <c r="N453" s="74" t="s">
        <v>148</v>
      </c>
      <c r="O453" s="75">
        <v>10.2643</v>
      </c>
      <c r="P453" s="75" t="s">
        <v>352</v>
      </c>
      <c r="U453" s="72">
        <v>25</v>
      </c>
      <c r="V453" s="73">
        <v>45831</v>
      </c>
      <c r="W453" s="70" t="s">
        <v>180</v>
      </c>
      <c r="X453" s="74" t="s">
        <v>148</v>
      </c>
      <c r="Y453" s="75">
        <v>14.776300000000001</v>
      </c>
      <c r="Z453" s="75" t="s">
        <v>352</v>
      </c>
    </row>
    <row r="454" spans="1:26" x14ac:dyDescent="0.3">
      <c r="A454" s="72">
        <v>1</v>
      </c>
      <c r="B454" s="73">
        <v>45663</v>
      </c>
      <c r="C454" s="70" t="s">
        <v>178</v>
      </c>
      <c r="D454" s="74" t="s">
        <v>150</v>
      </c>
      <c r="E454" s="75">
        <v>4.2713999999999999</v>
      </c>
      <c r="F454" s="75" t="s">
        <v>352</v>
      </c>
      <c r="K454" s="72">
        <v>1</v>
      </c>
      <c r="L454" s="73">
        <v>45663</v>
      </c>
      <c r="M454" s="70" t="s">
        <v>179</v>
      </c>
      <c r="N454" s="74" t="s">
        <v>150</v>
      </c>
      <c r="O454" s="75">
        <v>2.3692000000000002</v>
      </c>
      <c r="P454" s="75" t="s">
        <v>352</v>
      </c>
      <c r="U454" s="72">
        <v>1</v>
      </c>
      <c r="V454" s="73">
        <v>45663</v>
      </c>
      <c r="W454" s="70" t="s">
        <v>180</v>
      </c>
      <c r="X454" s="74" t="s">
        <v>150</v>
      </c>
      <c r="Y454" s="75">
        <v>1.1737</v>
      </c>
      <c r="Z454" s="75" t="s">
        <v>352</v>
      </c>
    </row>
    <row r="455" spans="1:26" x14ac:dyDescent="0.3">
      <c r="A455" s="72">
        <v>2</v>
      </c>
      <c r="B455" s="73">
        <v>45670</v>
      </c>
      <c r="C455" s="70" t="s">
        <v>178</v>
      </c>
      <c r="D455" s="74" t="s">
        <v>150</v>
      </c>
      <c r="E455" s="75">
        <v>4.1947000000000001</v>
      </c>
      <c r="F455" s="75" t="s">
        <v>352</v>
      </c>
      <c r="K455" s="72">
        <v>2</v>
      </c>
      <c r="L455" s="73">
        <v>45670</v>
      </c>
      <c r="M455" s="70" t="s">
        <v>179</v>
      </c>
      <c r="N455" s="74" t="s">
        <v>150</v>
      </c>
      <c r="O455" s="75">
        <v>2.3087</v>
      </c>
      <c r="P455" s="75" t="s">
        <v>352</v>
      </c>
      <c r="U455" s="72">
        <v>2</v>
      </c>
      <c r="V455" s="73">
        <v>45670</v>
      </c>
      <c r="W455" s="70" t="s">
        <v>180</v>
      </c>
      <c r="X455" s="74" t="s">
        <v>150</v>
      </c>
      <c r="Y455" s="75">
        <v>1.2270000000000001</v>
      </c>
      <c r="Z455" s="75" t="s">
        <v>352</v>
      </c>
    </row>
    <row r="456" spans="1:26" x14ac:dyDescent="0.3">
      <c r="A456" s="72">
        <v>3</v>
      </c>
      <c r="B456" s="73">
        <v>45677</v>
      </c>
      <c r="C456" s="70" t="s">
        <v>178</v>
      </c>
      <c r="D456" s="74" t="s">
        <v>150</v>
      </c>
      <c r="E456" s="75">
        <v>4.6792999999999996</v>
      </c>
      <c r="F456" s="75" t="s">
        <v>352</v>
      </c>
      <c r="K456" s="72">
        <v>3</v>
      </c>
      <c r="L456" s="73">
        <v>45677</v>
      </c>
      <c r="M456" s="70" t="s">
        <v>179</v>
      </c>
      <c r="N456" s="74" t="s">
        <v>150</v>
      </c>
      <c r="O456" s="75">
        <v>2.2128000000000001</v>
      </c>
      <c r="P456" s="75" t="s">
        <v>352</v>
      </c>
      <c r="U456" s="72">
        <v>3</v>
      </c>
      <c r="V456" s="73">
        <v>45677</v>
      </c>
      <c r="W456" s="70" t="s">
        <v>180</v>
      </c>
      <c r="X456" s="74" t="s">
        <v>150</v>
      </c>
      <c r="Y456" s="75">
        <v>1.1216999999999999</v>
      </c>
      <c r="Z456" s="75" t="s">
        <v>352</v>
      </c>
    </row>
    <row r="457" spans="1:26" x14ac:dyDescent="0.3">
      <c r="A457" s="72">
        <v>4</v>
      </c>
      <c r="B457" s="73">
        <v>45684</v>
      </c>
      <c r="C457" s="70" t="s">
        <v>178</v>
      </c>
      <c r="D457" s="74" t="s">
        <v>150</v>
      </c>
      <c r="E457" s="75">
        <v>4.7394999999999996</v>
      </c>
      <c r="F457" s="75" t="s">
        <v>352</v>
      </c>
      <c r="K457" s="72">
        <v>4</v>
      </c>
      <c r="L457" s="73">
        <v>45684</v>
      </c>
      <c r="M457" s="70" t="s">
        <v>179</v>
      </c>
      <c r="N457" s="74" t="s">
        <v>150</v>
      </c>
      <c r="O457" s="75">
        <v>2.3264999999999998</v>
      </c>
      <c r="P457" s="75" t="s">
        <v>352</v>
      </c>
      <c r="U457" s="72">
        <v>4</v>
      </c>
      <c r="V457" s="73">
        <v>45684</v>
      </c>
      <c r="W457" s="70" t="s">
        <v>180</v>
      </c>
      <c r="X457" s="74" t="s">
        <v>150</v>
      </c>
      <c r="Y457" s="75">
        <v>1.1476999999999999</v>
      </c>
      <c r="Z457" s="75" t="s">
        <v>352</v>
      </c>
    </row>
    <row r="458" spans="1:26" x14ac:dyDescent="0.3">
      <c r="A458" s="72">
        <v>5</v>
      </c>
      <c r="B458" s="73">
        <v>45691</v>
      </c>
      <c r="C458" s="70" t="s">
        <v>178</v>
      </c>
      <c r="D458" s="74" t="s">
        <v>150</v>
      </c>
      <c r="E458" s="75">
        <v>5.1658999999999997</v>
      </c>
      <c r="F458" s="75" t="s">
        <v>352</v>
      </c>
      <c r="K458" s="72">
        <v>5</v>
      </c>
      <c r="L458" s="73">
        <v>45691</v>
      </c>
      <c r="M458" s="70" t="s">
        <v>179</v>
      </c>
      <c r="N458" s="74" t="s">
        <v>150</v>
      </c>
      <c r="O458" s="75">
        <v>2.3898999999999999</v>
      </c>
      <c r="P458" s="75" t="s">
        <v>352</v>
      </c>
      <c r="U458" s="72">
        <v>5</v>
      </c>
      <c r="V458" s="73">
        <v>45691</v>
      </c>
      <c r="W458" s="70" t="s">
        <v>180</v>
      </c>
      <c r="X458" s="74" t="s">
        <v>150</v>
      </c>
      <c r="Y458" s="75">
        <v>1.2410000000000001</v>
      </c>
      <c r="Z458" s="75" t="s">
        <v>352</v>
      </c>
    </row>
    <row r="459" spans="1:26" x14ac:dyDescent="0.3">
      <c r="A459" s="72">
        <v>6</v>
      </c>
      <c r="B459" s="73">
        <v>45698</v>
      </c>
      <c r="C459" s="70" t="s">
        <v>178</v>
      </c>
      <c r="D459" s="74" t="s">
        <v>150</v>
      </c>
      <c r="E459" s="75">
        <v>4.2313999999999998</v>
      </c>
      <c r="F459" s="75" t="s">
        <v>352</v>
      </c>
      <c r="K459" s="72">
        <v>6</v>
      </c>
      <c r="L459" s="73">
        <v>45698</v>
      </c>
      <c r="M459" s="70" t="s">
        <v>179</v>
      </c>
      <c r="N459" s="74" t="s">
        <v>150</v>
      </c>
      <c r="O459" s="75">
        <v>2.4405999999999999</v>
      </c>
      <c r="P459" s="75" t="s">
        <v>352</v>
      </c>
      <c r="U459" s="72">
        <v>6</v>
      </c>
      <c r="V459" s="73">
        <v>45698</v>
      </c>
      <c r="W459" s="70" t="s">
        <v>180</v>
      </c>
      <c r="X459" s="74" t="s">
        <v>150</v>
      </c>
      <c r="Y459" s="75">
        <v>1.1847000000000001</v>
      </c>
      <c r="Z459" s="75" t="s">
        <v>352</v>
      </c>
    </row>
    <row r="460" spans="1:26" x14ac:dyDescent="0.3">
      <c r="A460" s="72">
        <v>7</v>
      </c>
      <c r="B460" s="73">
        <v>45705</v>
      </c>
      <c r="C460" s="70" t="s">
        <v>178</v>
      </c>
      <c r="D460" s="74" t="s">
        <v>150</v>
      </c>
      <c r="E460" s="75">
        <v>4.4494999999999996</v>
      </c>
      <c r="F460" s="75" t="s">
        <v>352</v>
      </c>
      <c r="K460" s="72">
        <v>7</v>
      </c>
      <c r="L460" s="73">
        <v>45705</v>
      </c>
      <c r="M460" s="70" t="s">
        <v>179</v>
      </c>
      <c r="N460" s="74" t="s">
        <v>150</v>
      </c>
      <c r="O460" s="75">
        <v>2.2096</v>
      </c>
      <c r="P460" s="75" t="s">
        <v>352</v>
      </c>
      <c r="U460" s="72">
        <v>7</v>
      </c>
      <c r="V460" s="73">
        <v>45705</v>
      </c>
      <c r="W460" s="70" t="s">
        <v>180</v>
      </c>
      <c r="X460" s="74" t="s">
        <v>150</v>
      </c>
      <c r="Y460" s="75">
        <v>1.2277</v>
      </c>
      <c r="Z460" s="75" t="s">
        <v>352</v>
      </c>
    </row>
    <row r="461" spans="1:26" x14ac:dyDescent="0.3">
      <c r="A461" s="72">
        <v>8</v>
      </c>
      <c r="B461" s="73">
        <v>45712</v>
      </c>
      <c r="C461" s="70" t="s">
        <v>178</v>
      </c>
      <c r="D461" s="74" t="s">
        <v>150</v>
      </c>
      <c r="E461" s="75">
        <v>4.8739999999999997</v>
      </c>
      <c r="F461" s="75" t="s">
        <v>352</v>
      </c>
      <c r="K461" s="72">
        <v>8</v>
      </c>
      <c r="L461" s="73">
        <v>45712</v>
      </c>
      <c r="M461" s="70" t="s">
        <v>179</v>
      </c>
      <c r="N461" s="74" t="s">
        <v>150</v>
      </c>
      <c r="O461" s="75">
        <v>2.5038999999999998</v>
      </c>
      <c r="P461" s="75" t="s">
        <v>352</v>
      </c>
      <c r="U461" s="72">
        <v>8</v>
      </c>
      <c r="V461" s="73">
        <v>45712</v>
      </c>
      <c r="W461" s="70" t="s">
        <v>180</v>
      </c>
      <c r="X461" s="74" t="s">
        <v>150</v>
      </c>
      <c r="Y461" s="75">
        <v>1.2304999999999999</v>
      </c>
      <c r="Z461" s="75" t="s">
        <v>352</v>
      </c>
    </row>
    <row r="462" spans="1:26" x14ac:dyDescent="0.3">
      <c r="A462" s="72">
        <v>9</v>
      </c>
      <c r="B462" s="73">
        <v>45719</v>
      </c>
      <c r="C462" s="70" t="s">
        <v>178</v>
      </c>
      <c r="D462" s="74" t="s">
        <v>150</v>
      </c>
      <c r="E462" s="75">
        <v>4.5728999999999997</v>
      </c>
      <c r="F462" s="75" t="s">
        <v>352</v>
      </c>
      <c r="K462" s="72">
        <v>9</v>
      </c>
      <c r="L462" s="73">
        <v>45719</v>
      </c>
      <c r="M462" s="70" t="s">
        <v>179</v>
      </c>
      <c r="N462" s="74" t="s">
        <v>150</v>
      </c>
      <c r="O462" s="75">
        <v>2.2747000000000002</v>
      </c>
      <c r="P462" s="75" t="s">
        <v>352</v>
      </c>
      <c r="U462" s="72">
        <v>9</v>
      </c>
      <c r="V462" s="73">
        <v>45719</v>
      </c>
      <c r="W462" s="70" t="s">
        <v>180</v>
      </c>
      <c r="X462" s="74" t="s">
        <v>150</v>
      </c>
      <c r="Y462" s="75">
        <v>1.3366</v>
      </c>
      <c r="Z462" s="75" t="s">
        <v>352</v>
      </c>
    </row>
    <row r="463" spans="1:26" x14ac:dyDescent="0.3">
      <c r="A463" s="72">
        <v>10</v>
      </c>
      <c r="B463" s="73">
        <v>45726</v>
      </c>
      <c r="C463" s="70" t="s">
        <v>178</v>
      </c>
      <c r="D463" s="74" t="s">
        <v>150</v>
      </c>
      <c r="E463" s="75">
        <v>4.5434999999999999</v>
      </c>
      <c r="F463" s="75" t="s">
        <v>352</v>
      </c>
      <c r="K463" s="72">
        <v>10</v>
      </c>
      <c r="L463" s="73">
        <v>45726</v>
      </c>
      <c r="M463" s="70" t="s">
        <v>179</v>
      </c>
      <c r="N463" s="74" t="s">
        <v>150</v>
      </c>
      <c r="O463" s="75">
        <v>2.4024000000000001</v>
      </c>
      <c r="P463" s="75" t="s">
        <v>352</v>
      </c>
      <c r="U463" s="72">
        <v>10</v>
      </c>
      <c r="V463" s="73">
        <v>45726</v>
      </c>
      <c r="W463" s="70" t="s">
        <v>180</v>
      </c>
      <c r="X463" s="74" t="s">
        <v>150</v>
      </c>
      <c r="Y463" s="75">
        <v>1.3037000000000001</v>
      </c>
      <c r="Z463" s="75" t="s">
        <v>352</v>
      </c>
    </row>
    <row r="464" spans="1:26" x14ac:dyDescent="0.3">
      <c r="A464" s="72">
        <v>11</v>
      </c>
      <c r="B464" s="73">
        <v>45733</v>
      </c>
      <c r="C464" s="70" t="s">
        <v>178</v>
      </c>
      <c r="D464" s="74" t="s">
        <v>150</v>
      </c>
      <c r="E464" s="75">
        <v>5.0864000000000003</v>
      </c>
      <c r="F464" s="75" t="s">
        <v>352</v>
      </c>
      <c r="K464" s="72">
        <v>11</v>
      </c>
      <c r="L464" s="73">
        <v>45733</v>
      </c>
      <c r="M464" s="70" t="s">
        <v>179</v>
      </c>
      <c r="N464" s="74" t="s">
        <v>150</v>
      </c>
      <c r="O464" s="75">
        <v>2.4194</v>
      </c>
      <c r="P464" s="75" t="s">
        <v>352</v>
      </c>
      <c r="U464" s="72">
        <v>11</v>
      </c>
      <c r="V464" s="73">
        <v>45733</v>
      </c>
      <c r="W464" s="70" t="s">
        <v>180</v>
      </c>
      <c r="X464" s="74" t="s">
        <v>150</v>
      </c>
      <c r="Y464" s="75">
        <v>1.2339</v>
      </c>
      <c r="Z464" s="75" t="s">
        <v>352</v>
      </c>
    </row>
    <row r="465" spans="1:26" x14ac:dyDescent="0.3">
      <c r="A465" s="72">
        <v>12</v>
      </c>
      <c r="B465" s="73">
        <v>45740</v>
      </c>
      <c r="C465" s="70" t="s">
        <v>178</v>
      </c>
      <c r="D465" s="74" t="s">
        <v>150</v>
      </c>
      <c r="E465" s="75">
        <v>4.5404999999999998</v>
      </c>
      <c r="F465" s="75" t="s">
        <v>352</v>
      </c>
      <c r="K465" s="72">
        <v>12</v>
      </c>
      <c r="L465" s="73">
        <v>45740</v>
      </c>
      <c r="M465" s="70" t="s">
        <v>179</v>
      </c>
      <c r="N465" s="74" t="s">
        <v>150</v>
      </c>
      <c r="O465" s="75">
        <v>2.4039999999999999</v>
      </c>
      <c r="P465" s="75" t="s">
        <v>352</v>
      </c>
      <c r="U465" s="72">
        <v>12</v>
      </c>
      <c r="V465" s="73">
        <v>45740</v>
      </c>
      <c r="W465" s="70" t="s">
        <v>180</v>
      </c>
      <c r="X465" s="74" t="s">
        <v>150</v>
      </c>
      <c r="Y465" s="75">
        <v>1.2990999999999999</v>
      </c>
      <c r="Z465" s="75" t="s">
        <v>352</v>
      </c>
    </row>
    <row r="466" spans="1:26" x14ac:dyDescent="0.3">
      <c r="A466" s="72">
        <v>13</v>
      </c>
      <c r="B466" s="73">
        <v>45747</v>
      </c>
      <c r="C466" s="70" t="s">
        <v>178</v>
      </c>
      <c r="D466" s="74" t="s">
        <v>150</v>
      </c>
      <c r="E466" s="75">
        <v>4.3224</v>
      </c>
      <c r="F466" s="75" t="s">
        <v>352</v>
      </c>
      <c r="K466" s="72">
        <v>13</v>
      </c>
      <c r="L466" s="73">
        <v>45747</v>
      </c>
      <c r="M466" s="70" t="s">
        <v>179</v>
      </c>
      <c r="N466" s="74" t="s">
        <v>150</v>
      </c>
      <c r="O466" s="75">
        <v>2.3530000000000002</v>
      </c>
      <c r="P466" s="75" t="s">
        <v>352</v>
      </c>
      <c r="U466" s="72">
        <v>13</v>
      </c>
      <c r="V466" s="73">
        <v>45747</v>
      </c>
      <c r="W466" s="70" t="s">
        <v>180</v>
      </c>
      <c r="X466" s="74" t="s">
        <v>150</v>
      </c>
      <c r="Y466" s="75">
        <v>1.1957</v>
      </c>
      <c r="Z466" s="75" t="s">
        <v>352</v>
      </c>
    </row>
    <row r="467" spans="1:26" x14ac:dyDescent="0.3">
      <c r="A467" s="72">
        <v>14</v>
      </c>
      <c r="B467" s="73">
        <v>45754</v>
      </c>
      <c r="C467" s="70" t="s">
        <v>178</v>
      </c>
      <c r="D467" s="74" t="s">
        <v>150</v>
      </c>
      <c r="E467" s="75">
        <v>4.2794999999999996</v>
      </c>
      <c r="F467" s="75" t="s">
        <v>352</v>
      </c>
      <c r="K467" s="72">
        <v>14</v>
      </c>
      <c r="L467" s="73">
        <v>45754</v>
      </c>
      <c r="M467" s="70" t="s">
        <v>179</v>
      </c>
      <c r="N467" s="74" t="s">
        <v>150</v>
      </c>
      <c r="O467" s="75">
        <v>2.2726000000000002</v>
      </c>
      <c r="P467" s="75" t="s">
        <v>352</v>
      </c>
      <c r="U467" s="72">
        <v>14</v>
      </c>
      <c r="V467" s="73">
        <v>45754</v>
      </c>
      <c r="W467" s="70" t="s">
        <v>180</v>
      </c>
      <c r="X467" s="74" t="s">
        <v>150</v>
      </c>
      <c r="Y467" s="75">
        <v>1.2186999999999999</v>
      </c>
      <c r="Z467" s="75" t="s">
        <v>352</v>
      </c>
    </row>
    <row r="468" spans="1:26" x14ac:dyDescent="0.3">
      <c r="A468" s="72">
        <v>15</v>
      </c>
      <c r="B468" s="73">
        <v>45761</v>
      </c>
      <c r="C468" s="70" t="s">
        <v>178</v>
      </c>
      <c r="D468" s="74" t="s">
        <v>150</v>
      </c>
      <c r="E468" s="75">
        <v>4.7202000000000002</v>
      </c>
      <c r="F468" s="75" t="s">
        <v>352</v>
      </c>
      <c r="K468" s="72">
        <v>15</v>
      </c>
      <c r="L468" s="73">
        <v>45761</v>
      </c>
      <c r="M468" s="70" t="s">
        <v>179</v>
      </c>
      <c r="N468" s="74" t="s">
        <v>150</v>
      </c>
      <c r="O468" s="75">
        <v>2.3822000000000001</v>
      </c>
      <c r="P468" s="75" t="s">
        <v>352</v>
      </c>
      <c r="U468" s="72">
        <v>15</v>
      </c>
      <c r="V468" s="73">
        <v>45761</v>
      </c>
      <c r="W468" s="70" t="s">
        <v>180</v>
      </c>
      <c r="X468" s="74" t="s">
        <v>150</v>
      </c>
      <c r="Y468" s="75">
        <v>1.2835000000000001</v>
      </c>
      <c r="Z468" s="75" t="s">
        <v>352</v>
      </c>
    </row>
    <row r="469" spans="1:26" x14ac:dyDescent="0.3">
      <c r="A469" s="72">
        <v>16</v>
      </c>
      <c r="B469" s="73">
        <v>45768</v>
      </c>
      <c r="C469" s="70" t="s">
        <v>178</v>
      </c>
      <c r="D469" s="74" t="s">
        <v>150</v>
      </c>
      <c r="E469" s="75">
        <v>4.7121000000000004</v>
      </c>
      <c r="F469" s="75" t="s">
        <v>352</v>
      </c>
      <c r="K469" s="72">
        <v>16</v>
      </c>
      <c r="L469" s="73">
        <v>45768</v>
      </c>
      <c r="M469" s="70" t="s">
        <v>179</v>
      </c>
      <c r="N469" s="74" t="s">
        <v>150</v>
      </c>
      <c r="O469" s="75">
        <v>2.2999999999999998</v>
      </c>
      <c r="P469" s="75" t="s">
        <v>352</v>
      </c>
      <c r="U469" s="72">
        <v>16</v>
      </c>
      <c r="V469" s="73">
        <v>45768</v>
      </c>
      <c r="W469" s="70" t="s">
        <v>180</v>
      </c>
      <c r="X469" s="74" t="s">
        <v>150</v>
      </c>
      <c r="Y469" s="75">
        <v>1.1717</v>
      </c>
      <c r="Z469" s="75" t="s">
        <v>352</v>
      </c>
    </row>
    <row r="470" spans="1:26" x14ac:dyDescent="0.3">
      <c r="A470" s="72">
        <v>17</v>
      </c>
      <c r="B470" s="73">
        <v>45775</v>
      </c>
      <c r="C470" s="70" t="s">
        <v>178</v>
      </c>
      <c r="D470" s="74" t="s">
        <v>150</v>
      </c>
      <c r="E470" s="75">
        <v>4.2648999999999999</v>
      </c>
      <c r="F470" s="75" t="s">
        <v>352</v>
      </c>
      <c r="K470" s="72">
        <v>17</v>
      </c>
      <c r="L470" s="73">
        <v>45775</v>
      </c>
      <c r="M470" s="70" t="s">
        <v>179</v>
      </c>
      <c r="N470" s="74" t="s">
        <v>150</v>
      </c>
      <c r="O470" s="75">
        <v>2.1892</v>
      </c>
      <c r="P470" s="75" t="s">
        <v>352</v>
      </c>
      <c r="U470" s="72">
        <v>17</v>
      </c>
      <c r="V470" s="73">
        <v>45775</v>
      </c>
      <c r="W470" s="70" t="s">
        <v>180</v>
      </c>
      <c r="X470" s="74" t="s">
        <v>150</v>
      </c>
      <c r="Y470" s="75">
        <v>1.2217</v>
      </c>
      <c r="Z470" s="75" t="s">
        <v>352</v>
      </c>
    </row>
    <row r="471" spans="1:26" x14ac:dyDescent="0.3">
      <c r="A471" s="72">
        <v>18</v>
      </c>
      <c r="B471" s="73">
        <v>45782</v>
      </c>
      <c r="C471" s="70" t="s">
        <v>178</v>
      </c>
      <c r="D471" s="74" t="s">
        <v>150</v>
      </c>
      <c r="E471" s="75">
        <v>4.3678999999999997</v>
      </c>
      <c r="F471" s="75" t="s">
        <v>352</v>
      </c>
      <c r="K471" s="72">
        <v>18</v>
      </c>
      <c r="L471" s="73">
        <v>45782</v>
      </c>
      <c r="M471" s="70" t="s">
        <v>179</v>
      </c>
      <c r="N471" s="74" t="s">
        <v>150</v>
      </c>
      <c r="O471" s="75">
        <v>2.5171000000000001</v>
      </c>
      <c r="P471" s="75" t="s">
        <v>352</v>
      </c>
      <c r="U471" s="72">
        <v>18</v>
      </c>
      <c r="V471" s="73">
        <v>45782</v>
      </c>
      <c r="W471" s="70" t="s">
        <v>180</v>
      </c>
      <c r="X471" s="74" t="s">
        <v>150</v>
      </c>
      <c r="Y471" s="75">
        <v>1.1675</v>
      </c>
      <c r="Z471" s="75" t="s">
        <v>352</v>
      </c>
    </row>
    <row r="472" spans="1:26" x14ac:dyDescent="0.3">
      <c r="A472" s="72">
        <v>19</v>
      </c>
      <c r="B472" s="73">
        <v>45789</v>
      </c>
      <c r="C472" s="70" t="s">
        <v>178</v>
      </c>
      <c r="D472" s="74" t="s">
        <v>150</v>
      </c>
      <c r="E472" s="75">
        <v>4.7732999999999999</v>
      </c>
      <c r="F472" s="75" t="s">
        <v>352</v>
      </c>
      <c r="K472" s="72">
        <v>19</v>
      </c>
      <c r="L472" s="73">
        <v>45789</v>
      </c>
      <c r="M472" s="70" t="s">
        <v>179</v>
      </c>
      <c r="N472" s="74" t="s">
        <v>150</v>
      </c>
      <c r="O472" s="75">
        <v>2.3872</v>
      </c>
      <c r="P472" s="75" t="s">
        <v>352</v>
      </c>
      <c r="U472" s="72">
        <v>19</v>
      </c>
      <c r="V472" s="73">
        <v>45789</v>
      </c>
      <c r="W472" s="70" t="s">
        <v>180</v>
      </c>
      <c r="X472" s="74" t="s">
        <v>150</v>
      </c>
      <c r="Y472" s="75">
        <v>1.2423</v>
      </c>
      <c r="Z472" s="75" t="s">
        <v>352</v>
      </c>
    </row>
    <row r="473" spans="1:26" x14ac:dyDescent="0.3">
      <c r="A473" s="72">
        <v>20</v>
      </c>
      <c r="B473" s="73">
        <v>45796</v>
      </c>
      <c r="C473" s="70" t="s">
        <v>178</v>
      </c>
      <c r="D473" s="74" t="s">
        <v>150</v>
      </c>
      <c r="E473" s="75">
        <v>4.7846000000000002</v>
      </c>
      <c r="F473" s="75" t="s">
        <v>352</v>
      </c>
      <c r="K473" s="72">
        <v>20</v>
      </c>
      <c r="L473" s="73">
        <v>45796</v>
      </c>
      <c r="M473" s="70" t="s">
        <v>179</v>
      </c>
      <c r="N473" s="74" t="s">
        <v>150</v>
      </c>
      <c r="O473" s="75">
        <v>2.4552</v>
      </c>
      <c r="P473" s="75" t="s">
        <v>352</v>
      </c>
      <c r="U473" s="72">
        <v>20</v>
      </c>
      <c r="V473" s="73">
        <v>45796</v>
      </c>
      <c r="W473" s="70" t="s">
        <v>180</v>
      </c>
      <c r="X473" s="74" t="s">
        <v>150</v>
      </c>
      <c r="Y473" s="75">
        <v>1.3210999999999999</v>
      </c>
      <c r="Z473" s="75" t="s">
        <v>352</v>
      </c>
    </row>
    <row r="474" spans="1:26" x14ac:dyDescent="0.3">
      <c r="A474" s="72">
        <v>21</v>
      </c>
      <c r="B474" s="73">
        <v>45803</v>
      </c>
      <c r="C474" s="70" t="s">
        <v>178</v>
      </c>
      <c r="D474" s="74" t="s">
        <v>150</v>
      </c>
      <c r="E474" s="75">
        <v>4.4592000000000001</v>
      </c>
      <c r="F474" s="75" t="s">
        <v>352</v>
      </c>
      <c r="K474" s="72">
        <v>21</v>
      </c>
      <c r="L474" s="73">
        <v>45803</v>
      </c>
      <c r="M474" s="70" t="s">
        <v>179</v>
      </c>
      <c r="N474" s="74" t="s">
        <v>150</v>
      </c>
      <c r="O474" s="75">
        <v>2.2879</v>
      </c>
      <c r="P474" s="75" t="s">
        <v>352</v>
      </c>
      <c r="U474" s="72">
        <v>21</v>
      </c>
      <c r="V474" s="73">
        <v>45803</v>
      </c>
      <c r="W474" s="70" t="s">
        <v>180</v>
      </c>
      <c r="X474" s="74" t="s">
        <v>150</v>
      </c>
      <c r="Y474" s="75">
        <v>1.1971000000000001</v>
      </c>
      <c r="Z474" s="75" t="s">
        <v>352</v>
      </c>
    </row>
    <row r="475" spans="1:26" x14ac:dyDescent="0.3">
      <c r="A475" s="72">
        <v>22</v>
      </c>
      <c r="B475" s="73">
        <v>45810</v>
      </c>
      <c r="C475" s="70" t="s">
        <v>178</v>
      </c>
      <c r="D475" s="74" t="s">
        <v>150</v>
      </c>
      <c r="E475" s="75">
        <v>4.7965999999999998</v>
      </c>
      <c r="F475" s="75" t="s">
        <v>352</v>
      </c>
      <c r="K475" s="72">
        <v>22</v>
      </c>
      <c r="L475" s="73">
        <v>45810</v>
      </c>
      <c r="M475" s="70" t="s">
        <v>179</v>
      </c>
      <c r="N475" s="74" t="s">
        <v>150</v>
      </c>
      <c r="O475" s="75">
        <v>2.4337</v>
      </c>
      <c r="P475" s="75" t="s">
        <v>352</v>
      </c>
      <c r="U475" s="72">
        <v>22</v>
      </c>
      <c r="V475" s="73">
        <v>45810</v>
      </c>
      <c r="W475" s="70" t="s">
        <v>180</v>
      </c>
      <c r="X475" s="74" t="s">
        <v>150</v>
      </c>
      <c r="Y475" s="75">
        <v>1.248</v>
      </c>
      <c r="Z475" s="75" t="s">
        <v>352</v>
      </c>
    </row>
    <row r="476" spans="1:26" x14ac:dyDescent="0.3">
      <c r="A476" s="72">
        <v>23</v>
      </c>
      <c r="B476" s="73">
        <v>45817</v>
      </c>
      <c r="C476" s="70" t="s">
        <v>178</v>
      </c>
      <c r="D476" s="74" t="s">
        <v>150</v>
      </c>
      <c r="E476" s="75">
        <v>4.7831999999999999</v>
      </c>
      <c r="F476" s="75" t="s">
        <v>352</v>
      </c>
      <c r="K476" s="72">
        <v>23</v>
      </c>
      <c r="L476" s="73">
        <v>45817</v>
      </c>
      <c r="M476" s="70" t="s">
        <v>179</v>
      </c>
      <c r="N476" s="74" t="s">
        <v>150</v>
      </c>
      <c r="O476" s="75">
        <v>2.4411999999999998</v>
      </c>
      <c r="P476" s="75" t="s">
        <v>352</v>
      </c>
      <c r="U476" s="72">
        <v>23</v>
      </c>
      <c r="V476" s="73">
        <v>45817</v>
      </c>
      <c r="W476" s="70" t="s">
        <v>180</v>
      </c>
      <c r="X476" s="74" t="s">
        <v>150</v>
      </c>
      <c r="Y476" s="75">
        <v>1.1896</v>
      </c>
      <c r="Z476" s="75" t="s">
        <v>352</v>
      </c>
    </row>
    <row r="477" spans="1:26" x14ac:dyDescent="0.3">
      <c r="A477" s="72">
        <v>24</v>
      </c>
      <c r="B477" s="73">
        <v>45824</v>
      </c>
      <c r="C477" s="70" t="s">
        <v>178</v>
      </c>
      <c r="D477" s="74" t="s">
        <v>150</v>
      </c>
      <c r="E477" s="75">
        <v>4.1551999999999998</v>
      </c>
      <c r="F477" s="75" t="s">
        <v>352</v>
      </c>
      <c r="K477" s="72">
        <v>24</v>
      </c>
      <c r="L477" s="73">
        <v>45824</v>
      </c>
      <c r="M477" s="70" t="s">
        <v>179</v>
      </c>
      <c r="N477" s="74" t="s">
        <v>150</v>
      </c>
      <c r="O477" s="75">
        <v>2.4390000000000001</v>
      </c>
      <c r="P477" s="75" t="s">
        <v>352</v>
      </c>
      <c r="U477" s="72">
        <v>24</v>
      </c>
      <c r="V477" s="73">
        <v>45824</v>
      </c>
      <c r="W477" s="70" t="s">
        <v>180</v>
      </c>
      <c r="X477" s="74" t="s">
        <v>150</v>
      </c>
      <c r="Y477" s="75">
        <v>1.1763999999999999</v>
      </c>
      <c r="Z477" s="75" t="s">
        <v>352</v>
      </c>
    </row>
    <row r="478" spans="1:26" x14ac:dyDescent="0.3">
      <c r="A478" s="72">
        <v>25</v>
      </c>
      <c r="B478" s="73">
        <v>45831</v>
      </c>
      <c r="C478" s="70" t="s">
        <v>178</v>
      </c>
      <c r="D478" s="74" t="s">
        <v>150</v>
      </c>
      <c r="E478" s="75">
        <v>4.5475000000000003</v>
      </c>
      <c r="F478" s="75" t="s">
        <v>352</v>
      </c>
      <c r="K478" s="72">
        <v>25</v>
      </c>
      <c r="L478" s="73">
        <v>45831</v>
      </c>
      <c r="M478" s="70" t="s">
        <v>179</v>
      </c>
      <c r="N478" s="74" t="s">
        <v>150</v>
      </c>
      <c r="O478" s="75">
        <v>2.3424999999999998</v>
      </c>
      <c r="P478" s="75" t="s">
        <v>352</v>
      </c>
      <c r="U478" s="72">
        <v>25</v>
      </c>
      <c r="V478" s="73">
        <v>45831</v>
      </c>
      <c r="W478" s="70" t="s">
        <v>180</v>
      </c>
      <c r="X478" s="74" t="s">
        <v>150</v>
      </c>
      <c r="Y478" s="75">
        <v>1.1719999999999999</v>
      </c>
      <c r="Z478" s="75" t="s">
        <v>352</v>
      </c>
    </row>
    <row r="479" spans="1:26" x14ac:dyDescent="0.3">
      <c r="A479" s="72">
        <v>1</v>
      </c>
      <c r="B479" s="73">
        <v>45663</v>
      </c>
      <c r="C479" s="70" t="s">
        <v>178</v>
      </c>
      <c r="D479" s="74" t="s">
        <v>151</v>
      </c>
      <c r="E479" s="75">
        <v>0.1166</v>
      </c>
      <c r="F479" s="75" t="s">
        <v>352</v>
      </c>
      <c r="K479" s="72">
        <v>1</v>
      </c>
      <c r="L479" s="73">
        <v>45663</v>
      </c>
      <c r="M479" s="70" t="s">
        <v>179</v>
      </c>
      <c r="N479" s="74" t="s">
        <v>151</v>
      </c>
      <c r="O479" s="75">
        <v>0.1016</v>
      </c>
      <c r="P479" s="75" t="s">
        <v>352</v>
      </c>
      <c r="U479" s="72">
        <v>1</v>
      </c>
      <c r="V479" s="73">
        <v>45663</v>
      </c>
      <c r="W479" s="70" t="s">
        <v>180</v>
      </c>
      <c r="X479" s="74" t="s">
        <v>151</v>
      </c>
      <c r="Y479" s="75">
        <v>6.4799999999999996E-2</v>
      </c>
      <c r="Z479" s="75" t="s">
        <v>352</v>
      </c>
    </row>
    <row r="480" spans="1:26" x14ac:dyDescent="0.3">
      <c r="A480" s="72">
        <v>2</v>
      </c>
      <c r="B480" s="73">
        <v>45670</v>
      </c>
      <c r="C480" s="70" t="s">
        <v>178</v>
      </c>
      <c r="D480" s="74" t="s">
        <v>151</v>
      </c>
      <c r="E480" s="75">
        <v>0.12280000000000001</v>
      </c>
      <c r="F480" s="75" t="s">
        <v>352</v>
      </c>
      <c r="K480" s="72">
        <v>2</v>
      </c>
      <c r="L480" s="73">
        <v>45670</v>
      </c>
      <c r="M480" s="70" t="s">
        <v>179</v>
      </c>
      <c r="N480" s="74" t="s">
        <v>151</v>
      </c>
      <c r="O480" s="75">
        <v>0.1066</v>
      </c>
      <c r="P480" s="75" t="s">
        <v>352</v>
      </c>
      <c r="U480" s="72">
        <v>2</v>
      </c>
      <c r="V480" s="73">
        <v>45670</v>
      </c>
      <c r="W480" s="70" t="s">
        <v>180</v>
      </c>
      <c r="X480" s="74" t="s">
        <v>151</v>
      </c>
      <c r="Y480" s="75">
        <v>6.3200000000000006E-2</v>
      </c>
      <c r="Z480" s="75" t="s">
        <v>352</v>
      </c>
    </row>
    <row r="481" spans="1:26" x14ac:dyDescent="0.3">
      <c r="A481" s="72">
        <v>3</v>
      </c>
      <c r="B481" s="73">
        <v>45677</v>
      </c>
      <c r="C481" s="70" t="s">
        <v>178</v>
      </c>
      <c r="D481" s="74" t="s">
        <v>151</v>
      </c>
      <c r="E481" s="75">
        <v>0.1101</v>
      </c>
      <c r="F481" s="75" t="s">
        <v>352</v>
      </c>
      <c r="K481" s="72">
        <v>3</v>
      </c>
      <c r="L481" s="73">
        <v>45677</v>
      </c>
      <c r="M481" s="70" t="s">
        <v>179</v>
      </c>
      <c r="N481" s="74" t="s">
        <v>151</v>
      </c>
      <c r="O481" s="75">
        <v>9.8400000000000001E-2</v>
      </c>
      <c r="P481" s="75" t="s">
        <v>352</v>
      </c>
      <c r="U481" s="72">
        <v>3</v>
      </c>
      <c r="V481" s="73">
        <v>45677</v>
      </c>
      <c r="W481" s="70" t="s">
        <v>180</v>
      </c>
      <c r="X481" s="74" t="s">
        <v>151</v>
      </c>
      <c r="Y481" s="75">
        <v>6.0499999999999998E-2</v>
      </c>
      <c r="Z481" s="75" t="s">
        <v>352</v>
      </c>
    </row>
    <row r="482" spans="1:26" x14ac:dyDescent="0.3">
      <c r="A482" s="72">
        <v>4</v>
      </c>
      <c r="B482" s="73">
        <v>45684</v>
      </c>
      <c r="C482" s="70" t="s">
        <v>178</v>
      </c>
      <c r="D482" s="74" t="s">
        <v>151</v>
      </c>
      <c r="E482" s="75">
        <v>0.10199999999999999</v>
      </c>
      <c r="F482" s="75" t="s">
        <v>352</v>
      </c>
      <c r="K482" s="72">
        <v>4</v>
      </c>
      <c r="L482" s="73">
        <v>45684</v>
      </c>
      <c r="M482" s="70" t="s">
        <v>179</v>
      </c>
      <c r="N482" s="74" t="s">
        <v>151</v>
      </c>
      <c r="O482" s="75">
        <v>0.1067</v>
      </c>
      <c r="P482" s="75" t="s">
        <v>352</v>
      </c>
      <c r="U482" s="72">
        <v>4</v>
      </c>
      <c r="V482" s="73">
        <v>45684</v>
      </c>
      <c r="W482" s="70" t="s">
        <v>180</v>
      </c>
      <c r="X482" s="74" t="s">
        <v>151</v>
      </c>
      <c r="Y482" s="75">
        <v>6.2399999999999997E-2</v>
      </c>
      <c r="Z482" s="75" t="s">
        <v>352</v>
      </c>
    </row>
    <row r="483" spans="1:26" x14ac:dyDescent="0.3">
      <c r="A483" s="72">
        <v>5</v>
      </c>
      <c r="B483" s="73">
        <v>45691</v>
      </c>
      <c r="C483" s="70" t="s">
        <v>178</v>
      </c>
      <c r="D483" s="74" t="s">
        <v>151</v>
      </c>
      <c r="E483" s="75">
        <v>0.1116</v>
      </c>
      <c r="F483" s="75" t="s">
        <v>352</v>
      </c>
      <c r="K483" s="72">
        <v>5</v>
      </c>
      <c r="L483" s="73">
        <v>45691</v>
      </c>
      <c r="M483" s="70" t="s">
        <v>179</v>
      </c>
      <c r="N483" s="74" t="s">
        <v>151</v>
      </c>
      <c r="O483" s="75">
        <v>0.1008</v>
      </c>
      <c r="P483" s="75" t="s">
        <v>352</v>
      </c>
      <c r="U483" s="72">
        <v>5</v>
      </c>
      <c r="V483" s="73">
        <v>45691</v>
      </c>
      <c r="W483" s="70" t="s">
        <v>180</v>
      </c>
      <c r="X483" s="74" t="s">
        <v>151</v>
      </c>
      <c r="Y483" s="75">
        <v>6.1899999999999997E-2</v>
      </c>
      <c r="Z483" s="75" t="s">
        <v>352</v>
      </c>
    </row>
    <row r="484" spans="1:26" x14ac:dyDescent="0.3">
      <c r="A484" s="72">
        <v>6</v>
      </c>
      <c r="B484" s="73">
        <v>45698</v>
      </c>
      <c r="C484" s="70" t="s">
        <v>178</v>
      </c>
      <c r="D484" s="74" t="s">
        <v>151</v>
      </c>
      <c r="E484" s="75">
        <v>0.1046</v>
      </c>
      <c r="F484" s="75" t="s">
        <v>352</v>
      </c>
      <c r="K484" s="72">
        <v>6</v>
      </c>
      <c r="L484" s="73">
        <v>45698</v>
      </c>
      <c r="M484" s="70" t="s">
        <v>179</v>
      </c>
      <c r="N484" s="74" t="s">
        <v>151</v>
      </c>
      <c r="O484" s="75">
        <v>9.5000000000000001E-2</v>
      </c>
      <c r="P484" s="75" t="s">
        <v>352</v>
      </c>
      <c r="U484" s="72">
        <v>6</v>
      </c>
      <c r="V484" s="73">
        <v>45698</v>
      </c>
      <c r="W484" s="70" t="s">
        <v>180</v>
      </c>
      <c r="X484" s="74" t="s">
        <v>151</v>
      </c>
      <c r="Y484" s="75">
        <v>6.2E-2</v>
      </c>
      <c r="Z484" s="75" t="s">
        <v>352</v>
      </c>
    </row>
    <row r="485" spans="1:26" x14ac:dyDescent="0.3">
      <c r="A485" s="72">
        <v>7</v>
      </c>
      <c r="B485" s="73">
        <v>45705</v>
      </c>
      <c r="C485" s="70" t="s">
        <v>178</v>
      </c>
      <c r="D485" s="74" t="s">
        <v>151</v>
      </c>
      <c r="E485" s="75">
        <v>0.11219999999999999</v>
      </c>
      <c r="F485" s="75" t="s">
        <v>352</v>
      </c>
      <c r="K485" s="72">
        <v>7</v>
      </c>
      <c r="L485" s="73">
        <v>45705</v>
      </c>
      <c r="M485" s="70" t="s">
        <v>179</v>
      </c>
      <c r="N485" s="74" t="s">
        <v>151</v>
      </c>
      <c r="O485" s="75">
        <v>0.10979999999999999</v>
      </c>
      <c r="P485" s="75" t="s">
        <v>352</v>
      </c>
      <c r="U485" s="72">
        <v>7</v>
      </c>
      <c r="V485" s="73">
        <v>45705</v>
      </c>
      <c r="W485" s="70" t="s">
        <v>180</v>
      </c>
      <c r="X485" s="74" t="s">
        <v>151</v>
      </c>
      <c r="Y485" s="75">
        <v>6.54E-2</v>
      </c>
      <c r="Z485" s="75" t="s">
        <v>352</v>
      </c>
    </row>
    <row r="486" spans="1:26" x14ac:dyDescent="0.3">
      <c r="A486" s="72">
        <v>8</v>
      </c>
      <c r="B486" s="73">
        <v>45712</v>
      </c>
      <c r="C486" s="70" t="s">
        <v>178</v>
      </c>
      <c r="D486" s="74" t="s">
        <v>151</v>
      </c>
      <c r="E486" s="75">
        <v>0.10879999999999999</v>
      </c>
      <c r="F486" s="75" t="s">
        <v>352</v>
      </c>
      <c r="K486" s="72">
        <v>8</v>
      </c>
      <c r="L486" s="73">
        <v>45712</v>
      </c>
      <c r="M486" s="70" t="s">
        <v>179</v>
      </c>
      <c r="N486" s="74" t="s">
        <v>151</v>
      </c>
      <c r="O486" s="75">
        <v>0.1069</v>
      </c>
      <c r="P486" s="75" t="s">
        <v>352</v>
      </c>
      <c r="U486" s="72">
        <v>8</v>
      </c>
      <c r="V486" s="73">
        <v>45712</v>
      </c>
      <c r="W486" s="70" t="s">
        <v>180</v>
      </c>
      <c r="X486" s="74" t="s">
        <v>151</v>
      </c>
      <c r="Y486" s="75">
        <v>6.5100000000000005E-2</v>
      </c>
      <c r="Z486" s="75" t="s">
        <v>352</v>
      </c>
    </row>
    <row r="487" spans="1:26" x14ac:dyDescent="0.3">
      <c r="A487" s="72">
        <v>9</v>
      </c>
      <c r="B487" s="73">
        <v>45719</v>
      </c>
      <c r="C487" s="70" t="s">
        <v>178</v>
      </c>
      <c r="D487" s="74" t="s">
        <v>151</v>
      </c>
      <c r="E487" s="75">
        <v>0.1087</v>
      </c>
      <c r="F487" s="75" t="s">
        <v>352</v>
      </c>
      <c r="K487" s="72">
        <v>9</v>
      </c>
      <c r="L487" s="73">
        <v>45719</v>
      </c>
      <c r="M487" s="70" t="s">
        <v>179</v>
      </c>
      <c r="N487" s="74" t="s">
        <v>151</v>
      </c>
      <c r="O487" s="75">
        <v>9.98E-2</v>
      </c>
      <c r="P487" s="75" t="s">
        <v>352</v>
      </c>
      <c r="U487" s="72">
        <v>9</v>
      </c>
      <c r="V487" s="73">
        <v>45719</v>
      </c>
      <c r="W487" s="70" t="s">
        <v>180</v>
      </c>
      <c r="X487" s="74" t="s">
        <v>151</v>
      </c>
      <c r="Y487" s="75">
        <v>6.1800000000000001E-2</v>
      </c>
      <c r="Z487" s="75" t="s">
        <v>352</v>
      </c>
    </row>
    <row r="488" spans="1:26" x14ac:dyDescent="0.3">
      <c r="A488" s="72">
        <v>10</v>
      </c>
      <c r="B488" s="73">
        <v>45726</v>
      </c>
      <c r="C488" s="70" t="s">
        <v>178</v>
      </c>
      <c r="D488" s="74" t="s">
        <v>151</v>
      </c>
      <c r="E488" s="75">
        <v>0.1109</v>
      </c>
      <c r="F488" s="75" t="s">
        <v>352</v>
      </c>
      <c r="K488" s="72">
        <v>10</v>
      </c>
      <c r="L488" s="73">
        <v>45726</v>
      </c>
      <c r="M488" s="70" t="s">
        <v>179</v>
      </c>
      <c r="N488" s="74" t="s">
        <v>151</v>
      </c>
      <c r="O488" s="75">
        <v>0.10299999999999999</v>
      </c>
      <c r="P488" s="75" t="s">
        <v>352</v>
      </c>
      <c r="U488" s="72">
        <v>10</v>
      </c>
      <c r="V488" s="73">
        <v>45726</v>
      </c>
      <c r="W488" s="70" t="s">
        <v>180</v>
      </c>
      <c r="X488" s="74" t="s">
        <v>151</v>
      </c>
      <c r="Y488" s="75">
        <v>6.0900000000000003E-2</v>
      </c>
      <c r="Z488" s="75" t="s">
        <v>352</v>
      </c>
    </row>
    <row r="489" spans="1:26" x14ac:dyDescent="0.3">
      <c r="A489" s="72">
        <v>11</v>
      </c>
      <c r="B489" s="73">
        <v>45733</v>
      </c>
      <c r="C489" s="70" t="s">
        <v>178</v>
      </c>
      <c r="D489" s="74" t="s">
        <v>151</v>
      </c>
      <c r="E489" s="75">
        <v>0.10290000000000001</v>
      </c>
      <c r="F489" s="75" t="s">
        <v>352</v>
      </c>
      <c r="K489" s="72">
        <v>11</v>
      </c>
      <c r="L489" s="73">
        <v>45733</v>
      </c>
      <c r="M489" s="70" t="s">
        <v>179</v>
      </c>
      <c r="N489" s="74" t="s">
        <v>151</v>
      </c>
      <c r="O489" s="75">
        <v>0.10199999999999999</v>
      </c>
      <c r="P489" s="75" t="s">
        <v>352</v>
      </c>
      <c r="U489" s="72">
        <v>11</v>
      </c>
      <c r="V489" s="73">
        <v>45733</v>
      </c>
      <c r="W489" s="70" t="s">
        <v>180</v>
      </c>
      <c r="X489" s="74" t="s">
        <v>151</v>
      </c>
      <c r="Y489" s="75">
        <v>6.4100000000000004E-2</v>
      </c>
      <c r="Z489" s="75" t="s">
        <v>352</v>
      </c>
    </row>
    <row r="490" spans="1:26" x14ac:dyDescent="0.3">
      <c r="A490" s="72">
        <v>12</v>
      </c>
      <c r="B490" s="73">
        <v>45740</v>
      </c>
      <c r="C490" s="70" t="s">
        <v>178</v>
      </c>
      <c r="D490" s="74" t="s">
        <v>151</v>
      </c>
      <c r="E490" s="75">
        <v>0.1041</v>
      </c>
      <c r="F490" s="75" t="s">
        <v>352</v>
      </c>
      <c r="K490" s="72">
        <v>12</v>
      </c>
      <c r="L490" s="73">
        <v>45740</v>
      </c>
      <c r="M490" s="70" t="s">
        <v>179</v>
      </c>
      <c r="N490" s="74" t="s">
        <v>151</v>
      </c>
      <c r="O490" s="75">
        <v>0.10290000000000001</v>
      </c>
      <c r="P490" s="75" t="s">
        <v>352</v>
      </c>
      <c r="U490" s="72">
        <v>12</v>
      </c>
      <c r="V490" s="73">
        <v>45740</v>
      </c>
      <c r="W490" s="70" t="s">
        <v>180</v>
      </c>
      <c r="X490" s="74" t="s">
        <v>151</v>
      </c>
      <c r="Y490" s="75">
        <v>6.3100000000000003E-2</v>
      </c>
      <c r="Z490" s="75" t="s">
        <v>352</v>
      </c>
    </row>
    <row r="491" spans="1:26" x14ac:dyDescent="0.3">
      <c r="A491" s="72">
        <v>13</v>
      </c>
      <c r="B491" s="73">
        <v>45747</v>
      </c>
      <c r="C491" s="70" t="s">
        <v>178</v>
      </c>
      <c r="D491" s="74" t="s">
        <v>151</v>
      </c>
      <c r="E491" s="75">
        <v>9.5200000000000007E-2</v>
      </c>
      <c r="F491" s="75" t="s">
        <v>352</v>
      </c>
      <c r="K491" s="72">
        <v>13</v>
      </c>
      <c r="L491" s="73">
        <v>45747</v>
      </c>
      <c r="M491" s="70" t="s">
        <v>179</v>
      </c>
      <c r="N491" s="74" t="s">
        <v>151</v>
      </c>
      <c r="O491" s="75">
        <v>9.8500000000000004E-2</v>
      </c>
      <c r="P491" s="75" t="s">
        <v>352</v>
      </c>
      <c r="U491" s="72">
        <v>13</v>
      </c>
      <c r="V491" s="73">
        <v>45747</v>
      </c>
      <c r="W491" s="70" t="s">
        <v>180</v>
      </c>
      <c r="X491" s="74" t="s">
        <v>151</v>
      </c>
      <c r="Y491" s="75">
        <v>6.6100000000000006E-2</v>
      </c>
      <c r="Z491" s="75" t="s">
        <v>352</v>
      </c>
    </row>
    <row r="492" spans="1:26" x14ac:dyDescent="0.3">
      <c r="A492" s="72">
        <v>14</v>
      </c>
      <c r="B492" s="73">
        <v>45754</v>
      </c>
      <c r="C492" s="70" t="s">
        <v>178</v>
      </c>
      <c r="D492" s="74" t="s">
        <v>151</v>
      </c>
      <c r="E492" s="75">
        <v>0.10390000000000001</v>
      </c>
      <c r="F492" s="75" t="s">
        <v>352</v>
      </c>
      <c r="K492" s="72">
        <v>14</v>
      </c>
      <c r="L492" s="73">
        <v>45754</v>
      </c>
      <c r="M492" s="70" t="s">
        <v>179</v>
      </c>
      <c r="N492" s="74" t="s">
        <v>151</v>
      </c>
      <c r="O492" s="75">
        <v>0.1007</v>
      </c>
      <c r="P492" s="75" t="s">
        <v>352</v>
      </c>
      <c r="U492" s="72">
        <v>14</v>
      </c>
      <c r="V492" s="73">
        <v>45754</v>
      </c>
      <c r="W492" s="70" t="s">
        <v>180</v>
      </c>
      <c r="X492" s="74" t="s">
        <v>151</v>
      </c>
      <c r="Y492" s="75">
        <v>7.0499999999999993E-2</v>
      </c>
      <c r="Z492" s="75" t="s">
        <v>352</v>
      </c>
    </row>
    <row r="493" spans="1:26" x14ac:dyDescent="0.3">
      <c r="A493" s="72">
        <v>15</v>
      </c>
      <c r="B493" s="73">
        <v>45761</v>
      </c>
      <c r="C493" s="70" t="s">
        <v>178</v>
      </c>
      <c r="D493" s="74" t="s">
        <v>151</v>
      </c>
      <c r="E493" s="75">
        <v>9.7199999999999995E-2</v>
      </c>
      <c r="F493" s="75" t="s">
        <v>352</v>
      </c>
      <c r="K493" s="72">
        <v>15</v>
      </c>
      <c r="L493" s="73">
        <v>45761</v>
      </c>
      <c r="M493" s="70" t="s">
        <v>179</v>
      </c>
      <c r="N493" s="74" t="s">
        <v>151</v>
      </c>
      <c r="O493" s="75">
        <v>0.10390000000000001</v>
      </c>
      <c r="P493" s="75" t="s">
        <v>352</v>
      </c>
      <c r="U493" s="72">
        <v>15</v>
      </c>
      <c r="V493" s="73">
        <v>45761</v>
      </c>
      <c r="W493" s="70" t="s">
        <v>180</v>
      </c>
      <c r="X493" s="74" t="s">
        <v>151</v>
      </c>
      <c r="Y493" s="75">
        <v>6.5600000000000006E-2</v>
      </c>
      <c r="Z493" s="75" t="s">
        <v>352</v>
      </c>
    </row>
    <row r="494" spans="1:26" x14ac:dyDescent="0.3">
      <c r="A494" s="72">
        <v>16</v>
      </c>
      <c r="B494" s="73">
        <v>45768</v>
      </c>
      <c r="C494" s="70" t="s">
        <v>178</v>
      </c>
      <c r="D494" s="74" t="s">
        <v>151</v>
      </c>
      <c r="E494" s="75">
        <v>0.10589999999999999</v>
      </c>
      <c r="F494" s="75" t="s">
        <v>352</v>
      </c>
      <c r="K494" s="72">
        <v>16</v>
      </c>
      <c r="L494" s="73">
        <v>45768</v>
      </c>
      <c r="M494" s="70" t="s">
        <v>179</v>
      </c>
      <c r="N494" s="74" t="s">
        <v>151</v>
      </c>
      <c r="O494" s="75">
        <v>0.1032</v>
      </c>
      <c r="P494" s="75" t="s">
        <v>352</v>
      </c>
      <c r="U494" s="72">
        <v>16</v>
      </c>
      <c r="V494" s="73">
        <v>45768</v>
      </c>
      <c r="W494" s="70" t="s">
        <v>180</v>
      </c>
      <c r="X494" s="74" t="s">
        <v>151</v>
      </c>
      <c r="Y494" s="75">
        <v>6.3200000000000006E-2</v>
      </c>
      <c r="Z494" s="75" t="s">
        <v>352</v>
      </c>
    </row>
    <row r="495" spans="1:26" x14ac:dyDescent="0.3">
      <c r="A495" s="72">
        <v>17</v>
      </c>
      <c r="B495" s="73">
        <v>45775</v>
      </c>
      <c r="C495" s="70" t="s">
        <v>178</v>
      </c>
      <c r="D495" s="74" t="s">
        <v>151</v>
      </c>
      <c r="E495" s="75">
        <v>0.1004</v>
      </c>
      <c r="F495" s="75" t="s">
        <v>352</v>
      </c>
      <c r="K495" s="72">
        <v>17</v>
      </c>
      <c r="L495" s="73">
        <v>45775</v>
      </c>
      <c r="M495" s="70" t="s">
        <v>179</v>
      </c>
      <c r="N495" s="74" t="s">
        <v>151</v>
      </c>
      <c r="O495" s="75">
        <v>0.10589999999999999</v>
      </c>
      <c r="P495" s="75" t="s">
        <v>352</v>
      </c>
      <c r="U495" s="72">
        <v>17</v>
      </c>
      <c r="V495" s="73">
        <v>45775</v>
      </c>
      <c r="W495" s="70" t="s">
        <v>180</v>
      </c>
      <c r="X495" s="74" t="s">
        <v>151</v>
      </c>
      <c r="Y495" s="75">
        <v>6.2899999999999998E-2</v>
      </c>
      <c r="Z495" s="75" t="s">
        <v>352</v>
      </c>
    </row>
    <row r="496" spans="1:26" x14ac:dyDescent="0.3">
      <c r="A496" s="72">
        <v>18</v>
      </c>
      <c r="B496" s="73">
        <v>45782</v>
      </c>
      <c r="C496" s="70" t="s">
        <v>178</v>
      </c>
      <c r="D496" s="74" t="s">
        <v>151</v>
      </c>
      <c r="E496" s="75">
        <v>0.1075</v>
      </c>
      <c r="F496" s="75" t="s">
        <v>352</v>
      </c>
      <c r="K496" s="72">
        <v>18</v>
      </c>
      <c r="L496" s="73">
        <v>45782</v>
      </c>
      <c r="M496" s="70" t="s">
        <v>179</v>
      </c>
      <c r="N496" s="74" t="s">
        <v>151</v>
      </c>
      <c r="O496" s="75">
        <v>0.1028</v>
      </c>
      <c r="P496" s="75" t="s">
        <v>352</v>
      </c>
      <c r="U496" s="72">
        <v>18</v>
      </c>
      <c r="V496" s="73">
        <v>45782</v>
      </c>
      <c r="W496" s="70" t="s">
        <v>180</v>
      </c>
      <c r="X496" s="74" t="s">
        <v>151</v>
      </c>
      <c r="Y496" s="75">
        <v>6.0999999999999999E-2</v>
      </c>
      <c r="Z496" s="75" t="s">
        <v>352</v>
      </c>
    </row>
    <row r="497" spans="1:26" x14ac:dyDescent="0.3">
      <c r="A497" s="72">
        <v>19</v>
      </c>
      <c r="B497" s="73">
        <v>45789</v>
      </c>
      <c r="C497" s="70" t="s">
        <v>178</v>
      </c>
      <c r="D497" s="74" t="s">
        <v>151</v>
      </c>
      <c r="E497" s="75">
        <v>0.1099</v>
      </c>
      <c r="F497" s="75" t="s">
        <v>352</v>
      </c>
      <c r="K497" s="72">
        <v>19</v>
      </c>
      <c r="L497" s="73">
        <v>45789</v>
      </c>
      <c r="M497" s="70" t="s">
        <v>179</v>
      </c>
      <c r="N497" s="74" t="s">
        <v>151</v>
      </c>
      <c r="O497" s="75">
        <v>0.109</v>
      </c>
      <c r="P497" s="75" t="s">
        <v>352</v>
      </c>
      <c r="U497" s="72">
        <v>19</v>
      </c>
      <c r="V497" s="73">
        <v>45789</v>
      </c>
      <c r="W497" s="70" t="s">
        <v>180</v>
      </c>
      <c r="X497" s="74" t="s">
        <v>151</v>
      </c>
      <c r="Y497" s="75">
        <v>6.0900000000000003E-2</v>
      </c>
      <c r="Z497" s="75" t="s">
        <v>352</v>
      </c>
    </row>
    <row r="498" spans="1:26" x14ac:dyDescent="0.3">
      <c r="A498" s="72">
        <v>20</v>
      </c>
      <c r="B498" s="73">
        <v>45796</v>
      </c>
      <c r="C498" s="70" t="s">
        <v>178</v>
      </c>
      <c r="D498" s="74" t="s">
        <v>151</v>
      </c>
      <c r="E498" s="75">
        <v>9.7299999999999998E-2</v>
      </c>
      <c r="F498" s="75" t="s">
        <v>352</v>
      </c>
      <c r="K498" s="72">
        <v>20</v>
      </c>
      <c r="L498" s="73">
        <v>45796</v>
      </c>
      <c r="M498" s="70" t="s">
        <v>179</v>
      </c>
      <c r="N498" s="74" t="s">
        <v>151</v>
      </c>
      <c r="O498" s="75">
        <v>0.10059999999999999</v>
      </c>
      <c r="P498" s="75" t="s">
        <v>352</v>
      </c>
      <c r="U498" s="72">
        <v>20</v>
      </c>
      <c r="V498" s="73">
        <v>45796</v>
      </c>
      <c r="W498" s="70" t="s">
        <v>180</v>
      </c>
      <c r="X498" s="74" t="s">
        <v>151</v>
      </c>
      <c r="Y498" s="75">
        <v>6.0600000000000001E-2</v>
      </c>
      <c r="Z498" s="75" t="s">
        <v>352</v>
      </c>
    </row>
    <row r="499" spans="1:26" x14ac:dyDescent="0.3">
      <c r="A499" s="72">
        <v>21</v>
      </c>
      <c r="B499" s="73">
        <v>45803</v>
      </c>
      <c r="C499" s="70" t="s">
        <v>178</v>
      </c>
      <c r="D499" s="74" t="s">
        <v>151</v>
      </c>
      <c r="E499" s="75">
        <v>0.1014</v>
      </c>
      <c r="F499" s="75" t="s">
        <v>352</v>
      </c>
      <c r="K499" s="72">
        <v>21</v>
      </c>
      <c r="L499" s="73">
        <v>45803</v>
      </c>
      <c r="M499" s="70" t="s">
        <v>179</v>
      </c>
      <c r="N499" s="74" t="s">
        <v>151</v>
      </c>
      <c r="O499" s="75">
        <v>0.1033</v>
      </c>
      <c r="P499" s="75" t="s">
        <v>352</v>
      </c>
      <c r="U499" s="72">
        <v>21</v>
      </c>
      <c r="V499" s="73">
        <v>45803</v>
      </c>
      <c r="W499" s="70" t="s">
        <v>180</v>
      </c>
      <c r="X499" s="74" t="s">
        <v>151</v>
      </c>
      <c r="Y499" s="75">
        <v>6.2300000000000001E-2</v>
      </c>
      <c r="Z499" s="75" t="s">
        <v>352</v>
      </c>
    </row>
    <row r="500" spans="1:26" x14ac:dyDescent="0.3">
      <c r="A500" s="72">
        <v>22</v>
      </c>
      <c r="B500" s="73">
        <v>45810</v>
      </c>
      <c r="C500" s="70" t="s">
        <v>178</v>
      </c>
      <c r="D500" s="74" t="s">
        <v>151</v>
      </c>
      <c r="E500" s="75">
        <v>0.10050000000000001</v>
      </c>
      <c r="F500" s="75" t="s">
        <v>352</v>
      </c>
      <c r="K500" s="72">
        <v>22</v>
      </c>
      <c r="L500" s="73">
        <v>45810</v>
      </c>
      <c r="M500" s="70" t="s">
        <v>179</v>
      </c>
      <c r="N500" s="74" t="s">
        <v>151</v>
      </c>
      <c r="O500" s="75">
        <v>9.7299999999999998E-2</v>
      </c>
      <c r="P500" s="75" t="s">
        <v>352</v>
      </c>
      <c r="U500" s="72">
        <v>22</v>
      </c>
      <c r="V500" s="73">
        <v>45810</v>
      </c>
      <c r="W500" s="70" t="s">
        <v>180</v>
      </c>
      <c r="X500" s="74" t="s">
        <v>151</v>
      </c>
      <c r="Y500" s="75">
        <v>6.2199999999999998E-2</v>
      </c>
      <c r="Z500" s="75" t="s">
        <v>352</v>
      </c>
    </row>
    <row r="501" spans="1:26" x14ac:dyDescent="0.3">
      <c r="A501" s="72">
        <v>23</v>
      </c>
      <c r="B501" s="73">
        <v>45817</v>
      </c>
      <c r="C501" s="70" t="s">
        <v>178</v>
      </c>
      <c r="D501" s="74" t="s">
        <v>151</v>
      </c>
      <c r="E501" s="75">
        <v>0.1119</v>
      </c>
      <c r="F501" s="75" t="s">
        <v>352</v>
      </c>
      <c r="K501" s="72">
        <v>23</v>
      </c>
      <c r="L501" s="73">
        <v>45817</v>
      </c>
      <c r="M501" s="70" t="s">
        <v>179</v>
      </c>
      <c r="N501" s="74" t="s">
        <v>151</v>
      </c>
      <c r="O501" s="75">
        <v>9.9199999999999997E-2</v>
      </c>
      <c r="P501" s="75" t="s">
        <v>352</v>
      </c>
      <c r="U501" s="72">
        <v>23</v>
      </c>
      <c r="V501" s="73">
        <v>45817</v>
      </c>
      <c r="W501" s="70" t="s">
        <v>180</v>
      </c>
      <c r="X501" s="74" t="s">
        <v>151</v>
      </c>
      <c r="Y501" s="75">
        <v>6.5299999999999997E-2</v>
      </c>
      <c r="Z501" s="75" t="s">
        <v>352</v>
      </c>
    </row>
    <row r="502" spans="1:26" x14ac:dyDescent="0.3">
      <c r="A502" s="72">
        <v>24</v>
      </c>
      <c r="B502" s="73">
        <v>45824</v>
      </c>
      <c r="C502" s="70" t="s">
        <v>178</v>
      </c>
      <c r="D502" s="74" t="s">
        <v>151</v>
      </c>
      <c r="E502" s="75">
        <v>0.1183</v>
      </c>
      <c r="F502" s="75" t="s">
        <v>352</v>
      </c>
      <c r="K502" s="72">
        <v>24</v>
      </c>
      <c r="L502" s="73">
        <v>45824</v>
      </c>
      <c r="M502" s="70" t="s">
        <v>179</v>
      </c>
      <c r="N502" s="74" t="s">
        <v>151</v>
      </c>
      <c r="O502" s="75">
        <v>0.1062</v>
      </c>
      <c r="P502" s="75" t="s">
        <v>352</v>
      </c>
      <c r="U502" s="72">
        <v>24</v>
      </c>
      <c r="V502" s="73">
        <v>45824</v>
      </c>
      <c r="W502" s="70" t="s">
        <v>180</v>
      </c>
      <c r="X502" s="74" t="s">
        <v>151</v>
      </c>
      <c r="Y502" s="75">
        <v>6.2300000000000001E-2</v>
      </c>
      <c r="Z502" s="75" t="s">
        <v>352</v>
      </c>
    </row>
    <row r="503" spans="1:26" x14ac:dyDescent="0.3">
      <c r="A503" s="72">
        <v>25</v>
      </c>
      <c r="B503" s="73">
        <v>45831</v>
      </c>
      <c r="C503" s="70" t="s">
        <v>178</v>
      </c>
      <c r="D503" s="74" t="s">
        <v>151</v>
      </c>
      <c r="E503" s="75">
        <v>0.11260000000000001</v>
      </c>
      <c r="F503" s="75" t="s">
        <v>352</v>
      </c>
      <c r="K503" s="72">
        <v>25</v>
      </c>
      <c r="L503" s="73">
        <v>45831</v>
      </c>
      <c r="M503" s="70" t="s">
        <v>179</v>
      </c>
      <c r="N503" s="74" t="s">
        <v>151</v>
      </c>
      <c r="O503" s="75">
        <v>0.1</v>
      </c>
      <c r="P503" s="75" t="s">
        <v>352</v>
      </c>
      <c r="U503" s="72">
        <v>25</v>
      </c>
      <c r="V503" s="73">
        <v>45831</v>
      </c>
      <c r="W503" s="70" t="s">
        <v>180</v>
      </c>
      <c r="X503" s="74" t="s">
        <v>151</v>
      </c>
      <c r="Y503" s="75">
        <v>6.2799999999999995E-2</v>
      </c>
      <c r="Z503" s="75" t="s">
        <v>352</v>
      </c>
    </row>
    <row r="504" spans="1:26" x14ac:dyDescent="0.3">
      <c r="A504" s="72">
        <v>1</v>
      </c>
      <c r="B504" s="73">
        <v>45663</v>
      </c>
      <c r="C504" s="70" t="s">
        <v>178</v>
      </c>
      <c r="D504" s="74" t="s">
        <v>152</v>
      </c>
      <c r="E504" s="75">
        <v>28.831099999999999</v>
      </c>
      <c r="F504" s="75" t="s">
        <v>352</v>
      </c>
      <c r="K504" s="72">
        <v>1</v>
      </c>
      <c r="L504" s="73">
        <v>45663</v>
      </c>
      <c r="M504" s="70" t="s">
        <v>179</v>
      </c>
      <c r="N504" s="74" t="s">
        <v>152</v>
      </c>
      <c r="O504" s="75">
        <v>47.660699999999999</v>
      </c>
      <c r="P504" s="75" t="s">
        <v>352</v>
      </c>
      <c r="U504" s="72">
        <v>1</v>
      </c>
      <c r="V504" s="73">
        <v>45663</v>
      </c>
      <c r="W504" s="70" t="s">
        <v>180</v>
      </c>
      <c r="X504" s="74" t="s">
        <v>152</v>
      </c>
      <c r="Y504" s="75">
        <v>36.721899999999998</v>
      </c>
      <c r="Z504" s="75" t="s">
        <v>352</v>
      </c>
    </row>
    <row r="505" spans="1:26" x14ac:dyDescent="0.3">
      <c r="A505" s="72">
        <v>2</v>
      </c>
      <c r="B505" s="73">
        <v>45670</v>
      </c>
      <c r="C505" s="70" t="s">
        <v>178</v>
      </c>
      <c r="D505" s="74" t="s">
        <v>152</v>
      </c>
      <c r="E505" s="75">
        <v>46.7742</v>
      </c>
      <c r="F505" s="75" t="s">
        <v>352</v>
      </c>
      <c r="K505" s="72">
        <v>2</v>
      </c>
      <c r="L505" s="73">
        <v>45670</v>
      </c>
      <c r="M505" s="70" t="s">
        <v>179</v>
      </c>
      <c r="N505" s="74" t="s">
        <v>152</v>
      </c>
      <c r="O505" s="75">
        <v>44.554000000000002</v>
      </c>
      <c r="P505" s="75" t="s">
        <v>352</v>
      </c>
      <c r="U505" s="72">
        <v>2</v>
      </c>
      <c r="V505" s="73">
        <v>45670</v>
      </c>
      <c r="W505" s="70" t="s">
        <v>180</v>
      </c>
      <c r="X505" s="74" t="s">
        <v>152</v>
      </c>
      <c r="Y505" s="75">
        <v>33.018799999999999</v>
      </c>
      <c r="Z505" s="75" t="s">
        <v>352</v>
      </c>
    </row>
    <row r="506" spans="1:26" x14ac:dyDescent="0.3">
      <c r="A506" s="72">
        <v>3</v>
      </c>
      <c r="B506" s="73">
        <v>45677</v>
      </c>
      <c r="C506" s="70" t="s">
        <v>178</v>
      </c>
      <c r="D506" s="74" t="s">
        <v>152</v>
      </c>
      <c r="E506" s="75">
        <v>39.644199999999998</v>
      </c>
      <c r="F506" s="75" t="s">
        <v>352</v>
      </c>
      <c r="K506" s="72">
        <v>3</v>
      </c>
      <c r="L506" s="73">
        <v>45677</v>
      </c>
      <c r="M506" s="70" t="s">
        <v>179</v>
      </c>
      <c r="N506" s="74" t="s">
        <v>152</v>
      </c>
      <c r="O506" s="75">
        <v>36.715299999999999</v>
      </c>
      <c r="P506" s="75" t="s">
        <v>352</v>
      </c>
      <c r="U506" s="72">
        <v>3</v>
      </c>
      <c r="V506" s="73">
        <v>45677</v>
      </c>
      <c r="W506" s="70" t="s">
        <v>180</v>
      </c>
      <c r="X506" s="74" t="s">
        <v>152</v>
      </c>
      <c r="Y506" s="75">
        <v>21.158899999999999</v>
      </c>
      <c r="Z506" s="75" t="s">
        <v>352</v>
      </c>
    </row>
    <row r="507" spans="1:26" x14ac:dyDescent="0.3">
      <c r="A507" s="72">
        <v>4</v>
      </c>
      <c r="B507" s="73">
        <v>45684</v>
      </c>
      <c r="C507" s="70" t="s">
        <v>178</v>
      </c>
      <c r="D507" s="74" t="s">
        <v>152</v>
      </c>
      <c r="E507" s="75">
        <v>47.6785</v>
      </c>
      <c r="F507" s="75" t="s">
        <v>352</v>
      </c>
      <c r="K507" s="72">
        <v>4</v>
      </c>
      <c r="L507" s="73">
        <v>45684</v>
      </c>
      <c r="M507" s="70" t="s">
        <v>179</v>
      </c>
      <c r="N507" s="74" t="s">
        <v>152</v>
      </c>
      <c r="O507" s="75">
        <v>38.658700000000003</v>
      </c>
      <c r="P507" s="75" t="s">
        <v>352</v>
      </c>
      <c r="U507" s="72">
        <v>4</v>
      </c>
      <c r="V507" s="73">
        <v>45684</v>
      </c>
      <c r="W507" s="70" t="s">
        <v>180</v>
      </c>
      <c r="X507" s="74" t="s">
        <v>152</v>
      </c>
      <c r="Y507" s="75">
        <v>33.492100000000001</v>
      </c>
      <c r="Z507" s="75" t="s">
        <v>352</v>
      </c>
    </row>
    <row r="508" spans="1:26" x14ac:dyDescent="0.3">
      <c r="A508" s="72">
        <v>5</v>
      </c>
      <c r="B508" s="73">
        <v>45691</v>
      </c>
      <c r="C508" s="70" t="s">
        <v>178</v>
      </c>
      <c r="D508" s="74" t="s">
        <v>152</v>
      </c>
      <c r="E508" s="75">
        <v>41.461199999999998</v>
      </c>
      <c r="F508" s="75" t="s">
        <v>352</v>
      </c>
      <c r="K508" s="72">
        <v>5</v>
      </c>
      <c r="L508" s="73">
        <v>45691</v>
      </c>
      <c r="M508" s="70" t="s">
        <v>179</v>
      </c>
      <c r="N508" s="74" t="s">
        <v>152</v>
      </c>
      <c r="O508" s="75">
        <v>43.265999999999998</v>
      </c>
      <c r="P508" s="75" t="s">
        <v>352</v>
      </c>
      <c r="U508" s="72">
        <v>5</v>
      </c>
      <c r="V508" s="73">
        <v>45691</v>
      </c>
      <c r="W508" s="70" t="s">
        <v>180</v>
      </c>
      <c r="X508" s="74" t="s">
        <v>152</v>
      </c>
      <c r="Y508" s="75">
        <v>28.414300000000001</v>
      </c>
      <c r="Z508" s="75" t="s">
        <v>352</v>
      </c>
    </row>
    <row r="509" spans="1:26" x14ac:dyDescent="0.3">
      <c r="A509" s="72">
        <v>6</v>
      </c>
      <c r="B509" s="73">
        <v>45698</v>
      </c>
      <c r="C509" s="70" t="s">
        <v>178</v>
      </c>
      <c r="D509" s="74" t="s">
        <v>152</v>
      </c>
      <c r="E509" s="75">
        <v>45.803100000000001</v>
      </c>
      <c r="F509" s="75" t="s">
        <v>352</v>
      </c>
      <c r="K509" s="72">
        <v>6</v>
      </c>
      <c r="L509" s="73">
        <v>45698</v>
      </c>
      <c r="M509" s="70" t="s">
        <v>179</v>
      </c>
      <c r="N509" s="74" t="s">
        <v>152</v>
      </c>
      <c r="O509" s="75">
        <v>42.279400000000003</v>
      </c>
      <c r="P509" s="75" t="s">
        <v>352</v>
      </c>
      <c r="U509" s="72">
        <v>6</v>
      </c>
      <c r="V509" s="73">
        <v>45698</v>
      </c>
      <c r="W509" s="70" t="s">
        <v>180</v>
      </c>
      <c r="X509" s="74" t="s">
        <v>152</v>
      </c>
      <c r="Y509" s="75">
        <v>31.393999999999998</v>
      </c>
      <c r="Z509" s="75" t="s">
        <v>352</v>
      </c>
    </row>
    <row r="510" spans="1:26" x14ac:dyDescent="0.3">
      <c r="A510" s="72">
        <v>7</v>
      </c>
      <c r="B510" s="73">
        <v>45705</v>
      </c>
      <c r="C510" s="70" t="s">
        <v>178</v>
      </c>
      <c r="D510" s="74" t="s">
        <v>152</v>
      </c>
      <c r="E510" s="75">
        <v>34.909300000000002</v>
      </c>
      <c r="F510" s="75" t="s">
        <v>352</v>
      </c>
      <c r="K510" s="72">
        <v>7</v>
      </c>
      <c r="L510" s="73">
        <v>45705</v>
      </c>
      <c r="M510" s="70" t="s">
        <v>179</v>
      </c>
      <c r="N510" s="74" t="s">
        <v>152</v>
      </c>
      <c r="O510" s="75">
        <v>27.150400000000001</v>
      </c>
      <c r="P510" s="75" t="s">
        <v>352</v>
      </c>
      <c r="U510" s="72">
        <v>7</v>
      </c>
      <c r="V510" s="73">
        <v>45705</v>
      </c>
      <c r="W510" s="70" t="s">
        <v>180</v>
      </c>
      <c r="X510" s="74" t="s">
        <v>152</v>
      </c>
      <c r="Y510" s="75">
        <v>40.884</v>
      </c>
      <c r="Z510" s="75" t="s">
        <v>352</v>
      </c>
    </row>
    <row r="511" spans="1:26" x14ac:dyDescent="0.3">
      <c r="A511" s="72">
        <v>8</v>
      </c>
      <c r="B511" s="73">
        <v>45712</v>
      </c>
      <c r="C511" s="70" t="s">
        <v>178</v>
      </c>
      <c r="D511" s="74" t="s">
        <v>152</v>
      </c>
      <c r="E511" s="75">
        <v>40.961500000000001</v>
      </c>
      <c r="F511" s="75" t="s">
        <v>352</v>
      </c>
      <c r="K511" s="72">
        <v>8</v>
      </c>
      <c r="L511" s="73">
        <v>45712</v>
      </c>
      <c r="M511" s="70" t="s">
        <v>179</v>
      </c>
      <c r="N511" s="74" t="s">
        <v>152</v>
      </c>
      <c r="O511" s="75">
        <v>44.664999999999999</v>
      </c>
      <c r="P511" s="75" t="s">
        <v>352</v>
      </c>
      <c r="U511" s="72">
        <v>8</v>
      </c>
      <c r="V511" s="73">
        <v>45712</v>
      </c>
      <c r="W511" s="70" t="s">
        <v>180</v>
      </c>
      <c r="X511" s="74" t="s">
        <v>152</v>
      </c>
      <c r="Y511" s="75">
        <v>28.173200000000001</v>
      </c>
      <c r="Z511" s="75" t="s">
        <v>352</v>
      </c>
    </row>
    <row r="512" spans="1:26" x14ac:dyDescent="0.3">
      <c r="A512" s="72">
        <v>9</v>
      </c>
      <c r="B512" s="73">
        <v>45719</v>
      </c>
      <c r="C512" s="70" t="s">
        <v>178</v>
      </c>
      <c r="D512" s="74" t="s">
        <v>152</v>
      </c>
      <c r="E512" s="75">
        <v>53.4236</v>
      </c>
      <c r="F512" s="75" t="s">
        <v>352</v>
      </c>
      <c r="K512" s="72">
        <v>9</v>
      </c>
      <c r="L512" s="73">
        <v>45719</v>
      </c>
      <c r="M512" s="70" t="s">
        <v>179</v>
      </c>
      <c r="N512" s="74" t="s">
        <v>152</v>
      </c>
      <c r="O512" s="75">
        <v>60.404499999999999</v>
      </c>
      <c r="P512" s="75" t="s">
        <v>352</v>
      </c>
      <c r="U512" s="72">
        <v>9</v>
      </c>
      <c r="V512" s="73">
        <v>45719</v>
      </c>
      <c r="W512" s="70" t="s">
        <v>180</v>
      </c>
      <c r="X512" s="74" t="s">
        <v>152</v>
      </c>
      <c r="Y512" s="75">
        <v>28.446200000000001</v>
      </c>
      <c r="Z512" s="75" t="s">
        <v>352</v>
      </c>
    </row>
    <row r="513" spans="1:26" x14ac:dyDescent="0.3">
      <c r="A513" s="72">
        <v>10</v>
      </c>
      <c r="B513" s="73">
        <v>45726</v>
      </c>
      <c r="C513" s="70" t="s">
        <v>178</v>
      </c>
      <c r="D513" s="74" t="s">
        <v>152</v>
      </c>
      <c r="E513" s="75">
        <v>28.798100000000002</v>
      </c>
      <c r="F513" s="75" t="s">
        <v>352</v>
      </c>
      <c r="K513" s="72">
        <v>10</v>
      </c>
      <c r="L513" s="73">
        <v>45726</v>
      </c>
      <c r="M513" s="70" t="s">
        <v>179</v>
      </c>
      <c r="N513" s="74" t="s">
        <v>152</v>
      </c>
      <c r="O513" s="75">
        <v>25.9343</v>
      </c>
      <c r="P513" s="75" t="s">
        <v>352</v>
      </c>
      <c r="U513" s="72">
        <v>10</v>
      </c>
      <c r="V513" s="73">
        <v>45726</v>
      </c>
      <c r="W513" s="70" t="s">
        <v>180</v>
      </c>
      <c r="X513" s="74" t="s">
        <v>152</v>
      </c>
      <c r="Y513" s="75">
        <v>40.415300000000002</v>
      </c>
      <c r="Z513" s="75" t="s">
        <v>352</v>
      </c>
    </row>
    <row r="514" spans="1:26" x14ac:dyDescent="0.3">
      <c r="A514" s="72">
        <v>11</v>
      </c>
      <c r="B514" s="73">
        <v>45733</v>
      </c>
      <c r="C514" s="70" t="s">
        <v>178</v>
      </c>
      <c r="D514" s="74" t="s">
        <v>152</v>
      </c>
      <c r="E514" s="75">
        <v>43.838999999999999</v>
      </c>
      <c r="F514" s="75" t="s">
        <v>352</v>
      </c>
      <c r="K514" s="72">
        <v>11</v>
      </c>
      <c r="L514" s="73">
        <v>45733</v>
      </c>
      <c r="M514" s="70" t="s">
        <v>179</v>
      </c>
      <c r="N514" s="74" t="s">
        <v>152</v>
      </c>
      <c r="O514" s="75">
        <v>46.503700000000002</v>
      </c>
      <c r="P514" s="75" t="s">
        <v>352</v>
      </c>
      <c r="U514" s="72">
        <v>11</v>
      </c>
      <c r="V514" s="73">
        <v>45733</v>
      </c>
      <c r="W514" s="70" t="s">
        <v>180</v>
      </c>
      <c r="X514" s="74" t="s">
        <v>152</v>
      </c>
      <c r="Y514" s="75">
        <v>34.075600000000001</v>
      </c>
      <c r="Z514" s="75" t="s">
        <v>352</v>
      </c>
    </row>
    <row r="515" spans="1:26" x14ac:dyDescent="0.3">
      <c r="A515" s="72">
        <v>12</v>
      </c>
      <c r="B515" s="73">
        <v>45740</v>
      </c>
      <c r="C515" s="70" t="s">
        <v>178</v>
      </c>
      <c r="D515" s="74" t="s">
        <v>152</v>
      </c>
      <c r="E515" s="75">
        <v>47.108600000000003</v>
      </c>
      <c r="F515" s="75" t="s">
        <v>352</v>
      </c>
      <c r="K515" s="72">
        <v>12</v>
      </c>
      <c r="L515" s="73">
        <v>45740</v>
      </c>
      <c r="M515" s="70" t="s">
        <v>179</v>
      </c>
      <c r="N515" s="74" t="s">
        <v>152</v>
      </c>
      <c r="O515" s="75">
        <v>41.976199999999999</v>
      </c>
      <c r="P515" s="75" t="s">
        <v>352</v>
      </c>
      <c r="U515" s="72">
        <v>12</v>
      </c>
      <c r="V515" s="73">
        <v>45740</v>
      </c>
      <c r="W515" s="70" t="s">
        <v>180</v>
      </c>
      <c r="X515" s="74" t="s">
        <v>152</v>
      </c>
      <c r="Y515" s="75">
        <v>40.898800000000001</v>
      </c>
      <c r="Z515" s="75" t="s">
        <v>352</v>
      </c>
    </row>
    <row r="516" spans="1:26" x14ac:dyDescent="0.3">
      <c r="A516" s="72">
        <v>13</v>
      </c>
      <c r="B516" s="73">
        <v>45747</v>
      </c>
      <c r="C516" s="70" t="s">
        <v>178</v>
      </c>
      <c r="D516" s="74" t="s">
        <v>152</v>
      </c>
      <c r="E516" s="75">
        <v>39.106099999999998</v>
      </c>
      <c r="F516" s="75" t="s">
        <v>352</v>
      </c>
      <c r="K516" s="72">
        <v>13</v>
      </c>
      <c r="L516" s="73">
        <v>45747</v>
      </c>
      <c r="M516" s="70" t="s">
        <v>179</v>
      </c>
      <c r="N516" s="74" t="s">
        <v>152</v>
      </c>
      <c r="O516" s="75">
        <v>38.4955</v>
      </c>
      <c r="P516" s="75" t="s">
        <v>352</v>
      </c>
      <c r="U516" s="72">
        <v>13</v>
      </c>
      <c r="V516" s="73">
        <v>45747</v>
      </c>
      <c r="W516" s="70" t="s">
        <v>180</v>
      </c>
      <c r="X516" s="74" t="s">
        <v>152</v>
      </c>
      <c r="Y516" s="75">
        <v>35.069200000000002</v>
      </c>
      <c r="Z516" s="75" t="s">
        <v>352</v>
      </c>
    </row>
    <row r="517" spans="1:26" x14ac:dyDescent="0.3">
      <c r="A517" s="72">
        <v>14</v>
      </c>
      <c r="B517" s="73">
        <v>45754</v>
      </c>
      <c r="C517" s="70" t="s">
        <v>178</v>
      </c>
      <c r="D517" s="74" t="s">
        <v>152</v>
      </c>
      <c r="E517" s="75">
        <v>41.262700000000002</v>
      </c>
      <c r="F517" s="75" t="s">
        <v>352</v>
      </c>
      <c r="K517" s="72">
        <v>14</v>
      </c>
      <c r="L517" s="73">
        <v>45754</v>
      </c>
      <c r="M517" s="70" t="s">
        <v>179</v>
      </c>
      <c r="N517" s="74" t="s">
        <v>152</v>
      </c>
      <c r="O517" s="75">
        <v>49.238900000000001</v>
      </c>
      <c r="P517" s="75" t="s">
        <v>352</v>
      </c>
      <c r="U517" s="72">
        <v>14</v>
      </c>
      <c r="V517" s="73">
        <v>45754</v>
      </c>
      <c r="W517" s="70" t="s">
        <v>180</v>
      </c>
      <c r="X517" s="74" t="s">
        <v>152</v>
      </c>
      <c r="Y517" s="75">
        <v>29.297599999999999</v>
      </c>
      <c r="Z517" s="75" t="s">
        <v>352</v>
      </c>
    </row>
    <row r="518" spans="1:26" x14ac:dyDescent="0.3">
      <c r="A518" s="72">
        <v>15</v>
      </c>
      <c r="B518" s="73">
        <v>45761</v>
      </c>
      <c r="C518" s="70" t="s">
        <v>178</v>
      </c>
      <c r="D518" s="74" t="s">
        <v>152</v>
      </c>
      <c r="E518" s="75">
        <v>44.486899999999999</v>
      </c>
      <c r="F518" s="75" t="s">
        <v>352</v>
      </c>
      <c r="K518" s="72">
        <v>15</v>
      </c>
      <c r="L518" s="73">
        <v>45761</v>
      </c>
      <c r="M518" s="70" t="s">
        <v>179</v>
      </c>
      <c r="N518" s="74" t="s">
        <v>152</v>
      </c>
      <c r="O518" s="75">
        <v>30.733799999999999</v>
      </c>
      <c r="P518" s="75" t="s">
        <v>352</v>
      </c>
      <c r="U518" s="72">
        <v>15</v>
      </c>
      <c r="V518" s="73">
        <v>45761</v>
      </c>
      <c r="W518" s="70" t="s">
        <v>180</v>
      </c>
      <c r="X518" s="74" t="s">
        <v>152</v>
      </c>
      <c r="Y518" s="75">
        <v>33.203299999999999</v>
      </c>
      <c r="Z518" s="75" t="s">
        <v>352</v>
      </c>
    </row>
    <row r="519" spans="1:26" x14ac:dyDescent="0.3">
      <c r="A519" s="72">
        <v>16</v>
      </c>
      <c r="B519" s="73">
        <v>45768</v>
      </c>
      <c r="C519" s="70" t="s">
        <v>178</v>
      </c>
      <c r="D519" s="74" t="s">
        <v>152</v>
      </c>
      <c r="E519" s="75">
        <v>32.265500000000003</v>
      </c>
      <c r="F519" s="75" t="s">
        <v>352</v>
      </c>
      <c r="K519" s="72">
        <v>16</v>
      </c>
      <c r="L519" s="73">
        <v>45768</v>
      </c>
      <c r="M519" s="70" t="s">
        <v>179</v>
      </c>
      <c r="N519" s="74" t="s">
        <v>152</v>
      </c>
      <c r="O519" s="75">
        <v>40.483400000000003</v>
      </c>
      <c r="P519" s="75" t="s">
        <v>352</v>
      </c>
      <c r="U519" s="72">
        <v>16</v>
      </c>
      <c r="V519" s="73">
        <v>45768</v>
      </c>
      <c r="W519" s="70" t="s">
        <v>180</v>
      </c>
      <c r="X519" s="74" t="s">
        <v>152</v>
      </c>
      <c r="Y519" s="75">
        <v>39.406199999999998</v>
      </c>
      <c r="Z519" s="75" t="s">
        <v>352</v>
      </c>
    </row>
    <row r="520" spans="1:26" x14ac:dyDescent="0.3">
      <c r="A520" s="72">
        <v>17</v>
      </c>
      <c r="B520" s="73">
        <v>45775</v>
      </c>
      <c r="C520" s="70" t="s">
        <v>178</v>
      </c>
      <c r="D520" s="74" t="s">
        <v>152</v>
      </c>
      <c r="E520" s="75">
        <v>39.082799999999999</v>
      </c>
      <c r="F520" s="75" t="s">
        <v>352</v>
      </c>
      <c r="K520" s="72">
        <v>17</v>
      </c>
      <c r="L520" s="73">
        <v>45775</v>
      </c>
      <c r="M520" s="70" t="s">
        <v>179</v>
      </c>
      <c r="N520" s="74" t="s">
        <v>152</v>
      </c>
      <c r="O520" s="75">
        <v>49.909300000000002</v>
      </c>
      <c r="P520" s="75" t="s">
        <v>352</v>
      </c>
      <c r="U520" s="72">
        <v>17</v>
      </c>
      <c r="V520" s="73">
        <v>45775</v>
      </c>
      <c r="W520" s="70" t="s">
        <v>180</v>
      </c>
      <c r="X520" s="74" t="s">
        <v>152</v>
      </c>
      <c r="Y520" s="75">
        <v>38.025100000000002</v>
      </c>
      <c r="Z520" s="75" t="s">
        <v>352</v>
      </c>
    </row>
    <row r="521" spans="1:26" x14ac:dyDescent="0.3">
      <c r="A521" s="72">
        <v>18</v>
      </c>
      <c r="B521" s="73">
        <v>45782</v>
      </c>
      <c r="C521" s="70" t="s">
        <v>178</v>
      </c>
      <c r="D521" s="74" t="s">
        <v>152</v>
      </c>
      <c r="E521" s="75">
        <v>30.901</v>
      </c>
      <c r="F521" s="75" t="s">
        <v>352</v>
      </c>
      <c r="K521" s="72">
        <v>18</v>
      </c>
      <c r="L521" s="73">
        <v>45782</v>
      </c>
      <c r="M521" s="70" t="s">
        <v>179</v>
      </c>
      <c r="N521" s="74" t="s">
        <v>152</v>
      </c>
      <c r="O521" s="75">
        <v>37.876399999999997</v>
      </c>
      <c r="P521" s="75" t="s">
        <v>352</v>
      </c>
      <c r="U521" s="72">
        <v>18</v>
      </c>
      <c r="V521" s="73">
        <v>45782</v>
      </c>
      <c r="W521" s="70" t="s">
        <v>180</v>
      </c>
      <c r="X521" s="74" t="s">
        <v>152</v>
      </c>
      <c r="Y521" s="75">
        <v>33.524900000000002</v>
      </c>
      <c r="Z521" s="75" t="s">
        <v>352</v>
      </c>
    </row>
    <row r="522" spans="1:26" x14ac:dyDescent="0.3">
      <c r="A522" s="72">
        <v>19</v>
      </c>
      <c r="B522" s="73">
        <v>45789</v>
      </c>
      <c r="C522" s="70" t="s">
        <v>178</v>
      </c>
      <c r="D522" s="74" t="s">
        <v>152</v>
      </c>
      <c r="E522" s="75">
        <v>32.1342</v>
      </c>
      <c r="F522" s="75" t="s">
        <v>352</v>
      </c>
      <c r="K522" s="72">
        <v>19</v>
      </c>
      <c r="L522" s="73">
        <v>45789</v>
      </c>
      <c r="M522" s="70" t="s">
        <v>179</v>
      </c>
      <c r="N522" s="74" t="s">
        <v>152</v>
      </c>
      <c r="O522" s="75">
        <v>36.272300000000001</v>
      </c>
      <c r="P522" s="75" t="s">
        <v>352</v>
      </c>
      <c r="U522" s="72">
        <v>19</v>
      </c>
      <c r="V522" s="73">
        <v>45789</v>
      </c>
      <c r="W522" s="70" t="s">
        <v>180</v>
      </c>
      <c r="X522" s="74" t="s">
        <v>152</v>
      </c>
      <c r="Y522" s="75">
        <v>33.754100000000001</v>
      </c>
      <c r="Z522" s="75" t="s">
        <v>352</v>
      </c>
    </row>
    <row r="523" spans="1:26" x14ac:dyDescent="0.3">
      <c r="A523" s="72">
        <v>20</v>
      </c>
      <c r="B523" s="73">
        <v>45796</v>
      </c>
      <c r="C523" s="70" t="s">
        <v>178</v>
      </c>
      <c r="D523" s="74" t="s">
        <v>152</v>
      </c>
      <c r="E523" s="75">
        <v>32.508299999999998</v>
      </c>
      <c r="F523" s="75" t="s">
        <v>352</v>
      </c>
      <c r="K523" s="72">
        <v>20</v>
      </c>
      <c r="L523" s="73">
        <v>45796</v>
      </c>
      <c r="M523" s="70" t="s">
        <v>179</v>
      </c>
      <c r="N523" s="74" t="s">
        <v>152</v>
      </c>
      <c r="O523" s="75">
        <v>40.136499999999998</v>
      </c>
      <c r="P523" s="75" t="s">
        <v>352</v>
      </c>
      <c r="U523" s="72">
        <v>20</v>
      </c>
      <c r="V523" s="73">
        <v>45796</v>
      </c>
      <c r="W523" s="70" t="s">
        <v>180</v>
      </c>
      <c r="X523" s="74" t="s">
        <v>152</v>
      </c>
      <c r="Y523" s="75">
        <v>32.981999999999999</v>
      </c>
      <c r="Z523" s="75" t="s">
        <v>352</v>
      </c>
    </row>
    <row r="524" spans="1:26" x14ac:dyDescent="0.3">
      <c r="A524" s="72">
        <v>21</v>
      </c>
      <c r="B524" s="73">
        <v>45803</v>
      </c>
      <c r="C524" s="70" t="s">
        <v>178</v>
      </c>
      <c r="D524" s="74" t="s">
        <v>152</v>
      </c>
      <c r="E524" s="75">
        <v>35.549900000000001</v>
      </c>
      <c r="F524" s="75" t="s">
        <v>352</v>
      </c>
      <c r="K524" s="72">
        <v>21</v>
      </c>
      <c r="L524" s="73">
        <v>45803</v>
      </c>
      <c r="M524" s="70" t="s">
        <v>179</v>
      </c>
      <c r="N524" s="74" t="s">
        <v>152</v>
      </c>
      <c r="O524" s="75">
        <v>36.078099999999999</v>
      </c>
      <c r="P524" s="75" t="s">
        <v>352</v>
      </c>
      <c r="U524" s="72">
        <v>21</v>
      </c>
      <c r="V524" s="73">
        <v>45803</v>
      </c>
      <c r="W524" s="70" t="s">
        <v>180</v>
      </c>
      <c r="X524" s="74" t="s">
        <v>152</v>
      </c>
      <c r="Y524" s="75">
        <v>30.752099999999999</v>
      </c>
      <c r="Z524" s="75" t="s">
        <v>352</v>
      </c>
    </row>
    <row r="525" spans="1:26" x14ac:dyDescent="0.3">
      <c r="A525" s="72">
        <v>22</v>
      </c>
      <c r="B525" s="73">
        <v>45810</v>
      </c>
      <c r="C525" s="70" t="s">
        <v>178</v>
      </c>
      <c r="D525" s="74" t="s">
        <v>152</v>
      </c>
      <c r="E525" s="75">
        <v>37.4054</v>
      </c>
      <c r="F525" s="75" t="s">
        <v>352</v>
      </c>
      <c r="K525" s="72">
        <v>22</v>
      </c>
      <c r="L525" s="73">
        <v>45810</v>
      </c>
      <c r="M525" s="70" t="s">
        <v>179</v>
      </c>
      <c r="N525" s="74" t="s">
        <v>152</v>
      </c>
      <c r="O525" s="75">
        <v>50.525100000000002</v>
      </c>
      <c r="P525" s="75" t="s">
        <v>352</v>
      </c>
      <c r="U525" s="72">
        <v>22</v>
      </c>
      <c r="V525" s="73">
        <v>45810</v>
      </c>
      <c r="W525" s="70" t="s">
        <v>180</v>
      </c>
      <c r="X525" s="74" t="s">
        <v>152</v>
      </c>
      <c r="Y525" s="75">
        <v>42.766399999999997</v>
      </c>
      <c r="Z525" s="75" t="s">
        <v>352</v>
      </c>
    </row>
    <row r="526" spans="1:26" x14ac:dyDescent="0.3">
      <c r="A526" s="72">
        <v>23</v>
      </c>
      <c r="B526" s="73">
        <v>45817</v>
      </c>
      <c r="C526" s="70" t="s">
        <v>178</v>
      </c>
      <c r="D526" s="74" t="s">
        <v>152</v>
      </c>
      <c r="E526" s="75">
        <v>39.3688</v>
      </c>
      <c r="F526" s="75" t="s">
        <v>352</v>
      </c>
      <c r="K526" s="72">
        <v>23</v>
      </c>
      <c r="L526" s="73">
        <v>45817</v>
      </c>
      <c r="M526" s="70" t="s">
        <v>179</v>
      </c>
      <c r="N526" s="74" t="s">
        <v>152</v>
      </c>
      <c r="O526" s="75">
        <v>32.723399999999998</v>
      </c>
      <c r="P526" s="75" t="s">
        <v>352</v>
      </c>
      <c r="U526" s="72">
        <v>23</v>
      </c>
      <c r="V526" s="73">
        <v>45817</v>
      </c>
      <c r="W526" s="70" t="s">
        <v>180</v>
      </c>
      <c r="X526" s="74" t="s">
        <v>152</v>
      </c>
      <c r="Y526" s="75">
        <v>33.555100000000003</v>
      </c>
      <c r="Z526" s="75" t="s">
        <v>352</v>
      </c>
    </row>
    <row r="527" spans="1:26" x14ac:dyDescent="0.3">
      <c r="A527" s="72">
        <v>24</v>
      </c>
      <c r="B527" s="73">
        <v>45824</v>
      </c>
      <c r="C527" s="70" t="s">
        <v>178</v>
      </c>
      <c r="D527" s="74" t="s">
        <v>152</v>
      </c>
      <c r="E527" s="75">
        <v>27.373000000000001</v>
      </c>
      <c r="F527" s="75" t="s">
        <v>352</v>
      </c>
      <c r="K527" s="72">
        <v>24</v>
      </c>
      <c r="L527" s="73">
        <v>45824</v>
      </c>
      <c r="M527" s="70" t="s">
        <v>179</v>
      </c>
      <c r="N527" s="74" t="s">
        <v>152</v>
      </c>
      <c r="O527" s="75">
        <v>45.637</v>
      </c>
      <c r="P527" s="75" t="s">
        <v>352</v>
      </c>
      <c r="U527" s="72">
        <v>24</v>
      </c>
      <c r="V527" s="73">
        <v>45824</v>
      </c>
      <c r="W527" s="70" t="s">
        <v>180</v>
      </c>
      <c r="X527" s="74" t="s">
        <v>152</v>
      </c>
      <c r="Y527" s="75">
        <v>28.1065</v>
      </c>
      <c r="Z527" s="75" t="s">
        <v>352</v>
      </c>
    </row>
    <row r="528" spans="1:26" x14ac:dyDescent="0.3">
      <c r="A528" s="72">
        <v>25</v>
      </c>
      <c r="B528" s="73">
        <v>45831</v>
      </c>
      <c r="C528" s="70" t="s">
        <v>178</v>
      </c>
      <c r="D528" s="74" t="s">
        <v>152</v>
      </c>
      <c r="E528" s="75">
        <v>49.169600000000003</v>
      </c>
      <c r="F528" s="75" t="s">
        <v>352</v>
      </c>
      <c r="K528" s="72">
        <v>25</v>
      </c>
      <c r="L528" s="73">
        <v>45831</v>
      </c>
      <c r="M528" s="70" t="s">
        <v>179</v>
      </c>
      <c r="N528" s="74" t="s">
        <v>152</v>
      </c>
      <c r="O528" s="75">
        <v>30.217700000000001</v>
      </c>
      <c r="P528" s="75" t="s">
        <v>352</v>
      </c>
      <c r="U528" s="72">
        <v>25</v>
      </c>
      <c r="V528" s="73">
        <v>45831</v>
      </c>
      <c r="W528" s="70" t="s">
        <v>180</v>
      </c>
      <c r="X528" s="74" t="s">
        <v>152</v>
      </c>
      <c r="Y528" s="75">
        <v>31.237400000000001</v>
      </c>
      <c r="Z528" s="75" t="s">
        <v>352</v>
      </c>
    </row>
    <row r="529" spans="1:26" x14ac:dyDescent="0.3">
      <c r="A529" s="72"/>
      <c r="B529" s="73"/>
      <c r="C529" s="70"/>
      <c r="D529" s="74"/>
      <c r="E529" s="75"/>
      <c r="F529" s="75"/>
      <c r="K529" s="72"/>
      <c r="L529" s="73"/>
      <c r="M529" s="70"/>
      <c r="N529" s="74"/>
      <c r="O529" s="75"/>
      <c r="P529" s="75"/>
      <c r="U529" s="72"/>
      <c r="V529" s="73"/>
      <c r="W529" s="70"/>
      <c r="X529" s="74"/>
      <c r="Y529" s="75"/>
      <c r="Z529" s="75"/>
    </row>
    <row r="530" spans="1:26" x14ac:dyDescent="0.3">
      <c r="A530" s="72"/>
      <c r="B530" s="73"/>
      <c r="C530" s="70"/>
      <c r="D530" s="74"/>
      <c r="E530" s="75"/>
      <c r="F530" s="75"/>
      <c r="K530" s="72"/>
      <c r="L530" s="73"/>
      <c r="M530" s="70"/>
      <c r="N530" s="74"/>
      <c r="O530" s="75"/>
      <c r="P530" s="75"/>
      <c r="U530" s="72"/>
      <c r="V530" s="73"/>
      <c r="W530" s="70"/>
      <c r="X530" s="74"/>
      <c r="Y530" s="75"/>
      <c r="Z530" s="75"/>
    </row>
    <row r="531" spans="1:26" x14ac:dyDescent="0.3">
      <c r="A531" s="72"/>
      <c r="B531" s="73"/>
      <c r="C531" s="70"/>
      <c r="D531" s="74"/>
      <c r="E531" s="75"/>
      <c r="F531" s="75"/>
      <c r="K531" s="72"/>
      <c r="L531" s="73"/>
      <c r="M531" s="70"/>
      <c r="N531" s="74"/>
      <c r="O531" s="75"/>
      <c r="P531" s="75"/>
      <c r="U531" s="72"/>
      <c r="V531" s="73"/>
      <c r="W531" s="70"/>
      <c r="X531" s="74"/>
      <c r="Y531" s="75"/>
      <c r="Z531" s="75"/>
    </row>
    <row r="532" spans="1:26" x14ac:dyDescent="0.3">
      <c r="A532" s="72"/>
      <c r="B532" s="73"/>
      <c r="C532" s="70"/>
      <c r="D532" s="74"/>
      <c r="E532" s="75"/>
      <c r="F532" s="75"/>
      <c r="K532" s="72"/>
      <c r="L532" s="73"/>
      <c r="M532" s="70"/>
      <c r="N532" s="74"/>
      <c r="O532" s="75"/>
      <c r="P532" s="75"/>
      <c r="U532" s="72"/>
      <c r="V532" s="73"/>
      <c r="W532" s="70"/>
      <c r="X532" s="74"/>
      <c r="Y532" s="75"/>
      <c r="Z532" s="75"/>
    </row>
    <row r="533" spans="1:26" x14ac:dyDescent="0.3">
      <c r="A533" s="72"/>
      <c r="B533" s="73"/>
      <c r="C533" s="70"/>
      <c r="D533" s="74"/>
      <c r="E533" s="75"/>
      <c r="F533" s="75"/>
      <c r="K533" s="72"/>
      <c r="L533" s="73"/>
      <c r="M533" s="70"/>
      <c r="N533" s="74"/>
      <c r="O533" s="75"/>
      <c r="P533" s="75"/>
      <c r="U533" s="72"/>
      <c r="V533" s="73"/>
      <c r="W533" s="70"/>
      <c r="X533" s="74"/>
      <c r="Y533" s="75"/>
      <c r="Z533" s="75"/>
    </row>
    <row r="534" spans="1:26" x14ac:dyDescent="0.3">
      <c r="A534" s="72"/>
      <c r="B534" s="73"/>
      <c r="C534" s="70"/>
      <c r="D534" s="74"/>
      <c r="E534" s="75"/>
      <c r="F534" s="75"/>
      <c r="K534" s="72"/>
      <c r="L534" s="73"/>
      <c r="M534" s="70"/>
      <c r="N534" s="74"/>
      <c r="O534" s="75"/>
      <c r="P534" s="75"/>
      <c r="U534" s="72"/>
      <c r="V534" s="73"/>
      <c r="W534" s="70"/>
      <c r="X534" s="74"/>
      <c r="Y534" s="75"/>
      <c r="Z534" s="75"/>
    </row>
    <row r="535" spans="1:26" x14ac:dyDescent="0.3">
      <c r="A535" s="72"/>
      <c r="B535" s="73"/>
      <c r="C535" s="70"/>
      <c r="D535" s="74"/>
      <c r="E535" s="75"/>
      <c r="F535" s="75"/>
      <c r="K535" s="72"/>
      <c r="L535" s="73"/>
      <c r="M535" s="70"/>
      <c r="N535" s="74"/>
      <c r="O535" s="75"/>
      <c r="P535" s="75"/>
      <c r="U535" s="72"/>
      <c r="V535" s="73"/>
      <c r="W535" s="70"/>
      <c r="X535" s="74"/>
      <c r="Y535" s="75"/>
      <c r="Z535" s="75"/>
    </row>
    <row r="536" spans="1:26" x14ac:dyDescent="0.3">
      <c r="A536" s="72"/>
      <c r="B536" s="73"/>
      <c r="C536" s="70"/>
      <c r="D536" s="74"/>
      <c r="E536" s="75"/>
      <c r="F536" s="75"/>
      <c r="K536" s="72"/>
      <c r="L536" s="73"/>
      <c r="M536" s="70"/>
      <c r="N536" s="74"/>
      <c r="O536" s="75"/>
      <c r="P536" s="75"/>
      <c r="U536" s="72"/>
      <c r="V536" s="73"/>
      <c r="W536" s="70"/>
      <c r="X536" s="74"/>
      <c r="Y536" s="75"/>
      <c r="Z536" s="75"/>
    </row>
    <row r="537" spans="1:26" x14ac:dyDescent="0.3">
      <c r="A537" s="72"/>
      <c r="B537" s="73"/>
      <c r="C537" s="70"/>
      <c r="D537" s="74"/>
      <c r="E537" s="75"/>
      <c r="F537" s="75"/>
      <c r="K537" s="72"/>
      <c r="L537" s="73"/>
      <c r="M537" s="70"/>
      <c r="N537" s="74"/>
      <c r="O537" s="75"/>
      <c r="P537" s="75"/>
      <c r="U537" s="72"/>
      <c r="V537" s="73"/>
      <c r="W537" s="70"/>
      <c r="X537" s="74"/>
      <c r="Y537" s="75"/>
      <c r="Z537" s="75"/>
    </row>
    <row r="538" spans="1:26" x14ac:dyDescent="0.3">
      <c r="A538" s="72"/>
      <c r="B538" s="73"/>
      <c r="C538" s="70"/>
      <c r="D538" s="74"/>
      <c r="E538" s="75"/>
      <c r="F538" s="75"/>
      <c r="K538" s="72"/>
      <c r="L538" s="73"/>
      <c r="M538" s="70"/>
      <c r="N538" s="74"/>
      <c r="O538" s="75"/>
      <c r="P538" s="75"/>
      <c r="U538" s="72"/>
      <c r="V538" s="73"/>
      <c r="W538" s="70"/>
      <c r="X538" s="74"/>
      <c r="Y538" s="75"/>
      <c r="Z538" s="75"/>
    </row>
    <row r="539" spans="1:26" x14ac:dyDescent="0.3">
      <c r="A539" s="72"/>
      <c r="B539" s="73"/>
      <c r="C539" s="70"/>
      <c r="D539" s="74"/>
      <c r="E539" s="75"/>
      <c r="F539" s="75"/>
      <c r="K539" s="72"/>
      <c r="L539" s="73"/>
      <c r="M539" s="70"/>
      <c r="N539" s="74"/>
      <c r="O539" s="75"/>
      <c r="P539" s="75"/>
      <c r="U539" s="72"/>
      <c r="V539" s="73"/>
      <c r="W539" s="70"/>
      <c r="X539" s="74"/>
      <c r="Y539" s="75"/>
      <c r="Z539" s="75"/>
    </row>
    <row r="540" spans="1:26" x14ac:dyDescent="0.3">
      <c r="A540" s="72"/>
      <c r="B540" s="73"/>
      <c r="C540" s="70"/>
      <c r="D540" s="74"/>
      <c r="E540" s="75"/>
      <c r="F540" s="75"/>
      <c r="K540" s="72"/>
      <c r="L540" s="73"/>
      <c r="M540" s="70"/>
      <c r="N540" s="74"/>
      <c r="O540" s="75"/>
      <c r="P540" s="75"/>
      <c r="U540" s="72"/>
      <c r="V540" s="73"/>
      <c r="W540" s="70"/>
      <c r="X540" s="74"/>
      <c r="Y540" s="75"/>
      <c r="Z540" s="75"/>
    </row>
    <row r="541" spans="1:26" x14ac:dyDescent="0.3">
      <c r="A541" s="72"/>
      <c r="B541" s="73"/>
      <c r="C541" s="70"/>
      <c r="D541" s="74"/>
      <c r="E541" s="75"/>
      <c r="F541" s="75"/>
      <c r="K541" s="72"/>
      <c r="L541" s="73"/>
      <c r="M541" s="70"/>
      <c r="N541" s="74"/>
      <c r="O541" s="75"/>
      <c r="P541" s="75"/>
      <c r="U541" s="72"/>
      <c r="V541" s="73"/>
      <c r="W541" s="70"/>
      <c r="X541" s="74"/>
      <c r="Y541" s="75"/>
      <c r="Z541" s="75"/>
    </row>
    <row r="542" spans="1:26" x14ac:dyDescent="0.3">
      <c r="A542" s="72"/>
      <c r="B542" s="73"/>
      <c r="C542" s="70"/>
      <c r="D542" s="74"/>
      <c r="E542" s="75"/>
      <c r="F542" s="75"/>
      <c r="K542" s="72"/>
      <c r="L542" s="73"/>
      <c r="M542" s="70"/>
      <c r="N542" s="74"/>
      <c r="O542" s="75"/>
      <c r="P542" s="75"/>
      <c r="U542" s="72"/>
      <c r="V542" s="73"/>
      <c r="W542" s="70"/>
      <c r="X542" s="74"/>
      <c r="Y542" s="75"/>
      <c r="Z542" s="75"/>
    </row>
    <row r="543" spans="1:26" x14ac:dyDescent="0.3">
      <c r="A543" s="72"/>
      <c r="B543" s="73"/>
      <c r="C543" s="70"/>
      <c r="D543" s="74"/>
      <c r="E543" s="75"/>
      <c r="F543" s="75"/>
      <c r="K543" s="72"/>
      <c r="L543" s="73"/>
      <c r="M543" s="70"/>
      <c r="N543" s="74"/>
      <c r="O543" s="75"/>
      <c r="P543" s="75"/>
      <c r="U543" s="72"/>
      <c r="V543" s="73"/>
      <c r="W543" s="70"/>
      <c r="X543" s="74"/>
      <c r="Y543" s="75"/>
      <c r="Z543" s="75"/>
    </row>
    <row r="544" spans="1:26" x14ac:dyDescent="0.3">
      <c r="A544" s="72"/>
      <c r="B544" s="73"/>
      <c r="C544" s="70"/>
      <c r="D544" s="74"/>
      <c r="E544" s="75"/>
      <c r="F544" s="75"/>
      <c r="K544" s="72"/>
      <c r="L544" s="73"/>
      <c r="M544" s="70"/>
      <c r="N544" s="74"/>
      <c r="O544" s="75"/>
      <c r="P544" s="75"/>
      <c r="U544" s="72"/>
      <c r="V544" s="73"/>
      <c r="W544" s="70"/>
      <c r="X544" s="74"/>
      <c r="Y544" s="75"/>
      <c r="Z544" s="75"/>
    </row>
    <row r="545" spans="1:26" x14ac:dyDescent="0.3">
      <c r="A545" s="72"/>
      <c r="B545" s="73"/>
      <c r="C545" s="70"/>
      <c r="D545" s="74"/>
      <c r="E545" s="75"/>
      <c r="F545" s="75"/>
      <c r="K545" s="72"/>
      <c r="L545" s="73"/>
      <c r="M545" s="70"/>
      <c r="N545" s="74"/>
      <c r="O545" s="75"/>
      <c r="P545" s="75"/>
      <c r="U545" s="72"/>
      <c r="V545" s="73"/>
      <c r="W545" s="70"/>
      <c r="X545" s="74"/>
      <c r="Y545" s="75"/>
      <c r="Z545" s="75"/>
    </row>
    <row r="546" spans="1:26" x14ac:dyDescent="0.3">
      <c r="A546" s="72"/>
      <c r="B546" s="73"/>
      <c r="C546" s="70"/>
      <c r="D546" s="74"/>
      <c r="E546" s="75"/>
      <c r="F546" s="75"/>
      <c r="K546" s="72"/>
      <c r="L546" s="73"/>
      <c r="M546" s="70"/>
      <c r="N546" s="74"/>
      <c r="O546" s="75"/>
      <c r="P546" s="75"/>
      <c r="U546" s="72"/>
      <c r="V546" s="73"/>
      <c r="W546" s="70"/>
      <c r="X546" s="74"/>
      <c r="Y546" s="75"/>
      <c r="Z546" s="75"/>
    </row>
    <row r="547" spans="1:26" x14ac:dyDescent="0.3">
      <c r="A547" s="72"/>
      <c r="B547" s="73"/>
      <c r="C547" s="70"/>
      <c r="D547" s="74"/>
      <c r="E547" s="75"/>
      <c r="F547" s="75"/>
      <c r="K547" s="72"/>
      <c r="L547" s="73"/>
      <c r="M547" s="70"/>
      <c r="N547" s="74"/>
      <c r="O547" s="75"/>
      <c r="P547" s="75"/>
      <c r="U547" s="72"/>
      <c r="V547" s="73"/>
      <c r="W547" s="70"/>
      <c r="X547" s="74"/>
      <c r="Y547" s="75"/>
      <c r="Z547" s="75"/>
    </row>
    <row r="548" spans="1:26" x14ac:dyDescent="0.3">
      <c r="A548" s="72"/>
      <c r="B548" s="73"/>
      <c r="C548" s="70"/>
      <c r="D548" s="74"/>
      <c r="E548" s="75"/>
      <c r="F548" s="75"/>
      <c r="K548" s="72"/>
      <c r="L548" s="73"/>
      <c r="M548" s="70"/>
      <c r="N548" s="74"/>
      <c r="O548" s="75"/>
      <c r="P548" s="75"/>
      <c r="U548" s="72"/>
      <c r="V548" s="73"/>
      <c r="W548" s="70"/>
      <c r="X548" s="74"/>
      <c r="Y548" s="75"/>
      <c r="Z548" s="75"/>
    </row>
    <row r="549" spans="1:26" x14ac:dyDescent="0.3">
      <c r="A549" s="72"/>
      <c r="B549" s="73"/>
      <c r="C549" s="70"/>
      <c r="D549" s="74"/>
      <c r="E549" s="75"/>
      <c r="F549" s="75"/>
      <c r="K549" s="72"/>
      <c r="L549" s="73"/>
      <c r="M549" s="70"/>
      <c r="N549" s="74"/>
      <c r="O549" s="75"/>
      <c r="P549" s="75"/>
      <c r="U549" s="72"/>
      <c r="V549" s="73"/>
      <c r="W549" s="70"/>
      <c r="X549" s="74"/>
      <c r="Y549" s="75"/>
      <c r="Z549" s="75"/>
    </row>
    <row r="550" spans="1:26" x14ac:dyDescent="0.3">
      <c r="A550" s="72"/>
      <c r="B550" s="73"/>
      <c r="C550" s="70"/>
      <c r="D550" s="74"/>
      <c r="E550" s="75"/>
      <c r="F550" s="75"/>
      <c r="K550" s="72"/>
      <c r="L550" s="73"/>
      <c r="M550" s="70"/>
      <c r="N550" s="74"/>
      <c r="O550" s="75"/>
      <c r="P550" s="75"/>
      <c r="U550" s="72"/>
      <c r="V550" s="73"/>
      <c r="W550" s="70"/>
      <c r="X550" s="74"/>
      <c r="Y550" s="75"/>
      <c r="Z550" s="75"/>
    </row>
    <row r="551" spans="1:26" x14ac:dyDescent="0.3">
      <c r="A551" s="72"/>
      <c r="B551" s="73"/>
      <c r="C551" s="70"/>
      <c r="D551" s="74"/>
      <c r="E551" s="75"/>
      <c r="F551" s="75"/>
      <c r="K551" s="72"/>
      <c r="L551" s="73"/>
      <c r="M551" s="70"/>
      <c r="N551" s="74"/>
      <c r="O551" s="75"/>
      <c r="P551" s="75"/>
      <c r="U551" s="72"/>
      <c r="V551" s="73"/>
      <c r="W551" s="70"/>
      <c r="X551" s="74"/>
      <c r="Y551" s="75"/>
      <c r="Z551" s="75"/>
    </row>
    <row r="552" spans="1:26" x14ac:dyDescent="0.3">
      <c r="A552" s="72"/>
      <c r="B552" s="73"/>
      <c r="C552" s="70"/>
      <c r="D552" s="74"/>
      <c r="E552" s="75"/>
      <c r="F552" s="75"/>
      <c r="K552" s="72"/>
      <c r="L552" s="73"/>
      <c r="M552" s="70"/>
      <c r="N552" s="74"/>
      <c r="O552" s="75"/>
      <c r="P552" s="75"/>
      <c r="U552" s="72"/>
      <c r="V552" s="73"/>
      <c r="W552" s="70"/>
      <c r="X552" s="74"/>
      <c r="Y552" s="75"/>
      <c r="Z552" s="75"/>
    </row>
    <row r="553" spans="1:26" x14ac:dyDescent="0.3">
      <c r="A553" s="72"/>
      <c r="B553" s="73"/>
      <c r="C553" s="70"/>
      <c r="D553" s="74"/>
      <c r="E553" s="75"/>
      <c r="F553" s="75"/>
      <c r="K553" s="72"/>
      <c r="L553" s="73"/>
      <c r="M553" s="70"/>
      <c r="N553" s="74"/>
      <c r="O553" s="75"/>
      <c r="P553" s="75"/>
      <c r="U553" s="72"/>
      <c r="V553" s="73"/>
      <c r="W553" s="70"/>
      <c r="X553" s="74"/>
      <c r="Y553" s="75"/>
      <c r="Z553" s="75"/>
    </row>
    <row r="554" spans="1:26" x14ac:dyDescent="0.3">
      <c r="A554" s="72"/>
      <c r="B554" s="73"/>
      <c r="C554" s="70"/>
      <c r="D554" s="74"/>
      <c r="E554" s="75"/>
      <c r="F554" s="75"/>
      <c r="K554" s="72"/>
      <c r="L554" s="73"/>
      <c r="M554" s="70"/>
      <c r="N554" s="74"/>
      <c r="O554" s="75"/>
      <c r="P554" s="75"/>
      <c r="U554" s="72"/>
      <c r="V554" s="73"/>
      <c r="W554" s="70"/>
      <c r="X554" s="74"/>
      <c r="Y554" s="75"/>
      <c r="Z554" s="75"/>
    </row>
    <row r="555" spans="1:26" x14ac:dyDescent="0.3">
      <c r="A555" s="72"/>
      <c r="B555" s="73"/>
      <c r="C555" s="70"/>
      <c r="D555" s="74"/>
      <c r="E555" s="75"/>
      <c r="F555" s="75"/>
      <c r="K555" s="72"/>
      <c r="L555" s="73"/>
      <c r="M555" s="70"/>
      <c r="N555" s="74"/>
      <c r="O555" s="75"/>
      <c r="P555" s="75"/>
      <c r="U555" s="72"/>
      <c r="V555" s="73"/>
      <c r="W555" s="70"/>
      <c r="X555" s="74"/>
      <c r="Y555" s="75"/>
      <c r="Z555" s="75"/>
    </row>
    <row r="556" spans="1:26" x14ac:dyDescent="0.3">
      <c r="A556" s="72"/>
      <c r="B556" s="73"/>
      <c r="C556" s="70"/>
      <c r="D556" s="74"/>
      <c r="E556" s="75"/>
      <c r="F556" s="75"/>
      <c r="K556" s="72"/>
      <c r="L556" s="73"/>
      <c r="M556" s="70"/>
      <c r="N556" s="74"/>
      <c r="O556" s="75"/>
      <c r="P556" s="75"/>
      <c r="U556" s="72"/>
      <c r="V556" s="73"/>
      <c r="W556" s="70"/>
      <c r="X556" s="74"/>
      <c r="Y556" s="75"/>
      <c r="Z556" s="75"/>
    </row>
    <row r="557" spans="1:26" x14ac:dyDescent="0.3">
      <c r="A557" s="72"/>
      <c r="B557" s="73"/>
      <c r="C557" s="70"/>
      <c r="D557" s="74"/>
      <c r="E557" s="75"/>
      <c r="F557" s="75"/>
      <c r="K557" s="72"/>
      <c r="L557" s="73"/>
      <c r="M557" s="70"/>
      <c r="N557" s="74"/>
      <c r="O557" s="75"/>
      <c r="P557" s="75"/>
      <c r="U557" s="72"/>
      <c r="V557" s="73"/>
      <c r="W557" s="70"/>
      <c r="X557" s="74"/>
      <c r="Y557" s="75"/>
      <c r="Z557" s="75"/>
    </row>
    <row r="558" spans="1:26" x14ac:dyDescent="0.3">
      <c r="A558" s="72"/>
      <c r="B558" s="73"/>
      <c r="C558" s="70"/>
      <c r="D558" s="74"/>
      <c r="E558" s="75"/>
      <c r="F558" s="75"/>
      <c r="K558" s="72"/>
      <c r="L558" s="73"/>
      <c r="M558" s="70"/>
      <c r="N558" s="74"/>
      <c r="O558" s="75"/>
      <c r="P558" s="75"/>
      <c r="U558" s="72"/>
      <c r="V558" s="73"/>
      <c r="W558" s="70"/>
      <c r="X558" s="74"/>
      <c r="Y558" s="75"/>
      <c r="Z558" s="75"/>
    </row>
    <row r="559" spans="1:26" x14ac:dyDescent="0.3">
      <c r="A559" s="72"/>
      <c r="B559" s="73"/>
      <c r="C559" s="70"/>
      <c r="D559" s="74"/>
      <c r="E559" s="75"/>
      <c r="F559" s="75"/>
      <c r="K559" s="72"/>
      <c r="L559" s="73"/>
      <c r="M559" s="70"/>
      <c r="N559" s="74"/>
      <c r="O559" s="75"/>
      <c r="P559" s="75"/>
      <c r="U559" s="72"/>
      <c r="V559" s="73"/>
      <c r="W559" s="70"/>
      <c r="X559" s="74"/>
      <c r="Y559" s="75"/>
      <c r="Z559" s="75"/>
    </row>
    <row r="560" spans="1:26" x14ac:dyDescent="0.3">
      <c r="A560" s="72"/>
      <c r="B560" s="73"/>
      <c r="C560" s="70"/>
      <c r="D560" s="74"/>
      <c r="E560" s="75"/>
      <c r="F560" s="75"/>
      <c r="K560" s="72"/>
      <c r="L560" s="73"/>
      <c r="M560" s="70"/>
      <c r="N560" s="74"/>
      <c r="O560" s="75"/>
      <c r="P560" s="75"/>
      <c r="U560" s="72"/>
      <c r="V560" s="73"/>
      <c r="W560" s="70"/>
      <c r="X560" s="74"/>
      <c r="Y560" s="75"/>
      <c r="Z560" s="75"/>
    </row>
    <row r="561" spans="1:26" x14ac:dyDescent="0.3">
      <c r="A561" s="72"/>
      <c r="B561" s="73"/>
      <c r="C561" s="70"/>
      <c r="D561" s="74"/>
      <c r="E561" s="75"/>
      <c r="F561" s="75"/>
      <c r="K561" s="72"/>
      <c r="L561" s="73"/>
      <c r="M561" s="70"/>
      <c r="N561" s="74"/>
      <c r="O561" s="75"/>
      <c r="P561" s="75"/>
      <c r="U561" s="72"/>
      <c r="V561" s="73"/>
      <c r="W561" s="70"/>
      <c r="X561" s="74"/>
      <c r="Y561" s="75"/>
      <c r="Z561" s="75"/>
    </row>
    <row r="562" spans="1:26" x14ac:dyDescent="0.3">
      <c r="A562" s="72"/>
      <c r="B562" s="73"/>
      <c r="C562" s="70"/>
      <c r="D562" s="74"/>
      <c r="E562" s="75"/>
      <c r="F562" s="75"/>
      <c r="K562" s="72"/>
      <c r="L562" s="73"/>
      <c r="M562" s="70"/>
      <c r="N562" s="74"/>
      <c r="O562" s="75"/>
      <c r="P562" s="75"/>
      <c r="U562" s="72"/>
      <c r="V562" s="73"/>
      <c r="W562" s="70"/>
      <c r="X562" s="74"/>
      <c r="Y562" s="75"/>
      <c r="Z562" s="75"/>
    </row>
    <row r="563" spans="1:26" x14ac:dyDescent="0.3">
      <c r="A563" s="72"/>
      <c r="B563" s="73"/>
      <c r="C563" s="70"/>
      <c r="D563" s="74"/>
      <c r="E563" s="75"/>
      <c r="F563" s="75"/>
      <c r="K563" s="72"/>
      <c r="L563" s="73"/>
      <c r="M563" s="70"/>
      <c r="N563" s="74"/>
      <c r="O563" s="75"/>
      <c r="P563" s="75"/>
      <c r="U563" s="72"/>
      <c r="V563" s="73"/>
      <c r="W563" s="70"/>
      <c r="X563" s="74"/>
      <c r="Y563" s="75"/>
      <c r="Z563" s="75"/>
    </row>
    <row r="564" spans="1:26" x14ac:dyDescent="0.3">
      <c r="A564" s="72"/>
      <c r="B564" s="73"/>
      <c r="C564" s="70"/>
      <c r="D564" s="74"/>
      <c r="E564" s="75"/>
      <c r="F564" s="75"/>
      <c r="K564" s="72"/>
      <c r="L564" s="73"/>
      <c r="M564" s="70"/>
      <c r="N564" s="74"/>
      <c r="O564" s="75"/>
      <c r="P564" s="75"/>
      <c r="U564" s="72"/>
      <c r="V564" s="73"/>
      <c r="W564" s="70"/>
      <c r="X564" s="74"/>
      <c r="Y564" s="75"/>
      <c r="Z564" s="75"/>
    </row>
    <row r="565" spans="1:26" x14ac:dyDescent="0.3">
      <c r="A565" s="72"/>
      <c r="B565" s="73"/>
      <c r="C565" s="70"/>
      <c r="D565" s="74"/>
      <c r="E565" s="75"/>
      <c r="F565" s="75"/>
      <c r="K565" s="72"/>
      <c r="L565" s="73"/>
      <c r="M565" s="70"/>
      <c r="N565" s="74"/>
      <c r="O565" s="75"/>
      <c r="P565" s="75"/>
      <c r="U565" s="72"/>
      <c r="V565" s="73"/>
      <c r="W565" s="70"/>
      <c r="X565" s="74"/>
      <c r="Y565" s="75"/>
      <c r="Z565" s="75"/>
    </row>
    <row r="566" spans="1:26" x14ac:dyDescent="0.3">
      <c r="A566" s="72"/>
      <c r="B566" s="73"/>
      <c r="C566" s="70"/>
      <c r="D566" s="74"/>
      <c r="E566" s="75"/>
      <c r="F566" s="75"/>
      <c r="K566" s="72"/>
      <c r="L566" s="73"/>
      <c r="M566" s="70"/>
      <c r="N566" s="74"/>
      <c r="O566" s="75"/>
      <c r="P566" s="75"/>
      <c r="U566" s="72"/>
      <c r="V566" s="73"/>
      <c r="W566" s="70"/>
      <c r="X566" s="74"/>
      <c r="Y566" s="75"/>
      <c r="Z566" s="75"/>
    </row>
    <row r="567" spans="1:26" x14ac:dyDescent="0.3">
      <c r="A567" s="72"/>
      <c r="B567" s="73"/>
      <c r="C567" s="70"/>
      <c r="D567" s="74"/>
      <c r="E567" s="75"/>
      <c r="F567" s="75"/>
      <c r="K567" s="72"/>
      <c r="L567" s="73"/>
      <c r="M567" s="70"/>
      <c r="N567" s="74"/>
      <c r="O567" s="75"/>
      <c r="P567" s="75"/>
      <c r="U567" s="72"/>
      <c r="V567" s="73"/>
      <c r="W567" s="70"/>
      <c r="X567" s="74"/>
      <c r="Y567" s="75"/>
      <c r="Z567" s="75"/>
    </row>
    <row r="568" spans="1:26" x14ac:dyDescent="0.3">
      <c r="A568" s="72"/>
      <c r="B568" s="73"/>
      <c r="C568" s="70"/>
      <c r="D568" s="74"/>
      <c r="E568" s="75"/>
      <c r="F568" s="75"/>
      <c r="K568" s="72"/>
      <c r="L568" s="73"/>
      <c r="M568" s="70"/>
      <c r="N568" s="74"/>
      <c r="O568" s="75"/>
      <c r="P568" s="75"/>
      <c r="U568" s="72"/>
      <c r="V568" s="73"/>
      <c r="W568" s="70"/>
      <c r="X568" s="74"/>
      <c r="Y568" s="75"/>
      <c r="Z568" s="75"/>
    </row>
    <row r="569" spans="1:26" x14ac:dyDescent="0.3">
      <c r="A569" s="72"/>
      <c r="B569" s="73"/>
      <c r="C569" s="70"/>
      <c r="D569" s="74"/>
      <c r="E569" s="75"/>
      <c r="F569" s="75"/>
      <c r="K569" s="72"/>
      <c r="L569" s="73"/>
      <c r="M569" s="70"/>
      <c r="N569" s="74"/>
      <c r="O569" s="75"/>
      <c r="P569" s="75"/>
      <c r="U569" s="72"/>
      <c r="V569" s="73"/>
      <c r="W569" s="70"/>
      <c r="X569" s="74"/>
      <c r="Y569" s="75"/>
      <c r="Z569" s="75"/>
    </row>
    <row r="570" spans="1:26" x14ac:dyDescent="0.3">
      <c r="A570" s="72"/>
      <c r="B570" s="73"/>
      <c r="C570" s="70"/>
      <c r="D570" s="74"/>
      <c r="E570" s="75"/>
      <c r="F570" s="75"/>
      <c r="K570" s="72"/>
      <c r="L570" s="73"/>
      <c r="M570" s="70"/>
      <c r="N570" s="74"/>
      <c r="O570" s="75"/>
      <c r="P570" s="75"/>
      <c r="U570" s="72"/>
      <c r="V570" s="73"/>
      <c r="W570" s="70"/>
      <c r="X570" s="74"/>
      <c r="Y570" s="75"/>
      <c r="Z570" s="75"/>
    </row>
    <row r="571" spans="1:26" x14ac:dyDescent="0.3">
      <c r="A571" s="72"/>
      <c r="B571" s="73"/>
      <c r="C571" s="70"/>
      <c r="D571" s="74"/>
      <c r="E571" s="75"/>
      <c r="F571" s="75"/>
      <c r="K571" s="72"/>
      <c r="L571" s="73"/>
      <c r="M571" s="70"/>
      <c r="N571" s="74"/>
      <c r="O571" s="75"/>
      <c r="P571" s="75"/>
      <c r="U571" s="72"/>
      <c r="V571" s="73"/>
      <c r="W571" s="70"/>
      <c r="X571" s="74"/>
      <c r="Y571" s="75"/>
      <c r="Z571" s="75"/>
    </row>
    <row r="572" spans="1:26" x14ac:dyDescent="0.3">
      <c r="A572" s="72"/>
      <c r="B572" s="73"/>
      <c r="C572" s="70"/>
      <c r="D572" s="74"/>
      <c r="E572" s="75"/>
      <c r="F572" s="75"/>
      <c r="K572" s="72"/>
      <c r="L572" s="73"/>
      <c r="M572" s="70"/>
      <c r="N572" s="74"/>
      <c r="O572" s="75"/>
      <c r="P572" s="75"/>
      <c r="U572" s="72"/>
      <c r="V572" s="73"/>
      <c r="W572" s="70"/>
      <c r="X572" s="74"/>
      <c r="Y572" s="75"/>
      <c r="Z572" s="75"/>
    </row>
    <row r="573" spans="1:26" x14ac:dyDescent="0.3">
      <c r="A573" s="72"/>
      <c r="B573" s="73"/>
      <c r="C573" s="70"/>
      <c r="D573" s="74"/>
      <c r="E573" s="75"/>
      <c r="F573" s="75"/>
      <c r="K573" s="72"/>
      <c r="L573" s="73"/>
      <c r="M573" s="70"/>
      <c r="N573" s="74"/>
      <c r="O573" s="75"/>
      <c r="P573" s="75"/>
      <c r="U573" s="72"/>
      <c r="V573" s="73"/>
      <c r="W573" s="70"/>
      <c r="X573" s="74"/>
      <c r="Y573" s="75"/>
      <c r="Z573" s="75"/>
    </row>
    <row r="574" spans="1:26" x14ac:dyDescent="0.3">
      <c r="A574" s="72"/>
      <c r="B574" s="73"/>
      <c r="C574" s="70"/>
      <c r="D574" s="74"/>
      <c r="E574" s="75"/>
      <c r="F574" s="75"/>
      <c r="K574" s="72"/>
      <c r="L574" s="73"/>
      <c r="M574" s="70"/>
      <c r="N574" s="74"/>
      <c r="O574" s="75"/>
      <c r="P574" s="75"/>
      <c r="U574" s="72"/>
      <c r="V574" s="73"/>
      <c r="W574" s="70"/>
      <c r="X574" s="74"/>
      <c r="Y574" s="75"/>
      <c r="Z574" s="75"/>
    </row>
    <row r="575" spans="1:26" x14ac:dyDescent="0.3">
      <c r="A575" s="72"/>
      <c r="B575" s="73"/>
      <c r="C575" s="70"/>
      <c r="D575" s="74"/>
      <c r="E575" s="75"/>
      <c r="F575" s="75"/>
      <c r="K575" s="72"/>
      <c r="L575" s="73"/>
      <c r="M575" s="70"/>
      <c r="N575" s="74"/>
      <c r="O575" s="75"/>
      <c r="P575" s="75"/>
      <c r="U575" s="72"/>
      <c r="V575" s="73"/>
      <c r="W575" s="70"/>
      <c r="X575" s="74"/>
      <c r="Y575" s="75"/>
      <c r="Z575" s="75"/>
    </row>
    <row r="576" spans="1:26" x14ac:dyDescent="0.3">
      <c r="A576" s="72"/>
      <c r="B576" s="73"/>
      <c r="C576" s="70"/>
      <c r="D576" s="74"/>
      <c r="E576" s="75"/>
      <c r="F576" s="75"/>
      <c r="K576" s="72"/>
      <c r="L576" s="73"/>
      <c r="M576" s="70"/>
      <c r="N576" s="74"/>
      <c r="O576" s="75"/>
      <c r="P576" s="75"/>
      <c r="U576" s="72"/>
      <c r="V576" s="73"/>
      <c r="W576" s="70"/>
      <c r="X576" s="74"/>
      <c r="Y576" s="75"/>
      <c r="Z576" s="75"/>
    </row>
    <row r="577" spans="1:26" x14ac:dyDescent="0.3">
      <c r="A577" s="72"/>
      <c r="B577" s="73"/>
      <c r="C577" s="70"/>
      <c r="D577" s="74"/>
      <c r="E577" s="75"/>
      <c r="F577" s="75"/>
      <c r="K577" s="72"/>
      <c r="L577" s="73"/>
      <c r="M577" s="70"/>
      <c r="N577" s="74"/>
      <c r="O577" s="75"/>
      <c r="P577" s="75"/>
      <c r="U577" s="72"/>
      <c r="V577" s="73"/>
      <c r="W577" s="70"/>
      <c r="X577" s="74"/>
      <c r="Y577" s="75"/>
      <c r="Z577" s="75"/>
    </row>
    <row r="578" spans="1:26" x14ac:dyDescent="0.3">
      <c r="A578" s="72"/>
      <c r="B578" s="73"/>
      <c r="C578" s="70"/>
      <c r="D578" s="74"/>
      <c r="E578" s="75"/>
      <c r="F578" s="75"/>
      <c r="K578" s="72"/>
      <c r="L578" s="73"/>
      <c r="M578" s="70"/>
      <c r="N578" s="74"/>
      <c r="O578" s="75"/>
      <c r="P578" s="75"/>
      <c r="U578" s="72"/>
      <c r="V578" s="73"/>
      <c r="W578" s="70"/>
      <c r="X578" s="74"/>
      <c r="Y578" s="75"/>
      <c r="Z578" s="75"/>
    </row>
    <row r="579" spans="1:26" x14ac:dyDescent="0.3">
      <c r="A579" s="72"/>
      <c r="B579" s="73"/>
      <c r="C579" s="70"/>
      <c r="D579" s="74"/>
      <c r="E579" s="75"/>
      <c r="F579" s="75"/>
      <c r="K579" s="72"/>
      <c r="L579" s="73"/>
      <c r="M579" s="70"/>
      <c r="N579" s="74"/>
      <c r="O579" s="75"/>
      <c r="P579" s="75"/>
      <c r="U579" s="72"/>
      <c r="V579" s="73"/>
      <c r="W579" s="70"/>
      <c r="X579" s="74"/>
      <c r="Y579" s="75"/>
      <c r="Z579" s="75"/>
    </row>
    <row r="580" spans="1:26" x14ac:dyDescent="0.3">
      <c r="A580" s="72"/>
      <c r="B580" s="73"/>
      <c r="C580" s="70"/>
      <c r="D580" s="74"/>
      <c r="E580" s="75"/>
      <c r="F580" s="75"/>
      <c r="K580" s="72"/>
      <c r="L580" s="73"/>
      <c r="M580" s="70"/>
      <c r="N580" s="74"/>
      <c r="O580" s="75"/>
      <c r="P580" s="75"/>
      <c r="U580" s="72"/>
      <c r="V580" s="73"/>
      <c r="W580" s="70"/>
      <c r="X580" s="74"/>
      <c r="Y580" s="75"/>
      <c r="Z580" s="75"/>
    </row>
    <row r="581" spans="1:26" x14ac:dyDescent="0.3">
      <c r="A581" s="72"/>
      <c r="B581" s="73"/>
      <c r="C581" s="70"/>
      <c r="D581" s="74"/>
      <c r="E581" s="75"/>
      <c r="F581" s="75"/>
      <c r="K581" s="72"/>
      <c r="L581" s="73"/>
      <c r="M581" s="70"/>
      <c r="N581" s="74"/>
      <c r="O581" s="75"/>
      <c r="P581" s="75"/>
      <c r="U581" s="72"/>
      <c r="V581" s="73"/>
      <c r="W581" s="70"/>
      <c r="X581" s="74"/>
      <c r="Y581" s="75"/>
      <c r="Z581" s="75"/>
    </row>
    <row r="582" spans="1:26" x14ac:dyDescent="0.3">
      <c r="A582" s="72"/>
      <c r="B582" s="73"/>
      <c r="C582" s="70"/>
      <c r="D582" s="74"/>
      <c r="E582" s="75"/>
      <c r="F582" s="75"/>
      <c r="K582" s="72"/>
      <c r="L582" s="73"/>
      <c r="M582" s="70"/>
      <c r="N582" s="74"/>
      <c r="O582" s="75"/>
      <c r="P582" s="75"/>
      <c r="U582" s="72"/>
      <c r="V582" s="73"/>
      <c r="W582" s="70"/>
      <c r="X582" s="74"/>
      <c r="Y582" s="75"/>
      <c r="Z582" s="75"/>
    </row>
    <row r="583" spans="1:26" x14ac:dyDescent="0.3">
      <c r="A583" s="72"/>
      <c r="B583" s="73"/>
      <c r="C583" s="70"/>
      <c r="D583" s="74"/>
      <c r="E583" s="75"/>
      <c r="F583" s="75"/>
      <c r="K583" s="72"/>
      <c r="L583" s="73"/>
      <c r="M583" s="70"/>
      <c r="N583" s="74"/>
      <c r="O583" s="75"/>
      <c r="P583" s="75"/>
      <c r="U583" s="72"/>
      <c r="V583" s="73"/>
      <c r="W583" s="70"/>
      <c r="X583" s="74"/>
      <c r="Y583" s="75"/>
      <c r="Z583" s="75"/>
    </row>
    <row r="584" spans="1:26" x14ac:dyDescent="0.3">
      <c r="A584" s="72"/>
      <c r="B584" s="73"/>
      <c r="C584" s="70"/>
      <c r="D584" s="74"/>
      <c r="E584" s="75"/>
      <c r="F584" s="75"/>
      <c r="K584" s="72"/>
      <c r="L584" s="73"/>
      <c r="M584" s="70"/>
      <c r="N584" s="74"/>
      <c r="O584" s="75"/>
      <c r="P584" s="75"/>
      <c r="U584" s="72"/>
      <c r="V584" s="73"/>
      <c r="W584" s="70"/>
      <c r="X584" s="74"/>
      <c r="Y584" s="75"/>
      <c r="Z584" s="75"/>
    </row>
    <row r="585" spans="1:26" x14ac:dyDescent="0.3">
      <c r="A585" s="72"/>
      <c r="B585" s="73"/>
      <c r="C585" s="70"/>
      <c r="D585" s="74"/>
      <c r="E585" s="75"/>
      <c r="F585" s="75"/>
      <c r="K585" s="72"/>
      <c r="L585" s="73"/>
      <c r="M585" s="70"/>
      <c r="N585" s="74"/>
      <c r="O585" s="75"/>
      <c r="P585" s="75"/>
      <c r="U585" s="72"/>
      <c r="V585" s="73"/>
      <c r="W585" s="70"/>
      <c r="X585" s="74"/>
      <c r="Y585" s="75"/>
      <c r="Z585" s="75"/>
    </row>
    <row r="586" spans="1:26" x14ac:dyDescent="0.3">
      <c r="A586" s="72"/>
      <c r="B586" s="73"/>
      <c r="C586" s="70"/>
      <c r="D586" s="74"/>
      <c r="E586" s="75"/>
      <c r="F586" s="75"/>
      <c r="K586" s="72"/>
      <c r="L586" s="73"/>
      <c r="M586" s="70"/>
      <c r="N586" s="74"/>
      <c r="O586" s="75"/>
      <c r="P586" s="75"/>
      <c r="U586" s="72"/>
      <c r="V586" s="73"/>
      <c r="W586" s="70"/>
      <c r="X586" s="74"/>
      <c r="Y586" s="75"/>
      <c r="Z586" s="75"/>
    </row>
    <row r="587" spans="1:26" x14ac:dyDescent="0.3">
      <c r="A587" s="72"/>
      <c r="B587" s="73"/>
      <c r="C587" s="70"/>
      <c r="D587" s="74"/>
      <c r="E587" s="75"/>
      <c r="F587" s="75"/>
      <c r="K587" s="72"/>
      <c r="L587" s="73"/>
      <c r="M587" s="70"/>
      <c r="N587" s="74"/>
      <c r="O587" s="75"/>
      <c r="P587" s="75"/>
      <c r="U587" s="72"/>
      <c r="V587" s="73"/>
      <c r="W587" s="70"/>
      <c r="X587" s="74"/>
      <c r="Y587" s="75"/>
      <c r="Z587" s="75"/>
    </row>
    <row r="588" spans="1:26" x14ac:dyDescent="0.3">
      <c r="A588" s="72"/>
      <c r="B588" s="73"/>
      <c r="C588" s="70"/>
      <c r="D588" s="74"/>
      <c r="E588" s="75"/>
      <c r="F588" s="75"/>
      <c r="K588" s="72"/>
      <c r="L588" s="73"/>
      <c r="M588" s="70"/>
      <c r="N588" s="74"/>
      <c r="O588" s="75"/>
      <c r="P588" s="75"/>
      <c r="U588" s="72"/>
      <c r="V588" s="73"/>
      <c r="W588" s="70"/>
      <c r="X588" s="74"/>
      <c r="Y588" s="75"/>
      <c r="Z588" s="75"/>
    </row>
    <row r="589" spans="1:26" x14ac:dyDescent="0.3">
      <c r="A589" s="72"/>
      <c r="B589" s="73"/>
      <c r="C589" s="70"/>
      <c r="D589" s="74"/>
      <c r="E589" s="75"/>
      <c r="F589" s="75"/>
      <c r="K589" s="72"/>
      <c r="L589" s="73"/>
      <c r="M589" s="70"/>
      <c r="N589" s="74"/>
      <c r="O589" s="75"/>
      <c r="P589" s="75"/>
      <c r="U589" s="72"/>
      <c r="V589" s="73"/>
      <c r="W589" s="70"/>
      <c r="X589" s="74"/>
      <c r="Y589" s="75"/>
      <c r="Z589" s="75"/>
    </row>
    <row r="590" spans="1:26" x14ac:dyDescent="0.3">
      <c r="A590" s="72"/>
      <c r="B590" s="73"/>
      <c r="C590" s="70"/>
      <c r="D590" s="74"/>
      <c r="E590" s="75"/>
      <c r="F590" s="75"/>
      <c r="K590" s="72"/>
      <c r="L590" s="73"/>
      <c r="M590" s="70"/>
      <c r="N590" s="74"/>
      <c r="O590" s="75"/>
      <c r="P590" s="75"/>
      <c r="U590" s="72"/>
      <c r="V590" s="73"/>
      <c r="W590" s="70"/>
      <c r="X590" s="74"/>
      <c r="Y590" s="75"/>
      <c r="Z590" s="75"/>
    </row>
    <row r="591" spans="1:26" x14ac:dyDescent="0.3">
      <c r="A591" s="72"/>
      <c r="B591" s="73"/>
      <c r="C591" s="70"/>
      <c r="D591" s="74"/>
      <c r="E591" s="75"/>
      <c r="F591" s="75"/>
      <c r="K591" s="72"/>
      <c r="L591" s="73"/>
      <c r="M591" s="70"/>
      <c r="N591" s="74"/>
      <c r="O591" s="75"/>
      <c r="P591" s="75"/>
      <c r="U591" s="72"/>
      <c r="V591" s="73"/>
      <c r="W591" s="70"/>
      <c r="X591" s="74"/>
      <c r="Y591" s="75"/>
      <c r="Z591" s="75"/>
    </row>
    <row r="592" spans="1:26" x14ac:dyDescent="0.3">
      <c r="A592" s="72"/>
      <c r="B592" s="73"/>
      <c r="C592" s="70"/>
      <c r="D592" s="74"/>
      <c r="E592" s="75"/>
      <c r="F592" s="75"/>
      <c r="K592" s="72"/>
      <c r="L592" s="73"/>
      <c r="M592" s="70"/>
      <c r="N592" s="74"/>
      <c r="O592" s="75"/>
      <c r="P592" s="75"/>
      <c r="U592" s="72"/>
      <c r="V592" s="73"/>
      <c r="W592" s="70"/>
      <c r="X592" s="74"/>
      <c r="Y592" s="75"/>
      <c r="Z592" s="75"/>
    </row>
    <row r="593" spans="1:26" x14ac:dyDescent="0.3">
      <c r="A593" s="72"/>
      <c r="B593" s="73"/>
      <c r="C593" s="70"/>
      <c r="D593" s="74"/>
      <c r="E593" s="75"/>
      <c r="F593" s="75"/>
      <c r="K593" s="72"/>
      <c r="L593" s="73"/>
      <c r="M593" s="70"/>
      <c r="N593" s="74"/>
      <c r="O593" s="75"/>
      <c r="P593" s="75"/>
      <c r="U593" s="72"/>
      <c r="V593" s="73"/>
      <c r="W593" s="70"/>
      <c r="X593" s="74"/>
      <c r="Y593" s="75"/>
      <c r="Z593" s="75"/>
    </row>
    <row r="594" spans="1:26" x14ac:dyDescent="0.3">
      <c r="A594" s="72"/>
      <c r="B594" s="73"/>
      <c r="C594" s="70"/>
      <c r="D594" s="74"/>
      <c r="E594" s="75"/>
      <c r="F594" s="75"/>
      <c r="K594" s="72"/>
      <c r="L594" s="73"/>
      <c r="M594" s="70"/>
      <c r="N594" s="74"/>
      <c r="O594" s="75"/>
      <c r="P594" s="75"/>
      <c r="U594" s="72"/>
      <c r="V594" s="73"/>
      <c r="W594" s="70"/>
      <c r="X594" s="74"/>
      <c r="Y594" s="75"/>
      <c r="Z594" s="75"/>
    </row>
    <row r="595" spans="1:26" x14ac:dyDescent="0.3">
      <c r="A595" s="72"/>
      <c r="B595" s="73"/>
      <c r="C595" s="70"/>
      <c r="D595" s="74"/>
      <c r="E595" s="75"/>
      <c r="F595" s="75"/>
      <c r="K595" s="72"/>
      <c r="L595" s="73"/>
      <c r="M595" s="70"/>
      <c r="N595" s="74"/>
      <c r="O595" s="75"/>
      <c r="P595" s="75"/>
      <c r="U595" s="72"/>
      <c r="V595" s="73"/>
      <c r="W595" s="70"/>
      <c r="X595" s="74"/>
      <c r="Y595" s="75"/>
      <c r="Z595" s="75"/>
    </row>
    <row r="596" spans="1:26" x14ac:dyDescent="0.3">
      <c r="A596" s="72"/>
      <c r="B596" s="73"/>
      <c r="C596" s="70"/>
      <c r="D596" s="74"/>
      <c r="E596" s="75"/>
      <c r="F596" s="75"/>
      <c r="K596" s="72"/>
      <c r="L596" s="73"/>
      <c r="M596" s="70"/>
      <c r="N596" s="74"/>
      <c r="O596" s="75"/>
      <c r="P596" s="75"/>
      <c r="U596" s="72"/>
      <c r="V596" s="73"/>
      <c r="W596" s="70"/>
      <c r="X596" s="74"/>
      <c r="Y596" s="75"/>
      <c r="Z596" s="75"/>
    </row>
    <row r="597" spans="1:26" x14ac:dyDescent="0.3">
      <c r="A597" s="72"/>
      <c r="B597" s="73"/>
      <c r="C597" s="70"/>
      <c r="D597" s="74"/>
      <c r="E597" s="75"/>
      <c r="F597" s="75"/>
      <c r="K597" s="72"/>
      <c r="L597" s="73"/>
      <c r="M597" s="70"/>
      <c r="N597" s="74"/>
      <c r="O597" s="75"/>
      <c r="P597" s="75"/>
      <c r="U597" s="72"/>
      <c r="V597" s="73"/>
      <c r="W597" s="70"/>
      <c r="X597" s="74"/>
      <c r="Y597" s="75"/>
      <c r="Z597" s="75"/>
    </row>
    <row r="598" spans="1:26" x14ac:dyDescent="0.3">
      <c r="A598" s="72"/>
      <c r="B598" s="73"/>
      <c r="C598" s="70"/>
      <c r="D598" s="74"/>
      <c r="E598" s="75"/>
      <c r="F598" s="75"/>
      <c r="K598" s="72"/>
      <c r="L598" s="73"/>
      <c r="M598" s="70"/>
      <c r="N598" s="74"/>
      <c r="O598" s="75"/>
      <c r="P598" s="75"/>
      <c r="U598" s="72"/>
      <c r="V598" s="73"/>
      <c r="W598" s="70"/>
      <c r="X598" s="74"/>
      <c r="Y598" s="75"/>
      <c r="Z598" s="75"/>
    </row>
    <row r="599" spans="1:26" x14ac:dyDescent="0.3">
      <c r="A599" s="72"/>
      <c r="B599" s="73"/>
      <c r="C599" s="70"/>
      <c r="D599" s="74"/>
      <c r="E599" s="75"/>
      <c r="F599" s="75"/>
      <c r="K599" s="72"/>
      <c r="L599" s="73"/>
      <c r="M599" s="70"/>
      <c r="N599" s="74"/>
      <c r="O599" s="75"/>
      <c r="P599" s="75"/>
      <c r="U599" s="72"/>
      <c r="V599" s="73"/>
      <c r="W599" s="70"/>
      <c r="X599" s="74"/>
      <c r="Y599" s="75"/>
      <c r="Z599" s="75"/>
    </row>
    <row r="600" spans="1:26" x14ac:dyDescent="0.3">
      <c r="A600" s="72"/>
      <c r="B600" s="73"/>
      <c r="C600" s="70"/>
      <c r="D600" s="74"/>
      <c r="E600" s="75"/>
      <c r="F600" s="75"/>
      <c r="K600" s="72"/>
      <c r="L600" s="73"/>
      <c r="M600" s="70"/>
      <c r="N600" s="74"/>
      <c r="O600" s="75"/>
      <c r="P600" s="75"/>
      <c r="U600" s="72"/>
      <c r="V600" s="73"/>
      <c r="W600" s="70"/>
      <c r="X600" s="74"/>
      <c r="Y600" s="75"/>
      <c r="Z600" s="75"/>
    </row>
    <row r="601" spans="1:26" x14ac:dyDescent="0.3">
      <c r="A601" s="72"/>
      <c r="B601" s="73"/>
      <c r="C601" s="70"/>
      <c r="D601" s="74"/>
      <c r="E601" s="75"/>
      <c r="F601" s="75"/>
      <c r="K601" s="72"/>
      <c r="L601" s="73"/>
      <c r="M601" s="70"/>
      <c r="N601" s="74"/>
      <c r="O601" s="75"/>
      <c r="P601" s="75"/>
      <c r="U601" s="72"/>
      <c r="V601" s="73"/>
      <c r="W601" s="70"/>
      <c r="X601" s="74"/>
      <c r="Y601" s="75"/>
      <c r="Z601" s="75"/>
    </row>
    <row r="602" spans="1:26" x14ac:dyDescent="0.3">
      <c r="A602" s="72"/>
      <c r="B602" s="73"/>
      <c r="C602" s="70"/>
      <c r="D602" s="74"/>
      <c r="E602" s="75"/>
      <c r="F602" s="75"/>
      <c r="K602" s="72"/>
      <c r="L602" s="73"/>
      <c r="M602" s="70"/>
      <c r="N602" s="74"/>
      <c r="O602" s="75"/>
      <c r="P602" s="75"/>
      <c r="U602" s="72"/>
      <c r="V602" s="73"/>
      <c r="W602" s="70"/>
      <c r="X602" s="74"/>
      <c r="Y602" s="75"/>
      <c r="Z602" s="75"/>
    </row>
    <row r="603" spans="1:26" x14ac:dyDescent="0.3">
      <c r="A603" s="72"/>
      <c r="B603" s="73"/>
      <c r="C603" s="70"/>
      <c r="D603" s="74"/>
      <c r="E603" s="75"/>
      <c r="F603" s="75"/>
      <c r="K603" s="72"/>
      <c r="L603" s="73"/>
      <c r="M603" s="70"/>
      <c r="N603" s="74"/>
      <c r="O603" s="75"/>
      <c r="P603" s="75"/>
      <c r="U603" s="72"/>
      <c r="V603" s="73"/>
      <c r="W603" s="70"/>
      <c r="X603" s="74"/>
      <c r="Y603" s="75"/>
      <c r="Z603" s="75"/>
    </row>
    <row r="604" spans="1:26" x14ac:dyDescent="0.3">
      <c r="A604" s="72"/>
      <c r="B604" s="73"/>
      <c r="C604" s="70"/>
      <c r="D604" s="74"/>
      <c r="E604" s="75"/>
      <c r="F604" s="75"/>
      <c r="K604" s="72"/>
      <c r="L604" s="73"/>
      <c r="M604" s="70"/>
      <c r="N604" s="74"/>
      <c r="O604" s="75"/>
      <c r="P604" s="75"/>
      <c r="U604" s="72"/>
      <c r="V604" s="73"/>
      <c r="W604" s="70"/>
      <c r="X604" s="74"/>
      <c r="Y604" s="75"/>
      <c r="Z604" s="75"/>
    </row>
    <row r="605" spans="1:26" x14ac:dyDescent="0.3">
      <c r="A605" s="72"/>
      <c r="B605" s="73"/>
      <c r="C605" s="70"/>
      <c r="D605" s="74"/>
      <c r="E605" s="75"/>
      <c r="F605" s="75"/>
      <c r="K605" s="72"/>
      <c r="L605" s="73"/>
      <c r="M605" s="70"/>
      <c r="N605" s="74"/>
      <c r="O605" s="75"/>
      <c r="P605" s="75"/>
      <c r="U605" s="72"/>
      <c r="V605" s="73"/>
      <c r="W605" s="70"/>
      <c r="X605" s="74"/>
      <c r="Y605" s="75"/>
      <c r="Z605" s="75"/>
    </row>
    <row r="606" spans="1:26" x14ac:dyDescent="0.3">
      <c r="A606" s="72"/>
      <c r="B606" s="73"/>
      <c r="C606" s="70"/>
      <c r="D606" s="74"/>
      <c r="E606" s="75"/>
      <c r="F606" s="75"/>
      <c r="K606" s="72"/>
      <c r="L606" s="73"/>
      <c r="M606" s="70"/>
      <c r="N606" s="74"/>
      <c r="O606" s="75"/>
      <c r="P606" s="75"/>
      <c r="U606" s="72"/>
      <c r="V606" s="73"/>
      <c r="W606" s="70"/>
      <c r="X606" s="74"/>
      <c r="Y606" s="75"/>
      <c r="Z606" s="75"/>
    </row>
    <row r="607" spans="1:26" x14ac:dyDescent="0.3">
      <c r="A607" s="72"/>
      <c r="B607" s="73"/>
      <c r="C607" s="70"/>
      <c r="D607" s="74"/>
      <c r="E607" s="75"/>
      <c r="F607" s="75"/>
      <c r="K607" s="72"/>
      <c r="L607" s="73"/>
      <c r="M607" s="70"/>
      <c r="N607" s="74"/>
      <c r="O607" s="75"/>
      <c r="P607" s="75"/>
      <c r="U607" s="72"/>
      <c r="V607" s="73"/>
      <c r="W607" s="70"/>
      <c r="X607" s="74"/>
      <c r="Y607" s="75"/>
      <c r="Z607" s="75"/>
    </row>
    <row r="608" spans="1:26" x14ac:dyDescent="0.3">
      <c r="A608" s="72"/>
      <c r="B608" s="73"/>
      <c r="C608" s="70"/>
      <c r="D608" s="74"/>
      <c r="E608" s="75"/>
      <c r="F608" s="75"/>
      <c r="K608" s="72"/>
      <c r="L608" s="73"/>
      <c r="M608" s="70"/>
      <c r="N608" s="74"/>
      <c r="O608" s="75"/>
      <c r="P608" s="75"/>
      <c r="U608" s="72"/>
      <c r="V608" s="73"/>
      <c r="W608" s="70"/>
      <c r="X608" s="74"/>
      <c r="Y608" s="75"/>
      <c r="Z608" s="75"/>
    </row>
    <row r="609" spans="1:26" x14ac:dyDescent="0.3">
      <c r="A609" s="72"/>
      <c r="B609" s="73"/>
      <c r="C609" s="70"/>
      <c r="D609" s="74"/>
      <c r="E609" s="75"/>
      <c r="F609" s="75"/>
      <c r="K609" s="72"/>
      <c r="L609" s="73"/>
      <c r="M609" s="70"/>
      <c r="N609" s="74"/>
      <c r="O609" s="75"/>
      <c r="P609" s="75"/>
      <c r="U609" s="72"/>
      <c r="V609" s="73"/>
      <c r="W609" s="70"/>
      <c r="X609" s="74"/>
      <c r="Y609" s="75"/>
      <c r="Z609" s="75"/>
    </row>
    <row r="610" spans="1:26" x14ac:dyDescent="0.3">
      <c r="A610" s="72"/>
      <c r="B610" s="73"/>
      <c r="C610" s="70"/>
      <c r="D610" s="74"/>
      <c r="E610" s="75"/>
      <c r="F610" s="75"/>
      <c r="K610" s="72"/>
      <c r="L610" s="73"/>
      <c r="M610" s="70"/>
      <c r="N610" s="74"/>
      <c r="O610" s="75"/>
      <c r="P610" s="75"/>
      <c r="U610" s="72"/>
      <c r="V610" s="73"/>
      <c r="W610" s="70"/>
      <c r="X610" s="74"/>
      <c r="Y610" s="75"/>
      <c r="Z610" s="75"/>
    </row>
    <row r="611" spans="1:26" x14ac:dyDescent="0.3">
      <c r="A611" s="72"/>
      <c r="B611" s="73"/>
      <c r="C611" s="70"/>
      <c r="D611" s="74"/>
      <c r="E611" s="75"/>
      <c r="F611" s="75"/>
      <c r="K611" s="72"/>
      <c r="L611" s="73"/>
      <c r="M611" s="70"/>
      <c r="N611" s="74"/>
      <c r="O611" s="75"/>
      <c r="P611" s="75"/>
      <c r="U611" s="72"/>
      <c r="V611" s="73"/>
      <c r="W611" s="70"/>
      <c r="X611" s="74"/>
      <c r="Y611" s="75"/>
      <c r="Z611" s="75"/>
    </row>
    <row r="612" spans="1:26" x14ac:dyDescent="0.3">
      <c r="A612" s="72"/>
      <c r="B612" s="73"/>
      <c r="C612" s="70"/>
      <c r="D612" s="74"/>
      <c r="E612" s="75"/>
      <c r="F612" s="75"/>
      <c r="K612" s="72"/>
      <c r="L612" s="73"/>
      <c r="M612" s="70"/>
      <c r="N612" s="74"/>
      <c r="O612" s="75"/>
      <c r="P612" s="75"/>
      <c r="U612" s="72"/>
      <c r="V612" s="73"/>
      <c r="W612" s="70"/>
      <c r="X612" s="74"/>
      <c r="Y612" s="75"/>
      <c r="Z612" s="75"/>
    </row>
    <row r="613" spans="1:26" x14ac:dyDescent="0.3">
      <c r="A613" s="72"/>
      <c r="B613" s="73"/>
      <c r="C613" s="70"/>
      <c r="D613" s="74"/>
      <c r="E613" s="75"/>
      <c r="F613" s="75"/>
      <c r="K613" s="72"/>
      <c r="L613" s="73"/>
      <c r="M613" s="70"/>
      <c r="N613" s="74"/>
      <c r="O613" s="75"/>
      <c r="P613" s="75"/>
      <c r="U613" s="72"/>
      <c r="V613" s="73"/>
      <c r="W613" s="70"/>
      <c r="X613" s="74"/>
      <c r="Y613" s="75"/>
      <c r="Z613" s="75"/>
    </row>
    <row r="614" spans="1:26" x14ac:dyDescent="0.3">
      <c r="A614" s="72"/>
      <c r="B614" s="73"/>
      <c r="C614" s="70"/>
      <c r="D614" s="74"/>
      <c r="E614" s="75"/>
      <c r="F614" s="75"/>
      <c r="K614" s="72"/>
      <c r="L614" s="73"/>
      <c r="M614" s="70"/>
      <c r="N614" s="74"/>
      <c r="O614" s="75"/>
      <c r="P614" s="75"/>
      <c r="U614" s="72"/>
      <c r="V614" s="73"/>
      <c r="W614" s="70"/>
      <c r="X614" s="74"/>
      <c r="Y614" s="75"/>
      <c r="Z614" s="75"/>
    </row>
    <row r="615" spans="1:26" x14ac:dyDescent="0.3">
      <c r="A615" s="72"/>
      <c r="B615" s="73"/>
      <c r="C615" s="70"/>
      <c r="D615" s="74"/>
      <c r="E615" s="75"/>
      <c r="F615" s="75"/>
      <c r="K615" s="72"/>
      <c r="L615" s="73"/>
      <c r="M615" s="70"/>
      <c r="N615" s="74"/>
      <c r="O615" s="75"/>
      <c r="P615" s="75"/>
      <c r="U615" s="72"/>
      <c r="V615" s="73"/>
      <c r="W615" s="70"/>
      <c r="X615" s="74"/>
      <c r="Y615" s="75"/>
      <c r="Z615" s="75"/>
    </row>
    <row r="616" spans="1:26" x14ac:dyDescent="0.3">
      <c r="A616" s="72"/>
      <c r="B616" s="73"/>
      <c r="C616" s="70"/>
      <c r="D616" s="74"/>
      <c r="E616" s="75"/>
      <c r="F616" s="75"/>
      <c r="K616" s="72"/>
      <c r="L616" s="73"/>
      <c r="M616" s="70"/>
      <c r="N616" s="74"/>
      <c r="O616" s="75"/>
      <c r="P616" s="75"/>
      <c r="U616" s="72"/>
      <c r="V616" s="73"/>
      <c r="W616" s="70"/>
      <c r="X616" s="74"/>
      <c r="Y616" s="75"/>
      <c r="Z616" s="75"/>
    </row>
    <row r="617" spans="1:26" x14ac:dyDescent="0.3">
      <c r="A617" s="72"/>
      <c r="B617" s="73"/>
      <c r="C617" s="70"/>
      <c r="D617" s="74"/>
      <c r="E617" s="75"/>
      <c r="F617" s="75"/>
      <c r="K617" s="72"/>
      <c r="L617" s="73"/>
      <c r="M617" s="70"/>
      <c r="N617" s="74"/>
      <c r="O617" s="75"/>
      <c r="P617" s="75"/>
      <c r="U617" s="72"/>
      <c r="V617" s="73"/>
      <c r="W617" s="70"/>
      <c r="X617" s="74"/>
      <c r="Y617" s="75"/>
      <c r="Z617" s="75"/>
    </row>
    <row r="618" spans="1:26" x14ac:dyDescent="0.3">
      <c r="A618" s="72"/>
      <c r="B618" s="73"/>
      <c r="C618" s="70"/>
      <c r="D618" s="74"/>
      <c r="E618" s="75"/>
      <c r="F618" s="75"/>
      <c r="K618" s="72"/>
      <c r="L618" s="73"/>
      <c r="M618" s="70"/>
      <c r="N618" s="74"/>
      <c r="O618" s="75"/>
      <c r="P618" s="75"/>
      <c r="U618" s="72"/>
      <c r="V618" s="73"/>
      <c r="W618" s="70"/>
      <c r="X618" s="74"/>
      <c r="Y618" s="75"/>
      <c r="Z618" s="75"/>
    </row>
    <row r="619" spans="1:26" x14ac:dyDescent="0.3">
      <c r="A619" s="72"/>
      <c r="B619" s="73"/>
      <c r="C619" s="70"/>
      <c r="D619" s="74"/>
      <c r="E619" s="75"/>
      <c r="F619" s="75"/>
      <c r="K619" s="72"/>
      <c r="L619" s="73"/>
      <c r="M619" s="70"/>
      <c r="N619" s="74"/>
      <c r="O619" s="75"/>
      <c r="P619" s="75"/>
      <c r="U619" s="72"/>
      <c r="V619" s="73"/>
      <c r="W619" s="70"/>
      <c r="X619" s="74"/>
      <c r="Y619" s="75"/>
      <c r="Z619" s="75"/>
    </row>
    <row r="620" spans="1:26" x14ac:dyDescent="0.3">
      <c r="A620" s="72"/>
      <c r="B620" s="73"/>
      <c r="C620" s="70"/>
      <c r="D620" s="74"/>
      <c r="E620" s="75"/>
      <c r="F620" s="75"/>
      <c r="K620" s="72"/>
      <c r="L620" s="73"/>
      <c r="M620" s="70"/>
      <c r="N620" s="74"/>
      <c r="O620" s="75"/>
      <c r="P620" s="75"/>
      <c r="U620" s="72"/>
      <c r="V620" s="73"/>
      <c r="W620" s="70"/>
      <c r="X620" s="74"/>
      <c r="Y620" s="75"/>
      <c r="Z620" s="75"/>
    </row>
    <row r="621" spans="1:26" x14ac:dyDescent="0.3">
      <c r="A621" s="72"/>
      <c r="B621" s="73"/>
      <c r="C621" s="70"/>
      <c r="D621" s="74"/>
      <c r="E621" s="75"/>
      <c r="F621" s="75"/>
      <c r="K621" s="72"/>
      <c r="L621" s="73"/>
      <c r="M621" s="70"/>
      <c r="N621" s="74"/>
      <c r="O621" s="75"/>
      <c r="P621" s="75"/>
      <c r="U621" s="72"/>
      <c r="V621" s="73"/>
      <c r="W621" s="70"/>
      <c r="X621" s="74"/>
      <c r="Y621" s="75"/>
      <c r="Z621" s="75"/>
    </row>
    <row r="622" spans="1:26" x14ac:dyDescent="0.3">
      <c r="A622" s="72"/>
      <c r="B622" s="73"/>
      <c r="C622" s="70"/>
      <c r="D622" s="74"/>
      <c r="E622" s="75"/>
      <c r="F622" s="75"/>
      <c r="K622" s="72"/>
      <c r="L622" s="73"/>
      <c r="M622" s="70"/>
      <c r="N622" s="74"/>
      <c r="O622" s="75"/>
      <c r="P622" s="75"/>
      <c r="U622" s="72"/>
      <c r="V622" s="73"/>
      <c r="W622" s="70"/>
      <c r="X622" s="74"/>
      <c r="Y622" s="75"/>
      <c r="Z622" s="75"/>
    </row>
    <row r="623" spans="1:26" x14ac:dyDescent="0.3">
      <c r="A623" s="72"/>
      <c r="B623" s="73"/>
      <c r="C623" s="70"/>
      <c r="D623" s="74"/>
      <c r="E623" s="75"/>
      <c r="F623" s="75"/>
      <c r="K623" s="72"/>
      <c r="L623" s="73"/>
      <c r="M623" s="70"/>
      <c r="N623" s="74"/>
      <c r="O623" s="75"/>
      <c r="P623" s="75"/>
      <c r="U623" s="72"/>
      <c r="V623" s="73"/>
      <c r="W623" s="70"/>
      <c r="X623" s="74"/>
      <c r="Y623" s="75"/>
      <c r="Z623" s="75"/>
    </row>
    <row r="624" spans="1:26" x14ac:dyDescent="0.3">
      <c r="A624" s="72"/>
      <c r="B624" s="73"/>
      <c r="C624" s="70"/>
      <c r="D624" s="74"/>
      <c r="E624" s="75"/>
      <c r="F624" s="75"/>
      <c r="K624" s="72"/>
      <c r="L624" s="73"/>
      <c r="M624" s="70"/>
      <c r="N624" s="74"/>
      <c r="O624" s="75"/>
      <c r="P624" s="75"/>
      <c r="U624" s="72"/>
      <c r="V624" s="73"/>
      <c r="W624" s="70"/>
      <c r="X624" s="74"/>
      <c r="Y624" s="75"/>
      <c r="Z624" s="75"/>
    </row>
    <row r="625" spans="1:26" x14ac:dyDescent="0.3">
      <c r="A625" s="72"/>
      <c r="B625" s="73"/>
      <c r="C625" s="70"/>
      <c r="D625" s="74"/>
      <c r="E625" s="75"/>
      <c r="F625" s="75"/>
      <c r="K625" s="72"/>
      <c r="L625" s="73"/>
      <c r="M625" s="70"/>
      <c r="N625" s="74"/>
      <c r="O625" s="75"/>
      <c r="P625" s="75"/>
      <c r="U625" s="72"/>
      <c r="V625" s="73"/>
      <c r="W625" s="70"/>
      <c r="X625" s="74"/>
      <c r="Y625" s="75"/>
      <c r="Z625" s="75"/>
    </row>
    <row r="626" spans="1:26" x14ac:dyDescent="0.3">
      <c r="A626" s="72"/>
      <c r="B626" s="73"/>
      <c r="C626" s="70"/>
      <c r="D626" s="74"/>
      <c r="E626" s="75"/>
      <c r="F626" s="75"/>
      <c r="K626" s="72"/>
      <c r="L626" s="73"/>
      <c r="M626" s="70"/>
      <c r="N626" s="74"/>
      <c r="O626" s="75"/>
      <c r="P626" s="75"/>
      <c r="U626" s="72"/>
      <c r="V626" s="73"/>
      <c r="W626" s="70"/>
      <c r="X626" s="74"/>
      <c r="Y626" s="75"/>
      <c r="Z626" s="75"/>
    </row>
    <row r="627" spans="1:26" x14ac:dyDescent="0.3">
      <c r="A627" s="72"/>
      <c r="B627" s="73"/>
      <c r="C627" s="70"/>
      <c r="D627" s="74"/>
      <c r="E627" s="75"/>
      <c r="F627" s="75"/>
      <c r="K627" s="72"/>
      <c r="L627" s="73"/>
      <c r="M627" s="70"/>
      <c r="N627" s="74"/>
      <c r="O627" s="75"/>
      <c r="P627" s="75"/>
      <c r="U627" s="72"/>
      <c r="V627" s="73"/>
      <c r="W627" s="70"/>
      <c r="X627" s="74"/>
      <c r="Y627" s="75"/>
      <c r="Z627" s="75"/>
    </row>
    <row r="628" spans="1:26" x14ac:dyDescent="0.3">
      <c r="A628" s="72"/>
      <c r="B628" s="73"/>
      <c r="C628" s="70"/>
      <c r="D628" s="74"/>
      <c r="E628" s="75"/>
      <c r="F628" s="75"/>
      <c r="K628" s="72"/>
      <c r="L628" s="73"/>
      <c r="M628" s="70"/>
      <c r="N628" s="74"/>
      <c r="O628" s="75"/>
      <c r="P628" s="75"/>
      <c r="U628" s="72"/>
      <c r="V628" s="73"/>
      <c r="W628" s="70"/>
      <c r="X628" s="74"/>
      <c r="Y628" s="75"/>
      <c r="Z628" s="75"/>
    </row>
    <row r="629" spans="1:26" x14ac:dyDescent="0.3">
      <c r="A629" s="72"/>
      <c r="B629" s="73"/>
      <c r="C629" s="70"/>
      <c r="D629" s="74"/>
      <c r="E629" s="75"/>
      <c r="F629" s="75"/>
      <c r="K629" s="72"/>
      <c r="L629" s="73"/>
      <c r="M629" s="70"/>
      <c r="N629" s="74"/>
      <c r="O629" s="75"/>
      <c r="P629" s="75"/>
      <c r="U629" s="72"/>
      <c r="V629" s="73"/>
      <c r="W629" s="70"/>
      <c r="X629" s="74"/>
      <c r="Y629" s="75"/>
      <c r="Z629" s="75"/>
    </row>
    <row r="630" spans="1:26" x14ac:dyDescent="0.3">
      <c r="A630" s="72"/>
      <c r="B630" s="73"/>
      <c r="C630" s="70"/>
      <c r="D630" s="74"/>
      <c r="E630" s="75"/>
      <c r="F630" s="75"/>
      <c r="K630" s="72"/>
      <c r="L630" s="73"/>
      <c r="M630" s="70"/>
      <c r="N630" s="74"/>
      <c r="O630" s="75"/>
      <c r="P630" s="75"/>
      <c r="U630" s="72"/>
      <c r="V630" s="73"/>
      <c r="W630" s="70"/>
      <c r="X630" s="74"/>
      <c r="Y630" s="75"/>
      <c r="Z630" s="75"/>
    </row>
    <row r="631" spans="1:26" x14ac:dyDescent="0.3">
      <c r="A631" s="72"/>
      <c r="B631" s="73"/>
      <c r="C631" s="70"/>
      <c r="D631" s="74"/>
      <c r="E631" s="75"/>
      <c r="F631" s="75"/>
      <c r="K631" s="72"/>
      <c r="L631" s="73"/>
      <c r="M631" s="70"/>
      <c r="N631" s="74"/>
      <c r="O631" s="75"/>
      <c r="P631" s="75"/>
      <c r="U631" s="72"/>
      <c r="V631" s="73"/>
      <c r="W631" s="70"/>
      <c r="X631" s="74"/>
      <c r="Y631" s="75"/>
      <c r="Z631" s="75"/>
    </row>
    <row r="632" spans="1:26" x14ac:dyDescent="0.3">
      <c r="A632" s="72"/>
      <c r="B632" s="73"/>
      <c r="C632" s="70"/>
      <c r="D632" s="74"/>
      <c r="E632" s="75"/>
      <c r="F632" s="75"/>
      <c r="K632" s="72"/>
      <c r="L632" s="73"/>
      <c r="M632" s="70"/>
      <c r="N632" s="74"/>
      <c r="O632" s="75"/>
      <c r="P632" s="75"/>
      <c r="U632" s="72"/>
      <c r="V632" s="73"/>
      <c r="W632" s="70"/>
      <c r="X632" s="74"/>
      <c r="Y632" s="75"/>
      <c r="Z632" s="75"/>
    </row>
    <row r="633" spans="1:26" x14ac:dyDescent="0.3">
      <c r="A633" s="72"/>
      <c r="B633" s="73"/>
      <c r="C633" s="70"/>
      <c r="D633" s="74"/>
      <c r="E633" s="75"/>
      <c r="F633" s="75"/>
      <c r="K633" s="72"/>
      <c r="L633" s="73"/>
      <c r="M633" s="70"/>
      <c r="N633" s="74"/>
      <c r="O633" s="75"/>
      <c r="P633" s="75"/>
      <c r="U633" s="72"/>
      <c r="V633" s="73"/>
      <c r="W633" s="70"/>
      <c r="X633" s="74"/>
      <c r="Y633" s="75"/>
      <c r="Z633" s="75"/>
    </row>
    <row r="634" spans="1:26" x14ac:dyDescent="0.3">
      <c r="A634" s="72"/>
      <c r="B634" s="73"/>
      <c r="C634" s="70"/>
      <c r="D634" s="74"/>
      <c r="E634" s="75"/>
      <c r="F634" s="75"/>
      <c r="K634" s="72"/>
      <c r="L634" s="73"/>
      <c r="M634" s="70"/>
      <c r="N634" s="74"/>
      <c r="O634" s="75"/>
      <c r="P634" s="75"/>
      <c r="U634" s="72"/>
      <c r="V634" s="73"/>
      <c r="W634" s="70"/>
      <c r="X634" s="74"/>
      <c r="Y634" s="75"/>
      <c r="Z634" s="75"/>
    </row>
    <row r="635" spans="1:26" x14ac:dyDescent="0.3">
      <c r="A635" s="72"/>
      <c r="B635" s="73"/>
      <c r="C635" s="70"/>
      <c r="D635" s="74"/>
      <c r="E635" s="75"/>
      <c r="F635" s="75"/>
      <c r="K635" s="72"/>
      <c r="L635" s="73"/>
      <c r="M635" s="70"/>
      <c r="N635" s="74"/>
      <c r="O635" s="75"/>
      <c r="P635" s="75"/>
      <c r="U635" s="72"/>
      <c r="V635" s="73"/>
      <c r="W635" s="70"/>
      <c r="X635" s="74"/>
      <c r="Y635" s="75"/>
      <c r="Z635" s="75"/>
    </row>
    <row r="636" spans="1:26" x14ac:dyDescent="0.3">
      <c r="A636" s="72"/>
      <c r="B636" s="73"/>
      <c r="C636" s="70"/>
      <c r="D636" s="74"/>
      <c r="E636" s="75"/>
      <c r="F636" s="75"/>
      <c r="K636" s="72"/>
      <c r="L636" s="73"/>
      <c r="M636" s="70"/>
      <c r="N636" s="74"/>
      <c r="O636" s="75"/>
      <c r="P636" s="75"/>
      <c r="U636" s="72"/>
      <c r="V636" s="73"/>
      <c r="W636" s="70"/>
      <c r="X636" s="74"/>
      <c r="Y636" s="75"/>
      <c r="Z636" s="75"/>
    </row>
    <row r="637" spans="1:26" x14ac:dyDescent="0.3">
      <c r="A637" s="72"/>
      <c r="B637" s="73"/>
      <c r="C637" s="70"/>
      <c r="D637" s="74"/>
      <c r="E637" s="75"/>
      <c r="F637" s="75"/>
      <c r="K637" s="72"/>
      <c r="L637" s="73"/>
      <c r="M637" s="70"/>
      <c r="N637" s="74"/>
      <c r="O637" s="75"/>
      <c r="P637" s="75"/>
      <c r="U637" s="72"/>
      <c r="V637" s="73"/>
      <c r="W637" s="70"/>
      <c r="X637" s="74"/>
      <c r="Y637" s="75"/>
      <c r="Z637" s="75"/>
    </row>
    <row r="638" spans="1:26" x14ac:dyDescent="0.3">
      <c r="A638" s="72"/>
      <c r="B638" s="73"/>
      <c r="C638" s="70"/>
      <c r="D638" s="74"/>
      <c r="E638" s="75"/>
      <c r="F638" s="75"/>
      <c r="K638" s="72"/>
      <c r="L638" s="73"/>
      <c r="M638" s="70"/>
      <c r="N638" s="74"/>
      <c r="O638" s="75"/>
      <c r="P638" s="75"/>
      <c r="U638" s="72"/>
      <c r="V638" s="73"/>
      <c r="W638" s="70"/>
      <c r="X638" s="74"/>
      <c r="Y638" s="75"/>
      <c r="Z638" s="75"/>
    </row>
    <row r="639" spans="1:26" x14ac:dyDescent="0.3">
      <c r="A639" s="72"/>
      <c r="B639" s="73"/>
      <c r="C639" s="70"/>
      <c r="D639" s="74"/>
      <c r="E639" s="75"/>
      <c r="F639" s="75"/>
      <c r="K639" s="72"/>
      <c r="L639" s="73"/>
      <c r="M639" s="70"/>
      <c r="N639" s="74"/>
      <c r="O639" s="75"/>
      <c r="P639" s="75"/>
      <c r="U639" s="72"/>
      <c r="V639" s="73"/>
      <c r="W639" s="70"/>
      <c r="X639" s="74"/>
      <c r="Y639" s="75"/>
      <c r="Z639" s="75"/>
    </row>
    <row r="640" spans="1:26" x14ac:dyDescent="0.3">
      <c r="A640" s="72"/>
      <c r="B640" s="73"/>
      <c r="C640" s="70"/>
      <c r="D640" s="74"/>
      <c r="E640" s="75"/>
      <c r="F640" s="75"/>
      <c r="K640" s="72"/>
      <c r="L640" s="73"/>
      <c r="M640" s="70"/>
      <c r="N640" s="74"/>
      <c r="O640" s="75"/>
      <c r="P640" s="75"/>
      <c r="U640" s="72"/>
      <c r="V640" s="73"/>
      <c r="W640" s="70"/>
      <c r="X640" s="74"/>
      <c r="Y640" s="75"/>
      <c r="Z640" s="75"/>
    </row>
    <row r="641" spans="1:26" x14ac:dyDescent="0.3">
      <c r="A641" s="72"/>
      <c r="B641" s="73"/>
      <c r="C641" s="70"/>
      <c r="D641" s="74"/>
      <c r="E641" s="75"/>
      <c r="F641" s="75"/>
      <c r="K641" s="72"/>
      <c r="L641" s="73"/>
      <c r="M641" s="70"/>
      <c r="N641" s="74"/>
      <c r="O641" s="75"/>
      <c r="P641" s="75"/>
      <c r="U641" s="72"/>
      <c r="V641" s="73"/>
      <c r="W641" s="70"/>
      <c r="X641" s="74"/>
      <c r="Y641" s="75"/>
      <c r="Z641" s="75"/>
    </row>
    <row r="642" spans="1:26" x14ac:dyDescent="0.3">
      <c r="A642" s="72"/>
      <c r="B642" s="73"/>
      <c r="C642" s="70"/>
      <c r="D642" s="74"/>
      <c r="E642" s="75"/>
      <c r="F642" s="75"/>
      <c r="K642" s="72"/>
      <c r="L642" s="73"/>
      <c r="M642" s="70"/>
      <c r="N642" s="74"/>
      <c r="O642" s="75"/>
      <c r="P642" s="75"/>
      <c r="U642" s="72"/>
      <c r="V642" s="73"/>
      <c r="W642" s="70"/>
      <c r="X642" s="74"/>
      <c r="Y642" s="75"/>
      <c r="Z642" s="75"/>
    </row>
    <row r="643" spans="1:26" x14ac:dyDescent="0.3">
      <c r="A643" s="72"/>
      <c r="B643" s="73"/>
      <c r="C643" s="70"/>
      <c r="D643" s="74"/>
      <c r="E643" s="75"/>
      <c r="F643" s="75"/>
      <c r="K643" s="72"/>
      <c r="L643" s="73"/>
      <c r="M643" s="70"/>
      <c r="N643" s="74"/>
      <c r="O643" s="75"/>
      <c r="P643" s="75"/>
      <c r="U643" s="72"/>
      <c r="V643" s="73"/>
      <c r="W643" s="70"/>
      <c r="X643" s="74"/>
      <c r="Y643" s="75"/>
      <c r="Z643" s="75"/>
    </row>
    <row r="644" spans="1:26" x14ac:dyDescent="0.3">
      <c r="A644" s="72"/>
      <c r="B644" s="73"/>
      <c r="C644" s="70"/>
      <c r="D644" s="74"/>
      <c r="E644" s="75"/>
      <c r="F644" s="75"/>
      <c r="K644" s="72"/>
      <c r="L644" s="73"/>
      <c r="M644" s="70"/>
      <c r="N644" s="74"/>
      <c r="O644" s="75"/>
      <c r="P644" s="75"/>
      <c r="U644" s="72"/>
      <c r="V644" s="73"/>
      <c r="W644" s="70"/>
      <c r="X644" s="74"/>
      <c r="Y644" s="75"/>
      <c r="Z644" s="75"/>
    </row>
    <row r="645" spans="1:26" x14ac:dyDescent="0.3">
      <c r="A645" s="72"/>
      <c r="B645" s="73"/>
      <c r="C645" s="70"/>
      <c r="D645" s="74"/>
      <c r="E645" s="75"/>
      <c r="F645" s="75"/>
      <c r="K645" s="72"/>
      <c r="L645" s="73"/>
      <c r="M645" s="70"/>
      <c r="N645" s="74"/>
      <c r="O645" s="75"/>
      <c r="P645" s="75"/>
      <c r="U645" s="72"/>
      <c r="V645" s="73"/>
      <c r="W645" s="70"/>
      <c r="X645" s="74"/>
      <c r="Y645" s="75"/>
      <c r="Z645" s="75"/>
    </row>
    <row r="646" spans="1:26" x14ac:dyDescent="0.3">
      <c r="A646" s="72"/>
      <c r="B646" s="73"/>
      <c r="C646" s="70"/>
      <c r="D646" s="74"/>
      <c r="E646" s="75"/>
      <c r="F646" s="75"/>
      <c r="K646" s="72"/>
      <c r="L646" s="73"/>
      <c r="M646" s="70"/>
      <c r="N646" s="74"/>
      <c r="O646" s="75"/>
      <c r="P646" s="75"/>
      <c r="U646" s="72"/>
      <c r="V646" s="73"/>
      <c r="W646" s="70"/>
      <c r="X646" s="74"/>
      <c r="Y646" s="75"/>
      <c r="Z646" s="75"/>
    </row>
    <row r="647" spans="1:26" x14ac:dyDescent="0.3">
      <c r="A647" s="72"/>
      <c r="B647" s="73"/>
      <c r="C647" s="70"/>
      <c r="D647" s="74"/>
      <c r="E647" s="75"/>
      <c r="F647" s="75"/>
      <c r="K647" s="72"/>
      <c r="L647" s="73"/>
      <c r="M647" s="70"/>
      <c r="N647" s="74"/>
      <c r="O647" s="75"/>
      <c r="P647" s="75"/>
      <c r="U647" s="72"/>
      <c r="V647" s="73"/>
      <c r="W647" s="70"/>
      <c r="X647" s="74"/>
      <c r="Y647" s="75"/>
      <c r="Z647" s="75"/>
    </row>
    <row r="648" spans="1:26" x14ac:dyDescent="0.3">
      <c r="A648" s="72"/>
      <c r="B648" s="73"/>
      <c r="C648" s="70"/>
      <c r="D648" s="74"/>
      <c r="E648" s="75"/>
      <c r="F648" s="75"/>
      <c r="K648" s="72"/>
      <c r="L648" s="73"/>
      <c r="M648" s="70"/>
      <c r="N648" s="74"/>
      <c r="O648" s="75"/>
      <c r="P648" s="75"/>
      <c r="U648" s="72"/>
      <c r="V648" s="73"/>
      <c r="W648" s="70"/>
      <c r="X648" s="74"/>
      <c r="Y648" s="75"/>
      <c r="Z648" s="75"/>
    </row>
    <row r="649" spans="1:26" x14ac:dyDescent="0.3">
      <c r="A649" s="72"/>
      <c r="B649" s="73"/>
      <c r="C649" s="70"/>
      <c r="D649" s="74"/>
      <c r="E649" s="75"/>
      <c r="F649" s="75"/>
      <c r="K649" s="72"/>
      <c r="L649" s="73"/>
      <c r="M649" s="70"/>
      <c r="N649" s="74"/>
      <c r="O649" s="75"/>
      <c r="P649" s="75"/>
      <c r="U649" s="72"/>
      <c r="V649" s="73"/>
      <c r="W649" s="70"/>
      <c r="X649" s="74"/>
      <c r="Y649" s="75"/>
      <c r="Z649" s="75"/>
    </row>
    <row r="650" spans="1:26" x14ac:dyDescent="0.3">
      <c r="A650" s="72"/>
      <c r="B650" s="73"/>
      <c r="C650" s="70"/>
      <c r="D650" s="74"/>
      <c r="E650" s="75"/>
      <c r="F650" s="75"/>
      <c r="K650" s="72"/>
      <c r="L650" s="73"/>
      <c r="M650" s="70"/>
      <c r="N650" s="74"/>
      <c r="O650" s="75"/>
      <c r="P650" s="75"/>
      <c r="U650" s="72"/>
      <c r="V650" s="73"/>
      <c r="W650" s="70"/>
      <c r="X650" s="74"/>
      <c r="Y650" s="75"/>
      <c r="Z650" s="75"/>
    </row>
    <row r="651" spans="1:26" x14ac:dyDescent="0.3">
      <c r="A651" s="72"/>
      <c r="B651" s="73"/>
      <c r="C651" s="70"/>
      <c r="D651" s="74"/>
      <c r="E651" s="75"/>
      <c r="F651" s="75"/>
      <c r="K651" s="72"/>
      <c r="L651" s="73"/>
      <c r="M651" s="70"/>
      <c r="N651" s="74"/>
      <c r="O651" s="75"/>
      <c r="P651" s="75"/>
      <c r="U651" s="72"/>
      <c r="V651" s="73"/>
      <c r="W651" s="70"/>
      <c r="X651" s="74"/>
      <c r="Y651" s="75"/>
      <c r="Z651" s="75"/>
    </row>
    <row r="652" spans="1:26" x14ac:dyDescent="0.3">
      <c r="A652" s="72"/>
      <c r="B652" s="73"/>
      <c r="C652" s="70"/>
      <c r="D652" s="74"/>
      <c r="E652" s="75"/>
      <c r="F652" s="75"/>
      <c r="K652" s="72"/>
      <c r="L652" s="73"/>
      <c r="M652" s="70"/>
      <c r="N652" s="74"/>
      <c r="O652" s="75"/>
      <c r="P652" s="75"/>
      <c r="U652" s="72"/>
      <c r="V652" s="73"/>
      <c r="W652" s="70"/>
      <c r="X652" s="74"/>
      <c r="Y652" s="75"/>
      <c r="Z652" s="75"/>
    </row>
    <row r="653" spans="1:26" x14ac:dyDescent="0.3">
      <c r="A653" s="72"/>
      <c r="B653" s="73"/>
      <c r="C653" s="70"/>
      <c r="D653" s="74"/>
      <c r="E653" s="75"/>
      <c r="F653" s="75"/>
      <c r="K653" s="72"/>
      <c r="L653" s="73"/>
      <c r="M653" s="70"/>
      <c r="N653" s="74"/>
      <c r="O653" s="75"/>
      <c r="P653" s="75"/>
      <c r="U653" s="72"/>
      <c r="V653" s="73"/>
      <c r="W653" s="70"/>
      <c r="X653" s="74"/>
      <c r="Y653" s="75"/>
      <c r="Z653" s="75"/>
    </row>
    <row r="654" spans="1:26" x14ac:dyDescent="0.3">
      <c r="A654" s="72"/>
      <c r="B654" s="73"/>
      <c r="C654" s="70"/>
      <c r="D654" s="74"/>
      <c r="E654" s="75"/>
      <c r="F654" s="75"/>
      <c r="K654" s="72"/>
      <c r="L654" s="73"/>
      <c r="M654" s="70"/>
      <c r="N654" s="74"/>
      <c r="O654" s="75"/>
      <c r="P654" s="75"/>
      <c r="U654" s="72"/>
      <c r="V654" s="73"/>
      <c r="W654" s="70"/>
      <c r="X654" s="74"/>
      <c r="Y654" s="75"/>
      <c r="Z654" s="75"/>
    </row>
    <row r="655" spans="1:26" x14ac:dyDescent="0.3">
      <c r="A655" s="72"/>
      <c r="B655" s="73"/>
      <c r="C655" s="70"/>
      <c r="D655" s="74"/>
      <c r="E655" s="75"/>
      <c r="F655" s="75"/>
      <c r="K655" s="72"/>
      <c r="L655" s="73"/>
      <c r="M655" s="70"/>
      <c r="N655" s="74"/>
      <c r="O655" s="75"/>
      <c r="P655" s="75"/>
      <c r="U655" s="72"/>
      <c r="V655" s="73"/>
      <c r="W655" s="70"/>
      <c r="X655" s="74"/>
      <c r="Y655" s="75"/>
      <c r="Z655" s="75"/>
    </row>
    <row r="656" spans="1:26" x14ac:dyDescent="0.3">
      <c r="A656" s="72"/>
      <c r="B656" s="73"/>
      <c r="C656" s="70"/>
      <c r="D656" s="74"/>
      <c r="E656" s="75"/>
      <c r="F656" s="75"/>
      <c r="K656" s="72"/>
      <c r="L656" s="73"/>
      <c r="M656" s="70"/>
      <c r="N656" s="74"/>
      <c r="O656" s="75"/>
      <c r="P656" s="75"/>
      <c r="U656" s="72"/>
      <c r="V656" s="73"/>
      <c r="W656" s="70"/>
      <c r="X656" s="74"/>
      <c r="Y656" s="75"/>
      <c r="Z656" s="75"/>
    </row>
    <row r="657" spans="1:26" x14ac:dyDescent="0.3">
      <c r="A657" s="72"/>
      <c r="B657" s="73"/>
      <c r="C657" s="70"/>
      <c r="D657" s="74"/>
      <c r="E657" s="75"/>
      <c r="F657" s="75"/>
      <c r="K657" s="72"/>
      <c r="L657" s="73"/>
      <c r="M657" s="70"/>
      <c r="N657" s="74"/>
      <c r="O657" s="75"/>
      <c r="P657" s="75"/>
      <c r="U657" s="72"/>
      <c r="V657" s="73"/>
      <c r="W657" s="70"/>
      <c r="X657" s="74"/>
      <c r="Y657" s="75"/>
      <c r="Z657" s="75"/>
    </row>
    <row r="658" spans="1:26" x14ac:dyDescent="0.3">
      <c r="A658" s="72"/>
      <c r="B658" s="73"/>
      <c r="C658" s="70"/>
      <c r="D658" s="74"/>
      <c r="E658" s="75"/>
      <c r="F658" s="75"/>
      <c r="K658" s="72"/>
      <c r="L658" s="73"/>
      <c r="M658" s="70"/>
      <c r="N658" s="74"/>
      <c r="O658" s="75"/>
      <c r="P658" s="75"/>
      <c r="U658" s="72"/>
      <c r="V658" s="73"/>
      <c r="W658" s="70"/>
      <c r="X658" s="74"/>
      <c r="Y658" s="75"/>
      <c r="Z658" s="75"/>
    </row>
    <row r="659" spans="1:26" x14ac:dyDescent="0.3">
      <c r="A659" s="72"/>
      <c r="B659" s="73"/>
      <c r="C659" s="70"/>
      <c r="D659" s="74"/>
      <c r="E659" s="75"/>
      <c r="F659" s="75"/>
      <c r="K659" s="72"/>
      <c r="L659" s="73"/>
      <c r="M659" s="70"/>
      <c r="N659" s="74"/>
      <c r="O659" s="75"/>
      <c r="P659" s="75"/>
      <c r="U659" s="72"/>
      <c r="V659" s="73"/>
      <c r="W659" s="70"/>
      <c r="X659" s="74"/>
      <c r="Y659" s="75"/>
      <c r="Z659" s="75"/>
    </row>
    <row r="660" spans="1:26" x14ac:dyDescent="0.3">
      <c r="A660" s="72"/>
      <c r="B660" s="73"/>
      <c r="C660" s="70"/>
      <c r="D660" s="74"/>
      <c r="E660" s="75"/>
      <c r="F660" s="75"/>
      <c r="K660" s="72"/>
      <c r="L660" s="73"/>
      <c r="M660" s="70"/>
      <c r="N660" s="74"/>
      <c r="O660" s="75"/>
      <c r="P660" s="75"/>
      <c r="U660" s="72"/>
      <c r="V660" s="73"/>
      <c r="W660" s="70"/>
      <c r="X660" s="74"/>
      <c r="Y660" s="75"/>
      <c r="Z660" s="75"/>
    </row>
    <row r="661" spans="1:26" x14ac:dyDescent="0.3">
      <c r="A661" s="72"/>
      <c r="B661" s="73"/>
      <c r="C661" s="70"/>
      <c r="D661" s="74"/>
      <c r="E661" s="75"/>
      <c r="F661" s="75"/>
      <c r="K661" s="72"/>
      <c r="L661" s="73"/>
      <c r="M661" s="70"/>
      <c r="N661" s="74"/>
      <c r="O661" s="75"/>
      <c r="P661" s="75"/>
      <c r="U661" s="72"/>
      <c r="V661" s="73"/>
      <c r="W661" s="70"/>
      <c r="X661" s="74"/>
      <c r="Y661" s="75"/>
      <c r="Z661" s="75"/>
    </row>
    <row r="662" spans="1:26" x14ac:dyDescent="0.3">
      <c r="A662" s="72"/>
      <c r="B662" s="73"/>
      <c r="C662" s="70"/>
      <c r="D662" s="74"/>
      <c r="E662" s="75"/>
      <c r="F662" s="75"/>
      <c r="K662" s="72"/>
      <c r="L662" s="73"/>
      <c r="M662" s="70"/>
      <c r="N662" s="74"/>
      <c r="O662" s="75"/>
      <c r="P662" s="75"/>
      <c r="U662" s="72"/>
      <c r="V662" s="73"/>
      <c r="W662" s="70"/>
      <c r="X662" s="74"/>
      <c r="Y662" s="75"/>
      <c r="Z662" s="75"/>
    </row>
    <row r="663" spans="1:26" x14ac:dyDescent="0.3">
      <c r="A663" s="72"/>
      <c r="B663" s="73"/>
      <c r="C663" s="70"/>
      <c r="D663" s="74"/>
      <c r="E663" s="75"/>
      <c r="F663" s="75"/>
      <c r="K663" s="72"/>
      <c r="L663" s="73"/>
      <c r="M663" s="70"/>
      <c r="N663" s="74"/>
      <c r="O663" s="75"/>
      <c r="P663" s="75"/>
      <c r="U663" s="72"/>
      <c r="V663" s="73"/>
      <c r="W663" s="70"/>
      <c r="X663" s="74"/>
      <c r="Y663" s="75"/>
      <c r="Z663" s="75"/>
    </row>
    <row r="664" spans="1:26" x14ac:dyDescent="0.3">
      <c r="A664" s="72"/>
      <c r="B664" s="73"/>
      <c r="C664" s="70"/>
      <c r="D664" s="74"/>
      <c r="E664" s="75"/>
      <c r="F664" s="75"/>
      <c r="K664" s="72"/>
      <c r="L664" s="73"/>
      <c r="M664" s="70"/>
      <c r="N664" s="74"/>
      <c r="O664" s="75"/>
      <c r="P664" s="75"/>
      <c r="U664" s="72"/>
      <c r="V664" s="73"/>
      <c r="W664" s="70"/>
      <c r="X664" s="74"/>
      <c r="Y664" s="75"/>
      <c r="Z664" s="75"/>
    </row>
    <row r="665" spans="1:26" x14ac:dyDescent="0.3">
      <c r="A665" s="72"/>
      <c r="B665" s="73"/>
      <c r="C665" s="70"/>
      <c r="D665" s="74"/>
      <c r="E665" s="75"/>
      <c r="F665" s="75"/>
      <c r="K665" s="72"/>
      <c r="L665" s="73"/>
      <c r="M665" s="70"/>
      <c r="N665" s="74"/>
      <c r="O665" s="75"/>
      <c r="P665" s="75"/>
      <c r="U665" s="72"/>
      <c r="V665" s="73"/>
      <c r="W665" s="70"/>
      <c r="X665" s="74"/>
      <c r="Y665" s="75"/>
      <c r="Z665" s="75"/>
    </row>
    <row r="666" spans="1:26" x14ac:dyDescent="0.3">
      <c r="A666" s="72"/>
      <c r="B666" s="73"/>
      <c r="C666" s="70"/>
      <c r="D666" s="74"/>
      <c r="E666" s="75"/>
      <c r="F666" s="75"/>
      <c r="K666" s="72"/>
      <c r="L666" s="73"/>
      <c r="M666" s="70"/>
      <c r="N666" s="74"/>
      <c r="O666" s="75"/>
      <c r="P666" s="75"/>
      <c r="U666" s="72"/>
      <c r="V666" s="73"/>
      <c r="W666" s="70"/>
      <c r="X666" s="74"/>
      <c r="Y666" s="75"/>
      <c r="Z666" s="75"/>
    </row>
    <row r="667" spans="1:26" x14ac:dyDescent="0.3">
      <c r="A667" s="72"/>
      <c r="B667" s="73"/>
      <c r="C667" s="70"/>
      <c r="D667" s="74"/>
      <c r="E667" s="75"/>
      <c r="F667" s="75"/>
      <c r="K667" s="72"/>
      <c r="L667" s="73"/>
      <c r="M667" s="70"/>
      <c r="N667" s="74"/>
      <c r="O667" s="75"/>
      <c r="P667" s="75"/>
      <c r="U667" s="72"/>
      <c r="V667" s="73"/>
      <c r="W667" s="70"/>
      <c r="X667" s="74"/>
      <c r="Y667" s="75"/>
      <c r="Z667" s="75"/>
    </row>
    <row r="668" spans="1:26" x14ac:dyDescent="0.3">
      <c r="A668" s="72"/>
      <c r="B668" s="73"/>
      <c r="C668" s="70"/>
      <c r="D668" s="74"/>
      <c r="E668" s="75"/>
      <c r="F668" s="75"/>
      <c r="K668" s="72"/>
      <c r="L668" s="73"/>
      <c r="M668" s="70"/>
      <c r="N668" s="74"/>
      <c r="O668" s="75"/>
      <c r="P668" s="75"/>
      <c r="U668" s="72"/>
      <c r="V668" s="73"/>
      <c r="W668" s="70"/>
      <c r="X668" s="74"/>
      <c r="Y668" s="75"/>
      <c r="Z668" s="75"/>
    </row>
    <row r="669" spans="1:26" x14ac:dyDescent="0.3">
      <c r="A669" s="72"/>
      <c r="B669" s="73"/>
      <c r="C669" s="70"/>
      <c r="D669" s="74"/>
      <c r="E669" s="75"/>
      <c r="F669" s="75"/>
      <c r="K669" s="72"/>
      <c r="L669" s="73"/>
      <c r="M669" s="70"/>
      <c r="N669" s="74"/>
      <c r="O669" s="75"/>
      <c r="P669" s="75"/>
      <c r="U669" s="72"/>
      <c r="V669" s="73"/>
      <c r="W669" s="70"/>
      <c r="X669" s="74"/>
      <c r="Y669" s="75"/>
      <c r="Z669" s="75"/>
    </row>
    <row r="670" spans="1:26" x14ac:dyDescent="0.3">
      <c r="A670" s="72"/>
      <c r="B670" s="73"/>
      <c r="C670" s="70"/>
      <c r="D670" s="74"/>
      <c r="E670" s="75"/>
      <c r="F670" s="75"/>
      <c r="K670" s="72"/>
      <c r="L670" s="73"/>
      <c r="M670" s="70"/>
      <c r="N670" s="74"/>
      <c r="O670" s="75"/>
      <c r="P670" s="75"/>
      <c r="U670" s="72"/>
      <c r="V670" s="73"/>
      <c r="W670" s="70"/>
      <c r="X670" s="74"/>
      <c r="Y670" s="75"/>
      <c r="Z670" s="75"/>
    </row>
    <row r="671" spans="1:26" x14ac:dyDescent="0.3">
      <c r="A671" s="72"/>
      <c r="B671" s="73"/>
      <c r="C671" s="70"/>
      <c r="D671" s="74"/>
      <c r="E671" s="75"/>
      <c r="F671" s="75"/>
      <c r="K671" s="72"/>
      <c r="L671" s="73"/>
      <c r="M671" s="70"/>
      <c r="N671" s="74"/>
      <c r="O671" s="75"/>
      <c r="P671" s="75"/>
      <c r="U671" s="72"/>
      <c r="V671" s="73"/>
      <c r="W671" s="70"/>
      <c r="X671" s="74"/>
      <c r="Y671" s="75"/>
      <c r="Z671" s="75"/>
    </row>
    <row r="672" spans="1:26" x14ac:dyDescent="0.3">
      <c r="A672" s="72"/>
      <c r="B672" s="73"/>
      <c r="C672" s="70"/>
      <c r="D672" s="74"/>
      <c r="E672" s="75"/>
      <c r="F672" s="75"/>
      <c r="K672" s="72"/>
      <c r="L672" s="73"/>
      <c r="M672" s="70"/>
      <c r="N672" s="74"/>
      <c r="O672" s="75"/>
      <c r="P672" s="75"/>
      <c r="U672" s="72"/>
      <c r="V672" s="73"/>
      <c r="W672" s="70"/>
      <c r="X672" s="74"/>
      <c r="Y672" s="75"/>
      <c r="Z672" s="75"/>
    </row>
    <row r="673" spans="1:26" x14ac:dyDescent="0.3">
      <c r="A673" s="72"/>
      <c r="B673" s="73"/>
      <c r="C673" s="70"/>
      <c r="D673" s="74"/>
      <c r="E673" s="75"/>
      <c r="F673" s="75"/>
      <c r="K673" s="72"/>
      <c r="L673" s="73"/>
      <c r="M673" s="70"/>
      <c r="N673" s="74"/>
      <c r="O673" s="75"/>
      <c r="P673" s="75"/>
      <c r="U673" s="72"/>
      <c r="V673" s="73"/>
      <c r="W673" s="70"/>
      <c r="X673" s="74"/>
      <c r="Y673" s="75"/>
      <c r="Z673" s="75"/>
    </row>
    <row r="674" spans="1:26" x14ac:dyDescent="0.3">
      <c r="A674" s="72"/>
      <c r="B674" s="73"/>
      <c r="C674" s="70"/>
      <c r="D674" s="74"/>
      <c r="E674" s="75"/>
      <c r="F674" s="75"/>
      <c r="K674" s="72"/>
      <c r="L674" s="73"/>
      <c r="M674" s="70"/>
      <c r="N674" s="74"/>
      <c r="O674" s="75"/>
      <c r="P674" s="75"/>
      <c r="U674" s="72"/>
      <c r="V674" s="73"/>
      <c r="W674" s="70"/>
      <c r="X674" s="74"/>
      <c r="Y674" s="75"/>
      <c r="Z674" s="75"/>
    </row>
    <row r="675" spans="1:26" x14ac:dyDescent="0.3">
      <c r="A675" s="72"/>
      <c r="B675" s="73"/>
      <c r="C675" s="70"/>
      <c r="D675" s="74"/>
      <c r="E675" s="75"/>
      <c r="F675" s="75"/>
      <c r="K675" s="72"/>
      <c r="L675" s="73"/>
      <c r="M675" s="70"/>
      <c r="N675" s="74"/>
      <c r="O675" s="75"/>
      <c r="P675" s="75"/>
      <c r="U675" s="72"/>
      <c r="V675" s="73"/>
      <c r="W675" s="70"/>
      <c r="X675" s="74"/>
      <c r="Y675" s="75"/>
      <c r="Z675" s="75"/>
    </row>
    <row r="676" spans="1:26" x14ac:dyDescent="0.3">
      <c r="A676" s="72"/>
      <c r="B676" s="73"/>
      <c r="C676" s="70"/>
      <c r="D676" s="74"/>
      <c r="E676" s="75"/>
      <c r="F676" s="75"/>
      <c r="K676" s="72"/>
      <c r="L676" s="73"/>
      <c r="M676" s="70"/>
      <c r="N676" s="74"/>
      <c r="O676" s="75"/>
      <c r="P676" s="75"/>
      <c r="U676" s="72"/>
      <c r="V676" s="73"/>
      <c r="W676" s="70"/>
      <c r="X676" s="74"/>
      <c r="Y676" s="75"/>
      <c r="Z676" s="75"/>
    </row>
    <row r="677" spans="1:26" x14ac:dyDescent="0.3">
      <c r="A677" s="72"/>
      <c r="B677" s="73"/>
      <c r="C677" s="70"/>
      <c r="D677" s="74"/>
      <c r="E677" s="75"/>
      <c r="F677" s="75"/>
      <c r="K677" s="72"/>
      <c r="L677" s="73"/>
      <c r="M677" s="70"/>
      <c r="N677" s="74"/>
      <c r="O677" s="75"/>
      <c r="P677" s="75"/>
      <c r="U677" s="72"/>
      <c r="V677" s="73"/>
      <c r="W677" s="70"/>
      <c r="X677" s="74"/>
      <c r="Y677" s="75"/>
      <c r="Z677" s="75"/>
    </row>
    <row r="678" spans="1:26" x14ac:dyDescent="0.3">
      <c r="A678" s="72"/>
      <c r="B678" s="73"/>
      <c r="C678" s="70"/>
      <c r="D678" s="74"/>
      <c r="E678" s="75"/>
      <c r="F678" s="75"/>
      <c r="K678" s="72"/>
      <c r="L678" s="73"/>
      <c r="M678" s="70"/>
      <c r="N678" s="74"/>
      <c r="O678" s="75"/>
      <c r="P678" s="75"/>
      <c r="U678" s="72"/>
      <c r="V678" s="73"/>
      <c r="W678" s="70"/>
      <c r="X678" s="74"/>
      <c r="Y678" s="75"/>
      <c r="Z678" s="75"/>
    </row>
    <row r="679" spans="1:26" x14ac:dyDescent="0.3">
      <c r="A679" s="72"/>
      <c r="B679" s="73"/>
      <c r="C679" s="70"/>
      <c r="D679" s="74"/>
      <c r="E679" s="75"/>
      <c r="F679" s="75"/>
      <c r="K679" s="72"/>
      <c r="L679" s="73"/>
      <c r="M679" s="70"/>
      <c r="N679" s="74"/>
      <c r="O679" s="75"/>
      <c r="P679" s="75"/>
      <c r="U679" s="72"/>
      <c r="V679" s="73"/>
      <c r="W679" s="70"/>
      <c r="X679" s="74"/>
      <c r="Y679" s="75"/>
      <c r="Z679" s="75"/>
    </row>
    <row r="680" spans="1:26" x14ac:dyDescent="0.3">
      <c r="A680" s="72"/>
      <c r="B680" s="73"/>
      <c r="C680" s="70"/>
      <c r="D680" s="74"/>
      <c r="E680" s="75"/>
      <c r="F680" s="75"/>
      <c r="K680" s="72"/>
      <c r="L680" s="73"/>
      <c r="M680" s="70"/>
      <c r="N680" s="74"/>
      <c r="O680" s="75"/>
      <c r="P680" s="75"/>
      <c r="U680" s="72"/>
      <c r="V680" s="73"/>
      <c r="W680" s="70"/>
      <c r="X680" s="74"/>
      <c r="Y680" s="75"/>
      <c r="Z680" s="75"/>
    </row>
    <row r="681" spans="1:26" x14ac:dyDescent="0.3">
      <c r="A681" s="72"/>
      <c r="B681" s="73"/>
      <c r="C681" s="70"/>
      <c r="D681" s="74"/>
      <c r="E681" s="75"/>
      <c r="F681" s="75"/>
      <c r="K681" s="72"/>
      <c r="L681" s="73"/>
      <c r="M681" s="70"/>
      <c r="N681" s="74"/>
      <c r="O681" s="75"/>
      <c r="P681" s="75"/>
      <c r="U681" s="72"/>
      <c r="V681" s="73"/>
      <c r="W681" s="70"/>
      <c r="X681" s="74"/>
      <c r="Y681" s="75"/>
      <c r="Z681" s="75"/>
    </row>
    <row r="682" spans="1:26" x14ac:dyDescent="0.3">
      <c r="A682" s="72"/>
      <c r="B682" s="73"/>
      <c r="C682" s="70"/>
      <c r="D682" s="74"/>
      <c r="E682" s="75"/>
      <c r="F682" s="75"/>
      <c r="K682" s="72"/>
      <c r="L682" s="73"/>
      <c r="M682" s="70"/>
      <c r="N682" s="74"/>
      <c r="O682" s="75"/>
      <c r="P682" s="75"/>
      <c r="U682" s="72"/>
      <c r="V682" s="73"/>
      <c r="W682" s="70"/>
      <c r="X682" s="74"/>
      <c r="Y682" s="75"/>
      <c r="Z682" s="75"/>
    </row>
    <row r="683" spans="1:26" x14ac:dyDescent="0.3">
      <c r="A683" s="72"/>
      <c r="B683" s="73"/>
      <c r="C683" s="70"/>
      <c r="D683" s="74"/>
      <c r="E683" s="75"/>
      <c r="F683" s="75"/>
      <c r="K683" s="72"/>
      <c r="L683" s="73"/>
      <c r="M683" s="70"/>
      <c r="N683" s="74"/>
      <c r="O683" s="75"/>
      <c r="P683" s="75"/>
      <c r="U683" s="72"/>
      <c r="V683" s="73"/>
      <c r="W683" s="70"/>
      <c r="X683" s="74"/>
      <c r="Y683" s="75"/>
      <c r="Z683" s="75"/>
    </row>
    <row r="684" spans="1:26" x14ac:dyDescent="0.3">
      <c r="A684" s="72"/>
      <c r="B684" s="73"/>
      <c r="C684" s="70"/>
      <c r="D684" s="74"/>
      <c r="E684" s="75"/>
      <c r="F684" s="75"/>
      <c r="K684" s="72"/>
      <c r="L684" s="73"/>
      <c r="M684" s="70"/>
      <c r="N684" s="74"/>
      <c r="O684" s="75"/>
      <c r="P684" s="75"/>
      <c r="U684" s="72"/>
      <c r="V684" s="73"/>
      <c r="W684" s="70"/>
      <c r="X684" s="74"/>
      <c r="Y684" s="75"/>
      <c r="Z684" s="75"/>
    </row>
    <row r="685" spans="1:26" x14ac:dyDescent="0.3">
      <c r="A685" s="72"/>
      <c r="B685" s="73"/>
      <c r="C685" s="70"/>
      <c r="D685" s="74"/>
      <c r="E685" s="75"/>
      <c r="F685" s="75"/>
      <c r="K685" s="72"/>
      <c r="L685" s="73"/>
      <c r="M685" s="70"/>
      <c r="N685" s="74"/>
      <c r="O685" s="75"/>
      <c r="P685" s="75"/>
      <c r="U685" s="72"/>
      <c r="V685" s="73"/>
      <c r="W685" s="70"/>
      <c r="X685" s="74"/>
      <c r="Y685" s="75"/>
      <c r="Z685" s="75"/>
    </row>
    <row r="686" spans="1:26" x14ac:dyDescent="0.3">
      <c r="A686" s="72"/>
      <c r="B686" s="73"/>
      <c r="C686" s="70"/>
      <c r="D686" s="74"/>
      <c r="E686" s="75"/>
      <c r="F686" s="75"/>
      <c r="K686" s="72"/>
      <c r="L686" s="73"/>
      <c r="M686" s="70"/>
      <c r="N686" s="74"/>
      <c r="O686" s="75"/>
      <c r="P686" s="75"/>
      <c r="U686" s="72"/>
      <c r="V686" s="73"/>
      <c r="W686" s="70"/>
      <c r="X686" s="74"/>
      <c r="Y686" s="75"/>
      <c r="Z686" s="75"/>
    </row>
    <row r="687" spans="1:26" x14ac:dyDescent="0.3">
      <c r="A687" s="72"/>
      <c r="B687" s="73"/>
      <c r="C687" s="70"/>
      <c r="D687" s="74"/>
      <c r="E687" s="75"/>
      <c r="F687" s="75"/>
      <c r="K687" s="72"/>
      <c r="L687" s="73"/>
      <c r="M687" s="70"/>
      <c r="N687" s="74"/>
      <c r="O687" s="75"/>
      <c r="P687" s="75"/>
      <c r="U687" s="72"/>
      <c r="V687" s="73"/>
      <c r="W687" s="70"/>
      <c r="X687" s="74"/>
      <c r="Y687" s="75"/>
      <c r="Z687" s="75"/>
    </row>
    <row r="688" spans="1:26" x14ac:dyDescent="0.3">
      <c r="A688" s="72"/>
      <c r="B688" s="73"/>
      <c r="C688" s="70"/>
      <c r="D688" s="74"/>
      <c r="E688" s="75"/>
      <c r="F688" s="75"/>
      <c r="K688" s="72"/>
      <c r="L688" s="73"/>
      <c r="M688" s="70"/>
      <c r="N688" s="74"/>
      <c r="O688" s="75"/>
      <c r="P688" s="75"/>
      <c r="U688" s="72"/>
      <c r="V688" s="73"/>
      <c r="W688" s="70"/>
      <c r="X688" s="74"/>
      <c r="Y688" s="75"/>
      <c r="Z688" s="75"/>
    </row>
    <row r="689" spans="1:26" x14ac:dyDescent="0.3">
      <c r="A689" s="72"/>
      <c r="B689" s="73"/>
      <c r="C689" s="70"/>
      <c r="D689" s="74"/>
      <c r="E689" s="75"/>
      <c r="F689" s="75"/>
      <c r="K689" s="72"/>
      <c r="L689" s="73"/>
      <c r="M689" s="70"/>
      <c r="N689" s="74"/>
      <c r="O689" s="75"/>
      <c r="P689" s="75"/>
      <c r="U689" s="72"/>
      <c r="V689" s="73"/>
      <c r="W689" s="70"/>
      <c r="X689" s="74"/>
      <c r="Y689" s="75"/>
      <c r="Z689" s="75"/>
    </row>
    <row r="690" spans="1:26" x14ac:dyDescent="0.3">
      <c r="A690" s="72"/>
      <c r="B690" s="73"/>
      <c r="C690" s="70"/>
      <c r="D690" s="74"/>
      <c r="E690" s="75"/>
      <c r="F690" s="75"/>
      <c r="K690" s="72"/>
      <c r="L690" s="73"/>
      <c r="M690" s="70"/>
      <c r="N690" s="74"/>
      <c r="O690" s="75"/>
      <c r="P690" s="75"/>
      <c r="U690" s="72"/>
      <c r="V690" s="73"/>
      <c r="W690" s="70"/>
      <c r="X690" s="74"/>
      <c r="Y690" s="75"/>
      <c r="Z690" s="75"/>
    </row>
    <row r="691" spans="1:26" x14ac:dyDescent="0.3">
      <c r="A691" s="72"/>
      <c r="B691" s="73"/>
      <c r="C691" s="70"/>
      <c r="D691" s="74"/>
      <c r="E691" s="75"/>
      <c r="F691" s="75"/>
      <c r="K691" s="72"/>
      <c r="L691" s="73"/>
      <c r="M691" s="70"/>
      <c r="N691" s="74"/>
      <c r="O691" s="75"/>
      <c r="P691" s="75"/>
      <c r="U691" s="72"/>
      <c r="V691" s="73"/>
      <c r="W691" s="70"/>
      <c r="X691" s="74"/>
      <c r="Y691" s="75"/>
      <c r="Z691" s="75"/>
    </row>
    <row r="692" spans="1:26" x14ac:dyDescent="0.3">
      <c r="A692" s="72"/>
      <c r="B692" s="73"/>
      <c r="C692" s="70"/>
      <c r="D692" s="74"/>
      <c r="E692" s="75"/>
      <c r="F692" s="75"/>
      <c r="K692" s="72"/>
      <c r="L692" s="73"/>
      <c r="M692" s="70"/>
      <c r="N692" s="74"/>
      <c r="O692" s="75"/>
      <c r="P692" s="75"/>
      <c r="U692" s="72"/>
      <c r="V692" s="73"/>
      <c r="W692" s="70"/>
      <c r="X692" s="74"/>
      <c r="Y692" s="75"/>
      <c r="Z692" s="75"/>
    </row>
    <row r="693" spans="1:26" x14ac:dyDescent="0.3">
      <c r="A693" s="72"/>
      <c r="B693" s="73"/>
      <c r="C693" s="70"/>
      <c r="D693" s="74"/>
      <c r="E693" s="75"/>
      <c r="F693" s="75"/>
      <c r="K693" s="72"/>
      <c r="L693" s="73"/>
      <c r="M693" s="70"/>
      <c r="N693" s="74"/>
      <c r="O693" s="75"/>
      <c r="P693" s="75"/>
      <c r="U693" s="72"/>
      <c r="V693" s="73"/>
      <c r="W693" s="70"/>
      <c r="X693" s="74"/>
      <c r="Y693" s="75"/>
      <c r="Z693" s="75"/>
    </row>
    <row r="694" spans="1:26" x14ac:dyDescent="0.3">
      <c r="A694" s="72"/>
      <c r="B694" s="73"/>
      <c r="C694" s="70"/>
      <c r="D694" s="74"/>
      <c r="E694" s="75"/>
      <c r="F694" s="75"/>
      <c r="K694" s="72"/>
      <c r="L694" s="73"/>
      <c r="M694" s="70"/>
      <c r="N694" s="74"/>
      <c r="O694" s="75"/>
      <c r="P694" s="75"/>
      <c r="U694" s="72"/>
      <c r="V694" s="73"/>
      <c r="W694" s="70"/>
      <c r="X694" s="74"/>
      <c r="Y694" s="75"/>
      <c r="Z694" s="75"/>
    </row>
    <row r="695" spans="1:26" x14ac:dyDescent="0.3">
      <c r="A695" s="72"/>
      <c r="B695" s="73"/>
      <c r="C695" s="70"/>
      <c r="D695" s="74"/>
      <c r="E695" s="75"/>
      <c r="F695" s="75"/>
      <c r="K695" s="72"/>
      <c r="L695" s="73"/>
      <c r="M695" s="70"/>
      <c r="N695" s="74"/>
      <c r="O695" s="75"/>
      <c r="P695" s="75"/>
      <c r="U695" s="72"/>
      <c r="V695" s="73"/>
      <c r="W695" s="70"/>
      <c r="X695" s="74"/>
      <c r="Y695" s="75"/>
      <c r="Z695" s="75"/>
    </row>
    <row r="696" spans="1:26" x14ac:dyDescent="0.3">
      <c r="A696" s="72"/>
      <c r="B696" s="73"/>
      <c r="C696" s="70"/>
      <c r="D696" s="74"/>
      <c r="E696" s="75"/>
      <c r="F696" s="75"/>
      <c r="K696" s="72"/>
      <c r="L696" s="73"/>
      <c r="M696" s="70"/>
      <c r="N696" s="74"/>
      <c r="O696" s="75"/>
      <c r="P696" s="75"/>
      <c r="U696" s="72"/>
      <c r="V696" s="73"/>
      <c r="W696" s="70"/>
      <c r="X696" s="74"/>
      <c r="Y696" s="75"/>
      <c r="Z696" s="75"/>
    </row>
    <row r="697" spans="1:26" x14ac:dyDescent="0.3">
      <c r="A697" s="72"/>
      <c r="B697" s="73"/>
      <c r="C697" s="70"/>
      <c r="D697" s="74"/>
      <c r="E697" s="75"/>
      <c r="F697" s="75"/>
      <c r="K697" s="72"/>
      <c r="L697" s="73"/>
      <c r="M697" s="70"/>
      <c r="N697" s="74"/>
      <c r="O697" s="75"/>
      <c r="P697" s="75"/>
      <c r="U697" s="72"/>
      <c r="V697" s="73"/>
      <c r="W697" s="70"/>
      <c r="X697" s="74"/>
      <c r="Y697" s="75"/>
      <c r="Z697" s="75"/>
    </row>
    <row r="698" spans="1:26" x14ac:dyDescent="0.3">
      <c r="A698" s="72"/>
      <c r="B698" s="73"/>
      <c r="C698" s="70"/>
      <c r="D698" s="74"/>
      <c r="E698" s="75"/>
      <c r="F698" s="75"/>
      <c r="K698" s="72"/>
      <c r="L698" s="73"/>
      <c r="M698" s="70"/>
      <c r="N698" s="74"/>
      <c r="O698" s="75"/>
      <c r="P698" s="75"/>
      <c r="U698" s="72"/>
      <c r="V698" s="73"/>
      <c r="W698" s="70"/>
      <c r="X698" s="74"/>
      <c r="Y698" s="75"/>
      <c r="Z698" s="75"/>
    </row>
    <row r="699" spans="1:26" x14ac:dyDescent="0.3">
      <c r="A699" s="72"/>
      <c r="B699" s="73"/>
      <c r="C699" s="70"/>
      <c r="D699" s="74"/>
      <c r="E699" s="75"/>
      <c r="F699" s="75"/>
      <c r="K699" s="72"/>
      <c r="L699" s="73"/>
      <c r="M699" s="70"/>
      <c r="N699" s="74"/>
      <c r="O699" s="75"/>
      <c r="P699" s="75"/>
      <c r="U699" s="72"/>
      <c r="V699" s="73"/>
      <c r="W699" s="70"/>
      <c r="X699" s="74"/>
      <c r="Y699" s="75"/>
      <c r="Z699" s="75"/>
    </row>
    <row r="700" spans="1:26" x14ac:dyDescent="0.3">
      <c r="A700" s="72"/>
      <c r="B700" s="73"/>
      <c r="C700" s="70"/>
      <c r="D700" s="74"/>
      <c r="E700" s="75"/>
      <c r="F700" s="75"/>
      <c r="K700" s="72"/>
      <c r="L700" s="73"/>
      <c r="M700" s="70"/>
      <c r="N700" s="74"/>
      <c r="O700" s="75"/>
      <c r="P700" s="75"/>
      <c r="U700" s="72"/>
      <c r="V700" s="73"/>
      <c r="W700" s="70"/>
      <c r="X700" s="74"/>
      <c r="Y700" s="75"/>
      <c r="Z700" s="75"/>
    </row>
    <row r="701" spans="1:26" x14ac:dyDescent="0.3">
      <c r="A701" s="72"/>
      <c r="B701" s="73"/>
      <c r="C701" s="70"/>
      <c r="D701" s="74"/>
      <c r="E701" s="75"/>
      <c r="F701" s="75"/>
      <c r="K701" s="72"/>
      <c r="L701" s="73"/>
      <c r="M701" s="70"/>
      <c r="N701" s="74"/>
      <c r="O701" s="75"/>
      <c r="P701" s="75"/>
      <c r="U701" s="72"/>
      <c r="V701" s="73"/>
      <c r="W701" s="70"/>
      <c r="X701" s="74"/>
      <c r="Y701" s="75"/>
      <c r="Z701" s="75"/>
    </row>
    <row r="702" spans="1:26" x14ac:dyDescent="0.3">
      <c r="A702" s="72"/>
      <c r="B702" s="73"/>
      <c r="C702" s="70"/>
      <c r="D702" s="74"/>
      <c r="E702" s="75"/>
      <c r="F702" s="75"/>
      <c r="K702" s="72"/>
      <c r="L702" s="73"/>
      <c r="M702" s="70"/>
      <c r="N702" s="74"/>
      <c r="O702" s="75"/>
      <c r="P702" s="75"/>
      <c r="U702" s="72"/>
      <c r="V702" s="73"/>
      <c r="W702" s="70"/>
      <c r="X702" s="74"/>
      <c r="Y702" s="75"/>
      <c r="Z702" s="75"/>
    </row>
    <row r="703" spans="1:26" x14ac:dyDescent="0.3">
      <c r="A703" s="72"/>
      <c r="B703" s="73"/>
      <c r="C703" s="70"/>
      <c r="D703" s="74"/>
      <c r="E703" s="75"/>
      <c r="F703" s="75"/>
      <c r="K703" s="72"/>
      <c r="L703" s="73"/>
      <c r="M703" s="70"/>
      <c r="N703" s="74"/>
      <c r="O703" s="75"/>
      <c r="P703" s="75"/>
      <c r="U703" s="72"/>
      <c r="V703" s="73"/>
      <c r="W703" s="70"/>
      <c r="X703" s="74"/>
      <c r="Y703" s="75"/>
      <c r="Z703" s="75"/>
    </row>
    <row r="704" spans="1:26" x14ac:dyDescent="0.3">
      <c r="A704" s="72"/>
      <c r="B704" s="73"/>
      <c r="C704" s="70"/>
      <c r="D704" s="74"/>
      <c r="E704" s="75"/>
      <c r="F704" s="75"/>
      <c r="K704" s="72"/>
      <c r="L704" s="73"/>
      <c r="M704" s="70"/>
      <c r="N704" s="74"/>
      <c r="O704" s="75"/>
      <c r="P704" s="75"/>
      <c r="U704" s="72"/>
      <c r="V704" s="73"/>
      <c r="W704" s="70"/>
      <c r="X704" s="74"/>
      <c r="Y704" s="75"/>
      <c r="Z704" s="75"/>
    </row>
    <row r="705" spans="1:26" x14ac:dyDescent="0.3">
      <c r="A705" s="72"/>
      <c r="B705" s="73"/>
      <c r="C705" s="70"/>
      <c r="D705" s="74"/>
      <c r="E705" s="75"/>
      <c r="F705" s="75"/>
      <c r="K705" s="72"/>
      <c r="L705" s="73"/>
      <c r="M705" s="70"/>
      <c r="N705" s="74"/>
      <c r="O705" s="75"/>
      <c r="P705" s="75"/>
      <c r="U705" s="72"/>
      <c r="V705" s="73"/>
      <c r="W705" s="70"/>
      <c r="X705" s="74"/>
      <c r="Y705" s="75"/>
      <c r="Z705" s="75"/>
    </row>
    <row r="706" spans="1:26" x14ac:dyDescent="0.3">
      <c r="A706" s="72"/>
      <c r="B706" s="73"/>
      <c r="C706" s="70"/>
      <c r="D706" s="74"/>
      <c r="E706" s="75"/>
      <c r="F706" s="75"/>
      <c r="K706" s="72"/>
      <c r="L706" s="73"/>
      <c r="M706" s="70"/>
      <c r="N706" s="74"/>
      <c r="O706" s="75"/>
      <c r="P706" s="75"/>
      <c r="U706" s="72"/>
      <c r="V706" s="73"/>
      <c r="W706" s="70"/>
      <c r="X706" s="74"/>
      <c r="Y706" s="75"/>
      <c r="Z706" s="75"/>
    </row>
    <row r="707" spans="1:26" x14ac:dyDescent="0.3">
      <c r="A707" s="72"/>
      <c r="B707" s="73"/>
      <c r="C707" s="70"/>
      <c r="D707" s="74"/>
      <c r="E707" s="75"/>
      <c r="F707" s="75"/>
      <c r="K707" s="72"/>
      <c r="L707" s="73"/>
      <c r="M707" s="70"/>
      <c r="N707" s="74"/>
      <c r="O707" s="75"/>
      <c r="P707" s="75"/>
      <c r="U707" s="72"/>
      <c r="V707" s="73"/>
      <c r="W707" s="70"/>
      <c r="X707" s="74"/>
      <c r="Y707" s="75"/>
      <c r="Z707" s="75"/>
    </row>
    <row r="708" spans="1:26" x14ac:dyDescent="0.3">
      <c r="A708" s="72"/>
      <c r="B708" s="73"/>
      <c r="C708" s="70"/>
      <c r="D708" s="74"/>
      <c r="E708" s="75"/>
      <c r="F708" s="75"/>
      <c r="K708" s="72"/>
      <c r="L708" s="73"/>
      <c r="M708" s="70"/>
      <c r="N708" s="74"/>
      <c r="O708" s="75"/>
      <c r="P708" s="75"/>
      <c r="U708" s="72"/>
      <c r="V708" s="73"/>
      <c r="W708" s="70"/>
      <c r="X708" s="74"/>
      <c r="Y708" s="75"/>
      <c r="Z708" s="75"/>
    </row>
    <row r="709" spans="1:26" x14ac:dyDescent="0.3">
      <c r="A709" s="72"/>
      <c r="B709" s="73"/>
      <c r="C709" s="70"/>
      <c r="D709" s="74"/>
      <c r="E709" s="75"/>
      <c r="F709" s="75"/>
      <c r="K709" s="72"/>
      <c r="L709" s="73"/>
      <c r="M709" s="70"/>
      <c r="N709" s="74"/>
      <c r="O709" s="75"/>
      <c r="P709" s="75"/>
      <c r="U709" s="72"/>
      <c r="V709" s="73"/>
      <c r="W709" s="70"/>
      <c r="X709" s="74"/>
      <c r="Y709" s="75"/>
      <c r="Z709" s="75"/>
    </row>
    <row r="710" spans="1:26" x14ac:dyDescent="0.3">
      <c r="A710" s="72"/>
      <c r="B710" s="73"/>
      <c r="C710" s="70"/>
      <c r="D710" s="74"/>
      <c r="E710" s="75"/>
      <c r="F710" s="75"/>
      <c r="K710" s="72"/>
      <c r="L710" s="73"/>
      <c r="M710" s="70"/>
      <c r="N710" s="74"/>
      <c r="O710" s="75"/>
      <c r="P710" s="75"/>
      <c r="U710" s="72"/>
      <c r="V710" s="73"/>
      <c r="W710" s="70"/>
      <c r="X710" s="74"/>
      <c r="Y710" s="75"/>
      <c r="Z710" s="75"/>
    </row>
    <row r="711" spans="1:26" x14ac:dyDescent="0.3">
      <c r="A711" s="72"/>
      <c r="B711" s="73"/>
      <c r="C711" s="70"/>
      <c r="D711" s="74"/>
      <c r="E711" s="75"/>
      <c r="F711" s="75"/>
      <c r="K711" s="72"/>
      <c r="L711" s="73"/>
      <c r="M711" s="70"/>
      <c r="N711" s="74"/>
      <c r="O711" s="75"/>
      <c r="P711" s="75"/>
      <c r="U711" s="72"/>
      <c r="V711" s="73"/>
      <c r="W711" s="70"/>
      <c r="X711" s="74"/>
      <c r="Y711" s="75"/>
      <c r="Z711" s="75"/>
    </row>
    <row r="712" spans="1:26" x14ac:dyDescent="0.3">
      <c r="A712" s="72"/>
      <c r="B712" s="73"/>
      <c r="C712" s="70"/>
      <c r="D712" s="74"/>
      <c r="E712" s="75"/>
      <c r="F712" s="75"/>
      <c r="K712" s="72"/>
      <c r="L712" s="73"/>
      <c r="M712" s="70"/>
      <c r="N712" s="74"/>
      <c r="O712" s="75"/>
      <c r="P712" s="75"/>
      <c r="U712" s="72"/>
      <c r="V712" s="73"/>
      <c r="W712" s="70"/>
      <c r="X712" s="74"/>
      <c r="Y712" s="75"/>
      <c r="Z712" s="75"/>
    </row>
    <row r="713" spans="1:26" x14ac:dyDescent="0.3">
      <c r="A713" s="72"/>
      <c r="B713" s="73"/>
      <c r="C713" s="70"/>
      <c r="D713" s="74"/>
      <c r="E713" s="75"/>
      <c r="F713" s="75"/>
      <c r="K713" s="72"/>
      <c r="L713" s="73"/>
      <c r="M713" s="70"/>
      <c r="N713" s="74"/>
      <c r="O713" s="75"/>
      <c r="P713" s="75"/>
      <c r="U713" s="72"/>
      <c r="V713" s="73"/>
      <c r="W713" s="70"/>
      <c r="X713" s="74"/>
      <c r="Y713" s="75"/>
      <c r="Z713" s="75"/>
    </row>
    <row r="714" spans="1:26" x14ac:dyDescent="0.3">
      <c r="A714" s="72"/>
      <c r="B714" s="73"/>
      <c r="C714" s="70"/>
      <c r="D714" s="74"/>
      <c r="E714" s="75"/>
      <c r="F714" s="75"/>
      <c r="K714" s="72"/>
      <c r="L714" s="73"/>
      <c r="M714" s="70"/>
      <c r="N714" s="74"/>
      <c r="O714" s="75"/>
      <c r="P714" s="75"/>
      <c r="U714" s="72"/>
      <c r="V714" s="73"/>
      <c r="W714" s="70"/>
      <c r="X714" s="74"/>
      <c r="Y714" s="75"/>
      <c r="Z714" s="75"/>
    </row>
    <row r="715" spans="1:26" x14ac:dyDescent="0.3">
      <c r="A715" s="72"/>
      <c r="B715" s="73"/>
      <c r="C715" s="70"/>
      <c r="D715" s="74"/>
      <c r="E715" s="75"/>
      <c r="F715" s="75"/>
      <c r="K715" s="72"/>
      <c r="L715" s="73"/>
      <c r="M715" s="70"/>
      <c r="N715" s="74"/>
      <c r="O715" s="75"/>
      <c r="P715" s="75"/>
      <c r="U715" s="72"/>
      <c r="V715" s="73"/>
      <c r="W715" s="70"/>
      <c r="X715" s="74"/>
      <c r="Y715" s="75"/>
      <c r="Z715" s="75"/>
    </row>
    <row r="716" spans="1:26" x14ac:dyDescent="0.3">
      <c r="A716" s="72"/>
      <c r="B716" s="73"/>
      <c r="C716" s="70"/>
      <c r="D716" s="74"/>
      <c r="E716" s="75"/>
      <c r="F716" s="75"/>
      <c r="K716" s="72"/>
      <c r="L716" s="73"/>
      <c r="M716" s="70"/>
      <c r="N716" s="74"/>
      <c r="O716" s="75"/>
      <c r="P716" s="75"/>
      <c r="U716" s="72"/>
      <c r="V716" s="73"/>
      <c r="W716" s="70"/>
      <c r="X716" s="74"/>
      <c r="Y716" s="75"/>
      <c r="Z716" s="75"/>
    </row>
    <row r="717" spans="1:26" x14ac:dyDescent="0.3">
      <c r="A717" s="72"/>
      <c r="B717" s="73"/>
      <c r="C717" s="70"/>
      <c r="D717" s="74"/>
      <c r="E717" s="75"/>
      <c r="F717" s="75"/>
      <c r="K717" s="72"/>
      <c r="L717" s="73"/>
      <c r="M717" s="70"/>
      <c r="N717" s="74"/>
      <c r="O717" s="75"/>
      <c r="P717" s="75"/>
      <c r="U717" s="72"/>
      <c r="V717" s="73"/>
      <c r="W717" s="70"/>
      <c r="X717" s="74"/>
      <c r="Y717" s="75"/>
      <c r="Z717" s="75"/>
    </row>
    <row r="718" spans="1:26" x14ac:dyDescent="0.3">
      <c r="A718" s="72"/>
      <c r="B718" s="73"/>
      <c r="C718" s="70"/>
      <c r="D718" s="74"/>
      <c r="E718" s="75"/>
      <c r="F718" s="75"/>
      <c r="K718" s="72"/>
      <c r="L718" s="73"/>
      <c r="M718" s="70"/>
      <c r="N718" s="74"/>
      <c r="O718" s="75"/>
      <c r="P718" s="75"/>
      <c r="U718" s="72"/>
      <c r="V718" s="73"/>
      <c r="W718" s="70"/>
      <c r="X718" s="74"/>
      <c r="Y718" s="75"/>
      <c r="Z718" s="75"/>
    </row>
    <row r="719" spans="1:26" x14ac:dyDescent="0.3">
      <c r="A719" s="72"/>
      <c r="B719" s="73"/>
      <c r="C719" s="70"/>
      <c r="D719" s="74"/>
      <c r="E719" s="75"/>
      <c r="F719" s="75"/>
      <c r="K719" s="72"/>
      <c r="L719" s="73"/>
      <c r="M719" s="70"/>
      <c r="N719" s="74"/>
      <c r="O719" s="75"/>
      <c r="P719" s="75"/>
      <c r="U719" s="72"/>
      <c r="V719" s="73"/>
      <c r="W719" s="70"/>
      <c r="X719" s="74"/>
      <c r="Y719" s="75"/>
      <c r="Z719" s="75"/>
    </row>
    <row r="720" spans="1:26" x14ac:dyDescent="0.3">
      <c r="A720" s="72"/>
      <c r="B720" s="73"/>
      <c r="C720" s="70"/>
      <c r="D720" s="74"/>
      <c r="E720" s="75"/>
      <c r="F720" s="75"/>
      <c r="K720" s="72"/>
      <c r="L720" s="73"/>
      <c r="M720" s="70"/>
      <c r="N720" s="74"/>
      <c r="O720" s="75"/>
      <c r="P720" s="75"/>
      <c r="U720" s="72"/>
      <c r="V720" s="73"/>
      <c r="W720" s="70"/>
      <c r="X720" s="74"/>
      <c r="Y720" s="75"/>
      <c r="Z720" s="75"/>
    </row>
    <row r="721" spans="1:26" x14ac:dyDescent="0.3">
      <c r="A721" s="72"/>
      <c r="B721" s="73"/>
      <c r="C721" s="70"/>
      <c r="D721" s="74"/>
      <c r="E721" s="75"/>
      <c r="F721" s="75"/>
      <c r="K721" s="72"/>
      <c r="L721" s="73"/>
      <c r="M721" s="70"/>
      <c r="N721" s="74"/>
      <c r="O721" s="75"/>
      <c r="P721" s="75"/>
      <c r="U721" s="72"/>
      <c r="V721" s="73"/>
      <c r="W721" s="70"/>
      <c r="X721" s="74"/>
      <c r="Y721" s="75"/>
      <c r="Z721" s="75"/>
    </row>
    <row r="722" spans="1:26" x14ac:dyDescent="0.3">
      <c r="A722" s="72"/>
      <c r="B722" s="73"/>
      <c r="C722" s="70"/>
      <c r="D722" s="74"/>
      <c r="E722" s="75"/>
      <c r="F722" s="75"/>
      <c r="K722" s="72"/>
      <c r="L722" s="73"/>
      <c r="M722" s="70"/>
      <c r="N722" s="74"/>
      <c r="O722" s="75"/>
      <c r="P722" s="75"/>
      <c r="U722" s="72"/>
      <c r="V722" s="73"/>
      <c r="W722" s="70"/>
      <c r="X722" s="74"/>
      <c r="Y722" s="75"/>
      <c r="Z722" s="75"/>
    </row>
    <row r="723" spans="1:26" x14ac:dyDescent="0.3">
      <c r="A723" s="72"/>
      <c r="B723" s="73"/>
      <c r="C723" s="70"/>
      <c r="D723" s="74"/>
      <c r="E723" s="75"/>
      <c r="F723" s="75"/>
      <c r="K723" s="72"/>
      <c r="L723" s="73"/>
      <c r="M723" s="70"/>
      <c r="N723" s="74"/>
      <c r="O723" s="75"/>
      <c r="P723" s="75"/>
      <c r="U723" s="72"/>
      <c r="V723" s="73"/>
      <c r="W723" s="70"/>
      <c r="X723" s="74"/>
      <c r="Y723" s="75"/>
      <c r="Z723" s="75"/>
    </row>
    <row r="724" spans="1:26" x14ac:dyDescent="0.3">
      <c r="A724" s="72"/>
      <c r="B724" s="73"/>
      <c r="C724" s="70"/>
      <c r="D724" s="74"/>
      <c r="E724" s="75"/>
      <c r="F724" s="75"/>
      <c r="K724" s="72"/>
      <c r="L724" s="73"/>
      <c r="M724" s="70"/>
      <c r="N724" s="74"/>
      <c r="O724" s="75"/>
      <c r="P724" s="75"/>
      <c r="U724" s="72"/>
      <c r="V724" s="73"/>
      <c r="W724" s="70"/>
      <c r="X724" s="74"/>
      <c r="Y724" s="75"/>
      <c r="Z724" s="75"/>
    </row>
    <row r="725" spans="1:26" x14ac:dyDescent="0.3">
      <c r="A725" s="72"/>
      <c r="B725" s="73"/>
      <c r="C725" s="70"/>
      <c r="D725" s="74"/>
      <c r="E725" s="75"/>
      <c r="F725" s="75"/>
      <c r="K725" s="72"/>
      <c r="L725" s="73"/>
      <c r="M725" s="70"/>
      <c r="N725" s="74"/>
      <c r="O725" s="75"/>
      <c r="P725" s="75"/>
      <c r="U725" s="72"/>
      <c r="V725" s="73"/>
      <c r="W725" s="70"/>
      <c r="X725" s="74"/>
      <c r="Y725" s="75"/>
      <c r="Z725" s="75"/>
    </row>
    <row r="726" spans="1:26" x14ac:dyDescent="0.3">
      <c r="A726" s="72"/>
      <c r="B726" s="73"/>
      <c r="C726" s="70"/>
      <c r="D726" s="74"/>
      <c r="E726" s="75"/>
      <c r="F726" s="75"/>
      <c r="K726" s="72"/>
      <c r="L726" s="73"/>
      <c r="M726" s="70"/>
      <c r="N726" s="74"/>
      <c r="O726" s="75"/>
      <c r="P726" s="75"/>
      <c r="U726" s="72"/>
      <c r="V726" s="73"/>
      <c r="W726" s="70"/>
      <c r="X726" s="74"/>
      <c r="Y726" s="75"/>
      <c r="Z726" s="75"/>
    </row>
    <row r="727" spans="1:26" x14ac:dyDescent="0.3">
      <c r="A727" s="72"/>
      <c r="B727" s="73"/>
      <c r="C727" s="70"/>
      <c r="D727" s="74"/>
      <c r="E727" s="75"/>
      <c r="F727" s="75"/>
      <c r="K727" s="72"/>
      <c r="L727" s="73"/>
      <c r="M727" s="70"/>
      <c r="N727" s="74"/>
      <c r="O727" s="75"/>
      <c r="P727" s="75"/>
      <c r="U727" s="72"/>
      <c r="V727" s="73"/>
      <c r="W727" s="70"/>
      <c r="X727" s="74"/>
      <c r="Y727" s="75"/>
      <c r="Z727" s="75"/>
    </row>
    <row r="728" spans="1:26" x14ac:dyDescent="0.3">
      <c r="A728" s="72"/>
      <c r="B728" s="73"/>
      <c r="C728" s="70"/>
      <c r="D728" s="74"/>
      <c r="E728" s="75"/>
      <c r="F728" s="75"/>
      <c r="K728" s="72"/>
      <c r="L728" s="73"/>
      <c r="M728" s="70"/>
      <c r="N728" s="74"/>
      <c r="O728" s="75"/>
      <c r="P728" s="75"/>
      <c r="U728" s="72"/>
      <c r="V728" s="73"/>
      <c r="W728" s="70"/>
      <c r="X728" s="74"/>
      <c r="Y728" s="75"/>
      <c r="Z728" s="75"/>
    </row>
    <row r="729" spans="1:26" x14ac:dyDescent="0.3">
      <c r="A729" s="72"/>
      <c r="B729" s="73"/>
      <c r="C729" s="70"/>
      <c r="D729" s="74"/>
      <c r="E729" s="75"/>
      <c r="F729" s="75"/>
      <c r="K729" s="72"/>
      <c r="L729" s="73"/>
      <c r="M729" s="70"/>
      <c r="N729" s="74"/>
      <c r="O729" s="75"/>
      <c r="P729" s="75"/>
      <c r="U729" s="72"/>
      <c r="V729" s="73"/>
      <c r="W729" s="70"/>
      <c r="X729" s="74"/>
      <c r="Y729" s="75"/>
      <c r="Z729" s="75"/>
    </row>
    <row r="730" spans="1:26" x14ac:dyDescent="0.3">
      <c r="A730" s="72"/>
      <c r="B730" s="73"/>
      <c r="C730" s="70"/>
      <c r="D730" s="74"/>
      <c r="E730" s="75"/>
      <c r="F730" s="75"/>
      <c r="K730" s="72"/>
      <c r="L730" s="73"/>
      <c r="M730" s="70"/>
      <c r="N730" s="74"/>
      <c r="O730" s="75"/>
      <c r="P730" s="75"/>
      <c r="U730" s="72"/>
      <c r="V730" s="73"/>
      <c r="W730" s="70"/>
      <c r="X730" s="74"/>
      <c r="Y730" s="75"/>
      <c r="Z730" s="75"/>
    </row>
    <row r="731" spans="1:26" x14ac:dyDescent="0.3">
      <c r="A731" s="72"/>
      <c r="B731" s="73"/>
      <c r="C731" s="70"/>
      <c r="D731" s="74"/>
      <c r="E731" s="75"/>
      <c r="F731" s="75"/>
      <c r="K731" s="72"/>
      <c r="L731" s="73"/>
      <c r="M731" s="70"/>
      <c r="N731" s="74"/>
      <c r="O731" s="75"/>
      <c r="P731" s="75"/>
      <c r="U731" s="72"/>
      <c r="V731" s="73"/>
      <c r="W731" s="70"/>
      <c r="X731" s="74"/>
      <c r="Y731" s="75"/>
      <c r="Z731" s="75"/>
    </row>
    <row r="732" spans="1:26" x14ac:dyDescent="0.3">
      <c r="A732" s="72"/>
      <c r="B732" s="73"/>
      <c r="C732" s="70"/>
      <c r="D732" s="74"/>
      <c r="E732" s="75"/>
      <c r="F732" s="75"/>
      <c r="K732" s="72"/>
      <c r="L732" s="73"/>
      <c r="M732" s="70"/>
      <c r="N732" s="74"/>
      <c r="O732" s="75"/>
      <c r="P732" s="75"/>
      <c r="U732" s="72"/>
      <c r="V732" s="73"/>
      <c r="W732" s="70"/>
      <c r="X732" s="74"/>
      <c r="Y732" s="75"/>
      <c r="Z732" s="75"/>
    </row>
    <row r="733" spans="1:26" x14ac:dyDescent="0.3">
      <c r="A733" s="72"/>
      <c r="B733" s="73"/>
      <c r="C733" s="70"/>
      <c r="D733" s="74"/>
      <c r="E733" s="75"/>
      <c r="F733" s="75"/>
      <c r="K733" s="72"/>
      <c r="L733" s="73"/>
      <c r="M733" s="70"/>
      <c r="N733" s="74"/>
      <c r="O733" s="75"/>
      <c r="P733" s="75"/>
      <c r="U733" s="72"/>
      <c r="V733" s="73"/>
      <c r="W733" s="70"/>
      <c r="X733" s="74"/>
      <c r="Y733" s="75"/>
      <c r="Z733" s="75"/>
    </row>
    <row r="734" spans="1:26" x14ac:dyDescent="0.3">
      <c r="A734" s="72"/>
      <c r="B734" s="73"/>
      <c r="C734" s="70"/>
      <c r="D734" s="74"/>
      <c r="E734" s="75"/>
      <c r="F734" s="75"/>
      <c r="K734" s="72"/>
      <c r="L734" s="73"/>
      <c r="M734" s="70"/>
      <c r="N734" s="74"/>
      <c r="O734" s="75"/>
      <c r="P734" s="75"/>
      <c r="U734" s="72"/>
      <c r="V734" s="73"/>
      <c r="W734" s="70"/>
      <c r="X734" s="74"/>
      <c r="Y734" s="75"/>
      <c r="Z734" s="75"/>
    </row>
    <row r="735" spans="1:26" x14ac:dyDescent="0.3">
      <c r="A735" s="72"/>
      <c r="B735" s="73"/>
      <c r="C735" s="70"/>
      <c r="D735" s="74"/>
      <c r="E735" s="75"/>
      <c r="F735" s="75"/>
      <c r="K735" s="72"/>
      <c r="L735" s="73"/>
      <c r="M735" s="70"/>
      <c r="N735" s="74"/>
      <c r="O735" s="75"/>
      <c r="P735" s="75"/>
      <c r="U735" s="72"/>
      <c r="V735" s="73"/>
      <c r="W735" s="70"/>
      <c r="X735" s="74"/>
      <c r="Y735" s="75"/>
      <c r="Z735" s="75"/>
    </row>
    <row r="736" spans="1:26" x14ac:dyDescent="0.3">
      <c r="A736" s="72"/>
      <c r="B736" s="73"/>
      <c r="C736" s="70"/>
      <c r="D736" s="74"/>
      <c r="E736" s="75"/>
      <c r="F736" s="75"/>
      <c r="K736" s="72"/>
      <c r="L736" s="73"/>
      <c r="M736" s="70"/>
      <c r="N736" s="74"/>
      <c r="O736" s="75"/>
      <c r="P736" s="75"/>
      <c r="U736" s="72"/>
      <c r="V736" s="73"/>
      <c r="W736" s="70"/>
      <c r="X736" s="74"/>
      <c r="Y736" s="75"/>
      <c r="Z736" s="75"/>
    </row>
    <row r="737" spans="1:26" x14ac:dyDescent="0.3">
      <c r="A737" s="72"/>
      <c r="B737" s="73"/>
      <c r="C737" s="70"/>
      <c r="D737" s="74"/>
      <c r="E737" s="75"/>
      <c r="F737" s="75"/>
      <c r="K737" s="72"/>
      <c r="L737" s="73"/>
      <c r="M737" s="70"/>
      <c r="N737" s="74"/>
      <c r="O737" s="75"/>
      <c r="P737" s="75"/>
      <c r="U737" s="72"/>
      <c r="V737" s="73"/>
      <c r="W737" s="70"/>
      <c r="X737" s="74"/>
      <c r="Y737" s="75"/>
      <c r="Z737" s="75"/>
    </row>
    <row r="738" spans="1:26" x14ac:dyDescent="0.3">
      <c r="A738" s="72"/>
      <c r="B738" s="73"/>
      <c r="C738" s="70"/>
      <c r="D738" s="74"/>
      <c r="E738" s="75"/>
      <c r="F738" s="75"/>
      <c r="K738" s="72"/>
      <c r="L738" s="73"/>
      <c r="M738" s="70"/>
      <c r="N738" s="74"/>
      <c r="O738" s="75"/>
      <c r="P738" s="75"/>
      <c r="U738" s="72"/>
      <c r="V738" s="73"/>
      <c r="W738" s="70"/>
      <c r="X738" s="74"/>
      <c r="Y738" s="75"/>
      <c r="Z738" s="75"/>
    </row>
    <row r="739" spans="1:26" x14ac:dyDescent="0.3">
      <c r="A739" s="72"/>
      <c r="B739" s="73"/>
      <c r="C739" s="70"/>
      <c r="D739" s="74"/>
      <c r="E739" s="75"/>
      <c r="F739" s="75"/>
      <c r="K739" s="72"/>
      <c r="L739" s="73"/>
      <c r="M739" s="70"/>
      <c r="N739" s="74"/>
      <c r="O739" s="75"/>
      <c r="P739" s="75"/>
      <c r="U739" s="72"/>
      <c r="V739" s="73"/>
      <c r="W739" s="70"/>
      <c r="X739" s="74"/>
      <c r="Y739" s="75"/>
      <c r="Z739" s="75"/>
    </row>
    <row r="740" spans="1:26" x14ac:dyDescent="0.3">
      <c r="A740" s="72"/>
      <c r="B740" s="73"/>
      <c r="C740" s="70"/>
      <c r="D740" s="74"/>
      <c r="E740" s="75"/>
      <c r="F740" s="75"/>
      <c r="K740" s="72"/>
      <c r="L740" s="73"/>
      <c r="M740" s="70"/>
      <c r="N740" s="74"/>
      <c r="O740" s="75"/>
      <c r="P740" s="75"/>
      <c r="U740" s="72"/>
      <c r="V740" s="73"/>
      <c r="W740" s="70"/>
      <c r="X740" s="74"/>
      <c r="Y740" s="75"/>
      <c r="Z740" s="75"/>
    </row>
    <row r="741" spans="1:26" x14ac:dyDescent="0.3">
      <c r="A741" s="72"/>
      <c r="B741" s="73"/>
      <c r="C741" s="70"/>
      <c r="D741" s="74"/>
      <c r="E741" s="75"/>
      <c r="F741" s="75"/>
      <c r="K741" s="72"/>
      <c r="L741" s="73"/>
      <c r="M741" s="70"/>
      <c r="N741" s="74"/>
      <c r="O741" s="75"/>
      <c r="P741" s="75"/>
      <c r="U741" s="72"/>
      <c r="V741" s="73"/>
      <c r="W741" s="70"/>
      <c r="X741" s="74"/>
      <c r="Y741" s="75"/>
      <c r="Z741" s="75"/>
    </row>
    <row r="742" spans="1:26" x14ac:dyDescent="0.3">
      <c r="A742" s="72"/>
      <c r="B742" s="73"/>
      <c r="C742" s="70"/>
      <c r="D742" s="74"/>
      <c r="E742" s="75"/>
      <c r="F742" s="75"/>
      <c r="K742" s="72"/>
      <c r="L742" s="73"/>
      <c r="M742" s="70"/>
      <c r="N742" s="74"/>
      <c r="O742" s="75"/>
      <c r="P742" s="75"/>
      <c r="U742" s="72"/>
      <c r="V742" s="73"/>
      <c r="W742" s="70"/>
      <c r="X742" s="74"/>
      <c r="Y742" s="75"/>
      <c r="Z742" s="75"/>
    </row>
    <row r="743" spans="1:26" x14ac:dyDescent="0.3">
      <c r="A743" s="72"/>
      <c r="B743" s="73"/>
      <c r="C743" s="70"/>
      <c r="D743" s="74"/>
      <c r="E743" s="75"/>
      <c r="F743" s="75"/>
      <c r="K743" s="72"/>
      <c r="L743" s="73"/>
      <c r="M743" s="70"/>
      <c r="N743" s="74"/>
      <c r="O743" s="75"/>
      <c r="P743" s="75"/>
      <c r="U743" s="72"/>
      <c r="V743" s="73"/>
      <c r="W743" s="70"/>
      <c r="X743" s="74"/>
      <c r="Y743" s="75"/>
      <c r="Z743" s="75"/>
    </row>
    <row r="744" spans="1:26" x14ac:dyDescent="0.3">
      <c r="A744" s="72"/>
      <c r="B744" s="73"/>
      <c r="C744" s="70"/>
      <c r="D744" s="74"/>
      <c r="E744" s="75"/>
      <c r="F744" s="75"/>
      <c r="K744" s="72"/>
      <c r="L744" s="73"/>
      <c r="M744" s="70"/>
      <c r="N744" s="74"/>
      <c r="O744" s="75"/>
      <c r="P744" s="75"/>
      <c r="U744" s="72"/>
      <c r="V744" s="73"/>
      <c r="W744" s="70"/>
      <c r="X744" s="74"/>
      <c r="Y744" s="75"/>
      <c r="Z744" s="75"/>
    </row>
    <row r="745" spans="1:26" x14ac:dyDescent="0.3">
      <c r="A745" s="72"/>
      <c r="B745" s="73"/>
      <c r="C745" s="70"/>
      <c r="D745" s="74"/>
      <c r="E745" s="75"/>
      <c r="F745" s="75"/>
      <c r="K745" s="72"/>
      <c r="L745" s="73"/>
      <c r="M745" s="70"/>
      <c r="N745" s="74"/>
      <c r="O745" s="75"/>
      <c r="P745" s="75"/>
      <c r="U745" s="72"/>
      <c r="V745" s="73"/>
      <c r="W745" s="70"/>
      <c r="X745" s="74"/>
      <c r="Y745" s="75"/>
      <c r="Z745" s="75"/>
    </row>
    <row r="746" spans="1:26" x14ac:dyDescent="0.3">
      <c r="A746" s="72"/>
      <c r="B746" s="73"/>
      <c r="C746" s="70"/>
      <c r="D746" s="74"/>
      <c r="E746" s="75"/>
      <c r="F746" s="75"/>
      <c r="K746" s="72"/>
      <c r="L746" s="73"/>
      <c r="M746" s="70"/>
      <c r="N746" s="74"/>
      <c r="O746" s="75"/>
      <c r="P746" s="75"/>
      <c r="U746" s="72"/>
      <c r="V746" s="73"/>
      <c r="W746" s="70"/>
      <c r="X746" s="74"/>
      <c r="Y746" s="75"/>
      <c r="Z746" s="75"/>
    </row>
    <row r="747" spans="1:26" x14ac:dyDescent="0.3">
      <c r="A747" s="72"/>
      <c r="B747" s="73"/>
      <c r="C747" s="70"/>
      <c r="D747" s="74"/>
      <c r="E747" s="75"/>
      <c r="F747" s="75"/>
      <c r="K747" s="72"/>
      <c r="L747" s="73"/>
      <c r="M747" s="70"/>
      <c r="N747" s="74"/>
      <c r="O747" s="75"/>
      <c r="P747" s="75"/>
      <c r="U747" s="72"/>
      <c r="V747" s="73"/>
      <c r="W747" s="70"/>
      <c r="X747" s="74"/>
      <c r="Y747" s="75"/>
      <c r="Z747" s="75"/>
    </row>
    <row r="748" spans="1:26" x14ac:dyDescent="0.3">
      <c r="A748" s="72"/>
      <c r="B748" s="73"/>
      <c r="C748" s="70"/>
      <c r="D748" s="74"/>
      <c r="E748" s="75"/>
      <c r="F748" s="75"/>
      <c r="K748" s="72"/>
      <c r="L748" s="73"/>
      <c r="M748" s="70"/>
      <c r="N748" s="74"/>
      <c r="O748" s="75"/>
      <c r="P748" s="75"/>
      <c r="U748" s="72"/>
      <c r="V748" s="73"/>
      <c r="W748" s="70"/>
      <c r="X748" s="74"/>
      <c r="Y748" s="75"/>
      <c r="Z748" s="75"/>
    </row>
    <row r="749" spans="1:26" x14ac:dyDescent="0.3">
      <c r="A749" s="72"/>
      <c r="B749" s="73"/>
      <c r="C749" s="70"/>
      <c r="D749" s="74"/>
      <c r="E749" s="75"/>
      <c r="F749" s="75"/>
      <c r="K749" s="72"/>
      <c r="L749" s="73"/>
      <c r="M749" s="70"/>
      <c r="N749" s="74"/>
      <c r="O749" s="75"/>
      <c r="P749" s="75"/>
      <c r="U749" s="72"/>
      <c r="V749" s="73"/>
      <c r="W749" s="70"/>
      <c r="X749" s="74"/>
      <c r="Y749" s="75"/>
      <c r="Z749" s="75"/>
    </row>
    <row r="750" spans="1:26" x14ac:dyDescent="0.3">
      <c r="A750" s="72"/>
      <c r="B750" s="73"/>
      <c r="C750" s="70"/>
      <c r="D750" s="74"/>
      <c r="E750" s="75"/>
      <c r="F750" s="75"/>
      <c r="K750" s="72"/>
      <c r="L750" s="73"/>
      <c r="M750" s="70"/>
      <c r="N750" s="74"/>
      <c r="O750" s="75"/>
      <c r="P750" s="75"/>
      <c r="U750" s="72"/>
      <c r="V750" s="73"/>
      <c r="W750" s="70"/>
      <c r="X750" s="74"/>
      <c r="Y750" s="75"/>
      <c r="Z750" s="75"/>
    </row>
    <row r="751" spans="1:26" x14ac:dyDescent="0.3">
      <c r="A751" s="72"/>
      <c r="B751" s="73"/>
      <c r="C751" s="70"/>
      <c r="D751" s="74"/>
      <c r="E751" s="75"/>
      <c r="F751" s="75"/>
      <c r="K751" s="72"/>
      <c r="L751" s="73"/>
      <c r="M751" s="70"/>
      <c r="N751" s="74"/>
      <c r="O751" s="75"/>
      <c r="P751" s="75"/>
      <c r="U751" s="72"/>
      <c r="V751" s="73"/>
      <c r="W751" s="70"/>
      <c r="X751" s="74"/>
      <c r="Y751" s="75"/>
      <c r="Z751" s="75"/>
    </row>
    <row r="752" spans="1:26" x14ac:dyDescent="0.3">
      <c r="A752" s="72"/>
      <c r="B752" s="73"/>
      <c r="C752" s="70"/>
      <c r="D752" s="74"/>
      <c r="E752" s="75"/>
      <c r="F752" s="75"/>
      <c r="K752" s="72"/>
      <c r="L752" s="73"/>
      <c r="M752" s="70"/>
      <c r="N752" s="74"/>
      <c r="O752" s="75"/>
      <c r="P752" s="75"/>
      <c r="U752" s="72"/>
      <c r="V752" s="73"/>
      <c r="W752" s="70"/>
      <c r="X752" s="74"/>
      <c r="Y752" s="75"/>
      <c r="Z752" s="75"/>
    </row>
    <row r="753" spans="1:26" x14ac:dyDescent="0.3">
      <c r="A753" s="72"/>
      <c r="B753" s="73"/>
      <c r="C753" s="70"/>
      <c r="D753" s="74"/>
      <c r="E753" s="75"/>
      <c r="F753" s="75"/>
      <c r="K753" s="72"/>
      <c r="L753" s="73"/>
      <c r="M753" s="70"/>
      <c r="N753" s="74"/>
      <c r="O753" s="75"/>
      <c r="P753" s="75"/>
      <c r="U753" s="72"/>
      <c r="V753" s="73"/>
      <c r="W753" s="70"/>
      <c r="X753" s="74"/>
      <c r="Y753" s="75"/>
      <c r="Z753" s="75"/>
    </row>
    <row r="754" spans="1:26" x14ac:dyDescent="0.3">
      <c r="A754" s="72"/>
      <c r="B754" s="73"/>
      <c r="C754" s="70"/>
      <c r="D754" s="74"/>
      <c r="E754" s="75"/>
      <c r="F754" s="75"/>
      <c r="K754" s="72"/>
      <c r="L754" s="73"/>
      <c r="M754" s="70"/>
      <c r="N754" s="74"/>
      <c r="O754" s="75"/>
      <c r="P754" s="75"/>
      <c r="U754" s="72"/>
      <c r="V754" s="73"/>
      <c r="W754" s="70"/>
      <c r="X754" s="74"/>
      <c r="Y754" s="75"/>
      <c r="Z754" s="75"/>
    </row>
    <row r="755" spans="1:26" x14ac:dyDescent="0.3">
      <c r="A755" s="72"/>
      <c r="B755" s="73"/>
      <c r="C755" s="70"/>
      <c r="D755" s="74"/>
      <c r="E755" s="75"/>
      <c r="F755" s="75"/>
      <c r="K755" s="72"/>
      <c r="L755" s="73"/>
      <c r="M755" s="70"/>
      <c r="N755" s="74"/>
      <c r="O755" s="75"/>
      <c r="P755" s="75"/>
      <c r="U755" s="72"/>
      <c r="V755" s="73"/>
      <c r="W755" s="70"/>
      <c r="X755" s="74"/>
      <c r="Y755" s="75"/>
      <c r="Z755" s="75"/>
    </row>
    <row r="756" spans="1:26" x14ac:dyDescent="0.3">
      <c r="A756" s="72"/>
      <c r="B756" s="73"/>
      <c r="C756" s="70"/>
      <c r="D756" s="74"/>
      <c r="E756" s="75"/>
      <c r="F756" s="75"/>
      <c r="K756" s="72"/>
      <c r="L756" s="73"/>
      <c r="M756" s="70"/>
      <c r="N756" s="74"/>
      <c r="O756" s="75"/>
      <c r="P756" s="75"/>
      <c r="U756" s="72"/>
      <c r="V756" s="73"/>
      <c r="W756" s="70"/>
      <c r="X756" s="74"/>
      <c r="Y756" s="75"/>
      <c r="Z756" s="75"/>
    </row>
    <row r="757" spans="1:26" x14ac:dyDescent="0.3">
      <c r="A757" s="72"/>
      <c r="B757" s="73"/>
      <c r="C757" s="70"/>
      <c r="D757" s="74"/>
      <c r="E757" s="75"/>
      <c r="F757" s="75"/>
      <c r="K757" s="72"/>
      <c r="L757" s="73"/>
      <c r="M757" s="70"/>
      <c r="N757" s="74"/>
      <c r="O757" s="75"/>
      <c r="P757" s="75"/>
      <c r="U757" s="72"/>
      <c r="V757" s="73"/>
      <c r="W757" s="70"/>
      <c r="X757" s="74"/>
      <c r="Y757" s="75"/>
      <c r="Z757" s="75"/>
    </row>
    <row r="758" spans="1:26" x14ac:dyDescent="0.3">
      <c r="A758" s="72"/>
      <c r="B758" s="73"/>
      <c r="C758" s="70"/>
      <c r="D758" s="74"/>
      <c r="E758" s="75"/>
      <c r="F758" s="75"/>
      <c r="K758" s="72"/>
      <c r="L758" s="73"/>
      <c r="M758" s="70"/>
      <c r="N758" s="74"/>
      <c r="O758" s="75"/>
      <c r="P758" s="75"/>
      <c r="U758" s="72"/>
      <c r="V758" s="73"/>
      <c r="W758" s="70"/>
      <c r="X758" s="74"/>
      <c r="Y758" s="75"/>
      <c r="Z758" s="75"/>
    </row>
    <row r="759" spans="1:26" x14ac:dyDescent="0.3">
      <c r="A759" s="72"/>
      <c r="B759" s="73"/>
      <c r="C759" s="70"/>
      <c r="D759" s="74"/>
      <c r="E759" s="75"/>
      <c r="F759" s="75"/>
      <c r="K759" s="72"/>
      <c r="L759" s="73"/>
      <c r="M759" s="70"/>
      <c r="N759" s="74"/>
      <c r="O759" s="75"/>
      <c r="P759" s="75"/>
      <c r="U759" s="72"/>
      <c r="V759" s="73"/>
      <c r="W759" s="70"/>
      <c r="X759" s="74"/>
      <c r="Y759" s="75"/>
      <c r="Z759" s="75"/>
    </row>
    <row r="760" spans="1:26" x14ac:dyDescent="0.3">
      <c r="A760" s="72"/>
      <c r="B760" s="73"/>
      <c r="C760" s="70"/>
      <c r="D760" s="74"/>
      <c r="E760" s="75"/>
      <c r="F760" s="75"/>
      <c r="K760" s="72"/>
      <c r="L760" s="73"/>
      <c r="M760" s="70"/>
      <c r="N760" s="74"/>
      <c r="O760" s="75"/>
      <c r="P760" s="75"/>
      <c r="U760" s="72"/>
      <c r="V760" s="73"/>
      <c r="W760" s="70"/>
      <c r="X760" s="74"/>
      <c r="Y760" s="75"/>
      <c r="Z760" s="75"/>
    </row>
    <row r="761" spans="1:26" x14ac:dyDescent="0.3">
      <c r="A761" s="72"/>
      <c r="B761" s="73"/>
      <c r="C761" s="70"/>
      <c r="D761" s="74"/>
      <c r="E761" s="75"/>
      <c r="F761" s="75"/>
      <c r="K761" s="72"/>
      <c r="L761" s="73"/>
      <c r="M761" s="70"/>
      <c r="N761" s="74"/>
      <c r="O761" s="75"/>
      <c r="P761" s="75"/>
      <c r="U761" s="72"/>
      <c r="V761" s="73"/>
      <c r="W761" s="70"/>
      <c r="X761" s="74"/>
      <c r="Y761" s="75"/>
      <c r="Z761" s="75"/>
    </row>
    <row r="762" spans="1:26" x14ac:dyDescent="0.3">
      <c r="A762" s="72"/>
      <c r="B762" s="73"/>
      <c r="C762" s="70"/>
      <c r="D762" s="74"/>
      <c r="E762" s="75"/>
      <c r="F762" s="75"/>
      <c r="K762" s="72"/>
      <c r="L762" s="73"/>
      <c r="M762" s="70"/>
      <c r="N762" s="74"/>
      <c r="O762" s="75"/>
      <c r="P762" s="75"/>
      <c r="U762" s="72"/>
      <c r="V762" s="73"/>
      <c r="W762" s="70"/>
      <c r="X762" s="74"/>
      <c r="Y762" s="75"/>
      <c r="Z762" s="75"/>
    </row>
    <row r="763" spans="1:26" x14ac:dyDescent="0.3">
      <c r="A763" s="72"/>
      <c r="B763" s="73"/>
      <c r="C763" s="70"/>
      <c r="D763" s="74"/>
      <c r="E763" s="75"/>
      <c r="F763" s="75"/>
      <c r="K763" s="72"/>
      <c r="L763" s="73"/>
      <c r="M763" s="70"/>
      <c r="N763" s="74"/>
      <c r="O763" s="75"/>
      <c r="P763" s="75"/>
      <c r="U763" s="72"/>
      <c r="V763" s="73"/>
      <c r="W763" s="70"/>
      <c r="X763" s="74"/>
      <c r="Y763" s="75"/>
      <c r="Z763" s="75"/>
    </row>
    <row r="764" spans="1:26" x14ac:dyDescent="0.3">
      <c r="A764" s="72"/>
      <c r="B764" s="73"/>
      <c r="C764" s="70"/>
      <c r="D764" s="74"/>
      <c r="E764" s="75"/>
      <c r="F764" s="75"/>
      <c r="K764" s="72"/>
      <c r="L764" s="73"/>
      <c r="M764" s="70"/>
      <c r="N764" s="74"/>
      <c r="O764" s="75"/>
      <c r="P764" s="75"/>
      <c r="U764" s="72"/>
      <c r="V764" s="73"/>
      <c r="W764" s="70"/>
      <c r="X764" s="74"/>
      <c r="Y764" s="75"/>
      <c r="Z764" s="75"/>
    </row>
    <row r="765" spans="1:26" x14ac:dyDescent="0.3">
      <c r="A765" s="72"/>
      <c r="B765" s="73"/>
      <c r="C765" s="70"/>
      <c r="D765" s="74"/>
      <c r="E765" s="75"/>
      <c r="F765" s="75"/>
      <c r="K765" s="72"/>
      <c r="L765" s="73"/>
      <c r="M765" s="70"/>
      <c r="N765" s="74"/>
      <c r="O765" s="75"/>
      <c r="P765" s="75"/>
      <c r="U765" s="72"/>
      <c r="V765" s="73"/>
      <c r="W765" s="70"/>
      <c r="X765" s="74"/>
      <c r="Y765" s="75"/>
      <c r="Z765" s="75"/>
    </row>
    <row r="766" spans="1:26" x14ac:dyDescent="0.3">
      <c r="A766" s="72"/>
      <c r="B766" s="73"/>
      <c r="C766" s="70"/>
      <c r="D766" s="74"/>
      <c r="E766" s="75"/>
      <c r="F766" s="75"/>
      <c r="K766" s="72"/>
      <c r="L766" s="73"/>
      <c r="M766" s="70"/>
      <c r="N766" s="74"/>
      <c r="O766" s="75"/>
      <c r="P766" s="75"/>
      <c r="U766" s="72"/>
      <c r="V766" s="73"/>
      <c r="W766" s="70"/>
      <c r="X766" s="74"/>
      <c r="Y766" s="75"/>
      <c r="Z766" s="75"/>
    </row>
    <row r="767" spans="1:26" x14ac:dyDescent="0.3">
      <c r="A767" s="72"/>
      <c r="B767" s="73"/>
      <c r="C767" s="70"/>
      <c r="D767" s="74"/>
      <c r="E767" s="75"/>
      <c r="F767" s="75"/>
      <c r="K767" s="72"/>
      <c r="L767" s="73"/>
      <c r="M767" s="70"/>
      <c r="N767" s="74"/>
      <c r="O767" s="75"/>
      <c r="P767" s="75"/>
      <c r="U767" s="72"/>
      <c r="V767" s="73"/>
      <c r="W767" s="70"/>
      <c r="X767" s="74"/>
      <c r="Y767" s="75"/>
      <c r="Z767" s="75"/>
    </row>
    <row r="768" spans="1:26" x14ac:dyDescent="0.3">
      <c r="A768" s="72"/>
      <c r="B768" s="73"/>
      <c r="C768" s="70"/>
      <c r="D768" s="74"/>
      <c r="E768" s="75"/>
      <c r="F768" s="75"/>
      <c r="K768" s="72"/>
      <c r="L768" s="73"/>
      <c r="M768" s="70"/>
      <c r="N768" s="74"/>
      <c r="O768" s="75"/>
      <c r="P768" s="75"/>
      <c r="U768" s="72"/>
      <c r="V768" s="73"/>
      <c r="W768" s="70"/>
      <c r="X768" s="74"/>
      <c r="Y768" s="75"/>
      <c r="Z768" s="75"/>
    </row>
    <row r="769" spans="1:26" x14ac:dyDescent="0.3">
      <c r="A769" s="72"/>
      <c r="B769" s="73"/>
      <c r="C769" s="70"/>
      <c r="D769" s="74"/>
      <c r="E769" s="75"/>
      <c r="F769" s="75"/>
      <c r="K769" s="72"/>
      <c r="L769" s="73"/>
      <c r="M769" s="70"/>
      <c r="N769" s="74"/>
      <c r="O769" s="75"/>
      <c r="P769" s="75"/>
      <c r="U769" s="72"/>
      <c r="V769" s="73"/>
      <c r="W769" s="70"/>
      <c r="X769" s="74"/>
      <c r="Y769" s="75"/>
      <c r="Z769" s="75"/>
    </row>
    <row r="770" spans="1:26" x14ac:dyDescent="0.3">
      <c r="A770" s="72"/>
      <c r="B770" s="73"/>
      <c r="C770" s="70"/>
      <c r="D770" s="74"/>
      <c r="E770" s="75"/>
      <c r="F770" s="75"/>
      <c r="K770" s="72"/>
      <c r="L770" s="73"/>
      <c r="M770" s="70"/>
      <c r="N770" s="74"/>
      <c r="O770" s="75"/>
      <c r="P770" s="75"/>
      <c r="U770" s="72"/>
      <c r="V770" s="73"/>
      <c r="W770" s="70"/>
      <c r="X770" s="74"/>
      <c r="Y770" s="75"/>
      <c r="Z770" s="75"/>
    </row>
    <row r="771" spans="1:26" x14ac:dyDescent="0.3">
      <c r="A771" s="72"/>
      <c r="B771" s="73"/>
      <c r="C771" s="70"/>
      <c r="D771" s="74"/>
      <c r="E771" s="75"/>
      <c r="F771" s="75"/>
      <c r="K771" s="72"/>
      <c r="L771" s="73"/>
      <c r="M771" s="70"/>
      <c r="N771" s="74"/>
      <c r="O771" s="75"/>
      <c r="P771" s="75"/>
      <c r="U771" s="72"/>
      <c r="V771" s="73"/>
      <c r="W771" s="70"/>
      <c r="X771" s="74"/>
      <c r="Y771" s="75"/>
      <c r="Z771" s="75"/>
    </row>
    <row r="772" spans="1:26" x14ac:dyDescent="0.3">
      <c r="A772" s="72"/>
      <c r="B772" s="73"/>
      <c r="C772" s="70"/>
      <c r="D772" s="74"/>
      <c r="E772" s="75"/>
      <c r="F772" s="75"/>
      <c r="K772" s="72"/>
      <c r="L772" s="73"/>
      <c r="M772" s="70"/>
      <c r="N772" s="74"/>
      <c r="O772" s="75"/>
      <c r="P772" s="75"/>
      <c r="U772" s="72"/>
      <c r="V772" s="73"/>
      <c r="W772" s="70"/>
      <c r="X772" s="74"/>
      <c r="Y772" s="75"/>
      <c r="Z772" s="75"/>
    </row>
    <row r="773" spans="1:26" x14ac:dyDescent="0.3">
      <c r="A773" s="72"/>
      <c r="B773" s="73"/>
      <c r="C773" s="70"/>
      <c r="D773" s="74"/>
      <c r="E773" s="75"/>
      <c r="F773" s="75"/>
      <c r="K773" s="72"/>
      <c r="L773" s="73"/>
      <c r="M773" s="70"/>
      <c r="N773" s="74"/>
      <c r="O773" s="75"/>
      <c r="P773" s="75"/>
      <c r="U773" s="72"/>
      <c r="V773" s="73"/>
      <c r="W773" s="70"/>
      <c r="X773" s="74"/>
      <c r="Y773" s="75"/>
      <c r="Z773" s="75"/>
    </row>
    <row r="774" spans="1:26" x14ac:dyDescent="0.3">
      <c r="A774" s="72"/>
      <c r="B774" s="73"/>
      <c r="C774" s="70"/>
      <c r="D774" s="74"/>
      <c r="E774" s="75"/>
      <c r="F774" s="75"/>
      <c r="K774" s="72"/>
      <c r="L774" s="73"/>
      <c r="M774" s="70"/>
      <c r="N774" s="74"/>
      <c r="O774" s="75"/>
      <c r="P774" s="75"/>
      <c r="U774" s="72"/>
      <c r="V774" s="73"/>
      <c r="W774" s="70"/>
      <c r="X774" s="74"/>
      <c r="Y774" s="75"/>
      <c r="Z774" s="75"/>
    </row>
    <row r="775" spans="1:26" x14ac:dyDescent="0.3">
      <c r="A775" s="72"/>
      <c r="B775" s="73"/>
      <c r="C775" s="70"/>
      <c r="D775" s="74"/>
      <c r="E775" s="75"/>
      <c r="F775" s="75"/>
      <c r="K775" s="72"/>
      <c r="L775" s="73"/>
      <c r="M775" s="70"/>
      <c r="N775" s="74"/>
      <c r="O775" s="75"/>
      <c r="P775" s="75"/>
      <c r="U775" s="72"/>
      <c r="V775" s="73"/>
      <c r="W775" s="70"/>
      <c r="X775" s="74"/>
      <c r="Y775" s="75"/>
      <c r="Z775" s="75"/>
    </row>
    <row r="776" spans="1:26" x14ac:dyDescent="0.3">
      <c r="A776" s="72"/>
      <c r="B776" s="73"/>
      <c r="C776" s="70"/>
      <c r="D776" s="74"/>
      <c r="E776" s="75"/>
      <c r="F776" s="75"/>
      <c r="K776" s="72"/>
      <c r="L776" s="73"/>
      <c r="M776" s="70"/>
      <c r="N776" s="74"/>
      <c r="O776" s="75"/>
      <c r="P776" s="75"/>
      <c r="U776" s="72"/>
      <c r="V776" s="73"/>
      <c r="W776" s="70"/>
      <c r="X776" s="74"/>
      <c r="Y776" s="75"/>
      <c r="Z776" s="75"/>
    </row>
    <row r="777" spans="1:26" x14ac:dyDescent="0.3">
      <c r="A777" s="72"/>
      <c r="B777" s="73"/>
      <c r="C777" s="70"/>
      <c r="D777" s="74"/>
      <c r="E777" s="75"/>
      <c r="F777" s="75"/>
      <c r="K777" s="72"/>
      <c r="L777" s="73"/>
      <c r="M777" s="70"/>
      <c r="N777" s="74"/>
      <c r="O777" s="75"/>
      <c r="P777" s="75"/>
      <c r="U777" s="72"/>
      <c r="V777" s="73"/>
      <c r="W777" s="70"/>
      <c r="X777" s="74"/>
      <c r="Y777" s="75"/>
      <c r="Z777" s="75"/>
    </row>
    <row r="778" spans="1:26" x14ac:dyDescent="0.3">
      <c r="A778" s="72"/>
      <c r="B778" s="73"/>
      <c r="C778" s="70"/>
      <c r="D778" s="74"/>
      <c r="E778" s="75"/>
      <c r="F778" s="75"/>
      <c r="K778" s="72"/>
      <c r="L778" s="73"/>
      <c r="M778" s="70"/>
      <c r="N778" s="74"/>
      <c r="O778" s="75"/>
      <c r="P778" s="75"/>
      <c r="U778" s="72"/>
      <c r="V778" s="73"/>
      <c r="W778" s="70"/>
      <c r="X778" s="74"/>
      <c r="Y778" s="75"/>
      <c r="Z778" s="75"/>
    </row>
    <row r="779" spans="1:26" x14ac:dyDescent="0.3">
      <c r="A779" s="72"/>
      <c r="B779" s="73"/>
      <c r="C779" s="70"/>
      <c r="D779" s="74"/>
      <c r="E779" s="75"/>
      <c r="F779" s="75"/>
      <c r="K779" s="72"/>
      <c r="L779" s="73"/>
      <c r="M779" s="70"/>
      <c r="N779" s="74"/>
      <c r="O779" s="75"/>
      <c r="P779" s="75"/>
      <c r="U779" s="72"/>
      <c r="V779" s="73"/>
      <c r="W779" s="70"/>
      <c r="X779" s="74"/>
      <c r="Y779" s="75"/>
      <c r="Z779" s="75"/>
    </row>
    <row r="780" spans="1:26" x14ac:dyDescent="0.3">
      <c r="A780" s="72"/>
      <c r="B780" s="73"/>
      <c r="C780" s="70"/>
      <c r="D780" s="74"/>
      <c r="E780" s="75"/>
      <c r="F780" s="75"/>
      <c r="K780" s="72"/>
      <c r="L780" s="73"/>
      <c r="M780" s="70"/>
      <c r="N780" s="74"/>
      <c r="O780" s="75"/>
      <c r="P780" s="75"/>
      <c r="U780" s="72"/>
      <c r="V780" s="73"/>
      <c r="W780" s="70"/>
      <c r="X780" s="74"/>
      <c r="Y780" s="75"/>
      <c r="Z780" s="75"/>
    </row>
    <row r="781" spans="1:26" x14ac:dyDescent="0.3">
      <c r="A781" s="72"/>
      <c r="B781" s="73"/>
      <c r="C781" s="70"/>
      <c r="D781" s="74"/>
      <c r="E781" s="75"/>
      <c r="F781" s="75"/>
      <c r="K781" s="72"/>
      <c r="L781" s="73"/>
      <c r="M781" s="70"/>
      <c r="N781" s="74"/>
      <c r="O781" s="75"/>
      <c r="P781" s="75"/>
      <c r="U781" s="72"/>
      <c r="V781" s="73"/>
      <c r="W781" s="70"/>
      <c r="X781" s="74"/>
      <c r="Y781" s="75"/>
      <c r="Z781" s="75"/>
    </row>
    <row r="782" spans="1:26" x14ac:dyDescent="0.3">
      <c r="A782" s="72"/>
      <c r="B782" s="73"/>
      <c r="C782" s="70"/>
      <c r="D782" s="74"/>
      <c r="E782" s="75"/>
      <c r="F782" s="75"/>
      <c r="K782" s="72"/>
      <c r="L782" s="73"/>
      <c r="M782" s="70"/>
      <c r="N782" s="74"/>
      <c r="O782" s="75"/>
      <c r="P782" s="75"/>
      <c r="U782" s="72"/>
      <c r="V782" s="73"/>
      <c r="W782" s="70"/>
      <c r="X782" s="74"/>
      <c r="Y782" s="75"/>
      <c r="Z782" s="75"/>
    </row>
    <row r="783" spans="1:26" x14ac:dyDescent="0.3">
      <c r="A783" s="72"/>
      <c r="B783" s="73"/>
      <c r="C783" s="70"/>
      <c r="D783" s="74"/>
      <c r="E783" s="75"/>
      <c r="F783" s="75"/>
      <c r="K783" s="72"/>
      <c r="L783" s="73"/>
      <c r="M783" s="70"/>
      <c r="N783" s="74"/>
      <c r="O783" s="75"/>
      <c r="P783" s="75"/>
      <c r="U783" s="72"/>
      <c r="V783" s="73"/>
      <c r="W783" s="70"/>
      <c r="X783" s="74"/>
      <c r="Y783" s="75"/>
      <c r="Z783" s="75"/>
    </row>
    <row r="784" spans="1:26" x14ac:dyDescent="0.3">
      <c r="A784" s="72"/>
      <c r="B784" s="73"/>
      <c r="C784" s="70"/>
      <c r="D784" s="74"/>
      <c r="E784" s="75"/>
      <c r="F784" s="75"/>
      <c r="K784" s="72"/>
      <c r="L784" s="73"/>
      <c r="M784" s="70"/>
      <c r="N784" s="74"/>
      <c r="O784" s="75"/>
      <c r="P784" s="75"/>
      <c r="U784" s="72"/>
      <c r="V784" s="73"/>
      <c r="W784" s="70"/>
      <c r="X784" s="74"/>
      <c r="Y784" s="75"/>
      <c r="Z784" s="75"/>
    </row>
    <row r="785" spans="1:26" x14ac:dyDescent="0.3">
      <c r="A785" s="72"/>
      <c r="B785" s="73"/>
      <c r="C785" s="70"/>
      <c r="D785" s="74"/>
      <c r="E785" s="75"/>
      <c r="F785" s="75"/>
      <c r="K785" s="72"/>
      <c r="L785" s="73"/>
      <c r="M785" s="70"/>
      <c r="N785" s="74"/>
      <c r="O785" s="75"/>
      <c r="P785" s="75"/>
      <c r="U785" s="72"/>
      <c r="V785" s="73"/>
      <c r="W785" s="70"/>
      <c r="X785" s="74"/>
      <c r="Y785" s="75"/>
      <c r="Z785" s="75"/>
    </row>
    <row r="786" spans="1:26" x14ac:dyDescent="0.3">
      <c r="A786" s="72"/>
      <c r="B786" s="73"/>
      <c r="C786" s="70"/>
      <c r="D786" s="74"/>
      <c r="E786" s="75"/>
      <c r="F786" s="75"/>
      <c r="K786" s="72"/>
      <c r="L786" s="73"/>
      <c r="M786" s="70"/>
      <c r="N786" s="74"/>
      <c r="O786" s="75"/>
      <c r="P786" s="75"/>
      <c r="U786" s="72"/>
      <c r="V786" s="73"/>
      <c r="W786" s="70"/>
      <c r="X786" s="74"/>
      <c r="Y786" s="75"/>
      <c r="Z786" s="75"/>
    </row>
    <row r="787" spans="1:26" x14ac:dyDescent="0.3">
      <c r="A787" s="72"/>
      <c r="B787" s="73"/>
      <c r="C787" s="70"/>
      <c r="D787" s="74"/>
      <c r="E787" s="75"/>
      <c r="F787" s="75"/>
      <c r="K787" s="72"/>
      <c r="L787" s="73"/>
      <c r="M787" s="70"/>
      <c r="N787" s="74"/>
      <c r="O787" s="75"/>
      <c r="P787" s="75"/>
      <c r="U787" s="72"/>
      <c r="V787" s="73"/>
      <c r="W787" s="70"/>
      <c r="X787" s="74"/>
      <c r="Y787" s="75"/>
      <c r="Z787" s="75"/>
    </row>
    <row r="788" spans="1:26" x14ac:dyDescent="0.3">
      <c r="A788" s="72"/>
      <c r="B788" s="73"/>
      <c r="C788" s="70"/>
      <c r="D788" s="74"/>
      <c r="E788" s="75"/>
      <c r="F788" s="75"/>
      <c r="K788" s="72"/>
      <c r="L788" s="73"/>
      <c r="M788" s="70"/>
      <c r="N788" s="74"/>
      <c r="O788" s="75"/>
      <c r="P788" s="75"/>
      <c r="U788" s="72"/>
      <c r="V788" s="73"/>
      <c r="W788" s="70"/>
      <c r="X788" s="74"/>
      <c r="Y788" s="75"/>
      <c r="Z788" s="75"/>
    </row>
    <row r="789" spans="1:26" x14ac:dyDescent="0.3">
      <c r="A789" s="72"/>
      <c r="B789" s="73"/>
      <c r="C789" s="70"/>
      <c r="D789" s="74"/>
      <c r="E789" s="75"/>
      <c r="F789" s="75"/>
      <c r="K789" s="72"/>
      <c r="L789" s="73"/>
      <c r="M789" s="70"/>
      <c r="N789" s="74"/>
      <c r="O789" s="75"/>
      <c r="P789" s="75"/>
      <c r="U789" s="72"/>
      <c r="V789" s="73"/>
      <c r="W789" s="70"/>
      <c r="X789" s="74"/>
      <c r="Y789" s="75"/>
      <c r="Z789" s="75"/>
    </row>
    <row r="790" spans="1:26" x14ac:dyDescent="0.3">
      <c r="A790" s="72"/>
      <c r="B790" s="73"/>
      <c r="C790" s="70"/>
      <c r="D790" s="74"/>
      <c r="E790" s="75"/>
      <c r="F790" s="75"/>
      <c r="K790" s="72"/>
      <c r="L790" s="73"/>
      <c r="M790" s="70"/>
      <c r="N790" s="74"/>
      <c r="O790" s="75"/>
      <c r="P790" s="75"/>
      <c r="U790" s="72"/>
      <c r="V790" s="73"/>
      <c r="W790" s="70"/>
      <c r="X790" s="74"/>
      <c r="Y790" s="75"/>
      <c r="Z790" s="75"/>
    </row>
    <row r="791" spans="1:26" x14ac:dyDescent="0.3">
      <c r="A791" s="72"/>
      <c r="B791" s="73"/>
      <c r="C791" s="70"/>
      <c r="D791" s="74"/>
      <c r="E791" s="75"/>
      <c r="F791" s="75"/>
      <c r="K791" s="72"/>
      <c r="L791" s="73"/>
      <c r="M791" s="70"/>
      <c r="N791" s="74"/>
      <c r="O791" s="75"/>
      <c r="P791" s="75"/>
      <c r="U791" s="72"/>
      <c r="V791" s="73"/>
      <c r="W791" s="70"/>
      <c r="X791" s="74"/>
      <c r="Y791" s="75"/>
      <c r="Z791" s="75"/>
    </row>
    <row r="792" spans="1:26" x14ac:dyDescent="0.3">
      <c r="A792" s="72"/>
      <c r="B792" s="73"/>
      <c r="C792" s="70"/>
      <c r="D792" s="74"/>
      <c r="E792" s="75"/>
      <c r="F792" s="75"/>
      <c r="K792" s="72"/>
      <c r="L792" s="73"/>
      <c r="M792" s="70"/>
      <c r="N792" s="74"/>
      <c r="O792" s="75"/>
      <c r="P792" s="75"/>
      <c r="U792" s="72"/>
      <c r="V792" s="73"/>
      <c r="W792" s="70"/>
      <c r="X792" s="74"/>
      <c r="Y792" s="75"/>
      <c r="Z792" s="75"/>
    </row>
    <row r="793" spans="1:26" x14ac:dyDescent="0.3">
      <c r="A793" s="72"/>
      <c r="B793" s="73"/>
      <c r="C793" s="70"/>
      <c r="D793" s="74"/>
      <c r="E793" s="75"/>
      <c r="F793" s="75"/>
      <c r="K793" s="72"/>
      <c r="L793" s="73"/>
      <c r="M793" s="70"/>
      <c r="N793" s="74"/>
      <c r="O793" s="75"/>
      <c r="P793" s="75"/>
      <c r="U793" s="72"/>
      <c r="V793" s="73"/>
      <c r="W793" s="70"/>
      <c r="X793" s="74"/>
      <c r="Y793" s="75"/>
      <c r="Z793" s="75"/>
    </row>
    <row r="794" spans="1:26" x14ac:dyDescent="0.3">
      <c r="A794" s="72"/>
      <c r="B794" s="73"/>
      <c r="C794" s="70"/>
      <c r="D794" s="74"/>
      <c r="E794" s="75"/>
      <c r="F794" s="75"/>
      <c r="K794" s="72"/>
      <c r="L794" s="73"/>
      <c r="M794" s="70"/>
      <c r="N794" s="74"/>
      <c r="O794" s="75"/>
      <c r="P794" s="75"/>
      <c r="U794" s="72"/>
      <c r="V794" s="73"/>
      <c r="W794" s="70"/>
      <c r="X794" s="74"/>
      <c r="Y794" s="75"/>
      <c r="Z794" s="75"/>
    </row>
    <row r="795" spans="1:26" x14ac:dyDescent="0.3">
      <c r="A795" s="72"/>
      <c r="B795" s="73"/>
      <c r="C795" s="70"/>
      <c r="D795" s="74"/>
      <c r="E795" s="75"/>
      <c r="F795" s="75"/>
      <c r="K795" s="72"/>
      <c r="L795" s="73"/>
      <c r="M795" s="70"/>
      <c r="N795" s="74"/>
      <c r="O795" s="75"/>
      <c r="P795" s="75"/>
      <c r="U795" s="72"/>
      <c r="V795" s="73"/>
      <c r="W795" s="70"/>
      <c r="X795" s="74"/>
      <c r="Y795" s="75"/>
      <c r="Z795" s="75"/>
    </row>
    <row r="796" spans="1:26" x14ac:dyDescent="0.3">
      <c r="A796" s="72"/>
      <c r="B796" s="73"/>
      <c r="C796" s="70"/>
      <c r="D796" s="74"/>
      <c r="E796" s="75"/>
      <c r="F796" s="75"/>
      <c r="K796" s="72"/>
      <c r="L796" s="73"/>
      <c r="M796" s="70"/>
      <c r="N796" s="74"/>
      <c r="O796" s="75"/>
      <c r="P796" s="75"/>
      <c r="U796" s="72"/>
      <c r="V796" s="73"/>
      <c r="W796" s="70"/>
      <c r="X796" s="74"/>
      <c r="Y796" s="75"/>
      <c r="Z796" s="75"/>
    </row>
    <row r="797" spans="1:26" x14ac:dyDescent="0.3">
      <c r="A797" s="72"/>
      <c r="B797" s="73"/>
      <c r="C797" s="70"/>
      <c r="D797" s="74"/>
      <c r="E797" s="75"/>
      <c r="F797" s="75"/>
      <c r="K797" s="72"/>
      <c r="L797" s="73"/>
      <c r="M797" s="70"/>
      <c r="N797" s="74"/>
      <c r="O797" s="75"/>
      <c r="P797" s="75"/>
      <c r="U797" s="72"/>
      <c r="V797" s="73"/>
      <c r="W797" s="70"/>
      <c r="X797" s="74"/>
      <c r="Y797" s="75"/>
      <c r="Z797" s="75"/>
    </row>
    <row r="798" spans="1:26" x14ac:dyDescent="0.3">
      <c r="A798" s="72"/>
      <c r="B798" s="73"/>
      <c r="C798" s="70"/>
      <c r="D798" s="74"/>
      <c r="E798" s="75"/>
      <c r="F798" s="75"/>
      <c r="K798" s="72"/>
      <c r="L798" s="73"/>
      <c r="M798" s="70"/>
      <c r="N798" s="74"/>
      <c r="O798" s="75"/>
      <c r="P798" s="75"/>
      <c r="U798" s="72"/>
      <c r="V798" s="73"/>
      <c r="W798" s="70"/>
      <c r="X798" s="74"/>
      <c r="Y798" s="75"/>
      <c r="Z798" s="75"/>
    </row>
    <row r="799" spans="1:26" x14ac:dyDescent="0.3">
      <c r="A799" s="72"/>
      <c r="B799" s="73"/>
      <c r="C799" s="70"/>
      <c r="D799" s="74"/>
      <c r="E799" s="75"/>
      <c r="F799" s="75"/>
      <c r="K799" s="72"/>
      <c r="L799" s="73"/>
      <c r="M799" s="70"/>
      <c r="N799" s="74"/>
      <c r="O799" s="75"/>
      <c r="P799" s="75"/>
      <c r="U799" s="72"/>
      <c r="V799" s="73"/>
      <c r="W799" s="70"/>
      <c r="X799" s="74"/>
      <c r="Y799" s="75"/>
      <c r="Z799" s="75"/>
    </row>
    <row r="800" spans="1:26" x14ac:dyDescent="0.3">
      <c r="A800" s="72"/>
      <c r="B800" s="73"/>
      <c r="C800" s="70"/>
      <c r="D800" s="74"/>
      <c r="E800" s="75"/>
      <c r="F800" s="75"/>
      <c r="K800" s="72"/>
      <c r="L800" s="73"/>
      <c r="M800" s="70"/>
      <c r="N800" s="74"/>
      <c r="O800" s="75"/>
      <c r="P800" s="75"/>
      <c r="U800" s="72"/>
      <c r="V800" s="73"/>
      <c r="W800" s="70"/>
      <c r="X800" s="74"/>
      <c r="Y800" s="75"/>
      <c r="Z800" s="75"/>
    </row>
    <row r="801" spans="1:26" x14ac:dyDescent="0.3">
      <c r="A801" s="72"/>
      <c r="B801" s="73"/>
      <c r="C801" s="70"/>
      <c r="D801" s="74"/>
      <c r="E801" s="75"/>
      <c r="F801" s="75"/>
      <c r="K801" s="72"/>
      <c r="L801" s="73"/>
      <c r="M801" s="70"/>
      <c r="N801" s="74"/>
      <c r="O801" s="75"/>
      <c r="P801" s="75"/>
      <c r="U801" s="72"/>
      <c r="V801" s="73"/>
      <c r="W801" s="70"/>
      <c r="X801" s="74"/>
      <c r="Y801" s="75"/>
      <c r="Z801" s="75"/>
    </row>
    <row r="802" spans="1:26" x14ac:dyDescent="0.3">
      <c r="A802" s="72"/>
      <c r="B802" s="73"/>
      <c r="C802" s="70"/>
      <c r="D802" s="74"/>
      <c r="E802" s="75"/>
      <c r="F802" s="75"/>
      <c r="K802" s="72"/>
      <c r="L802" s="73"/>
      <c r="M802" s="70"/>
      <c r="N802" s="74"/>
      <c r="O802" s="75"/>
      <c r="P802" s="75"/>
      <c r="U802" s="72"/>
      <c r="V802" s="73"/>
      <c r="W802" s="70"/>
      <c r="X802" s="74"/>
      <c r="Y802" s="75"/>
      <c r="Z802" s="75"/>
    </row>
    <row r="803" spans="1:26" x14ac:dyDescent="0.3">
      <c r="A803" s="72"/>
      <c r="B803" s="73"/>
      <c r="C803" s="70"/>
      <c r="D803" s="74"/>
      <c r="E803" s="75"/>
      <c r="F803" s="75"/>
      <c r="K803" s="72"/>
      <c r="L803" s="73"/>
      <c r="M803" s="70"/>
      <c r="N803" s="74"/>
      <c r="O803" s="75"/>
      <c r="P803" s="75"/>
      <c r="U803" s="72"/>
      <c r="V803" s="73"/>
      <c r="W803" s="70"/>
      <c r="X803" s="74"/>
      <c r="Y803" s="75"/>
      <c r="Z803" s="75"/>
    </row>
    <row r="804" spans="1:26" x14ac:dyDescent="0.3">
      <c r="A804" s="72"/>
      <c r="B804" s="73"/>
      <c r="C804" s="70"/>
      <c r="D804" s="74"/>
      <c r="E804" s="75"/>
      <c r="F804" s="75"/>
      <c r="K804" s="72"/>
      <c r="L804" s="73"/>
      <c r="M804" s="70"/>
      <c r="N804" s="74"/>
      <c r="O804" s="75"/>
      <c r="P804" s="75"/>
      <c r="U804" s="72"/>
      <c r="V804" s="73"/>
      <c r="W804" s="70"/>
      <c r="X804" s="74"/>
      <c r="Y804" s="75"/>
      <c r="Z804" s="75"/>
    </row>
    <row r="805" spans="1:26" x14ac:dyDescent="0.3">
      <c r="A805" s="72"/>
      <c r="B805" s="73"/>
      <c r="C805" s="70"/>
      <c r="D805" s="74"/>
      <c r="E805" s="75"/>
      <c r="F805" s="75"/>
      <c r="K805" s="72"/>
      <c r="L805" s="73"/>
      <c r="M805" s="70"/>
      <c r="N805" s="74"/>
      <c r="O805" s="75"/>
      <c r="P805" s="75"/>
      <c r="U805" s="72"/>
      <c r="V805" s="73"/>
      <c r="W805" s="70"/>
      <c r="X805" s="74"/>
      <c r="Y805" s="75"/>
      <c r="Z805" s="75"/>
    </row>
    <row r="806" spans="1:26" x14ac:dyDescent="0.3">
      <c r="A806" s="72"/>
      <c r="B806" s="73"/>
      <c r="C806" s="70"/>
      <c r="D806" s="74"/>
      <c r="E806" s="75"/>
      <c r="F806" s="75"/>
      <c r="K806" s="72"/>
      <c r="L806" s="73"/>
      <c r="M806" s="70"/>
      <c r="N806" s="74"/>
      <c r="O806" s="75"/>
      <c r="P806" s="75"/>
      <c r="U806" s="72"/>
      <c r="V806" s="73"/>
      <c r="W806" s="70"/>
      <c r="X806" s="74"/>
      <c r="Y806" s="75"/>
      <c r="Z806" s="75"/>
    </row>
    <row r="807" spans="1:26" x14ac:dyDescent="0.3">
      <c r="A807" s="72"/>
      <c r="B807" s="73"/>
      <c r="C807" s="70"/>
      <c r="D807" s="74"/>
      <c r="E807" s="75"/>
      <c r="F807" s="75"/>
      <c r="K807" s="72"/>
      <c r="L807" s="73"/>
      <c r="M807" s="70"/>
      <c r="N807" s="74"/>
      <c r="O807" s="75"/>
      <c r="P807" s="75"/>
      <c r="U807" s="72"/>
      <c r="V807" s="73"/>
      <c r="W807" s="70"/>
      <c r="X807" s="74"/>
      <c r="Y807" s="75"/>
      <c r="Z807" s="75"/>
    </row>
    <row r="808" spans="1:26" x14ac:dyDescent="0.3">
      <c r="A808" s="72"/>
      <c r="B808" s="73"/>
      <c r="C808" s="70"/>
      <c r="D808" s="74"/>
      <c r="E808" s="75"/>
      <c r="F808" s="75"/>
      <c r="K808" s="72"/>
      <c r="L808" s="73"/>
      <c r="M808" s="70"/>
      <c r="N808" s="74"/>
      <c r="O808" s="75"/>
      <c r="P808" s="75"/>
      <c r="U808" s="72"/>
      <c r="V808" s="73"/>
      <c r="W808" s="70"/>
      <c r="X808" s="74"/>
      <c r="Y808" s="75"/>
      <c r="Z808" s="75"/>
    </row>
    <row r="809" spans="1:26" x14ac:dyDescent="0.3">
      <c r="A809" s="72"/>
      <c r="B809" s="73"/>
      <c r="C809" s="70"/>
      <c r="D809" s="74"/>
      <c r="E809" s="75"/>
      <c r="F809" s="75"/>
      <c r="K809" s="72"/>
      <c r="L809" s="73"/>
      <c r="M809" s="70"/>
      <c r="N809" s="74"/>
      <c r="O809" s="75"/>
      <c r="P809" s="75"/>
      <c r="U809" s="72"/>
      <c r="V809" s="73"/>
      <c r="W809" s="70"/>
      <c r="X809" s="74"/>
      <c r="Y809" s="75"/>
      <c r="Z809" s="75"/>
    </row>
    <row r="810" spans="1:26" x14ac:dyDescent="0.3">
      <c r="A810" s="72"/>
      <c r="B810" s="73"/>
      <c r="C810" s="70"/>
      <c r="D810" s="74"/>
      <c r="E810" s="75"/>
      <c r="F810" s="75"/>
      <c r="K810" s="72"/>
      <c r="L810" s="73"/>
      <c r="M810" s="70"/>
      <c r="N810" s="74"/>
      <c r="O810" s="75"/>
      <c r="P810" s="75"/>
      <c r="U810" s="72"/>
      <c r="V810" s="73"/>
      <c r="W810" s="70"/>
      <c r="X810" s="74"/>
      <c r="Y810" s="75"/>
      <c r="Z810" s="75"/>
    </row>
    <row r="811" spans="1:26" x14ac:dyDescent="0.3">
      <c r="A811" s="72"/>
      <c r="B811" s="73"/>
      <c r="C811" s="70"/>
      <c r="D811" s="74"/>
      <c r="E811" s="75"/>
      <c r="F811" s="75"/>
      <c r="K811" s="72"/>
      <c r="L811" s="73"/>
      <c r="M811" s="70"/>
      <c r="N811" s="74"/>
      <c r="O811" s="75"/>
      <c r="P811" s="75"/>
      <c r="U811" s="72"/>
      <c r="V811" s="73"/>
      <c r="W811" s="70"/>
      <c r="X811" s="74"/>
      <c r="Y811" s="75"/>
      <c r="Z811" s="75"/>
    </row>
    <row r="812" spans="1:26" x14ac:dyDescent="0.3">
      <c r="A812" s="72"/>
      <c r="B812" s="73"/>
      <c r="C812" s="70"/>
      <c r="D812" s="74"/>
      <c r="E812" s="75"/>
      <c r="F812" s="75"/>
      <c r="K812" s="72"/>
      <c r="L812" s="73"/>
      <c r="M812" s="70"/>
      <c r="N812" s="74"/>
      <c r="O812" s="75"/>
      <c r="P812" s="75"/>
      <c r="U812" s="72"/>
      <c r="V812" s="73"/>
      <c r="W812" s="70"/>
      <c r="X812" s="74"/>
      <c r="Y812" s="75"/>
      <c r="Z812" s="75"/>
    </row>
    <row r="813" spans="1:26" x14ac:dyDescent="0.3">
      <c r="A813" s="72"/>
      <c r="B813" s="73"/>
      <c r="C813" s="70"/>
      <c r="D813" s="74"/>
      <c r="E813" s="75"/>
      <c r="F813" s="75"/>
      <c r="K813" s="72"/>
      <c r="L813" s="73"/>
      <c r="M813" s="70"/>
      <c r="N813" s="74"/>
      <c r="O813" s="75"/>
      <c r="P813" s="75"/>
      <c r="U813" s="72"/>
      <c r="V813" s="73"/>
      <c r="W813" s="70"/>
      <c r="X813" s="74"/>
      <c r="Y813" s="75"/>
      <c r="Z813" s="75"/>
    </row>
    <row r="814" spans="1:26" x14ac:dyDescent="0.3">
      <c r="A814" s="72"/>
      <c r="B814" s="73"/>
      <c r="C814" s="70"/>
      <c r="D814" s="74"/>
      <c r="E814" s="75"/>
      <c r="F814" s="75"/>
      <c r="K814" s="72"/>
      <c r="L814" s="73"/>
      <c r="M814" s="70"/>
      <c r="N814" s="74"/>
      <c r="O814" s="75"/>
      <c r="P814" s="75"/>
      <c r="U814" s="72"/>
      <c r="V814" s="73"/>
      <c r="W814" s="70"/>
      <c r="X814" s="74"/>
      <c r="Y814" s="75"/>
      <c r="Z814" s="75"/>
    </row>
    <row r="815" spans="1:26" x14ac:dyDescent="0.3">
      <c r="A815" s="72"/>
      <c r="B815" s="73"/>
      <c r="C815" s="70"/>
      <c r="D815" s="74"/>
      <c r="E815" s="75"/>
      <c r="F815" s="75"/>
      <c r="K815" s="72"/>
      <c r="L815" s="73"/>
      <c r="M815" s="70"/>
      <c r="N815" s="74"/>
      <c r="O815" s="75"/>
      <c r="P815" s="75"/>
      <c r="U815" s="72"/>
      <c r="V815" s="73"/>
      <c r="W815" s="70"/>
      <c r="X815" s="74"/>
      <c r="Y815" s="75"/>
      <c r="Z815" s="75"/>
    </row>
    <row r="816" spans="1:26" x14ac:dyDescent="0.3">
      <c r="A816" s="72"/>
      <c r="B816" s="73"/>
      <c r="C816" s="70"/>
      <c r="D816" s="74"/>
      <c r="E816" s="75"/>
      <c r="F816" s="75"/>
      <c r="K816" s="72"/>
      <c r="L816" s="73"/>
      <c r="M816" s="70"/>
      <c r="N816" s="74"/>
      <c r="O816" s="75"/>
      <c r="P816" s="75"/>
      <c r="U816" s="72"/>
      <c r="V816" s="73"/>
      <c r="W816" s="70"/>
      <c r="X816" s="74"/>
      <c r="Y816" s="75"/>
      <c r="Z816" s="75"/>
    </row>
    <row r="817" spans="1:26" x14ac:dyDescent="0.3">
      <c r="A817" s="72"/>
      <c r="B817" s="73"/>
      <c r="C817" s="70"/>
      <c r="D817" s="74"/>
      <c r="E817" s="75"/>
      <c r="F817" s="75"/>
      <c r="K817" s="72"/>
      <c r="L817" s="73"/>
      <c r="M817" s="70"/>
      <c r="N817" s="74"/>
      <c r="O817" s="75"/>
      <c r="P817" s="75"/>
      <c r="U817" s="72"/>
      <c r="V817" s="73"/>
      <c r="W817" s="70"/>
      <c r="X817" s="74"/>
      <c r="Y817" s="75"/>
      <c r="Z817" s="75"/>
    </row>
    <row r="818" spans="1:26" x14ac:dyDescent="0.3">
      <c r="A818" s="72"/>
      <c r="B818" s="73"/>
      <c r="C818" s="70"/>
      <c r="D818" s="74"/>
      <c r="E818" s="75"/>
      <c r="F818" s="75"/>
      <c r="K818" s="72"/>
      <c r="L818" s="73"/>
      <c r="M818" s="70"/>
      <c r="N818" s="74"/>
      <c r="O818" s="75"/>
      <c r="P818" s="75"/>
      <c r="U818" s="72"/>
      <c r="V818" s="73"/>
      <c r="W818" s="70"/>
      <c r="X818" s="74"/>
      <c r="Y818" s="75"/>
      <c r="Z818" s="75"/>
    </row>
    <row r="819" spans="1:26" x14ac:dyDescent="0.3">
      <c r="A819" s="72"/>
      <c r="B819" s="73"/>
      <c r="C819" s="70"/>
      <c r="D819" s="74"/>
      <c r="E819" s="75"/>
      <c r="F819" s="75"/>
      <c r="K819" s="72"/>
      <c r="L819" s="73"/>
      <c r="M819" s="70"/>
      <c r="N819" s="74"/>
      <c r="O819" s="75"/>
      <c r="P819" s="75"/>
      <c r="U819" s="72"/>
      <c r="V819" s="73"/>
      <c r="W819" s="70"/>
      <c r="X819" s="74"/>
      <c r="Y819" s="75"/>
      <c r="Z819" s="75"/>
    </row>
    <row r="820" spans="1:26" x14ac:dyDescent="0.3">
      <c r="A820" s="72"/>
      <c r="B820" s="73"/>
      <c r="C820" s="70"/>
      <c r="D820" s="74"/>
      <c r="E820" s="75"/>
      <c r="F820" s="75"/>
      <c r="K820" s="72"/>
      <c r="L820" s="73"/>
      <c r="M820" s="70"/>
      <c r="N820" s="74"/>
      <c r="O820" s="75"/>
      <c r="P820" s="75"/>
      <c r="U820" s="72"/>
      <c r="V820" s="73"/>
      <c r="W820" s="70"/>
      <c r="X820" s="74"/>
      <c r="Y820" s="75"/>
      <c r="Z820" s="75"/>
    </row>
    <row r="821" spans="1:26" x14ac:dyDescent="0.3">
      <c r="A821" s="72"/>
      <c r="B821" s="73"/>
      <c r="C821" s="70"/>
      <c r="D821" s="74"/>
      <c r="E821" s="75"/>
      <c r="F821" s="75"/>
      <c r="K821" s="72"/>
      <c r="L821" s="73"/>
      <c r="M821" s="70"/>
      <c r="N821" s="74"/>
      <c r="O821" s="75"/>
      <c r="P821" s="75"/>
      <c r="U821" s="72"/>
      <c r="V821" s="73"/>
      <c r="W821" s="70"/>
      <c r="X821" s="74"/>
      <c r="Y821" s="75"/>
      <c r="Z821" s="75"/>
    </row>
    <row r="822" spans="1:26" x14ac:dyDescent="0.3">
      <c r="A822" s="72"/>
      <c r="B822" s="73"/>
      <c r="C822" s="70"/>
      <c r="D822" s="74"/>
      <c r="E822" s="75"/>
      <c r="F822" s="75"/>
      <c r="K822" s="72"/>
      <c r="L822" s="73"/>
      <c r="M822" s="70"/>
      <c r="N822" s="74"/>
      <c r="O822" s="75"/>
      <c r="P822" s="75"/>
      <c r="U822" s="72"/>
      <c r="V822" s="73"/>
      <c r="W822" s="70"/>
      <c r="X822" s="74"/>
      <c r="Y822" s="75"/>
      <c r="Z822" s="75"/>
    </row>
    <row r="823" spans="1:26" x14ac:dyDescent="0.3">
      <c r="A823" s="72"/>
      <c r="B823" s="73"/>
      <c r="C823" s="70"/>
      <c r="D823" s="74"/>
      <c r="E823" s="75"/>
      <c r="F823" s="75"/>
      <c r="K823" s="72"/>
      <c r="L823" s="73"/>
      <c r="M823" s="70"/>
      <c r="N823" s="74"/>
      <c r="O823" s="75"/>
      <c r="P823" s="75"/>
      <c r="U823" s="72"/>
      <c r="V823" s="73"/>
      <c r="W823" s="70"/>
      <c r="X823" s="74"/>
      <c r="Y823" s="75"/>
      <c r="Z823" s="75"/>
    </row>
    <row r="824" spans="1:26" x14ac:dyDescent="0.3">
      <c r="A824" s="72"/>
      <c r="B824" s="73"/>
      <c r="C824" s="70"/>
      <c r="D824" s="74"/>
      <c r="E824" s="75"/>
      <c r="F824" s="75"/>
      <c r="K824" s="72"/>
      <c r="L824" s="73"/>
      <c r="M824" s="70"/>
      <c r="N824" s="74"/>
      <c r="O824" s="75"/>
      <c r="P824" s="75"/>
      <c r="U824" s="72"/>
      <c r="V824" s="73"/>
      <c r="W824" s="70"/>
      <c r="X824" s="74"/>
      <c r="Y824" s="75"/>
      <c r="Z824" s="75"/>
    </row>
    <row r="825" spans="1:26" x14ac:dyDescent="0.3">
      <c r="A825" s="72"/>
      <c r="B825" s="73"/>
      <c r="C825" s="70"/>
      <c r="D825" s="74"/>
      <c r="E825" s="75"/>
      <c r="F825" s="75"/>
      <c r="K825" s="72"/>
      <c r="L825" s="73"/>
      <c r="M825" s="70"/>
      <c r="N825" s="74"/>
      <c r="O825" s="75"/>
      <c r="P825" s="75"/>
      <c r="U825" s="72"/>
      <c r="V825" s="73"/>
      <c r="W825" s="70"/>
      <c r="X825" s="74"/>
      <c r="Y825" s="75"/>
      <c r="Z825" s="75"/>
    </row>
    <row r="826" spans="1:26" x14ac:dyDescent="0.3">
      <c r="A826" s="72"/>
      <c r="B826" s="73"/>
      <c r="C826" s="70"/>
      <c r="D826" s="74"/>
      <c r="E826" s="75"/>
      <c r="F826" s="75"/>
      <c r="K826" s="72"/>
      <c r="L826" s="73"/>
      <c r="M826" s="70"/>
      <c r="N826" s="74"/>
      <c r="O826" s="75"/>
      <c r="P826" s="75"/>
      <c r="U826" s="72"/>
      <c r="V826" s="73"/>
      <c r="W826" s="70"/>
      <c r="X826" s="74"/>
      <c r="Y826" s="75"/>
      <c r="Z826" s="75"/>
    </row>
    <row r="827" spans="1:26" x14ac:dyDescent="0.3">
      <c r="A827" s="72"/>
      <c r="B827" s="73"/>
      <c r="C827" s="70"/>
      <c r="D827" s="74"/>
      <c r="E827" s="75"/>
      <c r="F827" s="75"/>
      <c r="K827" s="72"/>
      <c r="L827" s="73"/>
      <c r="M827" s="70"/>
      <c r="N827" s="74"/>
      <c r="O827" s="75"/>
      <c r="P827" s="75"/>
      <c r="U827" s="72"/>
      <c r="V827" s="73"/>
      <c r="W827" s="70"/>
      <c r="X827" s="74"/>
      <c r="Y827" s="75"/>
      <c r="Z827" s="75"/>
    </row>
    <row r="828" spans="1:26" x14ac:dyDescent="0.3">
      <c r="A828" s="72"/>
      <c r="B828" s="73"/>
      <c r="C828" s="70"/>
      <c r="D828" s="74"/>
      <c r="E828" s="75"/>
      <c r="F828" s="75"/>
      <c r="K828" s="72"/>
      <c r="L828" s="73"/>
      <c r="M828" s="70"/>
      <c r="N828" s="74"/>
      <c r="O828" s="75"/>
      <c r="P828" s="75"/>
      <c r="U828" s="72"/>
      <c r="V828" s="73"/>
      <c r="W828" s="70"/>
      <c r="X828" s="74"/>
      <c r="Y828" s="75"/>
      <c r="Z828" s="75"/>
    </row>
    <row r="829" spans="1:26" x14ac:dyDescent="0.3">
      <c r="A829" s="72"/>
      <c r="B829" s="73"/>
      <c r="C829" s="70"/>
      <c r="D829" s="74"/>
      <c r="E829" s="75"/>
      <c r="F829" s="75"/>
      <c r="K829" s="72"/>
      <c r="L829" s="73"/>
      <c r="M829" s="70"/>
      <c r="N829" s="74"/>
      <c r="O829" s="75"/>
      <c r="P829" s="75"/>
      <c r="U829" s="72"/>
      <c r="V829" s="73"/>
      <c r="W829" s="70"/>
      <c r="X829" s="74"/>
      <c r="Y829" s="75"/>
      <c r="Z829" s="75"/>
    </row>
    <row r="830" spans="1:26" x14ac:dyDescent="0.3">
      <c r="A830" s="72"/>
      <c r="B830" s="73"/>
      <c r="C830" s="70"/>
      <c r="D830" s="74"/>
      <c r="E830" s="75"/>
      <c r="F830" s="75"/>
      <c r="K830" s="72"/>
      <c r="L830" s="73"/>
      <c r="M830" s="70"/>
      <c r="N830" s="74"/>
      <c r="O830" s="75"/>
      <c r="P830" s="75"/>
      <c r="U830" s="72"/>
      <c r="V830" s="73"/>
      <c r="W830" s="70"/>
      <c r="X830" s="74"/>
      <c r="Y830" s="75"/>
      <c r="Z830" s="75"/>
    </row>
    <row r="831" spans="1:26" x14ac:dyDescent="0.3">
      <c r="A831" s="72"/>
      <c r="B831" s="73"/>
      <c r="C831" s="70"/>
      <c r="D831" s="74"/>
      <c r="E831" s="75"/>
      <c r="F831" s="75"/>
      <c r="K831" s="72"/>
      <c r="L831" s="73"/>
      <c r="M831" s="70"/>
      <c r="N831" s="74"/>
      <c r="O831" s="75"/>
      <c r="P831" s="75"/>
      <c r="U831" s="72"/>
      <c r="V831" s="73"/>
      <c r="W831" s="70"/>
      <c r="X831" s="74"/>
      <c r="Y831" s="75"/>
      <c r="Z831" s="75"/>
    </row>
    <row r="832" spans="1:26" x14ac:dyDescent="0.3">
      <c r="A832" s="72"/>
      <c r="B832" s="73"/>
      <c r="C832" s="70"/>
      <c r="D832" s="74"/>
      <c r="E832" s="75"/>
      <c r="F832" s="75"/>
      <c r="K832" s="72"/>
      <c r="L832" s="73"/>
      <c r="M832" s="70"/>
      <c r="N832" s="74"/>
      <c r="O832" s="75"/>
      <c r="P832" s="75"/>
      <c r="U832" s="72"/>
      <c r="V832" s="73"/>
      <c r="W832" s="70"/>
      <c r="X832" s="74"/>
      <c r="Y832" s="75"/>
      <c r="Z832" s="75"/>
    </row>
    <row r="833" spans="1:26" x14ac:dyDescent="0.3">
      <c r="A833" s="72"/>
      <c r="B833" s="73"/>
      <c r="C833" s="70"/>
      <c r="D833" s="74"/>
      <c r="E833" s="75"/>
      <c r="F833" s="75"/>
      <c r="K833" s="72"/>
      <c r="L833" s="73"/>
      <c r="M833" s="70"/>
      <c r="N833" s="74"/>
      <c r="O833" s="75"/>
      <c r="P833" s="75"/>
      <c r="U833" s="72"/>
      <c r="V833" s="73"/>
      <c r="W833" s="70"/>
      <c r="X833" s="74"/>
      <c r="Y833" s="75"/>
      <c r="Z833" s="75"/>
    </row>
    <row r="834" spans="1:26" x14ac:dyDescent="0.3">
      <c r="A834" s="72"/>
      <c r="B834" s="73"/>
      <c r="C834" s="70"/>
      <c r="D834" s="74"/>
      <c r="E834" s="75"/>
      <c r="F834" s="75"/>
      <c r="K834" s="72"/>
      <c r="L834" s="73"/>
      <c r="M834" s="70"/>
      <c r="N834" s="74"/>
      <c r="O834" s="75"/>
      <c r="P834" s="75"/>
      <c r="U834" s="72"/>
      <c r="V834" s="73"/>
      <c r="W834" s="70"/>
      <c r="X834" s="74"/>
      <c r="Y834" s="75"/>
      <c r="Z834" s="75"/>
    </row>
    <row r="835" spans="1:26" x14ac:dyDescent="0.3">
      <c r="A835" s="72"/>
      <c r="B835" s="73"/>
      <c r="C835" s="70"/>
      <c r="D835" s="74"/>
      <c r="E835" s="75"/>
      <c r="F835" s="75"/>
      <c r="K835" s="72"/>
      <c r="L835" s="73"/>
      <c r="M835" s="70"/>
      <c r="N835" s="74"/>
      <c r="O835" s="75"/>
      <c r="P835" s="75"/>
      <c r="U835" s="72"/>
      <c r="V835" s="73"/>
      <c r="W835" s="70"/>
      <c r="X835" s="74"/>
      <c r="Y835" s="75"/>
      <c r="Z835" s="75"/>
    </row>
    <row r="836" spans="1:26" x14ac:dyDescent="0.3">
      <c r="A836" s="72"/>
      <c r="B836" s="73"/>
      <c r="C836" s="70"/>
      <c r="D836" s="74"/>
      <c r="E836" s="75"/>
      <c r="F836" s="75"/>
      <c r="K836" s="72"/>
      <c r="L836" s="73"/>
      <c r="M836" s="70"/>
      <c r="N836" s="74"/>
      <c r="O836" s="75"/>
      <c r="P836" s="75"/>
      <c r="U836" s="72"/>
      <c r="V836" s="73"/>
      <c r="W836" s="70"/>
      <c r="X836" s="74"/>
      <c r="Y836" s="75"/>
      <c r="Z836" s="75"/>
    </row>
    <row r="837" spans="1:26" x14ac:dyDescent="0.3">
      <c r="A837" s="72"/>
      <c r="B837" s="73"/>
      <c r="C837" s="70"/>
      <c r="D837" s="74"/>
      <c r="E837" s="75"/>
      <c r="F837" s="75"/>
      <c r="K837" s="72"/>
      <c r="L837" s="73"/>
      <c r="M837" s="70"/>
      <c r="N837" s="74"/>
      <c r="O837" s="75"/>
      <c r="P837" s="75"/>
      <c r="U837" s="72"/>
      <c r="V837" s="73"/>
      <c r="W837" s="70"/>
      <c r="X837" s="74"/>
      <c r="Y837" s="75"/>
      <c r="Z837" s="75"/>
    </row>
    <row r="838" spans="1:26" x14ac:dyDescent="0.3">
      <c r="A838" s="72"/>
      <c r="B838" s="73"/>
      <c r="C838" s="70"/>
      <c r="D838" s="74"/>
      <c r="E838" s="75"/>
      <c r="F838" s="75"/>
      <c r="K838" s="72"/>
      <c r="L838" s="73"/>
      <c r="M838" s="70"/>
      <c r="N838" s="74"/>
      <c r="O838" s="75"/>
      <c r="P838" s="75"/>
      <c r="U838" s="72"/>
      <c r="V838" s="73"/>
      <c r="W838" s="70"/>
      <c r="X838" s="74"/>
      <c r="Y838" s="75"/>
      <c r="Z838" s="75"/>
    </row>
    <row r="839" spans="1:26" x14ac:dyDescent="0.3">
      <c r="A839" s="72"/>
      <c r="B839" s="73"/>
      <c r="C839" s="70"/>
      <c r="D839" s="74"/>
      <c r="E839" s="75"/>
      <c r="F839" s="75"/>
      <c r="K839" s="72"/>
      <c r="L839" s="73"/>
      <c r="M839" s="70"/>
      <c r="N839" s="74"/>
      <c r="O839" s="75"/>
      <c r="P839" s="75"/>
      <c r="U839" s="72"/>
      <c r="V839" s="73"/>
      <c r="W839" s="70"/>
      <c r="X839" s="74"/>
      <c r="Y839" s="75"/>
      <c r="Z839" s="75"/>
    </row>
    <row r="840" spans="1:26" x14ac:dyDescent="0.3">
      <c r="A840" s="72"/>
      <c r="B840" s="73"/>
      <c r="C840" s="70"/>
      <c r="D840" s="74"/>
      <c r="E840" s="75"/>
      <c r="F840" s="75"/>
      <c r="K840" s="72"/>
      <c r="L840" s="73"/>
      <c r="M840" s="70"/>
      <c r="N840" s="74"/>
      <c r="O840" s="75"/>
      <c r="P840" s="75"/>
      <c r="U840" s="72"/>
      <c r="V840" s="73"/>
      <c r="W840" s="70"/>
      <c r="X840" s="74"/>
      <c r="Y840" s="75"/>
      <c r="Z840" s="75"/>
    </row>
    <row r="841" spans="1:26" x14ac:dyDescent="0.3">
      <c r="A841" s="72"/>
      <c r="B841" s="73"/>
      <c r="C841" s="70"/>
      <c r="D841" s="74"/>
      <c r="E841" s="75"/>
      <c r="F841" s="75"/>
      <c r="K841" s="72"/>
      <c r="L841" s="73"/>
      <c r="M841" s="70"/>
      <c r="N841" s="74"/>
      <c r="O841" s="75"/>
      <c r="P841" s="75"/>
      <c r="U841" s="72"/>
      <c r="V841" s="73"/>
      <c r="W841" s="70"/>
      <c r="X841" s="74"/>
      <c r="Y841" s="75"/>
      <c r="Z841" s="75"/>
    </row>
    <row r="842" spans="1:26" x14ac:dyDescent="0.3">
      <c r="A842" s="72"/>
      <c r="B842" s="73"/>
      <c r="C842" s="70"/>
      <c r="D842" s="74"/>
      <c r="E842" s="75"/>
      <c r="F842" s="75"/>
      <c r="K842" s="72"/>
      <c r="L842" s="73"/>
      <c r="M842" s="70"/>
      <c r="N842" s="74"/>
      <c r="O842" s="75"/>
      <c r="P842" s="75"/>
      <c r="U842" s="72"/>
      <c r="V842" s="73"/>
      <c r="W842" s="70"/>
      <c r="X842" s="74"/>
      <c r="Y842" s="75"/>
      <c r="Z842" s="75"/>
    </row>
    <row r="843" spans="1:26" x14ac:dyDescent="0.3">
      <c r="A843" s="72"/>
      <c r="B843" s="73"/>
      <c r="C843" s="70"/>
      <c r="D843" s="74"/>
      <c r="E843" s="75"/>
      <c r="F843" s="75"/>
      <c r="K843" s="72"/>
      <c r="L843" s="73"/>
      <c r="M843" s="70"/>
      <c r="N843" s="74"/>
      <c r="O843" s="75"/>
      <c r="P843" s="75"/>
      <c r="U843" s="72"/>
      <c r="V843" s="73"/>
      <c r="W843" s="70"/>
      <c r="X843" s="74"/>
      <c r="Y843" s="75"/>
      <c r="Z843" s="75"/>
    </row>
    <row r="844" spans="1:26" x14ac:dyDescent="0.3">
      <c r="A844" s="72"/>
      <c r="B844" s="73"/>
      <c r="C844" s="70"/>
      <c r="D844" s="74"/>
      <c r="E844" s="75"/>
      <c r="F844" s="75"/>
      <c r="K844" s="72"/>
      <c r="L844" s="73"/>
      <c r="M844" s="70"/>
      <c r="N844" s="74"/>
      <c r="O844" s="75"/>
      <c r="P844" s="75"/>
      <c r="U844" s="72"/>
      <c r="V844" s="73"/>
      <c r="W844" s="70"/>
      <c r="X844" s="74"/>
      <c r="Y844" s="75"/>
      <c r="Z844" s="75"/>
    </row>
    <row r="845" spans="1:26" x14ac:dyDescent="0.3">
      <c r="A845" s="72"/>
      <c r="B845" s="73"/>
      <c r="C845" s="70"/>
      <c r="D845" s="74"/>
      <c r="E845" s="75"/>
      <c r="F845" s="75"/>
      <c r="K845" s="72"/>
      <c r="L845" s="73"/>
      <c r="M845" s="70"/>
      <c r="N845" s="74"/>
      <c r="O845" s="75"/>
      <c r="P845" s="75"/>
      <c r="U845" s="72"/>
      <c r="V845" s="73"/>
      <c r="W845" s="70"/>
      <c r="X845" s="74"/>
      <c r="Y845" s="75"/>
      <c r="Z845" s="75"/>
    </row>
    <row r="846" spans="1:26" x14ac:dyDescent="0.3">
      <c r="A846" s="72"/>
      <c r="B846" s="73"/>
      <c r="C846" s="70"/>
      <c r="D846" s="74"/>
      <c r="E846" s="75"/>
      <c r="F846" s="75"/>
      <c r="K846" s="72"/>
      <c r="L846" s="73"/>
      <c r="M846" s="70"/>
      <c r="N846" s="74"/>
      <c r="O846" s="75"/>
      <c r="P846" s="75"/>
      <c r="U846" s="72"/>
      <c r="V846" s="73"/>
      <c r="W846" s="70"/>
      <c r="X846" s="74"/>
      <c r="Y846" s="75"/>
      <c r="Z846" s="75"/>
    </row>
    <row r="847" spans="1:26" x14ac:dyDescent="0.3">
      <c r="A847" s="72"/>
      <c r="B847" s="73"/>
      <c r="C847" s="70"/>
      <c r="D847" s="74"/>
      <c r="E847" s="75"/>
      <c r="F847" s="75"/>
      <c r="K847" s="72"/>
      <c r="L847" s="73"/>
      <c r="M847" s="70"/>
      <c r="N847" s="74"/>
      <c r="O847" s="75"/>
      <c r="P847" s="75"/>
      <c r="U847" s="72"/>
      <c r="V847" s="73"/>
      <c r="W847" s="70"/>
      <c r="X847" s="74"/>
      <c r="Y847" s="75"/>
      <c r="Z847" s="75"/>
    </row>
    <row r="848" spans="1:26" x14ac:dyDescent="0.3">
      <c r="A848" s="72"/>
      <c r="B848" s="73"/>
      <c r="C848" s="70"/>
      <c r="D848" s="74"/>
      <c r="E848" s="75"/>
      <c r="F848" s="75"/>
      <c r="K848" s="72"/>
      <c r="L848" s="73"/>
      <c r="M848" s="70"/>
      <c r="N848" s="74"/>
      <c r="O848" s="75"/>
      <c r="P848" s="75"/>
      <c r="U848" s="72"/>
      <c r="V848" s="73"/>
      <c r="W848" s="70"/>
      <c r="X848" s="74"/>
      <c r="Y848" s="75"/>
      <c r="Z848" s="75"/>
    </row>
    <row r="849" spans="1:26" x14ac:dyDescent="0.3">
      <c r="A849" s="72"/>
      <c r="B849" s="73"/>
      <c r="C849" s="70"/>
      <c r="D849" s="74"/>
      <c r="E849" s="75"/>
      <c r="F849" s="75"/>
      <c r="K849" s="72"/>
      <c r="L849" s="73"/>
      <c r="M849" s="70"/>
      <c r="N849" s="74"/>
      <c r="O849" s="75"/>
      <c r="P849" s="75"/>
      <c r="U849" s="72"/>
      <c r="V849" s="73"/>
      <c r="W849" s="70"/>
      <c r="X849" s="74"/>
      <c r="Y849" s="75"/>
      <c r="Z849" s="75"/>
    </row>
    <row r="850" spans="1:26" x14ac:dyDescent="0.3">
      <c r="A850" s="72"/>
      <c r="B850" s="73"/>
      <c r="C850" s="70"/>
      <c r="D850" s="74"/>
      <c r="E850" s="75"/>
      <c r="F850" s="75"/>
      <c r="K850" s="72"/>
      <c r="L850" s="73"/>
      <c r="M850" s="70"/>
      <c r="N850" s="74"/>
      <c r="O850" s="75"/>
      <c r="P850" s="75"/>
      <c r="U850" s="72"/>
      <c r="V850" s="73"/>
      <c r="W850" s="70"/>
      <c r="X850" s="74"/>
      <c r="Y850" s="75"/>
      <c r="Z850" s="75"/>
    </row>
    <row r="851" spans="1:26" x14ac:dyDescent="0.3">
      <c r="A851" s="72"/>
      <c r="B851" s="73"/>
      <c r="C851" s="70"/>
      <c r="D851" s="74"/>
      <c r="E851" s="75"/>
      <c r="F851" s="75"/>
      <c r="K851" s="72"/>
      <c r="L851" s="73"/>
      <c r="M851" s="70"/>
      <c r="N851" s="74"/>
      <c r="O851" s="75"/>
      <c r="P851" s="75"/>
      <c r="U851" s="72"/>
      <c r="V851" s="73"/>
      <c r="W851" s="70"/>
      <c r="X851" s="74"/>
      <c r="Y851" s="75"/>
      <c r="Z851" s="75"/>
    </row>
    <row r="852" spans="1:26" x14ac:dyDescent="0.3">
      <c r="A852" s="72"/>
      <c r="B852" s="73"/>
      <c r="C852" s="70"/>
      <c r="D852" s="74"/>
      <c r="E852" s="75"/>
      <c r="F852" s="75"/>
      <c r="K852" s="72"/>
      <c r="L852" s="73"/>
      <c r="M852" s="70"/>
      <c r="N852" s="74"/>
      <c r="O852" s="75"/>
      <c r="P852" s="75"/>
      <c r="U852" s="72"/>
      <c r="V852" s="73"/>
      <c r="W852" s="70"/>
      <c r="X852" s="74"/>
      <c r="Y852" s="75"/>
      <c r="Z852" s="75"/>
    </row>
    <row r="853" spans="1:26" x14ac:dyDescent="0.3">
      <c r="A853" s="72"/>
      <c r="B853" s="73"/>
      <c r="C853" s="70"/>
      <c r="D853" s="74"/>
      <c r="E853" s="75"/>
      <c r="F853" s="75"/>
      <c r="K853" s="72"/>
      <c r="L853" s="73"/>
      <c r="M853" s="70"/>
      <c r="N853" s="74"/>
      <c r="O853" s="75"/>
      <c r="P853" s="75"/>
      <c r="U853" s="72"/>
      <c r="V853" s="73"/>
      <c r="W853" s="70"/>
      <c r="X853" s="74"/>
      <c r="Y853" s="75"/>
      <c r="Z853" s="75"/>
    </row>
    <row r="854" spans="1:26" x14ac:dyDescent="0.3">
      <c r="A854" s="72"/>
      <c r="B854" s="73"/>
      <c r="C854" s="70"/>
      <c r="D854" s="74"/>
      <c r="E854" s="75"/>
      <c r="F854" s="75"/>
      <c r="K854" s="72"/>
      <c r="L854" s="73"/>
      <c r="M854" s="70"/>
      <c r="N854" s="74"/>
      <c r="O854" s="75"/>
      <c r="P854" s="75"/>
      <c r="U854" s="72"/>
      <c r="V854" s="73"/>
      <c r="W854" s="70"/>
      <c r="X854" s="74"/>
      <c r="Y854" s="75"/>
      <c r="Z854" s="75"/>
    </row>
    <row r="855" spans="1:26" x14ac:dyDescent="0.3">
      <c r="A855" s="72"/>
      <c r="B855" s="73"/>
      <c r="C855" s="70"/>
      <c r="D855" s="74"/>
      <c r="E855" s="75"/>
      <c r="F855" s="75"/>
      <c r="K855" s="72"/>
      <c r="L855" s="73"/>
      <c r="M855" s="70"/>
      <c r="N855" s="74"/>
      <c r="O855" s="75"/>
      <c r="P855" s="75"/>
      <c r="U855" s="72"/>
      <c r="V855" s="73"/>
      <c r="W855" s="70"/>
      <c r="X855" s="74"/>
      <c r="Y855" s="75"/>
      <c r="Z855" s="75"/>
    </row>
    <row r="856" spans="1:26" x14ac:dyDescent="0.3">
      <c r="A856" s="72"/>
      <c r="B856" s="73"/>
      <c r="C856" s="70"/>
      <c r="D856" s="74"/>
      <c r="E856" s="75"/>
      <c r="F856" s="75"/>
      <c r="K856" s="72"/>
      <c r="L856" s="73"/>
      <c r="M856" s="70"/>
      <c r="N856" s="74"/>
      <c r="O856" s="75"/>
      <c r="P856" s="75"/>
      <c r="U856" s="72"/>
      <c r="V856" s="73"/>
      <c r="W856" s="70"/>
      <c r="X856" s="74"/>
      <c r="Y856" s="75"/>
      <c r="Z856" s="75"/>
    </row>
    <row r="857" spans="1:26" x14ac:dyDescent="0.3">
      <c r="A857" s="72"/>
      <c r="B857" s="73"/>
      <c r="C857" s="70"/>
      <c r="D857" s="74"/>
      <c r="E857" s="75"/>
      <c r="F857" s="75"/>
      <c r="K857" s="72"/>
      <c r="L857" s="73"/>
      <c r="M857" s="70"/>
      <c r="N857" s="74"/>
      <c r="O857" s="75"/>
      <c r="P857" s="75"/>
      <c r="U857" s="72"/>
      <c r="V857" s="73"/>
      <c r="W857" s="70"/>
      <c r="X857" s="74"/>
      <c r="Y857" s="75"/>
      <c r="Z857" s="75"/>
    </row>
    <row r="858" spans="1:26" x14ac:dyDescent="0.3">
      <c r="A858" s="72"/>
      <c r="B858" s="73"/>
      <c r="C858" s="70"/>
      <c r="D858" s="74"/>
      <c r="E858" s="75"/>
      <c r="F858" s="75"/>
      <c r="K858" s="72"/>
      <c r="L858" s="73"/>
      <c r="M858" s="70"/>
      <c r="N858" s="74"/>
      <c r="O858" s="75"/>
      <c r="P858" s="75"/>
      <c r="U858" s="72"/>
      <c r="V858" s="73"/>
      <c r="W858" s="70"/>
      <c r="X858" s="74"/>
      <c r="Y858" s="75"/>
      <c r="Z858" s="75"/>
    </row>
    <row r="859" spans="1:26" x14ac:dyDescent="0.3">
      <c r="A859" s="72"/>
      <c r="B859" s="73"/>
      <c r="C859" s="70"/>
      <c r="D859" s="74"/>
      <c r="E859" s="75"/>
      <c r="F859" s="75"/>
      <c r="K859" s="72"/>
      <c r="L859" s="73"/>
      <c r="M859" s="70"/>
      <c r="N859" s="74"/>
      <c r="O859" s="75"/>
      <c r="P859" s="75"/>
      <c r="U859" s="72"/>
      <c r="V859" s="73"/>
      <c r="W859" s="70"/>
      <c r="X859" s="74"/>
      <c r="Y859" s="75"/>
      <c r="Z859" s="75"/>
    </row>
    <row r="860" spans="1:26" x14ac:dyDescent="0.3">
      <c r="A860" s="72"/>
      <c r="B860" s="73"/>
      <c r="C860" s="70"/>
      <c r="D860" s="74"/>
      <c r="E860" s="75"/>
      <c r="F860" s="75"/>
      <c r="K860" s="72"/>
      <c r="L860" s="73"/>
      <c r="M860" s="70"/>
      <c r="N860" s="74"/>
      <c r="O860" s="75"/>
      <c r="P860" s="75"/>
      <c r="U860" s="72"/>
      <c r="V860" s="73"/>
      <c r="W860" s="70"/>
      <c r="X860" s="74"/>
      <c r="Y860" s="75"/>
      <c r="Z860" s="75"/>
    </row>
    <row r="861" spans="1:26" x14ac:dyDescent="0.3">
      <c r="A861" s="72"/>
      <c r="B861" s="73"/>
      <c r="C861" s="70"/>
      <c r="D861" s="74"/>
      <c r="E861" s="75"/>
      <c r="F861" s="75"/>
      <c r="K861" s="72"/>
      <c r="L861" s="73"/>
      <c r="M861" s="70"/>
      <c r="N861" s="74"/>
      <c r="O861" s="75"/>
      <c r="P861" s="75"/>
      <c r="U861" s="72"/>
      <c r="V861" s="73"/>
      <c r="W861" s="70"/>
      <c r="X861" s="74"/>
      <c r="Y861" s="75"/>
      <c r="Z861" s="75"/>
    </row>
    <row r="862" spans="1:26" x14ac:dyDescent="0.3">
      <c r="A862" s="72"/>
      <c r="B862" s="73"/>
      <c r="C862" s="70"/>
      <c r="D862" s="74"/>
      <c r="E862" s="75"/>
      <c r="F862" s="75"/>
      <c r="K862" s="72"/>
      <c r="L862" s="73"/>
      <c r="M862" s="70"/>
      <c r="N862" s="74"/>
      <c r="O862" s="75"/>
      <c r="P862" s="75"/>
      <c r="U862" s="72"/>
      <c r="V862" s="73"/>
      <c r="W862" s="70"/>
      <c r="X862" s="74"/>
      <c r="Y862" s="75"/>
      <c r="Z862" s="75"/>
    </row>
    <row r="863" spans="1:26" x14ac:dyDescent="0.3">
      <c r="A863" s="72"/>
      <c r="B863" s="73"/>
      <c r="C863" s="70"/>
      <c r="D863" s="74"/>
      <c r="E863" s="75"/>
      <c r="F863" s="75"/>
      <c r="K863" s="72"/>
      <c r="L863" s="73"/>
      <c r="M863" s="70"/>
      <c r="N863" s="74"/>
      <c r="O863" s="75"/>
      <c r="P863" s="75"/>
      <c r="U863" s="72"/>
      <c r="V863" s="73"/>
      <c r="W863" s="70"/>
      <c r="X863" s="74"/>
      <c r="Y863" s="75"/>
      <c r="Z863" s="75"/>
    </row>
    <row r="864" spans="1:26" x14ac:dyDescent="0.3">
      <c r="A864" s="72"/>
      <c r="B864" s="73"/>
      <c r="C864" s="70"/>
      <c r="D864" s="74"/>
      <c r="E864" s="75"/>
      <c r="F864" s="75"/>
      <c r="K864" s="72"/>
      <c r="L864" s="73"/>
      <c r="M864" s="70"/>
      <c r="N864" s="74"/>
      <c r="O864" s="75"/>
      <c r="P864" s="75"/>
      <c r="U864" s="72"/>
      <c r="V864" s="73"/>
      <c r="W864" s="70"/>
      <c r="X864" s="74"/>
      <c r="Y864" s="75"/>
      <c r="Z864" s="75"/>
    </row>
    <row r="865" spans="1:26" x14ac:dyDescent="0.3">
      <c r="A865" s="72"/>
      <c r="B865" s="73"/>
      <c r="C865" s="70"/>
      <c r="D865" s="74"/>
      <c r="E865" s="75"/>
      <c r="F865" s="75"/>
      <c r="K865" s="72"/>
      <c r="L865" s="73"/>
      <c r="M865" s="70"/>
      <c r="N865" s="74"/>
      <c r="O865" s="75"/>
      <c r="P865" s="75"/>
      <c r="U865" s="72"/>
      <c r="V865" s="73"/>
      <c r="W865" s="70"/>
      <c r="X865" s="74"/>
      <c r="Y865" s="75"/>
      <c r="Z865" s="75"/>
    </row>
    <row r="866" spans="1:26" x14ac:dyDescent="0.3">
      <c r="A866" s="72"/>
      <c r="B866" s="73"/>
      <c r="C866" s="70"/>
      <c r="D866" s="74"/>
      <c r="E866" s="75"/>
      <c r="F866" s="75"/>
      <c r="K866" s="72"/>
      <c r="L866" s="73"/>
      <c r="M866" s="70"/>
      <c r="N866" s="74"/>
      <c r="O866" s="75"/>
      <c r="P866" s="75"/>
      <c r="U866" s="72"/>
      <c r="V866" s="73"/>
      <c r="W866" s="70"/>
      <c r="X866" s="74"/>
      <c r="Y866" s="75"/>
      <c r="Z866" s="75"/>
    </row>
    <row r="867" spans="1:26" x14ac:dyDescent="0.3">
      <c r="A867" s="72"/>
      <c r="B867" s="73"/>
      <c r="C867" s="70"/>
      <c r="D867" s="74"/>
      <c r="E867" s="75"/>
      <c r="F867" s="75"/>
      <c r="K867" s="72"/>
      <c r="L867" s="73"/>
      <c r="M867" s="70"/>
      <c r="N867" s="74"/>
      <c r="O867" s="75"/>
      <c r="P867" s="75"/>
      <c r="U867" s="72"/>
      <c r="V867" s="73"/>
      <c r="W867" s="70"/>
      <c r="X867" s="74"/>
      <c r="Y867" s="75"/>
      <c r="Z867" s="75"/>
    </row>
    <row r="868" spans="1:26" x14ac:dyDescent="0.3">
      <c r="A868" s="72"/>
      <c r="B868" s="73"/>
      <c r="C868" s="70"/>
      <c r="D868" s="74"/>
      <c r="E868" s="75"/>
      <c r="F868" s="75"/>
      <c r="K868" s="72"/>
      <c r="L868" s="73"/>
      <c r="M868" s="70"/>
      <c r="N868" s="74"/>
      <c r="O868" s="75"/>
      <c r="P868" s="75"/>
      <c r="U868" s="72"/>
      <c r="V868" s="73"/>
      <c r="W868" s="70"/>
      <c r="X868" s="74"/>
      <c r="Y868" s="75"/>
      <c r="Z868" s="75"/>
    </row>
    <row r="869" spans="1:26" x14ac:dyDescent="0.3">
      <c r="A869" s="72"/>
      <c r="B869" s="73"/>
      <c r="C869" s="70"/>
      <c r="D869" s="74"/>
      <c r="E869" s="75"/>
      <c r="F869" s="75"/>
      <c r="K869" s="72"/>
      <c r="L869" s="73"/>
      <c r="M869" s="70"/>
      <c r="N869" s="74"/>
      <c r="O869" s="75"/>
      <c r="P869" s="75"/>
      <c r="U869" s="72"/>
      <c r="V869" s="73"/>
      <c r="W869" s="70"/>
      <c r="X869" s="74"/>
      <c r="Y869" s="75"/>
      <c r="Z869" s="75"/>
    </row>
    <row r="870" spans="1:26" x14ac:dyDescent="0.3">
      <c r="A870" s="72"/>
      <c r="B870" s="73"/>
      <c r="C870" s="70"/>
      <c r="D870" s="74"/>
      <c r="E870" s="75"/>
      <c r="F870" s="75"/>
      <c r="K870" s="72"/>
      <c r="L870" s="73"/>
      <c r="M870" s="70"/>
      <c r="N870" s="74"/>
      <c r="O870" s="75"/>
      <c r="P870" s="75"/>
      <c r="U870" s="72"/>
      <c r="V870" s="73"/>
      <c r="W870" s="70"/>
      <c r="X870" s="74"/>
      <c r="Y870" s="75"/>
      <c r="Z870" s="75"/>
    </row>
    <row r="871" spans="1:26" x14ac:dyDescent="0.3">
      <c r="A871" s="72"/>
      <c r="B871" s="73"/>
      <c r="C871" s="70"/>
      <c r="D871" s="74"/>
      <c r="E871" s="75"/>
      <c r="F871" s="75"/>
      <c r="K871" s="72"/>
      <c r="L871" s="73"/>
      <c r="M871" s="70"/>
      <c r="N871" s="74"/>
      <c r="O871" s="75"/>
      <c r="P871" s="75"/>
      <c r="U871" s="72"/>
      <c r="V871" s="73"/>
      <c r="W871" s="70"/>
      <c r="X871" s="74"/>
      <c r="Y871" s="75"/>
      <c r="Z871" s="75"/>
    </row>
    <row r="872" spans="1:26" x14ac:dyDescent="0.3">
      <c r="A872" s="72"/>
      <c r="B872" s="73"/>
      <c r="C872" s="70"/>
      <c r="D872" s="74"/>
      <c r="E872" s="75"/>
      <c r="F872" s="75"/>
      <c r="K872" s="72"/>
      <c r="L872" s="73"/>
      <c r="M872" s="70"/>
      <c r="N872" s="74"/>
      <c r="O872" s="75"/>
      <c r="P872" s="75"/>
      <c r="U872" s="72"/>
      <c r="V872" s="73"/>
      <c r="W872" s="70"/>
      <c r="X872" s="74"/>
      <c r="Y872" s="75"/>
      <c r="Z872" s="75"/>
    </row>
    <row r="873" spans="1:26" x14ac:dyDescent="0.3">
      <c r="A873" s="72"/>
      <c r="B873" s="73"/>
      <c r="C873" s="70"/>
      <c r="D873" s="74"/>
      <c r="E873" s="75"/>
      <c r="F873" s="75"/>
      <c r="K873" s="72"/>
      <c r="L873" s="73"/>
      <c r="M873" s="70"/>
      <c r="N873" s="74"/>
      <c r="O873" s="75"/>
      <c r="P873" s="75"/>
      <c r="U873" s="72"/>
      <c r="V873" s="73"/>
      <c r="W873" s="70"/>
      <c r="X873" s="74"/>
      <c r="Y873" s="75"/>
      <c r="Z873" s="75"/>
    </row>
    <row r="874" spans="1:26" x14ac:dyDescent="0.3">
      <c r="A874" s="72"/>
      <c r="B874" s="73"/>
      <c r="C874" s="70"/>
      <c r="D874" s="74"/>
      <c r="E874" s="75"/>
      <c r="F874" s="75"/>
      <c r="K874" s="72"/>
      <c r="L874" s="73"/>
      <c r="M874" s="70"/>
      <c r="N874" s="74"/>
      <c r="O874" s="75"/>
      <c r="P874" s="75"/>
      <c r="U874" s="72"/>
      <c r="V874" s="73"/>
      <c r="W874" s="70"/>
      <c r="X874" s="74"/>
      <c r="Y874" s="75"/>
      <c r="Z874" s="75"/>
    </row>
    <row r="875" spans="1:26" x14ac:dyDescent="0.3">
      <c r="A875" s="72"/>
      <c r="B875" s="73"/>
      <c r="C875" s="70"/>
      <c r="D875" s="74"/>
      <c r="E875" s="75"/>
      <c r="F875" s="75"/>
      <c r="K875" s="72"/>
      <c r="L875" s="73"/>
      <c r="M875" s="70"/>
      <c r="N875" s="74"/>
      <c r="O875" s="75"/>
      <c r="P875" s="75"/>
      <c r="U875" s="72"/>
      <c r="V875" s="73"/>
      <c r="W875" s="70"/>
      <c r="X875" s="74"/>
      <c r="Y875" s="75"/>
      <c r="Z875" s="75"/>
    </row>
    <row r="876" spans="1:26" x14ac:dyDescent="0.3">
      <c r="A876" s="72"/>
      <c r="B876" s="73"/>
      <c r="C876" s="70"/>
      <c r="D876" s="74"/>
      <c r="E876" s="75"/>
      <c r="F876" s="75"/>
      <c r="K876" s="72"/>
      <c r="L876" s="73"/>
      <c r="M876" s="70"/>
      <c r="N876" s="74"/>
      <c r="O876" s="75"/>
      <c r="P876" s="75"/>
      <c r="U876" s="72"/>
      <c r="V876" s="73"/>
      <c r="W876" s="70"/>
      <c r="X876" s="74"/>
      <c r="Y876" s="75"/>
      <c r="Z876" s="75"/>
    </row>
    <row r="877" spans="1:26" x14ac:dyDescent="0.3">
      <c r="A877" s="72"/>
      <c r="B877" s="73"/>
      <c r="C877" s="70"/>
      <c r="D877" s="74"/>
      <c r="E877" s="75"/>
      <c r="F877" s="75"/>
      <c r="K877" s="72"/>
      <c r="L877" s="73"/>
      <c r="M877" s="70"/>
      <c r="N877" s="74"/>
      <c r="O877" s="75"/>
      <c r="P877" s="75"/>
      <c r="U877" s="72"/>
      <c r="V877" s="73"/>
      <c r="W877" s="70"/>
      <c r="X877" s="74"/>
      <c r="Y877" s="75"/>
      <c r="Z877" s="75"/>
    </row>
    <row r="878" spans="1:26" x14ac:dyDescent="0.3">
      <c r="A878" s="72"/>
      <c r="B878" s="73"/>
      <c r="C878" s="70"/>
      <c r="D878" s="74"/>
      <c r="E878" s="75"/>
      <c r="F878" s="75"/>
      <c r="K878" s="72"/>
      <c r="L878" s="73"/>
      <c r="M878" s="70"/>
      <c r="N878" s="74"/>
      <c r="O878" s="75"/>
      <c r="P878" s="75"/>
      <c r="U878" s="72"/>
      <c r="V878" s="73"/>
      <c r="W878" s="70"/>
      <c r="X878" s="74"/>
      <c r="Y878" s="75"/>
      <c r="Z878" s="75"/>
    </row>
    <row r="879" spans="1:26" x14ac:dyDescent="0.3">
      <c r="A879" s="72"/>
      <c r="B879" s="73"/>
      <c r="C879" s="70"/>
      <c r="D879" s="74"/>
      <c r="E879" s="75"/>
      <c r="F879" s="75"/>
      <c r="K879" s="72"/>
      <c r="L879" s="73"/>
      <c r="M879" s="70"/>
      <c r="N879" s="74"/>
      <c r="O879" s="75"/>
      <c r="P879" s="75"/>
      <c r="U879" s="72"/>
      <c r="V879" s="73"/>
      <c r="W879" s="70"/>
      <c r="X879" s="74"/>
      <c r="Y879" s="75"/>
      <c r="Z879" s="75"/>
    </row>
    <row r="880" spans="1:26" x14ac:dyDescent="0.3">
      <c r="A880" s="72"/>
      <c r="B880" s="73"/>
      <c r="C880" s="70"/>
      <c r="D880" s="74"/>
      <c r="E880" s="75"/>
      <c r="F880" s="75"/>
      <c r="K880" s="72"/>
      <c r="L880" s="73"/>
      <c r="M880" s="70"/>
      <c r="N880" s="74"/>
      <c r="O880" s="75"/>
      <c r="P880" s="75"/>
      <c r="U880" s="72"/>
      <c r="V880" s="73"/>
      <c r="W880" s="70"/>
      <c r="X880" s="74"/>
      <c r="Y880" s="75"/>
      <c r="Z880" s="75"/>
    </row>
    <row r="881" spans="1:26" x14ac:dyDescent="0.3">
      <c r="A881" s="72"/>
      <c r="B881" s="73"/>
      <c r="C881" s="70"/>
      <c r="D881" s="74"/>
      <c r="E881" s="75"/>
      <c r="F881" s="75"/>
      <c r="K881" s="72"/>
      <c r="L881" s="73"/>
      <c r="M881" s="70"/>
      <c r="N881" s="74"/>
      <c r="O881" s="75"/>
      <c r="P881" s="75"/>
      <c r="U881" s="72"/>
      <c r="V881" s="73"/>
      <c r="W881" s="70"/>
      <c r="X881" s="74"/>
      <c r="Y881" s="75"/>
      <c r="Z881" s="75"/>
    </row>
    <row r="882" spans="1:26" x14ac:dyDescent="0.3">
      <c r="A882" s="72"/>
      <c r="B882" s="73"/>
      <c r="C882" s="70"/>
      <c r="D882" s="74"/>
      <c r="E882" s="75"/>
      <c r="F882" s="75"/>
      <c r="K882" s="72"/>
      <c r="L882" s="73"/>
      <c r="M882" s="70"/>
      <c r="N882" s="74"/>
      <c r="O882" s="75"/>
      <c r="P882" s="75"/>
      <c r="U882" s="72"/>
      <c r="V882" s="73"/>
      <c r="W882" s="70"/>
      <c r="X882" s="74"/>
      <c r="Y882" s="75"/>
      <c r="Z882" s="75"/>
    </row>
    <row r="883" spans="1:26" x14ac:dyDescent="0.3">
      <c r="A883" s="72"/>
      <c r="B883" s="73"/>
      <c r="C883" s="70"/>
      <c r="D883" s="74"/>
      <c r="E883" s="75"/>
      <c r="F883" s="75"/>
      <c r="K883" s="72"/>
      <c r="L883" s="73"/>
      <c r="M883" s="70"/>
      <c r="N883" s="74"/>
      <c r="O883" s="75"/>
      <c r="P883" s="75"/>
      <c r="U883" s="72"/>
      <c r="V883" s="73"/>
      <c r="W883" s="70"/>
      <c r="X883" s="74"/>
      <c r="Y883" s="75"/>
      <c r="Z883" s="75"/>
    </row>
    <row r="884" spans="1:26" x14ac:dyDescent="0.3">
      <c r="A884" s="72"/>
      <c r="B884" s="73"/>
      <c r="C884" s="70"/>
      <c r="D884" s="74"/>
      <c r="E884" s="75"/>
      <c r="F884" s="75"/>
      <c r="K884" s="72"/>
      <c r="L884" s="73"/>
      <c r="M884" s="70"/>
      <c r="N884" s="74"/>
      <c r="O884" s="75"/>
      <c r="P884" s="75"/>
      <c r="U884" s="72"/>
      <c r="V884" s="73"/>
      <c r="W884" s="70"/>
      <c r="X884" s="74"/>
      <c r="Y884" s="75"/>
      <c r="Z884" s="75"/>
    </row>
    <row r="885" spans="1:26" x14ac:dyDescent="0.3">
      <c r="A885" s="72"/>
      <c r="B885" s="73"/>
      <c r="C885" s="70"/>
      <c r="D885" s="74"/>
      <c r="E885" s="75"/>
      <c r="F885" s="75"/>
      <c r="K885" s="72"/>
      <c r="L885" s="73"/>
      <c r="M885" s="70"/>
      <c r="N885" s="74"/>
      <c r="O885" s="75"/>
      <c r="P885" s="75"/>
      <c r="U885" s="72"/>
      <c r="V885" s="73"/>
      <c r="W885" s="70"/>
      <c r="X885" s="74"/>
      <c r="Y885" s="75"/>
      <c r="Z885" s="75"/>
    </row>
    <row r="886" spans="1:26" x14ac:dyDescent="0.3">
      <c r="A886" s="72"/>
      <c r="B886" s="73"/>
      <c r="C886" s="70"/>
      <c r="D886" s="74"/>
      <c r="E886" s="75"/>
      <c r="F886" s="75"/>
      <c r="K886" s="72"/>
      <c r="L886" s="73"/>
      <c r="M886" s="70"/>
      <c r="N886" s="74"/>
      <c r="O886" s="75"/>
      <c r="P886" s="75"/>
      <c r="U886" s="72"/>
      <c r="V886" s="73"/>
      <c r="W886" s="70"/>
      <c r="X886" s="74"/>
      <c r="Y886" s="75"/>
      <c r="Z886" s="75"/>
    </row>
    <row r="887" spans="1:26" x14ac:dyDescent="0.3">
      <c r="A887" s="72"/>
      <c r="B887" s="73"/>
      <c r="C887" s="70"/>
      <c r="D887" s="74"/>
      <c r="E887" s="75"/>
      <c r="F887" s="75"/>
      <c r="K887" s="72"/>
      <c r="L887" s="73"/>
      <c r="M887" s="70"/>
      <c r="N887" s="74"/>
      <c r="O887" s="75"/>
      <c r="P887" s="75"/>
      <c r="U887" s="72"/>
      <c r="V887" s="73"/>
      <c r="W887" s="70"/>
      <c r="X887" s="74"/>
      <c r="Y887" s="75"/>
      <c r="Z887" s="75"/>
    </row>
    <row r="888" spans="1:26" x14ac:dyDescent="0.3">
      <c r="A888" s="72"/>
      <c r="B888" s="73"/>
      <c r="C888" s="70"/>
      <c r="D888" s="74"/>
      <c r="E888" s="75"/>
      <c r="F888" s="75"/>
      <c r="K888" s="72"/>
      <c r="L888" s="73"/>
      <c r="M888" s="70"/>
      <c r="N888" s="74"/>
      <c r="O888" s="75"/>
      <c r="P888" s="75"/>
      <c r="U888" s="72"/>
      <c r="V888" s="73"/>
      <c r="W888" s="70"/>
      <c r="X888" s="74"/>
      <c r="Y888" s="75"/>
      <c r="Z888" s="75"/>
    </row>
    <row r="889" spans="1:26" x14ac:dyDescent="0.3">
      <c r="A889" s="72"/>
      <c r="B889" s="73"/>
      <c r="C889" s="70"/>
      <c r="D889" s="74"/>
      <c r="E889" s="75"/>
      <c r="F889" s="75"/>
      <c r="K889" s="72"/>
      <c r="L889" s="73"/>
      <c r="M889" s="70"/>
      <c r="N889" s="74"/>
      <c r="O889" s="75"/>
      <c r="P889" s="75"/>
      <c r="U889" s="72"/>
      <c r="V889" s="73"/>
      <c r="W889" s="70"/>
      <c r="X889" s="74"/>
      <c r="Y889" s="75"/>
      <c r="Z889" s="75"/>
    </row>
    <row r="890" spans="1:26" x14ac:dyDescent="0.3">
      <c r="A890" s="72"/>
      <c r="B890" s="73"/>
      <c r="C890" s="70"/>
      <c r="D890" s="74"/>
      <c r="E890" s="75"/>
      <c r="F890" s="75"/>
      <c r="K890" s="72"/>
      <c r="L890" s="73"/>
      <c r="M890" s="70"/>
      <c r="N890" s="74"/>
      <c r="O890" s="75"/>
      <c r="P890" s="75"/>
      <c r="U890" s="72"/>
      <c r="V890" s="73"/>
      <c r="W890" s="70"/>
      <c r="X890" s="74"/>
      <c r="Y890" s="75"/>
      <c r="Z890" s="75"/>
    </row>
    <row r="891" spans="1:26" x14ac:dyDescent="0.3">
      <c r="A891" s="72"/>
      <c r="B891" s="73"/>
      <c r="C891" s="70"/>
      <c r="D891" s="74"/>
      <c r="E891" s="75"/>
      <c r="F891" s="75"/>
      <c r="K891" s="72"/>
      <c r="L891" s="73"/>
      <c r="M891" s="70"/>
      <c r="N891" s="74"/>
      <c r="O891" s="75"/>
      <c r="P891" s="75"/>
      <c r="U891" s="72"/>
      <c r="V891" s="73"/>
      <c r="W891" s="70"/>
      <c r="X891" s="74"/>
      <c r="Y891" s="75"/>
      <c r="Z891" s="75"/>
    </row>
    <row r="892" spans="1:26" x14ac:dyDescent="0.3">
      <c r="A892" s="72"/>
      <c r="B892" s="73"/>
      <c r="C892" s="70"/>
      <c r="D892" s="74"/>
      <c r="E892" s="75"/>
      <c r="F892" s="75"/>
      <c r="K892" s="72"/>
      <c r="L892" s="73"/>
      <c r="M892" s="70"/>
      <c r="N892" s="74"/>
      <c r="O892" s="75"/>
      <c r="P892" s="75"/>
      <c r="U892" s="72"/>
      <c r="V892" s="73"/>
      <c r="W892" s="70"/>
      <c r="X892" s="74"/>
      <c r="Y892" s="75"/>
      <c r="Z892" s="75"/>
    </row>
    <row r="893" spans="1:26" x14ac:dyDescent="0.3">
      <c r="A893" s="72"/>
      <c r="B893" s="73"/>
      <c r="C893" s="70"/>
      <c r="D893" s="74"/>
      <c r="E893" s="75"/>
      <c r="F893" s="75"/>
      <c r="K893" s="72"/>
      <c r="L893" s="73"/>
      <c r="M893" s="70"/>
      <c r="N893" s="74"/>
      <c r="O893" s="75"/>
      <c r="P893" s="75"/>
      <c r="U893" s="72"/>
      <c r="V893" s="73"/>
      <c r="W893" s="70"/>
      <c r="X893" s="74"/>
      <c r="Y893" s="75"/>
      <c r="Z893" s="75"/>
    </row>
    <row r="894" spans="1:26" x14ac:dyDescent="0.3">
      <c r="A894" s="72"/>
      <c r="B894" s="73"/>
      <c r="C894" s="70"/>
      <c r="D894" s="74"/>
      <c r="E894" s="75"/>
      <c r="F894" s="75"/>
      <c r="K894" s="72"/>
      <c r="L894" s="73"/>
      <c r="M894" s="70"/>
      <c r="N894" s="74"/>
      <c r="O894" s="75"/>
      <c r="P894" s="75"/>
      <c r="U894" s="72"/>
      <c r="V894" s="73"/>
      <c r="W894" s="70"/>
      <c r="X894" s="74"/>
      <c r="Y894" s="75"/>
      <c r="Z894" s="75"/>
    </row>
    <row r="895" spans="1:26" x14ac:dyDescent="0.3">
      <c r="A895" s="72"/>
      <c r="B895" s="73"/>
      <c r="C895" s="70"/>
      <c r="D895" s="74"/>
      <c r="E895" s="75"/>
      <c r="F895" s="75"/>
      <c r="K895" s="72"/>
      <c r="L895" s="73"/>
      <c r="M895" s="70"/>
      <c r="N895" s="74"/>
      <c r="O895" s="75"/>
      <c r="P895" s="75"/>
      <c r="U895" s="72"/>
      <c r="V895" s="73"/>
      <c r="W895" s="70"/>
      <c r="X895" s="74"/>
      <c r="Y895" s="75"/>
      <c r="Z895" s="75"/>
    </row>
    <row r="896" spans="1:26" x14ac:dyDescent="0.3">
      <c r="A896" s="72"/>
      <c r="B896" s="73"/>
      <c r="C896" s="70"/>
      <c r="D896" s="74"/>
      <c r="E896" s="75"/>
      <c r="F896" s="75"/>
      <c r="K896" s="72"/>
      <c r="L896" s="73"/>
      <c r="M896" s="70"/>
      <c r="N896" s="74"/>
      <c r="O896" s="75"/>
      <c r="P896" s="75"/>
      <c r="U896" s="72"/>
      <c r="V896" s="73"/>
      <c r="W896" s="70"/>
      <c r="X896" s="74"/>
      <c r="Y896" s="75"/>
      <c r="Z896" s="75"/>
    </row>
    <row r="897" spans="1:26" x14ac:dyDescent="0.3">
      <c r="A897" s="72"/>
      <c r="B897" s="73"/>
      <c r="C897" s="70"/>
      <c r="D897" s="74"/>
      <c r="E897" s="75"/>
      <c r="F897" s="75"/>
      <c r="K897" s="72"/>
      <c r="L897" s="73"/>
      <c r="M897" s="70"/>
      <c r="N897" s="74"/>
      <c r="O897" s="75"/>
      <c r="P897" s="75"/>
      <c r="U897" s="72"/>
      <c r="V897" s="73"/>
      <c r="W897" s="70"/>
      <c r="X897" s="74"/>
      <c r="Y897" s="75"/>
      <c r="Z897" s="75"/>
    </row>
    <row r="898" spans="1:26" x14ac:dyDescent="0.3">
      <c r="A898" s="72"/>
      <c r="B898" s="73"/>
      <c r="C898" s="70"/>
      <c r="D898" s="74"/>
      <c r="E898" s="75"/>
      <c r="F898" s="75"/>
      <c r="K898" s="72"/>
      <c r="L898" s="73"/>
      <c r="M898" s="70"/>
      <c r="N898" s="74"/>
      <c r="O898" s="75"/>
      <c r="P898" s="75"/>
      <c r="U898" s="72"/>
      <c r="V898" s="73"/>
      <c r="W898" s="70"/>
      <c r="X898" s="74"/>
      <c r="Y898" s="75"/>
      <c r="Z898" s="75"/>
    </row>
    <row r="899" spans="1:26" x14ac:dyDescent="0.3">
      <c r="A899" s="72"/>
      <c r="B899" s="73"/>
      <c r="C899" s="70"/>
      <c r="D899" s="74"/>
      <c r="E899" s="75"/>
      <c r="F899" s="75"/>
      <c r="K899" s="72"/>
      <c r="L899" s="73"/>
      <c r="M899" s="70"/>
      <c r="N899" s="74"/>
      <c r="O899" s="75"/>
      <c r="P899" s="75"/>
      <c r="U899" s="72"/>
      <c r="V899" s="73"/>
      <c r="W899" s="70"/>
      <c r="X899" s="74"/>
      <c r="Y899" s="75"/>
      <c r="Z899" s="75"/>
    </row>
    <row r="900" spans="1:26" x14ac:dyDescent="0.3">
      <c r="A900" s="72"/>
      <c r="B900" s="73"/>
      <c r="C900" s="70"/>
      <c r="D900" s="74"/>
      <c r="E900" s="75"/>
      <c r="F900" s="75"/>
      <c r="K900" s="72"/>
      <c r="L900" s="73"/>
      <c r="M900" s="70"/>
      <c r="N900" s="74"/>
      <c r="O900" s="75"/>
      <c r="P900" s="75"/>
      <c r="U900" s="72"/>
      <c r="V900" s="73"/>
      <c r="W900" s="70"/>
      <c r="X900" s="74"/>
      <c r="Y900" s="75"/>
      <c r="Z900" s="75"/>
    </row>
    <row r="901" spans="1:26" x14ac:dyDescent="0.3">
      <c r="A901" s="72"/>
      <c r="B901" s="73"/>
      <c r="C901" s="70"/>
      <c r="D901" s="74"/>
      <c r="E901" s="75"/>
      <c r="F901" s="75"/>
      <c r="K901" s="72"/>
      <c r="L901" s="73"/>
      <c r="M901" s="70"/>
      <c r="N901" s="74"/>
      <c r="O901" s="75"/>
      <c r="P901" s="75"/>
      <c r="U901" s="72"/>
      <c r="V901" s="73"/>
      <c r="W901" s="70"/>
      <c r="X901" s="74"/>
      <c r="Y901" s="75"/>
      <c r="Z901" s="75"/>
    </row>
    <row r="902" spans="1:26" x14ac:dyDescent="0.3">
      <c r="A902" s="72"/>
      <c r="B902" s="73"/>
      <c r="C902" s="70"/>
      <c r="D902" s="74"/>
      <c r="E902" s="75"/>
      <c r="F902" s="75"/>
      <c r="K902" s="72"/>
      <c r="L902" s="73"/>
      <c r="M902" s="70"/>
      <c r="N902" s="74"/>
      <c r="O902" s="75"/>
      <c r="P902" s="75"/>
      <c r="U902" s="72"/>
      <c r="V902" s="73"/>
      <c r="W902" s="70"/>
      <c r="X902" s="74"/>
      <c r="Y902" s="75"/>
      <c r="Z902" s="75"/>
    </row>
    <row r="903" spans="1:26" x14ac:dyDescent="0.3">
      <c r="A903" s="72"/>
      <c r="B903" s="73"/>
      <c r="C903" s="70"/>
      <c r="D903" s="74"/>
      <c r="E903" s="75"/>
      <c r="F903" s="75"/>
      <c r="K903" s="72"/>
      <c r="L903" s="73"/>
      <c r="M903" s="70"/>
      <c r="N903" s="74"/>
      <c r="O903" s="75"/>
      <c r="P903" s="75"/>
      <c r="U903" s="72"/>
      <c r="V903" s="73"/>
      <c r="W903" s="70"/>
      <c r="X903" s="74"/>
      <c r="Y903" s="75"/>
      <c r="Z903" s="75"/>
    </row>
    <row r="904" spans="1:26" x14ac:dyDescent="0.3">
      <c r="A904" s="72"/>
      <c r="B904" s="73"/>
      <c r="C904" s="70"/>
      <c r="D904" s="74"/>
      <c r="E904" s="75"/>
      <c r="F904" s="75"/>
      <c r="K904" s="72"/>
      <c r="L904" s="73"/>
      <c r="M904" s="70"/>
      <c r="N904" s="74"/>
      <c r="O904" s="75"/>
      <c r="P904" s="75"/>
      <c r="U904" s="72"/>
      <c r="V904" s="73"/>
      <c r="W904" s="70"/>
      <c r="X904" s="74"/>
      <c r="Y904" s="75"/>
      <c r="Z904" s="75"/>
    </row>
    <row r="905" spans="1:26" x14ac:dyDescent="0.3">
      <c r="A905" s="72"/>
      <c r="B905" s="73"/>
      <c r="C905" s="70"/>
      <c r="D905" s="74"/>
      <c r="E905" s="75"/>
      <c r="F905" s="75"/>
      <c r="K905" s="72"/>
      <c r="L905" s="73"/>
      <c r="M905" s="70"/>
      <c r="N905" s="74"/>
      <c r="O905" s="75"/>
      <c r="P905" s="75"/>
      <c r="U905" s="72"/>
      <c r="V905" s="73"/>
      <c r="W905" s="70"/>
      <c r="X905" s="74"/>
      <c r="Y905" s="75"/>
      <c r="Z905" s="75"/>
    </row>
    <row r="906" spans="1:26" x14ac:dyDescent="0.3">
      <c r="A906" s="72"/>
      <c r="B906" s="73"/>
      <c r="C906" s="70"/>
      <c r="D906" s="74"/>
      <c r="E906" s="75"/>
      <c r="F906" s="75"/>
      <c r="K906" s="72"/>
      <c r="L906" s="73"/>
      <c r="M906" s="70"/>
      <c r="N906" s="74"/>
      <c r="O906" s="75"/>
      <c r="P906" s="75"/>
      <c r="U906" s="72"/>
      <c r="V906" s="73"/>
      <c r="W906" s="70"/>
      <c r="X906" s="74"/>
      <c r="Y906" s="75"/>
      <c r="Z906" s="75"/>
    </row>
    <row r="907" spans="1:26" x14ac:dyDescent="0.3">
      <c r="A907" s="72"/>
      <c r="B907" s="73"/>
      <c r="C907" s="70"/>
      <c r="D907" s="74"/>
      <c r="E907" s="75"/>
      <c r="F907" s="75"/>
      <c r="K907" s="72"/>
      <c r="L907" s="73"/>
      <c r="M907" s="70"/>
      <c r="N907" s="74"/>
      <c r="O907" s="75"/>
      <c r="P907" s="75"/>
      <c r="U907" s="72"/>
      <c r="V907" s="73"/>
      <c r="W907" s="70"/>
      <c r="X907" s="74"/>
      <c r="Y907" s="75"/>
      <c r="Z907" s="75"/>
    </row>
    <row r="908" spans="1:26" x14ac:dyDescent="0.3">
      <c r="A908" s="72"/>
      <c r="B908" s="73"/>
      <c r="C908" s="70"/>
      <c r="D908" s="74"/>
      <c r="E908" s="75"/>
      <c r="F908" s="75"/>
      <c r="K908" s="72"/>
      <c r="L908" s="73"/>
      <c r="M908" s="70"/>
      <c r="N908" s="74"/>
      <c r="O908" s="75"/>
      <c r="P908" s="75"/>
      <c r="U908" s="72"/>
      <c r="V908" s="73"/>
      <c r="W908" s="70"/>
      <c r="X908" s="74"/>
      <c r="Y908" s="75"/>
      <c r="Z908" s="75"/>
    </row>
    <row r="909" spans="1:26" x14ac:dyDescent="0.3">
      <c r="A909" s="72"/>
      <c r="B909" s="73"/>
      <c r="C909" s="70"/>
      <c r="D909" s="74"/>
      <c r="E909" s="75"/>
      <c r="F909" s="75"/>
      <c r="K909" s="72"/>
      <c r="L909" s="73"/>
      <c r="M909" s="70"/>
      <c r="N909" s="74"/>
      <c r="O909" s="75"/>
      <c r="P909" s="75"/>
      <c r="U909" s="72"/>
      <c r="V909" s="73"/>
      <c r="W909" s="70"/>
      <c r="X909" s="74"/>
      <c r="Y909" s="75"/>
      <c r="Z909" s="75"/>
    </row>
    <row r="910" spans="1:26" x14ac:dyDescent="0.3">
      <c r="A910" s="72"/>
      <c r="B910" s="73"/>
      <c r="C910" s="70"/>
      <c r="D910" s="74"/>
      <c r="E910" s="75"/>
      <c r="F910" s="75"/>
      <c r="K910" s="72"/>
      <c r="L910" s="73"/>
      <c r="M910" s="70"/>
      <c r="N910" s="74"/>
      <c r="O910" s="75"/>
      <c r="P910" s="75"/>
      <c r="U910" s="72"/>
      <c r="V910" s="73"/>
      <c r="W910" s="70"/>
      <c r="X910" s="74"/>
      <c r="Y910" s="75"/>
      <c r="Z910" s="75"/>
    </row>
    <row r="911" spans="1:26" x14ac:dyDescent="0.3">
      <c r="A911" s="72"/>
      <c r="B911" s="73"/>
      <c r="C911" s="70"/>
      <c r="D911" s="74"/>
      <c r="E911" s="75"/>
      <c r="F911" s="75"/>
      <c r="K911" s="72"/>
      <c r="L911" s="73"/>
      <c r="M911" s="70"/>
      <c r="N911" s="74"/>
      <c r="O911" s="75"/>
      <c r="P911" s="75"/>
      <c r="U911" s="72"/>
      <c r="V911" s="73"/>
      <c r="W911" s="70"/>
      <c r="X911" s="74"/>
      <c r="Y911" s="75"/>
      <c r="Z911" s="75"/>
    </row>
    <row r="912" spans="1:26" x14ac:dyDescent="0.3">
      <c r="A912" s="72"/>
      <c r="B912" s="73"/>
      <c r="C912" s="70"/>
      <c r="D912" s="74"/>
      <c r="E912" s="75"/>
      <c r="F912" s="75"/>
      <c r="K912" s="72"/>
      <c r="L912" s="73"/>
      <c r="M912" s="70"/>
      <c r="N912" s="74"/>
      <c r="O912" s="75"/>
      <c r="P912" s="75"/>
      <c r="U912" s="72"/>
      <c r="V912" s="73"/>
      <c r="W912" s="70"/>
      <c r="X912" s="74"/>
      <c r="Y912" s="75"/>
      <c r="Z912" s="75"/>
    </row>
    <row r="913" spans="1:26" x14ac:dyDescent="0.3">
      <c r="A913" s="72"/>
      <c r="B913" s="73"/>
      <c r="C913" s="70"/>
      <c r="D913" s="74"/>
      <c r="E913" s="75"/>
      <c r="F913" s="75"/>
      <c r="K913" s="72"/>
      <c r="L913" s="73"/>
      <c r="M913" s="70"/>
      <c r="N913" s="74"/>
      <c r="O913" s="75"/>
      <c r="P913" s="75"/>
      <c r="U913" s="72"/>
      <c r="V913" s="73"/>
      <c r="W913" s="70"/>
      <c r="X913" s="74"/>
      <c r="Y913" s="75"/>
      <c r="Z913" s="75"/>
    </row>
    <row r="914" spans="1:26" x14ac:dyDescent="0.3">
      <c r="A914" s="72"/>
      <c r="B914" s="73"/>
      <c r="C914" s="70"/>
      <c r="D914" s="74"/>
      <c r="E914" s="75"/>
      <c r="F914" s="75"/>
      <c r="K914" s="72"/>
      <c r="L914" s="73"/>
      <c r="M914" s="70"/>
      <c r="N914" s="74"/>
      <c r="O914" s="75"/>
      <c r="P914" s="75"/>
      <c r="U914" s="72"/>
      <c r="V914" s="73"/>
      <c r="W914" s="70"/>
      <c r="X914" s="74"/>
      <c r="Y914" s="75"/>
      <c r="Z914" s="75"/>
    </row>
    <row r="915" spans="1:26" x14ac:dyDescent="0.3">
      <c r="A915" s="72"/>
      <c r="B915" s="73"/>
      <c r="C915" s="70"/>
      <c r="D915" s="74"/>
      <c r="E915" s="75"/>
      <c r="F915" s="75"/>
      <c r="K915" s="72"/>
      <c r="L915" s="73"/>
      <c r="M915" s="70"/>
      <c r="N915" s="74"/>
      <c r="O915" s="75"/>
      <c r="P915" s="75"/>
      <c r="U915" s="72"/>
      <c r="V915" s="73"/>
      <c r="W915" s="70"/>
      <c r="X915" s="74"/>
      <c r="Y915" s="75"/>
      <c r="Z915" s="75"/>
    </row>
    <row r="916" spans="1:26" x14ac:dyDescent="0.3">
      <c r="A916" s="72"/>
      <c r="B916" s="73"/>
      <c r="C916" s="70"/>
      <c r="D916" s="74"/>
      <c r="E916" s="75"/>
      <c r="F916" s="75"/>
      <c r="K916" s="72"/>
      <c r="L916" s="73"/>
      <c r="M916" s="70"/>
      <c r="N916" s="74"/>
      <c r="O916" s="75"/>
      <c r="P916" s="75"/>
      <c r="U916" s="72"/>
      <c r="V916" s="73"/>
      <c r="W916" s="70"/>
      <c r="X916" s="74"/>
      <c r="Y916" s="75"/>
      <c r="Z916" s="75"/>
    </row>
    <row r="917" spans="1:26" x14ac:dyDescent="0.3">
      <c r="A917" s="72"/>
      <c r="B917" s="73"/>
      <c r="C917" s="70"/>
      <c r="D917" s="74"/>
      <c r="E917" s="75"/>
      <c r="F917" s="75"/>
      <c r="K917" s="72"/>
      <c r="L917" s="73"/>
      <c r="M917" s="70"/>
      <c r="N917" s="74"/>
      <c r="O917" s="75"/>
      <c r="P917" s="75"/>
      <c r="U917" s="72"/>
      <c r="V917" s="73"/>
      <c r="W917" s="70"/>
      <c r="X917" s="74"/>
      <c r="Y917" s="75"/>
      <c r="Z917" s="75"/>
    </row>
    <row r="918" spans="1:26" x14ac:dyDescent="0.3">
      <c r="A918" s="72"/>
      <c r="B918" s="73"/>
      <c r="C918" s="70"/>
      <c r="D918" s="74"/>
      <c r="E918" s="75"/>
      <c r="F918" s="75"/>
      <c r="K918" s="72"/>
      <c r="L918" s="73"/>
      <c r="M918" s="70"/>
      <c r="N918" s="74"/>
      <c r="O918" s="75"/>
      <c r="P918" s="75"/>
      <c r="U918" s="72"/>
      <c r="V918" s="73"/>
      <c r="W918" s="70"/>
      <c r="X918" s="74"/>
      <c r="Y918" s="75"/>
      <c r="Z918" s="75"/>
    </row>
    <row r="919" spans="1:26" x14ac:dyDescent="0.3">
      <c r="A919" s="72"/>
      <c r="B919" s="73"/>
      <c r="C919" s="70"/>
      <c r="D919" s="74"/>
      <c r="E919" s="75"/>
      <c r="F919" s="75"/>
      <c r="K919" s="72"/>
      <c r="L919" s="73"/>
      <c r="M919" s="70"/>
      <c r="N919" s="74"/>
      <c r="O919" s="75"/>
      <c r="P919" s="75"/>
      <c r="U919" s="72"/>
      <c r="V919" s="73"/>
      <c r="W919" s="70"/>
      <c r="X919" s="74"/>
      <c r="Y919" s="75"/>
      <c r="Z919" s="75"/>
    </row>
    <row r="920" spans="1:26" x14ac:dyDescent="0.3">
      <c r="A920" s="72"/>
      <c r="B920" s="73"/>
      <c r="C920" s="70"/>
      <c r="D920" s="74"/>
      <c r="E920" s="75"/>
      <c r="F920" s="75"/>
      <c r="K920" s="72"/>
      <c r="L920" s="73"/>
      <c r="M920" s="70"/>
      <c r="N920" s="74"/>
      <c r="O920" s="75"/>
      <c r="P920" s="75"/>
      <c r="U920" s="72"/>
      <c r="V920" s="73"/>
      <c r="W920" s="70"/>
      <c r="X920" s="74"/>
      <c r="Y920" s="75"/>
      <c r="Z920" s="75"/>
    </row>
    <row r="921" spans="1:26" x14ac:dyDescent="0.3">
      <c r="A921" s="72"/>
      <c r="B921" s="73"/>
      <c r="C921" s="70"/>
      <c r="D921" s="74"/>
      <c r="E921" s="75"/>
      <c r="F921" s="75"/>
      <c r="K921" s="72"/>
      <c r="L921" s="73"/>
      <c r="M921" s="70"/>
      <c r="N921" s="74"/>
      <c r="O921" s="75"/>
      <c r="P921" s="75"/>
      <c r="U921" s="72"/>
      <c r="V921" s="73"/>
      <c r="W921" s="70"/>
      <c r="X921" s="74"/>
      <c r="Y921" s="75"/>
      <c r="Z921" s="75"/>
    </row>
    <row r="922" spans="1:26" x14ac:dyDescent="0.3">
      <c r="A922" s="72"/>
      <c r="B922" s="73"/>
      <c r="C922" s="70"/>
      <c r="D922" s="74"/>
      <c r="E922" s="75"/>
      <c r="F922" s="75"/>
      <c r="K922" s="72"/>
      <c r="L922" s="73"/>
      <c r="M922" s="70"/>
      <c r="N922" s="74"/>
      <c r="O922" s="75"/>
      <c r="P922" s="75"/>
      <c r="U922" s="72"/>
      <c r="V922" s="73"/>
      <c r="W922" s="70"/>
      <c r="X922" s="74"/>
      <c r="Y922" s="75"/>
      <c r="Z922" s="75"/>
    </row>
    <row r="923" spans="1:26" x14ac:dyDescent="0.3">
      <c r="A923" s="72"/>
      <c r="B923" s="73"/>
      <c r="C923" s="70"/>
      <c r="D923" s="74"/>
      <c r="E923" s="75"/>
      <c r="F923" s="75"/>
      <c r="K923" s="72"/>
      <c r="L923" s="73"/>
      <c r="M923" s="70"/>
      <c r="N923" s="74"/>
      <c r="O923" s="75"/>
      <c r="P923" s="75"/>
      <c r="U923" s="72"/>
      <c r="V923" s="73"/>
      <c r="W923" s="70"/>
      <c r="X923" s="74"/>
      <c r="Y923" s="75"/>
      <c r="Z923" s="75"/>
    </row>
    <row r="924" spans="1:26" x14ac:dyDescent="0.3">
      <c r="A924" s="72"/>
      <c r="B924" s="73"/>
      <c r="C924" s="70"/>
      <c r="D924" s="74"/>
      <c r="E924" s="75"/>
      <c r="F924" s="75"/>
      <c r="K924" s="72"/>
      <c r="L924" s="73"/>
      <c r="M924" s="70"/>
      <c r="N924" s="74"/>
      <c r="O924" s="75"/>
      <c r="P924" s="75"/>
      <c r="U924" s="72"/>
      <c r="V924" s="73"/>
      <c r="W924" s="70"/>
      <c r="X924" s="74"/>
      <c r="Y924" s="75"/>
      <c r="Z924" s="75"/>
    </row>
    <row r="925" spans="1:26" x14ac:dyDescent="0.3">
      <c r="A925" s="72"/>
      <c r="B925" s="73"/>
      <c r="C925" s="70"/>
      <c r="D925" s="74"/>
      <c r="E925" s="75"/>
      <c r="F925" s="75"/>
      <c r="K925" s="72"/>
      <c r="L925" s="73"/>
      <c r="M925" s="70"/>
      <c r="N925" s="74"/>
      <c r="O925" s="75"/>
      <c r="P925" s="75"/>
      <c r="U925" s="72"/>
      <c r="V925" s="73"/>
      <c r="W925" s="70"/>
      <c r="X925" s="74"/>
      <c r="Y925" s="75"/>
      <c r="Z925" s="75"/>
    </row>
    <row r="926" spans="1:26" x14ac:dyDescent="0.3">
      <c r="A926" s="72"/>
      <c r="B926" s="73"/>
      <c r="C926" s="70"/>
      <c r="D926" s="74"/>
      <c r="E926" s="75"/>
      <c r="F926" s="75"/>
      <c r="K926" s="72"/>
      <c r="L926" s="73"/>
      <c r="M926" s="70"/>
      <c r="N926" s="74"/>
      <c r="O926" s="75"/>
      <c r="P926" s="75"/>
      <c r="U926" s="72"/>
      <c r="V926" s="73"/>
      <c r="W926" s="70"/>
      <c r="X926" s="74"/>
      <c r="Y926" s="75"/>
      <c r="Z926" s="75"/>
    </row>
    <row r="927" spans="1:26" x14ac:dyDescent="0.3">
      <c r="A927" s="72"/>
      <c r="B927" s="73"/>
      <c r="C927" s="70"/>
      <c r="D927" s="74"/>
      <c r="E927" s="75"/>
      <c r="F927" s="75"/>
      <c r="K927" s="72"/>
      <c r="L927" s="73"/>
      <c r="M927" s="70"/>
      <c r="N927" s="74"/>
      <c r="O927" s="75"/>
      <c r="P927" s="75"/>
      <c r="U927" s="72"/>
      <c r="V927" s="73"/>
      <c r="W927" s="70"/>
      <c r="X927" s="74"/>
      <c r="Y927" s="75"/>
      <c r="Z927" s="75"/>
    </row>
    <row r="928" spans="1:26" x14ac:dyDescent="0.3">
      <c r="A928" s="72"/>
      <c r="B928" s="73"/>
      <c r="C928" s="70"/>
      <c r="D928" s="74"/>
      <c r="E928" s="75"/>
      <c r="F928" s="75"/>
      <c r="K928" s="72"/>
      <c r="L928" s="73"/>
      <c r="M928" s="70"/>
      <c r="N928" s="74"/>
      <c r="O928" s="75"/>
      <c r="P928" s="75"/>
      <c r="U928" s="72"/>
      <c r="V928" s="73"/>
      <c r="W928" s="70"/>
      <c r="X928" s="74"/>
      <c r="Y928" s="75"/>
      <c r="Z928" s="75"/>
    </row>
    <row r="929" spans="1:26" x14ac:dyDescent="0.3">
      <c r="A929" s="72"/>
      <c r="B929" s="73"/>
      <c r="C929" s="70"/>
      <c r="D929" s="74"/>
      <c r="E929" s="75"/>
      <c r="F929" s="75"/>
      <c r="K929" s="72"/>
      <c r="L929" s="73"/>
      <c r="M929" s="70"/>
      <c r="N929" s="74"/>
      <c r="O929" s="75"/>
      <c r="P929" s="75"/>
      <c r="U929" s="72"/>
      <c r="V929" s="73"/>
      <c r="W929" s="70"/>
      <c r="X929" s="74"/>
      <c r="Y929" s="75"/>
      <c r="Z929" s="75"/>
    </row>
    <row r="930" spans="1:26" x14ac:dyDescent="0.3">
      <c r="A930" s="72"/>
      <c r="B930" s="73"/>
      <c r="C930" s="70"/>
      <c r="D930" s="74"/>
      <c r="E930" s="75"/>
      <c r="F930" s="75"/>
      <c r="K930" s="72"/>
      <c r="L930" s="73"/>
      <c r="M930" s="70"/>
      <c r="N930" s="74"/>
      <c r="O930" s="75"/>
      <c r="P930" s="75"/>
      <c r="U930" s="72"/>
      <c r="V930" s="73"/>
      <c r="W930" s="70"/>
      <c r="X930" s="74"/>
      <c r="Y930" s="75"/>
      <c r="Z930" s="75"/>
    </row>
    <row r="931" spans="1:26" x14ac:dyDescent="0.3">
      <c r="A931" s="72"/>
      <c r="B931" s="73"/>
      <c r="C931" s="70"/>
      <c r="D931" s="74"/>
      <c r="E931" s="75"/>
      <c r="F931" s="75"/>
      <c r="K931" s="72"/>
      <c r="L931" s="73"/>
      <c r="M931" s="70"/>
      <c r="N931" s="74"/>
      <c r="O931" s="75"/>
      <c r="P931" s="75"/>
      <c r="U931" s="72"/>
      <c r="V931" s="73"/>
      <c r="W931" s="70"/>
      <c r="X931" s="74"/>
      <c r="Y931" s="75"/>
      <c r="Z931" s="75"/>
    </row>
    <row r="932" spans="1:26" x14ac:dyDescent="0.3">
      <c r="A932" s="72"/>
      <c r="B932" s="73"/>
      <c r="C932" s="70"/>
      <c r="D932" s="74"/>
      <c r="E932" s="75"/>
      <c r="F932" s="75"/>
      <c r="K932" s="72"/>
      <c r="L932" s="73"/>
      <c r="M932" s="70"/>
      <c r="N932" s="74"/>
      <c r="O932" s="75"/>
      <c r="P932" s="75"/>
      <c r="U932" s="72"/>
      <c r="V932" s="73"/>
      <c r="W932" s="70"/>
      <c r="X932" s="74"/>
      <c r="Y932" s="75"/>
      <c r="Z932" s="75"/>
    </row>
    <row r="933" spans="1:26" x14ac:dyDescent="0.3">
      <c r="A933" s="72"/>
      <c r="B933" s="73"/>
      <c r="C933" s="70"/>
      <c r="D933" s="74"/>
      <c r="E933" s="75"/>
      <c r="F933" s="75"/>
      <c r="K933" s="72"/>
      <c r="L933" s="73"/>
      <c r="M933" s="70"/>
      <c r="N933" s="74"/>
      <c r="O933" s="75"/>
      <c r="P933" s="75"/>
      <c r="U933" s="72"/>
      <c r="V933" s="73"/>
      <c r="W933" s="70"/>
      <c r="X933" s="74"/>
      <c r="Y933" s="75"/>
      <c r="Z933" s="75"/>
    </row>
    <row r="934" spans="1:26" x14ac:dyDescent="0.3">
      <c r="A934" s="72"/>
      <c r="B934" s="73"/>
      <c r="C934" s="70"/>
      <c r="D934" s="74"/>
      <c r="E934" s="75"/>
      <c r="F934" s="75"/>
      <c r="K934" s="72"/>
      <c r="L934" s="73"/>
      <c r="M934" s="70"/>
      <c r="N934" s="74"/>
      <c r="O934" s="75"/>
      <c r="P934" s="75"/>
      <c r="U934" s="72"/>
      <c r="V934" s="73"/>
      <c r="W934" s="70"/>
      <c r="X934" s="74"/>
      <c r="Y934" s="75"/>
      <c r="Z934" s="75"/>
    </row>
    <row r="935" spans="1:26" x14ac:dyDescent="0.3">
      <c r="A935" s="72"/>
      <c r="B935" s="73"/>
      <c r="C935" s="70"/>
      <c r="D935" s="74"/>
      <c r="E935" s="75"/>
      <c r="F935" s="75"/>
      <c r="K935" s="72"/>
      <c r="L935" s="73"/>
      <c r="M935" s="70"/>
      <c r="N935" s="74"/>
      <c r="O935" s="75"/>
      <c r="P935" s="75"/>
      <c r="U935" s="72"/>
      <c r="V935" s="73"/>
      <c r="W935" s="70"/>
      <c r="X935" s="74"/>
      <c r="Y935" s="75"/>
      <c r="Z935" s="75"/>
    </row>
    <row r="936" spans="1:26" x14ac:dyDescent="0.3">
      <c r="A936" s="72"/>
      <c r="B936" s="73"/>
      <c r="C936" s="70"/>
      <c r="D936" s="74"/>
      <c r="E936" s="75"/>
      <c r="F936" s="75"/>
      <c r="K936" s="72"/>
      <c r="L936" s="73"/>
      <c r="M936" s="70"/>
      <c r="N936" s="74"/>
      <c r="O936" s="75"/>
      <c r="P936" s="75"/>
      <c r="U936" s="72"/>
      <c r="V936" s="73"/>
      <c r="W936" s="70"/>
      <c r="X936" s="74"/>
      <c r="Y936" s="75"/>
      <c r="Z936" s="75"/>
    </row>
    <row r="937" spans="1:26" x14ac:dyDescent="0.3">
      <c r="A937" s="72"/>
      <c r="B937" s="73"/>
      <c r="C937" s="70"/>
      <c r="D937" s="74"/>
      <c r="E937" s="75"/>
      <c r="F937" s="75"/>
      <c r="K937" s="72"/>
      <c r="L937" s="73"/>
      <c r="M937" s="70"/>
      <c r="N937" s="74"/>
      <c r="O937" s="75"/>
      <c r="P937" s="75"/>
      <c r="U937" s="72"/>
      <c r="V937" s="73"/>
      <c r="W937" s="70"/>
      <c r="X937" s="74"/>
      <c r="Y937" s="75"/>
      <c r="Z937" s="75"/>
    </row>
    <row r="938" spans="1:26" x14ac:dyDescent="0.3">
      <c r="A938" s="72"/>
      <c r="B938" s="73"/>
      <c r="C938" s="70"/>
      <c r="D938" s="74"/>
      <c r="E938" s="75"/>
      <c r="F938" s="75"/>
      <c r="K938" s="72"/>
      <c r="L938" s="73"/>
      <c r="M938" s="70"/>
      <c r="N938" s="74"/>
      <c r="O938" s="75"/>
      <c r="P938" s="75"/>
      <c r="U938" s="72"/>
      <c r="V938" s="73"/>
      <c r="W938" s="70"/>
      <c r="X938" s="74"/>
      <c r="Y938" s="75"/>
      <c r="Z938" s="75"/>
    </row>
    <row r="939" spans="1:26" x14ac:dyDescent="0.3">
      <c r="A939" s="72"/>
      <c r="B939" s="73"/>
      <c r="C939" s="70"/>
      <c r="D939" s="74"/>
      <c r="E939" s="75"/>
      <c r="F939" s="75"/>
      <c r="K939" s="72"/>
      <c r="L939" s="73"/>
      <c r="M939" s="70"/>
      <c r="N939" s="74"/>
      <c r="O939" s="75"/>
      <c r="P939" s="75"/>
      <c r="U939" s="72"/>
      <c r="V939" s="73"/>
      <c r="W939" s="70"/>
      <c r="X939" s="74"/>
      <c r="Y939" s="75"/>
      <c r="Z939" s="75"/>
    </row>
    <row r="940" spans="1:26" x14ac:dyDescent="0.3">
      <c r="A940" s="72"/>
      <c r="B940" s="73"/>
      <c r="C940" s="70"/>
      <c r="D940" s="74"/>
      <c r="E940" s="75"/>
      <c r="F940" s="75"/>
      <c r="K940" s="72"/>
      <c r="L940" s="73"/>
      <c r="M940" s="70"/>
      <c r="N940" s="74"/>
      <c r="O940" s="75"/>
      <c r="P940" s="75"/>
      <c r="U940" s="72"/>
      <c r="V940" s="73"/>
      <c r="W940" s="70"/>
      <c r="X940" s="74"/>
      <c r="Y940" s="75"/>
      <c r="Z940" s="75"/>
    </row>
    <row r="941" spans="1:26" x14ac:dyDescent="0.3">
      <c r="A941" s="72"/>
      <c r="B941" s="73"/>
      <c r="C941" s="70"/>
      <c r="D941" s="74"/>
      <c r="E941" s="75"/>
      <c r="F941" s="75"/>
      <c r="K941" s="72"/>
      <c r="L941" s="73"/>
      <c r="M941" s="70"/>
      <c r="N941" s="74"/>
      <c r="O941" s="75"/>
      <c r="P941" s="75"/>
      <c r="U941" s="72"/>
      <c r="V941" s="73"/>
      <c r="W941" s="70"/>
      <c r="X941" s="74"/>
      <c r="Y941" s="75"/>
      <c r="Z941" s="75"/>
    </row>
    <row r="942" spans="1:26" x14ac:dyDescent="0.3">
      <c r="A942" s="72"/>
      <c r="B942" s="73"/>
      <c r="C942" s="70"/>
      <c r="D942" s="74"/>
      <c r="E942" s="75"/>
      <c r="F942" s="75"/>
      <c r="K942" s="72"/>
      <c r="L942" s="73"/>
      <c r="M942" s="70"/>
      <c r="N942" s="74"/>
      <c r="O942" s="75"/>
      <c r="P942" s="75"/>
      <c r="U942" s="72"/>
      <c r="V942" s="73"/>
      <c r="W942" s="70"/>
      <c r="X942" s="74"/>
      <c r="Y942" s="75"/>
      <c r="Z942" s="75"/>
    </row>
    <row r="943" spans="1:26" x14ac:dyDescent="0.3">
      <c r="A943" s="72"/>
      <c r="B943" s="73"/>
      <c r="C943" s="70"/>
      <c r="D943" s="74"/>
      <c r="E943" s="75"/>
      <c r="F943" s="75"/>
      <c r="K943" s="72"/>
      <c r="L943" s="73"/>
      <c r="M943" s="70"/>
      <c r="N943" s="74"/>
      <c r="O943" s="75"/>
      <c r="P943" s="75"/>
      <c r="U943" s="72"/>
      <c r="V943" s="73"/>
      <c r="W943" s="70"/>
      <c r="X943" s="74"/>
      <c r="Y943" s="75"/>
      <c r="Z943" s="75"/>
    </row>
    <row r="944" spans="1:26" x14ac:dyDescent="0.3">
      <c r="A944" s="72"/>
      <c r="B944" s="73"/>
      <c r="C944" s="70"/>
      <c r="D944" s="74"/>
      <c r="E944" s="75"/>
      <c r="F944" s="75"/>
      <c r="K944" s="72"/>
      <c r="L944" s="73"/>
      <c r="M944" s="70"/>
      <c r="N944" s="74"/>
      <c r="O944" s="75"/>
      <c r="P944" s="75"/>
      <c r="U944" s="72"/>
      <c r="V944" s="73"/>
      <c r="W944" s="70"/>
      <c r="X944" s="74"/>
      <c r="Y944" s="75"/>
      <c r="Z944" s="75"/>
    </row>
    <row r="945" spans="1:26" x14ac:dyDescent="0.3">
      <c r="A945" s="72"/>
      <c r="B945" s="73"/>
      <c r="C945" s="70"/>
      <c r="D945" s="74"/>
      <c r="E945" s="75"/>
      <c r="F945" s="75"/>
      <c r="K945" s="72"/>
      <c r="L945" s="73"/>
      <c r="M945" s="70"/>
      <c r="N945" s="74"/>
      <c r="O945" s="75"/>
      <c r="P945" s="75"/>
      <c r="U945" s="72"/>
      <c r="V945" s="73"/>
      <c r="W945" s="70"/>
      <c r="X945" s="74"/>
      <c r="Y945" s="75"/>
      <c r="Z945" s="75"/>
    </row>
    <row r="946" spans="1:26" x14ac:dyDescent="0.3">
      <c r="A946" s="72"/>
      <c r="B946" s="73"/>
      <c r="C946" s="70"/>
      <c r="D946" s="74"/>
      <c r="E946" s="75"/>
      <c r="F946" s="75"/>
      <c r="K946" s="72"/>
      <c r="L946" s="73"/>
      <c r="M946" s="70"/>
      <c r="N946" s="74"/>
      <c r="O946" s="75"/>
      <c r="P946" s="75"/>
      <c r="U946" s="72"/>
      <c r="V946" s="73"/>
      <c r="W946" s="70"/>
      <c r="X946" s="74"/>
      <c r="Y946" s="75"/>
      <c r="Z946" s="75"/>
    </row>
    <row r="947" spans="1:26" x14ac:dyDescent="0.3">
      <c r="A947" s="72"/>
      <c r="B947" s="73"/>
      <c r="C947" s="70"/>
      <c r="D947" s="74"/>
      <c r="E947" s="75"/>
      <c r="F947" s="75"/>
      <c r="K947" s="72"/>
      <c r="L947" s="73"/>
      <c r="M947" s="70"/>
      <c r="N947" s="74"/>
      <c r="O947" s="75"/>
      <c r="P947" s="75"/>
      <c r="U947" s="72"/>
      <c r="V947" s="73"/>
      <c r="W947" s="70"/>
      <c r="X947" s="74"/>
      <c r="Y947" s="75"/>
      <c r="Z947" s="75"/>
    </row>
    <row r="948" spans="1:26" x14ac:dyDescent="0.3">
      <c r="A948" s="72"/>
      <c r="B948" s="73"/>
      <c r="C948" s="70"/>
      <c r="D948" s="74"/>
      <c r="E948" s="75"/>
      <c r="F948" s="75"/>
      <c r="K948" s="72"/>
      <c r="L948" s="73"/>
      <c r="M948" s="70"/>
      <c r="N948" s="74"/>
      <c r="O948" s="75"/>
      <c r="P948" s="75"/>
      <c r="U948" s="72"/>
      <c r="V948" s="73"/>
      <c r="W948" s="70"/>
      <c r="X948" s="74"/>
      <c r="Y948" s="75"/>
      <c r="Z948" s="75"/>
    </row>
    <row r="949" spans="1:26" x14ac:dyDescent="0.3">
      <c r="A949" s="72"/>
      <c r="B949" s="73"/>
      <c r="C949" s="70"/>
      <c r="D949" s="74"/>
      <c r="E949" s="75"/>
      <c r="F949" s="75"/>
      <c r="K949" s="72"/>
      <c r="L949" s="73"/>
      <c r="M949" s="70"/>
      <c r="N949" s="74"/>
      <c r="O949" s="75"/>
      <c r="P949" s="75"/>
      <c r="U949" s="72"/>
      <c r="V949" s="73"/>
      <c r="W949" s="70"/>
      <c r="X949" s="74"/>
      <c r="Y949" s="75"/>
      <c r="Z949" s="75"/>
    </row>
    <row r="950" spans="1:26" x14ac:dyDescent="0.3">
      <c r="A950" s="72"/>
      <c r="B950" s="73"/>
      <c r="C950" s="70"/>
      <c r="D950" s="74"/>
      <c r="E950" s="75"/>
      <c r="F950" s="75"/>
      <c r="K950" s="72"/>
      <c r="L950" s="73"/>
      <c r="M950" s="70"/>
      <c r="N950" s="74"/>
      <c r="O950" s="75"/>
      <c r="P950" s="75"/>
      <c r="U950" s="72"/>
      <c r="V950" s="73"/>
      <c r="W950" s="70"/>
      <c r="X950" s="74"/>
      <c r="Y950" s="75"/>
      <c r="Z950" s="75"/>
    </row>
    <row r="951" spans="1:26" x14ac:dyDescent="0.3">
      <c r="A951" s="72"/>
      <c r="B951" s="73"/>
      <c r="C951" s="70"/>
      <c r="D951" s="74"/>
      <c r="E951" s="75"/>
      <c r="F951" s="75"/>
      <c r="K951" s="72"/>
      <c r="L951" s="73"/>
      <c r="M951" s="70"/>
      <c r="N951" s="74"/>
      <c r="O951" s="75"/>
      <c r="P951" s="75"/>
      <c r="U951" s="72"/>
      <c r="V951" s="73"/>
      <c r="W951" s="70"/>
      <c r="X951" s="74"/>
      <c r="Y951" s="75"/>
      <c r="Z951" s="75"/>
    </row>
    <row r="952" spans="1:26" x14ac:dyDescent="0.3">
      <c r="A952" s="72"/>
      <c r="B952" s="73"/>
      <c r="C952" s="70"/>
      <c r="D952" s="74"/>
      <c r="E952" s="75"/>
      <c r="F952" s="75"/>
      <c r="K952" s="72"/>
      <c r="L952" s="73"/>
      <c r="M952" s="70"/>
      <c r="N952" s="74"/>
      <c r="O952" s="75"/>
      <c r="P952" s="75"/>
      <c r="U952" s="72"/>
      <c r="V952" s="73"/>
      <c r="W952" s="70"/>
      <c r="X952" s="74"/>
      <c r="Y952" s="75"/>
      <c r="Z952" s="75"/>
    </row>
    <row r="953" spans="1:26" x14ac:dyDescent="0.3">
      <c r="A953" s="72"/>
      <c r="B953" s="73"/>
      <c r="C953" s="70"/>
      <c r="D953" s="74"/>
      <c r="E953" s="75"/>
      <c r="F953" s="75"/>
      <c r="K953" s="72"/>
      <c r="L953" s="73"/>
      <c r="M953" s="70"/>
      <c r="N953" s="74"/>
      <c r="O953" s="75"/>
      <c r="P953" s="75"/>
      <c r="U953" s="72"/>
      <c r="V953" s="73"/>
      <c r="W953" s="70"/>
      <c r="X953" s="74"/>
      <c r="Y953" s="75"/>
      <c r="Z953" s="75"/>
    </row>
    <row r="954" spans="1:26" x14ac:dyDescent="0.3">
      <c r="A954" s="72"/>
      <c r="B954" s="73"/>
      <c r="C954" s="70"/>
      <c r="D954" s="74"/>
      <c r="E954" s="75"/>
      <c r="F954" s="75"/>
      <c r="K954" s="72"/>
      <c r="L954" s="73"/>
      <c r="M954" s="70"/>
      <c r="N954" s="74"/>
      <c r="O954" s="75"/>
      <c r="P954" s="75"/>
      <c r="U954" s="72"/>
      <c r="V954" s="73"/>
      <c r="W954" s="70"/>
      <c r="X954" s="74"/>
      <c r="Y954" s="75"/>
      <c r="Z954" s="75"/>
    </row>
    <row r="955" spans="1:26" x14ac:dyDescent="0.3">
      <c r="A955" s="72"/>
      <c r="B955" s="73"/>
      <c r="C955" s="70"/>
      <c r="D955" s="74"/>
      <c r="E955" s="75"/>
      <c r="F955" s="75"/>
      <c r="K955" s="72"/>
      <c r="L955" s="73"/>
      <c r="M955" s="70"/>
      <c r="N955" s="74"/>
      <c r="O955" s="75"/>
      <c r="P955" s="75"/>
      <c r="U955" s="72"/>
      <c r="V955" s="73"/>
      <c r="W955" s="70"/>
      <c r="X955" s="74"/>
      <c r="Y955" s="75"/>
      <c r="Z955" s="75"/>
    </row>
    <row r="956" spans="1:26" x14ac:dyDescent="0.3">
      <c r="A956" s="72"/>
      <c r="B956" s="73"/>
      <c r="C956" s="70"/>
      <c r="D956" s="74"/>
      <c r="E956" s="75"/>
      <c r="F956" s="75"/>
      <c r="K956" s="72"/>
      <c r="L956" s="73"/>
      <c r="M956" s="70"/>
      <c r="N956" s="74"/>
      <c r="O956" s="75"/>
      <c r="P956" s="75"/>
      <c r="U956" s="72"/>
      <c r="V956" s="73"/>
      <c r="W956" s="70"/>
      <c r="X956" s="74"/>
      <c r="Y956" s="75"/>
      <c r="Z956" s="75"/>
    </row>
    <row r="957" spans="1:26" x14ac:dyDescent="0.3">
      <c r="A957" s="72"/>
      <c r="B957" s="73"/>
      <c r="C957" s="70"/>
      <c r="D957" s="74"/>
      <c r="E957" s="75"/>
      <c r="F957" s="75"/>
      <c r="K957" s="72"/>
      <c r="L957" s="73"/>
      <c r="M957" s="70"/>
      <c r="N957" s="74"/>
      <c r="O957" s="75"/>
      <c r="P957" s="75"/>
      <c r="U957" s="72"/>
      <c r="V957" s="73"/>
      <c r="W957" s="70"/>
      <c r="X957" s="74"/>
      <c r="Y957" s="75"/>
      <c r="Z957" s="75"/>
    </row>
    <row r="958" spans="1:26" x14ac:dyDescent="0.3">
      <c r="A958" s="72"/>
      <c r="B958" s="73"/>
      <c r="C958" s="70"/>
      <c r="D958" s="74"/>
      <c r="E958" s="75"/>
      <c r="F958" s="75"/>
      <c r="K958" s="72"/>
      <c r="L958" s="73"/>
      <c r="M958" s="70"/>
      <c r="N958" s="74"/>
      <c r="O958" s="75"/>
      <c r="P958" s="75"/>
      <c r="U958" s="72"/>
      <c r="V958" s="73"/>
      <c r="W958" s="70"/>
      <c r="X958" s="74"/>
      <c r="Y958" s="75"/>
      <c r="Z958" s="75"/>
    </row>
    <row r="959" spans="1:26" x14ac:dyDescent="0.3">
      <c r="A959" s="72"/>
      <c r="B959" s="73"/>
      <c r="C959" s="70"/>
      <c r="D959" s="74"/>
      <c r="E959" s="75"/>
      <c r="F959" s="75"/>
      <c r="K959" s="72"/>
      <c r="L959" s="73"/>
      <c r="M959" s="70"/>
      <c r="N959" s="74"/>
      <c r="O959" s="75"/>
      <c r="P959" s="75"/>
      <c r="U959" s="72"/>
      <c r="V959" s="73"/>
      <c r="W959" s="70"/>
      <c r="X959" s="74"/>
      <c r="Y959" s="75"/>
      <c r="Z959" s="75"/>
    </row>
    <row r="960" spans="1:26" x14ac:dyDescent="0.3">
      <c r="A960" s="72"/>
      <c r="B960" s="73"/>
      <c r="C960" s="70"/>
      <c r="D960" s="74"/>
      <c r="E960" s="75"/>
      <c r="F960" s="75"/>
      <c r="K960" s="72"/>
      <c r="L960" s="73"/>
      <c r="M960" s="70"/>
      <c r="N960" s="74"/>
      <c r="O960" s="75"/>
      <c r="P960" s="75"/>
      <c r="U960" s="72"/>
      <c r="V960" s="73"/>
      <c r="W960" s="70"/>
      <c r="X960" s="74"/>
      <c r="Y960" s="75"/>
      <c r="Z960" s="75"/>
    </row>
    <row r="961" spans="1:26" x14ac:dyDescent="0.3">
      <c r="A961" s="72"/>
      <c r="B961" s="73"/>
      <c r="C961" s="70"/>
      <c r="D961" s="74"/>
      <c r="E961" s="75"/>
      <c r="F961" s="75"/>
      <c r="K961" s="72"/>
      <c r="L961" s="73"/>
      <c r="M961" s="70"/>
      <c r="N961" s="74"/>
      <c r="O961" s="75"/>
      <c r="P961" s="75"/>
      <c r="U961" s="72"/>
      <c r="V961" s="73"/>
      <c r="W961" s="70"/>
      <c r="X961" s="74"/>
      <c r="Y961" s="75"/>
      <c r="Z961" s="75"/>
    </row>
    <row r="962" spans="1:26" x14ac:dyDescent="0.3">
      <c r="A962" s="72"/>
      <c r="B962" s="73"/>
      <c r="C962" s="70"/>
      <c r="D962" s="74"/>
      <c r="E962" s="75"/>
      <c r="F962" s="75"/>
      <c r="K962" s="72"/>
      <c r="L962" s="73"/>
      <c r="M962" s="70"/>
      <c r="N962" s="74"/>
      <c r="O962" s="75"/>
      <c r="P962" s="75"/>
      <c r="U962" s="72"/>
      <c r="V962" s="73"/>
      <c r="W962" s="70"/>
      <c r="X962" s="74"/>
      <c r="Y962" s="75"/>
      <c r="Z962" s="75"/>
    </row>
    <row r="963" spans="1:26" x14ac:dyDescent="0.3">
      <c r="A963" s="72"/>
      <c r="B963" s="73"/>
      <c r="C963" s="70"/>
      <c r="D963" s="74"/>
      <c r="E963" s="75"/>
      <c r="F963" s="75"/>
      <c r="K963" s="72"/>
      <c r="L963" s="73"/>
      <c r="M963" s="70"/>
      <c r="N963" s="74"/>
      <c r="O963" s="75"/>
      <c r="P963" s="75"/>
      <c r="U963" s="72"/>
      <c r="V963" s="73"/>
      <c r="W963" s="70"/>
      <c r="X963" s="74"/>
      <c r="Y963" s="75"/>
      <c r="Z963" s="75"/>
    </row>
    <row r="964" spans="1:26" x14ac:dyDescent="0.3">
      <c r="A964" s="72"/>
      <c r="B964" s="73"/>
      <c r="C964" s="70"/>
      <c r="D964" s="74"/>
      <c r="E964" s="75"/>
      <c r="F964" s="75"/>
      <c r="K964" s="72"/>
      <c r="L964" s="73"/>
      <c r="M964" s="70"/>
      <c r="N964" s="74"/>
      <c r="O964" s="75"/>
      <c r="P964" s="75"/>
      <c r="U964" s="72"/>
      <c r="V964" s="73"/>
      <c r="W964" s="70"/>
      <c r="X964" s="74"/>
      <c r="Y964" s="75"/>
      <c r="Z964" s="75"/>
    </row>
    <row r="965" spans="1:26" x14ac:dyDescent="0.3">
      <c r="A965" s="72"/>
      <c r="B965" s="73"/>
      <c r="C965" s="70"/>
      <c r="D965" s="74"/>
      <c r="E965" s="75"/>
      <c r="F965" s="75"/>
      <c r="K965" s="72"/>
      <c r="L965" s="73"/>
      <c r="M965" s="70"/>
      <c r="N965" s="74"/>
      <c r="O965" s="75"/>
      <c r="P965" s="75"/>
      <c r="U965" s="72"/>
      <c r="V965" s="73"/>
      <c r="W965" s="70"/>
      <c r="X965" s="74"/>
      <c r="Y965" s="75"/>
      <c r="Z965" s="75"/>
    </row>
    <row r="966" spans="1:26" x14ac:dyDescent="0.3">
      <c r="A966" s="72"/>
      <c r="B966" s="73"/>
      <c r="C966" s="70"/>
      <c r="D966" s="74"/>
      <c r="E966" s="75"/>
      <c r="F966" s="75"/>
      <c r="K966" s="72"/>
      <c r="L966" s="73"/>
      <c r="M966" s="70"/>
      <c r="N966" s="74"/>
      <c r="O966" s="75"/>
      <c r="P966" s="75"/>
      <c r="U966" s="72"/>
      <c r="V966" s="73"/>
      <c r="W966" s="70"/>
      <c r="X966" s="74"/>
      <c r="Y966" s="75"/>
      <c r="Z966" s="75"/>
    </row>
    <row r="967" spans="1:26" x14ac:dyDescent="0.3">
      <c r="A967" s="72"/>
      <c r="B967" s="73"/>
      <c r="C967" s="70"/>
      <c r="D967" s="74"/>
      <c r="E967" s="75"/>
      <c r="F967" s="75"/>
      <c r="K967" s="72"/>
      <c r="L967" s="73"/>
      <c r="M967" s="70"/>
      <c r="N967" s="74"/>
      <c r="O967" s="75"/>
      <c r="P967" s="75"/>
      <c r="U967" s="72"/>
      <c r="V967" s="73"/>
      <c r="W967" s="70"/>
      <c r="X967" s="74"/>
      <c r="Y967" s="75"/>
      <c r="Z967" s="75"/>
    </row>
    <row r="968" spans="1:26" x14ac:dyDescent="0.3">
      <c r="A968" s="72"/>
      <c r="B968" s="73"/>
      <c r="C968" s="70"/>
      <c r="D968" s="74"/>
      <c r="E968" s="75"/>
      <c r="F968" s="75"/>
      <c r="K968" s="72"/>
      <c r="L968" s="73"/>
      <c r="M968" s="70"/>
      <c r="N968" s="74"/>
      <c r="O968" s="75"/>
      <c r="P968" s="75"/>
      <c r="U968" s="72"/>
      <c r="V968" s="73"/>
      <c r="W968" s="70"/>
      <c r="X968" s="74"/>
      <c r="Y968" s="75"/>
      <c r="Z968" s="75"/>
    </row>
    <row r="969" spans="1:26" x14ac:dyDescent="0.3">
      <c r="A969" s="72"/>
      <c r="B969" s="73"/>
      <c r="C969" s="70"/>
      <c r="D969" s="74"/>
      <c r="E969" s="75"/>
      <c r="F969" s="75"/>
      <c r="K969" s="72"/>
      <c r="L969" s="73"/>
      <c r="M969" s="70"/>
      <c r="N969" s="74"/>
      <c r="O969" s="75"/>
      <c r="P969" s="75"/>
      <c r="U969" s="72"/>
      <c r="V969" s="73"/>
      <c r="W969" s="70"/>
      <c r="X969" s="74"/>
      <c r="Y969" s="75"/>
      <c r="Z969" s="75"/>
    </row>
    <row r="970" spans="1:26" x14ac:dyDescent="0.3">
      <c r="A970" s="72"/>
      <c r="B970" s="73"/>
      <c r="C970" s="70"/>
      <c r="D970" s="74"/>
      <c r="E970" s="75"/>
      <c r="F970" s="75"/>
      <c r="K970" s="72"/>
      <c r="L970" s="73"/>
      <c r="M970" s="70"/>
      <c r="N970" s="74"/>
      <c r="O970" s="75"/>
      <c r="P970" s="75"/>
      <c r="U970" s="72"/>
      <c r="V970" s="73"/>
      <c r="W970" s="70"/>
      <c r="X970" s="74"/>
      <c r="Y970" s="75"/>
      <c r="Z970" s="75"/>
    </row>
    <row r="971" spans="1:26" x14ac:dyDescent="0.3">
      <c r="A971" s="72"/>
      <c r="B971" s="73"/>
      <c r="C971" s="70"/>
      <c r="D971" s="74"/>
      <c r="E971" s="75"/>
      <c r="F971" s="75"/>
      <c r="K971" s="72"/>
      <c r="L971" s="73"/>
      <c r="M971" s="70"/>
      <c r="N971" s="74"/>
      <c r="O971" s="75"/>
      <c r="P971" s="75"/>
      <c r="U971" s="72"/>
      <c r="V971" s="73"/>
      <c r="W971" s="70"/>
      <c r="X971" s="74"/>
      <c r="Y971" s="75"/>
      <c r="Z971" s="75"/>
    </row>
    <row r="972" spans="1:26" x14ac:dyDescent="0.3">
      <c r="A972" s="72"/>
      <c r="B972" s="73"/>
      <c r="C972" s="70"/>
      <c r="D972" s="74"/>
      <c r="E972" s="75"/>
      <c r="F972" s="75"/>
      <c r="K972" s="72"/>
      <c r="L972" s="73"/>
      <c r="M972" s="70"/>
      <c r="N972" s="74"/>
      <c r="O972" s="75"/>
      <c r="P972" s="75"/>
      <c r="U972" s="72"/>
      <c r="V972" s="73"/>
      <c r="W972" s="70"/>
      <c r="X972" s="74"/>
      <c r="Y972" s="75"/>
      <c r="Z972" s="75"/>
    </row>
    <row r="973" spans="1:26" x14ac:dyDescent="0.3">
      <c r="A973" s="72"/>
      <c r="B973" s="73"/>
      <c r="C973" s="70"/>
      <c r="D973" s="74"/>
      <c r="E973" s="75"/>
      <c r="F973" s="75"/>
      <c r="K973" s="72"/>
      <c r="L973" s="73"/>
      <c r="M973" s="70"/>
      <c r="N973" s="74"/>
      <c r="O973" s="75"/>
      <c r="P973" s="75"/>
      <c r="U973" s="72"/>
      <c r="V973" s="73"/>
      <c r="W973" s="70"/>
      <c r="X973" s="74"/>
      <c r="Y973" s="75"/>
      <c r="Z973" s="75"/>
    </row>
    <row r="974" spans="1:26" x14ac:dyDescent="0.3">
      <c r="A974" s="72"/>
      <c r="B974" s="73"/>
      <c r="C974" s="70"/>
      <c r="D974" s="74"/>
      <c r="E974" s="75"/>
      <c r="F974" s="75"/>
      <c r="K974" s="72"/>
      <c r="L974" s="73"/>
      <c r="M974" s="70"/>
      <c r="N974" s="74"/>
      <c r="O974" s="75"/>
      <c r="P974" s="75"/>
      <c r="U974" s="72"/>
      <c r="V974" s="73"/>
      <c r="W974" s="70"/>
      <c r="X974" s="74"/>
      <c r="Y974" s="75"/>
      <c r="Z974" s="75"/>
    </row>
    <row r="975" spans="1:26" x14ac:dyDescent="0.3">
      <c r="A975" s="72"/>
      <c r="B975" s="73"/>
      <c r="C975" s="70"/>
      <c r="D975" s="74"/>
      <c r="E975" s="75"/>
      <c r="F975" s="75"/>
      <c r="K975" s="72"/>
      <c r="L975" s="73"/>
      <c r="M975" s="70"/>
      <c r="N975" s="74"/>
      <c r="O975" s="75"/>
      <c r="P975" s="75"/>
      <c r="U975" s="72"/>
      <c r="V975" s="73"/>
      <c r="W975" s="70"/>
      <c r="X975" s="74"/>
      <c r="Y975" s="75"/>
      <c r="Z975" s="75"/>
    </row>
    <row r="976" spans="1:26" x14ac:dyDescent="0.3">
      <c r="A976" s="72"/>
      <c r="B976" s="73"/>
      <c r="C976" s="70"/>
      <c r="D976" s="74"/>
      <c r="E976" s="75"/>
      <c r="F976" s="75"/>
      <c r="K976" s="72"/>
      <c r="L976" s="73"/>
      <c r="M976" s="70"/>
      <c r="N976" s="74"/>
      <c r="O976" s="75"/>
      <c r="P976" s="75"/>
      <c r="U976" s="72"/>
      <c r="V976" s="73"/>
      <c r="W976" s="70"/>
      <c r="X976" s="74"/>
      <c r="Y976" s="75"/>
      <c r="Z976" s="75"/>
    </row>
    <row r="977" spans="1:26" x14ac:dyDescent="0.3">
      <c r="A977" s="72"/>
      <c r="B977" s="73"/>
      <c r="C977" s="70"/>
      <c r="D977" s="74"/>
      <c r="E977" s="75"/>
      <c r="F977" s="75"/>
      <c r="K977" s="72"/>
      <c r="L977" s="73"/>
      <c r="M977" s="70"/>
      <c r="N977" s="74"/>
      <c r="O977" s="75"/>
      <c r="P977" s="75"/>
      <c r="U977" s="72"/>
      <c r="V977" s="73"/>
      <c r="W977" s="70"/>
      <c r="X977" s="74"/>
      <c r="Y977" s="75"/>
      <c r="Z977" s="75"/>
    </row>
    <row r="978" spans="1:26" x14ac:dyDescent="0.3">
      <c r="A978" s="72"/>
      <c r="B978" s="73"/>
      <c r="C978" s="70"/>
      <c r="D978" s="74"/>
      <c r="E978" s="75"/>
      <c r="F978" s="75"/>
      <c r="K978" s="72"/>
      <c r="L978" s="73"/>
      <c r="M978" s="70"/>
      <c r="N978" s="74"/>
      <c r="O978" s="75"/>
      <c r="P978" s="75"/>
      <c r="U978" s="72"/>
      <c r="V978" s="73"/>
      <c r="W978" s="70"/>
      <c r="X978" s="74"/>
      <c r="Y978" s="75"/>
      <c r="Z978" s="75"/>
    </row>
    <row r="979" spans="1:26" x14ac:dyDescent="0.3">
      <c r="A979" s="72"/>
      <c r="B979" s="73"/>
      <c r="C979" s="70"/>
      <c r="D979" s="74"/>
      <c r="E979" s="75"/>
      <c r="F979" s="75"/>
      <c r="K979" s="72"/>
      <c r="L979" s="73"/>
      <c r="M979" s="70"/>
      <c r="N979" s="74"/>
      <c r="O979" s="75"/>
      <c r="P979" s="75"/>
      <c r="U979" s="72"/>
      <c r="V979" s="73"/>
      <c r="W979" s="70"/>
      <c r="X979" s="74"/>
      <c r="Y979" s="75"/>
      <c r="Z979" s="75"/>
    </row>
    <row r="980" spans="1:26" x14ac:dyDescent="0.3">
      <c r="A980" s="72"/>
      <c r="B980" s="73"/>
      <c r="C980" s="70"/>
      <c r="D980" s="74"/>
      <c r="E980" s="75"/>
      <c r="F980" s="75"/>
      <c r="K980" s="72"/>
      <c r="L980" s="73"/>
      <c r="M980" s="70"/>
      <c r="N980" s="74"/>
      <c r="O980" s="75"/>
      <c r="P980" s="75"/>
      <c r="U980" s="72"/>
      <c r="V980" s="73"/>
      <c r="W980" s="70"/>
      <c r="X980" s="74"/>
      <c r="Y980" s="75"/>
      <c r="Z980" s="75"/>
    </row>
    <row r="981" spans="1:26" x14ac:dyDescent="0.3">
      <c r="A981" s="72"/>
      <c r="B981" s="73"/>
      <c r="C981" s="70"/>
      <c r="D981" s="74"/>
      <c r="E981" s="75"/>
      <c r="F981" s="75"/>
      <c r="K981" s="72"/>
      <c r="L981" s="73"/>
      <c r="M981" s="70"/>
      <c r="N981" s="74"/>
      <c r="O981" s="75"/>
      <c r="P981" s="75"/>
      <c r="U981" s="72"/>
      <c r="V981" s="73"/>
      <c r="W981" s="70"/>
      <c r="X981" s="74"/>
      <c r="Y981" s="75"/>
      <c r="Z981" s="75"/>
    </row>
    <row r="982" spans="1:26" x14ac:dyDescent="0.3">
      <c r="A982" s="72"/>
      <c r="B982" s="73"/>
      <c r="C982" s="70"/>
      <c r="D982" s="74"/>
      <c r="E982" s="75"/>
      <c r="F982" s="75"/>
      <c r="K982" s="72"/>
      <c r="L982" s="73"/>
      <c r="M982" s="70"/>
      <c r="N982" s="74"/>
      <c r="O982" s="75"/>
      <c r="P982" s="75"/>
      <c r="U982" s="72"/>
      <c r="V982" s="73"/>
      <c r="W982" s="70"/>
      <c r="X982" s="74"/>
      <c r="Y982" s="75"/>
      <c r="Z982" s="75"/>
    </row>
    <row r="983" spans="1:26" x14ac:dyDescent="0.3">
      <c r="A983" s="72"/>
      <c r="B983" s="73"/>
      <c r="C983" s="70"/>
      <c r="D983" s="74"/>
      <c r="E983" s="75"/>
      <c r="F983" s="75"/>
      <c r="K983" s="72"/>
      <c r="L983" s="73"/>
      <c r="M983" s="70"/>
      <c r="N983" s="74"/>
      <c r="O983" s="75"/>
      <c r="P983" s="75"/>
      <c r="U983" s="72"/>
      <c r="V983" s="73"/>
      <c r="W983" s="70"/>
      <c r="X983" s="74"/>
      <c r="Y983" s="75"/>
      <c r="Z983" s="75"/>
    </row>
    <row r="984" spans="1:26" x14ac:dyDescent="0.3">
      <c r="A984" s="72"/>
      <c r="B984" s="73"/>
      <c r="C984" s="70"/>
      <c r="D984" s="74"/>
      <c r="E984" s="75"/>
      <c r="F984" s="75"/>
      <c r="K984" s="72"/>
      <c r="L984" s="73"/>
      <c r="M984" s="70"/>
      <c r="N984" s="74"/>
      <c r="O984" s="75"/>
      <c r="P984" s="75"/>
      <c r="U984" s="72"/>
      <c r="V984" s="73"/>
      <c r="W984" s="70"/>
      <c r="X984" s="74"/>
      <c r="Y984" s="75"/>
      <c r="Z984" s="75"/>
    </row>
    <row r="985" spans="1:26" x14ac:dyDescent="0.3">
      <c r="A985" s="72"/>
      <c r="B985" s="73"/>
      <c r="C985" s="70"/>
      <c r="D985" s="74"/>
      <c r="E985" s="75"/>
      <c r="F985" s="75"/>
      <c r="K985" s="72"/>
      <c r="L985" s="73"/>
      <c r="M985" s="70"/>
      <c r="N985" s="74"/>
      <c r="O985" s="75"/>
      <c r="P985" s="75"/>
      <c r="U985" s="72"/>
      <c r="V985" s="73"/>
      <c r="W985" s="70"/>
      <c r="X985" s="74"/>
      <c r="Y985" s="75"/>
      <c r="Z985" s="75"/>
    </row>
    <row r="986" spans="1:26" x14ac:dyDescent="0.3">
      <c r="A986" s="72"/>
      <c r="B986" s="73"/>
      <c r="C986" s="70"/>
      <c r="D986" s="74"/>
      <c r="E986" s="75"/>
      <c r="F986" s="75"/>
      <c r="K986" s="72"/>
      <c r="L986" s="73"/>
      <c r="M986" s="70"/>
      <c r="N986" s="74"/>
      <c r="O986" s="75"/>
      <c r="P986" s="75"/>
      <c r="U986" s="72"/>
      <c r="V986" s="73"/>
      <c r="W986" s="70"/>
      <c r="X986" s="74"/>
      <c r="Y986" s="75"/>
      <c r="Z986" s="75"/>
    </row>
    <row r="987" spans="1:26" x14ac:dyDescent="0.3">
      <c r="A987" s="72"/>
      <c r="B987" s="73"/>
      <c r="C987" s="70"/>
      <c r="D987" s="74"/>
      <c r="E987" s="75"/>
      <c r="F987" s="75"/>
      <c r="K987" s="72"/>
      <c r="L987" s="73"/>
      <c r="M987" s="70"/>
      <c r="N987" s="74"/>
      <c r="O987" s="75"/>
      <c r="P987" s="75"/>
      <c r="U987" s="72"/>
      <c r="V987" s="73"/>
      <c r="W987" s="70"/>
      <c r="X987" s="74"/>
      <c r="Y987" s="75"/>
      <c r="Z987" s="75"/>
    </row>
    <row r="988" spans="1:26" x14ac:dyDescent="0.3">
      <c r="A988" s="72"/>
      <c r="B988" s="73"/>
      <c r="C988" s="70"/>
      <c r="D988" s="74"/>
      <c r="E988" s="75"/>
      <c r="F988" s="75"/>
      <c r="K988" s="72"/>
      <c r="L988" s="73"/>
      <c r="M988" s="70"/>
      <c r="N988" s="74"/>
      <c r="O988" s="75"/>
      <c r="P988" s="75"/>
      <c r="U988" s="72"/>
      <c r="V988" s="73"/>
      <c r="W988" s="70"/>
      <c r="X988" s="74"/>
      <c r="Y988" s="75"/>
      <c r="Z988" s="75"/>
    </row>
    <row r="989" spans="1:26" x14ac:dyDescent="0.3">
      <c r="A989" s="72"/>
      <c r="B989" s="73"/>
      <c r="C989" s="70"/>
      <c r="D989" s="74"/>
      <c r="E989" s="75"/>
      <c r="F989" s="75"/>
      <c r="K989" s="72"/>
      <c r="L989" s="73"/>
      <c r="M989" s="70"/>
      <c r="N989" s="74"/>
      <c r="O989" s="75"/>
      <c r="P989" s="75"/>
      <c r="U989" s="72"/>
      <c r="V989" s="73"/>
      <c r="W989" s="70"/>
      <c r="X989" s="74"/>
      <c r="Y989" s="75"/>
      <c r="Z989" s="75"/>
    </row>
    <row r="990" spans="1:26" x14ac:dyDescent="0.3">
      <c r="A990" s="72"/>
      <c r="B990" s="73"/>
      <c r="C990" s="70"/>
      <c r="D990" s="74"/>
      <c r="E990" s="75"/>
      <c r="F990" s="75"/>
      <c r="K990" s="72"/>
      <c r="L990" s="73"/>
      <c r="M990" s="70"/>
      <c r="N990" s="74"/>
      <c r="O990" s="75"/>
      <c r="P990" s="75"/>
      <c r="U990" s="72"/>
      <c r="V990" s="73"/>
      <c r="W990" s="70"/>
      <c r="X990" s="74"/>
      <c r="Y990" s="75"/>
      <c r="Z990" s="75"/>
    </row>
    <row r="991" spans="1:26" x14ac:dyDescent="0.3">
      <c r="A991" s="72"/>
      <c r="B991" s="73"/>
      <c r="C991" s="70"/>
      <c r="D991" s="74"/>
      <c r="E991" s="75"/>
      <c r="F991" s="75"/>
      <c r="K991" s="72"/>
      <c r="L991" s="73"/>
      <c r="M991" s="70"/>
      <c r="N991" s="74"/>
      <c r="O991" s="75"/>
      <c r="P991" s="75"/>
      <c r="U991" s="72"/>
      <c r="V991" s="73"/>
      <c r="W991" s="70"/>
      <c r="X991" s="74"/>
      <c r="Y991" s="75"/>
      <c r="Z991" s="75"/>
    </row>
    <row r="992" spans="1:26" x14ac:dyDescent="0.3">
      <c r="A992" s="72"/>
      <c r="B992" s="73"/>
      <c r="C992" s="70"/>
      <c r="D992" s="74"/>
      <c r="E992" s="75"/>
      <c r="F992" s="75"/>
      <c r="K992" s="72"/>
      <c r="L992" s="73"/>
      <c r="M992" s="70"/>
      <c r="N992" s="74"/>
      <c r="O992" s="75"/>
      <c r="P992" s="75"/>
      <c r="U992" s="72"/>
      <c r="V992" s="73"/>
      <c r="W992" s="70"/>
      <c r="X992" s="74"/>
      <c r="Y992" s="75"/>
      <c r="Z992" s="75"/>
    </row>
    <row r="993" spans="1:26" x14ac:dyDescent="0.3">
      <c r="A993" s="72"/>
      <c r="B993" s="73"/>
      <c r="C993" s="70"/>
      <c r="D993" s="74"/>
      <c r="E993" s="75"/>
      <c r="F993" s="75"/>
      <c r="K993" s="72"/>
      <c r="L993" s="73"/>
      <c r="M993" s="70"/>
      <c r="N993" s="74"/>
      <c r="O993" s="75"/>
      <c r="P993" s="75"/>
      <c r="U993" s="72"/>
      <c r="V993" s="73"/>
      <c r="W993" s="70"/>
      <c r="X993" s="74"/>
      <c r="Y993" s="75"/>
      <c r="Z993" s="75"/>
    </row>
    <row r="994" spans="1:26" x14ac:dyDescent="0.3">
      <c r="A994" s="72"/>
      <c r="B994" s="73"/>
      <c r="C994" s="70"/>
      <c r="D994" s="74"/>
      <c r="E994" s="75"/>
      <c r="F994" s="75"/>
      <c r="K994" s="72"/>
      <c r="L994" s="73"/>
      <c r="M994" s="70"/>
      <c r="N994" s="74"/>
      <c r="O994" s="75"/>
      <c r="P994" s="75"/>
      <c r="U994" s="72"/>
      <c r="V994" s="73"/>
      <c r="W994" s="70"/>
      <c r="X994" s="74"/>
      <c r="Y994" s="75"/>
      <c r="Z994" s="75"/>
    </row>
    <row r="995" spans="1:26" x14ac:dyDescent="0.3">
      <c r="A995" s="72"/>
      <c r="B995" s="73"/>
      <c r="C995" s="70"/>
      <c r="D995" s="74"/>
      <c r="E995" s="75"/>
      <c r="F995" s="75"/>
      <c r="K995" s="72"/>
      <c r="L995" s="73"/>
      <c r="M995" s="70"/>
      <c r="N995" s="74"/>
      <c r="O995" s="75"/>
      <c r="P995" s="75"/>
      <c r="U995" s="72"/>
      <c r="V995" s="73"/>
      <c r="W995" s="70"/>
      <c r="X995" s="74"/>
      <c r="Y995" s="75"/>
      <c r="Z995" s="75"/>
    </row>
    <row r="996" spans="1:26" x14ac:dyDescent="0.3">
      <c r="A996" s="72"/>
      <c r="B996" s="73"/>
      <c r="C996" s="70"/>
      <c r="D996" s="74"/>
      <c r="E996" s="75"/>
      <c r="F996" s="75"/>
      <c r="K996" s="72"/>
      <c r="L996" s="73"/>
      <c r="M996" s="70"/>
      <c r="N996" s="74"/>
      <c r="O996" s="75"/>
      <c r="P996" s="75"/>
      <c r="U996" s="72"/>
      <c r="V996" s="73"/>
      <c r="W996" s="70"/>
      <c r="X996" s="74"/>
      <c r="Y996" s="75"/>
      <c r="Z996" s="75"/>
    </row>
    <row r="997" spans="1:26" x14ac:dyDescent="0.3">
      <c r="A997" s="72"/>
      <c r="B997" s="73"/>
      <c r="C997" s="70"/>
      <c r="D997" s="74"/>
      <c r="E997" s="75"/>
      <c r="F997" s="75"/>
      <c r="K997" s="72"/>
      <c r="L997" s="73"/>
      <c r="M997" s="70"/>
      <c r="N997" s="74"/>
      <c r="O997" s="75"/>
      <c r="P997" s="75"/>
      <c r="U997" s="72"/>
      <c r="V997" s="73"/>
      <c r="W997" s="70"/>
      <c r="X997" s="74"/>
      <c r="Y997" s="75"/>
      <c r="Z997" s="75"/>
    </row>
    <row r="998" spans="1:26" x14ac:dyDescent="0.3">
      <c r="A998" s="72"/>
      <c r="B998" s="73"/>
      <c r="C998" s="70"/>
      <c r="D998" s="74"/>
      <c r="E998" s="75"/>
      <c r="F998" s="75"/>
      <c r="K998" s="72"/>
      <c r="L998" s="73"/>
      <c r="M998" s="70"/>
      <c r="N998" s="74"/>
      <c r="O998" s="75"/>
      <c r="P998" s="75"/>
      <c r="U998" s="72"/>
      <c r="V998" s="73"/>
      <c r="W998" s="70"/>
      <c r="X998" s="74"/>
      <c r="Y998" s="75"/>
      <c r="Z998" s="75"/>
    </row>
    <row r="999" spans="1:26" x14ac:dyDescent="0.3">
      <c r="A999" s="72"/>
      <c r="B999" s="73"/>
      <c r="C999" s="70"/>
      <c r="D999" s="74"/>
      <c r="E999" s="75"/>
      <c r="F999" s="75"/>
      <c r="K999" s="72"/>
      <c r="L999" s="73"/>
      <c r="M999" s="70"/>
      <c r="N999" s="74"/>
      <c r="O999" s="75"/>
      <c r="P999" s="75"/>
      <c r="U999" s="72"/>
      <c r="V999" s="73"/>
      <c r="W999" s="70"/>
      <c r="X999" s="74"/>
      <c r="Y999" s="75"/>
      <c r="Z999" s="75"/>
    </row>
    <row r="1000" spans="1:26" x14ac:dyDescent="0.3">
      <c r="A1000" s="72"/>
      <c r="B1000" s="73"/>
      <c r="C1000" s="70"/>
      <c r="D1000" s="74"/>
      <c r="E1000" s="75"/>
      <c r="F1000" s="75"/>
      <c r="K1000" s="72"/>
      <c r="L1000" s="73"/>
      <c r="M1000" s="70"/>
      <c r="N1000" s="74"/>
      <c r="O1000" s="75"/>
      <c r="P1000" s="75"/>
      <c r="U1000" s="72"/>
      <c r="V1000" s="73"/>
      <c r="W1000" s="70"/>
      <c r="X1000" s="74"/>
      <c r="Y1000" s="75"/>
      <c r="Z1000" s="75"/>
    </row>
    <row r="1001" spans="1:26" x14ac:dyDescent="0.3">
      <c r="A1001" s="72"/>
      <c r="B1001" s="73"/>
      <c r="C1001" s="70"/>
      <c r="D1001" s="74"/>
      <c r="E1001" s="75"/>
      <c r="F1001" s="75"/>
      <c r="K1001" s="72"/>
      <c r="L1001" s="73"/>
      <c r="M1001" s="70"/>
      <c r="N1001" s="74"/>
      <c r="O1001" s="75"/>
      <c r="P1001" s="75"/>
      <c r="U1001" s="72"/>
      <c r="V1001" s="73"/>
      <c r="W1001" s="70"/>
      <c r="X1001" s="74"/>
      <c r="Y1001" s="75"/>
      <c r="Z1001" s="75"/>
    </row>
    <row r="1002" spans="1:26" x14ac:dyDescent="0.3">
      <c r="A1002" s="72"/>
      <c r="B1002" s="73"/>
      <c r="C1002" s="70"/>
      <c r="D1002" s="74"/>
      <c r="E1002" s="75"/>
      <c r="F1002" s="75"/>
      <c r="K1002" s="72"/>
      <c r="L1002" s="73"/>
      <c r="M1002" s="70"/>
      <c r="N1002" s="74"/>
      <c r="O1002" s="75"/>
      <c r="P1002" s="75"/>
      <c r="U1002" s="72"/>
      <c r="V1002" s="73"/>
      <c r="W1002" s="70"/>
      <c r="X1002" s="74"/>
      <c r="Y1002" s="75"/>
      <c r="Z1002" s="75"/>
    </row>
    <row r="1003" spans="1:26" x14ac:dyDescent="0.3">
      <c r="A1003" s="72"/>
      <c r="B1003" s="73"/>
      <c r="C1003" s="70"/>
      <c r="D1003" s="74"/>
      <c r="E1003" s="75"/>
      <c r="F1003" s="75"/>
      <c r="K1003" s="72"/>
      <c r="L1003" s="73"/>
      <c r="M1003" s="70"/>
      <c r="N1003" s="74"/>
      <c r="O1003" s="75"/>
      <c r="P1003" s="75"/>
      <c r="U1003" s="72"/>
      <c r="V1003" s="73"/>
      <c r="W1003" s="70"/>
      <c r="X1003" s="74"/>
      <c r="Y1003" s="75"/>
      <c r="Z1003" s="75"/>
    </row>
    <row r="1004" spans="1:26" x14ac:dyDescent="0.3">
      <c r="A1004" s="72"/>
      <c r="B1004" s="73"/>
      <c r="C1004" s="70"/>
      <c r="D1004" s="74"/>
      <c r="E1004" s="75"/>
      <c r="F1004" s="75"/>
      <c r="K1004" s="72"/>
      <c r="L1004" s="73"/>
      <c r="M1004" s="70"/>
      <c r="N1004" s="74"/>
      <c r="O1004" s="75"/>
      <c r="P1004" s="75"/>
      <c r="U1004" s="72"/>
      <c r="V1004" s="73"/>
      <c r="W1004" s="70"/>
      <c r="X1004" s="74"/>
      <c r="Y1004" s="75"/>
      <c r="Z1004" s="75"/>
    </row>
    <row r="1005" spans="1:26" x14ac:dyDescent="0.3">
      <c r="A1005" s="72"/>
      <c r="B1005" s="73"/>
      <c r="C1005" s="70"/>
      <c r="D1005" s="74"/>
      <c r="E1005" s="75"/>
      <c r="F1005" s="75"/>
      <c r="K1005" s="72"/>
      <c r="L1005" s="73"/>
      <c r="M1005" s="70"/>
      <c r="N1005" s="74"/>
      <c r="O1005" s="75"/>
      <c r="P1005" s="75"/>
      <c r="U1005" s="72"/>
      <c r="V1005" s="73"/>
      <c r="W1005" s="70"/>
      <c r="X1005" s="74"/>
      <c r="Y1005" s="75"/>
      <c r="Z1005" s="75"/>
    </row>
    <row r="1006" spans="1:26" x14ac:dyDescent="0.3">
      <c r="A1006" s="72"/>
      <c r="B1006" s="73"/>
      <c r="C1006" s="70"/>
      <c r="D1006" s="74"/>
      <c r="E1006" s="75"/>
      <c r="F1006" s="75"/>
      <c r="K1006" s="72"/>
      <c r="L1006" s="73"/>
      <c r="M1006" s="70"/>
      <c r="N1006" s="74"/>
      <c r="O1006" s="75"/>
      <c r="P1006" s="75"/>
      <c r="U1006" s="72"/>
      <c r="V1006" s="73"/>
      <c r="W1006" s="70"/>
      <c r="X1006" s="74"/>
      <c r="Y1006" s="75"/>
      <c r="Z1006" s="75"/>
    </row>
    <row r="1007" spans="1:26" x14ac:dyDescent="0.3">
      <c r="A1007" s="72"/>
      <c r="B1007" s="73"/>
      <c r="C1007" s="70"/>
      <c r="D1007" s="74"/>
      <c r="E1007" s="75"/>
      <c r="F1007" s="75"/>
      <c r="K1007" s="72"/>
      <c r="L1007" s="73"/>
      <c r="M1007" s="70"/>
      <c r="N1007" s="74"/>
      <c r="O1007" s="75"/>
      <c r="P1007" s="75"/>
      <c r="U1007" s="72"/>
      <c r="V1007" s="73"/>
      <c r="W1007" s="70"/>
      <c r="X1007" s="74"/>
      <c r="Y1007" s="75"/>
      <c r="Z1007" s="75"/>
    </row>
    <row r="1008" spans="1:26" x14ac:dyDescent="0.3">
      <c r="A1008" s="72"/>
      <c r="B1008" s="73"/>
      <c r="C1008" s="70"/>
      <c r="D1008" s="74"/>
      <c r="E1008" s="75"/>
      <c r="F1008" s="75"/>
      <c r="K1008" s="72"/>
      <c r="L1008" s="73"/>
      <c r="M1008" s="70"/>
      <c r="N1008" s="74"/>
      <c r="O1008" s="75"/>
      <c r="P1008" s="75"/>
      <c r="U1008" s="72"/>
      <c r="V1008" s="73"/>
      <c r="W1008" s="70"/>
      <c r="X1008" s="74"/>
      <c r="Y1008" s="75"/>
      <c r="Z1008" s="75"/>
    </row>
    <row r="1009" spans="1:26" x14ac:dyDescent="0.3">
      <c r="A1009" s="72"/>
      <c r="B1009" s="73"/>
      <c r="C1009" s="70"/>
      <c r="D1009" s="74"/>
      <c r="E1009" s="75"/>
      <c r="F1009" s="75"/>
      <c r="K1009" s="72"/>
      <c r="L1009" s="73"/>
      <c r="M1009" s="70"/>
      <c r="N1009" s="74"/>
      <c r="O1009" s="75"/>
      <c r="P1009" s="75"/>
      <c r="U1009" s="72"/>
      <c r="V1009" s="73"/>
      <c r="W1009" s="70"/>
      <c r="X1009" s="74"/>
      <c r="Y1009" s="75"/>
      <c r="Z1009" s="75"/>
    </row>
    <row r="1010" spans="1:26" x14ac:dyDescent="0.3">
      <c r="A1010" s="72"/>
      <c r="B1010" s="73"/>
      <c r="C1010" s="70"/>
      <c r="D1010" s="74"/>
      <c r="E1010" s="75"/>
      <c r="F1010" s="75"/>
      <c r="K1010" s="72"/>
      <c r="L1010" s="73"/>
      <c r="M1010" s="70"/>
      <c r="N1010" s="74"/>
      <c r="O1010" s="75"/>
      <c r="P1010" s="75"/>
      <c r="U1010" s="72"/>
      <c r="V1010" s="73"/>
      <c r="W1010" s="70"/>
      <c r="X1010" s="74"/>
      <c r="Y1010" s="75"/>
      <c r="Z1010" s="75"/>
    </row>
    <row r="1011" spans="1:26" x14ac:dyDescent="0.3">
      <c r="A1011" s="72"/>
      <c r="B1011" s="73"/>
      <c r="C1011" s="70"/>
      <c r="D1011" s="74"/>
      <c r="E1011" s="75"/>
      <c r="F1011" s="75"/>
      <c r="K1011" s="72"/>
      <c r="L1011" s="73"/>
      <c r="M1011" s="70"/>
      <c r="N1011" s="74"/>
      <c r="O1011" s="75"/>
      <c r="P1011" s="75"/>
      <c r="U1011" s="72"/>
      <c r="V1011" s="73"/>
      <c r="W1011" s="70"/>
      <c r="X1011" s="74"/>
      <c r="Y1011" s="75"/>
      <c r="Z1011" s="75"/>
    </row>
    <row r="1012" spans="1:26" x14ac:dyDescent="0.3">
      <c r="A1012" s="72"/>
      <c r="B1012" s="73"/>
      <c r="C1012" s="70"/>
      <c r="D1012" s="74"/>
      <c r="E1012" s="75"/>
      <c r="F1012" s="75"/>
      <c r="K1012" s="72"/>
      <c r="L1012" s="73"/>
      <c r="M1012" s="70"/>
      <c r="N1012" s="74"/>
      <c r="O1012" s="75"/>
      <c r="P1012" s="75"/>
      <c r="U1012" s="72"/>
      <c r="V1012" s="73"/>
      <c r="W1012" s="70"/>
      <c r="X1012" s="74"/>
      <c r="Y1012" s="75"/>
      <c r="Z1012" s="75"/>
    </row>
    <row r="1013" spans="1:26" x14ac:dyDescent="0.3">
      <c r="A1013" s="72"/>
      <c r="B1013" s="73"/>
      <c r="C1013" s="70"/>
      <c r="D1013" s="74"/>
      <c r="E1013" s="75"/>
      <c r="F1013" s="75"/>
      <c r="K1013" s="72"/>
      <c r="L1013" s="73"/>
      <c r="M1013" s="70"/>
      <c r="N1013" s="74"/>
      <c r="O1013" s="75"/>
      <c r="P1013" s="75"/>
      <c r="U1013" s="72"/>
      <c r="V1013" s="73"/>
      <c r="W1013" s="70"/>
      <c r="X1013" s="74"/>
      <c r="Y1013" s="75"/>
      <c r="Z1013" s="75"/>
    </row>
    <row r="1014" spans="1:26" x14ac:dyDescent="0.3">
      <c r="A1014" s="72"/>
      <c r="B1014" s="73"/>
      <c r="C1014" s="70"/>
      <c r="D1014" s="74"/>
      <c r="E1014" s="75"/>
      <c r="F1014" s="75"/>
      <c r="K1014" s="72"/>
      <c r="L1014" s="73"/>
      <c r="M1014" s="70"/>
      <c r="N1014" s="74"/>
      <c r="O1014" s="75"/>
      <c r="P1014" s="75"/>
      <c r="U1014" s="72"/>
      <c r="V1014" s="73"/>
      <c r="W1014" s="70"/>
      <c r="X1014" s="74"/>
      <c r="Y1014" s="75"/>
      <c r="Z1014" s="75"/>
    </row>
    <row r="1015" spans="1:26" x14ac:dyDescent="0.3">
      <c r="A1015" s="72"/>
      <c r="B1015" s="73"/>
      <c r="C1015" s="70"/>
      <c r="D1015" s="74"/>
      <c r="E1015" s="75"/>
      <c r="F1015" s="75"/>
      <c r="K1015" s="72"/>
      <c r="L1015" s="73"/>
      <c r="M1015" s="70"/>
      <c r="N1015" s="74"/>
      <c r="O1015" s="75"/>
      <c r="P1015" s="75"/>
      <c r="U1015" s="72"/>
      <c r="V1015" s="73"/>
      <c r="W1015" s="70"/>
      <c r="X1015" s="74"/>
      <c r="Y1015" s="75"/>
      <c r="Z1015" s="75"/>
    </row>
    <row r="1016" spans="1:26" x14ac:dyDescent="0.3">
      <c r="A1016" s="72"/>
      <c r="B1016" s="73"/>
      <c r="C1016" s="70"/>
      <c r="D1016" s="74"/>
      <c r="E1016" s="75"/>
      <c r="F1016" s="75"/>
      <c r="K1016" s="72"/>
      <c r="L1016" s="73"/>
      <c r="M1016" s="70"/>
      <c r="N1016" s="74"/>
      <c r="O1016" s="75"/>
      <c r="P1016" s="75"/>
      <c r="U1016" s="72"/>
      <c r="V1016" s="73"/>
      <c r="W1016" s="70"/>
      <c r="X1016" s="74"/>
      <c r="Y1016" s="75"/>
      <c r="Z1016" s="75"/>
    </row>
    <row r="1017" spans="1:26" x14ac:dyDescent="0.3">
      <c r="A1017" s="72"/>
      <c r="B1017" s="73"/>
      <c r="C1017" s="70"/>
      <c r="D1017" s="74"/>
      <c r="E1017" s="75"/>
      <c r="F1017" s="75"/>
      <c r="K1017" s="72"/>
      <c r="L1017" s="73"/>
      <c r="M1017" s="70"/>
      <c r="N1017" s="74"/>
      <c r="O1017" s="75"/>
      <c r="P1017" s="75"/>
      <c r="U1017" s="72"/>
      <c r="V1017" s="73"/>
      <c r="W1017" s="70"/>
      <c r="X1017" s="74"/>
      <c r="Y1017" s="75"/>
      <c r="Z1017" s="75"/>
    </row>
    <row r="1018" spans="1:26" x14ac:dyDescent="0.3">
      <c r="A1018" s="72"/>
      <c r="B1018" s="73"/>
      <c r="C1018" s="70"/>
      <c r="D1018" s="74"/>
      <c r="E1018" s="75"/>
      <c r="F1018" s="75"/>
      <c r="K1018" s="72"/>
      <c r="L1018" s="73"/>
      <c r="M1018" s="70"/>
      <c r="N1018" s="74"/>
      <c r="O1018" s="75"/>
      <c r="P1018" s="75"/>
      <c r="U1018" s="72"/>
      <c r="V1018" s="73"/>
      <c r="W1018" s="70"/>
      <c r="X1018" s="74"/>
      <c r="Y1018" s="75"/>
      <c r="Z1018" s="75"/>
    </row>
    <row r="1019" spans="1:26" x14ac:dyDescent="0.3">
      <c r="A1019" s="72"/>
      <c r="B1019" s="73"/>
      <c r="C1019" s="70"/>
      <c r="D1019" s="74"/>
      <c r="E1019" s="75"/>
      <c r="F1019" s="75"/>
      <c r="K1019" s="72"/>
      <c r="L1019" s="73"/>
      <c r="M1019" s="70"/>
      <c r="N1019" s="74"/>
      <c r="O1019" s="75"/>
      <c r="P1019" s="75"/>
      <c r="U1019" s="72"/>
      <c r="V1019" s="73"/>
      <c r="W1019" s="70"/>
      <c r="X1019" s="74"/>
      <c r="Y1019" s="75"/>
      <c r="Z1019" s="75"/>
    </row>
    <row r="1020" spans="1:26" x14ac:dyDescent="0.3">
      <c r="A1020" s="72"/>
      <c r="B1020" s="73"/>
      <c r="C1020" s="70"/>
      <c r="D1020" s="74"/>
      <c r="E1020" s="75"/>
      <c r="F1020" s="75"/>
      <c r="K1020" s="72"/>
      <c r="L1020" s="73"/>
      <c r="M1020" s="70"/>
      <c r="N1020" s="74"/>
      <c r="O1020" s="75"/>
      <c r="P1020" s="75"/>
      <c r="U1020" s="72"/>
      <c r="V1020" s="73"/>
      <c r="W1020" s="70"/>
      <c r="X1020" s="74"/>
      <c r="Y1020" s="75"/>
      <c r="Z1020" s="75"/>
    </row>
    <row r="1021" spans="1:26" x14ac:dyDescent="0.3">
      <c r="A1021" s="72"/>
      <c r="B1021" s="73"/>
      <c r="C1021" s="70"/>
      <c r="D1021" s="74"/>
      <c r="E1021" s="75"/>
      <c r="F1021" s="75"/>
      <c r="K1021" s="72"/>
      <c r="L1021" s="73"/>
      <c r="M1021" s="70"/>
      <c r="N1021" s="74"/>
      <c r="O1021" s="75"/>
      <c r="P1021" s="75"/>
      <c r="U1021" s="72"/>
      <c r="V1021" s="73"/>
      <c r="W1021" s="70"/>
      <c r="X1021" s="74"/>
      <c r="Y1021" s="75"/>
      <c r="Z1021" s="75"/>
    </row>
    <row r="1022" spans="1:26" x14ac:dyDescent="0.3">
      <c r="A1022" s="72"/>
      <c r="B1022" s="73"/>
      <c r="C1022" s="70"/>
      <c r="D1022" s="74"/>
      <c r="E1022" s="75"/>
      <c r="F1022" s="75"/>
      <c r="K1022" s="72"/>
      <c r="L1022" s="73"/>
      <c r="M1022" s="70"/>
      <c r="N1022" s="74"/>
      <c r="O1022" s="75"/>
      <c r="P1022" s="75"/>
      <c r="U1022" s="72"/>
      <c r="V1022" s="73"/>
      <c r="W1022" s="70"/>
      <c r="X1022" s="74"/>
      <c r="Y1022" s="75"/>
      <c r="Z1022" s="75"/>
    </row>
    <row r="1023" spans="1:26" x14ac:dyDescent="0.3">
      <c r="A1023" s="72"/>
      <c r="B1023" s="73"/>
      <c r="C1023" s="70"/>
      <c r="D1023" s="74"/>
      <c r="E1023" s="75"/>
      <c r="F1023" s="75"/>
      <c r="K1023" s="72"/>
      <c r="L1023" s="73"/>
      <c r="M1023" s="70"/>
      <c r="N1023" s="74"/>
      <c r="O1023" s="75"/>
      <c r="P1023" s="75"/>
      <c r="U1023" s="72"/>
      <c r="V1023" s="73"/>
      <c r="W1023" s="70"/>
      <c r="X1023" s="74"/>
      <c r="Y1023" s="75"/>
      <c r="Z1023" s="75"/>
    </row>
    <row r="1024" spans="1:26" x14ac:dyDescent="0.3">
      <c r="A1024" s="72"/>
      <c r="B1024" s="73"/>
      <c r="C1024" s="70"/>
      <c r="D1024" s="74"/>
      <c r="E1024" s="75"/>
      <c r="F1024" s="75"/>
      <c r="K1024" s="72"/>
      <c r="L1024" s="73"/>
      <c r="M1024" s="70"/>
      <c r="N1024" s="74"/>
      <c r="O1024" s="75"/>
      <c r="P1024" s="75"/>
      <c r="U1024" s="72"/>
      <c r="V1024" s="73"/>
      <c r="W1024" s="70"/>
      <c r="X1024" s="74"/>
      <c r="Y1024" s="75"/>
      <c r="Z1024" s="75"/>
    </row>
    <row r="1025" spans="1:26" x14ac:dyDescent="0.3">
      <c r="A1025" s="72"/>
      <c r="B1025" s="73"/>
      <c r="C1025" s="70"/>
      <c r="D1025" s="74"/>
      <c r="E1025" s="75"/>
      <c r="F1025" s="75"/>
      <c r="K1025" s="72"/>
      <c r="L1025" s="73"/>
      <c r="M1025" s="70"/>
      <c r="N1025" s="74"/>
      <c r="O1025" s="75"/>
      <c r="P1025" s="75"/>
      <c r="U1025" s="72"/>
      <c r="V1025" s="73"/>
      <c r="W1025" s="70"/>
      <c r="X1025" s="74"/>
      <c r="Y1025" s="75"/>
      <c r="Z1025" s="75"/>
    </row>
    <row r="1026" spans="1:26" x14ac:dyDescent="0.3">
      <c r="A1026" s="72"/>
      <c r="B1026" s="73"/>
      <c r="C1026" s="70"/>
      <c r="D1026" s="74"/>
      <c r="E1026" s="75"/>
      <c r="F1026" s="75"/>
      <c r="K1026" s="72"/>
      <c r="L1026" s="73"/>
      <c r="M1026" s="70"/>
      <c r="N1026" s="74"/>
      <c r="O1026" s="75"/>
      <c r="P1026" s="75"/>
      <c r="U1026" s="72"/>
      <c r="V1026" s="73"/>
      <c r="W1026" s="70"/>
      <c r="X1026" s="74"/>
      <c r="Y1026" s="75"/>
      <c r="Z1026" s="75"/>
    </row>
    <row r="1027" spans="1:26" x14ac:dyDescent="0.3">
      <c r="A1027" s="72"/>
      <c r="B1027" s="73"/>
      <c r="C1027" s="70"/>
      <c r="D1027" s="74"/>
      <c r="E1027" s="75"/>
      <c r="F1027" s="75"/>
      <c r="K1027" s="72"/>
      <c r="L1027" s="73"/>
      <c r="M1027" s="70"/>
      <c r="N1027" s="74"/>
      <c r="O1027" s="75"/>
      <c r="P1027" s="75"/>
      <c r="U1027" s="72"/>
      <c r="V1027" s="73"/>
      <c r="W1027" s="70"/>
      <c r="X1027" s="74"/>
      <c r="Y1027" s="75"/>
      <c r="Z1027" s="75"/>
    </row>
    <row r="1028" spans="1:26" x14ac:dyDescent="0.3">
      <c r="A1028" s="72"/>
      <c r="B1028" s="73"/>
      <c r="C1028" s="70"/>
      <c r="D1028" s="74"/>
      <c r="E1028" s="75"/>
      <c r="F1028" s="75"/>
      <c r="K1028" s="72"/>
      <c r="L1028" s="73"/>
      <c r="M1028" s="70"/>
      <c r="N1028" s="74"/>
      <c r="O1028" s="75"/>
      <c r="P1028" s="75"/>
      <c r="U1028" s="72"/>
      <c r="V1028" s="73"/>
      <c r="W1028" s="70"/>
      <c r="X1028" s="74"/>
      <c r="Y1028" s="75"/>
      <c r="Z1028" s="75"/>
    </row>
    <row r="1029" spans="1:26" x14ac:dyDescent="0.3">
      <c r="A1029" s="72"/>
      <c r="B1029" s="73"/>
      <c r="C1029" s="70"/>
      <c r="D1029" s="74"/>
      <c r="E1029" s="75"/>
      <c r="F1029" s="75"/>
      <c r="K1029" s="72"/>
      <c r="L1029" s="73"/>
      <c r="M1029" s="70"/>
      <c r="N1029" s="74"/>
      <c r="O1029" s="75"/>
      <c r="P1029" s="75"/>
      <c r="U1029" s="72"/>
      <c r="V1029" s="73"/>
      <c r="W1029" s="70"/>
      <c r="X1029" s="74"/>
      <c r="Y1029" s="75"/>
      <c r="Z1029" s="75"/>
    </row>
    <row r="1030" spans="1:26" x14ac:dyDescent="0.3">
      <c r="A1030" s="72"/>
      <c r="B1030" s="73"/>
      <c r="C1030" s="70"/>
      <c r="D1030" s="74"/>
      <c r="E1030" s="75"/>
      <c r="F1030" s="75"/>
      <c r="K1030" s="72"/>
      <c r="L1030" s="73"/>
      <c r="M1030" s="70"/>
      <c r="N1030" s="74"/>
      <c r="O1030" s="75"/>
      <c r="P1030" s="75"/>
      <c r="U1030" s="72"/>
      <c r="V1030" s="73"/>
      <c r="W1030" s="70"/>
      <c r="X1030" s="74"/>
      <c r="Y1030" s="75"/>
      <c r="Z1030" s="75"/>
    </row>
    <row r="1031" spans="1:26" x14ac:dyDescent="0.3">
      <c r="A1031" s="72"/>
      <c r="B1031" s="73"/>
      <c r="C1031" s="70"/>
      <c r="D1031" s="74"/>
      <c r="E1031" s="75"/>
      <c r="F1031" s="75"/>
      <c r="K1031" s="72"/>
      <c r="L1031" s="73"/>
      <c r="M1031" s="70"/>
      <c r="N1031" s="74"/>
      <c r="O1031" s="75"/>
      <c r="P1031" s="75"/>
      <c r="U1031" s="72"/>
      <c r="V1031" s="73"/>
      <c r="W1031" s="70"/>
      <c r="X1031" s="74"/>
      <c r="Y1031" s="75"/>
      <c r="Z1031" s="75"/>
    </row>
    <row r="1032" spans="1:26" x14ac:dyDescent="0.3">
      <c r="A1032" s="72"/>
      <c r="B1032" s="73"/>
      <c r="C1032" s="70"/>
      <c r="D1032" s="74"/>
      <c r="E1032" s="75"/>
      <c r="F1032" s="75"/>
      <c r="K1032" s="72"/>
      <c r="L1032" s="73"/>
      <c r="M1032" s="70"/>
      <c r="N1032" s="74"/>
      <c r="O1032" s="75"/>
      <c r="P1032" s="75"/>
      <c r="U1032" s="72"/>
      <c r="V1032" s="73"/>
      <c r="W1032" s="70"/>
      <c r="X1032" s="74"/>
      <c r="Y1032" s="75"/>
      <c r="Z1032" s="75"/>
    </row>
    <row r="1033" spans="1:26" x14ac:dyDescent="0.3">
      <c r="A1033" s="72"/>
      <c r="B1033" s="73"/>
      <c r="C1033" s="70"/>
      <c r="D1033" s="74"/>
      <c r="E1033" s="75"/>
      <c r="F1033" s="75"/>
      <c r="K1033" s="72"/>
      <c r="L1033" s="73"/>
      <c r="M1033" s="70"/>
      <c r="N1033" s="74"/>
      <c r="O1033" s="75"/>
      <c r="P1033" s="75"/>
      <c r="U1033" s="72"/>
      <c r="V1033" s="73"/>
      <c r="W1033" s="70"/>
      <c r="X1033" s="74"/>
      <c r="Y1033" s="75"/>
      <c r="Z1033" s="75"/>
    </row>
    <row r="1034" spans="1:26" x14ac:dyDescent="0.3">
      <c r="A1034" s="72"/>
      <c r="B1034" s="73"/>
      <c r="C1034" s="70"/>
      <c r="D1034" s="74"/>
      <c r="E1034" s="75"/>
      <c r="F1034" s="75"/>
      <c r="K1034" s="72"/>
      <c r="L1034" s="73"/>
      <c r="M1034" s="70"/>
      <c r="N1034" s="74"/>
      <c r="O1034" s="75"/>
      <c r="P1034" s="75"/>
      <c r="U1034" s="72"/>
      <c r="V1034" s="73"/>
      <c r="W1034" s="70"/>
      <c r="X1034" s="74"/>
      <c r="Y1034" s="75"/>
      <c r="Z1034" s="75"/>
    </row>
    <row r="1035" spans="1:26" x14ac:dyDescent="0.3">
      <c r="A1035" s="72"/>
      <c r="B1035" s="73"/>
      <c r="C1035" s="70"/>
      <c r="D1035" s="74"/>
      <c r="E1035" s="75"/>
      <c r="F1035" s="75"/>
      <c r="K1035" s="72"/>
      <c r="L1035" s="73"/>
      <c r="M1035" s="70"/>
      <c r="N1035" s="74"/>
      <c r="O1035" s="75"/>
      <c r="P1035" s="75"/>
      <c r="U1035" s="72"/>
      <c r="V1035" s="73"/>
      <c r="W1035" s="70"/>
      <c r="X1035" s="74"/>
      <c r="Y1035" s="75"/>
      <c r="Z1035" s="75"/>
    </row>
    <row r="1036" spans="1:26" x14ac:dyDescent="0.3">
      <c r="A1036" s="72"/>
      <c r="B1036" s="73"/>
      <c r="C1036" s="70"/>
      <c r="D1036" s="74"/>
      <c r="E1036" s="75"/>
      <c r="F1036" s="75"/>
      <c r="K1036" s="72"/>
      <c r="L1036" s="73"/>
      <c r="M1036" s="70"/>
      <c r="N1036" s="74"/>
      <c r="O1036" s="75"/>
      <c r="P1036" s="75"/>
      <c r="U1036" s="72"/>
      <c r="V1036" s="73"/>
      <c r="W1036" s="70"/>
      <c r="X1036" s="74"/>
      <c r="Y1036" s="75"/>
      <c r="Z1036" s="75"/>
    </row>
    <row r="1037" spans="1:26" x14ac:dyDescent="0.3">
      <c r="A1037" s="72"/>
      <c r="B1037" s="73"/>
      <c r="C1037" s="70"/>
      <c r="D1037" s="74"/>
      <c r="E1037" s="75"/>
      <c r="F1037" s="75"/>
      <c r="K1037" s="72"/>
      <c r="L1037" s="73"/>
      <c r="M1037" s="70"/>
      <c r="N1037" s="74"/>
      <c r="O1037" s="75"/>
      <c r="P1037" s="75"/>
      <c r="U1037" s="72"/>
      <c r="V1037" s="73"/>
      <c r="W1037" s="70"/>
      <c r="X1037" s="74"/>
      <c r="Y1037" s="75"/>
      <c r="Z1037" s="75"/>
    </row>
    <row r="1038" spans="1:26" x14ac:dyDescent="0.3">
      <c r="A1038" s="72"/>
      <c r="B1038" s="73"/>
      <c r="C1038" s="70"/>
      <c r="D1038" s="74"/>
      <c r="E1038" s="75"/>
      <c r="F1038" s="75"/>
      <c r="K1038" s="72"/>
      <c r="L1038" s="73"/>
      <c r="M1038" s="70"/>
      <c r="N1038" s="74"/>
      <c r="O1038" s="75"/>
      <c r="P1038" s="75"/>
      <c r="U1038" s="72"/>
      <c r="V1038" s="73"/>
      <c r="W1038" s="70"/>
      <c r="X1038" s="74"/>
      <c r="Y1038" s="75"/>
      <c r="Z1038" s="75"/>
    </row>
    <row r="1039" spans="1:26" x14ac:dyDescent="0.3">
      <c r="A1039" s="72"/>
      <c r="B1039" s="73"/>
      <c r="C1039" s="70"/>
      <c r="D1039" s="74"/>
      <c r="E1039" s="75"/>
      <c r="F1039" s="75"/>
      <c r="K1039" s="72"/>
      <c r="L1039" s="73"/>
      <c r="M1039" s="70"/>
      <c r="N1039" s="74"/>
      <c r="O1039" s="75"/>
      <c r="P1039" s="75"/>
      <c r="U1039" s="72"/>
      <c r="V1039" s="73"/>
      <c r="W1039" s="70"/>
      <c r="X1039" s="74"/>
      <c r="Y1039" s="75"/>
      <c r="Z1039" s="75"/>
    </row>
    <row r="1040" spans="1:26" x14ac:dyDescent="0.3">
      <c r="A1040" s="72"/>
      <c r="B1040" s="73"/>
      <c r="C1040" s="70"/>
      <c r="D1040" s="74"/>
      <c r="E1040" s="75"/>
      <c r="F1040" s="75"/>
      <c r="K1040" s="72"/>
      <c r="L1040" s="73"/>
      <c r="M1040" s="70"/>
      <c r="N1040" s="74"/>
      <c r="O1040" s="75"/>
      <c r="P1040" s="75"/>
      <c r="U1040" s="72"/>
      <c r="V1040" s="73"/>
      <c r="W1040" s="70"/>
      <c r="X1040" s="74"/>
      <c r="Y1040" s="75"/>
      <c r="Z1040" s="75"/>
    </row>
    <row r="1041" spans="1:26" x14ac:dyDescent="0.3">
      <c r="A1041" s="72"/>
      <c r="B1041" s="73"/>
      <c r="C1041" s="70"/>
      <c r="D1041" s="74"/>
      <c r="E1041" s="75"/>
      <c r="F1041" s="75"/>
      <c r="K1041" s="72"/>
      <c r="L1041" s="73"/>
      <c r="M1041" s="70"/>
      <c r="N1041" s="74"/>
      <c r="O1041" s="75"/>
      <c r="P1041" s="75"/>
      <c r="U1041" s="72"/>
      <c r="V1041" s="73"/>
      <c r="W1041" s="70"/>
      <c r="X1041" s="74"/>
      <c r="Y1041" s="75"/>
      <c r="Z1041" s="75"/>
    </row>
    <row r="1042" spans="1:26" x14ac:dyDescent="0.3">
      <c r="A1042" s="72"/>
      <c r="B1042" s="73"/>
      <c r="C1042" s="70"/>
      <c r="D1042" s="74"/>
      <c r="E1042" s="75"/>
      <c r="F1042" s="75"/>
      <c r="K1042" s="72"/>
      <c r="L1042" s="73"/>
      <c r="M1042" s="70"/>
      <c r="N1042" s="74"/>
      <c r="O1042" s="75"/>
      <c r="P1042" s="75"/>
      <c r="U1042" s="72"/>
      <c r="V1042" s="73"/>
      <c r="W1042" s="70"/>
      <c r="X1042" s="74"/>
      <c r="Y1042" s="75"/>
      <c r="Z1042" s="75"/>
    </row>
    <row r="1043" spans="1:26" x14ac:dyDescent="0.3">
      <c r="A1043" s="72"/>
      <c r="B1043" s="73"/>
      <c r="C1043" s="70"/>
      <c r="D1043" s="74"/>
      <c r="E1043" s="75"/>
      <c r="F1043" s="75"/>
      <c r="K1043" s="72"/>
      <c r="L1043" s="73"/>
      <c r="M1043" s="70"/>
      <c r="N1043" s="74"/>
      <c r="O1043" s="75"/>
      <c r="P1043" s="75"/>
      <c r="U1043" s="72"/>
      <c r="V1043" s="73"/>
      <c r="W1043" s="70"/>
      <c r="X1043" s="74"/>
      <c r="Y1043" s="75"/>
      <c r="Z1043" s="75"/>
    </row>
    <row r="1044" spans="1:26" x14ac:dyDescent="0.3">
      <c r="A1044" s="72"/>
      <c r="B1044" s="73"/>
      <c r="C1044" s="70"/>
      <c r="D1044" s="74"/>
      <c r="E1044" s="75"/>
      <c r="F1044" s="75"/>
      <c r="K1044" s="72"/>
      <c r="L1044" s="73"/>
      <c r="M1044" s="70"/>
      <c r="N1044" s="74"/>
      <c r="O1044" s="75"/>
      <c r="P1044" s="75"/>
      <c r="U1044" s="72"/>
      <c r="V1044" s="73"/>
      <c r="W1044" s="70"/>
      <c r="X1044" s="74"/>
      <c r="Y1044" s="75"/>
      <c r="Z1044" s="75"/>
    </row>
    <row r="1045" spans="1:26" x14ac:dyDescent="0.3">
      <c r="A1045" s="72"/>
      <c r="B1045" s="73"/>
      <c r="C1045" s="70"/>
      <c r="D1045" s="74"/>
      <c r="E1045" s="75"/>
      <c r="F1045" s="75"/>
      <c r="K1045" s="72"/>
      <c r="L1045" s="73"/>
      <c r="M1045" s="70"/>
      <c r="N1045" s="74"/>
      <c r="O1045" s="75"/>
      <c r="P1045" s="75"/>
      <c r="U1045" s="72"/>
      <c r="V1045" s="73"/>
      <c r="W1045" s="70"/>
      <c r="X1045" s="74"/>
      <c r="Y1045" s="75"/>
      <c r="Z1045" s="75"/>
    </row>
    <row r="1046" spans="1:26" x14ac:dyDescent="0.3">
      <c r="A1046" s="72"/>
      <c r="B1046" s="73"/>
      <c r="C1046" s="70"/>
      <c r="D1046" s="74"/>
      <c r="E1046" s="75"/>
      <c r="F1046" s="75"/>
      <c r="K1046" s="72"/>
      <c r="L1046" s="73"/>
      <c r="M1046" s="70"/>
      <c r="N1046" s="74"/>
      <c r="O1046" s="75"/>
      <c r="P1046" s="75"/>
      <c r="U1046" s="72"/>
      <c r="V1046" s="73"/>
      <c r="W1046" s="70"/>
      <c r="X1046" s="74"/>
      <c r="Y1046" s="75"/>
      <c r="Z1046" s="75"/>
    </row>
    <row r="1047" spans="1:26" x14ac:dyDescent="0.3">
      <c r="A1047" s="72"/>
      <c r="B1047" s="73"/>
      <c r="C1047" s="70"/>
      <c r="D1047" s="74"/>
      <c r="E1047" s="75"/>
      <c r="F1047" s="75"/>
      <c r="K1047" s="72"/>
      <c r="L1047" s="73"/>
      <c r="M1047" s="70"/>
      <c r="N1047" s="74"/>
      <c r="O1047" s="75"/>
      <c r="P1047" s="75"/>
      <c r="U1047" s="72"/>
      <c r="V1047" s="73"/>
      <c r="W1047" s="70"/>
      <c r="X1047" s="74"/>
      <c r="Y1047" s="75"/>
      <c r="Z1047" s="75"/>
    </row>
    <row r="1048" spans="1:26" x14ac:dyDescent="0.3">
      <c r="A1048" s="72"/>
      <c r="B1048" s="73"/>
      <c r="C1048" s="70"/>
      <c r="D1048" s="74"/>
      <c r="E1048" s="75"/>
      <c r="F1048" s="75"/>
      <c r="K1048" s="72"/>
      <c r="L1048" s="73"/>
      <c r="M1048" s="70"/>
      <c r="N1048" s="74"/>
      <c r="O1048" s="75"/>
      <c r="P1048" s="75"/>
      <c r="U1048" s="72"/>
      <c r="V1048" s="73"/>
      <c r="W1048" s="70"/>
      <c r="X1048" s="74"/>
      <c r="Y1048" s="75"/>
      <c r="Z1048" s="75"/>
    </row>
    <row r="1049" spans="1:26" x14ac:dyDescent="0.3">
      <c r="A1049" s="72"/>
      <c r="B1049" s="73"/>
      <c r="C1049" s="70"/>
      <c r="D1049" s="74"/>
      <c r="E1049" s="75"/>
      <c r="F1049" s="75"/>
      <c r="K1049" s="72"/>
      <c r="L1049" s="73"/>
      <c r="M1049" s="70"/>
      <c r="N1049" s="74"/>
      <c r="O1049" s="75"/>
      <c r="P1049" s="75"/>
      <c r="U1049" s="72"/>
      <c r="V1049" s="73"/>
      <c r="W1049" s="70"/>
      <c r="X1049" s="74"/>
      <c r="Y1049" s="75"/>
      <c r="Z1049" s="75"/>
    </row>
    <row r="1050" spans="1:26" x14ac:dyDescent="0.3">
      <c r="A1050" s="72"/>
      <c r="B1050" s="73"/>
      <c r="C1050" s="70"/>
      <c r="D1050" s="74"/>
      <c r="E1050" s="75"/>
      <c r="F1050" s="75"/>
      <c r="K1050" s="72"/>
      <c r="L1050" s="73"/>
      <c r="M1050" s="70"/>
      <c r="N1050" s="74"/>
      <c r="O1050" s="75"/>
      <c r="P1050" s="75"/>
      <c r="U1050" s="72"/>
      <c r="V1050" s="73"/>
      <c r="W1050" s="70"/>
      <c r="X1050" s="74"/>
      <c r="Y1050" s="75"/>
      <c r="Z1050" s="75"/>
    </row>
    <row r="1051" spans="1:26" x14ac:dyDescent="0.3">
      <c r="A1051" s="72"/>
      <c r="B1051" s="73"/>
      <c r="C1051" s="70"/>
      <c r="D1051" s="74"/>
      <c r="E1051" s="75"/>
      <c r="F1051" s="75"/>
      <c r="K1051" s="72"/>
      <c r="L1051" s="73"/>
      <c r="M1051" s="70"/>
      <c r="N1051" s="74"/>
      <c r="O1051" s="75"/>
      <c r="P1051" s="75"/>
      <c r="U1051" s="72"/>
      <c r="V1051" s="73"/>
      <c r="W1051" s="70"/>
      <c r="X1051" s="74"/>
      <c r="Y1051" s="75"/>
      <c r="Z1051" s="75"/>
    </row>
    <row r="1052" spans="1:26" x14ac:dyDescent="0.3">
      <c r="A1052" s="72"/>
      <c r="B1052" s="73"/>
      <c r="C1052" s="70"/>
      <c r="D1052" s="74"/>
      <c r="E1052" s="75"/>
      <c r="F1052" s="75"/>
      <c r="K1052" s="72"/>
      <c r="L1052" s="73"/>
      <c r="M1052" s="70"/>
      <c r="N1052" s="74"/>
      <c r="O1052" s="75"/>
      <c r="P1052" s="75"/>
      <c r="U1052" s="72"/>
      <c r="V1052" s="73"/>
      <c r="W1052" s="70"/>
      <c r="X1052" s="74"/>
      <c r="Y1052" s="75"/>
      <c r="Z1052" s="75"/>
    </row>
    <row r="1053" spans="1:26" x14ac:dyDescent="0.3">
      <c r="A1053" s="72"/>
      <c r="B1053" s="73"/>
      <c r="C1053" s="70"/>
      <c r="D1053" s="74"/>
      <c r="E1053" s="75"/>
      <c r="F1053" s="75"/>
      <c r="K1053" s="72"/>
      <c r="L1053" s="73"/>
      <c r="M1053" s="70"/>
      <c r="N1053" s="74"/>
      <c r="O1053" s="75"/>
      <c r="P1053" s="75"/>
      <c r="U1053" s="72"/>
      <c r="V1053" s="73"/>
      <c r="W1053" s="70"/>
      <c r="X1053" s="74"/>
      <c r="Y1053" s="75"/>
      <c r="Z1053" s="75"/>
    </row>
    <row r="1054" spans="1:26" x14ac:dyDescent="0.3">
      <c r="A1054" s="72"/>
      <c r="B1054" s="73"/>
      <c r="C1054" s="70"/>
      <c r="D1054" s="74"/>
      <c r="E1054" s="75"/>
      <c r="F1054" s="75"/>
      <c r="K1054" s="72"/>
      <c r="L1054" s="73"/>
      <c r="M1054" s="70"/>
      <c r="N1054" s="74"/>
      <c r="O1054" s="75"/>
      <c r="P1054" s="75"/>
      <c r="U1054" s="72"/>
      <c r="V1054" s="73"/>
      <c r="W1054" s="70"/>
      <c r="X1054" s="74"/>
      <c r="Y1054" s="75"/>
      <c r="Z1054" s="75"/>
    </row>
    <row r="1055" spans="1:26" x14ac:dyDescent="0.3">
      <c r="A1055" s="72"/>
      <c r="B1055" s="73"/>
      <c r="C1055" s="70"/>
      <c r="D1055" s="74"/>
      <c r="E1055" s="75"/>
      <c r="F1055" s="75"/>
      <c r="K1055" s="72"/>
      <c r="L1055" s="73"/>
      <c r="M1055" s="70"/>
      <c r="N1055" s="74"/>
      <c r="O1055" s="75"/>
      <c r="P1055" s="75"/>
      <c r="U1055" s="72"/>
      <c r="V1055" s="73"/>
      <c r="W1055" s="70"/>
      <c r="X1055" s="74"/>
      <c r="Y1055" s="75"/>
      <c r="Z1055" s="75"/>
    </row>
    <row r="1056" spans="1:26" x14ac:dyDescent="0.3">
      <c r="A1056" s="72"/>
      <c r="B1056" s="73"/>
      <c r="C1056" s="70"/>
      <c r="D1056" s="74"/>
      <c r="E1056" s="75"/>
      <c r="F1056" s="75"/>
      <c r="K1056" s="72"/>
      <c r="L1056" s="73"/>
      <c r="M1056" s="70"/>
      <c r="N1056" s="74"/>
      <c r="O1056" s="75"/>
      <c r="P1056" s="75"/>
      <c r="U1056" s="72"/>
      <c r="V1056" s="73"/>
      <c r="W1056" s="70"/>
      <c r="X1056" s="74"/>
      <c r="Y1056" s="75"/>
      <c r="Z1056" s="75"/>
    </row>
    <row r="1057" spans="1:26" x14ac:dyDescent="0.3">
      <c r="A1057" s="72"/>
      <c r="B1057" s="73"/>
      <c r="C1057" s="70"/>
      <c r="D1057" s="74"/>
      <c r="E1057" s="75"/>
      <c r="F1057" s="75"/>
      <c r="K1057" s="72"/>
      <c r="L1057" s="73"/>
      <c r="M1057" s="70"/>
      <c r="N1057" s="74"/>
      <c r="O1057" s="75"/>
      <c r="P1057" s="75"/>
      <c r="U1057" s="72"/>
      <c r="V1057" s="73"/>
      <c r="W1057" s="70"/>
      <c r="X1057" s="74"/>
      <c r="Y1057" s="75"/>
      <c r="Z1057" s="75"/>
    </row>
    <row r="1058" spans="1:26" x14ac:dyDescent="0.3">
      <c r="A1058" s="72"/>
      <c r="B1058" s="73"/>
      <c r="C1058" s="70"/>
      <c r="D1058" s="74"/>
      <c r="E1058" s="75"/>
      <c r="F1058" s="75"/>
      <c r="K1058" s="72"/>
      <c r="L1058" s="73"/>
      <c r="M1058" s="70"/>
      <c r="N1058" s="74"/>
      <c r="O1058" s="75"/>
      <c r="P1058" s="75"/>
      <c r="U1058" s="72"/>
      <c r="V1058" s="73"/>
      <c r="W1058" s="70"/>
      <c r="X1058" s="74"/>
      <c r="Y1058" s="75"/>
      <c r="Z1058" s="75"/>
    </row>
    <row r="1059" spans="1:26" x14ac:dyDescent="0.3">
      <c r="A1059" s="72"/>
      <c r="B1059" s="73"/>
      <c r="C1059" s="70"/>
      <c r="D1059" s="74"/>
      <c r="E1059" s="75"/>
      <c r="F1059" s="75"/>
      <c r="K1059" s="72"/>
      <c r="L1059" s="73"/>
      <c r="M1059" s="70"/>
      <c r="N1059" s="74"/>
      <c r="O1059" s="75"/>
      <c r="P1059" s="75"/>
      <c r="U1059" s="72"/>
      <c r="V1059" s="73"/>
      <c r="W1059" s="70"/>
      <c r="X1059" s="74"/>
      <c r="Y1059" s="75"/>
      <c r="Z1059" s="75"/>
    </row>
    <row r="1060" spans="1:26" x14ac:dyDescent="0.3">
      <c r="A1060" s="72"/>
      <c r="B1060" s="73"/>
      <c r="C1060" s="70"/>
      <c r="D1060" s="74"/>
      <c r="E1060" s="75"/>
      <c r="F1060" s="75"/>
      <c r="K1060" s="72"/>
      <c r="L1060" s="73"/>
      <c r="M1060" s="70"/>
      <c r="N1060" s="74"/>
      <c r="O1060" s="75"/>
      <c r="P1060" s="75"/>
      <c r="U1060" s="72"/>
      <c r="V1060" s="73"/>
      <c r="W1060" s="70"/>
      <c r="X1060" s="74"/>
      <c r="Y1060" s="75"/>
      <c r="Z1060" s="75"/>
    </row>
    <row r="1061" spans="1:26" x14ac:dyDescent="0.3">
      <c r="A1061" s="72"/>
      <c r="B1061" s="73"/>
      <c r="C1061" s="70"/>
      <c r="D1061" s="74"/>
      <c r="E1061" s="75"/>
      <c r="F1061" s="75"/>
      <c r="K1061" s="72"/>
      <c r="L1061" s="73"/>
      <c r="M1061" s="70"/>
      <c r="N1061" s="74"/>
      <c r="O1061" s="75"/>
      <c r="P1061" s="75"/>
      <c r="U1061" s="72"/>
      <c r="V1061" s="73"/>
      <c r="W1061" s="70"/>
      <c r="X1061" s="74"/>
      <c r="Y1061" s="75"/>
      <c r="Z1061" s="75"/>
    </row>
    <row r="1062" spans="1:26" x14ac:dyDescent="0.3">
      <c r="A1062" s="72"/>
      <c r="B1062" s="73"/>
      <c r="C1062" s="70"/>
      <c r="D1062" s="74"/>
      <c r="E1062" s="75"/>
      <c r="F1062" s="75"/>
      <c r="K1062" s="72"/>
      <c r="L1062" s="73"/>
      <c r="M1062" s="70"/>
      <c r="N1062" s="74"/>
      <c r="O1062" s="75"/>
      <c r="P1062" s="75"/>
      <c r="U1062" s="72"/>
      <c r="V1062" s="73"/>
      <c r="W1062" s="70"/>
      <c r="X1062" s="74"/>
      <c r="Y1062" s="75"/>
      <c r="Z1062" s="75"/>
    </row>
    <row r="1063" spans="1:26" x14ac:dyDescent="0.3">
      <c r="A1063" s="72"/>
      <c r="B1063" s="73"/>
      <c r="C1063" s="70"/>
      <c r="D1063" s="74"/>
      <c r="E1063" s="75"/>
      <c r="F1063" s="75"/>
      <c r="K1063" s="72"/>
      <c r="L1063" s="73"/>
      <c r="M1063" s="70"/>
      <c r="N1063" s="74"/>
      <c r="O1063" s="75"/>
      <c r="P1063" s="75"/>
      <c r="U1063" s="72"/>
      <c r="V1063" s="73"/>
      <c r="W1063" s="70"/>
      <c r="X1063" s="74"/>
      <c r="Y1063" s="75"/>
      <c r="Z1063" s="75"/>
    </row>
    <row r="1064" spans="1:26" x14ac:dyDescent="0.3">
      <c r="A1064" s="72"/>
      <c r="B1064" s="73"/>
      <c r="C1064" s="70"/>
      <c r="D1064" s="74"/>
      <c r="E1064" s="75"/>
      <c r="F1064" s="75"/>
      <c r="K1064" s="72"/>
      <c r="L1064" s="73"/>
      <c r="M1064" s="70"/>
      <c r="N1064" s="74"/>
      <c r="O1064" s="75"/>
      <c r="P1064" s="75"/>
      <c r="U1064" s="72"/>
      <c r="V1064" s="73"/>
      <c r="W1064" s="70"/>
      <c r="X1064" s="74"/>
      <c r="Y1064" s="75"/>
      <c r="Z1064" s="75"/>
    </row>
    <row r="1065" spans="1:26" x14ac:dyDescent="0.3">
      <c r="A1065" s="72"/>
      <c r="B1065" s="73"/>
      <c r="C1065" s="70"/>
      <c r="D1065" s="74"/>
      <c r="E1065" s="75"/>
      <c r="F1065" s="75"/>
      <c r="K1065" s="72"/>
      <c r="L1065" s="73"/>
      <c r="M1065" s="70"/>
      <c r="N1065" s="74"/>
      <c r="O1065" s="75"/>
      <c r="P1065" s="75"/>
      <c r="U1065" s="72"/>
      <c r="V1065" s="73"/>
      <c r="W1065" s="70"/>
      <c r="X1065" s="74"/>
      <c r="Y1065" s="75"/>
      <c r="Z1065" s="75"/>
    </row>
    <row r="1066" spans="1:26" x14ac:dyDescent="0.3">
      <c r="A1066" s="72"/>
      <c r="B1066" s="73"/>
      <c r="C1066" s="70"/>
      <c r="D1066" s="74"/>
      <c r="E1066" s="75"/>
      <c r="F1066" s="75"/>
      <c r="K1066" s="72"/>
      <c r="L1066" s="73"/>
      <c r="M1066" s="70"/>
      <c r="N1066" s="74"/>
      <c r="O1066" s="75"/>
      <c r="P1066" s="75"/>
      <c r="U1066" s="72"/>
      <c r="V1066" s="73"/>
      <c r="W1066" s="70"/>
      <c r="X1066" s="74"/>
      <c r="Y1066" s="75"/>
      <c r="Z1066" s="75"/>
    </row>
    <row r="1067" spans="1:26" x14ac:dyDescent="0.3">
      <c r="A1067" s="72"/>
      <c r="B1067" s="73"/>
      <c r="C1067" s="70"/>
      <c r="D1067" s="74"/>
      <c r="E1067" s="75"/>
      <c r="F1067" s="75"/>
      <c r="K1067" s="72"/>
      <c r="L1067" s="73"/>
      <c r="M1067" s="70"/>
      <c r="N1067" s="74"/>
      <c r="O1067" s="75"/>
      <c r="P1067" s="75"/>
      <c r="U1067" s="72"/>
      <c r="V1067" s="73"/>
      <c r="W1067" s="70"/>
      <c r="X1067" s="74"/>
      <c r="Y1067" s="75"/>
      <c r="Z1067" s="75"/>
    </row>
    <row r="1068" spans="1:26" x14ac:dyDescent="0.3">
      <c r="A1068" s="72"/>
      <c r="B1068" s="73"/>
      <c r="C1068" s="70"/>
      <c r="D1068" s="74"/>
      <c r="E1068" s="75"/>
      <c r="F1068" s="75"/>
      <c r="K1068" s="72"/>
      <c r="L1068" s="73"/>
      <c r="M1068" s="70"/>
      <c r="N1068" s="74"/>
      <c r="O1068" s="75"/>
      <c r="P1068" s="75"/>
      <c r="U1068" s="72"/>
      <c r="V1068" s="73"/>
      <c r="W1068" s="70"/>
      <c r="X1068" s="74"/>
      <c r="Y1068" s="75"/>
      <c r="Z1068" s="75"/>
    </row>
    <row r="1069" spans="1:26" x14ac:dyDescent="0.3">
      <c r="A1069" s="72"/>
      <c r="B1069" s="73"/>
      <c r="C1069" s="70"/>
      <c r="D1069" s="74"/>
      <c r="E1069" s="75"/>
      <c r="F1069" s="75"/>
      <c r="K1069" s="72"/>
      <c r="L1069" s="73"/>
      <c r="M1069" s="70"/>
      <c r="N1069" s="74"/>
      <c r="O1069" s="75"/>
      <c r="P1069" s="75"/>
      <c r="U1069" s="72"/>
      <c r="V1069" s="73"/>
      <c r="W1069" s="70"/>
      <c r="X1069" s="74"/>
      <c r="Y1069" s="75"/>
      <c r="Z1069" s="75"/>
    </row>
    <row r="1070" spans="1:26" x14ac:dyDescent="0.3">
      <c r="A1070" s="72"/>
      <c r="B1070" s="73"/>
      <c r="C1070" s="70"/>
      <c r="D1070" s="74"/>
      <c r="E1070" s="75"/>
      <c r="F1070" s="75"/>
      <c r="K1070" s="72"/>
      <c r="L1070" s="73"/>
      <c r="M1070" s="70"/>
      <c r="N1070" s="74"/>
      <c r="O1070" s="75"/>
      <c r="P1070" s="75"/>
      <c r="U1070" s="72"/>
      <c r="V1070" s="73"/>
      <c r="W1070" s="70"/>
      <c r="X1070" s="74"/>
      <c r="Y1070" s="75"/>
      <c r="Z1070" s="75"/>
    </row>
    <row r="1071" spans="1:26" x14ac:dyDescent="0.3">
      <c r="A1071" s="72"/>
      <c r="B1071" s="73"/>
      <c r="C1071" s="70"/>
      <c r="D1071" s="74"/>
      <c r="E1071" s="75"/>
      <c r="F1071" s="75"/>
      <c r="K1071" s="72"/>
      <c r="L1071" s="73"/>
      <c r="M1071" s="70"/>
      <c r="N1071" s="74"/>
      <c r="O1071" s="75"/>
      <c r="P1071" s="75"/>
      <c r="U1071" s="72"/>
      <c r="V1071" s="73"/>
      <c r="W1071" s="70"/>
      <c r="X1071" s="74"/>
      <c r="Y1071" s="75"/>
      <c r="Z1071" s="75"/>
    </row>
    <row r="1072" spans="1:26" x14ac:dyDescent="0.3">
      <c r="A1072" s="72"/>
      <c r="B1072" s="73"/>
      <c r="C1072" s="70"/>
      <c r="D1072" s="74"/>
      <c r="E1072" s="75"/>
      <c r="F1072" s="75"/>
      <c r="K1072" s="72"/>
      <c r="L1072" s="73"/>
      <c r="M1072" s="70"/>
      <c r="N1072" s="74"/>
      <c r="O1072" s="75"/>
      <c r="P1072" s="75"/>
      <c r="U1072" s="72"/>
      <c r="V1072" s="73"/>
      <c r="W1072" s="70"/>
      <c r="X1072" s="74"/>
      <c r="Y1072" s="75"/>
      <c r="Z1072" s="75"/>
    </row>
    <row r="1073" spans="1:26" x14ac:dyDescent="0.3">
      <c r="A1073" s="72"/>
      <c r="B1073" s="73"/>
      <c r="C1073" s="70"/>
      <c r="D1073" s="74"/>
      <c r="E1073" s="75"/>
      <c r="F1073" s="75"/>
      <c r="K1073" s="72"/>
      <c r="L1073" s="73"/>
      <c r="M1073" s="70"/>
      <c r="N1073" s="74"/>
      <c r="O1073" s="75"/>
      <c r="P1073" s="75"/>
      <c r="U1073" s="72"/>
      <c r="V1073" s="73"/>
      <c r="W1073" s="70"/>
      <c r="X1073" s="74"/>
      <c r="Y1073" s="75"/>
      <c r="Z1073" s="75"/>
    </row>
    <row r="1074" spans="1:26" x14ac:dyDescent="0.3">
      <c r="A1074" s="72"/>
      <c r="B1074" s="73"/>
      <c r="C1074" s="70"/>
      <c r="D1074" s="74"/>
      <c r="E1074" s="75"/>
      <c r="F1074" s="75"/>
      <c r="K1074" s="72"/>
      <c r="L1074" s="73"/>
      <c r="M1074" s="70"/>
      <c r="N1074" s="74"/>
      <c r="O1074" s="75"/>
      <c r="P1074" s="75"/>
      <c r="U1074" s="72"/>
      <c r="V1074" s="73"/>
      <c r="W1074" s="70"/>
      <c r="X1074" s="74"/>
      <c r="Y1074" s="75"/>
      <c r="Z1074" s="75"/>
    </row>
    <row r="1075" spans="1:26" x14ac:dyDescent="0.3">
      <c r="A1075" s="72"/>
      <c r="B1075" s="73"/>
      <c r="C1075" s="70"/>
      <c r="D1075" s="74"/>
      <c r="E1075" s="75"/>
      <c r="F1075" s="75"/>
      <c r="K1075" s="72"/>
      <c r="L1075" s="73"/>
      <c r="M1075" s="70"/>
      <c r="N1075" s="74"/>
      <c r="O1075" s="75"/>
      <c r="P1075" s="75"/>
      <c r="U1075" s="72"/>
      <c r="V1075" s="73"/>
      <c r="W1075" s="70"/>
      <c r="X1075" s="74"/>
      <c r="Y1075" s="75"/>
      <c r="Z1075" s="75"/>
    </row>
    <row r="1076" spans="1:26" x14ac:dyDescent="0.3">
      <c r="A1076" s="72"/>
      <c r="B1076" s="73"/>
      <c r="C1076" s="70"/>
      <c r="D1076" s="74"/>
      <c r="E1076" s="75"/>
      <c r="F1076" s="75"/>
      <c r="K1076" s="72"/>
      <c r="L1076" s="73"/>
      <c r="M1076" s="70"/>
      <c r="N1076" s="74"/>
      <c r="O1076" s="75"/>
      <c r="P1076" s="75"/>
      <c r="U1076" s="72"/>
      <c r="V1076" s="73"/>
      <c r="W1076" s="70"/>
      <c r="X1076" s="74"/>
      <c r="Y1076" s="75"/>
      <c r="Z1076" s="75"/>
    </row>
    <row r="1077" spans="1:26" x14ac:dyDescent="0.3">
      <c r="A1077" s="72"/>
      <c r="B1077" s="73"/>
      <c r="C1077" s="70"/>
      <c r="D1077" s="74"/>
      <c r="E1077" s="75"/>
      <c r="F1077" s="75"/>
      <c r="K1077" s="72"/>
      <c r="L1077" s="73"/>
      <c r="M1077" s="70"/>
      <c r="N1077" s="74"/>
      <c r="O1077" s="75"/>
      <c r="P1077" s="75"/>
      <c r="U1077" s="72"/>
      <c r="V1077" s="73"/>
      <c r="W1077" s="70"/>
      <c r="X1077" s="74"/>
      <c r="Y1077" s="75"/>
      <c r="Z1077" s="75"/>
    </row>
    <row r="1078" spans="1:26" x14ac:dyDescent="0.3">
      <c r="A1078" s="72"/>
      <c r="B1078" s="73"/>
      <c r="C1078" s="70"/>
      <c r="D1078" s="74"/>
      <c r="E1078" s="75"/>
      <c r="F1078" s="75"/>
      <c r="K1078" s="72"/>
      <c r="L1078" s="73"/>
      <c r="M1078" s="70"/>
      <c r="N1078" s="74"/>
      <c r="O1078" s="75"/>
      <c r="P1078" s="75"/>
      <c r="U1078" s="72"/>
      <c r="V1078" s="73"/>
      <c r="W1078" s="70"/>
      <c r="X1078" s="74"/>
      <c r="Y1078" s="75"/>
      <c r="Z1078" s="75"/>
    </row>
    <row r="1079" spans="1:26" x14ac:dyDescent="0.3">
      <c r="A1079" s="72"/>
      <c r="B1079" s="73"/>
      <c r="C1079" s="70"/>
      <c r="D1079" s="74"/>
      <c r="E1079" s="75"/>
      <c r="F1079" s="75"/>
      <c r="K1079" s="72"/>
      <c r="L1079" s="73"/>
      <c r="M1079" s="70"/>
      <c r="N1079" s="74"/>
      <c r="O1079" s="75"/>
      <c r="P1079" s="75"/>
      <c r="U1079" s="72"/>
      <c r="V1079" s="73"/>
      <c r="W1079" s="70"/>
      <c r="X1079" s="74"/>
      <c r="Y1079" s="75"/>
      <c r="Z1079" s="75"/>
    </row>
    <row r="1080" spans="1:26" x14ac:dyDescent="0.3">
      <c r="A1080" s="72"/>
      <c r="B1080" s="73"/>
      <c r="C1080" s="70"/>
      <c r="D1080" s="74"/>
      <c r="E1080" s="75"/>
      <c r="F1080" s="75"/>
      <c r="K1080" s="72"/>
      <c r="L1080" s="73"/>
      <c r="M1080" s="70"/>
      <c r="N1080" s="74"/>
      <c r="O1080" s="75"/>
      <c r="P1080" s="75"/>
      <c r="U1080" s="72"/>
      <c r="V1080" s="73"/>
      <c r="W1080" s="70"/>
      <c r="X1080" s="74"/>
      <c r="Y1080" s="75"/>
      <c r="Z1080" s="75"/>
    </row>
    <row r="1081" spans="1:26" x14ac:dyDescent="0.3">
      <c r="A1081" s="72"/>
      <c r="B1081" s="73"/>
      <c r="C1081" s="70"/>
      <c r="D1081" s="74"/>
      <c r="E1081" s="75"/>
      <c r="F1081" s="75"/>
      <c r="K1081" s="72"/>
      <c r="L1081" s="73"/>
      <c r="M1081" s="70"/>
      <c r="N1081" s="74"/>
      <c r="O1081" s="75"/>
      <c r="P1081" s="75"/>
      <c r="U1081" s="72"/>
      <c r="V1081" s="73"/>
      <c r="W1081" s="70"/>
      <c r="X1081" s="74"/>
      <c r="Y1081" s="75"/>
      <c r="Z1081" s="75"/>
    </row>
    <row r="1082" spans="1:26" x14ac:dyDescent="0.3">
      <c r="A1082" s="72"/>
      <c r="B1082" s="73"/>
      <c r="C1082" s="70"/>
      <c r="D1082" s="74"/>
      <c r="E1082" s="75"/>
      <c r="F1082" s="75"/>
      <c r="K1082" s="72"/>
      <c r="L1082" s="73"/>
      <c r="M1082" s="70"/>
      <c r="N1082" s="74"/>
      <c r="O1082" s="75"/>
      <c r="P1082" s="75"/>
      <c r="U1082" s="72"/>
      <c r="V1082" s="73"/>
      <c r="W1082" s="70"/>
      <c r="X1082" s="74"/>
      <c r="Y1082" s="75"/>
      <c r="Z1082" s="75"/>
    </row>
    <row r="1083" spans="1:26" x14ac:dyDescent="0.3">
      <c r="A1083" s="72"/>
      <c r="B1083" s="73"/>
      <c r="C1083" s="70"/>
      <c r="D1083" s="74"/>
      <c r="E1083" s="75"/>
      <c r="F1083" s="75"/>
      <c r="K1083" s="72"/>
      <c r="L1083" s="73"/>
      <c r="M1083" s="70"/>
      <c r="N1083" s="74"/>
      <c r="O1083" s="75"/>
      <c r="P1083" s="75"/>
      <c r="U1083" s="72"/>
      <c r="V1083" s="73"/>
      <c r="W1083" s="70"/>
      <c r="X1083" s="74"/>
      <c r="Y1083" s="75"/>
      <c r="Z1083" s="75"/>
    </row>
    <row r="1084" spans="1:26" x14ac:dyDescent="0.3">
      <c r="A1084" s="72"/>
      <c r="B1084" s="73"/>
      <c r="C1084" s="70"/>
      <c r="D1084" s="74"/>
      <c r="E1084" s="75"/>
      <c r="F1084" s="75"/>
      <c r="K1084" s="72"/>
      <c r="L1084" s="73"/>
      <c r="M1084" s="70"/>
      <c r="N1084" s="74"/>
      <c r="O1084" s="75"/>
      <c r="P1084" s="75"/>
      <c r="U1084" s="72"/>
      <c r="V1084" s="73"/>
      <c r="W1084" s="70"/>
      <c r="X1084" s="74"/>
      <c r="Y1084" s="75"/>
      <c r="Z1084" s="75"/>
    </row>
    <row r="1085" spans="1:26" x14ac:dyDescent="0.3">
      <c r="A1085" s="72"/>
      <c r="B1085" s="73"/>
      <c r="C1085" s="70"/>
      <c r="D1085" s="74"/>
      <c r="E1085" s="75"/>
      <c r="F1085" s="75"/>
      <c r="K1085" s="72"/>
      <c r="L1085" s="73"/>
      <c r="M1085" s="70"/>
      <c r="N1085" s="74"/>
      <c r="O1085" s="75"/>
      <c r="P1085" s="75"/>
      <c r="U1085" s="72"/>
      <c r="V1085" s="73"/>
      <c r="W1085" s="70"/>
      <c r="X1085" s="74"/>
      <c r="Y1085" s="75"/>
      <c r="Z1085" s="75"/>
    </row>
    <row r="1086" spans="1:26" x14ac:dyDescent="0.3">
      <c r="A1086" s="72"/>
      <c r="B1086" s="73"/>
      <c r="C1086" s="70"/>
      <c r="D1086" s="74"/>
      <c r="E1086" s="75"/>
      <c r="F1086" s="75"/>
      <c r="K1086" s="72"/>
      <c r="L1086" s="73"/>
      <c r="M1086" s="70"/>
      <c r="N1086" s="74"/>
      <c r="O1086" s="75"/>
      <c r="P1086" s="75"/>
      <c r="U1086" s="72"/>
      <c r="V1086" s="73"/>
      <c r="W1086" s="70"/>
      <c r="X1086" s="74"/>
      <c r="Y1086" s="75"/>
      <c r="Z1086" s="75"/>
    </row>
    <row r="1087" spans="1:26" x14ac:dyDescent="0.3">
      <c r="A1087" s="72"/>
      <c r="B1087" s="73"/>
      <c r="C1087" s="70"/>
      <c r="D1087" s="74"/>
      <c r="E1087" s="75"/>
      <c r="F1087" s="75"/>
      <c r="K1087" s="72"/>
      <c r="L1087" s="73"/>
      <c r="M1087" s="70"/>
      <c r="N1087" s="74"/>
      <c r="O1087" s="75"/>
      <c r="P1087" s="75"/>
      <c r="U1087" s="72"/>
      <c r="V1087" s="73"/>
      <c r="W1087" s="70"/>
      <c r="X1087" s="74"/>
      <c r="Y1087" s="75"/>
      <c r="Z1087" s="75"/>
    </row>
    <row r="1088" spans="1:26" x14ac:dyDescent="0.3">
      <c r="A1088" s="72"/>
      <c r="B1088" s="73"/>
      <c r="C1088" s="70"/>
      <c r="D1088" s="74"/>
      <c r="E1088" s="75"/>
      <c r="F1088" s="75"/>
      <c r="K1088" s="72"/>
      <c r="L1088" s="73"/>
      <c r="M1088" s="70"/>
      <c r="N1088" s="74"/>
      <c r="O1088" s="75"/>
      <c r="P1088" s="75"/>
      <c r="U1088" s="72"/>
      <c r="V1088" s="73"/>
      <c r="W1088" s="70"/>
      <c r="X1088" s="74"/>
      <c r="Y1088" s="75"/>
      <c r="Z1088" s="75"/>
    </row>
    <row r="1089" spans="1:26" x14ac:dyDescent="0.3">
      <c r="A1089" s="72"/>
      <c r="B1089" s="73"/>
      <c r="C1089" s="70"/>
      <c r="D1089" s="74"/>
      <c r="E1089" s="75"/>
      <c r="F1089" s="75"/>
      <c r="K1089" s="72"/>
      <c r="L1089" s="73"/>
      <c r="M1089" s="70"/>
      <c r="N1089" s="74"/>
      <c r="O1089" s="75"/>
      <c r="P1089" s="75"/>
      <c r="U1089" s="72"/>
      <c r="V1089" s="73"/>
      <c r="W1089" s="70"/>
      <c r="X1089" s="74"/>
      <c r="Y1089" s="75"/>
      <c r="Z1089" s="75"/>
    </row>
    <row r="1090" spans="1:26" x14ac:dyDescent="0.3">
      <c r="A1090" s="72"/>
      <c r="B1090" s="73"/>
      <c r="C1090" s="70"/>
      <c r="D1090" s="74"/>
      <c r="E1090" s="75"/>
      <c r="F1090" s="75"/>
      <c r="K1090" s="72"/>
      <c r="L1090" s="73"/>
      <c r="M1090" s="70"/>
      <c r="N1090" s="74"/>
      <c r="O1090" s="75"/>
      <c r="P1090" s="75"/>
      <c r="U1090" s="72"/>
      <c r="V1090" s="73"/>
      <c r="W1090" s="70"/>
      <c r="X1090" s="74"/>
      <c r="Y1090" s="75"/>
      <c r="Z1090" s="75"/>
    </row>
    <row r="1091" spans="1:26" x14ac:dyDescent="0.3">
      <c r="A1091" s="72"/>
      <c r="B1091" s="73"/>
      <c r="C1091" s="70"/>
      <c r="D1091" s="74"/>
      <c r="E1091" s="75"/>
      <c r="F1091" s="75"/>
      <c r="K1091" s="72"/>
      <c r="L1091" s="73"/>
      <c r="M1091" s="70"/>
      <c r="N1091" s="74"/>
      <c r="O1091" s="75"/>
      <c r="P1091" s="75"/>
      <c r="U1091" s="72"/>
      <c r="V1091" s="73"/>
      <c r="W1091" s="70"/>
      <c r="X1091" s="74"/>
      <c r="Y1091" s="75"/>
      <c r="Z1091" s="75"/>
    </row>
    <row r="1092" spans="1:26" x14ac:dyDescent="0.3">
      <c r="A1092" s="72"/>
      <c r="B1092" s="73"/>
      <c r="C1092" s="70"/>
      <c r="D1092" s="74"/>
      <c r="E1092" s="75"/>
      <c r="F1092" s="75"/>
      <c r="K1092" s="72"/>
      <c r="L1092" s="73"/>
      <c r="M1092" s="70"/>
      <c r="N1092" s="74"/>
      <c r="O1092" s="75"/>
      <c r="P1092" s="75"/>
      <c r="U1092" s="72"/>
      <c r="V1092" s="73"/>
      <c r="W1092" s="70"/>
      <c r="X1092" s="74"/>
      <c r="Y1092" s="75"/>
      <c r="Z1092" s="75"/>
    </row>
    <row r="1093" spans="1:26" x14ac:dyDescent="0.3">
      <c r="A1093" s="72"/>
      <c r="B1093" s="73"/>
      <c r="C1093" s="70"/>
      <c r="D1093" s="74"/>
      <c r="E1093" s="75"/>
      <c r="F1093" s="75"/>
      <c r="K1093" s="72"/>
      <c r="L1093" s="73"/>
      <c r="M1093" s="70"/>
      <c r="N1093" s="74"/>
      <c r="O1093" s="75"/>
      <c r="P1093" s="75"/>
      <c r="U1093" s="72"/>
      <c r="V1093" s="73"/>
      <c r="W1093" s="70"/>
      <c r="X1093" s="74"/>
      <c r="Y1093" s="75"/>
      <c r="Z1093" s="75"/>
    </row>
    <row r="1094" spans="1:26" x14ac:dyDescent="0.3">
      <c r="A1094" s="72"/>
      <c r="B1094" s="73"/>
      <c r="C1094" s="70"/>
      <c r="D1094" s="74"/>
      <c r="E1094" s="75"/>
      <c r="F1094" s="75"/>
      <c r="K1094" s="72"/>
      <c r="L1094" s="73"/>
      <c r="M1094" s="70"/>
      <c r="N1094" s="74"/>
      <c r="O1094" s="75"/>
      <c r="P1094" s="75"/>
      <c r="U1094" s="72"/>
      <c r="V1094" s="73"/>
      <c r="W1094" s="70"/>
      <c r="X1094" s="74"/>
      <c r="Y1094" s="75"/>
      <c r="Z1094" s="75"/>
    </row>
    <row r="1095" spans="1:26" x14ac:dyDescent="0.3">
      <c r="A1095" s="72"/>
      <c r="B1095" s="73"/>
      <c r="C1095" s="70"/>
      <c r="D1095" s="74"/>
      <c r="E1095" s="75"/>
      <c r="F1095" s="75"/>
      <c r="K1095" s="72"/>
      <c r="L1095" s="73"/>
      <c r="M1095" s="70"/>
      <c r="N1095" s="74"/>
      <c r="O1095" s="75"/>
      <c r="P1095" s="75"/>
      <c r="U1095" s="72"/>
      <c r="V1095" s="73"/>
      <c r="W1095" s="70"/>
      <c r="X1095" s="74"/>
      <c r="Y1095" s="75"/>
      <c r="Z1095" s="75"/>
    </row>
    <row r="1096" spans="1:26" x14ac:dyDescent="0.3">
      <c r="A1096" s="72"/>
      <c r="B1096" s="73"/>
      <c r="C1096" s="70"/>
      <c r="D1096" s="74"/>
      <c r="E1096" s="75"/>
      <c r="F1096" s="75"/>
      <c r="K1096" s="72"/>
      <c r="L1096" s="73"/>
      <c r="M1096" s="70"/>
      <c r="N1096" s="74"/>
      <c r="O1096" s="75"/>
      <c r="P1096" s="75"/>
      <c r="U1096" s="72"/>
      <c r="V1096" s="73"/>
      <c r="W1096" s="70"/>
      <c r="X1096" s="74"/>
      <c r="Y1096" s="75"/>
      <c r="Z1096" s="75"/>
    </row>
    <row r="1097" spans="1:26" x14ac:dyDescent="0.3">
      <c r="A1097" s="72"/>
      <c r="B1097" s="73"/>
      <c r="C1097" s="70"/>
      <c r="D1097" s="74"/>
      <c r="E1097" s="75"/>
      <c r="F1097" s="75"/>
      <c r="K1097" s="72"/>
      <c r="L1097" s="73"/>
      <c r="M1097" s="70"/>
      <c r="N1097" s="74"/>
      <c r="O1097" s="75"/>
      <c r="P1097" s="75"/>
      <c r="U1097" s="72"/>
      <c r="V1097" s="73"/>
      <c r="W1097" s="70"/>
      <c r="X1097" s="74"/>
      <c r="Y1097" s="75"/>
      <c r="Z1097" s="75"/>
    </row>
    <row r="1098" spans="1:26" x14ac:dyDescent="0.3">
      <c r="A1098" s="72"/>
      <c r="B1098" s="73"/>
      <c r="C1098" s="70"/>
      <c r="D1098" s="74"/>
      <c r="E1098" s="75"/>
      <c r="F1098" s="75"/>
      <c r="K1098" s="72"/>
      <c r="L1098" s="73"/>
      <c r="M1098" s="70"/>
      <c r="N1098" s="74"/>
      <c r="O1098" s="75"/>
      <c r="P1098" s="75"/>
      <c r="U1098" s="72"/>
      <c r="V1098" s="73"/>
      <c r="W1098" s="70"/>
      <c r="X1098" s="74"/>
      <c r="Y1098" s="75"/>
      <c r="Z1098" s="75"/>
    </row>
    <row r="1099" spans="1:26" x14ac:dyDescent="0.3">
      <c r="A1099" s="72"/>
      <c r="B1099" s="73"/>
      <c r="C1099" s="70"/>
      <c r="D1099" s="74"/>
      <c r="E1099" s="75"/>
      <c r="F1099" s="75"/>
      <c r="K1099" s="72"/>
      <c r="L1099" s="73"/>
      <c r="M1099" s="70"/>
      <c r="N1099" s="74"/>
      <c r="O1099" s="75"/>
      <c r="P1099" s="75"/>
      <c r="U1099" s="72"/>
      <c r="V1099" s="73"/>
      <c r="W1099" s="70"/>
      <c r="X1099" s="74"/>
      <c r="Y1099" s="75"/>
      <c r="Z1099" s="75"/>
    </row>
    <row r="1100" spans="1:26" x14ac:dyDescent="0.3">
      <c r="A1100" s="72"/>
      <c r="B1100" s="73"/>
      <c r="C1100" s="70"/>
      <c r="D1100" s="74"/>
      <c r="E1100" s="75"/>
      <c r="F1100" s="75"/>
      <c r="K1100" s="72"/>
      <c r="L1100" s="73"/>
      <c r="M1100" s="70"/>
      <c r="N1100" s="74"/>
      <c r="O1100" s="75"/>
      <c r="P1100" s="75"/>
      <c r="U1100" s="72"/>
      <c r="V1100" s="73"/>
      <c r="W1100" s="70"/>
      <c r="X1100" s="74"/>
      <c r="Y1100" s="75"/>
      <c r="Z1100" s="75"/>
    </row>
    <row r="1101" spans="1:26" x14ac:dyDescent="0.3">
      <c r="A1101" s="72"/>
      <c r="B1101" s="73"/>
      <c r="C1101" s="70"/>
      <c r="D1101" s="74"/>
      <c r="E1101" s="75"/>
      <c r="F1101" s="75"/>
      <c r="K1101" s="72"/>
      <c r="L1101" s="73"/>
      <c r="M1101" s="70"/>
      <c r="N1101" s="74"/>
      <c r="O1101" s="75"/>
      <c r="P1101" s="75"/>
      <c r="U1101" s="72"/>
      <c r="V1101" s="73"/>
      <c r="W1101" s="70"/>
      <c r="X1101" s="74"/>
      <c r="Y1101" s="75"/>
      <c r="Z1101" s="75"/>
    </row>
    <row r="1102" spans="1:26" x14ac:dyDescent="0.3">
      <c r="A1102" s="72"/>
      <c r="B1102" s="73"/>
      <c r="C1102" s="70"/>
      <c r="D1102" s="74"/>
      <c r="E1102" s="75"/>
      <c r="F1102" s="75"/>
      <c r="K1102" s="72"/>
      <c r="L1102" s="73"/>
      <c r="M1102" s="70"/>
      <c r="N1102" s="74"/>
      <c r="O1102" s="75"/>
      <c r="P1102" s="75"/>
      <c r="U1102" s="72"/>
      <c r="V1102" s="73"/>
      <c r="W1102" s="70"/>
      <c r="X1102" s="74"/>
      <c r="Y1102" s="75"/>
      <c r="Z1102" s="75"/>
    </row>
    <row r="1103" spans="1:26" x14ac:dyDescent="0.3">
      <c r="A1103" s="72"/>
      <c r="B1103" s="73"/>
      <c r="C1103" s="70"/>
      <c r="D1103" s="74"/>
      <c r="E1103" s="75"/>
      <c r="F1103" s="75"/>
      <c r="K1103" s="72"/>
      <c r="L1103" s="73"/>
      <c r="M1103" s="70"/>
      <c r="N1103" s="74"/>
      <c r="O1103" s="75"/>
      <c r="P1103" s="75"/>
      <c r="U1103" s="72"/>
      <c r="V1103" s="73"/>
      <c r="W1103" s="70"/>
      <c r="X1103" s="74"/>
      <c r="Y1103" s="75"/>
      <c r="Z1103" s="75"/>
    </row>
    <row r="1104" spans="1:26" x14ac:dyDescent="0.3">
      <c r="A1104" s="72"/>
      <c r="B1104" s="73"/>
      <c r="C1104" s="70"/>
      <c r="D1104" s="74"/>
      <c r="E1104" s="75"/>
      <c r="F1104" s="75"/>
      <c r="K1104" s="72"/>
      <c r="L1104" s="73"/>
      <c r="M1104" s="70"/>
      <c r="N1104" s="74"/>
      <c r="O1104" s="75"/>
      <c r="P1104" s="75"/>
      <c r="U1104" s="72"/>
      <c r="V1104" s="73"/>
      <c r="W1104" s="70"/>
      <c r="X1104" s="74"/>
      <c r="Y1104" s="75"/>
      <c r="Z1104" s="75"/>
    </row>
    <row r="1105" spans="1:26" x14ac:dyDescent="0.3">
      <c r="A1105" s="72"/>
      <c r="B1105" s="73"/>
      <c r="C1105" s="70"/>
      <c r="D1105" s="74"/>
      <c r="E1105" s="75"/>
      <c r="F1105" s="75"/>
      <c r="K1105" s="72"/>
      <c r="L1105" s="73"/>
      <c r="M1105" s="70"/>
      <c r="N1105" s="74"/>
      <c r="O1105" s="75"/>
      <c r="P1105" s="75"/>
      <c r="U1105" s="72"/>
      <c r="V1105" s="73"/>
      <c r="W1105" s="70"/>
      <c r="X1105" s="74"/>
      <c r="Y1105" s="75"/>
      <c r="Z1105" s="75"/>
    </row>
    <row r="1106" spans="1:26" x14ac:dyDescent="0.3">
      <c r="A1106" s="72"/>
      <c r="B1106" s="73"/>
      <c r="C1106" s="70"/>
      <c r="D1106" s="74"/>
      <c r="E1106" s="75"/>
      <c r="F1106" s="75"/>
      <c r="K1106" s="72"/>
      <c r="L1106" s="73"/>
      <c r="M1106" s="70"/>
      <c r="N1106" s="74"/>
      <c r="O1106" s="75"/>
      <c r="P1106" s="75"/>
      <c r="U1106" s="72"/>
      <c r="V1106" s="73"/>
      <c r="W1106" s="70"/>
      <c r="X1106" s="74"/>
      <c r="Y1106" s="75"/>
      <c r="Z1106" s="75"/>
    </row>
    <row r="1107" spans="1:26" x14ac:dyDescent="0.3">
      <c r="A1107" s="72"/>
      <c r="B1107" s="73"/>
      <c r="C1107" s="70"/>
      <c r="D1107" s="74"/>
      <c r="E1107" s="75"/>
      <c r="F1107" s="75"/>
      <c r="K1107" s="72"/>
      <c r="L1107" s="73"/>
      <c r="M1107" s="70"/>
      <c r="N1107" s="74"/>
      <c r="O1107" s="75"/>
      <c r="P1107" s="75"/>
      <c r="U1107" s="72"/>
      <c r="V1107" s="73"/>
      <c r="W1107" s="70"/>
      <c r="X1107" s="74"/>
      <c r="Y1107" s="75"/>
      <c r="Z1107" s="75"/>
    </row>
    <row r="1108" spans="1:26" x14ac:dyDescent="0.3">
      <c r="A1108" s="72"/>
      <c r="B1108" s="73"/>
      <c r="C1108" s="70"/>
      <c r="D1108" s="74"/>
      <c r="E1108" s="75"/>
      <c r="F1108" s="75"/>
      <c r="K1108" s="72"/>
      <c r="L1108" s="73"/>
      <c r="M1108" s="70"/>
      <c r="N1108" s="74"/>
      <c r="O1108" s="75"/>
      <c r="P1108" s="75"/>
      <c r="U1108" s="72"/>
      <c r="V1108" s="73"/>
      <c r="W1108" s="70"/>
      <c r="X1108" s="74"/>
      <c r="Y1108" s="75"/>
      <c r="Z1108" s="75"/>
    </row>
    <row r="1109" spans="1:26" x14ac:dyDescent="0.3">
      <c r="A1109" s="72"/>
      <c r="B1109" s="73"/>
      <c r="C1109" s="70"/>
      <c r="D1109" s="74"/>
      <c r="E1109" s="75"/>
      <c r="F1109" s="75"/>
      <c r="K1109" s="72"/>
      <c r="L1109" s="73"/>
      <c r="M1109" s="70"/>
      <c r="N1109" s="74"/>
      <c r="O1109" s="75"/>
      <c r="P1109" s="75"/>
      <c r="U1109" s="72"/>
      <c r="V1109" s="73"/>
      <c r="W1109" s="70"/>
      <c r="X1109" s="74"/>
      <c r="Y1109" s="75"/>
      <c r="Z1109" s="75"/>
    </row>
    <row r="1110" spans="1:26" x14ac:dyDescent="0.3">
      <c r="A1110" s="72"/>
      <c r="B1110" s="73"/>
      <c r="C1110" s="70"/>
      <c r="D1110" s="74"/>
      <c r="E1110" s="75"/>
      <c r="F1110" s="75"/>
      <c r="K1110" s="72"/>
      <c r="L1110" s="73"/>
      <c r="M1110" s="70"/>
      <c r="N1110" s="74"/>
      <c r="O1110" s="75"/>
      <c r="P1110" s="75"/>
      <c r="U1110" s="72"/>
      <c r="V1110" s="73"/>
      <c r="W1110" s="70"/>
      <c r="X1110" s="74"/>
      <c r="Y1110" s="75"/>
      <c r="Z1110" s="75"/>
    </row>
    <row r="1111" spans="1:26" x14ac:dyDescent="0.3">
      <c r="A1111" s="72"/>
      <c r="B1111" s="73"/>
      <c r="C1111" s="70"/>
      <c r="D1111" s="74"/>
      <c r="E1111" s="75"/>
      <c r="F1111" s="75"/>
      <c r="K1111" s="72"/>
      <c r="L1111" s="73"/>
      <c r="M1111" s="70"/>
      <c r="N1111" s="74"/>
      <c r="O1111" s="75"/>
      <c r="P1111" s="75"/>
      <c r="U1111" s="72"/>
      <c r="V1111" s="73"/>
      <c r="W1111" s="70"/>
      <c r="X1111" s="74"/>
      <c r="Y1111" s="75"/>
      <c r="Z1111" s="75"/>
    </row>
    <row r="1112" spans="1:26" x14ac:dyDescent="0.3">
      <c r="A1112" s="72"/>
      <c r="B1112" s="73"/>
      <c r="C1112" s="70"/>
      <c r="D1112" s="74"/>
      <c r="E1112" s="75"/>
      <c r="F1112" s="75"/>
      <c r="K1112" s="72"/>
      <c r="L1112" s="73"/>
      <c r="M1112" s="70"/>
      <c r="N1112" s="74"/>
      <c r="O1112" s="75"/>
      <c r="P1112" s="75"/>
      <c r="U1112" s="72"/>
      <c r="V1112" s="73"/>
      <c r="W1112" s="70"/>
      <c r="X1112" s="74"/>
      <c r="Y1112" s="75"/>
      <c r="Z1112" s="75"/>
    </row>
    <row r="1113" spans="1:26" x14ac:dyDescent="0.3">
      <c r="A1113" s="72"/>
      <c r="B1113" s="73"/>
      <c r="C1113" s="70"/>
      <c r="D1113" s="74"/>
      <c r="E1113" s="75"/>
      <c r="F1113" s="75"/>
      <c r="K1113" s="72"/>
      <c r="L1113" s="73"/>
      <c r="M1113" s="70"/>
      <c r="N1113" s="74"/>
      <c r="O1113" s="75"/>
      <c r="P1113" s="75"/>
      <c r="U1113" s="72"/>
      <c r="V1113" s="73"/>
      <c r="W1113" s="70"/>
      <c r="X1113" s="74"/>
      <c r="Y1113" s="75"/>
      <c r="Z1113" s="75"/>
    </row>
    <row r="1114" spans="1:26" x14ac:dyDescent="0.3">
      <c r="A1114" s="72"/>
      <c r="B1114" s="73"/>
      <c r="C1114" s="70"/>
      <c r="D1114" s="74"/>
      <c r="E1114" s="75"/>
      <c r="F1114" s="75"/>
      <c r="K1114" s="72"/>
      <c r="L1114" s="73"/>
      <c r="M1114" s="70"/>
      <c r="N1114" s="74"/>
      <c r="O1114" s="75"/>
      <c r="P1114" s="75"/>
      <c r="U1114" s="72"/>
      <c r="V1114" s="73"/>
      <c r="W1114" s="70"/>
      <c r="X1114" s="74"/>
      <c r="Y1114" s="75"/>
      <c r="Z1114" s="75"/>
    </row>
    <row r="1115" spans="1:26" x14ac:dyDescent="0.3">
      <c r="A1115" s="72"/>
      <c r="B1115" s="73"/>
      <c r="C1115" s="70"/>
      <c r="D1115" s="74"/>
      <c r="E1115" s="75"/>
      <c r="F1115" s="75"/>
      <c r="K1115" s="72"/>
      <c r="L1115" s="73"/>
      <c r="M1115" s="70"/>
      <c r="N1115" s="74"/>
      <c r="O1115" s="75"/>
      <c r="P1115" s="75"/>
      <c r="U1115" s="72"/>
      <c r="V1115" s="73"/>
      <c r="W1115" s="70"/>
      <c r="X1115" s="74"/>
      <c r="Y1115" s="75"/>
      <c r="Z1115" s="75"/>
    </row>
    <row r="1116" spans="1:26" x14ac:dyDescent="0.3">
      <c r="A1116" s="72"/>
      <c r="B1116" s="73"/>
      <c r="C1116" s="70"/>
      <c r="D1116" s="74"/>
      <c r="E1116" s="75"/>
      <c r="F1116" s="75"/>
      <c r="K1116" s="72"/>
      <c r="L1116" s="73"/>
      <c r="M1116" s="70"/>
      <c r="N1116" s="74"/>
      <c r="O1116" s="75"/>
      <c r="P1116" s="75"/>
      <c r="U1116" s="72"/>
      <c r="V1116" s="73"/>
      <c r="W1116" s="70"/>
      <c r="X1116" s="74"/>
      <c r="Y1116" s="75"/>
      <c r="Z1116" s="75"/>
    </row>
    <row r="1117" spans="1:26" x14ac:dyDescent="0.3">
      <c r="A1117" s="72"/>
      <c r="B1117" s="73"/>
      <c r="C1117" s="70"/>
      <c r="D1117" s="74"/>
      <c r="E1117" s="75"/>
      <c r="F1117" s="75"/>
      <c r="K1117" s="72"/>
      <c r="L1117" s="73"/>
      <c r="M1117" s="70"/>
      <c r="N1117" s="74"/>
      <c r="O1117" s="75"/>
      <c r="P1117" s="75"/>
      <c r="U1117" s="72"/>
      <c r="V1117" s="73"/>
      <c r="W1117" s="70"/>
      <c r="X1117" s="74"/>
      <c r="Y1117" s="75"/>
      <c r="Z1117" s="75"/>
    </row>
    <row r="1118" spans="1:26" x14ac:dyDescent="0.3">
      <c r="A1118" s="72"/>
      <c r="B1118" s="73"/>
      <c r="C1118" s="70"/>
      <c r="D1118" s="74"/>
      <c r="E1118" s="75"/>
      <c r="F1118" s="75"/>
      <c r="K1118" s="72"/>
      <c r="L1118" s="73"/>
      <c r="M1118" s="70"/>
      <c r="N1118" s="74"/>
      <c r="O1118" s="75"/>
      <c r="P1118" s="75"/>
      <c r="U1118" s="72"/>
      <c r="V1118" s="73"/>
      <c r="W1118" s="70"/>
      <c r="X1118" s="74"/>
      <c r="Y1118" s="75"/>
      <c r="Z1118" s="75"/>
    </row>
    <row r="1119" spans="1:26" x14ac:dyDescent="0.3">
      <c r="A1119" s="72"/>
      <c r="B1119" s="73"/>
      <c r="C1119" s="70"/>
      <c r="D1119" s="74"/>
      <c r="E1119" s="75"/>
      <c r="F1119" s="75"/>
      <c r="K1119" s="72"/>
      <c r="L1119" s="73"/>
      <c r="M1119" s="70"/>
      <c r="N1119" s="74"/>
      <c r="O1119" s="75"/>
      <c r="P1119" s="75"/>
      <c r="U1119" s="72"/>
      <c r="V1119" s="73"/>
      <c r="W1119" s="70"/>
      <c r="X1119" s="74"/>
      <c r="Y1119" s="75"/>
      <c r="Z1119" s="75"/>
    </row>
    <row r="1120" spans="1:26" x14ac:dyDescent="0.3">
      <c r="A1120" s="72"/>
      <c r="B1120" s="73"/>
      <c r="C1120" s="70"/>
      <c r="D1120" s="74"/>
      <c r="E1120" s="75"/>
      <c r="F1120" s="75"/>
      <c r="K1120" s="72"/>
      <c r="L1120" s="73"/>
      <c r="M1120" s="70"/>
      <c r="N1120" s="74"/>
      <c r="O1120" s="75"/>
      <c r="P1120" s="75"/>
      <c r="U1120" s="72"/>
      <c r="V1120" s="73"/>
      <c r="W1120" s="70"/>
      <c r="X1120" s="74"/>
      <c r="Y1120" s="75"/>
      <c r="Z1120" s="75"/>
    </row>
    <row r="1121" spans="1:26" x14ac:dyDescent="0.3">
      <c r="A1121" s="72"/>
      <c r="B1121" s="73"/>
      <c r="C1121" s="70"/>
      <c r="D1121" s="74"/>
      <c r="E1121" s="75"/>
      <c r="F1121" s="75"/>
      <c r="K1121" s="72"/>
      <c r="L1121" s="73"/>
      <c r="M1121" s="70"/>
      <c r="N1121" s="74"/>
      <c r="O1121" s="75"/>
      <c r="P1121" s="75"/>
      <c r="U1121" s="72"/>
      <c r="V1121" s="73"/>
      <c r="W1121" s="70"/>
      <c r="X1121" s="74"/>
      <c r="Y1121" s="75"/>
      <c r="Z1121" s="75"/>
    </row>
    <row r="1122" spans="1:26" x14ac:dyDescent="0.3">
      <c r="A1122" s="72"/>
      <c r="B1122" s="73"/>
      <c r="C1122" s="70"/>
      <c r="D1122" s="74"/>
      <c r="E1122" s="75"/>
      <c r="F1122" s="75"/>
      <c r="K1122" s="72"/>
      <c r="L1122" s="73"/>
      <c r="M1122" s="70"/>
      <c r="N1122" s="74"/>
      <c r="O1122" s="75"/>
      <c r="P1122" s="75"/>
      <c r="U1122" s="72"/>
      <c r="V1122" s="73"/>
      <c r="W1122" s="70"/>
      <c r="X1122" s="74"/>
      <c r="Y1122" s="75"/>
      <c r="Z1122" s="75"/>
    </row>
    <row r="1123" spans="1:26" x14ac:dyDescent="0.3">
      <c r="A1123" s="72"/>
      <c r="B1123" s="73"/>
      <c r="C1123" s="70"/>
      <c r="D1123" s="74"/>
      <c r="E1123" s="75"/>
      <c r="F1123" s="75"/>
      <c r="K1123" s="72"/>
      <c r="L1123" s="73"/>
      <c r="M1123" s="70"/>
      <c r="N1123" s="74"/>
      <c r="O1123" s="75"/>
      <c r="P1123" s="75"/>
      <c r="U1123" s="72"/>
      <c r="V1123" s="73"/>
      <c r="W1123" s="70"/>
      <c r="X1123" s="74"/>
      <c r="Y1123" s="75"/>
      <c r="Z1123" s="75"/>
    </row>
    <row r="1124" spans="1:26" x14ac:dyDescent="0.3">
      <c r="A1124" s="72"/>
      <c r="B1124" s="73"/>
      <c r="C1124" s="70"/>
      <c r="D1124" s="74"/>
      <c r="E1124" s="75"/>
      <c r="F1124" s="75"/>
      <c r="K1124" s="72"/>
      <c r="L1124" s="73"/>
      <c r="M1124" s="70"/>
      <c r="N1124" s="74"/>
      <c r="O1124" s="75"/>
      <c r="P1124" s="75"/>
      <c r="U1124" s="72"/>
      <c r="V1124" s="73"/>
      <c r="W1124" s="70"/>
      <c r="X1124" s="74"/>
      <c r="Y1124" s="75"/>
      <c r="Z1124" s="75"/>
    </row>
    <row r="1125" spans="1:26" x14ac:dyDescent="0.3">
      <c r="A1125" s="72"/>
      <c r="B1125" s="73"/>
      <c r="C1125" s="70"/>
      <c r="D1125" s="74"/>
      <c r="E1125" s="75"/>
      <c r="F1125" s="75"/>
      <c r="K1125" s="72"/>
      <c r="L1125" s="73"/>
      <c r="M1125" s="70"/>
      <c r="N1125" s="74"/>
      <c r="O1125" s="75"/>
      <c r="P1125" s="75"/>
      <c r="U1125" s="72"/>
      <c r="V1125" s="73"/>
      <c r="W1125" s="70"/>
      <c r="X1125" s="74"/>
      <c r="Y1125" s="75"/>
      <c r="Z1125" s="75"/>
    </row>
    <row r="1126" spans="1:26" x14ac:dyDescent="0.3">
      <c r="A1126" s="72"/>
      <c r="B1126" s="73"/>
      <c r="C1126" s="70"/>
      <c r="D1126" s="74"/>
      <c r="E1126" s="75"/>
      <c r="F1126" s="75"/>
      <c r="K1126" s="72"/>
      <c r="L1126" s="73"/>
      <c r="M1126" s="70"/>
      <c r="N1126" s="74"/>
      <c r="O1126" s="75"/>
      <c r="P1126" s="75"/>
      <c r="U1126" s="72"/>
      <c r="V1126" s="73"/>
      <c r="W1126" s="70"/>
      <c r="X1126" s="74"/>
      <c r="Y1126" s="75"/>
      <c r="Z1126" s="75"/>
    </row>
    <row r="1127" spans="1:26" x14ac:dyDescent="0.3">
      <c r="A1127" s="72"/>
      <c r="B1127" s="73"/>
      <c r="C1127" s="70"/>
      <c r="D1127" s="74"/>
      <c r="E1127" s="75"/>
      <c r="F1127" s="75"/>
      <c r="K1127" s="72"/>
      <c r="L1127" s="73"/>
      <c r="M1127" s="70"/>
      <c r="N1127" s="74"/>
      <c r="O1127" s="75"/>
      <c r="P1127" s="75"/>
      <c r="U1127" s="72"/>
      <c r="V1127" s="73"/>
      <c r="W1127" s="70"/>
      <c r="X1127" s="74"/>
      <c r="Y1127" s="75"/>
      <c r="Z1127" s="75"/>
    </row>
    <row r="1128" spans="1:26" x14ac:dyDescent="0.3">
      <c r="A1128" s="72"/>
      <c r="B1128" s="73"/>
      <c r="C1128" s="70"/>
      <c r="D1128" s="74"/>
      <c r="E1128" s="75"/>
      <c r="F1128" s="75"/>
      <c r="K1128" s="72"/>
      <c r="L1128" s="73"/>
      <c r="M1128" s="70"/>
      <c r="N1128" s="74"/>
      <c r="O1128" s="75"/>
      <c r="P1128" s="75"/>
      <c r="U1128" s="72"/>
      <c r="V1128" s="73"/>
      <c r="W1128" s="70"/>
      <c r="X1128" s="74"/>
      <c r="Y1128" s="75"/>
      <c r="Z1128" s="75"/>
    </row>
    <row r="1129" spans="1:26" x14ac:dyDescent="0.3">
      <c r="A1129" s="72"/>
      <c r="B1129" s="73"/>
      <c r="C1129" s="70"/>
      <c r="D1129" s="74"/>
      <c r="E1129" s="75"/>
      <c r="F1129" s="75"/>
      <c r="K1129" s="72"/>
      <c r="L1129" s="73"/>
      <c r="M1129" s="70"/>
      <c r="N1129" s="74"/>
      <c r="O1129" s="75"/>
      <c r="P1129" s="75"/>
      <c r="U1129" s="72"/>
      <c r="V1129" s="73"/>
      <c r="W1129" s="70"/>
      <c r="X1129" s="74"/>
      <c r="Y1129" s="75"/>
      <c r="Z1129" s="75"/>
    </row>
    <row r="1130" spans="1:26" x14ac:dyDescent="0.3">
      <c r="A1130" s="72"/>
      <c r="B1130" s="73"/>
      <c r="C1130" s="70"/>
      <c r="D1130" s="74"/>
      <c r="E1130" s="75"/>
      <c r="F1130" s="75"/>
      <c r="K1130" s="72"/>
      <c r="L1130" s="73"/>
      <c r="M1130" s="70"/>
      <c r="N1130" s="74"/>
      <c r="O1130" s="75"/>
      <c r="P1130" s="75"/>
      <c r="U1130" s="72"/>
      <c r="V1130" s="73"/>
      <c r="W1130" s="70"/>
      <c r="X1130" s="74"/>
      <c r="Y1130" s="75"/>
      <c r="Z1130" s="75"/>
    </row>
    <row r="1131" spans="1:26" x14ac:dyDescent="0.3">
      <c r="A1131" s="72"/>
      <c r="B1131" s="73"/>
      <c r="C1131" s="70"/>
      <c r="D1131" s="74"/>
      <c r="E1131" s="75"/>
      <c r="F1131" s="75"/>
      <c r="K1131" s="72"/>
      <c r="L1131" s="73"/>
      <c r="M1131" s="70"/>
      <c r="N1131" s="74"/>
      <c r="O1131" s="75"/>
      <c r="P1131" s="75"/>
      <c r="U1131" s="72"/>
      <c r="V1131" s="73"/>
      <c r="W1131" s="70"/>
      <c r="X1131" s="74"/>
      <c r="Y1131" s="75"/>
      <c r="Z1131" s="75"/>
    </row>
    <row r="1132" spans="1:26" x14ac:dyDescent="0.3">
      <c r="A1132" s="72"/>
      <c r="B1132" s="73"/>
      <c r="C1132" s="70"/>
      <c r="D1132" s="74"/>
      <c r="E1132" s="75"/>
      <c r="F1132" s="75"/>
      <c r="K1132" s="72"/>
      <c r="L1132" s="73"/>
      <c r="M1132" s="70"/>
      <c r="N1132" s="74"/>
      <c r="O1132" s="75"/>
      <c r="P1132" s="75"/>
      <c r="U1132" s="72"/>
      <c r="V1132" s="73"/>
      <c r="W1132" s="70"/>
      <c r="X1132" s="74"/>
      <c r="Y1132" s="75"/>
      <c r="Z1132" s="75"/>
    </row>
    <row r="1133" spans="1:26" x14ac:dyDescent="0.3">
      <c r="A1133" s="72"/>
      <c r="B1133" s="73"/>
      <c r="C1133" s="70"/>
      <c r="D1133" s="74"/>
      <c r="E1133" s="75"/>
      <c r="F1133" s="75"/>
      <c r="K1133" s="72"/>
      <c r="L1133" s="73"/>
      <c r="M1133" s="70"/>
      <c r="N1133" s="74"/>
      <c r="O1133" s="75"/>
      <c r="P1133" s="75"/>
      <c r="U1133" s="72"/>
      <c r="V1133" s="73"/>
      <c r="W1133" s="70"/>
      <c r="X1133" s="74"/>
      <c r="Y1133" s="75"/>
      <c r="Z1133" s="75"/>
    </row>
    <row r="1134" spans="1:26" x14ac:dyDescent="0.3">
      <c r="A1134" s="72"/>
      <c r="B1134" s="73"/>
      <c r="C1134" s="70"/>
      <c r="D1134" s="74"/>
      <c r="E1134" s="75"/>
      <c r="F1134" s="75"/>
      <c r="K1134" s="72"/>
      <c r="L1134" s="73"/>
      <c r="M1134" s="70"/>
      <c r="N1134" s="74"/>
      <c r="O1134" s="75"/>
      <c r="P1134" s="75"/>
      <c r="U1134" s="72"/>
      <c r="V1134" s="73"/>
      <c r="W1134" s="70"/>
      <c r="X1134" s="74"/>
      <c r="Y1134" s="75"/>
      <c r="Z1134" s="75"/>
    </row>
    <row r="1135" spans="1:26" x14ac:dyDescent="0.3">
      <c r="A1135" s="72"/>
      <c r="B1135" s="73"/>
      <c r="C1135" s="70"/>
      <c r="D1135" s="74"/>
      <c r="E1135" s="75"/>
      <c r="F1135" s="75"/>
      <c r="K1135" s="72"/>
      <c r="L1135" s="73"/>
      <c r="M1135" s="70"/>
      <c r="N1135" s="74"/>
      <c r="O1135" s="75"/>
      <c r="P1135" s="75"/>
      <c r="U1135" s="72"/>
      <c r="V1135" s="73"/>
      <c r="W1135" s="70"/>
      <c r="X1135" s="74"/>
      <c r="Y1135" s="75"/>
      <c r="Z1135" s="75"/>
    </row>
    <row r="1136" spans="1:26" x14ac:dyDescent="0.3">
      <c r="A1136" s="72"/>
      <c r="B1136" s="73"/>
      <c r="C1136" s="70"/>
      <c r="D1136" s="74"/>
      <c r="E1136" s="75"/>
      <c r="F1136" s="75"/>
      <c r="K1136" s="72"/>
      <c r="L1136" s="73"/>
      <c r="M1136" s="70"/>
      <c r="N1136" s="74"/>
      <c r="O1136" s="75"/>
      <c r="P1136" s="75"/>
      <c r="U1136" s="72"/>
      <c r="V1136" s="73"/>
      <c r="W1136" s="70"/>
      <c r="X1136" s="74"/>
      <c r="Y1136" s="75"/>
      <c r="Z1136" s="75"/>
    </row>
    <row r="1137" spans="1:26" x14ac:dyDescent="0.3">
      <c r="A1137" s="72"/>
      <c r="B1137" s="73"/>
      <c r="C1137" s="70"/>
      <c r="D1137" s="74"/>
      <c r="E1137" s="75"/>
      <c r="F1137" s="75"/>
      <c r="K1137" s="72"/>
      <c r="L1137" s="73"/>
      <c r="M1137" s="70"/>
      <c r="N1137" s="74"/>
      <c r="O1137" s="75"/>
      <c r="P1137" s="75"/>
      <c r="U1137" s="72"/>
      <c r="V1137" s="73"/>
      <c r="W1137" s="70"/>
      <c r="X1137" s="74"/>
      <c r="Y1137" s="75"/>
      <c r="Z1137" s="75"/>
    </row>
    <row r="1138" spans="1:26" x14ac:dyDescent="0.3">
      <c r="A1138" s="72"/>
      <c r="B1138" s="73"/>
      <c r="C1138" s="70"/>
      <c r="D1138" s="74"/>
      <c r="E1138" s="75"/>
      <c r="F1138" s="75"/>
      <c r="K1138" s="72"/>
      <c r="L1138" s="73"/>
      <c r="M1138" s="70"/>
      <c r="N1138" s="74"/>
      <c r="O1138" s="75"/>
      <c r="P1138" s="75"/>
      <c r="U1138" s="72"/>
      <c r="V1138" s="73"/>
      <c r="W1138" s="70"/>
      <c r="X1138" s="74"/>
      <c r="Y1138" s="75"/>
      <c r="Z1138" s="75"/>
    </row>
    <row r="1139" spans="1:26" x14ac:dyDescent="0.3">
      <c r="A1139" s="72"/>
      <c r="B1139" s="73"/>
      <c r="C1139" s="70"/>
      <c r="D1139" s="74"/>
      <c r="E1139" s="75"/>
      <c r="F1139" s="75"/>
      <c r="K1139" s="72"/>
      <c r="L1139" s="73"/>
      <c r="M1139" s="70"/>
      <c r="N1139" s="74"/>
      <c r="O1139" s="75"/>
      <c r="P1139" s="75"/>
      <c r="U1139" s="72"/>
      <c r="V1139" s="73"/>
      <c r="W1139" s="70"/>
      <c r="X1139" s="74"/>
      <c r="Y1139" s="75"/>
      <c r="Z1139" s="75"/>
    </row>
    <row r="1140" spans="1:26" x14ac:dyDescent="0.3">
      <c r="A1140" s="72"/>
      <c r="B1140" s="73"/>
      <c r="C1140" s="70"/>
      <c r="D1140" s="74"/>
      <c r="E1140" s="75"/>
      <c r="F1140" s="75"/>
      <c r="K1140" s="72"/>
      <c r="L1140" s="73"/>
      <c r="M1140" s="70"/>
      <c r="N1140" s="74"/>
      <c r="O1140" s="75"/>
      <c r="P1140" s="75"/>
      <c r="U1140" s="72"/>
      <c r="V1140" s="73"/>
      <c r="W1140" s="70"/>
      <c r="X1140" s="74"/>
      <c r="Y1140" s="75"/>
      <c r="Z1140" s="75"/>
    </row>
    <row r="1141" spans="1:26" x14ac:dyDescent="0.3">
      <c r="A1141" s="72"/>
      <c r="B1141" s="73"/>
      <c r="C1141" s="70"/>
      <c r="D1141" s="74"/>
      <c r="E1141" s="75"/>
      <c r="F1141" s="75"/>
      <c r="K1141" s="72"/>
      <c r="L1141" s="73"/>
      <c r="M1141" s="70"/>
      <c r="N1141" s="74"/>
      <c r="O1141" s="75"/>
      <c r="P1141" s="75"/>
      <c r="U1141" s="72"/>
      <c r="V1141" s="73"/>
      <c r="W1141" s="70"/>
      <c r="X1141" s="74"/>
      <c r="Y1141" s="75"/>
      <c r="Z1141" s="75"/>
    </row>
    <row r="1142" spans="1:26" x14ac:dyDescent="0.3">
      <c r="A1142" s="72"/>
      <c r="B1142" s="73"/>
      <c r="C1142" s="70"/>
      <c r="D1142" s="74"/>
      <c r="E1142" s="75"/>
      <c r="F1142" s="75"/>
      <c r="K1142" s="72"/>
      <c r="L1142" s="73"/>
      <c r="M1142" s="70"/>
      <c r="N1142" s="74"/>
      <c r="O1142" s="75"/>
      <c r="P1142" s="75"/>
      <c r="U1142" s="72"/>
      <c r="V1142" s="73"/>
      <c r="W1142" s="70"/>
      <c r="X1142" s="74"/>
      <c r="Y1142" s="75"/>
      <c r="Z1142" s="75"/>
    </row>
    <row r="1143" spans="1:26" x14ac:dyDescent="0.3">
      <c r="A1143" s="72"/>
      <c r="B1143" s="73"/>
      <c r="C1143" s="70"/>
      <c r="D1143" s="74"/>
      <c r="E1143" s="75"/>
      <c r="F1143" s="75"/>
      <c r="K1143" s="72"/>
      <c r="L1143" s="73"/>
      <c r="M1143" s="70"/>
      <c r="N1143" s="74"/>
      <c r="O1143" s="75"/>
      <c r="P1143" s="75"/>
      <c r="U1143" s="72"/>
      <c r="V1143" s="73"/>
      <c r="W1143" s="70"/>
      <c r="X1143" s="74"/>
      <c r="Y1143" s="75"/>
      <c r="Z1143" s="75"/>
    </row>
    <row r="1144" spans="1:26" x14ac:dyDescent="0.3">
      <c r="A1144" s="72"/>
      <c r="B1144" s="73"/>
      <c r="C1144" s="70"/>
      <c r="D1144" s="74"/>
      <c r="E1144" s="75"/>
      <c r="F1144" s="75"/>
      <c r="K1144" s="72"/>
      <c r="L1144" s="73"/>
      <c r="M1144" s="70"/>
      <c r="N1144" s="74"/>
      <c r="O1144" s="75"/>
      <c r="P1144" s="75"/>
      <c r="U1144" s="72"/>
      <c r="V1144" s="73"/>
      <c r="W1144" s="70"/>
      <c r="X1144" s="74"/>
      <c r="Y1144" s="75"/>
      <c r="Z1144" s="75"/>
    </row>
    <row r="1145" spans="1:26" x14ac:dyDescent="0.3">
      <c r="A1145" s="72"/>
      <c r="B1145" s="73"/>
      <c r="C1145" s="70"/>
      <c r="D1145" s="74"/>
      <c r="E1145" s="75"/>
      <c r="F1145" s="75"/>
      <c r="K1145" s="72"/>
      <c r="L1145" s="73"/>
      <c r="M1145" s="70"/>
      <c r="N1145" s="74"/>
      <c r="O1145" s="75"/>
      <c r="P1145" s="75"/>
      <c r="U1145" s="72"/>
      <c r="V1145" s="73"/>
      <c r="W1145" s="70"/>
      <c r="X1145" s="74"/>
      <c r="Y1145" s="75"/>
      <c r="Z1145" s="75"/>
    </row>
    <row r="1146" spans="1:26" x14ac:dyDescent="0.3">
      <c r="A1146" s="72"/>
      <c r="B1146" s="73"/>
      <c r="C1146" s="70"/>
      <c r="D1146" s="74"/>
      <c r="E1146" s="75"/>
      <c r="F1146" s="75"/>
      <c r="K1146" s="72"/>
      <c r="L1146" s="73"/>
      <c r="M1146" s="70"/>
      <c r="N1146" s="74"/>
      <c r="O1146" s="75"/>
      <c r="P1146" s="75"/>
      <c r="U1146" s="72"/>
      <c r="V1146" s="73"/>
      <c r="W1146" s="70"/>
      <c r="X1146" s="74"/>
      <c r="Y1146" s="75"/>
      <c r="Z1146" s="75"/>
    </row>
    <row r="1147" spans="1:26" x14ac:dyDescent="0.3">
      <c r="A1147" s="72"/>
      <c r="B1147" s="73"/>
      <c r="C1147" s="70"/>
      <c r="D1147" s="74"/>
      <c r="E1147" s="75"/>
      <c r="F1147" s="75"/>
      <c r="K1147" s="72"/>
      <c r="L1147" s="73"/>
      <c r="M1147" s="70"/>
      <c r="N1147" s="74"/>
      <c r="O1147" s="75"/>
      <c r="P1147" s="75"/>
      <c r="U1147" s="72"/>
      <c r="V1147" s="73"/>
      <c r="W1147" s="70"/>
      <c r="X1147" s="74"/>
      <c r="Y1147" s="75"/>
      <c r="Z1147" s="75"/>
    </row>
    <row r="1148" spans="1:26" x14ac:dyDescent="0.3">
      <c r="A1148" s="72"/>
      <c r="B1148" s="73"/>
      <c r="C1148" s="70"/>
      <c r="D1148" s="74"/>
      <c r="E1148" s="75"/>
      <c r="F1148" s="75"/>
      <c r="K1148" s="72"/>
      <c r="L1148" s="73"/>
      <c r="M1148" s="70"/>
      <c r="N1148" s="74"/>
      <c r="O1148" s="75"/>
      <c r="P1148" s="75"/>
      <c r="U1148" s="72"/>
      <c r="V1148" s="73"/>
      <c r="W1148" s="70"/>
      <c r="X1148" s="74"/>
      <c r="Y1148" s="75"/>
      <c r="Z1148" s="75"/>
    </row>
    <row r="1149" spans="1:26" x14ac:dyDescent="0.3">
      <c r="A1149" s="72"/>
      <c r="B1149" s="73"/>
      <c r="C1149" s="70"/>
      <c r="D1149" s="74"/>
      <c r="E1149" s="75"/>
      <c r="F1149" s="75"/>
      <c r="K1149" s="72"/>
      <c r="L1149" s="73"/>
      <c r="M1149" s="70"/>
      <c r="N1149" s="74"/>
      <c r="O1149" s="75"/>
      <c r="P1149" s="75"/>
      <c r="U1149" s="72"/>
      <c r="V1149" s="73"/>
      <c r="W1149" s="70"/>
      <c r="X1149" s="74"/>
      <c r="Y1149" s="75"/>
      <c r="Z1149" s="75"/>
    </row>
    <row r="1150" spans="1:26" x14ac:dyDescent="0.3">
      <c r="A1150" s="72"/>
      <c r="B1150" s="73"/>
      <c r="C1150" s="70"/>
      <c r="D1150" s="74"/>
      <c r="E1150" s="75"/>
      <c r="F1150" s="75"/>
      <c r="K1150" s="72"/>
      <c r="L1150" s="73"/>
      <c r="M1150" s="70"/>
      <c r="N1150" s="74"/>
      <c r="O1150" s="75"/>
      <c r="P1150" s="75"/>
      <c r="U1150" s="72"/>
      <c r="V1150" s="73"/>
      <c r="W1150" s="70"/>
      <c r="X1150" s="74"/>
      <c r="Y1150" s="75"/>
      <c r="Z1150" s="75"/>
    </row>
    <row r="1151" spans="1:26" x14ac:dyDescent="0.3">
      <c r="A1151" s="72"/>
      <c r="B1151" s="73"/>
      <c r="C1151" s="70"/>
      <c r="D1151" s="74"/>
      <c r="E1151" s="75"/>
      <c r="F1151" s="75"/>
      <c r="K1151" s="72"/>
      <c r="L1151" s="73"/>
      <c r="M1151" s="70"/>
      <c r="N1151" s="74"/>
      <c r="O1151" s="75"/>
      <c r="P1151" s="75"/>
      <c r="U1151" s="72"/>
      <c r="V1151" s="73"/>
      <c r="W1151" s="70"/>
      <c r="X1151" s="74"/>
      <c r="Y1151" s="75"/>
      <c r="Z1151" s="75"/>
    </row>
    <row r="1152" spans="1:26" x14ac:dyDescent="0.3">
      <c r="A1152" s="72"/>
      <c r="B1152" s="73"/>
      <c r="C1152" s="70"/>
      <c r="D1152" s="74"/>
      <c r="E1152" s="75"/>
      <c r="F1152" s="75"/>
      <c r="K1152" s="72"/>
      <c r="L1152" s="73"/>
      <c r="M1152" s="70"/>
      <c r="N1152" s="74"/>
      <c r="O1152" s="75"/>
      <c r="P1152" s="75"/>
      <c r="U1152" s="72"/>
      <c r="V1152" s="73"/>
      <c r="W1152" s="70"/>
      <c r="X1152" s="74"/>
      <c r="Y1152" s="75"/>
      <c r="Z1152" s="75"/>
    </row>
    <row r="1153" spans="1:26" x14ac:dyDescent="0.3">
      <c r="A1153" s="72"/>
      <c r="B1153" s="73"/>
      <c r="C1153" s="70"/>
      <c r="D1153" s="74"/>
      <c r="E1153" s="75"/>
      <c r="F1153" s="75"/>
      <c r="K1153" s="72"/>
      <c r="L1153" s="73"/>
      <c r="M1153" s="70"/>
      <c r="N1153" s="74"/>
      <c r="O1153" s="75"/>
      <c r="P1153" s="75"/>
      <c r="U1153" s="72"/>
      <c r="V1153" s="73"/>
      <c r="W1153" s="70"/>
      <c r="X1153" s="74"/>
      <c r="Y1153" s="75"/>
      <c r="Z1153" s="75"/>
    </row>
    <row r="1154" spans="1:26" x14ac:dyDescent="0.3">
      <c r="A1154" s="72"/>
      <c r="B1154" s="73"/>
      <c r="C1154" s="70"/>
      <c r="D1154" s="74"/>
      <c r="E1154" s="75"/>
      <c r="F1154" s="75"/>
      <c r="K1154" s="72"/>
      <c r="L1154" s="73"/>
      <c r="M1154" s="70"/>
      <c r="N1154" s="74"/>
      <c r="O1154" s="75"/>
      <c r="P1154" s="75"/>
      <c r="U1154" s="72"/>
      <c r="V1154" s="73"/>
      <c r="W1154" s="70"/>
      <c r="X1154" s="74"/>
      <c r="Y1154" s="75"/>
      <c r="Z1154" s="75"/>
    </row>
    <row r="1155" spans="1:26" x14ac:dyDescent="0.3">
      <c r="A1155" s="72"/>
      <c r="B1155" s="73"/>
      <c r="C1155" s="70"/>
      <c r="D1155" s="74"/>
      <c r="E1155" s="75"/>
      <c r="F1155" s="75"/>
      <c r="K1155" s="72"/>
      <c r="L1155" s="73"/>
      <c r="M1155" s="70"/>
      <c r="N1155" s="74"/>
      <c r="O1155" s="75"/>
      <c r="P1155" s="75"/>
      <c r="U1155" s="72"/>
      <c r="V1155" s="73"/>
      <c r="W1155" s="70"/>
      <c r="X1155" s="74"/>
      <c r="Y1155" s="75"/>
      <c r="Z1155" s="75"/>
    </row>
    <row r="1156" spans="1:26" x14ac:dyDescent="0.3">
      <c r="A1156" s="72"/>
      <c r="B1156" s="73"/>
      <c r="C1156" s="70"/>
      <c r="D1156" s="74"/>
      <c r="E1156" s="75"/>
      <c r="F1156" s="75"/>
      <c r="K1156" s="72"/>
      <c r="L1156" s="73"/>
      <c r="M1156" s="70"/>
      <c r="N1156" s="74"/>
      <c r="O1156" s="75"/>
      <c r="P1156" s="75"/>
      <c r="U1156" s="72"/>
      <c r="V1156" s="73"/>
      <c r="W1156" s="70"/>
      <c r="X1156" s="74"/>
      <c r="Y1156" s="75"/>
      <c r="Z1156" s="75"/>
    </row>
    <row r="1157" spans="1:26" x14ac:dyDescent="0.3">
      <c r="A1157" s="72"/>
      <c r="B1157" s="73"/>
      <c r="C1157" s="70"/>
      <c r="D1157" s="74"/>
      <c r="E1157" s="75"/>
      <c r="F1157" s="75"/>
      <c r="K1157" s="72"/>
      <c r="L1157" s="73"/>
      <c r="M1157" s="70"/>
      <c r="N1157" s="74"/>
      <c r="O1157" s="75"/>
      <c r="P1157" s="75"/>
      <c r="U1157" s="72"/>
      <c r="V1157" s="73"/>
      <c r="W1157" s="70"/>
      <c r="X1157" s="74"/>
      <c r="Y1157" s="75"/>
      <c r="Z1157" s="75"/>
    </row>
    <row r="1158" spans="1:26" x14ac:dyDescent="0.3">
      <c r="A1158" s="72"/>
      <c r="B1158" s="73"/>
      <c r="C1158" s="70"/>
      <c r="D1158" s="74"/>
      <c r="E1158" s="75"/>
      <c r="F1158" s="75"/>
      <c r="K1158" s="72"/>
      <c r="L1158" s="73"/>
      <c r="M1158" s="70"/>
      <c r="N1158" s="74"/>
      <c r="O1158" s="75"/>
      <c r="P1158" s="75"/>
      <c r="U1158" s="72"/>
      <c r="V1158" s="73"/>
      <c r="W1158" s="70"/>
      <c r="X1158" s="74"/>
      <c r="Y1158" s="75"/>
      <c r="Z1158" s="75"/>
    </row>
    <row r="1159" spans="1:26" x14ac:dyDescent="0.3">
      <c r="A1159" s="72"/>
      <c r="B1159" s="73"/>
      <c r="C1159" s="70"/>
      <c r="D1159" s="74"/>
      <c r="E1159" s="75"/>
      <c r="F1159" s="75"/>
      <c r="K1159" s="72"/>
      <c r="L1159" s="73"/>
      <c r="M1159" s="70"/>
      <c r="N1159" s="74"/>
      <c r="O1159" s="75"/>
      <c r="P1159" s="75"/>
      <c r="U1159" s="72"/>
      <c r="V1159" s="73"/>
      <c r="W1159" s="70"/>
      <c r="X1159" s="74"/>
      <c r="Y1159" s="75"/>
      <c r="Z1159" s="75"/>
    </row>
    <row r="1160" spans="1:26" x14ac:dyDescent="0.3">
      <c r="A1160" s="72"/>
      <c r="B1160" s="73"/>
      <c r="C1160" s="70"/>
      <c r="D1160" s="74"/>
      <c r="E1160" s="75"/>
      <c r="F1160" s="75"/>
      <c r="K1160" s="72"/>
      <c r="L1160" s="73"/>
      <c r="M1160" s="70"/>
      <c r="N1160" s="74"/>
      <c r="O1160" s="75"/>
      <c r="P1160" s="75"/>
      <c r="U1160" s="72"/>
      <c r="V1160" s="73"/>
      <c r="W1160" s="70"/>
      <c r="X1160" s="74"/>
      <c r="Y1160" s="75"/>
      <c r="Z1160" s="75"/>
    </row>
    <row r="1161" spans="1:26" x14ac:dyDescent="0.3">
      <c r="A1161" s="72"/>
      <c r="B1161" s="73"/>
      <c r="C1161" s="70"/>
      <c r="D1161" s="74"/>
      <c r="E1161" s="75"/>
      <c r="F1161" s="75"/>
      <c r="K1161" s="72"/>
      <c r="L1161" s="73"/>
      <c r="M1161" s="70"/>
      <c r="N1161" s="74"/>
      <c r="O1161" s="75"/>
      <c r="P1161" s="75"/>
      <c r="U1161" s="72"/>
      <c r="V1161" s="73"/>
      <c r="W1161" s="70"/>
      <c r="X1161" s="74"/>
      <c r="Y1161" s="75"/>
      <c r="Z1161" s="75"/>
    </row>
    <row r="1162" spans="1:26" x14ac:dyDescent="0.3">
      <c r="A1162" s="72"/>
      <c r="B1162" s="73"/>
      <c r="C1162" s="70"/>
      <c r="D1162" s="74"/>
      <c r="E1162" s="75"/>
      <c r="F1162" s="75"/>
      <c r="K1162" s="72"/>
      <c r="L1162" s="73"/>
      <c r="M1162" s="70"/>
      <c r="N1162" s="74"/>
      <c r="O1162" s="75"/>
      <c r="P1162" s="75"/>
      <c r="U1162" s="72"/>
      <c r="V1162" s="73"/>
      <c r="W1162" s="70"/>
      <c r="X1162" s="74"/>
      <c r="Y1162" s="75"/>
      <c r="Z1162" s="75"/>
    </row>
    <row r="1163" spans="1:26" x14ac:dyDescent="0.3">
      <c r="A1163" s="72"/>
      <c r="B1163" s="73"/>
      <c r="C1163" s="70"/>
      <c r="D1163" s="74"/>
      <c r="E1163" s="75"/>
      <c r="F1163" s="75"/>
      <c r="K1163" s="72"/>
      <c r="L1163" s="73"/>
      <c r="M1163" s="70"/>
      <c r="N1163" s="74"/>
      <c r="O1163" s="75"/>
      <c r="P1163" s="75"/>
      <c r="U1163" s="72"/>
      <c r="V1163" s="73"/>
      <c r="W1163" s="70"/>
      <c r="X1163" s="74"/>
      <c r="Y1163" s="75"/>
      <c r="Z1163" s="75"/>
    </row>
    <row r="1164" spans="1:26" x14ac:dyDescent="0.3">
      <c r="A1164" s="72"/>
      <c r="B1164" s="73"/>
      <c r="C1164" s="70"/>
      <c r="D1164" s="74"/>
      <c r="E1164" s="75"/>
      <c r="F1164" s="75"/>
      <c r="K1164" s="72"/>
      <c r="L1164" s="73"/>
      <c r="M1164" s="70"/>
      <c r="N1164" s="74"/>
      <c r="O1164" s="75"/>
      <c r="P1164" s="75"/>
      <c r="U1164" s="72"/>
      <c r="V1164" s="73"/>
      <c r="W1164" s="70"/>
      <c r="X1164" s="74"/>
      <c r="Y1164" s="75"/>
      <c r="Z1164" s="75"/>
    </row>
    <row r="1165" spans="1:26" x14ac:dyDescent="0.3">
      <c r="A1165" s="72"/>
      <c r="B1165" s="73"/>
      <c r="C1165" s="70"/>
      <c r="D1165" s="74"/>
      <c r="E1165" s="75"/>
      <c r="F1165" s="75"/>
      <c r="K1165" s="72"/>
      <c r="L1165" s="73"/>
      <c r="M1165" s="70"/>
      <c r="N1165" s="74"/>
      <c r="O1165" s="75"/>
      <c r="P1165" s="75"/>
      <c r="U1165" s="72"/>
      <c r="V1165" s="73"/>
      <c r="W1165" s="70"/>
      <c r="X1165" s="74"/>
      <c r="Y1165" s="75"/>
      <c r="Z1165" s="75"/>
    </row>
    <row r="1166" spans="1:26" x14ac:dyDescent="0.3">
      <c r="A1166" s="72"/>
      <c r="B1166" s="73"/>
      <c r="C1166" s="70"/>
      <c r="D1166" s="74"/>
      <c r="E1166" s="75"/>
      <c r="F1166" s="75"/>
      <c r="K1166" s="72"/>
      <c r="L1166" s="73"/>
      <c r="M1166" s="70"/>
      <c r="N1166" s="74"/>
      <c r="O1166" s="75"/>
      <c r="P1166" s="75"/>
      <c r="U1166" s="72"/>
      <c r="V1166" s="73"/>
      <c r="W1166" s="70"/>
      <c r="X1166" s="74"/>
      <c r="Y1166" s="75"/>
      <c r="Z1166" s="75"/>
    </row>
    <row r="1167" spans="1:26" x14ac:dyDescent="0.3">
      <c r="A1167" s="72"/>
      <c r="B1167" s="73"/>
      <c r="C1167" s="70"/>
      <c r="D1167" s="74"/>
      <c r="E1167" s="75"/>
      <c r="F1167" s="75"/>
      <c r="K1167" s="72"/>
      <c r="L1167" s="73"/>
      <c r="M1167" s="70"/>
      <c r="N1167" s="74"/>
      <c r="O1167" s="75"/>
      <c r="P1167" s="75"/>
      <c r="U1167" s="72"/>
      <c r="V1167" s="73"/>
      <c r="W1167" s="70"/>
      <c r="X1167" s="74"/>
      <c r="Y1167" s="75"/>
      <c r="Z1167" s="75"/>
    </row>
    <row r="1168" spans="1:26" x14ac:dyDescent="0.3">
      <c r="A1168" s="72"/>
      <c r="B1168" s="73"/>
      <c r="C1168" s="70"/>
      <c r="D1168" s="74"/>
      <c r="E1168" s="75"/>
      <c r="F1168" s="75"/>
      <c r="K1168" s="72"/>
      <c r="L1168" s="73"/>
      <c r="M1168" s="70"/>
      <c r="N1168" s="74"/>
      <c r="O1168" s="75"/>
      <c r="P1168" s="75"/>
      <c r="U1168" s="72"/>
      <c r="V1168" s="73"/>
      <c r="W1168" s="70"/>
      <c r="X1168" s="74"/>
      <c r="Y1168" s="75"/>
      <c r="Z1168" s="75"/>
    </row>
    <row r="1169" spans="1:26" x14ac:dyDescent="0.3">
      <c r="A1169" s="72"/>
      <c r="B1169" s="73"/>
      <c r="C1169" s="70"/>
      <c r="D1169" s="74"/>
      <c r="E1169" s="75"/>
      <c r="F1169" s="75"/>
      <c r="K1169" s="72"/>
      <c r="L1169" s="73"/>
      <c r="M1169" s="70"/>
      <c r="N1169" s="74"/>
      <c r="O1169" s="75"/>
      <c r="P1169" s="75"/>
      <c r="U1169" s="72"/>
      <c r="V1169" s="73"/>
      <c r="W1169" s="70"/>
      <c r="X1169" s="74"/>
      <c r="Y1169" s="75"/>
      <c r="Z1169" s="75"/>
    </row>
    <row r="1170" spans="1:26" x14ac:dyDescent="0.3">
      <c r="A1170" s="72"/>
      <c r="B1170" s="73"/>
      <c r="C1170" s="70"/>
      <c r="D1170" s="74"/>
      <c r="E1170" s="75"/>
      <c r="F1170" s="75"/>
      <c r="K1170" s="72"/>
      <c r="L1170" s="73"/>
      <c r="M1170" s="70"/>
      <c r="N1170" s="74"/>
      <c r="O1170" s="75"/>
      <c r="P1170" s="75"/>
      <c r="U1170" s="72"/>
      <c r="V1170" s="73"/>
      <c r="W1170" s="70"/>
      <c r="X1170" s="74"/>
      <c r="Y1170" s="75"/>
      <c r="Z1170" s="75"/>
    </row>
    <row r="1171" spans="1:26" x14ac:dyDescent="0.3">
      <c r="A1171" s="72"/>
      <c r="B1171" s="73"/>
      <c r="C1171" s="70"/>
      <c r="D1171" s="74"/>
      <c r="E1171" s="75"/>
      <c r="F1171" s="75"/>
      <c r="K1171" s="72"/>
      <c r="L1171" s="73"/>
      <c r="M1171" s="70"/>
      <c r="N1171" s="74"/>
      <c r="O1171" s="75"/>
      <c r="P1171" s="75"/>
      <c r="U1171" s="72"/>
      <c r="V1171" s="73"/>
      <c r="W1171" s="70"/>
      <c r="X1171" s="74"/>
      <c r="Y1171" s="75"/>
      <c r="Z1171" s="75"/>
    </row>
    <row r="1172" spans="1:26" x14ac:dyDescent="0.3">
      <c r="A1172" s="72"/>
      <c r="B1172" s="73"/>
      <c r="C1172" s="70"/>
      <c r="D1172" s="74"/>
      <c r="E1172" s="75"/>
      <c r="F1172" s="75"/>
      <c r="K1172" s="72"/>
      <c r="L1172" s="73"/>
      <c r="M1172" s="70"/>
      <c r="N1172" s="74"/>
      <c r="O1172" s="75"/>
      <c r="P1172" s="75"/>
      <c r="U1172" s="72"/>
      <c r="V1172" s="73"/>
      <c r="W1172" s="70"/>
      <c r="X1172" s="74"/>
      <c r="Y1172" s="75"/>
      <c r="Z1172" s="75"/>
    </row>
    <row r="1173" spans="1:26" x14ac:dyDescent="0.3">
      <c r="A1173" s="72"/>
      <c r="B1173" s="73"/>
      <c r="C1173" s="70"/>
      <c r="D1173" s="74"/>
      <c r="E1173" s="75"/>
      <c r="F1173" s="75"/>
      <c r="K1173" s="72"/>
      <c r="L1173" s="73"/>
      <c r="M1173" s="70"/>
      <c r="N1173" s="74"/>
      <c r="O1173" s="75"/>
      <c r="P1173" s="75"/>
      <c r="U1173" s="72"/>
      <c r="V1173" s="73"/>
      <c r="W1173" s="70"/>
      <c r="X1173" s="74"/>
      <c r="Y1173" s="75"/>
      <c r="Z1173" s="75"/>
    </row>
    <row r="1174" spans="1:26" x14ac:dyDescent="0.3">
      <c r="A1174" s="72"/>
      <c r="B1174" s="73"/>
      <c r="C1174" s="70"/>
      <c r="D1174" s="74"/>
      <c r="E1174" s="75"/>
      <c r="F1174" s="75"/>
      <c r="K1174" s="72"/>
      <c r="L1174" s="73"/>
      <c r="M1174" s="70"/>
      <c r="N1174" s="74"/>
      <c r="O1174" s="75"/>
      <c r="P1174" s="75"/>
      <c r="U1174" s="72"/>
      <c r="V1174" s="73"/>
      <c r="W1174" s="70"/>
      <c r="X1174" s="74"/>
      <c r="Y1174" s="75"/>
      <c r="Z1174" s="75"/>
    </row>
    <row r="1175" spans="1:26" x14ac:dyDescent="0.3">
      <c r="A1175" s="72"/>
      <c r="B1175" s="73"/>
      <c r="C1175" s="70"/>
      <c r="D1175" s="74"/>
      <c r="E1175" s="75"/>
      <c r="F1175" s="75"/>
      <c r="K1175" s="72"/>
      <c r="L1175" s="73"/>
      <c r="M1175" s="70"/>
      <c r="N1175" s="74"/>
      <c r="O1175" s="75"/>
      <c r="P1175" s="75"/>
      <c r="U1175" s="72"/>
      <c r="V1175" s="73"/>
      <c r="W1175" s="70"/>
      <c r="X1175" s="74"/>
      <c r="Y1175" s="75"/>
      <c r="Z1175" s="75"/>
    </row>
    <row r="1176" spans="1:26" x14ac:dyDescent="0.3">
      <c r="A1176" s="72"/>
      <c r="B1176" s="73"/>
      <c r="C1176" s="70"/>
      <c r="D1176" s="74"/>
      <c r="E1176" s="75"/>
      <c r="F1176" s="75"/>
      <c r="K1176" s="72"/>
      <c r="L1176" s="73"/>
      <c r="M1176" s="70"/>
      <c r="N1176" s="74"/>
      <c r="O1176" s="75"/>
      <c r="P1176" s="75"/>
      <c r="U1176" s="72"/>
      <c r="V1176" s="73"/>
      <c r="W1176" s="70"/>
      <c r="X1176" s="74"/>
      <c r="Y1176" s="75"/>
      <c r="Z1176" s="75"/>
    </row>
    <row r="1177" spans="1:26" x14ac:dyDescent="0.3">
      <c r="A1177" s="72"/>
      <c r="B1177" s="73"/>
      <c r="C1177" s="70"/>
      <c r="D1177" s="74"/>
      <c r="E1177" s="75"/>
      <c r="F1177" s="75"/>
      <c r="K1177" s="72"/>
      <c r="L1177" s="73"/>
      <c r="M1177" s="70"/>
      <c r="N1177" s="74"/>
      <c r="O1177" s="75"/>
      <c r="P1177" s="75"/>
      <c r="U1177" s="72"/>
      <c r="V1177" s="73"/>
      <c r="W1177" s="70"/>
      <c r="X1177" s="74"/>
      <c r="Y1177" s="75"/>
      <c r="Z1177" s="75"/>
    </row>
    <row r="1178" spans="1:26" x14ac:dyDescent="0.3">
      <c r="A1178" s="72"/>
      <c r="B1178" s="73"/>
      <c r="C1178" s="70"/>
      <c r="D1178" s="74"/>
      <c r="E1178" s="75"/>
      <c r="F1178" s="75"/>
      <c r="K1178" s="72"/>
      <c r="L1178" s="73"/>
      <c r="M1178" s="70"/>
      <c r="N1178" s="74"/>
      <c r="O1178" s="75"/>
      <c r="P1178" s="75"/>
      <c r="U1178" s="72"/>
      <c r="V1178" s="73"/>
      <c r="W1178" s="70"/>
      <c r="X1178" s="74"/>
      <c r="Y1178" s="75"/>
      <c r="Z1178" s="75"/>
    </row>
    <row r="1179" spans="1:26" x14ac:dyDescent="0.3">
      <c r="A1179" s="72"/>
      <c r="B1179" s="73"/>
      <c r="C1179" s="70"/>
      <c r="D1179" s="74"/>
      <c r="E1179" s="75"/>
      <c r="F1179" s="75"/>
      <c r="K1179" s="72"/>
      <c r="L1179" s="73"/>
      <c r="M1179" s="70"/>
      <c r="N1179" s="74"/>
      <c r="O1179" s="75"/>
      <c r="P1179" s="75"/>
      <c r="U1179" s="72"/>
      <c r="V1179" s="73"/>
      <c r="W1179" s="70"/>
      <c r="X1179" s="74"/>
      <c r="Y1179" s="75"/>
      <c r="Z1179" s="75"/>
    </row>
    <row r="1180" spans="1:26" x14ac:dyDescent="0.3">
      <c r="A1180" s="72"/>
      <c r="B1180" s="73"/>
      <c r="C1180" s="70"/>
      <c r="D1180" s="74"/>
      <c r="E1180" s="75"/>
      <c r="F1180" s="75"/>
      <c r="K1180" s="72"/>
      <c r="L1180" s="73"/>
      <c r="M1180" s="70"/>
      <c r="N1180" s="74"/>
      <c r="O1180" s="75"/>
      <c r="P1180" s="75"/>
      <c r="U1180" s="72"/>
      <c r="V1180" s="73"/>
      <c r="W1180" s="70"/>
      <c r="X1180" s="74"/>
      <c r="Y1180" s="75"/>
      <c r="Z1180" s="75"/>
    </row>
    <row r="1181" spans="1:26" x14ac:dyDescent="0.3">
      <c r="A1181" s="72"/>
      <c r="B1181" s="73"/>
      <c r="C1181" s="70"/>
      <c r="D1181" s="74"/>
      <c r="E1181" s="75"/>
      <c r="F1181" s="75"/>
      <c r="K1181" s="72"/>
      <c r="L1181" s="73"/>
      <c r="M1181" s="70"/>
      <c r="N1181" s="74"/>
      <c r="O1181" s="75"/>
      <c r="P1181" s="75"/>
      <c r="U1181" s="72"/>
      <c r="V1181" s="73"/>
      <c r="W1181" s="70"/>
      <c r="X1181" s="74"/>
      <c r="Y1181" s="75"/>
      <c r="Z1181" s="75"/>
    </row>
    <row r="1182" spans="1:26" x14ac:dyDescent="0.3">
      <c r="A1182" s="72"/>
      <c r="B1182" s="73"/>
      <c r="C1182" s="70"/>
      <c r="D1182" s="74"/>
      <c r="E1182" s="75"/>
      <c r="F1182" s="75"/>
      <c r="K1182" s="72"/>
      <c r="L1182" s="73"/>
      <c r="M1182" s="70"/>
      <c r="N1182" s="74"/>
      <c r="O1182" s="75"/>
      <c r="P1182" s="75"/>
      <c r="U1182" s="72"/>
      <c r="V1182" s="73"/>
      <c r="W1182" s="70"/>
      <c r="X1182" s="74"/>
      <c r="Y1182" s="75"/>
      <c r="Z1182" s="75"/>
    </row>
    <row r="1183" spans="1:26" x14ac:dyDescent="0.3">
      <c r="A1183" s="72"/>
      <c r="B1183" s="73"/>
      <c r="C1183" s="70"/>
      <c r="D1183" s="74"/>
      <c r="E1183" s="75"/>
      <c r="F1183" s="75"/>
      <c r="K1183" s="72"/>
      <c r="L1183" s="73"/>
      <c r="M1183" s="70"/>
      <c r="N1183" s="74"/>
      <c r="O1183" s="75"/>
      <c r="P1183" s="75"/>
      <c r="U1183" s="72"/>
      <c r="V1183" s="73"/>
      <c r="W1183" s="70"/>
      <c r="X1183" s="74"/>
      <c r="Y1183" s="75"/>
      <c r="Z1183" s="75"/>
    </row>
    <row r="1184" spans="1:26" x14ac:dyDescent="0.3">
      <c r="A1184" s="72"/>
      <c r="B1184" s="73"/>
      <c r="C1184" s="70"/>
      <c r="D1184" s="74"/>
      <c r="E1184" s="75"/>
      <c r="F1184" s="75"/>
      <c r="K1184" s="72"/>
      <c r="L1184" s="73"/>
      <c r="M1184" s="70"/>
      <c r="N1184" s="74"/>
      <c r="O1184" s="75"/>
      <c r="P1184" s="75"/>
      <c r="U1184" s="72"/>
      <c r="V1184" s="73"/>
      <c r="W1184" s="70"/>
      <c r="X1184" s="74"/>
      <c r="Y1184" s="75"/>
      <c r="Z1184" s="75"/>
    </row>
    <row r="1185" spans="1:26" x14ac:dyDescent="0.3">
      <c r="A1185" s="72"/>
      <c r="B1185" s="73"/>
      <c r="C1185" s="70"/>
      <c r="D1185" s="74"/>
      <c r="E1185" s="75"/>
      <c r="F1185" s="75"/>
      <c r="K1185" s="72"/>
      <c r="L1185" s="73"/>
      <c r="M1185" s="70"/>
      <c r="N1185" s="74"/>
      <c r="O1185" s="75"/>
      <c r="P1185" s="75"/>
      <c r="U1185" s="72"/>
      <c r="V1185" s="73"/>
      <c r="W1185" s="70"/>
      <c r="X1185" s="74"/>
      <c r="Y1185" s="75"/>
      <c r="Z1185" s="75"/>
    </row>
    <row r="1186" spans="1:26" x14ac:dyDescent="0.3">
      <c r="A1186" s="72"/>
      <c r="B1186" s="73"/>
      <c r="C1186" s="70"/>
      <c r="D1186" s="74"/>
      <c r="E1186" s="75"/>
      <c r="F1186" s="75"/>
      <c r="K1186" s="72"/>
      <c r="L1186" s="73"/>
      <c r="M1186" s="70"/>
      <c r="N1186" s="74"/>
      <c r="O1186" s="75"/>
      <c r="P1186" s="75"/>
      <c r="U1186" s="72"/>
      <c r="V1186" s="73"/>
      <c r="W1186" s="70"/>
      <c r="X1186" s="74"/>
      <c r="Y1186" s="75"/>
      <c r="Z1186" s="75"/>
    </row>
    <row r="1187" spans="1:26" x14ac:dyDescent="0.3">
      <c r="A1187" s="72"/>
      <c r="B1187" s="73"/>
      <c r="C1187" s="70"/>
      <c r="D1187" s="74"/>
      <c r="E1187" s="75"/>
      <c r="F1187" s="75"/>
      <c r="K1187" s="72"/>
      <c r="L1187" s="73"/>
      <c r="M1187" s="70"/>
      <c r="N1187" s="74"/>
      <c r="O1187" s="75"/>
      <c r="P1187" s="75"/>
      <c r="U1187" s="72"/>
      <c r="V1187" s="73"/>
      <c r="W1187" s="70"/>
      <c r="X1187" s="74"/>
      <c r="Y1187" s="75"/>
      <c r="Z1187" s="75"/>
    </row>
    <row r="1188" spans="1:26" x14ac:dyDescent="0.3">
      <c r="A1188" s="72"/>
      <c r="B1188" s="73"/>
      <c r="C1188" s="70"/>
      <c r="D1188" s="74"/>
      <c r="E1188" s="75"/>
      <c r="F1188" s="75"/>
      <c r="K1188" s="72"/>
      <c r="L1188" s="73"/>
      <c r="M1188" s="70"/>
      <c r="N1188" s="74"/>
      <c r="O1188" s="75"/>
      <c r="P1188" s="75"/>
      <c r="U1188" s="72"/>
      <c r="V1188" s="73"/>
      <c r="W1188" s="70"/>
      <c r="X1188" s="74"/>
      <c r="Y1188" s="75"/>
      <c r="Z1188" s="75"/>
    </row>
    <row r="1189" spans="1:26" x14ac:dyDescent="0.3">
      <c r="A1189" s="72"/>
      <c r="B1189" s="73"/>
      <c r="C1189" s="70"/>
      <c r="D1189" s="74"/>
      <c r="E1189" s="75"/>
      <c r="F1189" s="75"/>
      <c r="K1189" s="72"/>
      <c r="L1189" s="73"/>
      <c r="M1189" s="70"/>
      <c r="N1189" s="74"/>
      <c r="O1189" s="75"/>
      <c r="P1189" s="75"/>
      <c r="U1189" s="72"/>
      <c r="V1189" s="73"/>
      <c r="W1189" s="70"/>
      <c r="X1189" s="74"/>
      <c r="Y1189" s="75"/>
      <c r="Z1189" s="75"/>
    </row>
    <row r="1190" spans="1:26" x14ac:dyDescent="0.3">
      <c r="A1190" s="72"/>
      <c r="B1190" s="73"/>
      <c r="C1190" s="70"/>
      <c r="D1190" s="74"/>
      <c r="E1190" s="75"/>
      <c r="F1190" s="75"/>
      <c r="K1190" s="72"/>
      <c r="L1190" s="73"/>
      <c r="M1190" s="70"/>
      <c r="N1190" s="74"/>
      <c r="O1190" s="75"/>
      <c r="P1190" s="75"/>
      <c r="U1190" s="72"/>
      <c r="V1190" s="73"/>
      <c r="W1190" s="70"/>
      <c r="X1190" s="74"/>
      <c r="Y1190" s="75"/>
      <c r="Z1190" s="75"/>
    </row>
    <row r="1191" spans="1:26" x14ac:dyDescent="0.3">
      <c r="A1191" s="72"/>
      <c r="B1191" s="73"/>
      <c r="C1191" s="70"/>
      <c r="D1191" s="74"/>
      <c r="E1191" s="75"/>
      <c r="F1191" s="75"/>
      <c r="K1191" s="72"/>
      <c r="L1191" s="73"/>
      <c r="M1191" s="70"/>
      <c r="N1191" s="74"/>
      <c r="O1191" s="75"/>
      <c r="P1191" s="75"/>
      <c r="U1191" s="72"/>
      <c r="V1191" s="73"/>
      <c r="W1191" s="70"/>
      <c r="X1191" s="74"/>
      <c r="Y1191" s="75"/>
      <c r="Z1191" s="75"/>
    </row>
    <row r="1192" spans="1:26" x14ac:dyDescent="0.3">
      <c r="A1192" s="72"/>
      <c r="B1192" s="73"/>
      <c r="C1192" s="70"/>
      <c r="D1192" s="74"/>
      <c r="E1192" s="75"/>
      <c r="F1192" s="75"/>
      <c r="K1192" s="72"/>
      <c r="L1192" s="73"/>
      <c r="M1192" s="70"/>
      <c r="N1192" s="74"/>
      <c r="O1192" s="75"/>
      <c r="P1192" s="75"/>
      <c r="U1192" s="72"/>
      <c r="V1192" s="73"/>
      <c r="W1192" s="70"/>
      <c r="X1192" s="74"/>
      <c r="Y1192" s="75"/>
      <c r="Z1192" s="75"/>
    </row>
    <row r="1193" spans="1:26" x14ac:dyDescent="0.3">
      <c r="A1193" s="72"/>
      <c r="B1193" s="73"/>
      <c r="C1193" s="70"/>
      <c r="D1193" s="74"/>
      <c r="E1193" s="75"/>
      <c r="F1193" s="75"/>
      <c r="K1193" s="72"/>
      <c r="L1193" s="73"/>
      <c r="M1193" s="70"/>
      <c r="N1193" s="74"/>
      <c r="O1193" s="75"/>
      <c r="P1193" s="75"/>
      <c r="U1193" s="72"/>
      <c r="V1193" s="73"/>
      <c r="W1193" s="70"/>
      <c r="X1193" s="74"/>
      <c r="Y1193" s="75"/>
      <c r="Z1193" s="75"/>
    </row>
    <row r="1194" spans="1:26" x14ac:dyDescent="0.3">
      <c r="A1194" s="72"/>
      <c r="B1194" s="73"/>
      <c r="C1194" s="70"/>
      <c r="D1194" s="74"/>
      <c r="E1194" s="75"/>
      <c r="F1194" s="75"/>
      <c r="K1194" s="72"/>
      <c r="L1194" s="73"/>
      <c r="M1194" s="70"/>
      <c r="N1194" s="74"/>
      <c r="O1194" s="75"/>
      <c r="P1194" s="75"/>
      <c r="U1194" s="72"/>
      <c r="V1194" s="73"/>
      <c r="W1194" s="70"/>
      <c r="X1194" s="74"/>
      <c r="Y1194" s="75"/>
      <c r="Z1194" s="75"/>
    </row>
    <row r="1195" spans="1:26" x14ac:dyDescent="0.3">
      <c r="A1195" s="72"/>
      <c r="B1195" s="73"/>
      <c r="C1195" s="70"/>
      <c r="D1195" s="74"/>
      <c r="E1195" s="75"/>
      <c r="F1195" s="75"/>
      <c r="K1195" s="72"/>
      <c r="L1195" s="73"/>
      <c r="M1195" s="70"/>
      <c r="N1195" s="74"/>
      <c r="O1195" s="75"/>
      <c r="P1195" s="75"/>
      <c r="U1195" s="72"/>
      <c r="V1195" s="73"/>
      <c r="W1195" s="70"/>
      <c r="X1195" s="74"/>
      <c r="Y1195" s="75"/>
      <c r="Z1195" s="75"/>
    </row>
    <row r="1196" spans="1:26" x14ac:dyDescent="0.3">
      <c r="A1196" s="72"/>
      <c r="B1196" s="73"/>
      <c r="C1196" s="70"/>
      <c r="D1196" s="74"/>
      <c r="E1196" s="75"/>
      <c r="F1196" s="75"/>
      <c r="K1196" s="72"/>
      <c r="L1196" s="73"/>
      <c r="M1196" s="70"/>
      <c r="N1196" s="74"/>
      <c r="O1196" s="75"/>
      <c r="P1196" s="75"/>
      <c r="U1196" s="72"/>
      <c r="V1196" s="73"/>
      <c r="W1196" s="70"/>
      <c r="X1196" s="74"/>
      <c r="Y1196" s="75"/>
      <c r="Z1196" s="75"/>
    </row>
    <row r="1197" spans="1:26" x14ac:dyDescent="0.3">
      <c r="A1197" s="72"/>
      <c r="B1197" s="73"/>
      <c r="C1197" s="70"/>
      <c r="D1197" s="74"/>
      <c r="E1197" s="75"/>
      <c r="F1197" s="75"/>
      <c r="K1197" s="72"/>
      <c r="L1197" s="73"/>
      <c r="M1197" s="70"/>
      <c r="N1197" s="74"/>
      <c r="O1197" s="75"/>
      <c r="P1197" s="75"/>
      <c r="U1197" s="72"/>
      <c r="V1197" s="73"/>
      <c r="W1197" s="70"/>
      <c r="X1197" s="74"/>
      <c r="Y1197" s="75"/>
      <c r="Z1197" s="75"/>
    </row>
    <row r="1198" spans="1:26" x14ac:dyDescent="0.3">
      <c r="A1198" s="72"/>
      <c r="B1198" s="73"/>
      <c r="C1198" s="70"/>
      <c r="D1198" s="74"/>
      <c r="E1198" s="75"/>
      <c r="F1198" s="75"/>
      <c r="K1198" s="72"/>
      <c r="L1198" s="73"/>
      <c r="M1198" s="70"/>
      <c r="N1198" s="74"/>
      <c r="O1198" s="75"/>
      <c r="P1198" s="75"/>
      <c r="U1198" s="72"/>
      <c r="V1198" s="73"/>
      <c r="W1198" s="70"/>
      <c r="X1198" s="74"/>
      <c r="Y1198" s="75"/>
      <c r="Z1198" s="75"/>
    </row>
    <row r="1199" spans="1:26" x14ac:dyDescent="0.3">
      <c r="A1199" s="72"/>
      <c r="B1199" s="73"/>
      <c r="C1199" s="70"/>
      <c r="D1199" s="74"/>
      <c r="E1199" s="75"/>
      <c r="F1199" s="75"/>
      <c r="K1199" s="72"/>
      <c r="L1199" s="73"/>
      <c r="M1199" s="70"/>
      <c r="N1199" s="74"/>
      <c r="O1199" s="75"/>
      <c r="P1199" s="75"/>
      <c r="U1199" s="72"/>
      <c r="V1199" s="73"/>
      <c r="W1199" s="70"/>
      <c r="X1199" s="74"/>
      <c r="Y1199" s="75"/>
      <c r="Z1199" s="75"/>
    </row>
    <row r="1200" spans="1:26" x14ac:dyDescent="0.3">
      <c r="A1200" s="72"/>
      <c r="B1200" s="73"/>
      <c r="C1200" s="70"/>
      <c r="D1200" s="74"/>
      <c r="E1200" s="75"/>
      <c r="F1200" s="75"/>
      <c r="K1200" s="72"/>
      <c r="L1200" s="73"/>
      <c r="M1200" s="70"/>
      <c r="N1200" s="74"/>
      <c r="O1200" s="75"/>
      <c r="P1200" s="75"/>
      <c r="U1200" s="72"/>
      <c r="V1200" s="73"/>
      <c r="W1200" s="70"/>
      <c r="X1200" s="74"/>
      <c r="Y1200" s="75"/>
      <c r="Z1200" s="75"/>
    </row>
    <row r="1201" spans="1:26" x14ac:dyDescent="0.3">
      <c r="A1201" s="72"/>
      <c r="B1201" s="73"/>
      <c r="C1201" s="70"/>
      <c r="D1201" s="74"/>
      <c r="E1201" s="75"/>
      <c r="F1201" s="75"/>
      <c r="K1201" s="72"/>
      <c r="L1201" s="73"/>
      <c r="M1201" s="70"/>
      <c r="N1201" s="74"/>
      <c r="O1201" s="75"/>
      <c r="P1201" s="75"/>
      <c r="U1201" s="72"/>
      <c r="V1201" s="73"/>
      <c r="W1201" s="70"/>
      <c r="X1201" s="74"/>
      <c r="Y1201" s="75"/>
      <c r="Z1201" s="75"/>
    </row>
    <row r="1202" spans="1:26" x14ac:dyDescent="0.3">
      <c r="A1202" s="72"/>
      <c r="B1202" s="73"/>
      <c r="C1202" s="70"/>
      <c r="D1202" s="74"/>
      <c r="E1202" s="75"/>
      <c r="F1202" s="75"/>
      <c r="K1202" s="72"/>
      <c r="L1202" s="73"/>
      <c r="M1202" s="70"/>
      <c r="N1202" s="74"/>
      <c r="O1202" s="75"/>
      <c r="P1202" s="75"/>
      <c r="U1202" s="72"/>
      <c r="V1202" s="73"/>
      <c r="W1202" s="70"/>
      <c r="X1202" s="74"/>
      <c r="Y1202" s="75"/>
      <c r="Z1202" s="75"/>
    </row>
    <row r="1203" spans="1:26" x14ac:dyDescent="0.3">
      <c r="A1203" s="72"/>
      <c r="B1203" s="73"/>
      <c r="C1203" s="70"/>
      <c r="D1203" s="74"/>
      <c r="E1203" s="75"/>
      <c r="F1203" s="75"/>
      <c r="K1203" s="72"/>
      <c r="L1203" s="73"/>
      <c r="M1203" s="70"/>
      <c r="N1203" s="74"/>
      <c r="O1203" s="75"/>
      <c r="P1203" s="75"/>
      <c r="U1203" s="72"/>
      <c r="V1203" s="73"/>
      <c r="W1203" s="70"/>
      <c r="X1203" s="74"/>
      <c r="Y1203" s="75"/>
      <c r="Z1203" s="75"/>
    </row>
    <row r="1204" spans="1:26" x14ac:dyDescent="0.3">
      <c r="A1204" s="72"/>
      <c r="B1204" s="73"/>
      <c r="C1204" s="70"/>
      <c r="D1204" s="74"/>
      <c r="E1204" s="75"/>
      <c r="F1204" s="75"/>
      <c r="K1204" s="72"/>
      <c r="L1204" s="73"/>
      <c r="M1204" s="70"/>
      <c r="N1204" s="74"/>
      <c r="O1204" s="75"/>
      <c r="P1204" s="75"/>
      <c r="U1204" s="72"/>
      <c r="V1204" s="73"/>
      <c r="W1204" s="70"/>
      <c r="X1204" s="74"/>
      <c r="Y1204" s="75"/>
      <c r="Z1204" s="75"/>
    </row>
    <row r="1205" spans="1:26" x14ac:dyDescent="0.3">
      <c r="A1205" s="72"/>
      <c r="B1205" s="73"/>
      <c r="C1205" s="70"/>
      <c r="D1205" s="74"/>
      <c r="E1205" s="75"/>
      <c r="F1205" s="75"/>
      <c r="K1205" s="72"/>
      <c r="L1205" s="73"/>
      <c r="M1205" s="70"/>
      <c r="N1205" s="74"/>
      <c r="O1205" s="75"/>
      <c r="P1205" s="75"/>
      <c r="U1205" s="72"/>
      <c r="V1205" s="73"/>
      <c r="W1205" s="70"/>
      <c r="X1205" s="74"/>
      <c r="Y1205" s="75"/>
      <c r="Z1205" s="75"/>
    </row>
    <row r="1206" spans="1:26" x14ac:dyDescent="0.3">
      <c r="A1206" s="72"/>
      <c r="B1206" s="73"/>
      <c r="C1206" s="70"/>
      <c r="D1206" s="74"/>
      <c r="E1206" s="75"/>
      <c r="F1206" s="75"/>
      <c r="K1206" s="72"/>
      <c r="L1206" s="73"/>
      <c r="M1206" s="70"/>
      <c r="N1206" s="74"/>
      <c r="O1206" s="75"/>
      <c r="P1206" s="75"/>
      <c r="U1206" s="72"/>
      <c r="V1206" s="73"/>
      <c r="W1206" s="70"/>
      <c r="X1206" s="74"/>
      <c r="Y1206" s="75"/>
      <c r="Z1206" s="75"/>
    </row>
    <row r="1207" spans="1:26" x14ac:dyDescent="0.3">
      <c r="A1207" s="72"/>
      <c r="B1207" s="73"/>
      <c r="C1207" s="70"/>
      <c r="D1207" s="74"/>
      <c r="E1207" s="75"/>
      <c r="F1207" s="75"/>
      <c r="K1207" s="72"/>
      <c r="L1207" s="73"/>
      <c r="M1207" s="70"/>
      <c r="N1207" s="74"/>
      <c r="O1207" s="75"/>
      <c r="P1207" s="75"/>
      <c r="U1207" s="72"/>
      <c r="V1207" s="73"/>
      <c r="W1207" s="70"/>
      <c r="X1207" s="74"/>
      <c r="Y1207" s="75"/>
      <c r="Z1207" s="75"/>
    </row>
    <row r="1208" spans="1:26" x14ac:dyDescent="0.3">
      <c r="A1208" s="72"/>
      <c r="B1208" s="73"/>
      <c r="C1208" s="70"/>
      <c r="D1208" s="74"/>
      <c r="E1208" s="75"/>
      <c r="F1208" s="75"/>
      <c r="K1208" s="72"/>
      <c r="L1208" s="73"/>
      <c r="M1208" s="70"/>
      <c r="N1208" s="74"/>
      <c r="O1208" s="75"/>
      <c r="P1208" s="75"/>
      <c r="U1208" s="72"/>
      <c r="V1208" s="73"/>
      <c r="W1208" s="70"/>
      <c r="X1208" s="74"/>
      <c r="Y1208" s="75"/>
      <c r="Z1208" s="75"/>
    </row>
    <row r="1209" spans="1:26" x14ac:dyDescent="0.3">
      <c r="A1209" s="72"/>
      <c r="B1209" s="73"/>
      <c r="C1209" s="70"/>
      <c r="D1209" s="74"/>
      <c r="E1209" s="75"/>
      <c r="F1209" s="75"/>
      <c r="K1209" s="72"/>
      <c r="L1209" s="73"/>
      <c r="M1209" s="70"/>
      <c r="N1209" s="74"/>
      <c r="O1209" s="75"/>
      <c r="P1209" s="75"/>
      <c r="U1209" s="72"/>
      <c r="V1209" s="73"/>
      <c r="W1209" s="70"/>
      <c r="X1209" s="74"/>
      <c r="Y1209" s="75"/>
      <c r="Z1209" s="75"/>
    </row>
    <row r="1210" spans="1:26" x14ac:dyDescent="0.3">
      <c r="A1210" s="72"/>
      <c r="B1210" s="73"/>
      <c r="C1210" s="70"/>
      <c r="D1210" s="74"/>
      <c r="E1210" s="75"/>
      <c r="F1210" s="75"/>
      <c r="K1210" s="72"/>
      <c r="L1210" s="73"/>
      <c r="M1210" s="70"/>
      <c r="N1210" s="74"/>
      <c r="O1210" s="75"/>
      <c r="P1210" s="75"/>
      <c r="U1210" s="72"/>
      <c r="V1210" s="73"/>
      <c r="W1210" s="70"/>
      <c r="X1210" s="74"/>
      <c r="Y1210" s="75"/>
      <c r="Z1210" s="75"/>
    </row>
    <row r="1211" spans="1:26" x14ac:dyDescent="0.3">
      <c r="A1211" s="72"/>
      <c r="B1211" s="73"/>
      <c r="C1211" s="70"/>
      <c r="D1211" s="74"/>
      <c r="E1211" s="75"/>
      <c r="F1211" s="75"/>
      <c r="K1211" s="72"/>
      <c r="L1211" s="73"/>
      <c r="M1211" s="70"/>
      <c r="N1211" s="74"/>
      <c r="O1211" s="75"/>
      <c r="P1211" s="75"/>
      <c r="U1211" s="72"/>
      <c r="V1211" s="73"/>
      <c r="W1211" s="70"/>
      <c r="X1211" s="74"/>
      <c r="Y1211" s="75"/>
      <c r="Z1211" s="75"/>
    </row>
    <row r="1212" spans="1:26" x14ac:dyDescent="0.3">
      <c r="A1212" s="72"/>
      <c r="B1212" s="73"/>
      <c r="C1212" s="70"/>
      <c r="D1212" s="74"/>
      <c r="E1212" s="75"/>
      <c r="F1212" s="75"/>
      <c r="K1212" s="72"/>
      <c r="L1212" s="73"/>
      <c r="M1212" s="70"/>
      <c r="N1212" s="74"/>
      <c r="O1212" s="75"/>
      <c r="P1212" s="75"/>
      <c r="U1212" s="72"/>
      <c r="V1212" s="73"/>
      <c r="W1212" s="70"/>
      <c r="X1212" s="74"/>
      <c r="Y1212" s="75"/>
      <c r="Z1212" s="75"/>
    </row>
    <row r="1213" spans="1:26" x14ac:dyDescent="0.3">
      <c r="A1213" s="72"/>
      <c r="B1213" s="73"/>
      <c r="C1213" s="70"/>
      <c r="D1213" s="74"/>
      <c r="E1213" s="75"/>
      <c r="F1213" s="75"/>
      <c r="K1213" s="72"/>
      <c r="L1213" s="73"/>
      <c r="M1213" s="70"/>
      <c r="N1213" s="74"/>
      <c r="O1213" s="75"/>
      <c r="P1213" s="75"/>
      <c r="U1213" s="72"/>
      <c r="V1213" s="73"/>
      <c r="W1213" s="70"/>
      <c r="X1213" s="74"/>
      <c r="Y1213" s="75"/>
      <c r="Z1213" s="75"/>
    </row>
    <row r="1214" spans="1:26" x14ac:dyDescent="0.3">
      <c r="A1214" s="72"/>
      <c r="B1214" s="73"/>
      <c r="C1214" s="70"/>
      <c r="D1214" s="74"/>
      <c r="E1214" s="75"/>
      <c r="F1214" s="75"/>
      <c r="K1214" s="72"/>
      <c r="L1214" s="73"/>
      <c r="M1214" s="70"/>
      <c r="N1214" s="74"/>
      <c r="O1214" s="75"/>
      <c r="P1214" s="75"/>
      <c r="U1214" s="72"/>
      <c r="V1214" s="73"/>
      <c r="W1214" s="70"/>
      <c r="X1214" s="74"/>
      <c r="Y1214" s="75"/>
      <c r="Z1214" s="75"/>
    </row>
    <row r="1215" spans="1:26" x14ac:dyDescent="0.3">
      <c r="A1215" s="72"/>
      <c r="B1215" s="73"/>
      <c r="C1215" s="70"/>
      <c r="D1215" s="74"/>
      <c r="E1215" s="75"/>
      <c r="F1215" s="75"/>
      <c r="K1215" s="72"/>
      <c r="L1215" s="73"/>
      <c r="M1215" s="70"/>
      <c r="N1215" s="74"/>
      <c r="O1215" s="75"/>
      <c r="P1215" s="75"/>
      <c r="U1215" s="72"/>
      <c r="V1215" s="73"/>
      <c r="W1215" s="70"/>
      <c r="X1215" s="74"/>
      <c r="Y1215" s="75"/>
      <c r="Z1215" s="75"/>
    </row>
    <row r="1216" spans="1:26" x14ac:dyDescent="0.3">
      <c r="A1216" s="72"/>
      <c r="B1216" s="73"/>
      <c r="C1216" s="70"/>
      <c r="D1216" s="74"/>
      <c r="E1216" s="75"/>
      <c r="F1216" s="75"/>
      <c r="K1216" s="72"/>
      <c r="L1216" s="73"/>
      <c r="M1216" s="70"/>
      <c r="N1216" s="74"/>
      <c r="O1216" s="75"/>
      <c r="P1216" s="75"/>
      <c r="U1216" s="72"/>
      <c r="V1216" s="73"/>
      <c r="W1216" s="70"/>
      <c r="X1216" s="74"/>
      <c r="Y1216" s="75"/>
      <c r="Z1216" s="75"/>
    </row>
    <row r="1217" spans="1:26" x14ac:dyDescent="0.3">
      <c r="A1217" s="72"/>
      <c r="B1217" s="73"/>
      <c r="C1217" s="70"/>
      <c r="D1217" s="74"/>
      <c r="E1217" s="75"/>
      <c r="F1217" s="75"/>
      <c r="K1217" s="72"/>
      <c r="L1217" s="73"/>
      <c r="M1217" s="70"/>
      <c r="N1217" s="74"/>
      <c r="O1217" s="75"/>
      <c r="P1217" s="75"/>
      <c r="U1217" s="72"/>
      <c r="V1217" s="73"/>
      <c r="W1217" s="70"/>
      <c r="X1217" s="74"/>
      <c r="Y1217" s="75"/>
      <c r="Z1217" s="75"/>
    </row>
    <row r="1218" spans="1:26" x14ac:dyDescent="0.3">
      <c r="A1218" s="72"/>
      <c r="B1218" s="73"/>
      <c r="C1218" s="70"/>
      <c r="D1218" s="74"/>
      <c r="E1218" s="75"/>
      <c r="F1218" s="75"/>
      <c r="K1218" s="72"/>
      <c r="L1218" s="73"/>
      <c r="M1218" s="70"/>
      <c r="N1218" s="74"/>
      <c r="O1218" s="75"/>
      <c r="P1218" s="75"/>
      <c r="U1218" s="72"/>
      <c r="V1218" s="73"/>
      <c r="W1218" s="70"/>
      <c r="X1218" s="74"/>
      <c r="Y1218" s="75"/>
      <c r="Z1218" s="75"/>
    </row>
    <row r="1219" spans="1:26" x14ac:dyDescent="0.3">
      <c r="A1219" s="72"/>
      <c r="B1219" s="73"/>
      <c r="C1219" s="70"/>
      <c r="D1219" s="74"/>
      <c r="E1219" s="75"/>
      <c r="F1219" s="75"/>
      <c r="K1219" s="72"/>
      <c r="L1219" s="73"/>
      <c r="M1219" s="70"/>
      <c r="N1219" s="74"/>
      <c r="O1219" s="75"/>
      <c r="P1219" s="75"/>
      <c r="U1219" s="72"/>
      <c r="V1219" s="73"/>
      <c r="W1219" s="70"/>
      <c r="X1219" s="74"/>
      <c r="Y1219" s="75"/>
      <c r="Z1219" s="75"/>
    </row>
    <row r="1220" spans="1:26" x14ac:dyDescent="0.3">
      <c r="A1220" s="72"/>
      <c r="B1220" s="73"/>
      <c r="C1220" s="70"/>
      <c r="D1220" s="74"/>
      <c r="E1220" s="75"/>
      <c r="F1220" s="75"/>
      <c r="K1220" s="72"/>
      <c r="L1220" s="73"/>
      <c r="M1220" s="70"/>
      <c r="N1220" s="74"/>
      <c r="O1220" s="75"/>
      <c r="P1220" s="75"/>
      <c r="U1220" s="72"/>
      <c r="V1220" s="73"/>
      <c r="W1220" s="70"/>
      <c r="X1220" s="74"/>
      <c r="Y1220" s="75"/>
      <c r="Z1220" s="75"/>
    </row>
    <row r="1221" spans="1:26" x14ac:dyDescent="0.3">
      <c r="A1221" s="72"/>
      <c r="B1221" s="73"/>
      <c r="C1221" s="70"/>
      <c r="D1221" s="74"/>
      <c r="E1221" s="75"/>
      <c r="F1221" s="75"/>
      <c r="K1221" s="72"/>
      <c r="L1221" s="73"/>
      <c r="M1221" s="70"/>
      <c r="N1221" s="74"/>
      <c r="O1221" s="75"/>
      <c r="P1221" s="75"/>
      <c r="U1221" s="72"/>
      <c r="V1221" s="73"/>
      <c r="W1221" s="70"/>
      <c r="X1221" s="74"/>
      <c r="Y1221" s="75"/>
      <c r="Z1221" s="75"/>
    </row>
    <row r="1222" spans="1:26" x14ac:dyDescent="0.3">
      <c r="A1222" s="72"/>
      <c r="B1222" s="73"/>
      <c r="C1222" s="70"/>
      <c r="D1222" s="74"/>
      <c r="E1222" s="75"/>
      <c r="F1222" s="75"/>
      <c r="K1222" s="72"/>
      <c r="L1222" s="73"/>
      <c r="M1222" s="70"/>
      <c r="N1222" s="74"/>
      <c r="O1222" s="75"/>
      <c r="P1222" s="75"/>
      <c r="U1222" s="72"/>
      <c r="V1222" s="73"/>
      <c r="W1222" s="70"/>
      <c r="X1222" s="74"/>
      <c r="Y1222" s="75"/>
      <c r="Z1222" s="75"/>
    </row>
    <row r="1223" spans="1:26" x14ac:dyDescent="0.3">
      <c r="A1223" s="72"/>
      <c r="B1223" s="73"/>
      <c r="C1223" s="70"/>
      <c r="D1223" s="74"/>
      <c r="E1223" s="75"/>
      <c r="F1223" s="75"/>
      <c r="K1223" s="72"/>
      <c r="L1223" s="73"/>
      <c r="M1223" s="70"/>
      <c r="N1223" s="74"/>
      <c r="O1223" s="75"/>
      <c r="P1223" s="75"/>
      <c r="U1223" s="72"/>
      <c r="V1223" s="73"/>
      <c r="W1223" s="70"/>
      <c r="X1223" s="74"/>
      <c r="Y1223" s="75"/>
      <c r="Z1223" s="75"/>
    </row>
    <row r="1224" spans="1:26" x14ac:dyDescent="0.3">
      <c r="A1224" s="72"/>
      <c r="B1224" s="73"/>
      <c r="C1224" s="70"/>
      <c r="D1224" s="74"/>
      <c r="E1224" s="75"/>
      <c r="F1224" s="75"/>
      <c r="K1224" s="72"/>
      <c r="L1224" s="73"/>
      <c r="M1224" s="70"/>
      <c r="N1224" s="74"/>
      <c r="O1224" s="75"/>
      <c r="P1224" s="75"/>
      <c r="U1224" s="72"/>
      <c r="V1224" s="73"/>
      <c r="W1224" s="70"/>
      <c r="X1224" s="74"/>
      <c r="Y1224" s="75"/>
      <c r="Z1224" s="75"/>
    </row>
    <row r="1225" spans="1:26" x14ac:dyDescent="0.3">
      <c r="A1225" s="72"/>
      <c r="B1225" s="73"/>
      <c r="C1225" s="70"/>
      <c r="D1225" s="74"/>
      <c r="E1225" s="75"/>
      <c r="F1225" s="75"/>
      <c r="K1225" s="72"/>
      <c r="L1225" s="73"/>
      <c r="M1225" s="70"/>
      <c r="N1225" s="74"/>
      <c r="O1225" s="75"/>
      <c r="P1225" s="75"/>
      <c r="U1225" s="72"/>
      <c r="V1225" s="73"/>
      <c r="W1225" s="70"/>
      <c r="X1225" s="74"/>
      <c r="Y1225" s="75"/>
      <c r="Z1225" s="75"/>
    </row>
    <row r="1226" spans="1:26" x14ac:dyDescent="0.3">
      <c r="A1226" s="72"/>
      <c r="B1226" s="73"/>
      <c r="C1226" s="70"/>
      <c r="D1226" s="74"/>
      <c r="E1226" s="75"/>
      <c r="F1226" s="75"/>
      <c r="K1226" s="72"/>
      <c r="L1226" s="73"/>
      <c r="M1226" s="70"/>
      <c r="N1226" s="74"/>
      <c r="O1226" s="75"/>
      <c r="P1226" s="75"/>
      <c r="U1226" s="72"/>
      <c r="V1226" s="73"/>
      <c r="W1226" s="70"/>
      <c r="X1226" s="74"/>
      <c r="Y1226" s="75"/>
      <c r="Z1226" s="75"/>
    </row>
    <row r="1227" spans="1:26" x14ac:dyDescent="0.3">
      <c r="A1227" s="72"/>
      <c r="B1227" s="73"/>
      <c r="C1227" s="70"/>
      <c r="D1227" s="74"/>
      <c r="E1227" s="75"/>
      <c r="F1227" s="75"/>
      <c r="K1227" s="72"/>
      <c r="L1227" s="73"/>
      <c r="M1227" s="70"/>
      <c r="N1227" s="74"/>
      <c r="O1227" s="75"/>
      <c r="P1227" s="75"/>
      <c r="U1227" s="72"/>
      <c r="V1227" s="73"/>
      <c r="W1227" s="70"/>
      <c r="X1227" s="74"/>
      <c r="Y1227" s="75"/>
      <c r="Z1227" s="75"/>
    </row>
    <row r="1228" spans="1:26" x14ac:dyDescent="0.3">
      <c r="A1228" s="72"/>
      <c r="B1228" s="73"/>
      <c r="C1228" s="70"/>
      <c r="D1228" s="74"/>
      <c r="E1228" s="75"/>
      <c r="F1228" s="75"/>
      <c r="K1228" s="72"/>
      <c r="L1228" s="73"/>
      <c r="M1228" s="70"/>
      <c r="N1228" s="74"/>
      <c r="O1228" s="75"/>
      <c r="P1228" s="75"/>
      <c r="U1228" s="72"/>
      <c r="V1228" s="73"/>
      <c r="W1228" s="70"/>
      <c r="X1228" s="74"/>
      <c r="Y1228" s="75"/>
      <c r="Z1228" s="75"/>
    </row>
    <row r="1229" spans="1:26" x14ac:dyDescent="0.3">
      <c r="A1229" s="72"/>
      <c r="B1229" s="73"/>
      <c r="C1229" s="70"/>
      <c r="D1229" s="74"/>
      <c r="E1229" s="75"/>
      <c r="F1229" s="75"/>
      <c r="K1229" s="72"/>
      <c r="L1229" s="73"/>
      <c r="M1229" s="70"/>
      <c r="N1229" s="74"/>
      <c r="O1229" s="75"/>
      <c r="P1229" s="75"/>
      <c r="U1229" s="72"/>
      <c r="V1229" s="73"/>
      <c r="W1229" s="70"/>
      <c r="X1229" s="74"/>
      <c r="Y1229" s="75"/>
      <c r="Z1229" s="75"/>
    </row>
    <row r="1230" spans="1:26" x14ac:dyDescent="0.3">
      <c r="A1230" s="72"/>
      <c r="B1230" s="73"/>
      <c r="C1230" s="70"/>
      <c r="D1230" s="74"/>
      <c r="E1230" s="75"/>
      <c r="F1230" s="75"/>
      <c r="K1230" s="72"/>
      <c r="L1230" s="73"/>
      <c r="M1230" s="70"/>
      <c r="N1230" s="74"/>
      <c r="O1230" s="75"/>
      <c r="P1230" s="75"/>
      <c r="U1230" s="72"/>
      <c r="V1230" s="73"/>
      <c r="W1230" s="70"/>
      <c r="X1230" s="74"/>
      <c r="Y1230" s="75"/>
      <c r="Z1230" s="75"/>
    </row>
    <row r="1231" spans="1:26" x14ac:dyDescent="0.3">
      <c r="A1231" s="72"/>
      <c r="B1231" s="73"/>
      <c r="C1231" s="70"/>
      <c r="D1231" s="74"/>
      <c r="E1231" s="75"/>
      <c r="F1231" s="75"/>
      <c r="K1231" s="72"/>
      <c r="L1231" s="73"/>
      <c r="M1231" s="70"/>
      <c r="N1231" s="74"/>
      <c r="O1231" s="75"/>
      <c r="P1231" s="75"/>
      <c r="U1231" s="72"/>
      <c r="V1231" s="73"/>
      <c r="W1231" s="70"/>
      <c r="X1231" s="74"/>
      <c r="Y1231" s="75"/>
      <c r="Z1231" s="75"/>
    </row>
    <row r="1232" spans="1:26" x14ac:dyDescent="0.3">
      <c r="A1232" s="72"/>
      <c r="B1232" s="73"/>
      <c r="C1232" s="70"/>
      <c r="D1232" s="74"/>
      <c r="E1232" s="75"/>
      <c r="F1232" s="75"/>
      <c r="K1232" s="72"/>
      <c r="L1232" s="73"/>
      <c r="M1232" s="70"/>
      <c r="N1232" s="74"/>
      <c r="O1232" s="75"/>
      <c r="P1232" s="75"/>
      <c r="U1232" s="72"/>
      <c r="V1232" s="73"/>
      <c r="W1232" s="70"/>
      <c r="X1232" s="74"/>
      <c r="Y1232" s="75"/>
      <c r="Z1232" s="75"/>
    </row>
    <row r="1233" spans="1:26" x14ac:dyDescent="0.3">
      <c r="A1233" s="72"/>
      <c r="B1233" s="73"/>
      <c r="C1233" s="70"/>
      <c r="D1233" s="74"/>
      <c r="E1233" s="75"/>
      <c r="F1233" s="75"/>
      <c r="K1233" s="72"/>
      <c r="L1233" s="73"/>
      <c r="M1233" s="70"/>
      <c r="N1233" s="74"/>
      <c r="O1233" s="75"/>
      <c r="P1233" s="75"/>
      <c r="U1233" s="72"/>
      <c r="V1233" s="73"/>
      <c r="W1233" s="70"/>
      <c r="X1233" s="74"/>
      <c r="Y1233" s="75"/>
      <c r="Z1233" s="75"/>
    </row>
    <row r="1234" spans="1:26" x14ac:dyDescent="0.3">
      <c r="A1234" s="72"/>
      <c r="B1234" s="73"/>
      <c r="C1234" s="70"/>
      <c r="D1234" s="74"/>
      <c r="E1234" s="75"/>
      <c r="F1234" s="75"/>
      <c r="K1234" s="72"/>
      <c r="L1234" s="73"/>
      <c r="M1234" s="70"/>
      <c r="N1234" s="74"/>
      <c r="O1234" s="75"/>
      <c r="P1234" s="75"/>
      <c r="U1234" s="72"/>
      <c r="V1234" s="73"/>
      <c r="W1234" s="70"/>
      <c r="X1234" s="74"/>
      <c r="Y1234" s="75"/>
      <c r="Z1234" s="75"/>
    </row>
    <row r="1235" spans="1:26" x14ac:dyDescent="0.3">
      <c r="A1235" s="72"/>
      <c r="B1235" s="73"/>
      <c r="C1235" s="70"/>
      <c r="D1235" s="74"/>
      <c r="E1235" s="75"/>
      <c r="F1235" s="75"/>
      <c r="K1235" s="72"/>
      <c r="L1235" s="73"/>
      <c r="M1235" s="70"/>
      <c r="N1235" s="74"/>
      <c r="O1235" s="75"/>
      <c r="P1235" s="75"/>
      <c r="U1235" s="72"/>
      <c r="V1235" s="73"/>
      <c r="W1235" s="70"/>
      <c r="X1235" s="74"/>
      <c r="Y1235" s="75"/>
      <c r="Z1235" s="75"/>
    </row>
    <row r="1236" spans="1:26" x14ac:dyDescent="0.3">
      <c r="A1236" s="72"/>
      <c r="B1236" s="73"/>
      <c r="C1236" s="70"/>
      <c r="D1236" s="74"/>
      <c r="E1236" s="75"/>
      <c r="F1236" s="75"/>
      <c r="K1236" s="72"/>
      <c r="L1236" s="73"/>
      <c r="M1236" s="70"/>
      <c r="N1236" s="74"/>
      <c r="O1236" s="75"/>
      <c r="P1236" s="75"/>
      <c r="U1236" s="72"/>
      <c r="V1236" s="73"/>
      <c r="W1236" s="70"/>
      <c r="X1236" s="74"/>
      <c r="Y1236" s="75"/>
      <c r="Z1236" s="75"/>
    </row>
    <row r="1237" spans="1:26" x14ac:dyDescent="0.3">
      <c r="A1237" s="72"/>
      <c r="B1237" s="73"/>
      <c r="C1237" s="70"/>
      <c r="D1237" s="74"/>
      <c r="E1237" s="75"/>
      <c r="F1237" s="75"/>
      <c r="K1237" s="72"/>
      <c r="L1237" s="73"/>
      <c r="M1237" s="70"/>
      <c r="N1237" s="74"/>
      <c r="O1237" s="75"/>
      <c r="P1237" s="75"/>
      <c r="U1237" s="72"/>
      <c r="V1237" s="73"/>
      <c r="W1237" s="70"/>
      <c r="X1237" s="74"/>
      <c r="Y1237" s="75"/>
      <c r="Z1237" s="75"/>
    </row>
    <row r="1238" spans="1:26" x14ac:dyDescent="0.3">
      <c r="A1238" s="72"/>
      <c r="B1238" s="73"/>
      <c r="C1238" s="70"/>
      <c r="D1238" s="74"/>
      <c r="E1238" s="75"/>
      <c r="F1238" s="75"/>
      <c r="K1238" s="72"/>
      <c r="L1238" s="73"/>
      <c r="M1238" s="70"/>
      <c r="N1238" s="74"/>
      <c r="O1238" s="75"/>
      <c r="P1238" s="75"/>
      <c r="U1238" s="72"/>
      <c r="V1238" s="73"/>
      <c r="W1238" s="70"/>
      <c r="X1238" s="74"/>
      <c r="Y1238" s="75"/>
      <c r="Z1238" s="75"/>
    </row>
    <row r="1239" spans="1:26" x14ac:dyDescent="0.3">
      <c r="A1239" s="72"/>
      <c r="B1239" s="73"/>
      <c r="C1239" s="70"/>
      <c r="D1239" s="74"/>
      <c r="E1239" s="75"/>
      <c r="F1239" s="75"/>
      <c r="K1239" s="72"/>
      <c r="L1239" s="73"/>
      <c r="M1239" s="70"/>
      <c r="N1239" s="74"/>
      <c r="O1239" s="75"/>
      <c r="P1239" s="75"/>
      <c r="U1239" s="72"/>
      <c r="V1239" s="73"/>
      <c r="W1239" s="70"/>
      <c r="X1239" s="74"/>
      <c r="Y1239" s="75"/>
      <c r="Z1239" s="75"/>
    </row>
    <row r="1240" spans="1:26" x14ac:dyDescent="0.3">
      <c r="A1240" s="72"/>
      <c r="B1240" s="73"/>
      <c r="C1240" s="70"/>
      <c r="D1240" s="74"/>
      <c r="E1240" s="75"/>
      <c r="F1240" s="75"/>
      <c r="K1240" s="72"/>
      <c r="L1240" s="73"/>
      <c r="M1240" s="70"/>
      <c r="N1240" s="74"/>
      <c r="O1240" s="75"/>
      <c r="P1240" s="75"/>
      <c r="U1240" s="72"/>
      <c r="V1240" s="73"/>
      <c r="W1240" s="70"/>
      <c r="X1240" s="74"/>
      <c r="Y1240" s="75"/>
      <c r="Z1240" s="75"/>
    </row>
    <row r="1241" spans="1:26" x14ac:dyDescent="0.3">
      <c r="A1241" s="72"/>
      <c r="B1241" s="73"/>
      <c r="C1241" s="70"/>
      <c r="D1241" s="74"/>
      <c r="E1241" s="75"/>
      <c r="F1241" s="75"/>
      <c r="K1241" s="72"/>
      <c r="L1241" s="73"/>
      <c r="M1241" s="70"/>
      <c r="N1241" s="74"/>
      <c r="O1241" s="75"/>
      <c r="P1241" s="75"/>
      <c r="U1241" s="72"/>
      <c r="V1241" s="73"/>
      <c r="W1241" s="70"/>
      <c r="X1241" s="74"/>
      <c r="Y1241" s="75"/>
      <c r="Z1241" s="75"/>
    </row>
    <row r="1242" spans="1:26" x14ac:dyDescent="0.3">
      <c r="A1242" s="72"/>
      <c r="B1242" s="73"/>
      <c r="C1242" s="70"/>
      <c r="D1242" s="74"/>
      <c r="E1242" s="75"/>
      <c r="F1242" s="75"/>
      <c r="K1242" s="72"/>
      <c r="L1242" s="73"/>
      <c r="M1242" s="70"/>
      <c r="N1242" s="74"/>
      <c r="O1242" s="75"/>
      <c r="P1242" s="75"/>
      <c r="U1242" s="72"/>
      <c r="V1242" s="73"/>
      <c r="W1242" s="70"/>
      <c r="X1242" s="74"/>
      <c r="Y1242" s="75"/>
      <c r="Z1242" s="75"/>
    </row>
    <row r="1243" spans="1:26" x14ac:dyDescent="0.3">
      <c r="A1243" s="72"/>
      <c r="B1243" s="73"/>
      <c r="C1243" s="70"/>
      <c r="D1243" s="74"/>
      <c r="E1243" s="75"/>
      <c r="F1243" s="75"/>
      <c r="K1243" s="72"/>
      <c r="L1243" s="73"/>
      <c r="M1243" s="70"/>
      <c r="N1243" s="74"/>
      <c r="O1243" s="75"/>
      <c r="P1243" s="75"/>
      <c r="U1243" s="72"/>
      <c r="V1243" s="73"/>
      <c r="W1243" s="70"/>
      <c r="X1243" s="74"/>
      <c r="Y1243" s="75"/>
      <c r="Z1243" s="75"/>
    </row>
    <row r="1244" spans="1:26" x14ac:dyDescent="0.3">
      <c r="A1244" s="72"/>
      <c r="B1244" s="73"/>
      <c r="C1244" s="70"/>
      <c r="D1244" s="74"/>
      <c r="E1244" s="75"/>
      <c r="F1244" s="75"/>
      <c r="K1244" s="72"/>
      <c r="L1244" s="73"/>
      <c r="M1244" s="70"/>
      <c r="N1244" s="74"/>
      <c r="O1244" s="75"/>
      <c r="P1244" s="75"/>
      <c r="U1244" s="72"/>
      <c r="V1244" s="73"/>
      <c r="W1244" s="70"/>
      <c r="X1244" s="74"/>
      <c r="Y1244" s="75"/>
      <c r="Z1244" s="75"/>
    </row>
    <row r="1245" spans="1:26" x14ac:dyDescent="0.3">
      <c r="A1245" s="72"/>
      <c r="B1245" s="73"/>
      <c r="C1245" s="70"/>
      <c r="D1245" s="74"/>
      <c r="E1245" s="75"/>
      <c r="F1245" s="75"/>
      <c r="K1245" s="72"/>
      <c r="L1245" s="73"/>
      <c r="M1245" s="70"/>
      <c r="N1245" s="74"/>
      <c r="O1245" s="75"/>
      <c r="P1245" s="75"/>
      <c r="U1245" s="72"/>
      <c r="V1245" s="73"/>
      <c r="W1245" s="70"/>
      <c r="X1245" s="74"/>
      <c r="Y1245" s="75"/>
      <c r="Z1245" s="75"/>
    </row>
    <row r="1246" spans="1:26" x14ac:dyDescent="0.3">
      <c r="A1246" s="72"/>
      <c r="B1246" s="73"/>
      <c r="C1246" s="70"/>
      <c r="D1246" s="74"/>
      <c r="E1246" s="75"/>
      <c r="F1246" s="75"/>
      <c r="K1246" s="72"/>
      <c r="L1246" s="73"/>
      <c r="M1246" s="70"/>
      <c r="N1246" s="74"/>
      <c r="O1246" s="75"/>
      <c r="P1246" s="75"/>
      <c r="U1246" s="72"/>
      <c r="V1246" s="73"/>
      <c r="W1246" s="70"/>
      <c r="X1246" s="74"/>
      <c r="Y1246" s="75"/>
      <c r="Z1246" s="75"/>
    </row>
    <row r="1247" spans="1:26" x14ac:dyDescent="0.3">
      <c r="A1247" s="72"/>
      <c r="B1247" s="73"/>
      <c r="C1247" s="70"/>
      <c r="D1247" s="74"/>
      <c r="E1247" s="75"/>
      <c r="F1247" s="75"/>
      <c r="K1247" s="72"/>
      <c r="L1247" s="73"/>
      <c r="M1247" s="70"/>
      <c r="N1247" s="74"/>
      <c r="O1247" s="75"/>
      <c r="P1247" s="75"/>
      <c r="U1247" s="72"/>
      <c r="V1247" s="73"/>
      <c r="W1247" s="70"/>
      <c r="X1247" s="74"/>
      <c r="Y1247" s="75"/>
      <c r="Z1247" s="75"/>
    </row>
    <row r="1248" spans="1:26" x14ac:dyDescent="0.3">
      <c r="A1248" s="72"/>
      <c r="B1248" s="73"/>
      <c r="C1248" s="70"/>
      <c r="D1248" s="74"/>
      <c r="E1248" s="75"/>
      <c r="F1248" s="75"/>
      <c r="K1248" s="72"/>
      <c r="L1248" s="73"/>
      <c r="M1248" s="70"/>
      <c r="N1248" s="74"/>
      <c r="O1248" s="75"/>
      <c r="P1248" s="75"/>
      <c r="U1248" s="72"/>
      <c r="V1248" s="73"/>
      <c r="W1248" s="70"/>
      <c r="X1248" s="74"/>
      <c r="Y1248" s="75"/>
      <c r="Z1248" s="75"/>
    </row>
    <row r="1249" spans="1:26" x14ac:dyDescent="0.3">
      <c r="A1249" s="72"/>
      <c r="B1249" s="73"/>
      <c r="C1249" s="70"/>
      <c r="D1249" s="74"/>
      <c r="E1249" s="75"/>
      <c r="F1249" s="75"/>
      <c r="K1249" s="72"/>
      <c r="L1249" s="73"/>
      <c r="M1249" s="70"/>
      <c r="N1249" s="74"/>
      <c r="O1249" s="75"/>
      <c r="P1249" s="75"/>
      <c r="U1249" s="72"/>
      <c r="V1249" s="73"/>
      <c r="W1249" s="70"/>
      <c r="X1249" s="74"/>
      <c r="Y1249" s="75"/>
      <c r="Z1249" s="75"/>
    </row>
    <row r="1250" spans="1:26" x14ac:dyDescent="0.3">
      <c r="A1250" s="72"/>
      <c r="B1250" s="73"/>
      <c r="C1250" s="70"/>
      <c r="D1250" s="74"/>
      <c r="E1250" s="75"/>
      <c r="F1250" s="75"/>
      <c r="K1250" s="72"/>
      <c r="L1250" s="73"/>
      <c r="M1250" s="70"/>
      <c r="N1250" s="74"/>
      <c r="O1250" s="75"/>
      <c r="P1250" s="75"/>
      <c r="U1250" s="72"/>
      <c r="V1250" s="73"/>
      <c r="W1250" s="70"/>
      <c r="X1250" s="74"/>
      <c r="Y1250" s="75"/>
      <c r="Z1250" s="75"/>
    </row>
    <row r="1251" spans="1:26" x14ac:dyDescent="0.3">
      <c r="A1251" s="72"/>
      <c r="B1251" s="73"/>
      <c r="C1251" s="70"/>
      <c r="D1251" s="74"/>
      <c r="E1251" s="75"/>
      <c r="F1251" s="75"/>
      <c r="K1251" s="72"/>
      <c r="L1251" s="73"/>
      <c r="M1251" s="70"/>
      <c r="N1251" s="74"/>
      <c r="O1251" s="75"/>
      <c r="P1251" s="75"/>
      <c r="U1251" s="72"/>
      <c r="V1251" s="73"/>
      <c r="W1251" s="70"/>
      <c r="X1251" s="74"/>
      <c r="Y1251" s="75"/>
      <c r="Z1251" s="75"/>
    </row>
    <row r="1252" spans="1:26" x14ac:dyDescent="0.3">
      <c r="A1252" s="72"/>
      <c r="B1252" s="73"/>
      <c r="C1252" s="70"/>
      <c r="D1252" s="74"/>
      <c r="E1252" s="75"/>
      <c r="F1252" s="75"/>
      <c r="K1252" s="72"/>
      <c r="L1252" s="73"/>
      <c r="M1252" s="70"/>
      <c r="N1252" s="74"/>
      <c r="O1252" s="75"/>
      <c r="P1252" s="75"/>
      <c r="U1252" s="72"/>
      <c r="V1252" s="73"/>
      <c r="W1252" s="70"/>
      <c r="X1252" s="74"/>
      <c r="Y1252" s="75"/>
      <c r="Z1252" s="75"/>
    </row>
    <row r="1253" spans="1:26" x14ac:dyDescent="0.3">
      <c r="A1253" s="72"/>
      <c r="B1253" s="73"/>
      <c r="C1253" s="70"/>
      <c r="D1253" s="74"/>
      <c r="E1253" s="75"/>
      <c r="F1253" s="75"/>
      <c r="K1253" s="72"/>
      <c r="L1253" s="73"/>
      <c r="M1253" s="70"/>
      <c r="N1253" s="74"/>
      <c r="O1253" s="75"/>
      <c r="P1253" s="75"/>
      <c r="U1253" s="72"/>
      <c r="V1253" s="73"/>
      <c r="W1253" s="70"/>
      <c r="X1253" s="74"/>
      <c r="Y1253" s="75"/>
      <c r="Z1253" s="75"/>
    </row>
    <row r="1254" spans="1:26" x14ac:dyDescent="0.3">
      <c r="A1254" s="72"/>
      <c r="B1254" s="73"/>
      <c r="C1254" s="70"/>
      <c r="D1254" s="74"/>
      <c r="E1254" s="75"/>
      <c r="F1254" s="75"/>
      <c r="K1254" s="72"/>
      <c r="L1254" s="73"/>
      <c r="M1254" s="70"/>
      <c r="N1254" s="74"/>
      <c r="O1254" s="75"/>
      <c r="P1254" s="75"/>
      <c r="U1254" s="72"/>
      <c r="V1254" s="73"/>
      <c r="W1254" s="70"/>
      <c r="X1254" s="74"/>
      <c r="Y1254" s="75"/>
      <c r="Z1254" s="75"/>
    </row>
    <row r="1255" spans="1:26" x14ac:dyDescent="0.3">
      <c r="A1255" s="72"/>
      <c r="B1255" s="73"/>
      <c r="C1255" s="70"/>
      <c r="D1255" s="74"/>
      <c r="E1255" s="75"/>
      <c r="F1255" s="75"/>
      <c r="K1255" s="72"/>
      <c r="L1255" s="73"/>
      <c r="M1255" s="70"/>
      <c r="N1255" s="74"/>
      <c r="O1255" s="75"/>
      <c r="P1255" s="75"/>
      <c r="U1255" s="72"/>
      <c r="V1255" s="73"/>
      <c r="W1255" s="70"/>
      <c r="X1255" s="74"/>
      <c r="Y1255" s="75"/>
      <c r="Z1255" s="75"/>
    </row>
    <row r="1256" spans="1:26" x14ac:dyDescent="0.3">
      <c r="A1256" s="72"/>
      <c r="B1256" s="73"/>
      <c r="C1256" s="70"/>
      <c r="D1256" s="74"/>
      <c r="E1256" s="75"/>
      <c r="F1256" s="75"/>
      <c r="K1256" s="72"/>
      <c r="L1256" s="73"/>
      <c r="M1256" s="70"/>
      <c r="N1256" s="74"/>
      <c r="O1256" s="75"/>
      <c r="P1256" s="75"/>
      <c r="U1256" s="72"/>
      <c r="V1256" s="73"/>
      <c r="W1256" s="70"/>
      <c r="X1256" s="74"/>
      <c r="Y1256" s="75"/>
      <c r="Z1256" s="75"/>
    </row>
    <row r="1257" spans="1:26" x14ac:dyDescent="0.3">
      <c r="A1257" s="72"/>
      <c r="B1257" s="73"/>
      <c r="C1257" s="70"/>
      <c r="D1257" s="74"/>
      <c r="E1257" s="75"/>
      <c r="F1257" s="75"/>
      <c r="K1257" s="72"/>
      <c r="L1257" s="73"/>
      <c r="M1257" s="70"/>
      <c r="N1257" s="74"/>
      <c r="O1257" s="75"/>
      <c r="P1257" s="75"/>
      <c r="U1257" s="72"/>
      <c r="V1257" s="73"/>
      <c r="W1257" s="70"/>
      <c r="X1257" s="74"/>
      <c r="Y1257" s="75"/>
      <c r="Z1257" s="75"/>
    </row>
    <row r="1258" spans="1:26" x14ac:dyDescent="0.3">
      <c r="A1258" s="72"/>
      <c r="B1258" s="73"/>
      <c r="C1258" s="70"/>
      <c r="D1258" s="74"/>
      <c r="E1258" s="75"/>
      <c r="F1258" s="75"/>
      <c r="K1258" s="72"/>
      <c r="L1258" s="73"/>
      <c r="M1258" s="70"/>
      <c r="N1258" s="74"/>
      <c r="O1258" s="75"/>
      <c r="P1258" s="75"/>
      <c r="U1258" s="72"/>
      <c r="V1258" s="73"/>
      <c r="W1258" s="70"/>
      <c r="X1258" s="74"/>
      <c r="Y1258" s="75"/>
      <c r="Z1258" s="75"/>
    </row>
    <row r="1259" spans="1:26" x14ac:dyDescent="0.3">
      <c r="A1259" s="72"/>
      <c r="B1259" s="73"/>
      <c r="C1259" s="70"/>
      <c r="D1259" s="74"/>
      <c r="E1259" s="75"/>
      <c r="F1259" s="75"/>
      <c r="K1259" s="72"/>
      <c r="L1259" s="73"/>
      <c r="M1259" s="70"/>
      <c r="N1259" s="74"/>
      <c r="O1259" s="75"/>
      <c r="P1259" s="75"/>
      <c r="U1259" s="72"/>
      <c r="V1259" s="73"/>
      <c r="W1259" s="70"/>
      <c r="X1259" s="74"/>
      <c r="Y1259" s="75"/>
      <c r="Z1259" s="75"/>
    </row>
    <row r="1260" spans="1:26" x14ac:dyDescent="0.3">
      <c r="A1260" s="72"/>
      <c r="B1260" s="73"/>
      <c r="C1260" s="70"/>
      <c r="D1260" s="74"/>
      <c r="E1260" s="75"/>
      <c r="F1260" s="75"/>
      <c r="K1260" s="72"/>
      <c r="L1260" s="73"/>
      <c r="M1260" s="70"/>
      <c r="N1260" s="74"/>
      <c r="O1260" s="75"/>
      <c r="P1260" s="75"/>
      <c r="U1260" s="72"/>
      <c r="V1260" s="73"/>
      <c r="W1260" s="70"/>
      <c r="X1260" s="74"/>
      <c r="Y1260" s="75"/>
      <c r="Z1260" s="75"/>
    </row>
    <row r="1261" spans="1:26" x14ac:dyDescent="0.3">
      <c r="A1261" s="72"/>
      <c r="B1261" s="73"/>
      <c r="C1261" s="70"/>
      <c r="D1261" s="74"/>
      <c r="E1261" s="75"/>
      <c r="F1261" s="75"/>
      <c r="K1261" s="72"/>
      <c r="L1261" s="73"/>
      <c r="M1261" s="70"/>
      <c r="N1261" s="74"/>
      <c r="O1261" s="75"/>
      <c r="P1261" s="75"/>
      <c r="U1261" s="72"/>
      <c r="V1261" s="73"/>
      <c r="W1261" s="70"/>
      <c r="X1261" s="74"/>
      <c r="Y1261" s="75"/>
      <c r="Z1261" s="75"/>
    </row>
    <row r="1262" spans="1:26" x14ac:dyDescent="0.3">
      <c r="A1262" s="72"/>
      <c r="B1262" s="73"/>
      <c r="C1262" s="70"/>
      <c r="D1262" s="74"/>
      <c r="E1262" s="75"/>
      <c r="F1262" s="75"/>
      <c r="K1262" s="72"/>
      <c r="L1262" s="73"/>
      <c r="M1262" s="70"/>
      <c r="N1262" s="74"/>
      <c r="O1262" s="75"/>
      <c r="P1262" s="75"/>
      <c r="U1262" s="72"/>
      <c r="V1262" s="73"/>
      <c r="W1262" s="70"/>
      <c r="X1262" s="74"/>
      <c r="Y1262" s="75"/>
      <c r="Z1262" s="75"/>
    </row>
    <row r="1263" spans="1:26" x14ac:dyDescent="0.3">
      <c r="A1263" s="72"/>
      <c r="B1263" s="73"/>
      <c r="C1263" s="70"/>
      <c r="D1263" s="74"/>
      <c r="E1263" s="75"/>
      <c r="F1263" s="75"/>
      <c r="K1263" s="72"/>
      <c r="L1263" s="73"/>
      <c r="M1263" s="70"/>
      <c r="N1263" s="74"/>
      <c r="O1263" s="75"/>
      <c r="P1263" s="75"/>
      <c r="U1263" s="72"/>
      <c r="V1263" s="73"/>
      <c r="W1263" s="70"/>
      <c r="X1263" s="74"/>
      <c r="Y1263" s="75"/>
      <c r="Z1263" s="75"/>
    </row>
    <row r="1264" spans="1:26" x14ac:dyDescent="0.3">
      <c r="A1264" s="72"/>
      <c r="B1264" s="73"/>
      <c r="C1264" s="70"/>
      <c r="D1264" s="74"/>
      <c r="E1264" s="75"/>
      <c r="F1264" s="75"/>
      <c r="K1264" s="72"/>
      <c r="L1264" s="73"/>
      <c r="M1264" s="70"/>
      <c r="N1264" s="74"/>
      <c r="O1264" s="75"/>
      <c r="P1264" s="75"/>
      <c r="U1264" s="72"/>
      <c r="V1264" s="73"/>
      <c r="W1264" s="70"/>
      <c r="X1264" s="74"/>
      <c r="Y1264" s="75"/>
      <c r="Z1264" s="75"/>
    </row>
    <row r="1265" spans="1:26" x14ac:dyDescent="0.3">
      <c r="A1265" s="72"/>
      <c r="B1265" s="73"/>
      <c r="C1265" s="70"/>
      <c r="D1265" s="74"/>
      <c r="E1265" s="75"/>
      <c r="F1265" s="75"/>
      <c r="K1265" s="72"/>
      <c r="L1265" s="73"/>
      <c r="M1265" s="70"/>
      <c r="N1265" s="74"/>
      <c r="O1265" s="75"/>
      <c r="P1265" s="75"/>
      <c r="U1265" s="72"/>
      <c r="V1265" s="73"/>
      <c r="W1265" s="70"/>
      <c r="X1265" s="74"/>
      <c r="Y1265" s="75"/>
      <c r="Z1265" s="75"/>
    </row>
    <row r="1266" spans="1:26" x14ac:dyDescent="0.3">
      <c r="A1266" s="72"/>
      <c r="B1266" s="73"/>
      <c r="C1266" s="70"/>
      <c r="D1266" s="74"/>
      <c r="E1266" s="75"/>
      <c r="F1266" s="75"/>
      <c r="K1266" s="72"/>
      <c r="L1266" s="73"/>
      <c r="M1266" s="70"/>
      <c r="N1266" s="74"/>
      <c r="O1266" s="75"/>
      <c r="P1266" s="75"/>
      <c r="U1266" s="72"/>
      <c r="V1266" s="73"/>
      <c r="W1266" s="70"/>
      <c r="X1266" s="74"/>
      <c r="Y1266" s="75"/>
      <c r="Z1266" s="75"/>
    </row>
    <row r="1267" spans="1:26" x14ac:dyDescent="0.3">
      <c r="A1267" s="72"/>
      <c r="B1267" s="73"/>
      <c r="C1267" s="70"/>
      <c r="D1267" s="74"/>
      <c r="E1267" s="75"/>
      <c r="F1267" s="75"/>
      <c r="K1267" s="72"/>
      <c r="L1267" s="73"/>
      <c r="M1267" s="70"/>
      <c r="N1267" s="74"/>
      <c r="O1267" s="75"/>
      <c r="P1267" s="75"/>
      <c r="U1267" s="72"/>
      <c r="V1267" s="73"/>
      <c r="W1267" s="70"/>
      <c r="X1267" s="74"/>
      <c r="Y1267" s="75"/>
      <c r="Z1267" s="75"/>
    </row>
    <row r="1268" spans="1:26" x14ac:dyDescent="0.3">
      <c r="A1268" s="72"/>
      <c r="B1268" s="73"/>
      <c r="C1268" s="70"/>
      <c r="D1268" s="74"/>
      <c r="E1268" s="75"/>
      <c r="F1268" s="75"/>
      <c r="K1268" s="72"/>
      <c r="L1268" s="73"/>
      <c r="M1268" s="70"/>
      <c r="N1268" s="74"/>
      <c r="O1268" s="75"/>
      <c r="P1268" s="75"/>
      <c r="U1268" s="72"/>
      <c r="V1268" s="73"/>
      <c r="W1268" s="70"/>
      <c r="X1268" s="74"/>
      <c r="Y1268" s="75"/>
      <c r="Z1268" s="75"/>
    </row>
    <row r="1269" spans="1:26" x14ac:dyDescent="0.3">
      <c r="A1269" s="72"/>
      <c r="B1269" s="73"/>
      <c r="C1269" s="70"/>
      <c r="D1269" s="74"/>
      <c r="E1269" s="75"/>
      <c r="F1269" s="75"/>
      <c r="K1269" s="72"/>
      <c r="L1269" s="73"/>
      <c r="M1269" s="70"/>
      <c r="N1269" s="74"/>
      <c r="O1269" s="75"/>
      <c r="P1269" s="75"/>
      <c r="U1269" s="72"/>
      <c r="V1269" s="73"/>
      <c r="W1269" s="70"/>
      <c r="X1269" s="74"/>
      <c r="Y1269" s="75"/>
      <c r="Z1269" s="75"/>
    </row>
    <row r="1270" spans="1:26" x14ac:dyDescent="0.3">
      <c r="A1270" s="72"/>
      <c r="B1270" s="73"/>
      <c r="C1270" s="70"/>
      <c r="D1270" s="74"/>
      <c r="E1270" s="75"/>
      <c r="F1270" s="75"/>
      <c r="K1270" s="72"/>
      <c r="L1270" s="73"/>
      <c r="M1270" s="70"/>
      <c r="N1270" s="74"/>
      <c r="O1270" s="75"/>
      <c r="P1270" s="75"/>
      <c r="U1270" s="72"/>
      <c r="V1270" s="73"/>
      <c r="W1270" s="70"/>
      <c r="X1270" s="74"/>
      <c r="Y1270" s="75"/>
      <c r="Z1270" s="75"/>
    </row>
    <row r="1271" spans="1:26" x14ac:dyDescent="0.3">
      <c r="A1271" s="72"/>
      <c r="B1271" s="73"/>
      <c r="C1271" s="70"/>
      <c r="D1271" s="74"/>
      <c r="E1271" s="75"/>
      <c r="F1271" s="75"/>
      <c r="K1271" s="72"/>
      <c r="L1271" s="73"/>
      <c r="M1271" s="70"/>
      <c r="N1271" s="74"/>
      <c r="O1271" s="75"/>
      <c r="P1271" s="75"/>
      <c r="U1271" s="72"/>
      <c r="V1271" s="73"/>
      <c r="W1271" s="70"/>
      <c r="X1271" s="74"/>
      <c r="Y1271" s="75"/>
      <c r="Z1271" s="75"/>
    </row>
    <row r="1272" spans="1:26" x14ac:dyDescent="0.3">
      <c r="A1272" s="72"/>
      <c r="B1272" s="73"/>
      <c r="C1272" s="70"/>
      <c r="D1272" s="74"/>
      <c r="E1272" s="75"/>
      <c r="F1272" s="75"/>
      <c r="K1272" s="72"/>
      <c r="L1272" s="73"/>
      <c r="M1272" s="70"/>
      <c r="N1272" s="74"/>
      <c r="O1272" s="75"/>
      <c r="P1272" s="75"/>
      <c r="U1272" s="72"/>
      <c r="V1272" s="73"/>
      <c r="W1272" s="70"/>
      <c r="X1272" s="74"/>
      <c r="Y1272" s="75"/>
      <c r="Z1272" s="75"/>
    </row>
    <row r="1273" spans="1:26" x14ac:dyDescent="0.3">
      <c r="A1273" s="72"/>
      <c r="B1273" s="73"/>
      <c r="C1273" s="70"/>
      <c r="D1273" s="74"/>
      <c r="E1273" s="75"/>
      <c r="F1273" s="75"/>
      <c r="K1273" s="72"/>
      <c r="L1273" s="73"/>
      <c r="M1273" s="70"/>
      <c r="N1273" s="74"/>
      <c r="O1273" s="75"/>
      <c r="P1273" s="75"/>
      <c r="U1273" s="72"/>
      <c r="V1273" s="73"/>
      <c r="W1273" s="70"/>
      <c r="X1273" s="74"/>
      <c r="Y1273" s="75"/>
      <c r="Z1273" s="75"/>
    </row>
    <row r="1274" spans="1:26" x14ac:dyDescent="0.3">
      <c r="A1274" s="72"/>
      <c r="B1274" s="73"/>
      <c r="C1274" s="70"/>
      <c r="D1274" s="74"/>
      <c r="E1274" s="75"/>
      <c r="F1274" s="75"/>
      <c r="K1274" s="72"/>
      <c r="L1274" s="73"/>
      <c r="M1274" s="70"/>
      <c r="N1274" s="74"/>
      <c r="O1274" s="75"/>
      <c r="P1274" s="75"/>
      <c r="U1274" s="72"/>
      <c r="V1274" s="73"/>
      <c r="W1274" s="70"/>
      <c r="X1274" s="74"/>
      <c r="Y1274" s="75"/>
      <c r="Z1274" s="75"/>
    </row>
    <row r="1275" spans="1:26" x14ac:dyDescent="0.3">
      <c r="A1275" s="72"/>
      <c r="B1275" s="73"/>
      <c r="C1275" s="70"/>
      <c r="D1275" s="74"/>
      <c r="E1275" s="75"/>
      <c r="F1275" s="75"/>
      <c r="K1275" s="72"/>
      <c r="L1275" s="73"/>
      <c r="M1275" s="70"/>
      <c r="N1275" s="74"/>
      <c r="O1275" s="75"/>
      <c r="P1275" s="75"/>
      <c r="U1275" s="72"/>
      <c r="V1275" s="73"/>
      <c r="W1275" s="70"/>
      <c r="X1275" s="74"/>
      <c r="Y1275" s="75"/>
      <c r="Z1275" s="75"/>
    </row>
    <row r="1276" spans="1:26" x14ac:dyDescent="0.3">
      <c r="A1276" s="72"/>
      <c r="B1276" s="73"/>
      <c r="C1276" s="70"/>
      <c r="D1276" s="74"/>
      <c r="E1276" s="75"/>
      <c r="F1276" s="75"/>
      <c r="K1276" s="72"/>
      <c r="L1276" s="73"/>
      <c r="M1276" s="70"/>
      <c r="N1276" s="74"/>
      <c r="O1276" s="75"/>
      <c r="P1276" s="75"/>
      <c r="U1276" s="72"/>
      <c r="V1276" s="73"/>
      <c r="W1276" s="70"/>
      <c r="X1276" s="74"/>
      <c r="Y1276" s="75"/>
      <c r="Z1276" s="75"/>
    </row>
    <row r="1277" spans="1:26" x14ac:dyDescent="0.3">
      <c r="A1277" s="72"/>
      <c r="B1277" s="73"/>
      <c r="C1277" s="70"/>
      <c r="D1277" s="74"/>
      <c r="E1277" s="75"/>
      <c r="F1277" s="75"/>
      <c r="K1277" s="72"/>
      <c r="L1277" s="73"/>
      <c r="M1277" s="70"/>
      <c r="N1277" s="74"/>
      <c r="O1277" s="75"/>
      <c r="P1277" s="75"/>
      <c r="U1277" s="72"/>
      <c r="V1277" s="73"/>
      <c r="W1277" s="70"/>
      <c r="X1277" s="74"/>
      <c r="Y1277" s="75"/>
      <c r="Z1277" s="75"/>
    </row>
    <row r="1278" spans="1:26" x14ac:dyDescent="0.3">
      <c r="A1278" s="72"/>
      <c r="B1278" s="73"/>
      <c r="C1278" s="70"/>
      <c r="D1278" s="74"/>
      <c r="E1278" s="75"/>
      <c r="F1278" s="75"/>
      <c r="K1278" s="72"/>
      <c r="L1278" s="73"/>
      <c r="M1278" s="70"/>
      <c r="N1278" s="74"/>
      <c r="O1278" s="75"/>
      <c r="P1278" s="75"/>
      <c r="U1278" s="72"/>
      <c r="V1278" s="73"/>
      <c r="W1278" s="70"/>
      <c r="X1278" s="74"/>
      <c r="Y1278" s="75"/>
      <c r="Z1278" s="75"/>
    </row>
    <row r="1279" spans="1:26" x14ac:dyDescent="0.3">
      <c r="A1279" s="72"/>
      <c r="B1279" s="73"/>
      <c r="C1279" s="70"/>
      <c r="D1279" s="74"/>
      <c r="E1279" s="75"/>
      <c r="F1279" s="75"/>
      <c r="K1279" s="72"/>
      <c r="L1279" s="73"/>
      <c r="M1279" s="70"/>
      <c r="N1279" s="74"/>
      <c r="O1279" s="75"/>
      <c r="P1279" s="75"/>
      <c r="U1279" s="72"/>
      <c r="V1279" s="73"/>
      <c r="W1279" s="70"/>
      <c r="X1279" s="74"/>
      <c r="Y1279" s="75"/>
      <c r="Z1279" s="75"/>
    </row>
    <row r="1280" spans="1:26" x14ac:dyDescent="0.3">
      <c r="A1280" s="72"/>
      <c r="B1280" s="73"/>
      <c r="C1280" s="70"/>
      <c r="D1280" s="74"/>
      <c r="E1280" s="75"/>
      <c r="F1280" s="75"/>
      <c r="K1280" s="72"/>
      <c r="L1280" s="73"/>
      <c r="M1280" s="70"/>
      <c r="N1280" s="74"/>
      <c r="O1280" s="75"/>
      <c r="P1280" s="75"/>
      <c r="U1280" s="72"/>
      <c r="V1280" s="73"/>
      <c r="W1280" s="70"/>
      <c r="X1280" s="74"/>
      <c r="Y1280" s="75"/>
      <c r="Z1280" s="75"/>
    </row>
    <row r="1281" spans="1:26" x14ac:dyDescent="0.3">
      <c r="A1281" s="72"/>
      <c r="B1281" s="73"/>
      <c r="C1281" s="70"/>
      <c r="D1281" s="74"/>
      <c r="E1281" s="75"/>
      <c r="F1281" s="75"/>
      <c r="K1281" s="72"/>
      <c r="L1281" s="73"/>
      <c r="M1281" s="70"/>
      <c r="N1281" s="74"/>
      <c r="O1281" s="75"/>
      <c r="P1281" s="75"/>
      <c r="U1281" s="72"/>
      <c r="V1281" s="73"/>
      <c r="W1281" s="70"/>
      <c r="X1281" s="74"/>
      <c r="Y1281" s="75"/>
      <c r="Z1281" s="75"/>
    </row>
    <row r="1282" spans="1:26" x14ac:dyDescent="0.3">
      <c r="A1282" s="72"/>
      <c r="B1282" s="73"/>
      <c r="C1282" s="70"/>
      <c r="D1282" s="74"/>
      <c r="E1282" s="75"/>
      <c r="F1282" s="75"/>
      <c r="K1282" s="72"/>
      <c r="L1282" s="73"/>
      <c r="M1282" s="70"/>
      <c r="N1282" s="74"/>
      <c r="O1282" s="75"/>
      <c r="P1282" s="75"/>
      <c r="U1282" s="72"/>
      <c r="V1282" s="73"/>
      <c r="W1282" s="70"/>
      <c r="X1282" s="74"/>
      <c r="Y1282" s="75"/>
      <c r="Z1282" s="75"/>
    </row>
    <row r="1283" spans="1:26" x14ac:dyDescent="0.3">
      <c r="A1283" s="72"/>
      <c r="B1283" s="73"/>
      <c r="C1283" s="70"/>
      <c r="D1283" s="74"/>
      <c r="E1283" s="75"/>
      <c r="F1283" s="75"/>
      <c r="K1283" s="72"/>
      <c r="L1283" s="73"/>
      <c r="M1283" s="70"/>
      <c r="N1283" s="74"/>
      <c r="O1283" s="75"/>
      <c r="P1283" s="75"/>
      <c r="U1283" s="72"/>
      <c r="V1283" s="73"/>
      <c r="W1283" s="70"/>
      <c r="X1283" s="74"/>
      <c r="Y1283" s="75"/>
      <c r="Z1283" s="75"/>
    </row>
    <row r="1284" spans="1:26" x14ac:dyDescent="0.3">
      <c r="A1284" s="72"/>
      <c r="B1284" s="73"/>
      <c r="C1284" s="70"/>
      <c r="D1284" s="74"/>
      <c r="E1284" s="75"/>
      <c r="F1284" s="75"/>
      <c r="K1284" s="72"/>
      <c r="L1284" s="73"/>
      <c r="M1284" s="70"/>
      <c r="N1284" s="74"/>
      <c r="O1284" s="75"/>
      <c r="P1284" s="75"/>
      <c r="U1284" s="72"/>
      <c r="V1284" s="73"/>
      <c r="W1284" s="70"/>
      <c r="X1284" s="74"/>
      <c r="Y1284" s="75"/>
      <c r="Z1284" s="75"/>
    </row>
    <row r="1285" spans="1:26" x14ac:dyDescent="0.3">
      <c r="A1285" s="72"/>
      <c r="B1285" s="73"/>
      <c r="C1285" s="70"/>
      <c r="D1285" s="74"/>
      <c r="E1285" s="75"/>
      <c r="F1285" s="75"/>
      <c r="K1285" s="72"/>
      <c r="L1285" s="73"/>
      <c r="M1285" s="70"/>
      <c r="N1285" s="74"/>
      <c r="O1285" s="75"/>
      <c r="P1285" s="75"/>
      <c r="U1285" s="72"/>
      <c r="V1285" s="73"/>
      <c r="W1285" s="70"/>
      <c r="X1285" s="74"/>
      <c r="Y1285" s="75"/>
      <c r="Z1285" s="75"/>
    </row>
    <row r="1286" spans="1:26" x14ac:dyDescent="0.3">
      <c r="A1286" s="72"/>
      <c r="B1286" s="73"/>
      <c r="C1286" s="70"/>
      <c r="D1286" s="74"/>
      <c r="E1286" s="75"/>
      <c r="F1286" s="75"/>
      <c r="K1286" s="72"/>
      <c r="L1286" s="73"/>
      <c r="M1286" s="70"/>
      <c r="N1286" s="74"/>
      <c r="O1286" s="75"/>
      <c r="P1286" s="75"/>
      <c r="U1286" s="72"/>
      <c r="V1286" s="73"/>
      <c r="W1286" s="70"/>
      <c r="X1286" s="74"/>
      <c r="Y1286" s="75"/>
      <c r="Z1286" s="75"/>
    </row>
    <row r="1287" spans="1:26" x14ac:dyDescent="0.3">
      <c r="A1287" s="72"/>
      <c r="B1287" s="73"/>
      <c r="C1287" s="70"/>
      <c r="D1287" s="74"/>
      <c r="E1287" s="75"/>
      <c r="F1287" s="75"/>
      <c r="K1287" s="72"/>
      <c r="L1287" s="73"/>
      <c r="M1287" s="70"/>
      <c r="N1287" s="74"/>
      <c r="O1287" s="75"/>
      <c r="P1287" s="75"/>
      <c r="U1287" s="72"/>
      <c r="V1287" s="73"/>
      <c r="W1287" s="70"/>
      <c r="X1287" s="74"/>
      <c r="Y1287" s="75"/>
      <c r="Z1287" s="75"/>
    </row>
    <row r="1288" spans="1:26" x14ac:dyDescent="0.3">
      <c r="A1288" s="72"/>
      <c r="B1288" s="73"/>
      <c r="C1288" s="70"/>
      <c r="D1288" s="74"/>
      <c r="E1288" s="75"/>
      <c r="F1288" s="75"/>
      <c r="K1288" s="72"/>
      <c r="L1288" s="73"/>
      <c r="M1288" s="70"/>
      <c r="N1288" s="74"/>
      <c r="O1288" s="75"/>
      <c r="P1288" s="75"/>
      <c r="U1288" s="72"/>
      <c r="V1288" s="73"/>
      <c r="W1288" s="70"/>
      <c r="X1288" s="74"/>
      <c r="Y1288" s="75"/>
      <c r="Z1288" s="75"/>
    </row>
    <row r="1289" spans="1:26" x14ac:dyDescent="0.3">
      <c r="A1289" s="72"/>
      <c r="B1289" s="73"/>
      <c r="C1289" s="70"/>
      <c r="D1289" s="74"/>
      <c r="E1289" s="75"/>
      <c r="F1289" s="75"/>
      <c r="K1289" s="72"/>
      <c r="L1289" s="73"/>
      <c r="M1289" s="70"/>
      <c r="N1289" s="74"/>
      <c r="O1289" s="75"/>
      <c r="P1289" s="75"/>
      <c r="U1289" s="72"/>
      <c r="V1289" s="73"/>
      <c r="W1289" s="70"/>
      <c r="X1289" s="74"/>
      <c r="Y1289" s="75"/>
      <c r="Z1289" s="75"/>
    </row>
    <row r="1290" spans="1:26" x14ac:dyDescent="0.3">
      <c r="A1290" s="72"/>
      <c r="B1290" s="73"/>
      <c r="C1290" s="70"/>
      <c r="D1290" s="74"/>
      <c r="E1290" s="75"/>
      <c r="F1290" s="75"/>
      <c r="K1290" s="72"/>
      <c r="L1290" s="73"/>
      <c r="M1290" s="70"/>
      <c r="N1290" s="74"/>
      <c r="O1290" s="75"/>
      <c r="P1290" s="75"/>
      <c r="U1290" s="72"/>
      <c r="V1290" s="73"/>
      <c r="W1290" s="70"/>
      <c r="X1290" s="74"/>
      <c r="Y1290" s="75"/>
      <c r="Z1290" s="75"/>
    </row>
    <row r="1291" spans="1:26" x14ac:dyDescent="0.3">
      <c r="A1291" s="72"/>
      <c r="B1291" s="73"/>
      <c r="C1291" s="70"/>
      <c r="D1291" s="74"/>
      <c r="E1291" s="75"/>
      <c r="F1291" s="75"/>
      <c r="K1291" s="72"/>
      <c r="L1291" s="73"/>
      <c r="M1291" s="70"/>
      <c r="N1291" s="74"/>
      <c r="O1291" s="75"/>
      <c r="P1291" s="75"/>
      <c r="U1291" s="72"/>
      <c r="V1291" s="73"/>
      <c r="W1291" s="70"/>
      <c r="X1291" s="74"/>
      <c r="Y1291" s="75"/>
      <c r="Z1291" s="75"/>
    </row>
    <row r="1292" spans="1:26" x14ac:dyDescent="0.3">
      <c r="A1292" s="72"/>
      <c r="B1292" s="73"/>
      <c r="C1292" s="70"/>
      <c r="D1292" s="74"/>
      <c r="E1292" s="75"/>
      <c r="F1292" s="75"/>
      <c r="K1292" s="72"/>
      <c r="L1292" s="73"/>
      <c r="M1292" s="70"/>
      <c r="N1292" s="74"/>
      <c r="O1292" s="75"/>
      <c r="P1292" s="75"/>
      <c r="U1292" s="72"/>
      <c r="V1292" s="73"/>
      <c r="W1292" s="70"/>
      <c r="X1292" s="74"/>
      <c r="Y1292" s="75"/>
      <c r="Z1292" s="75"/>
    </row>
    <row r="1293" spans="1:26" x14ac:dyDescent="0.3">
      <c r="A1293" s="72"/>
      <c r="B1293" s="73"/>
      <c r="C1293" s="70"/>
      <c r="D1293" s="74"/>
      <c r="E1293" s="75"/>
      <c r="F1293" s="75"/>
      <c r="K1293" s="72"/>
      <c r="L1293" s="73"/>
      <c r="M1293" s="70"/>
      <c r="N1293" s="74"/>
      <c r="O1293" s="75"/>
      <c r="P1293" s="75"/>
      <c r="U1293" s="72"/>
      <c r="V1293" s="73"/>
      <c r="W1293" s="70"/>
      <c r="X1293" s="74"/>
      <c r="Y1293" s="75"/>
      <c r="Z1293" s="75"/>
    </row>
    <row r="1294" spans="1:26" x14ac:dyDescent="0.3">
      <c r="A1294" s="72"/>
      <c r="B1294" s="73"/>
      <c r="C1294" s="70"/>
      <c r="D1294" s="74"/>
      <c r="E1294" s="75"/>
      <c r="F1294" s="75"/>
      <c r="K1294" s="72"/>
      <c r="L1294" s="73"/>
      <c r="M1294" s="70"/>
      <c r="N1294" s="74"/>
      <c r="O1294" s="75"/>
      <c r="P1294" s="75"/>
      <c r="U1294" s="72"/>
      <c r="V1294" s="73"/>
      <c r="W1294" s="70"/>
      <c r="X1294" s="74"/>
      <c r="Y1294" s="75"/>
      <c r="Z1294" s="75"/>
    </row>
    <row r="1295" spans="1:26" x14ac:dyDescent="0.3">
      <c r="A1295" s="72"/>
      <c r="B1295" s="73"/>
      <c r="C1295" s="70"/>
      <c r="D1295" s="74"/>
      <c r="E1295" s="75"/>
      <c r="F1295" s="75"/>
      <c r="K1295" s="72"/>
      <c r="L1295" s="73"/>
      <c r="M1295" s="70"/>
      <c r="N1295" s="74"/>
      <c r="O1295" s="75"/>
      <c r="P1295" s="75"/>
      <c r="U1295" s="72"/>
      <c r="V1295" s="73"/>
      <c r="W1295" s="70"/>
      <c r="X1295" s="74"/>
      <c r="Y1295" s="75"/>
      <c r="Z1295" s="75"/>
    </row>
    <row r="1296" spans="1:26" x14ac:dyDescent="0.3">
      <c r="A1296" s="72"/>
      <c r="B1296" s="73"/>
      <c r="C1296" s="70"/>
      <c r="D1296" s="74"/>
      <c r="E1296" s="75"/>
      <c r="F1296" s="75"/>
      <c r="K1296" s="72"/>
      <c r="L1296" s="73"/>
      <c r="M1296" s="70"/>
      <c r="N1296" s="74"/>
      <c r="O1296" s="75"/>
      <c r="P1296" s="75"/>
      <c r="U1296" s="72"/>
      <c r="V1296" s="73"/>
      <c r="W1296" s="70"/>
      <c r="X1296" s="74"/>
      <c r="Y1296" s="75"/>
      <c r="Z1296" s="75"/>
    </row>
    <row r="1297" spans="1:26" x14ac:dyDescent="0.3">
      <c r="A1297" s="72"/>
      <c r="B1297" s="73"/>
      <c r="C1297" s="70"/>
      <c r="D1297" s="74"/>
      <c r="E1297" s="75"/>
      <c r="F1297" s="75"/>
      <c r="K1297" s="72"/>
      <c r="L1297" s="73"/>
      <c r="M1297" s="70"/>
      <c r="N1297" s="74"/>
      <c r="O1297" s="75"/>
      <c r="P1297" s="75"/>
      <c r="U1297" s="72"/>
      <c r="V1297" s="73"/>
      <c r="W1297" s="70"/>
      <c r="X1297" s="74"/>
      <c r="Y1297" s="75"/>
      <c r="Z1297" s="75"/>
    </row>
    <row r="1298" spans="1:26" x14ac:dyDescent="0.3">
      <c r="A1298" s="72"/>
      <c r="B1298" s="73"/>
      <c r="C1298" s="70"/>
      <c r="D1298" s="74"/>
      <c r="E1298" s="75"/>
      <c r="F1298" s="75"/>
      <c r="K1298" s="72"/>
      <c r="L1298" s="73"/>
      <c r="M1298" s="70"/>
      <c r="N1298" s="74"/>
      <c r="O1298" s="75"/>
      <c r="P1298" s="75"/>
      <c r="U1298" s="72"/>
      <c r="V1298" s="73"/>
      <c r="W1298" s="70"/>
      <c r="X1298" s="74"/>
      <c r="Y1298" s="75"/>
      <c r="Z1298" s="75"/>
    </row>
    <row r="1299" spans="1:26" x14ac:dyDescent="0.3">
      <c r="A1299" s="72"/>
      <c r="B1299" s="73"/>
      <c r="C1299" s="70"/>
      <c r="D1299" s="74"/>
      <c r="E1299" s="75"/>
      <c r="F1299" s="75"/>
      <c r="K1299" s="72"/>
      <c r="L1299" s="73"/>
      <c r="M1299" s="70"/>
      <c r="N1299" s="74"/>
      <c r="O1299" s="75"/>
      <c r="P1299" s="75"/>
      <c r="U1299" s="72"/>
      <c r="V1299" s="73"/>
      <c r="W1299" s="70"/>
      <c r="X1299" s="74"/>
      <c r="Y1299" s="75"/>
      <c r="Z1299" s="75"/>
    </row>
    <row r="1300" spans="1:26" x14ac:dyDescent="0.3">
      <c r="A1300" s="72"/>
      <c r="B1300" s="73"/>
      <c r="C1300" s="70"/>
      <c r="D1300" s="74"/>
      <c r="E1300" s="75"/>
      <c r="F1300" s="75"/>
      <c r="K1300" s="72"/>
      <c r="L1300" s="73"/>
      <c r="M1300" s="70"/>
      <c r="N1300" s="74"/>
      <c r="O1300" s="75"/>
      <c r="P1300" s="75"/>
      <c r="U1300" s="72"/>
      <c r="V1300" s="73"/>
      <c r="W1300" s="70"/>
      <c r="X1300" s="74"/>
      <c r="Y1300" s="75"/>
      <c r="Z1300" s="75"/>
    </row>
    <row r="1301" spans="1:26" x14ac:dyDescent="0.3">
      <c r="A1301" s="72"/>
      <c r="B1301" s="73"/>
      <c r="C1301" s="70"/>
      <c r="D1301" s="74"/>
      <c r="E1301" s="75"/>
      <c r="F1301" s="75"/>
      <c r="K1301" s="72"/>
      <c r="L1301" s="73"/>
      <c r="M1301" s="70"/>
      <c r="N1301" s="74"/>
      <c r="O1301" s="75"/>
      <c r="P1301" s="75"/>
      <c r="U1301" s="72"/>
      <c r="V1301" s="73"/>
      <c r="W1301" s="70"/>
      <c r="X1301" s="74"/>
      <c r="Y1301" s="75"/>
      <c r="Z1301" s="75"/>
    </row>
    <row r="1302" spans="1:26" x14ac:dyDescent="0.3">
      <c r="A1302" s="72"/>
      <c r="B1302" s="73"/>
      <c r="C1302" s="70"/>
      <c r="D1302" s="74"/>
      <c r="E1302" s="75"/>
      <c r="F1302" s="75"/>
      <c r="K1302" s="72"/>
      <c r="L1302" s="73"/>
      <c r="M1302" s="70"/>
      <c r="N1302" s="74"/>
      <c r="O1302" s="75"/>
      <c r="P1302" s="75"/>
      <c r="U1302" s="72"/>
      <c r="V1302" s="73"/>
      <c r="W1302" s="70"/>
      <c r="X1302" s="74"/>
      <c r="Y1302" s="75"/>
      <c r="Z1302" s="75"/>
    </row>
    <row r="1303" spans="1:26" x14ac:dyDescent="0.3">
      <c r="A1303" s="72"/>
      <c r="B1303" s="73"/>
      <c r="C1303" s="70"/>
      <c r="D1303" s="74"/>
      <c r="E1303" s="75"/>
      <c r="F1303" s="75"/>
      <c r="K1303" s="72"/>
      <c r="L1303" s="73"/>
      <c r="M1303" s="70"/>
      <c r="N1303" s="74"/>
      <c r="O1303" s="75"/>
      <c r="P1303" s="75"/>
      <c r="U1303" s="72"/>
      <c r="V1303" s="73"/>
      <c r="W1303" s="70"/>
      <c r="X1303" s="74"/>
      <c r="Y1303" s="75"/>
      <c r="Z1303" s="75"/>
    </row>
    <row r="1304" spans="1:26" x14ac:dyDescent="0.3">
      <c r="A1304" s="72"/>
      <c r="B1304" s="73"/>
      <c r="C1304" s="70"/>
      <c r="D1304" s="74"/>
      <c r="E1304" s="75"/>
      <c r="F1304" s="75"/>
      <c r="K1304" s="72"/>
      <c r="L1304" s="73"/>
      <c r="M1304" s="70"/>
      <c r="N1304" s="74"/>
      <c r="O1304" s="75"/>
      <c r="P1304" s="75"/>
      <c r="U1304" s="72"/>
      <c r="V1304" s="73"/>
      <c r="W1304" s="70"/>
      <c r="X1304" s="74"/>
      <c r="Y1304" s="75"/>
      <c r="Z1304" s="75"/>
    </row>
    <row r="1305" spans="1:26" x14ac:dyDescent="0.3">
      <c r="A1305" s="72"/>
      <c r="B1305" s="73"/>
      <c r="C1305" s="70"/>
      <c r="D1305" s="74"/>
      <c r="E1305" s="75"/>
      <c r="F1305" s="75"/>
      <c r="K1305" s="72"/>
      <c r="L1305" s="73"/>
      <c r="M1305" s="70"/>
      <c r="N1305" s="74"/>
      <c r="O1305" s="75"/>
      <c r="P1305" s="75"/>
      <c r="U1305" s="72"/>
      <c r="V1305" s="73"/>
      <c r="W1305" s="70"/>
      <c r="X1305" s="74"/>
      <c r="Y1305" s="75"/>
      <c r="Z1305" s="75"/>
    </row>
    <row r="1306" spans="1:26" x14ac:dyDescent="0.3">
      <c r="A1306" s="72"/>
      <c r="B1306" s="73"/>
      <c r="C1306" s="70"/>
      <c r="D1306" s="74"/>
      <c r="E1306" s="75"/>
      <c r="F1306" s="75"/>
      <c r="K1306" s="72"/>
      <c r="L1306" s="73"/>
      <c r="M1306" s="70"/>
      <c r="N1306" s="74"/>
      <c r="O1306" s="75"/>
      <c r="P1306" s="75"/>
      <c r="U1306" s="72"/>
      <c r="V1306" s="73"/>
      <c r="W1306" s="70"/>
      <c r="X1306" s="74"/>
      <c r="Y1306" s="75"/>
      <c r="Z1306" s="75"/>
    </row>
    <row r="1307" spans="1:26" x14ac:dyDescent="0.3">
      <c r="A1307" s="72"/>
      <c r="B1307" s="73"/>
      <c r="C1307" s="70"/>
      <c r="D1307" s="74"/>
      <c r="E1307" s="75"/>
      <c r="F1307" s="75"/>
      <c r="K1307" s="72"/>
      <c r="L1307" s="73"/>
      <c r="M1307" s="70"/>
      <c r="N1307" s="74"/>
      <c r="O1307" s="75"/>
      <c r="P1307" s="75"/>
      <c r="U1307" s="72"/>
      <c r="V1307" s="73"/>
      <c r="W1307" s="70"/>
      <c r="X1307" s="74"/>
      <c r="Y1307" s="75"/>
      <c r="Z1307" s="75"/>
    </row>
    <row r="1308" spans="1:26" x14ac:dyDescent="0.3">
      <c r="A1308" s="72"/>
      <c r="B1308" s="73"/>
      <c r="C1308" s="70"/>
      <c r="D1308" s="74"/>
      <c r="E1308" s="75"/>
      <c r="F1308" s="75"/>
      <c r="K1308" s="72"/>
      <c r="L1308" s="73"/>
      <c r="M1308" s="70"/>
      <c r="N1308" s="74"/>
      <c r="O1308" s="75"/>
      <c r="P1308" s="75"/>
      <c r="U1308" s="72"/>
      <c r="V1308" s="73"/>
      <c r="W1308" s="70"/>
      <c r="X1308" s="74"/>
      <c r="Y1308" s="75"/>
      <c r="Z1308" s="75"/>
    </row>
    <row r="1309" spans="1:26" x14ac:dyDescent="0.3">
      <c r="A1309" s="72"/>
      <c r="B1309" s="73"/>
      <c r="C1309" s="70"/>
      <c r="D1309" s="74"/>
      <c r="E1309" s="75"/>
      <c r="F1309" s="75"/>
      <c r="K1309" s="72"/>
      <c r="L1309" s="73"/>
      <c r="M1309" s="70"/>
      <c r="N1309" s="74"/>
      <c r="O1309" s="75"/>
      <c r="P1309" s="75"/>
      <c r="U1309" s="72"/>
      <c r="V1309" s="73"/>
      <c r="W1309" s="70"/>
      <c r="X1309" s="74"/>
      <c r="Y1309" s="75"/>
      <c r="Z1309" s="75"/>
    </row>
    <row r="1310" spans="1:26" x14ac:dyDescent="0.3">
      <c r="A1310" s="72"/>
      <c r="B1310" s="73"/>
      <c r="C1310" s="70"/>
      <c r="D1310" s="74"/>
      <c r="E1310" s="75"/>
      <c r="F1310" s="75"/>
      <c r="K1310" s="72"/>
      <c r="L1310" s="73"/>
      <c r="M1310" s="70"/>
      <c r="N1310" s="74"/>
      <c r="O1310" s="75"/>
      <c r="P1310" s="75"/>
      <c r="U1310" s="72"/>
      <c r="V1310" s="73"/>
      <c r="W1310" s="70"/>
      <c r="X1310" s="74"/>
      <c r="Y1310" s="75"/>
      <c r="Z1310" s="75"/>
    </row>
    <row r="1311" spans="1:26" x14ac:dyDescent="0.3">
      <c r="A1311" s="72"/>
      <c r="B1311" s="73"/>
      <c r="C1311" s="70"/>
      <c r="D1311" s="74"/>
      <c r="E1311" s="75"/>
      <c r="F1311" s="75"/>
      <c r="K1311" s="72"/>
      <c r="L1311" s="73"/>
      <c r="M1311" s="70"/>
      <c r="N1311" s="74"/>
      <c r="O1311" s="75"/>
      <c r="P1311" s="75"/>
      <c r="U1311" s="72"/>
      <c r="V1311" s="73"/>
      <c r="W1311" s="70"/>
      <c r="X1311" s="74"/>
      <c r="Y1311" s="75"/>
      <c r="Z1311" s="75"/>
    </row>
    <row r="1312" spans="1:26" x14ac:dyDescent="0.3">
      <c r="A1312" s="72"/>
      <c r="B1312" s="73"/>
      <c r="C1312" s="70"/>
      <c r="D1312" s="74"/>
      <c r="E1312" s="75"/>
      <c r="F1312" s="75"/>
      <c r="K1312" s="72"/>
      <c r="L1312" s="73"/>
      <c r="M1312" s="70"/>
      <c r="N1312" s="74"/>
      <c r="O1312" s="75"/>
      <c r="P1312" s="75"/>
      <c r="U1312" s="72"/>
      <c r="V1312" s="73"/>
      <c r="W1312" s="70"/>
      <c r="X1312" s="74"/>
      <c r="Y1312" s="75"/>
      <c r="Z1312" s="75"/>
    </row>
    <row r="1313" spans="1:26" x14ac:dyDescent="0.3">
      <c r="A1313" s="72"/>
      <c r="B1313" s="73"/>
      <c r="C1313" s="70"/>
      <c r="D1313" s="74"/>
      <c r="E1313" s="75"/>
      <c r="F1313" s="75"/>
      <c r="K1313" s="72"/>
      <c r="L1313" s="73"/>
      <c r="M1313" s="70"/>
      <c r="N1313" s="74"/>
      <c r="O1313" s="75"/>
      <c r="P1313" s="75"/>
      <c r="U1313" s="72"/>
      <c r="V1313" s="73"/>
      <c r="W1313" s="70"/>
      <c r="X1313" s="74"/>
      <c r="Y1313" s="75"/>
      <c r="Z1313" s="75"/>
    </row>
    <row r="1314" spans="1:26" x14ac:dyDescent="0.3">
      <c r="A1314" s="72"/>
      <c r="B1314" s="73"/>
      <c r="C1314" s="70"/>
      <c r="D1314" s="74"/>
      <c r="E1314" s="75"/>
      <c r="F1314" s="75"/>
      <c r="K1314" s="72"/>
      <c r="L1314" s="73"/>
      <c r="M1314" s="70"/>
      <c r="N1314" s="74"/>
      <c r="O1314" s="75"/>
      <c r="P1314" s="75"/>
      <c r="U1314" s="72"/>
      <c r="V1314" s="73"/>
      <c r="W1314" s="70"/>
      <c r="X1314" s="74"/>
      <c r="Y1314" s="75"/>
      <c r="Z1314" s="75"/>
    </row>
    <row r="1315" spans="1:26" x14ac:dyDescent="0.3">
      <c r="A1315" s="72"/>
      <c r="B1315" s="73"/>
      <c r="C1315" s="70"/>
      <c r="D1315" s="74"/>
      <c r="E1315" s="75"/>
      <c r="F1315" s="75"/>
      <c r="K1315" s="72"/>
      <c r="L1315" s="73"/>
      <c r="M1315" s="70"/>
      <c r="N1315" s="74"/>
      <c r="O1315" s="75"/>
      <c r="P1315" s="75"/>
      <c r="U1315" s="72"/>
      <c r="V1315" s="73"/>
      <c r="W1315" s="70"/>
      <c r="X1315" s="74"/>
      <c r="Y1315" s="75"/>
      <c r="Z1315" s="75"/>
    </row>
    <row r="1316" spans="1:26" x14ac:dyDescent="0.3">
      <c r="A1316" s="72"/>
      <c r="B1316" s="73"/>
      <c r="C1316" s="70"/>
      <c r="D1316" s="74"/>
      <c r="E1316" s="75"/>
      <c r="F1316" s="75"/>
      <c r="K1316" s="72"/>
      <c r="L1316" s="73"/>
      <c r="M1316" s="70"/>
      <c r="N1316" s="74"/>
      <c r="O1316" s="75"/>
      <c r="P1316" s="75"/>
      <c r="U1316" s="72"/>
      <c r="V1316" s="73"/>
      <c r="W1316" s="70"/>
      <c r="X1316" s="74"/>
      <c r="Y1316" s="75"/>
      <c r="Z1316" s="75"/>
    </row>
    <row r="1317" spans="1:26" x14ac:dyDescent="0.3">
      <c r="A1317" s="72"/>
      <c r="B1317" s="73"/>
      <c r="C1317" s="70"/>
      <c r="D1317" s="74"/>
      <c r="E1317" s="75"/>
      <c r="F1317" s="75"/>
      <c r="K1317" s="72"/>
      <c r="L1317" s="73"/>
      <c r="M1317" s="70"/>
      <c r="N1317" s="74"/>
      <c r="O1317" s="75"/>
      <c r="P1317" s="75"/>
      <c r="U1317" s="72"/>
      <c r="V1317" s="73"/>
      <c r="W1317" s="70"/>
      <c r="X1317" s="74"/>
      <c r="Y1317" s="75"/>
      <c r="Z1317" s="75"/>
    </row>
    <row r="1318" spans="1:26" x14ac:dyDescent="0.3">
      <c r="A1318" s="72"/>
      <c r="B1318" s="73"/>
      <c r="C1318" s="70"/>
      <c r="D1318" s="74"/>
      <c r="E1318" s="75"/>
      <c r="F1318" s="75"/>
      <c r="K1318" s="72"/>
      <c r="L1318" s="73"/>
      <c r="M1318" s="70"/>
      <c r="N1318" s="74"/>
      <c r="O1318" s="75"/>
      <c r="P1318" s="75"/>
      <c r="U1318" s="72"/>
      <c r="V1318" s="73"/>
      <c r="W1318" s="70"/>
      <c r="X1318" s="74"/>
      <c r="Y1318" s="75"/>
      <c r="Z1318" s="75"/>
    </row>
    <row r="1319" spans="1:26" x14ac:dyDescent="0.3">
      <c r="A1319" s="72"/>
      <c r="B1319" s="73"/>
      <c r="C1319" s="70"/>
      <c r="D1319" s="74"/>
      <c r="E1319" s="75"/>
      <c r="F1319" s="75"/>
      <c r="K1319" s="72"/>
      <c r="L1319" s="73"/>
      <c r="M1319" s="70"/>
      <c r="N1319" s="74"/>
      <c r="O1319" s="75"/>
      <c r="P1319" s="75"/>
      <c r="U1319" s="72"/>
      <c r="V1319" s="73"/>
      <c r="W1319" s="70"/>
      <c r="X1319" s="74"/>
      <c r="Y1319" s="75"/>
      <c r="Z1319" s="75"/>
    </row>
    <row r="1320" spans="1:26" x14ac:dyDescent="0.3">
      <c r="A1320" s="72"/>
      <c r="B1320" s="73"/>
      <c r="C1320" s="70"/>
      <c r="D1320" s="74"/>
      <c r="E1320" s="75"/>
      <c r="F1320" s="75"/>
      <c r="K1320" s="72"/>
      <c r="L1320" s="73"/>
      <c r="M1320" s="70"/>
      <c r="N1320" s="74"/>
      <c r="O1320" s="75"/>
      <c r="P1320" s="75"/>
      <c r="U1320" s="72"/>
      <c r="V1320" s="73"/>
      <c r="W1320" s="70"/>
      <c r="X1320" s="74"/>
      <c r="Y1320" s="75"/>
      <c r="Z1320" s="75"/>
    </row>
    <row r="1321" spans="1:26" x14ac:dyDescent="0.3">
      <c r="A1321" s="72"/>
      <c r="B1321" s="73"/>
      <c r="C1321" s="70"/>
      <c r="D1321" s="74"/>
      <c r="E1321" s="75"/>
      <c r="F1321" s="75"/>
      <c r="K1321" s="72"/>
      <c r="L1321" s="73"/>
      <c r="M1321" s="70"/>
      <c r="N1321" s="74"/>
      <c r="O1321" s="75"/>
      <c r="P1321" s="75"/>
      <c r="U1321" s="72"/>
      <c r="V1321" s="73"/>
      <c r="W1321" s="70"/>
      <c r="X1321" s="74"/>
      <c r="Y1321" s="75"/>
      <c r="Z1321" s="75"/>
    </row>
    <row r="1322" spans="1:26" x14ac:dyDescent="0.3">
      <c r="A1322" s="72"/>
      <c r="B1322" s="73"/>
      <c r="C1322" s="70"/>
      <c r="D1322" s="74"/>
      <c r="E1322" s="75"/>
      <c r="F1322" s="75"/>
      <c r="K1322" s="72"/>
      <c r="L1322" s="73"/>
      <c r="M1322" s="70"/>
      <c r="N1322" s="74"/>
      <c r="O1322" s="75"/>
      <c r="P1322" s="75"/>
      <c r="U1322" s="72"/>
      <c r="V1322" s="73"/>
      <c r="W1322" s="70"/>
      <c r="X1322" s="74"/>
      <c r="Y1322" s="75"/>
      <c r="Z1322" s="75"/>
    </row>
    <row r="1323" spans="1:26" x14ac:dyDescent="0.3">
      <c r="A1323" s="72"/>
      <c r="B1323" s="73"/>
      <c r="C1323" s="70"/>
      <c r="D1323" s="74"/>
      <c r="E1323" s="75"/>
      <c r="F1323" s="75"/>
      <c r="K1323" s="72"/>
      <c r="L1323" s="73"/>
      <c r="M1323" s="70"/>
      <c r="N1323" s="74"/>
      <c r="O1323" s="75"/>
      <c r="P1323" s="75"/>
      <c r="U1323" s="72"/>
      <c r="V1323" s="73"/>
      <c r="W1323" s="70"/>
      <c r="X1323" s="74"/>
      <c r="Y1323" s="75"/>
      <c r="Z1323" s="75"/>
    </row>
    <row r="1324" spans="1:26" x14ac:dyDescent="0.3">
      <c r="A1324" s="72"/>
      <c r="B1324" s="73"/>
      <c r="C1324" s="70"/>
      <c r="D1324" s="74"/>
      <c r="E1324" s="75"/>
      <c r="F1324" s="75"/>
      <c r="K1324" s="72"/>
      <c r="L1324" s="73"/>
      <c r="M1324" s="70"/>
      <c r="N1324" s="74"/>
      <c r="O1324" s="75"/>
      <c r="P1324" s="75"/>
      <c r="U1324" s="72"/>
      <c r="V1324" s="73"/>
      <c r="W1324" s="70"/>
      <c r="X1324" s="74"/>
      <c r="Y1324" s="75"/>
      <c r="Z1324" s="75"/>
    </row>
    <row r="1325" spans="1:26" x14ac:dyDescent="0.3">
      <c r="A1325" s="72"/>
      <c r="B1325" s="73"/>
      <c r="C1325" s="70"/>
      <c r="D1325" s="74"/>
      <c r="E1325" s="75"/>
      <c r="F1325" s="75"/>
      <c r="K1325" s="72"/>
      <c r="L1325" s="73"/>
      <c r="M1325" s="70"/>
      <c r="N1325" s="74"/>
      <c r="O1325" s="75"/>
      <c r="P1325" s="75"/>
      <c r="U1325" s="72"/>
      <c r="V1325" s="73"/>
      <c r="W1325" s="70"/>
      <c r="X1325" s="74"/>
      <c r="Y1325" s="75"/>
      <c r="Z1325" s="75"/>
    </row>
    <row r="1326" spans="1:26" x14ac:dyDescent="0.3">
      <c r="A1326" s="72"/>
      <c r="B1326" s="73"/>
      <c r="C1326" s="70"/>
      <c r="D1326" s="74"/>
      <c r="E1326" s="75"/>
      <c r="F1326" s="75"/>
      <c r="K1326" s="72"/>
      <c r="L1326" s="73"/>
      <c r="M1326" s="70"/>
      <c r="N1326" s="74"/>
      <c r="O1326" s="75"/>
      <c r="P1326" s="75"/>
      <c r="U1326" s="72"/>
      <c r="V1326" s="73"/>
      <c r="W1326" s="70"/>
      <c r="X1326" s="74"/>
      <c r="Y1326" s="75"/>
      <c r="Z1326" s="75"/>
    </row>
    <row r="1327" spans="1:26" x14ac:dyDescent="0.3">
      <c r="A1327" s="72"/>
      <c r="B1327" s="73"/>
      <c r="C1327" s="70"/>
      <c r="D1327" s="74"/>
      <c r="E1327" s="75"/>
      <c r="F1327" s="75"/>
      <c r="K1327" s="72"/>
      <c r="L1327" s="73"/>
      <c r="M1327" s="70"/>
      <c r="N1327" s="74"/>
      <c r="O1327" s="75"/>
      <c r="P1327" s="75"/>
      <c r="U1327" s="72"/>
      <c r="V1327" s="73"/>
      <c r="W1327" s="70"/>
      <c r="X1327" s="74"/>
      <c r="Y1327" s="75"/>
      <c r="Z1327" s="75"/>
    </row>
    <row r="1328" spans="1:26" x14ac:dyDescent="0.3">
      <c r="A1328" s="72"/>
      <c r="B1328" s="73"/>
      <c r="C1328" s="70"/>
      <c r="D1328" s="74"/>
      <c r="E1328" s="75"/>
      <c r="F1328" s="75"/>
      <c r="K1328" s="72"/>
      <c r="L1328" s="73"/>
      <c r="M1328" s="70"/>
      <c r="N1328" s="74"/>
      <c r="O1328" s="75"/>
      <c r="P1328" s="75"/>
      <c r="U1328" s="72"/>
      <c r="V1328" s="73"/>
      <c r="W1328" s="70"/>
      <c r="X1328" s="74"/>
      <c r="Y1328" s="75"/>
      <c r="Z1328" s="75"/>
    </row>
    <row r="1329" spans="1:26" x14ac:dyDescent="0.3">
      <c r="A1329" s="72"/>
      <c r="B1329" s="73"/>
      <c r="C1329" s="70"/>
      <c r="D1329" s="74"/>
      <c r="E1329" s="75"/>
      <c r="F1329" s="75"/>
      <c r="K1329" s="72"/>
      <c r="L1329" s="73"/>
      <c r="M1329" s="70"/>
      <c r="N1329" s="74"/>
      <c r="O1329" s="75"/>
      <c r="P1329" s="75"/>
      <c r="U1329" s="72"/>
      <c r="V1329" s="73"/>
      <c r="W1329" s="70"/>
      <c r="X1329" s="74"/>
      <c r="Y1329" s="75"/>
      <c r="Z1329" s="75"/>
    </row>
    <row r="1330" spans="1:26" x14ac:dyDescent="0.3">
      <c r="A1330" s="72"/>
      <c r="B1330" s="73"/>
      <c r="C1330" s="70"/>
      <c r="D1330" s="74"/>
      <c r="E1330" s="75"/>
      <c r="F1330" s="75"/>
      <c r="K1330" s="72"/>
      <c r="L1330" s="73"/>
      <c r="M1330" s="70"/>
      <c r="N1330" s="74"/>
      <c r="O1330" s="75"/>
      <c r="P1330" s="75"/>
      <c r="U1330" s="72"/>
      <c r="V1330" s="73"/>
      <c r="W1330" s="70"/>
      <c r="X1330" s="74"/>
      <c r="Y1330" s="75"/>
      <c r="Z1330" s="75"/>
    </row>
    <row r="1331" spans="1:26" x14ac:dyDescent="0.3">
      <c r="A1331" s="72"/>
      <c r="B1331" s="73"/>
      <c r="C1331" s="70"/>
      <c r="D1331" s="74"/>
      <c r="E1331" s="75"/>
      <c r="F1331" s="75"/>
      <c r="K1331" s="72"/>
      <c r="L1331" s="73"/>
      <c r="M1331" s="70"/>
      <c r="N1331" s="74"/>
      <c r="O1331" s="75"/>
      <c r="P1331" s="75"/>
      <c r="U1331" s="72"/>
      <c r="V1331" s="73"/>
      <c r="W1331" s="70"/>
      <c r="X1331" s="74"/>
      <c r="Y1331" s="75"/>
      <c r="Z1331" s="75"/>
    </row>
    <row r="1332" spans="1:26" x14ac:dyDescent="0.3">
      <c r="A1332" s="72"/>
      <c r="B1332" s="73"/>
      <c r="C1332" s="70"/>
      <c r="D1332" s="74"/>
      <c r="E1332" s="75"/>
      <c r="F1332" s="75"/>
      <c r="K1332" s="72"/>
      <c r="L1332" s="73"/>
      <c r="M1332" s="70"/>
      <c r="N1332" s="74"/>
      <c r="O1332" s="75"/>
      <c r="P1332" s="75"/>
      <c r="U1332" s="72"/>
      <c r="V1332" s="73"/>
      <c r="W1332" s="70"/>
      <c r="X1332" s="74"/>
      <c r="Y1332" s="75"/>
      <c r="Z1332" s="75"/>
    </row>
    <row r="1333" spans="1:26" x14ac:dyDescent="0.3">
      <c r="A1333" s="72"/>
      <c r="B1333" s="73"/>
      <c r="C1333" s="70"/>
      <c r="D1333" s="74"/>
      <c r="E1333" s="75"/>
      <c r="F1333" s="75"/>
      <c r="K1333" s="72"/>
      <c r="L1333" s="73"/>
      <c r="M1333" s="70"/>
      <c r="N1333" s="74"/>
      <c r="O1333" s="75"/>
      <c r="P1333" s="75"/>
      <c r="U1333" s="72"/>
      <c r="V1333" s="73"/>
      <c r="W1333" s="70"/>
      <c r="X1333" s="74"/>
      <c r="Y1333" s="75"/>
      <c r="Z1333" s="75"/>
    </row>
    <row r="1334" spans="1:26" x14ac:dyDescent="0.3">
      <c r="A1334" s="72"/>
      <c r="B1334" s="73"/>
      <c r="C1334" s="70"/>
      <c r="D1334" s="74"/>
      <c r="E1334" s="75"/>
      <c r="F1334" s="75"/>
      <c r="K1334" s="72"/>
      <c r="L1334" s="73"/>
      <c r="M1334" s="70"/>
      <c r="N1334" s="74"/>
      <c r="O1334" s="75"/>
      <c r="P1334" s="75"/>
      <c r="U1334" s="72"/>
      <c r="V1334" s="73"/>
      <c r="W1334" s="70"/>
      <c r="X1334" s="74"/>
      <c r="Y1334" s="75"/>
      <c r="Z1334" s="75"/>
    </row>
    <row r="1335" spans="1:26" x14ac:dyDescent="0.3">
      <c r="A1335" s="72"/>
      <c r="B1335" s="73"/>
      <c r="C1335" s="70"/>
      <c r="D1335" s="74"/>
      <c r="E1335" s="75"/>
      <c r="F1335" s="75"/>
      <c r="K1335" s="72"/>
      <c r="L1335" s="73"/>
      <c r="M1335" s="70"/>
      <c r="N1335" s="74"/>
      <c r="O1335" s="75"/>
      <c r="P1335" s="75"/>
      <c r="U1335" s="72"/>
      <c r="V1335" s="73"/>
      <c r="W1335" s="70"/>
      <c r="X1335" s="74"/>
      <c r="Y1335" s="75"/>
      <c r="Z1335" s="75"/>
    </row>
    <row r="1336" spans="1:26" x14ac:dyDescent="0.3">
      <c r="A1336" s="72"/>
      <c r="B1336" s="73"/>
      <c r="C1336" s="70"/>
      <c r="D1336" s="74"/>
      <c r="E1336" s="75"/>
      <c r="F1336" s="75"/>
      <c r="K1336" s="72"/>
      <c r="L1336" s="73"/>
      <c r="M1336" s="70"/>
      <c r="N1336" s="74"/>
      <c r="O1336" s="75"/>
      <c r="P1336" s="75"/>
      <c r="U1336" s="72"/>
      <c r="V1336" s="73"/>
      <c r="W1336" s="70"/>
      <c r="X1336" s="74"/>
      <c r="Y1336" s="75"/>
      <c r="Z1336" s="75"/>
    </row>
    <row r="1337" spans="1:26" x14ac:dyDescent="0.3">
      <c r="A1337" s="72"/>
      <c r="B1337" s="73"/>
      <c r="C1337" s="70"/>
      <c r="D1337" s="74"/>
      <c r="E1337" s="75"/>
      <c r="F1337" s="75"/>
      <c r="K1337" s="72"/>
      <c r="L1337" s="73"/>
      <c r="M1337" s="70"/>
      <c r="N1337" s="74"/>
      <c r="O1337" s="75"/>
      <c r="P1337" s="75"/>
      <c r="U1337" s="72"/>
      <c r="V1337" s="73"/>
      <c r="W1337" s="70"/>
      <c r="X1337" s="74"/>
      <c r="Y1337" s="75"/>
      <c r="Z1337" s="75"/>
    </row>
    <row r="1338" spans="1:26" x14ac:dyDescent="0.3">
      <c r="A1338" s="72"/>
      <c r="B1338" s="73"/>
      <c r="C1338" s="70"/>
      <c r="D1338" s="74"/>
      <c r="E1338" s="75"/>
      <c r="F1338" s="75"/>
      <c r="K1338" s="72"/>
      <c r="L1338" s="73"/>
      <c r="M1338" s="70"/>
      <c r="N1338" s="74"/>
      <c r="O1338" s="75"/>
      <c r="P1338" s="75"/>
      <c r="U1338" s="72"/>
      <c r="V1338" s="73"/>
      <c r="W1338" s="70"/>
      <c r="X1338" s="74"/>
      <c r="Y1338" s="75"/>
      <c r="Z1338" s="75"/>
    </row>
    <row r="1339" spans="1:26" x14ac:dyDescent="0.3">
      <c r="A1339" s="72"/>
      <c r="B1339" s="73"/>
      <c r="C1339" s="70"/>
      <c r="D1339" s="74"/>
      <c r="E1339" s="75"/>
      <c r="F1339" s="75"/>
      <c r="K1339" s="72"/>
      <c r="L1339" s="73"/>
      <c r="M1339" s="70"/>
      <c r="N1339" s="74"/>
      <c r="O1339" s="75"/>
      <c r="P1339" s="75"/>
      <c r="U1339" s="72"/>
      <c r="V1339" s="73"/>
      <c r="W1339" s="70"/>
      <c r="X1339" s="74"/>
      <c r="Y1339" s="75"/>
      <c r="Z1339" s="75"/>
    </row>
    <row r="1340" spans="1:26" x14ac:dyDescent="0.3">
      <c r="A1340" s="72"/>
      <c r="B1340" s="73"/>
      <c r="C1340" s="70"/>
      <c r="D1340" s="74"/>
      <c r="E1340" s="75"/>
      <c r="F1340" s="75"/>
      <c r="K1340" s="72"/>
      <c r="L1340" s="73"/>
      <c r="M1340" s="70"/>
      <c r="N1340" s="74"/>
      <c r="O1340" s="75"/>
      <c r="P1340" s="75"/>
      <c r="U1340" s="72"/>
      <c r="V1340" s="73"/>
      <c r="W1340" s="70"/>
      <c r="X1340" s="74"/>
      <c r="Y1340" s="75"/>
      <c r="Z1340" s="75"/>
    </row>
    <row r="1341" spans="1:26" x14ac:dyDescent="0.3">
      <c r="A1341" s="72"/>
      <c r="B1341" s="73"/>
      <c r="C1341" s="70"/>
      <c r="D1341" s="74"/>
      <c r="E1341" s="75"/>
      <c r="F1341" s="75"/>
      <c r="K1341" s="72"/>
      <c r="L1341" s="73"/>
      <c r="M1341" s="70"/>
      <c r="N1341" s="74"/>
      <c r="O1341" s="75"/>
      <c r="P1341" s="75"/>
      <c r="U1341" s="72"/>
      <c r="V1341" s="73"/>
      <c r="W1341" s="70"/>
      <c r="X1341" s="74"/>
      <c r="Y1341" s="75"/>
      <c r="Z1341" s="75"/>
    </row>
    <row r="1342" spans="1:26" x14ac:dyDescent="0.3">
      <c r="A1342" s="72"/>
      <c r="B1342" s="73"/>
      <c r="C1342" s="70"/>
      <c r="D1342" s="74"/>
      <c r="E1342" s="75"/>
      <c r="F1342" s="75"/>
      <c r="K1342" s="72"/>
      <c r="L1342" s="73"/>
      <c r="M1342" s="70"/>
      <c r="N1342" s="74"/>
      <c r="O1342" s="75"/>
      <c r="P1342" s="75"/>
      <c r="U1342" s="72"/>
      <c r="V1342" s="73"/>
      <c r="W1342" s="70"/>
      <c r="X1342" s="74"/>
      <c r="Y1342" s="75"/>
      <c r="Z1342" s="75"/>
    </row>
    <row r="1343" spans="1:26" x14ac:dyDescent="0.3">
      <c r="A1343" s="72"/>
      <c r="B1343" s="73"/>
      <c r="C1343" s="70"/>
      <c r="D1343" s="74"/>
      <c r="E1343" s="75"/>
      <c r="F1343" s="75"/>
      <c r="K1343" s="72"/>
      <c r="L1343" s="73"/>
      <c r="M1343" s="70"/>
      <c r="N1343" s="74"/>
      <c r="O1343" s="75"/>
      <c r="P1343" s="75"/>
      <c r="U1343" s="72"/>
      <c r="V1343" s="73"/>
      <c r="W1343" s="70"/>
      <c r="X1343" s="74"/>
      <c r="Y1343" s="75"/>
      <c r="Z1343" s="75"/>
    </row>
    <row r="1344" spans="1:26" x14ac:dyDescent="0.3">
      <c r="A1344" s="72"/>
      <c r="B1344" s="73"/>
      <c r="C1344" s="70"/>
      <c r="D1344" s="74"/>
      <c r="E1344" s="75"/>
      <c r="F1344" s="75"/>
      <c r="K1344" s="72"/>
      <c r="L1344" s="73"/>
      <c r="M1344" s="70"/>
      <c r="N1344" s="74"/>
      <c r="O1344" s="75"/>
      <c r="P1344" s="75"/>
      <c r="U1344" s="72"/>
      <c r="V1344" s="73"/>
      <c r="W1344" s="70"/>
      <c r="X1344" s="74"/>
      <c r="Y1344" s="75"/>
      <c r="Z1344" s="75"/>
    </row>
    <row r="1345" spans="1:26" x14ac:dyDescent="0.3">
      <c r="A1345" s="72"/>
      <c r="B1345" s="73"/>
      <c r="C1345" s="70"/>
      <c r="D1345" s="74"/>
      <c r="E1345" s="75"/>
      <c r="F1345" s="75"/>
      <c r="K1345" s="72"/>
      <c r="L1345" s="73"/>
      <c r="M1345" s="70"/>
      <c r="N1345" s="74"/>
      <c r="O1345" s="75"/>
      <c r="P1345" s="75"/>
      <c r="U1345" s="72"/>
      <c r="V1345" s="73"/>
      <c r="W1345" s="70"/>
      <c r="X1345" s="74"/>
      <c r="Y1345" s="75"/>
      <c r="Z1345" s="75"/>
    </row>
    <row r="1346" spans="1:26" x14ac:dyDescent="0.3">
      <c r="A1346" s="72"/>
      <c r="B1346" s="73"/>
      <c r="C1346" s="70"/>
      <c r="D1346" s="74"/>
      <c r="E1346" s="75"/>
      <c r="F1346" s="75"/>
      <c r="K1346" s="72"/>
      <c r="L1346" s="73"/>
      <c r="M1346" s="70"/>
      <c r="N1346" s="74"/>
      <c r="O1346" s="75"/>
      <c r="P1346" s="75"/>
      <c r="U1346" s="72"/>
      <c r="V1346" s="73"/>
      <c r="W1346" s="70"/>
      <c r="X1346" s="74"/>
      <c r="Y1346" s="75"/>
      <c r="Z1346" s="75"/>
    </row>
    <row r="1347" spans="1:26" x14ac:dyDescent="0.3">
      <c r="A1347" s="72"/>
      <c r="B1347" s="73"/>
      <c r="C1347" s="70"/>
      <c r="D1347" s="74"/>
      <c r="E1347" s="75"/>
      <c r="F1347" s="75"/>
      <c r="K1347" s="72"/>
      <c r="L1347" s="73"/>
      <c r="M1347" s="70"/>
      <c r="N1347" s="74"/>
      <c r="O1347" s="75"/>
      <c r="P1347" s="75"/>
      <c r="U1347" s="72"/>
      <c r="V1347" s="73"/>
      <c r="W1347" s="70"/>
      <c r="X1347" s="74"/>
      <c r="Y1347" s="75"/>
      <c r="Z1347" s="75"/>
    </row>
    <row r="1348" spans="1:26" x14ac:dyDescent="0.3">
      <c r="A1348" s="72"/>
      <c r="B1348" s="73"/>
      <c r="C1348" s="70"/>
      <c r="D1348" s="74"/>
      <c r="E1348" s="75"/>
      <c r="F1348" s="75"/>
      <c r="K1348" s="72"/>
      <c r="L1348" s="73"/>
      <c r="M1348" s="70"/>
      <c r="N1348" s="74"/>
      <c r="O1348" s="75"/>
      <c r="P1348" s="75"/>
      <c r="U1348" s="72"/>
      <c r="V1348" s="73"/>
      <c r="W1348" s="70"/>
      <c r="X1348" s="74"/>
      <c r="Y1348" s="75"/>
      <c r="Z1348" s="75"/>
    </row>
    <row r="1349" spans="1:26" x14ac:dyDescent="0.3">
      <c r="A1349" s="72"/>
      <c r="B1349" s="73"/>
      <c r="C1349" s="70"/>
      <c r="D1349" s="74"/>
      <c r="E1349" s="75"/>
      <c r="F1349" s="75"/>
      <c r="K1349" s="72"/>
      <c r="L1349" s="73"/>
      <c r="M1349" s="70"/>
      <c r="N1349" s="74"/>
      <c r="O1349" s="75"/>
      <c r="P1349" s="75"/>
      <c r="U1349" s="72"/>
      <c r="V1349" s="73"/>
      <c r="W1349" s="70"/>
      <c r="X1349" s="74"/>
      <c r="Y1349" s="75"/>
      <c r="Z1349" s="75"/>
    </row>
    <row r="1350" spans="1:26" x14ac:dyDescent="0.3">
      <c r="A1350" s="72"/>
      <c r="B1350" s="73"/>
      <c r="C1350" s="70"/>
      <c r="D1350" s="74"/>
      <c r="E1350" s="75"/>
      <c r="F1350" s="75"/>
      <c r="K1350" s="72"/>
      <c r="L1350" s="73"/>
      <c r="M1350" s="70"/>
      <c r="N1350" s="74"/>
      <c r="O1350" s="75"/>
      <c r="P1350" s="75"/>
      <c r="U1350" s="72"/>
      <c r="V1350" s="73"/>
      <c r="W1350" s="70"/>
      <c r="X1350" s="74"/>
      <c r="Y1350" s="75"/>
      <c r="Z1350" s="75"/>
    </row>
    <row r="1351" spans="1:26" x14ac:dyDescent="0.3">
      <c r="A1351" s="72"/>
      <c r="B1351" s="73"/>
      <c r="C1351" s="70"/>
      <c r="D1351" s="74"/>
      <c r="E1351" s="75"/>
      <c r="F1351" s="75"/>
      <c r="K1351" s="72"/>
      <c r="L1351" s="73"/>
      <c r="M1351" s="70"/>
      <c r="N1351" s="74"/>
      <c r="O1351" s="75"/>
      <c r="P1351" s="75"/>
      <c r="U1351" s="72"/>
      <c r="V1351" s="73"/>
      <c r="W1351" s="70"/>
      <c r="X1351" s="74"/>
      <c r="Y1351" s="75"/>
      <c r="Z1351" s="75"/>
    </row>
    <row r="1352" spans="1:26" x14ac:dyDescent="0.3">
      <c r="A1352" s="72"/>
      <c r="B1352" s="73"/>
      <c r="C1352" s="70"/>
      <c r="D1352" s="74"/>
      <c r="E1352" s="75"/>
      <c r="F1352" s="75"/>
      <c r="K1352" s="72"/>
      <c r="L1352" s="73"/>
      <c r="M1352" s="70"/>
      <c r="N1352" s="74"/>
      <c r="O1352" s="75"/>
      <c r="P1352" s="75"/>
      <c r="U1352" s="72"/>
      <c r="V1352" s="73"/>
      <c r="W1352" s="70"/>
      <c r="X1352" s="74"/>
      <c r="Y1352" s="75"/>
      <c r="Z1352" s="75"/>
    </row>
    <row r="1353" spans="1:26" x14ac:dyDescent="0.3">
      <c r="A1353" s="72"/>
      <c r="B1353" s="73"/>
      <c r="C1353" s="70"/>
      <c r="D1353" s="74"/>
      <c r="E1353" s="75"/>
      <c r="F1353" s="75"/>
      <c r="K1353" s="72"/>
      <c r="L1353" s="73"/>
      <c r="M1353" s="70"/>
      <c r="N1353" s="74"/>
      <c r="O1353" s="75"/>
      <c r="P1353" s="75"/>
      <c r="U1353" s="72"/>
      <c r="V1353" s="73"/>
      <c r="W1353" s="70"/>
      <c r="X1353" s="74"/>
      <c r="Y1353" s="75"/>
      <c r="Z1353" s="75"/>
    </row>
    <row r="1354" spans="1:26" x14ac:dyDescent="0.3">
      <c r="A1354" s="72"/>
      <c r="B1354" s="73"/>
      <c r="C1354" s="70"/>
      <c r="D1354" s="74"/>
      <c r="E1354" s="75"/>
      <c r="F1354" s="75"/>
      <c r="K1354" s="72"/>
      <c r="L1354" s="73"/>
      <c r="M1354" s="70"/>
      <c r="N1354" s="74"/>
      <c r="O1354" s="75"/>
      <c r="P1354" s="75"/>
      <c r="U1354" s="72"/>
      <c r="V1354" s="73"/>
      <c r="W1354" s="70"/>
      <c r="X1354" s="74"/>
      <c r="Y1354" s="75"/>
      <c r="Z1354" s="75"/>
    </row>
    <row r="1355" spans="1:26" x14ac:dyDescent="0.3">
      <c r="A1355" s="72"/>
      <c r="B1355" s="73"/>
      <c r="C1355" s="70"/>
      <c r="D1355" s="74"/>
      <c r="E1355" s="75"/>
      <c r="F1355" s="75"/>
      <c r="K1355" s="72"/>
      <c r="L1355" s="73"/>
      <c r="M1355" s="70"/>
      <c r="N1355" s="74"/>
      <c r="O1355" s="75"/>
      <c r="P1355" s="75"/>
      <c r="U1355" s="72"/>
      <c r="V1355" s="73"/>
      <c r="W1355" s="70"/>
      <c r="X1355" s="74"/>
      <c r="Y1355" s="75"/>
      <c r="Z1355" s="75"/>
    </row>
    <row r="1356" spans="1:26" x14ac:dyDescent="0.3">
      <c r="A1356" s="72"/>
      <c r="B1356" s="73"/>
      <c r="C1356" s="70"/>
      <c r="D1356" s="74"/>
      <c r="E1356" s="75"/>
      <c r="F1356" s="75"/>
      <c r="K1356" s="72"/>
      <c r="L1356" s="73"/>
      <c r="M1356" s="70"/>
      <c r="N1356" s="74"/>
      <c r="O1356" s="75"/>
      <c r="P1356" s="75"/>
      <c r="U1356" s="72"/>
      <c r="V1356" s="73"/>
      <c r="W1356" s="70"/>
      <c r="X1356" s="74"/>
      <c r="Y1356" s="75"/>
      <c r="Z1356" s="75"/>
    </row>
    <row r="1357" spans="1:26" x14ac:dyDescent="0.3">
      <c r="A1357" s="72"/>
      <c r="B1357" s="73"/>
      <c r="C1357" s="70"/>
      <c r="D1357" s="74"/>
      <c r="E1357" s="75"/>
      <c r="F1357" s="75"/>
      <c r="K1357" s="72"/>
      <c r="L1357" s="73"/>
      <c r="M1357" s="70"/>
      <c r="N1357" s="74"/>
      <c r="O1357" s="75"/>
      <c r="P1357" s="75"/>
      <c r="U1357" s="72"/>
      <c r="V1357" s="73"/>
      <c r="W1357" s="70"/>
      <c r="X1357" s="74"/>
      <c r="Y1357" s="75"/>
      <c r="Z1357" s="75"/>
    </row>
    <row r="1358" spans="1:26" x14ac:dyDescent="0.3">
      <c r="A1358" s="72"/>
      <c r="B1358" s="73"/>
      <c r="C1358" s="70"/>
      <c r="D1358" s="74"/>
      <c r="E1358" s="75"/>
      <c r="F1358" s="75"/>
      <c r="K1358" s="72"/>
      <c r="L1358" s="73"/>
      <c r="M1358" s="70"/>
      <c r="N1358" s="74"/>
      <c r="O1358" s="75"/>
      <c r="P1358" s="75"/>
      <c r="U1358" s="72"/>
      <c r="V1358" s="73"/>
      <c r="W1358" s="70"/>
      <c r="X1358" s="74"/>
      <c r="Y1358" s="75"/>
      <c r="Z1358" s="75"/>
    </row>
    <row r="1359" spans="1:26" x14ac:dyDescent="0.3">
      <c r="A1359" s="72"/>
      <c r="B1359" s="73"/>
      <c r="C1359" s="70"/>
      <c r="D1359" s="74"/>
      <c r="E1359" s="75"/>
      <c r="F1359" s="75"/>
      <c r="K1359" s="72"/>
      <c r="L1359" s="73"/>
      <c r="M1359" s="70"/>
      <c r="N1359" s="74"/>
      <c r="O1359" s="75"/>
      <c r="P1359" s="75"/>
      <c r="U1359" s="72"/>
      <c r="V1359" s="73"/>
      <c r="W1359" s="70"/>
      <c r="X1359" s="74"/>
      <c r="Y1359" s="75"/>
      <c r="Z1359" s="75"/>
    </row>
    <row r="1360" spans="1:26" x14ac:dyDescent="0.3">
      <c r="A1360" s="72"/>
      <c r="B1360" s="73"/>
      <c r="C1360" s="70"/>
      <c r="D1360" s="74"/>
      <c r="E1360" s="75"/>
      <c r="F1360" s="75"/>
      <c r="K1360" s="72"/>
      <c r="L1360" s="73"/>
      <c r="M1360" s="70"/>
      <c r="N1360" s="74"/>
      <c r="O1360" s="75"/>
      <c r="P1360" s="75"/>
      <c r="U1360" s="72"/>
      <c r="V1360" s="73"/>
      <c r="W1360" s="70"/>
      <c r="X1360" s="74"/>
      <c r="Y1360" s="75"/>
      <c r="Z1360" s="75"/>
    </row>
    <row r="1361" spans="1:26" x14ac:dyDescent="0.3">
      <c r="A1361" s="72"/>
      <c r="B1361" s="73"/>
      <c r="C1361" s="70"/>
      <c r="D1361" s="74"/>
      <c r="E1361" s="75"/>
      <c r="F1361" s="75"/>
      <c r="K1361" s="72"/>
      <c r="L1361" s="73"/>
      <c r="M1361" s="70"/>
      <c r="N1361" s="74"/>
      <c r="O1361" s="75"/>
      <c r="P1361" s="75"/>
      <c r="U1361" s="72"/>
      <c r="V1361" s="73"/>
      <c r="W1361" s="70"/>
      <c r="X1361" s="74"/>
      <c r="Y1361" s="75"/>
      <c r="Z1361" s="75"/>
    </row>
    <row r="1362" spans="1:26" x14ac:dyDescent="0.3">
      <c r="A1362" s="72"/>
      <c r="B1362" s="73"/>
      <c r="C1362" s="70"/>
      <c r="D1362" s="74"/>
      <c r="E1362" s="75"/>
      <c r="F1362" s="75"/>
      <c r="K1362" s="72"/>
      <c r="L1362" s="73"/>
      <c r="M1362" s="70"/>
      <c r="N1362" s="74"/>
      <c r="O1362" s="75"/>
      <c r="P1362" s="75"/>
      <c r="U1362" s="72"/>
      <c r="V1362" s="73"/>
      <c r="W1362" s="70"/>
      <c r="X1362" s="74"/>
      <c r="Y1362" s="75"/>
      <c r="Z1362" s="75"/>
    </row>
    <row r="1363" spans="1:26" x14ac:dyDescent="0.3">
      <c r="A1363" s="72"/>
      <c r="B1363" s="73"/>
      <c r="C1363" s="70"/>
      <c r="D1363" s="74"/>
      <c r="E1363" s="75"/>
      <c r="F1363" s="75"/>
      <c r="K1363" s="72"/>
      <c r="L1363" s="73"/>
      <c r="M1363" s="70"/>
      <c r="N1363" s="74"/>
      <c r="O1363" s="75"/>
      <c r="P1363" s="75"/>
      <c r="U1363" s="72"/>
      <c r="V1363" s="73"/>
      <c r="W1363" s="70"/>
      <c r="X1363" s="74"/>
      <c r="Y1363" s="75"/>
      <c r="Z1363" s="75"/>
    </row>
    <row r="1364" spans="1:26" x14ac:dyDescent="0.3">
      <c r="A1364" s="72"/>
      <c r="B1364" s="73"/>
      <c r="C1364" s="70"/>
      <c r="D1364" s="74"/>
      <c r="E1364" s="75"/>
      <c r="F1364" s="75"/>
      <c r="K1364" s="72"/>
      <c r="L1364" s="73"/>
      <c r="M1364" s="70"/>
      <c r="N1364" s="74"/>
      <c r="O1364" s="75"/>
      <c r="P1364" s="75"/>
      <c r="U1364" s="72"/>
      <c r="V1364" s="73"/>
      <c r="W1364" s="70"/>
      <c r="X1364" s="74"/>
      <c r="Y1364" s="75"/>
      <c r="Z1364" s="75"/>
    </row>
    <row r="1365" spans="1:26" x14ac:dyDescent="0.3">
      <c r="A1365" s="72"/>
      <c r="B1365" s="73"/>
      <c r="C1365" s="70"/>
      <c r="D1365" s="74"/>
      <c r="E1365" s="75"/>
      <c r="F1365" s="75"/>
      <c r="K1365" s="72"/>
      <c r="L1365" s="73"/>
      <c r="M1365" s="70"/>
      <c r="N1365" s="74"/>
      <c r="O1365" s="75"/>
      <c r="P1365" s="75"/>
      <c r="U1365" s="72"/>
      <c r="V1365" s="73"/>
      <c r="W1365" s="70"/>
      <c r="X1365" s="74"/>
      <c r="Y1365" s="75"/>
      <c r="Z1365" s="75"/>
    </row>
    <row r="1366" spans="1:26" x14ac:dyDescent="0.3">
      <c r="A1366" s="72"/>
      <c r="B1366" s="73"/>
      <c r="C1366" s="70"/>
      <c r="D1366" s="74"/>
      <c r="E1366" s="75"/>
      <c r="F1366" s="75"/>
      <c r="K1366" s="72"/>
      <c r="L1366" s="73"/>
      <c r="M1366" s="70"/>
      <c r="N1366" s="74"/>
      <c r="O1366" s="75"/>
      <c r="P1366" s="75"/>
      <c r="U1366" s="72"/>
      <c r="V1366" s="73"/>
      <c r="W1366" s="70"/>
      <c r="X1366" s="74"/>
      <c r="Y1366" s="75"/>
      <c r="Z1366" s="75"/>
    </row>
    <row r="1367" spans="1:26" x14ac:dyDescent="0.3">
      <c r="A1367" s="72"/>
      <c r="B1367" s="73"/>
      <c r="C1367" s="70"/>
      <c r="D1367" s="74"/>
      <c r="E1367" s="75"/>
      <c r="F1367" s="75"/>
      <c r="K1367" s="72"/>
      <c r="L1367" s="73"/>
      <c r="M1367" s="70"/>
      <c r="N1367" s="74"/>
      <c r="O1367" s="75"/>
      <c r="P1367" s="75"/>
      <c r="U1367" s="72"/>
      <c r="V1367" s="73"/>
      <c r="W1367" s="70"/>
      <c r="X1367" s="74"/>
      <c r="Y1367" s="75"/>
      <c r="Z1367" s="75"/>
    </row>
    <row r="1368" spans="1:26" x14ac:dyDescent="0.3">
      <c r="A1368" s="72"/>
      <c r="B1368" s="73"/>
      <c r="C1368" s="70"/>
      <c r="D1368" s="74"/>
      <c r="E1368" s="75"/>
      <c r="F1368" s="75"/>
      <c r="K1368" s="72"/>
      <c r="L1368" s="73"/>
      <c r="M1368" s="70"/>
      <c r="N1368" s="74"/>
      <c r="O1368" s="75"/>
      <c r="P1368" s="75"/>
      <c r="U1368" s="72"/>
      <c r="V1368" s="73"/>
      <c r="W1368" s="70"/>
      <c r="X1368" s="74"/>
      <c r="Y1368" s="75"/>
      <c r="Z1368" s="75"/>
    </row>
    <row r="1369" spans="1:26" x14ac:dyDescent="0.3">
      <c r="A1369" s="72"/>
      <c r="B1369" s="73"/>
      <c r="C1369" s="70"/>
      <c r="D1369" s="74"/>
      <c r="E1369" s="75"/>
      <c r="F1369" s="75"/>
      <c r="K1369" s="72"/>
      <c r="L1369" s="73"/>
      <c r="M1369" s="70"/>
      <c r="N1369" s="74"/>
      <c r="O1369" s="75"/>
      <c r="P1369" s="75"/>
      <c r="U1369" s="72"/>
      <c r="V1369" s="73"/>
      <c r="W1369" s="70"/>
      <c r="X1369" s="74"/>
      <c r="Y1369" s="75"/>
      <c r="Z1369" s="75"/>
    </row>
    <row r="1370" spans="1:26" x14ac:dyDescent="0.3">
      <c r="A1370" s="72"/>
      <c r="B1370" s="73"/>
      <c r="C1370" s="70"/>
      <c r="D1370" s="74"/>
      <c r="E1370" s="75"/>
      <c r="F1370" s="75"/>
      <c r="K1370" s="72"/>
      <c r="L1370" s="73"/>
      <c r="M1370" s="70"/>
      <c r="N1370" s="74"/>
      <c r="O1370" s="75"/>
      <c r="P1370" s="75"/>
      <c r="U1370" s="72"/>
      <c r="V1370" s="73"/>
      <c r="W1370" s="70"/>
      <c r="X1370" s="74"/>
      <c r="Y1370" s="75"/>
      <c r="Z1370" s="75"/>
    </row>
    <row r="1371" spans="1:26" x14ac:dyDescent="0.3">
      <c r="A1371" s="72"/>
      <c r="B1371" s="73"/>
      <c r="C1371" s="70"/>
      <c r="D1371" s="74"/>
      <c r="E1371" s="75"/>
      <c r="F1371" s="75"/>
      <c r="K1371" s="72"/>
      <c r="L1371" s="73"/>
      <c r="M1371" s="70"/>
      <c r="N1371" s="74"/>
      <c r="O1371" s="75"/>
      <c r="P1371" s="75"/>
      <c r="U1371" s="72"/>
      <c r="V1371" s="73"/>
      <c r="W1371" s="70"/>
      <c r="X1371" s="74"/>
      <c r="Y1371" s="75"/>
      <c r="Z1371" s="75"/>
    </row>
    <row r="1372" spans="1:26" x14ac:dyDescent="0.3">
      <c r="A1372" s="72"/>
      <c r="B1372" s="73"/>
      <c r="C1372" s="70"/>
      <c r="D1372" s="74"/>
      <c r="E1372" s="75"/>
      <c r="F1372" s="75"/>
      <c r="K1372" s="72"/>
      <c r="L1372" s="73"/>
      <c r="M1372" s="70"/>
      <c r="N1372" s="74"/>
      <c r="O1372" s="75"/>
      <c r="P1372" s="75"/>
      <c r="U1372" s="72"/>
      <c r="V1372" s="73"/>
      <c r="W1372" s="70"/>
      <c r="X1372" s="74"/>
      <c r="Y1372" s="75"/>
      <c r="Z1372" s="75"/>
    </row>
    <row r="1373" spans="1:26" x14ac:dyDescent="0.3">
      <c r="A1373" s="72"/>
      <c r="B1373" s="73"/>
      <c r="C1373" s="70"/>
      <c r="D1373" s="74"/>
      <c r="E1373" s="75"/>
      <c r="F1373" s="75"/>
      <c r="K1373" s="72"/>
      <c r="L1373" s="73"/>
      <c r="M1373" s="70"/>
      <c r="N1373" s="74"/>
      <c r="O1373" s="75"/>
      <c r="P1373" s="75"/>
      <c r="U1373" s="72"/>
      <c r="V1373" s="73"/>
      <c r="W1373" s="70"/>
      <c r="X1373" s="74"/>
      <c r="Y1373" s="75"/>
      <c r="Z1373" s="75"/>
    </row>
    <row r="1374" spans="1:26" x14ac:dyDescent="0.3">
      <c r="A1374" s="72"/>
      <c r="B1374" s="73"/>
      <c r="C1374" s="70"/>
      <c r="D1374" s="74"/>
      <c r="E1374" s="75"/>
      <c r="F1374" s="75"/>
      <c r="K1374" s="72"/>
      <c r="L1374" s="73"/>
      <c r="M1374" s="70"/>
      <c r="N1374" s="74"/>
      <c r="O1374" s="75"/>
      <c r="P1374" s="75"/>
      <c r="U1374" s="72"/>
      <c r="V1374" s="73"/>
      <c r="W1374" s="70"/>
      <c r="X1374" s="74"/>
      <c r="Y1374" s="75"/>
      <c r="Z1374" s="75"/>
    </row>
    <row r="1375" spans="1:26" x14ac:dyDescent="0.3">
      <c r="A1375" s="72"/>
      <c r="B1375" s="73"/>
      <c r="C1375" s="70"/>
      <c r="D1375" s="74"/>
      <c r="E1375" s="75"/>
      <c r="F1375" s="75"/>
      <c r="K1375" s="72"/>
      <c r="L1375" s="73"/>
      <c r="M1375" s="70"/>
      <c r="N1375" s="74"/>
      <c r="O1375" s="75"/>
      <c r="P1375" s="75"/>
      <c r="U1375" s="72"/>
      <c r="V1375" s="73"/>
      <c r="W1375" s="70"/>
      <c r="X1375" s="74"/>
      <c r="Y1375" s="75"/>
      <c r="Z1375" s="75"/>
    </row>
    <row r="1376" spans="1:26" x14ac:dyDescent="0.3">
      <c r="A1376" s="72"/>
      <c r="B1376" s="73"/>
      <c r="C1376" s="70"/>
      <c r="D1376" s="74"/>
      <c r="E1376" s="75"/>
      <c r="F1376" s="75"/>
      <c r="K1376" s="72"/>
      <c r="L1376" s="73"/>
      <c r="M1376" s="70"/>
      <c r="N1376" s="74"/>
      <c r="O1376" s="75"/>
      <c r="P1376" s="75"/>
      <c r="U1376" s="72"/>
      <c r="V1376" s="73"/>
      <c r="W1376" s="70"/>
      <c r="X1376" s="74"/>
      <c r="Y1376" s="75"/>
      <c r="Z1376" s="75"/>
    </row>
    <row r="1377" spans="1:26" x14ac:dyDescent="0.3">
      <c r="A1377" s="72"/>
      <c r="B1377" s="73"/>
      <c r="C1377" s="70"/>
      <c r="D1377" s="74"/>
      <c r="E1377" s="75"/>
      <c r="F1377" s="75"/>
      <c r="K1377" s="72"/>
      <c r="L1377" s="73"/>
      <c r="M1377" s="70"/>
      <c r="N1377" s="74"/>
      <c r="O1377" s="75"/>
      <c r="P1377" s="75"/>
      <c r="U1377" s="72"/>
      <c r="V1377" s="73"/>
      <c r="W1377" s="70"/>
      <c r="X1377" s="74"/>
      <c r="Y1377" s="75"/>
      <c r="Z1377" s="75"/>
    </row>
    <row r="1378" spans="1:26" x14ac:dyDescent="0.3">
      <c r="A1378" s="72"/>
      <c r="B1378" s="73"/>
      <c r="C1378" s="70"/>
      <c r="D1378" s="74"/>
      <c r="E1378" s="75"/>
      <c r="F1378" s="75"/>
      <c r="K1378" s="72"/>
      <c r="L1378" s="73"/>
      <c r="M1378" s="70"/>
      <c r="N1378" s="74"/>
      <c r="O1378" s="75"/>
      <c r="P1378" s="75"/>
      <c r="U1378" s="72"/>
      <c r="V1378" s="73"/>
      <c r="W1378" s="70"/>
      <c r="X1378" s="74"/>
      <c r="Y1378" s="75"/>
      <c r="Z1378" s="75"/>
    </row>
    <row r="1379" spans="1:26" x14ac:dyDescent="0.3">
      <c r="A1379" s="72"/>
      <c r="B1379" s="73"/>
      <c r="C1379" s="70"/>
      <c r="D1379" s="74"/>
      <c r="E1379" s="75"/>
      <c r="F1379" s="75"/>
      <c r="K1379" s="72"/>
      <c r="L1379" s="73"/>
      <c r="M1379" s="70"/>
      <c r="N1379" s="74"/>
      <c r="O1379" s="75"/>
      <c r="P1379" s="75"/>
      <c r="U1379" s="72"/>
      <c r="V1379" s="73"/>
      <c r="W1379" s="70"/>
      <c r="X1379" s="74"/>
      <c r="Y1379" s="75"/>
      <c r="Z1379" s="75"/>
    </row>
    <row r="1380" spans="1:26" x14ac:dyDescent="0.3">
      <c r="A1380" s="72"/>
      <c r="B1380" s="73"/>
      <c r="C1380" s="70"/>
      <c r="D1380" s="74"/>
      <c r="E1380" s="75"/>
      <c r="F1380" s="75"/>
      <c r="K1380" s="72"/>
      <c r="L1380" s="73"/>
      <c r="M1380" s="70"/>
      <c r="N1380" s="74"/>
      <c r="O1380" s="75"/>
      <c r="P1380" s="75"/>
      <c r="U1380" s="72"/>
      <c r="V1380" s="73"/>
      <c r="W1380" s="70"/>
      <c r="X1380" s="74"/>
      <c r="Y1380" s="75"/>
      <c r="Z1380" s="75"/>
    </row>
    <row r="1381" spans="1:26" x14ac:dyDescent="0.3">
      <c r="A1381" s="72"/>
      <c r="B1381" s="73"/>
      <c r="C1381" s="70"/>
      <c r="D1381" s="74"/>
      <c r="E1381" s="75"/>
      <c r="F1381" s="75"/>
      <c r="K1381" s="72"/>
      <c r="L1381" s="73"/>
      <c r="M1381" s="70"/>
      <c r="N1381" s="74"/>
      <c r="O1381" s="75"/>
      <c r="P1381" s="75"/>
      <c r="U1381" s="72"/>
      <c r="V1381" s="73"/>
      <c r="W1381" s="70"/>
      <c r="X1381" s="74"/>
      <c r="Y1381" s="75"/>
      <c r="Z1381" s="75"/>
    </row>
    <row r="1382" spans="1:26" x14ac:dyDescent="0.3">
      <c r="A1382" s="72"/>
      <c r="B1382" s="73"/>
      <c r="C1382" s="70"/>
      <c r="D1382" s="74"/>
      <c r="E1382" s="75"/>
      <c r="F1382" s="75"/>
      <c r="K1382" s="72"/>
      <c r="L1382" s="73"/>
      <c r="M1382" s="70"/>
      <c r="N1382" s="74"/>
      <c r="O1382" s="75"/>
      <c r="P1382" s="75"/>
      <c r="U1382" s="72"/>
      <c r="V1382" s="73"/>
      <c r="W1382" s="70"/>
      <c r="X1382" s="74"/>
      <c r="Y1382" s="75"/>
      <c r="Z1382" s="75"/>
    </row>
    <row r="1383" spans="1:26" x14ac:dyDescent="0.3">
      <c r="A1383" s="72"/>
      <c r="B1383" s="73"/>
      <c r="C1383" s="70"/>
      <c r="D1383" s="74"/>
      <c r="E1383" s="75"/>
      <c r="F1383" s="75"/>
      <c r="K1383" s="72"/>
      <c r="L1383" s="73"/>
      <c r="M1383" s="70"/>
      <c r="N1383" s="74"/>
      <c r="O1383" s="75"/>
      <c r="P1383" s="75"/>
      <c r="U1383" s="72"/>
      <c r="V1383" s="73"/>
      <c r="W1383" s="70"/>
      <c r="X1383" s="74"/>
      <c r="Y1383" s="75"/>
      <c r="Z1383" s="75"/>
    </row>
    <row r="1384" spans="1:26" x14ac:dyDescent="0.3">
      <c r="A1384" s="72"/>
      <c r="B1384" s="73"/>
      <c r="C1384" s="70"/>
      <c r="D1384" s="74"/>
      <c r="E1384" s="75"/>
      <c r="F1384" s="75"/>
      <c r="K1384" s="72"/>
      <c r="L1384" s="73"/>
      <c r="M1384" s="70"/>
      <c r="N1384" s="74"/>
      <c r="O1384" s="75"/>
      <c r="P1384" s="75"/>
      <c r="U1384" s="72"/>
      <c r="V1384" s="73"/>
      <c r="W1384" s="70"/>
      <c r="X1384" s="74"/>
      <c r="Y1384" s="75"/>
      <c r="Z1384" s="75"/>
    </row>
    <row r="1385" spans="1:26" x14ac:dyDescent="0.3">
      <c r="A1385" s="72"/>
      <c r="B1385" s="73"/>
      <c r="C1385" s="70"/>
      <c r="D1385" s="74"/>
      <c r="E1385" s="75"/>
      <c r="F1385" s="75"/>
      <c r="K1385" s="72"/>
      <c r="L1385" s="73"/>
      <c r="M1385" s="70"/>
      <c r="N1385" s="74"/>
      <c r="O1385" s="75"/>
      <c r="P1385" s="75"/>
      <c r="U1385" s="72"/>
      <c r="V1385" s="73"/>
      <c r="W1385" s="70"/>
      <c r="X1385" s="74"/>
      <c r="Y1385" s="75"/>
      <c r="Z1385" s="75"/>
    </row>
    <row r="1386" spans="1:26" x14ac:dyDescent="0.3">
      <c r="A1386" s="72"/>
      <c r="B1386" s="73"/>
      <c r="C1386" s="70"/>
      <c r="D1386" s="74"/>
      <c r="E1386" s="75"/>
      <c r="F1386" s="75"/>
      <c r="K1386" s="72"/>
      <c r="L1386" s="73"/>
      <c r="M1386" s="70"/>
      <c r="N1386" s="74"/>
      <c r="O1386" s="75"/>
      <c r="P1386" s="75"/>
      <c r="U1386" s="72"/>
      <c r="V1386" s="73"/>
      <c r="W1386" s="70"/>
      <c r="X1386" s="74"/>
      <c r="Y1386" s="75"/>
      <c r="Z1386" s="75"/>
    </row>
    <row r="1387" spans="1:26" x14ac:dyDescent="0.3">
      <c r="A1387" s="72"/>
      <c r="B1387" s="73"/>
      <c r="C1387" s="70"/>
      <c r="D1387" s="74"/>
      <c r="E1387" s="75"/>
      <c r="F1387" s="75"/>
      <c r="K1387" s="72"/>
      <c r="L1387" s="73"/>
      <c r="M1387" s="70"/>
      <c r="N1387" s="74"/>
      <c r="O1387" s="75"/>
      <c r="P1387" s="75"/>
      <c r="U1387" s="72"/>
      <c r="V1387" s="73"/>
      <c r="W1387" s="70"/>
      <c r="X1387" s="74"/>
      <c r="Y1387" s="75"/>
      <c r="Z1387" s="75"/>
    </row>
    <row r="1388" spans="1:26" x14ac:dyDescent="0.3">
      <c r="A1388" s="72"/>
      <c r="B1388" s="73"/>
      <c r="C1388" s="70"/>
      <c r="D1388" s="74"/>
      <c r="E1388" s="75"/>
      <c r="F1388" s="75"/>
      <c r="K1388" s="72"/>
      <c r="L1388" s="73"/>
      <c r="M1388" s="70"/>
      <c r="N1388" s="74"/>
      <c r="O1388" s="75"/>
      <c r="P1388" s="75"/>
      <c r="U1388" s="72"/>
      <c r="V1388" s="73"/>
      <c r="W1388" s="70"/>
      <c r="X1388" s="74"/>
      <c r="Y1388" s="75"/>
      <c r="Z1388" s="75"/>
    </row>
    <row r="1389" spans="1:26" x14ac:dyDescent="0.3">
      <c r="A1389" s="72"/>
      <c r="B1389" s="73"/>
      <c r="C1389" s="70"/>
      <c r="D1389" s="74"/>
      <c r="E1389" s="75"/>
      <c r="F1389" s="75"/>
      <c r="K1389" s="72"/>
      <c r="L1389" s="73"/>
      <c r="M1389" s="70"/>
      <c r="N1389" s="74"/>
      <c r="O1389" s="75"/>
      <c r="P1389" s="75"/>
      <c r="U1389" s="72"/>
      <c r="V1389" s="73"/>
      <c r="W1389" s="70"/>
      <c r="X1389" s="74"/>
      <c r="Y1389" s="75"/>
      <c r="Z1389" s="75"/>
    </row>
    <row r="1390" spans="1:26" x14ac:dyDescent="0.3">
      <c r="A1390" s="72"/>
      <c r="B1390" s="73"/>
      <c r="C1390" s="70"/>
      <c r="D1390" s="74"/>
      <c r="E1390" s="75"/>
      <c r="F1390" s="75"/>
      <c r="K1390" s="72"/>
      <c r="L1390" s="73"/>
      <c r="M1390" s="70"/>
      <c r="N1390" s="74"/>
      <c r="O1390" s="75"/>
      <c r="P1390" s="75"/>
      <c r="U1390" s="72"/>
      <c r="V1390" s="73"/>
      <c r="W1390" s="70"/>
      <c r="X1390" s="74"/>
      <c r="Y1390" s="75"/>
      <c r="Z1390" s="75"/>
    </row>
    <row r="1391" spans="1:26" x14ac:dyDescent="0.3">
      <c r="A1391" s="72"/>
      <c r="B1391" s="73"/>
      <c r="C1391" s="70"/>
      <c r="D1391" s="74"/>
      <c r="E1391" s="75"/>
      <c r="F1391" s="75"/>
      <c r="K1391" s="72"/>
      <c r="L1391" s="73"/>
      <c r="M1391" s="70"/>
      <c r="N1391" s="74"/>
      <c r="O1391" s="75"/>
      <c r="P1391" s="75"/>
      <c r="U1391" s="72"/>
      <c r="V1391" s="73"/>
      <c r="W1391" s="70"/>
      <c r="X1391" s="74"/>
      <c r="Y1391" s="75"/>
      <c r="Z1391" s="75"/>
    </row>
    <row r="1392" spans="1:26" x14ac:dyDescent="0.3">
      <c r="A1392" s="72"/>
      <c r="B1392" s="73"/>
      <c r="C1392" s="70"/>
      <c r="D1392" s="74"/>
      <c r="E1392" s="75"/>
      <c r="F1392" s="75"/>
      <c r="K1392" s="72"/>
      <c r="L1392" s="73"/>
      <c r="M1392" s="70"/>
      <c r="N1392" s="74"/>
      <c r="O1392" s="75"/>
      <c r="P1392" s="75"/>
      <c r="U1392" s="72"/>
      <c r="V1392" s="73"/>
      <c r="W1392" s="70"/>
      <c r="X1392" s="74"/>
      <c r="Y1392" s="75"/>
      <c r="Z1392" s="75"/>
    </row>
    <row r="1393" spans="1:26" x14ac:dyDescent="0.3">
      <c r="A1393" s="72"/>
      <c r="B1393" s="73"/>
      <c r="C1393" s="70"/>
      <c r="D1393" s="74"/>
      <c r="E1393" s="75"/>
      <c r="F1393" s="75"/>
      <c r="K1393" s="72"/>
      <c r="L1393" s="73"/>
      <c r="M1393" s="70"/>
      <c r="N1393" s="74"/>
      <c r="O1393" s="75"/>
      <c r="P1393" s="75"/>
      <c r="U1393" s="72"/>
      <c r="V1393" s="73"/>
      <c r="W1393" s="70"/>
      <c r="X1393" s="74"/>
      <c r="Y1393" s="75"/>
      <c r="Z1393" s="75"/>
    </row>
    <row r="1394" spans="1:26" x14ac:dyDescent="0.3">
      <c r="A1394" s="72"/>
      <c r="B1394" s="73"/>
      <c r="C1394" s="70"/>
      <c r="D1394" s="74"/>
      <c r="E1394" s="75"/>
      <c r="F1394" s="75"/>
      <c r="K1394" s="72"/>
      <c r="L1394" s="73"/>
      <c r="M1394" s="70"/>
      <c r="N1394" s="74"/>
      <c r="O1394" s="75"/>
      <c r="P1394" s="75"/>
      <c r="U1394" s="72"/>
      <c r="V1394" s="73"/>
      <c r="W1394" s="70"/>
      <c r="X1394" s="74"/>
      <c r="Y1394" s="75"/>
      <c r="Z1394" s="75"/>
    </row>
    <row r="1395" spans="1:26" x14ac:dyDescent="0.3">
      <c r="A1395" s="72"/>
      <c r="B1395" s="73"/>
      <c r="C1395" s="70"/>
      <c r="D1395" s="74"/>
      <c r="E1395" s="75"/>
      <c r="F1395" s="75"/>
      <c r="K1395" s="72"/>
      <c r="L1395" s="73"/>
      <c r="M1395" s="70"/>
      <c r="N1395" s="74"/>
      <c r="O1395" s="75"/>
      <c r="P1395" s="75"/>
      <c r="U1395" s="72"/>
      <c r="V1395" s="73"/>
      <c r="W1395" s="70"/>
      <c r="X1395" s="74"/>
      <c r="Y1395" s="75"/>
      <c r="Z1395" s="75"/>
    </row>
    <row r="1396" spans="1:26" x14ac:dyDescent="0.3">
      <c r="A1396" s="72"/>
      <c r="B1396" s="73"/>
      <c r="C1396" s="70"/>
      <c r="D1396" s="74"/>
      <c r="E1396" s="75"/>
      <c r="F1396" s="75"/>
      <c r="K1396" s="72"/>
      <c r="L1396" s="73"/>
      <c r="M1396" s="70"/>
      <c r="N1396" s="74"/>
      <c r="O1396" s="75"/>
      <c r="P1396" s="75"/>
      <c r="U1396" s="72"/>
      <c r="V1396" s="73"/>
      <c r="W1396" s="70"/>
      <c r="X1396" s="74"/>
      <c r="Y1396" s="75"/>
      <c r="Z1396" s="75"/>
    </row>
    <row r="1397" spans="1:26" x14ac:dyDescent="0.3">
      <c r="A1397" s="72"/>
      <c r="B1397" s="73"/>
      <c r="C1397" s="70"/>
      <c r="D1397" s="74"/>
      <c r="E1397" s="75"/>
      <c r="F1397" s="75"/>
      <c r="K1397" s="72"/>
      <c r="L1397" s="73"/>
      <c r="M1397" s="70"/>
      <c r="N1397" s="74"/>
      <c r="O1397" s="75"/>
      <c r="P1397" s="75"/>
      <c r="U1397" s="72"/>
      <c r="V1397" s="73"/>
      <c r="W1397" s="70"/>
      <c r="X1397" s="74"/>
      <c r="Y1397" s="75"/>
      <c r="Z1397" s="75"/>
    </row>
    <row r="1398" spans="1:26" x14ac:dyDescent="0.3">
      <c r="A1398" s="72"/>
      <c r="B1398" s="73"/>
      <c r="C1398" s="70"/>
      <c r="D1398" s="74"/>
      <c r="E1398" s="75"/>
      <c r="F1398" s="75"/>
      <c r="K1398" s="72"/>
      <c r="L1398" s="73"/>
      <c r="M1398" s="70"/>
      <c r="N1398" s="74"/>
      <c r="O1398" s="75"/>
      <c r="P1398" s="75"/>
      <c r="U1398" s="72"/>
      <c r="V1398" s="73"/>
      <c r="W1398" s="70"/>
      <c r="X1398" s="74"/>
      <c r="Y1398" s="75"/>
      <c r="Z1398" s="75"/>
    </row>
    <row r="1399" spans="1:26" x14ac:dyDescent="0.3">
      <c r="A1399" s="72"/>
      <c r="B1399" s="73"/>
      <c r="C1399" s="70"/>
      <c r="D1399" s="74"/>
      <c r="E1399" s="75"/>
      <c r="F1399" s="75"/>
      <c r="K1399" s="72"/>
      <c r="L1399" s="73"/>
      <c r="M1399" s="70"/>
      <c r="N1399" s="74"/>
      <c r="O1399" s="75"/>
      <c r="P1399" s="75"/>
      <c r="U1399" s="72"/>
      <c r="V1399" s="73"/>
      <c r="W1399" s="70"/>
      <c r="X1399" s="74"/>
      <c r="Y1399" s="75"/>
      <c r="Z1399" s="75"/>
    </row>
    <row r="1400" spans="1:26" x14ac:dyDescent="0.3">
      <c r="A1400" s="72"/>
      <c r="B1400" s="73"/>
      <c r="C1400" s="70"/>
      <c r="D1400" s="74"/>
      <c r="E1400" s="75"/>
      <c r="F1400" s="75"/>
      <c r="K1400" s="72"/>
      <c r="L1400" s="73"/>
      <c r="M1400" s="70"/>
      <c r="N1400" s="74"/>
      <c r="O1400" s="75"/>
      <c r="P1400" s="75"/>
      <c r="U1400" s="72"/>
      <c r="V1400" s="73"/>
      <c r="W1400" s="70"/>
      <c r="X1400" s="74"/>
      <c r="Y1400" s="75"/>
      <c r="Z1400" s="75"/>
    </row>
    <row r="1401" spans="1:26" x14ac:dyDescent="0.3">
      <c r="A1401" s="72"/>
      <c r="B1401" s="73"/>
      <c r="C1401" s="70"/>
      <c r="D1401" s="74"/>
      <c r="E1401" s="75"/>
      <c r="F1401" s="75"/>
      <c r="K1401" s="72"/>
      <c r="L1401" s="73"/>
      <c r="M1401" s="70"/>
      <c r="N1401" s="74"/>
      <c r="O1401" s="75"/>
      <c r="P1401" s="75"/>
      <c r="U1401" s="72"/>
      <c r="V1401" s="73"/>
      <c r="W1401" s="70"/>
      <c r="X1401" s="74"/>
      <c r="Y1401" s="75"/>
      <c r="Z1401" s="75"/>
    </row>
    <row r="1402" spans="1:26" x14ac:dyDescent="0.3">
      <c r="A1402" s="72"/>
      <c r="B1402" s="73"/>
      <c r="C1402" s="70"/>
      <c r="D1402" s="74"/>
      <c r="E1402" s="75"/>
      <c r="F1402" s="75"/>
      <c r="K1402" s="72"/>
      <c r="L1402" s="73"/>
      <c r="M1402" s="70"/>
      <c r="N1402" s="74"/>
      <c r="O1402" s="75"/>
      <c r="P1402" s="75"/>
      <c r="U1402" s="72"/>
      <c r="V1402" s="73"/>
      <c r="W1402" s="70"/>
      <c r="X1402" s="74"/>
      <c r="Y1402" s="75"/>
      <c r="Z1402" s="75"/>
    </row>
    <row r="1403" spans="1:26" x14ac:dyDescent="0.3">
      <c r="A1403" s="72"/>
      <c r="B1403" s="73"/>
      <c r="C1403" s="70"/>
      <c r="D1403" s="74"/>
      <c r="E1403" s="75"/>
      <c r="F1403" s="75"/>
      <c r="K1403" s="72"/>
      <c r="L1403" s="73"/>
      <c r="M1403" s="70"/>
      <c r="N1403" s="74"/>
      <c r="O1403" s="75"/>
      <c r="P1403" s="75"/>
      <c r="U1403" s="72"/>
      <c r="V1403" s="73"/>
      <c r="W1403" s="70"/>
      <c r="X1403" s="74"/>
      <c r="Y1403" s="75"/>
      <c r="Z1403" s="75"/>
    </row>
    <row r="1404" spans="1:26" x14ac:dyDescent="0.3">
      <c r="A1404" s="72"/>
      <c r="B1404" s="73"/>
      <c r="C1404" s="70"/>
      <c r="D1404" s="74"/>
      <c r="E1404" s="75"/>
      <c r="F1404" s="75"/>
      <c r="K1404" s="72"/>
      <c r="L1404" s="73"/>
      <c r="M1404" s="70"/>
      <c r="N1404" s="74"/>
      <c r="O1404" s="75"/>
      <c r="P1404" s="75"/>
      <c r="U1404" s="72"/>
      <c r="V1404" s="73"/>
      <c r="W1404" s="70"/>
      <c r="X1404" s="74"/>
      <c r="Y1404" s="75"/>
      <c r="Z1404" s="75"/>
    </row>
    <row r="1405" spans="1:26" x14ac:dyDescent="0.3">
      <c r="A1405" s="72"/>
      <c r="B1405" s="73"/>
      <c r="C1405" s="70"/>
      <c r="D1405" s="74"/>
      <c r="E1405" s="75"/>
      <c r="F1405" s="75"/>
      <c r="K1405" s="72"/>
      <c r="L1405" s="73"/>
      <c r="M1405" s="70"/>
      <c r="N1405" s="74"/>
      <c r="O1405" s="75"/>
      <c r="P1405" s="75"/>
      <c r="U1405" s="72"/>
      <c r="V1405" s="73"/>
      <c r="W1405" s="70"/>
      <c r="X1405" s="74"/>
      <c r="Y1405" s="75"/>
      <c r="Z1405" s="75"/>
    </row>
    <row r="1406" spans="1:26" x14ac:dyDescent="0.3">
      <c r="A1406" s="72"/>
      <c r="B1406" s="73"/>
      <c r="C1406" s="70"/>
      <c r="D1406" s="74"/>
      <c r="E1406" s="75"/>
      <c r="F1406" s="75"/>
      <c r="K1406" s="72"/>
      <c r="L1406" s="73"/>
      <c r="M1406" s="70"/>
      <c r="N1406" s="74"/>
      <c r="O1406" s="75"/>
      <c r="P1406" s="75"/>
      <c r="U1406" s="72"/>
      <c r="V1406" s="73"/>
      <c r="W1406" s="70"/>
      <c r="X1406" s="74"/>
      <c r="Y1406" s="75"/>
      <c r="Z1406" s="75"/>
    </row>
    <row r="1407" spans="1:26" x14ac:dyDescent="0.3">
      <c r="A1407" s="72"/>
      <c r="B1407" s="73"/>
      <c r="C1407" s="70"/>
      <c r="D1407" s="74"/>
      <c r="E1407" s="75"/>
      <c r="F1407" s="75"/>
      <c r="K1407" s="72"/>
      <c r="L1407" s="73"/>
      <c r="M1407" s="70"/>
      <c r="N1407" s="74"/>
      <c r="O1407" s="75"/>
      <c r="P1407" s="75"/>
      <c r="U1407" s="72"/>
      <c r="V1407" s="73"/>
      <c r="W1407" s="70"/>
      <c r="X1407" s="74"/>
      <c r="Y1407" s="75"/>
      <c r="Z1407" s="75"/>
    </row>
    <row r="1408" spans="1:26" x14ac:dyDescent="0.3">
      <c r="A1408" s="72"/>
      <c r="B1408" s="73"/>
      <c r="C1408" s="70"/>
      <c r="D1408" s="74"/>
      <c r="E1408" s="75"/>
      <c r="F1408" s="75"/>
      <c r="K1408" s="72"/>
      <c r="L1408" s="73"/>
      <c r="M1408" s="70"/>
      <c r="N1408" s="74"/>
      <c r="O1408" s="75"/>
      <c r="P1408" s="75"/>
      <c r="U1408" s="72"/>
      <c r="V1408" s="73"/>
      <c r="W1408" s="70"/>
      <c r="X1408" s="74"/>
      <c r="Y1408" s="75"/>
      <c r="Z1408" s="75"/>
    </row>
    <row r="1409" spans="1:26" x14ac:dyDescent="0.3">
      <c r="A1409" s="72"/>
      <c r="B1409" s="73"/>
      <c r="C1409" s="70"/>
      <c r="D1409" s="74"/>
      <c r="E1409" s="75"/>
      <c r="F1409" s="75"/>
      <c r="K1409" s="72"/>
      <c r="L1409" s="73"/>
      <c r="M1409" s="70"/>
      <c r="N1409" s="74"/>
      <c r="O1409" s="75"/>
      <c r="P1409" s="75"/>
      <c r="U1409" s="72"/>
      <c r="V1409" s="73"/>
      <c r="W1409" s="70"/>
      <c r="X1409" s="74"/>
      <c r="Y1409" s="75"/>
      <c r="Z1409" s="75"/>
    </row>
    <row r="1410" spans="1:26" x14ac:dyDescent="0.3">
      <c r="A1410" s="72"/>
      <c r="B1410" s="73"/>
      <c r="C1410" s="70"/>
      <c r="D1410" s="74"/>
      <c r="E1410" s="75"/>
      <c r="F1410" s="75"/>
      <c r="K1410" s="72"/>
      <c r="L1410" s="73"/>
      <c r="M1410" s="70"/>
      <c r="N1410" s="74"/>
      <c r="O1410" s="75"/>
      <c r="P1410" s="75"/>
      <c r="U1410" s="72"/>
      <c r="V1410" s="73"/>
      <c r="W1410" s="70"/>
      <c r="X1410" s="74"/>
      <c r="Y1410" s="75"/>
      <c r="Z1410" s="75"/>
    </row>
    <row r="1411" spans="1:26" x14ac:dyDescent="0.3">
      <c r="A1411" s="72"/>
      <c r="B1411" s="73"/>
      <c r="C1411" s="70"/>
      <c r="D1411" s="74"/>
      <c r="E1411" s="75"/>
      <c r="F1411" s="75"/>
      <c r="K1411" s="72"/>
      <c r="L1411" s="73"/>
      <c r="M1411" s="70"/>
      <c r="N1411" s="74"/>
      <c r="O1411" s="75"/>
      <c r="P1411" s="75"/>
      <c r="U1411" s="72"/>
      <c r="V1411" s="73"/>
      <c r="W1411" s="70"/>
      <c r="X1411" s="74"/>
      <c r="Y1411" s="75"/>
      <c r="Z1411" s="75"/>
    </row>
    <row r="1412" spans="1:26" x14ac:dyDescent="0.3">
      <c r="A1412" s="72"/>
      <c r="B1412" s="73"/>
      <c r="C1412" s="70"/>
      <c r="D1412" s="74"/>
      <c r="E1412" s="75"/>
      <c r="F1412" s="75"/>
      <c r="K1412" s="72"/>
      <c r="L1412" s="73"/>
      <c r="M1412" s="70"/>
      <c r="N1412" s="74"/>
      <c r="O1412" s="75"/>
      <c r="P1412" s="75"/>
      <c r="U1412" s="72"/>
      <c r="V1412" s="73"/>
      <c r="W1412" s="70"/>
      <c r="X1412" s="74"/>
      <c r="Y1412" s="75"/>
      <c r="Z1412" s="75"/>
    </row>
    <row r="1413" spans="1:26" x14ac:dyDescent="0.3">
      <c r="A1413" s="72"/>
      <c r="B1413" s="73"/>
      <c r="C1413" s="70"/>
      <c r="D1413" s="74"/>
      <c r="E1413" s="75"/>
      <c r="F1413" s="75"/>
      <c r="K1413" s="72"/>
      <c r="L1413" s="73"/>
      <c r="M1413" s="70"/>
      <c r="N1413" s="74"/>
      <c r="O1413" s="75"/>
      <c r="P1413" s="75"/>
      <c r="U1413" s="72"/>
      <c r="V1413" s="73"/>
      <c r="W1413" s="70"/>
      <c r="X1413" s="74"/>
      <c r="Y1413" s="75"/>
      <c r="Z1413" s="75"/>
    </row>
    <row r="1414" spans="1:26" x14ac:dyDescent="0.3">
      <c r="A1414" s="72"/>
      <c r="B1414" s="73"/>
      <c r="C1414" s="70"/>
      <c r="D1414" s="74"/>
      <c r="E1414" s="75"/>
      <c r="F1414" s="75"/>
      <c r="K1414" s="72"/>
      <c r="L1414" s="73"/>
      <c r="M1414" s="70"/>
      <c r="N1414" s="74"/>
      <c r="O1414" s="75"/>
      <c r="P1414" s="75"/>
      <c r="U1414" s="72"/>
      <c r="V1414" s="73"/>
      <c r="W1414" s="70"/>
      <c r="X1414" s="74"/>
      <c r="Y1414" s="75"/>
      <c r="Z1414" s="75"/>
    </row>
    <row r="1415" spans="1:26" x14ac:dyDescent="0.3">
      <c r="A1415" s="72"/>
      <c r="B1415" s="73"/>
      <c r="C1415" s="70"/>
      <c r="D1415" s="74"/>
      <c r="E1415" s="75"/>
      <c r="F1415" s="75"/>
      <c r="K1415" s="72"/>
      <c r="L1415" s="73"/>
      <c r="M1415" s="70"/>
      <c r="N1415" s="74"/>
      <c r="O1415" s="75"/>
      <c r="P1415" s="75"/>
      <c r="U1415" s="72"/>
      <c r="V1415" s="73"/>
      <c r="W1415" s="70"/>
      <c r="X1415" s="74"/>
      <c r="Y1415" s="75"/>
      <c r="Z1415" s="75"/>
    </row>
    <row r="1416" spans="1:26" x14ac:dyDescent="0.3">
      <c r="A1416" s="72"/>
      <c r="B1416" s="73"/>
      <c r="C1416" s="70"/>
      <c r="D1416" s="74"/>
      <c r="E1416" s="75"/>
      <c r="F1416" s="75"/>
      <c r="K1416" s="72"/>
      <c r="L1416" s="73"/>
      <c r="M1416" s="70"/>
      <c r="N1416" s="74"/>
      <c r="O1416" s="75"/>
      <c r="P1416" s="75"/>
      <c r="U1416" s="72"/>
      <c r="V1416" s="73"/>
      <c r="W1416" s="70"/>
      <c r="X1416" s="74"/>
      <c r="Y1416" s="75"/>
      <c r="Z1416" s="75"/>
    </row>
    <row r="1417" spans="1:26" x14ac:dyDescent="0.3">
      <c r="A1417" s="72"/>
      <c r="B1417" s="73"/>
      <c r="C1417" s="70"/>
      <c r="D1417" s="74"/>
      <c r="E1417" s="75"/>
      <c r="F1417" s="75"/>
      <c r="K1417" s="72"/>
      <c r="L1417" s="73"/>
      <c r="M1417" s="70"/>
      <c r="N1417" s="74"/>
      <c r="O1417" s="75"/>
      <c r="P1417" s="75"/>
      <c r="U1417" s="72"/>
      <c r="V1417" s="73"/>
      <c r="W1417" s="70"/>
      <c r="X1417" s="74"/>
      <c r="Y1417" s="75"/>
      <c r="Z1417" s="75"/>
    </row>
    <row r="1418" spans="1:26" x14ac:dyDescent="0.3">
      <c r="A1418" s="72"/>
      <c r="B1418" s="73"/>
      <c r="C1418" s="70"/>
      <c r="D1418" s="74"/>
      <c r="E1418" s="75"/>
      <c r="F1418" s="75"/>
      <c r="K1418" s="72"/>
      <c r="L1418" s="73"/>
      <c r="M1418" s="70"/>
      <c r="N1418" s="74"/>
      <c r="O1418" s="75"/>
      <c r="P1418" s="75"/>
      <c r="U1418" s="72"/>
      <c r="V1418" s="73"/>
      <c r="W1418" s="70"/>
      <c r="X1418" s="74"/>
      <c r="Y1418" s="75"/>
      <c r="Z1418" s="75"/>
    </row>
    <row r="1419" spans="1:26" x14ac:dyDescent="0.3">
      <c r="A1419" s="72"/>
      <c r="B1419" s="73"/>
      <c r="C1419" s="70"/>
      <c r="D1419" s="74"/>
      <c r="E1419" s="75"/>
      <c r="F1419" s="75"/>
      <c r="K1419" s="72"/>
      <c r="L1419" s="73"/>
      <c r="M1419" s="70"/>
      <c r="N1419" s="74"/>
      <c r="O1419" s="75"/>
      <c r="P1419" s="75"/>
      <c r="U1419" s="72"/>
      <c r="V1419" s="73"/>
      <c r="W1419" s="70"/>
      <c r="X1419" s="74"/>
      <c r="Y1419" s="75"/>
      <c r="Z1419" s="75"/>
    </row>
    <row r="1420" spans="1:26" x14ac:dyDescent="0.3">
      <c r="A1420" s="72"/>
      <c r="B1420" s="73"/>
      <c r="C1420" s="70"/>
      <c r="D1420" s="74"/>
      <c r="E1420" s="75"/>
      <c r="F1420" s="75"/>
      <c r="K1420" s="72"/>
      <c r="L1420" s="73"/>
      <c r="M1420" s="70"/>
      <c r="N1420" s="74"/>
      <c r="O1420" s="75"/>
      <c r="P1420" s="75"/>
      <c r="U1420" s="72"/>
      <c r="V1420" s="73"/>
      <c r="W1420" s="70"/>
      <c r="X1420" s="74"/>
      <c r="Y1420" s="75"/>
      <c r="Z1420" s="75"/>
    </row>
    <row r="1421" spans="1:26" x14ac:dyDescent="0.3">
      <c r="A1421" s="72"/>
      <c r="B1421" s="73"/>
      <c r="C1421" s="70"/>
      <c r="D1421" s="74"/>
      <c r="E1421" s="75"/>
      <c r="F1421" s="75"/>
      <c r="K1421" s="72"/>
      <c r="L1421" s="73"/>
      <c r="M1421" s="70"/>
      <c r="N1421" s="74"/>
      <c r="O1421" s="75"/>
      <c r="P1421" s="75"/>
      <c r="U1421" s="72"/>
      <c r="V1421" s="73"/>
      <c r="W1421" s="70"/>
      <c r="X1421" s="74"/>
      <c r="Y1421" s="75"/>
      <c r="Z1421" s="75"/>
    </row>
    <row r="1422" spans="1:26" x14ac:dyDescent="0.3">
      <c r="A1422" s="72"/>
      <c r="B1422" s="73"/>
      <c r="C1422" s="70"/>
      <c r="D1422" s="74"/>
      <c r="E1422" s="75"/>
      <c r="F1422" s="75"/>
      <c r="K1422" s="72"/>
      <c r="L1422" s="73"/>
      <c r="M1422" s="70"/>
      <c r="N1422" s="74"/>
      <c r="O1422" s="75"/>
      <c r="P1422" s="75"/>
      <c r="U1422" s="72"/>
      <c r="V1422" s="73"/>
      <c r="W1422" s="70"/>
      <c r="X1422" s="74"/>
      <c r="Y1422" s="75"/>
      <c r="Z1422" s="75"/>
    </row>
    <row r="1423" spans="1:26" x14ac:dyDescent="0.3">
      <c r="A1423" s="72"/>
      <c r="B1423" s="73"/>
      <c r="C1423" s="70"/>
      <c r="D1423" s="74"/>
      <c r="E1423" s="75"/>
      <c r="F1423" s="75"/>
      <c r="K1423" s="72"/>
      <c r="L1423" s="73"/>
      <c r="M1423" s="70"/>
      <c r="N1423" s="74"/>
      <c r="O1423" s="75"/>
      <c r="P1423" s="75"/>
      <c r="U1423" s="72"/>
      <c r="V1423" s="73"/>
      <c r="W1423" s="70"/>
      <c r="X1423" s="74"/>
      <c r="Y1423" s="75"/>
      <c r="Z1423" s="75"/>
    </row>
    <row r="1424" spans="1:26" x14ac:dyDescent="0.3">
      <c r="A1424" s="72"/>
      <c r="B1424" s="73"/>
      <c r="C1424" s="70"/>
      <c r="D1424" s="74"/>
      <c r="E1424" s="75"/>
      <c r="F1424" s="75"/>
      <c r="K1424" s="72"/>
      <c r="L1424" s="73"/>
      <c r="M1424" s="70"/>
      <c r="N1424" s="74"/>
      <c r="O1424" s="75"/>
      <c r="P1424" s="75"/>
      <c r="U1424" s="72"/>
      <c r="V1424" s="73"/>
      <c r="W1424" s="70"/>
      <c r="X1424" s="74"/>
      <c r="Y1424" s="75"/>
      <c r="Z1424" s="75"/>
    </row>
    <row r="1425" spans="1:26" x14ac:dyDescent="0.3">
      <c r="A1425" s="72"/>
      <c r="B1425" s="73"/>
      <c r="C1425" s="70"/>
      <c r="D1425" s="74"/>
      <c r="E1425" s="75"/>
      <c r="F1425" s="75"/>
      <c r="K1425" s="72"/>
      <c r="L1425" s="73"/>
      <c r="M1425" s="70"/>
      <c r="N1425" s="74"/>
      <c r="O1425" s="75"/>
      <c r="P1425" s="75"/>
      <c r="U1425" s="72"/>
      <c r="V1425" s="73"/>
      <c r="W1425" s="70"/>
      <c r="X1425" s="74"/>
      <c r="Y1425" s="75"/>
      <c r="Z1425" s="75"/>
    </row>
    <row r="1426" spans="1:26" x14ac:dyDescent="0.3">
      <c r="A1426" s="72"/>
      <c r="B1426" s="73"/>
      <c r="C1426" s="70"/>
      <c r="D1426" s="74"/>
      <c r="E1426" s="75"/>
      <c r="F1426" s="75"/>
      <c r="K1426" s="72"/>
      <c r="L1426" s="73"/>
      <c r="M1426" s="70"/>
      <c r="N1426" s="74"/>
      <c r="O1426" s="75"/>
      <c r="P1426" s="75"/>
      <c r="U1426" s="72"/>
      <c r="V1426" s="73"/>
      <c r="W1426" s="70"/>
      <c r="X1426" s="74"/>
      <c r="Y1426" s="75"/>
      <c r="Z1426" s="75"/>
    </row>
    <row r="1427" spans="1:26" x14ac:dyDescent="0.3">
      <c r="A1427" s="72"/>
      <c r="B1427" s="73"/>
      <c r="C1427" s="70"/>
      <c r="D1427" s="74"/>
      <c r="E1427" s="75"/>
      <c r="F1427" s="75"/>
      <c r="K1427" s="72"/>
      <c r="L1427" s="73"/>
      <c r="M1427" s="70"/>
      <c r="N1427" s="74"/>
      <c r="O1427" s="75"/>
      <c r="P1427" s="75"/>
      <c r="U1427" s="72"/>
      <c r="V1427" s="73"/>
      <c r="W1427" s="70"/>
      <c r="X1427" s="74"/>
      <c r="Y1427" s="75"/>
      <c r="Z1427" s="75"/>
    </row>
    <row r="1428" spans="1:26" x14ac:dyDescent="0.3">
      <c r="A1428" s="72"/>
      <c r="B1428" s="73"/>
      <c r="C1428" s="70"/>
      <c r="D1428" s="74"/>
      <c r="E1428" s="75"/>
      <c r="F1428" s="75"/>
      <c r="K1428" s="72"/>
      <c r="L1428" s="73"/>
      <c r="M1428" s="70"/>
      <c r="N1428" s="74"/>
      <c r="O1428" s="75"/>
      <c r="P1428" s="75"/>
      <c r="U1428" s="72"/>
      <c r="V1428" s="73"/>
      <c r="W1428" s="70"/>
      <c r="X1428" s="74"/>
      <c r="Y1428" s="75"/>
      <c r="Z1428" s="75"/>
    </row>
    <row r="1429" spans="1:26" x14ac:dyDescent="0.3">
      <c r="A1429" s="72"/>
      <c r="B1429" s="73"/>
      <c r="C1429" s="70"/>
      <c r="D1429" s="74"/>
      <c r="E1429" s="75"/>
      <c r="F1429" s="75"/>
      <c r="K1429" s="72"/>
      <c r="L1429" s="73"/>
      <c r="M1429" s="70"/>
      <c r="N1429" s="74"/>
      <c r="O1429" s="75"/>
      <c r="P1429" s="75"/>
      <c r="U1429" s="72"/>
      <c r="V1429" s="73"/>
      <c r="W1429" s="70"/>
      <c r="X1429" s="74"/>
      <c r="Y1429" s="75"/>
      <c r="Z1429" s="75"/>
    </row>
    <row r="1430" spans="1:26" x14ac:dyDescent="0.3">
      <c r="A1430" s="72"/>
      <c r="B1430" s="73"/>
      <c r="C1430" s="70"/>
      <c r="D1430" s="74"/>
      <c r="E1430" s="75"/>
      <c r="F1430" s="75"/>
      <c r="K1430" s="72"/>
      <c r="L1430" s="73"/>
      <c r="M1430" s="70"/>
      <c r="N1430" s="74"/>
      <c r="O1430" s="75"/>
      <c r="P1430" s="75"/>
      <c r="U1430" s="72"/>
      <c r="V1430" s="73"/>
      <c r="W1430" s="70"/>
      <c r="X1430" s="74"/>
      <c r="Y1430" s="75"/>
      <c r="Z1430" s="75"/>
    </row>
    <row r="1431" spans="1:26" x14ac:dyDescent="0.3">
      <c r="A1431" s="72"/>
      <c r="B1431" s="73"/>
      <c r="C1431" s="70"/>
      <c r="D1431" s="74"/>
      <c r="E1431" s="75"/>
      <c r="F1431" s="75"/>
      <c r="K1431" s="72"/>
      <c r="L1431" s="73"/>
      <c r="M1431" s="70"/>
      <c r="N1431" s="74"/>
      <c r="O1431" s="75"/>
      <c r="P1431" s="75"/>
      <c r="U1431" s="72"/>
      <c r="V1431" s="73"/>
      <c r="W1431" s="70"/>
      <c r="X1431" s="74"/>
      <c r="Y1431" s="75"/>
      <c r="Z1431" s="75"/>
    </row>
    <row r="1432" spans="1:26" x14ac:dyDescent="0.3">
      <c r="A1432" s="72"/>
      <c r="B1432" s="73"/>
      <c r="C1432" s="70"/>
      <c r="D1432" s="74"/>
      <c r="E1432" s="75"/>
      <c r="F1432" s="75"/>
      <c r="K1432" s="72"/>
      <c r="L1432" s="73"/>
      <c r="M1432" s="70"/>
      <c r="N1432" s="74"/>
      <c r="O1432" s="75"/>
      <c r="P1432" s="75"/>
      <c r="U1432" s="72"/>
      <c r="V1432" s="73"/>
      <c r="W1432" s="70"/>
      <c r="X1432" s="74"/>
      <c r="Y1432" s="75"/>
      <c r="Z1432" s="75"/>
    </row>
    <row r="1433" spans="1:26" x14ac:dyDescent="0.3">
      <c r="A1433" s="72"/>
      <c r="B1433" s="73"/>
      <c r="C1433" s="70"/>
      <c r="D1433" s="74"/>
      <c r="E1433" s="75"/>
      <c r="F1433" s="75"/>
      <c r="K1433" s="72"/>
      <c r="L1433" s="73"/>
      <c r="M1433" s="70"/>
      <c r="N1433" s="74"/>
      <c r="O1433" s="75"/>
      <c r="P1433" s="75"/>
      <c r="U1433" s="72"/>
      <c r="V1433" s="73"/>
      <c r="W1433" s="70"/>
      <c r="X1433" s="74"/>
      <c r="Y1433" s="75"/>
      <c r="Z1433" s="75"/>
    </row>
    <row r="1434" spans="1:26" x14ac:dyDescent="0.3">
      <c r="A1434" s="72"/>
      <c r="B1434" s="73"/>
      <c r="C1434" s="70"/>
      <c r="D1434" s="74"/>
      <c r="E1434" s="75"/>
      <c r="F1434" s="75"/>
      <c r="K1434" s="72"/>
      <c r="L1434" s="73"/>
      <c r="M1434" s="70"/>
      <c r="N1434" s="74"/>
      <c r="O1434" s="75"/>
      <c r="P1434" s="75"/>
      <c r="U1434" s="72"/>
      <c r="V1434" s="73"/>
      <c r="W1434" s="70"/>
      <c r="X1434" s="74"/>
      <c r="Y1434" s="75"/>
      <c r="Z1434" s="75"/>
    </row>
    <row r="1435" spans="1:26" x14ac:dyDescent="0.3">
      <c r="A1435" s="72"/>
      <c r="B1435" s="73"/>
      <c r="C1435" s="70"/>
      <c r="D1435" s="74"/>
      <c r="E1435" s="75"/>
      <c r="F1435" s="75"/>
      <c r="K1435" s="72"/>
      <c r="L1435" s="73"/>
      <c r="M1435" s="70"/>
      <c r="N1435" s="74"/>
      <c r="O1435" s="75"/>
      <c r="P1435" s="75"/>
      <c r="U1435" s="72"/>
      <c r="V1435" s="73"/>
      <c r="W1435" s="70"/>
      <c r="X1435" s="74"/>
      <c r="Y1435" s="75"/>
      <c r="Z1435" s="75"/>
    </row>
    <row r="1436" spans="1:26" x14ac:dyDescent="0.3">
      <c r="A1436" s="72"/>
      <c r="B1436" s="73"/>
      <c r="C1436" s="70"/>
      <c r="D1436" s="74"/>
      <c r="E1436" s="75"/>
      <c r="F1436" s="75"/>
      <c r="K1436" s="72"/>
      <c r="L1436" s="73"/>
      <c r="M1436" s="70"/>
      <c r="N1436" s="74"/>
      <c r="O1436" s="75"/>
      <c r="P1436" s="75"/>
      <c r="U1436" s="72"/>
      <c r="V1436" s="73"/>
      <c r="W1436" s="70"/>
      <c r="X1436" s="74"/>
      <c r="Y1436" s="75"/>
      <c r="Z1436" s="75"/>
    </row>
    <row r="1437" spans="1:26" x14ac:dyDescent="0.3">
      <c r="A1437" s="72"/>
      <c r="B1437" s="73"/>
      <c r="C1437" s="70"/>
      <c r="D1437" s="74"/>
      <c r="E1437" s="75"/>
      <c r="F1437" s="75"/>
      <c r="K1437" s="72"/>
      <c r="L1437" s="73"/>
      <c r="M1437" s="70"/>
      <c r="N1437" s="74"/>
      <c r="O1437" s="75"/>
      <c r="P1437" s="75"/>
      <c r="U1437" s="72"/>
      <c r="V1437" s="73"/>
      <c r="W1437" s="70"/>
      <c r="X1437" s="74"/>
      <c r="Y1437" s="75"/>
      <c r="Z1437" s="75"/>
    </row>
    <row r="1438" spans="1:26" x14ac:dyDescent="0.3">
      <c r="A1438" s="72"/>
      <c r="B1438" s="73"/>
      <c r="C1438" s="70"/>
      <c r="D1438" s="74"/>
      <c r="E1438" s="75"/>
      <c r="F1438" s="75"/>
      <c r="K1438" s="72"/>
      <c r="L1438" s="73"/>
      <c r="M1438" s="70"/>
      <c r="N1438" s="74"/>
      <c r="O1438" s="75"/>
      <c r="P1438" s="75"/>
      <c r="U1438" s="72"/>
      <c r="V1438" s="73"/>
      <c r="W1438" s="70"/>
      <c r="X1438" s="74"/>
      <c r="Y1438" s="75"/>
      <c r="Z1438" s="75"/>
    </row>
    <row r="1439" spans="1:26" x14ac:dyDescent="0.3">
      <c r="A1439" s="72"/>
      <c r="B1439" s="73"/>
      <c r="C1439" s="70"/>
      <c r="D1439" s="74"/>
      <c r="E1439" s="75"/>
      <c r="F1439" s="75"/>
      <c r="K1439" s="72"/>
      <c r="L1439" s="73"/>
      <c r="M1439" s="70"/>
      <c r="N1439" s="74"/>
      <c r="O1439" s="75"/>
      <c r="P1439" s="75"/>
      <c r="U1439" s="72"/>
      <c r="V1439" s="73"/>
      <c r="W1439" s="70"/>
      <c r="X1439" s="74"/>
      <c r="Y1439" s="75"/>
      <c r="Z1439" s="75"/>
    </row>
    <row r="1440" spans="1:26" x14ac:dyDescent="0.3">
      <c r="A1440" s="72"/>
      <c r="B1440" s="73"/>
      <c r="C1440" s="70"/>
      <c r="D1440" s="74"/>
      <c r="E1440" s="75"/>
      <c r="F1440" s="75"/>
      <c r="K1440" s="72"/>
      <c r="L1440" s="73"/>
      <c r="M1440" s="70"/>
      <c r="N1440" s="74"/>
      <c r="O1440" s="75"/>
      <c r="P1440" s="75"/>
      <c r="U1440" s="72"/>
      <c r="V1440" s="73"/>
      <c r="W1440" s="70"/>
      <c r="X1440" s="74"/>
      <c r="Y1440" s="75"/>
      <c r="Z1440" s="75"/>
    </row>
    <row r="1441" spans="1:26" x14ac:dyDescent="0.3">
      <c r="A1441" s="72"/>
      <c r="B1441" s="73"/>
      <c r="C1441" s="70"/>
      <c r="D1441" s="74"/>
      <c r="E1441" s="75"/>
      <c r="F1441" s="75"/>
      <c r="K1441" s="72"/>
      <c r="L1441" s="73"/>
      <c r="M1441" s="70"/>
      <c r="N1441" s="74"/>
      <c r="O1441" s="75"/>
      <c r="P1441" s="75"/>
      <c r="U1441" s="72"/>
      <c r="V1441" s="73"/>
      <c r="W1441" s="70"/>
      <c r="X1441" s="74"/>
      <c r="Y1441" s="75"/>
      <c r="Z1441" s="75"/>
    </row>
    <row r="1442" spans="1:26" x14ac:dyDescent="0.3">
      <c r="A1442" s="72"/>
      <c r="B1442" s="73"/>
      <c r="C1442" s="70"/>
      <c r="D1442" s="74"/>
      <c r="E1442" s="75"/>
      <c r="F1442" s="75"/>
      <c r="K1442" s="72"/>
      <c r="L1442" s="73"/>
      <c r="M1442" s="70"/>
      <c r="N1442" s="74"/>
      <c r="O1442" s="75"/>
      <c r="P1442" s="75"/>
      <c r="U1442" s="72"/>
      <c r="V1442" s="73"/>
      <c r="W1442" s="70"/>
      <c r="X1442" s="74"/>
      <c r="Y1442" s="75"/>
      <c r="Z1442" s="75"/>
    </row>
    <row r="1443" spans="1:26" x14ac:dyDescent="0.3">
      <c r="A1443" s="72"/>
      <c r="B1443" s="73"/>
      <c r="C1443" s="70"/>
      <c r="D1443" s="74"/>
      <c r="E1443" s="75"/>
      <c r="F1443" s="75"/>
      <c r="K1443" s="72"/>
      <c r="L1443" s="73"/>
      <c r="M1443" s="70"/>
      <c r="N1443" s="74"/>
      <c r="O1443" s="75"/>
      <c r="P1443" s="75"/>
      <c r="U1443" s="72"/>
      <c r="V1443" s="73"/>
      <c r="W1443" s="70"/>
      <c r="X1443" s="74"/>
      <c r="Y1443" s="75"/>
      <c r="Z1443" s="75"/>
    </row>
    <row r="1444" spans="1:26" x14ac:dyDescent="0.3">
      <c r="A1444" s="72"/>
      <c r="B1444" s="73"/>
      <c r="C1444" s="70"/>
      <c r="D1444" s="74"/>
      <c r="E1444" s="75"/>
      <c r="F1444" s="75"/>
      <c r="K1444" s="72"/>
      <c r="L1444" s="73"/>
      <c r="M1444" s="70"/>
      <c r="N1444" s="74"/>
      <c r="O1444" s="75"/>
      <c r="P1444" s="75"/>
      <c r="U1444" s="72"/>
      <c r="V1444" s="73"/>
      <c r="W1444" s="70"/>
      <c r="X1444" s="74"/>
      <c r="Y1444" s="75"/>
      <c r="Z1444" s="75"/>
    </row>
    <row r="1445" spans="1:26" x14ac:dyDescent="0.3">
      <c r="A1445" s="72"/>
      <c r="B1445" s="73"/>
      <c r="C1445" s="70"/>
      <c r="D1445" s="74"/>
      <c r="E1445" s="75"/>
      <c r="F1445" s="75"/>
      <c r="K1445" s="72"/>
      <c r="L1445" s="73"/>
      <c r="M1445" s="70"/>
      <c r="N1445" s="74"/>
      <c r="O1445" s="75"/>
      <c r="P1445" s="75"/>
      <c r="U1445" s="72"/>
      <c r="V1445" s="73"/>
      <c r="W1445" s="70"/>
      <c r="X1445" s="74"/>
      <c r="Y1445" s="75"/>
      <c r="Z1445" s="75"/>
    </row>
    <row r="1446" spans="1:26" x14ac:dyDescent="0.3">
      <c r="A1446" s="72"/>
      <c r="B1446" s="73"/>
      <c r="C1446" s="70"/>
      <c r="D1446" s="74"/>
      <c r="E1446" s="75"/>
      <c r="F1446" s="75"/>
      <c r="K1446" s="72"/>
      <c r="L1446" s="73"/>
      <c r="M1446" s="70"/>
      <c r="N1446" s="74"/>
      <c r="O1446" s="75"/>
      <c r="P1446" s="75"/>
      <c r="U1446" s="72"/>
      <c r="V1446" s="73"/>
      <c r="W1446" s="70"/>
      <c r="X1446" s="74"/>
      <c r="Y1446" s="75"/>
      <c r="Z1446" s="75"/>
    </row>
    <row r="1447" spans="1:26" x14ac:dyDescent="0.3">
      <c r="A1447" s="72"/>
      <c r="B1447" s="73"/>
      <c r="C1447" s="70"/>
      <c r="D1447" s="74"/>
      <c r="E1447" s="75"/>
      <c r="F1447" s="75"/>
      <c r="K1447" s="72"/>
      <c r="L1447" s="73"/>
      <c r="M1447" s="70"/>
      <c r="N1447" s="74"/>
      <c r="O1447" s="75"/>
      <c r="P1447" s="75"/>
      <c r="U1447" s="72"/>
      <c r="V1447" s="73"/>
      <c r="W1447" s="70"/>
      <c r="X1447" s="74"/>
      <c r="Y1447" s="75"/>
      <c r="Z1447" s="75"/>
    </row>
    <row r="1448" spans="1:26" x14ac:dyDescent="0.3">
      <c r="A1448" s="72"/>
      <c r="B1448" s="73"/>
      <c r="C1448" s="70"/>
      <c r="D1448" s="74"/>
      <c r="E1448" s="75"/>
      <c r="F1448" s="75"/>
      <c r="K1448" s="72"/>
      <c r="L1448" s="73"/>
      <c r="M1448" s="70"/>
      <c r="N1448" s="74"/>
      <c r="O1448" s="75"/>
      <c r="P1448" s="75"/>
      <c r="U1448" s="72"/>
      <c r="V1448" s="73"/>
      <c r="W1448" s="70"/>
      <c r="X1448" s="74"/>
      <c r="Y1448" s="75"/>
      <c r="Z1448" s="75"/>
    </row>
    <row r="1449" spans="1:26" x14ac:dyDescent="0.3">
      <c r="A1449" s="72"/>
      <c r="B1449" s="73"/>
      <c r="C1449" s="70"/>
      <c r="D1449" s="74"/>
      <c r="E1449" s="75"/>
      <c r="F1449" s="75"/>
      <c r="K1449" s="72"/>
      <c r="L1449" s="73"/>
      <c r="M1449" s="70"/>
      <c r="N1449" s="74"/>
      <c r="O1449" s="75"/>
      <c r="P1449" s="75"/>
      <c r="U1449" s="72"/>
      <c r="V1449" s="73"/>
      <c r="W1449" s="70"/>
      <c r="X1449" s="74"/>
      <c r="Y1449" s="75"/>
      <c r="Z1449" s="75"/>
    </row>
    <row r="1450" spans="1:26" x14ac:dyDescent="0.3">
      <c r="A1450" s="72"/>
      <c r="B1450" s="73"/>
      <c r="C1450" s="70"/>
      <c r="D1450" s="74"/>
      <c r="E1450" s="75"/>
      <c r="F1450" s="75"/>
      <c r="K1450" s="72"/>
      <c r="L1450" s="73"/>
      <c r="M1450" s="70"/>
      <c r="N1450" s="74"/>
      <c r="O1450" s="75"/>
      <c r="P1450" s="75"/>
      <c r="U1450" s="72"/>
      <c r="V1450" s="73"/>
      <c r="W1450" s="70"/>
      <c r="X1450" s="74"/>
      <c r="Y1450" s="75"/>
      <c r="Z1450" s="75"/>
    </row>
    <row r="1451" spans="1:26" x14ac:dyDescent="0.3">
      <c r="A1451" s="72"/>
      <c r="B1451" s="73"/>
      <c r="C1451" s="70"/>
      <c r="D1451" s="74"/>
      <c r="E1451" s="75"/>
      <c r="F1451" s="75"/>
      <c r="K1451" s="72"/>
      <c r="L1451" s="73"/>
      <c r="M1451" s="70"/>
      <c r="N1451" s="74"/>
      <c r="O1451" s="75"/>
      <c r="P1451" s="75"/>
      <c r="U1451" s="72"/>
      <c r="V1451" s="73"/>
      <c r="W1451" s="70"/>
      <c r="X1451" s="74"/>
      <c r="Y1451" s="75"/>
      <c r="Z1451" s="75"/>
    </row>
    <row r="1452" spans="1:26" x14ac:dyDescent="0.3">
      <c r="A1452" s="72"/>
      <c r="B1452" s="73"/>
      <c r="C1452" s="70"/>
      <c r="D1452" s="74"/>
      <c r="E1452" s="75"/>
      <c r="F1452" s="75"/>
      <c r="K1452" s="72"/>
      <c r="L1452" s="73"/>
      <c r="M1452" s="70"/>
      <c r="N1452" s="74"/>
      <c r="O1452" s="75"/>
      <c r="P1452" s="75"/>
      <c r="U1452" s="72"/>
      <c r="V1452" s="73"/>
      <c r="W1452" s="70"/>
      <c r="X1452" s="74"/>
      <c r="Y1452" s="75"/>
      <c r="Z1452" s="75"/>
    </row>
    <row r="1453" spans="1:26" x14ac:dyDescent="0.3">
      <c r="A1453" s="72"/>
      <c r="B1453" s="73"/>
      <c r="C1453" s="70"/>
      <c r="D1453" s="74"/>
      <c r="E1453" s="75"/>
      <c r="F1453" s="75"/>
      <c r="K1453" s="72"/>
      <c r="L1453" s="73"/>
      <c r="M1453" s="70"/>
      <c r="N1453" s="74"/>
      <c r="O1453" s="75"/>
      <c r="P1453" s="75"/>
      <c r="U1453" s="72"/>
      <c r="V1453" s="73"/>
      <c r="W1453" s="70"/>
      <c r="X1453" s="74"/>
      <c r="Y1453" s="75"/>
      <c r="Z1453" s="75"/>
    </row>
    <row r="1454" spans="1:26" x14ac:dyDescent="0.3">
      <c r="A1454" s="72"/>
      <c r="B1454" s="73"/>
      <c r="C1454" s="70"/>
      <c r="D1454" s="74"/>
      <c r="E1454" s="75"/>
      <c r="F1454" s="75"/>
      <c r="K1454" s="72"/>
      <c r="L1454" s="73"/>
      <c r="M1454" s="70"/>
      <c r="N1454" s="74"/>
      <c r="O1454" s="75"/>
      <c r="P1454" s="75"/>
      <c r="U1454" s="72"/>
      <c r="V1454" s="73"/>
      <c r="W1454" s="70"/>
      <c r="X1454" s="74"/>
      <c r="Y1454" s="75"/>
      <c r="Z1454" s="75"/>
    </row>
    <row r="1455" spans="1:26" x14ac:dyDescent="0.3">
      <c r="A1455" s="72"/>
      <c r="B1455" s="73"/>
      <c r="C1455" s="70"/>
      <c r="D1455" s="74"/>
      <c r="E1455" s="75"/>
      <c r="F1455" s="75"/>
      <c r="K1455" s="72"/>
      <c r="L1455" s="73"/>
      <c r="M1455" s="70"/>
      <c r="N1455" s="74"/>
      <c r="O1455" s="75"/>
      <c r="P1455" s="75"/>
      <c r="U1455" s="72"/>
      <c r="V1455" s="73"/>
      <c r="W1455" s="70"/>
      <c r="X1455" s="74"/>
      <c r="Y1455" s="75"/>
      <c r="Z1455" s="75"/>
    </row>
    <row r="1456" spans="1:26" x14ac:dyDescent="0.3">
      <c r="A1456" s="72"/>
      <c r="B1456" s="73"/>
      <c r="C1456" s="70"/>
      <c r="D1456" s="74"/>
      <c r="E1456" s="75"/>
      <c r="F1456" s="75"/>
      <c r="K1456" s="72"/>
      <c r="L1456" s="73"/>
      <c r="M1456" s="70"/>
      <c r="N1456" s="74"/>
      <c r="O1456" s="75"/>
      <c r="P1456" s="75"/>
      <c r="U1456" s="72"/>
      <c r="V1456" s="73"/>
      <c r="W1456" s="70"/>
      <c r="X1456" s="74"/>
      <c r="Y1456" s="75"/>
      <c r="Z1456" s="75"/>
    </row>
    <row r="1457" spans="1:26" x14ac:dyDescent="0.3">
      <c r="A1457" s="72"/>
      <c r="B1457" s="73"/>
      <c r="C1457" s="70"/>
      <c r="D1457" s="74"/>
      <c r="E1457" s="75"/>
      <c r="F1457" s="75"/>
      <c r="K1457" s="72"/>
      <c r="L1457" s="73"/>
      <c r="M1457" s="70"/>
      <c r="N1457" s="74"/>
      <c r="O1457" s="75"/>
      <c r="P1457" s="75"/>
      <c r="U1457" s="72"/>
      <c r="V1457" s="73"/>
      <c r="W1457" s="70"/>
      <c r="X1457" s="74"/>
      <c r="Y1457" s="75"/>
      <c r="Z1457" s="75"/>
    </row>
    <row r="1458" spans="1:26" x14ac:dyDescent="0.3">
      <c r="A1458" s="72"/>
      <c r="B1458" s="73"/>
      <c r="C1458" s="70"/>
      <c r="D1458" s="74"/>
      <c r="E1458" s="75"/>
      <c r="F1458" s="75"/>
      <c r="K1458" s="72"/>
      <c r="L1458" s="73"/>
      <c r="M1458" s="70"/>
      <c r="N1458" s="74"/>
      <c r="O1458" s="75"/>
      <c r="P1458" s="75"/>
      <c r="U1458" s="72"/>
      <c r="V1458" s="73"/>
      <c r="W1458" s="70"/>
      <c r="X1458" s="74"/>
      <c r="Y1458" s="75"/>
      <c r="Z1458" s="75"/>
    </row>
    <row r="1459" spans="1:26" x14ac:dyDescent="0.3">
      <c r="A1459" s="72"/>
      <c r="B1459" s="73"/>
      <c r="C1459" s="70"/>
      <c r="D1459" s="74"/>
      <c r="E1459" s="75"/>
      <c r="F1459" s="75"/>
      <c r="K1459" s="72"/>
      <c r="L1459" s="73"/>
      <c r="M1459" s="70"/>
      <c r="N1459" s="74"/>
      <c r="O1459" s="75"/>
      <c r="P1459" s="75"/>
      <c r="U1459" s="72"/>
      <c r="V1459" s="73"/>
      <c r="W1459" s="70"/>
      <c r="X1459" s="74"/>
      <c r="Y1459" s="75"/>
      <c r="Z1459" s="75"/>
    </row>
    <row r="1460" spans="1:26" x14ac:dyDescent="0.3">
      <c r="A1460" s="72"/>
      <c r="B1460" s="73"/>
      <c r="C1460" s="70"/>
      <c r="D1460" s="74"/>
      <c r="E1460" s="75"/>
      <c r="F1460" s="75"/>
      <c r="K1460" s="72"/>
      <c r="L1460" s="73"/>
      <c r="M1460" s="70"/>
      <c r="N1460" s="74"/>
      <c r="O1460" s="75"/>
      <c r="P1460" s="75"/>
      <c r="U1460" s="72"/>
      <c r="V1460" s="73"/>
      <c r="W1460" s="70"/>
      <c r="X1460" s="74"/>
      <c r="Y1460" s="75"/>
      <c r="Z1460" s="75"/>
    </row>
    <row r="1461" spans="1:26" x14ac:dyDescent="0.3">
      <c r="A1461" s="72"/>
      <c r="B1461" s="73"/>
      <c r="C1461" s="70"/>
      <c r="D1461" s="74"/>
      <c r="E1461" s="75"/>
      <c r="F1461" s="75"/>
      <c r="K1461" s="72"/>
      <c r="L1461" s="73"/>
      <c r="M1461" s="70"/>
      <c r="N1461" s="74"/>
      <c r="O1461" s="75"/>
      <c r="P1461" s="75"/>
      <c r="U1461" s="72"/>
      <c r="V1461" s="73"/>
      <c r="W1461" s="70"/>
      <c r="X1461" s="74"/>
      <c r="Y1461" s="75"/>
      <c r="Z1461" s="75"/>
    </row>
    <row r="1462" spans="1:26" x14ac:dyDescent="0.3">
      <c r="A1462" s="72"/>
      <c r="B1462" s="73"/>
      <c r="C1462" s="70"/>
      <c r="D1462" s="74"/>
      <c r="E1462" s="75"/>
      <c r="F1462" s="75"/>
      <c r="K1462" s="72"/>
      <c r="L1462" s="73"/>
      <c r="M1462" s="70"/>
      <c r="N1462" s="74"/>
      <c r="O1462" s="75"/>
      <c r="P1462" s="75"/>
      <c r="U1462" s="72"/>
      <c r="V1462" s="73"/>
      <c r="W1462" s="70"/>
      <c r="X1462" s="74"/>
      <c r="Y1462" s="75"/>
      <c r="Z1462" s="75"/>
    </row>
    <row r="1463" spans="1:26" x14ac:dyDescent="0.3">
      <c r="A1463" s="72"/>
      <c r="B1463" s="73"/>
      <c r="C1463" s="70"/>
      <c r="D1463" s="74"/>
      <c r="E1463" s="75"/>
      <c r="F1463" s="75"/>
      <c r="K1463" s="72"/>
      <c r="L1463" s="73"/>
      <c r="M1463" s="70"/>
      <c r="N1463" s="74"/>
      <c r="O1463" s="75"/>
      <c r="P1463" s="75"/>
      <c r="U1463" s="72"/>
      <c r="V1463" s="73"/>
      <c r="W1463" s="70"/>
      <c r="X1463" s="74"/>
      <c r="Y1463" s="75"/>
      <c r="Z1463" s="75"/>
    </row>
    <row r="1464" spans="1:26" x14ac:dyDescent="0.3">
      <c r="A1464" s="72"/>
      <c r="B1464" s="73"/>
      <c r="C1464" s="70"/>
      <c r="D1464" s="74"/>
      <c r="E1464" s="75"/>
      <c r="F1464" s="75"/>
      <c r="K1464" s="72"/>
      <c r="L1464" s="73"/>
      <c r="M1464" s="70"/>
      <c r="N1464" s="74"/>
      <c r="O1464" s="75"/>
      <c r="P1464" s="75"/>
      <c r="U1464" s="72"/>
      <c r="V1464" s="73"/>
      <c r="W1464" s="70"/>
      <c r="X1464" s="74"/>
      <c r="Y1464" s="75"/>
      <c r="Z1464" s="75"/>
    </row>
    <row r="1465" spans="1:26" x14ac:dyDescent="0.3">
      <c r="A1465" s="72"/>
      <c r="B1465" s="73"/>
      <c r="C1465" s="70"/>
      <c r="D1465" s="74"/>
      <c r="E1465" s="75"/>
      <c r="F1465" s="75"/>
      <c r="K1465" s="72"/>
      <c r="L1465" s="73"/>
      <c r="M1465" s="70"/>
      <c r="N1465" s="74"/>
      <c r="O1465" s="75"/>
      <c r="P1465" s="75"/>
      <c r="U1465" s="72"/>
      <c r="V1465" s="73"/>
      <c r="W1465" s="70"/>
      <c r="X1465" s="74"/>
      <c r="Y1465" s="75"/>
      <c r="Z1465" s="75"/>
    </row>
    <row r="1466" spans="1:26" x14ac:dyDescent="0.3">
      <c r="A1466" s="72"/>
      <c r="B1466" s="73"/>
      <c r="C1466" s="70"/>
      <c r="D1466" s="74"/>
      <c r="E1466" s="75"/>
      <c r="F1466" s="75"/>
      <c r="K1466" s="72"/>
      <c r="L1466" s="73"/>
      <c r="M1466" s="70"/>
      <c r="N1466" s="74"/>
      <c r="O1466" s="75"/>
      <c r="P1466" s="75"/>
      <c r="U1466" s="72"/>
      <c r="V1466" s="73"/>
      <c r="W1466" s="70"/>
      <c r="X1466" s="74"/>
      <c r="Y1466" s="75"/>
      <c r="Z1466" s="75"/>
    </row>
    <row r="1467" spans="1:26" x14ac:dyDescent="0.3">
      <c r="A1467" s="72"/>
      <c r="B1467" s="73"/>
      <c r="C1467" s="70"/>
      <c r="D1467" s="74"/>
      <c r="E1467" s="75"/>
      <c r="F1467" s="75"/>
      <c r="K1467" s="72"/>
      <c r="L1467" s="73"/>
      <c r="M1467" s="70"/>
      <c r="N1467" s="74"/>
      <c r="O1467" s="75"/>
      <c r="P1467" s="75"/>
      <c r="U1467" s="72"/>
      <c r="V1467" s="73"/>
      <c r="W1467" s="70"/>
      <c r="X1467" s="74"/>
      <c r="Y1467" s="75"/>
      <c r="Z1467" s="75"/>
    </row>
    <row r="1468" spans="1:26" x14ac:dyDescent="0.3">
      <c r="A1468" s="72"/>
      <c r="B1468" s="73"/>
      <c r="C1468" s="70"/>
      <c r="D1468" s="74"/>
      <c r="E1468" s="75"/>
      <c r="F1468" s="75"/>
      <c r="K1468" s="72"/>
      <c r="L1468" s="73"/>
      <c r="M1468" s="70"/>
      <c r="N1468" s="74"/>
      <c r="O1468" s="75"/>
      <c r="P1468" s="75"/>
      <c r="U1468" s="72"/>
      <c r="V1468" s="73"/>
      <c r="W1468" s="70"/>
      <c r="X1468" s="74"/>
      <c r="Y1468" s="75"/>
      <c r="Z1468" s="75"/>
    </row>
    <row r="1469" spans="1:26" x14ac:dyDescent="0.3">
      <c r="A1469" s="72"/>
      <c r="B1469" s="73"/>
      <c r="C1469" s="70"/>
      <c r="D1469" s="74"/>
      <c r="E1469" s="75"/>
      <c r="F1469" s="75"/>
      <c r="K1469" s="72"/>
      <c r="L1469" s="73"/>
      <c r="M1469" s="70"/>
      <c r="N1469" s="74"/>
      <c r="O1469" s="75"/>
      <c r="P1469" s="75"/>
      <c r="U1469" s="72"/>
      <c r="V1469" s="73"/>
      <c r="W1469" s="70"/>
      <c r="X1469" s="74"/>
      <c r="Y1469" s="75"/>
      <c r="Z1469" s="75"/>
    </row>
    <row r="1470" spans="1:26" x14ac:dyDescent="0.3">
      <c r="A1470" s="72"/>
      <c r="B1470" s="73"/>
      <c r="C1470" s="70"/>
      <c r="D1470" s="74"/>
      <c r="E1470" s="75"/>
      <c r="F1470" s="75"/>
      <c r="K1470" s="72"/>
      <c r="L1470" s="73"/>
      <c r="M1470" s="70"/>
      <c r="N1470" s="74"/>
      <c r="O1470" s="75"/>
      <c r="P1470" s="75"/>
      <c r="U1470" s="72"/>
      <c r="V1470" s="73"/>
      <c r="W1470" s="70"/>
      <c r="X1470" s="74"/>
      <c r="Y1470" s="75"/>
      <c r="Z1470" s="75"/>
    </row>
    <row r="1471" spans="1:26" x14ac:dyDescent="0.3">
      <c r="A1471" s="72"/>
      <c r="B1471" s="73"/>
      <c r="C1471" s="70"/>
      <c r="D1471" s="74"/>
      <c r="E1471" s="75"/>
      <c r="F1471" s="75"/>
      <c r="K1471" s="72"/>
      <c r="L1471" s="73"/>
      <c r="M1471" s="70"/>
      <c r="N1471" s="74"/>
      <c r="O1471" s="75"/>
      <c r="P1471" s="75"/>
      <c r="U1471" s="72"/>
      <c r="V1471" s="73"/>
      <c r="W1471" s="70"/>
      <c r="X1471" s="74"/>
      <c r="Y1471" s="75"/>
      <c r="Z1471" s="75"/>
    </row>
    <row r="1472" spans="1:26" x14ac:dyDescent="0.3">
      <c r="A1472" s="72"/>
      <c r="B1472" s="73"/>
      <c r="C1472" s="70"/>
      <c r="D1472" s="74"/>
      <c r="E1472" s="75"/>
      <c r="F1472" s="75"/>
      <c r="K1472" s="72"/>
      <c r="L1472" s="73"/>
      <c r="M1472" s="70"/>
      <c r="N1472" s="74"/>
      <c r="O1472" s="75"/>
      <c r="P1472" s="75"/>
      <c r="U1472" s="72"/>
      <c r="V1472" s="73"/>
      <c r="W1472" s="70"/>
      <c r="X1472" s="74"/>
      <c r="Y1472" s="75"/>
      <c r="Z1472" s="75"/>
    </row>
    <row r="1473" spans="1:26" x14ac:dyDescent="0.3">
      <c r="A1473" s="72"/>
      <c r="B1473" s="73"/>
      <c r="C1473" s="70"/>
      <c r="D1473" s="74"/>
      <c r="E1473" s="75"/>
      <c r="F1473" s="75"/>
      <c r="K1473" s="72"/>
      <c r="L1473" s="73"/>
      <c r="M1473" s="70"/>
      <c r="N1473" s="74"/>
      <c r="O1473" s="75"/>
      <c r="P1473" s="75"/>
      <c r="U1473" s="72"/>
      <c r="V1473" s="73"/>
      <c r="W1473" s="70"/>
      <c r="X1473" s="74"/>
      <c r="Y1473" s="75"/>
      <c r="Z1473" s="75"/>
    </row>
    <row r="1474" spans="1:26" x14ac:dyDescent="0.3">
      <c r="A1474" s="72"/>
      <c r="B1474" s="73"/>
      <c r="C1474" s="70"/>
      <c r="D1474" s="74"/>
      <c r="E1474" s="75"/>
      <c r="F1474" s="75"/>
      <c r="K1474" s="72"/>
      <c r="L1474" s="73"/>
      <c r="M1474" s="70"/>
      <c r="N1474" s="74"/>
      <c r="O1474" s="75"/>
      <c r="P1474" s="75"/>
      <c r="U1474" s="72"/>
      <c r="V1474" s="73"/>
      <c r="W1474" s="70"/>
      <c r="X1474" s="74"/>
      <c r="Y1474" s="75"/>
      <c r="Z1474" s="75"/>
    </row>
    <row r="1475" spans="1:26" x14ac:dyDescent="0.3">
      <c r="A1475" s="72"/>
      <c r="B1475" s="73"/>
      <c r="C1475" s="70"/>
      <c r="D1475" s="74"/>
      <c r="E1475" s="75"/>
      <c r="F1475" s="75"/>
      <c r="K1475" s="72"/>
      <c r="L1475" s="73"/>
      <c r="M1475" s="70"/>
      <c r="N1475" s="74"/>
      <c r="O1475" s="75"/>
      <c r="P1475" s="75"/>
      <c r="U1475" s="72"/>
      <c r="V1475" s="73"/>
      <c r="W1475" s="70"/>
      <c r="X1475" s="74"/>
      <c r="Y1475" s="75"/>
      <c r="Z1475" s="75"/>
    </row>
    <row r="1476" spans="1:26" x14ac:dyDescent="0.3">
      <c r="A1476" s="72"/>
      <c r="B1476" s="73"/>
      <c r="C1476" s="70"/>
      <c r="D1476" s="74"/>
      <c r="E1476" s="75"/>
      <c r="F1476" s="75"/>
      <c r="K1476" s="72"/>
      <c r="L1476" s="73"/>
      <c r="M1476" s="70"/>
      <c r="N1476" s="74"/>
      <c r="O1476" s="75"/>
      <c r="P1476" s="75"/>
      <c r="U1476" s="72"/>
      <c r="V1476" s="73"/>
      <c r="W1476" s="70"/>
      <c r="X1476" s="74"/>
      <c r="Y1476" s="75"/>
      <c r="Z1476" s="75"/>
    </row>
    <row r="1477" spans="1:26" x14ac:dyDescent="0.3">
      <c r="A1477" s="72"/>
      <c r="B1477" s="73"/>
      <c r="C1477" s="70"/>
      <c r="D1477" s="74"/>
      <c r="E1477" s="75"/>
      <c r="F1477" s="75"/>
      <c r="K1477" s="72"/>
      <c r="L1477" s="73"/>
      <c r="M1477" s="70"/>
      <c r="N1477" s="74"/>
      <c r="O1477" s="75"/>
      <c r="P1477" s="75"/>
      <c r="U1477" s="72"/>
      <c r="V1477" s="73"/>
      <c r="W1477" s="70"/>
      <c r="X1477" s="74"/>
      <c r="Y1477" s="75"/>
      <c r="Z1477" s="75"/>
    </row>
    <row r="1478" spans="1:26" x14ac:dyDescent="0.3">
      <c r="A1478" s="72"/>
      <c r="B1478" s="73"/>
      <c r="C1478" s="70"/>
      <c r="D1478" s="74"/>
      <c r="E1478" s="75"/>
      <c r="F1478" s="75"/>
      <c r="K1478" s="72"/>
      <c r="L1478" s="73"/>
      <c r="M1478" s="70"/>
      <c r="N1478" s="74"/>
      <c r="O1478" s="75"/>
      <c r="P1478" s="75"/>
      <c r="U1478" s="72"/>
      <c r="V1478" s="73"/>
      <c r="W1478" s="70"/>
      <c r="X1478" s="74"/>
      <c r="Y1478" s="75"/>
      <c r="Z1478" s="75"/>
    </row>
    <row r="1479" spans="1:26" x14ac:dyDescent="0.3">
      <c r="A1479" s="72"/>
      <c r="B1479" s="73"/>
      <c r="C1479" s="70"/>
      <c r="D1479" s="74"/>
      <c r="E1479" s="75"/>
      <c r="F1479" s="75"/>
      <c r="K1479" s="72"/>
      <c r="L1479" s="73"/>
      <c r="M1479" s="70"/>
      <c r="N1479" s="74"/>
      <c r="O1479" s="75"/>
      <c r="P1479" s="75"/>
      <c r="U1479" s="72"/>
      <c r="V1479" s="73"/>
      <c r="W1479" s="70"/>
      <c r="X1479" s="74"/>
      <c r="Y1479" s="75"/>
      <c r="Z1479" s="75"/>
    </row>
    <row r="1480" spans="1:26" x14ac:dyDescent="0.3">
      <c r="A1480" s="72"/>
      <c r="B1480" s="73"/>
      <c r="C1480" s="70"/>
      <c r="D1480" s="74"/>
      <c r="E1480" s="75"/>
      <c r="F1480" s="75"/>
      <c r="K1480" s="72"/>
      <c r="L1480" s="73"/>
      <c r="M1480" s="70"/>
      <c r="N1480" s="74"/>
      <c r="O1480" s="75"/>
      <c r="P1480" s="75"/>
      <c r="U1480" s="72"/>
      <c r="V1480" s="73"/>
      <c r="W1480" s="70"/>
      <c r="X1480" s="74"/>
      <c r="Y1480" s="75"/>
      <c r="Z1480" s="75"/>
    </row>
    <row r="1481" spans="1:26" x14ac:dyDescent="0.3">
      <c r="A1481" s="72"/>
      <c r="B1481" s="73"/>
      <c r="C1481" s="70"/>
      <c r="D1481" s="74"/>
      <c r="E1481" s="75"/>
      <c r="F1481" s="75"/>
      <c r="K1481" s="72"/>
      <c r="L1481" s="73"/>
      <c r="M1481" s="70"/>
      <c r="N1481" s="74"/>
      <c r="O1481" s="75"/>
      <c r="P1481" s="75"/>
      <c r="U1481" s="72"/>
      <c r="V1481" s="73"/>
      <c r="W1481" s="70"/>
      <c r="X1481" s="74"/>
      <c r="Y1481" s="75"/>
      <c r="Z1481" s="75"/>
    </row>
    <row r="1482" spans="1:26" x14ac:dyDescent="0.3">
      <c r="A1482" s="72"/>
      <c r="B1482" s="73"/>
      <c r="C1482" s="70"/>
      <c r="D1482" s="74"/>
      <c r="E1482" s="75"/>
      <c r="F1482" s="75"/>
      <c r="K1482" s="72"/>
      <c r="L1482" s="73"/>
      <c r="M1482" s="70"/>
      <c r="N1482" s="74"/>
      <c r="O1482" s="75"/>
      <c r="P1482" s="75"/>
      <c r="U1482" s="72"/>
      <c r="V1482" s="73"/>
      <c r="W1482" s="70"/>
      <c r="X1482" s="74"/>
      <c r="Y1482" s="75"/>
      <c r="Z1482" s="75"/>
    </row>
    <row r="1483" spans="1:26" x14ac:dyDescent="0.3">
      <c r="A1483" s="72"/>
      <c r="B1483" s="73"/>
      <c r="C1483" s="70"/>
      <c r="D1483" s="74"/>
      <c r="E1483" s="75"/>
      <c r="F1483" s="75"/>
      <c r="K1483" s="72"/>
      <c r="L1483" s="73"/>
      <c r="M1483" s="70"/>
      <c r="N1483" s="74"/>
      <c r="O1483" s="75"/>
      <c r="P1483" s="75"/>
      <c r="U1483" s="72"/>
      <c r="V1483" s="73"/>
      <c r="W1483" s="70"/>
      <c r="X1483" s="74"/>
      <c r="Y1483" s="75"/>
      <c r="Z1483" s="75"/>
    </row>
    <row r="1484" spans="1:26" x14ac:dyDescent="0.3">
      <c r="A1484" s="72"/>
      <c r="B1484" s="73"/>
      <c r="C1484" s="70"/>
      <c r="D1484" s="74"/>
      <c r="E1484" s="75"/>
      <c r="F1484" s="75"/>
      <c r="K1484" s="72"/>
      <c r="L1484" s="73"/>
      <c r="M1484" s="70"/>
      <c r="N1484" s="74"/>
      <c r="O1484" s="75"/>
      <c r="P1484" s="75"/>
      <c r="U1484" s="72"/>
      <c r="V1484" s="73"/>
      <c r="W1484" s="70"/>
      <c r="X1484" s="74"/>
      <c r="Y1484" s="75"/>
      <c r="Z1484" s="75"/>
    </row>
    <row r="1485" spans="1:26" x14ac:dyDescent="0.3">
      <c r="A1485" s="72"/>
      <c r="B1485" s="73"/>
      <c r="C1485" s="70"/>
      <c r="D1485" s="74"/>
      <c r="E1485" s="75"/>
      <c r="F1485" s="75"/>
      <c r="K1485" s="72"/>
      <c r="L1485" s="73"/>
      <c r="M1485" s="70"/>
      <c r="N1485" s="74"/>
      <c r="O1485" s="75"/>
      <c r="P1485" s="75"/>
      <c r="U1485" s="72"/>
      <c r="V1485" s="73"/>
      <c r="W1485" s="70"/>
      <c r="X1485" s="74"/>
      <c r="Y1485" s="75"/>
      <c r="Z1485" s="75"/>
    </row>
    <row r="1486" spans="1:26" x14ac:dyDescent="0.3">
      <c r="A1486" s="72"/>
      <c r="B1486" s="73"/>
      <c r="C1486" s="70"/>
      <c r="D1486" s="74"/>
      <c r="E1486" s="75"/>
      <c r="F1486" s="75"/>
      <c r="K1486" s="72"/>
      <c r="L1486" s="73"/>
      <c r="M1486" s="70"/>
      <c r="N1486" s="74"/>
      <c r="O1486" s="75"/>
      <c r="P1486" s="75"/>
      <c r="U1486" s="72"/>
      <c r="V1486" s="73"/>
      <c r="W1486" s="70"/>
      <c r="X1486" s="74"/>
      <c r="Y1486" s="75"/>
      <c r="Z1486" s="75"/>
    </row>
    <row r="1487" spans="1:26" x14ac:dyDescent="0.3">
      <c r="A1487" s="72"/>
      <c r="B1487" s="73"/>
      <c r="C1487" s="70"/>
      <c r="D1487" s="74"/>
      <c r="E1487" s="75"/>
      <c r="F1487" s="75"/>
      <c r="K1487" s="72"/>
      <c r="L1487" s="73"/>
      <c r="M1487" s="70"/>
      <c r="N1487" s="74"/>
      <c r="O1487" s="75"/>
      <c r="P1487" s="75"/>
      <c r="U1487" s="72"/>
      <c r="V1487" s="73"/>
      <c r="W1487" s="70"/>
      <c r="X1487" s="74"/>
      <c r="Y1487" s="75"/>
      <c r="Z1487" s="75"/>
    </row>
    <row r="1488" spans="1:26" x14ac:dyDescent="0.3">
      <c r="A1488" s="72"/>
      <c r="B1488" s="73"/>
      <c r="C1488" s="70"/>
      <c r="D1488" s="74"/>
      <c r="E1488" s="75"/>
      <c r="F1488" s="75"/>
      <c r="K1488" s="72"/>
      <c r="L1488" s="73"/>
      <c r="M1488" s="70"/>
      <c r="N1488" s="74"/>
      <c r="O1488" s="75"/>
      <c r="P1488" s="75"/>
      <c r="U1488" s="72"/>
      <c r="V1488" s="73"/>
      <c r="W1488" s="70"/>
      <c r="X1488" s="74"/>
      <c r="Y1488" s="75"/>
      <c r="Z1488" s="75"/>
    </row>
    <row r="1489" spans="1:26" x14ac:dyDescent="0.3">
      <c r="A1489" s="72"/>
      <c r="B1489" s="73"/>
      <c r="C1489" s="70"/>
      <c r="D1489" s="74"/>
      <c r="E1489" s="75"/>
      <c r="F1489" s="75"/>
      <c r="K1489" s="72"/>
      <c r="L1489" s="73"/>
      <c r="M1489" s="70"/>
      <c r="N1489" s="74"/>
      <c r="O1489" s="75"/>
      <c r="P1489" s="75"/>
      <c r="U1489" s="72"/>
      <c r="V1489" s="73"/>
      <c r="W1489" s="70"/>
      <c r="X1489" s="74"/>
      <c r="Y1489" s="75"/>
      <c r="Z1489" s="75"/>
    </row>
    <row r="1490" spans="1:26" x14ac:dyDescent="0.3">
      <c r="A1490" s="72"/>
      <c r="B1490" s="73"/>
      <c r="C1490" s="70"/>
      <c r="D1490" s="74"/>
      <c r="E1490" s="75"/>
      <c r="F1490" s="75"/>
      <c r="K1490" s="72"/>
      <c r="L1490" s="73"/>
      <c r="M1490" s="70"/>
      <c r="N1490" s="74"/>
      <c r="O1490" s="75"/>
      <c r="P1490" s="75"/>
      <c r="U1490" s="72"/>
      <c r="V1490" s="73"/>
      <c r="W1490" s="70"/>
      <c r="X1490" s="74"/>
      <c r="Y1490" s="75"/>
      <c r="Z1490" s="75"/>
    </row>
    <row r="1491" spans="1:26" x14ac:dyDescent="0.3">
      <c r="A1491" s="72"/>
      <c r="B1491" s="73"/>
      <c r="C1491" s="70"/>
      <c r="D1491" s="74"/>
      <c r="E1491" s="75"/>
      <c r="F1491" s="75"/>
      <c r="K1491" s="72"/>
      <c r="L1491" s="73"/>
      <c r="M1491" s="70"/>
      <c r="N1491" s="74"/>
      <c r="O1491" s="75"/>
      <c r="P1491" s="75"/>
      <c r="U1491" s="72"/>
      <c r="V1491" s="73"/>
      <c r="W1491" s="70"/>
      <c r="X1491" s="74"/>
      <c r="Y1491" s="75"/>
      <c r="Z1491" s="75"/>
    </row>
    <row r="1492" spans="1:26" x14ac:dyDescent="0.3">
      <c r="A1492" s="72"/>
      <c r="B1492" s="73"/>
      <c r="C1492" s="70"/>
      <c r="D1492" s="74"/>
      <c r="E1492" s="75"/>
      <c r="F1492" s="75"/>
      <c r="K1492" s="72"/>
      <c r="L1492" s="73"/>
      <c r="M1492" s="70"/>
      <c r="N1492" s="74"/>
      <c r="O1492" s="75"/>
      <c r="P1492" s="75"/>
      <c r="U1492" s="72"/>
      <c r="V1492" s="73"/>
      <c r="W1492" s="70"/>
      <c r="X1492" s="74"/>
      <c r="Y1492" s="75"/>
      <c r="Z1492" s="75"/>
    </row>
    <row r="1493" spans="1:26" x14ac:dyDescent="0.3">
      <c r="A1493" s="72"/>
      <c r="B1493" s="73"/>
      <c r="C1493" s="70"/>
      <c r="D1493" s="74"/>
      <c r="E1493" s="75"/>
      <c r="F1493" s="75"/>
      <c r="K1493" s="72"/>
      <c r="L1493" s="73"/>
      <c r="M1493" s="70"/>
      <c r="N1493" s="74"/>
      <c r="O1493" s="75"/>
      <c r="P1493" s="75"/>
      <c r="U1493" s="72"/>
      <c r="V1493" s="73"/>
      <c r="W1493" s="70"/>
      <c r="X1493" s="74"/>
      <c r="Y1493" s="75"/>
      <c r="Z1493" s="75"/>
    </row>
    <row r="1494" spans="1:26" x14ac:dyDescent="0.3">
      <c r="A1494" s="72"/>
      <c r="B1494" s="73"/>
      <c r="C1494" s="70"/>
      <c r="D1494" s="74"/>
      <c r="E1494" s="75"/>
      <c r="F1494" s="75"/>
      <c r="K1494" s="72"/>
      <c r="L1494" s="73"/>
      <c r="M1494" s="70"/>
      <c r="N1494" s="74"/>
      <c r="O1494" s="75"/>
      <c r="P1494" s="75"/>
      <c r="U1494" s="72"/>
      <c r="V1494" s="73"/>
      <c r="W1494" s="70"/>
      <c r="X1494" s="74"/>
      <c r="Y1494" s="75"/>
      <c r="Z1494" s="75"/>
    </row>
    <row r="1495" spans="1:26" x14ac:dyDescent="0.3">
      <c r="A1495" s="72"/>
      <c r="B1495" s="73"/>
      <c r="C1495" s="70"/>
      <c r="D1495" s="74"/>
      <c r="E1495" s="75"/>
      <c r="F1495" s="75"/>
      <c r="K1495" s="72"/>
      <c r="L1495" s="73"/>
      <c r="M1495" s="70"/>
      <c r="N1495" s="74"/>
      <c r="O1495" s="75"/>
      <c r="P1495" s="75"/>
      <c r="U1495" s="72"/>
      <c r="V1495" s="73"/>
      <c r="W1495" s="70"/>
      <c r="X1495" s="74"/>
      <c r="Y1495" s="75"/>
      <c r="Z1495" s="75"/>
    </row>
    <row r="1496" spans="1:26" x14ac:dyDescent="0.3">
      <c r="A1496" s="72"/>
      <c r="B1496" s="73"/>
      <c r="C1496" s="70"/>
      <c r="D1496" s="74"/>
      <c r="E1496" s="75"/>
      <c r="F1496" s="75"/>
      <c r="K1496" s="72"/>
      <c r="L1496" s="73"/>
      <c r="M1496" s="70"/>
      <c r="N1496" s="74"/>
      <c r="O1496" s="75"/>
      <c r="P1496" s="75"/>
      <c r="U1496" s="72"/>
      <c r="V1496" s="73"/>
      <c r="W1496" s="70"/>
      <c r="X1496" s="74"/>
      <c r="Y1496" s="75"/>
      <c r="Z1496" s="75"/>
    </row>
    <row r="1497" spans="1:26" x14ac:dyDescent="0.3">
      <c r="A1497" s="72"/>
      <c r="B1497" s="73"/>
      <c r="C1497" s="70"/>
      <c r="D1497" s="74"/>
      <c r="E1497" s="75"/>
      <c r="F1497" s="75"/>
      <c r="K1497" s="72"/>
      <c r="L1497" s="73"/>
      <c r="M1497" s="70"/>
      <c r="N1497" s="74"/>
      <c r="O1497" s="75"/>
      <c r="P1497" s="75"/>
      <c r="U1497" s="72"/>
      <c r="V1497" s="73"/>
      <c r="W1497" s="70"/>
      <c r="X1497" s="74"/>
      <c r="Y1497" s="75"/>
      <c r="Z1497" s="75"/>
    </row>
    <row r="1498" spans="1:26" x14ac:dyDescent="0.3">
      <c r="A1498" s="72"/>
      <c r="B1498" s="73"/>
      <c r="C1498" s="70"/>
      <c r="D1498" s="74"/>
      <c r="E1498" s="75"/>
      <c r="F1498" s="75"/>
      <c r="K1498" s="72"/>
      <c r="L1498" s="73"/>
      <c r="M1498" s="70"/>
      <c r="N1498" s="74"/>
      <c r="O1498" s="75"/>
      <c r="P1498" s="75"/>
      <c r="U1498" s="72"/>
      <c r="V1498" s="73"/>
      <c r="W1498" s="70"/>
      <c r="X1498" s="74"/>
      <c r="Y1498" s="75"/>
      <c r="Z1498" s="75"/>
    </row>
    <row r="1499" spans="1:26" x14ac:dyDescent="0.3">
      <c r="A1499" s="72"/>
      <c r="B1499" s="73"/>
      <c r="C1499" s="70"/>
      <c r="D1499" s="74"/>
      <c r="E1499" s="75"/>
      <c r="F1499" s="75"/>
      <c r="K1499" s="72"/>
      <c r="L1499" s="73"/>
      <c r="M1499" s="70"/>
      <c r="N1499" s="74"/>
      <c r="O1499" s="75"/>
      <c r="P1499" s="75"/>
      <c r="U1499" s="72"/>
      <c r="V1499" s="73"/>
      <c r="W1499" s="70"/>
      <c r="X1499" s="74"/>
      <c r="Y1499" s="75"/>
      <c r="Z1499" s="75"/>
    </row>
    <row r="1500" spans="1:26" x14ac:dyDescent="0.3">
      <c r="A1500" s="72"/>
      <c r="B1500" s="73"/>
      <c r="C1500" s="70"/>
      <c r="D1500" s="74"/>
      <c r="E1500" s="75"/>
      <c r="F1500" s="75"/>
      <c r="K1500" s="72"/>
      <c r="L1500" s="73"/>
      <c r="M1500" s="70"/>
      <c r="N1500" s="74"/>
      <c r="O1500" s="75"/>
      <c r="P1500" s="75"/>
      <c r="U1500" s="72"/>
      <c r="V1500" s="73"/>
      <c r="W1500" s="70"/>
      <c r="X1500" s="74"/>
      <c r="Y1500" s="75"/>
      <c r="Z1500" s="75"/>
    </row>
    <row r="1501" spans="1:26" x14ac:dyDescent="0.3">
      <c r="A1501" s="72"/>
      <c r="B1501" s="73"/>
      <c r="C1501" s="70"/>
      <c r="D1501" s="74"/>
      <c r="E1501" s="75"/>
      <c r="F1501" s="75"/>
      <c r="K1501" s="72"/>
      <c r="L1501" s="73"/>
      <c r="M1501" s="70"/>
      <c r="N1501" s="74"/>
      <c r="O1501" s="75"/>
      <c r="P1501" s="75"/>
      <c r="U1501" s="72"/>
      <c r="V1501" s="73"/>
      <c r="W1501" s="70"/>
      <c r="X1501" s="74"/>
      <c r="Y1501" s="75"/>
      <c r="Z1501" s="75"/>
    </row>
    <row r="1502" spans="1:26" x14ac:dyDescent="0.3">
      <c r="A1502" s="72"/>
      <c r="B1502" s="73"/>
      <c r="C1502" s="70"/>
      <c r="D1502" s="74"/>
      <c r="E1502" s="75"/>
      <c r="F1502" s="75"/>
      <c r="K1502" s="72"/>
      <c r="L1502" s="73"/>
      <c r="M1502" s="70"/>
      <c r="N1502" s="74"/>
      <c r="O1502" s="75"/>
      <c r="P1502" s="75"/>
      <c r="U1502" s="72"/>
      <c r="V1502" s="73"/>
      <c r="W1502" s="70"/>
      <c r="X1502" s="74"/>
      <c r="Y1502" s="75"/>
      <c r="Z1502" s="75"/>
    </row>
    <row r="1503" spans="1:26" x14ac:dyDescent="0.3">
      <c r="A1503" s="72"/>
      <c r="B1503" s="73"/>
      <c r="C1503" s="70"/>
      <c r="D1503" s="74"/>
      <c r="E1503" s="75"/>
      <c r="F1503" s="75"/>
      <c r="K1503" s="72"/>
      <c r="L1503" s="73"/>
      <c r="M1503" s="70"/>
      <c r="N1503" s="74"/>
      <c r="O1503" s="75"/>
      <c r="P1503" s="75"/>
      <c r="U1503" s="72"/>
      <c r="V1503" s="73"/>
      <c r="W1503" s="70"/>
      <c r="X1503" s="74"/>
      <c r="Y1503" s="75"/>
      <c r="Z1503" s="75"/>
    </row>
    <row r="1504" spans="1:26" x14ac:dyDescent="0.3">
      <c r="A1504" s="72"/>
      <c r="B1504" s="73"/>
      <c r="C1504" s="70"/>
      <c r="D1504" s="74"/>
      <c r="E1504" s="75"/>
      <c r="F1504" s="75"/>
      <c r="K1504" s="72"/>
      <c r="L1504" s="73"/>
      <c r="M1504" s="70"/>
      <c r="N1504" s="74"/>
      <c r="O1504" s="75"/>
      <c r="P1504" s="75"/>
      <c r="U1504" s="72"/>
      <c r="V1504" s="73"/>
      <c r="W1504" s="70"/>
      <c r="X1504" s="74"/>
      <c r="Y1504" s="75"/>
      <c r="Z1504" s="75"/>
    </row>
    <row r="1505" spans="1:26" x14ac:dyDescent="0.3">
      <c r="A1505" s="72"/>
      <c r="B1505" s="73"/>
      <c r="C1505" s="70"/>
      <c r="D1505" s="74"/>
      <c r="E1505" s="75"/>
      <c r="F1505" s="75"/>
      <c r="K1505" s="72"/>
      <c r="L1505" s="73"/>
      <c r="M1505" s="70"/>
      <c r="N1505" s="74"/>
      <c r="O1505" s="75"/>
      <c r="P1505" s="75"/>
      <c r="U1505" s="72"/>
      <c r="V1505" s="73"/>
      <c r="W1505" s="70"/>
      <c r="X1505" s="74"/>
      <c r="Y1505" s="75"/>
      <c r="Z1505" s="75"/>
    </row>
    <row r="1506" spans="1:26" x14ac:dyDescent="0.3">
      <c r="A1506" s="72"/>
      <c r="B1506" s="73"/>
      <c r="C1506" s="70"/>
      <c r="D1506" s="74"/>
      <c r="E1506" s="75"/>
      <c r="F1506" s="75"/>
      <c r="K1506" s="72"/>
      <c r="L1506" s="73"/>
      <c r="M1506" s="70"/>
      <c r="N1506" s="74"/>
      <c r="O1506" s="75"/>
      <c r="P1506" s="75"/>
      <c r="U1506" s="72"/>
      <c r="V1506" s="73"/>
      <c r="W1506" s="70"/>
      <c r="X1506" s="74"/>
      <c r="Y1506" s="75"/>
      <c r="Z1506" s="75"/>
    </row>
    <row r="1507" spans="1:26" x14ac:dyDescent="0.3">
      <c r="A1507" s="72"/>
      <c r="B1507" s="73"/>
      <c r="C1507" s="70"/>
      <c r="D1507" s="74"/>
      <c r="E1507" s="75"/>
      <c r="F1507" s="75"/>
      <c r="K1507" s="72"/>
      <c r="L1507" s="73"/>
      <c r="M1507" s="70"/>
      <c r="N1507" s="74"/>
      <c r="O1507" s="75"/>
      <c r="P1507" s="75"/>
      <c r="U1507" s="72"/>
      <c r="V1507" s="73"/>
      <c r="W1507" s="70"/>
      <c r="X1507" s="74"/>
      <c r="Y1507" s="75"/>
      <c r="Z1507" s="75"/>
    </row>
    <row r="1508" spans="1:26" x14ac:dyDescent="0.3">
      <c r="A1508" s="72"/>
      <c r="B1508" s="73"/>
      <c r="C1508" s="70"/>
      <c r="D1508" s="74"/>
      <c r="E1508" s="75"/>
      <c r="F1508" s="75"/>
      <c r="K1508" s="72"/>
      <c r="L1508" s="73"/>
      <c r="M1508" s="70"/>
      <c r="N1508" s="74"/>
      <c r="O1508" s="75"/>
      <c r="P1508" s="75"/>
      <c r="U1508" s="72"/>
      <c r="V1508" s="73"/>
      <c r="W1508" s="70"/>
      <c r="X1508" s="74"/>
      <c r="Y1508" s="75"/>
      <c r="Z1508" s="75"/>
    </row>
    <row r="1509" spans="1:26" x14ac:dyDescent="0.3">
      <c r="A1509" s="72"/>
      <c r="B1509" s="73"/>
      <c r="C1509" s="70"/>
      <c r="D1509" s="74"/>
      <c r="E1509" s="75"/>
      <c r="F1509" s="75"/>
      <c r="K1509" s="72"/>
      <c r="L1509" s="73"/>
      <c r="M1509" s="70"/>
      <c r="N1509" s="74"/>
      <c r="O1509" s="75"/>
      <c r="P1509" s="75"/>
      <c r="U1509" s="72"/>
      <c r="V1509" s="73"/>
      <c r="W1509" s="70"/>
      <c r="X1509" s="74"/>
      <c r="Y1509" s="75"/>
      <c r="Z1509" s="75"/>
    </row>
    <row r="1510" spans="1:26" x14ac:dyDescent="0.3">
      <c r="A1510" s="72"/>
      <c r="B1510" s="73"/>
      <c r="C1510" s="70"/>
      <c r="D1510" s="74"/>
      <c r="E1510" s="75"/>
      <c r="F1510" s="75"/>
      <c r="K1510" s="72"/>
      <c r="L1510" s="73"/>
      <c r="M1510" s="70"/>
      <c r="N1510" s="74"/>
      <c r="O1510" s="75"/>
      <c r="P1510" s="75"/>
      <c r="U1510" s="72"/>
      <c r="V1510" s="73"/>
      <c r="W1510" s="70"/>
      <c r="X1510" s="74"/>
      <c r="Y1510" s="75"/>
      <c r="Z1510" s="75"/>
    </row>
    <row r="1511" spans="1:26" x14ac:dyDescent="0.3">
      <c r="A1511" s="72"/>
      <c r="B1511" s="73"/>
      <c r="C1511" s="70"/>
      <c r="D1511" s="74"/>
      <c r="E1511" s="75"/>
      <c r="F1511" s="75"/>
      <c r="K1511" s="72"/>
      <c r="L1511" s="73"/>
      <c r="M1511" s="70"/>
      <c r="N1511" s="74"/>
      <c r="O1511" s="75"/>
      <c r="P1511" s="75"/>
      <c r="U1511" s="72"/>
      <c r="V1511" s="73"/>
      <c r="W1511" s="70"/>
      <c r="X1511" s="74"/>
      <c r="Y1511" s="75"/>
      <c r="Z1511" s="75"/>
    </row>
    <row r="1512" spans="1:26" x14ac:dyDescent="0.3">
      <c r="A1512" s="72"/>
      <c r="B1512" s="73"/>
      <c r="C1512" s="70"/>
      <c r="D1512" s="74"/>
      <c r="E1512" s="75"/>
      <c r="F1512" s="75"/>
      <c r="K1512" s="72"/>
      <c r="L1512" s="73"/>
      <c r="M1512" s="70"/>
      <c r="N1512" s="74"/>
      <c r="O1512" s="75"/>
      <c r="P1512" s="75"/>
      <c r="U1512" s="72"/>
      <c r="V1512" s="73"/>
      <c r="W1512" s="70"/>
      <c r="X1512" s="74"/>
      <c r="Y1512" s="75"/>
      <c r="Z1512" s="75"/>
    </row>
    <row r="1513" spans="1:26" x14ac:dyDescent="0.3">
      <c r="A1513" s="72"/>
      <c r="B1513" s="73"/>
      <c r="C1513" s="70"/>
      <c r="D1513" s="74"/>
      <c r="E1513" s="75"/>
      <c r="F1513" s="75"/>
      <c r="K1513" s="72"/>
      <c r="L1513" s="73"/>
      <c r="M1513" s="70"/>
      <c r="N1513" s="74"/>
      <c r="O1513" s="75"/>
      <c r="P1513" s="75"/>
      <c r="U1513" s="72"/>
      <c r="V1513" s="73"/>
      <c r="W1513" s="70"/>
      <c r="X1513" s="74"/>
      <c r="Y1513" s="75"/>
      <c r="Z1513" s="75"/>
    </row>
    <row r="1514" spans="1:26" x14ac:dyDescent="0.3">
      <c r="A1514" s="72"/>
      <c r="B1514" s="73"/>
      <c r="C1514" s="70"/>
      <c r="D1514" s="74"/>
      <c r="E1514" s="75"/>
      <c r="F1514" s="75"/>
      <c r="K1514" s="72"/>
      <c r="L1514" s="73"/>
      <c r="M1514" s="70"/>
      <c r="N1514" s="74"/>
      <c r="O1514" s="75"/>
      <c r="P1514" s="75"/>
      <c r="U1514" s="72"/>
      <c r="V1514" s="73"/>
      <c r="W1514" s="70"/>
      <c r="X1514" s="74"/>
      <c r="Y1514" s="75"/>
      <c r="Z1514" s="75"/>
    </row>
    <row r="1515" spans="1:26" x14ac:dyDescent="0.3">
      <c r="A1515" s="72"/>
      <c r="B1515" s="73"/>
      <c r="C1515" s="70"/>
      <c r="D1515" s="74"/>
      <c r="E1515" s="75"/>
      <c r="F1515" s="75"/>
      <c r="K1515" s="72"/>
      <c r="L1515" s="73"/>
      <c r="M1515" s="70"/>
      <c r="N1515" s="74"/>
      <c r="O1515" s="75"/>
      <c r="P1515" s="75"/>
      <c r="U1515" s="72"/>
      <c r="V1515" s="73"/>
      <c r="W1515" s="70"/>
      <c r="X1515" s="74"/>
      <c r="Y1515" s="75"/>
      <c r="Z1515" s="75"/>
    </row>
    <row r="1516" spans="1:26" x14ac:dyDescent="0.3">
      <c r="A1516" s="72"/>
      <c r="B1516" s="73"/>
      <c r="C1516" s="70"/>
      <c r="D1516" s="74"/>
      <c r="E1516" s="75"/>
      <c r="F1516" s="75"/>
      <c r="K1516" s="72"/>
      <c r="L1516" s="73"/>
      <c r="M1516" s="70"/>
      <c r="N1516" s="74"/>
      <c r="O1516" s="75"/>
      <c r="P1516" s="75"/>
      <c r="U1516" s="72"/>
      <c r="V1516" s="73"/>
      <c r="W1516" s="70"/>
      <c r="X1516" s="74"/>
      <c r="Y1516" s="75"/>
      <c r="Z1516" s="75"/>
    </row>
    <row r="1517" spans="1:26" x14ac:dyDescent="0.3">
      <c r="A1517" s="72"/>
      <c r="B1517" s="73"/>
      <c r="C1517" s="70"/>
      <c r="D1517" s="74"/>
      <c r="E1517" s="75"/>
      <c r="F1517" s="75"/>
      <c r="K1517" s="72"/>
      <c r="L1517" s="73"/>
      <c r="M1517" s="70"/>
      <c r="N1517" s="74"/>
      <c r="O1517" s="75"/>
      <c r="P1517" s="75"/>
      <c r="U1517" s="72"/>
      <c r="V1517" s="73"/>
      <c r="W1517" s="70"/>
      <c r="X1517" s="74"/>
      <c r="Y1517" s="75"/>
      <c r="Z1517" s="75"/>
    </row>
    <row r="1518" spans="1:26" x14ac:dyDescent="0.3">
      <c r="A1518" s="72"/>
      <c r="B1518" s="73"/>
      <c r="C1518" s="70"/>
      <c r="D1518" s="74"/>
      <c r="E1518" s="75"/>
      <c r="F1518" s="75"/>
      <c r="K1518" s="72"/>
      <c r="L1518" s="73"/>
      <c r="M1518" s="70"/>
      <c r="N1518" s="74"/>
      <c r="O1518" s="75"/>
      <c r="P1518" s="75"/>
      <c r="U1518" s="72"/>
      <c r="V1518" s="73"/>
      <c r="W1518" s="70"/>
      <c r="X1518" s="74"/>
      <c r="Y1518" s="75"/>
      <c r="Z1518" s="75"/>
    </row>
    <row r="1519" spans="1:26" x14ac:dyDescent="0.3">
      <c r="A1519" s="72"/>
      <c r="B1519" s="73"/>
      <c r="C1519" s="70"/>
      <c r="D1519" s="74"/>
      <c r="E1519" s="75"/>
      <c r="F1519" s="75"/>
      <c r="K1519" s="72"/>
      <c r="L1519" s="73"/>
      <c r="M1519" s="70"/>
      <c r="N1519" s="74"/>
      <c r="O1519" s="75"/>
      <c r="P1519" s="75"/>
      <c r="U1519" s="72"/>
      <c r="V1519" s="73"/>
      <c r="W1519" s="70"/>
      <c r="X1519" s="74"/>
      <c r="Y1519" s="75"/>
      <c r="Z1519" s="75"/>
    </row>
    <row r="1520" spans="1:26" x14ac:dyDescent="0.3">
      <c r="A1520" s="72"/>
      <c r="B1520" s="73"/>
      <c r="C1520" s="70"/>
      <c r="D1520" s="74"/>
      <c r="E1520" s="75"/>
      <c r="F1520" s="75"/>
      <c r="K1520" s="72"/>
      <c r="L1520" s="73"/>
      <c r="M1520" s="70"/>
      <c r="N1520" s="74"/>
      <c r="O1520" s="75"/>
      <c r="P1520" s="75"/>
      <c r="U1520" s="72"/>
      <c r="V1520" s="73"/>
      <c r="W1520" s="70"/>
      <c r="X1520" s="74"/>
      <c r="Y1520" s="75"/>
      <c r="Z1520" s="75"/>
    </row>
    <row r="1521" spans="1:26" x14ac:dyDescent="0.3">
      <c r="A1521" s="72"/>
      <c r="B1521" s="73"/>
      <c r="C1521" s="70"/>
      <c r="D1521" s="74"/>
      <c r="E1521" s="75"/>
      <c r="F1521" s="75"/>
      <c r="K1521" s="72"/>
      <c r="L1521" s="73"/>
      <c r="M1521" s="70"/>
      <c r="N1521" s="74"/>
      <c r="O1521" s="75"/>
      <c r="P1521" s="75"/>
      <c r="U1521" s="72"/>
      <c r="V1521" s="73"/>
      <c r="W1521" s="70"/>
      <c r="X1521" s="74"/>
      <c r="Y1521" s="75"/>
      <c r="Z1521" s="75"/>
    </row>
    <row r="1522" spans="1:26" x14ac:dyDescent="0.3">
      <c r="A1522" s="72"/>
      <c r="B1522" s="73"/>
      <c r="C1522" s="70"/>
      <c r="D1522" s="74"/>
      <c r="E1522" s="75"/>
      <c r="F1522" s="75"/>
      <c r="K1522" s="72"/>
      <c r="L1522" s="73"/>
      <c r="M1522" s="70"/>
      <c r="N1522" s="74"/>
      <c r="O1522" s="75"/>
      <c r="P1522" s="75"/>
      <c r="U1522" s="72"/>
      <c r="V1522" s="73"/>
      <c r="W1522" s="70"/>
      <c r="X1522" s="74"/>
      <c r="Y1522" s="75"/>
      <c r="Z1522" s="75"/>
    </row>
    <row r="1523" spans="1:26" x14ac:dyDescent="0.3">
      <c r="A1523" s="72"/>
      <c r="B1523" s="73"/>
      <c r="C1523" s="70"/>
      <c r="D1523" s="74"/>
      <c r="E1523" s="75"/>
      <c r="F1523" s="75"/>
      <c r="K1523" s="72"/>
      <c r="L1523" s="73"/>
      <c r="M1523" s="70"/>
      <c r="N1523" s="74"/>
      <c r="O1523" s="75"/>
      <c r="P1523" s="75"/>
      <c r="U1523" s="72"/>
      <c r="V1523" s="73"/>
      <c r="W1523" s="70"/>
      <c r="X1523" s="74"/>
      <c r="Y1523" s="75"/>
      <c r="Z1523" s="75"/>
    </row>
    <row r="1524" spans="1:26" x14ac:dyDescent="0.3">
      <c r="A1524" s="72"/>
      <c r="B1524" s="73"/>
      <c r="C1524" s="70"/>
      <c r="D1524" s="74"/>
      <c r="E1524" s="75"/>
      <c r="F1524" s="75"/>
      <c r="K1524" s="72"/>
      <c r="L1524" s="73"/>
      <c r="M1524" s="70"/>
      <c r="N1524" s="74"/>
      <c r="O1524" s="75"/>
      <c r="P1524" s="75"/>
      <c r="U1524" s="72"/>
      <c r="V1524" s="73"/>
      <c r="W1524" s="70"/>
      <c r="X1524" s="74"/>
      <c r="Y1524" s="75"/>
      <c r="Z1524" s="75"/>
    </row>
    <row r="1525" spans="1:26" x14ac:dyDescent="0.3">
      <c r="A1525" s="72"/>
      <c r="B1525" s="73"/>
      <c r="C1525" s="70"/>
      <c r="D1525" s="74"/>
      <c r="E1525" s="75"/>
      <c r="F1525" s="75"/>
      <c r="K1525" s="72"/>
      <c r="L1525" s="73"/>
      <c r="M1525" s="70"/>
      <c r="N1525" s="74"/>
      <c r="O1525" s="75"/>
      <c r="P1525" s="75"/>
      <c r="U1525" s="72"/>
      <c r="V1525" s="73"/>
      <c r="W1525" s="70"/>
      <c r="X1525" s="74"/>
      <c r="Y1525" s="75"/>
      <c r="Z1525" s="75"/>
    </row>
    <row r="1526" spans="1:26" x14ac:dyDescent="0.3">
      <c r="A1526" s="72"/>
      <c r="B1526" s="73"/>
      <c r="C1526" s="70"/>
      <c r="D1526" s="74"/>
      <c r="E1526" s="75"/>
      <c r="F1526" s="75"/>
      <c r="K1526" s="72"/>
      <c r="L1526" s="73"/>
      <c r="M1526" s="70"/>
      <c r="N1526" s="74"/>
      <c r="O1526" s="75"/>
      <c r="P1526" s="75"/>
      <c r="U1526" s="72"/>
      <c r="V1526" s="73"/>
      <c r="W1526" s="70"/>
      <c r="X1526" s="74"/>
      <c r="Y1526" s="75"/>
      <c r="Z1526" s="75"/>
    </row>
    <row r="1527" spans="1:26" x14ac:dyDescent="0.3">
      <c r="A1527" s="72"/>
      <c r="B1527" s="73"/>
      <c r="C1527" s="70"/>
      <c r="D1527" s="74"/>
      <c r="E1527" s="75"/>
      <c r="F1527" s="75"/>
      <c r="K1527" s="72"/>
      <c r="L1527" s="73"/>
      <c r="M1527" s="70"/>
      <c r="N1527" s="74"/>
      <c r="O1527" s="75"/>
      <c r="P1527" s="75"/>
      <c r="U1527" s="72"/>
      <c r="V1527" s="73"/>
      <c r="W1527" s="70"/>
      <c r="X1527" s="74"/>
      <c r="Y1527" s="75"/>
      <c r="Z1527" s="75"/>
    </row>
    <row r="1528" spans="1:26" x14ac:dyDescent="0.3">
      <c r="A1528" s="72"/>
      <c r="B1528" s="73"/>
      <c r="C1528" s="70"/>
      <c r="D1528" s="74"/>
      <c r="E1528" s="75"/>
      <c r="F1528" s="75"/>
      <c r="K1528" s="72"/>
      <c r="L1528" s="73"/>
      <c r="M1528" s="70"/>
      <c r="N1528" s="74"/>
      <c r="O1528" s="75"/>
      <c r="P1528" s="75"/>
      <c r="U1528" s="72"/>
      <c r="V1528" s="73"/>
      <c r="W1528" s="70"/>
      <c r="X1528" s="74"/>
      <c r="Y1528" s="75"/>
      <c r="Z1528" s="75"/>
    </row>
    <row r="1529" spans="1:26" x14ac:dyDescent="0.3">
      <c r="A1529" s="72"/>
      <c r="B1529" s="73"/>
      <c r="C1529" s="70"/>
      <c r="D1529" s="74"/>
      <c r="E1529" s="75"/>
      <c r="F1529" s="75"/>
      <c r="K1529" s="72"/>
      <c r="L1529" s="73"/>
      <c r="M1529" s="70"/>
      <c r="N1529" s="74"/>
      <c r="O1529" s="75"/>
      <c r="P1529" s="75"/>
      <c r="U1529" s="72"/>
      <c r="V1529" s="73"/>
      <c r="W1529" s="70"/>
      <c r="X1529" s="74"/>
      <c r="Y1529" s="75"/>
      <c r="Z1529" s="75"/>
    </row>
    <row r="1530" spans="1:26" x14ac:dyDescent="0.3">
      <c r="A1530" s="72"/>
      <c r="B1530" s="73"/>
      <c r="C1530" s="70"/>
      <c r="D1530" s="74"/>
      <c r="E1530" s="75"/>
      <c r="F1530" s="75"/>
      <c r="K1530" s="72"/>
      <c r="L1530" s="73"/>
      <c r="M1530" s="70"/>
      <c r="N1530" s="74"/>
      <c r="O1530" s="75"/>
      <c r="P1530" s="75"/>
      <c r="U1530" s="72"/>
      <c r="V1530" s="73"/>
      <c r="W1530" s="70"/>
      <c r="X1530" s="74"/>
      <c r="Y1530" s="75"/>
      <c r="Z1530" s="75"/>
    </row>
    <row r="1531" spans="1:26" x14ac:dyDescent="0.3">
      <c r="A1531" s="72"/>
      <c r="B1531" s="73"/>
      <c r="C1531" s="70"/>
      <c r="D1531" s="74"/>
      <c r="E1531" s="75"/>
      <c r="F1531" s="75"/>
      <c r="K1531" s="72"/>
      <c r="L1531" s="73"/>
      <c r="M1531" s="70"/>
      <c r="N1531" s="74"/>
      <c r="O1531" s="75"/>
      <c r="P1531" s="75"/>
      <c r="U1531" s="72"/>
      <c r="V1531" s="73"/>
      <c r="W1531" s="70"/>
      <c r="X1531" s="74"/>
      <c r="Y1531" s="75"/>
      <c r="Z1531" s="75"/>
    </row>
    <row r="1532" spans="1:26" x14ac:dyDescent="0.3">
      <c r="A1532" s="72"/>
      <c r="B1532" s="73"/>
      <c r="C1532" s="70"/>
      <c r="D1532" s="74"/>
      <c r="E1532" s="75"/>
      <c r="F1532" s="75"/>
      <c r="K1532" s="72"/>
      <c r="L1532" s="73"/>
      <c r="M1532" s="70"/>
      <c r="N1532" s="74"/>
      <c r="O1532" s="75"/>
      <c r="P1532" s="75"/>
      <c r="U1532" s="72"/>
      <c r="V1532" s="73"/>
      <c r="W1532" s="70"/>
      <c r="X1532" s="74"/>
      <c r="Y1532" s="75"/>
      <c r="Z1532" s="75"/>
    </row>
    <row r="1533" spans="1:26" x14ac:dyDescent="0.3">
      <c r="A1533" s="72"/>
      <c r="B1533" s="73"/>
      <c r="C1533" s="70"/>
      <c r="D1533" s="74"/>
      <c r="E1533" s="75"/>
      <c r="F1533" s="75"/>
      <c r="K1533" s="72"/>
      <c r="L1533" s="73"/>
      <c r="M1533" s="70"/>
      <c r="N1533" s="74"/>
      <c r="O1533" s="75"/>
      <c r="P1533" s="75"/>
      <c r="U1533" s="72"/>
      <c r="V1533" s="73"/>
      <c r="W1533" s="70"/>
      <c r="X1533" s="74"/>
      <c r="Y1533" s="75"/>
      <c r="Z1533" s="75"/>
    </row>
    <row r="1534" spans="1:26" x14ac:dyDescent="0.3">
      <c r="A1534" s="72"/>
      <c r="B1534" s="73"/>
      <c r="C1534" s="70"/>
      <c r="D1534" s="74"/>
      <c r="E1534" s="75"/>
      <c r="F1534" s="75"/>
      <c r="K1534" s="72"/>
      <c r="L1534" s="73"/>
      <c r="M1534" s="70"/>
      <c r="N1534" s="74"/>
      <c r="O1534" s="75"/>
      <c r="P1534" s="75"/>
      <c r="U1534" s="72"/>
      <c r="V1534" s="73"/>
      <c r="W1534" s="70"/>
      <c r="X1534" s="74"/>
      <c r="Y1534" s="75"/>
      <c r="Z1534" s="75"/>
    </row>
    <row r="1535" spans="1:26" x14ac:dyDescent="0.3">
      <c r="A1535" s="72"/>
      <c r="B1535" s="73"/>
      <c r="C1535" s="70"/>
      <c r="D1535" s="74"/>
      <c r="E1535" s="75"/>
      <c r="F1535" s="75"/>
      <c r="K1535" s="72"/>
      <c r="L1535" s="73"/>
      <c r="M1535" s="70"/>
      <c r="N1535" s="74"/>
      <c r="O1535" s="75"/>
      <c r="P1535" s="75"/>
      <c r="U1535" s="72"/>
      <c r="V1535" s="73"/>
      <c r="W1535" s="70"/>
      <c r="X1535" s="74"/>
      <c r="Y1535" s="75"/>
      <c r="Z1535" s="75"/>
    </row>
    <row r="1536" spans="1:26" x14ac:dyDescent="0.3">
      <c r="A1536" s="72"/>
      <c r="B1536" s="73"/>
      <c r="C1536" s="70"/>
      <c r="D1536" s="74"/>
      <c r="E1536" s="75"/>
      <c r="F1536" s="75"/>
      <c r="K1536" s="72"/>
      <c r="L1536" s="73"/>
      <c r="M1536" s="70"/>
      <c r="N1536" s="74"/>
      <c r="O1536" s="75"/>
      <c r="P1536" s="75"/>
      <c r="U1536" s="72"/>
      <c r="V1536" s="73"/>
      <c r="W1536" s="70"/>
      <c r="X1536" s="74"/>
      <c r="Y1536" s="75"/>
      <c r="Z1536" s="75"/>
    </row>
    <row r="1537" spans="1:26" x14ac:dyDescent="0.3">
      <c r="A1537" s="72"/>
      <c r="B1537" s="73"/>
      <c r="C1537" s="70"/>
      <c r="D1537" s="74"/>
      <c r="E1537" s="75"/>
      <c r="F1537" s="75"/>
      <c r="K1537" s="72"/>
      <c r="L1537" s="73"/>
      <c r="M1537" s="70"/>
      <c r="N1537" s="74"/>
      <c r="O1537" s="75"/>
      <c r="P1537" s="75"/>
      <c r="U1537" s="72"/>
      <c r="V1537" s="73"/>
      <c r="W1537" s="70"/>
      <c r="X1537" s="74"/>
      <c r="Y1537" s="75"/>
      <c r="Z1537" s="75"/>
    </row>
    <row r="1538" spans="1:26" x14ac:dyDescent="0.3">
      <c r="A1538" s="72"/>
      <c r="B1538" s="73"/>
      <c r="C1538" s="70"/>
      <c r="D1538" s="74"/>
      <c r="E1538" s="75"/>
      <c r="F1538" s="75"/>
      <c r="K1538" s="72"/>
      <c r="L1538" s="73"/>
      <c r="M1538" s="70"/>
      <c r="N1538" s="74"/>
      <c r="O1538" s="75"/>
      <c r="P1538" s="75"/>
      <c r="U1538" s="72"/>
      <c r="V1538" s="73"/>
      <c r="W1538" s="70"/>
      <c r="X1538" s="74"/>
      <c r="Y1538" s="75"/>
      <c r="Z1538" s="75"/>
    </row>
    <row r="1539" spans="1:26" x14ac:dyDescent="0.3">
      <c r="A1539" s="72"/>
      <c r="B1539" s="73"/>
      <c r="C1539" s="70"/>
      <c r="D1539" s="74"/>
      <c r="E1539" s="75"/>
      <c r="F1539" s="75"/>
      <c r="K1539" s="72"/>
      <c r="L1539" s="73"/>
      <c r="M1539" s="70"/>
      <c r="N1539" s="74"/>
      <c r="O1539" s="75"/>
      <c r="P1539" s="75"/>
      <c r="U1539" s="72"/>
      <c r="V1539" s="73"/>
      <c r="W1539" s="70"/>
      <c r="X1539" s="74"/>
      <c r="Y1539" s="75"/>
      <c r="Z1539" s="75"/>
    </row>
    <row r="1540" spans="1:26" x14ac:dyDescent="0.3">
      <c r="A1540" s="72"/>
      <c r="B1540" s="73"/>
      <c r="C1540" s="70"/>
      <c r="D1540" s="74"/>
      <c r="E1540" s="75"/>
      <c r="F1540" s="75"/>
      <c r="K1540" s="72"/>
      <c r="L1540" s="73"/>
      <c r="M1540" s="70"/>
      <c r="N1540" s="74"/>
      <c r="O1540" s="75"/>
      <c r="P1540" s="75"/>
      <c r="U1540" s="72"/>
      <c r="V1540" s="73"/>
      <c r="W1540" s="70"/>
      <c r="X1540" s="74"/>
      <c r="Y1540" s="75"/>
      <c r="Z1540" s="75"/>
    </row>
    <row r="1541" spans="1:26" x14ac:dyDescent="0.3">
      <c r="A1541" s="72"/>
      <c r="B1541" s="73"/>
      <c r="C1541" s="70"/>
      <c r="D1541" s="74"/>
      <c r="E1541" s="75"/>
      <c r="F1541" s="75"/>
      <c r="K1541" s="72"/>
      <c r="L1541" s="73"/>
      <c r="M1541" s="70"/>
      <c r="N1541" s="74"/>
      <c r="O1541" s="75"/>
      <c r="P1541" s="75"/>
      <c r="U1541" s="72"/>
      <c r="V1541" s="73"/>
      <c r="W1541" s="70"/>
      <c r="X1541" s="74"/>
      <c r="Y1541" s="75"/>
      <c r="Z1541" s="75"/>
    </row>
    <row r="1542" spans="1:26" x14ac:dyDescent="0.3">
      <c r="A1542" s="72"/>
      <c r="B1542" s="73"/>
      <c r="C1542" s="70"/>
      <c r="D1542" s="74"/>
      <c r="E1542" s="75"/>
      <c r="F1542" s="75"/>
      <c r="K1542" s="72"/>
      <c r="L1542" s="73"/>
      <c r="M1542" s="70"/>
      <c r="N1542" s="74"/>
      <c r="O1542" s="75"/>
      <c r="P1542" s="75"/>
      <c r="U1542" s="72"/>
      <c r="V1542" s="73"/>
      <c r="W1542" s="70"/>
      <c r="X1542" s="74"/>
      <c r="Y1542" s="75"/>
      <c r="Z1542" s="75"/>
    </row>
    <row r="1543" spans="1:26" x14ac:dyDescent="0.3">
      <c r="A1543" s="72"/>
      <c r="B1543" s="73"/>
      <c r="C1543" s="70"/>
      <c r="D1543" s="74"/>
      <c r="E1543" s="75"/>
      <c r="F1543" s="75"/>
      <c r="K1543" s="72"/>
      <c r="L1543" s="73"/>
      <c r="M1543" s="70"/>
      <c r="N1543" s="74"/>
      <c r="O1543" s="75"/>
      <c r="P1543" s="75"/>
      <c r="U1543" s="72"/>
      <c r="V1543" s="73"/>
      <c r="W1543" s="70"/>
      <c r="X1543" s="74"/>
      <c r="Y1543" s="75"/>
      <c r="Z1543" s="75"/>
    </row>
    <row r="1544" spans="1:26" x14ac:dyDescent="0.3">
      <c r="A1544" s="72"/>
      <c r="B1544" s="73"/>
      <c r="C1544" s="70"/>
      <c r="D1544" s="74"/>
      <c r="E1544" s="75"/>
      <c r="F1544" s="75"/>
      <c r="K1544" s="72"/>
      <c r="L1544" s="73"/>
      <c r="M1544" s="70"/>
      <c r="N1544" s="74"/>
      <c r="O1544" s="75"/>
      <c r="P1544" s="75"/>
      <c r="U1544" s="72"/>
      <c r="V1544" s="73"/>
      <c r="W1544" s="70"/>
      <c r="X1544" s="74"/>
      <c r="Y1544" s="75"/>
      <c r="Z1544" s="75"/>
    </row>
    <row r="1545" spans="1:26" x14ac:dyDescent="0.3">
      <c r="A1545" s="72"/>
      <c r="B1545" s="73"/>
      <c r="C1545" s="70"/>
      <c r="D1545" s="74"/>
      <c r="E1545" s="75"/>
      <c r="F1545" s="75"/>
      <c r="K1545" s="72"/>
      <c r="L1545" s="73"/>
      <c r="M1545" s="70"/>
      <c r="N1545" s="74"/>
      <c r="O1545" s="75"/>
      <c r="P1545" s="75"/>
      <c r="U1545" s="72"/>
      <c r="V1545" s="73"/>
      <c r="W1545" s="70"/>
      <c r="X1545" s="74"/>
      <c r="Y1545" s="75"/>
      <c r="Z1545" s="75"/>
    </row>
    <row r="1546" spans="1:26" x14ac:dyDescent="0.3">
      <c r="A1546" s="72"/>
      <c r="B1546" s="73"/>
      <c r="C1546" s="70"/>
      <c r="D1546" s="74"/>
      <c r="E1546" s="75"/>
      <c r="F1546" s="75"/>
      <c r="K1546" s="72"/>
      <c r="L1546" s="73"/>
      <c r="M1546" s="70"/>
      <c r="N1546" s="74"/>
      <c r="O1546" s="75"/>
      <c r="P1546" s="75"/>
      <c r="U1546" s="72"/>
      <c r="V1546" s="73"/>
      <c r="W1546" s="70"/>
      <c r="X1546" s="74"/>
      <c r="Y1546" s="75"/>
      <c r="Z1546" s="75"/>
    </row>
    <row r="1547" spans="1:26" x14ac:dyDescent="0.3">
      <c r="A1547" s="72"/>
      <c r="B1547" s="73"/>
      <c r="C1547" s="70"/>
      <c r="D1547" s="74"/>
      <c r="E1547" s="75"/>
      <c r="F1547" s="75"/>
      <c r="K1547" s="72"/>
      <c r="L1547" s="73"/>
      <c r="M1547" s="70"/>
      <c r="N1547" s="74"/>
      <c r="O1547" s="75"/>
      <c r="P1547" s="75"/>
      <c r="U1547" s="72"/>
      <c r="V1547" s="73"/>
      <c r="W1547" s="70"/>
      <c r="X1547" s="74"/>
      <c r="Y1547" s="75"/>
      <c r="Z1547" s="75"/>
    </row>
    <row r="1548" spans="1:26" x14ac:dyDescent="0.3">
      <c r="A1548" s="72"/>
      <c r="B1548" s="73"/>
      <c r="C1548" s="70"/>
      <c r="D1548" s="74"/>
      <c r="E1548" s="75"/>
      <c r="F1548" s="75"/>
      <c r="K1548" s="72"/>
      <c r="L1548" s="73"/>
      <c r="M1548" s="70"/>
      <c r="N1548" s="74"/>
      <c r="O1548" s="75"/>
      <c r="P1548" s="75"/>
      <c r="U1548" s="72"/>
      <c r="V1548" s="73"/>
      <c r="W1548" s="70"/>
      <c r="X1548" s="74"/>
      <c r="Y1548" s="75"/>
      <c r="Z1548" s="75"/>
    </row>
    <row r="1549" spans="1:26" x14ac:dyDescent="0.3">
      <c r="A1549" s="72"/>
      <c r="B1549" s="73"/>
      <c r="C1549" s="70"/>
      <c r="D1549" s="74"/>
      <c r="E1549" s="75"/>
      <c r="F1549" s="75"/>
      <c r="K1549" s="72"/>
      <c r="L1549" s="73"/>
      <c r="M1549" s="70"/>
      <c r="N1549" s="74"/>
      <c r="O1549" s="75"/>
      <c r="P1549" s="75"/>
      <c r="U1549" s="72"/>
      <c r="V1549" s="73"/>
      <c r="W1549" s="70"/>
      <c r="X1549" s="74"/>
      <c r="Y1549" s="75"/>
      <c r="Z1549" s="75"/>
    </row>
    <row r="1550" spans="1:26" x14ac:dyDescent="0.3">
      <c r="A1550" s="72"/>
      <c r="B1550" s="73"/>
      <c r="C1550" s="70"/>
      <c r="D1550" s="74"/>
      <c r="E1550" s="75"/>
      <c r="F1550" s="75"/>
      <c r="K1550" s="72"/>
      <c r="L1550" s="73"/>
      <c r="M1550" s="70"/>
      <c r="N1550" s="74"/>
      <c r="O1550" s="75"/>
      <c r="P1550" s="75"/>
      <c r="U1550" s="72"/>
      <c r="V1550" s="73"/>
      <c r="W1550" s="70"/>
      <c r="X1550" s="74"/>
      <c r="Y1550" s="75"/>
      <c r="Z1550" s="75"/>
    </row>
    <row r="1551" spans="1:26" x14ac:dyDescent="0.3">
      <c r="A1551" s="72"/>
      <c r="B1551" s="73"/>
      <c r="C1551" s="70"/>
      <c r="D1551" s="74"/>
      <c r="E1551" s="75"/>
      <c r="F1551" s="75"/>
      <c r="K1551" s="72"/>
      <c r="L1551" s="73"/>
      <c r="M1551" s="70"/>
      <c r="N1551" s="74"/>
      <c r="O1551" s="75"/>
      <c r="P1551" s="75"/>
      <c r="U1551" s="72"/>
      <c r="V1551" s="73"/>
      <c r="W1551" s="70"/>
      <c r="X1551" s="74"/>
      <c r="Y1551" s="75"/>
      <c r="Z1551" s="75"/>
    </row>
    <row r="1552" spans="1:26" x14ac:dyDescent="0.3">
      <c r="A1552" s="72"/>
      <c r="B1552" s="73"/>
      <c r="C1552" s="70"/>
      <c r="D1552" s="74"/>
      <c r="E1552" s="75"/>
      <c r="F1552" s="75"/>
      <c r="K1552" s="72"/>
      <c r="L1552" s="73"/>
      <c r="M1552" s="70"/>
      <c r="N1552" s="74"/>
      <c r="O1552" s="75"/>
      <c r="P1552" s="75"/>
      <c r="U1552" s="72"/>
      <c r="V1552" s="73"/>
      <c r="W1552" s="70"/>
      <c r="X1552" s="74"/>
      <c r="Y1552" s="75"/>
      <c r="Z1552" s="75"/>
    </row>
    <row r="1553" spans="1:26" x14ac:dyDescent="0.3">
      <c r="A1553" s="72"/>
      <c r="B1553" s="73"/>
      <c r="C1553" s="70"/>
      <c r="D1553" s="74"/>
      <c r="E1553" s="75"/>
      <c r="F1553" s="75"/>
      <c r="K1553" s="72"/>
      <c r="L1553" s="73"/>
      <c r="M1553" s="70"/>
      <c r="N1553" s="74"/>
      <c r="O1553" s="75"/>
      <c r="P1553" s="75"/>
      <c r="U1553" s="72"/>
      <c r="V1553" s="73"/>
      <c r="W1553" s="70"/>
      <c r="X1553" s="74"/>
      <c r="Y1553" s="75"/>
      <c r="Z1553" s="75"/>
    </row>
    <row r="1554" spans="1:26" x14ac:dyDescent="0.3">
      <c r="A1554" s="72"/>
      <c r="B1554" s="73"/>
      <c r="C1554" s="70"/>
      <c r="D1554" s="74"/>
      <c r="E1554" s="75"/>
      <c r="F1554" s="75"/>
      <c r="K1554" s="72"/>
      <c r="L1554" s="73"/>
      <c r="M1554" s="70"/>
      <c r="N1554" s="74"/>
      <c r="O1554" s="75"/>
      <c r="P1554" s="75"/>
      <c r="U1554" s="72"/>
      <c r="V1554" s="73"/>
      <c r="W1554" s="70"/>
      <c r="X1554" s="74"/>
      <c r="Y1554" s="75"/>
      <c r="Z1554" s="75"/>
    </row>
    <row r="1555" spans="1:26" x14ac:dyDescent="0.3">
      <c r="A1555" s="72"/>
      <c r="B1555" s="73"/>
      <c r="C1555" s="70"/>
      <c r="D1555" s="74"/>
      <c r="E1555" s="75"/>
      <c r="F1555" s="75"/>
      <c r="K1555" s="72"/>
      <c r="L1555" s="73"/>
      <c r="M1555" s="70"/>
      <c r="N1555" s="74"/>
      <c r="O1555" s="75"/>
      <c r="P1555" s="75"/>
      <c r="U1555" s="72"/>
      <c r="V1555" s="73"/>
      <c r="W1555" s="70"/>
      <c r="X1555" s="74"/>
      <c r="Y1555" s="75"/>
      <c r="Z1555" s="75"/>
    </row>
    <row r="1556" spans="1:26" x14ac:dyDescent="0.3">
      <c r="A1556" s="72"/>
      <c r="B1556" s="73"/>
      <c r="C1556" s="70"/>
      <c r="D1556" s="74"/>
      <c r="E1556" s="75"/>
      <c r="F1556" s="75"/>
      <c r="K1556" s="72"/>
      <c r="L1556" s="73"/>
      <c r="M1556" s="70"/>
      <c r="N1556" s="74"/>
      <c r="O1556" s="75"/>
      <c r="P1556" s="75"/>
      <c r="U1556" s="72"/>
      <c r="V1556" s="73"/>
      <c r="W1556" s="70"/>
      <c r="X1556" s="74"/>
      <c r="Y1556" s="75"/>
      <c r="Z1556" s="75"/>
    </row>
    <row r="1557" spans="1:26" x14ac:dyDescent="0.3">
      <c r="A1557" s="72"/>
      <c r="B1557" s="73"/>
      <c r="C1557" s="70"/>
      <c r="D1557" s="74"/>
      <c r="E1557" s="75"/>
      <c r="F1557" s="75"/>
      <c r="K1557" s="72"/>
      <c r="L1557" s="73"/>
      <c r="M1557" s="70"/>
      <c r="N1557" s="74"/>
      <c r="O1557" s="75"/>
      <c r="P1557" s="75"/>
      <c r="U1557" s="72"/>
      <c r="V1557" s="73"/>
      <c r="W1557" s="70"/>
      <c r="X1557" s="74"/>
      <c r="Y1557" s="75"/>
      <c r="Z1557" s="75"/>
    </row>
    <row r="1558" spans="1:26" x14ac:dyDescent="0.3">
      <c r="A1558" s="72"/>
      <c r="B1558" s="73"/>
      <c r="C1558" s="70"/>
      <c r="D1558" s="74"/>
      <c r="E1558" s="75"/>
      <c r="F1558" s="75"/>
      <c r="K1558" s="72"/>
      <c r="L1558" s="73"/>
      <c r="M1558" s="70"/>
      <c r="N1558" s="74"/>
      <c r="O1558" s="75"/>
      <c r="P1558" s="75"/>
      <c r="U1558" s="72"/>
      <c r="V1558" s="73"/>
      <c r="W1558" s="70"/>
      <c r="X1558" s="74"/>
      <c r="Y1558" s="75"/>
      <c r="Z1558" s="75"/>
    </row>
    <row r="1559" spans="1:26" x14ac:dyDescent="0.3">
      <c r="A1559" s="72"/>
      <c r="B1559" s="73"/>
      <c r="C1559" s="70"/>
      <c r="D1559" s="74"/>
      <c r="E1559" s="75"/>
      <c r="F1559" s="75"/>
      <c r="K1559" s="72"/>
      <c r="L1559" s="73"/>
      <c r="M1559" s="70"/>
      <c r="N1559" s="74"/>
      <c r="O1559" s="75"/>
      <c r="P1559" s="75"/>
      <c r="U1559" s="72"/>
      <c r="V1559" s="73"/>
      <c r="W1559" s="70"/>
      <c r="X1559" s="74"/>
      <c r="Y1559" s="75"/>
      <c r="Z1559" s="75"/>
    </row>
    <row r="1560" spans="1:26" x14ac:dyDescent="0.3">
      <c r="A1560" s="72"/>
      <c r="B1560" s="73"/>
      <c r="C1560" s="70"/>
      <c r="D1560" s="74"/>
      <c r="E1560" s="75"/>
      <c r="F1560" s="75"/>
      <c r="K1560" s="72"/>
      <c r="L1560" s="73"/>
      <c r="M1560" s="70"/>
      <c r="N1560" s="74"/>
      <c r="O1560" s="75"/>
      <c r="P1560" s="75"/>
      <c r="U1560" s="72"/>
      <c r="V1560" s="73"/>
      <c r="W1560" s="70"/>
      <c r="X1560" s="74"/>
      <c r="Y1560" s="75"/>
      <c r="Z1560" s="75"/>
    </row>
    <row r="1561" spans="1:26" x14ac:dyDescent="0.3">
      <c r="A1561" s="72"/>
      <c r="B1561" s="73"/>
      <c r="C1561" s="70"/>
      <c r="D1561" s="74"/>
      <c r="E1561" s="75"/>
      <c r="F1561" s="75"/>
      <c r="K1561" s="72"/>
      <c r="L1561" s="73"/>
      <c r="M1561" s="70"/>
      <c r="N1561" s="74"/>
      <c r="O1561" s="75"/>
      <c r="P1561" s="75"/>
      <c r="U1561" s="72"/>
      <c r="V1561" s="73"/>
      <c r="W1561" s="70"/>
      <c r="X1561" s="74"/>
      <c r="Y1561" s="75"/>
      <c r="Z1561" s="75"/>
    </row>
    <row r="1562" spans="1:26" x14ac:dyDescent="0.3">
      <c r="A1562" s="72"/>
      <c r="B1562" s="73"/>
      <c r="C1562" s="70"/>
      <c r="D1562" s="74"/>
      <c r="E1562" s="75"/>
      <c r="F1562" s="75"/>
      <c r="K1562" s="72"/>
      <c r="L1562" s="73"/>
      <c r="M1562" s="70"/>
      <c r="N1562" s="74"/>
      <c r="O1562" s="75"/>
      <c r="P1562" s="75"/>
      <c r="U1562" s="72"/>
      <c r="V1562" s="73"/>
      <c r="W1562" s="70"/>
      <c r="X1562" s="74"/>
      <c r="Y1562" s="75"/>
      <c r="Z1562" s="75"/>
    </row>
    <row r="1563" spans="1:26" x14ac:dyDescent="0.3">
      <c r="A1563" s="72"/>
      <c r="B1563" s="73"/>
      <c r="C1563" s="70"/>
      <c r="D1563" s="74"/>
      <c r="E1563" s="75"/>
      <c r="F1563" s="75"/>
      <c r="K1563" s="72"/>
      <c r="L1563" s="73"/>
      <c r="M1563" s="70"/>
      <c r="N1563" s="74"/>
      <c r="O1563" s="75"/>
      <c r="P1563" s="75"/>
      <c r="U1563" s="72"/>
      <c r="V1563" s="73"/>
      <c r="W1563" s="70"/>
      <c r="X1563" s="74"/>
      <c r="Y1563" s="75"/>
      <c r="Z1563" s="75"/>
    </row>
    <row r="1564" spans="1:26" x14ac:dyDescent="0.3">
      <c r="A1564" s="72"/>
      <c r="B1564" s="73"/>
      <c r="C1564" s="70"/>
      <c r="D1564" s="74"/>
      <c r="E1564" s="75"/>
      <c r="F1564" s="75"/>
      <c r="K1564" s="72"/>
      <c r="L1564" s="73"/>
      <c r="M1564" s="70"/>
      <c r="N1564" s="74"/>
      <c r="O1564" s="75"/>
      <c r="P1564" s="75"/>
      <c r="U1564" s="72"/>
      <c r="V1564" s="73"/>
      <c r="W1564" s="70"/>
      <c r="X1564" s="74"/>
      <c r="Y1564" s="75"/>
      <c r="Z1564" s="75"/>
    </row>
    <row r="1565" spans="1:26" x14ac:dyDescent="0.3">
      <c r="A1565" s="72"/>
      <c r="B1565" s="73"/>
      <c r="C1565" s="70"/>
      <c r="D1565" s="74"/>
      <c r="E1565" s="75"/>
      <c r="F1565" s="75"/>
      <c r="K1565" s="72"/>
      <c r="L1565" s="73"/>
      <c r="M1565" s="70"/>
      <c r="N1565" s="74"/>
      <c r="O1565" s="75"/>
      <c r="P1565" s="75"/>
      <c r="U1565" s="72"/>
      <c r="V1565" s="73"/>
      <c r="W1565" s="70"/>
      <c r="X1565" s="74"/>
      <c r="Y1565" s="75"/>
      <c r="Z1565" s="75"/>
    </row>
    <row r="1566" spans="1:26" x14ac:dyDescent="0.3">
      <c r="A1566" s="72"/>
      <c r="B1566" s="73"/>
      <c r="C1566" s="70"/>
      <c r="D1566" s="74"/>
      <c r="E1566" s="75"/>
      <c r="F1566" s="75"/>
      <c r="K1566" s="72"/>
      <c r="L1566" s="73"/>
      <c r="M1566" s="70"/>
      <c r="N1566" s="74"/>
      <c r="O1566" s="75"/>
      <c r="P1566" s="75"/>
      <c r="U1566" s="72"/>
      <c r="V1566" s="73"/>
      <c r="W1566" s="70"/>
      <c r="X1566" s="74"/>
      <c r="Y1566" s="75"/>
      <c r="Z1566" s="75"/>
    </row>
    <row r="1567" spans="1:26" x14ac:dyDescent="0.3">
      <c r="A1567" s="72"/>
      <c r="B1567" s="73"/>
      <c r="C1567" s="70"/>
      <c r="D1567" s="74"/>
      <c r="E1567" s="75"/>
      <c r="F1567" s="75"/>
      <c r="K1567" s="72"/>
      <c r="L1567" s="73"/>
      <c r="M1567" s="70"/>
      <c r="N1567" s="74"/>
      <c r="O1567" s="75"/>
      <c r="P1567" s="75"/>
      <c r="U1567" s="72"/>
      <c r="V1567" s="73"/>
      <c r="W1567" s="70"/>
      <c r="X1567" s="74"/>
      <c r="Y1567" s="75"/>
      <c r="Z1567" s="75"/>
    </row>
    <row r="1568" spans="1:26" x14ac:dyDescent="0.3">
      <c r="A1568" s="72"/>
      <c r="B1568" s="73"/>
      <c r="C1568" s="70"/>
      <c r="D1568" s="74"/>
      <c r="E1568" s="75"/>
      <c r="F1568" s="75"/>
      <c r="K1568" s="72"/>
      <c r="L1568" s="73"/>
      <c r="M1568" s="70"/>
      <c r="N1568" s="74"/>
      <c r="O1568" s="75"/>
      <c r="P1568" s="75"/>
      <c r="U1568" s="72"/>
      <c r="V1568" s="73"/>
      <c r="W1568" s="70"/>
      <c r="X1568" s="74"/>
      <c r="Y1568" s="75"/>
      <c r="Z1568" s="75"/>
    </row>
    <row r="1569" spans="1:26" x14ac:dyDescent="0.3">
      <c r="A1569" s="72"/>
      <c r="B1569" s="73"/>
      <c r="C1569" s="70"/>
      <c r="D1569" s="74"/>
      <c r="E1569" s="75"/>
      <c r="F1569" s="75"/>
      <c r="K1569" s="72"/>
      <c r="L1569" s="73"/>
      <c r="M1569" s="70"/>
      <c r="N1569" s="74"/>
      <c r="O1569" s="75"/>
      <c r="P1569" s="75"/>
      <c r="U1569" s="72"/>
      <c r="V1569" s="73"/>
      <c r="W1569" s="70"/>
      <c r="X1569" s="74"/>
      <c r="Y1569" s="75"/>
      <c r="Z1569" s="75"/>
    </row>
    <row r="1570" spans="1:26" x14ac:dyDescent="0.3">
      <c r="A1570" s="72"/>
      <c r="B1570" s="73"/>
      <c r="C1570" s="70"/>
      <c r="D1570" s="74"/>
      <c r="E1570" s="75"/>
      <c r="F1570" s="75"/>
      <c r="K1570" s="72"/>
      <c r="L1570" s="73"/>
      <c r="M1570" s="70"/>
      <c r="N1570" s="74"/>
      <c r="O1570" s="75"/>
      <c r="P1570" s="75"/>
      <c r="U1570" s="72"/>
      <c r="V1570" s="73"/>
      <c r="W1570" s="70"/>
      <c r="X1570" s="74"/>
      <c r="Y1570" s="75"/>
      <c r="Z1570" s="75"/>
    </row>
    <row r="1571" spans="1:26" x14ac:dyDescent="0.3">
      <c r="A1571" s="72"/>
      <c r="B1571" s="73"/>
      <c r="C1571" s="70"/>
      <c r="D1571" s="74"/>
      <c r="E1571" s="75"/>
      <c r="F1571" s="75"/>
      <c r="K1571" s="72"/>
      <c r="L1571" s="73"/>
      <c r="M1571" s="70"/>
      <c r="N1571" s="74"/>
      <c r="O1571" s="75"/>
      <c r="P1571" s="75"/>
      <c r="U1571" s="72"/>
      <c r="V1571" s="73"/>
      <c r="W1571" s="70"/>
      <c r="X1571" s="74"/>
      <c r="Y1571" s="75"/>
      <c r="Z1571" s="75"/>
    </row>
    <row r="1572" spans="1:26" x14ac:dyDescent="0.3">
      <c r="A1572" s="72"/>
      <c r="B1572" s="73"/>
      <c r="C1572" s="70"/>
      <c r="D1572" s="74"/>
      <c r="E1572" s="75"/>
      <c r="F1572" s="75"/>
      <c r="K1572" s="72"/>
      <c r="L1572" s="73"/>
      <c r="M1572" s="70"/>
      <c r="N1572" s="74"/>
      <c r="O1572" s="75"/>
      <c r="P1572" s="75"/>
      <c r="U1572" s="72"/>
      <c r="V1572" s="73"/>
      <c r="W1572" s="70"/>
      <c r="X1572" s="74"/>
      <c r="Y1572" s="75"/>
      <c r="Z1572" s="75"/>
    </row>
    <row r="1573" spans="1:26" x14ac:dyDescent="0.3">
      <c r="A1573" s="72"/>
      <c r="B1573" s="73"/>
      <c r="C1573" s="70"/>
      <c r="D1573" s="74"/>
      <c r="E1573" s="75"/>
      <c r="F1573" s="75"/>
      <c r="K1573" s="72"/>
      <c r="L1573" s="73"/>
      <c r="M1573" s="70"/>
      <c r="N1573" s="74"/>
      <c r="O1573" s="75"/>
      <c r="P1573" s="75"/>
      <c r="U1573" s="72"/>
      <c r="V1573" s="73"/>
      <c r="W1573" s="70"/>
      <c r="X1573" s="74"/>
      <c r="Y1573" s="75"/>
      <c r="Z1573" s="75"/>
    </row>
    <row r="1574" spans="1:26" x14ac:dyDescent="0.3">
      <c r="A1574" s="72"/>
      <c r="B1574" s="73"/>
      <c r="C1574" s="70"/>
      <c r="D1574" s="74"/>
      <c r="E1574" s="75"/>
      <c r="F1574" s="75"/>
      <c r="K1574" s="72"/>
      <c r="L1574" s="73"/>
      <c r="M1574" s="70"/>
      <c r="N1574" s="74"/>
      <c r="O1574" s="75"/>
      <c r="P1574" s="75"/>
      <c r="U1574" s="72"/>
      <c r="V1574" s="73"/>
      <c r="W1574" s="70"/>
      <c r="X1574" s="74"/>
      <c r="Y1574" s="75"/>
      <c r="Z1574" s="75"/>
    </row>
    <row r="1575" spans="1:26" x14ac:dyDescent="0.3">
      <c r="A1575" s="72"/>
      <c r="B1575" s="73"/>
      <c r="C1575" s="70"/>
      <c r="D1575" s="74"/>
      <c r="E1575" s="75"/>
      <c r="F1575" s="75"/>
      <c r="K1575" s="72"/>
      <c r="L1575" s="73"/>
      <c r="M1575" s="70"/>
      <c r="N1575" s="74"/>
      <c r="O1575" s="75"/>
      <c r="P1575" s="75"/>
      <c r="U1575" s="72"/>
      <c r="V1575" s="73"/>
      <c r="W1575" s="70"/>
      <c r="X1575" s="74"/>
      <c r="Y1575" s="75"/>
      <c r="Z1575" s="75"/>
    </row>
    <row r="1576" spans="1:26" x14ac:dyDescent="0.3">
      <c r="A1576" s="72"/>
      <c r="B1576" s="73"/>
      <c r="C1576" s="70"/>
      <c r="D1576" s="74"/>
      <c r="E1576" s="75"/>
      <c r="F1576" s="75"/>
      <c r="K1576" s="72"/>
      <c r="L1576" s="73"/>
      <c r="M1576" s="70"/>
      <c r="N1576" s="74"/>
      <c r="O1576" s="75"/>
      <c r="P1576" s="75"/>
      <c r="U1576" s="72"/>
      <c r="V1576" s="73"/>
      <c r="W1576" s="70"/>
      <c r="X1576" s="74"/>
      <c r="Y1576" s="75"/>
      <c r="Z1576" s="75"/>
    </row>
    <row r="1577" spans="1:26" x14ac:dyDescent="0.3">
      <c r="A1577" s="72"/>
      <c r="B1577" s="73"/>
      <c r="C1577" s="70"/>
      <c r="D1577" s="74"/>
      <c r="E1577" s="75"/>
      <c r="F1577" s="75"/>
      <c r="K1577" s="72"/>
      <c r="L1577" s="73"/>
      <c r="M1577" s="70"/>
      <c r="N1577" s="74"/>
      <c r="O1577" s="75"/>
      <c r="P1577" s="75"/>
      <c r="U1577" s="72"/>
      <c r="V1577" s="73"/>
      <c r="W1577" s="70"/>
      <c r="X1577" s="74"/>
      <c r="Y1577" s="75"/>
      <c r="Z1577" s="75"/>
    </row>
    <row r="1578" spans="1:26" x14ac:dyDescent="0.3">
      <c r="A1578" s="72"/>
      <c r="B1578" s="73"/>
      <c r="C1578" s="70"/>
      <c r="D1578" s="74"/>
      <c r="E1578" s="75"/>
      <c r="F1578" s="75"/>
      <c r="K1578" s="72"/>
      <c r="L1578" s="73"/>
      <c r="M1578" s="70"/>
      <c r="N1578" s="74"/>
      <c r="O1578" s="75"/>
      <c r="P1578" s="75"/>
      <c r="U1578" s="72"/>
      <c r="V1578" s="73"/>
      <c r="W1578" s="70"/>
      <c r="X1578" s="74"/>
      <c r="Y1578" s="75"/>
      <c r="Z1578" s="75"/>
    </row>
    <row r="1579" spans="1:26" x14ac:dyDescent="0.3">
      <c r="A1579" s="72"/>
      <c r="B1579" s="73"/>
      <c r="C1579" s="70"/>
      <c r="D1579" s="74"/>
      <c r="E1579" s="75"/>
      <c r="F1579" s="75"/>
      <c r="K1579" s="72"/>
      <c r="L1579" s="73"/>
      <c r="M1579" s="70"/>
      <c r="N1579" s="74"/>
      <c r="O1579" s="75"/>
      <c r="P1579" s="75"/>
      <c r="U1579" s="72"/>
      <c r="V1579" s="73"/>
      <c r="W1579" s="70"/>
      <c r="X1579" s="74"/>
      <c r="Y1579" s="75"/>
      <c r="Z1579" s="75"/>
    </row>
    <row r="1580" spans="1:26" x14ac:dyDescent="0.3">
      <c r="A1580" s="72"/>
      <c r="B1580" s="73"/>
      <c r="C1580" s="70"/>
      <c r="D1580" s="74"/>
      <c r="E1580" s="75"/>
      <c r="F1580" s="75"/>
      <c r="K1580" s="72"/>
      <c r="L1580" s="73"/>
      <c r="M1580" s="70"/>
      <c r="N1580" s="74"/>
      <c r="O1580" s="75"/>
      <c r="P1580" s="75"/>
      <c r="U1580" s="72"/>
      <c r="V1580" s="73"/>
      <c r="W1580" s="70"/>
      <c r="X1580" s="74"/>
      <c r="Y1580" s="75"/>
      <c r="Z1580" s="75"/>
    </row>
    <row r="1581" spans="1:26" x14ac:dyDescent="0.3">
      <c r="A1581" s="72"/>
      <c r="B1581" s="73"/>
      <c r="C1581" s="70"/>
      <c r="D1581" s="74"/>
      <c r="E1581" s="75"/>
      <c r="F1581" s="75"/>
      <c r="K1581" s="72"/>
      <c r="L1581" s="73"/>
      <c r="M1581" s="70"/>
      <c r="N1581" s="74"/>
      <c r="O1581" s="75"/>
      <c r="P1581" s="75"/>
      <c r="U1581" s="72"/>
      <c r="V1581" s="73"/>
      <c r="W1581" s="70"/>
      <c r="X1581" s="74"/>
      <c r="Y1581" s="75"/>
      <c r="Z1581" s="75"/>
    </row>
    <row r="1582" spans="1:26" x14ac:dyDescent="0.3">
      <c r="A1582" s="72"/>
      <c r="B1582" s="73"/>
      <c r="C1582" s="70"/>
      <c r="D1582" s="74"/>
      <c r="E1582" s="75"/>
      <c r="F1582" s="75"/>
      <c r="K1582" s="72"/>
      <c r="L1582" s="73"/>
      <c r="M1582" s="70"/>
      <c r="N1582" s="74"/>
      <c r="O1582" s="75"/>
      <c r="P1582" s="75"/>
      <c r="U1582" s="72"/>
      <c r="V1582" s="73"/>
      <c r="W1582" s="70"/>
      <c r="X1582" s="74"/>
      <c r="Y1582" s="75"/>
      <c r="Z1582" s="75"/>
    </row>
    <row r="1583" spans="1:26" x14ac:dyDescent="0.3">
      <c r="A1583" s="72"/>
      <c r="B1583" s="73"/>
      <c r="C1583" s="70"/>
      <c r="D1583" s="74"/>
      <c r="E1583" s="75"/>
      <c r="F1583" s="75"/>
      <c r="K1583" s="72"/>
      <c r="L1583" s="73"/>
      <c r="M1583" s="70"/>
      <c r="N1583" s="74"/>
      <c r="O1583" s="75"/>
      <c r="P1583" s="75"/>
      <c r="U1583" s="72"/>
      <c r="V1583" s="73"/>
      <c r="W1583" s="70"/>
      <c r="X1583" s="74"/>
      <c r="Y1583" s="75"/>
      <c r="Z1583" s="75"/>
    </row>
    <row r="1584" spans="1:26" x14ac:dyDescent="0.3">
      <c r="A1584" s="72"/>
      <c r="B1584" s="73"/>
      <c r="C1584" s="70"/>
      <c r="D1584" s="74"/>
      <c r="E1584" s="75"/>
      <c r="F1584" s="75"/>
      <c r="K1584" s="72"/>
      <c r="L1584" s="73"/>
      <c r="M1584" s="70"/>
      <c r="N1584" s="74"/>
      <c r="O1584" s="75"/>
      <c r="P1584" s="75"/>
      <c r="U1584" s="72"/>
      <c r="V1584" s="73"/>
      <c r="W1584" s="70"/>
      <c r="X1584" s="74"/>
      <c r="Y1584" s="75"/>
      <c r="Z1584" s="75"/>
    </row>
    <row r="1585" spans="1:26" x14ac:dyDescent="0.3">
      <c r="A1585" s="72"/>
      <c r="B1585" s="73"/>
      <c r="C1585" s="70"/>
      <c r="D1585" s="74"/>
      <c r="E1585" s="75"/>
      <c r="F1585" s="75"/>
      <c r="K1585" s="72"/>
      <c r="L1585" s="73"/>
      <c r="M1585" s="70"/>
      <c r="N1585" s="74"/>
      <c r="O1585" s="75"/>
      <c r="P1585" s="75"/>
      <c r="U1585" s="72"/>
      <c r="V1585" s="73"/>
      <c r="W1585" s="70"/>
      <c r="X1585" s="74"/>
      <c r="Y1585" s="75"/>
      <c r="Z1585" s="75"/>
    </row>
    <row r="1586" spans="1:26" x14ac:dyDescent="0.3">
      <c r="A1586" s="72"/>
      <c r="B1586" s="73"/>
      <c r="C1586" s="70"/>
      <c r="D1586" s="74"/>
      <c r="E1586" s="75"/>
      <c r="F1586" s="75"/>
      <c r="K1586" s="72"/>
      <c r="L1586" s="73"/>
      <c r="M1586" s="70"/>
      <c r="N1586" s="74"/>
      <c r="O1586" s="75"/>
      <c r="P1586" s="75"/>
      <c r="U1586" s="72"/>
      <c r="V1586" s="73"/>
      <c r="W1586" s="70"/>
      <c r="X1586" s="74"/>
      <c r="Y1586" s="75"/>
      <c r="Z1586" s="75"/>
    </row>
    <row r="1587" spans="1:26" x14ac:dyDescent="0.3">
      <c r="A1587" s="72"/>
      <c r="B1587" s="73"/>
      <c r="C1587" s="70"/>
      <c r="D1587" s="74"/>
      <c r="E1587" s="75"/>
      <c r="F1587" s="75"/>
      <c r="K1587" s="72"/>
      <c r="L1587" s="73"/>
      <c r="M1587" s="70"/>
      <c r="N1587" s="74"/>
      <c r="O1587" s="75"/>
      <c r="P1587" s="75"/>
      <c r="U1587" s="72"/>
      <c r="V1587" s="73"/>
      <c r="W1587" s="70"/>
      <c r="X1587" s="74"/>
      <c r="Y1587" s="75"/>
      <c r="Z1587" s="75"/>
    </row>
    <row r="1588" spans="1:26" x14ac:dyDescent="0.3">
      <c r="A1588" s="72"/>
      <c r="B1588" s="73"/>
      <c r="C1588" s="70"/>
      <c r="D1588" s="74"/>
      <c r="E1588" s="75"/>
      <c r="F1588" s="75"/>
      <c r="K1588" s="72"/>
      <c r="L1588" s="73"/>
      <c r="M1588" s="70"/>
      <c r="N1588" s="74"/>
      <c r="O1588" s="75"/>
      <c r="P1588" s="75"/>
      <c r="U1588" s="72"/>
      <c r="V1588" s="73"/>
      <c r="W1588" s="70"/>
      <c r="X1588" s="74"/>
      <c r="Y1588" s="75"/>
      <c r="Z1588" s="75"/>
    </row>
    <row r="1589" spans="1:26" x14ac:dyDescent="0.3">
      <c r="A1589" s="72"/>
      <c r="B1589" s="73"/>
      <c r="C1589" s="70"/>
      <c r="D1589" s="74"/>
      <c r="E1589" s="75"/>
      <c r="F1589" s="75"/>
      <c r="K1589" s="72"/>
      <c r="L1589" s="73"/>
      <c r="M1589" s="70"/>
      <c r="N1589" s="74"/>
      <c r="O1589" s="75"/>
      <c r="P1589" s="75"/>
      <c r="U1589" s="72"/>
      <c r="V1589" s="73"/>
      <c r="W1589" s="70"/>
      <c r="X1589" s="74"/>
      <c r="Y1589" s="75"/>
      <c r="Z1589" s="75"/>
    </row>
    <row r="1590" spans="1:26" x14ac:dyDescent="0.3">
      <c r="A1590" s="72"/>
      <c r="B1590" s="73"/>
      <c r="C1590" s="70"/>
      <c r="D1590" s="74"/>
      <c r="E1590" s="75"/>
      <c r="F1590" s="75"/>
      <c r="K1590" s="72"/>
      <c r="L1590" s="73"/>
      <c r="M1590" s="70"/>
      <c r="N1590" s="74"/>
      <c r="O1590" s="75"/>
      <c r="P1590" s="75"/>
      <c r="U1590" s="72"/>
      <c r="V1590" s="73"/>
      <c r="W1590" s="70"/>
      <c r="X1590" s="74"/>
      <c r="Y1590" s="75"/>
      <c r="Z1590" s="75"/>
    </row>
    <row r="1591" spans="1:26" x14ac:dyDescent="0.3">
      <c r="A1591" s="72"/>
      <c r="B1591" s="73"/>
      <c r="C1591" s="70"/>
      <c r="D1591" s="74"/>
      <c r="E1591" s="75"/>
      <c r="F1591" s="75"/>
      <c r="K1591" s="72"/>
      <c r="L1591" s="73"/>
      <c r="M1591" s="70"/>
      <c r="N1591" s="74"/>
      <c r="O1591" s="75"/>
      <c r="P1591" s="75"/>
      <c r="U1591" s="72"/>
      <c r="V1591" s="73"/>
      <c r="W1591" s="70"/>
      <c r="X1591" s="74"/>
      <c r="Y1591" s="75"/>
      <c r="Z1591" s="75"/>
    </row>
    <row r="1592" spans="1:26" x14ac:dyDescent="0.3">
      <c r="A1592" s="72"/>
      <c r="B1592" s="73"/>
      <c r="C1592" s="70"/>
      <c r="D1592" s="74"/>
      <c r="E1592" s="75"/>
      <c r="F1592" s="75"/>
      <c r="K1592" s="72"/>
      <c r="L1592" s="73"/>
      <c r="M1592" s="70"/>
      <c r="N1592" s="74"/>
      <c r="O1592" s="75"/>
      <c r="P1592" s="75"/>
      <c r="U1592" s="72"/>
      <c r="V1592" s="73"/>
      <c r="W1592" s="70"/>
      <c r="X1592" s="74"/>
      <c r="Y1592" s="75"/>
      <c r="Z1592" s="75"/>
    </row>
    <row r="1593" spans="1:26" x14ac:dyDescent="0.3">
      <c r="A1593" s="72"/>
      <c r="B1593" s="73"/>
      <c r="C1593" s="70"/>
      <c r="D1593" s="74"/>
      <c r="E1593" s="75"/>
      <c r="F1593" s="75"/>
      <c r="K1593" s="72"/>
      <c r="L1593" s="73"/>
      <c r="M1593" s="70"/>
      <c r="N1593" s="74"/>
      <c r="O1593" s="75"/>
      <c r="P1593" s="75"/>
      <c r="U1593" s="72"/>
      <c r="V1593" s="73"/>
      <c r="W1593" s="70"/>
      <c r="X1593" s="74"/>
      <c r="Y1593" s="75"/>
      <c r="Z1593" s="75"/>
    </row>
    <row r="1594" spans="1:26" x14ac:dyDescent="0.3">
      <c r="A1594" s="72"/>
      <c r="B1594" s="73"/>
      <c r="C1594" s="70"/>
      <c r="D1594" s="74"/>
      <c r="E1594" s="75"/>
      <c r="F1594" s="75"/>
      <c r="K1594" s="72"/>
      <c r="L1594" s="73"/>
      <c r="M1594" s="70"/>
      <c r="N1594" s="74"/>
      <c r="O1594" s="75"/>
      <c r="P1594" s="75"/>
      <c r="U1594" s="72"/>
      <c r="V1594" s="73"/>
      <c r="W1594" s="70"/>
      <c r="X1594" s="74"/>
      <c r="Y1594" s="75"/>
      <c r="Z1594" s="75"/>
    </row>
    <row r="1595" spans="1:26" x14ac:dyDescent="0.3">
      <c r="A1595" s="72"/>
      <c r="B1595" s="73"/>
      <c r="C1595" s="70"/>
      <c r="D1595" s="74"/>
      <c r="E1595" s="75"/>
      <c r="F1595" s="75"/>
      <c r="K1595" s="72"/>
      <c r="L1595" s="73"/>
      <c r="M1595" s="70"/>
      <c r="N1595" s="74"/>
      <c r="O1595" s="75"/>
      <c r="P1595" s="75"/>
      <c r="U1595" s="72"/>
      <c r="V1595" s="73"/>
      <c r="W1595" s="70"/>
      <c r="X1595" s="74"/>
      <c r="Y1595" s="75"/>
      <c r="Z1595" s="75"/>
    </row>
    <row r="1596" spans="1:26" x14ac:dyDescent="0.3">
      <c r="A1596" s="72"/>
      <c r="B1596" s="73"/>
      <c r="C1596" s="70"/>
      <c r="D1596" s="74"/>
      <c r="E1596" s="75"/>
      <c r="F1596" s="75"/>
      <c r="K1596" s="72"/>
      <c r="L1596" s="73"/>
      <c r="M1596" s="70"/>
      <c r="N1596" s="74"/>
      <c r="O1596" s="75"/>
      <c r="P1596" s="75"/>
      <c r="U1596" s="72"/>
      <c r="V1596" s="73"/>
      <c r="W1596" s="70"/>
      <c r="X1596" s="74"/>
      <c r="Y1596" s="75"/>
      <c r="Z1596" s="75"/>
    </row>
    <row r="1597" spans="1:26" x14ac:dyDescent="0.3">
      <c r="A1597" s="72"/>
      <c r="B1597" s="73"/>
      <c r="C1597" s="70"/>
      <c r="D1597" s="74"/>
      <c r="E1597" s="75"/>
      <c r="F1597" s="75"/>
      <c r="K1597" s="72"/>
      <c r="L1597" s="73"/>
      <c r="M1597" s="70"/>
      <c r="N1597" s="74"/>
      <c r="O1597" s="75"/>
      <c r="P1597" s="75"/>
      <c r="U1597" s="72"/>
      <c r="V1597" s="73"/>
      <c r="W1597" s="70"/>
      <c r="X1597" s="74"/>
      <c r="Y1597" s="75"/>
      <c r="Z1597" s="75"/>
    </row>
    <row r="1598" spans="1:26" x14ac:dyDescent="0.3">
      <c r="A1598" s="72"/>
      <c r="B1598" s="73"/>
      <c r="C1598" s="70"/>
      <c r="D1598" s="74"/>
      <c r="E1598" s="75"/>
      <c r="F1598" s="75"/>
      <c r="K1598" s="72"/>
      <c r="L1598" s="73"/>
      <c r="M1598" s="70"/>
      <c r="N1598" s="74"/>
      <c r="O1598" s="75"/>
      <c r="P1598" s="75"/>
      <c r="U1598" s="72"/>
      <c r="V1598" s="73"/>
      <c r="W1598" s="70"/>
      <c r="X1598" s="74"/>
      <c r="Y1598" s="75"/>
      <c r="Z1598" s="75"/>
    </row>
    <row r="1599" spans="1:26" x14ac:dyDescent="0.3">
      <c r="A1599" s="72"/>
      <c r="B1599" s="73"/>
      <c r="C1599" s="70"/>
      <c r="D1599" s="74"/>
      <c r="E1599" s="75"/>
      <c r="F1599" s="75"/>
      <c r="K1599" s="72"/>
      <c r="L1599" s="73"/>
      <c r="M1599" s="70"/>
      <c r="N1599" s="74"/>
      <c r="O1599" s="75"/>
      <c r="P1599" s="75"/>
      <c r="U1599" s="72"/>
      <c r="V1599" s="73"/>
      <c r="W1599" s="70"/>
      <c r="X1599" s="74"/>
      <c r="Y1599" s="75"/>
      <c r="Z1599" s="75"/>
    </row>
    <row r="1600" spans="1:26" x14ac:dyDescent="0.3">
      <c r="A1600" s="72"/>
      <c r="B1600" s="73"/>
      <c r="C1600" s="70"/>
      <c r="D1600" s="74"/>
      <c r="E1600" s="75"/>
      <c r="F1600" s="75"/>
      <c r="K1600" s="72"/>
      <c r="L1600" s="73"/>
      <c r="M1600" s="70"/>
      <c r="N1600" s="74"/>
      <c r="O1600" s="75"/>
      <c r="P1600" s="75"/>
      <c r="U1600" s="72"/>
      <c r="V1600" s="73"/>
      <c r="W1600" s="70"/>
      <c r="X1600" s="74"/>
      <c r="Y1600" s="75"/>
      <c r="Z1600" s="75"/>
    </row>
    <row r="1601" spans="1:26" x14ac:dyDescent="0.3">
      <c r="A1601" s="72"/>
      <c r="B1601" s="73"/>
      <c r="C1601" s="70"/>
      <c r="D1601" s="74"/>
      <c r="E1601" s="75"/>
      <c r="F1601" s="75"/>
      <c r="K1601" s="72"/>
      <c r="L1601" s="73"/>
      <c r="M1601" s="70"/>
      <c r="N1601" s="74"/>
      <c r="O1601" s="75"/>
      <c r="P1601" s="75"/>
      <c r="U1601" s="72"/>
      <c r="V1601" s="73"/>
      <c r="W1601" s="70"/>
      <c r="X1601" s="74"/>
      <c r="Y1601" s="75"/>
      <c r="Z1601" s="75"/>
    </row>
    <row r="1602" spans="1:26" x14ac:dyDescent="0.3">
      <c r="A1602" s="72"/>
      <c r="B1602" s="73"/>
      <c r="C1602" s="70"/>
      <c r="D1602" s="74"/>
      <c r="E1602" s="75"/>
      <c r="F1602" s="75"/>
      <c r="K1602" s="72"/>
      <c r="L1602" s="73"/>
      <c r="M1602" s="70"/>
      <c r="N1602" s="74"/>
      <c r="O1602" s="75"/>
      <c r="P1602" s="75"/>
      <c r="U1602" s="72"/>
      <c r="V1602" s="73"/>
      <c r="W1602" s="70"/>
      <c r="X1602" s="74"/>
      <c r="Y1602" s="75"/>
      <c r="Z1602" s="75"/>
    </row>
    <row r="1603" spans="1:26" x14ac:dyDescent="0.3">
      <c r="A1603" s="72"/>
      <c r="B1603" s="73"/>
      <c r="C1603" s="70"/>
      <c r="D1603" s="74"/>
      <c r="E1603" s="75"/>
      <c r="F1603" s="75"/>
      <c r="K1603" s="72"/>
      <c r="L1603" s="73"/>
      <c r="M1603" s="70"/>
      <c r="N1603" s="74"/>
      <c r="O1603" s="75"/>
      <c r="P1603" s="75"/>
      <c r="U1603" s="72"/>
      <c r="V1603" s="73"/>
      <c r="W1603" s="70"/>
      <c r="X1603" s="74"/>
      <c r="Y1603" s="75"/>
      <c r="Z1603" s="75"/>
    </row>
    <row r="1604" spans="1:26" x14ac:dyDescent="0.3">
      <c r="A1604" s="72"/>
      <c r="B1604" s="73"/>
      <c r="C1604" s="70"/>
      <c r="D1604" s="74"/>
      <c r="E1604" s="75"/>
      <c r="F1604" s="75"/>
      <c r="K1604" s="72"/>
      <c r="L1604" s="73"/>
      <c r="M1604" s="70"/>
      <c r="N1604" s="74"/>
      <c r="O1604" s="75"/>
      <c r="P1604" s="75"/>
      <c r="U1604" s="72"/>
      <c r="V1604" s="73"/>
      <c r="W1604" s="70"/>
      <c r="X1604" s="74"/>
      <c r="Y1604" s="75"/>
      <c r="Z1604" s="75"/>
    </row>
    <row r="1605" spans="1:26" x14ac:dyDescent="0.3">
      <c r="A1605" s="72"/>
      <c r="B1605" s="73"/>
      <c r="C1605" s="70"/>
      <c r="D1605" s="74"/>
      <c r="E1605" s="75"/>
      <c r="F1605" s="75"/>
      <c r="K1605" s="72"/>
      <c r="L1605" s="73"/>
      <c r="M1605" s="70"/>
      <c r="N1605" s="74"/>
      <c r="O1605" s="75"/>
      <c r="P1605" s="75"/>
      <c r="U1605" s="72"/>
      <c r="V1605" s="73"/>
      <c r="W1605" s="70"/>
      <c r="X1605" s="74"/>
      <c r="Y1605" s="75"/>
      <c r="Z1605" s="75"/>
    </row>
    <row r="1606" spans="1:26" x14ac:dyDescent="0.3">
      <c r="A1606" s="72"/>
      <c r="B1606" s="73"/>
      <c r="C1606" s="70"/>
      <c r="D1606" s="74"/>
      <c r="E1606" s="75"/>
      <c r="F1606" s="75"/>
      <c r="K1606" s="72"/>
      <c r="L1606" s="73"/>
      <c r="M1606" s="70"/>
      <c r="N1606" s="74"/>
      <c r="O1606" s="75"/>
      <c r="P1606" s="75"/>
      <c r="U1606" s="72"/>
      <c r="V1606" s="73"/>
      <c r="W1606" s="70"/>
      <c r="X1606" s="74"/>
      <c r="Y1606" s="75"/>
      <c r="Z1606" s="75"/>
    </row>
    <row r="1607" spans="1:26" x14ac:dyDescent="0.3">
      <c r="A1607" s="72"/>
      <c r="B1607" s="73"/>
      <c r="C1607" s="70"/>
      <c r="D1607" s="74"/>
      <c r="E1607" s="75"/>
      <c r="F1607" s="75"/>
      <c r="K1607" s="72"/>
      <c r="L1607" s="73"/>
      <c r="M1607" s="70"/>
      <c r="N1607" s="74"/>
      <c r="O1607" s="75"/>
      <c r="P1607" s="75"/>
      <c r="U1607" s="72"/>
      <c r="V1607" s="73"/>
      <c r="W1607" s="70"/>
      <c r="X1607" s="74"/>
      <c r="Y1607" s="75"/>
      <c r="Z1607" s="75"/>
    </row>
    <row r="1608" spans="1:26" x14ac:dyDescent="0.3">
      <c r="A1608" s="72"/>
      <c r="B1608" s="73"/>
      <c r="C1608" s="70"/>
      <c r="D1608" s="74"/>
      <c r="E1608" s="75"/>
      <c r="F1608" s="75"/>
      <c r="K1608" s="72"/>
      <c r="L1608" s="73"/>
      <c r="M1608" s="70"/>
      <c r="N1608" s="74"/>
      <c r="O1608" s="75"/>
      <c r="P1608" s="75"/>
      <c r="U1608" s="72"/>
      <c r="V1608" s="73"/>
      <c r="W1608" s="70"/>
      <c r="X1608" s="74"/>
      <c r="Y1608" s="75"/>
      <c r="Z1608" s="75"/>
    </row>
    <row r="1609" spans="1:26" x14ac:dyDescent="0.3">
      <c r="A1609" s="72"/>
      <c r="B1609" s="73"/>
      <c r="C1609" s="70"/>
      <c r="D1609" s="74"/>
      <c r="E1609" s="75"/>
      <c r="F1609" s="75"/>
      <c r="K1609" s="72"/>
      <c r="L1609" s="73"/>
      <c r="M1609" s="70"/>
      <c r="N1609" s="74"/>
      <c r="O1609" s="75"/>
      <c r="P1609" s="75"/>
      <c r="U1609" s="72"/>
      <c r="V1609" s="73"/>
      <c r="W1609" s="70"/>
      <c r="X1609" s="74"/>
      <c r="Y1609" s="75"/>
      <c r="Z1609" s="75"/>
    </row>
    <row r="1610" spans="1:26" x14ac:dyDescent="0.3">
      <c r="A1610" s="72"/>
      <c r="B1610" s="73"/>
      <c r="C1610" s="70"/>
      <c r="D1610" s="74"/>
      <c r="E1610" s="75"/>
      <c r="F1610" s="75"/>
      <c r="K1610" s="72"/>
      <c r="L1610" s="73"/>
      <c r="M1610" s="70"/>
      <c r="N1610" s="74"/>
      <c r="O1610" s="75"/>
      <c r="P1610" s="75"/>
      <c r="U1610" s="72"/>
      <c r="V1610" s="73"/>
      <c r="W1610" s="70"/>
      <c r="X1610" s="74"/>
      <c r="Y1610" s="75"/>
      <c r="Z1610" s="75"/>
    </row>
    <row r="1611" spans="1:26" x14ac:dyDescent="0.3">
      <c r="A1611" s="72"/>
      <c r="B1611" s="73"/>
      <c r="C1611" s="70"/>
      <c r="D1611" s="74"/>
      <c r="E1611" s="75"/>
      <c r="F1611" s="75"/>
      <c r="K1611" s="72"/>
      <c r="L1611" s="73"/>
      <c r="M1611" s="70"/>
      <c r="N1611" s="74"/>
      <c r="O1611" s="75"/>
      <c r="P1611" s="75"/>
      <c r="U1611" s="72"/>
      <c r="V1611" s="73"/>
      <c r="W1611" s="70"/>
      <c r="X1611" s="74"/>
      <c r="Y1611" s="75"/>
      <c r="Z1611" s="75"/>
    </row>
    <row r="1612" spans="1:26" x14ac:dyDescent="0.3">
      <c r="A1612" s="72"/>
      <c r="B1612" s="73"/>
      <c r="C1612" s="70"/>
      <c r="D1612" s="74"/>
      <c r="E1612" s="75"/>
      <c r="F1612" s="75"/>
      <c r="K1612" s="72"/>
      <c r="L1612" s="73"/>
      <c r="M1612" s="70"/>
      <c r="N1612" s="74"/>
      <c r="O1612" s="75"/>
      <c r="P1612" s="75"/>
      <c r="U1612" s="72"/>
      <c r="V1612" s="73"/>
      <c r="W1612" s="70"/>
      <c r="X1612" s="74"/>
      <c r="Y1612" s="75"/>
      <c r="Z1612" s="75"/>
    </row>
    <row r="1613" spans="1:26" x14ac:dyDescent="0.3">
      <c r="A1613" s="72"/>
      <c r="B1613" s="73"/>
      <c r="C1613" s="70"/>
      <c r="D1613" s="74"/>
      <c r="E1613" s="75"/>
      <c r="F1613" s="75"/>
      <c r="K1613" s="72"/>
      <c r="L1613" s="73"/>
      <c r="M1613" s="70"/>
      <c r="N1613" s="74"/>
      <c r="O1613" s="75"/>
      <c r="P1613" s="75"/>
      <c r="U1613" s="72"/>
      <c r="V1613" s="73"/>
      <c r="W1613" s="70"/>
      <c r="X1613" s="74"/>
      <c r="Y1613" s="75"/>
      <c r="Z1613" s="75"/>
    </row>
    <row r="1614" spans="1:26" x14ac:dyDescent="0.3">
      <c r="A1614" s="72"/>
      <c r="B1614" s="73"/>
      <c r="C1614" s="70"/>
      <c r="D1614" s="74"/>
      <c r="E1614" s="75"/>
      <c r="F1614" s="75"/>
      <c r="K1614" s="72"/>
      <c r="L1614" s="73"/>
      <c r="M1614" s="70"/>
      <c r="N1614" s="74"/>
      <c r="O1614" s="75"/>
      <c r="P1614" s="75"/>
      <c r="U1614" s="72"/>
      <c r="V1614" s="73"/>
      <c r="W1614" s="70"/>
      <c r="X1614" s="74"/>
      <c r="Y1614" s="75"/>
      <c r="Z1614" s="75"/>
    </row>
    <row r="1615" spans="1:26" x14ac:dyDescent="0.3">
      <c r="A1615" s="72"/>
      <c r="B1615" s="73"/>
      <c r="C1615" s="70"/>
      <c r="D1615" s="74"/>
      <c r="E1615" s="75"/>
      <c r="F1615" s="75"/>
      <c r="K1615" s="72"/>
      <c r="L1615" s="73"/>
      <c r="M1615" s="70"/>
      <c r="N1615" s="74"/>
      <c r="O1615" s="75"/>
      <c r="P1615" s="75"/>
      <c r="U1615" s="72"/>
      <c r="V1615" s="73"/>
      <c r="W1615" s="70"/>
      <c r="X1615" s="74"/>
      <c r="Y1615" s="75"/>
      <c r="Z1615" s="75"/>
    </row>
    <row r="1616" spans="1:26" x14ac:dyDescent="0.3">
      <c r="A1616" s="72"/>
      <c r="B1616" s="73"/>
      <c r="C1616" s="70"/>
      <c r="D1616" s="74"/>
      <c r="E1616" s="75"/>
      <c r="F1616" s="75"/>
      <c r="K1616" s="72"/>
      <c r="L1616" s="73"/>
      <c r="M1616" s="70"/>
      <c r="N1616" s="74"/>
      <c r="O1616" s="75"/>
      <c r="P1616" s="75"/>
      <c r="U1616" s="72"/>
      <c r="V1616" s="73"/>
      <c r="W1616" s="70"/>
      <c r="X1616" s="74"/>
      <c r="Y1616" s="75"/>
      <c r="Z1616" s="75"/>
    </row>
    <row r="1617" spans="1:26" x14ac:dyDescent="0.3">
      <c r="A1617" s="72"/>
      <c r="B1617" s="73"/>
      <c r="C1617" s="70"/>
      <c r="D1617" s="74"/>
      <c r="E1617" s="75"/>
      <c r="F1617" s="75"/>
      <c r="K1617" s="72"/>
      <c r="L1617" s="73"/>
      <c r="M1617" s="70"/>
      <c r="N1617" s="74"/>
      <c r="O1617" s="75"/>
      <c r="P1617" s="75"/>
      <c r="U1617" s="72"/>
      <c r="V1617" s="73"/>
      <c r="W1617" s="70"/>
      <c r="X1617" s="74"/>
      <c r="Y1617" s="75"/>
      <c r="Z1617" s="75"/>
    </row>
    <row r="1618" spans="1:26" x14ac:dyDescent="0.3">
      <c r="A1618" s="72"/>
      <c r="B1618" s="73"/>
      <c r="C1618" s="70"/>
      <c r="D1618" s="74"/>
      <c r="E1618" s="75"/>
      <c r="F1618" s="75"/>
      <c r="K1618" s="72"/>
      <c r="L1618" s="73"/>
      <c r="M1618" s="70"/>
      <c r="N1618" s="74"/>
      <c r="O1618" s="75"/>
      <c r="P1618" s="75"/>
      <c r="U1618" s="72"/>
      <c r="V1618" s="73"/>
      <c r="W1618" s="70"/>
      <c r="X1618" s="74"/>
      <c r="Y1618" s="75"/>
      <c r="Z1618" s="75"/>
    </row>
    <row r="1619" spans="1:26" x14ac:dyDescent="0.3">
      <c r="A1619" s="72"/>
      <c r="B1619" s="73"/>
      <c r="C1619" s="70"/>
      <c r="D1619" s="74"/>
      <c r="E1619" s="75"/>
      <c r="F1619" s="75"/>
      <c r="K1619" s="72"/>
      <c r="L1619" s="73"/>
      <c r="M1619" s="70"/>
      <c r="N1619" s="74"/>
      <c r="O1619" s="75"/>
      <c r="P1619" s="75"/>
      <c r="U1619" s="72"/>
      <c r="V1619" s="73"/>
      <c r="W1619" s="70"/>
      <c r="X1619" s="74"/>
      <c r="Y1619" s="75"/>
      <c r="Z1619" s="75"/>
    </row>
    <row r="1620" spans="1:26" x14ac:dyDescent="0.3">
      <c r="A1620" s="72"/>
      <c r="B1620" s="73"/>
      <c r="C1620" s="70"/>
      <c r="D1620" s="74"/>
      <c r="E1620" s="75"/>
      <c r="F1620" s="75"/>
      <c r="K1620" s="72"/>
      <c r="L1620" s="73"/>
      <c r="M1620" s="70"/>
      <c r="N1620" s="74"/>
      <c r="O1620" s="75"/>
      <c r="P1620" s="75"/>
      <c r="U1620" s="72"/>
      <c r="V1620" s="73"/>
      <c r="W1620" s="70"/>
      <c r="X1620" s="74"/>
      <c r="Y1620" s="75"/>
      <c r="Z1620" s="75"/>
    </row>
    <row r="1621" spans="1:26" x14ac:dyDescent="0.3">
      <c r="A1621" s="72"/>
      <c r="B1621" s="73"/>
      <c r="C1621" s="70"/>
      <c r="D1621" s="74"/>
      <c r="E1621" s="75"/>
      <c r="F1621" s="75"/>
      <c r="K1621" s="72"/>
      <c r="L1621" s="73"/>
      <c r="M1621" s="70"/>
      <c r="N1621" s="74"/>
      <c r="O1621" s="75"/>
      <c r="P1621" s="75"/>
      <c r="U1621" s="72"/>
      <c r="V1621" s="73"/>
      <c r="W1621" s="70"/>
      <c r="X1621" s="74"/>
      <c r="Y1621" s="75"/>
      <c r="Z1621" s="75"/>
    </row>
    <row r="1622" spans="1:26" x14ac:dyDescent="0.3">
      <c r="A1622" s="72"/>
      <c r="B1622" s="73"/>
      <c r="C1622" s="70"/>
      <c r="D1622" s="74"/>
      <c r="E1622" s="75"/>
      <c r="F1622" s="75"/>
      <c r="K1622" s="72"/>
      <c r="L1622" s="73"/>
      <c r="M1622" s="70"/>
      <c r="N1622" s="74"/>
      <c r="O1622" s="75"/>
      <c r="P1622" s="75"/>
      <c r="U1622" s="72"/>
      <c r="V1622" s="73"/>
      <c r="W1622" s="70"/>
      <c r="X1622" s="74"/>
      <c r="Y1622" s="75"/>
      <c r="Z1622" s="75"/>
    </row>
    <row r="1623" spans="1:26" x14ac:dyDescent="0.3">
      <c r="A1623" s="72"/>
      <c r="B1623" s="73"/>
      <c r="C1623" s="70"/>
      <c r="D1623" s="74"/>
      <c r="E1623" s="75"/>
      <c r="F1623" s="75"/>
      <c r="K1623" s="72"/>
      <c r="L1623" s="73"/>
      <c r="M1623" s="70"/>
      <c r="N1623" s="74"/>
      <c r="O1623" s="75"/>
      <c r="P1623" s="75"/>
      <c r="U1623" s="72"/>
      <c r="V1623" s="73"/>
      <c r="W1623" s="70"/>
      <c r="X1623" s="74"/>
      <c r="Y1623" s="75"/>
      <c r="Z1623" s="75"/>
    </row>
    <row r="1624" spans="1:26" x14ac:dyDescent="0.3">
      <c r="A1624" s="72"/>
      <c r="B1624" s="73"/>
      <c r="C1624" s="70"/>
      <c r="D1624" s="74"/>
      <c r="E1624" s="75"/>
      <c r="F1624" s="75"/>
      <c r="K1624" s="72"/>
      <c r="L1624" s="73"/>
      <c r="M1624" s="70"/>
      <c r="N1624" s="74"/>
      <c r="O1624" s="75"/>
      <c r="P1624" s="75"/>
      <c r="U1624" s="72"/>
      <c r="V1624" s="73"/>
      <c r="W1624" s="70"/>
      <c r="X1624" s="74"/>
      <c r="Y1624" s="75"/>
      <c r="Z1624" s="75"/>
    </row>
    <row r="1625" spans="1:26" x14ac:dyDescent="0.3">
      <c r="A1625" s="72"/>
      <c r="B1625" s="73"/>
      <c r="C1625" s="70"/>
      <c r="D1625" s="74"/>
      <c r="E1625" s="75"/>
      <c r="F1625" s="75"/>
      <c r="K1625" s="72"/>
      <c r="L1625" s="73"/>
      <c r="M1625" s="70"/>
      <c r="N1625" s="74"/>
      <c r="O1625" s="75"/>
      <c r="P1625" s="75"/>
      <c r="U1625" s="72"/>
      <c r="V1625" s="73"/>
      <c r="W1625" s="70"/>
      <c r="X1625" s="74"/>
      <c r="Y1625" s="75"/>
      <c r="Z1625" s="75"/>
    </row>
    <row r="1626" spans="1:26" x14ac:dyDescent="0.3">
      <c r="A1626" s="72"/>
      <c r="B1626" s="73"/>
      <c r="C1626" s="70"/>
      <c r="D1626" s="74"/>
      <c r="E1626" s="75"/>
      <c r="F1626" s="75"/>
      <c r="K1626" s="72"/>
      <c r="L1626" s="73"/>
      <c r="M1626" s="70"/>
      <c r="N1626" s="74"/>
      <c r="O1626" s="75"/>
      <c r="P1626" s="75"/>
      <c r="U1626" s="72"/>
      <c r="V1626" s="73"/>
      <c r="W1626" s="70"/>
      <c r="X1626" s="74"/>
      <c r="Y1626" s="75"/>
      <c r="Z1626" s="75"/>
    </row>
    <row r="1627" spans="1:26" x14ac:dyDescent="0.3">
      <c r="A1627" s="72"/>
      <c r="B1627" s="73"/>
      <c r="C1627" s="70"/>
      <c r="D1627" s="74"/>
      <c r="E1627" s="75"/>
      <c r="F1627" s="75"/>
      <c r="K1627" s="72"/>
      <c r="L1627" s="73"/>
      <c r="M1627" s="70"/>
      <c r="N1627" s="74"/>
      <c r="O1627" s="75"/>
      <c r="P1627" s="75"/>
      <c r="U1627" s="72"/>
      <c r="V1627" s="73"/>
      <c r="W1627" s="70"/>
      <c r="X1627" s="74"/>
      <c r="Y1627" s="75"/>
      <c r="Z1627" s="75"/>
    </row>
    <row r="1628" spans="1:26" x14ac:dyDescent="0.3">
      <c r="A1628" s="72"/>
      <c r="B1628" s="73"/>
      <c r="C1628" s="70"/>
      <c r="D1628" s="74"/>
      <c r="E1628" s="75"/>
      <c r="F1628" s="75"/>
      <c r="K1628" s="72"/>
      <c r="L1628" s="73"/>
      <c r="M1628" s="70"/>
      <c r="N1628" s="74"/>
      <c r="O1628" s="75"/>
      <c r="P1628" s="75"/>
      <c r="U1628" s="72"/>
      <c r="V1628" s="73"/>
      <c r="W1628" s="70"/>
      <c r="X1628" s="74"/>
      <c r="Y1628" s="75"/>
      <c r="Z1628" s="75"/>
    </row>
    <row r="1629" spans="1:26" x14ac:dyDescent="0.3">
      <c r="A1629" s="72"/>
      <c r="B1629" s="73"/>
      <c r="C1629" s="70"/>
      <c r="D1629" s="74"/>
      <c r="E1629" s="75"/>
      <c r="F1629" s="75"/>
      <c r="K1629" s="72"/>
      <c r="L1629" s="73"/>
      <c r="M1629" s="70"/>
      <c r="N1629" s="74"/>
      <c r="O1629" s="75"/>
      <c r="P1629" s="75"/>
      <c r="U1629" s="72"/>
      <c r="V1629" s="73"/>
      <c r="W1629" s="70"/>
      <c r="X1629" s="74"/>
      <c r="Y1629" s="75"/>
      <c r="Z1629" s="75"/>
    </row>
    <row r="1630" spans="1:26" x14ac:dyDescent="0.3">
      <c r="A1630" s="72"/>
      <c r="B1630" s="73"/>
      <c r="C1630" s="70"/>
      <c r="D1630" s="74"/>
      <c r="E1630" s="75"/>
      <c r="F1630" s="75"/>
      <c r="K1630" s="72"/>
      <c r="L1630" s="73"/>
      <c r="M1630" s="70"/>
      <c r="N1630" s="74"/>
      <c r="O1630" s="75"/>
      <c r="P1630" s="75"/>
      <c r="U1630" s="72"/>
      <c r="V1630" s="73"/>
      <c r="W1630" s="70"/>
      <c r="X1630" s="74"/>
      <c r="Y1630" s="75"/>
      <c r="Z1630" s="75"/>
    </row>
    <row r="1631" spans="1:26" x14ac:dyDescent="0.3">
      <c r="A1631" s="72"/>
      <c r="B1631" s="73"/>
      <c r="C1631" s="70"/>
      <c r="D1631" s="74"/>
      <c r="E1631" s="75"/>
      <c r="F1631" s="75"/>
      <c r="K1631" s="72"/>
      <c r="L1631" s="73"/>
      <c r="M1631" s="70"/>
      <c r="N1631" s="74"/>
      <c r="O1631" s="75"/>
      <c r="P1631" s="75"/>
      <c r="U1631" s="72"/>
      <c r="V1631" s="73"/>
      <c r="W1631" s="70"/>
      <c r="X1631" s="74"/>
      <c r="Y1631" s="75"/>
      <c r="Z1631" s="75"/>
    </row>
    <row r="1632" spans="1:26" x14ac:dyDescent="0.3">
      <c r="A1632" s="72"/>
      <c r="B1632" s="73"/>
      <c r="C1632" s="70"/>
      <c r="D1632" s="74"/>
      <c r="E1632" s="75"/>
      <c r="F1632" s="75"/>
      <c r="K1632" s="72"/>
      <c r="L1632" s="73"/>
      <c r="M1632" s="70"/>
      <c r="N1632" s="74"/>
      <c r="O1632" s="75"/>
      <c r="P1632" s="75"/>
      <c r="U1632" s="72"/>
      <c r="V1632" s="73"/>
      <c r="W1632" s="70"/>
      <c r="X1632" s="74"/>
      <c r="Y1632" s="75"/>
      <c r="Z1632" s="75"/>
    </row>
    <row r="1633" spans="1:26" x14ac:dyDescent="0.3">
      <c r="A1633" s="72"/>
      <c r="B1633" s="73"/>
      <c r="C1633" s="70"/>
      <c r="D1633" s="74"/>
      <c r="E1633" s="75"/>
      <c r="F1633" s="75"/>
      <c r="K1633" s="72"/>
      <c r="L1633" s="73"/>
      <c r="M1633" s="70"/>
      <c r="N1633" s="74"/>
      <c r="O1633" s="75"/>
      <c r="P1633" s="75"/>
      <c r="U1633" s="72"/>
      <c r="V1633" s="73"/>
      <c r="W1633" s="70"/>
      <c r="X1633" s="74"/>
      <c r="Y1633" s="75"/>
      <c r="Z1633" s="75"/>
    </row>
    <row r="1634" spans="1:26" x14ac:dyDescent="0.3">
      <c r="A1634" s="72"/>
      <c r="B1634" s="73"/>
      <c r="C1634" s="70"/>
      <c r="D1634" s="74"/>
      <c r="E1634" s="75"/>
      <c r="F1634" s="75"/>
      <c r="K1634" s="72"/>
      <c r="L1634" s="73"/>
      <c r="M1634" s="70"/>
      <c r="N1634" s="74"/>
      <c r="O1634" s="75"/>
      <c r="P1634" s="75"/>
      <c r="U1634" s="72"/>
      <c r="V1634" s="73"/>
      <c r="W1634" s="70"/>
      <c r="X1634" s="74"/>
      <c r="Y1634" s="75"/>
      <c r="Z1634" s="75"/>
    </row>
    <row r="1635" spans="1:26" x14ac:dyDescent="0.3">
      <c r="A1635" s="72"/>
      <c r="B1635" s="73"/>
      <c r="C1635" s="70"/>
      <c r="D1635" s="74"/>
      <c r="E1635" s="75"/>
      <c r="F1635" s="75"/>
      <c r="K1635" s="72"/>
      <c r="L1635" s="73"/>
      <c r="M1635" s="70"/>
      <c r="N1635" s="74"/>
      <c r="O1635" s="75"/>
      <c r="P1635" s="75"/>
      <c r="U1635" s="72"/>
      <c r="V1635" s="73"/>
      <c r="W1635" s="70"/>
      <c r="X1635" s="74"/>
      <c r="Y1635" s="75"/>
      <c r="Z1635" s="75"/>
    </row>
    <row r="1636" spans="1:26" x14ac:dyDescent="0.3">
      <c r="A1636" s="72"/>
      <c r="B1636" s="73"/>
      <c r="C1636" s="70"/>
      <c r="D1636" s="74"/>
      <c r="E1636" s="75"/>
      <c r="F1636" s="75"/>
      <c r="K1636" s="72"/>
      <c r="L1636" s="73"/>
      <c r="M1636" s="70"/>
      <c r="N1636" s="74"/>
      <c r="O1636" s="75"/>
      <c r="P1636" s="75"/>
      <c r="U1636" s="72"/>
      <c r="V1636" s="73"/>
      <c r="W1636" s="70"/>
      <c r="X1636" s="74"/>
      <c r="Y1636" s="75"/>
      <c r="Z1636" s="75"/>
    </row>
    <row r="1637" spans="1:26" x14ac:dyDescent="0.3">
      <c r="A1637" s="72"/>
      <c r="B1637" s="73"/>
      <c r="C1637" s="70"/>
      <c r="D1637" s="74"/>
      <c r="E1637" s="75"/>
      <c r="F1637" s="75"/>
      <c r="K1637" s="72"/>
      <c r="L1637" s="73"/>
      <c r="M1637" s="70"/>
      <c r="N1637" s="74"/>
      <c r="O1637" s="75"/>
      <c r="P1637" s="75"/>
      <c r="U1637" s="72"/>
      <c r="V1637" s="73"/>
      <c r="W1637" s="70"/>
      <c r="X1637" s="74"/>
      <c r="Y1637" s="75"/>
      <c r="Z1637" s="75"/>
    </row>
    <row r="1638" spans="1:26" x14ac:dyDescent="0.3">
      <c r="A1638" s="72"/>
      <c r="B1638" s="73"/>
      <c r="C1638" s="70"/>
      <c r="D1638" s="74"/>
      <c r="E1638" s="75"/>
      <c r="F1638" s="75"/>
      <c r="K1638" s="72"/>
      <c r="L1638" s="73"/>
      <c r="M1638" s="70"/>
      <c r="N1638" s="74"/>
      <c r="O1638" s="75"/>
      <c r="P1638" s="75"/>
      <c r="U1638" s="72"/>
      <c r="V1638" s="73"/>
      <c r="W1638" s="70"/>
      <c r="X1638" s="74"/>
      <c r="Y1638" s="75"/>
      <c r="Z1638" s="75"/>
    </row>
    <row r="1639" spans="1:26" x14ac:dyDescent="0.3">
      <c r="A1639" s="72"/>
      <c r="B1639" s="73"/>
      <c r="C1639" s="70"/>
      <c r="D1639" s="74"/>
      <c r="E1639" s="75"/>
      <c r="F1639" s="75"/>
      <c r="K1639" s="72"/>
      <c r="L1639" s="73"/>
      <c r="M1639" s="70"/>
      <c r="N1639" s="74"/>
      <c r="O1639" s="75"/>
      <c r="P1639" s="75"/>
      <c r="U1639" s="72"/>
      <c r="V1639" s="73"/>
      <c r="W1639" s="70"/>
      <c r="X1639" s="74"/>
      <c r="Y1639" s="75"/>
      <c r="Z1639" s="75"/>
    </row>
    <row r="1640" spans="1:26" x14ac:dyDescent="0.3">
      <c r="A1640" s="72"/>
      <c r="B1640" s="73"/>
      <c r="C1640" s="70"/>
      <c r="D1640" s="74"/>
      <c r="E1640" s="75"/>
      <c r="F1640" s="75"/>
      <c r="K1640" s="72"/>
      <c r="L1640" s="73"/>
      <c r="M1640" s="70"/>
      <c r="N1640" s="74"/>
      <c r="O1640" s="75"/>
      <c r="P1640" s="75"/>
      <c r="U1640" s="72"/>
      <c r="V1640" s="73"/>
      <c r="W1640" s="70"/>
      <c r="X1640" s="74"/>
      <c r="Y1640" s="75"/>
      <c r="Z1640" s="75"/>
    </row>
    <row r="1641" spans="1:26" x14ac:dyDescent="0.3">
      <c r="A1641" s="72"/>
      <c r="B1641" s="73"/>
      <c r="C1641" s="70"/>
      <c r="D1641" s="74"/>
      <c r="E1641" s="75"/>
      <c r="F1641" s="75"/>
      <c r="K1641" s="72"/>
      <c r="L1641" s="73"/>
      <c r="M1641" s="70"/>
      <c r="N1641" s="74"/>
      <c r="O1641" s="75"/>
      <c r="P1641" s="75"/>
      <c r="U1641" s="72"/>
      <c r="V1641" s="73"/>
      <c r="W1641" s="70"/>
      <c r="X1641" s="74"/>
      <c r="Y1641" s="75"/>
      <c r="Z1641" s="75"/>
    </row>
    <row r="1642" spans="1:26" x14ac:dyDescent="0.3">
      <c r="A1642" s="72"/>
      <c r="B1642" s="73"/>
      <c r="C1642" s="70"/>
      <c r="D1642" s="74"/>
      <c r="E1642" s="75"/>
      <c r="F1642" s="75"/>
      <c r="K1642" s="72"/>
      <c r="L1642" s="73"/>
      <c r="M1642" s="70"/>
      <c r="N1642" s="74"/>
      <c r="O1642" s="75"/>
      <c r="P1642" s="75"/>
      <c r="U1642" s="72"/>
      <c r="V1642" s="73"/>
      <c r="W1642" s="70"/>
      <c r="X1642" s="74"/>
      <c r="Y1642" s="75"/>
      <c r="Z1642" s="75"/>
    </row>
    <row r="1643" spans="1:26" x14ac:dyDescent="0.3">
      <c r="A1643" s="72"/>
      <c r="B1643" s="73"/>
      <c r="C1643" s="70"/>
      <c r="D1643" s="74"/>
      <c r="E1643" s="75"/>
      <c r="F1643" s="75"/>
      <c r="K1643" s="72"/>
      <c r="L1643" s="73"/>
      <c r="M1643" s="70"/>
      <c r="N1643" s="74"/>
      <c r="O1643" s="75"/>
      <c r="P1643" s="75"/>
      <c r="U1643" s="72"/>
      <c r="V1643" s="73"/>
      <c r="W1643" s="70"/>
      <c r="X1643" s="74"/>
      <c r="Y1643" s="75"/>
      <c r="Z1643" s="75"/>
    </row>
    <row r="1644" spans="1:26" x14ac:dyDescent="0.3">
      <c r="A1644" s="72"/>
      <c r="B1644" s="73"/>
      <c r="C1644" s="70"/>
      <c r="D1644" s="74"/>
      <c r="E1644" s="75"/>
      <c r="F1644" s="75"/>
      <c r="K1644" s="72"/>
      <c r="L1644" s="73"/>
      <c r="M1644" s="70"/>
      <c r="N1644" s="74"/>
      <c r="O1644" s="75"/>
      <c r="P1644" s="75"/>
      <c r="U1644" s="72"/>
      <c r="V1644" s="73"/>
      <c r="W1644" s="70"/>
      <c r="X1644" s="74"/>
      <c r="Y1644" s="75"/>
      <c r="Z1644" s="75"/>
    </row>
    <row r="1645" spans="1:26" x14ac:dyDescent="0.3">
      <c r="A1645" s="72"/>
      <c r="B1645" s="73"/>
      <c r="C1645" s="70"/>
      <c r="D1645" s="74"/>
      <c r="E1645" s="75"/>
      <c r="F1645" s="75"/>
      <c r="K1645" s="72"/>
      <c r="L1645" s="73"/>
      <c r="M1645" s="70"/>
      <c r="N1645" s="74"/>
      <c r="O1645" s="75"/>
      <c r="P1645" s="75"/>
      <c r="U1645" s="72"/>
      <c r="V1645" s="73"/>
      <c r="W1645" s="70"/>
      <c r="X1645" s="74"/>
      <c r="Y1645" s="75"/>
      <c r="Z1645" s="75"/>
    </row>
    <row r="1646" spans="1:26" x14ac:dyDescent="0.3">
      <c r="A1646" s="72"/>
      <c r="B1646" s="73"/>
      <c r="C1646" s="70"/>
      <c r="D1646" s="74"/>
      <c r="E1646" s="75"/>
      <c r="F1646" s="75"/>
      <c r="K1646" s="72"/>
      <c r="L1646" s="73"/>
      <c r="M1646" s="70"/>
      <c r="N1646" s="74"/>
      <c r="O1646" s="75"/>
      <c r="P1646" s="75"/>
      <c r="U1646" s="72"/>
      <c r="V1646" s="73"/>
      <c r="W1646" s="70"/>
      <c r="X1646" s="74"/>
      <c r="Y1646" s="75"/>
      <c r="Z1646" s="75"/>
    </row>
    <row r="1647" spans="1:26" x14ac:dyDescent="0.3">
      <c r="A1647" s="72"/>
      <c r="B1647" s="73"/>
      <c r="C1647" s="70"/>
      <c r="D1647" s="74"/>
      <c r="E1647" s="75"/>
      <c r="F1647" s="75"/>
      <c r="K1647" s="72"/>
      <c r="L1647" s="73"/>
      <c r="M1647" s="70"/>
      <c r="N1647" s="74"/>
      <c r="O1647" s="75"/>
      <c r="P1647" s="75"/>
      <c r="U1647" s="72"/>
      <c r="V1647" s="73"/>
      <c r="W1647" s="70"/>
      <c r="X1647" s="74"/>
      <c r="Y1647" s="75"/>
      <c r="Z1647" s="75"/>
    </row>
    <row r="1648" spans="1:26" x14ac:dyDescent="0.3">
      <c r="A1648" s="72"/>
      <c r="B1648" s="73"/>
      <c r="C1648" s="70"/>
      <c r="D1648" s="74"/>
      <c r="E1648" s="75"/>
      <c r="F1648" s="75"/>
      <c r="K1648" s="72"/>
      <c r="L1648" s="73"/>
      <c r="M1648" s="70"/>
      <c r="N1648" s="74"/>
      <c r="O1648" s="75"/>
      <c r="P1648" s="75"/>
      <c r="U1648" s="72"/>
      <c r="V1648" s="73"/>
      <c r="W1648" s="70"/>
      <c r="X1648" s="74"/>
      <c r="Y1648" s="75"/>
      <c r="Z1648" s="75"/>
    </row>
    <row r="1649" spans="1:26" x14ac:dyDescent="0.3">
      <c r="A1649" s="72"/>
      <c r="B1649" s="73"/>
      <c r="C1649" s="70"/>
      <c r="D1649" s="74"/>
      <c r="E1649" s="75"/>
      <c r="F1649" s="75"/>
      <c r="K1649" s="72"/>
      <c r="L1649" s="73"/>
      <c r="M1649" s="70"/>
      <c r="N1649" s="74"/>
      <c r="O1649" s="75"/>
      <c r="P1649" s="75"/>
      <c r="U1649" s="72"/>
      <c r="V1649" s="73"/>
      <c r="W1649" s="70"/>
      <c r="X1649" s="74"/>
      <c r="Y1649" s="75"/>
      <c r="Z1649" s="75"/>
    </row>
    <row r="1650" spans="1:26" x14ac:dyDescent="0.3">
      <c r="A1650" s="72"/>
      <c r="B1650" s="73"/>
      <c r="C1650" s="70"/>
      <c r="D1650" s="74"/>
      <c r="E1650" s="75"/>
      <c r="F1650" s="75"/>
      <c r="K1650" s="72"/>
      <c r="L1650" s="73"/>
      <c r="M1650" s="70"/>
      <c r="N1650" s="74"/>
      <c r="O1650" s="75"/>
      <c r="P1650" s="75"/>
      <c r="U1650" s="72"/>
      <c r="V1650" s="73"/>
      <c r="W1650" s="70"/>
      <c r="X1650" s="74"/>
      <c r="Y1650" s="75"/>
      <c r="Z1650" s="75"/>
    </row>
    <row r="1651" spans="1:26" x14ac:dyDescent="0.3">
      <c r="A1651" s="72"/>
      <c r="B1651" s="73"/>
      <c r="C1651" s="70"/>
      <c r="D1651" s="74"/>
      <c r="E1651" s="75"/>
      <c r="F1651" s="75"/>
      <c r="K1651" s="72"/>
      <c r="L1651" s="73"/>
      <c r="M1651" s="70"/>
      <c r="N1651" s="74"/>
      <c r="O1651" s="75"/>
      <c r="P1651" s="75"/>
      <c r="U1651" s="72"/>
      <c r="V1651" s="73"/>
      <c r="W1651" s="70"/>
      <c r="X1651" s="74"/>
      <c r="Y1651" s="75"/>
      <c r="Z1651" s="75"/>
    </row>
    <row r="1652" spans="1:26" x14ac:dyDescent="0.3">
      <c r="A1652" s="72"/>
      <c r="B1652" s="73"/>
      <c r="C1652" s="70"/>
      <c r="D1652" s="74"/>
      <c r="E1652" s="75"/>
      <c r="F1652" s="75"/>
      <c r="K1652" s="72"/>
      <c r="L1652" s="73"/>
      <c r="M1652" s="70"/>
      <c r="N1652" s="74"/>
      <c r="O1652" s="75"/>
      <c r="P1652" s="75"/>
      <c r="U1652" s="72"/>
      <c r="V1652" s="73"/>
      <c r="W1652" s="70"/>
      <c r="X1652" s="74"/>
      <c r="Y1652" s="75"/>
      <c r="Z1652" s="75"/>
    </row>
    <row r="1653" spans="1:26" x14ac:dyDescent="0.3">
      <c r="A1653" s="72"/>
      <c r="B1653" s="73"/>
      <c r="C1653" s="70"/>
      <c r="D1653" s="74"/>
      <c r="E1653" s="75"/>
      <c r="F1653" s="75"/>
      <c r="K1653" s="72"/>
      <c r="L1653" s="73"/>
      <c r="M1653" s="70"/>
      <c r="N1653" s="74"/>
      <c r="O1653" s="75"/>
      <c r="P1653" s="75"/>
      <c r="U1653" s="72"/>
      <c r="V1653" s="73"/>
      <c r="W1653" s="70"/>
      <c r="X1653" s="74"/>
      <c r="Y1653" s="75"/>
      <c r="Z1653" s="75"/>
    </row>
    <row r="1654" spans="1:26" x14ac:dyDescent="0.3">
      <c r="A1654" s="72"/>
      <c r="B1654" s="73"/>
      <c r="C1654" s="70"/>
      <c r="D1654" s="74"/>
      <c r="E1654" s="75"/>
      <c r="F1654" s="75"/>
      <c r="K1654" s="72"/>
      <c r="L1654" s="73"/>
      <c r="M1654" s="70"/>
      <c r="N1654" s="74"/>
      <c r="O1654" s="75"/>
      <c r="P1654" s="75"/>
      <c r="U1654" s="72"/>
      <c r="V1654" s="73"/>
      <c r="W1654" s="70"/>
      <c r="X1654" s="74"/>
      <c r="Y1654" s="75"/>
      <c r="Z1654" s="75"/>
    </row>
    <row r="1655" spans="1:26" x14ac:dyDescent="0.3">
      <c r="A1655" s="72"/>
      <c r="B1655" s="73"/>
      <c r="C1655" s="70"/>
      <c r="D1655" s="74"/>
      <c r="E1655" s="75"/>
      <c r="F1655" s="75"/>
      <c r="K1655" s="72"/>
      <c r="L1655" s="73"/>
      <c r="M1655" s="70"/>
      <c r="N1655" s="74"/>
      <c r="O1655" s="75"/>
      <c r="P1655" s="75"/>
      <c r="U1655" s="72"/>
      <c r="V1655" s="73"/>
      <c r="W1655" s="70"/>
      <c r="X1655" s="74"/>
      <c r="Y1655" s="75"/>
      <c r="Z1655" s="75"/>
    </row>
    <row r="1656" spans="1:26" x14ac:dyDescent="0.3">
      <c r="A1656" s="72"/>
      <c r="B1656" s="73"/>
      <c r="C1656" s="70"/>
      <c r="D1656" s="74"/>
      <c r="E1656" s="75"/>
      <c r="F1656" s="75"/>
      <c r="K1656" s="72"/>
      <c r="L1656" s="73"/>
      <c r="M1656" s="70"/>
      <c r="N1656" s="74"/>
      <c r="O1656" s="75"/>
      <c r="P1656" s="75"/>
      <c r="U1656" s="72"/>
      <c r="V1656" s="73"/>
      <c r="W1656" s="70"/>
      <c r="X1656" s="74"/>
      <c r="Y1656" s="75"/>
      <c r="Z1656" s="75"/>
    </row>
    <row r="1657" spans="1:26" x14ac:dyDescent="0.3">
      <c r="A1657" s="72"/>
      <c r="B1657" s="73"/>
      <c r="C1657" s="70"/>
      <c r="D1657" s="74"/>
      <c r="E1657" s="75"/>
      <c r="F1657" s="75"/>
      <c r="K1657" s="72"/>
      <c r="L1657" s="73"/>
      <c r="M1657" s="70"/>
      <c r="N1657" s="74"/>
      <c r="O1657" s="75"/>
      <c r="P1657" s="75"/>
      <c r="U1657" s="72"/>
      <c r="V1657" s="73"/>
      <c r="W1657" s="70"/>
      <c r="X1657" s="74"/>
      <c r="Y1657" s="75"/>
      <c r="Z1657" s="75"/>
    </row>
    <row r="1658" spans="1:26" x14ac:dyDescent="0.3">
      <c r="A1658" s="72"/>
      <c r="B1658" s="73"/>
      <c r="C1658" s="70"/>
      <c r="D1658" s="74"/>
      <c r="E1658" s="75"/>
      <c r="F1658" s="75"/>
      <c r="K1658" s="72"/>
      <c r="L1658" s="73"/>
      <c r="M1658" s="70"/>
      <c r="N1658" s="74"/>
      <c r="O1658" s="75"/>
      <c r="P1658" s="75"/>
      <c r="U1658" s="72"/>
      <c r="V1658" s="73"/>
      <c r="W1658" s="70"/>
      <c r="X1658" s="74"/>
      <c r="Y1658" s="75"/>
      <c r="Z1658" s="75"/>
    </row>
    <row r="1659" spans="1:26" x14ac:dyDescent="0.3">
      <c r="A1659" s="72"/>
      <c r="B1659" s="73"/>
      <c r="C1659" s="70"/>
      <c r="D1659" s="74"/>
      <c r="E1659" s="75"/>
      <c r="F1659" s="75"/>
      <c r="K1659" s="72"/>
      <c r="L1659" s="73"/>
      <c r="M1659" s="70"/>
      <c r="N1659" s="74"/>
      <c r="O1659" s="75"/>
      <c r="P1659" s="75"/>
      <c r="U1659" s="72"/>
      <c r="V1659" s="73"/>
      <c r="W1659" s="70"/>
      <c r="X1659" s="74"/>
      <c r="Y1659" s="75"/>
      <c r="Z1659" s="75"/>
    </row>
    <row r="1660" spans="1:26" x14ac:dyDescent="0.3">
      <c r="A1660" s="72"/>
      <c r="B1660" s="73"/>
      <c r="C1660" s="70"/>
      <c r="D1660" s="74"/>
      <c r="E1660" s="75"/>
      <c r="F1660" s="75"/>
      <c r="K1660" s="72"/>
      <c r="L1660" s="73"/>
      <c r="M1660" s="70"/>
      <c r="N1660" s="74"/>
      <c r="O1660" s="75"/>
      <c r="P1660" s="75"/>
      <c r="U1660" s="72"/>
      <c r="V1660" s="73"/>
      <c r="W1660" s="70"/>
      <c r="X1660" s="74"/>
      <c r="Y1660" s="75"/>
      <c r="Z1660" s="75"/>
    </row>
    <row r="1661" spans="1:26" x14ac:dyDescent="0.3">
      <c r="A1661" s="72"/>
      <c r="B1661" s="73"/>
      <c r="C1661" s="70"/>
      <c r="D1661" s="74"/>
      <c r="E1661" s="75"/>
      <c r="F1661" s="75"/>
      <c r="K1661" s="72"/>
      <c r="L1661" s="73"/>
      <c r="M1661" s="70"/>
      <c r="N1661" s="74"/>
      <c r="O1661" s="75"/>
      <c r="P1661" s="75"/>
      <c r="U1661" s="72"/>
      <c r="V1661" s="73"/>
      <c r="W1661" s="70"/>
      <c r="X1661" s="74"/>
      <c r="Y1661" s="75"/>
      <c r="Z1661" s="75"/>
    </row>
    <row r="1662" spans="1:26" x14ac:dyDescent="0.3">
      <c r="A1662" s="72"/>
      <c r="B1662" s="73"/>
      <c r="C1662" s="70"/>
      <c r="D1662" s="74"/>
      <c r="E1662" s="75"/>
      <c r="F1662" s="75"/>
      <c r="K1662" s="72"/>
      <c r="L1662" s="73"/>
      <c r="M1662" s="70"/>
      <c r="N1662" s="74"/>
      <c r="O1662" s="75"/>
      <c r="P1662" s="75"/>
      <c r="U1662" s="72"/>
      <c r="V1662" s="73"/>
      <c r="W1662" s="70"/>
      <c r="X1662" s="74"/>
      <c r="Y1662" s="75"/>
      <c r="Z1662" s="75"/>
    </row>
    <row r="1663" spans="1:26" x14ac:dyDescent="0.3">
      <c r="A1663" s="72"/>
      <c r="B1663" s="73"/>
      <c r="C1663" s="70"/>
      <c r="D1663" s="74"/>
      <c r="E1663" s="75"/>
      <c r="F1663" s="75"/>
      <c r="K1663" s="72"/>
      <c r="L1663" s="73"/>
      <c r="M1663" s="70"/>
      <c r="N1663" s="74"/>
      <c r="O1663" s="75"/>
      <c r="P1663" s="75"/>
      <c r="U1663" s="72"/>
      <c r="V1663" s="73"/>
      <c r="W1663" s="70"/>
      <c r="X1663" s="74"/>
      <c r="Y1663" s="75"/>
      <c r="Z1663" s="75"/>
    </row>
    <row r="1664" spans="1:26" x14ac:dyDescent="0.3">
      <c r="A1664" s="72"/>
      <c r="B1664" s="73"/>
      <c r="C1664" s="70"/>
      <c r="D1664" s="74"/>
      <c r="E1664" s="75"/>
      <c r="F1664" s="75"/>
      <c r="K1664" s="72"/>
      <c r="L1664" s="73"/>
      <c r="M1664" s="70"/>
      <c r="N1664" s="74"/>
      <c r="O1664" s="75"/>
      <c r="P1664" s="75"/>
      <c r="U1664" s="72"/>
      <c r="V1664" s="73"/>
      <c r="W1664" s="70"/>
      <c r="X1664" s="74"/>
      <c r="Y1664" s="75"/>
      <c r="Z1664" s="75"/>
    </row>
    <row r="1665" spans="1:26" x14ac:dyDescent="0.3">
      <c r="A1665" s="72"/>
      <c r="B1665" s="73"/>
      <c r="C1665" s="70"/>
      <c r="D1665" s="74"/>
      <c r="E1665" s="75"/>
      <c r="F1665" s="75"/>
      <c r="K1665" s="72"/>
      <c r="L1665" s="73"/>
      <c r="M1665" s="70"/>
      <c r="N1665" s="74"/>
      <c r="O1665" s="75"/>
      <c r="P1665" s="75"/>
      <c r="U1665" s="72"/>
      <c r="V1665" s="73"/>
      <c r="W1665" s="70"/>
      <c r="X1665" s="74"/>
      <c r="Y1665" s="75"/>
      <c r="Z1665" s="75"/>
    </row>
    <row r="1666" spans="1:26" x14ac:dyDescent="0.3">
      <c r="A1666" s="72"/>
      <c r="B1666" s="73"/>
      <c r="C1666" s="70"/>
      <c r="D1666" s="74"/>
      <c r="E1666" s="75"/>
      <c r="F1666" s="75"/>
      <c r="K1666" s="72"/>
      <c r="L1666" s="73"/>
      <c r="M1666" s="70"/>
      <c r="N1666" s="74"/>
      <c r="O1666" s="75"/>
      <c r="P1666" s="75"/>
      <c r="U1666" s="72"/>
      <c r="V1666" s="73"/>
      <c r="W1666" s="70"/>
      <c r="X1666" s="74"/>
      <c r="Y1666" s="75"/>
      <c r="Z1666" s="75"/>
    </row>
    <row r="1667" spans="1:26" x14ac:dyDescent="0.3">
      <c r="A1667" s="72"/>
      <c r="B1667" s="73"/>
      <c r="C1667" s="70"/>
      <c r="D1667" s="74"/>
      <c r="E1667" s="75"/>
      <c r="F1667" s="75"/>
      <c r="K1667" s="72"/>
      <c r="L1667" s="73"/>
      <c r="M1667" s="70"/>
      <c r="N1667" s="74"/>
      <c r="O1667" s="75"/>
      <c r="P1667" s="75"/>
      <c r="U1667" s="72"/>
      <c r="V1667" s="73"/>
      <c r="W1667" s="70"/>
      <c r="X1667" s="74"/>
      <c r="Y1667" s="75"/>
      <c r="Z1667" s="75"/>
    </row>
    <row r="1668" spans="1:26" x14ac:dyDescent="0.3">
      <c r="A1668" s="72"/>
      <c r="B1668" s="73"/>
      <c r="C1668" s="70"/>
      <c r="D1668" s="74"/>
      <c r="E1668" s="75"/>
      <c r="F1668" s="75"/>
      <c r="K1668" s="72"/>
      <c r="L1668" s="73"/>
      <c r="M1668" s="70"/>
      <c r="N1668" s="74"/>
      <c r="O1668" s="75"/>
      <c r="P1668" s="75"/>
      <c r="U1668" s="72"/>
      <c r="V1668" s="73"/>
      <c r="W1668" s="70"/>
      <c r="X1668" s="74"/>
      <c r="Y1668" s="75"/>
      <c r="Z1668" s="75"/>
    </row>
    <row r="1669" spans="1:26" x14ac:dyDescent="0.3">
      <c r="A1669" s="72"/>
      <c r="B1669" s="73"/>
      <c r="C1669" s="70"/>
      <c r="D1669" s="74"/>
      <c r="E1669" s="75"/>
      <c r="F1669" s="75"/>
      <c r="K1669" s="72"/>
      <c r="L1669" s="73"/>
      <c r="M1669" s="70"/>
      <c r="N1669" s="74"/>
      <c r="O1669" s="75"/>
      <c r="P1669" s="75"/>
      <c r="U1669" s="72"/>
      <c r="V1669" s="73"/>
      <c r="W1669" s="70"/>
      <c r="X1669" s="74"/>
      <c r="Y1669" s="75"/>
      <c r="Z1669" s="75"/>
    </row>
    <row r="1670" spans="1:26" x14ac:dyDescent="0.3">
      <c r="A1670" s="72"/>
      <c r="B1670" s="73"/>
      <c r="C1670" s="70"/>
      <c r="D1670" s="74"/>
      <c r="E1670" s="75"/>
      <c r="F1670" s="75"/>
      <c r="K1670" s="72"/>
      <c r="L1670" s="73"/>
      <c r="M1670" s="70"/>
      <c r="N1670" s="74"/>
      <c r="O1670" s="75"/>
      <c r="P1670" s="75"/>
      <c r="U1670" s="72"/>
      <c r="V1670" s="73"/>
      <c r="W1670" s="70"/>
      <c r="X1670" s="74"/>
      <c r="Y1670" s="75"/>
      <c r="Z1670" s="75"/>
    </row>
    <row r="1671" spans="1:26" x14ac:dyDescent="0.3">
      <c r="A1671" s="72"/>
      <c r="B1671" s="73"/>
      <c r="C1671" s="70"/>
      <c r="D1671" s="74"/>
      <c r="E1671" s="75"/>
      <c r="F1671" s="75"/>
      <c r="K1671" s="72"/>
      <c r="L1671" s="73"/>
      <c r="M1671" s="70"/>
      <c r="N1671" s="74"/>
      <c r="O1671" s="75"/>
      <c r="P1671" s="75"/>
      <c r="U1671" s="72"/>
      <c r="V1671" s="73"/>
      <c r="W1671" s="70"/>
      <c r="X1671" s="74"/>
      <c r="Y1671" s="75"/>
      <c r="Z1671" s="75"/>
    </row>
    <row r="1672" spans="1:26" x14ac:dyDescent="0.3">
      <c r="A1672" s="72"/>
      <c r="B1672" s="73"/>
      <c r="C1672" s="70"/>
      <c r="D1672" s="74"/>
      <c r="E1672" s="75"/>
      <c r="F1672" s="75"/>
      <c r="K1672" s="72"/>
      <c r="L1672" s="73"/>
      <c r="M1672" s="70"/>
      <c r="N1672" s="74"/>
      <c r="O1672" s="75"/>
      <c r="P1672" s="75"/>
      <c r="U1672" s="72"/>
      <c r="V1672" s="73"/>
      <c r="W1672" s="70"/>
      <c r="X1672" s="74"/>
      <c r="Y1672" s="75"/>
      <c r="Z1672" s="75"/>
    </row>
    <row r="1673" spans="1:26" x14ac:dyDescent="0.3">
      <c r="A1673" s="72"/>
      <c r="B1673" s="73"/>
      <c r="C1673" s="70"/>
      <c r="D1673" s="74"/>
      <c r="E1673" s="75"/>
      <c r="F1673" s="75"/>
      <c r="K1673" s="72"/>
      <c r="L1673" s="73"/>
      <c r="M1673" s="70"/>
      <c r="N1673" s="74"/>
      <c r="O1673" s="75"/>
      <c r="P1673" s="75"/>
      <c r="U1673" s="72"/>
      <c r="V1673" s="73"/>
      <c r="W1673" s="70"/>
      <c r="X1673" s="74"/>
      <c r="Y1673" s="75"/>
      <c r="Z1673" s="75"/>
    </row>
    <row r="1674" spans="1:26" x14ac:dyDescent="0.3">
      <c r="A1674" s="72"/>
      <c r="B1674" s="73"/>
      <c r="C1674" s="70"/>
      <c r="D1674" s="74"/>
      <c r="E1674" s="75"/>
      <c r="F1674" s="75"/>
      <c r="K1674" s="72"/>
      <c r="L1674" s="73"/>
      <c r="M1674" s="70"/>
      <c r="N1674" s="74"/>
      <c r="O1674" s="75"/>
      <c r="P1674" s="75"/>
      <c r="U1674" s="72"/>
      <c r="V1674" s="73"/>
      <c r="W1674" s="70"/>
      <c r="X1674" s="74"/>
      <c r="Y1674" s="75"/>
      <c r="Z1674" s="75"/>
    </row>
    <row r="1675" spans="1:26" x14ac:dyDescent="0.3">
      <c r="A1675" s="72"/>
      <c r="B1675" s="73"/>
      <c r="C1675" s="70"/>
      <c r="D1675" s="74"/>
      <c r="E1675" s="75"/>
      <c r="F1675" s="75"/>
      <c r="K1675" s="72"/>
      <c r="L1675" s="73"/>
      <c r="M1675" s="70"/>
      <c r="N1675" s="74"/>
      <c r="O1675" s="75"/>
      <c r="P1675" s="75"/>
      <c r="U1675" s="72"/>
      <c r="V1675" s="73"/>
      <c r="W1675" s="70"/>
      <c r="X1675" s="74"/>
      <c r="Y1675" s="75"/>
      <c r="Z1675" s="75"/>
    </row>
    <row r="1676" spans="1:26" x14ac:dyDescent="0.3">
      <c r="A1676" s="72"/>
      <c r="B1676" s="73"/>
      <c r="C1676" s="70"/>
      <c r="D1676" s="74"/>
      <c r="E1676" s="75"/>
      <c r="F1676" s="75"/>
      <c r="K1676" s="72"/>
      <c r="L1676" s="73"/>
      <c r="M1676" s="70"/>
      <c r="N1676" s="74"/>
      <c r="O1676" s="75"/>
      <c r="P1676" s="75"/>
      <c r="U1676" s="72"/>
      <c r="V1676" s="73"/>
      <c r="W1676" s="70"/>
      <c r="X1676" s="74"/>
      <c r="Y1676" s="75"/>
      <c r="Z1676" s="75"/>
    </row>
    <row r="1677" spans="1:26" x14ac:dyDescent="0.3">
      <c r="A1677" s="72"/>
      <c r="B1677" s="73"/>
      <c r="C1677" s="70"/>
      <c r="D1677" s="74"/>
      <c r="E1677" s="75"/>
      <c r="F1677" s="75"/>
      <c r="K1677" s="72"/>
      <c r="L1677" s="73"/>
      <c r="M1677" s="70"/>
      <c r="N1677" s="74"/>
      <c r="O1677" s="75"/>
      <c r="P1677" s="75"/>
      <c r="U1677" s="72"/>
      <c r="V1677" s="73"/>
      <c r="W1677" s="70"/>
      <c r="X1677" s="74"/>
      <c r="Y1677" s="75"/>
      <c r="Z1677" s="75"/>
    </row>
    <row r="1678" spans="1:26" x14ac:dyDescent="0.3">
      <c r="A1678" s="72"/>
      <c r="B1678" s="73"/>
      <c r="C1678" s="70"/>
      <c r="D1678" s="74"/>
      <c r="E1678" s="75"/>
      <c r="F1678" s="75"/>
      <c r="K1678" s="72"/>
      <c r="L1678" s="73"/>
      <c r="M1678" s="70"/>
      <c r="N1678" s="74"/>
      <c r="O1678" s="75"/>
      <c r="P1678" s="75"/>
      <c r="U1678" s="72"/>
      <c r="V1678" s="73"/>
      <c r="W1678" s="70"/>
      <c r="X1678" s="74"/>
      <c r="Y1678" s="75"/>
      <c r="Z1678" s="75"/>
    </row>
    <row r="1679" spans="1:26" x14ac:dyDescent="0.3">
      <c r="A1679" s="72"/>
      <c r="B1679" s="73"/>
      <c r="C1679" s="70"/>
      <c r="D1679" s="74"/>
      <c r="E1679" s="75"/>
      <c r="F1679" s="75"/>
      <c r="K1679" s="72"/>
      <c r="L1679" s="73"/>
      <c r="M1679" s="70"/>
      <c r="N1679" s="74"/>
      <c r="O1679" s="75"/>
      <c r="P1679" s="75"/>
      <c r="U1679" s="72"/>
      <c r="V1679" s="73"/>
      <c r="W1679" s="70"/>
      <c r="X1679" s="74"/>
      <c r="Y1679" s="75"/>
      <c r="Z1679" s="75"/>
    </row>
    <row r="1680" spans="1:26" x14ac:dyDescent="0.3">
      <c r="A1680" s="72"/>
      <c r="B1680" s="73"/>
      <c r="C1680" s="70"/>
      <c r="D1680" s="74"/>
      <c r="E1680" s="75"/>
      <c r="F1680" s="75"/>
      <c r="K1680" s="72"/>
      <c r="L1680" s="73"/>
      <c r="M1680" s="70"/>
      <c r="N1680" s="74"/>
      <c r="O1680" s="75"/>
      <c r="P1680" s="75"/>
      <c r="U1680" s="72"/>
      <c r="V1680" s="73"/>
      <c r="W1680" s="70"/>
      <c r="X1680" s="74"/>
      <c r="Y1680" s="75"/>
      <c r="Z1680" s="75"/>
    </row>
    <row r="1681" spans="1:26" x14ac:dyDescent="0.3">
      <c r="A1681" s="72"/>
      <c r="B1681" s="73"/>
      <c r="C1681" s="70"/>
      <c r="D1681" s="74"/>
      <c r="E1681" s="75"/>
      <c r="F1681" s="75"/>
      <c r="K1681" s="72"/>
      <c r="L1681" s="73"/>
      <c r="M1681" s="70"/>
      <c r="N1681" s="74"/>
      <c r="O1681" s="75"/>
      <c r="P1681" s="75"/>
      <c r="U1681" s="72"/>
      <c r="V1681" s="73"/>
      <c r="W1681" s="70"/>
      <c r="X1681" s="74"/>
      <c r="Y1681" s="75"/>
      <c r="Z1681" s="75"/>
    </row>
    <row r="1682" spans="1:26" x14ac:dyDescent="0.3">
      <c r="A1682" s="72"/>
      <c r="B1682" s="73"/>
      <c r="C1682" s="70"/>
      <c r="D1682" s="74"/>
      <c r="E1682" s="75"/>
      <c r="F1682" s="75"/>
      <c r="K1682" s="72"/>
      <c r="L1682" s="73"/>
      <c r="M1682" s="70"/>
      <c r="N1682" s="74"/>
      <c r="O1682" s="75"/>
      <c r="P1682" s="75"/>
      <c r="U1682" s="72"/>
      <c r="V1682" s="73"/>
      <c r="W1682" s="70"/>
      <c r="X1682" s="74"/>
      <c r="Y1682" s="75"/>
      <c r="Z1682" s="75"/>
    </row>
    <row r="1683" spans="1:26" x14ac:dyDescent="0.3">
      <c r="A1683" s="72"/>
      <c r="B1683" s="73"/>
      <c r="C1683" s="70"/>
      <c r="D1683" s="74"/>
      <c r="E1683" s="75"/>
      <c r="F1683" s="75"/>
      <c r="K1683" s="72"/>
      <c r="L1683" s="73"/>
      <c r="M1683" s="70"/>
      <c r="N1683" s="74"/>
      <c r="O1683" s="75"/>
      <c r="P1683" s="75"/>
      <c r="U1683" s="72"/>
      <c r="V1683" s="73"/>
      <c r="W1683" s="70"/>
      <c r="X1683" s="74"/>
      <c r="Y1683" s="75"/>
      <c r="Z1683" s="75"/>
    </row>
    <row r="1684" spans="1:26" x14ac:dyDescent="0.3">
      <c r="A1684" s="72"/>
      <c r="B1684" s="73"/>
      <c r="C1684" s="70"/>
      <c r="D1684" s="74"/>
      <c r="E1684" s="75"/>
      <c r="F1684" s="75"/>
      <c r="K1684" s="72"/>
      <c r="L1684" s="73"/>
      <c r="M1684" s="70"/>
      <c r="N1684" s="74"/>
      <c r="O1684" s="75"/>
      <c r="P1684" s="75"/>
      <c r="U1684" s="72"/>
      <c r="V1684" s="73"/>
      <c r="W1684" s="70"/>
      <c r="X1684" s="74"/>
      <c r="Y1684" s="75"/>
      <c r="Z1684" s="75"/>
    </row>
    <row r="1685" spans="1:26" x14ac:dyDescent="0.3">
      <c r="A1685" s="72"/>
      <c r="B1685" s="73"/>
      <c r="C1685" s="70"/>
      <c r="D1685" s="74"/>
      <c r="E1685" s="75"/>
      <c r="F1685" s="75"/>
      <c r="K1685" s="72"/>
      <c r="L1685" s="73"/>
      <c r="M1685" s="70"/>
      <c r="N1685" s="74"/>
      <c r="O1685" s="75"/>
      <c r="P1685" s="75"/>
      <c r="U1685" s="72"/>
      <c r="V1685" s="73"/>
      <c r="W1685" s="70"/>
      <c r="X1685" s="74"/>
      <c r="Y1685" s="75"/>
      <c r="Z1685" s="75"/>
    </row>
    <row r="1686" spans="1:26" x14ac:dyDescent="0.3">
      <c r="A1686" s="72"/>
      <c r="B1686" s="73"/>
      <c r="C1686" s="70"/>
      <c r="D1686" s="74"/>
      <c r="E1686" s="75"/>
      <c r="F1686" s="75"/>
      <c r="K1686" s="72"/>
      <c r="L1686" s="73"/>
      <c r="M1686" s="70"/>
      <c r="N1686" s="74"/>
      <c r="O1686" s="75"/>
      <c r="P1686" s="75"/>
      <c r="U1686" s="72"/>
      <c r="V1686" s="73"/>
      <c r="W1686" s="70"/>
      <c r="X1686" s="74"/>
      <c r="Y1686" s="75"/>
      <c r="Z1686" s="75"/>
    </row>
    <row r="1687" spans="1:26" x14ac:dyDescent="0.3">
      <c r="A1687" s="72"/>
      <c r="B1687" s="73"/>
      <c r="C1687" s="70"/>
      <c r="D1687" s="74"/>
      <c r="E1687" s="75"/>
      <c r="F1687" s="75"/>
      <c r="K1687" s="72"/>
      <c r="L1687" s="73"/>
      <c r="M1687" s="70"/>
      <c r="N1687" s="74"/>
      <c r="O1687" s="75"/>
      <c r="P1687" s="75"/>
      <c r="U1687" s="72"/>
      <c r="V1687" s="73"/>
      <c r="W1687" s="70"/>
      <c r="X1687" s="74"/>
      <c r="Y1687" s="75"/>
      <c r="Z1687" s="75"/>
    </row>
    <row r="1688" spans="1:26" x14ac:dyDescent="0.3">
      <c r="A1688" s="72"/>
      <c r="B1688" s="73"/>
      <c r="C1688" s="70"/>
      <c r="D1688" s="74"/>
      <c r="E1688" s="75"/>
      <c r="F1688" s="75"/>
      <c r="K1688" s="72"/>
      <c r="L1688" s="73"/>
      <c r="M1688" s="70"/>
      <c r="N1688" s="74"/>
      <c r="O1688" s="75"/>
      <c r="P1688" s="75"/>
      <c r="U1688" s="72"/>
      <c r="V1688" s="73"/>
      <c r="W1688" s="70"/>
      <c r="X1688" s="74"/>
      <c r="Y1688" s="75"/>
      <c r="Z1688" s="75"/>
    </row>
    <row r="1689" spans="1:26" x14ac:dyDescent="0.3">
      <c r="A1689" s="72"/>
      <c r="B1689" s="73"/>
      <c r="C1689" s="70"/>
      <c r="D1689" s="74"/>
      <c r="E1689" s="75"/>
      <c r="F1689" s="75"/>
      <c r="K1689" s="72"/>
      <c r="L1689" s="73"/>
      <c r="M1689" s="70"/>
      <c r="N1689" s="74"/>
      <c r="O1689" s="75"/>
      <c r="P1689" s="75"/>
      <c r="U1689" s="72"/>
      <c r="V1689" s="73"/>
      <c r="W1689" s="70"/>
      <c r="X1689" s="74"/>
      <c r="Y1689" s="75"/>
      <c r="Z1689" s="75"/>
    </row>
    <row r="1690" spans="1:26" x14ac:dyDescent="0.3">
      <c r="A1690" s="72"/>
      <c r="B1690" s="73"/>
      <c r="C1690" s="70"/>
      <c r="D1690" s="74"/>
      <c r="E1690" s="75"/>
      <c r="F1690" s="75"/>
      <c r="K1690" s="72"/>
      <c r="L1690" s="73"/>
      <c r="M1690" s="70"/>
      <c r="N1690" s="74"/>
      <c r="O1690" s="75"/>
      <c r="P1690" s="75"/>
      <c r="U1690" s="72"/>
      <c r="V1690" s="73"/>
      <c r="W1690" s="70"/>
      <c r="X1690" s="74"/>
      <c r="Y1690" s="75"/>
      <c r="Z1690" s="75"/>
    </row>
    <row r="1691" spans="1:26" x14ac:dyDescent="0.3">
      <c r="A1691" s="72"/>
      <c r="B1691" s="73"/>
      <c r="C1691" s="70"/>
      <c r="D1691" s="74"/>
      <c r="E1691" s="75"/>
      <c r="F1691" s="75"/>
      <c r="K1691" s="72"/>
      <c r="L1691" s="73"/>
      <c r="M1691" s="70"/>
      <c r="N1691" s="74"/>
      <c r="O1691" s="75"/>
      <c r="P1691" s="75"/>
      <c r="U1691" s="72"/>
      <c r="V1691" s="73"/>
      <c r="W1691" s="70"/>
      <c r="X1691" s="74"/>
      <c r="Y1691" s="75"/>
      <c r="Z1691" s="75"/>
    </row>
    <row r="1692" spans="1:26" x14ac:dyDescent="0.3">
      <c r="A1692" s="72"/>
      <c r="B1692" s="73"/>
      <c r="C1692" s="70"/>
      <c r="D1692" s="74"/>
      <c r="E1692" s="75"/>
      <c r="F1692" s="75"/>
      <c r="K1692" s="72"/>
      <c r="L1692" s="73"/>
      <c r="M1692" s="70"/>
      <c r="N1692" s="74"/>
      <c r="O1692" s="75"/>
      <c r="P1692" s="75"/>
      <c r="U1692" s="72"/>
      <c r="V1692" s="73"/>
      <c r="W1692" s="70"/>
      <c r="X1692" s="74"/>
      <c r="Y1692" s="75"/>
      <c r="Z1692" s="75"/>
    </row>
    <row r="1693" spans="1:26" x14ac:dyDescent="0.3">
      <c r="A1693" s="72"/>
      <c r="B1693" s="73"/>
      <c r="C1693" s="70"/>
      <c r="D1693" s="74"/>
      <c r="E1693" s="75"/>
      <c r="F1693" s="75"/>
      <c r="K1693" s="72"/>
      <c r="L1693" s="73"/>
      <c r="M1693" s="70"/>
      <c r="N1693" s="74"/>
      <c r="O1693" s="75"/>
      <c r="P1693" s="75"/>
      <c r="U1693" s="72"/>
      <c r="V1693" s="73"/>
      <c r="W1693" s="70"/>
      <c r="X1693" s="74"/>
      <c r="Y1693" s="75"/>
      <c r="Z1693" s="75"/>
    </row>
    <row r="1694" spans="1:26" x14ac:dyDescent="0.3">
      <c r="A1694" s="72"/>
      <c r="B1694" s="73"/>
      <c r="C1694" s="70"/>
      <c r="D1694" s="74"/>
      <c r="E1694" s="75"/>
      <c r="F1694" s="75"/>
      <c r="K1694" s="72"/>
      <c r="L1694" s="73"/>
      <c r="M1694" s="70"/>
      <c r="N1694" s="74"/>
      <c r="O1694" s="75"/>
      <c r="P1694" s="75"/>
      <c r="U1694" s="72"/>
      <c r="V1694" s="73"/>
      <c r="W1694" s="70"/>
      <c r="X1694" s="74"/>
      <c r="Y1694" s="75"/>
      <c r="Z1694" s="75"/>
    </row>
    <row r="1695" spans="1:26" x14ac:dyDescent="0.3">
      <c r="A1695" s="72"/>
      <c r="B1695" s="73"/>
      <c r="C1695" s="70"/>
      <c r="D1695" s="74"/>
      <c r="E1695" s="75"/>
      <c r="F1695" s="75"/>
      <c r="K1695" s="72"/>
      <c r="L1695" s="73"/>
      <c r="M1695" s="70"/>
      <c r="N1695" s="74"/>
      <c r="O1695" s="75"/>
      <c r="P1695" s="75"/>
      <c r="U1695" s="72"/>
      <c r="V1695" s="73"/>
      <c r="W1695" s="70"/>
      <c r="X1695" s="74"/>
      <c r="Y1695" s="75"/>
      <c r="Z1695" s="75"/>
    </row>
    <row r="1696" spans="1:26" x14ac:dyDescent="0.3">
      <c r="A1696" s="72"/>
      <c r="B1696" s="73"/>
      <c r="C1696" s="70"/>
      <c r="D1696" s="74"/>
      <c r="E1696" s="75"/>
      <c r="F1696" s="75"/>
      <c r="K1696" s="72"/>
      <c r="L1696" s="73"/>
      <c r="M1696" s="70"/>
      <c r="N1696" s="74"/>
      <c r="O1696" s="75"/>
      <c r="P1696" s="75"/>
      <c r="U1696" s="72"/>
      <c r="V1696" s="73"/>
      <c r="W1696" s="70"/>
      <c r="X1696" s="74"/>
      <c r="Y1696" s="75"/>
      <c r="Z1696" s="75"/>
    </row>
    <row r="1697" spans="1:26" x14ac:dyDescent="0.3">
      <c r="A1697" s="72"/>
      <c r="B1697" s="73"/>
      <c r="C1697" s="70"/>
      <c r="D1697" s="74"/>
      <c r="E1697" s="75"/>
      <c r="F1697" s="75"/>
      <c r="K1697" s="72"/>
      <c r="L1697" s="73"/>
      <c r="M1697" s="70"/>
      <c r="N1697" s="74"/>
      <c r="O1697" s="75"/>
      <c r="P1697" s="75"/>
      <c r="U1697" s="72"/>
      <c r="V1697" s="73"/>
      <c r="W1697" s="70"/>
      <c r="X1697" s="74"/>
      <c r="Y1697" s="75"/>
      <c r="Z1697" s="75"/>
    </row>
    <row r="1698" spans="1:26" x14ac:dyDescent="0.3">
      <c r="A1698" s="72"/>
      <c r="B1698" s="73"/>
      <c r="C1698" s="70"/>
      <c r="D1698" s="74"/>
      <c r="E1698" s="75"/>
      <c r="F1698" s="75"/>
      <c r="K1698" s="72"/>
      <c r="L1698" s="73"/>
      <c r="M1698" s="70"/>
      <c r="N1698" s="74"/>
      <c r="O1698" s="75"/>
      <c r="P1698" s="75"/>
      <c r="U1698" s="72"/>
      <c r="V1698" s="73"/>
      <c r="W1698" s="70"/>
      <c r="X1698" s="74"/>
      <c r="Y1698" s="75"/>
      <c r="Z1698" s="75"/>
    </row>
    <row r="1699" spans="1:26" x14ac:dyDescent="0.3">
      <c r="A1699" s="72"/>
      <c r="B1699" s="73"/>
      <c r="C1699" s="70"/>
      <c r="D1699" s="74"/>
      <c r="E1699" s="75"/>
      <c r="F1699" s="75"/>
      <c r="K1699" s="72"/>
      <c r="L1699" s="73"/>
      <c r="M1699" s="70"/>
      <c r="N1699" s="74"/>
      <c r="O1699" s="75"/>
      <c r="P1699" s="75"/>
      <c r="U1699" s="72"/>
      <c r="V1699" s="73"/>
      <c r="W1699" s="70"/>
      <c r="X1699" s="74"/>
      <c r="Y1699" s="75"/>
      <c r="Z1699" s="75"/>
    </row>
    <row r="1700" spans="1:26" x14ac:dyDescent="0.3">
      <c r="A1700" s="72"/>
      <c r="B1700" s="73"/>
      <c r="C1700" s="70"/>
      <c r="D1700" s="74"/>
      <c r="E1700" s="75"/>
      <c r="F1700" s="75"/>
      <c r="K1700" s="72"/>
      <c r="L1700" s="73"/>
      <c r="M1700" s="70"/>
      <c r="N1700" s="74"/>
      <c r="O1700" s="75"/>
      <c r="P1700" s="75"/>
      <c r="U1700" s="72"/>
      <c r="V1700" s="73"/>
      <c r="W1700" s="70"/>
      <c r="X1700" s="74"/>
      <c r="Y1700" s="75"/>
      <c r="Z1700" s="75"/>
    </row>
    <row r="1701" spans="1:26" x14ac:dyDescent="0.3">
      <c r="A1701" s="72"/>
      <c r="B1701" s="73"/>
      <c r="C1701" s="70"/>
      <c r="D1701" s="74"/>
      <c r="E1701" s="75"/>
      <c r="F1701" s="75"/>
      <c r="K1701" s="72"/>
      <c r="L1701" s="73"/>
      <c r="M1701" s="70"/>
      <c r="N1701" s="74"/>
      <c r="O1701" s="75"/>
      <c r="P1701" s="75"/>
      <c r="U1701" s="72"/>
      <c r="V1701" s="73"/>
      <c r="W1701" s="70"/>
      <c r="X1701" s="74"/>
      <c r="Y1701" s="75"/>
      <c r="Z1701" s="75"/>
    </row>
    <row r="1702" spans="1:26" x14ac:dyDescent="0.3">
      <c r="A1702" s="72"/>
      <c r="B1702" s="73"/>
      <c r="C1702" s="70"/>
      <c r="D1702" s="74"/>
      <c r="E1702" s="75"/>
      <c r="F1702" s="75"/>
      <c r="K1702" s="72"/>
      <c r="L1702" s="73"/>
      <c r="M1702" s="70"/>
      <c r="N1702" s="74"/>
      <c r="O1702" s="75"/>
      <c r="P1702" s="75"/>
      <c r="U1702" s="72"/>
      <c r="V1702" s="73"/>
      <c r="W1702" s="70"/>
      <c r="X1702" s="74"/>
      <c r="Y1702" s="75"/>
      <c r="Z1702" s="75"/>
    </row>
    <row r="1703" spans="1:26" x14ac:dyDescent="0.3">
      <c r="A1703" s="72"/>
      <c r="B1703" s="73"/>
      <c r="C1703" s="70"/>
      <c r="D1703" s="74"/>
      <c r="E1703" s="75"/>
      <c r="F1703" s="75"/>
      <c r="K1703" s="72"/>
      <c r="L1703" s="73"/>
      <c r="M1703" s="70"/>
      <c r="N1703" s="74"/>
      <c r="O1703" s="75"/>
      <c r="P1703" s="75"/>
      <c r="U1703" s="72"/>
      <c r="V1703" s="73"/>
      <c r="W1703" s="70"/>
      <c r="X1703" s="74"/>
      <c r="Y1703" s="75"/>
      <c r="Z1703" s="75"/>
    </row>
    <row r="1704" spans="1:26" x14ac:dyDescent="0.3">
      <c r="A1704" s="72"/>
      <c r="B1704" s="73"/>
      <c r="C1704" s="70"/>
      <c r="D1704" s="74"/>
      <c r="E1704" s="75"/>
      <c r="F1704" s="75"/>
      <c r="K1704" s="72"/>
      <c r="L1704" s="73"/>
      <c r="M1704" s="70"/>
      <c r="N1704" s="74"/>
      <c r="O1704" s="75"/>
      <c r="P1704" s="75"/>
      <c r="U1704" s="72"/>
      <c r="V1704" s="73"/>
      <c r="W1704" s="70"/>
      <c r="X1704" s="74"/>
      <c r="Y1704" s="75"/>
      <c r="Z1704" s="75"/>
    </row>
    <row r="1705" spans="1:26" x14ac:dyDescent="0.3">
      <c r="A1705" s="72"/>
      <c r="B1705" s="73"/>
      <c r="C1705" s="70"/>
      <c r="D1705" s="74"/>
      <c r="E1705" s="75"/>
      <c r="F1705" s="75"/>
      <c r="K1705" s="72"/>
      <c r="L1705" s="73"/>
      <c r="M1705" s="70"/>
      <c r="N1705" s="74"/>
      <c r="O1705" s="75"/>
      <c r="P1705" s="75"/>
      <c r="U1705" s="72"/>
      <c r="V1705" s="73"/>
      <c r="W1705" s="70"/>
      <c r="X1705" s="74"/>
      <c r="Y1705" s="75"/>
      <c r="Z1705" s="75"/>
    </row>
    <row r="1706" spans="1:26" x14ac:dyDescent="0.3">
      <c r="A1706" s="72"/>
      <c r="B1706" s="73"/>
      <c r="C1706" s="70"/>
      <c r="D1706" s="74"/>
      <c r="E1706" s="75"/>
      <c r="F1706" s="75"/>
      <c r="K1706" s="72"/>
      <c r="L1706" s="73"/>
      <c r="M1706" s="70"/>
      <c r="N1706" s="74"/>
      <c r="O1706" s="75"/>
      <c r="P1706" s="75"/>
      <c r="U1706" s="72"/>
      <c r="V1706" s="73"/>
      <c r="W1706" s="70"/>
      <c r="X1706" s="74"/>
      <c r="Y1706" s="75"/>
      <c r="Z1706" s="75"/>
    </row>
    <row r="1707" spans="1:26" x14ac:dyDescent="0.3">
      <c r="A1707" s="72"/>
      <c r="B1707" s="73"/>
      <c r="C1707" s="70"/>
      <c r="D1707" s="74"/>
      <c r="E1707" s="75"/>
      <c r="F1707" s="75"/>
      <c r="K1707" s="72"/>
      <c r="L1707" s="73"/>
      <c r="M1707" s="70"/>
      <c r="N1707" s="74"/>
      <c r="O1707" s="75"/>
      <c r="P1707" s="75"/>
      <c r="U1707" s="72"/>
      <c r="V1707" s="73"/>
      <c r="W1707" s="70"/>
      <c r="X1707" s="74"/>
      <c r="Y1707" s="75"/>
      <c r="Z1707" s="75"/>
    </row>
    <row r="1708" spans="1:26" x14ac:dyDescent="0.3">
      <c r="A1708" s="72"/>
      <c r="B1708" s="73"/>
      <c r="C1708" s="70"/>
      <c r="D1708" s="74"/>
      <c r="E1708" s="75"/>
      <c r="F1708" s="75"/>
      <c r="K1708" s="72"/>
      <c r="L1708" s="73"/>
      <c r="M1708" s="70"/>
      <c r="N1708" s="74"/>
      <c r="O1708" s="75"/>
      <c r="P1708" s="75"/>
      <c r="U1708" s="72"/>
      <c r="V1708" s="73"/>
      <c r="W1708" s="70"/>
      <c r="X1708" s="74"/>
      <c r="Y1708" s="75"/>
      <c r="Z1708" s="75"/>
    </row>
    <row r="1709" spans="1:26" x14ac:dyDescent="0.3">
      <c r="A1709" s="72"/>
      <c r="B1709" s="73"/>
      <c r="C1709" s="70"/>
      <c r="D1709" s="74"/>
      <c r="E1709" s="75"/>
      <c r="F1709" s="75"/>
      <c r="K1709" s="72"/>
      <c r="L1709" s="73"/>
      <c r="M1709" s="70"/>
      <c r="N1709" s="74"/>
      <c r="O1709" s="75"/>
      <c r="P1709" s="75"/>
      <c r="U1709" s="72"/>
      <c r="V1709" s="73"/>
      <c r="W1709" s="70"/>
      <c r="X1709" s="74"/>
      <c r="Y1709" s="75"/>
      <c r="Z1709" s="75"/>
    </row>
    <row r="1710" spans="1:26" x14ac:dyDescent="0.3">
      <c r="A1710" s="72"/>
      <c r="B1710" s="73"/>
      <c r="C1710" s="70"/>
      <c r="D1710" s="74"/>
      <c r="E1710" s="75"/>
      <c r="F1710" s="75"/>
      <c r="K1710" s="72"/>
      <c r="L1710" s="73"/>
      <c r="M1710" s="70"/>
      <c r="N1710" s="74"/>
      <c r="O1710" s="75"/>
      <c r="P1710" s="75"/>
      <c r="U1710" s="72"/>
      <c r="V1710" s="73"/>
      <c r="W1710" s="70"/>
      <c r="X1710" s="74"/>
      <c r="Y1710" s="75"/>
      <c r="Z1710" s="75"/>
    </row>
    <row r="1711" spans="1:26" x14ac:dyDescent="0.3">
      <c r="A1711" s="72"/>
      <c r="B1711" s="73"/>
      <c r="C1711" s="70"/>
      <c r="D1711" s="74"/>
      <c r="E1711" s="75"/>
      <c r="F1711" s="75"/>
      <c r="K1711" s="72"/>
      <c r="L1711" s="73"/>
      <c r="M1711" s="70"/>
      <c r="N1711" s="74"/>
      <c r="O1711" s="75"/>
      <c r="P1711" s="75"/>
      <c r="U1711" s="72"/>
      <c r="V1711" s="73"/>
      <c r="W1711" s="70"/>
      <c r="X1711" s="74"/>
      <c r="Y1711" s="75"/>
      <c r="Z1711" s="75"/>
    </row>
    <row r="1712" spans="1:26" x14ac:dyDescent="0.3">
      <c r="A1712" s="72"/>
      <c r="B1712" s="73"/>
      <c r="C1712" s="70"/>
      <c r="D1712" s="74"/>
      <c r="E1712" s="75"/>
      <c r="F1712" s="75"/>
      <c r="K1712" s="72"/>
      <c r="L1712" s="73"/>
      <c r="M1712" s="70"/>
      <c r="N1712" s="74"/>
      <c r="O1712" s="75"/>
      <c r="P1712" s="75"/>
      <c r="U1712" s="72"/>
      <c r="V1712" s="73"/>
      <c r="W1712" s="70"/>
      <c r="X1712" s="74"/>
      <c r="Y1712" s="75"/>
      <c r="Z1712" s="75"/>
    </row>
    <row r="1713" spans="1:26" x14ac:dyDescent="0.3">
      <c r="A1713" s="72"/>
      <c r="B1713" s="73"/>
      <c r="C1713" s="70"/>
      <c r="D1713" s="74"/>
      <c r="E1713" s="75"/>
      <c r="F1713" s="75"/>
      <c r="K1713" s="72"/>
      <c r="L1713" s="73"/>
      <c r="M1713" s="70"/>
      <c r="N1713" s="74"/>
      <c r="O1713" s="75"/>
      <c r="P1713" s="75"/>
      <c r="U1713" s="72"/>
      <c r="V1713" s="73"/>
      <c r="W1713" s="70"/>
      <c r="X1713" s="74"/>
      <c r="Y1713" s="75"/>
      <c r="Z1713" s="75"/>
    </row>
    <row r="1714" spans="1:26" x14ac:dyDescent="0.3">
      <c r="A1714" s="72"/>
      <c r="B1714" s="73"/>
      <c r="C1714" s="70"/>
      <c r="D1714" s="74"/>
      <c r="E1714" s="75"/>
      <c r="F1714" s="75"/>
      <c r="K1714" s="72"/>
      <c r="L1714" s="73"/>
      <c r="M1714" s="70"/>
      <c r="N1714" s="74"/>
      <c r="O1714" s="75"/>
      <c r="P1714" s="75"/>
      <c r="U1714" s="72"/>
      <c r="V1714" s="73"/>
      <c r="W1714" s="70"/>
      <c r="X1714" s="74"/>
      <c r="Y1714" s="75"/>
      <c r="Z1714" s="75"/>
    </row>
    <row r="1715" spans="1:26" x14ac:dyDescent="0.3">
      <c r="A1715" s="72"/>
      <c r="B1715" s="73"/>
      <c r="C1715" s="70"/>
      <c r="D1715" s="74"/>
      <c r="E1715" s="75"/>
      <c r="F1715" s="75"/>
      <c r="K1715" s="72"/>
      <c r="L1715" s="73"/>
      <c r="M1715" s="70"/>
      <c r="N1715" s="74"/>
      <c r="O1715" s="75"/>
      <c r="P1715" s="75"/>
      <c r="U1715" s="72"/>
      <c r="V1715" s="73"/>
      <c r="W1715" s="70"/>
      <c r="X1715" s="74"/>
      <c r="Y1715" s="75"/>
      <c r="Z1715" s="75"/>
    </row>
    <row r="1716" spans="1:26" x14ac:dyDescent="0.3">
      <c r="A1716" s="72"/>
      <c r="B1716" s="73"/>
      <c r="C1716" s="70"/>
      <c r="D1716" s="74"/>
      <c r="E1716" s="75"/>
      <c r="F1716" s="75"/>
      <c r="K1716" s="72"/>
      <c r="L1716" s="73"/>
      <c r="M1716" s="70"/>
      <c r="N1716" s="74"/>
      <c r="O1716" s="75"/>
      <c r="P1716" s="75"/>
      <c r="U1716" s="72"/>
      <c r="V1716" s="73"/>
      <c r="W1716" s="70"/>
      <c r="X1716" s="74"/>
      <c r="Y1716" s="75"/>
      <c r="Z1716" s="75"/>
    </row>
    <row r="1717" spans="1:26" x14ac:dyDescent="0.3">
      <c r="A1717" s="72"/>
      <c r="B1717" s="73"/>
      <c r="C1717" s="70"/>
      <c r="D1717" s="74"/>
      <c r="E1717" s="75"/>
      <c r="F1717" s="75"/>
      <c r="K1717" s="72"/>
      <c r="L1717" s="73"/>
      <c r="M1717" s="70"/>
      <c r="N1717" s="74"/>
      <c r="O1717" s="75"/>
      <c r="P1717" s="75"/>
      <c r="U1717" s="72"/>
      <c r="V1717" s="73"/>
      <c r="W1717" s="70"/>
      <c r="X1717" s="74"/>
      <c r="Y1717" s="75"/>
      <c r="Z1717" s="75"/>
    </row>
    <row r="1718" spans="1:26" x14ac:dyDescent="0.3">
      <c r="A1718" s="72"/>
      <c r="B1718" s="73"/>
      <c r="C1718" s="70"/>
      <c r="D1718" s="74"/>
      <c r="E1718" s="75"/>
      <c r="F1718" s="75"/>
      <c r="K1718" s="72"/>
      <c r="L1718" s="73"/>
      <c r="M1718" s="70"/>
      <c r="N1718" s="74"/>
      <c r="O1718" s="75"/>
      <c r="P1718" s="75"/>
      <c r="U1718" s="72"/>
      <c r="V1718" s="73"/>
      <c r="W1718" s="70"/>
      <c r="X1718" s="74"/>
      <c r="Y1718" s="75"/>
      <c r="Z1718" s="75"/>
    </row>
    <row r="1719" spans="1:26" x14ac:dyDescent="0.3">
      <c r="A1719" s="72"/>
      <c r="B1719" s="73"/>
      <c r="C1719" s="70"/>
      <c r="D1719" s="74"/>
      <c r="E1719" s="75"/>
      <c r="F1719" s="75"/>
      <c r="K1719" s="72"/>
      <c r="L1719" s="73"/>
      <c r="M1719" s="70"/>
      <c r="N1719" s="74"/>
      <c r="O1719" s="75"/>
      <c r="P1719" s="75"/>
      <c r="U1719" s="72"/>
      <c r="V1719" s="73"/>
      <c r="W1719" s="70"/>
      <c r="X1719" s="74"/>
      <c r="Y1719" s="75"/>
      <c r="Z1719" s="75"/>
    </row>
    <row r="1720" spans="1:26" x14ac:dyDescent="0.3">
      <c r="A1720" s="72"/>
      <c r="B1720" s="73"/>
      <c r="C1720" s="70"/>
      <c r="D1720" s="74"/>
      <c r="E1720" s="75"/>
      <c r="F1720" s="75"/>
      <c r="K1720" s="72"/>
      <c r="L1720" s="73"/>
      <c r="M1720" s="70"/>
      <c r="N1720" s="74"/>
      <c r="O1720" s="75"/>
      <c r="P1720" s="75"/>
      <c r="U1720" s="72"/>
      <c r="V1720" s="73"/>
      <c r="W1720" s="70"/>
      <c r="X1720" s="74"/>
      <c r="Y1720" s="75"/>
      <c r="Z1720" s="75"/>
    </row>
    <row r="1721" spans="1:26" x14ac:dyDescent="0.3">
      <c r="A1721" s="72"/>
      <c r="B1721" s="73"/>
      <c r="C1721" s="70"/>
      <c r="D1721" s="74"/>
      <c r="E1721" s="75"/>
      <c r="F1721" s="75"/>
      <c r="K1721" s="72"/>
      <c r="L1721" s="73"/>
      <c r="M1721" s="70"/>
      <c r="N1721" s="74"/>
      <c r="O1721" s="75"/>
      <c r="P1721" s="75"/>
      <c r="U1721" s="72"/>
      <c r="V1721" s="73"/>
      <c r="W1721" s="70"/>
      <c r="X1721" s="74"/>
      <c r="Y1721" s="75"/>
      <c r="Z1721" s="75"/>
    </row>
    <row r="1722" spans="1:26" x14ac:dyDescent="0.3">
      <c r="A1722" s="72"/>
      <c r="B1722" s="73"/>
      <c r="C1722" s="70"/>
      <c r="D1722" s="74"/>
      <c r="E1722" s="75"/>
      <c r="F1722" s="75"/>
      <c r="K1722" s="72"/>
      <c r="L1722" s="73"/>
      <c r="M1722" s="70"/>
      <c r="N1722" s="74"/>
      <c r="O1722" s="75"/>
      <c r="P1722" s="75"/>
      <c r="U1722" s="72"/>
      <c r="V1722" s="73"/>
      <c r="W1722" s="70"/>
      <c r="X1722" s="74"/>
      <c r="Y1722" s="75"/>
      <c r="Z1722" s="75"/>
    </row>
    <row r="1723" spans="1:26" x14ac:dyDescent="0.3">
      <c r="A1723" s="72"/>
      <c r="B1723" s="73"/>
      <c r="C1723" s="70"/>
      <c r="D1723" s="74"/>
      <c r="E1723" s="75"/>
      <c r="F1723" s="75"/>
      <c r="K1723" s="72"/>
      <c r="L1723" s="73"/>
      <c r="M1723" s="70"/>
      <c r="N1723" s="74"/>
      <c r="O1723" s="75"/>
      <c r="P1723" s="75"/>
      <c r="U1723" s="72"/>
      <c r="V1723" s="73"/>
      <c r="W1723" s="70"/>
      <c r="X1723" s="74"/>
      <c r="Y1723" s="75"/>
      <c r="Z1723" s="75"/>
    </row>
    <row r="1724" spans="1:26" x14ac:dyDescent="0.3">
      <c r="A1724" s="72"/>
      <c r="B1724" s="73"/>
      <c r="C1724" s="70"/>
      <c r="D1724" s="74"/>
      <c r="E1724" s="75"/>
      <c r="F1724" s="75"/>
      <c r="K1724" s="72"/>
      <c r="L1724" s="73"/>
      <c r="M1724" s="70"/>
      <c r="N1724" s="74"/>
      <c r="O1724" s="75"/>
      <c r="P1724" s="75"/>
      <c r="U1724" s="72"/>
      <c r="V1724" s="73"/>
      <c r="W1724" s="70"/>
      <c r="X1724" s="74"/>
      <c r="Y1724" s="75"/>
      <c r="Z1724" s="75"/>
    </row>
    <row r="1725" spans="1:26" x14ac:dyDescent="0.3">
      <c r="A1725" s="72"/>
      <c r="B1725" s="73"/>
      <c r="C1725" s="70"/>
      <c r="D1725" s="74"/>
      <c r="E1725" s="75"/>
      <c r="F1725" s="75"/>
      <c r="K1725" s="72"/>
      <c r="L1725" s="73"/>
      <c r="M1725" s="70"/>
      <c r="N1725" s="74"/>
      <c r="O1725" s="75"/>
      <c r="P1725" s="75"/>
      <c r="U1725" s="72"/>
      <c r="V1725" s="73"/>
      <c r="W1725" s="70"/>
      <c r="X1725" s="74"/>
      <c r="Y1725" s="75"/>
      <c r="Z1725" s="75"/>
    </row>
    <row r="1726" spans="1:26" x14ac:dyDescent="0.3">
      <c r="A1726" s="72"/>
      <c r="B1726" s="73"/>
      <c r="C1726" s="70"/>
      <c r="D1726" s="74"/>
      <c r="E1726" s="75"/>
      <c r="F1726" s="75"/>
      <c r="K1726" s="72"/>
      <c r="L1726" s="73"/>
      <c r="M1726" s="70"/>
      <c r="N1726" s="74"/>
      <c r="O1726" s="75"/>
      <c r="P1726" s="75"/>
      <c r="U1726" s="72"/>
      <c r="V1726" s="73"/>
      <c r="W1726" s="70"/>
      <c r="X1726" s="74"/>
      <c r="Y1726" s="75"/>
      <c r="Z1726" s="75"/>
    </row>
    <row r="1727" spans="1:26" x14ac:dyDescent="0.3">
      <c r="A1727" s="72"/>
      <c r="B1727" s="73"/>
      <c r="C1727" s="70"/>
      <c r="D1727" s="74"/>
      <c r="E1727" s="75"/>
      <c r="F1727" s="75"/>
      <c r="K1727" s="72"/>
      <c r="L1727" s="73"/>
      <c r="M1727" s="70"/>
      <c r="N1727" s="74"/>
      <c r="O1727" s="75"/>
      <c r="P1727" s="75"/>
      <c r="U1727" s="72"/>
      <c r="V1727" s="73"/>
      <c r="W1727" s="70"/>
      <c r="X1727" s="74"/>
      <c r="Y1727" s="75"/>
      <c r="Z1727" s="75"/>
    </row>
    <row r="1728" spans="1:26" x14ac:dyDescent="0.3">
      <c r="A1728" s="72"/>
      <c r="B1728" s="73"/>
      <c r="C1728" s="70"/>
      <c r="D1728" s="74"/>
      <c r="E1728" s="75"/>
      <c r="F1728" s="75"/>
      <c r="K1728" s="72"/>
      <c r="L1728" s="73"/>
      <c r="M1728" s="70"/>
      <c r="N1728" s="74"/>
      <c r="O1728" s="75"/>
      <c r="P1728" s="75"/>
      <c r="U1728" s="72"/>
      <c r="V1728" s="73"/>
      <c r="W1728" s="70"/>
      <c r="X1728" s="74"/>
      <c r="Y1728" s="75"/>
      <c r="Z1728" s="75"/>
    </row>
    <row r="1729" spans="1:26" x14ac:dyDescent="0.3">
      <c r="A1729" s="72"/>
      <c r="B1729" s="73"/>
      <c r="C1729" s="70"/>
      <c r="D1729" s="74"/>
      <c r="E1729" s="75"/>
      <c r="F1729" s="75"/>
      <c r="K1729" s="72"/>
      <c r="L1729" s="73"/>
      <c r="M1729" s="70"/>
      <c r="N1729" s="74"/>
      <c r="O1729" s="75"/>
      <c r="P1729" s="75"/>
      <c r="U1729" s="72"/>
      <c r="V1729" s="73"/>
      <c r="W1729" s="70"/>
      <c r="X1729" s="74"/>
      <c r="Y1729" s="75"/>
      <c r="Z1729" s="75"/>
    </row>
    <row r="1730" spans="1:26" x14ac:dyDescent="0.3">
      <c r="A1730" s="72"/>
      <c r="B1730" s="73"/>
      <c r="C1730" s="70"/>
      <c r="D1730" s="74"/>
      <c r="E1730" s="75"/>
      <c r="F1730" s="75"/>
      <c r="K1730" s="72"/>
      <c r="L1730" s="73"/>
      <c r="M1730" s="70"/>
      <c r="N1730" s="74"/>
      <c r="O1730" s="75"/>
      <c r="P1730" s="75"/>
      <c r="U1730" s="72"/>
      <c r="V1730" s="73"/>
      <c r="W1730" s="70"/>
      <c r="X1730" s="74"/>
      <c r="Y1730" s="75"/>
      <c r="Z1730" s="75"/>
    </row>
    <row r="1731" spans="1:26" x14ac:dyDescent="0.3">
      <c r="A1731" s="72"/>
      <c r="B1731" s="73"/>
      <c r="C1731" s="70"/>
      <c r="D1731" s="74"/>
      <c r="E1731" s="75"/>
      <c r="F1731" s="75"/>
      <c r="K1731" s="72"/>
      <c r="L1731" s="73"/>
      <c r="M1731" s="70"/>
      <c r="N1731" s="74"/>
      <c r="O1731" s="75"/>
      <c r="P1731" s="75"/>
      <c r="U1731" s="72"/>
      <c r="V1731" s="73"/>
      <c r="W1731" s="70"/>
      <c r="X1731" s="74"/>
      <c r="Y1731" s="75"/>
      <c r="Z1731" s="75"/>
    </row>
    <row r="1732" spans="1:26" x14ac:dyDescent="0.3">
      <c r="A1732" s="72"/>
      <c r="B1732" s="73"/>
      <c r="C1732" s="70"/>
      <c r="D1732" s="74"/>
      <c r="E1732" s="75"/>
      <c r="F1732" s="75"/>
      <c r="K1732" s="72"/>
      <c r="L1732" s="73"/>
      <c r="M1732" s="70"/>
      <c r="N1732" s="74"/>
      <c r="O1732" s="75"/>
      <c r="P1732" s="75"/>
      <c r="U1732" s="72"/>
      <c r="V1732" s="73"/>
      <c r="W1732" s="70"/>
      <c r="X1732" s="74"/>
      <c r="Y1732" s="75"/>
      <c r="Z1732" s="75"/>
    </row>
    <row r="1733" spans="1:26" x14ac:dyDescent="0.3">
      <c r="A1733" s="72"/>
      <c r="B1733" s="73"/>
      <c r="C1733" s="70"/>
      <c r="D1733" s="74"/>
      <c r="E1733" s="75"/>
      <c r="F1733" s="75"/>
      <c r="K1733" s="72"/>
      <c r="L1733" s="73"/>
      <c r="M1733" s="70"/>
      <c r="N1733" s="74"/>
      <c r="O1733" s="75"/>
      <c r="P1733" s="75"/>
      <c r="U1733" s="72"/>
      <c r="V1733" s="73"/>
      <c r="W1733" s="70"/>
      <c r="X1733" s="74"/>
      <c r="Y1733" s="75"/>
      <c r="Z1733" s="75"/>
    </row>
    <row r="1734" spans="1:26" x14ac:dyDescent="0.3">
      <c r="A1734" s="72"/>
      <c r="B1734" s="73"/>
      <c r="C1734" s="70"/>
      <c r="D1734" s="74"/>
      <c r="E1734" s="75"/>
      <c r="F1734" s="75"/>
      <c r="K1734" s="72"/>
      <c r="L1734" s="73"/>
      <c r="M1734" s="70"/>
      <c r="N1734" s="74"/>
      <c r="O1734" s="75"/>
      <c r="P1734" s="75"/>
      <c r="U1734" s="72"/>
      <c r="V1734" s="73"/>
      <c r="W1734" s="70"/>
      <c r="X1734" s="74"/>
      <c r="Y1734" s="75"/>
      <c r="Z1734" s="75"/>
    </row>
    <row r="1735" spans="1:26" x14ac:dyDescent="0.3">
      <c r="A1735" s="72"/>
      <c r="B1735" s="73"/>
      <c r="C1735" s="70"/>
      <c r="D1735" s="74"/>
      <c r="E1735" s="75"/>
      <c r="F1735" s="75"/>
      <c r="K1735" s="72"/>
      <c r="L1735" s="73"/>
      <c r="M1735" s="70"/>
      <c r="N1735" s="74"/>
      <c r="O1735" s="75"/>
      <c r="P1735" s="75"/>
      <c r="U1735" s="72"/>
      <c r="V1735" s="73"/>
      <c r="W1735" s="70"/>
      <c r="X1735" s="74"/>
      <c r="Y1735" s="75"/>
      <c r="Z1735" s="75"/>
    </row>
    <row r="1736" spans="1:26" x14ac:dyDescent="0.3">
      <c r="A1736" s="72"/>
      <c r="B1736" s="73"/>
      <c r="C1736" s="70"/>
      <c r="D1736" s="74"/>
      <c r="E1736" s="75"/>
      <c r="F1736" s="75"/>
      <c r="K1736" s="72"/>
      <c r="L1736" s="73"/>
      <c r="M1736" s="70"/>
      <c r="N1736" s="74"/>
      <c r="O1736" s="75"/>
      <c r="P1736" s="75"/>
      <c r="U1736" s="72"/>
      <c r="V1736" s="73"/>
      <c r="W1736" s="70"/>
      <c r="X1736" s="74"/>
      <c r="Y1736" s="75"/>
      <c r="Z1736" s="75"/>
    </row>
    <row r="1737" spans="1:26" x14ac:dyDescent="0.3">
      <c r="A1737" s="72"/>
      <c r="B1737" s="73"/>
      <c r="C1737" s="70"/>
      <c r="D1737" s="74"/>
      <c r="E1737" s="75"/>
      <c r="F1737" s="75"/>
      <c r="K1737" s="72"/>
      <c r="L1737" s="73"/>
      <c r="M1737" s="70"/>
      <c r="N1737" s="74"/>
      <c r="O1737" s="75"/>
      <c r="P1737" s="75"/>
      <c r="U1737" s="72"/>
      <c r="V1737" s="73"/>
      <c r="W1737" s="70"/>
      <c r="X1737" s="74"/>
      <c r="Y1737" s="75"/>
      <c r="Z1737" s="75"/>
    </row>
    <row r="1738" spans="1:26" x14ac:dyDescent="0.3">
      <c r="A1738" s="72"/>
      <c r="B1738" s="73"/>
      <c r="C1738" s="70"/>
      <c r="D1738" s="74"/>
      <c r="E1738" s="75"/>
      <c r="F1738" s="75"/>
      <c r="K1738" s="72"/>
      <c r="L1738" s="73"/>
      <c r="M1738" s="70"/>
      <c r="N1738" s="74"/>
      <c r="O1738" s="75"/>
      <c r="P1738" s="75"/>
      <c r="U1738" s="72"/>
      <c r="V1738" s="73"/>
      <c r="W1738" s="70"/>
      <c r="X1738" s="74"/>
      <c r="Y1738" s="75"/>
      <c r="Z1738" s="75"/>
    </row>
    <row r="1739" spans="1:26" x14ac:dyDescent="0.3">
      <c r="A1739" s="72"/>
      <c r="B1739" s="73"/>
      <c r="C1739" s="70"/>
      <c r="D1739" s="74"/>
      <c r="E1739" s="75"/>
      <c r="F1739" s="75"/>
      <c r="K1739" s="72"/>
      <c r="L1739" s="73"/>
      <c r="M1739" s="70"/>
      <c r="N1739" s="74"/>
      <c r="O1739" s="75"/>
      <c r="P1739" s="75"/>
      <c r="U1739" s="72"/>
      <c r="V1739" s="73"/>
      <c r="W1739" s="70"/>
      <c r="X1739" s="74"/>
      <c r="Y1739" s="75"/>
      <c r="Z1739" s="75"/>
    </row>
    <row r="1740" spans="1:26" x14ac:dyDescent="0.3">
      <c r="A1740" s="72"/>
      <c r="B1740" s="73"/>
      <c r="C1740" s="70"/>
      <c r="D1740" s="74"/>
      <c r="E1740" s="75"/>
      <c r="F1740" s="75"/>
      <c r="K1740" s="72"/>
      <c r="L1740" s="73"/>
      <c r="M1740" s="70"/>
      <c r="N1740" s="74"/>
      <c r="O1740" s="75"/>
      <c r="P1740" s="75"/>
      <c r="U1740" s="72"/>
      <c r="V1740" s="73"/>
      <c r="W1740" s="70"/>
      <c r="X1740" s="74"/>
      <c r="Y1740" s="75"/>
      <c r="Z1740" s="75"/>
    </row>
    <row r="1741" spans="1:26" x14ac:dyDescent="0.3">
      <c r="A1741" s="72"/>
      <c r="B1741" s="73"/>
      <c r="C1741" s="70"/>
      <c r="D1741" s="74"/>
      <c r="E1741" s="75"/>
      <c r="F1741" s="75"/>
      <c r="K1741" s="72"/>
      <c r="L1741" s="73"/>
      <c r="M1741" s="70"/>
      <c r="N1741" s="74"/>
      <c r="O1741" s="75"/>
      <c r="P1741" s="75"/>
      <c r="U1741" s="72"/>
      <c r="V1741" s="73"/>
      <c r="W1741" s="70"/>
      <c r="X1741" s="74"/>
      <c r="Y1741" s="75"/>
      <c r="Z1741" s="75"/>
    </row>
    <row r="1742" spans="1:26" x14ac:dyDescent="0.3">
      <c r="A1742" s="72"/>
      <c r="B1742" s="73"/>
      <c r="C1742" s="70"/>
      <c r="D1742" s="74"/>
      <c r="E1742" s="75"/>
      <c r="F1742" s="75"/>
      <c r="K1742" s="72"/>
      <c r="L1742" s="73"/>
      <c r="M1742" s="70"/>
      <c r="N1742" s="74"/>
      <c r="O1742" s="75"/>
      <c r="P1742" s="75"/>
      <c r="U1742" s="72"/>
      <c r="V1742" s="73"/>
      <c r="W1742" s="70"/>
      <c r="X1742" s="74"/>
      <c r="Y1742" s="75"/>
      <c r="Z1742" s="75"/>
    </row>
    <row r="1743" spans="1:26" x14ac:dyDescent="0.3">
      <c r="A1743" s="72"/>
      <c r="B1743" s="73"/>
      <c r="C1743" s="70"/>
      <c r="D1743" s="74"/>
      <c r="E1743" s="75"/>
      <c r="F1743" s="75"/>
      <c r="K1743" s="72"/>
      <c r="L1743" s="73"/>
      <c r="M1743" s="70"/>
      <c r="N1743" s="74"/>
      <c r="O1743" s="75"/>
      <c r="P1743" s="75"/>
      <c r="U1743" s="72"/>
      <c r="V1743" s="73"/>
      <c r="W1743" s="70"/>
      <c r="X1743" s="74"/>
      <c r="Y1743" s="75"/>
      <c r="Z1743" s="75"/>
    </row>
    <row r="1744" spans="1:26" x14ac:dyDescent="0.3">
      <c r="A1744" s="72"/>
      <c r="B1744" s="73"/>
      <c r="C1744" s="70"/>
      <c r="D1744" s="74"/>
      <c r="E1744" s="75"/>
      <c r="F1744" s="75"/>
      <c r="K1744" s="72"/>
      <c r="L1744" s="73"/>
      <c r="M1744" s="70"/>
      <c r="N1744" s="74"/>
      <c r="O1744" s="75"/>
      <c r="P1744" s="75"/>
      <c r="U1744" s="72"/>
      <c r="V1744" s="73"/>
      <c r="W1744" s="70"/>
      <c r="X1744" s="74"/>
      <c r="Y1744" s="75"/>
      <c r="Z1744" s="75"/>
    </row>
    <row r="1745" spans="1:26" x14ac:dyDescent="0.3">
      <c r="A1745" s="72"/>
      <c r="B1745" s="73"/>
      <c r="C1745" s="70"/>
      <c r="D1745" s="74"/>
      <c r="E1745" s="75"/>
      <c r="F1745" s="75"/>
      <c r="K1745" s="72"/>
      <c r="L1745" s="73"/>
      <c r="M1745" s="70"/>
      <c r="N1745" s="74"/>
      <c r="O1745" s="75"/>
      <c r="P1745" s="75"/>
      <c r="U1745" s="72"/>
      <c r="V1745" s="73"/>
      <c r="W1745" s="70"/>
      <c r="X1745" s="74"/>
      <c r="Y1745" s="75"/>
      <c r="Z1745" s="75"/>
    </row>
    <row r="1746" spans="1:26" x14ac:dyDescent="0.3">
      <c r="A1746" s="72"/>
      <c r="B1746" s="73"/>
      <c r="C1746" s="70"/>
      <c r="D1746" s="74"/>
      <c r="E1746" s="75"/>
      <c r="F1746" s="75"/>
      <c r="K1746" s="72"/>
      <c r="L1746" s="73"/>
      <c r="M1746" s="70"/>
      <c r="N1746" s="74"/>
      <c r="O1746" s="75"/>
      <c r="P1746" s="75"/>
      <c r="U1746" s="72"/>
      <c r="V1746" s="73"/>
      <c r="W1746" s="70"/>
      <c r="X1746" s="74"/>
      <c r="Y1746" s="75"/>
      <c r="Z1746" s="75"/>
    </row>
    <row r="1747" spans="1:26" x14ac:dyDescent="0.3">
      <c r="A1747" s="72"/>
      <c r="B1747" s="73"/>
      <c r="C1747" s="70"/>
      <c r="D1747" s="74"/>
      <c r="E1747" s="75"/>
      <c r="F1747" s="75"/>
      <c r="K1747" s="72"/>
      <c r="L1747" s="73"/>
      <c r="M1747" s="70"/>
      <c r="N1747" s="74"/>
      <c r="O1747" s="75"/>
      <c r="P1747" s="75"/>
      <c r="U1747" s="72"/>
      <c r="V1747" s="73"/>
      <c r="W1747" s="70"/>
      <c r="X1747" s="74"/>
      <c r="Y1747" s="75"/>
      <c r="Z1747" s="75"/>
    </row>
    <row r="1748" spans="1:26" x14ac:dyDescent="0.3">
      <c r="A1748" s="72"/>
      <c r="B1748" s="73"/>
      <c r="C1748" s="70"/>
      <c r="D1748" s="74"/>
      <c r="E1748" s="75"/>
      <c r="F1748" s="75"/>
      <c r="K1748" s="72"/>
      <c r="L1748" s="73"/>
      <c r="M1748" s="70"/>
      <c r="N1748" s="74"/>
      <c r="O1748" s="75"/>
      <c r="P1748" s="75"/>
      <c r="U1748" s="72"/>
      <c r="V1748" s="73"/>
      <c r="W1748" s="70"/>
      <c r="X1748" s="74"/>
      <c r="Y1748" s="75"/>
      <c r="Z1748" s="75"/>
    </row>
    <row r="1749" spans="1:26" x14ac:dyDescent="0.3">
      <c r="A1749" s="72"/>
      <c r="B1749" s="73"/>
      <c r="C1749" s="70"/>
      <c r="D1749" s="74"/>
      <c r="E1749" s="75"/>
      <c r="F1749" s="75"/>
      <c r="K1749" s="72"/>
      <c r="L1749" s="73"/>
      <c r="M1749" s="70"/>
      <c r="N1749" s="74"/>
      <c r="O1749" s="75"/>
      <c r="P1749" s="75"/>
      <c r="U1749" s="72"/>
      <c r="V1749" s="73"/>
      <c r="W1749" s="70"/>
      <c r="X1749" s="74"/>
      <c r="Y1749" s="75"/>
      <c r="Z1749" s="75"/>
    </row>
    <row r="1750" spans="1:26" x14ac:dyDescent="0.3">
      <c r="A1750" s="72"/>
      <c r="B1750" s="73"/>
      <c r="C1750" s="70"/>
      <c r="D1750" s="74"/>
      <c r="E1750" s="75"/>
      <c r="F1750" s="75"/>
      <c r="K1750" s="72"/>
      <c r="L1750" s="73"/>
      <c r="M1750" s="70"/>
      <c r="N1750" s="74"/>
      <c r="O1750" s="75"/>
      <c r="P1750" s="75"/>
      <c r="U1750" s="72"/>
      <c r="V1750" s="73"/>
      <c r="W1750" s="70"/>
      <c r="X1750" s="74"/>
      <c r="Y1750" s="75"/>
      <c r="Z1750" s="75"/>
    </row>
    <row r="1751" spans="1:26" x14ac:dyDescent="0.3">
      <c r="A1751" s="72"/>
      <c r="B1751" s="73"/>
      <c r="C1751" s="70"/>
      <c r="D1751" s="74"/>
      <c r="E1751" s="75"/>
      <c r="F1751" s="75"/>
      <c r="K1751" s="72"/>
      <c r="L1751" s="73"/>
      <c r="M1751" s="70"/>
      <c r="N1751" s="74"/>
      <c r="O1751" s="75"/>
      <c r="P1751" s="75"/>
      <c r="U1751" s="72"/>
      <c r="V1751" s="73"/>
      <c r="W1751" s="70"/>
      <c r="X1751" s="74"/>
      <c r="Y1751" s="75"/>
      <c r="Z1751" s="75"/>
    </row>
    <row r="1752" spans="1:26" x14ac:dyDescent="0.3">
      <c r="A1752" s="72"/>
      <c r="B1752" s="73"/>
      <c r="C1752" s="70"/>
      <c r="D1752" s="74"/>
      <c r="E1752" s="75"/>
      <c r="F1752" s="75"/>
      <c r="K1752" s="72"/>
      <c r="L1752" s="73"/>
      <c r="M1752" s="70"/>
      <c r="N1752" s="74"/>
      <c r="O1752" s="75"/>
      <c r="P1752" s="75"/>
      <c r="U1752" s="72"/>
      <c r="V1752" s="73"/>
      <c r="W1752" s="70"/>
      <c r="X1752" s="74"/>
      <c r="Y1752" s="75"/>
      <c r="Z1752" s="75"/>
    </row>
    <row r="1753" spans="1:26" x14ac:dyDescent="0.3">
      <c r="A1753" s="72"/>
      <c r="B1753" s="73"/>
      <c r="C1753" s="70"/>
      <c r="D1753" s="74"/>
      <c r="E1753" s="75"/>
      <c r="F1753" s="75"/>
      <c r="K1753" s="72"/>
      <c r="L1753" s="73"/>
      <c r="M1753" s="70"/>
      <c r="N1753" s="74"/>
      <c r="O1753" s="75"/>
      <c r="P1753" s="75"/>
      <c r="U1753" s="72"/>
      <c r="V1753" s="73"/>
      <c r="W1753" s="70"/>
      <c r="X1753" s="74"/>
      <c r="Y1753" s="75"/>
      <c r="Z1753" s="75"/>
    </row>
    <row r="1754" spans="1:26" x14ac:dyDescent="0.3">
      <c r="A1754" s="72"/>
      <c r="B1754" s="73"/>
      <c r="C1754" s="70"/>
      <c r="D1754" s="74"/>
      <c r="E1754" s="75"/>
      <c r="F1754" s="75"/>
      <c r="K1754" s="72"/>
      <c r="L1754" s="73"/>
      <c r="M1754" s="70"/>
      <c r="N1754" s="74"/>
      <c r="O1754" s="75"/>
      <c r="P1754" s="75"/>
      <c r="U1754" s="72"/>
      <c r="V1754" s="73"/>
      <c r="W1754" s="70"/>
      <c r="X1754" s="74"/>
      <c r="Y1754" s="75"/>
      <c r="Z1754" s="75"/>
    </row>
    <row r="1755" spans="1:26" x14ac:dyDescent="0.3">
      <c r="A1755" s="72"/>
      <c r="B1755" s="73"/>
      <c r="C1755" s="70"/>
      <c r="D1755" s="74"/>
      <c r="E1755" s="75"/>
      <c r="F1755" s="75"/>
      <c r="K1755" s="72"/>
      <c r="L1755" s="73"/>
      <c r="M1755" s="70"/>
      <c r="N1755" s="74"/>
      <c r="O1755" s="75"/>
      <c r="P1755" s="75"/>
      <c r="U1755" s="72"/>
      <c r="V1755" s="73"/>
      <c r="W1755" s="70"/>
      <c r="X1755" s="74"/>
      <c r="Y1755" s="75"/>
      <c r="Z1755" s="75"/>
    </row>
    <row r="1756" spans="1:26" x14ac:dyDescent="0.3">
      <c r="A1756" s="72"/>
      <c r="B1756" s="73"/>
      <c r="C1756" s="70"/>
      <c r="D1756" s="74"/>
      <c r="E1756" s="75"/>
      <c r="F1756" s="75"/>
      <c r="K1756" s="72"/>
      <c r="L1756" s="73"/>
      <c r="M1756" s="70"/>
      <c r="N1756" s="74"/>
      <c r="O1756" s="75"/>
      <c r="P1756" s="75"/>
      <c r="U1756" s="72"/>
      <c r="V1756" s="73"/>
      <c r="W1756" s="70"/>
      <c r="X1756" s="74"/>
      <c r="Y1756" s="75"/>
      <c r="Z1756" s="75"/>
    </row>
    <row r="1757" spans="1:26" x14ac:dyDescent="0.3">
      <c r="A1757" s="72"/>
      <c r="B1757" s="73"/>
      <c r="C1757" s="70"/>
      <c r="D1757" s="74"/>
      <c r="E1757" s="75"/>
      <c r="F1757" s="75"/>
      <c r="K1757" s="72"/>
      <c r="L1757" s="73"/>
      <c r="M1757" s="70"/>
      <c r="N1757" s="74"/>
      <c r="O1757" s="75"/>
      <c r="P1757" s="75"/>
      <c r="U1757" s="72"/>
      <c r="V1757" s="73"/>
      <c r="W1757" s="70"/>
      <c r="X1757" s="74"/>
      <c r="Y1757" s="75"/>
      <c r="Z1757" s="75"/>
    </row>
    <row r="1758" spans="1:26" x14ac:dyDescent="0.3">
      <c r="A1758" s="72"/>
      <c r="B1758" s="73"/>
      <c r="C1758" s="70"/>
      <c r="D1758" s="74"/>
      <c r="E1758" s="75"/>
      <c r="F1758" s="75"/>
      <c r="K1758" s="72"/>
      <c r="L1758" s="73"/>
      <c r="M1758" s="70"/>
      <c r="N1758" s="74"/>
      <c r="O1758" s="75"/>
      <c r="P1758" s="75"/>
      <c r="U1758" s="72"/>
      <c r="V1758" s="73"/>
      <c r="W1758" s="70"/>
      <c r="X1758" s="74"/>
      <c r="Y1758" s="75"/>
      <c r="Z1758" s="75"/>
    </row>
    <row r="1759" spans="1:26" x14ac:dyDescent="0.3">
      <c r="A1759" s="72"/>
      <c r="B1759" s="73"/>
      <c r="C1759" s="70"/>
      <c r="D1759" s="74"/>
      <c r="E1759" s="75"/>
      <c r="F1759" s="75"/>
      <c r="K1759" s="72"/>
      <c r="L1759" s="73"/>
      <c r="M1759" s="70"/>
      <c r="N1759" s="74"/>
      <c r="O1759" s="75"/>
      <c r="P1759" s="75"/>
      <c r="U1759" s="72"/>
      <c r="V1759" s="73"/>
      <c r="W1759" s="70"/>
      <c r="X1759" s="74"/>
      <c r="Y1759" s="75"/>
      <c r="Z1759" s="75"/>
    </row>
    <row r="1760" spans="1:26" x14ac:dyDescent="0.3">
      <c r="A1760" s="72"/>
      <c r="B1760" s="73"/>
      <c r="C1760" s="70"/>
      <c r="D1760" s="74"/>
      <c r="E1760" s="75"/>
      <c r="F1760" s="75"/>
      <c r="K1760" s="72"/>
      <c r="L1760" s="73"/>
      <c r="M1760" s="70"/>
      <c r="N1760" s="74"/>
      <c r="O1760" s="75"/>
      <c r="P1760" s="75"/>
      <c r="U1760" s="72"/>
      <c r="V1760" s="73"/>
      <c r="W1760" s="70"/>
      <c r="X1760" s="74"/>
      <c r="Y1760" s="75"/>
      <c r="Z1760" s="75"/>
    </row>
    <row r="1761" spans="1:26" x14ac:dyDescent="0.3">
      <c r="A1761" s="72"/>
      <c r="B1761" s="73"/>
      <c r="C1761" s="70"/>
      <c r="D1761" s="74"/>
      <c r="E1761" s="75"/>
      <c r="F1761" s="75"/>
      <c r="K1761" s="72"/>
      <c r="L1761" s="73"/>
      <c r="M1761" s="70"/>
      <c r="N1761" s="74"/>
      <c r="O1761" s="75"/>
      <c r="P1761" s="75"/>
      <c r="U1761" s="72"/>
      <c r="V1761" s="73"/>
      <c r="W1761" s="70"/>
      <c r="X1761" s="74"/>
      <c r="Y1761" s="75"/>
      <c r="Z1761" s="75"/>
    </row>
    <row r="1762" spans="1:26" x14ac:dyDescent="0.3">
      <c r="A1762" s="72"/>
      <c r="B1762" s="73"/>
      <c r="C1762" s="70"/>
      <c r="D1762" s="74"/>
      <c r="E1762" s="75"/>
      <c r="F1762" s="75"/>
      <c r="K1762" s="72"/>
      <c r="L1762" s="73"/>
      <c r="M1762" s="70"/>
      <c r="N1762" s="74"/>
      <c r="O1762" s="75"/>
      <c r="P1762" s="75"/>
      <c r="U1762" s="72"/>
      <c r="V1762" s="73"/>
      <c r="W1762" s="70"/>
      <c r="X1762" s="74"/>
      <c r="Y1762" s="75"/>
      <c r="Z1762" s="75"/>
    </row>
    <row r="1763" spans="1:26" x14ac:dyDescent="0.3">
      <c r="A1763" s="72"/>
      <c r="B1763" s="73"/>
      <c r="C1763" s="70"/>
      <c r="D1763" s="74"/>
      <c r="E1763" s="75"/>
      <c r="F1763" s="75"/>
      <c r="K1763" s="72"/>
      <c r="L1763" s="73"/>
      <c r="M1763" s="70"/>
      <c r="N1763" s="74"/>
      <c r="O1763" s="75"/>
      <c r="P1763" s="75"/>
      <c r="U1763" s="72"/>
      <c r="V1763" s="73"/>
      <c r="W1763" s="70"/>
      <c r="X1763" s="74"/>
      <c r="Y1763" s="75"/>
      <c r="Z1763" s="75"/>
    </row>
    <row r="1764" spans="1:26" x14ac:dyDescent="0.3">
      <c r="A1764" s="72"/>
      <c r="B1764" s="73"/>
      <c r="C1764" s="70"/>
      <c r="D1764" s="74"/>
      <c r="E1764" s="75"/>
      <c r="F1764" s="75"/>
      <c r="K1764" s="72"/>
      <c r="L1764" s="73"/>
      <c r="M1764" s="70"/>
      <c r="N1764" s="74"/>
      <c r="O1764" s="75"/>
      <c r="P1764" s="75"/>
      <c r="U1764" s="72"/>
      <c r="V1764" s="73"/>
      <c r="W1764" s="70"/>
      <c r="X1764" s="74"/>
      <c r="Y1764" s="75"/>
      <c r="Z1764" s="75"/>
    </row>
    <row r="1765" spans="1:26" x14ac:dyDescent="0.3">
      <c r="A1765" s="72"/>
      <c r="B1765" s="73"/>
      <c r="C1765" s="70"/>
      <c r="D1765" s="74"/>
      <c r="E1765" s="75"/>
      <c r="F1765" s="75"/>
      <c r="K1765" s="72"/>
      <c r="L1765" s="73"/>
      <c r="M1765" s="70"/>
      <c r="N1765" s="74"/>
      <c r="O1765" s="75"/>
      <c r="P1765" s="75"/>
      <c r="U1765" s="72"/>
      <c r="V1765" s="73"/>
      <c r="W1765" s="70"/>
      <c r="X1765" s="74"/>
      <c r="Y1765" s="75"/>
      <c r="Z1765" s="75"/>
    </row>
    <row r="1766" spans="1:26" x14ac:dyDescent="0.3">
      <c r="A1766" s="72"/>
      <c r="B1766" s="73"/>
      <c r="C1766" s="70"/>
      <c r="D1766" s="74"/>
      <c r="E1766" s="75"/>
      <c r="F1766" s="75"/>
      <c r="K1766" s="72"/>
      <c r="L1766" s="73"/>
      <c r="M1766" s="70"/>
      <c r="N1766" s="74"/>
      <c r="O1766" s="75"/>
      <c r="P1766" s="75"/>
      <c r="U1766" s="72"/>
      <c r="V1766" s="73"/>
      <c r="W1766" s="70"/>
      <c r="X1766" s="74"/>
      <c r="Y1766" s="75"/>
      <c r="Z1766" s="75"/>
    </row>
    <row r="1767" spans="1:26" x14ac:dyDescent="0.3">
      <c r="A1767" s="72"/>
      <c r="B1767" s="73"/>
      <c r="C1767" s="70"/>
      <c r="D1767" s="74"/>
      <c r="E1767" s="75"/>
      <c r="F1767" s="75"/>
      <c r="K1767" s="72"/>
      <c r="L1767" s="73"/>
      <c r="M1767" s="70"/>
      <c r="N1767" s="74"/>
      <c r="O1767" s="75"/>
      <c r="P1767" s="75"/>
      <c r="U1767" s="72"/>
      <c r="V1767" s="73"/>
      <c r="W1767" s="70"/>
      <c r="X1767" s="74"/>
      <c r="Y1767" s="75"/>
      <c r="Z1767" s="75"/>
    </row>
    <row r="1768" spans="1:26" x14ac:dyDescent="0.3">
      <c r="A1768" s="72"/>
      <c r="B1768" s="73"/>
      <c r="C1768" s="70"/>
      <c r="D1768" s="74"/>
      <c r="E1768" s="75"/>
      <c r="F1768" s="75"/>
      <c r="K1768" s="72"/>
      <c r="L1768" s="73"/>
      <c r="M1768" s="70"/>
      <c r="N1768" s="74"/>
      <c r="O1768" s="75"/>
      <c r="P1768" s="75"/>
      <c r="U1768" s="72"/>
      <c r="V1768" s="73"/>
      <c r="W1768" s="70"/>
      <c r="X1768" s="74"/>
      <c r="Y1768" s="75"/>
      <c r="Z1768" s="75"/>
    </row>
    <row r="1769" spans="1:26" x14ac:dyDescent="0.3">
      <c r="A1769" s="72"/>
      <c r="B1769" s="73"/>
      <c r="C1769" s="70"/>
      <c r="D1769" s="74"/>
      <c r="E1769" s="75"/>
      <c r="F1769" s="75"/>
      <c r="K1769" s="72"/>
      <c r="L1769" s="73"/>
      <c r="M1769" s="70"/>
      <c r="N1769" s="74"/>
      <c r="O1769" s="75"/>
      <c r="P1769" s="75"/>
      <c r="U1769" s="72"/>
      <c r="V1769" s="73"/>
      <c r="W1769" s="70"/>
      <c r="X1769" s="74"/>
      <c r="Y1769" s="75"/>
      <c r="Z1769" s="75"/>
    </row>
    <row r="1770" spans="1:26" x14ac:dyDescent="0.3">
      <c r="A1770" s="72"/>
      <c r="B1770" s="73"/>
      <c r="C1770" s="70"/>
      <c r="D1770" s="74"/>
      <c r="E1770" s="75"/>
      <c r="F1770" s="75"/>
      <c r="K1770" s="72"/>
      <c r="L1770" s="73"/>
      <c r="M1770" s="70"/>
      <c r="N1770" s="74"/>
      <c r="O1770" s="75"/>
      <c r="P1770" s="75"/>
      <c r="U1770" s="72"/>
      <c r="V1770" s="73"/>
      <c r="W1770" s="70"/>
      <c r="X1770" s="74"/>
      <c r="Y1770" s="75"/>
      <c r="Z1770" s="75"/>
    </row>
    <row r="1771" spans="1:26" x14ac:dyDescent="0.3">
      <c r="A1771" s="72"/>
      <c r="B1771" s="73"/>
      <c r="C1771" s="70"/>
      <c r="D1771" s="74"/>
      <c r="E1771" s="75"/>
      <c r="F1771" s="75"/>
      <c r="K1771" s="72"/>
      <c r="L1771" s="73"/>
      <c r="M1771" s="70"/>
      <c r="N1771" s="74"/>
      <c r="O1771" s="75"/>
      <c r="P1771" s="75"/>
      <c r="U1771" s="72"/>
      <c r="V1771" s="73"/>
      <c r="W1771" s="70"/>
      <c r="X1771" s="74"/>
      <c r="Y1771" s="75"/>
      <c r="Z1771" s="75"/>
    </row>
    <row r="1772" spans="1:26" x14ac:dyDescent="0.3">
      <c r="A1772" s="72"/>
      <c r="B1772" s="73"/>
      <c r="C1772" s="70"/>
      <c r="D1772" s="74"/>
      <c r="E1772" s="75"/>
      <c r="F1772" s="75"/>
      <c r="K1772" s="72"/>
      <c r="L1772" s="73"/>
      <c r="M1772" s="70"/>
      <c r="N1772" s="74"/>
      <c r="O1772" s="75"/>
      <c r="P1772" s="75"/>
      <c r="U1772" s="72"/>
      <c r="V1772" s="73"/>
      <c r="W1772" s="70"/>
      <c r="X1772" s="74"/>
      <c r="Y1772" s="75"/>
      <c r="Z1772" s="75"/>
    </row>
    <row r="1773" spans="1:26" x14ac:dyDescent="0.3">
      <c r="A1773" s="72"/>
      <c r="B1773" s="73"/>
      <c r="C1773" s="70"/>
      <c r="D1773" s="74"/>
      <c r="E1773" s="75"/>
      <c r="F1773" s="75"/>
      <c r="K1773" s="72"/>
      <c r="L1773" s="73"/>
      <c r="M1773" s="70"/>
      <c r="N1773" s="74"/>
      <c r="O1773" s="75"/>
      <c r="P1773" s="75"/>
      <c r="U1773" s="72"/>
      <c r="V1773" s="73"/>
      <c r="W1773" s="70"/>
      <c r="X1773" s="74"/>
      <c r="Y1773" s="75"/>
      <c r="Z1773" s="75"/>
    </row>
    <row r="1774" spans="1:26" x14ac:dyDescent="0.3">
      <c r="A1774" s="72"/>
      <c r="B1774" s="73"/>
      <c r="C1774" s="70"/>
      <c r="D1774" s="74"/>
      <c r="E1774" s="75"/>
      <c r="F1774" s="75"/>
      <c r="K1774" s="72"/>
      <c r="L1774" s="73"/>
      <c r="M1774" s="70"/>
      <c r="N1774" s="74"/>
      <c r="O1774" s="75"/>
      <c r="P1774" s="75"/>
      <c r="U1774" s="72"/>
      <c r="V1774" s="73"/>
      <c r="W1774" s="70"/>
      <c r="X1774" s="74"/>
      <c r="Y1774" s="75"/>
      <c r="Z1774" s="75"/>
    </row>
    <row r="1775" spans="1:26" x14ac:dyDescent="0.3">
      <c r="A1775" s="72"/>
      <c r="B1775" s="73"/>
      <c r="C1775" s="70"/>
      <c r="D1775" s="74"/>
      <c r="E1775" s="75"/>
      <c r="F1775" s="75"/>
      <c r="K1775" s="72"/>
      <c r="L1775" s="73"/>
      <c r="M1775" s="70"/>
      <c r="N1775" s="74"/>
      <c r="O1775" s="75"/>
      <c r="P1775" s="75"/>
      <c r="U1775" s="72"/>
      <c r="V1775" s="73"/>
      <c r="W1775" s="70"/>
      <c r="X1775" s="74"/>
      <c r="Y1775" s="75"/>
      <c r="Z1775" s="75"/>
    </row>
    <row r="1776" spans="1:26" x14ac:dyDescent="0.3">
      <c r="A1776" s="72"/>
      <c r="B1776" s="73"/>
      <c r="C1776" s="70"/>
      <c r="D1776" s="74"/>
      <c r="E1776" s="75"/>
      <c r="F1776" s="75"/>
      <c r="K1776" s="72"/>
      <c r="L1776" s="73"/>
      <c r="M1776" s="70"/>
      <c r="N1776" s="74"/>
      <c r="O1776" s="75"/>
      <c r="P1776" s="75"/>
      <c r="U1776" s="72"/>
      <c r="V1776" s="73"/>
      <c r="W1776" s="70"/>
      <c r="X1776" s="74"/>
      <c r="Y1776" s="75"/>
      <c r="Z1776" s="75"/>
    </row>
    <row r="1777" spans="1:26" x14ac:dyDescent="0.3">
      <c r="A1777" s="72"/>
      <c r="B1777" s="73"/>
      <c r="C1777" s="70"/>
      <c r="D1777" s="74"/>
      <c r="E1777" s="75"/>
      <c r="F1777" s="75"/>
      <c r="K1777" s="72"/>
      <c r="L1777" s="73"/>
      <c r="M1777" s="70"/>
      <c r="N1777" s="74"/>
      <c r="O1777" s="75"/>
      <c r="P1777" s="75"/>
      <c r="U1777" s="72"/>
      <c r="V1777" s="73"/>
      <c r="W1777" s="70"/>
      <c r="X1777" s="74"/>
      <c r="Y1777" s="75"/>
      <c r="Z1777" s="75"/>
    </row>
    <row r="1778" spans="1:26" x14ac:dyDescent="0.3">
      <c r="A1778" s="72"/>
      <c r="B1778" s="73"/>
      <c r="C1778" s="70"/>
      <c r="D1778" s="74"/>
      <c r="E1778" s="75"/>
      <c r="F1778" s="75"/>
      <c r="K1778" s="72"/>
      <c r="L1778" s="73"/>
      <c r="M1778" s="70"/>
      <c r="N1778" s="74"/>
      <c r="O1778" s="75"/>
      <c r="P1778" s="75"/>
      <c r="U1778" s="72"/>
      <c r="V1778" s="73"/>
      <c r="W1778" s="70"/>
      <c r="X1778" s="74"/>
      <c r="Y1778" s="75"/>
      <c r="Z1778" s="75"/>
    </row>
    <row r="1779" spans="1:26" x14ac:dyDescent="0.3">
      <c r="A1779" s="72"/>
      <c r="B1779" s="73"/>
      <c r="C1779" s="70"/>
      <c r="D1779" s="74"/>
      <c r="E1779" s="75"/>
      <c r="F1779" s="75"/>
      <c r="K1779" s="72"/>
      <c r="L1779" s="73"/>
      <c r="M1779" s="70"/>
      <c r="N1779" s="74"/>
      <c r="O1779" s="75"/>
      <c r="P1779" s="75"/>
      <c r="U1779" s="72"/>
      <c r="V1779" s="73"/>
      <c r="W1779" s="70"/>
      <c r="X1779" s="74"/>
      <c r="Y1779" s="75"/>
      <c r="Z1779" s="75"/>
    </row>
    <row r="1780" spans="1:26" x14ac:dyDescent="0.3">
      <c r="A1780" s="72"/>
      <c r="B1780" s="73"/>
      <c r="C1780" s="70"/>
      <c r="D1780" s="74"/>
      <c r="E1780" s="75"/>
      <c r="F1780" s="75"/>
      <c r="K1780" s="72"/>
      <c r="L1780" s="73"/>
      <c r="M1780" s="70"/>
      <c r="N1780" s="74"/>
      <c r="O1780" s="75"/>
      <c r="P1780" s="75"/>
      <c r="U1780" s="72"/>
      <c r="V1780" s="73"/>
      <c r="W1780" s="70"/>
      <c r="X1780" s="74"/>
      <c r="Y1780" s="75"/>
      <c r="Z1780" s="75"/>
    </row>
    <row r="1781" spans="1:26" x14ac:dyDescent="0.3">
      <c r="A1781" s="72"/>
      <c r="B1781" s="73"/>
      <c r="C1781" s="70"/>
      <c r="D1781" s="74"/>
      <c r="E1781" s="75"/>
      <c r="F1781" s="75"/>
      <c r="K1781" s="72"/>
      <c r="L1781" s="73"/>
      <c r="M1781" s="70"/>
      <c r="N1781" s="74"/>
      <c r="O1781" s="75"/>
      <c r="P1781" s="75"/>
      <c r="U1781" s="72"/>
      <c r="V1781" s="73"/>
      <c r="W1781" s="70"/>
      <c r="X1781" s="74"/>
      <c r="Y1781" s="75"/>
      <c r="Z1781" s="75"/>
    </row>
    <row r="1782" spans="1:26" x14ac:dyDescent="0.3">
      <c r="A1782" s="72"/>
      <c r="B1782" s="73"/>
      <c r="C1782" s="70"/>
      <c r="D1782" s="74"/>
      <c r="E1782" s="75"/>
      <c r="F1782" s="75"/>
      <c r="K1782" s="72"/>
      <c r="L1782" s="73"/>
      <c r="M1782" s="70"/>
      <c r="N1782" s="74"/>
      <c r="O1782" s="75"/>
      <c r="P1782" s="75"/>
      <c r="U1782" s="72"/>
      <c r="V1782" s="73"/>
      <c r="W1782" s="70"/>
      <c r="X1782" s="74"/>
      <c r="Y1782" s="75"/>
      <c r="Z1782" s="75"/>
    </row>
    <row r="1783" spans="1:26" x14ac:dyDescent="0.3">
      <c r="A1783" s="72"/>
      <c r="B1783" s="73"/>
      <c r="C1783" s="70"/>
      <c r="D1783" s="74"/>
      <c r="E1783" s="75"/>
      <c r="F1783" s="75"/>
      <c r="K1783" s="72"/>
      <c r="L1783" s="73"/>
      <c r="M1783" s="70"/>
      <c r="N1783" s="74"/>
      <c r="O1783" s="75"/>
      <c r="P1783" s="75"/>
      <c r="U1783" s="72"/>
      <c r="V1783" s="73"/>
      <c r="W1783" s="70"/>
      <c r="X1783" s="74"/>
      <c r="Y1783" s="75"/>
      <c r="Z1783" s="75"/>
    </row>
    <row r="1784" spans="1:26" x14ac:dyDescent="0.3">
      <c r="A1784" s="72"/>
      <c r="B1784" s="73"/>
      <c r="C1784" s="70"/>
      <c r="D1784" s="74"/>
      <c r="E1784" s="75"/>
      <c r="F1784" s="75"/>
      <c r="K1784" s="72"/>
      <c r="L1784" s="73"/>
      <c r="M1784" s="70"/>
      <c r="N1784" s="74"/>
      <c r="O1784" s="75"/>
      <c r="P1784" s="75"/>
      <c r="U1784" s="72"/>
      <c r="V1784" s="73"/>
      <c r="W1784" s="70"/>
      <c r="X1784" s="74"/>
      <c r="Y1784" s="75"/>
      <c r="Z1784" s="75"/>
    </row>
    <row r="1785" spans="1:26" x14ac:dyDescent="0.3">
      <c r="A1785" s="72"/>
      <c r="B1785" s="73"/>
      <c r="C1785" s="70"/>
      <c r="D1785" s="74"/>
      <c r="E1785" s="75"/>
      <c r="F1785" s="75"/>
      <c r="K1785" s="72"/>
      <c r="L1785" s="73"/>
      <c r="M1785" s="70"/>
      <c r="N1785" s="74"/>
      <c r="O1785" s="75"/>
      <c r="P1785" s="75"/>
      <c r="U1785" s="72"/>
      <c r="V1785" s="73"/>
      <c r="W1785" s="70"/>
      <c r="X1785" s="74"/>
      <c r="Y1785" s="75"/>
      <c r="Z1785" s="75"/>
    </row>
    <row r="1786" spans="1:26" x14ac:dyDescent="0.3">
      <c r="A1786" s="72"/>
      <c r="B1786" s="73"/>
      <c r="C1786" s="70"/>
      <c r="D1786" s="74"/>
      <c r="E1786" s="75"/>
      <c r="F1786" s="75"/>
      <c r="K1786" s="72"/>
      <c r="L1786" s="73"/>
      <c r="M1786" s="70"/>
      <c r="N1786" s="74"/>
      <c r="O1786" s="75"/>
      <c r="P1786" s="75"/>
      <c r="U1786" s="72"/>
      <c r="V1786" s="73"/>
      <c r="W1786" s="70"/>
      <c r="X1786" s="74"/>
      <c r="Y1786" s="75"/>
      <c r="Z1786" s="75"/>
    </row>
    <row r="1787" spans="1:26" x14ac:dyDescent="0.3">
      <c r="A1787" s="72"/>
      <c r="B1787" s="73"/>
      <c r="C1787" s="70"/>
      <c r="D1787" s="74"/>
      <c r="E1787" s="75"/>
      <c r="F1787" s="75"/>
      <c r="K1787" s="72"/>
      <c r="L1787" s="73"/>
      <c r="M1787" s="70"/>
      <c r="N1787" s="74"/>
      <c r="O1787" s="75"/>
      <c r="P1787" s="75"/>
      <c r="U1787" s="72"/>
      <c r="V1787" s="73"/>
      <c r="W1787" s="70"/>
      <c r="X1787" s="74"/>
      <c r="Y1787" s="75"/>
      <c r="Z1787" s="75"/>
    </row>
    <row r="1788" spans="1:26" x14ac:dyDescent="0.3">
      <c r="A1788" s="72"/>
      <c r="B1788" s="73"/>
      <c r="C1788" s="70"/>
      <c r="D1788" s="74"/>
      <c r="E1788" s="75"/>
      <c r="F1788" s="75"/>
      <c r="K1788" s="72"/>
      <c r="L1788" s="73"/>
      <c r="M1788" s="70"/>
      <c r="N1788" s="74"/>
      <c r="O1788" s="75"/>
      <c r="P1788" s="75"/>
      <c r="U1788" s="72"/>
      <c r="V1788" s="73"/>
      <c r="W1788" s="70"/>
      <c r="X1788" s="74"/>
      <c r="Y1788" s="75"/>
      <c r="Z1788" s="75"/>
    </row>
    <row r="1789" spans="1:26" x14ac:dyDescent="0.3">
      <c r="A1789" s="72"/>
      <c r="B1789" s="73"/>
      <c r="C1789" s="70"/>
      <c r="D1789" s="74"/>
      <c r="E1789" s="75"/>
      <c r="F1789" s="75"/>
      <c r="K1789" s="72"/>
      <c r="L1789" s="73"/>
      <c r="M1789" s="70"/>
      <c r="N1789" s="74"/>
      <c r="O1789" s="75"/>
      <c r="P1789" s="75"/>
      <c r="U1789" s="72"/>
      <c r="V1789" s="73"/>
      <c r="W1789" s="70"/>
      <c r="X1789" s="74"/>
      <c r="Y1789" s="75"/>
      <c r="Z1789" s="75"/>
    </row>
    <row r="1790" spans="1:26" x14ac:dyDescent="0.3">
      <c r="A1790" s="72"/>
      <c r="B1790" s="73"/>
      <c r="C1790" s="70"/>
      <c r="D1790" s="74"/>
      <c r="E1790" s="75"/>
      <c r="F1790" s="75"/>
      <c r="K1790" s="72"/>
      <c r="L1790" s="73"/>
      <c r="M1790" s="70"/>
      <c r="N1790" s="74"/>
      <c r="O1790" s="75"/>
      <c r="P1790" s="75"/>
      <c r="U1790" s="72"/>
      <c r="V1790" s="73"/>
      <c r="W1790" s="70"/>
      <c r="X1790" s="74"/>
      <c r="Y1790" s="75"/>
      <c r="Z1790" s="75"/>
    </row>
    <row r="1791" spans="1:26" x14ac:dyDescent="0.3">
      <c r="A1791" s="72"/>
      <c r="B1791" s="73"/>
      <c r="C1791" s="70"/>
      <c r="D1791" s="74"/>
      <c r="E1791" s="75"/>
      <c r="F1791" s="75"/>
      <c r="K1791" s="72"/>
      <c r="L1791" s="73"/>
      <c r="M1791" s="70"/>
      <c r="N1791" s="74"/>
      <c r="O1791" s="75"/>
      <c r="P1791" s="75"/>
      <c r="U1791" s="72"/>
      <c r="V1791" s="73"/>
      <c r="W1791" s="70"/>
      <c r="X1791" s="74"/>
      <c r="Y1791" s="75"/>
      <c r="Z1791" s="75"/>
    </row>
    <row r="1792" spans="1:26" x14ac:dyDescent="0.3">
      <c r="A1792" s="72"/>
      <c r="B1792" s="73"/>
      <c r="C1792" s="70"/>
      <c r="D1792" s="74"/>
      <c r="E1792" s="75"/>
      <c r="F1792" s="75"/>
      <c r="K1792" s="72"/>
      <c r="L1792" s="73"/>
      <c r="M1792" s="70"/>
      <c r="N1792" s="74"/>
      <c r="O1792" s="75"/>
      <c r="P1792" s="75"/>
      <c r="U1792" s="72"/>
      <c r="V1792" s="73"/>
      <c r="W1792" s="70"/>
      <c r="X1792" s="74"/>
      <c r="Y1792" s="75"/>
      <c r="Z1792" s="75"/>
    </row>
    <row r="1793" spans="1:26" x14ac:dyDescent="0.3">
      <c r="A1793" s="72"/>
      <c r="B1793" s="73"/>
      <c r="C1793" s="70"/>
      <c r="D1793" s="74"/>
      <c r="E1793" s="75"/>
      <c r="F1793" s="75"/>
      <c r="K1793" s="72"/>
      <c r="L1793" s="73"/>
      <c r="M1793" s="70"/>
      <c r="N1793" s="74"/>
      <c r="O1793" s="75"/>
      <c r="P1793" s="75"/>
      <c r="U1793" s="72"/>
      <c r="V1793" s="73"/>
      <c r="W1793" s="70"/>
      <c r="X1793" s="74"/>
      <c r="Y1793" s="75"/>
      <c r="Z1793" s="75"/>
    </row>
    <row r="1794" spans="1:26" x14ac:dyDescent="0.3">
      <c r="A1794" s="72"/>
      <c r="B1794" s="73"/>
      <c r="C1794" s="70"/>
      <c r="D1794" s="74"/>
      <c r="E1794" s="75"/>
      <c r="F1794" s="75"/>
      <c r="K1794" s="72"/>
      <c r="L1794" s="73"/>
      <c r="M1794" s="70"/>
      <c r="N1794" s="74"/>
      <c r="O1794" s="75"/>
      <c r="P1794" s="75"/>
      <c r="U1794" s="72"/>
      <c r="V1794" s="73"/>
      <c r="W1794" s="70"/>
      <c r="X1794" s="74"/>
      <c r="Y1794" s="75"/>
      <c r="Z1794" s="75"/>
    </row>
    <row r="1795" spans="1:26" x14ac:dyDescent="0.3">
      <c r="A1795" s="72"/>
      <c r="B1795" s="73"/>
      <c r="C1795" s="70"/>
      <c r="D1795" s="74"/>
      <c r="E1795" s="75"/>
      <c r="F1795" s="75"/>
      <c r="K1795" s="72"/>
      <c r="L1795" s="73"/>
      <c r="M1795" s="70"/>
      <c r="N1795" s="74"/>
      <c r="O1795" s="75"/>
      <c r="P1795" s="75"/>
      <c r="U1795" s="72"/>
      <c r="V1795" s="73"/>
      <c r="W1795" s="70"/>
      <c r="X1795" s="74"/>
      <c r="Y1795" s="75"/>
      <c r="Z1795" s="75"/>
    </row>
    <row r="1796" spans="1:26" x14ac:dyDescent="0.3">
      <c r="A1796" s="72"/>
      <c r="B1796" s="73"/>
      <c r="C1796" s="70"/>
      <c r="D1796" s="74"/>
      <c r="E1796" s="75"/>
      <c r="F1796" s="75"/>
      <c r="K1796" s="72"/>
      <c r="L1796" s="73"/>
      <c r="M1796" s="70"/>
      <c r="N1796" s="74"/>
      <c r="O1796" s="75"/>
      <c r="P1796" s="75"/>
      <c r="U1796" s="72"/>
      <c r="V1796" s="73"/>
      <c r="W1796" s="70"/>
      <c r="X1796" s="74"/>
      <c r="Y1796" s="75"/>
      <c r="Z1796" s="75"/>
    </row>
    <row r="1797" spans="1:26" x14ac:dyDescent="0.3">
      <c r="A1797" s="72"/>
      <c r="B1797" s="73"/>
      <c r="C1797" s="70"/>
      <c r="D1797" s="74"/>
      <c r="E1797" s="75"/>
      <c r="F1797" s="75"/>
      <c r="K1797" s="72"/>
      <c r="L1797" s="73"/>
      <c r="M1797" s="70"/>
      <c r="N1797" s="74"/>
      <c r="O1797" s="75"/>
      <c r="P1797" s="75"/>
      <c r="U1797" s="72"/>
      <c r="V1797" s="73"/>
      <c r="W1797" s="70"/>
      <c r="X1797" s="74"/>
      <c r="Y1797" s="75"/>
      <c r="Z1797" s="75"/>
    </row>
    <row r="1798" spans="1:26" x14ac:dyDescent="0.3">
      <c r="A1798" s="72"/>
      <c r="B1798" s="73"/>
      <c r="C1798" s="70"/>
      <c r="D1798" s="74"/>
      <c r="E1798" s="75"/>
      <c r="F1798" s="75"/>
      <c r="K1798" s="72"/>
      <c r="L1798" s="73"/>
      <c r="M1798" s="70"/>
      <c r="N1798" s="74"/>
      <c r="O1798" s="75"/>
      <c r="P1798" s="75"/>
      <c r="U1798" s="72"/>
      <c r="V1798" s="73"/>
      <c r="W1798" s="70"/>
      <c r="X1798" s="74"/>
      <c r="Y1798" s="75"/>
      <c r="Z1798" s="75"/>
    </row>
    <row r="1799" spans="1:26" x14ac:dyDescent="0.3">
      <c r="A1799" s="72"/>
      <c r="B1799" s="73"/>
      <c r="C1799" s="70"/>
      <c r="D1799" s="74"/>
      <c r="E1799" s="75"/>
      <c r="F1799" s="75"/>
      <c r="K1799" s="72"/>
      <c r="L1799" s="73"/>
      <c r="M1799" s="70"/>
      <c r="N1799" s="74"/>
      <c r="O1799" s="75"/>
      <c r="P1799" s="75"/>
      <c r="U1799" s="72"/>
      <c r="V1799" s="73"/>
      <c r="W1799" s="70"/>
      <c r="X1799" s="74"/>
      <c r="Y1799" s="75"/>
      <c r="Z1799" s="75"/>
    </row>
    <row r="1800" spans="1:26" x14ac:dyDescent="0.3">
      <c r="A1800" s="72"/>
      <c r="B1800" s="73"/>
      <c r="C1800" s="70"/>
      <c r="D1800" s="74"/>
      <c r="E1800" s="75"/>
      <c r="F1800" s="75"/>
      <c r="K1800" s="72"/>
      <c r="L1800" s="73"/>
      <c r="M1800" s="70"/>
      <c r="N1800" s="74"/>
      <c r="O1800" s="75"/>
      <c r="P1800" s="75"/>
      <c r="U1800" s="72"/>
      <c r="V1800" s="73"/>
      <c r="W1800" s="70"/>
      <c r="X1800" s="74"/>
      <c r="Y1800" s="75"/>
      <c r="Z1800" s="75"/>
    </row>
    <row r="1801" spans="1:26" x14ac:dyDescent="0.3">
      <c r="A1801" s="72"/>
      <c r="B1801" s="73"/>
      <c r="C1801" s="70"/>
      <c r="D1801" s="74"/>
      <c r="E1801" s="75"/>
      <c r="F1801" s="75"/>
      <c r="K1801" s="72"/>
      <c r="L1801" s="73"/>
      <c r="M1801" s="70"/>
      <c r="N1801" s="74"/>
      <c r="O1801" s="75"/>
      <c r="P1801" s="75"/>
      <c r="U1801" s="72"/>
      <c r="V1801" s="73"/>
      <c r="W1801" s="70"/>
      <c r="X1801" s="74"/>
      <c r="Y1801" s="75"/>
      <c r="Z1801" s="75"/>
    </row>
    <row r="1802" spans="1:26" x14ac:dyDescent="0.3">
      <c r="A1802" s="72"/>
      <c r="B1802" s="73"/>
      <c r="C1802" s="70"/>
      <c r="D1802" s="74"/>
      <c r="E1802" s="75"/>
      <c r="F1802" s="75"/>
      <c r="K1802" s="72"/>
      <c r="L1802" s="73"/>
      <c r="M1802" s="70"/>
      <c r="N1802" s="74"/>
      <c r="O1802" s="75"/>
      <c r="P1802" s="75"/>
      <c r="U1802" s="72"/>
      <c r="V1802" s="73"/>
      <c r="W1802" s="70"/>
      <c r="X1802" s="74"/>
      <c r="Y1802" s="75"/>
      <c r="Z1802" s="75"/>
    </row>
    <row r="1803" spans="1:26" x14ac:dyDescent="0.3">
      <c r="A1803" s="72"/>
      <c r="B1803" s="73"/>
      <c r="C1803" s="70"/>
      <c r="D1803" s="74"/>
      <c r="E1803" s="75"/>
      <c r="F1803" s="75"/>
      <c r="K1803" s="72"/>
      <c r="L1803" s="73"/>
      <c r="M1803" s="70"/>
      <c r="N1803" s="74"/>
      <c r="O1803" s="75"/>
      <c r="P1803" s="75"/>
      <c r="U1803" s="72"/>
      <c r="V1803" s="73"/>
      <c r="W1803" s="70"/>
      <c r="X1803" s="74"/>
      <c r="Y1803" s="75"/>
      <c r="Z1803" s="75"/>
    </row>
    <row r="1804" spans="1:26" x14ac:dyDescent="0.3">
      <c r="A1804" s="72"/>
      <c r="B1804" s="73"/>
      <c r="C1804" s="70"/>
      <c r="D1804" s="74"/>
      <c r="E1804" s="75"/>
      <c r="F1804" s="75"/>
      <c r="K1804" s="72"/>
      <c r="L1804" s="73"/>
      <c r="M1804" s="70"/>
      <c r="N1804" s="74"/>
      <c r="O1804" s="75"/>
      <c r="P1804" s="75"/>
      <c r="U1804" s="72"/>
      <c r="V1804" s="73"/>
      <c r="W1804" s="70"/>
      <c r="X1804" s="74"/>
      <c r="Y1804" s="75"/>
      <c r="Z1804" s="75"/>
    </row>
    <row r="1805" spans="1:26" x14ac:dyDescent="0.3">
      <c r="A1805" s="72"/>
      <c r="B1805" s="73"/>
      <c r="C1805" s="70"/>
      <c r="D1805" s="74"/>
      <c r="E1805" s="75"/>
      <c r="F1805" s="75"/>
      <c r="K1805" s="72"/>
      <c r="L1805" s="73"/>
      <c r="M1805" s="70"/>
      <c r="N1805" s="74"/>
      <c r="O1805" s="75"/>
      <c r="P1805" s="75"/>
      <c r="U1805" s="72"/>
      <c r="V1805" s="73"/>
      <c r="W1805" s="70"/>
      <c r="X1805" s="74"/>
      <c r="Y1805" s="75"/>
      <c r="Z1805" s="75"/>
    </row>
    <row r="1806" spans="1:26" x14ac:dyDescent="0.3">
      <c r="A1806" s="72"/>
      <c r="B1806" s="73"/>
      <c r="C1806" s="70"/>
      <c r="D1806" s="74"/>
      <c r="E1806" s="75"/>
      <c r="F1806" s="75"/>
      <c r="K1806" s="72"/>
      <c r="L1806" s="73"/>
      <c r="M1806" s="70"/>
      <c r="N1806" s="74"/>
      <c r="O1806" s="75"/>
      <c r="P1806" s="75"/>
      <c r="U1806" s="72"/>
      <c r="V1806" s="73"/>
      <c r="W1806" s="70"/>
      <c r="X1806" s="74"/>
      <c r="Y1806" s="75"/>
      <c r="Z1806" s="75"/>
    </row>
    <row r="1807" spans="1:26" x14ac:dyDescent="0.3">
      <c r="A1807" s="72"/>
      <c r="B1807" s="73"/>
      <c r="C1807" s="70"/>
      <c r="D1807" s="74"/>
      <c r="E1807" s="75"/>
      <c r="F1807" s="75"/>
      <c r="K1807" s="72"/>
      <c r="L1807" s="73"/>
      <c r="M1807" s="70"/>
      <c r="N1807" s="74"/>
      <c r="O1807" s="75"/>
      <c r="P1807" s="75"/>
      <c r="U1807" s="72"/>
      <c r="V1807" s="73"/>
      <c r="W1807" s="70"/>
      <c r="X1807" s="74"/>
      <c r="Y1807" s="75"/>
      <c r="Z1807" s="75"/>
    </row>
    <row r="1808" spans="1:26" x14ac:dyDescent="0.3">
      <c r="A1808" s="72"/>
      <c r="B1808" s="73"/>
      <c r="C1808" s="70"/>
      <c r="D1808" s="74"/>
      <c r="E1808" s="75"/>
      <c r="F1808" s="75"/>
      <c r="K1808" s="72"/>
      <c r="L1808" s="73"/>
      <c r="M1808" s="70"/>
      <c r="N1808" s="74"/>
      <c r="O1808" s="75"/>
      <c r="P1808" s="75"/>
      <c r="U1808" s="72"/>
      <c r="V1808" s="73"/>
      <c r="W1808" s="70"/>
      <c r="X1808" s="74"/>
      <c r="Y1808" s="75"/>
      <c r="Z1808" s="75"/>
    </row>
    <row r="1809" spans="1:26" x14ac:dyDescent="0.3">
      <c r="A1809" s="72"/>
      <c r="B1809" s="73"/>
      <c r="C1809" s="70"/>
      <c r="D1809" s="74"/>
      <c r="E1809" s="75"/>
      <c r="F1809" s="75"/>
      <c r="K1809" s="72"/>
      <c r="L1809" s="73"/>
      <c r="M1809" s="70"/>
      <c r="N1809" s="74"/>
      <c r="O1809" s="75"/>
      <c r="P1809" s="75"/>
      <c r="U1809" s="72"/>
      <c r="V1809" s="73"/>
      <c r="W1809" s="70"/>
      <c r="X1809" s="74"/>
      <c r="Y1809" s="75"/>
      <c r="Z1809" s="75"/>
    </row>
    <row r="1810" spans="1:26" x14ac:dyDescent="0.3">
      <c r="A1810" s="72"/>
      <c r="B1810" s="73"/>
      <c r="C1810" s="70"/>
      <c r="D1810" s="74"/>
      <c r="E1810" s="75"/>
      <c r="F1810" s="75"/>
      <c r="K1810" s="72"/>
      <c r="L1810" s="73"/>
      <c r="M1810" s="70"/>
      <c r="N1810" s="74"/>
      <c r="O1810" s="75"/>
      <c r="P1810" s="75"/>
      <c r="U1810" s="72"/>
      <c r="V1810" s="73"/>
      <c r="W1810" s="70"/>
      <c r="X1810" s="74"/>
      <c r="Y1810" s="75"/>
      <c r="Z1810" s="75"/>
    </row>
    <row r="1811" spans="1:26" x14ac:dyDescent="0.3">
      <c r="A1811" s="72"/>
      <c r="B1811" s="73"/>
      <c r="C1811" s="70"/>
      <c r="D1811" s="74"/>
      <c r="E1811" s="75"/>
      <c r="F1811" s="75"/>
      <c r="K1811" s="72"/>
      <c r="L1811" s="73"/>
      <c r="M1811" s="70"/>
      <c r="N1811" s="74"/>
      <c r="O1811" s="75"/>
      <c r="P1811" s="75"/>
      <c r="U1811" s="72"/>
      <c r="V1811" s="73"/>
      <c r="W1811" s="70"/>
      <c r="X1811" s="74"/>
      <c r="Y1811" s="75"/>
      <c r="Z1811" s="75"/>
    </row>
    <row r="1812" spans="1:26" x14ac:dyDescent="0.3">
      <c r="A1812" s="72"/>
      <c r="B1812" s="73"/>
      <c r="C1812" s="70"/>
      <c r="D1812" s="74"/>
      <c r="E1812" s="75"/>
      <c r="F1812" s="75"/>
      <c r="K1812" s="72"/>
      <c r="L1812" s="73"/>
      <c r="M1812" s="70"/>
      <c r="N1812" s="74"/>
      <c r="O1812" s="75"/>
      <c r="P1812" s="75"/>
      <c r="U1812" s="72"/>
      <c r="V1812" s="73"/>
      <c r="W1812" s="70"/>
      <c r="X1812" s="74"/>
      <c r="Y1812" s="75"/>
      <c r="Z1812" s="75"/>
    </row>
    <row r="1813" spans="1:26" x14ac:dyDescent="0.3">
      <c r="A1813" s="72"/>
      <c r="B1813" s="73"/>
      <c r="C1813" s="70"/>
      <c r="D1813" s="74"/>
      <c r="E1813" s="75"/>
      <c r="F1813" s="75"/>
      <c r="K1813" s="72"/>
      <c r="L1813" s="73"/>
      <c r="M1813" s="70"/>
      <c r="N1813" s="74"/>
      <c r="O1813" s="75"/>
      <c r="P1813" s="75"/>
      <c r="U1813" s="72"/>
      <c r="V1813" s="73"/>
      <c r="W1813" s="70"/>
      <c r="X1813" s="74"/>
      <c r="Y1813" s="75"/>
      <c r="Z1813" s="75"/>
    </row>
    <row r="1814" spans="1:26" x14ac:dyDescent="0.3">
      <c r="A1814" s="72"/>
      <c r="B1814" s="73"/>
      <c r="C1814" s="70"/>
      <c r="D1814" s="74"/>
      <c r="E1814" s="75"/>
      <c r="F1814" s="75"/>
      <c r="K1814" s="72"/>
      <c r="L1814" s="73"/>
      <c r="M1814" s="70"/>
      <c r="N1814" s="74"/>
      <c r="O1814" s="75"/>
      <c r="P1814" s="75"/>
      <c r="U1814" s="72"/>
      <c r="V1814" s="73"/>
      <c r="W1814" s="70"/>
      <c r="X1814" s="74"/>
      <c r="Y1814" s="75"/>
      <c r="Z1814" s="75"/>
    </row>
    <row r="1815" spans="1:26" x14ac:dyDescent="0.3">
      <c r="A1815" s="72"/>
      <c r="B1815" s="73"/>
      <c r="C1815" s="70"/>
      <c r="D1815" s="74"/>
      <c r="E1815" s="75"/>
      <c r="F1815" s="75"/>
      <c r="K1815" s="72"/>
      <c r="L1815" s="73"/>
      <c r="M1815" s="70"/>
      <c r="N1815" s="74"/>
      <c r="O1815" s="75"/>
      <c r="P1815" s="75"/>
      <c r="U1815" s="72"/>
      <c r="V1815" s="73"/>
      <c r="W1815" s="70"/>
      <c r="X1815" s="74"/>
      <c r="Y1815" s="75"/>
      <c r="Z1815" s="75"/>
    </row>
    <row r="1816" spans="1:26" x14ac:dyDescent="0.3">
      <c r="A1816" s="72"/>
      <c r="B1816" s="73"/>
      <c r="C1816" s="70"/>
      <c r="D1816" s="74"/>
      <c r="E1816" s="75"/>
      <c r="F1816" s="75"/>
      <c r="K1816" s="72"/>
      <c r="L1816" s="73"/>
      <c r="M1816" s="70"/>
      <c r="N1816" s="74"/>
      <c r="O1816" s="75"/>
      <c r="P1816" s="75"/>
      <c r="U1816" s="72"/>
      <c r="V1816" s="73"/>
      <c r="W1816" s="70"/>
      <c r="X1816" s="74"/>
      <c r="Y1816" s="75"/>
      <c r="Z1816" s="75"/>
    </row>
    <row r="1817" spans="1:26" x14ac:dyDescent="0.3">
      <c r="A1817" s="72"/>
      <c r="B1817" s="73"/>
      <c r="C1817" s="70"/>
      <c r="D1817" s="74"/>
      <c r="E1817" s="75"/>
      <c r="F1817" s="75"/>
      <c r="K1817" s="72"/>
      <c r="L1817" s="73"/>
      <c r="M1817" s="70"/>
      <c r="N1817" s="74"/>
      <c r="O1817" s="75"/>
      <c r="P1817" s="75"/>
      <c r="U1817" s="72"/>
      <c r="V1817" s="73"/>
      <c r="W1817" s="70"/>
      <c r="X1817" s="74"/>
      <c r="Y1817" s="75"/>
      <c r="Z1817" s="75"/>
    </row>
    <row r="1818" spans="1:26" x14ac:dyDescent="0.3">
      <c r="A1818" s="72"/>
      <c r="B1818" s="73"/>
      <c r="C1818" s="70"/>
      <c r="D1818" s="74"/>
      <c r="E1818" s="75"/>
      <c r="F1818" s="75"/>
      <c r="K1818" s="72"/>
      <c r="L1818" s="73"/>
      <c r="M1818" s="70"/>
      <c r="N1818" s="74"/>
      <c r="O1818" s="75"/>
      <c r="P1818" s="75"/>
      <c r="U1818" s="72"/>
      <c r="V1818" s="73"/>
      <c r="W1818" s="70"/>
      <c r="X1818" s="74"/>
      <c r="Y1818" s="75"/>
      <c r="Z1818" s="75"/>
    </row>
    <row r="1819" spans="1:26" x14ac:dyDescent="0.3">
      <c r="A1819" s="72"/>
      <c r="B1819" s="73"/>
      <c r="C1819" s="70"/>
      <c r="D1819" s="74"/>
      <c r="E1819" s="75"/>
      <c r="F1819" s="75"/>
      <c r="K1819" s="72"/>
      <c r="L1819" s="73"/>
      <c r="M1819" s="70"/>
      <c r="N1819" s="74"/>
      <c r="O1819" s="75"/>
      <c r="P1819" s="75"/>
      <c r="U1819" s="72"/>
      <c r="V1819" s="73"/>
      <c r="W1819" s="70"/>
      <c r="X1819" s="74"/>
      <c r="Y1819" s="75"/>
      <c r="Z1819" s="75"/>
    </row>
    <row r="1820" spans="1:26" x14ac:dyDescent="0.3">
      <c r="A1820" s="72"/>
      <c r="B1820" s="73"/>
      <c r="C1820" s="70"/>
      <c r="D1820" s="74"/>
      <c r="E1820" s="75"/>
      <c r="F1820" s="75"/>
      <c r="K1820" s="72"/>
      <c r="L1820" s="73"/>
      <c r="M1820" s="70"/>
      <c r="N1820" s="74"/>
      <c r="O1820" s="75"/>
      <c r="P1820" s="75"/>
      <c r="U1820" s="72"/>
      <c r="V1820" s="73"/>
      <c r="W1820" s="70"/>
      <c r="X1820" s="74"/>
      <c r="Y1820" s="75"/>
      <c r="Z1820" s="75"/>
    </row>
    <row r="1821" spans="1:26" x14ac:dyDescent="0.3">
      <c r="A1821" s="72"/>
      <c r="B1821" s="73"/>
      <c r="C1821" s="70"/>
      <c r="D1821" s="74"/>
      <c r="E1821" s="75"/>
      <c r="F1821" s="75"/>
      <c r="K1821" s="72"/>
      <c r="L1821" s="73"/>
      <c r="M1821" s="70"/>
      <c r="N1821" s="74"/>
      <c r="O1821" s="75"/>
      <c r="P1821" s="75"/>
      <c r="U1821" s="72"/>
      <c r="V1821" s="73"/>
      <c r="W1821" s="70"/>
      <c r="X1821" s="74"/>
      <c r="Y1821" s="75"/>
      <c r="Z1821" s="75"/>
    </row>
    <row r="1822" spans="1:26" x14ac:dyDescent="0.3">
      <c r="A1822" s="72"/>
      <c r="B1822" s="73"/>
      <c r="C1822" s="70"/>
      <c r="D1822" s="74"/>
      <c r="E1822" s="75"/>
      <c r="F1822" s="75"/>
      <c r="K1822" s="72"/>
      <c r="L1822" s="73"/>
      <c r="M1822" s="70"/>
      <c r="N1822" s="74"/>
      <c r="O1822" s="75"/>
      <c r="P1822" s="75"/>
      <c r="U1822" s="72"/>
      <c r="V1822" s="73"/>
      <c r="W1822" s="70"/>
      <c r="X1822" s="74"/>
      <c r="Y1822" s="75"/>
      <c r="Z1822" s="75"/>
    </row>
    <row r="1823" spans="1:26" x14ac:dyDescent="0.3">
      <c r="A1823" s="72"/>
      <c r="B1823" s="73"/>
      <c r="C1823" s="70"/>
      <c r="D1823" s="74"/>
      <c r="E1823" s="75"/>
      <c r="F1823" s="75"/>
      <c r="K1823" s="72"/>
      <c r="L1823" s="73"/>
      <c r="M1823" s="70"/>
      <c r="N1823" s="74"/>
      <c r="O1823" s="75"/>
      <c r="P1823" s="75"/>
      <c r="U1823" s="72"/>
      <c r="V1823" s="73"/>
      <c r="W1823" s="70"/>
      <c r="X1823" s="74"/>
      <c r="Y1823" s="75"/>
      <c r="Z1823" s="75"/>
    </row>
    <row r="1824" spans="1:26" x14ac:dyDescent="0.3">
      <c r="A1824" s="72"/>
      <c r="B1824" s="73"/>
      <c r="C1824" s="70"/>
      <c r="D1824" s="74"/>
      <c r="E1824" s="75"/>
      <c r="F1824" s="75"/>
      <c r="K1824" s="72"/>
      <c r="L1824" s="73"/>
      <c r="M1824" s="70"/>
      <c r="N1824" s="74"/>
      <c r="O1824" s="75"/>
      <c r="P1824" s="75"/>
      <c r="U1824" s="72"/>
      <c r="V1824" s="73"/>
      <c r="W1824" s="70"/>
      <c r="X1824" s="74"/>
      <c r="Y1824" s="75"/>
      <c r="Z1824" s="75"/>
    </row>
    <row r="1825" spans="1:26" x14ac:dyDescent="0.3">
      <c r="A1825" s="72"/>
      <c r="B1825" s="73"/>
      <c r="C1825" s="70"/>
      <c r="D1825" s="74"/>
      <c r="E1825" s="75"/>
      <c r="F1825" s="75"/>
      <c r="K1825" s="72"/>
      <c r="L1825" s="73"/>
      <c r="M1825" s="70"/>
      <c r="N1825" s="74"/>
      <c r="O1825" s="75"/>
      <c r="P1825" s="75"/>
      <c r="U1825" s="72"/>
      <c r="V1825" s="73"/>
      <c r="W1825" s="70"/>
      <c r="X1825" s="74"/>
      <c r="Y1825" s="75"/>
      <c r="Z1825" s="75"/>
    </row>
    <row r="1826" spans="1:26" x14ac:dyDescent="0.3">
      <c r="A1826" s="72"/>
      <c r="B1826" s="73"/>
      <c r="C1826" s="70"/>
      <c r="D1826" s="74"/>
      <c r="E1826" s="75"/>
      <c r="F1826" s="75"/>
      <c r="K1826" s="72"/>
      <c r="L1826" s="73"/>
      <c r="M1826" s="70"/>
      <c r="N1826" s="74"/>
      <c r="O1826" s="75"/>
      <c r="P1826" s="75"/>
      <c r="U1826" s="72"/>
      <c r="V1826" s="73"/>
      <c r="W1826" s="70"/>
      <c r="X1826" s="74"/>
      <c r="Y1826" s="75"/>
      <c r="Z1826" s="75"/>
    </row>
    <row r="1827" spans="1:26" x14ac:dyDescent="0.3">
      <c r="A1827" s="72"/>
      <c r="B1827" s="73"/>
      <c r="C1827" s="70"/>
      <c r="D1827" s="74"/>
      <c r="E1827" s="75"/>
      <c r="F1827" s="75"/>
      <c r="K1827" s="72"/>
      <c r="L1827" s="73"/>
      <c r="M1827" s="70"/>
      <c r="N1827" s="74"/>
      <c r="O1827" s="75"/>
      <c r="P1827" s="75"/>
      <c r="U1827" s="72"/>
      <c r="V1827" s="73"/>
      <c r="W1827" s="70"/>
      <c r="X1827" s="74"/>
      <c r="Y1827" s="75"/>
      <c r="Z1827" s="75"/>
    </row>
    <row r="1828" spans="1:26" x14ac:dyDescent="0.3">
      <c r="A1828" s="72"/>
      <c r="B1828" s="73"/>
      <c r="C1828" s="70"/>
      <c r="D1828" s="74"/>
      <c r="E1828" s="75"/>
      <c r="F1828" s="75"/>
      <c r="K1828" s="72"/>
      <c r="L1828" s="73"/>
      <c r="M1828" s="70"/>
      <c r="N1828" s="74"/>
      <c r="O1828" s="75"/>
      <c r="P1828" s="75"/>
      <c r="U1828" s="72"/>
      <c r="V1828" s="73"/>
      <c r="W1828" s="70"/>
      <c r="X1828" s="74"/>
      <c r="Y1828" s="75"/>
      <c r="Z1828" s="75"/>
    </row>
    <row r="1829" spans="1:26" x14ac:dyDescent="0.3">
      <c r="A1829" s="72"/>
      <c r="B1829" s="73"/>
      <c r="C1829" s="70"/>
      <c r="D1829" s="74"/>
      <c r="E1829" s="75"/>
      <c r="F1829" s="75"/>
      <c r="K1829" s="72"/>
      <c r="L1829" s="73"/>
      <c r="M1829" s="70"/>
      <c r="N1829" s="74"/>
      <c r="O1829" s="75"/>
      <c r="P1829" s="75"/>
      <c r="U1829" s="72"/>
      <c r="V1829" s="73"/>
      <c r="W1829" s="70"/>
      <c r="X1829" s="74"/>
      <c r="Y1829" s="75"/>
      <c r="Z1829" s="75"/>
    </row>
    <row r="1830" spans="1:26" x14ac:dyDescent="0.3">
      <c r="A1830" s="72"/>
      <c r="B1830" s="73"/>
      <c r="C1830" s="70"/>
      <c r="D1830" s="74"/>
      <c r="E1830" s="75"/>
      <c r="F1830" s="75"/>
      <c r="K1830" s="72"/>
      <c r="L1830" s="73"/>
      <c r="M1830" s="70"/>
      <c r="N1830" s="74"/>
      <c r="O1830" s="75"/>
      <c r="P1830" s="75"/>
      <c r="U1830" s="72"/>
      <c r="V1830" s="73"/>
      <c r="W1830" s="70"/>
      <c r="X1830" s="74"/>
      <c r="Y1830" s="75"/>
      <c r="Z1830" s="75"/>
    </row>
    <row r="1831" spans="1:26" x14ac:dyDescent="0.3">
      <c r="A1831" s="72"/>
      <c r="B1831" s="73"/>
      <c r="C1831" s="70"/>
      <c r="D1831" s="74"/>
      <c r="E1831" s="75"/>
      <c r="F1831" s="75"/>
      <c r="K1831" s="72"/>
      <c r="L1831" s="73"/>
      <c r="M1831" s="70"/>
      <c r="N1831" s="74"/>
      <c r="O1831" s="75"/>
      <c r="P1831" s="75"/>
      <c r="U1831" s="72"/>
      <c r="V1831" s="73"/>
      <c r="W1831" s="70"/>
      <c r="X1831" s="74"/>
      <c r="Y1831" s="75"/>
      <c r="Z1831" s="75"/>
    </row>
    <row r="1832" spans="1:26" x14ac:dyDescent="0.3">
      <c r="A1832" s="72"/>
      <c r="B1832" s="73"/>
      <c r="C1832" s="70"/>
      <c r="D1832" s="74"/>
      <c r="E1832" s="75"/>
      <c r="F1832" s="75"/>
      <c r="K1832" s="72"/>
      <c r="L1832" s="73"/>
      <c r="M1832" s="70"/>
      <c r="N1832" s="74"/>
      <c r="O1832" s="75"/>
      <c r="P1832" s="75"/>
      <c r="U1832" s="72"/>
      <c r="V1832" s="73"/>
      <c r="W1832" s="70"/>
      <c r="X1832" s="74"/>
      <c r="Y1832" s="75"/>
      <c r="Z1832" s="75"/>
    </row>
    <row r="1833" spans="1:26" x14ac:dyDescent="0.3">
      <c r="A1833" s="72"/>
      <c r="B1833" s="73"/>
      <c r="C1833" s="70"/>
      <c r="D1833" s="74"/>
      <c r="E1833" s="75"/>
      <c r="F1833" s="75"/>
      <c r="K1833" s="72"/>
      <c r="L1833" s="73"/>
      <c r="M1833" s="70"/>
      <c r="N1833" s="74"/>
      <c r="O1833" s="75"/>
      <c r="P1833" s="75"/>
      <c r="U1833" s="72"/>
      <c r="V1833" s="73"/>
      <c r="W1833" s="70"/>
      <c r="X1833" s="74"/>
      <c r="Y1833" s="75"/>
      <c r="Z1833" s="75"/>
    </row>
    <row r="1834" spans="1:26" x14ac:dyDescent="0.3">
      <c r="A1834" s="72"/>
      <c r="B1834" s="73"/>
      <c r="C1834" s="70"/>
      <c r="D1834" s="74"/>
      <c r="E1834" s="75"/>
      <c r="F1834" s="75"/>
      <c r="K1834" s="72"/>
      <c r="L1834" s="73"/>
      <c r="M1834" s="70"/>
      <c r="N1834" s="74"/>
      <c r="O1834" s="75"/>
      <c r="P1834" s="75"/>
      <c r="U1834" s="72"/>
      <c r="V1834" s="73"/>
      <c r="W1834" s="70"/>
      <c r="X1834" s="74"/>
      <c r="Y1834" s="75"/>
      <c r="Z1834" s="75"/>
    </row>
    <row r="1835" spans="1:26" x14ac:dyDescent="0.3">
      <c r="A1835" s="72"/>
      <c r="B1835" s="73"/>
      <c r="C1835" s="70"/>
      <c r="D1835" s="74"/>
      <c r="E1835" s="75"/>
      <c r="F1835" s="75"/>
      <c r="K1835" s="72"/>
      <c r="L1835" s="73"/>
      <c r="M1835" s="70"/>
      <c r="N1835" s="74"/>
      <c r="O1835" s="75"/>
      <c r="P1835" s="75"/>
      <c r="U1835" s="72"/>
      <c r="V1835" s="73"/>
      <c r="W1835" s="70"/>
      <c r="X1835" s="74"/>
      <c r="Y1835" s="75"/>
      <c r="Z1835" s="75"/>
    </row>
    <row r="1836" spans="1:26" x14ac:dyDescent="0.3">
      <c r="A1836" s="72"/>
      <c r="B1836" s="73"/>
      <c r="C1836" s="70"/>
      <c r="D1836" s="74"/>
      <c r="E1836" s="75"/>
      <c r="F1836" s="75"/>
      <c r="K1836" s="72"/>
      <c r="L1836" s="73"/>
      <c r="M1836" s="70"/>
      <c r="N1836" s="74"/>
      <c r="O1836" s="75"/>
      <c r="P1836" s="75"/>
      <c r="U1836" s="72"/>
      <c r="V1836" s="73"/>
      <c r="W1836" s="70"/>
      <c r="X1836" s="74"/>
      <c r="Y1836" s="75"/>
      <c r="Z1836" s="75"/>
    </row>
    <row r="1837" spans="1:26" x14ac:dyDescent="0.3">
      <c r="A1837" s="72"/>
      <c r="B1837" s="73"/>
      <c r="C1837" s="70"/>
      <c r="D1837" s="74"/>
      <c r="E1837" s="75"/>
      <c r="F1837" s="75"/>
      <c r="K1837" s="72"/>
      <c r="L1837" s="73"/>
      <c r="M1837" s="70"/>
      <c r="N1837" s="74"/>
      <c r="O1837" s="75"/>
      <c r="P1837" s="75"/>
      <c r="U1837" s="72"/>
      <c r="V1837" s="73"/>
      <c r="W1837" s="70"/>
      <c r="X1837" s="74"/>
      <c r="Y1837" s="75"/>
      <c r="Z1837" s="75"/>
    </row>
    <row r="1838" spans="1:26" x14ac:dyDescent="0.3">
      <c r="A1838" s="72"/>
      <c r="B1838" s="73"/>
      <c r="C1838" s="70"/>
      <c r="D1838" s="74"/>
      <c r="E1838" s="75"/>
      <c r="F1838" s="75"/>
      <c r="K1838" s="72"/>
      <c r="L1838" s="73"/>
      <c r="M1838" s="70"/>
      <c r="N1838" s="74"/>
      <c r="O1838" s="75"/>
      <c r="P1838" s="75"/>
      <c r="U1838" s="72"/>
      <c r="V1838" s="73"/>
      <c r="W1838" s="70"/>
      <c r="X1838" s="74"/>
      <c r="Y1838" s="75"/>
      <c r="Z1838" s="75"/>
    </row>
    <row r="1839" spans="1:26" x14ac:dyDescent="0.3">
      <c r="A1839" s="72"/>
      <c r="B1839" s="73"/>
      <c r="C1839" s="70"/>
      <c r="D1839" s="74"/>
      <c r="E1839" s="75"/>
      <c r="F1839" s="75"/>
      <c r="K1839" s="72"/>
      <c r="L1839" s="73"/>
      <c r="M1839" s="70"/>
      <c r="N1839" s="74"/>
      <c r="O1839" s="75"/>
      <c r="P1839" s="75"/>
      <c r="U1839" s="72"/>
      <c r="V1839" s="73"/>
      <c r="W1839" s="70"/>
      <c r="X1839" s="74"/>
      <c r="Y1839" s="75"/>
      <c r="Z1839" s="75"/>
    </row>
    <row r="1840" spans="1:26" x14ac:dyDescent="0.3">
      <c r="A1840" s="72"/>
      <c r="B1840" s="73"/>
      <c r="C1840" s="70"/>
      <c r="D1840" s="74"/>
      <c r="E1840" s="75"/>
      <c r="F1840" s="75"/>
      <c r="K1840" s="72"/>
      <c r="L1840" s="73"/>
      <c r="M1840" s="70"/>
      <c r="N1840" s="74"/>
      <c r="O1840" s="75"/>
      <c r="P1840" s="75"/>
      <c r="U1840" s="72"/>
      <c r="V1840" s="73"/>
      <c r="W1840" s="70"/>
      <c r="X1840" s="74"/>
      <c r="Y1840" s="75"/>
      <c r="Z1840" s="75"/>
    </row>
    <row r="1841" spans="1:26" x14ac:dyDescent="0.3">
      <c r="A1841" s="72"/>
      <c r="B1841" s="73"/>
      <c r="C1841" s="70"/>
      <c r="D1841" s="74"/>
      <c r="E1841" s="75"/>
      <c r="F1841" s="75"/>
      <c r="K1841" s="72"/>
      <c r="L1841" s="73"/>
      <c r="M1841" s="70"/>
      <c r="N1841" s="74"/>
      <c r="O1841" s="75"/>
      <c r="P1841" s="75"/>
      <c r="U1841" s="72"/>
      <c r="V1841" s="73"/>
      <c r="W1841" s="70"/>
      <c r="X1841" s="74"/>
      <c r="Y1841" s="75"/>
      <c r="Z1841" s="75"/>
    </row>
    <row r="1842" spans="1:26" x14ac:dyDescent="0.3">
      <c r="A1842" s="72"/>
      <c r="B1842" s="73"/>
      <c r="C1842" s="70"/>
      <c r="D1842" s="74"/>
      <c r="E1842" s="75"/>
      <c r="F1842" s="75"/>
      <c r="K1842" s="72"/>
      <c r="L1842" s="73"/>
      <c r="M1842" s="70"/>
      <c r="N1842" s="74"/>
      <c r="O1842" s="75"/>
      <c r="P1842" s="75"/>
      <c r="U1842" s="72"/>
      <c r="V1842" s="73"/>
      <c r="W1842" s="70"/>
      <c r="X1842" s="74"/>
      <c r="Y1842" s="75"/>
      <c r="Z1842" s="75"/>
    </row>
    <row r="1843" spans="1:26" x14ac:dyDescent="0.3">
      <c r="A1843" s="72"/>
      <c r="B1843" s="73"/>
      <c r="C1843" s="70"/>
      <c r="D1843" s="74"/>
      <c r="E1843" s="75"/>
      <c r="F1843" s="75"/>
      <c r="K1843" s="72"/>
      <c r="L1843" s="73"/>
      <c r="M1843" s="70"/>
      <c r="N1843" s="74"/>
      <c r="O1843" s="75"/>
      <c r="P1843" s="75"/>
      <c r="U1843" s="72"/>
      <c r="V1843" s="73"/>
      <c r="W1843" s="70"/>
      <c r="X1843" s="74"/>
      <c r="Y1843" s="75"/>
      <c r="Z1843" s="75"/>
    </row>
    <row r="1844" spans="1:26" x14ac:dyDescent="0.3">
      <c r="A1844" s="72"/>
      <c r="B1844" s="73"/>
      <c r="C1844" s="70"/>
      <c r="D1844" s="74"/>
      <c r="E1844" s="75"/>
      <c r="F1844" s="75"/>
      <c r="K1844" s="72"/>
      <c r="L1844" s="73"/>
      <c r="M1844" s="70"/>
      <c r="N1844" s="74"/>
      <c r="O1844" s="75"/>
      <c r="P1844" s="75"/>
      <c r="U1844" s="72"/>
      <c r="V1844" s="73"/>
      <c r="W1844" s="70"/>
      <c r="X1844" s="74"/>
      <c r="Y1844" s="75"/>
      <c r="Z1844" s="75"/>
    </row>
    <row r="1845" spans="1:26" x14ac:dyDescent="0.3">
      <c r="A1845" s="72"/>
      <c r="B1845" s="73"/>
      <c r="C1845" s="70"/>
      <c r="D1845" s="74"/>
      <c r="E1845" s="75"/>
      <c r="F1845" s="75"/>
      <c r="K1845" s="72"/>
      <c r="L1845" s="73"/>
      <c r="M1845" s="70"/>
      <c r="N1845" s="74"/>
      <c r="O1845" s="75"/>
      <c r="P1845" s="75"/>
      <c r="U1845" s="72"/>
      <c r="V1845" s="73"/>
      <c r="W1845" s="70"/>
      <c r="X1845" s="74"/>
      <c r="Y1845" s="75"/>
      <c r="Z1845" s="75"/>
    </row>
    <row r="1846" spans="1:26" x14ac:dyDescent="0.3">
      <c r="A1846" s="72"/>
      <c r="B1846" s="73"/>
      <c r="C1846" s="70"/>
      <c r="D1846" s="74"/>
      <c r="E1846" s="75"/>
      <c r="F1846" s="75"/>
      <c r="K1846" s="72"/>
      <c r="L1846" s="73"/>
      <c r="M1846" s="70"/>
      <c r="N1846" s="74"/>
      <c r="O1846" s="75"/>
      <c r="P1846" s="75"/>
      <c r="U1846" s="72"/>
      <c r="V1846" s="73"/>
      <c r="W1846" s="70"/>
      <c r="X1846" s="74"/>
      <c r="Y1846" s="75"/>
      <c r="Z1846" s="75"/>
    </row>
    <row r="1847" spans="1:26" x14ac:dyDescent="0.3">
      <c r="A1847" s="72"/>
      <c r="B1847" s="73"/>
      <c r="C1847" s="70"/>
      <c r="D1847" s="74"/>
      <c r="E1847" s="75"/>
      <c r="F1847" s="75"/>
      <c r="K1847" s="72"/>
      <c r="L1847" s="73"/>
      <c r="M1847" s="70"/>
      <c r="N1847" s="74"/>
      <c r="O1847" s="75"/>
      <c r="P1847" s="75"/>
      <c r="U1847" s="72"/>
      <c r="V1847" s="73"/>
      <c r="W1847" s="70"/>
      <c r="X1847" s="74"/>
      <c r="Y1847" s="75"/>
      <c r="Z1847" s="75"/>
    </row>
    <row r="1848" spans="1:26" x14ac:dyDescent="0.3">
      <c r="A1848" s="72"/>
      <c r="B1848" s="73"/>
      <c r="C1848" s="70"/>
      <c r="D1848" s="74"/>
      <c r="E1848" s="75"/>
      <c r="F1848" s="75"/>
      <c r="K1848" s="72"/>
      <c r="L1848" s="73"/>
      <c r="M1848" s="70"/>
      <c r="N1848" s="74"/>
      <c r="O1848" s="75"/>
      <c r="P1848" s="75"/>
      <c r="U1848" s="72"/>
      <c r="V1848" s="73"/>
      <c r="W1848" s="70"/>
      <c r="X1848" s="74"/>
      <c r="Y1848" s="75"/>
      <c r="Z1848" s="75"/>
    </row>
    <row r="1849" spans="1:26" x14ac:dyDescent="0.3">
      <c r="A1849" s="72"/>
      <c r="B1849" s="73"/>
      <c r="C1849" s="70"/>
      <c r="D1849" s="74"/>
      <c r="E1849" s="75"/>
      <c r="F1849" s="75"/>
      <c r="K1849" s="72"/>
      <c r="L1849" s="73"/>
      <c r="M1849" s="70"/>
      <c r="N1849" s="74"/>
      <c r="O1849" s="75"/>
      <c r="P1849" s="75"/>
      <c r="U1849" s="72"/>
      <c r="V1849" s="73"/>
      <c r="W1849" s="70"/>
      <c r="X1849" s="74"/>
      <c r="Y1849" s="75"/>
      <c r="Z1849" s="75"/>
    </row>
    <row r="1850" spans="1:26" x14ac:dyDescent="0.3">
      <c r="A1850" s="72"/>
      <c r="B1850" s="73"/>
      <c r="C1850" s="70"/>
      <c r="D1850" s="74"/>
      <c r="E1850" s="75"/>
      <c r="F1850" s="75"/>
      <c r="K1850" s="72"/>
      <c r="L1850" s="73"/>
      <c r="M1850" s="70"/>
      <c r="N1850" s="74"/>
      <c r="O1850" s="75"/>
      <c r="P1850" s="75"/>
      <c r="U1850" s="72"/>
      <c r="V1850" s="73"/>
      <c r="W1850" s="70"/>
      <c r="X1850" s="74"/>
      <c r="Y1850" s="75"/>
      <c r="Z1850" s="75"/>
    </row>
    <row r="1851" spans="1:26" x14ac:dyDescent="0.3">
      <c r="A1851" s="72"/>
      <c r="B1851" s="73"/>
      <c r="C1851" s="70"/>
      <c r="D1851" s="74"/>
      <c r="E1851" s="75"/>
      <c r="F1851" s="75"/>
      <c r="K1851" s="72"/>
      <c r="L1851" s="73"/>
      <c r="M1851" s="70"/>
      <c r="N1851" s="74"/>
      <c r="O1851" s="75"/>
      <c r="P1851" s="75"/>
      <c r="U1851" s="72"/>
      <c r="V1851" s="73"/>
      <c r="W1851" s="70"/>
      <c r="X1851" s="74"/>
      <c r="Y1851" s="75"/>
      <c r="Z1851" s="75"/>
    </row>
    <row r="1852" spans="1:26" x14ac:dyDescent="0.3">
      <c r="A1852" s="72"/>
      <c r="B1852" s="73"/>
      <c r="C1852" s="70"/>
      <c r="D1852" s="74"/>
      <c r="E1852" s="75"/>
      <c r="F1852" s="75"/>
      <c r="K1852" s="72"/>
      <c r="L1852" s="73"/>
      <c r="M1852" s="70"/>
      <c r="N1852" s="74"/>
      <c r="O1852" s="75"/>
      <c r="P1852" s="75"/>
      <c r="U1852" s="72"/>
      <c r="V1852" s="73"/>
      <c r="W1852" s="70"/>
      <c r="X1852" s="74"/>
      <c r="Y1852" s="75"/>
      <c r="Z1852" s="75"/>
    </row>
    <row r="1853" spans="1:26" x14ac:dyDescent="0.3">
      <c r="A1853" s="72"/>
      <c r="B1853" s="73"/>
      <c r="C1853" s="70"/>
      <c r="D1853" s="74"/>
      <c r="E1853" s="75"/>
      <c r="F1853" s="75"/>
      <c r="K1853" s="72"/>
      <c r="L1853" s="73"/>
      <c r="M1853" s="70"/>
      <c r="N1853" s="74"/>
      <c r="O1853" s="75"/>
      <c r="P1853" s="75"/>
      <c r="U1853" s="72"/>
      <c r="V1853" s="73"/>
      <c r="W1853" s="70"/>
      <c r="X1853" s="74"/>
      <c r="Y1853" s="75"/>
      <c r="Z1853" s="75"/>
    </row>
    <row r="1854" spans="1:26" x14ac:dyDescent="0.3">
      <c r="A1854" s="72"/>
      <c r="B1854" s="73"/>
      <c r="C1854" s="70"/>
      <c r="D1854" s="74"/>
      <c r="E1854" s="75"/>
      <c r="F1854" s="75"/>
      <c r="K1854" s="72"/>
      <c r="L1854" s="73"/>
      <c r="M1854" s="70"/>
      <c r="N1854" s="74"/>
      <c r="O1854" s="75"/>
      <c r="P1854" s="75"/>
      <c r="U1854" s="72"/>
      <c r="V1854" s="73"/>
      <c r="W1854" s="70"/>
      <c r="X1854" s="74"/>
      <c r="Y1854" s="75"/>
      <c r="Z1854" s="75"/>
    </row>
    <row r="1855" spans="1:26" x14ac:dyDescent="0.3">
      <c r="A1855" s="72"/>
      <c r="B1855" s="73"/>
      <c r="C1855" s="70"/>
      <c r="D1855" s="74"/>
      <c r="E1855" s="75"/>
      <c r="F1855" s="75"/>
      <c r="K1855" s="72"/>
      <c r="L1855" s="73"/>
      <c r="M1855" s="70"/>
      <c r="N1855" s="74"/>
      <c r="O1855" s="75"/>
      <c r="P1855" s="75"/>
      <c r="U1855" s="72"/>
      <c r="V1855" s="73"/>
      <c r="W1855" s="70"/>
      <c r="X1855" s="74"/>
      <c r="Y1855" s="75"/>
      <c r="Z1855" s="75"/>
    </row>
    <row r="1856" spans="1:26" x14ac:dyDescent="0.3">
      <c r="A1856" s="72"/>
      <c r="B1856" s="73"/>
      <c r="C1856" s="70"/>
      <c r="D1856" s="74"/>
      <c r="E1856" s="75"/>
      <c r="F1856" s="75"/>
      <c r="K1856" s="72"/>
      <c r="L1856" s="73"/>
      <c r="M1856" s="70"/>
      <c r="N1856" s="74"/>
      <c r="O1856" s="75"/>
      <c r="P1856" s="75"/>
      <c r="U1856" s="72"/>
      <c r="V1856" s="73"/>
      <c r="W1856" s="70"/>
      <c r="X1856" s="74"/>
      <c r="Y1856" s="75"/>
      <c r="Z1856" s="75"/>
    </row>
    <row r="1857" spans="1:26" x14ac:dyDescent="0.3">
      <c r="A1857" s="72"/>
      <c r="B1857" s="73"/>
      <c r="C1857" s="70"/>
      <c r="D1857" s="74"/>
      <c r="E1857" s="75"/>
      <c r="F1857" s="75"/>
      <c r="K1857" s="72"/>
      <c r="L1857" s="73"/>
      <c r="M1857" s="70"/>
      <c r="N1857" s="74"/>
      <c r="O1857" s="75"/>
      <c r="P1857" s="75"/>
      <c r="U1857" s="72"/>
      <c r="V1857" s="73"/>
      <c r="W1857" s="70"/>
      <c r="X1857" s="74"/>
      <c r="Y1857" s="75"/>
      <c r="Z1857" s="75"/>
    </row>
    <row r="1858" spans="1:26" x14ac:dyDescent="0.3">
      <c r="A1858" s="72"/>
      <c r="B1858" s="73"/>
      <c r="C1858" s="70"/>
      <c r="D1858" s="74"/>
      <c r="E1858" s="75"/>
      <c r="F1858" s="75"/>
      <c r="K1858" s="72"/>
      <c r="L1858" s="73"/>
      <c r="M1858" s="70"/>
      <c r="N1858" s="74"/>
      <c r="O1858" s="75"/>
      <c r="P1858" s="75"/>
      <c r="U1858" s="72"/>
      <c r="V1858" s="73"/>
      <c r="W1858" s="70"/>
      <c r="X1858" s="74"/>
      <c r="Y1858" s="75"/>
      <c r="Z1858" s="75"/>
    </row>
    <row r="1859" spans="1:26" x14ac:dyDescent="0.3">
      <c r="A1859" s="72"/>
      <c r="B1859" s="73"/>
      <c r="C1859" s="70"/>
      <c r="D1859" s="74"/>
      <c r="E1859" s="75"/>
      <c r="F1859" s="75"/>
      <c r="K1859" s="72"/>
      <c r="L1859" s="73"/>
      <c r="M1859" s="70"/>
      <c r="N1859" s="74"/>
      <c r="O1859" s="75"/>
      <c r="P1859" s="75"/>
      <c r="U1859" s="72"/>
      <c r="V1859" s="73"/>
      <c r="W1859" s="70"/>
      <c r="X1859" s="74"/>
      <c r="Y1859" s="75"/>
      <c r="Z1859" s="75"/>
    </row>
    <row r="1860" spans="1:26" x14ac:dyDescent="0.3">
      <c r="A1860" s="72"/>
      <c r="B1860" s="73"/>
      <c r="C1860" s="70"/>
      <c r="D1860" s="74"/>
      <c r="E1860" s="75"/>
      <c r="F1860" s="75"/>
      <c r="K1860" s="72"/>
      <c r="L1860" s="73"/>
      <c r="M1860" s="70"/>
      <c r="N1860" s="74"/>
      <c r="O1860" s="75"/>
      <c r="P1860" s="75"/>
      <c r="U1860" s="72"/>
      <c r="V1860" s="73"/>
      <c r="W1860" s="70"/>
      <c r="X1860" s="74"/>
      <c r="Y1860" s="75"/>
      <c r="Z1860" s="75"/>
    </row>
    <row r="1861" spans="1:26" x14ac:dyDescent="0.3">
      <c r="A1861" s="72"/>
      <c r="B1861" s="73"/>
      <c r="C1861" s="70"/>
      <c r="D1861" s="74"/>
      <c r="E1861" s="75"/>
      <c r="F1861" s="75"/>
      <c r="K1861" s="72"/>
      <c r="L1861" s="73"/>
      <c r="M1861" s="70"/>
      <c r="N1861" s="74"/>
      <c r="O1861" s="75"/>
      <c r="P1861" s="75"/>
      <c r="U1861" s="72"/>
      <c r="V1861" s="73"/>
      <c r="W1861" s="70"/>
      <c r="X1861" s="74"/>
      <c r="Y1861" s="75"/>
      <c r="Z1861" s="75"/>
    </row>
    <row r="1862" spans="1:26" x14ac:dyDescent="0.3">
      <c r="A1862" s="72"/>
      <c r="B1862" s="73"/>
      <c r="C1862" s="70"/>
      <c r="D1862" s="74"/>
      <c r="E1862" s="75"/>
      <c r="F1862" s="75"/>
      <c r="K1862" s="72"/>
      <c r="L1862" s="73"/>
      <c r="M1862" s="70"/>
      <c r="N1862" s="74"/>
      <c r="O1862" s="75"/>
      <c r="P1862" s="75"/>
      <c r="U1862" s="72"/>
      <c r="V1862" s="73"/>
      <c r="W1862" s="70"/>
      <c r="X1862" s="74"/>
      <c r="Y1862" s="75"/>
      <c r="Z1862" s="75"/>
    </row>
    <row r="1863" spans="1:26" x14ac:dyDescent="0.3">
      <c r="A1863" s="72"/>
      <c r="B1863" s="73"/>
      <c r="C1863" s="70"/>
      <c r="D1863" s="74"/>
      <c r="E1863" s="75"/>
      <c r="F1863" s="75"/>
      <c r="K1863" s="72"/>
      <c r="L1863" s="73"/>
      <c r="M1863" s="70"/>
      <c r="N1863" s="74"/>
      <c r="O1863" s="75"/>
      <c r="P1863" s="75"/>
      <c r="U1863" s="72"/>
      <c r="V1863" s="73"/>
      <c r="W1863" s="70"/>
      <c r="X1863" s="74"/>
      <c r="Y1863" s="75"/>
      <c r="Z1863" s="75"/>
    </row>
    <row r="1864" spans="1:26" x14ac:dyDescent="0.3">
      <c r="A1864" s="72"/>
      <c r="B1864" s="73"/>
      <c r="C1864" s="70"/>
      <c r="D1864" s="74"/>
      <c r="E1864" s="75"/>
      <c r="F1864" s="75"/>
      <c r="K1864" s="72"/>
      <c r="L1864" s="73"/>
      <c r="M1864" s="70"/>
      <c r="N1864" s="74"/>
      <c r="O1864" s="75"/>
      <c r="P1864" s="75"/>
      <c r="U1864" s="72"/>
      <c r="V1864" s="73"/>
      <c r="W1864" s="70"/>
      <c r="X1864" s="74"/>
      <c r="Y1864" s="75"/>
      <c r="Z1864" s="75"/>
    </row>
    <row r="1865" spans="1:26" x14ac:dyDescent="0.3">
      <c r="A1865" s="72"/>
      <c r="B1865" s="73"/>
      <c r="C1865" s="70"/>
      <c r="D1865" s="74"/>
      <c r="E1865" s="75"/>
      <c r="F1865" s="75"/>
      <c r="K1865" s="72"/>
      <c r="L1865" s="73"/>
      <c r="M1865" s="70"/>
      <c r="N1865" s="74"/>
      <c r="O1865" s="75"/>
      <c r="P1865" s="75"/>
      <c r="U1865" s="72"/>
      <c r="V1865" s="73"/>
      <c r="W1865" s="70"/>
      <c r="X1865" s="74"/>
      <c r="Y1865" s="75"/>
      <c r="Z1865" s="75"/>
    </row>
    <row r="1866" spans="1:26" x14ac:dyDescent="0.3">
      <c r="A1866" s="72"/>
      <c r="B1866" s="73"/>
      <c r="C1866" s="70"/>
      <c r="D1866" s="74"/>
      <c r="E1866" s="75"/>
      <c r="F1866" s="75"/>
      <c r="K1866" s="72"/>
      <c r="L1866" s="73"/>
      <c r="M1866" s="70"/>
      <c r="N1866" s="74"/>
      <c r="O1866" s="75"/>
      <c r="P1866" s="75"/>
      <c r="U1866" s="72"/>
      <c r="V1866" s="73"/>
      <c r="W1866" s="70"/>
      <c r="X1866" s="74"/>
      <c r="Y1866" s="75"/>
      <c r="Z1866" s="75"/>
    </row>
    <row r="1867" spans="1:26" x14ac:dyDescent="0.3">
      <c r="A1867" s="72"/>
      <c r="B1867" s="73"/>
      <c r="C1867" s="70"/>
      <c r="D1867" s="74"/>
      <c r="E1867" s="75"/>
      <c r="F1867" s="75"/>
      <c r="K1867" s="72"/>
      <c r="L1867" s="73"/>
      <c r="M1867" s="70"/>
      <c r="N1867" s="74"/>
      <c r="O1867" s="75"/>
      <c r="P1867" s="75"/>
      <c r="U1867" s="72"/>
      <c r="V1867" s="73"/>
      <c r="W1867" s="70"/>
      <c r="X1867" s="74"/>
      <c r="Y1867" s="75"/>
      <c r="Z1867" s="75"/>
    </row>
    <row r="1868" spans="1:26" x14ac:dyDescent="0.3">
      <c r="A1868" s="72"/>
      <c r="B1868" s="73"/>
      <c r="C1868" s="70"/>
      <c r="D1868" s="74"/>
      <c r="E1868" s="75"/>
      <c r="F1868" s="75"/>
      <c r="K1868" s="72"/>
      <c r="L1868" s="73"/>
      <c r="M1868" s="70"/>
      <c r="N1868" s="74"/>
      <c r="O1868" s="75"/>
      <c r="P1868" s="75"/>
      <c r="U1868" s="72"/>
      <c r="V1868" s="73"/>
      <c r="W1868" s="70"/>
      <c r="X1868" s="74"/>
      <c r="Y1868" s="75"/>
      <c r="Z1868" s="75"/>
    </row>
    <row r="1869" spans="1:26" x14ac:dyDescent="0.3">
      <c r="A1869" s="72"/>
      <c r="B1869" s="73"/>
      <c r="C1869" s="70"/>
      <c r="D1869" s="74"/>
      <c r="E1869" s="75"/>
      <c r="F1869" s="75"/>
      <c r="K1869" s="72"/>
      <c r="L1869" s="73"/>
      <c r="M1869" s="70"/>
      <c r="N1869" s="74"/>
      <c r="O1869" s="75"/>
      <c r="P1869" s="75"/>
      <c r="U1869" s="72"/>
      <c r="V1869" s="73"/>
      <c r="W1869" s="70"/>
      <c r="X1869" s="74"/>
      <c r="Y1869" s="75"/>
      <c r="Z1869" s="75"/>
    </row>
    <row r="1870" spans="1:26" x14ac:dyDescent="0.3">
      <c r="A1870" s="72"/>
      <c r="B1870" s="73"/>
      <c r="C1870" s="70"/>
      <c r="D1870" s="74"/>
      <c r="E1870" s="75"/>
      <c r="F1870" s="75"/>
      <c r="K1870" s="72"/>
      <c r="L1870" s="73"/>
      <c r="M1870" s="70"/>
      <c r="N1870" s="74"/>
      <c r="O1870" s="75"/>
      <c r="P1870" s="75"/>
      <c r="U1870" s="72"/>
      <c r="V1870" s="73"/>
      <c r="W1870" s="70"/>
      <c r="X1870" s="74"/>
      <c r="Y1870" s="75"/>
      <c r="Z1870" s="75"/>
    </row>
    <row r="1871" spans="1:26" x14ac:dyDescent="0.3">
      <c r="A1871" s="72"/>
      <c r="B1871" s="73"/>
      <c r="C1871" s="70"/>
      <c r="D1871" s="74"/>
      <c r="E1871" s="75"/>
      <c r="F1871" s="75"/>
      <c r="K1871" s="72"/>
      <c r="L1871" s="73"/>
      <c r="M1871" s="70"/>
      <c r="N1871" s="74"/>
      <c r="O1871" s="75"/>
      <c r="P1871" s="75"/>
      <c r="U1871" s="72"/>
      <c r="V1871" s="73"/>
      <c r="W1871" s="70"/>
      <c r="X1871" s="74"/>
      <c r="Y1871" s="75"/>
      <c r="Z1871" s="75"/>
    </row>
    <row r="1872" spans="1:26" x14ac:dyDescent="0.3">
      <c r="A1872" s="72"/>
      <c r="B1872" s="73"/>
      <c r="C1872" s="70"/>
      <c r="D1872" s="74"/>
      <c r="E1872" s="75"/>
      <c r="F1872" s="75"/>
      <c r="K1872" s="72"/>
      <c r="L1872" s="73"/>
      <c r="M1872" s="70"/>
      <c r="N1872" s="74"/>
      <c r="O1872" s="75"/>
      <c r="P1872" s="75"/>
      <c r="U1872" s="72"/>
      <c r="V1872" s="73"/>
      <c r="W1872" s="70"/>
      <c r="X1872" s="74"/>
      <c r="Y1872" s="75"/>
      <c r="Z1872" s="75"/>
    </row>
    <row r="1873" spans="1:26" x14ac:dyDescent="0.3">
      <c r="A1873" s="72"/>
      <c r="B1873" s="73"/>
      <c r="C1873" s="70"/>
      <c r="D1873" s="74"/>
      <c r="E1873" s="75"/>
      <c r="F1873" s="75"/>
      <c r="K1873" s="72"/>
      <c r="L1873" s="73"/>
      <c r="M1873" s="70"/>
      <c r="N1873" s="74"/>
      <c r="O1873" s="75"/>
      <c r="P1873" s="75"/>
      <c r="U1873" s="72"/>
      <c r="V1873" s="73"/>
      <c r="W1873" s="70"/>
      <c r="X1873" s="74"/>
      <c r="Y1873" s="75"/>
      <c r="Z1873" s="75"/>
    </row>
    <row r="1874" spans="1:26" x14ac:dyDescent="0.3">
      <c r="A1874" s="72"/>
      <c r="B1874" s="73"/>
      <c r="C1874" s="70"/>
      <c r="D1874" s="74"/>
      <c r="E1874" s="75"/>
      <c r="F1874" s="75"/>
      <c r="K1874" s="72"/>
      <c r="L1874" s="73"/>
      <c r="M1874" s="70"/>
      <c r="N1874" s="74"/>
      <c r="O1874" s="75"/>
      <c r="P1874" s="75"/>
      <c r="U1874" s="72"/>
      <c r="V1874" s="73"/>
      <c r="W1874" s="70"/>
      <c r="X1874" s="74"/>
      <c r="Y1874" s="75"/>
      <c r="Z1874" s="75"/>
    </row>
    <row r="1875" spans="1:26" x14ac:dyDescent="0.3">
      <c r="A1875" s="72"/>
      <c r="B1875" s="73"/>
      <c r="C1875" s="70"/>
      <c r="D1875" s="74"/>
      <c r="E1875" s="75"/>
      <c r="F1875" s="75"/>
      <c r="K1875" s="72"/>
      <c r="L1875" s="73"/>
      <c r="M1875" s="70"/>
      <c r="N1875" s="74"/>
      <c r="O1875" s="75"/>
      <c r="P1875" s="75"/>
      <c r="U1875" s="72"/>
      <c r="V1875" s="73"/>
      <c r="W1875" s="70"/>
      <c r="X1875" s="74"/>
      <c r="Y1875" s="75"/>
      <c r="Z1875" s="75"/>
    </row>
    <row r="1876" spans="1:26" x14ac:dyDescent="0.3">
      <c r="A1876" s="72"/>
      <c r="B1876" s="73"/>
      <c r="C1876" s="70"/>
      <c r="D1876" s="74"/>
      <c r="E1876" s="75"/>
      <c r="F1876" s="75"/>
      <c r="K1876" s="72"/>
      <c r="L1876" s="73"/>
      <c r="M1876" s="70"/>
      <c r="N1876" s="74"/>
      <c r="O1876" s="75"/>
      <c r="P1876" s="75"/>
      <c r="U1876" s="72"/>
      <c r="V1876" s="73"/>
      <c r="W1876" s="70"/>
      <c r="X1876" s="74"/>
      <c r="Y1876" s="75"/>
      <c r="Z1876" s="75"/>
    </row>
    <row r="1877" spans="1:26" x14ac:dyDescent="0.3">
      <c r="A1877" s="72"/>
      <c r="B1877" s="73"/>
      <c r="C1877" s="70"/>
      <c r="D1877" s="74"/>
      <c r="E1877" s="75"/>
      <c r="F1877" s="75"/>
      <c r="K1877" s="72"/>
      <c r="L1877" s="73"/>
      <c r="M1877" s="70"/>
      <c r="N1877" s="74"/>
      <c r="O1877" s="75"/>
      <c r="P1877" s="75"/>
      <c r="U1877" s="72"/>
      <c r="V1877" s="73"/>
      <c r="W1877" s="70"/>
      <c r="X1877" s="74"/>
      <c r="Y1877" s="75"/>
      <c r="Z1877" s="75"/>
    </row>
    <row r="1878" spans="1:26" x14ac:dyDescent="0.3">
      <c r="A1878" s="72"/>
      <c r="B1878" s="73"/>
      <c r="C1878" s="70"/>
      <c r="D1878" s="74"/>
      <c r="E1878" s="75"/>
      <c r="F1878" s="75"/>
      <c r="K1878" s="72"/>
      <c r="L1878" s="73"/>
      <c r="M1878" s="70"/>
      <c r="N1878" s="74"/>
      <c r="O1878" s="75"/>
      <c r="P1878" s="75"/>
      <c r="U1878" s="72"/>
      <c r="V1878" s="73"/>
      <c r="W1878" s="70"/>
      <c r="X1878" s="74"/>
      <c r="Y1878" s="75"/>
      <c r="Z1878" s="75"/>
    </row>
    <row r="1879" spans="1:26" x14ac:dyDescent="0.3">
      <c r="A1879" s="72"/>
      <c r="B1879" s="73"/>
      <c r="C1879" s="70"/>
      <c r="D1879" s="74"/>
      <c r="E1879" s="75"/>
      <c r="F1879" s="75"/>
      <c r="K1879" s="72"/>
      <c r="L1879" s="73"/>
      <c r="M1879" s="70"/>
      <c r="N1879" s="74"/>
      <c r="O1879" s="75"/>
      <c r="P1879" s="75"/>
      <c r="U1879" s="72"/>
      <c r="V1879" s="73"/>
      <c r="W1879" s="70"/>
      <c r="X1879" s="74"/>
      <c r="Y1879" s="75"/>
      <c r="Z1879" s="75"/>
    </row>
    <row r="1880" spans="1:26" x14ac:dyDescent="0.3">
      <c r="A1880" s="72"/>
      <c r="B1880" s="73"/>
      <c r="C1880" s="70"/>
      <c r="D1880" s="74"/>
      <c r="E1880" s="75"/>
      <c r="F1880" s="75"/>
      <c r="K1880" s="72"/>
      <c r="L1880" s="73"/>
      <c r="M1880" s="70"/>
      <c r="N1880" s="74"/>
      <c r="O1880" s="75"/>
      <c r="P1880" s="75"/>
      <c r="U1880" s="72"/>
      <c r="V1880" s="73"/>
      <c r="W1880" s="70"/>
      <c r="X1880" s="74"/>
      <c r="Y1880" s="75"/>
      <c r="Z1880" s="75"/>
    </row>
    <row r="1881" spans="1:26" x14ac:dyDescent="0.3">
      <c r="A1881" s="72"/>
      <c r="B1881" s="73"/>
      <c r="C1881" s="70"/>
      <c r="D1881" s="74"/>
      <c r="E1881" s="75"/>
      <c r="F1881" s="75"/>
      <c r="K1881" s="72"/>
      <c r="L1881" s="73"/>
      <c r="M1881" s="70"/>
      <c r="N1881" s="74"/>
      <c r="O1881" s="75"/>
      <c r="P1881" s="75"/>
      <c r="U1881" s="72"/>
      <c r="V1881" s="73"/>
      <c r="W1881" s="70"/>
      <c r="X1881" s="74"/>
      <c r="Y1881" s="75"/>
      <c r="Z1881" s="75"/>
    </row>
    <row r="1882" spans="1:26" x14ac:dyDescent="0.3">
      <c r="A1882" s="72"/>
      <c r="B1882" s="73"/>
      <c r="C1882" s="70"/>
      <c r="D1882" s="74"/>
      <c r="E1882" s="75"/>
      <c r="F1882" s="75"/>
      <c r="K1882" s="72"/>
      <c r="L1882" s="73"/>
      <c r="M1882" s="70"/>
      <c r="N1882" s="74"/>
      <c r="O1882" s="75"/>
      <c r="P1882" s="75"/>
      <c r="U1882" s="72"/>
      <c r="V1882" s="73"/>
      <c r="W1882" s="70"/>
      <c r="X1882" s="74"/>
      <c r="Y1882" s="75"/>
      <c r="Z1882" s="75"/>
    </row>
    <row r="1883" spans="1:26" x14ac:dyDescent="0.3">
      <c r="A1883" s="72"/>
      <c r="B1883" s="73"/>
      <c r="C1883" s="70"/>
      <c r="D1883" s="74"/>
      <c r="E1883" s="75"/>
      <c r="F1883" s="75"/>
      <c r="K1883" s="72"/>
      <c r="L1883" s="73"/>
      <c r="M1883" s="70"/>
      <c r="N1883" s="74"/>
      <c r="O1883" s="75"/>
      <c r="P1883" s="75"/>
      <c r="U1883" s="72"/>
      <c r="V1883" s="73"/>
      <c r="W1883" s="70"/>
      <c r="X1883" s="74"/>
      <c r="Y1883" s="75"/>
      <c r="Z1883" s="75"/>
    </row>
    <row r="1884" spans="1:26" x14ac:dyDescent="0.3">
      <c r="A1884" s="72"/>
      <c r="B1884" s="73"/>
      <c r="C1884" s="70"/>
      <c r="D1884" s="74"/>
      <c r="E1884" s="75"/>
      <c r="F1884" s="75"/>
      <c r="K1884" s="72"/>
      <c r="L1884" s="73"/>
      <c r="M1884" s="70"/>
      <c r="N1884" s="74"/>
      <c r="O1884" s="75"/>
      <c r="P1884" s="75"/>
      <c r="U1884" s="72"/>
      <c r="V1884" s="73"/>
      <c r="W1884" s="70"/>
      <c r="X1884" s="74"/>
      <c r="Y1884" s="75"/>
      <c r="Z1884" s="75"/>
    </row>
    <row r="1885" spans="1:26" x14ac:dyDescent="0.3">
      <c r="A1885" s="72"/>
      <c r="B1885" s="73"/>
      <c r="C1885" s="70"/>
      <c r="D1885" s="74"/>
      <c r="E1885" s="75"/>
      <c r="F1885" s="75"/>
      <c r="K1885" s="72"/>
      <c r="L1885" s="73"/>
      <c r="M1885" s="70"/>
      <c r="N1885" s="74"/>
      <c r="O1885" s="75"/>
      <c r="P1885" s="75"/>
      <c r="U1885" s="72"/>
      <c r="V1885" s="73"/>
      <c r="W1885" s="70"/>
      <c r="X1885" s="74"/>
      <c r="Y1885" s="75"/>
      <c r="Z1885" s="75"/>
    </row>
    <row r="1886" spans="1:26" x14ac:dyDescent="0.3">
      <c r="A1886" s="72"/>
      <c r="B1886" s="73"/>
      <c r="C1886" s="70"/>
      <c r="D1886" s="74"/>
      <c r="E1886" s="75"/>
      <c r="F1886" s="75"/>
      <c r="K1886" s="72"/>
      <c r="L1886" s="73"/>
      <c r="M1886" s="70"/>
      <c r="N1886" s="74"/>
      <c r="O1886" s="75"/>
      <c r="P1886" s="75"/>
      <c r="U1886" s="72"/>
      <c r="V1886" s="73"/>
      <c r="W1886" s="70"/>
      <c r="X1886" s="74"/>
      <c r="Y1886" s="75"/>
      <c r="Z1886" s="75"/>
    </row>
    <row r="1887" spans="1:26" x14ac:dyDescent="0.3">
      <c r="A1887" s="72"/>
      <c r="B1887" s="73"/>
      <c r="C1887" s="70"/>
      <c r="D1887" s="74"/>
      <c r="E1887" s="75"/>
      <c r="F1887" s="75"/>
      <c r="K1887" s="72"/>
      <c r="L1887" s="73"/>
      <c r="M1887" s="70"/>
      <c r="N1887" s="74"/>
      <c r="O1887" s="75"/>
      <c r="P1887" s="75"/>
      <c r="U1887" s="72"/>
      <c r="V1887" s="73"/>
      <c r="W1887" s="70"/>
      <c r="X1887" s="74"/>
      <c r="Y1887" s="75"/>
      <c r="Z1887" s="75"/>
    </row>
    <row r="1888" spans="1:26" x14ac:dyDescent="0.3">
      <c r="A1888" s="72"/>
      <c r="B1888" s="73"/>
      <c r="C1888" s="70"/>
      <c r="D1888" s="74"/>
      <c r="E1888" s="75"/>
      <c r="F1888" s="75"/>
      <c r="K1888" s="72"/>
      <c r="L1888" s="73"/>
      <c r="M1888" s="70"/>
      <c r="N1888" s="74"/>
      <c r="O1888" s="75"/>
      <c r="P1888" s="75"/>
      <c r="U1888" s="72"/>
      <c r="V1888" s="73"/>
      <c r="W1888" s="70"/>
      <c r="X1888" s="74"/>
      <c r="Y1888" s="75"/>
      <c r="Z1888" s="75"/>
    </row>
    <row r="1889" spans="1:26" x14ac:dyDescent="0.3">
      <c r="A1889" s="72"/>
      <c r="B1889" s="73"/>
      <c r="C1889" s="70"/>
      <c r="D1889" s="74"/>
      <c r="E1889" s="75"/>
      <c r="F1889" s="75"/>
      <c r="K1889" s="72"/>
      <c r="L1889" s="73"/>
      <c r="M1889" s="70"/>
      <c r="N1889" s="74"/>
      <c r="O1889" s="75"/>
      <c r="P1889" s="75"/>
      <c r="U1889" s="72"/>
      <c r="V1889" s="73"/>
      <c r="W1889" s="70"/>
      <c r="X1889" s="74"/>
      <c r="Y1889" s="75"/>
      <c r="Z1889" s="75"/>
    </row>
    <row r="1890" spans="1:26" x14ac:dyDescent="0.3">
      <c r="A1890" s="72"/>
      <c r="B1890" s="73"/>
      <c r="C1890" s="70"/>
      <c r="D1890" s="74"/>
      <c r="E1890" s="75"/>
      <c r="F1890" s="75"/>
      <c r="K1890" s="72"/>
      <c r="L1890" s="73"/>
      <c r="M1890" s="70"/>
      <c r="N1890" s="74"/>
      <c r="O1890" s="75"/>
      <c r="P1890" s="75"/>
      <c r="U1890" s="72"/>
      <c r="V1890" s="73"/>
      <c r="W1890" s="70"/>
      <c r="X1890" s="74"/>
      <c r="Y1890" s="75"/>
      <c r="Z1890" s="75"/>
    </row>
    <row r="1891" spans="1:26" x14ac:dyDescent="0.3">
      <c r="A1891" s="72"/>
      <c r="B1891" s="73"/>
      <c r="C1891" s="70"/>
      <c r="D1891" s="74"/>
      <c r="E1891" s="75"/>
      <c r="F1891" s="75"/>
      <c r="K1891" s="72"/>
      <c r="L1891" s="73"/>
      <c r="M1891" s="70"/>
      <c r="N1891" s="74"/>
      <c r="O1891" s="75"/>
      <c r="P1891" s="75"/>
      <c r="U1891" s="72"/>
      <c r="V1891" s="73"/>
      <c r="W1891" s="70"/>
      <c r="X1891" s="74"/>
      <c r="Y1891" s="75"/>
      <c r="Z1891" s="75"/>
    </row>
    <row r="1892" spans="1:26" x14ac:dyDescent="0.3">
      <c r="A1892" s="72"/>
      <c r="B1892" s="73"/>
      <c r="C1892" s="70"/>
      <c r="D1892" s="74"/>
      <c r="E1892" s="75"/>
      <c r="F1892" s="75"/>
      <c r="K1892" s="72"/>
      <c r="L1892" s="73"/>
      <c r="M1892" s="70"/>
      <c r="N1892" s="74"/>
      <c r="O1892" s="75"/>
      <c r="P1892" s="75"/>
      <c r="U1892" s="72"/>
      <c r="V1892" s="73"/>
      <c r="W1892" s="70"/>
      <c r="X1892" s="74"/>
      <c r="Y1892" s="75"/>
      <c r="Z1892" s="75"/>
    </row>
    <row r="1893" spans="1:26" x14ac:dyDescent="0.3">
      <c r="A1893" s="72"/>
      <c r="B1893" s="73"/>
      <c r="C1893" s="70"/>
      <c r="D1893" s="74"/>
      <c r="E1893" s="75"/>
      <c r="F1893" s="75"/>
      <c r="K1893" s="72"/>
      <c r="L1893" s="73"/>
      <c r="M1893" s="70"/>
      <c r="N1893" s="74"/>
      <c r="O1893" s="75"/>
      <c r="P1893" s="75"/>
      <c r="U1893" s="72"/>
      <c r="V1893" s="73"/>
      <c r="W1893" s="70"/>
      <c r="X1893" s="74"/>
      <c r="Y1893" s="75"/>
      <c r="Z1893" s="75"/>
    </row>
    <row r="1894" spans="1:26" x14ac:dyDescent="0.3">
      <c r="A1894" s="72"/>
      <c r="B1894" s="73"/>
      <c r="C1894" s="70"/>
      <c r="D1894" s="74"/>
      <c r="E1894" s="75"/>
      <c r="F1894" s="75"/>
      <c r="K1894" s="72"/>
      <c r="L1894" s="73"/>
      <c r="M1894" s="70"/>
      <c r="N1894" s="74"/>
      <c r="O1894" s="75"/>
      <c r="P1894" s="75"/>
      <c r="U1894" s="72"/>
      <c r="V1894" s="73"/>
      <c r="W1894" s="70"/>
      <c r="X1894" s="74"/>
      <c r="Y1894" s="75"/>
      <c r="Z1894" s="75"/>
    </row>
    <row r="1895" spans="1:26" x14ac:dyDescent="0.3">
      <c r="A1895" s="72"/>
      <c r="B1895" s="73"/>
      <c r="C1895" s="70"/>
      <c r="D1895" s="74"/>
      <c r="E1895" s="75"/>
      <c r="F1895" s="75"/>
      <c r="K1895" s="72"/>
      <c r="L1895" s="73"/>
      <c r="M1895" s="70"/>
      <c r="N1895" s="74"/>
      <c r="O1895" s="75"/>
      <c r="P1895" s="75"/>
      <c r="U1895" s="72"/>
      <c r="V1895" s="73"/>
      <c r="W1895" s="70"/>
      <c r="X1895" s="74"/>
      <c r="Y1895" s="75"/>
      <c r="Z1895" s="75"/>
    </row>
    <row r="1896" spans="1:26" x14ac:dyDescent="0.3">
      <c r="A1896" s="72"/>
      <c r="B1896" s="73"/>
      <c r="C1896" s="70"/>
      <c r="D1896" s="74"/>
      <c r="E1896" s="75"/>
      <c r="F1896" s="75"/>
      <c r="K1896" s="72"/>
      <c r="L1896" s="73"/>
      <c r="M1896" s="70"/>
      <c r="N1896" s="74"/>
      <c r="O1896" s="75"/>
      <c r="P1896" s="75"/>
      <c r="U1896" s="72"/>
      <c r="V1896" s="73"/>
      <c r="W1896" s="70"/>
      <c r="X1896" s="74"/>
      <c r="Y1896" s="75"/>
      <c r="Z1896" s="75"/>
    </row>
    <row r="1897" spans="1:26" x14ac:dyDescent="0.3">
      <c r="A1897" s="72"/>
      <c r="B1897" s="73"/>
      <c r="C1897" s="70"/>
      <c r="D1897" s="74"/>
      <c r="E1897" s="75"/>
      <c r="F1897" s="75"/>
      <c r="K1897" s="72"/>
      <c r="L1897" s="73"/>
      <c r="M1897" s="70"/>
      <c r="N1897" s="74"/>
      <c r="O1897" s="75"/>
      <c r="P1897" s="75"/>
      <c r="U1897" s="72"/>
      <c r="V1897" s="73"/>
      <c r="W1897" s="70"/>
      <c r="X1897" s="74"/>
      <c r="Y1897" s="75"/>
      <c r="Z1897" s="75"/>
    </row>
    <row r="1898" spans="1:26" x14ac:dyDescent="0.3">
      <c r="A1898" s="72"/>
      <c r="B1898" s="73"/>
      <c r="C1898" s="70"/>
      <c r="D1898" s="74"/>
      <c r="E1898" s="75"/>
      <c r="F1898" s="75"/>
      <c r="K1898" s="72"/>
      <c r="L1898" s="73"/>
      <c r="M1898" s="70"/>
      <c r="N1898" s="74"/>
      <c r="O1898" s="75"/>
      <c r="P1898" s="75"/>
      <c r="U1898" s="72"/>
      <c r="V1898" s="73"/>
      <c r="W1898" s="70"/>
      <c r="X1898" s="74"/>
      <c r="Y1898" s="75"/>
      <c r="Z1898" s="75"/>
    </row>
    <row r="1899" spans="1:26" x14ac:dyDescent="0.3">
      <c r="A1899" s="72"/>
      <c r="B1899" s="73"/>
      <c r="C1899" s="70"/>
      <c r="D1899" s="74"/>
      <c r="E1899" s="75"/>
      <c r="F1899" s="75"/>
      <c r="K1899" s="72"/>
      <c r="L1899" s="73"/>
      <c r="M1899" s="70"/>
      <c r="N1899" s="74"/>
      <c r="O1899" s="75"/>
      <c r="P1899" s="75"/>
      <c r="U1899" s="72"/>
      <c r="V1899" s="73"/>
      <c r="W1899" s="70"/>
      <c r="X1899" s="74"/>
      <c r="Y1899" s="75"/>
      <c r="Z1899" s="75"/>
    </row>
    <row r="1900" spans="1:26" x14ac:dyDescent="0.3">
      <c r="A1900" s="72"/>
      <c r="B1900" s="73"/>
      <c r="C1900" s="70"/>
      <c r="D1900" s="74"/>
      <c r="E1900" s="75"/>
      <c r="F1900" s="75"/>
      <c r="K1900" s="72"/>
      <c r="L1900" s="73"/>
      <c r="M1900" s="70"/>
      <c r="N1900" s="74"/>
      <c r="O1900" s="75"/>
      <c r="P1900" s="75"/>
      <c r="U1900" s="72"/>
      <c r="V1900" s="73"/>
      <c r="W1900" s="70"/>
      <c r="X1900" s="74"/>
      <c r="Y1900" s="75"/>
      <c r="Z1900" s="75"/>
    </row>
    <row r="1901" spans="1:26" x14ac:dyDescent="0.3">
      <c r="A1901" s="72"/>
      <c r="B1901" s="73"/>
      <c r="C1901" s="70"/>
      <c r="D1901" s="74"/>
      <c r="E1901" s="75"/>
      <c r="F1901" s="75"/>
      <c r="K1901" s="72"/>
      <c r="L1901" s="73"/>
      <c r="M1901" s="70"/>
      <c r="N1901" s="74"/>
      <c r="O1901" s="75"/>
      <c r="P1901" s="75"/>
      <c r="U1901" s="72"/>
      <c r="V1901" s="73"/>
      <c r="W1901" s="70"/>
      <c r="X1901" s="74"/>
      <c r="Y1901" s="75"/>
      <c r="Z1901" s="75"/>
    </row>
    <row r="1902" spans="1:26" x14ac:dyDescent="0.3">
      <c r="A1902" s="72"/>
      <c r="B1902" s="73"/>
      <c r="C1902" s="70"/>
      <c r="D1902" s="74"/>
      <c r="E1902" s="75"/>
      <c r="F1902" s="75"/>
      <c r="K1902" s="72"/>
      <c r="L1902" s="73"/>
      <c r="M1902" s="70"/>
      <c r="N1902" s="74"/>
      <c r="O1902" s="75"/>
      <c r="P1902" s="75"/>
      <c r="U1902" s="72"/>
      <c r="V1902" s="73"/>
      <c r="W1902" s="70"/>
      <c r="X1902" s="74"/>
      <c r="Y1902" s="75"/>
      <c r="Z1902" s="75"/>
    </row>
    <row r="1903" spans="1:26" x14ac:dyDescent="0.3">
      <c r="A1903" s="72"/>
      <c r="B1903" s="73"/>
      <c r="C1903" s="70"/>
      <c r="D1903" s="74"/>
      <c r="E1903" s="75"/>
      <c r="F1903" s="75"/>
      <c r="K1903" s="72"/>
      <c r="L1903" s="73"/>
      <c r="M1903" s="70"/>
      <c r="N1903" s="74"/>
      <c r="O1903" s="75"/>
      <c r="P1903" s="75"/>
      <c r="U1903" s="72"/>
      <c r="V1903" s="73"/>
      <c r="W1903" s="70"/>
      <c r="X1903" s="74"/>
      <c r="Y1903" s="75"/>
      <c r="Z1903" s="75"/>
    </row>
    <row r="1904" spans="1:26" x14ac:dyDescent="0.3">
      <c r="A1904" s="72"/>
      <c r="B1904" s="73"/>
      <c r="C1904" s="70"/>
      <c r="D1904" s="74"/>
      <c r="E1904" s="75"/>
      <c r="F1904" s="75"/>
      <c r="K1904" s="72"/>
      <c r="L1904" s="73"/>
      <c r="M1904" s="70"/>
      <c r="N1904" s="74"/>
      <c r="O1904" s="75"/>
      <c r="P1904" s="75"/>
      <c r="U1904" s="72"/>
      <c r="V1904" s="73"/>
      <c r="W1904" s="70"/>
      <c r="X1904" s="74"/>
      <c r="Y1904" s="75"/>
      <c r="Z1904" s="75"/>
    </row>
    <row r="1905" spans="1:26" x14ac:dyDescent="0.3">
      <c r="A1905" s="72"/>
      <c r="B1905" s="73"/>
      <c r="C1905" s="70"/>
      <c r="D1905" s="74"/>
      <c r="E1905" s="75"/>
      <c r="F1905" s="75"/>
      <c r="K1905" s="72"/>
      <c r="L1905" s="73"/>
      <c r="M1905" s="70"/>
      <c r="N1905" s="74"/>
      <c r="O1905" s="75"/>
      <c r="P1905" s="75"/>
      <c r="U1905" s="72"/>
      <c r="V1905" s="73"/>
      <c r="W1905" s="70"/>
      <c r="X1905" s="74"/>
      <c r="Y1905" s="75"/>
      <c r="Z1905" s="75"/>
    </row>
    <row r="1906" spans="1:26" x14ac:dyDescent="0.3">
      <c r="A1906" s="72"/>
      <c r="B1906" s="73"/>
      <c r="C1906" s="70"/>
      <c r="D1906" s="74"/>
      <c r="E1906" s="75"/>
      <c r="F1906" s="75"/>
      <c r="K1906" s="72"/>
      <c r="L1906" s="73"/>
      <c r="M1906" s="70"/>
      <c r="N1906" s="74"/>
      <c r="O1906" s="75"/>
      <c r="P1906" s="75"/>
      <c r="U1906" s="72"/>
      <c r="V1906" s="73"/>
      <c r="W1906" s="70"/>
      <c r="X1906" s="74"/>
      <c r="Y1906" s="75"/>
      <c r="Z1906" s="75"/>
    </row>
    <row r="1907" spans="1:26" x14ac:dyDescent="0.3">
      <c r="A1907" s="72"/>
      <c r="B1907" s="73"/>
      <c r="C1907" s="70"/>
      <c r="D1907" s="74"/>
      <c r="E1907" s="75"/>
      <c r="F1907" s="75"/>
      <c r="K1907" s="72"/>
      <c r="L1907" s="73"/>
      <c r="M1907" s="70"/>
      <c r="N1907" s="74"/>
      <c r="O1907" s="75"/>
      <c r="P1907" s="75"/>
      <c r="U1907" s="72"/>
      <c r="V1907" s="73"/>
      <c r="W1907" s="70"/>
      <c r="X1907" s="74"/>
      <c r="Y1907" s="75"/>
      <c r="Z1907" s="75"/>
    </row>
    <row r="1908" spans="1:26" x14ac:dyDescent="0.3">
      <c r="A1908" s="72"/>
      <c r="B1908" s="73"/>
      <c r="C1908" s="70"/>
      <c r="D1908" s="74"/>
      <c r="E1908" s="75"/>
      <c r="F1908" s="75"/>
      <c r="K1908" s="72"/>
      <c r="L1908" s="73"/>
      <c r="M1908" s="70"/>
      <c r="N1908" s="74"/>
      <c r="O1908" s="75"/>
      <c r="P1908" s="75"/>
      <c r="U1908" s="72"/>
      <c r="V1908" s="73"/>
      <c r="W1908" s="70"/>
      <c r="X1908" s="74"/>
      <c r="Y1908" s="75"/>
      <c r="Z1908" s="75"/>
    </row>
    <row r="1909" spans="1:26" x14ac:dyDescent="0.3">
      <c r="A1909" s="72"/>
      <c r="B1909" s="73"/>
      <c r="C1909" s="70"/>
      <c r="D1909" s="74"/>
      <c r="E1909" s="75"/>
      <c r="F1909" s="75"/>
      <c r="K1909" s="72"/>
      <c r="L1909" s="73"/>
      <c r="M1909" s="70"/>
      <c r="N1909" s="74"/>
      <c r="O1909" s="75"/>
      <c r="P1909" s="75"/>
      <c r="U1909" s="72"/>
      <c r="V1909" s="73"/>
      <c r="W1909" s="70"/>
      <c r="X1909" s="74"/>
      <c r="Y1909" s="75"/>
      <c r="Z1909" s="75"/>
    </row>
    <row r="1910" spans="1:26" x14ac:dyDescent="0.3">
      <c r="A1910" s="72"/>
      <c r="B1910" s="73"/>
      <c r="C1910" s="70"/>
      <c r="D1910" s="74"/>
      <c r="E1910" s="75"/>
      <c r="F1910" s="75"/>
      <c r="K1910" s="72"/>
      <c r="L1910" s="73"/>
      <c r="M1910" s="70"/>
      <c r="N1910" s="74"/>
      <c r="O1910" s="75"/>
      <c r="P1910" s="75"/>
      <c r="U1910" s="72"/>
      <c r="V1910" s="73"/>
      <c r="W1910" s="70"/>
      <c r="X1910" s="74"/>
      <c r="Y1910" s="75"/>
      <c r="Z1910" s="75"/>
    </row>
    <row r="1911" spans="1:26" x14ac:dyDescent="0.3">
      <c r="A1911" s="72"/>
      <c r="B1911" s="73"/>
      <c r="C1911" s="70"/>
      <c r="D1911" s="74"/>
      <c r="E1911" s="75"/>
      <c r="F1911" s="75"/>
      <c r="K1911" s="72"/>
      <c r="L1911" s="73"/>
      <c r="M1911" s="70"/>
      <c r="N1911" s="74"/>
      <c r="O1911" s="75"/>
      <c r="P1911" s="75"/>
      <c r="U1911" s="72"/>
      <c r="V1911" s="73"/>
      <c r="W1911" s="70"/>
      <c r="X1911" s="74"/>
      <c r="Y1911" s="75"/>
      <c r="Z1911" s="75"/>
    </row>
    <row r="1912" spans="1:26" x14ac:dyDescent="0.3">
      <c r="A1912" s="72"/>
      <c r="B1912" s="73"/>
      <c r="C1912" s="70"/>
      <c r="D1912" s="74"/>
      <c r="E1912" s="75"/>
      <c r="F1912" s="75"/>
      <c r="K1912" s="72"/>
      <c r="L1912" s="73"/>
      <c r="M1912" s="70"/>
      <c r="N1912" s="74"/>
      <c r="O1912" s="75"/>
      <c r="P1912" s="75"/>
      <c r="U1912" s="72"/>
      <c r="V1912" s="73"/>
      <c r="W1912" s="70"/>
      <c r="X1912" s="74"/>
      <c r="Y1912" s="75"/>
      <c r="Z1912" s="75"/>
    </row>
    <row r="1913" spans="1:26" x14ac:dyDescent="0.3">
      <c r="A1913" s="72"/>
      <c r="B1913" s="73"/>
      <c r="C1913" s="70"/>
      <c r="D1913" s="74"/>
      <c r="E1913" s="75"/>
      <c r="F1913" s="75"/>
      <c r="K1913" s="72"/>
      <c r="L1913" s="73"/>
      <c r="M1913" s="70"/>
      <c r="N1913" s="74"/>
      <c r="O1913" s="75"/>
      <c r="P1913" s="75"/>
      <c r="U1913" s="72"/>
      <c r="V1913" s="73"/>
      <c r="W1913" s="70"/>
      <c r="X1913" s="74"/>
      <c r="Y1913" s="75"/>
      <c r="Z1913" s="75"/>
    </row>
    <row r="1914" spans="1:26" x14ac:dyDescent="0.3">
      <c r="A1914" s="72"/>
      <c r="B1914" s="73"/>
      <c r="C1914" s="70"/>
      <c r="D1914" s="74"/>
      <c r="E1914" s="75"/>
      <c r="F1914" s="75"/>
      <c r="K1914" s="72"/>
      <c r="L1914" s="73"/>
      <c r="M1914" s="70"/>
      <c r="N1914" s="74"/>
      <c r="O1914" s="75"/>
      <c r="P1914" s="75"/>
      <c r="U1914" s="72"/>
      <c r="V1914" s="73"/>
      <c r="W1914" s="70"/>
      <c r="X1914" s="74"/>
      <c r="Y1914" s="75"/>
      <c r="Z1914" s="75"/>
    </row>
    <row r="1915" spans="1:26" x14ac:dyDescent="0.3">
      <c r="A1915" s="72"/>
      <c r="B1915" s="73"/>
      <c r="C1915" s="70"/>
      <c r="D1915" s="74"/>
      <c r="E1915" s="75"/>
      <c r="F1915" s="75"/>
      <c r="K1915" s="72"/>
      <c r="L1915" s="73"/>
      <c r="M1915" s="70"/>
      <c r="N1915" s="74"/>
      <c r="O1915" s="75"/>
      <c r="P1915" s="75"/>
      <c r="U1915" s="72"/>
      <c r="V1915" s="73"/>
      <c r="W1915" s="70"/>
      <c r="X1915" s="74"/>
      <c r="Y1915" s="75"/>
      <c r="Z1915" s="75"/>
    </row>
    <row r="1916" spans="1:26" x14ac:dyDescent="0.3">
      <c r="A1916" s="72"/>
      <c r="B1916" s="73"/>
      <c r="C1916" s="70"/>
      <c r="D1916" s="74"/>
      <c r="E1916" s="75"/>
      <c r="F1916" s="75"/>
      <c r="K1916" s="72"/>
      <c r="L1916" s="73"/>
      <c r="M1916" s="70"/>
      <c r="N1916" s="74"/>
      <c r="O1916" s="75"/>
      <c r="P1916" s="75"/>
      <c r="U1916" s="72"/>
      <c r="V1916" s="73"/>
      <c r="W1916" s="70"/>
      <c r="X1916" s="74"/>
      <c r="Y1916" s="75"/>
      <c r="Z1916" s="75"/>
    </row>
    <row r="1917" spans="1:26" x14ac:dyDescent="0.3">
      <c r="A1917" s="72"/>
      <c r="B1917" s="73"/>
      <c r="C1917" s="70"/>
      <c r="D1917" s="74"/>
      <c r="E1917" s="75"/>
      <c r="F1917" s="75"/>
      <c r="K1917" s="72"/>
      <c r="L1917" s="73"/>
      <c r="M1917" s="70"/>
      <c r="N1917" s="74"/>
      <c r="O1917" s="75"/>
      <c r="P1917" s="75"/>
      <c r="U1917" s="72"/>
      <c r="V1917" s="73"/>
      <c r="W1917" s="70"/>
      <c r="X1917" s="74"/>
      <c r="Y1917" s="75"/>
      <c r="Z1917" s="75"/>
    </row>
    <row r="1918" spans="1:26" x14ac:dyDescent="0.3">
      <c r="A1918" s="72"/>
      <c r="B1918" s="73"/>
      <c r="C1918" s="70"/>
      <c r="D1918" s="74"/>
      <c r="E1918" s="75"/>
      <c r="F1918" s="75"/>
      <c r="K1918" s="72"/>
      <c r="L1918" s="73"/>
      <c r="M1918" s="70"/>
      <c r="N1918" s="74"/>
      <c r="O1918" s="75"/>
      <c r="P1918" s="75"/>
      <c r="U1918" s="72"/>
      <c r="V1918" s="73"/>
      <c r="W1918" s="70"/>
      <c r="X1918" s="74"/>
      <c r="Y1918" s="75"/>
      <c r="Z1918" s="75"/>
    </row>
    <row r="1919" spans="1:26" x14ac:dyDescent="0.3">
      <c r="A1919" s="72"/>
      <c r="B1919" s="73"/>
      <c r="C1919" s="70"/>
      <c r="D1919" s="74"/>
      <c r="E1919" s="75"/>
      <c r="F1919" s="75"/>
      <c r="K1919" s="72"/>
      <c r="L1919" s="73"/>
      <c r="M1919" s="70"/>
      <c r="N1919" s="74"/>
      <c r="O1919" s="75"/>
      <c r="P1919" s="75"/>
      <c r="U1919" s="72"/>
      <c r="V1919" s="73"/>
      <c r="W1919" s="70"/>
      <c r="X1919" s="74"/>
      <c r="Y1919" s="75"/>
      <c r="Z1919" s="75"/>
    </row>
    <row r="1920" spans="1:26" x14ac:dyDescent="0.3">
      <c r="A1920" s="72"/>
      <c r="B1920" s="73"/>
      <c r="C1920" s="70"/>
      <c r="D1920" s="74"/>
      <c r="E1920" s="75"/>
      <c r="F1920" s="75"/>
      <c r="K1920" s="72"/>
      <c r="L1920" s="73"/>
      <c r="M1920" s="70"/>
      <c r="N1920" s="74"/>
      <c r="O1920" s="75"/>
      <c r="P1920" s="75"/>
      <c r="U1920" s="72"/>
      <c r="V1920" s="73"/>
      <c r="W1920" s="70"/>
      <c r="X1920" s="74"/>
      <c r="Y1920" s="75"/>
      <c r="Z1920" s="75"/>
    </row>
    <row r="1921" spans="1:26" x14ac:dyDescent="0.3">
      <c r="A1921" s="72"/>
      <c r="B1921" s="73"/>
      <c r="C1921" s="70"/>
      <c r="D1921" s="74"/>
      <c r="E1921" s="75"/>
      <c r="F1921" s="75"/>
      <c r="K1921" s="72"/>
      <c r="L1921" s="73"/>
      <c r="M1921" s="70"/>
      <c r="N1921" s="74"/>
      <c r="O1921" s="75"/>
      <c r="P1921" s="75"/>
      <c r="U1921" s="72"/>
      <c r="V1921" s="73"/>
      <c r="W1921" s="70"/>
      <c r="X1921" s="74"/>
      <c r="Y1921" s="75"/>
      <c r="Z1921" s="75"/>
    </row>
    <row r="1922" spans="1:26" x14ac:dyDescent="0.3">
      <c r="A1922" s="72"/>
      <c r="B1922" s="73"/>
      <c r="C1922" s="70"/>
      <c r="D1922" s="74"/>
      <c r="E1922" s="75"/>
      <c r="F1922" s="75"/>
      <c r="K1922" s="72"/>
      <c r="L1922" s="73"/>
      <c r="M1922" s="70"/>
      <c r="N1922" s="74"/>
      <c r="O1922" s="75"/>
      <c r="P1922" s="75"/>
      <c r="U1922" s="72"/>
      <c r="V1922" s="73"/>
      <c r="W1922" s="70"/>
      <c r="X1922" s="74"/>
      <c r="Y1922" s="75"/>
      <c r="Z1922" s="75"/>
    </row>
    <row r="1923" spans="1:26" x14ac:dyDescent="0.3">
      <c r="A1923" s="72"/>
      <c r="B1923" s="73"/>
      <c r="C1923" s="70"/>
      <c r="D1923" s="74"/>
      <c r="E1923" s="75"/>
      <c r="F1923" s="75"/>
      <c r="K1923" s="72"/>
      <c r="L1923" s="73"/>
      <c r="M1923" s="70"/>
      <c r="N1923" s="74"/>
      <c r="O1923" s="75"/>
      <c r="P1923" s="75"/>
      <c r="U1923" s="72"/>
      <c r="V1923" s="73"/>
      <c r="W1923" s="70"/>
      <c r="X1923" s="74"/>
      <c r="Y1923" s="75"/>
      <c r="Z1923" s="75"/>
    </row>
    <row r="1924" spans="1:26" x14ac:dyDescent="0.3">
      <c r="A1924" s="72"/>
      <c r="B1924" s="73"/>
      <c r="C1924" s="70"/>
      <c r="D1924" s="74"/>
      <c r="E1924" s="75"/>
      <c r="F1924" s="75"/>
      <c r="K1924" s="72"/>
      <c r="L1924" s="73"/>
      <c r="M1924" s="70"/>
      <c r="N1924" s="74"/>
      <c r="O1924" s="75"/>
      <c r="P1924" s="75"/>
      <c r="U1924" s="72"/>
      <c r="V1924" s="73"/>
      <c r="W1924" s="70"/>
      <c r="X1924" s="74"/>
      <c r="Y1924" s="75"/>
      <c r="Z1924" s="75"/>
    </row>
    <row r="1925" spans="1:26" x14ac:dyDescent="0.3">
      <c r="A1925" s="72"/>
      <c r="B1925" s="73"/>
      <c r="C1925" s="70"/>
      <c r="D1925" s="74"/>
      <c r="E1925" s="75"/>
      <c r="F1925" s="75"/>
      <c r="K1925" s="72"/>
      <c r="L1925" s="73"/>
      <c r="M1925" s="70"/>
      <c r="N1925" s="74"/>
      <c r="O1925" s="75"/>
      <c r="P1925" s="75"/>
      <c r="U1925" s="72"/>
      <c r="V1925" s="73"/>
      <c r="W1925" s="70"/>
      <c r="X1925" s="74"/>
      <c r="Y1925" s="75"/>
      <c r="Z1925" s="75"/>
    </row>
    <row r="1926" spans="1:26" x14ac:dyDescent="0.3">
      <c r="A1926" s="72"/>
      <c r="B1926" s="73"/>
      <c r="C1926" s="70"/>
      <c r="D1926" s="74"/>
      <c r="E1926" s="75"/>
      <c r="F1926" s="75"/>
      <c r="K1926" s="72"/>
      <c r="L1926" s="73"/>
      <c r="M1926" s="70"/>
      <c r="N1926" s="74"/>
      <c r="O1926" s="75"/>
      <c r="P1926" s="75"/>
      <c r="U1926" s="72"/>
      <c r="V1926" s="73"/>
      <c r="W1926" s="70"/>
      <c r="X1926" s="74"/>
      <c r="Y1926" s="75"/>
      <c r="Z1926" s="75"/>
    </row>
    <row r="1927" spans="1:26" x14ac:dyDescent="0.3">
      <c r="A1927" s="72"/>
      <c r="B1927" s="73"/>
      <c r="C1927" s="70"/>
      <c r="D1927" s="74"/>
      <c r="E1927" s="75"/>
      <c r="F1927" s="75"/>
      <c r="K1927" s="72"/>
      <c r="L1927" s="73"/>
      <c r="M1927" s="70"/>
      <c r="N1927" s="74"/>
      <c r="O1927" s="75"/>
      <c r="P1927" s="75"/>
      <c r="U1927" s="72"/>
      <c r="V1927" s="73"/>
      <c r="W1927" s="70"/>
      <c r="X1927" s="74"/>
      <c r="Y1927" s="75"/>
      <c r="Z1927" s="75"/>
    </row>
    <row r="1928" spans="1:26" x14ac:dyDescent="0.3">
      <c r="A1928" s="72"/>
      <c r="B1928" s="73"/>
      <c r="C1928" s="70"/>
      <c r="D1928" s="74"/>
      <c r="E1928" s="75"/>
      <c r="F1928" s="75"/>
      <c r="K1928" s="72"/>
      <c r="L1928" s="73"/>
      <c r="M1928" s="70"/>
      <c r="N1928" s="74"/>
      <c r="O1928" s="75"/>
      <c r="P1928" s="75"/>
      <c r="U1928" s="72"/>
      <c r="V1928" s="73"/>
      <c r="W1928" s="70"/>
      <c r="X1928" s="74"/>
      <c r="Y1928" s="75"/>
      <c r="Z1928" s="75"/>
    </row>
    <row r="1929" spans="1:26" x14ac:dyDescent="0.3">
      <c r="A1929" s="72"/>
      <c r="B1929" s="73"/>
      <c r="C1929" s="70"/>
      <c r="D1929" s="74"/>
      <c r="E1929" s="75"/>
      <c r="F1929" s="75"/>
      <c r="K1929" s="72"/>
      <c r="L1929" s="73"/>
      <c r="M1929" s="70"/>
      <c r="N1929" s="74"/>
      <c r="O1929" s="75"/>
      <c r="P1929" s="75"/>
      <c r="U1929" s="72"/>
      <c r="V1929" s="73"/>
      <c r="W1929" s="70"/>
      <c r="X1929" s="74"/>
      <c r="Y1929" s="75"/>
      <c r="Z1929" s="75"/>
    </row>
    <row r="1930" spans="1:26" x14ac:dyDescent="0.3">
      <c r="A1930" s="72"/>
      <c r="B1930" s="73"/>
      <c r="C1930" s="70"/>
      <c r="D1930" s="74"/>
      <c r="E1930" s="75"/>
      <c r="F1930" s="75"/>
      <c r="K1930" s="72"/>
      <c r="L1930" s="73"/>
      <c r="M1930" s="70"/>
      <c r="N1930" s="74"/>
      <c r="O1930" s="75"/>
      <c r="P1930" s="75"/>
      <c r="U1930" s="72"/>
      <c r="V1930" s="73"/>
      <c r="W1930" s="70"/>
      <c r="X1930" s="74"/>
      <c r="Y1930" s="75"/>
      <c r="Z1930" s="75"/>
    </row>
    <row r="1931" spans="1:26" x14ac:dyDescent="0.3">
      <c r="A1931" s="72"/>
      <c r="B1931" s="73"/>
      <c r="C1931" s="70"/>
      <c r="D1931" s="74"/>
      <c r="E1931" s="75"/>
      <c r="F1931" s="75"/>
      <c r="K1931" s="72"/>
      <c r="L1931" s="73"/>
      <c r="M1931" s="70"/>
      <c r="N1931" s="74"/>
      <c r="O1931" s="75"/>
      <c r="P1931" s="75"/>
      <c r="U1931" s="72"/>
      <c r="V1931" s="73"/>
      <c r="W1931" s="70"/>
      <c r="X1931" s="74"/>
      <c r="Y1931" s="75"/>
      <c r="Z1931" s="75"/>
    </row>
    <row r="1932" spans="1:26" x14ac:dyDescent="0.3">
      <c r="A1932" s="72"/>
      <c r="B1932" s="73"/>
      <c r="C1932" s="70"/>
      <c r="D1932" s="74"/>
      <c r="E1932" s="75"/>
      <c r="F1932" s="75"/>
      <c r="K1932" s="72"/>
      <c r="L1932" s="73"/>
      <c r="M1932" s="70"/>
      <c r="N1932" s="74"/>
      <c r="O1932" s="75"/>
      <c r="P1932" s="75"/>
      <c r="U1932" s="72"/>
      <c r="V1932" s="73"/>
      <c r="W1932" s="70"/>
      <c r="X1932" s="74"/>
      <c r="Y1932" s="75"/>
      <c r="Z1932" s="75"/>
    </row>
    <row r="1933" spans="1:26" x14ac:dyDescent="0.3">
      <c r="A1933" s="72"/>
      <c r="B1933" s="73"/>
      <c r="C1933" s="70"/>
      <c r="D1933" s="74"/>
      <c r="E1933" s="75"/>
      <c r="F1933" s="75"/>
      <c r="K1933" s="72"/>
      <c r="L1933" s="73"/>
      <c r="M1933" s="70"/>
      <c r="N1933" s="74"/>
      <c r="O1933" s="75"/>
      <c r="P1933" s="75"/>
      <c r="U1933" s="72"/>
      <c r="V1933" s="73"/>
      <c r="W1933" s="70"/>
      <c r="X1933" s="74"/>
      <c r="Y1933" s="75"/>
      <c r="Z1933" s="75"/>
    </row>
    <row r="1934" spans="1:26" x14ac:dyDescent="0.3">
      <c r="A1934" s="72"/>
      <c r="B1934" s="73"/>
      <c r="C1934" s="70"/>
      <c r="D1934" s="74"/>
      <c r="E1934" s="75"/>
      <c r="F1934" s="75"/>
      <c r="K1934" s="72"/>
      <c r="L1934" s="73"/>
      <c r="M1934" s="70"/>
      <c r="N1934" s="74"/>
      <c r="O1934" s="75"/>
      <c r="P1934" s="75"/>
      <c r="U1934" s="72"/>
      <c r="V1934" s="73"/>
      <c r="W1934" s="70"/>
      <c r="X1934" s="74"/>
      <c r="Y1934" s="75"/>
      <c r="Z1934" s="75"/>
    </row>
    <row r="1935" spans="1:26" x14ac:dyDescent="0.3">
      <c r="A1935" s="72"/>
      <c r="B1935" s="73"/>
      <c r="C1935" s="70"/>
      <c r="D1935" s="74"/>
      <c r="E1935" s="75"/>
      <c r="F1935" s="75"/>
      <c r="K1935" s="72"/>
      <c r="L1935" s="73"/>
      <c r="M1935" s="70"/>
      <c r="N1935" s="74"/>
      <c r="O1935" s="75"/>
      <c r="P1935" s="75"/>
      <c r="U1935" s="72"/>
      <c r="V1935" s="73"/>
      <c r="W1935" s="70"/>
      <c r="X1935" s="74"/>
      <c r="Y1935" s="75"/>
      <c r="Z1935" s="75"/>
    </row>
    <row r="1936" spans="1:26" x14ac:dyDescent="0.3">
      <c r="A1936" s="72"/>
      <c r="B1936" s="73"/>
      <c r="C1936" s="70"/>
      <c r="D1936" s="74"/>
      <c r="E1936" s="75"/>
      <c r="F1936" s="75"/>
      <c r="K1936" s="72"/>
      <c r="L1936" s="73"/>
      <c r="M1936" s="70"/>
      <c r="N1936" s="74"/>
      <c r="O1936" s="75"/>
      <c r="P1936" s="75"/>
      <c r="U1936" s="72"/>
      <c r="V1936" s="73"/>
      <c r="W1936" s="70"/>
      <c r="X1936" s="74"/>
      <c r="Y1936" s="75"/>
      <c r="Z1936" s="75"/>
    </row>
    <row r="1937" spans="1:26" x14ac:dyDescent="0.3">
      <c r="A1937" s="72"/>
      <c r="B1937" s="73"/>
      <c r="C1937" s="70"/>
      <c r="D1937" s="74"/>
      <c r="E1937" s="75"/>
      <c r="F1937" s="75"/>
      <c r="K1937" s="72"/>
      <c r="L1937" s="73"/>
      <c r="M1937" s="70"/>
      <c r="N1937" s="74"/>
      <c r="O1937" s="75"/>
      <c r="P1937" s="75"/>
      <c r="U1937" s="72"/>
      <c r="V1937" s="73"/>
      <c r="W1937" s="70"/>
      <c r="X1937" s="74"/>
      <c r="Y1937" s="75"/>
      <c r="Z1937" s="75"/>
    </row>
    <row r="1938" spans="1:26" x14ac:dyDescent="0.3">
      <c r="A1938" s="72"/>
      <c r="B1938" s="73"/>
      <c r="C1938" s="70"/>
      <c r="D1938" s="74"/>
      <c r="E1938" s="75"/>
      <c r="F1938" s="75"/>
      <c r="K1938" s="72"/>
      <c r="L1938" s="73"/>
      <c r="M1938" s="70"/>
      <c r="N1938" s="74"/>
      <c r="O1938" s="75"/>
      <c r="P1938" s="75"/>
      <c r="U1938" s="72"/>
      <c r="V1938" s="73"/>
      <c r="W1938" s="70"/>
      <c r="X1938" s="74"/>
      <c r="Y1938" s="75"/>
      <c r="Z1938" s="75"/>
    </row>
    <row r="1939" spans="1:26" x14ac:dyDescent="0.3">
      <c r="A1939" s="72"/>
      <c r="B1939" s="73"/>
      <c r="C1939" s="70"/>
      <c r="D1939" s="74"/>
      <c r="E1939" s="75"/>
      <c r="F1939" s="75"/>
      <c r="K1939" s="72"/>
      <c r="L1939" s="73"/>
      <c r="M1939" s="70"/>
      <c r="N1939" s="74"/>
      <c r="O1939" s="75"/>
      <c r="P1939" s="75"/>
      <c r="U1939" s="72"/>
      <c r="V1939" s="73"/>
      <c r="W1939" s="70"/>
      <c r="X1939" s="74"/>
      <c r="Y1939" s="75"/>
      <c r="Z1939" s="75"/>
    </row>
    <row r="1940" spans="1:26" x14ac:dyDescent="0.3">
      <c r="A1940" s="72"/>
      <c r="B1940" s="73"/>
      <c r="C1940" s="70"/>
      <c r="D1940" s="74"/>
      <c r="E1940" s="75"/>
      <c r="F1940" s="75"/>
      <c r="K1940" s="72"/>
      <c r="L1940" s="73"/>
      <c r="M1940" s="70"/>
      <c r="N1940" s="74"/>
      <c r="O1940" s="75"/>
      <c r="P1940" s="75"/>
      <c r="U1940" s="72"/>
      <c r="V1940" s="73"/>
      <c r="W1940" s="70"/>
      <c r="X1940" s="74"/>
      <c r="Y1940" s="75"/>
      <c r="Z1940" s="75"/>
    </row>
    <row r="1941" spans="1:26" x14ac:dyDescent="0.3">
      <c r="A1941" s="72"/>
      <c r="B1941" s="73"/>
      <c r="C1941" s="70"/>
      <c r="D1941" s="74"/>
      <c r="E1941" s="75"/>
      <c r="F1941" s="75"/>
      <c r="K1941" s="72"/>
      <c r="L1941" s="73"/>
      <c r="M1941" s="70"/>
      <c r="N1941" s="74"/>
      <c r="O1941" s="75"/>
      <c r="P1941" s="75"/>
      <c r="U1941" s="72"/>
      <c r="V1941" s="73"/>
      <c r="W1941" s="70"/>
      <c r="X1941" s="74"/>
      <c r="Y1941" s="75"/>
      <c r="Z1941" s="75"/>
    </row>
    <row r="1942" spans="1:26" x14ac:dyDescent="0.3">
      <c r="A1942" s="72"/>
      <c r="B1942" s="73"/>
      <c r="C1942" s="70"/>
      <c r="D1942" s="74"/>
      <c r="E1942" s="75"/>
      <c r="F1942" s="75"/>
      <c r="K1942" s="72"/>
      <c r="L1942" s="73"/>
      <c r="M1942" s="70"/>
      <c r="N1942" s="74"/>
      <c r="O1942" s="75"/>
      <c r="P1942" s="75"/>
      <c r="U1942" s="72"/>
      <c r="V1942" s="73"/>
      <c r="W1942" s="70"/>
      <c r="X1942" s="74"/>
      <c r="Y1942" s="75"/>
      <c r="Z1942" s="75"/>
    </row>
    <row r="1943" spans="1:26" x14ac:dyDescent="0.3">
      <c r="A1943" s="72"/>
      <c r="B1943" s="73"/>
      <c r="C1943" s="70"/>
      <c r="D1943" s="74"/>
      <c r="E1943" s="75"/>
      <c r="F1943" s="75"/>
      <c r="K1943" s="72"/>
      <c r="L1943" s="73"/>
      <c r="M1943" s="70"/>
      <c r="N1943" s="74"/>
      <c r="O1943" s="75"/>
      <c r="P1943" s="75"/>
      <c r="U1943" s="72"/>
      <c r="V1943" s="73"/>
      <c r="W1943" s="70"/>
      <c r="X1943" s="74"/>
      <c r="Y1943" s="75"/>
      <c r="Z1943" s="75"/>
    </row>
    <row r="1944" spans="1:26" x14ac:dyDescent="0.3">
      <c r="A1944" s="72"/>
      <c r="B1944" s="73"/>
      <c r="C1944" s="70"/>
      <c r="D1944" s="74"/>
      <c r="E1944" s="75"/>
      <c r="F1944" s="75"/>
      <c r="K1944" s="72"/>
      <c r="L1944" s="73"/>
      <c r="M1944" s="70"/>
      <c r="N1944" s="74"/>
      <c r="O1944" s="75"/>
      <c r="P1944" s="75"/>
      <c r="U1944" s="72"/>
      <c r="V1944" s="73"/>
      <c r="W1944" s="70"/>
      <c r="X1944" s="74"/>
      <c r="Y1944" s="75"/>
      <c r="Z1944" s="75"/>
    </row>
    <row r="1945" spans="1:26" x14ac:dyDescent="0.3">
      <c r="A1945" s="72"/>
      <c r="B1945" s="73"/>
      <c r="C1945" s="70"/>
      <c r="D1945" s="74"/>
      <c r="E1945" s="75"/>
      <c r="F1945" s="75"/>
      <c r="K1945" s="72"/>
      <c r="L1945" s="73"/>
      <c r="M1945" s="70"/>
      <c r="N1945" s="74"/>
      <c r="O1945" s="75"/>
      <c r="P1945" s="75"/>
      <c r="U1945" s="72"/>
      <c r="V1945" s="73"/>
      <c r="W1945" s="70"/>
      <c r="X1945" s="74"/>
      <c r="Y1945" s="75"/>
      <c r="Z1945" s="75"/>
    </row>
    <row r="1946" spans="1:26" x14ac:dyDescent="0.3">
      <c r="A1946" s="72"/>
      <c r="B1946" s="73"/>
      <c r="C1946" s="70"/>
      <c r="D1946" s="74"/>
      <c r="E1946" s="75"/>
      <c r="F1946" s="75"/>
      <c r="K1946" s="72"/>
      <c r="L1946" s="73"/>
      <c r="M1946" s="70"/>
      <c r="N1946" s="74"/>
      <c r="O1946" s="75"/>
      <c r="P1946" s="75"/>
      <c r="U1946" s="72"/>
      <c r="V1946" s="73"/>
      <c r="W1946" s="70"/>
      <c r="X1946" s="74"/>
      <c r="Y1946" s="75"/>
      <c r="Z1946" s="75"/>
    </row>
    <row r="1947" spans="1:26" x14ac:dyDescent="0.3">
      <c r="A1947" s="72"/>
      <c r="B1947" s="73"/>
      <c r="C1947" s="70"/>
      <c r="D1947" s="74"/>
      <c r="E1947" s="75"/>
      <c r="F1947" s="75"/>
      <c r="K1947" s="72"/>
      <c r="L1947" s="73"/>
      <c r="M1947" s="70"/>
      <c r="N1947" s="74"/>
      <c r="O1947" s="75"/>
      <c r="P1947" s="75"/>
      <c r="U1947" s="72"/>
      <c r="V1947" s="73"/>
      <c r="W1947" s="70"/>
      <c r="X1947" s="74"/>
      <c r="Y1947" s="75"/>
      <c r="Z1947" s="75"/>
    </row>
    <row r="1948" spans="1:26" x14ac:dyDescent="0.3">
      <c r="A1948" s="72"/>
      <c r="B1948" s="73"/>
      <c r="C1948" s="70"/>
      <c r="D1948" s="74"/>
      <c r="E1948" s="75"/>
      <c r="F1948" s="75"/>
      <c r="K1948" s="72"/>
      <c r="L1948" s="73"/>
      <c r="M1948" s="70"/>
      <c r="N1948" s="74"/>
      <c r="O1948" s="75"/>
      <c r="P1948" s="75"/>
      <c r="U1948" s="72"/>
      <c r="V1948" s="73"/>
      <c r="W1948" s="70"/>
      <c r="X1948" s="74"/>
      <c r="Y1948" s="75"/>
      <c r="Z1948" s="75"/>
    </row>
    <row r="1949" spans="1:26" x14ac:dyDescent="0.3">
      <c r="A1949" s="72"/>
      <c r="B1949" s="73"/>
      <c r="C1949" s="70"/>
      <c r="D1949" s="74"/>
      <c r="E1949" s="75"/>
      <c r="F1949" s="75"/>
      <c r="K1949" s="72"/>
      <c r="L1949" s="73"/>
      <c r="M1949" s="70"/>
      <c r="N1949" s="74"/>
      <c r="O1949" s="75"/>
      <c r="P1949" s="75"/>
      <c r="U1949" s="72"/>
      <c r="V1949" s="73"/>
      <c r="W1949" s="70"/>
      <c r="X1949" s="74"/>
      <c r="Y1949" s="75"/>
      <c r="Z1949" s="75"/>
    </row>
    <row r="1950" spans="1:26" x14ac:dyDescent="0.3">
      <c r="A1950" s="72"/>
      <c r="B1950" s="73"/>
      <c r="C1950" s="70"/>
      <c r="D1950" s="74"/>
      <c r="E1950" s="75"/>
      <c r="F1950" s="75"/>
      <c r="K1950" s="72"/>
      <c r="L1950" s="73"/>
      <c r="M1950" s="70"/>
      <c r="N1950" s="74"/>
      <c r="O1950" s="75"/>
      <c r="P1950" s="75"/>
      <c r="U1950" s="72"/>
      <c r="V1950" s="73"/>
      <c r="W1950" s="70"/>
      <c r="X1950" s="74"/>
      <c r="Y1950" s="75"/>
      <c r="Z1950" s="75"/>
    </row>
    <row r="1951" spans="1:26" x14ac:dyDescent="0.3">
      <c r="A1951" s="72"/>
      <c r="B1951" s="73"/>
      <c r="C1951" s="70"/>
      <c r="D1951" s="74"/>
      <c r="E1951" s="75"/>
      <c r="F1951" s="75"/>
      <c r="K1951" s="72"/>
      <c r="L1951" s="73"/>
      <c r="M1951" s="70"/>
      <c r="N1951" s="74"/>
      <c r="O1951" s="75"/>
      <c r="P1951" s="75"/>
      <c r="U1951" s="72"/>
      <c r="V1951" s="73"/>
      <c r="W1951" s="70"/>
      <c r="X1951" s="74"/>
      <c r="Y1951" s="75"/>
      <c r="Z1951" s="75"/>
    </row>
    <row r="1952" spans="1:26" x14ac:dyDescent="0.3">
      <c r="A1952" s="72"/>
      <c r="B1952" s="73"/>
      <c r="C1952" s="70"/>
      <c r="D1952" s="74"/>
      <c r="E1952" s="75"/>
      <c r="F1952" s="75"/>
      <c r="K1952" s="72"/>
      <c r="L1952" s="73"/>
      <c r="M1952" s="70"/>
      <c r="N1952" s="74"/>
      <c r="O1952" s="75"/>
      <c r="P1952" s="75"/>
      <c r="U1952" s="72"/>
      <c r="V1952" s="73"/>
      <c r="W1952" s="70"/>
      <c r="X1952" s="74"/>
      <c r="Y1952" s="75"/>
      <c r="Z1952" s="75"/>
    </row>
    <row r="1953" spans="1:26" x14ac:dyDescent="0.3">
      <c r="A1953" s="72"/>
      <c r="B1953" s="73"/>
      <c r="C1953" s="70"/>
      <c r="D1953" s="74"/>
      <c r="E1953" s="75"/>
      <c r="F1953" s="75"/>
      <c r="K1953" s="72"/>
      <c r="L1953" s="73"/>
      <c r="M1953" s="70"/>
      <c r="N1953" s="74"/>
      <c r="O1953" s="75"/>
      <c r="P1953" s="75"/>
      <c r="U1953" s="72"/>
      <c r="V1953" s="73"/>
      <c r="W1953" s="70"/>
      <c r="X1953" s="74"/>
      <c r="Y1953" s="75"/>
      <c r="Z1953" s="75"/>
    </row>
    <row r="1954" spans="1:26" x14ac:dyDescent="0.3">
      <c r="A1954" s="72"/>
      <c r="B1954" s="73"/>
      <c r="C1954" s="70"/>
      <c r="D1954" s="74"/>
      <c r="E1954" s="75"/>
      <c r="F1954" s="75"/>
      <c r="K1954" s="72"/>
      <c r="L1954" s="73"/>
      <c r="M1954" s="70"/>
      <c r="N1954" s="74"/>
      <c r="O1954" s="75"/>
      <c r="P1954" s="75"/>
      <c r="U1954" s="72"/>
      <c r="V1954" s="73"/>
      <c r="W1954" s="70"/>
      <c r="X1954" s="74"/>
      <c r="Y1954" s="75"/>
      <c r="Z1954" s="75"/>
    </row>
    <row r="1955" spans="1:26" x14ac:dyDescent="0.3">
      <c r="A1955" s="72"/>
      <c r="B1955" s="73"/>
      <c r="C1955" s="70"/>
      <c r="D1955" s="74"/>
      <c r="E1955" s="75"/>
      <c r="F1955" s="75"/>
      <c r="K1955" s="72"/>
      <c r="L1955" s="73"/>
      <c r="M1955" s="70"/>
      <c r="N1955" s="74"/>
      <c r="O1955" s="75"/>
      <c r="P1955" s="75"/>
      <c r="U1955" s="72"/>
      <c r="V1955" s="73"/>
      <c r="W1955" s="70"/>
      <c r="X1955" s="74"/>
      <c r="Y1955" s="75"/>
      <c r="Z1955" s="75"/>
    </row>
    <row r="1956" spans="1:26" x14ac:dyDescent="0.3">
      <c r="A1956" s="72"/>
      <c r="B1956" s="73"/>
      <c r="C1956" s="70"/>
      <c r="D1956" s="74"/>
      <c r="E1956" s="75"/>
      <c r="F1956" s="75"/>
      <c r="K1956" s="72"/>
      <c r="L1956" s="73"/>
      <c r="M1956" s="70"/>
      <c r="N1956" s="74"/>
      <c r="O1956" s="75"/>
      <c r="P1956" s="75"/>
      <c r="U1956" s="72"/>
      <c r="V1956" s="73"/>
      <c r="W1956" s="70"/>
      <c r="X1956" s="74"/>
      <c r="Y1956" s="75"/>
      <c r="Z1956" s="75"/>
    </row>
    <row r="1957" spans="1:26" x14ac:dyDescent="0.3">
      <c r="A1957" s="72"/>
      <c r="B1957" s="73"/>
      <c r="C1957" s="70"/>
      <c r="D1957" s="74"/>
      <c r="E1957" s="75"/>
      <c r="F1957" s="75"/>
      <c r="K1957" s="72"/>
      <c r="L1957" s="73"/>
      <c r="M1957" s="70"/>
      <c r="N1957" s="74"/>
      <c r="O1957" s="75"/>
      <c r="P1957" s="75"/>
      <c r="U1957" s="72"/>
      <c r="V1957" s="73"/>
      <c r="W1957" s="70"/>
      <c r="X1957" s="74"/>
      <c r="Y1957" s="75"/>
      <c r="Z1957" s="75"/>
    </row>
    <row r="1958" spans="1:26" x14ac:dyDescent="0.3">
      <c r="A1958" s="72"/>
      <c r="B1958" s="73"/>
      <c r="C1958" s="70"/>
      <c r="D1958" s="74"/>
      <c r="E1958" s="75"/>
      <c r="F1958" s="75"/>
      <c r="K1958" s="72"/>
      <c r="L1958" s="73"/>
      <c r="M1958" s="70"/>
      <c r="N1958" s="74"/>
      <c r="O1958" s="75"/>
      <c r="P1958" s="75"/>
      <c r="U1958" s="72"/>
      <c r="V1958" s="73"/>
      <c r="W1958" s="70"/>
      <c r="X1958" s="74"/>
      <c r="Y1958" s="75"/>
      <c r="Z1958" s="75"/>
    </row>
    <row r="1959" spans="1:26" x14ac:dyDescent="0.3">
      <c r="A1959" s="72"/>
      <c r="B1959" s="73"/>
      <c r="C1959" s="70"/>
      <c r="D1959" s="74"/>
      <c r="E1959" s="75"/>
      <c r="F1959" s="75"/>
      <c r="K1959" s="72"/>
      <c r="L1959" s="73"/>
      <c r="M1959" s="70"/>
      <c r="N1959" s="74"/>
      <c r="O1959" s="75"/>
      <c r="P1959" s="75"/>
      <c r="U1959" s="72"/>
      <c r="V1959" s="73"/>
      <c r="W1959" s="70"/>
      <c r="X1959" s="74"/>
      <c r="Y1959" s="75"/>
      <c r="Z1959" s="75"/>
    </row>
    <row r="1960" spans="1:26" x14ac:dyDescent="0.3">
      <c r="A1960" s="72"/>
      <c r="B1960" s="73"/>
      <c r="C1960" s="70"/>
      <c r="D1960" s="74"/>
      <c r="E1960" s="75"/>
      <c r="F1960" s="75"/>
      <c r="K1960" s="72"/>
      <c r="L1960" s="73"/>
      <c r="M1960" s="70"/>
      <c r="N1960" s="74"/>
      <c r="O1960" s="75"/>
      <c r="P1960" s="75"/>
      <c r="U1960" s="72"/>
      <c r="V1960" s="73"/>
      <c r="W1960" s="70"/>
      <c r="X1960" s="74"/>
      <c r="Y1960" s="75"/>
      <c r="Z1960" s="75"/>
    </row>
    <row r="1961" spans="1:26" x14ac:dyDescent="0.3">
      <c r="A1961" s="72"/>
      <c r="B1961" s="73"/>
      <c r="C1961" s="70"/>
      <c r="D1961" s="74"/>
      <c r="E1961" s="75"/>
      <c r="F1961" s="75"/>
      <c r="K1961" s="72"/>
      <c r="L1961" s="73"/>
      <c r="M1961" s="70"/>
      <c r="N1961" s="74"/>
      <c r="O1961" s="75"/>
      <c r="P1961" s="75"/>
      <c r="U1961" s="72"/>
      <c r="V1961" s="73"/>
      <c r="W1961" s="70"/>
      <c r="X1961" s="74"/>
      <c r="Y1961" s="75"/>
      <c r="Z1961" s="75"/>
    </row>
    <row r="1962" spans="1:26" x14ac:dyDescent="0.3">
      <c r="A1962" s="72"/>
      <c r="B1962" s="73"/>
      <c r="C1962" s="70"/>
      <c r="D1962" s="74"/>
      <c r="E1962" s="75"/>
      <c r="F1962" s="75"/>
      <c r="K1962" s="72"/>
      <c r="L1962" s="73"/>
      <c r="M1962" s="70"/>
      <c r="N1962" s="74"/>
      <c r="O1962" s="75"/>
      <c r="P1962" s="75"/>
      <c r="U1962" s="72"/>
      <c r="V1962" s="73"/>
      <c r="W1962" s="70"/>
      <c r="X1962" s="74"/>
      <c r="Y1962" s="75"/>
      <c r="Z1962" s="75"/>
    </row>
    <row r="1963" spans="1:26" x14ac:dyDescent="0.3">
      <c r="A1963" s="72"/>
      <c r="B1963" s="73"/>
      <c r="C1963" s="70"/>
      <c r="D1963" s="74"/>
      <c r="E1963" s="75"/>
      <c r="F1963" s="75"/>
      <c r="K1963" s="72"/>
      <c r="L1963" s="73"/>
      <c r="M1963" s="70"/>
      <c r="N1963" s="74"/>
      <c r="O1963" s="75"/>
      <c r="P1963" s="75"/>
      <c r="U1963" s="72"/>
      <c r="V1963" s="73"/>
      <c r="W1963" s="70"/>
      <c r="X1963" s="74"/>
      <c r="Y1963" s="75"/>
      <c r="Z1963" s="75"/>
    </row>
    <row r="1964" spans="1:26" x14ac:dyDescent="0.3">
      <c r="A1964" s="72"/>
      <c r="B1964" s="73"/>
      <c r="C1964" s="70"/>
      <c r="D1964" s="74"/>
      <c r="E1964" s="75"/>
      <c r="F1964" s="75"/>
      <c r="K1964" s="72"/>
      <c r="L1964" s="73"/>
      <c r="M1964" s="70"/>
      <c r="N1964" s="74"/>
      <c r="O1964" s="75"/>
      <c r="P1964" s="75"/>
      <c r="U1964" s="72"/>
      <c r="V1964" s="73"/>
      <c r="W1964" s="70"/>
      <c r="X1964" s="74"/>
      <c r="Y1964" s="75"/>
      <c r="Z1964" s="75"/>
    </row>
    <row r="1965" spans="1:26" x14ac:dyDescent="0.3">
      <c r="A1965" s="72"/>
      <c r="B1965" s="73"/>
      <c r="C1965" s="70"/>
      <c r="D1965" s="74"/>
      <c r="E1965" s="75"/>
      <c r="F1965" s="75"/>
      <c r="K1965" s="72"/>
      <c r="L1965" s="73"/>
      <c r="M1965" s="70"/>
      <c r="N1965" s="74"/>
      <c r="O1965" s="75"/>
      <c r="P1965" s="75"/>
      <c r="U1965" s="72"/>
      <c r="V1965" s="73"/>
      <c r="W1965" s="70"/>
      <c r="X1965" s="74"/>
      <c r="Y1965" s="75"/>
      <c r="Z1965" s="75"/>
    </row>
    <row r="1966" spans="1:26" x14ac:dyDescent="0.3">
      <c r="A1966" s="72"/>
      <c r="B1966" s="73"/>
      <c r="C1966" s="70"/>
      <c r="D1966" s="74"/>
      <c r="E1966" s="75"/>
      <c r="F1966" s="75"/>
      <c r="K1966" s="72"/>
      <c r="L1966" s="73"/>
      <c r="M1966" s="70"/>
      <c r="N1966" s="74"/>
      <c r="O1966" s="75"/>
      <c r="P1966" s="75"/>
      <c r="U1966" s="72"/>
      <c r="V1966" s="73"/>
      <c r="W1966" s="70"/>
      <c r="X1966" s="74"/>
      <c r="Y1966" s="75"/>
      <c r="Z1966" s="75"/>
    </row>
    <row r="1967" spans="1:26" x14ac:dyDescent="0.3">
      <c r="A1967" s="72"/>
      <c r="B1967" s="73"/>
      <c r="C1967" s="70"/>
      <c r="D1967" s="74"/>
      <c r="E1967" s="75"/>
      <c r="F1967" s="75"/>
      <c r="K1967" s="72"/>
      <c r="L1967" s="73"/>
      <c r="M1967" s="70"/>
      <c r="N1967" s="74"/>
      <c r="O1967" s="75"/>
      <c r="P1967" s="75"/>
      <c r="U1967" s="72"/>
      <c r="V1967" s="73"/>
      <c r="W1967" s="70"/>
      <c r="X1967" s="74"/>
      <c r="Y1967" s="75"/>
      <c r="Z1967" s="75"/>
    </row>
    <row r="1968" spans="1:26" x14ac:dyDescent="0.3">
      <c r="A1968" s="72"/>
      <c r="B1968" s="73"/>
      <c r="C1968" s="70"/>
      <c r="D1968" s="74"/>
      <c r="E1968" s="75"/>
      <c r="F1968" s="75"/>
      <c r="K1968" s="72"/>
      <c r="L1968" s="73"/>
      <c r="M1968" s="70"/>
      <c r="N1968" s="74"/>
      <c r="O1968" s="75"/>
      <c r="P1968" s="75"/>
      <c r="U1968" s="72"/>
      <c r="V1968" s="73"/>
      <c r="W1968" s="70"/>
      <c r="X1968" s="74"/>
      <c r="Y1968" s="75"/>
      <c r="Z1968" s="75"/>
    </row>
    <row r="1969" spans="1:26" x14ac:dyDescent="0.3">
      <c r="A1969" s="72"/>
      <c r="B1969" s="73"/>
      <c r="C1969" s="70"/>
      <c r="D1969" s="74"/>
      <c r="E1969" s="75"/>
      <c r="F1969" s="75"/>
      <c r="K1969" s="72"/>
      <c r="L1969" s="73"/>
      <c r="M1969" s="70"/>
      <c r="N1969" s="74"/>
      <c r="O1969" s="75"/>
      <c r="P1969" s="75"/>
      <c r="U1969" s="72"/>
      <c r="V1969" s="73"/>
      <c r="W1969" s="70"/>
      <c r="X1969" s="74"/>
      <c r="Y1969" s="75"/>
      <c r="Z1969" s="75"/>
    </row>
    <row r="1970" spans="1:26" x14ac:dyDescent="0.3">
      <c r="A1970" s="72"/>
      <c r="B1970" s="73"/>
      <c r="C1970" s="70"/>
      <c r="D1970" s="74"/>
      <c r="E1970" s="75"/>
      <c r="F1970" s="75"/>
      <c r="K1970" s="72"/>
      <c r="L1970" s="73"/>
      <c r="M1970" s="70"/>
      <c r="N1970" s="74"/>
      <c r="O1970" s="75"/>
      <c r="P1970" s="75"/>
      <c r="U1970" s="72"/>
      <c r="V1970" s="73"/>
      <c r="W1970" s="70"/>
      <c r="X1970" s="74"/>
      <c r="Y1970" s="75"/>
      <c r="Z1970" s="75"/>
    </row>
    <row r="1971" spans="1:26" x14ac:dyDescent="0.3">
      <c r="A1971" s="72"/>
      <c r="B1971" s="73"/>
      <c r="C1971" s="70"/>
      <c r="D1971" s="74"/>
      <c r="E1971" s="75"/>
      <c r="F1971" s="75"/>
      <c r="K1971" s="72"/>
      <c r="L1971" s="73"/>
      <c r="M1971" s="70"/>
      <c r="N1971" s="74"/>
      <c r="O1971" s="75"/>
      <c r="P1971" s="75"/>
      <c r="U1971" s="72"/>
      <c r="V1971" s="73"/>
      <c r="W1971" s="70"/>
      <c r="X1971" s="74"/>
      <c r="Y1971" s="75"/>
      <c r="Z1971" s="75"/>
    </row>
    <row r="1972" spans="1:26" x14ac:dyDescent="0.3">
      <c r="A1972" s="72"/>
      <c r="B1972" s="73"/>
      <c r="C1972" s="70"/>
      <c r="D1972" s="74"/>
      <c r="E1972" s="75"/>
      <c r="F1972" s="75"/>
      <c r="K1972" s="72"/>
      <c r="L1972" s="73"/>
      <c r="M1972" s="70"/>
      <c r="N1972" s="74"/>
      <c r="O1972" s="75"/>
      <c r="P1972" s="75"/>
      <c r="U1972" s="72"/>
      <c r="V1972" s="73"/>
      <c r="W1972" s="70"/>
      <c r="X1972" s="74"/>
      <c r="Y1972" s="75"/>
      <c r="Z1972" s="75"/>
    </row>
    <row r="1973" spans="1:26" x14ac:dyDescent="0.3">
      <c r="A1973" s="72"/>
      <c r="B1973" s="73"/>
      <c r="C1973" s="70"/>
      <c r="D1973" s="74"/>
      <c r="E1973" s="75"/>
      <c r="F1973" s="75"/>
      <c r="K1973" s="72"/>
      <c r="L1973" s="73"/>
      <c r="M1973" s="70"/>
      <c r="N1973" s="74"/>
      <c r="O1973" s="75"/>
      <c r="P1973" s="75"/>
      <c r="U1973" s="72"/>
      <c r="V1973" s="73"/>
      <c r="W1973" s="70"/>
      <c r="X1973" s="74"/>
      <c r="Y1973" s="75"/>
      <c r="Z1973" s="75"/>
    </row>
    <row r="1974" spans="1:26" x14ac:dyDescent="0.3">
      <c r="A1974" s="72"/>
      <c r="B1974" s="73"/>
      <c r="C1974" s="70"/>
      <c r="D1974" s="74"/>
      <c r="E1974" s="75"/>
      <c r="F1974" s="75"/>
      <c r="K1974" s="72"/>
      <c r="L1974" s="73"/>
      <c r="M1974" s="70"/>
      <c r="N1974" s="74"/>
      <c r="O1974" s="75"/>
      <c r="P1974" s="75"/>
      <c r="U1974" s="72"/>
      <c r="V1974" s="73"/>
      <c r="W1974" s="70"/>
      <c r="X1974" s="74"/>
      <c r="Y1974" s="75"/>
      <c r="Z1974" s="75"/>
    </row>
    <row r="1975" spans="1:26" x14ac:dyDescent="0.3">
      <c r="A1975" s="72"/>
      <c r="B1975" s="73"/>
      <c r="C1975" s="70"/>
      <c r="D1975" s="74"/>
      <c r="E1975" s="75"/>
      <c r="F1975" s="75"/>
      <c r="K1975" s="72"/>
      <c r="L1975" s="73"/>
      <c r="M1975" s="70"/>
      <c r="N1975" s="74"/>
      <c r="O1975" s="75"/>
      <c r="P1975" s="75"/>
      <c r="U1975" s="72"/>
      <c r="V1975" s="73"/>
      <c r="W1975" s="70"/>
      <c r="X1975" s="74"/>
      <c r="Y1975" s="75"/>
      <c r="Z1975" s="75"/>
    </row>
    <row r="1976" spans="1:26" x14ac:dyDescent="0.3">
      <c r="A1976" s="72"/>
      <c r="B1976" s="73"/>
      <c r="C1976" s="70"/>
      <c r="D1976" s="74"/>
      <c r="E1976" s="75"/>
      <c r="F1976" s="75"/>
      <c r="K1976" s="72"/>
      <c r="L1976" s="73"/>
      <c r="M1976" s="70"/>
      <c r="N1976" s="74"/>
      <c r="O1976" s="75"/>
      <c r="P1976" s="75"/>
      <c r="U1976" s="72"/>
      <c r="V1976" s="73"/>
      <c r="W1976" s="70"/>
      <c r="X1976" s="74"/>
      <c r="Y1976" s="75"/>
      <c r="Z1976" s="75"/>
    </row>
    <row r="1977" spans="1:26" x14ac:dyDescent="0.3">
      <c r="A1977" s="72"/>
      <c r="B1977" s="73"/>
      <c r="C1977" s="70"/>
      <c r="D1977" s="74"/>
      <c r="E1977" s="75"/>
      <c r="F1977" s="75"/>
      <c r="K1977" s="72"/>
      <c r="L1977" s="73"/>
      <c r="M1977" s="70"/>
      <c r="N1977" s="74"/>
      <c r="O1977" s="75"/>
      <c r="P1977" s="75"/>
      <c r="U1977" s="72"/>
      <c r="V1977" s="73"/>
      <c r="W1977" s="70"/>
      <c r="X1977" s="74"/>
      <c r="Y1977" s="75"/>
      <c r="Z1977" s="75"/>
    </row>
    <row r="1978" spans="1:26" x14ac:dyDescent="0.3">
      <c r="A1978" s="72"/>
      <c r="B1978" s="73"/>
      <c r="C1978" s="70"/>
      <c r="D1978" s="74"/>
      <c r="E1978" s="75"/>
      <c r="F1978" s="75"/>
      <c r="K1978" s="72"/>
      <c r="L1978" s="73"/>
      <c r="M1978" s="70"/>
      <c r="N1978" s="74"/>
      <c r="O1978" s="75"/>
      <c r="P1978" s="75"/>
      <c r="U1978" s="72"/>
      <c r="V1978" s="73"/>
      <c r="W1978" s="70"/>
      <c r="X1978" s="74"/>
      <c r="Y1978" s="75"/>
      <c r="Z1978" s="75"/>
    </row>
    <row r="1979" spans="1:26" x14ac:dyDescent="0.3">
      <c r="A1979" s="72"/>
      <c r="B1979" s="73"/>
      <c r="C1979" s="70"/>
      <c r="D1979" s="74"/>
      <c r="E1979" s="75"/>
      <c r="F1979" s="75"/>
      <c r="K1979" s="72"/>
      <c r="L1979" s="73"/>
      <c r="M1979" s="70"/>
      <c r="N1979" s="74"/>
      <c r="O1979" s="75"/>
      <c r="P1979" s="75"/>
      <c r="U1979" s="72"/>
      <c r="V1979" s="73"/>
      <c r="W1979" s="70"/>
      <c r="X1979" s="74"/>
      <c r="Y1979" s="75"/>
      <c r="Z1979" s="75"/>
    </row>
    <row r="1980" spans="1:26" x14ac:dyDescent="0.3">
      <c r="A1980" s="72"/>
      <c r="B1980" s="73"/>
      <c r="C1980" s="70"/>
      <c r="D1980" s="74"/>
      <c r="E1980" s="75"/>
      <c r="F1980" s="75"/>
      <c r="K1980" s="72"/>
      <c r="L1980" s="73"/>
      <c r="M1980" s="70"/>
      <c r="N1980" s="74"/>
      <c r="O1980" s="75"/>
      <c r="P1980" s="75"/>
      <c r="U1980" s="72"/>
      <c r="V1980" s="73"/>
      <c r="W1980" s="70"/>
      <c r="X1980" s="74"/>
      <c r="Y1980" s="75"/>
      <c r="Z1980" s="75"/>
    </row>
    <row r="1981" spans="1:26" x14ac:dyDescent="0.3">
      <c r="A1981" s="72"/>
      <c r="B1981" s="73"/>
      <c r="C1981" s="70"/>
      <c r="D1981" s="74"/>
      <c r="E1981" s="75"/>
      <c r="F1981" s="75"/>
      <c r="K1981" s="72"/>
      <c r="L1981" s="73"/>
      <c r="M1981" s="70"/>
      <c r="N1981" s="74"/>
      <c r="O1981" s="75"/>
      <c r="P1981" s="75"/>
      <c r="U1981" s="72"/>
      <c r="V1981" s="73"/>
      <c r="W1981" s="70"/>
      <c r="X1981" s="74"/>
      <c r="Y1981" s="75"/>
      <c r="Z1981" s="75"/>
    </row>
    <row r="1982" spans="1:26" x14ac:dyDescent="0.3">
      <c r="A1982" s="72"/>
      <c r="B1982" s="73"/>
      <c r="C1982" s="70"/>
      <c r="D1982" s="74"/>
      <c r="E1982" s="75"/>
      <c r="F1982" s="75"/>
      <c r="K1982" s="72"/>
      <c r="L1982" s="73"/>
      <c r="M1982" s="70"/>
      <c r="N1982" s="74"/>
      <c r="O1982" s="75"/>
      <c r="P1982" s="75"/>
      <c r="U1982" s="72"/>
      <c r="V1982" s="73"/>
      <c r="W1982" s="70"/>
      <c r="X1982" s="74"/>
      <c r="Y1982" s="75"/>
      <c r="Z1982" s="75"/>
    </row>
    <row r="1983" spans="1:26" x14ac:dyDescent="0.3">
      <c r="A1983" s="72"/>
      <c r="B1983" s="73"/>
      <c r="C1983" s="70"/>
      <c r="D1983" s="74"/>
      <c r="E1983" s="75"/>
      <c r="F1983" s="75"/>
      <c r="K1983" s="72"/>
      <c r="L1983" s="73"/>
      <c r="M1983" s="70"/>
      <c r="N1983" s="74"/>
      <c r="O1983" s="75"/>
      <c r="P1983" s="75"/>
      <c r="U1983" s="72"/>
      <c r="V1983" s="73"/>
      <c r="W1983" s="70"/>
      <c r="X1983" s="74"/>
      <c r="Y1983" s="75"/>
      <c r="Z1983" s="75"/>
    </row>
    <row r="1984" spans="1:26" x14ac:dyDescent="0.3">
      <c r="A1984" s="72"/>
      <c r="B1984" s="73"/>
      <c r="C1984" s="70"/>
      <c r="D1984" s="74"/>
      <c r="E1984" s="75"/>
      <c r="F1984" s="75"/>
      <c r="K1984" s="72"/>
      <c r="L1984" s="73"/>
      <c r="M1984" s="70"/>
      <c r="N1984" s="74"/>
      <c r="O1984" s="75"/>
      <c r="P1984" s="75"/>
      <c r="U1984" s="72"/>
      <c r="V1984" s="73"/>
      <c r="W1984" s="70"/>
      <c r="X1984" s="74"/>
      <c r="Y1984" s="75"/>
      <c r="Z1984" s="75"/>
    </row>
    <row r="1985" spans="1:26" x14ac:dyDescent="0.3">
      <c r="A1985" s="72"/>
      <c r="B1985" s="73"/>
      <c r="C1985" s="70"/>
      <c r="D1985" s="74"/>
      <c r="E1985" s="75"/>
      <c r="F1985" s="75"/>
      <c r="K1985" s="72"/>
      <c r="L1985" s="73"/>
      <c r="M1985" s="70"/>
      <c r="N1985" s="74"/>
      <c r="O1985" s="75"/>
      <c r="P1985" s="75"/>
      <c r="U1985" s="72"/>
      <c r="V1985" s="73"/>
      <c r="W1985" s="70"/>
      <c r="X1985" s="74"/>
      <c r="Y1985" s="75"/>
      <c r="Z1985" s="75"/>
    </row>
    <row r="1986" spans="1:26" x14ac:dyDescent="0.3">
      <c r="A1986" s="72"/>
      <c r="B1986" s="73"/>
      <c r="C1986" s="70"/>
      <c r="D1986" s="74"/>
      <c r="E1986" s="75"/>
      <c r="F1986" s="75"/>
      <c r="K1986" s="72"/>
      <c r="L1986" s="73"/>
      <c r="M1986" s="70"/>
      <c r="N1986" s="74"/>
      <c r="O1986" s="75"/>
      <c r="P1986" s="75"/>
      <c r="U1986" s="72"/>
      <c r="V1986" s="73"/>
      <c r="W1986" s="70"/>
      <c r="X1986" s="74"/>
      <c r="Y1986" s="75"/>
      <c r="Z1986" s="75"/>
    </row>
    <row r="1987" spans="1:26" x14ac:dyDescent="0.3">
      <c r="A1987" s="72"/>
      <c r="B1987" s="73"/>
      <c r="C1987" s="70"/>
      <c r="D1987" s="74"/>
      <c r="E1987" s="75"/>
      <c r="F1987" s="75"/>
      <c r="K1987" s="72"/>
      <c r="L1987" s="73"/>
      <c r="M1987" s="70"/>
      <c r="N1987" s="74"/>
      <c r="O1987" s="75"/>
      <c r="P1987" s="75"/>
      <c r="U1987" s="72"/>
      <c r="V1987" s="73"/>
      <c r="W1987" s="70"/>
      <c r="X1987" s="74"/>
      <c r="Y1987" s="75"/>
      <c r="Z1987" s="75"/>
    </row>
    <row r="1988" spans="1:26" x14ac:dyDescent="0.3">
      <c r="A1988" s="72"/>
      <c r="B1988" s="73"/>
      <c r="C1988" s="70"/>
      <c r="D1988" s="74"/>
      <c r="E1988" s="75"/>
      <c r="F1988" s="75"/>
      <c r="K1988" s="72"/>
      <c r="L1988" s="73"/>
      <c r="M1988" s="70"/>
      <c r="N1988" s="74"/>
      <c r="O1988" s="75"/>
      <c r="P1988" s="75"/>
      <c r="U1988" s="72"/>
      <c r="V1988" s="73"/>
      <c r="W1988" s="70"/>
      <c r="X1988" s="74"/>
      <c r="Y1988" s="75"/>
      <c r="Z1988" s="75"/>
    </row>
    <row r="1989" spans="1:26" x14ac:dyDescent="0.3">
      <c r="A1989" s="72"/>
      <c r="B1989" s="73"/>
      <c r="C1989" s="70"/>
      <c r="D1989" s="74"/>
      <c r="E1989" s="75"/>
      <c r="F1989" s="75"/>
      <c r="K1989" s="72"/>
      <c r="L1989" s="73"/>
      <c r="M1989" s="70"/>
      <c r="N1989" s="74"/>
      <c r="O1989" s="75"/>
      <c r="P1989" s="75"/>
      <c r="U1989" s="72"/>
      <c r="V1989" s="73"/>
      <c r="W1989" s="70"/>
      <c r="X1989" s="74"/>
      <c r="Y1989" s="75"/>
      <c r="Z1989" s="75"/>
    </row>
    <row r="1990" spans="1:26" x14ac:dyDescent="0.3">
      <c r="A1990" s="72"/>
      <c r="B1990" s="73"/>
      <c r="C1990" s="70"/>
      <c r="D1990" s="74"/>
      <c r="E1990" s="75"/>
      <c r="F1990" s="75"/>
      <c r="K1990" s="72"/>
      <c r="L1990" s="73"/>
      <c r="M1990" s="70"/>
      <c r="N1990" s="74"/>
      <c r="O1990" s="75"/>
      <c r="P1990" s="75"/>
      <c r="U1990" s="72"/>
      <c r="V1990" s="73"/>
      <c r="W1990" s="70"/>
      <c r="X1990" s="74"/>
      <c r="Y1990" s="75"/>
      <c r="Z1990" s="75"/>
    </row>
    <row r="1991" spans="1:26" x14ac:dyDescent="0.3">
      <c r="A1991" s="72"/>
      <c r="B1991" s="73"/>
      <c r="C1991" s="70"/>
      <c r="D1991" s="74"/>
      <c r="E1991" s="75"/>
      <c r="F1991" s="75"/>
      <c r="K1991" s="72"/>
      <c r="L1991" s="73"/>
      <c r="M1991" s="70"/>
      <c r="N1991" s="74"/>
      <c r="O1991" s="75"/>
      <c r="P1991" s="75"/>
      <c r="U1991" s="72"/>
      <c r="V1991" s="73"/>
      <c r="W1991" s="70"/>
      <c r="X1991" s="74"/>
      <c r="Y1991" s="75"/>
      <c r="Z1991" s="75"/>
    </row>
    <row r="1992" spans="1:26" x14ac:dyDescent="0.3">
      <c r="A1992" s="72"/>
      <c r="B1992" s="73"/>
      <c r="C1992" s="70"/>
      <c r="D1992" s="74"/>
      <c r="E1992" s="75"/>
      <c r="F1992" s="75"/>
      <c r="K1992" s="72"/>
      <c r="L1992" s="73"/>
      <c r="M1992" s="70"/>
      <c r="N1992" s="74"/>
      <c r="O1992" s="75"/>
      <c r="P1992" s="75"/>
      <c r="U1992" s="72"/>
      <c r="V1992" s="73"/>
      <c r="W1992" s="70"/>
      <c r="X1992" s="74"/>
      <c r="Y1992" s="75"/>
      <c r="Z1992" s="75"/>
    </row>
    <row r="1993" spans="1:26" x14ac:dyDescent="0.3">
      <c r="A1993" s="72"/>
      <c r="B1993" s="73"/>
      <c r="C1993" s="70"/>
      <c r="D1993" s="74"/>
      <c r="E1993" s="75"/>
      <c r="F1993" s="75"/>
      <c r="K1993" s="72"/>
      <c r="L1993" s="73"/>
      <c r="M1993" s="70"/>
      <c r="N1993" s="74"/>
      <c r="O1993" s="75"/>
      <c r="P1993" s="75"/>
      <c r="U1993" s="72"/>
      <c r="V1993" s="73"/>
      <c r="W1993" s="70"/>
      <c r="X1993" s="74"/>
      <c r="Y1993" s="75"/>
      <c r="Z1993" s="75"/>
    </row>
    <row r="1994" spans="1:26" x14ac:dyDescent="0.3">
      <c r="A1994" s="72"/>
      <c r="B1994" s="73"/>
      <c r="C1994" s="70"/>
      <c r="D1994" s="74"/>
      <c r="E1994" s="75"/>
      <c r="F1994" s="75"/>
      <c r="K1994" s="72"/>
      <c r="L1994" s="73"/>
      <c r="M1994" s="70"/>
      <c r="N1994" s="74"/>
      <c r="O1994" s="75"/>
      <c r="P1994" s="75"/>
      <c r="U1994" s="72"/>
      <c r="V1994" s="73"/>
      <c r="W1994" s="70"/>
      <c r="X1994" s="74"/>
      <c r="Y1994" s="75"/>
      <c r="Z1994" s="75"/>
    </row>
    <row r="1995" spans="1:26" x14ac:dyDescent="0.3">
      <c r="A1995" s="72"/>
      <c r="B1995" s="73"/>
      <c r="C1995" s="70"/>
      <c r="D1995" s="74"/>
      <c r="E1995" s="75"/>
      <c r="F1995" s="75"/>
      <c r="K1995" s="72"/>
      <c r="L1995" s="73"/>
      <c r="M1995" s="70"/>
      <c r="N1995" s="74"/>
      <c r="O1995" s="75"/>
      <c r="P1995" s="75"/>
      <c r="U1995" s="72"/>
      <c r="V1995" s="73"/>
      <c r="W1995" s="70"/>
      <c r="X1995" s="74"/>
      <c r="Y1995" s="75"/>
      <c r="Z1995" s="75"/>
    </row>
    <row r="1996" spans="1:26" x14ac:dyDescent="0.3">
      <c r="A1996" s="72"/>
      <c r="B1996" s="73"/>
      <c r="C1996" s="70"/>
      <c r="D1996" s="74"/>
      <c r="E1996" s="75"/>
      <c r="F1996" s="75"/>
      <c r="K1996" s="72"/>
      <c r="L1996" s="73"/>
      <c r="M1996" s="70"/>
      <c r="N1996" s="74"/>
      <c r="O1996" s="75"/>
      <c r="P1996" s="75"/>
      <c r="U1996" s="72"/>
      <c r="V1996" s="73"/>
      <c r="W1996" s="70"/>
      <c r="X1996" s="74"/>
      <c r="Y1996" s="75"/>
      <c r="Z1996" s="75"/>
    </row>
    <row r="1997" spans="1:26" x14ac:dyDescent="0.3">
      <c r="A1997" s="72"/>
      <c r="B1997" s="73"/>
      <c r="C1997" s="70"/>
      <c r="D1997" s="74"/>
      <c r="E1997" s="75"/>
      <c r="F1997" s="75"/>
      <c r="K1997" s="72"/>
      <c r="L1997" s="73"/>
      <c r="M1997" s="70"/>
      <c r="N1997" s="74"/>
      <c r="O1997" s="75"/>
      <c r="P1997" s="75"/>
      <c r="U1997" s="72"/>
      <c r="V1997" s="73"/>
      <c r="W1997" s="70"/>
      <c r="X1997" s="74"/>
      <c r="Y1997" s="75"/>
      <c r="Z1997" s="75"/>
    </row>
    <row r="1998" spans="1:26" x14ac:dyDescent="0.3">
      <c r="A1998" s="72"/>
      <c r="B1998" s="73"/>
      <c r="C1998" s="70"/>
      <c r="D1998" s="74"/>
      <c r="E1998" s="75"/>
      <c r="F1998" s="75"/>
      <c r="K1998" s="72"/>
      <c r="L1998" s="73"/>
      <c r="M1998" s="70"/>
      <c r="N1998" s="74"/>
      <c r="O1998" s="75"/>
      <c r="P1998" s="75"/>
      <c r="U1998" s="72"/>
      <c r="V1998" s="73"/>
      <c r="W1998" s="70"/>
      <c r="X1998" s="74"/>
      <c r="Y1998" s="75"/>
      <c r="Z1998" s="75"/>
    </row>
    <row r="1999" spans="1:26" x14ac:dyDescent="0.3">
      <c r="A1999" s="72"/>
      <c r="B1999" s="73"/>
      <c r="C1999" s="70"/>
      <c r="D1999" s="74"/>
      <c r="E1999" s="75"/>
      <c r="F1999" s="75"/>
      <c r="K1999" s="72"/>
      <c r="L1999" s="73"/>
      <c r="M1999" s="70"/>
      <c r="N1999" s="74"/>
      <c r="O1999" s="75"/>
      <c r="P1999" s="75"/>
      <c r="U1999" s="72"/>
      <c r="V1999" s="73"/>
      <c r="W1999" s="70"/>
      <c r="X1999" s="74"/>
      <c r="Y1999" s="75"/>
      <c r="Z1999" s="75"/>
    </row>
    <row r="2000" spans="1:26" x14ac:dyDescent="0.3">
      <c r="A2000" s="72"/>
      <c r="B2000" s="73"/>
      <c r="C2000" s="70"/>
      <c r="D2000" s="74"/>
      <c r="E2000" s="75"/>
      <c r="F2000" s="75"/>
      <c r="K2000" s="72"/>
      <c r="L2000" s="73"/>
      <c r="M2000" s="70"/>
      <c r="N2000" s="74"/>
      <c r="O2000" s="75"/>
      <c r="P2000" s="75"/>
      <c r="U2000" s="72"/>
      <c r="V2000" s="73"/>
      <c r="W2000" s="70"/>
      <c r="X2000" s="74"/>
      <c r="Y2000" s="75"/>
      <c r="Z2000" s="75"/>
    </row>
    <row r="2001" spans="1:26" x14ac:dyDescent="0.3">
      <c r="A2001" s="72"/>
      <c r="B2001" s="73"/>
      <c r="C2001" s="70"/>
      <c r="D2001" s="74"/>
      <c r="E2001" s="75"/>
      <c r="F2001" s="75"/>
      <c r="K2001" s="72"/>
      <c r="L2001" s="73"/>
      <c r="M2001" s="70"/>
      <c r="N2001" s="74"/>
      <c r="O2001" s="75"/>
      <c r="P2001" s="75"/>
      <c r="U2001" s="72"/>
      <c r="V2001" s="73"/>
      <c r="W2001" s="70"/>
      <c r="X2001" s="74"/>
      <c r="Y2001" s="75"/>
      <c r="Z2001" s="75"/>
    </row>
    <row r="2002" spans="1:26" x14ac:dyDescent="0.3">
      <c r="A2002" s="72"/>
      <c r="B2002" s="73"/>
      <c r="C2002" s="70"/>
      <c r="D2002" s="74"/>
      <c r="E2002" s="75"/>
      <c r="F2002" s="75"/>
      <c r="K2002" s="72"/>
      <c r="L2002" s="73"/>
      <c r="M2002" s="70"/>
      <c r="N2002" s="74"/>
      <c r="O2002" s="75"/>
      <c r="P2002" s="75"/>
      <c r="U2002" s="72"/>
      <c r="V2002" s="73"/>
      <c r="W2002" s="70"/>
      <c r="X2002" s="74"/>
      <c r="Y2002" s="75"/>
      <c r="Z2002" s="75"/>
    </row>
    <row r="2003" spans="1:26" x14ac:dyDescent="0.3">
      <c r="A2003" s="72"/>
      <c r="B2003" s="73"/>
      <c r="C2003" s="70"/>
      <c r="D2003" s="74"/>
      <c r="E2003" s="75"/>
      <c r="F2003" s="75"/>
      <c r="K2003" s="72"/>
      <c r="L2003" s="73"/>
      <c r="M2003" s="70"/>
      <c r="N2003" s="74"/>
      <c r="O2003" s="75"/>
      <c r="P2003" s="75"/>
      <c r="U2003" s="72"/>
      <c r="V2003" s="73"/>
      <c r="W2003" s="70"/>
      <c r="X2003" s="74"/>
      <c r="Y2003" s="75"/>
      <c r="Z2003" s="75"/>
    </row>
    <row r="2004" spans="1:26" x14ac:dyDescent="0.3">
      <c r="A2004" s="72"/>
      <c r="B2004" s="73"/>
      <c r="C2004" s="70"/>
      <c r="D2004" s="74"/>
      <c r="E2004" s="75"/>
      <c r="F2004" s="75"/>
      <c r="K2004" s="72"/>
      <c r="L2004" s="73"/>
      <c r="M2004" s="70"/>
      <c r="N2004" s="74"/>
      <c r="O2004" s="75"/>
      <c r="P2004" s="75"/>
      <c r="U2004" s="72"/>
      <c r="V2004" s="73"/>
      <c r="W2004" s="70"/>
      <c r="X2004" s="74"/>
      <c r="Y2004" s="75"/>
      <c r="Z2004" s="75"/>
    </row>
    <row r="2005" spans="1:26" x14ac:dyDescent="0.3">
      <c r="A2005" s="72"/>
      <c r="B2005" s="73"/>
      <c r="C2005" s="70"/>
      <c r="D2005" s="74"/>
      <c r="E2005" s="75"/>
      <c r="F2005" s="75"/>
      <c r="K2005" s="72"/>
      <c r="L2005" s="73"/>
      <c r="M2005" s="70"/>
      <c r="N2005" s="74"/>
      <c r="O2005" s="75"/>
      <c r="P2005" s="75"/>
      <c r="U2005" s="72"/>
      <c r="V2005" s="73"/>
      <c r="W2005" s="70"/>
      <c r="X2005" s="74"/>
      <c r="Y2005" s="75"/>
      <c r="Z2005" s="75"/>
    </row>
    <row r="2006" spans="1:26" x14ac:dyDescent="0.3">
      <c r="A2006" s="72"/>
      <c r="B2006" s="73"/>
      <c r="C2006" s="70"/>
      <c r="D2006" s="74"/>
      <c r="E2006" s="75"/>
      <c r="F2006" s="75"/>
      <c r="K2006" s="72"/>
      <c r="L2006" s="73"/>
      <c r="M2006" s="70"/>
      <c r="N2006" s="74"/>
      <c r="O2006" s="75"/>
      <c r="P2006" s="75"/>
      <c r="U2006" s="72"/>
      <c r="V2006" s="73"/>
      <c r="W2006" s="70"/>
      <c r="X2006" s="74"/>
      <c r="Y2006" s="75"/>
      <c r="Z2006" s="75"/>
    </row>
    <row r="2007" spans="1:26" x14ac:dyDescent="0.3">
      <c r="A2007" s="72"/>
      <c r="B2007" s="73"/>
      <c r="C2007" s="70"/>
      <c r="D2007" s="74"/>
      <c r="E2007" s="75"/>
      <c r="F2007" s="75"/>
      <c r="K2007" s="72"/>
      <c r="L2007" s="73"/>
      <c r="M2007" s="70"/>
      <c r="N2007" s="74"/>
      <c r="O2007" s="75"/>
      <c r="P2007" s="75"/>
      <c r="U2007" s="72"/>
      <c r="V2007" s="73"/>
      <c r="W2007" s="70"/>
      <c r="X2007" s="74"/>
      <c r="Y2007" s="75"/>
      <c r="Z2007" s="75"/>
    </row>
    <row r="2008" spans="1:26" x14ac:dyDescent="0.3">
      <c r="A2008" s="72"/>
      <c r="B2008" s="73"/>
      <c r="C2008" s="70"/>
      <c r="D2008" s="74"/>
      <c r="E2008" s="75"/>
      <c r="F2008" s="75"/>
      <c r="K2008" s="72"/>
      <c r="L2008" s="73"/>
      <c r="M2008" s="70"/>
      <c r="N2008" s="74"/>
      <c r="O2008" s="75"/>
      <c r="P2008" s="75"/>
      <c r="U2008" s="72"/>
      <c r="V2008" s="73"/>
      <c r="W2008" s="70"/>
      <c r="X2008" s="74"/>
      <c r="Y2008" s="75"/>
      <c r="Z2008" s="75"/>
    </row>
    <row r="2009" spans="1:26" x14ac:dyDescent="0.3">
      <c r="A2009" s="72"/>
      <c r="B2009" s="73"/>
      <c r="C2009" s="70"/>
      <c r="D2009" s="74"/>
      <c r="E2009" s="75"/>
      <c r="F2009" s="75"/>
      <c r="K2009" s="72"/>
      <c r="L2009" s="73"/>
      <c r="M2009" s="70"/>
      <c r="N2009" s="74"/>
      <c r="O2009" s="75"/>
      <c r="P2009" s="75"/>
      <c r="U2009" s="72"/>
      <c r="V2009" s="73"/>
      <c r="W2009" s="70"/>
      <c r="X2009" s="74"/>
      <c r="Y2009" s="75"/>
      <c r="Z2009" s="75"/>
    </row>
    <row r="2010" spans="1:26" x14ac:dyDescent="0.3">
      <c r="A2010" s="72"/>
      <c r="B2010" s="73"/>
      <c r="C2010" s="70"/>
      <c r="D2010" s="74"/>
      <c r="E2010" s="75"/>
      <c r="F2010" s="75"/>
      <c r="K2010" s="72"/>
      <c r="L2010" s="73"/>
      <c r="M2010" s="70"/>
      <c r="N2010" s="74"/>
      <c r="O2010" s="75"/>
      <c r="P2010" s="75"/>
      <c r="U2010" s="72"/>
      <c r="V2010" s="73"/>
      <c r="W2010" s="70"/>
      <c r="X2010" s="74"/>
      <c r="Y2010" s="75"/>
      <c r="Z2010" s="75"/>
    </row>
    <row r="2011" spans="1:26" x14ac:dyDescent="0.3">
      <c r="A2011" s="72"/>
      <c r="B2011" s="73"/>
      <c r="C2011" s="70"/>
      <c r="D2011" s="74"/>
      <c r="E2011" s="75"/>
      <c r="F2011" s="75"/>
      <c r="K2011" s="72"/>
      <c r="L2011" s="73"/>
      <c r="M2011" s="70"/>
      <c r="N2011" s="74"/>
      <c r="O2011" s="75"/>
      <c r="P2011" s="75"/>
      <c r="U2011" s="72"/>
      <c r="V2011" s="73"/>
      <c r="W2011" s="70"/>
      <c r="X2011" s="74"/>
      <c r="Y2011" s="75"/>
      <c r="Z2011" s="75"/>
    </row>
    <row r="2012" spans="1:26" x14ac:dyDescent="0.3">
      <c r="A2012" s="72"/>
      <c r="B2012" s="73"/>
      <c r="C2012" s="70"/>
      <c r="D2012" s="74"/>
      <c r="E2012" s="75"/>
      <c r="F2012" s="75"/>
      <c r="K2012" s="72"/>
      <c r="L2012" s="73"/>
      <c r="M2012" s="70"/>
      <c r="N2012" s="74"/>
      <c r="O2012" s="75"/>
      <c r="P2012" s="75"/>
      <c r="U2012" s="72"/>
      <c r="V2012" s="73"/>
      <c r="W2012" s="70"/>
      <c r="X2012" s="74"/>
      <c r="Y2012" s="75"/>
      <c r="Z2012" s="75"/>
    </row>
    <row r="2013" spans="1:26" x14ac:dyDescent="0.3">
      <c r="A2013" s="72"/>
      <c r="B2013" s="73"/>
      <c r="C2013" s="70"/>
      <c r="D2013" s="74"/>
      <c r="E2013" s="75"/>
      <c r="F2013" s="75"/>
      <c r="K2013" s="72"/>
      <c r="L2013" s="73"/>
      <c r="M2013" s="70"/>
      <c r="N2013" s="74"/>
      <c r="O2013" s="75"/>
      <c r="P2013" s="75"/>
      <c r="U2013" s="72"/>
      <c r="V2013" s="73"/>
      <c r="W2013" s="70"/>
      <c r="X2013" s="74"/>
      <c r="Y2013" s="75"/>
      <c r="Z2013" s="75"/>
    </row>
    <row r="2014" spans="1:26" x14ac:dyDescent="0.3">
      <c r="A2014" s="72"/>
      <c r="B2014" s="73"/>
      <c r="C2014" s="70"/>
      <c r="D2014" s="74"/>
      <c r="E2014" s="75"/>
      <c r="F2014" s="75"/>
      <c r="K2014" s="72"/>
      <c r="L2014" s="73"/>
      <c r="M2014" s="70"/>
      <c r="N2014" s="74"/>
      <c r="O2014" s="75"/>
      <c r="P2014" s="75"/>
      <c r="U2014" s="72"/>
      <c r="V2014" s="73"/>
      <c r="W2014" s="70"/>
      <c r="X2014" s="74"/>
      <c r="Y2014" s="75"/>
      <c r="Z2014" s="75"/>
    </row>
    <row r="2015" spans="1:26" x14ac:dyDescent="0.3">
      <c r="A2015" s="72"/>
      <c r="B2015" s="73"/>
      <c r="C2015" s="70"/>
      <c r="D2015" s="74"/>
      <c r="E2015" s="75"/>
      <c r="F2015" s="75"/>
      <c r="K2015" s="72"/>
      <c r="L2015" s="73"/>
      <c r="M2015" s="70"/>
      <c r="N2015" s="74"/>
      <c r="O2015" s="75"/>
      <c r="P2015" s="75"/>
      <c r="U2015" s="72"/>
      <c r="V2015" s="73"/>
      <c r="W2015" s="70"/>
      <c r="X2015" s="74"/>
      <c r="Y2015" s="75"/>
      <c r="Z2015" s="75"/>
    </row>
    <row r="2016" spans="1:26" x14ac:dyDescent="0.3">
      <c r="A2016" s="72"/>
      <c r="B2016" s="73"/>
      <c r="C2016" s="70"/>
      <c r="D2016" s="74"/>
      <c r="E2016" s="75"/>
      <c r="F2016" s="75"/>
      <c r="K2016" s="72"/>
      <c r="L2016" s="73"/>
      <c r="M2016" s="70"/>
      <c r="N2016" s="74"/>
      <c r="O2016" s="75"/>
      <c r="P2016" s="75"/>
      <c r="U2016" s="72"/>
      <c r="V2016" s="73"/>
      <c r="W2016" s="70"/>
      <c r="X2016" s="74"/>
      <c r="Y2016" s="75"/>
      <c r="Z2016" s="75"/>
    </row>
    <row r="2017" spans="1:26" x14ac:dyDescent="0.3">
      <c r="A2017" s="72"/>
      <c r="B2017" s="73"/>
      <c r="C2017" s="70"/>
      <c r="D2017" s="74"/>
      <c r="E2017" s="75"/>
      <c r="F2017" s="75"/>
      <c r="K2017" s="72"/>
      <c r="L2017" s="73"/>
      <c r="M2017" s="70"/>
      <c r="N2017" s="74"/>
      <c r="O2017" s="75"/>
      <c r="P2017" s="75"/>
      <c r="U2017" s="72"/>
      <c r="V2017" s="73"/>
      <c r="W2017" s="70"/>
      <c r="X2017" s="74"/>
      <c r="Y2017" s="75"/>
      <c r="Z2017" s="75"/>
    </row>
    <row r="2018" spans="1:26" x14ac:dyDescent="0.3">
      <c r="A2018" s="72"/>
      <c r="B2018" s="73"/>
      <c r="C2018" s="70"/>
      <c r="D2018" s="74"/>
      <c r="E2018" s="75"/>
      <c r="F2018" s="75"/>
      <c r="K2018" s="72"/>
      <c r="L2018" s="73"/>
      <c r="M2018" s="70"/>
      <c r="N2018" s="74"/>
      <c r="O2018" s="75"/>
      <c r="P2018" s="75"/>
      <c r="U2018" s="72"/>
      <c r="V2018" s="73"/>
      <c r="W2018" s="70"/>
      <c r="X2018" s="74"/>
      <c r="Y2018" s="75"/>
      <c r="Z2018" s="75"/>
    </row>
    <row r="2019" spans="1:26" x14ac:dyDescent="0.3">
      <c r="A2019" s="72"/>
      <c r="B2019" s="73"/>
      <c r="C2019" s="70"/>
      <c r="D2019" s="74"/>
      <c r="E2019" s="75"/>
      <c r="F2019" s="75"/>
      <c r="K2019" s="72"/>
      <c r="L2019" s="73"/>
      <c r="M2019" s="70"/>
      <c r="N2019" s="74"/>
      <c r="O2019" s="75"/>
      <c r="P2019" s="75"/>
      <c r="U2019" s="72"/>
      <c r="V2019" s="73"/>
      <c r="W2019" s="70"/>
      <c r="X2019" s="74"/>
      <c r="Y2019" s="75"/>
      <c r="Z2019" s="75"/>
    </row>
    <row r="2020" spans="1:26" x14ac:dyDescent="0.3">
      <c r="A2020" s="72"/>
      <c r="B2020" s="73"/>
      <c r="C2020" s="70"/>
      <c r="D2020" s="74"/>
      <c r="E2020" s="75"/>
      <c r="F2020" s="75"/>
      <c r="K2020" s="72"/>
      <c r="L2020" s="73"/>
      <c r="M2020" s="70"/>
      <c r="N2020" s="74"/>
      <c r="O2020" s="75"/>
      <c r="P2020" s="75"/>
      <c r="U2020" s="72"/>
      <c r="V2020" s="73"/>
      <c r="W2020" s="70"/>
      <c r="X2020" s="74"/>
      <c r="Y2020" s="75"/>
      <c r="Z2020" s="75"/>
    </row>
    <row r="2021" spans="1:26" x14ac:dyDescent="0.3">
      <c r="A2021" s="72"/>
      <c r="B2021" s="73"/>
      <c r="C2021" s="70"/>
      <c r="D2021" s="74"/>
      <c r="E2021" s="75"/>
      <c r="F2021" s="75"/>
      <c r="K2021" s="72"/>
      <c r="L2021" s="73"/>
      <c r="M2021" s="70"/>
      <c r="N2021" s="74"/>
      <c r="O2021" s="75"/>
      <c r="P2021" s="75"/>
      <c r="U2021" s="72"/>
      <c r="V2021" s="73"/>
      <c r="W2021" s="70"/>
      <c r="X2021" s="74"/>
      <c r="Y2021" s="75"/>
      <c r="Z2021" s="75"/>
    </row>
    <row r="2022" spans="1:26" x14ac:dyDescent="0.3">
      <c r="A2022" s="72"/>
      <c r="B2022" s="73"/>
      <c r="C2022" s="70"/>
      <c r="D2022" s="74"/>
      <c r="E2022" s="75"/>
      <c r="F2022" s="75"/>
      <c r="K2022" s="72"/>
      <c r="L2022" s="73"/>
      <c r="M2022" s="70"/>
      <c r="N2022" s="74"/>
      <c r="O2022" s="75"/>
      <c r="P2022" s="75"/>
      <c r="U2022" s="72"/>
      <c r="V2022" s="73"/>
      <c r="W2022" s="70"/>
      <c r="X2022" s="74"/>
      <c r="Y2022" s="75"/>
      <c r="Z2022" s="75"/>
    </row>
    <row r="2023" spans="1:26" x14ac:dyDescent="0.3">
      <c r="A2023" s="72"/>
      <c r="B2023" s="73"/>
      <c r="C2023" s="70"/>
      <c r="D2023" s="74"/>
      <c r="E2023" s="75"/>
      <c r="F2023" s="75"/>
      <c r="K2023" s="72"/>
      <c r="L2023" s="73"/>
      <c r="M2023" s="70"/>
      <c r="N2023" s="74"/>
      <c r="O2023" s="75"/>
      <c r="P2023" s="75"/>
      <c r="U2023" s="72"/>
      <c r="V2023" s="73"/>
      <c r="W2023" s="70"/>
      <c r="X2023" s="74"/>
      <c r="Y2023" s="75"/>
      <c r="Z2023" s="75"/>
    </row>
    <row r="2024" spans="1:26" x14ac:dyDescent="0.3">
      <c r="A2024" s="72"/>
      <c r="B2024" s="73"/>
      <c r="C2024" s="70"/>
      <c r="D2024" s="74"/>
      <c r="E2024" s="75"/>
      <c r="F2024" s="75"/>
      <c r="K2024" s="72"/>
      <c r="L2024" s="73"/>
      <c r="M2024" s="70"/>
      <c r="N2024" s="74"/>
      <c r="O2024" s="75"/>
      <c r="P2024" s="75"/>
      <c r="U2024" s="72"/>
      <c r="V2024" s="73"/>
      <c r="W2024" s="70"/>
      <c r="X2024" s="74"/>
      <c r="Y2024" s="75"/>
      <c r="Z2024" s="75"/>
    </row>
    <row r="2025" spans="1:26" x14ac:dyDescent="0.3">
      <c r="A2025" s="72"/>
      <c r="B2025" s="73"/>
      <c r="C2025" s="70"/>
      <c r="D2025" s="74"/>
      <c r="E2025" s="75"/>
      <c r="F2025" s="75"/>
      <c r="K2025" s="72"/>
      <c r="L2025" s="73"/>
      <c r="M2025" s="70"/>
      <c r="N2025" s="74"/>
      <c r="O2025" s="75"/>
      <c r="P2025" s="75"/>
      <c r="U2025" s="72"/>
      <c r="V2025" s="73"/>
      <c r="W2025" s="70"/>
      <c r="X2025" s="74"/>
      <c r="Y2025" s="75"/>
      <c r="Z2025" s="75"/>
    </row>
    <row r="2026" spans="1:26" x14ac:dyDescent="0.3">
      <c r="A2026" s="72"/>
      <c r="B2026" s="73"/>
      <c r="C2026" s="70"/>
      <c r="D2026" s="74"/>
      <c r="E2026" s="75"/>
      <c r="F2026" s="75"/>
      <c r="K2026" s="72"/>
      <c r="L2026" s="73"/>
      <c r="M2026" s="70"/>
      <c r="N2026" s="74"/>
      <c r="O2026" s="75"/>
      <c r="P2026" s="75"/>
      <c r="U2026" s="72"/>
      <c r="V2026" s="73"/>
      <c r="W2026" s="70"/>
      <c r="X2026" s="74"/>
      <c r="Y2026" s="75"/>
      <c r="Z2026" s="75"/>
    </row>
    <row r="2027" spans="1:26" x14ac:dyDescent="0.3">
      <c r="A2027" s="72"/>
      <c r="B2027" s="73"/>
      <c r="C2027" s="70"/>
      <c r="D2027" s="74"/>
      <c r="E2027" s="75"/>
      <c r="F2027" s="75"/>
      <c r="K2027" s="72"/>
      <c r="L2027" s="73"/>
      <c r="M2027" s="70"/>
      <c r="N2027" s="74"/>
      <c r="O2027" s="75"/>
      <c r="P2027" s="75"/>
      <c r="U2027" s="72"/>
      <c r="V2027" s="73"/>
      <c r="W2027" s="70"/>
      <c r="X2027" s="74"/>
      <c r="Y2027" s="75"/>
      <c r="Z2027" s="75"/>
    </row>
    <row r="2028" spans="1:26" x14ac:dyDescent="0.3">
      <c r="A2028" s="72"/>
      <c r="B2028" s="73"/>
      <c r="C2028" s="70"/>
      <c r="D2028" s="74"/>
      <c r="E2028" s="75"/>
      <c r="F2028" s="75"/>
      <c r="K2028" s="72"/>
      <c r="L2028" s="73"/>
      <c r="M2028" s="70"/>
      <c r="N2028" s="74"/>
      <c r="O2028" s="75"/>
      <c r="P2028" s="75"/>
      <c r="U2028" s="72"/>
      <c r="V2028" s="73"/>
      <c r="W2028" s="70"/>
      <c r="X2028" s="74"/>
      <c r="Y2028" s="75"/>
      <c r="Z2028" s="75"/>
    </row>
    <row r="2029" spans="1:26" x14ac:dyDescent="0.3">
      <c r="A2029" s="72"/>
      <c r="B2029" s="73"/>
      <c r="C2029" s="70"/>
      <c r="D2029" s="74"/>
      <c r="E2029" s="75"/>
      <c r="F2029" s="75"/>
      <c r="K2029" s="72"/>
      <c r="L2029" s="73"/>
      <c r="M2029" s="70"/>
      <c r="N2029" s="74"/>
      <c r="O2029" s="75"/>
      <c r="P2029" s="75"/>
      <c r="U2029" s="72"/>
      <c r="V2029" s="73"/>
      <c r="W2029" s="70"/>
      <c r="X2029" s="74"/>
      <c r="Y2029" s="75"/>
      <c r="Z2029" s="75"/>
    </row>
    <row r="2030" spans="1:26" x14ac:dyDescent="0.3">
      <c r="A2030" s="72"/>
      <c r="B2030" s="73"/>
      <c r="C2030" s="70"/>
      <c r="D2030" s="74"/>
      <c r="E2030" s="75"/>
      <c r="F2030" s="75"/>
      <c r="K2030" s="72"/>
      <c r="L2030" s="73"/>
      <c r="M2030" s="70"/>
      <c r="N2030" s="74"/>
      <c r="O2030" s="75"/>
      <c r="P2030" s="75"/>
      <c r="U2030" s="72"/>
      <c r="V2030" s="73"/>
      <c r="W2030" s="70"/>
      <c r="X2030" s="74"/>
      <c r="Y2030" s="75"/>
      <c r="Z2030" s="75"/>
    </row>
    <row r="2031" spans="1:26" x14ac:dyDescent="0.3">
      <c r="A2031" s="72"/>
      <c r="B2031" s="73"/>
      <c r="C2031" s="70"/>
      <c r="D2031" s="74"/>
      <c r="E2031" s="75"/>
      <c r="F2031" s="75"/>
      <c r="K2031" s="72"/>
      <c r="L2031" s="73"/>
      <c r="M2031" s="70"/>
      <c r="N2031" s="74"/>
      <c r="O2031" s="75"/>
      <c r="P2031" s="75"/>
      <c r="U2031" s="72"/>
      <c r="V2031" s="73"/>
      <c r="W2031" s="70"/>
      <c r="X2031" s="74"/>
      <c r="Y2031" s="75"/>
      <c r="Z2031" s="75"/>
    </row>
    <row r="2032" spans="1:26" x14ac:dyDescent="0.3">
      <c r="A2032" s="72"/>
      <c r="B2032" s="73"/>
      <c r="C2032" s="70"/>
      <c r="D2032" s="74"/>
      <c r="E2032" s="75"/>
      <c r="F2032" s="75"/>
      <c r="K2032" s="72"/>
      <c r="L2032" s="73"/>
      <c r="M2032" s="70"/>
      <c r="N2032" s="74"/>
      <c r="O2032" s="75"/>
      <c r="P2032" s="75"/>
      <c r="U2032" s="72"/>
      <c r="V2032" s="73"/>
      <c r="W2032" s="70"/>
      <c r="X2032" s="74"/>
      <c r="Y2032" s="75"/>
      <c r="Z2032" s="75"/>
    </row>
    <row r="2033" spans="1:26" x14ac:dyDescent="0.3">
      <c r="A2033" s="72"/>
      <c r="B2033" s="73"/>
      <c r="C2033" s="70"/>
      <c r="D2033" s="74"/>
      <c r="E2033" s="75"/>
      <c r="F2033" s="75"/>
      <c r="K2033" s="72"/>
      <c r="L2033" s="73"/>
      <c r="M2033" s="70"/>
      <c r="N2033" s="74"/>
      <c r="O2033" s="75"/>
      <c r="P2033" s="75"/>
      <c r="U2033" s="72"/>
      <c r="V2033" s="73"/>
      <c r="W2033" s="70"/>
      <c r="X2033" s="74"/>
      <c r="Y2033" s="75"/>
      <c r="Z2033" s="75"/>
    </row>
    <row r="2034" spans="1:26" x14ac:dyDescent="0.3">
      <c r="A2034" s="72"/>
      <c r="B2034" s="73"/>
      <c r="C2034" s="70"/>
      <c r="D2034" s="74"/>
      <c r="E2034" s="75"/>
      <c r="F2034" s="75"/>
      <c r="K2034" s="72"/>
      <c r="L2034" s="73"/>
      <c r="M2034" s="70"/>
      <c r="N2034" s="74"/>
      <c r="O2034" s="75"/>
      <c r="P2034" s="75"/>
      <c r="U2034" s="72"/>
      <c r="V2034" s="73"/>
      <c r="W2034" s="70"/>
      <c r="X2034" s="74"/>
      <c r="Y2034" s="75"/>
      <c r="Z2034" s="75"/>
    </row>
    <row r="2035" spans="1:26" x14ac:dyDescent="0.3">
      <c r="A2035" s="72"/>
      <c r="B2035" s="73"/>
      <c r="C2035" s="70"/>
      <c r="D2035" s="74"/>
      <c r="E2035" s="75"/>
      <c r="F2035" s="75"/>
      <c r="K2035" s="72"/>
      <c r="L2035" s="73"/>
      <c r="M2035" s="70"/>
      <c r="N2035" s="74"/>
      <c r="O2035" s="75"/>
      <c r="P2035" s="75"/>
      <c r="U2035" s="72"/>
      <c r="V2035" s="73"/>
      <c r="W2035" s="70"/>
      <c r="X2035" s="74"/>
      <c r="Y2035" s="75"/>
      <c r="Z2035" s="75"/>
    </row>
    <row r="2036" spans="1:26" x14ac:dyDescent="0.3">
      <c r="A2036" s="72"/>
      <c r="B2036" s="73"/>
      <c r="C2036" s="70"/>
      <c r="D2036" s="74"/>
      <c r="E2036" s="75"/>
      <c r="F2036" s="75"/>
      <c r="K2036" s="72"/>
      <c r="L2036" s="73"/>
      <c r="M2036" s="70"/>
      <c r="N2036" s="74"/>
      <c r="O2036" s="75"/>
      <c r="P2036" s="75"/>
      <c r="U2036" s="72"/>
      <c r="V2036" s="73"/>
      <c r="W2036" s="70"/>
      <c r="X2036" s="74"/>
      <c r="Y2036" s="75"/>
      <c r="Z2036" s="75"/>
    </row>
    <row r="2037" spans="1:26" x14ac:dyDescent="0.3">
      <c r="A2037" s="72"/>
      <c r="B2037" s="73"/>
      <c r="C2037" s="70"/>
      <c r="D2037" s="74"/>
      <c r="E2037" s="75"/>
      <c r="F2037" s="75"/>
      <c r="K2037" s="72"/>
      <c r="L2037" s="73"/>
      <c r="M2037" s="70"/>
      <c r="N2037" s="74"/>
      <c r="O2037" s="75"/>
      <c r="P2037" s="75"/>
      <c r="U2037" s="72"/>
      <c r="V2037" s="73"/>
      <c r="W2037" s="70"/>
      <c r="X2037" s="74"/>
      <c r="Y2037" s="75"/>
      <c r="Z2037" s="75"/>
    </row>
    <row r="2038" spans="1:26" x14ac:dyDescent="0.3">
      <c r="A2038" s="72"/>
      <c r="B2038" s="73"/>
      <c r="C2038" s="70"/>
      <c r="D2038" s="74"/>
      <c r="E2038" s="75"/>
      <c r="F2038" s="75"/>
      <c r="K2038" s="72"/>
      <c r="L2038" s="73"/>
      <c r="M2038" s="70"/>
      <c r="N2038" s="74"/>
      <c r="O2038" s="75"/>
      <c r="P2038" s="75"/>
      <c r="U2038" s="72"/>
      <c r="V2038" s="73"/>
      <c r="W2038" s="70"/>
      <c r="X2038" s="74"/>
      <c r="Y2038" s="75"/>
      <c r="Z2038" s="75"/>
    </row>
    <row r="2039" spans="1:26" x14ac:dyDescent="0.3">
      <c r="A2039" s="72"/>
      <c r="B2039" s="73"/>
      <c r="C2039" s="70"/>
      <c r="D2039" s="74"/>
      <c r="E2039" s="75"/>
      <c r="F2039" s="75"/>
      <c r="K2039" s="72"/>
      <c r="L2039" s="73"/>
      <c r="M2039" s="70"/>
      <c r="N2039" s="74"/>
      <c r="O2039" s="75"/>
      <c r="P2039" s="75"/>
      <c r="U2039" s="72"/>
      <c r="V2039" s="73"/>
      <c r="W2039" s="70"/>
      <c r="X2039" s="74"/>
      <c r="Y2039" s="75"/>
      <c r="Z2039" s="75"/>
    </row>
    <row r="2040" spans="1:26" x14ac:dyDescent="0.3">
      <c r="A2040" s="72"/>
      <c r="B2040" s="73"/>
      <c r="C2040" s="70"/>
      <c r="D2040" s="74"/>
      <c r="E2040" s="75"/>
      <c r="F2040" s="75"/>
      <c r="K2040" s="72"/>
      <c r="L2040" s="73"/>
      <c r="M2040" s="70"/>
      <c r="N2040" s="74"/>
      <c r="O2040" s="75"/>
      <c r="P2040" s="75"/>
      <c r="U2040" s="72"/>
      <c r="V2040" s="73"/>
      <c r="W2040" s="70"/>
      <c r="X2040" s="74"/>
      <c r="Y2040" s="75"/>
      <c r="Z2040" s="75"/>
    </row>
    <row r="2041" spans="1:26" x14ac:dyDescent="0.3">
      <c r="A2041" s="72"/>
      <c r="B2041" s="73"/>
      <c r="C2041" s="70"/>
      <c r="D2041" s="74"/>
      <c r="E2041" s="75"/>
      <c r="F2041" s="75"/>
      <c r="K2041" s="72"/>
      <c r="L2041" s="73"/>
      <c r="M2041" s="70"/>
      <c r="N2041" s="74"/>
      <c r="O2041" s="75"/>
      <c r="P2041" s="75"/>
      <c r="U2041" s="72"/>
      <c r="V2041" s="73"/>
      <c r="W2041" s="70"/>
      <c r="X2041" s="74"/>
      <c r="Y2041" s="75"/>
      <c r="Z2041" s="75"/>
    </row>
    <row r="2042" spans="1:26" x14ac:dyDescent="0.3">
      <c r="A2042" s="72"/>
      <c r="B2042" s="73"/>
      <c r="C2042" s="70"/>
      <c r="D2042" s="74"/>
      <c r="E2042" s="75"/>
      <c r="F2042" s="75"/>
      <c r="K2042" s="72"/>
      <c r="L2042" s="73"/>
      <c r="M2042" s="70"/>
      <c r="N2042" s="74"/>
      <c r="O2042" s="75"/>
      <c r="P2042" s="75"/>
      <c r="U2042" s="72"/>
      <c r="V2042" s="73"/>
      <c r="W2042" s="70"/>
      <c r="X2042" s="74"/>
      <c r="Y2042" s="75"/>
      <c r="Z2042" s="75"/>
    </row>
    <row r="2043" spans="1:26" x14ac:dyDescent="0.3">
      <c r="A2043" s="72"/>
      <c r="B2043" s="73"/>
      <c r="C2043" s="70"/>
      <c r="D2043" s="74"/>
      <c r="E2043" s="75"/>
      <c r="F2043" s="75"/>
      <c r="K2043" s="72"/>
      <c r="L2043" s="73"/>
      <c r="M2043" s="70"/>
      <c r="N2043" s="74"/>
      <c r="O2043" s="75"/>
      <c r="P2043" s="75"/>
      <c r="U2043" s="72"/>
      <c r="V2043" s="73"/>
      <c r="W2043" s="70"/>
      <c r="X2043" s="74"/>
      <c r="Y2043" s="75"/>
      <c r="Z2043" s="75"/>
    </row>
    <row r="2044" spans="1:26" x14ac:dyDescent="0.3">
      <c r="A2044" s="72"/>
      <c r="B2044" s="73"/>
      <c r="C2044" s="70"/>
      <c r="D2044" s="74"/>
      <c r="E2044" s="75"/>
      <c r="F2044" s="75"/>
      <c r="K2044" s="72"/>
      <c r="L2044" s="73"/>
      <c r="M2044" s="70"/>
      <c r="N2044" s="74"/>
      <c r="O2044" s="75"/>
      <c r="P2044" s="75"/>
      <c r="U2044" s="72"/>
      <c r="V2044" s="73"/>
      <c r="W2044" s="70"/>
      <c r="X2044" s="74"/>
      <c r="Y2044" s="75"/>
      <c r="Z2044" s="75"/>
    </row>
    <row r="2045" spans="1:26" x14ac:dyDescent="0.3">
      <c r="A2045" s="72"/>
      <c r="B2045" s="73"/>
      <c r="C2045" s="70"/>
      <c r="D2045" s="74"/>
      <c r="E2045" s="75"/>
      <c r="F2045" s="75"/>
      <c r="K2045" s="72"/>
      <c r="L2045" s="73"/>
      <c r="M2045" s="70"/>
      <c r="N2045" s="74"/>
      <c r="O2045" s="75"/>
      <c r="P2045" s="75"/>
      <c r="U2045" s="72"/>
      <c r="V2045" s="73"/>
      <c r="W2045" s="70"/>
      <c r="X2045" s="74"/>
      <c r="Y2045" s="75"/>
      <c r="Z2045" s="75"/>
    </row>
    <row r="2046" spans="1:26" x14ac:dyDescent="0.3">
      <c r="A2046" s="72"/>
      <c r="B2046" s="73"/>
      <c r="C2046" s="70"/>
      <c r="D2046" s="74"/>
      <c r="E2046" s="75"/>
      <c r="F2046" s="75"/>
      <c r="K2046" s="72"/>
      <c r="L2046" s="73"/>
      <c r="M2046" s="70"/>
      <c r="N2046" s="74"/>
      <c r="O2046" s="75"/>
      <c r="P2046" s="75"/>
      <c r="U2046" s="72"/>
      <c r="V2046" s="73"/>
      <c r="W2046" s="70"/>
      <c r="X2046" s="74"/>
      <c r="Y2046" s="75"/>
      <c r="Z2046" s="75"/>
    </row>
    <row r="2047" spans="1:26" x14ac:dyDescent="0.3">
      <c r="A2047" s="72"/>
      <c r="B2047" s="73"/>
      <c r="C2047" s="70"/>
      <c r="D2047" s="74"/>
      <c r="E2047" s="75"/>
      <c r="F2047" s="75"/>
      <c r="K2047" s="72"/>
      <c r="L2047" s="73"/>
      <c r="M2047" s="70"/>
      <c r="N2047" s="74"/>
      <c r="O2047" s="75"/>
      <c r="P2047" s="75"/>
      <c r="U2047" s="72"/>
      <c r="V2047" s="73"/>
      <c r="W2047" s="70"/>
      <c r="X2047" s="74"/>
      <c r="Y2047" s="75"/>
      <c r="Z2047" s="75"/>
    </row>
    <row r="2048" spans="1:26" x14ac:dyDescent="0.3">
      <c r="A2048" s="72"/>
      <c r="B2048" s="73"/>
      <c r="C2048" s="70"/>
      <c r="D2048" s="74"/>
      <c r="E2048" s="75"/>
      <c r="F2048" s="75"/>
      <c r="K2048" s="72"/>
      <c r="L2048" s="73"/>
      <c r="M2048" s="70"/>
      <c r="N2048" s="74"/>
      <c r="O2048" s="75"/>
      <c r="P2048" s="75"/>
      <c r="U2048" s="72"/>
      <c r="V2048" s="73"/>
      <c r="W2048" s="70"/>
      <c r="X2048" s="74"/>
      <c r="Y2048" s="75"/>
      <c r="Z2048" s="75"/>
    </row>
    <row r="2049" spans="1:26" x14ac:dyDescent="0.3">
      <c r="A2049" s="72"/>
      <c r="B2049" s="73"/>
      <c r="C2049" s="70"/>
      <c r="D2049" s="74"/>
      <c r="E2049" s="75"/>
      <c r="F2049" s="75"/>
      <c r="K2049" s="72"/>
      <c r="L2049" s="73"/>
      <c r="M2049" s="70"/>
      <c r="N2049" s="74"/>
      <c r="O2049" s="75"/>
      <c r="P2049" s="75"/>
      <c r="U2049" s="72"/>
      <c r="V2049" s="73"/>
      <c r="W2049" s="70"/>
      <c r="X2049" s="74"/>
      <c r="Y2049" s="75"/>
      <c r="Z2049" s="75"/>
    </row>
    <row r="2050" spans="1:26" x14ac:dyDescent="0.3">
      <c r="A2050" s="72"/>
      <c r="B2050" s="73"/>
      <c r="C2050" s="70"/>
      <c r="D2050" s="74"/>
      <c r="E2050" s="75"/>
      <c r="F2050" s="75"/>
      <c r="K2050" s="72"/>
      <c r="L2050" s="73"/>
      <c r="M2050" s="70"/>
      <c r="N2050" s="74"/>
      <c r="O2050" s="75"/>
      <c r="P2050" s="75"/>
      <c r="U2050" s="72"/>
      <c r="V2050" s="73"/>
      <c r="W2050" s="70"/>
      <c r="X2050" s="74"/>
      <c r="Y2050" s="75"/>
      <c r="Z2050" s="75"/>
    </row>
    <row r="2051" spans="1:26" x14ac:dyDescent="0.3">
      <c r="A2051" s="72"/>
      <c r="B2051" s="73"/>
      <c r="C2051" s="70"/>
      <c r="D2051" s="74"/>
      <c r="E2051" s="75"/>
      <c r="F2051" s="75"/>
      <c r="K2051" s="72"/>
      <c r="L2051" s="73"/>
      <c r="M2051" s="70"/>
      <c r="N2051" s="74"/>
      <c r="O2051" s="75"/>
      <c r="P2051" s="75"/>
      <c r="U2051" s="72"/>
      <c r="V2051" s="73"/>
      <c r="W2051" s="70"/>
      <c r="X2051" s="74"/>
      <c r="Y2051" s="75"/>
      <c r="Z2051" s="75"/>
    </row>
    <row r="2052" spans="1:26" x14ac:dyDescent="0.3">
      <c r="A2052" s="72"/>
      <c r="B2052" s="73"/>
      <c r="C2052" s="70"/>
      <c r="D2052" s="74"/>
      <c r="E2052" s="75"/>
      <c r="F2052" s="75"/>
      <c r="K2052" s="72"/>
      <c r="L2052" s="73"/>
      <c r="M2052" s="70"/>
      <c r="N2052" s="74"/>
      <c r="O2052" s="75"/>
      <c r="P2052" s="75"/>
      <c r="U2052" s="72"/>
      <c r="V2052" s="73"/>
      <c r="W2052" s="70"/>
      <c r="X2052" s="74"/>
      <c r="Y2052" s="75"/>
      <c r="Z2052" s="75"/>
    </row>
    <row r="2053" spans="1:26" x14ac:dyDescent="0.3">
      <c r="A2053" s="72"/>
      <c r="B2053" s="73"/>
      <c r="C2053" s="70"/>
      <c r="D2053" s="74"/>
      <c r="E2053" s="75"/>
      <c r="F2053" s="75"/>
      <c r="K2053" s="72"/>
      <c r="L2053" s="73"/>
      <c r="M2053" s="70"/>
      <c r="N2053" s="74"/>
      <c r="O2053" s="75"/>
      <c r="P2053" s="75"/>
      <c r="U2053" s="72"/>
      <c r="V2053" s="73"/>
      <c r="W2053" s="70"/>
      <c r="X2053" s="74"/>
      <c r="Y2053" s="75"/>
      <c r="Z2053" s="75"/>
    </row>
    <row r="2054" spans="1:26" x14ac:dyDescent="0.3">
      <c r="A2054" s="72"/>
      <c r="B2054" s="73"/>
      <c r="C2054" s="70"/>
      <c r="D2054" s="74"/>
      <c r="E2054" s="75"/>
      <c r="F2054" s="75"/>
      <c r="K2054" s="72"/>
      <c r="L2054" s="73"/>
      <c r="M2054" s="70"/>
      <c r="N2054" s="74"/>
      <c r="O2054" s="75"/>
      <c r="P2054" s="75"/>
      <c r="U2054" s="72"/>
      <c r="V2054" s="73"/>
      <c r="W2054" s="70"/>
      <c r="X2054" s="74"/>
      <c r="Y2054" s="75"/>
      <c r="Z2054" s="75"/>
    </row>
    <row r="2055" spans="1:26" x14ac:dyDescent="0.3">
      <c r="A2055" s="72"/>
      <c r="B2055" s="73"/>
      <c r="C2055" s="70"/>
      <c r="D2055" s="74"/>
      <c r="E2055" s="75"/>
      <c r="F2055" s="75"/>
      <c r="K2055" s="72"/>
      <c r="L2055" s="73"/>
      <c r="M2055" s="70"/>
      <c r="N2055" s="74"/>
      <c r="O2055" s="75"/>
      <c r="P2055" s="75"/>
      <c r="U2055" s="72"/>
      <c r="V2055" s="73"/>
      <c r="W2055" s="70"/>
      <c r="X2055" s="74"/>
      <c r="Y2055" s="75"/>
      <c r="Z2055" s="75"/>
    </row>
    <row r="2056" spans="1:26" x14ac:dyDescent="0.3">
      <c r="A2056" s="72"/>
      <c r="B2056" s="73"/>
      <c r="C2056" s="70"/>
      <c r="D2056" s="74"/>
      <c r="E2056" s="75"/>
      <c r="F2056" s="75"/>
      <c r="K2056" s="72"/>
      <c r="L2056" s="73"/>
      <c r="M2056" s="70"/>
      <c r="N2056" s="74"/>
      <c r="O2056" s="75"/>
      <c r="P2056" s="75"/>
      <c r="U2056" s="72"/>
      <c r="V2056" s="73"/>
      <c r="W2056" s="70"/>
      <c r="X2056" s="74"/>
      <c r="Y2056" s="75"/>
      <c r="Z2056" s="75"/>
    </row>
    <row r="2057" spans="1:26" x14ac:dyDescent="0.3">
      <c r="A2057" s="72"/>
      <c r="B2057" s="73"/>
      <c r="C2057" s="70"/>
      <c r="D2057" s="74"/>
      <c r="E2057" s="75"/>
      <c r="F2057" s="75"/>
      <c r="K2057" s="72"/>
      <c r="L2057" s="73"/>
      <c r="M2057" s="70"/>
      <c r="N2057" s="74"/>
      <c r="O2057" s="75"/>
      <c r="P2057" s="75"/>
      <c r="U2057" s="72"/>
      <c r="V2057" s="73"/>
      <c r="W2057" s="70"/>
      <c r="X2057" s="74"/>
      <c r="Y2057" s="75"/>
      <c r="Z2057" s="75"/>
    </row>
    <row r="2058" spans="1:26" x14ac:dyDescent="0.3">
      <c r="A2058" s="72"/>
      <c r="B2058" s="73"/>
      <c r="C2058" s="70"/>
      <c r="D2058" s="74"/>
      <c r="E2058" s="75"/>
      <c r="F2058" s="75"/>
      <c r="K2058" s="72"/>
      <c r="L2058" s="73"/>
      <c r="M2058" s="70"/>
      <c r="N2058" s="74"/>
      <c r="O2058" s="75"/>
      <c r="P2058" s="75"/>
      <c r="U2058" s="72"/>
      <c r="V2058" s="73"/>
      <c r="W2058" s="70"/>
      <c r="X2058" s="74"/>
      <c r="Y2058" s="75"/>
      <c r="Z2058" s="75"/>
    </row>
    <row r="2059" spans="1:26" x14ac:dyDescent="0.3">
      <c r="A2059" s="72"/>
      <c r="B2059" s="73"/>
      <c r="C2059" s="70"/>
      <c r="D2059" s="74"/>
      <c r="E2059" s="75"/>
      <c r="F2059" s="75"/>
      <c r="K2059" s="72"/>
      <c r="L2059" s="73"/>
      <c r="M2059" s="70"/>
      <c r="N2059" s="74"/>
      <c r="O2059" s="75"/>
      <c r="P2059" s="75"/>
      <c r="U2059" s="72"/>
      <c r="V2059" s="73"/>
      <c r="W2059" s="70"/>
      <c r="X2059" s="74"/>
      <c r="Y2059" s="75"/>
      <c r="Z2059" s="75"/>
    </row>
    <row r="2060" spans="1:26" x14ac:dyDescent="0.3">
      <c r="A2060" s="72"/>
      <c r="B2060" s="73"/>
      <c r="C2060" s="70"/>
      <c r="D2060" s="74"/>
      <c r="E2060" s="75"/>
      <c r="F2060" s="75"/>
      <c r="K2060" s="72"/>
      <c r="L2060" s="73"/>
      <c r="M2060" s="70"/>
      <c r="N2060" s="74"/>
      <c r="O2060" s="75"/>
      <c r="P2060" s="75"/>
      <c r="U2060" s="72"/>
      <c r="V2060" s="73"/>
      <c r="W2060" s="70"/>
      <c r="X2060" s="74"/>
      <c r="Y2060" s="75"/>
      <c r="Z2060" s="75"/>
    </row>
    <row r="2061" spans="1:26" x14ac:dyDescent="0.3">
      <c r="A2061" s="72"/>
      <c r="B2061" s="73"/>
      <c r="C2061" s="70"/>
      <c r="D2061" s="74"/>
      <c r="E2061" s="75"/>
      <c r="F2061" s="75"/>
      <c r="K2061" s="72"/>
      <c r="L2061" s="73"/>
      <c r="M2061" s="70"/>
      <c r="N2061" s="74"/>
      <c r="O2061" s="75"/>
      <c r="P2061" s="75"/>
      <c r="U2061" s="72"/>
      <c r="V2061" s="73"/>
      <c r="W2061" s="70"/>
      <c r="X2061" s="74"/>
      <c r="Y2061" s="75"/>
      <c r="Z2061" s="75"/>
    </row>
    <row r="2062" spans="1:26" x14ac:dyDescent="0.3">
      <c r="A2062" s="72"/>
      <c r="B2062" s="73"/>
      <c r="C2062" s="70"/>
      <c r="D2062" s="74"/>
      <c r="E2062" s="75"/>
      <c r="F2062" s="75"/>
      <c r="K2062" s="72"/>
      <c r="L2062" s="73"/>
      <c r="M2062" s="70"/>
      <c r="N2062" s="74"/>
      <c r="O2062" s="75"/>
      <c r="P2062" s="75"/>
      <c r="U2062" s="72"/>
      <c r="V2062" s="73"/>
      <c r="W2062" s="70"/>
      <c r="X2062" s="74"/>
      <c r="Y2062" s="75"/>
      <c r="Z2062" s="75"/>
    </row>
    <row r="2063" spans="1:26" x14ac:dyDescent="0.3">
      <c r="A2063" s="72"/>
      <c r="B2063" s="73"/>
      <c r="C2063" s="70"/>
      <c r="D2063" s="74"/>
      <c r="E2063" s="75"/>
      <c r="F2063" s="75"/>
      <c r="K2063" s="72"/>
      <c r="L2063" s="73"/>
      <c r="M2063" s="70"/>
      <c r="N2063" s="74"/>
      <c r="O2063" s="75"/>
      <c r="P2063" s="75"/>
      <c r="U2063" s="72"/>
      <c r="V2063" s="73"/>
      <c r="W2063" s="70"/>
      <c r="X2063" s="74"/>
      <c r="Y2063" s="75"/>
      <c r="Z2063" s="75"/>
    </row>
    <row r="2064" spans="1:26" x14ac:dyDescent="0.3">
      <c r="A2064" s="72"/>
      <c r="B2064" s="73"/>
      <c r="C2064" s="70"/>
      <c r="D2064" s="74"/>
      <c r="E2064" s="75"/>
      <c r="F2064" s="75"/>
      <c r="K2064" s="72"/>
      <c r="L2064" s="73"/>
      <c r="M2064" s="70"/>
      <c r="N2064" s="74"/>
      <c r="O2064" s="75"/>
      <c r="P2064" s="75"/>
      <c r="U2064" s="72"/>
      <c r="V2064" s="73"/>
      <c r="W2064" s="70"/>
      <c r="X2064" s="74"/>
      <c r="Y2064" s="75"/>
      <c r="Z2064" s="75"/>
    </row>
    <row r="2065" spans="1:26" x14ac:dyDescent="0.3">
      <c r="A2065" s="72"/>
      <c r="B2065" s="73"/>
      <c r="C2065" s="70"/>
      <c r="D2065" s="74"/>
      <c r="E2065" s="75"/>
      <c r="F2065" s="75"/>
      <c r="K2065" s="72"/>
      <c r="L2065" s="73"/>
      <c r="M2065" s="70"/>
      <c r="N2065" s="74"/>
      <c r="O2065" s="75"/>
      <c r="P2065" s="75"/>
      <c r="U2065" s="72"/>
      <c r="V2065" s="73"/>
      <c r="W2065" s="70"/>
      <c r="X2065" s="74"/>
      <c r="Y2065" s="75"/>
      <c r="Z2065" s="75"/>
    </row>
    <row r="2066" spans="1:26" x14ac:dyDescent="0.3">
      <c r="A2066" s="72"/>
      <c r="B2066" s="73"/>
      <c r="C2066" s="70"/>
      <c r="D2066" s="74"/>
      <c r="E2066" s="75"/>
      <c r="F2066" s="75"/>
      <c r="K2066" s="72"/>
      <c r="L2066" s="73"/>
      <c r="M2066" s="70"/>
      <c r="N2066" s="74"/>
      <c r="O2066" s="75"/>
      <c r="P2066" s="75"/>
      <c r="U2066" s="72"/>
      <c r="V2066" s="73"/>
      <c r="W2066" s="70"/>
      <c r="X2066" s="74"/>
      <c r="Y2066" s="75"/>
      <c r="Z2066" s="75"/>
    </row>
    <row r="2067" spans="1:26" x14ac:dyDescent="0.3">
      <c r="A2067" s="72"/>
      <c r="B2067" s="73"/>
      <c r="C2067" s="70"/>
      <c r="D2067" s="74"/>
      <c r="E2067" s="75"/>
      <c r="F2067" s="75"/>
      <c r="K2067" s="72"/>
      <c r="L2067" s="73"/>
      <c r="M2067" s="70"/>
      <c r="N2067" s="74"/>
      <c r="O2067" s="75"/>
      <c r="P2067" s="75"/>
      <c r="U2067" s="72"/>
      <c r="V2067" s="73"/>
      <c r="W2067" s="70"/>
      <c r="X2067" s="74"/>
      <c r="Y2067" s="75"/>
      <c r="Z2067" s="75"/>
    </row>
    <row r="2068" spans="1:26" x14ac:dyDescent="0.3">
      <c r="A2068" s="72"/>
      <c r="B2068" s="73"/>
      <c r="C2068" s="70"/>
      <c r="D2068" s="74"/>
      <c r="E2068" s="75"/>
      <c r="F2068" s="75"/>
      <c r="K2068" s="72"/>
      <c r="L2068" s="73"/>
      <c r="M2068" s="70"/>
      <c r="N2068" s="74"/>
      <c r="O2068" s="75"/>
      <c r="P2068" s="75"/>
      <c r="U2068" s="72"/>
      <c r="V2068" s="73"/>
      <c r="W2068" s="70"/>
      <c r="X2068" s="74"/>
      <c r="Y2068" s="75"/>
      <c r="Z2068" s="75"/>
    </row>
    <row r="2069" spans="1:26" x14ac:dyDescent="0.3">
      <c r="A2069" s="72"/>
      <c r="B2069" s="73"/>
      <c r="C2069" s="70"/>
      <c r="D2069" s="74"/>
      <c r="E2069" s="75"/>
      <c r="F2069" s="75"/>
      <c r="K2069" s="72"/>
      <c r="L2069" s="73"/>
      <c r="M2069" s="70"/>
      <c r="N2069" s="74"/>
      <c r="O2069" s="75"/>
      <c r="P2069" s="75"/>
      <c r="U2069" s="72"/>
      <c r="V2069" s="73"/>
      <c r="W2069" s="70"/>
      <c r="X2069" s="74"/>
      <c r="Y2069" s="75"/>
      <c r="Z2069" s="75"/>
    </row>
    <row r="2070" spans="1:26" x14ac:dyDescent="0.3">
      <c r="A2070" s="72"/>
      <c r="B2070" s="73"/>
      <c r="C2070" s="70"/>
      <c r="D2070" s="74"/>
      <c r="E2070" s="75"/>
      <c r="F2070" s="75"/>
      <c r="K2070" s="72"/>
      <c r="L2070" s="73"/>
      <c r="M2070" s="70"/>
      <c r="N2070" s="74"/>
      <c r="O2070" s="75"/>
      <c r="P2070" s="75"/>
      <c r="U2070" s="72"/>
      <c r="V2070" s="73"/>
      <c r="W2070" s="70"/>
      <c r="X2070" s="74"/>
      <c r="Y2070" s="75"/>
      <c r="Z2070" s="75"/>
    </row>
    <row r="2071" spans="1:26" x14ac:dyDescent="0.3">
      <c r="A2071" s="72"/>
      <c r="B2071" s="73"/>
      <c r="C2071" s="70"/>
      <c r="D2071" s="74"/>
      <c r="E2071" s="75"/>
      <c r="F2071" s="75"/>
      <c r="K2071" s="72"/>
      <c r="L2071" s="73"/>
      <c r="M2071" s="70"/>
      <c r="N2071" s="74"/>
      <c r="O2071" s="75"/>
      <c r="P2071" s="75"/>
      <c r="U2071" s="72"/>
      <c r="V2071" s="73"/>
      <c r="W2071" s="70"/>
      <c r="X2071" s="74"/>
      <c r="Y2071" s="75"/>
      <c r="Z2071" s="75"/>
    </row>
    <row r="2072" spans="1:26" x14ac:dyDescent="0.3">
      <c r="A2072" s="72"/>
      <c r="B2072" s="73"/>
      <c r="C2072" s="70"/>
      <c r="D2072" s="74"/>
      <c r="E2072" s="75"/>
      <c r="F2072" s="75"/>
      <c r="K2072" s="72"/>
      <c r="L2072" s="73"/>
      <c r="M2072" s="70"/>
      <c r="N2072" s="74"/>
      <c r="O2072" s="75"/>
      <c r="P2072" s="75"/>
      <c r="U2072" s="72"/>
      <c r="V2072" s="73"/>
      <c r="W2072" s="70"/>
      <c r="X2072" s="74"/>
      <c r="Y2072" s="75"/>
      <c r="Z2072" s="75"/>
    </row>
    <row r="2073" spans="1:26" x14ac:dyDescent="0.3">
      <c r="A2073" s="72"/>
      <c r="B2073" s="73"/>
      <c r="C2073" s="70"/>
      <c r="D2073" s="74"/>
      <c r="E2073" s="75"/>
      <c r="F2073" s="75"/>
      <c r="K2073" s="72"/>
      <c r="L2073" s="73"/>
      <c r="M2073" s="70"/>
      <c r="N2073" s="74"/>
      <c r="O2073" s="75"/>
      <c r="P2073" s="75"/>
      <c r="U2073" s="72"/>
      <c r="V2073" s="73"/>
      <c r="W2073" s="70"/>
      <c r="X2073" s="74"/>
      <c r="Y2073" s="75"/>
      <c r="Z2073" s="75"/>
    </row>
    <row r="2074" spans="1:26" x14ac:dyDescent="0.3">
      <c r="A2074" s="72"/>
      <c r="B2074" s="73"/>
      <c r="C2074" s="70"/>
      <c r="D2074" s="74"/>
      <c r="E2074" s="75"/>
      <c r="F2074" s="75"/>
      <c r="K2074" s="72"/>
      <c r="L2074" s="73"/>
      <c r="M2074" s="70"/>
      <c r="N2074" s="74"/>
      <c r="O2074" s="75"/>
      <c r="P2074" s="75"/>
      <c r="U2074" s="72"/>
      <c r="V2074" s="73"/>
      <c r="W2074" s="70"/>
      <c r="X2074" s="74"/>
      <c r="Y2074" s="75"/>
      <c r="Z2074" s="75"/>
    </row>
    <row r="2075" spans="1:26" x14ac:dyDescent="0.3">
      <c r="A2075" s="72"/>
      <c r="B2075" s="73"/>
      <c r="C2075" s="70"/>
      <c r="D2075" s="74"/>
      <c r="E2075" s="75"/>
      <c r="F2075" s="75"/>
      <c r="K2075" s="72"/>
      <c r="L2075" s="73"/>
      <c r="M2075" s="70"/>
      <c r="N2075" s="74"/>
      <c r="O2075" s="75"/>
      <c r="P2075" s="75"/>
      <c r="U2075" s="72"/>
      <c r="V2075" s="73"/>
      <c r="W2075" s="70"/>
      <c r="X2075" s="74"/>
      <c r="Y2075" s="75"/>
      <c r="Z2075" s="75"/>
    </row>
    <row r="2076" spans="1:26" x14ac:dyDescent="0.3">
      <c r="A2076" s="72"/>
      <c r="B2076" s="73"/>
      <c r="C2076" s="70"/>
      <c r="D2076" s="74"/>
      <c r="E2076" s="75"/>
      <c r="F2076" s="75"/>
      <c r="K2076" s="72"/>
      <c r="L2076" s="73"/>
      <c r="M2076" s="70"/>
      <c r="N2076" s="74"/>
      <c r="O2076" s="75"/>
      <c r="P2076" s="75"/>
      <c r="U2076" s="72"/>
      <c r="V2076" s="73"/>
      <c r="W2076" s="70"/>
      <c r="X2076" s="74"/>
      <c r="Y2076" s="75"/>
      <c r="Z2076" s="75"/>
    </row>
    <row r="2077" spans="1:26" x14ac:dyDescent="0.3">
      <c r="A2077" s="72"/>
      <c r="B2077" s="73"/>
      <c r="C2077" s="70"/>
      <c r="D2077" s="74"/>
      <c r="E2077" s="75"/>
      <c r="F2077" s="75"/>
      <c r="K2077" s="72"/>
      <c r="L2077" s="73"/>
      <c r="M2077" s="70"/>
      <c r="N2077" s="74"/>
      <c r="O2077" s="75"/>
      <c r="P2077" s="75"/>
      <c r="U2077" s="72"/>
      <c r="V2077" s="73"/>
      <c r="W2077" s="70"/>
      <c r="X2077" s="74"/>
      <c r="Y2077" s="75"/>
      <c r="Z2077" s="75"/>
    </row>
    <row r="2078" spans="1:26" x14ac:dyDescent="0.3">
      <c r="A2078" s="72"/>
      <c r="B2078" s="73"/>
      <c r="C2078" s="70"/>
      <c r="D2078" s="74"/>
      <c r="E2078" s="75"/>
      <c r="F2078" s="75"/>
      <c r="K2078" s="72"/>
      <c r="L2078" s="73"/>
      <c r="M2078" s="70"/>
      <c r="N2078" s="74"/>
      <c r="O2078" s="75"/>
      <c r="P2078" s="75"/>
      <c r="U2078" s="72"/>
      <c r="V2078" s="73"/>
      <c r="W2078" s="70"/>
      <c r="X2078" s="74"/>
      <c r="Y2078" s="75"/>
      <c r="Z2078" s="75"/>
    </row>
    <row r="2079" spans="1:26" x14ac:dyDescent="0.3">
      <c r="A2079" s="72"/>
      <c r="B2079" s="73"/>
      <c r="C2079" s="70"/>
      <c r="D2079" s="74"/>
      <c r="E2079" s="75"/>
      <c r="F2079" s="75"/>
      <c r="K2079" s="72"/>
      <c r="L2079" s="73"/>
      <c r="M2079" s="70"/>
      <c r="N2079" s="74"/>
      <c r="O2079" s="75"/>
      <c r="P2079" s="75"/>
      <c r="U2079" s="72"/>
      <c r="V2079" s="73"/>
      <c r="W2079" s="70"/>
      <c r="X2079" s="74"/>
      <c r="Y2079" s="75"/>
      <c r="Z2079" s="75"/>
    </row>
    <row r="2080" spans="1:26" x14ac:dyDescent="0.3">
      <c r="A2080" s="72"/>
      <c r="B2080" s="73"/>
      <c r="C2080" s="70"/>
      <c r="D2080" s="74"/>
      <c r="E2080" s="75"/>
      <c r="F2080" s="75"/>
      <c r="K2080" s="72"/>
      <c r="L2080" s="73"/>
      <c r="M2080" s="70"/>
      <c r="N2080" s="74"/>
      <c r="O2080" s="75"/>
      <c r="P2080" s="75"/>
      <c r="U2080" s="72"/>
      <c r="V2080" s="73"/>
      <c r="W2080" s="70"/>
      <c r="X2080" s="74"/>
      <c r="Y2080" s="75"/>
      <c r="Z2080" s="75"/>
    </row>
    <row r="2081" spans="1:26" x14ac:dyDescent="0.3">
      <c r="A2081" s="72"/>
      <c r="B2081" s="73"/>
      <c r="C2081" s="70"/>
      <c r="D2081" s="74"/>
      <c r="E2081" s="75"/>
      <c r="F2081" s="75"/>
      <c r="K2081" s="72"/>
      <c r="L2081" s="73"/>
      <c r="M2081" s="70"/>
      <c r="N2081" s="74"/>
      <c r="O2081" s="75"/>
      <c r="P2081" s="75"/>
      <c r="U2081" s="72"/>
      <c r="V2081" s="73"/>
      <c r="W2081" s="70"/>
      <c r="X2081" s="74"/>
      <c r="Y2081" s="75"/>
      <c r="Z2081" s="75"/>
    </row>
    <row r="2082" spans="1:26" x14ac:dyDescent="0.3">
      <c r="A2082" s="72"/>
      <c r="B2082" s="73"/>
      <c r="C2082" s="70"/>
      <c r="D2082" s="74"/>
      <c r="E2082" s="75"/>
      <c r="F2082" s="75"/>
      <c r="K2082" s="72"/>
      <c r="L2082" s="73"/>
      <c r="M2082" s="70"/>
      <c r="N2082" s="74"/>
      <c r="O2082" s="75"/>
      <c r="P2082" s="75"/>
      <c r="U2082" s="72"/>
      <c r="V2082" s="73"/>
      <c r="W2082" s="70"/>
      <c r="X2082" s="74"/>
      <c r="Y2082" s="75"/>
      <c r="Z2082" s="75"/>
    </row>
    <row r="2083" spans="1:26" x14ac:dyDescent="0.3">
      <c r="A2083" s="72"/>
      <c r="B2083" s="73"/>
      <c r="C2083" s="70"/>
      <c r="D2083" s="74"/>
      <c r="E2083" s="75"/>
      <c r="F2083" s="75"/>
      <c r="K2083" s="72"/>
      <c r="L2083" s="73"/>
      <c r="M2083" s="70"/>
      <c r="N2083" s="74"/>
      <c r="O2083" s="75"/>
      <c r="P2083" s="75"/>
      <c r="U2083" s="72"/>
      <c r="V2083" s="73"/>
      <c r="W2083" s="70"/>
      <c r="X2083" s="74"/>
      <c r="Y2083" s="75"/>
      <c r="Z2083" s="75"/>
    </row>
    <row r="2084" spans="1:26" x14ac:dyDescent="0.3">
      <c r="A2084" s="72"/>
      <c r="B2084" s="73"/>
      <c r="C2084" s="70"/>
      <c r="D2084" s="74"/>
      <c r="E2084" s="75"/>
      <c r="F2084" s="75"/>
      <c r="K2084" s="72"/>
      <c r="L2084" s="73"/>
      <c r="M2084" s="70"/>
      <c r="N2084" s="74"/>
      <c r="O2084" s="75"/>
      <c r="P2084" s="75"/>
      <c r="U2084" s="72"/>
      <c r="V2084" s="73"/>
      <c r="W2084" s="70"/>
      <c r="X2084" s="74"/>
      <c r="Y2084" s="75"/>
      <c r="Z2084" s="75"/>
    </row>
    <row r="2085" spans="1:26" x14ac:dyDescent="0.3">
      <c r="A2085" s="72"/>
      <c r="B2085" s="73"/>
      <c r="C2085" s="70"/>
      <c r="D2085" s="74"/>
      <c r="E2085" s="75"/>
      <c r="F2085" s="75"/>
      <c r="K2085" s="72"/>
      <c r="L2085" s="73"/>
      <c r="M2085" s="70"/>
      <c r="N2085" s="74"/>
      <c r="O2085" s="75"/>
      <c r="P2085" s="75"/>
      <c r="U2085" s="72"/>
      <c r="V2085" s="73"/>
      <c r="W2085" s="70"/>
      <c r="X2085" s="74"/>
      <c r="Y2085" s="75"/>
      <c r="Z2085" s="75"/>
    </row>
    <row r="2086" spans="1:26" x14ac:dyDescent="0.3">
      <c r="A2086" s="72"/>
      <c r="B2086" s="73"/>
      <c r="C2086" s="70"/>
      <c r="D2086" s="74"/>
      <c r="E2086" s="75"/>
      <c r="F2086" s="75"/>
      <c r="K2086" s="72"/>
      <c r="L2086" s="73"/>
      <c r="M2086" s="70"/>
      <c r="N2086" s="74"/>
      <c r="O2086" s="75"/>
      <c r="P2086" s="75"/>
      <c r="U2086" s="72"/>
      <c r="V2086" s="73"/>
      <c r="W2086" s="70"/>
      <c r="X2086" s="74"/>
      <c r="Y2086" s="75"/>
      <c r="Z2086" s="75"/>
    </row>
    <row r="2087" spans="1:26" x14ac:dyDescent="0.3">
      <c r="A2087" s="72"/>
      <c r="B2087" s="73"/>
      <c r="C2087" s="70"/>
      <c r="D2087" s="74"/>
      <c r="E2087" s="75"/>
      <c r="F2087" s="75"/>
      <c r="K2087" s="72"/>
      <c r="L2087" s="73"/>
      <c r="M2087" s="70"/>
      <c r="N2087" s="74"/>
      <c r="O2087" s="75"/>
      <c r="P2087" s="75"/>
      <c r="U2087" s="72"/>
      <c r="V2087" s="73"/>
      <c r="W2087" s="70"/>
      <c r="X2087" s="74"/>
      <c r="Y2087" s="75"/>
      <c r="Z2087" s="75"/>
    </row>
    <row r="2088" spans="1:26" x14ac:dyDescent="0.3">
      <c r="A2088" s="72"/>
      <c r="B2088" s="73"/>
      <c r="C2088" s="70"/>
      <c r="D2088" s="74"/>
      <c r="E2088" s="75"/>
      <c r="F2088" s="75"/>
      <c r="K2088" s="72"/>
      <c r="L2088" s="73"/>
      <c r="M2088" s="70"/>
      <c r="N2088" s="74"/>
      <c r="O2088" s="75"/>
      <c r="P2088" s="75"/>
      <c r="U2088" s="72"/>
      <c r="V2088" s="73"/>
      <c r="W2088" s="70"/>
      <c r="X2088" s="74"/>
      <c r="Y2088" s="75"/>
      <c r="Z2088" s="75"/>
    </row>
    <row r="2089" spans="1:26" x14ac:dyDescent="0.3">
      <c r="A2089" s="72"/>
      <c r="B2089" s="73"/>
      <c r="C2089" s="70"/>
      <c r="D2089" s="74"/>
      <c r="E2089" s="75"/>
      <c r="F2089" s="75"/>
      <c r="K2089" s="72"/>
      <c r="L2089" s="73"/>
      <c r="M2089" s="70"/>
      <c r="N2089" s="74"/>
      <c r="O2089" s="75"/>
      <c r="P2089" s="75"/>
      <c r="U2089" s="72"/>
      <c r="V2089" s="73"/>
      <c r="W2089" s="70"/>
      <c r="X2089" s="74"/>
      <c r="Y2089" s="75"/>
      <c r="Z2089" s="75"/>
    </row>
    <row r="2090" spans="1:26" x14ac:dyDescent="0.3">
      <c r="A2090" s="72"/>
      <c r="B2090" s="73"/>
      <c r="C2090" s="70"/>
      <c r="D2090" s="74"/>
      <c r="E2090" s="75"/>
      <c r="F2090" s="75"/>
      <c r="K2090" s="72"/>
      <c r="L2090" s="73"/>
      <c r="M2090" s="70"/>
      <c r="N2090" s="74"/>
      <c r="O2090" s="75"/>
      <c r="P2090" s="75"/>
      <c r="U2090" s="72"/>
      <c r="V2090" s="73"/>
      <c r="W2090" s="70"/>
      <c r="X2090" s="74"/>
      <c r="Y2090" s="75"/>
      <c r="Z2090" s="75"/>
    </row>
    <row r="2091" spans="1:26" x14ac:dyDescent="0.3">
      <c r="A2091" s="72"/>
      <c r="B2091" s="73"/>
      <c r="C2091" s="70"/>
      <c r="D2091" s="74"/>
      <c r="E2091" s="75"/>
      <c r="F2091" s="75"/>
      <c r="K2091" s="72"/>
      <c r="L2091" s="73"/>
      <c r="M2091" s="70"/>
      <c r="N2091" s="74"/>
      <c r="O2091" s="75"/>
      <c r="P2091" s="75"/>
      <c r="U2091" s="72"/>
      <c r="V2091" s="73"/>
      <c r="W2091" s="70"/>
      <c r="X2091" s="74"/>
      <c r="Y2091" s="75"/>
      <c r="Z2091" s="75"/>
    </row>
    <row r="2092" spans="1:26" x14ac:dyDescent="0.3">
      <c r="A2092" s="72"/>
      <c r="B2092" s="73"/>
      <c r="C2092" s="70"/>
      <c r="D2092" s="74"/>
      <c r="E2092" s="75"/>
      <c r="F2092" s="75"/>
      <c r="K2092" s="72"/>
      <c r="L2092" s="73"/>
      <c r="M2092" s="70"/>
      <c r="N2092" s="74"/>
      <c r="O2092" s="75"/>
      <c r="P2092" s="75"/>
      <c r="U2092" s="72"/>
      <c r="V2092" s="73"/>
      <c r="W2092" s="70"/>
      <c r="X2092" s="74"/>
      <c r="Y2092" s="75"/>
      <c r="Z2092" s="75"/>
    </row>
    <row r="2093" spans="1:26" x14ac:dyDescent="0.3">
      <c r="A2093" s="72"/>
      <c r="B2093" s="73"/>
      <c r="C2093" s="70"/>
      <c r="D2093" s="74"/>
      <c r="E2093" s="75"/>
      <c r="F2093" s="75"/>
      <c r="K2093" s="72"/>
      <c r="L2093" s="73"/>
      <c r="M2093" s="70"/>
      <c r="N2093" s="74"/>
      <c r="O2093" s="75"/>
      <c r="P2093" s="75"/>
      <c r="U2093" s="72"/>
      <c r="V2093" s="73"/>
      <c r="W2093" s="70"/>
      <c r="X2093" s="74"/>
      <c r="Y2093" s="75"/>
      <c r="Z2093" s="75"/>
    </row>
    <row r="2094" spans="1:26" x14ac:dyDescent="0.3">
      <c r="A2094" s="72"/>
      <c r="B2094" s="73"/>
      <c r="C2094" s="70"/>
      <c r="D2094" s="74"/>
      <c r="E2094" s="75"/>
      <c r="F2094" s="75"/>
      <c r="K2094" s="72"/>
      <c r="L2094" s="73"/>
      <c r="M2094" s="70"/>
      <c r="N2094" s="74"/>
      <c r="O2094" s="75"/>
      <c r="P2094" s="75"/>
      <c r="U2094" s="72"/>
      <c r="V2094" s="73"/>
      <c r="W2094" s="70"/>
      <c r="X2094" s="74"/>
      <c r="Y2094" s="75"/>
      <c r="Z2094" s="75"/>
    </row>
    <row r="2095" spans="1:26" x14ac:dyDescent="0.3">
      <c r="A2095" s="72"/>
      <c r="B2095" s="73"/>
      <c r="C2095" s="70"/>
      <c r="D2095" s="74"/>
      <c r="E2095" s="75"/>
      <c r="F2095" s="75"/>
      <c r="K2095" s="72"/>
      <c r="L2095" s="73"/>
      <c r="M2095" s="70"/>
      <c r="N2095" s="74"/>
      <c r="O2095" s="75"/>
      <c r="P2095" s="75"/>
      <c r="U2095" s="72"/>
      <c r="V2095" s="73"/>
      <c r="W2095" s="70"/>
      <c r="X2095" s="74"/>
      <c r="Y2095" s="75"/>
      <c r="Z2095" s="75"/>
    </row>
    <row r="2096" spans="1:26" x14ac:dyDescent="0.3">
      <c r="A2096" s="72"/>
      <c r="B2096" s="73"/>
      <c r="C2096" s="70"/>
      <c r="D2096" s="74"/>
      <c r="E2096" s="75"/>
      <c r="F2096" s="75"/>
      <c r="K2096" s="72"/>
      <c r="L2096" s="73"/>
      <c r="M2096" s="70"/>
      <c r="N2096" s="74"/>
      <c r="O2096" s="75"/>
      <c r="P2096" s="75"/>
      <c r="U2096" s="72"/>
      <c r="V2096" s="73"/>
      <c r="W2096" s="70"/>
      <c r="X2096" s="74"/>
      <c r="Y2096" s="75"/>
      <c r="Z2096" s="75"/>
    </row>
    <row r="2097" spans="1:26" x14ac:dyDescent="0.3">
      <c r="A2097" s="72"/>
      <c r="B2097" s="73"/>
      <c r="C2097" s="70"/>
      <c r="D2097" s="74"/>
      <c r="E2097" s="75"/>
      <c r="F2097" s="75"/>
      <c r="K2097" s="72"/>
      <c r="L2097" s="73"/>
      <c r="M2097" s="70"/>
      <c r="N2097" s="74"/>
      <c r="O2097" s="75"/>
      <c r="P2097" s="75"/>
      <c r="U2097" s="72"/>
      <c r="V2097" s="73"/>
      <c r="W2097" s="70"/>
      <c r="X2097" s="74"/>
      <c r="Y2097" s="75"/>
      <c r="Z2097" s="75"/>
    </row>
    <row r="2098" spans="1:26" x14ac:dyDescent="0.3">
      <c r="A2098" s="72"/>
      <c r="B2098" s="73"/>
      <c r="C2098" s="70"/>
      <c r="D2098" s="74"/>
      <c r="E2098" s="75"/>
      <c r="F2098" s="75"/>
      <c r="K2098" s="72"/>
      <c r="L2098" s="73"/>
      <c r="M2098" s="70"/>
      <c r="N2098" s="74"/>
      <c r="O2098" s="75"/>
      <c r="P2098" s="75"/>
      <c r="U2098" s="72"/>
      <c r="V2098" s="73"/>
      <c r="W2098" s="70"/>
      <c r="X2098" s="74"/>
      <c r="Y2098" s="75"/>
      <c r="Z2098" s="75"/>
    </row>
    <row r="2099" spans="1:26" x14ac:dyDescent="0.3">
      <c r="A2099" s="72"/>
      <c r="B2099" s="73"/>
      <c r="C2099" s="70"/>
      <c r="D2099" s="74"/>
      <c r="E2099" s="75"/>
      <c r="F2099" s="75"/>
      <c r="K2099" s="72"/>
      <c r="L2099" s="73"/>
      <c r="M2099" s="70"/>
      <c r="N2099" s="74"/>
      <c r="O2099" s="75"/>
      <c r="P2099" s="75"/>
      <c r="U2099" s="72"/>
      <c r="V2099" s="73"/>
      <c r="W2099" s="70"/>
      <c r="X2099" s="74"/>
      <c r="Y2099" s="75"/>
      <c r="Z2099" s="75"/>
    </row>
    <row r="2100" spans="1:26" x14ac:dyDescent="0.3">
      <c r="A2100" s="72"/>
      <c r="B2100" s="73"/>
      <c r="C2100" s="70"/>
      <c r="D2100" s="74"/>
      <c r="E2100" s="75"/>
      <c r="F2100" s="75"/>
      <c r="K2100" s="72"/>
      <c r="L2100" s="73"/>
      <c r="M2100" s="70"/>
      <c r="N2100" s="74"/>
      <c r="O2100" s="75"/>
      <c r="P2100" s="75"/>
      <c r="U2100" s="72"/>
      <c r="V2100" s="73"/>
      <c r="W2100" s="70"/>
      <c r="X2100" s="74"/>
      <c r="Y2100" s="75"/>
      <c r="Z2100" s="75"/>
    </row>
    <row r="2101" spans="1:26" x14ac:dyDescent="0.3">
      <c r="A2101" s="72"/>
      <c r="B2101" s="73"/>
      <c r="C2101" s="70"/>
      <c r="D2101" s="74"/>
      <c r="E2101" s="75"/>
      <c r="F2101" s="75"/>
      <c r="K2101" s="72"/>
      <c r="L2101" s="73"/>
      <c r="M2101" s="70"/>
      <c r="N2101" s="74"/>
      <c r="O2101" s="75"/>
      <c r="P2101" s="75"/>
      <c r="U2101" s="72"/>
      <c r="V2101" s="73"/>
      <c r="W2101" s="70"/>
      <c r="X2101" s="74"/>
      <c r="Y2101" s="75"/>
      <c r="Z2101" s="75"/>
    </row>
    <row r="2102" spans="1:26" x14ac:dyDescent="0.3">
      <c r="A2102" s="72"/>
      <c r="B2102" s="73"/>
      <c r="C2102" s="70"/>
      <c r="D2102" s="74"/>
      <c r="E2102" s="75"/>
      <c r="F2102" s="75"/>
      <c r="K2102" s="72"/>
      <c r="L2102" s="73"/>
      <c r="M2102" s="70"/>
      <c r="N2102" s="74"/>
      <c r="O2102" s="75"/>
      <c r="P2102" s="75"/>
      <c r="U2102" s="72"/>
      <c r="V2102" s="73"/>
      <c r="W2102" s="70"/>
      <c r="X2102" s="74"/>
      <c r="Y2102" s="75"/>
      <c r="Z2102" s="75"/>
    </row>
    <row r="2103" spans="1:26" x14ac:dyDescent="0.3">
      <c r="A2103" s="72"/>
      <c r="B2103" s="73"/>
      <c r="C2103" s="70"/>
      <c r="D2103" s="74"/>
      <c r="E2103" s="75"/>
      <c r="F2103" s="75"/>
      <c r="K2103" s="72"/>
      <c r="L2103" s="73"/>
      <c r="M2103" s="70"/>
      <c r="N2103" s="74"/>
      <c r="O2103" s="75"/>
      <c r="P2103" s="75"/>
      <c r="U2103" s="72"/>
      <c r="V2103" s="73"/>
      <c r="W2103" s="70"/>
      <c r="X2103" s="74"/>
      <c r="Y2103" s="75"/>
      <c r="Z2103" s="75"/>
    </row>
    <row r="2104" spans="1:26" x14ac:dyDescent="0.3">
      <c r="A2104" s="72"/>
      <c r="B2104" s="73"/>
      <c r="C2104" s="70"/>
      <c r="D2104" s="74"/>
      <c r="E2104" s="75"/>
      <c r="F2104" s="75"/>
      <c r="K2104" s="72"/>
      <c r="L2104" s="73"/>
      <c r="M2104" s="70"/>
      <c r="N2104" s="74"/>
      <c r="O2104" s="75"/>
      <c r="P2104" s="75"/>
      <c r="U2104" s="72"/>
      <c r="V2104" s="73"/>
      <c r="W2104" s="70"/>
      <c r="X2104" s="74"/>
      <c r="Y2104" s="75"/>
      <c r="Z2104" s="75"/>
    </row>
    <row r="2105" spans="1:26" x14ac:dyDescent="0.3">
      <c r="A2105" s="72"/>
      <c r="B2105" s="73"/>
      <c r="C2105" s="70"/>
      <c r="D2105" s="74"/>
      <c r="E2105" s="75"/>
      <c r="F2105" s="75"/>
      <c r="K2105" s="72"/>
      <c r="L2105" s="73"/>
      <c r="M2105" s="70"/>
      <c r="N2105" s="74"/>
      <c r="O2105" s="75"/>
      <c r="P2105" s="75"/>
      <c r="U2105" s="72"/>
      <c r="V2105" s="73"/>
      <c r="W2105" s="70"/>
      <c r="X2105" s="74"/>
      <c r="Y2105" s="75"/>
      <c r="Z2105" s="75"/>
    </row>
    <row r="2106" spans="1:26" x14ac:dyDescent="0.3">
      <c r="A2106" s="72"/>
      <c r="B2106" s="73"/>
      <c r="C2106" s="70"/>
      <c r="D2106" s="74"/>
      <c r="E2106" s="75"/>
      <c r="F2106" s="75"/>
      <c r="K2106" s="72"/>
      <c r="L2106" s="73"/>
      <c r="M2106" s="70"/>
      <c r="N2106" s="74"/>
      <c r="O2106" s="75"/>
      <c r="P2106" s="75"/>
      <c r="U2106" s="72"/>
      <c r="V2106" s="73"/>
      <c r="W2106" s="70"/>
      <c r="X2106" s="74"/>
      <c r="Y2106" s="75"/>
      <c r="Z2106" s="75"/>
    </row>
    <row r="2107" spans="1:26" x14ac:dyDescent="0.3">
      <c r="A2107" s="72"/>
      <c r="B2107" s="73"/>
      <c r="C2107" s="70"/>
      <c r="D2107" s="74"/>
      <c r="E2107" s="75"/>
      <c r="F2107" s="75"/>
      <c r="K2107" s="72"/>
      <c r="L2107" s="73"/>
      <c r="M2107" s="70"/>
      <c r="N2107" s="74"/>
      <c r="O2107" s="75"/>
      <c r="P2107" s="75"/>
      <c r="U2107" s="72"/>
      <c r="V2107" s="73"/>
      <c r="W2107" s="70"/>
      <c r="X2107" s="74"/>
      <c r="Y2107" s="75"/>
      <c r="Z2107" s="75"/>
    </row>
    <row r="2108" spans="1:26" x14ac:dyDescent="0.3">
      <c r="A2108" s="72"/>
      <c r="B2108" s="73"/>
      <c r="C2108" s="70"/>
      <c r="D2108" s="74"/>
      <c r="E2108" s="75"/>
      <c r="F2108" s="75"/>
      <c r="K2108" s="72"/>
      <c r="L2108" s="73"/>
      <c r="M2108" s="70"/>
      <c r="N2108" s="74"/>
      <c r="O2108" s="75"/>
      <c r="P2108" s="75"/>
      <c r="U2108" s="72"/>
      <c r="V2108" s="73"/>
      <c r="W2108" s="70"/>
      <c r="X2108" s="74"/>
      <c r="Y2108" s="75"/>
      <c r="Z2108" s="75"/>
    </row>
    <row r="2109" spans="1:26" x14ac:dyDescent="0.3">
      <c r="A2109" s="72"/>
      <c r="B2109" s="73"/>
      <c r="C2109" s="70"/>
      <c r="D2109" s="74"/>
      <c r="E2109" s="75"/>
      <c r="F2109" s="75"/>
      <c r="K2109" s="72"/>
      <c r="L2109" s="73"/>
      <c r="M2109" s="70"/>
      <c r="N2109" s="74"/>
      <c r="O2109" s="75"/>
      <c r="P2109" s="75"/>
      <c r="U2109" s="72"/>
      <c r="V2109" s="73"/>
      <c r="W2109" s="70"/>
      <c r="X2109" s="74"/>
      <c r="Y2109" s="75"/>
      <c r="Z2109" s="75"/>
    </row>
    <row r="2110" spans="1:26" x14ac:dyDescent="0.3">
      <c r="A2110" s="72"/>
      <c r="B2110" s="73"/>
      <c r="C2110" s="70"/>
      <c r="D2110" s="74"/>
      <c r="E2110" s="75"/>
      <c r="F2110" s="75"/>
      <c r="K2110" s="72"/>
      <c r="L2110" s="73"/>
      <c r="M2110" s="70"/>
      <c r="N2110" s="74"/>
      <c r="O2110" s="75"/>
      <c r="P2110" s="75"/>
      <c r="U2110" s="72"/>
      <c r="V2110" s="73"/>
      <c r="W2110" s="70"/>
      <c r="X2110" s="74"/>
      <c r="Y2110" s="75"/>
      <c r="Z2110" s="75"/>
    </row>
    <row r="2111" spans="1:26" x14ac:dyDescent="0.3">
      <c r="A2111" s="72"/>
      <c r="B2111" s="73"/>
      <c r="C2111" s="70"/>
      <c r="D2111" s="74"/>
      <c r="E2111" s="75"/>
      <c r="F2111" s="75"/>
      <c r="K2111" s="72"/>
      <c r="L2111" s="73"/>
      <c r="M2111" s="70"/>
      <c r="N2111" s="74"/>
      <c r="O2111" s="75"/>
      <c r="P2111" s="75"/>
      <c r="U2111" s="72"/>
      <c r="V2111" s="73"/>
      <c r="W2111" s="70"/>
      <c r="X2111" s="74"/>
      <c r="Y2111" s="75"/>
      <c r="Z2111" s="75"/>
    </row>
    <row r="2112" spans="1:26" x14ac:dyDescent="0.3">
      <c r="A2112" s="72"/>
      <c r="B2112" s="73"/>
      <c r="C2112" s="70"/>
      <c r="D2112" s="74"/>
      <c r="E2112" s="75"/>
      <c r="F2112" s="75"/>
      <c r="K2112" s="72"/>
      <c r="L2112" s="73"/>
      <c r="M2112" s="70"/>
      <c r="N2112" s="74"/>
      <c r="O2112" s="75"/>
      <c r="P2112" s="75"/>
      <c r="U2112" s="72"/>
      <c r="V2112" s="73"/>
      <c r="W2112" s="70"/>
      <c r="X2112" s="74"/>
      <c r="Y2112" s="75"/>
      <c r="Z2112" s="75"/>
    </row>
    <row r="2113" spans="1:26" x14ac:dyDescent="0.3">
      <c r="A2113" s="72"/>
      <c r="B2113" s="73"/>
      <c r="C2113" s="70"/>
      <c r="D2113" s="74"/>
      <c r="E2113" s="75"/>
      <c r="F2113" s="75"/>
      <c r="K2113" s="72"/>
      <c r="L2113" s="73"/>
      <c r="M2113" s="70"/>
      <c r="N2113" s="74"/>
      <c r="O2113" s="75"/>
      <c r="P2113" s="75"/>
      <c r="U2113" s="72"/>
      <c r="V2113" s="73"/>
      <c r="W2113" s="70"/>
      <c r="X2113" s="74"/>
      <c r="Y2113" s="75"/>
      <c r="Z2113" s="75"/>
    </row>
    <row r="2114" spans="1:26" x14ac:dyDescent="0.3">
      <c r="A2114" s="72"/>
      <c r="B2114" s="73"/>
      <c r="C2114" s="70"/>
      <c r="D2114" s="74"/>
      <c r="E2114" s="75"/>
      <c r="F2114" s="75"/>
      <c r="K2114" s="72"/>
      <c r="L2114" s="73"/>
      <c r="M2114" s="70"/>
      <c r="N2114" s="74"/>
      <c r="O2114" s="75"/>
      <c r="P2114" s="75"/>
      <c r="U2114" s="72"/>
      <c r="V2114" s="73"/>
      <c r="W2114" s="70"/>
      <c r="X2114" s="74"/>
      <c r="Y2114" s="75"/>
      <c r="Z2114" s="75"/>
    </row>
    <row r="2115" spans="1:26" x14ac:dyDescent="0.3">
      <c r="A2115" s="72"/>
      <c r="B2115" s="73"/>
      <c r="C2115" s="70"/>
      <c r="D2115" s="74"/>
      <c r="E2115" s="75"/>
      <c r="F2115" s="75"/>
      <c r="K2115" s="72"/>
      <c r="L2115" s="73"/>
      <c r="M2115" s="70"/>
      <c r="N2115" s="74"/>
      <c r="O2115" s="75"/>
      <c r="P2115" s="75"/>
      <c r="U2115" s="72"/>
      <c r="V2115" s="73"/>
      <c r="W2115" s="70"/>
      <c r="X2115" s="74"/>
      <c r="Y2115" s="75"/>
      <c r="Z2115" s="75"/>
    </row>
    <row r="2116" spans="1:26" x14ac:dyDescent="0.3">
      <c r="A2116" s="72"/>
      <c r="B2116" s="73"/>
      <c r="C2116" s="70"/>
      <c r="D2116" s="74"/>
      <c r="E2116" s="75"/>
      <c r="F2116" s="75"/>
      <c r="K2116" s="72"/>
      <c r="L2116" s="73"/>
      <c r="M2116" s="70"/>
      <c r="N2116" s="74"/>
      <c r="O2116" s="75"/>
      <c r="P2116" s="75"/>
      <c r="U2116" s="72"/>
      <c r="V2116" s="73"/>
      <c r="W2116" s="70"/>
      <c r="X2116" s="74"/>
      <c r="Y2116" s="75"/>
      <c r="Z2116" s="75"/>
    </row>
    <row r="2117" spans="1:26" x14ac:dyDescent="0.3">
      <c r="A2117" s="72"/>
      <c r="B2117" s="73"/>
      <c r="C2117" s="70"/>
      <c r="D2117" s="74"/>
      <c r="E2117" s="75"/>
      <c r="F2117" s="75"/>
      <c r="K2117" s="72"/>
      <c r="L2117" s="73"/>
      <c r="M2117" s="70"/>
      <c r="N2117" s="74"/>
      <c r="O2117" s="75"/>
      <c r="P2117" s="75"/>
      <c r="U2117" s="72"/>
      <c r="V2117" s="73"/>
      <c r="W2117" s="70"/>
      <c r="X2117" s="74"/>
      <c r="Y2117" s="75"/>
      <c r="Z2117" s="75"/>
    </row>
    <row r="2118" spans="1:26" x14ac:dyDescent="0.3">
      <c r="A2118" s="72"/>
      <c r="B2118" s="73"/>
      <c r="C2118" s="70"/>
      <c r="D2118" s="74"/>
      <c r="E2118" s="75"/>
      <c r="F2118" s="75"/>
      <c r="K2118" s="72"/>
      <c r="L2118" s="73"/>
      <c r="M2118" s="70"/>
      <c r="N2118" s="74"/>
      <c r="O2118" s="75"/>
      <c r="P2118" s="75"/>
      <c r="U2118" s="72"/>
      <c r="V2118" s="73"/>
      <c r="W2118" s="70"/>
      <c r="X2118" s="74"/>
      <c r="Y2118" s="75"/>
      <c r="Z2118" s="75"/>
    </row>
    <row r="2119" spans="1:26" x14ac:dyDescent="0.3">
      <c r="A2119" s="72"/>
      <c r="B2119" s="73"/>
      <c r="C2119" s="70"/>
      <c r="D2119" s="74"/>
      <c r="E2119" s="75"/>
      <c r="F2119" s="75"/>
      <c r="K2119" s="72"/>
      <c r="L2119" s="73"/>
      <c r="M2119" s="70"/>
      <c r="N2119" s="74"/>
      <c r="O2119" s="75"/>
      <c r="P2119" s="75"/>
      <c r="U2119" s="72"/>
      <c r="V2119" s="73"/>
      <c r="W2119" s="70"/>
      <c r="X2119" s="74"/>
      <c r="Y2119" s="75"/>
      <c r="Z2119" s="75"/>
    </row>
    <row r="2120" spans="1:26" x14ac:dyDescent="0.3">
      <c r="A2120" s="72"/>
      <c r="B2120" s="73"/>
      <c r="C2120" s="70"/>
      <c r="D2120" s="74"/>
      <c r="E2120" s="75"/>
      <c r="F2120" s="75"/>
      <c r="K2120" s="72"/>
      <c r="L2120" s="73"/>
      <c r="M2120" s="70"/>
      <c r="N2120" s="74"/>
      <c r="O2120" s="75"/>
      <c r="P2120" s="75"/>
      <c r="U2120" s="72"/>
      <c r="V2120" s="73"/>
      <c r="W2120" s="70"/>
      <c r="X2120" s="74"/>
      <c r="Y2120" s="75"/>
      <c r="Z2120" s="75"/>
    </row>
    <row r="2121" spans="1:26" x14ac:dyDescent="0.3">
      <c r="A2121" s="72"/>
      <c r="B2121" s="73"/>
      <c r="C2121" s="70"/>
      <c r="D2121" s="74"/>
      <c r="E2121" s="75"/>
      <c r="F2121" s="75"/>
      <c r="K2121" s="72"/>
      <c r="L2121" s="73"/>
      <c r="M2121" s="70"/>
      <c r="N2121" s="74"/>
      <c r="O2121" s="75"/>
      <c r="P2121" s="75"/>
      <c r="U2121" s="72"/>
      <c r="V2121" s="73"/>
      <c r="W2121" s="70"/>
      <c r="X2121" s="74"/>
      <c r="Y2121" s="75"/>
      <c r="Z2121" s="75"/>
    </row>
    <row r="2122" spans="1:26" x14ac:dyDescent="0.3">
      <c r="A2122" s="72"/>
      <c r="B2122" s="73"/>
      <c r="C2122" s="70"/>
      <c r="D2122" s="74"/>
      <c r="E2122" s="75"/>
      <c r="F2122" s="75"/>
      <c r="K2122" s="72"/>
      <c r="L2122" s="73"/>
      <c r="M2122" s="70"/>
      <c r="N2122" s="74"/>
      <c r="O2122" s="75"/>
      <c r="P2122" s="75"/>
      <c r="U2122" s="72"/>
      <c r="V2122" s="73"/>
      <c r="W2122" s="70"/>
      <c r="X2122" s="74"/>
      <c r="Y2122" s="75"/>
      <c r="Z2122" s="75"/>
    </row>
    <row r="2123" spans="1:26" x14ac:dyDescent="0.3">
      <c r="A2123" s="72"/>
      <c r="B2123" s="73"/>
      <c r="C2123" s="70"/>
      <c r="D2123" s="74"/>
      <c r="E2123" s="75"/>
      <c r="F2123" s="75"/>
      <c r="K2123" s="72"/>
      <c r="L2123" s="73"/>
      <c r="M2123" s="70"/>
      <c r="N2123" s="74"/>
      <c r="O2123" s="75"/>
      <c r="P2123" s="75"/>
      <c r="U2123" s="72"/>
      <c r="V2123" s="73"/>
      <c r="W2123" s="70"/>
      <c r="X2123" s="74"/>
      <c r="Y2123" s="75"/>
      <c r="Z2123" s="75"/>
    </row>
    <row r="2124" spans="1:26" x14ac:dyDescent="0.3">
      <c r="A2124" s="72"/>
      <c r="B2124" s="73"/>
      <c r="C2124" s="70"/>
      <c r="D2124" s="74"/>
      <c r="E2124" s="75"/>
      <c r="F2124" s="75"/>
      <c r="K2124" s="72"/>
      <c r="L2124" s="73"/>
      <c r="M2124" s="70"/>
      <c r="N2124" s="74"/>
      <c r="O2124" s="75"/>
      <c r="P2124" s="75"/>
      <c r="U2124" s="72"/>
      <c r="V2124" s="73"/>
      <c r="W2124" s="70"/>
      <c r="X2124" s="74"/>
      <c r="Y2124" s="75"/>
      <c r="Z2124" s="75"/>
    </row>
    <row r="2125" spans="1:26" x14ac:dyDescent="0.3">
      <c r="A2125" s="72"/>
      <c r="B2125" s="73"/>
      <c r="C2125" s="70"/>
      <c r="D2125" s="74"/>
      <c r="E2125" s="75"/>
      <c r="F2125" s="75"/>
      <c r="K2125" s="72"/>
      <c r="L2125" s="73"/>
      <c r="M2125" s="70"/>
      <c r="N2125" s="74"/>
      <c r="O2125" s="75"/>
      <c r="P2125" s="75"/>
      <c r="U2125" s="72"/>
      <c r="V2125" s="73"/>
      <c r="W2125" s="70"/>
      <c r="X2125" s="74"/>
      <c r="Y2125" s="75"/>
      <c r="Z2125" s="75"/>
    </row>
    <row r="2126" spans="1:26" x14ac:dyDescent="0.3">
      <c r="A2126" s="72"/>
      <c r="B2126" s="73"/>
      <c r="C2126" s="70"/>
      <c r="D2126" s="74"/>
      <c r="E2126" s="75"/>
      <c r="F2126" s="75"/>
      <c r="K2126" s="72"/>
      <c r="L2126" s="73"/>
      <c r="M2126" s="70"/>
      <c r="N2126" s="74"/>
      <c r="O2126" s="75"/>
      <c r="P2126" s="75"/>
      <c r="U2126" s="72"/>
      <c r="V2126" s="73"/>
      <c r="W2126" s="70"/>
      <c r="X2126" s="74"/>
      <c r="Y2126" s="75"/>
      <c r="Z2126" s="75"/>
    </row>
    <row r="2127" spans="1:26" x14ac:dyDescent="0.3">
      <c r="A2127" s="72"/>
      <c r="B2127" s="73"/>
      <c r="C2127" s="70"/>
      <c r="D2127" s="74"/>
      <c r="E2127" s="75"/>
      <c r="F2127" s="75"/>
      <c r="K2127" s="72"/>
      <c r="L2127" s="73"/>
      <c r="M2127" s="70"/>
      <c r="N2127" s="74"/>
      <c r="O2127" s="75"/>
      <c r="P2127" s="75"/>
      <c r="U2127" s="72"/>
      <c r="V2127" s="73"/>
      <c r="W2127" s="70"/>
      <c r="X2127" s="74"/>
      <c r="Y2127" s="75"/>
      <c r="Z2127" s="75"/>
    </row>
    <row r="2128" spans="1:26" x14ac:dyDescent="0.3">
      <c r="A2128" s="72"/>
      <c r="B2128" s="73"/>
      <c r="C2128" s="70"/>
      <c r="D2128" s="74"/>
      <c r="E2128" s="75"/>
      <c r="F2128" s="75"/>
      <c r="K2128" s="72"/>
      <c r="L2128" s="73"/>
      <c r="M2128" s="70"/>
      <c r="N2128" s="74"/>
      <c r="O2128" s="75"/>
      <c r="P2128" s="75"/>
      <c r="U2128" s="72"/>
      <c r="V2128" s="73"/>
      <c r="W2128" s="70"/>
      <c r="X2128" s="74"/>
      <c r="Y2128" s="75"/>
      <c r="Z2128" s="75"/>
    </row>
    <row r="2129" spans="1:26" x14ac:dyDescent="0.3">
      <c r="A2129" s="72"/>
      <c r="B2129" s="73"/>
      <c r="C2129" s="70"/>
      <c r="D2129" s="74"/>
      <c r="E2129" s="75"/>
      <c r="F2129" s="75"/>
      <c r="K2129" s="72"/>
      <c r="L2129" s="73"/>
      <c r="M2129" s="70"/>
      <c r="N2129" s="74"/>
      <c r="O2129" s="75"/>
      <c r="P2129" s="75"/>
      <c r="U2129" s="72"/>
      <c r="V2129" s="73"/>
      <c r="W2129" s="70"/>
      <c r="X2129" s="74"/>
      <c r="Y2129" s="75"/>
      <c r="Z2129" s="75"/>
    </row>
    <row r="2130" spans="1:26" x14ac:dyDescent="0.3">
      <c r="A2130" s="72"/>
      <c r="B2130" s="73"/>
      <c r="C2130" s="70"/>
      <c r="D2130" s="74"/>
      <c r="E2130" s="75"/>
      <c r="F2130" s="75"/>
      <c r="K2130" s="72"/>
      <c r="L2130" s="73"/>
      <c r="M2130" s="70"/>
      <c r="N2130" s="74"/>
      <c r="O2130" s="75"/>
      <c r="P2130" s="75"/>
      <c r="U2130" s="72"/>
      <c r="V2130" s="73"/>
      <c r="W2130" s="70"/>
      <c r="X2130" s="74"/>
      <c r="Y2130" s="75"/>
      <c r="Z2130" s="75"/>
    </row>
    <row r="2131" spans="1:26" x14ac:dyDescent="0.3">
      <c r="A2131" s="72"/>
      <c r="B2131" s="73"/>
      <c r="C2131" s="70"/>
      <c r="D2131" s="74"/>
      <c r="E2131" s="75"/>
      <c r="F2131" s="75"/>
      <c r="K2131" s="72"/>
      <c r="L2131" s="73"/>
      <c r="M2131" s="70"/>
      <c r="N2131" s="74"/>
      <c r="O2131" s="75"/>
      <c r="P2131" s="75"/>
      <c r="U2131" s="72"/>
      <c r="V2131" s="73"/>
      <c r="W2131" s="70"/>
      <c r="X2131" s="74"/>
      <c r="Y2131" s="75"/>
      <c r="Z2131" s="75"/>
    </row>
    <row r="2132" spans="1:26" x14ac:dyDescent="0.3">
      <c r="A2132" s="72"/>
      <c r="B2132" s="73"/>
      <c r="C2132" s="70"/>
      <c r="D2132" s="74"/>
      <c r="E2132" s="75"/>
      <c r="F2132" s="75"/>
      <c r="K2132" s="72"/>
      <c r="L2132" s="73"/>
      <c r="M2132" s="70"/>
      <c r="N2132" s="74"/>
      <c r="O2132" s="75"/>
      <c r="P2132" s="75"/>
      <c r="U2132" s="72"/>
      <c r="V2132" s="73"/>
      <c r="W2132" s="70"/>
      <c r="X2132" s="74"/>
      <c r="Y2132" s="75"/>
      <c r="Z2132" s="75"/>
    </row>
    <row r="2133" spans="1:26" x14ac:dyDescent="0.3">
      <c r="A2133" s="72"/>
      <c r="B2133" s="73"/>
      <c r="C2133" s="70"/>
      <c r="D2133" s="74"/>
      <c r="E2133" s="75"/>
      <c r="F2133" s="75"/>
      <c r="K2133" s="72"/>
      <c r="L2133" s="73"/>
      <c r="M2133" s="70"/>
      <c r="N2133" s="74"/>
      <c r="O2133" s="75"/>
      <c r="P2133" s="75"/>
      <c r="U2133" s="72"/>
      <c r="V2133" s="73"/>
      <c r="W2133" s="70"/>
      <c r="X2133" s="74"/>
      <c r="Y2133" s="75"/>
      <c r="Z2133" s="75"/>
    </row>
    <row r="2134" spans="1:26" x14ac:dyDescent="0.3">
      <c r="A2134" s="72"/>
      <c r="B2134" s="73"/>
      <c r="C2134" s="70"/>
      <c r="D2134" s="74"/>
      <c r="E2134" s="75"/>
      <c r="F2134" s="75"/>
      <c r="K2134" s="72"/>
      <c r="L2134" s="73"/>
      <c r="M2134" s="70"/>
      <c r="N2134" s="74"/>
      <c r="O2134" s="75"/>
      <c r="P2134" s="75"/>
      <c r="U2134" s="72"/>
      <c r="V2134" s="73"/>
      <c r="W2134" s="70"/>
      <c r="X2134" s="74"/>
      <c r="Y2134" s="75"/>
      <c r="Z2134" s="75"/>
    </row>
    <row r="2135" spans="1:26" x14ac:dyDescent="0.3">
      <c r="A2135" s="72"/>
      <c r="B2135" s="73"/>
      <c r="C2135" s="70"/>
      <c r="D2135" s="74"/>
      <c r="E2135" s="75"/>
      <c r="F2135" s="75"/>
      <c r="K2135" s="72"/>
      <c r="L2135" s="73"/>
      <c r="M2135" s="70"/>
      <c r="N2135" s="74"/>
      <c r="O2135" s="75"/>
      <c r="P2135" s="75"/>
      <c r="U2135" s="72"/>
      <c r="V2135" s="73"/>
      <c r="W2135" s="70"/>
      <c r="X2135" s="74"/>
      <c r="Y2135" s="75"/>
      <c r="Z2135" s="75"/>
    </row>
    <row r="2136" spans="1:26" x14ac:dyDescent="0.3">
      <c r="A2136" s="72"/>
      <c r="B2136" s="73"/>
      <c r="C2136" s="70"/>
      <c r="D2136" s="74"/>
      <c r="E2136" s="75"/>
      <c r="F2136" s="75"/>
      <c r="K2136" s="72"/>
      <c r="L2136" s="73"/>
      <c r="M2136" s="70"/>
      <c r="N2136" s="74"/>
      <c r="O2136" s="75"/>
      <c r="P2136" s="75"/>
      <c r="U2136" s="72"/>
      <c r="V2136" s="73"/>
      <c r="W2136" s="70"/>
      <c r="X2136" s="74"/>
      <c r="Y2136" s="75"/>
      <c r="Z2136" s="75"/>
    </row>
    <row r="2137" spans="1:26" x14ac:dyDescent="0.3">
      <c r="A2137" s="72"/>
      <c r="B2137" s="73"/>
      <c r="C2137" s="70"/>
      <c r="D2137" s="74"/>
      <c r="E2137" s="75"/>
      <c r="F2137" s="75"/>
      <c r="K2137" s="72"/>
      <c r="L2137" s="73"/>
      <c r="M2137" s="70"/>
      <c r="N2137" s="74"/>
      <c r="O2137" s="75"/>
      <c r="P2137" s="75"/>
      <c r="U2137" s="72"/>
      <c r="V2137" s="73"/>
      <c r="W2137" s="70"/>
      <c r="X2137" s="74"/>
      <c r="Y2137" s="75"/>
      <c r="Z2137" s="75"/>
    </row>
    <row r="2138" spans="1:26" x14ac:dyDescent="0.3">
      <c r="A2138" s="72"/>
      <c r="B2138" s="73"/>
      <c r="C2138" s="70"/>
      <c r="D2138" s="74"/>
      <c r="E2138" s="75"/>
      <c r="F2138" s="75"/>
      <c r="K2138" s="72"/>
      <c r="L2138" s="73"/>
      <c r="M2138" s="70"/>
      <c r="N2138" s="74"/>
      <c r="O2138" s="75"/>
      <c r="P2138" s="75"/>
      <c r="U2138" s="72"/>
      <c r="V2138" s="73"/>
      <c r="W2138" s="70"/>
      <c r="X2138" s="74"/>
      <c r="Y2138" s="75"/>
      <c r="Z2138" s="75"/>
    </row>
    <row r="2139" spans="1:26" x14ac:dyDescent="0.3">
      <c r="A2139" s="72"/>
      <c r="B2139" s="73"/>
      <c r="C2139" s="70"/>
      <c r="D2139" s="74"/>
      <c r="E2139" s="75"/>
      <c r="F2139" s="75"/>
      <c r="K2139" s="72"/>
      <c r="L2139" s="73"/>
      <c r="M2139" s="70"/>
      <c r="N2139" s="74"/>
      <c r="O2139" s="75"/>
      <c r="P2139" s="75"/>
      <c r="U2139" s="72"/>
      <c r="V2139" s="73"/>
      <c r="W2139" s="70"/>
      <c r="X2139" s="74"/>
      <c r="Y2139" s="75"/>
      <c r="Z2139" s="75"/>
    </row>
    <row r="2140" spans="1:26" x14ac:dyDescent="0.3">
      <c r="A2140" s="72"/>
      <c r="B2140" s="73"/>
      <c r="C2140" s="70"/>
      <c r="D2140" s="74"/>
      <c r="E2140" s="75"/>
      <c r="F2140" s="75"/>
      <c r="K2140" s="72"/>
      <c r="L2140" s="73"/>
      <c r="M2140" s="70"/>
      <c r="N2140" s="74"/>
      <c r="O2140" s="75"/>
      <c r="P2140" s="75"/>
      <c r="U2140" s="72"/>
      <c r="V2140" s="73"/>
      <c r="W2140" s="70"/>
      <c r="X2140" s="74"/>
      <c r="Y2140" s="75"/>
      <c r="Z2140" s="75"/>
    </row>
    <row r="2141" spans="1:26" x14ac:dyDescent="0.3">
      <c r="A2141" s="72"/>
      <c r="B2141" s="73"/>
      <c r="C2141" s="70"/>
      <c r="D2141" s="74"/>
      <c r="E2141" s="75"/>
      <c r="F2141" s="75"/>
      <c r="K2141" s="72"/>
      <c r="L2141" s="73"/>
      <c r="M2141" s="70"/>
      <c r="N2141" s="74"/>
      <c r="O2141" s="75"/>
      <c r="P2141" s="75"/>
      <c r="U2141" s="72"/>
      <c r="V2141" s="73"/>
      <c r="W2141" s="70"/>
      <c r="X2141" s="74"/>
      <c r="Y2141" s="75"/>
      <c r="Z2141" s="75"/>
    </row>
    <row r="2142" spans="1:26" x14ac:dyDescent="0.3">
      <c r="A2142" s="72"/>
      <c r="B2142" s="73"/>
      <c r="C2142" s="70"/>
      <c r="D2142" s="74"/>
      <c r="E2142" s="75"/>
      <c r="F2142" s="75"/>
      <c r="K2142" s="72"/>
      <c r="L2142" s="73"/>
      <c r="M2142" s="70"/>
      <c r="N2142" s="74"/>
      <c r="O2142" s="75"/>
      <c r="P2142" s="75"/>
      <c r="U2142" s="72"/>
      <c r="V2142" s="73"/>
      <c r="W2142" s="70"/>
      <c r="X2142" s="74"/>
      <c r="Y2142" s="75"/>
      <c r="Z2142" s="75"/>
    </row>
    <row r="2143" spans="1:26" x14ac:dyDescent="0.3">
      <c r="A2143" s="72"/>
      <c r="B2143" s="73"/>
      <c r="C2143" s="70"/>
      <c r="D2143" s="74"/>
      <c r="E2143" s="75"/>
      <c r="F2143" s="75"/>
      <c r="K2143" s="72"/>
      <c r="L2143" s="73"/>
      <c r="M2143" s="70"/>
      <c r="N2143" s="74"/>
      <c r="O2143" s="75"/>
      <c r="P2143" s="75"/>
      <c r="U2143" s="72"/>
      <c r="V2143" s="73"/>
      <c r="W2143" s="70"/>
      <c r="X2143" s="74"/>
      <c r="Y2143" s="75"/>
      <c r="Z2143" s="75"/>
    </row>
    <row r="2144" spans="1:26" x14ac:dyDescent="0.3">
      <c r="A2144" s="72"/>
      <c r="B2144" s="73"/>
      <c r="C2144" s="70"/>
      <c r="D2144" s="74"/>
      <c r="E2144" s="75"/>
      <c r="F2144" s="75"/>
      <c r="K2144" s="72"/>
      <c r="L2144" s="73"/>
      <c r="M2144" s="70"/>
      <c r="N2144" s="74"/>
      <c r="O2144" s="75"/>
      <c r="P2144" s="75"/>
      <c r="U2144" s="72"/>
      <c r="V2144" s="73"/>
      <c r="W2144" s="70"/>
      <c r="X2144" s="74"/>
      <c r="Y2144" s="75"/>
      <c r="Z2144" s="75"/>
    </row>
    <row r="2145" spans="1:26" x14ac:dyDescent="0.3">
      <c r="A2145" s="72"/>
      <c r="B2145" s="73"/>
      <c r="C2145" s="70"/>
      <c r="D2145" s="74"/>
      <c r="E2145" s="75"/>
      <c r="F2145" s="75"/>
      <c r="K2145" s="72"/>
      <c r="L2145" s="73"/>
      <c r="M2145" s="70"/>
      <c r="N2145" s="74"/>
      <c r="O2145" s="75"/>
      <c r="P2145" s="75"/>
      <c r="U2145" s="72"/>
      <c r="V2145" s="73"/>
      <c r="W2145" s="70"/>
      <c r="X2145" s="74"/>
      <c r="Y2145" s="75"/>
      <c r="Z2145" s="75"/>
    </row>
    <row r="2146" spans="1:26" x14ac:dyDescent="0.3">
      <c r="A2146" s="72"/>
      <c r="B2146" s="73"/>
      <c r="C2146" s="70"/>
      <c r="D2146" s="74"/>
      <c r="E2146" s="75"/>
      <c r="F2146" s="75"/>
      <c r="K2146" s="72"/>
      <c r="L2146" s="73"/>
      <c r="M2146" s="70"/>
      <c r="N2146" s="74"/>
      <c r="O2146" s="75"/>
      <c r="P2146" s="75"/>
      <c r="U2146" s="72"/>
      <c r="V2146" s="73"/>
      <c r="W2146" s="70"/>
      <c r="X2146" s="74"/>
      <c r="Y2146" s="75"/>
      <c r="Z2146" s="75"/>
    </row>
    <row r="2147" spans="1:26" x14ac:dyDescent="0.3">
      <c r="A2147" s="72"/>
      <c r="B2147" s="73"/>
      <c r="C2147" s="70"/>
      <c r="D2147" s="74"/>
      <c r="E2147" s="75"/>
      <c r="F2147" s="75"/>
      <c r="K2147" s="72"/>
      <c r="L2147" s="73"/>
      <c r="M2147" s="70"/>
      <c r="N2147" s="74"/>
      <c r="O2147" s="75"/>
      <c r="P2147" s="75"/>
      <c r="U2147" s="72"/>
      <c r="V2147" s="73"/>
      <c r="W2147" s="70"/>
      <c r="X2147" s="74"/>
      <c r="Y2147" s="75"/>
      <c r="Z2147" s="75"/>
    </row>
    <row r="2148" spans="1:26" x14ac:dyDescent="0.3">
      <c r="A2148" s="72"/>
      <c r="B2148" s="73"/>
      <c r="C2148" s="70"/>
      <c r="D2148" s="74"/>
      <c r="E2148" s="75"/>
      <c r="F2148" s="75"/>
      <c r="K2148" s="72"/>
      <c r="L2148" s="73"/>
      <c r="M2148" s="70"/>
      <c r="N2148" s="74"/>
      <c r="O2148" s="75"/>
      <c r="P2148" s="75"/>
      <c r="U2148" s="72"/>
      <c r="V2148" s="73"/>
      <c r="W2148" s="70"/>
      <c r="X2148" s="74"/>
      <c r="Y2148" s="75"/>
      <c r="Z2148" s="75"/>
    </row>
    <row r="2149" spans="1:26" x14ac:dyDescent="0.3">
      <c r="A2149" s="72"/>
      <c r="B2149" s="73"/>
      <c r="C2149" s="70"/>
      <c r="D2149" s="74"/>
      <c r="E2149" s="75"/>
      <c r="F2149" s="75"/>
      <c r="K2149" s="72"/>
      <c r="L2149" s="73"/>
      <c r="M2149" s="70"/>
      <c r="N2149" s="74"/>
      <c r="O2149" s="75"/>
      <c r="P2149" s="75"/>
      <c r="U2149" s="72"/>
      <c r="V2149" s="73"/>
      <c r="W2149" s="70"/>
      <c r="X2149" s="74"/>
      <c r="Y2149" s="75"/>
      <c r="Z2149" s="75"/>
    </row>
    <row r="2150" spans="1:26" x14ac:dyDescent="0.3">
      <c r="A2150" s="72"/>
      <c r="B2150" s="73"/>
      <c r="C2150" s="70"/>
      <c r="D2150" s="74"/>
      <c r="E2150" s="75"/>
      <c r="F2150" s="75"/>
      <c r="K2150" s="72"/>
      <c r="L2150" s="73"/>
      <c r="M2150" s="70"/>
      <c r="N2150" s="74"/>
      <c r="O2150" s="75"/>
      <c r="P2150" s="75"/>
      <c r="U2150" s="72"/>
      <c r="V2150" s="73"/>
      <c r="W2150" s="70"/>
      <c r="X2150" s="74"/>
      <c r="Y2150" s="75"/>
      <c r="Z2150" s="75"/>
    </row>
    <row r="2151" spans="1:26" x14ac:dyDescent="0.3">
      <c r="A2151" s="72"/>
      <c r="B2151" s="73"/>
      <c r="C2151" s="70"/>
      <c r="D2151" s="74"/>
      <c r="E2151" s="75"/>
      <c r="F2151" s="75"/>
      <c r="K2151" s="72"/>
      <c r="L2151" s="73"/>
      <c r="M2151" s="70"/>
      <c r="N2151" s="74"/>
      <c r="O2151" s="75"/>
      <c r="P2151" s="75"/>
      <c r="U2151" s="72"/>
      <c r="V2151" s="73"/>
      <c r="W2151" s="70"/>
      <c r="X2151" s="74"/>
      <c r="Y2151" s="75"/>
      <c r="Z2151" s="75"/>
    </row>
    <row r="2152" spans="1:26" x14ac:dyDescent="0.3">
      <c r="A2152" s="72"/>
      <c r="B2152" s="73"/>
      <c r="C2152" s="70"/>
      <c r="D2152" s="74"/>
      <c r="E2152" s="75"/>
      <c r="F2152" s="75"/>
      <c r="K2152" s="72"/>
      <c r="L2152" s="73"/>
      <c r="M2152" s="70"/>
      <c r="N2152" s="74"/>
      <c r="O2152" s="75"/>
      <c r="P2152" s="75"/>
      <c r="U2152" s="72"/>
      <c r="V2152" s="73"/>
      <c r="W2152" s="70"/>
      <c r="X2152" s="74"/>
      <c r="Y2152" s="75"/>
      <c r="Z2152" s="75"/>
    </row>
    <row r="2153" spans="1:26" x14ac:dyDescent="0.3">
      <c r="A2153" s="72"/>
      <c r="B2153" s="73"/>
      <c r="C2153" s="70"/>
      <c r="D2153" s="74"/>
      <c r="E2153" s="75"/>
      <c r="F2153" s="75"/>
      <c r="K2153" s="72"/>
      <c r="L2153" s="73"/>
      <c r="M2153" s="70"/>
      <c r="N2153" s="74"/>
      <c r="O2153" s="75"/>
      <c r="P2153" s="75"/>
      <c r="U2153" s="72"/>
      <c r="V2153" s="73"/>
      <c r="W2153" s="70"/>
      <c r="X2153" s="74"/>
      <c r="Y2153" s="75"/>
      <c r="Z2153" s="75"/>
    </row>
    <row r="2154" spans="1:26" x14ac:dyDescent="0.3">
      <c r="A2154" s="72"/>
      <c r="B2154" s="73"/>
      <c r="C2154" s="70"/>
      <c r="D2154" s="74"/>
      <c r="E2154" s="75"/>
      <c r="F2154" s="75"/>
      <c r="K2154" s="72"/>
      <c r="L2154" s="73"/>
      <c r="M2154" s="70"/>
      <c r="N2154" s="74"/>
      <c r="O2154" s="75"/>
      <c r="P2154" s="75"/>
      <c r="U2154" s="72"/>
      <c r="V2154" s="73"/>
      <c r="W2154" s="70"/>
      <c r="X2154" s="74"/>
      <c r="Y2154" s="75"/>
      <c r="Z2154" s="75"/>
    </row>
    <row r="2155" spans="1:26" x14ac:dyDescent="0.3">
      <c r="A2155" s="72"/>
      <c r="B2155" s="73"/>
      <c r="C2155" s="70"/>
      <c r="D2155" s="74"/>
      <c r="E2155" s="75"/>
      <c r="F2155" s="75"/>
      <c r="K2155" s="72"/>
      <c r="L2155" s="73"/>
      <c r="M2155" s="70"/>
      <c r="N2155" s="74"/>
      <c r="O2155" s="75"/>
      <c r="P2155" s="75"/>
      <c r="U2155" s="72"/>
      <c r="V2155" s="73"/>
      <c r="W2155" s="70"/>
      <c r="X2155" s="74"/>
      <c r="Y2155" s="75"/>
      <c r="Z2155" s="75"/>
    </row>
    <row r="2156" spans="1:26" x14ac:dyDescent="0.3">
      <c r="A2156" s="72"/>
      <c r="B2156" s="73"/>
      <c r="C2156" s="70"/>
      <c r="D2156" s="74"/>
      <c r="E2156" s="75"/>
      <c r="F2156" s="75"/>
      <c r="K2156" s="72"/>
      <c r="L2156" s="73"/>
      <c r="M2156" s="70"/>
      <c r="N2156" s="74"/>
      <c r="O2156" s="75"/>
      <c r="P2156" s="75"/>
      <c r="U2156" s="72"/>
      <c r="V2156" s="73"/>
      <c r="W2156" s="70"/>
      <c r="X2156" s="74"/>
      <c r="Y2156" s="75"/>
      <c r="Z2156" s="75"/>
    </row>
    <row r="2157" spans="1:26" x14ac:dyDescent="0.3">
      <c r="A2157" s="72"/>
      <c r="B2157" s="73"/>
      <c r="C2157" s="70"/>
      <c r="D2157" s="74"/>
      <c r="E2157" s="75"/>
      <c r="F2157" s="75"/>
      <c r="K2157" s="72"/>
      <c r="L2157" s="73"/>
      <c r="M2157" s="70"/>
      <c r="N2157" s="74"/>
      <c r="O2157" s="75"/>
      <c r="P2157" s="75"/>
      <c r="U2157" s="72"/>
      <c r="V2157" s="73"/>
      <c r="W2157" s="70"/>
      <c r="X2157" s="74"/>
      <c r="Y2157" s="75"/>
      <c r="Z2157" s="75"/>
    </row>
    <row r="2158" spans="1:26" x14ac:dyDescent="0.3">
      <c r="A2158" s="72"/>
      <c r="B2158" s="73"/>
      <c r="C2158" s="70"/>
      <c r="D2158" s="74"/>
      <c r="E2158" s="75"/>
      <c r="F2158" s="75"/>
      <c r="K2158" s="72"/>
      <c r="L2158" s="73"/>
      <c r="M2158" s="70"/>
      <c r="N2158" s="74"/>
      <c r="O2158" s="75"/>
      <c r="P2158" s="75"/>
      <c r="U2158" s="72"/>
      <c r="V2158" s="73"/>
      <c r="W2158" s="70"/>
      <c r="X2158" s="74"/>
      <c r="Y2158" s="75"/>
      <c r="Z2158" s="75"/>
    </row>
    <row r="2159" spans="1:26" x14ac:dyDescent="0.3">
      <c r="A2159" s="72"/>
      <c r="B2159" s="73"/>
      <c r="C2159" s="70"/>
      <c r="D2159" s="74"/>
      <c r="E2159" s="75"/>
      <c r="F2159" s="75"/>
      <c r="K2159" s="72"/>
      <c r="L2159" s="73"/>
      <c r="M2159" s="70"/>
      <c r="N2159" s="74"/>
      <c r="O2159" s="75"/>
      <c r="P2159" s="75"/>
      <c r="U2159" s="72"/>
      <c r="V2159" s="73"/>
      <c r="W2159" s="70"/>
      <c r="X2159" s="74"/>
      <c r="Y2159" s="75"/>
      <c r="Z2159" s="75"/>
    </row>
    <row r="2160" spans="1:26" x14ac:dyDescent="0.3">
      <c r="A2160" s="72"/>
      <c r="B2160" s="73"/>
      <c r="C2160" s="70"/>
      <c r="D2160" s="74"/>
      <c r="E2160" s="75"/>
      <c r="F2160" s="75"/>
      <c r="K2160" s="72"/>
      <c r="L2160" s="73"/>
      <c r="M2160" s="70"/>
      <c r="N2160" s="74"/>
      <c r="O2160" s="75"/>
      <c r="P2160" s="75"/>
      <c r="U2160" s="72"/>
      <c r="V2160" s="73"/>
      <c r="W2160" s="70"/>
      <c r="X2160" s="74"/>
      <c r="Y2160" s="75"/>
      <c r="Z2160" s="75"/>
    </row>
    <row r="2161" spans="1:26" x14ac:dyDescent="0.3">
      <c r="A2161" s="72"/>
      <c r="B2161" s="73"/>
      <c r="C2161" s="70"/>
      <c r="D2161" s="74"/>
      <c r="E2161" s="75"/>
      <c r="F2161" s="75"/>
      <c r="K2161" s="72"/>
      <c r="L2161" s="73"/>
      <c r="M2161" s="70"/>
      <c r="N2161" s="74"/>
      <c r="O2161" s="75"/>
      <c r="P2161" s="75"/>
      <c r="U2161" s="72"/>
      <c r="V2161" s="73"/>
      <c r="W2161" s="70"/>
      <c r="X2161" s="74"/>
      <c r="Y2161" s="75"/>
      <c r="Z2161" s="75"/>
    </row>
    <row r="2162" spans="1:26" x14ac:dyDescent="0.3">
      <c r="A2162" s="72"/>
      <c r="B2162" s="73"/>
      <c r="C2162" s="70"/>
      <c r="D2162" s="74"/>
      <c r="E2162" s="75"/>
      <c r="F2162" s="75"/>
      <c r="K2162" s="72"/>
      <c r="L2162" s="73"/>
      <c r="M2162" s="70"/>
      <c r="N2162" s="74"/>
      <c r="O2162" s="75"/>
      <c r="P2162" s="75"/>
      <c r="U2162" s="72"/>
      <c r="V2162" s="73"/>
      <c r="W2162" s="70"/>
      <c r="X2162" s="74"/>
      <c r="Y2162" s="75"/>
      <c r="Z2162" s="75"/>
    </row>
    <row r="2163" spans="1:26" x14ac:dyDescent="0.3">
      <c r="A2163" s="72"/>
      <c r="B2163" s="73"/>
      <c r="C2163" s="70"/>
      <c r="D2163" s="74"/>
      <c r="E2163" s="75"/>
      <c r="F2163" s="75"/>
      <c r="K2163" s="72"/>
      <c r="L2163" s="73"/>
      <c r="M2163" s="70"/>
      <c r="N2163" s="74"/>
      <c r="O2163" s="75"/>
      <c r="P2163" s="75"/>
      <c r="U2163" s="72"/>
      <c r="V2163" s="73"/>
      <c r="W2163" s="70"/>
      <c r="X2163" s="74"/>
      <c r="Y2163" s="75"/>
      <c r="Z2163" s="75"/>
    </row>
    <row r="2164" spans="1:26" x14ac:dyDescent="0.3">
      <c r="A2164" s="72"/>
      <c r="B2164" s="73"/>
      <c r="C2164" s="70"/>
      <c r="D2164" s="74"/>
      <c r="E2164" s="75"/>
      <c r="F2164" s="75"/>
      <c r="K2164" s="72"/>
      <c r="L2164" s="73"/>
      <c r="M2164" s="70"/>
      <c r="N2164" s="74"/>
      <c r="O2164" s="75"/>
      <c r="P2164" s="75"/>
      <c r="U2164" s="72"/>
      <c r="V2164" s="73"/>
      <c r="W2164" s="70"/>
      <c r="X2164" s="74"/>
      <c r="Y2164" s="75"/>
      <c r="Z2164" s="75"/>
    </row>
    <row r="2165" spans="1:26" x14ac:dyDescent="0.3">
      <c r="A2165" s="72"/>
      <c r="B2165" s="73"/>
      <c r="C2165" s="70"/>
      <c r="D2165" s="74"/>
      <c r="E2165" s="75"/>
      <c r="F2165" s="75"/>
      <c r="K2165" s="72"/>
      <c r="L2165" s="73"/>
      <c r="M2165" s="70"/>
      <c r="N2165" s="74"/>
      <c r="O2165" s="75"/>
      <c r="P2165" s="75"/>
      <c r="U2165" s="72"/>
      <c r="V2165" s="73"/>
      <c r="W2165" s="70"/>
      <c r="X2165" s="74"/>
      <c r="Y2165" s="75"/>
      <c r="Z2165" s="75"/>
    </row>
    <row r="2166" spans="1:26" x14ac:dyDescent="0.3">
      <c r="A2166" s="72"/>
      <c r="B2166" s="73"/>
      <c r="C2166" s="70"/>
      <c r="D2166" s="74"/>
      <c r="E2166" s="75"/>
      <c r="F2166" s="75"/>
      <c r="K2166" s="72"/>
      <c r="L2166" s="73"/>
      <c r="M2166" s="70"/>
      <c r="N2166" s="74"/>
      <c r="O2166" s="75"/>
      <c r="P2166" s="75"/>
      <c r="U2166" s="72"/>
      <c r="V2166" s="73"/>
      <c r="W2166" s="70"/>
      <c r="X2166" s="74"/>
      <c r="Y2166" s="75"/>
      <c r="Z2166" s="75"/>
    </row>
    <row r="2167" spans="1:26" x14ac:dyDescent="0.3">
      <c r="A2167" s="72"/>
      <c r="B2167" s="73"/>
      <c r="C2167" s="70"/>
      <c r="D2167" s="74"/>
      <c r="E2167" s="75"/>
      <c r="F2167" s="75"/>
      <c r="K2167" s="72"/>
      <c r="L2167" s="73"/>
      <c r="M2167" s="70"/>
      <c r="N2167" s="74"/>
      <c r="O2167" s="75"/>
      <c r="P2167" s="75"/>
      <c r="U2167" s="72"/>
      <c r="V2167" s="73"/>
      <c r="W2167" s="70"/>
      <c r="X2167" s="74"/>
      <c r="Y2167" s="75"/>
      <c r="Z2167" s="75"/>
    </row>
    <row r="2168" spans="1:26" x14ac:dyDescent="0.3">
      <c r="A2168" s="72"/>
      <c r="B2168" s="73"/>
      <c r="C2168" s="70"/>
      <c r="D2168" s="74"/>
      <c r="E2168" s="75"/>
      <c r="F2168" s="75"/>
      <c r="K2168" s="72"/>
      <c r="L2168" s="73"/>
      <c r="M2168" s="70"/>
      <c r="N2168" s="74"/>
      <c r="O2168" s="75"/>
      <c r="P2168" s="75"/>
      <c r="U2168" s="72"/>
      <c r="V2168" s="73"/>
      <c r="W2168" s="70"/>
      <c r="X2168" s="74"/>
      <c r="Y2168" s="75"/>
      <c r="Z2168" s="75"/>
    </row>
    <row r="2169" spans="1:26" x14ac:dyDescent="0.3">
      <c r="A2169" s="72"/>
      <c r="B2169" s="73"/>
      <c r="C2169" s="70"/>
      <c r="D2169" s="74"/>
      <c r="E2169" s="75"/>
      <c r="F2169" s="75"/>
      <c r="K2169" s="72"/>
      <c r="L2169" s="73"/>
      <c r="M2169" s="70"/>
      <c r="N2169" s="74"/>
      <c r="O2169" s="75"/>
      <c r="P2169" s="75"/>
      <c r="U2169" s="72"/>
      <c r="V2169" s="73"/>
      <c r="W2169" s="70"/>
      <c r="X2169" s="74"/>
      <c r="Y2169" s="75"/>
      <c r="Z2169" s="75"/>
    </row>
    <row r="2170" spans="1:26" x14ac:dyDescent="0.3">
      <c r="A2170" s="72"/>
      <c r="B2170" s="73"/>
      <c r="C2170" s="70"/>
      <c r="D2170" s="74"/>
      <c r="E2170" s="75"/>
      <c r="F2170" s="75"/>
      <c r="K2170" s="72"/>
      <c r="L2170" s="73"/>
      <c r="M2170" s="70"/>
      <c r="N2170" s="74"/>
      <c r="O2170" s="75"/>
      <c r="P2170" s="75"/>
      <c r="U2170" s="72"/>
      <c r="V2170" s="73"/>
      <c r="W2170" s="70"/>
      <c r="X2170" s="74"/>
      <c r="Y2170" s="75"/>
      <c r="Z2170" s="75"/>
    </row>
    <row r="2171" spans="1:26" x14ac:dyDescent="0.3">
      <c r="A2171" s="72"/>
      <c r="B2171" s="73"/>
      <c r="C2171" s="70"/>
      <c r="D2171" s="74"/>
      <c r="E2171" s="75"/>
      <c r="F2171" s="75"/>
      <c r="K2171" s="72"/>
      <c r="L2171" s="73"/>
      <c r="M2171" s="70"/>
      <c r="N2171" s="74"/>
      <c r="O2171" s="75"/>
      <c r="P2171" s="75"/>
      <c r="U2171" s="72"/>
      <c r="V2171" s="73"/>
      <c r="W2171" s="70"/>
      <c r="X2171" s="74"/>
      <c r="Y2171" s="75"/>
      <c r="Z2171" s="75"/>
    </row>
    <row r="2172" spans="1:26" x14ac:dyDescent="0.3">
      <c r="A2172" s="72"/>
      <c r="B2172" s="73"/>
      <c r="C2172" s="70"/>
      <c r="D2172" s="74"/>
      <c r="E2172" s="75"/>
      <c r="F2172" s="75"/>
      <c r="K2172" s="72"/>
      <c r="L2172" s="73"/>
      <c r="M2172" s="70"/>
      <c r="N2172" s="74"/>
      <c r="O2172" s="75"/>
      <c r="P2172" s="75"/>
      <c r="U2172" s="72"/>
      <c r="V2172" s="73"/>
      <c r="W2172" s="70"/>
      <c r="X2172" s="74"/>
      <c r="Y2172" s="75"/>
      <c r="Z2172" s="75"/>
    </row>
    <row r="2173" spans="1:26" x14ac:dyDescent="0.3">
      <c r="A2173" s="72"/>
      <c r="B2173" s="73"/>
      <c r="C2173" s="70"/>
      <c r="D2173" s="74"/>
      <c r="E2173" s="75"/>
      <c r="F2173" s="75"/>
      <c r="K2173" s="72"/>
      <c r="L2173" s="73"/>
      <c r="M2173" s="70"/>
      <c r="N2173" s="74"/>
      <c r="O2173" s="75"/>
      <c r="P2173" s="75"/>
      <c r="U2173" s="72"/>
      <c r="V2173" s="73"/>
      <c r="W2173" s="70"/>
      <c r="X2173" s="74"/>
      <c r="Y2173" s="75"/>
      <c r="Z2173" s="75"/>
    </row>
    <row r="2174" spans="1:26" x14ac:dyDescent="0.3">
      <c r="A2174" s="72"/>
      <c r="B2174" s="73"/>
      <c r="C2174" s="70"/>
      <c r="D2174" s="74"/>
      <c r="E2174" s="75"/>
      <c r="F2174" s="75"/>
      <c r="K2174" s="72"/>
      <c r="L2174" s="73"/>
      <c r="M2174" s="70"/>
      <c r="N2174" s="74"/>
      <c r="O2174" s="75"/>
      <c r="P2174" s="75"/>
      <c r="U2174" s="72"/>
      <c r="V2174" s="73"/>
      <c r="W2174" s="70"/>
      <c r="X2174" s="74"/>
      <c r="Y2174" s="75"/>
      <c r="Z2174" s="75"/>
    </row>
    <row r="2175" spans="1:26" x14ac:dyDescent="0.3">
      <c r="A2175" s="72"/>
      <c r="B2175" s="73"/>
      <c r="C2175" s="70"/>
      <c r="D2175" s="74"/>
      <c r="E2175" s="75"/>
      <c r="F2175" s="75"/>
      <c r="K2175" s="72"/>
      <c r="L2175" s="73"/>
      <c r="M2175" s="70"/>
      <c r="N2175" s="74"/>
      <c r="O2175" s="75"/>
      <c r="P2175" s="75"/>
      <c r="U2175" s="72"/>
      <c r="V2175" s="73"/>
      <c r="W2175" s="70"/>
      <c r="X2175" s="74"/>
      <c r="Y2175" s="75"/>
      <c r="Z2175" s="75"/>
    </row>
    <row r="2176" spans="1:26" x14ac:dyDescent="0.3">
      <c r="A2176" s="72"/>
      <c r="B2176" s="73"/>
      <c r="C2176" s="70"/>
      <c r="D2176" s="74"/>
      <c r="E2176" s="75"/>
      <c r="F2176" s="75"/>
      <c r="K2176" s="72"/>
      <c r="L2176" s="73"/>
      <c r="M2176" s="70"/>
      <c r="N2176" s="74"/>
      <c r="O2176" s="75"/>
      <c r="P2176" s="75"/>
      <c r="U2176" s="72"/>
      <c r="V2176" s="73"/>
      <c r="W2176" s="70"/>
      <c r="X2176" s="74"/>
      <c r="Y2176" s="75"/>
      <c r="Z2176" s="75"/>
    </row>
    <row r="2177" spans="1:26" x14ac:dyDescent="0.3">
      <c r="A2177" s="72"/>
      <c r="B2177" s="73"/>
      <c r="C2177" s="70"/>
      <c r="D2177" s="74"/>
      <c r="E2177" s="75"/>
      <c r="F2177" s="75"/>
      <c r="K2177" s="72"/>
      <c r="L2177" s="73"/>
      <c r="M2177" s="70"/>
      <c r="N2177" s="74"/>
      <c r="O2177" s="75"/>
      <c r="P2177" s="75"/>
      <c r="U2177" s="72"/>
      <c r="V2177" s="73"/>
      <c r="W2177" s="70"/>
      <c r="X2177" s="74"/>
      <c r="Y2177" s="75"/>
      <c r="Z2177" s="75"/>
    </row>
    <row r="2178" spans="1:26" x14ac:dyDescent="0.3">
      <c r="A2178" s="72"/>
      <c r="B2178" s="73"/>
      <c r="C2178" s="70"/>
      <c r="D2178" s="74"/>
      <c r="E2178" s="75"/>
      <c r="F2178" s="75"/>
      <c r="K2178" s="72"/>
      <c r="L2178" s="73"/>
      <c r="M2178" s="70"/>
      <c r="N2178" s="74"/>
      <c r="O2178" s="75"/>
      <c r="P2178" s="75"/>
      <c r="U2178" s="72"/>
      <c r="V2178" s="73"/>
      <c r="W2178" s="70"/>
      <c r="X2178" s="74"/>
      <c r="Y2178" s="75"/>
      <c r="Z2178" s="75"/>
    </row>
    <row r="2179" spans="1:26" x14ac:dyDescent="0.3">
      <c r="A2179" s="72"/>
      <c r="B2179" s="73"/>
      <c r="C2179" s="70"/>
      <c r="D2179" s="74"/>
      <c r="E2179" s="75"/>
      <c r="F2179" s="75"/>
      <c r="K2179" s="72"/>
      <c r="L2179" s="73"/>
      <c r="M2179" s="70"/>
      <c r="N2179" s="74"/>
      <c r="O2179" s="75"/>
      <c r="P2179" s="75"/>
      <c r="U2179" s="72"/>
      <c r="V2179" s="73"/>
      <c r="W2179" s="70"/>
      <c r="X2179" s="74"/>
      <c r="Y2179" s="75"/>
      <c r="Z2179" s="75"/>
    </row>
    <row r="2180" spans="1:26" x14ac:dyDescent="0.3">
      <c r="A2180" s="72"/>
      <c r="B2180" s="73"/>
      <c r="C2180" s="70"/>
      <c r="D2180" s="74"/>
      <c r="E2180" s="75"/>
      <c r="F2180" s="75"/>
      <c r="K2180" s="72"/>
      <c r="L2180" s="73"/>
      <c r="M2180" s="70"/>
      <c r="N2180" s="74"/>
      <c r="O2180" s="75"/>
      <c r="P2180" s="75"/>
      <c r="U2180" s="72"/>
      <c r="V2180" s="73"/>
      <c r="W2180" s="70"/>
      <c r="X2180" s="74"/>
      <c r="Y2180" s="75"/>
      <c r="Z2180" s="75"/>
    </row>
    <row r="2181" spans="1:26" x14ac:dyDescent="0.3">
      <c r="A2181" s="72"/>
      <c r="B2181" s="73"/>
      <c r="C2181" s="70"/>
      <c r="D2181" s="74"/>
      <c r="E2181" s="75"/>
      <c r="F2181" s="75"/>
      <c r="K2181" s="72"/>
      <c r="L2181" s="73"/>
      <c r="M2181" s="70"/>
      <c r="N2181" s="74"/>
      <c r="O2181" s="75"/>
      <c r="P2181" s="75"/>
      <c r="U2181" s="72"/>
      <c r="V2181" s="73"/>
      <c r="W2181" s="70"/>
      <c r="X2181" s="74"/>
      <c r="Y2181" s="75"/>
      <c r="Z2181" s="75"/>
    </row>
    <row r="2182" spans="1:26" x14ac:dyDescent="0.3">
      <c r="A2182" s="72"/>
      <c r="B2182" s="73"/>
      <c r="C2182" s="70"/>
      <c r="D2182" s="74"/>
      <c r="E2182" s="75"/>
      <c r="F2182" s="75"/>
      <c r="K2182" s="72"/>
      <c r="L2182" s="73"/>
      <c r="M2182" s="70"/>
      <c r="N2182" s="74"/>
      <c r="O2182" s="75"/>
      <c r="P2182" s="75"/>
      <c r="U2182" s="72"/>
      <c r="V2182" s="73"/>
      <c r="W2182" s="70"/>
      <c r="X2182" s="74"/>
      <c r="Y2182" s="75"/>
      <c r="Z2182" s="75"/>
    </row>
    <row r="2183" spans="1:26" x14ac:dyDescent="0.3">
      <c r="A2183" s="72"/>
      <c r="B2183" s="73"/>
      <c r="C2183" s="70"/>
      <c r="D2183" s="74"/>
      <c r="E2183" s="75"/>
      <c r="F2183" s="75"/>
      <c r="K2183" s="72"/>
      <c r="L2183" s="73"/>
      <c r="M2183" s="70"/>
      <c r="N2183" s="74"/>
      <c r="O2183" s="75"/>
      <c r="P2183" s="75"/>
      <c r="U2183" s="72"/>
      <c r="V2183" s="73"/>
      <c r="W2183" s="70"/>
      <c r="X2183" s="74"/>
      <c r="Y2183" s="75"/>
      <c r="Z2183" s="75"/>
    </row>
    <row r="2184" spans="1:26" x14ac:dyDescent="0.3">
      <c r="A2184" s="72"/>
      <c r="B2184" s="73"/>
      <c r="C2184" s="70"/>
      <c r="D2184" s="74"/>
      <c r="E2184" s="75"/>
      <c r="F2184" s="75"/>
      <c r="K2184" s="72"/>
      <c r="L2184" s="73"/>
      <c r="M2184" s="70"/>
      <c r="N2184" s="74"/>
      <c r="O2184" s="75"/>
      <c r="P2184" s="75"/>
      <c r="U2184" s="72"/>
      <c r="V2184" s="73"/>
      <c r="W2184" s="70"/>
      <c r="X2184" s="74"/>
      <c r="Y2184" s="75"/>
      <c r="Z2184" s="75"/>
    </row>
    <row r="2185" spans="1:26" x14ac:dyDescent="0.3">
      <c r="A2185" s="72"/>
      <c r="B2185" s="73"/>
      <c r="C2185" s="70"/>
      <c r="D2185" s="74"/>
      <c r="E2185" s="75"/>
      <c r="F2185" s="75"/>
      <c r="K2185" s="72"/>
      <c r="L2185" s="73"/>
      <c r="M2185" s="70"/>
      <c r="N2185" s="74"/>
      <c r="O2185" s="75"/>
      <c r="P2185" s="75"/>
      <c r="U2185" s="72"/>
      <c r="V2185" s="73"/>
      <c r="W2185" s="70"/>
      <c r="X2185" s="74"/>
      <c r="Y2185" s="75"/>
      <c r="Z2185" s="75"/>
    </row>
    <row r="2186" spans="1:26" x14ac:dyDescent="0.3">
      <c r="A2186" s="72"/>
      <c r="B2186" s="73"/>
      <c r="C2186" s="70"/>
      <c r="D2186" s="74"/>
      <c r="E2186" s="75"/>
      <c r="F2186" s="75"/>
      <c r="K2186" s="72"/>
      <c r="L2186" s="73"/>
      <c r="M2186" s="70"/>
      <c r="N2186" s="74"/>
      <c r="O2186" s="75"/>
      <c r="P2186" s="75"/>
      <c r="U2186" s="72"/>
      <c r="V2186" s="73"/>
      <c r="W2186" s="70"/>
      <c r="X2186" s="74"/>
      <c r="Y2186" s="75"/>
      <c r="Z2186" s="75"/>
    </row>
    <row r="2187" spans="1:26" x14ac:dyDescent="0.3">
      <c r="A2187" s="72"/>
      <c r="B2187" s="73"/>
      <c r="C2187" s="70"/>
      <c r="D2187" s="74"/>
      <c r="E2187" s="75"/>
      <c r="F2187" s="75"/>
      <c r="K2187" s="72"/>
      <c r="L2187" s="73"/>
      <c r="M2187" s="70"/>
      <c r="N2187" s="74"/>
      <c r="O2187" s="75"/>
      <c r="P2187" s="75"/>
      <c r="U2187" s="72"/>
      <c r="V2187" s="73"/>
      <c r="W2187" s="70"/>
      <c r="X2187" s="74"/>
      <c r="Y2187" s="75"/>
      <c r="Z2187" s="75"/>
    </row>
    <row r="2188" spans="1:26" x14ac:dyDescent="0.3">
      <c r="A2188" s="72"/>
      <c r="B2188" s="73"/>
      <c r="C2188" s="70"/>
      <c r="D2188" s="74"/>
      <c r="E2188" s="75"/>
      <c r="F2188" s="75"/>
      <c r="K2188" s="72"/>
      <c r="L2188" s="73"/>
      <c r="M2188" s="70"/>
      <c r="N2188" s="74"/>
      <c r="O2188" s="75"/>
      <c r="P2188" s="75"/>
      <c r="U2188" s="72"/>
      <c r="V2188" s="73"/>
      <c r="W2188" s="70"/>
      <c r="X2188" s="74"/>
      <c r="Y2188" s="75"/>
      <c r="Z2188" s="75"/>
    </row>
    <row r="2189" spans="1:26" x14ac:dyDescent="0.3">
      <c r="A2189" s="72"/>
      <c r="B2189" s="73"/>
      <c r="C2189" s="70"/>
      <c r="D2189" s="74"/>
      <c r="E2189" s="75"/>
      <c r="F2189" s="75"/>
      <c r="K2189" s="72"/>
      <c r="L2189" s="73"/>
      <c r="M2189" s="70"/>
      <c r="N2189" s="74"/>
      <c r="O2189" s="75"/>
      <c r="P2189" s="75"/>
      <c r="U2189" s="72"/>
      <c r="V2189" s="73"/>
      <c r="W2189" s="70"/>
      <c r="X2189" s="74"/>
      <c r="Y2189" s="75"/>
      <c r="Z2189" s="75"/>
    </row>
    <row r="2190" spans="1:26" x14ac:dyDescent="0.3">
      <c r="A2190" s="72"/>
      <c r="B2190" s="73"/>
      <c r="C2190" s="70"/>
      <c r="D2190" s="74"/>
      <c r="E2190" s="75"/>
      <c r="F2190" s="75"/>
      <c r="K2190" s="72"/>
      <c r="L2190" s="73"/>
      <c r="M2190" s="70"/>
      <c r="N2190" s="74"/>
      <c r="O2190" s="75"/>
      <c r="P2190" s="75"/>
      <c r="U2190" s="72"/>
      <c r="V2190" s="73"/>
      <c r="W2190" s="70"/>
      <c r="X2190" s="74"/>
      <c r="Y2190" s="75"/>
      <c r="Z2190" s="75"/>
    </row>
    <row r="2191" spans="1:26" x14ac:dyDescent="0.3">
      <c r="A2191" s="72"/>
      <c r="B2191" s="73"/>
      <c r="C2191" s="70"/>
      <c r="D2191" s="74"/>
      <c r="E2191" s="75"/>
      <c r="F2191" s="75"/>
      <c r="K2191" s="72"/>
      <c r="L2191" s="73"/>
      <c r="M2191" s="70"/>
      <c r="N2191" s="74"/>
      <c r="O2191" s="75"/>
      <c r="P2191" s="75"/>
      <c r="U2191" s="72"/>
      <c r="V2191" s="73"/>
      <c r="W2191" s="70"/>
      <c r="X2191" s="74"/>
      <c r="Y2191" s="75"/>
      <c r="Z2191" s="75"/>
    </row>
    <row r="2192" spans="1:26" x14ac:dyDescent="0.3">
      <c r="A2192" s="72"/>
      <c r="B2192" s="73"/>
      <c r="C2192" s="70"/>
      <c r="D2192" s="74"/>
      <c r="E2192" s="75"/>
      <c r="F2192" s="75"/>
      <c r="K2192" s="72"/>
      <c r="L2192" s="73"/>
      <c r="M2192" s="70"/>
      <c r="N2192" s="74"/>
      <c r="O2192" s="75"/>
      <c r="P2192" s="75"/>
      <c r="U2192" s="72"/>
      <c r="V2192" s="73"/>
      <c r="W2192" s="70"/>
      <c r="X2192" s="74"/>
      <c r="Y2192" s="75"/>
      <c r="Z2192" s="75"/>
    </row>
    <row r="2193" spans="1:26" x14ac:dyDescent="0.3">
      <c r="A2193" s="72"/>
      <c r="B2193" s="73"/>
      <c r="C2193" s="70"/>
      <c r="D2193" s="74"/>
      <c r="E2193" s="75"/>
      <c r="F2193" s="75"/>
      <c r="K2193" s="72"/>
      <c r="L2193" s="73"/>
      <c r="M2193" s="70"/>
      <c r="N2193" s="74"/>
      <c r="O2193" s="75"/>
      <c r="P2193" s="75"/>
      <c r="U2193" s="72"/>
      <c r="V2193" s="73"/>
      <c r="W2193" s="70"/>
      <c r="X2193" s="74"/>
      <c r="Y2193" s="75"/>
      <c r="Z2193" s="75"/>
    </row>
    <row r="2194" spans="1:26" x14ac:dyDescent="0.3">
      <c r="A2194" s="72"/>
      <c r="B2194" s="73"/>
      <c r="C2194" s="70"/>
      <c r="D2194" s="74"/>
      <c r="E2194" s="75"/>
      <c r="F2194" s="75"/>
      <c r="K2194" s="72"/>
      <c r="L2194" s="73"/>
      <c r="M2194" s="70"/>
      <c r="N2194" s="74"/>
      <c r="O2194" s="75"/>
      <c r="P2194" s="75"/>
      <c r="U2194" s="72"/>
      <c r="V2194" s="73"/>
      <c r="W2194" s="70"/>
      <c r="X2194" s="74"/>
      <c r="Y2194" s="75"/>
      <c r="Z2194" s="75"/>
    </row>
    <row r="2195" spans="1:26" x14ac:dyDescent="0.3">
      <c r="A2195" s="72"/>
      <c r="B2195" s="73"/>
      <c r="C2195" s="70"/>
      <c r="D2195" s="74"/>
      <c r="E2195" s="75"/>
      <c r="F2195" s="75"/>
      <c r="K2195" s="72"/>
      <c r="L2195" s="73"/>
      <c r="M2195" s="70"/>
      <c r="N2195" s="74"/>
      <c r="O2195" s="75"/>
      <c r="P2195" s="75"/>
      <c r="U2195" s="72"/>
      <c r="V2195" s="73"/>
      <c r="W2195" s="70"/>
      <c r="X2195" s="74"/>
      <c r="Y2195" s="75"/>
      <c r="Z2195" s="75"/>
    </row>
    <row r="2196" spans="1:26" x14ac:dyDescent="0.3">
      <c r="A2196" s="72"/>
      <c r="B2196" s="73"/>
      <c r="C2196" s="70"/>
      <c r="D2196" s="74"/>
      <c r="E2196" s="75"/>
      <c r="F2196" s="75"/>
      <c r="K2196" s="72"/>
      <c r="L2196" s="73"/>
      <c r="M2196" s="70"/>
      <c r="N2196" s="74"/>
      <c r="O2196" s="75"/>
      <c r="P2196" s="75"/>
      <c r="U2196" s="72"/>
      <c r="V2196" s="73"/>
      <c r="W2196" s="70"/>
      <c r="X2196" s="74"/>
      <c r="Y2196" s="75"/>
      <c r="Z2196" s="75"/>
    </row>
    <row r="2197" spans="1:26" x14ac:dyDescent="0.3">
      <c r="A2197" s="72"/>
      <c r="B2197" s="73"/>
      <c r="C2197" s="70"/>
      <c r="D2197" s="74"/>
      <c r="E2197" s="75"/>
      <c r="F2197" s="75"/>
      <c r="K2197" s="72"/>
      <c r="L2197" s="73"/>
      <c r="M2197" s="70"/>
      <c r="N2197" s="74"/>
      <c r="O2197" s="75"/>
      <c r="P2197" s="75"/>
      <c r="U2197" s="72"/>
      <c r="V2197" s="73"/>
      <c r="W2197" s="70"/>
      <c r="X2197" s="74"/>
      <c r="Y2197" s="75"/>
      <c r="Z2197" s="75"/>
    </row>
    <row r="2198" spans="1:26" x14ac:dyDescent="0.3">
      <c r="A2198" s="72"/>
      <c r="B2198" s="73"/>
      <c r="C2198" s="70"/>
      <c r="D2198" s="74"/>
      <c r="E2198" s="75"/>
      <c r="F2198" s="75"/>
      <c r="K2198" s="72"/>
      <c r="L2198" s="73"/>
      <c r="M2198" s="70"/>
      <c r="N2198" s="74"/>
      <c r="O2198" s="75"/>
      <c r="P2198" s="75"/>
      <c r="U2198" s="72"/>
      <c r="V2198" s="73"/>
      <c r="W2198" s="70"/>
      <c r="X2198" s="74"/>
      <c r="Y2198" s="75"/>
      <c r="Z2198" s="75"/>
    </row>
    <row r="2199" spans="1:26" x14ac:dyDescent="0.3">
      <c r="A2199" s="72"/>
      <c r="B2199" s="73"/>
      <c r="C2199" s="70"/>
      <c r="D2199" s="74"/>
      <c r="E2199" s="75"/>
      <c r="F2199" s="75"/>
      <c r="K2199" s="72"/>
      <c r="L2199" s="73"/>
      <c r="M2199" s="70"/>
      <c r="N2199" s="74"/>
      <c r="O2199" s="75"/>
      <c r="P2199" s="75"/>
      <c r="U2199" s="72"/>
      <c r="V2199" s="73"/>
      <c r="W2199" s="70"/>
      <c r="X2199" s="74"/>
      <c r="Y2199" s="75"/>
      <c r="Z2199" s="75"/>
    </row>
    <row r="2200" spans="1:26" x14ac:dyDescent="0.3">
      <c r="A2200" s="72"/>
      <c r="B2200" s="73"/>
      <c r="C2200" s="70"/>
      <c r="D2200" s="74"/>
      <c r="E2200" s="75"/>
      <c r="F2200" s="75"/>
      <c r="K2200" s="72"/>
      <c r="L2200" s="73"/>
      <c r="M2200" s="70"/>
      <c r="N2200" s="74"/>
      <c r="O2200" s="75"/>
      <c r="P2200" s="75"/>
      <c r="U2200" s="72"/>
      <c r="V2200" s="73"/>
      <c r="W2200" s="70"/>
      <c r="X2200" s="74"/>
      <c r="Y2200" s="75"/>
      <c r="Z2200" s="75"/>
    </row>
    <row r="2201" spans="1:26" x14ac:dyDescent="0.3">
      <c r="A2201" s="72"/>
      <c r="B2201" s="73"/>
      <c r="C2201" s="70"/>
      <c r="D2201" s="74"/>
      <c r="E2201" s="75"/>
      <c r="F2201" s="75"/>
      <c r="K2201" s="72"/>
      <c r="L2201" s="73"/>
      <c r="M2201" s="70"/>
      <c r="N2201" s="74"/>
      <c r="O2201" s="75"/>
      <c r="P2201" s="75"/>
      <c r="U2201" s="72"/>
      <c r="V2201" s="73"/>
      <c r="W2201" s="70"/>
      <c r="X2201" s="74"/>
      <c r="Y2201" s="75"/>
      <c r="Z2201" s="75"/>
    </row>
    <row r="2202" spans="1:26" x14ac:dyDescent="0.3">
      <c r="A2202" s="72"/>
      <c r="B2202" s="73"/>
      <c r="C2202" s="70"/>
      <c r="D2202" s="74"/>
      <c r="E2202" s="75"/>
      <c r="F2202" s="75"/>
      <c r="K2202" s="72"/>
      <c r="L2202" s="73"/>
      <c r="M2202" s="70"/>
      <c r="N2202" s="74"/>
      <c r="O2202" s="75"/>
      <c r="P2202" s="75"/>
      <c r="U2202" s="72"/>
      <c r="V2202" s="73"/>
      <c r="W2202" s="70"/>
      <c r="X2202" s="74"/>
      <c r="Y2202" s="75"/>
      <c r="Z2202" s="75"/>
    </row>
    <row r="2203" spans="1:26" x14ac:dyDescent="0.3">
      <c r="A2203" s="72"/>
      <c r="B2203" s="73"/>
      <c r="C2203" s="70"/>
      <c r="D2203" s="74"/>
      <c r="E2203" s="75"/>
      <c r="F2203" s="75"/>
      <c r="K2203" s="72"/>
      <c r="L2203" s="73"/>
      <c r="M2203" s="70"/>
      <c r="N2203" s="74"/>
      <c r="O2203" s="75"/>
      <c r="P2203" s="75"/>
      <c r="U2203" s="72"/>
      <c r="V2203" s="73"/>
      <c r="W2203" s="70"/>
      <c r="X2203" s="74"/>
      <c r="Y2203" s="75"/>
      <c r="Z2203" s="75"/>
    </row>
    <row r="2204" spans="1:26" x14ac:dyDescent="0.3">
      <c r="A2204" s="72"/>
      <c r="B2204" s="73"/>
      <c r="C2204" s="70"/>
      <c r="D2204" s="74"/>
      <c r="E2204" s="75"/>
      <c r="F2204" s="75"/>
      <c r="K2204" s="72"/>
      <c r="L2204" s="73"/>
      <c r="M2204" s="70"/>
      <c r="N2204" s="74"/>
      <c r="O2204" s="75"/>
      <c r="P2204" s="75"/>
      <c r="U2204" s="72"/>
      <c r="V2204" s="73"/>
      <c r="W2204" s="70"/>
      <c r="X2204" s="74"/>
      <c r="Y2204" s="75"/>
      <c r="Z2204" s="75"/>
    </row>
    <row r="2205" spans="1:26" x14ac:dyDescent="0.3">
      <c r="A2205" s="72"/>
      <c r="B2205" s="73"/>
      <c r="C2205" s="70"/>
      <c r="D2205" s="74"/>
      <c r="E2205" s="75"/>
      <c r="F2205" s="75"/>
      <c r="K2205" s="72"/>
      <c r="L2205" s="73"/>
      <c r="M2205" s="70"/>
      <c r="N2205" s="74"/>
      <c r="O2205" s="75"/>
      <c r="P2205" s="75"/>
      <c r="U2205" s="72"/>
      <c r="V2205" s="73"/>
      <c r="W2205" s="70"/>
      <c r="X2205" s="74"/>
      <c r="Y2205" s="75"/>
      <c r="Z2205" s="75"/>
    </row>
    <row r="2206" spans="1:26" x14ac:dyDescent="0.3">
      <c r="A2206" s="72"/>
      <c r="B2206" s="73"/>
      <c r="C2206" s="70"/>
      <c r="D2206" s="74"/>
      <c r="E2206" s="75"/>
      <c r="F2206" s="75"/>
      <c r="K2206" s="72"/>
      <c r="L2206" s="73"/>
      <c r="M2206" s="70"/>
      <c r="N2206" s="74"/>
      <c r="O2206" s="75"/>
      <c r="P2206" s="75"/>
      <c r="U2206" s="72"/>
      <c r="V2206" s="73"/>
      <c r="W2206" s="70"/>
      <c r="X2206" s="74"/>
      <c r="Y2206" s="75"/>
      <c r="Z2206" s="75"/>
    </row>
    <row r="2207" spans="1:26" x14ac:dyDescent="0.3">
      <c r="A2207" s="72"/>
      <c r="B2207" s="73"/>
      <c r="C2207" s="70"/>
      <c r="D2207" s="74"/>
      <c r="E2207" s="75"/>
      <c r="F2207" s="75"/>
      <c r="K2207" s="72"/>
      <c r="L2207" s="73"/>
      <c r="M2207" s="70"/>
      <c r="N2207" s="74"/>
      <c r="O2207" s="75"/>
      <c r="P2207" s="75"/>
      <c r="U2207" s="72"/>
      <c r="V2207" s="73"/>
      <c r="W2207" s="70"/>
      <c r="X2207" s="74"/>
      <c r="Y2207" s="75"/>
      <c r="Z2207" s="75"/>
    </row>
    <row r="2208" spans="1:26" x14ac:dyDescent="0.3">
      <c r="A2208" s="72"/>
      <c r="B2208" s="73"/>
      <c r="C2208" s="70"/>
      <c r="D2208" s="74"/>
      <c r="E2208" s="75"/>
      <c r="F2208" s="75"/>
      <c r="K2208" s="72"/>
      <c r="L2208" s="73"/>
      <c r="M2208" s="70"/>
      <c r="N2208" s="74"/>
      <c r="O2208" s="75"/>
      <c r="P2208" s="75"/>
      <c r="U2208" s="72"/>
      <c r="V2208" s="73"/>
      <c r="W2208" s="70"/>
      <c r="X2208" s="74"/>
      <c r="Y2208" s="75"/>
      <c r="Z2208" s="75"/>
    </row>
    <row r="2209" spans="1:26" x14ac:dyDescent="0.3">
      <c r="A2209" s="72"/>
      <c r="B2209" s="73"/>
      <c r="C2209" s="70"/>
      <c r="D2209" s="74"/>
      <c r="E2209" s="75"/>
      <c r="F2209" s="75"/>
      <c r="K2209" s="72"/>
      <c r="L2209" s="73"/>
      <c r="M2209" s="70"/>
      <c r="N2209" s="74"/>
      <c r="O2209" s="75"/>
      <c r="P2209" s="75"/>
      <c r="U2209" s="72"/>
      <c r="V2209" s="73"/>
      <c r="W2209" s="70"/>
      <c r="X2209" s="74"/>
      <c r="Y2209" s="75"/>
      <c r="Z2209" s="75"/>
    </row>
    <row r="2210" spans="1:26" x14ac:dyDescent="0.3">
      <c r="A2210" s="72"/>
      <c r="B2210" s="73"/>
      <c r="C2210" s="70"/>
      <c r="D2210" s="74"/>
      <c r="E2210" s="75"/>
      <c r="F2210" s="75"/>
      <c r="K2210" s="72"/>
      <c r="L2210" s="73"/>
      <c r="M2210" s="70"/>
      <c r="N2210" s="74"/>
      <c r="O2210" s="75"/>
      <c r="P2210" s="75"/>
      <c r="U2210" s="72"/>
      <c r="V2210" s="73"/>
      <c r="W2210" s="70"/>
      <c r="X2210" s="74"/>
      <c r="Y2210" s="75"/>
      <c r="Z2210" s="75"/>
    </row>
    <row r="2211" spans="1:26" x14ac:dyDescent="0.3">
      <c r="A2211" s="72"/>
      <c r="B2211" s="73"/>
      <c r="C2211" s="70"/>
      <c r="D2211" s="74"/>
      <c r="E2211" s="75"/>
      <c r="F2211" s="75"/>
      <c r="K2211" s="72"/>
      <c r="L2211" s="73"/>
      <c r="M2211" s="70"/>
      <c r="N2211" s="74"/>
      <c r="O2211" s="75"/>
      <c r="P2211" s="75"/>
      <c r="U2211" s="72"/>
      <c r="V2211" s="73"/>
      <c r="W2211" s="70"/>
      <c r="X2211" s="74"/>
      <c r="Y2211" s="75"/>
      <c r="Z2211" s="75"/>
    </row>
    <row r="2212" spans="1:26" x14ac:dyDescent="0.3">
      <c r="A2212" s="72"/>
      <c r="B2212" s="73"/>
      <c r="C2212" s="70"/>
      <c r="D2212" s="74"/>
      <c r="E2212" s="75"/>
      <c r="F2212" s="75"/>
      <c r="K2212" s="72"/>
      <c r="L2212" s="73"/>
      <c r="M2212" s="70"/>
      <c r="N2212" s="74"/>
      <c r="O2212" s="75"/>
      <c r="P2212" s="75"/>
      <c r="U2212" s="72"/>
      <c r="V2212" s="73"/>
      <c r="W2212" s="70"/>
      <c r="X2212" s="74"/>
      <c r="Y2212" s="75"/>
      <c r="Z2212" s="75"/>
    </row>
    <row r="2213" spans="1:26" x14ac:dyDescent="0.3">
      <c r="A2213" s="72"/>
      <c r="B2213" s="73"/>
      <c r="C2213" s="70"/>
      <c r="D2213" s="74"/>
      <c r="E2213" s="75"/>
      <c r="F2213" s="75"/>
      <c r="K2213" s="72"/>
      <c r="L2213" s="73"/>
      <c r="M2213" s="70"/>
      <c r="N2213" s="74"/>
      <c r="O2213" s="75"/>
      <c r="P2213" s="75"/>
      <c r="U2213" s="72"/>
      <c r="V2213" s="73"/>
      <c r="W2213" s="70"/>
      <c r="X2213" s="74"/>
      <c r="Y2213" s="75"/>
      <c r="Z2213" s="75"/>
    </row>
    <row r="2214" spans="1:26" x14ac:dyDescent="0.3">
      <c r="A2214" s="72"/>
      <c r="B2214" s="73"/>
      <c r="C2214" s="70"/>
      <c r="D2214" s="74"/>
      <c r="E2214" s="75"/>
      <c r="F2214" s="75"/>
      <c r="K2214" s="72"/>
      <c r="L2214" s="73"/>
      <c r="M2214" s="70"/>
      <c r="N2214" s="74"/>
      <c r="O2214" s="75"/>
      <c r="P2214" s="75"/>
      <c r="U2214" s="72"/>
      <c r="V2214" s="73"/>
      <c r="W2214" s="70"/>
      <c r="X2214" s="74"/>
      <c r="Y2214" s="75"/>
      <c r="Z2214" s="75"/>
    </row>
    <row r="2215" spans="1:26" x14ac:dyDescent="0.3">
      <c r="A2215" s="72"/>
      <c r="B2215" s="73"/>
      <c r="C2215" s="70"/>
      <c r="D2215" s="74"/>
      <c r="E2215" s="75"/>
      <c r="F2215" s="75"/>
      <c r="K2215" s="72"/>
      <c r="L2215" s="73"/>
      <c r="M2215" s="70"/>
      <c r="N2215" s="74"/>
      <c r="O2215" s="75"/>
      <c r="P2215" s="75"/>
      <c r="U2215" s="72"/>
      <c r="V2215" s="73"/>
      <c r="W2215" s="70"/>
      <c r="X2215" s="74"/>
      <c r="Y2215" s="75"/>
      <c r="Z2215" s="75"/>
    </row>
    <row r="2216" spans="1:26" x14ac:dyDescent="0.3">
      <c r="A2216" s="72"/>
      <c r="B2216" s="73"/>
      <c r="C2216" s="70"/>
      <c r="D2216" s="74"/>
      <c r="E2216" s="75"/>
      <c r="F2216" s="75"/>
      <c r="K2216" s="72"/>
      <c r="L2216" s="73"/>
      <c r="M2216" s="70"/>
      <c r="N2216" s="74"/>
      <c r="O2216" s="75"/>
      <c r="P2216" s="75"/>
      <c r="U2216" s="72"/>
      <c r="V2216" s="73"/>
      <c r="W2216" s="70"/>
      <c r="X2216" s="74"/>
      <c r="Y2216" s="75"/>
      <c r="Z2216" s="75"/>
    </row>
    <row r="2217" spans="1:26" x14ac:dyDescent="0.3">
      <c r="A2217" s="72"/>
      <c r="B2217" s="73"/>
      <c r="C2217" s="70"/>
      <c r="D2217" s="74"/>
      <c r="E2217" s="75"/>
      <c r="F2217" s="75"/>
      <c r="K2217" s="72"/>
      <c r="L2217" s="73"/>
      <c r="M2217" s="70"/>
      <c r="N2217" s="74"/>
      <c r="O2217" s="75"/>
      <c r="P2217" s="75"/>
      <c r="U2217" s="72"/>
      <c r="V2217" s="73"/>
      <c r="W2217" s="70"/>
      <c r="X2217" s="74"/>
      <c r="Y2217" s="75"/>
      <c r="Z2217" s="75"/>
    </row>
    <row r="2218" spans="1:26" x14ac:dyDescent="0.3">
      <c r="A2218" s="72"/>
      <c r="B2218" s="73"/>
      <c r="C2218" s="70"/>
      <c r="D2218" s="74"/>
      <c r="E2218" s="75"/>
      <c r="F2218" s="75"/>
      <c r="K2218" s="72"/>
      <c r="L2218" s="73"/>
      <c r="M2218" s="70"/>
      <c r="N2218" s="74"/>
      <c r="O2218" s="75"/>
      <c r="P2218" s="75"/>
      <c r="U2218" s="72"/>
      <c r="V2218" s="73"/>
      <c r="W2218" s="70"/>
      <c r="X2218" s="74"/>
      <c r="Y2218" s="75"/>
      <c r="Z2218" s="75"/>
    </row>
    <row r="2219" spans="1:26" x14ac:dyDescent="0.3">
      <c r="A2219" s="72"/>
      <c r="B2219" s="73"/>
      <c r="C2219" s="70"/>
      <c r="D2219" s="74"/>
      <c r="E2219" s="75"/>
      <c r="F2219" s="75"/>
      <c r="K2219" s="72"/>
      <c r="L2219" s="73"/>
      <c r="M2219" s="70"/>
      <c r="N2219" s="74"/>
      <c r="O2219" s="75"/>
      <c r="P2219" s="75"/>
      <c r="U2219" s="72"/>
      <c r="V2219" s="73"/>
      <c r="W2219" s="70"/>
      <c r="X2219" s="74"/>
      <c r="Y2219" s="75"/>
      <c r="Z2219" s="75"/>
    </row>
    <row r="2220" spans="1:26" x14ac:dyDescent="0.3">
      <c r="A2220" s="72"/>
      <c r="B2220" s="73"/>
      <c r="C2220" s="70"/>
      <c r="D2220" s="74"/>
      <c r="E2220" s="75"/>
      <c r="F2220" s="75"/>
      <c r="K2220" s="72"/>
      <c r="L2220" s="73"/>
      <c r="M2220" s="70"/>
      <c r="N2220" s="74"/>
      <c r="O2220" s="75"/>
      <c r="P2220" s="75"/>
      <c r="U2220" s="72"/>
      <c r="V2220" s="73"/>
      <c r="W2220" s="70"/>
      <c r="X2220" s="74"/>
      <c r="Y2220" s="75"/>
      <c r="Z2220" s="75"/>
    </row>
    <row r="2221" spans="1:26" x14ac:dyDescent="0.3">
      <c r="A2221" s="72"/>
      <c r="B2221" s="73"/>
      <c r="C2221" s="70"/>
      <c r="D2221" s="74"/>
      <c r="E2221" s="75"/>
      <c r="F2221" s="75"/>
      <c r="K2221" s="72"/>
      <c r="L2221" s="73"/>
      <c r="M2221" s="70"/>
      <c r="N2221" s="74"/>
      <c r="O2221" s="75"/>
      <c r="P2221" s="75"/>
      <c r="U2221" s="72"/>
      <c r="V2221" s="73"/>
      <c r="W2221" s="70"/>
      <c r="X2221" s="74"/>
      <c r="Y2221" s="75"/>
      <c r="Z2221" s="75"/>
    </row>
    <row r="2222" spans="1:26" x14ac:dyDescent="0.3">
      <c r="A2222" s="72"/>
      <c r="B2222" s="73"/>
      <c r="C2222" s="70"/>
      <c r="D2222" s="74"/>
      <c r="E2222" s="75"/>
      <c r="F2222" s="75"/>
      <c r="K2222" s="72"/>
      <c r="L2222" s="73"/>
      <c r="M2222" s="70"/>
      <c r="N2222" s="74"/>
      <c r="O2222" s="75"/>
      <c r="P2222" s="75"/>
      <c r="U2222" s="72"/>
      <c r="V2222" s="73"/>
      <c r="W2222" s="70"/>
      <c r="X2222" s="74"/>
      <c r="Y2222" s="75"/>
      <c r="Z2222" s="75"/>
    </row>
    <row r="2223" spans="1:26" x14ac:dyDescent="0.3">
      <c r="A2223" s="72"/>
      <c r="B2223" s="73"/>
      <c r="C2223" s="70"/>
      <c r="D2223" s="74"/>
      <c r="E2223" s="75"/>
      <c r="F2223" s="75"/>
      <c r="K2223" s="72"/>
      <c r="L2223" s="73"/>
      <c r="M2223" s="70"/>
      <c r="N2223" s="74"/>
      <c r="O2223" s="75"/>
      <c r="P2223" s="75"/>
      <c r="U2223" s="72"/>
      <c r="V2223" s="73"/>
      <c r="W2223" s="70"/>
      <c r="X2223" s="74"/>
      <c r="Y2223" s="75"/>
      <c r="Z2223" s="75"/>
    </row>
    <row r="2224" spans="1:26" x14ac:dyDescent="0.3">
      <c r="A2224" s="72"/>
      <c r="B2224" s="73"/>
      <c r="C2224" s="70"/>
      <c r="D2224" s="74"/>
      <c r="E2224" s="75"/>
      <c r="F2224" s="75"/>
      <c r="K2224" s="72"/>
      <c r="L2224" s="73"/>
      <c r="M2224" s="70"/>
      <c r="N2224" s="74"/>
      <c r="O2224" s="75"/>
      <c r="P2224" s="75"/>
      <c r="U2224" s="72"/>
      <c r="V2224" s="73"/>
      <c r="W2224" s="70"/>
      <c r="X2224" s="74"/>
      <c r="Y2224" s="75"/>
      <c r="Z2224" s="75"/>
    </row>
    <row r="2225" spans="1:26" x14ac:dyDescent="0.3">
      <c r="A2225" s="72"/>
      <c r="B2225" s="73"/>
      <c r="C2225" s="70"/>
      <c r="D2225" s="74"/>
      <c r="E2225" s="75"/>
      <c r="F2225" s="75"/>
      <c r="K2225" s="72"/>
      <c r="L2225" s="73"/>
      <c r="M2225" s="70"/>
      <c r="N2225" s="74"/>
      <c r="O2225" s="75"/>
      <c r="P2225" s="75"/>
      <c r="U2225" s="72"/>
      <c r="V2225" s="73"/>
      <c r="W2225" s="70"/>
      <c r="X2225" s="74"/>
      <c r="Y2225" s="75"/>
      <c r="Z2225" s="75"/>
    </row>
    <row r="2226" spans="1:26" x14ac:dyDescent="0.3">
      <c r="A2226" s="72"/>
      <c r="B2226" s="73"/>
      <c r="C2226" s="70"/>
      <c r="D2226" s="74"/>
      <c r="E2226" s="75"/>
      <c r="F2226" s="75"/>
      <c r="K2226" s="72"/>
      <c r="L2226" s="73"/>
      <c r="M2226" s="70"/>
      <c r="N2226" s="74"/>
      <c r="O2226" s="75"/>
      <c r="P2226" s="75"/>
      <c r="U2226" s="72"/>
      <c r="V2226" s="73"/>
      <c r="W2226" s="70"/>
      <c r="X2226" s="74"/>
      <c r="Y2226" s="75"/>
      <c r="Z2226" s="75"/>
    </row>
    <row r="2227" spans="1:26" x14ac:dyDescent="0.3">
      <c r="A2227" s="72"/>
      <c r="B2227" s="73"/>
      <c r="C2227" s="70"/>
      <c r="D2227" s="74"/>
      <c r="E2227" s="75"/>
      <c r="F2227" s="75"/>
      <c r="K2227" s="72"/>
      <c r="L2227" s="73"/>
      <c r="M2227" s="70"/>
      <c r="N2227" s="74"/>
      <c r="O2227" s="75"/>
      <c r="P2227" s="75"/>
      <c r="U2227" s="72"/>
      <c r="V2227" s="73"/>
      <c r="W2227" s="70"/>
      <c r="X2227" s="74"/>
      <c r="Y2227" s="75"/>
      <c r="Z2227" s="75"/>
    </row>
    <row r="2228" spans="1:26" x14ac:dyDescent="0.3">
      <c r="A2228" s="72"/>
      <c r="B2228" s="73"/>
      <c r="C2228" s="70"/>
      <c r="D2228" s="74"/>
      <c r="E2228" s="75"/>
      <c r="F2228" s="75"/>
      <c r="K2228" s="72"/>
      <c r="L2228" s="73"/>
      <c r="M2228" s="70"/>
      <c r="N2228" s="74"/>
      <c r="O2228" s="75"/>
      <c r="P2228" s="75"/>
      <c r="U2228" s="72"/>
      <c r="V2228" s="73"/>
      <c r="W2228" s="70"/>
      <c r="X2228" s="74"/>
      <c r="Y2228" s="75"/>
      <c r="Z2228" s="75"/>
    </row>
    <row r="2229" spans="1:26" x14ac:dyDescent="0.3">
      <c r="A2229" s="72"/>
      <c r="B2229" s="73"/>
      <c r="C2229" s="70"/>
      <c r="D2229" s="74"/>
      <c r="E2229" s="75"/>
      <c r="F2229" s="75"/>
      <c r="K2229" s="72"/>
      <c r="L2229" s="73"/>
      <c r="M2229" s="70"/>
      <c r="N2229" s="74"/>
      <c r="O2229" s="75"/>
      <c r="P2229" s="75"/>
      <c r="U2229" s="72"/>
      <c r="V2229" s="73"/>
      <c r="W2229" s="70"/>
      <c r="X2229" s="74"/>
      <c r="Y2229" s="75"/>
      <c r="Z2229" s="75"/>
    </row>
    <row r="2230" spans="1:26" x14ac:dyDescent="0.3">
      <c r="A2230" s="72"/>
      <c r="B2230" s="73"/>
      <c r="C2230" s="70"/>
      <c r="D2230" s="74"/>
      <c r="E2230" s="75"/>
      <c r="F2230" s="75"/>
      <c r="K2230" s="72"/>
      <c r="L2230" s="73"/>
      <c r="M2230" s="70"/>
      <c r="N2230" s="74"/>
      <c r="O2230" s="75"/>
      <c r="P2230" s="75"/>
      <c r="U2230" s="72"/>
      <c r="V2230" s="73"/>
      <c r="W2230" s="70"/>
      <c r="X2230" s="74"/>
      <c r="Y2230" s="75"/>
      <c r="Z2230" s="75"/>
    </row>
    <row r="2231" spans="1:26" x14ac:dyDescent="0.3">
      <c r="A2231" s="72"/>
      <c r="B2231" s="73"/>
      <c r="C2231" s="70"/>
      <c r="D2231" s="74"/>
      <c r="E2231" s="75"/>
      <c r="F2231" s="75"/>
      <c r="K2231" s="72"/>
      <c r="L2231" s="73"/>
      <c r="M2231" s="70"/>
      <c r="N2231" s="74"/>
      <c r="O2231" s="75"/>
      <c r="P2231" s="75"/>
      <c r="U2231" s="72"/>
      <c r="V2231" s="73"/>
      <c r="W2231" s="70"/>
      <c r="X2231" s="74"/>
      <c r="Y2231" s="75"/>
      <c r="Z2231" s="75"/>
    </row>
    <row r="2232" spans="1:26" x14ac:dyDescent="0.3">
      <c r="A2232" s="72"/>
      <c r="B2232" s="73"/>
      <c r="C2232" s="70"/>
      <c r="D2232" s="74"/>
      <c r="E2232" s="75"/>
      <c r="F2232" s="75"/>
      <c r="K2232" s="72"/>
      <c r="L2232" s="73"/>
      <c r="M2232" s="70"/>
      <c r="N2232" s="74"/>
      <c r="O2232" s="75"/>
      <c r="P2232" s="75"/>
      <c r="U2232" s="72"/>
      <c r="V2232" s="73"/>
      <c r="W2232" s="70"/>
      <c r="X2232" s="74"/>
      <c r="Y2232" s="75"/>
      <c r="Z2232" s="75"/>
    </row>
    <row r="2233" spans="1:26" x14ac:dyDescent="0.3">
      <c r="A2233" s="72"/>
      <c r="B2233" s="73"/>
      <c r="C2233" s="70"/>
      <c r="D2233" s="74"/>
      <c r="E2233" s="75"/>
      <c r="F2233" s="75"/>
      <c r="K2233" s="72"/>
      <c r="L2233" s="73"/>
      <c r="M2233" s="70"/>
      <c r="N2233" s="74"/>
      <c r="O2233" s="75"/>
      <c r="P2233" s="75"/>
      <c r="U2233" s="72"/>
      <c r="V2233" s="73"/>
      <c r="W2233" s="70"/>
      <c r="X2233" s="74"/>
      <c r="Y2233" s="75"/>
      <c r="Z2233" s="75"/>
    </row>
    <row r="2234" spans="1:26" x14ac:dyDescent="0.3">
      <c r="A2234" s="72"/>
      <c r="B2234" s="73"/>
      <c r="C2234" s="70"/>
      <c r="D2234" s="74"/>
      <c r="E2234" s="75"/>
      <c r="F2234" s="75"/>
      <c r="K2234" s="72"/>
      <c r="L2234" s="73"/>
      <c r="M2234" s="70"/>
      <c r="N2234" s="74"/>
      <c r="O2234" s="75"/>
      <c r="P2234" s="75"/>
      <c r="U2234" s="72"/>
      <c r="V2234" s="73"/>
      <c r="W2234" s="70"/>
      <c r="X2234" s="74"/>
      <c r="Y2234" s="75"/>
      <c r="Z2234" s="75"/>
    </row>
    <row r="2235" spans="1:26" x14ac:dyDescent="0.3">
      <c r="A2235" s="72"/>
      <c r="B2235" s="73"/>
      <c r="C2235" s="70"/>
      <c r="D2235" s="74"/>
      <c r="E2235" s="75"/>
      <c r="F2235" s="75"/>
      <c r="K2235" s="72"/>
      <c r="L2235" s="73"/>
      <c r="M2235" s="70"/>
      <c r="N2235" s="74"/>
      <c r="O2235" s="75"/>
      <c r="P2235" s="75"/>
      <c r="U2235" s="72"/>
      <c r="V2235" s="73"/>
      <c r="W2235" s="70"/>
      <c r="X2235" s="74"/>
      <c r="Y2235" s="75"/>
      <c r="Z2235" s="75"/>
    </row>
    <row r="2236" spans="1:26" x14ac:dyDescent="0.3">
      <c r="A2236" s="72"/>
      <c r="B2236" s="73"/>
      <c r="C2236" s="70"/>
      <c r="D2236" s="74"/>
      <c r="E2236" s="75"/>
      <c r="F2236" s="75"/>
      <c r="K2236" s="72"/>
      <c r="L2236" s="73"/>
      <c r="M2236" s="70"/>
      <c r="N2236" s="74"/>
      <c r="O2236" s="75"/>
      <c r="P2236" s="75"/>
      <c r="U2236" s="72"/>
      <c r="V2236" s="73"/>
      <c r="W2236" s="70"/>
      <c r="X2236" s="74"/>
      <c r="Y2236" s="75"/>
      <c r="Z2236" s="75"/>
    </row>
    <row r="2237" spans="1:26" x14ac:dyDescent="0.3">
      <c r="A2237" s="72"/>
      <c r="B2237" s="73"/>
      <c r="C2237" s="70"/>
      <c r="D2237" s="74"/>
      <c r="E2237" s="75"/>
      <c r="F2237" s="75"/>
      <c r="K2237" s="72"/>
      <c r="L2237" s="73"/>
      <c r="M2237" s="70"/>
      <c r="N2237" s="74"/>
      <c r="O2237" s="75"/>
      <c r="P2237" s="75"/>
      <c r="U2237" s="72"/>
      <c r="V2237" s="73"/>
      <c r="W2237" s="70"/>
      <c r="X2237" s="74"/>
      <c r="Y2237" s="75"/>
      <c r="Z2237" s="75"/>
    </row>
    <row r="2238" spans="1:26" x14ac:dyDescent="0.3">
      <c r="A2238" s="72"/>
      <c r="B2238" s="73"/>
      <c r="C2238" s="70"/>
      <c r="D2238" s="74"/>
      <c r="E2238" s="75"/>
      <c r="F2238" s="75"/>
      <c r="K2238" s="72"/>
      <c r="L2238" s="73"/>
      <c r="M2238" s="70"/>
      <c r="N2238" s="74"/>
      <c r="O2238" s="75"/>
      <c r="P2238" s="75"/>
      <c r="U2238" s="72"/>
      <c r="V2238" s="73"/>
      <c r="W2238" s="70"/>
      <c r="X2238" s="74"/>
      <c r="Y2238" s="75"/>
      <c r="Z2238" s="75"/>
    </row>
    <row r="2239" spans="1:26" x14ac:dyDescent="0.3">
      <c r="A2239" s="72"/>
      <c r="B2239" s="73"/>
      <c r="C2239" s="70"/>
      <c r="D2239" s="74"/>
      <c r="E2239" s="75"/>
      <c r="F2239" s="75"/>
      <c r="K2239" s="72"/>
      <c r="L2239" s="73"/>
      <c r="M2239" s="70"/>
      <c r="N2239" s="74"/>
      <c r="O2239" s="75"/>
      <c r="P2239" s="75"/>
      <c r="U2239" s="72"/>
      <c r="V2239" s="73"/>
      <c r="W2239" s="70"/>
      <c r="X2239" s="74"/>
      <c r="Y2239" s="75"/>
      <c r="Z2239" s="75"/>
    </row>
    <row r="2240" spans="1:26" x14ac:dyDescent="0.3">
      <c r="A2240" s="72"/>
      <c r="B2240" s="73"/>
      <c r="C2240" s="70"/>
      <c r="D2240" s="74"/>
      <c r="E2240" s="75"/>
      <c r="F2240" s="75"/>
      <c r="K2240" s="72"/>
      <c r="L2240" s="73"/>
      <c r="M2240" s="70"/>
      <c r="N2240" s="74"/>
      <c r="O2240" s="75"/>
      <c r="P2240" s="75"/>
      <c r="U2240" s="72"/>
      <c r="V2240" s="73"/>
      <c r="W2240" s="70"/>
      <c r="X2240" s="74"/>
      <c r="Y2240" s="75"/>
      <c r="Z2240" s="75"/>
    </row>
    <row r="2241" spans="1:26" x14ac:dyDescent="0.3">
      <c r="A2241" s="72"/>
      <c r="B2241" s="73"/>
      <c r="C2241" s="70"/>
      <c r="D2241" s="74"/>
      <c r="E2241" s="75"/>
      <c r="F2241" s="75"/>
      <c r="K2241" s="72"/>
      <c r="L2241" s="73"/>
      <c r="M2241" s="70"/>
      <c r="N2241" s="74"/>
      <c r="O2241" s="75"/>
      <c r="P2241" s="75"/>
      <c r="U2241" s="72"/>
      <c r="V2241" s="73"/>
      <c r="W2241" s="70"/>
      <c r="X2241" s="74"/>
      <c r="Y2241" s="75"/>
      <c r="Z2241" s="75"/>
    </row>
    <row r="2242" spans="1:26" x14ac:dyDescent="0.3">
      <c r="A2242" s="72"/>
      <c r="B2242" s="73"/>
      <c r="C2242" s="70"/>
      <c r="D2242" s="74"/>
      <c r="E2242" s="75"/>
      <c r="F2242" s="75"/>
      <c r="K2242" s="72"/>
      <c r="L2242" s="73"/>
      <c r="M2242" s="70"/>
      <c r="N2242" s="74"/>
      <c r="O2242" s="75"/>
      <c r="P2242" s="75"/>
      <c r="U2242" s="72"/>
      <c r="V2242" s="73"/>
      <c r="W2242" s="70"/>
      <c r="X2242" s="74"/>
      <c r="Y2242" s="75"/>
      <c r="Z2242" s="75"/>
    </row>
    <row r="2243" spans="1:26" x14ac:dyDescent="0.3">
      <c r="A2243" s="72"/>
      <c r="B2243" s="73"/>
      <c r="C2243" s="70"/>
      <c r="D2243" s="74"/>
      <c r="E2243" s="75"/>
      <c r="F2243" s="75"/>
      <c r="K2243" s="72"/>
      <c r="L2243" s="73"/>
      <c r="M2243" s="70"/>
      <c r="N2243" s="74"/>
      <c r="O2243" s="75"/>
      <c r="P2243" s="75"/>
      <c r="U2243" s="72"/>
      <c r="V2243" s="73"/>
      <c r="W2243" s="70"/>
      <c r="X2243" s="74"/>
      <c r="Y2243" s="75"/>
      <c r="Z2243" s="75"/>
    </row>
    <row r="2244" spans="1:26" x14ac:dyDescent="0.3">
      <c r="A2244" s="72"/>
      <c r="B2244" s="73"/>
      <c r="C2244" s="70"/>
      <c r="D2244" s="74"/>
      <c r="E2244" s="75"/>
      <c r="F2244" s="75"/>
      <c r="K2244" s="72"/>
      <c r="L2244" s="73"/>
      <c r="M2244" s="70"/>
      <c r="N2244" s="74"/>
      <c r="O2244" s="75"/>
      <c r="P2244" s="75"/>
      <c r="U2244" s="72"/>
      <c r="V2244" s="73"/>
      <c r="W2244" s="70"/>
      <c r="X2244" s="74"/>
      <c r="Y2244" s="75"/>
      <c r="Z2244" s="75"/>
    </row>
    <row r="2245" spans="1:26" x14ac:dyDescent="0.3">
      <c r="A2245" s="72"/>
      <c r="B2245" s="73"/>
      <c r="C2245" s="70"/>
      <c r="D2245" s="74"/>
      <c r="E2245" s="75"/>
      <c r="F2245" s="75"/>
      <c r="K2245" s="72"/>
      <c r="L2245" s="73"/>
      <c r="M2245" s="70"/>
      <c r="N2245" s="74"/>
      <c r="O2245" s="75"/>
      <c r="P2245" s="75"/>
      <c r="U2245" s="72"/>
      <c r="V2245" s="73"/>
      <c r="W2245" s="70"/>
      <c r="X2245" s="74"/>
      <c r="Y2245" s="75"/>
      <c r="Z2245" s="75"/>
    </row>
    <row r="2246" spans="1:26" x14ac:dyDescent="0.3">
      <c r="A2246" s="72"/>
      <c r="B2246" s="73"/>
      <c r="C2246" s="70"/>
      <c r="D2246" s="74"/>
      <c r="E2246" s="75"/>
      <c r="F2246" s="75"/>
      <c r="K2246" s="72"/>
      <c r="L2246" s="73"/>
      <c r="M2246" s="70"/>
      <c r="N2246" s="74"/>
      <c r="O2246" s="75"/>
      <c r="P2246" s="75"/>
      <c r="U2246" s="72"/>
      <c r="V2246" s="73"/>
      <c r="W2246" s="70"/>
      <c r="X2246" s="74"/>
      <c r="Y2246" s="75"/>
      <c r="Z2246" s="75"/>
    </row>
    <row r="2247" spans="1:26" x14ac:dyDescent="0.3">
      <c r="A2247" s="72"/>
      <c r="B2247" s="73"/>
      <c r="C2247" s="70"/>
      <c r="D2247" s="74"/>
      <c r="E2247" s="75"/>
      <c r="F2247" s="75"/>
      <c r="K2247" s="72"/>
      <c r="L2247" s="73"/>
      <c r="M2247" s="70"/>
      <c r="N2247" s="74"/>
      <c r="O2247" s="75"/>
      <c r="P2247" s="75"/>
      <c r="U2247" s="72"/>
      <c r="V2247" s="73"/>
      <c r="W2247" s="70"/>
      <c r="X2247" s="74"/>
      <c r="Y2247" s="75"/>
      <c r="Z2247" s="75"/>
    </row>
    <row r="2248" spans="1:26" x14ac:dyDescent="0.3">
      <c r="A2248" s="72"/>
      <c r="B2248" s="73"/>
      <c r="C2248" s="70"/>
      <c r="D2248" s="74"/>
      <c r="E2248" s="75"/>
      <c r="F2248" s="75"/>
      <c r="K2248" s="72"/>
      <c r="L2248" s="73"/>
      <c r="M2248" s="70"/>
      <c r="N2248" s="74"/>
      <c r="O2248" s="75"/>
      <c r="P2248" s="75"/>
      <c r="U2248" s="72"/>
      <c r="V2248" s="73"/>
      <c r="W2248" s="70"/>
      <c r="X2248" s="74"/>
      <c r="Y2248" s="75"/>
      <c r="Z2248" s="75"/>
    </row>
    <row r="2249" spans="1:26" x14ac:dyDescent="0.3">
      <c r="A2249" s="72"/>
      <c r="B2249" s="73"/>
      <c r="C2249" s="70"/>
      <c r="D2249" s="74"/>
      <c r="E2249" s="75"/>
      <c r="F2249" s="75"/>
      <c r="K2249" s="72"/>
      <c r="L2249" s="73"/>
      <c r="M2249" s="70"/>
      <c r="N2249" s="74"/>
      <c r="O2249" s="75"/>
      <c r="P2249" s="75"/>
      <c r="U2249" s="72"/>
      <c r="V2249" s="73"/>
      <c r="W2249" s="70"/>
      <c r="X2249" s="74"/>
      <c r="Y2249" s="75"/>
      <c r="Z2249" s="75"/>
    </row>
    <row r="2250" spans="1:26" x14ac:dyDescent="0.3">
      <c r="A2250" s="72"/>
      <c r="B2250" s="73"/>
      <c r="C2250" s="70"/>
      <c r="D2250" s="74"/>
      <c r="E2250" s="75"/>
      <c r="F2250" s="75"/>
      <c r="K2250" s="72"/>
      <c r="L2250" s="73"/>
      <c r="M2250" s="70"/>
      <c r="N2250" s="74"/>
      <c r="O2250" s="75"/>
      <c r="P2250" s="75"/>
      <c r="U2250" s="72"/>
      <c r="V2250" s="73"/>
      <c r="W2250" s="70"/>
      <c r="X2250" s="74"/>
      <c r="Y2250" s="75"/>
      <c r="Z2250" s="75"/>
    </row>
    <row r="2251" spans="1:26" x14ac:dyDescent="0.3">
      <c r="A2251" s="72"/>
      <c r="B2251" s="73"/>
      <c r="C2251" s="70"/>
      <c r="D2251" s="74"/>
      <c r="E2251" s="75"/>
      <c r="F2251" s="75"/>
      <c r="K2251" s="72"/>
      <c r="L2251" s="73"/>
      <c r="M2251" s="70"/>
      <c r="N2251" s="74"/>
      <c r="O2251" s="75"/>
      <c r="P2251" s="75"/>
      <c r="U2251" s="72"/>
      <c r="V2251" s="73"/>
      <c r="W2251" s="70"/>
      <c r="X2251" s="74"/>
      <c r="Y2251" s="75"/>
      <c r="Z2251" s="75"/>
    </row>
    <row r="2252" spans="1:26" x14ac:dyDescent="0.3">
      <c r="A2252" s="72"/>
      <c r="B2252" s="73"/>
      <c r="C2252" s="70"/>
      <c r="D2252" s="74"/>
      <c r="E2252" s="75"/>
      <c r="F2252" s="75"/>
      <c r="K2252" s="72"/>
      <c r="L2252" s="73"/>
      <c r="M2252" s="70"/>
      <c r="N2252" s="74"/>
      <c r="O2252" s="75"/>
      <c r="P2252" s="75"/>
      <c r="U2252" s="72"/>
      <c r="V2252" s="73"/>
      <c r="W2252" s="70"/>
      <c r="X2252" s="74"/>
      <c r="Y2252" s="75"/>
      <c r="Z2252" s="75"/>
    </row>
    <row r="2253" spans="1:26" x14ac:dyDescent="0.3">
      <c r="A2253" s="72"/>
      <c r="B2253" s="73"/>
      <c r="C2253" s="70"/>
      <c r="D2253" s="74"/>
      <c r="E2253" s="75"/>
      <c r="F2253" s="75"/>
      <c r="K2253" s="72"/>
      <c r="L2253" s="73"/>
      <c r="M2253" s="70"/>
      <c r="N2253" s="74"/>
      <c r="O2253" s="75"/>
      <c r="P2253" s="75"/>
      <c r="U2253" s="72"/>
      <c r="V2253" s="73"/>
      <c r="W2253" s="70"/>
      <c r="X2253" s="74"/>
      <c r="Y2253" s="75"/>
      <c r="Z2253" s="75"/>
    </row>
    <row r="2254" spans="1:26" x14ac:dyDescent="0.3">
      <c r="A2254" s="72"/>
      <c r="B2254" s="73"/>
      <c r="C2254" s="70"/>
      <c r="D2254" s="74"/>
      <c r="E2254" s="75"/>
      <c r="F2254" s="75"/>
      <c r="K2254" s="72"/>
      <c r="L2254" s="73"/>
      <c r="M2254" s="70"/>
      <c r="N2254" s="74"/>
      <c r="O2254" s="75"/>
      <c r="P2254" s="75"/>
      <c r="U2254" s="72"/>
      <c r="V2254" s="73"/>
      <c r="W2254" s="70"/>
      <c r="X2254" s="74"/>
      <c r="Y2254" s="75"/>
      <c r="Z2254" s="75"/>
    </row>
    <row r="2255" spans="1:26" x14ac:dyDescent="0.3">
      <c r="A2255" s="72"/>
      <c r="B2255" s="73"/>
      <c r="C2255" s="70"/>
      <c r="D2255" s="74"/>
      <c r="E2255" s="75"/>
      <c r="F2255" s="75"/>
      <c r="K2255" s="72"/>
      <c r="L2255" s="73"/>
      <c r="M2255" s="70"/>
      <c r="N2255" s="74"/>
      <c r="O2255" s="75"/>
      <c r="P2255" s="75"/>
      <c r="U2255" s="72"/>
      <c r="V2255" s="73"/>
      <c r="W2255" s="70"/>
      <c r="X2255" s="74"/>
      <c r="Y2255" s="75"/>
      <c r="Z2255" s="75"/>
    </row>
    <row r="2256" spans="1:26" x14ac:dyDescent="0.3">
      <c r="A2256" s="72"/>
      <c r="B2256" s="73"/>
      <c r="C2256" s="70"/>
      <c r="D2256" s="74"/>
      <c r="E2256" s="75"/>
      <c r="F2256" s="75"/>
      <c r="K2256" s="72"/>
      <c r="L2256" s="73"/>
      <c r="M2256" s="70"/>
      <c r="N2256" s="74"/>
      <c r="O2256" s="75"/>
      <c r="P2256" s="75"/>
      <c r="U2256" s="72"/>
      <c r="V2256" s="73"/>
      <c r="W2256" s="70"/>
      <c r="X2256" s="74"/>
      <c r="Y2256" s="75"/>
      <c r="Z2256" s="75"/>
    </row>
    <row r="2257" spans="1:26" x14ac:dyDescent="0.3">
      <c r="A2257" s="72"/>
      <c r="B2257" s="73"/>
      <c r="C2257" s="70"/>
      <c r="D2257" s="74"/>
      <c r="E2257" s="75"/>
      <c r="F2257" s="75"/>
      <c r="K2257" s="72"/>
      <c r="L2257" s="73"/>
      <c r="M2257" s="70"/>
      <c r="N2257" s="74"/>
      <c r="O2257" s="75"/>
      <c r="P2257" s="75"/>
      <c r="U2257" s="72"/>
      <c r="V2257" s="73"/>
      <c r="W2257" s="70"/>
      <c r="X2257" s="74"/>
      <c r="Y2257" s="75"/>
      <c r="Z2257" s="75"/>
    </row>
    <row r="2258" spans="1:26" x14ac:dyDescent="0.3">
      <c r="A2258" s="72"/>
      <c r="B2258" s="73"/>
      <c r="C2258" s="70"/>
      <c r="D2258" s="74"/>
      <c r="E2258" s="75"/>
      <c r="F2258" s="75"/>
      <c r="K2258" s="72"/>
      <c r="L2258" s="73"/>
      <c r="M2258" s="70"/>
      <c r="N2258" s="74"/>
      <c r="O2258" s="75"/>
      <c r="P2258" s="75"/>
      <c r="U2258" s="72"/>
      <c r="V2258" s="73"/>
      <c r="W2258" s="70"/>
      <c r="X2258" s="74"/>
      <c r="Y2258" s="75"/>
      <c r="Z2258" s="75"/>
    </row>
    <row r="2259" spans="1:26" x14ac:dyDescent="0.3">
      <c r="A2259" s="72"/>
      <c r="B2259" s="73"/>
      <c r="C2259" s="70"/>
      <c r="D2259" s="74"/>
      <c r="E2259" s="75"/>
      <c r="F2259" s="75"/>
      <c r="K2259" s="72"/>
      <c r="L2259" s="73"/>
      <c r="M2259" s="70"/>
      <c r="N2259" s="74"/>
      <c r="O2259" s="75"/>
      <c r="P2259" s="75"/>
      <c r="U2259" s="72"/>
      <c r="V2259" s="73"/>
      <c r="W2259" s="70"/>
      <c r="X2259" s="74"/>
      <c r="Y2259" s="75"/>
      <c r="Z2259" s="75"/>
    </row>
    <row r="2260" spans="1:26" x14ac:dyDescent="0.3">
      <c r="A2260" s="72"/>
      <c r="B2260" s="73"/>
      <c r="C2260" s="70"/>
      <c r="D2260" s="74"/>
      <c r="E2260" s="75"/>
      <c r="F2260" s="75"/>
      <c r="K2260" s="72"/>
      <c r="L2260" s="73"/>
      <c r="M2260" s="70"/>
      <c r="N2260" s="74"/>
      <c r="O2260" s="75"/>
      <c r="P2260" s="75"/>
      <c r="U2260" s="72"/>
      <c r="V2260" s="73"/>
      <c r="W2260" s="70"/>
      <c r="X2260" s="74"/>
      <c r="Y2260" s="75"/>
      <c r="Z2260" s="75"/>
    </row>
    <row r="2261" spans="1:26" x14ac:dyDescent="0.3">
      <c r="A2261" s="72"/>
      <c r="B2261" s="73"/>
      <c r="C2261" s="70"/>
      <c r="D2261" s="74"/>
      <c r="E2261" s="75"/>
      <c r="F2261" s="75"/>
      <c r="K2261" s="72"/>
      <c r="L2261" s="73"/>
      <c r="M2261" s="70"/>
      <c r="N2261" s="74"/>
      <c r="O2261" s="75"/>
      <c r="P2261" s="75"/>
      <c r="U2261" s="72"/>
      <c r="V2261" s="73"/>
      <c r="W2261" s="70"/>
      <c r="X2261" s="74"/>
      <c r="Y2261" s="75"/>
      <c r="Z2261" s="75"/>
    </row>
    <row r="2262" spans="1:26" x14ac:dyDescent="0.3">
      <c r="A2262" s="72"/>
      <c r="B2262" s="73"/>
      <c r="C2262" s="70"/>
      <c r="D2262" s="74"/>
      <c r="E2262" s="75"/>
      <c r="F2262" s="75"/>
      <c r="K2262" s="72"/>
      <c r="L2262" s="73"/>
      <c r="M2262" s="70"/>
      <c r="N2262" s="74"/>
      <c r="O2262" s="75"/>
      <c r="P2262" s="75"/>
      <c r="U2262" s="72"/>
      <c r="V2262" s="73"/>
      <c r="W2262" s="70"/>
      <c r="X2262" s="74"/>
      <c r="Y2262" s="75"/>
      <c r="Z2262" s="75"/>
    </row>
    <row r="2263" spans="1:26" x14ac:dyDescent="0.3">
      <c r="A2263" s="72"/>
      <c r="B2263" s="73"/>
      <c r="C2263" s="70"/>
      <c r="D2263" s="74"/>
      <c r="E2263" s="75"/>
      <c r="F2263" s="75"/>
      <c r="K2263" s="72"/>
      <c r="L2263" s="73"/>
      <c r="M2263" s="70"/>
      <c r="N2263" s="74"/>
      <c r="O2263" s="75"/>
      <c r="P2263" s="75"/>
      <c r="U2263" s="72"/>
      <c r="V2263" s="73"/>
      <c r="W2263" s="70"/>
      <c r="X2263" s="74"/>
      <c r="Y2263" s="75"/>
      <c r="Z2263" s="75"/>
    </row>
    <row r="2264" spans="1:26" x14ac:dyDescent="0.3">
      <c r="A2264" s="72"/>
      <c r="B2264" s="73"/>
      <c r="C2264" s="70"/>
      <c r="D2264" s="74"/>
      <c r="E2264" s="75"/>
      <c r="F2264" s="75"/>
      <c r="K2264" s="72"/>
      <c r="L2264" s="73"/>
      <c r="M2264" s="70"/>
      <c r="N2264" s="74"/>
      <c r="O2264" s="75"/>
      <c r="P2264" s="75"/>
      <c r="U2264" s="72"/>
      <c r="V2264" s="73"/>
      <c r="W2264" s="70"/>
      <c r="X2264" s="74"/>
      <c r="Y2264" s="75"/>
      <c r="Z2264" s="75"/>
    </row>
    <row r="2265" spans="1:26" x14ac:dyDescent="0.3">
      <c r="A2265" s="72"/>
      <c r="B2265" s="73"/>
      <c r="C2265" s="70"/>
      <c r="D2265" s="74"/>
      <c r="E2265" s="75"/>
      <c r="F2265" s="75"/>
      <c r="K2265" s="72"/>
      <c r="L2265" s="73"/>
      <c r="M2265" s="70"/>
      <c r="N2265" s="74"/>
      <c r="O2265" s="75"/>
      <c r="P2265" s="75"/>
      <c r="U2265" s="72"/>
      <c r="V2265" s="73"/>
      <c r="W2265" s="70"/>
      <c r="X2265" s="74"/>
      <c r="Y2265" s="75"/>
      <c r="Z2265" s="75"/>
    </row>
    <row r="2266" spans="1:26" x14ac:dyDescent="0.3">
      <c r="A2266" s="72"/>
      <c r="B2266" s="73"/>
      <c r="C2266" s="70"/>
      <c r="D2266" s="74"/>
      <c r="E2266" s="75"/>
      <c r="F2266" s="75"/>
      <c r="K2266" s="72"/>
      <c r="L2266" s="73"/>
      <c r="M2266" s="70"/>
      <c r="N2266" s="74"/>
      <c r="O2266" s="75"/>
      <c r="P2266" s="75"/>
      <c r="U2266" s="72"/>
      <c r="V2266" s="73"/>
      <c r="W2266" s="70"/>
      <c r="X2266" s="74"/>
      <c r="Y2266" s="75"/>
      <c r="Z2266" s="75"/>
    </row>
    <row r="2267" spans="1:26" x14ac:dyDescent="0.3">
      <c r="A2267" s="72"/>
      <c r="B2267" s="73"/>
      <c r="C2267" s="70"/>
      <c r="D2267" s="74"/>
      <c r="E2267" s="75"/>
      <c r="F2267" s="75"/>
      <c r="K2267" s="72"/>
      <c r="L2267" s="73"/>
      <c r="M2267" s="70"/>
      <c r="N2267" s="74"/>
      <c r="O2267" s="75"/>
      <c r="P2267" s="75"/>
      <c r="U2267" s="72"/>
      <c r="V2267" s="73"/>
      <c r="W2267" s="70"/>
      <c r="X2267" s="74"/>
      <c r="Y2267" s="75"/>
      <c r="Z2267" s="75"/>
    </row>
    <row r="2268" spans="1:26" x14ac:dyDescent="0.3">
      <c r="A2268" s="72"/>
      <c r="B2268" s="73"/>
      <c r="C2268" s="70"/>
      <c r="D2268" s="74"/>
      <c r="E2268" s="75"/>
      <c r="F2268" s="75"/>
      <c r="K2268" s="72"/>
      <c r="L2268" s="73"/>
      <c r="M2268" s="70"/>
      <c r="N2268" s="74"/>
      <c r="O2268" s="75"/>
      <c r="P2268" s="75"/>
      <c r="U2268" s="72"/>
      <c r="V2268" s="73"/>
      <c r="W2268" s="70"/>
      <c r="X2268" s="74"/>
      <c r="Y2268" s="75"/>
      <c r="Z2268" s="75"/>
    </row>
    <row r="2269" spans="1:26" x14ac:dyDescent="0.3">
      <c r="A2269" s="72"/>
      <c r="B2269" s="73"/>
      <c r="C2269" s="70"/>
      <c r="D2269" s="74"/>
      <c r="E2269" s="75"/>
      <c r="F2269" s="75"/>
      <c r="K2269" s="72"/>
      <c r="L2269" s="73"/>
      <c r="M2269" s="70"/>
      <c r="N2269" s="74"/>
      <c r="O2269" s="75"/>
      <c r="P2269" s="75"/>
      <c r="U2269" s="72"/>
      <c r="V2269" s="73"/>
      <c r="W2269" s="70"/>
      <c r="X2269" s="74"/>
      <c r="Y2269" s="75"/>
      <c r="Z2269" s="75"/>
    </row>
    <row r="2270" spans="1:26" x14ac:dyDescent="0.3">
      <c r="A2270" s="72"/>
      <c r="B2270" s="73"/>
      <c r="C2270" s="70"/>
      <c r="D2270" s="74"/>
      <c r="E2270" s="75"/>
      <c r="F2270" s="75"/>
      <c r="K2270" s="72"/>
      <c r="L2270" s="73"/>
      <c r="M2270" s="70"/>
      <c r="N2270" s="74"/>
      <c r="O2270" s="75"/>
      <c r="P2270" s="75"/>
      <c r="U2270" s="72"/>
      <c r="V2270" s="73"/>
      <c r="W2270" s="70"/>
      <c r="X2270" s="74"/>
      <c r="Y2270" s="75"/>
      <c r="Z2270" s="75"/>
    </row>
    <row r="2271" spans="1:26" x14ac:dyDescent="0.3">
      <c r="A2271" s="72"/>
      <c r="B2271" s="73"/>
      <c r="C2271" s="70"/>
      <c r="D2271" s="74"/>
      <c r="E2271" s="75"/>
      <c r="F2271" s="75"/>
      <c r="K2271" s="72"/>
      <c r="L2271" s="73"/>
      <c r="M2271" s="70"/>
      <c r="N2271" s="74"/>
      <c r="O2271" s="75"/>
      <c r="P2271" s="75"/>
      <c r="U2271" s="72"/>
      <c r="V2271" s="73"/>
      <c r="W2271" s="70"/>
      <c r="X2271" s="74"/>
      <c r="Y2271" s="75"/>
      <c r="Z2271" s="75"/>
    </row>
    <row r="2272" spans="1:26" x14ac:dyDescent="0.3">
      <c r="A2272" s="72"/>
      <c r="B2272" s="73"/>
      <c r="C2272" s="70"/>
      <c r="D2272" s="74"/>
      <c r="E2272" s="75"/>
      <c r="F2272" s="75"/>
      <c r="K2272" s="72"/>
      <c r="L2272" s="73"/>
      <c r="M2272" s="70"/>
      <c r="N2272" s="74"/>
      <c r="O2272" s="75"/>
      <c r="P2272" s="75"/>
      <c r="U2272" s="72"/>
      <c r="V2272" s="73"/>
      <c r="W2272" s="70"/>
      <c r="X2272" s="74"/>
      <c r="Y2272" s="75"/>
      <c r="Z2272" s="75"/>
    </row>
    <row r="2273" spans="1:26" x14ac:dyDescent="0.3">
      <c r="A2273" s="72"/>
      <c r="B2273" s="73"/>
      <c r="C2273" s="70"/>
      <c r="D2273" s="74"/>
      <c r="E2273" s="75"/>
      <c r="F2273" s="75"/>
      <c r="K2273" s="72"/>
      <c r="L2273" s="73"/>
      <c r="M2273" s="70"/>
      <c r="N2273" s="74"/>
      <c r="O2273" s="75"/>
      <c r="P2273" s="75"/>
      <c r="U2273" s="72"/>
      <c r="V2273" s="73"/>
      <c r="W2273" s="70"/>
      <c r="X2273" s="74"/>
      <c r="Y2273" s="75"/>
      <c r="Z2273" s="75"/>
    </row>
    <row r="2274" spans="1:26" x14ac:dyDescent="0.3">
      <c r="A2274" s="72"/>
      <c r="B2274" s="73"/>
      <c r="C2274" s="70"/>
      <c r="D2274" s="74"/>
      <c r="E2274" s="75"/>
      <c r="F2274" s="75"/>
      <c r="K2274" s="72"/>
      <c r="L2274" s="73"/>
      <c r="M2274" s="70"/>
      <c r="N2274" s="74"/>
      <c r="O2274" s="75"/>
      <c r="P2274" s="75"/>
      <c r="U2274" s="72"/>
      <c r="V2274" s="73"/>
      <c r="W2274" s="70"/>
      <c r="X2274" s="74"/>
      <c r="Y2274" s="75"/>
      <c r="Z2274" s="75"/>
    </row>
    <row r="2275" spans="1:26" x14ac:dyDescent="0.3">
      <c r="A2275" s="72"/>
      <c r="B2275" s="73"/>
      <c r="C2275" s="70"/>
      <c r="D2275" s="74"/>
      <c r="E2275" s="75"/>
      <c r="F2275" s="75"/>
      <c r="K2275" s="72"/>
      <c r="L2275" s="73"/>
      <c r="M2275" s="70"/>
      <c r="N2275" s="74"/>
      <c r="O2275" s="75"/>
      <c r="P2275" s="75"/>
      <c r="U2275" s="72"/>
      <c r="V2275" s="73"/>
      <c r="W2275" s="70"/>
      <c r="X2275" s="74"/>
      <c r="Y2275" s="75"/>
      <c r="Z2275" s="75"/>
    </row>
    <row r="2276" spans="1:26" x14ac:dyDescent="0.3">
      <c r="A2276" s="72"/>
      <c r="B2276" s="73"/>
      <c r="C2276" s="70"/>
      <c r="D2276" s="74"/>
      <c r="E2276" s="75"/>
      <c r="F2276" s="75"/>
      <c r="K2276" s="72"/>
      <c r="L2276" s="73"/>
      <c r="M2276" s="70"/>
      <c r="N2276" s="74"/>
      <c r="O2276" s="75"/>
      <c r="P2276" s="75"/>
      <c r="U2276" s="72"/>
      <c r="V2276" s="73"/>
      <c r="W2276" s="70"/>
      <c r="X2276" s="74"/>
      <c r="Y2276" s="75"/>
      <c r="Z2276" s="75"/>
    </row>
    <row r="2277" spans="1:26" x14ac:dyDescent="0.3">
      <c r="A2277" s="72"/>
      <c r="B2277" s="73"/>
      <c r="C2277" s="70"/>
      <c r="D2277" s="74"/>
      <c r="E2277" s="75"/>
      <c r="F2277" s="75"/>
      <c r="K2277" s="72"/>
      <c r="L2277" s="73"/>
      <c r="M2277" s="70"/>
      <c r="N2277" s="74"/>
      <c r="O2277" s="75"/>
      <c r="P2277" s="75"/>
      <c r="U2277" s="72"/>
      <c r="V2277" s="73"/>
      <c r="W2277" s="70"/>
      <c r="X2277" s="74"/>
      <c r="Y2277" s="75"/>
      <c r="Z2277" s="75"/>
    </row>
    <row r="2278" spans="1:26" x14ac:dyDescent="0.3">
      <c r="A2278" s="72"/>
      <c r="B2278" s="73"/>
      <c r="C2278" s="70"/>
      <c r="D2278" s="74"/>
      <c r="E2278" s="75"/>
      <c r="F2278" s="75"/>
      <c r="K2278" s="72"/>
      <c r="L2278" s="73"/>
      <c r="M2278" s="70"/>
      <c r="N2278" s="74"/>
      <c r="O2278" s="75"/>
      <c r="P2278" s="75"/>
      <c r="U2278" s="72"/>
      <c r="V2278" s="73"/>
      <c r="W2278" s="70"/>
      <c r="X2278" s="74"/>
      <c r="Y2278" s="75"/>
      <c r="Z2278" s="75"/>
    </row>
    <row r="2279" spans="1:26" x14ac:dyDescent="0.3">
      <c r="A2279" s="72"/>
      <c r="B2279" s="73"/>
      <c r="C2279" s="70"/>
      <c r="D2279" s="74"/>
      <c r="E2279" s="75"/>
      <c r="F2279" s="75"/>
      <c r="K2279" s="72"/>
      <c r="L2279" s="73"/>
      <c r="M2279" s="70"/>
      <c r="N2279" s="74"/>
      <c r="O2279" s="75"/>
      <c r="P2279" s="75"/>
      <c r="U2279" s="72"/>
      <c r="V2279" s="73"/>
      <c r="W2279" s="70"/>
      <c r="X2279" s="74"/>
      <c r="Y2279" s="75"/>
      <c r="Z2279" s="75"/>
    </row>
    <row r="2280" spans="1:26" x14ac:dyDescent="0.3">
      <c r="A2280" s="72"/>
      <c r="B2280" s="73"/>
      <c r="C2280" s="70"/>
      <c r="D2280" s="74"/>
      <c r="E2280" s="75"/>
      <c r="F2280" s="75"/>
      <c r="K2280" s="72"/>
      <c r="L2280" s="73"/>
      <c r="M2280" s="70"/>
      <c r="N2280" s="74"/>
      <c r="O2280" s="75"/>
      <c r="P2280" s="75"/>
      <c r="U2280" s="72"/>
      <c r="V2280" s="73"/>
      <c r="W2280" s="70"/>
      <c r="X2280" s="74"/>
      <c r="Y2280" s="75"/>
      <c r="Z2280" s="75"/>
    </row>
    <row r="2281" spans="1:26" x14ac:dyDescent="0.3">
      <c r="A2281" s="72"/>
      <c r="B2281" s="73"/>
      <c r="C2281" s="70"/>
      <c r="D2281" s="74"/>
      <c r="E2281" s="75"/>
      <c r="F2281" s="75"/>
      <c r="K2281" s="72"/>
      <c r="L2281" s="73"/>
      <c r="M2281" s="70"/>
      <c r="N2281" s="74"/>
      <c r="O2281" s="75"/>
      <c r="P2281" s="75"/>
      <c r="U2281" s="72"/>
      <c r="V2281" s="73"/>
      <c r="W2281" s="70"/>
      <c r="X2281" s="74"/>
      <c r="Y2281" s="75"/>
      <c r="Z2281" s="75"/>
    </row>
    <row r="2282" spans="1:26" x14ac:dyDescent="0.3">
      <c r="A2282" s="72"/>
      <c r="B2282" s="73"/>
      <c r="C2282" s="70"/>
      <c r="D2282" s="74"/>
      <c r="E2282" s="75"/>
      <c r="F2282" s="75"/>
      <c r="K2282" s="72"/>
      <c r="L2282" s="73"/>
      <c r="M2282" s="70"/>
      <c r="N2282" s="74"/>
      <c r="O2282" s="75"/>
      <c r="P2282" s="75"/>
      <c r="U2282" s="72"/>
      <c r="V2282" s="73"/>
      <c r="W2282" s="70"/>
      <c r="X2282" s="74"/>
      <c r="Y2282" s="75"/>
      <c r="Z2282" s="75"/>
    </row>
    <row r="2283" spans="1:26" x14ac:dyDescent="0.3">
      <c r="A2283" s="72"/>
      <c r="B2283" s="73"/>
      <c r="C2283" s="70"/>
      <c r="D2283" s="74"/>
      <c r="E2283" s="75"/>
      <c r="F2283" s="75"/>
      <c r="K2283" s="72"/>
      <c r="L2283" s="73"/>
      <c r="M2283" s="70"/>
      <c r="N2283" s="74"/>
      <c r="O2283" s="75"/>
      <c r="P2283" s="75"/>
      <c r="U2283" s="72"/>
      <c r="V2283" s="73"/>
      <c r="W2283" s="70"/>
      <c r="X2283" s="74"/>
      <c r="Y2283" s="75"/>
      <c r="Z2283" s="75"/>
    </row>
    <row r="2284" spans="1:26" x14ac:dyDescent="0.3">
      <c r="A2284" s="72"/>
      <c r="B2284" s="73"/>
      <c r="C2284" s="70"/>
      <c r="D2284" s="74"/>
      <c r="E2284" s="75"/>
      <c r="F2284" s="75"/>
      <c r="K2284" s="72"/>
      <c r="L2284" s="73"/>
      <c r="M2284" s="70"/>
      <c r="N2284" s="74"/>
      <c r="O2284" s="75"/>
      <c r="P2284" s="75"/>
      <c r="U2284" s="72"/>
      <c r="V2284" s="73"/>
      <c r="W2284" s="70"/>
      <c r="X2284" s="74"/>
      <c r="Y2284" s="75"/>
      <c r="Z2284" s="75"/>
    </row>
    <row r="2285" spans="1:26" x14ac:dyDescent="0.3">
      <c r="A2285" s="72"/>
      <c r="B2285" s="73"/>
      <c r="C2285" s="70"/>
      <c r="D2285" s="74"/>
      <c r="E2285" s="75"/>
      <c r="F2285" s="75"/>
      <c r="K2285" s="72"/>
      <c r="L2285" s="73"/>
      <c r="M2285" s="70"/>
      <c r="N2285" s="74"/>
      <c r="O2285" s="75"/>
      <c r="P2285" s="75"/>
      <c r="U2285" s="72"/>
      <c r="V2285" s="73"/>
      <c r="W2285" s="70"/>
      <c r="X2285" s="74"/>
      <c r="Y2285" s="75"/>
      <c r="Z2285" s="75"/>
    </row>
    <row r="2286" spans="1:26" x14ac:dyDescent="0.3">
      <c r="A2286" s="72"/>
      <c r="B2286" s="73"/>
      <c r="C2286" s="70"/>
      <c r="D2286" s="74"/>
      <c r="E2286" s="75"/>
      <c r="F2286" s="75"/>
      <c r="K2286" s="72"/>
      <c r="L2286" s="73"/>
      <c r="M2286" s="70"/>
      <c r="N2286" s="74"/>
      <c r="O2286" s="75"/>
      <c r="P2286" s="75"/>
      <c r="U2286" s="72"/>
      <c r="V2286" s="73"/>
      <c r="W2286" s="70"/>
      <c r="X2286" s="74"/>
      <c r="Y2286" s="75"/>
      <c r="Z2286" s="75"/>
    </row>
    <row r="2287" spans="1:26" x14ac:dyDescent="0.3">
      <c r="A2287" s="72"/>
      <c r="B2287" s="73"/>
      <c r="C2287" s="70"/>
      <c r="D2287" s="74"/>
      <c r="E2287" s="75"/>
      <c r="F2287" s="75"/>
      <c r="K2287" s="72"/>
      <c r="L2287" s="73"/>
      <c r="M2287" s="70"/>
      <c r="N2287" s="74"/>
      <c r="O2287" s="75"/>
      <c r="P2287" s="75"/>
      <c r="U2287" s="72"/>
      <c r="V2287" s="73"/>
      <c r="W2287" s="70"/>
      <c r="X2287" s="74"/>
      <c r="Y2287" s="75"/>
      <c r="Z2287" s="75"/>
    </row>
    <row r="2288" spans="1:26" x14ac:dyDescent="0.3">
      <c r="A2288" s="72"/>
      <c r="B2288" s="73"/>
      <c r="C2288" s="70"/>
      <c r="D2288" s="74"/>
      <c r="E2288" s="75"/>
      <c r="F2288" s="75"/>
      <c r="K2288" s="72"/>
      <c r="L2288" s="73"/>
      <c r="M2288" s="70"/>
      <c r="N2288" s="74"/>
      <c r="O2288" s="75"/>
      <c r="P2288" s="75"/>
      <c r="U2288" s="72"/>
      <c r="V2288" s="73"/>
      <c r="W2288" s="70"/>
      <c r="X2288" s="74"/>
      <c r="Y2288" s="75"/>
      <c r="Z2288" s="75"/>
    </row>
    <row r="2289" spans="1:26" x14ac:dyDescent="0.3">
      <c r="A2289" s="72"/>
      <c r="B2289" s="73"/>
      <c r="C2289" s="70"/>
      <c r="D2289" s="74"/>
      <c r="E2289" s="75"/>
      <c r="F2289" s="75"/>
      <c r="K2289" s="72"/>
      <c r="L2289" s="73"/>
      <c r="M2289" s="70"/>
      <c r="N2289" s="74"/>
      <c r="O2289" s="75"/>
      <c r="P2289" s="75"/>
      <c r="U2289" s="72"/>
      <c r="V2289" s="73"/>
      <c r="W2289" s="70"/>
      <c r="X2289" s="74"/>
      <c r="Y2289" s="75"/>
      <c r="Z2289" s="75"/>
    </row>
    <row r="2290" spans="1:26" x14ac:dyDescent="0.3">
      <c r="A2290" s="72"/>
      <c r="B2290" s="73"/>
      <c r="C2290" s="70"/>
      <c r="D2290" s="74"/>
      <c r="E2290" s="75"/>
      <c r="F2290" s="75"/>
      <c r="K2290" s="72"/>
      <c r="L2290" s="73"/>
      <c r="M2290" s="70"/>
      <c r="N2290" s="74"/>
      <c r="O2290" s="75"/>
      <c r="P2290" s="75"/>
      <c r="U2290" s="72"/>
      <c r="V2290" s="73"/>
      <c r="W2290" s="70"/>
      <c r="X2290" s="74"/>
      <c r="Y2290" s="75"/>
      <c r="Z2290" s="75"/>
    </row>
    <row r="2291" spans="1:26" x14ac:dyDescent="0.3">
      <c r="A2291" s="72"/>
      <c r="B2291" s="73"/>
      <c r="C2291" s="70"/>
      <c r="D2291" s="74"/>
      <c r="E2291" s="75"/>
      <c r="F2291" s="75"/>
      <c r="K2291" s="72"/>
      <c r="L2291" s="73"/>
      <c r="M2291" s="70"/>
      <c r="N2291" s="74"/>
      <c r="O2291" s="75"/>
      <c r="P2291" s="75"/>
      <c r="U2291" s="72"/>
      <c r="V2291" s="73"/>
      <c r="W2291" s="70"/>
      <c r="X2291" s="74"/>
      <c r="Y2291" s="75"/>
      <c r="Z2291" s="75"/>
    </row>
    <row r="2292" spans="1:26" x14ac:dyDescent="0.3">
      <c r="A2292" s="72"/>
      <c r="B2292" s="73"/>
      <c r="C2292" s="70"/>
      <c r="D2292" s="74"/>
      <c r="E2292" s="75"/>
      <c r="F2292" s="75"/>
      <c r="K2292" s="72"/>
      <c r="L2292" s="73"/>
      <c r="M2292" s="70"/>
      <c r="N2292" s="74"/>
      <c r="O2292" s="75"/>
      <c r="P2292" s="75"/>
      <c r="U2292" s="72"/>
      <c r="V2292" s="73"/>
      <c r="W2292" s="70"/>
      <c r="X2292" s="74"/>
      <c r="Y2292" s="75"/>
      <c r="Z2292" s="75"/>
    </row>
    <row r="2293" spans="1:26" x14ac:dyDescent="0.3">
      <c r="A2293" s="72"/>
      <c r="B2293" s="73"/>
      <c r="C2293" s="70"/>
      <c r="D2293" s="74"/>
      <c r="E2293" s="75"/>
      <c r="F2293" s="75"/>
      <c r="K2293" s="72"/>
      <c r="L2293" s="73"/>
      <c r="M2293" s="70"/>
      <c r="N2293" s="74"/>
      <c r="O2293" s="75"/>
      <c r="P2293" s="75"/>
      <c r="U2293" s="72"/>
      <c r="V2293" s="73"/>
      <c r="W2293" s="70"/>
      <c r="X2293" s="74"/>
      <c r="Y2293" s="75"/>
      <c r="Z2293" s="75"/>
    </row>
    <row r="2294" spans="1:26" x14ac:dyDescent="0.3">
      <c r="A2294" s="72"/>
      <c r="B2294" s="73"/>
      <c r="C2294" s="70"/>
      <c r="D2294" s="74"/>
      <c r="E2294" s="75"/>
      <c r="F2294" s="75"/>
      <c r="K2294" s="72"/>
      <c r="L2294" s="73"/>
      <c r="M2294" s="70"/>
      <c r="N2294" s="74"/>
      <c r="O2294" s="75"/>
      <c r="P2294" s="75"/>
      <c r="U2294" s="72"/>
      <c r="V2294" s="73"/>
      <c r="W2294" s="70"/>
      <c r="X2294" s="74"/>
      <c r="Y2294" s="75"/>
      <c r="Z2294" s="75"/>
    </row>
    <row r="2295" spans="1:26" x14ac:dyDescent="0.3">
      <c r="A2295" s="72"/>
      <c r="B2295" s="73"/>
      <c r="C2295" s="70"/>
      <c r="D2295" s="74"/>
      <c r="E2295" s="75"/>
      <c r="F2295" s="75"/>
      <c r="K2295" s="72"/>
      <c r="L2295" s="73"/>
      <c r="M2295" s="70"/>
      <c r="N2295" s="74"/>
      <c r="O2295" s="75"/>
      <c r="P2295" s="75"/>
      <c r="U2295" s="72"/>
      <c r="V2295" s="73"/>
      <c r="W2295" s="70"/>
      <c r="X2295" s="74"/>
      <c r="Y2295" s="75"/>
      <c r="Z2295" s="75"/>
    </row>
    <row r="2296" spans="1:26" x14ac:dyDescent="0.3">
      <c r="A2296" s="72"/>
      <c r="B2296" s="73"/>
      <c r="C2296" s="70"/>
      <c r="D2296" s="74"/>
      <c r="E2296" s="75"/>
      <c r="F2296" s="75"/>
      <c r="K2296" s="72"/>
      <c r="L2296" s="73"/>
      <c r="M2296" s="70"/>
      <c r="N2296" s="74"/>
      <c r="O2296" s="75"/>
      <c r="P2296" s="75"/>
      <c r="U2296" s="72"/>
      <c r="V2296" s="73"/>
      <c r="W2296" s="70"/>
      <c r="X2296" s="74"/>
      <c r="Y2296" s="75"/>
      <c r="Z2296" s="75"/>
    </row>
    <row r="2297" spans="1:26" x14ac:dyDescent="0.3">
      <c r="A2297" s="72"/>
      <c r="B2297" s="73"/>
      <c r="C2297" s="70"/>
      <c r="D2297" s="74"/>
      <c r="E2297" s="75"/>
      <c r="F2297" s="75"/>
      <c r="K2297" s="72"/>
      <c r="L2297" s="73"/>
      <c r="M2297" s="70"/>
      <c r="N2297" s="74"/>
      <c r="O2297" s="75"/>
      <c r="P2297" s="75"/>
      <c r="U2297" s="72"/>
      <c r="V2297" s="73"/>
      <c r="W2297" s="70"/>
      <c r="X2297" s="74"/>
      <c r="Y2297" s="75"/>
      <c r="Z2297" s="75"/>
    </row>
    <row r="2298" spans="1:26" x14ac:dyDescent="0.3">
      <c r="A2298" s="72"/>
      <c r="B2298" s="73"/>
      <c r="C2298" s="70"/>
      <c r="D2298" s="74"/>
      <c r="E2298" s="75"/>
      <c r="F2298" s="75"/>
      <c r="K2298" s="72"/>
      <c r="L2298" s="73"/>
      <c r="M2298" s="70"/>
      <c r="N2298" s="74"/>
      <c r="O2298" s="75"/>
      <c r="P2298" s="75"/>
      <c r="U2298" s="72"/>
      <c r="V2298" s="73"/>
      <c r="W2298" s="70"/>
      <c r="X2298" s="74"/>
      <c r="Y2298" s="75"/>
      <c r="Z2298" s="75"/>
    </row>
    <row r="2299" spans="1:26" x14ac:dyDescent="0.3">
      <c r="A2299" s="72"/>
      <c r="B2299" s="73"/>
      <c r="C2299" s="70"/>
      <c r="D2299" s="74"/>
      <c r="E2299" s="75"/>
      <c r="F2299" s="75"/>
      <c r="K2299" s="72"/>
      <c r="L2299" s="73"/>
      <c r="M2299" s="70"/>
      <c r="N2299" s="74"/>
      <c r="O2299" s="75"/>
      <c r="P2299" s="75"/>
      <c r="U2299" s="72"/>
      <c r="V2299" s="73"/>
      <c r="W2299" s="70"/>
      <c r="X2299" s="74"/>
      <c r="Y2299" s="75"/>
      <c r="Z2299" s="75"/>
    </row>
    <row r="2300" spans="1:26" x14ac:dyDescent="0.3">
      <c r="A2300" s="72"/>
      <c r="B2300" s="73"/>
      <c r="C2300" s="70"/>
      <c r="D2300" s="74"/>
      <c r="E2300" s="75"/>
      <c r="F2300" s="75"/>
      <c r="K2300" s="72"/>
      <c r="L2300" s="73"/>
      <c r="M2300" s="70"/>
      <c r="N2300" s="74"/>
      <c r="O2300" s="75"/>
      <c r="P2300" s="75"/>
      <c r="U2300" s="72"/>
      <c r="V2300" s="73"/>
      <c r="W2300" s="70"/>
      <c r="X2300" s="74"/>
      <c r="Y2300" s="75"/>
      <c r="Z2300" s="75"/>
    </row>
    <row r="2301" spans="1:26" x14ac:dyDescent="0.3">
      <c r="A2301" s="72"/>
      <c r="B2301" s="73"/>
      <c r="C2301" s="70"/>
      <c r="D2301" s="74"/>
      <c r="E2301" s="75"/>
      <c r="F2301" s="75"/>
      <c r="K2301" s="72"/>
      <c r="L2301" s="73"/>
      <c r="M2301" s="70"/>
      <c r="N2301" s="74"/>
      <c r="O2301" s="75"/>
      <c r="P2301" s="75"/>
      <c r="U2301" s="72"/>
      <c r="V2301" s="73"/>
      <c r="W2301" s="70"/>
      <c r="X2301" s="74"/>
      <c r="Y2301" s="75"/>
      <c r="Z2301" s="75"/>
    </row>
    <row r="2302" spans="1:26" x14ac:dyDescent="0.3">
      <c r="A2302" s="72"/>
      <c r="B2302" s="73"/>
      <c r="C2302" s="70"/>
      <c r="D2302" s="74"/>
      <c r="E2302" s="75"/>
      <c r="F2302" s="75"/>
      <c r="K2302" s="72"/>
      <c r="L2302" s="73"/>
      <c r="M2302" s="70"/>
      <c r="N2302" s="74"/>
      <c r="O2302" s="75"/>
      <c r="P2302" s="75"/>
      <c r="U2302" s="72"/>
      <c r="V2302" s="73"/>
      <c r="W2302" s="70"/>
      <c r="X2302" s="74"/>
      <c r="Y2302" s="75"/>
      <c r="Z2302" s="75"/>
    </row>
    <row r="2303" spans="1:26" x14ac:dyDescent="0.3">
      <c r="A2303" s="72"/>
      <c r="B2303" s="73"/>
      <c r="C2303" s="70"/>
      <c r="D2303" s="74"/>
      <c r="E2303" s="75"/>
      <c r="F2303" s="75"/>
      <c r="K2303" s="72"/>
      <c r="L2303" s="73"/>
      <c r="M2303" s="70"/>
      <c r="N2303" s="74"/>
      <c r="O2303" s="75"/>
      <c r="P2303" s="75"/>
      <c r="U2303" s="72"/>
      <c r="V2303" s="73"/>
      <c r="W2303" s="70"/>
      <c r="X2303" s="74"/>
      <c r="Y2303" s="75"/>
      <c r="Z2303" s="75"/>
    </row>
    <row r="2304" spans="1:26" x14ac:dyDescent="0.3">
      <c r="A2304" s="72"/>
      <c r="B2304" s="73"/>
      <c r="C2304" s="70"/>
      <c r="D2304" s="74"/>
      <c r="E2304" s="75"/>
      <c r="F2304" s="75"/>
      <c r="K2304" s="72"/>
      <c r="L2304" s="73"/>
      <c r="M2304" s="70"/>
      <c r="N2304" s="74"/>
      <c r="O2304" s="75"/>
      <c r="P2304" s="75"/>
      <c r="U2304" s="72"/>
      <c r="V2304" s="73"/>
      <c r="W2304" s="70"/>
      <c r="X2304" s="74"/>
      <c r="Y2304" s="75"/>
      <c r="Z2304" s="75"/>
    </row>
    <row r="2305" spans="1:26" x14ac:dyDescent="0.3">
      <c r="A2305" s="72"/>
      <c r="B2305" s="73"/>
      <c r="C2305" s="70"/>
      <c r="D2305" s="74"/>
      <c r="E2305" s="75"/>
      <c r="F2305" s="75"/>
      <c r="K2305" s="72"/>
      <c r="L2305" s="73"/>
      <c r="M2305" s="70"/>
      <c r="N2305" s="74"/>
      <c r="O2305" s="75"/>
      <c r="P2305" s="75"/>
      <c r="U2305" s="72"/>
      <c r="V2305" s="73"/>
      <c r="W2305" s="70"/>
      <c r="X2305" s="74"/>
      <c r="Y2305" s="75"/>
      <c r="Z2305" s="75"/>
    </row>
    <row r="2306" spans="1:26" x14ac:dyDescent="0.3">
      <c r="A2306" s="72"/>
      <c r="B2306" s="73"/>
      <c r="C2306" s="70"/>
      <c r="D2306" s="74"/>
      <c r="E2306" s="75"/>
      <c r="F2306" s="75"/>
      <c r="K2306" s="72"/>
      <c r="L2306" s="73"/>
      <c r="M2306" s="70"/>
      <c r="N2306" s="74"/>
      <c r="O2306" s="75"/>
      <c r="P2306" s="75"/>
      <c r="U2306" s="72"/>
      <c r="V2306" s="73"/>
      <c r="W2306" s="70"/>
      <c r="X2306" s="74"/>
      <c r="Y2306" s="75"/>
      <c r="Z2306" s="75"/>
    </row>
    <row r="2307" spans="1:26" x14ac:dyDescent="0.3">
      <c r="A2307" s="72"/>
      <c r="B2307" s="73"/>
      <c r="C2307" s="70"/>
      <c r="D2307" s="74"/>
      <c r="E2307" s="75"/>
      <c r="F2307" s="75"/>
      <c r="K2307" s="72"/>
      <c r="L2307" s="73"/>
      <c r="M2307" s="70"/>
      <c r="N2307" s="74"/>
      <c r="O2307" s="75"/>
      <c r="P2307" s="75"/>
      <c r="U2307" s="72"/>
      <c r="V2307" s="73"/>
      <c r="W2307" s="70"/>
      <c r="X2307" s="74"/>
      <c r="Y2307" s="75"/>
      <c r="Z2307" s="75"/>
    </row>
    <row r="2308" spans="1:26" x14ac:dyDescent="0.3">
      <c r="A2308" s="72"/>
      <c r="B2308" s="73"/>
      <c r="C2308" s="70"/>
      <c r="D2308" s="74"/>
      <c r="E2308" s="75"/>
      <c r="F2308" s="75"/>
      <c r="K2308" s="72"/>
      <c r="L2308" s="73"/>
      <c r="M2308" s="70"/>
      <c r="N2308" s="74"/>
      <c r="O2308" s="75"/>
      <c r="P2308" s="75"/>
      <c r="U2308" s="72"/>
      <c r="V2308" s="73"/>
      <c r="W2308" s="70"/>
      <c r="X2308" s="74"/>
      <c r="Y2308" s="75"/>
      <c r="Z2308" s="75"/>
    </row>
    <row r="2309" spans="1:26" x14ac:dyDescent="0.3">
      <c r="A2309" s="72"/>
      <c r="B2309" s="73"/>
      <c r="C2309" s="70"/>
      <c r="D2309" s="74"/>
      <c r="E2309" s="75"/>
      <c r="F2309" s="75"/>
      <c r="K2309" s="72"/>
      <c r="L2309" s="73"/>
      <c r="M2309" s="70"/>
      <c r="N2309" s="74"/>
      <c r="O2309" s="75"/>
      <c r="P2309" s="75"/>
      <c r="U2309" s="72"/>
      <c r="V2309" s="73"/>
      <c r="W2309" s="70"/>
      <c r="X2309" s="74"/>
      <c r="Y2309" s="75"/>
      <c r="Z2309" s="75"/>
    </row>
    <row r="2310" spans="1:26" x14ac:dyDescent="0.3">
      <c r="A2310" s="72"/>
      <c r="B2310" s="73"/>
      <c r="C2310" s="70"/>
      <c r="D2310" s="74"/>
      <c r="E2310" s="75"/>
      <c r="F2310" s="75"/>
      <c r="K2310" s="72"/>
      <c r="L2310" s="73"/>
      <c r="M2310" s="70"/>
      <c r="N2310" s="74"/>
      <c r="O2310" s="75"/>
      <c r="P2310" s="75"/>
      <c r="U2310" s="72"/>
      <c r="V2310" s="73"/>
      <c r="W2310" s="70"/>
      <c r="X2310" s="74"/>
      <c r="Y2310" s="75"/>
      <c r="Z2310" s="75"/>
    </row>
    <row r="2311" spans="1:26" x14ac:dyDescent="0.3">
      <c r="A2311" s="72"/>
      <c r="B2311" s="73"/>
      <c r="C2311" s="70"/>
      <c r="D2311" s="74"/>
      <c r="E2311" s="75"/>
      <c r="F2311" s="75"/>
      <c r="K2311" s="72"/>
      <c r="L2311" s="73"/>
      <c r="M2311" s="70"/>
      <c r="N2311" s="74"/>
      <c r="O2311" s="75"/>
      <c r="P2311" s="75"/>
      <c r="U2311" s="72"/>
      <c r="V2311" s="73"/>
      <c r="W2311" s="70"/>
      <c r="X2311" s="74"/>
      <c r="Y2311" s="75"/>
      <c r="Z2311" s="75"/>
    </row>
    <row r="2312" spans="1:26" x14ac:dyDescent="0.3">
      <c r="A2312" s="72"/>
      <c r="B2312" s="73"/>
      <c r="C2312" s="70"/>
      <c r="D2312" s="74"/>
      <c r="E2312" s="75"/>
      <c r="F2312" s="75"/>
      <c r="K2312" s="72"/>
      <c r="L2312" s="73"/>
      <c r="M2312" s="70"/>
      <c r="N2312" s="74"/>
      <c r="O2312" s="75"/>
      <c r="P2312" s="75"/>
      <c r="U2312" s="72"/>
      <c r="V2312" s="73"/>
      <c r="W2312" s="70"/>
      <c r="X2312" s="74"/>
      <c r="Y2312" s="75"/>
      <c r="Z2312" s="75"/>
    </row>
    <row r="2313" spans="1:26" x14ac:dyDescent="0.3">
      <c r="A2313" s="72"/>
      <c r="B2313" s="73"/>
      <c r="C2313" s="70"/>
      <c r="D2313" s="74"/>
      <c r="E2313" s="75"/>
      <c r="F2313" s="75"/>
      <c r="K2313" s="72"/>
      <c r="L2313" s="73"/>
      <c r="M2313" s="70"/>
      <c r="N2313" s="74"/>
      <c r="O2313" s="75"/>
      <c r="P2313" s="75"/>
      <c r="U2313" s="72"/>
      <c r="V2313" s="73"/>
      <c r="W2313" s="70"/>
      <c r="X2313" s="74"/>
      <c r="Y2313" s="75"/>
      <c r="Z2313" s="75"/>
    </row>
    <row r="2314" spans="1:26" x14ac:dyDescent="0.3">
      <c r="A2314" s="72"/>
      <c r="B2314" s="73"/>
      <c r="C2314" s="70"/>
      <c r="D2314" s="74"/>
      <c r="E2314" s="75"/>
      <c r="F2314" s="75"/>
      <c r="K2314" s="72"/>
      <c r="L2314" s="73"/>
      <c r="M2314" s="70"/>
      <c r="N2314" s="74"/>
      <c r="O2314" s="75"/>
      <c r="P2314" s="75"/>
      <c r="U2314" s="72"/>
      <c r="V2314" s="73"/>
      <c r="W2314" s="70"/>
      <c r="X2314" s="74"/>
      <c r="Y2314" s="75"/>
      <c r="Z2314" s="75"/>
    </row>
    <row r="2315" spans="1:26" x14ac:dyDescent="0.3">
      <c r="A2315" s="72"/>
      <c r="B2315" s="73"/>
      <c r="C2315" s="70"/>
      <c r="D2315" s="74"/>
      <c r="E2315" s="75"/>
      <c r="F2315" s="75"/>
      <c r="K2315" s="72"/>
      <c r="L2315" s="73"/>
      <c r="M2315" s="70"/>
      <c r="N2315" s="74"/>
      <c r="O2315" s="75"/>
      <c r="P2315" s="75"/>
      <c r="U2315" s="72"/>
      <c r="V2315" s="73"/>
      <c r="W2315" s="70"/>
      <c r="X2315" s="74"/>
      <c r="Y2315" s="75"/>
      <c r="Z2315" s="75"/>
    </row>
    <row r="2316" spans="1:26" x14ac:dyDescent="0.3">
      <c r="A2316" s="72"/>
      <c r="B2316" s="73"/>
      <c r="C2316" s="70"/>
      <c r="D2316" s="74"/>
      <c r="E2316" s="75"/>
      <c r="F2316" s="75"/>
      <c r="K2316" s="72"/>
      <c r="L2316" s="73"/>
      <c r="M2316" s="70"/>
      <c r="N2316" s="74"/>
      <c r="O2316" s="75"/>
      <c r="P2316" s="75"/>
      <c r="U2316" s="72"/>
      <c r="V2316" s="73"/>
      <c r="W2316" s="70"/>
      <c r="X2316" s="74"/>
      <c r="Y2316" s="75"/>
      <c r="Z2316" s="75"/>
    </row>
    <row r="2317" spans="1:26" x14ac:dyDescent="0.3">
      <c r="A2317" s="72"/>
      <c r="B2317" s="73"/>
      <c r="C2317" s="70"/>
      <c r="D2317" s="74"/>
      <c r="E2317" s="75"/>
      <c r="F2317" s="75"/>
      <c r="K2317" s="72"/>
      <c r="L2317" s="73"/>
      <c r="M2317" s="70"/>
      <c r="N2317" s="74"/>
      <c r="O2317" s="75"/>
      <c r="P2317" s="75"/>
      <c r="U2317" s="72"/>
      <c r="V2317" s="73"/>
      <c r="W2317" s="70"/>
      <c r="X2317" s="74"/>
      <c r="Y2317" s="75"/>
      <c r="Z2317" s="75"/>
    </row>
    <row r="2318" spans="1:26" x14ac:dyDescent="0.3">
      <c r="A2318" s="72"/>
      <c r="B2318" s="73"/>
      <c r="C2318" s="70"/>
      <c r="D2318" s="74"/>
      <c r="E2318" s="75"/>
      <c r="F2318" s="75"/>
      <c r="K2318" s="72"/>
      <c r="L2318" s="73"/>
      <c r="M2318" s="70"/>
      <c r="N2318" s="74"/>
      <c r="O2318" s="75"/>
      <c r="P2318" s="75"/>
      <c r="U2318" s="72"/>
      <c r="V2318" s="73"/>
      <c r="W2318" s="70"/>
      <c r="X2318" s="74"/>
      <c r="Y2318" s="75"/>
      <c r="Z2318" s="75"/>
    </row>
    <row r="2319" spans="1:26" x14ac:dyDescent="0.3">
      <c r="A2319" s="72"/>
      <c r="B2319" s="73"/>
      <c r="C2319" s="70"/>
      <c r="D2319" s="74"/>
      <c r="E2319" s="75"/>
      <c r="F2319" s="75"/>
      <c r="K2319" s="72"/>
      <c r="L2319" s="73"/>
      <c r="M2319" s="70"/>
      <c r="N2319" s="74"/>
      <c r="O2319" s="75"/>
      <c r="P2319" s="75"/>
      <c r="U2319" s="72"/>
      <c r="V2319" s="73"/>
      <c r="W2319" s="70"/>
      <c r="X2319" s="74"/>
      <c r="Y2319" s="75"/>
      <c r="Z2319" s="75"/>
    </row>
    <row r="2320" spans="1:26" x14ac:dyDescent="0.3">
      <c r="A2320" s="72"/>
      <c r="B2320" s="73"/>
      <c r="C2320" s="70"/>
      <c r="D2320" s="74"/>
      <c r="E2320" s="75"/>
      <c r="F2320" s="75"/>
      <c r="K2320" s="72"/>
      <c r="L2320" s="73"/>
      <c r="M2320" s="70"/>
      <c r="N2320" s="74"/>
      <c r="O2320" s="75"/>
      <c r="P2320" s="75"/>
      <c r="U2320" s="72"/>
      <c r="V2320" s="73"/>
      <c r="W2320" s="70"/>
      <c r="X2320" s="74"/>
      <c r="Y2320" s="75"/>
      <c r="Z2320" s="75"/>
    </row>
    <row r="2321" spans="1:26" x14ac:dyDescent="0.3">
      <c r="A2321" s="72"/>
      <c r="B2321" s="73"/>
      <c r="C2321" s="70"/>
      <c r="D2321" s="74"/>
      <c r="E2321" s="75"/>
      <c r="F2321" s="75"/>
      <c r="K2321" s="72"/>
      <c r="L2321" s="73"/>
      <c r="M2321" s="70"/>
      <c r="N2321" s="74"/>
      <c r="O2321" s="75"/>
      <c r="P2321" s="75"/>
      <c r="U2321" s="72"/>
      <c r="V2321" s="73"/>
      <c r="W2321" s="70"/>
      <c r="X2321" s="74"/>
      <c r="Y2321" s="75"/>
      <c r="Z2321" s="75"/>
    </row>
    <row r="2322" spans="1:26" x14ac:dyDescent="0.3">
      <c r="A2322" s="72"/>
      <c r="B2322" s="73"/>
      <c r="C2322" s="70"/>
      <c r="D2322" s="74"/>
      <c r="E2322" s="75"/>
      <c r="F2322" s="75"/>
      <c r="K2322" s="72"/>
      <c r="L2322" s="73"/>
      <c r="M2322" s="70"/>
      <c r="N2322" s="74"/>
      <c r="O2322" s="75"/>
      <c r="P2322" s="75"/>
      <c r="U2322" s="72"/>
      <c r="V2322" s="73"/>
      <c r="W2322" s="70"/>
      <c r="X2322" s="74"/>
      <c r="Y2322" s="75"/>
      <c r="Z2322" s="75"/>
    </row>
    <row r="2323" spans="1:26" x14ac:dyDescent="0.3">
      <c r="A2323" s="72"/>
      <c r="B2323" s="73"/>
      <c r="C2323" s="70"/>
      <c r="D2323" s="74"/>
      <c r="E2323" s="75"/>
      <c r="F2323" s="75"/>
      <c r="K2323" s="72"/>
      <c r="L2323" s="73"/>
      <c r="M2323" s="70"/>
      <c r="N2323" s="74"/>
      <c r="O2323" s="75"/>
      <c r="P2323" s="75"/>
      <c r="U2323" s="72"/>
      <c r="V2323" s="73"/>
      <c r="W2323" s="70"/>
      <c r="X2323" s="74"/>
      <c r="Y2323" s="75"/>
      <c r="Z2323" s="75"/>
    </row>
    <row r="2324" spans="1:26" x14ac:dyDescent="0.3">
      <c r="A2324" s="72"/>
      <c r="B2324" s="73"/>
      <c r="C2324" s="70"/>
      <c r="D2324" s="74"/>
      <c r="E2324" s="75"/>
      <c r="F2324" s="75"/>
      <c r="K2324" s="72"/>
      <c r="L2324" s="73"/>
      <c r="M2324" s="70"/>
      <c r="N2324" s="74"/>
      <c r="O2324" s="75"/>
      <c r="P2324" s="75"/>
      <c r="U2324" s="72"/>
      <c r="V2324" s="73"/>
      <c r="W2324" s="70"/>
      <c r="X2324" s="74"/>
      <c r="Y2324" s="75"/>
      <c r="Z2324" s="75"/>
    </row>
    <row r="2325" spans="1:26" x14ac:dyDescent="0.3">
      <c r="A2325" s="72"/>
      <c r="B2325" s="73"/>
      <c r="C2325" s="70"/>
      <c r="D2325" s="74"/>
      <c r="E2325" s="75"/>
      <c r="F2325" s="75"/>
      <c r="K2325" s="72"/>
      <c r="L2325" s="73"/>
      <c r="M2325" s="70"/>
      <c r="N2325" s="74"/>
      <c r="O2325" s="75"/>
      <c r="P2325" s="75"/>
      <c r="U2325" s="72"/>
      <c r="V2325" s="73"/>
      <c r="W2325" s="70"/>
      <c r="X2325" s="74"/>
      <c r="Y2325" s="75"/>
      <c r="Z2325" s="75"/>
    </row>
    <row r="2326" spans="1:26" x14ac:dyDescent="0.3">
      <c r="A2326" s="72"/>
      <c r="B2326" s="73"/>
      <c r="C2326" s="70"/>
      <c r="D2326" s="74"/>
      <c r="E2326" s="75"/>
      <c r="F2326" s="75"/>
      <c r="K2326" s="72"/>
      <c r="L2326" s="73"/>
      <c r="M2326" s="70"/>
      <c r="N2326" s="74"/>
      <c r="O2326" s="75"/>
      <c r="P2326" s="75"/>
      <c r="U2326" s="72"/>
      <c r="V2326" s="73"/>
      <c r="W2326" s="70"/>
      <c r="X2326" s="74"/>
      <c r="Y2326" s="75"/>
      <c r="Z2326" s="75"/>
    </row>
    <row r="2327" spans="1:26" x14ac:dyDescent="0.3">
      <c r="A2327" s="72"/>
      <c r="B2327" s="73"/>
      <c r="C2327" s="70"/>
      <c r="D2327" s="74"/>
      <c r="E2327" s="75"/>
      <c r="F2327" s="75"/>
      <c r="K2327" s="72"/>
      <c r="L2327" s="73"/>
      <c r="M2327" s="70"/>
      <c r="N2327" s="74"/>
      <c r="O2327" s="75"/>
      <c r="P2327" s="75"/>
      <c r="U2327" s="72"/>
      <c r="V2327" s="73"/>
      <c r="W2327" s="70"/>
      <c r="X2327" s="74"/>
      <c r="Y2327" s="75"/>
      <c r="Z2327" s="75"/>
    </row>
    <row r="2328" spans="1:26" x14ac:dyDescent="0.3">
      <c r="A2328" s="72"/>
      <c r="B2328" s="73"/>
      <c r="C2328" s="70"/>
      <c r="D2328" s="74"/>
      <c r="E2328" s="75"/>
      <c r="F2328" s="75"/>
      <c r="K2328" s="72"/>
      <c r="L2328" s="73"/>
      <c r="M2328" s="70"/>
      <c r="N2328" s="74"/>
      <c r="O2328" s="75"/>
      <c r="P2328" s="75"/>
      <c r="U2328" s="72"/>
      <c r="V2328" s="73"/>
      <c r="W2328" s="70"/>
      <c r="X2328" s="74"/>
      <c r="Y2328" s="75"/>
      <c r="Z2328" s="75"/>
    </row>
    <row r="2329" spans="1:26" x14ac:dyDescent="0.3">
      <c r="A2329" s="72"/>
      <c r="B2329" s="73"/>
      <c r="C2329" s="70"/>
      <c r="D2329" s="74"/>
      <c r="E2329" s="75"/>
      <c r="F2329" s="75"/>
      <c r="K2329" s="72"/>
      <c r="L2329" s="73"/>
      <c r="M2329" s="70"/>
      <c r="N2329" s="74"/>
      <c r="O2329" s="75"/>
      <c r="P2329" s="75"/>
      <c r="U2329" s="72"/>
      <c r="V2329" s="73"/>
      <c r="W2329" s="70"/>
      <c r="X2329" s="74"/>
      <c r="Y2329" s="75"/>
      <c r="Z2329" s="75"/>
    </row>
    <row r="2330" spans="1:26" x14ac:dyDescent="0.3">
      <c r="A2330" s="72"/>
      <c r="B2330" s="73"/>
      <c r="C2330" s="70"/>
      <c r="D2330" s="74"/>
      <c r="E2330" s="75"/>
      <c r="F2330" s="75"/>
      <c r="K2330" s="72"/>
      <c r="L2330" s="73"/>
      <c r="M2330" s="70"/>
      <c r="N2330" s="74"/>
      <c r="O2330" s="75"/>
      <c r="P2330" s="75"/>
      <c r="U2330" s="72"/>
      <c r="V2330" s="73"/>
      <c r="W2330" s="70"/>
      <c r="X2330" s="74"/>
      <c r="Y2330" s="75"/>
      <c r="Z2330" s="75"/>
    </row>
    <row r="2331" spans="1:26" x14ac:dyDescent="0.3">
      <c r="A2331" s="72"/>
      <c r="B2331" s="73"/>
      <c r="C2331" s="70"/>
      <c r="D2331" s="74"/>
      <c r="E2331" s="75"/>
      <c r="F2331" s="75"/>
      <c r="K2331" s="72"/>
      <c r="L2331" s="73"/>
      <c r="M2331" s="70"/>
      <c r="N2331" s="74"/>
      <c r="O2331" s="75"/>
      <c r="P2331" s="75"/>
      <c r="U2331" s="72"/>
      <c r="V2331" s="73"/>
      <c r="W2331" s="70"/>
      <c r="X2331" s="74"/>
      <c r="Y2331" s="75"/>
      <c r="Z2331" s="75"/>
    </row>
    <row r="2332" spans="1:26" x14ac:dyDescent="0.3">
      <c r="A2332" s="72"/>
      <c r="B2332" s="73"/>
      <c r="C2332" s="70"/>
      <c r="D2332" s="74"/>
      <c r="E2332" s="75"/>
      <c r="F2332" s="75"/>
      <c r="K2332" s="72"/>
      <c r="L2332" s="73"/>
      <c r="M2332" s="70"/>
      <c r="N2332" s="74"/>
      <c r="O2332" s="75"/>
      <c r="P2332" s="75"/>
      <c r="U2332" s="72"/>
      <c r="V2332" s="73"/>
      <c r="W2332" s="70"/>
      <c r="X2332" s="74"/>
      <c r="Y2332" s="75"/>
      <c r="Z2332" s="75"/>
    </row>
    <row r="2333" spans="1:26" x14ac:dyDescent="0.3">
      <c r="A2333" s="72"/>
      <c r="B2333" s="73"/>
      <c r="C2333" s="70"/>
      <c r="D2333" s="74"/>
      <c r="E2333" s="75"/>
      <c r="F2333" s="75"/>
      <c r="K2333" s="72"/>
      <c r="L2333" s="73"/>
      <c r="M2333" s="70"/>
      <c r="N2333" s="74"/>
      <c r="O2333" s="75"/>
      <c r="P2333" s="75"/>
      <c r="U2333" s="72"/>
      <c r="V2333" s="73"/>
      <c r="W2333" s="70"/>
      <c r="X2333" s="74"/>
      <c r="Y2333" s="75"/>
      <c r="Z2333" s="75"/>
    </row>
    <row r="2334" spans="1:26" x14ac:dyDescent="0.3">
      <c r="A2334" s="72"/>
      <c r="B2334" s="73"/>
      <c r="C2334" s="70"/>
      <c r="D2334" s="74"/>
      <c r="E2334" s="75"/>
      <c r="F2334" s="75"/>
      <c r="K2334" s="72"/>
      <c r="L2334" s="73"/>
      <c r="M2334" s="70"/>
      <c r="N2334" s="74"/>
      <c r="O2334" s="75"/>
      <c r="P2334" s="75"/>
      <c r="U2334" s="72"/>
      <c r="V2334" s="73"/>
      <c r="W2334" s="70"/>
      <c r="X2334" s="74"/>
      <c r="Y2334" s="75"/>
      <c r="Z2334" s="75"/>
    </row>
    <row r="2335" spans="1:26" x14ac:dyDescent="0.3">
      <c r="A2335" s="72"/>
      <c r="B2335" s="73"/>
      <c r="C2335" s="70"/>
      <c r="D2335" s="74"/>
      <c r="E2335" s="75"/>
      <c r="F2335" s="75"/>
      <c r="K2335" s="72"/>
      <c r="L2335" s="73"/>
      <c r="M2335" s="70"/>
      <c r="N2335" s="74"/>
      <c r="O2335" s="75"/>
      <c r="P2335" s="75"/>
      <c r="U2335" s="72"/>
      <c r="V2335" s="73"/>
      <c r="W2335" s="70"/>
      <c r="X2335" s="74"/>
      <c r="Y2335" s="75"/>
      <c r="Z2335" s="75"/>
    </row>
    <row r="2336" spans="1:26" x14ac:dyDescent="0.3">
      <c r="A2336" s="72"/>
      <c r="B2336" s="73"/>
      <c r="C2336" s="70"/>
      <c r="D2336" s="74"/>
      <c r="E2336" s="75"/>
      <c r="F2336" s="75"/>
      <c r="K2336" s="72"/>
      <c r="L2336" s="73"/>
      <c r="M2336" s="70"/>
      <c r="N2336" s="74"/>
      <c r="O2336" s="75"/>
      <c r="P2336" s="75"/>
      <c r="U2336" s="72"/>
      <c r="V2336" s="73"/>
      <c r="W2336" s="70"/>
      <c r="X2336" s="74"/>
      <c r="Y2336" s="75"/>
      <c r="Z2336" s="75"/>
    </row>
    <row r="2337" spans="1:26" x14ac:dyDescent="0.3">
      <c r="A2337" s="72"/>
      <c r="B2337" s="73"/>
      <c r="C2337" s="70"/>
      <c r="D2337" s="74"/>
      <c r="E2337" s="75"/>
      <c r="F2337" s="75"/>
      <c r="K2337" s="72"/>
      <c r="L2337" s="73"/>
      <c r="M2337" s="70"/>
      <c r="N2337" s="74"/>
      <c r="O2337" s="75"/>
      <c r="P2337" s="75"/>
      <c r="U2337" s="72"/>
      <c r="V2337" s="73"/>
      <c r="W2337" s="70"/>
      <c r="X2337" s="74"/>
      <c r="Y2337" s="75"/>
      <c r="Z2337" s="75"/>
    </row>
    <row r="2338" spans="1:26" x14ac:dyDescent="0.3">
      <c r="A2338" s="72"/>
      <c r="B2338" s="73"/>
      <c r="C2338" s="70"/>
      <c r="D2338" s="74"/>
      <c r="E2338" s="75"/>
      <c r="F2338" s="75"/>
      <c r="K2338" s="72"/>
      <c r="L2338" s="73"/>
      <c r="M2338" s="70"/>
      <c r="N2338" s="74"/>
      <c r="O2338" s="75"/>
      <c r="P2338" s="75"/>
      <c r="U2338" s="72"/>
      <c r="V2338" s="73"/>
      <c r="W2338" s="70"/>
      <c r="X2338" s="74"/>
      <c r="Y2338" s="75"/>
      <c r="Z2338" s="75"/>
    </row>
    <row r="2339" spans="1:26" x14ac:dyDescent="0.3">
      <c r="A2339" s="72"/>
      <c r="B2339" s="73"/>
      <c r="C2339" s="70"/>
      <c r="D2339" s="74"/>
      <c r="E2339" s="75"/>
      <c r="F2339" s="75"/>
      <c r="K2339" s="72"/>
      <c r="L2339" s="73"/>
      <c r="M2339" s="70"/>
      <c r="N2339" s="74"/>
      <c r="O2339" s="75"/>
      <c r="P2339" s="75"/>
      <c r="U2339" s="72"/>
      <c r="V2339" s="73"/>
      <c r="W2339" s="70"/>
      <c r="X2339" s="74"/>
      <c r="Y2339" s="75"/>
      <c r="Z2339" s="75"/>
    </row>
    <row r="2340" spans="1:26" x14ac:dyDescent="0.3">
      <c r="A2340" s="72"/>
      <c r="B2340" s="73"/>
      <c r="C2340" s="70"/>
      <c r="D2340" s="74"/>
      <c r="E2340" s="75"/>
      <c r="F2340" s="75"/>
      <c r="K2340" s="72"/>
      <c r="L2340" s="73"/>
      <c r="M2340" s="70"/>
      <c r="N2340" s="74"/>
      <c r="O2340" s="75"/>
      <c r="P2340" s="75"/>
      <c r="U2340" s="72"/>
      <c r="V2340" s="73"/>
      <c r="W2340" s="70"/>
      <c r="X2340" s="74"/>
      <c r="Y2340" s="75"/>
      <c r="Z2340" s="75"/>
    </row>
    <row r="2341" spans="1:26" x14ac:dyDescent="0.3">
      <c r="A2341" s="72"/>
      <c r="B2341" s="73"/>
      <c r="C2341" s="70"/>
      <c r="D2341" s="74"/>
      <c r="E2341" s="75"/>
      <c r="F2341" s="75"/>
      <c r="K2341" s="72"/>
      <c r="L2341" s="73"/>
      <c r="M2341" s="70"/>
      <c r="N2341" s="74"/>
      <c r="O2341" s="75"/>
      <c r="P2341" s="75"/>
      <c r="U2341" s="72"/>
      <c r="V2341" s="73"/>
      <c r="W2341" s="70"/>
      <c r="X2341" s="74"/>
      <c r="Y2341" s="75"/>
      <c r="Z2341" s="75"/>
    </row>
    <row r="2342" spans="1:26" x14ac:dyDescent="0.3">
      <c r="A2342" s="72"/>
      <c r="B2342" s="73"/>
      <c r="C2342" s="70"/>
      <c r="D2342" s="74"/>
      <c r="E2342" s="75"/>
      <c r="F2342" s="75"/>
      <c r="K2342" s="72"/>
      <c r="L2342" s="73"/>
      <c r="M2342" s="70"/>
      <c r="N2342" s="74"/>
      <c r="O2342" s="75"/>
      <c r="P2342" s="75"/>
      <c r="U2342" s="72"/>
      <c r="V2342" s="73"/>
      <c r="W2342" s="70"/>
      <c r="X2342" s="74"/>
      <c r="Y2342" s="75"/>
      <c r="Z2342" s="75"/>
    </row>
    <row r="2343" spans="1:26" x14ac:dyDescent="0.3">
      <c r="A2343" s="72"/>
      <c r="B2343" s="73"/>
      <c r="C2343" s="70"/>
      <c r="D2343" s="74"/>
      <c r="E2343" s="75"/>
      <c r="F2343" s="75"/>
      <c r="K2343" s="72"/>
      <c r="L2343" s="73"/>
      <c r="M2343" s="70"/>
      <c r="N2343" s="74"/>
      <c r="O2343" s="75"/>
      <c r="P2343" s="75"/>
      <c r="U2343" s="72"/>
      <c r="V2343" s="73"/>
      <c r="W2343" s="70"/>
      <c r="X2343" s="74"/>
      <c r="Y2343" s="75"/>
      <c r="Z2343" s="75"/>
    </row>
    <row r="2344" spans="1:26" x14ac:dyDescent="0.3">
      <c r="A2344" s="72"/>
      <c r="B2344" s="73"/>
      <c r="C2344" s="70"/>
      <c r="D2344" s="74"/>
      <c r="E2344" s="75"/>
      <c r="F2344" s="75"/>
      <c r="K2344" s="72"/>
      <c r="L2344" s="73"/>
      <c r="M2344" s="70"/>
      <c r="N2344" s="74"/>
      <c r="O2344" s="75"/>
      <c r="P2344" s="75"/>
      <c r="U2344" s="72"/>
      <c r="V2344" s="73"/>
      <c r="W2344" s="70"/>
      <c r="X2344" s="74"/>
      <c r="Y2344" s="75"/>
      <c r="Z2344" s="75"/>
    </row>
    <row r="2345" spans="1:26" x14ac:dyDescent="0.3">
      <c r="A2345" s="72"/>
      <c r="B2345" s="73"/>
      <c r="C2345" s="70"/>
      <c r="D2345" s="74"/>
      <c r="E2345" s="75"/>
      <c r="F2345" s="75"/>
      <c r="K2345" s="72"/>
      <c r="L2345" s="73"/>
      <c r="M2345" s="70"/>
      <c r="N2345" s="74"/>
      <c r="O2345" s="75"/>
      <c r="P2345" s="75"/>
      <c r="U2345" s="72"/>
      <c r="V2345" s="73"/>
      <c r="W2345" s="70"/>
      <c r="X2345" s="74"/>
      <c r="Y2345" s="75"/>
      <c r="Z2345" s="75"/>
    </row>
    <row r="2346" spans="1:26" x14ac:dyDescent="0.3">
      <c r="A2346" s="72"/>
      <c r="B2346" s="73"/>
      <c r="C2346" s="70"/>
      <c r="D2346" s="74"/>
      <c r="E2346" s="75"/>
      <c r="F2346" s="75"/>
      <c r="K2346" s="72"/>
      <c r="L2346" s="73"/>
      <c r="M2346" s="70"/>
      <c r="N2346" s="74"/>
      <c r="O2346" s="75"/>
      <c r="P2346" s="75"/>
      <c r="U2346" s="72"/>
      <c r="V2346" s="73"/>
      <c r="W2346" s="70"/>
      <c r="X2346" s="74"/>
      <c r="Y2346" s="75"/>
      <c r="Z2346" s="75"/>
    </row>
    <row r="2347" spans="1:26" x14ac:dyDescent="0.3">
      <c r="A2347" s="72"/>
      <c r="B2347" s="73"/>
      <c r="C2347" s="70"/>
      <c r="D2347" s="74"/>
      <c r="E2347" s="75"/>
      <c r="F2347" s="75"/>
      <c r="K2347" s="72"/>
      <c r="L2347" s="73"/>
      <c r="M2347" s="70"/>
      <c r="N2347" s="74"/>
      <c r="O2347" s="75"/>
      <c r="P2347" s="75"/>
      <c r="U2347" s="72"/>
      <c r="V2347" s="73"/>
      <c r="W2347" s="70"/>
      <c r="X2347" s="74"/>
      <c r="Y2347" s="75"/>
      <c r="Z2347" s="75"/>
    </row>
    <row r="2348" spans="1:26" x14ac:dyDescent="0.3">
      <c r="A2348" s="72"/>
      <c r="B2348" s="73"/>
      <c r="C2348" s="70"/>
      <c r="D2348" s="74"/>
      <c r="E2348" s="75"/>
      <c r="F2348" s="75"/>
      <c r="K2348" s="72"/>
      <c r="L2348" s="73"/>
      <c r="M2348" s="70"/>
      <c r="N2348" s="74"/>
      <c r="O2348" s="75"/>
      <c r="P2348" s="75"/>
      <c r="U2348" s="72"/>
      <c r="V2348" s="73"/>
      <c r="W2348" s="70"/>
      <c r="X2348" s="74"/>
      <c r="Y2348" s="75"/>
      <c r="Z2348" s="75"/>
    </row>
    <row r="2349" spans="1:26" x14ac:dyDescent="0.3">
      <c r="A2349" s="72"/>
      <c r="B2349" s="73"/>
      <c r="C2349" s="70"/>
      <c r="D2349" s="74"/>
      <c r="E2349" s="75"/>
      <c r="F2349" s="75"/>
      <c r="K2349" s="72"/>
      <c r="L2349" s="73"/>
      <c r="M2349" s="70"/>
      <c r="N2349" s="74"/>
      <c r="O2349" s="75"/>
      <c r="P2349" s="75"/>
      <c r="U2349" s="72"/>
      <c r="V2349" s="73"/>
      <c r="W2349" s="70"/>
      <c r="X2349" s="74"/>
      <c r="Y2349" s="75"/>
      <c r="Z2349" s="75"/>
    </row>
    <row r="2350" spans="1:26" x14ac:dyDescent="0.3">
      <c r="A2350" s="72"/>
      <c r="B2350" s="73"/>
      <c r="C2350" s="70"/>
      <c r="D2350" s="74"/>
      <c r="E2350" s="75"/>
      <c r="F2350" s="75"/>
      <c r="K2350" s="72"/>
      <c r="L2350" s="73"/>
      <c r="M2350" s="70"/>
      <c r="N2350" s="74"/>
      <c r="O2350" s="75"/>
      <c r="P2350" s="75"/>
      <c r="U2350" s="72"/>
      <c r="V2350" s="73"/>
      <c r="W2350" s="70"/>
      <c r="X2350" s="74"/>
      <c r="Y2350" s="75"/>
      <c r="Z2350" s="75"/>
    </row>
    <row r="2351" spans="1:26" x14ac:dyDescent="0.3">
      <c r="A2351" s="72"/>
      <c r="B2351" s="73"/>
      <c r="C2351" s="70"/>
      <c r="D2351" s="74"/>
      <c r="E2351" s="75"/>
      <c r="F2351" s="75"/>
      <c r="K2351" s="72"/>
      <c r="L2351" s="73"/>
      <c r="M2351" s="70"/>
      <c r="N2351" s="74"/>
      <c r="O2351" s="75"/>
      <c r="P2351" s="75"/>
      <c r="U2351" s="72"/>
      <c r="V2351" s="73"/>
      <c r="W2351" s="70"/>
      <c r="X2351" s="74"/>
      <c r="Y2351" s="75"/>
      <c r="Z2351" s="75"/>
    </row>
    <row r="2352" spans="1:26" x14ac:dyDescent="0.3">
      <c r="A2352" s="72"/>
      <c r="B2352" s="73"/>
      <c r="C2352" s="70"/>
      <c r="D2352" s="74"/>
      <c r="E2352" s="75"/>
      <c r="F2352" s="75"/>
      <c r="K2352" s="72"/>
      <c r="L2352" s="73"/>
      <c r="M2352" s="70"/>
      <c r="N2352" s="74"/>
      <c r="O2352" s="75"/>
      <c r="P2352" s="75"/>
      <c r="U2352" s="72"/>
      <c r="V2352" s="73"/>
      <c r="W2352" s="70"/>
      <c r="X2352" s="74"/>
      <c r="Y2352" s="75"/>
      <c r="Z2352" s="75"/>
    </row>
    <row r="2353" spans="1:26" x14ac:dyDescent="0.3">
      <c r="A2353" s="72"/>
      <c r="B2353" s="73"/>
      <c r="C2353" s="70"/>
      <c r="D2353" s="74"/>
      <c r="E2353" s="75"/>
      <c r="F2353" s="75"/>
      <c r="K2353" s="72"/>
      <c r="L2353" s="73"/>
      <c r="M2353" s="70"/>
      <c r="N2353" s="74"/>
      <c r="O2353" s="75"/>
      <c r="P2353" s="75"/>
      <c r="U2353" s="72"/>
      <c r="V2353" s="73"/>
      <c r="W2353" s="70"/>
      <c r="X2353" s="74"/>
      <c r="Y2353" s="75"/>
      <c r="Z2353" s="75"/>
    </row>
    <row r="2354" spans="1:26" x14ac:dyDescent="0.3">
      <c r="A2354" s="72"/>
      <c r="B2354" s="73"/>
      <c r="C2354" s="70"/>
      <c r="D2354" s="74"/>
      <c r="E2354" s="75"/>
      <c r="F2354" s="75"/>
      <c r="K2354" s="72"/>
      <c r="L2354" s="73"/>
      <c r="M2354" s="70"/>
      <c r="N2354" s="74"/>
      <c r="O2354" s="75"/>
      <c r="P2354" s="75"/>
      <c r="U2354" s="72"/>
      <c r="V2354" s="73"/>
      <c r="W2354" s="70"/>
      <c r="X2354" s="74"/>
      <c r="Y2354" s="75"/>
      <c r="Z2354" s="75"/>
    </row>
    <row r="2355" spans="1:26" x14ac:dyDescent="0.3">
      <c r="A2355" s="72"/>
      <c r="B2355" s="73"/>
      <c r="C2355" s="70"/>
      <c r="D2355" s="74"/>
      <c r="E2355" s="75"/>
      <c r="F2355" s="75"/>
      <c r="K2355" s="72"/>
      <c r="L2355" s="73"/>
      <c r="M2355" s="70"/>
      <c r="N2355" s="74"/>
      <c r="O2355" s="75"/>
      <c r="P2355" s="75"/>
      <c r="U2355" s="72"/>
      <c r="V2355" s="73"/>
      <c r="W2355" s="70"/>
      <c r="X2355" s="74"/>
      <c r="Y2355" s="75"/>
      <c r="Z2355" s="75"/>
    </row>
    <row r="2356" spans="1:26" x14ac:dyDescent="0.3">
      <c r="A2356" s="72"/>
      <c r="B2356" s="73"/>
      <c r="C2356" s="70"/>
      <c r="D2356" s="74"/>
      <c r="E2356" s="75"/>
      <c r="F2356" s="75"/>
      <c r="K2356" s="72"/>
      <c r="L2356" s="73"/>
      <c r="M2356" s="70"/>
      <c r="N2356" s="74"/>
      <c r="O2356" s="75"/>
      <c r="P2356" s="75"/>
      <c r="U2356" s="72"/>
      <c r="V2356" s="73"/>
      <c r="W2356" s="70"/>
      <c r="X2356" s="74"/>
      <c r="Y2356" s="75"/>
      <c r="Z2356" s="75"/>
    </row>
    <row r="2357" spans="1:26" x14ac:dyDescent="0.3">
      <c r="A2357" s="72"/>
      <c r="B2357" s="73"/>
      <c r="C2357" s="70"/>
      <c r="D2357" s="74"/>
      <c r="E2357" s="75"/>
      <c r="F2357" s="75"/>
      <c r="K2357" s="72"/>
      <c r="L2357" s="73"/>
      <c r="M2357" s="70"/>
      <c r="N2357" s="74"/>
      <c r="O2357" s="75"/>
      <c r="P2357" s="75"/>
      <c r="U2357" s="72"/>
      <c r="V2357" s="73"/>
      <c r="W2357" s="70"/>
      <c r="X2357" s="74"/>
      <c r="Y2357" s="75"/>
      <c r="Z2357" s="75"/>
    </row>
    <row r="2358" spans="1:26" x14ac:dyDescent="0.3">
      <c r="A2358" s="72"/>
      <c r="B2358" s="73"/>
      <c r="C2358" s="70"/>
      <c r="D2358" s="74"/>
      <c r="E2358" s="75"/>
      <c r="F2358" s="75"/>
      <c r="K2358" s="72"/>
      <c r="L2358" s="73"/>
      <c r="M2358" s="70"/>
      <c r="N2358" s="74"/>
      <c r="O2358" s="75"/>
      <c r="P2358" s="75"/>
      <c r="U2358" s="72"/>
      <c r="V2358" s="73"/>
      <c r="W2358" s="70"/>
      <c r="X2358" s="74"/>
      <c r="Y2358" s="75"/>
      <c r="Z2358" s="75"/>
    </row>
    <row r="2359" spans="1:26" x14ac:dyDescent="0.3">
      <c r="A2359" s="72"/>
      <c r="B2359" s="73"/>
      <c r="C2359" s="70"/>
      <c r="D2359" s="74"/>
      <c r="E2359" s="75"/>
      <c r="F2359" s="75"/>
      <c r="K2359" s="72"/>
      <c r="L2359" s="73"/>
      <c r="M2359" s="70"/>
      <c r="N2359" s="74"/>
      <c r="O2359" s="75"/>
      <c r="P2359" s="75"/>
      <c r="U2359" s="72"/>
      <c r="V2359" s="73"/>
      <c r="W2359" s="70"/>
      <c r="X2359" s="74"/>
      <c r="Y2359" s="75"/>
      <c r="Z2359" s="75"/>
    </row>
    <row r="2360" spans="1:26" x14ac:dyDescent="0.3">
      <c r="A2360" s="72"/>
      <c r="B2360" s="73"/>
      <c r="C2360" s="70"/>
      <c r="D2360" s="74"/>
      <c r="E2360" s="75"/>
      <c r="F2360" s="75"/>
      <c r="K2360" s="72"/>
      <c r="L2360" s="73"/>
      <c r="M2360" s="70"/>
      <c r="N2360" s="74"/>
      <c r="O2360" s="75"/>
      <c r="P2360" s="75"/>
      <c r="U2360" s="72"/>
      <c r="V2360" s="73"/>
      <c r="W2360" s="70"/>
      <c r="X2360" s="74"/>
      <c r="Y2360" s="75"/>
      <c r="Z2360" s="75"/>
    </row>
    <row r="2361" spans="1:26" x14ac:dyDescent="0.3">
      <c r="A2361" s="72"/>
      <c r="B2361" s="73"/>
      <c r="C2361" s="70"/>
      <c r="D2361" s="74"/>
      <c r="E2361" s="75"/>
      <c r="F2361" s="75"/>
      <c r="K2361" s="72"/>
      <c r="L2361" s="73"/>
      <c r="M2361" s="70"/>
      <c r="N2361" s="74"/>
      <c r="O2361" s="75"/>
      <c r="P2361" s="75"/>
      <c r="U2361" s="72"/>
      <c r="V2361" s="73"/>
      <c r="W2361" s="70"/>
      <c r="X2361" s="74"/>
      <c r="Y2361" s="75"/>
      <c r="Z2361" s="75"/>
    </row>
    <row r="2362" spans="1:26" x14ac:dyDescent="0.3">
      <c r="A2362" s="72"/>
      <c r="B2362" s="73"/>
      <c r="C2362" s="70"/>
      <c r="D2362" s="74"/>
      <c r="E2362" s="75"/>
      <c r="F2362" s="75"/>
      <c r="K2362" s="72"/>
      <c r="L2362" s="73"/>
      <c r="M2362" s="70"/>
      <c r="N2362" s="74"/>
      <c r="O2362" s="75"/>
      <c r="P2362" s="75"/>
      <c r="U2362" s="72"/>
      <c r="V2362" s="73"/>
      <c r="W2362" s="70"/>
      <c r="X2362" s="74"/>
      <c r="Y2362" s="75"/>
      <c r="Z2362" s="75"/>
    </row>
    <row r="2363" spans="1:26" x14ac:dyDescent="0.3">
      <c r="A2363" s="72"/>
      <c r="B2363" s="73"/>
      <c r="C2363" s="70"/>
      <c r="D2363" s="74"/>
      <c r="E2363" s="75"/>
      <c r="F2363" s="75"/>
      <c r="K2363" s="72"/>
      <c r="L2363" s="73"/>
      <c r="M2363" s="70"/>
      <c r="N2363" s="74"/>
      <c r="O2363" s="75"/>
      <c r="P2363" s="75"/>
      <c r="U2363" s="72"/>
      <c r="V2363" s="73"/>
      <c r="W2363" s="70"/>
      <c r="X2363" s="74"/>
      <c r="Y2363" s="75"/>
      <c r="Z2363" s="75"/>
    </row>
    <row r="2364" spans="1:26" x14ac:dyDescent="0.3">
      <c r="A2364" s="72"/>
      <c r="B2364" s="73"/>
      <c r="C2364" s="70"/>
      <c r="D2364" s="74"/>
      <c r="E2364" s="75"/>
      <c r="F2364" s="75"/>
      <c r="K2364" s="72"/>
      <c r="L2364" s="73"/>
      <c r="M2364" s="70"/>
      <c r="N2364" s="74"/>
      <c r="O2364" s="75"/>
      <c r="P2364" s="75"/>
      <c r="U2364" s="72"/>
      <c r="V2364" s="73"/>
      <c r="W2364" s="70"/>
      <c r="X2364" s="74"/>
      <c r="Y2364" s="75"/>
      <c r="Z2364" s="75"/>
    </row>
    <row r="2365" spans="1:26" x14ac:dyDescent="0.3">
      <c r="A2365" s="72"/>
      <c r="B2365" s="73"/>
      <c r="C2365" s="70"/>
      <c r="D2365" s="74"/>
      <c r="E2365" s="75"/>
      <c r="F2365" s="75"/>
      <c r="K2365" s="72"/>
      <c r="L2365" s="73"/>
      <c r="M2365" s="70"/>
      <c r="N2365" s="74"/>
      <c r="O2365" s="75"/>
      <c r="P2365" s="75"/>
      <c r="U2365" s="72"/>
      <c r="V2365" s="73"/>
      <c r="W2365" s="70"/>
      <c r="X2365" s="74"/>
      <c r="Y2365" s="75"/>
      <c r="Z2365" s="75"/>
    </row>
    <row r="2366" spans="1:26" x14ac:dyDescent="0.3">
      <c r="A2366" s="72"/>
      <c r="B2366" s="73"/>
      <c r="C2366" s="70"/>
      <c r="D2366" s="74"/>
      <c r="E2366" s="75"/>
      <c r="F2366" s="75"/>
      <c r="K2366" s="72"/>
      <c r="L2366" s="73"/>
      <c r="M2366" s="70"/>
      <c r="N2366" s="74"/>
      <c r="O2366" s="75"/>
      <c r="P2366" s="75"/>
      <c r="U2366" s="72"/>
      <c r="V2366" s="73"/>
      <c r="W2366" s="70"/>
      <c r="X2366" s="74"/>
      <c r="Y2366" s="75"/>
      <c r="Z2366" s="75"/>
    </row>
    <row r="2367" spans="1:26" x14ac:dyDescent="0.3">
      <c r="A2367" s="72"/>
      <c r="B2367" s="73"/>
      <c r="C2367" s="70"/>
      <c r="D2367" s="74"/>
      <c r="E2367" s="75"/>
      <c r="F2367" s="75"/>
      <c r="K2367" s="72"/>
      <c r="L2367" s="73"/>
      <c r="M2367" s="70"/>
      <c r="N2367" s="74"/>
      <c r="O2367" s="75"/>
      <c r="P2367" s="75"/>
      <c r="U2367" s="72"/>
      <c r="V2367" s="73"/>
      <c r="W2367" s="70"/>
      <c r="X2367" s="74"/>
      <c r="Y2367" s="75"/>
      <c r="Z2367" s="75"/>
    </row>
    <row r="2368" spans="1:26" x14ac:dyDescent="0.3">
      <c r="A2368" s="72"/>
      <c r="B2368" s="73"/>
      <c r="C2368" s="70"/>
      <c r="D2368" s="74"/>
      <c r="E2368" s="75"/>
      <c r="F2368" s="75"/>
      <c r="K2368" s="72"/>
      <c r="L2368" s="73"/>
      <c r="M2368" s="70"/>
      <c r="N2368" s="74"/>
      <c r="O2368" s="75"/>
      <c r="P2368" s="75"/>
      <c r="U2368" s="72"/>
      <c r="V2368" s="73"/>
      <c r="W2368" s="70"/>
      <c r="X2368" s="74"/>
      <c r="Y2368" s="75"/>
      <c r="Z2368" s="75"/>
    </row>
    <row r="2369" spans="1:26" x14ac:dyDescent="0.3">
      <c r="A2369" s="72"/>
      <c r="B2369" s="73"/>
      <c r="C2369" s="70"/>
      <c r="D2369" s="74"/>
      <c r="E2369" s="75"/>
      <c r="F2369" s="75"/>
      <c r="K2369" s="72"/>
      <c r="L2369" s="73"/>
      <c r="M2369" s="70"/>
      <c r="N2369" s="74"/>
      <c r="O2369" s="75"/>
      <c r="P2369" s="75"/>
      <c r="U2369" s="72"/>
      <c r="V2369" s="73"/>
      <c r="W2369" s="70"/>
      <c r="X2369" s="74"/>
      <c r="Y2369" s="75"/>
      <c r="Z2369" s="75"/>
    </row>
    <row r="2370" spans="1:26" x14ac:dyDescent="0.3">
      <c r="A2370" s="72"/>
      <c r="B2370" s="73"/>
      <c r="C2370" s="70"/>
      <c r="D2370" s="74"/>
      <c r="E2370" s="75"/>
      <c r="F2370" s="75"/>
      <c r="K2370" s="72"/>
      <c r="L2370" s="73"/>
      <c r="M2370" s="70"/>
      <c r="N2370" s="74"/>
      <c r="O2370" s="75"/>
      <c r="P2370" s="75"/>
      <c r="U2370" s="72"/>
      <c r="V2370" s="73"/>
      <c r="W2370" s="70"/>
      <c r="X2370" s="74"/>
      <c r="Y2370" s="75"/>
      <c r="Z2370" s="75"/>
    </row>
    <row r="2371" spans="1:26" x14ac:dyDescent="0.3">
      <c r="A2371" s="72"/>
      <c r="B2371" s="73"/>
      <c r="C2371" s="70"/>
      <c r="D2371" s="74"/>
      <c r="E2371" s="75"/>
      <c r="F2371" s="75"/>
      <c r="K2371" s="72"/>
      <c r="L2371" s="73"/>
      <c r="M2371" s="70"/>
      <c r="N2371" s="74"/>
      <c r="O2371" s="75"/>
      <c r="P2371" s="75"/>
      <c r="U2371" s="72"/>
      <c r="V2371" s="73"/>
      <c r="W2371" s="70"/>
      <c r="X2371" s="74"/>
      <c r="Y2371" s="75"/>
      <c r="Z2371" s="75"/>
    </row>
    <row r="2372" spans="1:26" x14ac:dyDescent="0.3">
      <c r="A2372" s="72"/>
      <c r="B2372" s="73"/>
      <c r="C2372" s="70"/>
      <c r="D2372" s="74"/>
      <c r="E2372" s="75"/>
      <c r="F2372" s="75"/>
      <c r="K2372" s="72"/>
      <c r="L2372" s="73"/>
      <c r="M2372" s="70"/>
      <c r="N2372" s="74"/>
      <c r="O2372" s="75"/>
      <c r="P2372" s="75"/>
      <c r="U2372" s="72"/>
      <c r="V2372" s="73"/>
      <c r="W2372" s="70"/>
      <c r="X2372" s="74"/>
      <c r="Y2372" s="75"/>
      <c r="Z2372" s="75"/>
    </row>
    <row r="2373" spans="1:26" x14ac:dyDescent="0.3">
      <c r="A2373" s="72"/>
      <c r="B2373" s="73"/>
      <c r="C2373" s="70"/>
      <c r="D2373" s="74"/>
      <c r="E2373" s="75"/>
      <c r="F2373" s="75"/>
      <c r="K2373" s="72"/>
      <c r="L2373" s="73"/>
      <c r="M2373" s="70"/>
      <c r="N2373" s="74"/>
      <c r="O2373" s="75"/>
      <c r="P2373" s="75"/>
      <c r="U2373" s="72"/>
      <c r="V2373" s="73"/>
      <c r="W2373" s="70"/>
      <c r="X2373" s="74"/>
      <c r="Y2373" s="75"/>
      <c r="Z2373" s="75"/>
    </row>
    <row r="2374" spans="1:26" x14ac:dyDescent="0.3">
      <c r="A2374" s="72"/>
      <c r="B2374" s="73"/>
      <c r="C2374" s="70"/>
      <c r="D2374" s="74"/>
      <c r="E2374" s="75"/>
      <c r="F2374" s="75"/>
      <c r="K2374" s="72"/>
      <c r="L2374" s="73"/>
      <c r="M2374" s="70"/>
      <c r="N2374" s="74"/>
      <c r="O2374" s="75"/>
      <c r="P2374" s="75"/>
      <c r="U2374" s="72"/>
      <c r="V2374" s="73"/>
      <c r="W2374" s="70"/>
      <c r="X2374" s="74"/>
      <c r="Y2374" s="75"/>
      <c r="Z2374" s="75"/>
    </row>
    <row r="2375" spans="1:26" x14ac:dyDescent="0.3">
      <c r="A2375" s="72"/>
      <c r="B2375" s="73"/>
      <c r="C2375" s="70"/>
      <c r="D2375" s="74"/>
      <c r="E2375" s="75"/>
      <c r="F2375" s="75"/>
      <c r="K2375" s="72"/>
      <c r="L2375" s="73"/>
      <c r="M2375" s="70"/>
      <c r="N2375" s="74"/>
      <c r="O2375" s="75"/>
      <c r="P2375" s="75"/>
      <c r="U2375" s="72"/>
      <c r="V2375" s="73"/>
      <c r="W2375" s="70"/>
      <c r="X2375" s="74"/>
      <c r="Y2375" s="75"/>
      <c r="Z2375" s="75"/>
    </row>
    <row r="2376" spans="1:26" x14ac:dyDescent="0.3">
      <c r="A2376" s="72"/>
      <c r="B2376" s="73"/>
      <c r="C2376" s="70"/>
      <c r="D2376" s="74"/>
      <c r="E2376" s="75"/>
      <c r="F2376" s="75"/>
      <c r="K2376" s="72"/>
      <c r="L2376" s="73"/>
      <c r="M2376" s="70"/>
      <c r="N2376" s="74"/>
      <c r="O2376" s="75"/>
      <c r="P2376" s="75"/>
      <c r="U2376" s="72"/>
      <c r="V2376" s="73"/>
      <c r="W2376" s="70"/>
      <c r="X2376" s="74"/>
      <c r="Y2376" s="75"/>
      <c r="Z2376" s="75"/>
    </row>
    <row r="2377" spans="1:26" x14ac:dyDescent="0.3">
      <c r="A2377" s="72"/>
      <c r="B2377" s="73"/>
      <c r="C2377" s="70"/>
      <c r="D2377" s="74"/>
      <c r="E2377" s="75"/>
      <c r="F2377" s="75"/>
      <c r="K2377" s="72"/>
      <c r="L2377" s="73"/>
      <c r="M2377" s="70"/>
      <c r="N2377" s="74"/>
      <c r="O2377" s="75"/>
      <c r="P2377" s="75"/>
      <c r="U2377" s="72"/>
      <c r="V2377" s="73"/>
      <c r="W2377" s="70"/>
      <c r="X2377" s="74"/>
      <c r="Y2377" s="75"/>
      <c r="Z2377" s="75"/>
    </row>
    <row r="2378" spans="1:26" x14ac:dyDescent="0.3">
      <c r="A2378" s="72"/>
      <c r="B2378" s="73"/>
      <c r="C2378" s="70"/>
      <c r="D2378" s="74"/>
      <c r="E2378" s="75"/>
      <c r="F2378" s="75"/>
      <c r="K2378" s="72"/>
      <c r="L2378" s="73"/>
      <c r="M2378" s="70"/>
      <c r="N2378" s="74"/>
      <c r="O2378" s="75"/>
      <c r="P2378" s="75"/>
      <c r="U2378" s="72"/>
      <c r="V2378" s="73"/>
      <c r="W2378" s="70"/>
      <c r="X2378" s="74"/>
      <c r="Y2378" s="75"/>
      <c r="Z2378" s="75"/>
    </row>
    <row r="2379" spans="1:26" x14ac:dyDescent="0.3">
      <c r="A2379" s="72"/>
      <c r="B2379" s="73"/>
      <c r="C2379" s="70"/>
      <c r="D2379" s="74"/>
      <c r="E2379" s="75"/>
      <c r="F2379" s="75"/>
      <c r="K2379" s="72"/>
      <c r="L2379" s="73"/>
      <c r="M2379" s="70"/>
      <c r="N2379" s="74"/>
      <c r="O2379" s="75"/>
      <c r="P2379" s="75"/>
      <c r="U2379" s="72"/>
      <c r="V2379" s="73"/>
      <c r="W2379" s="70"/>
      <c r="X2379" s="74"/>
      <c r="Y2379" s="75"/>
      <c r="Z2379" s="75"/>
    </row>
    <row r="2380" spans="1:26" x14ac:dyDescent="0.3">
      <c r="A2380" s="72"/>
      <c r="B2380" s="73"/>
      <c r="C2380" s="70"/>
      <c r="D2380" s="74"/>
      <c r="E2380" s="75"/>
      <c r="F2380" s="75"/>
      <c r="K2380" s="72"/>
      <c r="L2380" s="73"/>
      <c r="M2380" s="70"/>
      <c r="N2380" s="74"/>
      <c r="O2380" s="75"/>
      <c r="P2380" s="75"/>
      <c r="U2380" s="72"/>
      <c r="V2380" s="73"/>
      <c r="W2380" s="70"/>
      <c r="X2380" s="74"/>
      <c r="Y2380" s="75"/>
      <c r="Z2380" s="75"/>
    </row>
    <row r="2381" spans="1:26" x14ac:dyDescent="0.3">
      <c r="A2381" s="72"/>
      <c r="B2381" s="73"/>
      <c r="C2381" s="70"/>
      <c r="D2381" s="74"/>
      <c r="E2381" s="75"/>
      <c r="F2381" s="75"/>
      <c r="K2381" s="72"/>
      <c r="L2381" s="73"/>
      <c r="M2381" s="70"/>
      <c r="N2381" s="74"/>
      <c r="O2381" s="75"/>
      <c r="P2381" s="75"/>
      <c r="U2381" s="72"/>
      <c r="V2381" s="73"/>
      <c r="W2381" s="70"/>
      <c r="X2381" s="74"/>
      <c r="Y2381" s="75"/>
      <c r="Z2381" s="75"/>
    </row>
    <row r="2382" spans="1:26" x14ac:dyDescent="0.3">
      <c r="A2382" s="72"/>
      <c r="B2382" s="73"/>
      <c r="C2382" s="70"/>
      <c r="D2382" s="74"/>
      <c r="E2382" s="75"/>
      <c r="F2382" s="75"/>
      <c r="K2382" s="72"/>
      <c r="L2382" s="73"/>
      <c r="M2382" s="70"/>
      <c r="N2382" s="74"/>
      <c r="O2382" s="75"/>
      <c r="P2382" s="75"/>
      <c r="U2382" s="72"/>
      <c r="V2382" s="73"/>
      <c r="W2382" s="70"/>
      <c r="X2382" s="74"/>
      <c r="Y2382" s="75"/>
      <c r="Z2382" s="75"/>
    </row>
    <row r="2383" spans="1:26" x14ac:dyDescent="0.3">
      <c r="A2383" s="72"/>
      <c r="B2383" s="73"/>
      <c r="C2383" s="70"/>
      <c r="D2383" s="74"/>
      <c r="E2383" s="75"/>
      <c r="F2383" s="75"/>
      <c r="K2383" s="72"/>
      <c r="L2383" s="73"/>
      <c r="M2383" s="70"/>
      <c r="N2383" s="74"/>
      <c r="O2383" s="75"/>
      <c r="P2383" s="75"/>
      <c r="U2383" s="72"/>
      <c r="V2383" s="73"/>
      <c r="W2383" s="70"/>
      <c r="X2383" s="74"/>
      <c r="Y2383" s="75"/>
      <c r="Z2383" s="75"/>
    </row>
    <row r="2384" spans="1:26" x14ac:dyDescent="0.3">
      <c r="A2384" s="72"/>
      <c r="B2384" s="73"/>
      <c r="C2384" s="70"/>
      <c r="D2384" s="74"/>
      <c r="E2384" s="75"/>
      <c r="F2384" s="75"/>
      <c r="K2384" s="72"/>
      <c r="L2384" s="73"/>
      <c r="M2384" s="70"/>
      <c r="N2384" s="74"/>
      <c r="O2384" s="75"/>
      <c r="P2384" s="75"/>
      <c r="U2384" s="72"/>
      <c r="V2384" s="73"/>
      <c r="W2384" s="70"/>
      <c r="X2384" s="74"/>
      <c r="Y2384" s="75"/>
      <c r="Z2384" s="75"/>
    </row>
    <row r="2385" spans="1:26" x14ac:dyDescent="0.3">
      <c r="A2385" s="72"/>
      <c r="B2385" s="73"/>
      <c r="C2385" s="70"/>
      <c r="D2385" s="74"/>
      <c r="E2385" s="75"/>
      <c r="F2385" s="75"/>
      <c r="K2385" s="72"/>
      <c r="L2385" s="73"/>
      <c r="M2385" s="70"/>
      <c r="N2385" s="74"/>
      <c r="O2385" s="75"/>
      <c r="P2385" s="75"/>
      <c r="U2385" s="72"/>
      <c r="V2385" s="73"/>
      <c r="W2385" s="70"/>
      <c r="X2385" s="74"/>
      <c r="Y2385" s="75"/>
      <c r="Z2385" s="75"/>
    </row>
    <row r="2386" spans="1:26" x14ac:dyDescent="0.3">
      <c r="A2386" s="72"/>
      <c r="B2386" s="73"/>
      <c r="C2386" s="70"/>
      <c r="D2386" s="74"/>
      <c r="E2386" s="75"/>
      <c r="F2386" s="75"/>
      <c r="K2386" s="72"/>
      <c r="L2386" s="73"/>
      <c r="M2386" s="70"/>
      <c r="N2386" s="74"/>
      <c r="O2386" s="75"/>
      <c r="P2386" s="75"/>
      <c r="U2386" s="72"/>
      <c r="V2386" s="73"/>
      <c r="W2386" s="70"/>
      <c r="X2386" s="74"/>
      <c r="Y2386" s="75"/>
      <c r="Z2386" s="75"/>
    </row>
    <row r="2387" spans="1:26" x14ac:dyDescent="0.3">
      <c r="A2387" s="72"/>
      <c r="B2387" s="73"/>
      <c r="C2387" s="70"/>
      <c r="D2387" s="74"/>
      <c r="E2387" s="75"/>
      <c r="F2387" s="75"/>
      <c r="K2387" s="72"/>
      <c r="L2387" s="73"/>
      <c r="M2387" s="70"/>
      <c r="N2387" s="74"/>
      <c r="O2387" s="75"/>
      <c r="P2387" s="75"/>
      <c r="U2387" s="72"/>
      <c r="V2387" s="73"/>
      <c r="W2387" s="70"/>
      <c r="X2387" s="74"/>
      <c r="Y2387" s="75"/>
      <c r="Z2387" s="75"/>
    </row>
    <row r="2388" spans="1:26" x14ac:dyDescent="0.3">
      <c r="A2388" s="72"/>
      <c r="B2388" s="73"/>
      <c r="C2388" s="70"/>
      <c r="D2388" s="74"/>
      <c r="E2388" s="75"/>
      <c r="F2388" s="75"/>
      <c r="K2388" s="72"/>
      <c r="L2388" s="73"/>
      <c r="M2388" s="70"/>
      <c r="N2388" s="74"/>
      <c r="O2388" s="75"/>
      <c r="P2388" s="75"/>
      <c r="U2388" s="72"/>
      <c r="V2388" s="73"/>
      <c r="W2388" s="70"/>
      <c r="X2388" s="74"/>
      <c r="Y2388" s="75"/>
      <c r="Z2388" s="75"/>
    </row>
    <row r="2389" spans="1:26" x14ac:dyDescent="0.3">
      <c r="A2389" s="72"/>
      <c r="B2389" s="73"/>
      <c r="C2389" s="70"/>
      <c r="D2389" s="74"/>
      <c r="E2389" s="75"/>
      <c r="F2389" s="75"/>
      <c r="K2389" s="72"/>
      <c r="L2389" s="73"/>
      <c r="M2389" s="70"/>
      <c r="N2389" s="74"/>
      <c r="O2389" s="75"/>
      <c r="P2389" s="75"/>
      <c r="U2389" s="72"/>
      <c r="V2389" s="73"/>
      <c r="W2389" s="70"/>
      <c r="X2389" s="74"/>
      <c r="Y2389" s="75"/>
      <c r="Z2389" s="75"/>
    </row>
    <row r="2390" spans="1:26" x14ac:dyDescent="0.3">
      <c r="A2390" s="72"/>
      <c r="B2390" s="73"/>
      <c r="C2390" s="70"/>
      <c r="D2390" s="74"/>
      <c r="E2390" s="75"/>
      <c r="F2390" s="75"/>
      <c r="K2390" s="72"/>
      <c r="L2390" s="73"/>
      <c r="M2390" s="70"/>
      <c r="N2390" s="74"/>
      <c r="O2390" s="75"/>
      <c r="P2390" s="75"/>
      <c r="U2390" s="72"/>
      <c r="V2390" s="73"/>
      <c r="W2390" s="70"/>
      <c r="X2390" s="74"/>
      <c r="Y2390" s="75"/>
      <c r="Z2390" s="75"/>
    </row>
    <row r="2391" spans="1:26" x14ac:dyDescent="0.3">
      <c r="A2391" s="72"/>
      <c r="B2391" s="73"/>
      <c r="C2391" s="70"/>
      <c r="D2391" s="74"/>
      <c r="E2391" s="75"/>
      <c r="F2391" s="75"/>
      <c r="K2391" s="72"/>
      <c r="L2391" s="73"/>
      <c r="M2391" s="70"/>
      <c r="N2391" s="74"/>
      <c r="O2391" s="75"/>
      <c r="P2391" s="75"/>
      <c r="U2391" s="72"/>
      <c r="V2391" s="73"/>
      <c r="W2391" s="70"/>
      <c r="X2391" s="74"/>
      <c r="Y2391" s="75"/>
      <c r="Z2391" s="75"/>
    </row>
    <row r="2392" spans="1:26" x14ac:dyDescent="0.3">
      <c r="A2392" s="72"/>
      <c r="B2392" s="73"/>
      <c r="C2392" s="70"/>
      <c r="D2392" s="74"/>
      <c r="E2392" s="75"/>
      <c r="F2392" s="75"/>
      <c r="K2392" s="72"/>
      <c r="L2392" s="73"/>
      <c r="M2392" s="70"/>
      <c r="N2392" s="74"/>
      <c r="O2392" s="75"/>
      <c r="P2392" s="75"/>
      <c r="U2392" s="72"/>
      <c r="V2392" s="73"/>
      <c r="W2392" s="70"/>
      <c r="X2392" s="74"/>
      <c r="Y2392" s="75"/>
      <c r="Z2392" s="75"/>
    </row>
    <row r="2393" spans="1:26" x14ac:dyDescent="0.3">
      <c r="A2393" s="72"/>
      <c r="B2393" s="73"/>
      <c r="C2393" s="70"/>
      <c r="D2393" s="74"/>
      <c r="E2393" s="75"/>
      <c r="F2393" s="75"/>
      <c r="K2393" s="72"/>
      <c r="L2393" s="73"/>
      <c r="M2393" s="70"/>
      <c r="N2393" s="74"/>
      <c r="O2393" s="75"/>
      <c r="P2393" s="75"/>
      <c r="U2393" s="72"/>
      <c r="V2393" s="73"/>
      <c r="W2393" s="70"/>
      <c r="X2393" s="74"/>
      <c r="Y2393" s="75"/>
      <c r="Z2393" s="75"/>
    </row>
    <row r="2394" spans="1:26" x14ac:dyDescent="0.3">
      <c r="A2394" s="72"/>
      <c r="B2394" s="73"/>
      <c r="C2394" s="70"/>
      <c r="D2394" s="74"/>
      <c r="E2394" s="75"/>
      <c r="F2394" s="75"/>
      <c r="K2394" s="72"/>
      <c r="L2394" s="73"/>
      <c r="M2394" s="70"/>
      <c r="N2394" s="74"/>
      <c r="O2394" s="75"/>
      <c r="P2394" s="75"/>
      <c r="U2394" s="72"/>
      <c r="V2394" s="73"/>
      <c r="W2394" s="70"/>
      <c r="X2394" s="74"/>
      <c r="Y2394" s="75"/>
      <c r="Z2394" s="75"/>
    </row>
    <row r="2395" spans="1:26" x14ac:dyDescent="0.3">
      <c r="A2395" s="72"/>
      <c r="B2395" s="73"/>
      <c r="C2395" s="70"/>
      <c r="D2395" s="74"/>
      <c r="E2395" s="75"/>
      <c r="F2395" s="75"/>
      <c r="K2395" s="72"/>
      <c r="L2395" s="73"/>
      <c r="M2395" s="70"/>
      <c r="N2395" s="74"/>
      <c r="O2395" s="75"/>
      <c r="P2395" s="75"/>
      <c r="U2395" s="72"/>
      <c r="V2395" s="73"/>
      <c r="W2395" s="70"/>
      <c r="X2395" s="74"/>
      <c r="Y2395" s="75"/>
      <c r="Z2395" s="75"/>
    </row>
    <row r="2396" spans="1:26" x14ac:dyDescent="0.3">
      <c r="A2396" s="72"/>
      <c r="B2396" s="73"/>
      <c r="C2396" s="70"/>
      <c r="D2396" s="74"/>
      <c r="E2396" s="75"/>
      <c r="F2396" s="75"/>
      <c r="K2396" s="72"/>
      <c r="L2396" s="73"/>
      <c r="M2396" s="70"/>
      <c r="N2396" s="74"/>
      <c r="O2396" s="75"/>
      <c r="P2396" s="75"/>
      <c r="U2396" s="72"/>
      <c r="V2396" s="73"/>
      <c r="W2396" s="70"/>
      <c r="X2396" s="74"/>
      <c r="Y2396" s="75"/>
      <c r="Z2396" s="75"/>
    </row>
    <row r="2397" spans="1:26" x14ac:dyDescent="0.3">
      <c r="A2397" s="72"/>
      <c r="B2397" s="73"/>
      <c r="C2397" s="70"/>
      <c r="D2397" s="74"/>
      <c r="E2397" s="75"/>
      <c r="F2397" s="75"/>
      <c r="K2397" s="72"/>
      <c r="L2397" s="73"/>
      <c r="M2397" s="70"/>
      <c r="N2397" s="74"/>
      <c r="O2397" s="75"/>
      <c r="P2397" s="75"/>
      <c r="U2397" s="72"/>
      <c r="V2397" s="73"/>
      <c r="W2397" s="70"/>
      <c r="X2397" s="74"/>
      <c r="Y2397" s="75"/>
      <c r="Z2397" s="75"/>
    </row>
    <row r="2398" spans="1:26" x14ac:dyDescent="0.3">
      <c r="A2398" s="72"/>
      <c r="B2398" s="73"/>
      <c r="C2398" s="70"/>
      <c r="D2398" s="74"/>
      <c r="E2398" s="75"/>
      <c r="F2398" s="75"/>
      <c r="K2398" s="72"/>
      <c r="L2398" s="73"/>
      <c r="M2398" s="70"/>
      <c r="N2398" s="74"/>
      <c r="O2398" s="75"/>
      <c r="P2398" s="75"/>
      <c r="U2398" s="72"/>
      <c r="V2398" s="73"/>
      <c r="W2398" s="70"/>
      <c r="X2398" s="74"/>
      <c r="Y2398" s="75"/>
      <c r="Z2398" s="75"/>
    </row>
    <row r="2399" spans="1:26" x14ac:dyDescent="0.3">
      <c r="A2399" s="72"/>
      <c r="B2399" s="73"/>
      <c r="C2399" s="70"/>
      <c r="D2399" s="74"/>
      <c r="E2399" s="75"/>
      <c r="F2399" s="75"/>
      <c r="K2399" s="72"/>
      <c r="L2399" s="73"/>
      <c r="M2399" s="70"/>
      <c r="N2399" s="74"/>
      <c r="O2399" s="75"/>
      <c r="P2399" s="75"/>
      <c r="U2399" s="72"/>
      <c r="V2399" s="73"/>
      <c r="W2399" s="70"/>
      <c r="X2399" s="74"/>
      <c r="Y2399" s="75"/>
      <c r="Z2399" s="75"/>
    </row>
    <row r="2400" spans="1:26" x14ac:dyDescent="0.3">
      <c r="A2400" s="72"/>
      <c r="B2400" s="73"/>
      <c r="C2400" s="70"/>
      <c r="D2400" s="74"/>
      <c r="E2400" s="75"/>
      <c r="F2400" s="75"/>
      <c r="K2400" s="72"/>
      <c r="L2400" s="73"/>
      <c r="M2400" s="70"/>
      <c r="N2400" s="74"/>
      <c r="O2400" s="75"/>
      <c r="P2400" s="75"/>
      <c r="U2400" s="72"/>
      <c r="V2400" s="73"/>
      <c r="W2400" s="70"/>
      <c r="X2400" s="74"/>
      <c r="Y2400" s="75"/>
      <c r="Z2400" s="75"/>
    </row>
    <row r="2401" spans="1:26" x14ac:dyDescent="0.3">
      <c r="A2401" s="72"/>
      <c r="B2401" s="73"/>
      <c r="C2401" s="70"/>
      <c r="D2401" s="74"/>
      <c r="E2401" s="75"/>
      <c r="F2401" s="75"/>
      <c r="K2401" s="72"/>
      <c r="L2401" s="73"/>
      <c r="M2401" s="70"/>
      <c r="N2401" s="74"/>
      <c r="O2401" s="75"/>
      <c r="P2401" s="75"/>
      <c r="U2401" s="72"/>
      <c r="V2401" s="73"/>
      <c r="W2401" s="70"/>
      <c r="X2401" s="74"/>
      <c r="Y2401" s="75"/>
      <c r="Z2401" s="75"/>
    </row>
    <row r="2402" spans="1:26" x14ac:dyDescent="0.3">
      <c r="A2402" s="72"/>
      <c r="B2402" s="73"/>
      <c r="C2402" s="70"/>
      <c r="D2402" s="74"/>
      <c r="E2402" s="75"/>
      <c r="F2402" s="75"/>
      <c r="K2402" s="72"/>
      <c r="L2402" s="73"/>
      <c r="M2402" s="70"/>
      <c r="N2402" s="74"/>
      <c r="O2402" s="75"/>
      <c r="P2402" s="75"/>
      <c r="U2402" s="72"/>
      <c r="V2402" s="73"/>
      <c r="W2402" s="70"/>
      <c r="X2402" s="74"/>
      <c r="Y2402" s="75"/>
      <c r="Z2402" s="75"/>
    </row>
    <row r="2403" spans="1:26" x14ac:dyDescent="0.3">
      <c r="A2403" s="72"/>
      <c r="B2403" s="73"/>
      <c r="C2403" s="70"/>
      <c r="D2403" s="74"/>
      <c r="E2403" s="75"/>
      <c r="F2403" s="75"/>
      <c r="K2403" s="72"/>
      <c r="L2403" s="73"/>
      <c r="M2403" s="70"/>
      <c r="N2403" s="74"/>
      <c r="O2403" s="75"/>
      <c r="P2403" s="75"/>
      <c r="U2403" s="72"/>
      <c r="V2403" s="73"/>
      <c r="W2403" s="70"/>
      <c r="X2403" s="74"/>
      <c r="Y2403" s="75"/>
      <c r="Z2403" s="75"/>
    </row>
    <row r="2404" spans="1:26" x14ac:dyDescent="0.3">
      <c r="A2404" s="72"/>
      <c r="B2404" s="73"/>
      <c r="C2404" s="70"/>
      <c r="D2404" s="74"/>
      <c r="E2404" s="75"/>
      <c r="F2404" s="75"/>
      <c r="K2404" s="72"/>
      <c r="L2404" s="73"/>
      <c r="M2404" s="70"/>
      <c r="N2404" s="74"/>
      <c r="O2404" s="75"/>
      <c r="P2404" s="75"/>
      <c r="U2404" s="72"/>
      <c r="V2404" s="73"/>
      <c r="W2404" s="70"/>
      <c r="X2404" s="74"/>
      <c r="Y2404" s="75"/>
      <c r="Z2404" s="75"/>
    </row>
    <row r="2405" spans="1:26" x14ac:dyDescent="0.3">
      <c r="A2405" s="72"/>
      <c r="B2405" s="73"/>
      <c r="C2405" s="70"/>
      <c r="D2405" s="74"/>
      <c r="E2405" s="75"/>
      <c r="F2405" s="75"/>
      <c r="K2405" s="72"/>
      <c r="L2405" s="73"/>
      <c r="M2405" s="70"/>
      <c r="N2405" s="74"/>
      <c r="O2405" s="75"/>
      <c r="P2405" s="75"/>
      <c r="U2405" s="72"/>
      <c r="V2405" s="73"/>
      <c r="W2405" s="70"/>
      <c r="X2405" s="74"/>
      <c r="Y2405" s="75"/>
      <c r="Z2405" s="75"/>
    </row>
    <row r="2406" spans="1:26" x14ac:dyDescent="0.3">
      <c r="A2406" s="72"/>
      <c r="B2406" s="73"/>
      <c r="C2406" s="70"/>
      <c r="D2406" s="74"/>
      <c r="E2406" s="75"/>
      <c r="F2406" s="75"/>
      <c r="K2406" s="72"/>
      <c r="L2406" s="73"/>
      <c r="M2406" s="70"/>
      <c r="N2406" s="74"/>
      <c r="O2406" s="75"/>
      <c r="P2406" s="75"/>
      <c r="U2406" s="72"/>
      <c r="V2406" s="73"/>
      <c r="W2406" s="70"/>
      <c r="X2406" s="74"/>
      <c r="Y2406" s="75"/>
      <c r="Z2406" s="75"/>
    </row>
    <row r="2407" spans="1:26" x14ac:dyDescent="0.3">
      <c r="A2407" s="72"/>
      <c r="B2407" s="73"/>
      <c r="C2407" s="70"/>
      <c r="D2407" s="74"/>
      <c r="E2407" s="75"/>
      <c r="F2407" s="75"/>
      <c r="K2407" s="72"/>
      <c r="L2407" s="73"/>
      <c r="M2407" s="70"/>
      <c r="N2407" s="74"/>
      <c r="O2407" s="75"/>
      <c r="P2407" s="75"/>
      <c r="U2407" s="72"/>
      <c r="V2407" s="73"/>
      <c r="W2407" s="70"/>
      <c r="X2407" s="74"/>
      <c r="Y2407" s="75"/>
      <c r="Z2407" s="75"/>
    </row>
    <row r="2408" spans="1:26" x14ac:dyDescent="0.3">
      <c r="A2408" s="72"/>
      <c r="B2408" s="73"/>
      <c r="C2408" s="70"/>
      <c r="D2408" s="74"/>
      <c r="E2408" s="75"/>
      <c r="F2408" s="75"/>
      <c r="K2408" s="72"/>
      <c r="L2408" s="73"/>
      <c r="M2408" s="70"/>
      <c r="N2408" s="74"/>
      <c r="O2408" s="75"/>
      <c r="P2408" s="75"/>
      <c r="U2408" s="72"/>
      <c r="V2408" s="73"/>
      <c r="W2408" s="70"/>
      <c r="X2408" s="74"/>
      <c r="Y2408" s="75"/>
      <c r="Z2408" s="75"/>
    </row>
    <row r="2409" spans="1:26" x14ac:dyDescent="0.3">
      <c r="A2409" s="72"/>
      <c r="B2409" s="73"/>
      <c r="C2409" s="70"/>
      <c r="D2409" s="74"/>
      <c r="E2409" s="75"/>
      <c r="F2409" s="75"/>
      <c r="K2409" s="72"/>
      <c r="L2409" s="73"/>
      <c r="M2409" s="70"/>
      <c r="N2409" s="74"/>
      <c r="O2409" s="75"/>
      <c r="P2409" s="75"/>
      <c r="U2409" s="72"/>
      <c r="V2409" s="73"/>
      <c r="W2409" s="70"/>
      <c r="X2409" s="74"/>
      <c r="Y2409" s="75"/>
      <c r="Z2409" s="75"/>
    </row>
    <row r="2410" spans="1:26" x14ac:dyDescent="0.3">
      <c r="A2410" s="72"/>
      <c r="B2410" s="73"/>
      <c r="C2410" s="70"/>
      <c r="D2410" s="74"/>
      <c r="E2410" s="75"/>
      <c r="F2410" s="75"/>
      <c r="K2410" s="72"/>
      <c r="L2410" s="73"/>
      <c r="M2410" s="70"/>
      <c r="N2410" s="74"/>
      <c r="O2410" s="75"/>
      <c r="P2410" s="75"/>
      <c r="U2410" s="72"/>
      <c r="V2410" s="73"/>
      <c r="W2410" s="70"/>
      <c r="X2410" s="74"/>
      <c r="Y2410" s="75"/>
      <c r="Z2410" s="75"/>
    </row>
    <row r="2411" spans="1:26" x14ac:dyDescent="0.3">
      <c r="A2411" s="72"/>
      <c r="B2411" s="73"/>
      <c r="C2411" s="70"/>
      <c r="D2411" s="74"/>
      <c r="E2411" s="75"/>
      <c r="F2411" s="75"/>
      <c r="K2411" s="72"/>
      <c r="L2411" s="73"/>
      <c r="M2411" s="70"/>
      <c r="N2411" s="74"/>
      <c r="O2411" s="75"/>
      <c r="P2411" s="75"/>
      <c r="U2411" s="72"/>
      <c r="V2411" s="73"/>
      <c r="W2411" s="70"/>
      <c r="X2411" s="74"/>
      <c r="Y2411" s="75"/>
      <c r="Z2411" s="75"/>
    </row>
    <row r="2412" spans="1:26" x14ac:dyDescent="0.3">
      <c r="A2412" s="72"/>
      <c r="B2412" s="73"/>
      <c r="C2412" s="70"/>
      <c r="D2412" s="74"/>
      <c r="E2412" s="75"/>
      <c r="F2412" s="75"/>
      <c r="K2412" s="72"/>
      <c r="L2412" s="73"/>
      <c r="M2412" s="70"/>
      <c r="N2412" s="74"/>
      <c r="O2412" s="75"/>
      <c r="P2412" s="75"/>
      <c r="U2412" s="72"/>
      <c r="V2412" s="73"/>
      <c r="W2412" s="70"/>
      <c r="X2412" s="74"/>
      <c r="Y2412" s="75"/>
      <c r="Z2412" s="75"/>
    </row>
    <row r="2413" spans="1:26" x14ac:dyDescent="0.3">
      <c r="A2413" s="72"/>
      <c r="B2413" s="73"/>
      <c r="C2413" s="70"/>
      <c r="D2413" s="74"/>
      <c r="E2413" s="75"/>
      <c r="F2413" s="75"/>
      <c r="K2413" s="72"/>
      <c r="L2413" s="73"/>
      <c r="M2413" s="70"/>
      <c r="N2413" s="74"/>
      <c r="O2413" s="75"/>
      <c r="P2413" s="75"/>
      <c r="U2413" s="72"/>
      <c r="V2413" s="73"/>
      <c r="W2413" s="70"/>
      <c r="X2413" s="74"/>
      <c r="Y2413" s="75"/>
      <c r="Z2413" s="75"/>
    </row>
    <row r="2414" spans="1:26" x14ac:dyDescent="0.3">
      <c r="A2414" s="72"/>
      <c r="B2414" s="73"/>
      <c r="C2414" s="70"/>
      <c r="D2414" s="74"/>
      <c r="E2414" s="75"/>
      <c r="F2414" s="75"/>
      <c r="K2414" s="72"/>
      <c r="L2414" s="73"/>
      <c r="M2414" s="70"/>
      <c r="N2414" s="74"/>
      <c r="O2414" s="75"/>
      <c r="P2414" s="75"/>
      <c r="U2414" s="72"/>
      <c r="V2414" s="73"/>
      <c r="W2414" s="70"/>
      <c r="X2414" s="74"/>
      <c r="Y2414" s="75"/>
      <c r="Z2414" s="75"/>
    </row>
    <row r="2415" spans="1:26" x14ac:dyDescent="0.3">
      <c r="A2415" s="72"/>
      <c r="B2415" s="73"/>
      <c r="C2415" s="70"/>
      <c r="D2415" s="74"/>
      <c r="E2415" s="75"/>
      <c r="F2415" s="75"/>
      <c r="K2415" s="72"/>
      <c r="L2415" s="73"/>
      <c r="M2415" s="70"/>
      <c r="N2415" s="74"/>
      <c r="O2415" s="75"/>
      <c r="P2415" s="75"/>
      <c r="U2415" s="72"/>
      <c r="V2415" s="73"/>
      <c r="W2415" s="70"/>
      <c r="X2415" s="74"/>
      <c r="Y2415" s="75"/>
      <c r="Z2415" s="75"/>
    </row>
    <row r="2416" spans="1:26" x14ac:dyDescent="0.3">
      <c r="A2416" s="72"/>
      <c r="B2416" s="73"/>
      <c r="C2416" s="70"/>
      <c r="D2416" s="74"/>
      <c r="E2416" s="75"/>
      <c r="F2416" s="75"/>
      <c r="K2416" s="72"/>
      <c r="L2416" s="73"/>
      <c r="M2416" s="70"/>
      <c r="N2416" s="74"/>
      <c r="O2416" s="75"/>
      <c r="P2416" s="75"/>
      <c r="U2416" s="72"/>
      <c r="V2416" s="73"/>
      <c r="W2416" s="70"/>
      <c r="X2416" s="74"/>
      <c r="Y2416" s="75"/>
      <c r="Z2416" s="75"/>
    </row>
    <row r="2417" spans="1:26" x14ac:dyDescent="0.3">
      <c r="A2417" s="72"/>
      <c r="B2417" s="73"/>
      <c r="C2417" s="70"/>
      <c r="D2417" s="74"/>
      <c r="E2417" s="75"/>
      <c r="F2417" s="75"/>
      <c r="K2417" s="72"/>
      <c r="L2417" s="73"/>
      <c r="M2417" s="70"/>
      <c r="N2417" s="74"/>
      <c r="O2417" s="75"/>
      <c r="P2417" s="75"/>
      <c r="U2417" s="72"/>
      <c r="V2417" s="73"/>
      <c r="W2417" s="70"/>
      <c r="X2417" s="74"/>
      <c r="Y2417" s="75"/>
      <c r="Z2417" s="75"/>
    </row>
    <row r="2418" spans="1:26" x14ac:dyDescent="0.3">
      <c r="A2418" s="72"/>
      <c r="B2418" s="73"/>
      <c r="C2418" s="70"/>
      <c r="D2418" s="74"/>
      <c r="E2418" s="75"/>
      <c r="F2418" s="75"/>
      <c r="K2418" s="72"/>
      <c r="L2418" s="73"/>
      <c r="M2418" s="70"/>
      <c r="N2418" s="74"/>
      <c r="O2418" s="75"/>
      <c r="P2418" s="75"/>
      <c r="U2418" s="72"/>
      <c r="V2418" s="73"/>
      <c r="W2418" s="70"/>
      <c r="X2418" s="74"/>
      <c r="Y2418" s="75"/>
      <c r="Z2418" s="75"/>
    </row>
    <row r="2419" spans="1:26" x14ac:dyDescent="0.3">
      <c r="A2419" s="72"/>
      <c r="B2419" s="73"/>
      <c r="C2419" s="70"/>
      <c r="D2419" s="74"/>
      <c r="E2419" s="75"/>
      <c r="F2419" s="75"/>
      <c r="K2419" s="72"/>
      <c r="L2419" s="73"/>
      <c r="M2419" s="70"/>
      <c r="N2419" s="74"/>
      <c r="O2419" s="75"/>
      <c r="P2419" s="75"/>
      <c r="U2419" s="72"/>
      <c r="V2419" s="73"/>
      <c r="W2419" s="70"/>
      <c r="X2419" s="74"/>
      <c r="Y2419" s="75"/>
      <c r="Z2419" s="75"/>
    </row>
    <row r="2420" spans="1:26" x14ac:dyDescent="0.3">
      <c r="A2420" s="72"/>
      <c r="B2420" s="73"/>
      <c r="C2420" s="70"/>
      <c r="D2420" s="74"/>
      <c r="E2420" s="75"/>
      <c r="F2420" s="75"/>
      <c r="K2420" s="72"/>
      <c r="L2420" s="73"/>
      <c r="M2420" s="70"/>
      <c r="N2420" s="74"/>
      <c r="O2420" s="75"/>
      <c r="P2420" s="75"/>
      <c r="U2420" s="72"/>
      <c r="V2420" s="73"/>
      <c r="W2420" s="70"/>
      <c r="X2420" s="74"/>
      <c r="Y2420" s="75"/>
      <c r="Z2420" s="75"/>
    </row>
    <row r="2421" spans="1:26" x14ac:dyDescent="0.3">
      <c r="A2421" s="72"/>
      <c r="B2421" s="73"/>
      <c r="C2421" s="70"/>
      <c r="D2421" s="74"/>
      <c r="E2421" s="75"/>
      <c r="F2421" s="75"/>
      <c r="K2421" s="72"/>
      <c r="L2421" s="73"/>
      <c r="M2421" s="70"/>
      <c r="N2421" s="74"/>
      <c r="O2421" s="75"/>
      <c r="P2421" s="75"/>
      <c r="U2421" s="72"/>
      <c r="V2421" s="73"/>
      <c r="W2421" s="70"/>
      <c r="X2421" s="74"/>
      <c r="Y2421" s="75"/>
      <c r="Z2421" s="75"/>
    </row>
    <row r="2422" spans="1:26" x14ac:dyDescent="0.3">
      <c r="A2422" s="72"/>
      <c r="B2422" s="73"/>
      <c r="C2422" s="70"/>
      <c r="D2422" s="74"/>
      <c r="E2422" s="75"/>
      <c r="F2422" s="75"/>
      <c r="K2422" s="72"/>
      <c r="L2422" s="73"/>
      <c r="M2422" s="70"/>
      <c r="N2422" s="74"/>
      <c r="O2422" s="75"/>
      <c r="P2422" s="75"/>
      <c r="U2422" s="72"/>
      <c r="V2422" s="73"/>
      <c r="W2422" s="70"/>
      <c r="X2422" s="74"/>
      <c r="Y2422" s="75"/>
      <c r="Z2422" s="75"/>
    </row>
    <row r="2423" spans="1:26" x14ac:dyDescent="0.3">
      <c r="A2423" s="72"/>
      <c r="B2423" s="73"/>
      <c r="C2423" s="70"/>
      <c r="D2423" s="74"/>
      <c r="E2423" s="75"/>
      <c r="F2423" s="75"/>
      <c r="K2423" s="72"/>
      <c r="L2423" s="73"/>
      <c r="M2423" s="70"/>
      <c r="N2423" s="74"/>
      <c r="O2423" s="75"/>
      <c r="P2423" s="75"/>
      <c r="U2423" s="72"/>
      <c r="V2423" s="73"/>
      <c r="W2423" s="70"/>
      <c r="X2423" s="74"/>
      <c r="Y2423" s="75"/>
      <c r="Z2423" s="75"/>
    </row>
    <row r="2424" spans="1:26" x14ac:dyDescent="0.3">
      <c r="A2424" s="72"/>
      <c r="B2424" s="73"/>
      <c r="C2424" s="70"/>
      <c r="D2424" s="74"/>
      <c r="E2424" s="75"/>
      <c r="F2424" s="75"/>
      <c r="K2424" s="72"/>
      <c r="L2424" s="73"/>
      <c r="M2424" s="70"/>
      <c r="N2424" s="74"/>
      <c r="O2424" s="75"/>
      <c r="P2424" s="75"/>
      <c r="U2424" s="72"/>
      <c r="V2424" s="73"/>
      <c r="W2424" s="70"/>
      <c r="X2424" s="74"/>
      <c r="Y2424" s="75"/>
      <c r="Z2424" s="75"/>
    </row>
    <row r="2425" spans="1:26" x14ac:dyDescent="0.3">
      <c r="A2425" s="72"/>
      <c r="B2425" s="73"/>
      <c r="C2425" s="70"/>
      <c r="D2425" s="74"/>
      <c r="E2425" s="75"/>
      <c r="F2425" s="75"/>
      <c r="K2425" s="72"/>
      <c r="L2425" s="73"/>
      <c r="M2425" s="70"/>
      <c r="N2425" s="74"/>
      <c r="O2425" s="75"/>
      <c r="P2425" s="75"/>
      <c r="U2425" s="72"/>
      <c r="V2425" s="73"/>
      <c r="W2425" s="70"/>
      <c r="X2425" s="74"/>
      <c r="Y2425" s="75"/>
      <c r="Z2425" s="75"/>
    </row>
    <row r="2426" spans="1:26" x14ac:dyDescent="0.3">
      <c r="A2426" s="72"/>
      <c r="B2426" s="73"/>
      <c r="C2426" s="70"/>
      <c r="D2426" s="74"/>
      <c r="E2426" s="75"/>
      <c r="F2426" s="75"/>
      <c r="K2426" s="72"/>
      <c r="L2426" s="73"/>
      <c r="M2426" s="70"/>
      <c r="N2426" s="74"/>
      <c r="O2426" s="75"/>
      <c r="P2426" s="75"/>
      <c r="U2426" s="72"/>
      <c r="V2426" s="73"/>
      <c r="W2426" s="70"/>
      <c r="X2426" s="74"/>
      <c r="Y2426" s="75"/>
      <c r="Z2426" s="75"/>
    </row>
    <row r="2427" spans="1:26" x14ac:dyDescent="0.3">
      <c r="A2427" s="72"/>
      <c r="B2427" s="73"/>
      <c r="C2427" s="70"/>
      <c r="D2427" s="74"/>
      <c r="E2427" s="75"/>
      <c r="F2427" s="75"/>
      <c r="K2427" s="72"/>
      <c r="L2427" s="73"/>
      <c r="M2427" s="70"/>
      <c r="N2427" s="74"/>
      <c r="O2427" s="75"/>
      <c r="P2427" s="75"/>
      <c r="U2427" s="72"/>
      <c r="V2427" s="73"/>
      <c r="W2427" s="70"/>
      <c r="X2427" s="74"/>
      <c r="Y2427" s="75"/>
      <c r="Z2427" s="75"/>
    </row>
    <row r="2428" spans="1:26" x14ac:dyDescent="0.3">
      <c r="A2428" s="72"/>
      <c r="B2428" s="73"/>
      <c r="C2428" s="70"/>
      <c r="D2428" s="74"/>
      <c r="E2428" s="75"/>
      <c r="F2428" s="75"/>
      <c r="K2428" s="72"/>
      <c r="L2428" s="73"/>
      <c r="M2428" s="70"/>
      <c r="N2428" s="74"/>
      <c r="O2428" s="75"/>
      <c r="P2428" s="75"/>
      <c r="U2428" s="72"/>
      <c r="V2428" s="73"/>
      <c r="W2428" s="70"/>
      <c r="X2428" s="74"/>
      <c r="Y2428" s="75"/>
      <c r="Z2428" s="75"/>
    </row>
    <row r="2429" spans="1:26" x14ac:dyDescent="0.3">
      <c r="A2429" s="72"/>
      <c r="B2429" s="73"/>
      <c r="C2429" s="70"/>
      <c r="D2429" s="74"/>
      <c r="E2429" s="75"/>
      <c r="F2429" s="75"/>
      <c r="K2429" s="72"/>
      <c r="L2429" s="73"/>
      <c r="M2429" s="70"/>
      <c r="N2429" s="74"/>
      <c r="O2429" s="75"/>
      <c r="P2429" s="75"/>
      <c r="U2429" s="72"/>
      <c r="V2429" s="73"/>
      <c r="W2429" s="70"/>
      <c r="X2429" s="74"/>
      <c r="Y2429" s="75"/>
      <c r="Z2429" s="75"/>
    </row>
    <row r="2430" spans="1:26" x14ac:dyDescent="0.3">
      <c r="A2430" s="72"/>
      <c r="B2430" s="73"/>
      <c r="C2430" s="70"/>
      <c r="D2430" s="74"/>
      <c r="E2430" s="75"/>
      <c r="F2430" s="75"/>
      <c r="K2430" s="72"/>
      <c r="L2430" s="73"/>
      <c r="M2430" s="70"/>
      <c r="N2430" s="74"/>
      <c r="O2430" s="75"/>
      <c r="P2430" s="75"/>
      <c r="U2430" s="72"/>
      <c r="V2430" s="73"/>
      <c r="W2430" s="70"/>
      <c r="X2430" s="74"/>
      <c r="Y2430" s="75"/>
      <c r="Z2430" s="75"/>
    </row>
    <row r="2431" spans="1:26" x14ac:dyDescent="0.3">
      <c r="A2431" s="72"/>
      <c r="B2431" s="73"/>
      <c r="C2431" s="70"/>
      <c r="D2431" s="74"/>
      <c r="E2431" s="75"/>
      <c r="F2431" s="75"/>
      <c r="K2431" s="72"/>
      <c r="L2431" s="73"/>
      <c r="M2431" s="70"/>
      <c r="N2431" s="74"/>
      <c r="O2431" s="75"/>
      <c r="P2431" s="75"/>
      <c r="U2431" s="72"/>
      <c r="V2431" s="73"/>
      <c r="W2431" s="70"/>
      <c r="X2431" s="74"/>
      <c r="Y2431" s="75"/>
      <c r="Z2431" s="75"/>
    </row>
    <row r="2432" spans="1:26" x14ac:dyDescent="0.3">
      <c r="A2432" s="72"/>
      <c r="B2432" s="73"/>
      <c r="C2432" s="70"/>
      <c r="D2432" s="74"/>
      <c r="E2432" s="75"/>
      <c r="F2432" s="75"/>
      <c r="K2432" s="72"/>
      <c r="L2432" s="73"/>
      <c r="M2432" s="70"/>
      <c r="N2432" s="74"/>
      <c r="O2432" s="75"/>
      <c r="P2432" s="75"/>
      <c r="U2432" s="72"/>
      <c r="V2432" s="73"/>
      <c r="W2432" s="70"/>
      <c r="X2432" s="74"/>
      <c r="Y2432" s="75"/>
      <c r="Z2432" s="75"/>
    </row>
    <row r="2433" spans="1:26" x14ac:dyDescent="0.3">
      <c r="A2433" s="72"/>
      <c r="B2433" s="73"/>
      <c r="C2433" s="70"/>
      <c r="D2433" s="74"/>
      <c r="E2433" s="75"/>
      <c r="F2433" s="75"/>
      <c r="K2433" s="72"/>
      <c r="L2433" s="73"/>
      <c r="M2433" s="70"/>
      <c r="N2433" s="74"/>
      <c r="O2433" s="75"/>
      <c r="P2433" s="75"/>
      <c r="U2433" s="72"/>
      <c r="V2433" s="73"/>
      <c r="W2433" s="70"/>
      <c r="X2433" s="74"/>
      <c r="Y2433" s="75"/>
      <c r="Z2433" s="75"/>
    </row>
    <row r="2434" spans="1:26" x14ac:dyDescent="0.3">
      <c r="A2434" s="72"/>
      <c r="B2434" s="73"/>
      <c r="C2434" s="70"/>
      <c r="D2434" s="74"/>
      <c r="E2434" s="75"/>
      <c r="F2434" s="75"/>
      <c r="K2434" s="72"/>
      <c r="L2434" s="73"/>
      <c r="M2434" s="70"/>
      <c r="N2434" s="74"/>
      <c r="O2434" s="75"/>
      <c r="P2434" s="75"/>
      <c r="U2434" s="72"/>
      <c r="V2434" s="73"/>
      <c r="W2434" s="70"/>
      <c r="X2434" s="74"/>
      <c r="Y2434" s="75"/>
      <c r="Z2434" s="75"/>
    </row>
    <row r="2435" spans="1:26" x14ac:dyDescent="0.3">
      <c r="A2435" s="72"/>
      <c r="B2435" s="73"/>
      <c r="C2435" s="70"/>
      <c r="D2435" s="74"/>
      <c r="E2435" s="75"/>
      <c r="F2435" s="75"/>
      <c r="K2435" s="72"/>
      <c r="L2435" s="73"/>
      <c r="M2435" s="70"/>
      <c r="N2435" s="74"/>
      <c r="O2435" s="75"/>
      <c r="P2435" s="75"/>
      <c r="U2435" s="72"/>
      <c r="V2435" s="73"/>
      <c r="W2435" s="70"/>
      <c r="X2435" s="74"/>
      <c r="Y2435" s="75"/>
      <c r="Z2435" s="75"/>
    </row>
    <row r="2436" spans="1:26" x14ac:dyDescent="0.3">
      <c r="A2436" s="72"/>
      <c r="B2436" s="73"/>
      <c r="C2436" s="70"/>
      <c r="D2436" s="74"/>
      <c r="E2436" s="75"/>
      <c r="F2436" s="75"/>
      <c r="K2436" s="72"/>
      <c r="L2436" s="73"/>
      <c r="M2436" s="70"/>
      <c r="N2436" s="74"/>
      <c r="O2436" s="75"/>
      <c r="P2436" s="75"/>
      <c r="U2436" s="72"/>
      <c r="V2436" s="73"/>
      <c r="W2436" s="70"/>
      <c r="X2436" s="74"/>
      <c r="Y2436" s="75"/>
      <c r="Z2436" s="75"/>
    </row>
    <row r="2437" spans="1:26" x14ac:dyDescent="0.3">
      <c r="A2437" s="72"/>
      <c r="B2437" s="73"/>
      <c r="C2437" s="70"/>
      <c r="D2437" s="74"/>
      <c r="E2437" s="75"/>
      <c r="F2437" s="75"/>
      <c r="K2437" s="72"/>
      <c r="L2437" s="73"/>
      <c r="M2437" s="70"/>
      <c r="N2437" s="74"/>
      <c r="O2437" s="75"/>
      <c r="P2437" s="75"/>
      <c r="U2437" s="72"/>
      <c r="V2437" s="73"/>
      <c r="W2437" s="70"/>
      <c r="X2437" s="74"/>
      <c r="Y2437" s="75"/>
      <c r="Z2437" s="75"/>
    </row>
    <row r="2438" spans="1:26" x14ac:dyDescent="0.3">
      <c r="A2438" s="72"/>
      <c r="B2438" s="73"/>
      <c r="C2438" s="70"/>
      <c r="D2438" s="74"/>
      <c r="E2438" s="75"/>
      <c r="F2438" s="75"/>
      <c r="K2438" s="72"/>
      <c r="L2438" s="73"/>
      <c r="M2438" s="70"/>
      <c r="N2438" s="74"/>
      <c r="O2438" s="75"/>
      <c r="P2438" s="75"/>
      <c r="U2438" s="72"/>
      <c r="V2438" s="73"/>
      <c r="W2438" s="70"/>
      <c r="X2438" s="74"/>
      <c r="Y2438" s="75"/>
      <c r="Z2438" s="75"/>
    </row>
    <row r="2439" spans="1:26" x14ac:dyDescent="0.3">
      <c r="A2439" s="72"/>
      <c r="B2439" s="73"/>
      <c r="C2439" s="70"/>
      <c r="D2439" s="74"/>
      <c r="E2439" s="75"/>
      <c r="F2439" s="75"/>
      <c r="K2439" s="72"/>
      <c r="L2439" s="73"/>
      <c r="M2439" s="70"/>
      <c r="N2439" s="74"/>
      <c r="O2439" s="75"/>
      <c r="P2439" s="75"/>
      <c r="U2439" s="72"/>
      <c r="V2439" s="73"/>
      <c r="W2439" s="70"/>
      <c r="X2439" s="74"/>
      <c r="Y2439" s="75"/>
      <c r="Z2439" s="75"/>
    </row>
    <row r="2440" spans="1:26" x14ac:dyDescent="0.3">
      <c r="A2440" s="72"/>
      <c r="B2440" s="73"/>
      <c r="C2440" s="70"/>
      <c r="D2440" s="74"/>
      <c r="E2440" s="75"/>
      <c r="F2440" s="75"/>
      <c r="K2440" s="72"/>
      <c r="L2440" s="73"/>
      <c r="M2440" s="70"/>
      <c r="N2440" s="74"/>
      <c r="O2440" s="75"/>
      <c r="P2440" s="75"/>
      <c r="U2440" s="72"/>
      <c r="V2440" s="73"/>
      <c r="W2440" s="70"/>
      <c r="X2440" s="74"/>
      <c r="Y2440" s="75"/>
      <c r="Z2440" s="75"/>
    </row>
    <row r="2441" spans="1:26" x14ac:dyDescent="0.3">
      <c r="A2441" s="72"/>
      <c r="B2441" s="73"/>
      <c r="C2441" s="70"/>
      <c r="D2441" s="74"/>
      <c r="E2441" s="75"/>
      <c r="F2441" s="75"/>
      <c r="K2441" s="72"/>
      <c r="L2441" s="73"/>
      <c r="M2441" s="70"/>
      <c r="N2441" s="74"/>
      <c r="O2441" s="75"/>
      <c r="P2441" s="75"/>
      <c r="U2441" s="72"/>
      <c r="V2441" s="73"/>
      <c r="W2441" s="70"/>
      <c r="X2441" s="74"/>
      <c r="Y2441" s="75"/>
      <c r="Z2441" s="75"/>
    </row>
    <row r="2442" spans="1:26" x14ac:dyDescent="0.3">
      <c r="A2442" s="72"/>
      <c r="B2442" s="73"/>
      <c r="C2442" s="70"/>
      <c r="D2442" s="74"/>
      <c r="E2442" s="75"/>
      <c r="F2442" s="75"/>
      <c r="K2442" s="72"/>
      <c r="L2442" s="73"/>
      <c r="M2442" s="70"/>
      <c r="N2442" s="74"/>
      <c r="O2442" s="75"/>
      <c r="P2442" s="75"/>
      <c r="U2442" s="72"/>
      <c r="V2442" s="73"/>
      <c r="W2442" s="70"/>
      <c r="X2442" s="74"/>
      <c r="Y2442" s="75"/>
      <c r="Z2442" s="75"/>
    </row>
    <row r="2443" spans="1:26" x14ac:dyDescent="0.3">
      <c r="A2443" s="72"/>
      <c r="B2443" s="73"/>
      <c r="C2443" s="70"/>
      <c r="D2443" s="74"/>
      <c r="E2443" s="75"/>
      <c r="F2443" s="75"/>
      <c r="K2443" s="72"/>
      <c r="L2443" s="73"/>
      <c r="M2443" s="70"/>
      <c r="N2443" s="74"/>
      <c r="O2443" s="75"/>
      <c r="P2443" s="75"/>
      <c r="U2443" s="72"/>
      <c r="V2443" s="73"/>
      <c r="W2443" s="70"/>
      <c r="X2443" s="74"/>
      <c r="Y2443" s="75"/>
      <c r="Z2443" s="75"/>
    </row>
    <row r="2444" spans="1:26" x14ac:dyDescent="0.3">
      <c r="A2444" s="72"/>
      <c r="B2444" s="73"/>
      <c r="C2444" s="70"/>
      <c r="D2444" s="74"/>
      <c r="E2444" s="75"/>
      <c r="F2444" s="75"/>
      <c r="K2444" s="72"/>
      <c r="L2444" s="73"/>
      <c r="M2444" s="70"/>
      <c r="N2444" s="74"/>
      <c r="O2444" s="75"/>
      <c r="P2444" s="75"/>
      <c r="U2444" s="72"/>
      <c r="V2444" s="73"/>
      <c r="W2444" s="70"/>
      <c r="X2444" s="74"/>
      <c r="Y2444" s="75"/>
      <c r="Z2444" s="75"/>
    </row>
    <row r="2445" spans="1:26" x14ac:dyDescent="0.3">
      <c r="A2445" s="72"/>
      <c r="B2445" s="73"/>
      <c r="C2445" s="70"/>
      <c r="D2445" s="74"/>
      <c r="E2445" s="75"/>
      <c r="F2445" s="75"/>
      <c r="K2445" s="72"/>
      <c r="L2445" s="73"/>
      <c r="M2445" s="70"/>
      <c r="N2445" s="74"/>
      <c r="O2445" s="75"/>
      <c r="P2445" s="75"/>
      <c r="U2445" s="72"/>
      <c r="V2445" s="73"/>
      <c r="W2445" s="70"/>
      <c r="X2445" s="74"/>
      <c r="Y2445" s="75"/>
      <c r="Z2445" s="75"/>
    </row>
    <row r="2446" spans="1:26" x14ac:dyDescent="0.3">
      <c r="A2446" s="72"/>
      <c r="B2446" s="73"/>
      <c r="C2446" s="70"/>
      <c r="D2446" s="74"/>
      <c r="E2446" s="75"/>
      <c r="F2446" s="75"/>
      <c r="K2446" s="72"/>
      <c r="L2446" s="73"/>
      <c r="M2446" s="70"/>
      <c r="N2446" s="74"/>
      <c r="O2446" s="75"/>
      <c r="P2446" s="75"/>
      <c r="U2446" s="72"/>
      <c r="V2446" s="73"/>
      <c r="W2446" s="70"/>
      <c r="X2446" s="74"/>
      <c r="Y2446" s="75"/>
      <c r="Z2446" s="75"/>
    </row>
    <row r="2447" spans="1:26" x14ac:dyDescent="0.3">
      <c r="A2447" s="72"/>
      <c r="B2447" s="73"/>
      <c r="C2447" s="70"/>
      <c r="D2447" s="74"/>
      <c r="E2447" s="75"/>
      <c r="F2447" s="75"/>
      <c r="K2447" s="72"/>
      <c r="L2447" s="73"/>
      <c r="M2447" s="70"/>
      <c r="N2447" s="74"/>
      <c r="O2447" s="75"/>
      <c r="P2447" s="75"/>
      <c r="U2447" s="72"/>
      <c r="V2447" s="73"/>
      <c r="W2447" s="70"/>
      <c r="X2447" s="74"/>
      <c r="Y2447" s="75"/>
      <c r="Z2447" s="75"/>
    </row>
    <row r="2448" spans="1:26" x14ac:dyDescent="0.3">
      <c r="A2448" s="72"/>
      <c r="B2448" s="73"/>
      <c r="C2448" s="70"/>
      <c r="D2448" s="74"/>
      <c r="E2448" s="75"/>
      <c r="F2448" s="75"/>
      <c r="K2448" s="72"/>
      <c r="L2448" s="73"/>
      <c r="M2448" s="70"/>
      <c r="N2448" s="74"/>
      <c r="O2448" s="75"/>
      <c r="P2448" s="75"/>
      <c r="U2448" s="72"/>
      <c r="V2448" s="73"/>
      <c r="W2448" s="70"/>
      <c r="X2448" s="74"/>
      <c r="Y2448" s="75"/>
      <c r="Z2448" s="75"/>
    </row>
    <row r="2449" spans="1:26" x14ac:dyDescent="0.3">
      <c r="A2449" s="72"/>
      <c r="B2449" s="73"/>
      <c r="C2449" s="70"/>
      <c r="D2449" s="74"/>
      <c r="E2449" s="75"/>
      <c r="F2449" s="75"/>
      <c r="K2449" s="72"/>
      <c r="L2449" s="73"/>
      <c r="M2449" s="70"/>
      <c r="N2449" s="74"/>
      <c r="O2449" s="75"/>
      <c r="P2449" s="75"/>
      <c r="U2449" s="72"/>
      <c r="V2449" s="73"/>
      <c r="W2449" s="70"/>
      <c r="X2449" s="74"/>
      <c r="Y2449" s="75"/>
      <c r="Z2449" s="75"/>
    </row>
    <row r="2450" spans="1:26" x14ac:dyDescent="0.3">
      <c r="A2450" s="72"/>
      <c r="B2450" s="73"/>
      <c r="C2450" s="70"/>
      <c r="D2450" s="74"/>
      <c r="E2450" s="75"/>
      <c r="F2450" s="75"/>
      <c r="K2450" s="72"/>
      <c r="L2450" s="73"/>
      <c r="M2450" s="70"/>
      <c r="N2450" s="74"/>
      <c r="O2450" s="75"/>
      <c r="P2450" s="75"/>
      <c r="U2450" s="72"/>
      <c r="V2450" s="73"/>
      <c r="W2450" s="70"/>
      <c r="X2450" s="74"/>
      <c r="Y2450" s="75"/>
      <c r="Z2450" s="75"/>
    </row>
    <row r="2451" spans="1:26" x14ac:dyDescent="0.3">
      <c r="A2451" s="72"/>
      <c r="B2451" s="73"/>
      <c r="C2451" s="70"/>
      <c r="D2451" s="74"/>
      <c r="E2451" s="75"/>
      <c r="F2451" s="75"/>
      <c r="K2451" s="72"/>
      <c r="L2451" s="73"/>
      <c r="M2451" s="70"/>
      <c r="N2451" s="74"/>
      <c r="O2451" s="75"/>
      <c r="P2451" s="75"/>
      <c r="U2451" s="72"/>
      <c r="V2451" s="73"/>
      <c r="W2451" s="70"/>
      <c r="X2451" s="74"/>
      <c r="Y2451" s="75"/>
      <c r="Z2451" s="75"/>
    </row>
    <row r="2452" spans="1:26" x14ac:dyDescent="0.3">
      <c r="A2452" s="72"/>
      <c r="B2452" s="73"/>
      <c r="C2452" s="70"/>
      <c r="D2452" s="74"/>
      <c r="E2452" s="75"/>
      <c r="F2452" s="75"/>
      <c r="K2452" s="72"/>
      <c r="L2452" s="73"/>
      <c r="M2452" s="70"/>
      <c r="N2452" s="74"/>
      <c r="O2452" s="75"/>
      <c r="P2452" s="75"/>
      <c r="U2452" s="72"/>
      <c r="V2452" s="73"/>
      <c r="W2452" s="70"/>
      <c r="X2452" s="74"/>
      <c r="Y2452" s="75"/>
      <c r="Z2452" s="75"/>
    </row>
    <row r="2453" spans="1:26" x14ac:dyDescent="0.3">
      <c r="A2453" s="72"/>
      <c r="B2453" s="73"/>
      <c r="C2453" s="70"/>
      <c r="D2453" s="74"/>
      <c r="E2453" s="75"/>
      <c r="F2453" s="75"/>
      <c r="K2453" s="72"/>
      <c r="L2453" s="73"/>
      <c r="M2453" s="70"/>
      <c r="N2453" s="74"/>
      <c r="O2453" s="75"/>
      <c r="P2453" s="75"/>
      <c r="U2453" s="72"/>
      <c r="V2453" s="73"/>
      <c r="W2453" s="70"/>
      <c r="X2453" s="74"/>
      <c r="Y2453" s="75"/>
      <c r="Z2453" s="75"/>
    </row>
    <row r="2454" spans="1:26" x14ac:dyDescent="0.3">
      <c r="A2454" s="72"/>
      <c r="B2454" s="73"/>
      <c r="C2454" s="70"/>
      <c r="D2454" s="74"/>
      <c r="E2454" s="75"/>
      <c r="F2454" s="75"/>
      <c r="K2454" s="72"/>
      <c r="L2454" s="73"/>
      <c r="M2454" s="70"/>
      <c r="N2454" s="74"/>
      <c r="O2454" s="75"/>
      <c r="P2454" s="75"/>
      <c r="U2454" s="72"/>
      <c r="V2454" s="73"/>
      <c r="W2454" s="70"/>
      <c r="X2454" s="74"/>
      <c r="Y2454" s="75"/>
      <c r="Z2454" s="75"/>
    </row>
    <row r="2455" spans="1:26" x14ac:dyDescent="0.3">
      <c r="A2455" s="72"/>
      <c r="B2455" s="73"/>
      <c r="C2455" s="70"/>
      <c r="D2455" s="74"/>
      <c r="E2455" s="75"/>
      <c r="F2455" s="75"/>
      <c r="K2455" s="72"/>
      <c r="L2455" s="73"/>
      <c r="M2455" s="70"/>
      <c r="N2455" s="74"/>
      <c r="O2455" s="75"/>
      <c r="P2455" s="75"/>
      <c r="U2455" s="72"/>
      <c r="V2455" s="73"/>
      <c r="W2455" s="70"/>
      <c r="X2455" s="74"/>
      <c r="Y2455" s="75"/>
      <c r="Z2455" s="75"/>
    </row>
    <row r="2456" spans="1:26" x14ac:dyDescent="0.3">
      <c r="A2456" s="72"/>
      <c r="B2456" s="73"/>
      <c r="C2456" s="70"/>
      <c r="D2456" s="74"/>
      <c r="E2456" s="75"/>
      <c r="F2456" s="75"/>
      <c r="K2456" s="72"/>
      <c r="L2456" s="73"/>
      <c r="M2456" s="70"/>
      <c r="N2456" s="74"/>
      <c r="O2456" s="75"/>
      <c r="P2456" s="75"/>
      <c r="U2456" s="72"/>
      <c r="V2456" s="73"/>
      <c r="W2456" s="70"/>
      <c r="X2456" s="74"/>
      <c r="Y2456" s="75"/>
      <c r="Z2456" s="75"/>
    </row>
    <row r="2457" spans="1:26" x14ac:dyDescent="0.3">
      <c r="A2457" s="72"/>
      <c r="B2457" s="73"/>
      <c r="C2457" s="70"/>
      <c r="D2457" s="74"/>
      <c r="E2457" s="75"/>
      <c r="F2457" s="75"/>
      <c r="K2457" s="72"/>
      <c r="L2457" s="73"/>
      <c r="M2457" s="70"/>
      <c r="N2457" s="74"/>
      <c r="O2457" s="75"/>
      <c r="P2457" s="75"/>
      <c r="U2457" s="72"/>
      <c r="V2457" s="73"/>
      <c r="W2457" s="70"/>
      <c r="X2457" s="74"/>
      <c r="Y2457" s="75"/>
      <c r="Z2457" s="75"/>
    </row>
    <row r="2458" spans="1:26" x14ac:dyDescent="0.3">
      <c r="A2458" s="72"/>
      <c r="B2458" s="73"/>
      <c r="C2458" s="70"/>
      <c r="D2458" s="74"/>
      <c r="E2458" s="75"/>
      <c r="F2458" s="75"/>
      <c r="K2458" s="72"/>
      <c r="L2458" s="73"/>
      <c r="M2458" s="70"/>
      <c r="N2458" s="74"/>
      <c r="O2458" s="75"/>
      <c r="P2458" s="75"/>
      <c r="U2458" s="72"/>
      <c r="V2458" s="73"/>
      <c r="W2458" s="70"/>
      <c r="X2458" s="74"/>
      <c r="Y2458" s="75"/>
      <c r="Z2458" s="75"/>
    </row>
    <row r="2459" spans="1:26" x14ac:dyDescent="0.3">
      <c r="A2459" s="72"/>
      <c r="B2459" s="73"/>
      <c r="C2459" s="70"/>
      <c r="D2459" s="74"/>
      <c r="E2459" s="75"/>
      <c r="F2459" s="75"/>
      <c r="K2459" s="72"/>
      <c r="L2459" s="73"/>
      <c r="M2459" s="70"/>
      <c r="N2459" s="74"/>
      <c r="O2459" s="75"/>
      <c r="P2459" s="75"/>
      <c r="U2459" s="72"/>
      <c r="V2459" s="73"/>
      <c r="W2459" s="70"/>
      <c r="X2459" s="74"/>
      <c r="Y2459" s="75"/>
      <c r="Z2459" s="75"/>
    </row>
    <row r="2460" spans="1:26" x14ac:dyDescent="0.3">
      <c r="A2460" s="72"/>
      <c r="B2460" s="73"/>
      <c r="C2460" s="70"/>
      <c r="D2460" s="74"/>
      <c r="E2460" s="75"/>
      <c r="F2460" s="75"/>
      <c r="K2460" s="72"/>
      <c r="L2460" s="73"/>
      <c r="M2460" s="70"/>
      <c r="N2460" s="74"/>
      <c r="O2460" s="75"/>
      <c r="P2460" s="75"/>
      <c r="U2460" s="72"/>
      <c r="V2460" s="73"/>
      <c r="W2460" s="70"/>
      <c r="X2460" s="74"/>
      <c r="Y2460" s="75"/>
      <c r="Z2460" s="75"/>
    </row>
    <row r="2461" spans="1:26" x14ac:dyDescent="0.3">
      <c r="A2461" s="72"/>
      <c r="B2461" s="73"/>
      <c r="C2461" s="70"/>
      <c r="D2461" s="74"/>
      <c r="E2461" s="75"/>
      <c r="F2461" s="75"/>
      <c r="K2461" s="72"/>
      <c r="L2461" s="73"/>
      <c r="M2461" s="70"/>
      <c r="N2461" s="74"/>
      <c r="O2461" s="75"/>
      <c r="P2461" s="75"/>
      <c r="U2461" s="72"/>
      <c r="V2461" s="73"/>
      <c r="W2461" s="70"/>
      <c r="X2461" s="74"/>
      <c r="Y2461" s="75"/>
      <c r="Z2461" s="75"/>
    </row>
    <row r="2462" spans="1:26" x14ac:dyDescent="0.3">
      <c r="A2462" s="72"/>
      <c r="B2462" s="73"/>
      <c r="C2462" s="70"/>
      <c r="D2462" s="74"/>
      <c r="E2462" s="75"/>
      <c r="F2462" s="75"/>
      <c r="K2462" s="72"/>
      <c r="L2462" s="73"/>
      <c r="M2462" s="70"/>
      <c r="N2462" s="74"/>
      <c r="O2462" s="75"/>
      <c r="P2462" s="75"/>
      <c r="U2462" s="72"/>
      <c r="V2462" s="73"/>
      <c r="W2462" s="70"/>
      <c r="X2462" s="74"/>
      <c r="Y2462" s="75"/>
      <c r="Z2462" s="75"/>
    </row>
    <row r="2463" spans="1:26" x14ac:dyDescent="0.3">
      <c r="A2463" s="72"/>
      <c r="B2463" s="73"/>
      <c r="C2463" s="70"/>
      <c r="D2463" s="74"/>
      <c r="E2463" s="75"/>
      <c r="F2463" s="75"/>
      <c r="K2463" s="72"/>
      <c r="L2463" s="73"/>
      <c r="M2463" s="70"/>
      <c r="N2463" s="74"/>
      <c r="O2463" s="75"/>
      <c r="P2463" s="75"/>
      <c r="U2463" s="72"/>
      <c r="V2463" s="73"/>
      <c r="W2463" s="70"/>
      <c r="X2463" s="74"/>
      <c r="Y2463" s="75"/>
      <c r="Z2463" s="75"/>
    </row>
    <row r="2464" spans="1:26" x14ac:dyDescent="0.3">
      <c r="A2464" s="72"/>
      <c r="B2464" s="73"/>
      <c r="C2464" s="70"/>
      <c r="D2464" s="74"/>
      <c r="E2464" s="75"/>
      <c r="F2464" s="75"/>
      <c r="K2464" s="72"/>
      <c r="L2464" s="73"/>
      <c r="M2464" s="70"/>
      <c r="N2464" s="74"/>
      <c r="O2464" s="75"/>
      <c r="P2464" s="75"/>
      <c r="U2464" s="72"/>
      <c r="V2464" s="73"/>
      <c r="W2464" s="70"/>
      <c r="X2464" s="74"/>
      <c r="Y2464" s="75"/>
      <c r="Z2464" s="75"/>
    </row>
    <row r="2465" spans="1:26" x14ac:dyDescent="0.3">
      <c r="A2465" s="72"/>
      <c r="B2465" s="73"/>
      <c r="C2465" s="70"/>
      <c r="D2465" s="74"/>
      <c r="E2465" s="75"/>
      <c r="F2465" s="75"/>
      <c r="K2465" s="72"/>
      <c r="L2465" s="73"/>
      <c r="M2465" s="70"/>
      <c r="N2465" s="74"/>
      <c r="O2465" s="75"/>
      <c r="P2465" s="75"/>
      <c r="U2465" s="72"/>
      <c r="V2465" s="73"/>
      <c r="W2465" s="70"/>
      <c r="X2465" s="74"/>
      <c r="Y2465" s="75"/>
      <c r="Z2465" s="75"/>
    </row>
    <row r="2466" spans="1:26" x14ac:dyDescent="0.3">
      <c r="A2466" s="72"/>
      <c r="B2466" s="73"/>
      <c r="C2466" s="70"/>
      <c r="D2466" s="74"/>
      <c r="E2466" s="75"/>
      <c r="F2466" s="75"/>
      <c r="K2466" s="72"/>
      <c r="L2466" s="73"/>
      <c r="M2466" s="70"/>
      <c r="N2466" s="74"/>
      <c r="O2466" s="75"/>
      <c r="P2466" s="75"/>
      <c r="U2466" s="72"/>
      <c r="V2466" s="73"/>
      <c r="W2466" s="70"/>
      <c r="X2466" s="74"/>
      <c r="Y2466" s="75"/>
      <c r="Z2466" s="75"/>
    </row>
    <row r="2467" spans="1:26" x14ac:dyDescent="0.3">
      <c r="A2467" s="72"/>
      <c r="B2467" s="73"/>
      <c r="C2467" s="70"/>
      <c r="D2467" s="74"/>
      <c r="E2467" s="75"/>
      <c r="F2467" s="75"/>
      <c r="K2467" s="72"/>
      <c r="L2467" s="73"/>
      <c r="M2467" s="70"/>
      <c r="N2467" s="74"/>
      <c r="O2467" s="75"/>
      <c r="P2467" s="75"/>
      <c r="U2467" s="72"/>
      <c r="V2467" s="73"/>
      <c r="W2467" s="70"/>
      <c r="X2467" s="74"/>
      <c r="Y2467" s="75"/>
      <c r="Z2467" s="75"/>
    </row>
    <row r="2468" spans="1:26" x14ac:dyDescent="0.3">
      <c r="A2468" s="72"/>
      <c r="B2468" s="73"/>
      <c r="C2468" s="70"/>
      <c r="D2468" s="74"/>
      <c r="E2468" s="75"/>
      <c r="F2468" s="75"/>
      <c r="K2468" s="72"/>
      <c r="L2468" s="73"/>
      <c r="M2468" s="70"/>
      <c r="N2468" s="74"/>
      <c r="O2468" s="75"/>
      <c r="P2468" s="75"/>
      <c r="U2468" s="72"/>
      <c r="V2468" s="73"/>
      <c r="W2468" s="70"/>
      <c r="X2468" s="74"/>
      <c r="Y2468" s="75"/>
      <c r="Z2468" s="75"/>
    </row>
    <row r="2469" spans="1:26" x14ac:dyDescent="0.3">
      <c r="A2469" s="72"/>
      <c r="B2469" s="73"/>
      <c r="C2469" s="70"/>
      <c r="D2469" s="74"/>
      <c r="E2469" s="75"/>
      <c r="F2469" s="75"/>
      <c r="K2469" s="72"/>
      <c r="L2469" s="73"/>
      <c r="M2469" s="70"/>
      <c r="N2469" s="74"/>
      <c r="O2469" s="75"/>
      <c r="P2469" s="75"/>
      <c r="U2469" s="72"/>
      <c r="V2469" s="73"/>
      <c r="W2469" s="70"/>
      <c r="X2469" s="74"/>
      <c r="Y2469" s="75"/>
      <c r="Z2469" s="75"/>
    </row>
    <row r="2470" spans="1:26" x14ac:dyDescent="0.3">
      <c r="A2470" s="72"/>
      <c r="B2470" s="73"/>
      <c r="C2470" s="70"/>
      <c r="D2470" s="74"/>
      <c r="E2470" s="75"/>
      <c r="F2470" s="75"/>
      <c r="K2470" s="72"/>
      <c r="L2470" s="73"/>
      <c r="M2470" s="70"/>
      <c r="N2470" s="74"/>
      <c r="O2470" s="75"/>
      <c r="P2470" s="75"/>
      <c r="U2470" s="72"/>
      <c r="V2470" s="73"/>
      <c r="W2470" s="70"/>
      <c r="X2470" s="74"/>
      <c r="Y2470" s="75"/>
      <c r="Z2470" s="75"/>
    </row>
    <row r="2471" spans="1:26" x14ac:dyDescent="0.3">
      <c r="A2471" s="72"/>
      <c r="B2471" s="73"/>
      <c r="C2471" s="70"/>
      <c r="D2471" s="74"/>
      <c r="E2471" s="75"/>
      <c r="F2471" s="75"/>
      <c r="K2471" s="72"/>
      <c r="L2471" s="73"/>
      <c r="M2471" s="70"/>
      <c r="N2471" s="74"/>
      <c r="O2471" s="75"/>
      <c r="P2471" s="75"/>
      <c r="U2471" s="72"/>
      <c r="V2471" s="73"/>
      <c r="W2471" s="70"/>
      <c r="X2471" s="74"/>
      <c r="Y2471" s="75"/>
      <c r="Z2471" s="75"/>
    </row>
    <row r="2472" spans="1:26" x14ac:dyDescent="0.3">
      <c r="A2472" s="72"/>
      <c r="B2472" s="73"/>
      <c r="C2472" s="70"/>
      <c r="D2472" s="74"/>
      <c r="E2472" s="75"/>
      <c r="F2472" s="75"/>
      <c r="K2472" s="72"/>
      <c r="L2472" s="73"/>
      <c r="M2472" s="70"/>
      <c r="N2472" s="74"/>
      <c r="O2472" s="75"/>
      <c r="P2472" s="75"/>
      <c r="U2472" s="72"/>
      <c r="V2472" s="73"/>
      <c r="W2472" s="70"/>
      <c r="X2472" s="74"/>
      <c r="Y2472" s="75"/>
      <c r="Z2472" s="75"/>
    </row>
    <row r="2473" spans="1:26" x14ac:dyDescent="0.3">
      <c r="A2473" s="72"/>
      <c r="B2473" s="73"/>
      <c r="C2473" s="70"/>
      <c r="D2473" s="74"/>
      <c r="E2473" s="75"/>
      <c r="F2473" s="75"/>
      <c r="K2473" s="72"/>
      <c r="L2473" s="73"/>
      <c r="M2473" s="70"/>
      <c r="N2473" s="74"/>
      <c r="O2473" s="75"/>
      <c r="P2473" s="75"/>
      <c r="U2473" s="72"/>
      <c r="V2473" s="73"/>
      <c r="W2473" s="70"/>
      <c r="X2473" s="74"/>
      <c r="Y2473" s="75"/>
      <c r="Z2473" s="75"/>
    </row>
    <row r="2474" spans="1:26" x14ac:dyDescent="0.3">
      <c r="A2474" s="72"/>
      <c r="B2474" s="73"/>
      <c r="C2474" s="70"/>
      <c r="D2474" s="74"/>
      <c r="E2474" s="75"/>
      <c r="F2474" s="75"/>
      <c r="K2474" s="72"/>
      <c r="L2474" s="73"/>
      <c r="M2474" s="70"/>
      <c r="N2474" s="74"/>
      <c r="O2474" s="75"/>
      <c r="P2474" s="75"/>
      <c r="U2474" s="72"/>
      <c r="V2474" s="73"/>
      <c r="W2474" s="70"/>
      <c r="X2474" s="74"/>
      <c r="Y2474" s="75"/>
      <c r="Z2474" s="75"/>
    </row>
    <row r="2475" spans="1:26" x14ac:dyDescent="0.3">
      <c r="A2475" s="72"/>
      <c r="B2475" s="73"/>
      <c r="C2475" s="70"/>
      <c r="D2475" s="74"/>
      <c r="E2475" s="75"/>
      <c r="F2475" s="75"/>
      <c r="K2475" s="72"/>
      <c r="L2475" s="73"/>
      <c r="M2475" s="70"/>
      <c r="N2475" s="74"/>
      <c r="O2475" s="75"/>
      <c r="P2475" s="75"/>
      <c r="U2475" s="72"/>
      <c r="V2475" s="73"/>
      <c r="W2475" s="70"/>
      <c r="X2475" s="74"/>
      <c r="Y2475" s="75"/>
      <c r="Z2475" s="75"/>
    </row>
    <row r="2476" spans="1:26" x14ac:dyDescent="0.3">
      <c r="A2476" s="72"/>
      <c r="B2476" s="73"/>
      <c r="C2476" s="70"/>
      <c r="D2476" s="74"/>
      <c r="E2476" s="75"/>
      <c r="F2476" s="75"/>
      <c r="K2476" s="72"/>
      <c r="L2476" s="73"/>
      <c r="M2476" s="70"/>
      <c r="N2476" s="74"/>
      <c r="O2476" s="75"/>
      <c r="P2476" s="75"/>
      <c r="U2476" s="72"/>
      <c r="V2476" s="73"/>
      <c r="W2476" s="70"/>
      <c r="X2476" s="74"/>
      <c r="Y2476" s="75"/>
      <c r="Z2476" s="75"/>
    </row>
    <row r="2477" spans="1:26" x14ac:dyDescent="0.3">
      <c r="A2477" s="72"/>
      <c r="B2477" s="73"/>
      <c r="C2477" s="70"/>
      <c r="D2477" s="74"/>
      <c r="E2477" s="75"/>
      <c r="F2477" s="75"/>
      <c r="K2477" s="72"/>
      <c r="L2477" s="73"/>
      <c r="M2477" s="70"/>
      <c r="N2477" s="74"/>
      <c r="O2477" s="75"/>
      <c r="P2477" s="75"/>
      <c r="U2477" s="72"/>
      <c r="V2477" s="73"/>
      <c r="W2477" s="70"/>
      <c r="X2477" s="74"/>
      <c r="Y2477" s="75"/>
      <c r="Z2477" s="75"/>
    </row>
    <row r="2478" spans="1:26" x14ac:dyDescent="0.3">
      <c r="A2478" s="72"/>
      <c r="B2478" s="73"/>
      <c r="C2478" s="70"/>
      <c r="D2478" s="74"/>
      <c r="E2478" s="75"/>
      <c r="F2478" s="75"/>
      <c r="K2478" s="72"/>
      <c r="L2478" s="73"/>
      <c r="M2478" s="70"/>
      <c r="N2478" s="74"/>
      <c r="O2478" s="75"/>
      <c r="P2478" s="75"/>
      <c r="U2478" s="72"/>
      <c r="V2478" s="73"/>
      <c r="W2478" s="70"/>
      <c r="X2478" s="74"/>
      <c r="Y2478" s="75"/>
      <c r="Z2478" s="75"/>
    </row>
    <row r="2479" spans="1:26" x14ac:dyDescent="0.3">
      <c r="A2479" s="72"/>
      <c r="B2479" s="73"/>
      <c r="C2479" s="70"/>
      <c r="D2479" s="74"/>
      <c r="E2479" s="75"/>
      <c r="F2479" s="75"/>
      <c r="K2479" s="72"/>
      <c r="L2479" s="73"/>
      <c r="M2479" s="70"/>
      <c r="N2479" s="74"/>
      <c r="O2479" s="75"/>
      <c r="P2479" s="75"/>
      <c r="U2479" s="72"/>
      <c r="V2479" s="73"/>
      <c r="W2479" s="70"/>
      <c r="X2479" s="74"/>
      <c r="Y2479" s="75"/>
      <c r="Z2479" s="75"/>
    </row>
    <row r="2480" spans="1:26" x14ac:dyDescent="0.3">
      <c r="A2480" s="72"/>
      <c r="B2480" s="73"/>
      <c r="C2480" s="70"/>
      <c r="D2480" s="74"/>
      <c r="E2480" s="75"/>
      <c r="F2480" s="75"/>
      <c r="K2480" s="72"/>
      <c r="L2480" s="73"/>
      <c r="M2480" s="70"/>
      <c r="N2480" s="74"/>
      <c r="O2480" s="75"/>
      <c r="P2480" s="75"/>
      <c r="U2480" s="72"/>
      <c r="V2480" s="73"/>
      <c r="W2480" s="70"/>
      <c r="X2480" s="74"/>
      <c r="Y2480" s="75"/>
      <c r="Z2480" s="75"/>
    </row>
    <row r="2481" spans="1:26" x14ac:dyDescent="0.3">
      <c r="A2481" s="72"/>
      <c r="B2481" s="73"/>
      <c r="C2481" s="70"/>
      <c r="D2481" s="74"/>
      <c r="E2481" s="75"/>
      <c r="F2481" s="75"/>
      <c r="K2481" s="72"/>
      <c r="L2481" s="73"/>
      <c r="M2481" s="70"/>
      <c r="N2481" s="74"/>
      <c r="O2481" s="75"/>
      <c r="P2481" s="75"/>
      <c r="U2481" s="72"/>
      <c r="V2481" s="73"/>
      <c r="W2481" s="70"/>
      <c r="X2481" s="74"/>
      <c r="Y2481" s="75"/>
      <c r="Z2481" s="75"/>
    </row>
    <row r="2482" spans="1:26" x14ac:dyDescent="0.3">
      <c r="A2482" s="72"/>
      <c r="B2482" s="73"/>
      <c r="C2482" s="70"/>
      <c r="D2482" s="74"/>
      <c r="E2482" s="75"/>
      <c r="F2482" s="75"/>
      <c r="K2482" s="72"/>
      <c r="L2482" s="73"/>
      <c r="M2482" s="70"/>
      <c r="N2482" s="74"/>
      <c r="O2482" s="75"/>
      <c r="P2482" s="75"/>
      <c r="U2482" s="72"/>
      <c r="V2482" s="73"/>
      <c r="W2482" s="70"/>
      <c r="X2482" s="74"/>
      <c r="Y2482" s="75"/>
      <c r="Z2482" s="75"/>
    </row>
    <row r="2483" spans="1:26" x14ac:dyDescent="0.3">
      <c r="A2483" s="72"/>
      <c r="B2483" s="73"/>
      <c r="C2483" s="70"/>
      <c r="D2483" s="74"/>
      <c r="E2483" s="75"/>
      <c r="F2483" s="75"/>
      <c r="K2483" s="72"/>
      <c r="L2483" s="73"/>
      <c r="M2483" s="70"/>
      <c r="N2483" s="74"/>
      <c r="O2483" s="75"/>
      <c r="P2483" s="75"/>
      <c r="U2483" s="72"/>
      <c r="V2483" s="73"/>
      <c r="W2483" s="70"/>
      <c r="X2483" s="74"/>
      <c r="Y2483" s="75"/>
      <c r="Z2483" s="75"/>
    </row>
    <row r="2484" spans="1:26" x14ac:dyDescent="0.3">
      <c r="A2484" s="72"/>
      <c r="B2484" s="73"/>
      <c r="C2484" s="70"/>
      <c r="D2484" s="74"/>
      <c r="E2484" s="75"/>
      <c r="F2484" s="75"/>
      <c r="K2484" s="72"/>
      <c r="L2484" s="73"/>
      <c r="M2484" s="70"/>
      <c r="N2484" s="74"/>
      <c r="O2484" s="75"/>
      <c r="P2484" s="75"/>
      <c r="U2484" s="72"/>
      <c r="V2484" s="73"/>
      <c r="W2484" s="70"/>
      <c r="X2484" s="74"/>
      <c r="Y2484" s="75"/>
      <c r="Z2484" s="75"/>
    </row>
    <row r="2485" spans="1:26" x14ac:dyDescent="0.3">
      <c r="A2485" s="72"/>
      <c r="B2485" s="73"/>
      <c r="C2485" s="70"/>
      <c r="D2485" s="74"/>
      <c r="E2485" s="75"/>
      <c r="F2485" s="75"/>
      <c r="K2485" s="72"/>
      <c r="L2485" s="73"/>
      <c r="M2485" s="70"/>
      <c r="N2485" s="74"/>
      <c r="O2485" s="75"/>
      <c r="P2485" s="75"/>
      <c r="U2485" s="72"/>
      <c r="V2485" s="73"/>
      <c r="W2485" s="70"/>
      <c r="X2485" s="74"/>
      <c r="Y2485" s="75"/>
      <c r="Z2485" s="75"/>
    </row>
    <row r="2486" spans="1:26" x14ac:dyDescent="0.3">
      <c r="A2486" s="72"/>
      <c r="B2486" s="73"/>
      <c r="C2486" s="70"/>
      <c r="D2486" s="74"/>
      <c r="E2486" s="75"/>
      <c r="F2486" s="75"/>
      <c r="K2486" s="72"/>
      <c r="L2486" s="73"/>
      <c r="M2486" s="70"/>
      <c r="N2486" s="74"/>
      <c r="O2486" s="75"/>
      <c r="P2486" s="75"/>
      <c r="U2486" s="72"/>
      <c r="V2486" s="73"/>
      <c r="W2486" s="70"/>
      <c r="X2486" s="74"/>
      <c r="Y2486" s="75"/>
      <c r="Z2486" s="75"/>
    </row>
    <row r="2487" spans="1:26" x14ac:dyDescent="0.3">
      <c r="A2487" s="72"/>
      <c r="B2487" s="73"/>
      <c r="C2487" s="70"/>
      <c r="D2487" s="74"/>
      <c r="E2487" s="75"/>
      <c r="F2487" s="75"/>
      <c r="K2487" s="72"/>
      <c r="L2487" s="73"/>
      <c r="M2487" s="70"/>
      <c r="N2487" s="74"/>
      <c r="O2487" s="75"/>
      <c r="P2487" s="75"/>
      <c r="U2487" s="72"/>
      <c r="V2487" s="73"/>
      <c r="W2487" s="70"/>
      <c r="X2487" s="74"/>
      <c r="Y2487" s="75"/>
      <c r="Z2487" s="75"/>
    </row>
    <row r="2488" spans="1:26" x14ac:dyDescent="0.3">
      <c r="A2488" s="72"/>
      <c r="B2488" s="73"/>
      <c r="C2488" s="70"/>
      <c r="D2488" s="74"/>
      <c r="E2488" s="75"/>
      <c r="F2488" s="75"/>
      <c r="K2488" s="72"/>
      <c r="L2488" s="73"/>
      <c r="M2488" s="70"/>
      <c r="N2488" s="74"/>
      <c r="O2488" s="75"/>
      <c r="P2488" s="75"/>
      <c r="U2488" s="72"/>
      <c r="V2488" s="73"/>
      <c r="W2488" s="70"/>
      <c r="X2488" s="74"/>
      <c r="Y2488" s="75"/>
      <c r="Z2488" s="75"/>
    </row>
    <row r="2489" spans="1:26" x14ac:dyDescent="0.3">
      <c r="A2489" s="72"/>
      <c r="B2489" s="73"/>
      <c r="C2489" s="70"/>
      <c r="D2489" s="74"/>
      <c r="E2489" s="75"/>
      <c r="F2489" s="75"/>
      <c r="K2489" s="72"/>
      <c r="L2489" s="73"/>
      <c r="M2489" s="70"/>
      <c r="N2489" s="74"/>
      <c r="O2489" s="75"/>
      <c r="P2489" s="75"/>
      <c r="U2489" s="72"/>
      <c r="V2489" s="73"/>
      <c r="W2489" s="70"/>
      <c r="X2489" s="74"/>
      <c r="Y2489" s="75"/>
      <c r="Z2489" s="75"/>
    </row>
    <row r="2490" spans="1:26" x14ac:dyDescent="0.3">
      <c r="A2490" s="72"/>
      <c r="B2490" s="73"/>
      <c r="C2490" s="70"/>
      <c r="D2490" s="74"/>
      <c r="E2490" s="75"/>
      <c r="F2490" s="75"/>
      <c r="K2490" s="72"/>
      <c r="L2490" s="73"/>
      <c r="M2490" s="70"/>
      <c r="N2490" s="74"/>
      <c r="O2490" s="75"/>
      <c r="P2490" s="75"/>
      <c r="U2490" s="72"/>
      <c r="V2490" s="73"/>
      <c r="W2490" s="70"/>
      <c r="X2490" s="74"/>
      <c r="Y2490" s="75"/>
      <c r="Z2490" s="75"/>
    </row>
    <row r="2491" spans="1:26" x14ac:dyDescent="0.3">
      <c r="A2491" s="72"/>
      <c r="B2491" s="73"/>
      <c r="C2491" s="70"/>
      <c r="D2491" s="74"/>
      <c r="E2491" s="75"/>
      <c r="F2491" s="75"/>
      <c r="K2491" s="72"/>
      <c r="L2491" s="73"/>
      <c r="M2491" s="70"/>
      <c r="N2491" s="74"/>
      <c r="O2491" s="75"/>
      <c r="P2491" s="75"/>
      <c r="U2491" s="72"/>
      <c r="V2491" s="73"/>
      <c r="W2491" s="70"/>
      <c r="X2491" s="74"/>
      <c r="Y2491" s="75"/>
      <c r="Z2491" s="75"/>
    </row>
    <row r="2492" spans="1:26" x14ac:dyDescent="0.3">
      <c r="A2492" s="72"/>
      <c r="B2492" s="73"/>
      <c r="C2492" s="70"/>
      <c r="D2492" s="74"/>
      <c r="E2492" s="75"/>
      <c r="F2492" s="75"/>
      <c r="K2492" s="72"/>
      <c r="L2492" s="73"/>
      <c r="M2492" s="70"/>
      <c r="N2492" s="74"/>
      <c r="O2492" s="75"/>
      <c r="P2492" s="75"/>
      <c r="U2492" s="72"/>
      <c r="V2492" s="73"/>
      <c r="W2492" s="70"/>
      <c r="X2492" s="74"/>
      <c r="Y2492" s="75"/>
      <c r="Z2492" s="75"/>
    </row>
    <row r="2493" spans="1:26" x14ac:dyDescent="0.3">
      <c r="A2493" s="72"/>
      <c r="B2493" s="73"/>
      <c r="C2493" s="70"/>
      <c r="D2493" s="74"/>
      <c r="E2493" s="75"/>
      <c r="F2493" s="75"/>
      <c r="K2493" s="72"/>
      <c r="L2493" s="73"/>
      <c r="M2493" s="70"/>
      <c r="N2493" s="74"/>
      <c r="O2493" s="75"/>
      <c r="P2493" s="75"/>
      <c r="U2493" s="72"/>
      <c r="V2493" s="73"/>
      <c r="W2493" s="70"/>
      <c r="X2493" s="74"/>
      <c r="Y2493" s="75"/>
      <c r="Z2493" s="75"/>
    </row>
    <row r="2494" spans="1:26" x14ac:dyDescent="0.3">
      <c r="A2494" s="72"/>
      <c r="B2494" s="73"/>
      <c r="C2494" s="70"/>
      <c r="D2494" s="74"/>
      <c r="E2494" s="75"/>
      <c r="F2494" s="75"/>
      <c r="K2494" s="72"/>
      <c r="L2494" s="73"/>
      <c r="M2494" s="70"/>
      <c r="N2494" s="74"/>
      <c r="O2494" s="75"/>
      <c r="P2494" s="75"/>
      <c r="U2494" s="72"/>
      <c r="V2494" s="73"/>
      <c r="W2494" s="70"/>
      <c r="X2494" s="74"/>
      <c r="Y2494" s="75"/>
      <c r="Z2494" s="75"/>
    </row>
    <row r="2495" spans="1:26" x14ac:dyDescent="0.3">
      <c r="A2495" s="72"/>
      <c r="B2495" s="73"/>
      <c r="C2495" s="70"/>
      <c r="D2495" s="74"/>
      <c r="E2495" s="75"/>
      <c r="F2495" s="75"/>
      <c r="K2495" s="72"/>
      <c r="L2495" s="73"/>
      <c r="M2495" s="70"/>
      <c r="N2495" s="74"/>
      <c r="O2495" s="75"/>
      <c r="P2495" s="75"/>
      <c r="U2495" s="72"/>
      <c r="V2495" s="73"/>
      <c r="W2495" s="70"/>
      <c r="X2495" s="74"/>
      <c r="Y2495" s="75"/>
      <c r="Z2495" s="75"/>
    </row>
    <row r="2496" spans="1:26" x14ac:dyDescent="0.3">
      <c r="A2496" s="72"/>
      <c r="B2496" s="73"/>
      <c r="C2496" s="70"/>
      <c r="D2496" s="74"/>
      <c r="E2496" s="75"/>
      <c r="F2496" s="75"/>
      <c r="K2496" s="72"/>
      <c r="L2496" s="73"/>
      <c r="M2496" s="70"/>
      <c r="N2496" s="74"/>
      <c r="O2496" s="75"/>
      <c r="P2496" s="75"/>
      <c r="U2496" s="72"/>
      <c r="V2496" s="73"/>
      <c r="W2496" s="70"/>
      <c r="X2496" s="74"/>
      <c r="Y2496" s="75"/>
      <c r="Z2496" s="75"/>
    </row>
    <row r="2497" spans="1:26" x14ac:dyDescent="0.3">
      <c r="A2497" s="72"/>
      <c r="B2497" s="73"/>
      <c r="C2497" s="70"/>
      <c r="D2497" s="74"/>
      <c r="E2497" s="75"/>
      <c r="F2497" s="75"/>
      <c r="K2497" s="72"/>
      <c r="L2497" s="73"/>
      <c r="M2497" s="70"/>
      <c r="N2497" s="74"/>
      <c r="O2497" s="75"/>
      <c r="P2497" s="75"/>
      <c r="U2497" s="72"/>
      <c r="V2497" s="73"/>
      <c r="W2497" s="70"/>
      <c r="X2497" s="74"/>
      <c r="Y2497" s="75"/>
      <c r="Z2497" s="75"/>
    </row>
    <row r="2498" spans="1:26" x14ac:dyDescent="0.3">
      <c r="A2498" s="72"/>
      <c r="B2498" s="73"/>
      <c r="C2498" s="70"/>
      <c r="D2498" s="74"/>
      <c r="E2498" s="75"/>
      <c r="F2498" s="75"/>
      <c r="K2498" s="72"/>
      <c r="L2498" s="73"/>
      <c r="M2498" s="70"/>
      <c r="N2498" s="74"/>
      <c r="O2498" s="75"/>
      <c r="P2498" s="75"/>
      <c r="U2498" s="72"/>
      <c r="V2498" s="73"/>
      <c r="W2498" s="70"/>
      <c r="X2498" s="74"/>
      <c r="Y2498" s="75"/>
      <c r="Z2498" s="75"/>
    </row>
    <row r="2499" spans="1:26" x14ac:dyDescent="0.3">
      <c r="A2499" s="72"/>
      <c r="B2499" s="73"/>
      <c r="C2499" s="70"/>
      <c r="D2499" s="74"/>
      <c r="E2499" s="75"/>
      <c r="F2499" s="75"/>
      <c r="K2499" s="72"/>
      <c r="L2499" s="73"/>
      <c r="M2499" s="70"/>
      <c r="N2499" s="74"/>
      <c r="O2499" s="75"/>
      <c r="P2499" s="75"/>
      <c r="U2499" s="72"/>
      <c r="V2499" s="73"/>
      <c r="W2499" s="70"/>
      <c r="X2499" s="74"/>
      <c r="Y2499" s="75"/>
      <c r="Z2499" s="75"/>
    </row>
    <row r="2500" spans="1:26" x14ac:dyDescent="0.3">
      <c r="A2500" s="72"/>
      <c r="B2500" s="73"/>
      <c r="C2500" s="70"/>
      <c r="D2500" s="74"/>
      <c r="E2500" s="75"/>
      <c r="F2500" s="75"/>
      <c r="K2500" s="72"/>
      <c r="L2500" s="73"/>
      <c r="M2500" s="70"/>
      <c r="N2500" s="74"/>
      <c r="O2500" s="75"/>
      <c r="P2500" s="75"/>
      <c r="U2500" s="72"/>
      <c r="V2500" s="73"/>
      <c r="W2500" s="70"/>
      <c r="X2500" s="74"/>
      <c r="Y2500" s="75"/>
      <c r="Z2500" s="75"/>
    </row>
    <row r="2501" spans="1:26" x14ac:dyDescent="0.3">
      <c r="A2501" s="72"/>
      <c r="B2501" s="73"/>
      <c r="C2501" s="70"/>
      <c r="D2501" s="74"/>
      <c r="E2501" s="75"/>
      <c r="F2501" s="75"/>
      <c r="K2501" s="72"/>
      <c r="L2501" s="73"/>
      <c r="M2501" s="70"/>
      <c r="N2501" s="74"/>
      <c r="O2501" s="75"/>
      <c r="P2501" s="75"/>
      <c r="U2501" s="72"/>
      <c r="V2501" s="73"/>
      <c r="W2501" s="70"/>
      <c r="X2501" s="74"/>
      <c r="Y2501" s="75"/>
      <c r="Z2501" s="75"/>
    </row>
    <row r="2502" spans="1:26" x14ac:dyDescent="0.3">
      <c r="A2502" s="72"/>
      <c r="B2502" s="73"/>
      <c r="C2502" s="70"/>
      <c r="D2502" s="74"/>
      <c r="E2502" s="75"/>
      <c r="F2502" s="75"/>
      <c r="K2502" s="72"/>
      <c r="L2502" s="73"/>
      <c r="M2502" s="70"/>
      <c r="N2502" s="74"/>
      <c r="O2502" s="75"/>
      <c r="P2502" s="75"/>
      <c r="U2502" s="72"/>
      <c r="V2502" s="73"/>
      <c r="W2502" s="70"/>
      <c r="X2502" s="74"/>
      <c r="Y2502" s="75"/>
      <c r="Z2502" s="75"/>
    </row>
    <row r="2503" spans="1:26" x14ac:dyDescent="0.3">
      <c r="A2503" s="72"/>
      <c r="B2503" s="73"/>
      <c r="C2503" s="70"/>
      <c r="D2503" s="74"/>
      <c r="E2503" s="75"/>
      <c r="F2503" s="75"/>
      <c r="K2503" s="72"/>
      <c r="L2503" s="73"/>
      <c r="M2503" s="70"/>
      <c r="N2503" s="74"/>
      <c r="O2503" s="75"/>
      <c r="P2503" s="75"/>
      <c r="U2503" s="72"/>
      <c r="V2503" s="73"/>
      <c r="W2503" s="70"/>
      <c r="X2503" s="74"/>
      <c r="Y2503" s="75"/>
      <c r="Z2503" s="75"/>
    </row>
    <row r="2504" spans="1:26" x14ac:dyDescent="0.3">
      <c r="A2504" s="72"/>
      <c r="B2504" s="73"/>
      <c r="C2504" s="70"/>
      <c r="D2504" s="74"/>
      <c r="E2504" s="75"/>
      <c r="F2504" s="75"/>
      <c r="K2504" s="72"/>
      <c r="L2504" s="73"/>
      <c r="M2504" s="70"/>
      <c r="N2504" s="74"/>
      <c r="O2504" s="75"/>
      <c r="P2504" s="75"/>
      <c r="U2504" s="72"/>
      <c r="V2504" s="73"/>
      <c r="W2504" s="70"/>
      <c r="X2504" s="74"/>
      <c r="Y2504" s="75"/>
      <c r="Z2504" s="75"/>
    </row>
    <row r="2505" spans="1:26" x14ac:dyDescent="0.3">
      <c r="A2505" s="72"/>
      <c r="B2505" s="73"/>
      <c r="C2505" s="70"/>
      <c r="D2505" s="74"/>
      <c r="E2505" s="75"/>
      <c r="F2505" s="75"/>
      <c r="K2505" s="72"/>
      <c r="L2505" s="73"/>
      <c r="M2505" s="70"/>
      <c r="N2505" s="74"/>
      <c r="O2505" s="75"/>
      <c r="P2505" s="75"/>
      <c r="U2505" s="72"/>
      <c r="V2505" s="73"/>
      <c r="W2505" s="70"/>
      <c r="X2505" s="74"/>
      <c r="Y2505" s="75"/>
      <c r="Z2505" s="75"/>
    </row>
    <row r="2506" spans="1:26" x14ac:dyDescent="0.3">
      <c r="A2506" s="72"/>
      <c r="B2506" s="73"/>
      <c r="C2506" s="70"/>
      <c r="D2506" s="74"/>
      <c r="E2506" s="75"/>
      <c r="F2506" s="75"/>
      <c r="K2506" s="72"/>
      <c r="L2506" s="73"/>
      <c r="M2506" s="70"/>
      <c r="N2506" s="74"/>
      <c r="O2506" s="75"/>
      <c r="P2506" s="75"/>
      <c r="U2506" s="72"/>
      <c r="V2506" s="73"/>
      <c r="W2506" s="70"/>
      <c r="X2506" s="74"/>
      <c r="Y2506" s="75"/>
      <c r="Z2506" s="75"/>
    </row>
    <row r="2507" spans="1:26" x14ac:dyDescent="0.3">
      <c r="A2507" s="72"/>
      <c r="B2507" s="73"/>
      <c r="C2507" s="70"/>
      <c r="D2507" s="74"/>
      <c r="E2507" s="75"/>
      <c r="F2507" s="75"/>
      <c r="K2507" s="72"/>
      <c r="L2507" s="73"/>
      <c r="M2507" s="70"/>
      <c r="N2507" s="74"/>
      <c r="O2507" s="75"/>
      <c r="P2507" s="75"/>
      <c r="U2507" s="72"/>
      <c r="V2507" s="73"/>
      <c r="W2507" s="70"/>
      <c r="X2507" s="74"/>
      <c r="Y2507" s="75"/>
      <c r="Z2507" s="75"/>
    </row>
    <row r="2508" spans="1:26" x14ac:dyDescent="0.3">
      <c r="A2508" s="72"/>
      <c r="B2508" s="73"/>
      <c r="C2508" s="70"/>
      <c r="D2508" s="74"/>
      <c r="E2508" s="75"/>
      <c r="F2508" s="75"/>
      <c r="K2508" s="72"/>
      <c r="L2508" s="73"/>
      <c r="M2508" s="70"/>
      <c r="N2508" s="74"/>
      <c r="O2508" s="75"/>
      <c r="P2508" s="75"/>
      <c r="U2508" s="72"/>
      <c r="V2508" s="73"/>
      <c r="W2508" s="70"/>
      <c r="X2508" s="74"/>
      <c r="Y2508" s="75"/>
      <c r="Z2508" s="75"/>
    </row>
    <row r="2509" spans="1:26" x14ac:dyDescent="0.3">
      <c r="A2509" s="72"/>
      <c r="B2509" s="73"/>
      <c r="C2509" s="70"/>
      <c r="D2509" s="74"/>
      <c r="E2509" s="75"/>
      <c r="F2509" s="75"/>
      <c r="K2509" s="72"/>
      <c r="L2509" s="73"/>
      <c r="M2509" s="70"/>
      <c r="N2509" s="74"/>
      <c r="O2509" s="75"/>
      <c r="P2509" s="75"/>
      <c r="U2509" s="72"/>
      <c r="V2509" s="73"/>
      <c r="W2509" s="70"/>
      <c r="X2509" s="74"/>
      <c r="Y2509" s="75"/>
      <c r="Z2509" s="75"/>
    </row>
    <row r="2510" spans="1:26" x14ac:dyDescent="0.3">
      <c r="A2510" s="72"/>
      <c r="B2510" s="73"/>
      <c r="C2510" s="70"/>
      <c r="D2510" s="74"/>
      <c r="E2510" s="75"/>
      <c r="F2510" s="75"/>
      <c r="K2510" s="72"/>
      <c r="L2510" s="73"/>
      <c r="M2510" s="70"/>
      <c r="N2510" s="74"/>
      <c r="O2510" s="75"/>
      <c r="P2510" s="75"/>
      <c r="U2510" s="72"/>
      <c r="V2510" s="73"/>
      <c r="W2510" s="70"/>
      <c r="X2510" s="74"/>
      <c r="Y2510" s="75"/>
      <c r="Z2510" s="75"/>
    </row>
    <row r="2511" spans="1:26" x14ac:dyDescent="0.3">
      <c r="A2511" s="72"/>
      <c r="B2511" s="73"/>
      <c r="C2511" s="70"/>
      <c r="D2511" s="74"/>
      <c r="E2511" s="75"/>
      <c r="F2511" s="75"/>
      <c r="K2511" s="72"/>
      <c r="L2511" s="73"/>
      <c r="M2511" s="70"/>
      <c r="N2511" s="74"/>
      <c r="O2511" s="75"/>
      <c r="P2511" s="75"/>
      <c r="U2511" s="72"/>
      <c r="V2511" s="73"/>
      <c r="W2511" s="70"/>
      <c r="X2511" s="74"/>
      <c r="Y2511" s="75"/>
      <c r="Z2511" s="75"/>
    </row>
    <row r="2512" spans="1:26" x14ac:dyDescent="0.3">
      <c r="A2512" s="72"/>
      <c r="B2512" s="73"/>
      <c r="C2512" s="70"/>
      <c r="D2512" s="74"/>
      <c r="E2512" s="75"/>
      <c r="F2512" s="75"/>
      <c r="K2512" s="72"/>
      <c r="L2512" s="73"/>
      <c r="M2512" s="70"/>
      <c r="N2512" s="74"/>
      <c r="O2512" s="75"/>
      <c r="P2512" s="75"/>
      <c r="U2512" s="72"/>
      <c r="V2512" s="73"/>
      <c r="W2512" s="70"/>
      <c r="X2512" s="74"/>
      <c r="Y2512" s="75"/>
      <c r="Z2512" s="75"/>
    </row>
    <row r="2513" spans="1:26" x14ac:dyDescent="0.3">
      <c r="A2513" s="72"/>
      <c r="B2513" s="73"/>
      <c r="C2513" s="70"/>
      <c r="D2513" s="74"/>
      <c r="E2513" s="75"/>
      <c r="F2513" s="75"/>
      <c r="K2513" s="72"/>
      <c r="L2513" s="73"/>
      <c r="M2513" s="70"/>
      <c r="N2513" s="74"/>
      <c r="O2513" s="75"/>
      <c r="P2513" s="75"/>
      <c r="U2513" s="72"/>
      <c r="V2513" s="73"/>
      <c r="W2513" s="70"/>
      <c r="X2513" s="74"/>
      <c r="Y2513" s="75"/>
      <c r="Z2513" s="75"/>
    </row>
    <row r="2514" spans="1:26" x14ac:dyDescent="0.3">
      <c r="A2514" s="72"/>
      <c r="B2514" s="73"/>
      <c r="C2514" s="70"/>
      <c r="D2514" s="74"/>
      <c r="E2514" s="75"/>
      <c r="F2514" s="75"/>
      <c r="K2514" s="72"/>
      <c r="L2514" s="73"/>
      <c r="M2514" s="70"/>
      <c r="N2514" s="74"/>
      <c r="O2514" s="75"/>
      <c r="P2514" s="75"/>
      <c r="U2514" s="72"/>
      <c r="V2514" s="73"/>
      <c r="W2514" s="70"/>
      <c r="X2514" s="74"/>
      <c r="Y2514" s="75"/>
      <c r="Z2514" s="75"/>
    </row>
    <row r="2515" spans="1:26" x14ac:dyDescent="0.3">
      <c r="A2515" s="72"/>
      <c r="B2515" s="73"/>
      <c r="C2515" s="70"/>
      <c r="D2515" s="74"/>
      <c r="E2515" s="75"/>
      <c r="F2515" s="75"/>
      <c r="K2515" s="72"/>
      <c r="L2515" s="73"/>
      <c r="M2515" s="70"/>
      <c r="N2515" s="74"/>
      <c r="O2515" s="75"/>
      <c r="P2515" s="75"/>
      <c r="U2515" s="72"/>
      <c r="V2515" s="73"/>
      <c r="W2515" s="70"/>
      <c r="X2515" s="74"/>
      <c r="Y2515" s="75"/>
      <c r="Z2515" s="75"/>
    </row>
    <row r="2516" spans="1:26" x14ac:dyDescent="0.3">
      <c r="A2516" s="72"/>
      <c r="B2516" s="73"/>
      <c r="C2516" s="70"/>
      <c r="D2516" s="74"/>
      <c r="E2516" s="75"/>
      <c r="F2516" s="75"/>
      <c r="K2516" s="72"/>
      <c r="L2516" s="73"/>
      <c r="M2516" s="70"/>
      <c r="N2516" s="74"/>
      <c r="O2516" s="75"/>
      <c r="P2516" s="75"/>
      <c r="U2516" s="72"/>
      <c r="V2516" s="73"/>
      <c r="W2516" s="70"/>
      <c r="X2516" s="74"/>
      <c r="Y2516" s="75"/>
      <c r="Z2516" s="75"/>
    </row>
    <row r="2517" spans="1:26" x14ac:dyDescent="0.3">
      <c r="A2517" s="72"/>
      <c r="B2517" s="73"/>
      <c r="C2517" s="70"/>
      <c r="D2517" s="74"/>
      <c r="E2517" s="75"/>
      <c r="F2517" s="75"/>
      <c r="K2517" s="72"/>
      <c r="L2517" s="73"/>
      <c r="M2517" s="70"/>
      <c r="N2517" s="74"/>
      <c r="O2517" s="75"/>
      <c r="P2517" s="75"/>
      <c r="U2517" s="72"/>
      <c r="V2517" s="73"/>
      <c r="W2517" s="70"/>
      <c r="X2517" s="74"/>
      <c r="Y2517" s="75"/>
      <c r="Z2517" s="75"/>
    </row>
    <row r="2518" spans="1:26" x14ac:dyDescent="0.3">
      <c r="A2518" s="72"/>
      <c r="B2518" s="73"/>
      <c r="C2518" s="70"/>
      <c r="D2518" s="74"/>
      <c r="E2518" s="75"/>
      <c r="F2518" s="75"/>
      <c r="K2518" s="72"/>
      <c r="L2518" s="73"/>
      <c r="M2518" s="70"/>
      <c r="N2518" s="74"/>
      <c r="O2518" s="75"/>
      <c r="P2518" s="75"/>
      <c r="U2518" s="72"/>
      <c r="V2518" s="73"/>
      <c r="W2518" s="70"/>
      <c r="X2518" s="74"/>
      <c r="Y2518" s="75"/>
      <c r="Z2518" s="75"/>
    </row>
    <row r="2519" spans="1:26" x14ac:dyDescent="0.3">
      <c r="A2519" s="72"/>
      <c r="B2519" s="73"/>
      <c r="C2519" s="70"/>
      <c r="D2519" s="74"/>
      <c r="E2519" s="75"/>
      <c r="F2519" s="75"/>
      <c r="K2519" s="72"/>
      <c r="L2519" s="73"/>
      <c r="M2519" s="70"/>
      <c r="N2519" s="74"/>
      <c r="O2519" s="75"/>
      <c r="P2519" s="75"/>
      <c r="U2519" s="72"/>
      <c r="V2519" s="73"/>
      <c r="W2519" s="70"/>
      <c r="X2519" s="74"/>
      <c r="Y2519" s="75"/>
      <c r="Z2519" s="75"/>
    </row>
    <row r="2520" spans="1:26" x14ac:dyDescent="0.3">
      <c r="A2520" s="72"/>
      <c r="B2520" s="73"/>
      <c r="C2520" s="70"/>
      <c r="D2520" s="74"/>
      <c r="E2520" s="75"/>
      <c r="F2520" s="75"/>
      <c r="K2520" s="72"/>
      <c r="L2520" s="73"/>
      <c r="M2520" s="70"/>
      <c r="N2520" s="74"/>
      <c r="O2520" s="75"/>
      <c r="P2520" s="75"/>
      <c r="U2520" s="72"/>
      <c r="V2520" s="73"/>
      <c r="W2520" s="70"/>
      <c r="X2520" s="74"/>
      <c r="Y2520" s="75"/>
      <c r="Z2520" s="75"/>
    </row>
    <row r="2521" spans="1:26" x14ac:dyDescent="0.3">
      <c r="A2521" s="72"/>
      <c r="B2521" s="73"/>
      <c r="C2521" s="70"/>
      <c r="D2521" s="74"/>
      <c r="E2521" s="75"/>
      <c r="F2521" s="75"/>
      <c r="K2521" s="72"/>
      <c r="L2521" s="73"/>
      <c r="M2521" s="70"/>
      <c r="N2521" s="74"/>
      <c r="O2521" s="75"/>
      <c r="P2521" s="75"/>
      <c r="U2521" s="72"/>
      <c r="V2521" s="73"/>
      <c r="W2521" s="70"/>
      <c r="X2521" s="74"/>
      <c r="Y2521" s="75"/>
      <c r="Z2521" s="75"/>
    </row>
    <row r="2522" spans="1:26" x14ac:dyDescent="0.3">
      <c r="A2522" s="72"/>
      <c r="B2522" s="73"/>
      <c r="C2522" s="70"/>
      <c r="D2522" s="74"/>
      <c r="E2522" s="75"/>
      <c r="F2522" s="75"/>
      <c r="K2522" s="72"/>
      <c r="L2522" s="73"/>
      <c r="M2522" s="70"/>
      <c r="N2522" s="74"/>
      <c r="O2522" s="75"/>
      <c r="P2522" s="75"/>
      <c r="U2522" s="72"/>
      <c r="V2522" s="73"/>
      <c r="W2522" s="70"/>
      <c r="X2522" s="74"/>
      <c r="Y2522" s="75"/>
      <c r="Z2522" s="75"/>
    </row>
    <row r="2523" spans="1:26" x14ac:dyDescent="0.3">
      <c r="A2523" s="72"/>
      <c r="B2523" s="73"/>
      <c r="C2523" s="70"/>
      <c r="D2523" s="74"/>
      <c r="E2523" s="75"/>
      <c r="F2523" s="75"/>
      <c r="K2523" s="72"/>
      <c r="L2523" s="73"/>
      <c r="M2523" s="70"/>
      <c r="N2523" s="74"/>
      <c r="O2523" s="75"/>
      <c r="P2523" s="75"/>
      <c r="U2523" s="72"/>
      <c r="V2523" s="73"/>
      <c r="W2523" s="70"/>
      <c r="X2523" s="74"/>
      <c r="Y2523" s="75"/>
      <c r="Z2523" s="75"/>
    </row>
    <row r="2524" spans="1:26" x14ac:dyDescent="0.3">
      <c r="A2524" s="72"/>
      <c r="B2524" s="73"/>
      <c r="C2524" s="70"/>
      <c r="D2524" s="74"/>
      <c r="E2524" s="75"/>
      <c r="F2524" s="75"/>
      <c r="K2524" s="72"/>
      <c r="L2524" s="73"/>
      <c r="M2524" s="70"/>
      <c r="N2524" s="74"/>
      <c r="O2524" s="75"/>
      <c r="P2524" s="75"/>
      <c r="U2524" s="72"/>
      <c r="V2524" s="73"/>
      <c r="W2524" s="70"/>
      <c r="X2524" s="74"/>
      <c r="Y2524" s="75"/>
      <c r="Z2524" s="75"/>
    </row>
    <row r="2525" spans="1:26" x14ac:dyDescent="0.3">
      <c r="A2525" s="72"/>
      <c r="B2525" s="73"/>
      <c r="C2525" s="70"/>
      <c r="D2525" s="74"/>
      <c r="E2525" s="75"/>
      <c r="F2525" s="75"/>
      <c r="K2525" s="72"/>
      <c r="L2525" s="73"/>
      <c r="M2525" s="70"/>
      <c r="N2525" s="74"/>
      <c r="O2525" s="75"/>
      <c r="P2525" s="75"/>
      <c r="U2525" s="72"/>
      <c r="V2525" s="73"/>
      <c r="W2525" s="70"/>
      <c r="X2525" s="74"/>
      <c r="Y2525" s="75"/>
      <c r="Z2525" s="75"/>
    </row>
    <row r="2526" spans="1:26" x14ac:dyDescent="0.3">
      <c r="A2526" s="72"/>
      <c r="B2526" s="73"/>
      <c r="C2526" s="70"/>
      <c r="D2526" s="74"/>
      <c r="E2526" s="75"/>
      <c r="F2526" s="75"/>
      <c r="K2526" s="72"/>
      <c r="L2526" s="73"/>
      <c r="M2526" s="70"/>
      <c r="N2526" s="74"/>
      <c r="O2526" s="75"/>
      <c r="P2526" s="75"/>
      <c r="U2526" s="72"/>
      <c r="V2526" s="73"/>
      <c r="W2526" s="70"/>
      <c r="X2526" s="74"/>
      <c r="Y2526" s="75"/>
      <c r="Z2526" s="75"/>
    </row>
    <row r="2527" spans="1:26" x14ac:dyDescent="0.3">
      <c r="A2527" s="72"/>
      <c r="B2527" s="73"/>
      <c r="C2527" s="70"/>
      <c r="D2527" s="74"/>
      <c r="E2527" s="75"/>
      <c r="F2527" s="75"/>
      <c r="K2527" s="72"/>
      <c r="L2527" s="73"/>
      <c r="M2527" s="70"/>
      <c r="N2527" s="74"/>
      <c r="O2527" s="75"/>
      <c r="P2527" s="75"/>
      <c r="U2527" s="72"/>
      <c r="V2527" s="73"/>
      <c r="W2527" s="70"/>
      <c r="X2527" s="74"/>
      <c r="Y2527" s="75"/>
      <c r="Z2527" s="75"/>
    </row>
    <row r="2528" spans="1:26" x14ac:dyDescent="0.3">
      <c r="A2528" s="72"/>
      <c r="B2528" s="73"/>
      <c r="C2528" s="70"/>
      <c r="D2528" s="74"/>
      <c r="E2528" s="75"/>
      <c r="F2528" s="75"/>
      <c r="K2528" s="72"/>
      <c r="L2528" s="73"/>
      <c r="M2528" s="70"/>
      <c r="N2528" s="74"/>
      <c r="O2528" s="75"/>
      <c r="P2528" s="75"/>
      <c r="U2528" s="72"/>
      <c r="V2528" s="73"/>
      <c r="W2528" s="70"/>
      <c r="X2528" s="74"/>
      <c r="Y2528" s="75"/>
      <c r="Z2528" s="75"/>
    </row>
    <row r="2529" spans="1:26" x14ac:dyDescent="0.3">
      <c r="A2529" s="72"/>
      <c r="B2529" s="73"/>
      <c r="C2529" s="70"/>
      <c r="D2529" s="74"/>
      <c r="E2529" s="75"/>
      <c r="F2529" s="75"/>
      <c r="K2529" s="72"/>
      <c r="L2529" s="73"/>
      <c r="M2529" s="70"/>
      <c r="N2529" s="74"/>
      <c r="O2529" s="75"/>
      <c r="P2529" s="75"/>
      <c r="U2529" s="72"/>
      <c r="V2529" s="73"/>
      <c r="W2529" s="70"/>
      <c r="X2529" s="74"/>
      <c r="Y2529" s="75"/>
      <c r="Z2529" s="75"/>
    </row>
    <row r="2530" spans="1:26" x14ac:dyDescent="0.3">
      <c r="A2530" s="72"/>
      <c r="B2530" s="73"/>
      <c r="C2530" s="70"/>
      <c r="D2530" s="74"/>
      <c r="E2530" s="75"/>
      <c r="F2530" s="75"/>
      <c r="K2530" s="72"/>
      <c r="L2530" s="73"/>
      <c r="M2530" s="70"/>
      <c r="N2530" s="74"/>
      <c r="O2530" s="75"/>
      <c r="P2530" s="75"/>
      <c r="U2530" s="72"/>
      <c r="V2530" s="73"/>
      <c r="W2530" s="70"/>
      <c r="X2530" s="74"/>
      <c r="Y2530" s="75"/>
      <c r="Z2530" s="75"/>
    </row>
    <row r="2531" spans="1:26" x14ac:dyDescent="0.3">
      <c r="A2531" s="72"/>
      <c r="B2531" s="73"/>
      <c r="C2531" s="70"/>
      <c r="D2531" s="74"/>
      <c r="E2531" s="75"/>
      <c r="F2531" s="75"/>
      <c r="K2531" s="72"/>
      <c r="L2531" s="73"/>
      <c r="M2531" s="70"/>
      <c r="N2531" s="74"/>
      <c r="O2531" s="75"/>
      <c r="P2531" s="75"/>
      <c r="U2531" s="72"/>
      <c r="V2531" s="73"/>
      <c r="W2531" s="70"/>
      <c r="X2531" s="74"/>
      <c r="Y2531" s="75"/>
      <c r="Z2531" s="75"/>
    </row>
    <row r="2532" spans="1:26" x14ac:dyDescent="0.3">
      <c r="A2532" s="72"/>
      <c r="B2532" s="73"/>
      <c r="C2532" s="70"/>
      <c r="D2532" s="74"/>
      <c r="E2532" s="75"/>
      <c r="F2532" s="75"/>
      <c r="K2532" s="72"/>
      <c r="L2532" s="73"/>
      <c r="M2532" s="70"/>
      <c r="N2532" s="74"/>
      <c r="O2532" s="75"/>
      <c r="P2532" s="75"/>
      <c r="U2532" s="72"/>
      <c r="V2532" s="73"/>
      <c r="W2532" s="70"/>
      <c r="X2532" s="74"/>
      <c r="Y2532" s="75"/>
      <c r="Z2532" s="75"/>
    </row>
    <row r="2533" spans="1:26" x14ac:dyDescent="0.3">
      <c r="A2533" s="72"/>
      <c r="B2533" s="73"/>
      <c r="C2533" s="70"/>
      <c r="D2533" s="74"/>
      <c r="E2533" s="75"/>
      <c r="F2533" s="75"/>
      <c r="K2533" s="72"/>
      <c r="L2533" s="73"/>
      <c r="M2533" s="70"/>
      <c r="N2533" s="74"/>
      <c r="O2533" s="75"/>
      <c r="P2533" s="75"/>
      <c r="U2533" s="72"/>
      <c r="V2533" s="73"/>
      <c r="W2533" s="70"/>
      <c r="X2533" s="74"/>
      <c r="Y2533" s="75"/>
      <c r="Z2533" s="75"/>
    </row>
    <row r="2534" spans="1:26" x14ac:dyDescent="0.3">
      <c r="A2534" s="72"/>
      <c r="B2534" s="73"/>
      <c r="C2534" s="70"/>
      <c r="D2534" s="74"/>
      <c r="E2534" s="75"/>
      <c r="F2534" s="75"/>
      <c r="K2534" s="72"/>
      <c r="L2534" s="73"/>
      <c r="M2534" s="70"/>
      <c r="N2534" s="74"/>
      <c r="O2534" s="75"/>
      <c r="P2534" s="75"/>
      <c r="U2534" s="72"/>
      <c r="V2534" s="73"/>
      <c r="W2534" s="70"/>
      <c r="X2534" s="74"/>
      <c r="Y2534" s="75"/>
      <c r="Z2534" s="75"/>
    </row>
    <row r="2535" spans="1:26" x14ac:dyDescent="0.3">
      <c r="A2535" s="72"/>
      <c r="B2535" s="73"/>
      <c r="C2535" s="70"/>
      <c r="D2535" s="74"/>
      <c r="E2535" s="75"/>
      <c r="F2535" s="75"/>
      <c r="K2535" s="72"/>
      <c r="L2535" s="73"/>
      <c r="M2535" s="70"/>
      <c r="N2535" s="74"/>
      <c r="O2535" s="75"/>
      <c r="P2535" s="75"/>
      <c r="U2535" s="72"/>
      <c r="V2535" s="73"/>
      <c r="W2535" s="70"/>
      <c r="X2535" s="74"/>
      <c r="Y2535" s="75"/>
      <c r="Z2535" s="75"/>
    </row>
    <row r="2536" spans="1:26" x14ac:dyDescent="0.3">
      <c r="A2536" s="72"/>
      <c r="B2536" s="73"/>
      <c r="C2536" s="70"/>
      <c r="D2536" s="74"/>
      <c r="E2536" s="75"/>
      <c r="F2536" s="75"/>
      <c r="K2536" s="72"/>
      <c r="L2536" s="73"/>
      <c r="M2536" s="70"/>
      <c r="N2536" s="74"/>
      <c r="O2536" s="75"/>
      <c r="P2536" s="75"/>
      <c r="U2536" s="72"/>
      <c r="V2536" s="73"/>
      <c r="W2536" s="70"/>
      <c r="X2536" s="74"/>
      <c r="Y2536" s="75"/>
      <c r="Z2536" s="75"/>
    </row>
    <row r="2537" spans="1:26" x14ac:dyDescent="0.3">
      <c r="A2537" s="72"/>
      <c r="B2537" s="73"/>
      <c r="C2537" s="70"/>
      <c r="D2537" s="74"/>
      <c r="E2537" s="75"/>
      <c r="F2537" s="75"/>
      <c r="K2537" s="72"/>
      <c r="L2537" s="73"/>
      <c r="M2537" s="70"/>
      <c r="N2537" s="74"/>
      <c r="O2537" s="75"/>
      <c r="P2537" s="75"/>
      <c r="U2537" s="72"/>
      <c r="V2537" s="73"/>
      <c r="W2537" s="70"/>
      <c r="X2537" s="74"/>
      <c r="Y2537" s="75"/>
      <c r="Z2537" s="75"/>
    </row>
    <row r="2538" spans="1:26" x14ac:dyDescent="0.3">
      <c r="A2538" s="72"/>
      <c r="B2538" s="73"/>
      <c r="C2538" s="70"/>
      <c r="D2538" s="74"/>
      <c r="E2538" s="75"/>
      <c r="F2538" s="75"/>
      <c r="K2538" s="72"/>
      <c r="L2538" s="73"/>
      <c r="M2538" s="70"/>
      <c r="N2538" s="74"/>
      <c r="O2538" s="75"/>
      <c r="P2538" s="75"/>
      <c r="U2538" s="72"/>
      <c r="V2538" s="73"/>
      <c r="W2538" s="70"/>
      <c r="X2538" s="74"/>
      <c r="Y2538" s="75"/>
      <c r="Z2538" s="75"/>
    </row>
    <row r="2539" spans="1:26" x14ac:dyDescent="0.3">
      <c r="A2539" s="72"/>
      <c r="B2539" s="73"/>
      <c r="C2539" s="70"/>
      <c r="D2539" s="74"/>
      <c r="E2539" s="75"/>
      <c r="F2539" s="75"/>
      <c r="K2539" s="72"/>
      <c r="L2539" s="73"/>
      <c r="M2539" s="70"/>
      <c r="N2539" s="74"/>
      <c r="O2539" s="75"/>
      <c r="P2539" s="75"/>
      <c r="U2539" s="72"/>
      <c r="V2539" s="73"/>
      <c r="W2539" s="70"/>
      <c r="X2539" s="74"/>
      <c r="Y2539" s="75"/>
      <c r="Z2539" s="75"/>
    </row>
    <row r="2540" spans="1:26" x14ac:dyDescent="0.3">
      <c r="A2540" s="72"/>
      <c r="B2540" s="73"/>
      <c r="C2540" s="70"/>
      <c r="D2540" s="74"/>
      <c r="E2540" s="75"/>
      <c r="F2540" s="75"/>
      <c r="K2540" s="72"/>
      <c r="L2540" s="73"/>
      <c r="M2540" s="70"/>
      <c r="N2540" s="74"/>
      <c r="O2540" s="75"/>
      <c r="P2540" s="75"/>
      <c r="U2540" s="72"/>
      <c r="V2540" s="73"/>
      <c r="W2540" s="70"/>
      <c r="X2540" s="74"/>
      <c r="Y2540" s="75"/>
      <c r="Z2540" s="75"/>
    </row>
    <row r="2541" spans="1:26" x14ac:dyDescent="0.3">
      <c r="A2541" s="72"/>
      <c r="B2541" s="73"/>
      <c r="C2541" s="70"/>
      <c r="D2541" s="74"/>
      <c r="E2541" s="75"/>
      <c r="F2541" s="75"/>
      <c r="K2541" s="72"/>
      <c r="L2541" s="73"/>
      <c r="M2541" s="70"/>
      <c r="N2541" s="74"/>
      <c r="O2541" s="75"/>
      <c r="P2541" s="75"/>
      <c r="U2541" s="72"/>
      <c r="V2541" s="73"/>
      <c r="W2541" s="70"/>
      <c r="X2541" s="74"/>
      <c r="Y2541" s="75"/>
      <c r="Z2541" s="75"/>
    </row>
    <row r="2542" spans="1:26" x14ac:dyDescent="0.3">
      <c r="A2542" s="72"/>
      <c r="B2542" s="73"/>
      <c r="C2542" s="70"/>
      <c r="D2542" s="74"/>
      <c r="E2542" s="75"/>
      <c r="F2542" s="75"/>
      <c r="K2542" s="72"/>
      <c r="L2542" s="73"/>
      <c r="M2542" s="70"/>
      <c r="N2542" s="74"/>
      <c r="O2542" s="75"/>
      <c r="P2542" s="75"/>
      <c r="U2542" s="72"/>
      <c r="V2542" s="73"/>
      <c r="W2542" s="70"/>
      <c r="X2542" s="74"/>
      <c r="Y2542" s="75"/>
      <c r="Z2542" s="75"/>
    </row>
    <row r="2543" spans="1:26" x14ac:dyDescent="0.3">
      <c r="A2543" s="72"/>
      <c r="B2543" s="73"/>
      <c r="C2543" s="70"/>
      <c r="D2543" s="74"/>
      <c r="E2543" s="75"/>
      <c r="F2543" s="75"/>
      <c r="K2543" s="72"/>
      <c r="L2543" s="73"/>
      <c r="M2543" s="70"/>
      <c r="N2543" s="74"/>
      <c r="O2543" s="75"/>
      <c r="P2543" s="75"/>
      <c r="U2543" s="72"/>
      <c r="V2543" s="73"/>
      <c r="W2543" s="70"/>
      <c r="X2543" s="74"/>
      <c r="Y2543" s="75"/>
      <c r="Z2543" s="75"/>
    </row>
    <row r="2544" spans="1:26" x14ac:dyDescent="0.3">
      <c r="A2544" s="72"/>
      <c r="B2544" s="73"/>
      <c r="C2544" s="70"/>
      <c r="D2544" s="74"/>
      <c r="E2544" s="75"/>
      <c r="F2544" s="75"/>
      <c r="K2544" s="72"/>
      <c r="L2544" s="73"/>
      <c r="M2544" s="70"/>
      <c r="N2544" s="74"/>
      <c r="O2544" s="75"/>
      <c r="P2544" s="75"/>
      <c r="U2544" s="72"/>
      <c r="V2544" s="73"/>
      <c r="W2544" s="70"/>
      <c r="X2544" s="74"/>
      <c r="Y2544" s="75"/>
      <c r="Z2544" s="75"/>
    </row>
    <row r="2545" spans="1:26" x14ac:dyDescent="0.3">
      <c r="A2545" s="72"/>
      <c r="B2545" s="73"/>
      <c r="C2545" s="70"/>
      <c r="D2545" s="74"/>
      <c r="E2545" s="75"/>
      <c r="F2545" s="75"/>
      <c r="K2545" s="72"/>
      <c r="L2545" s="73"/>
      <c r="M2545" s="70"/>
      <c r="N2545" s="74"/>
      <c r="O2545" s="75"/>
      <c r="P2545" s="75"/>
      <c r="U2545" s="72"/>
      <c r="V2545" s="73"/>
      <c r="W2545" s="70"/>
      <c r="X2545" s="74"/>
      <c r="Y2545" s="75"/>
      <c r="Z2545" s="75"/>
    </row>
    <row r="2546" spans="1:26" x14ac:dyDescent="0.3">
      <c r="A2546" s="72"/>
      <c r="B2546" s="73"/>
      <c r="C2546" s="70"/>
      <c r="D2546" s="74"/>
      <c r="E2546" s="75"/>
      <c r="F2546" s="75"/>
      <c r="K2546" s="72"/>
      <c r="L2546" s="73"/>
      <c r="M2546" s="70"/>
      <c r="N2546" s="74"/>
      <c r="O2546" s="75"/>
      <c r="P2546" s="75"/>
      <c r="U2546" s="72"/>
      <c r="V2546" s="73"/>
      <c r="W2546" s="70"/>
      <c r="X2546" s="74"/>
      <c r="Y2546" s="75"/>
      <c r="Z2546" s="75"/>
    </row>
    <row r="2547" spans="1:26" x14ac:dyDescent="0.3">
      <c r="A2547" s="72"/>
      <c r="B2547" s="73"/>
      <c r="C2547" s="70"/>
      <c r="D2547" s="74"/>
      <c r="E2547" s="75"/>
      <c r="F2547" s="75"/>
      <c r="K2547" s="72"/>
      <c r="L2547" s="73"/>
      <c r="M2547" s="70"/>
      <c r="N2547" s="74"/>
      <c r="O2547" s="75"/>
      <c r="P2547" s="75"/>
      <c r="U2547" s="72"/>
      <c r="V2547" s="73"/>
      <c r="W2547" s="70"/>
      <c r="X2547" s="74"/>
      <c r="Y2547" s="75"/>
      <c r="Z2547" s="75"/>
    </row>
    <row r="2548" spans="1:26" x14ac:dyDescent="0.3">
      <c r="A2548" s="72"/>
      <c r="B2548" s="73"/>
      <c r="C2548" s="70"/>
      <c r="D2548" s="74"/>
      <c r="E2548" s="75"/>
      <c r="F2548" s="75"/>
      <c r="K2548" s="72"/>
      <c r="L2548" s="73"/>
      <c r="M2548" s="70"/>
      <c r="N2548" s="74"/>
      <c r="O2548" s="75"/>
      <c r="P2548" s="75"/>
      <c r="U2548" s="72"/>
      <c r="V2548" s="73"/>
      <c r="W2548" s="70"/>
      <c r="X2548" s="74"/>
      <c r="Y2548" s="75"/>
      <c r="Z2548" s="75"/>
    </row>
    <row r="2549" spans="1:26" x14ac:dyDescent="0.3">
      <c r="A2549" s="72"/>
      <c r="B2549" s="73"/>
      <c r="C2549" s="70"/>
      <c r="D2549" s="74"/>
      <c r="E2549" s="75"/>
      <c r="F2549" s="75"/>
      <c r="K2549" s="72"/>
      <c r="L2549" s="73"/>
      <c r="M2549" s="70"/>
      <c r="N2549" s="74"/>
      <c r="O2549" s="75"/>
      <c r="P2549" s="75"/>
      <c r="U2549" s="72"/>
      <c r="V2549" s="73"/>
      <c r="W2549" s="70"/>
      <c r="X2549" s="74"/>
      <c r="Y2549" s="75"/>
      <c r="Z2549" s="75"/>
    </row>
    <row r="2550" spans="1:26" x14ac:dyDescent="0.3">
      <c r="A2550" s="72"/>
      <c r="B2550" s="73"/>
      <c r="C2550" s="70"/>
      <c r="D2550" s="74"/>
      <c r="E2550" s="75"/>
      <c r="F2550" s="75"/>
      <c r="K2550" s="72"/>
      <c r="L2550" s="73"/>
      <c r="M2550" s="70"/>
      <c r="N2550" s="74"/>
      <c r="O2550" s="75"/>
      <c r="P2550" s="75"/>
      <c r="U2550" s="72"/>
      <c r="V2550" s="73"/>
      <c r="W2550" s="70"/>
      <c r="X2550" s="74"/>
      <c r="Y2550" s="75"/>
      <c r="Z2550" s="75"/>
    </row>
    <row r="2551" spans="1:26" x14ac:dyDescent="0.3">
      <c r="A2551" s="72"/>
      <c r="B2551" s="73"/>
      <c r="C2551" s="70"/>
      <c r="D2551" s="74"/>
      <c r="E2551" s="75"/>
      <c r="F2551" s="75"/>
      <c r="K2551" s="72"/>
      <c r="L2551" s="73"/>
      <c r="M2551" s="70"/>
      <c r="N2551" s="74"/>
      <c r="O2551" s="75"/>
      <c r="P2551" s="75"/>
      <c r="U2551" s="72"/>
      <c r="V2551" s="73"/>
      <c r="W2551" s="70"/>
      <c r="X2551" s="74"/>
      <c r="Y2551" s="75"/>
      <c r="Z2551" s="75"/>
    </row>
    <row r="2552" spans="1:26" x14ac:dyDescent="0.3">
      <c r="A2552" s="72"/>
      <c r="B2552" s="73"/>
      <c r="C2552" s="70"/>
      <c r="D2552" s="74"/>
      <c r="E2552" s="75"/>
      <c r="F2552" s="75"/>
      <c r="K2552" s="72"/>
      <c r="L2552" s="73"/>
      <c r="M2552" s="70"/>
      <c r="N2552" s="74"/>
      <c r="O2552" s="75"/>
      <c r="P2552" s="75"/>
      <c r="U2552" s="72"/>
      <c r="V2552" s="73"/>
      <c r="W2552" s="70"/>
      <c r="X2552" s="74"/>
      <c r="Y2552" s="75"/>
      <c r="Z2552" s="75"/>
    </row>
    <row r="2553" spans="1:26" x14ac:dyDescent="0.3">
      <c r="A2553" s="72"/>
      <c r="B2553" s="73"/>
      <c r="C2553" s="70"/>
      <c r="D2553" s="74"/>
      <c r="E2553" s="75"/>
      <c r="F2553" s="75"/>
      <c r="K2553" s="72"/>
      <c r="L2553" s="73"/>
      <c r="M2553" s="70"/>
      <c r="N2553" s="74"/>
      <c r="O2553" s="75"/>
      <c r="P2553" s="75"/>
      <c r="U2553" s="72"/>
      <c r="V2553" s="73"/>
      <c r="W2553" s="70"/>
      <c r="X2553" s="74"/>
      <c r="Y2553" s="75"/>
      <c r="Z2553" s="75"/>
    </row>
    <row r="2554" spans="1:26" x14ac:dyDescent="0.3">
      <c r="A2554" s="72"/>
      <c r="B2554" s="73"/>
      <c r="C2554" s="70"/>
      <c r="D2554" s="74"/>
      <c r="E2554" s="75"/>
      <c r="F2554" s="75"/>
      <c r="K2554" s="72"/>
      <c r="L2554" s="73"/>
      <c r="M2554" s="70"/>
      <c r="N2554" s="74"/>
      <c r="O2554" s="75"/>
      <c r="P2554" s="75"/>
      <c r="U2554" s="72"/>
      <c r="V2554" s="73"/>
      <c r="W2554" s="70"/>
      <c r="X2554" s="74"/>
      <c r="Y2554" s="75"/>
      <c r="Z2554" s="75"/>
    </row>
    <row r="2555" spans="1:26" x14ac:dyDescent="0.3">
      <c r="A2555" s="72"/>
      <c r="B2555" s="73"/>
      <c r="C2555" s="70"/>
      <c r="D2555" s="74"/>
      <c r="E2555" s="75"/>
      <c r="F2555" s="75"/>
      <c r="K2555" s="72"/>
      <c r="L2555" s="73"/>
      <c r="M2555" s="70"/>
      <c r="N2555" s="74"/>
      <c r="O2555" s="75"/>
      <c r="P2555" s="75"/>
      <c r="U2555" s="72"/>
      <c r="V2555" s="73"/>
      <c r="W2555" s="70"/>
      <c r="X2555" s="74"/>
      <c r="Y2555" s="75"/>
      <c r="Z2555" s="75"/>
    </row>
    <row r="2556" spans="1:26" x14ac:dyDescent="0.3">
      <c r="A2556" s="72"/>
      <c r="B2556" s="73"/>
      <c r="C2556" s="70"/>
      <c r="D2556" s="74"/>
      <c r="E2556" s="75"/>
      <c r="F2556" s="75"/>
      <c r="K2556" s="72"/>
      <c r="L2556" s="73"/>
      <c r="M2556" s="70"/>
      <c r="N2556" s="74"/>
      <c r="O2556" s="75"/>
      <c r="P2556" s="75"/>
      <c r="U2556" s="72"/>
      <c r="V2556" s="73"/>
      <c r="W2556" s="70"/>
      <c r="X2556" s="74"/>
      <c r="Y2556" s="75"/>
      <c r="Z2556" s="75"/>
    </row>
    <row r="2557" spans="1:26" x14ac:dyDescent="0.3">
      <c r="A2557" s="72"/>
      <c r="B2557" s="73"/>
      <c r="C2557" s="70"/>
      <c r="D2557" s="74"/>
      <c r="E2557" s="75"/>
      <c r="F2557" s="75"/>
      <c r="K2557" s="72"/>
      <c r="L2557" s="73"/>
      <c r="M2557" s="70"/>
      <c r="N2557" s="74"/>
      <c r="O2557" s="75"/>
      <c r="P2557" s="75"/>
      <c r="U2557" s="72"/>
      <c r="V2557" s="73"/>
      <c r="W2557" s="70"/>
      <c r="X2557" s="74"/>
      <c r="Y2557" s="75"/>
      <c r="Z2557" s="75"/>
    </row>
    <row r="2558" spans="1:26" x14ac:dyDescent="0.3">
      <c r="A2558" s="72"/>
      <c r="B2558" s="73"/>
      <c r="C2558" s="70"/>
      <c r="D2558" s="74"/>
      <c r="E2558" s="75"/>
      <c r="F2558" s="75"/>
      <c r="K2558" s="72"/>
      <c r="L2558" s="73"/>
      <c r="M2558" s="70"/>
      <c r="N2558" s="74"/>
      <c r="O2558" s="75"/>
      <c r="P2558" s="75"/>
      <c r="U2558" s="72"/>
      <c r="V2558" s="73"/>
      <c r="W2558" s="70"/>
      <c r="X2558" s="74"/>
      <c r="Y2558" s="75"/>
      <c r="Z2558" s="75"/>
    </row>
    <row r="2559" spans="1:26" x14ac:dyDescent="0.3">
      <c r="A2559" s="72"/>
      <c r="B2559" s="73"/>
      <c r="C2559" s="70"/>
      <c r="D2559" s="74"/>
      <c r="E2559" s="75"/>
      <c r="F2559" s="75"/>
      <c r="K2559" s="72"/>
      <c r="L2559" s="73"/>
      <c r="M2559" s="70"/>
      <c r="N2559" s="74"/>
      <c r="O2559" s="75"/>
      <c r="P2559" s="75"/>
      <c r="U2559" s="72"/>
      <c r="V2559" s="73"/>
      <c r="W2559" s="70"/>
      <c r="X2559" s="74"/>
      <c r="Y2559" s="75"/>
      <c r="Z2559" s="75"/>
    </row>
    <row r="2560" spans="1:26" x14ac:dyDescent="0.3">
      <c r="A2560" s="72"/>
      <c r="B2560" s="73"/>
      <c r="C2560" s="70"/>
      <c r="D2560" s="74"/>
      <c r="E2560" s="75"/>
      <c r="F2560" s="75"/>
      <c r="K2560" s="72"/>
      <c r="L2560" s="73"/>
      <c r="M2560" s="70"/>
      <c r="N2560" s="74"/>
      <c r="O2560" s="75"/>
      <c r="P2560" s="75"/>
      <c r="U2560" s="72"/>
      <c r="V2560" s="73"/>
      <c r="W2560" s="70"/>
      <c r="X2560" s="74"/>
      <c r="Y2560" s="75"/>
      <c r="Z2560" s="75"/>
    </row>
    <row r="2561" spans="1:26" x14ac:dyDescent="0.3">
      <c r="A2561" s="72"/>
      <c r="B2561" s="73"/>
      <c r="C2561" s="70"/>
      <c r="D2561" s="74"/>
      <c r="E2561" s="75"/>
      <c r="F2561" s="75"/>
      <c r="K2561" s="72"/>
      <c r="L2561" s="73"/>
      <c r="M2561" s="70"/>
      <c r="N2561" s="74"/>
      <c r="O2561" s="75"/>
      <c r="P2561" s="75"/>
      <c r="U2561" s="72"/>
      <c r="V2561" s="73"/>
      <c r="W2561" s="70"/>
      <c r="X2561" s="74"/>
      <c r="Y2561" s="75"/>
      <c r="Z2561" s="75"/>
    </row>
    <row r="2562" spans="1:26" x14ac:dyDescent="0.3">
      <c r="A2562" s="72"/>
      <c r="B2562" s="73"/>
      <c r="C2562" s="70"/>
      <c r="D2562" s="74"/>
      <c r="E2562" s="75"/>
      <c r="F2562" s="75"/>
      <c r="K2562" s="72"/>
      <c r="L2562" s="73"/>
      <c r="M2562" s="70"/>
      <c r="N2562" s="74"/>
      <c r="O2562" s="75"/>
      <c r="P2562" s="75"/>
      <c r="U2562" s="72"/>
      <c r="V2562" s="73"/>
      <c r="W2562" s="70"/>
      <c r="X2562" s="74"/>
      <c r="Y2562" s="75"/>
      <c r="Z2562" s="75"/>
    </row>
    <row r="2563" spans="1:26" x14ac:dyDescent="0.3">
      <c r="A2563" s="72"/>
      <c r="B2563" s="73"/>
      <c r="C2563" s="70"/>
      <c r="D2563" s="74"/>
      <c r="E2563" s="75"/>
      <c r="F2563" s="75"/>
      <c r="K2563" s="72"/>
      <c r="L2563" s="73"/>
      <c r="M2563" s="70"/>
      <c r="N2563" s="74"/>
      <c r="O2563" s="75"/>
      <c r="P2563" s="75"/>
      <c r="U2563" s="72"/>
      <c r="V2563" s="73"/>
      <c r="W2563" s="70"/>
      <c r="X2563" s="74"/>
      <c r="Y2563" s="75"/>
      <c r="Z2563" s="75"/>
    </row>
    <row r="2564" spans="1:26" x14ac:dyDescent="0.3">
      <c r="A2564" s="72"/>
      <c r="B2564" s="73"/>
      <c r="C2564" s="70"/>
      <c r="D2564" s="74"/>
      <c r="E2564" s="75"/>
      <c r="F2564" s="75"/>
      <c r="K2564" s="72"/>
      <c r="L2564" s="73"/>
      <c r="M2564" s="70"/>
      <c r="N2564" s="74"/>
      <c r="O2564" s="75"/>
      <c r="P2564" s="75"/>
      <c r="U2564" s="72"/>
      <c r="V2564" s="73"/>
      <c r="W2564" s="70"/>
      <c r="X2564" s="74"/>
      <c r="Y2564" s="75"/>
      <c r="Z2564" s="75"/>
    </row>
    <row r="2565" spans="1:26" x14ac:dyDescent="0.3">
      <c r="A2565" s="72"/>
      <c r="B2565" s="73"/>
      <c r="C2565" s="70"/>
      <c r="D2565" s="74"/>
      <c r="E2565" s="75"/>
      <c r="F2565" s="75"/>
      <c r="K2565" s="72"/>
      <c r="L2565" s="73"/>
      <c r="M2565" s="70"/>
      <c r="N2565" s="74"/>
      <c r="O2565" s="75"/>
      <c r="P2565" s="75"/>
      <c r="U2565" s="72"/>
      <c r="V2565" s="73"/>
      <c r="W2565" s="70"/>
      <c r="X2565" s="74"/>
      <c r="Y2565" s="75"/>
      <c r="Z2565" s="75"/>
    </row>
    <row r="2566" spans="1:26" x14ac:dyDescent="0.3">
      <c r="A2566" s="72"/>
      <c r="B2566" s="73"/>
      <c r="C2566" s="70"/>
      <c r="D2566" s="74"/>
      <c r="E2566" s="75"/>
      <c r="F2566" s="75"/>
      <c r="K2566" s="72"/>
      <c r="L2566" s="73"/>
      <c r="M2566" s="70"/>
      <c r="N2566" s="74"/>
      <c r="O2566" s="75"/>
      <c r="P2566" s="75"/>
      <c r="U2566" s="72"/>
      <c r="V2566" s="73"/>
      <c r="W2566" s="70"/>
      <c r="X2566" s="74"/>
      <c r="Y2566" s="75"/>
      <c r="Z2566" s="75"/>
    </row>
    <row r="2567" spans="1:26" x14ac:dyDescent="0.3">
      <c r="A2567" s="72"/>
      <c r="B2567" s="73"/>
      <c r="C2567" s="70"/>
      <c r="D2567" s="74"/>
      <c r="E2567" s="75"/>
      <c r="F2567" s="75"/>
      <c r="K2567" s="72"/>
      <c r="L2567" s="73"/>
      <c r="M2567" s="70"/>
      <c r="N2567" s="74"/>
      <c r="O2567" s="75"/>
      <c r="P2567" s="75"/>
      <c r="U2567" s="72"/>
      <c r="V2567" s="73"/>
      <c r="W2567" s="70"/>
      <c r="X2567" s="74"/>
      <c r="Y2567" s="75"/>
      <c r="Z2567" s="75"/>
    </row>
    <row r="2568" spans="1:26" x14ac:dyDescent="0.3">
      <c r="A2568" s="72"/>
      <c r="B2568" s="73"/>
      <c r="C2568" s="70"/>
      <c r="D2568" s="74"/>
      <c r="E2568" s="75"/>
      <c r="F2568" s="75"/>
      <c r="K2568" s="72"/>
      <c r="L2568" s="73"/>
      <c r="M2568" s="70"/>
      <c r="N2568" s="74"/>
      <c r="O2568" s="75"/>
      <c r="P2568" s="75"/>
      <c r="U2568" s="72"/>
      <c r="V2568" s="73"/>
      <c r="W2568" s="70"/>
      <c r="X2568" s="74"/>
      <c r="Y2568" s="75"/>
      <c r="Z2568" s="75"/>
    </row>
    <row r="2569" spans="1:26" x14ac:dyDescent="0.3">
      <c r="A2569" s="72"/>
      <c r="B2569" s="73"/>
      <c r="C2569" s="70"/>
      <c r="D2569" s="74"/>
      <c r="E2569" s="75"/>
      <c r="F2569" s="75"/>
      <c r="K2569" s="72"/>
      <c r="L2569" s="73"/>
      <c r="M2569" s="70"/>
      <c r="N2569" s="74"/>
      <c r="O2569" s="75"/>
      <c r="P2569" s="75"/>
      <c r="U2569" s="72"/>
      <c r="V2569" s="73"/>
      <c r="W2569" s="70"/>
      <c r="X2569" s="74"/>
      <c r="Y2569" s="75"/>
      <c r="Z2569" s="75"/>
    </row>
    <row r="2570" spans="1:26" x14ac:dyDescent="0.3">
      <c r="A2570" s="72"/>
      <c r="B2570" s="73"/>
      <c r="C2570" s="70"/>
      <c r="D2570" s="74"/>
      <c r="E2570" s="75"/>
      <c r="F2570" s="75"/>
      <c r="K2570" s="72"/>
      <c r="L2570" s="73"/>
      <c r="M2570" s="70"/>
      <c r="N2570" s="74"/>
      <c r="O2570" s="75"/>
      <c r="P2570" s="75"/>
      <c r="U2570" s="72"/>
      <c r="V2570" s="73"/>
      <c r="W2570" s="70"/>
      <c r="X2570" s="74"/>
      <c r="Y2570" s="75"/>
      <c r="Z2570" s="75"/>
    </row>
    <row r="2571" spans="1:26" x14ac:dyDescent="0.3">
      <c r="A2571" s="72"/>
      <c r="B2571" s="73"/>
      <c r="C2571" s="70"/>
      <c r="D2571" s="74"/>
      <c r="E2571" s="75"/>
      <c r="F2571" s="75"/>
      <c r="K2571" s="72"/>
      <c r="L2571" s="73"/>
      <c r="M2571" s="70"/>
      <c r="N2571" s="74"/>
      <c r="O2571" s="75"/>
      <c r="P2571" s="75"/>
      <c r="U2571" s="72"/>
      <c r="V2571" s="73"/>
      <c r="W2571" s="70"/>
      <c r="X2571" s="74"/>
      <c r="Y2571" s="75"/>
      <c r="Z2571" s="75"/>
    </row>
    <row r="2572" spans="1:26" x14ac:dyDescent="0.3">
      <c r="A2572" s="72"/>
      <c r="B2572" s="73"/>
      <c r="C2572" s="70"/>
      <c r="D2572" s="74"/>
      <c r="E2572" s="75"/>
      <c r="F2572" s="75"/>
      <c r="K2572" s="72"/>
      <c r="L2572" s="73"/>
      <c r="M2572" s="70"/>
      <c r="N2572" s="74"/>
      <c r="O2572" s="75"/>
      <c r="P2572" s="75"/>
      <c r="U2572" s="72"/>
      <c r="V2572" s="73"/>
      <c r="W2572" s="70"/>
      <c r="X2572" s="74"/>
      <c r="Y2572" s="75"/>
      <c r="Z2572" s="75"/>
    </row>
    <row r="2573" spans="1:26" x14ac:dyDescent="0.3">
      <c r="A2573" s="72"/>
      <c r="B2573" s="73"/>
      <c r="C2573" s="70"/>
      <c r="D2573" s="74"/>
      <c r="E2573" s="75"/>
      <c r="F2573" s="75"/>
      <c r="K2573" s="72"/>
      <c r="L2573" s="73"/>
      <c r="M2573" s="70"/>
      <c r="N2573" s="74"/>
      <c r="O2573" s="75"/>
      <c r="P2573" s="75"/>
      <c r="U2573" s="72"/>
      <c r="V2573" s="73"/>
      <c r="W2573" s="70"/>
      <c r="X2573" s="74"/>
      <c r="Y2573" s="75"/>
      <c r="Z2573" s="75"/>
    </row>
    <row r="2574" spans="1:26" x14ac:dyDescent="0.3">
      <c r="A2574" s="72"/>
      <c r="B2574" s="73"/>
      <c r="C2574" s="70"/>
      <c r="D2574" s="74"/>
      <c r="E2574" s="75"/>
      <c r="F2574" s="75"/>
      <c r="K2574" s="72"/>
      <c r="L2574" s="73"/>
      <c r="M2574" s="70"/>
      <c r="N2574" s="74"/>
      <c r="O2574" s="75"/>
      <c r="P2574" s="75"/>
      <c r="U2574" s="72"/>
      <c r="V2574" s="73"/>
      <c r="W2574" s="70"/>
      <c r="X2574" s="74"/>
      <c r="Y2574" s="75"/>
      <c r="Z2574" s="75"/>
    </row>
    <row r="2575" spans="1:26" x14ac:dyDescent="0.3">
      <c r="A2575" s="72"/>
      <c r="B2575" s="73"/>
      <c r="C2575" s="70"/>
      <c r="D2575" s="74"/>
      <c r="E2575" s="75"/>
      <c r="F2575" s="75"/>
      <c r="K2575" s="72"/>
      <c r="L2575" s="73"/>
      <c r="M2575" s="70"/>
      <c r="N2575" s="74"/>
      <c r="O2575" s="75"/>
      <c r="P2575" s="75"/>
      <c r="U2575" s="72"/>
      <c r="V2575" s="73"/>
      <c r="W2575" s="70"/>
      <c r="X2575" s="74"/>
      <c r="Y2575" s="75"/>
      <c r="Z2575" s="75"/>
    </row>
    <row r="2576" spans="1:26" x14ac:dyDescent="0.3">
      <c r="A2576" s="72"/>
      <c r="B2576" s="73"/>
      <c r="C2576" s="70"/>
      <c r="D2576" s="74"/>
      <c r="E2576" s="75"/>
      <c r="F2576" s="75"/>
      <c r="K2576" s="72"/>
      <c r="L2576" s="73"/>
      <c r="M2576" s="70"/>
      <c r="N2576" s="74"/>
      <c r="O2576" s="75"/>
      <c r="P2576" s="75"/>
      <c r="U2576" s="72"/>
      <c r="V2576" s="73"/>
      <c r="W2576" s="70"/>
      <c r="X2576" s="74"/>
      <c r="Y2576" s="75"/>
      <c r="Z2576" s="75"/>
    </row>
    <row r="2577" spans="1:26" x14ac:dyDescent="0.3">
      <c r="A2577" s="72"/>
      <c r="B2577" s="73"/>
      <c r="C2577" s="70"/>
      <c r="D2577" s="74"/>
      <c r="E2577" s="75"/>
      <c r="F2577" s="75"/>
      <c r="K2577" s="72"/>
      <c r="L2577" s="73"/>
      <c r="M2577" s="70"/>
      <c r="N2577" s="74"/>
      <c r="O2577" s="75"/>
      <c r="P2577" s="75"/>
      <c r="U2577" s="72"/>
      <c r="V2577" s="73"/>
      <c r="W2577" s="70"/>
      <c r="X2577" s="74"/>
      <c r="Y2577" s="75"/>
      <c r="Z2577" s="75"/>
    </row>
    <row r="2578" spans="1:26" x14ac:dyDescent="0.3">
      <c r="A2578" s="72"/>
      <c r="B2578" s="73"/>
      <c r="C2578" s="70"/>
      <c r="D2578" s="74"/>
      <c r="E2578" s="75"/>
      <c r="F2578" s="75"/>
      <c r="K2578" s="72"/>
      <c r="L2578" s="73"/>
      <c r="M2578" s="70"/>
      <c r="N2578" s="74"/>
      <c r="O2578" s="75"/>
      <c r="P2578" s="75"/>
      <c r="U2578" s="72"/>
      <c r="V2578" s="73"/>
      <c r="W2578" s="70"/>
      <c r="X2578" s="74"/>
      <c r="Y2578" s="75"/>
      <c r="Z2578" s="75"/>
    </row>
    <row r="2579" spans="1:26" x14ac:dyDescent="0.3">
      <c r="A2579" s="72"/>
      <c r="B2579" s="73"/>
      <c r="C2579" s="70"/>
      <c r="D2579" s="74"/>
      <c r="E2579" s="75"/>
      <c r="F2579" s="75"/>
      <c r="K2579" s="72"/>
      <c r="L2579" s="73"/>
      <c r="M2579" s="70"/>
      <c r="N2579" s="74"/>
      <c r="O2579" s="75"/>
      <c r="P2579" s="75"/>
      <c r="U2579" s="72"/>
      <c r="V2579" s="73"/>
      <c r="W2579" s="70"/>
      <c r="X2579" s="74"/>
      <c r="Y2579" s="75"/>
      <c r="Z2579" s="75"/>
    </row>
    <row r="2580" spans="1:26" x14ac:dyDescent="0.3">
      <c r="A2580" s="72"/>
      <c r="B2580" s="73"/>
      <c r="C2580" s="70"/>
      <c r="D2580" s="74"/>
      <c r="E2580" s="75"/>
      <c r="F2580" s="75"/>
      <c r="K2580" s="72"/>
      <c r="L2580" s="73"/>
      <c r="M2580" s="70"/>
      <c r="N2580" s="74"/>
      <c r="O2580" s="75"/>
      <c r="P2580" s="75"/>
      <c r="U2580" s="72"/>
      <c r="V2580" s="73"/>
      <c r="W2580" s="70"/>
      <c r="X2580" s="74"/>
      <c r="Y2580" s="75"/>
      <c r="Z2580" s="75"/>
    </row>
    <row r="2581" spans="1:26" x14ac:dyDescent="0.3">
      <c r="A2581" s="72"/>
      <c r="B2581" s="73"/>
      <c r="C2581" s="70"/>
      <c r="D2581" s="74"/>
      <c r="E2581" s="75"/>
      <c r="F2581" s="75"/>
      <c r="K2581" s="72"/>
      <c r="L2581" s="73"/>
      <c r="M2581" s="70"/>
      <c r="N2581" s="74"/>
      <c r="O2581" s="75"/>
      <c r="P2581" s="75"/>
      <c r="U2581" s="72"/>
      <c r="V2581" s="73"/>
      <c r="W2581" s="70"/>
      <c r="X2581" s="74"/>
      <c r="Y2581" s="75"/>
      <c r="Z2581" s="75"/>
    </row>
    <row r="2582" spans="1:26" x14ac:dyDescent="0.3">
      <c r="A2582" s="72"/>
      <c r="B2582" s="73"/>
      <c r="C2582" s="70"/>
      <c r="D2582" s="74"/>
      <c r="E2582" s="75"/>
      <c r="F2582" s="75"/>
      <c r="K2582" s="72"/>
      <c r="L2582" s="73"/>
      <c r="M2582" s="70"/>
      <c r="N2582" s="74"/>
      <c r="O2582" s="75"/>
      <c r="P2582" s="75"/>
      <c r="U2582" s="72"/>
      <c r="V2582" s="73"/>
      <c r="W2582" s="70"/>
      <c r="X2582" s="74"/>
      <c r="Y2582" s="75"/>
      <c r="Z2582" s="75"/>
    </row>
    <row r="2583" spans="1:26" x14ac:dyDescent="0.3">
      <c r="A2583" s="72"/>
      <c r="B2583" s="73"/>
      <c r="C2583" s="70"/>
      <c r="D2583" s="74"/>
      <c r="E2583" s="75"/>
      <c r="F2583" s="75"/>
      <c r="K2583" s="72"/>
      <c r="L2583" s="73"/>
      <c r="M2583" s="70"/>
      <c r="N2583" s="74"/>
      <c r="O2583" s="75"/>
      <c r="P2583" s="75"/>
      <c r="U2583" s="72"/>
      <c r="V2583" s="73"/>
      <c r="W2583" s="70"/>
      <c r="X2583" s="74"/>
      <c r="Y2583" s="75"/>
      <c r="Z2583" s="75"/>
    </row>
    <row r="2584" spans="1:26" x14ac:dyDescent="0.3">
      <c r="A2584" s="72"/>
      <c r="B2584" s="73"/>
      <c r="C2584" s="70"/>
      <c r="D2584" s="74"/>
      <c r="E2584" s="75"/>
      <c r="F2584" s="75"/>
      <c r="K2584" s="72"/>
      <c r="L2584" s="73"/>
      <c r="M2584" s="70"/>
      <c r="N2584" s="74"/>
      <c r="O2584" s="75"/>
      <c r="P2584" s="75"/>
      <c r="U2584" s="72"/>
      <c r="V2584" s="73"/>
      <c r="W2584" s="70"/>
      <c r="X2584" s="74"/>
      <c r="Y2584" s="75"/>
      <c r="Z2584" s="75"/>
    </row>
    <row r="2585" spans="1:26" x14ac:dyDescent="0.3">
      <c r="A2585" s="72"/>
      <c r="B2585" s="73"/>
      <c r="C2585" s="70"/>
      <c r="D2585" s="74"/>
      <c r="E2585" s="75"/>
      <c r="F2585" s="75"/>
      <c r="K2585" s="72"/>
      <c r="L2585" s="73"/>
      <c r="M2585" s="70"/>
      <c r="N2585" s="74"/>
      <c r="O2585" s="75"/>
      <c r="P2585" s="75"/>
      <c r="U2585" s="72"/>
      <c r="V2585" s="73"/>
      <c r="W2585" s="70"/>
      <c r="X2585" s="74"/>
      <c r="Y2585" s="75"/>
      <c r="Z2585" s="75"/>
    </row>
    <row r="2586" spans="1:26" x14ac:dyDescent="0.3">
      <c r="A2586" s="72"/>
      <c r="B2586" s="73"/>
      <c r="C2586" s="70"/>
      <c r="D2586" s="74"/>
      <c r="E2586" s="75"/>
      <c r="F2586" s="75"/>
      <c r="K2586" s="72"/>
      <c r="L2586" s="73"/>
      <c r="M2586" s="70"/>
      <c r="N2586" s="74"/>
      <c r="O2586" s="75"/>
      <c r="P2586" s="75"/>
      <c r="U2586" s="72"/>
      <c r="V2586" s="73"/>
      <c r="W2586" s="70"/>
      <c r="X2586" s="74"/>
      <c r="Y2586" s="75"/>
      <c r="Z2586" s="75"/>
    </row>
    <row r="2587" spans="1:26" x14ac:dyDescent="0.3">
      <c r="A2587" s="72"/>
      <c r="B2587" s="73"/>
      <c r="C2587" s="70"/>
      <c r="D2587" s="74"/>
      <c r="E2587" s="75"/>
      <c r="F2587" s="75"/>
      <c r="K2587" s="72"/>
      <c r="L2587" s="73"/>
      <c r="M2587" s="70"/>
      <c r="N2587" s="74"/>
      <c r="O2587" s="75"/>
      <c r="P2587" s="75"/>
      <c r="U2587" s="72"/>
      <c r="V2587" s="73"/>
      <c r="W2587" s="70"/>
      <c r="X2587" s="74"/>
      <c r="Y2587" s="75"/>
      <c r="Z2587" s="75"/>
    </row>
    <row r="2588" spans="1:26" x14ac:dyDescent="0.3">
      <c r="A2588" s="72"/>
      <c r="B2588" s="73"/>
      <c r="C2588" s="70"/>
      <c r="D2588" s="74"/>
      <c r="E2588" s="75"/>
      <c r="F2588" s="75"/>
      <c r="K2588" s="72"/>
      <c r="L2588" s="73"/>
      <c r="M2588" s="70"/>
      <c r="N2588" s="74"/>
      <c r="O2588" s="75"/>
      <c r="P2588" s="75"/>
      <c r="U2588" s="72"/>
      <c r="V2588" s="73"/>
      <c r="W2588" s="70"/>
      <c r="X2588" s="74"/>
      <c r="Y2588" s="75"/>
      <c r="Z2588" s="75"/>
    </row>
    <row r="2589" spans="1:26" x14ac:dyDescent="0.3">
      <c r="A2589" s="72"/>
      <c r="B2589" s="73"/>
      <c r="C2589" s="70"/>
      <c r="D2589" s="74"/>
      <c r="E2589" s="75"/>
      <c r="F2589" s="75"/>
      <c r="K2589" s="72"/>
      <c r="L2589" s="73"/>
      <c r="M2589" s="70"/>
      <c r="N2589" s="74"/>
      <c r="O2589" s="75"/>
      <c r="P2589" s="75"/>
      <c r="U2589" s="72"/>
      <c r="V2589" s="73"/>
      <c r="W2589" s="70"/>
      <c r="X2589" s="74"/>
      <c r="Y2589" s="75"/>
      <c r="Z2589" s="75"/>
    </row>
    <row r="2590" spans="1:26" x14ac:dyDescent="0.3">
      <c r="A2590" s="72"/>
      <c r="B2590" s="73"/>
      <c r="C2590" s="70"/>
      <c r="D2590" s="74"/>
      <c r="E2590" s="75"/>
      <c r="F2590" s="75"/>
      <c r="K2590" s="72"/>
      <c r="L2590" s="73"/>
      <c r="M2590" s="70"/>
      <c r="N2590" s="74"/>
      <c r="O2590" s="75"/>
      <c r="P2590" s="75"/>
      <c r="U2590" s="72"/>
      <c r="V2590" s="73"/>
      <c r="W2590" s="70"/>
      <c r="X2590" s="74"/>
      <c r="Y2590" s="75"/>
      <c r="Z2590" s="75"/>
    </row>
    <row r="2591" spans="1:26" x14ac:dyDescent="0.3">
      <c r="A2591" s="72"/>
      <c r="B2591" s="73"/>
      <c r="C2591" s="70"/>
      <c r="D2591" s="74"/>
      <c r="E2591" s="75"/>
      <c r="F2591" s="75"/>
      <c r="K2591" s="72"/>
      <c r="L2591" s="73"/>
      <c r="M2591" s="70"/>
      <c r="N2591" s="74"/>
      <c r="O2591" s="75"/>
      <c r="P2591" s="75"/>
      <c r="U2591" s="72"/>
      <c r="V2591" s="73"/>
      <c r="W2591" s="70"/>
      <c r="X2591" s="74"/>
      <c r="Y2591" s="75"/>
      <c r="Z2591" s="75"/>
    </row>
    <row r="2592" spans="1:26" x14ac:dyDescent="0.3">
      <c r="A2592" s="72"/>
      <c r="B2592" s="73"/>
      <c r="C2592" s="70"/>
      <c r="D2592" s="74"/>
      <c r="E2592" s="75"/>
      <c r="F2592" s="75"/>
      <c r="K2592" s="72"/>
      <c r="L2592" s="73"/>
      <c r="M2592" s="70"/>
      <c r="N2592" s="74"/>
      <c r="O2592" s="75"/>
      <c r="P2592" s="75"/>
      <c r="U2592" s="72"/>
      <c r="V2592" s="73"/>
      <c r="W2592" s="70"/>
      <c r="X2592" s="74"/>
      <c r="Y2592" s="75"/>
      <c r="Z2592" s="75"/>
    </row>
    <row r="2593" spans="1:26" x14ac:dyDescent="0.3">
      <c r="A2593" s="72"/>
      <c r="B2593" s="73"/>
      <c r="C2593" s="70"/>
      <c r="D2593" s="74"/>
      <c r="E2593" s="75"/>
      <c r="F2593" s="75"/>
      <c r="K2593" s="72"/>
      <c r="L2593" s="73"/>
      <c r="M2593" s="70"/>
      <c r="N2593" s="74"/>
      <c r="O2593" s="75"/>
      <c r="P2593" s="75"/>
      <c r="U2593" s="72"/>
      <c r="V2593" s="73"/>
      <c r="W2593" s="70"/>
      <c r="X2593" s="74"/>
      <c r="Y2593" s="75"/>
      <c r="Z2593" s="75"/>
    </row>
    <row r="2594" spans="1:26" x14ac:dyDescent="0.3">
      <c r="A2594" s="72"/>
      <c r="B2594" s="73"/>
      <c r="C2594" s="70"/>
      <c r="D2594" s="74"/>
      <c r="E2594" s="75"/>
      <c r="F2594" s="75"/>
      <c r="K2594" s="72"/>
      <c r="L2594" s="73"/>
      <c r="M2594" s="70"/>
      <c r="N2594" s="74"/>
      <c r="O2594" s="75"/>
      <c r="P2594" s="75"/>
      <c r="U2594" s="72"/>
      <c r="V2594" s="73"/>
      <c r="W2594" s="70"/>
      <c r="X2594" s="74"/>
      <c r="Y2594" s="75"/>
      <c r="Z2594" s="75"/>
    </row>
    <row r="2595" spans="1:26" x14ac:dyDescent="0.3">
      <c r="A2595" s="72"/>
      <c r="B2595" s="73"/>
      <c r="C2595" s="70"/>
      <c r="D2595" s="74"/>
      <c r="E2595" s="75"/>
      <c r="F2595" s="75"/>
      <c r="K2595" s="72"/>
      <c r="L2595" s="73"/>
      <c r="M2595" s="70"/>
      <c r="N2595" s="74"/>
      <c r="O2595" s="75"/>
      <c r="P2595" s="75"/>
      <c r="U2595" s="72"/>
      <c r="V2595" s="73"/>
      <c r="W2595" s="70"/>
      <c r="X2595" s="74"/>
      <c r="Y2595" s="75"/>
      <c r="Z2595" s="75"/>
    </row>
    <row r="2596" spans="1:26" x14ac:dyDescent="0.3">
      <c r="A2596" s="72"/>
      <c r="B2596" s="73"/>
      <c r="C2596" s="70"/>
      <c r="D2596" s="74"/>
      <c r="E2596" s="75"/>
      <c r="F2596" s="75"/>
      <c r="K2596" s="72"/>
      <c r="L2596" s="73"/>
      <c r="M2596" s="70"/>
      <c r="N2596" s="74"/>
      <c r="O2596" s="75"/>
      <c r="P2596" s="75"/>
      <c r="U2596" s="72"/>
      <c r="V2596" s="73"/>
      <c r="W2596" s="70"/>
      <c r="X2596" s="74"/>
      <c r="Y2596" s="75"/>
      <c r="Z2596" s="75"/>
    </row>
    <row r="2597" spans="1:26" x14ac:dyDescent="0.3">
      <c r="A2597" s="72"/>
      <c r="B2597" s="73"/>
      <c r="C2597" s="70"/>
      <c r="D2597" s="74"/>
      <c r="E2597" s="75"/>
      <c r="F2597" s="75"/>
      <c r="K2597" s="72"/>
      <c r="L2597" s="73"/>
      <c r="M2597" s="70"/>
      <c r="N2597" s="74"/>
      <c r="O2597" s="75"/>
      <c r="P2597" s="75"/>
      <c r="U2597" s="72"/>
      <c r="V2597" s="73"/>
      <c r="W2597" s="70"/>
      <c r="X2597" s="74"/>
      <c r="Y2597" s="75"/>
      <c r="Z2597" s="75"/>
    </row>
    <row r="2598" spans="1:26" x14ac:dyDescent="0.3">
      <c r="A2598" s="72"/>
      <c r="B2598" s="73"/>
      <c r="C2598" s="70"/>
      <c r="D2598" s="74"/>
      <c r="E2598" s="75"/>
      <c r="F2598" s="75"/>
      <c r="K2598" s="72"/>
      <c r="L2598" s="73"/>
      <c r="M2598" s="70"/>
      <c r="N2598" s="74"/>
      <c r="O2598" s="75"/>
      <c r="P2598" s="75"/>
      <c r="U2598" s="72"/>
      <c r="V2598" s="73"/>
      <c r="W2598" s="70"/>
      <c r="X2598" s="74"/>
      <c r="Y2598" s="75"/>
      <c r="Z2598" s="75"/>
    </row>
    <row r="2599" spans="1:26" x14ac:dyDescent="0.3">
      <c r="A2599" s="72"/>
      <c r="B2599" s="73"/>
      <c r="C2599" s="70"/>
      <c r="D2599" s="74"/>
      <c r="E2599" s="75"/>
      <c r="F2599" s="75"/>
      <c r="K2599" s="72"/>
      <c r="L2599" s="73"/>
      <c r="M2599" s="70"/>
      <c r="N2599" s="74"/>
      <c r="O2599" s="75"/>
      <c r="P2599" s="75"/>
      <c r="U2599" s="72"/>
      <c r="V2599" s="73"/>
      <c r="W2599" s="70"/>
      <c r="X2599" s="74"/>
      <c r="Y2599" s="75"/>
      <c r="Z2599" s="75"/>
    </row>
    <row r="2600" spans="1:26" x14ac:dyDescent="0.3">
      <c r="A2600" s="72"/>
      <c r="B2600" s="73"/>
      <c r="C2600" s="70"/>
      <c r="D2600" s="74"/>
      <c r="E2600" s="75"/>
      <c r="F2600" s="75"/>
      <c r="K2600" s="72"/>
      <c r="L2600" s="73"/>
      <c r="M2600" s="70"/>
      <c r="N2600" s="74"/>
      <c r="O2600" s="75"/>
      <c r="P2600" s="75"/>
      <c r="U2600" s="72"/>
      <c r="V2600" s="73"/>
      <c r="W2600" s="70"/>
      <c r="X2600" s="74"/>
      <c r="Y2600" s="75"/>
      <c r="Z2600" s="75"/>
    </row>
    <row r="2601" spans="1:26" x14ac:dyDescent="0.3">
      <c r="A2601" s="72"/>
      <c r="B2601" s="73"/>
      <c r="C2601" s="70"/>
      <c r="D2601" s="74"/>
      <c r="E2601" s="75"/>
      <c r="F2601" s="75"/>
      <c r="K2601" s="72"/>
      <c r="L2601" s="73"/>
      <c r="M2601" s="70"/>
      <c r="N2601" s="74"/>
      <c r="O2601" s="75"/>
      <c r="P2601" s="75"/>
      <c r="U2601" s="72"/>
      <c r="V2601" s="73"/>
      <c r="W2601" s="70"/>
      <c r="X2601" s="74"/>
      <c r="Y2601" s="75"/>
      <c r="Z2601" s="75"/>
    </row>
    <row r="2602" spans="1:26" x14ac:dyDescent="0.3">
      <c r="A2602" s="72"/>
      <c r="B2602" s="73"/>
      <c r="C2602" s="70"/>
      <c r="D2602" s="74"/>
      <c r="E2602" s="75"/>
      <c r="F2602" s="75"/>
      <c r="K2602" s="72"/>
      <c r="L2602" s="73"/>
      <c r="M2602" s="70"/>
      <c r="N2602" s="74"/>
      <c r="O2602" s="75"/>
      <c r="P2602" s="75"/>
      <c r="U2602" s="72"/>
      <c r="V2602" s="73"/>
      <c r="W2602" s="70"/>
      <c r="X2602" s="74"/>
      <c r="Y2602" s="75"/>
      <c r="Z2602" s="75"/>
    </row>
    <row r="2603" spans="1:26" x14ac:dyDescent="0.3">
      <c r="A2603" s="72"/>
      <c r="B2603" s="73"/>
      <c r="C2603" s="70"/>
      <c r="D2603" s="74"/>
      <c r="E2603" s="75"/>
      <c r="F2603" s="75"/>
      <c r="K2603" s="72"/>
      <c r="L2603" s="73"/>
      <c r="M2603" s="70"/>
      <c r="N2603" s="74"/>
      <c r="O2603" s="75"/>
      <c r="P2603" s="75"/>
      <c r="U2603" s="72"/>
      <c r="V2603" s="73"/>
      <c r="W2603" s="70"/>
      <c r="X2603" s="74"/>
      <c r="Y2603" s="75"/>
      <c r="Z2603" s="75"/>
    </row>
    <row r="2604" spans="1:26" x14ac:dyDescent="0.3">
      <c r="A2604" s="72"/>
      <c r="B2604" s="73"/>
      <c r="C2604" s="70"/>
      <c r="D2604" s="74"/>
      <c r="E2604" s="75"/>
      <c r="F2604" s="75"/>
      <c r="K2604" s="72"/>
      <c r="L2604" s="73"/>
      <c r="M2604" s="70"/>
      <c r="N2604" s="74"/>
      <c r="O2604" s="75"/>
      <c r="P2604" s="75"/>
      <c r="U2604" s="72"/>
      <c r="V2604" s="73"/>
      <c r="W2604" s="70"/>
      <c r="X2604" s="74"/>
      <c r="Y2604" s="75"/>
      <c r="Z2604" s="75"/>
    </row>
    <row r="2605" spans="1:26" x14ac:dyDescent="0.3">
      <c r="A2605" s="72"/>
      <c r="B2605" s="73"/>
      <c r="C2605" s="70"/>
      <c r="D2605" s="74"/>
      <c r="E2605" s="75"/>
      <c r="F2605" s="75"/>
      <c r="K2605" s="72"/>
      <c r="L2605" s="73"/>
      <c r="M2605" s="70"/>
      <c r="N2605" s="74"/>
      <c r="O2605" s="75"/>
      <c r="P2605" s="75"/>
      <c r="U2605" s="72"/>
      <c r="V2605" s="73"/>
      <c r="W2605" s="70"/>
      <c r="X2605" s="74"/>
      <c r="Y2605" s="75"/>
      <c r="Z2605" s="75"/>
    </row>
    <row r="2606" spans="1:26" x14ac:dyDescent="0.3">
      <c r="A2606" s="72"/>
      <c r="B2606" s="73"/>
      <c r="C2606" s="70"/>
      <c r="D2606" s="74"/>
      <c r="E2606" s="75"/>
      <c r="F2606" s="75"/>
      <c r="K2606" s="72"/>
      <c r="L2606" s="73"/>
      <c r="M2606" s="70"/>
      <c r="N2606" s="74"/>
      <c r="O2606" s="75"/>
      <c r="P2606" s="75"/>
      <c r="U2606" s="72"/>
      <c r="V2606" s="73"/>
      <c r="W2606" s="70"/>
      <c r="X2606" s="74"/>
      <c r="Y2606" s="75"/>
      <c r="Z2606" s="75"/>
    </row>
    <row r="2607" spans="1:26" x14ac:dyDescent="0.3">
      <c r="A2607" s="72"/>
      <c r="B2607" s="73"/>
      <c r="C2607" s="70"/>
      <c r="D2607" s="74"/>
      <c r="E2607" s="75"/>
      <c r="F2607" s="75"/>
      <c r="K2607" s="72"/>
      <c r="L2607" s="73"/>
      <c r="M2607" s="70"/>
      <c r="N2607" s="74"/>
      <c r="O2607" s="75"/>
      <c r="P2607" s="75"/>
      <c r="U2607" s="72"/>
      <c r="V2607" s="73"/>
      <c r="W2607" s="70"/>
      <c r="X2607" s="74"/>
      <c r="Y2607" s="75"/>
      <c r="Z2607" s="75"/>
    </row>
    <row r="2608" spans="1:26" x14ac:dyDescent="0.3">
      <c r="A2608" s="72"/>
      <c r="B2608" s="73"/>
      <c r="C2608" s="70"/>
      <c r="D2608" s="74"/>
      <c r="E2608" s="75"/>
      <c r="F2608" s="75"/>
      <c r="K2608" s="72"/>
      <c r="L2608" s="73"/>
      <c r="M2608" s="70"/>
      <c r="N2608" s="74"/>
      <c r="O2608" s="75"/>
      <c r="P2608" s="75"/>
      <c r="U2608" s="72"/>
      <c r="V2608" s="73"/>
      <c r="W2608" s="70"/>
      <c r="X2608" s="74"/>
      <c r="Y2608" s="75"/>
      <c r="Z2608" s="75"/>
    </row>
    <row r="2609" spans="1:26" x14ac:dyDescent="0.3">
      <c r="A2609" s="72"/>
      <c r="B2609" s="73"/>
      <c r="C2609" s="70"/>
      <c r="D2609" s="74"/>
      <c r="E2609" s="75"/>
      <c r="F2609" s="75"/>
      <c r="K2609" s="72"/>
      <c r="L2609" s="73"/>
      <c r="M2609" s="70"/>
      <c r="N2609" s="74"/>
      <c r="O2609" s="75"/>
      <c r="P2609" s="75"/>
      <c r="U2609" s="72"/>
      <c r="V2609" s="73"/>
      <c r="W2609" s="70"/>
      <c r="X2609" s="74"/>
      <c r="Y2609" s="75"/>
      <c r="Z2609" s="75"/>
    </row>
    <row r="2610" spans="1:26" x14ac:dyDescent="0.3">
      <c r="A2610" s="72"/>
      <c r="B2610" s="73"/>
      <c r="C2610" s="70"/>
      <c r="D2610" s="74"/>
      <c r="E2610" s="75"/>
      <c r="F2610" s="75"/>
      <c r="K2610" s="72"/>
      <c r="L2610" s="73"/>
      <c r="M2610" s="70"/>
      <c r="N2610" s="74"/>
      <c r="O2610" s="75"/>
      <c r="P2610" s="75"/>
      <c r="U2610" s="72"/>
      <c r="V2610" s="73"/>
      <c r="W2610" s="70"/>
      <c r="X2610" s="74"/>
      <c r="Y2610" s="75"/>
      <c r="Z2610" s="75"/>
    </row>
    <row r="2611" spans="1:26" x14ac:dyDescent="0.3">
      <c r="A2611" s="72"/>
      <c r="B2611" s="73"/>
      <c r="C2611" s="70"/>
      <c r="D2611" s="74"/>
      <c r="E2611" s="75"/>
      <c r="F2611" s="75"/>
      <c r="K2611" s="72"/>
      <c r="L2611" s="73"/>
      <c r="M2611" s="70"/>
      <c r="N2611" s="74"/>
      <c r="O2611" s="75"/>
      <c r="P2611" s="75"/>
      <c r="U2611" s="72"/>
      <c r="V2611" s="73"/>
      <c r="W2611" s="70"/>
      <c r="X2611" s="74"/>
      <c r="Y2611" s="75"/>
      <c r="Z2611" s="75"/>
    </row>
    <row r="2612" spans="1:26" x14ac:dyDescent="0.3">
      <c r="A2612" s="72"/>
      <c r="B2612" s="73"/>
      <c r="C2612" s="70"/>
      <c r="D2612" s="74"/>
      <c r="E2612" s="75"/>
      <c r="F2612" s="75"/>
      <c r="K2612" s="72"/>
      <c r="L2612" s="73"/>
      <c r="M2612" s="70"/>
      <c r="N2612" s="74"/>
      <c r="O2612" s="75"/>
      <c r="P2612" s="75"/>
      <c r="U2612" s="72"/>
      <c r="V2612" s="73"/>
      <c r="W2612" s="70"/>
      <c r="X2612" s="74"/>
      <c r="Y2612" s="75"/>
      <c r="Z2612" s="75"/>
    </row>
    <row r="2613" spans="1:26" x14ac:dyDescent="0.3">
      <c r="A2613" s="72"/>
      <c r="B2613" s="73"/>
      <c r="C2613" s="70"/>
      <c r="D2613" s="74"/>
      <c r="E2613" s="75"/>
      <c r="F2613" s="75"/>
      <c r="K2613" s="72"/>
      <c r="L2613" s="73"/>
      <c r="M2613" s="70"/>
      <c r="N2613" s="74"/>
      <c r="O2613" s="75"/>
      <c r="P2613" s="75"/>
      <c r="U2613" s="72"/>
      <c r="V2613" s="73"/>
      <c r="W2613" s="70"/>
      <c r="X2613" s="74"/>
      <c r="Y2613" s="75"/>
      <c r="Z2613" s="75"/>
    </row>
    <row r="2614" spans="1:26" x14ac:dyDescent="0.3">
      <c r="A2614" s="72"/>
      <c r="B2614" s="73"/>
      <c r="C2614" s="70"/>
      <c r="D2614" s="74"/>
      <c r="E2614" s="75"/>
      <c r="F2614" s="75"/>
      <c r="K2614" s="72"/>
      <c r="L2614" s="73"/>
      <c r="M2614" s="70"/>
      <c r="N2614" s="74"/>
      <c r="O2614" s="75"/>
      <c r="P2614" s="75"/>
      <c r="U2614" s="72"/>
      <c r="V2614" s="73"/>
      <c r="W2614" s="70"/>
      <c r="X2614" s="74"/>
      <c r="Y2614" s="75"/>
      <c r="Z2614" s="75"/>
    </row>
    <row r="2615" spans="1:26" x14ac:dyDescent="0.3">
      <c r="A2615" s="72"/>
      <c r="B2615" s="73"/>
      <c r="C2615" s="70"/>
      <c r="D2615" s="74"/>
      <c r="E2615" s="75"/>
      <c r="F2615" s="75"/>
      <c r="K2615" s="72"/>
      <c r="L2615" s="73"/>
      <c r="M2615" s="70"/>
      <c r="N2615" s="74"/>
      <c r="O2615" s="75"/>
      <c r="P2615" s="75"/>
      <c r="U2615" s="72"/>
      <c r="V2615" s="73"/>
      <c r="W2615" s="70"/>
      <c r="X2615" s="74"/>
      <c r="Y2615" s="75"/>
      <c r="Z2615" s="75"/>
    </row>
    <row r="2616" spans="1:26" x14ac:dyDescent="0.3">
      <c r="A2616" s="72"/>
      <c r="B2616" s="73"/>
      <c r="C2616" s="70"/>
      <c r="D2616" s="74"/>
      <c r="E2616" s="75"/>
      <c r="F2616" s="75"/>
      <c r="K2616" s="72"/>
      <c r="L2616" s="73"/>
      <c r="M2616" s="70"/>
      <c r="N2616" s="74"/>
      <c r="O2616" s="75"/>
      <c r="P2616" s="75"/>
      <c r="U2616" s="72"/>
      <c r="V2616" s="73"/>
      <c r="W2616" s="70"/>
      <c r="X2616" s="74"/>
      <c r="Y2616" s="75"/>
      <c r="Z2616" s="75"/>
    </row>
    <row r="2617" spans="1:26" x14ac:dyDescent="0.3">
      <c r="A2617" s="72"/>
      <c r="B2617" s="73"/>
      <c r="C2617" s="70"/>
      <c r="D2617" s="74"/>
      <c r="E2617" s="75"/>
      <c r="F2617" s="75"/>
      <c r="K2617" s="72"/>
      <c r="L2617" s="73"/>
      <c r="M2617" s="70"/>
      <c r="N2617" s="74"/>
      <c r="O2617" s="75"/>
      <c r="P2617" s="75"/>
      <c r="U2617" s="72"/>
      <c r="V2617" s="73"/>
      <c r="W2617" s="70"/>
      <c r="X2617" s="74"/>
      <c r="Y2617" s="75"/>
      <c r="Z2617" s="75"/>
    </row>
    <row r="2618" spans="1:26" x14ac:dyDescent="0.3">
      <c r="A2618" s="72"/>
      <c r="B2618" s="73"/>
      <c r="C2618" s="70"/>
      <c r="D2618" s="74"/>
      <c r="E2618" s="75"/>
      <c r="F2618" s="75"/>
      <c r="K2618" s="72"/>
      <c r="L2618" s="73"/>
      <c r="M2618" s="70"/>
      <c r="N2618" s="74"/>
      <c r="O2618" s="75"/>
      <c r="P2618" s="75"/>
      <c r="U2618" s="72"/>
      <c r="V2618" s="73"/>
      <c r="W2618" s="70"/>
      <c r="X2618" s="74"/>
      <c r="Y2618" s="75"/>
      <c r="Z2618" s="75"/>
    </row>
    <row r="2619" spans="1:26" x14ac:dyDescent="0.3">
      <c r="A2619" s="72"/>
      <c r="B2619" s="73"/>
      <c r="C2619" s="70"/>
      <c r="D2619" s="74"/>
      <c r="E2619" s="75"/>
      <c r="F2619" s="75"/>
      <c r="K2619" s="72"/>
      <c r="L2619" s="73"/>
      <c r="M2619" s="70"/>
      <c r="N2619" s="74"/>
      <c r="O2619" s="75"/>
      <c r="P2619" s="75"/>
      <c r="U2619" s="72"/>
      <c r="V2619" s="73"/>
      <c r="W2619" s="70"/>
      <c r="X2619" s="74"/>
      <c r="Y2619" s="75"/>
      <c r="Z2619" s="75"/>
    </row>
    <row r="2620" spans="1:26" x14ac:dyDescent="0.3">
      <c r="A2620" s="72"/>
      <c r="B2620" s="73"/>
      <c r="C2620" s="70"/>
      <c r="D2620" s="74"/>
      <c r="E2620" s="75"/>
      <c r="F2620" s="75"/>
      <c r="K2620" s="72"/>
      <c r="L2620" s="73"/>
      <c r="M2620" s="70"/>
      <c r="N2620" s="74"/>
      <c r="O2620" s="75"/>
      <c r="P2620" s="75"/>
      <c r="U2620" s="72"/>
      <c r="V2620" s="73"/>
      <c r="W2620" s="70"/>
      <c r="X2620" s="74"/>
      <c r="Y2620" s="75"/>
      <c r="Z2620" s="75"/>
    </row>
    <row r="2621" spans="1:26" x14ac:dyDescent="0.3">
      <c r="A2621" s="72"/>
      <c r="B2621" s="73"/>
      <c r="C2621" s="70"/>
      <c r="D2621" s="74"/>
      <c r="E2621" s="75"/>
      <c r="F2621" s="75"/>
      <c r="K2621" s="72"/>
      <c r="L2621" s="73"/>
      <c r="M2621" s="70"/>
      <c r="N2621" s="74"/>
      <c r="O2621" s="75"/>
      <c r="P2621" s="75"/>
      <c r="U2621" s="72"/>
      <c r="V2621" s="73"/>
      <c r="W2621" s="70"/>
      <c r="X2621" s="74"/>
      <c r="Y2621" s="75"/>
      <c r="Z2621" s="75"/>
    </row>
    <row r="2622" spans="1:26" x14ac:dyDescent="0.3">
      <c r="A2622" s="72"/>
      <c r="B2622" s="73"/>
      <c r="C2622" s="70"/>
      <c r="D2622" s="74"/>
      <c r="E2622" s="75"/>
      <c r="F2622" s="75"/>
      <c r="K2622" s="72"/>
      <c r="L2622" s="73"/>
      <c r="M2622" s="70"/>
      <c r="N2622" s="74"/>
      <c r="O2622" s="75"/>
      <c r="P2622" s="75"/>
      <c r="U2622" s="72"/>
      <c r="V2622" s="73"/>
      <c r="W2622" s="70"/>
      <c r="X2622" s="74"/>
      <c r="Y2622" s="75"/>
      <c r="Z2622" s="75"/>
    </row>
    <row r="2623" spans="1:26" x14ac:dyDescent="0.3">
      <c r="A2623" s="72"/>
      <c r="B2623" s="73"/>
      <c r="C2623" s="70"/>
      <c r="D2623" s="74"/>
      <c r="E2623" s="75"/>
      <c r="F2623" s="75"/>
      <c r="K2623" s="72"/>
      <c r="L2623" s="73"/>
      <c r="M2623" s="70"/>
      <c r="N2623" s="74"/>
      <c r="O2623" s="75"/>
      <c r="P2623" s="75"/>
      <c r="U2623" s="72"/>
      <c r="V2623" s="73"/>
      <c r="W2623" s="70"/>
      <c r="X2623" s="74"/>
      <c r="Y2623" s="75"/>
      <c r="Z2623" s="75"/>
    </row>
    <row r="2624" spans="1:26" x14ac:dyDescent="0.3">
      <c r="A2624" s="72"/>
      <c r="B2624" s="73"/>
      <c r="C2624" s="70"/>
      <c r="D2624" s="74"/>
      <c r="E2624" s="75"/>
      <c r="F2624" s="75"/>
      <c r="K2624" s="72"/>
      <c r="L2624" s="73"/>
      <c r="M2624" s="70"/>
      <c r="N2624" s="74"/>
      <c r="O2624" s="75"/>
      <c r="P2624" s="75"/>
      <c r="U2624" s="72"/>
      <c r="V2624" s="73"/>
      <c r="W2624" s="70"/>
      <c r="X2624" s="74"/>
      <c r="Y2624" s="75"/>
      <c r="Z2624" s="75"/>
    </row>
    <row r="2625" spans="1:26" x14ac:dyDescent="0.3">
      <c r="A2625" s="72"/>
      <c r="B2625" s="73"/>
      <c r="C2625" s="70"/>
      <c r="D2625" s="74"/>
      <c r="E2625" s="75"/>
      <c r="F2625" s="75"/>
      <c r="K2625" s="72"/>
      <c r="L2625" s="73"/>
      <c r="M2625" s="70"/>
      <c r="N2625" s="74"/>
      <c r="O2625" s="75"/>
      <c r="P2625" s="75"/>
      <c r="U2625" s="72"/>
      <c r="V2625" s="73"/>
      <c r="W2625" s="70"/>
      <c r="X2625" s="74"/>
      <c r="Y2625" s="75"/>
      <c r="Z2625" s="75"/>
    </row>
    <row r="2626" spans="1:26" x14ac:dyDescent="0.3">
      <c r="A2626" s="72"/>
      <c r="B2626" s="73"/>
      <c r="C2626" s="70"/>
      <c r="D2626" s="74"/>
      <c r="E2626" s="75"/>
      <c r="F2626" s="75"/>
      <c r="K2626" s="72"/>
      <c r="L2626" s="73"/>
      <c r="M2626" s="70"/>
      <c r="N2626" s="74"/>
      <c r="O2626" s="75"/>
      <c r="P2626" s="75"/>
      <c r="U2626" s="72"/>
      <c r="V2626" s="73"/>
      <c r="W2626" s="70"/>
      <c r="X2626" s="74"/>
      <c r="Y2626" s="75"/>
      <c r="Z2626" s="75"/>
    </row>
    <row r="2627" spans="1:26" x14ac:dyDescent="0.3">
      <c r="A2627" s="72"/>
      <c r="B2627" s="73"/>
      <c r="C2627" s="70"/>
      <c r="D2627" s="74"/>
      <c r="E2627" s="75"/>
      <c r="F2627" s="75"/>
      <c r="K2627" s="72"/>
      <c r="L2627" s="73"/>
      <c r="M2627" s="70"/>
      <c r="N2627" s="74"/>
      <c r="O2627" s="75"/>
      <c r="P2627" s="75"/>
      <c r="U2627" s="72"/>
      <c r="V2627" s="73"/>
      <c r="W2627" s="70"/>
      <c r="X2627" s="74"/>
      <c r="Y2627" s="75"/>
      <c r="Z2627" s="75"/>
    </row>
    <row r="2628" spans="1:26" x14ac:dyDescent="0.3">
      <c r="A2628" s="72"/>
      <c r="B2628" s="73"/>
      <c r="C2628" s="70"/>
      <c r="D2628" s="74"/>
      <c r="E2628" s="75"/>
      <c r="F2628" s="75"/>
      <c r="K2628" s="72"/>
      <c r="L2628" s="73"/>
      <c r="M2628" s="70"/>
      <c r="N2628" s="74"/>
      <c r="O2628" s="75"/>
      <c r="P2628" s="75"/>
      <c r="U2628" s="72"/>
      <c r="V2628" s="73"/>
      <c r="W2628" s="70"/>
      <c r="X2628" s="74"/>
      <c r="Y2628" s="75"/>
      <c r="Z2628" s="75"/>
    </row>
    <row r="2629" spans="1:26" x14ac:dyDescent="0.3">
      <c r="A2629" s="72"/>
      <c r="B2629" s="73"/>
      <c r="C2629" s="70"/>
      <c r="D2629" s="74"/>
      <c r="E2629" s="75"/>
      <c r="F2629" s="75"/>
      <c r="K2629" s="72"/>
      <c r="L2629" s="73"/>
      <c r="M2629" s="70"/>
      <c r="N2629" s="74"/>
      <c r="O2629" s="75"/>
      <c r="P2629" s="75"/>
      <c r="U2629" s="72"/>
      <c r="V2629" s="73"/>
      <c r="W2629" s="70"/>
      <c r="X2629" s="74"/>
      <c r="Y2629" s="75"/>
      <c r="Z2629" s="75"/>
    </row>
    <row r="2630" spans="1:26" x14ac:dyDescent="0.3">
      <c r="A2630" s="72"/>
      <c r="B2630" s="73"/>
      <c r="C2630" s="70"/>
      <c r="D2630" s="74"/>
      <c r="E2630" s="75"/>
      <c r="F2630" s="75"/>
      <c r="K2630" s="72"/>
      <c r="L2630" s="73"/>
      <c r="M2630" s="70"/>
      <c r="N2630" s="74"/>
      <c r="O2630" s="75"/>
      <c r="P2630" s="75"/>
      <c r="U2630" s="72"/>
      <c r="V2630" s="73"/>
      <c r="W2630" s="70"/>
      <c r="X2630" s="74"/>
      <c r="Y2630" s="75"/>
      <c r="Z2630" s="75"/>
    </row>
    <row r="2631" spans="1:26" x14ac:dyDescent="0.3">
      <c r="A2631" s="72"/>
      <c r="B2631" s="73"/>
      <c r="C2631" s="70"/>
      <c r="D2631" s="74"/>
      <c r="E2631" s="75"/>
      <c r="F2631" s="75"/>
      <c r="K2631" s="72"/>
      <c r="L2631" s="73"/>
      <c r="M2631" s="70"/>
      <c r="N2631" s="74"/>
      <c r="O2631" s="75"/>
      <c r="P2631" s="75"/>
      <c r="U2631" s="72"/>
      <c r="V2631" s="73"/>
      <c r="W2631" s="70"/>
      <c r="X2631" s="74"/>
      <c r="Y2631" s="75"/>
      <c r="Z2631" s="75"/>
    </row>
    <row r="2632" spans="1:26" x14ac:dyDescent="0.3">
      <c r="A2632" s="72"/>
      <c r="B2632" s="73"/>
      <c r="C2632" s="70"/>
      <c r="D2632" s="74"/>
      <c r="E2632" s="75"/>
      <c r="F2632" s="75"/>
      <c r="K2632" s="72"/>
      <c r="L2632" s="73"/>
      <c r="M2632" s="70"/>
      <c r="N2632" s="74"/>
      <c r="O2632" s="75"/>
      <c r="P2632" s="75"/>
      <c r="U2632" s="72"/>
      <c r="V2632" s="73"/>
      <c r="W2632" s="70"/>
      <c r="X2632" s="74"/>
      <c r="Y2632" s="75"/>
      <c r="Z2632" s="75"/>
    </row>
    <row r="2633" spans="1:26" x14ac:dyDescent="0.3">
      <c r="A2633" s="72"/>
      <c r="B2633" s="73"/>
      <c r="C2633" s="70"/>
      <c r="D2633" s="74"/>
      <c r="E2633" s="75"/>
      <c r="F2633" s="75"/>
      <c r="K2633" s="72"/>
      <c r="L2633" s="73"/>
      <c r="M2633" s="70"/>
      <c r="N2633" s="74"/>
      <c r="O2633" s="75"/>
      <c r="P2633" s="75"/>
      <c r="U2633" s="72"/>
      <c r="V2633" s="73"/>
      <c r="W2633" s="70"/>
      <c r="X2633" s="74"/>
      <c r="Y2633" s="75"/>
      <c r="Z2633" s="75"/>
    </row>
    <row r="2634" spans="1:26" x14ac:dyDescent="0.3">
      <c r="A2634" s="72"/>
      <c r="B2634" s="73"/>
      <c r="C2634" s="70"/>
      <c r="D2634" s="74"/>
      <c r="E2634" s="75"/>
      <c r="F2634" s="75"/>
      <c r="K2634" s="72"/>
      <c r="L2634" s="73"/>
      <c r="M2634" s="70"/>
      <c r="N2634" s="74"/>
      <c r="O2634" s="75"/>
      <c r="P2634" s="75"/>
      <c r="U2634" s="72"/>
      <c r="V2634" s="73"/>
      <c r="W2634" s="70"/>
      <c r="X2634" s="74"/>
      <c r="Y2634" s="75"/>
      <c r="Z2634" s="75"/>
    </row>
    <row r="2635" spans="1:26" x14ac:dyDescent="0.3">
      <c r="A2635" s="72"/>
      <c r="B2635" s="73"/>
      <c r="C2635" s="70"/>
      <c r="D2635" s="74"/>
      <c r="E2635" s="75"/>
      <c r="F2635" s="75"/>
      <c r="K2635" s="72"/>
      <c r="L2635" s="73"/>
      <c r="M2635" s="70"/>
      <c r="N2635" s="74"/>
      <c r="O2635" s="75"/>
      <c r="P2635" s="75"/>
      <c r="U2635" s="72"/>
      <c r="V2635" s="73"/>
      <c r="W2635" s="70"/>
      <c r="X2635" s="74"/>
      <c r="Y2635" s="75"/>
      <c r="Z2635" s="75"/>
    </row>
    <row r="2636" spans="1:26" x14ac:dyDescent="0.3">
      <c r="A2636" s="72"/>
      <c r="B2636" s="73"/>
      <c r="C2636" s="70"/>
      <c r="D2636" s="74"/>
      <c r="E2636" s="75"/>
      <c r="F2636" s="75"/>
      <c r="K2636" s="72"/>
      <c r="L2636" s="73"/>
      <c r="M2636" s="70"/>
      <c r="N2636" s="74"/>
      <c r="O2636" s="75"/>
      <c r="P2636" s="75"/>
      <c r="U2636" s="72"/>
      <c r="V2636" s="73"/>
      <c r="W2636" s="70"/>
      <c r="X2636" s="74"/>
      <c r="Y2636" s="75"/>
      <c r="Z2636" s="75"/>
    </row>
    <row r="2637" spans="1:26" x14ac:dyDescent="0.3">
      <c r="A2637" s="72"/>
      <c r="B2637" s="73"/>
      <c r="C2637" s="70"/>
      <c r="D2637" s="74"/>
      <c r="E2637" s="75"/>
      <c r="F2637" s="75"/>
      <c r="K2637" s="72"/>
      <c r="L2637" s="73"/>
      <c r="M2637" s="70"/>
      <c r="N2637" s="74"/>
      <c r="O2637" s="75"/>
      <c r="P2637" s="75"/>
      <c r="U2637" s="72"/>
      <c r="V2637" s="73"/>
      <c r="W2637" s="70"/>
      <c r="X2637" s="74"/>
      <c r="Y2637" s="75"/>
      <c r="Z2637" s="75"/>
    </row>
    <row r="2638" spans="1:26" x14ac:dyDescent="0.3">
      <c r="A2638" s="72"/>
      <c r="B2638" s="73"/>
      <c r="C2638" s="70"/>
      <c r="D2638" s="74"/>
      <c r="E2638" s="75"/>
      <c r="F2638" s="75"/>
      <c r="K2638" s="72"/>
      <c r="L2638" s="73"/>
      <c r="M2638" s="70"/>
      <c r="N2638" s="74"/>
      <c r="O2638" s="75"/>
      <c r="P2638" s="75"/>
      <c r="U2638" s="72"/>
      <c r="V2638" s="73"/>
      <c r="W2638" s="70"/>
      <c r="X2638" s="74"/>
      <c r="Y2638" s="75"/>
      <c r="Z2638" s="75"/>
    </row>
    <row r="2639" spans="1:26" x14ac:dyDescent="0.3">
      <c r="A2639" s="72"/>
      <c r="B2639" s="73"/>
      <c r="C2639" s="70"/>
      <c r="D2639" s="74"/>
      <c r="E2639" s="75"/>
      <c r="F2639" s="75"/>
      <c r="K2639" s="72"/>
      <c r="L2639" s="73"/>
      <c r="M2639" s="70"/>
      <c r="N2639" s="74"/>
      <c r="O2639" s="75"/>
      <c r="P2639" s="75"/>
      <c r="U2639" s="72"/>
      <c r="V2639" s="73"/>
      <c r="W2639" s="70"/>
      <c r="X2639" s="74"/>
      <c r="Y2639" s="75"/>
      <c r="Z2639" s="75"/>
    </row>
    <row r="2640" spans="1:26" x14ac:dyDescent="0.3">
      <c r="A2640" s="72"/>
      <c r="B2640" s="73"/>
      <c r="C2640" s="70"/>
      <c r="D2640" s="74"/>
      <c r="E2640" s="75"/>
      <c r="F2640" s="75"/>
      <c r="K2640" s="72"/>
      <c r="L2640" s="73"/>
      <c r="M2640" s="70"/>
      <c r="N2640" s="74"/>
      <c r="O2640" s="75"/>
      <c r="P2640" s="75"/>
      <c r="U2640" s="72"/>
      <c r="V2640" s="73"/>
      <c r="W2640" s="70"/>
      <c r="X2640" s="74"/>
      <c r="Y2640" s="75"/>
      <c r="Z2640" s="75"/>
    </row>
    <row r="2641" spans="1:26" x14ac:dyDescent="0.3">
      <c r="A2641" s="72"/>
      <c r="B2641" s="73"/>
      <c r="C2641" s="70"/>
      <c r="D2641" s="74"/>
      <c r="E2641" s="75"/>
      <c r="F2641" s="75"/>
      <c r="K2641" s="72"/>
      <c r="L2641" s="73"/>
      <c r="M2641" s="70"/>
      <c r="N2641" s="74"/>
      <c r="O2641" s="75"/>
      <c r="P2641" s="75"/>
      <c r="U2641" s="72"/>
      <c r="V2641" s="73"/>
      <c r="W2641" s="70"/>
      <c r="X2641" s="74"/>
      <c r="Y2641" s="75"/>
      <c r="Z2641" s="75"/>
    </row>
    <row r="2642" spans="1:26" x14ac:dyDescent="0.3">
      <c r="A2642" s="72"/>
      <c r="B2642" s="73"/>
      <c r="C2642" s="70"/>
      <c r="D2642" s="74"/>
      <c r="E2642" s="75"/>
      <c r="F2642" s="75"/>
      <c r="K2642" s="72"/>
      <c r="L2642" s="73"/>
      <c r="M2642" s="70"/>
      <c r="N2642" s="74"/>
      <c r="O2642" s="75"/>
      <c r="P2642" s="75"/>
      <c r="U2642" s="72"/>
      <c r="V2642" s="73"/>
      <c r="W2642" s="70"/>
      <c r="X2642" s="74"/>
      <c r="Y2642" s="75"/>
      <c r="Z2642" s="75"/>
    </row>
    <row r="2643" spans="1:26" x14ac:dyDescent="0.3">
      <c r="A2643" s="72"/>
      <c r="B2643" s="73"/>
      <c r="C2643" s="70"/>
      <c r="D2643" s="74"/>
      <c r="E2643" s="75"/>
      <c r="F2643" s="75"/>
      <c r="K2643" s="72"/>
      <c r="L2643" s="73"/>
      <c r="M2643" s="70"/>
      <c r="N2643" s="74"/>
      <c r="O2643" s="75"/>
      <c r="P2643" s="75"/>
      <c r="U2643" s="72"/>
      <c r="V2643" s="73"/>
      <c r="W2643" s="70"/>
      <c r="X2643" s="74"/>
      <c r="Y2643" s="75"/>
      <c r="Z2643" s="75"/>
    </row>
    <row r="2644" spans="1:26" x14ac:dyDescent="0.3">
      <c r="A2644" s="72"/>
      <c r="B2644" s="73"/>
      <c r="C2644" s="70"/>
      <c r="D2644" s="74"/>
      <c r="E2644" s="75"/>
      <c r="F2644" s="75"/>
      <c r="K2644" s="72"/>
      <c r="L2644" s="73"/>
      <c r="M2644" s="70"/>
      <c r="N2644" s="74"/>
      <c r="O2644" s="75"/>
      <c r="P2644" s="75"/>
      <c r="U2644" s="72"/>
      <c r="V2644" s="73"/>
      <c r="W2644" s="70"/>
      <c r="X2644" s="74"/>
      <c r="Y2644" s="75"/>
      <c r="Z2644" s="75"/>
    </row>
    <row r="2645" spans="1:26" x14ac:dyDescent="0.3">
      <c r="A2645" s="72"/>
      <c r="B2645" s="73"/>
      <c r="C2645" s="70"/>
      <c r="D2645" s="74"/>
      <c r="E2645" s="75"/>
      <c r="F2645" s="75"/>
      <c r="K2645" s="72"/>
      <c r="L2645" s="73"/>
      <c r="M2645" s="70"/>
      <c r="N2645" s="74"/>
      <c r="O2645" s="75"/>
      <c r="P2645" s="75"/>
      <c r="U2645" s="72"/>
      <c r="V2645" s="73"/>
      <c r="W2645" s="70"/>
      <c r="X2645" s="74"/>
      <c r="Y2645" s="75"/>
      <c r="Z2645" s="75"/>
    </row>
    <row r="2646" spans="1:26" x14ac:dyDescent="0.3">
      <c r="A2646" s="72"/>
      <c r="B2646" s="73"/>
      <c r="C2646" s="70"/>
      <c r="D2646" s="74"/>
      <c r="E2646" s="75"/>
      <c r="F2646" s="75"/>
      <c r="K2646" s="72"/>
      <c r="L2646" s="73"/>
      <c r="M2646" s="70"/>
      <c r="N2646" s="74"/>
      <c r="O2646" s="75"/>
      <c r="P2646" s="75"/>
      <c r="U2646" s="72"/>
      <c r="V2646" s="73"/>
      <c r="W2646" s="70"/>
      <c r="X2646" s="74"/>
      <c r="Y2646" s="75"/>
      <c r="Z2646" s="75"/>
    </row>
    <row r="2647" spans="1:26" x14ac:dyDescent="0.3">
      <c r="A2647" s="72"/>
      <c r="B2647" s="73"/>
      <c r="C2647" s="70"/>
      <c r="D2647" s="74"/>
      <c r="E2647" s="75"/>
      <c r="F2647" s="75"/>
      <c r="K2647" s="72"/>
      <c r="L2647" s="73"/>
      <c r="M2647" s="70"/>
      <c r="N2647" s="74"/>
      <c r="O2647" s="75"/>
      <c r="P2647" s="75"/>
      <c r="U2647" s="72"/>
      <c r="V2647" s="73"/>
      <c r="W2647" s="70"/>
      <c r="X2647" s="74"/>
      <c r="Y2647" s="75"/>
      <c r="Z2647" s="75"/>
    </row>
    <row r="2648" spans="1:26" x14ac:dyDescent="0.3">
      <c r="A2648" s="72"/>
      <c r="B2648" s="73"/>
      <c r="C2648" s="70"/>
      <c r="D2648" s="74"/>
      <c r="E2648" s="75"/>
      <c r="F2648" s="75"/>
      <c r="K2648" s="72"/>
      <c r="L2648" s="73"/>
      <c r="M2648" s="70"/>
      <c r="N2648" s="74"/>
      <c r="O2648" s="75"/>
      <c r="P2648" s="75"/>
      <c r="U2648" s="72"/>
      <c r="V2648" s="73"/>
      <c r="W2648" s="70"/>
      <c r="X2648" s="74"/>
      <c r="Y2648" s="75"/>
      <c r="Z2648" s="75"/>
    </row>
    <row r="2649" spans="1:26" x14ac:dyDescent="0.3">
      <c r="A2649" s="72"/>
      <c r="B2649" s="73"/>
      <c r="C2649" s="70"/>
      <c r="D2649" s="74"/>
      <c r="E2649" s="75"/>
      <c r="F2649" s="75"/>
      <c r="K2649" s="72"/>
      <c r="L2649" s="73"/>
      <c r="M2649" s="70"/>
      <c r="N2649" s="74"/>
      <c r="O2649" s="75"/>
      <c r="P2649" s="75"/>
      <c r="U2649" s="72"/>
      <c r="V2649" s="73"/>
      <c r="W2649" s="70"/>
      <c r="X2649" s="74"/>
      <c r="Y2649" s="75"/>
      <c r="Z2649" s="75"/>
    </row>
    <row r="2650" spans="1:26" x14ac:dyDescent="0.3">
      <c r="A2650" s="72"/>
      <c r="B2650" s="73"/>
      <c r="C2650" s="70"/>
      <c r="D2650" s="74"/>
      <c r="E2650" s="75"/>
      <c r="F2650" s="75"/>
      <c r="K2650" s="72"/>
      <c r="L2650" s="73"/>
      <c r="M2650" s="70"/>
      <c r="N2650" s="74"/>
      <c r="O2650" s="75"/>
      <c r="P2650" s="75"/>
      <c r="U2650" s="72"/>
      <c r="V2650" s="73"/>
      <c r="W2650" s="70"/>
      <c r="X2650" s="74"/>
      <c r="Y2650" s="75"/>
      <c r="Z2650" s="75"/>
    </row>
    <row r="2651" spans="1:26" x14ac:dyDescent="0.3">
      <c r="A2651" s="72"/>
      <c r="B2651" s="73"/>
      <c r="C2651" s="70"/>
      <c r="D2651" s="74"/>
      <c r="E2651" s="75"/>
      <c r="F2651" s="75"/>
      <c r="K2651" s="72"/>
      <c r="L2651" s="73"/>
      <c r="M2651" s="70"/>
      <c r="N2651" s="74"/>
      <c r="O2651" s="75"/>
      <c r="P2651" s="75"/>
      <c r="U2651" s="72"/>
      <c r="V2651" s="73"/>
      <c r="W2651" s="70"/>
      <c r="X2651" s="74"/>
      <c r="Y2651" s="75"/>
      <c r="Z2651" s="75"/>
    </row>
    <row r="2652" spans="1:26" x14ac:dyDescent="0.3">
      <c r="A2652" s="72"/>
      <c r="B2652" s="73"/>
      <c r="C2652" s="70"/>
      <c r="D2652" s="74"/>
      <c r="E2652" s="75"/>
      <c r="F2652" s="75"/>
      <c r="K2652" s="72"/>
      <c r="L2652" s="73"/>
      <c r="M2652" s="70"/>
      <c r="N2652" s="74"/>
      <c r="O2652" s="75"/>
      <c r="P2652" s="75"/>
      <c r="U2652" s="72"/>
      <c r="V2652" s="73"/>
      <c r="W2652" s="70"/>
      <c r="X2652" s="74"/>
      <c r="Y2652" s="75"/>
      <c r="Z2652" s="75"/>
    </row>
    <row r="2653" spans="1:26" x14ac:dyDescent="0.3">
      <c r="A2653" s="72"/>
      <c r="B2653" s="73"/>
      <c r="C2653" s="70"/>
      <c r="D2653" s="74"/>
      <c r="E2653" s="75"/>
      <c r="F2653" s="75"/>
      <c r="K2653" s="72"/>
      <c r="L2653" s="73"/>
      <c r="M2653" s="70"/>
      <c r="N2653" s="74"/>
      <c r="O2653" s="75"/>
      <c r="P2653" s="75"/>
      <c r="U2653" s="72"/>
      <c r="V2653" s="73"/>
      <c r="W2653" s="70"/>
      <c r="X2653" s="74"/>
      <c r="Y2653" s="75"/>
      <c r="Z2653" s="75"/>
    </row>
    <row r="2654" spans="1:26" x14ac:dyDescent="0.3">
      <c r="A2654" s="72"/>
      <c r="B2654" s="73"/>
      <c r="C2654" s="70"/>
      <c r="D2654" s="74"/>
      <c r="E2654" s="75"/>
      <c r="F2654" s="75"/>
      <c r="K2654" s="72"/>
      <c r="L2654" s="73"/>
      <c r="M2654" s="70"/>
      <c r="N2654" s="74"/>
      <c r="O2654" s="75"/>
      <c r="P2654" s="75"/>
      <c r="U2654" s="72"/>
      <c r="V2654" s="73"/>
      <c r="W2654" s="70"/>
      <c r="X2654" s="74"/>
      <c r="Y2654" s="75"/>
      <c r="Z2654" s="75"/>
    </row>
    <row r="2655" spans="1:26" x14ac:dyDescent="0.3">
      <c r="A2655" s="72"/>
      <c r="B2655" s="73"/>
      <c r="C2655" s="70"/>
      <c r="D2655" s="74"/>
      <c r="E2655" s="75"/>
      <c r="F2655" s="75"/>
      <c r="K2655" s="72"/>
      <c r="L2655" s="73"/>
      <c r="M2655" s="70"/>
      <c r="N2655" s="74"/>
      <c r="O2655" s="75"/>
      <c r="P2655" s="75"/>
      <c r="U2655" s="72"/>
      <c r="V2655" s="73"/>
      <c r="W2655" s="70"/>
      <c r="X2655" s="74"/>
      <c r="Y2655" s="75"/>
      <c r="Z2655" s="75"/>
    </row>
    <row r="2656" spans="1:26" x14ac:dyDescent="0.3">
      <c r="A2656" s="72"/>
      <c r="B2656" s="73"/>
      <c r="C2656" s="70"/>
      <c r="D2656" s="74"/>
      <c r="E2656" s="75"/>
      <c r="F2656" s="75"/>
      <c r="K2656" s="72"/>
      <c r="L2656" s="73"/>
      <c r="M2656" s="70"/>
      <c r="N2656" s="74"/>
      <c r="O2656" s="75"/>
      <c r="P2656" s="75"/>
      <c r="U2656" s="72"/>
      <c r="V2656" s="73"/>
      <c r="W2656" s="70"/>
      <c r="X2656" s="74"/>
      <c r="Y2656" s="75"/>
      <c r="Z2656" s="75"/>
    </row>
    <row r="2657" spans="1:26" x14ac:dyDescent="0.3">
      <c r="A2657" s="72"/>
      <c r="B2657" s="73"/>
      <c r="C2657" s="70"/>
      <c r="D2657" s="74"/>
      <c r="E2657" s="75"/>
      <c r="F2657" s="75"/>
      <c r="K2657" s="72"/>
      <c r="L2657" s="73"/>
      <c r="M2657" s="70"/>
      <c r="N2657" s="74"/>
      <c r="O2657" s="75"/>
      <c r="P2657" s="75"/>
      <c r="U2657" s="72"/>
      <c r="V2657" s="73"/>
      <c r="W2657" s="70"/>
      <c r="X2657" s="74"/>
      <c r="Y2657" s="75"/>
      <c r="Z2657" s="75"/>
    </row>
    <row r="2658" spans="1:26" x14ac:dyDescent="0.3">
      <c r="A2658" s="72"/>
      <c r="B2658" s="73"/>
      <c r="C2658" s="70"/>
      <c r="D2658" s="74"/>
      <c r="E2658" s="75"/>
      <c r="F2658" s="75"/>
      <c r="K2658" s="72"/>
      <c r="L2658" s="73"/>
      <c r="M2658" s="70"/>
      <c r="N2658" s="74"/>
      <c r="O2658" s="75"/>
      <c r="P2658" s="75"/>
      <c r="U2658" s="72"/>
      <c r="V2658" s="73"/>
      <c r="W2658" s="70"/>
      <c r="X2658" s="74"/>
      <c r="Y2658" s="75"/>
      <c r="Z2658" s="75"/>
    </row>
    <row r="2659" spans="1:26" x14ac:dyDescent="0.3">
      <c r="A2659" s="72"/>
      <c r="B2659" s="73"/>
      <c r="C2659" s="70"/>
      <c r="D2659" s="74"/>
      <c r="E2659" s="75"/>
      <c r="F2659" s="75"/>
      <c r="K2659" s="72"/>
      <c r="L2659" s="73"/>
      <c r="M2659" s="70"/>
      <c r="N2659" s="74"/>
      <c r="O2659" s="75"/>
      <c r="P2659" s="75"/>
      <c r="U2659" s="72"/>
      <c r="V2659" s="73"/>
      <c r="W2659" s="70"/>
      <c r="X2659" s="74"/>
      <c r="Y2659" s="75"/>
      <c r="Z2659" s="75"/>
    </row>
    <row r="2660" spans="1:26" x14ac:dyDescent="0.3">
      <c r="A2660" s="72"/>
      <c r="B2660" s="73"/>
      <c r="C2660" s="70"/>
      <c r="D2660" s="74"/>
      <c r="E2660" s="75"/>
      <c r="F2660" s="75"/>
      <c r="K2660" s="72"/>
      <c r="L2660" s="73"/>
      <c r="M2660" s="70"/>
      <c r="N2660" s="74"/>
      <c r="O2660" s="75"/>
      <c r="P2660" s="75"/>
      <c r="U2660" s="72"/>
      <c r="V2660" s="73"/>
      <c r="W2660" s="70"/>
      <c r="X2660" s="74"/>
      <c r="Y2660" s="75"/>
      <c r="Z2660" s="75"/>
    </row>
    <row r="2661" spans="1:26" x14ac:dyDescent="0.3">
      <c r="A2661" s="72"/>
      <c r="B2661" s="73"/>
      <c r="C2661" s="70"/>
      <c r="D2661" s="74"/>
      <c r="E2661" s="75"/>
      <c r="F2661" s="75"/>
      <c r="K2661" s="72"/>
      <c r="L2661" s="73"/>
      <c r="M2661" s="70"/>
      <c r="N2661" s="74"/>
      <c r="O2661" s="75"/>
      <c r="P2661" s="75"/>
      <c r="U2661" s="72"/>
      <c r="V2661" s="73"/>
      <c r="W2661" s="70"/>
      <c r="X2661" s="74"/>
      <c r="Y2661" s="75"/>
      <c r="Z2661" s="75"/>
    </row>
    <row r="2662" spans="1:26" x14ac:dyDescent="0.3">
      <c r="A2662" s="72"/>
      <c r="B2662" s="73"/>
      <c r="C2662" s="70"/>
      <c r="D2662" s="74"/>
      <c r="E2662" s="75"/>
      <c r="F2662" s="75"/>
      <c r="K2662" s="72"/>
      <c r="L2662" s="73"/>
      <c r="M2662" s="70"/>
      <c r="N2662" s="74"/>
      <c r="O2662" s="75"/>
      <c r="P2662" s="75"/>
      <c r="U2662" s="72"/>
      <c r="V2662" s="73"/>
      <c r="W2662" s="70"/>
      <c r="X2662" s="74"/>
      <c r="Y2662" s="75"/>
      <c r="Z2662" s="75"/>
    </row>
    <row r="2663" spans="1:26" x14ac:dyDescent="0.3">
      <c r="A2663" s="72"/>
      <c r="B2663" s="73"/>
      <c r="C2663" s="70"/>
      <c r="D2663" s="74"/>
      <c r="E2663" s="75"/>
      <c r="F2663" s="75"/>
      <c r="K2663" s="72"/>
      <c r="L2663" s="73"/>
      <c r="M2663" s="70"/>
      <c r="N2663" s="74"/>
      <c r="O2663" s="75"/>
      <c r="P2663" s="75"/>
      <c r="U2663" s="72"/>
      <c r="V2663" s="73"/>
      <c r="W2663" s="70"/>
      <c r="X2663" s="74"/>
      <c r="Y2663" s="75"/>
      <c r="Z2663" s="75"/>
    </row>
    <row r="2664" spans="1:26" x14ac:dyDescent="0.3">
      <c r="A2664" s="72"/>
      <c r="B2664" s="73"/>
      <c r="C2664" s="70"/>
      <c r="D2664" s="74"/>
      <c r="E2664" s="75"/>
      <c r="F2664" s="75"/>
      <c r="K2664" s="72"/>
      <c r="L2664" s="73"/>
      <c r="M2664" s="70"/>
      <c r="N2664" s="74"/>
      <c r="O2664" s="75"/>
      <c r="P2664" s="75"/>
      <c r="U2664" s="72"/>
      <c r="V2664" s="73"/>
      <c r="W2664" s="70"/>
      <c r="X2664" s="74"/>
      <c r="Y2664" s="75"/>
      <c r="Z2664" s="75"/>
    </row>
    <row r="2665" spans="1:26" x14ac:dyDescent="0.3">
      <c r="A2665" s="72"/>
      <c r="B2665" s="73"/>
      <c r="C2665" s="70"/>
      <c r="D2665" s="74"/>
      <c r="E2665" s="75"/>
      <c r="F2665" s="75"/>
      <c r="K2665" s="72"/>
      <c r="L2665" s="73"/>
      <c r="M2665" s="70"/>
      <c r="N2665" s="74"/>
      <c r="O2665" s="75"/>
      <c r="P2665" s="75"/>
      <c r="U2665" s="72"/>
      <c r="V2665" s="73"/>
      <c r="W2665" s="70"/>
      <c r="X2665" s="74"/>
      <c r="Y2665" s="75"/>
      <c r="Z2665" s="75"/>
    </row>
    <row r="2666" spans="1:26" x14ac:dyDescent="0.3">
      <c r="A2666" s="72"/>
      <c r="B2666" s="73"/>
      <c r="C2666" s="70"/>
      <c r="D2666" s="74"/>
      <c r="E2666" s="75"/>
      <c r="F2666" s="75"/>
      <c r="K2666" s="72"/>
      <c r="L2666" s="73"/>
      <c r="M2666" s="70"/>
      <c r="N2666" s="74"/>
      <c r="O2666" s="75"/>
      <c r="P2666" s="75"/>
      <c r="U2666" s="72"/>
      <c r="V2666" s="73"/>
      <c r="W2666" s="70"/>
      <c r="X2666" s="74"/>
      <c r="Y2666" s="75"/>
      <c r="Z2666" s="75"/>
    </row>
    <row r="2667" spans="1:26" x14ac:dyDescent="0.3">
      <c r="A2667" s="72"/>
      <c r="B2667" s="73"/>
      <c r="C2667" s="70"/>
      <c r="D2667" s="74"/>
      <c r="E2667" s="75"/>
      <c r="F2667" s="75"/>
      <c r="K2667" s="72"/>
      <c r="L2667" s="73"/>
      <c r="M2667" s="70"/>
      <c r="N2667" s="74"/>
      <c r="O2667" s="75"/>
      <c r="P2667" s="75"/>
      <c r="U2667" s="72"/>
      <c r="V2667" s="73"/>
      <c r="W2667" s="70"/>
      <c r="X2667" s="74"/>
      <c r="Y2667" s="75"/>
      <c r="Z2667" s="75"/>
    </row>
    <row r="2668" spans="1:26" x14ac:dyDescent="0.3">
      <c r="A2668" s="72"/>
      <c r="B2668" s="73"/>
      <c r="C2668" s="70"/>
      <c r="D2668" s="74"/>
      <c r="E2668" s="75"/>
      <c r="F2668" s="75"/>
      <c r="K2668" s="72"/>
      <c r="L2668" s="73"/>
      <c r="M2668" s="70"/>
      <c r="N2668" s="74"/>
      <c r="O2668" s="75"/>
      <c r="P2668" s="75"/>
      <c r="U2668" s="72"/>
      <c r="V2668" s="73"/>
      <c r="W2668" s="70"/>
      <c r="X2668" s="74"/>
      <c r="Y2668" s="75"/>
      <c r="Z2668" s="75"/>
    </row>
    <row r="2669" spans="1:26" x14ac:dyDescent="0.3">
      <c r="A2669" s="72"/>
      <c r="B2669" s="73"/>
      <c r="C2669" s="70"/>
      <c r="D2669" s="74"/>
      <c r="E2669" s="75"/>
      <c r="F2669" s="75"/>
      <c r="K2669" s="72"/>
      <c r="L2669" s="73"/>
      <c r="M2669" s="70"/>
      <c r="N2669" s="74"/>
      <c r="O2669" s="75"/>
      <c r="P2669" s="75"/>
      <c r="U2669" s="72"/>
      <c r="V2669" s="73"/>
      <c r="W2669" s="70"/>
      <c r="X2669" s="74"/>
      <c r="Y2669" s="75"/>
      <c r="Z2669" s="75"/>
    </row>
    <row r="2670" spans="1:26" x14ac:dyDescent="0.3">
      <c r="A2670" s="72"/>
      <c r="B2670" s="73"/>
      <c r="C2670" s="70"/>
      <c r="D2670" s="74"/>
      <c r="E2670" s="75"/>
      <c r="F2670" s="75"/>
      <c r="K2670" s="72"/>
      <c r="L2670" s="73"/>
      <c r="M2670" s="70"/>
      <c r="N2670" s="74"/>
      <c r="O2670" s="75"/>
      <c r="P2670" s="75"/>
      <c r="U2670" s="72"/>
      <c r="V2670" s="73"/>
      <c r="W2670" s="70"/>
      <c r="X2670" s="74"/>
      <c r="Y2670" s="75"/>
      <c r="Z2670" s="75"/>
    </row>
    <row r="2671" spans="1:26" x14ac:dyDescent="0.3">
      <c r="A2671" s="72"/>
      <c r="B2671" s="73"/>
      <c r="C2671" s="70"/>
      <c r="D2671" s="74"/>
      <c r="E2671" s="75"/>
      <c r="F2671" s="75"/>
      <c r="K2671" s="72"/>
      <c r="L2671" s="73"/>
      <c r="M2671" s="70"/>
      <c r="N2671" s="74"/>
      <c r="O2671" s="75"/>
      <c r="P2671" s="75"/>
      <c r="U2671" s="72"/>
      <c r="V2671" s="73"/>
      <c r="W2671" s="70"/>
      <c r="X2671" s="74"/>
      <c r="Y2671" s="75"/>
      <c r="Z2671" s="75"/>
    </row>
    <row r="2672" spans="1:26" x14ac:dyDescent="0.3">
      <c r="A2672" s="72"/>
      <c r="B2672" s="73"/>
      <c r="C2672" s="70"/>
      <c r="D2672" s="74"/>
      <c r="E2672" s="75"/>
      <c r="F2672" s="75"/>
      <c r="K2672" s="72"/>
      <c r="L2672" s="73"/>
      <c r="M2672" s="70"/>
      <c r="N2672" s="74"/>
      <c r="O2672" s="75"/>
      <c r="P2672" s="75"/>
      <c r="U2672" s="72"/>
      <c r="V2672" s="73"/>
      <c r="W2672" s="70"/>
      <c r="X2672" s="74"/>
      <c r="Y2672" s="75"/>
      <c r="Z2672" s="75"/>
    </row>
    <row r="2673" spans="1:26" x14ac:dyDescent="0.3">
      <c r="A2673" s="72"/>
      <c r="B2673" s="73"/>
      <c r="C2673" s="70"/>
      <c r="D2673" s="74"/>
      <c r="E2673" s="75"/>
      <c r="F2673" s="75"/>
      <c r="K2673" s="72"/>
      <c r="L2673" s="73"/>
      <c r="M2673" s="70"/>
      <c r="N2673" s="74"/>
      <c r="O2673" s="75"/>
      <c r="P2673" s="75"/>
      <c r="U2673" s="72"/>
      <c r="V2673" s="73"/>
      <c r="W2673" s="70"/>
      <c r="X2673" s="74"/>
      <c r="Y2673" s="75"/>
      <c r="Z2673" s="75"/>
    </row>
    <row r="2674" spans="1:26" x14ac:dyDescent="0.3">
      <c r="A2674" s="72"/>
      <c r="B2674" s="73"/>
      <c r="C2674" s="70"/>
      <c r="D2674" s="74"/>
      <c r="E2674" s="75"/>
      <c r="F2674" s="75"/>
      <c r="K2674" s="72"/>
      <c r="L2674" s="73"/>
      <c r="M2674" s="70"/>
      <c r="N2674" s="74"/>
      <c r="O2674" s="75"/>
      <c r="P2674" s="75"/>
      <c r="U2674" s="72"/>
      <c r="V2674" s="73"/>
      <c r="W2674" s="70"/>
      <c r="X2674" s="74"/>
      <c r="Y2674" s="75"/>
      <c r="Z2674" s="75"/>
    </row>
    <row r="2675" spans="1:26" x14ac:dyDescent="0.3">
      <c r="A2675" s="72"/>
      <c r="B2675" s="73"/>
      <c r="C2675" s="70"/>
      <c r="D2675" s="74"/>
      <c r="E2675" s="75"/>
      <c r="F2675" s="75"/>
      <c r="K2675" s="72"/>
      <c r="L2675" s="73"/>
      <c r="M2675" s="70"/>
      <c r="N2675" s="74"/>
      <c r="O2675" s="75"/>
      <c r="P2675" s="75"/>
      <c r="U2675" s="72"/>
      <c r="V2675" s="73"/>
      <c r="W2675" s="70"/>
      <c r="X2675" s="74"/>
      <c r="Y2675" s="75"/>
      <c r="Z2675" s="75"/>
    </row>
    <row r="2676" spans="1:26" x14ac:dyDescent="0.3">
      <c r="A2676" s="72"/>
      <c r="B2676" s="73"/>
      <c r="C2676" s="70"/>
      <c r="D2676" s="74"/>
      <c r="E2676" s="75"/>
      <c r="F2676" s="75"/>
      <c r="K2676" s="72"/>
      <c r="L2676" s="73"/>
      <c r="M2676" s="70"/>
      <c r="N2676" s="74"/>
      <c r="O2676" s="75"/>
      <c r="P2676" s="75"/>
      <c r="U2676" s="72"/>
      <c r="V2676" s="73"/>
      <c r="W2676" s="70"/>
      <c r="X2676" s="74"/>
      <c r="Y2676" s="75"/>
      <c r="Z2676" s="75"/>
    </row>
    <row r="2677" spans="1:26" x14ac:dyDescent="0.3">
      <c r="A2677" s="72"/>
      <c r="B2677" s="73"/>
      <c r="C2677" s="70"/>
      <c r="D2677" s="74"/>
      <c r="E2677" s="75"/>
      <c r="F2677" s="75"/>
      <c r="K2677" s="72"/>
      <c r="L2677" s="73"/>
      <c r="M2677" s="70"/>
      <c r="N2677" s="74"/>
      <c r="O2677" s="75"/>
      <c r="P2677" s="75"/>
      <c r="U2677" s="72"/>
      <c r="V2677" s="73"/>
      <c r="W2677" s="70"/>
      <c r="X2677" s="74"/>
      <c r="Y2677" s="75"/>
      <c r="Z2677" s="75"/>
    </row>
    <row r="2678" spans="1:26" x14ac:dyDescent="0.3">
      <c r="A2678" s="72"/>
      <c r="B2678" s="73"/>
      <c r="C2678" s="70"/>
      <c r="D2678" s="74"/>
      <c r="E2678" s="75"/>
      <c r="F2678" s="75"/>
      <c r="K2678" s="72"/>
      <c r="L2678" s="73"/>
      <c r="M2678" s="70"/>
      <c r="N2678" s="74"/>
      <c r="O2678" s="75"/>
      <c r="P2678" s="75"/>
      <c r="U2678" s="72"/>
      <c r="V2678" s="73"/>
      <c r="W2678" s="70"/>
      <c r="X2678" s="74"/>
      <c r="Y2678" s="75"/>
      <c r="Z2678" s="75"/>
    </row>
    <row r="2679" spans="1:26" x14ac:dyDescent="0.3">
      <c r="A2679" s="72"/>
      <c r="B2679" s="73"/>
      <c r="C2679" s="70"/>
      <c r="D2679" s="74"/>
      <c r="E2679" s="75"/>
      <c r="F2679" s="75"/>
      <c r="K2679" s="72"/>
      <c r="L2679" s="73"/>
      <c r="M2679" s="70"/>
      <c r="N2679" s="74"/>
      <c r="O2679" s="75"/>
      <c r="P2679" s="75"/>
      <c r="U2679" s="72"/>
      <c r="V2679" s="73"/>
      <c r="W2679" s="70"/>
      <c r="X2679" s="74"/>
      <c r="Y2679" s="75"/>
      <c r="Z2679" s="75"/>
    </row>
    <row r="2680" spans="1:26" x14ac:dyDescent="0.3">
      <c r="A2680" s="72"/>
      <c r="B2680" s="73"/>
      <c r="C2680" s="70"/>
      <c r="D2680" s="74"/>
      <c r="E2680" s="75"/>
      <c r="F2680" s="75"/>
      <c r="K2680" s="72"/>
      <c r="L2680" s="73"/>
      <c r="M2680" s="70"/>
      <c r="N2680" s="74"/>
      <c r="O2680" s="75"/>
      <c r="P2680" s="75"/>
      <c r="U2680" s="72"/>
      <c r="V2680" s="73"/>
      <c r="W2680" s="70"/>
      <c r="X2680" s="74"/>
      <c r="Y2680" s="75"/>
      <c r="Z2680" s="75"/>
    </row>
    <row r="2681" spans="1:26" x14ac:dyDescent="0.3">
      <c r="A2681" s="72"/>
      <c r="B2681" s="73"/>
      <c r="C2681" s="70"/>
      <c r="D2681" s="74"/>
      <c r="E2681" s="75"/>
      <c r="F2681" s="75"/>
      <c r="K2681" s="72"/>
      <c r="L2681" s="73"/>
      <c r="M2681" s="70"/>
      <c r="N2681" s="74"/>
      <c r="O2681" s="75"/>
      <c r="P2681" s="75"/>
      <c r="U2681" s="72"/>
      <c r="V2681" s="73"/>
      <c r="W2681" s="70"/>
      <c r="X2681" s="74"/>
      <c r="Y2681" s="75"/>
      <c r="Z2681" s="75"/>
    </row>
    <row r="2682" spans="1:26" x14ac:dyDescent="0.3">
      <c r="A2682" s="72"/>
      <c r="B2682" s="73"/>
      <c r="C2682" s="70"/>
      <c r="D2682" s="74"/>
      <c r="E2682" s="75"/>
      <c r="F2682" s="75"/>
      <c r="K2682" s="72"/>
      <c r="L2682" s="73"/>
      <c r="M2682" s="70"/>
      <c r="N2682" s="74"/>
      <c r="O2682" s="75"/>
      <c r="P2682" s="75"/>
      <c r="U2682" s="72"/>
      <c r="V2682" s="73"/>
      <c r="W2682" s="70"/>
      <c r="X2682" s="74"/>
      <c r="Y2682" s="75"/>
      <c r="Z2682" s="75"/>
    </row>
    <row r="2683" spans="1:26" x14ac:dyDescent="0.3">
      <c r="A2683" s="72"/>
      <c r="B2683" s="73"/>
      <c r="C2683" s="70"/>
      <c r="D2683" s="74"/>
      <c r="E2683" s="75"/>
      <c r="F2683" s="75"/>
      <c r="K2683" s="72"/>
      <c r="L2683" s="73"/>
      <c r="M2683" s="70"/>
      <c r="N2683" s="74"/>
      <c r="O2683" s="75"/>
      <c r="P2683" s="75"/>
      <c r="U2683" s="72"/>
      <c r="V2683" s="73"/>
      <c r="W2683" s="70"/>
      <c r="X2683" s="74"/>
      <c r="Y2683" s="75"/>
      <c r="Z2683" s="75"/>
    </row>
    <row r="2684" spans="1:26" x14ac:dyDescent="0.3">
      <c r="A2684" s="72"/>
      <c r="B2684" s="73"/>
      <c r="C2684" s="70"/>
      <c r="D2684" s="74"/>
      <c r="E2684" s="75"/>
      <c r="F2684" s="75"/>
      <c r="K2684" s="72"/>
      <c r="L2684" s="73"/>
      <c r="M2684" s="70"/>
      <c r="N2684" s="74"/>
      <c r="O2684" s="75"/>
      <c r="P2684" s="75"/>
      <c r="U2684" s="72"/>
      <c r="V2684" s="73"/>
      <c r="W2684" s="70"/>
      <c r="X2684" s="74"/>
      <c r="Y2684" s="75"/>
      <c r="Z2684" s="75"/>
    </row>
    <row r="2685" spans="1:26" x14ac:dyDescent="0.3">
      <c r="A2685" s="72"/>
      <c r="B2685" s="73"/>
      <c r="C2685" s="70"/>
      <c r="D2685" s="74"/>
      <c r="E2685" s="75"/>
      <c r="F2685" s="75"/>
      <c r="K2685" s="72"/>
      <c r="L2685" s="73"/>
      <c r="M2685" s="70"/>
      <c r="N2685" s="74"/>
      <c r="O2685" s="75"/>
      <c r="P2685" s="75"/>
      <c r="U2685" s="72"/>
      <c r="V2685" s="73"/>
      <c r="W2685" s="70"/>
      <c r="X2685" s="74"/>
      <c r="Y2685" s="75"/>
      <c r="Z2685" s="75"/>
    </row>
    <row r="2686" spans="1:26" x14ac:dyDescent="0.3">
      <c r="A2686" s="72"/>
      <c r="B2686" s="73"/>
      <c r="C2686" s="70"/>
      <c r="D2686" s="74"/>
      <c r="E2686" s="75"/>
      <c r="F2686" s="75"/>
      <c r="K2686" s="72"/>
      <c r="L2686" s="73"/>
      <c r="M2686" s="70"/>
      <c r="N2686" s="74"/>
      <c r="O2686" s="75"/>
      <c r="P2686" s="75"/>
      <c r="U2686" s="72"/>
      <c r="V2686" s="73"/>
      <c r="W2686" s="70"/>
      <c r="X2686" s="74"/>
      <c r="Y2686" s="75"/>
      <c r="Z2686" s="75"/>
    </row>
    <row r="2687" spans="1:26" x14ac:dyDescent="0.3">
      <c r="A2687" s="72"/>
      <c r="B2687" s="73"/>
      <c r="C2687" s="70"/>
      <c r="D2687" s="74"/>
      <c r="E2687" s="75"/>
      <c r="F2687" s="75"/>
      <c r="K2687" s="72"/>
      <c r="L2687" s="73"/>
      <c r="M2687" s="70"/>
      <c r="N2687" s="74"/>
      <c r="O2687" s="75"/>
      <c r="P2687" s="75"/>
      <c r="U2687" s="72"/>
      <c r="V2687" s="73"/>
      <c r="W2687" s="70"/>
      <c r="X2687" s="74"/>
      <c r="Y2687" s="75"/>
      <c r="Z2687" s="75"/>
    </row>
    <row r="2688" spans="1:26" x14ac:dyDescent="0.3">
      <c r="A2688" s="72"/>
      <c r="B2688" s="73"/>
      <c r="C2688" s="70"/>
      <c r="D2688" s="74"/>
      <c r="E2688" s="75"/>
      <c r="F2688" s="75"/>
      <c r="K2688" s="72"/>
      <c r="L2688" s="73"/>
      <c r="M2688" s="70"/>
      <c r="N2688" s="74"/>
      <c r="O2688" s="75"/>
      <c r="P2688" s="75"/>
      <c r="U2688" s="72"/>
      <c r="V2688" s="73"/>
      <c r="W2688" s="70"/>
      <c r="X2688" s="74"/>
      <c r="Y2688" s="75"/>
      <c r="Z2688" s="75"/>
    </row>
    <row r="2689" spans="1:26" x14ac:dyDescent="0.3">
      <c r="A2689" s="72"/>
      <c r="B2689" s="73"/>
      <c r="C2689" s="70"/>
      <c r="D2689" s="74"/>
      <c r="E2689" s="75"/>
      <c r="F2689" s="75"/>
      <c r="K2689" s="72"/>
      <c r="L2689" s="73"/>
      <c r="M2689" s="70"/>
      <c r="N2689" s="74"/>
      <c r="O2689" s="75"/>
      <c r="P2689" s="75"/>
      <c r="U2689" s="72"/>
      <c r="V2689" s="73"/>
      <c r="W2689" s="70"/>
      <c r="X2689" s="74"/>
      <c r="Y2689" s="75"/>
      <c r="Z2689" s="75"/>
    </row>
    <row r="2690" spans="1:26" x14ac:dyDescent="0.3">
      <c r="A2690" s="72"/>
      <c r="B2690" s="73"/>
      <c r="C2690" s="70"/>
      <c r="D2690" s="74"/>
      <c r="E2690" s="75"/>
      <c r="F2690" s="75"/>
      <c r="K2690" s="72"/>
      <c r="L2690" s="73"/>
      <c r="M2690" s="70"/>
      <c r="N2690" s="74"/>
      <c r="O2690" s="75"/>
      <c r="P2690" s="75"/>
      <c r="U2690" s="72"/>
      <c r="V2690" s="73"/>
      <c r="W2690" s="70"/>
      <c r="X2690" s="74"/>
      <c r="Y2690" s="75"/>
      <c r="Z2690" s="75"/>
    </row>
    <row r="2691" spans="1:26" x14ac:dyDescent="0.3">
      <c r="A2691" s="72"/>
      <c r="B2691" s="73"/>
      <c r="C2691" s="70"/>
      <c r="D2691" s="74"/>
      <c r="E2691" s="75"/>
      <c r="F2691" s="75"/>
      <c r="K2691" s="72"/>
      <c r="L2691" s="73"/>
      <c r="M2691" s="70"/>
      <c r="N2691" s="74"/>
      <c r="O2691" s="75"/>
      <c r="P2691" s="75"/>
      <c r="U2691" s="72"/>
      <c r="V2691" s="73"/>
      <c r="W2691" s="70"/>
      <c r="X2691" s="74"/>
      <c r="Y2691" s="75"/>
      <c r="Z2691" s="75"/>
    </row>
    <row r="2692" spans="1:26" x14ac:dyDescent="0.3">
      <c r="A2692" s="72"/>
      <c r="B2692" s="73"/>
      <c r="C2692" s="70"/>
      <c r="D2692" s="74"/>
      <c r="E2692" s="75"/>
      <c r="F2692" s="75"/>
      <c r="K2692" s="72"/>
      <c r="L2692" s="73"/>
      <c r="M2692" s="70"/>
      <c r="N2692" s="74"/>
      <c r="O2692" s="75"/>
      <c r="P2692" s="75"/>
      <c r="U2692" s="72"/>
      <c r="V2692" s="73"/>
      <c r="W2692" s="70"/>
      <c r="X2692" s="74"/>
      <c r="Y2692" s="75"/>
      <c r="Z2692" s="75"/>
    </row>
    <row r="2693" spans="1:26" x14ac:dyDescent="0.3">
      <c r="A2693" s="72"/>
      <c r="B2693" s="73"/>
      <c r="C2693" s="70"/>
      <c r="D2693" s="74"/>
      <c r="E2693" s="75"/>
      <c r="F2693" s="75"/>
      <c r="K2693" s="72"/>
      <c r="L2693" s="73"/>
      <c r="M2693" s="70"/>
      <c r="N2693" s="74"/>
      <c r="O2693" s="75"/>
      <c r="P2693" s="75"/>
      <c r="U2693" s="72"/>
      <c r="V2693" s="73"/>
      <c r="W2693" s="70"/>
      <c r="X2693" s="74"/>
      <c r="Y2693" s="75"/>
      <c r="Z2693" s="75"/>
    </row>
    <row r="2694" spans="1:26" x14ac:dyDescent="0.3">
      <c r="A2694" s="72"/>
      <c r="B2694" s="73"/>
      <c r="C2694" s="70"/>
      <c r="D2694" s="74"/>
      <c r="E2694" s="75"/>
      <c r="F2694" s="75"/>
      <c r="K2694" s="72"/>
      <c r="L2694" s="73"/>
      <c r="M2694" s="70"/>
      <c r="N2694" s="74"/>
      <c r="O2694" s="75"/>
      <c r="P2694" s="75"/>
      <c r="U2694" s="72"/>
      <c r="V2694" s="73"/>
      <c r="W2694" s="70"/>
      <c r="X2694" s="74"/>
      <c r="Y2694" s="75"/>
      <c r="Z2694" s="75"/>
    </row>
    <row r="2695" spans="1:26" x14ac:dyDescent="0.3">
      <c r="A2695" s="72"/>
      <c r="B2695" s="73"/>
      <c r="C2695" s="70"/>
      <c r="D2695" s="74"/>
      <c r="E2695" s="75"/>
      <c r="F2695" s="75"/>
      <c r="K2695" s="72"/>
      <c r="L2695" s="73"/>
      <c r="M2695" s="70"/>
      <c r="N2695" s="74"/>
      <c r="O2695" s="75"/>
      <c r="P2695" s="75"/>
      <c r="U2695" s="72"/>
      <c r="V2695" s="73"/>
      <c r="W2695" s="70"/>
      <c r="X2695" s="74"/>
      <c r="Y2695" s="75"/>
      <c r="Z2695" s="75"/>
    </row>
    <row r="2696" spans="1:26" x14ac:dyDescent="0.3">
      <c r="A2696" s="72"/>
      <c r="B2696" s="73"/>
      <c r="C2696" s="70"/>
      <c r="D2696" s="74"/>
      <c r="E2696" s="75"/>
      <c r="F2696" s="75"/>
      <c r="K2696" s="72"/>
      <c r="L2696" s="73"/>
      <c r="M2696" s="70"/>
      <c r="N2696" s="74"/>
      <c r="O2696" s="75"/>
      <c r="P2696" s="75"/>
      <c r="U2696" s="72"/>
      <c r="V2696" s="73"/>
      <c r="W2696" s="70"/>
      <c r="X2696" s="74"/>
      <c r="Y2696" s="75"/>
      <c r="Z2696" s="75"/>
    </row>
    <row r="2697" spans="1:26" x14ac:dyDescent="0.3">
      <c r="A2697" s="72"/>
      <c r="B2697" s="73"/>
      <c r="C2697" s="70"/>
      <c r="D2697" s="74"/>
      <c r="E2697" s="75"/>
      <c r="F2697" s="75"/>
      <c r="K2697" s="72"/>
      <c r="L2697" s="73"/>
      <c r="M2697" s="70"/>
      <c r="N2697" s="74"/>
      <c r="O2697" s="75"/>
      <c r="P2697" s="75"/>
      <c r="U2697" s="72"/>
      <c r="V2697" s="73"/>
      <c r="W2697" s="70"/>
      <c r="X2697" s="74"/>
      <c r="Y2697" s="75"/>
      <c r="Z2697" s="75"/>
    </row>
    <row r="2698" spans="1:26" x14ac:dyDescent="0.3">
      <c r="A2698" s="72"/>
      <c r="B2698" s="73"/>
      <c r="C2698" s="70"/>
      <c r="D2698" s="74"/>
      <c r="E2698" s="75"/>
      <c r="F2698" s="75"/>
      <c r="K2698" s="72"/>
      <c r="L2698" s="73"/>
      <c r="M2698" s="70"/>
      <c r="N2698" s="74"/>
      <c r="O2698" s="75"/>
      <c r="P2698" s="75"/>
      <c r="U2698" s="72"/>
      <c r="V2698" s="73"/>
      <c r="W2698" s="70"/>
      <c r="X2698" s="74"/>
      <c r="Y2698" s="75"/>
      <c r="Z2698" s="75"/>
    </row>
    <row r="2699" spans="1:26" x14ac:dyDescent="0.3">
      <c r="A2699" s="72"/>
      <c r="B2699" s="73"/>
      <c r="C2699" s="70"/>
      <c r="D2699" s="74"/>
      <c r="E2699" s="75"/>
      <c r="F2699" s="75"/>
      <c r="K2699" s="72"/>
      <c r="L2699" s="73"/>
      <c r="M2699" s="70"/>
      <c r="N2699" s="74"/>
      <c r="O2699" s="75"/>
      <c r="P2699" s="75"/>
      <c r="U2699" s="72"/>
      <c r="V2699" s="73"/>
      <c r="W2699" s="70"/>
      <c r="X2699" s="74"/>
      <c r="Y2699" s="75"/>
      <c r="Z2699" s="75"/>
    </row>
    <row r="2700" spans="1:26" x14ac:dyDescent="0.3">
      <c r="A2700" s="72"/>
      <c r="B2700" s="73"/>
      <c r="C2700" s="70"/>
      <c r="D2700" s="74"/>
      <c r="E2700" s="75"/>
      <c r="F2700" s="75"/>
      <c r="K2700" s="72"/>
      <c r="L2700" s="73"/>
      <c r="M2700" s="70"/>
      <c r="N2700" s="74"/>
      <c r="O2700" s="75"/>
      <c r="P2700" s="75"/>
      <c r="U2700" s="72"/>
      <c r="V2700" s="73"/>
      <c r="W2700" s="70"/>
      <c r="X2700" s="74"/>
      <c r="Y2700" s="75"/>
      <c r="Z2700" s="75"/>
    </row>
    <row r="2701" spans="1:26" x14ac:dyDescent="0.3">
      <c r="A2701" s="72"/>
      <c r="B2701" s="73"/>
      <c r="C2701" s="70"/>
      <c r="D2701" s="74"/>
      <c r="E2701" s="75"/>
      <c r="F2701" s="75"/>
      <c r="K2701" s="72"/>
      <c r="L2701" s="73"/>
      <c r="M2701" s="70"/>
      <c r="N2701" s="74"/>
      <c r="O2701" s="75"/>
      <c r="P2701" s="75"/>
      <c r="U2701" s="72"/>
      <c r="V2701" s="73"/>
      <c r="W2701" s="70"/>
      <c r="X2701" s="74"/>
      <c r="Y2701" s="75"/>
      <c r="Z2701" s="75"/>
    </row>
    <row r="2702" spans="1:26" x14ac:dyDescent="0.3">
      <c r="A2702" s="72"/>
      <c r="B2702" s="73"/>
      <c r="C2702" s="70"/>
      <c r="D2702" s="74"/>
      <c r="E2702" s="75"/>
      <c r="F2702" s="75"/>
      <c r="K2702" s="72"/>
      <c r="L2702" s="73"/>
      <c r="M2702" s="70"/>
      <c r="N2702" s="74"/>
      <c r="O2702" s="75"/>
      <c r="P2702" s="75"/>
      <c r="U2702" s="72"/>
      <c r="V2702" s="73"/>
      <c r="W2702" s="70"/>
      <c r="X2702" s="74"/>
      <c r="Y2702" s="75"/>
      <c r="Z2702" s="75"/>
    </row>
    <row r="2703" spans="1:26" x14ac:dyDescent="0.3">
      <c r="A2703" s="72"/>
      <c r="B2703" s="73"/>
      <c r="C2703" s="70"/>
      <c r="D2703" s="74"/>
      <c r="E2703" s="75"/>
      <c r="F2703" s="75"/>
      <c r="K2703" s="72"/>
      <c r="L2703" s="73"/>
      <c r="M2703" s="70"/>
      <c r="N2703" s="74"/>
      <c r="O2703" s="75"/>
      <c r="P2703" s="75"/>
      <c r="U2703" s="72"/>
      <c r="V2703" s="73"/>
      <c r="W2703" s="70"/>
      <c r="X2703" s="74"/>
      <c r="Y2703" s="75"/>
      <c r="Z2703" s="75"/>
    </row>
    <row r="2704" spans="1:26" x14ac:dyDescent="0.3">
      <c r="A2704" s="72"/>
      <c r="B2704" s="73"/>
      <c r="C2704" s="70"/>
      <c r="D2704" s="74"/>
      <c r="E2704" s="75"/>
      <c r="F2704" s="75"/>
      <c r="K2704" s="72"/>
      <c r="L2704" s="73"/>
      <c r="M2704" s="70"/>
      <c r="N2704" s="74"/>
      <c r="O2704" s="75"/>
      <c r="P2704" s="75"/>
      <c r="U2704" s="72"/>
      <c r="V2704" s="73"/>
      <c r="W2704" s="70"/>
      <c r="X2704" s="74"/>
      <c r="Y2704" s="75"/>
      <c r="Z2704" s="75"/>
    </row>
    <row r="2705" spans="1:26" x14ac:dyDescent="0.3">
      <c r="A2705" s="72"/>
      <c r="B2705" s="73"/>
      <c r="C2705" s="70"/>
      <c r="D2705" s="74"/>
      <c r="E2705" s="75"/>
      <c r="F2705" s="75"/>
      <c r="K2705" s="72"/>
      <c r="L2705" s="73"/>
      <c r="M2705" s="70"/>
      <c r="N2705" s="74"/>
      <c r="O2705" s="75"/>
      <c r="P2705" s="75"/>
      <c r="U2705" s="72"/>
      <c r="V2705" s="73"/>
      <c r="W2705" s="70"/>
      <c r="X2705" s="74"/>
      <c r="Y2705" s="75"/>
      <c r="Z2705" s="75"/>
    </row>
    <row r="2706" spans="1:26" x14ac:dyDescent="0.3">
      <c r="A2706" s="72"/>
      <c r="B2706" s="73"/>
      <c r="C2706" s="70"/>
      <c r="D2706" s="74"/>
      <c r="E2706" s="75"/>
      <c r="F2706" s="75"/>
      <c r="K2706" s="72"/>
      <c r="L2706" s="73"/>
      <c r="M2706" s="70"/>
      <c r="N2706" s="74"/>
      <c r="O2706" s="75"/>
      <c r="P2706" s="75"/>
      <c r="U2706" s="72"/>
      <c r="V2706" s="73"/>
      <c r="W2706" s="70"/>
      <c r="X2706" s="74"/>
      <c r="Y2706" s="75"/>
      <c r="Z2706" s="75"/>
    </row>
    <row r="2707" spans="1:26" x14ac:dyDescent="0.3">
      <c r="A2707" s="72"/>
      <c r="B2707" s="73"/>
      <c r="C2707" s="70"/>
      <c r="D2707" s="74"/>
      <c r="E2707" s="75"/>
      <c r="F2707" s="75"/>
      <c r="K2707" s="72"/>
      <c r="L2707" s="73"/>
      <c r="M2707" s="70"/>
      <c r="N2707" s="74"/>
      <c r="O2707" s="75"/>
      <c r="P2707" s="75"/>
      <c r="U2707" s="72"/>
      <c r="V2707" s="73"/>
      <c r="W2707" s="70"/>
      <c r="X2707" s="74"/>
      <c r="Y2707" s="75"/>
      <c r="Z2707" s="75"/>
    </row>
    <row r="2708" spans="1:26" x14ac:dyDescent="0.3">
      <c r="A2708" s="72"/>
      <c r="B2708" s="73"/>
      <c r="C2708" s="70"/>
      <c r="D2708" s="74"/>
      <c r="E2708" s="75"/>
      <c r="F2708" s="75"/>
      <c r="K2708" s="72"/>
      <c r="L2708" s="73"/>
      <c r="M2708" s="70"/>
      <c r="N2708" s="74"/>
      <c r="O2708" s="75"/>
      <c r="P2708" s="75"/>
      <c r="U2708" s="72"/>
      <c r="V2708" s="73"/>
      <c r="W2708" s="70"/>
      <c r="X2708" s="74"/>
      <c r="Y2708" s="75"/>
      <c r="Z2708" s="75"/>
    </row>
    <row r="2709" spans="1:26" x14ac:dyDescent="0.3">
      <c r="A2709" s="72"/>
      <c r="B2709" s="73"/>
      <c r="C2709" s="70"/>
      <c r="D2709" s="74"/>
      <c r="E2709" s="75"/>
      <c r="F2709" s="75"/>
      <c r="K2709" s="72"/>
      <c r="L2709" s="73"/>
      <c r="M2709" s="70"/>
      <c r="N2709" s="74"/>
      <c r="O2709" s="75"/>
      <c r="P2709" s="75"/>
      <c r="U2709" s="72"/>
      <c r="V2709" s="73"/>
      <c r="W2709" s="70"/>
      <c r="X2709" s="74"/>
      <c r="Y2709" s="75"/>
      <c r="Z2709" s="75"/>
    </row>
    <row r="2710" spans="1:26" x14ac:dyDescent="0.3">
      <c r="A2710" s="72"/>
      <c r="B2710" s="73"/>
      <c r="C2710" s="70"/>
      <c r="D2710" s="74"/>
      <c r="E2710" s="75"/>
      <c r="F2710" s="75"/>
      <c r="K2710" s="72"/>
      <c r="L2710" s="73"/>
      <c r="M2710" s="70"/>
      <c r="N2710" s="74"/>
      <c r="O2710" s="75"/>
      <c r="P2710" s="75"/>
      <c r="U2710" s="72"/>
      <c r="V2710" s="73"/>
      <c r="W2710" s="70"/>
      <c r="X2710" s="74"/>
      <c r="Y2710" s="75"/>
      <c r="Z2710" s="75"/>
    </row>
    <row r="2711" spans="1:26" x14ac:dyDescent="0.3">
      <c r="A2711" s="72"/>
      <c r="B2711" s="73"/>
      <c r="C2711" s="70"/>
      <c r="D2711" s="74"/>
      <c r="E2711" s="75"/>
      <c r="F2711" s="75"/>
      <c r="K2711" s="72"/>
      <c r="L2711" s="73"/>
      <c r="M2711" s="70"/>
      <c r="N2711" s="74"/>
      <c r="O2711" s="75"/>
      <c r="P2711" s="75"/>
      <c r="U2711" s="72"/>
      <c r="V2711" s="73"/>
      <c r="W2711" s="70"/>
      <c r="X2711" s="74"/>
      <c r="Y2711" s="75"/>
      <c r="Z2711" s="75"/>
    </row>
    <row r="2712" spans="1:26" x14ac:dyDescent="0.3">
      <c r="A2712" s="72"/>
      <c r="B2712" s="73"/>
      <c r="C2712" s="70"/>
      <c r="D2712" s="74"/>
      <c r="E2712" s="75"/>
      <c r="F2712" s="75"/>
      <c r="K2712" s="72"/>
      <c r="L2712" s="73"/>
      <c r="M2712" s="70"/>
      <c r="N2712" s="74"/>
      <c r="O2712" s="75"/>
      <c r="P2712" s="75"/>
      <c r="U2712" s="72"/>
      <c r="V2712" s="73"/>
      <c r="W2712" s="70"/>
      <c r="X2712" s="74"/>
      <c r="Y2712" s="75"/>
      <c r="Z2712" s="75"/>
    </row>
    <row r="2713" spans="1:26" x14ac:dyDescent="0.3">
      <c r="A2713" s="72"/>
      <c r="B2713" s="73"/>
      <c r="C2713" s="70"/>
      <c r="D2713" s="74"/>
      <c r="E2713" s="75"/>
      <c r="F2713" s="75"/>
      <c r="K2713" s="72"/>
      <c r="L2713" s="73"/>
      <c r="M2713" s="70"/>
      <c r="N2713" s="74"/>
      <c r="O2713" s="75"/>
      <c r="P2713" s="75"/>
      <c r="U2713" s="72"/>
      <c r="V2713" s="73"/>
      <c r="W2713" s="70"/>
      <c r="X2713" s="74"/>
      <c r="Y2713" s="75"/>
      <c r="Z2713" s="75"/>
    </row>
    <row r="2714" spans="1:26" x14ac:dyDescent="0.3">
      <c r="A2714" s="72"/>
      <c r="B2714" s="73"/>
      <c r="C2714" s="70"/>
      <c r="D2714" s="74"/>
      <c r="E2714" s="75"/>
      <c r="F2714" s="75"/>
      <c r="K2714" s="72"/>
      <c r="L2714" s="73"/>
      <c r="M2714" s="70"/>
      <c r="N2714" s="74"/>
      <c r="O2714" s="75"/>
      <c r="P2714" s="75"/>
      <c r="U2714" s="72"/>
      <c r="V2714" s="73"/>
      <c r="W2714" s="70"/>
      <c r="X2714" s="74"/>
      <c r="Y2714" s="75"/>
      <c r="Z2714" s="75"/>
    </row>
    <row r="2715" spans="1:26" x14ac:dyDescent="0.3">
      <c r="A2715" s="72"/>
      <c r="B2715" s="73"/>
      <c r="C2715" s="70"/>
      <c r="D2715" s="74"/>
      <c r="E2715" s="75"/>
      <c r="F2715" s="75"/>
      <c r="K2715" s="72"/>
      <c r="L2715" s="73"/>
      <c r="M2715" s="70"/>
      <c r="N2715" s="74"/>
      <c r="O2715" s="75"/>
      <c r="P2715" s="75"/>
      <c r="U2715" s="72"/>
      <c r="V2715" s="73"/>
      <c r="W2715" s="70"/>
      <c r="X2715" s="74"/>
      <c r="Y2715" s="75"/>
      <c r="Z2715" s="75"/>
    </row>
    <row r="2716" spans="1:26" x14ac:dyDescent="0.3">
      <c r="A2716" s="72"/>
      <c r="B2716" s="73"/>
      <c r="C2716" s="70"/>
      <c r="D2716" s="74"/>
      <c r="E2716" s="75"/>
      <c r="F2716" s="75"/>
      <c r="K2716" s="72"/>
      <c r="L2716" s="73"/>
      <c r="M2716" s="70"/>
      <c r="N2716" s="74"/>
      <c r="O2716" s="75"/>
      <c r="P2716" s="75"/>
      <c r="U2716" s="72"/>
      <c r="V2716" s="73"/>
      <c r="W2716" s="70"/>
      <c r="X2716" s="74"/>
      <c r="Y2716" s="75"/>
      <c r="Z2716" s="75"/>
    </row>
    <row r="2717" spans="1:26" x14ac:dyDescent="0.3">
      <c r="A2717" s="72"/>
      <c r="B2717" s="73"/>
      <c r="C2717" s="70"/>
      <c r="D2717" s="74"/>
      <c r="E2717" s="75"/>
      <c r="F2717" s="75"/>
      <c r="K2717" s="72"/>
      <c r="L2717" s="73"/>
      <c r="M2717" s="70"/>
      <c r="N2717" s="74"/>
      <c r="O2717" s="75"/>
      <c r="P2717" s="75"/>
      <c r="U2717" s="72"/>
      <c r="V2717" s="73"/>
      <c r="W2717" s="70"/>
      <c r="X2717" s="74"/>
      <c r="Y2717" s="75"/>
      <c r="Z2717" s="75"/>
    </row>
    <row r="2718" spans="1:26" x14ac:dyDescent="0.3">
      <c r="A2718" s="72"/>
      <c r="B2718" s="73"/>
      <c r="C2718" s="70"/>
      <c r="D2718" s="74"/>
      <c r="E2718" s="75"/>
      <c r="F2718" s="75"/>
      <c r="K2718" s="72"/>
      <c r="L2718" s="73"/>
      <c r="M2718" s="70"/>
      <c r="N2718" s="74"/>
      <c r="O2718" s="75"/>
      <c r="P2718" s="75"/>
      <c r="U2718" s="72"/>
      <c r="V2718" s="73"/>
      <c r="W2718" s="70"/>
      <c r="X2718" s="74"/>
      <c r="Y2718" s="75"/>
      <c r="Z2718" s="75"/>
    </row>
    <row r="2719" spans="1:26" x14ac:dyDescent="0.3">
      <c r="A2719" s="72"/>
      <c r="B2719" s="73"/>
      <c r="C2719" s="70"/>
      <c r="D2719" s="74"/>
      <c r="E2719" s="75"/>
      <c r="F2719" s="75"/>
      <c r="K2719" s="72"/>
      <c r="L2719" s="73"/>
      <c r="M2719" s="70"/>
      <c r="N2719" s="74"/>
      <c r="O2719" s="75"/>
      <c r="P2719" s="75"/>
      <c r="U2719" s="72"/>
      <c r="V2719" s="73"/>
      <c r="W2719" s="70"/>
      <c r="X2719" s="74"/>
      <c r="Y2719" s="75"/>
      <c r="Z2719" s="75"/>
    </row>
    <row r="2720" spans="1:26" x14ac:dyDescent="0.3">
      <c r="A2720" s="72"/>
      <c r="B2720" s="73"/>
      <c r="C2720" s="70"/>
      <c r="D2720" s="74"/>
      <c r="E2720" s="75"/>
      <c r="F2720" s="75"/>
      <c r="K2720" s="72"/>
      <c r="L2720" s="73"/>
      <c r="M2720" s="70"/>
      <c r="N2720" s="74"/>
      <c r="O2720" s="75"/>
      <c r="P2720" s="75"/>
      <c r="U2720" s="72"/>
      <c r="V2720" s="73"/>
      <c r="W2720" s="70"/>
      <c r="X2720" s="74"/>
      <c r="Y2720" s="75"/>
      <c r="Z2720" s="75"/>
    </row>
    <row r="2721" spans="1:26" x14ac:dyDescent="0.3">
      <c r="A2721" s="72"/>
      <c r="B2721" s="73"/>
      <c r="C2721" s="70"/>
      <c r="D2721" s="74"/>
      <c r="E2721" s="75"/>
      <c r="F2721" s="75"/>
      <c r="K2721" s="72"/>
      <c r="L2721" s="73"/>
      <c r="M2721" s="70"/>
      <c r="N2721" s="74"/>
      <c r="O2721" s="75"/>
      <c r="P2721" s="75"/>
      <c r="U2721" s="72"/>
      <c r="V2721" s="73"/>
      <c r="W2721" s="70"/>
      <c r="X2721" s="74"/>
      <c r="Y2721" s="75"/>
      <c r="Z2721" s="75"/>
    </row>
    <row r="2722" spans="1:26" x14ac:dyDescent="0.3">
      <c r="A2722" s="72"/>
      <c r="B2722" s="73"/>
      <c r="C2722" s="70"/>
      <c r="D2722" s="74"/>
      <c r="E2722" s="75"/>
      <c r="F2722" s="75"/>
      <c r="K2722" s="72"/>
      <c r="L2722" s="73"/>
      <c r="M2722" s="70"/>
      <c r="N2722" s="74"/>
      <c r="O2722" s="75"/>
      <c r="P2722" s="75"/>
      <c r="U2722" s="72"/>
      <c r="V2722" s="73"/>
      <c r="W2722" s="70"/>
      <c r="X2722" s="74"/>
      <c r="Y2722" s="75"/>
      <c r="Z2722" s="75"/>
    </row>
    <row r="2723" spans="1:26" x14ac:dyDescent="0.3">
      <c r="A2723" s="72"/>
      <c r="B2723" s="73"/>
      <c r="C2723" s="70"/>
      <c r="D2723" s="74"/>
      <c r="E2723" s="75"/>
      <c r="F2723" s="75"/>
      <c r="K2723" s="72"/>
      <c r="L2723" s="73"/>
      <c r="M2723" s="70"/>
      <c r="N2723" s="74"/>
      <c r="O2723" s="75"/>
      <c r="P2723" s="75"/>
      <c r="U2723" s="72"/>
      <c r="V2723" s="73"/>
      <c r="W2723" s="70"/>
      <c r="X2723" s="74"/>
      <c r="Y2723" s="75"/>
      <c r="Z2723" s="75"/>
    </row>
    <row r="2724" spans="1:26" x14ac:dyDescent="0.3">
      <c r="A2724" s="72"/>
      <c r="B2724" s="73"/>
      <c r="C2724" s="70"/>
      <c r="D2724" s="74"/>
      <c r="E2724" s="75"/>
      <c r="F2724" s="75"/>
      <c r="K2724" s="72"/>
      <c r="L2724" s="73"/>
      <c r="M2724" s="70"/>
      <c r="N2724" s="74"/>
      <c r="O2724" s="75"/>
      <c r="P2724" s="75"/>
      <c r="U2724" s="72"/>
      <c r="V2724" s="73"/>
      <c r="W2724" s="70"/>
      <c r="X2724" s="74"/>
      <c r="Y2724" s="75"/>
      <c r="Z2724" s="75"/>
    </row>
    <row r="2725" spans="1:26" x14ac:dyDescent="0.3">
      <c r="A2725" s="72"/>
      <c r="B2725" s="73"/>
      <c r="C2725" s="70"/>
      <c r="D2725" s="74"/>
      <c r="E2725" s="75"/>
      <c r="F2725" s="75"/>
      <c r="K2725" s="72"/>
      <c r="L2725" s="73"/>
      <c r="M2725" s="70"/>
      <c r="N2725" s="74"/>
      <c r="O2725" s="75"/>
      <c r="P2725" s="75"/>
      <c r="U2725" s="72"/>
      <c r="V2725" s="73"/>
      <c r="W2725" s="70"/>
      <c r="X2725" s="74"/>
      <c r="Y2725" s="75"/>
      <c r="Z2725" s="75"/>
    </row>
    <row r="2726" spans="1:26" x14ac:dyDescent="0.3">
      <c r="A2726" s="72"/>
      <c r="B2726" s="73"/>
      <c r="C2726" s="70"/>
      <c r="D2726" s="74"/>
      <c r="E2726" s="75"/>
      <c r="F2726" s="75"/>
      <c r="K2726" s="72"/>
      <c r="L2726" s="73"/>
      <c r="M2726" s="70"/>
      <c r="N2726" s="74"/>
      <c r="O2726" s="75"/>
      <c r="P2726" s="75"/>
      <c r="U2726" s="72"/>
      <c r="V2726" s="73"/>
      <c r="W2726" s="70"/>
      <c r="X2726" s="74"/>
      <c r="Y2726" s="75"/>
      <c r="Z2726" s="75"/>
    </row>
    <row r="2727" spans="1:26" x14ac:dyDescent="0.3">
      <c r="A2727" s="72"/>
      <c r="B2727" s="73"/>
      <c r="C2727" s="70"/>
      <c r="D2727" s="74"/>
      <c r="E2727" s="75"/>
      <c r="F2727" s="75"/>
      <c r="K2727" s="72"/>
      <c r="L2727" s="73"/>
      <c r="M2727" s="70"/>
      <c r="N2727" s="74"/>
      <c r="O2727" s="75"/>
      <c r="P2727" s="75"/>
      <c r="U2727" s="72"/>
      <c r="V2727" s="73"/>
      <c r="W2727" s="70"/>
      <c r="X2727" s="74"/>
      <c r="Y2727" s="75"/>
      <c r="Z2727" s="75"/>
    </row>
    <row r="2728" spans="1:26" x14ac:dyDescent="0.3">
      <c r="A2728" s="72"/>
      <c r="B2728" s="73"/>
      <c r="C2728" s="70"/>
      <c r="D2728" s="74"/>
      <c r="E2728" s="75"/>
      <c r="F2728" s="75"/>
      <c r="K2728" s="72"/>
      <c r="L2728" s="73"/>
      <c r="M2728" s="70"/>
      <c r="N2728" s="74"/>
      <c r="O2728" s="75"/>
      <c r="P2728" s="75"/>
      <c r="U2728" s="72"/>
      <c r="V2728" s="73"/>
      <c r="W2728" s="70"/>
      <c r="X2728" s="74"/>
      <c r="Y2728" s="75"/>
      <c r="Z2728" s="75"/>
    </row>
    <row r="2729" spans="1:26" x14ac:dyDescent="0.3">
      <c r="A2729" s="72"/>
      <c r="B2729" s="73"/>
      <c r="C2729" s="70"/>
      <c r="D2729" s="74"/>
      <c r="E2729" s="75"/>
      <c r="F2729" s="75"/>
      <c r="K2729" s="72"/>
      <c r="L2729" s="73"/>
      <c r="M2729" s="70"/>
      <c r="N2729" s="74"/>
      <c r="O2729" s="75"/>
      <c r="P2729" s="75"/>
      <c r="U2729" s="72"/>
      <c r="V2729" s="73"/>
      <c r="W2729" s="70"/>
      <c r="X2729" s="74"/>
      <c r="Y2729" s="75"/>
      <c r="Z2729" s="75"/>
    </row>
    <row r="2730" spans="1:26" x14ac:dyDescent="0.3">
      <c r="A2730" s="72"/>
      <c r="B2730" s="73"/>
      <c r="C2730" s="70"/>
      <c r="D2730" s="74"/>
      <c r="E2730" s="75"/>
      <c r="F2730" s="75"/>
      <c r="K2730" s="72"/>
      <c r="L2730" s="73"/>
      <c r="M2730" s="70"/>
      <c r="N2730" s="74"/>
      <c r="O2730" s="75"/>
      <c r="P2730" s="75"/>
      <c r="U2730" s="72"/>
      <c r="V2730" s="73"/>
      <c r="W2730" s="70"/>
      <c r="X2730" s="74"/>
      <c r="Y2730" s="75"/>
      <c r="Z2730" s="75"/>
    </row>
    <row r="2731" spans="1:26" x14ac:dyDescent="0.3">
      <c r="A2731" s="72"/>
      <c r="B2731" s="73"/>
      <c r="C2731" s="70"/>
      <c r="D2731" s="74"/>
      <c r="E2731" s="75"/>
      <c r="F2731" s="75"/>
      <c r="K2731" s="72"/>
      <c r="L2731" s="73"/>
      <c r="M2731" s="70"/>
      <c r="N2731" s="74"/>
      <c r="O2731" s="75"/>
      <c r="P2731" s="75"/>
      <c r="U2731" s="72"/>
      <c r="V2731" s="73"/>
      <c r="W2731" s="70"/>
      <c r="X2731" s="74"/>
      <c r="Y2731" s="75"/>
      <c r="Z2731" s="75"/>
    </row>
    <row r="2732" spans="1:26" x14ac:dyDescent="0.3">
      <c r="A2732" s="72"/>
      <c r="B2732" s="73"/>
      <c r="C2732" s="70"/>
      <c r="D2732" s="74"/>
      <c r="E2732" s="75"/>
      <c r="F2732" s="75"/>
      <c r="K2732" s="72"/>
      <c r="L2732" s="73"/>
      <c r="M2732" s="70"/>
      <c r="N2732" s="74"/>
      <c r="O2732" s="75"/>
      <c r="P2732" s="75"/>
      <c r="U2732" s="72"/>
      <c r="V2732" s="73"/>
      <c r="W2732" s="70"/>
      <c r="X2732" s="74"/>
      <c r="Y2732" s="75"/>
      <c r="Z2732" s="75"/>
    </row>
    <row r="2733" spans="1:26" x14ac:dyDescent="0.3">
      <c r="A2733" s="72"/>
      <c r="B2733" s="73"/>
      <c r="C2733" s="70"/>
      <c r="D2733" s="74"/>
      <c r="E2733" s="75"/>
      <c r="F2733" s="75"/>
      <c r="K2733" s="72"/>
      <c r="L2733" s="73"/>
      <c r="M2733" s="70"/>
      <c r="N2733" s="74"/>
      <c r="O2733" s="75"/>
      <c r="P2733" s="75"/>
      <c r="U2733" s="72"/>
      <c r="V2733" s="73"/>
      <c r="W2733" s="70"/>
      <c r="X2733" s="74"/>
      <c r="Y2733" s="75"/>
      <c r="Z2733" s="75"/>
    </row>
    <row r="2734" spans="1:26" x14ac:dyDescent="0.3">
      <c r="A2734" s="72"/>
      <c r="B2734" s="73"/>
      <c r="C2734" s="70"/>
      <c r="D2734" s="74"/>
      <c r="E2734" s="75"/>
      <c r="F2734" s="75"/>
      <c r="K2734" s="72"/>
      <c r="L2734" s="73"/>
      <c r="M2734" s="70"/>
      <c r="N2734" s="74"/>
      <c r="O2734" s="75"/>
      <c r="P2734" s="75"/>
      <c r="U2734" s="72"/>
      <c r="V2734" s="73"/>
      <c r="W2734" s="70"/>
      <c r="X2734" s="74"/>
      <c r="Y2734" s="75"/>
      <c r="Z2734" s="75"/>
    </row>
    <row r="2735" spans="1:26" x14ac:dyDescent="0.3">
      <c r="A2735" s="72"/>
      <c r="B2735" s="73"/>
      <c r="C2735" s="70"/>
      <c r="D2735" s="74"/>
      <c r="E2735" s="75"/>
      <c r="F2735" s="75"/>
      <c r="K2735" s="72"/>
      <c r="L2735" s="73"/>
      <c r="M2735" s="70"/>
      <c r="N2735" s="74"/>
      <c r="O2735" s="75"/>
      <c r="P2735" s="75"/>
      <c r="U2735" s="72"/>
      <c r="V2735" s="73"/>
      <c r="W2735" s="70"/>
      <c r="X2735" s="74"/>
      <c r="Y2735" s="75"/>
      <c r="Z2735" s="75"/>
    </row>
    <row r="2736" spans="1:26" x14ac:dyDescent="0.3">
      <c r="A2736" s="72"/>
      <c r="B2736" s="73"/>
      <c r="C2736" s="70"/>
      <c r="D2736" s="74"/>
      <c r="E2736" s="75"/>
      <c r="F2736" s="75"/>
      <c r="K2736" s="72"/>
      <c r="L2736" s="73"/>
      <c r="M2736" s="70"/>
      <c r="N2736" s="74"/>
      <c r="O2736" s="75"/>
      <c r="P2736" s="75"/>
      <c r="U2736" s="72"/>
      <c r="V2736" s="73"/>
      <c r="W2736" s="70"/>
      <c r="X2736" s="74"/>
      <c r="Y2736" s="75"/>
      <c r="Z2736" s="75"/>
    </row>
    <row r="2737" spans="1:26" x14ac:dyDescent="0.3">
      <c r="A2737" s="72"/>
      <c r="B2737" s="73"/>
      <c r="C2737" s="70"/>
      <c r="D2737" s="74"/>
      <c r="E2737" s="75"/>
      <c r="F2737" s="75"/>
      <c r="K2737" s="72"/>
      <c r="L2737" s="73"/>
      <c r="M2737" s="70"/>
      <c r="N2737" s="74"/>
      <c r="O2737" s="75"/>
      <c r="P2737" s="75"/>
      <c r="U2737" s="72"/>
      <c r="V2737" s="73"/>
      <c r="W2737" s="70"/>
      <c r="X2737" s="74"/>
      <c r="Y2737" s="75"/>
      <c r="Z2737" s="75"/>
    </row>
    <row r="2738" spans="1:26" x14ac:dyDescent="0.3">
      <c r="A2738" s="72"/>
      <c r="B2738" s="73"/>
      <c r="C2738" s="70"/>
      <c r="D2738" s="74"/>
      <c r="E2738" s="75"/>
      <c r="F2738" s="75"/>
      <c r="K2738" s="72"/>
      <c r="L2738" s="73"/>
      <c r="M2738" s="70"/>
      <c r="N2738" s="74"/>
      <c r="O2738" s="75"/>
      <c r="P2738" s="75"/>
      <c r="U2738" s="72"/>
      <c r="V2738" s="73"/>
      <c r="W2738" s="70"/>
      <c r="X2738" s="74"/>
      <c r="Y2738" s="75"/>
      <c r="Z2738" s="75"/>
    </row>
    <row r="2739" spans="1:26" x14ac:dyDescent="0.3">
      <c r="A2739" s="72"/>
      <c r="B2739" s="73"/>
      <c r="C2739" s="70"/>
      <c r="D2739" s="74"/>
      <c r="E2739" s="75"/>
      <c r="F2739" s="75"/>
      <c r="K2739" s="72"/>
      <c r="L2739" s="73"/>
      <c r="M2739" s="70"/>
      <c r="N2739" s="74"/>
      <c r="O2739" s="75"/>
      <c r="P2739" s="75"/>
      <c r="U2739" s="72"/>
      <c r="V2739" s="73"/>
      <c r="W2739" s="70"/>
      <c r="X2739" s="74"/>
      <c r="Y2739" s="75"/>
      <c r="Z2739" s="75"/>
    </row>
    <row r="2740" spans="1:26" x14ac:dyDescent="0.3">
      <c r="A2740" s="72"/>
      <c r="B2740" s="73"/>
      <c r="C2740" s="70"/>
      <c r="D2740" s="74"/>
      <c r="E2740" s="75"/>
      <c r="F2740" s="75"/>
      <c r="K2740" s="72"/>
      <c r="L2740" s="73"/>
      <c r="M2740" s="70"/>
      <c r="N2740" s="74"/>
      <c r="O2740" s="75"/>
      <c r="P2740" s="75"/>
      <c r="U2740" s="72"/>
      <c r="V2740" s="73"/>
      <c r="W2740" s="70"/>
      <c r="X2740" s="74"/>
      <c r="Y2740" s="75"/>
      <c r="Z2740" s="75"/>
    </row>
    <row r="2741" spans="1:26" x14ac:dyDescent="0.3">
      <c r="A2741" s="72"/>
      <c r="B2741" s="73"/>
      <c r="C2741" s="70"/>
      <c r="D2741" s="74"/>
      <c r="E2741" s="75"/>
      <c r="F2741" s="75"/>
      <c r="K2741" s="72"/>
      <c r="L2741" s="73"/>
      <c r="M2741" s="70"/>
      <c r="N2741" s="74"/>
      <c r="O2741" s="75"/>
      <c r="P2741" s="75"/>
      <c r="U2741" s="72"/>
      <c r="V2741" s="73"/>
      <c r="W2741" s="70"/>
      <c r="X2741" s="74"/>
      <c r="Y2741" s="75"/>
      <c r="Z2741" s="75"/>
    </row>
    <row r="2742" spans="1:26" x14ac:dyDescent="0.3">
      <c r="A2742" s="72"/>
      <c r="B2742" s="73"/>
      <c r="C2742" s="70"/>
      <c r="D2742" s="74"/>
      <c r="E2742" s="75"/>
      <c r="F2742" s="75"/>
      <c r="K2742" s="72"/>
      <c r="L2742" s="73"/>
      <c r="M2742" s="70"/>
      <c r="N2742" s="74"/>
      <c r="O2742" s="75"/>
      <c r="P2742" s="75"/>
      <c r="U2742" s="72"/>
      <c r="V2742" s="73"/>
      <c r="W2742" s="70"/>
      <c r="X2742" s="74"/>
      <c r="Y2742" s="75"/>
      <c r="Z2742" s="75"/>
    </row>
    <row r="2743" spans="1:26" x14ac:dyDescent="0.3">
      <c r="A2743" s="72"/>
      <c r="B2743" s="73"/>
      <c r="C2743" s="70"/>
      <c r="D2743" s="74"/>
      <c r="E2743" s="75"/>
      <c r="F2743" s="75"/>
      <c r="K2743" s="72"/>
      <c r="L2743" s="73"/>
      <c r="M2743" s="70"/>
      <c r="N2743" s="74"/>
      <c r="O2743" s="75"/>
      <c r="P2743" s="75"/>
      <c r="U2743" s="72"/>
      <c r="V2743" s="73"/>
      <c r="W2743" s="70"/>
      <c r="X2743" s="74"/>
      <c r="Y2743" s="75"/>
      <c r="Z2743" s="75"/>
    </row>
    <row r="2744" spans="1:26" x14ac:dyDescent="0.3">
      <c r="A2744" s="72"/>
      <c r="B2744" s="73"/>
      <c r="C2744" s="70"/>
      <c r="D2744" s="74"/>
      <c r="E2744" s="75"/>
      <c r="F2744" s="75"/>
      <c r="K2744" s="72"/>
      <c r="L2744" s="73"/>
      <c r="M2744" s="70"/>
      <c r="N2744" s="74"/>
      <c r="O2744" s="75"/>
      <c r="P2744" s="75"/>
      <c r="U2744" s="72"/>
      <c r="V2744" s="73"/>
      <c r="W2744" s="70"/>
      <c r="X2744" s="74"/>
      <c r="Y2744" s="75"/>
      <c r="Z2744" s="75"/>
    </row>
    <row r="2745" spans="1:26" x14ac:dyDescent="0.3">
      <c r="A2745" s="72"/>
      <c r="B2745" s="73"/>
      <c r="C2745" s="70"/>
      <c r="D2745" s="74"/>
      <c r="E2745" s="75"/>
      <c r="F2745" s="75"/>
      <c r="K2745" s="72"/>
      <c r="L2745" s="73"/>
      <c r="M2745" s="70"/>
      <c r="N2745" s="74"/>
      <c r="O2745" s="75"/>
      <c r="P2745" s="75"/>
      <c r="U2745" s="72"/>
      <c r="V2745" s="73"/>
      <c r="W2745" s="70"/>
      <c r="X2745" s="74"/>
      <c r="Y2745" s="75"/>
      <c r="Z2745" s="75"/>
    </row>
    <row r="2746" spans="1:26" x14ac:dyDescent="0.3">
      <c r="A2746" s="72"/>
      <c r="B2746" s="73"/>
      <c r="C2746" s="70"/>
      <c r="D2746" s="74"/>
      <c r="E2746" s="75"/>
      <c r="F2746" s="75"/>
      <c r="K2746" s="72"/>
      <c r="L2746" s="73"/>
      <c r="M2746" s="70"/>
      <c r="N2746" s="74"/>
      <c r="O2746" s="75"/>
      <c r="P2746" s="75"/>
      <c r="U2746" s="72"/>
      <c r="V2746" s="73"/>
      <c r="W2746" s="70"/>
      <c r="X2746" s="74"/>
      <c r="Y2746" s="75"/>
      <c r="Z2746" s="75"/>
    </row>
    <row r="2747" spans="1:26" x14ac:dyDescent="0.3">
      <c r="A2747" s="72"/>
      <c r="B2747" s="73"/>
      <c r="C2747" s="70"/>
      <c r="D2747" s="74"/>
      <c r="E2747" s="75"/>
      <c r="F2747" s="75"/>
      <c r="K2747" s="72"/>
      <c r="L2747" s="73"/>
      <c r="M2747" s="70"/>
      <c r="N2747" s="74"/>
      <c r="O2747" s="75"/>
      <c r="P2747" s="75"/>
      <c r="U2747" s="72"/>
      <c r="V2747" s="73"/>
      <c r="W2747" s="70"/>
      <c r="X2747" s="74"/>
      <c r="Y2747" s="75"/>
      <c r="Z2747" s="75"/>
    </row>
    <row r="2748" spans="1:26" x14ac:dyDescent="0.3">
      <c r="A2748" s="72"/>
      <c r="B2748" s="73"/>
      <c r="C2748" s="70"/>
      <c r="D2748" s="74"/>
      <c r="E2748" s="75"/>
      <c r="F2748" s="75"/>
      <c r="K2748" s="72"/>
      <c r="L2748" s="73"/>
      <c r="M2748" s="70"/>
      <c r="N2748" s="74"/>
      <c r="O2748" s="75"/>
      <c r="P2748" s="75"/>
      <c r="U2748" s="72"/>
      <c r="V2748" s="73"/>
      <c r="W2748" s="70"/>
      <c r="X2748" s="74"/>
      <c r="Y2748" s="75"/>
      <c r="Z2748" s="75"/>
    </row>
    <row r="2749" spans="1:26" x14ac:dyDescent="0.3">
      <c r="A2749" s="72"/>
      <c r="B2749" s="73"/>
      <c r="C2749" s="70"/>
      <c r="D2749" s="74"/>
      <c r="E2749" s="75"/>
      <c r="F2749" s="75"/>
      <c r="K2749" s="72"/>
      <c r="L2749" s="73"/>
      <c r="M2749" s="70"/>
      <c r="N2749" s="74"/>
      <c r="O2749" s="75"/>
      <c r="P2749" s="75"/>
      <c r="U2749" s="72"/>
      <c r="V2749" s="73"/>
      <c r="W2749" s="70"/>
      <c r="X2749" s="74"/>
      <c r="Y2749" s="75"/>
      <c r="Z2749" s="75"/>
    </row>
    <row r="2750" spans="1:26" x14ac:dyDescent="0.3">
      <c r="A2750" s="72"/>
      <c r="B2750" s="73"/>
      <c r="C2750" s="70"/>
      <c r="D2750" s="74"/>
      <c r="E2750" s="75"/>
      <c r="F2750" s="75"/>
      <c r="K2750" s="72"/>
      <c r="L2750" s="73"/>
      <c r="M2750" s="70"/>
      <c r="N2750" s="74"/>
      <c r="O2750" s="75"/>
      <c r="P2750" s="75"/>
      <c r="U2750" s="72"/>
      <c r="V2750" s="73"/>
      <c r="W2750" s="70"/>
      <c r="X2750" s="74"/>
      <c r="Y2750" s="75"/>
      <c r="Z2750" s="75"/>
    </row>
    <row r="2751" spans="1:26" x14ac:dyDescent="0.3">
      <c r="A2751" s="72"/>
      <c r="B2751" s="73"/>
      <c r="C2751" s="70"/>
      <c r="D2751" s="74"/>
      <c r="E2751" s="75"/>
      <c r="F2751" s="75"/>
      <c r="K2751" s="72"/>
      <c r="L2751" s="73"/>
      <c r="M2751" s="70"/>
      <c r="N2751" s="74"/>
      <c r="O2751" s="75"/>
      <c r="P2751" s="75"/>
      <c r="U2751" s="72"/>
      <c r="V2751" s="73"/>
      <c r="W2751" s="70"/>
      <c r="X2751" s="74"/>
      <c r="Y2751" s="75"/>
      <c r="Z2751" s="75"/>
    </row>
    <row r="2752" spans="1:26" x14ac:dyDescent="0.3">
      <c r="A2752" s="72"/>
      <c r="B2752" s="73"/>
      <c r="C2752" s="70"/>
      <c r="D2752" s="74"/>
      <c r="E2752" s="75"/>
      <c r="F2752" s="75"/>
      <c r="K2752" s="72"/>
      <c r="L2752" s="73"/>
      <c r="M2752" s="70"/>
      <c r="N2752" s="74"/>
      <c r="O2752" s="75"/>
      <c r="P2752" s="75"/>
      <c r="U2752" s="72"/>
      <c r="V2752" s="73"/>
      <c r="W2752" s="70"/>
      <c r="X2752" s="74"/>
      <c r="Y2752" s="75"/>
      <c r="Z2752" s="75"/>
    </row>
    <row r="2753" spans="1:26" x14ac:dyDescent="0.3">
      <c r="A2753" s="72"/>
      <c r="B2753" s="73"/>
      <c r="C2753" s="70"/>
      <c r="D2753" s="74"/>
      <c r="E2753" s="75"/>
      <c r="F2753" s="75"/>
      <c r="K2753" s="72"/>
      <c r="L2753" s="73"/>
      <c r="M2753" s="70"/>
      <c r="N2753" s="74"/>
      <c r="O2753" s="75"/>
      <c r="P2753" s="75"/>
      <c r="U2753" s="72"/>
      <c r="V2753" s="73"/>
      <c r="W2753" s="70"/>
      <c r="X2753" s="74"/>
      <c r="Y2753" s="75"/>
      <c r="Z2753" s="75"/>
    </row>
    <row r="2754" spans="1:26" x14ac:dyDescent="0.3">
      <c r="A2754" s="72"/>
      <c r="B2754" s="73"/>
      <c r="C2754" s="70"/>
      <c r="D2754" s="74"/>
      <c r="E2754" s="75"/>
      <c r="F2754" s="75"/>
      <c r="K2754" s="72"/>
      <c r="L2754" s="73"/>
      <c r="M2754" s="70"/>
      <c r="N2754" s="74"/>
      <c r="O2754" s="75"/>
      <c r="P2754" s="75"/>
      <c r="U2754" s="72"/>
      <c r="V2754" s="73"/>
      <c r="W2754" s="70"/>
      <c r="X2754" s="74"/>
      <c r="Y2754" s="75"/>
      <c r="Z2754" s="75"/>
    </row>
    <row r="2755" spans="1:26" x14ac:dyDescent="0.3">
      <c r="A2755" s="72"/>
      <c r="B2755" s="73"/>
      <c r="C2755" s="70"/>
      <c r="D2755" s="74"/>
      <c r="E2755" s="75"/>
      <c r="F2755" s="75"/>
      <c r="K2755" s="72"/>
      <c r="L2755" s="73"/>
      <c r="M2755" s="70"/>
      <c r="N2755" s="74"/>
      <c r="O2755" s="75"/>
      <c r="P2755" s="75"/>
      <c r="U2755" s="72"/>
      <c r="V2755" s="73"/>
      <c r="W2755" s="70"/>
      <c r="X2755" s="74"/>
      <c r="Y2755" s="75"/>
      <c r="Z2755" s="75"/>
    </row>
    <row r="2756" spans="1:26" x14ac:dyDescent="0.3">
      <c r="A2756" s="72"/>
      <c r="B2756" s="73"/>
      <c r="C2756" s="70"/>
      <c r="D2756" s="74"/>
      <c r="E2756" s="75"/>
      <c r="F2756" s="75"/>
      <c r="K2756" s="72"/>
      <c r="L2756" s="73"/>
      <c r="M2756" s="70"/>
      <c r="N2756" s="74"/>
      <c r="O2756" s="75"/>
      <c r="P2756" s="75"/>
      <c r="U2756" s="72"/>
      <c r="V2756" s="73"/>
      <c r="W2756" s="70"/>
      <c r="X2756" s="74"/>
      <c r="Y2756" s="75"/>
      <c r="Z2756" s="75"/>
    </row>
    <row r="2757" spans="1:26" x14ac:dyDescent="0.3">
      <c r="A2757" s="72"/>
      <c r="B2757" s="73"/>
      <c r="C2757" s="70"/>
      <c r="D2757" s="74"/>
      <c r="E2757" s="75"/>
      <c r="F2757" s="75"/>
      <c r="K2757" s="72"/>
      <c r="L2757" s="73"/>
      <c r="M2757" s="70"/>
      <c r="N2757" s="74"/>
      <c r="O2757" s="75"/>
      <c r="P2757" s="75"/>
      <c r="U2757" s="72"/>
      <c r="V2757" s="73"/>
      <c r="W2757" s="70"/>
      <c r="X2757" s="74"/>
      <c r="Y2757" s="75"/>
      <c r="Z2757" s="75"/>
    </row>
    <row r="2758" spans="1:26" x14ac:dyDescent="0.3">
      <c r="A2758" s="72"/>
      <c r="B2758" s="73"/>
      <c r="C2758" s="70"/>
      <c r="D2758" s="74"/>
      <c r="E2758" s="75"/>
      <c r="F2758" s="75"/>
      <c r="K2758" s="72"/>
      <c r="L2758" s="73"/>
      <c r="M2758" s="70"/>
      <c r="N2758" s="74"/>
      <c r="O2758" s="75"/>
      <c r="P2758" s="75"/>
      <c r="U2758" s="72"/>
      <c r="V2758" s="73"/>
      <c r="W2758" s="70"/>
      <c r="X2758" s="74"/>
      <c r="Y2758" s="75"/>
      <c r="Z2758" s="75"/>
    </row>
    <row r="2759" spans="1:26" x14ac:dyDescent="0.3">
      <c r="A2759" s="72"/>
      <c r="B2759" s="73"/>
      <c r="C2759" s="70"/>
      <c r="D2759" s="74"/>
      <c r="E2759" s="75"/>
      <c r="F2759" s="75"/>
      <c r="K2759" s="72"/>
      <c r="L2759" s="73"/>
      <c r="M2759" s="70"/>
      <c r="N2759" s="74"/>
      <c r="O2759" s="75"/>
      <c r="P2759" s="75"/>
      <c r="U2759" s="72"/>
      <c r="V2759" s="73"/>
      <c r="W2759" s="70"/>
      <c r="X2759" s="74"/>
      <c r="Y2759" s="75"/>
      <c r="Z2759" s="75"/>
    </row>
    <row r="2760" spans="1:26" x14ac:dyDescent="0.3">
      <c r="A2760" s="72"/>
      <c r="B2760" s="73"/>
      <c r="C2760" s="70"/>
      <c r="D2760" s="74"/>
      <c r="E2760" s="75"/>
      <c r="F2760" s="75"/>
      <c r="K2760" s="72"/>
      <c r="L2760" s="73"/>
      <c r="M2760" s="70"/>
      <c r="N2760" s="74"/>
      <c r="O2760" s="75"/>
      <c r="P2760" s="75"/>
      <c r="U2760" s="72"/>
      <c r="V2760" s="73"/>
      <c r="W2760" s="70"/>
      <c r="X2760" s="74"/>
      <c r="Y2760" s="75"/>
      <c r="Z2760" s="75"/>
    </row>
    <row r="2761" spans="1:26" x14ac:dyDescent="0.3">
      <c r="A2761" s="72"/>
      <c r="B2761" s="73"/>
      <c r="C2761" s="70"/>
      <c r="D2761" s="74"/>
      <c r="E2761" s="75"/>
      <c r="F2761" s="75"/>
      <c r="K2761" s="72"/>
      <c r="L2761" s="73"/>
      <c r="M2761" s="70"/>
      <c r="N2761" s="74"/>
      <c r="O2761" s="75"/>
      <c r="P2761" s="75"/>
      <c r="U2761" s="72"/>
      <c r="V2761" s="73"/>
      <c r="W2761" s="70"/>
      <c r="X2761" s="74"/>
      <c r="Y2761" s="75"/>
      <c r="Z2761" s="75"/>
    </row>
    <row r="2762" spans="1:26" x14ac:dyDescent="0.3">
      <c r="A2762" s="72"/>
      <c r="B2762" s="73"/>
      <c r="C2762" s="70"/>
      <c r="D2762" s="74"/>
      <c r="E2762" s="75"/>
      <c r="F2762" s="75"/>
      <c r="K2762" s="72"/>
      <c r="L2762" s="73"/>
      <c r="M2762" s="70"/>
      <c r="N2762" s="74"/>
      <c r="O2762" s="75"/>
      <c r="P2762" s="75"/>
      <c r="U2762" s="72"/>
      <c r="V2762" s="73"/>
      <c r="W2762" s="70"/>
      <c r="X2762" s="74"/>
      <c r="Y2762" s="75"/>
      <c r="Z2762" s="75"/>
    </row>
    <row r="2763" spans="1:26" x14ac:dyDescent="0.3">
      <c r="A2763" s="72"/>
      <c r="B2763" s="73"/>
      <c r="C2763" s="70"/>
      <c r="D2763" s="74"/>
      <c r="E2763" s="75"/>
      <c r="F2763" s="75"/>
      <c r="K2763" s="72"/>
      <c r="L2763" s="73"/>
      <c r="M2763" s="70"/>
      <c r="N2763" s="74"/>
      <c r="O2763" s="75"/>
      <c r="P2763" s="75"/>
      <c r="U2763" s="72"/>
      <c r="V2763" s="73"/>
      <c r="W2763" s="70"/>
      <c r="X2763" s="74"/>
      <c r="Y2763" s="75"/>
      <c r="Z2763" s="75"/>
    </row>
    <row r="2764" spans="1:26" x14ac:dyDescent="0.3">
      <c r="A2764" s="72"/>
      <c r="B2764" s="73"/>
      <c r="C2764" s="70"/>
      <c r="D2764" s="74"/>
      <c r="E2764" s="75"/>
      <c r="F2764" s="75"/>
      <c r="K2764" s="72"/>
      <c r="L2764" s="73"/>
      <c r="M2764" s="70"/>
      <c r="N2764" s="74"/>
      <c r="O2764" s="75"/>
      <c r="P2764" s="75"/>
      <c r="U2764" s="72"/>
      <c r="V2764" s="73"/>
      <c r="W2764" s="70"/>
      <c r="X2764" s="74"/>
      <c r="Y2764" s="75"/>
      <c r="Z2764" s="75"/>
    </row>
    <row r="2765" spans="1:26" x14ac:dyDescent="0.3">
      <c r="A2765" s="72"/>
      <c r="B2765" s="73"/>
      <c r="C2765" s="70"/>
      <c r="D2765" s="74"/>
      <c r="E2765" s="75"/>
      <c r="F2765" s="75"/>
      <c r="K2765" s="72"/>
      <c r="L2765" s="73"/>
      <c r="M2765" s="70"/>
      <c r="N2765" s="74"/>
      <c r="O2765" s="75"/>
      <c r="P2765" s="75"/>
      <c r="U2765" s="72"/>
      <c r="V2765" s="73"/>
      <c r="W2765" s="70"/>
      <c r="X2765" s="74"/>
      <c r="Y2765" s="75"/>
      <c r="Z2765" s="75"/>
    </row>
    <row r="2766" spans="1:26" x14ac:dyDescent="0.3">
      <c r="A2766" s="72"/>
      <c r="B2766" s="73"/>
      <c r="C2766" s="70"/>
      <c r="D2766" s="74"/>
      <c r="E2766" s="75"/>
      <c r="F2766" s="75"/>
      <c r="K2766" s="72"/>
      <c r="L2766" s="73"/>
      <c r="M2766" s="70"/>
      <c r="N2766" s="74"/>
      <c r="O2766" s="75"/>
      <c r="P2766" s="75"/>
      <c r="U2766" s="72"/>
      <c r="V2766" s="73"/>
      <c r="W2766" s="70"/>
      <c r="X2766" s="74"/>
      <c r="Y2766" s="75"/>
      <c r="Z2766" s="75"/>
    </row>
    <row r="2767" spans="1:26" x14ac:dyDescent="0.3">
      <c r="A2767" s="72"/>
      <c r="B2767" s="73"/>
      <c r="C2767" s="70"/>
      <c r="D2767" s="74"/>
      <c r="E2767" s="75"/>
      <c r="F2767" s="75"/>
      <c r="K2767" s="72"/>
      <c r="L2767" s="73"/>
      <c r="M2767" s="70"/>
      <c r="N2767" s="74"/>
      <c r="O2767" s="75"/>
      <c r="P2767" s="75"/>
      <c r="U2767" s="72"/>
      <c r="V2767" s="73"/>
      <c r="W2767" s="70"/>
      <c r="X2767" s="74"/>
      <c r="Y2767" s="75"/>
      <c r="Z2767" s="75"/>
    </row>
    <row r="2768" spans="1:26" x14ac:dyDescent="0.3">
      <c r="A2768" s="72"/>
      <c r="B2768" s="73"/>
      <c r="C2768" s="70"/>
      <c r="D2768" s="74"/>
      <c r="E2768" s="75"/>
      <c r="F2768" s="75"/>
      <c r="K2768" s="72"/>
      <c r="L2768" s="73"/>
      <c r="M2768" s="70"/>
      <c r="N2768" s="74"/>
      <c r="O2768" s="75"/>
      <c r="P2768" s="75"/>
      <c r="U2768" s="72"/>
      <c r="V2768" s="73"/>
      <c r="W2768" s="70"/>
      <c r="X2768" s="74"/>
      <c r="Y2768" s="75"/>
      <c r="Z2768" s="75"/>
    </row>
    <row r="2769" spans="1:26" x14ac:dyDescent="0.3">
      <c r="A2769" s="72"/>
      <c r="B2769" s="73"/>
      <c r="C2769" s="70"/>
      <c r="D2769" s="74"/>
      <c r="E2769" s="75"/>
      <c r="F2769" s="75"/>
      <c r="K2769" s="72"/>
      <c r="L2769" s="73"/>
      <c r="M2769" s="70"/>
      <c r="N2769" s="74"/>
      <c r="O2769" s="75"/>
      <c r="P2769" s="75"/>
      <c r="U2769" s="72"/>
      <c r="V2769" s="73"/>
      <c r="W2769" s="70"/>
      <c r="X2769" s="74"/>
      <c r="Y2769" s="75"/>
      <c r="Z2769" s="75"/>
    </row>
    <row r="2770" spans="1:26" x14ac:dyDescent="0.3">
      <c r="A2770" s="72"/>
      <c r="B2770" s="73"/>
      <c r="C2770" s="70"/>
      <c r="D2770" s="74"/>
      <c r="E2770" s="75"/>
      <c r="F2770" s="75"/>
      <c r="K2770" s="72"/>
      <c r="L2770" s="73"/>
      <c r="M2770" s="70"/>
      <c r="N2770" s="74"/>
      <c r="O2770" s="75"/>
      <c r="P2770" s="75"/>
      <c r="U2770" s="72"/>
      <c r="V2770" s="73"/>
      <c r="W2770" s="70"/>
      <c r="X2770" s="74"/>
      <c r="Y2770" s="75"/>
      <c r="Z2770" s="75"/>
    </row>
    <row r="2771" spans="1:26" x14ac:dyDescent="0.3">
      <c r="A2771" s="72"/>
      <c r="B2771" s="73"/>
      <c r="C2771" s="70"/>
      <c r="D2771" s="74"/>
      <c r="E2771" s="75"/>
      <c r="F2771" s="75"/>
      <c r="K2771" s="72"/>
      <c r="L2771" s="73"/>
      <c r="M2771" s="70"/>
      <c r="N2771" s="74"/>
      <c r="O2771" s="75"/>
      <c r="P2771" s="75"/>
      <c r="U2771" s="72"/>
      <c r="V2771" s="73"/>
      <c r="W2771" s="70"/>
      <c r="X2771" s="74"/>
      <c r="Y2771" s="75"/>
      <c r="Z2771" s="75"/>
    </row>
    <row r="2772" spans="1:26" x14ac:dyDescent="0.3">
      <c r="A2772" s="72"/>
      <c r="B2772" s="73"/>
      <c r="C2772" s="70"/>
      <c r="D2772" s="74"/>
      <c r="E2772" s="75"/>
      <c r="F2772" s="75"/>
      <c r="K2772" s="72"/>
      <c r="L2772" s="73"/>
      <c r="M2772" s="70"/>
      <c r="N2772" s="74"/>
      <c r="O2772" s="75"/>
      <c r="P2772" s="75"/>
      <c r="U2772" s="72"/>
      <c r="V2772" s="73"/>
      <c r="W2772" s="70"/>
      <c r="X2772" s="74"/>
      <c r="Y2772" s="75"/>
      <c r="Z2772" s="75"/>
    </row>
    <row r="2773" spans="1:26" x14ac:dyDescent="0.3">
      <c r="A2773" s="72"/>
      <c r="B2773" s="73"/>
      <c r="C2773" s="70"/>
      <c r="D2773" s="74"/>
      <c r="E2773" s="75"/>
      <c r="F2773" s="75"/>
      <c r="K2773" s="72"/>
      <c r="L2773" s="73"/>
      <c r="M2773" s="70"/>
      <c r="N2773" s="74"/>
      <c r="O2773" s="75"/>
      <c r="P2773" s="75"/>
      <c r="U2773" s="72"/>
      <c r="V2773" s="73"/>
      <c r="W2773" s="70"/>
      <c r="X2773" s="74"/>
      <c r="Y2773" s="75"/>
      <c r="Z2773" s="75"/>
    </row>
    <row r="2774" spans="1:26" x14ac:dyDescent="0.3">
      <c r="A2774" s="72"/>
      <c r="B2774" s="73"/>
      <c r="C2774" s="70"/>
      <c r="D2774" s="74"/>
      <c r="E2774" s="75"/>
      <c r="F2774" s="75"/>
      <c r="K2774" s="72"/>
      <c r="L2774" s="73"/>
      <c r="M2774" s="70"/>
      <c r="N2774" s="74"/>
      <c r="O2774" s="75"/>
      <c r="P2774" s="75"/>
      <c r="U2774" s="72"/>
      <c r="V2774" s="73"/>
      <c r="W2774" s="70"/>
      <c r="X2774" s="74"/>
      <c r="Y2774" s="75"/>
      <c r="Z2774" s="75"/>
    </row>
    <row r="2775" spans="1:26" x14ac:dyDescent="0.3">
      <c r="A2775" s="72"/>
      <c r="B2775" s="73"/>
      <c r="C2775" s="70"/>
      <c r="D2775" s="74"/>
      <c r="E2775" s="75"/>
      <c r="F2775" s="75"/>
      <c r="K2775" s="72"/>
      <c r="L2775" s="73"/>
      <c r="M2775" s="70"/>
      <c r="N2775" s="74"/>
      <c r="O2775" s="75"/>
      <c r="P2775" s="75"/>
      <c r="U2775" s="72"/>
      <c r="V2775" s="73"/>
      <c r="W2775" s="70"/>
      <c r="X2775" s="74"/>
      <c r="Y2775" s="75"/>
      <c r="Z2775" s="75"/>
    </row>
    <row r="2776" spans="1:26" x14ac:dyDescent="0.3">
      <c r="A2776" s="72"/>
      <c r="B2776" s="73"/>
      <c r="C2776" s="70"/>
      <c r="D2776" s="74"/>
      <c r="E2776" s="75"/>
      <c r="F2776" s="75"/>
      <c r="K2776" s="72"/>
      <c r="L2776" s="73"/>
      <c r="M2776" s="70"/>
      <c r="N2776" s="74"/>
      <c r="O2776" s="75"/>
      <c r="P2776" s="75"/>
      <c r="U2776" s="72"/>
      <c r="V2776" s="73"/>
      <c r="W2776" s="70"/>
      <c r="X2776" s="74"/>
      <c r="Y2776" s="75"/>
      <c r="Z2776" s="75"/>
    </row>
    <row r="2777" spans="1:26" x14ac:dyDescent="0.3">
      <c r="A2777" s="72"/>
      <c r="B2777" s="73"/>
      <c r="C2777" s="70"/>
      <c r="D2777" s="74"/>
      <c r="E2777" s="75"/>
      <c r="F2777" s="75"/>
      <c r="K2777" s="72"/>
      <c r="L2777" s="73"/>
      <c r="M2777" s="70"/>
      <c r="N2777" s="74"/>
      <c r="O2777" s="75"/>
      <c r="P2777" s="75"/>
      <c r="U2777" s="72"/>
      <c r="V2777" s="73"/>
      <c r="W2777" s="70"/>
      <c r="X2777" s="74"/>
      <c r="Y2777" s="75"/>
      <c r="Z2777" s="75"/>
    </row>
    <row r="2778" spans="1:26" x14ac:dyDescent="0.3">
      <c r="A2778" s="72"/>
      <c r="B2778" s="73"/>
      <c r="C2778" s="70"/>
      <c r="D2778" s="74"/>
      <c r="E2778" s="75"/>
      <c r="F2778" s="75"/>
      <c r="K2778" s="72"/>
      <c r="L2778" s="73"/>
      <c r="M2778" s="70"/>
      <c r="N2778" s="74"/>
      <c r="O2778" s="75"/>
      <c r="P2778" s="75"/>
      <c r="U2778" s="72"/>
      <c r="V2778" s="73"/>
      <c r="W2778" s="70"/>
      <c r="X2778" s="74"/>
      <c r="Y2778" s="75"/>
      <c r="Z2778" s="75"/>
    </row>
    <row r="2779" spans="1:26" x14ac:dyDescent="0.3">
      <c r="A2779" s="72"/>
      <c r="B2779" s="73"/>
      <c r="C2779" s="70"/>
      <c r="D2779" s="74"/>
      <c r="E2779" s="75"/>
      <c r="F2779" s="75"/>
      <c r="K2779" s="72"/>
      <c r="L2779" s="73"/>
      <c r="M2779" s="70"/>
      <c r="N2779" s="74"/>
      <c r="O2779" s="75"/>
      <c r="P2779" s="75"/>
      <c r="U2779" s="72"/>
      <c r="V2779" s="73"/>
      <c r="W2779" s="70"/>
      <c r="X2779" s="74"/>
      <c r="Y2779" s="75"/>
      <c r="Z2779" s="75"/>
    </row>
    <row r="2780" spans="1:26" x14ac:dyDescent="0.3">
      <c r="A2780" s="72"/>
      <c r="B2780" s="73"/>
      <c r="C2780" s="70"/>
      <c r="D2780" s="74"/>
      <c r="E2780" s="75"/>
      <c r="F2780" s="75"/>
      <c r="K2780" s="72"/>
      <c r="L2780" s="73"/>
      <c r="M2780" s="70"/>
      <c r="N2780" s="74"/>
      <c r="O2780" s="75"/>
      <c r="P2780" s="75"/>
      <c r="U2780" s="72"/>
      <c r="V2780" s="73"/>
      <c r="W2780" s="70"/>
      <c r="X2780" s="74"/>
      <c r="Y2780" s="75"/>
      <c r="Z2780" s="75"/>
    </row>
    <row r="2781" spans="1:26" x14ac:dyDescent="0.3">
      <c r="A2781" s="72"/>
      <c r="B2781" s="73"/>
      <c r="C2781" s="70"/>
      <c r="D2781" s="74"/>
      <c r="E2781" s="75"/>
      <c r="F2781" s="75"/>
      <c r="K2781" s="72"/>
      <c r="L2781" s="73"/>
      <c r="M2781" s="70"/>
      <c r="N2781" s="74"/>
      <c r="O2781" s="75"/>
      <c r="P2781" s="75"/>
      <c r="U2781" s="72"/>
      <c r="V2781" s="73"/>
      <c r="W2781" s="70"/>
      <c r="X2781" s="74"/>
      <c r="Y2781" s="75"/>
      <c r="Z2781" s="75"/>
    </row>
    <row r="2782" spans="1:26" x14ac:dyDescent="0.3">
      <c r="A2782" s="72"/>
      <c r="B2782" s="73"/>
      <c r="C2782" s="70"/>
      <c r="D2782" s="74"/>
      <c r="E2782" s="75"/>
      <c r="F2782" s="75"/>
      <c r="K2782" s="72"/>
      <c r="L2782" s="73"/>
      <c r="M2782" s="70"/>
      <c r="N2782" s="74"/>
      <c r="O2782" s="75"/>
      <c r="P2782" s="75"/>
      <c r="U2782" s="72"/>
      <c r="V2782" s="73"/>
      <c r="W2782" s="70"/>
      <c r="X2782" s="74"/>
      <c r="Y2782" s="75"/>
      <c r="Z2782" s="75"/>
    </row>
    <row r="2783" spans="1:26" x14ac:dyDescent="0.3">
      <c r="A2783" s="72"/>
      <c r="B2783" s="73"/>
      <c r="C2783" s="70"/>
      <c r="D2783" s="74"/>
      <c r="E2783" s="75"/>
      <c r="F2783" s="75"/>
      <c r="K2783" s="72"/>
      <c r="L2783" s="73"/>
      <c r="M2783" s="70"/>
      <c r="N2783" s="74"/>
      <c r="O2783" s="75"/>
      <c r="P2783" s="75"/>
      <c r="U2783" s="72"/>
      <c r="V2783" s="73"/>
      <c r="W2783" s="70"/>
      <c r="X2783" s="74"/>
      <c r="Y2783" s="75"/>
      <c r="Z2783" s="75"/>
    </row>
    <row r="2784" spans="1:26" x14ac:dyDescent="0.3">
      <c r="A2784" s="72"/>
      <c r="B2784" s="73"/>
      <c r="C2784" s="70"/>
      <c r="D2784" s="74"/>
      <c r="E2784" s="75"/>
      <c r="F2784" s="75"/>
      <c r="K2784" s="72"/>
      <c r="L2784" s="73"/>
      <c r="M2784" s="70"/>
      <c r="N2784" s="74"/>
      <c r="O2784" s="75"/>
      <c r="P2784" s="75"/>
      <c r="U2784" s="72"/>
      <c r="V2784" s="73"/>
      <c r="W2784" s="70"/>
      <c r="X2784" s="74"/>
      <c r="Y2784" s="75"/>
      <c r="Z2784" s="75"/>
    </row>
    <row r="2785" spans="1:26" x14ac:dyDescent="0.3">
      <c r="A2785" s="72"/>
      <c r="B2785" s="73"/>
      <c r="C2785" s="70"/>
      <c r="D2785" s="74"/>
      <c r="E2785" s="75"/>
      <c r="F2785" s="75"/>
      <c r="K2785" s="72"/>
      <c r="L2785" s="73"/>
      <c r="M2785" s="70"/>
      <c r="N2785" s="74"/>
      <c r="O2785" s="75"/>
      <c r="P2785" s="75"/>
      <c r="U2785" s="72"/>
      <c r="V2785" s="73"/>
      <c r="W2785" s="70"/>
      <c r="X2785" s="74"/>
      <c r="Y2785" s="75"/>
      <c r="Z2785" s="75"/>
    </row>
    <row r="2786" spans="1:26" x14ac:dyDescent="0.3">
      <c r="A2786" s="72"/>
      <c r="B2786" s="73"/>
      <c r="C2786" s="70"/>
      <c r="D2786" s="74"/>
      <c r="E2786" s="75"/>
      <c r="F2786" s="75"/>
      <c r="K2786" s="72"/>
      <c r="L2786" s="73"/>
      <c r="M2786" s="70"/>
      <c r="N2786" s="74"/>
      <c r="O2786" s="75"/>
      <c r="P2786" s="75"/>
      <c r="U2786" s="72"/>
      <c r="V2786" s="73"/>
      <c r="W2786" s="70"/>
      <c r="X2786" s="74"/>
      <c r="Y2786" s="75"/>
      <c r="Z2786" s="75"/>
    </row>
    <row r="2787" spans="1:26" x14ac:dyDescent="0.3">
      <c r="A2787" s="72"/>
      <c r="B2787" s="73"/>
      <c r="C2787" s="70"/>
      <c r="D2787" s="74"/>
      <c r="E2787" s="75"/>
      <c r="F2787" s="75"/>
      <c r="K2787" s="72"/>
      <c r="L2787" s="73"/>
      <c r="M2787" s="70"/>
      <c r="N2787" s="74"/>
      <c r="O2787" s="75"/>
      <c r="P2787" s="75"/>
      <c r="U2787" s="72"/>
      <c r="V2787" s="73"/>
      <c r="W2787" s="70"/>
      <c r="X2787" s="74"/>
      <c r="Y2787" s="75"/>
      <c r="Z2787" s="75"/>
    </row>
    <row r="2788" spans="1:26" x14ac:dyDescent="0.3">
      <c r="A2788" s="72"/>
      <c r="B2788" s="73"/>
      <c r="C2788" s="70"/>
      <c r="D2788" s="74"/>
      <c r="E2788" s="75"/>
      <c r="F2788" s="75"/>
      <c r="K2788" s="72"/>
      <c r="L2788" s="73"/>
      <c r="M2788" s="70"/>
      <c r="N2788" s="74"/>
      <c r="O2788" s="75"/>
      <c r="P2788" s="75"/>
      <c r="U2788" s="72"/>
      <c r="V2788" s="73"/>
      <c r="W2788" s="70"/>
      <c r="X2788" s="74"/>
      <c r="Y2788" s="75"/>
      <c r="Z2788" s="75"/>
    </row>
    <row r="2789" spans="1:26" x14ac:dyDescent="0.3">
      <c r="A2789" s="72"/>
      <c r="B2789" s="73"/>
      <c r="C2789" s="70"/>
      <c r="D2789" s="74"/>
      <c r="E2789" s="75"/>
      <c r="F2789" s="75"/>
      <c r="K2789" s="72"/>
      <c r="L2789" s="73"/>
      <c r="M2789" s="70"/>
      <c r="N2789" s="74"/>
      <c r="O2789" s="75"/>
      <c r="P2789" s="75"/>
      <c r="U2789" s="72"/>
      <c r="V2789" s="73"/>
      <c r="W2789" s="70"/>
      <c r="X2789" s="74"/>
      <c r="Y2789" s="75"/>
      <c r="Z2789" s="75"/>
    </row>
    <row r="2790" spans="1:26" x14ac:dyDescent="0.3">
      <c r="A2790" s="72"/>
      <c r="B2790" s="73"/>
      <c r="C2790" s="70"/>
      <c r="D2790" s="74"/>
      <c r="E2790" s="75"/>
      <c r="F2790" s="75"/>
      <c r="K2790" s="72"/>
      <c r="L2790" s="73"/>
      <c r="M2790" s="70"/>
      <c r="N2790" s="74"/>
      <c r="O2790" s="75"/>
      <c r="P2790" s="75"/>
      <c r="U2790" s="72"/>
      <c r="V2790" s="73"/>
      <c r="W2790" s="70"/>
      <c r="X2790" s="74"/>
      <c r="Y2790" s="75"/>
      <c r="Z2790" s="75"/>
    </row>
    <row r="2791" spans="1:26" x14ac:dyDescent="0.3">
      <c r="A2791" s="72"/>
      <c r="B2791" s="73"/>
      <c r="C2791" s="70"/>
      <c r="D2791" s="74"/>
      <c r="E2791" s="75"/>
      <c r="F2791" s="75"/>
      <c r="K2791" s="72"/>
      <c r="L2791" s="73"/>
      <c r="M2791" s="70"/>
      <c r="N2791" s="74"/>
      <c r="O2791" s="75"/>
      <c r="P2791" s="75"/>
      <c r="U2791" s="72"/>
      <c r="V2791" s="73"/>
      <c r="W2791" s="70"/>
      <c r="X2791" s="74"/>
      <c r="Y2791" s="75"/>
      <c r="Z2791" s="75"/>
    </row>
    <row r="2792" spans="1:26" x14ac:dyDescent="0.3">
      <c r="A2792" s="72"/>
      <c r="B2792" s="73"/>
      <c r="C2792" s="70"/>
      <c r="D2792" s="74"/>
      <c r="E2792" s="75"/>
      <c r="F2792" s="75"/>
      <c r="K2792" s="72"/>
      <c r="L2792" s="73"/>
      <c r="M2792" s="70"/>
      <c r="N2792" s="74"/>
      <c r="O2792" s="75"/>
      <c r="P2792" s="75"/>
      <c r="U2792" s="72"/>
      <c r="V2792" s="73"/>
      <c r="W2792" s="70"/>
      <c r="X2792" s="74"/>
      <c r="Y2792" s="75"/>
      <c r="Z2792" s="75"/>
    </row>
    <row r="2793" spans="1:26" x14ac:dyDescent="0.3">
      <c r="A2793" s="72"/>
      <c r="B2793" s="73"/>
      <c r="C2793" s="70"/>
      <c r="D2793" s="74"/>
      <c r="E2793" s="75"/>
      <c r="F2793" s="75"/>
      <c r="K2793" s="72"/>
      <c r="L2793" s="73"/>
      <c r="M2793" s="70"/>
      <c r="N2793" s="74"/>
      <c r="O2793" s="75"/>
      <c r="P2793" s="75"/>
      <c r="U2793" s="72"/>
      <c r="V2793" s="73"/>
      <c r="W2793" s="70"/>
      <c r="X2793" s="74"/>
      <c r="Y2793" s="75"/>
      <c r="Z2793" s="75"/>
    </row>
    <row r="2794" spans="1:26" x14ac:dyDescent="0.3">
      <c r="A2794" s="72"/>
      <c r="B2794" s="73"/>
      <c r="C2794" s="70"/>
      <c r="D2794" s="74"/>
      <c r="E2794" s="75"/>
      <c r="F2794" s="75"/>
      <c r="K2794" s="72"/>
      <c r="L2794" s="73"/>
      <c r="M2794" s="70"/>
      <c r="N2794" s="74"/>
      <c r="O2794" s="75"/>
      <c r="P2794" s="75"/>
      <c r="U2794" s="72"/>
      <c r="V2794" s="73"/>
      <c r="W2794" s="70"/>
      <c r="X2794" s="74"/>
      <c r="Y2794" s="75"/>
      <c r="Z2794" s="75"/>
    </row>
    <row r="2795" spans="1:26" x14ac:dyDescent="0.3">
      <c r="A2795" s="72"/>
      <c r="B2795" s="73"/>
      <c r="C2795" s="70"/>
      <c r="D2795" s="74"/>
      <c r="E2795" s="75"/>
      <c r="F2795" s="75"/>
      <c r="K2795" s="72"/>
      <c r="L2795" s="73"/>
      <c r="M2795" s="70"/>
      <c r="N2795" s="74"/>
      <c r="O2795" s="75"/>
      <c r="P2795" s="75"/>
      <c r="U2795" s="72"/>
      <c r="V2795" s="73"/>
      <c r="W2795" s="70"/>
      <c r="X2795" s="74"/>
      <c r="Y2795" s="75"/>
      <c r="Z2795" s="75"/>
    </row>
    <row r="2796" spans="1:26" x14ac:dyDescent="0.3">
      <c r="A2796" s="72"/>
      <c r="B2796" s="73"/>
      <c r="C2796" s="70"/>
      <c r="D2796" s="74"/>
      <c r="E2796" s="75"/>
      <c r="F2796" s="75"/>
      <c r="K2796" s="72"/>
      <c r="L2796" s="73"/>
      <c r="M2796" s="70"/>
      <c r="N2796" s="74"/>
      <c r="O2796" s="75"/>
      <c r="P2796" s="75"/>
      <c r="U2796" s="72"/>
      <c r="V2796" s="73"/>
      <c r="W2796" s="70"/>
      <c r="X2796" s="74"/>
      <c r="Y2796" s="75"/>
      <c r="Z2796" s="75"/>
    </row>
    <row r="2797" spans="1:26" x14ac:dyDescent="0.3">
      <c r="A2797" s="72"/>
      <c r="B2797" s="73"/>
      <c r="C2797" s="70"/>
      <c r="D2797" s="74"/>
      <c r="E2797" s="75"/>
      <c r="F2797" s="75"/>
      <c r="K2797" s="72"/>
      <c r="L2797" s="73"/>
      <c r="M2797" s="70"/>
      <c r="N2797" s="74"/>
      <c r="O2797" s="75"/>
      <c r="P2797" s="75"/>
      <c r="U2797" s="72"/>
      <c r="V2797" s="73"/>
      <c r="W2797" s="70"/>
      <c r="X2797" s="74"/>
      <c r="Y2797" s="75"/>
      <c r="Z2797" s="75"/>
    </row>
    <row r="2798" spans="1:26" x14ac:dyDescent="0.3">
      <c r="A2798" s="72"/>
      <c r="B2798" s="73"/>
      <c r="C2798" s="70"/>
      <c r="D2798" s="74"/>
      <c r="E2798" s="75"/>
      <c r="F2798" s="75"/>
      <c r="K2798" s="72"/>
      <c r="L2798" s="73"/>
      <c r="M2798" s="70"/>
      <c r="N2798" s="74"/>
      <c r="O2798" s="75"/>
      <c r="P2798" s="75"/>
      <c r="U2798" s="72"/>
      <c r="V2798" s="73"/>
      <c r="W2798" s="70"/>
      <c r="X2798" s="74"/>
      <c r="Y2798" s="75"/>
      <c r="Z2798" s="75"/>
    </row>
    <row r="2799" spans="1:26" x14ac:dyDescent="0.3">
      <c r="A2799" s="72"/>
      <c r="B2799" s="73"/>
      <c r="C2799" s="70"/>
      <c r="D2799" s="74"/>
      <c r="E2799" s="75"/>
      <c r="F2799" s="75"/>
      <c r="K2799" s="72"/>
      <c r="L2799" s="73"/>
      <c r="M2799" s="70"/>
      <c r="N2799" s="74"/>
      <c r="O2799" s="75"/>
      <c r="P2799" s="75"/>
      <c r="U2799" s="72"/>
      <c r="V2799" s="73"/>
      <c r="W2799" s="70"/>
      <c r="X2799" s="74"/>
      <c r="Y2799" s="75"/>
      <c r="Z2799" s="75"/>
    </row>
    <row r="2800" spans="1:26" x14ac:dyDescent="0.3">
      <c r="A2800" s="72"/>
      <c r="B2800" s="73"/>
      <c r="C2800" s="70"/>
      <c r="D2800" s="74"/>
      <c r="E2800" s="75"/>
      <c r="F2800" s="75"/>
      <c r="K2800" s="72"/>
      <c r="L2800" s="73"/>
      <c r="M2800" s="70"/>
      <c r="N2800" s="74"/>
      <c r="O2800" s="75"/>
      <c r="P2800" s="75"/>
      <c r="U2800" s="72"/>
      <c r="V2800" s="73"/>
      <c r="W2800" s="70"/>
      <c r="X2800" s="74"/>
      <c r="Y2800" s="75"/>
      <c r="Z2800" s="75"/>
    </row>
    <row r="2801" spans="1:26" x14ac:dyDescent="0.3">
      <c r="A2801" s="72"/>
      <c r="B2801" s="73"/>
      <c r="C2801" s="70"/>
      <c r="D2801" s="74"/>
      <c r="E2801" s="75"/>
      <c r="F2801" s="75"/>
      <c r="K2801" s="72"/>
      <c r="L2801" s="73"/>
      <c r="M2801" s="70"/>
      <c r="N2801" s="74"/>
      <c r="O2801" s="75"/>
      <c r="P2801" s="75"/>
      <c r="U2801" s="72"/>
      <c r="V2801" s="73"/>
      <c r="W2801" s="70"/>
      <c r="X2801" s="74"/>
      <c r="Y2801" s="75"/>
      <c r="Z2801" s="75"/>
    </row>
    <row r="2802" spans="1:26" x14ac:dyDescent="0.3">
      <c r="A2802" s="72"/>
      <c r="B2802" s="73"/>
      <c r="C2802" s="70"/>
      <c r="D2802" s="74"/>
      <c r="E2802" s="75"/>
      <c r="F2802" s="75"/>
      <c r="K2802" s="72"/>
      <c r="L2802" s="73"/>
      <c r="M2802" s="70"/>
      <c r="N2802" s="74"/>
      <c r="O2802" s="75"/>
      <c r="P2802" s="75"/>
      <c r="U2802" s="72"/>
      <c r="V2802" s="73"/>
      <c r="W2802" s="70"/>
      <c r="X2802" s="74"/>
      <c r="Y2802" s="75"/>
      <c r="Z2802" s="75"/>
    </row>
    <row r="2803" spans="1:26" x14ac:dyDescent="0.3">
      <c r="A2803" s="72"/>
      <c r="B2803" s="73"/>
      <c r="C2803" s="70"/>
      <c r="D2803" s="74"/>
      <c r="E2803" s="75"/>
      <c r="F2803" s="75"/>
      <c r="K2803" s="72"/>
      <c r="L2803" s="73"/>
      <c r="M2803" s="70"/>
      <c r="N2803" s="74"/>
      <c r="O2803" s="75"/>
      <c r="P2803" s="75"/>
      <c r="U2803" s="72"/>
      <c r="V2803" s="73"/>
      <c r="W2803" s="70"/>
      <c r="X2803" s="74"/>
      <c r="Y2803" s="75"/>
      <c r="Z2803" s="75"/>
    </row>
    <row r="2804" spans="1:26" x14ac:dyDescent="0.3">
      <c r="A2804" s="72"/>
      <c r="B2804" s="73"/>
      <c r="C2804" s="70"/>
      <c r="D2804" s="74"/>
      <c r="E2804" s="75"/>
      <c r="F2804" s="75"/>
      <c r="K2804" s="72"/>
      <c r="L2804" s="73"/>
      <c r="M2804" s="70"/>
      <c r="N2804" s="74"/>
      <c r="O2804" s="75"/>
      <c r="P2804" s="75"/>
      <c r="U2804" s="72"/>
      <c r="V2804" s="73"/>
      <c r="W2804" s="70"/>
      <c r="X2804" s="74"/>
      <c r="Y2804" s="75"/>
      <c r="Z2804" s="75"/>
    </row>
    <row r="2805" spans="1:26" x14ac:dyDescent="0.3">
      <c r="A2805" s="72"/>
      <c r="B2805" s="73"/>
      <c r="C2805" s="70"/>
      <c r="D2805" s="74"/>
      <c r="E2805" s="75"/>
      <c r="F2805" s="75"/>
      <c r="K2805" s="72"/>
      <c r="L2805" s="73"/>
      <c r="M2805" s="70"/>
      <c r="N2805" s="74"/>
      <c r="O2805" s="75"/>
      <c r="P2805" s="75"/>
      <c r="U2805" s="72"/>
      <c r="V2805" s="73"/>
      <c r="W2805" s="70"/>
      <c r="X2805" s="74"/>
      <c r="Y2805" s="75"/>
      <c r="Z2805" s="75"/>
    </row>
    <row r="2806" spans="1:26" x14ac:dyDescent="0.3">
      <c r="A2806" s="72"/>
      <c r="B2806" s="73"/>
      <c r="C2806" s="70"/>
      <c r="D2806" s="74"/>
      <c r="E2806" s="75"/>
      <c r="F2806" s="75"/>
      <c r="K2806" s="72"/>
      <c r="L2806" s="73"/>
      <c r="M2806" s="70"/>
      <c r="N2806" s="74"/>
      <c r="O2806" s="75"/>
      <c r="P2806" s="75"/>
      <c r="U2806" s="72"/>
      <c r="V2806" s="73"/>
      <c r="W2806" s="70"/>
      <c r="X2806" s="74"/>
      <c r="Y2806" s="75"/>
      <c r="Z2806" s="75"/>
    </row>
    <row r="2807" spans="1:26" x14ac:dyDescent="0.3">
      <c r="A2807" s="72"/>
      <c r="B2807" s="73"/>
      <c r="C2807" s="70"/>
      <c r="D2807" s="74"/>
      <c r="E2807" s="75"/>
      <c r="F2807" s="75"/>
      <c r="K2807" s="72"/>
      <c r="L2807" s="73"/>
      <c r="M2807" s="70"/>
      <c r="N2807" s="74"/>
      <c r="O2807" s="75"/>
      <c r="P2807" s="75"/>
      <c r="U2807" s="72"/>
      <c r="V2807" s="73"/>
      <c r="W2807" s="70"/>
      <c r="X2807" s="74"/>
      <c r="Y2807" s="75"/>
      <c r="Z2807" s="75"/>
    </row>
    <row r="2808" spans="1:26" x14ac:dyDescent="0.3">
      <c r="A2808" s="72"/>
      <c r="B2808" s="73"/>
      <c r="C2808" s="70"/>
      <c r="D2808" s="74"/>
      <c r="E2808" s="75"/>
      <c r="F2808" s="75"/>
      <c r="K2808" s="72"/>
      <c r="L2808" s="73"/>
      <c r="M2808" s="70"/>
      <c r="N2808" s="74"/>
      <c r="O2808" s="75"/>
      <c r="P2808" s="75"/>
      <c r="U2808" s="72"/>
      <c r="V2808" s="73"/>
      <c r="W2808" s="70"/>
      <c r="X2808" s="74"/>
      <c r="Y2808" s="75"/>
      <c r="Z2808" s="75"/>
    </row>
    <row r="2809" spans="1:26" x14ac:dyDescent="0.3">
      <c r="A2809" s="72"/>
      <c r="B2809" s="73"/>
      <c r="C2809" s="70"/>
      <c r="D2809" s="74"/>
      <c r="E2809" s="75"/>
      <c r="F2809" s="75"/>
      <c r="K2809" s="72"/>
      <c r="L2809" s="73"/>
      <c r="M2809" s="70"/>
      <c r="N2809" s="74"/>
      <c r="O2809" s="75"/>
      <c r="P2809" s="75"/>
      <c r="U2809" s="72"/>
      <c r="V2809" s="73"/>
      <c r="W2809" s="70"/>
      <c r="X2809" s="74"/>
      <c r="Y2809" s="75"/>
      <c r="Z2809" s="75"/>
    </row>
    <row r="2810" spans="1:26" x14ac:dyDescent="0.3">
      <c r="A2810" s="72"/>
      <c r="B2810" s="73"/>
      <c r="C2810" s="70"/>
      <c r="D2810" s="74"/>
      <c r="E2810" s="75"/>
      <c r="F2810" s="75"/>
      <c r="K2810" s="72"/>
      <c r="L2810" s="73"/>
      <c r="M2810" s="70"/>
      <c r="N2810" s="74"/>
      <c r="O2810" s="75"/>
      <c r="P2810" s="75"/>
      <c r="U2810" s="72"/>
      <c r="V2810" s="73"/>
      <c r="W2810" s="70"/>
      <c r="X2810" s="74"/>
      <c r="Y2810" s="75"/>
      <c r="Z2810" s="75"/>
    </row>
    <row r="2811" spans="1:26" x14ac:dyDescent="0.3">
      <c r="A2811" s="72"/>
      <c r="B2811" s="73"/>
      <c r="C2811" s="70"/>
      <c r="D2811" s="74"/>
      <c r="E2811" s="75"/>
      <c r="F2811" s="75"/>
      <c r="K2811" s="72"/>
      <c r="L2811" s="73"/>
      <c r="M2811" s="70"/>
      <c r="N2811" s="74"/>
      <c r="O2811" s="75"/>
      <c r="P2811" s="75"/>
      <c r="U2811" s="72"/>
      <c r="V2811" s="73"/>
      <c r="W2811" s="70"/>
      <c r="X2811" s="74"/>
      <c r="Y2811" s="75"/>
      <c r="Z2811" s="75"/>
    </row>
    <row r="2812" spans="1:26" x14ac:dyDescent="0.3">
      <c r="A2812" s="72"/>
      <c r="B2812" s="73"/>
      <c r="C2812" s="70"/>
      <c r="D2812" s="74"/>
      <c r="E2812" s="75"/>
      <c r="F2812" s="75"/>
      <c r="K2812" s="72"/>
      <c r="L2812" s="73"/>
      <c r="M2812" s="70"/>
      <c r="N2812" s="74"/>
      <c r="O2812" s="75"/>
      <c r="P2812" s="75"/>
      <c r="U2812" s="72"/>
      <c r="V2812" s="73"/>
      <c r="W2812" s="70"/>
      <c r="X2812" s="74"/>
      <c r="Y2812" s="75"/>
      <c r="Z2812" s="75"/>
    </row>
    <row r="2813" spans="1:26" x14ac:dyDescent="0.3">
      <c r="A2813" s="72"/>
      <c r="B2813" s="73"/>
      <c r="C2813" s="70"/>
      <c r="D2813" s="74"/>
      <c r="E2813" s="75"/>
      <c r="F2813" s="75"/>
      <c r="K2813" s="72"/>
      <c r="L2813" s="73"/>
      <c r="M2813" s="70"/>
      <c r="N2813" s="74"/>
      <c r="O2813" s="75"/>
      <c r="P2813" s="75"/>
      <c r="U2813" s="72"/>
      <c r="V2813" s="73"/>
      <c r="W2813" s="70"/>
      <c r="X2813" s="74"/>
      <c r="Y2813" s="75"/>
      <c r="Z2813" s="75"/>
    </row>
    <row r="2814" spans="1:26" x14ac:dyDescent="0.3">
      <c r="A2814" s="72"/>
      <c r="B2814" s="73"/>
      <c r="C2814" s="70"/>
      <c r="D2814" s="74"/>
      <c r="E2814" s="75"/>
      <c r="F2814" s="75"/>
      <c r="K2814" s="72"/>
      <c r="L2814" s="73"/>
      <c r="M2814" s="70"/>
      <c r="N2814" s="74"/>
      <c r="O2814" s="75"/>
      <c r="P2814" s="75"/>
      <c r="U2814" s="72"/>
      <c r="V2814" s="73"/>
      <c r="W2814" s="70"/>
      <c r="X2814" s="74"/>
      <c r="Y2814" s="75"/>
      <c r="Z2814" s="75"/>
    </row>
    <row r="2815" spans="1:26" x14ac:dyDescent="0.3">
      <c r="A2815" s="72"/>
      <c r="B2815" s="73"/>
      <c r="C2815" s="70"/>
      <c r="D2815" s="74"/>
      <c r="E2815" s="75"/>
      <c r="F2815" s="75"/>
      <c r="K2815" s="72"/>
      <c r="L2815" s="73"/>
      <c r="M2815" s="70"/>
      <c r="N2815" s="74"/>
      <c r="O2815" s="75"/>
      <c r="P2815" s="75"/>
      <c r="U2815" s="72"/>
      <c r="V2815" s="73"/>
      <c r="W2815" s="70"/>
      <c r="X2815" s="74"/>
      <c r="Y2815" s="75"/>
      <c r="Z2815" s="75"/>
    </row>
    <row r="2816" spans="1:26" x14ac:dyDescent="0.3">
      <c r="A2816" s="72"/>
      <c r="B2816" s="73"/>
      <c r="C2816" s="70"/>
      <c r="D2816" s="74"/>
      <c r="E2816" s="75"/>
      <c r="F2816" s="75"/>
      <c r="K2816" s="72"/>
      <c r="L2816" s="73"/>
      <c r="M2816" s="70"/>
      <c r="N2816" s="74"/>
      <c r="O2816" s="75"/>
      <c r="P2816" s="75"/>
      <c r="U2816" s="72"/>
      <c r="V2816" s="73"/>
      <c r="W2816" s="70"/>
      <c r="X2816" s="74"/>
      <c r="Y2816" s="75"/>
      <c r="Z2816" s="75"/>
    </row>
    <row r="2817" spans="1:26" x14ac:dyDescent="0.3">
      <c r="A2817" s="72"/>
      <c r="B2817" s="73"/>
      <c r="C2817" s="70"/>
      <c r="D2817" s="74"/>
      <c r="E2817" s="75"/>
      <c r="F2817" s="75"/>
      <c r="K2817" s="72"/>
      <c r="L2817" s="73"/>
      <c r="M2817" s="70"/>
      <c r="N2817" s="74"/>
      <c r="O2817" s="75"/>
      <c r="P2817" s="75"/>
      <c r="U2817" s="72"/>
      <c r="V2817" s="73"/>
      <c r="W2817" s="70"/>
      <c r="X2817" s="74"/>
      <c r="Y2817" s="75"/>
      <c r="Z2817" s="75"/>
    </row>
    <row r="2818" spans="1:26" x14ac:dyDescent="0.3">
      <c r="A2818" s="72"/>
      <c r="B2818" s="73"/>
      <c r="C2818" s="70"/>
      <c r="D2818" s="74"/>
      <c r="E2818" s="75"/>
      <c r="F2818" s="75"/>
      <c r="K2818" s="72"/>
      <c r="L2818" s="73"/>
      <c r="M2818" s="70"/>
      <c r="N2818" s="74"/>
      <c r="O2818" s="75"/>
      <c r="P2818" s="75"/>
      <c r="U2818" s="72"/>
      <c r="V2818" s="73"/>
      <c r="W2818" s="70"/>
      <c r="X2818" s="74"/>
      <c r="Y2818" s="75"/>
      <c r="Z2818" s="75"/>
    </row>
    <row r="2819" spans="1:26" x14ac:dyDescent="0.3">
      <c r="A2819" s="72"/>
      <c r="B2819" s="73"/>
      <c r="C2819" s="70"/>
      <c r="D2819" s="74"/>
      <c r="E2819" s="75"/>
      <c r="F2819" s="75"/>
      <c r="K2819" s="72"/>
      <c r="L2819" s="73"/>
      <c r="M2819" s="70"/>
      <c r="N2819" s="74"/>
      <c r="O2819" s="75"/>
      <c r="P2819" s="75"/>
      <c r="U2819" s="72"/>
      <c r="V2819" s="73"/>
      <c r="W2819" s="70"/>
      <c r="X2819" s="74"/>
      <c r="Y2819" s="75"/>
      <c r="Z2819" s="75"/>
    </row>
    <row r="2820" spans="1:26" x14ac:dyDescent="0.3">
      <c r="A2820" s="72"/>
      <c r="B2820" s="73"/>
      <c r="C2820" s="70"/>
      <c r="D2820" s="74"/>
      <c r="E2820" s="75"/>
      <c r="F2820" s="75"/>
      <c r="K2820" s="72"/>
      <c r="L2820" s="73"/>
      <c r="M2820" s="70"/>
      <c r="N2820" s="74"/>
      <c r="O2820" s="75"/>
      <c r="P2820" s="75"/>
      <c r="U2820" s="72"/>
      <c r="V2820" s="73"/>
      <c r="W2820" s="70"/>
      <c r="X2820" s="74"/>
      <c r="Y2820" s="75"/>
      <c r="Z2820" s="75"/>
    </row>
    <row r="2821" spans="1:26" x14ac:dyDescent="0.3">
      <c r="A2821" s="72"/>
      <c r="B2821" s="73"/>
      <c r="C2821" s="70"/>
      <c r="D2821" s="74"/>
      <c r="E2821" s="75"/>
      <c r="F2821" s="75"/>
      <c r="K2821" s="72"/>
      <c r="L2821" s="73"/>
      <c r="M2821" s="70"/>
      <c r="N2821" s="74"/>
      <c r="O2821" s="75"/>
      <c r="P2821" s="75"/>
      <c r="U2821" s="72"/>
      <c r="V2821" s="73"/>
      <c r="W2821" s="70"/>
      <c r="X2821" s="74"/>
      <c r="Y2821" s="75"/>
      <c r="Z2821" s="75"/>
    </row>
    <row r="2822" spans="1:26" x14ac:dyDescent="0.3">
      <c r="A2822" s="72"/>
      <c r="B2822" s="73"/>
      <c r="C2822" s="70"/>
      <c r="D2822" s="74"/>
      <c r="E2822" s="75"/>
      <c r="F2822" s="75"/>
      <c r="K2822" s="72"/>
      <c r="L2822" s="73"/>
      <c r="M2822" s="70"/>
      <c r="N2822" s="74"/>
      <c r="O2822" s="75"/>
      <c r="P2822" s="75"/>
      <c r="U2822" s="72"/>
      <c r="V2822" s="73"/>
      <c r="W2822" s="70"/>
      <c r="X2822" s="74"/>
      <c r="Y2822" s="75"/>
      <c r="Z2822" s="75"/>
    </row>
    <row r="2823" spans="1:26" x14ac:dyDescent="0.3">
      <c r="A2823" s="72"/>
      <c r="B2823" s="73"/>
      <c r="C2823" s="70"/>
      <c r="D2823" s="74"/>
      <c r="E2823" s="75"/>
      <c r="F2823" s="75"/>
      <c r="K2823" s="72"/>
      <c r="L2823" s="73"/>
      <c r="M2823" s="70"/>
      <c r="N2823" s="74"/>
      <c r="O2823" s="75"/>
      <c r="P2823" s="75"/>
      <c r="U2823" s="72"/>
      <c r="V2823" s="73"/>
      <c r="W2823" s="70"/>
      <c r="X2823" s="74"/>
      <c r="Y2823" s="75"/>
      <c r="Z2823" s="75"/>
    </row>
    <row r="2824" spans="1:26" x14ac:dyDescent="0.3">
      <c r="A2824" s="72"/>
      <c r="B2824" s="73"/>
      <c r="C2824" s="70"/>
      <c r="D2824" s="74"/>
      <c r="E2824" s="75"/>
      <c r="F2824" s="75"/>
      <c r="K2824" s="72"/>
      <c r="L2824" s="73"/>
      <c r="M2824" s="70"/>
      <c r="N2824" s="74"/>
      <c r="O2824" s="75"/>
      <c r="P2824" s="75"/>
      <c r="U2824" s="72"/>
      <c r="V2824" s="73"/>
      <c r="W2824" s="70"/>
      <c r="X2824" s="74"/>
      <c r="Y2824" s="75"/>
      <c r="Z2824" s="75"/>
    </row>
    <row r="2825" spans="1:26" x14ac:dyDescent="0.3">
      <c r="A2825" s="72"/>
      <c r="B2825" s="73"/>
      <c r="C2825" s="70"/>
      <c r="D2825" s="74"/>
      <c r="E2825" s="75"/>
      <c r="F2825" s="75"/>
      <c r="K2825" s="72"/>
      <c r="L2825" s="73"/>
      <c r="M2825" s="70"/>
      <c r="N2825" s="74"/>
      <c r="O2825" s="75"/>
      <c r="P2825" s="75"/>
      <c r="U2825" s="72"/>
      <c r="V2825" s="73"/>
      <c r="W2825" s="70"/>
      <c r="X2825" s="74"/>
      <c r="Y2825" s="75"/>
      <c r="Z2825" s="75"/>
    </row>
    <row r="2826" spans="1:26" x14ac:dyDescent="0.3">
      <c r="A2826" s="72"/>
      <c r="B2826" s="73"/>
      <c r="C2826" s="70"/>
      <c r="D2826" s="74"/>
      <c r="E2826" s="75"/>
      <c r="F2826" s="75"/>
      <c r="K2826" s="72"/>
      <c r="L2826" s="73"/>
      <c r="M2826" s="70"/>
      <c r="N2826" s="74"/>
      <c r="O2826" s="75"/>
      <c r="P2826" s="75"/>
      <c r="U2826" s="72"/>
      <c r="V2826" s="73"/>
      <c r="W2826" s="70"/>
      <c r="X2826" s="74"/>
      <c r="Y2826" s="75"/>
      <c r="Z2826" s="75"/>
    </row>
    <row r="2827" spans="1:26" x14ac:dyDescent="0.3">
      <c r="A2827" s="72"/>
      <c r="B2827" s="73"/>
      <c r="C2827" s="70"/>
      <c r="D2827" s="74"/>
      <c r="E2827" s="75"/>
      <c r="F2827" s="75"/>
      <c r="K2827" s="72"/>
      <c r="L2827" s="73"/>
      <c r="M2827" s="70"/>
      <c r="N2827" s="74"/>
      <c r="O2827" s="75"/>
      <c r="P2827" s="75"/>
      <c r="U2827" s="72"/>
      <c r="V2827" s="73"/>
      <c r="W2827" s="70"/>
      <c r="X2827" s="74"/>
      <c r="Y2827" s="75"/>
      <c r="Z2827" s="75"/>
    </row>
    <row r="2828" spans="1:26" x14ac:dyDescent="0.3">
      <c r="A2828" s="72"/>
      <c r="B2828" s="73"/>
      <c r="C2828" s="70"/>
      <c r="D2828" s="74"/>
      <c r="E2828" s="75"/>
      <c r="F2828" s="75"/>
      <c r="K2828" s="72"/>
      <c r="L2828" s="73"/>
      <c r="M2828" s="70"/>
      <c r="N2828" s="74"/>
      <c r="O2828" s="75"/>
      <c r="P2828" s="75"/>
      <c r="U2828" s="72"/>
      <c r="V2828" s="73"/>
      <c r="W2828" s="70"/>
      <c r="X2828" s="74"/>
      <c r="Y2828" s="75"/>
      <c r="Z2828" s="75"/>
    </row>
    <row r="2829" spans="1:26" x14ac:dyDescent="0.3">
      <c r="A2829" s="72"/>
      <c r="B2829" s="73"/>
      <c r="C2829" s="70"/>
      <c r="D2829" s="74"/>
      <c r="E2829" s="75"/>
      <c r="F2829" s="75"/>
      <c r="K2829" s="72"/>
      <c r="L2829" s="73"/>
      <c r="M2829" s="70"/>
      <c r="N2829" s="74"/>
      <c r="O2829" s="75"/>
      <c r="P2829" s="75"/>
      <c r="U2829" s="72"/>
      <c r="V2829" s="73"/>
      <c r="W2829" s="70"/>
      <c r="X2829" s="74"/>
      <c r="Y2829" s="75"/>
      <c r="Z2829" s="75"/>
    </row>
    <row r="2830" spans="1:26" x14ac:dyDescent="0.3">
      <c r="A2830" s="72"/>
      <c r="B2830" s="73"/>
      <c r="C2830" s="70"/>
      <c r="D2830" s="74"/>
      <c r="E2830" s="75"/>
      <c r="F2830" s="75"/>
      <c r="K2830" s="72"/>
      <c r="L2830" s="73"/>
      <c r="M2830" s="70"/>
      <c r="N2830" s="74"/>
      <c r="O2830" s="75"/>
      <c r="P2830" s="75"/>
      <c r="U2830" s="72"/>
      <c r="V2830" s="73"/>
      <c r="W2830" s="70"/>
      <c r="X2830" s="74"/>
      <c r="Y2830" s="75"/>
      <c r="Z2830" s="75"/>
    </row>
    <row r="2831" spans="1:26" x14ac:dyDescent="0.3">
      <c r="A2831" s="72"/>
      <c r="B2831" s="73"/>
      <c r="C2831" s="70"/>
      <c r="D2831" s="74"/>
      <c r="E2831" s="75"/>
      <c r="F2831" s="75"/>
      <c r="K2831" s="72"/>
      <c r="L2831" s="73"/>
      <c r="M2831" s="70"/>
      <c r="N2831" s="74"/>
      <c r="O2831" s="75"/>
      <c r="P2831" s="75"/>
      <c r="U2831" s="72"/>
      <c r="V2831" s="73"/>
      <c r="W2831" s="70"/>
      <c r="X2831" s="74"/>
      <c r="Y2831" s="75"/>
      <c r="Z2831" s="75"/>
    </row>
    <row r="2832" spans="1:26" x14ac:dyDescent="0.3">
      <c r="A2832" s="72"/>
      <c r="B2832" s="73"/>
      <c r="C2832" s="70"/>
      <c r="D2832" s="74"/>
      <c r="E2832" s="75"/>
      <c r="F2832" s="75"/>
      <c r="K2832" s="72"/>
      <c r="L2832" s="73"/>
      <c r="M2832" s="70"/>
      <c r="N2832" s="74"/>
      <c r="O2832" s="75"/>
      <c r="P2832" s="75"/>
      <c r="U2832" s="72"/>
      <c r="V2832" s="73"/>
      <c r="W2832" s="70"/>
      <c r="X2832" s="74"/>
      <c r="Y2832" s="75"/>
      <c r="Z2832" s="75"/>
    </row>
    <row r="2833" spans="1:26" x14ac:dyDescent="0.3">
      <c r="A2833" s="72"/>
      <c r="B2833" s="73"/>
      <c r="C2833" s="70"/>
      <c r="D2833" s="74"/>
      <c r="E2833" s="75"/>
      <c r="F2833" s="75"/>
      <c r="K2833" s="72"/>
      <c r="L2833" s="73"/>
      <c r="M2833" s="70"/>
      <c r="N2833" s="74"/>
      <c r="O2833" s="75"/>
      <c r="P2833" s="75"/>
      <c r="U2833" s="72"/>
      <c r="V2833" s="73"/>
      <c r="W2833" s="70"/>
      <c r="X2833" s="74"/>
      <c r="Y2833" s="75"/>
      <c r="Z2833" s="75"/>
    </row>
    <row r="2834" spans="1:26" x14ac:dyDescent="0.3">
      <c r="A2834" s="72"/>
      <c r="B2834" s="73"/>
      <c r="C2834" s="70"/>
      <c r="D2834" s="74"/>
      <c r="E2834" s="75"/>
      <c r="F2834" s="75"/>
      <c r="K2834" s="72"/>
      <c r="L2834" s="73"/>
      <c r="M2834" s="70"/>
      <c r="N2834" s="74"/>
      <c r="O2834" s="75"/>
      <c r="P2834" s="75"/>
      <c r="U2834" s="72"/>
      <c r="V2834" s="73"/>
      <c r="W2834" s="70"/>
      <c r="X2834" s="74"/>
      <c r="Y2834" s="75"/>
      <c r="Z2834" s="75"/>
    </row>
    <row r="2835" spans="1:26" x14ac:dyDescent="0.3">
      <c r="A2835" s="72"/>
      <c r="B2835" s="73"/>
      <c r="C2835" s="70"/>
      <c r="D2835" s="74"/>
      <c r="E2835" s="75"/>
      <c r="F2835" s="75"/>
      <c r="K2835" s="72"/>
      <c r="L2835" s="73"/>
      <c r="M2835" s="70"/>
      <c r="N2835" s="74"/>
      <c r="O2835" s="75"/>
      <c r="P2835" s="75"/>
      <c r="U2835" s="72"/>
      <c r="V2835" s="73"/>
      <c r="W2835" s="70"/>
      <c r="X2835" s="74"/>
      <c r="Y2835" s="75"/>
      <c r="Z2835" s="75"/>
    </row>
    <row r="2836" spans="1:26" x14ac:dyDescent="0.3">
      <c r="A2836" s="72"/>
      <c r="B2836" s="73"/>
      <c r="C2836" s="70"/>
      <c r="D2836" s="74"/>
      <c r="E2836" s="75"/>
      <c r="F2836" s="75"/>
      <c r="K2836" s="72"/>
      <c r="L2836" s="73"/>
      <c r="M2836" s="70"/>
      <c r="N2836" s="74"/>
      <c r="O2836" s="75"/>
      <c r="P2836" s="75"/>
      <c r="U2836" s="72"/>
      <c r="V2836" s="73"/>
      <c r="W2836" s="70"/>
      <c r="X2836" s="74"/>
      <c r="Y2836" s="75"/>
      <c r="Z2836" s="75"/>
    </row>
    <row r="2837" spans="1:26" x14ac:dyDescent="0.3">
      <c r="A2837" s="72"/>
      <c r="B2837" s="73"/>
      <c r="C2837" s="70"/>
      <c r="D2837" s="74"/>
      <c r="E2837" s="75"/>
      <c r="F2837" s="75"/>
      <c r="K2837" s="72"/>
      <c r="L2837" s="73"/>
      <c r="M2837" s="70"/>
      <c r="N2837" s="74"/>
      <c r="O2837" s="75"/>
      <c r="P2837" s="75"/>
      <c r="U2837" s="72"/>
      <c r="V2837" s="73"/>
      <c r="W2837" s="70"/>
      <c r="X2837" s="74"/>
      <c r="Y2837" s="75"/>
      <c r="Z2837" s="75"/>
    </row>
    <row r="2838" spans="1:26" x14ac:dyDescent="0.3">
      <c r="A2838" s="72"/>
      <c r="B2838" s="73"/>
      <c r="C2838" s="70"/>
      <c r="D2838" s="74"/>
      <c r="E2838" s="75"/>
      <c r="F2838" s="75"/>
      <c r="K2838" s="72"/>
      <c r="L2838" s="73"/>
      <c r="M2838" s="70"/>
      <c r="N2838" s="74"/>
      <c r="O2838" s="75"/>
      <c r="P2838" s="75"/>
      <c r="U2838" s="72"/>
      <c r="V2838" s="73"/>
      <c r="W2838" s="70"/>
      <c r="X2838" s="74"/>
      <c r="Y2838" s="75"/>
      <c r="Z2838" s="75"/>
    </row>
    <row r="2839" spans="1:26" x14ac:dyDescent="0.3">
      <c r="A2839" s="72"/>
      <c r="B2839" s="73"/>
      <c r="C2839" s="70"/>
      <c r="D2839" s="74"/>
      <c r="E2839" s="75"/>
      <c r="F2839" s="75"/>
      <c r="K2839" s="72"/>
      <c r="L2839" s="73"/>
      <c r="M2839" s="70"/>
      <c r="N2839" s="74"/>
      <c r="O2839" s="75"/>
      <c r="P2839" s="75"/>
      <c r="U2839" s="72"/>
      <c r="V2839" s="73"/>
      <c r="W2839" s="70"/>
      <c r="X2839" s="74"/>
      <c r="Y2839" s="75"/>
      <c r="Z2839" s="75"/>
    </row>
    <row r="2840" spans="1:26" x14ac:dyDescent="0.3">
      <c r="A2840" s="72"/>
      <c r="B2840" s="73"/>
      <c r="C2840" s="70"/>
      <c r="D2840" s="74"/>
      <c r="E2840" s="75"/>
      <c r="F2840" s="75"/>
      <c r="K2840" s="72"/>
      <c r="L2840" s="73"/>
      <c r="M2840" s="70"/>
      <c r="N2840" s="74"/>
      <c r="O2840" s="75"/>
      <c r="P2840" s="75"/>
      <c r="U2840" s="72"/>
      <c r="V2840" s="73"/>
      <c r="W2840" s="70"/>
      <c r="X2840" s="74"/>
      <c r="Y2840" s="75"/>
      <c r="Z2840" s="75"/>
    </row>
    <row r="2841" spans="1:26" x14ac:dyDescent="0.3">
      <c r="A2841" s="72"/>
      <c r="B2841" s="73"/>
      <c r="C2841" s="70"/>
      <c r="D2841" s="74"/>
      <c r="E2841" s="75"/>
      <c r="F2841" s="75"/>
      <c r="K2841" s="72"/>
      <c r="L2841" s="73"/>
      <c r="M2841" s="70"/>
      <c r="N2841" s="74"/>
      <c r="O2841" s="75"/>
      <c r="P2841" s="75"/>
      <c r="U2841" s="72"/>
      <c r="V2841" s="73"/>
      <c r="W2841" s="70"/>
      <c r="X2841" s="74"/>
      <c r="Y2841" s="75"/>
      <c r="Z2841" s="75"/>
    </row>
    <row r="2842" spans="1:26" x14ac:dyDescent="0.3">
      <c r="A2842" s="72"/>
      <c r="B2842" s="73"/>
      <c r="C2842" s="70"/>
      <c r="D2842" s="74"/>
      <c r="E2842" s="75"/>
      <c r="F2842" s="75"/>
      <c r="K2842" s="72"/>
      <c r="L2842" s="73"/>
      <c r="M2842" s="70"/>
      <c r="N2842" s="74"/>
      <c r="O2842" s="75"/>
      <c r="P2842" s="75"/>
      <c r="U2842" s="72"/>
      <c r="V2842" s="73"/>
      <c r="W2842" s="70"/>
      <c r="X2842" s="74"/>
      <c r="Y2842" s="75"/>
      <c r="Z2842" s="75"/>
    </row>
    <row r="2843" spans="1:26" x14ac:dyDescent="0.3">
      <c r="A2843" s="72"/>
      <c r="B2843" s="73"/>
      <c r="C2843" s="70"/>
      <c r="D2843" s="74"/>
      <c r="E2843" s="75"/>
      <c r="F2843" s="75"/>
      <c r="K2843" s="72"/>
      <c r="L2843" s="73"/>
      <c r="M2843" s="70"/>
      <c r="N2843" s="74"/>
      <c r="O2843" s="75"/>
      <c r="P2843" s="75"/>
      <c r="U2843" s="72"/>
      <c r="V2843" s="73"/>
      <c r="W2843" s="70"/>
      <c r="X2843" s="74"/>
      <c r="Y2843" s="75"/>
      <c r="Z2843" s="75"/>
    </row>
    <row r="2844" spans="1:26" x14ac:dyDescent="0.3">
      <c r="A2844" s="72"/>
      <c r="B2844" s="73"/>
      <c r="C2844" s="70"/>
      <c r="D2844" s="74"/>
      <c r="E2844" s="75"/>
      <c r="F2844" s="75"/>
      <c r="K2844" s="72"/>
      <c r="L2844" s="73"/>
      <c r="M2844" s="70"/>
      <c r="N2844" s="74"/>
      <c r="O2844" s="75"/>
      <c r="P2844" s="75"/>
      <c r="U2844" s="72"/>
      <c r="V2844" s="73"/>
      <c r="W2844" s="70"/>
      <c r="X2844" s="74"/>
      <c r="Y2844" s="75"/>
      <c r="Z2844" s="75"/>
    </row>
    <row r="2845" spans="1:26" x14ac:dyDescent="0.3">
      <c r="A2845" s="72"/>
      <c r="B2845" s="73"/>
      <c r="C2845" s="70"/>
      <c r="D2845" s="74"/>
      <c r="E2845" s="75"/>
      <c r="F2845" s="75"/>
      <c r="K2845" s="72"/>
      <c r="L2845" s="73"/>
      <c r="M2845" s="70"/>
      <c r="N2845" s="74"/>
      <c r="O2845" s="75"/>
      <c r="P2845" s="75"/>
      <c r="U2845" s="72"/>
      <c r="V2845" s="73"/>
      <c r="W2845" s="70"/>
      <c r="X2845" s="74"/>
      <c r="Y2845" s="75"/>
      <c r="Z2845" s="75"/>
    </row>
    <row r="2846" spans="1:26" x14ac:dyDescent="0.3">
      <c r="A2846" s="72"/>
      <c r="B2846" s="73"/>
      <c r="C2846" s="70"/>
      <c r="D2846" s="74"/>
      <c r="E2846" s="75"/>
      <c r="F2846" s="75"/>
      <c r="K2846" s="72"/>
      <c r="L2846" s="73"/>
      <c r="M2846" s="70"/>
      <c r="N2846" s="74"/>
      <c r="O2846" s="75"/>
      <c r="P2846" s="75"/>
      <c r="U2846" s="72"/>
      <c r="V2846" s="73"/>
      <c r="W2846" s="70"/>
      <c r="X2846" s="74"/>
      <c r="Y2846" s="75"/>
      <c r="Z2846" s="75"/>
    </row>
    <row r="2847" spans="1:26" x14ac:dyDescent="0.3">
      <c r="A2847" s="72"/>
      <c r="B2847" s="73"/>
      <c r="C2847" s="70"/>
      <c r="D2847" s="74"/>
      <c r="E2847" s="75"/>
      <c r="F2847" s="75"/>
      <c r="K2847" s="72"/>
      <c r="L2847" s="73"/>
      <c r="M2847" s="70"/>
      <c r="N2847" s="74"/>
      <c r="O2847" s="75"/>
      <c r="P2847" s="75"/>
      <c r="U2847" s="72"/>
      <c r="V2847" s="73"/>
      <c r="W2847" s="70"/>
      <c r="X2847" s="74"/>
      <c r="Y2847" s="75"/>
      <c r="Z2847" s="75"/>
    </row>
    <row r="2848" spans="1:26" x14ac:dyDescent="0.3">
      <c r="A2848" s="72"/>
      <c r="B2848" s="73"/>
      <c r="C2848" s="70"/>
      <c r="D2848" s="74"/>
      <c r="E2848" s="75"/>
      <c r="F2848" s="75"/>
      <c r="K2848" s="72"/>
      <c r="L2848" s="73"/>
      <c r="M2848" s="70"/>
      <c r="N2848" s="74"/>
      <c r="O2848" s="75"/>
      <c r="P2848" s="75"/>
      <c r="U2848" s="72"/>
      <c r="V2848" s="73"/>
      <c r="W2848" s="70"/>
      <c r="X2848" s="74"/>
      <c r="Y2848" s="75"/>
      <c r="Z2848" s="75"/>
    </row>
    <row r="2849" spans="1:26" x14ac:dyDescent="0.3">
      <c r="A2849" s="72"/>
      <c r="B2849" s="73"/>
      <c r="C2849" s="70"/>
      <c r="D2849" s="74"/>
      <c r="E2849" s="75"/>
      <c r="F2849" s="75"/>
      <c r="K2849" s="72"/>
      <c r="L2849" s="73"/>
      <c r="M2849" s="70"/>
      <c r="N2849" s="74"/>
      <c r="O2849" s="75"/>
      <c r="P2849" s="75"/>
      <c r="U2849" s="72"/>
      <c r="V2849" s="73"/>
      <c r="W2849" s="70"/>
      <c r="X2849" s="74"/>
      <c r="Y2849" s="75"/>
      <c r="Z2849" s="75"/>
    </row>
    <row r="2850" spans="1:26" x14ac:dyDescent="0.3">
      <c r="A2850" s="72"/>
      <c r="B2850" s="73"/>
      <c r="C2850" s="70"/>
      <c r="D2850" s="74"/>
      <c r="E2850" s="75"/>
      <c r="F2850" s="75"/>
      <c r="K2850" s="72"/>
      <c r="L2850" s="73"/>
      <c r="M2850" s="70"/>
      <c r="N2850" s="74"/>
      <c r="O2850" s="75"/>
      <c r="P2850" s="75"/>
      <c r="U2850" s="72"/>
      <c r="V2850" s="73"/>
      <c r="W2850" s="70"/>
      <c r="X2850" s="74"/>
      <c r="Y2850" s="75"/>
      <c r="Z2850" s="75"/>
    </row>
    <row r="2851" spans="1:26" x14ac:dyDescent="0.3">
      <c r="A2851" s="72"/>
      <c r="B2851" s="73"/>
      <c r="C2851" s="70"/>
      <c r="D2851" s="74"/>
      <c r="E2851" s="75"/>
      <c r="F2851" s="75"/>
      <c r="K2851" s="72"/>
      <c r="L2851" s="73"/>
      <c r="M2851" s="70"/>
      <c r="N2851" s="74"/>
      <c r="O2851" s="75"/>
      <c r="P2851" s="75"/>
      <c r="U2851" s="72"/>
      <c r="V2851" s="73"/>
      <c r="W2851" s="70"/>
      <c r="X2851" s="74"/>
      <c r="Y2851" s="75"/>
      <c r="Z2851" s="75"/>
    </row>
    <row r="2852" spans="1:26" x14ac:dyDescent="0.3">
      <c r="A2852" s="72"/>
      <c r="B2852" s="73"/>
      <c r="C2852" s="70"/>
      <c r="D2852" s="74"/>
      <c r="E2852" s="75"/>
      <c r="F2852" s="75"/>
      <c r="K2852" s="72"/>
      <c r="L2852" s="73"/>
      <c r="M2852" s="70"/>
      <c r="N2852" s="74"/>
      <c r="O2852" s="75"/>
      <c r="P2852" s="75"/>
      <c r="U2852" s="72"/>
      <c r="V2852" s="73"/>
      <c r="W2852" s="70"/>
      <c r="X2852" s="74"/>
      <c r="Y2852" s="75"/>
      <c r="Z2852" s="75"/>
    </row>
    <row r="2853" spans="1:26" x14ac:dyDescent="0.3">
      <c r="A2853" s="72"/>
      <c r="B2853" s="73"/>
      <c r="C2853" s="70"/>
      <c r="D2853" s="74"/>
      <c r="E2853" s="75"/>
      <c r="F2853" s="75"/>
      <c r="K2853" s="72"/>
      <c r="L2853" s="73"/>
      <c r="M2853" s="70"/>
      <c r="N2853" s="74"/>
      <c r="O2853" s="75"/>
      <c r="P2853" s="75"/>
      <c r="U2853" s="72"/>
      <c r="V2853" s="73"/>
      <c r="W2853" s="70"/>
      <c r="X2853" s="74"/>
      <c r="Y2853" s="75"/>
      <c r="Z2853" s="75"/>
    </row>
    <row r="2854" spans="1:26" x14ac:dyDescent="0.3">
      <c r="A2854" s="72"/>
      <c r="B2854" s="73"/>
      <c r="C2854" s="70"/>
      <c r="D2854" s="74"/>
      <c r="E2854" s="75"/>
      <c r="F2854" s="75"/>
      <c r="K2854" s="72"/>
      <c r="L2854" s="73"/>
      <c r="M2854" s="70"/>
      <c r="N2854" s="74"/>
      <c r="O2854" s="75"/>
      <c r="P2854" s="75"/>
      <c r="U2854" s="72"/>
      <c r="V2854" s="73"/>
      <c r="W2854" s="70"/>
      <c r="X2854" s="74"/>
      <c r="Y2854" s="75"/>
      <c r="Z2854" s="75"/>
    </row>
    <row r="2855" spans="1:26" x14ac:dyDescent="0.3">
      <c r="A2855" s="72"/>
      <c r="B2855" s="73"/>
      <c r="C2855" s="70"/>
      <c r="D2855" s="74"/>
      <c r="E2855" s="75"/>
      <c r="F2855" s="75"/>
      <c r="K2855" s="72"/>
      <c r="L2855" s="73"/>
      <c r="M2855" s="70"/>
      <c r="N2855" s="74"/>
      <c r="O2855" s="75"/>
      <c r="P2855" s="75"/>
      <c r="U2855" s="72"/>
      <c r="V2855" s="73"/>
      <c r="W2855" s="70"/>
      <c r="X2855" s="74"/>
      <c r="Y2855" s="75"/>
      <c r="Z2855" s="75"/>
    </row>
    <row r="2856" spans="1:26" x14ac:dyDescent="0.3">
      <c r="A2856" s="72"/>
      <c r="B2856" s="73"/>
      <c r="C2856" s="70"/>
      <c r="D2856" s="74"/>
      <c r="E2856" s="75"/>
      <c r="F2856" s="75"/>
      <c r="K2856" s="72"/>
      <c r="L2856" s="73"/>
      <c r="M2856" s="70"/>
      <c r="N2856" s="74"/>
      <c r="O2856" s="75"/>
      <c r="P2856" s="75"/>
      <c r="U2856" s="72"/>
      <c r="V2856" s="73"/>
      <c r="W2856" s="70"/>
      <c r="X2856" s="74"/>
      <c r="Y2856" s="75"/>
      <c r="Z2856" s="75"/>
    </row>
    <row r="2857" spans="1:26" x14ac:dyDescent="0.3">
      <c r="A2857" s="72"/>
      <c r="B2857" s="73"/>
      <c r="C2857" s="70"/>
      <c r="D2857" s="74"/>
      <c r="E2857" s="75"/>
      <c r="F2857" s="75"/>
      <c r="K2857" s="72"/>
      <c r="L2857" s="73"/>
      <c r="M2857" s="70"/>
      <c r="N2857" s="74"/>
      <c r="O2857" s="75"/>
      <c r="P2857" s="75"/>
      <c r="U2857" s="72"/>
      <c r="V2857" s="73"/>
      <c r="W2857" s="70"/>
      <c r="X2857" s="74"/>
      <c r="Y2857" s="75"/>
      <c r="Z2857" s="75"/>
    </row>
    <row r="2858" spans="1:26" x14ac:dyDescent="0.3">
      <c r="A2858" s="72"/>
      <c r="B2858" s="73"/>
      <c r="C2858" s="70"/>
      <c r="D2858" s="74"/>
      <c r="E2858" s="75"/>
      <c r="F2858" s="75"/>
      <c r="K2858" s="72"/>
      <c r="L2858" s="73"/>
      <c r="M2858" s="70"/>
      <c r="N2858" s="74"/>
      <c r="O2858" s="75"/>
      <c r="P2858" s="75"/>
      <c r="U2858" s="72"/>
      <c r="V2858" s="73"/>
      <c r="W2858" s="70"/>
      <c r="X2858" s="74"/>
      <c r="Y2858" s="75"/>
      <c r="Z2858" s="75"/>
    </row>
    <row r="2859" spans="1:26" x14ac:dyDescent="0.3">
      <c r="A2859" s="72"/>
      <c r="B2859" s="73"/>
      <c r="C2859" s="70"/>
      <c r="D2859" s="74"/>
      <c r="E2859" s="75"/>
      <c r="F2859" s="75"/>
      <c r="K2859" s="72"/>
      <c r="L2859" s="73"/>
      <c r="M2859" s="70"/>
      <c r="N2859" s="74"/>
      <c r="O2859" s="75"/>
      <c r="P2859" s="75"/>
      <c r="U2859" s="72"/>
      <c r="V2859" s="73"/>
      <c r="W2859" s="70"/>
      <c r="X2859" s="74"/>
      <c r="Y2859" s="75"/>
      <c r="Z2859" s="75"/>
    </row>
    <row r="2860" spans="1:26" x14ac:dyDescent="0.3">
      <c r="A2860" s="72"/>
      <c r="B2860" s="73"/>
      <c r="C2860" s="70"/>
      <c r="D2860" s="74"/>
      <c r="E2860" s="75"/>
      <c r="F2860" s="75"/>
      <c r="K2860" s="72"/>
      <c r="L2860" s="73"/>
      <c r="M2860" s="70"/>
      <c r="N2860" s="74"/>
      <c r="O2860" s="75"/>
      <c r="P2860" s="75"/>
      <c r="U2860" s="72"/>
      <c r="V2860" s="73"/>
      <c r="W2860" s="70"/>
      <c r="X2860" s="74"/>
      <c r="Y2860" s="75"/>
      <c r="Z2860" s="75"/>
    </row>
    <row r="2861" spans="1:26" x14ac:dyDescent="0.3">
      <c r="A2861" s="72"/>
      <c r="B2861" s="73"/>
      <c r="C2861" s="70"/>
      <c r="D2861" s="74"/>
      <c r="E2861" s="75"/>
      <c r="F2861" s="75"/>
      <c r="K2861" s="72"/>
      <c r="L2861" s="73"/>
      <c r="M2861" s="70"/>
      <c r="N2861" s="74"/>
      <c r="O2861" s="75"/>
      <c r="P2861" s="75"/>
      <c r="U2861" s="72"/>
      <c r="V2861" s="73"/>
      <c r="W2861" s="70"/>
      <c r="X2861" s="74"/>
      <c r="Y2861" s="75"/>
      <c r="Z2861" s="75"/>
    </row>
    <row r="2862" spans="1:26" x14ac:dyDescent="0.3">
      <c r="A2862" s="72"/>
      <c r="B2862" s="73"/>
      <c r="C2862" s="70"/>
      <c r="D2862" s="74"/>
      <c r="E2862" s="75"/>
      <c r="F2862" s="75"/>
      <c r="K2862" s="72"/>
      <c r="L2862" s="73"/>
      <c r="M2862" s="70"/>
      <c r="N2862" s="74"/>
      <c r="O2862" s="75"/>
      <c r="P2862" s="75"/>
      <c r="U2862" s="72"/>
      <c r="V2862" s="73"/>
      <c r="W2862" s="70"/>
      <c r="X2862" s="74"/>
      <c r="Y2862" s="75"/>
      <c r="Z2862" s="75"/>
    </row>
    <row r="2863" spans="1:26" x14ac:dyDescent="0.3">
      <c r="A2863" s="72"/>
      <c r="B2863" s="73"/>
      <c r="C2863" s="70"/>
      <c r="D2863" s="74"/>
      <c r="E2863" s="75"/>
      <c r="F2863" s="75"/>
      <c r="K2863" s="72"/>
      <c r="L2863" s="73"/>
      <c r="M2863" s="70"/>
      <c r="N2863" s="74"/>
      <c r="O2863" s="75"/>
      <c r="P2863" s="75"/>
      <c r="U2863" s="72"/>
      <c r="V2863" s="73"/>
      <c r="W2863" s="70"/>
      <c r="X2863" s="74"/>
      <c r="Y2863" s="75"/>
      <c r="Z2863" s="75"/>
    </row>
    <row r="2864" spans="1:26" x14ac:dyDescent="0.3">
      <c r="A2864" s="72"/>
      <c r="B2864" s="73"/>
      <c r="C2864" s="70"/>
      <c r="D2864" s="74"/>
      <c r="E2864" s="75"/>
      <c r="F2864" s="75"/>
      <c r="K2864" s="72"/>
      <c r="L2864" s="73"/>
      <c r="M2864" s="70"/>
      <c r="N2864" s="74"/>
      <c r="O2864" s="75"/>
      <c r="P2864" s="75"/>
      <c r="U2864" s="72"/>
      <c r="V2864" s="73"/>
      <c r="W2864" s="70"/>
      <c r="X2864" s="74"/>
      <c r="Y2864" s="75"/>
      <c r="Z2864" s="75"/>
    </row>
    <row r="2865" spans="1:26" x14ac:dyDescent="0.3">
      <c r="A2865" s="72"/>
      <c r="B2865" s="73"/>
      <c r="C2865" s="70"/>
      <c r="D2865" s="74"/>
      <c r="E2865" s="75"/>
      <c r="F2865" s="75"/>
      <c r="K2865" s="72"/>
      <c r="L2865" s="73"/>
      <c r="M2865" s="70"/>
      <c r="N2865" s="74"/>
      <c r="O2865" s="75"/>
      <c r="P2865" s="75"/>
      <c r="U2865" s="72"/>
      <c r="V2865" s="73"/>
      <c r="W2865" s="70"/>
      <c r="X2865" s="74"/>
      <c r="Y2865" s="75"/>
      <c r="Z2865" s="75"/>
    </row>
    <row r="2866" spans="1:26" x14ac:dyDescent="0.3">
      <c r="A2866" s="72"/>
      <c r="B2866" s="73"/>
      <c r="C2866" s="70"/>
      <c r="D2866" s="74"/>
      <c r="E2866" s="75"/>
      <c r="F2866" s="75"/>
      <c r="K2866" s="72"/>
      <c r="L2866" s="73"/>
      <c r="M2866" s="70"/>
      <c r="N2866" s="74"/>
      <c r="O2866" s="75"/>
      <c r="P2866" s="75"/>
      <c r="U2866" s="72"/>
      <c r="V2866" s="73"/>
      <c r="W2866" s="70"/>
      <c r="X2866" s="74"/>
      <c r="Y2866" s="75"/>
      <c r="Z2866" s="75"/>
    </row>
    <row r="2867" spans="1:26" x14ac:dyDescent="0.3">
      <c r="A2867" s="72"/>
      <c r="B2867" s="73"/>
      <c r="C2867" s="70"/>
      <c r="D2867" s="74"/>
      <c r="E2867" s="75"/>
      <c r="F2867" s="75"/>
      <c r="K2867" s="72"/>
      <c r="L2867" s="73"/>
      <c r="M2867" s="70"/>
      <c r="N2867" s="74"/>
      <c r="O2867" s="75"/>
      <c r="P2867" s="75"/>
      <c r="U2867" s="72"/>
      <c r="V2867" s="73"/>
      <c r="W2867" s="70"/>
      <c r="X2867" s="74"/>
      <c r="Y2867" s="75"/>
      <c r="Z2867" s="75"/>
    </row>
    <row r="2868" spans="1:26" x14ac:dyDescent="0.3">
      <c r="A2868" s="72"/>
      <c r="B2868" s="73"/>
      <c r="C2868" s="70"/>
      <c r="D2868" s="74"/>
      <c r="E2868" s="75"/>
      <c r="F2868" s="75"/>
      <c r="K2868" s="72"/>
      <c r="L2868" s="73"/>
      <c r="M2868" s="70"/>
      <c r="N2868" s="74"/>
      <c r="O2868" s="75"/>
      <c r="P2868" s="75"/>
      <c r="U2868" s="72"/>
      <c r="V2868" s="73"/>
      <c r="W2868" s="70"/>
      <c r="X2868" s="74"/>
      <c r="Y2868" s="75"/>
      <c r="Z2868" s="75"/>
    </row>
    <row r="2869" spans="1:26" x14ac:dyDescent="0.3">
      <c r="A2869" s="72"/>
      <c r="B2869" s="73"/>
      <c r="C2869" s="70"/>
      <c r="D2869" s="74"/>
      <c r="E2869" s="75"/>
      <c r="F2869" s="75"/>
      <c r="K2869" s="72"/>
      <c r="L2869" s="73"/>
      <c r="M2869" s="70"/>
      <c r="N2869" s="74"/>
      <c r="O2869" s="75"/>
      <c r="P2869" s="75"/>
      <c r="U2869" s="72"/>
      <c r="V2869" s="73"/>
      <c r="W2869" s="70"/>
      <c r="X2869" s="74"/>
      <c r="Y2869" s="75"/>
      <c r="Z2869" s="75"/>
    </row>
    <row r="2870" spans="1:26" x14ac:dyDescent="0.3">
      <c r="A2870" s="72"/>
      <c r="B2870" s="73"/>
      <c r="C2870" s="70"/>
      <c r="D2870" s="74"/>
      <c r="E2870" s="75"/>
      <c r="F2870" s="75"/>
      <c r="K2870" s="72"/>
      <c r="L2870" s="73"/>
      <c r="M2870" s="70"/>
      <c r="N2870" s="74"/>
      <c r="O2870" s="75"/>
      <c r="P2870" s="75"/>
      <c r="U2870" s="72"/>
      <c r="V2870" s="73"/>
      <c r="W2870" s="70"/>
      <c r="X2870" s="74"/>
      <c r="Y2870" s="75"/>
      <c r="Z2870" s="75"/>
    </row>
    <row r="2871" spans="1:26" x14ac:dyDescent="0.3">
      <c r="A2871" s="72"/>
      <c r="B2871" s="73"/>
      <c r="C2871" s="70"/>
      <c r="D2871" s="74"/>
      <c r="E2871" s="75"/>
      <c r="F2871" s="75"/>
      <c r="K2871" s="72"/>
      <c r="L2871" s="73"/>
      <c r="M2871" s="70"/>
      <c r="N2871" s="74"/>
      <c r="O2871" s="75"/>
      <c r="P2871" s="75"/>
      <c r="U2871" s="72"/>
      <c r="V2871" s="73"/>
      <c r="W2871" s="70"/>
      <c r="X2871" s="74"/>
      <c r="Y2871" s="75"/>
      <c r="Z2871" s="75"/>
    </row>
    <row r="2872" spans="1:26" x14ac:dyDescent="0.3">
      <c r="A2872" s="72"/>
      <c r="B2872" s="73"/>
      <c r="C2872" s="70"/>
      <c r="D2872" s="74"/>
      <c r="E2872" s="75"/>
      <c r="F2872" s="75"/>
      <c r="K2872" s="72"/>
      <c r="L2872" s="73"/>
      <c r="M2872" s="70"/>
      <c r="N2872" s="74"/>
      <c r="O2872" s="75"/>
      <c r="P2872" s="75"/>
      <c r="U2872" s="72"/>
      <c r="V2872" s="73"/>
      <c r="W2872" s="70"/>
      <c r="X2872" s="74"/>
      <c r="Y2872" s="75"/>
      <c r="Z2872" s="75"/>
    </row>
    <row r="2873" spans="1:26" x14ac:dyDescent="0.3">
      <c r="A2873" s="72"/>
      <c r="B2873" s="73"/>
      <c r="C2873" s="70"/>
      <c r="D2873" s="74"/>
      <c r="E2873" s="75"/>
      <c r="F2873" s="75"/>
      <c r="K2873" s="72"/>
      <c r="L2873" s="73"/>
      <c r="M2873" s="70"/>
      <c r="N2873" s="74"/>
      <c r="O2873" s="75"/>
      <c r="P2873" s="75"/>
      <c r="U2873" s="72"/>
      <c r="V2873" s="73"/>
      <c r="W2873" s="70"/>
      <c r="X2873" s="74"/>
      <c r="Y2873" s="75"/>
      <c r="Z2873" s="75"/>
    </row>
    <row r="2874" spans="1:26" x14ac:dyDescent="0.3">
      <c r="A2874" s="72"/>
      <c r="B2874" s="73"/>
      <c r="C2874" s="70"/>
      <c r="D2874" s="74"/>
      <c r="E2874" s="75"/>
      <c r="F2874" s="75"/>
      <c r="K2874" s="72"/>
      <c r="L2874" s="73"/>
      <c r="M2874" s="70"/>
      <c r="N2874" s="74"/>
      <c r="O2874" s="75"/>
      <c r="P2874" s="75"/>
      <c r="U2874" s="72"/>
      <c r="V2874" s="73"/>
      <c r="W2874" s="70"/>
      <c r="X2874" s="74"/>
      <c r="Y2874" s="75"/>
      <c r="Z2874" s="75"/>
    </row>
    <row r="2875" spans="1:26" x14ac:dyDescent="0.3">
      <c r="A2875" s="72"/>
      <c r="B2875" s="73"/>
      <c r="C2875" s="70"/>
      <c r="D2875" s="74"/>
      <c r="E2875" s="75"/>
      <c r="F2875" s="75"/>
      <c r="K2875" s="72"/>
      <c r="L2875" s="73"/>
      <c r="M2875" s="70"/>
      <c r="N2875" s="74"/>
      <c r="O2875" s="75"/>
      <c r="P2875" s="75"/>
      <c r="U2875" s="72"/>
      <c r="V2875" s="73"/>
      <c r="W2875" s="70"/>
      <c r="X2875" s="74"/>
      <c r="Y2875" s="75"/>
      <c r="Z2875" s="75"/>
    </row>
    <row r="2876" spans="1:26" x14ac:dyDescent="0.3">
      <c r="A2876" s="72"/>
      <c r="B2876" s="73"/>
      <c r="C2876" s="70"/>
      <c r="D2876" s="74"/>
      <c r="E2876" s="75"/>
      <c r="F2876" s="75"/>
      <c r="K2876" s="72"/>
      <c r="L2876" s="73"/>
      <c r="M2876" s="70"/>
      <c r="N2876" s="74"/>
      <c r="O2876" s="75"/>
      <c r="P2876" s="75"/>
      <c r="U2876" s="72"/>
      <c r="V2876" s="73"/>
      <c r="W2876" s="70"/>
      <c r="X2876" s="74"/>
      <c r="Y2876" s="75"/>
      <c r="Z2876" s="75"/>
    </row>
    <row r="2877" spans="1:26" x14ac:dyDescent="0.3">
      <c r="A2877" s="72"/>
      <c r="B2877" s="73"/>
      <c r="C2877" s="70"/>
      <c r="D2877" s="74"/>
      <c r="E2877" s="75"/>
      <c r="F2877" s="75"/>
      <c r="K2877" s="72"/>
      <c r="L2877" s="73"/>
      <c r="M2877" s="70"/>
      <c r="N2877" s="74"/>
      <c r="O2877" s="75"/>
      <c r="P2877" s="75"/>
      <c r="U2877" s="72"/>
      <c r="V2877" s="73"/>
      <c r="W2877" s="70"/>
      <c r="X2877" s="74"/>
      <c r="Y2877" s="75"/>
      <c r="Z2877" s="75"/>
    </row>
    <row r="2878" spans="1:26" x14ac:dyDescent="0.3">
      <c r="A2878" s="72"/>
      <c r="B2878" s="73"/>
      <c r="C2878" s="70"/>
      <c r="D2878" s="74"/>
      <c r="E2878" s="75"/>
      <c r="F2878" s="75"/>
      <c r="K2878" s="72"/>
      <c r="L2878" s="73"/>
      <c r="M2878" s="70"/>
      <c r="N2878" s="74"/>
      <c r="O2878" s="75"/>
      <c r="P2878" s="75"/>
      <c r="U2878" s="72"/>
      <c r="V2878" s="73"/>
      <c r="W2878" s="70"/>
      <c r="X2878" s="74"/>
      <c r="Y2878" s="75"/>
      <c r="Z2878" s="75"/>
    </row>
    <row r="2879" spans="1:26" x14ac:dyDescent="0.3">
      <c r="A2879" s="72"/>
      <c r="B2879" s="73"/>
      <c r="C2879" s="70"/>
      <c r="D2879" s="74"/>
      <c r="E2879" s="75"/>
      <c r="F2879" s="75"/>
      <c r="K2879" s="72"/>
      <c r="L2879" s="73"/>
      <c r="M2879" s="70"/>
      <c r="N2879" s="74"/>
      <c r="O2879" s="75"/>
      <c r="P2879" s="75"/>
      <c r="U2879" s="72"/>
      <c r="V2879" s="73"/>
      <c r="W2879" s="70"/>
      <c r="X2879" s="74"/>
      <c r="Y2879" s="75"/>
      <c r="Z2879" s="75"/>
    </row>
    <row r="2880" spans="1:26" x14ac:dyDescent="0.3">
      <c r="A2880" s="72"/>
      <c r="B2880" s="73"/>
      <c r="C2880" s="70"/>
      <c r="D2880" s="74"/>
      <c r="E2880" s="75"/>
      <c r="F2880" s="75"/>
      <c r="K2880" s="72"/>
      <c r="L2880" s="73"/>
      <c r="M2880" s="70"/>
      <c r="N2880" s="74"/>
      <c r="O2880" s="75"/>
      <c r="P2880" s="75"/>
      <c r="U2880" s="72"/>
      <c r="V2880" s="73"/>
      <c r="W2880" s="70"/>
      <c r="X2880" s="74"/>
      <c r="Y2880" s="75"/>
      <c r="Z2880" s="75"/>
    </row>
    <row r="2881" spans="1:26" x14ac:dyDescent="0.3">
      <c r="A2881" s="72"/>
      <c r="B2881" s="73"/>
      <c r="C2881" s="70"/>
      <c r="D2881" s="74"/>
      <c r="E2881" s="75"/>
      <c r="F2881" s="75"/>
      <c r="K2881" s="72"/>
      <c r="L2881" s="73"/>
      <c r="M2881" s="70"/>
      <c r="N2881" s="74"/>
      <c r="O2881" s="75"/>
      <c r="P2881" s="75"/>
      <c r="U2881" s="72"/>
      <c r="V2881" s="73"/>
      <c r="W2881" s="70"/>
      <c r="X2881" s="74"/>
      <c r="Y2881" s="75"/>
      <c r="Z2881" s="75"/>
    </row>
    <row r="2882" spans="1:26" x14ac:dyDescent="0.3">
      <c r="A2882" s="72"/>
      <c r="B2882" s="73"/>
      <c r="C2882" s="70"/>
      <c r="D2882" s="74"/>
      <c r="E2882" s="75"/>
      <c r="F2882" s="75"/>
      <c r="K2882" s="72"/>
      <c r="L2882" s="73"/>
      <c r="M2882" s="70"/>
      <c r="N2882" s="74"/>
      <c r="O2882" s="75"/>
      <c r="P2882" s="75"/>
      <c r="U2882" s="72"/>
      <c r="V2882" s="73"/>
      <c r="W2882" s="70"/>
      <c r="X2882" s="74"/>
      <c r="Y2882" s="75"/>
      <c r="Z2882" s="75"/>
    </row>
    <row r="2883" spans="1:26" x14ac:dyDescent="0.3">
      <c r="A2883" s="72"/>
      <c r="B2883" s="73"/>
      <c r="C2883" s="70"/>
      <c r="D2883" s="74"/>
      <c r="E2883" s="75"/>
      <c r="F2883" s="75"/>
      <c r="K2883" s="72"/>
      <c r="L2883" s="73"/>
      <c r="M2883" s="70"/>
      <c r="N2883" s="74"/>
      <c r="O2883" s="75"/>
      <c r="P2883" s="75"/>
      <c r="U2883" s="72"/>
      <c r="V2883" s="73"/>
      <c r="W2883" s="70"/>
      <c r="X2883" s="74"/>
      <c r="Y2883" s="75"/>
      <c r="Z2883" s="75"/>
    </row>
    <row r="2884" spans="1:26" x14ac:dyDescent="0.3">
      <c r="A2884" s="72"/>
      <c r="B2884" s="73"/>
      <c r="C2884" s="70"/>
      <c r="D2884" s="74"/>
      <c r="E2884" s="75"/>
      <c r="F2884" s="75"/>
      <c r="K2884" s="72"/>
      <c r="L2884" s="73"/>
      <c r="M2884" s="70"/>
      <c r="N2884" s="74"/>
      <c r="O2884" s="75"/>
      <c r="P2884" s="75"/>
      <c r="U2884" s="72"/>
      <c r="V2884" s="73"/>
      <c r="W2884" s="70"/>
      <c r="X2884" s="74"/>
      <c r="Y2884" s="75"/>
      <c r="Z2884" s="75"/>
    </row>
    <row r="2885" spans="1:26" x14ac:dyDescent="0.3">
      <c r="A2885" s="72"/>
      <c r="B2885" s="73"/>
      <c r="C2885" s="70"/>
      <c r="D2885" s="74"/>
      <c r="E2885" s="75"/>
      <c r="F2885" s="75"/>
      <c r="K2885" s="72"/>
      <c r="L2885" s="73"/>
      <c r="M2885" s="70"/>
      <c r="N2885" s="74"/>
      <c r="O2885" s="75"/>
      <c r="P2885" s="75"/>
      <c r="U2885" s="72"/>
      <c r="V2885" s="73"/>
      <c r="W2885" s="70"/>
      <c r="X2885" s="74"/>
      <c r="Y2885" s="75"/>
      <c r="Z2885" s="75"/>
    </row>
    <row r="2886" spans="1:26" x14ac:dyDescent="0.3">
      <c r="A2886" s="72"/>
      <c r="B2886" s="73"/>
      <c r="C2886" s="70"/>
      <c r="D2886" s="74"/>
      <c r="E2886" s="75"/>
      <c r="F2886" s="75"/>
      <c r="K2886" s="72"/>
      <c r="L2886" s="73"/>
      <c r="M2886" s="70"/>
      <c r="N2886" s="74"/>
      <c r="O2886" s="75"/>
      <c r="P2886" s="75"/>
      <c r="U2886" s="72"/>
      <c r="V2886" s="73"/>
      <c r="W2886" s="70"/>
      <c r="X2886" s="74"/>
      <c r="Y2886" s="75"/>
      <c r="Z2886" s="75"/>
    </row>
    <row r="2887" spans="1:26" x14ac:dyDescent="0.3">
      <c r="A2887" s="72"/>
      <c r="B2887" s="73"/>
      <c r="C2887" s="70"/>
      <c r="D2887" s="74"/>
      <c r="E2887" s="75"/>
      <c r="F2887" s="75"/>
      <c r="K2887" s="72"/>
      <c r="L2887" s="73"/>
      <c r="M2887" s="70"/>
      <c r="N2887" s="74"/>
      <c r="O2887" s="75"/>
      <c r="P2887" s="75"/>
      <c r="U2887" s="72"/>
      <c r="V2887" s="73"/>
      <c r="W2887" s="70"/>
      <c r="X2887" s="74"/>
      <c r="Y2887" s="75"/>
      <c r="Z2887" s="75"/>
    </row>
    <row r="2888" spans="1:26" x14ac:dyDescent="0.3">
      <c r="A2888" s="72"/>
      <c r="B2888" s="73"/>
      <c r="C2888" s="70"/>
      <c r="D2888" s="74"/>
      <c r="E2888" s="75"/>
      <c r="F2888" s="75"/>
      <c r="K2888" s="72"/>
      <c r="L2888" s="73"/>
      <c r="M2888" s="70"/>
      <c r="N2888" s="74"/>
      <c r="O2888" s="75"/>
      <c r="P2888" s="75"/>
      <c r="U2888" s="72"/>
      <c r="V2888" s="73"/>
      <c r="W2888" s="70"/>
      <c r="X2888" s="74"/>
      <c r="Y2888" s="75"/>
      <c r="Z2888" s="75"/>
    </row>
    <row r="2889" spans="1:26" x14ac:dyDescent="0.3">
      <c r="A2889" s="72"/>
      <c r="B2889" s="73"/>
      <c r="C2889" s="70"/>
      <c r="D2889" s="74"/>
      <c r="E2889" s="75"/>
      <c r="F2889" s="75"/>
      <c r="K2889" s="72"/>
      <c r="L2889" s="73"/>
      <c r="M2889" s="70"/>
      <c r="N2889" s="74"/>
      <c r="O2889" s="75"/>
      <c r="P2889" s="75"/>
      <c r="U2889" s="72"/>
      <c r="V2889" s="73"/>
      <c r="W2889" s="70"/>
      <c r="X2889" s="74"/>
      <c r="Y2889" s="75"/>
      <c r="Z2889" s="75"/>
    </row>
    <row r="2890" spans="1:26" x14ac:dyDescent="0.3">
      <c r="A2890" s="72"/>
      <c r="B2890" s="73"/>
      <c r="C2890" s="70"/>
      <c r="D2890" s="74"/>
      <c r="E2890" s="75"/>
      <c r="F2890" s="75"/>
      <c r="K2890" s="72"/>
      <c r="L2890" s="73"/>
      <c r="M2890" s="70"/>
      <c r="N2890" s="74"/>
      <c r="O2890" s="75"/>
      <c r="P2890" s="75"/>
      <c r="U2890" s="72"/>
      <c r="V2890" s="73"/>
      <c r="W2890" s="70"/>
      <c r="X2890" s="74"/>
      <c r="Y2890" s="75"/>
      <c r="Z2890" s="75"/>
    </row>
    <row r="2891" spans="1:26" x14ac:dyDescent="0.3">
      <c r="A2891" s="72"/>
      <c r="B2891" s="73"/>
      <c r="C2891" s="70"/>
      <c r="D2891" s="74"/>
      <c r="E2891" s="75"/>
      <c r="F2891" s="75"/>
      <c r="K2891" s="72"/>
      <c r="L2891" s="73"/>
      <c r="M2891" s="70"/>
      <c r="N2891" s="74"/>
      <c r="O2891" s="75"/>
      <c r="P2891" s="75"/>
      <c r="U2891" s="72"/>
      <c r="V2891" s="73"/>
      <c r="W2891" s="70"/>
      <c r="X2891" s="74"/>
      <c r="Y2891" s="75"/>
      <c r="Z2891" s="75"/>
    </row>
    <row r="2892" spans="1:26" x14ac:dyDescent="0.3">
      <c r="A2892" s="72"/>
      <c r="B2892" s="73"/>
      <c r="C2892" s="70"/>
      <c r="D2892" s="74"/>
      <c r="E2892" s="75"/>
      <c r="F2892" s="75"/>
      <c r="K2892" s="72"/>
      <c r="L2892" s="73"/>
      <c r="M2892" s="70"/>
      <c r="N2892" s="74"/>
      <c r="O2892" s="75"/>
      <c r="P2892" s="75"/>
      <c r="U2892" s="72"/>
      <c r="V2892" s="73"/>
      <c r="W2892" s="70"/>
      <c r="X2892" s="74"/>
      <c r="Y2892" s="75"/>
      <c r="Z2892" s="75"/>
    </row>
    <row r="2893" spans="1:26" x14ac:dyDescent="0.3">
      <c r="A2893" s="72"/>
      <c r="B2893" s="73"/>
      <c r="C2893" s="70"/>
      <c r="D2893" s="74"/>
      <c r="E2893" s="75"/>
      <c r="F2893" s="75"/>
      <c r="K2893" s="72"/>
      <c r="L2893" s="73"/>
      <c r="M2893" s="70"/>
      <c r="N2893" s="74"/>
      <c r="O2893" s="75"/>
      <c r="P2893" s="75"/>
      <c r="U2893" s="72"/>
      <c r="V2893" s="73"/>
      <c r="W2893" s="70"/>
      <c r="X2893" s="74"/>
      <c r="Y2893" s="75"/>
      <c r="Z2893" s="75"/>
    </row>
    <row r="2894" spans="1:26" x14ac:dyDescent="0.3">
      <c r="A2894" s="72"/>
      <c r="B2894" s="73"/>
      <c r="C2894" s="70"/>
      <c r="D2894" s="74"/>
      <c r="E2894" s="75"/>
      <c r="F2894" s="75"/>
      <c r="K2894" s="72"/>
      <c r="L2894" s="73"/>
      <c r="M2894" s="70"/>
      <c r="N2894" s="74"/>
      <c r="O2894" s="75"/>
      <c r="P2894" s="75"/>
      <c r="U2894" s="72"/>
      <c r="V2894" s="73"/>
      <c r="W2894" s="70"/>
      <c r="X2894" s="74"/>
      <c r="Y2894" s="75"/>
      <c r="Z2894" s="75"/>
    </row>
    <row r="2895" spans="1:26" x14ac:dyDescent="0.3">
      <c r="A2895" s="72"/>
      <c r="B2895" s="73"/>
      <c r="C2895" s="70"/>
      <c r="D2895" s="74"/>
      <c r="E2895" s="75"/>
      <c r="F2895" s="75"/>
      <c r="K2895" s="72"/>
      <c r="L2895" s="73"/>
      <c r="M2895" s="70"/>
      <c r="N2895" s="74"/>
      <c r="O2895" s="75"/>
      <c r="P2895" s="75"/>
      <c r="U2895" s="72"/>
      <c r="V2895" s="73"/>
      <c r="W2895" s="70"/>
      <c r="X2895" s="74"/>
      <c r="Y2895" s="75"/>
      <c r="Z2895" s="75"/>
    </row>
    <row r="2896" spans="1:26" x14ac:dyDescent="0.3">
      <c r="A2896" s="72"/>
      <c r="B2896" s="73"/>
      <c r="C2896" s="70"/>
      <c r="D2896" s="74"/>
      <c r="E2896" s="75"/>
      <c r="F2896" s="75"/>
      <c r="K2896" s="72"/>
      <c r="L2896" s="73"/>
      <c r="M2896" s="70"/>
      <c r="N2896" s="74"/>
      <c r="O2896" s="75"/>
      <c r="P2896" s="75"/>
      <c r="U2896" s="72"/>
      <c r="V2896" s="73"/>
      <c r="W2896" s="70"/>
      <c r="X2896" s="74"/>
      <c r="Y2896" s="75"/>
      <c r="Z2896" s="75"/>
    </row>
    <row r="2897" spans="1:26" x14ac:dyDescent="0.3">
      <c r="A2897" s="72"/>
      <c r="B2897" s="73"/>
      <c r="C2897" s="70"/>
      <c r="D2897" s="74"/>
      <c r="E2897" s="75"/>
      <c r="F2897" s="75"/>
      <c r="K2897" s="72"/>
      <c r="L2897" s="73"/>
      <c r="M2897" s="70"/>
      <c r="N2897" s="74"/>
      <c r="O2897" s="75"/>
      <c r="P2897" s="75"/>
      <c r="U2897" s="72"/>
      <c r="V2897" s="73"/>
      <c r="W2897" s="70"/>
      <c r="X2897" s="74"/>
      <c r="Y2897" s="75"/>
      <c r="Z2897" s="75"/>
    </row>
    <row r="2898" spans="1:26" x14ac:dyDescent="0.3">
      <c r="A2898" s="72"/>
      <c r="B2898" s="73"/>
      <c r="C2898" s="70"/>
      <c r="D2898" s="74"/>
      <c r="E2898" s="75"/>
      <c r="F2898" s="75"/>
      <c r="K2898" s="72"/>
      <c r="L2898" s="73"/>
      <c r="M2898" s="70"/>
      <c r="N2898" s="74"/>
      <c r="O2898" s="75"/>
      <c r="P2898" s="75"/>
      <c r="U2898" s="72"/>
      <c r="V2898" s="73"/>
      <c r="W2898" s="70"/>
      <c r="X2898" s="74"/>
      <c r="Y2898" s="75"/>
      <c r="Z2898" s="75"/>
    </row>
    <row r="2899" spans="1:26" x14ac:dyDescent="0.3">
      <c r="A2899" s="72"/>
      <c r="B2899" s="73"/>
      <c r="C2899" s="70"/>
      <c r="D2899" s="74"/>
      <c r="E2899" s="75"/>
      <c r="F2899" s="75"/>
      <c r="K2899" s="72"/>
      <c r="L2899" s="73"/>
      <c r="M2899" s="70"/>
      <c r="N2899" s="74"/>
      <c r="O2899" s="75"/>
      <c r="P2899" s="75"/>
      <c r="U2899" s="72"/>
      <c r="V2899" s="73"/>
      <c r="W2899" s="70"/>
      <c r="X2899" s="74"/>
      <c r="Y2899" s="75"/>
      <c r="Z2899" s="75"/>
    </row>
    <row r="2900" spans="1:26" x14ac:dyDescent="0.3">
      <c r="A2900" s="72"/>
      <c r="B2900" s="73"/>
      <c r="C2900" s="70"/>
      <c r="D2900" s="74"/>
      <c r="E2900" s="75"/>
      <c r="F2900" s="75"/>
      <c r="K2900" s="72"/>
      <c r="L2900" s="73"/>
      <c r="M2900" s="70"/>
      <c r="N2900" s="74"/>
      <c r="O2900" s="75"/>
      <c r="P2900" s="75"/>
      <c r="U2900" s="72"/>
      <c r="V2900" s="73"/>
      <c r="W2900" s="70"/>
      <c r="X2900" s="74"/>
      <c r="Y2900" s="75"/>
      <c r="Z2900" s="75"/>
    </row>
    <row r="2901" spans="1:26" x14ac:dyDescent="0.3">
      <c r="A2901" s="72"/>
      <c r="B2901" s="73"/>
      <c r="C2901" s="70"/>
      <c r="D2901" s="74"/>
      <c r="E2901" s="75"/>
      <c r="F2901" s="75"/>
      <c r="K2901" s="72"/>
      <c r="L2901" s="73"/>
      <c r="M2901" s="70"/>
      <c r="N2901" s="74"/>
      <c r="O2901" s="75"/>
      <c r="P2901" s="75"/>
      <c r="U2901" s="72"/>
      <c r="V2901" s="73"/>
      <c r="W2901" s="70"/>
      <c r="X2901" s="74"/>
      <c r="Y2901" s="75"/>
      <c r="Z2901" s="75"/>
    </row>
    <row r="2902" spans="1:26" x14ac:dyDescent="0.3">
      <c r="A2902" s="72"/>
      <c r="B2902" s="73"/>
      <c r="C2902" s="70"/>
      <c r="D2902" s="74"/>
      <c r="E2902" s="75"/>
      <c r="F2902" s="75"/>
      <c r="K2902" s="72"/>
      <c r="L2902" s="73"/>
      <c r="M2902" s="70"/>
      <c r="N2902" s="74"/>
      <c r="O2902" s="75"/>
      <c r="P2902" s="75"/>
      <c r="U2902" s="72"/>
      <c r="V2902" s="73"/>
      <c r="W2902" s="70"/>
      <c r="X2902" s="74"/>
      <c r="Y2902" s="75"/>
      <c r="Z2902" s="75"/>
    </row>
    <row r="2903" spans="1:26" x14ac:dyDescent="0.3">
      <c r="A2903" s="72"/>
      <c r="B2903" s="73"/>
      <c r="C2903" s="70"/>
      <c r="D2903" s="74"/>
      <c r="E2903" s="75"/>
      <c r="F2903" s="75"/>
      <c r="K2903" s="72"/>
      <c r="L2903" s="73"/>
      <c r="M2903" s="70"/>
      <c r="N2903" s="74"/>
      <c r="O2903" s="75"/>
      <c r="P2903" s="75"/>
      <c r="U2903" s="72"/>
      <c r="V2903" s="73"/>
      <c r="W2903" s="70"/>
      <c r="X2903" s="74"/>
      <c r="Y2903" s="75"/>
      <c r="Z2903" s="75"/>
    </row>
    <row r="2904" spans="1:26" x14ac:dyDescent="0.3">
      <c r="A2904" s="72"/>
      <c r="B2904" s="73"/>
      <c r="C2904" s="70"/>
      <c r="D2904" s="74"/>
      <c r="E2904" s="75"/>
      <c r="F2904" s="75"/>
      <c r="K2904" s="72"/>
      <c r="L2904" s="73"/>
      <c r="M2904" s="70"/>
      <c r="N2904" s="74"/>
      <c r="O2904" s="75"/>
      <c r="P2904" s="75"/>
      <c r="U2904" s="72"/>
      <c r="V2904" s="73"/>
      <c r="W2904" s="70"/>
      <c r="X2904" s="74"/>
      <c r="Y2904" s="75"/>
      <c r="Z2904" s="75"/>
    </row>
    <row r="2905" spans="1:26" x14ac:dyDescent="0.3">
      <c r="A2905" s="72"/>
      <c r="B2905" s="73"/>
      <c r="C2905" s="70"/>
      <c r="D2905" s="74"/>
      <c r="E2905" s="75"/>
      <c r="F2905" s="75"/>
      <c r="K2905" s="72"/>
      <c r="L2905" s="73"/>
      <c r="M2905" s="70"/>
      <c r="N2905" s="74"/>
      <c r="O2905" s="75"/>
      <c r="P2905" s="75"/>
      <c r="U2905" s="72"/>
      <c r="V2905" s="73"/>
      <c r="W2905" s="70"/>
      <c r="X2905" s="74"/>
      <c r="Y2905" s="75"/>
      <c r="Z2905" s="75"/>
    </row>
    <row r="2906" spans="1:26" x14ac:dyDescent="0.3">
      <c r="A2906" s="72"/>
      <c r="B2906" s="73"/>
      <c r="C2906" s="70"/>
      <c r="D2906" s="74"/>
      <c r="E2906" s="75"/>
      <c r="F2906" s="75"/>
      <c r="K2906" s="72"/>
      <c r="L2906" s="73"/>
      <c r="M2906" s="70"/>
      <c r="N2906" s="74"/>
      <c r="O2906" s="75"/>
      <c r="P2906" s="75"/>
      <c r="U2906" s="72"/>
      <c r="V2906" s="73"/>
      <c r="W2906" s="70"/>
      <c r="X2906" s="74"/>
      <c r="Y2906" s="75"/>
      <c r="Z2906" s="75"/>
    </row>
    <row r="2907" spans="1:26" x14ac:dyDescent="0.3">
      <c r="A2907" s="72"/>
      <c r="B2907" s="73"/>
      <c r="C2907" s="70"/>
      <c r="D2907" s="74"/>
      <c r="E2907" s="75"/>
      <c r="F2907" s="75"/>
      <c r="K2907" s="72"/>
      <c r="L2907" s="73"/>
      <c r="M2907" s="70"/>
      <c r="N2907" s="74"/>
      <c r="O2907" s="75"/>
      <c r="P2907" s="75"/>
      <c r="U2907" s="72"/>
      <c r="V2907" s="73"/>
      <c r="W2907" s="70"/>
      <c r="X2907" s="74"/>
      <c r="Y2907" s="75"/>
      <c r="Z2907" s="75"/>
    </row>
    <row r="2908" spans="1:26" x14ac:dyDescent="0.3">
      <c r="A2908" s="72"/>
      <c r="B2908" s="73"/>
      <c r="C2908" s="70"/>
      <c r="D2908" s="74"/>
      <c r="E2908" s="75"/>
      <c r="F2908" s="75"/>
      <c r="K2908" s="72"/>
      <c r="L2908" s="73"/>
      <c r="M2908" s="70"/>
      <c r="N2908" s="74"/>
      <c r="O2908" s="75"/>
      <c r="P2908" s="75"/>
      <c r="U2908" s="72"/>
      <c r="V2908" s="73"/>
      <c r="W2908" s="70"/>
      <c r="X2908" s="74"/>
      <c r="Y2908" s="75"/>
      <c r="Z2908" s="75"/>
    </row>
    <row r="2909" spans="1:26" x14ac:dyDescent="0.3">
      <c r="A2909" s="72"/>
      <c r="B2909" s="73"/>
      <c r="C2909" s="70"/>
      <c r="D2909" s="74"/>
      <c r="E2909" s="75"/>
      <c r="F2909" s="75"/>
      <c r="K2909" s="72"/>
      <c r="L2909" s="73"/>
      <c r="M2909" s="70"/>
      <c r="N2909" s="74"/>
      <c r="O2909" s="75"/>
      <c r="P2909" s="75"/>
      <c r="U2909" s="72"/>
      <c r="V2909" s="73"/>
      <c r="W2909" s="70"/>
      <c r="X2909" s="74"/>
      <c r="Y2909" s="75"/>
      <c r="Z2909" s="75"/>
    </row>
    <row r="2910" spans="1:26" x14ac:dyDescent="0.3">
      <c r="A2910" s="72"/>
      <c r="B2910" s="73"/>
      <c r="C2910" s="70"/>
      <c r="D2910" s="74"/>
      <c r="E2910" s="75"/>
      <c r="F2910" s="75"/>
      <c r="K2910" s="72"/>
      <c r="L2910" s="73"/>
      <c r="M2910" s="70"/>
      <c r="N2910" s="74"/>
      <c r="O2910" s="75"/>
      <c r="P2910" s="75"/>
      <c r="U2910" s="72"/>
      <c r="V2910" s="73"/>
      <c r="W2910" s="70"/>
      <c r="X2910" s="74"/>
      <c r="Y2910" s="75"/>
      <c r="Z2910" s="75"/>
    </row>
    <row r="2911" spans="1:26" x14ac:dyDescent="0.3">
      <c r="A2911" s="72"/>
      <c r="B2911" s="73"/>
      <c r="C2911" s="70"/>
      <c r="D2911" s="74"/>
      <c r="E2911" s="75"/>
      <c r="F2911" s="75"/>
      <c r="K2911" s="72"/>
      <c r="L2911" s="73"/>
      <c r="M2911" s="70"/>
      <c r="N2911" s="74"/>
      <c r="O2911" s="75"/>
      <c r="P2911" s="75"/>
      <c r="U2911" s="72"/>
      <c r="V2911" s="73"/>
      <c r="W2911" s="70"/>
      <c r="X2911" s="74"/>
      <c r="Y2911" s="75"/>
      <c r="Z2911" s="75"/>
    </row>
    <row r="2912" spans="1:26" x14ac:dyDescent="0.3">
      <c r="A2912" s="72"/>
      <c r="B2912" s="73"/>
      <c r="C2912" s="70"/>
      <c r="D2912" s="74"/>
      <c r="E2912" s="75"/>
      <c r="F2912" s="75"/>
      <c r="K2912" s="72"/>
      <c r="L2912" s="73"/>
      <c r="M2912" s="70"/>
      <c r="N2912" s="74"/>
      <c r="O2912" s="75"/>
      <c r="P2912" s="75"/>
      <c r="U2912" s="72"/>
      <c r="V2912" s="73"/>
      <c r="W2912" s="70"/>
      <c r="X2912" s="74"/>
      <c r="Y2912" s="75"/>
      <c r="Z2912" s="75"/>
    </row>
    <row r="2913" spans="1:26" x14ac:dyDescent="0.3">
      <c r="A2913" s="72"/>
      <c r="B2913" s="73"/>
      <c r="C2913" s="70"/>
      <c r="D2913" s="74"/>
      <c r="E2913" s="75"/>
      <c r="F2913" s="75"/>
      <c r="K2913" s="72"/>
      <c r="L2913" s="73"/>
      <c r="M2913" s="70"/>
      <c r="N2913" s="74"/>
      <c r="O2913" s="75"/>
      <c r="P2913" s="75"/>
      <c r="U2913" s="72"/>
      <c r="V2913" s="73"/>
      <c r="W2913" s="70"/>
      <c r="X2913" s="74"/>
      <c r="Y2913" s="75"/>
      <c r="Z2913" s="75"/>
    </row>
    <row r="2914" spans="1:26" x14ac:dyDescent="0.3">
      <c r="A2914" s="72"/>
      <c r="B2914" s="73"/>
      <c r="C2914" s="70"/>
      <c r="D2914" s="74"/>
      <c r="E2914" s="75"/>
      <c r="F2914" s="75"/>
      <c r="K2914" s="72"/>
      <c r="L2914" s="73"/>
      <c r="M2914" s="70"/>
      <c r="N2914" s="74"/>
      <c r="O2914" s="75"/>
      <c r="P2914" s="75"/>
      <c r="U2914" s="72"/>
      <c r="V2914" s="73"/>
      <c r="W2914" s="70"/>
      <c r="X2914" s="74"/>
      <c r="Y2914" s="75"/>
      <c r="Z2914" s="75"/>
    </row>
    <row r="2915" spans="1:26" x14ac:dyDescent="0.3">
      <c r="A2915" s="72"/>
      <c r="B2915" s="73"/>
      <c r="C2915" s="70"/>
      <c r="D2915" s="74"/>
      <c r="E2915" s="75"/>
      <c r="F2915" s="75"/>
      <c r="K2915" s="72"/>
      <c r="L2915" s="73"/>
      <c r="M2915" s="70"/>
      <c r="N2915" s="74"/>
      <c r="O2915" s="75"/>
      <c r="P2915" s="75"/>
      <c r="U2915" s="72"/>
      <c r="V2915" s="73"/>
      <c r="W2915" s="70"/>
      <c r="X2915" s="74"/>
      <c r="Y2915" s="75"/>
      <c r="Z2915" s="75"/>
    </row>
    <row r="2916" spans="1:26" x14ac:dyDescent="0.3">
      <c r="A2916" s="72"/>
      <c r="B2916" s="73"/>
      <c r="C2916" s="70"/>
      <c r="D2916" s="74"/>
      <c r="E2916" s="75"/>
      <c r="F2916" s="75"/>
      <c r="K2916" s="72"/>
      <c r="L2916" s="73"/>
      <c r="M2916" s="70"/>
      <c r="N2916" s="74"/>
      <c r="O2916" s="75"/>
      <c r="P2916" s="75"/>
      <c r="U2916" s="72"/>
      <c r="V2916" s="73"/>
      <c r="W2916" s="70"/>
      <c r="X2916" s="74"/>
      <c r="Y2916" s="75"/>
      <c r="Z2916" s="75"/>
    </row>
    <row r="2917" spans="1:26" x14ac:dyDescent="0.3">
      <c r="A2917" s="72"/>
      <c r="B2917" s="73"/>
      <c r="C2917" s="70"/>
      <c r="D2917" s="74"/>
      <c r="E2917" s="75"/>
      <c r="F2917" s="75"/>
      <c r="K2917" s="72"/>
      <c r="L2917" s="73"/>
      <c r="M2917" s="70"/>
      <c r="N2917" s="74"/>
      <c r="O2917" s="75"/>
      <c r="P2917" s="75"/>
      <c r="U2917" s="72"/>
      <c r="V2917" s="73"/>
      <c r="W2917" s="70"/>
      <c r="X2917" s="74"/>
      <c r="Y2917" s="75"/>
      <c r="Z2917" s="75"/>
    </row>
    <row r="2918" spans="1:26" x14ac:dyDescent="0.3">
      <c r="A2918" s="72"/>
      <c r="B2918" s="73"/>
      <c r="C2918" s="70"/>
      <c r="D2918" s="74"/>
      <c r="E2918" s="75"/>
      <c r="F2918" s="75"/>
      <c r="K2918" s="72"/>
      <c r="L2918" s="73"/>
      <c r="M2918" s="70"/>
      <c r="N2918" s="74"/>
      <c r="O2918" s="75"/>
      <c r="P2918" s="75"/>
      <c r="U2918" s="72"/>
      <c r="V2918" s="73"/>
      <c r="W2918" s="70"/>
      <c r="X2918" s="74"/>
      <c r="Y2918" s="75"/>
      <c r="Z2918" s="75"/>
    </row>
    <row r="2919" spans="1:26" x14ac:dyDescent="0.3">
      <c r="A2919" s="72"/>
      <c r="B2919" s="73"/>
      <c r="C2919" s="70"/>
      <c r="D2919" s="74"/>
      <c r="E2919" s="75"/>
      <c r="F2919" s="75"/>
      <c r="K2919" s="72"/>
      <c r="L2919" s="73"/>
      <c r="M2919" s="70"/>
      <c r="N2919" s="74"/>
      <c r="O2919" s="75"/>
      <c r="P2919" s="75"/>
      <c r="U2919" s="72"/>
      <c r="V2919" s="73"/>
      <c r="W2919" s="70"/>
      <c r="X2919" s="74"/>
      <c r="Y2919" s="75"/>
      <c r="Z2919" s="75"/>
    </row>
    <row r="2920" spans="1:26" x14ac:dyDescent="0.3">
      <c r="A2920" s="72"/>
      <c r="B2920" s="73"/>
      <c r="C2920" s="70"/>
      <c r="D2920" s="74"/>
      <c r="E2920" s="75"/>
      <c r="F2920" s="75"/>
      <c r="K2920" s="72"/>
      <c r="L2920" s="73"/>
      <c r="M2920" s="70"/>
      <c r="N2920" s="74"/>
      <c r="O2920" s="75"/>
      <c r="P2920" s="75"/>
      <c r="U2920" s="72"/>
      <c r="V2920" s="73"/>
      <c r="W2920" s="70"/>
      <c r="X2920" s="74"/>
      <c r="Y2920" s="75"/>
      <c r="Z2920" s="75"/>
    </row>
    <row r="2921" spans="1:26" x14ac:dyDescent="0.3">
      <c r="A2921" s="72"/>
      <c r="B2921" s="73"/>
      <c r="C2921" s="70"/>
      <c r="D2921" s="74"/>
      <c r="E2921" s="75"/>
      <c r="F2921" s="75"/>
      <c r="K2921" s="72"/>
      <c r="L2921" s="73"/>
      <c r="M2921" s="70"/>
      <c r="N2921" s="74"/>
      <c r="O2921" s="75"/>
      <c r="P2921" s="75"/>
      <c r="U2921" s="72"/>
      <c r="V2921" s="73"/>
      <c r="W2921" s="70"/>
      <c r="X2921" s="74"/>
      <c r="Y2921" s="75"/>
      <c r="Z2921" s="75"/>
    </row>
    <row r="2922" spans="1:26" x14ac:dyDescent="0.3">
      <c r="A2922" s="72"/>
      <c r="B2922" s="73"/>
      <c r="C2922" s="70"/>
      <c r="D2922" s="74"/>
      <c r="E2922" s="75"/>
      <c r="F2922" s="75"/>
      <c r="K2922" s="72"/>
      <c r="L2922" s="73"/>
      <c r="M2922" s="70"/>
      <c r="N2922" s="74"/>
      <c r="O2922" s="75"/>
      <c r="P2922" s="75"/>
      <c r="U2922" s="72"/>
      <c r="V2922" s="73"/>
      <c r="W2922" s="70"/>
      <c r="X2922" s="74"/>
      <c r="Y2922" s="75"/>
      <c r="Z2922" s="75"/>
    </row>
    <row r="2923" spans="1:26" x14ac:dyDescent="0.3">
      <c r="A2923" s="72"/>
      <c r="B2923" s="73"/>
      <c r="C2923" s="70"/>
      <c r="D2923" s="74"/>
      <c r="E2923" s="75"/>
      <c r="F2923" s="75"/>
      <c r="K2923" s="72"/>
      <c r="L2923" s="73"/>
      <c r="M2923" s="70"/>
      <c r="N2923" s="74"/>
      <c r="O2923" s="75"/>
      <c r="P2923" s="75"/>
      <c r="U2923" s="72"/>
      <c r="V2923" s="73"/>
      <c r="W2923" s="70"/>
      <c r="X2923" s="74"/>
      <c r="Y2923" s="75"/>
      <c r="Z2923" s="75"/>
    </row>
    <row r="2924" spans="1:26" x14ac:dyDescent="0.3">
      <c r="A2924" s="72"/>
      <c r="B2924" s="73"/>
      <c r="C2924" s="70"/>
      <c r="D2924" s="74"/>
      <c r="E2924" s="75"/>
      <c r="F2924" s="75"/>
      <c r="K2924" s="72"/>
      <c r="L2924" s="73"/>
      <c r="M2924" s="70"/>
      <c r="N2924" s="74"/>
      <c r="O2924" s="75"/>
      <c r="P2924" s="75"/>
      <c r="U2924" s="72"/>
      <c r="V2924" s="73"/>
      <c r="W2924" s="70"/>
      <c r="X2924" s="74"/>
      <c r="Y2924" s="75"/>
      <c r="Z2924" s="75"/>
    </row>
    <row r="2925" spans="1:26" x14ac:dyDescent="0.3">
      <c r="A2925" s="72"/>
      <c r="B2925" s="73"/>
      <c r="C2925" s="70"/>
      <c r="D2925" s="74"/>
      <c r="E2925" s="75"/>
      <c r="F2925" s="75"/>
      <c r="K2925" s="72"/>
      <c r="L2925" s="73"/>
      <c r="M2925" s="70"/>
      <c r="N2925" s="74"/>
      <c r="O2925" s="75"/>
      <c r="P2925" s="75"/>
      <c r="U2925" s="72"/>
      <c r="V2925" s="73"/>
      <c r="W2925" s="70"/>
      <c r="X2925" s="74"/>
      <c r="Y2925" s="75"/>
      <c r="Z2925" s="75"/>
    </row>
    <row r="2926" spans="1:26" x14ac:dyDescent="0.3">
      <c r="A2926" s="72"/>
      <c r="B2926" s="73"/>
      <c r="C2926" s="70"/>
      <c r="D2926" s="74"/>
      <c r="E2926" s="75"/>
      <c r="F2926" s="75"/>
      <c r="K2926" s="72"/>
      <c r="L2926" s="73"/>
      <c r="M2926" s="70"/>
      <c r="N2926" s="74"/>
      <c r="O2926" s="75"/>
      <c r="P2926" s="75"/>
      <c r="U2926" s="72"/>
      <c r="V2926" s="73"/>
      <c r="W2926" s="70"/>
      <c r="X2926" s="74"/>
      <c r="Y2926" s="75"/>
      <c r="Z2926" s="75"/>
    </row>
    <row r="2927" spans="1:26" x14ac:dyDescent="0.3">
      <c r="A2927" s="72"/>
      <c r="B2927" s="73"/>
      <c r="C2927" s="70"/>
      <c r="D2927" s="74"/>
      <c r="E2927" s="75"/>
      <c r="F2927" s="75"/>
      <c r="K2927" s="72"/>
      <c r="L2927" s="73"/>
      <c r="M2927" s="70"/>
      <c r="N2927" s="74"/>
      <c r="O2927" s="75"/>
      <c r="P2927" s="75"/>
      <c r="U2927" s="72"/>
      <c r="V2927" s="73"/>
      <c r="W2927" s="70"/>
      <c r="X2927" s="74"/>
      <c r="Y2927" s="75"/>
      <c r="Z2927" s="75"/>
    </row>
    <row r="2928" spans="1:26" x14ac:dyDescent="0.3">
      <c r="A2928" s="72"/>
      <c r="B2928" s="73"/>
      <c r="C2928" s="70"/>
      <c r="D2928" s="74"/>
      <c r="E2928" s="75"/>
      <c r="F2928" s="75"/>
      <c r="K2928" s="72"/>
      <c r="L2928" s="73"/>
      <c r="M2928" s="70"/>
      <c r="N2928" s="74"/>
      <c r="O2928" s="75"/>
      <c r="P2928" s="75"/>
      <c r="U2928" s="72"/>
      <c r="V2928" s="73"/>
      <c r="W2928" s="70"/>
      <c r="X2928" s="74"/>
      <c r="Y2928" s="75"/>
      <c r="Z2928" s="75"/>
    </row>
    <row r="2929" spans="1:26" x14ac:dyDescent="0.3">
      <c r="A2929" s="72"/>
      <c r="B2929" s="73"/>
      <c r="C2929" s="70"/>
      <c r="D2929" s="74"/>
      <c r="E2929" s="75"/>
      <c r="F2929" s="75"/>
      <c r="K2929" s="72"/>
      <c r="L2929" s="73"/>
      <c r="M2929" s="70"/>
      <c r="N2929" s="74"/>
      <c r="O2929" s="75"/>
      <c r="P2929" s="75"/>
      <c r="U2929" s="72"/>
      <c r="V2929" s="73"/>
      <c r="W2929" s="70"/>
      <c r="X2929" s="74"/>
      <c r="Y2929" s="75"/>
      <c r="Z2929" s="75"/>
    </row>
    <row r="2930" spans="1:26" x14ac:dyDescent="0.3">
      <c r="A2930" s="72"/>
      <c r="B2930" s="73"/>
      <c r="C2930" s="70"/>
      <c r="D2930" s="74"/>
      <c r="E2930" s="75"/>
      <c r="F2930" s="75"/>
      <c r="K2930" s="72"/>
      <c r="L2930" s="73"/>
      <c r="M2930" s="70"/>
      <c r="N2930" s="74"/>
      <c r="O2930" s="75"/>
      <c r="P2930" s="75"/>
      <c r="U2930" s="72"/>
      <c r="V2930" s="73"/>
      <c r="W2930" s="70"/>
      <c r="X2930" s="74"/>
      <c r="Y2930" s="75"/>
      <c r="Z2930" s="75"/>
    </row>
    <row r="2931" spans="1:26" x14ac:dyDescent="0.3">
      <c r="A2931" s="72"/>
      <c r="B2931" s="73"/>
      <c r="C2931" s="70"/>
      <c r="D2931" s="74"/>
      <c r="E2931" s="75"/>
      <c r="F2931" s="75"/>
      <c r="K2931" s="72"/>
      <c r="L2931" s="73"/>
      <c r="M2931" s="70"/>
      <c r="N2931" s="74"/>
      <c r="O2931" s="75"/>
      <c r="P2931" s="75"/>
      <c r="U2931" s="72"/>
      <c r="V2931" s="73"/>
      <c r="W2931" s="70"/>
      <c r="X2931" s="74"/>
      <c r="Y2931" s="75"/>
      <c r="Z2931" s="75"/>
    </row>
    <row r="2932" spans="1:26" x14ac:dyDescent="0.3">
      <c r="A2932" s="72"/>
      <c r="B2932" s="73"/>
      <c r="C2932" s="70"/>
      <c r="D2932" s="74"/>
      <c r="E2932" s="75"/>
      <c r="F2932" s="75"/>
      <c r="K2932" s="72"/>
      <c r="L2932" s="73"/>
      <c r="M2932" s="70"/>
      <c r="N2932" s="74"/>
      <c r="O2932" s="75"/>
      <c r="P2932" s="75"/>
      <c r="U2932" s="72"/>
      <c r="V2932" s="73"/>
      <c r="W2932" s="70"/>
      <c r="X2932" s="74"/>
      <c r="Y2932" s="75"/>
      <c r="Z2932" s="75"/>
    </row>
    <row r="2933" spans="1:26" x14ac:dyDescent="0.3">
      <c r="A2933" s="72"/>
      <c r="B2933" s="73"/>
      <c r="C2933" s="70"/>
      <c r="D2933" s="74"/>
      <c r="E2933" s="75"/>
      <c r="F2933" s="75"/>
      <c r="K2933" s="72"/>
      <c r="L2933" s="73"/>
      <c r="M2933" s="70"/>
      <c r="N2933" s="74"/>
      <c r="O2933" s="75"/>
      <c r="P2933" s="75"/>
      <c r="U2933" s="72"/>
      <c r="V2933" s="73"/>
      <c r="W2933" s="70"/>
      <c r="X2933" s="74"/>
      <c r="Y2933" s="75"/>
      <c r="Z2933" s="75"/>
    </row>
    <row r="2934" spans="1:26" x14ac:dyDescent="0.3">
      <c r="A2934" s="72"/>
      <c r="B2934" s="73"/>
      <c r="C2934" s="70"/>
      <c r="D2934" s="74"/>
      <c r="E2934" s="75"/>
      <c r="F2934" s="75"/>
      <c r="K2934" s="72"/>
      <c r="L2934" s="73"/>
      <c r="M2934" s="70"/>
      <c r="N2934" s="74"/>
      <c r="O2934" s="75"/>
      <c r="P2934" s="75"/>
      <c r="U2934" s="72"/>
      <c r="V2934" s="73"/>
      <c r="W2934" s="70"/>
      <c r="X2934" s="74"/>
      <c r="Y2934" s="75"/>
      <c r="Z2934" s="75"/>
    </row>
    <row r="2935" spans="1:26" x14ac:dyDescent="0.3">
      <c r="A2935" s="72"/>
      <c r="B2935" s="73"/>
      <c r="C2935" s="70"/>
      <c r="D2935" s="74"/>
      <c r="E2935" s="75"/>
      <c r="F2935" s="75"/>
      <c r="K2935" s="72"/>
      <c r="L2935" s="73"/>
      <c r="M2935" s="70"/>
      <c r="N2935" s="74"/>
      <c r="O2935" s="75"/>
      <c r="P2935" s="75"/>
      <c r="U2935" s="72"/>
      <c r="V2935" s="73"/>
      <c r="W2935" s="70"/>
      <c r="X2935" s="74"/>
      <c r="Y2935" s="75"/>
      <c r="Z2935" s="75"/>
    </row>
    <row r="2936" spans="1:26" x14ac:dyDescent="0.3">
      <c r="A2936" s="72"/>
      <c r="B2936" s="73"/>
      <c r="C2936" s="70"/>
      <c r="D2936" s="74"/>
      <c r="E2936" s="75"/>
      <c r="F2936" s="75"/>
      <c r="K2936" s="72"/>
      <c r="L2936" s="73"/>
      <c r="M2936" s="70"/>
      <c r="N2936" s="74"/>
      <c r="O2936" s="75"/>
      <c r="P2936" s="75"/>
      <c r="U2936" s="72"/>
      <c r="V2936" s="73"/>
      <c r="W2936" s="70"/>
      <c r="X2936" s="74"/>
      <c r="Y2936" s="75"/>
      <c r="Z2936" s="75"/>
    </row>
    <row r="2937" spans="1:26" x14ac:dyDescent="0.3">
      <c r="A2937" s="72"/>
      <c r="B2937" s="73"/>
      <c r="C2937" s="70"/>
      <c r="D2937" s="74"/>
      <c r="E2937" s="75"/>
      <c r="F2937" s="75"/>
      <c r="K2937" s="72"/>
      <c r="L2937" s="73"/>
      <c r="M2937" s="70"/>
      <c r="N2937" s="74"/>
      <c r="O2937" s="75"/>
      <c r="P2937" s="75"/>
      <c r="U2937" s="72"/>
      <c r="V2937" s="73"/>
      <c r="W2937" s="70"/>
      <c r="X2937" s="74"/>
      <c r="Y2937" s="75"/>
      <c r="Z2937" s="75"/>
    </row>
    <row r="2938" spans="1:26" x14ac:dyDescent="0.3">
      <c r="A2938" s="72"/>
      <c r="B2938" s="73"/>
      <c r="C2938" s="70"/>
      <c r="D2938" s="74"/>
      <c r="E2938" s="75"/>
      <c r="F2938" s="75"/>
      <c r="K2938" s="72"/>
      <c r="L2938" s="73"/>
      <c r="M2938" s="70"/>
      <c r="N2938" s="74"/>
      <c r="O2938" s="75"/>
      <c r="P2938" s="75"/>
      <c r="U2938" s="72"/>
      <c r="V2938" s="73"/>
      <c r="W2938" s="70"/>
      <c r="X2938" s="74"/>
      <c r="Y2938" s="75"/>
      <c r="Z2938" s="75"/>
    </row>
    <row r="2939" spans="1:26" x14ac:dyDescent="0.3">
      <c r="A2939" s="72"/>
      <c r="B2939" s="73"/>
      <c r="C2939" s="70"/>
      <c r="D2939" s="74"/>
      <c r="E2939" s="75"/>
      <c r="F2939" s="75"/>
      <c r="K2939" s="72"/>
      <c r="L2939" s="73"/>
      <c r="M2939" s="70"/>
      <c r="N2939" s="74"/>
      <c r="O2939" s="75"/>
      <c r="P2939" s="75"/>
      <c r="U2939" s="72"/>
      <c r="V2939" s="73"/>
      <c r="W2939" s="70"/>
      <c r="X2939" s="74"/>
      <c r="Y2939" s="75"/>
      <c r="Z2939" s="75"/>
    </row>
    <row r="2940" spans="1:26" x14ac:dyDescent="0.3">
      <c r="A2940" s="72"/>
      <c r="B2940" s="73"/>
      <c r="C2940" s="70"/>
      <c r="D2940" s="74"/>
      <c r="E2940" s="75"/>
      <c r="F2940" s="75"/>
      <c r="K2940" s="72"/>
      <c r="L2940" s="73"/>
      <c r="M2940" s="70"/>
      <c r="N2940" s="74"/>
      <c r="O2940" s="75"/>
      <c r="P2940" s="75"/>
      <c r="U2940" s="72"/>
      <c r="V2940" s="73"/>
      <c r="W2940" s="70"/>
      <c r="X2940" s="74"/>
      <c r="Y2940" s="75"/>
      <c r="Z2940" s="75"/>
    </row>
    <row r="2941" spans="1:26" x14ac:dyDescent="0.3">
      <c r="A2941" s="72"/>
      <c r="B2941" s="73"/>
      <c r="C2941" s="70"/>
      <c r="D2941" s="74"/>
      <c r="E2941" s="75"/>
      <c r="F2941" s="75"/>
      <c r="K2941" s="72"/>
      <c r="L2941" s="73"/>
      <c r="M2941" s="70"/>
      <c r="N2941" s="74"/>
      <c r="O2941" s="75"/>
      <c r="P2941" s="75"/>
      <c r="U2941" s="72"/>
      <c r="V2941" s="73"/>
      <c r="W2941" s="70"/>
      <c r="X2941" s="74"/>
      <c r="Y2941" s="75"/>
      <c r="Z2941" s="75"/>
    </row>
    <row r="2942" spans="1:26" x14ac:dyDescent="0.3">
      <c r="A2942" s="72"/>
      <c r="B2942" s="73"/>
      <c r="C2942" s="70"/>
      <c r="D2942" s="74"/>
      <c r="E2942" s="75"/>
      <c r="F2942" s="75"/>
      <c r="K2942" s="72"/>
      <c r="L2942" s="73"/>
      <c r="M2942" s="70"/>
      <c r="N2942" s="74"/>
      <c r="O2942" s="75"/>
      <c r="P2942" s="75"/>
      <c r="U2942" s="72"/>
      <c r="V2942" s="73"/>
      <c r="W2942" s="70"/>
      <c r="X2942" s="74"/>
      <c r="Y2942" s="75"/>
      <c r="Z2942" s="75"/>
    </row>
    <row r="2943" spans="1:26" x14ac:dyDescent="0.3">
      <c r="A2943" s="72"/>
      <c r="B2943" s="73"/>
      <c r="C2943" s="70"/>
      <c r="D2943" s="74"/>
      <c r="E2943" s="75"/>
      <c r="F2943" s="75"/>
      <c r="K2943" s="72"/>
      <c r="L2943" s="73"/>
      <c r="M2943" s="70"/>
      <c r="N2943" s="74"/>
      <c r="O2943" s="75"/>
      <c r="P2943" s="75"/>
      <c r="U2943" s="72"/>
      <c r="V2943" s="73"/>
      <c r="W2943" s="70"/>
      <c r="X2943" s="74"/>
      <c r="Y2943" s="75"/>
      <c r="Z2943" s="75"/>
    </row>
    <row r="2944" spans="1:26" x14ac:dyDescent="0.3">
      <c r="A2944" s="72"/>
      <c r="B2944" s="73"/>
      <c r="C2944" s="70"/>
      <c r="D2944" s="74"/>
      <c r="E2944" s="75"/>
      <c r="F2944" s="75"/>
      <c r="K2944" s="72"/>
      <c r="L2944" s="73"/>
      <c r="M2944" s="70"/>
      <c r="N2944" s="74"/>
      <c r="O2944" s="75"/>
      <c r="P2944" s="75"/>
      <c r="U2944" s="72"/>
      <c r="V2944" s="73"/>
      <c r="W2944" s="70"/>
      <c r="X2944" s="74"/>
      <c r="Y2944" s="75"/>
      <c r="Z2944" s="75"/>
    </row>
    <row r="2945" spans="1:26" x14ac:dyDescent="0.3">
      <c r="A2945" s="72"/>
      <c r="B2945" s="73"/>
      <c r="C2945" s="70"/>
      <c r="D2945" s="74"/>
      <c r="E2945" s="75"/>
      <c r="F2945" s="75"/>
      <c r="K2945" s="72"/>
      <c r="L2945" s="73"/>
      <c r="M2945" s="70"/>
      <c r="N2945" s="74"/>
      <c r="O2945" s="75"/>
      <c r="P2945" s="75"/>
      <c r="U2945" s="72"/>
      <c r="V2945" s="73"/>
      <c r="W2945" s="70"/>
      <c r="X2945" s="74"/>
      <c r="Y2945" s="75"/>
      <c r="Z2945" s="75"/>
    </row>
    <row r="2946" spans="1:26" x14ac:dyDescent="0.3">
      <c r="A2946" s="72"/>
      <c r="B2946" s="73"/>
      <c r="C2946" s="70"/>
      <c r="D2946" s="74"/>
      <c r="E2946" s="75"/>
      <c r="F2946" s="75"/>
      <c r="K2946" s="72"/>
      <c r="L2946" s="73"/>
      <c r="M2946" s="70"/>
      <c r="N2946" s="74"/>
      <c r="O2946" s="75"/>
      <c r="P2946" s="75"/>
      <c r="U2946" s="72"/>
      <c r="V2946" s="73"/>
      <c r="W2946" s="70"/>
      <c r="X2946" s="74"/>
      <c r="Y2946" s="75"/>
      <c r="Z2946" s="75"/>
    </row>
    <row r="2947" spans="1:26" x14ac:dyDescent="0.3">
      <c r="A2947" s="72"/>
      <c r="B2947" s="73"/>
      <c r="C2947" s="70"/>
      <c r="D2947" s="74"/>
      <c r="E2947" s="75"/>
      <c r="F2947" s="75"/>
      <c r="K2947" s="72"/>
      <c r="L2947" s="73"/>
      <c r="M2947" s="70"/>
      <c r="N2947" s="74"/>
      <c r="O2947" s="75"/>
      <c r="P2947" s="75"/>
      <c r="U2947" s="72"/>
      <c r="V2947" s="73"/>
      <c r="W2947" s="70"/>
      <c r="X2947" s="74"/>
      <c r="Y2947" s="75"/>
      <c r="Z2947" s="75"/>
    </row>
    <row r="2948" spans="1:26" x14ac:dyDescent="0.3">
      <c r="A2948" s="72"/>
      <c r="B2948" s="73"/>
      <c r="C2948" s="70"/>
      <c r="D2948" s="74"/>
      <c r="E2948" s="75"/>
      <c r="F2948" s="75"/>
      <c r="K2948" s="72"/>
      <c r="L2948" s="73"/>
      <c r="M2948" s="70"/>
      <c r="N2948" s="74"/>
      <c r="O2948" s="75"/>
      <c r="P2948" s="75"/>
      <c r="U2948" s="72"/>
      <c r="V2948" s="73"/>
      <c r="W2948" s="70"/>
      <c r="X2948" s="74"/>
      <c r="Y2948" s="75"/>
      <c r="Z2948" s="75"/>
    </row>
    <row r="2949" spans="1:26" x14ac:dyDescent="0.3">
      <c r="A2949" s="72"/>
      <c r="B2949" s="73"/>
      <c r="C2949" s="70"/>
      <c r="D2949" s="74"/>
      <c r="E2949" s="75"/>
      <c r="F2949" s="75"/>
      <c r="K2949" s="72"/>
      <c r="L2949" s="73"/>
      <c r="M2949" s="70"/>
      <c r="N2949" s="74"/>
      <c r="O2949" s="75"/>
      <c r="P2949" s="75"/>
      <c r="U2949" s="72"/>
      <c r="V2949" s="73"/>
      <c r="W2949" s="70"/>
      <c r="X2949" s="74"/>
      <c r="Y2949" s="75"/>
      <c r="Z2949" s="75"/>
    </row>
    <row r="2950" spans="1:26" x14ac:dyDescent="0.3">
      <c r="A2950" s="72"/>
      <c r="B2950" s="73"/>
      <c r="C2950" s="70"/>
      <c r="D2950" s="74"/>
      <c r="E2950" s="75"/>
      <c r="F2950" s="75"/>
      <c r="K2950" s="72"/>
      <c r="L2950" s="73"/>
      <c r="M2950" s="70"/>
      <c r="N2950" s="74"/>
      <c r="O2950" s="75"/>
      <c r="P2950" s="75"/>
      <c r="U2950" s="72"/>
      <c r="V2950" s="73"/>
      <c r="W2950" s="70"/>
      <c r="X2950" s="74"/>
      <c r="Y2950" s="75"/>
      <c r="Z2950" s="75"/>
    </row>
    <row r="2951" spans="1:26" x14ac:dyDescent="0.3">
      <c r="A2951" s="72"/>
      <c r="B2951" s="73"/>
      <c r="C2951" s="70"/>
      <c r="D2951" s="74"/>
      <c r="E2951" s="75"/>
      <c r="F2951" s="75"/>
      <c r="K2951" s="72"/>
      <c r="L2951" s="73"/>
      <c r="M2951" s="70"/>
      <c r="N2951" s="74"/>
      <c r="O2951" s="75"/>
      <c r="P2951" s="75"/>
      <c r="U2951" s="72"/>
      <c r="V2951" s="73"/>
      <c r="W2951" s="70"/>
      <c r="X2951" s="74"/>
      <c r="Y2951" s="75"/>
      <c r="Z2951" s="75"/>
    </row>
    <row r="2952" spans="1:26" x14ac:dyDescent="0.3">
      <c r="A2952" s="72"/>
      <c r="B2952" s="73"/>
      <c r="C2952" s="70"/>
      <c r="D2952" s="74"/>
      <c r="E2952" s="75"/>
      <c r="F2952" s="75"/>
      <c r="K2952" s="72"/>
      <c r="L2952" s="73"/>
      <c r="M2952" s="70"/>
      <c r="N2952" s="74"/>
      <c r="O2952" s="75"/>
      <c r="P2952" s="75"/>
      <c r="U2952" s="72"/>
      <c r="V2952" s="73"/>
      <c r="W2952" s="70"/>
      <c r="X2952" s="74"/>
      <c r="Y2952" s="75"/>
      <c r="Z2952" s="75"/>
    </row>
    <row r="2953" spans="1:26" x14ac:dyDescent="0.3">
      <c r="A2953" s="72"/>
      <c r="B2953" s="73"/>
      <c r="C2953" s="70"/>
      <c r="D2953" s="74"/>
      <c r="E2953" s="75"/>
      <c r="F2953" s="75"/>
      <c r="K2953" s="72"/>
      <c r="L2953" s="73"/>
      <c r="M2953" s="70"/>
      <c r="N2953" s="74"/>
      <c r="O2953" s="75"/>
      <c r="P2953" s="75"/>
      <c r="U2953" s="72"/>
      <c r="V2953" s="73"/>
      <c r="W2953" s="70"/>
      <c r="X2953" s="74"/>
      <c r="Y2953" s="75"/>
      <c r="Z2953" s="75"/>
    </row>
    <row r="2954" spans="1:26" x14ac:dyDescent="0.3">
      <c r="A2954" s="72"/>
      <c r="B2954" s="73"/>
      <c r="C2954" s="70"/>
      <c r="D2954" s="74"/>
      <c r="E2954" s="75"/>
      <c r="F2954" s="75"/>
      <c r="K2954" s="72"/>
      <c r="L2954" s="73"/>
      <c r="M2954" s="70"/>
      <c r="N2954" s="74"/>
      <c r="O2954" s="75"/>
      <c r="P2954" s="75"/>
      <c r="U2954" s="72"/>
      <c r="V2954" s="73"/>
      <c r="W2954" s="70"/>
      <c r="X2954" s="74"/>
      <c r="Y2954" s="75"/>
      <c r="Z2954" s="75"/>
    </row>
    <row r="2955" spans="1:26" x14ac:dyDescent="0.3">
      <c r="A2955" s="72"/>
      <c r="B2955" s="73"/>
      <c r="C2955" s="70"/>
      <c r="D2955" s="74"/>
      <c r="E2955" s="75"/>
      <c r="F2955" s="75"/>
      <c r="K2955" s="72"/>
      <c r="L2955" s="73"/>
      <c r="M2955" s="70"/>
      <c r="N2955" s="74"/>
      <c r="O2955" s="75"/>
      <c r="P2955" s="75"/>
      <c r="U2955" s="72"/>
      <c r="V2955" s="73"/>
      <c r="W2955" s="70"/>
      <c r="X2955" s="74"/>
      <c r="Y2955" s="75"/>
      <c r="Z2955" s="75"/>
    </row>
    <row r="2956" spans="1:26" x14ac:dyDescent="0.3">
      <c r="A2956" s="72"/>
      <c r="B2956" s="73"/>
      <c r="C2956" s="70"/>
      <c r="D2956" s="74"/>
      <c r="E2956" s="75"/>
      <c r="F2956" s="75"/>
      <c r="K2956" s="72"/>
      <c r="L2956" s="73"/>
      <c r="M2956" s="70"/>
      <c r="N2956" s="74"/>
      <c r="O2956" s="75"/>
      <c r="P2956" s="75"/>
      <c r="U2956" s="72"/>
      <c r="V2956" s="73"/>
      <c r="W2956" s="70"/>
      <c r="X2956" s="74"/>
      <c r="Y2956" s="75"/>
      <c r="Z2956" s="75"/>
    </row>
    <row r="2957" spans="1:26" x14ac:dyDescent="0.3">
      <c r="A2957" s="72"/>
      <c r="B2957" s="73"/>
      <c r="C2957" s="70"/>
      <c r="D2957" s="74"/>
      <c r="E2957" s="75"/>
      <c r="F2957" s="75"/>
      <c r="K2957" s="72"/>
      <c r="L2957" s="73"/>
      <c r="M2957" s="70"/>
      <c r="N2957" s="74"/>
      <c r="O2957" s="75"/>
      <c r="P2957" s="75"/>
      <c r="U2957" s="72"/>
      <c r="V2957" s="73"/>
      <c r="W2957" s="70"/>
      <c r="X2957" s="74"/>
      <c r="Y2957" s="75"/>
      <c r="Z2957" s="75"/>
    </row>
    <row r="2958" spans="1:26" x14ac:dyDescent="0.3">
      <c r="A2958" s="72"/>
      <c r="B2958" s="73"/>
      <c r="C2958" s="70"/>
      <c r="D2958" s="74"/>
      <c r="E2958" s="75"/>
      <c r="F2958" s="75"/>
      <c r="K2958" s="72"/>
      <c r="L2958" s="73"/>
      <c r="M2958" s="70"/>
      <c r="N2958" s="74"/>
      <c r="O2958" s="75"/>
      <c r="P2958" s="75"/>
      <c r="U2958" s="72"/>
      <c r="V2958" s="73"/>
      <c r="W2958" s="70"/>
      <c r="X2958" s="74"/>
      <c r="Y2958" s="75"/>
      <c r="Z2958" s="75"/>
    </row>
    <row r="2959" spans="1:26" x14ac:dyDescent="0.3">
      <c r="A2959" s="72"/>
      <c r="B2959" s="73"/>
      <c r="C2959" s="70"/>
      <c r="D2959" s="74"/>
      <c r="E2959" s="75"/>
      <c r="F2959" s="75"/>
      <c r="K2959" s="72"/>
      <c r="L2959" s="73"/>
      <c r="M2959" s="70"/>
      <c r="N2959" s="74"/>
      <c r="O2959" s="75"/>
      <c r="P2959" s="75"/>
      <c r="U2959" s="72"/>
      <c r="V2959" s="73"/>
      <c r="W2959" s="70"/>
      <c r="X2959" s="74"/>
      <c r="Y2959" s="75"/>
      <c r="Z2959" s="75"/>
    </row>
    <row r="2960" spans="1:26" x14ac:dyDescent="0.3">
      <c r="A2960" s="72"/>
      <c r="B2960" s="73"/>
      <c r="C2960" s="70"/>
      <c r="D2960" s="74"/>
      <c r="E2960" s="75"/>
      <c r="F2960" s="75"/>
      <c r="K2960" s="72"/>
      <c r="L2960" s="73"/>
      <c r="M2960" s="70"/>
      <c r="N2960" s="74"/>
      <c r="O2960" s="75"/>
      <c r="P2960" s="75"/>
      <c r="U2960" s="72"/>
      <c r="V2960" s="73"/>
      <c r="W2960" s="70"/>
      <c r="X2960" s="74"/>
      <c r="Y2960" s="75"/>
      <c r="Z2960" s="75"/>
    </row>
    <row r="2961" spans="1:26" x14ac:dyDescent="0.3">
      <c r="A2961" s="72"/>
      <c r="B2961" s="73"/>
      <c r="C2961" s="70"/>
      <c r="D2961" s="74"/>
      <c r="E2961" s="75"/>
      <c r="F2961" s="75"/>
      <c r="K2961" s="72"/>
      <c r="L2961" s="73"/>
      <c r="M2961" s="70"/>
      <c r="N2961" s="74"/>
      <c r="O2961" s="75"/>
      <c r="P2961" s="75"/>
      <c r="U2961" s="72"/>
      <c r="V2961" s="73"/>
      <c r="W2961" s="70"/>
      <c r="X2961" s="74"/>
      <c r="Y2961" s="75"/>
      <c r="Z2961" s="75"/>
    </row>
    <row r="2962" spans="1:26" x14ac:dyDescent="0.3">
      <c r="A2962" s="72"/>
      <c r="B2962" s="73"/>
      <c r="C2962" s="70"/>
      <c r="D2962" s="74"/>
      <c r="E2962" s="75"/>
      <c r="F2962" s="75"/>
      <c r="K2962" s="72"/>
      <c r="L2962" s="73"/>
      <c r="M2962" s="70"/>
      <c r="N2962" s="74"/>
      <c r="O2962" s="75"/>
      <c r="P2962" s="75"/>
      <c r="U2962" s="72"/>
      <c r="V2962" s="73"/>
      <c r="W2962" s="70"/>
      <c r="X2962" s="74"/>
      <c r="Y2962" s="75"/>
      <c r="Z2962" s="75"/>
    </row>
    <row r="2963" spans="1:26" x14ac:dyDescent="0.3">
      <c r="A2963" s="72"/>
      <c r="B2963" s="73"/>
      <c r="C2963" s="70"/>
      <c r="D2963" s="74"/>
      <c r="E2963" s="75"/>
      <c r="F2963" s="75"/>
      <c r="K2963" s="72"/>
      <c r="L2963" s="73"/>
      <c r="M2963" s="70"/>
      <c r="N2963" s="74"/>
      <c r="O2963" s="75"/>
      <c r="P2963" s="75"/>
      <c r="U2963" s="72"/>
      <c r="V2963" s="73"/>
      <c r="W2963" s="70"/>
      <c r="X2963" s="74"/>
      <c r="Y2963" s="75"/>
      <c r="Z2963" s="75"/>
    </row>
    <row r="2964" spans="1:26" x14ac:dyDescent="0.3">
      <c r="A2964" s="72"/>
      <c r="B2964" s="73"/>
      <c r="C2964" s="70"/>
      <c r="D2964" s="74"/>
      <c r="E2964" s="75"/>
      <c r="F2964" s="75"/>
      <c r="K2964" s="72"/>
      <c r="L2964" s="73"/>
      <c r="M2964" s="70"/>
      <c r="N2964" s="74"/>
      <c r="O2964" s="75"/>
      <c r="P2964" s="75"/>
      <c r="U2964" s="72"/>
      <c r="V2964" s="73"/>
      <c r="W2964" s="70"/>
      <c r="X2964" s="74"/>
      <c r="Y2964" s="75"/>
      <c r="Z2964" s="75"/>
    </row>
    <row r="2965" spans="1:26" x14ac:dyDescent="0.3">
      <c r="A2965" s="72"/>
      <c r="B2965" s="73"/>
      <c r="C2965" s="70"/>
      <c r="D2965" s="74"/>
      <c r="E2965" s="75"/>
      <c r="F2965" s="75"/>
      <c r="K2965" s="72"/>
      <c r="L2965" s="73"/>
      <c r="M2965" s="70"/>
      <c r="N2965" s="74"/>
      <c r="O2965" s="75"/>
      <c r="P2965" s="75"/>
      <c r="U2965" s="72"/>
      <c r="V2965" s="73"/>
      <c r="W2965" s="70"/>
      <c r="X2965" s="74"/>
      <c r="Y2965" s="75"/>
      <c r="Z2965" s="75"/>
    </row>
    <row r="2966" spans="1:26" x14ac:dyDescent="0.3">
      <c r="A2966" s="72"/>
      <c r="B2966" s="73"/>
      <c r="C2966" s="70"/>
      <c r="D2966" s="74"/>
      <c r="E2966" s="75"/>
      <c r="F2966" s="75"/>
      <c r="K2966" s="72"/>
      <c r="L2966" s="73"/>
      <c r="M2966" s="70"/>
      <c r="N2966" s="74"/>
      <c r="O2966" s="75"/>
      <c r="P2966" s="75"/>
      <c r="U2966" s="72"/>
      <c r="V2966" s="73"/>
      <c r="W2966" s="70"/>
      <c r="X2966" s="74"/>
      <c r="Y2966" s="75"/>
      <c r="Z2966" s="75"/>
    </row>
    <row r="2967" spans="1:26" x14ac:dyDescent="0.3">
      <c r="A2967" s="72"/>
      <c r="B2967" s="73"/>
      <c r="C2967" s="70"/>
      <c r="D2967" s="74"/>
      <c r="E2967" s="75"/>
      <c r="F2967" s="75"/>
      <c r="K2967" s="72"/>
      <c r="L2967" s="73"/>
      <c r="M2967" s="70"/>
      <c r="N2967" s="74"/>
      <c r="O2967" s="75"/>
      <c r="P2967" s="75"/>
      <c r="U2967" s="72"/>
      <c r="V2967" s="73"/>
      <c r="W2967" s="70"/>
      <c r="X2967" s="74"/>
      <c r="Y2967" s="75"/>
      <c r="Z2967" s="75"/>
    </row>
    <row r="2968" spans="1:26" x14ac:dyDescent="0.3">
      <c r="A2968" s="72"/>
      <c r="B2968" s="73"/>
      <c r="C2968" s="70"/>
      <c r="D2968" s="74"/>
      <c r="E2968" s="75"/>
      <c r="F2968" s="75"/>
      <c r="K2968" s="72"/>
      <c r="L2968" s="73"/>
      <c r="M2968" s="70"/>
      <c r="N2968" s="74"/>
      <c r="O2968" s="75"/>
      <c r="P2968" s="75"/>
      <c r="U2968" s="72"/>
      <c r="V2968" s="73"/>
      <c r="W2968" s="70"/>
      <c r="X2968" s="74"/>
      <c r="Y2968" s="75"/>
      <c r="Z2968" s="75"/>
    </row>
    <row r="2969" spans="1:26" x14ac:dyDescent="0.3">
      <c r="A2969" s="72"/>
      <c r="B2969" s="73"/>
      <c r="C2969" s="70"/>
      <c r="D2969" s="74"/>
      <c r="E2969" s="75"/>
      <c r="F2969" s="75"/>
      <c r="K2969" s="72"/>
      <c r="L2969" s="73"/>
      <c r="M2969" s="70"/>
      <c r="N2969" s="74"/>
      <c r="O2969" s="75"/>
      <c r="P2969" s="75"/>
      <c r="U2969" s="72"/>
      <c r="V2969" s="73"/>
      <c r="W2969" s="70"/>
      <c r="X2969" s="74"/>
      <c r="Y2969" s="75"/>
      <c r="Z2969" s="75"/>
    </row>
    <row r="2970" spans="1:26" x14ac:dyDescent="0.3">
      <c r="A2970" s="72"/>
      <c r="B2970" s="73"/>
      <c r="C2970" s="70"/>
      <c r="D2970" s="74"/>
      <c r="E2970" s="75"/>
      <c r="F2970" s="75"/>
      <c r="K2970" s="72"/>
      <c r="L2970" s="73"/>
      <c r="M2970" s="70"/>
      <c r="N2970" s="74"/>
      <c r="O2970" s="75"/>
      <c r="P2970" s="75"/>
      <c r="U2970" s="72"/>
      <c r="V2970" s="73"/>
      <c r="W2970" s="70"/>
      <c r="X2970" s="74"/>
      <c r="Y2970" s="75"/>
      <c r="Z2970" s="75"/>
    </row>
    <row r="2971" spans="1:26" x14ac:dyDescent="0.3">
      <c r="A2971" s="72"/>
      <c r="B2971" s="73"/>
      <c r="C2971" s="70"/>
      <c r="D2971" s="74"/>
      <c r="E2971" s="75"/>
      <c r="F2971" s="75"/>
      <c r="K2971" s="72"/>
      <c r="L2971" s="73"/>
      <c r="M2971" s="70"/>
      <c r="N2971" s="74"/>
      <c r="O2971" s="75"/>
      <c r="P2971" s="75"/>
      <c r="U2971" s="72"/>
      <c r="V2971" s="73"/>
      <c r="W2971" s="70"/>
      <c r="X2971" s="74"/>
      <c r="Y2971" s="75"/>
      <c r="Z2971" s="75"/>
    </row>
    <row r="2972" spans="1:26" x14ac:dyDescent="0.3">
      <c r="A2972" s="72"/>
      <c r="B2972" s="73"/>
      <c r="C2972" s="70"/>
      <c r="D2972" s="74"/>
      <c r="E2972" s="75"/>
      <c r="F2972" s="75"/>
      <c r="K2972" s="72"/>
      <c r="L2972" s="73"/>
      <c r="M2972" s="70"/>
      <c r="N2972" s="74"/>
      <c r="O2972" s="75"/>
      <c r="P2972" s="75"/>
      <c r="U2972" s="72"/>
      <c r="V2972" s="73"/>
      <c r="W2972" s="70"/>
      <c r="X2972" s="74"/>
      <c r="Y2972" s="75"/>
      <c r="Z2972" s="75"/>
    </row>
    <row r="2973" spans="1:26" x14ac:dyDescent="0.3">
      <c r="A2973" s="72"/>
      <c r="B2973" s="73"/>
      <c r="C2973" s="70"/>
      <c r="D2973" s="74"/>
      <c r="E2973" s="75"/>
      <c r="F2973" s="75"/>
      <c r="K2973" s="72"/>
      <c r="L2973" s="73"/>
      <c r="M2973" s="70"/>
      <c r="N2973" s="74"/>
      <c r="O2973" s="75"/>
      <c r="P2973" s="75"/>
      <c r="U2973" s="72"/>
      <c r="V2973" s="73"/>
      <c r="W2973" s="70"/>
      <c r="X2973" s="74"/>
      <c r="Y2973" s="75"/>
      <c r="Z2973" s="75"/>
    </row>
    <row r="2974" spans="1:26" x14ac:dyDescent="0.3">
      <c r="A2974" s="72"/>
      <c r="B2974" s="73"/>
      <c r="C2974" s="70"/>
      <c r="D2974" s="74"/>
      <c r="E2974" s="75"/>
      <c r="F2974" s="75"/>
      <c r="K2974" s="72"/>
      <c r="L2974" s="73"/>
      <c r="M2974" s="70"/>
      <c r="N2974" s="74"/>
      <c r="O2974" s="75"/>
      <c r="P2974" s="75"/>
      <c r="U2974" s="72"/>
      <c r="V2974" s="73"/>
      <c r="W2974" s="70"/>
      <c r="X2974" s="74"/>
      <c r="Y2974" s="75"/>
      <c r="Z2974" s="75"/>
    </row>
    <row r="2975" spans="1:26" x14ac:dyDescent="0.3">
      <c r="A2975" s="72"/>
      <c r="B2975" s="73"/>
      <c r="C2975" s="70"/>
      <c r="D2975" s="74"/>
      <c r="E2975" s="75"/>
      <c r="F2975" s="75"/>
      <c r="K2975" s="72"/>
      <c r="L2975" s="73"/>
      <c r="M2975" s="70"/>
      <c r="N2975" s="74"/>
      <c r="O2975" s="75"/>
      <c r="P2975" s="75"/>
      <c r="U2975" s="72"/>
      <c r="V2975" s="73"/>
      <c r="W2975" s="70"/>
      <c r="X2975" s="74"/>
      <c r="Y2975" s="75"/>
      <c r="Z2975" s="75"/>
    </row>
    <row r="2976" spans="1:26" x14ac:dyDescent="0.3">
      <c r="A2976" s="72"/>
      <c r="B2976" s="73"/>
      <c r="C2976" s="70"/>
      <c r="D2976" s="74"/>
      <c r="E2976" s="75"/>
      <c r="F2976" s="75"/>
      <c r="K2976" s="72"/>
      <c r="L2976" s="73"/>
      <c r="M2976" s="70"/>
      <c r="N2976" s="74"/>
      <c r="O2976" s="75"/>
      <c r="P2976" s="75"/>
      <c r="U2976" s="72"/>
      <c r="V2976" s="73"/>
      <c r="W2976" s="70"/>
      <c r="X2976" s="74"/>
      <c r="Y2976" s="75"/>
      <c r="Z2976" s="75"/>
    </row>
    <row r="2977" spans="1:26" x14ac:dyDescent="0.3">
      <c r="A2977" s="72"/>
      <c r="B2977" s="73"/>
      <c r="C2977" s="70"/>
      <c r="D2977" s="74"/>
      <c r="E2977" s="75"/>
      <c r="F2977" s="75"/>
      <c r="K2977" s="72"/>
      <c r="L2977" s="73"/>
      <c r="M2977" s="70"/>
      <c r="N2977" s="74"/>
      <c r="O2977" s="75"/>
      <c r="P2977" s="75"/>
      <c r="U2977" s="72"/>
      <c r="V2977" s="73"/>
      <c r="W2977" s="70"/>
      <c r="X2977" s="74"/>
      <c r="Y2977" s="75"/>
      <c r="Z2977" s="75"/>
    </row>
    <row r="2978" spans="1:26" x14ac:dyDescent="0.3">
      <c r="A2978" s="72"/>
      <c r="B2978" s="73"/>
      <c r="C2978" s="70"/>
      <c r="D2978" s="74"/>
      <c r="E2978" s="75"/>
      <c r="F2978" s="75"/>
      <c r="K2978" s="72"/>
      <c r="L2978" s="73"/>
      <c r="M2978" s="70"/>
      <c r="N2978" s="74"/>
      <c r="O2978" s="75"/>
      <c r="P2978" s="75"/>
      <c r="U2978" s="72"/>
      <c r="V2978" s="73"/>
      <c r="W2978" s="70"/>
      <c r="X2978" s="74"/>
      <c r="Y2978" s="75"/>
      <c r="Z2978" s="75"/>
    </row>
    <row r="2979" spans="1:26" x14ac:dyDescent="0.3">
      <c r="A2979" s="72"/>
      <c r="B2979" s="73"/>
      <c r="C2979" s="70"/>
      <c r="D2979" s="74"/>
      <c r="E2979" s="75"/>
      <c r="F2979" s="75"/>
      <c r="K2979" s="72"/>
      <c r="L2979" s="73"/>
      <c r="M2979" s="70"/>
      <c r="N2979" s="74"/>
      <c r="O2979" s="75"/>
      <c r="P2979" s="75"/>
      <c r="U2979" s="72"/>
      <c r="V2979" s="73"/>
      <c r="W2979" s="70"/>
      <c r="X2979" s="74"/>
      <c r="Y2979" s="75"/>
      <c r="Z2979" s="75"/>
    </row>
    <row r="2980" spans="1:26" x14ac:dyDescent="0.3">
      <c r="A2980" s="72"/>
      <c r="B2980" s="73"/>
      <c r="C2980" s="70"/>
      <c r="D2980" s="74"/>
      <c r="E2980" s="75"/>
      <c r="F2980" s="75"/>
      <c r="K2980" s="72"/>
      <c r="L2980" s="73"/>
      <c r="M2980" s="70"/>
      <c r="N2980" s="74"/>
      <c r="O2980" s="75"/>
      <c r="P2980" s="75"/>
      <c r="U2980" s="72"/>
      <c r="V2980" s="73"/>
      <c r="W2980" s="70"/>
      <c r="X2980" s="74"/>
      <c r="Y2980" s="75"/>
      <c r="Z2980" s="75"/>
    </row>
    <row r="2981" spans="1:26" x14ac:dyDescent="0.3">
      <c r="A2981" s="72"/>
      <c r="B2981" s="73"/>
      <c r="C2981" s="70"/>
      <c r="D2981" s="74"/>
      <c r="E2981" s="75"/>
      <c r="F2981" s="75"/>
      <c r="K2981" s="72"/>
      <c r="L2981" s="73"/>
      <c r="M2981" s="70"/>
      <c r="N2981" s="74"/>
      <c r="O2981" s="75"/>
      <c r="P2981" s="75"/>
      <c r="U2981" s="72"/>
      <c r="V2981" s="73"/>
      <c r="W2981" s="70"/>
      <c r="X2981" s="74"/>
      <c r="Y2981" s="75"/>
      <c r="Z2981" s="75"/>
    </row>
    <row r="2982" spans="1:26" x14ac:dyDescent="0.3">
      <c r="A2982" s="72"/>
      <c r="B2982" s="73"/>
      <c r="C2982" s="70"/>
      <c r="D2982" s="74"/>
      <c r="E2982" s="75"/>
      <c r="F2982" s="75"/>
      <c r="K2982" s="72"/>
      <c r="L2982" s="73"/>
      <c r="M2982" s="70"/>
      <c r="N2982" s="74"/>
      <c r="O2982" s="75"/>
      <c r="P2982" s="75"/>
      <c r="U2982" s="72"/>
      <c r="V2982" s="73"/>
      <c r="W2982" s="70"/>
      <c r="X2982" s="74"/>
      <c r="Y2982" s="75"/>
      <c r="Z2982" s="75"/>
    </row>
    <row r="2983" spans="1:26" x14ac:dyDescent="0.3">
      <c r="A2983" s="72"/>
      <c r="B2983" s="73"/>
      <c r="C2983" s="70"/>
      <c r="D2983" s="74"/>
      <c r="E2983" s="75"/>
      <c r="F2983" s="75"/>
      <c r="K2983" s="72"/>
      <c r="L2983" s="73"/>
      <c r="M2983" s="70"/>
      <c r="N2983" s="74"/>
      <c r="O2983" s="75"/>
      <c r="P2983" s="75"/>
      <c r="U2983" s="72"/>
      <c r="V2983" s="73"/>
      <c r="W2983" s="70"/>
      <c r="X2983" s="74"/>
      <c r="Y2983" s="75"/>
      <c r="Z2983" s="75"/>
    </row>
    <row r="2984" spans="1:26" x14ac:dyDescent="0.3">
      <c r="A2984" s="72"/>
      <c r="B2984" s="73"/>
      <c r="C2984" s="70"/>
      <c r="D2984" s="74"/>
      <c r="E2984" s="75"/>
      <c r="F2984" s="75"/>
      <c r="K2984" s="72"/>
      <c r="L2984" s="73"/>
      <c r="M2984" s="70"/>
      <c r="N2984" s="74"/>
      <c r="O2984" s="75"/>
      <c r="P2984" s="75"/>
      <c r="U2984" s="72"/>
      <c r="V2984" s="73"/>
      <c r="W2984" s="70"/>
      <c r="X2984" s="74"/>
      <c r="Y2984" s="75"/>
      <c r="Z2984" s="75"/>
    </row>
    <row r="2985" spans="1:26" x14ac:dyDescent="0.3">
      <c r="A2985" s="72"/>
      <c r="B2985" s="73"/>
      <c r="C2985" s="70"/>
      <c r="D2985" s="74"/>
      <c r="E2985" s="75"/>
      <c r="F2985" s="75"/>
      <c r="K2985" s="72"/>
      <c r="L2985" s="73"/>
      <c r="M2985" s="70"/>
      <c r="N2985" s="74"/>
      <c r="O2985" s="75"/>
      <c r="P2985" s="75"/>
      <c r="U2985" s="72"/>
      <c r="V2985" s="73"/>
      <c r="W2985" s="70"/>
      <c r="X2985" s="74"/>
      <c r="Y2985" s="75"/>
      <c r="Z2985" s="75"/>
    </row>
    <row r="2986" spans="1:26" x14ac:dyDescent="0.3">
      <c r="A2986" s="72"/>
      <c r="B2986" s="73"/>
      <c r="C2986" s="70"/>
      <c r="D2986" s="74"/>
      <c r="E2986" s="75"/>
      <c r="F2986" s="75"/>
      <c r="K2986" s="72"/>
      <c r="L2986" s="73"/>
      <c r="M2986" s="70"/>
      <c r="N2986" s="74"/>
      <c r="O2986" s="75"/>
      <c r="P2986" s="75"/>
      <c r="U2986" s="72"/>
      <c r="V2986" s="73"/>
      <c r="W2986" s="70"/>
      <c r="X2986" s="74"/>
      <c r="Y2986" s="75"/>
      <c r="Z2986" s="75"/>
    </row>
    <row r="2987" spans="1:26" x14ac:dyDescent="0.3">
      <c r="A2987" s="72"/>
      <c r="B2987" s="73"/>
      <c r="C2987" s="70"/>
      <c r="D2987" s="74"/>
      <c r="E2987" s="75"/>
      <c r="F2987" s="75"/>
      <c r="K2987" s="72"/>
      <c r="L2987" s="73"/>
      <c r="M2987" s="70"/>
      <c r="N2987" s="74"/>
      <c r="O2987" s="75"/>
      <c r="P2987" s="75"/>
      <c r="U2987" s="72"/>
      <c r="V2987" s="73"/>
      <c r="W2987" s="70"/>
      <c r="X2987" s="74"/>
      <c r="Y2987" s="75"/>
      <c r="Z2987" s="75"/>
    </row>
    <row r="2988" spans="1:26" x14ac:dyDescent="0.3">
      <c r="A2988" s="72"/>
      <c r="B2988" s="73"/>
      <c r="C2988" s="70"/>
      <c r="D2988" s="74"/>
      <c r="E2988" s="75"/>
      <c r="F2988" s="75"/>
      <c r="K2988" s="72"/>
      <c r="L2988" s="73"/>
      <c r="M2988" s="70"/>
      <c r="N2988" s="74"/>
      <c r="O2988" s="75"/>
      <c r="P2988" s="75"/>
      <c r="U2988" s="72"/>
      <c r="V2988" s="73"/>
      <c r="W2988" s="70"/>
      <c r="X2988" s="74"/>
      <c r="Y2988" s="75"/>
      <c r="Z2988" s="75"/>
    </row>
    <row r="2989" spans="1:26" x14ac:dyDescent="0.3">
      <c r="A2989" s="72"/>
      <c r="B2989" s="73"/>
      <c r="C2989" s="70"/>
      <c r="D2989" s="74"/>
      <c r="E2989" s="75"/>
      <c r="F2989" s="75"/>
      <c r="K2989" s="72"/>
      <c r="L2989" s="73"/>
      <c r="M2989" s="70"/>
      <c r="N2989" s="74"/>
      <c r="O2989" s="75"/>
      <c r="P2989" s="75"/>
      <c r="U2989" s="72"/>
      <c r="V2989" s="73"/>
      <c r="W2989" s="70"/>
      <c r="X2989" s="74"/>
      <c r="Y2989" s="75"/>
      <c r="Z2989" s="75"/>
    </row>
    <row r="2990" spans="1:26" x14ac:dyDescent="0.3">
      <c r="A2990" s="72"/>
      <c r="B2990" s="73"/>
      <c r="C2990" s="70"/>
      <c r="D2990" s="74"/>
      <c r="E2990" s="75"/>
      <c r="F2990" s="75"/>
      <c r="K2990" s="72"/>
      <c r="L2990" s="73"/>
      <c r="M2990" s="70"/>
      <c r="N2990" s="74"/>
      <c r="O2990" s="75"/>
      <c r="P2990" s="75"/>
      <c r="U2990" s="72"/>
      <c r="V2990" s="73"/>
      <c r="W2990" s="70"/>
      <c r="X2990" s="74"/>
      <c r="Y2990" s="75"/>
      <c r="Z2990" s="75"/>
    </row>
    <row r="2991" spans="1:26" x14ac:dyDescent="0.3">
      <c r="A2991" s="72"/>
      <c r="B2991" s="73"/>
      <c r="C2991" s="70"/>
      <c r="D2991" s="74"/>
      <c r="E2991" s="75"/>
      <c r="F2991" s="75"/>
      <c r="K2991" s="72"/>
      <c r="L2991" s="73"/>
      <c r="M2991" s="70"/>
      <c r="N2991" s="74"/>
      <c r="O2991" s="75"/>
      <c r="P2991" s="75"/>
      <c r="U2991" s="72"/>
      <c r="V2991" s="73"/>
      <c r="W2991" s="70"/>
      <c r="X2991" s="74"/>
      <c r="Y2991" s="75"/>
      <c r="Z2991" s="75"/>
    </row>
    <row r="2992" spans="1:26" x14ac:dyDescent="0.3">
      <c r="A2992" s="72"/>
      <c r="B2992" s="73"/>
      <c r="C2992" s="70"/>
      <c r="D2992" s="74"/>
      <c r="E2992" s="75"/>
      <c r="F2992" s="75"/>
      <c r="K2992" s="72"/>
      <c r="L2992" s="73"/>
      <c r="M2992" s="70"/>
      <c r="N2992" s="74"/>
      <c r="O2992" s="75"/>
      <c r="P2992" s="75"/>
      <c r="U2992" s="72"/>
      <c r="V2992" s="73"/>
      <c r="W2992" s="70"/>
      <c r="X2992" s="74"/>
      <c r="Y2992" s="75"/>
      <c r="Z2992" s="75"/>
    </row>
    <row r="2993" spans="1:26" x14ac:dyDescent="0.3">
      <c r="A2993" s="72"/>
      <c r="B2993" s="73"/>
      <c r="C2993" s="70"/>
      <c r="D2993" s="74"/>
      <c r="E2993" s="75"/>
      <c r="F2993" s="75"/>
      <c r="K2993" s="72"/>
      <c r="L2993" s="73"/>
      <c r="M2993" s="70"/>
      <c r="N2993" s="74"/>
      <c r="O2993" s="75"/>
      <c r="P2993" s="75"/>
      <c r="U2993" s="72"/>
      <c r="V2993" s="73"/>
      <c r="W2993" s="70"/>
      <c r="X2993" s="74"/>
      <c r="Y2993" s="75"/>
      <c r="Z2993" s="75"/>
    </row>
    <row r="2994" spans="1:26" x14ac:dyDescent="0.3">
      <c r="A2994" s="72"/>
      <c r="B2994" s="73"/>
      <c r="C2994" s="70"/>
      <c r="D2994" s="74"/>
      <c r="E2994" s="75"/>
      <c r="F2994" s="75"/>
      <c r="K2994" s="72"/>
      <c r="L2994" s="73"/>
      <c r="M2994" s="70"/>
      <c r="N2994" s="74"/>
      <c r="O2994" s="75"/>
      <c r="P2994" s="75"/>
      <c r="U2994" s="72"/>
      <c r="V2994" s="73"/>
      <c r="W2994" s="70"/>
      <c r="X2994" s="74"/>
      <c r="Y2994" s="75"/>
      <c r="Z2994" s="75"/>
    </row>
    <row r="2995" spans="1:26" x14ac:dyDescent="0.3">
      <c r="A2995" s="72"/>
      <c r="B2995" s="73"/>
      <c r="C2995" s="70"/>
      <c r="D2995" s="74"/>
      <c r="E2995" s="75"/>
      <c r="F2995" s="75"/>
      <c r="K2995" s="72"/>
      <c r="L2995" s="73"/>
      <c r="M2995" s="70"/>
      <c r="N2995" s="74"/>
      <c r="O2995" s="75"/>
      <c r="P2995" s="75"/>
      <c r="U2995" s="72"/>
      <c r="V2995" s="73"/>
      <c r="W2995" s="70"/>
      <c r="X2995" s="74"/>
      <c r="Y2995" s="75"/>
      <c r="Z2995" s="75"/>
    </row>
    <row r="2996" spans="1:26" x14ac:dyDescent="0.3">
      <c r="A2996" s="72"/>
      <c r="B2996" s="73"/>
      <c r="C2996" s="70"/>
      <c r="D2996" s="74"/>
      <c r="E2996" s="75"/>
      <c r="F2996" s="75"/>
      <c r="K2996" s="72"/>
      <c r="L2996" s="73"/>
      <c r="M2996" s="70"/>
      <c r="N2996" s="74"/>
      <c r="O2996" s="75"/>
      <c r="P2996" s="75"/>
      <c r="U2996" s="72"/>
      <c r="V2996" s="73"/>
      <c r="W2996" s="70"/>
      <c r="X2996" s="74"/>
      <c r="Y2996" s="75"/>
      <c r="Z2996" s="75"/>
    </row>
    <row r="2997" spans="1:26" x14ac:dyDescent="0.3">
      <c r="A2997" s="72"/>
      <c r="B2997" s="73"/>
      <c r="C2997" s="70"/>
      <c r="D2997" s="74"/>
      <c r="E2997" s="75"/>
      <c r="F2997" s="75"/>
      <c r="K2997" s="72"/>
      <c r="L2997" s="73"/>
      <c r="M2997" s="70"/>
      <c r="N2997" s="74"/>
      <c r="O2997" s="75"/>
      <c r="P2997" s="75"/>
      <c r="U2997" s="72"/>
      <c r="V2997" s="73"/>
      <c r="W2997" s="70"/>
      <c r="X2997" s="74"/>
      <c r="Y2997" s="75"/>
      <c r="Z2997" s="75"/>
    </row>
    <row r="2998" spans="1:26" x14ac:dyDescent="0.3">
      <c r="A2998" s="72"/>
      <c r="B2998" s="73"/>
      <c r="C2998" s="70"/>
      <c r="D2998" s="74"/>
      <c r="E2998" s="75"/>
      <c r="F2998" s="75"/>
      <c r="K2998" s="72"/>
      <c r="L2998" s="73"/>
      <c r="M2998" s="70"/>
      <c r="N2998" s="74"/>
      <c r="O2998" s="75"/>
      <c r="P2998" s="75"/>
      <c r="U2998" s="72"/>
      <c r="V2998" s="73"/>
      <c r="W2998" s="70"/>
      <c r="X2998" s="74"/>
      <c r="Y2998" s="75"/>
      <c r="Z2998" s="75"/>
    </row>
    <row r="2999" spans="1:26" x14ac:dyDescent="0.3">
      <c r="A2999" s="72"/>
      <c r="B2999" s="73"/>
      <c r="C2999" s="70"/>
      <c r="D2999" s="74"/>
      <c r="E2999" s="75"/>
      <c r="F2999" s="75"/>
      <c r="K2999" s="72"/>
      <c r="L2999" s="73"/>
      <c r="M2999" s="70"/>
      <c r="N2999" s="74"/>
      <c r="O2999" s="75"/>
      <c r="P2999" s="75"/>
      <c r="U2999" s="72"/>
      <c r="V2999" s="73"/>
      <c r="W2999" s="70"/>
      <c r="X2999" s="74"/>
      <c r="Y2999" s="75"/>
      <c r="Z2999" s="75"/>
    </row>
    <row r="3000" spans="1:26" x14ac:dyDescent="0.3">
      <c r="A3000" s="72"/>
      <c r="B3000" s="73"/>
      <c r="C3000" s="70"/>
      <c r="D3000" s="74"/>
      <c r="E3000" s="75"/>
      <c r="F3000" s="75"/>
      <c r="K3000" s="72"/>
      <c r="L3000" s="73"/>
      <c r="M3000" s="70"/>
      <c r="N3000" s="74"/>
      <c r="O3000" s="75"/>
      <c r="P3000" s="75"/>
      <c r="U3000" s="72"/>
      <c r="V3000" s="73"/>
      <c r="W3000" s="70"/>
      <c r="X3000" s="74"/>
      <c r="Y3000" s="75"/>
      <c r="Z3000" s="75"/>
    </row>
    <row r="3001" spans="1:26" x14ac:dyDescent="0.3">
      <c r="A3001" s="72"/>
      <c r="B3001" s="73"/>
      <c r="C3001" s="70"/>
      <c r="D3001" s="74"/>
      <c r="E3001" s="75"/>
      <c r="F3001" s="75"/>
      <c r="K3001" s="72"/>
      <c r="L3001" s="73"/>
      <c r="M3001" s="70"/>
      <c r="N3001" s="74"/>
      <c r="O3001" s="75"/>
      <c r="P3001" s="75"/>
      <c r="U3001" s="72"/>
      <c r="V3001" s="73"/>
      <c r="W3001" s="70"/>
      <c r="X3001" s="74"/>
      <c r="Y3001" s="75"/>
      <c r="Z3001" s="75"/>
    </row>
    <row r="3002" spans="1:26" x14ac:dyDescent="0.3">
      <c r="A3002" s="72"/>
      <c r="B3002" s="73"/>
      <c r="C3002" s="70"/>
      <c r="D3002" s="74"/>
      <c r="E3002" s="75"/>
      <c r="F3002" s="75"/>
      <c r="K3002" s="72"/>
      <c r="L3002" s="73"/>
      <c r="M3002" s="70"/>
      <c r="N3002" s="74"/>
      <c r="O3002" s="75"/>
      <c r="P3002" s="75"/>
      <c r="U3002" s="72"/>
      <c r="V3002" s="73"/>
      <c r="W3002" s="70"/>
      <c r="X3002" s="74"/>
      <c r="Y3002" s="75"/>
      <c r="Z3002" s="75"/>
    </row>
    <row r="3003" spans="1:26" x14ac:dyDescent="0.3">
      <c r="A3003" s="72"/>
      <c r="B3003" s="73"/>
      <c r="C3003" s="70"/>
      <c r="D3003" s="74"/>
      <c r="E3003" s="75"/>
      <c r="F3003" s="75"/>
      <c r="K3003" s="72"/>
      <c r="L3003" s="73"/>
      <c r="M3003" s="70"/>
      <c r="N3003" s="74"/>
      <c r="O3003" s="75"/>
      <c r="P3003" s="75"/>
      <c r="U3003" s="72"/>
      <c r="V3003" s="73"/>
      <c r="W3003" s="70"/>
      <c r="X3003" s="74"/>
      <c r="Y3003" s="75"/>
      <c r="Z3003" s="75"/>
    </row>
  </sheetData>
  <sheetProtection algorithmName="SHA-512" hashValue="XmbyLkkEqQEw35aKSsVQjWPTUSrAKMtJl1KCDuYEmmnrlUhH4NGM3WArvMJXZZR5FeLr41wjnJ5OoHPiPfKkfw==" saltValue="0lNDmL6/cIJMnMMxu6QSbw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33"/>
  <sheetViews>
    <sheetView showGridLines="0" showRowColHeader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69" t="s">
        <v>0</v>
      </c>
      <c r="B1" s="166"/>
      <c r="C1" s="166"/>
      <c r="D1" s="166"/>
      <c r="E1" s="166"/>
      <c r="F1" s="166"/>
      <c r="G1" s="166"/>
      <c r="H1" s="166"/>
    </row>
    <row r="2" spans="1:8" ht="19.95" customHeight="1" x14ac:dyDescent="0.3">
      <c r="A2" s="168" t="s">
        <v>1</v>
      </c>
      <c r="B2" s="166"/>
      <c r="C2" s="166"/>
      <c r="D2" s="166"/>
      <c r="E2" s="166"/>
      <c r="F2" s="166"/>
      <c r="G2" s="166"/>
      <c r="H2" s="166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29" t="s">
        <v>4722</v>
      </c>
    </row>
    <row r="12" spans="1:8" ht="15" customHeight="1" x14ac:dyDescent="0.3"/>
    <row r="13" spans="1:8" ht="15" customHeight="1" x14ac:dyDescent="0.3"/>
    <row r="14" spans="1:8" ht="15" customHeight="1" x14ac:dyDescent="0.3"/>
    <row r="15" spans="1:8" ht="15" customHeight="1" x14ac:dyDescent="0.3"/>
    <row r="16" spans="1:8" ht="15" customHeight="1" x14ac:dyDescent="0.3"/>
    <row r="17" spans="2:8" ht="15" customHeight="1" x14ac:dyDescent="0.3"/>
    <row r="18" spans="2:8" ht="15" customHeight="1" x14ac:dyDescent="0.3"/>
    <row r="19" spans="2:8" ht="15" customHeight="1" x14ac:dyDescent="0.3"/>
    <row r="20" spans="2:8" ht="15" customHeight="1" x14ac:dyDescent="0.3"/>
    <row r="21" spans="2:8" ht="15" customHeight="1" x14ac:dyDescent="0.3">
      <c r="B21" s="129" t="s">
        <v>4723</v>
      </c>
    </row>
    <row r="22" spans="2:8" x14ac:dyDescent="0.3">
      <c r="B22" s="257" t="s">
        <v>4724</v>
      </c>
      <c r="C22" s="258" t="str">
        <f ca="1">loteAtivo&amp;IF(Configuração!$C$21="",""," · validade "&amp;TEXT(Configuração!$C$21,"dd/mm/aaaa")&amp;IF(Configuração!$C$21-TODAY()&lt;0,"  ⛔ VENCIDO",IF(Configuração!$C$21-TODAY()&lt;=30,"  ⚠ vence em "&amp;(Configuração!$C$21-TODAY())&amp;" dia(s)","")))</f>
        <v>522611 · validade 31/03/2026  ⛔ VENCIDO</v>
      </c>
      <c r="D22" s="258"/>
      <c r="E22" s="258"/>
      <c r="F22" s="258"/>
      <c r="G22" s="258"/>
    </row>
    <row r="23" spans="2:8" x14ac:dyDescent="0.3">
      <c r="B23" s="131" t="s">
        <v>4725</v>
      </c>
      <c r="C23" s="176" t="str">
        <f>loteAnalise&amp;"  ·  escolha outro na lista do Painel"</f>
        <v>522611  ·  escolha outro na lista do Painel</v>
      </c>
      <c r="D23" s="176"/>
      <c r="E23" s="176"/>
      <c r="F23" s="176"/>
      <c r="G23" s="176"/>
    </row>
    <row r="24" spans="2:8" x14ac:dyDescent="0.3">
      <c r="B24" s="131" t="s">
        <v>4726</v>
      </c>
      <c r="C24" s="176" t="str">
        <f>IF(COUNT(rData)=0,"nenhuma",TEXT(MAX(rData),"dd/mm/aaaa"))</f>
        <v>23/06/2025</v>
      </c>
      <c r="D24" s="176"/>
      <c r="E24" s="176"/>
      <c r="F24" s="176"/>
      <c r="G24" s="176"/>
    </row>
    <row r="25" spans="2:8" x14ac:dyDescent="0.3">
      <c r="B25" s="131" t="s">
        <v>4727</v>
      </c>
      <c r="C25" s="176" t="str">
        <f>TEXT(COUNT(rValor),"#.##0")&amp;" de "&amp;TEXT(capBanco,"#.##0")&amp;" ("&amp;TEXT(COUNT(rValor)/capBanco,"0%")&amp;" da capacidade)"</f>
        <v>1.575 de 200.000 (1% da capacidade)</v>
      </c>
      <c r="D25" s="176"/>
      <c r="E25" s="176"/>
      <c r="F25" s="176"/>
      <c r="G25" s="176"/>
    </row>
    <row r="26" spans="2:8" x14ac:dyDescent="0.3">
      <c r="B26" s="131" t="s">
        <v>4728</v>
      </c>
      <c r="C26" s="176" t="str">
        <f>COUNTA(Configuração!$C$26:$C$125)&amp;" de 100"</f>
        <v>1 de 100</v>
      </c>
      <c r="D26" s="176"/>
      <c r="E26" s="176"/>
      <c r="F26" s="176"/>
      <c r="G26" s="176"/>
    </row>
    <row r="27" spans="2:8" x14ac:dyDescent="0.3">
      <c r="B27" s="130" t="s">
        <v>4729</v>
      </c>
      <c r="C27" s="177">
        <f>SUMPRODUCT((Analitos!$A$4:$A$43&lt;&gt;"")*(COUNTIFS(lsChave,UPPER(TRIM(loteAtivo&amp;""))&amp;"|"&amp;UPPER(TRIM(Analitos!$A$4:$A$43)),lsMedN1,"&lt;&gt;")=0))</f>
        <v>7</v>
      </c>
      <c r="D27" s="177"/>
      <c r="E27" s="177"/>
      <c r="F27" s="177"/>
      <c r="G27" s="177"/>
    </row>
    <row r="29" spans="2:8" ht="15.6" x14ac:dyDescent="0.3">
      <c r="B29" s="129" t="s">
        <v>4730</v>
      </c>
    </row>
    <row r="30" spans="2:8" ht="28.05" customHeight="1" x14ac:dyDescent="0.3">
      <c r="B30" s="174" t="s">
        <v>4731</v>
      </c>
      <c r="C30" s="174"/>
      <c r="D30" s="174"/>
      <c r="E30" s="174"/>
      <c r="F30" s="174"/>
      <c r="G30" s="174"/>
      <c r="H30" s="174"/>
    </row>
    <row r="31" spans="2:8" ht="28.05" customHeight="1" x14ac:dyDescent="0.3">
      <c r="B31" s="174" t="s">
        <v>4732</v>
      </c>
      <c r="C31" s="174"/>
      <c r="D31" s="174"/>
      <c r="E31" s="174"/>
      <c r="F31" s="174"/>
      <c r="G31" s="174"/>
      <c r="H31" s="174"/>
    </row>
    <row r="32" spans="2:8" ht="28.05" customHeight="1" x14ac:dyDescent="0.3">
      <c r="B32" s="174" t="s">
        <v>4733</v>
      </c>
      <c r="C32" s="174"/>
      <c r="D32" s="174"/>
      <c r="E32" s="174"/>
      <c r="F32" s="174"/>
      <c r="G32" s="174"/>
      <c r="H32" s="174"/>
    </row>
    <row r="33" spans="2:8" ht="28.05" customHeight="1" x14ac:dyDescent="0.3">
      <c r="B33" s="175" t="s">
        <v>4734</v>
      </c>
      <c r="C33" s="174"/>
      <c r="D33" s="174"/>
      <c r="E33" s="174"/>
      <c r="F33" s="174"/>
      <c r="G33" s="174"/>
      <c r="H33" s="174"/>
    </row>
  </sheetData>
  <sheetProtection algorithmName="SHA-512" hashValue="+MSk4nAF3cyONU/J+iQIdz8ZFOvqKSFxd+qDknUXhcjK36aC8gzRfm36LzLFiT3EVqIjRnZzZIrWIVWVqmUXAA==" saltValue="iQ02o5QvwGqwYjUuUiuxWg==" spinCount="100000" sheet="1" scenarios="1"/>
  <mergeCells count="12">
    <mergeCell ref="B32:H32"/>
    <mergeCell ref="B33:H33"/>
    <mergeCell ref="C23:G23"/>
    <mergeCell ref="C24:G24"/>
    <mergeCell ref="C25:G25"/>
    <mergeCell ref="C26:G26"/>
    <mergeCell ref="C27:G27"/>
    <mergeCell ref="A1:H1"/>
    <mergeCell ref="A2:H2"/>
    <mergeCell ref="C22:G22"/>
    <mergeCell ref="B30:H30"/>
    <mergeCell ref="B31:H31"/>
  </mergeCells>
  <conditionalFormatting sqref="C27">
    <cfRule type="cellIs" dxfId="3" priority="1" stopIfTrue="1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B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28" ht="40.200000000000003" customHeight="1" x14ac:dyDescent="0.3">
      <c r="A1" s="169" t="s">
        <v>13</v>
      </c>
      <c r="B1" s="166"/>
      <c r="C1" s="166"/>
      <c r="D1" s="166"/>
      <c r="E1" s="166"/>
      <c r="F1" s="126" t="s">
        <v>14</v>
      </c>
      <c r="G1" s="127" t="s">
        <v>15</v>
      </c>
      <c r="H1" s="125"/>
      <c r="I1" s="125"/>
      <c r="J1" s="125"/>
      <c r="K1" s="125"/>
      <c r="L1" s="125"/>
      <c r="M1" s="125"/>
      <c r="N1" s="125"/>
      <c r="O1" s="125"/>
      <c r="P1" s="125"/>
      <c r="Z1" t="s">
        <v>4738</v>
      </c>
      <c r="AA1" t="s">
        <v>4739</v>
      </c>
      <c r="AB1" s="106" t="s">
        <v>4701</v>
      </c>
    </row>
    <row r="2" spans="1:28" x14ac:dyDescent="0.3">
      <c r="F2" s="126" t="s">
        <v>4649</v>
      </c>
      <c r="G2" s="127" t="s">
        <v>15</v>
      </c>
      <c r="Z2">
        <v>2025</v>
      </c>
      <c r="AA2">
        <v>2025</v>
      </c>
      <c r="AB2" s="106" t="str">
        <f>IFERROR(INDEX($C$26:$C$125,_xlfn.AGGREGATE(15,6,(ROW($C$26:$C$125)-ROW($C$26)+1)/($C$26:$C$125&lt;&gt;""),ROWS($AB$2:AB2))),"")</f>
        <v>522611</v>
      </c>
    </row>
    <row r="3" spans="1:28" x14ac:dyDescent="0.3">
      <c r="AB3" s="106" t="str">
        <f>IFERROR(INDEX($C$26:$C$125,_xlfn.AGGREGATE(15,6,(ROW($C$26:$C$125)-ROW($C$26)+1)/($C$26:$C$125&lt;&gt;""),ROWS($AB$2:AB3))),"")</f>
        <v/>
      </c>
    </row>
    <row r="4" spans="1:28" ht="15.6" x14ac:dyDescent="0.3">
      <c r="B4" s="1" t="s">
        <v>16</v>
      </c>
      <c r="C4" s="10"/>
      <c r="AB4" s="106" t="str">
        <f>IFERROR(INDEX($C$26:$C$125,_xlfn.AGGREGATE(15,6,(ROW($C$26:$C$125)-ROW($C$26)+1)/($C$26:$C$125&lt;&gt;""),ROWS($AB$2:AB4))),"")</f>
        <v/>
      </c>
    </row>
    <row r="5" spans="1:28" x14ac:dyDescent="0.3">
      <c r="B5" s="5" t="s">
        <v>17</v>
      </c>
      <c r="C5" s="11" t="s">
        <v>4</v>
      </c>
      <c r="AB5" s="106" t="str">
        <f>IFERROR(INDEX($C$26:$C$125,_xlfn.AGGREGATE(15,6,(ROW($C$26:$C$125)-ROW($C$26)+1)/($C$26:$C$125&lt;&gt;""),ROWS($AB$2:AB5))),"")</f>
        <v/>
      </c>
    </row>
    <row r="6" spans="1:28" x14ac:dyDescent="0.3">
      <c r="B6" s="5" t="s">
        <v>5</v>
      </c>
      <c r="C6" s="11" t="s">
        <v>6</v>
      </c>
      <c r="AB6" s="106" t="str">
        <f>IFERROR(INDEX($C$26:$C$125,_xlfn.AGGREGATE(15,6,(ROW($C$26:$C$125)-ROW($C$26)+1)/($C$26:$C$125&lt;&gt;""),ROWS($AB$2:AB6))),"")</f>
        <v/>
      </c>
    </row>
    <row r="7" spans="1:28" x14ac:dyDescent="0.3">
      <c r="B7" s="5" t="s">
        <v>18</v>
      </c>
      <c r="C7" s="11" t="s">
        <v>12</v>
      </c>
      <c r="AB7" s="106" t="str">
        <f>IFERROR(INDEX($C$26:$C$125,_xlfn.AGGREGATE(15,6,(ROW($C$26:$C$125)-ROW($C$26)+1)/($C$26:$C$125&lt;&gt;""),ROWS($AB$2:AB7))),"")</f>
        <v/>
      </c>
    </row>
    <row r="8" spans="1:28" x14ac:dyDescent="0.3">
      <c r="B8" s="5" t="s">
        <v>19</v>
      </c>
      <c r="C8" s="11" t="s">
        <v>20</v>
      </c>
      <c r="AB8" s="106" t="str">
        <f>IFERROR(INDEX($C$26:$C$125,_xlfn.AGGREGATE(15,6,(ROW($C$26:$C$125)-ROW($C$26)+1)/($C$26:$C$125&lt;&gt;""),ROWS($AB$2:AB8))),"")</f>
        <v/>
      </c>
    </row>
    <row r="9" spans="1:28" x14ac:dyDescent="0.3">
      <c r="B9" s="5" t="s">
        <v>7</v>
      </c>
      <c r="C9" s="11" t="s">
        <v>8</v>
      </c>
      <c r="AB9" s="106" t="str">
        <f>IFERROR(INDEX($C$26:$C$125,_xlfn.AGGREGATE(15,6,(ROW($C$26:$C$125)-ROW($C$26)+1)/($C$26:$C$125&lt;&gt;""),ROWS($AB$2:AB9))),"")</f>
        <v/>
      </c>
    </row>
    <row r="10" spans="1:28" x14ac:dyDescent="0.3">
      <c r="B10" s="5" t="s">
        <v>21</v>
      </c>
      <c r="C10" s="11" t="s">
        <v>22</v>
      </c>
      <c r="AB10" s="106" t="str">
        <f>IFERROR(INDEX($C$26:$C$125,_xlfn.AGGREGATE(15,6,(ROW($C$26:$C$125)-ROW($C$26)+1)/($C$26:$C$125&lt;&gt;""),ROWS($AB$2:AB10))),"")</f>
        <v/>
      </c>
    </row>
    <row r="11" spans="1:28" x14ac:dyDescent="0.3">
      <c r="B11" s="5" t="s">
        <v>23</v>
      </c>
      <c r="C11" s="11" t="s">
        <v>10</v>
      </c>
      <c r="AB11" s="106" t="str">
        <f>IFERROR(INDEX($C$26:$C$125,_xlfn.AGGREGATE(15,6,(ROW($C$26:$C$125)-ROW($C$26)+1)/($C$26:$C$125&lt;&gt;""),ROWS($AB$2:AB11))),"")</f>
        <v/>
      </c>
    </row>
    <row r="12" spans="1:28" x14ac:dyDescent="0.3">
      <c r="B12" s="5" t="s">
        <v>24</v>
      </c>
      <c r="C12" s="11" t="s">
        <v>25</v>
      </c>
      <c r="AB12" s="106" t="str">
        <f>IFERROR(INDEX($C$26:$C$125,_xlfn.AGGREGATE(15,6,(ROW($C$26:$C$125)-ROW($C$26)+1)/($C$26:$C$125&lt;&gt;""),ROWS($AB$2:AB12))),"")</f>
        <v/>
      </c>
    </row>
    <row r="13" spans="1:28" x14ac:dyDescent="0.3">
      <c r="C13" s="10"/>
      <c r="AB13" s="106" t="str">
        <f>IFERROR(INDEX($C$26:$C$125,_xlfn.AGGREGATE(15,6,(ROW($C$26:$C$125)-ROW($C$26)+1)/($C$26:$C$125&lt;&gt;""),ROWS($AB$2:AB13))),"")</f>
        <v/>
      </c>
    </row>
    <row r="14" spans="1:28" ht="15.6" x14ac:dyDescent="0.3">
      <c r="B14" s="1" t="s">
        <v>26</v>
      </c>
      <c r="C14" s="10"/>
      <c r="AB14" s="106" t="str">
        <f>IFERROR(INDEX($C$26:$C$125,_xlfn.AGGREGATE(15,6,(ROW($C$26:$C$125)-ROW($C$26)+1)/($C$26:$C$125&lt;&gt;""),ROWS($AB$2:AB14))),"")</f>
        <v/>
      </c>
    </row>
    <row r="15" spans="1:28" x14ac:dyDescent="0.3">
      <c r="B15" s="5" t="s">
        <v>27</v>
      </c>
      <c r="C15" s="11">
        <v>1.65</v>
      </c>
      <c r="AB15" s="106" t="str">
        <f>IFERROR(INDEX($C$26:$C$125,_xlfn.AGGREGATE(15,6,(ROW($C$26:$C$125)-ROW($C$26)+1)/($C$26:$C$125&lt;&gt;""),ROWS($AB$2:AB15))),"")</f>
        <v/>
      </c>
    </row>
    <row r="16" spans="1:28" x14ac:dyDescent="0.3">
      <c r="B16" s="5" t="s">
        <v>28</v>
      </c>
      <c r="C16" s="11">
        <v>20</v>
      </c>
      <c r="AB16" s="106" t="str">
        <f>IFERROR(INDEX($C$26:$C$125,_xlfn.AGGREGATE(15,6,(ROW($C$26:$C$125)-ROW($C$26)+1)/($C$26:$C$125&lt;&gt;""),ROWS($AB$2:AB16))),"")</f>
        <v/>
      </c>
    </row>
    <row r="17" spans="2:28" x14ac:dyDescent="0.3">
      <c r="AB17" s="106" t="str">
        <f>IFERROR(INDEX($C$26:$C$125,_xlfn.AGGREGATE(15,6,(ROW($C$26:$C$125)-ROW($C$26)+1)/($C$26:$C$125&lt;&gt;""),ROWS($AB$2:AB17))),"")</f>
        <v/>
      </c>
    </row>
    <row r="18" spans="2:28" ht="15.6" x14ac:dyDescent="0.3">
      <c r="B18" s="1" t="s">
        <v>29</v>
      </c>
      <c r="AB18" s="106" t="str">
        <f>IFERROR(INDEX($C$26:$C$125,_xlfn.AGGREGATE(15,6,(ROW($C$26:$C$125)-ROW($C$26)+1)/($C$26:$C$125&lt;&gt;""),ROWS($AB$2:AB18))),"")</f>
        <v/>
      </c>
    </row>
    <row r="19" spans="2:28" x14ac:dyDescent="0.3">
      <c r="B19" s="165" t="s">
        <v>30</v>
      </c>
      <c r="C19" s="166"/>
      <c r="D19" s="166"/>
      <c r="AB19" s="106" t="str">
        <f>IFERROR(INDEX($C$26:$C$125,_xlfn.AGGREGATE(15,6,(ROW($C$26:$C$125)-ROW($C$26)+1)/($C$26:$C$125&lt;&gt;""),ROWS($AB$2:AB19))),"")</f>
        <v/>
      </c>
    </row>
    <row r="20" spans="2:28" ht="17.399999999999999" x14ac:dyDescent="0.3">
      <c r="B20" s="5" t="s">
        <v>31</v>
      </c>
      <c r="C20" s="12" t="s">
        <v>15</v>
      </c>
      <c r="AB20" s="106" t="str">
        <f>IFERROR(INDEX($C$26:$C$125,_xlfn.AGGREGATE(15,6,(ROW($C$26:$C$125)-ROW($C$26)+1)/($C$26:$C$125&lt;&gt;""),ROWS($AB$2:AB20))),"")</f>
        <v/>
      </c>
    </row>
    <row r="21" spans="2:28" ht="15.6" x14ac:dyDescent="0.3">
      <c r="B21" s="5" t="s">
        <v>32</v>
      </c>
      <c r="C21" s="7">
        <f>IFERROR(INDEX(Configuração!$D$26:$D$125,MATCH($C$20,Configuração!$C$26:$C$125,0)),"")</f>
        <v>46112</v>
      </c>
      <c r="AB21" s="106" t="str">
        <f>IFERROR(INDEX($C$26:$C$125,_xlfn.AGGREGATE(15,6,(ROW($C$26:$C$125)-ROW($C$26)+1)/($C$26:$C$125&lt;&gt;""),ROWS($AB$2:AB21))),"")</f>
        <v/>
      </c>
    </row>
    <row r="22" spans="2:28" x14ac:dyDescent="0.3">
      <c r="AB22" s="106" t="str">
        <f>IFERROR(INDEX($C$26:$C$125,_xlfn.AGGREGATE(15,6,(ROW($C$26:$C$125)-ROW($C$26)+1)/($C$26:$C$125&lt;&gt;""),ROWS($AB$2:AB22))),"")</f>
        <v/>
      </c>
    </row>
    <row r="23" spans="2:28" ht="15.6" x14ac:dyDescent="0.3">
      <c r="B23" s="1" t="s">
        <v>4700</v>
      </c>
      <c r="AB23" s="106" t="str">
        <f>IFERROR(INDEX($C$26:$C$125,_xlfn.AGGREGATE(15,6,(ROW($C$26:$C$125)-ROW($C$26)+1)/($C$26:$C$125&lt;&gt;""),ROWS($AB$2:AB23))),"")</f>
        <v/>
      </c>
    </row>
    <row r="24" spans="2:28" x14ac:dyDescent="0.3">
      <c r="B24" s="165" t="s">
        <v>4735</v>
      </c>
      <c r="C24" s="166"/>
      <c r="D24" s="166"/>
      <c r="AB24" s="106" t="str">
        <f>IFERROR(INDEX($C$26:$C$125,_xlfn.AGGREGATE(15,6,(ROW($C$26:$C$125)-ROW($C$26)+1)/($C$26:$C$125&lt;&gt;""),ROWS($AB$2:AB24))),"")</f>
        <v/>
      </c>
    </row>
    <row r="25" spans="2:28" x14ac:dyDescent="0.3">
      <c r="C25" s="8" t="s">
        <v>33</v>
      </c>
      <c r="D25" s="8" t="s">
        <v>34</v>
      </c>
      <c r="AB25" s="106" t="str">
        <f>IFERROR(INDEX($C$26:$C$125,_xlfn.AGGREGATE(15,6,(ROW($C$26:$C$125)-ROW($C$26)+1)/($C$26:$C$125&lt;&gt;""),ROWS($AB$2:AB25))),"")</f>
        <v/>
      </c>
    </row>
    <row r="26" spans="2:28" x14ac:dyDescent="0.3">
      <c r="B26" s="9" t="s">
        <v>35</v>
      </c>
      <c r="C26" s="13" t="s">
        <v>15</v>
      </c>
      <c r="D26" s="14">
        <v>46112</v>
      </c>
      <c r="AB26" s="106" t="str">
        <f>IFERROR(INDEX($C$26:$C$125,_xlfn.AGGREGATE(15,6,(ROW($C$26:$C$125)-ROW($C$26)+1)/($C$26:$C$125&lt;&gt;""),ROWS($AB$2:AB26))),"")</f>
        <v/>
      </c>
    </row>
    <row r="27" spans="2:28" x14ac:dyDescent="0.3">
      <c r="B27" s="9" t="s">
        <v>36</v>
      </c>
      <c r="C27" s="13"/>
      <c r="D27" s="14"/>
      <c r="AB27" s="106" t="str">
        <f>IFERROR(INDEX($C$26:$C$125,_xlfn.AGGREGATE(15,6,(ROW($C$26:$C$125)-ROW($C$26)+1)/($C$26:$C$125&lt;&gt;""),ROWS($AB$2:AB27))),"")</f>
        <v/>
      </c>
    </row>
    <row r="28" spans="2:28" x14ac:dyDescent="0.3">
      <c r="B28" s="9" t="s">
        <v>37</v>
      </c>
      <c r="C28" s="13"/>
      <c r="D28" s="14"/>
      <c r="AB28" s="106" t="str">
        <f>IFERROR(INDEX($C$26:$C$125,_xlfn.AGGREGATE(15,6,(ROW($C$26:$C$125)-ROW($C$26)+1)/($C$26:$C$125&lt;&gt;""),ROWS($AB$2:AB28))),"")</f>
        <v/>
      </c>
    </row>
    <row r="29" spans="2:28" x14ac:dyDescent="0.3">
      <c r="B29" s="9" t="s">
        <v>38</v>
      </c>
      <c r="C29" s="13"/>
      <c r="D29" s="14"/>
      <c r="AB29" s="106" t="str">
        <f>IFERROR(INDEX($C$26:$C$125,_xlfn.AGGREGATE(15,6,(ROW($C$26:$C$125)-ROW($C$26)+1)/($C$26:$C$125&lt;&gt;""),ROWS($AB$2:AB29))),"")</f>
        <v/>
      </c>
    </row>
    <row r="30" spans="2:28" x14ac:dyDescent="0.3">
      <c r="B30" s="9" t="s">
        <v>39</v>
      </c>
      <c r="C30" s="13"/>
      <c r="D30" s="14"/>
      <c r="AB30" s="106" t="str">
        <f>IFERROR(INDEX($C$26:$C$125,_xlfn.AGGREGATE(15,6,(ROW($C$26:$C$125)-ROW($C$26)+1)/($C$26:$C$125&lt;&gt;""),ROWS($AB$2:AB30))),"")</f>
        <v/>
      </c>
    </row>
    <row r="31" spans="2:28" x14ac:dyDescent="0.3">
      <c r="B31" s="9" t="s">
        <v>40</v>
      </c>
      <c r="C31" s="13"/>
      <c r="D31" s="14"/>
      <c r="AB31" s="106" t="str">
        <f>IFERROR(INDEX($C$26:$C$125,_xlfn.AGGREGATE(15,6,(ROW($C$26:$C$125)-ROW($C$26)+1)/($C$26:$C$125&lt;&gt;""),ROWS($AB$2:AB31))),"")</f>
        <v/>
      </c>
    </row>
    <row r="32" spans="2:28" x14ac:dyDescent="0.3">
      <c r="B32" s="9" t="s">
        <v>41</v>
      </c>
      <c r="C32" s="13"/>
      <c r="D32" s="14"/>
      <c r="AB32" s="106" t="str">
        <f>IFERROR(INDEX($C$26:$C$125,_xlfn.AGGREGATE(15,6,(ROW($C$26:$C$125)-ROW($C$26)+1)/($C$26:$C$125&lt;&gt;""),ROWS($AB$2:AB32))),"")</f>
        <v/>
      </c>
    </row>
    <row r="33" spans="2:28" x14ac:dyDescent="0.3">
      <c r="B33" s="9" t="s">
        <v>42</v>
      </c>
      <c r="C33" s="13"/>
      <c r="D33" s="14"/>
      <c r="AB33" s="106" t="str">
        <f>IFERROR(INDEX($C$26:$C$125,_xlfn.AGGREGATE(15,6,(ROW($C$26:$C$125)-ROW($C$26)+1)/($C$26:$C$125&lt;&gt;""),ROWS($AB$2:AB33))),"")</f>
        <v/>
      </c>
    </row>
    <row r="34" spans="2:28" x14ac:dyDescent="0.3">
      <c r="B34" s="9" t="s">
        <v>43</v>
      </c>
      <c r="C34" s="13"/>
      <c r="D34" s="14"/>
      <c r="AB34" s="106" t="str">
        <f>IFERROR(INDEX($C$26:$C$125,_xlfn.AGGREGATE(15,6,(ROW($C$26:$C$125)-ROW($C$26)+1)/($C$26:$C$125&lt;&gt;""),ROWS($AB$2:AB34))),"")</f>
        <v/>
      </c>
    </row>
    <row r="35" spans="2:28" x14ac:dyDescent="0.3">
      <c r="B35" s="9" t="s">
        <v>44</v>
      </c>
      <c r="C35" s="13"/>
      <c r="D35" s="14"/>
      <c r="AB35" s="106" t="str">
        <f>IFERROR(INDEX($C$26:$C$125,_xlfn.AGGREGATE(15,6,(ROW($C$26:$C$125)-ROW($C$26)+1)/($C$26:$C$125&lt;&gt;""),ROWS($AB$2:AB35))),"")</f>
        <v/>
      </c>
    </row>
    <row r="36" spans="2:28" x14ac:dyDescent="0.3">
      <c r="B36" s="9" t="s">
        <v>45</v>
      </c>
      <c r="C36" s="13"/>
      <c r="D36" s="14"/>
      <c r="AB36" s="106" t="str">
        <f>IFERROR(INDEX($C$26:$C$125,_xlfn.AGGREGATE(15,6,(ROW($C$26:$C$125)-ROW($C$26)+1)/($C$26:$C$125&lt;&gt;""),ROWS($AB$2:AB36))),"")</f>
        <v/>
      </c>
    </row>
    <row r="37" spans="2:28" x14ac:dyDescent="0.3">
      <c r="B37" s="9" t="s">
        <v>46</v>
      </c>
      <c r="C37" s="13"/>
      <c r="D37" s="14"/>
      <c r="AB37" s="106" t="str">
        <f>IFERROR(INDEX($C$26:$C$125,_xlfn.AGGREGATE(15,6,(ROW($C$26:$C$125)-ROW($C$26)+1)/($C$26:$C$125&lt;&gt;""),ROWS($AB$2:AB37))),"")</f>
        <v/>
      </c>
    </row>
    <row r="38" spans="2:28" x14ac:dyDescent="0.3">
      <c r="B38" s="9" t="s">
        <v>47</v>
      </c>
      <c r="C38" s="13"/>
      <c r="D38" s="14"/>
      <c r="AB38" s="106" t="str">
        <f>IFERROR(INDEX($C$26:$C$125,_xlfn.AGGREGATE(15,6,(ROW($C$26:$C$125)-ROW($C$26)+1)/($C$26:$C$125&lt;&gt;""),ROWS($AB$2:AB38))),"")</f>
        <v/>
      </c>
    </row>
    <row r="39" spans="2:28" x14ac:dyDescent="0.3">
      <c r="B39" s="9" t="s">
        <v>48</v>
      </c>
      <c r="C39" s="13"/>
      <c r="D39" s="14"/>
      <c r="AB39" s="106" t="str">
        <f>IFERROR(INDEX($C$26:$C$125,_xlfn.AGGREGATE(15,6,(ROW($C$26:$C$125)-ROW($C$26)+1)/($C$26:$C$125&lt;&gt;""),ROWS($AB$2:AB39))),"")</f>
        <v/>
      </c>
    </row>
    <row r="40" spans="2:28" x14ac:dyDescent="0.3">
      <c r="B40" s="9" t="s">
        <v>49</v>
      </c>
      <c r="C40" s="13"/>
      <c r="D40" s="14"/>
      <c r="AB40" s="106" t="str">
        <f>IFERROR(INDEX($C$26:$C$125,_xlfn.AGGREGATE(15,6,(ROW($C$26:$C$125)-ROW($C$26)+1)/($C$26:$C$125&lt;&gt;""),ROWS($AB$2:AB40))),"")</f>
        <v/>
      </c>
    </row>
    <row r="41" spans="2:28" x14ac:dyDescent="0.3">
      <c r="B41" s="9" t="s">
        <v>50</v>
      </c>
      <c r="C41" s="13"/>
      <c r="D41" s="14"/>
      <c r="AB41" s="106" t="str">
        <f>IFERROR(INDEX($C$26:$C$125,_xlfn.AGGREGATE(15,6,(ROW($C$26:$C$125)-ROW($C$26)+1)/($C$26:$C$125&lt;&gt;""),ROWS($AB$2:AB41))),"")</f>
        <v/>
      </c>
    </row>
    <row r="42" spans="2:28" x14ac:dyDescent="0.3">
      <c r="B42" s="9" t="s">
        <v>51</v>
      </c>
      <c r="C42" s="13"/>
      <c r="D42" s="14"/>
      <c r="AB42" s="106" t="str">
        <f>IFERROR(INDEX($C$26:$C$125,_xlfn.AGGREGATE(15,6,(ROW($C$26:$C$125)-ROW($C$26)+1)/($C$26:$C$125&lt;&gt;""),ROWS($AB$2:AB42))),"")</f>
        <v/>
      </c>
    </row>
    <row r="43" spans="2:28" x14ac:dyDescent="0.3">
      <c r="B43" s="9" t="s">
        <v>52</v>
      </c>
      <c r="C43" s="13"/>
      <c r="D43" s="14"/>
      <c r="AB43" s="106" t="str">
        <f>IFERROR(INDEX($C$26:$C$125,_xlfn.AGGREGATE(15,6,(ROW($C$26:$C$125)-ROW($C$26)+1)/($C$26:$C$125&lt;&gt;""),ROWS($AB$2:AB43))),"")</f>
        <v/>
      </c>
    </row>
    <row r="44" spans="2:28" x14ac:dyDescent="0.3">
      <c r="B44" s="9" t="s">
        <v>53</v>
      </c>
      <c r="C44" s="13"/>
      <c r="D44" s="14"/>
      <c r="AB44" s="106" t="str">
        <f>IFERROR(INDEX($C$26:$C$125,_xlfn.AGGREGATE(15,6,(ROW($C$26:$C$125)-ROW($C$26)+1)/($C$26:$C$125&lt;&gt;""),ROWS($AB$2:AB44))),"")</f>
        <v/>
      </c>
    </row>
    <row r="45" spans="2:28" x14ac:dyDescent="0.3">
      <c r="B45" s="9" t="s">
        <v>54</v>
      </c>
      <c r="C45" s="13"/>
      <c r="D45" s="14"/>
      <c r="AB45" s="106" t="str">
        <f>IFERROR(INDEX($C$26:$C$125,_xlfn.AGGREGATE(15,6,(ROW($C$26:$C$125)-ROW($C$26)+1)/($C$26:$C$125&lt;&gt;""),ROWS($AB$2:AB45))),"")</f>
        <v/>
      </c>
    </row>
    <row r="46" spans="2:28" x14ac:dyDescent="0.3">
      <c r="B46" s="9" t="s">
        <v>55</v>
      </c>
      <c r="C46" s="13"/>
      <c r="D46" s="14"/>
      <c r="AB46" s="106" t="str">
        <f>IFERROR(INDEX($C$26:$C$125,_xlfn.AGGREGATE(15,6,(ROW($C$26:$C$125)-ROW($C$26)+1)/($C$26:$C$125&lt;&gt;""),ROWS($AB$2:AB46))),"")</f>
        <v/>
      </c>
    </row>
    <row r="47" spans="2:28" x14ac:dyDescent="0.3">
      <c r="B47" s="9" t="s">
        <v>56</v>
      </c>
      <c r="C47" s="13"/>
      <c r="D47" s="14"/>
      <c r="AB47" s="106" t="str">
        <f>IFERROR(INDEX($C$26:$C$125,_xlfn.AGGREGATE(15,6,(ROW($C$26:$C$125)-ROW($C$26)+1)/($C$26:$C$125&lt;&gt;""),ROWS($AB$2:AB47))),"")</f>
        <v/>
      </c>
    </row>
    <row r="48" spans="2:28" x14ac:dyDescent="0.3">
      <c r="B48" s="9" t="s">
        <v>57</v>
      </c>
      <c r="C48" s="13"/>
      <c r="D48" s="14"/>
      <c r="AB48" s="106" t="str">
        <f>IFERROR(INDEX($C$26:$C$125,_xlfn.AGGREGATE(15,6,(ROW($C$26:$C$125)-ROW($C$26)+1)/($C$26:$C$125&lt;&gt;""),ROWS($AB$2:AB48))),"")</f>
        <v/>
      </c>
    </row>
    <row r="49" spans="2:28" x14ac:dyDescent="0.3">
      <c r="B49" s="9" t="s">
        <v>58</v>
      </c>
      <c r="C49" s="13"/>
      <c r="D49" s="14"/>
      <c r="AB49" s="106" t="str">
        <f>IFERROR(INDEX($C$26:$C$125,_xlfn.AGGREGATE(15,6,(ROW($C$26:$C$125)-ROW($C$26)+1)/($C$26:$C$125&lt;&gt;""),ROWS($AB$2:AB49))),"")</f>
        <v/>
      </c>
    </row>
    <row r="50" spans="2:28" x14ac:dyDescent="0.3">
      <c r="B50" s="9" t="s">
        <v>59</v>
      </c>
      <c r="C50" s="13"/>
      <c r="D50" s="14"/>
      <c r="AB50" s="106" t="str">
        <f>IFERROR(INDEX($C$26:$C$125,_xlfn.AGGREGATE(15,6,(ROW($C$26:$C$125)-ROW($C$26)+1)/($C$26:$C$125&lt;&gt;""),ROWS($AB$2:AB50))),"")</f>
        <v/>
      </c>
    </row>
    <row r="51" spans="2:28" x14ac:dyDescent="0.3">
      <c r="B51" s="9" t="s">
        <v>60</v>
      </c>
      <c r="C51" s="13"/>
      <c r="D51" s="14"/>
      <c r="AB51" s="106" t="str">
        <f>IFERROR(INDEX($C$26:$C$125,_xlfn.AGGREGATE(15,6,(ROW($C$26:$C$125)-ROW($C$26)+1)/($C$26:$C$125&lt;&gt;""),ROWS($AB$2:AB51))),"")</f>
        <v/>
      </c>
    </row>
    <row r="52" spans="2:28" x14ac:dyDescent="0.3">
      <c r="B52" s="9" t="s">
        <v>61</v>
      </c>
      <c r="C52" s="13"/>
      <c r="D52" s="14"/>
      <c r="AB52" s="106" t="str">
        <f>IFERROR(INDEX($C$26:$C$125,_xlfn.AGGREGATE(15,6,(ROW($C$26:$C$125)-ROW($C$26)+1)/($C$26:$C$125&lt;&gt;""),ROWS($AB$2:AB52))),"")</f>
        <v/>
      </c>
    </row>
    <row r="53" spans="2:28" x14ac:dyDescent="0.3">
      <c r="B53" s="9" t="s">
        <v>62</v>
      </c>
      <c r="C53" s="13"/>
      <c r="D53" s="14"/>
      <c r="AB53" s="106" t="str">
        <f>IFERROR(INDEX($C$26:$C$125,_xlfn.AGGREGATE(15,6,(ROW($C$26:$C$125)-ROW($C$26)+1)/($C$26:$C$125&lt;&gt;""),ROWS($AB$2:AB53))),"")</f>
        <v/>
      </c>
    </row>
    <row r="54" spans="2:28" x14ac:dyDescent="0.3">
      <c r="B54" s="9" t="s">
        <v>63</v>
      </c>
      <c r="C54" s="13"/>
      <c r="D54" s="14"/>
      <c r="AB54" s="106" t="str">
        <f>IFERROR(INDEX($C$26:$C$125,_xlfn.AGGREGATE(15,6,(ROW($C$26:$C$125)-ROW($C$26)+1)/($C$26:$C$125&lt;&gt;""),ROWS($AB$2:AB54))),"")</f>
        <v/>
      </c>
    </row>
    <row r="55" spans="2:28" x14ac:dyDescent="0.3">
      <c r="B55" s="9" t="s">
        <v>64</v>
      </c>
      <c r="C55" s="13"/>
      <c r="D55" s="14"/>
      <c r="AB55" s="106" t="str">
        <f>IFERROR(INDEX($C$26:$C$125,_xlfn.AGGREGATE(15,6,(ROW($C$26:$C$125)-ROW($C$26)+1)/($C$26:$C$125&lt;&gt;""),ROWS($AB$2:AB55))),"")</f>
        <v/>
      </c>
    </row>
    <row r="56" spans="2:28" x14ac:dyDescent="0.3">
      <c r="B56" s="9" t="s">
        <v>65</v>
      </c>
      <c r="C56" s="13"/>
      <c r="D56" s="14"/>
      <c r="AB56" s="106" t="str">
        <f>IFERROR(INDEX($C$26:$C$125,_xlfn.AGGREGATE(15,6,(ROW($C$26:$C$125)-ROW($C$26)+1)/($C$26:$C$125&lt;&gt;""),ROWS($AB$2:AB56))),"")</f>
        <v/>
      </c>
    </row>
    <row r="57" spans="2:28" x14ac:dyDescent="0.3">
      <c r="B57" s="9" t="s">
        <v>66</v>
      </c>
      <c r="C57" s="13"/>
      <c r="D57" s="14"/>
      <c r="AB57" s="106" t="str">
        <f>IFERROR(INDEX($C$26:$C$125,_xlfn.AGGREGATE(15,6,(ROW($C$26:$C$125)-ROW($C$26)+1)/($C$26:$C$125&lt;&gt;""),ROWS($AB$2:AB57))),"")</f>
        <v/>
      </c>
    </row>
    <row r="58" spans="2:28" x14ac:dyDescent="0.3">
      <c r="B58" s="9" t="s">
        <v>67</v>
      </c>
      <c r="C58" s="13"/>
      <c r="D58" s="14"/>
      <c r="AB58" s="106" t="str">
        <f>IFERROR(INDEX($C$26:$C$125,_xlfn.AGGREGATE(15,6,(ROW($C$26:$C$125)-ROW($C$26)+1)/($C$26:$C$125&lt;&gt;""),ROWS($AB$2:AB58))),"")</f>
        <v/>
      </c>
    </row>
    <row r="59" spans="2:28" x14ac:dyDescent="0.3">
      <c r="B59" s="9" t="s">
        <v>68</v>
      </c>
      <c r="C59" s="13"/>
      <c r="D59" s="14"/>
      <c r="AB59" s="106" t="str">
        <f>IFERROR(INDEX($C$26:$C$125,_xlfn.AGGREGATE(15,6,(ROW($C$26:$C$125)-ROW($C$26)+1)/($C$26:$C$125&lt;&gt;""),ROWS($AB$2:AB59))),"")</f>
        <v/>
      </c>
    </row>
    <row r="60" spans="2:28" x14ac:dyDescent="0.3">
      <c r="B60" s="9" t="s">
        <v>69</v>
      </c>
      <c r="C60" s="13"/>
      <c r="D60" s="14"/>
      <c r="AB60" s="106" t="str">
        <f>IFERROR(INDEX($C$26:$C$125,_xlfn.AGGREGATE(15,6,(ROW($C$26:$C$125)-ROW($C$26)+1)/($C$26:$C$125&lt;&gt;""),ROWS($AB$2:AB60))),"")</f>
        <v/>
      </c>
    </row>
    <row r="61" spans="2:28" x14ac:dyDescent="0.3">
      <c r="B61" s="9" t="s">
        <v>70</v>
      </c>
      <c r="C61" s="13"/>
      <c r="D61" s="14"/>
      <c r="AB61" s="106" t="str">
        <f>IFERROR(INDEX($C$26:$C$125,_xlfn.AGGREGATE(15,6,(ROW($C$26:$C$125)-ROW($C$26)+1)/($C$26:$C$125&lt;&gt;""),ROWS($AB$2:AB61))),"")</f>
        <v/>
      </c>
    </row>
    <row r="62" spans="2:28" x14ac:dyDescent="0.3">
      <c r="B62" s="9" t="s">
        <v>71</v>
      </c>
      <c r="C62" s="13"/>
      <c r="D62" s="14"/>
      <c r="AB62" s="106" t="str">
        <f>IFERROR(INDEX($C$26:$C$125,_xlfn.AGGREGATE(15,6,(ROW($C$26:$C$125)-ROW($C$26)+1)/($C$26:$C$125&lt;&gt;""),ROWS($AB$2:AB62))),"")</f>
        <v/>
      </c>
    </row>
    <row r="63" spans="2:28" x14ac:dyDescent="0.3">
      <c r="B63" s="9" t="s">
        <v>72</v>
      </c>
      <c r="C63" s="13"/>
      <c r="D63" s="14"/>
      <c r="AB63" s="106" t="str">
        <f>IFERROR(INDEX($C$26:$C$125,_xlfn.AGGREGATE(15,6,(ROW($C$26:$C$125)-ROW($C$26)+1)/($C$26:$C$125&lt;&gt;""),ROWS($AB$2:AB63))),"")</f>
        <v/>
      </c>
    </row>
    <row r="64" spans="2:28" x14ac:dyDescent="0.3">
      <c r="B64" s="9" t="s">
        <v>73</v>
      </c>
      <c r="C64" s="13"/>
      <c r="D64" s="14"/>
      <c r="AB64" s="106" t="str">
        <f>IFERROR(INDEX($C$26:$C$125,_xlfn.AGGREGATE(15,6,(ROW($C$26:$C$125)-ROW($C$26)+1)/($C$26:$C$125&lt;&gt;""),ROWS($AB$2:AB64))),"")</f>
        <v/>
      </c>
    </row>
    <row r="65" spans="2:28" x14ac:dyDescent="0.3">
      <c r="B65" s="9" t="s">
        <v>74</v>
      </c>
      <c r="C65" s="13"/>
      <c r="D65" s="14"/>
      <c r="AB65" s="106" t="str">
        <f>IFERROR(INDEX($C$26:$C$125,_xlfn.AGGREGATE(15,6,(ROW($C$26:$C$125)-ROW($C$26)+1)/($C$26:$C$125&lt;&gt;""),ROWS($AB$2:AB65))),"")</f>
        <v/>
      </c>
    </row>
    <row r="66" spans="2:28" x14ac:dyDescent="0.3">
      <c r="B66" s="9" t="s">
        <v>75</v>
      </c>
      <c r="C66" s="13"/>
      <c r="D66" s="14"/>
      <c r="AB66" s="106" t="str">
        <f>IFERROR(INDEX($C$26:$C$125,_xlfn.AGGREGATE(15,6,(ROW($C$26:$C$125)-ROW($C$26)+1)/($C$26:$C$125&lt;&gt;""),ROWS($AB$2:AB66))),"")</f>
        <v/>
      </c>
    </row>
    <row r="67" spans="2:28" x14ac:dyDescent="0.3">
      <c r="B67" s="9" t="s">
        <v>76</v>
      </c>
      <c r="C67" s="13"/>
      <c r="D67" s="14"/>
      <c r="AB67" s="106" t="str">
        <f>IFERROR(INDEX($C$26:$C$125,_xlfn.AGGREGATE(15,6,(ROW($C$26:$C$125)-ROW($C$26)+1)/($C$26:$C$125&lt;&gt;""),ROWS($AB$2:AB67))),"")</f>
        <v/>
      </c>
    </row>
    <row r="68" spans="2:28" x14ac:dyDescent="0.3">
      <c r="B68" s="9" t="s">
        <v>77</v>
      </c>
      <c r="C68" s="13"/>
      <c r="D68" s="14"/>
      <c r="AB68" s="106" t="str">
        <f>IFERROR(INDEX($C$26:$C$125,_xlfn.AGGREGATE(15,6,(ROW($C$26:$C$125)-ROW($C$26)+1)/($C$26:$C$125&lt;&gt;""),ROWS($AB$2:AB68))),"")</f>
        <v/>
      </c>
    </row>
    <row r="69" spans="2:28" x14ac:dyDescent="0.3">
      <c r="B69" s="9" t="s">
        <v>78</v>
      </c>
      <c r="C69" s="13"/>
      <c r="D69" s="14"/>
      <c r="AB69" s="106" t="str">
        <f>IFERROR(INDEX($C$26:$C$125,_xlfn.AGGREGATE(15,6,(ROW($C$26:$C$125)-ROW($C$26)+1)/($C$26:$C$125&lt;&gt;""),ROWS($AB$2:AB69))),"")</f>
        <v/>
      </c>
    </row>
    <row r="70" spans="2:28" x14ac:dyDescent="0.3">
      <c r="B70" s="9" t="s">
        <v>79</v>
      </c>
      <c r="C70" s="13"/>
      <c r="D70" s="14"/>
      <c r="AB70" s="106" t="str">
        <f>IFERROR(INDEX($C$26:$C$125,_xlfn.AGGREGATE(15,6,(ROW($C$26:$C$125)-ROW($C$26)+1)/($C$26:$C$125&lt;&gt;""),ROWS($AB$2:AB70))),"")</f>
        <v/>
      </c>
    </row>
    <row r="71" spans="2:28" x14ac:dyDescent="0.3">
      <c r="B71" s="9" t="s">
        <v>80</v>
      </c>
      <c r="C71" s="13"/>
      <c r="D71" s="14"/>
      <c r="AB71" s="106" t="str">
        <f>IFERROR(INDEX($C$26:$C$125,_xlfn.AGGREGATE(15,6,(ROW($C$26:$C$125)-ROW($C$26)+1)/($C$26:$C$125&lt;&gt;""),ROWS($AB$2:AB71))),"")</f>
        <v/>
      </c>
    </row>
    <row r="72" spans="2:28" x14ac:dyDescent="0.3">
      <c r="B72" s="9" t="s">
        <v>81</v>
      </c>
      <c r="C72" s="13"/>
      <c r="D72" s="14"/>
      <c r="AB72" s="106" t="str">
        <f>IFERROR(INDEX($C$26:$C$125,_xlfn.AGGREGATE(15,6,(ROW($C$26:$C$125)-ROW($C$26)+1)/($C$26:$C$125&lt;&gt;""),ROWS($AB$2:AB72))),"")</f>
        <v/>
      </c>
    </row>
    <row r="73" spans="2:28" x14ac:dyDescent="0.3">
      <c r="B73" s="9" t="s">
        <v>82</v>
      </c>
      <c r="C73" s="13"/>
      <c r="D73" s="14"/>
      <c r="AB73" s="106" t="str">
        <f>IFERROR(INDEX($C$26:$C$125,_xlfn.AGGREGATE(15,6,(ROW($C$26:$C$125)-ROW($C$26)+1)/($C$26:$C$125&lt;&gt;""),ROWS($AB$2:AB73))),"")</f>
        <v/>
      </c>
    </row>
    <row r="74" spans="2:28" x14ac:dyDescent="0.3">
      <c r="B74" s="9" t="s">
        <v>83</v>
      </c>
      <c r="C74" s="13"/>
      <c r="D74" s="14"/>
      <c r="AB74" s="106" t="str">
        <f>IFERROR(INDEX($C$26:$C$125,_xlfn.AGGREGATE(15,6,(ROW($C$26:$C$125)-ROW($C$26)+1)/($C$26:$C$125&lt;&gt;""),ROWS($AB$2:AB74))),"")</f>
        <v/>
      </c>
    </row>
    <row r="75" spans="2:28" x14ac:dyDescent="0.3">
      <c r="B75" s="9" t="s">
        <v>84</v>
      </c>
      <c r="C75" s="13"/>
      <c r="D75" s="14"/>
      <c r="AB75" s="106" t="str">
        <f>IFERROR(INDEX($C$26:$C$125,_xlfn.AGGREGATE(15,6,(ROW($C$26:$C$125)-ROW($C$26)+1)/($C$26:$C$125&lt;&gt;""),ROWS($AB$2:AB75))),"")</f>
        <v/>
      </c>
    </row>
    <row r="76" spans="2:28" x14ac:dyDescent="0.3">
      <c r="B76" s="9" t="s">
        <v>4650</v>
      </c>
      <c r="C76" s="13"/>
      <c r="D76" s="14"/>
      <c r="AB76" s="106" t="str">
        <f>IFERROR(INDEX($C$26:$C$125,_xlfn.AGGREGATE(15,6,(ROW($C$26:$C$125)-ROW($C$26)+1)/($C$26:$C$125&lt;&gt;""),ROWS($AB$2:AB76))),"")</f>
        <v/>
      </c>
    </row>
    <row r="77" spans="2:28" x14ac:dyDescent="0.3">
      <c r="B77" s="9" t="s">
        <v>4651</v>
      </c>
      <c r="C77" s="13"/>
      <c r="D77" s="14"/>
      <c r="AB77" s="106" t="str">
        <f>IFERROR(INDEX($C$26:$C$125,_xlfn.AGGREGATE(15,6,(ROW($C$26:$C$125)-ROW($C$26)+1)/($C$26:$C$125&lt;&gt;""),ROWS($AB$2:AB77))),"")</f>
        <v/>
      </c>
    </row>
    <row r="78" spans="2:28" x14ac:dyDescent="0.3">
      <c r="B78" s="9" t="s">
        <v>4652</v>
      </c>
      <c r="C78" s="13"/>
      <c r="D78" s="14"/>
      <c r="AB78" s="106" t="str">
        <f>IFERROR(INDEX($C$26:$C$125,_xlfn.AGGREGATE(15,6,(ROW($C$26:$C$125)-ROW($C$26)+1)/($C$26:$C$125&lt;&gt;""),ROWS($AB$2:AB78))),"")</f>
        <v/>
      </c>
    </row>
    <row r="79" spans="2:28" x14ac:dyDescent="0.3">
      <c r="B79" s="9" t="s">
        <v>4653</v>
      </c>
      <c r="C79" s="13"/>
      <c r="D79" s="14"/>
      <c r="AB79" s="106" t="str">
        <f>IFERROR(INDEX($C$26:$C$125,_xlfn.AGGREGATE(15,6,(ROW($C$26:$C$125)-ROW($C$26)+1)/($C$26:$C$125&lt;&gt;""),ROWS($AB$2:AB79))),"")</f>
        <v/>
      </c>
    </row>
    <row r="80" spans="2:28" x14ac:dyDescent="0.3">
      <c r="B80" s="9" t="s">
        <v>4654</v>
      </c>
      <c r="C80" s="13"/>
      <c r="D80" s="14"/>
      <c r="AB80" s="106" t="str">
        <f>IFERROR(INDEX($C$26:$C$125,_xlfn.AGGREGATE(15,6,(ROW($C$26:$C$125)-ROW($C$26)+1)/($C$26:$C$125&lt;&gt;""),ROWS($AB$2:AB80))),"")</f>
        <v/>
      </c>
    </row>
    <row r="81" spans="2:28" x14ac:dyDescent="0.3">
      <c r="B81" s="9" t="s">
        <v>4655</v>
      </c>
      <c r="C81" s="13"/>
      <c r="D81" s="14"/>
      <c r="AB81" s="106" t="str">
        <f>IFERROR(INDEX($C$26:$C$125,_xlfn.AGGREGATE(15,6,(ROW($C$26:$C$125)-ROW($C$26)+1)/($C$26:$C$125&lt;&gt;""),ROWS($AB$2:AB81))),"")</f>
        <v/>
      </c>
    </row>
    <row r="82" spans="2:28" x14ac:dyDescent="0.3">
      <c r="B82" s="9" t="s">
        <v>4656</v>
      </c>
      <c r="C82" s="13"/>
      <c r="D82" s="14"/>
      <c r="AB82" s="106" t="str">
        <f>IFERROR(INDEX($C$26:$C$125,_xlfn.AGGREGATE(15,6,(ROW($C$26:$C$125)-ROW($C$26)+1)/($C$26:$C$125&lt;&gt;""),ROWS($AB$2:AB82))),"")</f>
        <v/>
      </c>
    </row>
    <row r="83" spans="2:28" x14ac:dyDescent="0.3">
      <c r="B83" s="9" t="s">
        <v>4657</v>
      </c>
      <c r="C83" s="13"/>
      <c r="D83" s="14"/>
      <c r="AB83" s="106" t="str">
        <f>IFERROR(INDEX($C$26:$C$125,_xlfn.AGGREGATE(15,6,(ROW($C$26:$C$125)-ROW($C$26)+1)/($C$26:$C$125&lt;&gt;""),ROWS($AB$2:AB83))),"")</f>
        <v/>
      </c>
    </row>
    <row r="84" spans="2:28" x14ac:dyDescent="0.3">
      <c r="B84" s="9" t="s">
        <v>4658</v>
      </c>
      <c r="C84" s="13"/>
      <c r="D84" s="14"/>
      <c r="AB84" s="106" t="str">
        <f>IFERROR(INDEX($C$26:$C$125,_xlfn.AGGREGATE(15,6,(ROW($C$26:$C$125)-ROW($C$26)+1)/($C$26:$C$125&lt;&gt;""),ROWS($AB$2:AB84))),"")</f>
        <v/>
      </c>
    </row>
    <row r="85" spans="2:28" x14ac:dyDescent="0.3">
      <c r="B85" s="9" t="s">
        <v>4659</v>
      </c>
      <c r="C85" s="13"/>
      <c r="D85" s="14"/>
      <c r="AB85" s="106" t="str">
        <f>IFERROR(INDEX($C$26:$C$125,_xlfn.AGGREGATE(15,6,(ROW($C$26:$C$125)-ROW($C$26)+1)/($C$26:$C$125&lt;&gt;""),ROWS($AB$2:AB85))),"")</f>
        <v/>
      </c>
    </row>
    <row r="86" spans="2:28" x14ac:dyDescent="0.3">
      <c r="B86" s="9" t="s">
        <v>4660</v>
      </c>
      <c r="C86" s="13"/>
      <c r="D86" s="14"/>
      <c r="AB86" s="106" t="str">
        <f>IFERROR(INDEX($C$26:$C$125,_xlfn.AGGREGATE(15,6,(ROW($C$26:$C$125)-ROW($C$26)+1)/($C$26:$C$125&lt;&gt;""),ROWS($AB$2:AB86))),"")</f>
        <v/>
      </c>
    </row>
    <row r="87" spans="2:28" x14ac:dyDescent="0.3">
      <c r="B87" s="9" t="s">
        <v>4661</v>
      </c>
      <c r="C87" s="13"/>
      <c r="D87" s="14"/>
      <c r="AB87" s="106" t="str">
        <f>IFERROR(INDEX($C$26:$C$125,_xlfn.AGGREGATE(15,6,(ROW($C$26:$C$125)-ROW($C$26)+1)/($C$26:$C$125&lt;&gt;""),ROWS($AB$2:AB87))),"")</f>
        <v/>
      </c>
    </row>
    <row r="88" spans="2:28" x14ac:dyDescent="0.3">
      <c r="B88" s="9" t="s">
        <v>4662</v>
      </c>
      <c r="C88" s="13"/>
      <c r="D88" s="14"/>
      <c r="AB88" s="106" t="str">
        <f>IFERROR(INDEX($C$26:$C$125,_xlfn.AGGREGATE(15,6,(ROW($C$26:$C$125)-ROW($C$26)+1)/($C$26:$C$125&lt;&gt;""),ROWS($AB$2:AB88))),"")</f>
        <v/>
      </c>
    </row>
    <row r="89" spans="2:28" x14ac:dyDescent="0.3">
      <c r="B89" s="9" t="s">
        <v>4663</v>
      </c>
      <c r="C89" s="13"/>
      <c r="D89" s="14"/>
      <c r="AB89" s="106" t="str">
        <f>IFERROR(INDEX($C$26:$C$125,_xlfn.AGGREGATE(15,6,(ROW($C$26:$C$125)-ROW($C$26)+1)/($C$26:$C$125&lt;&gt;""),ROWS($AB$2:AB89))),"")</f>
        <v/>
      </c>
    </row>
    <row r="90" spans="2:28" x14ac:dyDescent="0.3">
      <c r="B90" s="9" t="s">
        <v>4664</v>
      </c>
      <c r="C90" s="13"/>
      <c r="D90" s="14"/>
      <c r="AB90" s="106" t="str">
        <f>IFERROR(INDEX($C$26:$C$125,_xlfn.AGGREGATE(15,6,(ROW($C$26:$C$125)-ROW($C$26)+1)/($C$26:$C$125&lt;&gt;""),ROWS($AB$2:AB90))),"")</f>
        <v/>
      </c>
    </row>
    <row r="91" spans="2:28" x14ac:dyDescent="0.3">
      <c r="B91" s="9" t="s">
        <v>4665</v>
      </c>
      <c r="C91" s="13"/>
      <c r="D91" s="14"/>
      <c r="AB91" s="106" t="str">
        <f>IFERROR(INDEX($C$26:$C$125,_xlfn.AGGREGATE(15,6,(ROW($C$26:$C$125)-ROW($C$26)+1)/($C$26:$C$125&lt;&gt;""),ROWS($AB$2:AB91))),"")</f>
        <v/>
      </c>
    </row>
    <row r="92" spans="2:28" x14ac:dyDescent="0.3">
      <c r="B92" s="9" t="s">
        <v>4666</v>
      </c>
      <c r="C92" s="13"/>
      <c r="D92" s="14"/>
      <c r="AB92" s="106" t="str">
        <f>IFERROR(INDEX($C$26:$C$125,_xlfn.AGGREGATE(15,6,(ROW($C$26:$C$125)-ROW($C$26)+1)/($C$26:$C$125&lt;&gt;""),ROWS($AB$2:AB92))),"")</f>
        <v/>
      </c>
    </row>
    <row r="93" spans="2:28" x14ac:dyDescent="0.3">
      <c r="B93" s="9" t="s">
        <v>4667</v>
      </c>
      <c r="C93" s="13"/>
      <c r="D93" s="14"/>
      <c r="AB93" s="106" t="str">
        <f>IFERROR(INDEX($C$26:$C$125,_xlfn.AGGREGATE(15,6,(ROW($C$26:$C$125)-ROW($C$26)+1)/($C$26:$C$125&lt;&gt;""),ROWS($AB$2:AB93))),"")</f>
        <v/>
      </c>
    </row>
    <row r="94" spans="2:28" x14ac:dyDescent="0.3">
      <c r="B94" s="9" t="s">
        <v>4668</v>
      </c>
      <c r="C94" s="13"/>
      <c r="D94" s="14"/>
      <c r="AB94" s="106" t="str">
        <f>IFERROR(INDEX($C$26:$C$125,_xlfn.AGGREGATE(15,6,(ROW($C$26:$C$125)-ROW($C$26)+1)/($C$26:$C$125&lt;&gt;""),ROWS($AB$2:AB94))),"")</f>
        <v/>
      </c>
    </row>
    <row r="95" spans="2:28" x14ac:dyDescent="0.3">
      <c r="B95" s="9" t="s">
        <v>4669</v>
      </c>
      <c r="C95" s="13"/>
      <c r="D95" s="14"/>
      <c r="AB95" s="106" t="str">
        <f>IFERROR(INDEX($C$26:$C$125,_xlfn.AGGREGATE(15,6,(ROW($C$26:$C$125)-ROW($C$26)+1)/($C$26:$C$125&lt;&gt;""),ROWS($AB$2:AB95))),"")</f>
        <v/>
      </c>
    </row>
    <row r="96" spans="2:28" x14ac:dyDescent="0.3">
      <c r="B96" s="9" t="s">
        <v>4670</v>
      </c>
      <c r="C96" s="13"/>
      <c r="D96" s="14"/>
      <c r="AB96" s="106" t="str">
        <f>IFERROR(INDEX($C$26:$C$125,_xlfn.AGGREGATE(15,6,(ROW($C$26:$C$125)-ROW($C$26)+1)/($C$26:$C$125&lt;&gt;""),ROWS($AB$2:AB96))),"")</f>
        <v/>
      </c>
    </row>
    <row r="97" spans="2:28" x14ac:dyDescent="0.3">
      <c r="B97" s="9" t="s">
        <v>4671</v>
      </c>
      <c r="C97" s="13"/>
      <c r="D97" s="14"/>
      <c r="AB97" s="106" t="str">
        <f>IFERROR(INDEX($C$26:$C$125,_xlfn.AGGREGATE(15,6,(ROW($C$26:$C$125)-ROW($C$26)+1)/($C$26:$C$125&lt;&gt;""),ROWS($AB$2:AB97))),"")</f>
        <v/>
      </c>
    </row>
    <row r="98" spans="2:28" x14ac:dyDescent="0.3">
      <c r="B98" s="9" t="s">
        <v>4672</v>
      </c>
      <c r="C98" s="13"/>
      <c r="D98" s="14"/>
      <c r="AB98" s="106" t="str">
        <f>IFERROR(INDEX($C$26:$C$125,_xlfn.AGGREGATE(15,6,(ROW($C$26:$C$125)-ROW($C$26)+1)/($C$26:$C$125&lt;&gt;""),ROWS($AB$2:AB98))),"")</f>
        <v/>
      </c>
    </row>
    <row r="99" spans="2:28" x14ac:dyDescent="0.3">
      <c r="B99" s="9" t="s">
        <v>4673</v>
      </c>
      <c r="C99" s="13"/>
      <c r="D99" s="14"/>
      <c r="AB99" s="106" t="str">
        <f>IFERROR(INDEX($C$26:$C$125,_xlfn.AGGREGATE(15,6,(ROW($C$26:$C$125)-ROW($C$26)+1)/($C$26:$C$125&lt;&gt;""),ROWS($AB$2:AB99))),"")</f>
        <v/>
      </c>
    </row>
    <row r="100" spans="2:28" x14ac:dyDescent="0.3">
      <c r="B100" s="9" t="s">
        <v>4674</v>
      </c>
      <c r="C100" s="13"/>
      <c r="D100" s="14"/>
      <c r="AB100" s="106" t="str">
        <f>IFERROR(INDEX($C$26:$C$125,_xlfn.AGGREGATE(15,6,(ROW($C$26:$C$125)-ROW($C$26)+1)/($C$26:$C$125&lt;&gt;""),ROWS($AB$2:AB100))),"")</f>
        <v/>
      </c>
    </row>
    <row r="101" spans="2:28" x14ac:dyDescent="0.3">
      <c r="B101" s="9" t="s">
        <v>4675</v>
      </c>
      <c r="C101" s="13"/>
      <c r="D101" s="14"/>
      <c r="AB101" s="106" t="str">
        <f>IFERROR(INDEX($C$26:$C$125,_xlfn.AGGREGATE(15,6,(ROW($C$26:$C$125)-ROW($C$26)+1)/($C$26:$C$125&lt;&gt;""),ROWS($AB$2:AB101))),"")</f>
        <v/>
      </c>
    </row>
    <row r="102" spans="2:28" x14ac:dyDescent="0.3">
      <c r="B102" s="9" t="s">
        <v>4676</v>
      </c>
      <c r="C102" s="13"/>
      <c r="D102" s="14"/>
    </row>
    <row r="103" spans="2:28" x14ac:dyDescent="0.3">
      <c r="B103" s="9" t="s">
        <v>4677</v>
      </c>
      <c r="C103" s="13"/>
      <c r="D103" s="14"/>
    </row>
    <row r="104" spans="2:28" x14ac:dyDescent="0.3">
      <c r="B104" s="9" t="s">
        <v>4678</v>
      </c>
      <c r="C104" s="13"/>
      <c r="D104" s="14"/>
    </row>
    <row r="105" spans="2:28" x14ac:dyDescent="0.3">
      <c r="B105" s="9" t="s">
        <v>4679</v>
      </c>
      <c r="C105" s="13"/>
      <c r="D105" s="14"/>
    </row>
    <row r="106" spans="2:28" x14ac:dyDescent="0.3">
      <c r="B106" s="9" t="s">
        <v>4680</v>
      </c>
      <c r="C106" s="13"/>
      <c r="D106" s="14"/>
    </row>
    <row r="107" spans="2:28" x14ac:dyDescent="0.3">
      <c r="B107" s="9" t="s">
        <v>4681</v>
      </c>
      <c r="C107" s="13"/>
      <c r="D107" s="14"/>
    </row>
    <row r="108" spans="2:28" x14ac:dyDescent="0.3">
      <c r="B108" s="9" t="s">
        <v>4682</v>
      </c>
      <c r="C108" s="13"/>
      <c r="D108" s="14"/>
    </row>
    <row r="109" spans="2:28" x14ac:dyDescent="0.3">
      <c r="B109" s="9" t="s">
        <v>4683</v>
      </c>
      <c r="C109" s="13"/>
      <c r="D109" s="14"/>
    </row>
    <row r="110" spans="2:28" x14ac:dyDescent="0.3">
      <c r="B110" s="9" t="s">
        <v>4684</v>
      </c>
      <c r="C110" s="13"/>
      <c r="D110" s="14"/>
    </row>
    <row r="111" spans="2:28" x14ac:dyDescent="0.3">
      <c r="B111" s="9" t="s">
        <v>4685</v>
      </c>
      <c r="C111" s="13"/>
      <c r="D111" s="14"/>
    </row>
    <row r="112" spans="2:28" x14ac:dyDescent="0.3">
      <c r="B112" s="9" t="s">
        <v>4686</v>
      </c>
      <c r="C112" s="13"/>
      <c r="D112" s="14"/>
    </row>
    <row r="113" spans="2:4" x14ac:dyDescent="0.3">
      <c r="B113" s="9" t="s">
        <v>4687</v>
      </c>
      <c r="C113" s="13"/>
      <c r="D113" s="14"/>
    </row>
    <row r="114" spans="2:4" x14ac:dyDescent="0.3">
      <c r="B114" s="9" t="s">
        <v>4688</v>
      </c>
      <c r="C114" s="13"/>
      <c r="D114" s="14"/>
    </row>
    <row r="115" spans="2:4" x14ac:dyDescent="0.3">
      <c r="B115" s="9" t="s">
        <v>4689</v>
      </c>
      <c r="C115" s="13"/>
      <c r="D115" s="14"/>
    </row>
    <row r="116" spans="2:4" x14ac:dyDescent="0.3">
      <c r="B116" s="9" t="s">
        <v>4690</v>
      </c>
      <c r="C116" s="13"/>
      <c r="D116" s="14"/>
    </row>
    <row r="117" spans="2:4" x14ac:dyDescent="0.3">
      <c r="B117" s="9" t="s">
        <v>4691</v>
      </c>
      <c r="C117" s="13"/>
      <c r="D117" s="14"/>
    </row>
    <row r="118" spans="2:4" x14ac:dyDescent="0.3">
      <c r="B118" s="9" t="s">
        <v>4692</v>
      </c>
      <c r="C118" s="13"/>
      <c r="D118" s="14"/>
    </row>
    <row r="119" spans="2:4" x14ac:dyDescent="0.3">
      <c r="B119" s="9" t="s">
        <v>4693</v>
      </c>
      <c r="C119" s="13"/>
      <c r="D119" s="14"/>
    </row>
    <row r="120" spans="2:4" x14ac:dyDescent="0.3">
      <c r="B120" s="9" t="s">
        <v>4694</v>
      </c>
      <c r="C120" s="13"/>
      <c r="D120" s="14"/>
    </row>
    <row r="121" spans="2:4" x14ac:dyDescent="0.3">
      <c r="B121" s="9" t="s">
        <v>4695</v>
      </c>
      <c r="C121" s="13"/>
      <c r="D121" s="14"/>
    </row>
    <row r="122" spans="2:4" x14ac:dyDescent="0.3">
      <c r="B122" s="9" t="s">
        <v>4696</v>
      </c>
      <c r="C122" s="13"/>
      <c r="D122" s="14"/>
    </row>
    <row r="123" spans="2:4" x14ac:dyDescent="0.3">
      <c r="B123" s="9" t="s">
        <v>4697</v>
      </c>
      <c r="C123" s="13"/>
      <c r="D123" s="14"/>
    </row>
    <row r="124" spans="2:4" x14ac:dyDescent="0.3">
      <c r="B124" s="9" t="s">
        <v>4698</v>
      </c>
      <c r="C124" s="13"/>
      <c r="D124" s="14"/>
    </row>
    <row r="125" spans="2:4" x14ac:dyDescent="0.3">
      <c r="B125" s="9" t="s">
        <v>4699</v>
      </c>
      <c r="C125" s="13"/>
      <c r="D125" s="14"/>
    </row>
    <row r="126" spans="2:4" x14ac:dyDescent="0.3">
      <c r="C126" s="10"/>
      <c r="D126" s="10"/>
    </row>
    <row r="127" spans="2:4" x14ac:dyDescent="0.3">
      <c r="C127" s="10"/>
      <c r="D127" s="10"/>
    </row>
    <row r="128" spans="2:4" x14ac:dyDescent="0.3">
      <c r="C128" s="10"/>
      <c r="D128" s="10"/>
    </row>
    <row r="129" spans="3:4" x14ac:dyDescent="0.3">
      <c r="C129" s="10"/>
      <c r="D129" s="10"/>
    </row>
    <row r="130" spans="3:4" x14ac:dyDescent="0.3">
      <c r="C130" s="10"/>
      <c r="D130" s="10"/>
    </row>
    <row r="131" spans="3:4" x14ac:dyDescent="0.3">
      <c r="C131" s="10"/>
      <c r="D131" s="10"/>
    </row>
    <row r="132" spans="3:4" x14ac:dyDescent="0.3">
      <c r="C132" s="10"/>
      <c r="D132" s="10"/>
    </row>
    <row r="133" spans="3:4" x14ac:dyDescent="0.3">
      <c r="C133" s="10"/>
      <c r="D133" s="10"/>
    </row>
    <row r="134" spans="3:4" x14ac:dyDescent="0.3">
      <c r="C134" s="10"/>
      <c r="D134" s="10"/>
    </row>
    <row r="135" spans="3:4" x14ac:dyDescent="0.3">
      <c r="C135" s="10"/>
      <c r="D135" s="10"/>
    </row>
    <row r="136" spans="3:4" x14ac:dyDescent="0.3">
      <c r="C136" s="10"/>
      <c r="D136" s="10"/>
    </row>
    <row r="137" spans="3:4" x14ac:dyDescent="0.3">
      <c r="C137" s="10"/>
      <c r="D137" s="10"/>
    </row>
    <row r="138" spans="3:4" x14ac:dyDescent="0.3">
      <c r="C138" s="10"/>
      <c r="D138" s="10"/>
    </row>
    <row r="139" spans="3:4" x14ac:dyDescent="0.3">
      <c r="C139" s="10"/>
      <c r="D139" s="10"/>
    </row>
    <row r="140" spans="3:4" x14ac:dyDescent="0.3">
      <c r="C140" s="10"/>
      <c r="D140" s="10"/>
    </row>
    <row r="141" spans="3:4" x14ac:dyDescent="0.3">
      <c r="C141" s="10"/>
      <c r="D141" s="10"/>
    </row>
    <row r="142" spans="3:4" x14ac:dyDescent="0.3">
      <c r="C142" s="10"/>
      <c r="D142" s="10"/>
    </row>
    <row r="143" spans="3:4" x14ac:dyDescent="0.3">
      <c r="C143" s="10"/>
      <c r="D143" s="10"/>
    </row>
    <row r="144" spans="3:4" x14ac:dyDescent="0.3">
      <c r="C144" s="10"/>
      <c r="D144" s="10"/>
    </row>
    <row r="145" spans="3:4" x14ac:dyDescent="0.3">
      <c r="C145" s="10"/>
      <c r="D145" s="10"/>
    </row>
    <row r="146" spans="3:4" x14ac:dyDescent="0.3">
      <c r="C146" s="10"/>
      <c r="D146" s="10"/>
    </row>
    <row r="147" spans="3:4" x14ac:dyDescent="0.3">
      <c r="C147" s="10"/>
      <c r="D147" s="10"/>
    </row>
    <row r="148" spans="3:4" x14ac:dyDescent="0.3">
      <c r="C148" s="10"/>
      <c r="D148" s="10"/>
    </row>
    <row r="149" spans="3:4" x14ac:dyDescent="0.3">
      <c r="C149" s="10"/>
      <c r="D149" s="10"/>
    </row>
    <row r="150" spans="3:4" x14ac:dyDescent="0.3">
      <c r="C150" s="10"/>
      <c r="D150" s="10"/>
    </row>
    <row r="151" spans="3:4" x14ac:dyDescent="0.3">
      <c r="C151" s="10"/>
      <c r="D151" s="10"/>
    </row>
    <row r="152" spans="3:4" x14ac:dyDescent="0.3">
      <c r="C152" s="10"/>
      <c r="D152" s="10"/>
    </row>
    <row r="153" spans="3:4" x14ac:dyDescent="0.3">
      <c r="C153" s="10"/>
      <c r="D153" s="10"/>
    </row>
    <row r="154" spans="3:4" x14ac:dyDescent="0.3">
      <c r="C154" s="10"/>
      <c r="D154" s="10"/>
    </row>
    <row r="155" spans="3:4" x14ac:dyDescent="0.3">
      <c r="C155" s="10"/>
      <c r="D155" s="10"/>
    </row>
    <row r="156" spans="3:4" x14ac:dyDescent="0.3">
      <c r="C156" s="10"/>
      <c r="D156" s="10"/>
    </row>
    <row r="157" spans="3:4" x14ac:dyDescent="0.3">
      <c r="C157" s="10"/>
      <c r="D157" s="10"/>
    </row>
    <row r="158" spans="3:4" x14ac:dyDescent="0.3">
      <c r="C158" s="10"/>
      <c r="D158" s="10"/>
    </row>
    <row r="159" spans="3:4" x14ac:dyDescent="0.3">
      <c r="C159" s="10"/>
      <c r="D159" s="10"/>
    </row>
    <row r="160" spans="3:4" x14ac:dyDescent="0.3">
      <c r="C160" s="10"/>
      <c r="D160" s="10"/>
    </row>
    <row r="161" spans="3:4" x14ac:dyDescent="0.3">
      <c r="C161" s="10"/>
      <c r="D161" s="10"/>
    </row>
    <row r="162" spans="3:4" x14ac:dyDescent="0.3">
      <c r="C162" s="10"/>
      <c r="D162" s="10"/>
    </row>
    <row r="163" spans="3:4" x14ac:dyDescent="0.3">
      <c r="C163" s="10"/>
      <c r="D163" s="10"/>
    </row>
    <row r="164" spans="3:4" x14ac:dyDescent="0.3">
      <c r="C164" s="10"/>
      <c r="D164" s="10"/>
    </row>
    <row r="165" spans="3:4" x14ac:dyDescent="0.3">
      <c r="C165" s="10"/>
      <c r="D165" s="10"/>
    </row>
    <row r="166" spans="3:4" x14ac:dyDescent="0.3">
      <c r="C166" s="10"/>
      <c r="D166" s="10"/>
    </row>
    <row r="167" spans="3:4" x14ac:dyDescent="0.3">
      <c r="C167" s="10"/>
      <c r="D167" s="10"/>
    </row>
    <row r="168" spans="3:4" x14ac:dyDescent="0.3">
      <c r="C168" s="10"/>
      <c r="D168" s="10"/>
    </row>
    <row r="169" spans="3:4" x14ac:dyDescent="0.3">
      <c r="C169" s="10"/>
      <c r="D169" s="10"/>
    </row>
    <row r="170" spans="3:4" x14ac:dyDescent="0.3">
      <c r="C170" s="10"/>
      <c r="D170" s="10"/>
    </row>
    <row r="171" spans="3:4" x14ac:dyDescent="0.3">
      <c r="C171" s="10"/>
      <c r="D171" s="10"/>
    </row>
    <row r="172" spans="3:4" x14ac:dyDescent="0.3">
      <c r="C172" s="10"/>
      <c r="D172" s="10"/>
    </row>
    <row r="173" spans="3:4" x14ac:dyDescent="0.3">
      <c r="C173" s="10"/>
      <c r="D173" s="10"/>
    </row>
    <row r="174" spans="3:4" x14ac:dyDescent="0.3">
      <c r="C174" s="10"/>
      <c r="D174" s="10"/>
    </row>
    <row r="175" spans="3:4" x14ac:dyDescent="0.3">
      <c r="C175" s="10"/>
      <c r="D175" s="10"/>
    </row>
    <row r="176" spans="3:4" x14ac:dyDescent="0.3">
      <c r="C176" s="10"/>
      <c r="D176" s="10"/>
    </row>
    <row r="177" spans="3:4" x14ac:dyDescent="0.3">
      <c r="C177" s="10"/>
      <c r="D177" s="10"/>
    </row>
    <row r="178" spans="3:4" x14ac:dyDescent="0.3">
      <c r="C178" s="10"/>
      <c r="D178" s="10"/>
    </row>
    <row r="179" spans="3:4" x14ac:dyDescent="0.3">
      <c r="C179" s="10"/>
      <c r="D179" s="10"/>
    </row>
    <row r="180" spans="3:4" x14ac:dyDescent="0.3">
      <c r="C180" s="10"/>
      <c r="D180" s="10"/>
    </row>
    <row r="181" spans="3:4" x14ac:dyDescent="0.3">
      <c r="C181" s="10"/>
      <c r="D181" s="10"/>
    </row>
    <row r="182" spans="3:4" x14ac:dyDescent="0.3">
      <c r="C182" s="10"/>
      <c r="D182" s="10"/>
    </row>
    <row r="183" spans="3:4" x14ac:dyDescent="0.3">
      <c r="C183" s="10"/>
      <c r="D183" s="10"/>
    </row>
    <row r="184" spans="3:4" x14ac:dyDescent="0.3">
      <c r="C184" s="10"/>
      <c r="D184" s="10"/>
    </row>
    <row r="185" spans="3:4" x14ac:dyDescent="0.3">
      <c r="C185" s="10"/>
      <c r="D185" s="10"/>
    </row>
    <row r="186" spans="3:4" x14ac:dyDescent="0.3">
      <c r="C186" s="10"/>
      <c r="D186" s="10"/>
    </row>
    <row r="187" spans="3:4" x14ac:dyDescent="0.3">
      <c r="C187" s="10"/>
      <c r="D187" s="10"/>
    </row>
    <row r="188" spans="3:4" x14ac:dyDescent="0.3">
      <c r="C188" s="10"/>
      <c r="D188" s="10"/>
    </row>
    <row r="189" spans="3:4" x14ac:dyDescent="0.3">
      <c r="C189" s="10"/>
      <c r="D189" s="10"/>
    </row>
    <row r="190" spans="3:4" x14ac:dyDescent="0.3">
      <c r="C190" s="10"/>
      <c r="D190" s="10"/>
    </row>
    <row r="191" spans="3:4" x14ac:dyDescent="0.3">
      <c r="C191" s="10"/>
      <c r="D191" s="10"/>
    </row>
    <row r="192" spans="3:4" x14ac:dyDescent="0.3">
      <c r="C192" s="10"/>
      <c r="D192" s="10"/>
    </row>
    <row r="193" spans="3:4" x14ac:dyDescent="0.3">
      <c r="C193" s="10"/>
      <c r="D193" s="10"/>
    </row>
    <row r="194" spans="3:4" x14ac:dyDescent="0.3">
      <c r="C194" s="10"/>
      <c r="D194" s="10"/>
    </row>
    <row r="195" spans="3:4" x14ac:dyDescent="0.3">
      <c r="C195" s="10"/>
      <c r="D195" s="10"/>
    </row>
    <row r="196" spans="3:4" x14ac:dyDescent="0.3">
      <c r="C196" s="10"/>
      <c r="D196" s="10"/>
    </row>
    <row r="197" spans="3:4" x14ac:dyDescent="0.3">
      <c r="C197" s="10"/>
      <c r="D197" s="10"/>
    </row>
    <row r="198" spans="3:4" x14ac:dyDescent="0.3">
      <c r="C198" s="10"/>
      <c r="D198" s="10"/>
    </row>
    <row r="199" spans="3:4" x14ac:dyDescent="0.3">
      <c r="C199" s="10"/>
      <c r="D199" s="10"/>
    </row>
    <row r="200" spans="3:4" x14ac:dyDescent="0.3">
      <c r="C200" s="10"/>
      <c r="D200" s="10"/>
    </row>
  </sheetData>
  <sheetProtection algorithmName="SHA-512" hashValue="Jk6wRsFIbki708JxiLEhqOp70SU28sr2y6RXeEpoL+VglkiHHwg0NjCEAamXoYtuIDlLoNOkamex0KYe6rz86Q==" saltValue="jsWZmJI9OQ6+yVfiEHmmCg==" spinCount="100000" sheet="1" scenarios="1"/>
  <mergeCells count="3">
    <mergeCell ref="B24:D24"/>
    <mergeCell ref="A1:E1"/>
    <mergeCell ref="B19:D19"/>
  </mergeCells>
  <dataValidations count="1">
    <dataValidation type="list" allowBlank="1" showInputMessage="1" showErrorMessage="1" sqref="C20" xr:uid="{93DD1CC0-6578-4810-81DF-4B822F4FF0F0}">
      <formula1>lstLotes</formula1>
    </dataValidation>
  </dataValidation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200000000000003" customHeight="1" x14ac:dyDescent="0.3">
      <c r="A1" s="169" t="s">
        <v>85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25"/>
      <c r="T1" s="125"/>
      <c r="U1" s="125"/>
      <c r="V1" s="125"/>
      <c r="W1" s="125"/>
      <c r="X1" s="125"/>
      <c r="Y1" s="125"/>
      <c r="Z1" s="125"/>
      <c r="AA1" s="125"/>
    </row>
    <row r="2" spans="1:36" ht="19.95" customHeight="1" x14ac:dyDescent="0.3">
      <c r="A2" s="178" t="str">
        <f>"PARÂMETROS DO LOTE "&amp;loteParam&amp;"  ·  Média/DP valem só para este lote — para ver ou editar outro lote, selecione-o no Painel (H3).  ·  Lote em uso p/ lançamentos: "&amp;loteAtivo&amp;"  ·  Especificações (CLIA/VB/ETp) valem para todos os lotes."</f>
        <v>PARÂMETROS DO LOTE 522611  ·  Média/DP valem só para este lote — para ver ou editar outro lote, selecione-o no Painel (H3).  ·  Lote em uso p/ lançamentos: 522611  ·  Especificações (CLIA/VB/ETp) valem para todos os lotes.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U2" s="6" t="s">
        <v>86</v>
      </c>
      <c r="Y2" s="6" t="s">
        <v>87</v>
      </c>
    </row>
    <row r="3" spans="1:36" ht="28.2" customHeight="1" x14ac:dyDescent="0.3">
      <c r="A3" s="15" t="s">
        <v>88</v>
      </c>
      <c r="B3" s="15" t="s">
        <v>89</v>
      </c>
      <c r="C3" s="15" t="s">
        <v>90</v>
      </c>
      <c r="D3" s="15" t="s">
        <v>91</v>
      </c>
      <c r="E3" s="15" t="s">
        <v>92</v>
      </c>
      <c r="F3" s="15" t="s">
        <v>93</v>
      </c>
      <c r="G3" s="15" t="s">
        <v>94</v>
      </c>
      <c r="H3" s="15" t="s">
        <v>95</v>
      </c>
      <c r="I3" s="15" t="s">
        <v>96</v>
      </c>
      <c r="J3" s="15" t="s">
        <v>97</v>
      </c>
      <c r="K3" s="15" t="s">
        <v>98</v>
      </c>
      <c r="L3" s="15" t="s">
        <v>99</v>
      </c>
      <c r="M3" s="15" t="s">
        <v>100</v>
      </c>
      <c r="N3" s="15" t="s">
        <v>101</v>
      </c>
      <c r="O3" s="15" t="s">
        <v>102</v>
      </c>
      <c r="P3" s="15" t="s">
        <v>103</v>
      </c>
      <c r="Q3" s="15" t="s">
        <v>104</v>
      </c>
      <c r="R3" s="15" t="s">
        <v>105</v>
      </c>
      <c r="S3" s="16" t="s">
        <v>106</v>
      </c>
      <c r="T3" s="16" t="s">
        <v>107</v>
      </c>
      <c r="U3" s="16" t="s">
        <v>102</v>
      </c>
      <c r="V3" s="16" t="s">
        <v>108</v>
      </c>
      <c r="W3" s="16" t="s">
        <v>109</v>
      </c>
      <c r="Y3" s="16" t="s">
        <v>110</v>
      </c>
      <c r="Z3" s="16" t="s">
        <v>111</v>
      </c>
      <c r="AA3" s="16" t="s">
        <v>112</v>
      </c>
      <c r="AB3" s="16" t="s">
        <v>113</v>
      </c>
      <c r="AC3" s="16" t="s">
        <v>114</v>
      </c>
      <c r="AD3" s="16" t="s">
        <v>115</v>
      </c>
      <c r="AE3" s="16" t="s">
        <v>116</v>
      </c>
      <c r="AF3" s="16" t="s">
        <v>117</v>
      </c>
      <c r="AG3" s="16" t="s">
        <v>118</v>
      </c>
      <c r="AH3" s="16" t="s">
        <v>119</v>
      </c>
      <c r="AI3" s="16" t="s">
        <v>120</v>
      </c>
      <c r="AJ3" s="16" t="s">
        <v>121</v>
      </c>
    </row>
    <row r="4" spans="1:36" x14ac:dyDescent="0.3">
      <c r="A4" s="22" t="s">
        <v>122</v>
      </c>
      <c r="B4" s="23" t="s">
        <v>6</v>
      </c>
      <c r="C4" s="23"/>
      <c r="D4" s="24">
        <v>3</v>
      </c>
      <c r="E4" s="25">
        <v>3.0038</v>
      </c>
      <c r="F4" s="25">
        <v>5.2900000000000003E-2</v>
      </c>
      <c r="G4" s="25">
        <v>6.8052000000000001</v>
      </c>
      <c r="H4" s="25">
        <v>9.1200000000000003E-2</v>
      </c>
      <c r="I4" s="25">
        <v>16.523800000000001</v>
      </c>
      <c r="J4" s="25">
        <v>0.16930000000000001</v>
      </c>
      <c r="K4" s="26">
        <v>7</v>
      </c>
      <c r="L4" s="26">
        <v>3</v>
      </c>
      <c r="M4" s="26">
        <v>10.8</v>
      </c>
      <c r="N4" s="26">
        <v>16.399999999999999</v>
      </c>
      <c r="O4" s="24" t="s">
        <v>123</v>
      </c>
      <c r="P4" s="26"/>
      <c r="Q4" s="17" t="str">
        <f t="shared" ref="Q4:Q43" si="0">IF($A4="","",IF($P4&lt;&gt;"","Config",IF($K4&lt;&gt;"","CLIA",IF(AND($M4&lt;&gt;"",$N4&lt;&gt;""),"VB","-"))))</f>
        <v>CLIA</v>
      </c>
      <c r="R4" s="18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19">
        <f t="shared" ref="S4:S43" si="2">IF($A4="","",IF($K4&lt;&gt;"",$K4/3,""))</f>
        <v>2.3333333333333335</v>
      </c>
      <c r="T4" s="19">
        <f t="shared" ref="T4:T43" si="3">IF($A4="","",IF($M4&lt;&gt;"",(IFERROR(INDEX($V$4:$V$6,MATCH($O4,$U$4:$U$6,0)),0.75))*$M4,""))</f>
        <v>5.4</v>
      </c>
      <c r="U4" s="27" t="s">
        <v>124</v>
      </c>
      <c r="V4" s="27">
        <v>0.25</v>
      </c>
      <c r="W4" s="27">
        <v>0.125</v>
      </c>
      <c r="Y4" s="20">
        <f t="shared" ref="Y4:Y43" si="4">IF($A4="","",IF($E4="","",$E4-3*$F4))</f>
        <v>2.8451</v>
      </c>
      <c r="Z4" s="20">
        <f t="shared" ref="Z4:Z43" si="5">IF($A4="","",IF($E4="","",$E4+3*$F4))</f>
        <v>3.1625000000000001</v>
      </c>
      <c r="AA4" s="21">
        <f t="shared" ref="AA4:AA43" si="6">IF($Y4="","",$E4-($E4-$Y4)*1.1)</f>
        <v>2.8292299999999999</v>
      </c>
      <c r="AB4" s="21">
        <f t="shared" ref="AB4:AB43" si="7">IF($Z4="","",$E4+($Z4-$E4)*1.1)</f>
        <v>3.1783700000000001</v>
      </c>
      <c r="AC4" s="20">
        <f t="shared" ref="AC4:AC43" si="8">IF($A4="","",IF($G4="","",$G4-3*$H4))</f>
        <v>6.5316000000000001</v>
      </c>
      <c r="AD4" s="20">
        <f t="shared" ref="AD4:AD43" si="9">IF($A4="","",IF($G4="","",$G4+3*$H4))</f>
        <v>7.0788000000000002</v>
      </c>
      <c r="AE4" s="21">
        <f t="shared" ref="AE4:AE43" si="10">IF($AC4="","",$G4-($G4-$AC4)*1.1)</f>
        <v>6.5042400000000002</v>
      </c>
      <c r="AF4" s="21">
        <f t="shared" ref="AF4:AF43" si="11">IF($AD4="","",$G4+($AD4-$G4)*1.1)</f>
        <v>7.10616</v>
      </c>
      <c r="AG4" s="20">
        <f t="shared" ref="AG4:AG43" si="12">IF($A4="","",IF($I4="","",$I4-3*$J4))</f>
        <v>16.015900000000002</v>
      </c>
      <c r="AH4" s="20">
        <f t="shared" ref="AH4:AH43" si="13">IF($A4="","",IF($I4="","",$I4+3*$J4))</f>
        <v>17.031700000000001</v>
      </c>
      <c r="AI4" s="21">
        <f t="shared" ref="AI4:AI43" si="14">IF($AG4="","",$I4-($I4-$AG4)*1.1)</f>
        <v>15.965110000000003</v>
      </c>
      <c r="AJ4" s="21">
        <f t="shared" ref="AJ4:AJ43" si="15">IF($AH4="","",$I4+($AH4-$I4)*1.1)</f>
        <v>17.08249</v>
      </c>
    </row>
    <row r="5" spans="1:36" x14ac:dyDescent="0.3">
      <c r="A5" s="22" t="s">
        <v>125</v>
      </c>
      <c r="B5" s="23" t="s">
        <v>6</v>
      </c>
      <c r="C5" s="23"/>
      <c r="D5" s="24">
        <v>3</v>
      </c>
      <c r="E5" s="25">
        <v>2.3066</v>
      </c>
      <c r="F5" s="25">
        <v>2.1899999999999999E-2</v>
      </c>
      <c r="G5" s="25">
        <v>4.3769</v>
      </c>
      <c r="H5" s="25">
        <v>3.5000000000000003E-2</v>
      </c>
      <c r="I5" s="25">
        <v>5.1227999999999998</v>
      </c>
      <c r="J5" s="25">
        <v>3.4500000000000003E-2</v>
      </c>
      <c r="K5" s="26">
        <v>4</v>
      </c>
      <c r="L5" s="26">
        <v>1.5</v>
      </c>
      <c r="M5" s="26">
        <v>2.6</v>
      </c>
      <c r="N5" s="26">
        <v>6.4</v>
      </c>
      <c r="O5" s="24" t="s">
        <v>126</v>
      </c>
      <c r="P5" s="26"/>
      <c r="Q5" s="17" t="str">
        <f t="shared" si="0"/>
        <v>CLIA</v>
      </c>
      <c r="R5" s="18">
        <f t="shared" si="1"/>
        <v>4</v>
      </c>
      <c r="S5" s="19">
        <f t="shared" si="2"/>
        <v>1.3333333333333333</v>
      </c>
      <c r="T5" s="19">
        <f t="shared" si="3"/>
        <v>1.9500000000000002</v>
      </c>
      <c r="U5" s="27" t="s">
        <v>123</v>
      </c>
      <c r="V5" s="27">
        <v>0.5</v>
      </c>
      <c r="W5" s="27">
        <v>0.25</v>
      </c>
      <c r="Y5" s="20">
        <f t="shared" si="4"/>
        <v>2.2408999999999999</v>
      </c>
      <c r="Z5" s="20">
        <f t="shared" si="5"/>
        <v>2.3723000000000001</v>
      </c>
      <c r="AA5" s="21">
        <f t="shared" si="6"/>
        <v>2.2343299999999999</v>
      </c>
      <c r="AB5" s="21">
        <f t="shared" si="7"/>
        <v>2.37887</v>
      </c>
      <c r="AC5" s="20">
        <f t="shared" si="8"/>
        <v>4.2718999999999996</v>
      </c>
      <c r="AD5" s="20">
        <f t="shared" si="9"/>
        <v>4.4819000000000004</v>
      </c>
      <c r="AE5" s="21">
        <f t="shared" si="10"/>
        <v>4.2613999999999992</v>
      </c>
      <c r="AF5" s="21">
        <f t="shared" si="11"/>
        <v>4.4924000000000008</v>
      </c>
      <c r="AG5" s="20">
        <f t="shared" si="12"/>
        <v>5.0192999999999994</v>
      </c>
      <c r="AH5" s="20">
        <f t="shared" si="13"/>
        <v>5.2263000000000002</v>
      </c>
      <c r="AI5" s="21">
        <f t="shared" si="14"/>
        <v>5.0089499999999996</v>
      </c>
      <c r="AJ5" s="21">
        <f t="shared" si="15"/>
        <v>5.23665</v>
      </c>
    </row>
    <row r="6" spans="1:36" x14ac:dyDescent="0.3">
      <c r="A6" s="22" t="s">
        <v>127</v>
      </c>
      <c r="B6" s="23" t="s">
        <v>6</v>
      </c>
      <c r="C6" s="23"/>
      <c r="D6" s="24">
        <v>3</v>
      </c>
      <c r="E6" s="25">
        <v>5.5</v>
      </c>
      <c r="F6" s="25">
        <v>5.9799999999999999E-2</v>
      </c>
      <c r="G6" s="25">
        <v>12.2759</v>
      </c>
      <c r="H6" s="25">
        <v>8.3000000000000004E-2</v>
      </c>
      <c r="I6" s="25">
        <v>15.5655</v>
      </c>
      <c r="J6" s="25">
        <v>8.14E-2</v>
      </c>
      <c r="K6" s="26">
        <v>4</v>
      </c>
      <c r="L6" s="26">
        <v>1</v>
      </c>
      <c r="M6" s="26">
        <v>2.7</v>
      </c>
      <c r="N6" s="26">
        <v>5.9</v>
      </c>
      <c r="O6" s="24" t="s">
        <v>124</v>
      </c>
      <c r="P6" s="26"/>
      <c r="Q6" s="17" t="str">
        <f t="shared" si="0"/>
        <v>CLIA</v>
      </c>
      <c r="R6" s="18">
        <f t="shared" si="1"/>
        <v>4</v>
      </c>
      <c r="S6" s="19">
        <f t="shared" si="2"/>
        <v>1.3333333333333333</v>
      </c>
      <c r="T6" s="19">
        <f t="shared" si="3"/>
        <v>0.67500000000000004</v>
      </c>
      <c r="U6" s="27" t="s">
        <v>126</v>
      </c>
      <c r="V6" s="27">
        <v>0.75</v>
      </c>
      <c r="W6" s="27">
        <v>0.375</v>
      </c>
      <c r="Y6" s="20">
        <f t="shared" si="4"/>
        <v>5.3205999999999998</v>
      </c>
      <c r="Z6" s="20">
        <f t="shared" si="5"/>
        <v>5.6794000000000002</v>
      </c>
      <c r="AA6" s="21">
        <f t="shared" si="6"/>
        <v>5.3026599999999995</v>
      </c>
      <c r="AB6" s="21">
        <f t="shared" si="7"/>
        <v>5.6973400000000005</v>
      </c>
      <c r="AC6" s="20">
        <f t="shared" si="8"/>
        <v>12.026899999999999</v>
      </c>
      <c r="AD6" s="20">
        <f t="shared" si="9"/>
        <v>12.524900000000001</v>
      </c>
      <c r="AE6" s="21">
        <f t="shared" si="10"/>
        <v>12.001999999999999</v>
      </c>
      <c r="AF6" s="21">
        <f t="shared" si="11"/>
        <v>12.549800000000001</v>
      </c>
      <c r="AG6" s="20">
        <f t="shared" si="12"/>
        <v>15.321300000000001</v>
      </c>
      <c r="AH6" s="20">
        <f t="shared" si="13"/>
        <v>15.809699999999999</v>
      </c>
      <c r="AI6" s="21">
        <f t="shared" si="14"/>
        <v>15.296880000000002</v>
      </c>
      <c r="AJ6" s="21">
        <f t="shared" si="15"/>
        <v>15.834119999999999</v>
      </c>
    </row>
    <row r="7" spans="1:36" x14ac:dyDescent="0.3">
      <c r="A7" s="22" t="s">
        <v>128</v>
      </c>
      <c r="B7" s="23" t="s">
        <v>6</v>
      </c>
      <c r="C7" s="23"/>
      <c r="D7" s="24">
        <v>3</v>
      </c>
      <c r="E7" s="25">
        <v>16.634499999999999</v>
      </c>
      <c r="F7" s="25">
        <v>0.30969999999999998</v>
      </c>
      <c r="G7" s="25">
        <v>35.834499999999998</v>
      </c>
      <c r="H7" s="25">
        <v>0.45219999999999999</v>
      </c>
      <c r="I7" s="25">
        <v>44.910299999999999</v>
      </c>
      <c r="J7" s="25">
        <v>0.49880000000000002</v>
      </c>
      <c r="K7" s="26">
        <v>4</v>
      </c>
      <c r="L7" s="26">
        <v>1.5</v>
      </c>
      <c r="M7" s="26">
        <v>2.8</v>
      </c>
      <c r="N7" s="26">
        <v>5.4</v>
      </c>
      <c r="O7" s="24" t="s">
        <v>126</v>
      </c>
      <c r="P7" s="26"/>
      <c r="Q7" s="17" t="str">
        <f t="shared" si="0"/>
        <v>CLIA</v>
      </c>
      <c r="R7" s="18">
        <f t="shared" si="1"/>
        <v>4</v>
      </c>
      <c r="S7" s="19">
        <f t="shared" si="2"/>
        <v>1.3333333333333333</v>
      </c>
      <c r="T7" s="19">
        <f t="shared" si="3"/>
        <v>2.0999999999999996</v>
      </c>
      <c r="Y7" s="20">
        <f t="shared" si="4"/>
        <v>15.705399999999999</v>
      </c>
      <c r="Z7" s="20">
        <f t="shared" si="5"/>
        <v>17.563599999999997</v>
      </c>
      <c r="AA7" s="21">
        <f t="shared" si="6"/>
        <v>15.612489999999999</v>
      </c>
      <c r="AB7" s="21">
        <f t="shared" si="7"/>
        <v>17.656509999999997</v>
      </c>
      <c r="AC7" s="20">
        <f t="shared" si="8"/>
        <v>34.477899999999998</v>
      </c>
      <c r="AD7" s="20">
        <f t="shared" si="9"/>
        <v>37.191099999999999</v>
      </c>
      <c r="AE7" s="21">
        <f t="shared" si="10"/>
        <v>34.342239999999997</v>
      </c>
      <c r="AF7" s="21">
        <f t="shared" si="11"/>
        <v>37.32676</v>
      </c>
      <c r="AG7" s="20">
        <f t="shared" si="12"/>
        <v>43.413899999999998</v>
      </c>
      <c r="AH7" s="20">
        <f t="shared" si="13"/>
        <v>46.406700000000001</v>
      </c>
      <c r="AI7" s="21">
        <f t="shared" si="14"/>
        <v>43.26426</v>
      </c>
      <c r="AJ7" s="21">
        <f t="shared" si="15"/>
        <v>46.556339999999999</v>
      </c>
    </row>
    <row r="8" spans="1:36" x14ac:dyDescent="0.3">
      <c r="A8" s="22" t="s">
        <v>129</v>
      </c>
      <c r="B8" s="23" t="s">
        <v>6</v>
      </c>
      <c r="C8" s="23"/>
      <c r="D8" s="24">
        <v>3</v>
      </c>
      <c r="E8" s="25">
        <v>72.148300000000006</v>
      </c>
      <c r="F8" s="25">
        <v>0.90059999999999996</v>
      </c>
      <c r="G8" s="25">
        <v>81.875900000000001</v>
      </c>
      <c r="H8" s="25">
        <v>0.73899999999999999</v>
      </c>
      <c r="I8" s="25">
        <v>87.665499999999994</v>
      </c>
      <c r="J8" s="25">
        <v>0.71030000000000004</v>
      </c>
      <c r="K8" s="26"/>
      <c r="L8" s="26">
        <v>1</v>
      </c>
      <c r="M8" s="26">
        <v>0.8</v>
      </c>
      <c r="N8" s="26">
        <v>3.7</v>
      </c>
      <c r="O8" s="24" t="s">
        <v>126</v>
      </c>
      <c r="P8" s="26"/>
      <c r="Q8" s="17" t="str">
        <f t="shared" si="0"/>
        <v>VB</v>
      </c>
      <c r="R8" s="18">
        <f t="shared" si="1"/>
        <v>2.4095619923060774</v>
      </c>
      <c r="S8" s="19" t="str">
        <f t="shared" si="2"/>
        <v/>
      </c>
      <c r="T8" s="19">
        <f t="shared" si="3"/>
        <v>0.60000000000000009</v>
      </c>
      <c r="Y8" s="20">
        <f t="shared" si="4"/>
        <v>69.4465</v>
      </c>
      <c r="Z8" s="20">
        <f t="shared" si="5"/>
        <v>74.850100000000012</v>
      </c>
      <c r="AA8" s="21">
        <f t="shared" si="6"/>
        <v>69.176320000000004</v>
      </c>
      <c r="AB8" s="21">
        <f t="shared" si="7"/>
        <v>75.120280000000008</v>
      </c>
      <c r="AC8" s="20">
        <f t="shared" si="8"/>
        <v>79.658900000000003</v>
      </c>
      <c r="AD8" s="20">
        <f t="shared" si="9"/>
        <v>84.0929</v>
      </c>
      <c r="AE8" s="21">
        <f t="shared" si="10"/>
        <v>79.437200000000004</v>
      </c>
      <c r="AF8" s="21">
        <f t="shared" si="11"/>
        <v>84.314599999999999</v>
      </c>
      <c r="AG8" s="20">
        <f t="shared" si="12"/>
        <v>85.534599999999998</v>
      </c>
      <c r="AH8" s="20">
        <f t="shared" si="13"/>
        <v>89.796399999999991</v>
      </c>
      <c r="AI8" s="21">
        <f t="shared" si="14"/>
        <v>85.321510000000004</v>
      </c>
      <c r="AJ8" s="21">
        <f t="shared" si="15"/>
        <v>90.009489999999985</v>
      </c>
    </row>
    <row r="9" spans="1:36" x14ac:dyDescent="0.3">
      <c r="A9" s="22" t="s">
        <v>130</v>
      </c>
      <c r="B9" s="23" t="s">
        <v>6</v>
      </c>
      <c r="C9" s="23"/>
      <c r="D9" s="24">
        <v>3</v>
      </c>
      <c r="E9" s="25">
        <v>23.837900000000001</v>
      </c>
      <c r="F9" s="25">
        <v>0.27439999999999998</v>
      </c>
      <c r="G9" s="25">
        <v>28.055199999999999</v>
      </c>
      <c r="H9" s="25">
        <v>0.2097</v>
      </c>
      <c r="I9" s="25">
        <v>30.3931</v>
      </c>
      <c r="J9" s="25">
        <v>0.2374</v>
      </c>
      <c r="K9" s="26"/>
      <c r="L9" s="26">
        <v>2</v>
      </c>
      <c r="M9" s="26">
        <v>0.8</v>
      </c>
      <c r="N9" s="26">
        <v>4.3</v>
      </c>
      <c r="O9" s="24" t="s">
        <v>126</v>
      </c>
      <c r="P9" s="26"/>
      <c r="Q9" s="17" t="str">
        <f t="shared" si="0"/>
        <v>VB</v>
      </c>
      <c r="R9" s="18">
        <f t="shared" si="1"/>
        <v>2.6301695796471778</v>
      </c>
      <c r="S9" s="19" t="str">
        <f t="shared" si="2"/>
        <v/>
      </c>
      <c r="T9" s="19">
        <f t="shared" si="3"/>
        <v>0.60000000000000009</v>
      </c>
      <c r="Y9" s="20">
        <f t="shared" si="4"/>
        <v>23.014700000000001</v>
      </c>
      <c r="Z9" s="20">
        <f t="shared" si="5"/>
        <v>24.661100000000001</v>
      </c>
      <c r="AA9" s="21">
        <f t="shared" si="6"/>
        <v>22.932380000000002</v>
      </c>
      <c r="AB9" s="21">
        <f t="shared" si="7"/>
        <v>24.74342</v>
      </c>
      <c r="AC9" s="20">
        <f t="shared" si="8"/>
        <v>27.426099999999998</v>
      </c>
      <c r="AD9" s="20">
        <f t="shared" si="9"/>
        <v>28.6843</v>
      </c>
      <c r="AE9" s="21">
        <f t="shared" si="10"/>
        <v>27.363189999999999</v>
      </c>
      <c r="AF9" s="21">
        <f t="shared" si="11"/>
        <v>28.747209999999999</v>
      </c>
      <c r="AG9" s="20">
        <f t="shared" si="12"/>
        <v>29.680900000000001</v>
      </c>
      <c r="AH9" s="20">
        <f t="shared" si="13"/>
        <v>31.1053</v>
      </c>
      <c r="AI9" s="21">
        <f t="shared" si="14"/>
        <v>29.609680000000001</v>
      </c>
      <c r="AJ9" s="21">
        <f t="shared" si="15"/>
        <v>31.17652</v>
      </c>
    </row>
    <row r="10" spans="1:36" x14ac:dyDescent="0.3">
      <c r="A10" s="22" t="s">
        <v>131</v>
      </c>
      <c r="B10" s="23" t="s">
        <v>6</v>
      </c>
      <c r="C10" s="23"/>
      <c r="D10" s="24">
        <v>3</v>
      </c>
      <c r="E10" s="25">
        <v>33.017200000000003</v>
      </c>
      <c r="F10" s="25">
        <v>0.57820000000000005</v>
      </c>
      <c r="G10" s="25">
        <v>34.272399999999998</v>
      </c>
      <c r="H10" s="25">
        <v>0.37980000000000003</v>
      </c>
      <c r="I10" s="25">
        <v>34.6586</v>
      </c>
      <c r="J10" s="25">
        <v>0.36990000000000001</v>
      </c>
      <c r="K10" s="26"/>
      <c r="L10" s="26">
        <v>2</v>
      </c>
      <c r="M10" s="26">
        <v>0.9</v>
      </c>
      <c r="N10" s="26">
        <v>1.4</v>
      </c>
      <c r="O10" s="24" t="s">
        <v>126</v>
      </c>
      <c r="P10" s="26"/>
      <c r="Q10" s="17" t="str">
        <f t="shared" si="0"/>
        <v>VB</v>
      </c>
      <c r="R10" s="18">
        <f t="shared" si="1"/>
        <v>1.7378743866409962</v>
      </c>
      <c r="S10" s="19" t="str">
        <f t="shared" si="2"/>
        <v/>
      </c>
      <c r="T10" s="19">
        <f t="shared" si="3"/>
        <v>0.67500000000000004</v>
      </c>
      <c r="Y10" s="20">
        <f t="shared" si="4"/>
        <v>31.282600000000002</v>
      </c>
      <c r="Z10" s="20">
        <f t="shared" si="5"/>
        <v>34.751800000000003</v>
      </c>
      <c r="AA10" s="21">
        <f t="shared" si="6"/>
        <v>31.109140000000004</v>
      </c>
      <c r="AB10" s="21">
        <f t="shared" si="7"/>
        <v>34.925260000000002</v>
      </c>
      <c r="AC10" s="20">
        <f t="shared" si="8"/>
        <v>33.132999999999996</v>
      </c>
      <c r="AD10" s="20">
        <f t="shared" si="9"/>
        <v>35.411799999999999</v>
      </c>
      <c r="AE10" s="21">
        <f t="shared" si="10"/>
        <v>33.019059999999996</v>
      </c>
      <c r="AF10" s="21">
        <f t="shared" si="11"/>
        <v>35.525739999999999</v>
      </c>
      <c r="AG10" s="20">
        <f t="shared" si="12"/>
        <v>33.548900000000003</v>
      </c>
      <c r="AH10" s="20">
        <f t="shared" si="13"/>
        <v>35.768299999999996</v>
      </c>
      <c r="AI10" s="21">
        <f t="shared" si="14"/>
        <v>33.437930000000001</v>
      </c>
      <c r="AJ10" s="21">
        <f t="shared" si="15"/>
        <v>35.879269999999998</v>
      </c>
    </row>
    <row r="11" spans="1:36" x14ac:dyDescent="0.3">
      <c r="A11" s="22" t="s">
        <v>132</v>
      </c>
      <c r="B11" s="23" t="s">
        <v>6</v>
      </c>
      <c r="C11" s="23"/>
      <c r="D11" s="24">
        <v>0</v>
      </c>
      <c r="E11" s="25">
        <v>70.620699999999999</v>
      </c>
      <c r="F11" s="25">
        <v>4.6859999999999999</v>
      </c>
      <c r="G11" s="25">
        <v>227.93100000000001</v>
      </c>
      <c r="H11" s="25">
        <v>10.8757</v>
      </c>
      <c r="I11" s="25">
        <v>516.27589999999998</v>
      </c>
      <c r="J11" s="25">
        <v>14.8514</v>
      </c>
      <c r="K11" s="26">
        <v>15</v>
      </c>
      <c r="L11" s="26">
        <v>4</v>
      </c>
      <c r="M11" s="26">
        <v>7.5</v>
      </c>
      <c r="N11" s="26">
        <v>18.600000000000001</v>
      </c>
      <c r="O11" s="24" t="s">
        <v>126</v>
      </c>
      <c r="P11" s="26"/>
      <c r="Q11" s="17" t="str">
        <f t="shared" si="0"/>
        <v>CLIA</v>
      </c>
      <c r="R11" s="18">
        <f t="shared" si="1"/>
        <v>15</v>
      </c>
      <c r="S11" s="19">
        <f t="shared" si="2"/>
        <v>5</v>
      </c>
      <c r="T11" s="19">
        <f t="shared" si="3"/>
        <v>5.625</v>
      </c>
      <c r="Y11" s="20">
        <f t="shared" si="4"/>
        <v>56.5627</v>
      </c>
      <c r="Z11" s="20">
        <f t="shared" si="5"/>
        <v>84.678699999999992</v>
      </c>
      <c r="AA11" s="21">
        <f t="shared" si="6"/>
        <v>55.1569</v>
      </c>
      <c r="AB11" s="21">
        <f t="shared" si="7"/>
        <v>86.084499999999991</v>
      </c>
      <c r="AC11" s="20">
        <f t="shared" si="8"/>
        <v>195.3039</v>
      </c>
      <c r="AD11" s="20">
        <f t="shared" si="9"/>
        <v>260.55810000000002</v>
      </c>
      <c r="AE11" s="21">
        <f t="shared" si="10"/>
        <v>192.04119</v>
      </c>
      <c r="AF11" s="21">
        <f t="shared" si="11"/>
        <v>263.82081000000005</v>
      </c>
      <c r="AG11" s="20">
        <f t="shared" si="12"/>
        <v>471.7217</v>
      </c>
      <c r="AH11" s="20">
        <f t="shared" si="13"/>
        <v>560.83010000000002</v>
      </c>
      <c r="AI11" s="21">
        <f t="shared" si="14"/>
        <v>467.26627999999999</v>
      </c>
      <c r="AJ11" s="21">
        <f t="shared" si="15"/>
        <v>565.28552000000002</v>
      </c>
    </row>
    <row r="12" spans="1:36" x14ac:dyDescent="0.3">
      <c r="A12" s="22" t="s">
        <v>133</v>
      </c>
      <c r="B12" s="23" t="s">
        <v>6</v>
      </c>
      <c r="C12" s="23"/>
      <c r="D12" s="24">
        <v>1</v>
      </c>
      <c r="E12" s="25"/>
      <c r="F12" s="25"/>
      <c r="G12" s="25"/>
      <c r="H12" s="25"/>
      <c r="I12" s="25"/>
      <c r="J12" s="25"/>
      <c r="K12" s="26"/>
      <c r="L12" s="26">
        <v>8</v>
      </c>
      <c r="M12" s="26">
        <v>14</v>
      </c>
      <c r="N12" s="26">
        <v>23.5</v>
      </c>
      <c r="O12" s="24" t="s">
        <v>126</v>
      </c>
      <c r="P12" s="26"/>
      <c r="Q12" s="17" t="str">
        <f t="shared" si="0"/>
        <v>VB</v>
      </c>
      <c r="R12" s="18">
        <f t="shared" si="1"/>
        <v>27.582809524942444</v>
      </c>
      <c r="S12" s="19" t="str">
        <f t="shared" si="2"/>
        <v/>
      </c>
      <c r="T12" s="19">
        <f t="shared" si="3"/>
        <v>10.5</v>
      </c>
      <c r="Y12" s="20" t="str">
        <f t="shared" si="4"/>
        <v/>
      </c>
      <c r="Z12" s="20" t="str">
        <f t="shared" si="5"/>
        <v/>
      </c>
      <c r="AA12" s="21" t="str">
        <f t="shared" si="6"/>
        <v/>
      </c>
      <c r="AB12" s="21" t="str">
        <f t="shared" si="7"/>
        <v/>
      </c>
      <c r="AC12" s="20" t="str">
        <f t="shared" si="8"/>
        <v/>
      </c>
      <c r="AD12" s="20" t="str">
        <f t="shared" si="9"/>
        <v/>
      </c>
      <c r="AE12" s="21" t="str">
        <f t="shared" si="10"/>
        <v/>
      </c>
      <c r="AF12" s="21" t="str">
        <f t="shared" si="11"/>
        <v/>
      </c>
      <c r="AG12" s="20" t="str">
        <f t="shared" si="12"/>
        <v/>
      </c>
      <c r="AH12" s="20" t="str">
        <f t="shared" si="13"/>
        <v/>
      </c>
      <c r="AI12" s="21" t="str">
        <f t="shared" si="14"/>
        <v/>
      </c>
      <c r="AJ12" s="21" t="str">
        <f t="shared" si="15"/>
        <v/>
      </c>
    </row>
    <row r="13" spans="1:36" x14ac:dyDescent="0.3">
      <c r="A13" s="22" t="s">
        <v>134</v>
      </c>
      <c r="B13" s="23" t="s">
        <v>6</v>
      </c>
      <c r="C13" s="23"/>
      <c r="D13" s="24">
        <v>1</v>
      </c>
      <c r="E13" s="25"/>
      <c r="F13" s="25"/>
      <c r="G13" s="25"/>
      <c r="H13" s="25"/>
      <c r="I13" s="25"/>
      <c r="J13" s="25"/>
      <c r="K13" s="26"/>
      <c r="L13" s="26">
        <v>8</v>
      </c>
      <c r="M13" s="26">
        <v>10.8</v>
      </c>
      <c r="N13" s="26">
        <v>22.6</v>
      </c>
      <c r="O13" s="24" t="s">
        <v>126</v>
      </c>
      <c r="P13" s="26"/>
      <c r="Q13" s="17" t="str">
        <f t="shared" si="0"/>
        <v>VB</v>
      </c>
      <c r="R13" s="18">
        <f t="shared" si="1"/>
        <v>22.757982753098187</v>
      </c>
      <c r="S13" s="19" t="str">
        <f t="shared" si="2"/>
        <v/>
      </c>
      <c r="T13" s="19">
        <f t="shared" si="3"/>
        <v>8.1000000000000014</v>
      </c>
      <c r="Y13" s="20" t="str">
        <f t="shared" si="4"/>
        <v/>
      </c>
      <c r="Z13" s="20" t="str">
        <f t="shared" si="5"/>
        <v/>
      </c>
      <c r="AA13" s="21" t="str">
        <f t="shared" si="6"/>
        <v/>
      </c>
      <c r="AB13" s="21" t="str">
        <f t="shared" si="7"/>
        <v/>
      </c>
      <c r="AC13" s="20" t="str">
        <f t="shared" si="8"/>
        <v/>
      </c>
      <c r="AD13" s="20" t="str">
        <f t="shared" si="9"/>
        <v/>
      </c>
      <c r="AE13" s="21" t="str">
        <f t="shared" si="10"/>
        <v/>
      </c>
      <c r="AF13" s="21" t="str">
        <f t="shared" si="11"/>
        <v/>
      </c>
      <c r="AG13" s="20" t="str">
        <f t="shared" si="12"/>
        <v/>
      </c>
      <c r="AH13" s="20" t="str">
        <f t="shared" si="13"/>
        <v/>
      </c>
      <c r="AI13" s="21" t="str">
        <f t="shared" si="14"/>
        <v/>
      </c>
      <c r="AJ13" s="21" t="str">
        <f t="shared" si="15"/>
        <v/>
      </c>
    </row>
    <row r="14" spans="1:36" x14ac:dyDescent="0.3">
      <c r="A14" s="22" t="s">
        <v>135</v>
      </c>
      <c r="B14" s="23" t="s">
        <v>6</v>
      </c>
      <c r="C14" s="23"/>
      <c r="D14" s="24">
        <v>1</v>
      </c>
      <c r="E14" s="25"/>
      <c r="F14" s="25"/>
      <c r="G14" s="25"/>
      <c r="H14" s="25"/>
      <c r="I14" s="25"/>
      <c r="J14" s="25"/>
      <c r="K14" s="26"/>
      <c r="L14" s="26">
        <v>20</v>
      </c>
      <c r="M14" s="26">
        <v>13.3</v>
      </c>
      <c r="N14" s="26">
        <v>22.2</v>
      </c>
      <c r="O14" s="24" t="s">
        <v>126</v>
      </c>
      <c r="P14" s="26"/>
      <c r="Q14" s="17" t="str">
        <f t="shared" si="0"/>
        <v>VB</v>
      </c>
      <c r="R14" s="18">
        <f t="shared" si="1"/>
        <v>26.16342831769812</v>
      </c>
      <c r="S14" s="19" t="str">
        <f t="shared" si="2"/>
        <v/>
      </c>
      <c r="T14" s="19">
        <f t="shared" si="3"/>
        <v>9.9750000000000014</v>
      </c>
      <c r="Y14" s="20" t="str">
        <f t="shared" si="4"/>
        <v/>
      </c>
      <c r="Z14" s="20" t="str">
        <f t="shared" si="5"/>
        <v/>
      </c>
      <c r="AA14" s="21" t="str">
        <f t="shared" si="6"/>
        <v/>
      </c>
      <c r="AB14" s="21" t="str">
        <f t="shared" si="7"/>
        <v/>
      </c>
      <c r="AC14" s="20" t="str">
        <f t="shared" si="8"/>
        <v/>
      </c>
      <c r="AD14" s="20" t="str">
        <f t="shared" si="9"/>
        <v/>
      </c>
      <c r="AE14" s="21" t="str">
        <f t="shared" si="10"/>
        <v/>
      </c>
      <c r="AF14" s="21" t="str">
        <f t="shared" si="11"/>
        <v/>
      </c>
      <c r="AG14" s="20" t="str">
        <f t="shared" si="12"/>
        <v/>
      </c>
      <c r="AH14" s="20" t="str">
        <f t="shared" si="13"/>
        <v/>
      </c>
      <c r="AI14" s="21" t="str">
        <f t="shared" si="14"/>
        <v/>
      </c>
      <c r="AJ14" s="21" t="str">
        <f t="shared" si="15"/>
        <v/>
      </c>
    </row>
    <row r="15" spans="1:36" x14ac:dyDescent="0.3">
      <c r="A15" s="22" t="s">
        <v>136</v>
      </c>
      <c r="B15" s="23" t="s">
        <v>6</v>
      </c>
      <c r="C15" s="23"/>
      <c r="D15" s="24">
        <v>1</v>
      </c>
      <c r="E15" s="25"/>
      <c r="F15" s="25"/>
      <c r="G15" s="25"/>
      <c r="H15" s="25"/>
      <c r="I15" s="25"/>
      <c r="J15" s="25"/>
      <c r="K15" s="26"/>
      <c r="L15" s="26">
        <v>25</v>
      </c>
      <c r="M15" s="26">
        <v>14.9</v>
      </c>
      <c r="N15" s="26">
        <v>65.3</v>
      </c>
      <c r="O15" s="24" t="s">
        <v>126</v>
      </c>
      <c r="P15" s="26"/>
      <c r="Q15" s="17" t="str">
        <f t="shared" si="0"/>
        <v>VB</v>
      </c>
      <c r="R15" s="18">
        <f t="shared" si="1"/>
        <v>43.555633017205778</v>
      </c>
      <c r="S15" s="19" t="str">
        <f t="shared" si="2"/>
        <v/>
      </c>
      <c r="T15" s="19">
        <f t="shared" si="3"/>
        <v>11.175000000000001</v>
      </c>
      <c r="Y15" s="20" t="str">
        <f t="shared" si="4"/>
        <v/>
      </c>
      <c r="Z15" s="20" t="str">
        <f t="shared" si="5"/>
        <v/>
      </c>
      <c r="AA15" s="21" t="str">
        <f t="shared" si="6"/>
        <v/>
      </c>
      <c r="AB15" s="21" t="str">
        <f t="shared" si="7"/>
        <v/>
      </c>
      <c r="AC15" s="20" t="str">
        <f t="shared" si="8"/>
        <v/>
      </c>
      <c r="AD15" s="20" t="str">
        <f t="shared" si="9"/>
        <v/>
      </c>
      <c r="AE15" s="21" t="str">
        <f t="shared" si="10"/>
        <v/>
      </c>
      <c r="AF15" s="21" t="str">
        <f t="shared" si="11"/>
        <v/>
      </c>
      <c r="AG15" s="20" t="str">
        <f t="shared" si="12"/>
        <v/>
      </c>
      <c r="AH15" s="20" t="str">
        <f t="shared" si="13"/>
        <v/>
      </c>
      <c r="AI15" s="21" t="str">
        <f t="shared" si="14"/>
        <v/>
      </c>
      <c r="AJ15" s="21" t="str">
        <f t="shared" si="15"/>
        <v/>
      </c>
    </row>
    <row r="16" spans="1:36" x14ac:dyDescent="0.3">
      <c r="A16" s="22" t="s">
        <v>137</v>
      </c>
      <c r="B16" s="23" t="s">
        <v>6</v>
      </c>
      <c r="C16" s="23"/>
      <c r="D16" s="24">
        <v>1</v>
      </c>
      <c r="E16" s="25"/>
      <c r="F16" s="25"/>
      <c r="G16" s="25"/>
      <c r="H16" s="25"/>
      <c r="I16" s="25"/>
      <c r="J16" s="25"/>
      <c r="K16" s="26"/>
      <c r="L16" s="26">
        <v>40</v>
      </c>
      <c r="M16" s="26">
        <v>12.4</v>
      </c>
      <c r="N16" s="26">
        <v>26.3</v>
      </c>
      <c r="O16" s="24" t="s">
        <v>126</v>
      </c>
      <c r="P16" s="26"/>
      <c r="Q16" s="17" t="str">
        <f t="shared" si="0"/>
        <v>VB</v>
      </c>
      <c r="R16" s="18">
        <f t="shared" si="1"/>
        <v>26.2487335922151</v>
      </c>
      <c r="S16" s="19" t="str">
        <f t="shared" si="2"/>
        <v/>
      </c>
      <c r="T16" s="19">
        <f t="shared" si="3"/>
        <v>9.3000000000000007</v>
      </c>
      <c r="Y16" s="20" t="str">
        <f t="shared" si="4"/>
        <v/>
      </c>
      <c r="Z16" s="20" t="str">
        <f t="shared" si="5"/>
        <v/>
      </c>
      <c r="AA16" s="21" t="str">
        <f t="shared" si="6"/>
        <v/>
      </c>
      <c r="AB16" s="21" t="str">
        <f t="shared" si="7"/>
        <v/>
      </c>
      <c r="AC16" s="20" t="str">
        <f t="shared" si="8"/>
        <v/>
      </c>
      <c r="AD16" s="20" t="str">
        <f t="shared" si="9"/>
        <v/>
      </c>
      <c r="AE16" s="21" t="str">
        <f t="shared" si="10"/>
        <v/>
      </c>
      <c r="AF16" s="21" t="str">
        <f t="shared" si="11"/>
        <v/>
      </c>
      <c r="AG16" s="20" t="str">
        <f t="shared" si="12"/>
        <v/>
      </c>
      <c r="AH16" s="20" t="str">
        <f t="shared" si="13"/>
        <v/>
      </c>
      <c r="AI16" s="21" t="str">
        <f t="shared" si="14"/>
        <v/>
      </c>
      <c r="AJ16" s="21" t="str">
        <f t="shared" si="15"/>
        <v/>
      </c>
    </row>
    <row r="17" spans="1:36" x14ac:dyDescent="0.3">
      <c r="A17" s="22" t="s">
        <v>138</v>
      </c>
      <c r="B17" s="23" t="s">
        <v>6</v>
      </c>
      <c r="C17" s="23"/>
      <c r="D17" s="24">
        <v>3</v>
      </c>
      <c r="E17" s="25">
        <v>1.2193000000000001</v>
      </c>
      <c r="F17" s="25">
        <v>3.7900000000000003E-2</v>
      </c>
      <c r="G17" s="25">
        <v>2.9738000000000002</v>
      </c>
      <c r="H17" s="25">
        <v>6.0400000000000002E-2</v>
      </c>
      <c r="I17" s="25">
        <v>7.8455000000000004</v>
      </c>
      <c r="J17" s="25">
        <v>0.17760000000000001</v>
      </c>
      <c r="K17" s="26"/>
      <c r="L17" s="26">
        <v>12</v>
      </c>
      <c r="M17" s="26">
        <v>14</v>
      </c>
      <c r="N17" s="26">
        <v>23.5</v>
      </c>
      <c r="O17" s="24" t="s">
        <v>126</v>
      </c>
      <c r="P17" s="26"/>
      <c r="Q17" s="17" t="str">
        <f t="shared" si="0"/>
        <v>VB</v>
      </c>
      <c r="R17" s="18">
        <f t="shared" si="1"/>
        <v>27.582809524942444</v>
      </c>
      <c r="S17" s="19" t="str">
        <f t="shared" si="2"/>
        <v/>
      </c>
      <c r="T17" s="19">
        <f t="shared" si="3"/>
        <v>10.5</v>
      </c>
      <c r="Y17" s="20">
        <f t="shared" si="4"/>
        <v>1.1056000000000001</v>
      </c>
      <c r="Z17" s="20">
        <f t="shared" si="5"/>
        <v>1.333</v>
      </c>
      <c r="AA17" s="21">
        <f t="shared" si="6"/>
        <v>1.09423</v>
      </c>
      <c r="AB17" s="21">
        <f t="shared" si="7"/>
        <v>1.3443700000000001</v>
      </c>
      <c r="AC17" s="20">
        <f t="shared" si="8"/>
        <v>2.7926000000000002</v>
      </c>
      <c r="AD17" s="20">
        <f t="shared" si="9"/>
        <v>3.1550000000000002</v>
      </c>
      <c r="AE17" s="21">
        <f t="shared" si="10"/>
        <v>2.7744800000000001</v>
      </c>
      <c r="AF17" s="21">
        <f t="shared" si="11"/>
        <v>3.1731200000000004</v>
      </c>
      <c r="AG17" s="20">
        <f t="shared" si="12"/>
        <v>7.3127000000000004</v>
      </c>
      <c r="AH17" s="20">
        <f t="shared" si="13"/>
        <v>8.3783000000000012</v>
      </c>
      <c r="AI17" s="21">
        <f t="shared" si="14"/>
        <v>7.2594200000000004</v>
      </c>
      <c r="AJ17" s="21">
        <f t="shared" si="15"/>
        <v>8.4315800000000021</v>
      </c>
    </row>
    <row r="18" spans="1:36" x14ac:dyDescent="0.3">
      <c r="A18" s="22" t="s">
        <v>139</v>
      </c>
      <c r="B18" s="23" t="s">
        <v>6</v>
      </c>
      <c r="C18" s="23"/>
      <c r="D18" s="24">
        <v>3</v>
      </c>
      <c r="E18" s="25">
        <v>1.0047999999999999</v>
      </c>
      <c r="F18" s="25">
        <v>4.7E-2</v>
      </c>
      <c r="G18" s="25">
        <v>1.9883</v>
      </c>
      <c r="H18" s="25">
        <v>4.8599999999999997E-2</v>
      </c>
      <c r="I18" s="25">
        <v>4.0376000000000003</v>
      </c>
      <c r="J18" s="25">
        <v>0.1779</v>
      </c>
      <c r="K18" s="26"/>
      <c r="L18" s="26">
        <v>8</v>
      </c>
      <c r="M18" s="26">
        <v>10.8</v>
      </c>
      <c r="N18" s="26">
        <v>22.6</v>
      </c>
      <c r="O18" s="24" t="s">
        <v>126</v>
      </c>
      <c r="P18" s="26"/>
      <c r="Q18" s="17" t="str">
        <f t="shared" si="0"/>
        <v>VB</v>
      </c>
      <c r="R18" s="18">
        <f t="shared" si="1"/>
        <v>22.757982753098187</v>
      </c>
      <c r="S18" s="19" t="str">
        <f t="shared" si="2"/>
        <v/>
      </c>
      <c r="T18" s="19">
        <f t="shared" si="3"/>
        <v>8.1000000000000014</v>
      </c>
      <c r="Y18" s="20">
        <f t="shared" si="4"/>
        <v>0.8637999999999999</v>
      </c>
      <c r="Z18" s="20">
        <f t="shared" si="5"/>
        <v>1.1457999999999999</v>
      </c>
      <c r="AA18" s="21">
        <f t="shared" si="6"/>
        <v>0.8496999999999999</v>
      </c>
      <c r="AB18" s="21">
        <f t="shared" si="7"/>
        <v>1.1598999999999999</v>
      </c>
      <c r="AC18" s="20">
        <f t="shared" si="8"/>
        <v>1.8425</v>
      </c>
      <c r="AD18" s="20">
        <f t="shared" si="9"/>
        <v>2.1341000000000001</v>
      </c>
      <c r="AE18" s="21">
        <f t="shared" si="10"/>
        <v>1.82792</v>
      </c>
      <c r="AF18" s="21">
        <f t="shared" si="11"/>
        <v>2.1486800000000001</v>
      </c>
      <c r="AG18" s="20">
        <f t="shared" si="12"/>
        <v>3.5039000000000002</v>
      </c>
      <c r="AH18" s="20">
        <f t="shared" si="13"/>
        <v>4.5713000000000008</v>
      </c>
      <c r="AI18" s="21">
        <f t="shared" si="14"/>
        <v>3.4505300000000001</v>
      </c>
      <c r="AJ18" s="21">
        <f t="shared" si="15"/>
        <v>4.6246700000000009</v>
      </c>
    </row>
    <row r="19" spans="1:36" x14ac:dyDescent="0.3">
      <c r="A19" s="22" t="s">
        <v>140</v>
      </c>
      <c r="B19" s="23" t="s">
        <v>6</v>
      </c>
      <c r="C19" s="23"/>
      <c r="D19" s="24">
        <v>3</v>
      </c>
      <c r="E19" s="25">
        <v>0.34620000000000001</v>
      </c>
      <c r="F19" s="25">
        <v>2.92E-2</v>
      </c>
      <c r="G19" s="25">
        <v>0.77280000000000004</v>
      </c>
      <c r="H19" s="25">
        <v>6.08E-2</v>
      </c>
      <c r="I19" s="25">
        <v>1.9576</v>
      </c>
      <c r="J19" s="25">
        <v>0.1983</v>
      </c>
      <c r="K19" s="26"/>
      <c r="L19" s="26">
        <v>20</v>
      </c>
      <c r="M19" s="26">
        <v>13.3</v>
      </c>
      <c r="N19" s="26">
        <v>22.2</v>
      </c>
      <c r="O19" s="24" t="s">
        <v>126</v>
      </c>
      <c r="P19" s="26"/>
      <c r="Q19" s="17" t="str">
        <f t="shared" si="0"/>
        <v>VB</v>
      </c>
      <c r="R19" s="18">
        <f t="shared" si="1"/>
        <v>26.16342831769812</v>
      </c>
      <c r="S19" s="19" t="str">
        <f t="shared" si="2"/>
        <v/>
      </c>
      <c r="T19" s="19">
        <f t="shared" si="3"/>
        <v>9.9750000000000014</v>
      </c>
      <c r="Y19" s="20">
        <f t="shared" si="4"/>
        <v>0.2586</v>
      </c>
      <c r="Z19" s="20">
        <f t="shared" si="5"/>
        <v>0.43380000000000002</v>
      </c>
      <c r="AA19" s="21">
        <f t="shared" si="6"/>
        <v>0.24984000000000001</v>
      </c>
      <c r="AB19" s="21">
        <f t="shared" si="7"/>
        <v>0.44256000000000001</v>
      </c>
      <c r="AC19" s="20">
        <f t="shared" si="8"/>
        <v>0.59040000000000004</v>
      </c>
      <c r="AD19" s="20">
        <f t="shared" si="9"/>
        <v>0.95520000000000005</v>
      </c>
      <c r="AE19" s="21">
        <f t="shared" si="10"/>
        <v>0.57216</v>
      </c>
      <c r="AF19" s="21">
        <f t="shared" si="11"/>
        <v>0.97344000000000008</v>
      </c>
      <c r="AG19" s="20">
        <f t="shared" si="12"/>
        <v>1.3627</v>
      </c>
      <c r="AH19" s="20">
        <f t="shared" si="13"/>
        <v>2.5525000000000002</v>
      </c>
      <c r="AI19" s="21">
        <f t="shared" si="14"/>
        <v>1.30321</v>
      </c>
      <c r="AJ19" s="21">
        <f t="shared" si="15"/>
        <v>2.6119900000000005</v>
      </c>
    </row>
    <row r="20" spans="1:36" x14ac:dyDescent="0.3">
      <c r="A20" s="22" t="s">
        <v>141</v>
      </c>
      <c r="B20" s="23" t="s">
        <v>6</v>
      </c>
      <c r="C20" s="23"/>
      <c r="D20" s="24">
        <v>3</v>
      </c>
      <c r="E20" s="25">
        <v>0.2928</v>
      </c>
      <c r="F20" s="25">
        <v>1.67E-2</v>
      </c>
      <c r="G20" s="25">
        <v>0.72789999999999999</v>
      </c>
      <c r="H20" s="25">
        <v>4.07E-2</v>
      </c>
      <c r="I20" s="25">
        <v>1.8631</v>
      </c>
      <c r="J20" s="25">
        <v>0.12759999999999999</v>
      </c>
      <c r="K20" s="26"/>
      <c r="L20" s="26">
        <v>25</v>
      </c>
      <c r="M20" s="26">
        <v>14.9</v>
      </c>
      <c r="N20" s="26">
        <v>65.3</v>
      </c>
      <c r="O20" s="24" t="s">
        <v>126</v>
      </c>
      <c r="P20" s="26"/>
      <c r="Q20" s="17" t="str">
        <f t="shared" si="0"/>
        <v>VB</v>
      </c>
      <c r="R20" s="18">
        <f t="shared" si="1"/>
        <v>43.555633017205778</v>
      </c>
      <c r="S20" s="19" t="str">
        <f t="shared" si="2"/>
        <v/>
      </c>
      <c r="T20" s="19">
        <f t="shared" si="3"/>
        <v>11.175000000000001</v>
      </c>
      <c r="Y20" s="20">
        <f t="shared" si="4"/>
        <v>0.2427</v>
      </c>
      <c r="Z20" s="20">
        <f t="shared" si="5"/>
        <v>0.34289999999999998</v>
      </c>
      <c r="AA20" s="21">
        <f t="shared" si="6"/>
        <v>0.23768999999999998</v>
      </c>
      <c r="AB20" s="21">
        <f t="shared" si="7"/>
        <v>0.34791</v>
      </c>
      <c r="AC20" s="20">
        <f t="shared" si="8"/>
        <v>0.60580000000000001</v>
      </c>
      <c r="AD20" s="20">
        <f t="shared" si="9"/>
        <v>0.85</v>
      </c>
      <c r="AE20" s="21">
        <f t="shared" si="10"/>
        <v>0.59359000000000006</v>
      </c>
      <c r="AF20" s="21">
        <f t="shared" si="11"/>
        <v>0.86220999999999992</v>
      </c>
      <c r="AG20" s="20">
        <f t="shared" si="12"/>
        <v>1.4802999999999999</v>
      </c>
      <c r="AH20" s="20">
        <f t="shared" si="13"/>
        <v>2.2458999999999998</v>
      </c>
      <c r="AI20" s="21">
        <f t="shared" si="14"/>
        <v>1.4420199999999999</v>
      </c>
      <c r="AJ20" s="21">
        <f t="shared" si="15"/>
        <v>2.2841799999999997</v>
      </c>
    </row>
    <row r="21" spans="1:36" x14ac:dyDescent="0.3">
      <c r="A21" s="22" t="s">
        <v>142</v>
      </c>
      <c r="B21" s="23" t="s">
        <v>6</v>
      </c>
      <c r="C21" s="23"/>
      <c r="D21" s="24">
        <v>3</v>
      </c>
      <c r="E21" s="25">
        <v>0.14449999999999999</v>
      </c>
      <c r="F21" s="25">
        <v>5.7000000000000002E-3</v>
      </c>
      <c r="G21" s="25">
        <v>0.32519999999999999</v>
      </c>
      <c r="H21" s="25">
        <v>8.6999999999999994E-3</v>
      </c>
      <c r="I21" s="25">
        <v>0.79169999999999996</v>
      </c>
      <c r="J21" s="25">
        <v>2.1700000000000001E-2</v>
      </c>
      <c r="K21" s="26"/>
      <c r="L21" s="26">
        <v>40</v>
      </c>
      <c r="M21" s="26">
        <v>12.4</v>
      </c>
      <c r="N21" s="26">
        <v>26.3</v>
      </c>
      <c r="O21" s="24" t="s">
        <v>126</v>
      </c>
      <c r="P21" s="26"/>
      <c r="Q21" s="17" t="str">
        <f t="shared" si="0"/>
        <v>VB</v>
      </c>
      <c r="R21" s="18">
        <f t="shared" si="1"/>
        <v>26.2487335922151</v>
      </c>
      <c r="S21" s="19" t="str">
        <f t="shared" si="2"/>
        <v/>
      </c>
      <c r="T21" s="19">
        <f t="shared" si="3"/>
        <v>9.3000000000000007</v>
      </c>
      <c r="Y21" s="20">
        <f t="shared" si="4"/>
        <v>0.12739999999999999</v>
      </c>
      <c r="Z21" s="20">
        <f t="shared" si="5"/>
        <v>0.16159999999999999</v>
      </c>
      <c r="AA21" s="21">
        <f t="shared" si="6"/>
        <v>0.12568999999999997</v>
      </c>
      <c r="AB21" s="21">
        <f t="shared" si="7"/>
        <v>0.16331000000000001</v>
      </c>
      <c r="AC21" s="20">
        <f t="shared" si="8"/>
        <v>0.29909999999999998</v>
      </c>
      <c r="AD21" s="20">
        <f t="shared" si="9"/>
        <v>0.3513</v>
      </c>
      <c r="AE21" s="21">
        <f t="shared" si="10"/>
        <v>0.29648999999999998</v>
      </c>
      <c r="AF21" s="21">
        <f t="shared" si="11"/>
        <v>0.35391</v>
      </c>
      <c r="AG21" s="20">
        <f t="shared" si="12"/>
        <v>0.72659999999999991</v>
      </c>
      <c r="AH21" s="20">
        <f t="shared" si="13"/>
        <v>0.85680000000000001</v>
      </c>
      <c r="AI21" s="21">
        <f t="shared" si="14"/>
        <v>0.7200899999999999</v>
      </c>
      <c r="AJ21" s="21">
        <f t="shared" si="15"/>
        <v>0.86331000000000002</v>
      </c>
    </row>
    <row r="22" spans="1:36" x14ac:dyDescent="0.3">
      <c r="A22" s="22" t="s">
        <v>143</v>
      </c>
      <c r="B22" s="23" t="s">
        <v>6</v>
      </c>
      <c r="C22" s="23"/>
      <c r="D22" s="24">
        <v>1</v>
      </c>
      <c r="E22" s="25"/>
      <c r="F22" s="25"/>
      <c r="G22" s="25"/>
      <c r="H22" s="25"/>
      <c r="I22" s="25"/>
      <c r="J22" s="25"/>
      <c r="K22" s="26"/>
      <c r="L22" s="26">
        <v>12</v>
      </c>
      <c r="M22" s="26"/>
      <c r="N22" s="26"/>
      <c r="O22" s="24" t="s">
        <v>126</v>
      </c>
      <c r="P22" s="26"/>
      <c r="Q22" s="17" t="str">
        <f t="shared" si="0"/>
        <v>-</v>
      </c>
      <c r="R22" s="18" t="str">
        <f t="shared" si="1"/>
        <v/>
      </c>
      <c r="S22" s="19" t="str">
        <f t="shared" si="2"/>
        <v/>
      </c>
      <c r="T22" s="19" t="str">
        <f t="shared" si="3"/>
        <v/>
      </c>
      <c r="Y22" s="20" t="str">
        <f t="shared" si="4"/>
        <v/>
      </c>
      <c r="Z22" s="20" t="str">
        <f t="shared" si="5"/>
        <v/>
      </c>
      <c r="AA22" s="21" t="str">
        <f t="shared" si="6"/>
        <v/>
      </c>
      <c r="AB22" s="21" t="str">
        <f t="shared" si="7"/>
        <v/>
      </c>
      <c r="AC22" s="20" t="str">
        <f t="shared" si="8"/>
        <v/>
      </c>
      <c r="AD22" s="20" t="str">
        <f t="shared" si="9"/>
        <v/>
      </c>
      <c r="AE22" s="21" t="str">
        <f t="shared" si="10"/>
        <v/>
      </c>
      <c r="AF22" s="21" t="str">
        <f t="shared" si="11"/>
        <v/>
      </c>
      <c r="AG22" s="20" t="str">
        <f t="shared" si="12"/>
        <v/>
      </c>
      <c r="AH22" s="20" t="str">
        <f t="shared" si="13"/>
        <v/>
      </c>
      <c r="AI22" s="21" t="str">
        <f t="shared" si="14"/>
        <v/>
      </c>
      <c r="AJ22" s="21" t="str">
        <f t="shared" si="15"/>
        <v/>
      </c>
    </row>
    <row r="23" spans="1:36" x14ac:dyDescent="0.3">
      <c r="A23" s="22" t="s">
        <v>144</v>
      </c>
      <c r="B23" s="23" t="s">
        <v>6</v>
      </c>
      <c r="C23" s="23"/>
      <c r="D23" s="24">
        <v>3</v>
      </c>
      <c r="E23" s="25">
        <v>10.2897</v>
      </c>
      <c r="F23" s="25">
        <v>0.3488</v>
      </c>
      <c r="G23" s="25">
        <v>11.0517</v>
      </c>
      <c r="H23" s="25">
        <v>0.32469999999999999</v>
      </c>
      <c r="I23" s="25">
        <v>11.8759</v>
      </c>
      <c r="J23" s="25">
        <v>0.33450000000000002</v>
      </c>
      <c r="K23" s="26"/>
      <c r="L23" s="26"/>
      <c r="M23" s="26"/>
      <c r="N23" s="26"/>
      <c r="O23" s="24" t="s">
        <v>126</v>
      </c>
      <c r="P23" s="26"/>
      <c r="Q23" s="17" t="str">
        <f t="shared" si="0"/>
        <v>-</v>
      </c>
      <c r="R23" s="18" t="str">
        <f t="shared" si="1"/>
        <v/>
      </c>
      <c r="S23" s="19" t="str">
        <f t="shared" si="2"/>
        <v/>
      </c>
      <c r="T23" s="19" t="str">
        <f t="shared" si="3"/>
        <v/>
      </c>
      <c r="Y23" s="20">
        <f t="shared" si="4"/>
        <v>9.2432999999999996</v>
      </c>
      <c r="Z23" s="20">
        <f t="shared" si="5"/>
        <v>11.3361</v>
      </c>
      <c r="AA23" s="21">
        <f t="shared" si="6"/>
        <v>9.1386599999999998</v>
      </c>
      <c r="AB23" s="21">
        <f t="shared" si="7"/>
        <v>11.44074</v>
      </c>
      <c r="AC23" s="20">
        <f t="shared" si="8"/>
        <v>10.0776</v>
      </c>
      <c r="AD23" s="20">
        <f t="shared" si="9"/>
        <v>12.0258</v>
      </c>
      <c r="AE23" s="21">
        <f t="shared" si="10"/>
        <v>9.9801900000000003</v>
      </c>
      <c r="AF23" s="21">
        <f t="shared" si="11"/>
        <v>12.12321</v>
      </c>
      <c r="AG23" s="20">
        <f t="shared" si="12"/>
        <v>10.872399999999999</v>
      </c>
      <c r="AH23" s="20">
        <f t="shared" si="13"/>
        <v>12.8794</v>
      </c>
      <c r="AI23" s="21">
        <f t="shared" si="14"/>
        <v>10.772049999999998</v>
      </c>
      <c r="AJ23" s="21">
        <f t="shared" si="15"/>
        <v>12.979750000000001</v>
      </c>
    </row>
    <row r="24" spans="1:36" x14ac:dyDescent="0.3">
      <c r="A24" s="22" t="s">
        <v>145</v>
      </c>
      <c r="B24" s="23" t="s">
        <v>6</v>
      </c>
      <c r="C24" s="23"/>
      <c r="D24" s="24">
        <v>1</v>
      </c>
      <c r="E24" s="25">
        <v>5.1761999999999997</v>
      </c>
      <c r="F24" s="25">
        <v>0.57410000000000005</v>
      </c>
      <c r="G24" s="25">
        <v>6.2138</v>
      </c>
      <c r="H24" s="25">
        <v>0.26960000000000001</v>
      </c>
      <c r="I24" s="25">
        <v>6.6069000000000004</v>
      </c>
      <c r="J24" s="25">
        <v>0.2137</v>
      </c>
      <c r="K24" s="26"/>
      <c r="L24" s="26">
        <v>25</v>
      </c>
      <c r="M24" s="26"/>
      <c r="N24" s="26"/>
      <c r="O24" s="24" t="s">
        <v>126</v>
      </c>
      <c r="P24" s="26"/>
      <c r="Q24" s="17" t="str">
        <f t="shared" si="0"/>
        <v>-</v>
      </c>
      <c r="R24" s="18" t="str">
        <f t="shared" si="1"/>
        <v/>
      </c>
      <c r="S24" s="19" t="str">
        <f t="shared" si="2"/>
        <v/>
      </c>
      <c r="T24" s="19" t="str">
        <f t="shared" si="3"/>
        <v/>
      </c>
      <c r="Y24" s="20">
        <f t="shared" si="4"/>
        <v>3.4538999999999995</v>
      </c>
      <c r="Z24" s="20">
        <f t="shared" si="5"/>
        <v>6.8985000000000003</v>
      </c>
      <c r="AA24" s="21">
        <f t="shared" si="6"/>
        <v>3.2816699999999992</v>
      </c>
      <c r="AB24" s="21">
        <f t="shared" si="7"/>
        <v>7.0707300000000002</v>
      </c>
      <c r="AC24" s="20">
        <f t="shared" si="8"/>
        <v>5.4050000000000002</v>
      </c>
      <c r="AD24" s="20">
        <f t="shared" si="9"/>
        <v>7.0225999999999997</v>
      </c>
      <c r="AE24" s="21">
        <f t="shared" si="10"/>
        <v>5.3241200000000006</v>
      </c>
      <c r="AF24" s="21">
        <f t="shared" si="11"/>
        <v>7.1034799999999994</v>
      </c>
      <c r="AG24" s="20">
        <f t="shared" si="12"/>
        <v>5.9658000000000007</v>
      </c>
      <c r="AH24" s="20">
        <f t="shared" si="13"/>
        <v>7.2480000000000002</v>
      </c>
      <c r="AI24" s="21">
        <f t="shared" si="14"/>
        <v>5.9016900000000003</v>
      </c>
      <c r="AJ24" s="21">
        <f t="shared" si="15"/>
        <v>7.3121100000000006</v>
      </c>
    </row>
    <row r="25" spans="1:36" x14ac:dyDescent="0.3">
      <c r="A25" s="22" t="s">
        <v>146</v>
      </c>
      <c r="B25" s="23" t="s">
        <v>6</v>
      </c>
      <c r="C25" s="23"/>
      <c r="D25" s="24">
        <v>3</v>
      </c>
      <c r="E25" s="25">
        <v>0.14299999999999999</v>
      </c>
      <c r="F25" s="25">
        <v>2.9600000000000001E-2</v>
      </c>
      <c r="G25" s="25">
        <v>0.4224</v>
      </c>
      <c r="H25" s="25">
        <v>1.77E-2</v>
      </c>
      <c r="I25" s="25">
        <v>1.089</v>
      </c>
      <c r="J25" s="25">
        <v>3.2599999999999997E-2</v>
      </c>
      <c r="K25" s="26"/>
      <c r="L25" s="26"/>
      <c r="M25" s="26"/>
      <c r="N25" s="26"/>
      <c r="O25" s="24" t="s">
        <v>126</v>
      </c>
      <c r="P25" s="26"/>
      <c r="Q25" s="17" t="str">
        <f t="shared" si="0"/>
        <v>-</v>
      </c>
      <c r="R25" s="18" t="str">
        <f t="shared" si="1"/>
        <v/>
      </c>
      <c r="S25" s="19" t="str">
        <f t="shared" si="2"/>
        <v/>
      </c>
      <c r="T25" s="19" t="str">
        <f t="shared" si="3"/>
        <v/>
      </c>
      <c r="Y25" s="20">
        <f t="shared" si="4"/>
        <v>5.4199999999999984E-2</v>
      </c>
      <c r="Z25" s="20">
        <f t="shared" si="5"/>
        <v>0.23180000000000001</v>
      </c>
      <c r="AA25" s="21">
        <f t="shared" si="6"/>
        <v>4.5319999999999971E-2</v>
      </c>
      <c r="AB25" s="21">
        <f t="shared" si="7"/>
        <v>0.24068000000000001</v>
      </c>
      <c r="AC25" s="20">
        <f t="shared" si="8"/>
        <v>0.36930000000000002</v>
      </c>
      <c r="AD25" s="20">
        <f t="shared" si="9"/>
        <v>0.47549999999999998</v>
      </c>
      <c r="AE25" s="21">
        <f t="shared" si="10"/>
        <v>0.36399000000000004</v>
      </c>
      <c r="AF25" s="21">
        <f t="shared" si="11"/>
        <v>0.48080999999999996</v>
      </c>
      <c r="AG25" s="20">
        <f t="shared" si="12"/>
        <v>0.99119999999999997</v>
      </c>
      <c r="AH25" s="20">
        <f t="shared" si="13"/>
        <v>1.1867999999999999</v>
      </c>
      <c r="AI25" s="21">
        <f t="shared" si="14"/>
        <v>0.98141999999999996</v>
      </c>
      <c r="AJ25" s="21">
        <f t="shared" si="15"/>
        <v>1.1965799999999998</v>
      </c>
    </row>
    <row r="26" spans="1:36" x14ac:dyDescent="0.3">
      <c r="A26" s="22" t="s">
        <v>147</v>
      </c>
      <c r="B26" s="23" t="s">
        <v>6</v>
      </c>
      <c r="C26" s="23"/>
      <c r="D26" s="24">
        <v>3</v>
      </c>
      <c r="E26" s="25">
        <v>49.979300000000002</v>
      </c>
      <c r="F26" s="25">
        <v>0.60440000000000005</v>
      </c>
      <c r="G26" s="25">
        <v>14.779299999999999</v>
      </c>
      <c r="H26" s="25">
        <v>8.1900000000000001E-2</v>
      </c>
      <c r="I26" s="25">
        <v>47.289700000000003</v>
      </c>
      <c r="J26" s="25">
        <v>0.55830000000000002</v>
      </c>
      <c r="K26" s="26"/>
      <c r="L26" s="26">
        <v>48.1</v>
      </c>
      <c r="M26" s="26">
        <v>1.6</v>
      </c>
      <c r="N26" s="26">
        <v>4.2</v>
      </c>
      <c r="O26" s="24" t="s">
        <v>126</v>
      </c>
      <c r="P26" s="26"/>
      <c r="Q26" s="17" t="str">
        <f t="shared" si="0"/>
        <v>VB</v>
      </c>
      <c r="R26" s="18">
        <f t="shared" si="1"/>
        <v>3.6654153790683175</v>
      </c>
      <c r="S26" s="19" t="str">
        <f t="shared" si="2"/>
        <v/>
      </c>
      <c r="T26" s="19">
        <f t="shared" si="3"/>
        <v>1.2000000000000002</v>
      </c>
      <c r="Y26" s="20">
        <f t="shared" si="4"/>
        <v>48.1661</v>
      </c>
      <c r="Z26" s="20">
        <f t="shared" si="5"/>
        <v>51.792500000000004</v>
      </c>
      <c r="AA26" s="21">
        <f t="shared" si="6"/>
        <v>47.984780000000001</v>
      </c>
      <c r="AB26" s="21">
        <f t="shared" si="7"/>
        <v>51.973820000000003</v>
      </c>
      <c r="AC26" s="20">
        <f t="shared" si="8"/>
        <v>14.5336</v>
      </c>
      <c r="AD26" s="20">
        <f t="shared" si="9"/>
        <v>15.024999999999999</v>
      </c>
      <c r="AE26" s="21">
        <f t="shared" si="10"/>
        <v>14.509029999999999</v>
      </c>
      <c r="AF26" s="21">
        <f t="shared" si="11"/>
        <v>15.049569999999999</v>
      </c>
      <c r="AG26" s="20">
        <f t="shared" si="12"/>
        <v>45.614800000000002</v>
      </c>
      <c r="AH26" s="20">
        <f t="shared" si="13"/>
        <v>48.964600000000004</v>
      </c>
      <c r="AI26" s="21">
        <f t="shared" si="14"/>
        <v>45.447310000000002</v>
      </c>
      <c r="AJ26" s="21">
        <f t="shared" si="15"/>
        <v>49.132090000000005</v>
      </c>
    </row>
    <row r="27" spans="1:36" x14ac:dyDescent="0.3">
      <c r="A27" s="22" t="s">
        <v>148</v>
      </c>
      <c r="B27" s="23" t="s">
        <v>6</v>
      </c>
      <c r="C27" s="23"/>
      <c r="D27" s="24">
        <v>3</v>
      </c>
      <c r="E27" s="25">
        <v>19.4345</v>
      </c>
      <c r="F27" s="25">
        <v>0.1653</v>
      </c>
      <c r="G27" s="25">
        <v>9.8345000000000002</v>
      </c>
      <c r="H27" s="25">
        <v>0.30030000000000001</v>
      </c>
      <c r="I27" s="25">
        <v>14.944800000000001</v>
      </c>
      <c r="J27" s="25">
        <v>9.0999999999999998E-2</v>
      </c>
      <c r="K27" s="26"/>
      <c r="L27" s="26">
        <v>15.1</v>
      </c>
      <c r="M27" s="26"/>
      <c r="N27" s="26"/>
      <c r="O27" s="24" t="s">
        <v>126</v>
      </c>
      <c r="P27" s="26"/>
      <c r="Q27" s="17" t="str">
        <f t="shared" si="0"/>
        <v>-</v>
      </c>
      <c r="R27" s="18" t="str">
        <f t="shared" si="1"/>
        <v/>
      </c>
      <c r="S27" s="19" t="str">
        <f t="shared" si="2"/>
        <v/>
      </c>
      <c r="T27" s="19" t="str">
        <f t="shared" si="3"/>
        <v/>
      </c>
      <c r="Y27" s="20">
        <f t="shared" si="4"/>
        <v>18.938600000000001</v>
      </c>
      <c r="Z27" s="20">
        <f t="shared" si="5"/>
        <v>19.930399999999999</v>
      </c>
      <c r="AA27" s="21">
        <f t="shared" si="6"/>
        <v>18.889010000000003</v>
      </c>
      <c r="AB27" s="21">
        <f t="shared" si="7"/>
        <v>19.979989999999997</v>
      </c>
      <c r="AC27" s="20">
        <f t="shared" si="8"/>
        <v>8.9336000000000002</v>
      </c>
      <c r="AD27" s="20">
        <f t="shared" si="9"/>
        <v>10.7354</v>
      </c>
      <c r="AE27" s="21">
        <f t="shared" si="10"/>
        <v>8.8435100000000002</v>
      </c>
      <c r="AF27" s="21">
        <f t="shared" si="11"/>
        <v>10.82549</v>
      </c>
      <c r="AG27" s="20">
        <f t="shared" si="12"/>
        <v>14.671800000000001</v>
      </c>
      <c r="AH27" s="20">
        <f t="shared" si="13"/>
        <v>15.2178</v>
      </c>
      <c r="AI27" s="21">
        <f t="shared" si="14"/>
        <v>14.644500000000001</v>
      </c>
      <c r="AJ27" s="21">
        <f t="shared" si="15"/>
        <v>15.245100000000001</v>
      </c>
    </row>
    <row r="28" spans="1:36" x14ac:dyDescent="0.3">
      <c r="A28" s="22" t="s">
        <v>149</v>
      </c>
      <c r="B28" s="23" t="s">
        <v>6</v>
      </c>
      <c r="C28" s="23"/>
      <c r="D28" s="24">
        <v>3</v>
      </c>
      <c r="E28" s="25"/>
      <c r="F28" s="25"/>
      <c r="G28" s="25"/>
      <c r="H28" s="25"/>
      <c r="I28" s="25"/>
      <c r="J28" s="25"/>
      <c r="K28" s="26"/>
      <c r="L28" s="26">
        <v>9.4</v>
      </c>
      <c r="M28" s="26">
        <v>2.2000000000000002</v>
      </c>
      <c r="N28" s="26">
        <v>7</v>
      </c>
      <c r="O28" s="24" t="s">
        <v>126</v>
      </c>
      <c r="P28" s="26"/>
      <c r="Q28" s="17" t="str">
        <f t="shared" si="0"/>
        <v>VB</v>
      </c>
      <c r="R28" s="18">
        <f t="shared" si="1"/>
        <v>5.4740904491766216</v>
      </c>
      <c r="S28" s="19" t="str">
        <f t="shared" si="2"/>
        <v/>
      </c>
      <c r="T28" s="19">
        <f t="shared" si="3"/>
        <v>1.6500000000000001</v>
      </c>
      <c r="Y28" s="20" t="str">
        <f t="shared" si="4"/>
        <v/>
      </c>
      <c r="Z28" s="20" t="str">
        <f t="shared" si="5"/>
        <v/>
      </c>
      <c r="AA28" s="21" t="str">
        <f t="shared" si="6"/>
        <v/>
      </c>
      <c r="AB28" s="21" t="str">
        <f t="shared" si="7"/>
        <v/>
      </c>
      <c r="AC28" s="20" t="str">
        <f t="shared" si="8"/>
        <v/>
      </c>
      <c r="AD28" s="20" t="str">
        <f t="shared" si="9"/>
        <v/>
      </c>
      <c r="AE28" s="21" t="str">
        <f t="shared" si="10"/>
        <v/>
      </c>
      <c r="AF28" s="21" t="str">
        <f t="shared" si="11"/>
        <v/>
      </c>
      <c r="AG28" s="20" t="str">
        <f t="shared" si="12"/>
        <v/>
      </c>
      <c r="AH28" s="20" t="str">
        <f t="shared" si="13"/>
        <v/>
      </c>
      <c r="AI28" s="21" t="str">
        <f t="shared" si="14"/>
        <v/>
      </c>
      <c r="AJ28" s="21" t="str">
        <f t="shared" si="15"/>
        <v/>
      </c>
    </row>
    <row r="29" spans="1:36" x14ac:dyDescent="0.3">
      <c r="A29" s="22" t="s">
        <v>150</v>
      </c>
      <c r="B29" s="23" t="s">
        <v>6</v>
      </c>
      <c r="C29" s="23"/>
      <c r="D29" s="24">
        <v>1</v>
      </c>
      <c r="E29" s="25">
        <v>4.6307</v>
      </c>
      <c r="F29" s="25">
        <v>0.2666</v>
      </c>
      <c r="G29" s="25">
        <v>2.3437999999999999</v>
      </c>
      <c r="H29" s="25">
        <v>6.13E-2</v>
      </c>
      <c r="I29" s="25">
        <v>1.2362</v>
      </c>
      <c r="J29" s="25">
        <v>5.1999999999999998E-2</v>
      </c>
      <c r="K29" s="26"/>
      <c r="L29" s="26">
        <v>1.2</v>
      </c>
      <c r="M29" s="26">
        <v>9.6999999999999993</v>
      </c>
      <c r="N29" s="26">
        <v>27.1</v>
      </c>
      <c r="O29" s="24" t="s">
        <v>126</v>
      </c>
      <c r="P29" s="26"/>
      <c r="Q29" s="17" t="str">
        <f t="shared" si="0"/>
        <v>VB</v>
      </c>
      <c r="R29" s="18">
        <f t="shared" si="1"/>
        <v>22.797628473468187</v>
      </c>
      <c r="S29" s="19" t="str">
        <f t="shared" si="2"/>
        <v/>
      </c>
      <c r="T29" s="19">
        <f t="shared" si="3"/>
        <v>7.2749999999999995</v>
      </c>
      <c r="Y29" s="20">
        <f t="shared" si="4"/>
        <v>3.8308999999999997</v>
      </c>
      <c r="Z29" s="20">
        <f t="shared" si="5"/>
        <v>5.4305000000000003</v>
      </c>
      <c r="AA29" s="21">
        <f t="shared" si="6"/>
        <v>3.7509199999999998</v>
      </c>
      <c r="AB29" s="21">
        <f t="shared" si="7"/>
        <v>5.5104800000000003</v>
      </c>
      <c r="AC29" s="20">
        <f t="shared" si="8"/>
        <v>2.1598999999999999</v>
      </c>
      <c r="AD29" s="20">
        <f t="shared" si="9"/>
        <v>2.5276999999999998</v>
      </c>
      <c r="AE29" s="21">
        <f t="shared" si="10"/>
        <v>2.1415099999999998</v>
      </c>
      <c r="AF29" s="21">
        <f t="shared" si="11"/>
        <v>2.54609</v>
      </c>
      <c r="AG29" s="20">
        <f t="shared" si="12"/>
        <v>1.0802</v>
      </c>
      <c r="AH29" s="20">
        <f t="shared" si="13"/>
        <v>1.3921999999999999</v>
      </c>
      <c r="AI29" s="21">
        <f t="shared" si="14"/>
        <v>1.0646</v>
      </c>
      <c r="AJ29" s="21">
        <f t="shared" si="15"/>
        <v>1.4077999999999999</v>
      </c>
    </row>
    <row r="30" spans="1:36" x14ac:dyDescent="0.3">
      <c r="A30" s="22" t="s">
        <v>151</v>
      </c>
      <c r="B30" s="23" t="s">
        <v>6</v>
      </c>
      <c r="C30" s="23"/>
      <c r="D30" s="24">
        <v>3</v>
      </c>
      <c r="E30" s="25">
        <v>0.10680000000000001</v>
      </c>
      <c r="F30" s="25">
        <v>6.7000000000000002E-3</v>
      </c>
      <c r="G30" s="25">
        <v>0.1026</v>
      </c>
      <c r="H30" s="25">
        <v>2.7000000000000001E-3</v>
      </c>
      <c r="I30" s="25">
        <v>6.3299999999999995E-2</v>
      </c>
      <c r="J30" s="25">
        <v>2.7000000000000001E-3</v>
      </c>
      <c r="K30" s="26"/>
      <c r="L30" s="26"/>
      <c r="M30" s="26"/>
      <c r="N30" s="26"/>
      <c r="O30" s="24" t="s">
        <v>126</v>
      </c>
      <c r="P30" s="26"/>
      <c r="Q30" s="17" t="str">
        <f t="shared" si="0"/>
        <v>-</v>
      </c>
      <c r="R30" s="18" t="str">
        <f t="shared" si="1"/>
        <v/>
      </c>
      <c r="S30" s="19" t="str">
        <f t="shared" si="2"/>
        <v/>
      </c>
      <c r="T30" s="19" t="str">
        <f t="shared" si="3"/>
        <v/>
      </c>
      <c r="Y30" s="20">
        <f t="shared" si="4"/>
        <v>8.6699999999999999E-2</v>
      </c>
      <c r="Z30" s="20">
        <f t="shared" si="5"/>
        <v>0.12690000000000001</v>
      </c>
      <c r="AA30" s="21">
        <f t="shared" si="6"/>
        <v>8.4690000000000001E-2</v>
      </c>
      <c r="AB30" s="21">
        <f t="shared" si="7"/>
        <v>0.12891000000000002</v>
      </c>
      <c r="AC30" s="20">
        <f t="shared" si="8"/>
        <v>9.4500000000000001E-2</v>
      </c>
      <c r="AD30" s="20">
        <f t="shared" si="9"/>
        <v>0.11069999999999999</v>
      </c>
      <c r="AE30" s="21">
        <f t="shared" si="10"/>
        <v>9.3689999999999996E-2</v>
      </c>
      <c r="AF30" s="21">
        <f t="shared" si="11"/>
        <v>0.11151</v>
      </c>
      <c r="AG30" s="20">
        <f t="shared" si="12"/>
        <v>5.5199999999999999E-2</v>
      </c>
      <c r="AH30" s="20">
        <f t="shared" si="13"/>
        <v>7.1399999999999991E-2</v>
      </c>
      <c r="AI30" s="21">
        <f t="shared" si="14"/>
        <v>5.4390000000000001E-2</v>
      </c>
      <c r="AJ30" s="21">
        <f t="shared" si="15"/>
        <v>7.2209999999999996E-2</v>
      </c>
    </row>
    <row r="31" spans="1:36" x14ac:dyDescent="0.3">
      <c r="A31" s="22" t="s">
        <v>152</v>
      </c>
      <c r="B31" s="23" t="s">
        <v>6</v>
      </c>
      <c r="C31" s="23"/>
      <c r="D31" s="24">
        <v>3</v>
      </c>
      <c r="E31" s="25">
        <v>36.466700000000003</v>
      </c>
      <c r="F31" s="25">
        <v>6.2675999999999998</v>
      </c>
      <c r="G31" s="25">
        <v>39.303400000000003</v>
      </c>
      <c r="H31" s="25">
        <v>7.0613000000000001</v>
      </c>
      <c r="I31" s="25">
        <v>33.520699999999998</v>
      </c>
      <c r="J31" s="25">
        <v>4.6557000000000004</v>
      </c>
      <c r="K31" s="26"/>
      <c r="L31" s="26"/>
      <c r="M31" s="26"/>
      <c r="N31" s="26"/>
      <c r="O31" s="24" t="s">
        <v>126</v>
      </c>
      <c r="P31" s="26"/>
      <c r="Q31" s="17" t="str">
        <f t="shared" si="0"/>
        <v>-</v>
      </c>
      <c r="R31" s="18" t="str">
        <f t="shared" si="1"/>
        <v/>
      </c>
      <c r="S31" s="19" t="str">
        <f t="shared" si="2"/>
        <v/>
      </c>
      <c r="T31" s="19" t="str">
        <f t="shared" si="3"/>
        <v/>
      </c>
      <c r="Y31" s="20">
        <f t="shared" si="4"/>
        <v>17.663900000000005</v>
      </c>
      <c r="Z31" s="20">
        <f t="shared" si="5"/>
        <v>55.269500000000001</v>
      </c>
      <c r="AA31" s="21">
        <f t="shared" si="6"/>
        <v>15.783620000000003</v>
      </c>
      <c r="AB31" s="21">
        <f t="shared" si="7"/>
        <v>57.149780000000007</v>
      </c>
      <c r="AC31" s="20">
        <f t="shared" si="8"/>
        <v>18.119500000000002</v>
      </c>
      <c r="AD31" s="20">
        <f t="shared" si="9"/>
        <v>60.487300000000005</v>
      </c>
      <c r="AE31" s="21">
        <f t="shared" si="10"/>
        <v>16.001110000000001</v>
      </c>
      <c r="AF31" s="21">
        <f t="shared" si="11"/>
        <v>62.60569000000001</v>
      </c>
      <c r="AG31" s="20">
        <f t="shared" si="12"/>
        <v>19.553599999999996</v>
      </c>
      <c r="AH31" s="20">
        <f t="shared" si="13"/>
        <v>47.4878</v>
      </c>
      <c r="AI31" s="21">
        <f t="shared" si="14"/>
        <v>18.156889999999997</v>
      </c>
      <c r="AJ31" s="21">
        <f t="shared" si="15"/>
        <v>48.884509999999999</v>
      </c>
    </row>
    <row r="32" spans="1:36" x14ac:dyDescent="0.3">
      <c r="A32" s="22"/>
      <c r="B32" s="23" t="s">
        <v>6</v>
      </c>
      <c r="C32" s="23"/>
      <c r="D32" s="24">
        <v>3</v>
      </c>
      <c r="E32" s="25"/>
      <c r="F32" s="25"/>
      <c r="G32" s="25"/>
      <c r="H32" s="25"/>
      <c r="I32" s="25"/>
      <c r="J32" s="25"/>
      <c r="K32" s="26"/>
      <c r="L32" s="26"/>
      <c r="M32" s="26"/>
      <c r="N32" s="26"/>
      <c r="O32" s="24"/>
      <c r="P32" s="26"/>
      <c r="Q32" s="17" t="str">
        <f t="shared" si="0"/>
        <v/>
      </c>
      <c r="R32" s="18" t="str">
        <f t="shared" si="1"/>
        <v/>
      </c>
      <c r="S32" s="19" t="str">
        <f t="shared" si="2"/>
        <v/>
      </c>
      <c r="T32" s="19" t="str">
        <f t="shared" si="3"/>
        <v/>
      </c>
      <c r="Y32" s="20" t="str">
        <f t="shared" si="4"/>
        <v/>
      </c>
      <c r="Z32" s="20" t="str">
        <f t="shared" si="5"/>
        <v/>
      </c>
      <c r="AA32" s="21" t="str">
        <f t="shared" si="6"/>
        <v/>
      </c>
      <c r="AB32" s="21" t="str">
        <f t="shared" si="7"/>
        <v/>
      </c>
      <c r="AC32" s="20" t="str">
        <f t="shared" si="8"/>
        <v/>
      </c>
      <c r="AD32" s="20" t="str">
        <f t="shared" si="9"/>
        <v/>
      </c>
      <c r="AE32" s="21" t="str">
        <f t="shared" si="10"/>
        <v/>
      </c>
      <c r="AF32" s="21" t="str">
        <f t="shared" si="11"/>
        <v/>
      </c>
      <c r="AG32" s="20" t="str">
        <f t="shared" si="12"/>
        <v/>
      </c>
      <c r="AH32" s="20" t="str">
        <f t="shared" si="13"/>
        <v/>
      </c>
      <c r="AI32" s="21" t="str">
        <f t="shared" si="14"/>
        <v/>
      </c>
      <c r="AJ32" s="21" t="str">
        <f t="shared" si="15"/>
        <v/>
      </c>
    </row>
    <row r="33" spans="1:36" x14ac:dyDescent="0.3">
      <c r="A33" s="22"/>
      <c r="B33" s="23" t="s">
        <v>6</v>
      </c>
      <c r="C33" s="23"/>
      <c r="D33" s="24">
        <v>3</v>
      </c>
      <c r="E33" s="25"/>
      <c r="F33" s="25"/>
      <c r="G33" s="25"/>
      <c r="H33" s="25"/>
      <c r="I33" s="25"/>
      <c r="J33" s="25"/>
      <c r="K33" s="26"/>
      <c r="L33" s="26"/>
      <c r="M33" s="26"/>
      <c r="N33" s="26"/>
      <c r="O33" s="24"/>
      <c r="P33" s="26"/>
      <c r="Q33" s="17" t="str">
        <f t="shared" si="0"/>
        <v/>
      </c>
      <c r="R33" s="18" t="str">
        <f t="shared" si="1"/>
        <v/>
      </c>
      <c r="S33" s="19" t="str">
        <f t="shared" si="2"/>
        <v/>
      </c>
      <c r="T33" s="19" t="str">
        <f t="shared" si="3"/>
        <v/>
      </c>
      <c r="Y33" s="20" t="str">
        <f t="shared" si="4"/>
        <v/>
      </c>
      <c r="Z33" s="20" t="str">
        <f t="shared" si="5"/>
        <v/>
      </c>
      <c r="AA33" s="21" t="str">
        <f t="shared" si="6"/>
        <v/>
      </c>
      <c r="AB33" s="21" t="str">
        <f t="shared" si="7"/>
        <v/>
      </c>
      <c r="AC33" s="20" t="str">
        <f t="shared" si="8"/>
        <v/>
      </c>
      <c r="AD33" s="20" t="str">
        <f t="shared" si="9"/>
        <v/>
      </c>
      <c r="AE33" s="21" t="str">
        <f t="shared" si="10"/>
        <v/>
      </c>
      <c r="AF33" s="21" t="str">
        <f t="shared" si="11"/>
        <v/>
      </c>
      <c r="AG33" s="20" t="str">
        <f t="shared" si="12"/>
        <v/>
      </c>
      <c r="AH33" s="20" t="str">
        <f t="shared" si="13"/>
        <v/>
      </c>
      <c r="AI33" s="21" t="str">
        <f t="shared" si="14"/>
        <v/>
      </c>
      <c r="AJ33" s="21" t="str">
        <f t="shared" si="15"/>
        <v/>
      </c>
    </row>
    <row r="34" spans="1:36" x14ac:dyDescent="0.3">
      <c r="A34" s="22"/>
      <c r="B34" s="23" t="s">
        <v>6</v>
      </c>
      <c r="C34" s="23"/>
      <c r="D34" s="24">
        <v>3</v>
      </c>
      <c r="E34" s="25"/>
      <c r="F34" s="25"/>
      <c r="G34" s="25"/>
      <c r="H34" s="25"/>
      <c r="I34" s="25"/>
      <c r="J34" s="25"/>
      <c r="K34" s="26"/>
      <c r="L34" s="26"/>
      <c r="M34" s="26"/>
      <c r="N34" s="26"/>
      <c r="O34" s="24"/>
      <c r="P34" s="26"/>
      <c r="Q34" s="17" t="str">
        <f t="shared" si="0"/>
        <v/>
      </c>
      <c r="R34" s="18" t="str">
        <f t="shared" si="1"/>
        <v/>
      </c>
      <c r="S34" s="19" t="str">
        <f t="shared" si="2"/>
        <v/>
      </c>
      <c r="T34" s="19" t="str">
        <f t="shared" si="3"/>
        <v/>
      </c>
      <c r="Y34" s="20" t="str">
        <f t="shared" si="4"/>
        <v/>
      </c>
      <c r="Z34" s="20" t="str">
        <f t="shared" si="5"/>
        <v/>
      </c>
      <c r="AA34" s="21" t="str">
        <f t="shared" si="6"/>
        <v/>
      </c>
      <c r="AB34" s="21" t="str">
        <f t="shared" si="7"/>
        <v/>
      </c>
      <c r="AC34" s="20" t="str">
        <f t="shared" si="8"/>
        <v/>
      </c>
      <c r="AD34" s="20" t="str">
        <f t="shared" si="9"/>
        <v/>
      </c>
      <c r="AE34" s="21" t="str">
        <f t="shared" si="10"/>
        <v/>
      </c>
      <c r="AF34" s="21" t="str">
        <f t="shared" si="11"/>
        <v/>
      </c>
      <c r="AG34" s="20" t="str">
        <f t="shared" si="12"/>
        <v/>
      </c>
      <c r="AH34" s="20" t="str">
        <f t="shared" si="13"/>
        <v/>
      </c>
      <c r="AI34" s="21" t="str">
        <f t="shared" si="14"/>
        <v/>
      </c>
      <c r="AJ34" s="21" t="str">
        <f t="shared" si="15"/>
        <v/>
      </c>
    </row>
    <row r="35" spans="1:36" x14ac:dyDescent="0.3">
      <c r="A35" s="22"/>
      <c r="B35" s="23" t="s">
        <v>6</v>
      </c>
      <c r="C35" s="23"/>
      <c r="D35" s="24">
        <v>3</v>
      </c>
      <c r="E35" s="25"/>
      <c r="F35" s="25"/>
      <c r="G35" s="25"/>
      <c r="H35" s="25"/>
      <c r="I35" s="25"/>
      <c r="J35" s="25"/>
      <c r="K35" s="26"/>
      <c r="L35" s="26"/>
      <c r="M35" s="26"/>
      <c r="N35" s="26"/>
      <c r="O35" s="24"/>
      <c r="P35" s="26"/>
      <c r="Q35" s="17" t="str">
        <f t="shared" si="0"/>
        <v/>
      </c>
      <c r="R35" s="18" t="str">
        <f t="shared" si="1"/>
        <v/>
      </c>
      <c r="S35" s="19" t="str">
        <f t="shared" si="2"/>
        <v/>
      </c>
      <c r="T35" s="19" t="str">
        <f t="shared" si="3"/>
        <v/>
      </c>
      <c r="Y35" s="20" t="str">
        <f t="shared" si="4"/>
        <v/>
      </c>
      <c r="Z35" s="20" t="str">
        <f t="shared" si="5"/>
        <v/>
      </c>
      <c r="AA35" s="21" t="str">
        <f t="shared" si="6"/>
        <v/>
      </c>
      <c r="AB35" s="21" t="str">
        <f t="shared" si="7"/>
        <v/>
      </c>
      <c r="AC35" s="20" t="str">
        <f t="shared" si="8"/>
        <v/>
      </c>
      <c r="AD35" s="20" t="str">
        <f t="shared" si="9"/>
        <v/>
      </c>
      <c r="AE35" s="21" t="str">
        <f t="shared" si="10"/>
        <v/>
      </c>
      <c r="AF35" s="21" t="str">
        <f t="shared" si="11"/>
        <v/>
      </c>
      <c r="AG35" s="20" t="str">
        <f t="shared" si="12"/>
        <v/>
      </c>
      <c r="AH35" s="20" t="str">
        <f t="shared" si="13"/>
        <v/>
      </c>
      <c r="AI35" s="21" t="str">
        <f t="shared" si="14"/>
        <v/>
      </c>
      <c r="AJ35" s="21" t="str">
        <f t="shared" si="15"/>
        <v/>
      </c>
    </row>
    <row r="36" spans="1:36" x14ac:dyDescent="0.3">
      <c r="A36" s="22"/>
      <c r="B36" s="23" t="s">
        <v>6</v>
      </c>
      <c r="C36" s="23"/>
      <c r="D36" s="24">
        <v>3</v>
      </c>
      <c r="E36" s="25"/>
      <c r="F36" s="25"/>
      <c r="G36" s="25"/>
      <c r="H36" s="25"/>
      <c r="I36" s="25"/>
      <c r="J36" s="25"/>
      <c r="K36" s="26"/>
      <c r="L36" s="26"/>
      <c r="M36" s="26"/>
      <c r="N36" s="26"/>
      <c r="O36" s="24"/>
      <c r="P36" s="26"/>
      <c r="Q36" s="17" t="str">
        <f t="shared" si="0"/>
        <v/>
      </c>
      <c r="R36" s="18" t="str">
        <f t="shared" si="1"/>
        <v/>
      </c>
      <c r="S36" s="19" t="str">
        <f t="shared" si="2"/>
        <v/>
      </c>
      <c r="T36" s="19" t="str">
        <f t="shared" si="3"/>
        <v/>
      </c>
      <c r="Y36" s="20" t="str">
        <f t="shared" si="4"/>
        <v/>
      </c>
      <c r="Z36" s="20" t="str">
        <f t="shared" si="5"/>
        <v/>
      </c>
      <c r="AA36" s="21" t="str">
        <f t="shared" si="6"/>
        <v/>
      </c>
      <c r="AB36" s="21" t="str">
        <f t="shared" si="7"/>
        <v/>
      </c>
      <c r="AC36" s="20" t="str">
        <f t="shared" si="8"/>
        <v/>
      </c>
      <c r="AD36" s="20" t="str">
        <f t="shared" si="9"/>
        <v/>
      </c>
      <c r="AE36" s="21" t="str">
        <f t="shared" si="10"/>
        <v/>
      </c>
      <c r="AF36" s="21" t="str">
        <f t="shared" si="11"/>
        <v/>
      </c>
      <c r="AG36" s="20" t="str">
        <f t="shared" si="12"/>
        <v/>
      </c>
      <c r="AH36" s="20" t="str">
        <f t="shared" si="13"/>
        <v/>
      </c>
      <c r="AI36" s="21" t="str">
        <f t="shared" si="14"/>
        <v/>
      </c>
      <c r="AJ36" s="21" t="str">
        <f t="shared" si="15"/>
        <v/>
      </c>
    </row>
    <row r="37" spans="1:36" x14ac:dyDescent="0.3">
      <c r="A37" s="22"/>
      <c r="B37" s="23" t="s">
        <v>6</v>
      </c>
      <c r="C37" s="23"/>
      <c r="D37" s="24">
        <v>3</v>
      </c>
      <c r="E37" s="25"/>
      <c r="F37" s="25"/>
      <c r="G37" s="25"/>
      <c r="H37" s="25"/>
      <c r="I37" s="25"/>
      <c r="J37" s="25"/>
      <c r="K37" s="26"/>
      <c r="L37" s="26"/>
      <c r="M37" s="26"/>
      <c r="N37" s="26"/>
      <c r="O37" s="24"/>
      <c r="P37" s="26"/>
      <c r="Q37" s="17" t="str">
        <f t="shared" si="0"/>
        <v/>
      </c>
      <c r="R37" s="18" t="str">
        <f t="shared" si="1"/>
        <v/>
      </c>
      <c r="S37" s="19" t="str">
        <f t="shared" si="2"/>
        <v/>
      </c>
      <c r="T37" s="19" t="str">
        <f t="shared" si="3"/>
        <v/>
      </c>
      <c r="Y37" s="20" t="str">
        <f t="shared" si="4"/>
        <v/>
      </c>
      <c r="Z37" s="20" t="str">
        <f t="shared" si="5"/>
        <v/>
      </c>
      <c r="AA37" s="21" t="str">
        <f t="shared" si="6"/>
        <v/>
      </c>
      <c r="AB37" s="21" t="str">
        <f t="shared" si="7"/>
        <v/>
      </c>
      <c r="AC37" s="20" t="str">
        <f t="shared" si="8"/>
        <v/>
      </c>
      <c r="AD37" s="20" t="str">
        <f t="shared" si="9"/>
        <v/>
      </c>
      <c r="AE37" s="21" t="str">
        <f t="shared" si="10"/>
        <v/>
      </c>
      <c r="AF37" s="21" t="str">
        <f t="shared" si="11"/>
        <v/>
      </c>
      <c r="AG37" s="20" t="str">
        <f t="shared" si="12"/>
        <v/>
      </c>
      <c r="AH37" s="20" t="str">
        <f t="shared" si="13"/>
        <v/>
      </c>
      <c r="AI37" s="21" t="str">
        <f t="shared" si="14"/>
        <v/>
      </c>
      <c r="AJ37" s="21" t="str">
        <f t="shared" si="15"/>
        <v/>
      </c>
    </row>
    <row r="38" spans="1:36" x14ac:dyDescent="0.3">
      <c r="A38" s="22"/>
      <c r="B38" s="23" t="s">
        <v>6</v>
      </c>
      <c r="C38" s="23"/>
      <c r="D38" s="24">
        <v>3</v>
      </c>
      <c r="E38" s="25"/>
      <c r="F38" s="25"/>
      <c r="G38" s="25"/>
      <c r="H38" s="25"/>
      <c r="I38" s="25"/>
      <c r="J38" s="25"/>
      <c r="K38" s="26"/>
      <c r="L38" s="26"/>
      <c r="M38" s="26"/>
      <c r="N38" s="26"/>
      <c r="O38" s="24"/>
      <c r="P38" s="26"/>
      <c r="Q38" s="17" t="str">
        <f t="shared" si="0"/>
        <v/>
      </c>
      <c r="R38" s="18" t="str">
        <f t="shared" si="1"/>
        <v/>
      </c>
      <c r="S38" s="19" t="str">
        <f t="shared" si="2"/>
        <v/>
      </c>
      <c r="T38" s="19" t="str">
        <f t="shared" si="3"/>
        <v/>
      </c>
      <c r="Y38" s="20" t="str">
        <f t="shared" si="4"/>
        <v/>
      </c>
      <c r="Z38" s="20" t="str">
        <f t="shared" si="5"/>
        <v/>
      </c>
      <c r="AA38" s="21" t="str">
        <f t="shared" si="6"/>
        <v/>
      </c>
      <c r="AB38" s="21" t="str">
        <f t="shared" si="7"/>
        <v/>
      </c>
      <c r="AC38" s="20" t="str">
        <f t="shared" si="8"/>
        <v/>
      </c>
      <c r="AD38" s="20" t="str">
        <f t="shared" si="9"/>
        <v/>
      </c>
      <c r="AE38" s="21" t="str">
        <f t="shared" si="10"/>
        <v/>
      </c>
      <c r="AF38" s="21" t="str">
        <f t="shared" si="11"/>
        <v/>
      </c>
      <c r="AG38" s="20" t="str">
        <f t="shared" si="12"/>
        <v/>
      </c>
      <c r="AH38" s="20" t="str">
        <f t="shared" si="13"/>
        <v/>
      </c>
      <c r="AI38" s="21" t="str">
        <f t="shared" si="14"/>
        <v/>
      </c>
      <c r="AJ38" s="21" t="str">
        <f t="shared" si="15"/>
        <v/>
      </c>
    </row>
    <row r="39" spans="1:36" x14ac:dyDescent="0.3">
      <c r="A39" s="22"/>
      <c r="B39" s="23" t="s">
        <v>6</v>
      </c>
      <c r="C39" s="23"/>
      <c r="D39" s="24">
        <v>3</v>
      </c>
      <c r="E39" s="25"/>
      <c r="F39" s="25"/>
      <c r="G39" s="25"/>
      <c r="H39" s="25"/>
      <c r="I39" s="25"/>
      <c r="J39" s="25"/>
      <c r="K39" s="26"/>
      <c r="L39" s="26"/>
      <c r="M39" s="26"/>
      <c r="N39" s="26"/>
      <c r="O39" s="24"/>
      <c r="P39" s="26"/>
      <c r="Q39" s="17" t="str">
        <f t="shared" si="0"/>
        <v/>
      </c>
      <c r="R39" s="18" t="str">
        <f t="shared" si="1"/>
        <v/>
      </c>
      <c r="S39" s="19" t="str">
        <f t="shared" si="2"/>
        <v/>
      </c>
      <c r="T39" s="19" t="str">
        <f t="shared" si="3"/>
        <v/>
      </c>
      <c r="Y39" s="20" t="str">
        <f t="shared" si="4"/>
        <v/>
      </c>
      <c r="Z39" s="20" t="str">
        <f t="shared" si="5"/>
        <v/>
      </c>
      <c r="AA39" s="21" t="str">
        <f t="shared" si="6"/>
        <v/>
      </c>
      <c r="AB39" s="21" t="str">
        <f t="shared" si="7"/>
        <v/>
      </c>
      <c r="AC39" s="20" t="str">
        <f t="shared" si="8"/>
        <v/>
      </c>
      <c r="AD39" s="20" t="str">
        <f t="shared" si="9"/>
        <v/>
      </c>
      <c r="AE39" s="21" t="str">
        <f t="shared" si="10"/>
        <v/>
      </c>
      <c r="AF39" s="21" t="str">
        <f t="shared" si="11"/>
        <v/>
      </c>
      <c r="AG39" s="20" t="str">
        <f t="shared" si="12"/>
        <v/>
      </c>
      <c r="AH39" s="20" t="str">
        <f t="shared" si="13"/>
        <v/>
      </c>
      <c r="AI39" s="21" t="str">
        <f t="shared" si="14"/>
        <v/>
      </c>
      <c r="AJ39" s="21" t="str">
        <f t="shared" si="15"/>
        <v/>
      </c>
    </row>
    <row r="40" spans="1:36" x14ac:dyDescent="0.3">
      <c r="A40" s="22"/>
      <c r="B40" s="23" t="s">
        <v>6</v>
      </c>
      <c r="C40" s="23"/>
      <c r="D40" s="24">
        <v>3</v>
      </c>
      <c r="E40" s="25"/>
      <c r="F40" s="25"/>
      <c r="G40" s="25"/>
      <c r="H40" s="25"/>
      <c r="I40" s="25"/>
      <c r="J40" s="25"/>
      <c r="K40" s="26"/>
      <c r="L40" s="26"/>
      <c r="M40" s="26"/>
      <c r="N40" s="26"/>
      <c r="O40" s="24"/>
      <c r="P40" s="26"/>
      <c r="Q40" s="17" t="str">
        <f t="shared" si="0"/>
        <v/>
      </c>
      <c r="R40" s="18" t="str">
        <f t="shared" si="1"/>
        <v/>
      </c>
      <c r="S40" s="19" t="str">
        <f t="shared" si="2"/>
        <v/>
      </c>
      <c r="T40" s="19" t="str">
        <f t="shared" si="3"/>
        <v/>
      </c>
      <c r="Y40" s="20" t="str">
        <f t="shared" si="4"/>
        <v/>
      </c>
      <c r="Z40" s="20" t="str">
        <f t="shared" si="5"/>
        <v/>
      </c>
      <c r="AA40" s="21" t="str">
        <f t="shared" si="6"/>
        <v/>
      </c>
      <c r="AB40" s="21" t="str">
        <f t="shared" si="7"/>
        <v/>
      </c>
      <c r="AC40" s="20" t="str">
        <f t="shared" si="8"/>
        <v/>
      </c>
      <c r="AD40" s="20" t="str">
        <f t="shared" si="9"/>
        <v/>
      </c>
      <c r="AE40" s="21" t="str">
        <f t="shared" si="10"/>
        <v/>
      </c>
      <c r="AF40" s="21" t="str">
        <f t="shared" si="11"/>
        <v/>
      </c>
      <c r="AG40" s="20" t="str">
        <f t="shared" si="12"/>
        <v/>
      </c>
      <c r="AH40" s="20" t="str">
        <f t="shared" si="13"/>
        <v/>
      </c>
      <c r="AI40" s="21" t="str">
        <f t="shared" si="14"/>
        <v/>
      </c>
      <c r="AJ40" s="21" t="str">
        <f t="shared" si="15"/>
        <v/>
      </c>
    </row>
    <row r="41" spans="1:36" x14ac:dyDescent="0.3">
      <c r="A41" s="22"/>
      <c r="B41" s="23" t="s">
        <v>6</v>
      </c>
      <c r="C41" s="23"/>
      <c r="D41" s="24">
        <v>3</v>
      </c>
      <c r="E41" s="25"/>
      <c r="F41" s="25"/>
      <c r="G41" s="25"/>
      <c r="H41" s="25"/>
      <c r="I41" s="25"/>
      <c r="J41" s="25"/>
      <c r="K41" s="26"/>
      <c r="L41" s="26"/>
      <c r="M41" s="26"/>
      <c r="N41" s="26"/>
      <c r="O41" s="24"/>
      <c r="P41" s="26"/>
      <c r="Q41" s="17" t="str">
        <f t="shared" si="0"/>
        <v/>
      </c>
      <c r="R41" s="18" t="str">
        <f t="shared" si="1"/>
        <v/>
      </c>
      <c r="S41" s="19" t="str">
        <f t="shared" si="2"/>
        <v/>
      </c>
      <c r="T41" s="19" t="str">
        <f t="shared" si="3"/>
        <v/>
      </c>
      <c r="Y41" s="20" t="str">
        <f t="shared" si="4"/>
        <v/>
      </c>
      <c r="Z41" s="20" t="str">
        <f t="shared" si="5"/>
        <v/>
      </c>
      <c r="AA41" s="21" t="str">
        <f t="shared" si="6"/>
        <v/>
      </c>
      <c r="AB41" s="21" t="str">
        <f t="shared" si="7"/>
        <v/>
      </c>
      <c r="AC41" s="20" t="str">
        <f t="shared" si="8"/>
        <v/>
      </c>
      <c r="AD41" s="20" t="str">
        <f t="shared" si="9"/>
        <v/>
      </c>
      <c r="AE41" s="21" t="str">
        <f t="shared" si="10"/>
        <v/>
      </c>
      <c r="AF41" s="21" t="str">
        <f t="shared" si="11"/>
        <v/>
      </c>
      <c r="AG41" s="20" t="str">
        <f t="shared" si="12"/>
        <v/>
      </c>
      <c r="AH41" s="20" t="str">
        <f t="shared" si="13"/>
        <v/>
      </c>
      <c r="AI41" s="21" t="str">
        <f t="shared" si="14"/>
        <v/>
      </c>
      <c r="AJ41" s="21" t="str">
        <f t="shared" si="15"/>
        <v/>
      </c>
    </row>
    <row r="42" spans="1:36" x14ac:dyDescent="0.3">
      <c r="A42" s="22"/>
      <c r="B42" s="23" t="s">
        <v>6</v>
      </c>
      <c r="C42" s="23"/>
      <c r="D42" s="24">
        <v>3</v>
      </c>
      <c r="E42" s="25"/>
      <c r="F42" s="25"/>
      <c r="G42" s="25"/>
      <c r="H42" s="25"/>
      <c r="I42" s="25"/>
      <c r="J42" s="25"/>
      <c r="K42" s="26"/>
      <c r="L42" s="26"/>
      <c r="M42" s="26"/>
      <c r="N42" s="26"/>
      <c r="O42" s="24"/>
      <c r="P42" s="26"/>
      <c r="Q42" s="17" t="str">
        <f t="shared" si="0"/>
        <v/>
      </c>
      <c r="R42" s="18" t="str">
        <f t="shared" si="1"/>
        <v/>
      </c>
      <c r="S42" s="19" t="str">
        <f t="shared" si="2"/>
        <v/>
      </c>
      <c r="T42" s="19" t="str">
        <f t="shared" si="3"/>
        <v/>
      </c>
      <c r="Y42" s="20" t="str">
        <f t="shared" si="4"/>
        <v/>
      </c>
      <c r="Z42" s="20" t="str">
        <f t="shared" si="5"/>
        <v/>
      </c>
      <c r="AA42" s="21" t="str">
        <f t="shared" si="6"/>
        <v/>
      </c>
      <c r="AB42" s="21" t="str">
        <f t="shared" si="7"/>
        <v/>
      </c>
      <c r="AC42" s="20" t="str">
        <f t="shared" si="8"/>
        <v/>
      </c>
      <c r="AD42" s="20" t="str">
        <f t="shared" si="9"/>
        <v/>
      </c>
      <c r="AE42" s="21" t="str">
        <f t="shared" si="10"/>
        <v/>
      </c>
      <c r="AF42" s="21" t="str">
        <f t="shared" si="11"/>
        <v/>
      </c>
      <c r="AG42" s="20" t="str">
        <f t="shared" si="12"/>
        <v/>
      </c>
      <c r="AH42" s="20" t="str">
        <f t="shared" si="13"/>
        <v/>
      </c>
      <c r="AI42" s="21" t="str">
        <f t="shared" si="14"/>
        <v/>
      </c>
      <c r="AJ42" s="21" t="str">
        <f t="shared" si="15"/>
        <v/>
      </c>
    </row>
    <row r="43" spans="1:36" x14ac:dyDescent="0.3">
      <c r="A43" s="22"/>
      <c r="B43" s="23" t="s">
        <v>6</v>
      </c>
      <c r="C43" s="23"/>
      <c r="D43" s="24">
        <v>3</v>
      </c>
      <c r="E43" s="25"/>
      <c r="F43" s="25"/>
      <c r="G43" s="25"/>
      <c r="H43" s="25"/>
      <c r="I43" s="25"/>
      <c r="J43" s="25"/>
      <c r="K43" s="26"/>
      <c r="L43" s="26"/>
      <c r="M43" s="26"/>
      <c r="N43" s="26"/>
      <c r="O43" s="24"/>
      <c r="P43" s="26"/>
      <c r="Q43" s="17" t="str">
        <f t="shared" si="0"/>
        <v/>
      </c>
      <c r="R43" s="18" t="str">
        <f t="shared" si="1"/>
        <v/>
      </c>
      <c r="S43" s="19" t="str">
        <f t="shared" si="2"/>
        <v/>
      </c>
      <c r="T43" s="19" t="str">
        <f t="shared" si="3"/>
        <v/>
      </c>
      <c r="Y43" s="20" t="str">
        <f t="shared" si="4"/>
        <v/>
      </c>
      <c r="Z43" s="20" t="str">
        <f t="shared" si="5"/>
        <v/>
      </c>
      <c r="AA43" s="21" t="str">
        <f t="shared" si="6"/>
        <v/>
      </c>
      <c r="AB43" s="21" t="str">
        <f t="shared" si="7"/>
        <v/>
      </c>
      <c r="AC43" s="20" t="str">
        <f t="shared" si="8"/>
        <v/>
      </c>
      <c r="AD43" s="20" t="str">
        <f t="shared" si="9"/>
        <v/>
      </c>
      <c r="AE43" s="21" t="str">
        <f t="shared" si="10"/>
        <v/>
      </c>
      <c r="AF43" s="21" t="str">
        <f t="shared" si="11"/>
        <v/>
      </c>
      <c r="AG43" s="20" t="str">
        <f t="shared" si="12"/>
        <v/>
      </c>
      <c r="AH43" s="20" t="str">
        <f t="shared" si="13"/>
        <v/>
      </c>
      <c r="AI43" s="21" t="str">
        <f t="shared" si="14"/>
        <v/>
      </c>
      <c r="AJ43" s="21" t="str">
        <f t="shared" si="15"/>
        <v/>
      </c>
    </row>
  </sheetData>
  <sheetProtection algorithmName="SHA-512" hashValue="SqznuMMzYJpAgYb6AAKz0GOXUjBkxMWQVZh2uB16n4WRfA1DbHUJgmyipBoCIioy5tF/sWl6lfYq/OR3+xwS6Q==" saltValue="SktwVgLXwW9Dk3oNFnrIaw==" spinCount="100000" sheet="1" scenarios="1"/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41"/>
  <sheetViews>
    <sheetView showGridLines="0" workbookViewId="0"/>
  </sheetViews>
  <sheetFormatPr defaultRowHeight="14.4" x14ac:dyDescent="0.3"/>
  <sheetData>
    <row r="1" spans="1:16" x14ac:dyDescent="0.3">
      <c r="A1" s="28" t="s">
        <v>153</v>
      </c>
      <c r="B1" s="28" t="s">
        <v>154</v>
      </c>
      <c r="C1" s="28" t="s">
        <v>155</v>
      </c>
      <c r="D1" s="28" t="s">
        <v>156</v>
      </c>
      <c r="E1" s="28" t="s">
        <v>157</v>
      </c>
      <c r="F1" s="28" t="s">
        <v>158</v>
      </c>
      <c r="G1" s="28" t="s">
        <v>159</v>
      </c>
      <c r="H1" s="28" t="s">
        <v>160</v>
      </c>
      <c r="I1" s="28" t="s">
        <v>161</v>
      </c>
      <c r="J1" s="28" t="s">
        <v>162</v>
      </c>
      <c r="K1" s="28" t="s">
        <v>163</v>
      </c>
      <c r="L1" s="28" t="s">
        <v>164</v>
      </c>
      <c r="M1" s="28" t="s">
        <v>165</v>
      </c>
      <c r="N1" s="28" t="s">
        <v>166</v>
      </c>
      <c r="O1" s="28" t="s">
        <v>88</v>
      </c>
      <c r="P1" s="28" t="s">
        <v>409</v>
      </c>
    </row>
    <row r="2" spans="1:16" x14ac:dyDescent="0.3">
      <c r="A2" s="29" t="s">
        <v>15</v>
      </c>
      <c r="B2" s="30">
        <v>1</v>
      </c>
      <c r="C2" s="31">
        <v>3.0038</v>
      </c>
      <c r="D2" s="31">
        <v>5.2900000000000003E-2</v>
      </c>
      <c r="E2" s="31">
        <v>6.8052000000000001</v>
      </c>
      <c r="F2" s="31">
        <v>9.1200000000000003E-2</v>
      </c>
      <c r="G2" s="31">
        <v>16.523800000000001</v>
      </c>
      <c r="H2" s="31">
        <v>0.16930000000000001</v>
      </c>
      <c r="I2" s="30">
        <v>7</v>
      </c>
      <c r="J2" s="30">
        <v>3</v>
      </c>
      <c r="K2" s="30">
        <v>10.8</v>
      </c>
      <c r="L2" s="30">
        <v>16.399999999999999</v>
      </c>
      <c r="M2" s="30" t="s">
        <v>123</v>
      </c>
      <c r="N2" s="30"/>
      <c r="O2" t="s">
        <v>122</v>
      </c>
      <c r="P2" t="s">
        <v>4621</v>
      </c>
    </row>
    <row r="3" spans="1:16" x14ac:dyDescent="0.3">
      <c r="A3" s="29" t="s">
        <v>15</v>
      </c>
      <c r="B3" s="30">
        <v>2</v>
      </c>
      <c r="C3" s="31">
        <v>2.3066</v>
      </c>
      <c r="D3" s="31">
        <v>2.1899999999999999E-2</v>
      </c>
      <c r="E3" s="31">
        <v>4.3769</v>
      </c>
      <c r="F3" s="31">
        <v>3.5000000000000003E-2</v>
      </c>
      <c r="G3" s="31">
        <v>5.1227999999999998</v>
      </c>
      <c r="H3" s="31">
        <v>3.4500000000000003E-2</v>
      </c>
      <c r="I3" s="30">
        <v>4</v>
      </c>
      <c r="J3" s="30">
        <v>1.5</v>
      </c>
      <c r="K3" s="30">
        <v>2.6</v>
      </c>
      <c r="L3" s="30">
        <v>6.4</v>
      </c>
      <c r="M3" s="30" t="s">
        <v>126</v>
      </c>
      <c r="N3" s="30"/>
      <c r="O3" t="s">
        <v>125</v>
      </c>
      <c r="P3" t="s">
        <v>4622</v>
      </c>
    </row>
    <row r="4" spans="1:16" x14ac:dyDescent="0.3">
      <c r="A4" s="29" t="s">
        <v>15</v>
      </c>
      <c r="B4" s="30">
        <v>3</v>
      </c>
      <c r="C4" s="31">
        <v>5.5</v>
      </c>
      <c r="D4" s="31">
        <v>5.9799999999999999E-2</v>
      </c>
      <c r="E4" s="31">
        <v>12.2759</v>
      </c>
      <c r="F4" s="31">
        <v>8.3000000000000004E-2</v>
      </c>
      <c r="G4" s="31">
        <v>15.5655</v>
      </c>
      <c r="H4" s="31">
        <v>8.14E-2</v>
      </c>
      <c r="I4" s="30">
        <v>4</v>
      </c>
      <c r="J4" s="30">
        <v>1</v>
      </c>
      <c r="K4" s="30">
        <v>2.7</v>
      </c>
      <c r="L4" s="30">
        <v>5.9</v>
      </c>
      <c r="M4" s="30" t="s">
        <v>124</v>
      </c>
      <c r="N4" s="30"/>
      <c r="O4" t="s">
        <v>127</v>
      </c>
      <c r="P4" t="s">
        <v>4623</v>
      </c>
    </row>
    <row r="5" spans="1:16" x14ac:dyDescent="0.3">
      <c r="A5" s="29" t="s">
        <v>15</v>
      </c>
      <c r="B5" s="30">
        <v>4</v>
      </c>
      <c r="C5" s="31">
        <v>16.634499999999999</v>
      </c>
      <c r="D5" s="31">
        <v>0.30969999999999998</v>
      </c>
      <c r="E5" s="31">
        <v>35.834499999999998</v>
      </c>
      <c r="F5" s="31">
        <v>0.45219999999999999</v>
      </c>
      <c r="G5" s="31">
        <v>44.910299999999999</v>
      </c>
      <c r="H5" s="31">
        <v>0.49880000000000002</v>
      </c>
      <c r="I5" s="30">
        <v>4</v>
      </c>
      <c r="J5" s="30">
        <v>1.5</v>
      </c>
      <c r="K5" s="30">
        <v>2.8</v>
      </c>
      <c r="L5" s="30">
        <v>5.4</v>
      </c>
      <c r="M5" s="30" t="s">
        <v>126</v>
      </c>
      <c r="N5" s="30"/>
      <c r="O5" t="s">
        <v>128</v>
      </c>
      <c r="P5" t="s">
        <v>4624</v>
      </c>
    </row>
    <row r="6" spans="1:16" x14ac:dyDescent="0.3">
      <c r="A6" s="29" t="s">
        <v>15</v>
      </c>
      <c r="B6" s="30">
        <v>5</v>
      </c>
      <c r="C6" s="31">
        <v>72.148300000000006</v>
      </c>
      <c r="D6" s="31">
        <v>0.90059999999999996</v>
      </c>
      <c r="E6" s="31">
        <v>81.875900000000001</v>
      </c>
      <c r="F6" s="31">
        <v>0.73899999999999999</v>
      </c>
      <c r="G6" s="31">
        <v>87.665499999999994</v>
      </c>
      <c r="H6" s="31">
        <v>0.71030000000000004</v>
      </c>
      <c r="I6" s="30"/>
      <c r="J6" s="30">
        <v>1</v>
      </c>
      <c r="K6" s="30">
        <v>0.8</v>
      </c>
      <c r="L6" s="30">
        <v>3.7</v>
      </c>
      <c r="M6" s="30" t="s">
        <v>126</v>
      </c>
      <c r="N6" s="30"/>
      <c r="O6" t="s">
        <v>129</v>
      </c>
      <c r="P6" t="s">
        <v>4625</v>
      </c>
    </row>
    <row r="7" spans="1:16" x14ac:dyDescent="0.3">
      <c r="A7" s="29" t="s">
        <v>15</v>
      </c>
      <c r="B7" s="30">
        <v>6</v>
      </c>
      <c r="C7" s="31">
        <v>23.837900000000001</v>
      </c>
      <c r="D7" s="31">
        <v>0.27439999999999998</v>
      </c>
      <c r="E7" s="31">
        <v>28.055199999999999</v>
      </c>
      <c r="F7" s="31">
        <v>0.2097</v>
      </c>
      <c r="G7" s="31">
        <v>30.3931</v>
      </c>
      <c r="H7" s="31">
        <v>0.2374</v>
      </c>
      <c r="I7" s="30"/>
      <c r="J7" s="30">
        <v>2</v>
      </c>
      <c r="K7" s="30">
        <v>0.8</v>
      </c>
      <c r="L7" s="30">
        <v>4.3</v>
      </c>
      <c r="M7" s="30" t="s">
        <v>126</v>
      </c>
      <c r="N7" s="30"/>
      <c r="O7" t="s">
        <v>130</v>
      </c>
      <c r="P7" t="s">
        <v>4626</v>
      </c>
    </row>
    <row r="8" spans="1:16" x14ac:dyDescent="0.3">
      <c r="A8" s="29" t="s">
        <v>15</v>
      </c>
      <c r="B8" s="30">
        <v>7</v>
      </c>
      <c r="C8" s="31">
        <v>33.017200000000003</v>
      </c>
      <c r="D8" s="31">
        <v>0.57820000000000005</v>
      </c>
      <c r="E8" s="31">
        <v>34.272399999999998</v>
      </c>
      <c r="F8" s="31">
        <v>0.37980000000000003</v>
      </c>
      <c r="G8" s="31">
        <v>34.6586</v>
      </c>
      <c r="H8" s="31">
        <v>0.36990000000000001</v>
      </c>
      <c r="I8" s="30"/>
      <c r="J8" s="30">
        <v>2</v>
      </c>
      <c r="K8" s="30">
        <v>0.9</v>
      </c>
      <c r="L8" s="30">
        <v>1.4</v>
      </c>
      <c r="M8" s="30" t="s">
        <v>126</v>
      </c>
      <c r="N8" s="30"/>
      <c r="O8" t="s">
        <v>131</v>
      </c>
      <c r="P8" t="s">
        <v>4627</v>
      </c>
    </row>
    <row r="9" spans="1:16" x14ac:dyDescent="0.3">
      <c r="A9" s="29" t="s">
        <v>15</v>
      </c>
      <c r="B9" s="30">
        <v>8</v>
      </c>
      <c r="C9" s="31">
        <v>70.620699999999999</v>
      </c>
      <c r="D9" s="31">
        <v>4.6859999999999999</v>
      </c>
      <c r="E9" s="31">
        <v>227.93100000000001</v>
      </c>
      <c r="F9" s="31">
        <v>10.8757</v>
      </c>
      <c r="G9" s="31">
        <v>516.27589999999998</v>
      </c>
      <c r="H9" s="31">
        <v>14.8514</v>
      </c>
      <c r="I9" s="30">
        <v>15</v>
      </c>
      <c r="J9" s="30">
        <v>4</v>
      </c>
      <c r="K9" s="30">
        <v>7.5</v>
      </c>
      <c r="L9" s="30">
        <v>18.600000000000001</v>
      </c>
      <c r="M9" s="30" t="s">
        <v>126</v>
      </c>
      <c r="N9" s="30"/>
      <c r="O9" t="s">
        <v>132</v>
      </c>
      <c r="P9" t="s">
        <v>4628</v>
      </c>
    </row>
    <row r="10" spans="1:16" x14ac:dyDescent="0.3">
      <c r="A10" s="29" t="s">
        <v>15</v>
      </c>
      <c r="B10" s="30">
        <v>9</v>
      </c>
      <c r="C10" s="31"/>
      <c r="D10" s="31"/>
      <c r="E10" s="31"/>
      <c r="F10" s="31"/>
      <c r="G10" s="31"/>
      <c r="H10" s="31"/>
      <c r="I10" s="30"/>
      <c r="J10" s="30">
        <v>8</v>
      </c>
      <c r="K10" s="30">
        <v>14</v>
      </c>
      <c r="L10" s="30">
        <v>23.5</v>
      </c>
      <c r="M10" s="30" t="s">
        <v>126</v>
      </c>
      <c r="N10" s="30"/>
      <c r="O10" t="s">
        <v>133</v>
      </c>
      <c r="P10" t="s">
        <v>4629</v>
      </c>
    </row>
    <row r="11" spans="1:16" x14ac:dyDescent="0.3">
      <c r="A11" s="29" t="s">
        <v>15</v>
      </c>
      <c r="B11" s="30">
        <v>10</v>
      </c>
      <c r="C11" s="31"/>
      <c r="D11" s="31"/>
      <c r="E11" s="31"/>
      <c r="F11" s="31"/>
      <c r="G11" s="31"/>
      <c r="H11" s="31"/>
      <c r="I11" s="30"/>
      <c r="J11" s="30">
        <v>8</v>
      </c>
      <c r="K11" s="30">
        <v>10.8</v>
      </c>
      <c r="L11" s="30">
        <v>22.6</v>
      </c>
      <c r="M11" s="30" t="s">
        <v>126</v>
      </c>
      <c r="N11" s="30"/>
      <c r="O11" t="s">
        <v>134</v>
      </c>
      <c r="P11" t="s">
        <v>4630</v>
      </c>
    </row>
    <row r="12" spans="1:16" x14ac:dyDescent="0.3">
      <c r="A12" s="29" t="s">
        <v>15</v>
      </c>
      <c r="B12" s="30">
        <v>11</v>
      </c>
      <c r="C12" s="31"/>
      <c r="D12" s="31"/>
      <c r="E12" s="31"/>
      <c r="F12" s="31"/>
      <c r="G12" s="31"/>
      <c r="H12" s="31"/>
      <c r="I12" s="30"/>
      <c r="J12" s="30">
        <v>20</v>
      </c>
      <c r="K12" s="30">
        <v>13.3</v>
      </c>
      <c r="L12" s="30">
        <v>22.2</v>
      </c>
      <c r="M12" s="30" t="s">
        <v>126</v>
      </c>
      <c r="N12" s="30"/>
      <c r="O12" t="s">
        <v>135</v>
      </c>
      <c r="P12" t="s">
        <v>4631</v>
      </c>
    </row>
    <row r="13" spans="1:16" x14ac:dyDescent="0.3">
      <c r="A13" s="29" t="s">
        <v>15</v>
      </c>
      <c r="B13" s="30">
        <v>12</v>
      </c>
      <c r="C13" s="31"/>
      <c r="D13" s="31"/>
      <c r="E13" s="31"/>
      <c r="F13" s="31"/>
      <c r="G13" s="31"/>
      <c r="H13" s="31"/>
      <c r="I13" s="30"/>
      <c r="J13" s="30">
        <v>25</v>
      </c>
      <c r="K13" s="30">
        <v>14.9</v>
      </c>
      <c r="L13" s="30">
        <v>65.3</v>
      </c>
      <c r="M13" s="30" t="s">
        <v>126</v>
      </c>
      <c r="N13" s="30"/>
      <c r="O13" t="s">
        <v>136</v>
      </c>
      <c r="P13" t="s">
        <v>4632</v>
      </c>
    </row>
    <row r="14" spans="1:16" x14ac:dyDescent="0.3">
      <c r="A14" s="29" t="s">
        <v>15</v>
      </c>
      <c r="B14" s="30">
        <v>13</v>
      </c>
      <c r="C14" s="31"/>
      <c r="D14" s="31"/>
      <c r="E14" s="31"/>
      <c r="F14" s="31"/>
      <c r="G14" s="31"/>
      <c r="H14" s="31"/>
      <c r="I14" s="30"/>
      <c r="J14" s="30">
        <v>40</v>
      </c>
      <c r="K14" s="30">
        <v>12.4</v>
      </c>
      <c r="L14" s="30">
        <v>26.3</v>
      </c>
      <c r="M14" s="30" t="s">
        <v>126</v>
      </c>
      <c r="N14" s="30"/>
      <c r="O14" t="s">
        <v>137</v>
      </c>
      <c r="P14" t="s">
        <v>4633</v>
      </c>
    </row>
    <row r="15" spans="1:16" x14ac:dyDescent="0.3">
      <c r="A15" s="29" t="s">
        <v>15</v>
      </c>
      <c r="B15" s="30">
        <v>14</v>
      </c>
      <c r="C15" s="31">
        <v>1.2193000000000001</v>
      </c>
      <c r="D15" s="31">
        <v>3.7900000000000003E-2</v>
      </c>
      <c r="E15" s="31">
        <v>2.9738000000000002</v>
      </c>
      <c r="F15" s="31">
        <v>6.0400000000000002E-2</v>
      </c>
      <c r="G15" s="31">
        <v>7.8455000000000004</v>
      </c>
      <c r="H15" s="31">
        <v>0.17760000000000001</v>
      </c>
      <c r="I15" s="30"/>
      <c r="J15" s="30">
        <v>12</v>
      </c>
      <c r="K15" s="30">
        <v>14</v>
      </c>
      <c r="L15" s="30">
        <v>23.5</v>
      </c>
      <c r="M15" s="30" t="s">
        <v>126</v>
      </c>
      <c r="N15" s="30"/>
      <c r="O15" t="s">
        <v>138</v>
      </c>
      <c r="P15" t="s">
        <v>4634</v>
      </c>
    </row>
    <row r="16" spans="1:16" x14ac:dyDescent="0.3">
      <c r="A16" s="29" t="s">
        <v>15</v>
      </c>
      <c r="B16" s="30">
        <v>15</v>
      </c>
      <c r="C16" s="31">
        <v>1.0047999999999999</v>
      </c>
      <c r="D16" s="31">
        <v>4.7E-2</v>
      </c>
      <c r="E16" s="31">
        <v>1.9883</v>
      </c>
      <c r="F16" s="31">
        <v>4.8599999999999997E-2</v>
      </c>
      <c r="G16" s="31">
        <v>4.0376000000000003</v>
      </c>
      <c r="H16" s="31">
        <v>0.1779</v>
      </c>
      <c r="I16" s="30"/>
      <c r="J16" s="30">
        <v>8</v>
      </c>
      <c r="K16" s="30">
        <v>10.8</v>
      </c>
      <c r="L16" s="30">
        <v>22.6</v>
      </c>
      <c r="M16" s="30" t="s">
        <v>126</v>
      </c>
      <c r="N16" s="30"/>
      <c r="O16" t="s">
        <v>139</v>
      </c>
      <c r="P16" t="s">
        <v>4635</v>
      </c>
    </row>
    <row r="17" spans="1:16" x14ac:dyDescent="0.3">
      <c r="A17" s="29" t="s">
        <v>15</v>
      </c>
      <c r="B17" s="30">
        <v>16</v>
      </c>
      <c r="C17" s="31">
        <v>0.34620000000000001</v>
      </c>
      <c r="D17" s="31">
        <v>2.92E-2</v>
      </c>
      <c r="E17" s="31">
        <v>0.77280000000000004</v>
      </c>
      <c r="F17" s="31">
        <v>6.08E-2</v>
      </c>
      <c r="G17" s="31">
        <v>1.9576</v>
      </c>
      <c r="H17" s="31">
        <v>0.1983</v>
      </c>
      <c r="I17" s="30"/>
      <c r="J17" s="30">
        <v>20</v>
      </c>
      <c r="K17" s="30">
        <v>13.3</v>
      </c>
      <c r="L17" s="30">
        <v>22.2</v>
      </c>
      <c r="M17" s="30" t="s">
        <v>126</v>
      </c>
      <c r="N17" s="30"/>
      <c r="O17" t="s">
        <v>140</v>
      </c>
      <c r="P17" t="s">
        <v>4636</v>
      </c>
    </row>
    <row r="18" spans="1:16" x14ac:dyDescent="0.3">
      <c r="A18" s="29" t="s">
        <v>15</v>
      </c>
      <c r="B18" s="30">
        <v>17</v>
      </c>
      <c r="C18" s="31">
        <v>0.2928</v>
      </c>
      <c r="D18" s="31">
        <v>1.67E-2</v>
      </c>
      <c r="E18" s="31">
        <v>0.72789999999999999</v>
      </c>
      <c r="F18" s="31">
        <v>4.07E-2</v>
      </c>
      <c r="G18" s="31">
        <v>1.8631</v>
      </c>
      <c r="H18" s="31">
        <v>0.12759999999999999</v>
      </c>
      <c r="I18" s="30"/>
      <c r="J18" s="30">
        <v>25</v>
      </c>
      <c r="K18" s="30">
        <v>14.9</v>
      </c>
      <c r="L18" s="30">
        <v>65.3</v>
      </c>
      <c r="M18" s="30" t="s">
        <v>126</v>
      </c>
      <c r="N18" s="30"/>
      <c r="O18" t="s">
        <v>141</v>
      </c>
      <c r="P18" t="s">
        <v>4637</v>
      </c>
    </row>
    <row r="19" spans="1:16" x14ac:dyDescent="0.3">
      <c r="A19" s="29" t="s">
        <v>15</v>
      </c>
      <c r="B19" s="30">
        <v>18</v>
      </c>
      <c r="C19" s="31">
        <v>0.14449999999999999</v>
      </c>
      <c r="D19" s="31">
        <v>5.7000000000000002E-3</v>
      </c>
      <c r="E19" s="31">
        <v>0.32519999999999999</v>
      </c>
      <c r="F19" s="31">
        <v>8.6999999999999994E-3</v>
      </c>
      <c r="G19" s="31">
        <v>0.79169999999999996</v>
      </c>
      <c r="H19" s="31">
        <v>2.1700000000000001E-2</v>
      </c>
      <c r="I19" s="30"/>
      <c r="J19" s="30">
        <v>40</v>
      </c>
      <c r="K19" s="30">
        <v>12.4</v>
      </c>
      <c r="L19" s="30">
        <v>26.3</v>
      </c>
      <c r="M19" s="30" t="s">
        <v>126</v>
      </c>
      <c r="N19" s="30"/>
      <c r="O19" t="s">
        <v>142</v>
      </c>
      <c r="P19" t="s">
        <v>4638</v>
      </c>
    </row>
    <row r="20" spans="1:16" x14ac:dyDescent="0.3">
      <c r="A20" s="29" t="s">
        <v>15</v>
      </c>
      <c r="B20" s="30">
        <v>19</v>
      </c>
      <c r="C20" s="31"/>
      <c r="D20" s="31"/>
      <c r="E20" s="31"/>
      <c r="F20" s="31"/>
      <c r="G20" s="31"/>
      <c r="H20" s="31"/>
      <c r="I20" s="30"/>
      <c r="J20" s="30">
        <v>12</v>
      </c>
      <c r="K20" s="30"/>
      <c r="L20" s="30"/>
      <c r="M20" s="30" t="s">
        <v>126</v>
      </c>
      <c r="N20" s="30"/>
      <c r="O20" t="s">
        <v>143</v>
      </c>
      <c r="P20" t="s">
        <v>4639</v>
      </c>
    </row>
    <row r="21" spans="1:16" x14ac:dyDescent="0.3">
      <c r="A21" s="29" t="s">
        <v>15</v>
      </c>
      <c r="B21" s="30">
        <v>20</v>
      </c>
      <c r="C21" s="31">
        <v>10.2897</v>
      </c>
      <c r="D21" s="31">
        <v>0.3488</v>
      </c>
      <c r="E21" s="31">
        <v>11.0517</v>
      </c>
      <c r="F21" s="31">
        <v>0.32469999999999999</v>
      </c>
      <c r="G21" s="31">
        <v>11.8759</v>
      </c>
      <c r="H21" s="31">
        <v>0.33450000000000002</v>
      </c>
      <c r="I21" s="30"/>
      <c r="J21" s="30"/>
      <c r="K21" s="30"/>
      <c r="L21" s="30"/>
      <c r="M21" s="30" t="s">
        <v>126</v>
      </c>
      <c r="N21" s="30"/>
      <c r="O21" t="s">
        <v>144</v>
      </c>
      <c r="P21" t="s">
        <v>4640</v>
      </c>
    </row>
    <row r="22" spans="1:16" x14ac:dyDescent="0.3">
      <c r="A22" s="29" t="s">
        <v>15</v>
      </c>
      <c r="B22" s="30">
        <v>21</v>
      </c>
      <c r="C22" s="31">
        <v>5.1761999999999997</v>
      </c>
      <c r="D22" s="31">
        <v>0.57410000000000005</v>
      </c>
      <c r="E22" s="31">
        <v>6.2138</v>
      </c>
      <c r="F22" s="31">
        <v>0.26960000000000001</v>
      </c>
      <c r="G22" s="31">
        <v>6.6069000000000004</v>
      </c>
      <c r="H22" s="31">
        <v>0.2137</v>
      </c>
      <c r="I22" s="30"/>
      <c r="J22" s="30">
        <v>25</v>
      </c>
      <c r="K22" s="30"/>
      <c r="L22" s="30"/>
      <c r="M22" s="30" t="s">
        <v>126</v>
      </c>
      <c r="N22" s="30"/>
      <c r="O22" t="s">
        <v>145</v>
      </c>
      <c r="P22" t="s">
        <v>4641</v>
      </c>
    </row>
    <row r="23" spans="1:16" x14ac:dyDescent="0.3">
      <c r="A23" s="29" t="s">
        <v>15</v>
      </c>
      <c r="B23" s="30">
        <v>22</v>
      </c>
      <c r="C23" s="31">
        <v>0.14299999999999999</v>
      </c>
      <c r="D23" s="31">
        <v>2.9600000000000001E-2</v>
      </c>
      <c r="E23" s="31">
        <v>0.4224</v>
      </c>
      <c r="F23" s="31">
        <v>1.77E-2</v>
      </c>
      <c r="G23" s="31">
        <v>1.089</v>
      </c>
      <c r="H23" s="31">
        <v>3.2599999999999997E-2</v>
      </c>
      <c r="I23" s="30"/>
      <c r="J23" s="30"/>
      <c r="K23" s="30"/>
      <c r="L23" s="30"/>
      <c r="M23" s="30" t="s">
        <v>126</v>
      </c>
      <c r="N23" s="30"/>
      <c r="O23" t="s">
        <v>146</v>
      </c>
      <c r="P23" t="s">
        <v>4642</v>
      </c>
    </row>
    <row r="24" spans="1:16" x14ac:dyDescent="0.3">
      <c r="A24" s="29" t="s">
        <v>15</v>
      </c>
      <c r="B24" s="30">
        <v>23</v>
      </c>
      <c r="C24" s="31">
        <v>49.979300000000002</v>
      </c>
      <c r="D24" s="31">
        <v>0.60440000000000005</v>
      </c>
      <c r="E24" s="31">
        <v>14.779299999999999</v>
      </c>
      <c r="F24" s="31">
        <v>8.1900000000000001E-2</v>
      </c>
      <c r="G24" s="31">
        <v>47.289700000000003</v>
      </c>
      <c r="H24" s="31">
        <v>0.55830000000000002</v>
      </c>
      <c r="I24" s="30"/>
      <c r="J24" s="30">
        <v>48.1</v>
      </c>
      <c r="K24" s="30">
        <v>1.6</v>
      </c>
      <c r="L24" s="30">
        <v>4.2</v>
      </c>
      <c r="M24" s="30" t="s">
        <v>126</v>
      </c>
      <c r="N24" s="30"/>
      <c r="O24" t="s">
        <v>147</v>
      </c>
      <c r="P24" t="s">
        <v>4643</v>
      </c>
    </row>
    <row r="25" spans="1:16" x14ac:dyDescent="0.3">
      <c r="A25" s="29" t="s">
        <v>15</v>
      </c>
      <c r="B25" s="30">
        <v>24</v>
      </c>
      <c r="C25" s="31">
        <v>19.4345</v>
      </c>
      <c r="D25" s="31">
        <v>0.1653</v>
      </c>
      <c r="E25" s="31">
        <v>9.8345000000000002</v>
      </c>
      <c r="F25" s="31">
        <v>0.30030000000000001</v>
      </c>
      <c r="G25" s="31">
        <v>14.944800000000001</v>
      </c>
      <c r="H25" s="31">
        <v>9.0999999999999998E-2</v>
      </c>
      <c r="I25" s="30"/>
      <c r="J25" s="30">
        <v>15.1</v>
      </c>
      <c r="K25" s="30"/>
      <c r="L25" s="30"/>
      <c r="M25" s="30" t="s">
        <v>126</v>
      </c>
      <c r="N25" s="30"/>
      <c r="O25" t="s">
        <v>148</v>
      </c>
      <c r="P25" t="s">
        <v>4644</v>
      </c>
    </row>
    <row r="26" spans="1:16" x14ac:dyDescent="0.3">
      <c r="A26" s="29" t="s">
        <v>15</v>
      </c>
      <c r="B26" s="30">
        <v>25</v>
      </c>
      <c r="C26" s="31"/>
      <c r="D26" s="31"/>
      <c r="E26" s="31"/>
      <c r="F26" s="31"/>
      <c r="G26" s="31"/>
      <c r="H26" s="31"/>
      <c r="I26" s="30"/>
      <c r="J26" s="30">
        <v>9.4</v>
      </c>
      <c r="K26" s="30">
        <v>2.2000000000000002</v>
      </c>
      <c r="L26" s="30">
        <v>7</v>
      </c>
      <c r="M26" s="30" t="s">
        <v>126</v>
      </c>
      <c r="N26" s="30"/>
      <c r="O26" t="s">
        <v>149</v>
      </c>
      <c r="P26" t="s">
        <v>4645</v>
      </c>
    </row>
    <row r="27" spans="1:16" x14ac:dyDescent="0.3">
      <c r="A27" s="29" t="s">
        <v>15</v>
      </c>
      <c r="B27" s="30">
        <v>26</v>
      </c>
      <c r="C27" s="31">
        <v>4.6307</v>
      </c>
      <c r="D27" s="31">
        <v>0.2666</v>
      </c>
      <c r="E27" s="31">
        <v>2.3437999999999999</v>
      </c>
      <c r="F27" s="31">
        <v>6.13E-2</v>
      </c>
      <c r="G27" s="31">
        <v>1.2362</v>
      </c>
      <c r="H27" s="31">
        <v>5.1999999999999998E-2</v>
      </c>
      <c r="I27" s="30"/>
      <c r="J27" s="30">
        <v>1.2</v>
      </c>
      <c r="K27" s="30">
        <v>9.6999999999999993</v>
      </c>
      <c r="L27" s="30">
        <v>27.1</v>
      </c>
      <c r="M27" s="30" t="s">
        <v>126</v>
      </c>
      <c r="N27" s="30"/>
      <c r="O27" t="s">
        <v>150</v>
      </c>
      <c r="P27" t="s">
        <v>4646</v>
      </c>
    </row>
    <row r="28" spans="1:16" x14ac:dyDescent="0.3">
      <c r="A28" s="29" t="s">
        <v>15</v>
      </c>
      <c r="B28" s="30">
        <v>27</v>
      </c>
      <c r="C28" s="31">
        <v>0.10680000000000001</v>
      </c>
      <c r="D28" s="31">
        <v>6.7000000000000002E-3</v>
      </c>
      <c r="E28" s="31">
        <v>0.1026</v>
      </c>
      <c r="F28" s="31">
        <v>2.7000000000000001E-3</v>
      </c>
      <c r="G28" s="31">
        <v>6.3299999999999995E-2</v>
      </c>
      <c r="H28" s="31">
        <v>2.7000000000000001E-3</v>
      </c>
      <c r="I28" s="30"/>
      <c r="J28" s="30"/>
      <c r="K28" s="30"/>
      <c r="L28" s="30"/>
      <c r="M28" s="30" t="s">
        <v>126</v>
      </c>
      <c r="N28" s="30"/>
      <c r="O28" t="s">
        <v>151</v>
      </c>
      <c r="P28" t="s">
        <v>4647</v>
      </c>
    </row>
    <row r="29" spans="1:16" x14ac:dyDescent="0.3">
      <c r="A29" s="29" t="s">
        <v>15</v>
      </c>
      <c r="B29" s="30">
        <v>28</v>
      </c>
      <c r="C29" s="31">
        <v>36.466700000000003</v>
      </c>
      <c r="D29" s="31">
        <v>6.2675999999999998</v>
      </c>
      <c r="E29" s="31">
        <v>39.303400000000003</v>
      </c>
      <c r="F29" s="31">
        <v>7.0613000000000001</v>
      </c>
      <c r="G29" s="31">
        <v>33.520699999999998</v>
      </c>
      <c r="H29" s="31">
        <v>4.6557000000000004</v>
      </c>
      <c r="I29" s="30"/>
      <c r="J29" s="30"/>
      <c r="K29" s="30"/>
      <c r="L29" s="30"/>
      <c r="M29" s="30" t="s">
        <v>126</v>
      </c>
      <c r="N29" s="30"/>
      <c r="O29" t="s">
        <v>152</v>
      </c>
      <c r="P29" t="s">
        <v>4648</v>
      </c>
    </row>
    <row r="30" spans="1:16" x14ac:dyDescent="0.3">
      <c r="A30" s="29" t="s">
        <v>15</v>
      </c>
      <c r="B30" s="30">
        <v>29</v>
      </c>
      <c r="C30" s="31"/>
      <c r="D30" s="31"/>
      <c r="E30" s="31"/>
      <c r="F30" s="31"/>
      <c r="G30" s="31"/>
      <c r="H30" s="31"/>
      <c r="I30" s="30"/>
      <c r="J30" s="30"/>
      <c r="K30" s="30"/>
      <c r="L30" s="30"/>
      <c r="M30" s="30"/>
      <c r="N30" s="30"/>
    </row>
    <row r="31" spans="1:16" x14ac:dyDescent="0.3">
      <c r="A31" s="29" t="s">
        <v>15</v>
      </c>
      <c r="B31" s="30">
        <v>30</v>
      </c>
      <c r="C31" s="31"/>
      <c r="D31" s="31"/>
      <c r="E31" s="31"/>
      <c r="F31" s="31"/>
      <c r="G31" s="31"/>
      <c r="H31" s="31"/>
      <c r="I31" s="30"/>
      <c r="J31" s="30"/>
      <c r="K31" s="30"/>
      <c r="L31" s="30"/>
      <c r="M31" s="30"/>
      <c r="N31" s="30"/>
    </row>
    <row r="32" spans="1:16" x14ac:dyDescent="0.3">
      <c r="A32" s="29" t="s">
        <v>15</v>
      </c>
      <c r="B32" s="30">
        <v>31</v>
      </c>
      <c r="C32" s="31"/>
      <c r="D32" s="31"/>
      <c r="E32" s="31"/>
      <c r="F32" s="31"/>
      <c r="G32" s="31"/>
      <c r="H32" s="31"/>
      <c r="I32" s="30"/>
      <c r="J32" s="30"/>
      <c r="K32" s="30"/>
      <c r="L32" s="30"/>
      <c r="M32" s="30"/>
      <c r="N32" s="30"/>
    </row>
    <row r="33" spans="1:14" x14ac:dyDescent="0.3">
      <c r="A33" s="29" t="s">
        <v>15</v>
      </c>
      <c r="B33" s="30">
        <v>32</v>
      </c>
      <c r="C33" s="31"/>
      <c r="D33" s="31"/>
      <c r="E33" s="31"/>
      <c r="F33" s="31"/>
      <c r="G33" s="31"/>
      <c r="H33" s="31"/>
      <c r="I33" s="30"/>
      <c r="J33" s="30"/>
      <c r="K33" s="30"/>
      <c r="L33" s="30"/>
      <c r="M33" s="30"/>
      <c r="N33" s="30"/>
    </row>
    <row r="34" spans="1:14" x14ac:dyDescent="0.3">
      <c r="A34" s="29" t="s">
        <v>15</v>
      </c>
      <c r="B34" s="30">
        <v>33</v>
      </c>
      <c r="C34" s="31"/>
      <c r="D34" s="31"/>
      <c r="E34" s="31"/>
      <c r="F34" s="31"/>
      <c r="G34" s="31"/>
      <c r="H34" s="31"/>
      <c r="I34" s="30"/>
      <c r="J34" s="30"/>
      <c r="K34" s="30"/>
      <c r="L34" s="30"/>
      <c r="M34" s="30"/>
      <c r="N34" s="30"/>
    </row>
    <row r="35" spans="1:14" x14ac:dyDescent="0.3">
      <c r="A35" s="29" t="s">
        <v>15</v>
      </c>
      <c r="B35" s="30">
        <v>34</v>
      </c>
      <c r="C35" s="31"/>
      <c r="D35" s="31"/>
      <c r="E35" s="31"/>
      <c r="F35" s="31"/>
      <c r="G35" s="31"/>
      <c r="H35" s="31"/>
      <c r="I35" s="30"/>
      <c r="J35" s="30"/>
      <c r="K35" s="30"/>
      <c r="L35" s="30"/>
      <c r="M35" s="30"/>
      <c r="N35" s="30"/>
    </row>
    <row r="36" spans="1:14" x14ac:dyDescent="0.3">
      <c r="A36" s="29" t="s">
        <v>15</v>
      </c>
      <c r="B36" s="30">
        <v>35</v>
      </c>
      <c r="C36" s="31"/>
      <c r="D36" s="31"/>
      <c r="E36" s="31"/>
      <c r="F36" s="31"/>
      <c r="G36" s="31"/>
      <c r="H36" s="31"/>
      <c r="I36" s="30"/>
      <c r="J36" s="30"/>
      <c r="K36" s="30"/>
      <c r="L36" s="30"/>
      <c r="M36" s="30"/>
      <c r="N36" s="30"/>
    </row>
    <row r="37" spans="1:14" x14ac:dyDescent="0.3">
      <c r="A37" s="29" t="s">
        <v>15</v>
      </c>
      <c r="B37" s="30">
        <v>36</v>
      </c>
      <c r="C37" s="31"/>
      <c r="D37" s="31"/>
      <c r="E37" s="31"/>
      <c r="F37" s="31"/>
      <c r="G37" s="31"/>
      <c r="H37" s="31"/>
      <c r="I37" s="30"/>
      <c r="J37" s="30"/>
      <c r="K37" s="30"/>
      <c r="L37" s="30"/>
      <c r="M37" s="30"/>
      <c r="N37" s="30"/>
    </row>
    <row r="38" spans="1:14" x14ac:dyDescent="0.3">
      <c r="A38" s="29" t="s">
        <v>15</v>
      </c>
      <c r="B38" s="30">
        <v>37</v>
      </c>
      <c r="C38" s="31"/>
      <c r="D38" s="31"/>
      <c r="E38" s="31"/>
      <c r="F38" s="31"/>
      <c r="G38" s="31"/>
      <c r="H38" s="31"/>
      <c r="I38" s="30"/>
      <c r="J38" s="30"/>
      <c r="K38" s="30"/>
      <c r="L38" s="30"/>
      <c r="M38" s="30"/>
      <c r="N38" s="30"/>
    </row>
    <row r="39" spans="1:14" x14ac:dyDescent="0.3">
      <c r="A39" s="29" t="s">
        <v>15</v>
      </c>
      <c r="B39" s="30">
        <v>38</v>
      </c>
      <c r="C39" s="31"/>
      <c r="D39" s="31"/>
      <c r="E39" s="31"/>
      <c r="F39" s="31"/>
      <c r="G39" s="31"/>
      <c r="H39" s="31"/>
      <c r="I39" s="30"/>
      <c r="J39" s="30"/>
      <c r="K39" s="30"/>
      <c r="L39" s="30"/>
      <c r="M39" s="30"/>
      <c r="N39" s="30"/>
    </row>
    <row r="40" spans="1:14" x14ac:dyDescent="0.3">
      <c r="A40" s="29" t="s">
        <v>15</v>
      </c>
      <c r="B40" s="30">
        <v>39</v>
      </c>
      <c r="C40" s="31"/>
      <c r="D40" s="31"/>
      <c r="E40" s="31"/>
      <c r="F40" s="31"/>
      <c r="G40" s="31"/>
      <c r="H40" s="31"/>
      <c r="I40" s="30"/>
      <c r="J40" s="30"/>
      <c r="K40" s="30"/>
      <c r="L40" s="30"/>
      <c r="M40" s="30"/>
      <c r="N40" s="30"/>
    </row>
    <row r="41" spans="1:14" x14ac:dyDescent="0.3">
      <c r="A41" s="29" t="s">
        <v>15</v>
      </c>
      <c r="B41" s="30">
        <v>40</v>
      </c>
      <c r="C41" s="31"/>
      <c r="D41" s="31"/>
      <c r="E41" s="31"/>
      <c r="F41" s="31"/>
      <c r="G41" s="31"/>
      <c r="H41" s="31"/>
      <c r="I41" s="30"/>
      <c r="J41" s="30"/>
      <c r="K41" s="30"/>
      <c r="L41" s="30"/>
      <c r="M41" s="30"/>
      <c r="N41" s="30"/>
    </row>
  </sheetData>
  <sheetProtection algorithmName="SHA-512" hashValue="hHoER9lNpEjJvgBGYxvgs0EC9IoRRifBHqHpV+n7g/4vlcuQDZytMrJ6hUfIawwnE/BN9DSp5oogRwqTN1sCMQ==" saltValue="pSEyK7crr7PhspDlY4r/zw==" spinCount="100000" sheet="1" scenarios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69" t="s">
        <v>167</v>
      </c>
      <c r="B1" s="166"/>
      <c r="C1" s="166"/>
      <c r="D1" s="166"/>
      <c r="E1" s="166"/>
      <c r="F1" s="166"/>
      <c r="H1" s="32"/>
      <c r="K1" s="181" t="s">
        <v>168</v>
      </c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D1" s="33" t="s">
        <v>169</v>
      </c>
    </row>
    <row r="2" spans="1:56" ht="19.95" customHeight="1" x14ac:dyDescent="0.3">
      <c r="A2" s="168" t="s">
        <v>170</v>
      </c>
      <c r="B2" s="166"/>
      <c r="C2" s="166"/>
      <c r="D2" s="166"/>
      <c r="E2" s="166"/>
      <c r="F2" s="166"/>
      <c r="H2" s="179" t="s">
        <v>171</v>
      </c>
      <c r="I2" s="166"/>
      <c r="J2" s="166"/>
      <c r="K2" s="180" t="s">
        <v>172</v>
      </c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D2" s="4" t="str">
        <f>IF(Configuração!$C$26="","",("QC-"&amp;Configuração!$C$26&amp;TEXT(1,"00")))</f>
        <v>QC-52261101</v>
      </c>
    </row>
    <row r="3" spans="1:56" ht="28.2" customHeight="1" x14ac:dyDescent="0.3">
      <c r="A3" s="15" t="s">
        <v>353</v>
      </c>
      <c r="B3" s="15" t="s">
        <v>173</v>
      </c>
      <c r="C3" s="15" t="s">
        <v>174</v>
      </c>
      <c r="D3" s="15" t="s">
        <v>153</v>
      </c>
      <c r="E3" s="15" t="s">
        <v>88</v>
      </c>
      <c r="F3" s="15" t="s">
        <v>354</v>
      </c>
      <c r="G3" s="15" t="s">
        <v>264</v>
      </c>
      <c r="K3" s="8" t="s">
        <v>173</v>
      </c>
      <c r="L3" s="8" t="s">
        <v>174</v>
      </c>
      <c r="M3" s="16" t="str">
        <f>IF(Analitos!$A4="","",Analitos!$A4)</f>
        <v>WBC</v>
      </c>
      <c r="N3" s="16" t="str">
        <f>IF(Analitos!$A5="","",Analitos!$A5)</f>
        <v>RBC</v>
      </c>
      <c r="O3" s="16" t="str">
        <f>IF(Analitos!$A6="","",Analitos!$A6)</f>
        <v>HGB</v>
      </c>
      <c r="P3" s="16" t="str">
        <f>IF(Analitos!$A7="","",Analitos!$A7)</f>
        <v>HCT</v>
      </c>
      <c r="Q3" s="16" t="str">
        <f>IF(Analitos!$A8="","",Analitos!$A8)</f>
        <v>MCV</v>
      </c>
      <c r="R3" s="16" t="str">
        <f>IF(Analitos!$A9="","",Analitos!$A9)</f>
        <v>MCH</v>
      </c>
      <c r="S3" s="16" t="str">
        <f>IF(Analitos!$A10="","",Analitos!$A10)</f>
        <v>MCHC</v>
      </c>
      <c r="T3" s="16" t="str">
        <f>IF(Analitos!$A11="","",Analitos!$A11)</f>
        <v>PLT</v>
      </c>
      <c r="U3" s="16" t="str">
        <f>IF(Analitos!$A12="","",Analitos!$A12)</f>
        <v>NEUT%</v>
      </c>
      <c r="V3" s="16" t="str">
        <f>IF(Analitos!$A13="","",Analitos!$A13)</f>
        <v>LYMPH%</v>
      </c>
      <c r="W3" s="16" t="str">
        <f>IF(Analitos!$A14="","",Analitos!$A14)</f>
        <v>MONO%</v>
      </c>
      <c r="X3" s="16" t="str">
        <f>IF(Analitos!$A15="","",Analitos!$A15)</f>
        <v>EO%</v>
      </c>
      <c r="Y3" s="16" t="str">
        <f>IF(Analitos!$A16="","",Analitos!$A16)</f>
        <v>BASO%</v>
      </c>
      <c r="Z3" s="16" t="str">
        <f>IF(Analitos!$A17="","",Analitos!$A17)</f>
        <v>NEUT#</v>
      </c>
      <c r="AA3" s="16" t="str">
        <f>IF(Analitos!$A18="","",Analitos!$A18)</f>
        <v>LYMPH#</v>
      </c>
      <c r="AB3" s="16" t="str">
        <f>IF(Analitos!$A19="","",Analitos!$A19)</f>
        <v>MONO#</v>
      </c>
      <c r="AC3" s="16" t="str">
        <f>IF(Analitos!$A20="","",Analitos!$A20)</f>
        <v>EO#</v>
      </c>
      <c r="AD3" s="16" t="str">
        <f>IF(Analitos!$A21="","",Analitos!$A21)</f>
        <v>BASO#</v>
      </c>
      <c r="AE3" s="16" t="str">
        <f>IF(Analitos!$A22="","",Analitos!$A22)</f>
        <v>IG%</v>
      </c>
      <c r="AF3" s="16" t="str">
        <f>IF(Analitos!$A23="","",Analitos!$A23)</f>
        <v>IG#</v>
      </c>
      <c r="AG3" s="16" t="str">
        <f>IF(Analitos!$A24="","",Analitos!$A24)</f>
        <v>NRBC%</v>
      </c>
      <c r="AH3" s="16" t="str">
        <f>IF(Analitos!$A25="","",Analitos!$A25)</f>
        <v>NRBC#</v>
      </c>
      <c r="AI3" s="16" t="str">
        <f>IF(Analitos!$A26="","",Analitos!$A26)</f>
        <v>RDW-SD</v>
      </c>
      <c r="AJ3" s="16" t="str">
        <f>IF(Analitos!$A27="","",Analitos!$A27)</f>
        <v>RDW-CV</v>
      </c>
      <c r="AK3" s="16" t="str">
        <f>IF(Analitos!$A28="","",Analitos!$A28)</f>
        <v>MPV</v>
      </c>
      <c r="AL3" s="16" t="str">
        <f>IF(Analitos!$A29="","",Analitos!$A29)</f>
        <v>RET%</v>
      </c>
      <c r="AM3" s="16" t="str">
        <f>IF(Analitos!$A30="","",Analitos!$A30)</f>
        <v>RET#</v>
      </c>
      <c r="AN3" s="16" t="str">
        <f>IF(Analitos!$A31="","",Analitos!$A31)</f>
        <v>IRF</v>
      </c>
      <c r="AO3" s="16" t="str">
        <f>IF(Analitos!$A32="","",Analitos!$A32)</f>
        <v/>
      </c>
      <c r="AP3" s="16" t="str">
        <f>IF(Analitos!$A33="","",Analitos!$A33)</f>
        <v/>
      </c>
      <c r="AQ3" s="16" t="str">
        <f>IF(Analitos!$A34="","",Analitos!$A34)</f>
        <v/>
      </c>
      <c r="AR3" s="16" t="str">
        <f>IF(Analitos!$A35="","",Analitos!$A35)</f>
        <v/>
      </c>
      <c r="AS3" s="16" t="str">
        <f>IF(Analitos!$A36="","",Analitos!$A36)</f>
        <v/>
      </c>
      <c r="AT3" s="16" t="str">
        <f>IF(Analitos!$A37="","",Analitos!$A37)</f>
        <v/>
      </c>
      <c r="AU3" s="16" t="str">
        <f>IF(Analitos!$A38="","",Analitos!$A38)</f>
        <v/>
      </c>
      <c r="AV3" s="16" t="str">
        <f>IF(Analitos!$A39="","",Analitos!$A39)</f>
        <v/>
      </c>
      <c r="AW3" s="16" t="str">
        <f>IF(Analitos!$A40="","",Analitos!$A40)</f>
        <v/>
      </c>
      <c r="AX3" s="16" t="str">
        <f>IF(Analitos!$A41="","",Analitos!$A41)</f>
        <v/>
      </c>
      <c r="AY3" s="16" t="str">
        <f>IF(Analitos!$A42="","",Analitos!$A42)</f>
        <v/>
      </c>
      <c r="AZ3" s="16" t="str">
        <f>IF(Analitos!$A43="","",Analitos!$A43)</f>
        <v/>
      </c>
      <c r="BA3" s="33" t="s">
        <v>176</v>
      </c>
      <c r="BB3" s="33" t="s">
        <v>177</v>
      </c>
      <c r="BC3" t="s">
        <v>355</v>
      </c>
      <c r="BD3" s="4" t="str">
        <f>IF(Configuração!$C$26="","",("QC-"&amp;Configuração!$C$26&amp;TEXT(2,"00")))</f>
        <v>QC-52261102</v>
      </c>
    </row>
    <row r="4" spans="1:56" x14ac:dyDescent="0.3">
      <c r="A4" s="63">
        <v>1</v>
      </c>
      <c r="B4" s="65">
        <v>45663</v>
      </c>
      <c r="C4" s="63">
        <v>1</v>
      </c>
      <c r="D4" s="38" t="s">
        <v>178</v>
      </c>
      <c r="E4" s="23" t="s">
        <v>122</v>
      </c>
      <c r="F4" s="39">
        <v>3.0038999999999998</v>
      </c>
      <c r="G4" s="64" t="s">
        <v>352</v>
      </c>
      <c r="H4" s="70"/>
      <c r="K4" s="40">
        <v>46235</v>
      </c>
      <c r="L4" s="39">
        <v>1</v>
      </c>
      <c r="M4" s="39">
        <v>3</v>
      </c>
      <c r="N4" s="39">
        <v>2.2909999999999999</v>
      </c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132" t="s">
        <v>15</v>
      </c>
      <c r="BB4" s="4">
        <v>1</v>
      </c>
      <c r="BC4">
        <v>1</v>
      </c>
      <c r="BD4" s="4" t="str">
        <f>IF(Configuração!$C$26="","",("QC-"&amp;Configuração!$C$26&amp;TEXT(3,"00")))</f>
        <v>QC-52261103</v>
      </c>
    </row>
    <row r="5" spans="1:56" x14ac:dyDescent="0.3">
      <c r="A5" s="63">
        <v>2</v>
      </c>
      <c r="B5" s="65">
        <v>45670</v>
      </c>
      <c r="C5" s="63">
        <v>1</v>
      </c>
      <c r="D5" s="38" t="s">
        <v>178</v>
      </c>
      <c r="E5" s="23" t="s">
        <v>122</v>
      </c>
      <c r="F5" s="39">
        <v>3.0196000000000001</v>
      </c>
      <c r="G5" s="64" t="s">
        <v>352</v>
      </c>
      <c r="H5" s="70"/>
      <c r="K5" s="40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132" t="s">
        <v>15</v>
      </c>
      <c r="BB5" s="4">
        <v>1</v>
      </c>
      <c r="BC5">
        <v>1</v>
      </c>
      <c r="BD5" s="4" t="str">
        <f>IF(Configuração!$C$27="","",("QC-"&amp;Configuração!$C$27&amp;TEXT(1,"00")))</f>
        <v/>
      </c>
    </row>
    <row r="6" spans="1:56" x14ac:dyDescent="0.3">
      <c r="A6" s="63">
        <v>3</v>
      </c>
      <c r="B6" s="65">
        <v>45677</v>
      </c>
      <c r="C6" s="63">
        <v>1</v>
      </c>
      <c r="D6" s="38" t="s">
        <v>178</v>
      </c>
      <c r="E6" s="23" t="s">
        <v>122</v>
      </c>
      <c r="F6" s="39">
        <v>2.9893000000000001</v>
      </c>
      <c r="G6" s="64" t="s">
        <v>352</v>
      </c>
      <c r="H6" s="70"/>
      <c r="K6" s="40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132" t="s">
        <v>15</v>
      </c>
      <c r="BB6" s="4">
        <v>1</v>
      </c>
      <c r="BC6">
        <v>1</v>
      </c>
      <c r="BD6" s="4" t="str">
        <f>IF(Configuração!$C$27="","",("QC-"&amp;Configuração!$C$27&amp;TEXT(2,"00")))</f>
        <v/>
      </c>
    </row>
    <row r="7" spans="1:56" x14ac:dyDescent="0.3">
      <c r="A7" s="63">
        <v>4</v>
      </c>
      <c r="B7" s="65">
        <v>45684</v>
      </c>
      <c r="C7" s="63">
        <v>1</v>
      </c>
      <c r="D7" s="38" t="s">
        <v>178</v>
      </c>
      <c r="E7" s="23" t="s">
        <v>122</v>
      </c>
      <c r="F7" s="39">
        <v>2.9567000000000001</v>
      </c>
      <c r="G7" s="64" t="s">
        <v>352</v>
      </c>
      <c r="H7" s="70"/>
      <c r="K7" s="40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132" t="s">
        <v>15</v>
      </c>
      <c r="BB7" s="4">
        <v>1</v>
      </c>
      <c r="BC7">
        <v>1</v>
      </c>
      <c r="BD7" s="4" t="str">
        <f>IF(Configuração!$C$27="","",("QC-"&amp;Configuração!$C$27&amp;TEXT(3,"00")))</f>
        <v/>
      </c>
    </row>
    <row r="8" spans="1:56" x14ac:dyDescent="0.3">
      <c r="A8" s="63">
        <v>5</v>
      </c>
      <c r="B8" s="65">
        <v>45691</v>
      </c>
      <c r="C8" s="63">
        <v>1</v>
      </c>
      <c r="D8" s="38" t="s">
        <v>178</v>
      </c>
      <c r="E8" s="23" t="s">
        <v>122</v>
      </c>
      <c r="F8" s="39">
        <v>2.9798</v>
      </c>
      <c r="G8" s="64" t="s">
        <v>352</v>
      </c>
      <c r="H8" s="70"/>
      <c r="K8" s="40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132" t="s">
        <v>15</v>
      </c>
      <c r="BB8" s="4">
        <v>1</v>
      </c>
      <c r="BC8">
        <v>1</v>
      </c>
      <c r="BD8" s="4" t="str">
        <f>IF(Configuração!$C$28="","",("QC-"&amp;Configuração!$C$28&amp;TEXT(1,"00")))</f>
        <v/>
      </c>
    </row>
    <row r="9" spans="1:56" x14ac:dyDescent="0.3">
      <c r="A9" s="63">
        <v>6</v>
      </c>
      <c r="B9" s="65">
        <v>45698</v>
      </c>
      <c r="C9" s="63">
        <v>1</v>
      </c>
      <c r="D9" s="38" t="s">
        <v>178</v>
      </c>
      <c r="E9" s="23" t="s">
        <v>122</v>
      </c>
      <c r="F9" s="39">
        <v>2.9514</v>
      </c>
      <c r="G9" s="64" t="s">
        <v>352</v>
      </c>
      <c r="H9" s="70"/>
      <c r="K9" s="40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132" t="s">
        <v>15</v>
      </c>
      <c r="BB9" s="4">
        <v>1</v>
      </c>
      <c r="BC9">
        <v>1</v>
      </c>
      <c r="BD9" s="4" t="str">
        <f>IF(Configuração!$C$28="","",("QC-"&amp;Configuração!$C$28&amp;TEXT(2,"00")))</f>
        <v/>
      </c>
    </row>
    <row r="10" spans="1:56" x14ac:dyDescent="0.3">
      <c r="A10" s="63">
        <v>7</v>
      </c>
      <c r="B10" s="65">
        <v>45705</v>
      </c>
      <c r="C10" s="63">
        <v>1</v>
      </c>
      <c r="D10" s="38" t="s">
        <v>178</v>
      </c>
      <c r="E10" s="23" t="s">
        <v>122</v>
      </c>
      <c r="F10" s="39">
        <v>3.0070000000000001</v>
      </c>
      <c r="G10" s="64" t="s">
        <v>352</v>
      </c>
      <c r="H10" s="70"/>
      <c r="K10" s="40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132" t="s">
        <v>15</v>
      </c>
      <c r="BB10" s="4">
        <v>1</v>
      </c>
      <c r="BC10">
        <v>1</v>
      </c>
      <c r="BD10" s="4" t="str">
        <f>IF(Configuração!$C$28="","",("QC-"&amp;Configuração!$C$28&amp;TEXT(3,"00")))</f>
        <v/>
      </c>
    </row>
    <row r="11" spans="1:56" x14ac:dyDescent="0.3">
      <c r="A11" s="63">
        <v>8</v>
      </c>
      <c r="B11" s="65">
        <v>45712</v>
      </c>
      <c r="C11" s="63">
        <v>1</v>
      </c>
      <c r="D11" s="38" t="s">
        <v>178</v>
      </c>
      <c r="E11" s="23" t="s">
        <v>122</v>
      </c>
      <c r="F11" s="39">
        <v>3.0747</v>
      </c>
      <c r="G11" s="64" t="s">
        <v>352</v>
      </c>
      <c r="H11" s="70"/>
      <c r="K11" s="40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132" t="s">
        <v>15</v>
      </c>
      <c r="BB11" s="4">
        <v>1</v>
      </c>
      <c r="BC11">
        <v>1</v>
      </c>
      <c r="BD11" s="4" t="str">
        <f>IF(Configuração!$C$29="","",("QC-"&amp;Configuração!$C$29&amp;TEXT(1,"00")))</f>
        <v/>
      </c>
    </row>
    <row r="12" spans="1:56" x14ac:dyDescent="0.3">
      <c r="A12" s="63">
        <v>9</v>
      </c>
      <c r="B12" s="65">
        <v>45719</v>
      </c>
      <c r="C12" s="63">
        <v>1</v>
      </c>
      <c r="D12" s="38" t="s">
        <v>178</v>
      </c>
      <c r="E12" s="23" t="s">
        <v>122</v>
      </c>
      <c r="F12" s="39">
        <v>2.9777999999999998</v>
      </c>
      <c r="G12" s="64" t="s">
        <v>352</v>
      </c>
      <c r="H12" s="70"/>
      <c r="K12" s="40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132" t="s">
        <v>15</v>
      </c>
      <c r="BB12" s="4">
        <v>1</v>
      </c>
      <c r="BC12">
        <v>1</v>
      </c>
      <c r="BD12" s="4" t="str">
        <f>IF(Configuração!$C$29="","",("QC-"&amp;Configuração!$C$29&amp;TEXT(2,"00")))</f>
        <v/>
      </c>
    </row>
    <row r="13" spans="1:56" x14ac:dyDescent="0.3">
      <c r="A13" s="63">
        <v>10</v>
      </c>
      <c r="B13" s="65">
        <v>45726</v>
      </c>
      <c r="C13" s="63">
        <v>1</v>
      </c>
      <c r="D13" s="38" t="s">
        <v>178</v>
      </c>
      <c r="E13" s="23" t="s">
        <v>122</v>
      </c>
      <c r="F13" s="39">
        <v>2.9710000000000001</v>
      </c>
      <c r="G13" s="64" t="s">
        <v>352</v>
      </c>
      <c r="H13" s="70"/>
      <c r="K13" s="40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132" t="s">
        <v>15</v>
      </c>
      <c r="BB13" s="4">
        <v>1</v>
      </c>
      <c r="BC13">
        <v>1</v>
      </c>
      <c r="BD13" s="4" t="str">
        <f>IF(Configuração!$C$29="","",("QC-"&amp;Configuração!$C$29&amp;TEXT(3,"00")))</f>
        <v/>
      </c>
    </row>
    <row r="14" spans="1:56" x14ac:dyDescent="0.3">
      <c r="A14" s="63">
        <v>11</v>
      </c>
      <c r="B14" s="65">
        <v>45733</v>
      </c>
      <c r="C14" s="63">
        <v>1</v>
      </c>
      <c r="D14" s="38" t="s">
        <v>178</v>
      </c>
      <c r="E14" s="23" t="s">
        <v>122</v>
      </c>
      <c r="F14" s="39">
        <v>3.0297000000000001</v>
      </c>
      <c r="G14" s="64" t="s">
        <v>352</v>
      </c>
      <c r="H14" s="70"/>
      <c r="K14" s="40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132" t="s">
        <v>15</v>
      </c>
      <c r="BB14" s="4">
        <v>1</v>
      </c>
      <c r="BC14">
        <v>1</v>
      </c>
      <c r="BD14" s="4" t="str">
        <f>IF(Configuração!$C$30="","",("QC-"&amp;Configuração!$C$30&amp;TEXT(1,"00")))</f>
        <v/>
      </c>
    </row>
    <row r="15" spans="1:56" x14ac:dyDescent="0.3">
      <c r="A15" s="63">
        <v>12</v>
      </c>
      <c r="B15" s="65">
        <v>45740</v>
      </c>
      <c r="C15" s="63">
        <v>1</v>
      </c>
      <c r="D15" s="38" t="s">
        <v>178</v>
      </c>
      <c r="E15" s="23" t="s">
        <v>122</v>
      </c>
      <c r="F15" s="39">
        <v>3.0226999999999999</v>
      </c>
      <c r="G15" s="64" t="s">
        <v>352</v>
      </c>
      <c r="H15" s="70"/>
      <c r="K15" s="40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132" t="s">
        <v>15</v>
      </c>
      <c r="BB15" s="4">
        <v>1</v>
      </c>
      <c r="BC15">
        <v>1</v>
      </c>
      <c r="BD15" s="4" t="str">
        <f>IF(Configuração!$C$30="","",("QC-"&amp;Configuração!$C$30&amp;TEXT(2,"00")))</f>
        <v/>
      </c>
    </row>
    <row r="16" spans="1:56" x14ac:dyDescent="0.3">
      <c r="A16" s="63">
        <v>13</v>
      </c>
      <c r="B16" s="65">
        <v>45747</v>
      </c>
      <c r="C16" s="63">
        <v>1</v>
      </c>
      <c r="D16" s="38" t="s">
        <v>178</v>
      </c>
      <c r="E16" s="23" t="s">
        <v>122</v>
      </c>
      <c r="F16" s="39">
        <v>3.0093999999999999</v>
      </c>
      <c r="G16" s="64" t="s">
        <v>352</v>
      </c>
      <c r="H16" s="70"/>
      <c r="K16" s="40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132" t="s">
        <v>15</v>
      </c>
      <c r="BB16" s="4">
        <v>1</v>
      </c>
      <c r="BC16">
        <v>1</v>
      </c>
      <c r="BD16" s="4" t="str">
        <f>IF(Configuração!$C$30="","",("QC-"&amp;Configuração!$C$30&amp;TEXT(3,"00")))</f>
        <v/>
      </c>
    </row>
    <row r="17" spans="1:56" x14ac:dyDescent="0.3">
      <c r="A17" s="63">
        <v>14</v>
      </c>
      <c r="B17" s="65">
        <v>45754</v>
      </c>
      <c r="C17" s="63">
        <v>1</v>
      </c>
      <c r="D17" s="38" t="s">
        <v>178</v>
      </c>
      <c r="E17" s="23" t="s">
        <v>122</v>
      </c>
      <c r="F17" s="39">
        <v>2.9546000000000001</v>
      </c>
      <c r="G17" s="64" t="s">
        <v>352</v>
      </c>
      <c r="H17" s="70"/>
      <c r="K17" s="40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132" t="s">
        <v>15</v>
      </c>
      <c r="BB17" s="4">
        <v>1</v>
      </c>
      <c r="BC17">
        <v>1</v>
      </c>
      <c r="BD17" s="4" t="str">
        <f>IF(Configuração!$C$31="","",("QC-"&amp;Configuração!$C$31&amp;TEXT(1,"00")))</f>
        <v/>
      </c>
    </row>
    <row r="18" spans="1:56" x14ac:dyDescent="0.3">
      <c r="A18" s="63">
        <v>15</v>
      </c>
      <c r="B18" s="65">
        <v>45761</v>
      </c>
      <c r="C18" s="63">
        <v>1</v>
      </c>
      <c r="D18" s="38" t="s">
        <v>178</v>
      </c>
      <c r="E18" s="23" t="s">
        <v>122</v>
      </c>
      <c r="F18" s="39">
        <v>3.1254</v>
      </c>
      <c r="G18" s="64" t="s">
        <v>352</v>
      </c>
      <c r="H18" s="70"/>
      <c r="K18" s="40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132" t="s">
        <v>15</v>
      </c>
      <c r="BB18" s="4">
        <v>1</v>
      </c>
      <c r="BC18">
        <v>1</v>
      </c>
      <c r="BD18" s="4" t="str">
        <f>IF(Configuração!$C$31="","",("QC-"&amp;Configuração!$C$31&amp;TEXT(2,"00")))</f>
        <v/>
      </c>
    </row>
    <row r="19" spans="1:56" x14ac:dyDescent="0.3">
      <c r="A19" s="63">
        <v>16</v>
      </c>
      <c r="B19" s="65">
        <v>45768</v>
      </c>
      <c r="C19" s="63">
        <v>1</v>
      </c>
      <c r="D19" s="38" t="s">
        <v>178</v>
      </c>
      <c r="E19" s="23" t="s">
        <v>122</v>
      </c>
      <c r="F19" s="39">
        <v>3.0406</v>
      </c>
      <c r="G19" s="64" t="s">
        <v>352</v>
      </c>
      <c r="H19" s="70"/>
      <c r="K19" s="40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132" t="s">
        <v>15</v>
      </c>
      <c r="BB19" s="4">
        <v>1</v>
      </c>
      <c r="BC19">
        <v>1</v>
      </c>
      <c r="BD19" s="4" t="str">
        <f>IF(Configuração!$C$31="","",("QC-"&amp;Configuração!$C$31&amp;TEXT(3,"00")))</f>
        <v/>
      </c>
    </row>
    <row r="20" spans="1:56" x14ac:dyDescent="0.3">
      <c r="A20" s="63">
        <v>17</v>
      </c>
      <c r="B20" s="65">
        <v>45775</v>
      </c>
      <c r="C20" s="63">
        <v>1</v>
      </c>
      <c r="D20" s="38" t="s">
        <v>178</v>
      </c>
      <c r="E20" s="23" t="s">
        <v>122</v>
      </c>
      <c r="F20" s="39">
        <v>2.9327000000000001</v>
      </c>
      <c r="G20" s="64" t="s">
        <v>352</v>
      </c>
      <c r="H20" s="70"/>
      <c r="K20" s="40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132" t="s">
        <v>15</v>
      </c>
      <c r="BB20" s="4">
        <v>1</v>
      </c>
      <c r="BC20">
        <v>1</v>
      </c>
      <c r="BD20" s="4" t="str">
        <f>IF(Configuração!$C$32="","",("QC-"&amp;Configuração!$C$32&amp;TEXT(1,"00")))</f>
        <v/>
      </c>
    </row>
    <row r="21" spans="1:56" x14ac:dyDescent="0.3">
      <c r="A21" s="63">
        <v>18</v>
      </c>
      <c r="B21" s="65">
        <v>45782</v>
      </c>
      <c r="C21" s="63">
        <v>1</v>
      </c>
      <c r="D21" s="38" t="s">
        <v>178</v>
      </c>
      <c r="E21" s="23" t="s">
        <v>122</v>
      </c>
      <c r="F21" s="39">
        <v>3.1307</v>
      </c>
      <c r="G21" s="64" t="s">
        <v>352</v>
      </c>
      <c r="H21" s="70"/>
      <c r="K21" s="40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132" t="s">
        <v>15</v>
      </c>
      <c r="BB21" s="4">
        <v>1</v>
      </c>
      <c r="BC21">
        <v>1</v>
      </c>
      <c r="BD21" s="4" t="str">
        <f>IF(Configuração!$C$32="","",("QC-"&amp;Configuração!$C$32&amp;TEXT(2,"00")))</f>
        <v/>
      </c>
    </row>
    <row r="22" spans="1:56" x14ac:dyDescent="0.3">
      <c r="A22" s="63">
        <v>19</v>
      </c>
      <c r="B22" s="65">
        <v>45789</v>
      </c>
      <c r="C22" s="63">
        <v>1</v>
      </c>
      <c r="D22" s="38" t="s">
        <v>178</v>
      </c>
      <c r="E22" s="23" t="s">
        <v>122</v>
      </c>
      <c r="F22" s="39">
        <v>2.9033000000000002</v>
      </c>
      <c r="G22" s="64" t="s">
        <v>352</v>
      </c>
      <c r="H22" s="70"/>
      <c r="K22" s="40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132" t="s">
        <v>15</v>
      </c>
      <c r="BB22" s="4">
        <v>1</v>
      </c>
      <c r="BC22">
        <v>1</v>
      </c>
      <c r="BD22" s="4" t="str">
        <f>IF(Configuração!$C$32="","",("QC-"&amp;Configuração!$C$32&amp;TEXT(3,"00")))</f>
        <v/>
      </c>
    </row>
    <row r="23" spans="1:56" x14ac:dyDescent="0.3">
      <c r="A23" s="63">
        <v>20</v>
      </c>
      <c r="B23" s="65">
        <v>45796</v>
      </c>
      <c r="C23" s="63">
        <v>1</v>
      </c>
      <c r="D23" s="38" t="s">
        <v>178</v>
      </c>
      <c r="E23" s="23" t="s">
        <v>122</v>
      </c>
      <c r="F23" s="39">
        <v>3.1941000000000002</v>
      </c>
      <c r="G23" s="64" t="s">
        <v>352</v>
      </c>
      <c r="H23" s="70"/>
      <c r="K23" s="40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132" t="s">
        <v>15</v>
      </c>
      <c r="BB23" s="4">
        <v>1</v>
      </c>
      <c r="BC23">
        <v>1</v>
      </c>
      <c r="BD23" s="4" t="str">
        <f>IF(Configuração!$C$33="","",("QC-"&amp;Configuração!$C$33&amp;TEXT(1,"00")))</f>
        <v/>
      </c>
    </row>
    <row r="24" spans="1:56" x14ac:dyDescent="0.3">
      <c r="A24" s="63">
        <v>21</v>
      </c>
      <c r="B24" s="65">
        <v>45803</v>
      </c>
      <c r="C24" s="63">
        <v>1</v>
      </c>
      <c r="D24" s="38" t="s">
        <v>178</v>
      </c>
      <c r="E24" s="23" t="s">
        <v>122</v>
      </c>
      <c r="F24" s="39">
        <v>2.9064000000000001</v>
      </c>
      <c r="G24" s="64" t="s">
        <v>352</v>
      </c>
      <c r="H24" s="70"/>
      <c r="K24" s="40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132" t="s">
        <v>15</v>
      </c>
      <c r="BB24" s="4">
        <v>1</v>
      </c>
      <c r="BC24">
        <v>1</v>
      </c>
      <c r="BD24" s="4" t="str">
        <f>IF(Configuração!$C$33="","",("QC-"&amp;Configuração!$C$33&amp;TEXT(2,"00")))</f>
        <v/>
      </c>
    </row>
    <row r="25" spans="1:56" x14ac:dyDescent="0.3">
      <c r="A25" s="63">
        <v>22</v>
      </c>
      <c r="B25" s="65">
        <v>45810</v>
      </c>
      <c r="C25" s="63">
        <v>1</v>
      </c>
      <c r="D25" s="38" t="s">
        <v>178</v>
      </c>
      <c r="E25" s="23" t="s">
        <v>122</v>
      </c>
      <c r="F25" s="39">
        <v>2.9914000000000001</v>
      </c>
      <c r="G25" s="64" t="s">
        <v>352</v>
      </c>
      <c r="H25" s="70"/>
      <c r="K25" s="40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132" t="s">
        <v>15</v>
      </c>
      <c r="BB25" s="4">
        <v>1</v>
      </c>
      <c r="BC25">
        <v>1</v>
      </c>
      <c r="BD25" s="4" t="str">
        <f>IF(Configuração!$C$33="","",("QC-"&amp;Configuração!$C$33&amp;TEXT(3,"00")))</f>
        <v/>
      </c>
    </row>
    <row r="26" spans="1:56" x14ac:dyDescent="0.3">
      <c r="A26" s="63">
        <v>23</v>
      </c>
      <c r="B26" s="65">
        <v>45817</v>
      </c>
      <c r="C26" s="63">
        <v>1</v>
      </c>
      <c r="D26" s="38" t="s">
        <v>178</v>
      </c>
      <c r="E26" s="23" t="s">
        <v>122</v>
      </c>
      <c r="F26" s="39">
        <v>2.9367999999999999</v>
      </c>
      <c r="G26" s="64" t="s">
        <v>352</v>
      </c>
      <c r="H26" s="70"/>
      <c r="K26" s="40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132" t="s">
        <v>15</v>
      </c>
      <c r="BB26" s="4">
        <v>1</v>
      </c>
      <c r="BC26">
        <v>1</v>
      </c>
      <c r="BD26" s="4" t="str">
        <f>IF(Configuração!$C$34="","",("QC-"&amp;Configuração!$C$34&amp;TEXT(1,"00")))</f>
        <v/>
      </c>
    </row>
    <row r="27" spans="1:56" x14ac:dyDescent="0.3">
      <c r="A27" s="63">
        <v>24</v>
      </c>
      <c r="B27" s="65">
        <v>45824</v>
      </c>
      <c r="C27" s="63">
        <v>1</v>
      </c>
      <c r="D27" s="38" t="s">
        <v>178</v>
      </c>
      <c r="E27" s="23" t="s">
        <v>122</v>
      </c>
      <c r="F27" s="39">
        <v>3.0181</v>
      </c>
      <c r="G27" s="64" t="s">
        <v>352</v>
      </c>
      <c r="H27" s="70"/>
      <c r="K27" s="40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132" t="s">
        <v>15</v>
      </c>
      <c r="BB27" s="4">
        <v>1</v>
      </c>
      <c r="BC27">
        <v>1</v>
      </c>
      <c r="BD27" s="4" t="str">
        <f>IF(Configuração!$C$34="","",("QC-"&amp;Configuração!$C$34&amp;TEXT(2,"00")))</f>
        <v/>
      </c>
    </row>
    <row r="28" spans="1:56" x14ac:dyDescent="0.3">
      <c r="A28" s="63">
        <v>25</v>
      </c>
      <c r="B28" s="65">
        <v>45831</v>
      </c>
      <c r="C28" s="63">
        <v>1</v>
      </c>
      <c r="D28" s="38" t="s">
        <v>178</v>
      </c>
      <c r="E28" s="23" t="s">
        <v>122</v>
      </c>
      <c r="F28" s="39">
        <v>3.0121000000000002</v>
      </c>
      <c r="G28" s="64" t="s">
        <v>352</v>
      </c>
      <c r="H28" s="70"/>
      <c r="K28" s="40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132" t="s">
        <v>15</v>
      </c>
      <c r="BB28" s="4">
        <v>1</v>
      </c>
      <c r="BC28">
        <v>1</v>
      </c>
      <c r="BD28" s="4" t="str">
        <f>IF(Configuração!$C$34="","",("QC-"&amp;Configuração!$C$34&amp;TEXT(3,"00")))</f>
        <v/>
      </c>
    </row>
    <row r="29" spans="1:56" x14ac:dyDescent="0.3">
      <c r="A29" s="63">
        <v>1</v>
      </c>
      <c r="B29" s="65">
        <v>45663</v>
      </c>
      <c r="C29" s="63">
        <v>2</v>
      </c>
      <c r="D29" s="38" t="s">
        <v>179</v>
      </c>
      <c r="E29" s="23" t="s">
        <v>122</v>
      </c>
      <c r="F29" s="39">
        <v>6.7881</v>
      </c>
      <c r="G29" s="64" t="s">
        <v>352</v>
      </c>
      <c r="H29" s="70"/>
      <c r="K29" s="40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132" t="s">
        <v>15</v>
      </c>
      <c r="BB29" s="4">
        <v>0</v>
      </c>
      <c r="BC29">
        <v>0</v>
      </c>
      <c r="BD29" s="4" t="str">
        <f>IF(Configuração!$C$35="","",("QC-"&amp;Configuração!$C$35&amp;TEXT(1,"00")))</f>
        <v/>
      </c>
    </row>
    <row r="30" spans="1:56" x14ac:dyDescent="0.3">
      <c r="A30" s="63">
        <v>2</v>
      </c>
      <c r="B30" s="65">
        <v>45670</v>
      </c>
      <c r="C30" s="63">
        <v>2</v>
      </c>
      <c r="D30" s="38" t="s">
        <v>179</v>
      </c>
      <c r="E30" s="23" t="s">
        <v>122</v>
      </c>
      <c r="F30" s="39">
        <v>6.5757000000000003</v>
      </c>
      <c r="G30" s="64" t="s">
        <v>352</v>
      </c>
      <c r="H30" s="70"/>
      <c r="K30" s="40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132" t="s">
        <v>15</v>
      </c>
      <c r="BB30" s="4">
        <v>0</v>
      </c>
      <c r="BC30">
        <v>0</v>
      </c>
      <c r="BD30" s="4" t="str">
        <f>IF(Configuração!$C$35="","",("QC-"&amp;Configuração!$C$35&amp;TEXT(2,"00")))</f>
        <v/>
      </c>
    </row>
    <row r="31" spans="1:56" x14ac:dyDescent="0.3">
      <c r="A31" s="63">
        <v>3</v>
      </c>
      <c r="B31" s="65">
        <v>45677</v>
      </c>
      <c r="C31" s="63">
        <v>2</v>
      </c>
      <c r="D31" s="38" t="s">
        <v>179</v>
      </c>
      <c r="E31" s="23" t="s">
        <v>122</v>
      </c>
      <c r="F31" s="39">
        <v>6.7561</v>
      </c>
      <c r="G31" s="64" t="s">
        <v>352</v>
      </c>
      <c r="H31" s="70"/>
      <c r="K31" s="4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132" t="s">
        <v>15</v>
      </c>
      <c r="BB31" s="4">
        <v>0</v>
      </c>
      <c r="BC31">
        <v>0</v>
      </c>
      <c r="BD31" s="4" t="str">
        <f>IF(Configuração!$C$35="","",("QC-"&amp;Configuração!$C$35&amp;TEXT(3,"00")))</f>
        <v/>
      </c>
    </row>
    <row r="32" spans="1:56" x14ac:dyDescent="0.3">
      <c r="A32" s="63">
        <v>4</v>
      </c>
      <c r="B32" s="65">
        <v>45684</v>
      </c>
      <c r="C32" s="63">
        <v>2</v>
      </c>
      <c r="D32" s="38" t="s">
        <v>179</v>
      </c>
      <c r="E32" s="23" t="s">
        <v>122</v>
      </c>
      <c r="F32" s="39">
        <v>6.8007999999999997</v>
      </c>
      <c r="G32" s="64" t="s">
        <v>352</v>
      </c>
      <c r="H32" s="70"/>
      <c r="K32" s="40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132" t="s">
        <v>15</v>
      </c>
      <c r="BB32" s="4">
        <v>0</v>
      </c>
      <c r="BC32">
        <v>0</v>
      </c>
      <c r="BD32" s="4" t="str">
        <f>IF(Configuração!$C$36="","",("QC-"&amp;Configuração!$C$36&amp;TEXT(1,"00")))</f>
        <v/>
      </c>
    </row>
    <row r="33" spans="1:56" x14ac:dyDescent="0.3">
      <c r="A33" s="63">
        <v>5</v>
      </c>
      <c r="B33" s="65">
        <v>45691</v>
      </c>
      <c r="C33" s="63">
        <v>2</v>
      </c>
      <c r="D33" s="38" t="s">
        <v>179</v>
      </c>
      <c r="E33" s="23" t="s">
        <v>122</v>
      </c>
      <c r="F33" s="39">
        <v>6.8429000000000002</v>
      </c>
      <c r="G33" s="64" t="s">
        <v>352</v>
      </c>
      <c r="H33" s="70"/>
      <c r="K33" s="40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132" t="s">
        <v>15</v>
      </c>
      <c r="BB33" s="4">
        <v>0</v>
      </c>
      <c r="BC33">
        <v>0</v>
      </c>
      <c r="BD33" s="4" t="str">
        <f>IF(Configuração!$C$36="","",("QC-"&amp;Configuração!$C$36&amp;TEXT(2,"00")))</f>
        <v/>
      </c>
    </row>
    <row r="34" spans="1:56" x14ac:dyDescent="0.3">
      <c r="A34" s="63">
        <v>6</v>
      </c>
      <c r="B34" s="65">
        <v>45698</v>
      </c>
      <c r="C34" s="63">
        <v>2</v>
      </c>
      <c r="D34" s="38" t="s">
        <v>179</v>
      </c>
      <c r="E34" s="23" t="s">
        <v>122</v>
      </c>
      <c r="F34" s="39">
        <v>6.9720000000000004</v>
      </c>
      <c r="G34" s="64" t="s">
        <v>352</v>
      </c>
      <c r="H34" s="70"/>
      <c r="K34" s="40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132" t="s">
        <v>15</v>
      </c>
      <c r="BB34" s="4">
        <v>0</v>
      </c>
      <c r="BC34">
        <v>0</v>
      </c>
      <c r="BD34" s="4" t="str">
        <f>IF(Configuração!$C$36="","",("QC-"&amp;Configuração!$C$36&amp;TEXT(3,"00")))</f>
        <v/>
      </c>
    </row>
    <row r="35" spans="1:56" x14ac:dyDescent="0.3">
      <c r="A35" s="63">
        <v>7</v>
      </c>
      <c r="B35" s="65">
        <v>45705</v>
      </c>
      <c r="C35" s="63">
        <v>2</v>
      </c>
      <c r="D35" s="38" t="s">
        <v>179</v>
      </c>
      <c r="E35" s="23" t="s">
        <v>122</v>
      </c>
      <c r="F35" s="39">
        <v>6.8761000000000001</v>
      </c>
      <c r="G35" s="64" t="s">
        <v>352</v>
      </c>
      <c r="H35" s="70"/>
      <c r="K35" s="40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132" t="s">
        <v>15</v>
      </c>
      <c r="BB35" s="4">
        <v>0</v>
      </c>
      <c r="BC35">
        <v>0</v>
      </c>
      <c r="BD35" s="4" t="str">
        <f>IF(Configuração!$C$37="","",("QC-"&amp;Configuração!$C$37&amp;TEXT(1,"00")))</f>
        <v/>
      </c>
    </row>
    <row r="36" spans="1:56" x14ac:dyDescent="0.3">
      <c r="A36" s="63">
        <v>8</v>
      </c>
      <c r="B36" s="65">
        <v>45712</v>
      </c>
      <c r="C36" s="63">
        <v>2</v>
      </c>
      <c r="D36" s="38" t="s">
        <v>179</v>
      </c>
      <c r="E36" s="23" t="s">
        <v>122</v>
      </c>
      <c r="F36" s="39">
        <v>6.9217000000000004</v>
      </c>
      <c r="G36" s="64" t="s">
        <v>352</v>
      </c>
      <c r="H36" s="70"/>
      <c r="K36" s="40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132" t="s">
        <v>15</v>
      </c>
      <c r="BB36" s="4">
        <v>0</v>
      </c>
      <c r="BC36">
        <v>0</v>
      </c>
      <c r="BD36" s="4" t="str">
        <f>IF(Configuração!$C$37="","",("QC-"&amp;Configuração!$C$37&amp;TEXT(2,"00")))</f>
        <v/>
      </c>
    </row>
    <row r="37" spans="1:56" x14ac:dyDescent="0.3">
      <c r="A37" s="63">
        <v>9</v>
      </c>
      <c r="B37" s="65">
        <v>45719</v>
      </c>
      <c r="C37" s="63">
        <v>2</v>
      </c>
      <c r="D37" s="38" t="s">
        <v>179</v>
      </c>
      <c r="E37" s="23" t="s">
        <v>122</v>
      </c>
      <c r="F37" s="39">
        <v>6.9062999999999999</v>
      </c>
      <c r="G37" s="64" t="s">
        <v>352</v>
      </c>
      <c r="H37" s="70"/>
      <c r="K37" s="40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132" t="s">
        <v>15</v>
      </c>
      <c r="BB37" s="4">
        <v>0</v>
      </c>
      <c r="BC37">
        <v>0</v>
      </c>
      <c r="BD37" s="4" t="str">
        <f>IF(Configuração!$C$37="","",("QC-"&amp;Configuração!$C$37&amp;TEXT(3,"00")))</f>
        <v/>
      </c>
    </row>
    <row r="38" spans="1:56" x14ac:dyDescent="0.3">
      <c r="A38" s="63">
        <v>10</v>
      </c>
      <c r="B38" s="65">
        <v>45726</v>
      </c>
      <c r="C38" s="63">
        <v>2</v>
      </c>
      <c r="D38" s="38" t="s">
        <v>179</v>
      </c>
      <c r="E38" s="23" t="s">
        <v>122</v>
      </c>
      <c r="F38" s="39">
        <v>6.9291999999999998</v>
      </c>
      <c r="G38" s="64" t="s">
        <v>352</v>
      </c>
      <c r="H38" s="70"/>
      <c r="K38" s="40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132" t="s">
        <v>15</v>
      </c>
      <c r="BB38" s="4">
        <v>0</v>
      </c>
      <c r="BC38">
        <v>0</v>
      </c>
      <c r="BD38" s="4" t="str">
        <f>IF(Configuração!$C$38="","",("QC-"&amp;Configuração!$C$38&amp;TEXT(1,"00")))</f>
        <v/>
      </c>
    </row>
    <row r="39" spans="1:56" x14ac:dyDescent="0.3">
      <c r="A39" s="63">
        <v>11</v>
      </c>
      <c r="B39" s="65">
        <v>45733</v>
      </c>
      <c r="C39" s="63">
        <v>2</v>
      </c>
      <c r="D39" s="38" t="s">
        <v>179</v>
      </c>
      <c r="E39" s="23" t="s">
        <v>122</v>
      </c>
      <c r="F39" s="39">
        <v>6.7316000000000003</v>
      </c>
      <c r="G39" s="64" t="s">
        <v>352</v>
      </c>
      <c r="H39" s="70"/>
      <c r="K39" s="40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132" t="s">
        <v>15</v>
      </c>
      <c r="BB39" s="4">
        <v>0</v>
      </c>
      <c r="BC39">
        <v>0</v>
      </c>
      <c r="BD39" s="4" t="str">
        <f>IF(Configuração!$C$38="","",("QC-"&amp;Configuração!$C$38&amp;TEXT(2,"00")))</f>
        <v/>
      </c>
    </row>
    <row r="40" spans="1:56" x14ac:dyDescent="0.3">
      <c r="A40" s="63">
        <v>12</v>
      </c>
      <c r="B40" s="65">
        <v>45740</v>
      </c>
      <c r="C40" s="63">
        <v>2</v>
      </c>
      <c r="D40" s="38" t="s">
        <v>179</v>
      </c>
      <c r="E40" s="23" t="s">
        <v>122</v>
      </c>
      <c r="F40" s="39">
        <v>6.8022</v>
      </c>
      <c r="G40" s="64" t="s">
        <v>352</v>
      </c>
      <c r="H40" s="70"/>
      <c r="K40" s="40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132" t="s">
        <v>15</v>
      </c>
      <c r="BB40" s="4">
        <v>0</v>
      </c>
      <c r="BC40">
        <v>0</v>
      </c>
      <c r="BD40" s="4" t="str">
        <f>IF(Configuração!$C$38="","",("QC-"&amp;Configuração!$C$38&amp;TEXT(3,"00")))</f>
        <v/>
      </c>
    </row>
    <row r="41" spans="1:56" x14ac:dyDescent="0.3">
      <c r="A41" s="63">
        <v>13</v>
      </c>
      <c r="B41" s="65">
        <v>45747</v>
      </c>
      <c r="C41" s="63">
        <v>2</v>
      </c>
      <c r="D41" s="38" t="s">
        <v>179</v>
      </c>
      <c r="E41" s="23" t="s">
        <v>122</v>
      </c>
      <c r="F41" s="39">
        <v>6.8857999999999997</v>
      </c>
      <c r="G41" s="64" t="s">
        <v>352</v>
      </c>
      <c r="H41" s="70"/>
      <c r="K41" s="4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132" t="s">
        <v>15</v>
      </c>
      <c r="BB41" s="4">
        <v>0</v>
      </c>
      <c r="BC41">
        <v>0</v>
      </c>
      <c r="BD41" s="4" t="str">
        <f>IF(Configuração!$C$39="","",("QC-"&amp;Configuração!$C$39&amp;TEXT(1,"00")))</f>
        <v/>
      </c>
    </row>
    <row r="42" spans="1:56" x14ac:dyDescent="0.3">
      <c r="A42" s="63">
        <v>14</v>
      </c>
      <c r="B42" s="65">
        <v>45754</v>
      </c>
      <c r="C42" s="63">
        <v>2</v>
      </c>
      <c r="D42" s="38" t="s">
        <v>179</v>
      </c>
      <c r="E42" s="23" t="s">
        <v>122</v>
      </c>
      <c r="F42" s="39">
        <v>6.7519999999999998</v>
      </c>
      <c r="G42" s="64" t="s">
        <v>352</v>
      </c>
      <c r="H42" s="70"/>
      <c r="K42" s="40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132" t="s">
        <v>15</v>
      </c>
      <c r="BB42" s="4">
        <v>0</v>
      </c>
      <c r="BC42">
        <v>0</v>
      </c>
      <c r="BD42" s="4" t="str">
        <f>IF(Configuração!$C$39="","",("QC-"&amp;Configuração!$C$39&amp;TEXT(2,"00")))</f>
        <v/>
      </c>
    </row>
    <row r="43" spans="1:56" x14ac:dyDescent="0.3">
      <c r="A43" s="63">
        <v>15</v>
      </c>
      <c r="B43" s="65">
        <v>45761</v>
      </c>
      <c r="C43" s="63">
        <v>2</v>
      </c>
      <c r="D43" s="38" t="s">
        <v>179</v>
      </c>
      <c r="E43" s="23" t="s">
        <v>122</v>
      </c>
      <c r="F43" s="39">
        <v>7.0148999999999999</v>
      </c>
      <c r="G43" s="64" t="s">
        <v>352</v>
      </c>
      <c r="H43" s="70"/>
      <c r="K43" s="40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132" t="s">
        <v>15</v>
      </c>
      <c r="BB43" s="4">
        <v>0</v>
      </c>
      <c r="BC43">
        <v>0</v>
      </c>
      <c r="BD43" s="4" t="str">
        <f>IF(Configuração!$C$39="","",("QC-"&amp;Configuração!$C$39&amp;TEXT(3,"00")))</f>
        <v/>
      </c>
    </row>
    <row r="44" spans="1:56" x14ac:dyDescent="0.3">
      <c r="A44" s="63">
        <v>16</v>
      </c>
      <c r="B44" s="65">
        <v>45768</v>
      </c>
      <c r="C44" s="63">
        <v>2</v>
      </c>
      <c r="D44" s="38" t="s">
        <v>179</v>
      </c>
      <c r="E44" s="23" t="s">
        <v>122</v>
      </c>
      <c r="F44" s="39">
        <v>6.8151999999999999</v>
      </c>
      <c r="G44" s="64" t="s">
        <v>352</v>
      </c>
      <c r="H44" s="70"/>
      <c r="K44" s="40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132" t="s">
        <v>15</v>
      </c>
      <c r="BB44" s="4">
        <v>0</v>
      </c>
      <c r="BC44">
        <v>0</v>
      </c>
      <c r="BD44" s="4" t="str">
        <f>IF(Configuração!$C$40="","",("QC-"&amp;Configuração!$C$40&amp;TEXT(1,"00")))</f>
        <v/>
      </c>
    </row>
    <row r="45" spans="1:56" x14ac:dyDescent="0.3">
      <c r="A45" s="63">
        <v>17</v>
      </c>
      <c r="B45" s="65">
        <v>45775</v>
      </c>
      <c r="C45" s="63">
        <v>2</v>
      </c>
      <c r="D45" s="38" t="s">
        <v>179</v>
      </c>
      <c r="E45" s="23" t="s">
        <v>122</v>
      </c>
      <c r="F45" s="39">
        <v>6.8109999999999999</v>
      </c>
      <c r="G45" s="64" t="s">
        <v>352</v>
      </c>
      <c r="H45" s="70"/>
      <c r="K45" s="40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132" t="s">
        <v>15</v>
      </c>
      <c r="BB45" s="4">
        <v>0</v>
      </c>
      <c r="BC45">
        <v>0</v>
      </c>
      <c r="BD45" s="4" t="str">
        <f>IF(Configuração!$C$40="","",("QC-"&amp;Configuração!$C$40&amp;TEXT(2,"00")))</f>
        <v/>
      </c>
    </row>
    <row r="46" spans="1:56" x14ac:dyDescent="0.3">
      <c r="A46" s="63">
        <v>18</v>
      </c>
      <c r="B46" s="65">
        <v>45782</v>
      </c>
      <c r="C46" s="63">
        <v>2</v>
      </c>
      <c r="D46" s="38" t="s">
        <v>179</v>
      </c>
      <c r="E46" s="23" t="s">
        <v>122</v>
      </c>
      <c r="F46" s="39">
        <v>6.5864000000000003</v>
      </c>
      <c r="G46" s="64" t="s">
        <v>352</v>
      </c>
      <c r="H46" s="70"/>
      <c r="K46" s="40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132" t="s">
        <v>15</v>
      </c>
      <c r="BB46" s="4">
        <v>0</v>
      </c>
      <c r="BC46">
        <v>0</v>
      </c>
      <c r="BD46" s="4" t="str">
        <f>IF(Configuração!$C$40="","",("QC-"&amp;Configuração!$C$40&amp;TEXT(3,"00")))</f>
        <v/>
      </c>
    </row>
    <row r="47" spans="1:56" x14ac:dyDescent="0.3">
      <c r="A47" s="63">
        <v>19</v>
      </c>
      <c r="B47" s="65">
        <v>45789</v>
      </c>
      <c r="C47" s="63">
        <v>2</v>
      </c>
      <c r="D47" s="38" t="s">
        <v>179</v>
      </c>
      <c r="E47" s="23" t="s">
        <v>122</v>
      </c>
      <c r="F47" s="39">
        <v>6.8121</v>
      </c>
      <c r="G47" s="64" t="s">
        <v>352</v>
      </c>
      <c r="H47" s="70"/>
      <c r="K47" s="40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132" t="s">
        <v>15</v>
      </c>
      <c r="BB47" s="4">
        <v>0</v>
      </c>
      <c r="BC47">
        <v>0</v>
      </c>
      <c r="BD47" s="4" t="str">
        <f>IF(Configuração!$C$41="","",("QC-"&amp;Configuração!$C$41&amp;TEXT(1,"00")))</f>
        <v/>
      </c>
    </row>
    <row r="48" spans="1:56" x14ac:dyDescent="0.3">
      <c r="A48" s="63">
        <v>20</v>
      </c>
      <c r="B48" s="65">
        <v>45796</v>
      </c>
      <c r="C48" s="63">
        <v>2</v>
      </c>
      <c r="D48" s="38" t="s">
        <v>179</v>
      </c>
      <c r="E48" s="23" t="s">
        <v>122</v>
      </c>
      <c r="F48" s="39">
        <v>6.9291</v>
      </c>
      <c r="G48" s="64" t="s">
        <v>352</v>
      </c>
      <c r="H48" s="70"/>
      <c r="K48" s="40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132" t="s">
        <v>15</v>
      </c>
      <c r="BB48" s="4">
        <v>0</v>
      </c>
      <c r="BC48">
        <v>0</v>
      </c>
      <c r="BD48" s="4" t="str">
        <f>IF(Configuração!$C$41="","",("QC-"&amp;Configuração!$C$41&amp;TEXT(2,"00")))</f>
        <v/>
      </c>
    </row>
    <row r="49" spans="1:56" x14ac:dyDescent="0.3">
      <c r="A49" s="63">
        <v>21</v>
      </c>
      <c r="B49" s="65">
        <v>45803</v>
      </c>
      <c r="C49" s="63">
        <v>2</v>
      </c>
      <c r="D49" s="38" t="s">
        <v>179</v>
      </c>
      <c r="E49" s="23" t="s">
        <v>122</v>
      </c>
      <c r="F49" s="39">
        <v>6.6641000000000004</v>
      </c>
      <c r="G49" s="64" t="s">
        <v>352</v>
      </c>
      <c r="H49" s="70"/>
      <c r="K49" s="40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132" t="s">
        <v>15</v>
      </c>
      <c r="BB49" s="4">
        <v>0</v>
      </c>
      <c r="BC49">
        <v>0</v>
      </c>
      <c r="BD49" s="4" t="str">
        <f>IF(Configuração!$C$41="","",("QC-"&amp;Configuração!$C$41&amp;TEXT(3,"00")))</f>
        <v/>
      </c>
    </row>
    <row r="50" spans="1:56" x14ac:dyDescent="0.3">
      <c r="A50" s="63">
        <v>22</v>
      </c>
      <c r="B50" s="65">
        <v>45810</v>
      </c>
      <c r="C50" s="63">
        <v>2</v>
      </c>
      <c r="D50" s="38" t="s">
        <v>179</v>
      </c>
      <c r="E50" s="23" t="s">
        <v>122</v>
      </c>
      <c r="F50" s="39">
        <v>6.8834999999999997</v>
      </c>
      <c r="G50" s="64" t="s">
        <v>352</v>
      </c>
      <c r="H50" s="70"/>
      <c r="K50" s="40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132" t="s">
        <v>15</v>
      </c>
      <c r="BB50" s="4">
        <v>0</v>
      </c>
      <c r="BC50">
        <v>0</v>
      </c>
      <c r="BD50" s="4" t="str">
        <f>IF(Configuração!$C$42="","",("QC-"&amp;Configuração!$C$42&amp;TEXT(1,"00")))</f>
        <v/>
      </c>
    </row>
    <row r="51" spans="1:56" x14ac:dyDescent="0.3">
      <c r="A51" s="63">
        <v>23</v>
      </c>
      <c r="B51" s="65">
        <v>45817</v>
      </c>
      <c r="C51" s="63">
        <v>2</v>
      </c>
      <c r="D51" s="38" t="s">
        <v>179</v>
      </c>
      <c r="E51" s="23" t="s">
        <v>122</v>
      </c>
      <c r="F51" s="39">
        <v>6.8160999999999996</v>
      </c>
      <c r="G51" s="64" t="s">
        <v>352</v>
      </c>
      <c r="H51" s="70"/>
      <c r="K51" s="40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132" t="s">
        <v>15</v>
      </c>
      <c r="BB51" s="4">
        <v>0</v>
      </c>
      <c r="BC51">
        <v>0</v>
      </c>
      <c r="BD51" s="4" t="str">
        <f>IF(Configuração!$C$42="","",("QC-"&amp;Configuração!$C$42&amp;TEXT(2,"00")))</f>
        <v/>
      </c>
    </row>
    <row r="52" spans="1:56" x14ac:dyDescent="0.3">
      <c r="A52" s="63">
        <v>24</v>
      </c>
      <c r="B52" s="65">
        <v>45824</v>
      </c>
      <c r="C52" s="63">
        <v>2</v>
      </c>
      <c r="D52" s="38" t="s">
        <v>179</v>
      </c>
      <c r="E52" s="23" t="s">
        <v>122</v>
      </c>
      <c r="F52" s="39">
        <v>6.7466999999999997</v>
      </c>
      <c r="G52" s="64" t="s">
        <v>352</v>
      </c>
      <c r="H52" s="70"/>
      <c r="K52" s="40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132" t="s">
        <v>15</v>
      </c>
      <c r="BB52" s="4">
        <v>0</v>
      </c>
      <c r="BC52">
        <v>0</v>
      </c>
      <c r="BD52" s="4" t="str">
        <f>IF(Configuração!$C$42="","",("QC-"&amp;Configuração!$C$42&amp;TEXT(3,"00")))</f>
        <v/>
      </c>
    </row>
    <row r="53" spans="1:56" x14ac:dyDescent="0.3">
      <c r="A53" s="63">
        <v>25</v>
      </c>
      <c r="B53" s="65">
        <v>45831</v>
      </c>
      <c r="C53" s="63">
        <v>2</v>
      </c>
      <c r="D53" s="38" t="s">
        <v>179</v>
      </c>
      <c r="E53" s="23" t="s">
        <v>122</v>
      </c>
      <c r="F53" s="39">
        <v>6.9874999999999998</v>
      </c>
      <c r="G53" s="64" t="s">
        <v>352</v>
      </c>
      <c r="H53" s="70"/>
      <c r="K53" s="40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132" t="s">
        <v>15</v>
      </c>
      <c r="BB53" s="4">
        <v>0</v>
      </c>
      <c r="BC53">
        <v>0</v>
      </c>
      <c r="BD53" s="4" t="str">
        <f>IF(Configuração!$C$43="","",("QC-"&amp;Configuração!$C$43&amp;TEXT(1,"00")))</f>
        <v/>
      </c>
    </row>
    <row r="54" spans="1:56" x14ac:dyDescent="0.3">
      <c r="A54" s="63">
        <v>1</v>
      </c>
      <c r="B54" s="65">
        <v>45663</v>
      </c>
      <c r="C54" s="63">
        <v>3</v>
      </c>
      <c r="D54" s="38" t="s">
        <v>180</v>
      </c>
      <c r="E54" s="23" t="s">
        <v>122</v>
      </c>
      <c r="F54" s="39">
        <v>16.652799999999999</v>
      </c>
      <c r="G54" s="64" t="s">
        <v>352</v>
      </c>
      <c r="H54" s="70"/>
      <c r="K54" s="40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132" t="s">
        <v>15</v>
      </c>
      <c r="BB54" s="4">
        <v>0</v>
      </c>
      <c r="BC54">
        <v>0</v>
      </c>
      <c r="BD54" s="4" t="str">
        <f>IF(Configuração!$C$43="","",("QC-"&amp;Configuração!$C$43&amp;TEXT(2,"00")))</f>
        <v/>
      </c>
    </row>
    <row r="55" spans="1:56" x14ac:dyDescent="0.3">
      <c r="A55" s="63">
        <v>2</v>
      </c>
      <c r="B55" s="65">
        <v>45670</v>
      </c>
      <c r="C55" s="63">
        <v>3</v>
      </c>
      <c r="D55" s="38" t="s">
        <v>180</v>
      </c>
      <c r="E55" s="23" t="s">
        <v>122</v>
      </c>
      <c r="F55" s="39">
        <v>16.320799999999998</v>
      </c>
      <c r="G55" s="64" t="s">
        <v>352</v>
      </c>
      <c r="H55" s="70"/>
      <c r="K55" s="40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132" t="s">
        <v>15</v>
      </c>
      <c r="BB55" s="4">
        <v>0</v>
      </c>
      <c r="BC55">
        <v>0</v>
      </c>
      <c r="BD55" s="4" t="str">
        <f>IF(Configuração!$C$43="","",("QC-"&amp;Configuração!$C$43&amp;TEXT(3,"00")))</f>
        <v/>
      </c>
    </row>
    <row r="56" spans="1:56" x14ac:dyDescent="0.3">
      <c r="A56" s="63">
        <v>3</v>
      </c>
      <c r="B56" s="65">
        <v>45677</v>
      </c>
      <c r="C56" s="63">
        <v>3</v>
      </c>
      <c r="D56" s="38" t="s">
        <v>180</v>
      </c>
      <c r="E56" s="23" t="s">
        <v>122</v>
      </c>
      <c r="F56" s="39">
        <v>16.5364</v>
      </c>
      <c r="G56" s="64" t="s">
        <v>352</v>
      </c>
      <c r="H56" s="70"/>
      <c r="K56" s="40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132" t="s">
        <v>15</v>
      </c>
      <c r="BB56" s="4">
        <v>0</v>
      </c>
      <c r="BC56">
        <v>0</v>
      </c>
      <c r="BD56" s="4" t="str">
        <f>IF(Configuração!$C$44="","",("QC-"&amp;Configuração!$C$44&amp;TEXT(1,"00")))</f>
        <v/>
      </c>
    </row>
    <row r="57" spans="1:56" x14ac:dyDescent="0.3">
      <c r="A57" s="63">
        <v>4</v>
      </c>
      <c r="B57" s="65">
        <v>45684</v>
      </c>
      <c r="C57" s="63">
        <v>3</v>
      </c>
      <c r="D57" s="38" t="s">
        <v>180</v>
      </c>
      <c r="E57" s="23" t="s">
        <v>122</v>
      </c>
      <c r="F57" s="39">
        <v>16.621400000000001</v>
      </c>
      <c r="G57" s="64" t="s">
        <v>352</v>
      </c>
      <c r="H57" s="70"/>
      <c r="K57" s="40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132" t="s">
        <v>15</v>
      </c>
      <c r="BB57" s="4">
        <v>0</v>
      </c>
      <c r="BC57">
        <v>0</v>
      </c>
      <c r="BD57" s="4" t="str">
        <f>IF(Configuração!$C$44="","",("QC-"&amp;Configuração!$C$44&amp;TEXT(2,"00")))</f>
        <v/>
      </c>
    </row>
    <row r="58" spans="1:56" x14ac:dyDescent="0.3">
      <c r="A58" s="63">
        <v>5</v>
      </c>
      <c r="B58" s="65">
        <v>45691</v>
      </c>
      <c r="C58" s="63">
        <v>3</v>
      </c>
      <c r="D58" s="38" t="s">
        <v>180</v>
      </c>
      <c r="E58" s="23" t="s">
        <v>122</v>
      </c>
      <c r="F58" s="39">
        <v>16.491800000000001</v>
      </c>
      <c r="G58" s="64" t="s">
        <v>352</v>
      </c>
      <c r="H58" s="70"/>
      <c r="K58" s="40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132" t="s">
        <v>15</v>
      </c>
      <c r="BB58" s="4">
        <v>0</v>
      </c>
      <c r="BC58">
        <v>0</v>
      </c>
      <c r="BD58" s="4" t="str">
        <f>IF(Configuração!$C$44="","",("QC-"&amp;Configuração!$C$44&amp;TEXT(3,"00")))</f>
        <v/>
      </c>
    </row>
    <row r="59" spans="1:56" x14ac:dyDescent="0.3">
      <c r="A59" s="63">
        <v>6</v>
      </c>
      <c r="B59" s="65">
        <v>45698</v>
      </c>
      <c r="C59" s="63">
        <v>3</v>
      </c>
      <c r="D59" s="38" t="s">
        <v>180</v>
      </c>
      <c r="E59" s="23" t="s">
        <v>122</v>
      </c>
      <c r="F59" s="39">
        <v>16.639399999999998</v>
      </c>
      <c r="G59" s="64" t="s">
        <v>352</v>
      </c>
      <c r="H59" s="70"/>
      <c r="K59" s="40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132" t="s">
        <v>15</v>
      </c>
      <c r="BB59" s="4">
        <v>0</v>
      </c>
      <c r="BC59">
        <v>0</v>
      </c>
      <c r="BD59" s="4" t="str">
        <f>IF(Configuração!$C$45="","",("QC-"&amp;Configuração!$C$45&amp;TEXT(1,"00")))</f>
        <v/>
      </c>
    </row>
    <row r="60" spans="1:56" x14ac:dyDescent="0.3">
      <c r="A60" s="63">
        <v>7</v>
      </c>
      <c r="B60" s="65">
        <v>45705</v>
      </c>
      <c r="C60" s="63">
        <v>3</v>
      </c>
      <c r="D60" s="38" t="s">
        <v>180</v>
      </c>
      <c r="E60" s="23" t="s">
        <v>122</v>
      </c>
      <c r="F60" s="39">
        <v>16.512499999999999</v>
      </c>
      <c r="G60" s="64" t="s">
        <v>352</v>
      </c>
      <c r="H60" s="70"/>
      <c r="K60" s="40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132" t="s">
        <v>15</v>
      </c>
      <c r="BB60" s="4">
        <v>0</v>
      </c>
      <c r="BC60">
        <v>0</v>
      </c>
      <c r="BD60" s="4" t="str">
        <f>IF(Configuração!$C$45="","",("QC-"&amp;Configuração!$C$45&amp;TEXT(2,"00")))</f>
        <v/>
      </c>
    </row>
    <row r="61" spans="1:56" x14ac:dyDescent="0.3">
      <c r="A61" s="63">
        <v>8</v>
      </c>
      <c r="B61" s="65">
        <v>45712</v>
      </c>
      <c r="C61" s="63">
        <v>3</v>
      </c>
      <c r="D61" s="38" t="s">
        <v>180</v>
      </c>
      <c r="E61" s="23" t="s">
        <v>122</v>
      </c>
      <c r="F61" s="39">
        <v>16.636700000000001</v>
      </c>
      <c r="G61" s="64" t="s">
        <v>352</v>
      </c>
      <c r="H61" s="70"/>
      <c r="K61" s="40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132" t="s">
        <v>15</v>
      </c>
      <c r="BB61" s="4">
        <v>0</v>
      </c>
      <c r="BC61">
        <v>0</v>
      </c>
      <c r="BD61" s="4" t="str">
        <f>IF(Configuração!$C$45="","",("QC-"&amp;Configuração!$C$45&amp;TEXT(3,"00")))</f>
        <v/>
      </c>
    </row>
    <row r="62" spans="1:56" x14ac:dyDescent="0.3">
      <c r="A62" s="63">
        <v>9</v>
      </c>
      <c r="B62" s="65">
        <v>45719</v>
      </c>
      <c r="C62" s="63">
        <v>3</v>
      </c>
      <c r="D62" s="38" t="s">
        <v>180</v>
      </c>
      <c r="E62" s="23" t="s">
        <v>122</v>
      </c>
      <c r="F62" s="39">
        <v>16.767299999999999</v>
      </c>
      <c r="G62" s="64" t="s">
        <v>352</v>
      </c>
      <c r="H62" s="70"/>
      <c r="K62" s="40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132" t="s">
        <v>15</v>
      </c>
      <c r="BB62" s="4">
        <v>0</v>
      </c>
      <c r="BC62">
        <v>0</v>
      </c>
      <c r="BD62" s="4" t="str">
        <f>IF(Configuração!$C$46="","",("QC-"&amp;Configuração!$C$46&amp;TEXT(1,"00")))</f>
        <v/>
      </c>
    </row>
    <row r="63" spans="1:56" x14ac:dyDescent="0.3">
      <c r="A63" s="63">
        <v>10</v>
      </c>
      <c r="B63" s="65">
        <v>45726</v>
      </c>
      <c r="C63" s="63">
        <v>3</v>
      </c>
      <c r="D63" s="38" t="s">
        <v>180</v>
      </c>
      <c r="E63" s="23" t="s">
        <v>122</v>
      </c>
      <c r="F63" s="39">
        <v>16.409400000000002</v>
      </c>
      <c r="G63" s="64" t="s">
        <v>352</v>
      </c>
      <c r="H63" s="70"/>
      <c r="K63" s="40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132" t="s">
        <v>15</v>
      </c>
      <c r="BB63" s="4">
        <v>0</v>
      </c>
      <c r="BC63">
        <v>0</v>
      </c>
      <c r="BD63" s="4" t="str">
        <f>IF(Configuração!$C$46="","",("QC-"&amp;Configuração!$C$46&amp;TEXT(2,"00")))</f>
        <v/>
      </c>
    </row>
    <row r="64" spans="1:56" x14ac:dyDescent="0.3">
      <c r="A64" s="63">
        <v>11</v>
      </c>
      <c r="B64" s="65">
        <v>45733</v>
      </c>
      <c r="C64" s="63">
        <v>3</v>
      </c>
      <c r="D64" s="38" t="s">
        <v>180</v>
      </c>
      <c r="E64" s="23" t="s">
        <v>122</v>
      </c>
      <c r="F64" s="39">
        <v>16.558199999999999</v>
      </c>
      <c r="G64" s="64" t="s">
        <v>352</v>
      </c>
      <c r="H64" s="70"/>
      <c r="K64" s="40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132" t="s">
        <v>15</v>
      </c>
      <c r="BB64" s="4">
        <v>0</v>
      </c>
      <c r="BC64">
        <v>0</v>
      </c>
      <c r="BD64" s="4" t="str">
        <f>IF(Configuração!$C$46="","",("QC-"&amp;Configuração!$C$46&amp;TEXT(3,"00")))</f>
        <v/>
      </c>
    </row>
    <row r="65" spans="1:56" x14ac:dyDescent="0.3">
      <c r="A65" s="63">
        <v>12</v>
      </c>
      <c r="B65" s="65">
        <v>45740</v>
      </c>
      <c r="C65" s="63">
        <v>3</v>
      </c>
      <c r="D65" s="38" t="s">
        <v>180</v>
      </c>
      <c r="E65" s="23" t="s">
        <v>122</v>
      </c>
      <c r="F65" s="39">
        <v>16.445399999999999</v>
      </c>
      <c r="G65" s="64" t="s">
        <v>352</v>
      </c>
      <c r="H65" s="70"/>
      <c r="K65" s="40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132" t="s">
        <v>15</v>
      </c>
      <c r="BB65" s="4">
        <v>0</v>
      </c>
      <c r="BC65">
        <v>0</v>
      </c>
      <c r="BD65" s="4" t="str">
        <f>IF(Configuração!$C$47="","",("QC-"&amp;Configuração!$C$47&amp;TEXT(1,"00")))</f>
        <v/>
      </c>
    </row>
    <row r="66" spans="1:56" x14ac:dyDescent="0.3">
      <c r="A66" s="63">
        <v>13</v>
      </c>
      <c r="B66" s="65">
        <v>45747</v>
      </c>
      <c r="C66" s="63">
        <v>3</v>
      </c>
      <c r="D66" s="38" t="s">
        <v>180</v>
      </c>
      <c r="E66" s="23" t="s">
        <v>122</v>
      </c>
      <c r="F66" s="39">
        <v>16.545300000000001</v>
      </c>
      <c r="G66" s="64" t="s">
        <v>352</v>
      </c>
      <c r="H66" s="70"/>
      <c r="K66" s="40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132" t="s">
        <v>15</v>
      </c>
      <c r="BB66" s="4">
        <v>0</v>
      </c>
      <c r="BC66">
        <v>0</v>
      </c>
      <c r="BD66" s="4" t="str">
        <f>IF(Configuração!$C$47="","",("QC-"&amp;Configuração!$C$47&amp;TEXT(2,"00")))</f>
        <v/>
      </c>
    </row>
    <row r="67" spans="1:56" x14ac:dyDescent="0.3">
      <c r="A67" s="63">
        <v>14</v>
      </c>
      <c r="B67" s="65">
        <v>45754</v>
      </c>
      <c r="C67" s="63">
        <v>3</v>
      </c>
      <c r="D67" s="38" t="s">
        <v>180</v>
      </c>
      <c r="E67" s="23" t="s">
        <v>122</v>
      </c>
      <c r="F67" s="39">
        <v>16.322900000000001</v>
      </c>
      <c r="G67" s="64" t="s">
        <v>352</v>
      </c>
      <c r="H67" s="70"/>
      <c r="K67" s="40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132" t="s">
        <v>15</v>
      </c>
      <c r="BB67" s="4">
        <v>0</v>
      </c>
      <c r="BC67">
        <v>0</v>
      </c>
      <c r="BD67" s="4" t="str">
        <f>IF(Configuração!$C$47="","",("QC-"&amp;Configuração!$C$47&amp;TEXT(3,"00")))</f>
        <v/>
      </c>
    </row>
    <row r="68" spans="1:56" x14ac:dyDescent="0.3">
      <c r="A68" s="63">
        <v>15</v>
      </c>
      <c r="B68" s="65">
        <v>45761</v>
      </c>
      <c r="C68" s="63">
        <v>3</v>
      </c>
      <c r="D68" s="38" t="s">
        <v>180</v>
      </c>
      <c r="E68" s="23" t="s">
        <v>122</v>
      </c>
      <c r="F68" s="39">
        <v>16.425699999999999</v>
      </c>
      <c r="G68" s="64" t="s">
        <v>352</v>
      </c>
      <c r="H68" s="70"/>
      <c r="K68" s="40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132" t="s">
        <v>15</v>
      </c>
      <c r="BB68" s="4">
        <v>0</v>
      </c>
      <c r="BC68">
        <v>0</v>
      </c>
      <c r="BD68" s="4" t="str">
        <f>IF(Configuração!$C$48="","",("QC-"&amp;Configuração!$C$48&amp;TEXT(1,"00")))</f>
        <v/>
      </c>
    </row>
    <row r="69" spans="1:56" x14ac:dyDescent="0.3">
      <c r="A69" s="63">
        <v>16</v>
      </c>
      <c r="B69" s="65">
        <v>45768</v>
      </c>
      <c r="C69" s="63">
        <v>3</v>
      </c>
      <c r="D69" s="38" t="s">
        <v>180</v>
      </c>
      <c r="E69" s="23" t="s">
        <v>122</v>
      </c>
      <c r="F69" s="39">
        <v>16.490600000000001</v>
      </c>
      <c r="G69" s="64" t="s">
        <v>352</v>
      </c>
      <c r="H69" s="70"/>
      <c r="K69" s="40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132" t="s">
        <v>15</v>
      </c>
      <c r="BB69" s="4">
        <v>0</v>
      </c>
      <c r="BC69">
        <v>0</v>
      </c>
      <c r="BD69" s="4" t="str">
        <f>IF(Configuração!$C$48="","",("QC-"&amp;Configuração!$C$48&amp;TEXT(2,"00")))</f>
        <v/>
      </c>
    </row>
    <row r="70" spans="1:56" x14ac:dyDescent="0.3">
      <c r="A70" s="63">
        <v>17</v>
      </c>
      <c r="B70" s="65">
        <v>45775</v>
      </c>
      <c r="C70" s="63">
        <v>3</v>
      </c>
      <c r="D70" s="38" t="s">
        <v>180</v>
      </c>
      <c r="E70" s="23" t="s">
        <v>122</v>
      </c>
      <c r="F70" s="39">
        <v>16.675899999999999</v>
      </c>
      <c r="G70" s="64" t="s">
        <v>352</v>
      </c>
      <c r="H70" s="70"/>
      <c r="K70" s="40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132" t="s">
        <v>15</v>
      </c>
      <c r="BB70" s="4">
        <v>0</v>
      </c>
      <c r="BC70">
        <v>0</v>
      </c>
      <c r="BD70" s="4" t="str">
        <f>IF(Configuração!$C$48="","",("QC-"&amp;Configuração!$C$48&amp;TEXT(3,"00")))</f>
        <v/>
      </c>
    </row>
    <row r="71" spans="1:56" x14ac:dyDescent="0.3">
      <c r="A71" s="63">
        <v>18</v>
      </c>
      <c r="B71" s="65">
        <v>45782</v>
      </c>
      <c r="C71" s="63">
        <v>3</v>
      </c>
      <c r="D71" s="38" t="s">
        <v>180</v>
      </c>
      <c r="E71" s="23" t="s">
        <v>122</v>
      </c>
      <c r="F71" s="39">
        <v>16.717600000000001</v>
      </c>
      <c r="G71" s="64" t="s">
        <v>352</v>
      </c>
      <c r="H71" s="70"/>
      <c r="K71" s="40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132" t="s">
        <v>15</v>
      </c>
      <c r="BB71" s="4">
        <v>0</v>
      </c>
      <c r="BC71">
        <v>0</v>
      </c>
      <c r="BD71" s="4" t="str">
        <f>IF(Configuração!$C$49="","",("QC-"&amp;Configuração!$C$49&amp;TEXT(1,"00")))</f>
        <v/>
      </c>
    </row>
    <row r="72" spans="1:56" x14ac:dyDescent="0.3">
      <c r="A72" s="63">
        <v>19</v>
      </c>
      <c r="B72" s="65">
        <v>45789</v>
      </c>
      <c r="C72" s="63">
        <v>3</v>
      </c>
      <c r="D72" s="38" t="s">
        <v>180</v>
      </c>
      <c r="E72" s="23" t="s">
        <v>122</v>
      </c>
      <c r="F72" s="39">
        <v>16.299800000000001</v>
      </c>
      <c r="G72" s="64" t="s">
        <v>352</v>
      </c>
      <c r="H72" s="70"/>
      <c r="K72" s="40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132" t="s">
        <v>15</v>
      </c>
      <c r="BB72" s="4">
        <v>0</v>
      </c>
      <c r="BC72">
        <v>0</v>
      </c>
      <c r="BD72" s="4" t="str">
        <f>IF(Configuração!$C$49="","",("QC-"&amp;Configuração!$C$49&amp;TEXT(2,"00")))</f>
        <v/>
      </c>
    </row>
    <row r="73" spans="1:56" x14ac:dyDescent="0.3">
      <c r="A73" s="63">
        <v>20</v>
      </c>
      <c r="B73" s="65">
        <v>45796</v>
      </c>
      <c r="C73" s="63">
        <v>3</v>
      </c>
      <c r="D73" s="38" t="s">
        <v>180</v>
      </c>
      <c r="E73" s="23" t="s">
        <v>122</v>
      </c>
      <c r="F73" s="39">
        <v>16.389299999999999</v>
      </c>
      <c r="G73" s="64" t="s">
        <v>352</v>
      </c>
      <c r="H73" s="70"/>
      <c r="K73" s="40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132" t="s">
        <v>15</v>
      </c>
      <c r="BB73" s="4">
        <v>0</v>
      </c>
      <c r="BC73">
        <v>0</v>
      </c>
      <c r="BD73" s="4" t="str">
        <f>IF(Configuração!$C$49="","",("QC-"&amp;Configuração!$C$49&amp;TEXT(3,"00")))</f>
        <v/>
      </c>
    </row>
    <row r="74" spans="1:56" x14ac:dyDescent="0.3">
      <c r="A74" s="63">
        <v>21</v>
      </c>
      <c r="B74" s="65">
        <v>45803</v>
      </c>
      <c r="C74" s="63">
        <v>3</v>
      </c>
      <c r="D74" s="38" t="s">
        <v>180</v>
      </c>
      <c r="E74" s="23" t="s">
        <v>122</v>
      </c>
      <c r="F74" s="39">
        <v>16.633299999999998</v>
      </c>
      <c r="G74" s="64" t="s">
        <v>352</v>
      </c>
      <c r="H74" s="70"/>
      <c r="K74" s="40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132" t="s">
        <v>15</v>
      </c>
      <c r="BB74" s="4">
        <v>0</v>
      </c>
      <c r="BC74">
        <v>0</v>
      </c>
      <c r="BD74" s="4" t="str">
        <f>IF(Configuração!$C$50="","",("QC-"&amp;Configuração!$C$50&amp;TEXT(1,"00")))</f>
        <v/>
      </c>
    </row>
    <row r="75" spans="1:56" x14ac:dyDescent="0.3">
      <c r="A75" s="63">
        <v>22</v>
      </c>
      <c r="B75" s="65">
        <v>45810</v>
      </c>
      <c r="C75" s="63">
        <v>3</v>
      </c>
      <c r="D75" s="38" t="s">
        <v>180</v>
      </c>
      <c r="E75" s="23" t="s">
        <v>122</v>
      </c>
      <c r="F75" s="39">
        <v>16.186599999999999</v>
      </c>
      <c r="G75" s="64" t="s">
        <v>352</v>
      </c>
      <c r="H75" s="70"/>
      <c r="K75" s="40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132" t="s">
        <v>15</v>
      </c>
      <c r="BB75" s="4">
        <v>0</v>
      </c>
      <c r="BC75">
        <v>0</v>
      </c>
      <c r="BD75" s="4" t="str">
        <f>IF(Configuração!$C$50="","",("QC-"&amp;Configuração!$C$50&amp;TEXT(2,"00")))</f>
        <v/>
      </c>
    </row>
    <row r="76" spans="1:56" x14ac:dyDescent="0.3">
      <c r="A76" s="63">
        <v>23</v>
      </c>
      <c r="B76" s="65">
        <v>45817</v>
      </c>
      <c r="C76" s="63">
        <v>3</v>
      </c>
      <c r="D76" s="38" t="s">
        <v>180</v>
      </c>
      <c r="E76" s="23" t="s">
        <v>122</v>
      </c>
      <c r="F76" s="39">
        <v>16.445399999999999</v>
      </c>
      <c r="G76" s="64" t="s">
        <v>352</v>
      </c>
      <c r="H76" s="70"/>
      <c r="K76" s="40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132" t="s">
        <v>15</v>
      </c>
      <c r="BB76" s="4">
        <v>0</v>
      </c>
      <c r="BC76">
        <v>0</v>
      </c>
      <c r="BD76" s="4" t="str">
        <f>IF(Configuração!$C$50="","",("QC-"&amp;Configuração!$C$50&amp;TEXT(3,"00")))</f>
        <v/>
      </c>
    </row>
    <row r="77" spans="1:56" x14ac:dyDescent="0.3">
      <c r="A77" s="63">
        <v>24</v>
      </c>
      <c r="B77" s="65">
        <v>45824</v>
      </c>
      <c r="C77" s="63">
        <v>3</v>
      </c>
      <c r="D77" s="38" t="s">
        <v>180</v>
      </c>
      <c r="E77" s="23" t="s">
        <v>122</v>
      </c>
      <c r="F77" s="39">
        <v>16.507300000000001</v>
      </c>
      <c r="G77" s="64" t="s">
        <v>352</v>
      </c>
      <c r="H77" s="70"/>
      <c r="K77" s="40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132" t="s">
        <v>15</v>
      </c>
      <c r="BB77" s="4">
        <v>0</v>
      </c>
      <c r="BC77">
        <v>0</v>
      </c>
      <c r="BD77" s="4" t="str">
        <f>IF(Configuração!$C$51="","",("QC-"&amp;Configuração!$C$51&amp;TEXT(1,"00")))</f>
        <v/>
      </c>
    </row>
    <row r="78" spans="1:56" x14ac:dyDescent="0.3">
      <c r="A78" s="63">
        <v>25</v>
      </c>
      <c r="B78" s="65">
        <v>45831</v>
      </c>
      <c r="C78" s="63">
        <v>3</v>
      </c>
      <c r="D78" s="38" t="s">
        <v>180</v>
      </c>
      <c r="E78" s="23" t="s">
        <v>122</v>
      </c>
      <c r="F78" s="39">
        <v>16.736499999999999</v>
      </c>
      <c r="G78" s="64" t="s">
        <v>352</v>
      </c>
      <c r="H78" s="70"/>
      <c r="K78" s="40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132" t="s">
        <v>15</v>
      </c>
      <c r="BB78" s="4">
        <v>0</v>
      </c>
      <c r="BC78">
        <v>0</v>
      </c>
      <c r="BD78" s="4" t="str">
        <f>IF(Configuração!$C$51="","",("QC-"&amp;Configuração!$C$51&amp;TEXT(2,"00")))</f>
        <v/>
      </c>
    </row>
    <row r="79" spans="1:56" x14ac:dyDescent="0.3">
      <c r="A79" s="63">
        <v>1</v>
      </c>
      <c r="B79" s="65">
        <v>45663</v>
      </c>
      <c r="C79" s="63">
        <v>1</v>
      </c>
      <c r="D79" s="38" t="s">
        <v>178</v>
      </c>
      <c r="E79" s="23" t="s">
        <v>125</v>
      </c>
      <c r="F79" s="39">
        <v>2.3216999999999999</v>
      </c>
      <c r="G79" s="64" t="s">
        <v>352</v>
      </c>
      <c r="H79" s="70"/>
      <c r="K79" s="40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132" t="s">
        <v>15</v>
      </c>
      <c r="BB79" s="4">
        <v>1</v>
      </c>
      <c r="BC79">
        <v>0</v>
      </c>
      <c r="BD79" s="4" t="str">
        <f>IF(Configuração!$C$51="","",("QC-"&amp;Configuração!$C$51&amp;TEXT(3,"00")))</f>
        <v/>
      </c>
    </row>
    <row r="80" spans="1:56" x14ac:dyDescent="0.3">
      <c r="A80" s="63">
        <v>2</v>
      </c>
      <c r="B80" s="65">
        <v>45670</v>
      </c>
      <c r="C80" s="63">
        <v>1</v>
      </c>
      <c r="D80" s="38" t="s">
        <v>178</v>
      </c>
      <c r="E80" s="23" t="s">
        <v>125</v>
      </c>
      <c r="F80" s="39">
        <v>2.2993999999999999</v>
      </c>
      <c r="G80" s="64" t="s">
        <v>352</v>
      </c>
      <c r="H80" s="70"/>
      <c r="K80" s="40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132" t="s">
        <v>15</v>
      </c>
      <c r="BB80" s="4">
        <v>1</v>
      </c>
      <c r="BC80">
        <v>0</v>
      </c>
      <c r="BD80" s="4" t="str">
        <f>IF(Configuração!$C$52="","",("QC-"&amp;Configuração!$C$52&amp;TEXT(1,"00")))</f>
        <v/>
      </c>
    </row>
    <row r="81" spans="1:56" x14ac:dyDescent="0.3">
      <c r="A81" s="63">
        <v>3</v>
      </c>
      <c r="B81" s="65">
        <v>45677</v>
      </c>
      <c r="C81" s="63">
        <v>1</v>
      </c>
      <c r="D81" s="38" t="s">
        <v>178</v>
      </c>
      <c r="E81" s="23" t="s">
        <v>125</v>
      </c>
      <c r="F81" s="39">
        <v>2.2985000000000002</v>
      </c>
      <c r="G81" s="64" t="s">
        <v>352</v>
      </c>
      <c r="H81" s="70"/>
      <c r="K81" s="40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132" t="s">
        <v>15</v>
      </c>
      <c r="BB81" s="4">
        <v>1</v>
      </c>
      <c r="BC81">
        <v>0</v>
      </c>
      <c r="BD81" s="4" t="str">
        <f>IF(Configuração!$C$52="","",("QC-"&amp;Configuração!$C$52&amp;TEXT(2,"00")))</f>
        <v/>
      </c>
    </row>
    <row r="82" spans="1:56" x14ac:dyDescent="0.3">
      <c r="A82" s="63">
        <v>4</v>
      </c>
      <c r="B82" s="65">
        <v>45684</v>
      </c>
      <c r="C82" s="63">
        <v>1</v>
      </c>
      <c r="D82" s="38" t="s">
        <v>178</v>
      </c>
      <c r="E82" s="23" t="s">
        <v>125</v>
      </c>
      <c r="F82" s="39">
        <v>2.3010999999999999</v>
      </c>
      <c r="G82" s="64" t="s">
        <v>352</v>
      </c>
      <c r="H82" s="70"/>
      <c r="K82" s="40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132" t="s">
        <v>15</v>
      </c>
      <c r="BB82" s="4">
        <v>1</v>
      </c>
      <c r="BC82">
        <v>0</v>
      </c>
      <c r="BD82" s="4" t="str">
        <f>IF(Configuração!$C$52="","",("QC-"&amp;Configuração!$C$52&amp;TEXT(3,"00")))</f>
        <v/>
      </c>
    </row>
    <row r="83" spans="1:56" x14ac:dyDescent="0.3">
      <c r="A83" s="63">
        <v>5</v>
      </c>
      <c r="B83" s="65">
        <v>45691</v>
      </c>
      <c r="C83" s="63">
        <v>1</v>
      </c>
      <c r="D83" s="38" t="s">
        <v>178</v>
      </c>
      <c r="E83" s="23" t="s">
        <v>125</v>
      </c>
      <c r="F83" s="39">
        <v>2.3399000000000001</v>
      </c>
      <c r="G83" s="64" t="s">
        <v>352</v>
      </c>
      <c r="H83" s="70"/>
      <c r="K83" s="40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132" t="s">
        <v>15</v>
      </c>
      <c r="BB83" s="4">
        <v>1</v>
      </c>
      <c r="BC83">
        <v>0</v>
      </c>
      <c r="BD83" s="4" t="str">
        <f>IF(Configuração!$C$53="","",("QC-"&amp;Configuração!$C$53&amp;TEXT(1,"00")))</f>
        <v/>
      </c>
    </row>
    <row r="84" spans="1:56" x14ac:dyDescent="0.3">
      <c r="A84" s="63">
        <v>6</v>
      </c>
      <c r="B84" s="65">
        <v>45698</v>
      </c>
      <c r="C84" s="63">
        <v>1</v>
      </c>
      <c r="D84" s="38" t="s">
        <v>178</v>
      </c>
      <c r="E84" s="23" t="s">
        <v>125</v>
      </c>
      <c r="F84" s="39">
        <v>2.2972000000000001</v>
      </c>
      <c r="G84" s="64" t="s">
        <v>352</v>
      </c>
      <c r="H84" s="70"/>
      <c r="K84" s="40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132" t="s">
        <v>15</v>
      </c>
      <c r="BB84" s="4">
        <v>1</v>
      </c>
      <c r="BC84">
        <v>0</v>
      </c>
      <c r="BD84" s="4" t="str">
        <f>IF(Configuração!$C$53="","",("QC-"&amp;Configuração!$C$53&amp;TEXT(2,"00")))</f>
        <v/>
      </c>
    </row>
    <row r="85" spans="1:56" x14ac:dyDescent="0.3">
      <c r="A85" s="63">
        <v>7</v>
      </c>
      <c r="B85" s="65">
        <v>45705</v>
      </c>
      <c r="C85" s="63">
        <v>1</v>
      </c>
      <c r="D85" s="38" t="s">
        <v>178</v>
      </c>
      <c r="E85" s="23" t="s">
        <v>125</v>
      </c>
      <c r="F85" s="39">
        <v>2.2999000000000001</v>
      </c>
      <c r="G85" s="64" t="s">
        <v>352</v>
      </c>
      <c r="H85" s="70"/>
      <c r="K85" s="40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132" t="s">
        <v>15</v>
      </c>
      <c r="BB85" s="4">
        <v>1</v>
      </c>
      <c r="BC85">
        <v>0</v>
      </c>
      <c r="BD85" s="4" t="str">
        <f>IF(Configuração!$C$53="","",("QC-"&amp;Configuração!$C$53&amp;TEXT(3,"00")))</f>
        <v/>
      </c>
    </row>
    <row r="86" spans="1:56" x14ac:dyDescent="0.3">
      <c r="A86" s="63">
        <v>8</v>
      </c>
      <c r="B86" s="65">
        <v>45712</v>
      </c>
      <c r="C86" s="63">
        <v>1</v>
      </c>
      <c r="D86" s="38" t="s">
        <v>178</v>
      </c>
      <c r="E86" s="23" t="s">
        <v>125</v>
      </c>
      <c r="F86" s="39">
        <v>2.3142999999999998</v>
      </c>
      <c r="G86" s="64" t="s">
        <v>352</v>
      </c>
      <c r="H86" s="70"/>
      <c r="K86" s="40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132" t="s">
        <v>15</v>
      </c>
      <c r="BB86" s="4">
        <v>1</v>
      </c>
      <c r="BC86">
        <v>0</v>
      </c>
      <c r="BD86" s="4" t="str">
        <f>IF(Configuração!$C$54="","",("QC-"&amp;Configuração!$C$54&amp;TEXT(1,"00")))</f>
        <v/>
      </c>
    </row>
    <row r="87" spans="1:56" x14ac:dyDescent="0.3">
      <c r="A87" s="63">
        <v>9</v>
      </c>
      <c r="B87" s="65">
        <v>45719</v>
      </c>
      <c r="C87" s="63">
        <v>1</v>
      </c>
      <c r="D87" s="38" t="s">
        <v>178</v>
      </c>
      <c r="E87" s="23" t="s">
        <v>125</v>
      </c>
      <c r="F87" s="39">
        <v>2.3039000000000001</v>
      </c>
      <c r="G87" s="64" t="s">
        <v>352</v>
      </c>
      <c r="H87" s="70"/>
      <c r="K87" s="40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132" t="s">
        <v>15</v>
      </c>
      <c r="BB87" s="4">
        <v>1</v>
      </c>
      <c r="BC87">
        <v>0</v>
      </c>
      <c r="BD87" s="4" t="str">
        <f>IF(Configuração!$C$54="","",("QC-"&amp;Configuração!$C$54&amp;TEXT(2,"00")))</f>
        <v/>
      </c>
    </row>
    <row r="88" spans="1:56" x14ac:dyDescent="0.3">
      <c r="A88" s="63">
        <v>10</v>
      </c>
      <c r="B88" s="65">
        <v>45726</v>
      </c>
      <c r="C88" s="63">
        <v>1</v>
      </c>
      <c r="D88" s="38" t="s">
        <v>178</v>
      </c>
      <c r="E88" s="23" t="s">
        <v>125</v>
      </c>
      <c r="F88" s="39">
        <v>2.3022</v>
      </c>
      <c r="G88" s="64" t="s">
        <v>352</v>
      </c>
      <c r="H88" s="70"/>
      <c r="K88" s="40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132" t="s">
        <v>15</v>
      </c>
      <c r="BB88" s="4">
        <v>1</v>
      </c>
      <c r="BC88">
        <v>0</v>
      </c>
      <c r="BD88" s="4" t="str">
        <f>IF(Configuração!$C$54="","",("QC-"&amp;Configuração!$C$54&amp;TEXT(3,"00")))</f>
        <v/>
      </c>
    </row>
    <row r="89" spans="1:56" x14ac:dyDescent="0.3">
      <c r="A89" s="63">
        <v>11</v>
      </c>
      <c r="B89" s="65">
        <v>45733</v>
      </c>
      <c r="C89" s="63">
        <v>1</v>
      </c>
      <c r="D89" s="38" t="s">
        <v>178</v>
      </c>
      <c r="E89" s="23" t="s">
        <v>125</v>
      </c>
      <c r="F89" s="39">
        <v>2.2820999999999998</v>
      </c>
      <c r="G89" s="64" t="s">
        <v>352</v>
      </c>
      <c r="H89" s="70"/>
      <c r="K89" s="40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132" t="s">
        <v>15</v>
      </c>
      <c r="BB89" s="4">
        <v>1</v>
      </c>
      <c r="BC89">
        <v>0</v>
      </c>
      <c r="BD89" s="4" t="str">
        <f>IF(Configuração!$C$55="","",("QC-"&amp;Configuração!$C$55&amp;TEXT(1,"00")))</f>
        <v/>
      </c>
    </row>
    <row r="90" spans="1:56" x14ac:dyDescent="0.3">
      <c r="A90" s="63">
        <v>12</v>
      </c>
      <c r="B90" s="65">
        <v>45740</v>
      </c>
      <c r="C90" s="63">
        <v>1</v>
      </c>
      <c r="D90" s="38" t="s">
        <v>178</v>
      </c>
      <c r="E90" s="23" t="s">
        <v>125</v>
      </c>
      <c r="F90" s="39">
        <v>2.3062999999999998</v>
      </c>
      <c r="G90" s="64" t="s">
        <v>352</v>
      </c>
      <c r="H90" s="70"/>
      <c r="K90" s="40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132" t="s">
        <v>15</v>
      </c>
      <c r="BB90" s="4">
        <v>1</v>
      </c>
      <c r="BC90">
        <v>0</v>
      </c>
      <c r="BD90" s="4" t="str">
        <f>IF(Configuração!$C$55="","",("QC-"&amp;Configuração!$C$55&amp;TEXT(2,"00")))</f>
        <v/>
      </c>
    </row>
    <row r="91" spans="1:56" x14ac:dyDescent="0.3">
      <c r="A91" s="63">
        <v>13</v>
      </c>
      <c r="B91" s="65">
        <v>45747</v>
      </c>
      <c r="C91" s="63">
        <v>1</v>
      </c>
      <c r="D91" s="38" t="s">
        <v>178</v>
      </c>
      <c r="E91" s="23" t="s">
        <v>125</v>
      </c>
      <c r="F91" s="39">
        <v>2.2968000000000002</v>
      </c>
      <c r="G91" s="64" t="s">
        <v>352</v>
      </c>
      <c r="H91" s="70"/>
      <c r="K91" s="40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132" t="s">
        <v>15</v>
      </c>
      <c r="BB91" s="4">
        <v>1</v>
      </c>
      <c r="BC91">
        <v>0</v>
      </c>
      <c r="BD91" s="4" t="str">
        <f>IF(Configuração!$C$55="","",("QC-"&amp;Configuração!$C$55&amp;TEXT(3,"00")))</f>
        <v/>
      </c>
    </row>
    <row r="92" spans="1:56" x14ac:dyDescent="0.3">
      <c r="A92" s="63">
        <v>14</v>
      </c>
      <c r="B92" s="65">
        <v>45754</v>
      </c>
      <c r="C92" s="63">
        <v>1</v>
      </c>
      <c r="D92" s="38" t="s">
        <v>178</v>
      </c>
      <c r="E92" s="23" t="s">
        <v>125</v>
      </c>
      <c r="F92" s="39">
        <v>2.3321000000000001</v>
      </c>
      <c r="G92" s="64" t="s">
        <v>352</v>
      </c>
      <c r="H92" s="70"/>
      <c r="K92" s="40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132" t="s">
        <v>15</v>
      </c>
      <c r="BB92" s="4">
        <v>1</v>
      </c>
      <c r="BC92">
        <v>0</v>
      </c>
      <c r="BD92" s="4" t="str">
        <f>IF(Configuração!$C$56="","",("QC-"&amp;Configuração!$C$56&amp;TEXT(1,"00")))</f>
        <v/>
      </c>
    </row>
    <row r="93" spans="1:56" x14ac:dyDescent="0.3">
      <c r="A93" s="63">
        <v>15</v>
      </c>
      <c r="B93" s="65">
        <v>45761</v>
      </c>
      <c r="C93" s="63">
        <v>1</v>
      </c>
      <c r="D93" s="38" t="s">
        <v>178</v>
      </c>
      <c r="E93" s="23" t="s">
        <v>125</v>
      </c>
      <c r="F93" s="39">
        <v>2.3209</v>
      </c>
      <c r="G93" s="64" t="s">
        <v>352</v>
      </c>
      <c r="H93" s="70"/>
      <c r="K93" s="40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132" t="s">
        <v>15</v>
      </c>
      <c r="BB93" s="4">
        <v>1</v>
      </c>
      <c r="BC93">
        <v>0</v>
      </c>
      <c r="BD93" s="4" t="str">
        <f>IF(Configuração!$C$56="","",("QC-"&amp;Configuração!$C$56&amp;TEXT(2,"00")))</f>
        <v/>
      </c>
    </row>
    <row r="94" spans="1:56" x14ac:dyDescent="0.3">
      <c r="A94" s="63">
        <v>16</v>
      </c>
      <c r="B94" s="65">
        <v>45768</v>
      </c>
      <c r="C94" s="63">
        <v>1</v>
      </c>
      <c r="D94" s="38" t="s">
        <v>178</v>
      </c>
      <c r="E94" s="23" t="s">
        <v>125</v>
      </c>
      <c r="F94" s="39">
        <v>2.306</v>
      </c>
      <c r="G94" s="64" t="s">
        <v>352</v>
      </c>
      <c r="H94" s="70"/>
      <c r="K94" s="40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132" t="s">
        <v>15</v>
      </c>
      <c r="BB94" s="4">
        <v>1</v>
      </c>
      <c r="BC94">
        <v>0</v>
      </c>
      <c r="BD94" s="4" t="str">
        <f>IF(Configuração!$C$56="","",("QC-"&amp;Configuração!$C$56&amp;TEXT(3,"00")))</f>
        <v/>
      </c>
    </row>
    <row r="95" spans="1:56" x14ac:dyDescent="0.3">
      <c r="A95" s="63">
        <v>17</v>
      </c>
      <c r="B95" s="65">
        <v>45775</v>
      </c>
      <c r="C95" s="63">
        <v>1</v>
      </c>
      <c r="D95" s="38" t="s">
        <v>178</v>
      </c>
      <c r="E95" s="23" t="s">
        <v>125</v>
      </c>
      <c r="F95" s="39">
        <v>2.3212000000000002</v>
      </c>
      <c r="G95" s="64" t="s">
        <v>352</v>
      </c>
      <c r="H95" s="70"/>
      <c r="K95" s="40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132" t="s">
        <v>15</v>
      </c>
      <c r="BB95" s="4">
        <v>1</v>
      </c>
      <c r="BC95">
        <v>0</v>
      </c>
      <c r="BD95" s="4" t="str">
        <f>IF(Configuração!$C$57="","",("QC-"&amp;Configuração!$C$57&amp;TEXT(1,"00")))</f>
        <v/>
      </c>
    </row>
    <row r="96" spans="1:56" x14ac:dyDescent="0.3">
      <c r="A96" s="63">
        <v>18</v>
      </c>
      <c r="B96" s="65">
        <v>45782</v>
      </c>
      <c r="C96" s="63">
        <v>1</v>
      </c>
      <c r="D96" s="38" t="s">
        <v>178</v>
      </c>
      <c r="E96" s="23" t="s">
        <v>125</v>
      </c>
      <c r="F96" s="39">
        <v>2.2991000000000001</v>
      </c>
      <c r="G96" s="64" t="s">
        <v>352</v>
      </c>
      <c r="H96" s="70"/>
      <c r="K96" s="40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132" t="s">
        <v>15</v>
      </c>
      <c r="BB96" s="4">
        <v>1</v>
      </c>
      <c r="BC96">
        <v>0</v>
      </c>
      <c r="BD96" s="4" t="str">
        <f>IF(Configuração!$C$57="","",("QC-"&amp;Configuração!$C$57&amp;TEXT(2,"00")))</f>
        <v/>
      </c>
    </row>
    <row r="97" spans="1:56" x14ac:dyDescent="0.3">
      <c r="A97" s="63">
        <v>19</v>
      </c>
      <c r="B97" s="65">
        <v>45789</v>
      </c>
      <c r="C97" s="63">
        <v>1</v>
      </c>
      <c r="D97" s="38" t="s">
        <v>178</v>
      </c>
      <c r="E97" s="23" t="s">
        <v>125</v>
      </c>
      <c r="F97" s="39">
        <v>2.3296000000000001</v>
      </c>
      <c r="G97" s="64" t="s">
        <v>352</v>
      </c>
      <c r="H97" s="70"/>
      <c r="K97" s="40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132" t="s">
        <v>15</v>
      </c>
      <c r="BB97" s="4">
        <v>1</v>
      </c>
      <c r="BC97">
        <v>0</v>
      </c>
      <c r="BD97" s="4" t="str">
        <f>IF(Configuração!$C$57="","",("QC-"&amp;Configuração!$C$57&amp;TEXT(3,"00")))</f>
        <v/>
      </c>
    </row>
    <row r="98" spans="1:56" x14ac:dyDescent="0.3">
      <c r="A98" s="63">
        <v>20</v>
      </c>
      <c r="B98" s="65">
        <v>45796</v>
      </c>
      <c r="C98" s="63">
        <v>1</v>
      </c>
      <c r="D98" s="38" t="s">
        <v>178</v>
      </c>
      <c r="E98" s="23" t="s">
        <v>125</v>
      </c>
      <c r="F98" s="39">
        <v>2.3064</v>
      </c>
      <c r="G98" s="64" t="s">
        <v>352</v>
      </c>
      <c r="H98" s="70"/>
      <c r="K98" s="40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132" t="s">
        <v>15</v>
      </c>
      <c r="BB98" s="4">
        <v>1</v>
      </c>
      <c r="BC98">
        <v>0</v>
      </c>
      <c r="BD98" s="4" t="str">
        <f>IF(Configuração!$C$58="","",("QC-"&amp;Configuração!$C$58&amp;TEXT(1,"00")))</f>
        <v/>
      </c>
    </row>
    <row r="99" spans="1:56" x14ac:dyDescent="0.3">
      <c r="A99" s="63">
        <v>21</v>
      </c>
      <c r="B99" s="65">
        <v>45803</v>
      </c>
      <c r="C99" s="63">
        <v>1</v>
      </c>
      <c r="D99" s="38" t="s">
        <v>178</v>
      </c>
      <c r="E99" s="23" t="s">
        <v>125</v>
      </c>
      <c r="F99" s="39">
        <v>2.3193000000000001</v>
      </c>
      <c r="G99" s="64" t="s">
        <v>352</v>
      </c>
      <c r="H99" s="70"/>
      <c r="K99" s="40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132" t="s">
        <v>15</v>
      </c>
      <c r="BB99" s="4">
        <v>1</v>
      </c>
      <c r="BC99">
        <v>0</v>
      </c>
      <c r="BD99" s="4" t="str">
        <f>IF(Configuração!$C$58="","",("QC-"&amp;Configuração!$C$58&amp;TEXT(2,"00")))</f>
        <v/>
      </c>
    </row>
    <row r="100" spans="1:56" x14ac:dyDescent="0.3">
      <c r="A100" s="63">
        <v>22</v>
      </c>
      <c r="B100" s="65">
        <v>45810</v>
      </c>
      <c r="C100" s="63">
        <v>1</v>
      </c>
      <c r="D100" s="38" t="s">
        <v>178</v>
      </c>
      <c r="E100" s="23" t="s">
        <v>125</v>
      </c>
      <c r="F100" s="39">
        <v>2.2783000000000002</v>
      </c>
      <c r="G100" s="64" t="s">
        <v>352</v>
      </c>
      <c r="H100" s="70"/>
      <c r="K100" s="40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132" t="s">
        <v>15</v>
      </c>
      <c r="BB100" s="4">
        <v>1</v>
      </c>
      <c r="BC100">
        <v>0</v>
      </c>
      <c r="BD100" s="4" t="str">
        <f>IF(Configuração!$C$58="","",("QC-"&amp;Configuração!$C$58&amp;TEXT(3,"00")))</f>
        <v/>
      </c>
    </row>
    <row r="101" spans="1:56" x14ac:dyDescent="0.3">
      <c r="A101" s="63">
        <v>23</v>
      </c>
      <c r="B101" s="65">
        <v>45817</v>
      </c>
      <c r="C101" s="63">
        <v>1</v>
      </c>
      <c r="D101" s="38" t="s">
        <v>178</v>
      </c>
      <c r="E101" s="23" t="s">
        <v>125</v>
      </c>
      <c r="F101" s="39">
        <v>2.3142</v>
      </c>
      <c r="G101" s="64" t="s">
        <v>352</v>
      </c>
      <c r="H101" s="70"/>
      <c r="K101" s="40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132" t="s">
        <v>15</v>
      </c>
      <c r="BB101" s="4">
        <v>1</v>
      </c>
      <c r="BC101">
        <v>0</v>
      </c>
      <c r="BD101" s="4" t="str">
        <f>IF(Configuração!$C$59="","",("QC-"&amp;Configuração!$C$59&amp;TEXT(1,"00")))</f>
        <v/>
      </c>
    </row>
    <row r="102" spans="1:56" x14ac:dyDescent="0.3">
      <c r="A102" s="63">
        <v>24</v>
      </c>
      <c r="B102" s="65">
        <v>45824</v>
      </c>
      <c r="C102" s="63">
        <v>1</v>
      </c>
      <c r="D102" s="38" t="s">
        <v>178</v>
      </c>
      <c r="E102" s="23" t="s">
        <v>125</v>
      </c>
      <c r="F102" s="39">
        <v>2.2694999999999999</v>
      </c>
      <c r="G102" s="64" t="s">
        <v>352</v>
      </c>
      <c r="H102" s="70"/>
      <c r="K102" s="40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132" t="s">
        <v>15</v>
      </c>
      <c r="BB102" s="4">
        <v>1</v>
      </c>
      <c r="BC102">
        <v>0</v>
      </c>
      <c r="BD102" s="4" t="str">
        <f>IF(Configuração!$C$59="","",("QC-"&amp;Configuração!$C$59&amp;TEXT(2,"00")))</f>
        <v/>
      </c>
    </row>
    <row r="103" spans="1:56" x14ac:dyDescent="0.3">
      <c r="A103" s="63">
        <v>25</v>
      </c>
      <c r="B103" s="65">
        <v>45831</v>
      </c>
      <c r="C103" s="63">
        <v>1</v>
      </c>
      <c r="D103" s="38" t="s">
        <v>178</v>
      </c>
      <c r="E103" s="23" t="s">
        <v>125</v>
      </c>
      <c r="F103" s="39">
        <v>2.2618999999999998</v>
      </c>
      <c r="G103" s="64" t="s">
        <v>352</v>
      </c>
      <c r="H103" s="70"/>
      <c r="K103" s="40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132" t="s">
        <v>15</v>
      </c>
      <c r="BB103" s="4">
        <v>1</v>
      </c>
      <c r="BC103">
        <v>0</v>
      </c>
      <c r="BD103" s="4" t="str">
        <f>IF(Configuração!$C$59="","",("QC-"&amp;Configuração!$C$59&amp;TEXT(3,"00")))</f>
        <v/>
      </c>
    </row>
    <row r="104" spans="1:56" x14ac:dyDescent="0.3">
      <c r="A104" s="63">
        <v>1</v>
      </c>
      <c r="B104" s="65">
        <v>45663</v>
      </c>
      <c r="C104" s="63">
        <v>2</v>
      </c>
      <c r="D104" s="38" t="s">
        <v>179</v>
      </c>
      <c r="E104" s="23" t="s">
        <v>125</v>
      </c>
      <c r="F104" s="39">
        <v>4.3662999999999998</v>
      </c>
      <c r="G104" s="64" t="s">
        <v>352</v>
      </c>
      <c r="H104" s="70"/>
      <c r="K104" s="40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132" t="s">
        <v>15</v>
      </c>
      <c r="BB104" s="4">
        <v>0</v>
      </c>
      <c r="BC104">
        <v>0</v>
      </c>
      <c r="BD104" s="4" t="str">
        <f>IF(Configuração!$C$60="","",("QC-"&amp;Configuração!$C$60&amp;TEXT(1,"00")))</f>
        <v/>
      </c>
    </row>
    <row r="105" spans="1:56" x14ac:dyDescent="0.3">
      <c r="A105" s="63">
        <v>2</v>
      </c>
      <c r="B105" s="65">
        <v>45670</v>
      </c>
      <c r="C105" s="63">
        <v>2</v>
      </c>
      <c r="D105" s="38" t="s">
        <v>179</v>
      </c>
      <c r="E105" s="23" t="s">
        <v>125</v>
      </c>
      <c r="F105" s="39">
        <v>4.3453999999999997</v>
      </c>
      <c r="G105" s="64" t="s">
        <v>352</v>
      </c>
      <c r="H105" s="70"/>
      <c r="K105" s="40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132" t="s">
        <v>15</v>
      </c>
      <c r="BB105" s="4">
        <v>0</v>
      </c>
      <c r="BC105">
        <v>0</v>
      </c>
      <c r="BD105" s="4" t="str">
        <f>IF(Configuração!$C$60="","",("QC-"&amp;Configuração!$C$60&amp;TEXT(2,"00")))</f>
        <v/>
      </c>
    </row>
    <row r="106" spans="1:56" x14ac:dyDescent="0.3">
      <c r="A106" s="63">
        <v>3</v>
      </c>
      <c r="B106" s="65">
        <v>45677</v>
      </c>
      <c r="C106" s="63">
        <v>2</v>
      </c>
      <c r="D106" s="38" t="s">
        <v>179</v>
      </c>
      <c r="E106" s="23" t="s">
        <v>125</v>
      </c>
      <c r="F106" s="39">
        <v>4.3826000000000001</v>
      </c>
      <c r="G106" s="64" t="s">
        <v>352</v>
      </c>
      <c r="H106" s="70"/>
      <c r="K106" s="40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132" t="s">
        <v>15</v>
      </c>
      <c r="BB106" s="4">
        <v>0</v>
      </c>
      <c r="BC106">
        <v>0</v>
      </c>
      <c r="BD106" s="4" t="str">
        <f>IF(Configuração!$C$60="","",("QC-"&amp;Configuração!$C$60&amp;TEXT(3,"00")))</f>
        <v/>
      </c>
    </row>
    <row r="107" spans="1:56" x14ac:dyDescent="0.3">
      <c r="A107" s="63">
        <v>4</v>
      </c>
      <c r="B107" s="65">
        <v>45684</v>
      </c>
      <c r="C107" s="63">
        <v>2</v>
      </c>
      <c r="D107" s="38" t="s">
        <v>179</v>
      </c>
      <c r="E107" s="23" t="s">
        <v>125</v>
      </c>
      <c r="F107" s="39">
        <v>4.4554</v>
      </c>
      <c r="G107" s="64" t="s">
        <v>352</v>
      </c>
      <c r="H107" s="70"/>
      <c r="K107" s="40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132" t="s">
        <v>15</v>
      </c>
      <c r="BB107" s="4">
        <v>0</v>
      </c>
      <c r="BC107">
        <v>0</v>
      </c>
      <c r="BD107" s="4" t="str">
        <f>IF(Configuração!$C$61="","",("QC-"&amp;Configuração!$C$61&amp;TEXT(1,"00")))</f>
        <v/>
      </c>
    </row>
    <row r="108" spans="1:56" x14ac:dyDescent="0.3">
      <c r="A108" s="63">
        <v>5</v>
      </c>
      <c r="B108" s="65">
        <v>45691</v>
      </c>
      <c r="C108" s="63">
        <v>2</v>
      </c>
      <c r="D108" s="38" t="s">
        <v>179</v>
      </c>
      <c r="E108" s="23" t="s">
        <v>125</v>
      </c>
      <c r="F108" s="39">
        <v>4.3478000000000003</v>
      </c>
      <c r="G108" s="64" t="s">
        <v>352</v>
      </c>
      <c r="H108" s="70"/>
      <c r="K108" s="40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132" t="s">
        <v>15</v>
      </c>
      <c r="BB108" s="4">
        <v>0</v>
      </c>
      <c r="BC108">
        <v>0</v>
      </c>
      <c r="BD108" s="4" t="str">
        <f>IF(Configuração!$C$61="","",("QC-"&amp;Configuração!$C$61&amp;TEXT(2,"00")))</f>
        <v/>
      </c>
    </row>
    <row r="109" spans="1:56" x14ac:dyDescent="0.3">
      <c r="A109" s="63">
        <v>6</v>
      </c>
      <c r="B109" s="65">
        <v>45698</v>
      </c>
      <c r="C109" s="63">
        <v>2</v>
      </c>
      <c r="D109" s="38" t="s">
        <v>179</v>
      </c>
      <c r="E109" s="23" t="s">
        <v>125</v>
      </c>
      <c r="F109" s="39">
        <v>4.3551000000000002</v>
      </c>
      <c r="G109" s="64" t="s">
        <v>352</v>
      </c>
      <c r="H109" s="70"/>
      <c r="K109" s="40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132" t="s">
        <v>15</v>
      </c>
      <c r="BB109" s="4">
        <v>0</v>
      </c>
      <c r="BC109">
        <v>0</v>
      </c>
      <c r="BD109" s="4" t="str">
        <f>IF(Configuração!$C$61="","",("QC-"&amp;Configuração!$C$61&amp;TEXT(3,"00")))</f>
        <v/>
      </c>
    </row>
    <row r="110" spans="1:56" x14ac:dyDescent="0.3">
      <c r="A110" s="63">
        <v>7</v>
      </c>
      <c r="B110" s="65">
        <v>45705</v>
      </c>
      <c r="C110" s="63">
        <v>2</v>
      </c>
      <c r="D110" s="38" t="s">
        <v>179</v>
      </c>
      <c r="E110" s="23" t="s">
        <v>125</v>
      </c>
      <c r="F110" s="39">
        <v>4.3841000000000001</v>
      </c>
      <c r="G110" s="64" t="s">
        <v>352</v>
      </c>
      <c r="H110" s="70"/>
      <c r="K110" s="40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132" t="s">
        <v>15</v>
      </c>
      <c r="BB110" s="4">
        <v>0</v>
      </c>
      <c r="BC110">
        <v>0</v>
      </c>
      <c r="BD110" s="4" t="str">
        <f>IF(Configuração!$C$62="","",("QC-"&amp;Configuração!$C$62&amp;TEXT(1,"00")))</f>
        <v/>
      </c>
    </row>
    <row r="111" spans="1:56" x14ac:dyDescent="0.3">
      <c r="A111" s="63">
        <v>8</v>
      </c>
      <c r="B111" s="65">
        <v>45712</v>
      </c>
      <c r="C111" s="63">
        <v>2</v>
      </c>
      <c r="D111" s="38" t="s">
        <v>179</v>
      </c>
      <c r="E111" s="23" t="s">
        <v>125</v>
      </c>
      <c r="F111" s="39">
        <v>4.3940999999999999</v>
      </c>
      <c r="G111" s="64" t="s">
        <v>352</v>
      </c>
      <c r="H111" s="70"/>
      <c r="K111" s="40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132" t="s">
        <v>15</v>
      </c>
      <c r="BB111" s="4">
        <v>0</v>
      </c>
      <c r="BC111">
        <v>0</v>
      </c>
      <c r="BD111" s="4" t="str">
        <f>IF(Configuração!$C$62="","",("QC-"&amp;Configuração!$C$62&amp;TEXT(2,"00")))</f>
        <v/>
      </c>
    </row>
    <row r="112" spans="1:56" x14ac:dyDescent="0.3">
      <c r="A112" s="63">
        <v>9</v>
      </c>
      <c r="B112" s="65">
        <v>45719</v>
      </c>
      <c r="C112" s="63">
        <v>2</v>
      </c>
      <c r="D112" s="38" t="s">
        <v>179</v>
      </c>
      <c r="E112" s="23" t="s">
        <v>125</v>
      </c>
      <c r="F112" s="39">
        <v>4.3707000000000003</v>
      </c>
      <c r="G112" s="64" t="s">
        <v>352</v>
      </c>
      <c r="H112" s="70"/>
      <c r="K112" s="40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132" t="s">
        <v>15</v>
      </c>
      <c r="BB112" s="4">
        <v>0</v>
      </c>
      <c r="BC112">
        <v>0</v>
      </c>
      <c r="BD112" s="4" t="str">
        <f>IF(Configuração!$C$62="","",("QC-"&amp;Configuração!$C$62&amp;TEXT(3,"00")))</f>
        <v/>
      </c>
    </row>
    <row r="113" spans="1:56" x14ac:dyDescent="0.3">
      <c r="A113" s="63">
        <v>10</v>
      </c>
      <c r="B113" s="65">
        <v>45726</v>
      </c>
      <c r="C113" s="63">
        <v>2</v>
      </c>
      <c r="D113" s="38" t="s">
        <v>179</v>
      </c>
      <c r="E113" s="23" t="s">
        <v>125</v>
      </c>
      <c r="F113" s="39">
        <v>4.3696999999999999</v>
      </c>
      <c r="G113" s="64" t="s">
        <v>352</v>
      </c>
      <c r="H113" s="70"/>
      <c r="K113" s="40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132" t="s">
        <v>15</v>
      </c>
      <c r="BB113" s="4">
        <v>0</v>
      </c>
      <c r="BC113">
        <v>0</v>
      </c>
      <c r="BD113" s="4" t="str">
        <f>IF(Configuração!$C$63="","",("QC-"&amp;Configuração!$C$63&amp;TEXT(1,"00")))</f>
        <v/>
      </c>
    </row>
    <row r="114" spans="1:56" x14ac:dyDescent="0.3">
      <c r="A114" s="63">
        <v>11</v>
      </c>
      <c r="B114" s="65">
        <v>45733</v>
      </c>
      <c r="C114" s="63">
        <v>2</v>
      </c>
      <c r="D114" s="38" t="s">
        <v>179</v>
      </c>
      <c r="E114" s="23" t="s">
        <v>125</v>
      </c>
      <c r="F114" s="39">
        <v>4.4015000000000004</v>
      </c>
      <c r="G114" s="64" t="s">
        <v>352</v>
      </c>
      <c r="H114" s="70"/>
      <c r="K114" s="40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132" t="s">
        <v>15</v>
      </c>
      <c r="BB114" s="4">
        <v>0</v>
      </c>
      <c r="BC114">
        <v>0</v>
      </c>
      <c r="BD114" s="4" t="str">
        <f>IF(Configuração!$C$63="","",("QC-"&amp;Configuração!$C$63&amp;TEXT(2,"00")))</f>
        <v/>
      </c>
    </row>
    <row r="115" spans="1:56" x14ac:dyDescent="0.3">
      <c r="A115" s="63">
        <v>12</v>
      </c>
      <c r="B115" s="65">
        <v>45740</v>
      </c>
      <c r="C115" s="63">
        <v>2</v>
      </c>
      <c r="D115" s="38" t="s">
        <v>179</v>
      </c>
      <c r="E115" s="23" t="s">
        <v>125</v>
      </c>
      <c r="F115" s="39">
        <v>4.3951000000000002</v>
      </c>
      <c r="G115" s="64" t="s">
        <v>352</v>
      </c>
      <c r="H115" s="70"/>
      <c r="K115" s="40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132" t="s">
        <v>15</v>
      </c>
      <c r="BB115" s="4">
        <v>0</v>
      </c>
      <c r="BC115">
        <v>0</v>
      </c>
      <c r="BD115" s="4" t="str">
        <f>IF(Configuração!$C$63="","",("QC-"&amp;Configuração!$C$63&amp;TEXT(3,"00")))</f>
        <v/>
      </c>
    </row>
    <row r="116" spans="1:56" x14ac:dyDescent="0.3">
      <c r="A116" s="63">
        <v>13</v>
      </c>
      <c r="B116" s="65">
        <v>45747</v>
      </c>
      <c r="C116" s="63">
        <v>2</v>
      </c>
      <c r="D116" s="38" t="s">
        <v>179</v>
      </c>
      <c r="E116" s="23" t="s">
        <v>125</v>
      </c>
      <c r="F116" s="39">
        <v>4.3407999999999998</v>
      </c>
      <c r="G116" s="64" t="s">
        <v>352</v>
      </c>
      <c r="H116" s="70"/>
      <c r="K116" s="40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132" t="s">
        <v>15</v>
      </c>
      <c r="BB116" s="4">
        <v>0</v>
      </c>
      <c r="BC116">
        <v>0</v>
      </c>
      <c r="BD116" s="4" t="str">
        <f>IF(Configuração!$C$64="","",("QC-"&amp;Configuração!$C$64&amp;TEXT(1,"00")))</f>
        <v/>
      </c>
    </row>
    <row r="117" spans="1:56" x14ac:dyDescent="0.3">
      <c r="A117" s="63">
        <v>14</v>
      </c>
      <c r="B117" s="65">
        <v>45754</v>
      </c>
      <c r="C117" s="63">
        <v>2</v>
      </c>
      <c r="D117" s="38" t="s">
        <v>179</v>
      </c>
      <c r="E117" s="23" t="s">
        <v>125</v>
      </c>
      <c r="F117" s="39">
        <v>4.3741000000000003</v>
      </c>
      <c r="G117" s="64" t="s">
        <v>352</v>
      </c>
      <c r="H117" s="70"/>
      <c r="K117" s="40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132" t="s">
        <v>15</v>
      </c>
      <c r="BB117" s="4">
        <v>0</v>
      </c>
      <c r="BC117">
        <v>0</v>
      </c>
      <c r="BD117" s="4" t="str">
        <f>IF(Configuração!$C$64="","",("QC-"&amp;Configuração!$C$64&amp;TEXT(2,"00")))</f>
        <v/>
      </c>
    </row>
    <row r="118" spans="1:56" x14ac:dyDescent="0.3">
      <c r="A118" s="63">
        <v>15</v>
      </c>
      <c r="B118" s="65">
        <v>45761</v>
      </c>
      <c r="C118" s="63">
        <v>2</v>
      </c>
      <c r="D118" s="38" t="s">
        <v>179</v>
      </c>
      <c r="E118" s="23" t="s">
        <v>125</v>
      </c>
      <c r="F118" s="39">
        <v>4.3780999999999999</v>
      </c>
      <c r="G118" s="64" t="s">
        <v>352</v>
      </c>
      <c r="H118" s="70"/>
      <c r="K118" s="40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132" t="s">
        <v>15</v>
      </c>
      <c r="BB118" s="4">
        <v>0</v>
      </c>
      <c r="BC118">
        <v>0</v>
      </c>
      <c r="BD118" s="4" t="str">
        <f>IF(Configuração!$C$64="","",("QC-"&amp;Configuração!$C$64&amp;TEXT(3,"00")))</f>
        <v/>
      </c>
    </row>
    <row r="119" spans="1:56" x14ac:dyDescent="0.3">
      <c r="A119" s="63">
        <v>16</v>
      </c>
      <c r="B119" s="65">
        <v>45768</v>
      </c>
      <c r="C119" s="63">
        <v>2</v>
      </c>
      <c r="D119" s="38" t="s">
        <v>179</v>
      </c>
      <c r="E119" s="23" t="s">
        <v>125</v>
      </c>
      <c r="F119" s="39">
        <v>4.34</v>
      </c>
      <c r="G119" s="64" t="s">
        <v>352</v>
      </c>
      <c r="H119" s="70"/>
      <c r="K119" s="40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132" t="s">
        <v>15</v>
      </c>
      <c r="BB119" s="4">
        <v>0</v>
      </c>
      <c r="BC119">
        <v>0</v>
      </c>
      <c r="BD119" s="4" t="str">
        <f>IF(Configuração!$C$65="","",("QC-"&amp;Configuração!$C$65&amp;TEXT(1,"00")))</f>
        <v/>
      </c>
    </row>
    <row r="120" spans="1:56" x14ac:dyDescent="0.3">
      <c r="A120" s="63">
        <v>17</v>
      </c>
      <c r="B120" s="65">
        <v>45775</v>
      </c>
      <c r="C120" s="63">
        <v>2</v>
      </c>
      <c r="D120" s="38" t="s">
        <v>179</v>
      </c>
      <c r="E120" s="23" t="s">
        <v>125</v>
      </c>
      <c r="F120" s="39">
        <v>4.3860000000000001</v>
      </c>
      <c r="G120" s="64" t="s">
        <v>352</v>
      </c>
      <c r="H120" s="70"/>
      <c r="K120" s="40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132" t="s">
        <v>15</v>
      </c>
      <c r="BB120" s="4">
        <v>0</v>
      </c>
      <c r="BC120">
        <v>0</v>
      </c>
      <c r="BD120" s="4" t="str">
        <f>IF(Configuração!$C$65="","",("QC-"&amp;Configuração!$C$65&amp;TEXT(2,"00")))</f>
        <v/>
      </c>
    </row>
    <row r="121" spans="1:56" x14ac:dyDescent="0.3">
      <c r="A121" s="63">
        <v>18</v>
      </c>
      <c r="B121" s="65">
        <v>45782</v>
      </c>
      <c r="C121" s="63">
        <v>2</v>
      </c>
      <c r="D121" s="38" t="s">
        <v>179</v>
      </c>
      <c r="E121" s="23" t="s">
        <v>125</v>
      </c>
      <c r="F121" s="39">
        <v>4.3468999999999998</v>
      </c>
      <c r="G121" s="64" t="s">
        <v>352</v>
      </c>
      <c r="H121" s="70"/>
      <c r="K121" s="40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132" t="s">
        <v>15</v>
      </c>
      <c r="BB121" s="4">
        <v>0</v>
      </c>
      <c r="BC121">
        <v>0</v>
      </c>
      <c r="BD121" s="4" t="str">
        <f>IF(Configuração!$C$65="","",("QC-"&amp;Configuração!$C$65&amp;TEXT(3,"00")))</f>
        <v/>
      </c>
    </row>
    <row r="122" spans="1:56" x14ac:dyDescent="0.3">
      <c r="A122" s="63">
        <v>19</v>
      </c>
      <c r="B122" s="65">
        <v>45789</v>
      </c>
      <c r="C122" s="63">
        <v>2</v>
      </c>
      <c r="D122" s="38" t="s">
        <v>179</v>
      </c>
      <c r="E122" s="23" t="s">
        <v>125</v>
      </c>
      <c r="F122" s="39">
        <v>4.4108999999999998</v>
      </c>
      <c r="G122" s="64" t="s">
        <v>352</v>
      </c>
      <c r="H122" s="70"/>
      <c r="K122" s="40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132" t="s">
        <v>15</v>
      </c>
      <c r="BB122" s="4">
        <v>0</v>
      </c>
      <c r="BC122">
        <v>0</v>
      </c>
      <c r="BD122" s="4" t="str">
        <f>IF(Configuração!$C$66="","",("QC-"&amp;Configuração!$C$66&amp;TEXT(1,"00")))</f>
        <v/>
      </c>
    </row>
    <row r="123" spans="1:56" x14ac:dyDescent="0.3">
      <c r="A123" s="63">
        <v>20</v>
      </c>
      <c r="B123" s="65">
        <v>45796</v>
      </c>
      <c r="C123" s="63">
        <v>2</v>
      </c>
      <c r="D123" s="38" t="s">
        <v>179</v>
      </c>
      <c r="E123" s="23" t="s">
        <v>125</v>
      </c>
      <c r="F123" s="39">
        <v>4.3836000000000004</v>
      </c>
      <c r="G123" s="64" t="s">
        <v>352</v>
      </c>
      <c r="H123" s="70"/>
      <c r="K123" s="40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132" t="s">
        <v>15</v>
      </c>
      <c r="BB123" s="4">
        <v>0</v>
      </c>
      <c r="BC123">
        <v>0</v>
      </c>
      <c r="BD123" s="4" t="str">
        <f>IF(Configuração!$C$66="","",("QC-"&amp;Configuração!$C$66&amp;TEXT(2,"00")))</f>
        <v/>
      </c>
    </row>
    <row r="124" spans="1:56" x14ac:dyDescent="0.3">
      <c r="A124" s="63">
        <v>21</v>
      </c>
      <c r="B124" s="65">
        <v>45803</v>
      </c>
      <c r="C124" s="63">
        <v>2</v>
      </c>
      <c r="D124" s="38" t="s">
        <v>179</v>
      </c>
      <c r="E124" s="23" t="s">
        <v>125</v>
      </c>
      <c r="F124" s="39">
        <v>4.38</v>
      </c>
      <c r="G124" s="64" t="s">
        <v>352</v>
      </c>
      <c r="H124" s="70"/>
      <c r="K124" s="40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132" t="s">
        <v>15</v>
      </c>
      <c r="BB124" s="4">
        <v>0</v>
      </c>
      <c r="BC124">
        <v>0</v>
      </c>
      <c r="BD124" s="4" t="str">
        <f>IF(Configuração!$C$66="","",("QC-"&amp;Configuração!$C$66&amp;TEXT(3,"00")))</f>
        <v/>
      </c>
    </row>
    <row r="125" spans="1:56" x14ac:dyDescent="0.3">
      <c r="A125" s="63">
        <v>22</v>
      </c>
      <c r="B125" s="65">
        <v>45810</v>
      </c>
      <c r="C125" s="63">
        <v>2</v>
      </c>
      <c r="D125" s="38" t="s">
        <v>179</v>
      </c>
      <c r="E125" s="23" t="s">
        <v>125</v>
      </c>
      <c r="F125" s="39">
        <v>4.3562000000000003</v>
      </c>
      <c r="G125" s="64" t="s">
        <v>352</v>
      </c>
      <c r="H125" s="70"/>
      <c r="K125" s="40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132" t="s">
        <v>15</v>
      </c>
      <c r="BB125" s="4">
        <v>0</v>
      </c>
      <c r="BC125">
        <v>0</v>
      </c>
      <c r="BD125" s="4" t="str">
        <f>IF(Configuração!$C$67="","",("QC-"&amp;Configuração!$C$67&amp;TEXT(1,"00")))</f>
        <v/>
      </c>
    </row>
    <row r="126" spans="1:56" x14ac:dyDescent="0.3">
      <c r="A126" s="63">
        <v>23</v>
      </c>
      <c r="B126" s="65">
        <v>45817</v>
      </c>
      <c r="C126" s="63">
        <v>2</v>
      </c>
      <c r="D126" s="38" t="s">
        <v>179</v>
      </c>
      <c r="E126" s="23" t="s">
        <v>125</v>
      </c>
      <c r="F126" s="39">
        <v>4.3727999999999998</v>
      </c>
      <c r="G126" s="64" t="s">
        <v>352</v>
      </c>
      <c r="H126" s="70"/>
      <c r="K126" s="40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132" t="s">
        <v>15</v>
      </c>
      <c r="BB126" s="4">
        <v>0</v>
      </c>
      <c r="BC126">
        <v>0</v>
      </c>
      <c r="BD126" s="4" t="str">
        <f>IF(Configuração!$C$67="","",("QC-"&amp;Configuração!$C$67&amp;TEXT(2,"00")))</f>
        <v/>
      </c>
    </row>
    <row r="127" spans="1:56" x14ac:dyDescent="0.3">
      <c r="A127" s="63">
        <v>24</v>
      </c>
      <c r="B127" s="65">
        <v>45824</v>
      </c>
      <c r="C127" s="63">
        <v>2</v>
      </c>
      <c r="D127" s="38" t="s">
        <v>179</v>
      </c>
      <c r="E127" s="23" t="s">
        <v>125</v>
      </c>
      <c r="F127" s="39">
        <v>4.3071000000000002</v>
      </c>
      <c r="G127" s="64" t="s">
        <v>352</v>
      </c>
      <c r="H127" s="70"/>
      <c r="K127" s="40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132" t="s">
        <v>15</v>
      </c>
      <c r="BB127" s="4">
        <v>0</v>
      </c>
      <c r="BC127">
        <v>0</v>
      </c>
      <c r="BD127" s="4" t="str">
        <f>IF(Configuração!$C$67="","",("QC-"&amp;Configuração!$C$67&amp;TEXT(3,"00")))</f>
        <v/>
      </c>
    </row>
    <row r="128" spans="1:56" x14ac:dyDescent="0.3">
      <c r="A128" s="63">
        <v>25</v>
      </c>
      <c r="B128" s="65">
        <v>45831</v>
      </c>
      <c r="C128" s="63">
        <v>2</v>
      </c>
      <c r="D128" s="38" t="s">
        <v>179</v>
      </c>
      <c r="E128" s="23" t="s">
        <v>125</v>
      </c>
      <c r="F128" s="39">
        <v>4.3372999999999999</v>
      </c>
      <c r="G128" s="64" t="s">
        <v>352</v>
      </c>
      <c r="H128" s="70"/>
      <c r="K128" s="40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132" t="s">
        <v>15</v>
      </c>
      <c r="BB128" s="4">
        <v>0</v>
      </c>
      <c r="BC128">
        <v>0</v>
      </c>
      <c r="BD128" s="4" t="str">
        <f>IF(Configuração!$C$68="","",("QC-"&amp;Configuração!$C$68&amp;TEXT(1,"00")))</f>
        <v/>
      </c>
    </row>
    <row r="129" spans="1:56" x14ac:dyDescent="0.3">
      <c r="A129" s="63">
        <v>1</v>
      </c>
      <c r="B129" s="65">
        <v>45663</v>
      </c>
      <c r="C129" s="63">
        <v>3</v>
      </c>
      <c r="D129" s="38" t="s">
        <v>180</v>
      </c>
      <c r="E129" s="23" t="s">
        <v>125</v>
      </c>
      <c r="F129" s="39">
        <v>5.1353</v>
      </c>
      <c r="G129" s="64" t="s">
        <v>352</v>
      </c>
      <c r="H129" s="70"/>
      <c r="K129" s="40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132" t="s">
        <v>15</v>
      </c>
      <c r="BB129" s="4">
        <v>0</v>
      </c>
      <c r="BC129">
        <v>0</v>
      </c>
      <c r="BD129" s="4" t="str">
        <f>IF(Configuração!$C$68="","",("QC-"&amp;Configuração!$C$68&amp;TEXT(2,"00")))</f>
        <v/>
      </c>
    </row>
    <row r="130" spans="1:56" x14ac:dyDescent="0.3">
      <c r="A130" s="63">
        <v>2</v>
      </c>
      <c r="B130" s="65">
        <v>45670</v>
      </c>
      <c r="C130" s="63">
        <v>3</v>
      </c>
      <c r="D130" s="38" t="s">
        <v>180</v>
      </c>
      <c r="E130" s="23" t="s">
        <v>125</v>
      </c>
      <c r="F130" s="39">
        <v>5.0492999999999997</v>
      </c>
      <c r="G130" s="64" t="s">
        <v>352</v>
      </c>
      <c r="H130" s="70"/>
      <c r="K130" s="40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132" t="s">
        <v>15</v>
      </c>
      <c r="BB130" s="4">
        <v>0</v>
      </c>
      <c r="BC130">
        <v>0</v>
      </c>
      <c r="BD130" s="4" t="str">
        <f>IF(Configuração!$C$68="","",("QC-"&amp;Configuração!$C$68&amp;TEXT(3,"00")))</f>
        <v/>
      </c>
    </row>
    <row r="131" spans="1:56" x14ac:dyDescent="0.3">
      <c r="A131" s="63">
        <v>3</v>
      </c>
      <c r="B131" s="65">
        <v>45677</v>
      </c>
      <c r="C131" s="63">
        <v>3</v>
      </c>
      <c r="D131" s="38" t="s">
        <v>180</v>
      </c>
      <c r="E131" s="23" t="s">
        <v>125</v>
      </c>
      <c r="F131" s="39">
        <v>5.1520000000000001</v>
      </c>
      <c r="G131" s="64" t="s">
        <v>352</v>
      </c>
      <c r="H131" s="70"/>
      <c r="K131" s="40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132" t="s">
        <v>15</v>
      </c>
      <c r="BB131" s="4">
        <v>0</v>
      </c>
      <c r="BC131">
        <v>0</v>
      </c>
      <c r="BD131" s="4" t="str">
        <f>IF(Configuração!$C$69="","",("QC-"&amp;Configuração!$C$69&amp;TEXT(1,"00")))</f>
        <v/>
      </c>
    </row>
    <row r="132" spans="1:56" x14ac:dyDescent="0.3">
      <c r="A132" s="63">
        <v>4</v>
      </c>
      <c r="B132" s="65">
        <v>45684</v>
      </c>
      <c r="C132" s="63">
        <v>3</v>
      </c>
      <c r="D132" s="38" t="s">
        <v>180</v>
      </c>
      <c r="E132" s="23" t="s">
        <v>125</v>
      </c>
      <c r="F132" s="39">
        <v>5.0625</v>
      </c>
      <c r="G132" s="64" t="s">
        <v>352</v>
      </c>
      <c r="H132" s="70"/>
      <c r="K132" s="40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132" t="s">
        <v>15</v>
      </c>
      <c r="BB132" s="4">
        <v>0</v>
      </c>
      <c r="BC132">
        <v>0</v>
      </c>
      <c r="BD132" s="4" t="str">
        <f>IF(Configuração!$C$69="","",("QC-"&amp;Configuração!$C$69&amp;TEXT(2,"00")))</f>
        <v/>
      </c>
    </row>
    <row r="133" spans="1:56" x14ac:dyDescent="0.3">
      <c r="A133" s="63">
        <v>5</v>
      </c>
      <c r="B133" s="65">
        <v>45691</v>
      </c>
      <c r="C133" s="63">
        <v>3</v>
      </c>
      <c r="D133" s="38" t="s">
        <v>180</v>
      </c>
      <c r="E133" s="23" t="s">
        <v>125</v>
      </c>
      <c r="F133" s="39">
        <v>5.1489000000000003</v>
      </c>
      <c r="G133" s="64" t="s">
        <v>352</v>
      </c>
      <c r="H133" s="70"/>
      <c r="K133" s="40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132" t="s">
        <v>15</v>
      </c>
      <c r="BB133" s="4">
        <v>0</v>
      </c>
      <c r="BC133">
        <v>0</v>
      </c>
      <c r="BD133" s="4" t="str">
        <f>IF(Configuração!$C$69="","",("QC-"&amp;Configuração!$C$69&amp;TEXT(3,"00")))</f>
        <v/>
      </c>
    </row>
    <row r="134" spans="1:56" x14ac:dyDescent="0.3">
      <c r="A134" s="63">
        <v>6</v>
      </c>
      <c r="B134" s="65">
        <v>45698</v>
      </c>
      <c r="C134" s="63">
        <v>3</v>
      </c>
      <c r="D134" s="38" t="s">
        <v>180</v>
      </c>
      <c r="E134" s="23" t="s">
        <v>125</v>
      </c>
      <c r="F134" s="39">
        <v>5.0936000000000003</v>
      </c>
      <c r="G134" s="64" t="s">
        <v>352</v>
      </c>
      <c r="H134" s="70"/>
      <c r="K134" s="40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132" t="s">
        <v>15</v>
      </c>
      <c r="BB134" s="4">
        <v>0</v>
      </c>
      <c r="BC134">
        <v>0</v>
      </c>
      <c r="BD134" s="4" t="str">
        <f>IF(Configuração!$C$70="","",("QC-"&amp;Configuração!$C$70&amp;TEXT(1,"00")))</f>
        <v/>
      </c>
    </row>
    <row r="135" spans="1:56" x14ac:dyDescent="0.3">
      <c r="A135" s="63">
        <v>7</v>
      </c>
      <c r="B135" s="65">
        <v>45705</v>
      </c>
      <c r="C135" s="63">
        <v>3</v>
      </c>
      <c r="D135" s="38" t="s">
        <v>180</v>
      </c>
      <c r="E135" s="23" t="s">
        <v>125</v>
      </c>
      <c r="F135" s="39">
        <v>5.1497000000000002</v>
      </c>
      <c r="G135" s="64" t="s">
        <v>352</v>
      </c>
      <c r="H135" s="70"/>
      <c r="K135" s="40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132" t="s">
        <v>15</v>
      </c>
      <c r="BB135" s="4">
        <v>0</v>
      </c>
      <c r="BC135">
        <v>0</v>
      </c>
      <c r="BD135" s="4" t="str">
        <f>IF(Configuração!$C$70="","",("QC-"&amp;Configuração!$C$70&amp;TEXT(2,"00")))</f>
        <v/>
      </c>
    </row>
    <row r="136" spans="1:56" x14ac:dyDescent="0.3">
      <c r="A136" s="63">
        <v>8</v>
      </c>
      <c r="B136" s="65">
        <v>45712</v>
      </c>
      <c r="C136" s="63">
        <v>3</v>
      </c>
      <c r="D136" s="38" t="s">
        <v>180</v>
      </c>
      <c r="E136" s="23" t="s">
        <v>125</v>
      </c>
      <c r="F136" s="39">
        <v>5.1273</v>
      </c>
      <c r="G136" s="64" t="s">
        <v>352</v>
      </c>
      <c r="H136" s="70"/>
      <c r="K136" s="40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132" t="s">
        <v>15</v>
      </c>
      <c r="BB136" s="4">
        <v>0</v>
      </c>
      <c r="BC136">
        <v>0</v>
      </c>
      <c r="BD136" s="4" t="str">
        <f>IF(Configuração!$C$70="","",("QC-"&amp;Configuração!$C$70&amp;TEXT(3,"00")))</f>
        <v/>
      </c>
    </row>
    <row r="137" spans="1:56" x14ac:dyDescent="0.3">
      <c r="A137" s="63">
        <v>9</v>
      </c>
      <c r="B137" s="65">
        <v>45719</v>
      </c>
      <c r="C137" s="63">
        <v>3</v>
      </c>
      <c r="D137" s="38" t="s">
        <v>180</v>
      </c>
      <c r="E137" s="23" t="s">
        <v>125</v>
      </c>
      <c r="F137" s="39">
        <v>5.0697000000000001</v>
      </c>
      <c r="G137" s="64" t="s">
        <v>352</v>
      </c>
      <c r="H137" s="70"/>
      <c r="K137" s="40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132" t="s">
        <v>15</v>
      </c>
      <c r="BB137" s="4">
        <v>0</v>
      </c>
      <c r="BC137">
        <v>0</v>
      </c>
      <c r="BD137" s="4" t="str">
        <f>IF(Configuração!$C$71="","",("QC-"&amp;Configuração!$C$71&amp;TEXT(1,"00")))</f>
        <v/>
      </c>
    </row>
    <row r="138" spans="1:56" x14ac:dyDescent="0.3">
      <c r="A138" s="63">
        <v>10</v>
      </c>
      <c r="B138" s="65">
        <v>45726</v>
      </c>
      <c r="C138" s="63">
        <v>3</v>
      </c>
      <c r="D138" s="38" t="s">
        <v>180</v>
      </c>
      <c r="E138" s="23" t="s">
        <v>125</v>
      </c>
      <c r="F138" s="39">
        <v>5.1658999999999997</v>
      </c>
      <c r="G138" s="64" t="s">
        <v>352</v>
      </c>
      <c r="H138" s="70"/>
      <c r="K138" s="40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132" t="s">
        <v>15</v>
      </c>
      <c r="BB138" s="4">
        <v>0</v>
      </c>
      <c r="BC138">
        <v>0</v>
      </c>
      <c r="BD138" s="4" t="str">
        <f>IF(Configuração!$C$71="","",("QC-"&amp;Configuração!$C$71&amp;TEXT(2,"00")))</f>
        <v/>
      </c>
    </row>
    <row r="139" spans="1:56" x14ac:dyDescent="0.3">
      <c r="A139" s="63">
        <v>11</v>
      </c>
      <c r="B139" s="65">
        <v>45733</v>
      </c>
      <c r="C139" s="63">
        <v>3</v>
      </c>
      <c r="D139" s="38" t="s">
        <v>180</v>
      </c>
      <c r="E139" s="23" t="s">
        <v>125</v>
      </c>
      <c r="F139" s="39">
        <v>5.1725000000000003</v>
      </c>
      <c r="G139" s="64" t="s">
        <v>352</v>
      </c>
      <c r="H139" s="70"/>
      <c r="K139" s="40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132" t="s">
        <v>15</v>
      </c>
      <c r="BB139" s="4">
        <v>0</v>
      </c>
      <c r="BC139">
        <v>0</v>
      </c>
      <c r="BD139" s="4" t="str">
        <f>IF(Configuração!$C$71="","",("QC-"&amp;Configuração!$C$71&amp;TEXT(3,"00")))</f>
        <v/>
      </c>
    </row>
    <row r="140" spans="1:56" x14ac:dyDescent="0.3">
      <c r="A140" s="63">
        <v>12</v>
      </c>
      <c r="B140" s="65">
        <v>45740</v>
      </c>
      <c r="C140" s="63">
        <v>3</v>
      </c>
      <c r="D140" s="38" t="s">
        <v>180</v>
      </c>
      <c r="E140" s="23" t="s">
        <v>125</v>
      </c>
      <c r="F140" s="39">
        <v>5.1204999999999998</v>
      </c>
      <c r="G140" s="64" t="s">
        <v>352</v>
      </c>
      <c r="H140" s="70"/>
      <c r="K140" s="40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132" t="s">
        <v>15</v>
      </c>
      <c r="BB140" s="4">
        <v>0</v>
      </c>
      <c r="BC140">
        <v>0</v>
      </c>
      <c r="BD140" s="4" t="str">
        <f>IF(Configuração!$C$72="","",("QC-"&amp;Configuração!$C$72&amp;TEXT(1,"00")))</f>
        <v/>
      </c>
    </row>
    <row r="141" spans="1:56" x14ac:dyDescent="0.3">
      <c r="A141" s="63">
        <v>13</v>
      </c>
      <c r="B141" s="65">
        <v>45747</v>
      </c>
      <c r="C141" s="63">
        <v>3</v>
      </c>
      <c r="D141" s="38" t="s">
        <v>180</v>
      </c>
      <c r="E141" s="23" t="s">
        <v>125</v>
      </c>
      <c r="F141" s="39">
        <v>5.1132999999999997</v>
      </c>
      <c r="G141" s="64" t="s">
        <v>352</v>
      </c>
      <c r="H141" s="70"/>
      <c r="K141" s="40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132" t="s">
        <v>15</v>
      </c>
      <c r="BB141" s="4">
        <v>0</v>
      </c>
      <c r="BC141">
        <v>0</v>
      </c>
      <c r="BD141" s="4" t="str">
        <f>IF(Configuração!$C$72="","",("QC-"&amp;Configuração!$C$72&amp;TEXT(2,"00")))</f>
        <v/>
      </c>
    </row>
    <row r="142" spans="1:56" x14ac:dyDescent="0.3">
      <c r="A142" s="63">
        <v>14</v>
      </c>
      <c r="B142" s="65">
        <v>45754</v>
      </c>
      <c r="C142" s="63">
        <v>3</v>
      </c>
      <c r="D142" s="38" t="s">
        <v>180</v>
      </c>
      <c r="E142" s="23" t="s">
        <v>125</v>
      </c>
      <c r="F142" s="39">
        <v>5.1172000000000004</v>
      </c>
      <c r="G142" s="64" t="s">
        <v>352</v>
      </c>
      <c r="H142" s="70"/>
      <c r="K142" s="40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132" t="s">
        <v>15</v>
      </c>
      <c r="BB142" s="4">
        <v>0</v>
      </c>
      <c r="BC142">
        <v>0</v>
      </c>
      <c r="BD142" s="4" t="str">
        <f>IF(Configuração!$C$72="","",("QC-"&amp;Configuração!$C$72&amp;TEXT(3,"00")))</f>
        <v/>
      </c>
    </row>
    <row r="143" spans="1:56" x14ac:dyDescent="0.3">
      <c r="A143" s="63">
        <v>15</v>
      </c>
      <c r="B143" s="65">
        <v>45761</v>
      </c>
      <c r="C143" s="63">
        <v>3</v>
      </c>
      <c r="D143" s="38" t="s">
        <v>180</v>
      </c>
      <c r="E143" s="23" t="s">
        <v>125</v>
      </c>
      <c r="F143" s="39">
        <v>5.0891000000000002</v>
      </c>
      <c r="G143" s="64" t="s">
        <v>352</v>
      </c>
      <c r="H143" s="70"/>
      <c r="K143" s="40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132" t="s">
        <v>15</v>
      </c>
      <c r="BB143" s="4">
        <v>0</v>
      </c>
      <c r="BC143">
        <v>0</v>
      </c>
      <c r="BD143" s="4" t="str">
        <f>IF(Configuração!$C$73="","",("QC-"&amp;Configuração!$C$73&amp;TEXT(1,"00")))</f>
        <v/>
      </c>
    </row>
    <row r="144" spans="1:56" x14ac:dyDescent="0.3">
      <c r="A144" s="63">
        <v>16</v>
      </c>
      <c r="B144" s="65">
        <v>45768</v>
      </c>
      <c r="C144" s="63">
        <v>3</v>
      </c>
      <c r="D144" s="38" t="s">
        <v>180</v>
      </c>
      <c r="E144" s="23" t="s">
        <v>125</v>
      </c>
      <c r="F144" s="39">
        <v>5.1607000000000003</v>
      </c>
      <c r="G144" s="64" t="s">
        <v>352</v>
      </c>
      <c r="H144" s="70"/>
      <c r="K144" s="40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132" t="s">
        <v>15</v>
      </c>
      <c r="BB144" s="4">
        <v>0</v>
      </c>
      <c r="BC144">
        <v>0</v>
      </c>
      <c r="BD144" s="4" t="str">
        <f>IF(Configuração!$C$73="","",("QC-"&amp;Configuração!$C$73&amp;TEXT(2,"00")))</f>
        <v/>
      </c>
    </row>
    <row r="145" spans="1:56" x14ac:dyDescent="0.3">
      <c r="A145" s="63">
        <v>17</v>
      </c>
      <c r="B145" s="65">
        <v>45775</v>
      </c>
      <c r="C145" s="63">
        <v>3</v>
      </c>
      <c r="D145" s="38" t="s">
        <v>180</v>
      </c>
      <c r="E145" s="23" t="s">
        <v>125</v>
      </c>
      <c r="F145" s="39">
        <v>5.1040000000000001</v>
      </c>
      <c r="G145" s="64" t="s">
        <v>352</v>
      </c>
      <c r="H145" s="70"/>
      <c r="K145" s="40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132" t="s">
        <v>15</v>
      </c>
      <c r="BB145" s="4">
        <v>0</v>
      </c>
      <c r="BC145">
        <v>0</v>
      </c>
      <c r="BD145" s="4" t="str">
        <f>IF(Configuração!$C$73="","",("QC-"&amp;Configuração!$C$73&amp;TEXT(3,"00")))</f>
        <v/>
      </c>
    </row>
    <row r="146" spans="1:56" x14ac:dyDescent="0.3">
      <c r="A146" s="63">
        <v>18</v>
      </c>
      <c r="B146" s="65">
        <v>45782</v>
      </c>
      <c r="C146" s="63">
        <v>3</v>
      </c>
      <c r="D146" s="38" t="s">
        <v>180</v>
      </c>
      <c r="E146" s="23" t="s">
        <v>125</v>
      </c>
      <c r="F146" s="39">
        <v>5.1210000000000004</v>
      </c>
      <c r="G146" s="64" t="s">
        <v>352</v>
      </c>
      <c r="H146" s="70"/>
      <c r="K146" s="40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132" t="s">
        <v>15</v>
      </c>
      <c r="BB146" s="4">
        <v>0</v>
      </c>
      <c r="BC146">
        <v>0</v>
      </c>
      <c r="BD146" s="4" t="str">
        <f>IF(Configuração!$C$74="","",("QC-"&amp;Configuração!$C$74&amp;TEXT(1,"00")))</f>
        <v/>
      </c>
    </row>
    <row r="147" spans="1:56" x14ac:dyDescent="0.3">
      <c r="A147" s="63">
        <v>19</v>
      </c>
      <c r="B147" s="65">
        <v>45789</v>
      </c>
      <c r="C147" s="63">
        <v>3</v>
      </c>
      <c r="D147" s="38" t="s">
        <v>180</v>
      </c>
      <c r="E147" s="23" t="s">
        <v>125</v>
      </c>
      <c r="F147" s="39">
        <v>5.0953999999999997</v>
      </c>
      <c r="G147" s="64" t="s">
        <v>352</v>
      </c>
      <c r="H147" s="70"/>
      <c r="K147" s="40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132" t="s">
        <v>15</v>
      </c>
      <c r="BB147" s="4">
        <v>0</v>
      </c>
      <c r="BC147">
        <v>0</v>
      </c>
      <c r="BD147" s="4" t="str">
        <f>IF(Configuração!$C$74="","",("QC-"&amp;Configuração!$C$74&amp;TEXT(2,"00")))</f>
        <v/>
      </c>
    </row>
    <row r="148" spans="1:56" x14ac:dyDescent="0.3">
      <c r="A148" s="63">
        <v>20</v>
      </c>
      <c r="B148" s="65">
        <v>45796</v>
      </c>
      <c r="C148" s="63">
        <v>3</v>
      </c>
      <c r="D148" s="38" t="s">
        <v>180</v>
      </c>
      <c r="E148" s="23" t="s">
        <v>125</v>
      </c>
      <c r="F148" s="39">
        <v>5.1010999999999997</v>
      </c>
      <c r="G148" s="64" t="s">
        <v>352</v>
      </c>
      <c r="H148" s="70"/>
      <c r="K148" s="40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132" t="s">
        <v>15</v>
      </c>
      <c r="BB148" s="4">
        <v>0</v>
      </c>
      <c r="BC148">
        <v>0</v>
      </c>
      <c r="BD148" s="4" t="str">
        <f>IF(Configuração!$C$74="","",("QC-"&amp;Configuração!$C$74&amp;TEXT(3,"00")))</f>
        <v/>
      </c>
    </row>
    <row r="149" spans="1:56" x14ac:dyDescent="0.3">
      <c r="A149" s="63">
        <v>21</v>
      </c>
      <c r="B149" s="65">
        <v>45803</v>
      </c>
      <c r="C149" s="63">
        <v>3</v>
      </c>
      <c r="D149" s="38" t="s">
        <v>180</v>
      </c>
      <c r="E149" s="23" t="s">
        <v>125</v>
      </c>
      <c r="F149" s="39">
        <v>5.0785999999999998</v>
      </c>
      <c r="G149" s="64" t="s">
        <v>352</v>
      </c>
      <c r="H149" s="70"/>
      <c r="K149" s="40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132" t="s">
        <v>15</v>
      </c>
      <c r="BB149" s="4">
        <v>0</v>
      </c>
      <c r="BC149">
        <v>0</v>
      </c>
      <c r="BD149" s="4" t="str">
        <f>IF(Configuração!$C$75="","",("QC-"&amp;Configuração!$C$75&amp;TEXT(1,"00")))</f>
        <v/>
      </c>
    </row>
    <row r="150" spans="1:56" x14ac:dyDescent="0.3">
      <c r="A150" s="63">
        <v>22</v>
      </c>
      <c r="B150" s="65">
        <v>45810</v>
      </c>
      <c r="C150" s="63">
        <v>3</v>
      </c>
      <c r="D150" s="38" t="s">
        <v>180</v>
      </c>
      <c r="E150" s="23" t="s">
        <v>125</v>
      </c>
      <c r="F150" s="39">
        <v>5.1661999999999999</v>
      </c>
      <c r="G150" s="64" t="s">
        <v>352</v>
      </c>
      <c r="H150" s="70"/>
      <c r="K150" s="40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132" t="s">
        <v>15</v>
      </c>
      <c r="BB150" s="4">
        <v>0</v>
      </c>
      <c r="BC150">
        <v>0</v>
      </c>
      <c r="BD150" s="4" t="str">
        <f>IF(Configuração!$C$75="","",("QC-"&amp;Configuração!$C$75&amp;TEXT(2,"00")))</f>
        <v/>
      </c>
    </row>
    <row r="151" spans="1:56" x14ac:dyDescent="0.3">
      <c r="A151" s="63">
        <v>23</v>
      </c>
      <c r="B151" s="65">
        <v>45817</v>
      </c>
      <c r="C151" s="63">
        <v>3</v>
      </c>
      <c r="D151" s="38" t="s">
        <v>180</v>
      </c>
      <c r="E151" s="23" t="s">
        <v>125</v>
      </c>
      <c r="F151" s="39">
        <v>5.1173999999999999</v>
      </c>
      <c r="G151" s="64" t="s">
        <v>352</v>
      </c>
      <c r="H151" s="70"/>
      <c r="K151" s="40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132" t="s">
        <v>15</v>
      </c>
      <c r="BB151" s="4">
        <v>0</v>
      </c>
      <c r="BC151">
        <v>0</v>
      </c>
      <c r="BD151" s="4" t="str">
        <f>IF(Configuração!$C$75="","",("QC-"&amp;Configuração!$C$75&amp;TEXT(3,"00")))</f>
        <v/>
      </c>
    </row>
    <row r="152" spans="1:56" x14ac:dyDescent="0.3">
      <c r="A152" s="63">
        <v>24</v>
      </c>
      <c r="B152" s="65">
        <v>45824</v>
      </c>
      <c r="C152" s="63">
        <v>3</v>
      </c>
      <c r="D152" s="38" t="s">
        <v>180</v>
      </c>
      <c r="E152" s="23" t="s">
        <v>125</v>
      </c>
      <c r="F152" s="39">
        <v>5.1561000000000003</v>
      </c>
      <c r="G152" s="64" t="s">
        <v>352</v>
      </c>
      <c r="H152" s="70"/>
      <c r="K152" s="40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132" t="s">
        <v>15</v>
      </c>
      <c r="BB152" s="4">
        <v>0</v>
      </c>
      <c r="BC152">
        <v>0</v>
      </c>
    </row>
    <row r="153" spans="1:56" x14ac:dyDescent="0.3">
      <c r="A153" s="63">
        <v>25</v>
      </c>
      <c r="B153" s="65">
        <v>45831</v>
      </c>
      <c r="C153" s="63">
        <v>3</v>
      </c>
      <c r="D153" s="38" t="s">
        <v>180</v>
      </c>
      <c r="E153" s="23" t="s">
        <v>125</v>
      </c>
      <c r="F153" s="39">
        <v>5.1231999999999998</v>
      </c>
      <c r="G153" s="64" t="s">
        <v>352</v>
      </c>
      <c r="H153" s="70"/>
      <c r="K153" s="40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132" t="s">
        <v>15</v>
      </c>
      <c r="BB153" s="4">
        <v>0</v>
      </c>
      <c r="BC153">
        <v>0</v>
      </c>
    </row>
    <row r="154" spans="1:56" x14ac:dyDescent="0.3">
      <c r="A154" s="63">
        <v>1</v>
      </c>
      <c r="B154" s="65">
        <v>45663</v>
      </c>
      <c r="C154" s="63">
        <v>1</v>
      </c>
      <c r="D154" s="38" t="s">
        <v>178</v>
      </c>
      <c r="E154" s="23" t="s">
        <v>127</v>
      </c>
      <c r="F154" s="39">
        <v>5.4584999999999999</v>
      </c>
      <c r="G154" s="64" t="s">
        <v>352</v>
      </c>
      <c r="H154" s="70"/>
      <c r="K154" s="40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132" t="s">
        <v>15</v>
      </c>
      <c r="BB154" s="4">
        <v>1</v>
      </c>
      <c r="BC154">
        <v>0</v>
      </c>
    </row>
    <row r="155" spans="1:56" x14ac:dyDescent="0.3">
      <c r="A155" s="63">
        <v>2</v>
      </c>
      <c r="B155" s="65">
        <v>45670</v>
      </c>
      <c r="C155" s="63">
        <v>1</v>
      </c>
      <c r="D155" s="38" t="s">
        <v>178</v>
      </c>
      <c r="E155" s="23" t="s">
        <v>127</v>
      </c>
      <c r="F155" s="39">
        <v>5.4805000000000001</v>
      </c>
      <c r="G155" s="64" t="s">
        <v>352</v>
      </c>
      <c r="H155" s="70"/>
      <c r="K155" s="40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132" t="s">
        <v>15</v>
      </c>
      <c r="BB155" s="4">
        <v>1</v>
      </c>
      <c r="BC155">
        <v>0</v>
      </c>
    </row>
    <row r="156" spans="1:56" x14ac:dyDescent="0.3">
      <c r="A156" s="63">
        <v>3</v>
      </c>
      <c r="B156" s="65">
        <v>45677</v>
      </c>
      <c r="C156" s="63">
        <v>1</v>
      </c>
      <c r="D156" s="38" t="s">
        <v>178</v>
      </c>
      <c r="E156" s="23" t="s">
        <v>127</v>
      </c>
      <c r="F156" s="39">
        <v>5.4664999999999999</v>
      </c>
      <c r="G156" s="64" t="s">
        <v>352</v>
      </c>
      <c r="H156" s="70"/>
      <c r="K156" s="40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132" t="s">
        <v>15</v>
      </c>
      <c r="BB156" s="4">
        <v>1</v>
      </c>
      <c r="BC156">
        <v>0</v>
      </c>
    </row>
    <row r="157" spans="1:56" x14ac:dyDescent="0.3">
      <c r="A157" s="63">
        <v>4</v>
      </c>
      <c r="B157" s="65">
        <v>45684</v>
      </c>
      <c r="C157" s="63">
        <v>1</v>
      </c>
      <c r="D157" s="38" t="s">
        <v>178</v>
      </c>
      <c r="E157" s="23" t="s">
        <v>127</v>
      </c>
      <c r="F157" s="39">
        <v>5.5004999999999997</v>
      </c>
      <c r="G157" s="64" t="s">
        <v>352</v>
      </c>
      <c r="H157" s="70"/>
      <c r="K157" s="40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132" t="s">
        <v>15</v>
      </c>
      <c r="BB157" s="4">
        <v>1</v>
      </c>
      <c r="BC157">
        <v>0</v>
      </c>
    </row>
    <row r="158" spans="1:56" x14ac:dyDescent="0.3">
      <c r="A158" s="63">
        <v>5</v>
      </c>
      <c r="B158" s="65">
        <v>45691</v>
      </c>
      <c r="C158" s="63">
        <v>1</v>
      </c>
      <c r="D158" s="38" t="s">
        <v>178</v>
      </c>
      <c r="E158" s="23" t="s">
        <v>127</v>
      </c>
      <c r="F158" s="39">
        <v>5.4775999999999998</v>
      </c>
      <c r="G158" s="64" t="s">
        <v>352</v>
      </c>
      <c r="H158" s="70"/>
      <c r="K158" s="40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132" t="s">
        <v>15</v>
      </c>
      <c r="BB158" s="4">
        <v>1</v>
      </c>
      <c r="BC158">
        <v>0</v>
      </c>
    </row>
    <row r="159" spans="1:56" x14ac:dyDescent="0.3">
      <c r="A159" s="63">
        <v>6</v>
      </c>
      <c r="B159" s="65">
        <v>45698</v>
      </c>
      <c r="C159" s="63">
        <v>1</v>
      </c>
      <c r="D159" s="38" t="s">
        <v>178</v>
      </c>
      <c r="E159" s="23" t="s">
        <v>127</v>
      </c>
      <c r="F159" s="39">
        <v>5.4821</v>
      </c>
      <c r="G159" s="64" t="s">
        <v>352</v>
      </c>
      <c r="H159" s="70"/>
      <c r="K159" s="40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132" t="s">
        <v>15</v>
      </c>
      <c r="BB159" s="4">
        <v>1</v>
      </c>
      <c r="BC159">
        <v>0</v>
      </c>
    </row>
    <row r="160" spans="1:56" x14ac:dyDescent="0.3">
      <c r="A160" s="63">
        <v>7</v>
      </c>
      <c r="B160" s="65">
        <v>45705</v>
      </c>
      <c r="C160" s="63">
        <v>1</v>
      </c>
      <c r="D160" s="38" t="s">
        <v>178</v>
      </c>
      <c r="E160" s="23" t="s">
        <v>127</v>
      </c>
      <c r="F160" s="39">
        <v>5.4176000000000002</v>
      </c>
      <c r="G160" s="64" t="s">
        <v>352</v>
      </c>
      <c r="H160" s="70"/>
      <c r="K160" s="40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132" t="s">
        <v>15</v>
      </c>
      <c r="BB160" s="4">
        <v>1</v>
      </c>
      <c r="BC160">
        <v>0</v>
      </c>
    </row>
    <row r="161" spans="1:55" x14ac:dyDescent="0.3">
      <c r="A161" s="63">
        <v>8</v>
      </c>
      <c r="B161" s="65">
        <v>45712</v>
      </c>
      <c r="C161" s="63">
        <v>1</v>
      </c>
      <c r="D161" s="38" t="s">
        <v>178</v>
      </c>
      <c r="E161" s="23" t="s">
        <v>127</v>
      </c>
      <c r="F161" s="39">
        <v>5.4518000000000004</v>
      </c>
      <c r="G161" s="64" t="s">
        <v>352</v>
      </c>
      <c r="H161" s="70"/>
      <c r="K161" s="40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132" t="s">
        <v>15</v>
      </c>
      <c r="BB161" s="4">
        <v>1</v>
      </c>
      <c r="BC161">
        <v>0</v>
      </c>
    </row>
    <row r="162" spans="1:55" x14ac:dyDescent="0.3">
      <c r="A162" s="63">
        <v>9</v>
      </c>
      <c r="B162" s="65">
        <v>45719</v>
      </c>
      <c r="C162" s="63">
        <v>1</v>
      </c>
      <c r="D162" s="38" t="s">
        <v>178</v>
      </c>
      <c r="E162" s="23" t="s">
        <v>127</v>
      </c>
      <c r="F162" s="39">
        <v>5.5987999999999998</v>
      </c>
      <c r="G162" s="64" t="s">
        <v>352</v>
      </c>
      <c r="H162" s="70"/>
      <c r="K162" s="40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132" t="s">
        <v>15</v>
      </c>
      <c r="BB162" s="4">
        <v>1</v>
      </c>
      <c r="BC162">
        <v>0</v>
      </c>
    </row>
    <row r="163" spans="1:55" x14ac:dyDescent="0.3">
      <c r="A163" s="63">
        <v>10</v>
      </c>
      <c r="B163" s="65">
        <v>45726</v>
      </c>
      <c r="C163" s="63">
        <v>1</v>
      </c>
      <c r="D163" s="38" t="s">
        <v>178</v>
      </c>
      <c r="E163" s="23" t="s">
        <v>127</v>
      </c>
      <c r="F163" s="39">
        <v>5.4599000000000002</v>
      </c>
      <c r="G163" s="64" t="s">
        <v>352</v>
      </c>
      <c r="H163" s="70"/>
      <c r="K163" s="40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132" t="s">
        <v>15</v>
      </c>
      <c r="BB163" s="4">
        <v>1</v>
      </c>
      <c r="BC163">
        <v>0</v>
      </c>
    </row>
    <row r="164" spans="1:55" x14ac:dyDescent="0.3">
      <c r="A164" s="63">
        <v>11</v>
      </c>
      <c r="B164" s="65">
        <v>45733</v>
      </c>
      <c r="C164" s="63">
        <v>1</v>
      </c>
      <c r="D164" s="38" t="s">
        <v>178</v>
      </c>
      <c r="E164" s="23" t="s">
        <v>127</v>
      </c>
      <c r="F164" s="39">
        <v>5.4370000000000003</v>
      </c>
      <c r="G164" s="64" t="s">
        <v>352</v>
      </c>
      <c r="H164" s="70"/>
      <c r="K164" s="40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132" t="s">
        <v>15</v>
      </c>
      <c r="BB164" s="4">
        <v>1</v>
      </c>
      <c r="BC164">
        <v>0</v>
      </c>
    </row>
    <row r="165" spans="1:55" x14ac:dyDescent="0.3">
      <c r="A165" s="63">
        <v>12</v>
      </c>
      <c r="B165" s="65">
        <v>45740</v>
      </c>
      <c r="C165" s="63">
        <v>1</v>
      </c>
      <c r="D165" s="38" t="s">
        <v>178</v>
      </c>
      <c r="E165" s="23" t="s">
        <v>127</v>
      </c>
      <c r="F165" s="39">
        <v>5.5202</v>
      </c>
      <c r="G165" s="64" t="s">
        <v>352</v>
      </c>
      <c r="H165" s="70"/>
      <c r="K165" s="40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132" t="s">
        <v>15</v>
      </c>
      <c r="BB165" s="4">
        <v>1</v>
      </c>
      <c r="BC165">
        <v>0</v>
      </c>
    </row>
    <row r="166" spans="1:55" x14ac:dyDescent="0.3">
      <c r="A166" s="63">
        <v>13</v>
      </c>
      <c r="B166" s="65">
        <v>45747</v>
      </c>
      <c r="C166" s="63">
        <v>1</v>
      </c>
      <c r="D166" s="38" t="s">
        <v>178</v>
      </c>
      <c r="E166" s="23" t="s">
        <v>127</v>
      </c>
      <c r="F166" s="39">
        <v>5.5841000000000003</v>
      </c>
      <c r="G166" s="64" t="s">
        <v>352</v>
      </c>
      <c r="H166" s="70"/>
      <c r="K166" s="40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132" t="s">
        <v>15</v>
      </c>
      <c r="BB166" s="4">
        <v>1</v>
      </c>
      <c r="BC166">
        <v>0</v>
      </c>
    </row>
    <row r="167" spans="1:55" x14ac:dyDescent="0.3">
      <c r="A167" s="63">
        <v>14</v>
      </c>
      <c r="B167" s="65">
        <v>45754</v>
      </c>
      <c r="C167" s="63">
        <v>1</v>
      </c>
      <c r="D167" s="38" t="s">
        <v>178</v>
      </c>
      <c r="E167" s="23" t="s">
        <v>127</v>
      </c>
      <c r="F167" s="39">
        <v>5.4131</v>
      </c>
      <c r="G167" s="64" t="s">
        <v>352</v>
      </c>
      <c r="H167" s="70"/>
      <c r="K167" s="40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132" t="s">
        <v>15</v>
      </c>
      <c r="BB167" s="4">
        <v>1</v>
      </c>
      <c r="BC167">
        <v>0</v>
      </c>
    </row>
    <row r="168" spans="1:55" x14ac:dyDescent="0.3">
      <c r="A168" s="63">
        <v>15</v>
      </c>
      <c r="B168" s="65">
        <v>45761</v>
      </c>
      <c r="C168" s="63">
        <v>1</v>
      </c>
      <c r="D168" s="38" t="s">
        <v>178</v>
      </c>
      <c r="E168" s="23" t="s">
        <v>127</v>
      </c>
      <c r="F168" s="39">
        <v>5.4874999999999998</v>
      </c>
      <c r="G168" s="64" t="s">
        <v>352</v>
      </c>
      <c r="H168" s="70"/>
      <c r="K168" s="40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132" t="s">
        <v>15</v>
      </c>
      <c r="BB168" s="4">
        <v>1</v>
      </c>
      <c r="BC168">
        <v>0</v>
      </c>
    </row>
    <row r="169" spans="1:55" x14ac:dyDescent="0.3">
      <c r="A169" s="63">
        <v>16</v>
      </c>
      <c r="B169" s="65">
        <v>45768</v>
      </c>
      <c r="C169" s="63">
        <v>1</v>
      </c>
      <c r="D169" s="38" t="s">
        <v>178</v>
      </c>
      <c r="E169" s="23" t="s">
        <v>127</v>
      </c>
      <c r="F169" s="39">
        <v>5.4622000000000002</v>
      </c>
      <c r="G169" s="64" t="s">
        <v>352</v>
      </c>
      <c r="H169" s="70"/>
      <c r="K169" s="40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132" t="s">
        <v>15</v>
      </c>
      <c r="BB169" s="4">
        <v>1</v>
      </c>
      <c r="BC169">
        <v>0</v>
      </c>
    </row>
    <row r="170" spans="1:55" x14ac:dyDescent="0.3">
      <c r="A170" s="63">
        <v>17</v>
      </c>
      <c r="B170" s="65">
        <v>45775</v>
      </c>
      <c r="C170" s="63">
        <v>1</v>
      </c>
      <c r="D170" s="38" t="s">
        <v>178</v>
      </c>
      <c r="E170" s="23" t="s">
        <v>127</v>
      </c>
      <c r="F170" s="39">
        <v>5.3948</v>
      </c>
      <c r="G170" s="64" t="s">
        <v>352</v>
      </c>
      <c r="H170" s="70"/>
      <c r="K170" s="40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132" t="s">
        <v>15</v>
      </c>
      <c r="BB170" s="4">
        <v>1</v>
      </c>
      <c r="BC170">
        <v>0</v>
      </c>
    </row>
    <row r="171" spans="1:55" x14ac:dyDescent="0.3">
      <c r="A171" s="63">
        <v>18</v>
      </c>
      <c r="B171" s="65">
        <v>45782</v>
      </c>
      <c r="C171" s="63">
        <v>1</v>
      </c>
      <c r="D171" s="38" t="s">
        <v>178</v>
      </c>
      <c r="E171" s="23" t="s">
        <v>127</v>
      </c>
      <c r="F171" s="39">
        <v>5.5438999999999998</v>
      </c>
      <c r="G171" s="64" t="s">
        <v>352</v>
      </c>
      <c r="H171" s="70"/>
      <c r="K171" s="40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132" t="s">
        <v>15</v>
      </c>
      <c r="BB171" s="4">
        <v>1</v>
      </c>
      <c r="BC171">
        <v>0</v>
      </c>
    </row>
    <row r="172" spans="1:55" x14ac:dyDescent="0.3">
      <c r="A172" s="63">
        <v>19</v>
      </c>
      <c r="B172" s="65">
        <v>45789</v>
      </c>
      <c r="C172" s="63">
        <v>1</v>
      </c>
      <c r="D172" s="38" t="s">
        <v>178</v>
      </c>
      <c r="E172" s="23" t="s">
        <v>127</v>
      </c>
      <c r="F172" s="39">
        <v>5.4985999999999997</v>
      </c>
      <c r="G172" s="64" t="s">
        <v>352</v>
      </c>
      <c r="H172" s="70"/>
      <c r="K172" s="40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132" t="s">
        <v>15</v>
      </c>
      <c r="BB172" s="4">
        <v>1</v>
      </c>
      <c r="BC172">
        <v>0</v>
      </c>
    </row>
    <row r="173" spans="1:55" x14ac:dyDescent="0.3">
      <c r="A173" s="63">
        <v>20</v>
      </c>
      <c r="B173" s="65">
        <v>45796</v>
      </c>
      <c r="C173" s="63">
        <v>1</v>
      </c>
      <c r="D173" s="38" t="s">
        <v>178</v>
      </c>
      <c r="E173" s="23" t="s">
        <v>127</v>
      </c>
      <c r="F173" s="39">
        <v>5.5042999999999997</v>
      </c>
      <c r="G173" s="64" t="s">
        <v>352</v>
      </c>
      <c r="H173" s="70"/>
      <c r="K173" s="40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132" t="s">
        <v>15</v>
      </c>
      <c r="BB173" s="4">
        <v>1</v>
      </c>
      <c r="BC173">
        <v>0</v>
      </c>
    </row>
    <row r="174" spans="1:55" x14ac:dyDescent="0.3">
      <c r="A174" s="63">
        <v>21</v>
      </c>
      <c r="B174" s="65">
        <v>45803</v>
      </c>
      <c r="C174" s="63">
        <v>1</v>
      </c>
      <c r="D174" s="38" t="s">
        <v>178</v>
      </c>
      <c r="E174" s="23" t="s">
        <v>127</v>
      </c>
      <c r="F174" s="39">
        <v>5.4550000000000001</v>
      </c>
      <c r="G174" s="64" t="s">
        <v>352</v>
      </c>
      <c r="H174" s="70"/>
      <c r="K174" s="40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132" t="s">
        <v>15</v>
      </c>
      <c r="BB174" s="4">
        <v>1</v>
      </c>
      <c r="BC174">
        <v>0</v>
      </c>
    </row>
    <row r="175" spans="1:55" x14ac:dyDescent="0.3">
      <c r="A175" s="63">
        <v>22</v>
      </c>
      <c r="B175" s="65">
        <v>45810</v>
      </c>
      <c r="C175" s="63">
        <v>1</v>
      </c>
      <c r="D175" s="38" t="s">
        <v>178</v>
      </c>
      <c r="E175" s="23" t="s">
        <v>127</v>
      </c>
      <c r="F175" s="39">
        <v>5.5271999999999997</v>
      </c>
      <c r="G175" s="64" t="s">
        <v>352</v>
      </c>
      <c r="H175" s="70"/>
      <c r="K175" s="40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132" t="s">
        <v>15</v>
      </c>
      <c r="BB175" s="4">
        <v>1</v>
      </c>
      <c r="BC175">
        <v>0</v>
      </c>
    </row>
    <row r="176" spans="1:55" x14ac:dyDescent="0.3">
      <c r="A176" s="63">
        <v>23</v>
      </c>
      <c r="B176" s="65">
        <v>45817</v>
      </c>
      <c r="C176" s="63">
        <v>1</v>
      </c>
      <c r="D176" s="38" t="s">
        <v>178</v>
      </c>
      <c r="E176" s="23" t="s">
        <v>127</v>
      </c>
      <c r="F176" s="39">
        <v>5.4678000000000004</v>
      </c>
      <c r="G176" s="64" t="s">
        <v>352</v>
      </c>
      <c r="H176" s="70"/>
      <c r="K176" s="40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132" t="s">
        <v>15</v>
      </c>
      <c r="BB176" s="4">
        <v>1</v>
      </c>
      <c r="BC176">
        <v>0</v>
      </c>
    </row>
    <row r="177" spans="1:55" x14ac:dyDescent="0.3">
      <c r="A177" s="63">
        <v>24</v>
      </c>
      <c r="B177" s="65">
        <v>45824</v>
      </c>
      <c r="C177" s="63">
        <v>1</v>
      </c>
      <c r="D177" s="38" t="s">
        <v>178</v>
      </c>
      <c r="E177" s="23" t="s">
        <v>127</v>
      </c>
      <c r="F177" s="39">
        <v>5.4915000000000003</v>
      </c>
      <c r="G177" s="64" t="s">
        <v>352</v>
      </c>
      <c r="H177" s="70"/>
      <c r="K177" s="40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132" t="s">
        <v>15</v>
      </c>
      <c r="BB177" s="4">
        <v>1</v>
      </c>
      <c r="BC177">
        <v>0</v>
      </c>
    </row>
    <row r="178" spans="1:55" x14ac:dyDescent="0.3">
      <c r="A178" s="63">
        <v>25</v>
      </c>
      <c r="B178" s="65">
        <v>45831</v>
      </c>
      <c r="C178" s="63">
        <v>1</v>
      </c>
      <c r="D178" s="38" t="s">
        <v>178</v>
      </c>
      <c r="E178" s="23" t="s">
        <v>127</v>
      </c>
      <c r="F178" s="39">
        <v>5.4337999999999997</v>
      </c>
      <c r="G178" s="64" t="s">
        <v>352</v>
      </c>
      <c r="H178" s="70"/>
      <c r="K178" s="40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132" t="s">
        <v>15</v>
      </c>
      <c r="BB178" s="4">
        <v>1</v>
      </c>
      <c r="BC178">
        <v>0</v>
      </c>
    </row>
    <row r="179" spans="1:55" x14ac:dyDescent="0.3">
      <c r="A179" s="63">
        <v>1</v>
      </c>
      <c r="B179" s="65">
        <v>45663</v>
      </c>
      <c r="C179" s="63">
        <v>2</v>
      </c>
      <c r="D179" s="38" t="s">
        <v>179</v>
      </c>
      <c r="E179" s="23" t="s">
        <v>127</v>
      </c>
      <c r="F179" s="39">
        <v>12.174899999999999</v>
      </c>
      <c r="G179" s="64" t="s">
        <v>352</v>
      </c>
      <c r="H179" s="70"/>
      <c r="K179" s="40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132" t="s">
        <v>15</v>
      </c>
      <c r="BB179" s="4">
        <v>0</v>
      </c>
      <c r="BC179">
        <v>0</v>
      </c>
    </row>
    <row r="180" spans="1:55" x14ac:dyDescent="0.3">
      <c r="A180" s="63">
        <v>2</v>
      </c>
      <c r="B180" s="65">
        <v>45670</v>
      </c>
      <c r="C180" s="63">
        <v>2</v>
      </c>
      <c r="D180" s="38" t="s">
        <v>179</v>
      </c>
      <c r="E180" s="23" t="s">
        <v>127</v>
      </c>
      <c r="F180" s="39">
        <v>12.386799999999999</v>
      </c>
      <c r="G180" s="64" t="s">
        <v>352</v>
      </c>
      <c r="H180" s="70"/>
      <c r="K180" s="40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132" t="s">
        <v>15</v>
      </c>
      <c r="BB180" s="4">
        <v>0</v>
      </c>
      <c r="BC180">
        <v>0</v>
      </c>
    </row>
    <row r="181" spans="1:55" x14ac:dyDescent="0.3">
      <c r="A181" s="63">
        <v>3</v>
      </c>
      <c r="B181" s="65">
        <v>45677</v>
      </c>
      <c r="C181" s="63">
        <v>2</v>
      </c>
      <c r="D181" s="38" t="s">
        <v>179</v>
      </c>
      <c r="E181" s="23" t="s">
        <v>127</v>
      </c>
      <c r="F181" s="39">
        <v>12.233700000000001</v>
      </c>
      <c r="G181" s="64" t="s">
        <v>352</v>
      </c>
      <c r="H181" s="70"/>
      <c r="K181" s="40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132" t="s">
        <v>15</v>
      </c>
      <c r="BB181" s="4">
        <v>0</v>
      </c>
      <c r="BC181">
        <v>0</v>
      </c>
    </row>
    <row r="182" spans="1:55" x14ac:dyDescent="0.3">
      <c r="A182" s="63">
        <v>4</v>
      </c>
      <c r="B182" s="65">
        <v>45684</v>
      </c>
      <c r="C182" s="63">
        <v>2</v>
      </c>
      <c r="D182" s="38" t="s">
        <v>179</v>
      </c>
      <c r="E182" s="23" t="s">
        <v>127</v>
      </c>
      <c r="F182" s="39">
        <v>12.3001</v>
      </c>
      <c r="G182" s="64" t="s">
        <v>352</v>
      </c>
      <c r="H182" s="70"/>
      <c r="K182" s="40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132" t="s">
        <v>15</v>
      </c>
      <c r="BB182" s="4">
        <v>0</v>
      </c>
      <c r="BC182">
        <v>0</v>
      </c>
    </row>
    <row r="183" spans="1:55" x14ac:dyDescent="0.3">
      <c r="A183" s="63">
        <v>5</v>
      </c>
      <c r="B183" s="65">
        <v>45691</v>
      </c>
      <c r="C183" s="63">
        <v>2</v>
      </c>
      <c r="D183" s="38" t="s">
        <v>179</v>
      </c>
      <c r="E183" s="23" t="s">
        <v>127</v>
      </c>
      <c r="F183" s="39">
        <v>12.273099999999999</v>
      </c>
      <c r="G183" s="64" t="s">
        <v>352</v>
      </c>
      <c r="H183" s="70"/>
      <c r="K183" s="40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132" t="s">
        <v>15</v>
      </c>
      <c r="BB183" s="4">
        <v>0</v>
      </c>
      <c r="BC183">
        <v>0</v>
      </c>
    </row>
    <row r="184" spans="1:55" x14ac:dyDescent="0.3">
      <c r="A184" s="63">
        <v>6</v>
      </c>
      <c r="B184" s="65">
        <v>45698</v>
      </c>
      <c r="C184" s="63">
        <v>2</v>
      </c>
      <c r="D184" s="38" t="s">
        <v>179</v>
      </c>
      <c r="E184" s="23" t="s">
        <v>127</v>
      </c>
      <c r="F184" s="39">
        <v>12.2392</v>
      </c>
      <c r="G184" s="64" t="s">
        <v>352</v>
      </c>
      <c r="H184" s="70"/>
      <c r="K184" s="40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132" t="s">
        <v>15</v>
      </c>
      <c r="BB184" s="4">
        <v>0</v>
      </c>
      <c r="BC184">
        <v>0</v>
      </c>
    </row>
    <row r="185" spans="1:55" x14ac:dyDescent="0.3">
      <c r="A185" s="63">
        <v>7</v>
      </c>
      <c r="B185" s="65">
        <v>45705</v>
      </c>
      <c r="C185" s="63">
        <v>2</v>
      </c>
      <c r="D185" s="38" t="s">
        <v>179</v>
      </c>
      <c r="E185" s="23" t="s">
        <v>127</v>
      </c>
      <c r="F185" s="39">
        <v>12.233700000000001</v>
      </c>
      <c r="G185" s="64" t="s">
        <v>352</v>
      </c>
      <c r="H185" s="70"/>
      <c r="K185" s="40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132" t="s">
        <v>15</v>
      </c>
      <c r="BB185" s="4">
        <v>0</v>
      </c>
      <c r="BC185">
        <v>0</v>
      </c>
    </row>
    <row r="186" spans="1:55" x14ac:dyDescent="0.3">
      <c r="A186" s="63">
        <v>8</v>
      </c>
      <c r="B186" s="65">
        <v>45712</v>
      </c>
      <c r="C186" s="63">
        <v>2</v>
      </c>
      <c r="D186" s="38" t="s">
        <v>179</v>
      </c>
      <c r="E186" s="23" t="s">
        <v>127</v>
      </c>
      <c r="F186" s="39">
        <v>12.328200000000001</v>
      </c>
      <c r="G186" s="64" t="s">
        <v>352</v>
      </c>
      <c r="H186" s="70"/>
      <c r="K186" s="40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132" t="s">
        <v>15</v>
      </c>
      <c r="BB186" s="4">
        <v>0</v>
      </c>
      <c r="BC186">
        <v>0</v>
      </c>
    </row>
    <row r="187" spans="1:55" x14ac:dyDescent="0.3">
      <c r="A187" s="63">
        <v>9</v>
      </c>
      <c r="B187" s="65">
        <v>45719</v>
      </c>
      <c r="C187" s="63">
        <v>2</v>
      </c>
      <c r="D187" s="38" t="s">
        <v>179</v>
      </c>
      <c r="E187" s="23" t="s">
        <v>127</v>
      </c>
      <c r="F187" s="39">
        <v>12.2508</v>
      </c>
      <c r="G187" s="64" t="s">
        <v>352</v>
      </c>
      <c r="H187" s="70"/>
      <c r="K187" s="40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132" t="s">
        <v>15</v>
      </c>
      <c r="BB187" s="4">
        <v>0</v>
      </c>
      <c r="BC187">
        <v>0</v>
      </c>
    </row>
    <row r="188" spans="1:55" x14ac:dyDescent="0.3">
      <c r="A188" s="63">
        <v>10</v>
      </c>
      <c r="B188" s="65">
        <v>45726</v>
      </c>
      <c r="C188" s="63">
        <v>2</v>
      </c>
      <c r="D188" s="38" t="s">
        <v>179</v>
      </c>
      <c r="E188" s="23" t="s">
        <v>127</v>
      </c>
      <c r="F188" s="39">
        <v>12.263299999999999</v>
      </c>
      <c r="G188" s="64" t="s">
        <v>352</v>
      </c>
      <c r="H188" s="70"/>
      <c r="K188" s="40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132" t="s">
        <v>15</v>
      </c>
      <c r="BB188" s="4">
        <v>0</v>
      </c>
      <c r="BC188">
        <v>0</v>
      </c>
    </row>
    <row r="189" spans="1:55" x14ac:dyDescent="0.3">
      <c r="A189" s="63">
        <v>11</v>
      </c>
      <c r="B189" s="65">
        <v>45733</v>
      </c>
      <c r="C189" s="63">
        <v>2</v>
      </c>
      <c r="D189" s="38" t="s">
        <v>179</v>
      </c>
      <c r="E189" s="23" t="s">
        <v>127</v>
      </c>
      <c r="F189" s="39">
        <v>12.277699999999999</v>
      </c>
      <c r="G189" s="64" t="s">
        <v>352</v>
      </c>
      <c r="H189" s="70"/>
      <c r="K189" s="40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132" t="s">
        <v>15</v>
      </c>
      <c r="BB189" s="4">
        <v>0</v>
      </c>
      <c r="BC189">
        <v>0</v>
      </c>
    </row>
    <row r="190" spans="1:55" x14ac:dyDescent="0.3">
      <c r="A190" s="63">
        <v>12</v>
      </c>
      <c r="B190" s="65">
        <v>45740</v>
      </c>
      <c r="C190" s="63">
        <v>2</v>
      </c>
      <c r="D190" s="38" t="s">
        <v>179</v>
      </c>
      <c r="E190" s="23" t="s">
        <v>127</v>
      </c>
      <c r="F190" s="39">
        <v>12.3736</v>
      </c>
      <c r="G190" s="64" t="s">
        <v>352</v>
      </c>
      <c r="H190" s="70"/>
      <c r="K190" s="40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132" t="s">
        <v>15</v>
      </c>
      <c r="BB190" s="4">
        <v>0</v>
      </c>
      <c r="BC190">
        <v>0</v>
      </c>
    </row>
    <row r="191" spans="1:55" x14ac:dyDescent="0.3">
      <c r="A191" s="63">
        <v>13</v>
      </c>
      <c r="B191" s="65">
        <v>45747</v>
      </c>
      <c r="C191" s="63">
        <v>2</v>
      </c>
      <c r="D191" s="38" t="s">
        <v>179</v>
      </c>
      <c r="E191" s="23" t="s">
        <v>127</v>
      </c>
      <c r="F191" s="39">
        <v>12.3324</v>
      </c>
      <c r="G191" s="64" t="s">
        <v>352</v>
      </c>
      <c r="H191" s="70"/>
      <c r="K191" s="40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132" t="s">
        <v>15</v>
      </c>
      <c r="BB191" s="4">
        <v>0</v>
      </c>
      <c r="BC191">
        <v>0</v>
      </c>
    </row>
    <row r="192" spans="1:55" x14ac:dyDescent="0.3">
      <c r="A192" s="63">
        <v>14</v>
      </c>
      <c r="B192" s="65">
        <v>45754</v>
      </c>
      <c r="C192" s="63">
        <v>2</v>
      </c>
      <c r="D192" s="38" t="s">
        <v>179</v>
      </c>
      <c r="E192" s="23" t="s">
        <v>127</v>
      </c>
      <c r="F192" s="39">
        <v>12.307600000000001</v>
      </c>
      <c r="G192" s="64" t="s">
        <v>352</v>
      </c>
      <c r="H192" s="70"/>
      <c r="K192" s="40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132" t="s">
        <v>15</v>
      </c>
      <c r="BB192" s="4">
        <v>0</v>
      </c>
      <c r="BC192">
        <v>0</v>
      </c>
    </row>
    <row r="193" spans="1:55" x14ac:dyDescent="0.3">
      <c r="A193" s="63">
        <v>15</v>
      </c>
      <c r="B193" s="65">
        <v>45761</v>
      </c>
      <c r="C193" s="63">
        <v>2</v>
      </c>
      <c r="D193" s="38" t="s">
        <v>179</v>
      </c>
      <c r="E193" s="23" t="s">
        <v>127</v>
      </c>
      <c r="F193" s="39">
        <v>12.229100000000001</v>
      </c>
      <c r="G193" s="64" t="s">
        <v>352</v>
      </c>
      <c r="H193" s="70"/>
      <c r="K193" s="40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132" t="s">
        <v>15</v>
      </c>
      <c r="BB193" s="4">
        <v>0</v>
      </c>
      <c r="BC193">
        <v>0</v>
      </c>
    </row>
    <row r="194" spans="1:55" x14ac:dyDescent="0.3">
      <c r="A194" s="63">
        <v>16</v>
      </c>
      <c r="B194" s="65">
        <v>45768</v>
      </c>
      <c r="C194" s="63">
        <v>2</v>
      </c>
      <c r="D194" s="38" t="s">
        <v>179</v>
      </c>
      <c r="E194" s="23" t="s">
        <v>127</v>
      </c>
      <c r="F194" s="39">
        <v>12.161099999999999</v>
      </c>
      <c r="G194" s="64" t="s">
        <v>352</v>
      </c>
      <c r="H194" s="70"/>
      <c r="K194" s="40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132" t="s">
        <v>15</v>
      </c>
      <c r="BB194" s="4">
        <v>0</v>
      </c>
      <c r="BC194">
        <v>0</v>
      </c>
    </row>
    <row r="195" spans="1:55" x14ac:dyDescent="0.3">
      <c r="A195" s="63">
        <v>17</v>
      </c>
      <c r="B195" s="65">
        <v>45775</v>
      </c>
      <c r="C195" s="63">
        <v>2</v>
      </c>
      <c r="D195" s="38" t="s">
        <v>179</v>
      </c>
      <c r="E195" s="23" t="s">
        <v>127</v>
      </c>
      <c r="F195" s="39">
        <v>12.354699999999999</v>
      </c>
      <c r="G195" s="64" t="s">
        <v>352</v>
      </c>
      <c r="H195" s="70"/>
      <c r="K195" s="40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132" t="s">
        <v>15</v>
      </c>
      <c r="BB195" s="4">
        <v>0</v>
      </c>
      <c r="BC195">
        <v>0</v>
      </c>
    </row>
    <row r="196" spans="1:55" x14ac:dyDescent="0.3">
      <c r="A196" s="63">
        <v>18</v>
      </c>
      <c r="B196" s="65">
        <v>45782</v>
      </c>
      <c r="C196" s="63">
        <v>2</v>
      </c>
      <c r="D196" s="38" t="s">
        <v>179</v>
      </c>
      <c r="E196" s="23" t="s">
        <v>127</v>
      </c>
      <c r="F196" s="39">
        <v>12.3561</v>
      </c>
      <c r="G196" s="64" t="s">
        <v>352</v>
      </c>
      <c r="H196" s="70"/>
      <c r="K196" s="40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132" t="s">
        <v>15</v>
      </c>
      <c r="BB196" s="4">
        <v>0</v>
      </c>
      <c r="BC196">
        <v>0</v>
      </c>
    </row>
    <row r="197" spans="1:55" x14ac:dyDescent="0.3">
      <c r="A197" s="63">
        <v>19</v>
      </c>
      <c r="B197" s="65">
        <v>45789</v>
      </c>
      <c r="C197" s="63">
        <v>2</v>
      </c>
      <c r="D197" s="38" t="s">
        <v>179</v>
      </c>
      <c r="E197" s="23" t="s">
        <v>127</v>
      </c>
      <c r="F197" s="39">
        <v>12.264200000000001</v>
      </c>
      <c r="G197" s="64" t="s">
        <v>352</v>
      </c>
      <c r="H197" s="70"/>
      <c r="K197" s="40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132" t="s">
        <v>15</v>
      </c>
      <c r="BB197" s="4">
        <v>0</v>
      </c>
      <c r="BC197">
        <v>0</v>
      </c>
    </row>
    <row r="198" spans="1:55" x14ac:dyDescent="0.3">
      <c r="A198" s="63">
        <v>20</v>
      </c>
      <c r="B198" s="65">
        <v>45796</v>
      </c>
      <c r="C198" s="63">
        <v>2</v>
      </c>
      <c r="D198" s="38" t="s">
        <v>179</v>
      </c>
      <c r="E198" s="23" t="s">
        <v>127</v>
      </c>
      <c r="F198" s="39">
        <v>12.3209</v>
      </c>
      <c r="G198" s="64" t="s">
        <v>352</v>
      </c>
      <c r="H198" s="70"/>
      <c r="K198" s="40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132" t="s">
        <v>15</v>
      </c>
      <c r="BB198" s="4">
        <v>0</v>
      </c>
      <c r="BC198">
        <v>0</v>
      </c>
    </row>
    <row r="199" spans="1:55" x14ac:dyDescent="0.3">
      <c r="A199" s="63">
        <v>21</v>
      </c>
      <c r="B199" s="65">
        <v>45803</v>
      </c>
      <c r="C199" s="63">
        <v>2</v>
      </c>
      <c r="D199" s="38" t="s">
        <v>179</v>
      </c>
      <c r="E199" s="23" t="s">
        <v>127</v>
      </c>
      <c r="F199" s="39">
        <v>12.3408</v>
      </c>
      <c r="G199" s="64" t="s">
        <v>352</v>
      </c>
      <c r="H199" s="70"/>
      <c r="K199" s="40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132" t="s">
        <v>15</v>
      </c>
      <c r="BB199" s="4">
        <v>0</v>
      </c>
      <c r="BC199">
        <v>0</v>
      </c>
    </row>
    <row r="200" spans="1:55" x14ac:dyDescent="0.3">
      <c r="A200" s="63">
        <v>22</v>
      </c>
      <c r="B200" s="65">
        <v>45810</v>
      </c>
      <c r="C200" s="63">
        <v>2</v>
      </c>
      <c r="D200" s="38" t="s">
        <v>179</v>
      </c>
      <c r="E200" s="23" t="s">
        <v>127</v>
      </c>
      <c r="F200" s="39">
        <v>12.344900000000001</v>
      </c>
      <c r="G200" s="64" t="s">
        <v>352</v>
      </c>
      <c r="H200" s="70"/>
      <c r="K200" s="40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132" t="s">
        <v>15</v>
      </c>
      <c r="BB200" s="4">
        <v>0</v>
      </c>
      <c r="BC200">
        <v>0</v>
      </c>
    </row>
    <row r="201" spans="1:55" x14ac:dyDescent="0.3">
      <c r="A201" s="63">
        <v>23</v>
      </c>
      <c r="B201" s="65">
        <v>45817</v>
      </c>
      <c r="C201" s="63">
        <v>2</v>
      </c>
      <c r="D201" s="38" t="s">
        <v>179</v>
      </c>
      <c r="E201" s="23" t="s">
        <v>127</v>
      </c>
      <c r="F201" s="39">
        <v>12.352399999999999</v>
      </c>
      <c r="G201" s="64" t="s">
        <v>352</v>
      </c>
      <c r="H201" s="70"/>
      <c r="K201" s="40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132" t="s">
        <v>15</v>
      </c>
      <c r="BB201" s="4">
        <v>0</v>
      </c>
      <c r="BC201">
        <v>0</v>
      </c>
    </row>
    <row r="202" spans="1:55" x14ac:dyDescent="0.3">
      <c r="A202" s="63">
        <v>24</v>
      </c>
      <c r="B202" s="65">
        <v>45824</v>
      </c>
      <c r="C202" s="63">
        <v>2</v>
      </c>
      <c r="D202" s="38" t="s">
        <v>179</v>
      </c>
      <c r="E202" s="23" t="s">
        <v>127</v>
      </c>
      <c r="F202" s="39">
        <v>12.238</v>
      </c>
      <c r="G202" s="64" t="s">
        <v>352</v>
      </c>
      <c r="H202" s="70"/>
      <c r="K202" s="40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132" t="s">
        <v>15</v>
      </c>
      <c r="BB202" s="4">
        <v>0</v>
      </c>
      <c r="BC202">
        <v>0</v>
      </c>
    </row>
    <row r="203" spans="1:55" x14ac:dyDescent="0.3">
      <c r="A203" s="63">
        <v>25</v>
      </c>
      <c r="B203" s="65">
        <v>45831</v>
      </c>
      <c r="C203" s="63">
        <v>2</v>
      </c>
      <c r="D203" s="38" t="s">
        <v>179</v>
      </c>
      <c r="E203" s="23" t="s">
        <v>127</v>
      </c>
      <c r="F203" s="39">
        <v>12.4017</v>
      </c>
      <c r="G203" s="64" t="s">
        <v>352</v>
      </c>
      <c r="H203" s="70"/>
      <c r="K203" s="40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132" t="s">
        <v>15</v>
      </c>
      <c r="BB203" s="4">
        <v>0</v>
      </c>
      <c r="BC203">
        <v>0</v>
      </c>
    </row>
    <row r="204" spans="1:55" x14ac:dyDescent="0.3">
      <c r="A204" s="63">
        <v>1</v>
      </c>
      <c r="B204" s="65">
        <v>45663</v>
      </c>
      <c r="C204" s="63">
        <v>3</v>
      </c>
      <c r="D204" s="38" t="s">
        <v>180</v>
      </c>
      <c r="E204" s="23" t="s">
        <v>127</v>
      </c>
      <c r="F204" s="39">
        <v>15.464</v>
      </c>
      <c r="G204" s="64" t="s">
        <v>352</v>
      </c>
      <c r="H204" s="70"/>
      <c r="K204" s="40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132" t="s">
        <v>15</v>
      </c>
      <c r="BB204" s="4">
        <v>0</v>
      </c>
      <c r="BC204">
        <v>0</v>
      </c>
    </row>
    <row r="205" spans="1:55" x14ac:dyDescent="0.3">
      <c r="A205" s="63">
        <v>2</v>
      </c>
      <c r="B205" s="65">
        <v>45670</v>
      </c>
      <c r="C205" s="63">
        <v>3</v>
      </c>
      <c r="D205" s="38" t="s">
        <v>180</v>
      </c>
      <c r="E205" s="23" t="s">
        <v>127</v>
      </c>
      <c r="F205" s="39">
        <v>15.6357</v>
      </c>
      <c r="G205" s="64" t="s">
        <v>352</v>
      </c>
      <c r="H205" s="70"/>
      <c r="K205" s="40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132" t="s">
        <v>15</v>
      </c>
      <c r="BB205" s="4">
        <v>0</v>
      </c>
      <c r="BC205">
        <v>0</v>
      </c>
    </row>
    <row r="206" spans="1:55" x14ac:dyDescent="0.3">
      <c r="A206" s="63">
        <v>3</v>
      </c>
      <c r="B206" s="65">
        <v>45677</v>
      </c>
      <c r="C206" s="63">
        <v>3</v>
      </c>
      <c r="D206" s="38" t="s">
        <v>180</v>
      </c>
      <c r="E206" s="23" t="s">
        <v>127</v>
      </c>
      <c r="F206" s="39">
        <v>15.605700000000001</v>
      </c>
      <c r="G206" s="64" t="s">
        <v>352</v>
      </c>
      <c r="H206" s="70"/>
      <c r="K206" s="40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132" t="s">
        <v>15</v>
      </c>
      <c r="BB206" s="4">
        <v>0</v>
      </c>
      <c r="BC206">
        <v>0</v>
      </c>
    </row>
    <row r="207" spans="1:55" x14ac:dyDescent="0.3">
      <c r="A207" s="63">
        <v>4</v>
      </c>
      <c r="B207" s="65">
        <v>45684</v>
      </c>
      <c r="C207" s="63">
        <v>3</v>
      </c>
      <c r="D207" s="38" t="s">
        <v>180</v>
      </c>
      <c r="E207" s="23" t="s">
        <v>127</v>
      </c>
      <c r="F207" s="39">
        <v>15.6366</v>
      </c>
      <c r="G207" s="64" t="s">
        <v>352</v>
      </c>
      <c r="H207" s="70"/>
      <c r="K207" s="40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132" t="s">
        <v>15</v>
      </c>
      <c r="BB207" s="4">
        <v>0</v>
      </c>
      <c r="BC207">
        <v>0</v>
      </c>
    </row>
    <row r="208" spans="1:55" x14ac:dyDescent="0.3">
      <c r="A208" s="63">
        <v>5</v>
      </c>
      <c r="B208" s="65">
        <v>45691</v>
      </c>
      <c r="C208" s="63">
        <v>3</v>
      </c>
      <c r="D208" s="38" t="s">
        <v>180</v>
      </c>
      <c r="E208" s="23" t="s">
        <v>127</v>
      </c>
      <c r="F208" s="39">
        <v>15.718500000000001</v>
      </c>
      <c r="G208" s="64" t="s">
        <v>352</v>
      </c>
      <c r="H208" s="70"/>
      <c r="K208" s="40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132" t="s">
        <v>15</v>
      </c>
      <c r="BB208" s="4">
        <v>0</v>
      </c>
      <c r="BC208">
        <v>0</v>
      </c>
    </row>
    <row r="209" spans="1:55" x14ac:dyDescent="0.3">
      <c r="A209" s="63">
        <v>6</v>
      </c>
      <c r="B209" s="65">
        <v>45698</v>
      </c>
      <c r="C209" s="63">
        <v>3</v>
      </c>
      <c r="D209" s="38" t="s">
        <v>180</v>
      </c>
      <c r="E209" s="23" t="s">
        <v>127</v>
      </c>
      <c r="F209" s="39">
        <v>15.686299999999999</v>
      </c>
      <c r="G209" s="64" t="s">
        <v>352</v>
      </c>
      <c r="H209" s="70"/>
      <c r="K209" s="40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132" t="s">
        <v>15</v>
      </c>
      <c r="BB209" s="4">
        <v>0</v>
      </c>
      <c r="BC209">
        <v>0</v>
      </c>
    </row>
    <row r="210" spans="1:55" x14ac:dyDescent="0.3">
      <c r="A210" s="63">
        <v>7</v>
      </c>
      <c r="B210" s="65">
        <v>45705</v>
      </c>
      <c r="C210" s="63">
        <v>3</v>
      </c>
      <c r="D210" s="38" t="s">
        <v>180</v>
      </c>
      <c r="E210" s="23" t="s">
        <v>127</v>
      </c>
      <c r="F210" s="39">
        <v>15.472300000000001</v>
      </c>
      <c r="G210" s="64" t="s">
        <v>352</v>
      </c>
      <c r="H210" s="70"/>
      <c r="K210" s="40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132" t="s">
        <v>15</v>
      </c>
      <c r="BB210" s="4">
        <v>0</v>
      </c>
      <c r="BC210">
        <v>0</v>
      </c>
    </row>
    <row r="211" spans="1:55" x14ac:dyDescent="0.3">
      <c r="A211" s="63">
        <v>8</v>
      </c>
      <c r="B211" s="65">
        <v>45712</v>
      </c>
      <c r="C211" s="63">
        <v>3</v>
      </c>
      <c r="D211" s="38" t="s">
        <v>180</v>
      </c>
      <c r="E211" s="23" t="s">
        <v>127</v>
      </c>
      <c r="F211" s="39">
        <v>15.428100000000001</v>
      </c>
      <c r="G211" s="64" t="s">
        <v>352</v>
      </c>
      <c r="H211" s="70"/>
      <c r="K211" s="40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132" t="s">
        <v>15</v>
      </c>
      <c r="BB211" s="4">
        <v>0</v>
      </c>
      <c r="BC211">
        <v>0</v>
      </c>
    </row>
    <row r="212" spans="1:55" x14ac:dyDescent="0.3">
      <c r="A212" s="63">
        <v>9</v>
      </c>
      <c r="B212" s="65">
        <v>45719</v>
      </c>
      <c r="C212" s="63">
        <v>3</v>
      </c>
      <c r="D212" s="38" t="s">
        <v>180</v>
      </c>
      <c r="E212" s="23" t="s">
        <v>127</v>
      </c>
      <c r="F212" s="39">
        <v>15.632</v>
      </c>
      <c r="G212" s="64" t="s">
        <v>352</v>
      </c>
      <c r="H212" s="70"/>
      <c r="K212" s="40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132" t="s">
        <v>15</v>
      </c>
      <c r="BB212" s="4">
        <v>0</v>
      </c>
      <c r="BC212">
        <v>0</v>
      </c>
    </row>
    <row r="213" spans="1:55" x14ac:dyDescent="0.3">
      <c r="A213" s="63">
        <v>10</v>
      </c>
      <c r="B213" s="65">
        <v>45726</v>
      </c>
      <c r="C213" s="63">
        <v>3</v>
      </c>
      <c r="D213" s="38" t="s">
        <v>180</v>
      </c>
      <c r="E213" s="23" t="s">
        <v>127</v>
      </c>
      <c r="F213" s="39">
        <v>15.482900000000001</v>
      </c>
      <c r="G213" s="64" t="s">
        <v>352</v>
      </c>
      <c r="H213" s="70"/>
      <c r="K213" s="40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132" t="s">
        <v>15</v>
      </c>
      <c r="BB213" s="4">
        <v>0</v>
      </c>
      <c r="BC213">
        <v>0</v>
      </c>
    </row>
    <row r="214" spans="1:55" x14ac:dyDescent="0.3">
      <c r="A214" s="63">
        <v>11</v>
      </c>
      <c r="B214" s="65">
        <v>45733</v>
      </c>
      <c r="C214" s="63">
        <v>3</v>
      </c>
      <c r="D214" s="38" t="s">
        <v>180</v>
      </c>
      <c r="E214" s="23" t="s">
        <v>127</v>
      </c>
      <c r="F214" s="39">
        <v>15.564500000000001</v>
      </c>
      <c r="G214" s="64" t="s">
        <v>352</v>
      </c>
      <c r="H214" s="70"/>
      <c r="K214" s="40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132" t="s">
        <v>15</v>
      </c>
      <c r="BB214" s="4">
        <v>0</v>
      </c>
      <c r="BC214">
        <v>0</v>
      </c>
    </row>
    <row r="215" spans="1:55" x14ac:dyDescent="0.3">
      <c r="A215" s="63">
        <v>12</v>
      </c>
      <c r="B215" s="65">
        <v>45740</v>
      </c>
      <c r="C215" s="63">
        <v>3</v>
      </c>
      <c r="D215" s="38" t="s">
        <v>180</v>
      </c>
      <c r="E215" s="23" t="s">
        <v>127</v>
      </c>
      <c r="F215" s="39">
        <v>15.633900000000001</v>
      </c>
      <c r="G215" s="64" t="s">
        <v>352</v>
      </c>
      <c r="H215" s="70"/>
      <c r="K215" s="40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132" t="s">
        <v>15</v>
      </c>
      <c r="BB215" s="4">
        <v>0</v>
      </c>
      <c r="BC215">
        <v>0</v>
      </c>
    </row>
    <row r="216" spans="1:55" x14ac:dyDescent="0.3">
      <c r="A216" s="63">
        <v>13</v>
      </c>
      <c r="B216" s="65">
        <v>45747</v>
      </c>
      <c r="C216" s="63">
        <v>3</v>
      </c>
      <c r="D216" s="38" t="s">
        <v>180</v>
      </c>
      <c r="E216" s="23" t="s">
        <v>127</v>
      </c>
      <c r="F216" s="39">
        <v>15.431699999999999</v>
      </c>
      <c r="G216" s="64" t="s">
        <v>352</v>
      </c>
      <c r="H216" s="70"/>
      <c r="K216" s="40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132" t="s">
        <v>15</v>
      </c>
      <c r="BB216" s="4">
        <v>0</v>
      </c>
      <c r="BC216">
        <v>0</v>
      </c>
    </row>
    <row r="217" spans="1:55" x14ac:dyDescent="0.3">
      <c r="A217" s="63">
        <v>14</v>
      </c>
      <c r="B217" s="65">
        <v>45754</v>
      </c>
      <c r="C217" s="63">
        <v>3</v>
      </c>
      <c r="D217" s="38" t="s">
        <v>180</v>
      </c>
      <c r="E217" s="23" t="s">
        <v>127</v>
      </c>
      <c r="F217" s="39">
        <v>15.393800000000001</v>
      </c>
      <c r="G217" s="64" t="s">
        <v>352</v>
      </c>
      <c r="H217" s="70"/>
      <c r="K217" s="40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132" t="s">
        <v>15</v>
      </c>
      <c r="BB217" s="4">
        <v>0</v>
      </c>
      <c r="BC217">
        <v>0</v>
      </c>
    </row>
    <row r="218" spans="1:55" x14ac:dyDescent="0.3">
      <c r="A218" s="63">
        <v>15</v>
      </c>
      <c r="B218" s="65">
        <v>45761</v>
      </c>
      <c r="C218" s="63">
        <v>3</v>
      </c>
      <c r="D218" s="38" t="s">
        <v>180</v>
      </c>
      <c r="E218" s="23" t="s">
        <v>127</v>
      </c>
      <c r="F218" s="39">
        <v>15.586600000000001</v>
      </c>
      <c r="G218" s="64" t="s">
        <v>352</v>
      </c>
      <c r="H218" s="70"/>
      <c r="K218" s="40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132" t="s">
        <v>15</v>
      </c>
      <c r="BB218" s="4">
        <v>0</v>
      </c>
      <c r="BC218">
        <v>0</v>
      </c>
    </row>
    <row r="219" spans="1:55" x14ac:dyDescent="0.3">
      <c r="A219" s="63">
        <v>16</v>
      </c>
      <c r="B219" s="65">
        <v>45768</v>
      </c>
      <c r="C219" s="63">
        <v>3</v>
      </c>
      <c r="D219" s="38" t="s">
        <v>180</v>
      </c>
      <c r="E219" s="23" t="s">
        <v>127</v>
      </c>
      <c r="F219" s="39">
        <v>15.569100000000001</v>
      </c>
      <c r="G219" s="64" t="s">
        <v>352</v>
      </c>
      <c r="H219" s="70"/>
      <c r="K219" s="40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132" t="s">
        <v>15</v>
      </c>
      <c r="BB219" s="4">
        <v>0</v>
      </c>
      <c r="BC219">
        <v>0</v>
      </c>
    </row>
    <row r="220" spans="1:55" x14ac:dyDescent="0.3">
      <c r="A220" s="63">
        <v>17</v>
      </c>
      <c r="B220" s="65">
        <v>45775</v>
      </c>
      <c r="C220" s="63">
        <v>3</v>
      </c>
      <c r="D220" s="38" t="s">
        <v>180</v>
      </c>
      <c r="E220" s="23" t="s">
        <v>127</v>
      </c>
      <c r="F220" s="39">
        <v>15.545500000000001</v>
      </c>
      <c r="G220" s="64" t="s">
        <v>352</v>
      </c>
      <c r="H220" s="70"/>
      <c r="K220" s="40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132" t="s">
        <v>15</v>
      </c>
      <c r="BB220" s="4">
        <v>0</v>
      </c>
      <c r="BC220">
        <v>0</v>
      </c>
    </row>
    <row r="221" spans="1:55" x14ac:dyDescent="0.3">
      <c r="A221" s="63">
        <v>18</v>
      </c>
      <c r="B221" s="65">
        <v>45782</v>
      </c>
      <c r="C221" s="63">
        <v>3</v>
      </c>
      <c r="D221" s="38" t="s">
        <v>180</v>
      </c>
      <c r="E221" s="23" t="s">
        <v>127</v>
      </c>
      <c r="F221" s="39">
        <v>15.5687</v>
      </c>
      <c r="G221" s="64" t="s">
        <v>352</v>
      </c>
      <c r="H221" s="70"/>
      <c r="K221" s="40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132" t="s">
        <v>15</v>
      </c>
      <c r="BB221" s="4">
        <v>0</v>
      </c>
      <c r="BC221">
        <v>0</v>
      </c>
    </row>
    <row r="222" spans="1:55" x14ac:dyDescent="0.3">
      <c r="A222" s="63">
        <v>19</v>
      </c>
      <c r="B222" s="65">
        <v>45789</v>
      </c>
      <c r="C222" s="63">
        <v>3</v>
      </c>
      <c r="D222" s="38" t="s">
        <v>180</v>
      </c>
      <c r="E222" s="23" t="s">
        <v>127</v>
      </c>
      <c r="F222" s="39">
        <v>15.4955</v>
      </c>
      <c r="G222" s="64" t="s">
        <v>352</v>
      </c>
      <c r="H222" s="70"/>
      <c r="K222" s="40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132" t="s">
        <v>15</v>
      </c>
      <c r="BB222" s="4">
        <v>0</v>
      </c>
      <c r="BC222">
        <v>0</v>
      </c>
    </row>
    <row r="223" spans="1:55" x14ac:dyDescent="0.3">
      <c r="A223" s="63">
        <v>20</v>
      </c>
      <c r="B223" s="65">
        <v>45796</v>
      </c>
      <c r="C223" s="63">
        <v>3</v>
      </c>
      <c r="D223" s="38" t="s">
        <v>180</v>
      </c>
      <c r="E223" s="23" t="s">
        <v>127</v>
      </c>
      <c r="F223" s="39">
        <v>15.442299999999999</v>
      </c>
      <c r="G223" s="64" t="s">
        <v>352</v>
      </c>
      <c r="H223" s="70"/>
      <c r="K223" s="40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132" t="s">
        <v>15</v>
      </c>
      <c r="BB223" s="4">
        <v>0</v>
      </c>
      <c r="BC223">
        <v>0</v>
      </c>
    </row>
    <row r="224" spans="1:55" x14ac:dyDescent="0.3">
      <c r="A224" s="63">
        <v>21</v>
      </c>
      <c r="B224" s="65">
        <v>45803</v>
      </c>
      <c r="C224" s="63">
        <v>3</v>
      </c>
      <c r="D224" s="38" t="s">
        <v>180</v>
      </c>
      <c r="E224" s="23" t="s">
        <v>127</v>
      </c>
      <c r="F224" s="39">
        <v>15.552</v>
      </c>
      <c r="G224" s="64" t="s">
        <v>352</v>
      </c>
      <c r="H224" s="70"/>
      <c r="K224" s="40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132" t="s">
        <v>15</v>
      </c>
      <c r="BB224" s="4">
        <v>0</v>
      </c>
      <c r="BC224">
        <v>0</v>
      </c>
    </row>
    <row r="225" spans="1:55" x14ac:dyDescent="0.3">
      <c r="A225" s="63">
        <v>22</v>
      </c>
      <c r="B225" s="65">
        <v>45810</v>
      </c>
      <c r="C225" s="63">
        <v>3</v>
      </c>
      <c r="D225" s="38" t="s">
        <v>180</v>
      </c>
      <c r="E225" s="23" t="s">
        <v>127</v>
      </c>
      <c r="F225" s="39">
        <v>15.4864</v>
      </c>
      <c r="G225" s="64" t="s">
        <v>352</v>
      </c>
      <c r="H225" s="70"/>
      <c r="K225" s="40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132" t="s">
        <v>15</v>
      </c>
      <c r="BB225" s="4">
        <v>0</v>
      </c>
      <c r="BC225">
        <v>0</v>
      </c>
    </row>
    <row r="226" spans="1:55" x14ac:dyDescent="0.3">
      <c r="A226" s="63">
        <v>23</v>
      </c>
      <c r="B226" s="65">
        <v>45817</v>
      </c>
      <c r="C226" s="63">
        <v>3</v>
      </c>
      <c r="D226" s="38" t="s">
        <v>180</v>
      </c>
      <c r="E226" s="23" t="s">
        <v>127</v>
      </c>
      <c r="F226" s="39">
        <v>15.431699999999999</v>
      </c>
      <c r="G226" s="64" t="s">
        <v>352</v>
      </c>
      <c r="H226" s="70"/>
      <c r="K226" s="40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132" t="s">
        <v>15</v>
      </c>
      <c r="BB226" s="4">
        <v>0</v>
      </c>
      <c r="BC226">
        <v>0</v>
      </c>
    </row>
    <row r="227" spans="1:55" x14ac:dyDescent="0.3">
      <c r="A227" s="63">
        <v>24</v>
      </c>
      <c r="B227" s="65">
        <v>45824</v>
      </c>
      <c r="C227" s="63">
        <v>3</v>
      </c>
      <c r="D227" s="38" t="s">
        <v>180</v>
      </c>
      <c r="E227" s="23" t="s">
        <v>127</v>
      </c>
      <c r="F227" s="39">
        <v>15.6067</v>
      </c>
      <c r="G227" s="64" t="s">
        <v>352</v>
      </c>
      <c r="H227" s="70"/>
      <c r="K227" s="40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132" t="s">
        <v>15</v>
      </c>
      <c r="BB227" s="4">
        <v>0</v>
      </c>
      <c r="BC227">
        <v>0</v>
      </c>
    </row>
    <row r="228" spans="1:55" x14ac:dyDescent="0.3">
      <c r="A228" s="63">
        <v>25</v>
      </c>
      <c r="B228" s="65">
        <v>45831</v>
      </c>
      <c r="C228" s="63">
        <v>3</v>
      </c>
      <c r="D228" s="38" t="s">
        <v>180</v>
      </c>
      <c r="E228" s="23" t="s">
        <v>127</v>
      </c>
      <c r="F228" s="39">
        <v>15.560499999999999</v>
      </c>
      <c r="G228" s="64" t="s">
        <v>352</v>
      </c>
      <c r="H228" s="70"/>
      <c r="K228" s="40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132" t="s">
        <v>15</v>
      </c>
      <c r="BB228" s="4">
        <v>0</v>
      </c>
      <c r="BC228">
        <v>0</v>
      </c>
    </row>
    <row r="229" spans="1:55" x14ac:dyDescent="0.3">
      <c r="A229" s="63">
        <v>1</v>
      </c>
      <c r="B229" s="65">
        <v>45663</v>
      </c>
      <c r="C229" s="63">
        <v>1</v>
      </c>
      <c r="D229" s="38" t="s">
        <v>178</v>
      </c>
      <c r="E229" s="23" t="s">
        <v>128</v>
      </c>
      <c r="F229" s="39">
        <v>16.760400000000001</v>
      </c>
      <c r="G229" s="64" t="s">
        <v>352</v>
      </c>
      <c r="H229" s="70"/>
      <c r="K229" s="40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132" t="s">
        <v>15</v>
      </c>
      <c r="BB229" s="4">
        <v>1</v>
      </c>
      <c r="BC229">
        <v>0</v>
      </c>
    </row>
    <row r="230" spans="1:55" x14ac:dyDescent="0.3">
      <c r="A230" s="63">
        <v>2</v>
      </c>
      <c r="B230" s="65">
        <v>45670</v>
      </c>
      <c r="C230" s="63">
        <v>1</v>
      </c>
      <c r="D230" s="38" t="s">
        <v>178</v>
      </c>
      <c r="E230" s="23" t="s">
        <v>128</v>
      </c>
      <c r="F230" s="39">
        <v>16.328099999999999</v>
      </c>
      <c r="G230" s="64" t="s">
        <v>352</v>
      </c>
      <c r="H230" s="70"/>
      <c r="K230" s="40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132" t="s">
        <v>15</v>
      </c>
      <c r="BB230" s="4">
        <v>1</v>
      </c>
      <c r="BC230">
        <v>0</v>
      </c>
    </row>
    <row r="231" spans="1:55" x14ac:dyDescent="0.3">
      <c r="A231" s="63">
        <v>3</v>
      </c>
      <c r="B231" s="65">
        <v>45677</v>
      </c>
      <c r="C231" s="63">
        <v>1</v>
      </c>
      <c r="D231" s="38" t="s">
        <v>178</v>
      </c>
      <c r="E231" s="23" t="s">
        <v>128</v>
      </c>
      <c r="F231" s="39">
        <v>16.430700000000002</v>
      </c>
      <c r="G231" s="64" t="s">
        <v>352</v>
      </c>
      <c r="H231" s="70"/>
      <c r="K231" s="40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132" t="s">
        <v>15</v>
      </c>
      <c r="BB231" s="4">
        <v>1</v>
      </c>
      <c r="BC231">
        <v>0</v>
      </c>
    </row>
    <row r="232" spans="1:55" x14ac:dyDescent="0.3">
      <c r="A232" s="63">
        <v>4</v>
      </c>
      <c r="B232" s="65">
        <v>45684</v>
      </c>
      <c r="C232" s="63">
        <v>1</v>
      </c>
      <c r="D232" s="38" t="s">
        <v>178</v>
      </c>
      <c r="E232" s="23" t="s">
        <v>128</v>
      </c>
      <c r="F232" s="39">
        <v>16.325099999999999</v>
      </c>
      <c r="G232" s="64" t="s">
        <v>352</v>
      </c>
      <c r="H232" s="70"/>
      <c r="K232" s="40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132" t="s">
        <v>15</v>
      </c>
      <c r="BB232" s="4">
        <v>1</v>
      </c>
      <c r="BC232">
        <v>0</v>
      </c>
    </row>
    <row r="233" spans="1:55" x14ac:dyDescent="0.3">
      <c r="A233" s="63">
        <v>5</v>
      </c>
      <c r="B233" s="65">
        <v>45691</v>
      </c>
      <c r="C233" s="63">
        <v>1</v>
      </c>
      <c r="D233" s="38" t="s">
        <v>178</v>
      </c>
      <c r="E233" s="23" t="s">
        <v>128</v>
      </c>
      <c r="F233" s="39">
        <v>16.3599</v>
      </c>
      <c r="G233" s="64" t="s">
        <v>352</v>
      </c>
      <c r="H233" s="70"/>
      <c r="K233" s="40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132" t="s">
        <v>15</v>
      </c>
      <c r="BB233" s="4">
        <v>1</v>
      </c>
      <c r="BC233">
        <v>0</v>
      </c>
    </row>
    <row r="234" spans="1:55" x14ac:dyDescent="0.3">
      <c r="A234" s="63">
        <v>6</v>
      </c>
      <c r="B234" s="65">
        <v>45698</v>
      </c>
      <c r="C234" s="63">
        <v>1</v>
      </c>
      <c r="D234" s="38" t="s">
        <v>178</v>
      </c>
      <c r="E234" s="23" t="s">
        <v>128</v>
      </c>
      <c r="F234" s="39">
        <v>16.695</v>
      </c>
      <c r="G234" s="64" t="s">
        <v>352</v>
      </c>
      <c r="H234" s="70"/>
      <c r="K234" s="40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132" t="s">
        <v>15</v>
      </c>
      <c r="BB234" s="4">
        <v>1</v>
      </c>
      <c r="BC234">
        <v>0</v>
      </c>
    </row>
    <row r="235" spans="1:55" x14ac:dyDescent="0.3">
      <c r="A235" s="63">
        <v>7</v>
      </c>
      <c r="B235" s="65">
        <v>45705</v>
      </c>
      <c r="C235" s="63">
        <v>1</v>
      </c>
      <c r="D235" s="38" t="s">
        <v>178</v>
      </c>
      <c r="E235" s="23" t="s">
        <v>128</v>
      </c>
      <c r="F235" s="39">
        <v>16.391999999999999</v>
      </c>
      <c r="G235" s="64" t="s">
        <v>352</v>
      </c>
      <c r="H235" s="70"/>
      <c r="K235" s="40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132" t="s">
        <v>15</v>
      </c>
      <c r="BB235" s="4">
        <v>1</v>
      </c>
      <c r="BC235">
        <v>0</v>
      </c>
    </row>
    <row r="236" spans="1:55" x14ac:dyDescent="0.3">
      <c r="A236" s="63">
        <v>8</v>
      </c>
      <c r="B236" s="65">
        <v>45712</v>
      </c>
      <c r="C236" s="63">
        <v>1</v>
      </c>
      <c r="D236" s="38" t="s">
        <v>178</v>
      </c>
      <c r="E236" s="23" t="s">
        <v>128</v>
      </c>
      <c r="F236" s="39">
        <v>16.744800000000001</v>
      </c>
      <c r="G236" s="64" t="s">
        <v>352</v>
      </c>
      <c r="H236" s="70"/>
      <c r="K236" s="40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132" t="s">
        <v>15</v>
      </c>
      <c r="BB236" s="4">
        <v>1</v>
      </c>
      <c r="BC236">
        <v>0</v>
      </c>
    </row>
    <row r="237" spans="1:55" x14ac:dyDescent="0.3">
      <c r="A237" s="63">
        <v>9</v>
      </c>
      <c r="B237" s="65">
        <v>45719</v>
      </c>
      <c r="C237" s="63">
        <v>1</v>
      </c>
      <c r="D237" s="38" t="s">
        <v>178</v>
      </c>
      <c r="E237" s="23" t="s">
        <v>128</v>
      </c>
      <c r="F237" s="39">
        <v>16.739699999999999</v>
      </c>
      <c r="G237" s="64" t="s">
        <v>352</v>
      </c>
      <c r="H237" s="70"/>
      <c r="K237" s="40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132" t="s">
        <v>15</v>
      </c>
      <c r="BB237" s="4">
        <v>1</v>
      </c>
      <c r="BC237">
        <v>0</v>
      </c>
    </row>
    <row r="238" spans="1:55" x14ac:dyDescent="0.3">
      <c r="A238" s="63">
        <v>10</v>
      </c>
      <c r="B238" s="65">
        <v>45726</v>
      </c>
      <c r="C238" s="63">
        <v>1</v>
      </c>
      <c r="D238" s="38" t="s">
        <v>178</v>
      </c>
      <c r="E238" s="23" t="s">
        <v>128</v>
      </c>
      <c r="F238" s="39">
        <v>17.261700000000001</v>
      </c>
      <c r="G238" s="64" t="s">
        <v>352</v>
      </c>
      <c r="H238" s="70"/>
      <c r="K238" s="40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132" t="s">
        <v>15</v>
      </c>
      <c r="BB238" s="4">
        <v>1</v>
      </c>
      <c r="BC238">
        <v>0</v>
      </c>
    </row>
    <row r="239" spans="1:55" x14ac:dyDescent="0.3">
      <c r="A239" s="63">
        <v>11</v>
      </c>
      <c r="B239" s="65">
        <v>45733</v>
      </c>
      <c r="C239" s="63">
        <v>1</v>
      </c>
      <c r="D239" s="38" t="s">
        <v>178</v>
      </c>
      <c r="E239" s="23" t="s">
        <v>128</v>
      </c>
      <c r="F239" s="39">
        <v>16.203099999999999</v>
      </c>
      <c r="G239" s="64" t="s">
        <v>352</v>
      </c>
      <c r="H239" s="70"/>
      <c r="K239" s="40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132" t="s">
        <v>15</v>
      </c>
      <c r="BB239" s="4">
        <v>1</v>
      </c>
      <c r="BC239">
        <v>0</v>
      </c>
    </row>
    <row r="240" spans="1:55" x14ac:dyDescent="0.3">
      <c r="A240" s="63">
        <v>12</v>
      </c>
      <c r="B240" s="65">
        <v>45740</v>
      </c>
      <c r="C240" s="63">
        <v>1</v>
      </c>
      <c r="D240" s="38" t="s">
        <v>178</v>
      </c>
      <c r="E240" s="23" t="s">
        <v>128</v>
      </c>
      <c r="F240" s="39">
        <v>16.909500000000001</v>
      </c>
      <c r="G240" s="64" t="s">
        <v>352</v>
      </c>
      <c r="H240" s="70"/>
      <c r="K240" s="40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132" t="s">
        <v>15</v>
      </c>
      <c r="BB240" s="4">
        <v>1</v>
      </c>
      <c r="BC240">
        <v>0</v>
      </c>
    </row>
    <row r="241" spans="1:55" x14ac:dyDescent="0.3">
      <c r="A241" s="63">
        <v>13</v>
      </c>
      <c r="B241" s="65">
        <v>45747</v>
      </c>
      <c r="C241" s="63">
        <v>1</v>
      </c>
      <c r="D241" s="38" t="s">
        <v>178</v>
      </c>
      <c r="E241" s="23" t="s">
        <v>128</v>
      </c>
      <c r="F241" s="39">
        <v>16.6068</v>
      </c>
      <c r="G241" s="64" t="s">
        <v>352</v>
      </c>
      <c r="H241" s="70"/>
      <c r="K241" s="40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132" t="s">
        <v>15</v>
      </c>
      <c r="BB241" s="4">
        <v>1</v>
      </c>
      <c r="BC241">
        <v>0</v>
      </c>
    </row>
    <row r="242" spans="1:55" x14ac:dyDescent="0.3">
      <c r="A242" s="63">
        <v>14</v>
      </c>
      <c r="B242" s="65">
        <v>45754</v>
      </c>
      <c r="C242" s="63">
        <v>1</v>
      </c>
      <c r="D242" s="38" t="s">
        <v>178</v>
      </c>
      <c r="E242" s="23" t="s">
        <v>128</v>
      </c>
      <c r="F242" s="39">
        <v>16.630099999999999</v>
      </c>
      <c r="G242" s="64" t="s">
        <v>352</v>
      </c>
      <c r="H242" s="70"/>
      <c r="K242" s="40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132" t="s">
        <v>15</v>
      </c>
      <c r="BB242" s="4">
        <v>1</v>
      </c>
      <c r="BC242">
        <v>0</v>
      </c>
    </row>
    <row r="243" spans="1:55" x14ac:dyDescent="0.3">
      <c r="A243" s="63">
        <v>15</v>
      </c>
      <c r="B243" s="65">
        <v>45761</v>
      </c>
      <c r="C243" s="63">
        <v>1</v>
      </c>
      <c r="D243" s="38" t="s">
        <v>178</v>
      </c>
      <c r="E243" s="23" t="s">
        <v>128</v>
      </c>
      <c r="F243" s="39">
        <v>16.185500000000001</v>
      </c>
      <c r="G243" s="64" t="s">
        <v>352</v>
      </c>
      <c r="H243" s="70"/>
      <c r="K243" s="40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132" t="s">
        <v>15</v>
      </c>
      <c r="BB243" s="4">
        <v>1</v>
      </c>
      <c r="BC243">
        <v>0</v>
      </c>
    </row>
    <row r="244" spans="1:55" x14ac:dyDescent="0.3">
      <c r="A244" s="63">
        <v>16</v>
      </c>
      <c r="B244" s="65">
        <v>45768</v>
      </c>
      <c r="C244" s="63">
        <v>1</v>
      </c>
      <c r="D244" s="38" t="s">
        <v>178</v>
      </c>
      <c r="E244" s="23" t="s">
        <v>128</v>
      </c>
      <c r="F244" s="39">
        <v>16.492000000000001</v>
      </c>
      <c r="G244" s="64" t="s">
        <v>352</v>
      </c>
      <c r="H244" s="70"/>
      <c r="K244" s="40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132" t="s">
        <v>15</v>
      </c>
      <c r="BB244" s="4">
        <v>1</v>
      </c>
      <c r="BC244">
        <v>0</v>
      </c>
    </row>
    <row r="245" spans="1:55" x14ac:dyDescent="0.3">
      <c r="A245" s="63">
        <v>17</v>
      </c>
      <c r="B245" s="65">
        <v>45775</v>
      </c>
      <c r="C245" s="63">
        <v>1</v>
      </c>
      <c r="D245" s="38" t="s">
        <v>178</v>
      </c>
      <c r="E245" s="23" t="s">
        <v>128</v>
      </c>
      <c r="F245" s="39">
        <v>16.864599999999999</v>
      </c>
      <c r="G245" s="64" t="s">
        <v>352</v>
      </c>
      <c r="H245" s="70"/>
      <c r="K245" s="40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132" t="s">
        <v>15</v>
      </c>
      <c r="BB245" s="4">
        <v>1</v>
      </c>
      <c r="BC245">
        <v>0</v>
      </c>
    </row>
    <row r="246" spans="1:55" x14ac:dyDescent="0.3">
      <c r="A246" s="63">
        <v>18</v>
      </c>
      <c r="B246" s="65">
        <v>45782</v>
      </c>
      <c r="C246" s="63">
        <v>1</v>
      </c>
      <c r="D246" s="38" t="s">
        <v>178</v>
      </c>
      <c r="E246" s="23" t="s">
        <v>128</v>
      </c>
      <c r="F246" s="39">
        <v>16.608899999999998</v>
      </c>
      <c r="G246" s="64" t="s">
        <v>352</v>
      </c>
      <c r="H246" s="70"/>
      <c r="K246" s="40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132" t="s">
        <v>15</v>
      </c>
      <c r="BB246" s="4">
        <v>1</v>
      </c>
      <c r="BC246">
        <v>0</v>
      </c>
    </row>
    <row r="247" spans="1:55" x14ac:dyDescent="0.3">
      <c r="A247" s="63">
        <v>19</v>
      </c>
      <c r="B247" s="65">
        <v>45789</v>
      </c>
      <c r="C247" s="63">
        <v>1</v>
      </c>
      <c r="D247" s="38" t="s">
        <v>178</v>
      </c>
      <c r="E247" s="23" t="s">
        <v>128</v>
      </c>
      <c r="F247" s="39">
        <v>16.659600000000001</v>
      </c>
      <c r="G247" s="64" t="s">
        <v>352</v>
      </c>
      <c r="H247" s="70"/>
      <c r="K247" s="40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132" t="s">
        <v>15</v>
      </c>
      <c r="BB247" s="4">
        <v>1</v>
      </c>
      <c r="BC247">
        <v>0</v>
      </c>
    </row>
    <row r="248" spans="1:55" x14ac:dyDescent="0.3">
      <c r="A248" s="63">
        <v>20</v>
      </c>
      <c r="B248" s="65">
        <v>45796</v>
      </c>
      <c r="C248" s="63">
        <v>1</v>
      </c>
      <c r="D248" s="38" t="s">
        <v>178</v>
      </c>
      <c r="E248" s="23" t="s">
        <v>128</v>
      </c>
      <c r="F248" s="39">
        <v>16.5444</v>
      </c>
      <c r="G248" s="64" t="s">
        <v>352</v>
      </c>
      <c r="H248" s="70"/>
      <c r="K248" s="40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132" t="s">
        <v>15</v>
      </c>
      <c r="BB248" s="4">
        <v>1</v>
      </c>
      <c r="BC248">
        <v>0</v>
      </c>
    </row>
    <row r="249" spans="1:55" x14ac:dyDescent="0.3">
      <c r="A249" s="63">
        <v>21</v>
      </c>
      <c r="B249" s="65">
        <v>45803</v>
      </c>
      <c r="C249" s="63">
        <v>1</v>
      </c>
      <c r="D249" s="38" t="s">
        <v>178</v>
      </c>
      <c r="E249" s="23" t="s">
        <v>128</v>
      </c>
      <c r="F249" s="39">
        <v>16.992000000000001</v>
      </c>
      <c r="G249" s="64" t="s">
        <v>352</v>
      </c>
      <c r="H249" s="70"/>
      <c r="K249" s="40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132" t="s">
        <v>15</v>
      </c>
      <c r="BB249" s="4">
        <v>1</v>
      </c>
      <c r="BC249">
        <v>0</v>
      </c>
    </row>
    <row r="250" spans="1:55" x14ac:dyDescent="0.3">
      <c r="A250" s="63">
        <v>22</v>
      </c>
      <c r="B250" s="65">
        <v>45810</v>
      </c>
      <c r="C250" s="63">
        <v>1</v>
      </c>
      <c r="D250" s="38" t="s">
        <v>178</v>
      </c>
      <c r="E250" s="23" t="s">
        <v>128</v>
      </c>
      <c r="F250" s="39">
        <v>16.627800000000001</v>
      </c>
      <c r="G250" s="64" t="s">
        <v>352</v>
      </c>
      <c r="H250" s="70"/>
      <c r="K250" s="40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132" t="s">
        <v>15</v>
      </c>
      <c r="BB250" s="4">
        <v>1</v>
      </c>
      <c r="BC250">
        <v>0</v>
      </c>
    </row>
    <row r="251" spans="1:55" x14ac:dyDescent="0.3">
      <c r="A251" s="63">
        <v>23</v>
      </c>
      <c r="B251" s="65">
        <v>45817</v>
      </c>
      <c r="C251" s="63">
        <v>1</v>
      </c>
      <c r="D251" s="38" t="s">
        <v>178</v>
      </c>
      <c r="E251" s="23" t="s">
        <v>128</v>
      </c>
      <c r="F251" s="39">
        <v>15.952999999999999</v>
      </c>
      <c r="G251" s="64" t="s">
        <v>352</v>
      </c>
      <c r="H251" s="70"/>
      <c r="K251" s="40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132" t="s">
        <v>15</v>
      </c>
      <c r="BB251" s="4">
        <v>1</v>
      </c>
      <c r="BC251">
        <v>0</v>
      </c>
    </row>
    <row r="252" spans="1:55" x14ac:dyDescent="0.3">
      <c r="A252" s="63">
        <v>24</v>
      </c>
      <c r="B252" s="65">
        <v>45824</v>
      </c>
      <c r="C252" s="63">
        <v>1</v>
      </c>
      <c r="D252" s="38" t="s">
        <v>178</v>
      </c>
      <c r="E252" s="23" t="s">
        <v>128</v>
      </c>
      <c r="F252" s="39">
        <v>16.420200000000001</v>
      </c>
      <c r="G252" s="64" t="s">
        <v>352</v>
      </c>
      <c r="H252" s="70"/>
      <c r="K252" s="40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132" t="s">
        <v>15</v>
      </c>
      <c r="BB252" s="4">
        <v>1</v>
      </c>
      <c r="BC252">
        <v>0</v>
      </c>
    </row>
    <row r="253" spans="1:55" x14ac:dyDescent="0.3">
      <c r="A253" s="63">
        <v>25</v>
      </c>
      <c r="B253" s="65">
        <v>45831</v>
      </c>
      <c r="C253" s="63">
        <v>1</v>
      </c>
      <c r="D253" s="38" t="s">
        <v>178</v>
      </c>
      <c r="E253" s="23" t="s">
        <v>128</v>
      </c>
      <c r="F253" s="39">
        <v>16.024799999999999</v>
      </c>
      <c r="G253" s="64" t="s">
        <v>352</v>
      </c>
      <c r="H253" s="70"/>
      <c r="K253" s="40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132" t="s">
        <v>15</v>
      </c>
      <c r="BB253" s="4">
        <v>1</v>
      </c>
      <c r="BC253">
        <v>0</v>
      </c>
    </row>
    <row r="254" spans="1:55" x14ac:dyDescent="0.3">
      <c r="A254" s="63">
        <v>1</v>
      </c>
      <c r="B254" s="65">
        <v>45663</v>
      </c>
      <c r="C254" s="63">
        <v>2</v>
      </c>
      <c r="D254" s="38" t="s">
        <v>179</v>
      </c>
      <c r="E254" s="23" t="s">
        <v>128</v>
      </c>
      <c r="F254" s="39">
        <v>34.364199999999997</v>
      </c>
      <c r="G254" s="64" t="s">
        <v>352</v>
      </c>
      <c r="H254" s="70"/>
      <c r="K254" s="40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132" t="s">
        <v>15</v>
      </c>
      <c r="BB254" s="4">
        <v>0</v>
      </c>
      <c r="BC254">
        <v>0</v>
      </c>
    </row>
    <row r="255" spans="1:55" x14ac:dyDescent="0.3">
      <c r="A255" s="63">
        <v>2</v>
      </c>
      <c r="B255" s="65">
        <v>45670</v>
      </c>
      <c r="C255" s="63">
        <v>2</v>
      </c>
      <c r="D255" s="38" t="s">
        <v>179</v>
      </c>
      <c r="E255" s="23" t="s">
        <v>128</v>
      </c>
      <c r="F255" s="39">
        <v>35.594799999999999</v>
      </c>
      <c r="G255" s="64" t="s">
        <v>352</v>
      </c>
      <c r="H255" s="70"/>
      <c r="K255" s="40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132" t="s">
        <v>15</v>
      </c>
      <c r="BB255" s="4">
        <v>0</v>
      </c>
      <c r="BC255">
        <v>0</v>
      </c>
    </row>
    <row r="256" spans="1:55" x14ac:dyDescent="0.3">
      <c r="A256" s="63">
        <v>3</v>
      </c>
      <c r="B256" s="65">
        <v>45677</v>
      </c>
      <c r="C256" s="63">
        <v>2</v>
      </c>
      <c r="D256" s="38" t="s">
        <v>179</v>
      </c>
      <c r="E256" s="23" t="s">
        <v>128</v>
      </c>
      <c r="F256" s="39">
        <v>36.4375</v>
      </c>
      <c r="G256" s="64" t="s">
        <v>352</v>
      </c>
      <c r="H256" s="70"/>
      <c r="K256" s="40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132" t="s">
        <v>15</v>
      </c>
      <c r="BB256" s="4">
        <v>0</v>
      </c>
      <c r="BC256">
        <v>0</v>
      </c>
    </row>
    <row r="257" spans="1:55" x14ac:dyDescent="0.3">
      <c r="A257" s="63">
        <v>4</v>
      </c>
      <c r="B257" s="65">
        <v>45684</v>
      </c>
      <c r="C257" s="63">
        <v>2</v>
      </c>
      <c r="D257" s="38" t="s">
        <v>179</v>
      </c>
      <c r="E257" s="23" t="s">
        <v>128</v>
      </c>
      <c r="F257" s="39">
        <v>35.855800000000002</v>
      </c>
      <c r="G257" s="64" t="s">
        <v>352</v>
      </c>
      <c r="H257" s="70"/>
      <c r="K257" s="40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132" t="s">
        <v>15</v>
      </c>
      <c r="BB257" s="4">
        <v>0</v>
      </c>
      <c r="BC257">
        <v>0</v>
      </c>
    </row>
    <row r="258" spans="1:55" x14ac:dyDescent="0.3">
      <c r="A258" s="63">
        <v>5</v>
      </c>
      <c r="B258" s="65">
        <v>45691</v>
      </c>
      <c r="C258" s="63">
        <v>2</v>
      </c>
      <c r="D258" s="38" t="s">
        <v>179</v>
      </c>
      <c r="E258" s="23" t="s">
        <v>128</v>
      </c>
      <c r="F258" s="39">
        <v>35.304299999999998</v>
      </c>
      <c r="G258" s="64" t="s">
        <v>352</v>
      </c>
      <c r="H258" s="70"/>
      <c r="K258" s="40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132" t="s">
        <v>15</v>
      </c>
      <c r="BB258" s="4">
        <v>0</v>
      </c>
      <c r="BC258">
        <v>0</v>
      </c>
    </row>
    <row r="259" spans="1:55" x14ac:dyDescent="0.3">
      <c r="A259" s="63">
        <v>6</v>
      </c>
      <c r="B259" s="65">
        <v>45698</v>
      </c>
      <c r="C259" s="63">
        <v>2</v>
      </c>
      <c r="D259" s="38" t="s">
        <v>179</v>
      </c>
      <c r="E259" s="23" t="s">
        <v>128</v>
      </c>
      <c r="F259" s="39">
        <v>35.409100000000002</v>
      </c>
      <c r="G259" s="64" t="s">
        <v>352</v>
      </c>
      <c r="H259" s="70"/>
      <c r="K259" s="40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132" t="s">
        <v>15</v>
      </c>
      <c r="BB259" s="4">
        <v>0</v>
      </c>
      <c r="BC259">
        <v>0</v>
      </c>
    </row>
    <row r="260" spans="1:55" x14ac:dyDescent="0.3">
      <c r="A260" s="63">
        <v>7</v>
      </c>
      <c r="B260" s="65">
        <v>45705</v>
      </c>
      <c r="C260" s="63">
        <v>2</v>
      </c>
      <c r="D260" s="38" t="s">
        <v>179</v>
      </c>
      <c r="E260" s="23" t="s">
        <v>128</v>
      </c>
      <c r="F260" s="39">
        <v>36.345700000000001</v>
      </c>
      <c r="G260" s="64" t="s">
        <v>352</v>
      </c>
      <c r="H260" s="70"/>
      <c r="K260" s="40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132" t="s">
        <v>15</v>
      </c>
      <c r="BB260" s="4">
        <v>0</v>
      </c>
      <c r="BC260">
        <v>0</v>
      </c>
    </row>
    <row r="261" spans="1:55" x14ac:dyDescent="0.3">
      <c r="A261" s="63">
        <v>8</v>
      </c>
      <c r="B261" s="65">
        <v>45712</v>
      </c>
      <c r="C261" s="63">
        <v>2</v>
      </c>
      <c r="D261" s="38" t="s">
        <v>179</v>
      </c>
      <c r="E261" s="23" t="s">
        <v>128</v>
      </c>
      <c r="F261" s="39">
        <v>35.905799999999999</v>
      </c>
      <c r="G261" s="64" t="s">
        <v>352</v>
      </c>
      <c r="H261" s="70"/>
      <c r="K261" s="40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132" t="s">
        <v>15</v>
      </c>
      <c r="BB261" s="4">
        <v>0</v>
      </c>
      <c r="BC261">
        <v>0</v>
      </c>
    </row>
    <row r="262" spans="1:55" x14ac:dyDescent="0.3">
      <c r="A262" s="63">
        <v>9</v>
      </c>
      <c r="B262" s="65">
        <v>45719</v>
      </c>
      <c r="C262" s="63">
        <v>2</v>
      </c>
      <c r="D262" s="38" t="s">
        <v>179</v>
      </c>
      <c r="E262" s="23" t="s">
        <v>128</v>
      </c>
      <c r="F262" s="39">
        <v>35.856200000000001</v>
      </c>
      <c r="G262" s="64" t="s">
        <v>352</v>
      </c>
      <c r="H262" s="70"/>
      <c r="K262" s="40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132" t="s">
        <v>15</v>
      </c>
      <c r="BB262" s="4">
        <v>0</v>
      </c>
      <c r="BC262">
        <v>0</v>
      </c>
    </row>
    <row r="263" spans="1:55" x14ac:dyDescent="0.3">
      <c r="A263" s="63">
        <v>10</v>
      </c>
      <c r="B263" s="65">
        <v>45726</v>
      </c>
      <c r="C263" s="63">
        <v>2</v>
      </c>
      <c r="D263" s="38" t="s">
        <v>179</v>
      </c>
      <c r="E263" s="23" t="s">
        <v>128</v>
      </c>
      <c r="F263" s="39">
        <v>35.810299999999998</v>
      </c>
      <c r="G263" s="64" t="s">
        <v>352</v>
      </c>
      <c r="H263" s="70"/>
      <c r="K263" s="40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132" t="s">
        <v>15</v>
      </c>
      <c r="BB263" s="4">
        <v>0</v>
      </c>
      <c r="BC263">
        <v>0</v>
      </c>
    </row>
    <row r="264" spans="1:55" x14ac:dyDescent="0.3">
      <c r="A264" s="63">
        <v>11</v>
      </c>
      <c r="B264" s="65">
        <v>45733</v>
      </c>
      <c r="C264" s="63">
        <v>2</v>
      </c>
      <c r="D264" s="38" t="s">
        <v>179</v>
      </c>
      <c r="E264" s="23" t="s">
        <v>128</v>
      </c>
      <c r="F264" s="39">
        <v>35.851799999999997</v>
      </c>
      <c r="G264" s="64" t="s">
        <v>352</v>
      </c>
      <c r="H264" s="70"/>
      <c r="K264" s="40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132" t="s">
        <v>15</v>
      </c>
      <c r="BB264" s="4">
        <v>0</v>
      </c>
      <c r="BC264">
        <v>0</v>
      </c>
    </row>
    <row r="265" spans="1:55" x14ac:dyDescent="0.3">
      <c r="A265" s="63">
        <v>12</v>
      </c>
      <c r="B265" s="65">
        <v>45740</v>
      </c>
      <c r="C265" s="63">
        <v>2</v>
      </c>
      <c r="D265" s="38" t="s">
        <v>179</v>
      </c>
      <c r="E265" s="23" t="s">
        <v>128</v>
      </c>
      <c r="F265" s="39">
        <v>36.198700000000002</v>
      </c>
      <c r="G265" s="64" t="s">
        <v>352</v>
      </c>
      <c r="H265" s="70"/>
      <c r="K265" s="40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132" t="s">
        <v>15</v>
      </c>
      <c r="BB265" s="4">
        <v>0</v>
      </c>
      <c r="BC265">
        <v>0</v>
      </c>
    </row>
    <row r="266" spans="1:55" x14ac:dyDescent="0.3">
      <c r="A266" s="63">
        <v>13</v>
      </c>
      <c r="B266" s="65">
        <v>45747</v>
      </c>
      <c r="C266" s="63">
        <v>2</v>
      </c>
      <c r="D266" s="38" t="s">
        <v>179</v>
      </c>
      <c r="E266" s="23" t="s">
        <v>128</v>
      </c>
      <c r="F266" s="39">
        <v>36.084400000000002</v>
      </c>
      <c r="G266" s="64" t="s">
        <v>352</v>
      </c>
      <c r="H266" s="70"/>
      <c r="K266" s="40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132" t="s">
        <v>15</v>
      </c>
      <c r="BB266" s="4">
        <v>0</v>
      </c>
      <c r="BC266">
        <v>0</v>
      </c>
    </row>
    <row r="267" spans="1:55" x14ac:dyDescent="0.3">
      <c r="A267" s="63">
        <v>14</v>
      </c>
      <c r="B267" s="65">
        <v>45754</v>
      </c>
      <c r="C267" s="63">
        <v>2</v>
      </c>
      <c r="D267" s="38" t="s">
        <v>179</v>
      </c>
      <c r="E267" s="23" t="s">
        <v>128</v>
      </c>
      <c r="F267" s="39">
        <v>35.932000000000002</v>
      </c>
      <c r="G267" s="64" t="s">
        <v>352</v>
      </c>
      <c r="H267" s="70"/>
      <c r="K267" s="40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132" t="s">
        <v>15</v>
      </c>
      <c r="BB267" s="4">
        <v>0</v>
      </c>
      <c r="BC267">
        <v>0</v>
      </c>
    </row>
    <row r="268" spans="1:55" x14ac:dyDescent="0.3">
      <c r="A268" s="63">
        <v>15</v>
      </c>
      <c r="B268" s="65">
        <v>45761</v>
      </c>
      <c r="C268" s="63">
        <v>2</v>
      </c>
      <c r="D268" s="38" t="s">
        <v>179</v>
      </c>
      <c r="E268" s="23" t="s">
        <v>128</v>
      </c>
      <c r="F268" s="39">
        <v>35.362900000000003</v>
      </c>
      <c r="G268" s="64" t="s">
        <v>352</v>
      </c>
      <c r="H268" s="70"/>
      <c r="K268" s="40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132" t="s">
        <v>15</v>
      </c>
      <c r="BB268" s="4">
        <v>0</v>
      </c>
      <c r="BC268">
        <v>0</v>
      </c>
    </row>
    <row r="269" spans="1:55" x14ac:dyDescent="0.3">
      <c r="A269" s="63">
        <v>16</v>
      </c>
      <c r="B269" s="65">
        <v>45768</v>
      </c>
      <c r="C269" s="63">
        <v>2</v>
      </c>
      <c r="D269" s="38" t="s">
        <v>179</v>
      </c>
      <c r="E269" s="23" t="s">
        <v>128</v>
      </c>
      <c r="F269" s="39">
        <v>36.065600000000003</v>
      </c>
      <c r="G269" s="64" t="s">
        <v>352</v>
      </c>
      <c r="H269" s="70"/>
      <c r="K269" s="40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132" t="s">
        <v>15</v>
      </c>
      <c r="BB269" s="4">
        <v>0</v>
      </c>
      <c r="BC269">
        <v>0</v>
      </c>
    </row>
    <row r="270" spans="1:55" x14ac:dyDescent="0.3">
      <c r="A270" s="63">
        <v>17</v>
      </c>
      <c r="B270" s="65">
        <v>45775</v>
      </c>
      <c r="C270" s="63">
        <v>2</v>
      </c>
      <c r="D270" s="38" t="s">
        <v>179</v>
      </c>
      <c r="E270" s="23" t="s">
        <v>128</v>
      </c>
      <c r="F270" s="39">
        <v>35.525100000000002</v>
      </c>
      <c r="G270" s="64" t="s">
        <v>352</v>
      </c>
      <c r="H270" s="70"/>
      <c r="K270" s="40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132" t="s">
        <v>15</v>
      </c>
      <c r="BB270" s="4">
        <v>0</v>
      </c>
      <c r="BC270">
        <v>0</v>
      </c>
    </row>
    <row r="271" spans="1:55" x14ac:dyDescent="0.3">
      <c r="A271" s="63">
        <v>18</v>
      </c>
      <c r="B271" s="65">
        <v>45782</v>
      </c>
      <c r="C271" s="63">
        <v>2</v>
      </c>
      <c r="D271" s="38" t="s">
        <v>179</v>
      </c>
      <c r="E271" s="23" t="s">
        <v>128</v>
      </c>
      <c r="F271" s="39">
        <v>36.329099999999997</v>
      </c>
      <c r="G271" s="64" t="s">
        <v>352</v>
      </c>
      <c r="H271" s="70"/>
      <c r="K271" s="40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132" t="s">
        <v>15</v>
      </c>
      <c r="BB271" s="4">
        <v>0</v>
      </c>
      <c r="BC271">
        <v>0</v>
      </c>
    </row>
    <row r="272" spans="1:55" x14ac:dyDescent="0.3">
      <c r="A272" s="63">
        <v>19</v>
      </c>
      <c r="B272" s="65">
        <v>45789</v>
      </c>
      <c r="C272" s="63">
        <v>2</v>
      </c>
      <c r="D272" s="38" t="s">
        <v>179</v>
      </c>
      <c r="E272" s="23" t="s">
        <v>128</v>
      </c>
      <c r="F272" s="39">
        <v>35.259700000000002</v>
      </c>
      <c r="G272" s="64" t="s">
        <v>352</v>
      </c>
      <c r="H272" s="70"/>
      <c r="K272" s="40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132" t="s">
        <v>15</v>
      </c>
      <c r="BB272" s="4">
        <v>0</v>
      </c>
      <c r="BC272">
        <v>0</v>
      </c>
    </row>
    <row r="273" spans="1:55" x14ac:dyDescent="0.3">
      <c r="A273" s="63">
        <v>20</v>
      </c>
      <c r="B273" s="65">
        <v>45796</v>
      </c>
      <c r="C273" s="63">
        <v>2</v>
      </c>
      <c r="D273" s="38" t="s">
        <v>179</v>
      </c>
      <c r="E273" s="23" t="s">
        <v>128</v>
      </c>
      <c r="F273" s="39">
        <v>35.772300000000001</v>
      </c>
      <c r="G273" s="64" t="s">
        <v>352</v>
      </c>
      <c r="H273" s="70"/>
      <c r="K273" s="40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132" t="s">
        <v>15</v>
      </c>
      <c r="BB273" s="4">
        <v>0</v>
      </c>
      <c r="BC273">
        <v>0</v>
      </c>
    </row>
    <row r="274" spans="1:55" x14ac:dyDescent="0.3">
      <c r="A274" s="63">
        <v>21</v>
      </c>
      <c r="B274" s="65">
        <v>45803</v>
      </c>
      <c r="C274" s="63">
        <v>2</v>
      </c>
      <c r="D274" s="38" t="s">
        <v>179</v>
      </c>
      <c r="E274" s="23" t="s">
        <v>128</v>
      </c>
      <c r="F274" s="39">
        <v>35.831200000000003</v>
      </c>
      <c r="G274" s="64" t="s">
        <v>352</v>
      </c>
      <c r="H274" s="70"/>
      <c r="K274" s="40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132" t="s">
        <v>15</v>
      </c>
      <c r="BB274" s="4">
        <v>0</v>
      </c>
      <c r="BC274">
        <v>0</v>
      </c>
    </row>
    <row r="275" spans="1:55" x14ac:dyDescent="0.3">
      <c r="A275" s="63">
        <v>22</v>
      </c>
      <c r="B275" s="65">
        <v>45810</v>
      </c>
      <c r="C275" s="63">
        <v>2</v>
      </c>
      <c r="D275" s="38" t="s">
        <v>179</v>
      </c>
      <c r="E275" s="23" t="s">
        <v>128</v>
      </c>
      <c r="F275" s="39">
        <v>35.235500000000002</v>
      </c>
      <c r="G275" s="64" t="s">
        <v>352</v>
      </c>
      <c r="H275" s="70"/>
      <c r="K275" s="40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132" t="s">
        <v>15</v>
      </c>
      <c r="BB275" s="4">
        <v>0</v>
      </c>
      <c r="BC275">
        <v>0</v>
      </c>
    </row>
    <row r="276" spans="1:55" x14ac:dyDescent="0.3">
      <c r="A276" s="63">
        <v>23</v>
      </c>
      <c r="B276" s="65">
        <v>45817</v>
      </c>
      <c r="C276" s="63">
        <v>2</v>
      </c>
      <c r="D276" s="38" t="s">
        <v>179</v>
      </c>
      <c r="E276" s="23" t="s">
        <v>128</v>
      </c>
      <c r="F276" s="39">
        <v>36.613199999999999</v>
      </c>
      <c r="G276" s="64" t="s">
        <v>352</v>
      </c>
      <c r="H276" s="70"/>
      <c r="K276" s="40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132" t="s">
        <v>15</v>
      </c>
      <c r="BB276" s="4">
        <v>0</v>
      </c>
      <c r="BC276">
        <v>0</v>
      </c>
    </row>
    <row r="277" spans="1:55" x14ac:dyDescent="0.3">
      <c r="A277" s="63">
        <v>24</v>
      </c>
      <c r="B277" s="65">
        <v>45824</v>
      </c>
      <c r="C277" s="63">
        <v>2</v>
      </c>
      <c r="D277" s="38" t="s">
        <v>179</v>
      </c>
      <c r="E277" s="23" t="s">
        <v>128</v>
      </c>
      <c r="F277" s="39">
        <v>36.494900000000001</v>
      </c>
      <c r="G277" s="64" t="s">
        <v>352</v>
      </c>
      <c r="H277" s="70"/>
      <c r="K277" s="40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132" t="s">
        <v>15</v>
      </c>
      <c r="BB277" s="4">
        <v>0</v>
      </c>
      <c r="BC277">
        <v>0</v>
      </c>
    </row>
    <row r="278" spans="1:55" x14ac:dyDescent="0.3">
      <c r="A278" s="63">
        <v>25</v>
      </c>
      <c r="B278" s="65">
        <v>45831</v>
      </c>
      <c r="C278" s="63">
        <v>2</v>
      </c>
      <c r="D278" s="38" t="s">
        <v>179</v>
      </c>
      <c r="E278" s="23" t="s">
        <v>128</v>
      </c>
      <c r="F278" s="39">
        <v>35.624899999999997</v>
      </c>
      <c r="G278" s="64" t="s">
        <v>352</v>
      </c>
      <c r="H278" s="70"/>
      <c r="K278" s="40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132" t="s">
        <v>15</v>
      </c>
      <c r="BB278" s="4">
        <v>0</v>
      </c>
      <c r="BC278">
        <v>0</v>
      </c>
    </row>
    <row r="279" spans="1:55" x14ac:dyDescent="0.3">
      <c r="A279" s="63">
        <v>1</v>
      </c>
      <c r="B279" s="65">
        <v>45663</v>
      </c>
      <c r="C279" s="63">
        <v>3</v>
      </c>
      <c r="D279" s="38" t="s">
        <v>180</v>
      </c>
      <c r="E279" s="23" t="s">
        <v>128</v>
      </c>
      <c r="F279" s="39">
        <v>45.295299999999997</v>
      </c>
      <c r="G279" s="64" t="s">
        <v>352</v>
      </c>
      <c r="H279" s="70"/>
      <c r="K279" s="40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132" t="s">
        <v>15</v>
      </c>
      <c r="BB279" s="4">
        <v>0</v>
      </c>
      <c r="BC279">
        <v>0</v>
      </c>
    </row>
    <row r="280" spans="1:55" x14ac:dyDescent="0.3">
      <c r="A280" s="63">
        <v>2</v>
      </c>
      <c r="B280" s="65">
        <v>45670</v>
      </c>
      <c r="C280" s="63">
        <v>3</v>
      </c>
      <c r="D280" s="38" t="s">
        <v>180</v>
      </c>
      <c r="E280" s="23" t="s">
        <v>128</v>
      </c>
      <c r="F280" s="39">
        <v>45.099200000000003</v>
      </c>
      <c r="G280" s="64" t="s">
        <v>352</v>
      </c>
      <c r="H280" s="70"/>
      <c r="K280" s="40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132" t="s">
        <v>15</v>
      </c>
      <c r="BB280" s="4">
        <v>0</v>
      </c>
      <c r="BC280">
        <v>0</v>
      </c>
    </row>
    <row r="281" spans="1:55" x14ac:dyDescent="0.3">
      <c r="A281" s="63">
        <v>3</v>
      </c>
      <c r="B281" s="65">
        <v>45677</v>
      </c>
      <c r="C281" s="63">
        <v>3</v>
      </c>
      <c r="D281" s="38" t="s">
        <v>180</v>
      </c>
      <c r="E281" s="23" t="s">
        <v>128</v>
      </c>
      <c r="F281" s="39">
        <v>43.606699999999996</v>
      </c>
      <c r="G281" s="64" t="s">
        <v>352</v>
      </c>
      <c r="H281" s="70"/>
      <c r="K281" s="40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132" t="s">
        <v>15</v>
      </c>
      <c r="BB281" s="4">
        <v>0</v>
      </c>
      <c r="BC281">
        <v>0</v>
      </c>
    </row>
    <row r="282" spans="1:55" x14ac:dyDescent="0.3">
      <c r="A282" s="63">
        <v>4</v>
      </c>
      <c r="B282" s="65">
        <v>45684</v>
      </c>
      <c r="C282" s="63">
        <v>3</v>
      </c>
      <c r="D282" s="38" t="s">
        <v>180</v>
      </c>
      <c r="E282" s="23" t="s">
        <v>128</v>
      </c>
      <c r="F282" s="39">
        <v>45.035200000000003</v>
      </c>
      <c r="G282" s="64" t="s">
        <v>352</v>
      </c>
      <c r="H282" s="70"/>
      <c r="K282" s="40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132" t="s">
        <v>15</v>
      </c>
      <c r="BB282" s="4">
        <v>0</v>
      </c>
      <c r="BC282">
        <v>0</v>
      </c>
    </row>
    <row r="283" spans="1:55" x14ac:dyDescent="0.3">
      <c r="A283" s="63">
        <v>5</v>
      </c>
      <c r="B283" s="65">
        <v>45691</v>
      </c>
      <c r="C283" s="63">
        <v>3</v>
      </c>
      <c r="D283" s="38" t="s">
        <v>180</v>
      </c>
      <c r="E283" s="23" t="s">
        <v>128</v>
      </c>
      <c r="F283" s="39">
        <v>44.8797</v>
      </c>
      <c r="G283" s="64" t="s">
        <v>352</v>
      </c>
      <c r="H283" s="70"/>
      <c r="K283" s="40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132" t="s">
        <v>15</v>
      </c>
      <c r="BB283" s="4">
        <v>0</v>
      </c>
      <c r="BC283">
        <v>0</v>
      </c>
    </row>
    <row r="284" spans="1:55" x14ac:dyDescent="0.3">
      <c r="A284" s="63">
        <v>6</v>
      </c>
      <c r="B284" s="65">
        <v>45698</v>
      </c>
      <c r="C284" s="63">
        <v>3</v>
      </c>
      <c r="D284" s="38" t="s">
        <v>180</v>
      </c>
      <c r="E284" s="23" t="s">
        <v>128</v>
      </c>
      <c r="F284" s="39">
        <v>44.951900000000002</v>
      </c>
      <c r="G284" s="64" t="s">
        <v>352</v>
      </c>
      <c r="H284" s="70"/>
      <c r="K284" s="40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132" t="s">
        <v>15</v>
      </c>
      <c r="BB284" s="4">
        <v>0</v>
      </c>
      <c r="BC284">
        <v>0</v>
      </c>
    </row>
    <row r="285" spans="1:55" x14ac:dyDescent="0.3">
      <c r="A285" s="63">
        <v>7</v>
      </c>
      <c r="B285" s="65">
        <v>45705</v>
      </c>
      <c r="C285" s="63">
        <v>3</v>
      </c>
      <c r="D285" s="38" t="s">
        <v>180</v>
      </c>
      <c r="E285" s="23" t="s">
        <v>128</v>
      </c>
      <c r="F285" s="39">
        <v>44.373199999999997</v>
      </c>
      <c r="G285" s="64" t="s">
        <v>352</v>
      </c>
      <c r="H285" s="70"/>
      <c r="K285" s="40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132" t="s">
        <v>15</v>
      </c>
      <c r="BB285" s="4">
        <v>0</v>
      </c>
      <c r="BC285">
        <v>0</v>
      </c>
    </row>
    <row r="286" spans="1:55" x14ac:dyDescent="0.3">
      <c r="A286" s="63">
        <v>8</v>
      </c>
      <c r="B286" s="65">
        <v>45712</v>
      </c>
      <c r="C286" s="63">
        <v>3</v>
      </c>
      <c r="D286" s="38" t="s">
        <v>180</v>
      </c>
      <c r="E286" s="23" t="s">
        <v>128</v>
      </c>
      <c r="F286" s="39">
        <v>44.776000000000003</v>
      </c>
      <c r="G286" s="64" t="s">
        <v>352</v>
      </c>
      <c r="H286" s="70"/>
      <c r="K286" s="40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132" t="s">
        <v>15</v>
      </c>
      <c r="BB286" s="4">
        <v>0</v>
      </c>
      <c r="BC286">
        <v>0</v>
      </c>
    </row>
    <row r="287" spans="1:55" x14ac:dyDescent="0.3">
      <c r="A287" s="63">
        <v>9</v>
      </c>
      <c r="B287" s="65">
        <v>45719</v>
      </c>
      <c r="C287" s="63">
        <v>3</v>
      </c>
      <c r="D287" s="38" t="s">
        <v>180</v>
      </c>
      <c r="E287" s="23" t="s">
        <v>128</v>
      </c>
      <c r="F287" s="39">
        <v>44.821399999999997</v>
      </c>
      <c r="G287" s="64" t="s">
        <v>352</v>
      </c>
      <c r="H287" s="70"/>
      <c r="K287" s="40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132" t="s">
        <v>15</v>
      </c>
      <c r="BB287" s="4">
        <v>0</v>
      </c>
      <c r="BC287">
        <v>0</v>
      </c>
    </row>
    <row r="288" spans="1:55" x14ac:dyDescent="0.3">
      <c r="A288" s="63">
        <v>10</v>
      </c>
      <c r="B288" s="65">
        <v>45726</v>
      </c>
      <c r="C288" s="63">
        <v>3</v>
      </c>
      <c r="D288" s="38" t="s">
        <v>180</v>
      </c>
      <c r="E288" s="23" t="s">
        <v>128</v>
      </c>
      <c r="F288" s="39">
        <v>45.503</v>
      </c>
      <c r="G288" s="64" t="s">
        <v>352</v>
      </c>
      <c r="H288" s="70"/>
      <c r="K288" s="40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132" t="s">
        <v>15</v>
      </c>
      <c r="BB288" s="4">
        <v>0</v>
      </c>
      <c r="BC288">
        <v>0</v>
      </c>
    </row>
    <row r="289" spans="1:55" x14ac:dyDescent="0.3">
      <c r="A289" s="63">
        <v>11</v>
      </c>
      <c r="B289" s="65">
        <v>45733</v>
      </c>
      <c r="C289" s="63">
        <v>3</v>
      </c>
      <c r="D289" s="38" t="s">
        <v>180</v>
      </c>
      <c r="E289" s="23" t="s">
        <v>128</v>
      </c>
      <c r="F289" s="39">
        <v>45.077199999999998</v>
      </c>
      <c r="G289" s="64" t="s">
        <v>352</v>
      </c>
      <c r="H289" s="70"/>
      <c r="K289" s="40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132" t="s">
        <v>15</v>
      </c>
      <c r="BB289" s="4">
        <v>0</v>
      </c>
      <c r="BC289">
        <v>0</v>
      </c>
    </row>
    <row r="290" spans="1:55" x14ac:dyDescent="0.3">
      <c r="A290" s="63">
        <v>12</v>
      </c>
      <c r="B290" s="65">
        <v>45740</v>
      </c>
      <c r="C290" s="63">
        <v>3</v>
      </c>
      <c r="D290" s="38" t="s">
        <v>180</v>
      </c>
      <c r="E290" s="23" t="s">
        <v>128</v>
      </c>
      <c r="F290" s="39">
        <v>44.907600000000002</v>
      </c>
      <c r="G290" s="64" t="s">
        <v>352</v>
      </c>
      <c r="H290" s="70"/>
      <c r="K290" s="40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132" t="s">
        <v>15</v>
      </c>
      <c r="BB290" s="4">
        <v>0</v>
      </c>
      <c r="BC290">
        <v>0</v>
      </c>
    </row>
    <row r="291" spans="1:55" x14ac:dyDescent="0.3">
      <c r="A291" s="63">
        <v>13</v>
      </c>
      <c r="B291" s="65">
        <v>45747</v>
      </c>
      <c r="C291" s="63">
        <v>3</v>
      </c>
      <c r="D291" s="38" t="s">
        <v>180</v>
      </c>
      <c r="E291" s="23" t="s">
        <v>128</v>
      </c>
      <c r="F291" s="39">
        <v>45.673000000000002</v>
      </c>
      <c r="G291" s="64" t="s">
        <v>352</v>
      </c>
      <c r="H291" s="70"/>
      <c r="K291" s="40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132" t="s">
        <v>15</v>
      </c>
      <c r="BB291" s="4">
        <v>0</v>
      </c>
      <c r="BC291">
        <v>0</v>
      </c>
    </row>
    <row r="292" spans="1:55" x14ac:dyDescent="0.3">
      <c r="A292" s="63">
        <v>14</v>
      </c>
      <c r="B292" s="65">
        <v>45754</v>
      </c>
      <c r="C292" s="63">
        <v>3</v>
      </c>
      <c r="D292" s="38" t="s">
        <v>180</v>
      </c>
      <c r="E292" s="23" t="s">
        <v>128</v>
      </c>
      <c r="F292" s="39">
        <v>44.633400000000002</v>
      </c>
      <c r="G292" s="64" t="s">
        <v>352</v>
      </c>
      <c r="H292" s="70"/>
      <c r="K292" s="40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132" t="s">
        <v>15</v>
      </c>
      <c r="BB292" s="4">
        <v>0</v>
      </c>
      <c r="BC292">
        <v>0</v>
      </c>
    </row>
    <row r="293" spans="1:55" x14ac:dyDescent="0.3">
      <c r="A293" s="63">
        <v>15</v>
      </c>
      <c r="B293" s="65">
        <v>45761</v>
      </c>
      <c r="C293" s="63">
        <v>3</v>
      </c>
      <c r="D293" s="38" t="s">
        <v>180</v>
      </c>
      <c r="E293" s="23" t="s">
        <v>128</v>
      </c>
      <c r="F293" s="39">
        <v>44.716099999999997</v>
      </c>
      <c r="G293" s="64" t="s">
        <v>352</v>
      </c>
      <c r="H293" s="70"/>
      <c r="K293" s="40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132" t="s">
        <v>15</v>
      </c>
      <c r="BB293" s="4">
        <v>0</v>
      </c>
      <c r="BC293">
        <v>0</v>
      </c>
    </row>
    <row r="294" spans="1:55" x14ac:dyDescent="0.3">
      <c r="A294" s="63">
        <v>16</v>
      </c>
      <c r="B294" s="65">
        <v>45768</v>
      </c>
      <c r="C294" s="63">
        <v>3</v>
      </c>
      <c r="D294" s="38" t="s">
        <v>180</v>
      </c>
      <c r="E294" s="23" t="s">
        <v>128</v>
      </c>
      <c r="F294" s="39">
        <v>44.004100000000001</v>
      </c>
      <c r="G294" s="64" t="s">
        <v>352</v>
      </c>
      <c r="H294" s="70"/>
      <c r="K294" s="40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132" t="s">
        <v>15</v>
      </c>
      <c r="BB294" s="4">
        <v>0</v>
      </c>
      <c r="BC294">
        <v>0</v>
      </c>
    </row>
    <row r="295" spans="1:55" x14ac:dyDescent="0.3">
      <c r="A295" s="63">
        <v>17</v>
      </c>
      <c r="B295" s="65">
        <v>45775</v>
      </c>
      <c r="C295" s="63">
        <v>3</v>
      </c>
      <c r="D295" s="38" t="s">
        <v>180</v>
      </c>
      <c r="E295" s="23" t="s">
        <v>128</v>
      </c>
      <c r="F295" s="39">
        <v>45.692999999999998</v>
      </c>
      <c r="G295" s="64" t="s">
        <v>352</v>
      </c>
      <c r="H295" s="70"/>
      <c r="K295" s="40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132" t="s">
        <v>15</v>
      </c>
      <c r="BB295" s="4">
        <v>0</v>
      </c>
      <c r="BC295">
        <v>0</v>
      </c>
    </row>
    <row r="296" spans="1:55" x14ac:dyDescent="0.3">
      <c r="A296" s="63">
        <v>18</v>
      </c>
      <c r="B296" s="65">
        <v>45782</v>
      </c>
      <c r="C296" s="63">
        <v>3</v>
      </c>
      <c r="D296" s="38" t="s">
        <v>180</v>
      </c>
      <c r="E296" s="23" t="s">
        <v>128</v>
      </c>
      <c r="F296" s="39">
        <v>45.391399999999997</v>
      </c>
      <c r="G296" s="64" t="s">
        <v>352</v>
      </c>
      <c r="H296" s="70"/>
      <c r="K296" s="40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132" t="s">
        <v>15</v>
      </c>
      <c r="BB296" s="4">
        <v>0</v>
      </c>
      <c r="BC296">
        <v>0</v>
      </c>
    </row>
    <row r="297" spans="1:55" x14ac:dyDescent="0.3">
      <c r="A297" s="63">
        <v>19</v>
      </c>
      <c r="B297" s="65">
        <v>45789</v>
      </c>
      <c r="C297" s="63">
        <v>3</v>
      </c>
      <c r="D297" s="38" t="s">
        <v>180</v>
      </c>
      <c r="E297" s="23" t="s">
        <v>128</v>
      </c>
      <c r="F297" s="39">
        <v>45.367699999999999</v>
      </c>
      <c r="G297" s="64" t="s">
        <v>352</v>
      </c>
      <c r="H297" s="70"/>
      <c r="K297" s="40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132" t="s">
        <v>15</v>
      </c>
      <c r="BB297" s="4">
        <v>0</v>
      </c>
      <c r="BC297">
        <v>0</v>
      </c>
    </row>
    <row r="298" spans="1:55" x14ac:dyDescent="0.3">
      <c r="A298" s="63">
        <v>20</v>
      </c>
      <c r="B298" s="65">
        <v>45796</v>
      </c>
      <c r="C298" s="63">
        <v>3</v>
      </c>
      <c r="D298" s="38" t="s">
        <v>180</v>
      </c>
      <c r="E298" s="23" t="s">
        <v>128</v>
      </c>
      <c r="F298" s="39">
        <v>45.244</v>
      </c>
      <c r="G298" s="64" t="s">
        <v>352</v>
      </c>
      <c r="H298" s="70"/>
      <c r="K298" s="40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132" t="s">
        <v>15</v>
      </c>
      <c r="BB298" s="4">
        <v>0</v>
      </c>
      <c r="BC298">
        <v>0</v>
      </c>
    </row>
    <row r="299" spans="1:55" x14ac:dyDescent="0.3">
      <c r="A299" s="63">
        <v>21</v>
      </c>
      <c r="B299" s="65">
        <v>45803</v>
      </c>
      <c r="C299" s="63">
        <v>3</v>
      </c>
      <c r="D299" s="38" t="s">
        <v>180</v>
      </c>
      <c r="E299" s="23" t="s">
        <v>128</v>
      </c>
      <c r="F299" s="39">
        <v>44.965299999999999</v>
      </c>
      <c r="G299" s="64" t="s">
        <v>352</v>
      </c>
      <c r="H299" s="70"/>
      <c r="K299" s="40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132" t="s">
        <v>15</v>
      </c>
      <c r="BB299" s="4">
        <v>0</v>
      </c>
      <c r="BC299">
        <v>0</v>
      </c>
    </row>
    <row r="300" spans="1:55" x14ac:dyDescent="0.3">
      <c r="A300" s="63">
        <v>22</v>
      </c>
      <c r="B300" s="65">
        <v>45810</v>
      </c>
      <c r="C300" s="63">
        <v>3</v>
      </c>
      <c r="D300" s="38" t="s">
        <v>180</v>
      </c>
      <c r="E300" s="23" t="s">
        <v>128</v>
      </c>
      <c r="F300" s="39">
        <v>45.017800000000001</v>
      </c>
      <c r="G300" s="64" t="s">
        <v>352</v>
      </c>
      <c r="H300" s="70"/>
      <c r="K300" s="40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132" t="s">
        <v>15</v>
      </c>
      <c r="BB300" s="4">
        <v>0</v>
      </c>
      <c r="BC300">
        <v>0</v>
      </c>
    </row>
    <row r="301" spans="1:55" x14ac:dyDescent="0.3">
      <c r="A301" s="63">
        <v>23</v>
      </c>
      <c r="B301" s="65">
        <v>45817</v>
      </c>
      <c r="C301" s="63">
        <v>3</v>
      </c>
      <c r="D301" s="38" t="s">
        <v>180</v>
      </c>
      <c r="E301" s="23" t="s">
        <v>128</v>
      </c>
      <c r="F301" s="39">
        <v>44.784599999999998</v>
      </c>
      <c r="G301" s="64" t="s">
        <v>352</v>
      </c>
      <c r="H301" s="70"/>
      <c r="K301" s="40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132" t="s">
        <v>15</v>
      </c>
      <c r="BB301" s="4">
        <v>0</v>
      </c>
      <c r="BC301">
        <v>0</v>
      </c>
    </row>
    <row r="302" spans="1:55" x14ac:dyDescent="0.3">
      <c r="A302" s="63">
        <v>24</v>
      </c>
      <c r="B302" s="65">
        <v>45824</v>
      </c>
      <c r="C302" s="63">
        <v>3</v>
      </c>
      <c r="D302" s="38" t="s">
        <v>180</v>
      </c>
      <c r="E302" s="23" t="s">
        <v>128</v>
      </c>
      <c r="F302" s="39">
        <v>44.808799999999998</v>
      </c>
      <c r="G302" s="64" t="s">
        <v>352</v>
      </c>
      <c r="H302" s="70"/>
      <c r="K302" s="40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132" t="s">
        <v>15</v>
      </c>
      <c r="BB302" s="4">
        <v>0</v>
      </c>
      <c r="BC302">
        <v>0</v>
      </c>
    </row>
    <row r="303" spans="1:55" x14ac:dyDescent="0.3">
      <c r="A303" s="63">
        <v>25</v>
      </c>
      <c r="B303" s="65">
        <v>45831</v>
      </c>
      <c r="C303" s="63">
        <v>3</v>
      </c>
      <c r="D303" s="38" t="s">
        <v>180</v>
      </c>
      <c r="E303" s="23" t="s">
        <v>128</v>
      </c>
      <c r="F303" s="39">
        <v>44.937399999999997</v>
      </c>
      <c r="G303" s="64" t="s">
        <v>352</v>
      </c>
      <c r="H303" s="70"/>
      <c r="K303" s="40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132" t="s">
        <v>15</v>
      </c>
      <c r="BB303" s="4">
        <v>0</v>
      </c>
      <c r="BC303">
        <v>0</v>
      </c>
    </row>
    <row r="304" spans="1:55" x14ac:dyDescent="0.3">
      <c r="A304" s="63">
        <v>1</v>
      </c>
      <c r="B304" s="65">
        <v>45663</v>
      </c>
      <c r="C304" s="63">
        <v>1</v>
      </c>
      <c r="D304" s="38" t="s">
        <v>178</v>
      </c>
      <c r="E304" s="23" t="s">
        <v>129</v>
      </c>
      <c r="F304" s="39">
        <v>73.509900000000002</v>
      </c>
      <c r="G304" s="64" t="s">
        <v>352</v>
      </c>
      <c r="H304" s="70"/>
      <c r="K304" s="40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132" t="s">
        <v>15</v>
      </c>
      <c r="BB304" s="4">
        <v>1</v>
      </c>
      <c r="BC304">
        <v>0</v>
      </c>
    </row>
    <row r="305" spans="1:55" x14ac:dyDescent="0.3">
      <c r="A305" s="63">
        <v>2</v>
      </c>
      <c r="B305" s="65">
        <v>45670</v>
      </c>
      <c r="C305" s="63">
        <v>1</v>
      </c>
      <c r="D305" s="38" t="s">
        <v>178</v>
      </c>
      <c r="E305" s="23" t="s">
        <v>129</v>
      </c>
      <c r="F305" s="39">
        <v>72.648799999999994</v>
      </c>
      <c r="G305" s="64" t="s">
        <v>352</v>
      </c>
      <c r="H305" s="70"/>
      <c r="K305" s="40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132" t="s">
        <v>15</v>
      </c>
      <c r="BB305" s="4">
        <v>1</v>
      </c>
      <c r="BC305">
        <v>0</v>
      </c>
    </row>
    <row r="306" spans="1:55" x14ac:dyDescent="0.3">
      <c r="A306" s="63">
        <v>3</v>
      </c>
      <c r="B306" s="65">
        <v>45677</v>
      </c>
      <c r="C306" s="63">
        <v>1</v>
      </c>
      <c r="D306" s="38" t="s">
        <v>178</v>
      </c>
      <c r="E306" s="23" t="s">
        <v>129</v>
      </c>
      <c r="F306" s="39">
        <v>72.095600000000005</v>
      </c>
      <c r="G306" s="64" t="s">
        <v>352</v>
      </c>
      <c r="H306" s="70"/>
      <c r="K306" s="40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132" t="s">
        <v>15</v>
      </c>
      <c r="BB306" s="4">
        <v>1</v>
      </c>
      <c r="BC306">
        <v>0</v>
      </c>
    </row>
    <row r="307" spans="1:55" x14ac:dyDescent="0.3">
      <c r="A307" s="63">
        <v>4</v>
      </c>
      <c r="B307" s="65">
        <v>45684</v>
      </c>
      <c r="C307" s="63">
        <v>1</v>
      </c>
      <c r="D307" s="38" t="s">
        <v>178</v>
      </c>
      <c r="E307" s="23" t="s">
        <v>129</v>
      </c>
      <c r="F307" s="39">
        <v>71.626499999999993</v>
      </c>
      <c r="G307" s="64" t="s">
        <v>352</v>
      </c>
      <c r="H307" s="70"/>
      <c r="K307" s="40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132" t="s">
        <v>15</v>
      </c>
      <c r="BB307" s="4">
        <v>1</v>
      </c>
      <c r="BC307">
        <v>0</v>
      </c>
    </row>
    <row r="308" spans="1:55" x14ac:dyDescent="0.3">
      <c r="A308" s="63">
        <v>5</v>
      </c>
      <c r="B308" s="65">
        <v>45691</v>
      </c>
      <c r="C308" s="63">
        <v>1</v>
      </c>
      <c r="D308" s="38" t="s">
        <v>178</v>
      </c>
      <c r="E308" s="23" t="s">
        <v>129</v>
      </c>
      <c r="F308" s="39">
        <v>71.576400000000007</v>
      </c>
      <c r="G308" s="64" t="s">
        <v>352</v>
      </c>
      <c r="H308" s="70"/>
      <c r="K308" s="40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132" t="s">
        <v>15</v>
      </c>
      <c r="BB308" s="4">
        <v>1</v>
      </c>
      <c r="BC308">
        <v>0</v>
      </c>
    </row>
    <row r="309" spans="1:55" x14ac:dyDescent="0.3">
      <c r="A309" s="63">
        <v>6</v>
      </c>
      <c r="B309" s="65">
        <v>45698</v>
      </c>
      <c r="C309" s="63">
        <v>1</v>
      </c>
      <c r="D309" s="38" t="s">
        <v>178</v>
      </c>
      <c r="E309" s="23" t="s">
        <v>129</v>
      </c>
      <c r="F309" s="39">
        <v>73.591700000000003</v>
      </c>
      <c r="G309" s="64" t="s">
        <v>352</v>
      </c>
      <c r="H309" s="70"/>
      <c r="K309" s="40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132" t="s">
        <v>15</v>
      </c>
      <c r="BB309" s="4">
        <v>1</v>
      </c>
      <c r="BC309">
        <v>0</v>
      </c>
    </row>
    <row r="310" spans="1:55" x14ac:dyDescent="0.3">
      <c r="A310" s="63">
        <v>7</v>
      </c>
      <c r="B310" s="65">
        <v>45705</v>
      </c>
      <c r="C310" s="63">
        <v>1</v>
      </c>
      <c r="D310" s="38" t="s">
        <v>178</v>
      </c>
      <c r="E310" s="23" t="s">
        <v>129</v>
      </c>
      <c r="F310" s="39">
        <v>72.604600000000005</v>
      </c>
      <c r="G310" s="64" t="s">
        <v>352</v>
      </c>
      <c r="H310" s="70"/>
      <c r="K310" s="40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132" t="s">
        <v>15</v>
      </c>
      <c r="BB310" s="4">
        <v>1</v>
      </c>
      <c r="BC310">
        <v>0</v>
      </c>
    </row>
    <row r="311" spans="1:55" x14ac:dyDescent="0.3">
      <c r="A311" s="63">
        <v>8</v>
      </c>
      <c r="B311" s="65">
        <v>45712</v>
      </c>
      <c r="C311" s="63">
        <v>1</v>
      </c>
      <c r="D311" s="38" t="s">
        <v>178</v>
      </c>
      <c r="E311" s="23" t="s">
        <v>129</v>
      </c>
      <c r="F311" s="39">
        <v>72.209100000000007</v>
      </c>
      <c r="G311" s="64" t="s">
        <v>352</v>
      </c>
      <c r="H311" s="70"/>
      <c r="K311" s="40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132" t="s">
        <v>15</v>
      </c>
      <c r="BB311" s="4">
        <v>1</v>
      </c>
      <c r="BC311">
        <v>0</v>
      </c>
    </row>
    <row r="312" spans="1:55" x14ac:dyDescent="0.3">
      <c r="A312" s="63">
        <v>9</v>
      </c>
      <c r="B312" s="65">
        <v>45719</v>
      </c>
      <c r="C312" s="63">
        <v>1</v>
      </c>
      <c r="D312" s="38" t="s">
        <v>178</v>
      </c>
      <c r="E312" s="23" t="s">
        <v>129</v>
      </c>
      <c r="F312" s="39">
        <v>71.836500000000001</v>
      </c>
      <c r="G312" s="64" t="s">
        <v>352</v>
      </c>
      <c r="H312" s="70"/>
      <c r="K312" s="40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132" t="s">
        <v>15</v>
      </c>
      <c r="BB312" s="4">
        <v>1</v>
      </c>
      <c r="BC312">
        <v>0</v>
      </c>
    </row>
    <row r="313" spans="1:55" x14ac:dyDescent="0.3">
      <c r="A313" s="63">
        <v>10</v>
      </c>
      <c r="B313" s="65">
        <v>45726</v>
      </c>
      <c r="C313" s="63">
        <v>1</v>
      </c>
      <c r="D313" s="38" t="s">
        <v>178</v>
      </c>
      <c r="E313" s="23" t="s">
        <v>129</v>
      </c>
      <c r="F313" s="39">
        <v>71.1494</v>
      </c>
      <c r="G313" s="64" t="s">
        <v>352</v>
      </c>
      <c r="H313" s="70"/>
      <c r="K313" s="40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132" t="s">
        <v>15</v>
      </c>
      <c r="BB313" s="4">
        <v>1</v>
      </c>
      <c r="BC313">
        <v>0</v>
      </c>
    </row>
    <row r="314" spans="1:55" x14ac:dyDescent="0.3">
      <c r="A314" s="63">
        <v>11</v>
      </c>
      <c r="B314" s="65">
        <v>45733</v>
      </c>
      <c r="C314" s="63">
        <v>1</v>
      </c>
      <c r="D314" s="38" t="s">
        <v>178</v>
      </c>
      <c r="E314" s="23" t="s">
        <v>129</v>
      </c>
      <c r="F314" s="39">
        <v>72.088099999999997</v>
      </c>
      <c r="G314" s="64" t="s">
        <v>352</v>
      </c>
      <c r="H314" s="70"/>
      <c r="K314" s="40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132" t="s">
        <v>15</v>
      </c>
      <c r="BB314" s="4">
        <v>1</v>
      </c>
      <c r="BC314">
        <v>0</v>
      </c>
    </row>
    <row r="315" spans="1:55" x14ac:dyDescent="0.3">
      <c r="A315" s="63">
        <v>12</v>
      </c>
      <c r="B315" s="65">
        <v>45740</v>
      </c>
      <c r="C315" s="63">
        <v>1</v>
      </c>
      <c r="D315" s="38" t="s">
        <v>178</v>
      </c>
      <c r="E315" s="23" t="s">
        <v>129</v>
      </c>
      <c r="F315" s="39">
        <v>72.935100000000006</v>
      </c>
      <c r="G315" s="64" t="s">
        <v>352</v>
      </c>
      <c r="H315" s="70"/>
      <c r="K315" s="40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132" t="s">
        <v>15</v>
      </c>
      <c r="BB315" s="4">
        <v>1</v>
      </c>
      <c r="BC315">
        <v>0</v>
      </c>
    </row>
    <row r="316" spans="1:55" x14ac:dyDescent="0.3">
      <c r="A316" s="63">
        <v>13</v>
      </c>
      <c r="B316" s="65">
        <v>45747</v>
      </c>
      <c r="C316" s="63">
        <v>1</v>
      </c>
      <c r="D316" s="38" t="s">
        <v>178</v>
      </c>
      <c r="E316" s="23" t="s">
        <v>129</v>
      </c>
      <c r="F316" s="39">
        <v>71.794700000000006</v>
      </c>
      <c r="G316" s="64" t="s">
        <v>352</v>
      </c>
      <c r="H316" s="70"/>
      <c r="K316" s="40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132" t="s">
        <v>15</v>
      </c>
      <c r="BB316" s="4">
        <v>1</v>
      </c>
      <c r="BC316">
        <v>0</v>
      </c>
    </row>
    <row r="317" spans="1:55" x14ac:dyDescent="0.3">
      <c r="A317" s="63">
        <v>14</v>
      </c>
      <c r="B317" s="65">
        <v>45754</v>
      </c>
      <c r="C317" s="63">
        <v>1</v>
      </c>
      <c r="D317" s="38" t="s">
        <v>178</v>
      </c>
      <c r="E317" s="23" t="s">
        <v>129</v>
      </c>
      <c r="F317" s="39">
        <v>71.943600000000004</v>
      </c>
      <c r="G317" s="64" t="s">
        <v>352</v>
      </c>
      <c r="H317" s="70"/>
      <c r="K317" s="40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132" t="s">
        <v>15</v>
      </c>
      <c r="BB317" s="4">
        <v>1</v>
      </c>
      <c r="BC317">
        <v>0</v>
      </c>
    </row>
    <row r="318" spans="1:55" x14ac:dyDescent="0.3">
      <c r="A318" s="63">
        <v>15</v>
      </c>
      <c r="B318" s="65">
        <v>45761</v>
      </c>
      <c r="C318" s="63">
        <v>1</v>
      </c>
      <c r="D318" s="38" t="s">
        <v>178</v>
      </c>
      <c r="E318" s="23" t="s">
        <v>129</v>
      </c>
      <c r="F318" s="39">
        <v>71.949200000000005</v>
      </c>
      <c r="G318" s="64" t="s">
        <v>352</v>
      </c>
      <c r="H318" s="70"/>
      <c r="K318" s="40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132" t="s">
        <v>15</v>
      </c>
      <c r="BB318" s="4">
        <v>1</v>
      </c>
      <c r="BC318">
        <v>0</v>
      </c>
    </row>
    <row r="319" spans="1:55" x14ac:dyDescent="0.3">
      <c r="A319" s="63">
        <v>16</v>
      </c>
      <c r="B319" s="65">
        <v>45768</v>
      </c>
      <c r="C319" s="63">
        <v>1</v>
      </c>
      <c r="D319" s="38" t="s">
        <v>178</v>
      </c>
      <c r="E319" s="23" t="s">
        <v>129</v>
      </c>
      <c r="F319" s="39">
        <v>72.247</v>
      </c>
      <c r="G319" s="64" t="s">
        <v>352</v>
      </c>
      <c r="H319" s="70"/>
      <c r="K319" s="40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132" t="s">
        <v>15</v>
      </c>
      <c r="BB319" s="4">
        <v>1</v>
      </c>
      <c r="BC319">
        <v>0</v>
      </c>
    </row>
    <row r="320" spans="1:55" x14ac:dyDescent="0.3">
      <c r="A320" s="63">
        <v>17</v>
      </c>
      <c r="B320" s="65">
        <v>45775</v>
      </c>
      <c r="C320" s="63">
        <v>1</v>
      </c>
      <c r="D320" s="38" t="s">
        <v>178</v>
      </c>
      <c r="E320" s="23" t="s">
        <v>129</v>
      </c>
      <c r="F320" s="39">
        <v>70.713499999999996</v>
      </c>
      <c r="G320" s="64" t="s">
        <v>352</v>
      </c>
      <c r="H320" s="70"/>
      <c r="K320" s="40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132" t="s">
        <v>15</v>
      </c>
      <c r="BB320" s="4">
        <v>1</v>
      </c>
      <c r="BC320">
        <v>0</v>
      </c>
    </row>
    <row r="321" spans="1:55" x14ac:dyDescent="0.3">
      <c r="A321" s="63">
        <v>18</v>
      </c>
      <c r="B321" s="65">
        <v>45782</v>
      </c>
      <c r="C321" s="63">
        <v>1</v>
      </c>
      <c r="D321" s="38" t="s">
        <v>178</v>
      </c>
      <c r="E321" s="23" t="s">
        <v>129</v>
      </c>
      <c r="F321" s="39">
        <v>71.936300000000003</v>
      </c>
      <c r="G321" s="64" t="s">
        <v>352</v>
      </c>
      <c r="H321" s="70"/>
      <c r="K321" s="40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132" t="s">
        <v>15</v>
      </c>
      <c r="BB321" s="4">
        <v>1</v>
      </c>
      <c r="BC321">
        <v>0</v>
      </c>
    </row>
    <row r="322" spans="1:55" x14ac:dyDescent="0.3">
      <c r="A322" s="63">
        <v>19</v>
      </c>
      <c r="B322" s="65">
        <v>45789</v>
      </c>
      <c r="C322" s="63">
        <v>1</v>
      </c>
      <c r="D322" s="38" t="s">
        <v>178</v>
      </c>
      <c r="E322" s="23" t="s">
        <v>129</v>
      </c>
      <c r="F322" s="39">
        <v>71.378799999999998</v>
      </c>
      <c r="G322" s="64" t="s">
        <v>352</v>
      </c>
      <c r="H322" s="70"/>
      <c r="K322" s="40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132" t="s">
        <v>15</v>
      </c>
      <c r="BB322" s="4">
        <v>1</v>
      </c>
      <c r="BC322">
        <v>0</v>
      </c>
    </row>
    <row r="323" spans="1:55" x14ac:dyDescent="0.3">
      <c r="A323" s="63">
        <v>20</v>
      </c>
      <c r="B323" s="65">
        <v>45796</v>
      </c>
      <c r="C323" s="63">
        <v>1</v>
      </c>
      <c r="D323" s="38" t="s">
        <v>178</v>
      </c>
      <c r="E323" s="23" t="s">
        <v>129</v>
      </c>
      <c r="F323" s="39">
        <v>72.944999999999993</v>
      </c>
      <c r="G323" s="64" t="s">
        <v>352</v>
      </c>
      <c r="H323" s="70"/>
      <c r="K323" s="40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132" t="s">
        <v>15</v>
      </c>
      <c r="BB323" s="4">
        <v>1</v>
      </c>
      <c r="BC323">
        <v>0</v>
      </c>
    </row>
    <row r="324" spans="1:55" x14ac:dyDescent="0.3">
      <c r="A324" s="63">
        <v>21</v>
      </c>
      <c r="B324" s="65">
        <v>45803</v>
      </c>
      <c r="C324" s="63">
        <v>1</v>
      </c>
      <c r="D324" s="38" t="s">
        <v>178</v>
      </c>
      <c r="E324" s="23" t="s">
        <v>129</v>
      </c>
      <c r="F324" s="39">
        <v>71.4542</v>
      </c>
      <c r="G324" s="64" t="s">
        <v>352</v>
      </c>
      <c r="H324" s="70"/>
      <c r="K324" s="40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132" t="s">
        <v>15</v>
      </c>
      <c r="BB324" s="4">
        <v>1</v>
      </c>
      <c r="BC324">
        <v>0</v>
      </c>
    </row>
    <row r="325" spans="1:55" x14ac:dyDescent="0.3">
      <c r="A325" s="63">
        <v>22</v>
      </c>
      <c r="B325" s="65">
        <v>45810</v>
      </c>
      <c r="C325" s="63">
        <v>1</v>
      </c>
      <c r="D325" s="38" t="s">
        <v>178</v>
      </c>
      <c r="E325" s="23" t="s">
        <v>129</v>
      </c>
      <c r="F325" s="39">
        <v>72.668000000000006</v>
      </c>
      <c r="G325" s="64" t="s">
        <v>352</v>
      </c>
      <c r="H325" s="70"/>
      <c r="K325" s="40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132" t="s">
        <v>15</v>
      </c>
      <c r="BB325" s="4">
        <v>1</v>
      </c>
      <c r="BC325">
        <v>0</v>
      </c>
    </row>
    <row r="326" spans="1:55" x14ac:dyDescent="0.3">
      <c r="A326" s="63">
        <v>23</v>
      </c>
      <c r="B326" s="65">
        <v>45817</v>
      </c>
      <c r="C326" s="63">
        <v>1</v>
      </c>
      <c r="D326" s="38" t="s">
        <v>178</v>
      </c>
      <c r="E326" s="23" t="s">
        <v>129</v>
      </c>
      <c r="F326" s="39">
        <v>73.521199999999993</v>
      </c>
      <c r="G326" s="64" t="s">
        <v>352</v>
      </c>
      <c r="H326" s="70"/>
      <c r="K326" s="40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132" t="s">
        <v>15</v>
      </c>
      <c r="BB326" s="4">
        <v>1</v>
      </c>
      <c r="BC326">
        <v>0</v>
      </c>
    </row>
    <row r="327" spans="1:55" x14ac:dyDescent="0.3">
      <c r="A327" s="63">
        <v>24</v>
      </c>
      <c r="B327" s="65">
        <v>45824</v>
      </c>
      <c r="C327" s="63">
        <v>1</v>
      </c>
      <c r="D327" s="38" t="s">
        <v>178</v>
      </c>
      <c r="E327" s="23" t="s">
        <v>129</v>
      </c>
      <c r="F327" s="39">
        <v>71.865799999999993</v>
      </c>
      <c r="G327" s="64" t="s">
        <v>352</v>
      </c>
      <c r="H327" s="70"/>
      <c r="K327" s="40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132" t="s">
        <v>15</v>
      </c>
      <c r="BB327" s="4">
        <v>1</v>
      </c>
      <c r="BC327">
        <v>0</v>
      </c>
    </row>
    <row r="328" spans="1:55" x14ac:dyDescent="0.3">
      <c r="A328" s="63">
        <v>25</v>
      </c>
      <c r="B328" s="65">
        <v>45831</v>
      </c>
      <c r="C328" s="63">
        <v>1</v>
      </c>
      <c r="D328" s="38" t="s">
        <v>178</v>
      </c>
      <c r="E328" s="23" t="s">
        <v>129</v>
      </c>
      <c r="F328" s="39">
        <v>71.606499999999997</v>
      </c>
      <c r="G328" s="64" t="s">
        <v>352</v>
      </c>
      <c r="H328" s="70"/>
      <c r="K328" s="40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132" t="s">
        <v>15</v>
      </c>
      <c r="BB328" s="4">
        <v>1</v>
      </c>
      <c r="BC328">
        <v>0</v>
      </c>
    </row>
    <row r="329" spans="1:55" x14ac:dyDescent="0.3">
      <c r="A329" s="63">
        <v>1</v>
      </c>
      <c r="B329" s="65">
        <v>45663</v>
      </c>
      <c r="C329" s="63">
        <v>2</v>
      </c>
      <c r="D329" s="38" t="s">
        <v>179</v>
      </c>
      <c r="E329" s="23" t="s">
        <v>129</v>
      </c>
      <c r="F329" s="39">
        <v>82.017300000000006</v>
      </c>
      <c r="G329" s="64" t="s">
        <v>352</v>
      </c>
      <c r="H329" s="70"/>
      <c r="K329" s="40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132" t="s">
        <v>15</v>
      </c>
      <c r="BB329" s="4">
        <v>0</v>
      </c>
      <c r="BC329">
        <v>0</v>
      </c>
    </row>
    <row r="330" spans="1:55" x14ac:dyDescent="0.3">
      <c r="A330" s="63">
        <v>2</v>
      </c>
      <c r="B330" s="65">
        <v>45670</v>
      </c>
      <c r="C330" s="63">
        <v>2</v>
      </c>
      <c r="D330" s="38" t="s">
        <v>179</v>
      </c>
      <c r="E330" s="23" t="s">
        <v>129</v>
      </c>
      <c r="F330" s="39">
        <v>81.874399999999994</v>
      </c>
      <c r="G330" s="64" t="s">
        <v>352</v>
      </c>
      <c r="H330" s="70"/>
      <c r="K330" s="40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132" t="s">
        <v>15</v>
      </c>
      <c r="BB330" s="4">
        <v>0</v>
      </c>
      <c r="BC330">
        <v>0</v>
      </c>
    </row>
    <row r="331" spans="1:55" x14ac:dyDescent="0.3">
      <c r="A331" s="63">
        <v>3</v>
      </c>
      <c r="B331" s="65">
        <v>45677</v>
      </c>
      <c r="C331" s="63">
        <v>2</v>
      </c>
      <c r="D331" s="38" t="s">
        <v>179</v>
      </c>
      <c r="E331" s="23" t="s">
        <v>129</v>
      </c>
      <c r="F331" s="39">
        <v>81.141499999999994</v>
      </c>
      <c r="G331" s="64" t="s">
        <v>352</v>
      </c>
      <c r="H331" s="70"/>
      <c r="K331" s="40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132" t="s">
        <v>15</v>
      </c>
      <c r="BB331" s="4">
        <v>0</v>
      </c>
      <c r="BC331">
        <v>0</v>
      </c>
    </row>
    <row r="332" spans="1:55" x14ac:dyDescent="0.3">
      <c r="A332" s="63">
        <v>4</v>
      </c>
      <c r="B332" s="65">
        <v>45684</v>
      </c>
      <c r="C332" s="63">
        <v>2</v>
      </c>
      <c r="D332" s="38" t="s">
        <v>179</v>
      </c>
      <c r="E332" s="23" t="s">
        <v>129</v>
      </c>
      <c r="F332" s="39">
        <v>82.216499999999996</v>
      </c>
      <c r="G332" s="64" t="s">
        <v>352</v>
      </c>
      <c r="H332" s="70"/>
      <c r="K332" s="40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132" t="s">
        <v>15</v>
      </c>
      <c r="BB332" s="4">
        <v>0</v>
      </c>
      <c r="BC332">
        <v>0</v>
      </c>
    </row>
    <row r="333" spans="1:55" x14ac:dyDescent="0.3">
      <c r="A333" s="63">
        <v>5</v>
      </c>
      <c r="B333" s="65">
        <v>45691</v>
      </c>
      <c r="C333" s="63">
        <v>2</v>
      </c>
      <c r="D333" s="38" t="s">
        <v>179</v>
      </c>
      <c r="E333" s="23" t="s">
        <v>129</v>
      </c>
      <c r="F333" s="39">
        <v>83.365399999999994</v>
      </c>
      <c r="G333" s="64" t="s">
        <v>352</v>
      </c>
      <c r="H333" s="70"/>
      <c r="K333" s="40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132" t="s">
        <v>15</v>
      </c>
      <c r="BB333" s="4">
        <v>0</v>
      </c>
      <c r="BC333">
        <v>0</v>
      </c>
    </row>
    <row r="334" spans="1:55" x14ac:dyDescent="0.3">
      <c r="A334" s="63">
        <v>6</v>
      </c>
      <c r="B334" s="65">
        <v>45698</v>
      </c>
      <c r="C334" s="63">
        <v>2</v>
      </c>
      <c r="D334" s="38" t="s">
        <v>179</v>
      </c>
      <c r="E334" s="23" t="s">
        <v>129</v>
      </c>
      <c r="F334" s="39">
        <v>81.685100000000006</v>
      </c>
      <c r="G334" s="64" t="s">
        <v>352</v>
      </c>
      <c r="H334" s="70"/>
      <c r="K334" s="40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132" t="s">
        <v>15</v>
      </c>
      <c r="BB334" s="4">
        <v>0</v>
      </c>
      <c r="BC334">
        <v>0</v>
      </c>
    </row>
    <row r="335" spans="1:55" x14ac:dyDescent="0.3">
      <c r="A335" s="63">
        <v>7</v>
      </c>
      <c r="B335" s="65">
        <v>45705</v>
      </c>
      <c r="C335" s="63">
        <v>2</v>
      </c>
      <c r="D335" s="38" t="s">
        <v>179</v>
      </c>
      <c r="E335" s="23" t="s">
        <v>129</v>
      </c>
      <c r="F335" s="39">
        <v>81.725899999999996</v>
      </c>
      <c r="G335" s="64" t="s">
        <v>352</v>
      </c>
      <c r="H335" s="70"/>
      <c r="K335" s="40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132" t="s">
        <v>15</v>
      </c>
      <c r="BB335" s="4">
        <v>0</v>
      </c>
      <c r="BC335">
        <v>0</v>
      </c>
    </row>
    <row r="336" spans="1:55" x14ac:dyDescent="0.3">
      <c r="A336" s="63">
        <v>8</v>
      </c>
      <c r="B336" s="65">
        <v>45712</v>
      </c>
      <c r="C336" s="63">
        <v>2</v>
      </c>
      <c r="D336" s="38" t="s">
        <v>179</v>
      </c>
      <c r="E336" s="23" t="s">
        <v>129</v>
      </c>
      <c r="F336" s="39">
        <v>81.1036</v>
      </c>
      <c r="G336" s="64" t="s">
        <v>352</v>
      </c>
      <c r="H336" s="70"/>
      <c r="K336" s="40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132" t="s">
        <v>15</v>
      </c>
      <c r="BB336" s="4">
        <v>0</v>
      </c>
      <c r="BC336">
        <v>0</v>
      </c>
    </row>
    <row r="337" spans="1:55" x14ac:dyDescent="0.3">
      <c r="A337" s="63">
        <v>9</v>
      </c>
      <c r="B337" s="65">
        <v>45719</v>
      </c>
      <c r="C337" s="63">
        <v>2</v>
      </c>
      <c r="D337" s="38" t="s">
        <v>179</v>
      </c>
      <c r="E337" s="23" t="s">
        <v>129</v>
      </c>
      <c r="F337" s="39">
        <v>82.111699999999999</v>
      </c>
      <c r="G337" s="64" t="s">
        <v>352</v>
      </c>
      <c r="H337" s="70"/>
      <c r="K337" s="40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132" t="s">
        <v>15</v>
      </c>
      <c r="BB337" s="4">
        <v>0</v>
      </c>
      <c r="BC337">
        <v>0</v>
      </c>
    </row>
    <row r="338" spans="1:55" x14ac:dyDescent="0.3">
      <c r="A338" s="63">
        <v>10</v>
      </c>
      <c r="B338" s="65">
        <v>45726</v>
      </c>
      <c r="C338" s="63">
        <v>2</v>
      </c>
      <c r="D338" s="38" t="s">
        <v>179</v>
      </c>
      <c r="E338" s="23" t="s">
        <v>129</v>
      </c>
      <c r="F338" s="39">
        <v>80.954300000000003</v>
      </c>
      <c r="G338" s="64" t="s">
        <v>352</v>
      </c>
      <c r="H338" s="70"/>
      <c r="K338" s="40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132" t="s">
        <v>15</v>
      </c>
      <c r="BB338" s="4">
        <v>0</v>
      </c>
      <c r="BC338">
        <v>0</v>
      </c>
    </row>
    <row r="339" spans="1:55" x14ac:dyDescent="0.3">
      <c r="A339" s="63">
        <v>11</v>
      </c>
      <c r="B339" s="65">
        <v>45733</v>
      </c>
      <c r="C339" s="63">
        <v>2</v>
      </c>
      <c r="D339" s="38" t="s">
        <v>179</v>
      </c>
      <c r="E339" s="23" t="s">
        <v>129</v>
      </c>
      <c r="F339" s="39">
        <v>81.0578</v>
      </c>
      <c r="G339" s="64" t="s">
        <v>352</v>
      </c>
      <c r="H339" s="70"/>
      <c r="K339" s="40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132" t="s">
        <v>15</v>
      </c>
      <c r="BB339" s="4">
        <v>0</v>
      </c>
      <c r="BC339">
        <v>0</v>
      </c>
    </row>
    <row r="340" spans="1:55" x14ac:dyDescent="0.3">
      <c r="A340" s="63">
        <v>12</v>
      </c>
      <c r="B340" s="65">
        <v>45740</v>
      </c>
      <c r="C340" s="63">
        <v>2</v>
      </c>
      <c r="D340" s="38" t="s">
        <v>179</v>
      </c>
      <c r="E340" s="23" t="s">
        <v>129</v>
      </c>
      <c r="F340" s="39">
        <v>82.821600000000004</v>
      </c>
      <c r="G340" s="64" t="s">
        <v>352</v>
      </c>
      <c r="H340" s="70"/>
      <c r="K340" s="40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132" t="s">
        <v>15</v>
      </c>
      <c r="BB340" s="4">
        <v>0</v>
      </c>
      <c r="BC340">
        <v>0</v>
      </c>
    </row>
    <row r="341" spans="1:55" x14ac:dyDescent="0.3">
      <c r="A341" s="63">
        <v>13</v>
      </c>
      <c r="B341" s="65">
        <v>45747</v>
      </c>
      <c r="C341" s="63">
        <v>2</v>
      </c>
      <c r="D341" s="38" t="s">
        <v>179</v>
      </c>
      <c r="E341" s="23" t="s">
        <v>129</v>
      </c>
      <c r="F341" s="39">
        <v>81.206699999999998</v>
      </c>
      <c r="G341" s="64" t="s">
        <v>352</v>
      </c>
      <c r="H341" s="70"/>
      <c r="K341" s="40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132" t="s">
        <v>15</v>
      </c>
      <c r="BB341" s="4">
        <v>0</v>
      </c>
      <c r="BC341">
        <v>0</v>
      </c>
    </row>
    <row r="342" spans="1:55" x14ac:dyDescent="0.3">
      <c r="A342" s="63">
        <v>14</v>
      </c>
      <c r="B342" s="65">
        <v>45754</v>
      </c>
      <c r="C342" s="63">
        <v>2</v>
      </c>
      <c r="D342" s="38" t="s">
        <v>179</v>
      </c>
      <c r="E342" s="23" t="s">
        <v>129</v>
      </c>
      <c r="F342" s="39">
        <v>82.674999999999997</v>
      </c>
      <c r="G342" s="64" t="s">
        <v>352</v>
      </c>
      <c r="H342" s="70"/>
      <c r="K342" s="40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132" t="s">
        <v>15</v>
      </c>
      <c r="BB342" s="4">
        <v>0</v>
      </c>
      <c r="BC342">
        <v>0</v>
      </c>
    </row>
    <row r="343" spans="1:55" x14ac:dyDescent="0.3">
      <c r="A343" s="63">
        <v>15</v>
      </c>
      <c r="B343" s="65">
        <v>45761</v>
      </c>
      <c r="C343" s="63">
        <v>2</v>
      </c>
      <c r="D343" s="38" t="s">
        <v>179</v>
      </c>
      <c r="E343" s="23" t="s">
        <v>129</v>
      </c>
      <c r="F343" s="39">
        <v>83.002399999999994</v>
      </c>
      <c r="G343" s="64" t="s">
        <v>352</v>
      </c>
      <c r="H343" s="70"/>
      <c r="K343" s="40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132" t="s">
        <v>15</v>
      </c>
      <c r="BB343" s="4">
        <v>0</v>
      </c>
      <c r="BC343">
        <v>0</v>
      </c>
    </row>
    <row r="344" spans="1:55" x14ac:dyDescent="0.3">
      <c r="A344" s="63">
        <v>16</v>
      </c>
      <c r="B344" s="65">
        <v>45768</v>
      </c>
      <c r="C344" s="63">
        <v>2</v>
      </c>
      <c r="D344" s="38" t="s">
        <v>179</v>
      </c>
      <c r="E344" s="23" t="s">
        <v>129</v>
      </c>
      <c r="F344" s="39">
        <v>82.067499999999995</v>
      </c>
      <c r="G344" s="64" t="s">
        <v>352</v>
      </c>
      <c r="H344" s="70"/>
      <c r="K344" s="40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132" t="s">
        <v>15</v>
      </c>
      <c r="BB344" s="4">
        <v>0</v>
      </c>
      <c r="BC344">
        <v>0</v>
      </c>
    </row>
    <row r="345" spans="1:55" x14ac:dyDescent="0.3">
      <c r="A345" s="63">
        <v>17</v>
      </c>
      <c r="B345" s="65">
        <v>45775</v>
      </c>
      <c r="C345" s="63">
        <v>2</v>
      </c>
      <c r="D345" s="38" t="s">
        <v>179</v>
      </c>
      <c r="E345" s="23" t="s">
        <v>129</v>
      </c>
      <c r="F345" s="39">
        <v>82.284800000000004</v>
      </c>
      <c r="G345" s="64" t="s">
        <v>352</v>
      </c>
      <c r="H345" s="70"/>
      <c r="K345" s="40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132" t="s">
        <v>15</v>
      </c>
      <c r="BB345" s="4">
        <v>0</v>
      </c>
      <c r="BC345">
        <v>0</v>
      </c>
    </row>
    <row r="346" spans="1:55" x14ac:dyDescent="0.3">
      <c r="A346" s="63">
        <v>18</v>
      </c>
      <c r="B346" s="65">
        <v>45782</v>
      </c>
      <c r="C346" s="63">
        <v>2</v>
      </c>
      <c r="D346" s="38" t="s">
        <v>179</v>
      </c>
      <c r="E346" s="23" t="s">
        <v>129</v>
      </c>
      <c r="F346" s="39">
        <v>83.318700000000007</v>
      </c>
      <c r="G346" s="64" t="s">
        <v>352</v>
      </c>
      <c r="H346" s="70"/>
      <c r="K346" s="40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132" t="s">
        <v>15</v>
      </c>
      <c r="BB346" s="4">
        <v>0</v>
      </c>
      <c r="BC346">
        <v>0</v>
      </c>
    </row>
    <row r="347" spans="1:55" x14ac:dyDescent="0.3">
      <c r="A347" s="63">
        <v>19</v>
      </c>
      <c r="B347" s="65">
        <v>45789</v>
      </c>
      <c r="C347" s="63">
        <v>2</v>
      </c>
      <c r="D347" s="38" t="s">
        <v>179</v>
      </c>
      <c r="E347" s="23" t="s">
        <v>129</v>
      </c>
      <c r="F347" s="39">
        <v>81.730500000000006</v>
      </c>
      <c r="G347" s="64" t="s">
        <v>352</v>
      </c>
      <c r="H347" s="70"/>
      <c r="K347" s="40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132" t="s">
        <v>15</v>
      </c>
      <c r="BB347" s="4">
        <v>0</v>
      </c>
      <c r="BC347">
        <v>0</v>
      </c>
    </row>
    <row r="348" spans="1:55" x14ac:dyDescent="0.3">
      <c r="A348" s="63">
        <v>20</v>
      </c>
      <c r="B348" s="65">
        <v>45796</v>
      </c>
      <c r="C348" s="63">
        <v>2</v>
      </c>
      <c r="D348" s="38" t="s">
        <v>179</v>
      </c>
      <c r="E348" s="23" t="s">
        <v>129</v>
      </c>
      <c r="F348" s="39">
        <v>81.437600000000003</v>
      </c>
      <c r="G348" s="64" t="s">
        <v>352</v>
      </c>
      <c r="H348" s="70"/>
      <c r="K348" s="40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132" t="s">
        <v>15</v>
      </c>
      <c r="BB348" s="4">
        <v>0</v>
      </c>
      <c r="BC348">
        <v>0</v>
      </c>
    </row>
    <row r="349" spans="1:55" x14ac:dyDescent="0.3">
      <c r="A349" s="63">
        <v>21</v>
      </c>
      <c r="B349" s="65">
        <v>45803</v>
      </c>
      <c r="C349" s="63">
        <v>2</v>
      </c>
      <c r="D349" s="38" t="s">
        <v>179</v>
      </c>
      <c r="E349" s="23" t="s">
        <v>129</v>
      </c>
      <c r="F349" s="39">
        <v>80.875799999999998</v>
      </c>
      <c r="G349" s="64" t="s">
        <v>352</v>
      </c>
      <c r="H349" s="70"/>
      <c r="K349" s="40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132" t="s">
        <v>15</v>
      </c>
      <c r="BB349" s="4">
        <v>0</v>
      </c>
      <c r="BC349">
        <v>0</v>
      </c>
    </row>
    <row r="350" spans="1:55" x14ac:dyDescent="0.3">
      <c r="A350" s="63">
        <v>22</v>
      </c>
      <c r="B350" s="65">
        <v>45810</v>
      </c>
      <c r="C350" s="63">
        <v>2</v>
      </c>
      <c r="D350" s="38" t="s">
        <v>179</v>
      </c>
      <c r="E350" s="23" t="s">
        <v>129</v>
      </c>
      <c r="F350" s="39">
        <v>81.906700000000001</v>
      </c>
      <c r="G350" s="64" t="s">
        <v>352</v>
      </c>
      <c r="H350" s="70"/>
      <c r="K350" s="40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132" t="s">
        <v>15</v>
      </c>
      <c r="BB350" s="4">
        <v>0</v>
      </c>
      <c r="BC350">
        <v>0</v>
      </c>
    </row>
    <row r="351" spans="1:55" x14ac:dyDescent="0.3">
      <c r="A351" s="63">
        <v>23</v>
      </c>
      <c r="B351" s="65">
        <v>45817</v>
      </c>
      <c r="C351" s="63">
        <v>2</v>
      </c>
      <c r="D351" s="38" t="s">
        <v>179</v>
      </c>
      <c r="E351" s="23" t="s">
        <v>129</v>
      </c>
      <c r="F351" s="39">
        <v>82.968999999999994</v>
      </c>
      <c r="G351" s="64" t="s">
        <v>352</v>
      </c>
      <c r="H351" s="70"/>
      <c r="K351" s="40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132" t="s">
        <v>15</v>
      </c>
      <c r="BB351" s="4">
        <v>0</v>
      </c>
      <c r="BC351">
        <v>0</v>
      </c>
    </row>
    <row r="352" spans="1:55" x14ac:dyDescent="0.3">
      <c r="A352" s="63">
        <v>24</v>
      </c>
      <c r="B352" s="65">
        <v>45824</v>
      </c>
      <c r="C352" s="63">
        <v>2</v>
      </c>
      <c r="D352" s="38" t="s">
        <v>179</v>
      </c>
      <c r="E352" s="23" t="s">
        <v>129</v>
      </c>
      <c r="F352" s="39">
        <v>82.584999999999994</v>
      </c>
      <c r="G352" s="64" t="s">
        <v>352</v>
      </c>
      <c r="H352" s="70"/>
      <c r="K352" s="40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132" t="s">
        <v>15</v>
      </c>
      <c r="BB352" s="4">
        <v>0</v>
      </c>
      <c r="BC352">
        <v>0</v>
      </c>
    </row>
    <row r="353" spans="1:55" x14ac:dyDescent="0.3">
      <c r="A353" s="63">
        <v>25</v>
      </c>
      <c r="B353" s="65">
        <v>45831</v>
      </c>
      <c r="C353" s="63">
        <v>2</v>
      </c>
      <c r="D353" s="38" t="s">
        <v>179</v>
      </c>
      <c r="E353" s="23" t="s">
        <v>129</v>
      </c>
      <c r="F353" s="39">
        <v>81.179599999999994</v>
      </c>
      <c r="G353" s="64" t="s">
        <v>352</v>
      </c>
      <c r="H353" s="70"/>
      <c r="K353" s="40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132" t="s">
        <v>15</v>
      </c>
      <c r="BB353" s="4">
        <v>0</v>
      </c>
      <c r="BC353">
        <v>0</v>
      </c>
    </row>
    <row r="354" spans="1:55" x14ac:dyDescent="0.3">
      <c r="A354" s="63">
        <v>1</v>
      </c>
      <c r="B354" s="65">
        <v>45663</v>
      </c>
      <c r="C354" s="63">
        <v>3</v>
      </c>
      <c r="D354" s="38" t="s">
        <v>180</v>
      </c>
      <c r="E354" s="23" t="s">
        <v>129</v>
      </c>
      <c r="F354" s="39">
        <v>87.058000000000007</v>
      </c>
      <c r="G354" s="64" t="s">
        <v>352</v>
      </c>
      <c r="H354" s="70"/>
      <c r="K354" s="40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132" t="s">
        <v>15</v>
      </c>
      <c r="BB354" s="4">
        <v>0</v>
      </c>
      <c r="BC354">
        <v>0</v>
      </c>
    </row>
    <row r="355" spans="1:55" x14ac:dyDescent="0.3">
      <c r="A355" s="63">
        <v>2</v>
      </c>
      <c r="B355" s="65">
        <v>45670</v>
      </c>
      <c r="C355" s="63">
        <v>3</v>
      </c>
      <c r="D355" s="38" t="s">
        <v>180</v>
      </c>
      <c r="E355" s="23" t="s">
        <v>129</v>
      </c>
      <c r="F355" s="39">
        <v>87.307400000000001</v>
      </c>
      <c r="G355" s="64" t="s">
        <v>352</v>
      </c>
      <c r="H355" s="70"/>
      <c r="K355" s="40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132" t="s">
        <v>15</v>
      </c>
      <c r="BB355" s="4">
        <v>0</v>
      </c>
      <c r="BC355">
        <v>0</v>
      </c>
    </row>
    <row r="356" spans="1:55" x14ac:dyDescent="0.3">
      <c r="A356" s="63">
        <v>3</v>
      </c>
      <c r="B356" s="65">
        <v>45677</v>
      </c>
      <c r="C356" s="63">
        <v>3</v>
      </c>
      <c r="D356" s="38" t="s">
        <v>180</v>
      </c>
      <c r="E356" s="23" t="s">
        <v>129</v>
      </c>
      <c r="F356" s="39">
        <v>87.873099999999994</v>
      </c>
      <c r="G356" s="64" t="s">
        <v>352</v>
      </c>
      <c r="H356" s="70"/>
      <c r="K356" s="40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132" t="s">
        <v>15</v>
      </c>
      <c r="BB356" s="4">
        <v>0</v>
      </c>
      <c r="BC356">
        <v>0</v>
      </c>
    </row>
    <row r="357" spans="1:55" x14ac:dyDescent="0.3">
      <c r="A357" s="63">
        <v>4</v>
      </c>
      <c r="B357" s="65">
        <v>45684</v>
      </c>
      <c r="C357" s="63">
        <v>3</v>
      </c>
      <c r="D357" s="38" t="s">
        <v>180</v>
      </c>
      <c r="E357" s="23" t="s">
        <v>129</v>
      </c>
      <c r="F357" s="39">
        <v>87.5197</v>
      </c>
      <c r="G357" s="64" t="s">
        <v>352</v>
      </c>
      <c r="H357" s="70"/>
      <c r="K357" s="40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132" t="s">
        <v>15</v>
      </c>
      <c r="BB357" s="4">
        <v>0</v>
      </c>
      <c r="BC357">
        <v>0</v>
      </c>
    </row>
    <row r="358" spans="1:55" x14ac:dyDescent="0.3">
      <c r="A358" s="63">
        <v>5</v>
      </c>
      <c r="B358" s="65">
        <v>45691</v>
      </c>
      <c r="C358" s="63">
        <v>3</v>
      </c>
      <c r="D358" s="38" t="s">
        <v>180</v>
      </c>
      <c r="E358" s="23" t="s">
        <v>129</v>
      </c>
      <c r="F358" s="39">
        <v>87.817800000000005</v>
      </c>
      <c r="G358" s="64" t="s">
        <v>352</v>
      </c>
      <c r="H358" s="70"/>
      <c r="K358" s="40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132" t="s">
        <v>15</v>
      </c>
      <c r="BB358" s="4">
        <v>0</v>
      </c>
      <c r="BC358">
        <v>0</v>
      </c>
    </row>
    <row r="359" spans="1:55" x14ac:dyDescent="0.3">
      <c r="A359" s="63">
        <v>6</v>
      </c>
      <c r="B359" s="65">
        <v>45698</v>
      </c>
      <c r="C359" s="63">
        <v>3</v>
      </c>
      <c r="D359" s="38" t="s">
        <v>180</v>
      </c>
      <c r="E359" s="23" t="s">
        <v>129</v>
      </c>
      <c r="F359" s="39">
        <v>87.876300000000001</v>
      </c>
      <c r="G359" s="64" t="s">
        <v>352</v>
      </c>
      <c r="H359" s="70"/>
      <c r="K359" s="40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132" t="s">
        <v>15</v>
      </c>
      <c r="BB359" s="4">
        <v>0</v>
      </c>
      <c r="BC359">
        <v>0</v>
      </c>
    </row>
    <row r="360" spans="1:55" x14ac:dyDescent="0.3">
      <c r="A360" s="63">
        <v>7</v>
      </c>
      <c r="B360" s="65">
        <v>45705</v>
      </c>
      <c r="C360" s="63">
        <v>3</v>
      </c>
      <c r="D360" s="38" t="s">
        <v>180</v>
      </c>
      <c r="E360" s="23" t="s">
        <v>129</v>
      </c>
      <c r="F360" s="39">
        <v>87.453299999999999</v>
      </c>
      <c r="G360" s="64" t="s">
        <v>352</v>
      </c>
      <c r="H360" s="70"/>
      <c r="K360" s="40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132" t="s">
        <v>15</v>
      </c>
      <c r="BB360" s="4">
        <v>0</v>
      </c>
      <c r="BC360">
        <v>0</v>
      </c>
    </row>
    <row r="361" spans="1:55" x14ac:dyDescent="0.3">
      <c r="A361" s="63">
        <v>8</v>
      </c>
      <c r="B361" s="65">
        <v>45712</v>
      </c>
      <c r="C361" s="63">
        <v>3</v>
      </c>
      <c r="D361" s="38" t="s">
        <v>180</v>
      </c>
      <c r="E361" s="23" t="s">
        <v>129</v>
      </c>
      <c r="F361" s="39">
        <v>87.637</v>
      </c>
      <c r="G361" s="64" t="s">
        <v>352</v>
      </c>
      <c r="H361" s="70"/>
      <c r="K361" s="40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132" t="s">
        <v>15</v>
      </c>
      <c r="BB361" s="4">
        <v>0</v>
      </c>
      <c r="BC361">
        <v>0</v>
      </c>
    </row>
    <row r="362" spans="1:55" x14ac:dyDescent="0.3">
      <c r="A362" s="63">
        <v>9</v>
      </c>
      <c r="B362" s="65">
        <v>45719</v>
      </c>
      <c r="C362" s="63">
        <v>3</v>
      </c>
      <c r="D362" s="38" t="s">
        <v>180</v>
      </c>
      <c r="E362" s="23" t="s">
        <v>129</v>
      </c>
      <c r="F362" s="39">
        <v>87.812299999999993</v>
      </c>
      <c r="G362" s="64" t="s">
        <v>352</v>
      </c>
      <c r="H362" s="70"/>
      <c r="K362" s="40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132" t="s">
        <v>15</v>
      </c>
      <c r="BB362" s="4">
        <v>0</v>
      </c>
      <c r="BC362">
        <v>0</v>
      </c>
    </row>
    <row r="363" spans="1:55" x14ac:dyDescent="0.3">
      <c r="A363" s="63">
        <v>10</v>
      </c>
      <c r="B363" s="65">
        <v>45726</v>
      </c>
      <c r="C363" s="63">
        <v>3</v>
      </c>
      <c r="D363" s="38" t="s">
        <v>180</v>
      </c>
      <c r="E363" s="23" t="s">
        <v>129</v>
      </c>
      <c r="F363" s="39">
        <v>87.605900000000005</v>
      </c>
      <c r="G363" s="64" t="s">
        <v>352</v>
      </c>
      <c r="H363" s="70"/>
      <c r="K363" s="40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132" t="s">
        <v>15</v>
      </c>
      <c r="BB363" s="4">
        <v>0</v>
      </c>
      <c r="BC363">
        <v>0</v>
      </c>
    </row>
    <row r="364" spans="1:55" x14ac:dyDescent="0.3">
      <c r="A364" s="63">
        <v>11</v>
      </c>
      <c r="B364" s="65">
        <v>45733</v>
      </c>
      <c r="C364" s="63">
        <v>3</v>
      </c>
      <c r="D364" s="38" t="s">
        <v>180</v>
      </c>
      <c r="E364" s="23" t="s">
        <v>129</v>
      </c>
      <c r="F364" s="39">
        <v>88.023200000000003</v>
      </c>
      <c r="G364" s="64" t="s">
        <v>352</v>
      </c>
      <c r="H364" s="70"/>
      <c r="K364" s="40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132" t="s">
        <v>15</v>
      </c>
      <c r="BB364" s="4">
        <v>0</v>
      </c>
      <c r="BC364">
        <v>0</v>
      </c>
    </row>
    <row r="365" spans="1:55" x14ac:dyDescent="0.3">
      <c r="A365" s="63">
        <v>12</v>
      </c>
      <c r="B365" s="65">
        <v>45740</v>
      </c>
      <c r="C365" s="63">
        <v>3</v>
      </c>
      <c r="D365" s="38" t="s">
        <v>180</v>
      </c>
      <c r="E365" s="23" t="s">
        <v>129</v>
      </c>
      <c r="F365" s="39">
        <v>88.994299999999996</v>
      </c>
      <c r="G365" s="64" t="s">
        <v>352</v>
      </c>
      <c r="H365" s="70"/>
      <c r="K365" s="40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132" t="s">
        <v>15</v>
      </c>
      <c r="BB365" s="4">
        <v>0</v>
      </c>
      <c r="BC365">
        <v>0</v>
      </c>
    </row>
    <row r="366" spans="1:55" x14ac:dyDescent="0.3">
      <c r="A366" s="63">
        <v>13</v>
      </c>
      <c r="B366" s="65">
        <v>45747</v>
      </c>
      <c r="C366" s="63">
        <v>3</v>
      </c>
      <c r="D366" s="38" t="s">
        <v>180</v>
      </c>
      <c r="E366" s="23" t="s">
        <v>129</v>
      </c>
      <c r="F366" s="39">
        <v>88.085999999999999</v>
      </c>
      <c r="G366" s="64" t="s">
        <v>352</v>
      </c>
      <c r="H366" s="70"/>
      <c r="K366" s="40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132" t="s">
        <v>15</v>
      </c>
      <c r="BB366" s="4">
        <v>0</v>
      </c>
      <c r="BC366">
        <v>0</v>
      </c>
    </row>
    <row r="367" spans="1:55" x14ac:dyDescent="0.3">
      <c r="A367" s="63">
        <v>14</v>
      </c>
      <c r="B367" s="65">
        <v>45754</v>
      </c>
      <c r="C367" s="63">
        <v>3</v>
      </c>
      <c r="D367" s="38" t="s">
        <v>180</v>
      </c>
      <c r="E367" s="23" t="s">
        <v>129</v>
      </c>
      <c r="F367" s="39">
        <v>87.705200000000005</v>
      </c>
      <c r="G367" s="64" t="s">
        <v>352</v>
      </c>
      <c r="H367" s="70"/>
      <c r="K367" s="40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132" t="s">
        <v>15</v>
      </c>
      <c r="BB367" s="4">
        <v>0</v>
      </c>
      <c r="BC367">
        <v>0</v>
      </c>
    </row>
    <row r="368" spans="1:55" x14ac:dyDescent="0.3">
      <c r="A368" s="63">
        <v>15</v>
      </c>
      <c r="B368" s="65">
        <v>45761</v>
      </c>
      <c r="C368" s="63">
        <v>3</v>
      </c>
      <c r="D368" s="38" t="s">
        <v>180</v>
      </c>
      <c r="E368" s="23" t="s">
        <v>129</v>
      </c>
      <c r="F368" s="39">
        <v>86.4679</v>
      </c>
      <c r="G368" s="64" t="s">
        <v>352</v>
      </c>
      <c r="H368" s="70"/>
      <c r="K368" s="40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132" t="s">
        <v>15</v>
      </c>
      <c r="BB368" s="4">
        <v>0</v>
      </c>
      <c r="BC368">
        <v>0</v>
      </c>
    </row>
    <row r="369" spans="1:55" x14ac:dyDescent="0.3">
      <c r="A369" s="63">
        <v>16</v>
      </c>
      <c r="B369" s="65">
        <v>45768</v>
      </c>
      <c r="C369" s="63">
        <v>3</v>
      </c>
      <c r="D369" s="38" t="s">
        <v>180</v>
      </c>
      <c r="E369" s="23" t="s">
        <v>129</v>
      </c>
      <c r="F369" s="39">
        <v>87.941100000000006</v>
      </c>
      <c r="G369" s="64" t="s">
        <v>352</v>
      </c>
      <c r="H369" s="70"/>
      <c r="K369" s="40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132" t="s">
        <v>15</v>
      </c>
      <c r="BB369" s="4">
        <v>0</v>
      </c>
      <c r="BC369">
        <v>0</v>
      </c>
    </row>
    <row r="370" spans="1:55" x14ac:dyDescent="0.3">
      <c r="A370" s="63">
        <v>17</v>
      </c>
      <c r="B370" s="65">
        <v>45775</v>
      </c>
      <c r="C370" s="63">
        <v>3</v>
      </c>
      <c r="D370" s="38" t="s">
        <v>180</v>
      </c>
      <c r="E370" s="23" t="s">
        <v>129</v>
      </c>
      <c r="F370" s="39">
        <v>86.282899999999998</v>
      </c>
      <c r="G370" s="64" t="s">
        <v>352</v>
      </c>
      <c r="H370" s="70"/>
      <c r="K370" s="40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132" t="s">
        <v>15</v>
      </c>
      <c r="BB370" s="4">
        <v>0</v>
      </c>
      <c r="BC370">
        <v>0</v>
      </c>
    </row>
    <row r="371" spans="1:55" x14ac:dyDescent="0.3">
      <c r="A371" s="63">
        <v>18</v>
      </c>
      <c r="B371" s="65">
        <v>45782</v>
      </c>
      <c r="C371" s="63">
        <v>3</v>
      </c>
      <c r="D371" s="38" t="s">
        <v>180</v>
      </c>
      <c r="E371" s="23" t="s">
        <v>129</v>
      </c>
      <c r="F371" s="39">
        <v>86.664699999999996</v>
      </c>
      <c r="G371" s="64" t="s">
        <v>352</v>
      </c>
      <c r="H371" s="70"/>
      <c r="K371" s="40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132" t="s">
        <v>15</v>
      </c>
      <c r="BB371" s="4">
        <v>0</v>
      </c>
      <c r="BC371">
        <v>0</v>
      </c>
    </row>
    <row r="372" spans="1:55" x14ac:dyDescent="0.3">
      <c r="A372" s="63">
        <v>19</v>
      </c>
      <c r="B372" s="65">
        <v>45789</v>
      </c>
      <c r="C372" s="63">
        <v>3</v>
      </c>
      <c r="D372" s="38" t="s">
        <v>180</v>
      </c>
      <c r="E372" s="23" t="s">
        <v>129</v>
      </c>
      <c r="F372" s="39">
        <v>88.272499999999994</v>
      </c>
      <c r="G372" s="64" t="s">
        <v>352</v>
      </c>
      <c r="H372" s="70"/>
      <c r="K372" s="40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132" t="s">
        <v>15</v>
      </c>
      <c r="BB372" s="4">
        <v>0</v>
      </c>
      <c r="BC372">
        <v>0</v>
      </c>
    </row>
    <row r="373" spans="1:55" x14ac:dyDescent="0.3">
      <c r="A373" s="63">
        <v>20</v>
      </c>
      <c r="B373" s="65">
        <v>45796</v>
      </c>
      <c r="C373" s="63">
        <v>3</v>
      </c>
      <c r="D373" s="38" t="s">
        <v>180</v>
      </c>
      <c r="E373" s="23" t="s">
        <v>129</v>
      </c>
      <c r="F373" s="39">
        <v>88.167100000000005</v>
      </c>
      <c r="G373" s="64" t="s">
        <v>352</v>
      </c>
      <c r="H373" s="70"/>
      <c r="K373" s="40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132" t="s">
        <v>15</v>
      </c>
      <c r="BB373" s="4">
        <v>0</v>
      </c>
      <c r="BC373">
        <v>0</v>
      </c>
    </row>
    <row r="374" spans="1:55" x14ac:dyDescent="0.3">
      <c r="A374" s="63">
        <v>21</v>
      </c>
      <c r="B374" s="65">
        <v>45803</v>
      </c>
      <c r="C374" s="63">
        <v>3</v>
      </c>
      <c r="D374" s="38" t="s">
        <v>180</v>
      </c>
      <c r="E374" s="23" t="s">
        <v>129</v>
      </c>
      <c r="F374" s="39">
        <v>87.558999999999997</v>
      </c>
      <c r="G374" s="64" t="s">
        <v>352</v>
      </c>
      <c r="H374" s="70"/>
      <c r="K374" s="40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132" t="s">
        <v>15</v>
      </c>
      <c r="BB374" s="4">
        <v>0</v>
      </c>
      <c r="BC374">
        <v>0</v>
      </c>
    </row>
    <row r="375" spans="1:55" x14ac:dyDescent="0.3">
      <c r="A375" s="63">
        <v>22</v>
      </c>
      <c r="B375" s="65">
        <v>45810</v>
      </c>
      <c r="C375" s="63">
        <v>3</v>
      </c>
      <c r="D375" s="38" t="s">
        <v>180</v>
      </c>
      <c r="E375" s="23" t="s">
        <v>129</v>
      </c>
      <c r="F375" s="39">
        <v>86.450900000000004</v>
      </c>
      <c r="G375" s="64" t="s">
        <v>352</v>
      </c>
      <c r="H375" s="70"/>
      <c r="K375" s="40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132" t="s">
        <v>15</v>
      </c>
      <c r="BB375" s="4">
        <v>0</v>
      </c>
      <c r="BC375">
        <v>0</v>
      </c>
    </row>
    <row r="376" spans="1:55" x14ac:dyDescent="0.3">
      <c r="A376" s="63">
        <v>23</v>
      </c>
      <c r="B376" s="65">
        <v>45817</v>
      </c>
      <c r="C376" s="63">
        <v>3</v>
      </c>
      <c r="D376" s="38" t="s">
        <v>180</v>
      </c>
      <c r="E376" s="23" t="s">
        <v>129</v>
      </c>
      <c r="F376" s="39">
        <v>87.401799999999994</v>
      </c>
      <c r="G376" s="64" t="s">
        <v>352</v>
      </c>
      <c r="H376" s="70"/>
      <c r="K376" s="40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132" t="s">
        <v>15</v>
      </c>
      <c r="BB376" s="4">
        <v>0</v>
      </c>
      <c r="BC376">
        <v>0</v>
      </c>
    </row>
    <row r="377" spans="1:55" x14ac:dyDescent="0.3">
      <c r="A377" s="63">
        <v>24</v>
      </c>
      <c r="B377" s="65">
        <v>45824</v>
      </c>
      <c r="C377" s="63">
        <v>3</v>
      </c>
      <c r="D377" s="38" t="s">
        <v>180</v>
      </c>
      <c r="E377" s="23" t="s">
        <v>129</v>
      </c>
      <c r="F377" s="39">
        <v>87.183400000000006</v>
      </c>
      <c r="G377" s="64" t="s">
        <v>352</v>
      </c>
      <c r="H377" s="70"/>
      <c r="K377" s="40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132" t="s">
        <v>15</v>
      </c>
      <c r="BB377" s="4">
        <v>0</v>
      </c>
      <c r="BC377">
        <v>0</v>
      </c>
    </row>
    <row r="378" spans="1:55" x14ac:dyDescent="0.3">
      <c r="A378" s="63">
        <v>25</v>
      </c>
      <c r="B378" s="65">
        <v>45831</v>
      </c>
      <c r="C378" s="63">
        <v>3</v>
      </c>
      <c r="D378" s="38" t="s">
        <v>180</v>
      </c>
      <c r="E378" s="23" t="s">
        <v>129</v>
      </c>
      <c r="F378" s="39">
        <v>88.117800000000003</v>
      </c>
      <c r="G378" s="64" t="s">
        <v>352</v>
      </c>
      <c r="H378" s="70"/>
      <c r="K378" s="40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132" t="s">
        <v>15</v>
      </c>
      <c r="BB378" s="4">
        <v>0</v>
      </c>
      <c r="BC378">
        <v>0</v>
      </c>
    </row>
    <row r="379" spans="1:55" x14ac:dyDescent="0.3">
      <c r="A379" s="63">
        <v>1</v>
      </c>
      <c r="B379" s="65">
        <v>45663</v>
      </c>
      <c r="C379" s="63">
        <v>1</v>
      </c>
      <c r="D379" s="38" t="s">
        <v>178</v>
      </c>
      <c r="E379" s="23" t="s">
        <v>130</v>
      </c>
      <c r="F379" s="39">
        <v>24.4575</v>
      </c>
      <c r="G379" s="64" t="s">
        <v>352</v>
      </c>
      <c r="H379" s="70"/>
      <c r="K379" s="40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132" t="s">
        <v>15</v>
      </c>
      <c r="BB379" s="4">
        <v>1</v>
      </c>
      <c r="BC379">
        <v>0</v>
      </c>
    </row>
    <row r="380" spans="1:55" x14ac:dyDescent="0.3">
      <c r="A380" s="63">
        <v>2</v>
      </c>
      <c r="B380" s="65">
        <v>45670</v>
      </c>
      <c r="C380" s="63">
        <v>1</v>
      </c>
      <c r="D380" s="38" t="s">
        <v>178</v>
      </c>
      <c r="E380" s="23" t="s">
        <v>130</v>
      </c>
      <c r="F380" s="39">
        <v>23.897500000000001</v>
      </c>
      <c r="G380" s="64" t="s">
        <v>352</v>
      </c>
      <c r="H380" s="70"/>
      <c r="K380" s="40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132" t="s">
        <v>15</v>
      </c>
      <c r="BB380" s="4">
        <v>1</v>
      </c>
      <c r="BC380">
        <v>0</v>
      </c>
    </row>
    <row r="381" spans="1:55" x14ac:dyDescent="0.3">
      <c r="A381" s="63">
        <v>3</v>
      </c>
      <c r="B381" s="65">
        <v>45677</v>
      </c>
      <c r="C381" s="63">
        <v>1</v>
      </c>
      <c r="D381" s="38" t="s">
        <v>178</v>
      </c>
      <c r="E381" s="23" t="s">
        <v>130</v>
      </c>
      <c r="F381" s="39">
        <v>23.624099999999999</v>
      </c>
      <c r="G381" s="64" t="s">
        <v>352</v>
      </c>
      <c r="H381" s="70"/>
      <c r="K381" s="40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132" t="s">
        <v>15</v>
      </c>
      <c r="BB381" s="4">
        <v>1</v>
      </c>
      <c r="BC381">
        <v>0</v>
      </c>
    </row>
    <row r="382" spans="1:55" x14ac:dyDescent="0.3">
      <c r="A382" s="63">
        <v>4</v>
      </c>
      <c r="B382" s="65">
        <v>45684</v>
      </c>
      <c r="C382" s="63">
        <v>1</v>
      </c>
      <c r="D382" s="38" t="s">
        <v>178</v>
      </c>
      <c r="E382" s="23" t="s">
        <v>130</v>
      </c>
      <c r="F382" s="39">
        <v>23.5167</v>
      </c>
      <c r="G382" s="64" t="s">
        <v>352</v>
      </c>
      <c r="H382" s="70"/>
      <c r="K382" s="40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132" t="s">
        <v>15</v>
      </c>
      <c r="BB382" s="4">
        <v>1</v>
      </c>
      <c r="BC382">
        <v>0</v>
      </c>
    </row>
    <row r="383" spans="1:55" x14ac:dyDescent="0.3">
      <c r="A383" s="63">
        <v>5</v>
      </c>
      <c r="B383" s="65">
        <v>45691</v>
      </c>
      <c r="C383" s="63">
        <v>1</v>
      </c>
      <c r="D383" s="38" t="s">
        <v>178</v>
      </c>
      <c r="E383" s="23" t="s">
        <v>130</v>
      </c>
      <c r="F383" s="39">
        <v>23.822500000000002</v>
      </c>
      <c r="G383" s="64" t="s">
        <v>352</v>
      </c>
      <c r="H383" s="70"/>
      <c r="K383" s="40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132" t="s">
        <v>15</v>
      </c>
      <c r="BB383" s="4">
        <v>1</v>
      </c>
      <c r="BC383">
        <v>0</v>
      </c>
    </row>
    <row r="384" spans="1:55" x14ac:dyDescent="0.3">
      <c r="A384" s="63">
        <v>6</v>
      </c>
      <c r="B384" s="65">
        <v>45698</v>
      </c>
      <c r="C384" s="63">
        <v>1</v>
      </c>
      <c r="D384" s="38" t="s">
        <v>178</v>
      </c>
      <c r="E384" s="23" t="s">
        <v>130</v>
      </c>
      <c r="F384" s="39">
        <v>23.789400000000001</v>
      </c>
      <c r="G384" s="64" t="s">
        <v>352</v>
      </c>
      <c r="H384" s="70"/>
      <c r="K384" s="40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132" t="s">
        <v>15</v>
      </c>
      <c r="BB384" s="4">
        <v>1</v>
      </c>
      <c r="BC384">
        <v>0</v>
      </c>
    </row>
    <row r="385" spans="1:55" x14ac:dyDescent="0.3">
      <c r="A385" s="63">
        <v>7</v>
      </c>
      <c r="B385" s="65">
        <v>45705</v>
      </c>
      <c r="C385" s="63">
        <v>1</v>
      </c>
      <c r="D385" s="38" t="s">
        <v>178</v>
      </c>
      <c r="E385" s="23" t="s">
        <v>130</v>
      </c>
      <c r="F385" s="39">
        <v>23.521999999999998</v>
      </c>
      <c r="G385" s="64" t="s">
        <v>352</v>
      </c>
      <c r="H385" s="70"/>
      <c r="K385" s="40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132" t="s">
        <v>15</v>
      </c>
      <c r="BB385" s="4">
        <v>1</v>
      </c>
      <c r="BC385">
        <v>0</v>
      </c>
    </row>
    <row r="386" spans="1:55" x14ac:dyDescent="0.3">
      <c r="A386" s="63">
        <v>8</v>
      </c>
      <c r="B386" s="65">
        <v>45712</v>
      </c>
      <c r="C386" s="63">
        <v>1</v>
      </c>
      <c r="D386" s="38" t="s">
        <v>178</v>
      </c>
      <c r="E386" s="23" t="s">
        <v>130</v>
      </c>
      <c r="F386" s="39">
        <v>23.869900000000001</v>
      </c>
      <c r="G386" s="64" t="s">
        <v>352</v>
      </c>
      <c r="H386" s="70"/>
      <c r="K386" s="40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132" t="s">
        <v>15</v>
      </c>
      <c r="BB386" s="4">
        <v>1</v>
      </c>
      <c r="BC386">
        <v>0</v>
      </c>
    </row>
    <row r="387" spans="1:55" x14ac:dyDescent="0.3">
      <c r="A387" s="63">
        <v>9</v>
      </c>
      <c r="B387" s="65">
        <v>45719</v>
      </c>
      <c r="C387" s="63">
        <v>1</v>
      </c>
      <c r="D387" s="38" t="s">
        <v>178</v>
      </c>
      <c r="E387" s="23" t="s">
        <v>130</v>
      </c>
      <c r="F387" s="39">
        <v>23.522099999999998</v>
      </c>
      <c r="G387" s="64" t="s">
        <v>352</v>
      </c>
      <c r="H387" s="70"/>
      <c r="K387" s="40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132" t="s">
        <v>15</v>
      </c>
      <c r="BB387" s="4">
        <v>1</v>
      </c>
      <c r="BC387">
        <v>0</v>
      </c>
    </row>
    <row r="388" spans="1:55" x14ac:dyDescent="0.3">
      <c r="A388" s="63">
        <v>10</v>
      </c>
      <c r="B388" s="65">
        <v>45726</v>
      </c>
      <c r="C388" s="63">
        <v>1</v>
      </c>
      <c r="D388" s="38" t="s">
        <v>178</v>
      </c>
      <c r="E388" s="23" t="s">
        <v>130</v>
      </c>
      <c r="F388" s="39">
        <v>24.1431</v>
      </c>
      <c r="G388" s="64" t="s">
        <v>352</v>
      </c>
      <c r="H388" s="70"/>
      <c r="K388" s="40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132" t="s">
        <v>15</v>
      </c>
      <c r="BB388" s="4">
        <v>1</v>
      </c>
      <c r="BC388">
        <v>0</v>
      </c>
    </row>
    <row r="389" spans="1:55" x14ac:dyDescent="0.3">
      <c r="A389" s="63">
        <v>11</v>
      </c>
      <c r="B389" s="65">
        <v>45733</v>
      </c>
      <c r="C389" s="63">
        <v>1</v>
      </c>
      <c r="D389" s="38" t="s">
        <v>178</v>
      </c>
      <c r="E389" s="23" t="s">
        <v>130</v>
      </c>
      <c r="F389" s="39">
        <v>24.1295</v>
      </c>
      <c r="G389" s="64" t="s">
        <v>352</v>
      </c>
      <c r="H389" s="70"/>
      <c r="K389" s="40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132" t="s">
        <v>15</v>
      </c>
      <c r="BB389" s="4">
        <v>1</v>
      </c>
      <c r="BC389">
        <v>0</v>
      </c>
    </row>
    <row r="390" spans="1:55" x14ac:dyDescent="0.3">
      <c r="A390" s="63">
        <v>12</v>
      </c>
      <c r="B390" s="65">
        <v>45740</v>
      </c>
      <c r="C390" s="63">
        <v>1</v>
      </c>
      <c r="D390" s="38" t="s">
        <v>178</v>
      </c>
      <c r="E390" s="23" t="s">
        <v>130</v>
      </c>
      <c r="F390" s="39">
        <v>24.1356</v>
      </c>
      <c r="G390" s="64" t="s">
        <v>352</v>
      </c>
      <c r="H390" s="70"/>
      <c r="K390" s="40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132" t="s">
        <v>15</v>
      </c>
      <c r="BB390" s="4">
        <v>1</v>
      </c>
      <c r="BC390">
        <v>0</v>
      </c>
    </row>
    <row r="391" spans="1:55" x14ac:dyDescent="0.3">
      <c r="A391" s="63">
        <v>13</v>
      </c>
      <c r="B391" s="65">
        <v>45747</v>
      </c>
      <c r="C391" s="63">
        <v>1</v>
      </c>
      <c r="D391" s="38" t="s">
        <v>178</v>
      </c>
      <c r="E391" s="23" t="s">
        <v>130</v>
      </c>
      <c r="F391" s="39">
        <v>23.707899999999999</v>
      </c>
      <c r="G391" s="64" t="s">
        <v>352</v>
      </c>
      <c r="H391" s="70"/>
      <c r="K391" s="40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132" t="s">
        <v>15</v>
      </c>
      <c r="BB391" s="4">
        <v>1</v>
      </c>
      <c r="BC391">
        <v>0</v>
      </c>
    </row>
    <row r="392" spans="1:55" x14ac:dyDescent="0.3">
      <c r="A392" s="63">
        <v>14</v>
      </c>
      <c r="B392" s="65">
        <v>45754</v>
      </c>
      <c r="C392" s="63">
        <v>1</v>
      </c>
      <c r="D392" s="38" t="s">
        <v>178</v>
      </c>
      <c r="E392" s="23" t="s">
        <v>130</v>
      </c>
      <c r="F392" s="39">
        <v>23.979099999999999</v>
      </c>
      <c r="G392" s="64" t="s">
        <v>352</v>
      </c>
      <c r="H392" s="70"/>
      <c r="K392" s="40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132" t="s">
        <v>15</v>
      </c>
      <c r="BB392" s="4">
        <v>1</v>
      </c>
      <c r="BC392">
        <v>0</v>
      </c>
    </row>
    <row r="393" spans="1:55" x14ac:dyDescent="0.3">
      <c r="A393" s="63">
        <v>15</v>
      </c>
      <c r="B393" s="65">
        <v>45761</v>
      </c>
      <c r="C393" s="63">
        <v>1</v>
      </c>
      <c r="D393" s="38" t="s">
        <v>178</v>
      </c>
      <c r="E393" s="23" t="s">
        <v>130</v>
      </c>
      <c r="F393" s="39">
        <v>23.8017</v>
      </c>
      <c r="G393" s="64" t="s">
        <v>352</v>
      </c>
      <c r="H393" s="70"/>
      <c r="K393" s="40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132" t="s">
        <v>15</v>
      </c>
      <c r="BB393" s="4">
        <v>1</v>
      </c>
      <c r="BC393">
        <v>0</v>
      </c>
    </row>
    <row r="394" spans="1:55" x14ac:dyDescent="0.3">
      <c r="A394" s="63">
        <v>16</v>
      </c>
      <c r="B394" s="65">
        <v>45768</v>
      </c>
      <c r="C394" s="63">
        <v>1</v>
      </c>
      <c r="D394" s="38" t="s">
        <v>178</v>
      </c>
      <c r="E394" s="23" t="s">
        <v>130</v>
      </c>
      <c r="F394" s="39">
        <v>23.731200000000001</v>
      </c>
      <c r="G394" s="64" t="s">
        <v>352</v>
      </c>
      <c r="H394" s="70"/>
      <c r="K394" s="40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132" t="s">
        <v>15</v>
      </c>
      <c r="BB394" s="4">
        <v>1</v>
      </c>
      <c r="BC394">
        <v>0</v>
      </c>
    </row>
    <row r="395" spans="1:55" x14ac:dyDescent="0.3">
      <c r="A395" s="63">
        <v>17</v>
      </c>
      <c r="B395" s="65">
        <v>45775</v>
      </c>
      <c r="C395" s="63">
        <v>1</v>
      </c>
      <c r="D395" s="38" t="s">
        <v>178</v>
      </c>
      <c r="E395" s="23" t="s">
        <v>130</v>
      </c>
      <c r="F395" s="39">
        <v>23.744900000000001</v>
      </c>
      <c r="G395" s="64" t="s">
        <v>352</v>
      </c>
      <c r="H395" s="70"/>
      <c r="K395" s="40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132" t="s">
        <v>15</v>
      </c>
      <c r="BB395" s="4">
        <v>1</v>
      </c>
      <c r="BC395">
        <v>0</v>
      </c>
    </row>
    <row r="396" spans="1:55" x14ac:dyDescent="0.3">
      <c r="A396" s="63">
        <v>18</v>
      </c>
      <c r="B396" s="65">
        <v>45782</v>
      </c>
      <c r="C396" s="63">
        <v>1</v>
      </c>
      <c r="D396" s="38" t="s">
        <v>178</v>
      </c>
      <c r="E396" s="23" t="s">
        <v>130</v>
      </c>
      <c r="F396" s="39">
        <v>23.481300000000001</v>
      </c>
      <c r="G396" s="64" t="s">
        <v>352</v>
      </c>
      <c r="H396" s="70"/>
      <c r="K396" s="40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132" t="s">
        <v>15</v>
      </c>
      <c r="BB396" s="4">
        <v>1</v>
      </c>
      <c r="BC396">
        <v>0</v>
      </c>
    </row>
    <row r="397" spans="1:55" x14ac:dyDescent="0.3">
      <c r="A397" s="63">
        <v>19</v>
      </c>
      <c r="B397" s="65">
        <v>45789</v>
      </c>
      <c r="C397" s="63">
        <v>1</v>
      </c>
      <c r="D397" s="38" t="s">
        <v>178</v>
      </c>
      <c r="E397" s="23" t="s">
        <v>130</v>
      </c>
      <c r="F397" s="39">
        <v>23.441700000000001</v>
      </c>
      <c r="G397" s="64" t="s">
        <v>352</v>
      </c>
      <c r="H397" s="70"/>
      <c r="K397" s="40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132" t="s">
        <v>15</v>
      </c>
      <c r="BB397" s="4">
        <v>1</v>
      </c>
      <c r="BC397">
        <v>0</v>
      </c>
    </row>
    <row r="398" spans="1:55" x14ac:dyDescent="0.3">
      <c r="A398" s="63">
        <v>20</v>
      </c>
      <c r="B398" s="65">
        <v>45796</v>
      </c>
      <c r="C398" s="63">
        <v>1</v>
      </c>
      <c r="D398" s="38" t="s">
        <v>178</v>
      </c>
      <c r="E398" s="23" t="s">
        <v>130</v>
      </c>
      <c r="F398" s="39">
        <v>24.055900000000001</v>
      </c>
      <c r="G398" s="64" t="s">
        <v>352</v>
      </c>
      <c r="H398" s="70"/>
      <c r="K398" s="40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132" t="s">
        <v>15</v>
      </c>
      <c r="BB398" s="4">
        <v>1</v>
      </c>
      <c r="BC398">
        <v>0</v>
      </c>
    </row>
    <row r="399" spans="1:55" x14ac:dyDescent="0.3">
      <c r="A399" s="63">
        <v>21</v>
      </c>
      <c r="B399" s="65">
        <v>45803</v>
      </c>
      <c r="C399" s="63">
        <v>1</v>
      </c>
      <c r="D399" s="38" t="s">
        <v>178</v>
      </c>
      <c r="E399" s="23" t="s">
        <v>130</v>
      </c>
      <c r="F399" s="39">
        <v>23.785499999999999</v>
      </c>
      <c r="G399" s="64" t="s">
        <v>352</v>
      </c>
      <c r="H399" s="70"/>
      <c r="K399" s="40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132" t="s">
        <v>15</v>
      </c>
      <c r="BB399" s="4">
        <v>1</v>
      </c>
      <c r="BC399">
        <v>0</v>
      </c>
    </row>
    <row r="400" spans="1:55" x14ac:dyDescent="0.3">
      <c r="A400" s="63">
        <v>22</v>
      </c>
      <c r="B400" s="65">
        <v>45810</v>
      </c>
      <c r="C400" s="63">
        <v>1</v>
      </c>
      <c r="D400" s="38" t="s">
        <v>178</v>
      </c>
      <c r="E400" s="23" t="s">
        <v>130</v>
      </c>
      <c r="F400" s="39">
        <v>23.897300000000001</v>
      </c>
      <c r="G400" s="64" t="s">
        <v>352</v>
      </c>
      <c r="H400" s="70"/>
      <c r="K400" s="40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132" t="s">
        <v>15</v>
      </c>
      <c r="BB400" s="4">
        <v>1</v>
      </c>
      <c r="BC400">
        <v>0</v>
      </c>
    </row>
    <row r="401" spans="1:55" x14ac:dyDescent="0.3">
      <c r="A401" s="63">
        <v>23</v>
      </c>
      <c r="B401" s="65">
        <v>45817</v>
      </c>
      <c r="C401" s="63">
        <v>1</v>
      </c>
      <c r="D401" s="38" t="s">
        <v>178</v>
      </c>
      <c r="E401" s="23" t="s">
        <v>130</v>
      </c>
      <c r="F401" s="39">
        <v>24.1128</v>
      </c>
      <c r="G401" s="64" t="s">
        <v>352</v>
      </c>
      <c r="H401" s="70"/>
      <c r="K401" s="40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132" t="s">
        <v>15</v>
      </c>
      <c r="BB401" s="4">
        <v>1</v>
      </c>
      <c r="BC401">
        <v>0</v>
      </c>
    </row>
    <row r="402" spans="1:55" x14ac:dyDescent="0.3">
      <c r="A402" s="63">
        <v>24</v>
      </c>
      <c r="B402" s="65">
        <v>45824</v>
      </c>
      <c r="C402" s="63">
        <v>1</v>
      </c>
      <c r="D402" s="38" t="s">
        <v>178</v>
      </c>
      <c r="E402" s="23" t="s">
        <v>130</v>
      </c>
      <c r="F402" s="39">
        <v>23.362400000000001</v>
      </c>
      <c r="G402" s="64" t="s">
        <v>352</v>
      </c>
      <c r="H402" s="70"/>
      <c r="K402" s="40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132" t="s">
        <v>15</v>
      </c>
      <c r="BB402" s="4">
        <v>1</v>
      </c>
      <c r="BC402">
        <v>0</v>
      </c>
    </row>
    <row r="403" spans="1:55" x14ac:dyDescent="0.3">
      <c r="A403" s="63">
        <v>25</v>
      </c>
      <c r="B403" s="65">
        <v>45831</v>
      </c>
      <c r="C403" s="63">
        <v>1</v>
      </c>
      <c r="D403" s="38" t="s">
        <v>178</v>
      </c>
      <c r="E403" s="23" t="s">
        <v>130</v>
      </c>
      <c r="F403" s="39">
        <v>23.622800000000002</v>
      </c>
      <c r="G403" s="64" t="s">
        <v>352</v>
      </c>
      <c r="H403" s="70"/>
      <c r="K403" s="40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132" t="s">
        <v>15</v>
      </c>
      <c r="BB403" s="4">
        <v>1</v>
      </c>
      <c r="BC403">
        <v>0</v>
      </c>
    </row>
    <row r="404" spans="1:55" x14ac:dyDescent="0.3">
      <c r="A404" s="63">
        <v>1</v>
      </c>
      <c r="B404" s="65">
        <v>45663</v>
      </c>
      <c r="C404" s="63">
        <v>2</v>
      </c>
      <c r="D404" s="38" t="s">
        <v>179</v>
      </c>
      <c r="E404" s="23" t="s">
        <v>130</v>
      </c>
      <c r="F404" s="39">
        <v>28.091899999999999</v>
      </c>
      <c r="G404" s="64" t="s">
        <v>352</v>
      </c>
      <c r="H404" s="70"/>
      <c r="BA404" s="132" t="s">
        <v>15</v>
      </c>
      <c r="BB404" s="4">
        <v>0</v>
      </c>
      <c r="BC404">
        <v>0</v>
      </c>
    </row>
    <row r="405" spans="1:55" x14ac:dyDescent="0.3">
      <c r="A405" s="63">
        <v>2</v>
      </c>
      <c r="B405" s="65">
        <v>45670</v>
      </c>
      <c r="C405" s="63">
        <v>2</v>
      </c>
      <c r="D405" s="38" t="s">
        <v>179</v>
      </c>
      <c r="E405" s="23" t="s">
        <v>130</v>
      </c>
      <c r="F405" s="39">
        <v>28.1374</v>
      </c>
      <c r="G405" s="64" t="s">
        <v>352</v>
      </c>
      <c r="H405" s="70"/>
      <c r="BA405" s="132" t="s">
        <v>15</v>
      </c>
      <c r="BB405" s="4">
        <v>0</v>
      </c>
      <c r="BC405">
        <v>0</v>
      </c>
    </row>
    <row r="406" spans="1:55" x14ac:dyDescent="0.3">
      <c r="A406" s="63">
        <v>3</v>
      </c>
      <c r="B406" s="65">
        <v>45677</v>
      </c>
      <c r="C406" s="63">
        <v>2</v>
      </c>
      <c r="D406" s="38" t="s">
        <v>179</v>
      </c>
      <c r="E406" s="23" t="s">
        <v>130</v>
      </c>
      <c r="F406" s="39">
        <v>27.976099999999999</v>
      </c>
      <c r="G406" s="64" t="s">
        <v>352</v>
      </c>
      <c r="H406" s="70"/>
      <c r="BA406" s="132" t="s">
        <v>15</v>
      </c>
      <c r="BB406" s="4">
        <v>0</v>
      </c>
      <c r="BC406">
        <v>0</v>
      </c>
    </row>
    <row r="407" spans="1:55" x14ac:dyDescent="0.3">
      <c r="A407" s="63">
        <v>4</v>
      </c>
      <c r="B407" s="65">
        <v>45684</v>
      </c>
      <c r="C407" s="63">
        <v>2</v>
      </c>
      <c r="D407" s="38" t="s">
        <v>179</v>
      </c>
      <c r="E407" s="23" t="s">
        <v>130</v>
      </c>
      <c r="F407" s="39">
        <v>28.271000000000001</v>
      </c>
      <c r="G407" s="64" t="s">
        <v>352</v>
      </c>
      <c r="H407" s="70"/>
      <c r="BA407" s="132" t="s">
        <v>15</v>
      </c>
      <c r="BB407" s="4">
        <v>0</v>
      </c>
      <c r="BC407">
        <v>0</v>
      </c>
    </row>
    <row r="408" spans="1:55" x14ac:dyDescent="0.3">
      <c r="A408" s="63">
        <v>5</v>
      </c>
      <c r="B408" s="65">
        <v>45691</v>
      </c>
      <c r="C408" s="63">
        <v>2</v>
      </c>
      <c r="D408" s="38" t="s">
        <v>179</v>
      </c>
      <c r="E408" s="23" t="s">
        <v>130</v>
      </c>
      <c r="F408" s="39">
        <v>28.099299999999999</v>
      </c>
      <c r="G408" s="64" t="s">
        <v>352</v>
      </c>
      <c r="H408" s="70"/>
      <c r="BA408" s="132" t="s">
        <v>15</v>
      </c>
      <c r="BB408" s="4">
        <v>0</v>
      </c>
      <c r="BC408">
        <v>0</v>
      </c>
    </row>
    <row r="409" spans="1:55" x14ac:dyDescent="0.3">
      <c r="A409" s="63">
        <v>6</v>
      </c>
      <c r="B409" s="65">
        <v>45698</v>
      </c>
      <c r="C409" s="63">
        <v>2</v>
      </c>
      <c r="D409" s="38" t="s">
        <v>179</v>
      </c>
      <c r="E409" s="23" t="s">
        <v>130</v>
      </c>
      <c r="F409" s="39">
        <v>27.800699999999999</v>
      </c>
      <c r="G409" s="64" t="s">
        <v>352</v>
      </c>
      <c r="H409" s="70"/>
      <c r="BA409" s="132" t="s">
        <v>15</v>
      </c>
      <c r="BB409" s="4">
        <v>0</v>
      </c>
      <c r="BC409">
        <v>0</v>
      </c>
    </row>
    <row r="410" spans="1:55" x14ac:dyDescent="0.3">
      <c r="A410" s="63">
        <v>7</v>
      </c>
      <c r="B410" s="65">
        <v>45705</v>
      </c>
      <c r="C410" s="63">
        <v>2</v>
      </c>
      <c r="D410" s="38" t="s">
        <v>179</v>
      </c>
      <c r="E410" s="23" t="s">
        <v>130</v>
      </c>
      <c r="F410" s="39">
        <v>27.86</v>
      </c>
      <c r="G410" s="64" t="s">
        <v>352</v>
      </c>
      <c r="H410" s="70"/>
      <c r="BA410" s="132" t="s">
        <v>15</v>
      </c>
      <c r="BB410" s="4">
        <v>0</v>
      </c>
      <c r="BC410">
        <v>0</v>
      </c>
    </row>
    <row r="411" spans="1:55" x14ac:dyDescent="0.3">
      <c r="A411" s="63">
        <v>8</v>
      </c>
      <c r="B411" s="65">
        <v>45712</v>
      </c>
      <c r="C411" s="63">
        <v>2</v>
      </c>
      <c r="D411" s="38" t="s">
        <v>179</v>
      </c>
      <c r="E411" s="23" t="s">
        <v>130</v>
      </c>
      <c r="F411" s="39">
        <v>28.2241</v>
      </c>
      <c r="G411" s="64" t="s">
        <v>352</v>
      </c>
      <c r="H411" s="70"/>
      <c r="BA411" s="132" t="s">
        <v>15</v>
      </c>
      <c r="BB411" s="4">
        <v>0</v>
      </c>
      <c r="BC411">
        <v>0</v>
      </c>
    </row>
    <row r="412" spans="1:55" x14ac:dyDescent="0.3">
      <c r="A412" s="63">
        <v>9</v>
      </c>
      <c r="B412" s="65">
        <v>45719</v>
      </c>
      <c r="C412" s="63">
        <v>2</v>
      </c>
      <c r="D412" s="38" t="s">
        <v>179</v>
      </c>
      <c r="E412" s="23" t="s">
        <v>130</v>
      </c>
      <c r="F412" s="39">
        <v>28.1525</v>
      </c>
      <c r="G412" s="64" t="s">
        <v>352</v>
      </c>
      <c r="H412" s="70"/>
      <c r="BA412" s="132" t="s">
        <v>15</v>
      </c>
      <c r="BB412" s="4">
        <v>0</v>
      </c>
      <c r="BC412">
        <v>0</v>
      </c>
    </row>
    <row r="413" spans="1:55" x14ac:dyDescent="0.3">
      <c r="A413" s="63">
        <v>10</v>
      </c>
      <c r="B413" s="65">
        <v>45726</v>
      </c>
      <c r="C413" s="63">
        <v>2</v>
      </c>
      <c r="D413" s="38" t="s">
        <v>179</v>
      </c>
      <c r="E413" s="23" t="s">
        <v>130</v>
      </c>
      <c r="F413" s="39">
        <v>27.6569</v>
      </c>
      <c r="G413" s="64" t="s">
        <v>352</v>
      </c>
      <c r="H413" s="70"/>
      <c r="BA413" s="132" t="s">
        <v>15</v>
      </c>
      <c r="BB413" s="4">
        <v>0</v>
      </c>
      <c r="BC413">
        <v>0</v>
      </c>
    </row>
    <row r="414" spans="1:55" x14ac:dyDescent="0.3">
      <c r="A414" s="63">
        <v>11</v>
      </c>
      <c r="B414" s="65">
        <v>45733</v>
      </c>
      <c r="C414" s="63">
        <v>2</v>
      </c>
      <c r="D414" s="38" t="s">
        <v>179</v>
      </c>
      <c r="E414" s="23" t="s">
        <v>130</v>
      </c>
      <c r="F414" s="39">
        <v>28.337800000000001</v>
      </c>
      <c r="G414" s="64" t="s">
        <v>352</v>
      </c>
      <c r="H414" s="70"/>
      <c r="BA414" s="132" t="s">
        <v>15</v>
      </c>
      <c r="BB414" s="4">
        <v>0</v>
      </c>
      <c r="BC414">
        <v>0</v>
      </c>
    </row>
    <row r="415" spans="1:55" x14ac:dyDescent="0.3">
      <c r="A415" s="63">
        <v>12</v>
      </c>
      <c r="B415" s="65">
        <v>45740</v>
      </c>
      <c r="C415" s="63">
        <v>2</v>
      </c>
      <c r="D415" s="38" t="s">
        <v>179</v>
      </c>
      <c r="E415" s="23" t="s">
        <v>130</v>
      </c>
      <c r="F415" s="39">
        <v>28.180599999999998</v>
      </c>
      <c r="G415" s="64" t="s">
        <v>352</v>
      </c>
      <c r="H415" s="70"/>
      <c r="BA415" s="132" t="s">
        <v>15</v>
      </c>
      <c r="BB415" s="4">
        <v>0</v>
      </c>
      <c r="BC415">
        <v>0</v>
      </c>
    </row>
    <row r="416" spans="1:55" x14ac:dyDescent="0.3">
      <c r="A416" s="63">
        <v>13</v>
      </c>
      <c r="B416" s="65">
        <v>45747</v>
      </c>
      <c r="C416" s="63">
        <v>2</v>
      </c>
      <c r="D416" s="38" t="s">
        <v>179</v>
      </c>
      <c r="E416" s="23" t="s">
        <v>130</v>
      </c>
      <c r="F416" s="39">
        <v>28.3369</v>
      </c>
      <c r="G416" s="64" t="s">
        <v>352</v>
      </c>
      <c r="H416" s="70"/>
      <c r="BA416" s="132" t="s">
        <v>15</v>
      </c>
      <c r="BB416" s="4">
        <v>0</v>
      </c>
      <c r="BC416">
        <v>0</v>
      </c>
    </row>
    <row r="417" spans="1:55" x14ac:dyDescent="0.3">
      <c r="A417" s="63">
        <v>14</v>
      </c>
      <c r="B417" s="65">
        <v>45754</v>
      </c>
      <c r="C417" s="63">
        <v>2</v>
      </c>
      <c r="D417" s="38" t="s">
        <v>179</v>
      </c>
      <c r="E417" s="23" t="s">
        <v>130</v>
      </c>
      <c r="F417" s="39">
        <v>27.974699999999999</v>
      </c>
      <c r="G417" s="64" t="s">
        <v>352</v>
      </c>
      <c r="H417" s="70"/>
      <c r="BA417" s="132" t="s">
        <v>15</v>
      </c>
      <c r="BB417" s="4">
        <v>0</v>
      </c>
      <c r="BC417">
        <v>0</v>
      </c>
    </row>
    <row r="418" spans="1:55" x14ac:dyDescent="0.3">
      <c r="A418" s="63">
        <v>15</v>
      </c>
      <c r="B418" s="65">
        <v>45761</v>
      </c>
      <c r="C418" s="63">
        <v>2</v>
      </c>
      <c r="D418" s="38" t="s">
        <v>179</v>
      </c>
      <c r="E418" s="23" t="s">
        <v>130</v>
      </c>
      <c r="F418" s="39">
        <v>27.993200000000002</v>
      </c>
      <c r="G418" s="64" t="s">
        <v>352</v>
      </c>
      <c r="H418" s="70"/>
      <c r="BA418" s="132" t="s">
        <v>15</v>
      </c>
      <c r="BB418" s="4">
        <v>0</v>
      </c>
      <c r="BC418">
        <v>0</v>
      </c>
    </row>
    <row r="419" spans="1:55" x14ac:dyDescent="0.3">
      <c r="A419" s="63">
        <v>16</v>
      </c>
      <c r="B419" s="65">
        <v>45768</v>
      </c>
      <c r="C419" s="63">
        <v>2</v>
      </c>
      <c r="D419" s="38" t="s">
        <v>179</v>
      </c>
      <c r="E419" s="23" t="s">
        <v>130</v>
      </c>
      <c r="F419" s="39">
        <v>27.818899999999999</v>
      </c>
      <c r="G419" s="64" t="s">
        <v>352</v>
      </c>
      <c r="H419" s="70"/>
      <c r="BA419" s="132" t="s">
        <v>15</v>
      </c>
      <c r="BB419" s="4">
        <v>0</v>
      </c>
      <c r="BC419">
        <v>0</v>
      </c>
    </row>
    <row r="420" spans="1:55" x14ac:dyDescent="0.3">
      <c r="A420" s="63">
        <v>17</v>
      </c>
      <c r="B420" s="65">
        <v>45775</v>
      </c>
      <c r="C420" s="63">
        <v>2</v>
      </c>
      <c r="D420" s="38" t="s">
        <v>179</v>
      </c>
      <c r="E420" s="23" t="s">
        <v>130</v>
      </c>
      <c r="F420" s="39">
        <v>28.587299999999999</v>
      </c>
      <c r="G420" s="64" t="s">
        <v>352</v>
      </c>
      <c r="H420" s="70"/>
      <c r="BA420" s="132" t="s">
        <v>15</v>
      </c>
      <c r="BB420" s="4">
        <v>0</v>
      </c>
      <c r="BC420">
        <v>0</v>
      </c>
    </row>
    <row r="421" spans="1:55" x14ac:dyDescent="0.3">
      <c r="A421" s="63">
        <v>18</v>
      </c>
      <c r="B421" s="65">
        <v>45782</v>
      </c>
      <c r="C421" s="63">
        <v>2</v>
      </c>
      <c r="D421" s="38" t="s">
        <v>179</v>
      </c>
      <c r="E421" s="23" t="s">
        <v>130</v>
      </c>
      <c r="F421" s="39">
        <v>28.0184</v>
      </c>
      <c r="G421" s="64" t="s">
        <v>352</v>
      </c>
      <c r="H421" s="70"/>
      <c r="BA421" s="132" t="s">
        <v>15</v>
      </c>
      <c r="BB421" s="4">
        <v>0</v>
      </c>
      <c r="BC421">
        <v>0</v>
      </c>
    </row>
    <row r="422" spans="1:55" x14ac:dyDescent="0.3">
      <c r="A422" s="63">
        <v>19</v>
      </c>
      <c r="B422" s="65">
        <v>45789</v>
      </c>
      <c r="C422" s="63">
        <v>2</v>
      </c>
      <c r="D422" s="38" t="s">
        <v>179</v>
      </c>
      <c r="E422" s="23" t="s">
        <v>130</v>
      </c>
      <c r="F422" s="39">
        <v>28.388100000000001</v>
      </c>
      <c r="G422" s="64" t="s">
        <v>352</v>
      </c>
      <c r="H422" s="70"/>
      <c r="BA422" s="132" t="s">
        <v>15</v>
      </c>
      <c r="BB422" s="4">
        <v>0</v>
      </c>
      <c r="BC422">
        <v>0</v>
      </c>
    </row>
    <row r="423" spans="1:55" x14ac:dyDescent="0.3">
      <c r="A423" s="63">
        <v>20</v>
      </c>
      <c r="B423" s="65">
        <v>45796</v>
      </c>
      <c r="C423" s="63">
        <v>2</v>
      </c>
      <c r="D423" s="38" t="s">
        <v>179</v>
      </c>
      <c r="E423" s="23" t="s">
        <v>130</v>
      </c>
      <c r="F423" s="39">
        <v>27.9194</v>
      </c>
      <c r="G423" s="64" t="s">
        <v>352</v>
      </c>
      <c r="H423" s="70"/>
      <c r="BA423" s="132" t="s">
        <v>15</v>
      </c>
      <c r="BB423" s="4">
        <v>0</v>
      </c>
      <c r="BC423">
        <v>0</v>
      </c>
    </row>
    <row r="424" spans="1:55" x14ac:dyDescent="0.3">
      <c r="A424" s="63">
        <v>21</v>
      </c>
      <c r="B424" s="65">
        <v>45803</v>
      </c>
      <c r="C424" s="63">
        <v>2</v>
      </c>
      <c r="D424" s="38" t="s">
        <v>179</v>
      </c>
      <c r="E424" s="23" t="s">
        <v>130</v>
      </c>
      <c r="F424" s="39">
        <v>28.089500000000001</v>
      </c>
      <c r="G424" s="64" t="s">
        <v>352</v>
      </c>
      <c r="H424" s="70"/>
      <c r="BA424" s="132" t="s">
        <v>15</v>
      </c>
      <c r="BB424" s="4">
        <v>0</v>
      </c>
      <c r="BC424">
        <v>0</v>
      </c>
    </row>
    <row r="425" spans="1:55" x14ac:dyDescent="0.3">
      <c r="A425" s="63">
        <v>22</v>
      </c>
      <c r="B425" s="65">
        <v>45810</v>
      </c>
      <c r="C425" s="63">
        <v>2</v>
      </c>
      <c r="D425" s="38" t="s">
        <v>179</v>
      </c>
      <c r="E425" s="23" t="s">
        <v>130</v>
      </c>
      <c r="F425" s="39">
        <v>27.704599999999999</v>
      </c>
      <c r="G425" s="64" t="s">
        <v>352</v>
      </c>
      <c r="H425" s="70"/>
      <c r="BA425" s="132" t="s">
        <v>15</v>
      </c>
      <c r="BB425" s="4">
        <v>0</v>
      </c>
      <c r="BC425">
        <v>0</v>
      </c>
    </row>
    <row r="426" spans="1:55" x14ac:dyDescent="0.3">
      <c r="A426" s="63">
        <v>23</v>
      </c>
      <c r="B426" s="65">
        <v>45817</v>
      </c>
      <c r="C426" s="63">
        <v>2</v>
      </c>
      <c r="D426" s="38" t="s">
        <v>179</v>
      </c>
      <c r="E426" s="23" t="s">
        <v>130</v>
      </c>
      <c r="F426" s="39">
        <v>27.974900000000002</v>
      </c>
      <c r="G426" s="64" t="s">
        <v>352</v>
      </c>
      <c r="H426" s="70"/>
      <c r="BA426" s="132" t="s">
        <v>15</v>
      </c>
      <c r="BB426" s="4">
        <v>0</v>
      </c>
      <c r="BC426">
        <v>0</v>
      </c>
    </row>
    <row r="427" spans="1:55" x14ac:dyDescent="0.3">
      <c r="A427" s="63">
        <v>24</v>
      </c>
      <c r="B427" s="65">
        <v>45824</v>
      </c>
      <c r="C427" s="63">
        <v>2</v>
      </c>
      <c r="D427" s="38" t="s">
        <v>179</v>
      </c>
      <c r="E427" s="23" t="s">
        <v>130</v>
      </c>
      <c r="F427" s="39">
        <v>28.261500000000002</v>
      </c>
      <c r="G427" s="64" t="s">
        <v>352</v>
      </c>
      <c r="H427" s="70"/>
      <c r="BA427" s="132" t="s">
        <v>15</v>
      </c>
      <c r="BB427" s="4">
        <v>0</v>
      </c>
      <c r="BC427">
        <v>0</v>
      </c>
    </row>
    <row r="428" spans="1:55" x14ac:dyDescent="0.3">
      <c r="A428" s="63">
        <v>25</v>
      </c>
      <c r="B428" s="65">
        <v>45831</v>
      </c>
      <c r="C428" s="63">
        <v>2</v>
      </c>
      <c r="D428" s="38" t="s">
        <v>179</v>
      </c>
      <c r="E428" s="23" t="s">
        <v>130</v>
      </c>
      <c r="F428" s="39">
        <v>27.7926</v>
      </c>
      <c r="G428" s="64" t="s">
        <v>352</v>
      </c>
      <c r="H428" s="70"/>
      <c r="BA428" s="132" t="s">
        <v>15</v>
      </c>
      <c r="BB428" s="4">
        <v>0</v>
      </c>
      <c r="BC428">
        <v>0</v>
      </c>
    </row>
    <row r="429" spans="1:55" x14ac:dyDescent="0.3">
      <c r="A429" s="63">
        <v>1</v>
      </c>
      <c r="B429" s="65">
        <v>45663</v>
      </c>
      <c r="C429" s="63">
        <v>3</v>
      </c>
      <c r="D429" s="38" t="s">
        <v>180</v>
      </c>
      <c r="E429" s="23" t="s">
        <v>130</v>
      </c>
      <c r="F429" s="39">
        <v>30.6477</v>
      </c>
      <c r="G429" s="64" t="s">
        <v>352</v>
      </c>
      <c r="H429" s="70"/>
      <c r="BA429" s="132" t="s">
        <v>15</v>
      </c>
      <c r="BB429" s="4">
        <v>0</v>
      </c>
      <c r="BC429">
        <v>0</v>
      </c>
    </row>
    <row r="430" spans="1:55" x14ac:dyDescent="0.3">
      <c r="A430" s="63">
        <v>2</v>
      </c>
      <c r="B430" s="65">
        <v>45670</v>
      </c>
      <c r="C430" s="63">
        <v>3</v>
      </c>
      <c r="D430" s="38" t="s">
        <v>180</v>
      </c>
      <c r="E430" s="23" t="s">
        <v>130</v>
      </c>
      <c r="F430" s="39">
        <v>30.473199999999999</v>
      </c>
      <c r="G430" s="64" t="s">
        <v>352</v>
      </c>
      <c r="H430" s="70"/>
      <c r="BA430" s="132" t="s">
        <v>15</v>
      </c>
      <c r="BB430" s="4">
        <v>0</v>
      </c>
      <c r="BC430">
        <v>0</v>
      </c>
    </row>
    <row r="431" spans="1:55" x14ac:dyDescent="0.3">
      <c r="A431" s="63">
        <v>3</v>
      </c>
      <c r="B431" s="65">
        <v>45677</v>
      </c>
      <c r="C431" s="63">
        <v>3</v>
      </c>
      <c r="D431" s="38" t="s">
        <v>180</v>
      </c>
      <c r="E431" s="23" t="s">
        <v>130</v>
      </c>
      <c r="F431" s="39">
        <v>30.145199999999999</v>
      </c>
      <c r="G431" s="64" t="s">
        <v>352</v>
      </c>
      <c r="H431" s="70"/>
      <c r="BA431" s="132" t="s">
        <v>15</v>
      </c>
      <c r="BB431" s="4">
        <v>0</v>
      </c>
      <c r="BC431">
        <v>0</v>
      </c>
    </row>
    <row r="432" spans="1:55" x14ac:dyDescent="0.3">
      <c r="A432" s="63">
        <v>4</v>
      </c>
      <c r="B432" s="65">
        <v>45684</v>
      </c>
      <c r="C432" s="63">
        <v>3</v>
      </c>
      <c r="D432" s="38" t="s">
        <v>180</v>
      </c>
      <c r="E432" s="23" t="s">
        <v>130</v>
      </c>
      <c r="F432" s="39">
        <v>30.274000000000001</v>
      </c>
      <c r="G432" s="64" t="s">
        <v>352</v>
      </c>
      <c r="H432" s="70"/>
      <c r="BA432" s="132" t="s">
        <v>15</v>
      </c>
      <c r="BB432" s="4">
        <v>0</v>
      </c>
      <c r="BC432">
        <v>0</v>
      </c>
    </row>
    <row r="433" spans="1:55" x14ac:dyDescent="0.3">
      <c r="A433" s="63">
        <v>5</v>
      </c>
      <c r="B433" s="65">
        <v>45691</v>
      </c>
      <c r="C433" s="63">
        <v>3</v>
      </c>
      <c r="D433" s="38" t="s">
        <v>180</v>
      </c>
      <c r="E433" s="23" t="s">
        <v>130</v>
      </c>
      <c r="F433" s="39">
        <v>30.284099999999999</v>
      </c>
      <c r="G433" s="64" t="s">
        <v>352</v>
      </c>
      <c r="H433" s="70"/>
      <c r="BA433" s="132" t="s">
        <v>15</v>
      </c>
      <c r="BB433" s="4">
        <v>0</v>
      </c>
      <c r="BC433">
        <v>0</v>
      </c>
    </row>
    <row r="434" spans="1:55" x14ac:dyDescent="0.3">
      <c r="A434" s="63">
        <v>6</v>
      </c>
      <c r="B434" s="65">
        <v>45698</v>
      </c>
      <c r="C434" s="63">
        <v>3</v>
      </c>
      <c r="D434" s="38" t="s">
        <v>180</v>
      </c>
      <c r="E434" s="23" t="s">
        <v>130</v>
      </c>
      <c r="F434" s="39">
        <v>30.3813</v>
      </c>
      <c r="G434" s="64" t="s">
        <v>352</v>
      </c>
      <c r="H434" s="70"/>
      <c r="BA434" s="132" t="s">
        <v>15</v>
      </c>
      <c r="BB434" s="4">
        <v>0</v>
      </c>
      <c r="BC434">
        <v>0</v>
      </c>
    </row>
    <row r="435" spans="1:55" x14ac:dyDescent="0.3">
      <c r="A435" s="63">
        <v>7</v>
      </c>
      <c r="B435" s="65">
        <v>45705</v>
      </c>
      <c r="C435" s="63">
        <v>3</v>
      </c>
      <c r="D435" s="38" t="s">
        <v>180</v>
      </c>
      <c r="E435" s="23" t="s">
        <v>130</v>
      </c>
      <c r="F435" s="39">
        <v>30.265799999999999</v>
      </c>
      <c r="G435" s="64" t="s">
        <v>352</v>
      </c>
      <c r="H435" s="70"/>
      <c r="BA435" s="132" t="s">
        <v>15</v>
      </c>
      <c r="BB435" s="4">
        <v>0</v>
      </c>
      <c r="BC435">
        <v>0</v>
      </c>
    </row>
    <row r="436" spans="1:55" x14ac:dyDescent="0.3">
      <c r="A436" s="63">
        <v>8</v>
      </c>
      <c r="B436" s="65">
        <v>45712</v>
      </c>
      <c r="C436" s="63">
        <v>3</v>
      </c>
      <c r="D436" s="38" t="s">
        <v>180</v>
      </c>
      <c r="E436" s="23" t="s">
        <v>130</v>
      </c>
      <c r="F436" s="39">
        <v>30.1967</v>
      </c>
      <c r="G436" s="64" t="s">
        <v>352</v>
      </c>
      <c r="H436" s="70"/>
      <c r="BA436" s="132" t="s">
        <v>15</v>
      </c>
      <c r="BB436" s="4">
        <v>0</v>
      </c>
      <c r="BC436">
        <v>0</v>
      </c>
    </row>
    <row r="437" spans="1:55" x14ac:dyDescent="0.3">
      <c r="A437" s="63">
        <v>9</v>
      </c>
      <c r="B437" s="65">
        <v>45719</v>
      </c>
      <c r="C437" s="63">
        <v>3</v>
      </c>
      <c r="D437" s="38" t="s">
        <v>180</v>
      </c>
      <c r="E437" s="23" t="s">
        <v>130</v>
      </c>
      <c r="F437" s="39">
        <v>30.320799999999998</v>
      </c>
      <c r="G437" s="64" t="s">
        <v>352</v>
      </c>
      <c r="H437" s="70"/>
      <c r="BA437" s="132" t="s">
        <v>15</v>
      </c>
      <c r="BB437" s="4">
        <v>0</v>
      </c>
      <c r="BC437">
        <v>0</v>
      </c>
    </row>
    <row r="438" spans="1:55" x14ac:dyDescent="0.3">
      <c r="A438" s="63">
        <v>10</v>
      </c>
      <c r="B438" s="65">
        <v>45726</v>
      </c>
      <c r="C438" s="63">
        <v>3</v>
      </c>
      <c r="D438" s="38" t="s">
        <v>180</v>
      </c>
      <c r="E438" s="23" t="s">
        <v>130</v>
      </c>
      <c r="F438" s="39">
        <v>30.1493</v>
      </c>
      <c r="G438" s="64" t="s">
        <v>352</v>
      </c>
      <c r="H438" s="70"/>
      <c r="BA438" s="132" t="s">
        <v>15</v>
      </c>
      <c r="BB438" s="4">
        <v>0</v>
      </c>
      <c r="BC438">
        <v>0</v>
      </c>
    </row>
    <row r="439" spans="1:55" x14ac:dyDescent="0.3">
      <c r="A439" s="63">
        <v>11</v>
      </c>
      <c r="B439" s="65">
        <v>45733</v>
      </c>
      <c r="C439" s="63">
        <v>3</v>
      </c>
      <c r="D439" s="38" t="s">
        <v>180</v>
      </c>
      <c r="E439" s="23" t="s">
        <v>130</v>
      </c>
      <c r="F439" s="39">
        <v>30.0869</v>
      </c>
      <c r="G439" s="64" t="s">
        <v>352</v>
      </c>
      <c r="H439" s="70"/>
      <c r="BA439" s="132" t="s">
        <v>15</v>
      </c>
      <c r="BB439" s="4">
        <v>0</v>
      </c>
      <c r="BC439">
        <v>0</v>
      </c>
    </row>
    <row r="440" spans="1:55" x14ac:dyDescent="0.3">
      <c r="A440" s="63">
        <v>12</v>
      </c>
      <c r="B440" s="65">
        <v>45740</v>
      </c>
      <c r="C440" s="63">
        <v>3</v>
      </c>
      <c r="D440" s="38" t="s">
        <v>180</v>
      </c>
      <c r="E440" s="23" t="s">
        <v>130</v>
      </c>
      <c r="F440" s="39">
        <v>30.381699999999999</v>
      </c>
      <c r="G440" s="64" t="s">
        <v>352</v>
      </c>
      <c r="H440" s="70"/>
      <c r="BA440" s="132" t="s">
        <v>15</v>
      </c>
      <c r="BB440" s="4">
        <v>0</v>
      </c>
      <c r="BC440">
        <v>0</v>
      </c>
    </row>
    <row r="441" spans="1:55" x14ac:dyDescent="0.3">
      <c r="A441" s="63">
        <v>13</v>
      </c>
      <c r="B441" s="65">
        <v>45747</v>
      </c>
      <c r="C441" s="63">
        <v>3</v>
      </c>
      <c r="D441" s="38" t="s">
        <v>180</v>
      </c>
      <c r="E441" s="23" t="s">
        <v>130</v>
      </c>
      <c r="F441" s="39">
        <v>30.602699999999999</v>
      </c>
      <c r="G441" s="64" t="s">
        <v>352</v>
      </c>
      <c r="H441" s="70"/>
      <c r="BA441" s="132" t="s">
        <v>15</v>
      </c>
      <c r="BB441" s="4">
        <v>0</v>
      </c>
      <c r="BC441">
        <v>0</v>
      </c>
    </row>
    <row r="442" spans="1:55" x14ac:dyDescent="0.3">
      <c r="A442" s="63">
        <v>14</v>
      </c>
      <c r="B442" s="65">
        <v>45754</v>
      </c>
      <c r="C442" s="63">
        <v>3</v>
      </c>
      <c r="D442" s="38" t="s">
        <v>180</v>
      </c>
      <c r="E442" s="23" t="s">
        <v>130</v>
      </c>
      <c r="F442" s="39">
        <v>30.03</v>
      </c>
      <c r="G442" s="64" t="s">
        <v>352</v>
      </c>
      <c r="H442" s="70"/>
      <c r="BA442" s="132" t="s">
        <v>15</v>
      </c>
      <c r="BB442" s="4">
        <v>0</v>
      </c>
      <c r="BC442">
        <v>0</v>
      </c>
    </row>
    <row r="443" spans="1:55" x14ac:dyDescent="0.3">
      <c r="A443" s="63">
        <v>15</v>
      </c>
      <c r="B443" s="65">
        <v>45761</v>
      </c>
      <c r="C443" s="63">
        <v>3</v>
      </c>
      <c r="D443" s="38" t="s">
        <v>180</v>
      </c>
      <c r="E443" s="23" t="s">
        <v>130</v>
      </c>
      <c r="F443" s="39">
        <v>30.393899999999999</v>
      </c>
      <c r="G443" s="64" t="s">
        <v>352</v>
      </c>
      <c r="H443" s="70"/>
      <c r="BA443" s="132" t="s">
        <v>15</v>
      </c>
      <c r="BB443" s="4">
        <v>0</v>
      </c>
      <c r="BC443">
        <v>0</v>
      </c>
    </row>
    <row r="444" spans="1:55" x14ac:dyDescent="0.3">
      <c r="A444" s="63">
        <v>16</v>
      </c>
      <c r="B444" s="65">
        <v>45768</v>
      </c>
      <c r="C444" s="63">
        <v>3</v>
      </c>
      <c r="D444" s="38" t="s">
        <v>180</v>
      </c>
      <c r="E444" s="23" t="s">
        <v>130</v>
      </c>
      <c r="F444" s="39">
        <v>30.238800000000001</v>
      </c>
      <c r="G444" s="64" t="s">
        <v>352</v>
      </c>
      <c r="H444" s="70"/>
      <c r="BA444" s="132" t="s">
        <v>15</v>
      </c>
      <c r="BB444" s="4">
        <v>0</v>
      </c>
      <c r="BC444">
        <v>0</v>
      </c>
    </row>
    <row r="445" spans="1:55" x14ac:dyDescent="0.3">
      <c r="A445" s="63">
        <v>17</v>
      </c>
      <c r="B445" s="65">
        <v>45775</v>
      </c>
      <c r="C445" s="63">
        <v>3</v>
      </c>
      <c r="D445" s="38" t="s">
        <v>180</v>
      </c>
      <c r="E445" s="23" t="s">
        <v>130</v>
      </c>
      <c r="F445" s="39">
        <v>30.161100000000001</v>
      </c>
      <c r="G445" s="64" t="s">
        <v>352</v>
      </c>
      <c r="H445" s="70"/>
      <c r="BA445" s="132" t="s">
        <v>15</v>
      </c>
      <c r="BB445" s="4">
        <v>0</v>
      </c>
      <c r="BC445">
        <v>0</v>
      </c>
    </row>
    <row r="446" spans="1:55" x14ac:dyDescent="0.3">
      <c r="A446" s="63">
        <v>18</v>
      </c>
      <c r="B446" s="65">
        <v>45782</v>
      </c>
      <c r="C446" s="63">
        <v>3</v>
      </c>
      <c r="D446" s="38" t="s">
        <v>180</v>
      </c>
      <c r="E446" s="23" t="s">
        <v>130</v>
      </c>
      <c r="F446" s="39">
        <v>30.595700000000001</v>
      </c>
      <c r="G446" s="64" t="s">
        <v>352</v>
      </c>
      <c r="H446" s="70"/>
      <c r="BA446" s="132" t="s">
        <v>15</v>
      </c>
      <c r="BB446" s="4">
        <v>0</v>
      </c>
      <c r="BC446">
        <v>0</v>
      </c>
    </row>
    <row r="447" spans="1:55" x14ac:dyDescent="0.3">
      <c r="A447" s="63">
        <v>19</v>
      </c>
      <c r="B447" s="65">
        <v>45789</v>
      </c>
      <c r="C447" s="63">
        <v>3</v>
      </c>
      <c r="D447" s="38" t="s">
        <v>180</v>
      </c>
      <c r="E447" s="23" t="s">
        <v>130</v>
      </c>
      <c r="F447" s="39">
        <v>30.270099999999999</v>
      </c>
      <c r="G447" s="64" t="s">
        <v>352</v>
      </c>
      <c r="H447" s="70"/>
      <c r="BA447" s="132" t="s">
        <v>15</v>
      </c>
      <c r="BB447" s="4">
        <v>0</v>
      </c>
      <c r="BC447">
        <v>0</v>
      </c>
    </row>
    <row r="448" spans="1:55" x14ac:dyDescent="0.3">
      <c r="A448" s="63">
        <v>20</v>
      </c>
      <c r="B448" s="65">
        <v>45796</v>
      </c>
      <c r="C448" s="63">
        <v>3</v>
      </c>
      <c r="D448" s="38" t="s">
        <v>180</v>
      </c>
      <c r="E448" s="23" t="s">
        <v>130</v>
      </c>
      <c r="F448" s="39">
        <v>30.748899999999999</v>
      </c>
      <c r="G448" s="64" t="s">
        <v>352</v>
      </c>
      <c r="H448" s="70"/>
      <c r="BA448" s="132" t="s">
        <v>15</v>
      </c>
      <c r="BB448" s="4">
        <v>0</v>
      </c>
      <c r="BC448">
        <v>0</v>
      </c>
    </row>
    <row r="449" spans="1:55" x14ac:dyDescent="0.3">
      <c r="A449" s="63">
        <v>21</v>
      </c>
      <c r="B449" s="65">
        <v>45803</v>
      </c>
      <c r="C449" s="63">
        <v>3</v>
      </c>
      <c r="D449" s="38" t="s">
        <v>180</v>
      </c>
      <c r="E449" s="23" t="s">
        <v>130</v>
      </c>
      <c r="F449" s="39">
        <v>30.207899999999999</v>
      </c>
      <c r="G449" s="64" t="s">
        <v>352</v>
      </c>
      <c r="H449" s="70"/>
      <c r="BA449" s="132" t="s">
        <v>15</v>
      </c>
      <c r="BB449" s="4">
        <v>0</v>
      </c>
      <c r="BC449">
        <v>0</v>
      </c>
    </row>
    <row r="450" spans="1:55" x14ac:dyDescent="0.3">
      <c r="A450" s="63">
        <v>22</v>
      </c>
      <c r="B450" s="65">
        <v>45810</v>
      </c>
      <c r="C450" s="63">
        <v>3</v>
      </c>
      <c r="D450" s="38" t="s">
        <v>180</v>
      </c>
      <c r="E450" s="23" t="s">
        <v>130</v>
      </c>
      <c r="F450" s="39">
        <v>30.4849</v>
      </c>
      <c r="G450" s="64" t="s">
        <v>352</v>
      </c>
      <c r="H450" s="70"/>
      <c r="BA450" s="132" t="s">
        <v>15</v>
      </c>
      <c r="BB450" s="4">
        <v>0</v>
      </c>
      <c r="BC450">
        <v>0</v>
      </c>
    </row>
    <row r="451" spans="1:55" x14ac:dyDescent="0.3">
      <c r="A451" s="63">
        <v>23</v>
      </c>
      <c r="B451" s="65">
        <v>45817</v>
      </c>
      <c r="C451" s="63">
        <v>3</v>
      </c>
      <c r="D451" s="38" t="s">
        <v>180</v>
      </c>
      <c r="E451" s="23" t="s">
        <v>130</v>
      </c>
      <c r="F451" s="39">
        <v>30.339099999999998</v>
      </c>
      <c r="G451" s="64" t="s">
        <v>352</v>
      </c>
      <c r="H451" s="70"/>
      <c r="BA451" s="132" t="s">
        <v>15</v>
      </c>
      <c r="BB451" s="4">
        <v>0</v>
      </c>
      <c r="BC451">
        <v>0</v>
      </c>
    </row>
    <row r="452" spans="1:55" x14ac:dyDescent="0.3">
      <c r="A452" s="63">
        <v>24</v>
      </c>
      <c r="B452" s="65">
        <v>45824</v>
      </c>
      <c r="C452" s="63">
        <v>3</v>
      </c>
      <c r="D452" s="38" t="s">
        <v>180</v>
      </c>
      <c r="E452" s="23" t="s">
        <v>130</v>
      </c>
      <c r="F452" s="39">
        <v>30.214099999999998</v>
      </c>
      <c r="G452" s="64" t="s">
        <v>352</v>
      </c>
      <c r="H452" s="70"/>
      <c r="BA452" s="132" t="s">
        <v>15</v>
      </c>
      <c r="BB452" s="4">
        <v>0</v>
      </c>
      <c r="BC452">
        <v>0</v>
      </c>
    </row>
    <row r="453" spans="1:55" x14ac:dyDescent="0.3">
      <c r="A453" s="63">
        <v>25</v>
      </c>
      <c r="B453" s="65">
        <v>45831</v>
      </c>
      <c r="C453" s="63">
        <v>3</v>
      </c>
      <c r="D453" s="38" t="s">
        <v>180</v>
      </c>
      <c r="E453" s="23" t="s">
        <v>130</v>
      </c>
      <c r="F453" s="39">
        <v>30.532599999999999</v>
      </c>
      <c r="G453" s="64" t="s">
        <v>352</v>
      </c>
      <c r="H453" s="70"/>
      <c r="BA453" s="132" t="s">
        <v>15</v>
      </c>
      <c r="BB453" s="4">
        <v>0</v>
      </c>
      <c r="BC453">
        <v>0</v>
      </c>
    </row>
    <row r="454" spans="1:55" x14ac:dyDescent="0.3">
      <c r="A454" s="63">
        <v>1</v>
      </c>
      <c r="B454" s="65">
        <v>45663</v>
      </c>
      <c r="C454" s="63">
        <v>1</v>
      </c>
      <c r="D454" s="38" t="s">
        <v>178</v>
      </c>
      <c r="E454" s="23" t="s">
        <v>131</v>
      </c>
      <c r="F454" s="39">
        <v>32.927599999999998</v>
      </c>
      <c r="G454" s="64" t="s">
        <v>352</v>
      </c>
      <c r="H454" s="70"/>
      <c r="BA454" s="132" t="s">
        <v>15</v>
      </c>
      <c r="BB454" s="4">
        <v>1</v>
      </c>
      <c r="BC454">
        <v>0</v>
      </c>
    </row>
    <row r="455" spans="1:55" x14ac:dyDescent="0.3">
      <c r="A455" s="63">
        <v>2</v>
      </c>
      <c r="B455" s="65">
        <v>45670</v>
      </c>
      <c r="C455" s="63">
        <v>1</v>
      </c>
      <c r="D455" s="38" t="s">
        <v>178</v>
      </c>
      <c r="E455" s="23" t="s">
        <v>131</v>
      </c>
      <c r="F455" s="39">
        <v>33.366</v>
      </c>
      <c r="G455" s="64" t="s">
        <v>352</v>
      </c>
      <c r="H455" s="70"/>
      <c r="BA455" s="132" t="s">
        <v>15</v>
      </c>
      <c r="BB455" s="4">
        <v>1</v>
      </c>
      <c r="BC455">
        <v>0</v>
      </c>
    </row>
    <row r="456" spans="1:55" x14ac:dyDescent="0.3">
      <c r="A456" s="63">
        <v>3</v>
      </c>
      <c r="B456" s="65">
        <v>45677</v>
      </c>
      <c r="C456" s="63">
        <v>1</v>
      </c>
      <c r="D456" s="38" t="s">
        <v>178</v>
      </c>
      <c r="E456" s="23" t="s">
        <v>131</v>
      </c>
      <c r="F456" s="39">
        <v>32.989899999999999</v>
      </c>
      <c r="G456" s="64" t="s">
        <v>352</v>
      </c>
      <c r="H456" s="70"/>
      <c r="BA456" s="132" t="s">
        <v>15</v>
      </c>
      <c r="BB456" s="4">
        <v>1</v>
      </c>
      <c r="BC456">
        <v>0</v>
      </c>
    </row>
    <row r="457" spans="1:55" x14ac:dyDescent="0.3">
      <c r="A457" s="63">
        <v>4</v>
      </c>
      <c r="B457" s="65">
        <v>45684</v>
      </c>
      <c r="C457" s="63">
        <v>1</v>
      </c>
      <c r="D457" s="38" t="s">
        <v>178</v>
      </c>
      <c r="E457" s="23" t="s">
        <v>131</v>
      </c>
      <c r="F457" s="39">
        <v>32.389400000000002</v>
      </c>
      <c r="G457" s="64" t="s">
        <v>352</v>
      </c>
      <c r="H457" s="70"/>
      <c r="BA457" s="132" t="s">
        <v>15</v>
      </c>
      <c r="BB457" s="4">
        <v>1</v>
      </c>
      <c r="BC457">
        <v>0</v>
      </c>
    </row>
    <row r="458" spans="1:55" x14ac:dyDescent="0.3">
      <c r="A458" s="63">
        <v>5</v>
      </c>
      <c r="B458" s="65">
        <v>45691</v>
      </c>
      <c r="C458" s="63">
        <v>1</v>
      </c>
      <c r="D458" s="38" t="s">
        <v>178</v>
      </c>
      <c r="E458" s="23" t="s">
        <v>131</v>
      </c>
      <c r="F458" s="39">
        <v>32.958199999999998</v>
      </c>
      <c r="G458" s="64" t="s">
        <v>352</v>
      </c>
      <c r="H458" s="70"/>
      <c r="BA458" s="132" t="s">
        <v>15</v>
      </c>
      <c r="BB458" s="4">
        <v>1</v>
      </c>
      <c r="BC458">
        <v>0</v>
      </c>
    </row>
    <row r="459" spans="1:55" x14ac:dyDescent="0.3">
      <c r="A459" s="63">
        <v>6</v>
      </c>
      <c r="B459" s="65">
        <v>45698</v>
      </c>
      <c r="C459" s="63">
        <v>1</v>
      </c>
      <c r="D459" s="38" t="s">
        <v>178</v>
      </c>
      <c r="E459" s="23" t="s">
        <v>131</v>
      </c>
      <c r="F459" s="39">
        <v>33.0473</v>
      </c>
      <c r="G459" s="64" t="s">
        <v>352</v>
      </c>
      <c r="H459" s="70"/>
      <c r="BA459" s="132" t="s">
        <v>15</v>
      </c>
      <c r="BB459" s="4">
        <v>1</v>
      </c>
      <c r="BC459">
        <v>0</v>
      </c>
    </row>
    <row r="460" spans="1:55" x14ac:dyDescent="0.3">
      <c r="A460" s="63">
        <v>7</v>
      </c>
      <c r="B460" s="65">
        <v>45705</v>
      </c>
      <c r="C460" s="63">
        <v>1</v>
      </c>
      <c r="D460" s="38" t="s">
        <v>178</v>
      </c>
      <c r="E460" s="23" t="s">
        <v>131</v>
      </c>
      <c r="F460" s="39">
        <v>33.571399999999997</v>
      </c>
      <c r="G460" s="64" t="s">
        <v>352</v>
      </c>
      <c r="H460" s="70"/>
      <c r="BA460" s="132" t="s">
        <v>15</v>
      </c>
      <c r="BB460" s="4">
        <v>1</v>
      </c>
      <c r="BC460">
        <v>0</v>
      </c>
    </row>
    <row r="461" spans="1:55" x14ac:dyDescent="0.3">
      <c r="A461" s="63">
        <v>8</v>
      </c>
      <c r="B461" s="65">
        <v>45712</v>
      </c>
      <c r="C461" s="63">
        <v>1</v>
      </c>
      <c r="D461" s="38" t="s">
        <v>178</v>
      </c>
      <c r="E461" s="23" t="s">
        <v>131</v>
      </c>
      <c r="F461" s="39">
        <v>32.493200000000002</v>
      </c>
      <c r="G461" s="64" t="s">
        <v>352</v>
      </c>
      <c r="H461" s="70"/>
      <c r="BA461" s="132" t="s">
        <v>15</v>
      </c>
      <c r="BB461" s="4">
        <v>1</v>
      </c>
      <c r="BC461">
        <v>0</v>
      </c>
    </row>
    <row r="462" spans="1:55" x14ac:dyDescent="0.3">
      <c r="A462" s="63">
        <v>9</v>
      </c>
      <c r="B462" s="65">
        <v>45719</v>
      </c>
      <c r="C462" s="63">
        <v>1</v>
      </c>
      <c r="D462" s="38" t="s">
        <v>178</v>
      </c>
      <c r="E462" s="23" t="s">
        <v>131</v>
      </c>
      <c r="F462" s="39">
        <v>32.994500000000002</v>
      </c>
      <c r="G462" s="64" t="s">
        <v>352</v>
      </c>
      <c r="H462" s="70"/>
      <c r="BA462" s="132" t="s">
        <v>15</v>
      </c>
      <c r="BB462" s="4">
        <v>1</v>
      </c>
      <c r="BC462">
        <v>0</v>
      </c>
    </row>
    <row r="463" spans="1:55" x14ac:dyDescent="0.3">
      <c r="A463" s="63">
        <v>10</v>
      </c>
      <c r="B463" s="65">
        <v>45726</v>
      </c>
      <c r="C463" s="63">
        <v>1</v>
      </c>
      <c r="D463" s="38" t="s">
        <v>178</v>
      </c>
      <c r="E463" s="23" t="s">
        <v>131</v>
      </c>
      <c r="F463" s="39">
        <v>32.021599999999999</v>
      </c>
      <c r="G463" s="64" t="s">
        <v>352</v>
      </c>
      <c r="H463" s="70"/>
      <c r="BA463" s="132" t="s">
        <v>15</v>
      </c>
      <c r="BB463" s="4">
        <v>1</v>
      </c>
      <c r="BC463">
        <v>0</v>
      </c>
    </row>
    <row r="464" spans="1:55" x14ac:dyDescent="0.3">
      <c r="A464" s="63">
        <v>11</v>
      </c>
      <c r="B464" s="65">
        <v>45733</v>
      </c>
      <c r="C464" s="63">
        <v>1</v>
      </c>
      <c r="D464" s="38" t="s">
        <v>178</v>
      </c>
      <c r="E464" s="23" t="s">
        <v>131</v>
      </c>
      <c r="F464" s="39">
        <v>33.393900000000002</v>
      </c>
      <c r="G464" s="64" t="s">
        <v>352</v>
      </c>
      <c r="H464" s="70"/>
      <c r="BA464" s="132" t="s">
        <v>15</v>
      </c>
      <c r="BB464" s="4">
        <v>1</v>
      </c>
      <c r="BC464">
        <v>0</v>
      </c>
    </row>
    <row r="465" spans="1:55" x14ac:dyDescent="0.3">
      <c r="A465" s="63">
        <v>12</v>
      </c>
      <c r="B465" s="65">
        <v>45740</v>
      </c>
      <c r="C465" s="63">
        <v>1</v>
      </c>
      <c r="D465" s="38" t="s">
        <v>178</v>
      </c>
      <c r="E465" s="23" t="s">
        <v>131</v>
      </c>
      <c r="F465" s="39">
        <v>32.3919</v>
      </c>
      <c r="G465" s="64" t="s">
        <v>352</v>
      </c>
      <c r="H465" s="70"/>
      <c r="BA465" s="132" t="s">
        <v>15</v>
      </c>
      <c r="BB465" s="4">
        <v>1</v>
      </c>
      <c r="BC465">
        <v>0</v>
      </c>
    </row>
    <row r="466" spans="1:55" x14ac:dyDescent="0.3">
      <c r="A466" s="63">
        <v>13</v>
      </c>
      <c r="B466" s="65">
        <v>45747</v>
      </c>
      <c r="C466" s="63">
        <v>1</v>
      </c>
      <c r="D466" s="38" t="s">
        <v>178</v>
      </c>
      <c r="E466" s="23" t="s">
        <v>131</v>
      </c>
      <c r="F466" s="39">
        <v>31.972799999999999</v>
      </c>
      <c r="G466" s="64" t="s">
        <v>352</v>
      </c>
      <c r="H466" s="70"/>
      <c r="BA466" s="132" t="s">
        <v>15</v>
      </c>
      <c r="BB466" s="4">
        <v>1</v>
      </c>
      <c r="BC466">
        <v>0</v>
      </c>
    </row>
    <row r="467" spans="1:55" x14ac:dyDescent="0.3">
      <c r="A467" s="63">
        <v>14</v>
      </c>
      <c r="B467" s="65">
        <v>45754</v>
      </c>
      <c r="C467" s="63">
        <v>1</v>
      </c>
      <c r="D467" s="38" t="s">
        <v>178</v>
      </c>
      <c r="E467" s="23" t="s">
        <v>131</v>
      </c>
      <c r="F467" s="39">
        <v>32.982999999999997</v>
      </c>
      <c r="G467" s="64" t="s">
        <v>352</v>
      </c>
      <c r="H467" s="70"/>
      <c r="BA467" s="132" t="s">
        <v>15</v>
      </c>
      <c r="BB467" s="4">
        <v>1</v>
      </c>
      <c r="BC467">
        <v>0</v>
      </c>
    </row>
    <row r="468" spans="1:55" x14ac:dyDescent="0.3">
      <c r="A468" s="63">
        <v>15</v>
      </c>
      <c r="B468" s="65">
        <v>45761</v>
      </c>
      <c r="C468" s="63">
        <v>1</v>
      </c>
      <c r="D468" s="38" t="s">
        <v>178</v>
      </c>
      <c r="E468" s="23" t="s">
        <v>131</v>
      </c>
      <c r="F468" s="39">
        <v>33.656599999999997</v>
      </c>
      <c r="G468" s="64" t="s">
        <v>352</v>
      </c>
      <c r="H468" s="70"/>
      <c r="BA468" s="132" t="s">
        <v>15</v>
      </c>
      <c r="BB468" s="4">
        <v>1</v>
      </c>
      <c r="BC468">
        <v>0</v>
      </c>
    </row>
    <row r="469" spans="1:55" x14ac:dyDescent="0.3">
      <c r="A469" s="63">
        <v>16</v>
      </c>
      <c r="B469" s="65">
        <v>45768</v>
      </c>
      <c r="C469" s="63">
        <v>1</v>
      </c>
      <c r="D469" s="38" t="s">
        <v>178</v>
      </c>
      <c r="E469" s="23" t="s">
        <v>131</v>
      </c>
      <c r="F469" s="39">
        <v>32.135800000000003</v>
      </c>
      <c r="G469" s="64" t="s">
        <v>352</v>
      </c>
      <c r="H469" s="70"/>
      <c r="BA469" s="132" t="s">
        <v>15</v>
      </c>
      <c r="BB469" s="4">
        <v>1</v>
      </c>
      <c r="BC469">
        <v>0</v>
      </c>
    </row>
    <row r="470" spans="1:55" x14ac:dyDescent="0.3">
      <c r="A470" s="63">
        <v>17</v>
      </c>
      <c r="B470" s="65">
        <v>45775</v>
      </c>
      <c r="C470" s="63">
        <v>1</v>
      </c>
      <c r="D470" s="38" t="s">
        <v>178</v>
      </c>
      <c r="E470" s="23" t="s">
        <v>131</v>
      </c>
      <c r="F470" s="39">
        <v>32.388100000000001</v>
      </c>
      <c r="G470" s="64" t="s">
        <v>352</v>
      </c>
      <c r="H470" s="70"/>
      <c r="BA470" s="132" t="s">
        <v>15</v>
      </c>
      <c r="BB470" s="4">
        <v>1</v>
      </c>
      <c r="BC470">
        <v>0</v>
      </c>
    </row>
    <row r="471" spans="1:55" x14ac:dyDescent="0.3">
      <c r="A471" s="63">
        <v>18</v>
      </c>
      <c r="B471" s="65">
        <v>45782</v>
      </c>
      <c r="C471" s="63">
        <v>1</v>
      </c>
      <c r="D471" s="38" t="s">
        <v>178</v>
      </c>
      <c r="E471" s="23" t="s">
        <v>131</v>
      </c>
      <c r="F471" s="39">
        <v>32.587499999999999</v>
      </c>
      <c r="G471" s="64" t="s">
        <v>352</v>
      </c>
      <c r="H471" s="70"/>
      <c r="BA471" s="132" t="s">
        <v>15</v>
      </c>
      <c r="BB471" s="4">
        <v>1</v>
      </c>
      <c r="BC471">
        <v>0</v>
      </c>
    </row>
    <row r="472" spans="1:55" x14ac:dyDescent="0.3">
      <c r="A472" s="63">
        <v>19</v>
      </c>
      <c r="B472" s="65">
        <v>45789</v>
      </c>
      <c r="C472" s="63">
        <v>1</v>
      </c>
      <c r="D472" s="38" t="s">
        <v>178</v>
      </c>
      <c r="E472" s="23" t="s">
        <v>131</v>
      </c>
      <c r="F472" s="39">
        <v>32.364100000000001</v>
      </c>
      <c r="G472" s="64" t="s">
        <v>352</v>
      </c>
      <c r="H472" s="70"/>
      <c r="BA472" s="132" t="s">
        <v>15</v>
      </c>
      <c r="BB472" s="4">
        <v>1</v>
      </c>
      <c r="BC472">
        <v>0</v>
      </c>
    </row>
    <row r="473" spans="1:55" x14ac:dyDescent="0.3">
      <c r="A473" s="63">
        <v>20</v>
      </c>
      <c r="B473" s="65">
        <v>45796</v>
      </c>
      <c r="C473" s="63">
        <v>1</v>
      </c>
      <c r="D473" s="38" t="s">
        <v>178</v>
      </c>
      <c r="E473" s="23" t="s">
        <v>131</v>
      </c>
      <c r="F473" s="39">
        <v>33.236600000000003</v>
      </c>
      <c r="G473" s="64" t="s">
        <v>352</v>
      </c>
      <c r="H473" s="70"/>
      <c r="BA473" s="132" t="s">
        <v>15</v>
      </c>
      <c r="BB473" s="4">
        <v>1</v>
      </c>
      <c r="BC473">
        <v>0</v>
      </c>
    </row>
    <row r="474" spans="1:55" x14ac:dyDescent="0.3">
      <c r="A474" s="63">
        <v>21</v>
      </c>
      <c r="B474" s="65">
        <v>45803</v>
      </c>
      <c r="C474" s="63">
        <v>1</v>
      </c>
      <c r="D474" s="38" t="s">
        <v>178</v>
      </c>
      <c r="E474" s="23" t="s">
        <v>131</v>
      </c>
      <c r="F474" s="39">
        <v>32.550400000000003</v>
      </c>
      <c r="G474" s="64" t="s">
        <v>352</v>
      </c>
      <c r="H474" s="70"/>
      <c r="BA474" s="132" t="s">
        <v>15</v>
      </c>
      <c r="BB474" s="4">
        <v>1</v>
      </c>
      <c r="BC474">
        <v>0</v>
      </c>
    </row>
    <row r="475" spans="1:55" x14ac:dyDescent="0.3">
      <c r="A475" s="63">
        <v>22</v>
      </c>
      <c r="B475" s="65">
        <v>45810</v>
      </c>
      <c r="C475" s="63">
        <v>1</v>
      </c>
      <c r="D475" s="38" t="s">
        <v>178</v>
      </c>
      <c r="E475" s="23" t="s">
        <v>131</v>
      </c>
      <c r="F475" s="39">
        <v>32.6</v>
      </c>
      <c r="G475" s="64" t="s">
        <v>352</v>
      </c>
      <c r="H475" s="70"/>
      <c r="BA475" s="132" t="s">
        <v>15</v>
      </c>
      <c r="BB475" s="4">
        <v>1</v>
      </c>
      <c r="BC475">
        <v>0</v>
      </c>
    </row>
    <row r="476" spans="1:55" x14ac:dyDescent="0.3">
      <c r="A476" s="63">
        <v>23</v>
      </c>
      <c r="B476" s="65">
        <v>45817</v>
      </c>
      <c r="C476" s="63">
        <v>1</v>
      </c>
      <c r="D476" s="38" t="s">
        <v>178</v>
      </c>
      <c r="E476" s="23" t="s">
        <v>131</v>
      </c>
      <c r="F476" s="39">
        <v>33.354500000000002</v>
      </c>
      <c r="G476" s="64" t="s">
        <v>352</v>
      </c>
      <c r="H476" s="70"/>
      <c r="BA476" s="132" t="s">
        <v>15</v>
      </c>
      <c r="BB476" s="4">
        <v>1</v>
      </c>
      <c r="BC476">
        <v>0</v>
      </c>
    </row>
    <row r="477" spans="1:55" x14ac:dyDescent="0.3">
      <c r="A477" s="63">
        <v>24</v>
      </c>
      <c r="B477" s="65">
        <v>45824</v>
      </c>
      <c r="C477" s="63">
        <v>1</v>
      </c>
      <c r="D477" s="38" t="s">
        <v>178</v>
      </c>
      <c r="E477" s="23" t="s">
        <v>131</v>
      </c>
      <c r="F477" s="39">
        <v>32.580399999999997</v>
      </c>
      <c r="G477" s="64" t="s">
        <v>352</v>
      </c>
      <c r="H477" s="70"/>
      <c r="BA477" s="132" t="s">
        <v>15</v>
      </c>
      <c r="BB477" s="4">
        <v>1</v>
      </c>
      <c r="BC477">
        <v>0</v>
      </c>
    </row>
    <row r="478" spans="1:55" x14ac:dyDescent="0.3">
      <c r="A478" s="63">
        <v>25</v>
      </c>
      <c r="B478" s="65">
        <v>45831</v>
      </c>
      <c r="C478" s="63">
        <v>1</v>
      </c>
      <c r="D478" s="38" t="s">
        <v>178</v>
      </c>
      <c r="E478" s="23" t="s">
        <v>131</v>
      </c>
      <c r="F478" s="39">
        <v>33.267499999999998</v>
      </c>
      <c r="G478" s="64" t="s">
        <v>352</v>
      </c>
      <c r="H478" s="70"/>
      <c r="BA478" s="132" t="s">
        <v>15</v>
      </c>
      <c r="BB478" s="4">
        <v>1</v>
      </c>
      <c r="BC478">
        <v>0</v>
      </c>
    </row>
    <row r="479" spans="1:55" x14ac:dyDescent="0.3">
      <c r="A479" s="63">
        <v>1</v>
      </c>
      <c r="B479" s="65">
        <v>45663</v>
      </c>
      <c r="C479" s="63">
        <v>2</v>
      </c>
      <c r="D479" s="38" t="s">
        <v>179</v>
      </c>
      <c r="E479" s="23" t="s">
        <v>131</v>
      </c>
      <c r="F479" s="39">
        <v>33.903500000000001</v>
      </c>
      <c r="G479" s="64" t="s">
        <v>352</v>
      </c>
      <c r="H479" s="70"/>
      <c r="BA479" s="132" t="s">
        <v>15</v>
      </c>
      <c r="BB479" s="4">
        <v>0</v>
      </c>
      <c r="BC479">
        <v>0</v>
      </c>
    </row>
    <row r="480" spans="1:55" x14ac:dyDescent="0.3">
      <c r="A480" s="63">
        <v>2</v>
      </c>
      <c r="B480" s="65">
        <v>45670</v>
      </c>
      <c r="C480" s="63">
        <v>2</v>
      </c>
      <c r="D480" s="38" t="s">
        <v>179</v>
      </c>
      <c r="E480" s="23" t="s">
        <v>131</v>
      </c>
      <c r="F480" s="39">
        <v>33.812100000000001</v>
      </c>
      <c r="G480" s="64" t="s">
        <v>352</v>
      </c>
      <c r="H480" s="70"/>
      <c r="BA480" s="132" t="s">
        <v>15</v>
      </c>
      <c r="BB480" s="4">
        <v>0</v>
      </c>
      <c r="BC480">
        <v>0</v>
      </c>
    </row>
    <row r="481" spans="1:55" x14ac:dyDescent="0.3">
      <c r="A481" s="63">
        <v>3</v>
      </c>
      <c r="B481" s="65">
        <v>45677</v>
      </c>
      <c r="C481" s="63">
        <v>2</v>
      </c>
      <c r="D481" s="38" t="s">
        <v>179</v>
      </c>
      <c r="E481" s="23" t="s">
        <v>131</v>
      </c>
      <c r="F481" s="39">
        <v>33.575400000000002</v>
      </c>
      <c r="G481" s="64" t="s">
        <v>352</v>
      </c>
      <c r="H481" s="70"/>
      <c r="BA481" s="132" t="s">
        <v>15</v>
      </c>
      <c r="BB481" s="4">
        <v>0</v>
      </c>
      <c r="BC481">
        <v>0</v>
      </c>
    </row>
    <row r="482" spans="1:55" x14ac:dyDescent="0.3">
      <c r="A482" s="63">
        <v>4</v>
      </c>
      <c r="B482" s="65">
        <v>45684</v>
      </c>
      <c r="C482" s="63">
        <v>2</v>
      </c>
      <c r="D482" s="38" t="s">
        <v>179</v>
      </c>
      <c r="E482" s="23" t="s">
        <v>131</v>
      </c>
      <c r="F482" s="39">
        <v>34.979199999999999</v>
      </c>
      <c r="G482" s="64" t="s">
        <v>352</v>
      </c>
      <c r="H482" s="70"/>
      <c r="BA482" s="132" t="s">
        <v>15</v>
      </c>
      <c r="BB482" s="4">
        <v>0</v>
      </c>
      <c r="BC482">
        <v>0</v>
      </c>
    </row>
    <row r="483" spans="1:55" x14ac:dyDescent="0.3">
      <c r="A483" s="63">
        <v>5</v>
      </c>
      <c r="B483" s="65">
        <v>45691</v>
      </c>
      <c r="C483" s="63">
        <v>2</v>
      </c>
      <c r="D483" s="38" t="s">
        <v>179</v>
      </c>
      <c r="E483" s="23" t="s">
        <v>131</v>
      </c>
      <c r="F483" s="39">
        <v>34.150799999999997</v>
      </c>
      <c r="G483" s="64" t="s">
        <v>352</v>
      </c>
      <c r="H483" s="70"/>
      <c r="BA483" s="132" t="s">
        <v>15</v>
      </c>
      <c r="BB483" s="4">
        <v>0</v>
      </c>
      <c r="BC483">
        <v>0</v>
      </c>
    </row>
    <row r="484" spans="1:55" x14ac:dyDescent="0.3">
      <c r="A484" s="63">
        <v>6</v>
      </c>
      <c r="B484" s="65">
        <v>45698</v>
      </c>
      <c r="C484" s="63">
        <v>2</v>
      </c>
      <c r="D484" s="38" t="s">
        <v>179</v>
      </c>
      <c r="E484" s="23" t="s">
        <v>131</v>
      </c>
      <c r="F484" s="39">
        <v>34.365000000000002</v>
      </c>
      <c r="G484" s="64" t="s">
        <v>352</v>
      </c>
      <c r="H484" s="70"/>
      <c r="BA484" s="132" t="s">
        <v>15</v>
      </c>
      <c r="BB484" s="4">
        <v>0</v>
      </c>
      <c r="BC484">
        <v>0</v>
      </c>
    </row>
    <row r="485" spans="1:55" x14ac:dyDescent="0.3">
      <c r="A485" s="63">
        <v>7</v>
      </c>
      <c r="B485" s="65">
        <v>45705</v>
      </c>
      <c r="C485" s="63">
        <v>2</v>
      </c>
      <c r="D485" s="38" t="s">
        <v>179</v>
      </c>
      <c r="E485" s="23" t="s">
        <v>131</v>
      </c>
      <c r="F485" s="39">
        <v>34.260599999999997</v>
      </c>
      <c r="G485" s="64" t="s">
        <v>352</v>
      </c>
      <c r="H485" s="70"/>
      <c r="BA485" s="132" t="s">
        <v>15</v>
      </c>
      <c r="BB485" s="4">
        <v>0</v>
      </c>
      <c r="BC485">
        <v>0</v>
      </c>
    </row>
    <row r="486" spans="1:55" x14ac:dyDescent="0.3">
      <c r="A486" s="63">
        <v>8</v>
      </c>
      <c r="B486" s="65">
        <v>45712</v>
      </c>
      <c r="C486" s="63">
        <v>2</v>
      </c>
      <c r="D486" s="38" t="s">
        <v>179</v>
      </c>
      <c r="E486" s="23" t="s">
        <v>131</v>
      </c>
      <c r="F486" s="39">
        <v>34.333199999999998</v>
      </c>
      <c r="G486" s="64" t="s">
        <v>352</v>
      </c>
      <c r="H486" s="70"/>
      <c r="BA486" s="132" t="s">
        <v>15</v>
      </c>
      <c r="BB486" s="4">
        <v>0</v>
      </c>
      <c r="BC486">
        <v>0</v>
      </c>
    </row>
    <row r="487" spans="1:55" x14ac:dyDescent="0.3">
      <c r="A487" s="63">
        <v>9</v>
      </c>
      <c r="B487" s="65">
        <v>45719</v>
      </c>
      <c r="C487" s="63">
        <v>2</v>
      </c>
      <c r="D487" s="38" t="s">
        <v>179</v>
      </c>
      <c r="E487" s="23" t="s">
        <v>131</v>
      </c>
      <c r="F487" s="39">
        <v>34.2913</v>
      </c>
      <c r="G487" s="64" t="s">
        <v>352</v>
      </c>
      <c r="H487" s="70"/>
      <c r="BA487" s="132" t="s">
        <v>15</v>
      </c>
      <c r="BB487" s="4">
        <v>0</v>
      </c>
      <c r="BC487">
        <v>0</v>
      </c>
    </row>
    <row r="488" spans="1:55" x14ac:dyDescent="0.3">
      <c r="A488" s="63">
        <v>10</v>
      </c>
      <c r="B488" s="65">
        <v>45726</v>
      </c>
      <c r="C488" s="63">
        <v>2</v>
      </c>
      <c r="D488" s="38" t="s">
        <v>179</v>
      </c>
      <c r="E488" s="23" t="s">
        <v>131</v>
      </c>
      <c r="F488" s="39">
        <v>34.997100000000003</v>
      </c>
      <c r="G488" s="64" t="s">
        <v>352</v>
      </c>
      <c r="H488" s="70"/>
      <c r="BA488" s="132" t="s">
        <v>15</v>
      </c>
      <c r="BB488" s="4">
        <v>0</v>
      </c>
      <c r="BC488">
        <v>0</v>
      </c>
    </row>
    <row r="489" spans="1:55" x14ac:dyDescent="0.3">
      <c r="A489" s="63">
        <v>11</v>
      </c>
      <c r="B489" s="65">
        <v>45733</v>
      </c>
      <c r="C489" s="63">
        <v>2</v>
      </c>
      <c r="D489" s="38" t="s">
        <v>179</v>
      </c>
      <c r="E489" s="23" t="s">
        <v>131</v>
      </c>
      <c r="F489" s="39">
        <v>33.877899999999997</v>
      </c>
      <c r="G489" s="64" t="s">
        <v>352</v>
      </c>
      <c r="H489" s="70"/>
      <c r="BA489" s="132" t="s">
        <v>15</v>
      </c>
      <c r="BB489" s="4">
        <v>0</v>
      </c>
      <c r="BC489">
        <v>0</v>
      </c>
    </row>
    <row r="490" spans="1:55" x14ac:dyDescent="0.3">
      <c r="A490" s="63">
        <v>12</v>
      </c>
      <c r="B490" s="65">
        <v>45740</v>
      </c>
      <c r="C490" s="63">
        <v>2</v>
      </c>
      <c r="D490" s="38" t="s">
        <v>179</v>
      </c>
      <c r="E490" s="23" t="s">
        <v>131</v>
      </c>
      <c r="F490" s="39">
        <v>33.680999999999997</v>
      </c>
      <c r="G490" s="64" t="s">
        <v>352</v>
      </c>
      <c r="H490" s="70"/>
      <c r="BA490" s="132" t="s">
        <v>15</v>
      </c>
      <c r="BB490" s="4">
        <v>0</v>
      </c>
      <c r="BC490">
        <v>0</v>
      </c>
    </row>
    <row r="491" spans="1:55" x14ac:dyDescent="0.3">
      <c r="A491" s="63">
        <v>13</v>
      </c>
      <c r="B491" s="65">
        <v>45747</v>
      </c>
      <c r="C491" s="63">
        <v>2</v>
      </c>
      <c r="D491" s="38" t="s">
        <v>179</v>
      </c>
      <c r="E491" s="23" t="s">
        <v>131</v>
      </c>
      <c r="F491" s="39">
        <v>33.888100000000001</v>
      </c>
      <c r="G491" s="64" t="s">
        <v>352</v>
      </c>
      <c r="H491" s="70"/>
      <c r="BA491" s="132" t="s">
        <v>15</v>
      </c>
      <c r="BB491" s="4">
        <v>0</v>
      </c>
      <c r="BC491">
        <v>0</v>
      </c>
    </row>
    <row r="492" spans="1:55" x14ac:dyDescent="0.3">
      <c r="A492" s="63">
        <v>14</v>
      </c>
      <c r="B492" s="65">
        <v>45754</v>
      </c>
      <c r="C492" s="63">
        <v>2</v>
      </c>
      <c r="D492" s="38" t="s">
        <v>179</v>
      </c>
      <c r="E492" s="23" t="s">
        <v>131</v>
      </c>
      <c r="F492" s="39">
        <v>33.765599999999999</v>
      </c>
      <c r="G492" s="64" t="s">
        <v>352</v>
      </c>
      <c r="H492" s="70"/>
      <c r="BA492" s="132" t="s">
        <v>15</v>
      </c>
      <c r="BB492" s="4">
        <v>0</v>
      </c>
      <c r="BC492">
        <v>0</v>
      </c>
    </row>
    <row r="493" spans="1:55" x14ac:dyDescent="0.3">
      <c r="A493" s="63">
        <v>15</v>
      </c>
      <c r="B493" s="65">
        <v>45761</v>
      </c>
      <c r="C493" s="63">
        <v>2</v>
      </c>
      <c r="D493" s="38" t="s">
        <v>179</v>
      </c>
      <c r="E493" s="23" t="s">
        <v>131</v>
      </c>
      <c r="F493" s="39">
        <v>34.556100000000001</v>
      </c>
      <c r="G493" s="64" t="s">
        <v>352</v>
      </c>
      <c r="H493" s="70"/>
      <c r="BA493" s="132" t="s">
        <v>15</v>
      </c>
      <c r="BB493" s="4">
        <v>0</v>
      </c>
      <c r="BC493">
        <v>0</v>
      </c>
    </row>
    <row r="494" spans="1:55" x14ac:dyDescent="0.3">
      <c r="A494" s="63">
        <v>16</v>
      </c>
      <c r="B494" s="65">
        <v>45768</v>
      </c>
      <c r="C494" s="63">
        <v>2</v>
      </c>
      <c r="D494" s="38" t="s">
        <v>179</v>
      </c>
      <c r="E494" s="23" t="s">
        <v>131</v>
      </c>
      <c r="F494" s="39">
        <v>34.584000000000003</v>
      </c>
      <c r="G494" s="64" t="s">
        <v>352</v>
      </c>
      <c r="H494" s="70"/>
      <c r="BA494" s="132" t="s">
        <v>15</v>
      </c>
      <c r="BB494" s="4">
        <v>0</v>
      </c>
      <c r="BC494">
        <v>0</v>
      </c>
    </row>
    <row r="495" spans="1:55" x14ac:dyDescent="0.3">
      <c r="A495" s="63">
        <v>17</v>
      </c>
      <c r="B495" s="65">
        <v>45775</v>
      </c>
      <c r="C495" s="63">
        <v>2</v>
      </c>
      <c r="D495" s="38" t="s">
        <v>179</v>
      </c>
      <c r="E495" s="23" t="s">
        <v>131</v>
      </c>
      <c r="F495" s="39">
        <v>33.907400000000003</v>
      </c>
      <c r="G495" s="64" t="s">
        <v>352</v>
      </c>
      <c r="H495" s="70"/>
      <c r="BA495" s="132" t="s">
        <v>15</v>
      </c>
      <c r="BB495" s="4">
        <v>0</v>
      </c>
      <c r="BC495">
        <v>0</v>
      </c>
    </row>
    <row r="496" spans="1:55" x14ac:dyDescent="0.3">
      <c r="A496" s="63">
        <v>18</v>
      </c>
      <c r="B496" s="65">
        <v>45782</v>
      </c>
      <c r="C496" s="63">
        <v>2</v>
      </c>
      <c r="D496" s="38" t="s">
        <v>179</v>
      </c>
      <c r="E496" s="23" t="s">
        <v>131</v>
      </c>
      <c r="F496" s="39">
        <v>33.744399999999999</v>
      </c>
      <c r="G496" s="64" t="s">
        <v>352</v>
      </c>
      <c r="H496" s="70"/>
      <c r="BA496" s="132" t="s">
        <v>15</v>
      </c>
      <c r="BB496" s="4">
        <v>0</v>
      </c>
      <c r="BC496">
        <v>0</v>
      </c>
    </row>
    <row r="497" spans="1:55" x14ac:dyDescent="0.3">
      <c r="A497" s="63">
        <v>19</v>
      </c>
      <c r="B497" s="65">
        <v>45789</v>
      </c>
      <c r="C497" s="63">
        <v>2</v>
      </c>
      <c r="D497" s="38" t="s">
        <v>179</v>
      </c>
      <c r="E497" s="23" t="s">
        <v>131</v>
      </c>
      <c r="F497" s="39">
        <v>34.137700000000002</v>
      </c>
      <c r="G497" s="64" t="s">
        <v>352</v>
      </c>
      <c r="H497" s="70"/>
      <c r="BA497" s="132" t="s">
        <v>15</v>
      </c>
      <c r="BB497" s="4">
        <v>0</v>
      </c>
      <c r="BC497">
        <v>0</v>
      </c>
    </row>
    <row r="498" spans="1:55" x14ac:dyDescent="0.3">
      <c r="A498" s="63">
        <v>20</v>
      </c>
      <c r="B498" s="65">
        <v>45796</v>
      </c>
      <c r="C498" s="63">
        <v>2</v>
      </c>
      <c r="D498" s="38" t="s">
        <v>179</v>
      </c>
      <c r="E498" s="23" t="s">
        <v>131</v>
      </c>
      <c r="F498" s="39">
        <v>34.800699999999999</v>
      </c>
      <c r="G498" s="64" t="s">
        <v>352</v>
      </c>
      <c r="H498" s="70"/>
      <c r="BA498" s="132" t="s">
        <v>15</v>
      </c>
      <c r="BB498" s="4">
        <v>0</v>
      </c>
      <c r="BC498">
        <v>0</v>
      </c>
    </row>
    <row r="499" spans="1:55" x14ac:dyDescent="0.3">
      <c r="A499" s="63">
        <v>21</v>
      </c>
      <c r="B499" s="65">
        <v>45803</v>
      </c>
      <c r="C499" s="63">
        <v>2</v>
      </c>
      <c r="D499" s="38" t="s">
        <v>179</v>
      </c>
      <c r="E499" s="23" t="s">
        <v>131</v>
      </c>
      <c r="F499" s="39">
        <v>33.201700000000002</v>
      </c>
      <c r="G499" s="64" t="s">
        <v>352</v>
      </c>
      <c r="H499" s="70"/>
      <c r="BA499" s="132" t="s">
        <v>15</v>
      </c>
      <c r="BB499" s="4">
        <v>0</v>
      </c>
      <c r="BC499">
        <v>0</v>
      </c>
    </row>
    <row r="500" spans="1:55" x14ac:dyDescent="0.3">
      <c r="A500" s="63">
        <v>22</v>
      </c>
      <c r="B500" s="65">
        <v>45810</v>
      </c>
      <c r="C500" s="63">
        <v>2</v>
      </c>
      <c r="D500" s="38" t="s">
        <v>179</v>
      </c>
      <c r="E500" s="23" t="s">
        <v>131</v>
      </c>
      <c r="F500" s="39">
        <v>34.4724</v>
      </c>
      <c r="G500" s="64" t="s">
        <v>352</v>
      </c>
      <c r="H500" s="70"/>
      <c r="BA500" s="132" t="s">
        <v>15</v>
      </c>
      <c r="BB500" s="4">
        <v>0</v>
      </c>
      <c r="BC500">
        <v>0</v>
      </c>
    </row>
    <row r="501" spans="1:55" x14ac:dyDescent="0.3">
      <c r="A501" s="63">
        <v>23</v>
      </c>
      <c r="B501" s="65">
        <v>45817</v>
      </c>
      <c r="C501" s="63">
        <v>2</v>
      </c>
      <c r="D501" s="38" t="s">
        <v>179</v>
      </c>
      <c r="E501" s="23" t="s">
        <v>131</v>
      </c>
      <c r="F501" s="39">
        <v>33.863900000000001</v>
      </c>
      <c r="G501" s="64" t="s">
        <v>352</v>
      </c>
      <c r="H501" s="70"/>
      <c r="BA501" s="132" t="s">
        <v>15</v>
      </c>
      <c r="BB501" s="4">
        <v>0</v>
      </c>
      <c r="BC501">
        <v>0</v>
      </c>
    </row>
    <row r="502" spans="1:55" x14ac:dyDescent="0.3">
      <c r="A502" s="63">
        <v>24</v>
      </c>
      <c r="B502" s="65">
        <v>45824</v>
      </c>
      <c r="C502" s="63">
        <v>2</v>
      </c>
      <c r="D502" s="38" t="s">
        <v>179</v>
      </c>
      <c r="E502" s="23" t="s">
        <v>131</v>
      </c>
      <c r="F502" s="39">
        <v>34.667499999999997</v>
      </c>
      <c r="G502" s="64" t="s">
        <v>352</v>
      </c>
      <c r="H502" s="70"/>
      <c r="BA502" s="132" t="s">
        <v>15</v>
      </c>
      <c r="BB502" s="4">
        <v>0</v>
      </c>
      <c r="BC502">
        <v>0</v>
      </c>
    </row>
    <row r="503" spans="1:55" x14ac:dyDescent="0.3">
      <c r="A503" s="63">
        <v>25</v>
      </c>
      <c r="B503" s="65">
        <v>45831</v>
      </c>
      <c r="C503" s="63">
        <v>2</v>
      </c>
      <c r="D503" s="38" t="s">
        <v>179</v>
      </c>
      <c r="E503" s="23" t="s">
        <v>131</v>
      </c>
      <c r="F503" s="39">
        <v>33.863100000000003</v>
      </c>
      <c r="G503" s="64" t="s">
        <v>352</v>
      </c>
      <c r="H503" s="70"/>
      <c r="BA503" s="132" t="s">
        <v>15</v>
      </c>
      <c r="BB503" s="4">
        <v>0</v>
      </c>
      <c r="BC503">
        <v>0</v>
      </c>
    </row>
    <row r="504" spans="1:55" x14ac:dyDescent="0.3">
      <c r="A504" s="63">
        <v>1</v>
      </c>
      <c r="B504" s="65">
        <v>45663</v>
      </c>
      <c r="C504" s="63">
        <v>3</v>
      </c>
      <c r="D504" s="38" t="s">
        <v>180</v>
      </c>
      <c r="E504" s="23" t="s">
        <v>131</v>
      </c>
      <c r="F504" s="39">
        <v>34.553100000000001</v>
      </c>
      <c r="G504" s="64" t="s">
        <v>352</v>
      </c>
      <c r="H504" s="70"/>
      <c r="BA504" s="132" t="s">
        <v>15</v>
      </c>
      <c r="BB504" s="4">
        <v>0</v>
      </c>
      <c r="BC504">
        <v>0</v>
      </c>
    </row>
    <row r="505" spans="1:55" x14ac:dyDescent="0.3">
      <c r="A505" s="63">
        <v>2</v>
      </c>
      <c r="B505" s="65">
        <v>45670</v>
      </c>
      <c r="C505" s="63">
        <v>3</v>
      </c>
      <c r="D505" s="38" t="s">
        <v>180</v>
      </c>
      <c r="E505" s="23" t="s">
        <v>131</v>
      </c>
      <c r="F505" s="39">
        <v>34.101500000000001</v>
      </c>
      <c r="G505" s="64" t="s">
        <v>352</v>
      </c>
      <c r="H505" s="70"/>
      <c r="BA505" s="132" t="s">
        <v>15</v>
      </c>
      <c r="BB505" s="4">
        <v>0</v>
      </c>
      <c r="BC505">
        <v>0</v>
      </c>
    </row>
    <row r="506" spans="1:55" x14ac:dyDescent="0.3">
      <c r="A506" s="63">
        <v>3</v>
      </c>
      <c r="B506" s="65">
        <v>45677</v>
      </c>
      <c r="C506" s="63">
        <v>3</v>
      </c>
      <c r="D506" s="38" t="s">
        <v>180</v>
      </c>
      <c r="E506" s="23" t="s">
        <v>131</v>
      </c>
      <c r="F506" s="39">
        <v>34.297199999999997</v>
      </c>
      <c r="G506" s="64" t="s">
        <v>352</v>
      </c>
      <c r="H506" s="70"/>
      <c r="BA506" s="132" t="s">
        <v>15</v>
      </c>
      <c r="BB506" s="4">
        <v>0</v>
      </c>
      <c r="BC506">
        <v>0</v>
      </c>
    </row>
    <row r="507" spans="1:55" x14ac:dyDescent="0.3">
      <c r="A507" s="63">
        <v>4</v>
      </c>
      <c r="B507" s="65">
        <v>45684</v>
      </c>
      <c r="C507" s="63">
        <v>3</v>
      </c>
      <c r="D507" s="38" t="s">
        <v>180</v>
      </c>
      <c r="E507" s="23" t="s">
        <v>131</v>
      </c>
      <c r="F507" s="39">
        <v>35.171199999999999</v>
      </c>
      <c r="G507" s="64" t="s">
        <v>352</v>
      </c>
      <c r="H507" s="70"/>
      <c r="BA507" s="132" t="s">
        <v>15</v>
      </c>
      <c r="BB507" s="4">
        <v>0</v>
      </c>
      <c r="BC507">
        <v>0</v>
      </c>
    </row>
    <row r="508" spans="1:55" x14ac:dyDescent="0.3">
      <c r="A508" s="63">
        <v>5</v>
      </c>
      <c r="B508" s="65">
        <v>45691</v>
      </c>
      <c r="C508" s="63">
        <v>3</v>
      </c>
      <c r="D508" s="38" t="s">
        <v>180</v>
      </c>
      <c r="E508" s="23" t="s">
        <v>131</v>
      </c>
      <c r="F508" s="39">
        <v>34.9621</v>
      </c>
      <c r="G508" s="64" t="s">
        <v>352</v>
      </c>
      <c r="H508" s="70"/>
      <c r="BA508" s="132" t="s">
        <v>15</v>
      </c>
      <c r="BB508" s="4">
        <v>0</v>
      </c>
      <c r="BC508">
        <v>0</v>
      </c>
    </row>
    <row r="509" spans="1:55" x14ac:dyDescent="0.3">
      <c r="A509" s="63">
        <v>6</v>
      </c>
      <c r="B509" s="65">
        <v>45698</v>
      </c>
      <c r="C509" s="63">
        <v>3</v>
      </c>
      <c r="D509" s="38" t="s">
        <v>180</v>
      </c>
      <c r="E509" s="23" t="s">
        <v>131</v>
      </c>
      <c r="F509" s="39">
        <v>34.510100000000001</v>
      </c>
      <c r="G509" s="64" t="s">
        <v>352</v>
      </c>
      <c r="H509" s="70"/>
      <c r="BA509" s="132" t="s">
        <v>15</v>
      </c>
      <c r="BB509" s="4">
        <v>0</v>
      </c>
      <c r="BC509">
        <v>0</v>
      </c>
    </row>
    <row r="510" spans="1:55" x14ac:dyDescent="0.3">
      <c r="A510" s="63">
        <v>7</v>
      </c>
      <c r="B510" s="65">
        <v>45705</v>
      </c>
      <c r="C510" s="63">
        <v>3</v>
      </c>
      <c r="D510" s="38" t="s">
        <v>180</v>
      </c>
      <c r="E510" s="23" t="s">
        <v>131</v>
      </c>
      <c r="F510" s="39">
        <v>34.336799999999997</v>
      </c>
      <c r="G510" s="64" t="s">
        <v>352</v>
      </c>
      <c r="H510" s="70"/>
      <c r="BA510" s="132" t="s">
        <v>15</v>
      </c>
      <c r="BB510" s="4">
        <v>0</v>
      </c>
      <c r="BC510">
        <v>0</v>
      </c>
    </row>
    <row r="511" spans="1:55" x14ac:dyDescent="0.3">
      <c r="A511" s="63">
        <v>8</v>
      </c>
      <c r="B511" s="65">
        <v>45712</v>
      </c>
      <c r="C511" s="63">
        <v>3</v>
      </c>
      <c r="D511" s="38" t="s">
        <v>180</v>
      </c>
      <c r="E511" s="23" t="s">
        <v>131</v>
      </c>
      <c r="F511" s="39">
        <v>33.958199999999998</v>
      </c>
      <c r="G511" s="64" t="s">
        <v>352</v>
      </c>
      <c r="H511" s="70"/>
      <c r="BA511" s="132" t="s">
        <v>15</v>
      </c>
      <c r="BB511" s="4">
        <v>0</v>
      </c>
      <c r="BC511">
        <v>0</v>
      </c>
    </row>
    <row r="512" spans="1:55" x14ac:dyDescent="0.3">
      <c r="A512" s="63">
        <v>9</v>
      </c>
      <c r="B512" s="65">
        <v>45719</v>
      </c>
      <c r="C512" s="63">
        <v>3</v>
      </c>
      <c r="D512" s="38" t="s">
        <v>180</v>
      </c>
      <c r="E512" s="23" t="s">
        <v>131</v>
      </c>
      <c r="F512" s="39">
        <v>34.512999999999998</v>
      </c>
      <c r="G512" s="64" t="s">
        <v>352</v>
      </c>
      <c r="H512" s="70"/>
      <c r="BA512" s="132" t="s">
        <v>15</v>
      </c>
      <c r="BB512" s="4">
        <v>0</v>
      </c>
      <c r="BC512">
        <v>0</v>
      </c>
    </row>
    <row r="513" spans="1:55" x14ac:dyDescent="0.3">
      <c r="A513" s="63">
        <v>10</v>
      </c>
      <c r="B513" s="65">
        <v>45726</v>
      </c>
      <c r="C513" s="63">
        <v>3</v>
      </c>
      <c r="D513" s="38" t="s">
        <v>180</v>
      </c>
      <c r="E513" s="23" t="s">
        <v>131</v>
      </c>
      <c r="F513" s="39">
        <v>34.647199999999998</v>
      </c>
      <c r="G513" s="64" t="s">
        <v>352</v>
      </c>
      <c r="H513" s="70"/>
      <c r="BA513" s="132" t="s">
        <v>15</v>
      </c>
      <c r="BB513" s="4">
        <v>0</v>
      </c>
      <c r="BC513">
        <v>0</v>
      </c>
    </row>
    <row r="514" spans="1:55" x14ac:dyDescent="0.3">
      <c r="A514" s="63">
        <v>11</v>
      </c>
      <c r="B514" s="65">
        <v>45733</v>
      </c>
      <c r="C514" s="63">
        <v>3</v>
      </c>
      <c r="D514" s="38" t="s">
        <v>180</v>
      </c>
      <c r="E514" s="23" t="s">
        <v>131</v>
      </c>
      <c r="F514" s="39">
        <v>34.627499999999998</v>
      </c>
      <c r="G514" s="64" t="s">
        <v>352</v>
      </c>
      <c r="H514" s="70"/>
      <c r="BA514" s="132" t="s">
        <v>15</v>
      </c>
      <c r="BB514" s="4">
        <v>0</v>
      </c>
      <c r="BC514">
        <v>0</v>
      </c>
    </row>
    <row r="515" spans="1:55" x14ac:dyDescent="0.3">
      <c r="A515" s="63">
        <v>12</v>
      </c>
      <c r="B515" s="65">
        <v>45740</v>
      </c>
      <c r="C515" s="63">
        <v>3</v>
      </c>
      <c r="D515" s="38" t="s">
        <v>180</v>
      </c>
      <c r="E515" s="23" t="s">
        <v>131</v>
      </c>
      <c r="F515" s="39">
        <v>34.623899999999999</v>
      </c>
      <c r="G515" s="64" t="s">
        <v>352</v>
      </c>
      <c r="H515" s="70"/>
      <c r="BA515" s="132" t="s">
        <v>15</v>
      </c>
      <c r="BB515" s="4">
        <v>0</v>
      </c>
      <c r="BC515">
        <v>0</v>
      </c>
    </row>
    <row r="516" spans="1:55" x14ac:dyDescent="0.3">
      <c r="A516" s="63">
        <v>13</v>
      </c>
      <c r="B516" s="65">
        <v>45747</v>
      </c>
      <c r="C516" s="63">
        <v>3</v>
      </c>
      <c r="D516" s="38" t="s">
        <v>180</v>
      </c>
      <c r="E516" s="23" t="s">
        <v>131</v>
      </c>
      <c r="F516" s="39">
        <v>34.243699999999997</v>
      </c>
      <c r="G516" s="64" t="s">
        <v>352</v>
      </c>
      <c r="H516" s="70"/>
      <c r="BA516" s="132" t="s">
        <v>15</v>
      </c>
      <c r="BB516" s="4">
        <v>0</v>
      </c>
      <c r="BC516">
        <v>0</v>
      </c>
    </row>
    <row r="517" spans="1:55" x14ac:dyDescent="0.3">
      <c r="A517" s="63">
        <v>14</v>
      </c>
      <c r="B517" s="65">
        <v>45754</v>
      </c>
      <c r="C517" s="63">
        <v>3</v>
      </c>
      <c r="D517" s="38" t="s">
        <v>180</v>
      </c>
      <c r="E517" s="23" t="s">
        <v>131</v>
      </c>
      <c r="F517" s="39">
        <v>34.634099999999997</v>
      </c>
      <c r="G517" s="64" t="s">
        <v>352</v>
      </c>
      <c r="H517" s="70"/>
      <c r="BA517" s="132" t="s">
        <v>15</v>
      </c>
      <c r="BB517" s="4">
        <v>0</v>
      </c>
      <c r="BC517">
        <v>0</v>
      </c>
    </row>
    <row r="518" spans="1:55" x14ac:dyDescent="0.3">
      <c r="A518" s="63">
        <v>15</v>
      </c>
      <c r="B518" s="65">
        <v>45761</v>
      </c>
      <c r="C518" s="63">
        <v>3</v>
      </c>
      <c r="D518" s="38" t="s">
        <v>180</v>
      </c>
      <c r="E518" s="23" t="s">
        <v>131</v>
      </c>
      <c r="F518" s="39">
        <v>34.644300000000001</v>
      </c>
      <c r="G518" s="64" t="s">
        <v>352</v>
      </c>
      <c r="H518" s="70"/>
      <c r="BA518" s="132" t="s">
        <v>15</v>
      </c>
      <c r="BB518" s="4">
        <v>0</v>
      </c>
      <c r="BC518">
        <v>0</v>
      </c>
    </row>
    <row r="519" spans="1:55" x14ac:dyDescent="0.3">
      <c r="A519" s="63">
        <v>16</v>
      </c>
      <c r="B519" s="65">
        <v>45768</v>
      </c>
      <c r="C519" s="63">
        <v>3</v>
      </c>
      <c r="D519" s="38" t="s">
        <v>180</v>
      </c>
      <c r="E519" s="23" t="s">
        <v>131</v>
      </c>
      <c r="F519" s="39">
        <v>35.136000000000003</v>
      </c>
      <c r="G519" s="64" t="s">
        <v>352</v>
      </c>
      <c r="H519" s="70"/>
      <c r="BA519" s="132" t="s">
        <v>15</v>
      </c>
      <c r="BB519" s="4">
        <v>0</v>
      </c>
      <c r="BC519">
        <v>0</v>
      </c>
    </row>
    <row r="520" spans="1:55" x14ac:dyDescent="0.3">
      <c r="A520" s="63">
        <v>17</v>
      </c>
      <c r="B520" s="65">
        <v>45775</v>
      </c>
      <c r="C520" s="63">
        <v>3</v>
      </c>
      <c r="D520" s="38" t="s">
        <v>180</v>
      </c>
      <c r="E520" s="23" t="s">
        <v>131</v>
      </c>
      <c r="F520" s="39">
        <v>35.3491</v>
      </c>
      <c r="G520" s="64" t="s">
        <v>352</v>
      </c>
      <c r="H520" s="70"/>
      <c r="BA520" s="132" t="s">
        <v>15</v>
      </c>
      <c r="BB520" s="4">
        <v>0</v>
      </c>
      <c r="BC520">
        <v>0</v>
      </c>
    </row>
    <row r="521" spans="1:55" x14ac:dyDescent="0.3">
      <c r="A521" s="63">
        <v>18</v>
      </c>
      <c r="B521" s="65">
        <v>45782</v>
      </c>
      <c r="C521" s="63">
        <v>3</v>
      </c>
      <c r="D521" s="38" t="s">
        <v>180</v>
      </c>
      <c r="E521" s="23" t="s">
        <v>131</v>
      </c>
      <c r="F521" s="39">
        <v>34.607999999999997</v>
      </c>
      <c r="G521" s="64" t="s">
        <v>352</v>
      </c>
      <c r="H521" s="70"/>
      <c r="BA521" s="132" t="s">
        <v>15</v>
      </c>
      <c r="BB521" s="4">
        <v>0</v>
      </c>
      <c r="BC521">
        <v>0</v>
      </c>
    </row>
    <row r="522" spans="1:55" x14ac:dyDescent="0.3">
      <c r="A522" s="63">
        <v>19</v>
      </c>
      <c r="B522" s="65">
        <v>45789</v>
      </c>
      <c r="C522" s="63">
        <v>3</v>
      </c>
      <c r="D522" s="38" t="s">
        <v>180</v>
      </c>
      <c r="E522" s="23" t="s">
        <v>131</v>
      </c>
      <c r="F522" s="39">
        <v>34.3752</v>
      </c>
      <c r="G522" s="64" t="s">
        <v>352</v>
      </c>
      <c r="H522" s="70"/>
      <c r="BA522" s="132" t="s">
        <v>15</v>
      </c>
      <c r="BB522" s="4">
        <v>0</v>
      </c>
      <c r="BC522">
        <v>0</v>
      </c>
    </row>
    <row r="523" spans="1:55" x14ac:dyDescent="0.3">
      <c r="A523" s="63">
        <v>20</v>
      </c>
      <c r="B523" s="65">
        <v>45796</v>
      </c>
      <c r="C523" s="63">
        <v>3</v>
      </c>
      <c r="D523" s="38" t="s">
        <v>180</v>
      </c>
      <c r="E523" s="23" t="s">
        <v>131</v>
      </c>
      <c r="F523" s="39">
        <v>34.634599999999999</v>
      </c>
      <c r="G523" s="64" t="s">
        <v>352</v>
      </c>
      <c r="H523" s="70"/>
      <c r="BA523" s="132" t="s">
        <v>15</v>
      </c>
      <c r="BB523" s="4">
        <v>0</v>
      </c>
      <c r="BC523">
        <v>0</v>
      </c>
    </row>
    <row r="524" spans="1:55" x14ac:dyDescent="0.3">
      <c r="A524" s="63">
        <v>21</v>
      </c>
      <c r="B524" s="65">
        <v>45803</v>
      </c>
      <c r="C524" s="63">
        <v>3</v>
      </c>
      <c r="D524" s="38" t="s">
        <v>180</v>
      </c>
      <c r="E524" s="23" t="s">
        <v>131</v>
      </c>
      <c r="F524" s="39">
        <v>34.433900000000001</v>
      </c>
      <c r="G524" s="64" t="s">
        <v>352</v>
      </c>
      <c r="H524" s="70"/>
      <c r="BA524" s="132" t="s">
        <v>15</v>
      </c>
      <c r="BB524" s="4">
        <v>0</v>
      </c>
      <c r="BC524">
        <v>0</v>
      </c>
    </row>
    <row r="525" spans="1:55" x14ac:dyDescent="0.3">
      <c r="A525" s="63">
        <v>22</v>
      </c>
      <c r="B525" s="65">
        <v>45810</v>
      </c>
      <c r="C525" s="63">
        <v>3</v>
      </c>
      <c r="D525" s="38" t="s">
        <v>180</v>
      </c>
      <c r="E525" s="23" t="s">
        <v>131</v>
      </c>
      <c r="F525" s="39">
        <v>34.384</v>
      </c>
      <c r="G525" s="64" t="s">
        <v>352</v>
      </c>
      <c r="H525" s="70"/>
      <c r="BA525" s="132" t="s">
        <v>15</v>
      </c>
      <c r="BB525" s="4">
        <v>0</v>
      </c>
      <c r="BC525">
        <v>0</v>
      </c>
    </row>
    <row r="526" spans="1:55" x14ac:dyDescent="0.3">
      <c r="A526" s="63">
        <v>23</v>
      </c>
      <c r="B526" s="65">
        <v>45817</v>
      </c>
      <c r="C526" s="63">
        <v>3</v>
      </c>
      <c r="D526" s="38" t="s">
        <v>180</v>
      </c>
      <c r="E526" s="23" t="s">
        <v>131</v>
      </c>
      <c r="F526" s="39">
        <v>34.636899999999997</v>
      </c>
      <c r="G526" s="64" t="s">
        <v>352</v>
      </c>
      <c r="H526" s="70"/>
      <c r="BA526" s="132" t="s">
        <v>15</v>
      </c>
      <c r="BB526" s="4">
        <v>0</v>
      </c>
      <c r="BC526">
        <v>0</v>
      </c>
    </row>
    <row r="527" spans="1:55" x14ac:dyDescent="0.3">
      <c r="A527" s="63">
        <v>24</v>
      </c>
      <c r="B527" s="65">
        <v>45824</v>
      </c>
      <c r="C527" s="63">
        <v>3</v>
      </c>
      <c r="D527" s="38" t="s">
        <v>180</v>
      </c>
      <c r="E527" s="23" t="s">
        <v>131</v>
      </c>
      <c r="F527" s="39">
        <v>34.2727</v>
      </c>
      <c r="G527" s="64" t="s">
        <v>352</v>
      </c>
      <c r="H527" s="70"/>
      <c r="BA527" s="132" t="s">
        <v>15</v>
      </c>
      <c r="BB527" s="4">
        <v>0</v>
      </c>
      <c r="BC527">
        <v>0</v>
      </c>
    </row>
    <row r="528" spans="1:55" x14ac:dyDescent="0.3">
      <c r="A528" s="63">
        <v>25</v>
      </c>
      <c r="B528" s="65">
        <v>45831</v>
      </c>
      <c r="C528" s="63">
        <v>3</v>
      </c>
      <c r="D528" s="38" t="s">
        <v>180</v>
      </c>
      <c r="E528" s="23" t="s">
        <v>131</v>
      </c>
      <c r="F528" s="39">
        <v>34.882800000000003</v>
      </c>
      <c r="G528" s="64" t="s">
        <v>352</v>
      </c>
      <c r="H528" s="70"/>
      <c r="BA528" s="132" t="s">
        <v>15</v>
      </c>
      <c r="BB528" s="4">
        <v>0</v>
      </c>
      <c r="BC528">
        <v>0</v>
      </c>
    </row>
    <row r="529" spans="1:55" x14ac:dyDescent="0.3">
      <c r="A529" s="63">
        <v>1</v>
      </c>
      <c r="B529" s="65">
        <v>45663</v>
      </c>
      <c r="C529" s="63">
        <v>1</v>
      </c>
      <c r="D529" s="38" t="s">
        <v>178</v>
      </c>
      <c r="E529" s="23" t="s">
        <v>132</v>
      </c>
      <c r="F529" s="39">
        <v>70.133700000000005</v>
      </c>
      <c r="G529" s="64" t="s">
        <v>352</v>
      </c>
      <c r="H529" s="70"/>
      <c r="BA529" s="132" t="s">
        <v>15</v>
      </c>
      <c r="BB529" s="4">
        <v>1</v>
      </c>
      <c r="BC529">
        <v>0</v>
      </c>
    </row>
    <row r="530" spans="1:55" x14ac:dyDescent="0.3">
      <c r="A530" s="63">
        <v>2</v>
      </c>
      <c r="B530" s="65">
        <v>45670</v>
      </c>
      <c r="C530" s="63">
        <v>1</v>
      </c>
      <c r="D530" s="38" t="s">
        <v>178</v>
      </c>
      <c r="E530" s="23" t="s">
        <v>132</v>
      </c>
      <c r="F530" s="39">
        <v>71.792199999999994</v>
      </c>
      <c r="G530" s="64" t="s">
        <v>352</v>
      </c>
      <c r="H530" s="70"/>
      <c r="BA530" s="132" t="s">
        <v>15</v>
      </c>
      <c r="BB530" s="4">
        <v>1</v>
      </c>
      <c r="BC530">
        <v>0</v>
      </c>
    </row>
    <row r="531" spans="1:55" x14ac:dyDescent="0.3">
      <c r="A531" s="63">
        <v>3</v>
      </c>
      <c r="B531" s="65">
        <v>45677</v>
      </c>
      <c r="C531" s="63">
        <v>1</v>
      </c>
      <c r="D531" s="38" t="s">
        <v>178</v>
      </c>
      <c r="E531" s="23" t="s">
        <v>132</v>
      </c>
      <c r="F531" s="39">
        <v>69.763400000000004</v>
      </c>
      <c r="G531" s="64" t="s">
        <v>352</v>
      </c>
      <c r="H531" s="70"/>
      <c r="BA531" s="132" t="s">
        <v>15</v>
      </c>
      <c r="BB531" s="4">
        <v>1</v>
      </c>
      <c r="BC531">
        <v>0</v>
      </c>
    </row>
    <row r="532" spans="1:55" x14ac:dyDescent="0.3">
      <c r="A532" s="63">
        <v>4</v>
      </c>
      <c r="B532" s="65">
        <v>45684</v>
      </c>
      <c r="C532" s="63">
        <v>1</v>
      </c>
      <c r="D532" s="38" t="s">
        <v>178</v>
      </c>
      <c r="E532" s="23" t="s">
        <v>132</v>
      </c>
      <c r="F532" s="39">
        <v>67.212800000000001</v>
      </c>
      <c r="G532" s="64" t="s">
        <v>352</v>
      </c>
      <c r="H532" s="70"/>
      <c r="BA532" s="132" t="s">
        <v>15</v>
      </c>
      <c r="BB532" s="4">
        <v>1</v>
      </c>
      <c r="BC532">
        <v>0</v>
      </c>
    </row>
    <row r="533" spans="1:55" x14ac:dyDescent="0.3">
      <c r="A533" s="63">
        <v>5</v>
      </c>
      <c r="B533" s="65">
        <v>45691</v>
      </c>
      <c r="C533" s="63">
        <v>1</v>
      </c>
      <c r="D533" s="38" t="s">
        <v>178</v>
      </c>
      <c r="E533" s="23" t="s">
        <v>132</v>
      </c>
      <c r="F533" s="39">
        <v>66.178600000000003</v>
      </c>
      <c r="G533" s="64" t="s">
        <v>352</v>
      </c>
      <c r="H533" s="70"/>
      <c r="BA533" s="132" t="s">
        <v>15</v>
      </c>
      <c r="BB533" s="4">
        <v>1</v>
      </c>
      <c r="BC533">
        <v>0</v>
      </c>
    </row>
    <row r="534" spans="1:55" x14ac:dyDescent="0.3">
      <c r="A534" s="63">
        <v>6</v>
      </c>
      <c r="B534" s="65">
        <v>45698</v>
      </c>
      <c r="C534" s="63">
        <v>1</v>
      </c>
      <c r="D534" s="38" t="s">
        <v>178</v>
      </c>
      <c r="E534" s="23" t="s">
        <v>132</v>
      </c>
      <c r="F534" s="39">
        <v>69.508799999999994</v>
      </c>
      <c r="G534" s="64" t="s">
        <v>352</v>
      </c>
      <c r="H534" s="70"/>
      <c r="BA534" s="132" t="s">
        <v>15</v>
      </c>
      <c r="BB534" s="4">
        <v>1</v>
      </c>
      <c r="BC534">
        <v>0</v>
      </c>
    </row>
    <row r="535" spans="1:55" x14ac:dyDescent="0.3">
      <c r="A535" s="63">
        <v>7</v>
      </c>
      <c r="B535" s="65">
        <v>45705</v>
      </c>
      <c r="C535" s="63">
        <v>1</v>
      </c>
      <c r="D535" s="38" t="s">
        <v>178</v>
      </c>
      <c r="E535" s="23" t="s">
        <v>132</v>
      </c>
      <c r="F535" s="39">
        <v>68.049199999999999</v>
      </c>
      <c r="G535" s="64" t="s">
        <v>352</v>
      </c>
      <c r="H535" s="70"/>
      <c r="BA535" s="132" t="s">
        <v>15</v>
      </c>
      <c r="BB535" s="4">
        <v>1</v>
      </c>
      <c r="BC535">
        <v>0</v>
      </c>
    </row>
    <row r="536" spans="1:55" x14ac:dyDescent="0.3">
      <c r="A536" s="63">
        <v>8</v>
      </c>
      <c r="B536" s="65">
        <v>45712</v>
      </c>
      <c r="C536" s="63">
        <v>1</v>
      </c>
      <c r="D536" s="38" t="s">
        <v>178</v>
      </c>
      <c r="E536" s="23" t="s">
        <v>132</v>
      </c>
      <c r="F536" s="39">
        <v>71.716700000000003</v>
      </c>
      <c r="G536" s="64" t="s">
        <v>352</v>
      </c>
      <c r="H536" s="70"/>
      <c r="BA536" s="132" t="s">
        <v>15</v>
      </c>
      <c r="BB536" s="4">
        <v>1</v>
      </c>
      <c r="BC536">
        <v>0</v>
      </c>
    </row>
    <row r="537" spans="1:55" x14ac:dyDescent="0.3">
      <c r="A537" s="63">
        <v>9</v>
      </c>
      <c r="B537" s="65">
        <v>45719</v>
      </c>
      <c r="C537" s="63">
        <v>1</v>
      </c>
      <c r="D537" s="38" t="s">
        <v>178</v>
      </c>
      <c r="E537" s="23" t="s">
        <v>132</v>
      </c>
      <c r="F537" s="39">
        <v>70.599900000000005</v>
      </c>
      <c r="G537" s="64" t="s">
        <v>352</v>
      </c>
      <c r="H537" s="70"/>
      <c r="BA537" s="132" t="s">
        <v>15</v>
      </c>
      <c r="BB537" s="4">
        <v>1</v>
      </c>
      <c r="BC537">
        <v>0</v>
      </c>
    </row>
    <row r="538" spans="1:55" x14ac:dyDescent="0.3">
      <c r="A538" s="63">
        <v>10</v>
      </c>
      <c r="B538" s="65">
        <v>45726</v>
      </c>
      <c r="C538" s="63">
        <v>1</v>
      </c>
      <c r="D538" s="38" t="s">
        <v>178</v>
      </c>
      <c r="E538" s="23" t="s">
        <v>132</v>
      </c>
      <c r="F538" s="39">
        <v>64.236999999999995</v>
      </c>
      <c r="G538" s="64" t="s">
        <v>352</v>
      </c>
      <c r="H538" s="70"/>
      <c r="BA538" s="132" t="s">
        <v>15</v>
      </c>
      <c r="BB538" s="4">
        <v>1</v>
      </c>
      <c r="BC538">
        <v>0</v>
      </c>
    </row>
    <row r="539" spans="1:55" x14ac:dyDescent="0.3">
      <c r="A539" s="63">
        <v>11</v>
      </c>
      <c r="B539" s="65">
        <v>45733</v>
      </c>
      <c r="C539" s="63">
        <v>1</v>
      </c>
      <c r="D539" s="38" t="s">
        <v>178</v>
      </c>
      <c r="E539" s="23" t="s">
        <v>132</v>
      </c>
      <c r="F539" s="39">
        <v>70.935199999999995</v>
      </c>
      <c r="G539" s="64" t="s">
        <v>352</v>
      </c>
      <c r="H539" s="70"/>
      <c r="BA539" s="132" t="s">
        <v>15</v>
      </c>
      <c r="BB539" s="4">
        <v>1</v>
      </c>
      <c r="BC539">
        <v>0</v>
      </c>
    </row>
    <row r="540" spans="1:55" x14ac:dyDescent="0.3">
      <c r="A540" s="63">
        <v>12</v>
      </c>
      <c r="B540" s="65">
        <v>45740</v>
      </c>
      <c r="C540" s="63">
        <v>1</v>
      </c>
      <c r="D540" s="38" t="s">
        <v>178</v>
      </c>
      <c r="E540" s="23" t="s">
        <v>132</v>
      </c>
      <c r="F540" s="39">
        <v>64.328100000000006</v>
      </c>
      <c r="G540" s="64" t="s">
        <v>352</v>
      </c>
      <c r="H540" s="70"/>
      <c r="BA540" s="132" t="s">
        <v>15</v>
      </c>
      <c r="BB540" s="4">
        <v>1</v>
      </c>
      <c r="BC540">
        <v>0</v>
      </c>
    </row>
    <row r="541" spans="1:55" x14ac:dyDescent="0.3">
      <c r="A541" s="63">
        <v>13</v>
      </c>
      <c r="B541" s="65">
        <v>45747</v>
      </c>
      <c r="C541" s="63">
        <v>1</v>
      </c>
      <c r="D541" s="38" t="s">
        <v>178</v>
      </c>
      <c r="E541" s="23" t="s">
        <v>132</v>
      </c>
      <c r="F541" s="39">
        <v>67.731899999999996</v>
      </c>
      <c r="G541" s="64" t="s">
        <v>352</v>
      </c>
      <c r="H541" s="70"/>
      <c r="BA541" s="132" t="s">
        <v>15</v>
      </c>
      <c r="BB541" s="4">
        <v>1</v>
      </c>
      <c r="BC541">
        <v>0</v>
      </c>
    </row>
    <row r="542" spans="1:55" x14ac:dyDescent="0.3">
      <c r="A542" s="63">
        <v>14</v>
      </c>
      <c r="B542" s="65">
        <v>45754</v>
      </c>
      <c r="C542" s="63">
        <v>1</v>
      </c>
      <c r="D542" s="38" t="s">
        <v>178</v>
      </c>
      <c r="E542" s="23" t="s">
        <v>132</v>
      </c>
      <c r="F542" s="39">
        <v>69.241399999999999</v>
      </c>
      <c r="G542" s="64" t="s">
        <v>352</v>
      </c>
      <c r="H542" s="70"/>
      <c r="BA542" s="132" t="s">
        <v>15</v>
      </c>
      <c r="BB542" s="4">
        <v>1</v>
      </c>
      <c r="BC542">
        <v>0</v>
      </c>
    </row>
    <row r="543" spans="1:55" x14ac:dyDescent="0.3">
      <c r="A543" s="63">
        <v>15</v>
      </c>
      <c r="B543" s="65">
        <v>45761</v>
      </c>
      <c r="C543" s="63">
        <v>1</v>
      </c>
      <c r="D543" s="38" t="s">
        <v>178</v>
      </c>
      <c r="E543" s="23" t="s">
        <v>132</v>
      </c>
      <c r="F543" s="39">
        <v>60.896099999999997</v>
      </c>
      <c r="G543" s="64" t="s">
        <v>352</v>
      </c>
      <c r="H543" s="70"/>
      <c r="BA543" s="132" t="s">
        <v>15</v>
      </c>
      <c r="BB543" s="4">
        <v>1</v>
      </c>
      <c r="BC543">
        <v>0</v>
      </c>
    </row>
    <row r="544" spans="1:55" x14ac:dyDescent="0.3">
      <c r="A544" s="63">
        <v>16</v>
      </c>
      <c r="B544" s="65">
        <v>45768</v>
      </c>
      <c r="C544" s="63">
        <v>1</v>
      </c>
      <c r="D544" s="38" t="s">
        <v>178</v>
      </c>
      <c r="E544" s="23" t="s">
        <v>132</v>
      </c>
      <c r="F544" s="39">
        <v>71.049499999999995</v>
      </c>
      <c r="G544" s="64" t="s">
        <v>352</v>
      </c>
      <c r="H544" s="70"/>
      <c r="BA544" s="132" t="s">
        <v>15</v>
      </c>
      <c r="BB544" s="4">
        <v>1</v>
      </c>
      <c r="BC544">
        <v>0</v>
      </c>
    </row>
    <row r="545" spans="1:55" x14ac:dyDescent="0.3">
      <c r="A545" s="63">
        <v>17</v>
      </c>
      <c r="B545" s="65">
        <v>45775</v>
      </c>
      <c r="C545" s="63">
        <v>1</v>
      </c>
      <c r="D545" s="38" t="s">
        <v>178</v>
      </c>
      <c r="E545" s="23" t="s">
        <v>132</v>
      </c>
      <c r="F545" s="39">
        <v>71.328199999999995</v>
      </c>
      <c r="G545" s="64" t="s">
        <v>352</v>
      </c>
      <c r="H545" s="70"/>
      <c r="BA545" s="132" t="s">
        <v>15</v>
      </c>
      <c r="BB545" s="4">
        <v>1</v>
      </c>
      <c r="BC545">
        <v>0</v>
      </c>
    </row>
    <row r="546" spans="1:55" x14ac:dyDescent="0.3">
      <c r="A546" s="63">
        <v>18</v>
      </c>
      <c r="B546" s="65">
        <v>45782</v>
      </c>
      <c r="C546" s="63">
        <v>1</v>
      </c>
      <c r="D546" s="38" t="s">
        <v>178</v>
      </c>
      <c r="E546" s="23" t="s">
        <v>132</v>
      </c>
      <c r="F546" s="39">
        <v>69.880200000000002</v>
      </c>
      <c r="G546" s="64" t="s">
        <v>352</v>
      </c>
      <c r="H546" s="70"/>
      <c r="BA546" s="132" t="s">
        <v>15</v>
      </c>
      <c r="BB546" s="4">
        <v>1</v>
      </c>
      <c r="BC546">
        <v>0</v>
      </c>
    </row>
    <row r="547" spans="1:55" x14ac:dyDescent="0.3">
      <c r="A547" s="63">
        <v>19</v>
      </c>
      <c r="B547" s="65">
        <v>45789</v>
      </c>
      <c r="C547" s="63">
        <v>1</v>
      </c>
      <c r="D547" s="38" t="s">
        <v>178</v>
      </c>
      <c r="E547" s="23" t="s">
        <v>132</v>
      </c>
      <c r="F547" s="39">
        <v>68.632400000000004</v>
      </c>
      <c r="G547" s="64" t="s">
        <v>352</v>
      </c>
      <c r="H547" s="70"/>
      <c r="BA547" s="132" t="s">
        <v>15</v>
      </c>
      <c r="BB547" s="4">
        <v>1</v>
      </c>
      <c r="BC547">
        <v>0</v>
      </c>
    </row>
    <row r="548" spans="1:55" x14ac:dyDescent="0.3">
      <c r="A548" s="63">
        <v>20</v>
      </c>
      <c r="B548" s="65">
        <v>45796</v>
      </c>
      <c r="C548" s="63">
        <v>1</v>
      </c>
      <c r="D548" s="38" t="s">
        <v>178</v>
      </c>
      <c r="E548" s="23" t="s">
        <v>132</v>
      </c>
      <c r="F548" s="39">
        <v>68.87</v>
      </c>
      <c r="G548" s="64" t="s">
        <v>352</v>
      </c>
      <c r="H548" s="70"/>
      <c r="BA548" s="132" t="s">
        <v>15</v>
      </c>
      <c r="BB548" s="4">
        <v>1</v>
      </c>
      <c r="BC548">
        <v>0</v>
      </c>
    </row>
    <row r="549" spans="1:55" x14ac:dyDescent="0.3">
      <c r="A549" s="63">
        <v>21</v>
      </c>
      <c r="B549" s="65">
        <v>45803</v>
      </c>
      <c r="C549" s="63">
        <v>1</v>
      </c>
      <c r="D549" s="38" t="s">
        <v>178</v>
      </c>
      <c r="E549" s="23" t="s">
        <v>132</v>
      </c>
      <c r="F549" s="39">
        <v>66.044700000000006</v>
      </c>
      <c r="G549" s="64" t="s">
        <v>352</v>
      </c>
      <c r="H549" s="70"/>
      <c r="BA549" s="132" t="s">
        <v>15</v>
      </c>
      <c r="BB549" s="4">
        <v>1</v>
      </c>
      <c r="BC549">
        <v>0</v>
      </c>
    </row>
    <row r="550" spans="1:55" x14ac:dyDescent="0.3">
      <c r="A550" s="63">
        <v>22</v>
      </c>
      <c r="B550" s="65">
        <v>45810</v>
      </c>
      <c r="C550" s="63">
        <v>1</v>
      </c>
      <c r="D550" s="38" t="s">
        <v>178</v>
      </c>
      <c r="E550" s="23" t="s">
        <v>132</v>
      </c>
      <c r="F550" s="39">
        <v>69.356899999999996</v>
      </c>
      <c r="G550" s="64" t="s">
        <v>352</v>
      </c>
      <c r="H550" s="70"/>
      <c r="BA550" s="132" t="s">
        <v>15</v>
      </c>
      <c r="BB550" s="4">
        <v>1</v>
      </c>
      <c r="BC550">
        <v>0</v>
      </c>
    </row>
    <row r="551" spans="1:55" x14ac:dyDescent="0.3">
      <c r="A551" s="63">
        <v>23</v>
      </c>
      <c r="B551" s="65">
        <v>45817</v>
      </c>
      <c r="C551" s="63">
        <v>1</v>
      </c>
      <c r="D551" s="38" t="s">
        <v>178</v>
      </c>
      <c r="E551" s="23" t="s">
        <v>132</v>
      </c>
      <c r="F551" s="39">
        <v>68.031199999999998</v>
      </c>
      <c r="G551" s="64" t="s">
        <v>352</v>
      </c>
      <c r="H551" s="70"/>
      <c r="BA551" s="132" t="s">
        <v>15</v>
      </c>
      <c r="BB551" s="4">
        <v>1</v>
      </c>
      <c r="BC551">
        <v>0</v>
      </c>
    </row>
    <row r="552" spans="1:55" x14ac:dyDescent="0.3">
      <c r="A552" s="63">
        <v>24</v>
      </c>
      <c r="B552" s="65">
        <v>45824</v>
      </c>
      <c r="C552" s="63">
        <v>1</v>
      </c>
      <c r="D552" s="38" t="s">
        <v>178</v>
      </c>
      <c r="E552" s="23" t="s">
        <v>132</v>
      </c>
      <c r="F552" s="39">
        <v>71.050299999999993</v>
      </c>
      <c r="G552" s="64" t="s">
        <v>352</v>
      </c>
      <c r="H552" s="70"/>
      <c r="BA552" s="132" t="s">
        <v>15</v>
      </c>
      <c r="BB552" s="4">
        <v>1</v>
      </c>
      <c r="BC552">
        <v>0</v>
      </c>
    </row>
    <row r="553" spans="1:55" x14ac:dyDescent="0.3">
      <c r="A553" s="63">
        <v>25</v>
      </c>
      <c r="B553" s="65">
        <v>45831</v>
      </c>
      <c r="C553" s="63">
        <v>1</v>
      </c>
      <c r="D553" s="38" t="s">
        <v>178</v>
      </c>
      <c r="E553" s="23" t="s">
        <v>132</v>
      </c>
      <c r="F553" s="39">
        <v>64.978200000000001</v>
      </c>
      <c r="G553" s="64" t="s">
        <v>352</v>
      </c>
      <c r="H553" s="70"/>
      <c r="BA553" s="132" t="s">
        <v>15</v>
      </c>
      <c r="BB553" s="4">
        <v>1</v>
      </c>
      <c r="BC553">
        <v>0</v>
      </c>
    </row>
    <row r="554" spans="1:55" x14ac:dyDescent="0.3">
      <c r="A554" s="63">
        <v>1</v>
      </c>
      <c r="B554" s="65">
        <v>45663</v>
      </c>
      <c r="C554" s="63">
        <v>2</v>
      </c>
      <c r="D554" s="38" t="s">
        <v>179</v>
      </c>
      <c r="E554" s="23" t="s">
        <v>132</v>
      </c>
      <c r="F554" s="39">
        <v>230.4932</v>
      </c>
      <c r="G554" s="64" t="s">
        <v>352</v>
      </c>
      <c r="H554" s="70"/>
      <c r="BA554" s="132" t="s">
        <v>15</v>
      </c>
      <c r="BB554" s="4">
        <v>0</v>
      </c>
      <c r="BC554">
        <v>0</v>
      </c>
    </row>
    <row r="555" spans="1:55" x14ac:dyDescent="0.3">
      <c r="A555" s="63">
        <v>2</v>
      </c>
      <c r="B555" s="65">
        <v>45670</v>
      </c>
      <c r="C555" s="63">
        <v>2</v>
      </c>
      <c r="D555" s="38" t="s">
        <v>179</v>
      </c>
      <c r="E555" s="23" t="s">
        <v>132</v>
      </c>
      <c r="F555" s="39">
        <v>229.48859999999999</v>
      </c>
      <c r="G555" s="64" t="s">
        <v>352</v>
      </c>
      <c r="H555" s="70"/>
      <c r="BA555" s="132" t="s">
        <v>15</v>
      </c>
      <c r="BB555" s="4">
        <v>0</v>
      </c>
      <c r="BC555">
        <v>0</v>
      </c>
    </row>
    <row r="556" spans="1:55" x14ac:dyDescent="0.3">
      <c r="A556" s="63">
        <v>3</v>
      </c>
      <c r="B556" s="65">
        <v>45677</v>
      </c>
      <c r="C556" s="63">
        <v>2</v>
      </c>
      <c r="D556" s="38" t="s">
        <v>179</v>
      </c>
      <c r="E556" s="23" t="s">
        <v>132</v>
      </c>
      <c r="F556" s="39">
        <v>226.3914</v>
      </c>
      <c r="G556" s="64" t="s">
        <v>352</v>
      </c>
      <c r="H556" s="70"/>
      <c r="BA556" s="132" t="s">
        <v>15</v>
      </c>
      <c r="BB556" s="4">
        <v>0</v>
      </c>
      <c r="BC556">
        <v>0</v>
      </c>
    </row>
    <row r="557" spans="1:55" x14ac:dyDescent="0.3">
      <c r="A557" s="63">
        <v>4</v>
      </c>
      <c r="B557" s="65">
        <v>45684</v>
      </c>
      <c r="C557" s="63">
        <v>2</v>
      </c>
      <c r="D557" s="38" t="s">
        <v>179</v>
      </c>
      <c r="E557" s="23" t="s">
        <v>132</v>
      </c>
      <c r="F557" s="39">
        <v>223.15440000000001</v>
      </c>
      <c r="G557" s="64" t="s">
        <v>352</v>
      </c>
      <c r="H557" s="70"/>
      <c r="BA557" s="132" t="s">
        <v>15</v>
      </c>
      <c r="BB557" s="4">
        <v>0</v>
      </c>
      <c r="BC557">
        <v>0</v>
      </c>
    </row>
    <row r="558" spans="1:55" x14ac:dyDescent="0.3">
      <c r="A558" s="63">
        <v>5</v>
      </c>
      <c r="B558" s="65">
        <v>45691</v>
      </c>
      <c r="C558" s="63">
        <v>2</v>
      </c>
      <c r="D558" s="38" t="s">
        <v>179</v>
      </c>
      <c r="E558" s="23" t="s">
        <v>132</v>
      </c>
      <c r="F558" s="39">
        <v>233.93809999999999</v>
      </c>
      <c r="G558" s="64" t="s">
        <v>352</v>
      </c>
      <c r="H558" s="70"/>
      <c r="BA558" s="132" t="s">
        <v>15</v>
      </c>
      <c r="BB558" s="4">
        <v>0</v>
      </c>
      <c r="BC558">
        <v>0</v>
      </c>
    </row>
    <row r="559" spans="1:55" x14ac:dyDescent="0.3">
      <c r="A559" s="63">
        <v>6</v>
      </c>
      <c r="B559" s="65">
        <v>45698</v>
      </c>
      <c r="C559" s="63">
        <v>2</v>
      </c>
      <c r="D559" s="38" t="s">
        <v>179</v>
      </c>
      <c r="E559" s="23" t="s">
        <v>132</v>
      </c>
      <c r="F559" s="39">
        <v>209.82730000000001</v>
      </c>
      <c r="G559" s="64" t="s">
        <v>352</v>
      </c>
      <c r="H559" s="70"/>
      <c r="BA559" s="132" t="s">
        <v>15</v>
      </c>
      <c r="BB559" s="4">
        <v>0</v>
      </c>
      <c r="BC559">
        <v>0</v>
      </c>
    </row>
    <row r="560" spans="1:55" x14ac:dyDescent="0.3">
      <c r="A560" s="63">
        <v>7</v>
      </c>
      <c r="B560" s="65">
        <v>45705</v>
      </c>
      <c r="C560" s="63">
        <v>2</v>
      </c>
      <c r="D560" s="38" t="s">
        <v>179</v>
      </c>
      <c r="E560" s="23" t="s">
        <v>132</v>
      </c>
      <c r="F560" s="39">
        <v>232.93879999999999</v>
      </c>
      <c r="G560" s="64" t="s">
        <v>352</v>
      </c>
      <c r="H560" s="70"/>
      <c r="BA560" s="132" t="s">
        <v>15</v>
      </c>
      <c r="BB560" s="4">
        <v>0</v>
      </c>
      <c r="BC560">
        <v>0</v>
      </c>
    </row>
    <row r="561" spans="1:55" x14ac:dyDescent="0.3">
      <c r="A561" s="63">
        <v>8</v>
      </c>
      <c r="B561" s="65">
        <v>45712</v>
      </c>
      <c r="C561" s="63">
        <v>2</v>
      </c>
      <c r="D561" s="38" t="s">
        <v>179</v>
      </c>
      <c r="E561" s="23" t="s">
        <v>132</v>
      </c>
      <c r="F561" s="39">
        <v>230.57419999999999</v>
      </c>
      <c r="G561" s="64" t="s">
        <v>352</v>
      </c>
      <c r="H561" s="70"/>
      <c r="BA561" s="132" t="s">
        <v>15</v>
      </c>
      <c r="BB561" s="4">
        <v>0</v>
      </c>
      <c r="BC561">
        <v>0</v>
      </c>
    </row>
    <row r="562" spans="1:55" x14ac:dyDescent="0.3">
      <c r="A562" s="63">
        <v>9</v>
      </c>
      <c r="B562" s="65">
        <v>45719</v>
      </c>
      <c r="C562" s="63">
        <v>2</v>
      </c>
      <c r="D562" s="38" t="s">
        <v>179</v>
      </c>
      <c r="E562" s="23" t="s">
        <v>132</v>
      </c>
      <c r="F562" s="39">
        <v>231.0129</v>
      </c>
      <c r="G562" s="64" t="s">
        <v>352</v>
      </c>
      <c r="H562" s="70"/>
      <c r="BA562" s="132" t="s">
        <v>15</v>
      </c>
      <c r="BB562" s="4">
        <v>0</v>
      </c>
      <c r="BC562">
        <v>0</v>
      </c>
    </row>
    <row r="563" spans="1:55" x14ac:dyDescent="0.3">
      <c r="A563" s="63">
        <v>10</v>
      </c>
      <c r="B563" s="65">
        <v>45726</v>
      </c>
      <c r="C563" s="63">
        <v>2</v>
      </c>
      <c r="D563" s="38" t="s">
        <v>179</v>
      </c>
      <c r="E563" s="23" t="s">
        <v>132</v>
      </c>
      <c r="F563" s="39">
        <v>232.09979999999999</v>
      </c>
      <c r="G563" s="64" t="s">
        <v>352</v>
      </c>
      <c r="H563" s="70"/>
      <c r="BA563" s="132" t="s">
        <v>15</v>
      </c>
      <c r="BB563" s="4">
        <v>0</v>
      </c>
      <c r="BC563">
        <v>0</v>
      </c>
    </row>
    <row r="564" spans="1:55" x14ac:dyDescent="0.3">
      <c r="A564" s="63">
        <v>11</v>
      </c>
      <c r="B564" s="65">
        <v>45733</v>
      </c>
      <c r="C564" s="63">
        <v>2</v>
      </c>
      <c r="D564" s="38" t="s">
        <v>179</v>
      </c>
      <c r="E564" s="23" t="s">
        <v>132</v>
      </c>
      <c r="F564" s="39">
        <v>220.82220000000001</v>
      </c>
      <c r="G564" s="64" t="s">
        <v>352</v>
      </c>
      <c r="H564" s="70"/>
      <c r="BA564" s="132" t="s">
        <v>15</v>
      </c>
      <c r="BB564" s="4">
        <v>0</v>
      </c>
      <c r="BC564">
        <v>0</v>
      </c>
    </row>
    <row r="565" spans="1:55" x14ac:dyDescent="0.3">
      <c r="A565" s="63">
        <v>12</v>
      </c>
      <c r="B565" s="65">
        <v>45740</v>
      </c>
      <c r="C565" s="63">
        <v>2</v>
      </c>
      <c r="D565" s="38" t="s">
        <v>179</v>
      </c>
      <c r="E565" s="23" t="s">
        <v>132</v>
      </c>
      <c r="F565" s="39">
        <v>225.10919999999999</v>
      </c>
      <c r="G565" s="64" t="s">
        <v>352</v>
      </c>
      <c r="H565" s="70"/>
      <c r="BA565" s="132" t="s">
        <v>15</v>
      </c>
      <c r="BB565" s="4">
        <v>0</v>
      </c>
      <c r="BC565">
        <v>0</v>
      </c>
    </row>
    <row r="566" spans="1:55" x14ac:dyDescent="0.3">
      <c r="A566" s="63">
        <v>13</v>
      </c>
      <c r="B566" s="65">
        <v>45747</v>
      </c>
      <c r="C566" s="63">
        <v>2</v>
      </c>
      <c r="D566" s="38" t="s">
        <v>179</v>
      </c>
      <c r="E566" s="23" t="s">
        <v>132</v>
      </c>
      <c r="F566" s="39">
        <v>234.8595</v>
      </c>
      <c r="G566" s="64" t="s">
        <v>352</v>
      </c>
      <c r="H566" s="70"/>
      <c r="BA566" s="132" t="s">
        <v>15</v>
      </c>
      <c r="BB566" s="4">
        <v>0</v>
      </c>
      <c r="BC566">
        <v>0</v>
      </c>
    </row>
    <row r="567" spans="1:55" x14ac:dyDescent="0.3">
      <c r="A567" s="63">
        <v>14</v>
      </c>
      <c r="B567" s="65">
        <v>45754</v>
      </c>
      <c r="C567" s="63">
        <v>2</v>
      </c>
      <c r="D567" s="38" t="s">
        <v>179</v>
      </c>
      <c r="E567" s="23" t="s">
        <v>132</v>
      </c>
      <c r="F567" s="39">
        <v>232.61449999999999</v>
      </c>
      <c r="G567" s="64" t="s">
        <v>352</v>
      </c>
      <c r="H567" s="70"/>
      <c r="BA567" s="132" t="s">
        <v>15</v>
      </c>
      <c r="BB567" s="4">
        <v>0</v>
      </c>
      <c r="BC567">
        <v>0</v>
      </c>
    </row>
    <row r="568" spans="1:55" x14ac:dyDescent="0.3">
      <c r="A568" s="63">
        <v>15</v>
      </c>
      <c r="B568" s="65">
        <v>45761</v>
      </c>
      <c r="C568" s="63">
        <v>2</v>
      </c>
      <c r="D568" s="38" t="s">
        <v>179</v>
      </c>
      <c r="E568" s="23" t="s">
        <v>132</v>
      </c>
      <c r="F568" s="39">
        <v>230.17920000000001</v>
      </c>
      <c r="G568" s="64" t="s">
        <v>352</v>
      </c>
      <c r="H568" s="70"/>
      <c r="BA568" s="132" t="s">
        <v>15</v>
      </c>
      <c r="BB568" s="4">
        <v>0</v>
      </c>
      <c r="BC568">
        <v>0</v>
      </c>
    </row>
    <row r="569" spans="1:55" x14ac:dyDescent="0.3">
      <c r="A569" s="63">
        <v>16</v>
      </c>
      <c r="B569" s="65">
        <v>45768</v>
      </c>
      <c r="C569" s="63">
        <v>2</v>
      </c>
      <c r="D569" s="38" t="s">
        <v>179</v>
      </c>
      <c r="E569" s="23" t="s">
        <v>132</v>
      </c>
      <c r="F569" s="39">
        <v>211.46170000000001</v>
      </c>
      <c r="G569" s="64" t="s">
        <v>352</v>
      </c>
      <c r="H569" s="70"/>
      <c r="BA569" s="132" t="s">
        <v>15</v>
      </c>
      <c r="BB569" s="4">
        <v>0</v>
      </c>
      <c r="BC569">
        <v>0</v>
      </c>
    </row>
    <row r="570" spans="1:55" x14ac:dyDescent="0.3">
      <c r="A570" s="63">
        <v>17</v>
      </c>
      <c r="B570" s="65">
        <v>45775</v>
      </c>
      <c r="C570" s="63">
        <v>2</v>
      </c>
      <c r="D570" s="38" t="s">
        <v>179</v>
      </c>
      <c r="E570" s="23" t="s">
        <v>132</v>
      </c>
      <c r="F570" s="39">
        <v>233.7809</v>
      </c>
      <c r="G570" s="64" t="s">
        <v>352</v>
      </c>
      <c r="H570" s="70"/>
      <c r="BA570" s="132" t="s">
        <v>15</v>
      </c>
      <c r="BB570" s="4">
        <v>0</v>
      </c>
      <c r="BC570">
        <v>0</v>
      </c>
    </row>
    <row r="571" spans="1:55" x14ac:dyDescent="0.3">
      <c r="A571" s="63">
        <v>18</v>
      </c>
      <c r="B571" s="65">
        <v>45782</v>
      </c>
      <c r="C571" s="63">
        <v>2</v>
      </c>
      <c r="D571" s="38" t="s">
        <v>179</v>
      </c>
      <c r="E571" s="23" t="s">
        <v>132</v>
      </c>
      <c r="F571" s="39">
        <v>240.6498</v>
      </c>
      <c r="G571" s="64" t="s">
        <v>352</v>
      </c>
      <c r="H571" s="70"/>
      <c r="BA571" s="132" t="s">
        <v>15</v>
      </c>
      <c r="BB571" s="4">
        <v>0</v>
      </c>
      <c r="BC571">
        <v>0</v>
      </c>
    </row>
    <row r="572" spans="1:55" x14ac:dyDescent="0.3">
      <c r="A572" s="63">
        <v>19</v>
      </c>
      <c r="B572" s="65">
        <v>45789</v>
      </c>
      <c r="C572" s="63">
        <v>2</v>
      </c>
      <c r="D572" s="38" t="s">
        <v>179</v>
      </c>
      <c r="E572" s="23" t="s">
        <v>132</v>
      </c>
      <c r="F572" s="39">
        <v>238.9119</v>
      </c>
      <c r="G572" s="64" t="s">
        <v>352</v>
      </c>
      <c r="H572" s="70"/>
      <c r="BA572" s="132" t="s">
        <v>15</v>
      </c>
      <c r="BB572" s="4">
        <v>0</v>
      </c>
      <c r="BC572">
        <v>0</v>
      </c>
    </row>
    <row r="573" spans="1:55" x14ac:dyDescent="0.3">
      <c r="A573" s="63">
        <v>20</v>
      </c>
      <c r="B573" s="65">
        <v>45796</v>
      </c>
      <c r="C573" s="63">
        <v>2</v>
      </c>
      <c r="D573" s="38" t="s">
        <v>179</v>
      </c>
      <c r="E573" s="23" t="s">
        <v>132</v>
      </c>
      <c r="F573" s="39">
        <v>230.47460000000001</v>
      </c>
      <c r="G573" s="64" t="s">
        <v>352</v>
      </c>
      <c r="H573" s="70"/>
      <c r="BA573" s="132" t="s">
        <v>15</v>
      </c>
      <c r="BB573" s="4">
        <v>0</v>
      </c>
      <c r="BC573">
        <v>0</v>
      </c>
    </row>
    <row r="574" spans="1:55" x14ac:dyDescent="0.3">
      <c r="A574" s="63">
        <v>21</v>
      </c>
      <c r="B574" s="65">
        <v>45803</v>
      </c>
      <c r="C574" s="63">
        <v>2</v>
      </c>
      <c r="D574" s="38" t="s">
        <v>179</v>
      </c>
      <c r="E574" s="23" t="s">
        <v>132</v>
      </c>
      <c r="F574" s="39">
        <v>210.99019999999999</v>
      </c>
      <c r="G574" s="64" t="s">
        <v>352</v>
      </c>
      <c r="H574" s="70"/>
      <c r="BA574" s="132" t="s">
        <v>15</v>
      </c>
      <c r="BB574" s="4">
        <v>0</v>
      </c>
      <c r="BC574">
        <v>0</v>
      </c>
    </row>
    <row r="575" spans="1:55" x14ac:dyDescent="0.3">
      <c r="A575" s="63">
        <v>22</v>
      </c>
      <c r="B575" s="65">
        <v>45810</v>
      </c>
      <c r="C575" s="63">
        <v>2</v>
      </c>
      <c r="D575" s="38" t="s">
        <v>179</v>
      </c>
      <c r="E575" s="23" t="s">
        <v>132</v>
      </c>
      <c r="F575" s="39">
        <v>238.18190000000001</v>
      </c>
      <c r="G575" s="64" t="s">
        <v>352</v>
      </c>
      <c r="H575" s="70"/>
      <c r="BA575" s="132" t="s">
        <v>15</v>
      </c>
      <c r="BB575" s="4">
        <v>0</v>
      </c>
      <c r="BC575">
        <v>0</v>
      </c>
    </row>
    <row r="576" spans="1:55" x14ac:dyDescent="0.3">
      <c r="A576" s="63">
        <v>23</v>
      </c>
      <c r="B576" s="65">
        <v>45817</v>
      </c>
      <c r="C576" s="63">
        <v>2</v>
      </c>
      <c r="D576" s="38" t="s">
        <v>179</v>
      </c>
      <c r="E576" s="23" t="s">
        <v>132</v>
      </c>
      <c r="F576" s="39">
        <v>226.3295</v>
      </c>
      <c r="G576" s="64" t="s">
        <v>352</v>
      </c>
      <c r="H576" s="70"/>
      <c r="BA576" s="132" t="s">
        <v>15</v>
      </c>
      <c r="BB576" s="4">
        <v>0</v>
      </c>
      <c r="BC576">
        <v>0</v>
      </c>
    </row>
    <row r="577" spans="1:55" x14ac:dyDescent="0.3">
      <c r="A577" s="63">
        <v>24</v>
      </c>
      <c r="B577" s="65">
        <v>45824</v>
      </c>
      <c r="C577" s="63">
        <v>2</v>
      </c>
      <c r="D577" s="38" t="s">
        <v>179</v>
      </c>
      <c r="E577" s="23" t="s">
        <v>132</v>
      </c>
      <c r="F577" s="39">
        <v>200.38810000000001</v>
      </c>
      <c r="G577" s="64" t="s">
        <v>352</v>
      </c>
      <c r="H577" s="70"/>
      <c r="BA577" s="132" t="s">
        <v>15</v>
      </c>
      <c r="BB577" s="4">
        <v>0</v>
      </c>
      <c r="BC577">
        <v>0</v>
      </c>
    </row>
    <row r="578" spans="1:55" x14ac:dyDescent="0.3">
      <c r="A578" s="63">
        <v>25</v>
      </c>
      <c r="B578" s="65">
        <v>45831</v>
      </c>
      <c r="C578" s="63">
        <v>2</v>
      </c>
      <c r="D578" s="38" t="s">
        <v>179</v>
      </c>
      <c r="E578" s="23" t="s">
        <v>132</v>
      </c>
      <c r="F578" s="39">
        <v>232.0334</v>
      </c>
      <c r="G578" s="64" t="s">
        <v>352</v>
      </c>
      <c r="H578" s="70"/>
      <c r="BA578" s="132" t="s">
        <v>15</v>
      </c>
      <c r="BB578" s="4">
        <v>0</v>
      </c>
      <c r="BC578">
        <v>0</v>
      </c>
    </row>
    <row r="579" spans="1:55" x14ac:dyDescent="0.3">
      <c r="A579" s="63">
        <v>1</v>
      </c>
      <c r="B579" s="65">
        <v>45663</v>
      </c>
      <c r="C579" s="63">
        <v>3</v>
      </c>
      <c r="D579" s="38" t="s">
        <v>180</v>
      </c>
      <c r="E579" s="23" t="s">
        <v>132</v>
      </c>
      <c r="F579" s="39">
        <v>494.11500000000001</v>
      </c>
      <c r="G579" s="64" t="s">
        <v>352</v>
      </c>
      <c r="H579" s="70"/>
      <c r="BA579" s="132" t="s">
        <v>15</v>
      </c>
      <c r="BB579" s="4">
        <v>0</v>
      </c>
      <c r="BC579">
        <v>0</v>
      </c>
    </row>
    <row r="580" spans="1:55" x14ac:dyDescent="0.3">
      <c r="A580" s="63">
        <v>2</v>
      </c>
      <c r="B580" s="65">
        <v>45670</v>
      </c>
      <c r="C580" s="63">
        <v>3</v>
      </c>
      <c r="D580" s="38" t="s">
        <v>180</v>
      </c>
      <c r="E580" s="23" t="s">
        <v>132</v>
      </c>
      <c r="F580" s="39">
        <v>497.02190000000002</v>
      </c>
      <c r="G580" s="64" t="s">
        <v>352</v>
      </c>
      <c r="H580" s="70"/>
      <c r="BA580" s="132" t="s">
        <v>15</v>
      </c>
      <c r="BB580" s="4">
        <v>0</v>
      </c>
      <c r="BC580">
        <v>0</v>
      </c>
    </row>
    <row r="581" spans="1:55" x14ac:dyDescent="0.3">
      <c r="A581" s="63">
        <v>3</v>
      </c>
      <c r="B581" s="65">
        <v>45677</v>
      </c>
      <c r="C581" s="63">
        <v>3</v>
      </c>
      <c r="D581" s="38" t="s">
        <v>180</v>
      </c>
      <c r="E581" s="23" t="s">
        <v>132</v>
      </c>
      <c r="F581" s="39">
        <v>506.8458</v>
      </c>
      <c r="G581" s="64" t="s">
        <v>352</v>
      </c>
      <c r="H581" s="70"/>
      <c r="BA581" s="132" t="s">
        <v>15</v>
      </c>
      <c r="BB581" s="4">
        <v>0</v>
      </c>
      <c r="BC581">
        <v>0</v>
      </c>
    </row>
    <row r="582" spans="1:55" x14ac:dyDescent="0.3">
      <c r="A582" s="63">
        <v>4</v>
      </c>
      <c r="B582" s="65">
        <v>45684</v>
      </c>
      <c r="C582" s="63">
        <v>3</v>
      </c>
      <c r="D582" s="38" t="s">
        <v>180</v>
      </c>
      <c r="E582" s="23" t="s">
        <v>132</v>
      </c>
      <c r="F582" s="39">
        <v>535.17560000000003</v>
      </c>
      <c r="G582" s="64" t="s">
        <v>352</v>
      </c>
      <c r="H582" s="70"/>
      <c r="BA582" s="132" t="s">
        <v>15</v>
      </c>
      <c r="BB582" s="4">
        <v>0</v>
      </c>
      <c r="BC582">
        <v>0</v>
      </c>
    </row>
    <row r="583" spans="1:55" x14ac:dyDescent="0.3">
      <c r="A583" s="63">
        <v>5</v>
      </c>
      <c r="B583" s="65">
        <v>45691</v>
      </c>
      <c r="C583" s="63">
        <v>3</v>
      </c>
      <c r="D583" s="38" t="s">
        <v>180</v>
      </c>
      <c r="E583" s="23" t="s">
        <v>132</v>
      </c>
      <c r="F583" s="39">
        <v>510.76830000000001</v>
      </c>
      <c r="G583" s="64" t="s">
        <v>352</v>
      </c>
      <c r="H583" s="70"/>
      <c r="BA583" s="132" t="s">
        <v>15</v>
      </c>
      <c r="BB583" s="4">
        <v>0</v>
      </c>
      <c r="BC583">
        <v>0</v>
      </c>
    </row>
    <row r="584" spans="1:55" x14ac:dyDescent="0.3">
      <c r="A584" s="63">
        <v>6</v>
      </c>
      <c r="B584" s="65">
        <v>45698</v>
      </c>
      <c r="C584" s="63">
        <v>3</v>
      </c>
      <c r="D584" s="38" t="s">
        <v>180</v>
      </c>
      <c r="E584" s="23" t="s">
        <v>132</v>
      </c>
      <c r="F584" s="39">
        <v>520.30050000000006</v>
      </c>
      <c r="G584" s="64" t="s">
        <v>352</v>
      </c>
      <c r="H584" s="70"/>
      <c r="BA584" s="132" t="s">
        <v>15</v>
      </c>
      <c r="BB584" s="4">
        <v>0</v>
      </c>
      <c r="BC584">
        <v>0</v>
      </c>
    </row>
    <row r="585" spans="1:55" x14ac:dyDescent="0.3">
      <c r="A585" s="63">
        <v>7</v>
      </c>
      <c r="B585" s="65">
        <v>45705</v>
      </c>
      <c r="C585" s="63">
        <v>3</v>
      </c>
      <c r="D585" s="38" t="s">
        <v>180</v>
      </c>
      <c r="E585" s="23" t="s">
        <v>132</v>
      </c>
      <c r="F585" s="39">
        <v>542.23559999999998</v>
      </c>
      <c r="G585" s="64" t="s">
        <v>352</v>
      </c>
      <c r="H585" s="70"/>
      <c r="BA585" s="132" t="s">
        <v>15</v>
      </c>
      <c r="BB585" s="4">
        <v>0</v>
      </c>
      <c r="BC585">
        <v>0</v>
      </c>
    </row>
    <row r="586" spans="1:55" x14ac:dyDescent="0.3">
      <c r="A586" s="63">
        <v>8</v>
      </c>
      <c r="B586" s="65">
        <v>45712</v>
      </c>
      <c r="C586" s="63">
        <v>3</v>
      </c>
      <c r="D586" s="38" t="s">
        <v>180</v>
      </c>
      <c r="E586" s="23" t="s">
        <v>132</v>
      </c>
      <c r="F586" s="39">
        <v>539.94939999999997</v>
      </c>
      <c r="G586" s="64" t="s">
        <v>352</v>
      </c>
      <c r="H586" s="70"/>
      <c r="BA586" s="132" t="s">
        <v>15</v>
      </c>
      <c r="BB586" s="4">
        <v>0</v>
      </c>
      <c r="BC586">
        <v>0</v>
      </c>
    </row>
    <row r="587" spans="1:55" x14ac:dyDescent="0.3">
      <c r="A587" s="63">
        <v>9</v>
      </c>
      <c r="B587" s="65">
        <v>45719</v>
      </c>
      <c r="C587" s="63">
        <v>3</v>
      </c>
      <c r="D587" s="38" t="s">
        <v>180</v>
      </c>
      <c r="E587" s="23" t="s">
        <v>132</v>
      </c>
      <c r="F587" s="39">
        <v>514.74090000000001</v>
      </c>
      <c r="G587" s="64" t="s">
        <v>352</v>
      </c>
      <c r="H587" s="70"/>
      <c r="BA587" s="132" t="s">
        <v>15</v>
      </c>
      <c r="BB587" s="4">
        <v>0</v>
      </c>
      <c r="BC587">
        <v>0</v>
      </c>
    </row>
    <row r="588" spans="1:55" x14ac:dyDescent="0.3">
      <c r="A588" s="63">
        <v>10</v>
      </c>
      <c r="B588" s="65">
        <v>45726</v>
      </c>
      <c r="C588" s="63">
        <v>3</v>
      </c>
      <c r="D588" s="38" t="s">
        <v>180</v>
      </c>
      <c r="E588" s="23" t="s">
        <v>132</v>
      </c>
      <c r="F588" s="39">
        <v>512.68889999999999</v>
      </c>
      <c r="G588" s="64" t="s">
        <v>352</v>
      </c>
      <c r="H588" s="70"/>
      <c r="BA588" s="132" t="s">
        <v>15</v>
      </c>
      <c r="BB588" s="4">
        <v>0</v>
      </c>
      <c r="BC588">
        <v>0</v>
      </c>
    </row>
    <row r="589" spans="1:55" x14ac:dyDescent="0.3">
      <c r="A589" s="63">
        <v>11</v>
      </c>
      <c r="B589" s="65">
        <v>45733</v>
      </c>
      <c r="C589" s="63">
        <v>3</v>
      </c>
      <c r="D589" s="38" t="s">
        <v>180</v>
      </c>
      <c r="E589" s="23" t="s">
        <v>132</v>
      </c>
      <c r="F589" s="39">
        <v>497.55020000000002</v>
      </c>
      <c r="G589" s="64" t="s">
        <v>352</v>
      </c>
      <c r="H589" s="70"/>
      <c r="BA589" s="132" t="s">
        <v>15</v>
      </c>
      <c r="BB589" s="4">
        <v>0</v>
      </c>
      <c r="BC589">
        <v>0</v>
      </c>
    </row>
    <row r="590" spans="1:55" x14ac:dyDescent="0.3">
      <c r="A590" s="63">
        <v>12</v>
      </c>
      <c r="B590" s="65">
        <v>45740</v>
      </c>
      <c r="C590" s="63">
        <v>3</v>
      </c>
      <c r="D590" s="38" t="s">
        <v>180</v>
      </c>
      <c r="E590" s="23" t="s">
        <v>132</v>
      </c>
      <c r="F590" s="39">
        <v>505.9622</v>
      </c>
      <c r="G590" s="64" t="s">
        <v>352</v>
      </c>
      <c r="H590" s="70"/>
      <c r="BA590" s="132" t="s">
        <v>15</v>
      </c>
      <c r="BB590" s="4">
        <v>0</v>
      </c>
      <c r="BC590">
        <v>0</v>
      </c>
    </row>
    <row r="591" spans="1:55" x14ac:dyDescent="0.3">
      <c r="A591" s="63">
        <v>13</v>
      </c>
      <c r="B591" s="65">
        <v>45747</v>
      </c>
      <c r="C591" s="63">
        <v>3</v>
      </c>
      <c r="D591" s="38" t="s">
        <v>180</v>
      </c>
      <c r="E591" s="23" t="s">
        <v>132</v>
      </c>
      <c r="F591" s="39">
        <v>522.59299999999996</v>
      </c>
      <c r="G591" s="64" t="s">
        <v>352</v>
      </c>
      <c r="H591" s="70"/>
      <c r="BA591" s="132" t="s">
        <v>15</v>
      </c>
      <c r="BB591" s="4">
        <v>0</v>
      </c>
      <c r="BC591">
        <v>0</v>
      </c>
    </row>
    <row r="592" spans="1:55" x14ac:dyDescent="0.3">
      <c r="A592" s="63">
        <v>14</v>
      </c>
      <c r="B592" s="65">
        <v>45754</v>
      </c>
      <c r="C592" s="63">
        <v>3</v>
      </c>
      <c r="D592" s="38" t="s">
        <v>180</v>
      </c>
      <c r="E592" s="23" t="s">
        <v>132</v>
      </c>
      <c r="F592" s="39">
        <v>522.15300000000002</v>
      </c>
      <c r="G592" s="64" t="s">
        <v>352</v>
      </c>
      <c r="H592" s="70"/>
      <c r="BA592" s="132" t="s">
        <v>15</v>
      </c>
      <c r="BB592" s="4">
        <v>0</v>
      </c>
      <c r="BC592">
        <v>0</v>
      </c>
    </row>
    <row r="593" spans="1:55" x14ac:dyDescent="0.3">
      <c r="A593" s="63">
        <v>15</v>
      </c>
      <c r="B593" s="65">
        <v>45761</v>
      </c>
      <c r="C593" s="63">
        <v>3</v>
      </c>
      <c r="D593" s="38" t="s">
        <v>180</v>
      </c>
      <c r="E593" s="23" t="s">
        <v>132</v>
      </c>
      <c r="F593" s="39">
        <v>517.91309999999999</v>
      </c>
      <c r="G593" s="64" t="s">
        <v>352</v>
      </c>
      <c r="H593" s="70"/>
      <c r="BA593" s="132" t="s">
        <v>15</v>
      </c>
      <c r="BB593" s="4">
        <v>0</v>
      </c>
      <c r="BC593">
        <v>0</v>
      </c>
    </row>
    <row r="594" spans="1:55" x14ac:dyDescent="0.3">
      <c r="A594" s="63">
        <v>16</v>
      </c>
      <c r="B594" s="65">
        <v>45768</v>
      </c>
      <c r="C594" s="63">
        <v>3</v>
      </c>
      <c r="D594" s="38" t="s">
        <v>180</v>
      </c>
      <c r="E594" s="23" t="s">
        <v>132</v>
      </c>
      <c r="F594" s="39">
        <v>531.05010000000004</v>
      </c>
      <c r="G594" s="64" t="s">
        <v>352</v>
      </c>
      <c r="H594" s="70"/>
      <c r="BA594" s="132" t="s">
        <v>15</v>
      </c>
      <c r="BB594" s="4">
        <v>0</v>
      </c>
      <c r="BC594">
        <v>0</v>
      </c>
    </row>
    <row r="595" spans="1:55" x14ac:dyDescent="0.3">
      <c r="A595" s="63">
        <v>17</v>
      </c>
      <c r="B595" s="65">
        <v>45775</v>
      </c>
      <c r="C595" s="63">
        <v>3</v>
      </c>
      <c r="D595" s="38" t="s">
        <v>180</v>
      </c>
      <c r="E595" s="23" t="s">
        <v>132</v>
      </c>
      <c r="F595" s="39">
        <v>504.80509999999998</v>
      </c>
      <c r="G595" s="64" t="s">
        <v>352</v>
      </c>
      <c r="H595" s="70"/>
      <c r="BA595" s="132" t="s">
        <v>15</v>
      </c>
      <c r="BB595" s="4">
        <v>0</v>
      </c>
      <c r="BC595">
        <v>0</v>
      </c>
    </row>
    <row r="596" spans="1:55" x14ac:dyDescent="0.3">
      <c r="A596" s="63">
        <v>18</v>
      </c>
      <c r="B596" s="65">
        <v>45782</v>
      </c>
      <c r="C596" s="63">
        <v>3</v>
      </c>
      <c r="D596" s="38" t="s">
        <v>180</v>
      </c>
      <c r="E596" s="23" t="s">
        <v>132</v>
      </c>
      <c r="F596" s="39">
        <v>515.44299999999998</v>
      </c>
      <c r="G596" s="64" t="s">
        <v>352</v>
      </c>
      <c r="H596" s="70"/>
      <c r="BA596" s="132" t="s">
        <v>15</v>
      </c>
      <c r="BB596" s="4">
        <v>0</v>
      </c>
      <c r="BC596">
        <v>0</v>
      </c>
    </row>
    <row r="597" spans="1:55" x14ac:dyDescent="0.3">
      <c r="A597" s="63">
        <v>19</v>
      </c>
      <c r="B597" s="65">
        <v>45789</v>
      </c>
      <c r="C597" s="63">
        <v>3</v>
      </c>
      <c r="D597" s="38" t="s">
        <v>180</v>
      </c>
      <c r="E597" s="23" t="s">
        <v>132</v>
      </c>
      <c r="F597" s="39">
        <v>527.13580000000002</v>
      </c>
      <c r="G597" s="64" t="s">
        <v>352</v>
      </c>
      <c r="H597" s="70"/>
      <c r="BA597" s="132" t="s">
        <v>15</v>
      </c>
      <c r="BB597" s="4">
        <v>0</v>
      </c>
      <c r="BC597">
        <v>0</v>
      </c>
    </row>
    <row r="598" spans="1:55" x14ac:dyDescent="0.3">
      <c r="A598" s="63">
        <v>20</v>
      </c>
      <c r="B598" s="65">
        <v>45796</v>
      </c>
      <c r="C598" s="63">
        <v>3</v>
      </c>
      <c r="D598" s="38" t="s">
        <v>180</v>
      </c>
      <c r="E598" s="23" t="s">
        <v>132</v>
      </c>
      <c r="F598" s="39">
        <v>524.95119999999997</v>
      </c>
      <c r="G598" s="64" t="s">
        <v>352</v>
      </c>
      <c r="H598" s="70"/>
      <c r="BA598" s="132" t="s">
        <v>15</v>
      </c>
      <c r="BB598" s="4">
        <v>0</v>
      </c>
      <c r="BC598">
        <v>0</v>
      </c>
    </row>
    <row r="599" spans="1:55" x14ac:dyDescent="0.3">
      <c r="A599" s="63">
        <v>21</v>
      </c>
      <c r="B599" s="65">
        <v>45803</v>
      </c>
      <c r="C599" s="63">
        <v>3</v>
      </c>
      <c r="D599" s="38" t="s">
        <v>180</v>
      </c>
      <c r="E599" s="23" t="s">
        <v>132</v>
      </c>
      <c r="F599" s="39">
        <v>532.18089999999995</v>
      </c>
      <c r="G599" s="64" t="s">
        <v>352</v>
      </c>
      <c r="H599" s="70"/>
      <c r="BA599" s="132" t="s">
        <v>15</v>
      </c>
      <c r="BB599" s="4">
        <v>0</v>
      </c>
      <c r="BC599">
        <v>0</v>
      </c>
    </row>
    <row r="600" spans="1:55" x14ac:dyDescent="0.3">
      <c r="A600" s="63">
        <v>22</v>
      </c>
      <c r="B600" s="65">
        <v>45810</v>
      </c>
      <c r="C600" s="63">
        <v>3</v>
      </c>
      <c r="D600" s="38" t="s">
        <v>180</v>
      </c>
      <c r="E600" s="23" t="s">
        <v>132</v>
      </c>
      <c r="F600" s="39">
        <v>522.17219999999998</v>
      </c>
      <c r="G600" s="64" t="s">
        <v>352</v>
      </c>
      <c r="H600" s="70"/>
      <c r="BA600" s="132" t="s">
        <v>15</v>
      </c>
      <c r="BB600" s="4">
        <v>0</v>
      </c>
      <c r="BC600">
        <v>0</v>
      </c>
    </row>
    <row r="601" spans="1:55" x14ac:dyDescent="0.3">
      <c r="A601" s="63">
        <v>23</v>
      </c>
      <c r="B601" s="65">
        <v>45817</v>
      </c>
      <c r="C601" s="63">
        <v>3</v>
      </c>
      <c r="D601" s="38" t="s">
        <v>180</v>
      </c>
      <c r="E601" s="23" t="s">
        <v>132</v>
      </c>
      <c r="F601" s="39">
        <v>511.68079999999998</v>
      </c>
      <c r="G601" s="64" t="s">
        <v>352</v>
      </c>
      <c r="H601" s="70"/>
      <c r="BA601" s="132" t="s">
        <v>15</v>
      </c>
      <c r="BB601" s="4">
        <v>0</v>
      </c>
      <c r="BC601">
        <v>0</v>
      </c>
    </row>
    <row r="602" spans="1:55" x14ac:dyDescent="0.3">
      <c r="A602" s="63">
        <v>24</v>
      </c>
      <c r="B602" s="65">
        <v>45824</v>
      </c>
      <c r="C602" s="63">
        <v>3</v>
      </c>
      <c r="D602" s="38" t="s">
        <v>180</v>
      </c>
      <c r="E602" s="23" t="s">
        <v>132</v>
      </c>
      <c r="F602" s="39">
        <v>521.6549</v>
      </c>
      <c r="G602" s="64" t="s">
        <v>352</v>
      </c>
      <c r="H602" s="70"/>
      <c r="BA602" s="132" t="s">
        <v>15</v>
      </c>
      <c r="BB602" s="4">
        <v>0</v>
      </c>
      <c r="BC602">
        <v>0</v>
      </c>
    </row>
    <row r="603" spans="1:55" x14ac:dyDescent="0.3">
      <c r="A603" s="63">
        <v>25</v>
      </c>
      <c r="B603" s="65">
        <v>45831</v>
      </c>
      <c r="C603" s="63">
        <v>3</v>
      </c>
      <c r="D603" s="38" t="s">
        <v>180</v>
      </c>
      <c r="E603" s="23" t="s">
        <v>132</v>
      </c>
      <c r="F603" s="39">
        <v>501.38589999999999</v>
      </c>
      <c r="G603" s="64" t="s">
        <v>352</v>
      </c>
      <c r="H603" s="70"/>
      <c r="BA603" s="132" t="s">
        <v>15</v>
      </c>
      <c r="BB603" s="4">
        <v>0</v>
      </c>
      <c r="BC603">
        <v>0</v>
      </c>
    </row>
    <row r="604" spans="1:55" x14ac:dyDescent="0.3">
      <c r="A604" s="63">
        <v>1</v>
      </c>
      <c r="B604" s="65">
        <v>45663</v>
      </c>
      <c r="C604" s="63">
        <v>1</v>
      </c>
      <c r="D604" s="38" t="s">
        <v>178</v>
      </c>
      <c r="E604" s="23" t="s">
        <v>138</v>
      </c>
      <c r="F604" s="39">
        <v>1.1572</v>
      </c>
      <c r="G604" s="64" t="s">
        <v>352</v>
      </c>
      <c r="H604" s="70"/>
      <c r="BA604" s="132" t="s">
        <v>15</v>
      </c>
      <c r="BB604" s="4">
        <v>1</v>
      </c>
      <c r="BC604">
        <v>0</v>
      </c>
    </row>
    <row r="605" spans="1:55" x14ac:dyDescent="0.3">
      <c r="A605" s="63">
        <v>2</v>
      </c>
      <c r="B605" s="65">
        <v>45670</v>
      </c>
      <c r="C605" s="63">
        <v>1</v>
      </c>
      <c r="D605" s="38" t="s">
        <v>178</v>
      </c>
      <c r="E605" s="23" t="s">
        <v>138</v>
      </c>
      <c r="F605" s="39">
        <v>1.2413000000000001</v>
      </c>
      <c r="G605" s="64" t="s">
        <v>352</v>
      </c>
      <c r="H605" s="70"/>
      <c r="BA605" s="132" t="s">
        <v>15</v>
      </c>
      <c r="BB605" s="4">
        <v>1</v>
      </c>
      <c r="BC605">
        <v>0</v>
      </c>
    </row>
    <row r="606" spans="1:55" x14ac:dyDescent="0.3">
      <c r="A606" s="63">
        <v>3</v>
      </c>
      <c r="B606" s="65">
        <v>45677</v>
      </c>
      <c r="C606" s="63">
        <v>1</v>
      </c>
      <c r="D606" s="38" t="s">
        <v>178</v>
      </c>
      <c r="E606" s="23" t="s">
        <v>138</v>
      </c>
      <c r="F606" s="39">
        <v>1.2172000000000001</v>
      </c>
      <c r="G606" s="64" t="s">
        <v>352</v>
      </c>
      <c r="H606" s="70"/>
      <c r="BA606" s="132" t="s">
        <v>15</v>
      </c>
      <c r="BB606" s="4">
        <v>1</v>
      </c>
      <c r="BC606">
        <v>0</v>
      </c>
    </row>
    <row r="607" spans="1:55" x14ac:dyDescent="0.3">
      <c r="A607" s="63">
        <v>4</v>
      </c>
      <c r="B607" s="65">
        <v>45684</v>
      </c>
      <c r="C607" s="63">
        <v>1</v>
      </c>
      <c r="D607" s="38" t="s">
        <v>178</v>
      </c>
      <c r="E607" s="23" t="s">
        <v>138</v>
      </c>
      <c r="F607" s="39">
        <v>1.2310000000000001</v>
      </c>
      <c r="G607" s="64" t="s">
        <v>352</v>
      </c>
      <c r="H607" s="70"/>
      <c r="BA607" s="132" t="s">
        <v>15</v>
      </c>
      <c r="BB607" s="4">
        <v>1</v>
      </c>
      <c r="BC607">
        <v>0</v>
      </c>
    </row>
    <row r="608" spans="1:55" x14ac:dyDescent="0.3">
      <c r="A608" s="63">
        <v>5</v>
      </c>
      <c r="B608" s="65">
        <v>45691</v>
      </c>
      <c r="C608" s="63">
        <v>1</v>
      </c>
      <c r="D608" s="38" t="s">
        <v>178</v>
      </c>
      <c r="E608" s="23" t="s">
        <v>138</v>
      </c>
      <c r="F608" s="39">
        <v>1.155</v>
      </c>
      <c r="G608" s="64" t="s">
        <v>352</v>
      </c>
      <c r="H608" s="70"/>
      <c r="BA608" s="132" t="s">
        <v>15</v>
      </c>
      <c r="BB608" s="4">
        <v>1</v>
      </c>
      <c r="BC608">
        <v>0</v>
      </c>
    </row>
    <row r="609" spans="1:55" x14ac:dyDescent="0.3">
      <c r="A609" s="63">
        <v>6</v>
      </c>
      <c r="B609" s="65">
        <v>45698</v>
      </c>
      <c r="C609" s="63">
        <v>1</v>
      </c>
      <c r="D609" s="38" t="s">
        <v>178</v>
      </c>
      <c r="E609" s="23" t="s">
        <v>138</v>
      </c>
      <c r="F609" s="39">
        <v>1.2055</v>
      </c>
      <c r="G609" s="64" t="s">
        <v>352</v>
      </c>
      <c r="H609" s="70"/>
      <c r="BA609" s="132" t="s">
        <v>15</v>
      </c>
      <c r="BB609" s="4">
        <v>1</v>
      </c>
      <c r="BC609">
        <v>0</v>
      </c>
    </row>
    <row r="610" spans="1:55" x14ac:dyDescent="0.3">
      <c r="A610" s="63">
        <v>7</v>
      </c>
      <c r="B610" s="65">
        <v>45705</v>
      </c>
      <c r="C610" s="63">
        <v>1</v>
      </c>
      <c r="D610" s="38" t="s">
        <v>178</v>
      </c>
      <c r="E610" s="23" t="s">
        <v>138</v>
      </c>
      <c r="F610" s="39">
        <v>1.1966000000000001</v>
      </c>
      <c r="G610" s="64" t="s">
        <v>352</v>
      </c>
      <c r="H610" s="70"/>
      <c r="BA610" s="132" t="s">
        <v>15</v>
      </c>
      <c r="BB610" s="4">
        <v>1</v>
      </c>
      <c r="BC610">
        <v>0</v>
      </c>
    </row>
    <row r="611" spans="1:55" x14ac:dyDescent="0.3">
      <c r="A611" s="63">
        <v>8</v>
      </c>
      <c r="B611" s="65">
        <v>45712</v>
      </c>
      <c r="C611" s="63">
        <v>1</v>
      </c>
      <c r="D611" s="38" t="s">
        <v>178</v>
      </c>
      <c r="E611" s="23" t="s">
        <v>138</v>
      </c>
      <c r="F611" s="39">
        <v>1.1866000000000001</v>
      </c>
      <c r="G611" s="64" t="s">
        <v>352</v>
      </c>
      <c r="H611" s="70"/>
      <c r="BA611" s="132" t="s">
        <v>15</v>
      </c>
      <c r="BB611" s="4">
        <v>1</v>
      </c>
      <c r="BC611">
        <v>0</v>
      </c>
    </row>
    <row r="612" spans="1:55" x14ac:dyDescent="0.3">
      <c r="A612" s="63">
        <v>9</v>
      </c>
      <c r="B612" s="65">
        <v>45719</v>
      </c>
      <c r="C612" s="63">
        <v>1</v>
      </c>
      <c r="D612" s="38" t="s">
        <v>178</v>
      </c>
      <c r="E612" s="23" t="s">
        <v>138</v>
      </c>
      <c r="F612" s="39">
        <v>1.1338999999999999</v>
      </c>
      <c r="G612" s="64" t="s">
        <v>352</v>
      </c>
      <c r="H612" s="70"/>
      <c r="BA612" s="132" t="s">
        <v>15</v>
      </c>
      <c r="BB612" s="4">
        <v>1</v>
      </c>
      <c r="BC612">
        <v>0</v>
      </c>
    </row>
    <row r="613" spans="1:55" x14ac:dyDescent="0.3">
      <c r="A613" s="63">
        <v>10</v>
      </c>
      <c r="B613" s="65">
        <v>45726</v>
      </c>
      <c r="C613" s="63">
        <v>1</v>
      </c>
      <c r="D613" s="38" t="s">
        <v>178</v>
      </c>
      <c r="E613" s="23" t="s">
        <v>138</v>
      </c>
      <c r="F613" s="39">
        <v>1.2065999999999999</v>
      </c>
      <c r="G613" s="64" t="s">
        <v>352</v>
      </c>
      <c r="H613" s="70"/>
      <c r="BA613" s="132" t="s">
        <v>15</v>
      </c>
      <c r="BB613" s="4">
        <v>1</v>
      </c>
      <c r="BC613">
        <v>0</v>
      </c>
    </row>
    <row r="614" spans="1:55" x14ac:dyDescent="0.3">
      <c r="A614" s="63">
        <v>11</v>
      </c>
      <c r="B614" s="65">
        <v>45733</v>
      </c>
      <c r="C614" s="63">
        <v>1</v>
      </c>
      <c r="D614" s="38" t="s">
        <v>178</v>
      </c>
      <c r="E614" s="23" t="s">
        <v>138</v>
      </c>
      <c r="F614" s="39">
        <v>1.2533000000000001</v>
      </c>
      <c r="G614" s="64" t="s">
        <v>352</v>
      </c>
      <c r="H614" s="70"/>
      <c r="BA614" s="132" t="s">
        <v>15</v>
      </c>
      <c r="BB614" s="4">
        <v>1</v>
      </c>
      <c r="BC614">
        <v>0</v>
      </c>
    </row>
    <row r="615" spans="1:55" x14ac:dyDescent="0.3">
      <c r="A615" s="63">
        <v>12</v>
      </c>
      <c r="B615" s="65">
        <v>45740</v>
      </c>
      <c r="C615" s="63">
        <v>1</v>
      </c>
      <c r="D615" s="38" t="s">
        <v>178</v>
      </c>
      <c r="E615" s="23" t="s">
        <v>138</v>
      </c>
      <c r="F615" s="39">
        <v>1.2337</v>
      </c>
      <c r="G615" s="64" t="s">
        <v>352</v>
      </c>
      <c r="H615" s="70"/>
      <c r="BA615" s="132" t="s">
        <v>15</v>
      </c>
      <c r="BB615" s="4">
        <v>1</v>
      </c>
      <c r="BC615">
        <v>0</v>
      </c>
    </row>
    <row r="616" spans="1:55" x14ac:dyDescent="0.3">
      <c r="A616" s="63">
        <v>13</v>
      </c>
      <c r="B616" s="65">
        <v>45747</v>
      </c>
      <c r="C616" s="63">
        <v>1</v>
      </c>
      <c r="D616" s="38" t="s">
        <v>178</v>
      </c>
      <c r="E616" s="23" t="s">
        <v>138</v>
      </c>
      <c r="F616" s="39">
        <v>1.1964999999999999</v>
      </c>
      <c r="G616" s="64" t="s">
        <v>352</v>
      </c>
      <c r="H616" s="70"/>
      <c r="BA616" s="132" t="s">
        <v>15</v>
      </c>
      <c r="BB616" s="4">
        <v>1</v>
      </c>
      <c r="BC616">
        <v>0</v>
      </c>
    </row>
    <row r="617" spans="1:55" x14ac:dyDescent="0.3">
      <c r="A617" s="63">
        <v>14</v>
      </c>
      <c r="B617" s="65">
        <v>45754</v>
      </c>
      <c r="C617" s="63">
        <v>1</v>
      </c>
      <c r="D617" s="38" t="s">
        <v>178</v>
      </c>
      <c r="E617" s="23" t="s">
        <v>138</v>
      </c>
      <c r="F617" s="39">
        <v>1.2186999999999999</v>
      </c>
      <c r="G617" s="64" t="s">
        <v>352</v>
      </c>
      <c r="H617" s="70"/>
      <c r="BA617" s="132" t="s">
        <v>15</v>
      </c>
      <c r="BB617" s="4">
        <v>1</v>
      </c>
      <c r="BC617">
        <v>0</v>
      </c>
    </row>
    <row r="618" spans="1:55" x14ac:dyDescent="0.3">
      <c r="A618" s="63">
        <v>15</v>
      </c>
      <c r="B618" s="65">
        <v>45761</v>
      </c>
      <c r="C618" s="63">
        <v>1</v>
      </c>
      <c r="D618" s="38" t="s">
        <v>178</v>
      </c>
      <c r="E618" s="23" t="s">
        <v>138</v>
      </c>
      <c r="F618" s="39">
        <v>1.248</v>
      </c>
      <c r="G618" s="64" t="s">
        <v>352</v>
      </c>
      <c r="H618" s="70"/>
      <c r="BA618" s="132" t="s">
        <v>15</v>
      </c>
      <c r="BB618" s="4">
        <v>1</v>
      </c>
      <c r="BC618">
        <v>0</v>
      </c>
    </row>
    <row r="619" spans="1:55" x14ac:dyDescent="0.3">
      <c r="A619" s="63">
        <v>16</v>
      </c>
      <c r="B619" s="65">
        <v>45768</v>
      </c>
      <c r="C619" s="63">
        <v>1</v>
      </c>
      <c r="D619" s="38" t="s">
        <v>178</v>
      </c>
      <c r="E619" s="23" t="s">
        <v>138</v>
      </c>
      <c r="F619" s="39">
        <v>1.1147</v>
      </c>
      <c r="G619" s="64" t="s">
        <v>352</v>
      </c>
      <c r="H619" s="70"/>
      <c r="BA619" s="132" t="s">
        <v>15</v>
      </c>
      <c r="BB619" s="4">
        <v>1</v>
      </c>
      <c r="BC619">
        <v>0</v>
      </c>
    </row>
    <row r="620" spans="1:55" x14ac:dyDescent="0.3">
      <c r="A620" s="63">
        <v>17</v>
      </c>
      <c r="B620" s="65">
        <v>45775</v>
      </c>
      <c r="C620" s="63">
        <v>1</v>
      </c>
      <c r="D620" s="38" t="s">
        <v>178</v>
      </c>
      <c r="E620" s="23" t="s">
        <v>138</v>
      </c>
      <c r="F620" s="39">
        <v>1.2145999999999999</v>
      </c>
      <c r="G620" s="64" t="s">
        <v>352</v>
      </c>
      <c r="H620" s="70"/>
      <c r="BA620" s="132" t="s">
        <v>15</v>
      </c>
      <c r="BB620" s="4">
        <v>1</v>
      </c>
      <c r="BC620">
        <v>0</v>
      </c>
    </row>
    <row r="621" spans="1:55" x14ac:dyDescent="0.3">
      <c r="A621" s="63">
        <v>18</v>
      </c>
      <c r="B621" s="65">
        <v>45782</v>
      </c>
      <c r="C621" s="63">
        <v>1</v>
      </c>
      <c r="D621" s="38" t="s">
        <v>178</v>
      </c>
      <c r="E621" s="23" t="s">
        <v>138</v>
      </c>
      <c r="F621" s="39">
        <v>1.2399</v>
      </c>
      <c r="G621" s="64" t="s">
        <v>352</v>
      </c>
      <c r="H621" s="70"/>
      <c r="BA621" s="132" t="s">
        <v>15</v>
      </c>
      <c r="BB621" s="4">
        <v>1</v>
      </c>
      <c r="BC621">
        <v>0</v>
      </c>
    </row>
    <row r="622" spans="1:55" x14ac:dyDescent="0.3">
      <c r="A622" s="63">
        <v>19</v>
      </c>
      <c r="B622" s="65">
        <v>45789</v>
      </c>
      <c r="C622" s="63">
        <v>1</v>
      </c>
      <c r="D622" s="38" t="s">
        <v>178</v>
      </c>
      <c r="E622" s="23" t="s">
        <v>138</v>
      </c>
      <c r="F622" s="39">
        <v>1.2452000000000001</v>
      </c>
      <c r="G622" s="64" t="s">
        <v>352</v>
      </c>
      <c r="H622" s="70"/>
      <c r="BA622" s="132" t="s">
        <v>15</v>
      </c>
      <c r="BB622" s="4">
        <v>1</v>
      </c>
      <c r="BC622">
        <v>0</v>
      </c>
    </row>
    <row r="623" spans="1:55" x14ac:dyDescent="0.3">
      <c r="A623" s="63">
        <v>20</v>
      </c>
      <c r="B623" s="65">
        <v>45796</v>
      </c>
      <c r="C623" s="63">
        <v>1</v>
      </c>
      <c r="D623" s="38" t="s">
        <v>178</v>
      </c>
      <c r="E623" s="23" t="s">
        <v>138</v>
      </c>
      <c r="F623" s="39">
        <v>1.2837000000000001</v>
      </c>
      <c r="G623" s="64" t="s">
        <v>352</v>
      </c>
      <c r="H623" s="70"/>
      <c r="BA623" s="132" t="s">
        <v>15</v>
      </c>
      <c r="BB623" s="4">
        <v>1</v>
      </c>
      <c r="BC623">
        <v>0</v>
      </c>
    </row>
    <row r="624" spans="1:55" x14ac:dyDescent="0.3">
      <c r="A624" s="63">
        <v>21</v>
      </c>
      <c r="B624" s="65">
        <v>45803</v>
      </c>
      <c r="C624" s="63">
        <v>1</v>
      </c>
      <c r="D624" s="38" t="s">
        <v>178</v>
      </c>
      <c r="E624" s="23" t="s">
        <v>138</v>
      </c>
      <c r="F624" s="39">
        <v>1.2623</v>
      </c>
      <c r="G624" s="64" t="s">
        <v>352</v>
      </c>
      <c r="H624" s="70"/>
      <c r="BA624" s="132" t="s">
        <v>15</v>
      </c>
      <c r="BB624" s="4">
        <v>1</v>
      </c>
      <c r="BC624">
        <v>0</v>
      </c>
    </row>
    <row r="625" spans="1:55" x14ac:dyDescent="0.3">
      <c r="A625" s="63">
        <v>22</v>
      </c>
      <c r="B625" s="65">
        <v>45810</v>
      </c>
      <c r="C625" s="63">
        <v>1</v>
      </c>
      <c r="D625" s="38" t="s">
        <v>178</v>
      </c>
      <c r="E625" s="23" t="s">
        <v>138</v>
      </c>
      <c r="F625" s="39">
        <v>1.2312000000000001</v>
      </c>
      <c r="G625" s="64" t="s">
        <v>352</v>
      </c>
      <c r="H625" s="70"/>
      <c r="BA625" s="132" t="s">
        <v>15</v>
      </c>
      <c r="BB625" s="4">
        <v>1</v>
      </c>
      <c r="BC625">
        <v>0</v>
      </c>
    </row>
    <row r="626" spans="1:55" x14ac:dyDescent="0.3">
      <c r="A626" s="63">
        <v>23</v>
      </c>
      <c r="B626" s="65">
        <v>45817</v>
      </c>
      <c r="C626" s="63">
        <v>1</v>
      </c>
      <c r="D626" s="38" t="s">
        <v>178</v>
      </c>
      <c r="E626" s="23" t="s">
        <v>138</v>
      </c>
      <c r="F626" s="39">
        <v>1.2307999999999999</v>
      </c>
      <c r="G626" s="64" t="s">
        <v>352</v>
      </c>
      <c r="H626" s="70"/>
      <c r="BA626" s="132" t="s">
        <v>15</v>
      </c>
      <c r="BB626" s="4">
        <v>1</v>
      </c>
      <c r="BC626">
        <v>0</v>
      </c>
    </row>
    <row r="627" spans="1:55" x14ac:dyDescent="0.3">
      <c r="A627" s="63">
        <v>24</v>
      </c>
      <c r="B627" s="65">
        <v>45824</v>
      </c>
      <c r="C627" s="63">
        <v>1</v>
      </c>
      <c r="D627" s="38" t="s">
        <v>178</v>
      </c>
      <c r="E627" s="23" t="s">
        <v>138</v>
      </c>
      <c r="F627" s="39">
        <v>1.2491000000000001</v>
      </c>
      <c r="G627" s="64" t="s">
        <v>352</v>
      </c>
      <c r="H627" s="70"/>
      <c r="BA627" s="132" t="s">
        <v>15</v>
      </c>
      <c r="BB627" s="4">
        <v>1</v>
      </c>
      <c r="BC627">
        <v>0</v>
      </c>
    </row>
    <row r="628" spans="1:55" x14ac:dyDescent="0.3">
      <c r="A628" s="63">
        <v>25</v>
      </c>
      <c r="B628" s="65">
        <v>45831</v>
      </c>
      <c r="C628" s="63">
        <v>1</v>
      </c>
      <c r="D628" s="38" t="s">
        <v>178</v>
      </c>
      <c r="E628" s="23" t="s">
        <v>138</v>
      </c>
      <c r="F628" s="39">
        <v>1.1989000000000001</v>
      </c>
      <c r="G628" s="64" t="s">
        <v>352</v>
      </c>
      <c r="H628" s="70"/>
      <c r="BA628" s="132" t="s">
        <v>15</v>
      </c>
      <c r="BB628" s="4">
        <v>1</v>
      </c>
      <c r="BC628">
        <v>0</v>
      </c>
    </row>
    <row r="629" spans="1:55" x14ac:dyDescent="0.3">
      <c r="A629" s="63">
        <v>1</v>
      </c>
      <c r="B629" s="65">
        <v>45663</v>
      </c>
      <c r="C629" s="63">
        <v>2</v>
      </c>
      <c r="D629" s="38" t="s">
        <v>179</v>
      </c>
      <c r="E629" s="23" t="s">
        <v>138</v>
      </c>
      <c r="F629" s="39">
        <v>2.9714</v>
      </c>
      <c r="G629" s="64" t="s">
        <v>352</v>
      </c>
      <c r="H629" s="70"/>
      <c r="BA629" s="132" t="s">
        <v>15</v>
      </c>
      <c r="BB629" s="4">
        <v>0</v>
      </c>
      <c r="BC629">
        <v>0</v>
      </c>
    </row>
    <row r="630" spans="1:55" x14ac:dyDescent="0.3">
      <c r="A630" s="63">
        <v>2</v>
      </c>
      <c r="B630" s="65">
        <v>45670</v>
      </c>
      <c r="C630" s="63">
        <v>2</v>
      </c>
      <c r="D630" s="38" t="s">
        <v>179</v>
      </c>
      <c r="E630" s="23" t="s">
        <v>138</v>
      </c>
      <c r="F630" s="39">
        <v>3.0285000000000002</v>
      </c>
      <c r="G630" s="64" t="s">
        <v>352</v>
      </c>
      <c r="H630" s="70"/>
      <c r="BA630" s="132" t="s">
        <v>15</v>
      </c>
      <c r="BB630" s="4">
        <v>0</v>
      </c>
      <c r="BC630">
        <v>0</v>
      </c>
    </row>
    <row r="631" spans="1:55" x14ac:dyDescent="0.3">
      <c r="A631" s="63">
        <v>3</v>
      </c>
      <c r="B631" s="65">
        <v>45677</v>
      </c>
      <c r="C631" s="63">
        <v>2</v>
      </c>
      <c r="D631" s="38" t="s">
        <v>179</v>
      </c>
      <c r="E631" s="23" t="s">
        <v>138</v>
      </c>
      <c r="F631" s="39">
        <v>3.0920000000000001</v>
      </c>
      <c r="G631" s="64" t="s">
        <v>352</v>
      </c>
      <c r="H631" s="70"/>
      <c r="BA631" s="132" t="s">
        <v>15</v>
      </c>
      <c r="BB631" s="4">
        <v>0</v>
      </c>
      <c r="BC631">
        <v>0</v>
      </c>
    </row>
    <row r="632" spans="1:55" x14ac:dyDescent="0.3">
      <c r="A632" s="63">
        <v>4</v>
      </c>
      <c r="B632" s="65">
        <v>45684</v>
      </c>
      <c r="C632" s="63">
        <v>2</v>
      </c>
      <c r="D632" s="38" t="s">
        <v>179</v>
      </c>
      <c r="E632" s="23" t="s">
        <v>138</v>
      </c>
      <c r="F632" s="39">
        <v>2.9641999999999999</v>
      </c>
      <c r="G632" s="64" t="s">
        <v>352</v>
      </c>
      <c r="H632" s="70"/>
      <c r="BA632" s="132" t="s">
        <v>15</v>
      </c>
      <c r="BB632" s="4">
        <v>0</v>
      </c>
      <c r="BC632">
        <v>0</v>
      </c>
    </row>
    <row r="633" spans="1:55" x14ac:dyDescent="0.3">
      <c r="A633" s="63">
        <v>5</v>
      </c>
      <c r="B633" s="65">
        <v>45691</v>
      </c>
      <c r="C633" s="63">
        <v>2</v>
      </c>
      <c r="D633" s="38" t="s">
        <v>179</v>
      </c>
      <c r="E633" s="23" t="s">
        <v>138</v>
      </c>
      <c r="F633" s="39">
        <v>2.9708999999999999</v>
      </c>
      <c r="G633" s="64" t="s">
        <v>352</v>
      </c>
      <c r="H633" s="70"/>
      <c r="BA633" s="132" t="s">
        <v>15</v>
      </c>
      <c r="BB633" s="4">
        <v>0</v>
      </c>
      <c r="BC633">
        <v>0</v>
      </c>
    </row>
    <row r="634" spans="1:55" x14ac:dyDescent="0.3">
      <c r="A634" s="63">
        <v>6</v>
      </c>
      <c r="B634" s="65">
        <v>45698</v>
      </c>
      <c r="C634" s="63">
        <v>2</v>
      </c>
      <c r="D634" s="38" t="s">
        <v>179</v>
      </c>
      <c r="E634" s="23" t="s">
        <v>138</v>
      </c>
      <c r="F634" s="39">
        <v>2.9857999999999998</v>
      </c>
      <c r="G634" s="64" t="s">
        <v>352</v>
      </c>
      <c r="H634" s="70"/>
      <c r="BA634" s="132" t="s">
        <v>15</v>
      </c>
      <c r="BB634" s="4">
        <v>0</v>
      </c>
      <c r="BC634">
        <v>0</v>
      </c>
    </row>
    <row r="635" spans="1:55" x14ac:dyDescent="0.3">
      <c r="A635" s="63">
        <v>7</v>
      </c>
      <c r="B635" s="65">
        <v>45705</v>
      </c>
      <c r="C635" s="63">
        <v>2</v>
      </c>
      <c r="D635" s="38" t="s">
        <v>179</v>
      </c>
      <c r="E635" s="23" t="s">
        <v>138</v>
      </c>
      <c r="F635" s="39">
        <v>3.0548999999999999</v>
      </c>
      <c r="G635" s="64" t="s">
        <v>352</v>
      </c>
      <c r="H635" s="70"/>
      <c r="BA635" s="132" t="s">
        <v>15</v>
      </c>
      <c r="BB635" s="4">
        <v>0</v>
      </c>
      <c r="BC635">
        <v>0</v>
      </c>
    </row>
    <row r="636" spans="1:55" x14ac:dyDescent="0.3">
      <c r="A636" s="63">
        <v>8</v>
      </c>
      <c r="B636" s="65">
        <v>45712</v>
      </c>
      <c r="C636" s="63">
        <v>2</v>
      </c>
      <c r="D636" s="38" t="s">
        <v>179</v>
      </c>
      <c r="E636" s="23" t="s">
        <v>138</v>
      </c>
      <c r="F636" s="39">
        <v>2.972</v>
      </c>
      <c r="G636" s="64" t="s">
        <v>352</v>
      </c>
      <c r="H636" s="70"/>
      <c r="BA636" s="132" t="s">
        <v>15</v>
      </c>
      <c r="BB636" s="4">
        <v>0</v>
      </c>
      <c r="BC636">
        <v>0</v>
      </c>
    </row>
    <row r="637" spans="1:55" x14ac:dyDescent="0.3">
      <c r="A637" s="63">
        <v>9</v>
      </c>
      <c r="B637" s="65">
        <v>45719</v>
      </c>
      <c r="C637" s="63">
        <v>2</v>
      </c>
      <c r="D637" s="38" t="s">
        <v>179</v>
      </c>
      <c r="E637" s="23" t="s">
        <v>138</v>
      </c>
      <c r="F637" s="39">
        <v>3.0625</v>
      </c>
      <c r="G637" s="64" t="s">
        <v>352</v>
      </c>
      <c r="H637" s="70"/>
      <c r="BA637" s="132" t="s">
        <v>15</v>
      </c>
      <c r="BB637" s="4">
        <v>0</v>
      </c>
      <c r="BC637">
        <v>0</v>
      </c>
    </row>
    <row r="638" spans="1:55" x14ac:dyDescent="0.3">
      <c r="A638" s="63">
        <v>10</v>
      </c>
      <c r="B638" s="65">
        <v>45726</v>
      </c>
      <c r="C638" s="63">
        <v>2</v>
      </c>
      <c r="D638" s="38" t="s">
        <v>179</v>
      </c>
      <c r="E638" s="23" t="s">
        <v>138</v>
      </c>
      <c r="F638" s="39">
        <v>2.9154</v>
      </c>
      <c r="G638" s="64" t="s">
        <v>352</v>
      </c>
      <c r="H638" s="70"/>
      <c r="BA638" s="132" t="s">
        <v>15</v>
      </c>
      <c r="BB638" s="4">
        <v>0</v>
      </c>
      <c r="BC638">
        <v>0</v>
      </c>
    </row>
    <row r="639" spans="1:55" x14ac:dyDescent="0.3">
      <c r="A639" s="63">
        <v>11</v>
      </c>
      <c r="B639" s="65">
        <v>45733</v>
      </c>
      <c r="C639" s="63">
        <v>2</v>
      </c>
      <c r="D639" s="38" t="s">
        <v>179</v>
      </c>
      <c r="E639" s="23" t="s">
        <v>138</v>
      </c>
      <c r="F639" s="39">
        <v>2.9626000000000001</v>
      </c>
      <c r="G639" s="64" t="s">
        <v>352</v>
      </c>
      <c r="H639" s="70"/>
      <c r="BA639" s="132" t="s">
        <v>15</v>
      </c>
      <c r="BB639" s="4">
        <v>0</v>
      </c>
      <c r="BC639">
        <v>0</v>
      </c>
    </row>
    <row r="640" spans="1:55" x14ac:dyDescent="0.3">
      <c r="A640" s="63">
        <v>12</v>
      </c>
      <c r="B640" s="65">
        <v>45740</v>
      </c>
      <c r="C640" s="63">
        <v>2</v>
      </c>
      <c r="D640" s="38" t="s">
        <v>179</v>
      </c>
      <c r="E640" s="23" t="s">
        <v>138</v>
      </c>
      <c r="F640" s="39">
        <v>2.9618000000000002</v>
      </c>
      <c r="G640" s="64" t="s">
        <v>352</v>
      </c>
      <c r="H640" s="70"/>
      <c r="BA640" s="132" t="s">
        <v>15</v>
      </c>
      <c r="BB640" s="4">
        <v>0</v>
      </c>
      <c r="BC640">
        <v>0</v>
      </c>
    </row>
    <row r="641" spans="1:55" x14ac:dyDescent="0.3">
      <c r="A641" s="63">
        <v>13</v>
      </c>
      <c r="B641" s="65">
        <v>45747</v>
      </c>
      <c r="C641" s="63">
        <v>2</v>
      </c>
      <c r="D641" s="38" t="s">
        <v>179</v>
      </c>
      <c r="E641" s="23" t="s">
        <v>138</v>
      </c>
      <c r="F641" s="39">
        <v>3.0213000000000001</v>
      </c>
      <c r="G641" s="64" t="s">
        <v>352</v>
      </c>
      <c r="H641" s="70"/>
      <c r="BA641" s="132" t="s">
        <v>15</v>
      </c>
      <c r="BB641" s="4">
        <v>0</v>
      </c>
      <c r="BC641">
        <v>0</v>
      </c>
    </row>
    <row r="642" spans="1:55" x14ac:dyDescent="0.3">
      <c r="A642" s="63">
        <v>14</v>
      </c>
      <c r="B642" s="65">
        <v>45754</v>
      </c>
      <c r="C642" s="63">
        <v>2</v>
      </c>
      <c r="D642" s="38" t="s">
        <v>179</v>
      </c>
      <c r="E642" s="23" t="s">
        <v>138</v>
      </c>
      <c r="F642" s="39">
        <v>3.0369000000000002</v>
      </c>
      <c r="G642" s="64" t="s">
        <v>352</v>
      </c>
      <c r="H642" s="70"/>
      <c r="BA642" s="132" t="s">
        <v>15</v>
      </c>
      <c r="BB642" s="4">
        <v>0</v>
      </c>
      <c r="BC642">
        <v>0</v>
      </c>
    </row>
    <row r="643" spans="1:55" x14ac:dyDescent="0.3">
      <c r="A643" s="63">
        <v>15</v>
      </c>
      <c r="B643" s="65">
        <v>45761</v>
      </c>
      <c r="C643" s="63">
        <v>2</v>
      </c>
      <c r="D643" s="38" t="s">
        <v>179</v>
      </c>
      <c r="E643" s="23" t="s">
        <v>138</v>
      </c>
      <c r="F643" s="39">
        <v>2.8826999999999998</v>
      </c>
      <c r="G643" s="64" t="s">
        <v>352</v>
      </c>
      <c r="H643" s="70"/>
      <c r="BA643" s="132" t="s">
        <v>15</v>
      </c>
      <c r="BB643" s="4">
        <v>0</v>
      </c>
      <c r="BC643">
        <v>0</v>
      </c>
    </row>
    <row r="644" spans="1:55" x14ac:dyDescent="0.3">
      <c r="A644" s="63">
        <v>16</v>
      </c>
      <c r="B644" s="65">
        <v>45768</v>
      </c>
      <c r="C644" s="63">
        <v>2</v>
      </c>
      <c r="D644" s="38" t="s">
        <v>179</v>
      </c>
      <c r="E644" s="23" t="s">
        <v>138</v>
      </c>
      <c r="F644" s="39">
        <v>2.9184999999999999</v>
      </c>
      <c r="G644" s="64" t="s">
        <v>352</v>
      </c>
      <c r="H644" s="70"/>
      <c r="BA644" s="132" t="s">
        <v>15</v>
      </c>
      <c r="BB644" s="4">
        <v>0</v>
      </c>
      <c r="BC644">
        <v>0</v>
      </c>
    </row>
    <row r="645" spans="1:55" x14ac:dyDescent="0.3">
      <c r="A645" s="63">
        <v>17</v>
      </c>
      <c r="B645" s="65">
        <v>45775</v>
      </c>
      <c r="C645" s="63">
        <v>2</v>
      </c>
      <c r="D645" s="38" t="s">
        <v>179</v>
      </c>
      <c r="E645" s="23" t="s">
        <v>138</v>
      </c>
      <c r="F645" s="39">
        <v>2.9941</v>
      </c>
      <c r="G645" s="64" t="s">
        <v>352</v>
      </c>
      <c r="H645" s="70"/>
      <c r="BA645" s="132" t="s">
        <v>15</v>
      </c>
      <c r="BB645" s="4">
        <v>0</v>
      </c>
      <c r="BC645">
        <v>0</v>
      </c>
    </row>
    <row r="646" spans="1:55" x14ac:dyDescent="0.3">
      <c r="A646" s="63">
        <v>18</v>
      </c>
      <c r="B646" s="65">
        <v>45782</v>
      </c>
      <c r="C646" s="63">
        <v>2</v>
      </c>
      <c r="D646" s="38" t="s">
        <v>179</v>
      </c>
      <c r="E646" s="23" t="s">
        <v>138</v>
      </c>
      <c r="F646" s="39">
        <v>2.9340000000000002</v>
      </c>
      <c r="G646" s="64" t="s">
        <v>352</v>
      </c>
      <c r="H646" s="70"/>
      <c r="BA646" s="132" t="s">
        <v>15</v>
      </c>
      <c r="BB646" s="4">
        <v>0</v>
      </c>
      <c r="BC646">
        <v>0</v>
      </c>
    </row>
    <row r="647" spans="1:55" x14ac:dyDescent="0.3">
      <c r="A647" s="63">
        <v>19</v>
      </c>
      <c r="B647" s="65">
        <v>45789</v>
      </c>
      <c r="C647" s="63">
        <v>2</v>
      </c>
      <c r="D647" s="38" t="s">
        <v>179</v>
      </c>
      <c r="E647" s="23" t="s">
        <v>138</v>
      </c>
      <c r="F647" s="39">
        <v>2.8818999999999999</v>
      </c>
      <c r="G647" s="64" t="s">
        <v>352</v>
      </c>
      <c r="H647" s="70"/>
      <c r="BA647" s="132" t="s">
        <v>15</v>
      </c>
      <c r="BB647" s="4">
        <v>0</v>
      </c>
      <c r="BC647">
        <v>0</v>
      </c>
    </row>
    <row r="648" spans="1:55" x14ac:dyDescent="0.3">
      <c r="A648" s="63">
        <v>20</v>
      </c>
      <c r="B648" s="65">
        <v>45796</v>
      </c>
      <c r="C648" s="63">
        <v>2</v>
      </c>
      <c r="D648" s="38" t="s">
        <v>179</v>
      </c>
      <c r="E648" s="23" t="s">
        <v>138</v>
      </c>
      <c r="F648" s="39">
        <v>3.0365000000000002</v>
      </c>
      <c r="G648" s="64" t="s">
        <v>352</v>
      </c>
      <c r="H648" s="70"/>
      <c r="BA648" s="132" t="s">
        <v>15</v>
      </c>
      <c r="BB648" s="4">
        <v>0</v>
      </c>
      <c r="BC648">
        <v>0</v>
      </c>
    </row>
    <row r="649" spans="1:55" x14ac:dyDescent="0.3">
      <c r="A649" s="63">
        <v>21</v>
      </c>
      <c r="B649" s="65">
        <v>45803</v>
      </c>
      <c r="C649" s="63">
        <v>2</v>
      </c>
      <c r="D649" s="38" t="s">
        <v>179</v>
      </c>
      <c r="E649" s="23" t="s">
        <v>138</v>
      </c>
      <c r="F649" s="39">
        <v>3.0036</v>
      </c>
      <c r="G649" s="64" t="s">
        <v>352</v>
      </c>
      <c r="H649" s="70"/>
      <c r="BA649" s="132" t="s">
        <v>15</v>
      </c>
      <c r="BB649" s="4">
        <v>0</v>
      </c>
      <c r="BC649">
        <v>0</v>
      </c>
    </row>
    <row r="650" spans="1:55" x14ac:dyDescent="0.3">
      <c r="A650" s="63">
        <v>22</v>
      </c>
      <c r="B650" s="65">
        <v>45810</v>
      </c>
      <c r="C650" s="63">
        <v>2</v>
      </c>
      <c r="D650" s="38" t="s">
        <v>179</v>
      </c>
      <c r="E650" s="23" t="s">
        <v>138</v>
      </c>
      <c r="F650" s="39">
        <v>3.0036</v>
      </c>
      <c r="G650" s="64" t="s">
        <v>352</v>
      </c>
      <c r="H650" s="70"/>
      <c r="BA650" s="132" t="s">
        <v>15</v>
      </c>
      <c r="BB650" s="4">
        <v>0</v>
      </c>
      <c r="BC650">
        <v>0</v>
      </c>
    </row>
    <row r="651" spans="1:55" x14ac:dyDescent="0.3">
      <c r="A651" s="63">
        <v>23</v>
      </c>
      <c r="B651" s="65">
        <v>45817</v>
      </c>
      <c r="C651" s="63">
        <v>2</v>
      </c>
      <c r="D651" s="38" t="s">
        <v>179</v>
      </c>
      <c r="E651" s="23" t="s">
        <v>138</v>
      </c>
      <c r="F651" s="39">
        <v>2.9451000000000001</v>
      </c>
      <c r="G651" s="64" t="s">
        <v>352</v>
      </c>
      <c r="H651" s="70"/>
      <c r="BA651" s="132" t="s">
        <v>15</v>
      </c>
      <c r="BB651" s="4">
        <v>0</v>
      </c>
      <c r="BC651">
        <v>0</v>
      </c>
    </row>
    <row r="652" spans="1:55" x14ac:dyDescent="0.3">
      <c r="A652" s="63">
        <v>24</v>
      </c>
      <c r="B652" s="65">
        <v>45824</v>
      </c>
      <c r="C652" s="63">
        <v>2</v>
      </c>
      <c r="D652" s="38" t="s">
        <v>179</v>
      </c>
      <c r="E652" s="23" t="s">
        <v>138</v>
      </c>
      <c r="F652" s="39">
        <v>3.0358999999999998</v>
      </c>
      <c r="G652" s="64" t="s">
        <v>352</v>
      </c>
      <c r="H652" s="70"/>
      <c r="BA652" s="132" t="s">
        <v>15</v>
      </c>
      <c r="BB652" s="4">
        <v>0</v>
      </c>
      <c r="BC652">
        <v>0</v>
      </c>
    </row>
    <row r="653" spans="1:55" x14ac:dyDescent="0.3">
      <c r="A653" s="63">
        <v>25</v>
      </c>
      <c r="B653" s="65">
        <v>45831</v>
      </c>
      <c r="C653" s="63">
        <v>2</v>
      </c>
      <c r="D653" s="38" t="s">
        <v>179</v>
      </c>
      <c r="E653" s="23" t="s">
        <v>138</v>
      </c>
      <c r="F653" s="39">
        <v>2.9592999999999998</v>
      </c>
      <c r="G653" s="64" t="s">
        <v>352</v>
      </c>
      <c r="H653" s="70"/>
      <c r="BA653" s="132" t="s">
        <v>15</v>
      </c>
      <c r="BB653" s="4">
        <v>0</v>
      </c>
      <c r="BC653">
        <v>0</v>
      </c>
    </row>
    <row r="654" spans="1:55" x14ac:dyDescent="0.3">
      <c r="A654" s="63">
        <v>1</v>
      </c>
      <c r="B654" s="65">
        <v>45663</v>
      </c>
      <c r="C654" s="63">
        <v>3</v>
      </c>
      <c r="D654" s="38" t="s">
        <v>180</v>
      </c>
      <c r="E654" s="23" t="s">
        <v>138</v>
      </c>
      <c r="F654" s="39">
        <v>8.0402000000000005</v>
      </c>
      <c r="G654" s="64" t="s">
        <v>352</v>
      </c>
      <c r="H654" s="70"/>
      <c r="BA654" s="132" t="s">
        <v>15</v>
      </c>
      <c r="BB654" s="4">
        <v>0</v>
      </c>
      <c r="BC654">
        <v>0</v>
      </c>
    </row>
    <row r="655" spans="1:55" x14ac:dyDescent="0.3">
      <c r="A655" s="63">
        <v>2</v>
      </c>
      <c r="B655" s="65">
        <v>45670</v>
      </c>
      <c r="C655" s="63">
        <v>3</v>
      </c>
      <c r="D655" s="38" t="s">
        <v>180</v>
      </c>
      <c r="E655" s="23" t="s">
        <v>138</v>
      </c>
      <c r="F655" s="39">
        <v>7.6836000000000002</v>
      </c>
      <c r="G655" s="64" t="s">
        <v>352</v>
      </c>
      <c r="H655" s="70"/>
      <c r="BA655" s="132" t="s">
        <v>15</v>
      </c>
      <c r="BB655" s="4">
        <v>0</v>
      </c>
      <c r="BC655">
        <v>0</v>
      </c>
    </row>
    <row r="656" spans="1:55" x14ac:dyDescent="0.3">
      <c r="A656" s="63">
        <v>3</v>
      </c>
      <c r="B656" s="65">
        <v>45677</v>
      </c>
      <c r="C656" s="63">
        <v>3</v>
      </c>
      <c r="D656" s="38" t="s">
        <v>180</v>
      </c>
      <c r="E656" s="23" t="s">
        <v>138</v>
      </c>
      <c r="F656" s="39">
        <v>7.6938000000000004</v>
      </c>
      <c r="G656" s="64" t="s">
        <v>352</v>
      </c>
      <c r="H656" s="70"/>
      <c r="BA656" s="132" t="s">
        <v>15</v>
      </c>
      <c r="BB656" s="4">
        <v>0</v>
      </c>
      <c r="BC656">
        <v>0</v>
      </c>
    </row>
    <row r="657" spans="1:55" x14ac:dyDescent="0.3">
      <c r="A657" s="63">
        <v>4</v>
      </c>
      <c r="B657" s="65">
        <v>45684</v>
      </c>
      <c r="C657" s="63">
        <v>3</v>
      </c>
      <c r="D657" s="38" t="s">
        <v>180</v>
      </c>
      <c r="E657" s="23" t="s">
        <v>138</v>
      </c>
      <c r="F657" s="39">
        <v>7.8818999999999999</v>
      </c>
      <c r="G657" s="64" t="s">
        <v>352</v>
      </c>
      <c r="H657" s="70"/>
      <c r="BA657" s="132" t="s">
        <v>15</v>
      </c>
      <c r="BB657" s="4">
        <v>0</v>
      </c>
      <c r="BC657">
        <v>0</v>
      </c>
    </row>
    <row r="658" spans="1:55" x14ac:dyDescent="0.3">
      <c r="A658" s="63">
        <v>5</v>
      </c>
      <c r="B658" s="65">
        <v>45691</v>
      </c>
      <c r="C658" s="63">
        <v>3</v>
      </c>
      <c r="D658" s="38" t="s">
        <v>180</v>
      </c>
      <c r="E658" s="23" t="s">
        <v>138</v>
      </c>
      <c r="F658" s="39">
        <v>7.7207999999999997</v>
      </c>
      <c r="G658" s="64" t="s">
        <v>352</v>
      </c>
      <c r="H658" s="70"/>
      <c r="BA658" s="132" t="s">
        <v>15</v>
      </c>
      <c r="BB658" s="4">
        <v>0</v>
      </c>
      <c r="BC658">
        <v>0</v>
      </c>
    </row>
    <row r="659" spans="1:55" x14ac:dyDescent="0.3">
      <c r="A659" s="63">
        <v>6</v>
      </c>
      <c r="B659" s="65">
        <v>45698</v>
      </c>
      <c r="C659" s="63">
        <v>3</v>
      </c>
      <c r="D659" s="38" t="s">
        <v>180</v>
      </c>
      <c r="E659" s="23" t="s">
        <v>138</v>
      </c>
      <c r="F659" s="39">
        <v>7.9654999999999996</v>
      </c>
      <c r="G659" s="64" t="s">
        <v>352</v>
      </c>
      <c r="H659" s="70"/>
      <c r="BA659" s="132" t="s">
        <v>15</v>
      </c>
      <c r="BB659" s="4">
        <v>0</v>
      </c>
      <c r="BC659">
        <v>0</v>
      </c>
    </row>
    <row r="660" spans="1:55" x14ac:dyDescent="0.3">
      <c r="A660" s="63">
        <v>7</v>
      </c>
      <c r="B660" s="65">
        <v>45705</v>
      </c>
      <c r="C660" s="63">
        <v>3</v>
      </c>
      <c r="D660" s="38" t="s">
        <v>180</v>
      </c>
      <c r="E660" s="23" t="s">
        <v>138</v>
      </c>
      <c r="F660" s="39">
        <v>7.8917000000000002</v>
      </c>
      <c r="G660" s="64" t="s">
        <v>352</v>
      </c>
      <c r="H660" s="70"/>
      <c r="BA660" s="132" t="s">
        <v>15</v>
      </c>
      <c r="BB660" s="4">
        <v>0</v>
      </c>
      <c r="BC660">
        <v>0</v>
      </c>
    </row>
    <row r="661" spans="1:55" x14ac:dyDescent="0.3">
      <c r="A661" s="63">
        <v>8</v>
      </c>
      <c r="B661" s="65">
        <v>45712</v>
      </c>
      <c r="C661" s="63">
        <v>3</v>
      </c>
      <c r="D661" s="38" t="s">
        <v>180</v>
      </c>
      <c r="E661" s="23" t="s">
        <v>138</v>
      </c>
      <c r="F661" s="39">
        <v>7.6816000000000004</v>
      </c>
      <c r="G661" s="64" t="s">
        <v>352</v>
      </c>
      <c r="H661" s="70"/>
      <c r="BA661" s="132" t="s">
        <v>15</v>
      </c>
      <c r="BB661" s="4">
        <v>0</v>
      </c>
      <c r="BC661">
        <v>0</v>
      </c>
    </row>
    <row r="662" spans="1:55" x14ac:dyDescent="0.3">
      <c r="A662" s="63">
        <v>9</v>
      </c>
      <c r="B662" s="65">
        <v>45719</v>
      </c>
      <c r="C662" s="63">
        <v>3</v>
      </c>
      <c r="D662" s="38" t="s">
        <v>180</v>
      </c>
      <c r="E662" s="23" t="s">
        <v>138</v>
      </c>
      <c r="F662" s="39">
        <v>7.8585000000000003</v>
      </c>
      <c r="G662" s="64" t="s">
        <v>352</v>
      </c>
      <c r="H662" s="70"/>
      <c r="BA662" s="132" t="s">
        <v>15</v>
      </c>
      <c r="BB662" s="4">
        <v>0</v>
      </c>
      <c r="BC662">
        <v>0</v>
      </c>
    </row>
    <row r="663" spans="1:55" x14ac:dyDescent="0.3">
      <c r="A663" s="63">
        <v>10</v>
      </c>
      <c r="B663" s="65">
        <v>45726</v>
      </c>
      <c r="C663" s="63">
        <v>3</v>
      </c>
      <c r="D663" s="38" t="s">
        <v>180</v>
      </c>
      <c r="E663" s="23" t="s">
        <v>138</v>
      </c>
      <c r="F663" s="39">
        <v>7.7831000000000001</v>
      </c>
      <c r="G663" s="64" t="s">
        <v>352</v>
      </c>
      <c r="H663" s="70"/>
      <c r="BA663" s="132" t="s">
        <v>15</v>
      </c>
      <c r="BB663" s="4">
        <v>0</v>
      </c>
      <c r="BC663">
        <v>0</v>
      </c>
    </row>
    <row r="664" spans="1:55" x14ac:dyDescent="0.3">
      <c r="A664" s="63">
        <v>11</v>
      </c>
      <c r="B664" s="65">
        <v>45733</v>
      </c>
      <c r="C664" s="63">
        <v>3</v>
      </c>
      <c r="D664" s="38" t="s">
        <v>180</v>
      </c>
      <c r="E664" s="23" t="s">
        <v>138</v>
      </c>
      <c r="F664" s="39">
        <v>8.0081000000000007</v>
      </c>
      <c r="G664" s="64" t="s">
        <v>352</v>
      </c>
      <c r="H664" s="70"/>
      <c r="BA664" s="132" t="s">
        <v>15</v>
      </c>
      <c r="BB664" s="4">
        <v>0</v>
      </c>
      <c r="BC664">
        <v>0</v>
      </c>
    </row>
    <row r="665" spans="1:55" x14ac:dyDescent="0.3">
      <c r="A665" s="63">
        <v>12</v>
      </c>
      <c r="B665" s="65">
        <v>45740</v>
      </c>
      <c r="C665" s="63">
        <v>3</v>
      </c>
      <c r="D665" s="38" t="s">
        <v>180</v>
      </c>
      <c r="E665" s="23" t="s">
        <v>138</v>
      </c>
      <c r="F665" s="39">
        <v>7.7332000000000001</v>
      </c>
      <c r="G665" s="64" t="s">
        <v>352</v>
      </c>
      <c r="H665" s="70"/>
      <c r="BA665" s="132" t="s">
        <v>15</v>
      </c>
      <c r="BB665" s="4">
        <v>0</v>
      </c>
      <c r="BC665">
        <v>0</v>
      </c>
    </row>
    <row r="666" spans="1:55" x14ac:dyDescent="0.3">
      <c r="A666" s="63">
        <v>13</v>
      </c>
      <c r="B666" s="65">
        <v>45747</v>
      </c>
      <c r="C666" s="63">
        <v>3</v>
      </c>
      <c r="D666" s="38" t="s">
        <v>180</v>
      </c>
      <c r="E666" s="23" t="s">
        <v>138</v>
      </c>
      <c r="F666" s="39">
        <v>7.7675000000000001</v>
      </c>
      <c r="G666" s="64" t="s">
        <v>352</v>
      </c>
      <c r="H666" s="70"/>
      <c r="BA666" s="132" t="s">
        <v>15</v>
      </c>
      <c r="BB666" s="4">
        <v>0</v>
      </c>
      <c r="BC666">
        <v>0</v>
      </c>
    </row>
    <row r="667" spans="1:55" x14ac:dyDescent="0.3">
      <c r="A667" s="63">
        <v>14</v>
      </c>
      <c r="B667" s="65">
        <v>45754</v>
      </c>
      <c r="C667" s="63">
        <v>3</v>
      </c>
      <c r="D667" s="38" t="s">
        <v>180</v>
      </c>
      <c r="E667" s="23" t="s">
        <v>138</v>
      </c>
      <c r="F667" s="39">
        <v>8.0606000000000009</v>
      </c>
      <c r="G667" s="64" t="s">
        <v>352</v>
      </c>
      <c r="H667" s="70"/>
      <c r="BA667" s="132" t="s">
        <v>15</v>
      </c>
      <c r="BB667" s="4">
        <v>0</v>
      </c>
      <c r="BC667">
        <v>0</v>
      </c>
    </row>
    <row r="668" spans="1:55" x14ac:dyDescent="0.3">
      <c r="A668" s="63">
        <v>15</v>
      </c>
      <c r="B668" s="65">
        <v>45761</v>
      </c>
      <c r="C668" s="63">
        <v>3</v>
      </c>
      <c r="D668" s="38" t="s">
        <v>180</v>
      </c>
      <c r="E668" s="23" t="s">
        <v>138</v>
      </c>
      <c r="F668" s="39">
        <v>8.2430000000000003</v>
      </c>
      <c r="G668" s="64" t="s">
        <v>352</v>
      </c>
      <c r="H668" s="70"/>
      <c r="BA668" s="132" t="s">
        <v>15</v>
      </c>
      <c r="BB668" s="4">
        <v>0</v>
      </c>
      <c r="BC668">
        <v>0</v>
      </c>
    </row>
    <row r="669" spans="1:55" x14ac:dyDescent="0.3">
      <c r="A669" s="63">
        <v>16</v>
      </c>
      <c r="B669" s="65">
        <v>45768</v>
      </c>
      <c r="C669" s="63">
        <v>3</v>
      </c>
      <c r="D669" s="38" t="s">
        <v>180</v>
      </c>
      <c r="E669" s="23" t="s">
        <v>138</v>
      </c>
      <c r="F669" s="39">
        <v>8.2004999999999999</v>
      </c>
      <c r="G669" s="64" t="s">
        <v>352</v>
      </c>
      <c r="H669" s="70"/>
      <c r="BA669" s="132" t="s">
        <v>15</v>
      </c>
      <c r="BB669" s="4">
        <v>0</v>
      </c>
      <c r="BC669">
        <v>0</v>
      </c>
    </row>
    <row r="670" spans="1:55" x14ac:dyDescent="0.3">
      <c r="A670" s="63">
        <v>17</v>
      </c>
      <c r="B670" s="65">
        <v>45775</v>
      </c>
      <c r="C670" s="63">
        <v>3</v>
      </c>
      <c r="D670" s="38" t="s">
        <v>180</v>
      </c>
      <c r="E670" s="23" t="s">
        <v>138</v>
      </c>
      <c r="F670" s="39">
        <v>7.8567</v>
      </c>
      <c r="G670" s="64" t="s">
        <v>352</v>
      </c>
      <c r="H670" s="70"/>
      <c r="BA670" s="132" t="s">
        <v>15</v>
      </c>
      <c r="BB670" s="4">
        <v>0</v>
      </c>
      <c r="BC670">
        <v>0</v>
      </c>
    </row>
    <row r="671" spans="1:55" x14ac:dyDescent="0.3">
      <c r="A671" s="63">
        <v>18</v>
      </c>
      <c r="B671" s="65">
        <v>45782</v>
      </c>
      <c r="C671" s="63">
        <v>3</v>
      </c>
      <c r="D671" s="38" t="s">
        <v>180</v>
      </c>
      <c r="E671" s="23" t="s">
        <v>138</v>
      </c>
      <c r="F671" s="39">
        <v>7.8844000000000003</v>
      </c>
      <c r="G671" s="64" t="s">
        <v>352</v>
      </c>
      <c r="H671" s="70"/>
      <c r="BA671" s="132" t="s">
        <v>15</v>
      </c>
      <c r="BB671" s="4">
        <v>0</v>
      </c>
      <c r="BC671">
        <v>0</v>
      </c>
    </row>
    <row r="672" spans="1:55" x14ac:dyDescent="0.3">
      <c r="A672" s="63">
        <v>19</v>
      </c>
      <c r="B672" s="65">
        <v>45789</v>
      </c>
      <c r="C672" s="63">
        <v>3</v>
      </c>
      <c r="D672" s="38" t="s">
        <v>180</v>
      </c>
      <c r="E672" s="23" t="s">
        <v>138</v>
      </c>
      <c r="F672" s="39">
        <v>8.1178000000000008</v>
      </c>
      <c r="G672" s="64" t="s">
        <v>352</v>
      </c>
      <c r="H672" s="70"/>
      <c r="BA672" s="132" t="s">
        <v>15</v>
      </c>
      <c r="BB672" s="4">
        <v>0</v>
      </c>
      <c r="BC672">
        <v>0</v>
      </c>
    </row>
    <row r="673" spans="1:55" x14ac:dyDescent="0.3">
      <c r="A673" s="63">
        <v>20</v>
      </c>
      <c r="B673" s="65">
        <v>45796</v>
      </c>
      <c r="C673" s="63">
        <v>3</v>
      </c>
      <c r="D673" s="38" t="s">
        <v>180</v>
      </c>
      <c r="E673" s="23" t="s">
        <v>138</v>
      </c>
      <c r="F673" s="39">
        <v>7.8234000000000004</v>
      </c>
      <c r="G673" s="64" t="s">
        <v>352</v>
      </c>
      <c r="H673" s="70"/>
      <c r="BA673" s="132" t="s">
        <v>15</v>
      </c>
      <c r="BB673" s="4">
        <v>0</v>
      </c>
      <c r="BC673">
        <v>0</v>
      </c>
    </row>
    <row r="674" spans="1:55" x14ac:dyDescent="0.3">
      <c r="A674" s="63">
        <v>21</v>
      </c>
      <c r="B674" s="65">
        <v>45803</v>
      </c>
      <c r="C674" s="63">
        <v>3</v>
      </c>
      <c r="D674" s="38" t="s">
        <v>180</v>
      </c>
      <c r="E674" s="23" t="s">
        <v>138</v>
      </c>
      <c r="F674" s="39">
        <v>7.6721000000000004</v>
      </c>
      <c r="G674" s="64" t="s">
        <v>352</v>
      </c>
      <c r="H674" s="70"/>
      <c r="BA674" s="132" t="s">
        <v>15</v>
      </c>
      <c r="BB674" s="4">
        <v>0</v>
      </c>
      <c r="BC674">
        <v>0</v>
      </c>
    </row>
    <row r="675" spans="1:55" x14ac:dyDescent="0.3">
      <c r="A675" s="63">
        <v>22</v>
      </c>
      <c r="B675" s="65">
        <v>45810</v>
      </c>
      <c r="C675" s="63">
        <v>3</v>
      </c>
      <c r="D675" s="38" t="s">
        <v>180</v>
      </c>
      <c r="E675" s="23" t="s">
        <v>138</v>
      </c>
      <c r="F675" s="39">
        <v>7.8662999999999998</v>
      </c>
      <c r="G675" s="64" t="s">
        <v>352</v>
      </c>
      <c r="H675" s="70"/>
      <c r="BA675" s="132" t="s">
        <v>15</v>
      </c>
      <c r="BB675" s="4">
        <v>0</v>
      </c>
      <c r="BC675">
        <v>0</v>
      </c>
    </row>
    <row r="676" spans="1:55" x14ac:dyDescent="0.3">
      <c r="A676" s="63">
        <v>23</v>
      </c>
      <c r="B676" s="65">
        <v>45817</v>
      </c>
      <c r="C676" s="63">
        <v>3</v>
      </c>
      <c r="D676" s="38" t="s">
        <v>180</v>
      </c>
      <c r="E676" s="23" t="s">
        <v>138</v>
      </c>
      <c r="F676" s="39">
        <v>7.9257</v>
      </c>
      <c r="G676" s="64" t="s">
        <v>352</v>
      </c>
      <c r="H676" s="70"/>
      <c r="BA676" s="132" t="s">
        <v>15</v>
      </c>
      <c r="BB676" s="4">
        <v>0</v>
      </c>
      <c r="BC676">
        <v>0</v>
      </c>
    </row>
    <row r="677" spans="1:55" x14ac:dyDescent="0.3">
      <c r="A677" s="63">
        <v>24</v>
      </c>
      <c r="B677" s="65">
        <v>45824</v>
      </c>
      <c r="C677" s="63">
        <v>3</v>
      </c>
      <c r="D677" s="38" t="s">
        <v>180</v>
      </c>
      <c r="E677" s="23" t="s">
        <v>138</v>
      </c>
      <c r="F677" s="39">
        <v>7.6982999999999997</v>
      </c>
      <c r="G677" s="64" t="s">
        <v>352</v>
      </c>
      <c r="H677" s="70"/>
      <c r="BA677" s="132" t="s">
        <v>15</v>
      </c>
      <c r="BB677" s="4">
        <v>0</v>
      </c>
      <c r="BC677">
        <v>0</v>
      </c>
    </row>
    <row r="678" spans="1:55" x14ac:dyDescent="0.3">
      <c r="A678" s="63">
        <v>25</v>
      </c>
      <c r="B678" s="65">
        <v>45831</v>
      </c>
      <c r="C678" s="63">
        <v>3</v>
      </c>
      <c r="D678" s="38" t="s">
        <v>180</v>
      </c>
      <c r="E678" s="23" t="s">
        <v>138</v>
      </c>
      <c r="F678" s="39">
        <v>7.5532000000000004</v>
      </c>
      <c r="G678" s="64" t="s">
        <v>352</v>
      </c>
      <c r="H678" s="70"/>
      <c r="BA678" s="132" t="s">
        <v>15</v>
      </c>
      <c r="BB678" s="4">
        <v>0</v>
      </c>
      <c r="BC678">
        <v>0</v>
      </c>
    </row>
    <row r="679" spans="1:55" x14ac:dyDescent="0.3">
      <c r="A679" s="63">
        <v>1</v>
      </c>
      <c r="B679" s="65">
        <v>45663</v>
      </c>
      <c r="C679" s="63">
        <v>1</v>
      </c>
      <c r="D679" s="38" t="s">
        <v>178</v>
      </c>
      <c r="E679" s="23" t="s">
        <v>139</v>
      </c>
      <c r="F679" s="39">
        <v>0.93730000000000002</v>
      </c>
      <c r="G679" s="64" t="s">
        <v>352</v>
      </c>
      <c r="H679" s="70"/>
      <c r="BA679" s="132" t="s">
        <v>15</v>
      </c>
      <c r="BB679" s="4">
        <v>1</v>
      </c>
      <c r="BC679">
        <v>0</v>
      </c>
    </row>
    <row r="680" spans="1:55" x14ac:dyDescent="0.3">
      <c r="A680" s="63">
        <v>2</v>
      </c>
      <c r="B680" s="65">
        <v>45670</v>
      </c>
      <c r="C680" s="63">
        <v>1</v>
      </c>
      <c r="D680" s="38" t="s">
        <v>178</v>
      </c>
      <c r="E680" s="23" t="s">
        <v>139</v>
      </c>
      <c r="F680" s="39">
        <v>1.0361</v>
      </c>
      <c r="G680" s="64" t="s">
        <v>352</v>
      </c>
      <c r="H680" s="70"/>
      <c r="BA680" s="132" t="s">
        <v>15</v>
      </c>
      <c r="BB680" s="4">
        <v>1</v>
      </c>
      <c r="BC680">
        <v>0</v>
      </c>
    </row>
    <row r="681" spans="1:55" x14ac:dyDescent="0.3">
      <c r="A681" s="63">
        <v>3</v>
      </c>
      <c r="B681" s="65">
        <v>45677</v>
      </c>
      <c r="C681" s="63">
        <v>1</v>
      </c>
      <c r="D681" s="38" t="s">
        <v>178</v>
      </c>
      <c r="E681" s="23" t="s">
        <v>139</v>
      </c>
      <c r="F681" s="39">
        <v>0.96919999999999995</v>
      </c>
      <c r="G681" s="64" t="s">
        <v>352</v>
      </c>
      <c r="H681" s="70"/>
      <c r="BA681" s="132" t="s">
        <v>15</v>
      </c>
      <c r="BB681" s="4">
        <v>1</v>
      </c>
      <c r="BC681">
        <v>0</v>
      </c>
    </row>
    <row r="682" spans="1:55" x14ac:dyDescent="0.3">
      <c r="A682" s="63">
        <v>4</v>
      </c>
      <c r="B682" s="65">
        <v>45684</v>
      </c>
      <c r="C682" s="63">
        <v>1</v>
      </c>
      <c r="D682" s="38" t="s">
        <v>178</v>
      </c>
      <c r="E682" s="23" t="s">
        <v>139</v>
      </c>
      <c r="F682" s="39">
        <v>0.99819999999999998</v>
      </c>
      <c r="G682" s="64" t="s">
        <v>352</v>
      </c>
      <c r="H682" s="70"/>
      <c r="BA682" s="132" t="s">
        <v>15</v>
      </c>
      <c r="BB682" s="4">
        <v>1</v>
      </c>
      <c r="BC682">
        <v>0</v>
      </c>
    </row>
    <row r="683" spans="1:55" x14ac:dyDescent="0.3">
      <c r="A683" s="63">
        <v>5</v>
      </c>
      <c r="B683" s="65">
        <v>45691</v>
      </c>
      <c r="C683" s="63">
        <v>1</v>
      </c>
      <c r="D683" s="38" t="s">
        <v>178</v>
      </c>
      <c r="E683" s="23" t="s">
        <v>139</v>
      </c>
      <c r="F683" s="39">
        <v>1.0147999999999999</v>
      </c>
      <c r="G683" s="64" t="s">
        <v>352</v>
      </c>
      <c r="H683" s="70"/>
      <c r="BA683" s="132" t="s">
        <v>15</v>
      </c>
      <c r="BB683" s="4">
        <v>1</v>
      </c>
      <c r="BC683">
        <v>0</v>
      </c>
    </row>
    <row r="684" spans="1:55" x14ac:dyDescent="0.3">
      <c r="A684" s="63">
        <v>6</v>
      </c>
      <c r="B684" s="65">
        <v>45698</v>
      </c>
      <c r="C684" s="63">
        <v>1</v>
      </c>
      <c r="D684" s="38" t="s">
        <v>178</v>
      </c>
      <c r="E684" s="23" t="s">
        <v>139</v>
      </c>
      <c r="F684" s="39">
        <v>1.0339</v>
      </c>
      <c r="G684" s="64" t="s">
        <v>352</v>
      </c>
      <c r="H684" s="70"/>
      <c r="BA684" s="132" t="s">
        <v>15</v>
      </c>
      <c r="BB684" s="4">
        <v>1</v>
      </c>
      <c r="BC684">
        <v>0</v>
      </c>
    </row>
    <row r="685" spans="1:55" x14ac:dyDescent="0.3">
      <c r="A685" s="63">
        <v>7</v>
      </c>
      <c r="B685" s="65">
        <v>45705</v>
      </c>
      <c r="C685" s="63">
        <v>1</v>
      </c>
      <c r="D685" s="38" t="s">
        <v>178</v>
      </c>
      <c r="E685" s="23" t="s">
        <v>139</v>
      </c>
      <c r="F685" s="39">
        <v>0.98909999999999998</v>
      </c>
      <c r="G685" s="64" t="s">
        <v>352</v>
      </c>
      <c r="H685" s="70"/>
      <c r="BA685" s="132" t="s">
        <v>15</v>
      </c>
      <c r="BB685" s="4">
        <v>1</v>
      </c>
      <c r="BC685">
        <v>0</v>
      </c>
    </row>
    <row r="686" spans="1:55" x14ac:dyDescent="0.3">
      <c r="A686" s="63">
        <v>8</v>
      </c>
      <c r="B686" s="65">
        <v>45712</v>
      </c>
      <c r="C686" s="63">
        <v>1</v>
      </c>
      <c r="D686" s="38" t="s">
        <v>178</v>
      </c>
      <c r="E686" s="23" t="s">
        <v>139</v>
      </c>
      <c r="F686" s="39">
        <v>1.0283</v>
      </c>
      <c r="G686" s="64" t="s">
        <v>352</v>
      </c>
      <c r="H686" s="70"/>
      <c r="BA686" s="132" t="s">
        <v>15</v>
      </c>
      <c r="BB686" s="4">
        <v>1</v>
      </c>
      <c r="BC686">
        <v>0</v>
      </c>
    </row>
    <row r="687" spans="1:55" x14ac:dyDescent="0.3">
      <c r="A687" s="63">
        <v>9</v>
      </c>
      <c r="B687" s="65">
        <v>45719</v>
      </c>
      <c r="C687" s="63">
        <v>1</v>
      </c>
      <c r="D687" s="38" t="s">
        <v>178</v>
      </c>
      <c r="E687" s="23" t="s">
        <v>139</v>
      </c>
      <c r="F687" s="39">
        <v>0.96299999999999997</v>
      </c>
      <c r="G687" s="64" t="s">
        <v>352</v>
      </c>
      <c r="H687" s="70"/>
      <c r="BA687" s="132" t="s">
        <v>15</v>
      </c>
      <c r="BB687" s="4">
        <v>1</v>
      </c>
      <c r="BC687">
        <v>0</v>
      </c>
    </row>
    <row r="688" spans="1:55" x14ac:dyDescent="0.3">
      <c r="A688" s="63">
        <v>10</v>
      </c>
      <c r="B688" s="65">
        <v>45726</v>
      </c>
      <c r="C688" s="63">
        <v>1</v>
      </c>
      <c r="D688" s="38" t="s">
        <v>178</v>
      </c>
      <c r="E688" s="23" t="s">
        <v>139</v>
      </c>
      <c r="F688" s="39">
        <v>0.98780000000000001</v>
      </c>
      <c r="G688" s="64" t="s">
        <v>352</v>
      </c>
      <c r="H688" s="70"/>
      <c r="BA688" s="132" t="s">
        <v>15</v>
      </c>
      <c r="BB688" s="4">
        <v>1</v>
      </c>
      <c r="BC688">
        <v>0</v>
      </c>
    </row>
    <row r="689" spans="1:55" x14ac:dyDescent="0.3">
      <c r="A689" s="63">
        <v>11</v>
      </c>
      <c r="B689" s="65">
        <v>45733</v>
      </c>
      <c r="C689" s="63">
        <v>1</v>
      </c>
      <c r="D689" s="38" t="s">
        <v>178</v>
      </c>
      <c r="E689" s="23" t="s">
        <v>139</v>
      </c>
      <c r="F689" s="39">
        <v>0.95669999999999999</v>
      </c>
      <c r="G689" s="64" t="s">
        <v>352</v>
      </c>
      <c r="H689" s="70"/>
      <c r="BA689" s="132" t="s">
        <v>15</v>
      </c>
      <c r="BB689" s="4">
        <v>1</v>
      </c>
      <c r="BC689">
        <v>0</v>
      </c>
    </row>
    <row r="690" spans="1:55" x14ac:dyDescent="0.3">
      <c r="A690" s="63">
        <v>12</v>
      </c>
      <c r="B690" s="65">
        <v>45740</v>
      </c>
      <c r="C690" s="63">
        <v>1</v>
      </c>
      <c r="D690" s="38" t="s">
        <v>178</v>
      </c>
      <c r="E690" s="23" t="s">
        <v>139</v>
      </c>
      <c r="F690" s="39">
        <v>1.0581</v>
      </c>
      <c r="G690" s="64" t="s">
        <v>352</v>
      </c>
      <c r="H690" s="70"/>
      <c r="BA690" s="132" t="s">
        <v>15</v>
      </c>
      <c r="BB690" s="4">
        <v>1</v>
      </c>
      <c r="BC690">
        <v>0</v>
      </c>
    </row>
    <row r="691" spans="1:55" x14ac:dyDescent="0.3">
      <c r="A691" s="63">
        <v>13</v>
      </c>
      <c r="B691" s="65">
        <v>45747</v>
      </c>
      <c r="C691" s="63">
        <v>1</v>
      </c>
      <c r="D691" s="38" t="s">
        <v>178</v>
      </c>
      <c r="E691" s="23" t="s">
        <v>139</v>
      </c>
      <c r="F691" s="39">
        <v>1.0036</v>
      </c>
      <c r="G691" s="64" t="s">
        <v>352</v>
      </c>
      <c r="H691" s="70"/>
      <c r="BA691" s="132" t="s">
        <v>15</v>
      </c>
      <c r="BB691" s="4">
        <v>1</v>
      </c>
      <c r="BC691">
        <v>0</v>
      </c>
    </row>
    <row r="692" spans="1:55" x14ac:dyDescent="0.3">
      <c r="A692" s="63">
        <v>14</v>
      </c>
      <c r="B692" s="65">
        <v>45754</v>
      </c>
      <c r="C692" s="63">
        <v>1</v>
      </c>
      <c r="D692" s="38" t="s">
        <v>178</v>
      </c>
      <c r="E692" s="23" t="s">
        <v>139</v>
      </c>
      <c r="F692" s="39">
        <v>0.97009999999999996</v>
      </c>
      <c r="G692" s="64" t="s">
        <v>352</v>
      </c>
      <c r="H692" s="70"/>
      <c r="BA692" s="132" t="s">
        <v>15</v>
      </c>
      <c r="BB692" s="4">
        <v>1</v>
      </c>
      <c r="BC692">
        <v>0</v>
      </c>
    </row>
    <row r="693" spans="1:55" x14ac:dyDescent="0.3">
      <c r="A693" s="63">
        <v>15</v>
      </c>
      <c r="B693" s="65">
        <v>45761</v>
      </c>
      <c r="C693" s="63">
        <v>1</v>
      </c>
      <c r="D693" s="38" t="s">
        <v>178</v>
      </c>
      <c r="E693" s="23" t="s">
        <v>139</v>
      </c>
      <c r="F693" s="39">
        <v>0.98829999999999996</v>
      </c>
      <c r="G693" s="64" t="s">
        <v>352</v>
      </c>
      <c r="H693" s="70"/>
      <c r="BA693" s="132" t="s">
        <v>15</v>
      </c>
      <c r="BB693" s="4">
        <v>1</v>
      </c>
      <c r="BC693">
        <v>0</v>
      </c>
    </row>
    <row r="694" spans="1:55" x14ac:dyDescent="0.3">
      <c r="A694" s="63">
        <v>16</v>
      </c>
      <c r="B694" s="65">
        <v>45768</v>
      </c>
      <c r="C694" s="63">
        <v>1</v>
      </c>
      <c r="D694" s="38" t="s">
        <v>178</v>
      </c>
      <c r="E694" s="23" t="s">
        <v>139</v>
      </c>
      <c r="F694" s="39">
        <v>0.99439999999999995</v>
      </c>
      <c r="G694" s="64" t="s">
        <v>352</v>
      </c>
      <c r="H694" s="70"/>
      <c r="BA694" s="132" t="s">
        <v>15</v>
      </c>
      <c r="BB694" s="4">
        <v>1</v>
      </c>
      <c r="BC694">
        <v>0</v>
      </c>
    </row>
    <row r="695" spans="1:55" x14ac:dyDescent="0.3">
      <c r="A695" s="63">
        <v>17</v>
      </c>
      <c r="B695" s="65">
        <v>45775</v>
      </c>
      <c r="C695" s="63">
        <v>1</v>
      </c>
      <c r="D695" s="38" t="s">
        <v>178</v>
      </c>
      <c r="E695" s="23" t="s">
        <v>139</v>
      </c>
      <c r="F695" s="39">
        <v>1.0378000000000001</v>
      </c>
      <c r="G695" s="64" t="s">
        <v>352</v>
      </c>
      <c r="H695" s="70"/>
      <c r="BA695" s="132" t="s">
        <v>15</v>
      </c>
      <c r="BB695" s="4">
        <v>1</v>
      </c>
      <c r="BC695">
        <v>0</v>
      </c>
    </row>
    <row r="696" spans="1:55" x14ac:dyDescent="0.3">
      <c r="A696" s="63">
        <v>18</v>
      </c>
      <c r="B696" s="65">
        <v>45782</v>
      </c>
      <c r="C696" s="63">
        <v>1</v>
      </c>
      <c r="D696" s="38" t="s">
        <v>178</v>
      </c>
      <c r="E696" s="23" t="s">
        <v>139</v>
      </c>
      <c r="F696" s="39">
        <v>0.92979999999999996</v>
      </c>
      <c r="G696" s="64" t="s">
        <v>352</v>
      </c>
      <c r="H696" s="70"/>
      <c r="BA696" s="132" t="s">
        <v>15</v>
      </c>
      <c r="BB696" s="4">
        <v>1</v>
      </c>
      <c r="BC696">
        <v>0</v>
      </c>
    </row>
    <row r="697" spans="1:55" x14ac:dyDescent="0.3">
      <c r="A697" s="63">
        <v>19</v>
      </c>
      <c r="B697" s="65">
        <v>45789</v>
      </c>
      <c r="C697" s="63">
        <v>1</v>
      </c>
      <c r="D697" s="38" t="s">
        <v>178</v>
      </c>
      <c r="E697" s="23" t="s">
        <v>139</v>
      </c>
      <c r="F697" s="39">
        <v>0.95609999999999995</v>
      </c>
      <c r="G697" s="64" t="s">
        <v>352</v>
      </c>
      <c r="H697" s="70"/>
      <c r="BA697" s="132" t="s">
        <v>15</v>
      </c>
      <c r="BB697" s="4">
        <v>1</v>
      </c>
      <c r="BC697">
        <v>0</v>
      </c>
    </row>
    <row r="698" spans="1:55" x14ac:dyDescent="0.3">
      <c r="A698" s="63">
        <v>20</v>
      </c>
      <c r="B698" s="65">
        <v>45796</v>
      </c>
      <c r="C698" s="63">
        <v>1</v>
      </c>
      <c r="D698" s="38" t="s">
        <v>178</v>
      </c>
      <c r="E698" s="23" t="s">
        <v>139</v>
      </c>
      <c r="F698" s="39">
        <v>0.98699999999999999</v>
      </c>
      <c r="G698" s="64" t="s">
        <v>352</v>
      </c>
      <c r="H698" s="70"/>
      <c r="BA698" s="132" t="s">
        <v>15</v>
      </c>
      <c r="BB698" s="4">
        <v>1</v>
      </c>
      <c r="BC698">
        <v>0</v>
      </c>
    </row>
    <row r="699" spans="1:55" x14ac:dyDescent="0.3">
      <c r="A699" s="63">
        <v>21</v>
      </c>
      <c r="B699" s="65">
        <v>45803</v>
      </c>
      <c r="C699" s="63">
        <v>1</v>
      </c>
      <c r="D699" s="38" t="s">
        <v>178</v>
      </c>
      <c r="E699" s="23" t="s">
        <v>139</v>
      </c>
      <c r="F699" s="39">
        <v>1.1238999999999999</v>
      </c>
      <c r="G699" s="64" t="s">
        <v>352</v>
      </c>
      <c r="H699" s="70"/>
      <c r="BA699" s="132" t="s">
        <v>15</v>
      </c>
      <c r="BB699" s="4">
        <v>1</v>
      </c>
      <c r="BC699">
        <v>0</v>
      </c>
    </row>
    <row r="700" spans="1:55" x14ac:dyDescent="0.3">
      <c r="A700" s="63">
        <v>22</v>
      </c>
      <c r="B700" s="65">
        <v>45810</v>
      </c>
      <c r="C700" s="63">
        <v>1</v>
      </c>
      <c r="D700" s="38" t="s">
        <v>178</v>
      </c>
      <c r="E700" s="23" t="s">
        <v>139</v>
      </c>
      <c r="F700" s="39">
        <v>1.0498000000000001</v>
      </c>
      <c r="G700" s="64" t="s">
        <v>352</v>
      </c>
      <c r="H700" s="70"/>
      <c r="BA700" s="132" t="s">
        <v>15</v>
      </c>
      <c r="BB700" s="4">
        <v>1</v>
      </c>
      <c r="BC700">
        <v>0</v>
      </c>
    </row>
    <row r="701" spans="1:55" x14ac:dyDescent="0.3">
      <c r="A701" s="63">
        <v>23</v>
      </c>
      <c r="B701" s="65">
        <v>45817</v>
      </c>
      <c r="C701" s="63">
        <v>1</v>
      </c>
      <c r="D701" s="38" t="s">
        <v>178</v>
      </c>
      <c r="E701" s="23" t="s">
        <v>139</v>
      </c>
      <c r="F701" s="39">
        <v>0.99960000000000004</v>
      </c>
      <c r="G701" s="64" t="s">
        <v>352</v>
      </c>
      <c r="H701" s="70"/>
      <c r="BA701" s="132" t="s">
        <v>15</v>
      </c>
      <c r="BB701" s="4">
        <v>1</v>
      </c>
      <c r="BC701">
        <v>0</v>
      </c>
    </row>
    <row r="702" spans="1:55" x14ac:dyDescent="0.3">
      <c r="A702" s="63">
        <v>24</v>
      </c>
      <c r="B702" s="65">
        <v>45824</v>
      </c>
      <c r="C702" s="63">
        <v>1</v>
      </c>
      <c r="D702" s="38" t="s">
        <v>178</v>
      </c>
      <c r="E702" s="23" t="s">
        <v>139</v>
      </c>
      <c r="F702" s="39">
        <v>1.0383</v>
      </c>
      <c r="G702" s="64" t="s">
        <v>352</v>
      </c>
      <c r="H702" s="70"/>
      <c r="BA702" s="132" t="s">
        <v>15</v>
      </c>
      <c r="BB702" s="4">
        <v>1</v>
      </c>
      <c r="BC702">
        <v>0</v>
      </c>
    </row>
    <row r="703" spans="1:55" x14ac:dyDescent="0.3">
      <c r="A703" s="63">
        <v>25</v>
      </c>
      <c r="B703" s="65">
        <v>45831</v>
      </c>
      <c r="C703" s="63">
        <v>1</v>
      </c>
      <c r="D703" s="38" t="s">
        <v>178</v>
      </c>
      <c r="E703" s="23" t="s">
        <v>139</v>
      </c>
      <c r="F703" s="39">
        <v>1.1015999999999999</v>
      </c>
      <c r="G703" s="64" t="s">
        <v>352</v>
      </c>
      <c r="H703" s="70"/>
      <c r="BA703" s="132" t="s">
        <v>15</v>
      </c>
      <c r="BB703" s="4">
        <v>1</v>
      </c>
      <c r="BC703">
        <v>0</v>
      </c>
    </row>
    <row r="704" spans="1:55" x14ac:dyDescent="0.3">
      <c r="A704" s="63">
        <v>1</v>
      </c>
      <c r="B704" s="65">
        <v>45663</v>
      </c>
      <c r="C704" s="63">
        <v>2</v>
      </c>
      <c r="D704" s="38" t="s">
        <v>179</v>
      </c>
      <c r="E704" s="23" t="s">
        <v>139</v>
      </c>
      <c r="F704" s="39">
        <v>1.9769000000000001</v>
      </c>
      <c r="G704" s="64" t="s">
        <v>352</v>
      </c>
      <c r="H704" s="70"/>
      <c r="BA704" s="132" t="s">
        <v>15</v>
      </c>
      <c r="BB704" s="4">
        <v>0</v>
      </c>
      <c r="BC704">
        <v>0</v>
      </c>
    </row>
    <row r="705" spans="1:55" x14ac:dyDescent="0.3">
      <c r="A705" s="63">
        <v>2</v>
      </c>
      <c r="B705" s="65">
        <v>45670</v>
      </c>
      <c r="C705" s="63">
        <v>2</v>
      </c>
      <c r="D705" s="38" t="s">
        <v>179</v>
      </c>
      <c r="E705" s="23" t="s">
        <v>139</v>
      </c>
      <c r="F705" s="39">
        <v>1.9704999999999999</v>
      </c>
      <c r="G705" s="64" t="s">
        <v>352</v>
      </c>
      <c r="H705" s="70"/>
      <c r="BA705" s="132" t="s">
        <v>15</v>
      </c>
      <c r="BB705" s="4">
        <v>0</v>
      </c>
      <c r="BC705">
        <v>0</v>
      </c>
    </row>
    <row r="706" spans="1:55" x14ac:dyDescent="0.3">
      <c r="A706" s="63">
        <v>3</v>
      </c>
      <c r="B706" s="65">
        <v>45677</v>
      </c>
      <c r="C706" s="63">
        <v>2</v>
      </c>
      <c r="D706" s="38" t="s">
        <v>179</v>
      </c>
      <c r="E706" s="23" t="s">
        <v>139</v>
      </c>
      <c r="F706" s="39">
        <v>2.0470999999999999</v>
      </c>
      <c r="G706" s="64" t="s">
        <v>352</v>
      </c>
      <c r="H706" s="70"/>
      <c r="BA706" s="132" t="s">
        <v>15</v>
      </c>
      <c r="BB706" s="4">
        <v>0</v>
      </c>
      <c r="BC706">
        <v>0</v>
      </c>
    </row>
    <row r="707" spans="1:55" x14ac:dyDescent="0.3">
      <c r="A707" s="63">
        <v>4</v>
      </c>
      <c r="B707" s="65">
        <v>45684</v>
      </c>
      <c r="C707" s="63">
        <v>2</v>
      </c>
      <c r="D707" s="38" t="s">
        <v>179</v>
      </c>
      <c r="E707" s="23" t="s">
        <v>139</v>
      </c>
      <c r="F707" s="39">
        <v>2.0123000000000002</v>
      </c>
      <c r="G707" s="64" t="s">
        <v>352</v>
      </c>
      <c r="H707" s="70"/>
      <c r="BA707" s="132" t="s">
        <v>15</v>
      </c>
      <c r="BB707" s="4">
        <v>0</v>
      </c>
      <c r="BC707">
        <v>0</v>
      </c>
    </row>
    <row r="708" spans="1:55" x14ac:dyDescent="0.3">
      <c r="A708" s="63">
        <v>5</v>
      </c>
      <c r="B708" s="65">
        <v>45691</v>
      </c>
      <c r="C708" s="63">
        <v>2</v>
      </c>
      <c r="D708" s="38" t="s">
        <v>179</v>
      </c>
      <c r="E708" s="23" t="s">
        <v>139</v>
      </c>
      <c r="F708" s="39">
        <v>2.0209000000000001</v>
      </c>
      <c r="G708" s="64" t="s">
        <v>352</v>
      </c>
      <c r="H708" s="70"/>
      <c r="BA708" s="132" t="s">
        <v>15</v>
      </c>
      <c r="BB708" s="4">
        <v>0</v>
      </c>
      <c r="BC708">
        <v>0</v>
      </c>
    </row>
    <row r="709" spans="1:55" x14ac:dyDescent="0.3">
      <c r="A709" s="63">
        <v>6</v>
      </c>
      <c r="B709" s="65">
        <v>45698</v>
      </c>
      <c r="C709" s="63">
        <v>2</v>
      </c>
      <c r="D709" s="38" t="s">
        <v>179</v>
      </c>
      <c r="E709" s="23" t="s">
        <v>139</v>
      </c>
      <c r="F709" s="39">
        <v>1.9636</v>
      </c>
      <c r="G709" s="64" t="s">
        <v>352</v>
      </c>
      <c r="H709" s="70"/>
      <c r="BA709" s="132" t="s">
        <v>15</v>
      </c>
      <c r="BB709" s="4">
        <v>0</v>
      </c>
      <c r="BC709">
        <v>0</v>
      </c>
    </row>
    <row r="710" spans="1:55" x14ac:dyDescent="0.3">
      <c r="A710" s="63">
        <v>7</v>
      </c>
      <c r="B710" s="65">
        <v>45705</v>
      </c>
      <c r="C710" s="63">
        <v>2</v>
      </c>
      <c r="D710" s="38" t="s">
        <v>179</v>
      </c>
      <c r="E710" s="23" t="s">
        <v>139</v>
      </c>
      <c r="F710" s="39">
        <v>2.0817000000000001</v>
      </c>
      <c r="G710" s="64" t="s">
        <v>352</v>
      </c>
      <c r="H710" s="70"/>
      <c r="BA710" s="132" t="s">
        <v>15</v>
      </c>
      <c r="BB710" s="4">
        <v>0</v>
      </c>
      <c r="BC710">
        <v>0</v>
      </c>
    </row>
    <row r="711" spans="1:55" x14ac:dyDescent="0.3">
      <c r="A711" s="63">
        <v>8</v>
      </c>
      <c r="B711" s="65">
        <v>45712</v>
      </c>
      <c r="C711" s="63">
        <v>2</v>
      </c>
      <c r="D711" s="38" t="s">
        <v>179</v>
      </c>
      <c r="E711" s="23" t="s">
        <v>139</v>
      </c>
      <c r="F711" s="39">
        <v>2.0712999999999999</v>
      </c>
      <c r="G711" s="64" t="s">
        <v>352</v>
      </c>
      <c r="H711" s="70"/>
      <c r="BA711" s="132" t="s">
        <v>15</v>
      </c>
      <c r="BB711" s="4">
        <v>0</v>
      </c>
      <c r="BC711">
        <v>0</v>
      </c>
    </row>
    <row r="712" spans="1:55" x14ac:dyDescent="0.3">
      <c r="A712" s="63">
        <v>9</v>
      </c>
      <c r="B712" s="65">
        <v>45719</v>
      </c>
      <c r="C712" s="63">
        <v>2</v>
      </c>
      <c r="D712" s="38" t="s">
        <v>179</v>
      </c>
      <c r="E712" s="23" t="s">
        <v>139</v>
      </c>
      <c r="F712" s="39">
        <v>2.0158</v>
      </c>
      <c r="G712" s="64" t="s">
        <v>352</v>
      </c>
      <c r="H712" s="70"/>
      <c r="BA712" s="132" t="s">
        <v>15</v>
      </c>
      <c r="BB712" s="4">
        <v>0</v>
      </c>
      <c r="BC712">
        <v>0</v>
      </c>
    </row>
    <row r="713" spans="1:55" x14ac:dyDescent="0.3">
      <c r="A713" s="63">
        <v>10</v>
      </c>
      <c r="B713" s="65">
        <v>45726</v>
      </c>
      <c r="C713" s="63">
        <v>2</v>
      </c>
      <c r="D713" s="38" t="s">
        <v>179</v>
      </c>
      <c r="E713" s="23" t="s">
        <v>139</v>
      </c>
      <c r="F713" s="39">
        <v>2.0215000000000001</v>
      </c>
      <c r="G713" s="64" t="s">
        <v>352</v>
      </c>
      <c r="H713" s="70"/>
      <c r="BA713" s="132" t="s">
        <v>15</v>
      </c>
      <c r="BB713" s="4">
        <v>0</v>
      </c>
      <c r="BC713">
        <v>0</v>
      </c>
    </row>
    <row r="714" spans="1:55" x14ac:dyDescent="0.3">
      <c r="A714" s="63">
        <v>11</v>
      </c>
      <c r="B714" s="65">
        <v>45733</v>
      </c>
      <c r="C714" s="63">
        <v>2</v>
      </c>
      <c r="D714" s="38" t="s">
        <v>179</v>
      </c>
      <c r="E714" s="23" t="s">
        <v>139</v>
      </c>
      <c r="F714" s="39">
        <v>1.8897999999999999</v>
      </c>
      <c r="G714" s="64" t="s">
        <v>352</v>
      </c>
      <c r="H714" s="70"/>
      <c r="BA714" s="132" t="s">
        <v>15</v>
      </c>
      <c r="BB714" s="4">
        <v>0</v>
      </c>
      <c r="BC714">
        <v>0</v>
      </c>
    </row>
    <row r="715" spans="1:55" x14ac:dyDescent="0.3">
      <c r="A715" s="63">
        <v>12</v>
      </c>
      <c r="B715" s="65">
        <v>45740</v>
      </c>
      <c r="C715" s="63">
        <v>2</v>
      </c>
      <c r="D715" s="38" t="s">
        <v>179</v>
      </c>
      <c r="E715" s="23" t="s">
        <v>139</v>
      </c>
      <c r="F715" s="39">
        <v>2.0192000000000001</v>
      </c>
      <c r="G715" s="64" t="s">
        <v>352</v>
      </c>
      <c r="H715" s="70"/>
      <c r="BA715" s="132" t="s">
        <v>15</v>
      </c>
      <c r="BB715" s="4">
        <v>0</v>
      </c>
      <c r="BC715">
        <v>0</v>
      </c>
    </row>
    <row r="716" spans="1:55" x14ac:dyDescent="0.3">
      <c r="A716" s="63">
        <v>13</v>
      </c>
      <c r="B716" s="65">
        <v>45747</v>
      </c>
      <c r="C716" s="63">
        <v>2</v>
      </c>
      <c r="D716" s="38" t="s">
        <v>179</v>
      </c>
      <c r="E716" s="23" t="s">
        <v>139</v>
      </c>
      <c r="F716" s="39">
        <v>1.9789000000000001</v>
      </c>
      <c r="G716" s="64" t="s">
        <v>352</v>
      </c>
      <c r="H716" s="70"/>
      <c r="BA716" s="132" t="s">
        <v>15</v>
      </c>
      <c r="BB716" s="4">
        <v>0</v>
      </c>
      <c r="BC716">
        <v>0</v>
      </c>
    </row>
    <row r="717" spans="1:55" x14ac:dyDescent="0.3">
      <c r="A717" s="63">
        <v>14</v>
      </c>
      <c r="B717" s="65">
        <v>45754</v>
      </c>
      <c r="C717" s="63">
        <v>2</v>
      </c>
      <c r="D717" s="38" t="s">
        <v>179</v>
      </c>
      <c r="E717" s="23" t="s">
        <v>139</v>
      </c>
      <c r="F717" s="39">
        <v>2.0093000000000001</v>
      </c>
      <c r="G717" s="64" t="s">
        <v>352</v>
      </c>
      <c r="H717" s="70"/>
      <c r="BA717" s="132" t="s">
        <v>15</v>
      </c>
      <c r="BB717" s="4">
        <v>0</v>
      </c>
      <c r="BC717">
        <v>0</v>
      </c>
    </row>
    <row r="718" spans="1:55" x14ac:dyDescent="0.3">
      <c r="A718" s="63">
        <v>15</v>
      </c>
      <c r="B718" s="65">
        <v>45761</v>
      </c>
      <c r="C718" s="63">
        <v>2</v>
      </c>
      <c r="D718" s="38" t="s">
        <v>179</v>
      </c>
      <c r="E718" s="23" t="s">
        <v>139</v>
      </c>
      <c r="F718" s="39">
        <v>2.0213999999999999</v>
      </c>
      <c r="G718" s="64" t="s">
        <v>352</v>
      </c>
      <c r="H718" s="70"/>
      <c r="BA718" s="132" t="s">
        <v>15</v>
      </c>
      <c r="BB718" s="4">
        <v>0</v>
      </c>
      <c r="BC718">
        <v>0</v>
      </c>
    </row>
    <row r="719" spans="1:55" x14ac:dyDescent="0.3">
      <c r="A719" s="63">
        <v>16</v>
      </c>
      <c r="B719" s="65">
        <v>45768</v>
      </c>
      <c r="C719" s="63">
        <v>2</v>
      </c>
      <c r="D719" s="38" t="s">
        <v>179</v>
      </c>
      <c r="E719" s="23" t="s">
        <v>139</v>
      </c>
      <c r="F719" s="39">
        <v>1.9717</v>
      </c>
      <c r="G719" s="64" t="s">
        <v>352</v>
      </c>
      <c r="H719" s="70"/>
      <c r="BA719" s="132" t="s">
        <v>15</v>
      </c>
      <c r="BB719" s="4">
        <v>0</v>
      </c>
      <c r="BC719">
        <v>0</v>
      </c>
    </row>
    <row r="720" spans="1:55" x14ac:dyDescent="0.3">
      <c r="A720" s="63">
        <v>17</v>
      </c>
      <c r="B720" s="65">
        <v>45775</v>
      </c>
      <c r="C720" s="63">
        <v>2</v>
      </c>
      <c r="D720" s="38" t="s">
        <v>179</v>
      </c>
      <c r="E720" s="23" t="s">
        <v>139</v>
      </c>
      <c r="F720" s="39">
        <v>1.9061999999999999</v>
      </c>
      <c r="G720" s="64" t="s">
        <v>352</v>
      </c>
      <c r="H720" s="70"/>
      <c r="BA720" s="132" t="s">
        <v>15</v>
      </c>
      <c r="BB720" s="4">
        <v>0</v>
      </c>
      <c r="BC720">
        <v>0</v>
      </c>
    </row>
    <row r="721" spans="1:55" x14ac:dyDescent="0.3">
      <c r="A721" s="63">
        <v>18</v>
      </c>
      <c r="B721" s="65">
        <v>45782</v>
      </c>
      <c r="C721" s="63">
        <v>2</v>
      </c>
      <c r="D721" s="38" t="s">
        <v>179</v>
      </c>
      <c r="E721" s="23" t="s">
        <v>139</v>
      </c>
      <c r="F721" s="39">
        <v>2.0061</v>
      </c>
      <c r="G721" s="64" t="s">
        <v>352</v>
      </c>
      <c r="H721" s="70"/>
      <c r="BA721" s="132" t="s">
        <v>15</v>
      </c>
      <c r="BB721" s="4">
        <v>0</v>
      </c>
      <c r="BC721">
        <v>0</v>
      </c>
    </row>
    <row r="722" spans="1:55" x14ac:dyDescent="0.3">
      <c r="A722" s="63">
        <v>19</v>
      </c>
      <c r="B722" s="65">
        <v>45789</v>
      </c>
      <c r="C722" s="63">
        <v>2</v>
      </c>
      <c r="D722" s="38" t="s">
        <v>179</v>
      </c>
      <c r="E722" s="23" t="s">
        <v>139</v>
      </c>
      <c r="F722" s="39">
        <v>1.9522999999999999</v>
      </c>
      <c r="G722" s="64" t="s">
        <v>352</v>
      </c>
      <c r="H722" s="70"/>
      <c r="BA722" s="132" t="s">
        <v>15</v>
      </c>
      <c r="BB722" s="4">
        <v>0</v>
      </c>
      <c r="BC722">
        <v>0</v>
      </c>
    </row>
    <row r="723" spans="1:55" x14ac:dyDescent="0.3">
      <c r="A723" s="63">
        <v>20</v>
      </c>
      <c r="B723" s="65">
        <v>45796</v>
      </c>
      <c r="C723" s="63">
        <v>2</v>
      </c>
      <c r="D723" s="38" t="s">
        <v>179</v>
      </c>
      <c r="E723" s="23" t="s">
        <v>139</v>
      </c>
      <c r="F723" s="39">
        <v>1.9722</v>
      </c>
      <c r="G723" s="64" t="s">
        <v>352</v>
      </c>
      <c r="H723" s="70"/>
      <c r="BA723" s="132" t="s">
        <v>15</v>
      </c>
      <c r="BB723" s="4">
        <v>0</v>
      </c>
      <c r="BC723">
        <v>0</v>
      </c>
    </row>
    <row r="724" spans="1:55" x14ac:dyDescent="0.3">
      <c r="A724" s="63">
        <v>21</v>
      </c>
      <c r="B724" s="65">
        <v>45803</v>
      </c>
      <c r="C724" s="63">
        <v>2</v>
      </c>
      <c r="D724" s="38" t="s">
        <v>179</v>
      </c>
      <c r="E724" s="23" t="s">
        <v>139</v>
      </c>
      <c r="F724" s="39">
        <v>1.9589000000000001</v>
      </c>
      <c r="G724" s="64" t="s">
        <v>352</v>
      </c>
      <c r="H724" s="70"/>
      <c r="BA724" s="132" t="s">
        <v>15</v>
      </c>
      <c r="BB724" s="4">
        <v>0</v>
      </c>
      <c r="BC724">
        <v>0</v>
      </c>
    </row>
    <row r="725" spans="1:55" x14ac:dyDescent="0.3">
      <c r="A725" s="63">
        <v>22</v>
      </c>
      <c r="B725" s="65">
        <v>45810</v>
      </c>
      <c r="C725" s="63">
        <v>2</v>
      </c>
      <c r="D725" s="38" t="s">
        <v>179</v>
      </c>
      <c r="E725" s="23" t="s">
        <v>139</v>
      </c>
      <c r="F725" s="39">
        <v>1.9717</v>
      </c>
      <c r="G725" s="64" t="s">
        <v>352</v>
      </c>
      <c r="H725" s="70"/>
      <c r="BA725" s="132" t="s">
        <v>15</v>
      </c>
      <c r="BB725" s="4">
        <v>0</v>
      </c>
      <c r="BC725">
        <v>0</v>
      </c>
    </row>
    <row r="726" spans="1:55" x14ac:dyDescent="0.3">
      <c r="A726" s="63">
        <v>23</v>
      </c>
      <c r="B726" s="65">
        <v>45817</v>
      </c>
      <c r="C726" s="63">
        <v>2</v>
      </c>
      <c r="D726" s="38" t="s">
        <v>179</v>
      </c>
      <c r="E726" s="23" t="s">
        <v>139</v>
      </c>
      <c r="F726" s="39">
        <v>1.8761000000000001</v>
      </c>
      <c r="G726" s="64" t="s">
        <v>352</v>
      </c>
      <c r="H726" s="70"/>
      <c r="BA726" s="132" t="s">
        <v>15</v>
      </c>
      <c r="BB726" s="4">
        <v>0</v>
      </c>
      <c r="BC726">
        <v>0</v>
      </c>
    </row>
    <row r="727" spans="1:55" x14ac:dyDescent="0.3">
      <c r="A727" s="63">
        <v>24</v>
      </c>
      <c r="B727" s="65">
        <v>45824</v>
      </c>
      <c r="C727" s="63">
        <v>2</v>
      </c>
      <c r="D727" s="38" t="s">
        <v>179</v>
      </c>
      <c r="E727" s="23" t="s">
        <v>139</v>
      </c>
      <c r="F727" s="39">
        <v>2.0474000000000001</v>
      </c>
      <c r="G727" s="64" t="s">
        <v>352</v>
      </c>
      <c r="H727" s="70"/>
      <c r="BA727" s="132" t="s">
        <v>15</v>
      </c>
      <c r="BB727" s="4">
        <v>0</v>
      </c>
      <c r="BC727">
        <v>0</v>
      </c>
    </row>
    <row r="728" spans="1:55" x14ac:dyDescent="0.3">
      <c r="A728" s="63">
        <v>25</v>
      </c>
      <c r="B728" s="65">
        <v>45831</v>
      </c>
      <c r="C728" s="63">
        <v>2</v>
      </c>
      <c r="D728" s="38" t="s">
        <v>179</v>
      </c>
      <c r="E728" s="23" t="s">
        <v>139</v>
      </c>
      <c r="F728" s="39">
        <v>2.0005999999999999</v>
      </c>
      <c r="G728" s="64" t="s">
        <v>352</v>
      </c>
      <c r="H728" s="70"/>
      <c r="BA728" s="132" t="s">
        <v>15</v>
      </c>
      <c r="BB728" s="4">
        <v>0</v>
      </c>
      <c r="BC728">
        <v>0</v>
      </c>
    </row>
    <row r="729" spans="1:55" x14ac:dyDescent="0.3">
      <c r="A729" s="63">
        <v>1</v>
      </c>
      <c r="B729" s="65">
        <v>45663</v>
      </c>
      <c r="C729" s="63">
        <v>3</v>
      </c>
      <c r="D729" s="38" t="s">
        <v>180</v>
      </c>
      <c r="E729" s="23" t="s">
        <v>139</v>
      </c>
      <c r="F729" s="39">
        <v>4.2352999999999996</v>
      </c>
      <c r="G729" s="64" t="s">
        <v>352</v>
      </c>
      <c r="H729" s="70"/>
      <c r="BA729" s="132" t="s">
        <v>15</v>
      </c>
      <c r="BB729" s="4">
        <v>0</v>
      </c>
      <c r="BC729">
        <v>0</v>
      </c>
    </row>
    <row r="730" spans="1:55" x14ac:dyDescent="0.3">
      <c r="A730" s="63">
        <v>2</v>
      </c>
      <c r="B730" s="65">
        <v>45670</v>
      </c>
      <c r="C730" s="63">
        <v>3</v>
      </c>
      <c r="D730" s="38" t="s">
        <v>180</v>
      </c>
      <c r="E730" s="23" t="s">
        <v>139</v>
      </c>
      <c r="F730" s="39">
        <v>4.3898999999999999</v>
      </c>
      <c r="G730" s="64" t="s">
        <v>352</v>
      </c>
      <c r="H730" s="70"/>
      <c r="BA730" s="132" t="s">
        <v>15</v>
      </c>
      <c r="BB730" s="4">
        <v>0</v>
      </c>
      <c r="BC730">
        <v>0</v>
      </c>
    </row>
    <row r="731" spans="1:55" x14ac:dyDescent="0.3">
      <c r="A731" s="63">
        <v>3</v>
      </c>
      <c r="B731" s="65">
        <v>45677</v>
      </c>
      <c r="C731" s="63">
        <v>3</v>
      </c>
      <c r="D731" s="38" t="s">
        <v>180</v>
      </c>
      <c r="E731" s="23" t="s">
        <v>139</v>
      </c>
      <c r="F731" s="39">
        <v>4.0415999999999999</v>
      </c>
      <c r="G731" s="64" t="s">
        <v>352</v>
      </c>
      <c r="H731" s="70"/>
      <c r="BA731" s="132" t="s">
        <v>15</v>
      </c>
      <c r="BB731" s="4">
        <v>0</v>
      </c>
      <c r="BC731">
        <v>0</v>
      </c>
    </row>
    <row r="732" spans="1:55" x14ac:dyDescent="0.3">
      <c r="A732" s="63">
        <v>4</v>
      </c>
      <c r="B732" s="65">
        <v>45684</v>
      </c>
      <c r="C732" s="63">
        <v>3</v>
      </c>
      <c r="D732" s="38" t="s">
        <v>180</v>
      </c>
      <c r="E732" s="23" t="s">
        <v>139</v>
      </c>
      <c r="F732" s="39">
        <v>3.7168999999999999</v>
      </c>
      <c r="G732" s="64" t="s">
        <v>352</v>
      </c>
      <c r="H732" s="70"/>
      <c r="BA732" s="132" t="s">
        <v>15</v>
      </c>
      <c r="BB732" s="4">
        <v>0</v>
      </c>
      <c r="BC732">
        <v>0</v>
      </c>
    </row>
    <row r="733" spans="1:55" x14ac:dyDescent="0.3">
      <c r="A733" s="63">
        <v>5</v>
      </c>
      <c r="B733" s="65">
        <v>45691</v>
      </c>
      <c r="C733" s="63">
        <v>3</v>
      </c>
      <c r="D733" s="38" t="s">
        <v>180</v>
      </c>
      <c r="E733" s="23" t="s">
        <v>139</v>
      </c>
      <c r="F733" s="39">
        <v>3.8784999999999998</v>
      </c>
      <c r="G733" s="64" t="s">
        <v>352</v>
      </c>
      <c r="H733" s="70"/>
      <c r="BA733" s="132" t="s">
        <v>15</v>
      </c>
      <c r="BB733" s="4">
        <v>0</v>
      </c>
      <c r="BC733">
        <v>0</v>
      </c>
    </row>
    <row r="734" spans="1:55" x14ac:dyDescent="0.3">
      <c r="A734" s="63">
        <v>6</v>
      </c>
      <c r="B734" s="65">
        <v>45698</v>
      </c>
      <c r="C734" s="63">
        <v>3</v>
      </c>
      <c r="D734" s="38" t="s">
        <v>180</v>
      </c>
      <c r="E734" s="23" t="s">
        <v>139</v>
      </c>
      <c r="F734" s="39">
        <v>3.8228</v>
      </c>
      <c r="G734" s="64" t="s">
        <v>352</v>
      </c>
      <c r="H734" s="70"/>
      <c r="BA734" s="132" t="s">
        <v>15</v>
      </c>
      <c r="BB734" s="4">
        <v>0</v>
      </c>
      <c r="BC734">
        <v>0</v>
      </c>
    </row>
    <row r="735" spans="1:55" x14ac:dyDescent="0.3">
      <c r="A735" s="63">
        <v>7</v>
      </c>
      <c r="B735" s="65">
        <v>45705</v>
      </c>
      <c r="C735" s="63">
        <v>3</v>
      </c>
      <c r="D735" s="38" t="s">
        <v>180</v>
      </c>
      <c r="E735" s="23" t="s">
        <v>139</v>
      </c>
      <c r="F735" s="39">
        <v>3.9483000000000001</v>
      </c>
      <c r="G735" s="64" t="s">
        <v>352</v>
      </c>
      <c r="H735" s="70"/>
      <c r="BA735" s="132" t="s">
        <v>15</v>
      </c>
      <c r="BB735" s="4">
        <v>0</v>
      </c>
      <c r="BC735">
        <v>0</v>
      </c>
    </row>
    <row r="736" spans="1:55" x14ac:dyDescent="0.3">
      <c r="A736" s="63">
        <v>8</v>
      </c>
      <c r="B736" s="65">
        <v>45712</v>
      </c>
      <c r="C736" s="63">
        <v>3</v>
      </c>
      <c r="D736" s="38" t="s">
        <v>180</v>
      </c>
      <c r="E736" s="23" t="s">
        <v>139</v>
      </c>
      <c r="F736" s="39">
        <v>4.0518000000000001</v>
      </c>
      <c r="G736" s="64" t="s">
        <v>352</v>
      </c>
      <c r="H736" s="70"/>
      <c r="BA736" s="132" t="s">
        <v>15</v>
      </c>
      <c r="BB736" s="4">
        <v>0</v>
      </c>
      <c r="BC736">
        <v>0</v>
      </c>
    </row>
    <row r="737" spans="1:55" x14ac:dyDescent="0.3">
      <c r="A737" s="63">
        <v>9</v>
      </c>
      <c r="B737" s="65">
        <v>45719</v>
      </c>
      <c r="C737" s="63">
        <v>3</v>
      </c>
      <c r="D737" s="38" t="s">
        <v>180</v>
      </c>
      <c r="E737" s="23" t="s">
        <v>139</v>
      </c>
      <c r="F737" s="39">
        <v>3.6812999999999998</v>
      </c>
      <c r="G737" s="64" t="s">
        <v>352</v>
      </c>
      <c r="H737" s="70"/>
      <c r="BA737" s="132" t="s">
        <v>15</v>
      </c>
      <c r="BB737" s="4">
        <v>0</v>
      </c>
      <c r="BC737">
        <v>0</v>
      </c>
    </row>
    <row r="738" spans="1:55" x14ac:dyDescent="0.3">
      <c r="A738" s="63">
        <v>10</v>
      </c>
      <c r="B738" s="65">
        <v>45726</v>
      </c>
      <c r="C738" s="63">
        <v>3</v>
      </c>
      <c r="D738" s="38" t="s">
        <v>180</v>
      </c>
      <c r="E738" s="23" t="s">
        <v>139</v>
      </c>
      <c r="F738" s="39">
        <v>4.0984999999999996</v>
      </c>
      <c r="G738" s="64" t="s">
        <v>352</v>
      </c>
      <c r="H738" s="70"/>
      <c r="BA738" s="132" t="s">
        <v>15</v>
      </c>
      <c r="BB738" s="4">
        <v>0</v>
      </c>
      <c r="BC738">
        <v>0</v>
      </c>
    </row>
    <row r="739" spans="1:55" x14ac:dyDescent="0.3">
      <c r="A739" s="63">
        <v>11</v>
      </c>
      <c r="B739" s="65">
        <v>45733</v>
      </c>
      <c r="C739" s="63">
        <v>3</v>
      </c>
      <c r="D739" s="38" t="s">
        <v>180</v>
      </c>
      <c r="E739" s="23" t="s">
        <v>139</v>
      </c>
      <c r="F739" s="39">
        <v>3.7688000000000001</v>
      </c>
      <c r="G739" s="64" t="s">
        <v>352</v>
      </c>
      <c r="H739" s="70"/>
      <c r="BA739" s="132" t="s">
        <v>15</v>
      </c>
      <c r="BB739" s="4">
        <v>0</v>
      </c>
      <c r="BC739">
        <v>0</v>
      </c>
    </row>
    <row r="740" spans="1:55" x14ac:dyDescent="0.3">
      <c r="A740" s="63">
        <v>12</v>
      </c>
      <c r="B740" s="65">
        <v>45740</v>
      </c>
      <c r="C740" s="63">
        <v>3</v>
      </c>
      <c r="D740" s="38" t="s">
        <v>180</v>
      </c>
      <c r="E740" s="23" t="s">
        <v>139</v>
      </c>
      <c r="F740" s="39">
        <v>4.0904999999999996</v>
      </c>
      <c r="G740" s="64" t="s">
        <v>352</v>
      </c>
      <c r="H740" s="70"/>
      <c r="BA740" s="132" t="s">
        <v>15</v>
      </c>
      <c r="BB740" s="4">
        <v>0</v>
      </c>
      <c r="BC740">
        <v>0</v>
      </c>
    </row>
    <row r="741" spans="1:55" x14ac:dyDescent="0.3">
      <c r="A741" s="63">
        <v>13</v>
      </c>
      <c r="B741" s="65">
        <v>45747</v>
      </c>
      <c r="C741" s="63">
        <v>3</v>
      </c>
      <c r="D741" s="38" t="s">
        <v>180</v>
      </c>
      <c r="E741" s="23" t="s">
        <v>139</v>
      </c>
      <c r="F741" s="39">
        <v>4.0180999999999996</v>
      </c>
      <c r="G741" s="64" t="s">
        <v>352</v>
      </c>
      <c r="H741" s="70"/>
      <c r="BA741" s="132" t="s">
        <v>15</v>
      </c>
      <c r="BB741" s="4">
        <v>0</v>
      </c>
      <c r="BC741">
        <v>0</v>
      </c>
    </row>
    <row r="742" spans="1:55" x14ac:dyDescent="0.3">
      <c r="A742" s="63">
        <v>14</v>
      </c>
      <c r="B742" s="65">
        <v>45754</v>
      </c>
      <c r="C742" s="63">
        <v>3</v>
      </c>
      <c r="D742" s="38" t="s">
        <v>180</v>
      </c>
      <c r="E742" s="23" t="s">
        <v>139</v>
      </c>
      <c r="F742" s="39">
        <v>3.9817999999999998</v>
      </c>
      <c r="G742" s="64" t="s">
        <v>352</v>
      </c>
      <c r="H742" s="70"/>
      <c r="BA742" s="132" t="s">
        <v>15</v>
      </c>
      <c r="BB742" s="4">
        <v>0</v>
      </c>
      <c r="BC742">
        <v>0</v>
      </c>
    </row>
    <row r="743" spans="1:55" x14ac:dyDescent="0.3">
      <c r="A743" s="63">
        <v>15</v>
      </c>
      <c r="B743" s="65">
        <v>45761</v>
      </c>
      <c r="C743" s="63">
        <v>3</v>
      </c>
      <c r="D743" s="38" t="s">
        <v>180</v>
      </c>
      <c r="E743" s="23" t="s">
        <v>139</v>
      </c>
      <c r="F743" s="39">
        <v>4.0246000000000004</v>
      </c>
      <c r="G743" s="64" t="s">
        <v>352</v>
      </c>
      <c r="H743" s="70"/>
      <c r="BA743" s="132" t="s">
        <v>15</v>
      </c>
      <c r="BB743" s="4">
        <v>0</v>
      </c>
      <c r="BC743">
        <v>0</v>
      </c>
    </row>
    <row r="744" spans="1:55" x14ac:dyDescent="0.3">
      <c r="A744" s="63">
        <v>16</v>
      </c>
      <c r="B744" s="65">
        <v>45768</v>
      </c>
      <c r="C744" s="63">
        <v>3</v>
      </c>
      <c r="D744" s="38" t="s">
        <v>180</v>
      </c>
      <c r="E744" s="23" t="s">
        <v>139</v>
      </c>
      <c r="F744" s="39">
        <v>3.9415</v>
      </c>
      <c r="G744" s="64" t="s">
        <v>352</v>
      </c>
      <c r="H744" s="70"/>
      <c r="BA744" s="132" t="s">
        <v>15</v>
      </c>
      <c r="BB744" s="4">
        <v>0</v>
      </c>
      <c r="BC744">
        <v>0</v>
      </c>
    </row>
    <row r="745" spans="1:55" x14ac:dyDescent="0.3">
      <c r="A745" s="63">
        <v>17</v>
      </c>
      <c r="B745" s="65">
        <v>45775</v>
      </c>
      <c r="C745" s="63">
        <v>3</v>
      </c>
      <c r="D745" s="38" t="s">
        <v>180</v>
      </c>
      <c r="E745" s="23" t="s">
        <v>139</v>
      </c>
      <c r="F745" s="39">
        <v>3.9285999999999999</v>
      </c>
      <c r="G745" s="64" t="s">
        <v>352</v>
      </c>
      <c r="H745" s="70"/>
      <c r="BA745" s="132" t="s">
        <v>15</v>
      </c>
      <c r="BB745" s="4">
        <v>0</v>
      </c>
      <c r="BC745">
        <v>0</v>
      </c>
    </row>
    <row r="746" spans="1:55" x14ac:dyDescent="0.3">
      <c r="A746" s="63">
        <v>18</v>
      </c>
      <c r="B746" s="65">
        <v>45782</v>
      </c>
      <c r="C746" s="63">
        <v>3</v>
      </c>
      <c r="D746" s="38" t="s">
        <v>180</v>
      </c>
      <c r="E746" s="23" t="s">
        <v>139</v>
      </c>
      <c r="F746" s="39">
        <v>3.7382</v>
      </c>
      <c r="G746" s="64" t="s">
        <v>352</v>
      </c>
      <c r="H746" s="70"/>
      <c r="BA746" s="132" t="s">
        <v>15</v>
      </c>
      <c r="BB746" s="4">
        <v>0</v>
      </c>
      <c r="BC746">
        <v>0</v>
      </c>
    </row>
    <row r="747" spans="1:55" x14ac:dyDescent="0.3">
      <c r="A747" s="63">
        <v>19</v>
      </c>
      <c r="B747" s="65">
        <v>45789</v>
      </c>
      <c r="C747" s="63">
        <v>3</v>
      </c>
      <c r="D747" s="38" t="s">
        <v>180</v>
      </c>
      <c r="E747" s="23" t="s">
        <v>139</v>
      </c>
      <c r="F747" s="39">
        <v>4.0323000000000002</v>
      </c>
      <c r="G747" s="64" t="s">
        <v>352</v>
      </c>
      <c r="H747" s="70"/>
      <c r="BA747" s="132" t="s">
        <v>15</v>
      </c>
      <c r="BB747" s="4">
        <v>0</v>
      </c>
      <c r="BC747">
        <v>0</v>
      </c>
    </row>
    <row r="748" spans="1:55" x14ac:dyDescent="0.3">
      <c r="A748" s="63">
        <v>20</v>
      </c>
      <c r="B748" s="65">
        <v>45796</v>
      </c>
      <c r="C748" s="63">
        <v>3</v>
      </c>
      <c r="D748" s="38" t="s">
        <v>180</v>
      </c>
      <c r="E748" s="23" t="s">
        <v>139</v>
      </c>
      <c r="F748" s="39">
        <v>4.3659999999999997</v>
      </c>
      <c r="G748" s="64" t="s">
        <v>352</v>
      </c>
      <c r="H748" s="70"/>
      <c r="BA748" s="132" t="s">
        <v>15</v>
      </c>
      <c r="BB748" s="4">
        <v>0</v>
      </c>
      <c r="BC748">
        <v>0</v>
      </c>
    </row>
    <row r="749" spans="1:55" x14ac:dyDescent="0.3">
      <c r="A749" s="63">
        <v>21</v>
      </c>
      <c r="B749" s="65">
        <v>45803</v>
      </c>
      <c r="C749" s="63">
        <v>3</v>
      </c>
      <c r="D749" s="38" t="s">
        <v>180</v>
      </c>
      <c r="E749" s="23" t="s">
        <v>139</v>
      </c>
      <c r="F749" s="39">
        <v>4.3899999999999997</v>
      </c>
      <c r="G749" s="64" t="s">
        <v>352</v>
      </c>
      <c r="H749" s="70"/>
      <c r="BA749" s="132" t="s">
        <v>15</v>
      </c>
      <c r="BB749" s="4">
        <v>0</v>
      </c>
      <c r="BC749">
        <v>0</v>
      </c>
    </row>
    <row r="750" spans="1:55" x14ac:dyDescent="0.3">
      <c r="A750" s="63">
        <v>22</v>
      </c>
      <c r="B750" s="65">
        <v>45810</v>
      </c>
      <c r="C750" s="63">
        <v>3</v>
      </c>
      <c r="D750" s="38" t="s">
        <v>180</v>
      </c>
      <c r="E750" s="23" t="s">
        <v>139</v>
      </c>
      <c r="F750" s="39">
        <v>4.2728000000000002</v>
      </c>
      <c r="G750" s="64" t="s">
        <v>352</v>
      </c>
      <c r="H750" s="70"/>
      <c r="BA750" s="132" t="s">
        <v>15</v>
      </c>
      <c r="BB750" s="4">
        <v>0</v>
      </c>
      <c r="BC750">
        <v>0</v>
      </c>
    </row>
    <row r="751" spans="1:55" x14ac:dyDescent="0.3">
      <c r="A751" s="63">
        <v>23</v>
      </c>
      <c r="B751" s="65">
        <v>45817</v>
      </c>
      <c r="C751" s="63">
        <v>3</v>
      </c>
      <c r="D751" s="38" t="s">
        <v>180</v>
      </c>
      <c r="E751" s="23" t="s">
        <v>139</v>
      </c>
      <c r="F751" s="39">
        <v>4.1631999999999998</v>
      </c>
      <c r="G751" s="64" t="s">
        <v>352</v>
      </c>
      <c r="H751" s="70"/>
      <c r="BA751" s="132" t="s">
        <v>15</v>
      </c>
      <c r="BB751" s="4">
        <v>0</v>
      </c>
      <c r="BC751">
        <v>0</v>
      </c>
    </row>
    <row r="752" spans="1:55" x14ac:dyDescent="0.3">
      <c r="A752" s="63">
        <v>24</v>
      </c>
      <c r="B752" s="65">
        <v>45824</v>
      </c>
      <c r="C752" s="63">
        <v>3</v>
      </c>
      <c r="D752" s="38" t="s">
        <v>180</v>
      </c>
      <c r="E752" s="23" t="s">
        <v>139</v>
      </c>
      <c r="F752" s="39">
        <v>3.9171999999999998</v>
      </c>
      <c r="G752" s="64" t="s">
        <v>352</v>
      </c>
      <c r="H752" s="70"/>
      <c r="BA752" s="132" t="s">
        <v>15</v>
      </c>
      <c r="BB752" s="4">
        <v>0</v>
      </c>
      <c r="BC752">
        <v>0</v>
      </c>
    </row>
    <row r="753" spans="1:55" x14ac:dyDescent="0.3">
      <c r="A753" s="63">
        <v>25</v>
      </c>
      <c r="B753" s="65">
        <v>45831</v>
      </c>
      <c r="C753" s="63">
        <v>3</v>
      </c>
      <c r="D753" s="38" t="s">
        <v>180</v>
      </c>
      <c r="E753" s="23" t="s">
        <v>139</v>
      </c>
      <c r="F753" s="39">
        <v>4.2942999999999998</v>
      </c>
      <c r="G753" s="64" t="s">
        <v>352</v>
      </c>
      <c r="H753" s="70"/>
      <c r="BA753" s="132" t="s">
        <v>15</v>
      </c>
      <c r="BB753" s="4">
        <v>0</v>
      </c>
      <c r="BC753">
        <v>0</v>
      </c>
    </row>
    <row r="754" spans="1:55" x14ac:dyDescent="0.3">
      <c r="A754" s="63">
        <v>1</v>
      </c>
      <c r="B754" s="65">
        <v>45663</v>
      </c>
      <c r="C754" s="63">
        <v>1</v>
      </c>
      <c r="D754" s="38" t="s">
        <v>178</v>
      </c>
      <c r="E754" s="23" t="s">
        <v>140</v>
      </c>
      <c r="F754" s="39">
        <v>0.34460000000000002</v>
      </c>
      <c r="G754" s="64" t="s">
        <v>352</v>
      </c>
      <c r="H754" s="70"/>
      <c r="BA754" s="132" t="s">
        <v>15</v>
      </c>
      <c r="BB754" s="4">
        <v>1</v>
      </c>
      <c r="BC754">
        <v>0</v>
      </c>
    </row>
    <row r="755" spans="1:55" x14ac:dyDescent="0.3">
      <c r="A755" s="63">
        <v>2</v>
      </c>
      <c r="B755" s="65">
        <v>45670</v>
      </c>
      <c r="C755" s="63">
        <v>1</v>
      </c>
      <c r="D755" s="38" t="s">
        <v>178</v>
      </c>
      <c r="E755" s="23" t="s">
        <v>140</v>
      </c>
      <c r="F755" s="39">
        <v>0.34420000000000001</v>
      </c>
      <c r="G755" s="64" t="s">
        <v>352</v>
      </c>
      <c r="H755" s="70"/>
      <c r="BA755" s="132" t="s">
        <v>15</v>
      </c>
      <c r="BB755" s="4">
        <v>1</v>
      </c>
      <c r="BC755">
        <v>0</v>
      </c>
    </row>
    <row r="756" spans="1:55" x14ac:dyDescent="0.3">
      <c r="A756" s="63">
        <v>3</v>
      </c>
      <c r="B756" s="65">
        <v>45677</v>
      </c>
      <c r="C756" s="63">
        <v>1</v>
      </c>
      <c r="D756" s="38" t="s">
        <v>178</v>
      </c>
      <c r="E756" s="23" t="s">
        <v>140</v>
      </c>
      <c r="F756" s="39">
        <v>0.3377</v>
      </c>
      <c r="G756" s="64" t="s">
        <v>352</v>
      </c>
      <c r="H756" s="70"/>
      <c r="BA756" s="132" t="s">
        <v>15</v>
      </c>
      <c r="BB756" s="4">
        <v>1</v>
      </c>
      <c r="BC756">
        <v>0</v>
      </c>
    </row>
    <row r="757" spans="1:55" x14ac:dyDescent="0.3">
      <c r="A757" s="63">
        <v>4</v>
      </c>
      <c r="B757" s="65">
        <v>45684</v>
      </c>
      <c r="C757" s="63">
        <v>1</v>
      </c>
      <c r="D757" s="38" t="s">
        <v>178</v>
      </c>
      <c r="E757" s="23" t="s">
        <v>140</v>
      </c>
      <c r="F757" s="39">
        <v>0.34889999999999999</v>
      </c>
      <c r="G757" s="64" t="s">
        <v>352</v>
      </c>
      <c r="H757" s="70"/>
      <c r="BA757" s="132" t="s">
        <v>15</v>
      </c>
      <c r="BB757" s="4">
        <v>1</v>
      </c>
      <c r="BC757">
        <v>0</v>
      </c>
    </row>
    <row r="758" spans="1:55" x14ac:dyDescent="0.3">
      <c r="A758" s="63">
        <v>5</v>
      </c>
      <c r="B758" s="65">
        <v>45691</v>
      </c>
      <c r="C758" s="63">
        <v>1</v>
      </c>
      <c r="D758" s="38" t="s">
        <v>178</v>
      </c>
      <c r="E758" s="23" t="s">
        <v>140</v>
      </c>
      <c r="F758" s="39">
        <v>0.33350000000000002</v>
      </c>
      <c r="G758" s="64" t="s">
        <v>352</v>
      </c>
      <c r="H758" s="70"/>
      <c r="BA758" s="132" t="s">
        <v>15</v>
      </c>
      <c r="BB758" s="4">
        <v>1</v>
      </c>
      <c r="BC758">
        <v>0</v>
      </c>
    </row>
    <row r="759" spans="1:55" x14ac:dyDescent="0.3">
      <c r="A759" s="63">
        <v>6</v>
      </c>
      <c r="B759" s="65">
        <v>45698</v>
      </c>
      <c r="C759" s="63">
        <v>1</v>
      </c>
      <c r="D759" s="38" t="s">
        <v>178</v>
      </c>
      <c r="E759" s="23" t="s">
        <v>140</v>
      </c>
      <c r="F759" s="39">
        <v>0.34379999999999999</v>
      </c>
      <c r="G759" s="64" t="s">
        <v>352</v>
      </c>
      <c r="H759" s="70"/>
      <c r="BA759" s="132" t="s">
        <v>15</v>
      </c>
      <c r="BB759" s="4">
        <v>1</v>
      </c>
      <c r="BC759">
        <v>0</v>
      </c>
    </row>
    <row r="760" spans="1:55" x14ac:dyDescent="0.3">
      <c r="A760" s="63">
        <v>7</v>
      </c>
      <c r="B760" s="65">
        <v>45705</v>
      </c>
      <c r="C760" s="63">
        <v>1</v>
      </c>
      <c r="D760" s="38" t="s">
        <v>178</v>
      </c>
      <c r="E760" s="23" t="s">
        <v>140</v>
      </c>
      <c r="F760" s="39">
        <v>0.3145</v>
      </c>
      <c r="G760" s="64" t="s">
        <v>352</v>
      </c>
      <c r="H760" s="70"/>
      <c r="BA760" s="132" t="s">
        <v>15</v>
      </c>
      <c r="BB760" s="4">
        <v>1</v>
      </c>
      <c r="BC760">
        <v>0</v>
      </c>
    </row>
    <row r="761" spans="1:55" x14ac:dyDescent="0.3">
      <c r="A761" s="63">
        <v>8</v>
      </c>
      <c r="B761" s="65">
        <v>45712</v>
      </c>
      <c r="C761" s="63">
        <v>1</v>
      </c>
      <c r="D761" s="38" t="s">
        <v>178</v>
      </c>
      <c r="E761" s="23" t="s">
        <v>140</v>
      </c>
      <c r="F761" s="39">
        <v>0.33529999999999999</v>
      </c>
      <c r="G761" s="64" t="s">
        <v>352</v>
      </c>
      <c r="H761" s="70"/>
      <c r="BA761" s="132" t="s">
        <v>15</v>
      </c>
      <c r="BB761" s="4">
        <v>1</v>
      </c>
      <c r="BC761">
        <v>0</v>
      </c>
    </row>
    <row r="762" spans="1:55" x14ac:dyDescent="0.3">
      <c r="A762" s="63">
        <v>9</v>
      </c>
      <c r="B762" s="65">
        <v>45719</v>
      </c>
      <c r="C762" s="63">
        <v>1</v>
      </c>
      <c r="D762" s="38" t="s">
        <v>178</v>
      </c>
      <c r="E762" s="23" t="s">
        <v>140</v>
      </c>
      <c r="F762" s="39">
        <v>0.4128</v>
      </c>
      <c r="G762" s="64" t="s">
        <v>352</v>
      </c>
      <c r="H762" s="70"/>
      <c r="BA762" s="132" t="s">
        <v>15</v>
      </c>
      <c r="BB762" s="4">
        <v>1</v>
      </c>
      <c r="BC762">
        <v>0</v>
      </c>
    </row>
    <row r="763" spans="1:55" x14ac:dyDescent="0.3">
      <c r="A763" s="63">
        <v>10</v>
      </c>
      <c r="B763" s="65">
        <v>45726</v>
      </c>
      <c r="C763" s="63">
        <v>1</v>
      </c>
      <c r="D763" s="38" t="s">
        <v>178</v>
      </c>
      <c r="E763" s="23" t="s">
        <v>140</v>
      </c>
      <c r="F763" s="39">
        <v>0.34420000000000001</v>
      </c>
      <c r="G763" s="64" t="s">
        <v>352</v>
      </c>
      <c r="H763" s="70"/>
      <c r="BA763" s="132" t="s">
        <v>15</v>
      </c>
      <c r="BB763" s="4">
        <v>1</v>
      </c>
      <c r="BC763">
        <v>0</v>
      </c>
    </row>
    <row r="764" spans="1:55" x14ac:dyDescent="0.3">
      <c r="A764" s="63">
        <v>11</v>
      </c>
      <c r="B764" s="65">
        <v>45733</v>
      </c>
      <c r="C764" s="63">
        <v>1</v>
      </c>
      <c r="D764" s="38" t="s">
        <v>178</v>
      </c>
      <c r="E764" s="23" t="s">
        <v>140</v>
      </c>
      <c r="F764" s="39">
        <v>0.3392</v>
      </c>
      <c r="G764" s="64" t="s">
        <v>352</v>
      </c>
      <c r="H764" s="70"/>
      <c r="BA764" s="132" t="s">
        <v>15</v>
      </c>
      <c r="BB764" s="4">
        <v>1</v>
      </c>
      <c r="BC764">
        <v>0</v>
      </c>
    </row>
    <row r="765" spans="1:55" x14ac:dyDescent="0.3">
      <c r="A765" s="63">
        <v>12</v>
      </c>
      <c r="B765" s="65">
        <v>45740</v>
      </c>
      <c r="C765" s="63">
        <v>1</v>
      </c>
      <c r="D765" s="38" t="s">
        <v>178</v>
      </c>
      <c r="E765" s="23" t="s">
        <v>140</v>
      </c>
      <c r="F765" s="39">
        <v>0.36180000000000001</v>
      </c>
      <c r="G765" s="64" t="s">
        <v>352</v>
      </c>
      <c r="H765" s="70"/>
      <c r="BA765" s="132" t="s">
        <v>15</v>
      </c>
      <c r="BB765" s="4">
        <v>1</v>
      </c>
      <c r="BC765">
        <v>0</v>
      </c>
    </row>
    <row r="766" spans="1:55" x14ac:dyDescent="0.3">
      <c r="A766" s="63">
        <v>13</v>
      </c>
      <c r="B766" s="65">
        <v>45747</v>
      </c>
      <c r="C766" s="63">
        <v>1</v>
      </c>
      <c r="D766" s="38" t="s">
        <v>178</v>
      </c>
      <c r="E766" s="23" t="s">
        <v>140</v>
      </c>
      <c r="F766" s="39">
        <v>0.3669</v>
      </c>
      <c r="G766" s="64" t="s">
        <v>352</v>
      </c>
      <c r="H766" s="70"/>
      <c r="BA766" s="132" t="s">
        <v>15</v>
      </c>
      <c r="BB766" s="4">
        <v>1</v>
      </c>
      <c r="BC766">
        <v>0</v>
      </c>
    </row>
    <row r="767" spans="1:55" x14ac:dyDescent="0.3">
      <c r="A767" s="63">
        <v>14</v>
      </c>
      <c r="B767" s="65">
        <v>45754</v>
      </c>
      <c r="C767" s="63">
        <v>1</v>
      </c>
      <c r="D767" s="38" t="s">
        <v>178</v>
      </c>
      <c r="E767" s="23" t="s">
        <v>140</v>
      </c>
      <c r="F767" s="39">
        <v>0.31369999999999998</v>
      </c>
      <c r="G767" s="64" t="s">
        <v>352</v>
      </c>
      <c r="H767" s="70"/>
      <c r="BA767" s="132" t="s">
        <v>15</v>
      </c>
      <c r="BB767" s="4">
        <v>1</v>
      </c>
      <c r="BC767">
        <v>0</v>
      </c>
    </row>
    <row r="768" spans="1:55" x14ac:dyDescent="0.3">
      <c r="A768" s="63">
        <v>15</v>
      </c>
      <c r="B768" s="65">
        <v>45761</v>
      </c>
      <c r="C768" s="63">
        <v>1</v>
      </c>
      <c r="D768" s="38" t="s">
        <v>178</v>
      </c>
      <c r="E768" s="23" t="s">
        <v>140</v>
      </c>
      <c r="F768" s="39">
        <v>0.3402</v>
      </c>
      <c r="G768" s="64" t="s">
        <v>352</v>
      </c>
      <c r="H768" s="70"/>
      <c r="BA768" s="132" t="s">
        <v>15</v>
      </c>
      <c r="BB768" s="4">
        <v>1</v>
      </c>
      <c r="BC768">
        <v>0</v>
      </c>
    </row>
    <row r="769" spans="1:55" x14ac:dyDescent="0.3">
      <c r="A769" s="63">
        <v>16</v>
      </c>
      <c r="B769" s="65">
        <v>45768</v>
      </c>
      <c r="C769" s="63">
        <v>1</v>
      </c>
      <c r="D769" s="38" t="s">
        <v>178</v>
      </c>
      <c r="E769" s="23" t="s">
        <v>140</v>
      </c>
      <c r="F769" s="39">
        <v>0.373</v>
      </c>
      <c r="G769" s="64" t="s">
        <v>352</v>
      </c>
      <c r="H769" s="70"/>
      <c r="BA769" s="132" t="s">
        <v>15</v>
      </c>
      <c r="BB769" s="4">
        <v>1</v>
      </c>
      <c r="BC769">
        <v>0</v>
      </c>
    </row>
    <row r="770" spans="1:55" x14ac:dyDescent="0.3">
      <c r="A770" s="63">
        <v>17</v>
      </c>
      <c r="B770" s="65">
        <v>45775</v>
      </c>
      <c r="C770" s="63">
        <v>1</v>
      </c>
      <c r="D770" s="38" t="s">
        <v>178</v>
      </c>
      <c r="E770" s="23" t="s">
        <v>140</v>
      </c>
      <c r="F770" s="39">
        <v>0.35410000000000003</v>
      </c>
      <c r="G770" s="64" t="s">
        <v>352</v>
      </c>
      <c r="H770" s="70"/>
      <c r="BA770" s="132" t="s">
        <v>15</v>
      </c>
      <c r="BB770" s="4">
        <v>1</v>
      </c>
      <c r="BC770">
        <v>0</v>
      </c>
    </row>
    <row r="771" spans="1:55" x14ac:dyDescent="0.3">
      <c r="A771" s="63">
        <v>18</v>
      </c>
      <c r="B771" s="65">
        <v>45782</v>
      </c>
      <c r="C771" s="63">
        <v>1</v>
      </c>
      <c r="D771" s="38" t="s">
        <v>178</v>
      </c>
      <c r="E771" s="23" t="s">
        <v>140</v>
      </c>
      <c r="F771" s="39">
        <v>0.3498</v>
      </c>
      <c r="G771" s="64" t="s">
        <v>352</v>
      </c>
      <c r="H771" s="70"/>
      <c r="BA771" s="132" t="s">
        <v>15</v>
      </c>
      <c r="BB771" s="4">
        <v>1</v>
      </c>
      <c r="BC771">
        <v>0</v>
      </c>
    </row>
    <row r="772" spans="1:55" x14ac:dyDescent="0.3">
      <c r="A772" s="63">
        <v>19</v>
      </c>
      <c r="B772" s="65">
        <v>45789</v>
      </c>
      <c r="C772" s="63">
        <v>1</v>
      </c>
      <c r="D772" s="38" t="s">
        <v>178</v>
      </c>
      <c r="E772" s="23" t="s">
        <v>140</v>
      </c>
      <c r="F772" s="39">
        <v>0.3916</v>
      </c>
      <c r="G772" s="64" t="s">
        <v>352</v>
      </c>
      <c r="H772" s="70"/>
      <c r="BA772" s="132" t="s">
        <v>15</v>
      </c>
      <c r="BB772" s="4">
        <v>1</v>
      </c>
      <c r="BC772">
        <v>0</v>
      </c>
    </row>
    <row r="773" spans="1:55" x14ac:dyDescent="0.3">
      <c r="A773" s="63">
        <v>20</v>
      </c>
      <c r="B773" s="65">
        <v>45796</v>
      </c>
      <c r="C773" s="63">
        <v>1</v>
      </c>
      <c r="D773" s="38" t="s">
        <v>178</v>
      </c>
      <c r="E773" s="23" t="s">
        <v>140</v>
      </c>
      <c r="F773" s="39">
        <v>0.32640000000000002</v>
      </c>
      <c r="G773" s="64" t="s">
        <v>352</v>
      </c>
      <c r="H773" s="70"/>
      <c r="BA773" s="132" t="s">
        <v>15</v>
      </c>
      <c r="BB773" s="4">
        <v>1</v>
      </c>
      <c r="BC773">
        <v>0</v>
      </c>
    </row>
    <row r="774" spans="1:55" x14ac:dyDescent="0.3">
      <c r="A774" s="63">
        <v>21</v>
      </c>
      <c r="B774" s="65">
        <v>45803</v>
      </c>
      <c r="C774" s="63">
        <v>1</v>
      </c>
      <c r="D774" s="38" t="s">
        <v>178</v>
      </c>
      <c r="E774" s="23" t="s">
        <v>140</v>
      </c>
      <c r="F774" s="39">
        <v>0.34860000000000002</v>
      </c>
      <c r="G774" s="64" t="s">
        <v>352</v>
      </c>
      <c r="H774" s="70"/>
      <c r="BA774" s="132" t="s">
        <v>15</v>
      </c>
      <c r="BB774" s="4">
        <v>1</v>
      </c>
      <c r="BC774">
        <v>0</v>
      </c>
    </row>
    <row r="775" spans="1:55" x14ac:dyDescent="0.3">
      <c r="A775" s="63">
        <v>22</v>
      </c>
      <c r="B775" s="65">
        <v>45810</v>
      </c>
      <c r="C775" s="63">
        <v>1</v>
      </c>
      <c r="D775" s="38" t="s">
        <v>178</v>
      </c>
      <c r="E775" s="23" t="s">
        <v>140</v>
      </c>
      <c r="F775" s="39">
        <v>0.33100000000000002</v>
      </c>
      <c r="G775" s="64" t="s">
        <v>352</v>
      </c>
      <c r="H775" s="70"/>
      <c r="BA775" s="132" t="s">
        <v>15</v>
      </c>
      <c r="BB775" s="4">
        <v>1</v>
      </c>
      <c r="BC775">
        <v>0</v>
      </c>
    </row>
    <row r="776" spans="1:55" x14ac:dyDescent="0.3">
      <c r="A776" s="63">
        <v>23</v>
      </c>
      <c r="B776" s="65">
        <v>45817</v>
      </c>
      <c r="C776" s="63">
        <v>1</v>
      </c>
      <c r="D776" s="38" t="s">
        <v>178</v>
      </c>
      <c r="E776" s="23" t="s">
        <v>140</v>
      </c>
      <c r="F776" s="39">
        <v>0.38969999999999999</v>
      </c>
      <c r="G776" s="64" t="s">
        <v>352</v>
      </c>
      <c r="H776" s="70"/>
      <c r="BA776" s="132" t="s">
        <v>15</v>
      </c>
      <c r="BB776" s="4">
        <v>1</v>
      </c>
      <c r="BC776">
        <v>0</v>
      </c>
    </row>
    <row r="777" spans="1:55" x14ac:dyDescent="0.3">
      <c r="A777" s="63">
        <v>24</v>
      </c>
      <c r="B777" s="65">
        <v>45824</v>
      </c>
      <c r="C777" s="63">
        <v>1</v>
      </c>
      <c r="D777" s="38" t="s">
        <v>178</v>
      </c>
      <c r="E777" s="23" t="s">
        <v>140</v>
      </c>
      <c r="F777" s="39">
        <v>0.28920000000000001</v>
      </c>
      <c r="G777" s="64" t="s">
        <v>352</v>
      </c>
      <c r="H777" s="70"/>
      <c r="BA777" s="132" t="s">
        <v>15</v>
      </c>
      <c r="BB777" s="4">
        <v>1</v>
      </c>
      <c r="BC777">
        <v>0</v>
      </c>
    </row>
    <row r="778" spans="1:55" x14ac:dyDescent="0.3">
      <c r="A778" s="63">
        <v>25</v>
      </c>
      <c r="B778" s="65">
        <v>45831</v>
      </c>
      <c r="C778" s="63">
        <v>1</v>
      </c>
      <c r="D778" s="38" t="s">
        <v>178</v>
      </c>
      <c r="E778" s="23" t="s">
        <v>140</v>
      </c>
      <c r="F778" s="39">
        <v>0.3266</v>
      </c>
      <c r="G778" s="64" t="s">
        <v>352</v>
      </c>
      <c r="H778" s="70"/>
      <c r="BA778" s="132" t="s">
        <v>15</v>
      </c>
      <c r="BB778" s="4">
        <v>1</v>
      </c>
      <c r="BC778">
        <v>0</v>
      </c>
    </row>
    <row r="779" spans="1:55" x14ac:dyDescent="0.3">
      <c r="A779" s="63">
        <v>1</v>
      </c>
      <c r="B779" s="65">
        <v>45663</v>
      </c>
      <c r="C779" s="63">
        <v>2</v>
      </c>
      <c r="D779" s="38" t="s">
        <v>179</v>
      </c>
      <c r="E779" s="23" t="s">
        <v>140</v>
      </c>
      <c r="F779" s="39">
        <v>0.74060000000000004</v>
      </c>
      <c r="G779" s="64" t="s">
        <v>352</v>
      </c>
      <c r="H779" s="70"/>
      <c r="BA779" s="132" t="s">
        <v>15</v>
      </c>
      <c r="BB779" s="4">
        <v>0</v>
      </c>
      <c r="BC779">
        <v>0</v>
      </c>
    </row>
    <row r="780" spans="1:55" x14ac:dyDescent="0.3">
      <c r="A780" s="63">
        <v>2</v>
      </c>
      <c r="B780" s="65">
        <v>45670</v>
      </c>
      <c r="C780" s="63">
        <v>2</v>
      </c>
      <c r="D780" s="38" t="s">
        <v>179</v>
      </c>
      <c r="E780" s="23" t="s">
        <v>140</v>
      </c>
      <c r="F780" s="39">
        <v>0.81310000000000004</v>
      </c>
      <c r="G780" s="64" t="s">
        <v>352</v>
      </c>
      <c r="H780" s="70"/>
      <c r="BA780" s="132" t="s">
        <v>15</v>
      </c>
      <c r="BB780" s="4">
        <v>0</v>
      </c>
      <c r="BC780">
        <v>0</v>
      </c>
    </row>
    <row r="781" spans="1:55" x14ac:dyDescent="0.3">
      <c r="A781" s="63">
        <v>3</v>
      </c>
      <c r="B781" s="65">
        <v>45677</v>
      </c>
      <c r="C781" s="63">
        <v>2</v>
      </c>
      <c r="D781" s="38" t="s">
        <v>179</v>
      </c>
      <c r="E781" s="23" t="s">
        <v>140</v>
      </c>
      <c r="F781" s="39">
        <v>0.80959999999999999</v>
      </c>
      <c r="G781" s="64" t="s">
        <v>352</v>
      </c>
      <c r="H781" s="70"/>
      <c r="BA781" s="132" t="s">
        <v>15</v>
      </c>
      <c r="BB781" s="4">
        <v>0</v>
      </c>
      <c r="BC781">
        <v>0</v>
      </c>
    </row>
    <row r="782" spans="1:55" x14ac:dyDescent="0.3">
      <c r="A782" s="63">
        <v>4</v>
      </c>
      <c r="B782" s="65">
        <v>45684</v>
      </c>
      <c r="C782" s="63">
        <v>2</v>
      </c>
      <c r="D782" s="38" t="s">
        <v>179</v>
      </c>
      <c r="E782" s="23" t="s">
        <v>140</v>
      </c>
      <c r="F782" s="39">
        <v>0.85750000000000004</v>
      </c>
      <c r="G782" s="64" t="s">
        <v>352</v>
      </c>
      <c r="H782" s="70"/>
      <c r="BA782" s="132" t="s">
        <v>15</v>
      </c>
      <c r="BB782" s="4">
        <v>0</v>
      </c>
      <c r="BC782">
        <v>0</v>
      </c>
    </row>
    <row r="783" spans="1:55" x14ac:dyDescent="0.3">
      <c r="A783" s="63">
        <v>5</v>
      </c>
      <c r="B783" s="65">
        <v>45691</v>
      </c>
      <c r="C783" s="63">
        <v>2</v>
      </c>
      <c r="D783" s="38" t="s">
        <v>179</v>
      </c>
      <c r="E783" s="23" t="s">
        <v>140</v>
      </c>
      <c r="F783" s="39">
        <v>0.67710000000000004</v>
      </c>
      <c r="G783" s="64" t="s">
        <v>352</v>
      </c>
      <c r="H783" s="70"/>
      <c r="BA783" s="132" t="s">
        <v>15</v>
      </c>
      <c r="BB783" s="4">
        <v>0</v>
      </c>
      <c r="BC783">
        <v>0</v>
      </c>
    </row>
    <row r="784" spans="1:55" x14ac:dyDescent="0.3">
      <c r="A784" s="63">
        <v>6</v>
      </c>
      <c r="B784" s="65">
        <v>45698</v>
      </c>
      <c r="C784" s="63">
        <v>2</v>
      </c>
      <c r="D784" s="38" t="s">
        <v>179</v>
      </c>
      <c r="E784" s="23" t="s">
        <v>140</v>
      </c>
      <c r="F784" s="39">
        <v>0.81840000000000002</v>
      </c>
      <c r="G784" s="64" t="s">
        <v>352</v>
      </c>
      <c r="H784" s="70"/>
      <c r="BA784" s="132" t="s">
        <v>15</v>
      </c>
      <c r="BB784" s="4">
        <v>0</v>
      </c>
      <c r="BC784">
        <v>0</v>
      </c>
    </row>
    <row r="785" spans="1:55" x14ac:dyDescent="0.3">
      <c r="A785" s="63">
        <v>7</v>
      </c>
      <c r="B785" s="65">
        <v>45705</v>
      </c>
      <c r="C785" s="63">
        <v>2</v>
      </c>
      <c r="D785" s="38" t="s">
        <v>179</v>
      </c>
      <c r="E785" s="23" t="s">
        <v>140</v>
      </c>
      <c r="F785" s="39">
        <v>0.75490000000000002</v>
      </c>
      <c r="G785" s="64" t="s">
        <v>352</v>
      </c>
      <c r="H785" s="70"/>
      <c r="BA785" s="132" t="s">
        <v>15</v>
      </c>
      <c r="BB785" s="4">
        <v>0</v>
      </c>
      <c r="BC785">
        <v>0</v>
      </c>
    </row>
    <row r="786" spans="1:55" x14ac:dyDescent="0.3">
      <c r="A786" s="63">
        <v>8</v>
      </c>
      <c r="B786" s="65">
        <v>45712</v>
      </c>
      <c r="C786" s="63">
        <v>2</v>
      </c>
      <c r="D786" s="38" t="s">
        <v>179</v>
      </c>
      <c r="E786" s="23" t="s">
        <v>140</v>
      </c>
      <c r="F786" s="39">
        <v>0.73229999999999995</v>
      </c>
      <c r="G786" s="64" t="s">
        <v>352</v>
      </c>
      <c r="H786" s="70"/>
      <c r="BA786" s="132" t="s">
        <v>15</v>
      </c>
      <c r="BB786" s="4">
        <v>0</v>
      </c>
      <c r="BC786">
        <v>0</v>
      </c>
    </row>
    <row r="787" spans="1:55" x14ac:dyDescent="0.3">
      <c r="A787" s="63">
        <v>9</v>
      </c>
      <c r="B787" s="65">
        <v>45719</v>
      </c>
      <c r="C787" s="63">
        <v>2</v>
      </c>
      <c r="D787" s="38" t="s">
        <v>179</v>
      </c>
      <c r="E787" s="23" t="s">
        <v>140</v>
      </c>
      <c r="F787" s="39">
        <v>0.80549999999999999</v>
      </c>
      <c r="G787" s="64" t="s">
        <v>352</v>
      </c>
      <c r="H787" s="70"/>
      <c r="BA787" s="132" t="s">
        <v>15</v>
      </c>
      <c r="BB787" s="4">
        <v>0</v>
      </c>
      <c r="BC787">
        <v>0</v>
      </c>
    </row>
    <row r="788" spans="1:55" x14ac:dyDescent="0.3">
      <c r="A788" s="63">
        <v>10</v>
      </c>
      <c r="B788" s="65">
        <v>45726</v>
      </c>
      <c r="C788" s="63">
        <v>2</v>
      </c>
      <c r="D788" s="38" t="s">
        <v>179</v>
      </c>
      <c r="E788" s="23" t="s">
        <v>140</v>
      </c>
      <c r="F788" s="39">
        <v>0.71679999999999999</v>
      </c>
      <c r="G788" s="64" t="s">
        <v>352</v>
      </c>
      <c r="H788" s="70"/>
      <c r="BA788" s="132" t="s">
        <v>15</v>
      </c>
      <c r="BB788" s="4">
        <v>0</v>
      </c>
      <c r="BC788">
        <v>0</v>
      </c>
    </row>
    <row r="789" spans="1:55" x14ac:dyDescent="0.3">
      <c r="A789" s="63">
        <v>11</v>
      </c>
      <c r="B789" s="65">
        <v>45733</v>
      </c>
      <c r="C789" s="63">
        <v>2</v>
      </c>
      <c r="D789" s="38" t="s">
        <v>179</v>
      </c>
      <c r="E789" s="23" t="s">
        <v>140</v>
      </c>
      <c r="F789" s="39">
        <v>0.64659999999999995</v>
      </c>
      <c r="G789" s="64" t="s">
        <v>352</v>
      </c>
      <c r="H789" s="70"/>
      <c r="BA789" s="132" t="s">
        <v>15</v>
      </c>
      <c r="BB789" s="4">
        <v>0</v>
      </c>
      <c r="BC789">
        <v>0</v>
      </c>
    </row>
    <row r="790" spans="1:55" x14ac:dyDescent="0.3">
      <c r="A790" s="63">
        <v>12</v>
      </c>
      <c r="B790" s="65">
        <v>45740</v>
      </c>
      <c r="C790" s="63">
        <v>2</v>
      </c>
      <c r="D790" s="38" t="s">
        <v>179</v>
      </c>
      <c r="E790" s="23" t="s">
        <v>140</v>
      </c>
      <c r="F790" s="39">
        <v>0.75029999999999997</v>
      </c>
      <c r="G790" s="64" t="s">
        <v>352</v>
      </c>
      <c r="H790" s="70"/>
      <c r="BA790" s="132" t="s">
        <v>15</v>
      </c>
      <c r="BB790" s="4">
        <v>0</v>
      </c>
      <c r="BC790">
        <v>0</v>
      </c>
    </row>
    <row r="791" spans="1:55" x14ac:dyDescent="0.3">
      <c r="A791" s="63">
        <v>13</v>
      </c>
      <c r="B791" s="65">
        <v>45747</v>
      </c>
      <c r="C791" s="63">
        <v>2</v>
      </c>
      <c r="D791" s="38" t="s">
        <v>179</v>
      </c>
      <c r="E791" s="23" t="s">
        <v>140</v>
      </c>
      <c r="F791" s="39">
        <v>0.68169999999999997</v>
      </c>
      <c r="G791" s="64" t="s">
        <v>352</v>
      </c>
      <c r="H791" s="70"/>
      <c r="BA791" s="132" t="s">
        <v>15</v>
      </c>
      <c r="BB791" s="4">
        <v>0</v>
      </c>
      <c r="BC791">
        <v>0</v>
      </c>
    </row>
    <row r="792" spans="1:55" x14ac:dyDescent="0.3">
      <c r="A792" s="63">
        <v>14</v>
      </c>
      <c r="B792" s="65">
        <v>45754</v>
      </c>
      <c r="C792" s="63">
        <v>2</v>
      </c>
      <c r="D792" s="38" t="s">
        <v>179</v>
      </c>
      <c r="E792" s="23" t="s">
        <v>140</v>
      </c>
      <c r="F792" s="39">
        <v>0.73329999999999995</v>
      </c>
      <c r="G792" s="64" t="s">
        <v>352</v>
      </c>
      <c r="H792" s="70"/>
      <c r="BA792" s="132" t="s">
        <v>15</v>
      </c>
      <c r="BB792" s="4">
        <v>0</v>
      </c>
      <c r="BC792">
        <v>0</v>
      </c>
    </row>
    <row r="793" spans="1:55" x14ac:dyDescent="0.3">
      <c r="A793" s="63">
        <v>15</v>
      </c>
      <c r="B793" s="65">
        <v>45761</v>
      </c>
      <c r="C793" s="63">
        <v>2</v>
      </c>
      <c r="D793" s="38" t="s">
        <v>179</v>
      </c>
      <c r="E793" s="23" t="s">
        <v>140</v>
      </c>
      <c r="F793" s="39">
        <v>0.79530000000000001</v>
      </c>
      <c r="G793" s="64" t="s">
        <v>352</v>
      </c>
      <c r="H793" s="70"/>
      <c r="BA793" s="132" t="s">
        <v>15</v>
      </c>
      <c r="BB793" s="4">
        <v>0</v>
      </c>
      <c r="BC793">
        <v>0</v>
      </c>
    </row>
    <row r="794" spans="1:55" x14ac:dyDescent="0.3">
      <c r="A794" s="63">
        <v>16</v>
      </c>
      <c r="B794" s="65">
        <v>45768</v>
      </c>
      <c r="C794" s="63">
        <v>2</v>
      </c>
      <c r="D794" s="38" t="s">
        <v>179</v>
      </c>
      <c r="E794" s="23" t="s">
        <v>140</v>
      </c>
      <c r="F794" s="39">
        <v>0.79169999999999996</v>
      </c>
      <c r="G794" s="64" t="s">
        <v>352</v>
      </c>
      <c r="H794" s="70"/>
      <c r="BA794" s="132" t="s">
        <v>15</v>
      </c>
      <c r="BB794" s="4">
        <v>0</v>
      </c>
      <c r="BC794">
        <v>0</v>
      </c>
    </row>
    <row r="795" spans="1:55" x14ac:dyDescent="0.3">
      <c r="A795" s="63">
        <v>17</v>
      </c>
      <c r="B795" s="65">
        <v>45775</v>
      </c>
      <c r="C795" s="63">
        <v>2</v>
      </c>
      <c r="D795" s="38" t="s">
        <v>179</v>
      </c>
      <c r="E795" s="23" t="s">
        <v>140</v>
      </c>
      <c r="F795" s="39">
        <v>0.86919999999999997</v>
      </c>
      <c r="G795" s="64" t="s">
        <v>352</v>
      </c>
      <c r="H795" s="70"/>
      <c r="BA795" s="132" t="s">
        <v>15</v>
      </c>
      <c r="BB795" s="4">
        <v>0</v>
      </c>
      <c r="BC795">
        <v>0</v>
      </c>
    </row>
    <row r="796" spans="1:55" x14ac:dyDescent="0.3">
      <c r="A796" s="63">
        <v>18</v>
      </c>
      <c r="B796" s="65">
        <v>45782</v>
      </c>
      <c r="C796" s="63">
        <v>2</v>
      </c>
      <c r="D796" s="38" t="s">
        <v>179</v>
      </c>
      <c r="E796" s="23" t="s">
        <v>140</v>
      </c>
      <c r="F796" s="39">
        <v>0.76060000000000005</v>
      </c>
      <c r="G796" s="64" t="s">
        <v>352</v>
      </c>
      <c r="H796" s="70"/>
      <c r="BA796" s="132" t="s">
        <v>15</v>
      </c>
      <c r="BB796" s="4">
        <v>0</v>
      </c>
      <c r="BC796">
        <v>0</v>
      </c>
    </row>
    <row r="797" spans="1:55" x14ac:dyDescent="0.3">
      <c r="A797" s="63">
        <v>19</v>
      </c>
      <c r="B797" s="65">
        <v>45789</v>
      </c>
      <c r="C797" s="63">
        <v>2</v>
      </c>
      <c r="D797" s="38" t="s">
        <v>179</v>
      </c>
      <c r="E797" s="23" t="s">
        <v>140</v>
      </c>
      <c r="F797" s="39">
        <v>0.67959999999999998</v>
      </c>
      <c r="G797" s="64" t="s">
        <v>352</v>
      </c>
      <c r="H797" s="70"/>
      <c r="BA797" s="132" t="s">
        <v>15</v>
      </c>
      <c r="BB797" s="4">
        <v>0</v>
      </c>
      <c r="BC797">
        <v>0</v>
      </c>
    </row>
    <row r="798" spans="1:55" x14ac:dyDescent="0.3">
      <c r="A798" s="63">
        <v>20</v>
      </c>
      <c r="B798" s="65">
        <v>45796</v>
      </c>
      <c r="C798" s="63">
        <v>2</v>
      </c>
      <c r="D798" s="38" t="s">
        <v>179</v>
      </c>
      <c r="E798" s="23" t="s">
        <v>140</v>
      </c>
      <c r="F798" s="39">
        <v>0.7268</v>
      </c>
      <c r="G798" s="64" t="s">
        <v>352</v>
      </c>
      <c r="H798" s="70"/>
      <c r="BA798" s="132" t="s">
        <v>15</v>
      </c>
      <c r="BB798" s="4">
        <v>0</v>
      </c>
      <c r="BC798">
        <v>0</v>
      </c>
    </row>
    <row r="799" spans="1:55" x14ac:dyDescent="0.3">
      <c r="A799" s="63">
        <v>21</v>
      </c>
      <c r="B799" s="65">
        <v>45803</v>
      </c>
      <c r="C799" s="63">
        <v>2</v>
      </c>
      <c r="D799" s="38" t="s">
        <v>179</v>
      </c>
      <c r="E799" s="23" t="s">
        <v>140</v>
      </c>
      <c r="F799" s="39">
        <v>0.71689999999999998</v>
      </c>
      <c r="G799" s="64" t="s">
        <v>352</v>
      </c>
      <c r="H799" s="70"/>
      <c r="BA799" s="132" t="s">
        <v>15</v>
      </c>
      <c r="BB799" s="4">
        <v>0</v>
      </c>
      <c r="BC799">
        <v>0</v>
      </c>
    </row>
    <row r="800" spans="1:55" x14ac:dyDescent="0.3">
      <c r="A800" s="63">
        <v>22</v>
      </c>
      <c r="B800" s="65">
        <v>45810</v>
      </c>
      <c r="C800" s="63">
        <v>2</v>
      </c>
      <c r="D800" s="38" t="s">
        <v>179</v>
      </c>
      <c r="E800" s="23" t="s">
        <v>140</v>
      </c>
      <c r="F800" s="39">
        <v>0.69879999999999998</v>
      </c>
      <c r="G800" s="64" t="s">
        <v>352</v>
      </c>
      <c r="H800" s="70"/>
      <c r="BA800" s="132" t="s">
        <v>15</v>
      </c>
      <c r="BB800" s="4">
        <v>0</v>
      </c>
      <c r="BC800">
        <v>0</v>
      </c>
    </row>
    <row r="801" spans="1:55" x14ac:dyDescent="0.3">
      <c r="A801" s="63">
        <v>23</v>
      </c>
      <c r="B801" s="65">
        <v>45817</v>
      </c>
      <c r="C801" s="63">
        <v>2</v>
      </c>
      <c r="D801" s="38" t="s">
        <v>179</v>
      </c>
      <c r="E801" s="23" t="s">
        <v>140</v>
      </c>
      <c r="F801" s="39">
        <v>0.79920000000000002</v>
      </c>
      <c r="G801" s="64" t="s">
        <v>352</v>
      </c>
      <c r="H801" s="70"/>
      <c r="BA801" s="132" t="s">
        <v>15</v>
      </c>
      <c r="BB801" s="4">
        <v>0</v>
      </c>
      <c r="BC801">
        <v>0</v>
      </c>
    </row>
    <row r="802" spans="1:55" x14ac:dyDescent="0.3">
      <c r="A802" s="63">
        <v>24</v>
      </c>
      <c r="B802" s="65">
        <v>45824</v>
      </c>
      <c r="C802" s="63">
        <v>2</v>
      </c>
      <c r="D802" s="38" t="s">
        <v>179</v>
      </c>
      <c r="E802" s="23" t="s">
        <v>140</v>
      </c>
      <c r="F802" s="39">
        <v>0.73360000000000003</v>
      </c>
      <c r="G802" s="64" t="s">
        <v>352</v>
      </c>
      <c r="H802" s="70"/>
      <c r="BA802" s="132" t="s">
        <v>15</v>
      </c>
      <c r="BB802" s="4">
        <v>0</v>
      </c>
      <c r="BC802">
        <v>0</v>
      </c>
    </row>
    <row r="803" spans="1:55" x14ac:dyDescent="0.3">
      <c r="A803" s="63">
        <v>25</v>
      </c>
      <c r="B803" s="65">
        <v>45831</v>
      </c>
      <c r="C803" s="63">
        <v>2</v>
      </c>
      <c r="D803" s="38" t="s">
        <v>179</v>
      </c>
      <c r="E803" s="23" t="s">
        <v>140</v>
      </c>
      <c r="F803" s="39">
        <v>0.65259999999999996</v>
      </c>
      <c r="G803" s="64" t="s">
        <v>352</v>
      </c>
      <c r="H803" s="70"/>
      <c r="BA803" s="132" t="s">
        <v>15</v>
      </c>
      <c r="BB803" s="4">
        <v>0</v>
      </c>
      <c r="BC803">
        <v>0</v>
      </c>
    </row>
    <row r="804" spans="1:55" x14ac:dyDescent="0.3">
      <c r="A804" s="63">
        <v>1</v>
      </c>
      <c r="B804" s="65">
        <v>45663</v>
      </c>
      <c r="C804" s="63">
        <v>3</v>
      </c>
      <c r="D804" s="38" t="s">
        <v>180</v>
      </c>
      <c r="E804" s="23" t="s">
        <v>140</v>
      </c>
      <c r="F804" s="39">
        <v>2.0958000000000001</v>
      </c>
      <c r="G804" s="64" t="s">
        <v>352</v>
      </c>
      <c r="H804" s="70"/>
      <c r="BA804" s="132" t="s">
        <v>15</v>
      </c>
      <c r="BB804" s="4">
        <v>0</v>
      </c>
      <c r="BC804">
        <v>0</v>
      </c>
    </row>
    <row r="805" spans="1:55" x14ac:dyDescent="0.3">
      <c r="A805" s="63">
        <v>2</v>
      </c>
      <c r="B805" s="65">
        <v>45670</v>
      </c>
      <c r="C805" s="63">
        <v>3</v>
      </c>
      <c r="D805" s="38" t="s">
        <v>180</v>
      </c>
      <c r="E805" s="23" t="s">
        <v>140</v>
      </c>
      <c r="F805" s="39">
        <v>1.9355</v>
      </c>
      <c r="G805" s="64" t="s">
        <v>352</v>
      </c>
      <c r="H805" s="70"/>
      <c r="BA805" s="132" t="s">
        <v>15</v>
      </c>
      <c r="BB805" s="4">
        <v>0</v>
      </c>
      <c r="BC805">
        <v>0</v>
      </c>
    </row>
    <row r="806" spans="1:55" x14ac:dyDescent="0.3">
      <c r="A806" s="63">
        <v>3</v>
      </c>
      <c r="B806" s="65">
        <v>45677</v>
      </c>
      <c r="C806" s="63">
        <v>3</v>
      </c>
      <c r="D806" s="38" t="s">
        <v>180</v>
      </c>
      <c r="E806" s="23" t="s">
        <v>140</v>
      </c>
      <c r="F806" s="39">
        <v>2.0283000000000002</v>
      </c>
      <c r="G806" s="64" t="s">
        <v>352</v>
      </c>
      <c r="H806" s="70"/>
      <c r="BA806" s="132" t="s">
        <v>15</v>
      </c>
      <c r="BB806" s="4">
        <v>0</v>
      </c>
      <c r="BC806">
        <v>0</v>
      </c>
    </row>
    <row r="807" spans="1:55" x14ac:dyDescent="0.3">
      <c r="A807" s="63">
        <v>4</v>
      </c>
      <c r="B807" s="65">
        <v>45684</v>
      </c>
      <c r="C807" s="63">
        <v>3</v>
      </c>
      <c r="D807" s="38" t="s">
        <v>180</v>
      </c>
      <c r="E807" s="23" t="s">
        <v>140</v>
      </c>
      <c r="F807" s="39">
        <v>1.9785999999999999</v>
      </c>
      <c r="G807" s="64" t="s">
        <v>352</v>
      </c>
      <c r="H807" s="70"/>
      <c r="BA807" s="132" t="s">
        <v>15</v>
      </c>
      <c r="BB807" s="4">
        <v>0</v>
      </c>
      <c r="BC807">
        <v>0</v>
      </c>
    </row>
    <row r="808" spans="1:55" x14ac:dyDescent="0.3">
      <c r="A808" s="63">
        <v>5</v>
      </c>
      <c r="B808" s="65">
        <v>45691</v>
      </c>
      <c r="C808" s="63">
        <v>3</v>
      </c>
      <c r="D808" s="38" t="s">
        <v>180</v>
      </c>
      <c r="E808" s="23" t="s">
        <v>140</v>
      </c>
      <c r="F808" s="39">
        <v>2.0828000000000002</v>
      </c>
      <c r="G808" s="64" t="s">
        <v>352</v>
      </c>
      <c r="H808" s="70"/>
      <c r="BA808" s="132" t="s">
        <v>15</v>
      </c>
      <c r="BB808" s="4">
        <v>0</v>
      </c>
      <c r="BC808">
        <v>0</v>
      </c>
    </row>
    <row r="809" spans="1:55" x14ac:dyDescent="0.3">
      <c r="A809" s="63">
        <v>6</v>
      </c>
      <c r="B809" s="65">
        <v>45698</v>
      </c>
      <c r="C809" s="63">
        <v>3</v>
      </c>
      <c r="D809" s="38" t="s">
        <v>180</v>
      </c>
      <c r="E809" s="23" t="s">
        <v>140</v>
      </c>
      <c r="F809" s="39">
        <v>1.9651000000000001</v>
      </c>
      <c r="G809" s="64" t="s">
        <v>352</v>
      </c>
      <c r="H809" s="70"/>
      <c r="BA809" s="132" t="s">
        <v>15</v>
      </c>
      <c r="BB809" s="4">
        <v>0</v>
      </c>
      <c r="BC809">
        <v>0</v>
      </c>
    </row>
    <row r="810" spans="1:55" x14ac:dyDescent="0.3">
      <c r="A810" s="63">
        <v>7</v>
      </c>
      <c r="B810" s="65">
        <v>45705</v>
      </c>
      <c r="C810" s="63">
        <v>3</v>
      </c>
      <c r="D810" s="38" t="s">
        <v>180</v>
      </c>
      <c r="E810" s="23" t="s">
        <v>140</v>
      </c>
      <c r="F810" s="39">
        <v>2.2027000000000001</v>
      </c>
      <c r="G810" s="64" t="s">
        <v>352</v>
      </c>
      <c r="H810" s="70"/>
      <c r="BA810" s="132" t="s">
        <v>15</v>
      </c>
      <c r="BB810" s="4">
        <v>0</v>
      </c>
      <c r="BC810">
        <v>0</v>
      </c>
    </row>
    <row r="811" spans="1:55" x14ac:dyDescent="0.3">
      <c r="A811" s="63">
        <v>8</v>
      </c>
      <c r="B811" s="65">
        <v>45712</v>
      </c>
      <c r="C811" s="63">
        <v>3</v>
      </c>
      <c r="D811" s="38" t="s">
        <v>180</v>
      </c>
      <c r="E811" s="23" t="s">
        <v>140</v>
      </c>
      <c r="F811" s="39">
        <v>2.0419</v>
      </c>
      <c r="G811" s="64" t="s">
        <v>352</v>
      </c>
      <c r="H811" s="70"/>
      <c r="BA811" s="132" t="s">
        <v>15</v>
      </c>
      <c r="BB811" s="4">
        <v>0</v>
      </c>
      <c r="BC811">
        <v>0</v>
      </c>
    </row>
    <row r="812" spans="1:55" x14ac:dyDescent="0.3">
      <c r="A812" s="63">
        <v>9</v>
      </c>
      <c r="B812" s="65">
        <v>45719</v>
      </c>
      <c r="C812" s="63">
        <v>3</v>
      </c>
      <c r="D812" s="38" t="s">
        <v>180</v>
      </c>
      <c r="E812" s="23" t="s">
        <v>140</v>
      </c>
      <c r="F812" s="39">
        <v>2.0352999999999999</v>
      </c>
      <c r="G812" s="64" t="s">
        <v>352</v>
      </c>
      <c r="H812" s="70"/>
      <c r="BA812" s="132" t="s">
        <v>15</v>
      </c>
      <c r="BB812" s="4">
        <v>0</v>
      </c>
      <c r="BC812">
        <v>0</v>
      </c>
    </row>
    <row r="813" spans="1:55" x14ac:dyDescent="0.3">
      <c r="A813" s="63">
        <v>10</v>
      </c>
      <c r="B813" s="65">
        <v>45726</v>
      </c>
      <c r="C813" s="63">
        <v>3</v>
      </c>
      <c r="D813" s="38" t="s">
        <v>180</v>
      </c>
      <c r="E813" s="23" t="s">
        <v>140</v>
      </c>
      <c r="F813" s="39">
        <v>2.0388999999999999</v>
      </c>
      <c r="G813" s="64" t="s">
        <v>352</v>
      </c>
      <c r="H813" s="70"/>
      <c r="BA813" s="132" t="s">
        <v>15</v>
      </c>
      <c r="BB813" s="4">
        <v>0</v>
      </c>
      <c r="BC813">
        <v>0</v>
      </c>
    </row>
    <row r="814" spans="1:55" x14ac:dyDescent="0.3">
      <c r="A814" s="63">
        <v>11</v>
      </c>
      <c r="B814" s="65">
        <v>45733</v>
      </c>
      <c r="C814" s="63">
        <v>3</v>
      </c>
      <c r="D814" s="38" t="s">
        <v>180</v>
      </c>
      <c r="E814" s="23" t="s">
        <v>140</v>
      </c>
      <c r="F814" s="39">
        <v>1.6687000000000001</v>
      </c>
      <c r="G814" s="64" t="s">
        <v>352</v>
      </c>
      <c r="H814" s="70"/>
      <c r="BA814" s="132" t="s">
        <v>15</v>
      </c>
      <c r="BB814" s="4">
        <v>0</v>
      </c>
      <c r="BC814">
        <v>0</v>
      </c>
    </row>
    <row r="815" spans="1:55" x14ac:dyDescent="0.3">
      <c r="A815" s="63">
        <v>12</v>
      </c>
      <c r="B815" s="65">
        <v>45740</v>
      </c>
      <c r="C815" s="63">
        <v>3</v>
      </c>
      <c r="D815" s="38" t="s">
        <v>180</v>
      </c>
      <c r="E815" s="23" t="s">
        <v>140</v>
      </c>
      <c r="F815" s="39">
        <v>1.9249000000000001</v>
      </c>
      <c r="G815" s="64" t="s">
        <v>352</v>
      </c>
      <c r="H815" s="70"/>
      <c r="BA815" s="132" t="s">
        <v>15</v>
      </c>
      <c r="BB815" s="4">
        <v>0</v>
      </c>
      <c r="BC815">
        <v>0</v>
      </c>
    </row>
    <row r="816" spans="1:55" x14ac:dyDescent="0.3">
      <c r="A816" s="63">
        <v>13</v>
      </c>
      <c r="B816" s="65">
        <v>45747</v>
      </c>
      <c r="C816" s="63">
        <v>3</v>
      </c>
      <c r="D816" s="38" t="s">
        <v>180</v>
      </c>
      <c r="E816" s="23" t="s">
        <v>140</v>
      </c>
      <c r="F816" s="39">
        <v>1.9061999999999999</v>
      </c>
      <c r="G816" s="64" t="s">
        <v>352</v>
      </c>
      <c r="H816" s="70"/>
      <c r="BA816" s="132" t="s">
        <v>15</v>
      </c>
      <c r="BB816" s="4">
        <v>0</v>
      </c>
      <c r="BC816">
        <v>0</v>
      </c>
    </row>
    <row r="817" spans="1:55" x14ac:dyDescent="0.3">
      <c r="A817" s="63">
        <v>14</v>
      </c>
      <c r="B817" s="65">
        <v>45754</v>
      </c>
      <c r="C817" s="63">
        <v>3</v>
      </c>
      <c r="D817" s="38" t="s">
        <v>180</v>
      </c>
      <c r="E817" s="23" t="s">
        <v>140</v>
      </c>
      <c r="F817" s="39">
        <v>1.9986999999999999</v>
      </c>
      <c r="G817" s="64" t="s">
        <v>352</v>
      </c>
      <c r="H817" s="70"/>
      <c r="BA817" s="132" t="s">
        <v>15</v>
      </c>
      <c r="BB817" s="4">
        <v>0</v>
      </c>
      <c r="BC817">
        <v>0</v>
      </c>
    </row>
    <row r="818" spans="1:55" x14ac:dyDescent="0.3">
      <c r="A818" s="63">
        <v>15</v>
      </c>
      <c r="B818" s="65">
        <v>45761</v>
      </c>
      <c r="C818" s="63">
        <v>3</v>
      </c>
      <c r="D818" s="38" t="s">
        <v>180</v>
      </c>
      <c r="E818" s="23" t="s">
        <v>140</v>
      </c>
      <c r="F818" s="39">
        <v>1.6880999999999999</v>
      </c>
      <c r="G818" s="64" t="s">
        <v>352</v>
      </c>
      <c r="H818" s="70"/>
      <c r="BA818" s="132" t="s">
        <v>15</v>
      </c>
      <c r="BB818" s="4">
        <v>0</v>
      </c>
      <c r="BC818">
        <v>0</v>
      </c>
    </row>
    <row r="819" spans="1:55" x14ac:dyDescent="0.3">
      <c r="A819" s="63">
        <v>16</v>
      </c>
      <c r="B819" s="65">
        <v>45768</v>
      </c>
      <c r="C819" s="63">
        <v>3</v>
      </c>
      <c r="D819" s="38" t="s">
        <v>180</v>
      </c>
      <c r="E819" s="23" t="s">
        <v>140</v>
      </c>
      <c r="F819" s="39">
        <v>2.2816000000000001</v>
      </c>
      <c r="G819" s="64" t="s">
        <v>352</v>
      </c>
      <c r="H819" s="70"/>
      <c r="BA819" s="132" t="s">
        <v>15</v>
      </c>
      <c r="BB819" s="4">
        <v>0</v>
      </c>
      <c r="BC819">
        <v>0</v>
      </c>
    </row>
    <row r="820" spans="1:55" x14ac:dyDescent="0.3">
      <c r="A820" s="63">
        <v>17</v>
      </c>
      <c r="B820" s="65">
        <v>45775</v>
      </c>
      <c r="C820" s="63">
        <v>3</v>
      </c>
      <c r="D820" s="38" t="s">
        <v>180</v>
      </c>
      <c r="E820" s="23" t="s">
        <v>140</v>
      </c>
      <c r="F820" s="39">
        <v>1.9782999999999999</v>
      </c>
      <c r="G820" s="64" t="s">
        <v>352</v>
      </c>
      <c r="H820" s="70"/>
      <c r="BA820" s="132" t="s">
        <v>15</v>
      </c>
      <c r="BB820" s="4">
        <v>0</v>
      </c>
      <c r="BC820">
        <v>0</v>
      </c>
    </row>
    <row r="821" spans="1:55" x14ac:dyDescent="0.3">
      <c r="A821" s="63">
        <v>18</v>
      </c>
      <c r="B821" s="65">
        <v>45782</v>
      </c>
      <c r="C821" s="63">
        <v>3</v>
      </c>
      <c r="D821" s="38" t="s">
        <v>180</v>
      </c>
      <c r="E821" s="23" t="s">
        <v>140</v>
      </c>
      <c r="F821" s="39">
        <v>1.7174</v>
      </c>
      <c r="G821" s="64" t="s">
        <v>352</v>
      </c>
      <c r="H821" s="70"/>
      <c r="BA821" s="132" t="s">
        <v>15</v>
      </c>
      <c r="BB821" s="4">
        <v>0</v>
      </c>
      <c r="BC821">
        <v>0</v>
      </c>
    </row>
    <row r="822" spans="1:55" x14ac:dyDescent="0.3">
      <c r="A822" s="63">
        <v>19</v>
      </c>
      <c r="B822" s="65">
        <v>45789</v>
      </c>
      <c r="C822" s="63">
        <v>3</v>
      </c>
      <c r="D822" s="38" t="s">
        <v>180</v>
      </c>
      <c r="E822" s="23" t="s">
        <v>140</v>
      </c>
      <c r="F822" s="39">
        <v>1.6187</v>
      </c>
      <c r="G822" s="64" t="s">
        <v>352</v>
      </c>
      <c r="H822" s="70"/>
      <c r="BA822" s="132" t="s">
        <v>15</v>
      </c>
      <c r="BB822" s="4">
        <v>0</v>
      </c>
      <c r="BC822">
        <v>0</v>
      </c>
    </row>
    <row r="823" spans="1:55" x14ac:dyDescent="0.3">
      <c r="A823" s="63">
        <v>20</v>
      </c>
      <c r="B823" s="65">
        <v>45796</v>
      </c>
      <c r="C823" s="63">
        <v>3</v>
      </c>
      <c r="D823" s="38" t="s">
        <v>180</v>
      </c>
      <c r="E823" s="23" t="s">
        <v>140</v>
      </c>
      <c r="F823" s="39">
        <v>1.9017999999999999</v>
      </c>
      <c r="G823" s="64" t="s">
        <v>352</v>
      </c>
      <c r="H823" s="70"/>
      <c r="BA823" s="132" t="s">
        <v>15</v>
      </c>
      <c r="BB823" s="4">
        <v>0</v>
      </c>
      <c r="BC823">
        <v>0</v>
      </c>
    </row>
    <row r="824" spans="1:55" x14ac:dyDescent="0.3">
      <c r="A824" s="63">
        <v>21</v>
      </c>
      <c r="B824" s="65">
        <v>45803</v>
      </c>
      <c r="C824" s="63">
        <v>3</v>
      </c>
      <c r="D824" s="38" t="s">
        <v>180</v>
      </c>
      <c r="E824" s="23" t="s">
        <v>140</v>
      </c>
      <c r="F824" s="39">
        <v>1.9398</v>
      </c>
      <c r="G824" s="64" t="s">
        <v>352</v>
      </c>
      <c r="H824" s="70"/>
      <c r="BA824" s="132" t="s">
        <v>15</v>
      </c>
      <c r="BB824" s="4">
        <v>0</v>
      </c>
      <c r="BC824">
        <v>0</v>
      </c>
    </row>
    <row r="825" spans="1:55" x14ac:dyDescent="0.3">
      <c r="A825" s="63">
        <v>22</v>
      </c>
      <c r="B825" s="65">
        <v>45810</v>
      </c>
      <c r="C825" s="63">
        <v>3</v>
      </c>
      <c r="D825" s="38" t="s">
        <v>180</v>
      </c>
      <c r="E825" s="23" t="s">
        <v>140</v>
      </c>
      <c r="F825" s="39">
        <v>1.8150999999999999</v>
      </c>
      <c r="G825" s="64" t="s">
        <v>352</v>
      </c>
      <c r="H825" s="70"/>
      <c r="BA825" s="132" t="s">
        <v>15</v>
      </c>
      <c r="BB825" s="4">
        <v>0</v>
      </c>
      <c r="BC825">
        <v>0</v>
      </c>
    </row>
    <row r="826" spans="1:55" x14ac:dyDescent="0.3">
      <c r="A826" s="63">
        <v>23</v>
      </c>
      <c r="B826" s="65">
        <v>45817</v>
      </c>
      <c r="C826" s="63">
        <v>3</v>
      </c>
      <c r="D826" s="38" t="s">
        <v>180</v>
      </c>
      <c r="E826" s="23" t="s">
        <v>140</v>
      </c>
      <c r="F826" s="39">
        <v>1.9759</v>
      </c>
      <c r="G826" s="64" t="s">
        <v>352</v>
      </c>
      <c r="H826" s="70"/>
      <c r="BA826" s="132" t="s">
        <v>15</v>
      </c>
      <c r="BB826" s="4">
        <v>0</v>
      </c>
      <c r="BC826">
        <v>0</v>
      </c>
    </row>
    <row r="827" spans="1:55" x14ac:dyDescent="0.3">
      <c r="A827" s="63">
        <v>24</v>
      </c>
      <c r="B827" s="65">
        <v>45824</v>
      </c>
      <c r="C827" s="63">
        <v>3</v>
      </c>
      <c r="D827" s="38" t="s">
        <v>180</v>
      </c>
      <c r="E827" s="23" t="s">
        <v>140</v>
      </c>
      <c r="F827" s="39">
        <v>1.8304</v>
      </c>
      <c r="G827" s="64" t="s">
        <v>352</v>
      </c>
      <c r="H827" s="70"/>
      <c r="BA827" s="132" t="s">
        <v>15</v>
      </c>
      <c r="BB827" s="4">
        <v>0</v>
      </c>
      <c r="BC827">
        <v>0</v>
      </c>
    </row>
    <row r="828" spans="1:55" x14ac:dyDescent="0.3">
      <c r="A828" s="63">
        <v>25</v>
      </c>
      <c r="B828" s="65">
        <v>45831</v>
      </c>
      <c r="C828" s="63">
        <v>3</v>
      </c>
      <c r="D828" s="38" t="s">
        <v>180</v>
      </c>
      <c r="E828" s="23" t="s">
        <v>140</v>
      </c>
      <c r="F828" s="39">
        <v>2.0670000000000002</v>
      </c>
      <c r="G828" s="64" t="s">
        <v>352</v>
      </c>
      <c r="H828" s="70"/>
      <c r="BA828" s="132" t="s">
        <v>15</v>
      </c>
      <c r="BB828" s="4">
        <v>0</v>
      </c>
      <c r="BC828">
        <v>0</v>
      </c>
    </row>
    <row r="829" spans="1:55" x14ac:dyDescent="0.3">
      <c r="A829" s="63">
        <v>1</v>
      </c>
      <c r="B829" s="65">
        <v>45663</v>
      </c>
      <c r="C829" s="63">
        <v>1</v>
      </c>
      <c r="D829" s="38" t="s">
        <v>178</v>
      </c>
      <c r="E829" s="23" t="s">
        <v>141</v>
      </c>
      <c r="F829" s="39">
        <v>0.28070000000000001</v>
      </c>
      <c r="G829" s="64" t="s">
        <v>352</v>
      </c>
      <c r="H829" s="70"/>
      <c r="BA829" s="132" t="s">
        <v>15</v>
      </c>
      <c r="BB829" s="4">
        <v>1</v>
      </c>
      <c r="BC829">
        <v>0</v>
      </c>
    </row>
    <row r="830" spans="1:55" x14ac:dyDescent="0.3">
      <c r="A830" s="63">
        <v>2</v>
      </c>
      <c r="B830" s="65">
        <v>45670</v>
      </c>
      <c r="C830" s="63">
        <v>1</v>
      </c>
      <c r="D830" s="38" t="s">
        <v>178</v>
      </c>
      <c r="E830" s="23" t="s">
        <v>141</v>
      </c>
      <c r="F830" s="39">
        <v>0.29210000000000003</v>
      </c>
      <c r="G830" s="64" t="s">
        <v>352</v>
      </c>
      <c r="H830" s="70"/>
      <c r="BA830" s="132" t="s">
        <v>15</v>
      </c>
      <c r="BB830" s="4">
        <v>1</v>
      </c>
      <c r="BC830">
        <v>0</v>
      </c>
    </row>
    <row r="831" spans="1:55" x14ac:dyDescent="0.3">
      <c r="A831" s="63">
        <v>3</v>
      </c>
      <c r="B831" s="65">
        <v>45677</v>
      </c>
      <c r="C831" s="63">
        <v>1</v>
      </c>
      <c r="D831" s="38" t="s">
        <v>178</v>
      </c>
      <c r="E831" s="23" t="s">
        <v>141</v>
      </c>
      <c r="F831" s="39">
        <v>0.30909999999999999</v>
      </c>
      <c r="G831" s="64" t="s">
        <v>352</v>
      </c>
      <c r="H831" s="70"/>
      <c r="BA831" s="132" t="s">
        <v>15</v>
      </c>
      <c r="BB831" s="4">
        <v>1</v>
      </c>
      <c r="BC831">
        <v>0</v>
      </c>
    </row>
    <row r="832" spans="1:55" x14ac:dyDescent="0.3">
      <c r="A832" s="63">
        <v>4</v>
      </c>
      <c r="B832" s="65">
        <v>45684</v>
      </c>
      <c r="C832" s="63">
        <v>1</v>
      </c>
      <c r="D832" s="38" t="s">
        <v>178</v>
      </c>
      <c r="E832" s="23" t="s">
        <v>141</v>
      </c>
      <c r="F832" s="39">
        <v>0.33560000000000001</v>
      </c>
      <c r="G832" s="64" t="s">
        <v>352</v>
      </c>
      <c r="H832" s="70"/>
      <c r="BA832" s="132" t="s">
        <v>15</v>
      </c>
      <c r="BB832" s="4">
        <v>1</v>
      </c>
      <c r="BC832">
        <v>0</v>
      </c>
    </row>
    <row r="833" spans="1:55" x14ac:dyDescent="0.3">
      <c r="A833" s="63">
        <v>5</v>
      </c>
      <c r="B833" s="65">
        <v>45691</v>
      </c>
      <c r="C833" s="63">
        <v>1</v>
      </c>
      <c r="D833" s="38" t="s">
        <v>178</v>
      </c>
      <c r="E833" s="23" t="s">
        <v>141</v>
      </c>
      <c r="F833" s="39">
        <v>0.27600000000000002</v>
      </c>
      <c r="G833" s="64" t="s">
        <v>352</v>
      </c>
      <c r="H833" s="70"/>
      <c r="BA833" s="132" t="s">
        <v>15</v>
      </c>
      <c r="BB833" s="4">
        <v>1</v>
      </c>
      <c r="BC833">
        <v>0</v>
      </c>
    </row>
    <row r="834" spans="1:55" x14ac:dyDescent="0.3">
      <c r="A834" s="63">
        <v>6</v>
      </c>
      <c r="B834" s="65">
        <v>45698</v>
      </c>
      <c r="C834" s="63">
        <v>1</v>
      </c>
      <c r="D834" s="38" t="s">
        <v>178</v>
      </c>
      <c r="E834" s="23" t="s">
        <v>141</v>
      </c>
      <c r="F834" s="39">
        <v>0.28499999999999998</v>
      </c>
      <c r="G834" s="64" t="s">
        <v>352</v>
      </c>
      <c r="H834" s="70"/>
      <c r="BA834" s="132" t="s">
        <v>15</v>
      </c>
      <c r="BB834" s="4">
        <v>1</v>
      </c>
      <c r="BC834">
        <v>0</v>
      </c>
    </row>
    <row r="835" spans="1:55" x14ac:dyDescent="0.3">
      <c r="A835" s="63">
        <v>7</v>
      </c>
      <c r="B835" s="65">
        <v>45705</v>
      </c>
      <c r="C835" s="63">
        <v>1</v>
      </c>
      <c r="D835" s="38" t="s">
        <v>178</v>
      </c>
      <c r="E835" s="23" t="s">
        <v>141</v>
      </c>
      <c r="F835" s="39">
        <v>0.27879999999999999</v>
      </c>
      <c r="G835" s="64" t="s">
        <v>352</v>
      </c>
      <c r="H835" s="70"/>
      <c r="BA835" s="132" t="s">
        <v>15</v>
      </c>
      <c r="BB835" s="4">
        <v>1</v>
      </c>
      <c r="BC835">
        <v>0</v>
      </c>
    </row>
    <row r="836" spans="1:55" x14ac:dyDescent="0.3">
      <c r="A836" s="63">
        <v>8</v>
      </c>
      <c r="B836" s="65">
        <v>45712</v>
      </c>
      <c r="C836" s="63">
        <v>1</v>
      </c>
      <c r="D836" s="38" t="s">
        <v>178</v>
      </c>
      <c r="E836" s="23" t="s">
        <v>141</v>
      </c>
      <c r="F836" s="39">
        <v>0.30580000000000002</v>
      </c>
      <c r="G836" s="64" t="s">
        <v>352</v>
      </c>
      <c r="H836" s="70"/>
      <c r="BA836" s="132" t="s">
        <v>15</v>
      </c>
      <c r="BB836" s="4">
        <v>1</v>
      </c>
      <c r="BC836">
        <v>0</v>
      </c>
    </row>
    <row r="837" spans="1:55" x14ac:dyDescent="0.3">
      <c r="A837" s="63">
        <v>9</v>
      </c>
      <c r="B837" s="65">
        <v>45719</v>
      </c>
      <c r="C837" s="63">
        <v>1</v>
      </c>
      <c r="D837" s="38" t="s">
        <v>178</v>
      </c>
      <c r="E837" s="23" t="s">
        <v>141</v>
      </c>
      <c r="F837" s="39">
        <v>0.27360000000000001</v>
      </c>
      <c r="G837" s="64" t="s">
        <v>352</v>
      </c>
      <c r="H837" s="70"/>
      <c r="BA837" s="132" t="s">
        <v>15</v>
      </c>
      <c r="BB837" s="4">
        <v>1</v>
      </c>
      <c r="BC837">
        <v>0</v>
      </c>
    </row>
    <row r="838" spans="1:55" x14ac:dyDescent="0.3">
      <c r="A838" s="63">
        <v>10</v>
      </c>
      <c r="B838" s="65">
        <v>45726</v>
      </c>
      <c r="C838" s="63">
        <v>1</v>
      </c>
      <c r="D838" s="38" t="s">
        <v>178</v>
      </c>
      <c r="E838" s="23" t="s">
        <v>141</v>
      </c>
      <c r="F838" s="39">
        <v>0.28470000000000001</v>
      </c>
      <c r="G838" s="64" t="s">
        <v>352</v>
      </c>
      <c r="H838" s="70"/>
      <c r="BA838" s="132" t="s">
        <v>15</v>
      </c>
      <c r="BB838" s="4">
        <v>1</v>
      </c>
      <c r="BC838">
        <v>0</v>
      </c>
    </row>
    <row r="839" spans="1:55" x14ac:dyDescent="0.3">
      <c r="A839" s="63">
        <v>11</v>
      </c>
      <c r="B839" s="65">
        <v>45733</v>
      </c>
      <c r="C839" s="63">
        <v>1</v>
      </c>
      <c r="D839" s="38" t="s">
        <v>178</v>
      </c>
      <c r="E839" s="23" t="s">
        <v>141</v>
      </c>
      <c r="F839" s="39">
        <v>0.2923</v>
      </c>
      <c r="G839" s="64" t="s">
        <v>352</v>
      </c>
      <c r="H839" s="70"/>
      <c r="BA839" s="132" t="s">
        <v>15</v>
      </c>
      <c r="BB839" s="4">
        <v>1</v>
      </c>
      <c r="BC839">
        <v>0</v>
      </c>
    </row>
    <row r="840" spans="1:55" x14ac:dyDescent="0.3">
      <c r="A840" s="63">
        <v>12</v>
      </c>
      <c r="B840" s="65">
        <v>45740</v>
      </c>
      <c r="C840" s="63">
        <v>1</v>
      </c>
      <c r="D840" s="38" t="s">
        <v>178</v>
      </c>
      <c r="E840" s="23" t="s">
        <v>141</v>
      </c>
      <c r="F840" s="39">
        <v>0.27639999999999998</v>
      </c>
      <c r="G840" s="64" t="s">
        <v>352</v>
      </c>
      <c r="H840" s="70"/>
      <c r="BA840" s="132" t="s">
        <v>15</v>
      </c>
      <c r="BB840" s="4">
        <v>1</v>
      </c>
      <c r="BC840">
        <v>0</v>
      </c>
    </row>
    <row r="841" spans="1:55" x14ac:dyDescent="0.3">
      <c r="A841" s="63">
        <v>13</v>
      </c>
      <c r="B841" s="65">
        <v>45747</v>
      </c>
      <c r="C841" s="63">
        <v>1</v>
      </c>
      <c r="D841" s="38" t="s">
        <v>178</v>
      </c>
      <c r="E841" s="23" t="s">
        <v>141</v>
      </c>
      <c r="F841" s="39">
        <v>0.27679999999999999</v>
      </c>
      <c r="G841" s="64" t="s">
        <v>352</v>
      </c>
      <c r="H841" s="70"/>
      <c r="BA841" s="132" t="s">
        <v>15</v>
      </c>
      <c r="BB841" s="4">
        <v>1</v>
      </c>
      <c r="BC841">
        <v>0</v>
      </c>
    </row>
    <row r="842" spans="1:55" x14ac:dyDescent="0.3">
      <c r="A842" s="63">
        <v>14</v>
      </c>
      <c r="B842" s="65">
        <v>45754</v>
      </c>
      <c r="C842" s="63">
        <v>1</v>
      </c>
      <c r="D842" s="38" t="s">
        <v>178</v>
      </c>
      <c r="E842" s="23" t="s">
        <v>141</v>
      </c>
      <c r="F842" s="39">
        <v>0.2848</v>
      </c>
      <c r="G842" s="64" t="s">
        <v>352</v>
      </c>
      <c r="H842" s="70"/>
      <c r="BA842" s="132" t="s">
        <v>15</v>
      </c>
      <c r="BB842" s="4">
        <v>1</v>
      </c>
      <c r="BC842">
        <v>0</v>
      </c>
    </row>
    <row r="843" spans="1:55" x14ac:dyDescent="0.3">
      <c r="A843" s="63">
        <v>15</v>
      </c>
      <c r="B843" s="65">
        <v>45761</v>
      </c>
      <c r="C843" s="63">
        <v>1</v>
      </c>
      <c r="D843" s="38" t="s">
        <v>178</v>
      </c>
      <c r="E843" s="23" t="s">
        <v>141</v>
      </c>
      <c r="F843" s="39">
        <v>0.25769999999999998</v>
      </c>
      <c r="G843" s="64" t="s">
        <v>352</v>
      </c>
      <c r="H843" s="70"/>
      <c r="BA843" s="132" t="s">
        <v>15</v>
      </c>
      <c r="BB843" s="4">
        <v>1</v>
      </c>
      <c r="BC843">
        <v>0</v>
      </c>
    </row>
    <row r="844" spans="1:55" x14ac:dyDescent="0.3">
      <c r="A844" s="63">
        <v>16</v>
      </c>
      <c r="B844" s="65">
        <v>45768</v>
      </c>
      <c r="C844" s="63">
        <v>1</v>
      </c>
      <c r="D844" s="38" t="s">
        <v>178</v>
      </c>
      <c r="E844" s="23" t="s">
        <v>141</v>
      </c>
      <c r="F844" s="39">
        <v>0.26869999999999999</v>
      </c>
      <c r="G844" s="64" t="s">
        <v>352</v>
      </c>
      <c r="H844" s="70"/>
      <c r="BA844" s="132" t="s">
        <v>15</v>
      </c>
      <c r="BB844" s="4">
        <v>1</v>
      </c>
      <c r="BC844">
        <v>0</v>
      </c>
    </row>
    <row r="845" spans="1:55" x14ac:dyDescent="0.3">
      <c r="A845" s="63">
        <v>17</v>
      </c>
      <c r="B845" s="65">
        <v>45775</v>
      </c>
      <c r="C845" s="63">
        <v>1</v>
      </c>
      <c r="D845" s="38" t="s">
        <v>178</v>
      </c>
      <c r="E845" s="23" t="s">
        <v>141</v>
      </c>
      <c r="F845" s="39">
        <v>0.28589999999999999</v>
      </c>
      <c r="G845" s="64" t="s">
        <v>352</v>
      </c>
      <c r="H845" s="70"/>
      <c r="BA845" s="132" t="s">
        <v>15</v>
      </c>
      <c r="BB845" s="4">
        <v>1</v>
      </c>
      <c r="BC845">
        <v>0</v>
      </c>
    </row>
    <row r="846" spans="1:55" x14ac:dyDescent="0.3">
      <c r="A846" s="63">
        <v>18</v>
      </c>
      <c r="B846" s="65">
        <v>45782</v>
      </c>
      <c r="C846" s="63">
        <v>1</v>
      </c>
      <c r="D846" s="38" t="s">
        <v>178</v>
      </c>
      <c r="E846" s="23" t="s">
        <v>141</v>
      </c>
      <c r="F846" s="39">
        <v>0.29520000000000002</v>
      </c>
      <c r="G846" s="64" t="s">
        <v>352</v>
      </c>
      <c r="H846" s="70"/>
      <c r="BA846" s="132" t="s">
        <v>15</v>
      </c>
      <c r="BB846" s="4">
        <v>1</v>
      </c>
      <c r="BC846">
        <v>0</v>
      </c>
    </row>
    <row r="847" spans="1:55" x14ac:dyDescent="0.3">
      <c r="A847" s="63">
        <v>19</v>
      </c>
      <c r="B847" s="65">
        <v>45789</v>
      </c>
      <c r="C847" s="63">
        <v>1</v>
      </c>
      <c r="D847" s="38" t="s">
        <v>178</v>
      </c>
      <c r="E847" s="23" t="s">
        <v>141</v>
      </c>
      <c r="F847" s="39">
        <v>0.28970000000000001</v>
      </c>
      <c r="G847" s="64" t="s">
        <v>352</v>
      </c>
      <c r="H847" s="70"/>
      <c r="BA847" s="132" t="s">
        <v>15</v>
      </c>
      <c r="BB847" s="4">
        <v>1</v>
      </c>
      <c r="BC847">
        <v>0</v>
      </c>
    </row>
    <row r="848" spans="1:55" x14ac:dyDescent="0.3">
      <c r="A848" s="63">
        <v>20</v>
      </c>
      <c r="B848" s="65">
        <v>45796</v>
      </c>
      <c r="C848" s="63">
        <v>1</v>
      </c>
      <c r="D848" s="38" t="s">
        <v>178</v>
      </c>
      <c r="E848" s="23" t="s">
        <v>141</v>
      </c>
      <c r="F848" s="39">
        <v>0.26319999999999999</v>
      </c>
      <c r="G848" s="64" t="s">
        <v>352</v>
      </c>
      <c r="H848" s="70"/>
      <c r="BA848" s="132" t="s">
        <v>15</v>
      </c>
      <c r="BB848" s="4">
        <v>1</v>
      </c>
      <c r="BC848">
        <v>0</v>
      </c>
    </row>
    <row r="849" spans="1:55" x14ac:dyDescent="0.3">
      <c r="A849" s="63">
        <v>21</v>
      </c>
      <c r="B849" s="65">
        <v>45803</v>
      </c>
      <c r="C849" s="63">
        <v>1</v>
      </c>
      <c r="D849" s="38" t="s">
        <v>178</v>
      </c>
      <c r="E849" s="23" t="s">
        <v>141</v>
      </c>
      <c r="F849" s="39">
        <v>0.28499999999999998</v>
      </c>
      <c r="G849" s="64" t="s">
        <v>352</v>
      </c>
      <c r="H849" s="70"/>
      <c r="BA849" s="132" t="s">
        <v>15</v>
      </c>
      <c r="BB849" s="4">
        <v>1</v>
      </c>
      <c r="BC849">
        <v>0</v>
      </c>
    </row>
    <row r="850" spans="1:55" x14ac:dyDescent="0.3">
      <c r="A850" s="63">
        <v>22</v>
      </c>
      <c r="B850" s="65">
        <v>45810</v>
      </c>
      <c r="C850" s="63">
        <v>1</v>
      </c>
      <c r="D850" s="38" t="s">
        <v>178</v>
      </c>
      <c r="E850" s="23" t="s">
        <v>141</v>
      </c>
      <c r="F850" s="39">
        <v>0.30609999999999998</v>
      </c>
      <c r="G850" s="64" t="s">
        <v>352</v>
      </c>
      <c r="H850" s="70"/>
      <c r="BA850" s="132" t="s">
        <v>15</v>
      </c>
      <c r="BB850" s="4">
        <v>1</v>
      </c>
      <c r="BC850">
        <v>0</v>
      </c>
    </row>
    <row r="851" spans="1:55" x14ac:dyDescent="0.3">
      <c r="A851" s="63">
        <v>23</v>
      </c>
      <c r="B851" s="65">
        <v>45817</v>
      </c>
      <c r="C851" s="63">
        <v>1</v>
      </c>
      <c r="D851" s="38" t="s">
        <v>178</v>
      </c>
      <c r="E851" s="23" t="s">
        <v>141</v>
      </c>
      <c r="F851" s="39">
        <v>0.30199999999999999</v>
      </c>
      <c r="G851" s="64" t="s">
        <v>352</v>
      </c>
      <c r="H851" s="70"/>
      <c r="BA851" s="132" t="s">
        <v>15</v>
      </c>
      <c r="BB851" s="4">
        <v>1</v>
      </c>
      <c r="BC851">
        <v>0</v>
      </c>
    </row>
    <row r="852" spans="1:55" x14ac:dyDescent="0.3">
      <c r="A852" s="63">
        <v>24</v>
      </c>
      <c r="B852" s="65">
        <v>45824</v>
      </c>
      <c r="C852" s="63">
        <v>1</v>
      </c>
      <c r="D852" s="38" t="s">
        <v>178</v>
      </c>
      <c r="E852" s="23" t="s">
        <v>141</v>
      </c>
      <c r="F852" s="39">
        <v>0.29139999999999999</v>
      </c>
      <c r="G852" s="64" t="s">
        <v>352</v>
      </c>
      <c r="H852" s="70"/>
      <c r="BA852" s="132" t="s">
        <v>15</v>
      </c>
      <c r="BB852" s="4">
        <v>1</v>
      </c>
      <c r="BC852">
        <v>0</v>
      </c>
    </row>
    <row r="853" spans="1:55" x14ac:dyDescent="0.3">
      <c r="A853" s="63">
        <v>25</v>
      </c>
      <c r="B853" s="65">
        <v>45831</v>
      </c>
      <c r="C853" s="63">
        <v>1</v>
      </c>
      <c r="D853" s="38" t="s">
        <v>178</v>
      </c>
      <c r="E853" s="23" t="s">
        <v>141</v>
      </c>
      <c r="F853" s="39">
        <v>0.27800000000000002</v>
      </c>
      <c r="G853" s="64" t="s">
        <v>352</v>
      </c>
      <c r="H853" s="70"/>
      <c r="BA853" s="132" t="s">
        <v>15</v>
      </c>
      <c r="BB853" s="4">
        <v>1</v>
      </c>
      <c r="BC853">
        <v>0</v>
      </c>
    </row>
    <row r="854" spans="1:55" x14ac:dyDescent="0.3">
      <c r="A854" s="63">
        <v>1</v>
      </c>
      <c r="B854" s="65">
        <v>45663</v>
      </c>
      <c r="C854" s="63">
        <v>2</v>
      </c>
      <c r="D854" s="38" t="s">
        <v>179</v>
      </c>
      <c r="E854" s="23" t="s">
        <v>141</v>
      </c>
      <c r="F854" s="39">
        <v>0.75360000000000005</v>
      </c>
      <c r="G854" s="64" t="s">
        <v>352</v>
      </c>
      <c r="H854" s="70"/>
      <c r="BA854" s="132" t="s">
        <v>15</v>
      </c>
      <c r="BB854" s="4">
        <v>0</v>
      </c>
      <c r="BC854">
        <v>0</v>
      </c>
    </row>
    <row r="855" spans="1:55" x14ac:dyDescent="0.3">
      <c r="A855" s="63">
        <v>2</v>
      </c>
      <c r="B855" s="65">
        <v>45670</v>
      </c>
      <c r="C855" s="63">
        <v>2</v>
      </c>
      <c r="D855" s="38" t="s">
        <v>179</v>
      </c>
      <c r="E855" s="23" t="s">
        <v>141</v>
      </c>
      <c r="F855" s="39">
        <v>0.70430000000000004</v>
      </c>
      <c r="G855" s="64" t="s">
        <v>352</v>
      </c>
      <c r="H855" s="70"/>
      <c r="BA855" s="132" t="s">
        <v>15</v>
      </c>
      <c r="BB855" s="4">
        <v>0</v>
      </c>
      <c r="BC855">
        <v>0</v>
      </c>
    </row>
    <row r="856" spans="1:55" x14ac:dyDescent="0.3">
      <c r="A856" s="63">
        <v>3</v>
      </c>
      <c r="B856" s="65">
        <v>45677</v>
      </c>
      <c r="C856" s="63">
        <v>2</v>
      </c>
      <c r="D856" s="38" t="s">
        <v>179</v>
      </c>
      <c r="E856" s="23" t="s">
        <v>141</v>
      </c>
      <c r="F856" s="39">
        <v>0.68030000000000002</v>
      </c>
      <c r="G856" s="64" t="s">
        <v>352</v>
      </c>
      <c r="H856" s="70"/>
      <c r="BA856" s="132" t="s">
        <v>15</v>
      </c>
      <c r="BB856" s="4">
        <v>0</v>
      </c>
      <c r="BC856">
        <v>0</v>
      </c>
    </row>
    <row r="857" spans="1:55" x14ac:dyDescent="0.3">
      <c r="A857" s="63">
        <v>4</v>
      </c>
      <c r="B857" s="65">
        <v>45684</v>
      </c>
      <c r="C857" s="63">
        <v>2</v>
      </c>
      <c r="D857" s="38" t="s">
        <v>179</v>
      </c>
      <c r="E857" s="23" t="s">
        <v>141</v>
      </c>
      <c r="F857" s="39">
        <v>0.69520000000000004</v>
      </c>
      <c r="G857" s="64" t="s">
        <v>352</v>
      </c>
      <c r="H857" s="70"/>
      <c r="BA857" s="132" t="s">
        <v>15</v>
      </c>
      <c r="BB857" s="4">
        <v>0</v>
      </c>
      <c r="BC857">
        <v>0</v>
      </c>
    </row>
    <row r="858" spans="1:55" x14ac:dyDescent="0.3">
      <c r="A858" s="63">
        <v>5</v>
      </c>
      <c r="B858" s="65">
        <v>45691</v>
      </c>
      <c r="C858" s="63">
        <v>2</v>
      </c>
      <c r="D858" s="38" t="s">
        <v>179</v>
      </c>
      <c r="E858" s="23" t="s">
        <v>141</v>
      </c>
      <c r="F858" s="39">
        <v>0.78690000000000004</v>
      </c>
      <c r="G858" s="64" t="s">
        <v>352</v>
      </c>
      <c r="H858" s="70"/>
      <c r="BA858" s="132" t="s">
        <v>15</v>
      </c>
      <c r="BB858" s="4">
        <v>0</v>
      </c>
      <c r="BC858">
        <v>0</v>
      </c>
    </row>
    <row r="859" spans="1:55" x14ac:dyDescent="0.3">
      <c r="A859" s="63">
        <v>6</v>
      </c>
      <c r="B859" s="65">
        <v>45698</v>
      </c>
      <c r="C859" s="63">
        <v>2</v>
      </c>
      <c r="D859" s="38" t="s">
        <v>179</v>
      </c>
      <c r="E859" s="23" t="s">
        <v>141</v>
      </c>
      <c r="F859" s="39">
        <v>0.7369</v>
      </c>
      <c r="G859" s="64" t="s">
        <v>352</v>
      </c>
      <c r="H859" s="70"/>
      <c r="BA859" s="132" t="s">
        <v>15</v>
      </c>
      <c r="BB859" s="4">
        <v>0</v>
      </c>
      <c r="BC859">
        <v>0</v>
      </c>
    </row>
    <row r="860" spans="1:55" x14ac:dyDescent="0.3">
      <c r="A860" s="63">
        <v>7</v>
      </c>
      <c r="B860" s="65">
        <v>45705</v>
      </c>
      <c r="C860" s="63">
        <v>2</v>
      </c>
      <c r="D860" s="38" t="s">
        <v>179</v>
      </c>
      <c r="E860" s="23" t="s">
        <v>141</v>
      </c>
      <c r="F860" s="39">
        <v>0.7752</v>
      </c>
      <c r="G860" s="64" t="s">
        <v>352</v>
      </c>
      <c r="H860" s="70"/>
      <c r="BA860" s="132" t="s">
        <v>15</v>
      </c>
      <c r="BB860" s="4">
        <v>0</v>
      </c>
      <c r="BC860">
        <v>0</v>
      </c>
    </row>
    <row r="861" spans="1:55" x14ac:dyDescent="0.3">
      <c r="A861" s="63">
        <v>8</v>
      </c>
      <c r="B861" s="65">
        <v>45712</v>
      </c>
      <c r="C861" s="63">
        <v>2</v>
      </c>
      <c r="D861" s="38" t="s">
        <v>179</v>
      </c>
      <c r="E861" s="23" t="s">
        <v>141</v>
      </c>
      <c r="F861" s="39">
        <v>0.70840000000000003</v>
      </c>
      <c r="G861" s="64" t="s">
        <v>352</v>
      </c>
      <c r="H861" s="70"/>
      <c r="BA861" s="132" t="s">
        <v>15</v>
      </c>
      <c r="BB861" s="4">
        <v>0</v>
      </c>
      <c r="BC861">
        <v>0</v>
      </c>
    </row>
    <row r="862" spans="1:55" x14ac:dyDescent="0.3">
      <c r="A862" s="63">
        <v>9</v>
      </c>
      <c r="B862" s="65">
        <v>45719</v>
      </c>
      <c r="C862" s="63">
        <v>2</v>
      </c>
      <c r="D862" s="38" t="s">
        <v>179</v>
      </c>
      <c r="E862" s="23" t="s">
        <v>141</v>
      </c>
      <c r="F862" s="39">
        <v>0.76619999999999999</v>
      </c>
      <c r="G862" s="64" t="s">
        <v>352</v>
      </c>
      <c r="H862" s="70"/>
      <c r="BA862" s="132" t="s">
        <v>15</v>
      </c>
      <c r="BB862" s="4">
        <v>0</v>
      </c>
      <c r="BC862">
        <v>0</v>
      </c>
    </row>
    <row r="863" spans="1:55" x14ac:dyDescent="0.3">
      <c r="A863" s="63">
        <v>10</v>
      </c>
      <c r="B863" s="65">
        <v>45726</v>
      </c>
      <c r="C863" s="63">
        <v>2</v>
      </c>
      <c r="D863" s="38" t="s">
        <v>179</v>
      </c>
      <c r="E863" s="23" t="s">
        <v>141</v>
      </c>
      <c r="F863" s="39">
        <v>0.70340000000000003</v>
      </c>
      <c r="G863" s="64" t="s">
        <v>352</v>
      </c>
      <c r="H863" s="70"/>
      <c r="BA863" s="132" t="s">
        <v>15</v>
      </c>
      <c r="BB863" s="4">
        <v>0</v>
      </c>
      <c r="BC863">
        <v>0</v>
      </c>
    </row>
    <row r="864" spans="1:55" x14ac:dyDescent="0.3">
      <c r="A864" s="63">
        <v>11</v>
      </c>
      <c r="B864" s="65">
        <v>45733</v>
      </c>
      <c r="C864" s="63">
        <v>2</v>
      </c>
      <c r="D864" s="38" t="s">
        <v>179</v>
      </c>
      <c r="E864" s="23" t="s">
        <v>141</v>
      </c>
      <c r="F864" s="39">
        <v>0.72150000000000003</v>
      </c>
      <c r="G864" s="64" t="s">
        <v>352</v>
      </c>
      <c r="H864" s="70"/>
      <c r="BA864" s="132" t="s">
        <v>15</v>
      </c>
      <c r="BB864" s="4">
        <v>0</v>
      </c>
      <c r="BC864">
        <v>0</v>
      </c>
    </row>
    <row r="865" spans="1:55" x14ac:dyDescent="0.3">
      <c r="A865" s="63">
        <v>12</v>
      </c>
      <c r="B865" s="65">
        <v>45740</v>
      </c>
      <c r="C865" s="63">
        <v>2</v>
      </c>
      <c r="D865" s="38" t="s">
        <v>179</v>
      </c>
      <c r="E865" s="23" t="s">
        <v>141</v>
      </c>
      <c r="F865" s="39">
        <v>0.82920000000000005</v>
      </c>
      <c r="G865" s="64" t="s">
        <v>352</v>
      </c>
      <c r="H865" s="70"/>
      <c r="BA865" s="132" t="s">
        <v>15</v>
      </c>
      <c r="BB865" s="4">
        <v>0</v>
      </c>
      <c r="BC865">
        <v>0</v>
      </c>
    </row>
    <row r="866" spans="1:55" x14ac:dyDescent="0.3">
      <c r="A866" s="63">
        <v>13</v>
      </c>
      <c r="B866" s="65">
        <v>45747</v>
      </c>
      <c r="C866" s="63">
        <v>2</v>
      </c>
      <c r="D866" s="38" t="s">
        <v>179</v>
      </c>
      <c r="E866" s="23" t="s">
        <v>141</v>
      </c>
      <c r="F866" s="39">
        <v>0.75919999999999999</v>
      </c>
      <c r="G866" s="64" t="s">
        <v>352</v>
      </c>
      <c r="H866" s="70"/>
      <c r="BA866" s="132" t="s">
        <v>15</v>
      </c>
      <c r="BB866" s="4">
        <v>0</v>
      </c>
      <c r="BC866">
        <v>0</v>
      </c>
    </row>
    <row r="867" spans="1:55" x14ac:dyDescent="0.3">
      <c r="A867" s="63">
        <v>14</v>
      </c>
      <c r="B867" s="65">
        <v>45754</v>
      </c>
      <c r="C867" s="63">
        <v>2</v>
      </c>
      <c r="D867" s="38" t="s">
        <v>179</v>
      </c>
      <c r="E867" s="23" t="s">
        <v>141</v>
      </c>
      <c r="F867" s="39">
        <v>0.70750000000000002</v>
      </c>
      <c r="G867" s="64" t="s">
        <v>352</v>
      </c>
      <c r="H867" s="70"/>
      <c r="BA867" s="132" t="s">
        <v>15</v>
      </c>
      <c r="BB867" s="4">
        <v>0</v>
      </c>
      <c r="BC867">
        <v>0</v>
      </c>
    </row>
    <row r="868" spans="1:55" x14ac:dyDescent="0.3">
      <c r="A868" s="63">
        <v>15</v>
      </c>
      <c r="B868" s="65">
        <v>45761</v>
      </c>
      <c r="C868" s="63">
        <v>2</v>
      </c>
      <c r="D868" s="38" t="s">
        <v>179</v>
      </c>
      <c r="E868" s="23" t="s">
        <v>141</v>
      </c>
      <c r="F868" s="39">
        <v>0.72450000000000003</v>
      </c>
      <c r="G868" s="64" t="s">
        <v>352</v>
      </c>
      <c r="H868" s="70"/>
      <c r="BA868" s="132" t="s">
        <v>15</v>
      </c>
      <c r="BB868" s="4">
        <v>0</v>
      </c>
      <c r="BC868">
        <v>0</v>
      </c>
    </row>
    <row r="869" spans="1:55" x14ac:dyDescent="0.3">
      <c r="A869" s="63">
        <v>16</v>
      </c>
      <c r="B869" s="65">
        <v>45768</v>
      </c>
      <c r="C869" s="63">
        <v>2</v>
      </c>
      <c r="D869" s="38" t="s">
        <v>179</v>
      </c>
      <c r="E869" s="23" t="s">
        <v>141</v>
      </c>
      <c r="F869" s="39">
        <v>0.74119999999999997</v>
      </c>
      <c r="G869" s="64" t="s">
        <v>352</v>
      </c>
      <c r="H869" s="70"/>
      <c r="BA869" s="132" t="s">
        <v>15</v>
      </c>
      <c r="BB869" s="4">
        <v>0</v>
      </c>
      <c r="BC869">
        <v>0</v>
      </c>
    </row>
    <row r="870" spans="1:55" x14ac:dyDescent="0.3">
      <c r="A870" s="63">
        <v>17</v>
      </c>
      <c r="B870" s="65">
        <v>45775</v>
      </c>
      <c r="C870" s="63">
        <v>2</v>
      </c>
      <c r="D870" s="38" t="s">
        <v>179</v>
      </c>
      <c r="E870" s="23" t="s">
        <v>141</v>
      </c>
      <c r="F870" s="39">
        <v>0.7772</v>
      </c>
      <c r="G870" s="64" t="s">
        <v>352</v>
      </c>
      <c r="H870" s="70"/>
      <c r="BA870" s="132" t="s">
        <v>15</v>
      </c>
      <c r="BB870" s="4">
        <v>0</v>
      </c>
      <c r="BC870">
        <v>0</v>
      </c>
    </row>
    <row r="871" spans="1:55" x14ac:dyDescent="0.3">
      <c r="A871" s="63">
        <v>18</v>
      </c>
      <c r="B871" s="65">
        <v>45782</v>
      </c>
      <c r="C871" s="63">
        <v>2</v>
      </c>
      <c r="D871" s="38" t="s">
        <v>179</v>
      </c>
      <c r="E871" s="23" t="s">
        <v>141</v>
      </c>
      <c r="F871" s="39">
        <v>0.70799999999999996</v>
      </c>
      <c r="G871" s="64" t="s">
        <v>352</v>
      </c>
      <c r="H871" s="70"/>
      <c r="BA871" s="132" t="s">
        <v>15</v>
      </c>
      <c r="BB871" s="4">
        <v>0</v>
      </c>
      <c r="BC871">
        <v>0</v>
      </c>
    </row>
    <row r="872" spans="1:55" x14ac:dyDescent="0.3">
      <c r="A872" s="63">
        <v>19</v>
      </c>
      <c r="B872" s="65">
        <v>45789</v>
      </c>
      <c r="C872" s="63">
        <v>2</v>
      </c>
      <c r="D872" s="38" t="s">
        <v>179</v>
      </c>
      <c r="E872" s="23" t="s">
        <v>141</v>
      </c>
      <c r="F872" s="39">
        <v>0.65700000000000003</v>
      </c>
      <c r="G872" s="64" t="s">
        <v>352</v>
      </c>
      <c r="H872" s="70"/>
      <c r="BA872" s="132" t="s">
        <v>15</v>
      </c>
      <c r="BB872" s="4">
        <v>0</v>
      </c>
      <c r="BC872">
        <v>0</v>
      </c>
    </row>
    <row r="873" spans="1:55" x14ac:dyDescent="0.3">
      <c r="A873" s="63">
        <v>20</v>
      </c>
      <c r="B873" s="65">
        <v>45796</v>
      </c>
      <c r="C873" s="63">
        <v>2</v>
      </c>
      <c r="D873" s="38" t="s">
        <v>179</v>
      </c>
      <c r="E873" s="23" t="s">
        <v>141</v>
      </c>
      <c r="F873" s="39">
        <v>0.71650000000000003</v>
      </c>
      <c r="G873" s="64" t="s">
        <v>352</v>
      </c>
      <c r="H873" s="70"/>
      <c r="BA873" s="132" t="s">
        <v>15</v>
      </c>
      <c r="BB873" s="4">
        <v>0</v>
      </c>
      <c r="BC873">
        <v>0</v>
      </c>
    </row>
    <row r="874" spans="1:55" x14ac:dyDescent="0.3">
      <c r="A874" s="63">
        <v>21</v>
      </c>
      <c r="B874" s="65">
        <v>45803</v>
      </c>
      <c r="C874" s="63">
        <v>2</v>
      </c>
      <c r="D874" s="38" t="s">
        <v>179</v>
      </c>
      <c r="E874" s="23" t="s">
        <v>141</v>
      </c>
      <c r="F874" s="39">
        <v>0.72860000000000003</v>
      </c>
      <c r="G874" s="64" t="s">
        <v>352</v>
      </c>
      <c r="H874" s="70"/>
      <c r="BA874" s="132" t="s">
        <v>15</v>
      </c>
      <c r="BB874" s="4">
        <v>0</v>
      </c>
      <c r="BC874">
        <v>0</v>
      </c>
    </row>
    <row r="875" spans="1:55" x14ac:dyDescent="0.3">
      <c r="A875" s="63">
        <v>22</v>
      </c>
      <c r="B875" s="65">
        <v>45810</v>
      </c>
      <c r="C875" s="63">
        <v>2</v>
      </c>
      <c r="D875" s="38" t="s">
        <v>179</v>
      </c>
      <c r="E875" s="23" t="s">
        <v>141</v>
      </c>
      <c r="F875" s="39">
        <v>0.73240000000000005</v>
      </c>
      <c r="G875" s="64" t="s">
        <v>352</v>
      </c>
      <c r="H875" s="70"/>
      <c r="BA875" s="132" t="s">
        <v>15</v>
      </c>
      <c r="BB875" s="4">
        <v>0</v>
      </c>
      <c r="BC875">
        <v>0</v>
      </c>
    </row>
    <row r="876" spans="1:55" x14ac:dyDescent="0.3">
      <c r="A876" s="63">
        <v>23</v>
      </c>
      <c r="B876" s="65">
        <v>45817</v>
      </c>
      <c r="C876" s="63">
        <v>2</v>
      </c>
      <c r="D876" s="38" t="s">
        <v>179</v>
      </c>
      <c r="E876" s="23" t="s">
        <v>141</v>
      </c>
      <c r="F876" s="39">
        <v>0.78159999999999996</v>
      </c>
      <c r="G876" s="64" t="s">
        <v>352</v>
      </c>
      <c r="H876" s="70"/>
      <c r="BA876" s="132" t="s">
        <v>15</v>
      </c>
      <c r="BB876" s="4">
        <v>0</v>
      </c>
      <c r="BC876">
        <v>0</v>
      </c>
    </row>
    <row r="877" spans="1:55" x14ac:dyDescent="0.3">
      <c r="A877" s="63">
        <v>24</v>
      </c>
      <c r="B877" s="65">
        <v>45824</v>
      </c>
      <c r="C877" s="63">
        <v>2</v>
      </c>
      <c r="D877" s="38" t="s">
        <v>179</v>
      </c>
      <c r="E877" s="23" t="s">
        <v>141</v>
      </c>
      <c r="F877" s="39">
        <v>0.74080000000000001</v>
      </c>
      <c r="G877" s="64" t="s">
        <v>352</v>
      </c>
      <c r="H877" s="70"/>
      <c r="BA877" s="132" t="s">
        <v>15</v>
      </c>
      <c r="BB877" s="4">
        <v>0</v>
      </c>
      <c r="BC877">
        <v>0</v>
      </c>
    </row>
    <row r="878" spans="1:55" x14ac:dyDescent="0.3">
      <c r="A878" s="63">
        <v>25</v>
      </c>
      <c r="B878" s="65">
        <v>45831</v>
      </c>
      <c r="C878" s="63">
        <v>2</v>
      </c>
      <c r="D878" s="38" t="s">
        <v>179</v>
      </c>
      <c r="E878" s="23" t="s">
        <v>141</v>
      </c>
      <c r="F878" s="39">
        <v>0.7611</v>
      </c>
      <c r="G878" s="64" t="s">
        <v>352</v>
      </c>
      <c r="H878" s="70"/>
      <c r="BA878" s="132" t="s">
        <v>15</v>
      </c>
      <c r="BB878" s="4">
        <v>0</v>
      </c>
      <c r="BC878">
        <v>0</v>
      </c>
    </row>
    <row r="879" spans="1:55" x14ac:dyDescent="0.3">
      <c r="A879" s="63">
        <v>1</v>
      </c>
      <c r="B879" s="65">
        <v>45663</v>
      </c>
      <c r="C879" s="63">
        <v>3</v>
      </c>
      <c r="D879" s="38" t="s">
        <v>180</v>
      </c>
      <c r="E879" s="23" t="s">
        <v>141</v>
      </c>
      <c r="F879" s="39">
        <v>1.7225999999999999</v>
      </c>
      <c r="G879" s="64" t="s">
        <v>352</v>
      </c>
      <c r="H879" s="70"/>
      <c r="BA879" s="132" t="s">
        <v>15</v>
      </c>
      <c r="BB879" s="4">
        <v>0</v>
      </c>
      <c r="BC879">
        <v>0</v>
      </c>
    </row>
    <row r="880" spans="1:55" x14ac:dyDescent="0.3">
      <c r="A880" s="63">
        <v>2</v>
      </c>
      <c r="B880" s="65">
        <v>45670</v>
      </c>
      <c r="C880" s="63">
        <v>3</v>
      </c>
      <c r="D880" s="38" t="s">
        <v>180</v>
      </c>
      <c r="E880" s="23" t="s">
        <v>141</v>
      </c>
      <c r="F880" s="39">
        <v>1.9739</v>
      </c>
      <c r="G880" s="64" t="s">
        <v>352</v>
      </c>
      <c r="H880" s="70"/>
      <c r="BA880" s="132" t="s">
        <v>15</v>
      </c>
      <c r="BB880" s="4">
        <v>0</v>
      </c>
      <c r="BC880">
        <v>0</v>
      </c>
    </row>
    <row r="881" spans="1:55" x14ac:dyDescent="0.3">
      <c r="A881" s="63">
        <v>3</v>
      </c>
      <c r="B881" s="65">
        <v>45677</v>
      </c>
      <c r="C881" s="63">
        <v>3</v>
      </c>
      <c r="D881" s="38" t="s">
        <v>180</v>
      </c>
      <c r="E881" s="23" t="s">
        <v>141</v>
      </c>
      <c r="F881" s="39">
        <v>2.1307</v>
      </c>
      <c r="G881" s="64" t="s">
        <v>352</v>
      </c>
      <c r="H881" s="70"/>
      <c r="BA881" s="132" t="s">
        <v>15</v>
      </c>
      <c r="BB881" s="4">
        <v>0</v>
      </c>
      <c r="BC881">
        <v>0</v>
      </c>
    </row>
    <row r="882" spans="1:55" x14ac:dyDescent="0.3">
      <c r="A882" s="63">
        <v>4</v>
      </c>
      <c r="B882" s="65">
        <v>45684</v>
      </c>
      <c r="C882" s="63">
        <v>3</v>
      </c>
      <c r="D882" s="38" t="s">
        <v>180</v>
      </c>
      <c r="E882" s="23" t="s">
        <v>141</v>
      </c>
      <c r="F882" s="39">
        <v>1.9618</v>
      </c>
      <c r="G882" s="64" t="s">
        <v>352</v>
      </c>
      <c r="H882" s="70"/>
      <c r="BA882" s="132" t="s">
        <v>15</v>
      </c>
      <c r="BB882" s="4">
        <v>0</v>
      </c>
      <c r="BC882">
        <v>0</v>
      </c>
    </row>
    <row r="883" spans="1:55" x14ac:dyDescent="0.3">
      <c r="A883" s="63">
        <v>5</v>
      </c>
      <c r="B883" s="65">
        <v>45691</v>
      </c>
      <c r="C883" s="63">
        <v>3</v>
      </c>
      <c r="D883" s="38" t="s">
        <v>180</v>
      </c>
      <c r="E883" s="23" t="s">
        <v>141</v>
      </c>
      <c r="F883" s="39">
        <v>1.8955</v>
      </c>
      <c r="G883" s="64" t="s">
        <v>352</v>
      </c>
      <c r="H883" s="70"/>
      <c r="BA883" s="132" t="s">
        <v>15</v>
      </c>
      <c r="BB883" s="4">
        <v>0</v>
      </c>
      <c r="BC883">
        <v>0</v>
      </c>
    </row>
    <row r="884" spans="1:55" x14ac:dyDescent="0.3">
      <c r="A884" s="63">
        <v>6</v>
      </c>
      <c r="B884" s="65">
        <v>45698</v>
      </c>
      <c r="C884" s="63">
        <v>3</v>
      </c>
      <c r="D884" s="38" t="s">
        <v>180</v>
      </c>
      <c r="E884" s="23" t="s">
        <v>141</v>
      </c>
      <c r="F884" s="39">
        <v>1.8828</v>
      </c>
      <c r="G884" s="64" t="s">
        <v>352</v>
      </c>
      <c r="H884" s="70"/>
      <c r="BA884" s="132" t="s">
        <v>15</v>
      </c>
      <c r="BB884" s="4">
        <v>0</v>
      </c>
      <c r="BC884">
        <v>0</v>
      </c>
    </row>
    <row r="885" spans="1:55" x14ac:dyDescent="0.3">
      <c r="A885" s="63">
        <v>7</v>
      </c>
      <c r="B885" s="65">
        <v>45705</v>
      </c>
      <c r="C885" s="63">
        <v>3</v>
      </c>
      <c r="D885" s="38" t="s">
        <v>180</v>
      </c>
      <c r="E885" s="23" t="s">
        <v>141</v>
      </c>
      <c r="F885" s="39">
        <v>2.0912000000000002</v>
      </c>
      <c r="G885" s="64" t="s">
        <v>352</v>
      </c>
      <c r="H885" s="70"/>
      <c r="BA885" s="132" t="s">
        <v>15</v>
      </c>
      <c r="BB885" s="4">
        <v>0</v>
      </c>
      <c r="BC885">
        <v>0</v>
      </c>
    </row>
    <row r="886" spans="1:55" x14ac:dyDescent="0.3">
      <c r="A886" s="63">
        <v>8</v>
      </c>
      <c r="B886" s="65">
        <v>45712</v>
      </c>
      <c r="C886" s="63">
        <v>3</v>
      </c>
      <c r="D886" s="38" t="s">
        <v>180</v>
      </c>
      <c r="E886" s="23" t="s">
        <v>141</v>
      </c>
      <c r="F886" s="39">
        <v>1.7447999999999999</v>
      </c>
      <c r="G886" s="64" t="s">
        <v>352</v>
      </c>
      <c r="H886" s="70"/>
      <c r="BA886" s="132" t="s">
        <v>15</v>
      </c>
      <c r="BB886" s="4">
        <v>0</v>
      </c>
      <c r="BC886">
        <v>0</v>
      </c>
    </row>
    <row r="887" spans="1:55" x14ac:dyDescent="0.3">
      <c r="A887" s="63">
        <v>9</v>
      </c>
      <c r="B887" s="65">
        <v>45719</v>
      </c>
      <c r="C887" s="63">
        <v>3</v>
      </c>
      <c r="D887" s="38" t="s">
        <v>180</v>
      </c>
      <c r="E887" s="23" t="s">
        <v>141</v>
      </c>
      <c r="F887" s="39">
        <v>1.8489</v>
      </c>
      <c r="G887" s="64" t="s">
        <v>352</v>
      </c>
      <c r="H887" s="70"/>
      <c r="BA887" s="132" t="s">
        <v>15</v>
      </c>
      <c r="BB887" s="4">
        <v>0</v>
      </c>
      <c r="BC887">
        <v>0</v>
      </c>
    </row>
    <row r="888" spans="1:55" x14ac:dyDescent="0.3">
      <c r="A888" s="63">
        <v>10</v>
      </c>
      <c r="B888" s="65">
        <v>45726</v>
      </c>
      <c r="C888" s="63">
        <v>3</v>
      </c>
      <c r="D888" s="38" t="s">
        <v>180</v>
      </c>
      <c r="E888" s="23" t="s">
        <v>141</v>
      </c>
      <c r="F888" s="39">
        <v>1.9218</v>
      </c>
      <c r="G888" s="64" t="s">
        <v>352</v>
      </c>
      <c r="H888" s="70"/>
      <c r="BA888" s="132" t="s">
        <v>15</v>
      </c>
      <c r="BB888" s="4">
        <v>0</v>
      </c>
      <c r="BC888">
        <v>0</v>
      </c>
    </row>
    <row r="889" spans="1:55" x14ac:dyDescent="0.3">
      <c r="A889" s="63">
        <v>11</v>
      </c>
      <c r="B889" s="65">
        <v>45733</v>
      </c>
      <c r="C889" s="63">
        <v>3</v>
      </c>
      <c r="D889" s="38" t="s">
        <v>180</v>
      </c>
      <c r="E889" s="23" t="s">
        <v>141</v>
      </c>
      <c r="F889" s="39">
        <v>1.9581</v>
      </c>
      <c r="G889" s="64" t="s">
        <v>352</v>
      </c>
      <c r="H889" s="70"/>
      <c r="BA889" s="132" t="s">
        <v>15</v>
      </c>
      <c r="BB889" s="4">
        <v>0</v>
      </c>
      <c r="BC889">
        <v>0</v>
      </c>
    </row>
    <row r="890" spans="1:55" x14ac:dyDescent="0.3">
      <c r="A890" s="63">
        <v>12</v>
      </c>
      <c r="B890" s="65">
        <v>45740</v>
      </c>
      <c r="C890" s="63">
        <v>3</v>
      </c>
      <c r="D890" s="38" t="s">
        <v>180</v>
      </c>
      <c r="E890" s="23" t="s">
        <v>141</v>
      </c>
      <c r="F890" s="39">
        <v>1.8072999999999999</v>
      </c>
      <c r="G890" s="64" t="s">
        <v>352</v>
      </c>
      <c r="H890" s="70"/>
      <c r="BA890" s="132" t="s">
        <v>15</v>
      </c>
      <c r="BB890" s="4">
        <v>0</v>
      </c>
      <c r="BC890">
        <v>0</v>
      </c>
    </row>
    <row r="891" spans="1:55" x14ac:dyDescent="0.3">
      <c r="A891" s="63">
        <v>13</v>
      </c>
      <c r="B891" s="65">
        <v>45747</v>
      </c>
      <c r="C891" s="63">
        <v>3</v>
      </c>
      <c r="D891" s="38" t="s">
        <v>180</v>
      </c>
      <c r="E891" s="23" t="s">
        <v>141</v>
      </c>
      <c r="F891" s="39">
        <v>1.9023000000000001</v>
      </c>
      <c r="G891" s="64" t="s">
        <v>352</v>
      </c>
      <c r="H891" s="70"/>
      <c r="BA891" s="132" t="s">
        <v>15</v>
      </c>
      <c r="BB891" s="4">
        <v>0</v>
      </c>
      <c r="BC891">
        <v>0</v>
      </c>
    </row>
    <row r="892" spans="1:55" x14ac:dyDescent="0.3">
      <c r="A892" s="63">
        <v>14</v>
      </c>
      <c r="B892" s="65">
        <v>45754</v>
      </c>
      <c r="C892" s="63">
        <v>3</v>
      </c>
      <c r="D892" s="38" t="s">
        <v>180</v>
      </c>
      <c r="E892" s="23" t="s">
        <v>141</v>
      </c>
      <c r="F892" s="39">
        <v>1.8275999999999999</v>
      </c>
      <c r="G892" s="64" t="s">
        <v>352</v>
      </c>
      <c r="H892" s="70"/>
      <c r="BA892" s="132" t="s">
        <v>15</v>
      </c>
      <c r="BB892" s="4">
        <v>0</v>
      </c>
      <c r="BC892">
        <v>0</v>
      </c>
    </row>
    <row r="893" spans="1:55" x14ac:dyDescent="0.3">
      <c r="A893" s="63">
        <v>15</v>
      </c>
      <c r="B893" s="65">
        <v>45761</v>
      </c>
      <c r="C893" s="63">
        <v>3</v>
      </c>
      <c r="D893" s="38" t="s">
        <v>180</v>
      </c>
      <c r="E893" s="23" t="s">
        <v>141</v>
      </c>
      <c r="F893" s="39">
        <v>1.8785000000000001</v>
      </c>
      <c r="G893" s="64" t="s">
        <v>352</v>
      </c>
      <c r="H893" s="70"/>
      <c r="BA893" s="132" t="s">
        <v>15</v>
      </c>
      <c r="BB893" s="4">
        <v>0</v>
      </c>
      <c r="BC893">
        <v>0</v>
      </c>
    </row>
    <row r="894" spans="1:55" x14ac:dyDescent="0.3">
      <c r="A894" s="63">
        <v>16</v>
      </c>
      <c r="B894" s="65">
        <v>45768</v>
      </c>
      <c r="C894" s="63">
        <v>3</v>
      </c>
      <c r="D894" s="38" t="s">
        <v>180</v>
      </c>
      <c r="E894" s="23" t="s">
        <v>141</v>
      </c>
      <c r="F894" s="39">
        <v>1.8462000000000001</v>
      </c>
      <c r="G894" s="64" t="s">
        <v>352</v>
      </c>
      <c r="H894" s="70"/>
      <c r="BA894" s="132" t="s">
        <v>15</v>
      </c>
      <c r="BB894" s="4">
        <v>0</v>
      </c>
      <c r="BC894">
        <v>0</v>
      </c>
    </row>
    <row r="895" spans="1:55" x14ac:dyDescent="0.3">
      <c r="A895" s="63">
        <v>17</v>
      </c>
      <c r="B895" s="65">
        <v>45775</v>
      </c>
      <c r="C895" s="63">
        <v>3</v>
      </c>
      <c r="D895" s="38" t="s">
        <v>180</v>
      </c>
      <c r="E895" s="23" t="s">
        <v>141</v>
      </c>
      <c r="F895" s="39">
        <v>1.7174</v>
      </c>
      <c r="G895" s="64" t="s">
        <v>352</v>
      </c>
      <c r="H895" s="70"/>
      <c r="BA895" s="132" t="s">
        <v>15</v>
      </c>
      <c r="BB895" s="4">
        <v>0</v>
      </c>
      <c r="BC895">
        <v>0</v>
      </c>
    </row>
    <row r="896" spans="1:55" x14ac:dyDescent="0.3">
      <c r="A896" s="63">
        <v>18</v>
      </c>
      <c r="B896" s="65">
        <v>45782</v>
      </c>
      <c r="C896" s="63">
        <v>3</v>
      </c>
      <c r="D896" s="38" t="s">
        <v>180</v>
      </c>
      <c r="E896" s="23" t="s">
        <v>141</v>
      </c>
      <c r="F896" s="39">
        <v>1.8604000000000001</v>
      </c>
      <c r="G896" s="64" t="s">
        <v>352</v>
      </c>
      <c r="H896" s="70"/>
      <c r="BA896" s="132" t="s">
        <v>15</v>
      </c>
      <c r="BB896" s="4">
        <v>0</v>
      </c>
      <c r="BC896">
        <v>0</v>
      </c>
    </row>
    <row r="897" spans="1:55" x14ac:dyDescent="0.3">
      <c r="A897" s="63">
        <v>19</v>
      </c>
      <c r="B897" s="65">
        <v>45789</v>
      </c>
      <c r="C897" s="63">
        <v>3</v>
      </c>
      <c r="D897" s="38" t="s">
        <v>180</v>
      </c>
      <c r="E897" s="23" t="s">
        <v>141</v>
      </c>
      <c r="F897" s="39">
        <v>1.9751000000000001</v>
      </c>
      <c r="G897" s="64" t="s">
        <v>352</v>
      </c>
      <c r="H897" s="70"/>
      <c r="BA897" s="132" t="s">
        <v>15</v>
      </c>
      <c r="BB897" s="4">
        <v>0</v>
      </c>
      <c r="BC897">
        <v>0</v>
      </c>
    </row>
    <row r="898" spans="1:55" x14ac:dyDescent="0.3">
      <c r="A898" s="63">
        <v>20</v>
      </c>
      <c r="B898" s="65">
        <v>45796</v>
      </c>
      <c r="C898" s="63">
        <v>3</v>
      </c>
      <c r="D898" s="38" t="s">
        <v>180</v>
      </c>
      <c r="E898" s="23" t="s">
        <v>141</v>
      </c>
      <c r="F898" s="39">
        <v>1.7397</v>
      </c>
      <c r="G898" s="64" t="s">
        <v>352</v>
      </c>
      <c r="H898" s="70"/>
      <c r="BA898" s="132" t="s">
        <v>15</v>
      </c>
      <c r="BB898" s="4">
        <v>0</v>
      </c>
      <c r="BC898">
        <v>0</v>
      </c>
    </row>
    <row r="899" spans="1:55" x14ac:dyDescent="0.3">
      <c r="A899" s="63">
        <v>21</v>
      </c>
      <c r="B899" s="65">
        <v>45803</v>
      </c>
      <c r="C899" s="63">
        <v>3</v>
      </c>
      <c r="D899" s="38" t="s">
        <v>180</v>
      </c>
      <c r="E899" s="23" t="s">
        <v>141</v>
      </c>
      <c r="F899" s="39">
        <v>1.8323</v>
      </c>
      <c r="G899" s="64" t="s">
        <v>352</v>
      </c>
      <c r="H899" s="70"/>
      <c r="BA899" s="132" t="s">
        <v>15</v>
      </c>
      <c r="BB899" s="4">
        <v>0</v>
      </c>
      <c r="BC899">
        <v>0</v>
      </c>
    </row>
    <row r="900" spans="1:55" x14ac:dyDescent="0.3">
      <c r="A900" s="63">
        <v>22</v>
      </c>
      <c r="B900" s="65">
        <v>45810</v>
      </c>
      <c r="C900" s="63">
        <v>3</v>
      </c>
      <c r="D900" s="38" t="s">
        <v>180</v>
      </c>
      <c r="E900" s="23" t="s">
        <v>141</v>
      </c>
      <c r="F900" s="39">
        <v>1.948</v>
      </c>
      <c r="G900" s="64" t="s">
        <v>352</v>
      </c>
      <c r="H900" s="70"/>
      <c r="BA900" s="132" t="s">
        <v>15</v>
      </c>
      <c r="BB900" s="4">
        <v>0</v>
      </c>
      <c r="BC900">
        <v>0</v>
      </c>
    </row>
    <row r="901" spans="1:55" x14ac:dyDescent="0.3">
      <c r="A901" s="63">
        <v>23</v>
      </c>
      <c r="B901" s="65">
        <v>45817</v>
      </c>
      <c r="C901" s="63">
        <v>3</v>
      </c>
      <c r="D901" s="38" t="s">
        <v>180</v>
      </c>
      <c r="E901" s="23" t="s">
        <v>141</v>
      </c>
      <c r="F901" s="39">
        <v>1.7264999999999999</v>
      </c>
      <c r="G901" s="64" t="s">
        <v>352</v>
      </c>
      <c r="H901" s="70"/>
      <c r="BA901" s="132" t="s">
        <v>15</v>
      </c>
      <c r="BB901" s="4">
        <v>0</v>
      </c>
      <c r="BC901">
        <v>0</v>
      </c>
    </row>
    <row r="902" spans="1:55" x14ac:dyDescent="0.3">
      <c r="A902" s="63">
        <v>24</v>
      </c>
      <c r="B902" s="65">
        <v>45824</v>
      </c>
      <c r="C902" s="63">
        <v>3</v>
      </c>
      <c r="D902" s="38" t="s">
        <v>180</v>
      </c>
      <c r="E902" s="23" t="s">
        <v>141</v>
      </c>
      <c r="F902" s="39">
        <v>1.8864000000000001</v>
      </c>
      <c r="G902" s="64" t="s">
        <v>352</v>
      </c>
      <c r="H902" s="70"/>
      <c r="BA902" s="132" t="s">
        <v>15</v>
      </c>
      <c r="BB902" s="4">
        <v>0</v>
      </c>
      <c r="BC902">
        <v>0</v>
      </c>
    </row>
    <row r="903" spans="1:55" x14ac:dyDescent="0.3">
      <c r="A903" s="63">
        <v>25</v>
      </c>
      <c r="B903" s="65">
        <v>45831</v>
      </c>
      <c r="C903" s="63">
        <v>3</v>
      </c>
      <c r="D903" s="38" t="s">
        <v>180</v>
      </c>
      <c r="E903" s="23" t="s">
        <v>141</v>
      </c>
      <c r="F903" s="39">
        <v>1.7278</v>
      </c>
      <c r="G903" s="64" t="s">
        <v>352</v>
      </c>
      <c r="H903" s="70"/>
      <c r="BA903" s="132" t="s">
        <v>15</v>
      </c>
      <c r="BB903" s="4">
        <v>0</v>
      </c>
      <c r="BC903">
        <v>0</v>
      </c>
    </row>
    <row r="904" spans="1:55" x14ac:dyDescent="0.3">
      <c r="A904" s="63">
        <v>1</v>
      </c>
      <c r="B904" s="65">
        <v>45663</v>
      </c>
      <c r="C904" s="63">
        <v>1</v>
      </c>
      <c r="D904" s="38" t="s">
        <v>178</v>
      </c>
      <c r="E904" s="23" t="s">
        <v>142</v>
      </c>
      <c r="F904" s="39">
        <v>0.151</v>
      </c>
      <c r="G904" s="64" t="s">
        <v>352</v>
      </c>
      <c r="H904" s="70"/>
      <c r="BA904" s="132" t="s">
        <v>15</v>
      </c>
      <c r="BB904" s="4">
        <v>1</v>
      </c>
      <c r="BC904">
        <v>0</v>
      </c>
    </row>
    <row r="905" spans="1:55" x14ac:dyDescent="0.3">
      <c r="A905" s="63">
        <v>2</v>
      </c>
      <c r="B905" s="65">
        <v>45670</v>
      </c>
      <c r="C905" s="63">
        <v>1</v>
      </c>
      <c r="D905" s="38" t="s">
        <v>178</v>
      </c>
      <c r="E905" s="23" t="s">
        <v>142</v>
      </c>
      <c r="F905" s="39">
        <v>0.15770000000000001</v>
      </c>
      <c r="G905" s="64" t="s">
        <v>352</v>
      </c>
      <c r="H905" s="70"/>
      <c r="BA905" s="132" t="s">
        <v>15</v>
      </c>
      <c r="BB905" s="4">
        <v>1</v>
      </c>
      <c r="BC905">
        <v>0</v>
      </c>
    </row>
    <row r="906" spans="1:55" x14ac:dyDescent="0.3">
      <c r="A906" s="63">
        <v>3</v>
      </c>
      <c r="B906" s="65">
        <v>45677</v>
      </c>
      <c r="C906" s="63">
        <v>1</v>
      </c>
      <c r="D906" s="38" t="s">
        <v>178</v>
      </c>
      <c r="E906" s="23" t="s">
        <v>142</v>
      </c>
      <c r="F906" s="39">
        <v>0.15609999999999999</v>
      </c>
      <c r="G906" s="64" t="s">
        <v>352</v>
      </c>
      <c r="H906" s="70"/>
      <c r="BA906" s="132" t="s">
        <v>15</v>
      </c>
      <c r="BB906" s="4">
        <v>1</v>
      </c>
      <c r="BC906">
        <v>0</v>
      </c>
    </row>
    <row r="907" spans="1:55" x14ac:dyDescent="0.3">
      <c r="A907" s="63">
        <v>4</v>
      </c>
      <c r="B907" s="65">
        <v>45684</v>
      </c>
      <c r="C907" s="63">
        <v>1</v>
      </c>
      <c r="D907" s="38" t="s">
        <v>178</v>
      </c>
      <c r="E907" s="23" t="s">
        <v>142</v>
      </c>
      <c r="F907" s="39">
        <v>0.14319999999999999</v>
      </c>
      <c r="G907" s="64" t="s">
        <v>352</v>
      </c>
      <c r="H907" s="70"/>
      <c r="BA907" s="132" t="s">
        <v>15</v>
      </c>
      <c r="BB907" s="4">
        <v>1</v>
      </c>
      <c r="BC907">
        <v>0</v>
      </c>
    </row>
    <row r="908" spans="1:55" x14ac:dyDescent="0.3">
      <c r="A908" s="63">
        <v>5</v>
      </c>
      <c r="B908" s="65">
        <v>45691</v>
      </c>
      <c r="C908" s="63">
        <v>1</v>
      </c>
      <c r="D908" s="38" t="s">
        <v>178</v>
      </c>
      <c r="E908" s="23" t="s">
        <v>142</v>
      </c>
      <c r="F908" s="39">
        <v>0.1487</v>
      </c>
      <c r="G908" s="64" t="s">
        <v>352</v>
      </c>
      <c r="H908" s="70"/>
      <c r="BA908" s="132" t="s">
        <v>15</v>
      </c>
      <c r="BB908" s="4">
        <v>1</v>
      </c>
      <c r="BC908">
        <v>0</v>
      </c>
    </row>
    <row r="909" spans="1:55" x14ac:dyDescent="0.3">
      <c r="A909" s="63">
        <v>6</v>
      </c>
      <c r="B909" s="65">
        <v>45698</v>
      </c>
      <c r="C909" s="63">
        <v>1</v>
      </c>
      <c r="D909" s="38" t="s">
        <v>178</v>
      </c>
      <c r="E909" s="23" t="s">
        <v>142</v>
      </c>
      <c r="F909" s="39">
        <v>0.1452</v>
      </c>
      <c r="G909" s="64" t="s">
        <v>352</v>
      </c>
      <c r="H909" s="70"/>
      <c r="BA909" s="132" t="s">
        <v>15</v>
      </c>
      <c r="BB909" s="4">
        <v>1</v>
      </c>
      <c r="BC909">
        <v>0</v>
      </c>
    </row>
    <row r="910" spans="1:55" x14ac:dyDescent="0.3">
      <c r="A910" s="63">
        <v>7</v>
      </c>
      <c r="B910" s="65">
        <v>45705</v>
      </c>
      <c r="C910" s="63">
        <v>1</v>
      </c>
      <c r="D910" s="38" t="s">
        <v>178</v>
      </c>
      <c r="E910" s="23" t="s">
        <v>142</v>
      </c>
      <c r="F910" s="39">
        <v>0.14510000000000001</v>
      </c>
      <c r="G910" s="64" t="s">
        <v>352</v>
      </c>
      <c r="H910" s="70"/>
      <c r="BA910" s="132" t="s">
        <v>15</v>
      </c>
      <c r="BB910" s="4">
        <v>1</v>
      </c>
      <c r="BC910">
        <v>0</v>
      </c>
    </row>
    <row r="911" spans="1:55" x14ac:dyDescent="0.3">
      <c r="A911" s="63">
        <v>8</v>
      </c>
      <c r="B911" s="65">
        <v>45712</v>
      </c>
      <c r="C911" s="63">
        <v>1</v>
      </c>
      <c r="D911" s="38" t="s">
        <v>178</v>
      </c>
      <c r="E911" s="23" t="s">
        <v>142</v>
      </c>
      <c r="F911" s="39">
        <v>0.15329999999999999</v>
      </c>
      <c r="G911" s="64" t="s">
        <v>352</v>
      </c>
      <c r="H911" s="70"/>
      <c r="BA911" s="132" t="s">
        <v>15</v>
      </c>
      <c r="BB911" s="4">
        <v>1</v>
      </c>
      <c r="BC911">
        <v>0</v>
      </c>
    </row>
    <row r="912" spans="1:55" x14ac:dyDescent="0.3">
      <c r="A912" s="63">
        <v>9</v>
      </c>
      <c r="B912" s="65">
        <v>45719</v>
      </c>
      <c r="C912" s="63">
        <v>1</v>
      </c>
      <c r="D912" s="38" t="s">
        <v>178</v>
      </c>
      <c r="E912" s="23" t="s">
        <v>142</v>
      </c>
      <c r="F912" s="39">
        <v>0.13689999999999999</v>
      </c>
      <c r="G912" s="64" t="s">
        <v>352</v>
      </c>
      <c r="H912" s="70"/>
      <c r="BA912" s="132" t="s">
        <v>15</v>
      </c>
      <c r="BB912" s="4">
        <v>1</v>
      </c>
      <c r="BC912">
        <v>0</v>
      </c>
    </row>
    <row r="913" spans="1:55" x14ac:dyDescent="0.3">
      <c r="A913" s="63">
        <v>10</v>
      </c>
      <c r="B913" s="65">
        <v>45726</v>
      </c>
      <c r="C913" s="63">
        <v>1</v>
      </c>
      <c r="D913" s="38" t="s">
        <v>178</v>
      </c>
      <c r="E913" s="23" t="s">
        <v>142</v>
      </c>
      <c r="F913" s="39">
        <v>0.15049999999999999</v>
      </c>
      <c r="G913" s="64" t="s">
        <v>352</v>
      </c>
      <c r="H913" s="70"/>
      <c r="BA913" s="132" t="s">
        <v>15</v>
      </c>
      <c r="BB913" s="4">
        <v>1</v>
      </c>
      <c r="BC913">
        <v>0</v>
      </c>
    </row>
    <row r="914" spans="1:55" x14ac:dyDescent="0.3">
      <c r="A914" s="63">
        <v>11</v>
      </c>
      <c r="B914" s="65">
        <v>45733</v>
      </c>
      <c r="C914" s="63">
        <v>1</v>
      </c>
      <c r="D914" s="38" t="s">
        <v>178</v>
      </c>
      <c r="E914" s="23" t="s">
        <v>142</v>
      </c>
      <c r="F914" s="39">
        <v>0.14419999999999999</v>
      </c>
      <c r="G914" s="64" t="s">
        <v>352</v>
      </c>
      <c r="H914" s="70"/>
      <c r="BA914" s="132" t="s">
        <v>15</v>
      </c>
      <c r="BB914" s="4">
        <v>1</v>
      </c>
      <c r="BC914">
        <v>0</v>
      </c>
    </row>
    <row r="915" spans="1:55" x14ac:dyDescent="0.3">
      <c r="A915" s="63">
        <v>12</v>
      </c>
      <c r="B915" s="65">
        <v>45740</v>
      </c>
      <c r="C915" s="63">
        <v>1</v>
      </c>
      <c r="D915" s="38" t="s">
        <v>178</v>
      </c>
      <c r="E915" s="23" t="s">
        <v>142</v>
      </c>
      <c r="F915" s="39">
        <v>0.1525</v>
      </c>
      <c r="G915" s="64" t="s">
        <v>352</v>
      </c>
      <c r="H915" s="70"/>
      <c r="BA915" s="132" t="s">
        <v>15</v>
      </c>
      <c r="BB915" s="4">
        <v>1</v>
      </c>
      <c r="BC915">
        <v>0</v>
      </c>
    </row>
    <row r="916" spans="1:55" x14ac:dyDescent="0.3">
      <c r="A916" s="63">
        <v>13</v>
      </c>
      <c r="B916" s="65">
        <v>45747</v>
      </c>
      <c r="C916" s="63">
        <v>1</v>
      </c>
      <c r="D916" s="38" t="s">
        <v>178</v>
      </c>
      <c r="E916" s="23" t="s">
        <v>142</v>
      </c>
      <c r="F916" s="39">
        <v>0.14560000000000001</v>
      </c>
      <c r="G916" s="64" t="s">
        <v>352</v>
      </c>
      <c r="H916" s="70"/>
      <c r="BA916" s="132" t="s">
        <v>15</v>
      </c>
      <c r="BB916" s="4">
        <v>1</v>
      </c>
      <c r="BC916">
        <v>0</v>
      </c>
    </row>
    <row r="917" spans="1:55" x14ac:dyDescent="0.3">
      <c r="A917" s="63">
        <v>14</v>
      </c>
      <c r="B917" s="65">
        <v>45754</v>
      </c>
      <c r="C917" s="63">
        <v>1</v>
      </c>
      <c r="D917" s="38" t="s">
        <v>178</v>
      </c>
      <c r="E917" s="23" t="s">
        <v>142</v>
      </c>
      <c r="F917" s="39">
        <v>0.1406</v>
      </c>
      <c r="G917" s="64" t="s">
        <v>352</v>
      </c>
      <c r="H917" s="70"/>
      <c r="BA917" s="132" t="s">
        <v>15</v>
      </c>
      <c r="BB917" s="4">
        <v>1</v>
      </c>
      <c r="BC917">
        <v>0</v>
      </c>
    </row>
    <row r="918" spans="1:55" x14ac:dyDescent="0.3">
      <c r="A918" s="63">
        <v>15</v>
      </c>
      <c r="B918" s="65">
        <v>45761</v>
      </c>
      <c r="C918" s="63">
        <v>1</v>
      </c>
      <c r="D918" s="38" t="s">
        <v>178</v>
      </c>
      <c r="E918" s="23" t="s">
        <v>142</v>
      </c>
      <c r="F918" s="39">
        <v>0.14610000000000001</v>
      </c>
      <c r="G918" s="64" t="s">
        <v>352</v>
      </c>
      <c r="H918" s="70"/>
      <c r="BA918" s="132" t="s">
        <v>15</v>
      </c>
      <c r="BB918" s="4">
        <v>1</v>
      </c>
      <c r="BC918">
        <v>0</v>
      </c>
    </row>
    <row r="919" spans="1:55" x14ac:dyDescent="0.3">
      <c r="A919" s="63">
        <v>16</v>
      </c>
      <c r="B919" s="65">
        <v>45768</v>
      </c>
      <c r="C919" s="63">
        <v>1</v>
      </c>
      <c r="D919" s="38" t="s">
        <v>178</v>
      </c>
      <c r="E919" s="23" t="s">
        <v>142</v>
      </c>
      <c r="F919" s="39">
        <v>0.1487</v>
      </c>
      <c r="G919" s="64" t="s">
        <v>352</v>
      </c>
      <c r="H919" s="70"/>
      <c r="BA919" s="132" t="s">
        <v>15</v>
      </c>
      <c r="BB919" s="4">
        <v>1</v>
      </c>
      <c r="BC919">
        <v>0</v>
      </c>
    </row>
    <row r="920" spans="1:55" x14ac:dyDescent="0.3">
      <c r="A920" s="63">
        <v>17</v>
      </c>
      <c r="B920" s="65">
        <v>45775</v>
      </c>
      <c r="C920" s="63">
        <v>1</v>
      </c>
      <c r="D920" s="38" t="s">
        <v>178</v>
      </c>
      <c r="E920" s="23" t="s">
        <v>142</v>
      </c>
      <c r="F920" s="39">
        <v>0.1447</v>
      </c>
      <c r="G920" s="64" t="s">
        <v>352</v>
      </c>
      <c r="H920" s="70"/>
      <c r="BA920" s="132" t="s">
        <v>15</v>
      </c>
      <c r="BB920" s="4">
        <v>1</v>
      </c>
      <c r="BC920">
        <v>0</v>
      </c>
    </row>
    <row r="921" spans="1:55" x14ac:dyDescent="0.3">
      <c r="A921" s="63">
        <v>18</v>
      </c>
      <c r="B921" s="65">
        <v>45782</v>
      </c>
      <c r="C921" s="63">
        <v>1</v>
      </c>
      <c r="D921" s="38" t="s">
        <v>178</v>
      </c>
      <c r="E921" s="23" t="s">
        <v>142</v>
      </c>
      <c r="F921" s="39">
        <v>0.14729999999999999</v>
      </c>
      <c r="G921" s="64" t="s">
        <v>352</v>
      </c>
      <c r="H921" s="70"/>
      <c r="BA921" s="132" t="s">
        <v>15</v>
      </c>
      <c r="BB921" s="4">
        <v>1</v>
      </c>
      <c r="BC921">
        <v>0</v>
      </c>
    </row>
    <row r="922" spans="1:55" x14ac:dyDescent="0.3">
      <c r="A922" s="63">
        <v>19</v>
      </c>
      <c r="B922" s="65">
        <v>45789</v>
      </c>
      <c r="C922" s="63">
        <v>1</v>
      </c>
      <c r="D922" s="38" t="s">
        <v>178</v>
      </c>
      <c r="E922" s="23" t="s">
        <v>142</v>
      </c>
      <c r="F922" s="39">
        <v>0.14149999999999999</v>
      </c>
      <c r="G922" s="64" t="s">
        <v>352</v>
      </c>
      <c r="H922" s="70"/>
      <c r="BA922" s="132" t="s">
        <v>15</v>
      </c>
      <c r="BB922" s="4">
        <v>1</v>
      </c>
      <c r="BC922">
        <v>0</v>
      </c>
    </row>
    <row r="923" spans="1:55" x14ac:dyDescent="0.3">
      <c r="A923" s="63">
        <v>20</v>
      </c>
      <c r="B923" s="65">
        <v>45796</v>
      </c>
      <c r="C923" s="63">
        <v>1</v>
      </c>
      <c r="D923" s="38" t="s">
        <v>178</v>
      </c>
      <c r="E923" s="23" t="s">
        <v>142</v>
      </c>
      <c r="F923" s="39">
        <v>0.1323</v>
      </c>
      <c r="G923" s="64" t="s">
        <v>352</v>
      </c>
      <c r="H923" s="70"/>
      <c r="BA923" s="132" t="s">
        <v>15</v>
      </c>
      <c r="BB923" s="4">
        <v>1</v>
      </c>
      <c r="BC923">
        <v>0</v>
      </c>
    </row>
    <row r="924" spans="1:55" x14ac:dyDescent="0.3">
      <c r="A924" s="63">
        <v>21</v>
      </c>
      <c r="B924" s="65">
        <v>45803</v>
      </c>
      <c r="C924" s="63">
        <v>1</v>
      </c>
      <c r="D924" s="38" t="s">
        <v>178</v>
      </c>
      <c r="E924" s="23" t="s">
        <v>142</v>
      </c>
      <c r="F924" s="39">
        <v>0.14960000000000001</v>
      </c>
      <c r="G924" s="64" t="s">
        <v>352</v>
      </c>
      <c r="H924" s="70"/>
      <c r="BA924" s="132" t="s">
        <v>15</v>
      </c>
      <c r="BB924" s="4">
        <v>1</v>
      </c>
      <c r="BC924">
        <v>0</v>
      </c>
    </row>
    <row r="925" spans="1:55" x14ac:dyDescent="0.3">
      <c r="A925" s="63">
        <v>22</v>
      </c>
      <c r="B925" s="65">
        <v>45810</v>
      </c>
      <c r="C925" s="63">
        <v>1</v>
      </c>
      <c r="D925" s="38" t="s">
        <v>178</v>
      </c>
      <c r="E925" s="23" t="s">
        <v>142</v>
      </c>
      <c r="F925" s="39">
        <v>0.14849999999999999</v>
      </c>
      <c r="G925" s="64" t="s">
        <v>352</v>
      </c>
      <c r="H925" s="70"/>
      <c r="BA925" s="132" t="s">
        <v>15</v>
      </c>
      <c r="BB925" s="4">
        <v>1</v>
      </c>
      <c r="BC925">
        <v>0</v>
      </c>
    </row>
    <row r="926" spans="1:55" x14ac:dyDescent="0.3">
      <c r="A926" s="63">
        <v>23</v>
      </c>
      <c r="B926" s="65">
        <v>45817</v>
      </c>
      <c r="C926" s="63">
        <v>1</v>
      </c>
      <c r="D926" s="38" t="s">
        <v>178</v>
      </c>
      <c r="E926" s="23" t="s">
        <v>142</v>
      </c>
      <c r="F926" s="39">
        <v>0.14530000000000001</v>
      </c>
      <c r="G926" s="64" t="s">
        <v>352</v>
      </c>
      <c r="H926" s="70"/>
      <c r="BA926" s="132" t="s">
        <v>15</v>
      </c>
      <c r="BB926" s="4">
        <v>1</v>
      </c>
      <c r="BC926">
        <v>0</v>
      </c>
    </row>
    <row r="927" spans="1:55" x14ac:dyDescent="0.3">
      <c r="A927" s="63">
        <v>24</v>
      </c>
      <c r="B927" s="65">
        <v>45824</v>
      </c>
      <c r="C927" s="63">
        <v>1</v>
      </c>
      <c r="D927" s="38" t="s">
        <v>178</v>
      </c>
      <c r="E927" s="23" t="s">
        <v>142</v>
      </c>
      <c r="F927" s="39">
        <v>0.1449</v>
      </c>
      <c r="G927" s="64" t="s">
        <v>352</v>
      </c>
      <c r="H927" s="70"/>
      <c r="BA927" s="132" t="s">
        <v>15</v>
      </c>
      <c r="BB927" s="4">
        <v>1</v>
      </c>
      <c r="BC927">
        <v>0</v>
      </c>
    </row>
    <row r="928" spans="1:55" x14ac:dyDescent="0.3">
      <c r="A928" s="63">
        <v>25</v>
      </c>
      <c r="B928" s="65">
        <v>45831</v>
      </c>
      <c r="C928" s="63">
        <v>1</v>
      </c>
      <c r="D928" s="38" t="s">
        <v>178</v>
      </c>
      <c r="E928" s="23" t="s">
        <v>142</v>
      </c>
      <c r="F928" s="39">
        <v>0.15040000000000001</v>
      </c>
      <c r="G928" s="64" t="s">
        <v>352</v>
      </c>
      <c r="H928" s="70"/>
      <c r="BA928" s="132" t="s">
        <v>15</v>
      </c>
      <c r="BB928" s="4">
        <v>1</v>
      </c>
      <c r="BC928">
        <v>0</v>
      </c>
    </row>
    <row r="929" spans="1:55" x14ac:dyDescent="0.3">
      <c r="A929" s="63">
        <v>1</v>
      </c>
      <c r="B929" s="65">
        <v>45663</v>
      </c>
      <c r="C929" s="63">
        <v>2</v>
      </c>
      <c r="D929" s="38" t="s">
        <v>179</v>
      </c>
      <c r="E929" s="23" t="s">
        <v>142</v>
      </c>
      <c r="F929" s="39">
        <v>0.32119999999999999</v>
      </c>
      <c r="G929" s="64" t="s">
        <v>352</v>
      </c>
      <c r="H929" s="70"/>
      <c r="BA929" s="132" t="s">
        <v>15</v>
      </c>
      <c r="BB929" s="4">
        <v>0</v>
      </c>
      <c r="BC929">
        <v>0</v>
      </c>
    </row>
    <row r="930" spans="1:55" x14ac:dyDescent="0.3">
      <c r="A930" s="63">
        <v>2</v>
      </c>
      <c r="B930" s="65">
        <v>45670</v>
      </c>
      <c r="C930" s="63">
        <v>2</v>
      </c>
      <c r="D930" s="38" t="s">
        <v>179</v>
      </c>
      <c r="E930" s="23" t="s">
        <v>142</v>
      </c>
      <c r="F930" s="39">
        <v>0.31900000000000001</v>
      </c>
      <c r="G930" s="64" t="s">
        <v>352</v>
      </c>
      <c r="H930" s="70"/>
      <c r="BA930" s="132" t="s">
        <v>15</v>
      </c>
      <c r="BB930" s="4">
        <v>0</v>
      </c>
      <c r="BC930">
        <v>0</v>
      </c>
    </row>
    <row r="931" spans="1:55" x14ac:dyDescent="0.3">
      <c r="A931" s="63">
        <v>3</v>
      </c>
      <c r="B931" s="65">
        <v>45677</v>
      </c>
      <c r="C931" s="63">
        <v>2</v>
      </c>
      <c r="D931" s="38" t="s">
        <v>179</v>
      </c>
      <c r="E931" s="23" t="s">
        <v>142</v>
      </c>
      <c r="F931" s="39">
        <v>0.32350000000000001</v>
      </c>
      <c r="G931" s="64" t="s">
        <v>352</v>
      </c>
      <c r="H931" s="70"/>
      <c r="BA931" s="132" t="s">
        <v>15</v>
      </c>
      <c r="BB931" s="4">
        <v>0</v>
      </c>
      <c r="BC931">
        <v>0</v>
      </c>
    </row>
    <row r="932" spans="1:55" x14ac:dyDescent="0.3">
      <c r="A932" s="63">
        <v>4</v>
      </c>
      <c r="B932" s="65">
        <v>45684</v>
      </c>
      <c r="C932" s="63">
        <v>2</v>
      </c>
      <c r="D932" s="38" t="s">
        <v>179</v>
      </c>
      <c r="E932" s="23" t="s">
        <v>142</v>
      </c>
      <c r="F932" s="39">
        <v>0.33550000000000002</v>
      </c>
      <c r="G932" s="64" t="s">
        <v>352</v>
      </c>
      <c r="H932" s="70"/>
      <c r="BA932" s="132" t="s">
        <v>15</v>
      </c>
      <c r="BB932" s="4">
        <v>0</v>
      </c>
      <c r="BC932">
        <v>0</v>
      </c>
    </row>
    <row r="933" spans="1:55" x14ac:dyDescent="0.3">
      <c r="A933" s="63">
        <v>5</v>
      </c>
      <c r="B933" s="65">
        <v>45691</v>
      </c>
      <c r="C933" s="63">
        <v>2</v>
      </c>
      <c r="D933" s="38" t="s">
        <v>179</v>
      </c>
      <c r="E933" s="23" t="s">
        <v>142</v>
      </c>
      <c r="F933" s="39">
        <v>0.31309999999999999</v>
      </c>
      <c r="G933" s="64" t="s">
        <v>352</v>
      </c>
      <c r="H933" s="70"/>
      <c r="BA933" s="132" t="s">
        <v>15</v>
      </c>
      <c r="BB933" s="4">
        <v>0</v>
      </c>
      <c r="BC933">
        <v>0</v>
      </c>
    </row>
    <row r="934" spans="1:55" x14ac:dyDescent="0.3">
      <c r="A934" s="63">
        <v>6</v>
      </c>
      <c r="B934" s="65">
        <v>45698</v>
      </c>
      <c r="C934" s="63">
        <v>2</v>
      </c>
      <c r="D934" s="38" t="s">
        <v>179</v>
      </c>
      <c r="E934" s="23" t="s">
        <v>142</v>
      </c>
      <c r="F934" s="39">
        <v>0.33560000000000001</v>
      </c>
      <c r="G934" s="64" t="s">
        <v>352</v>
      </c>
      <c r="H934" s="70"/>
      <c r="BA934" s="132" t="s">
        <v>15</v>
      </c>
      <c r="BB934" s="4">
        <v>0</v>
      </c>
      <c r="BC934">
        <v>0</v>
      </c>
    </row>
    <row r="935" spans="1:55" x14ac:dyDescent="0.3">
      <c r="A935" s="63">
        <v>7</v>
      </c>
      <c r="B935" s="65">
        <v>45705</v>
      </c>
      <c r="C935" s="63">
        <v>2</v>
      </c>
      <c r="D935" s="38" t="s">
        <v>179</v>
      </c>
      <c r="E935" s="23" t="s">
        <v>142</v>
      </c>
      <c r="F935" s="39">
        <v>0.3196</v>
      </c>
      <c r="G935" s="64" t="s">
        <v>352</v>
      </c>
      <c r="H935" s="70"/>
      <c r="BA935" s="132" t="s">
        <v>15</v>
      </c>
      <c r="BB935" s="4">
        <v>0</v>
      </c>
      <c r="BC935">
        <v>0</v>
      </c>
    </row>
    <row r="936" spans="1:55" x14ac:dyDescent="0.3">
      <c r="A936" s="63">
        <v>8</v>
      </c>
      <c r="B936" s="65">
        <v>45712</v>
      </c>
      <c r="C936" s="63">
        <v>2</v>
      </c>
      <c r="D936" s="38" t="s">
        <v>179</v>
      </c>
      <c r="E936" s="23" t="s">
        <v>142</v>
      </c>
      <c r="F936" s="39">
        <v>0.31559999999999999</v>
      </c>
      <c r="G936" s="64" t="s">
        <v>352</v>
      </c>
      <c r="H936" s="70"/>
      <c r="BA936" s="132" t="s">
        <v>15</v>
      </c>
      <c r="BB936" s="4">
        <v>0</v>
      </c>
      <c r="BC936">
        <v>0</v>
      </c>
    </row>
    <row r="937" spans="1:55" x14ac:dyDescent="0.3">
      <c r="A937" s="63">
        <v>9</v>
      </c>
      <c r="B937" s="65">
        <v>45719</v>
      </c>
      <c r="C937" s="63">
        <v>2</v>
      </c>
      <c r="D937" s="38" t="s">
        <v>179</v>
      </c>
      <c r="E937" s="23" t="s">
        <v>142</v>
      </c>
      <c r="F937" s="39">
        <v>0.33610000000000001</v>
      </c>
      <c r="G937" s="64" t="s">
        <v>352</v>
      </c>
      <c r="H937" s="70"/>
      <c r="BA937" s="132" t="s">
        <v>15</v>
      </c>
      <c r="BB937" s="4">
        <v>0</v>
      </c>
      <c r="BC937">
        <v>0</v>
      </c>
    </row>
    <row r="938" spans="1:55" x14ac:dyDescent="0.3">
      <c r="A938" s="63">
        <v>10</v>
      </c>
      <c r="B938" s="65">
        <v>45726</v>
      </c>
      <c r="C938" s="63">
        <v>2</v>
      </c>
      <c r="D938" s="38" t="s">
        <v>179</v>
      </c>
      <c r="E938" s="23" t="s">
        <v>142</v>
      </c>
      <c r="F938" s="39">
        <v>0.32429999999999998</v>
      </c>
      <c r="G938" s="64" t="s">
        <v>352</v>
      </c>
      <c r="H938" s="70"/>
      <c r="BA938" s="132" t="s">
        <v>15</v>
      </c>
      <c r="BB938" s="4">
        <v>0</v>
      </c>
      <c r="BC938">
        <v>0</v>
      </c>
    </row>
    <row r="939" spans="1:55" x14ac:dyDescent="0.3">
      <c r="A939" s="63">
        <v>11</v>
      </c>
      <c r="B939" s="65">
        <v>45733</v>
      </c>
      <c r="C939" s="63">
        <v>2</v>
      </c>
      <c r="D939" s="38" t="s">
        <v>179</v>
      </c>
      <c r="E939" s="23" t="s">
        <v>142</v>
      </c>
      <c r="F939" s="39">
        <v>0.31380000000000002</v>
      </c>
      <c r="G939" s="64" t="s">
        <v>352</v>
      </c>
      <c r="H939" s="70"/>
      <c r="BA939" s="132" t="s">
        <v>15</v>
      </c>
      <c r="BB939" s="4">
        <v>0</v>
      </c>
      <c r="BC939">
        <v>0</v>
      </c>
    </row>
    <row r="940" spans="1:55" x14ac:dyDescent="0.3">
      <c r="A940" s="63">
        <v>12</v>
      </c>
      <c r="B940" s="65">
        <v>45740</v>
      </c>
      <c r="C940" s="63">
        <v>2</v>
      </c>
      <c r="D940" s="38" t="s">
        <v>179</v>
      </c>
      <c r="E940" s="23" t="s">
        <v>142</v>
      </c>
      <c r="F940" s="39">
        <v>0.32200000000000001</v>
      </c>
      <c r="G940" s="64" t="s">
        <v>352</v>
      </c>
      <c r="H940" s="70"/>
      <c r="BA940" s="132" t="s">
        <v>15</v>
      </c>
      <c r="BB940" s="4">
        <v>0</v>
      </c>
      <c r="BC940">
        <v>0</v>
      </c>
    </row>
    <row r="941" spans="1:55" x14ac:dyDescent="0.3">
      <c r="A941" s="63">
        <v>13</v>
      </c>
      <c r="B941" s="65">
        <v>45747</v>
      </c>
      <c r="C941" s="63">
        <v>2</v>
      </c>
      <c r="D941" s="38" t="s">
        <v>179</v>
      </c>
      <c r="E941" s="23" t="s">
        <v>142</v>
      </c>
      <c r="F941" s="39">
        <v>0.33329999999999999</v>
      </c>
      <c r="G941" s="64" t="s">
        <v>352</v>
      </c>
      <c r="H941" s="70"/>
      <c r="BA941" s="132" t="s">
        <v>15</v>
      </c>
      <c r="BB941" s="4">
        <v>0</v>
      </c>
      <c r="BC941">
        <v>0</v>
      </c>
    </row>
    <row r="942" spans="1:55" x14ac:dyDescent="0.3">
      <c r="A942" s="63">
        <v>14</v>
      </c>
      <c r="B942" s="65">
        <v>45754</v>
      </c>
      <c r="C942" s="63">
        <v>2</v>
      </c>
      <c r="D942" s="38" t="s">
        <v>179</v>
      </c>
      <c r="E942" s="23" t="s">
        <v>142</v>
      </c>
      <c r="F942" s="39">
        <v>0.33560000000000001</v>
      </c>
      <c r="G942" s="64" t="s">
        <v>352</v>
      </c>
      <c r="H942" s="70"/>
      <c r="BA942" s="132" t="s">
        <v>15</v>
      </c>
      <c r="BB942" s="4">
        <v>0</v>
      </c>
      <c r="BC942">
        <v>0</v>
      </c>
    </row>
    <row r="943" spans="1:55" x14ac:dyDescent="0.3">
      <c r="A943" s="63">
        <v>15</v>
      </c>
      <c r="B943" s="65">
        <v>45761</v>
      </c>
      <c r="C943" s="63">
        <v>2</v>
      </c>
      <c r="D943" s="38" t="s">
        <v>179</v>
      </c>
      <c r="E943" s="23" t="s">
        <v>142</v>
      </c>
      <c r="F943" s="39">
        <v>0.32150000000000001</v>
      </c>
      <c r="G943" s="64" t="s">
        <v>352</v>
      </c>
      <c r="H943" s="70"/>
      <c r="BA943" s="132" t="s">
        <v>15</v>
      </c>
      <c r="BB943" s="4">
        <v>0</v>
      </c>
      <c r="BC943">
        <v>0</v>
      </c>
    </row>
    <row r="944" spans="1:55" x14ac:dyDescent="0.3">
      <c r="A944" s="63">
        <v>16</v>
      </c>
      <c r="B944" s="65">
        <v>45768</v>
      </c>
      <c r="C944" s="63">
        <v>2</v>
      </c>
      <c r="D944" s="38" t="s">
        <v>179</v>
      </c>
      <c r="E944" s="23" t="s">
        <v>142</v>
      </c>
      <c r="F944" s="39">
        <v>0.32869999999999999</v>
      </c>
      <c r="G944" s="64" t="s">
        <v>352</v>
      </c>
      <c r="H944" s="70"/>
      <c r="BA944" s="132" t="s">
        <v>15</v>
      </c>
      <c r="BB944" s="4">
        <v>0</v>
      </c>
      <c r="BC944">
        <v>0</v>
      </c>
    </row>
    <row r="945" spans="1:55" x14ac:dyDescent="0.3">
      <c r="A945" s="63">
        <v>17</v>
      </c>
      <c r="B945" s="65">
        <v>45775</v>
      </c>
      <c r="C945" s="63">
        <v>2</v>
      </c>
      <c r="D945" s="38" t="s">
        <v>179</v>
      </c>
      <c r="E945" s="23" t="s">
        <v>142</v>
      </c>
      <c r="F945" s="39">
        <v>0.33139999999999997</v>
      </c>
      <c r="G945" s="64" t="s">
        <v>352</v>
      </c>
      <c r="H945" s="70"/>
      <c r="BA945" s="132" t="s">
        <v>15</v>
      </c>
      <c r="BB945" s="4">
        <v>0</v>
      </c>
      <c r="BC945">
        <v>0</v>
      </c>
    </row>
    <row r="946" spans="1:55" x14ac:dyDescent="0.3">
      <c r="A946" s="63">
        <v>18</v>
      </c>
      <c r="B946" s="65">
        <v>45782</v>
      </c>
      <c r="C946" s="63">
        <v>2</v>
      </c>
      <c r="D946" s="38" t="s">
        <v>179</v>
      </c>
      <c r="E946" s="23" t="s">
        <v>142</v>
      </c>
      <c r="F946" s="39">
        <v>0.3196</v>
      </c>
      <c r="G946" s="64" t="s">
        <v>352</v>
      </c>
      <c r="H946" s="70"/>
      <c r="BA946" s="132" t="s">
        <v>15</v>
      </c>
      <c r="BB946" s="4">
        <v>0</v>
      </c>
      <c r="BC946">
        <v>0</v>
      </c>
    </row>
    <row r="947" spans="1:55" x14ac:dyDescent="0.3">
      <c r="A947" s="63">
        <v>19</v>
      </c>
      <c r="B947" s="65">
        <v>45789</v>
      </c>
      <c r="C947" s="63">
        <v>2</v>
      </c>
      <c r="D947" s="38" t="s">
        <v>179</v>
      </c>
      <c r="E947" s="23" t="s">
        <v>142</v>
      </c>
      <c r="F947" s="39">
        <v>0.32829999999999998</v>
      </c>
      <c r="G947" s="64" t="s">
        <v>352</v>
      </c>
      <c r="H947" s="70"/>
      <c r="BA947" s="132" t="s">
        <v>15</v>
      </c>
      <c r="BB947" s="4">
        <v>0</v>
      </c>
      <c r="BC947">
        <v>0</v>
      </c>
    </row>
    <row r="948" spans="1:55" x14ac:dyDescent="0.3">
      <c r="A948" s="63">
        <v>20</v>
      </c>
      <c r="B948" s="65">
        <v>45796</v>
      </c>
      <c r="C948" s="63">
        <v>2</v>
      </c>
      <c r="D948" s="38" t="s">
        <v>179</v>
      </c>
      <c r="E948" s="23" t="s">
        <v>142</v>
      </c>
      <c r="F948" s="39">
        <v>0.32490000000000002</v>
      </c>
      <c r="G948" s="64" t="s">
        <v>352</v>
      </c>
      <c r="H948" s="70"/>
      <c r="BA948" s="132" t="s">
        <v>15</v>
      </c>
      <c r="BB948" s="4">
        <v>0</v>
      </c>
      <c r="BC948">
        <v>0</v>
      </c>
    </row>
    <row r="949" spans="1:55" x14ac:dyDescent="0.3">
      <c r="A949" s="63">
        <v>21</v>
      </c>
      <c r="B949" s="65">
        <v>45803</v>
      </c>
      <c r="C949" s="63">
        <v>2</v>
      </c>
      <c r="D949" s="38" t="s">
        <v>179</v>
      </c>
      <c r="E949" s="23" t="s">
        <v>142</v>
      </c>
      <c r="F949" s="39">
        <v>0.32050000000000001</v>
      </c>
      <c r="G949" s="64" t="s">
        <v>352</v>
      </c>
      <c r="H949" s="70"/>
      <c r="BA949" s="132" t="s">
        <v>15</v>
      </c>
      <c r="BB949" s="4">
        <v>0</v>
      </c>
      <c r="BC949">
        <v>0</v>
      </c>
    </row>
    <row r="950" spans="1:55" x14ac:dyDescent="0.3">
      <c r="A950" s="63">
        <v>22</v>
      </c>
      <c r="B950" s="65">
        <v>45810</v>
      </c>
      <c r="C950" s="63">
        <v>2</v>
      </c>
      <c r="D950" s="38" t="s">
        <v>179</v>
      </c>
      <c r="E950" s="23" t="s">
        <v>142</v>
      </c>
      <c r="F950" s="39">
        <v>0.32090000000000002</v>
      </c>
      <c r="G950" s="64" t="s">
        <v>352</v>
      </c>
      <c r="H950" s="70"/>
      <c r="BA950" s="132" t="s">
        <v>15</v>
      </c>
      <c r="BB950" s="4">
        <v>0</v>
      </c>
      <c r="BC950">
        <v>0</v>
      </c>
    </row>
    <row r="951" spans="1:55" x14ac:dyDescent="0.3">
      <c r="A951" s="63">
        <v>23</v>
      </c>
      <c r="B951" s="65">
        <v>45817</v>
      </c>
      <c r="C951" s="63">
        <v>2</v>
      </c>
      <c r="D951" s="38" t="s">
        <v>179</v>
      </c>
      <c r="E951" s="23" t="s">
        <v>142</v>
      </c>
      <c r="F951" s="39">
        <v>0.32579999999999998</v>
      </c>
      <c r="G951" s="64" t="s">
        <v>352</v>
      </c>
      <c r="H951" s="70"/>
      <c r="BA951" s="132" t="s">
        <v>15</v>
      </c>
      <c r="BB951" s="4">
        <v>0</v>
      </c>
      <c r="BC951">
        <v>0</v>
      </c>
    </row>
    <row r="952" spans="1:55" x14ac:dyDescent="0.3">
      <c r="A952" s="63">
        <v>24</v>
      </c>
      <c r="B952" s="65">
        <v>45824</v>
      </c>
      <c r="C952" s="63">
        <v>2</v>
      </c>
      <c r="D952" s="38" t="s">
        <v>179</v>
      </c>
      <c r="E952" s="23" t="s">
        <v>142</v>
      </c>
      <c r="F952" s="39">
        <v>0.32540000000000002</v>
      </c>
      <c r="G952" s="64" t="s">
        <v>352</v>
      </c>
      <c r="H952" s="70"/>
      <c r="BA952" s="132" t="s">
        <v>15</v>
      </c>
      <c r="BB952" s="4">
        <v>0</v>
      </c>
      <c r="BC952">
        <v>0</v>
      </c>
    </row>
    <row r="953" spans="1:55" x14ac:dyDescent="0.3">
      <c r="A953" s="63">
        <v>25</v>
      </c>
      <c r="B953" s="65">
        <v>45831</v>
      </c>
      <c r="C953" s="63">
        <v>2</v>
      </c>
      <c r="D953" s="38" t="s">
        <v>179</v>
      </c>
      <c r="E953" s="23" t="s">
        <v>142</v>
      </c>
      <c r="F953" s="39">
        <v>0.32019999999999998</v>
      </c>
      <c r="G953" s="64" t="s">
        <v>352</v>
      </c>
      <c r="H953" s="70"/>
      <c r="BA953" s="132" t="s">
        <v>15</v>
      </c>
      <c r="BB953" s="4">
        <v>0</v>
      </c>
      <c r="BC953">
        <v>0</v>
      </c>
    </row>
    <row r="954" spans="1:55" x14ac:dyDescent="0.3">
      <c r="A954" s="63">
        <v>1</v>
      </c>
      <c r="B954" s="65">
        <v>45663</v>
      </c>
      <c r="C954" s="63">
        <v>3</v>
      </c>
      <c r="D954" s="38" t="s">
        <v>180</v>
      </c>
      <c r="E954" s="23" t="s">
        <v>142</v>
      </c>
      <c r="F954" s="39">
        <v>0.78249999999999997</v>
      </c>
      <c r="G954" s="64" t="s">
        <v>352</v>
      </c>
      <c r="H954" s="70"/>
      <c r="BA954" s="132" t="s">
        <v>15</v>
      </c>
      <c r="BB954" s="4">
        <v>0</v>
      </c>
      <c r="BC954">
        <v>0</v>
      </c>
    </row>
    <row r="955" spans="1:55" x14ac:dyDescent="0.3">
      <c r="A955" s="63">
        <v>2</v>
      </c>
      <c r="B955" s="65">
        <v>45670</v>
      </c>
      <c r="C955" s="63">
        <v>3</v>
      </c>
      <c r="D955" s="38" t="s">
        <v>180</v>
      </c>
      <c r="E955" s="23" t="s">
        <v>142</v>
      </c>
      <c r="F955" s="39">
        <v>0.81589999999999996</v>
      </c>
      <c r="G955" s="64" t="s">
        <v>352</v>
      </c>
      <c r="H955" s="70"/>
      <c r="BA955" s="132" t="s">
        <v>15</v>
      </c>
      <c r="BB955" s="4">
        <v>0</v>
      </c>
      <c r="BC955">
        <v>0</v>
      </c>
    </row>
    <row r="956" spans="1:55" x14ac:dyDescent="0.3">
      <c r="A956" s="63">
        <v>3</v>
      </c>
      <c r="B956" s="65">
        <v>45677</v>
      </c>
      <c r="C956" s="63">
        <v>3</v>
      </c>
      <c r="D956" s="38" t="s">
        <v>180</v>
      </c>
      <c r="E956" s="23" t="s">
        <v>142</v>
      </c>
      <c r="F956" s="39">
        <v>0.7964</v>
      </c>
      <c r="G956" s="64" t="s">
        <v>352</v>
      </c>
      <c r="H956" s="70"/>
      <c r="BA956" s="132" t="s">
        <v>15</v>
      </c>
      <c r="BB956" s="4">
        <v>0</v>
      </c>
      <c r="BC956">
        <v>0</v>
      </c>
    </row>
    <row r="957" spans="1:55" x14ac:dyDescent="0.3">
      <c r="A957" s="63">
        <v>4</v>
      </c>
      <c r="B957" s="65">
        <v>45684</v>
      </c>
      <c r="C957" s="63">
        <v>3</v>
      </c>
      <c r="D957" s="38" t="s">
        <v>180</v>
      </c>
      <c r="E957" s="23" t="s">
        <v>142</v>
      </c>
      <c r="F957" s="39">
        <v>0.81100000000000005</v>
      </c>
      <c r="G957" s="64" t="s">
        <v>352</v>
      </c>
      <c r="H957" s="70"/>
      <c r="BA957" s="132" t="s">
        <v>15</v>
      </c>
      <c r="BB957" s="4">
        <v>0</v>
      </c>
      <c r="BC957">
        <v>0</v>
      </c>
    </row>
    <row r="958" spans="1:55" x14ac:dyDescent="0.3">
      <c r="A958" s="63">
        <v>5</v>
      </c>
      <c r="B958" s="65">
        <v>45691</v>
      </c>
      <c r="C958" s="63">
        <v>3</v>
      </c>
      <c r="D958" s="38" t="s">
        <v>180</v>
      </c>
      <c r="E958" s="23" t="s">
        <v>142</v>
      </c>
      <c r="F958" s="39">
        <v>0.81779999999999997</v>
      </c>
      <c r="G958" s="64" t="s">
        <v>352</v>
      </c>
      <c r="H958" s="70"/>
      <c r="BA958" s="132" t="s">
        <v>15</v>
      </c>
      <c r="BB958" s="4">
        <v>0</v>
      </c>
      <c r="BC958">
        <v>0</v>
      </c>
    </row>
    <row r="959" spans="1:55" x14ac:dyDescent="0.3">
      <c r="A959" s="63">
        <v>6</v>
      </c>
      <c r="B959" s="65">
        <v>45698</v>
      </c>
      <c r="C959" s="63">
        <v>3</v>
      </c>
      <c r="D959" s="38" t="s">
        <v>180</v>
      </c>
      <c r="E959" s="23" t="s">
        <v>142</v>
      </c>
      <c r="F959" s="39">
        <v>0.80449999999999999</v>
      </c>
      <c r="G959" s="64" t="s">
        <v>352</v>
      </c>
      <c r="H959" s="70"/>
      <c r="BA959" s="132" t="s">
        <v>15</v>
      </c>
      <c r="BB959" s="4">
        <v>0</v>
      </c>
      <c r="BC959">
        <v>0</v>
      </c>
    </row>
    <row r="960" spans="1:55" x14ac:dyDescent="0.3">
      <c r="A960" s="63">
        <v>7</v>
      </c>
      <c r="B960" s="65">
        <v>45705</v>
      </c>
      <c r="C960" s="63">
        <v>3</v>
      </c>
      <c r="D960" s="38" t="s">
        <v>180</v>
      </c>
      <c r="E960" s="23" t="s">
        <v>142</v>
      </c>
      <c r="F960" s="39">
        <v>0.84109999999999996</v>
      </c>
      <c r="G960" s="64" t="s">
        <v>352</v>
      </c>
      <c r="H960" s="70"/>
      <c r="BA960" s="132" t="s">
        <v>15</v>
      </c>
      <c r="BB960" s="4">
        <v>0</v>
      </c>
      <c r="BC960">
        <v>0</v>
      </c>
    </row>
    <row r="961" spans="1:55" x14ac:dyDescent="0.3">
      <c r="A961" s="63">
        <v>8</v>
      </c>
      <c r="B961" s="65">
        <v>45712</v>
      </c>
      <c r="C961" s="63">
        <v>3</v>
      </c>
      <c r="D961" s="38" t="s">
        <v>180</v>
      </c>
      <c r="E961" s="23" t="s">
        <v>142</v>
      </c>
      <c r="F961" s="39">
        <v>0.77380000000000004</v>
      </c>
      <c r="G961" s="64" t="s">
        <v>352</v>
      </c>
      <c r="H961" s="70"/>
      <c r="BA961" s="132" t="s">
        <v>15</v>
      </c>
      <c r="BB961" s="4">
        <v>0</v>
      </c>
      <c r="BC961">
        <v>0</v>
      </c>
    </row>
    <row r="962" spans="1:55" x14ac:dyDescent="0.3">
      <c r="A962" s="63">
        <v>9</v>
      </c>
      <c r="B962" s="65">
        <v>45719</v>
      </c>
      <c r="C962" s="63">
        <v>3</v>
      </c>
      <c r="D962" s="38" t="s">
        <v>180</v>
      </c>
      <c r="E962" s="23" t="s">
        <v>142</v>
      </c>
      <c r="F962" s="39">
        <v>0.80930000000000002</v>
      </c>
      <c r="G962" s="64" t="s">
        <v>352</v>
      </c>
      <c r="H962" s="70"/>
      <c r="BA962" s="132" t="s">
        <v>15</v>
      </c>
      <c r="BB962" s="4">
        <v>0</v>
      </c>
      <c r="BC962">
        <v>0</v>
      </c>
    </row>
    <row r="963" spans="1:55" x14ac:dyDescent="0.3">
      <c r="A963" s="63">
        <v>10</v>
      </c>
      <c r="B963" s="65">
        <v>45726</v>
      </c>
      <c r="C963" s="63">
        <v>3</v>
      </c>
      <c r="D963" s="38" t="s">
        <v>180</v>
      </c>
      <c r="E963" s="23" t="s">
        <v>142</v>
      </c>
      <c r="F963" s="39">
        <v>0.78480000000000005</v>
      </c>
      <c r="G963" s="64" t="s">
        <v>352</v>
      </c>
      <c r="H963" s="70"/>
      <c r="BA963" s="132" t="s">
        <v>15</v>
      </c>
      <c r="BB963" s="4">
        <v>0</v>
      </c>
      <c r="BC963">
        <v>0</v>
      </c>
    </row>
    <row r="964" spans="1:55" x14ac:dyDescent="0.3">
      <c r="A964" s="63">
        <v>11</v>
      </c>
      <c r="B964" s="65">
        <v>45733</v>
      </c>
      <c r="C964" s="63">
        <v>3</v>
      </c>
      <c r="D964" s="38" t="s">
        <v>180</v>
      </c>
      <c r="E964" s="23" t="s">
        <v>142</v>
      </c>
      <c r="F964" s="39">
        <v>0.83199999999999996</v>
      </c>
      <c r="G964" s="64" t="s">
        <v>352</v>
      </c>
      <c r="H964" s="70"/>
      <c r="BA964" s="132" t="s">
        <v>15</v>
      </c>
      <c r="BB964" s="4">
        <v>0</v>
      </c>
      <c r="BC964">
        <v>0</v>
      </c>
    </row>
    <row r="965" spans="1:55" x14ac:dyDescent="0.3">
      <c r="A965" s="63">
        <v>12</v>
      </c>
      <c r="B965" s="65">
        <v>45740</v>
      </c>
      <c r="C965" s="63">
        <v>3</v>
      </c>
      <c r="D965" s="38" t="s">
        <v>180</v>
      </c>
      <c r="E965" s="23" t="s">
        <v>142</v>
      </c>
      <c r="F965" s="39">
        <v>0.82869999999999999</v>
      </c>
      <c r="G965" s="64" t="s">
        <v>352</v>
      </c>
      <c r="H965" s="70"/>
      <c r="BA965" s="132" t="s">
        <v>15</v>
      </c>
      <c r="BB965" s="4">
        <v>0</v>
      </c>
      <c r="BC965">
        <v>0</v>
      </c>
    </row>
    <row r="966" spans="1:55" x14ac:dyDescent="0.3">
      <c r="A966" s="63">
        <v>13</v>
      </c>
      <c r="B966" s="65">
        <v>45747</v>
      </c>
      <c r="C966" s="63">
        <v>3</v>
      </c>
      <c r="D966" s="38" t="s">
        <v>180</v>
      </c>
      <c r="E966" s="23" t="s">
        <v>142</v>
      </c>
      <c r="F966" s="39">
        <v>0.74929999999999997</v>
      </c>
      <c r="G966" s="64" t="s">
        <v>352</v>
      </c>
      <c r="H966" s="70"/>
      <c r="BA966" s="132" t="s">
        <v>15</v>
      </c>
      <c r="BB966" s="4">
        <v>0</v>
      </c>
      <c r="BC966">
        <v>0</v>
      </c>
    </row>
    <row r="967" spans="1:55" x14ac:dyDescent="0.3">
      <c r="A967" s="63">
        <v>14</v>
      </c>
      <c r="B967" s="65">
        <v>45754</v>
      </c>
      <c r="C967" s="63">
        <v>3</v>
      </c>
      <c r="D967" s="38" t="s">
        <v>180</v>
      </c>
      <c r="E967" s="23" t="s">
        <v>142</v>
      </c>
      <c r="F967" s="39">
        <v>0.77070000000000005</v>
      </c>
      <c r="G967" s="64" t="s">
        <v>352</v>
      </c>
      <c r="H967" s="70"/>
      <c r="BA967" s="132" t="s">
        <v>15</v>
      </c>
      <c r="BB967" s="4">
        <v>0</v>
      </c>
      <c r="BC967">
        <v>0</v>
      </c>
    </row>
    <row r="968" spans="1:55" x14ac:dyDescent="0.3">
      <c r="A968" s="63">
        <v>15</v>
      </c>
      <c r="B968" s="65">
        <v>45761</v>
      </c>
      <c r="C968" s="63">
        <v>3</v>
      </c>
      <c r="D968" s="38" t="s">
        <v>180</v>
      </c>
      <c r="E968" s="23" t="s">
        <v>142</v>
      </c>
      <c r="F968" s="39">
        <v>0.80620000000000003</v>
      </c>
      <c r="G968" s="64" t="s">
        <v>352</v>
      </c>
      <c r="H968" s="70"/>
      <c r="BA968" s="132" t="s">
        <v>15</v>
      </c>
      <c r="BB968" s="4">
        <v>0</v>
      </c>
      <c r="BC968">
        <v>0</v>
      </c>
    </row>
    <row r="969" spans="1:55" x14ac:dyDescent="0.3">
      <c r="A969" s="63">
        <v>16</v>
      </c>
      <c r="B969" s="65">
        <v>45768</v>
      </c>
      <c r="C969" s="63">
        <v>3</v>
      </c>
      <c r="D969" s="38" t="s">
        <v>180</v>
      </c>
      <c r="E969" s="23" t="s">
        <v>142</v>
      </c>
      <c r="F969" s="39">
        <v>0.80889999999999995</v>
      </c>
      <c r="G969" s="64" t="s">
        <v>352</v>
      </c>
      <c r="H969" s="70"/>
      <c r="BA969" s="132" t="s">
        <v>15</v>
      </c>
      <c r="BB969" s="4">
        <v>0</v>
      </c>
      <c r="BC969">
        <v>0</v>
      </c>
    </row>
    <row r="970" spans="1:55" x14ac:dyDescent="0.3">
      <c r="A970" s="63">
        <v>17</v>
      </c>
      <c r="B970" s="65">
        <v>45775</v>
      </c>
      <c r="C970" s="63">
        <v>3</v>
      </c>
      <c r="D970" s="38" t="s">
        <v>180</v>
      </c>
      <c r="E970" s="23" t="s">
        <v>142</v>
      </c>
      <c r="F970" s="39">
        <v>0.80769999999999997</v>
      </c>
      <c r="G970" s="64" t="s">
        <v>352</v>
      </c>
      <c r="H970" s="70"/>
      <c r="BA970" s="132" t="s">
        <v>15</v>
      </c>
      <c r="BB970" s="4">
        <v>0</v>
      </c>
      <c r="BC970">
        <v>0</v>
      </c>
    </row>
    <row r="971" spans="1:55" x14ac:dyDescent="0.3">
      <c r="A971" s="63">
        <v>18</v>
      </c>
      <c r="B971" s="65">
        <v>45782</v>
      </c>
      <c r="C971" s="63">
        <v>3</v>
      </c>
      <c r="D971" s="38" t="s">
        <v>180</v>
      </c>
      <c r="E971" s="23" t="s">
        <v>142</v>
      </c>
      <c r="F971" s="39">
        <v>0.79020000000000001</v>
      </c>
      <c r="G971" s="64" t="s">
        <v>352</v>
      </c>
      <c r="H971" s="70"/>
      <c r="BA971" s="132" t="s">
        <v>15</v>
      </c>
      <c r="BB971" s="4">
        <v>0</v>
      </c>
      <c r="BC971">
        <v>0</v>
      </c>
    </row>
    <row r="972" spans="1:55" x14ac:dyDescent="0.3">
      <c r="A972" s="63">
        <v>19</v>
      </c>
      <c r="B972" s="65">
        <v>45789</v>
      </c>
      <c r="C972" s="63">
        <v>3</v>
      </c>
      <c r="D972" s="38" t="s">
        <v>180</v>
      </c>
      <c r="E972" s="23" t="s">
        <v>142</v>
      </c>
      <c r="F972" s="39">
        <v>0.80159999999999998</v>
      </c>
      <c r="G972" s="64" t="s">
        <v>352</v>
      </c>
      <c r="H972" s="70"/>
      <c r="BA972" s="132" t="s">
        <v>15</v>
      </c>
      <c r="BB972" s="4">
        <v>0</v>
      </c>
      <c r="BC972">
        <v>0</v>
      </c>
    </row>
    <row r="973" spans="1:55" x14ac:dyDescent="0.3">
      <c r="A973" s="63">
        <v>20</v>
      </c>
      <c r="B973" s="65">
        <v>45796</v>
      </c>
      <c r="C973" s="63">
        <v>3</v>
      </c>
      <c r="D973" s="38" t="s">
        <v>180</v>
      </c>
      <c r="E973" s="23" t="s">
        <v>142</v>
      </c>
      <c r="F973" s="39">
        <v>0.80589999999999995</v>
      </c>
      <c r="G973" s="64" t="s">
        <v>352</v>
      </c>
      <c r="H973" s="70"/>
      <c r="BA973" s="132" t="s">
        <v>15</v>
      </c>
      <c r="BB973" s="4">
        <v>0</v>
      </c>
      <c r="BC973">
        <v>0</v>
      </c>
    </row>
    <row r="974" spans="1:55" x14ac:dyDescent="0.3">
      <c r="A974" s="63">
        <v>21</v>
      </c>
      <c r="B974" s="65">
        <v>45803</v>
      </c>
      <c r="C974" s="63">
        <v>3</v>
      </c>
      <c r="D974" s="38" t="s">
        <v>180</v>
      </c>
      <c r="E974" s="23" t="s">
        <v>142</v>
      </c>
      <c r="F974" s="39">
        <v>0.79</v>
      </c>
      <c r="G974" s="64" t="s">
        <v>352</v>
      </c>
      <c r="H974" s="70"/>
      <c r="BA974" s="132" t="s">
        <v>15</v>
      </c>
      <c r="BB974" s="4">
        <v>0</v>
      </c>
      <c r="BC974">
        <v>0</v>
      </c>
    </row>
    <row r="975" spans="1:55" x14ac:dyDescent="0.3">
      <c r="A975" s="63">
        <v>22</v>
      </c>
      <c r="B975" s="65">
        <v>45810</v>
      </c>
      <c r="C975" s="63">
        <v>3</v>
      </c>
      <c r="D975" s="38" t="s">
        <v>180</v>
      </c>
      <c r="E975" s="23" t="s">
        <v>142</v>
      </c>
      <c r="F975" s="39">
        <v>0.81399999999999995</v>
      </c>
      <c r="G975" s="64" t="s">
        <v>352</v>
      </c>
      <c r="H975" s="70"/>
      <c r="BA975" s="132" t="s">
        <v>15</v>
      </c>
      <c r="BB975" s="4">
        <v>0</v>
      </c>
      <c r="BC975">
        <v>0</v>
      </c>
    </row>
    <row r="976" spans="1:55" x14ac:dyDescent="0.3">
      <c r="A976" s="63">
        <v>23</v>
      </c>
      <c r="B976" s="65">
        <v>45817</v>
      </c>
      <c r="C976" s="63">
        <v>3</v>
      </c>
      <c r="D976" s="38" t="s">
        <v>180</v>
      </c>
      <c r="E976" s="23" t="s">
        <v>142</v>
      </c>
      <c r="F976" s="39">
        <v>0.74260000000000004</v>
      </c>
      <c r="G976" s="64" t="s">
        <v>352</v>
      </c>
      <c r="H976" s="70"/>
      <c r="BA976" s="132" t="s">
        <v>15</v>
      </c>
      <c r="BB976" s="4">
        <v>0</v>
      </c>
      <c r="BC976">
        <v>0</v>
      </c>
    </row>
    <row r="977" spans="1:55" x14ac:dyDescent="0.3">
      <c r="A977" s="63">
        <v>24</v>
      </c>
      <c r="B977" s="65">
        <v>45824</v>
      </c>
      <c r="C977" s="63">
        <v>3</v>
      </c>
      <c r="D977" s="38" t="s">
        <v>180</v>
      </c>
      <c r="E977" s="23" t="s">
        <v>142</v>
      </c>
      <c r="F977" s="39">
        <v>0.80549999999999999</v>
      </c>
      <c r="G977" s="64" t="s">
        <v>352</v>
      </c>
      <c r="H977" s="70"/>
      <c r="BA977" s="132" t="s">
        <v>15</v>
      </c>
      <c r="BB977" s="4">
        <v>0</v>
      </c>
      <c r="BC977">
        <v>0</v>
      </c>
    </row>
    <row r="978" spans="1:55" x14ac:dyDescent="0.3">
      <c r="A978" s="63">
        <v>25</v>
      </c>
      <c r="B978" s="65">
        <v>45831</v>
      </c>
      <c r="C978" s="63">
        <v>3</v>
      </c>
      <c r="D978" s="38" t="s">
        <v>180</v>
      </c>
      <c r="E978" s="23" t="s">
        <v>142</v>
      </c>
      <c r="F978" s="39">
        <v>0.76929999999999998</v>
      </c>
      <c r="G978" s="64" t="s">
        <v>352</v>
      </c>
      <c r="H978" s="70"/>
      <c r="BA978" s="132" t="s">
        <v>15</v>
      </c>
      <c r="BB978" s="4">
        <v>0</v>
      </c>
      <c r="BC978">
        <v>0</v>
      </c>
    </row>
    <row r="979" spans="1:55" x14ac:dyDescent="0.3">
      <c r="A979" s="63">
        <v>1</v>
      </c>
      <c r="B979" s="65">
        <v>45663</v>
      </c>
      <c r="C979" s="63">
        <v>1</v>
      </c>
      <c r="D979" s="38" t="s">
        <v>178</v>
      </c>
      <c r="E979" s="23" t="s">
        <v>144</v>
      </c>
      <c r="F979" s="39">
        <v>10.6241</v>
      </c>
      <c r="G979" s="64" t="s">
        <v>352</v>
      </c>
      <c r="H979" s="70"/>
      <c r="BA979" s="132" t="s">
        <v>15</v>
      </c>
      <c r="BB979" s="4">
        <v>1</v>
      </c>
      <c r="BC979">
        <v>0</v>
      </c>
    </row>
    <row r="980" spans="1:55" x14ac:dyDescent="0.3">
      <c r="A980" s="63">
        <v>2</v>
      </c>
      <c r="B980" s="65">
        <v>45670</v>
      </c>
      <c r="C980" s="63">
        <v>1</v>
      </c>
      <c r="D980" s="38" t="s">
        <v>178</v>
      </c>
      <c r="E980" s="23" t="s">
        <v>144</v>
      </c>
      <c r="F980" s="39">
        <v>10.209899999999999</v>
      </c>
      <c r="G980" s="64" t="s">
        <v>352</v>
      </c>
      <c r="H980" s="70"/>
      <c r="BA980" s="132" t="s">
        <v>15</v>
      </c>
      <c r="BB980" s="4">
        <v>1</v>
      </c>
      <c r="BC980">
        <v>0</v>
      </c>
    </row>
    <row r="981" spans="1:55" x14ac:dyDescent="0.3">
      <c r="A981" s="63">
        <v>3</v>
      </c>
      <c r="B981" s="65">
        <v>45677</v>
      </c>
      <c r="C981" s="63">
        <v>1</v>
      </c>
      <c r="D981" s="38" t="s">
        <v>178</v>
      </c>
      <c r="E981" s="23" t="s">
        <v>144</v>
      </c>
      <c r="F981" s="39">
        <v>9.9795999999999996</v>
      </c>
      <c r="G981" s="64" t="s">
        <v>352</v>
      </c>
      <c r="H981" s="70"/>
      <c r="BA981" s="132" t="s">
        <v>15</v>
      </c>
      <c r="BB981" s="4">
        <v>1</v>
      </c>
      <c r="BC981">
        <v>0</v>
      </c>
    </row>
    <row r="982" spans="1:55" x14ac:dyDescent="0.3">
      <c r="A982" s="63">
        <v>4</v>
      </c>
      <c r="B982" s="65">
        <v>45684</v>
      </c>
      <c r="C982" s="63">
        <v>1</v>
      </c>
      <c r="D982" s="38" t="s">
        <v>178</v>
      </c>
      <c r="E982" s="23" t="s">
        <v>144</v>
      </c>
      <c r="F982" s="39">
        <v>10.4201</v>
      </c>
      <c r="G982" s="64" t="s">
        <v>352</v>
      </c>
      <c r="H982" s="70"/>
      <c r="BA982" s="132" t="s">
        <v>15</v>
      </c>
      <c r="BB982" s="4">
        <v>1</v>
      </c>
      <c r="BC982">
        <v>0</v>
      </c>
    </row>
    <row r="983" spans="1:55" x14ac:dyDescent="0.3">
      <c r="A983" s="63">
        <v>5</v>
      </c>
      <c r="B983" s="65">
        <v>45691</v>
      </c>
      <c r="C983" s="63">
        <v>1</v>
      </c>
      <c r="D983" s="38" t="s">
        <v>178</v>
      </c>
      <c r="E983" s="23" t="s">
        <v>144</v>
      </c>
      <c r="F983" s="39">
        <v>9.9718</v>
      </c>
      <c r="G983" s="64" t="s">
        <v>352</v>
      </c>
      <c r="H983" s="70"/>
      <c r="BA983" s="132" t="s">
        <v>15</v>
      </c>
      <c r="BB983" s="4">
        <v>1</v>
      </c>
      <c r="BC983">
        <v>0</v>
      </c>
    </row>
    <row r="984" spans="1:55" x14ac:dyDescent="0.3">
      <c r="A984" s="63">
        <v>6</v>
      </c>
      <c r="B984" s="65">
        <v>45698</v>
      </c>
      <c r="C984" s="63">
        <v>1</v>
      </c>
      <c r="D984" s="38" t="s">
        <v>178</v>
      </c>
      <c r="E984" s="23" t="s">
        <v>144</v>
      </c>
      <c r="F984" s="39">
        <v>9.9712999999999994</v>
      </c>
      <c r="G984" s="64" t="s">
        <v>352</v>
      </c>
      <c r="H984" s="70"/>
      <c r="BA984" s="132" t="s">
        <v>15</v>
      </c>
      <c r="BB984" s="4">
        <v>1</v>
      </c>
      <c r="BC984">
        <v>0</v>
      </c>
    </row>
    <row r="985" spans="1:55" x14ac:dyDescent="0.3">
      <c r="A985" s="63">
        <v>7</v>
      </c>
      <c r="B985" s="65">
        <v>45705</v>
      </c>
      <c r="C985" s="63">
        <v>1</v>
      </c>
      <c r="D985" s="38" t="s">
        <v>178</v>
      </c>
      <c r="E985" s="23" t="s">
        <v>144</v>
      </c>
      <c r="F985" s="39">
        <v>9.7430000000000003</v>
      </c>
      <c r="G985" s="64" t="s">
        <v>352</v>
      </c>
      <c r="H985" s="70"/>
      <c r="BA985" s="132" t="s">
        <v>15</v>
      </c>
      <c r="BB985" s="4">
        <v>1</v>
      </c>
      <c r="BC985">
        <v>0</v>
      </c>
    </row>
    <row r="986" spans="1:55" x14ac:dyDescent="0.3">
      <c r="A986" s="63">
        <v>8</v>
      </c>
      <c r="B986" s="65">
        <v>45712</v>
      </c>
      <c r="C986" s="63">
        <v>1</v>
      </c>
      <c r="D986" s="38" t="s">
        <v>178</v>
      </c>
      <c r="E986" s="23" t="s">
        <v>144</v>
      </c>
      <c r="F986" s="39">
        <v>10.2803</v>
      </c>
      <c r="G986" s="64" t="s">
        <v>352</v>
      </c>
      <c r="H986" s="70"/>
      <c r="BA986" s="132" t="s">
        <v>15</v>
      </c>
      <c r="BB986" s="4">
        <v>1</v>
      </c>
      <c r="BC986">
        <v>0</v>
      </c>
    </row>
    <row r="987" spans="1:55" x14ac:dyDescent="0.3">
      <c r="A987" s="63">
        <v>9</v>
      </c>
      <c r="B987" s="65">
        <v>45719</v>
      </c>
      <c r="C987" s="63">
        <v>1</v>
      </c>
      <c r="D987" s="38" t="s">
        <v>178</v>
      </c>
      <c r="E987" s="23" t="s">
        <v>144</v>
      </c>
      <c r="F987" s="39">
        <v>10.462999999999999</v>
      </c>
      <c r="G987" s="64" t="s">
        <v>352</v>
      </c>
      <c r="H987" s="70"/>
      <c r="BA987" s="132" t="s">
        <v>15</v>
      </c>
      <c r="BB987" s="4">
        <v>1</v>
      </c>
      <c r="BC987">
        <v>0</v>
      </c>
    </row>
    <row r="988" spans="1:55" x14ac:dyDescent="0.3">
      <c r="A988" s="63">
        <v>10</v>
      </c>
      <c r="B988" s="65">
        <v>45726</v>
      </c>
      <c r="C988" s="63">
        <v>1</v>
      </c>
      <c r="D988" s="38" t="s">
        <v>178</v>
      </c>
      <c r="E988" s="23" t="s">
        <v>144</v>
      </c>
      <c r="F988" s="39">
        <v>10.6465</v>
      </c>
      <c r="G988" s="64" t="s">
        <v>352</v>
      </c>
      <c r="H988" s="70"/>
      <c r="BA988" s="132" t="s">
        <v>15</v>
      </c>
      <c r="BB988" s="4">
        <v>1</v>
      </c>
      <c r="BC988">
        <v>0</v>
      </c>
    </row>
    <row r="989" spans="1:55" x14ac:dyDescent="0.3">
      <c r="A989" s="63">
        <v>11</v>
      </c>
      <c r="B989" s="65">
        <v>45733</v>
      </c>
      <c r="C989" s="63">
        <v>1</v>
      </c>
      <c r="D989" s="38" t="s">
        <v>178</v>
      </c>
      <c r="E989" s="23" t="s">
        <v>144</v>
      </c>
      <c r="F989" s="39">
        <v>10.2402</v>
      </c>
      <c r="G989" s="64" t="s">
        <v>352</v>
      </c>
      <c r="H989" s="70"/>
      <c r="BA989" s="132" t="s">
        <v>15</v>
      </c>
      <c r="BB989" s="4">
        <v>1</v>
      </c>
      <c r="BC989">
        <v>0</v>
      </c>
    </row>
    <row r="990" spans="1:55" x14ac:dyDescent="0.3">
      <c r="A990" s="63">
        <v>12</v>
      </c>
      <c r="B990" s="65">
        <v>45740</v>
      </c>
      <c r="C990" s="63">
        <v>1</v>
      </c>
      <c r="D990" s="38" t="s">
        <v>178</v>
      </c>
      <c r="E990" s="23" t="s">
        <v>144</v>
      </c>
      <c r="F990" s="39">
        <v>10.655200000000001</v>
      </c>
      <c r="G990" s="64" t="s">
        <v>352</v>
      </c>
      <c r="H990" s="70"/>
      <c r="BA990" s="132" t="s">
        <v>15</v>
      </c>
      <c r="BB990" s="4">
        <v>1</v>
      </c>
      <c r="BC990">
        <v>0</v>
      </c>
    </row>
    <row r="991" spans="1:55" x14ac:dyDescent="0.3">
      <c r="A991" s="63">
        <v>13</v>
      </c>
      <c r="B991" s="65">
        <v>45747</v>
      </c>
      <c r="C991" s="63">
        <v>1</v>
      </c>
      <c r="D991" s="38" t="s">
        <v>178</v>
      </c>
      <c r="E991" s="23" t="s">
        <v>144</v>
      </c>
      <c r="F991" s="39">
        <v>10.2959</v>
      </c>
      <c r="G991" s="64" t="s">
        <v>352</v>
      </c>
      <c r="H991" s="70"/>
      <c r="BA991" s="132" t="s">
        <v>15</v>
      </c>
      <c r="BB991" s="4">
        <v>1</v>
      </c>
      <c r="BC991">
        <v>0</v>
      </c>
    </row>
    <row r="992" spans="1:55" x14ac:dyDescent="0.3">
      <c r="A992" s="63">
        <v>14</v>
      </c>
      <c r="B992" s="65">
        <v>45754</v>
      </c>
      <c r="C992" s="63">
        <v>1</v>
      </c>
      <c r="D992" s="38" t="s">
        <v>178</v>
      </c>
      <c r="E992" s="23" t="s">
        <v>144</v>
      </c>
      <c r="F992" s="39">
        <v>10.257099999999999</v>
      </c>
      <c r="G992" s="64" t="s">
        <v>352</v>
      </c>
      <c r="H992" s="70"/>
      <c r="BA992" s="132" t="s">
        <v>15</v>
      </c>
      <c r="BB992" s="4">
        <v>1</v>
      </c>
      <c r="BC992">
        <v>0</v>
      </c>
    </row>
    <row r="993" spans="1:55" x14ac:dyDescent="0.3">
      <c r="A993" s="63">
        <v>15</v>
      </c>
      <c r="B993" s="65">
        <v>45761</v>
      </c>
      <c r="C993" s="63">
        <v>1</v>
      </c>
      <c r="D993" s="38" t="s">
        <v>178</v>
      </c>
      <c r="E993" s="23" t="s">
        <v>144</v>
      </c>
      <c r="F993" s="39">
        <v>10.489699999999999</v>
      </c>
      <c r="G993" s="64" t="s">
        <v>352</v>
      </c>
      <c r="H993" s="70"/>
      <c r="BA993" s="132" t="s">
        <v>15</v>
      </c>
      <c r="BB993" s="4">
        <v>1</v>
      </c>
      <c r="BC993">
        <v>0</v>
      </c>
    </row>
    <row r="994" spans="1:55" x14ac:dyDescent="0.3">
      <c r="A994" s="63">
        <v>16</v>
      </c>
      <c r="B994" s="65">
        <v>45768</v>
      </c>
      <c r="C994" s="63">
        <v>1</v>
      </c>
      <c r="D994" s="38" t="s">
        <v>178</v>
      </c>
      <c r="E994" s="23" t="s">
        <v>144</v>
      </c>
      <c r="F994" s="39">
        <v>10.658799999999999</v>
      </c>
      <c r="G994" s="64" t="s">
        <v>352</v>
      </c>
      <c r="H994" s="70"/>
      <c r="BA994" s="132" t="s">
        <v>15</v>
      </c>
      <c r="BB994" s="4">
        <v>1</v>
      </c>
      <c r="BC994">
        <v>0</v>
      </c>
    </row>
    <row r="995" spans="1:55" x14ac:dyDescent="0.3">
      <c r="A995" s="63">
        <v>17</v>
      </c>
      <c r="B995" s="65">
        <v>45775</v>
      </c>
      <c r="C995" s="63">
        <v>1</v>
      </c>
      <c r="D995" s="38" t="s">
        <v>178</v>
      </c>
      <c r="E995" s="23" t="s">
        <v>144</v>
      </c>
      <c r="F995" s="39">
        <v>10.1706</v>
      </c>
      <c r="G995" s="64" t="s">
        <v>352</v>
      </c>
      <c r="H995" s="70"/>
      <c r="BA995" s="132" t="s">
        <v>15</v>
      </c>
      <c r="BB995" s="4">
        <v>1</v>
      </c>
      <c r="BC995">
        <v>0</v>
      </c>
    </row>
    <row r="996" spans="1:55" x14ac:dyDescent="0.3">
      <c r="A996" s="63">
        <v>18</v>
      </c>
      <c r="B996" s="65">
        <v>45782</v>
      </c>
      <c r="C996" s="63">
        <v>1</v>
      </c>
      <c r="D996" s="38" t="s">
        <v>178</v>
      </c>
      <c r="E996" s="23" t="s">
        <v>144</v>
      </c>
      <c r="F996" s="39">
        <v>10.204599999999999</v>
      </c>
      <c r="G996" s="64" t="s">
        <v>352</v>
      </c>
      <c r="H996" s="70"/>
      <c r="BA996" s="132" t="s">
        <v>15</v>
      </c>
      <c r="BB996" s="4">
        <v>1</v>
      </c>
      <c r="BC996">
        <v>0</v>
      </c>
    </row>
    <row r="997" spans="1:55" x14ac:dyDescent="0.3">
      <c r="A997" s="63">
        <v>19</v>
      </c>
      <c r="B997" s="65">
        <v>45789</v>
      </c>
      <c r="C997" s="63">
        <v>1</v>
      </c>
      <c r="D997" s="38" t="s">
        <v>178</v>
      </c>
      <c r="E997" s="23" t="s">
        <v>144</v>
      </c>
      <c r="F997" s="39">
        <v>10.233599999999999</v>
      </c>
      <c r="G997" s="64" t="s">
        <v>352</v>
      </c>
      <c r="H997" s="70"/>
      <c r="BA997" s="132" t="s">
        <v>15</v>
      </c>
      <c r="BB997" s="4">
        <v>1</v>
      </c>
      <c r="BC997">
        <v>0</v>
      </c>
    </row>
    <row r="998" spans="1:55" x14ac:dyDescent="0.3">
      <c r="A998" s="63">
        <v>20</v>
      </c>
      <c r="B998" s="65">
        <v>45796</v>
      </c>
      <c r="C998" s="63">
        <v>1</v>
      </c>
      <c r="D998" s="38" t="s">
        <v>178</v>
      </c>
      <c r="E998" s="23" t="s">
        <v>144</v>
      </c>
      <c r="F998" s="39">
        <v>10.3185</v>
      </c>
      <c r="G998" s="64" t="s">
        <v>352</v>
      </c>
      <c r="H998" s="70"/>
      <c r="BA998" s="132" t="s">
        <v>15</v>
      </c>
      <c r="BB998" s="4">
        <v>1</v>
      </c>
      <c r="BC998">
        <v>0</v>
      </c>
    </row>
    <row r="999" spans="1:55" x14ac:dyDescent="0.3">
      <c r="A999" s="63">
        <v>21</v>
      </c>
      <c r="B999" s="65">
        <v>45803</v>
      </c>
      <c r="C999" s="63">
        <v>1</v>
      </c>
      <c r="D999" s="38" t="s">
        <v>178</v>
      </c>
      <c r="E999" s="23" t="s">
        <v>144</v>
      </c>
      <c r="F999" s="39">
        <v>9.9756</v>
      </c>
      <c r="G999" s="64" t="s">
        <v>352</v>
      </c>
      <c r="H999" s="70"/>
      <c r="BA999" s="132" t="s">
        <v>15</v>
      </c>
      <c r="BB999" s="4">
        <v>1</v>
      </c>
      <c r="BC999">
        <v>0</v>
      </c>
    </row>
    <row r="1000" spans="1:55" x14ac:dyDescent="0.3">
      <c r="A1000" s="63">
        <v>22</v>
      </c>
      <c r="B1000" s="65">
        <v>45810</v>
      </c>
      <c r="C1000" s="63">
        <v>1</v>
      </c>
      <c r="D1000" s="38" t="s">
        <v>178</v>
      </c>
      <c r="E1000" s="23" t="s">
        <v>144</v>
      </c>
      <c r="F1000" s="39">
        <v>10.648199999999999</v>
      </c>
      <c r="G1000" s="64" t="s">
        <v>352</v>
      </c>
      <c r="H1000" s="70"/>
      <c r="BA1000" s="132" t="s">
        <v>15</v>
      </c>
      <c r="BB1000" s="4">
        <v>1</v>
      </c>
      <c r="BC1000">
        <v>0</v>
      </c>
    </row>
    <row r="1001" spans="1:55" x14ac:dyDescent="0.3">
      <c r="A1001" s="63">
        <v>23</v>
      </c>
      <c r="B1001" s="65">
        <v>45817</v>
      </c>
      <c r="C1001" s="63">
        <v>1</v>
      </c>
      <c r="D1001" s="38" t="s">
        <v>178</v>
      </c>
      <c r="E1001" s="23" t="s">
        <v>144</v>
      </c>
      <c r="F1001" s="39">
        <v>10.15</v>
      </c>
      <c r="G1001" s="64" t="s">
        <v>352</v>
      </c>
      <c r="H1001" s="70"/>
      <c r="BA1001" s="132" t="s">
        <v>15</v>
      </c>
      <c r="BB1001" s="4">
        <v>1</v>
      </c>
      <c r="BC1001">
        <v>0</v>
      </c>
    </row>
    <row r="1002" spans="1:55" x14ac:dyDescent="0.3">
      <c r="A1002" s="63">
        <v>24</v>
      </c>
      <c r="B1002" s="65">
        <v>45824</v>
      </c>
      <c r="C1002" s="63">
        <v>1</v>
      </c>
      <c r="D1002" s="38" t="s">
        <v>178</v>
      </c>
      <c r="E1002" s="23" t="s">
        <v>144</v>
      </c>
      <c r="F1002" s="39">
        <v>10.451000000000001</v>
      </c>
      <c r="G1002" s="64" t="s">
        <v>352</v>
      </c>
      <c r="H1002" s="70"/>
      <c r="BA1002" s="132" t="s">
        <v>15</v>
      </c>
      <c r="BB1002" s="4">
        <v>1</v>
      </c>
      <c r="BC1002">
        <v>0</v>
      </c>
    </row>
    <row r="1003" spans="1:55" x14ac:dyDescent="0.3">
      <c r="A1003" s="63">
        <v>25</v>
      </c>
      <c r="B1003" s="65">
        <v>45831</v>
      </c>
      <c r="C1003" s="63">
        <v>1</v>
      </c>
      <c r="D1003" s="38" t="s">
        <v>178</v>
      </c>
      <c r="E1003" s="23" t="s">
        <v>144</v>
      </c>
      <c r="F1003" s="39">
        <v>10.0017</v>
      </c>
      <c r="G1003" s="64" t="s">
        <v>352</v>
      </c>
      <c r="H1003" s="70"/>
      <c r="BA1003" s="132" t="s">
        <v>15</v>
      </c>
      <c r="BB1003" s="4">
        <v>1</v>
      </c>
      <c r="BC1003">
        <v>0</v>
      </c>
    </row>
    <row r="1004" spans="1:55" x14ac:dyDescent="0.3">
      <c r="A1004" s="63">
        <v>1</v>
      </c>
      <c r="B1004" s="65">
        <v>45663</v>
      </c>
      <c r="C1004" s="63">
        <v>2</v>
      </c>
      <c r="D1004" s="38" t="s">
        <v>179</v>
      </c>
      <c r="E1004" s="23" t="s">
        <v>144</v>
      </c>
      <c r="F1004" s="39">
        <v>11.168200000000001</v>
      </c>
      <c r="G1004" s="64" t="s">
        <v>352</v>
      </c>
      <c r="H1004" s="70"/>
      <c r="BA1004" s="132" t="s">
        <v>15</v>
      </c>
      <c r="BB1004" s="4">
        <v>0</v>
      </c>
      <c r="BC1004">
        <v>0</v>
      </c>
    </row>
    <row r="1005" spans="1:55" x14ac:dyDescent="0.3">
      <c r="A1005" s="63">
        <v>2</v>
      </c>
      <c r="B1005" s="65">
        <v>45670</v>
      </c>
      <c r="C1005" s="63">
        <v>2</v>
      </c>
      <c r="D1005" s="38" t="s">
        <v>179</v>
      </c>
      <c r="E1005" s="23" t="s">
        <v>144</v>
      </c>
      <c r="F1005" s="39">
        <v>11.178900000000001</v>
      </c>
      <c r="G1005" s="64" t="s">
        <v>352</v>
      </c>
      <c r="H1005" s="70"/>
      <c r="BA1005" s="132" t="s">
        <v>15</v>
      </c>
      <c r="BB1005" s="4">
        <v>0</v>
      </c>
      <c r="BC1005">
        <v>0</v>
      </c>
    </row>
    <row r="1006" spans="1:55" x14ac:dyDescent="0.3">
      <c r="A1006" s="63">
        <v>3</v>
      </c>
      <c r="B1006" s="65">
        <v>45677</v>
      </c>
      <c r="C1006" s="63">
        <v>2</v>
      </c>
      <c r="D1006" s="38" t="s">
        <v>179</v>
      </c>
      <c r="E1006" s="23" t="s">
        <v>144</v>
      </c>
      <c r="F1006" s="39">
        <v>10.915100000000001</v>
      </c>
      <c r="G1006" s="64" t="s">
        <v>352</v>
      </c>
      <c r="H1006" s="70"/>
      <c r="BA1006" s="132" t="s">
        <v>15</v>
      </c>
      <c r="BB1006" s="4">
        <v>0</v>
      </c>
      <c r="BC1006">
        <v>0</v>
      </c>
    </row>
    <row r="1007" spans="1:55" x14ac:dyDescent="0.3">
      <c r="A1007" s="63">
        <v>4</v>
      </c>
      <c r="B1007" s="65">
        <v>45684</v>
      </c>
      <c r="C1007" s="63">
        <v>2</v>
      </c>
      <c r="D1007" s="38" t="s">
        <v>179</v>
      </c>
      <c r="E1007" s="23" t="s">
        <v>144</v>
      </c>
      <c r="F1007" s="39">
        <v>11.7079</v>
      </c>
      <c r="G1007" s="64" t="s">
        <v>352</v>
      </c>
      <c r="H1007" s="70"/>
      <c r="BA1007" s="132" t="s">
        <v>15</v>
      </c>
      <c r="BB1007" s="4">
        <v>0</v>
      </c>
      <c r="BC1007">
        <v>0</v>
      </c>
    </row>
    <row r="1008" spans="1:55" x14ac:dyDescent="0.3">
      <c r="A1008" s="63">
        <v>5</v>
      </c>
      <c r="B1008" s="65">
        <v>45691</v>
      </c>
      <c r="C1008" s="63">
        <v>2</v>
      </c>
      <c r="D1008" s="38" t="s">
        <v>179</v>
      </c>
      <c r="E1008" s="23" t="s">
        <v>144</v>
      </c>
      <c r="F1008" s="39">
        <v>11.1722</v>
      </c>
      <c r="G1008" s="64" t="s">
        <v>352</v>
      </c>
      <c r="H1008" s="70"/>
      <c r="BA1008" s="132" t="s">
        <v>15</v>
      </c>
      <c r="BB1008" s="4">
        <v>0</v>
      </c>
      <c r="BC1008">
        <v>0</v>
      </c>
    </row>
    <row r="1009" spans="1:55" x14ac:dyDescent="0.3">
      <c r="A1009" s="63">
        <v>6</v>
      </c>
      <c r="B1009" s="65">
        <v>45698</v>
      </c>
      <c r="C1009" s="63">
        <v>2</v>
      </c>
      <c r="D1009" s="38" t="s">
        <v>179</v>
      </c>
      <c r="E1009" s="23" t="s">
        <v>144</v>
      </c>
      <c r="F1009" s="39">
        <v>11.6287</v>
      </c>
      <c r="G1009" s="64" t="s">
        <v>352</v>
      </c>
      <c r="H1009" s="70"/>
      <c r="BA1009" s="132" t="s">
        <v>15</v>
      </c>
      <c r="BB1009" s="4">
        <v>0</v>
      </c>
      <c r="BC1009">
        <v>0</v>
      </c>
    </row>
    <row r="1010" spans="1:55" x14ac:dyDescent="0.3">
      <c r="A1010" s="63">
        <v>7</v>
      </c>
      <c r="B1010" s="65">
        <v>45705</v>
      </c>
      <c r="C1010" s="63">
        <v>2</v>
      </c>
      <c r="D1010" s="38" t="s">
        <v>179</v>
      </c>
      <c r="E1010" s="23" t="s">
        <v>144</v>
      </c>
      <c r="F1010" s="39">
        <v>11.363200000000001</v>
      </c>
      <c r="G1010" s="64" t="s">
        <v>352</v>
      </c>
      <c r="H1010" s="70"/>
      <c r="BA1010" s="132" t="s">
        <v>15</v>
      </c>
      <c r="BB1010" s="4">
        <v>0</v>
      </c>
      <c r="BC1010">
        <v>0</v>
      </c>
    </row>
    <row r="1011" spans="1:55" x14ac:dyDescent="0.3">
      <c r="A1011" s="63">
        <v>8</v>
      </c>
      <c r="B1011" s="65">
        <v>45712</v>
      </c>
      <c r="C1011" s="63">
        <v>2</v>
      </c>
      <c r="D1011" s="38" t="s">
        <v>179</v>
      </c>
      <c r="E1011" s="23" t="s">
        <v>144</v>
      </c>
      <c r="F1011" s="39">
        <v>10.8367</v>
      </c>
      <c r="G1011" s="64" t="s">
        <v>352</v>
      </c>
      <c r="H1011" s="70"/>
      <c r="BA1011" s="132" t="s">
        <v>15</v>
      </c>
      <c r="BB1011" s="4">
        <v>0</v>
      </c>
      <c r="BC1011">
        <v>0</v>
      </c>
    </row>
    <row r="1012" spans="1:55" x14ac:dyDescent="0.3">
      <c r="A1012" s="63">
        <v>9</v>
      </c>
      <c r="B1012" s="65">
        <v>45719</v>
      </c>
      <c r="C1012" s="63">
        <v>2</v>
      </c>
      <c r="D1012" s="38" t="s">
        <v>179</v>
      </c>
      <c r="E1012" s="23" t="s">
        <v>144</v>
      </c>
      <c r="F1012" s="39">
        <v>10.9276</v>
      </c>
      <c r="G1012" s="64" t="s">
        <v>352</v>
      </c>
      <c r="H1012" s="70"/>
      <c r="BA1012" s="132" t="s">
        <v>15</v>
      </c>
      <c r="BB1012" s="4">
        <v>0</v>
      </c>
      <c r="BC1012">
        <v>0</v>
      </c>
    </row>
    <row r="1013" spans="1:55" x14ac:dyDescent="0.3">
      <c r="A1013" s="63">
        <v>10</v>
      </c>
      <c r="B1013" s="65">
        <v>45726</v>
      </c>
      <c r="C1013" s="63">
        <v>2</v>
      </c>
      <c r="D1013" s="38" t="s">
        <v>179</v>
      </c>
      <c r="E1013" s="23" t="s">
        <v>144</v>
      </c>
      <c r="F1013" s="39">
        <v>11.193300000000001</v>
      </c>
      <c r="G1013" s="64" t="s">
        <v>352</v>
      </c>
      <c r="H1013" s="70"/>
      <c r="BA1013" s="132" t="s">
        <v>15</v>
      </c>
      <c r="BB1013" s="4">
        <v>0</v>
      </c>
      <c r="BC1013">
        <v>0</v>
      </c>
    </row>
    <row r="1014" spans="1:55" x14ac:dyDescent="0.3">
      <c r="A1014" s="63">
        <v>11</v>
      </c>
      <c r="B1014" s="65">
        <v>45733</v>
      </c>
      <c r="C1014" s="63">
        <v>2</v>
      </c>
      <c r="D1014" s="38" t="s">
        <v>179</v>
      </c>
      <c r="E1014" s="23" t="s">
        <v>144</v>
      </c>
      <c r="F1014" s="39">
        <v>11.0716</v>
      </c>
      <c r="G1014" s="64" t="s">
        <v>352</v>
      </c>
      <c r="H1014" s="70"/>
      <c r="BA1014" s="132" t="s">
        <v>15</v>
      </c>
      <c r="BB1014" s="4">
        <v>0</v>
      </c>
      <c r="BC1014">
        <v>0</v>
      </c>
    </row>
    <row r="1015" spans="1:55" x14ac:dyDescent="0.3">
      <c r="A1015" s="63">
        <v>12</v>
      </c>
      <c r="B1015" s="65">
        <v>45740</v>
      </c>
      <c r="C1015" s="63">
        <v>2</v>
      </c>
      <c r="D1015" s="38" t="s">
        <v>179</v>
      </c>
      <c r="E1015" s="23" t="s">
        <v>144</v>
      </c>
      <c r="F1015" s="39">
        <v>11.0678</v>
      </c>
      <c r="G1015" s="64" t="s">
        <v>352</v>
      </c>
      <c r="H1015" s="70"/>
      <c r="BA1015" s="132" t="s">
        <v>15</v>
      </c>
      <c r="BB1015" s="4">
        <v>0</v>
      </c>
      <c r="BC1015">
        <v>0</v>
      </c>
    </row>
    <row r="1016" spans="1:55" x14ac:dyDescent="0.3">
      <c r="A1016" s="63">
        <v>13</v>
      </c>
      <c r="B1016" s="65">
        <v>45747</v>
      </c>
      <c r="C1016" s="63">
        <v>2</v>
      </c>
      <c r="D1016" s="38" t="s">
        <v>179</v>
      </c>
      <c r="E1016" s="23" t="s">
        <v>144</v>
      </c>
      <c r="F1016" s="39">
        <v>10.9588</v>
      </c>
      <c r="G1016" s="64" t="s">
        <v>352</v>
      </c>
      <c r="H1016" s="70"/>
      <c r="BA1016" s="132" t="s">
        <v>15</v>
      </c>
      <c r="BB1016" s="4">
        <v>0</v>
      </c>
      <c r="BC1016">
        <v>0</v>
      </c>
    </row>
    <row r="1017" spans="1:55" x14ac:dyDescent="0.3">
      <c r="A1017" s="63">
        <v>14</v>
      </c>
      <c r="B1017" s="65">
        <v>45754</v>
      </c>
      <c r="C1017" s="63">
        <v>2</v>
      </c>
      <c r="D1017" s="38" t="s">
        <v>179</v>
      </c>
      <c r="E1017" s="23" t="s">
        <v>144</v>
      </c>
      <c r="F1017" s="39">
        <v>10.464499999999999</v>
      </c>
      <c r="G1017" s="64" t="s">
        <v>352</v>
      </c>
      <c r="H1017" s="70"/>
      <c r="BA1017" s="132" t="s">
        <v>15</v>
      </c>
      <c r="BB1017" s="4">
        <v>0</v>
      </c>
      <c r="BC1017">
        <v>0</v>
      </c>
    </row>
    <row r="1018" spans="1:55" x14ac:dyDescent="0.3">
      <c r="A1018" s="63">
        <v>15</v>
      </c>
      <c r="B1018" s="65">
        <v>45761</v>
      </c>
      <c r="C1018" s="63">
        <v>2</v>
      </c>
      <c r="D1018" s="38" t="s">
        <v>179</v>
      </c>
      <c r="E1018" s="23" t="s">
        <v>144</v>
      </c>
      <c r="F1018" s="39">
        <v>10.9785</v>
      </c>
      <c r="G1018" s="64" t="s">
        <v>352</v>
      </c>
      <c r="H1018" s="70"/>
      <c r="BA1018" s="132" t="s">
        <v>15</v>
      </c>
      <c r="BB1018" s="4">
        <v>0</v>
      </c>
      <c r="BC1018">
        <v>0</v>
      </c>
    </row>
    <row r="1019" spans="1:55" x14ac:dyDescent="0.3">
      <c r="A1019" s="63">
        <v>16</v>
      </c>
      <c r="B1019" s="65">
        <v>45768</v>
      </c>
      <c r="C1019" s="63">
        <v>2</v>
      </c>
      <c r="D1019" s="38" t="s">
        <v>179</v>
      </c>
      <c r="E1019" s="23" t="s">
        <v>144</v>
      </c>
      <c r="F1019" s="39">
        <v>10.3315</v>
      </c>
      <c r="G1019" s="64" t="s">
        <v>352</v>
      </c>
      <c r="H1019" s="70"/>
      <c r="BA1019" s="132" t="s">
        <v>15</v>
      </c>
      <c r="BB1019" s="4">
        <v>0</v>
      </c>
      <c r="BC1019">
        <v>0</v>
      </c>
    </row>
    <row r="1020" spans="1:55" x14ac:dyDescent="0.3">
      <c r="A1020" s="63">
        <v>17</v>
      </c>
      <c r="B1020" s="65">
        <v>45775</v>
      </c>
      <c r="C1020" s="63">
        <v>2</v>
      </c>
      <c r="D1020" s="38" t="s">
        <v>179</v>
      </c>
      <c r="E1020" s="23" t="s">
        <v>144</v>
      </c>
      <c r="F1020" s="39">
        <v>11.172499999999999</v>
      </c>
      <c r="G1020" s="64" t="s">
        <v>352</v>
      </c>
      <c r="H1020" s="70"/>
      <c r="BA1020" s="132" t="s">
        <v>15</v>
      </c>
      <c r="BB1020" s="4">
        <v>0</v>
      </c>
      <c r="BC1020">
        <v>0</v>
      </c>
    </row>
    <row r="1021" spans="1:55" x14ac:dyDescent="0.3">
      <c r="A1021" s="63">
        <v>18</v>
      </c>
      <c r="B1021" s="65">
        <v>45782</v>
      </c>
      <c r="C1021" s="63">
        <v>2</v>
      </c>
      <c r="D1021" s="38" t="s">
        <v>179</v>
      </c>
      <c r="E1021" s="23" t="s">
        <v>144</v>
      </c>
      <c r="F1021" s="39">
        <v>10.816000000000001</v>
      </c>
      <c r="G1021" s="64" t="s">
        <v>352</v>
      </c>
      <c r="H1021" s="70"/>
      <c r="BA1021" s="132" t="s">
        <v>15</v>
      </c>
      <c r="BB1021" s="4">
        <v>0</v>
      </c>
      <c r="BC1021">
        <v>0</v>
      </c>
    </row>
    <row r="1022" spans="1:55" x14ac:dyDescent="0.3">
      <c r="A1022" s="63">
        <v>19</v>
      </c>
      <c r="B1022" s="65">
        <v>45789</v>
      </c>
      <c r="C1022" s="63">
        <v>2</v>
      </c>
      <c r="D1022" s="38" t="s">
        <v>179</v>
      </c>
      <c r="E1022" s="23" t="s">
        <v>144</v>
      </c>
      <c r="F1022" s="39">
        <v>10.8194</v>
      </c>
      <c r="G1022" s="64" t="s">
        <v>352</v>
      </c>
      <c r="H1022" s="70"/>
      <c r="BA1022" s="132" t="s">
        <v>15</v>
      </c>
      <c r="BB1022" s="4">
        <v>0</v>
      </c>
      <c r="BC1022">
        <v>0</v>
      </c>
    </row>
    <row r="1023" spans="1:55" x14ac:dyDescent="0.3">
      <c r="A1023" s="63">
        <v>20</v>
      </c>
      <c r="B1023" s="65">
        <v>45796</v>
      </c>
      <c r="C1023" s="63">
        <v>2</v>
      </c>
      <c r="D1023" s="38" t="s">
        <v>179</v>
      </c>
      <c r="E1023" s="23" t="s">
        <v>144</v>
      </c>
      <c r="F1023" s="39">
        <v>10.980499999999999</v>
      </c>
      <c r="G1023" s="64" t="s">
        <v>352</v>
      </c>
      <c r="H1023" s="70"/>
      <c r="BA1023" s="132" t="s">
        <v>15</v>
      </c>
      <c r="BB1023" s="4">
        <v>0</v>
      </c>
      <c r="BC1023">
        <v>0</v>
      </c>
    </row>
    <row r="1024" spans="1:55" x14ac:dyDescent="0.3">
      <c r="A1024" s="63">
        <v>21</v>
      </c>
      <c r="B1024" s="65">
        <v>45803</v>
      </c>
      <c r="C1024" s="63">
        <v>2</v>
      </c>
      <c r="D1024" s="38" t="s">
        <v>179</v>
      </c>
      <c r="E1024" s="23" t="s">
        <v>144</v>
      </c>
      <c r="F1024" s="39">
        <v>11.1403</v>
      </c>
      <c r="G1024" s="64" t="s">
        <v>352</v>
      </c>
      <c r="H1024" s="70"/>
      <c r="BA1024" s="132" t="s">
        <v>15</v>
      </c>
      <c r="BB1024" s="4">
        <v>0</v>
      </c>
      <c r="BC1024">
        <v>0</v>
      </c>
    </row>
    <row r="1025" spans="1:55" x14ac:dyDescent="0.3">
      <c r="A1025" s="63">
        <v>22</v>
      </c>
      <c r="B1025" s="65">
        <v>45810</v>
      </c>
      <c r="C1025" s="63">
        <v>2</v>
      </c>
      <c r="D1025" s="38" t="s">
        <v>179</v>
      </c>
      <c r="E1025" s="23" t="s">
        <v>144</v>
      </c>
      <c r="F1025" s="39">
        <v>10.5867</v>
      </c>
      <c r="G1025" s="64" t="s">
        <v>352</v>
      </c>
      <c r="H1025" s="70"/>
      <c r="BA1025" s="132" t="s">
        <v>15</v>
      </c>
      <c r="BB1025" s="4">
        <v>0</v>
      </c>
      <c r="BC1025">
        <v>0</v>
      </c>
    </row>
    <row r="1026" spans="1:55" x14ac:dyDescent="0.3">
      <c r="A1026" s="63">
        <v>23</v>
      </c>
      <c r="B1026" s="65">
        <v>45817</v>
      </c>
      <c r="C1026" s="63">
        <v>2</v>
      </c>
      <c r="D1026" s="38" t="s">
        <v>179</v>
      </c>
      <c r="E1026" s="23" t="s">
        <v>144</v>
      </c>
      <c r="F1026" s="39">
        <v>10.4839</v>
      </c>
      <c r="G1026" s="64" t="s">
        <v>352</v>
      </c>
      <c r="H1026" s="70"/>
      <c r="BA1026" s="132" t="s">
        <v>15</v>
      </c>
      <c r="BB1026" s="4">
        <v>0</v>
      </c>
      <c r="BC1026">
        <v>0</v>
      </c>
    </row>
    <row r="1027" spans="1:55" x14ac:dyDescent="0.3">
      <c r="A1027" s="63">
        <v>24</v>
      </c>
      <c r="B1027" s="65">
        <v>45824</v>
      </c>
      <c r="C1027" s="63">
        <v>2</v>
      </c>
      <c r="D1027" s="38" t="s">
        <v>179</v>
      </c>
      <c r="E1027" s="23" t="s">
        <v>144</v>
      </c>
      <c r="F1027" s="39">
        <v>10.7056</v>
      </c>
      <c r="G1027" s="64" t="s">
        <v>352</v>
      </c>
      <c r="H1027" s="70"/>
      <c r="BA1027" s="132" t="s">
        <v>15</v>
      </c>
      <c r="BB1027" s="4">
        <v>0</v>
      </c>
      <c r="BC1027">
        <v>0</v>
      </c>
    </row>
    <row r="1028" spans="1:55" x14ac:dyDescent="0.3">
      <c r="A1028" s="63">
        <v>25</v>
      </c>
      <c r="B1028" s="65">
        <v>45831</v>
      </c>
      <c r="C1028" s="63">
        <v>2</v>
      </c>
      <c r="D1028" s="38" t="s">
        <v>179</v>
      </c>
      <c r="E1028" s="23" t="s">
        <v>144</v>
      </c>
      <c r="F1028" s="39">
        <v>10.3887</v>
      </c>
      <c r="G1028" s="64" t="s">
        <v>352</v>
      </c>
      <c r="H1028" s="70"/>
      <c r="BA1028" s="132" t="s">
        <v>15</v>
      </c>
      <c r="BB1028" s="4">
        <v>0</v>
      </c>
      <c r="BC1028">
        <v>0</v>
      </c>
    </row>
    <row r="1029" spans="1:55" x14ac:dyDescent="0.3">
      <c r="A1029" s="63">
        <v>1</v>
      </c>
      <c r="B1029" s="65">
        <v>45663</v>
      </c>
      <c r="C1029" s="63">
        <v>3</v>
      </c>
      <c r="D1029" s="38" t="s">
        <v>180</v>
      </c>
      <c r="E1029" s="23" t="s">
        <v>144</v>
      </c>
      <c r="F1029" s="39">
        <v>11.5524</v>
      </c>
      <c r="G1029" s="64" t="s">
        <v>352</v>
      </c>
      <c r="H1029" s="70"/>
      <c r="BA1029" s="132" t="s">
        <v>15</v>
      </c>
      <c r="BB1029" s="4">
        <v>0</v>
      </c>
      <c r="BC1029">
        <v>0</v>
      </c>
    </row>
    <row r="1030" spans="1:55" x14ac:dyDescent="0.3">
      <c r="A1030" s="63">
        <v>2</v>
      </c>
      <c r="B1030" s="65">
        <v>45670</v>
      </c>
      <c r="C1030" s="63">
        <v>3</v>
      </c>
      <c r="D1030" s="38" t="s">
        <v>180</v>
      </c>
      <c r="E1030" s="23" t="s">
        <v>144</v>
      </c>
      <c r="F1030" s="39">
        <v>12.407999999999999</v>
      </c>
      <c r="G1030" s="64" t="s">
        <v>352</v>
      </c>
      <c r="H1030" s="70"/>
      <c r="BA1030" s="132" t="s">
        <v>15</v>
      </c>
      <c r="BB1030" s="4">
        <v>0</v>
      </c>
      <c r="BC1030">
        <v>0</v>
      </c>
    </row>
    <row r="1031" spans="1:55" x14ac:dyDescent="0.3">
      <c r="A1031" s="63">
        <v>3</v>
      </c>
      <c r="B1031" s="65">
        <v>45677</v>
      </c>
      <c r="C1031" s="63">
        <v>3</v>
      </c>
      <c r="D1031" s="38" t="s">
        <v>180</v>
      </c>
      <c r="E1031" s="23" t="s">
        <v>144</v>
      </c>
      <c r="F1031" s="39">
        <v>11.522399999999999</v>
      </c>
      <c r="G1031" s="64" t="s">
        <v>352</v>
      </c>
      <c r="H1031" s="70"/>
      <c r="BA1031" s="132" t="s">
        <v>15</v>
      </c>
      <c r="BB1031" s="4">
        <v>0</v>
      </c>
      <c r="BC1031">
        <v>0</v>
      </c>
    </row>
    <row r="1032" spans="1:55" x14ac:dyDescent="0.3">
      <c r="A1032" s="63">
        <v>4</v>
      </c>
      <c r="B1032" s="65">
        <v>45684</v>
      </c>
      <c r="C1032" s="63">
        <v>3</v>
      </c>
      <c r="D1032" s="38" t="s">
        <v>180</v>
      </c>
      <c r="E1032" s="23" t="s">
        <v>144</v>
      </c>
      <c r="F1032" s="39">
        <v>12.0938</v>
      </c>
      <c r="G1032" s="64" t="s">
        <v>352</v>
      </c>
      <c r="H1032" s="70"/>
      <c r="BA1032" s="132" t="s">
        <v>15</v>
      </c>
      <c r="BB1032" s="4">
        <v>0</v>
      </c>
      <c r="BC1032">
        <v>0</v>
      </c>
    </row>
    <row r="1033" spans="1:55" x14ac:dyDescent="0.3">
      <c r="A1033" s="63">
        <v>5</v>
      </c>
      <c r="B1033" s="65">
        <v>45691</v>
      </c>
      <c r="C1033" s="63">
        <v>3</v>
      </c>
      <c r="D1033" s="38" t="s">
        <v>180</v>
      </c>
      <c r="E1033" s="23" t="s">
        <v>144</v>
      </c>
      <c r="F1033" s="39">
        <v>11.417</v>
      </c>
      <c r="G1033" s="64" t="s">
        <v>352</v>
      </c>
      <c r="H1033" s="70"/>
      <c r="BA1033" s="132" t="s">
        <v>15</v>
      </c>
      <c r="BB1033" s="4">
        <v>0</v>
      </c>
      <c r="BC1033">
        <v>0</v>
      </c>
    </row>
    <row r="1034" spans="1:55" x14ac:dyDescent="0.3">
      <c r="A1034" s="63">
        <v>6</v>
      </c>
      <c r="B1034" s="65">
        <v>45698</v>
      </c>
      <c r="C1034" s="63">
        <v>3</v>
      </c>
      <c r="D1034" s="38" t="s">
        <v>180</v>
      </c>
      <c r="E1034" s="23" t="s">
        <v>144</v>
      </c>
      <c r="F1034" s="39">
        <v>11.975899999999999</v>
      </c>
      <c r="G1034" s="64" t="s">
        <v>352</v>
      </c>
      <c r="H1034" s="70"/>
      <c r="BA1034" s="132" t="s">
        <v>15</v>
      </c>
      <c r="BB1034" s="4">
        <v>0</v>
      </c>
      <c r="BC1034">
        <v>0</v>
      </c>
    </row>
    <row r="1035" spans="1:55" x14ac:dyDescent="0.3">
      <c r="A1035" s="63">
        <v>7</v>
      </c>
      <c r="B1035" s="65">
        <v>45705</v>
      </c>
      <c r="C1035" s="63">
        <v>3</v>
      </c>
      <c r="D1035" s="38" t="s">
        <v>180</v>
      </c>
      <c r="E1035" s="23" t="s">
        <v>144</v>
      </c>
      <c r="F1035" s="39">
        <v>11.7689</v>
      </c>
      <c r="G1035" s="64" t="s">
        <v>352</v>
      </c>
      <c r="H1035" s="70"/>
      <c r="BA1035" s="132" t="s">
        <v>15</v>
      </c>
      <c r="BB1035" s="4">
        <v>0</v>
      </c>
      <c r="BC1035">
        <v>0</v>
      </c>
    </row>
    <row r="1036" spans="1:55" x14ac:dyDescent="0.3">
      <c r="A1036" s="63">
        <v>8</v>
      </c>
      <c r="B1036" s="65">
        <v>45712</v>
      </c>
      <c r="C1036" s="63">
        <v>3</v>
      </c>
      <c r="D1036" s="38" t="s">
        <v>180</v>
      </c>
      <c r="E1036" s="23" t="s">
        <v>144</v>
      </c>
      <c r="F1036" s="39">
        <v>11.8559</v>
      </c>
      <c r="G1036" s="64" t="s">
        <v>352</v>
      </c>
      <c r="H1036" s="70"/>
      <c r="BA1036" s="132" t="s">
        <v>15</v>
      </c>
      <c r="BB1036" s="4">
        <v>0</v>
      </c>
      <c r="BC1036">
        <v>0</v>
      </c>
    </row>
    <row r="1037" spans="1:55" x14ac:dyDescent="0.3">
      <c r="A1037" s="63">
        <v>9</v>
      </c>
      <c r="B1037" s="65">
        <v>45719</v>
      </c>
      <c r="C1037" s="63">
        <v>3</v>
      </c>
      <c r="D1037" s="38" t="s">
        <v>180</v>
      </c>
      <c r="E1037" s="23" t="s">
        <v>144</v>
      </c>
      <c r="F1037" s="39">
        <v>12.0661</v>
      </c>
      <c r="G1037" s="64" t="s">
        <v>352</v>
      </c>
      <c r="H1037" s="70"/>
      <c r="BA1037" s="132" t="s">
        <v>15</v>
      </c>
      <c r="BB1037" s="4">
        <v>0</v>
      </c>
      <c r="BC1037">
        <v>0</v>
      </c>
    </row>
    <row r="1038" spans="1:55" x14ac:dyDescent="0.3">
      <c r="A1038" s="63">
        <v>10</v>
      </c>
      <c r="B1038" s="65">
        <v>45726</v>
      </c>
      <c r="C1038" s="63">
        <v>3</v>
      </c>
      <c r="D1038" s="38" t="s">
        <v>180</v>
      </c>
      <c r="E1038" s="23" t="s">
        <v>144</v>
      </c>
      <c r="F1038" s="39">
        <v>12.4633</v>
      </c>
      <c r="G1038" s="64" t="s">
        <v>352</v>
      </c>
      <c r="H1038" s="70"/>
      <c r="BA1038" s="132" t="s">
        <v>15</v>
      </c>
      <c r="BB1038" s="4">
        <v>0</v>
      </c>
      <c r="BC1038">
        <v>0</v>
      </c>
    </row>
    <row r="1039" spans="1:55" x14ac:dyDescent="0.3">
      <c r="A1039" s="63">
        <v>11</v>
      </c>
      <c r="B1039" s="65">
        <v>45733</v>
      </c>
      <c r="C1039" s="63">
        <v>3</v>
      </c>
      <c r="D1039" s="38" t="s">
        <v>180</v>
      </c>
      <c r="E1039" s="23" t="s">
        <v>144</v>
      </c>
      <c r="F1039" s="39">
        <v>11.941000000000001</v>
      </c>
      <c r="G1039" s="64" t="s">
        <v>352</v>
      </c>
      <c r="H1039" s="70"/>
      <c r="BA1039" s="132" t="s">
        <v>15</v>
      </c>
      <c r="BB1039" s="4">
        <v>0</v>
      </c>
      <c r="BC1039">
        <v>0</v>
      </c>
    </row>
    <row r="1040" spans="1:55" x14ac:dyDescent="0.3">
      <c r="A1040" s="63">
        <v>12</v>
      </c>
      <c r="B1040" s="65">
        <v>45740</v>
      </c>
      <c r="C1040" s="63">
        <v>3</v>
      </c>
      <c r="D1040" s="38" t="s">
        <v>180</v>
      </c>
      <c r="E1040" s="23" t="s">
        <v>144</v>
      </c>
      <c r="F1040" s="39">
        <v>11.9175</v>
      </c>
      <c r="G1040" s="64" t="s">
        <v>352</v>
      </c>
      <c r="H1040" s="70"/>
      <c r="BA1040" s="132" t="s">
        <v>15</v>
      </c>
      <c r="BB1040" s="4">
        <v>0</v>
      </c>
      <c r="BC1040">
        <v>0</v>
      </c>
    </row>
    <row r="1041" spans="1:55" x14ac:dyDescent="0.3">
      <c r="A1041" s="63">
        <v>13</v>
      </c>
      <c r="B1041" s="65">
        <v>45747</v>
      </c>
      <c r="C1041" s="63">
        <v>3</v>
      </c>
      <c r="D1041" s="38" t="s">
        <v>180</v>
      </c>
      <c r="E1041" s="23" t="s">
        <v>144</v>
      </c>
      <c r="F1041" s="39">
        <v>11.5503</v>
      </c>
      <c r="G1041" s="64" t="s">
        <v>352</v>
      </c>
      <c r="H1041" s="70"/>
      <c r="BA1041" s="132" t="s">
        <v>15</v>
      </c>
      <c r="BB1041" s="4">
        <v>0</v>
      </c>
      <c r="BC1041">
        <v>0</v>
      </c>
    </row>
    <row r="1042" spans="1:55" x14ac:dyDescent="0.3">
      <c r="A1042" s="63">
        <v>14</v>
      </c>
      <c r="B1042" s="65">
        <v>45754</v>
      </c>
      <c r="C1042" s="63">
        <v>3</v>
      </c>
      <c r="D1042" s="38" t="s">
        <v>180</v>
      </c>
      <c r="E1042" s="23" t="s">
        <v>144</v>
      </c>
      <c r="F1042" s="39">
        <v>12.071</v>
      </c>
      <c r="G1042" s="64" t="s">
        <v>352</v>
      </c>
      <c r="H1042" s="70"/>
      <c r="BA1042" s="132" t="s">
        <v>15</v>
      </c>
      <c r="BB1042" s="4">
        <v>0</v>
      </c>
      <c r="BC1042">
        <v>0</v>
      </c>
    </row>
    <row r="1043" spans="1:55" x14ac:dyDescent="0.3">
      <c r="A1043" s="63">
        <v>15</v>
      </c>
      <c r="B1043" s="65">
        <v>45761</v>
      </c>
      <c r="C1043" s="63">
        <v>3</v>
      </c>
      <c r="D1043" s="38" t="s">
        <v>180</v>
      </c>
      <c r="E1043" s="23" t="s">
        <v>144</v>
      </c>
      <c r="F1043" s="39">
        <v>11.7935</v>
      </c>
      <c r="G1043" s="64" t="s">
        <v>352</v>
      </c>
      <c r="H1043" s="70"/>
      <c r="BA1043" s="132" t="s">
        <v>15</v>
      </c>
      <c r="BB1043" s="4">
        <v>0</v>
      </c>
      <c r="BC1043">
        <v>0</v>
      </c>
    </row>
    <row r="1044" spans="1:55" x14ac:dyDescent="0.3">
      <c r="A1044" s="63">
        <v>16</v>
      </c>
      <c r="B1044" s="65">
        <v>45768</v>
      </c>
      <c r="C1044" s="63">
        <v>3</v>
      </c>
      <c r="D1044" s="38" t="s">
        <v>180</v>
      </c>
      <c r="E1044" s="23" t="s">
        <v>144</v>
      </c>
      <c r="F1044" s="39">
        <v>12.154199999999999</v>
      </c>
      <c r="G1044" s="64" t="s">
        <v>352</v>
      </c>
      <c r="H1044" s="70"/>
      <c r="BA1044" s="132" t="s">
        <v>15</v>
      </c>
      <c r="BB1044" s="4">
        <v>0</v>
      </c>
      <c r="BC1044">
        <v>0</v>
      </c>
    </row>
    <row r="1045" spans="1:55" x14ac:dyDescent="0.3">
      <c r="A1045" s="63">
        <v>17</v>
      </c>
      <c r="B1045" s="65">
        <v>45775</v>
      </c>
      <c r="C1045" s="63">
        <v>3</v>
      </c>
      <c r="D1045" s="38" t="s">
        <v>180</v>
      </c>
      <c r="E1045" s="23" t="s">
        <v>144</v>
      </c>
      <c r="F1045" s="39">
        <v>11.8612</v>
      </c>
      <c r="G1045" s="64" t="s">
        <v>352</v>
      </c>
      <c r="H1045" s="70"/>
      <c r="BA1045" s="132" t="s">
        <v>15</v>
      </c>
      <c r="BB1045" s="4">
        <v>0</v>
      </c>
      <c r="BC1045">
        <v>0</v>
      </c>
    </row>
    <row r="1046" spans="1:55" x14ac:dyDescent="0.3">
      <c r="A1046" s="63">
        <v>18</v>
      </c>
      <c r="B1046" s="65">
        <v>45782</v>
      </c>
      <c r="C1046" s="63">
        <v>3</v>
      </c>
      <c r="D1046" s="38" t="s">
        <v>180</v>
      </c>
      <c r="E1046" s="23" t="s">
        <v>144</v>
      </c>
      <c r="F1046" s="39">
        <v>12.4582</v>
      </c>
      <c r="G1046" s="64" t="s">
        <v>352</v>
      </c>
      <c r="H1046" s="70"/>
      <c r="BA1046" s="132" t="s">
        <v>15</v>
      </c>
      <c r="BB1046" s="4">
        <v>0</v>
      </c>
      <c r="BC1046">
        <v>0</v>
      </c>
    </row>
    <row r="1047" spans="1:55" x14ac:dyDescent="0.3">
      <c r="A1047" s="63">
        <v>19</v>
      </c>
      <c r="B1047" s="65">
        <v>45789</v>
      </c>
      <c r="C1047" s="63">
        <v>3</v>
      </c>
      <c r="D1047" s="38" t="s">
        <v>180</v>
      </c>
      <c r="E1047" s="23" t="s">
        <v>144</v>
      </c>
      <c r="F1047" s="39">
        <v>11.2126</v>
      </c>
      <c r="G1047" s="64" t="s">
        <v>352</v>
      </c>
      <c r="H1047" s="70"/>
      <c r="BA1047" s="132" t="s">
        <v>15</v>
      </c>
      <c r="BB1047" s="4">
        <v>0</v>
      </c>
      <c r="BC1047">
        <v>0</v>
      </c>
    </row>
    <row r="1048" spans="1:55" x14ac:dyDescent="0.3">
      <c r="A1048" s="63">
        <v>20</v>
      </c>
      <c r="B1048" s="65">
        <v>45796</v>
      </c>
      <c r="C1048" s="63">
        <v>3</v>
      </c>
      <c r="D1048" s="38" t="s">
        <v>180</v>
      </c>
      <c r="E1048" s="23" t="s">
        <v>144</v>
      </c>
      <c r="F1048" s="39">
        <v>11.7766</v>
      </c>
      <c r="G1048" s="64" t="s">
        <v>352</v>
      </c>
      <c r="H1048" s="70"/>
      <c r="BA1048" s="132" t="s">
        <v>15</v>
      </c>
      <c r="BB1048" s="4">
        <v>0</v>
      </c>
      <c r="BC1048">
        <v>0</v>
      </c>
    </row>
    <row r="1049" spans="1:55" x14ac:dyDescent="0.3">
      <c r="A1049" s="63">
        <v>21</v>
      </c>
      <c r="B1049" s="65">
        <v>45803</v>
      </c>
      <c r="C1049" s="63">
        <v>3</v>
      </c>
      <c r="D1049" s="38" t="s">
        <v>180</v>
      </c>
      <c r="E1049" s="23" t="s">
        <v>144</v>
      </c>
      <c r="F1049" s="39">
        <v>12.1707</v>
      </c>
      <c r="G1049" s="64" t="s">
        <v>352</v>
      </c>
      <c r="H1049" s="70"/>
      <c r="BA1049" s="132" t="s">
        <v>15</v>
      </c>
      <c r="BB1049" s="4">
        <v>0</v>
      </c>
      <c r="BC1049">
        <v>0</v>
      </c>
    </row>
    <row r="1050" spans="1:55" x14ac:dyDescent="0.3">
      <c r="A1050" s="63">
        <v>22</v>
      </c>
      <c r="B1050" s="65">
        <v>45810</v>
      </c>
      <c r="C1050" s="63">
        <v>3</v>
      </c>
      <c r="D1050" s="38" t="s">
        <v>180</v>
      </c>
      <c r="E1050" s="23" t="s">
        <v>144</v>
      </c>
      <c r="F1050" s="39">
        <v>11.758599999999999</v>
      </c>
      <c r="G1050" s="64" t="s">
        <v>352</v>
      </c>
      <c r="H1050" s="70"/>
      <c r="BA1050" s="132" t="s">
        <v>15</v>
      </c>
      <c r="BB1050" s="4">
        <v>0</v>
      </c>
      <c r="BC1050">
        <v>0</v>
      </c>
    </row>
    <row r="1051" spans="1:55" x14ac:dyDescent="0.3">
      <c r="A1051" s="63">
        <v>23</v>
      </c>
      <c r="B1051" s="65">
        <v>45817</v>
      </c>
      <c r="C1051" s="63">
        <v>3</v>
      </c>
      <c r="D1051" s="38" t="s">
        <v>180</v>
      </c>
      <c r="E1051" s="23" t="s">
        <v>144</v>
      </c>
      <c r="F1051" s="39">
        <v>11.610900000000001</v>
      </c>
      <c r="G1051" s="64" t="s">
        <v>352</v>
      </c>
      <c r="H1051" s="70"/>
      <c r="BA1051" s="132" t="s">
        <v>15</v>
      </c>
      <c r="BB1051" s="4">
        <v>0</v>
      </c>
      <c r="BC1051">
        <v>0</v>
      </c>
    </row>
    <row r="1052" spans="1:55" x14ac:dyDescent="0.3">
      <c r="A1052" s="63">
        <v>24</v>
      </c>
      <c r="B1052" s="65">
        <v>45824</v>
      </c>
      <c r="C1052" s="63">
        <v>3</v>
      </c>
      <c r="D1052" s="38" t="s">
        <v>180</v>
      </c>
      <c r="E1052" s="23" t="s">
        <v>144</v>
      </c>
      <c r="F1052" s="39">
        <v>11.786899999999999</v>
      </c>
      <c r="G1052" s="64" t="s">
        <v>352</v>
      </c>
      <c r="H1052" s="70"/>
      <c r="BA1052" s="132" t="s">
        <v>15</v>
      </c>
      <c r="BB1052" s="4">
        <v>0</v>
      </c>
      <c r="BC1052">
        <v>0</v>
      </c>
    </row>
    <row r="1053" spans="1:55" x14ac:dyDescent="0.3">
      <c r="A1053" s="63">
        <v>25</v>
      </c>
      <c r="B1053" s="65">
        <v>45831</v>
      </c>
      <c r="C1053" s="63">
        <v>3</v>
      </c>
      <c r="D1053" s="38" t="s">
        <v>180</v>
      </c>
      <c r="E1053" s="23" t="s">
        <v>144</v>
      </c>
      <c r="F1053" s="39">
        <v>11.414300000000001</v>
      </c>
      <c r="G1053" s="64" t="s">
        <v>352</v>
      </c>
      <c r="H1053" s="70"/>
      <c r="BA1053" s="132" t="s">
        <v>15</v>
      </c>
      <c r="BB1053" s="4">
        <v>0</v>
      </c>
      <c r="BC1053">
        <v>0</v>
      </c>
    </row>
    <row r="1054" spans="1:55" x14ac:dyDescent="0.3">
      <c r="A1054" s="63">
        <v>1</v>
      </c>
      <c r="B1054" s="65">
        <v>45663</v>
      </c>
      <c r="C1054" s="63">
        <v>1</v>
      </c>
      <c r="D1054" s="38" t="s">
        <v>178</v>
      </c>
      <c r="E1054" s="23" t="s">
        <v>145</v>
      </c>
      <c r="F1054" s="39">
        <v>5.2445000000000004</v>
      </c>
      <c r="G1054" s="64" t="s">
        <v>352</v>
      </c>
      <c r="H1054" s="70"/>
      <c r="BA1054" s="132" t="s">
        <v>15</v>
      </c>
      <c r="BB1054" s="4">
        <v>1</v>
      </c>
      <c r="BC1054">
        <v>0</v>
      </c>
    </row>
    <row r="1055" spans="1:55" x14ac:dyDescent="0.3">
      <c r="A1055" s="63">
        <v>2</v>
      </c>
      <c r="B1055" s="65">
        <v>45670</v>
      </c>
      <c r="C1055" s="63">
        <v>1</v>
      </c>
      <c r="D1055" s="38" t="s">
        <v>178</v>
      </c>
      <c r="E1055" s="23" t="s">
        <v>145</v>
      </c>
      <c r="F1055" s="39">
        <v>6.5773000000000001</v>
      </c>
      <c r="G1055" s="64" t="s">
        <v>352</v>
      </c>
      <c r="H1055" s="70"/>
      <c r="BA1055" s="132" t="s">
        <v>15</v>
      </c>
      <c r="BB1055" s="4">
        <v>1</v>
      </c>
      <c r="BC1055">
        <v>0</v>
      </c>
    </row>
    <row r="1056" spans="1:55" x14ac:dyDescent="0.3">
      <c r="A1056" s="63">
        <v>3</v>
      </c>
      <c r="B1056" s="65">
        <v>45677</v>
      </c>
      <c r="C1056" s="63">
        <v>1</v>
      </c>
      <c r="D1056" s="38" t="s">
        <v>178</v>
      </c>
      <c r="E1056" s="23" t="s">
        <v>145</v>
      </c>
      <c r="F1056" s="39">
        <v>5.8335999999999997</v>
      </c>
      <c r="G1056" s="64" t="s">
        <v>352</v>
      </c>
      <c r="H1056" s="70"/>
      <c r="BA1056" s="132" t="s">
        <v>15</v>
      </c>
      <c r="BB1056" s="4">
        <v>1</v>
      </c>
      <c r="BC1056">
        <v>0</v>
      </c>
    </row>
    <row r="1057" spans="1:55" x14ac:dyDescent="0.3">
      <c r="A1057" s="63">
        <v>4</v>
      </c>
      <c r="B1057" s="65">
        <v>45684</v>
      </c>
      <c r="C1057" s="63">
        <v>1</v>
      </c>
      <c r="D1057" s="38" t="s">
        <v>178</v>
      </c>
      <c r="E1057" s="23" t="s">
        <v>145</v>
      </c>
      <c r="F1057" s="39">
        <v>4.5395000000000003</v>
      </c>
      <c r="G1057" s="64" t="s">
        <v>352</v>
      </c>
      <c r="H1057" s="70"/>
      <c r="BA1057" s="132" t="s">
        <v>15</v>
      </c>
      <c r="BB1057" s="4">
        <v>1</v>
      </c>
      <c r="BC1057">
        <v>0</v>
      </c>
    </row>
    <row r="1058" spans="1:55" x14ac:dyDescent="0.3">
      <c r="A1058" s="63">
        <v>5</v>
      </c>
      <c r="B1058" s="65">
        <v>45691</v>
      </c>
      <c r="C1058" s="63">
        <v>1</v>
      </c>
      <c r="D1058" s="38" t="s">
        <v>178</v>
      </c>
      <c r="E1058" s="23" t="s">
        <v>145</v>
      </c>
      <c r="F1058" s="39">
        <v>4.6748000000000003</v>
      </c>
      <c r="G1058" s="64" t="s">
        <v>352</v>
      </c>
      <c r="H1058" s="70"/>
      <c r="BA1058" s="132" t="s">
        <v>15</v>
      </c>
      <c r="BB1058" s="4">
        <v>1</v>
      </c>
      <c r="BC1058">
        <v>0</v>
      </c>
    </row>
    <row r="1059" spans="1:55" x14ac:dyDescent="0.3">
      <c r="A1059" s="63">
        <v>6</v>
      </c>
      <c r="B1059" s="65">
        <v>45698</v>
      </c>
      <c r="C1059" s="63">
        <v>1</v>
      </c>
      <c r="D1059" s="38" t="s">
        <v>178</v>
      </c>
      <c r="E1059" s="23" t="s">
        <v>145</v>
      </c>
      <c r="F1059" s="39">
        <v>4.9438000000000004</v>
      </c>
      <c r="G1059" s="64" t="s">
        <v>352</v>
      </c>
      <c r="H1059" s="70"/>
      <c r="BA1059" s="132" t="s">
        <v>15</v>
      </c>
      <c r="BB1059" s="4">
        <v>1</v>
      </c>
      <c r="BC1059">
        <v>0</v>
      </c>
    </row>
    <row r="1060" spans="1:55" x14ac:dyDescent="0.3">
      <c r="A1060" s="63">
        <v>7</v>
      </c>
      <c r="B1060" s="65">
        <v>45705</v>
      </c>
      <c r="C1060" s="63">
        <v>1</v>
      </c>
      <c r="D1060" s="38" t="s">
        <v>178</v>
      </c>
      <c r="E1060" s="23" t="s">
        <v>145</v>
      </c>
      <c r="F1060" s="39">
        <v>5.7529000000000003</v>
      </c>
      <c r="G1060" s="64" t="s">
        <v>352</v>
      </c>
      <c r="H1060" s="70"/>
      <c r="BA1060" s="132" t="s">
        <v>15</v>
      </c>
      <c r="BB1060" s="4">
        <v>1</v>
      </c>
      <c r="BC1060">
        <v>0</v>
      </c>
    </row>
    <row r="1061" spans="1:55" x14ac:dyDescent="0.3">
      <c r="A1061" s="63">
        <v>8</v>
      </c>
      <c r="B1061" s="65">
        <v>45712</v>
      </c>
      <c r="C1061" s="63">
        <v>1</v>
      </c>
      <c r="D1061" s="38" t="s">
        <v>178</v>
      </c>
      <c r="E1061" s="23" t="s">
        <v>145</v>
      </c>
      <c r="F1061" s="39">
        <v>4.7046000000000001</v>
      </c>
      <c r="G1061" s="64" t="s">
        <v>352</v>
      </c>
      <c r="H1061" s="70"/>
      <c r="BA1061" s="132" t="s">
        <v>15</v>
      </c>
      <c r="BB1061" s="4">
        <v>1</v>
      </c>
      <c r="BC1061">
        <v>0</v>
      </c>
    </row>
    <row r="1062" spans="1:55" x14ac:dyDescent="0.3">
      <c r="A1062" s="63">
        <v>9</v>
      </c>
      <c r="B1062" s="65">
        <v>45719</v>
      </c>
      <c r="C1062" s="63">
        <v>1</v>
      </c>
      <c r="D1062" s="38" t="s">
        <v>178</v>
      </c>
      <c r="E1062" s="23" t="s">
        <v>145</v>
      </c>
      <c r="F1062" s="39">
        <v>4.7798999999999996</v>
      </c>
      <c r="G1062" s="64" t="s">
        <v>352</v>
      </c>
      <c r="H1062" s="70"/>
      <c r="BA1062" s="132" t="s">
        <v>15</v>
      </c>
      <c r="BB1062" s="4">
        <v>1</v>
      </c>
      <c r="BC1062">
        <v>0</v>
      </c>
    </row>
    <row r="1063" spans="1:55" x14ac:dyDescent="0.3">
      <c r="A1063" s="63">
        <v>10</v>
      </c>
      <c r="B1063" s="65">
        <v>45726</v>
      </c>
      <c r="C1063" s="63">
        <v>1</v>
      </c>
      <c r="D1063" s="38" t="s">
        <v>178</v>
      </c>
      <c r="E1063" s="23" t="s">
        <v>145</v>
      </c>
      <c r="F1063" s="39">
        <v>5.6841999999999997</v>
      </c>
      <c r="G1063" s="64" t="s">
        <v>352</v>
      </c>
      <c r="H1063" s="70"/>
      <c r="BA1063" s="132" t="s">
        <v>15</v>
      </c>
      <c r="BB1063" s="4">
        <v>1</v>
      </c>
      <c r="BC1063">
        <v>0</v>
      </c>
    </row>
    <row r="1064" spans="1:55" x14ac:dyDescent="0.3">
      <c r="A1064" s="63">
        <v>11</v>
      </c>
      <c r="B1064" s="65">
        <v>45733</v>
      </c>
      <c r="C1064" s="63">
        <v>1</v>
      </c>
      <c r="D1064" s="38" t="s">
        <v>178</v>
      </c>
      <c r="E1064" s="23" t="s">
        <v>145</v>
      </c>
      <c r="F1064" s="39">
        <v>5.6726000000000001</v>
      </c>
      <c r="G1064" s="64" t="s">
        <v>352</v>
      </c>
      <c r="H1064" s="70"/>
      <c r="BA1064" s="132" t="s">
        <v>15</v>
      </c>
      <c r="BB1064" s="4">
        <v>1</v>
      </c>
      <c r="BC1064">
        <v>0</v>
      </c>
    </row>
    <row r="1065" spans="1:55" x14ac:dyDescent="0.3">
      <c r="A1065" s="63">
        <v>12</v>
      </c>
      <c r="B1065" s="65">
        <v>45740</v>
      </c>
      <c r="C1065" s="63">
        <v>1</v>
      </c>
      <c r="D1065" s="38" t="s">
        <v>178</v>
      </c>
      <c r="E1065" s="23" t="s">
        <v>145</v>
      </c>
      <c r="F1065" s="39">
        <v>4.9615999999999998</v>
      </c>
      <c r="G1065" s="64" t="s">
        <v>352</v>
      </c>
      <c r="H1065" s="70"/>
      <c r="BA1065" s="132" t="s">
        <v>15</v>
      </c>
      <c r="BB1065" s="4">
        <v>1</v>
      </c>
      <c r="BC1065">
        <v>0</v>
      </c>
    </row>
    <row r="1066" spans="1:55" x14ac:dyDescent="0.3">
      <c r="A1066" s="63">
        <v>13</v>
      </c>
      <c r="B1066" s="65">
        <v>45747</v>
      </c>
      <c r="C1066" s="63">
        <v>1</v>
      </c>
      <c r="D1066" s="38" t="s">
        <v>178</v>
      </c>
      <c r="E1066" s="23" t="s">
        <v>145</v>
      </c>
      <c r="F1066" s="39">
        <v>4.5345000000000004</v>
      </c>
      <c r="G1066" s="64" t="s">
        <v>352</v>
      </c>
      <c r="H1066" s="70"/>
      <c r="BA1066" s="132" t="s">
        <v>15</v>
      </c>
      <c r="BB1066" s="4">
        <v>1</v>
      </c>
      <c r="BC1066">
        <v>0</v>
      </c>
    </row>
    <row r="1067" spans="1:55" x14ac:dyDescent="0.3">
      <c r="A1067" s="63">
        <v>14</v>
      </c>
      <c r="B1067" s="65">
        <v>45754</v>
      </c>
      <c r="C1067" s="63">
        <v>1</v>
      </c>
      <c r="D1067" s="38" t="s">
        <v>178</v>
      </c>
      <c r="E1067" s="23" t="s">
        <v>145</v>
      </c>
      <c r="F1067" s="39">
        <v>4.2865000000000002</v>
      </c>
      <c r="G1067" s="64" t="s">
        <v>352</v>
      </c>
      <c r="H1067" s="70"/>
      <c r="BA1067" s="132" t="s">
        <v>15</v>
      </c>
      <c r="BB1067" s="4">
        <v>1</v>
      </c>
      <c r="BC1067">
        <v>0</v>
      </c>
    </row>
    <row r="1068" spans="1:55" x14ac:dyDescent="0.3">
      <c r="A1068" s="63">
        <v>15</v>
      </c>
      <c r="B1068" s="65">
        <v>45761</v>
      </c>
      <c r="C1068" s="63">
        <v>1</v>
      </c>
      <c r="D1068" s="38" t="s">
        <v>178</v>
      </c>
      <c r="E1068" s="23" t="s">
        <v>145</v>
      </c>
      <c r="F1068" s="39">
        <v>4.7748999999999997</v>
      </c>
      <c r="G1068" s="64" t="s">
        <v>352</v>
      </c>
      <c r="H1068" s="70"/>
      <c r="BA1068" s="132" t="s">
        <v>15</v>
      </c>
      <c r="BB1068" s="4">
        <v>1</v>
      </c>
      <c r="BC1068">
        <v>0</v>
      </c>
    </row>
    <row r="1069" spans="1:55" x14ac:dyDescent="0.3">
      <c r="A1069" s="63">
        <v>16</v>
      </c>
      <c r="B1069" s="65">
        <v>45768</v>
      </c>
      <c r="C1069" s="63">
        <v>1</v>
      </c>
      <c r="D1069" s="38" t="s">
        <v>178</v>
      </c>
      <c r="E1069" s="23" t="s">
        <v>145</v>
      </c>
      <c r="F1069" s="39">
        <v>3.8956</v>
      </c>
      <c r="G1069" s="64" t="s">
        <v>352</v>
      </c>
      <c r="H1069" s="70"/>
      <c r="BA1069" s="132" t="s">
        <v>15</v>
      </c>
      <c r="BB1069" s="4">
        <v>1</v>
      </c>
      <c r="BC1069">
        <v>0</v>
      </c>
    </row>
    <row r="1070" spans="1:55" x14ac:dyDescent="0.3">
      <c r="A1070" s="63">
        <v>17</v>
      </c>
      <c r="B1070" s="65">
        <v>45775</v>
      </c>
      <c r="C1070" s="63">
        <v>1</v>
      </c>
      <c r="D1070" s="38" t="s">
        <v>178</v>
      </c>
      <c r="E1070" s="23" t="s">
        <v>145</v>
      </c>
      <c r="F1070" s="39">
        <v>5.6067</v>
      </c>
      <c r="G1070" s="64" t="s">
        <v>352</v>
      </c>
      <c r="H1070" s="70"/>
      <c r="BA1070" s="132" t="s">
        <v>15</v>
      </c>
      <c r="BB1070" s="4">
        <v>1</v>
      </c>
      <c r="BC1070">
        <v>0</v>
      </c>
    </row>
    <row r="1071" spans="1:55" x14ac:dyDescent="0.3">
      <c r="A1071" s="63">
        <v>18</v>
      </c>
      <c r="B1071" s="65">
        <v>45782</v>
      </c>
      <c r="C1071" s="63">
        <v>1</v>
      </c>
      <c r="D1071" s="38" t="s">
        <v>178</v>
      </c>
      <c r="E1071" s="23" t="s">
        <v>145</v>
      </c>
      <c r="F1071" s="39">
        <v>4.8144999999999998</v>
      </c>
      <c r="G1071" s="64" t="s">
        <v>352</v>
      </c>
      <c r="H1071" s="70"/>
      <c r="BA1071" s="132" t="s">
        <v>15</v>
      </c>
      <c r="BB1071" s="4">
        <v>1</v>
      </c>
      <c r="BC1071">
        <v>0</v>
      </c>
    </row>
    <row r="1072" spans="1:55" x14ac:dyDescent="0.3">
      <c r="A1072" s="63">
        <v>19</v>
      </c>
      <c r="B1072" s="65">
        <v>45789</v>
      </c>
      <c r="C1072" s="63">
        <v>1</v>
      </c>
      <c r="D1072" s="38" t="s">
        <v>178</v>
      </c>
      <c r="E1072" s="23" t="s">
        <v>145</v>
      </c>
      <c r="F1072" s="39">
        <v>5.4524999999999997</v>
      </c>
      <c r="G1072" s="64" t="s">
        <v>352</v>
      </c>
      <c r="H1072" s="70"/>
      <c r="BA1072" s="132" t="s">
        <v>15</v>
      </c>
      <c r="BB1072" s="4">
        <v>1</v>
      </c>
      <c r="BC1072">
        <v>0</v>
      </c>
    </row>
    <row r="1073" spans="1:55" x14ac:dyDescent="0.3">
      <c r="A1073" s="63">
        <v>20</v>
      </c>
      <c r="B1073" s="65">
        <v>45796</v>
      </c>
      <c r="C1073" s="63">
        <v>1</v>
      </c>
      <c r="D1073" s="38" t="s">
        <v>178</v>
      </c>
      <c r="E1073" s="23" t="s">
        <v>145</v>
      </c>
      <c r="F1073" s="39">
        <v>6.2488999999999999</v>
      </c>
      <c r="G1073" s="64" t="s">
        <v>352</v>
      </c>
      <c r="H1073" s="70"/>
      <c r="BA1073" s="132" t="s">
        <v>15</v>
      </c>
      <c r="BB1073" s="4">
        <v>1</v>
      </c>
      <c r="BC1073">
        <v>0</v>
      </c>
    </row>
    <row r="1074" spans="1:55" x14ac:dyDescent="0.3">
      <c r="A1074" s="63">
        <v>21</v>
      </c>
      <c r="B1074" s="65">
        <v>45803</v>
      </c>
      <c r="C1074" s="63">
        <v>1</v>
      </c>
      <c r="D1074" s="38" t="s">
        <v>178</v>
      </c>
      <c r="E1074" s="23" t="s">
        <v>145</v>
      </c>
      <c r="F1074" s="39">
        <v>5.8497000000000003</v>
      </c>
      <c r="G1074" s="64" t="s">
        <v>352</v>
      </c>
      <c r="H1074" s="70"/>
      <c r="BA1074" s="132" t="s">
        <v>15</v>
      </c>
      <c r="BB1074" s="4">
        <v>1</v>
      </c>
      <c r="BC1074">
        <v>0</v>
      </c>
    </row>
    <row r="1075" spans="1:55" x14ac:dyDescent="0.3">
      <c r="A1075" s="63">
        <v>22</v>
      </c>
      <c r="B1075" s="65">
        <v>45810</v>
      </c>
      <c r="C1075" s="63">
        <v>1</v>
      </c>
      <c r="D1075" s="38" t="s">
        <v>178</v>
      </c>
      <c r="E1075" s="23" t="s">
        <v>145</v>
      </c>
      <c r="F1075" s="39">
        <v>4.5152999999999999</v>
      </c>
      <c r="G1075" s="64" t="s">
        <v>352</v>
      </c>
      <c r="H1075" s="70"/>
      <c r="BA1075" s="132" t="s">
        <v>15</v>
      </c>
      <c r="BB1075" s="4">
        <v>1</v>
      </c>
      <c r="BC1075">
        <v>0</v>
      </c>
    </row>
    <row r="1076" spans="1:55" x14ac:dyDescent="0.3">
      <c r="A1076" s="63">
        <v>23</v>
      </c>
      <c r="B1076" s="65">
        <v>45817</v>
      </c>
      <c r="C1076" s="63">
        <v>1</v>
      </c>
      <c r="D1076" s="38" t="s">
        <v>178</v>
      </c>
      <c r="E1076" s="23" t="s">
        <v>145</v>
      </c>
      <c r="F1076" s="39">
        <v>5.6753</v>
      </c>
      <c r="G1076" s="64" t="s">
        <v>352</v>
      </c>
      <c r="H1076" s="70"/>
      <c r="BA1076" s="132" t="s">
        <v>15</v>
      </c>
      <c r="BB1076" s="4">
        <v>1</v>
      </c>
      <c r="BC1076">
        <v>0</v>
      </c>
    </row>
    <row r="1077" spans="1:55" x14ac:dyDescent="0.3">
      <c r="A1077" s="63">
        <v>24</v>
      </c>
      <c r="B1077" s="65">
        <v>45824</v>
      </c>
      <c r="C1077" s="63">
        <v>1</v>
      </c>
      <c r="D1077" s="38" t="s">
        <v>178</v>
      </c>
      <c r="E1077" s="23" t="s">
        <v>145</v>
      </c>
      <c r="F1077" s="39">
        <v>5.8410000000000002</v>
      </c>
      <c r="G1077" s="64" t="s">
        <v>352</v>
      </c>
      <c r="H1077" s="70"/>
      <c r="BA1077" s="132" t="s">
        <v>15</v>
      </c>
      <c r="BB1077" s="4">
        <v>1</v>
      </c>
      <c r="BC1077">
        <v>0</v>
      </c>
    </row>
    <row r="1078" spans="1:55" x14ac:dyDescent="0.3">
      <c r="A1078" s="63">
        <v>25</v>
      </c>
      <c r="B1078" s="65">
        <v>45831</v>
      </c>
      <c r="C1078" s="63">
        <v>1</v>
      </c>
      <c r="D1078" s="38" t="s">
        <v>178</v>
      </c>
      <c r="E1078" s="23" t="s">
        <v>145</v>
      </c>
      <c r="F1078" s="39">
        <v>4.7477</v>
      </c>
      <c r="G1078" s="64" t="s">
        <v>352</v>
      </c>
      <c r="H1078" s="70"/>
      <c r="BA1078" s="132" t="s">
        <v>15</v>
      </c>
      <c r="BB1078" s="4">
        <v>1</v>
      </c>
      <c r="BC1078">
        <v>0</v>
      </c>
    </row>
    <row r="1079" spans="1:55" x14ac:dyDescent="0.3">
      <c r="A1079" s="63">
        <v>1</v>
      </c>
      <c r="B1079" s="65">
        <v>45663</v>
      </c>
      <c r="C1079" s="63">
        <v>2</v>
      </c>
      <c r="D1079" s="38" t="s">
        <v>179</v>
      </c>
      <c r="E1079" s="23" t="s">
        <v>145</v>
      </c>
      <c r="F1079" s="39">
        <v>5.9568000000000003</v>
      </c>
      <c r="G1079" s="64" t="s">
        <v>352</v>
      </c>
      <c r="H1079" s="70"/>
      <c r="BA1079" s="132" t="s">
        <v>15</v>
      </c>
      <c r="BB1079" s="4">
        <v>0</v>
      </c>
      <c r="BC1079">
        <v>0</v>
      </c>
    </row>
    <row r="1080" spans="1:55" x14ac:dyDescent="0.3">
      <c r="A1080" s="63">
        <v>2</v>
      </c>
      <c r="B1080" s="65">
        <v>45670</v>
      </c>
      <c r="C1080" s="63">
        <v>2</v>
      </c>
      <c r="D1080" s="38" t="s">
        <v>179</v>
      </c>
      <c r="E1080" s="23" t="s">
        <v>145</v>
      </c>
      <c r="F1080" s="39">
        <v>6.1841999999999997</v>
      </c>
      <c r="G1080" s="64" t="s">
        <v>352</v>
      </c>
      <c r="H1080" s="70"/>
      <c r="BA1080" s="132" t="s">
        <v>15</v>
      </c>
      <c r="BB1080" s="4">
        <v>0</v>
      </c>
      <c r="BC1080">
        <v>0</v>
      </c>
    </row>
    <row r="1081" spans="1:55" x14ac:dyDescent="0.3">
      <c r="A1081" s="63">
        <v>3</v>
      </c>
      <c r="B1081" s="65">
        <v>45677</v>
      </c>
      <c r="C1081" s="63">
        <v>2</v>
      </c>
      <c r="D1081" s="38" t="s">
        <v>179</v>
      </c>
      <c r="E1081" s="23" t="s">
        <v>145</v>
      </c>
      <c r="F1081" s="39">
        <v>5.7820999999999998</v>
      </c>
      <c r="G1081" s="64" t="s">
        <v>352</v>
      </c>
      <c r="H1081" s="70"/>
      <c r="BA1081" s="132" t="s">
        <v>15</v>
      </c>
      <c r="BB1081" s="4">
        <v>0</v>
      </c>
      <c r="BC1081">
        <v>0</v>
      </c>
    </row>
    <row r="1082" spans="1:55" x14ac:dyDescent="0.3">
      <c r="A1082" s="63">
        <v>4</v>
      </c>
      <c r="B1082" s="65">
        <v>45684</v>
      </c>
      <c r="C1082" s="63">
        <v>2</v>
      </c>
      <c r="D1082" s="38" t="s">
        <v>179</v>
      </c>
      <c r="E1082" s="23" t="s">
        <v>145</v>
      </c>
      <c r="F1082" s="39">
        <v>6.6101999999999999</v>
      </c>
      <c r="G1082" s="64" t="s">
        <v>352</v>
      </c>
      <c r="H1082" s="70"/>
      <c r="BA1082" s="132" t="s">
        <v>15</v>
      </c>
      <c r="BB1082" s="4">
        <v>0</v>
      </c>
      <c r="BC1082">
        <v>0</v>
      </c>
    </row>
    <row r="1083" spans="1:55" x14ac:dyDescent="0.3">
      <c r="A1083" s="63">
        <v>5</v>
      </c>
      <c r="B1083" s="65">
        <v>45691</v>
      </c>
      <c r="C1083" s="63">
        <v>2</v>
      </c>
      <c r="D1083" s="38" t="s">
        <v>179</v>
      </c>
      <c r="E1083" s="23" t="s">
        <v>145</v>
      </c>
      <c r="F1083" s="39">
        <v>5.5654000000000003</v>
      </c>
      <c r="G1083" s="64" t="s">
        <v>352</v>
      </c>
      <c r="H1083" s="70"/>
      <c r="BA1083" s="132" t="s">
        <v>15</v>
      </c>
      <c r="BB1083" s="4">
        <v>0</v>
      </c>
      <c r="BC1083">
        <v>0</v>
      </c>
    </row>
    <row r="1084" spans="1:55" x14ac:dyDescent="0.3">
      <c r="A1084" s="63">
        <v>6</v>
      </c>
      <c r="B1084" s="65">
        <v>45698</v>
      </c>
      <c r="C1084" s="63">
        <v>2</v>
      </c>
      <c r="D1084" s="38" t="s">
        <v>179</v>
      </c>
      <c r="E1084" s="23" t="s">
        <v>145</v>
      </c>
      <c r="F1084" s="39">
        <v>5.9154</v>
      </c>
      <c r="G1084" s="64" t="s">
        <v>352</v>
      </c>
      <c r="H1084" s="70"/>
      <c r="BA1084" s="132" t="s">
        <v>15</v>
      </c>
      <c r="BB1084" s="4">
        <v>0</v>
      </c>
      <c r="BC1084">
        <v>0</v>
      </c>
    </row>
    <row r="1085" spans="1:55" x14ac:dyDescent="0.3">
      <c r="A1085" s="63">
        <v>7</v>
      </c>
      <c r="B1085" s="65">
        <v>45705</v>
      </c>
      <c r="C1085" s="63">
        <v>2</v>
      </c>
      <c r="D1085" s="38" t="s">
        <v>179</v>
      </c>
      <c r="E1085" s="23" t="s">
        <v>145</v>
      </c>
      <c r="F1085" s="39">
        <v>6.1410999999999998</v>
      </c>
      <c r="G1085" s="64" t="s">
        <v>352</v>
      </c>
      <c r="H1085" s="70"/>
      <c r="BA1085" s="132" t="s">
        <v>15</v>
      </c>
      <c r="BB1085" s="4">
        <v>0</v>
      </c>
      <c r="BC1085">
        <v>0</v>
      </c>
    </row>
    <row r="1086" spans="1:55" x14ac:dyDescent="0.3">
      <c r="A1086" s="63">
        <v>8</v>
      </c>
      <c r="B1086" s="65">
        <v>45712</v>
      </c>
      <c r="C1086" s="63">
        <v>2</v>
      </c>
      <c r="D1086" s="38" t="s">
        <v>179</v>
      </c>
      <c r="E1086" s="23" t="s">
        <v>145</v>
      </c>
      <c r="F1086" s="39">
        <v>6.1525999999999996</v>
      </c>
      <c r="G1086" s="64" t="s">
        <v>352</v>
      </c>
      <c r="H1086" s="70"/>
      <c r="BA1086" s="132" t="s">
        <v>15</v>
      </c>
      <c r="BB1086" s="4">
        <v>0</v>
      </c>
      <c r="BC1086">
        <v>0</v>
      </c>
    </row>
    <row r="1087" spans="1:55" x14ac:dyDescent="0.3">
      <c r="A1087" s="63">
        <v>9</v>
      </c>
      <c r="B1087" s="65">
        <v>45719</v>
      </c>
      <c r="C1087" s="63">
        <v>2</v>
      </c>
      <c r="D1087" s="38" t="s">
        <v>179</v>
      </c>
      <c r="E1087" s="23" t="s">
        <v>145</v>
      </c>
      <c r="F1087" s="39">
        <v>6.2586000000000004</v>
      </c>
      <c r="G1087" s="64" t="s">
        <v>352</v>
      </c>
      <c r="H1087" s="70"/>
      <c r="BA1087" s="132" t="s">
        <v>15</v>
      </c>
      <c r="BB1087" s="4">
        <v>0</v>
      </c>
      <c r="BC1087">
        <v>0</v>
      </c>
    </row>
    <row r="1088" spans="1:55" x14ac:dyDescent="0.3">
      <c r="A1088" s="63">
        <v>10</v>
      </c>
      <c r="B1088" s="65">
        <v>45726</v>
      </c>
      <c r="C1088" s="63">
        <v>2</v>
      </c>
      <c r="D1088" s="38" t="s">
        <v>179</v>
      </c>
      <c r="E1088" s="23" t="s">
        <v>145</v>
      </c>
      <c r="F1088" s="39">
        <v>6.2869999999999999</v>
      </c>
      <c r="G1088" s="64" t="s">
        <v>352</v>
      </c>
      <c r="H1088" s="70"/>
      <c r="BA1088" s="132" t="s">
        <v>15</v>
      </c>
      <c r="BB1088" s="4">
        <v>0</v>
      </c>
      <c r="BC1088">
        <v>0</v>
      </c>
    </row>
    <row r="1089" spans="1:55" x14ac:dyDescent="0.3">
      <c r="A1089" s="63">
        <v>11</v>
      </c>
      <c r="B1089" s="65">
        <v>45733</v>
      </c>
      <c r="C1089" s="63">
        <v>2</v>
      </c>
      <c r="D1089" s="38" t="s">
        <v>179</v>
      </c>
      <c r="E1089" s="23" t="s">
        <v>145</v>
      </c>
      <c r="F1089" s="39">
        <v>6.1562000000000001</v>
      </c>
      <c r="G1089" s="64" t="s">
        <v>352</v>
      </c>
      <c r="H1089" s="70"/>
      <c r="BA1089" s="132" t="s">
        <v>15</v>
      </c>
      <c r="BB1089" s="4">
        <v>0</v>
      </c>
      <c r="BC1089">
        <v>0</v>
      </c>
    </row>
    <row r="1090" spans="1:55" x14ac:dyDescent="0.3">
      <c r="A1090" s="63">
        <v>12</v>
      </c>
      <c r="B1090" s="65">
        <v>45740</v>
      </c>
      <c r="C1090" s="63">
        <v>2</v>
      </c>
      <c r="D1090" s="38" t="s">
        <v>179</v>
      </c>
      <c r="E1090" s="23" t="s">
        <v>145</v>
      </c>
      <c r="F1090" s="39">
        <v>6.5202</v>
      </c>
      <c r="G1090" s="64" t="s">
        <v>352</v>
      </c>
      <c r="H1090" s="70"/>
      <c r="BA1090" s="132" t="s">
        <v>15</v>
      </c>
      <c r="BB1090" s="4">
        <v>0</v>
      </c>
      <c r="BC1090">
        <v>0</v>
      </c>
    </row>
    <row r="1091" spans="1:55" x14ac:dyDescent="0.3">
      <c r="A1091" s="63">
        <v>13</v>
      </c>
      <c r="B1091" s="65">
        <v>45747</v>
      </c>
      <c r="C1091" s="63">
        <v>2</v>
      </c>
      <c r="D1091" s="38" t="s">
        <v>179</v>
      </c>
      <c r="E1091" s="23" t="s">
        <v>145</v>
      </c>
      <c r="F1091" s="39">
        <v>5.6371000000000002</v>
      </c>
      <c r="G1091" s="64" t="s">
        <v>352</v>
      </c>
      <c r="H1091" s="70"/>
      <c r="BA1091" s="132" t="s">
        <v>15</v>
      </c>
      <c r="BB1091" s="4">
        <v>0</v>
      </c>
      <c r="BC1091">
        <v>0</v>
      </c>
    </row>
    <row r="1092" spans="1:55" x14ac:dyDescent="0.3">
      <c r="A1092" s="63">
        <v>14</v>
      </c>
      <c r="B1092" s="65">
        <v>45754</v>
      </c>
      <c r="C1092" s="63">
        <v>2</v>
      </c>
      <c r="D1092" s="38" t="s">
        <v>179</v>
      </c>
      <c r="E1092" s="23" t="s">
        <v>145</v>
      </c>
      <c r="F1092" s="39">
        <v>6.2137000000000002</v>
      </c>
      <c r="G1092" s="64" t="s">
        <v>352</v>
      </c>
      <c r="H1092" s="70"/>
      <c r="BA1092" s="132" t="s">
        <v>15</v>
      </c>
      <c r="BB1092" s="4">
        <v>0</v>
      </c>
      <c r="BC1092">
        <v>0</v>
      </c>
    </row>
    <row r="1093" spans="1:55" x14ac:dyDescent="0.3">
      <c r="A1093" s="63">
        <v>15</v>
      </c>
      <c r="B1093" s="65">
        <v>45761</v>
      </c>
      <c r="C1093" s="63">
        <v>2</v>
      </c>
      <c r="D1093" s="38" t="s">
        <v>179</v>
      </c>
      <c r="E1093" s="23" t="s">
        <v>145</v>
      </c>
      <c r="F1093" s="39">
        <v>6.0212000000000003</v>
      </c>
      <c r="G1093" s="64" t="s">
        <v>352</v>
      </c>
      <c r="H1093" s="70"/>
      <c r="BA1093" s="132" t="s">
        <v>15</v>
      </c>
      <c r="BB1093" s="4">
        <v>0</v>
      </c>
      <c r="BC1093">
        <v>0</v>
      </c>
    </row>
    <row r="1094" spans="1:55" x14ac:dyDescent="0.3">
      <c r="A1094" s="63">
        <v>16</v>
      </c>
      <c r="B1094" s="65">
        <v>45768</v>
      </c>
      <c r="C1094" s="63">
        <v>2</v>
      </c>
      <c r="D1094" s="38" t="s">
        <v>179</v>
      </c>
      <c r="E1094" s="23" t="s">
        <v>145</v>
      </c>
      <c r="F1094" s="39">
        <v>6.2495000000000003</v>
      </c>
      <c r="G1094" s="64" t="s">
        <v>352</v>
      </c>
      <c r="H1094" s="70"/>
      <c r="BA1094" s="132" t="s">
        <v>15</v>
      </c>
      <c r="BB1094" s="4">
        <v>0</v>
      </c>
      <c r="BC1094">
        <v>0</v>
      </c>
    </row>
    <row r="1095" spans="1:55" x14ac:dyDescent="0.3">
      <c r="A1095" s="63">
        <v>17</v>
      </c>
      <c r="B1095" s="65">
        <v>45775</v>
      </c>
      <c r="C1095" s="63">
        <v>2</v>
      </c>
      <c r="D1095" s="38" t="s">
        <v>179</v>
      </c>
      <c r="E1095" s="23" t="s">
        <v>145</v>
      </c>
      <c r="F1095" s="39">
        <v>6.2732999999999999</v>
      </c>
      <c r="G1095" s="64" t="s">
        <v>352</v>
      </c>
      <c r="H1095" s="70"/>
      <c r="BA1095" s="132" t="s">
        <v>15</v>
      </c>
      <c r="BB1095" s="4">
        <v>0</v>
      </c>
      <c r="BC1095">
        <v>0</v>
      </c>
    </row>
    <row r="1096" spans="1:55" x14ac:dyDescent="0.3">
      <c r="A1096" s="63">
        <v>18</v>
      </c>
      <c r="B1096" s="65">
        <v>45782</v>
      </c>
      <c r="C1096" s="63">
        <v>2</v>
      </c>
      <c r="D1096" s="38" t="s">
        <v>179</v>
      </c>
      <c r="E1096" s="23" t="s">
        <v>145</v>
      </c>
      <c r="F1096" s="39">
        <v>5.968</v>
      </c>
      <c r="G1096" s="64" t="s">
        <v>352</v>
      </c>
      <c r="H1096" s="70"/>
      <c r="BA1096" s="132" t="s">
        <v>15</v>
      </c>
      <c r="BB1096" s="4">
        <v>0</v>
      </c>
      <c r="BC1096">
        <v>0</v>
      </c>
    </row>
    <row r="1097" spans="1:55" x14ac:dyDescent="0.3">
      <c r="A1097" s="63">
        <v>19</v>
      </c>
      <c r="B1097" s="65">
        <v>45789</v>
      </c>
      <c r="C1097" s="63">
        <v>2</v>
      </c>
      <c r="D1097" s="38" t="s">
        <v>179</v>
      </c>
      <c r="E1097" s="23" t="s">
        <v>145</v>
      </c>
      <c r="F1097" s="39">
        <v>6.0410000000000004</v>
      </c>
      <c r="G1097" s="64" t="s">
        <v>352</v>
      </c>
      <c r="H1097" s="70"/>
      <c r="BA1097" s="132" t="s">
        <v>15</v>
      </c>
      <c r="BB1097" s="4">
        <v>0</v>
      </c>
      <c r="BC1097">
        <v>0</v>
      </c>
    </row>
    <row r="1098" spans="1:55" x14ac:dyDescent="0.3">
      <c r="A1098" s="63">
        <v>20</v>
      </c>
      <c r="B1098" s="65">
        <v>45796</v>
      </c>
      <c r="C1098" s="63">
        <v>2</v>
      </c>
      <c r="D1098" s="38" t="s">
        <v>179</v>
      </c>
      <c r="E1098" s="23" t="s">
        <v>145</v>
      </c>
      <c r="F1098" s="39">
        <v>6.4273999999999996</v>
      </c>
      <c r="G1098" s="64" t="s">
        <v>352</v>
      </c>
      <c r="H1098" s="70"/>
      <c r="BA1098" s="132" t="s">
        <v>15</v>
      </c>
      <c r="BB1098" s="4">
        <v>0</v>
      </c>
      <c r="BC1098">
        <v>0</v>
      </c>
    </row>
    <row r="1099" spans="1:55" x14ac:dyDescent="0.3">
      <c r="A1099" s="63">
        <v>21</v>
      </c>
      <c r="B1099" s="65">
        <v>45803</v>
      </c>
      <c r="C1099" s="63">
        <v>2</v>
      </c>
      <c r="D1099" s="38" t="s">
        <v>179</v>
      </c>
      <c r="E1099" s="23" t="s">
        <v>145</v>
      </c>
      <c r="F1099" s="39">
        <v>6.3079000000000001</v>
      </c>
      <c r="G1099" s="64" t="s">
        <v>352</v>
      </c>
      <c r="H1099" s="70"/>
      <c r="BA1099" s="132" t="s">
        <v>15</v>
      </c>
      <c r="BB1099" s="4">
        <v>0</v>
      </c>
      <c r="BC1099">
        <v>0</v>
      </c>
    </row>
    <row r="1100" spans="1:55" x14ac:dyDescent="0.3">
      <c r="A1100" s="63">
        <v>22</v>
      </c>
      <c r="B1100" s="65">
        <v>45810</v>
      </c>
      <c r="C1100" s="63">
        <v>2</v>
      </c>
      <c r="D1100" s="38" t="s">
        <v>179</v>
      </c>
      <c r="E1100" s="23" t="s">
        <v>145</v>
      </c>
      <c r="F1100" s="39">
        <v>6.0304000000000002</v>
      </c>
      <c r="G1100" s="64" t="s">
        <v>352</v>
      </c>
      <c r="H1100" s="70"/>
      <c r="BA1100" s="132" t="s">
        <v>15</v>
      </c>
      <c r="BB1100" s="4">
        <v>0</v>
      </c>
      <c r="BC1100">
        <v>0</v>
      </c>
    </row>
    <row r="1101" spans="1:55" x14ac:dyDescent="0.3">
      <c r="A1101" s="63">
        <v>23</v>
      </c>
      <c r="B1101" s="65">
        <v>45817</v>
      </c>
      <c r="C1101" s="63">
        <v>2</v>
      </c>
      <c r="D1101" s="38" t="s">
        <v>179</v>
      </c>
      <c r="E1101" s="23" t="s">
        <v>145</v>
      </c>
      <c r="F1101" s="39">
        <v>6.7637</v>
      </c>
      <c r="G1101" s="64" t="s">
        <v>352</v>
      </c>
      <c r="H1101" s="70"/>
      <c r="BA1101" s="132" t="s">
        <v>15</v>
      </c>
      <c r="BB1101" s="4">
        <v>0</v>
      </c>
      <c r="BC1101">
        <v>0</v>
      </c>
    </row>
    <row r="1102" spans="1:55" x14ac:dyDescent="0.3">
      <c r="A1102" s="63">
        <v>24</v>
      </c>
      <c r="B1102" s="65">
        <v>45824</v>
      </c>
      <c r="C1102" s="63">
        <v>2</v>
      </c>
      <c r="D1102" s="38" t="s">
        <v>179</v>
      </c>
      <c r="E1102" s="23" t="s">
        <v>145</v>
      </c>
      <c r="F1102" s="39">
        <v>6.8361999999999998</v>
      </c>
      <c r="G1102" s="64" t="s">
        <v>352</v>
      </c>
      <c r="H1102" s="70"/>
      <c r="BA1102" s="132" t="s">
        <v>15</v>
      </c>
      <c r="BB1102" s="4">
        <v>0</v>
      </c>
      <c r="BC1102">
        <v>0</v>
      </c>
    </row>
    <row r="1103" spans="1:55" x14ac:dyDescent="0.3">
      <c r="A1103" s="63">
        <v>25</v>
      </c>
      <c r="B1103" s="65">
        <v>45831</v>
      </c>
      <c r="C1103" s="63">
        <v>2</v>
      </c>
      <c r="D1103" s="38" t="s">
        <v>179</v>
      </c>
      <c r="E1103" s="23" t="s">
        <v>145</v>
      </c>
      <c r="F1103" s="39">
        <v>5.8196000000000003</v>
      </c>
      <c r="G1103" s="64" t="s">
        <v>352</v>
      </c>
      <c r="H1103" s="70"/>
      <c r="BA1103" s="132" t="s">
        <v>15</v>
      </c>
      <c r="BB1103" s="4">
        <v>0</v>
      </c>
      <c r="BC1103">
        <v>0</v>
      </c>
    </row>
    <row r="1104" spans="1:55" x14ac:dyDescent="0.3">
      <c r="A1104" s="63">
        <v>1</v>
      </c>
      <c r="B1104" s="65">
        <v>45663</v>
      </c>
      <c r="C1104" s="63">
        <v>3</v>
      </c>
      <c r="D1104" s="38" t="s">
        <v>180</v>
      </c>
      <c r="E1104" s="23" t="s">
        <v>145</v>
      </c>
      <c r="F1104" s="39">
        <v>6.6714000000000002</v>
      </c>
      <c r="G1104" s="64" t="s">
        <v>352</v>
      </c>
      <c r="H1104" s="70"/>
      <c r="BA1104" s="132" t="s">
        <v>15</v>
      </c>
      <c r="BB1104" s="4">
        <v>0</v>
      </c>
      <c r="BC1104">
        <v>0</v>
      </c>
    </row>
    <row r="1105" spans="1:55" x14ac:dyDescent="0.3">
      <c r="A1105" s="63">
        <v>2</v>
      </c>
      <c r="B1105" s="65">
        <v>45670</v>
      </c>
      <c r="C1105" s="63">
        <v>3</v>
      </c>
      <c r="D1105" s="38" t="s">
        <v>180</v>
      </c>
      <c r="E1105" s="23" t="s">
        <v>145</v>
      </c>
      <c r="F1105" s="39">
        <v>7.1430999999999996</v>
      </c>
      <c r="G1105" s="64" t="s">
        <v>352</v>
      </c>
      <c r="H1105" s="70"/>
      <c r="BA1105" s="132" t="s">
        <v>15</v>
      </c>
      <c r="BB1105" s="4">
        <v>0</v>
      </c>
      <c r="BC1105">
        <v>0</v>
      </c>
    </row>
    <row r="1106" spans="1:55" x14ac:dyDescent="0.3">
      <c r="A1106" s="63">
        <v>3</v>
      </c>
      <c r="B1106" s="65">
        <v>45677</v>
      </c>
      <c r="C1106" s="63">
        <v>3</v>
      </c>
      <c r="D1106" s="38" t="s">
        <v>180</v>
      </c>
      <c r="E1106" s="23" t="s">
        <v>145</v>
      </c>
      <c r="F1106" s="39">
        <v>6.7744</v>
      </c>
      <c r="G1106" s="64" t="s">
        <v>352</v>
      </c>
      <c r="H1106" s="70"/>
      <c r="BA1106" s="132" t="s">
        <v>15</v>
      </c>
      <c r="BB1106" s="4">
        <v>0</v>
      </c>
      <c r="BC1106">
        <v>0</v>
      </c>
    </row>
    <row r="1107" spans="1:55" x14ac:dyDescent="0.3">
      <c r="A1107" s="63">
        <v>4</v>
      </c>
      <c r="B1107" s="65">
        <v>45684</v>
      </c>
      <c r="C1107" s="63">
        <v>3</v>
      </c>
      <c r="D1107" s="38" t="s">
        <v>180</v>
      </c>
      <c r="E1107" s="23" t="s">
        <v>145</v>
      </c>
      <c r="F1107" s="39">
        <v>6.6540999999999997</v>
      </c>
      <c r="G1107" s="64" t="s">
        <v>352</v>
      </c>
      <c r="H1107" s="70"/>
      <c r="BA1107" s="132" t="s">
        <v>15</v>
      </c>
      <c r="BB1107" s="4">
        <v>0</v>
      </c>
      <c r="BC1107">
        <v>0</v>
      </c>
    </row>
    <row r="1108" spans="1:55" x14ac:dyDescent="0.3">
      <c r="A1108" s="63">
        <v>5</v>
      </c>
      <c r="B1108" s="65">
        <v>45691</v>
      </c>
      <c r="C1108" s="63">
        <v>3</v>
      </c>
      <c r="D1108" s="38" t="s">
        <v>180</v>
      </c>
      <c r="E1108" s="23" t="s">
        <v>145</v>
      </c>
      <c r="F1108" s="39">
        <v>6.5624000000000002</v>
      </c>
      <c r="G1108" s="64" t="s">
        <v>352</v>
      </c>
      <c r="H1108" s="70"/>
      <c r="BA1108" s="132" t="s">
        <v>15</v>
      </c>
      <c r="BB1108" s="4">
        <v>0</v>
      </c>
      <c r="BC1108">
        <v>0</v>
      </c>
    </row>
    <row r="1109" spans="1:55" x14ac:dyDescent="0.3">
      <c r="A1109" s="63">
        <v>6</v>
      </c>
      <c r="B1109" s="65">
        <v>45698</v>
      </c>
      <c r="C1109" s="63">
        <v>3</v>
      </c>
      <c r="D1109" s="38" t="s">
        <v>180</v>
      </c>
      <c r="E1109" s="23" t="s">
        <v>145</v>
      </c>
      <c r="F1109" s="39">
        <v>6.4912000000000001</v>
      </c>
      <c r="G1109" s="64" t="s">
        <v>352</v>
      </c>
      <c r="H1109" s="70"/>
      <c r="BA1109" s="132" t="s">
        <v>15</v>
      </c>
      <c r="BB1109" s="4">
        <v>0</v>
      </c>
      <c r="BC1109">
        <v>0</v>
      </c>
    </row>
    <row r="1110" spans="1:55" x14ac:dyDescent="0.3">
      <c r="A1110" s="63">
        <v>7</v>
      </c>
      <c r="B1110" s="65">
        <v>45705</v>
      </c>
      <c r="C1110" s="63">
        <v>3</v>
      </c>
      <c r="D1110" s="38" t="s">
        <v>180</v>
      </c>
      <c r="E1110" s="23" t="s">
        <v>145</v>
      </c>
      <c r="F1110" s="39">
        <v>6.5614999999999997</v>
      </c>
      <c r="G1110" s="64" t="s">
        <v>352</v>
      </c>
      <c r="H1110" s="70"/>
      <c r="BA1110" s="132" t="s">
        <v>15</v>
      </c>
      <c r="BB1110" s="4">
        <v>0</v>
      </c>
      <c r="BC1110">
        <v>0</v>
      </c>
    </row>
    <row r="1111" spans="1:55" x14ac:dyDescent="0.3">
      <c r="A1111" s="63">
        <v>8</v>
      </c>
      <c r="B1111" s="65">
        <v>45712</v>
      </c>
      <c r="C1111" s="63">
        <v>3</v>
      </c>
      <c r="D1111" s="38" t="s">
        <v>180</v>
      </c>
      <c r="E1111" s="23" t="s">
        <v>145</v>
      </c>
      <c r="F1111" s="39">
        <v>6.4892000000000003</v>
      </c>
      <c r="G1111" s="64" t="s">
        <v>352</v>
      </c>
      <c r="H1111" s="70"/>
      <c r="BA1111" s="132" t="s">
        <v>15</v>
      </c>
      <c r="BB1111" s="4">
        <v>0</v>
      </c>
      <c r="BC1111">
        <v>0</v>
      </c>
    </row>
    <row r="1112" spans="1:55" x14ac:dyDescent="0.3">
      <c r="A1112" s="63">
        <v>9</v>
      </c>
      <c r="B1112" s="65">
        <v>45719</v>
      </c>
      <c r="C1112" s="63">
        <v>3</v>
      </c>
      <c r="D1112" s="38" t="s">
        <v>180</v>
      </c>
      <c r="E1112" s="23" t="s">
        <v>145</v>
      </c>
      <c r="F1112" s="39">
        <v>6.7660999999999998</v>
      </c>
      <c r="G1112" s="64" t="s">
        <v>352</v>
      </c>
      <c r="H1112" s="70"/>
      <c r="BA1112" s="132" t="s">
        <v>15</v>
      </c>
      <c r="BB1112" s="4">
        <v>0</v>
      </c>
      <c r="BC1112">
        <v>0</v>
      </c>
    </row>
    <row r="1113" spans="1:55" x14ac:dyDescent="0.3">
      <c r="A1113" s="63">
        <v>10</v>
      </c>
      <c r="B1113" s="65">
        <v>45726</v>
      </c>
      <c r="C1113" s="63">
        <v>3</v>
      </c>
      <c r="D1113" s="38" t="s">
        <v>180</v>
      </c>
      <c r="E1113" s="23" t="s">
        <v>145</v>
      </c>
      <c r="F1113" s="39">
        <v>6.5217999999999998</v>
      </c>
      <c r="G1113" s="64" t="s">
        <v>352</v>
      </c>
      <c r="H1113" s="70"/>
      <c r="BA1113" s="132" t="s">
        <v>15</v>
      </c>
      <c r="BB1113" s="4">
        <v>0</v>
      </c>
      <c r="BC1113">
        <v>0</v>
      </c>
    </row>
    <row r="1114" spans="1:55" x14ac:dyDescent="0.3">
      <c r="A1114" s="63">
        <v>11</v>
      </c>
      <c r="B1114" s="65">
        <v>45733</v>
      </c>
      <c r="C1114" s="63">
        <v>3</v>
      </c>
      <c r="D1114" s="38" t="s">
        <v>180</v>
      </c>
      <c r="E1114" s="23" t="s">
        <v>145</v>
      </c>
      <c r="F1114" s="39">
        <v>6.5125999999999999</v>
      </c>
      <c r="G1114" s="64" t="s">
        <v>352</v>
      </c>
      <c r="H1114" s="70"/>
      <c r="BA1114" s="132" t="s">
        <v>15</v>
      </c>
      <c r="BB1114" s="4">
        <v>0</v>
      </c>
      <c r="BC1114">
        <v>0</v>
      </c>
    </row>
    <row r="1115" spans="1:55" x14ac:dyDescent="0.3">
      <c r="A1115" s="63">
        <v>12</v>
      </c>
      <c r="B1115" s="65">
        <v>45740</v>
      </c>
      <c r="C1115" s="63">
        <v>3</v>
      </c>
      <c r="D1115" s="38" t="s">
        <v>180</v>
      </c>
      <c r="E1115" s="23" t="s">
        <v>145</v>
      </c>
      <c r="F1115" s="39">
        <v>6.35</v>
      </c>
      <c r="G1115" s="64" t="s">
        <v>352</v>
      </c>
      <c r="H1115" s="70"/>
      <c r="BA1115" s="132" t="s">
        <v>15</v>
      </c>
      <c r="BB1115" s="4">
        <v>0</v>
      </c>
      <c r="BC1115">
        <v>0</v>
      </c>
    </row>
    <row r="1116" spans="1:55" x14ac:dyDescent="0.3">
      <c r="A1116" s="63">
        <v>13</v>
      </c>
      <c r="B1116" s="65">
        <v>45747</v>
      </c>
      <c r="C1116" s="63">
        <v>3</v>
      </c>
      <c r="D1116" s="38" t="s">
        <v>180</v>
      </c>
      <c r="E1116" s="23" t="s">
        <v>145</v>
      </c>
      <c r="F1116" s="39">
        <v>6.5963000000000003</v>
      </c>
      <c r="G1116" s="64" t="s">
        <v>352</v>
      </c>
      <c r="H1116" s="70"/>
      <c r="BA1116" s="132" t="s">
        <v>15</v>
      </c>
      <c r="BB1116" s="4">
        <v>0</v>
      </c>
      <c r="BC1116">
        <v>0</v>
      </c>
    </row>
    <row r="1117" spans="1:55" x14ac:dyDescent="0.3">
      <c r="A1117" s="63">
        <v>14</v>
      </c>
      <c r="B1117" s="65">
        <v>45754</v>
      </c>
      <c r="C1117" s="63">
        <v>3</v>
      </c>
      <c r="D1117" s="38" t="s">
        <v>180</v>
      </c>
      <c r="E1117" s="23" t="s">
        <v>145</v>
      </c>
      <c r="F1117" s="39">
        <v>6.4157999999999999</v>
      </c>
      <c r="G1117" s="64" t="s">
        <v>352</v>
      </c>
      <c r="H1117" s="70"/>
      <c r="BA1117" s="132" t="s">
        <v>15</v>
      </c>
      <c r="BB1117" s="4">
        <v>0</v>
      </c>
      <c r="BC1117">
        <v>0</v>
      </c>
    </row>
    <row r="1118" spans="1:55" x14ac:dyDescent="0.3">
      <c r="A1118" s="63">
        <v>15</v>
      </c>
      <c r="B1118" s="65">
        <v>45761</v>
      </c>
      <c r="C1118" s="63">
        <v>3</v>
      </c>
      <c r="D1118" s="38" t="s">
        <v>180</v>
      </c>
      <c r="E1118" s="23" t="s">
        <v>145</v>
      </c>
      <c r="F1118" s="39">
        <v>6.5682999999999998</v>
      </c>
      <c r="G1118" s="64" t="s">
        <v>352</v>
      </c>
      <c r="H1118" s="70"/>
      <c r="BA1118" s="132" t="s">
        <v>15</v>
      </c>
      <c r="BB1118" s="4">
        <v>0</v>
      </c>
      <c r="BC1118">
        <v>0</v>
      </c>
    </row>
    <row r="1119" spans="1:55" x14ac:dyDescent="0.3">
      <c r="A1119" s="63">
        <v>16</v>
      </c>
      <c r="B1119" s="65">
        <v>45768</v>
      </c>
      <c r="C1119" s="63">
        <v>3</v>
      </c>
      <c r="D1119" s="38" t="s">
        <v>180</v>
      </c>
      <c r="E1119" s="23" t="s">
        <v>145</v>
      </c>
      <c r="F1119" s="39">
        <v>6.8295000000000003</v>
      </c>
      <c r="G1119" s="64" t="s">
        <v>352</v>
      </c>
      <c r="H1119" s="70"/>
      <c r="BA1119" s="132" t="s">
        <v>15</v>
      </c>
      <c r="BB1119" s="4">
        <v>0</v>
      </c>
      <c r="BC1119">
        <v>0</v>
      </c>
    </row>
    <row r="1120" spans="1:55" x14ac:dyDescent="0.3">
      <c r="A1120" s="63">
        <v>17</v>
      </c>
      <c r="B1120" s="65">
        <v>45775</v>
      </c>
      <c r="C1120" s="63">
        <v>3</v>
      </c>
      <c r="D1120" s="38" t="s">
        <v>180</v>
      </c>
      <c r="E1120" s="23" t="s">
        <v>145</v>
      </c>
      <c r="F1120" s="39">
        <v>6.6851000000000003</v>
      </c>
      <c r="G1120" s="64" t="s">
        <v>352</v>
      </c>
      <c r="H1120" s="70"/>
      <c r="BA1120" s="132" t="s">
        <v>15</v>
      </c>
      <c r="BB1120" s="4">
        <v>0</v>
      </c>
      <c r="BC1120">
        <v>0</v>
      </c>
    </row>
    <row r="1121" spans="1:55" x14ac:dyDescent="0.3">
      <c r="A1121" s="63">
        <v>18</v>
      </c>
      <c r="B1121" s="65">
        <v>45782</v>
      </c>
      <c r="C1121" s="63">
        <v>3</v>
      </c>
      <c r="D1121" s="38" t="s">
        <v>180</v>
      </c>
      <c r="E1121" s="23" t="s">
        <v>145</v>
      </c>
      <c r="F1121" s="39">
        <v>6.7148000000000003</v>
      </c>
      <c r="G1121" s="64" t="s">
        <v>352</v>
      </c>
      <c r="H1121" s="70"/>
      <c r="BA1121" s="132" t="s">
        <v>15</v>
      </c>
      <c r="BB1121" s="4">
        <v>0</v>
      </c>
      <c r="BC1121">
        <v>0</v>
      </c>
    </row>
    <row r="1122" spans="1:55" x14ac:dyDescent="0.3">
      <c r="A1122" s="63">
        <v>19</v>
      </c>
      <c r="B1122" s="65">
        <v>45789</v>
      </c>
      <c r="C1122" s="63">
        <v>3</v>
      </c>
      <c r="D1122" s="38" t="s">
        <v>180</v>
      </c>
      <c r="E1122" s="23" t="s">
        <v>145</v>
      </c>
      <c r="F1122" s="39">
        <v>6.6829999999999998</v>
      </c>
      <c r="G1122" s="64" t="s">
        <v>352</v>
      </c>
      <c r="H1122" s="70"/>
      <c r="BA1122" s="132" t="s">
        <v>15</v>
      </c>
      <c r="BB1122" s="4">
        <v>0</v>
      </c>
      <c r="BC1122">
        <v>0</v>
      </c>
    </row>
    <row r="1123" spans="1:55" x14ac:dyDescent="0.3">
      <c r="A1123" s="63">
        <v>20</v>
      </c>
      <c r="B1123" s="65">
        <v>45796</v>
      </c>
      <c r="C1123" s="63">
        <v>3</v>
      </c>
      <c r="D1123" s="38" t="s">
        <v>180</v>
      </c>
      <c r="E1123" s="23" t="s">
        <v>145</v>
      </c>
      <c r="F1123" s="39">
        <v>6.6195000000000004</v>
      </c>
      <c r="G1123" s="64" t="s">
        <v>352</v>
      </c>
      <c r="H1123" s="70"/>
      <c r="BA1123" s="132" t="s">
        <v>15</v>
      </c>
      <c r="BB1123" s="4">
        <v>0</v>
      </c>
      <c r="BC1123">
        <v>0</v>
      </c>
    </row>
    <row r="1124" spans="1:55" x14ac:dyDescent="0.3">
      <c r="A1124" s="63">
        <v>21</v>
      </c>
      <c r="B1124" s="65">
        <v>45803</v>
      </c>
      <c r="C1124" s="63">
        <v>3</v>
      </c>
      <c r="D1124" s="38" t="s">
        <v>180</v>
      </c>
      <c r="E1124" s="23" t="s">
        <v>145</v>
      </c>
      <c r="F1124" s="39">
        <v>6.5796999999999999</v>
      </c>
      <c r="G1124" s="64" t="s">
        <v>352</v>
      </c>
      <c r="H1124" s="70"/>
      <c r="BA1124" s="132" t="s">
        <v>15</v>
      </c>
      <c r="BB1124" s="4">
        <v>0</v>
      </c>
      <c r="BC1124">
        <v>0</v>
      </c>
    </row>
    <row r="1125" spans="1:55" x14ac:dyDescent="0.3">
      <c r="A1125" s="63">
        <v>22</v>
      </c>
      <c r="B1125" s="65">
        <v>45810</v>
      </c>
      <c r="C1125" s="63">
        <v>3</v>
      </c>
      <c r="D1125" s="38" t="s">
        <v>180</v>
      </c>
      <c r="E1125" s="23" t="s">
        <v>145</v>
      </c>
      <c r="F1125" s="39">
        <v>6.5411000000000001</v>
      </c>
      <c r="G1125" s="64" t="s">
        <v>352</v>
      </c>
      <c r="H1125" s="70"/>
      <c r="BA1125" s="132" t="s">
        <v>15</v>
      </c>
      <c r="BB1125" s="4">
        <v>0</v>
      </c>
      <c r="BC1125">
        <v>0</v>
      </c>
    </row>
    <row r="1126" spans="1:55" x14ac:dyDescent="0.3">
      <c r="A1126" s="63">
        <v>23</v>
      </c>
      <c r="B1126" s="65">
        <v>45817</v>
      </c>
      <c r="C1126" s="63">
        <v>3</v>
      </c>
      <c r="D1126" s="38" t="s">
        <v>180</v>
      </c>
      <c r="E1126" s="23" t="s">
        <v>145</v>
      </c>
      <c r="F1126" s="39">
        <v>6.7690999999999999</v>
      </c>
      <c r="G1126" s="64" t="s">
        <v>352</v>
      </c>
      <c r="H1126" s="70"/>
      <c r="BA1126" s="132" t="s">
        <v>15</v>
      </c>
      <c r="BB1126" s="4">
        <v>0</v>
      </c>
      <c r="BC1126">
        <v>0</v>
      </c>
    </row>
    <row r="1127" spans="1:55" x14ac:dyDescent="0.3">
      <c r="A1127" s="63">
        <v>24</v>
      </c>
      <c r="B1127" s="65">
        <v>45824</v>
      </c>
      <c r="C1127" s="63">
        <v>3</v>
      </c>
      <c r="D1127" s="38" t="s">
        <v>180</v>
      </c>
      <c r="E1127" s="23" t="s">
        <v>145</v>
      </c>
      <c r="F1127" s="39">
        <v>6.3752000000000004</v>
      </c>
      <c r="G1127" s="64" t="s">
        <v>352</v>
      </c>
      <c r="H1127" s="70"/>
      <c r="BA1127" s="132" t="s">
        <v>15</v>
      </c>
      <c r="BB1127" s="4">
        <v>0</v>
      </c>
      <c r="BC1127">
        <v>0</v>
      </c>
    </row>
    <row r="1128" spans="1:55" x14ac:dyDescent="0.3">
      <c r="A1128" s="63">
        <v>25</v>
      </c>
      <c r="B1128" s="65">
        <v>45831</v>
      </c>
      <c r="C1128" s="63">
        <v>3</v>
      </c>
      <c r="D1128" s="38" t="s">
        <v>180</v>
      </c>
      <c r="E1128" s="23" t="s">
        <v>145</v>
      </c>
      <c r="F1128" s="39">
        <v>6.8933999999999997</v>
      </c>
      <c r="G1128" s="64" t="s">
        <v>352</v>
      </c>
      <c r="H1128" s="70"/>
      <c r="BA1128" s="132" t="s">
        <v>15</v>
      </c>
      <c r="BB1128" s="4">
        <v>0</v>
      </c>
      <c r="BC1128">
        <v>0</v>
      </c>
    </row>
    <row r="1129" spans="1:55" x14ac:dyDescent="0.3">
      <c r="A1129" s="63">
        <v>1</v>
      </c>
      <c r="B1129" s="65">
        <v>45663</v>
      </c>
      <c r="C1129" s="63">
        <v>1</v>
      </c>
      <c r="D1129" s="38" t="s">
        <v>178</v>
      </c>
      <c r="E1129" s="23" t="s">
        <v>146</v>
      </c>
      <c r="F1129" s="39">
        <v>0.14399999999999999</v>
      </c>
      <c r="G1129" s="64" t="s">
        <v>352</v>
      </c>
      <c r="H1129" s="70"/>
      <c r="BA1129" s="132" t="s">
        <v>15</v>
      </c>
      <c r="BB1129" s="4">
        <v>1</v>
      </c>
      <c r="BC1129">
        <v>0</v>
      </c>
    </row>
    <row r="1130" spans="1:55" x14ac:dyDescent="0.3">
      <c r="A1130" s="63">
        <v>2</v>
      </c>
      <c r="B1130" s="65">
        <v>45670</v>
      </c>
      <c r="C1130" s="63">
        <v>1</v>
      </c>
      <c r="D1130" s="38" t="s">
        <v>178</v>
      </c>
      <c r="E1130" s="23" t="s">
        <v>146</v>
      </c>
      <c r="F1130" s="39">
        <v>0.12089999999999999</v>
      </c>
      <c r="G1130" s="64" t="s">
        <v>352</v>
      </c>
      <c r="H1130" s="70"/>
      <c r="BA1130" s="132" t="s">
        <v>15</v>
      </c>
      <c r="BB1130" s="4">
        <v>1</v>
      </c>
      <c r="BC1130">
        <v>0</v>
      </c>
    </row>
    <row r="1131" spans="1:55" x14ac:dyDescent="0.3">
      <c r="A1131" s="63">
        <v>3</v>
      </c>
      <c r="B1131" s="65">
        <v>45677</v>
      </c>
      <c r="C1131" s="63">
        <v>1</v>
      </c>
      <c r="D1131" s="38" t="s">
        <v>178</v>
      </c>
      <c r="E1131" s="23" t="s">
        <v>146</v>
      </c>
      <c r="F1131" s="39">
        <v>0.1285</v>
      </c>
      <c r="G1131" s="64" t="s">
        <v>352</v>
      </c>
      <c r="H1131" s="70"/>
      <c r="BA1131" s="132" t="s">
        <v>15</v>
      </c>
      <c r="BB1131" s="4">
        <v>1</v>
      </c>
      <c r="BC1131">
        <v>0</v>
      </c>
    </row>
    <row r="1132" spans="1:55" x14ac:dyDescent="0.3">
      <c r="A1132" s="63">
        <v>4</v>
      </c>
      <c r="B1132" s="65">
        <v>45684</v>
      </c>
      <c r="C1132" s="63">
        <v>1</v>
      </c>
      <c r="D1132" s="38" t="s">
        <v>178</v>
      </c>
      <c r="E1132" s="23" t="s">
        <v>146</v>
      </c>
      <c r="F1132" s="39">
        <v>0.123</v>
      </c>
      <c r="G1132" s="64" t="s">
        <v>352</v>
      </c>
      <c r="H1132" s="70"/>
      <c r="BA1132" s="132" t="s">
        <v>15</v>
      </c>
      <c r="BB1132" s="4">
        <v>1</v>
      </c>
      <c r="BC1132">
        <v>0</v>
      </c>
    </row>
    <row r="1133" spans="1:55" x14ac:dyDescent="0.3">
      <c r="A1133" s="63">
        <v>5</v>
      </c>
      <c r="B1133" s="65">
        <v>45691</v>
      </c>
      <c r="C1133" s="63">
        <v>1</v>
      </c>
      <c r="D1133" s="38" t="s">
        <v>178</v>
      </c>
      <c r="E1133" s="23" t="s">
        <v>146</v>
      </c>
      <c r="F1133" s="39">
        <v>0.14779999999999999</v>
      </c>
      <c r="G1133" s="64" t="s">
        <v>352</v>
      </c>
      <c r="H1133" s="70"/>
      <c r="BA1133" s="132" t="s">
        <v>15</v>
      </c>
      <c r="BB1133" s="4">
        <v>1</v>
      </c>
      <c r="BC1133">
        <v>0</v>
      </c>
    </row>
    <row r="1134" spans="1:55" x14ac:dyDescent="0.3">
      <c r="A1134" s="63">
        <v>6</v>
      </c>
      <c r="B1134" s="65">
        <v>45698</v>
      </c>
      <c r="C1134" s="63">
        <v>1</v>
      </c>
      <c r="D1134" s="38" t="s">
        <v>178</v>
      </c>
      <c r="E1134" s="23" t="s">
        <v>146</v>
      </c>
      <c r="F1134" s="39">
        <v>0.12180000000000001</v>
      </c>
      <c r="G1134" s="64" t="s">
        <v>352</v>
      </c>
      <c r="H1134" s="70"/>
      <c r="BA1134" s="132" t="s">
        <v>15</v>
      </c>
      <c r="BB1134" s="4">
        <v>1</v>
      </c>
      <c r="BC1134">
        <v>0</v>
      </c>
    </row>
    <row r="1135" spans="1:55" x14ac:dyDescent="0.3">
      <c r="A1135" s="63">
        <v>7</v>
      </c>
      <c r="B1135" s="65">
        <v>45705</v>
      </c>
      <c r="C1135" s="63">
        <v>1</v>
      </c>
      <c r="D1135" s="38" t="s">
        <v>178</v>
      </c>
      <c r="E1135" s="23" t="s">
        <v>146</v>
      </c>
      <c r="F1135" s="39">
        <v>0.17680000000000001</v>
      </c>
      <c r="G1135" s="64" t="s">
        <v>352</v>
      </c>
      <c r="H1135" s="70"/>
      <c r="BA1135" s="132" t="s">
        <v>15</v>
      </c>
      <c r="BB1135" s="4">
        <v>1</v>
      </c>
      <c r="BC1135">
        <v>0</v>
      </c>
    </row>
    <row r="1136" spans="1:55" x14ac:dyDescent="0.3">
      <c r="A1136" s="63">
        <v>8</v>
      </c>
      <c r="B1136" s="65">
        <v>45712</v>
      </c>
      <c r="C1136" s="63">
        <v>1</v>
      </c>
      <c r="D1136" s="38" t="s">
        <v>178</v>
      </c>
      <c r="E1136" s="23" t="s">
        <v>146</v>
      </c>
      <c r="F1136" s="39">
        <v>0.11990000000000001</v>
      </c>
      <c r="G1136" s="64" t="s">
        <v>352</v>
      </c>
      <c r="H1136" s="70"/>
      <c r="BA1136" s="132" t="s">
        <v>15</v>
      </c>
      <c r="BB1136" s="4">
        <v>1</v>
      </c>
      <c r="BC1136">
        <v>0</v>
      </c>
    </row>
    <row r="1137" spans="1:55" x14ac:dyDescent="0.3">
      <c r="A1137" s="63">
        <v>9</v>
      </c>
      <c r="B1137" s="65">
        <v>45719</v>
      </c>
      <c r="C1137" s="63">
        <v>1</v>
      </c>
      <c r="D1137" s="38" t="s">
        <v>178</v>
      </c>
      <c r="E1137" s="23" t="s">
        <v>146</v>
      </c>
      <c r="F1137" s="39">
        <v>7.5800000000000006E-2</v>
      </c>
      <c r="G1137" s="64" t="s">
        <v>352</v>
      </c>
      <c r="H1137" s="70"/>
      <c r="BA1137" s="132" t="s">
        <v>15</v>
      </c>
      <c r="BB1137" s="4">
        <v>1</v>
      </c>
      <c r="BC1137">
        <v>0</v>
      </c>
    </row>
    <row r="1138" spans="1:55" x14ac:dyDescent="0.3">
      <c r="A1138" s="63">
        <v>10</v>
      </c>
      <c r="B1138" s="65">
        <v>45726</v>
      </c>
      <c r="C1138" s="63">
        <v>1</v>
      </c>
      <c r="D1138" s="38" t="s">
        <v>178</v>
      </c>
      <c r="E1138" s="23" t="s">
        <v>146</v>
      </c>
      <c r="F1138" s="39">
        <v>0.12139999999999999</v>
      </c>
      <c r="G1138" s="64" t="s">
        <v>352</v>
      </c>
      <c r="H1138" s="70"/>
      <c r="BA1138" s="132" t="s">
        <v>15</v>
      </c>
      <c r="BB1138" s="4">
        <v>1</v>
      </c>
      <c r="BC1138">
        <v>0</v>
      </c>
    </row>
    <row r="1139" spans="1:55" x14ac:dyDescent="0.3">
      <c r="A1139" s="63">
        <v>11</v>
      </c>
      <c r="B1139" s="65">
        <v>45733</v>
      </c>
      <c r="C1139" s="63">
        <v>1</v>
      </c>
      <c r="D1139" s="38" t="s">
        <v>178</v>
      </c>
      <c r="E1139" s="23" t="s">
        <v>146</v>
      </c>
      <c r="F1139" s="39">
        <v>8.3599999999999994E-2</v>
      </c>
      <c r="G1139" s="64" t="s">
        <v>352</v>
      </c>
      <c r="H1139" s="70"/>
      <c r="BA1139" s="132" t="s">
        <v>15</v>
      </c>
      <c r="BB1139" s="4">
        <v>1</v>
      </c>
      <c r="BC1139">
        <v>0</v>
      </c>
    </row>
    <row r="1140" spans="1:55" x14ac:dyDescent="0.3">
      <c r="A1140" s="63">
        <v>12</v>
      </c>
      <c r="B1140" s="65">
        <v>45740</v>
      </c>
      <c r="C1140" s="63">
        <v>1</v>
      </c>
      <c r="D1140" s="38" t="s">
        <v>178</v>
      </c>
      <c r="E1140" s="23" t="s">
        <v>146</v>
      </c>
      <c r="F1140" s="39">
        <v>0.14180000000000001</v>
      </c>
      <c r="G1140" s="64" t="s">
        <v>352</v>
      </c>
      <c r="H1140" s="70"/>
      <c r="BA1140" s="132" t="s">
        <v>15</v>
      </c>
      <c r="BB1140" s="4">
        <v>1</v>
      </c>
      <c r="BC1140">
        <v>0</v>
      </c>
    </row>
    <row r="1141" spans="1:55" x14ac:dyDescent="0.3">
      <c r="A1141" s="63">
        <v>13</v>
      </c>
      <c r="B1141" s="65">
        <v>45747</v>
      </c>
      <c r="C1141" s="63">
        <v>1</v>
      </c>
      <c r="D1141" s="38" t="s">
        <v>178</v>
      </c>
      <c r="E1141" s="23" t="s">
        <v>146</v>
      </c>
      <c r="F1141" s="39">
        <v>0.1744</v>
      </c>
      <c r="G1141" s="64" t="s">
        <v>352</v>
      </c>
      <c r="H1141" s="70"/>
      <c r="BA1141" s="132" t="s">
        <v>15</v>
      </c>
      <c r="BB1141" s="4">
        <v>1</v>
      </c>
      <c r="BC1141">
        <v>0</v>
      </c>
    </row>
    <row r="1142" spans="1:55" x14ac:dyDescent="0.3">
      <c r="A1142" s="63">
        <v>14</v>
      </c>
      <c r="B1142" s="65">
        <v>45754</v>
      </c>
      <c r="C1142" s="63">
        <v>1</v>
      </c>
      <c r="D1142" s="38" t="s">
        <v>178</v>
      </c>
      <c r="E1142" s="23" t="s">
        <v>146</v>
      </c>
      <c r="F1142" s="39">
        <v>0.16220000000000001</v>
      </c>
      <c r="G1142" s="64" t="s">
        <v>352</v>
      </c>
      <c r="H1142" s="70"/>
      <c r="BA1142" s="132" t="s">
        <v>15</v>
      </c>
      <c r="BB1142" s="4">
        <v>1</v>
      </c>
      <c r="BC1142">
        <v>0</v>
      </c>
    </row>
    <row r="1143" spans="1:55" x14ac:dyDescent="0.3">
      <c r="A1143" s="63">
        <v>15</v>
      </c>
      <c r="B1143" s="65">
        <v>45761</v>
      </c>
      <c r="C1143" s="63">
        <v>1</v>
      </c>
      <c r="D1143" s="38" t="s">
        <v>178</v>
      </c>
      <c r="E1143" s="23" t="s">
        <v>146</v>
      </c>
      <c r="F1143" s="39">
        <v>0.10340000000000001</v>
      </c>
      <c r="G1143" s="64" t="s">
        <v>352</v>
      </c>
      <c r="H1143" s="70"/>
      <c r="BA1143" s="132" t="s">
        <v>15</v>
      </c>
      <c r="BB1143" s="4">
        <v>1</v>
      </c>
      <c r="BC1143">
        <v>0</v>
      </c>
    </row>
    <row r="1144" spans="1:55" x14ac:dyDescent="0.3">
      <c r="A1144" s="63">
        <v>16</v>
      </c>
      <c r="B1144" s="65">
        <v>45768</v>
      </c>
      <c r="C1144" s="63">
        <v>1</v>
      </c>
      <c r="D1144" s="38" t="s">
        <v>178</v>
      </c>
      <c r="E1144" s="23" t="s">
        <v>146</v>
      </c>
      <c r="F1144" s="39">
        <v>0.1205</v>
      </c>
      <c r="G1144" s="64" t="s">
        <v>352</v>
      </c>
      <c r="H1144" s="70"/>
      <c r="BA1144" s="132" t="s">
        <v>15</v>
      </c>
      <c r="BB1144" s="4">
        <v>1</v>
      </c>
      <c r="BC1144">
        <v>0</v>
      </c>
    </row>
    <row r="1145" spans="1:55" x14ac:dyDescent="0.3">
      <c r="A1145" s="63">
        <v>17</v>
      </c>
      <c r="B1145" s="65">
        <v>45775</v>
      </c>
      <c r="C1145" s="63">
        <v>1</v>
      </c>
      <c r="D1145" s="38" t="s">
        <v>178</v>
      </c>
      <c r="E1145" s="23" t="s">
        <v>146</v>
      </c>
      <c r="F1145" s="39">
        <v>0.19570000000000001</v>
      </c>
      <c r="G1145" s="64" t="s">
        <v>352</v>
      </c>
      <c r="H1145" s="70"/>
      <c r="BA1145" s="132" t="s">
        <v>15</v>
      </c>
      <c r="BB1145" s="4">
        <v>1</v>
      </c>
      <c r="BC1145">
        <v>0</v>
      </c>
    </row>
    <row r="1146" spans="1:55" x14ac:dyDescent="0.3">
      <c r="A1146" s="63">
        <v>18</v>
      </c>
      <c r="B1146" s="65">
        <v>45782</v>
      </c>
      <c r="C1146" s="63">
        <v>1</v>
      </c>
      <c r="D1146" s="38" t="s">
        <v>178</v>
      </c>
      <c r="E1146" s="23" t="s">
        <v>146</v>
      </c>
      <c r="F1146" s="39">
        <v>0.15240000000000001</v>
      </c>
      <c r="G1146" s="64" t="s">
        <v>352</v>
      </c>
      <c r="H1146" s="70"/>
      <c r="BA1146" s="132" t="s">
        <v>15</v>
      </c>
      <c r="BB1146" s="4">
        <v>1</v>
      </c>
      <c r="BC1146">
        <v>0</v>
      </c>
    </row>
    <row r="1147" spans="1:55" x14ac:dyDescent="0.3">
      <c r="A1147" s="63">
        <v>19</v>
      </c>
      <c r="B1147" s="65">
        <v>45789</v>
      </c>
      <c r="C1147" s="63">
        <v>1</v>
      </c>
      <c r="D1147" s="38" t="s">
        <v>178</v>
      </c>
      <c r="E1147" s="23" t="s">
        <v>146</v>
      </c>
      <c r="F1147" s="39">
        <v>0.1431</v>
      </c>
      <c r="G1147" s="64" t="s">
        <v>352</v>
      </c>
      <c r="H1147" s="70"/>
      <c r="BA1147" s="132" t="s">
        <v>15</v>
      </c>
      <c r="BB1147" s="4">
        <v>1</v>
      </c>
      <c r="BC1147">
        <v>0</v>
      </c>
    </row>
    <row r="1148" spans="1:55" x14ac:dyDescent="0.3">
      <c r="A1148" s="63">
        <v>20</v>
      </c>
      <c r="B1148" s="65">
        <v>45796</v>
      </c>
      <c r="C1148" s="63">
        <v>1</v>
      </c>
      <c r="D1148" s="38" t="s">
        <v>178</v>
      </c>
      <c r="E1148" s="23" t="s">
        <v>146</v>
      </c>
      <c r="F1148" s="39">
        <v>0.17430000000000001</v>
      </c>
      <c r="G1148" s="64" t="s">
        <v>352</v>
      </c>
      <c r="H1148" s="70"/>
      <c r="BA1148" s="132" t="s">
        <v>15</v>
      </c>
      <c r="BB1148" s="4">
        <v>1</v>
      </c>
      <c r="BC1148">
        <v>0</v>
      </c>
    </row>
    <row r="1149" spans="1:55" x14ac:dyDescent="0.3">
      <c r="A1149" s="63">
        <v>21</v>
      </c>
      <c r="B1149" s="65">
        <v>45803</v>
      </c>
      <c r="C1149" s="63">
        <v>1</v>
      </c>
      <c r="D1149" s="38" t="s">
        <v>178</v>
      </c>
      <c r="E1149" s="23" t="s">
        <v>146</v>
      </c>
      <c r="F1149" s="39">
        <v>0.21560000000000001</v>
      </c>
      <c r="G1149" s="64" t="s">
        <v>352</v>
      </c>
      <c r="H1149" s="70"/>
      <c r="BA1149" s="132" t="s">
        <v>15</v>
      </c>
      <c r="BB1149" s="4">
        <v>1</v>
      </c>
      <c r="BC1149">
        <v>0</v>
      </c>
    </row>
    <row r="1150" spans="1:55" x14ac:dyDescent="0.3">
      <c r="A1150" s="63">
        <v>22</v>
      </c>
      <c r="B1150" s="65">
        <v>45810</v>
      </c>
      <c r="C1150" s="63">
        <v>1</v>
      </c>
      <c r="D1150" s="38" t="s">
        <v>178</v>
      </c>
      <c r="E1150" s="23" t="s">
        <v>146</v>
      </c>
      <c r="F1150" s="39">
        <v>0.18140000000000001</v>
      </c>
      <c r="G1150" s="64" t="s">
        <v>352</v>
      </c>
      <c r="H1150" s="70"/>
      <c r="BA1150" s="132" t="s">
        <v>15</v>
      </c>
      <c r="BB1150" s="4">
        <v>1</v>
      </c>
      <c r="BC1150">
        <v>0</v>
      </c>
    </row>
    <row r="1151" spans="1:55" x14ac:dyDescent="0.3">
      <c r="A1151" s="63">
        <v>23</v>
      </c>
      <c r="B1151" s="65">
        <v>45817</v>
      </c>
      <c r="C1151" s="63">
        <v>1</v>
      </c>
      <c r="D1151" s="38" t="s">
        <v>178</v>
      </c>
      <c r="E1151" s="23" t="s">
        <v>146</v>
      </c>
      <c r="F1151" s="39">
        <v>0.14710000000000001</v>
      </c>
      <c r="G1151" s="64" t="s">
        <v>352</v>
      </c>
      <c r="H1151" s="70"/>
      <c r="BA1151" s="132" t="s">
        <v>15</v>
      </c>
      <c r="BB1151" s="4">
        <v>1</v>
      </c>
      <c r="BC1151">
        <v>0</v>
      </c>
    </row>
    <row r="1152" spans="1:55" x14ac:dyDescent="0.3">
      <c r="A1152" s="63">
        <v>24</v>
      </c>
      <c r="B1152" s="65">
        <v>45824</v>
      </c>
      <c r="C1152" s="63">
        <v>1</v>
      </c>
      <c r="D1152" s="38" t="s">
        <v>178</v>
      </c>
      <c r="E1152" s="23" t="s">
        <v>146</v>
      </c>
      <c r="F1152" s="39">
        <v>0.1535</v>
      </c>
      <c r="G1152" s="64" t="s">
        <v>352</v>
      </c>
      <c r="H1152" s="70"/>
      <c r="BA1152" s="132" t="s">
        <v>15</v>
      </c>
      <c r="BB1152" s="4">
        <v>1</v>
      </c>
      <c r="BC1152">
        <v>0</v>
      </c>
    </row>
    <row r="1153" spans="1:55" x14ac:dyDescent="0.3">
      <c r="A1153" s="63">
        <v>25</v>
      </c>
      <c r="B1153" s="65">
        <v>45831</v>
      </c>
      <c r="C1153" s="63">
        <v>1</v>
      </c>
      <c r="D1153" s="38" t="s">
        <v>178</v>
      </c>
      <c r="E1153" s="23" t="s">
        <v>146</v>
      </c>
      <c r="F1153" s="39">
        <v>0.1613</v>
      </c>
      <c r="G1153" s="64" t="s">
        <v>352</v>
      </c>
      <c r="H1153" s="70"/>
      <c r="BA1153" s="132" t="s">
        <v>15</v>
      </c>
      <c r="BB1153" s="4">
        <v>1</v>
      </c>
      <c r="BC1153">
        <v>0</v>
      </c>
    </row>
    <row r="1154" spans="1:55" x14ac:dyDescent="0.3">
      <c r="A1154" s="63">
        <v>1</v>
      </c>
      <c r="B1154" s="65">
        <v>45663</v>
      </c>
      <c r="C1154" s="63">
        <v>2</v>
      </c>
      <c r="D1154" s="38" t="s">
        <v>179</v>
      </c>
      <c r="E1154" s="23" t="s">
        <v>146</v>
      </c>
      <c r="F1154" s="39">
        <v>0.41160000000000002</v>
      </c>
      <c r="G1154" s="64" t="s">
        <v>352</v>
      </c>
      <c r="H1154" s="70"/>
      <c r="BA1154" s="132" t="s">
        <v>15</v>
      </c>
      <c r="BB1154" s="4">
        <v>0</v>
      </c>
      <c r="BC1154">
        <v>0</v>
      </c>
    </row>
    <row r="1155" spans="1:55" x14ac:dyDescent="0.3">
      <c r="A1155" s="63">
        <v>2</v>
      </c>
      <c r="B1155" s="65">
        <v>45670</v>
      </c>
      <c r="C1155" s="63">
        <v>2</v>
      </c>
      <c r="D1155" s="38" t="s">
        <v>179</v>
      </c>
      <c r="E1155" s="23" t="s">
        <v>146</v>
      </c>
      <c r="F1155" s="39">
        <v>0.4037</v>
      </c>
      <c r="G1155" s="64" t="s">
        <v>352</v>
      </c>
      <c r="H1155" s="70"/>
      <c r="BA1155" s="132" t="s">
        <v>15</v>
      </c>
      <c r="BB1155" s="4">
        <v>0</v>
      </c>
      <c r="BC1155">
        <v>0</v>
      </c>
    </row>
    <row r="1156" spans="1:55" x14ac:dyDescent="0.3">
      <c r="A1156" s="63">
        <v>3</v>
      </c>
      <c r="B1156" s="65">
        <v>45677</v>
      </c>
      <c r="C1156" s="63">
        <v>2</v>
      </c>
      <c r="D1156" s="38" t="s">
        <v>179</v>
      </c>
      <c r="E1156" s="23" t="s">
        <v>146</v>
      </c>
      <c r="F1156" s="39">
        <v>0.42330000000000001</v>
      </c>
      <c r="G1156" s="64" t="s">
        <v>352</v>
      </c>
      <c r="H1156" s="70"/>
      <c r="BA1156" s="132" t="s">
        <v>15</v>
      </c>
      <c r="BB1156" s="4">
        <v>0</v>
      </c>
      <c r="BC1156">
        <v>0</v>
      </c>
    </row>
    <row r="1157" spans="1:55" x14ac:dyDescent="0.3">
      <c r="A1157" s="63">
        <v>4</v>
      </c>
      <c r="B1157" s="65">
        <v>45684</v>
      </c>
      <c r="C1157" s="63">
        <v>2</v>
      </c>
      <c r="D1157" s="38" t="s">
        <v>179</v>
      </c>
      <c r="E1157" s="23" t="s">
        <v>146</v>
      </c>
      <c r="F1157" s="39">
        <v>0.40570000000000001</v>
      </c>
      <c r="G1157" s="64" t="s">
        <v>352</v>
      </c>
      <c r="H1157" s="70"/>
      <c r="BA1157" s="132" t="s">
        <v>15</v>
      </c>
      <c r="BB1157" s="4">
        <v>0</v>
      </c>
      <c r="BC1157">
        <v>0</v>
      </c>
    </row>
    <row r="1158" spans="1:55" x14ac:dyDescent="0.3">
      <c r="A1158" s="63">
        <v>5</v>
      </c>
      <c r="B1158" s="65">
        <v>45691</v>
      </c>
      <c r="C1158" s="63">
        <v>2</v>
      </c>
      <c r="D1158" s="38" t="s">
        <v>179</v>
      </c>
      <c r="E1158" s="23" t="s">
        <v>146</v>
      </c>
      <c r="F1158" s="39">
        <v>0.42130000000000001</v>
      </c>
      <c r="G1158" s="64" t="s">
        <v>352</v>
      </c>
      <c r="H1158" s="70"/>
      <c r="BA1158" s="132" t="s">
        <v>15</v>
      </c>
      <c r="BB1158" s="4">
        <v>0</v>
      </c>
      <c r="BC1158">
        <v>0</v>
      </c>
    </row>
    <row r="1159" spans="1:55" x14ac:dyDescent="0.3">
      <c r="A1159" s="63">
        <v>6</v>
      </c>
      <c r="B1159" s="65">
        <v>45698</v>
      </c>
      <c r="C1159" s="63">
        <v>2</v>
      </c>
      <c r="D1159" s="38" t="s">
        <v>179</v>
      </c>
      <c r="E1159" s="23" t="s">
        <v>146</v>
      </c>
      <c r="F1159" s="39">
        <v>0.42409999999999998</v>
      </c>
      <c r="G1159" s="64" t="s">
        <v>352</v>
      </c>
      <c r="H1159" s="70"/>
      <c r="BA1159" s="132" t="s">
        <v>15</v>
      </c>
      <c r="BB1159" s="4">
        <v>0</v>
      </c>
      <c r="BC1159">
        <v>0</v>
      </c>
    </row>
    <row r="1160" spans="1:55" x14ac:dyDescent="0.3">
      <c r="A1160" s="63">
        <v>7</v>
      </c>
      <c r="B1160" s="65">
        <v>45705</v>
      </c>
      <c r="C1160" s="63">
        <v>2</v>
      </c>
      <c r="D1160" s="38" t="s">
        <v>179</v>
      </c>
      <c r="E1160" s="23" t="s">
        <v>146</v>
      </c>
      <c r="F1160" s="39">
        <v>0.46379999999999999</v>
      </c>
      <c r="G1160" s="64" t="s">
        <v>352</v>
      </c>
      <c r="H1160" s="70"/>
      <c r="BA1160" s="132" t="s">
        <v>15</v>
      </c>
      <c r="BB1160" s="4">
        <v>0</v>
      </c>
      <c r="BC1160">
        <v>0</v>
      </c>
    </row>
    <row r="1161" spans="1:55" x14ac:dyDescent="0.3">
      <c r="A1161" s="63">
        <v>8</v>
      </c>
      <c r="B1161" s="65">
        <v>45712</v>
      </c>
      <c r="C1161" s="63">
        <v>2</v>
      </c>
      <c r="D1161" s="38" t="s">
        <v>179</v>
      </c>
      <c r="E1161" s="23" t="s">
        <v>146</v>
      </c>
      <c r="F1161" s="39">
        <v>0.40739999999999998</v>
      </c>
      <c r="G1161" s="64" t="s">
        <v>352</v>
      </c>
      <c r="H1161" s="70"/>
      <c r="BA1161" s="132" t="s">
        <v>15</v>
      </c>
      <c r="BB1161" s="4">
        <v>0</v>
      </c>
      <c r="BC1161">
        <v>0</v>
      </c>
    </row>
    <row r="1162" spans="1:55" x14ac:dyDescent="0.3">
      <c r="A1162" s="63">
        <v>9</v>
      </c>
      <c r="B1162" s="65">
        <v>45719</v>
      </c>
      <c r="C1162" s="63">
        <v>2</v>
      </c>
      <c r="D1162" s="38" t="s">
        <v>179</v>
      </c>
      <c r="E1162" s="23" t="s">
        <v>146</v>
      </c>
      <c r="F1162" s="39">
        <v>0.42030000000000001</v>
      </c>
      <c r="G1162" s="64" t="s">
        <v>352</v>
      </c>
      <c r="H1162" s="70"/>
      <c r="BA1162" s="132" t="s">
        <v>15</v>
      </c>
      <c r="BB1162" s="4">
        <v>0</v>
      </c>
      <c r="BC1162">
        <v>0</v>
      </c>
    </row>
    <row r="1163" spans="1:55" x14ac:dyDescent="0.3">
      <c r="A1163" s="63">
        <v>10</v>
      </c>
      <c r="B1163" s="65">
        <v>45726</v>
      </c>
      <c r="C1163" s="63">
        <v>2</v>
      </c>
      <c r="D1163" s="38" t="s">
        <v>179</v>
      </c>
      <c r="E1163" s="23" t="s">
        <v>146</v>
      </c>
      <c r="F1163" s="39">
        <v>0.41949999999999998</v>
      </c>
      <c r="G1163" s="64" t="s">
        <v>352</v>
      </c>
      <c r="H1163" s="70"/>
      <c r="BA1163" s="132" t="s">
        <v>15</v>
      </c>
      <c r="BB1163" s="4">
        <v>0</v>
      </c>
      <c r="BC1163">
        <v>0</v>
      </c>
    </row>
    <row r="1164" spans="1:55" x14ac:dyDescent="0.3">
      <c r="A1164" s="63">
        <v>11</v>
      </c>
      <c r="B1164" s="65">
        <v>45733</v>
      </c>
      <c r="C1164" s="63">
        <v>2</v>
      </c>
      <c r="D1164" s="38" t="s">
        <v>179</v>
      </c>
      <c r="E1164" s="23" t="s">
        <v>146</v>
      </c>
      <c r="F1164" s="39">
        <v>0.43009999999999998</v>
      </c>
      <c r="G1164" s="64" t="s">
        <v>352</v>
      </c>
      <c r="H1164" s="70"/>
      <c r="BA1164" s="132" t="s">
        <v>15</v>
      </c>
      <c r="BB1164" s="4">
        <v>0</v>
      </c>
      <c r="BC1164">
        <v>0</v>
      </c>
    </row>
    <row r="1165" spans="1:55" x14ac:dyDescent="0.3">
      <c r="A1165" s="63">
        <v>12</v>
      </c>
      <c r="B1165" s="65">
        <v>45740</v>
      </c>
      <c r="C1165" s="63">
        <v>2</v>
      </c>
      <c r="D1165" s="38" t="s">
        <v>179</v>
      </c>
      <c r="E1165" s="23" t="s">
        <v>146</v>
      </c>
      <c r="F1165" s="39">
        <v>0.44090000000000001</v>
      </c>
      <c r="G1165" s="64" t="s">
        <v>352</v>
      </c>
      <c r="H1165" s="70"/>
      <c r="BA1165" s="132" t="s">
        <v>15</v>
      </c>
      <c r="BB1165" s="4">
        <v>0</v>
      </c>
      <c r="BC1165">
        <v>0</v>
      </c>
    </row>
    <row r="1166" spans="1:55" x14ac:dyDescent="0.3">
      <c r="A1166" s="63">
        <v>13</v>
      </c>
      <c r="B1166" s="65">
        <v>45747</v>
      </c>
      <c r="C1166" s="63">
        <v>2</v>
      </c>
      <c r="D1166" s="38" t="s">
        <v>179</v>
      </c>
      <c r="E1166" s="23" t="s">
        <v>146</v>
      </c>
      <c r="F1166" s="39">
        <v>0.4138</v>
      </c>
      <c r="G1166" s="64" t="s">
        <v>352</v>
      </c>
      <c r="H1166" s="70"/>
      <c r="BA1166" s="132" t="s">
        <v>15</v>
      </c>
      <c r="BB1166" s="4">
        <v>0</v>
      </c>
      <c r="BC1166">
        <v>0</v>
      </c>
    </row>
    <row r="1167" spans="1:55" x14ac:dyDescent="0.3">
      <c r="A1167" s="63">
        <v>14</v>
      </c>
      <c r="B1167" s="65">
        <v>45754</v>
      </c>
      <c r="C1167" s="63">
        <v>2</v>
      </c>
      <c r="D1167" s="38" t="s">
        <v>179</v>
      </c>
      <c r="E1167" s="23" t="s">
        <v>146</v>
      </c>
      <c r="F1167" s="39">
        <v>0.40789999999999998</v>
      </c>
      <c r="G1167" s="64" t="s">
        <v>352</v>
      </c>
      <c r="H1167" s="70"/>
      <c r="BA1167" s="132" t="s">
        <v>15</v>
      </c>
      <c r="BB1167" s="4">
        <v>0</v>
      </c>
      <c r="BC1167">
        <v>0</v>
      </c>
    </row>
    <row r="1168" spans="1:55" x14ac:dyDescent="0.3">
      <c r="A1168" s="63">
        <v>15</v>
      </c>
      <c r="B1168" s="65">
        <v>45761</v>
      </c>
      <c r="C1168" s="63">
        <v>2</v>
      </c>
      <c r="D1168" s="38" t="s">
        <v>179</v>
      </c>
      <c r="E1168" s="23" t="s">
        <v>146</v>
      </c>
      <c r="F1168" s="39">
        <v>0.39340000000000003</v>
      </c>
      <c r="G1168" s="64" t="s">
        <v>352</v>
      </c>
      <c r="H1168" s="70"/>
      <c r="BA1168" s="132" t="s">
        <v>15</v>
      </c>
      <c r="BB1168" s="4">
        <v>0</v>
      </c>
      <c r="BC1168">
        <v>0</v>
      </c>
    </row>
    <row r="1169" spans="1:55" x14ac:dyDescent="0.3">
      <c r="A1169" s="63">
        <v>16</v>
      </c>
      <c r="B1169" s="65">
        <v>45768</v>
      </c>
      <c r="C1169" s="63">
        <v>2</v>
      </c>
      <c r="D1169" s="38" t="s">
        <v>179</v>
      </c>
      <c r="E1169" s="23" t="s">
        <v>146</v>
      </c>
      <c r="F1169" s="39">
        <v>0.40610000000000002</v>
      </c>
      <c r="G1169" s="64" t="s">
        <v>352</v>
      </c>
      <c r="H1169" s="70"/>
      <c r="BA1169" s="132" t="s">
        <v>15</v>
      </c>
      <c r="BB1169" s="4">
        <v>0</v>
      </c>
      <c r="BC1169">
        <v>0</v>
      </c>
    </row>
    <row r="1170" spans="1:55" x14ac:dyDescent="0.3">
      <c r="A1170" s="63">
        <v>17</v>
      </c>
      <c r="B1170" s="65">
        <v>45775</v>
      </c>
      <c r="C1170" s="63">
        <v>2</v>
      </c>
      <c r="D1170" s="38" t="s">
        <v>179</v>
      </c>
      <c r="E1170" s="23" t="s">
        <v>146</v>
      </c>
      <c r="F1170" s="39">
        <v>0.43190000000000001</v>
      </c>
      <c r="G1170" s="64" t="s">
        <v>352</v>
      </c>
      <c r="H1170" s="70"/>
      <c r="BA1170" s="132" t="s">
        <v>15</v>
      </c>
      <c r="BB1170" s="4">
        <v>0</v>
      </c>
      <c r="BC1170">
        <v>0</v>
      </c>
    </row>
    <row r="1171" spans="1:55" x14ac:dyDescent="0.3">
      <c r="A1171" s="63">
        <v>18</v>
      </c>
      <c r="B1171" s="65">
        <v>45782</v>
      </c>
      <c r="C1171" s="63">
        <v>2</v>
      </c>
      <c r="D1171" s="38" t="s">
        <v>179</v>
      </c>
      <c r="E1171" s="23" t="s">
        <v>146</v>
      </c>
      <c r="F1171" s="39">
        <v>0.42320000000000002</v>
      </c>
      <c r="G1171" s="64" t="s">
        <v>352</v>
      </c>
      <c r="H1171" s="70"/>
      <c r="BA1171" s="132" t="s">
        <v>15</v>
      </c>
      <c r="BB1171" s="4">
        <v>0</v>
      </c>
      <c r="BC1171">
        <v>0</v>
      </c>
    </row>
    <row r="1172" spans="1:55" x14ac:dyDescent="0.3">
      <c r="A1172" s="63">
        <v>19</v>
      </c>
      <c r="B1172" s="65">
        <v>45789</v>
      </c>
      <c r="C1172" s="63">
        <v>2</v>
      </c>
      <c r="D1172" s="38" t="s">
        <v>179</v>
      </c>
      <c r="E1172" s="23" t="s">
        <v>146</v>
      </c>
      <c r="F1172" s="39">
        <v>0.40450000000000003</v>
      </c>
      <c r="G1172" s="64" t="s">
        <v>352</v>
      </c>
      <c r="H1172" s="70"/>
      <c r="BA1172" s="132" t="s">
        <v>15</v>
      </c>
      <c r="BB1172" s="4">
        <v>0</v>
      </c>
      <c r="BC1172">
        <v>0</v>
      </c>
    </row>
    <row r="1173" spans="1:55" x14ac:dyDescent="0.3">
      <c r="A1173" s="63">
        <v>20</v>
      </c>
      <c r="B1173" s="65">
        <v>45796</v>
      </c>
      <c r="C1173" s="63">
        <v>2</v>
      </c>
      <c r="D1173" s="38" t="s">
        <v>179</v>
      </c>
      <c r="E1173" s="23" t="s">
        <v>146</v>
      </c>
      <c r="F1173" s="39">
        <v>0.4158</v>
      </c>
      <c r="G1173" s="64" t="s">
        <v>352</v>
      </c>
      <c r="H1173" s="70"/>
      <c r="BA1173" s="132" t="s">
        <v>15</v>
      </c>
      <c r="BB1173" s="4">
        <v>0</v>
      </c>
      <c r="BC1173">
        <v>0</v>
      </c>
    </row>
    <row r="1174" spans="1:55" x14ac:dyDescent="0.3">
      <c r="A1174" s="63">
        <v>21</v>
      </c>
      <c r="B1174" s="65">
        <v>45803</v>
      </c>
      <c r="C1174" s="63">
        <v>2</v>
      </c>
      <c r="D1174" s="38" t="s">
        <v>179</v>
      </c>
      <c r="E1174" s="23" t="s">
        <v>146</v>
      </c>
      <c r="F1174" s="39">
        <v>0.42299999999999999</v>
      </c>
      <c r="G1174" s="64" t="s">
        <v>352</v>
      </c>
      <c r="H1174" s="70"/>
      <c r="BA1174" s="132" t="s">
        <v>15</v>
      </c>
      <c r="BB1174" s="4">
        <v>0</v>
      </c>
      <c r="BC1174">
        <v>0</v>
      </c>
    </row>
    <row r="1175" spans="1:55" x14ac:dyDescent="0.3">
      <c r="A1175" s="63">
        <v>22</v>
      </c>
      <c r="B1175" s="65">
        <v>45810</v>
      </c>
      <c r="C1175" s="63">
        <v>2</v>
      </c>
      <c r="D1175" s="38" t="s">
        <v>179</v>
      </c>
      <c r="E1175" s="23" t="s">
        <v>146</v>
      </c>
      <c r="F1175" s="39">
        <v>0.43130000000000002</v>
      </c>
      <c r="G1175" s="64" t="s">
        <v>352</v>
      </c>
      <c r="H1175" s="70"/>
      <c r="BA1175" s="132" t="s">
        <v>15</v>
      </c>
      <c r="BB1175" s="4">
        <v>0</v>
      </c>
      <c r="BC1175">
        <v>0</v>
      </c>
    </row>
    <row r="1176" spans="1:55" x14ac:dyDescent="0.3">
      <c r="A1176" s="63">
        <v>23</v>
      </c>
      <c r="B1176" s="65">
        <v>45817</v>
      </c>
      <c r="C1176" s="63">
        <v>2</v>
      </c>
      <c r="D1176" s="38" t="s">
        <v>179</v>
      </c>
      <c r="E1176" s="23" t="s">
        <v>146</v>
      </c>
      <c r="F1176" s="39">
        <v>0.41189999999999999</v>
      </c>
      <c r="G1176" s="64" t="s">
        <v>352</v>
      </c>
      <c r="H1176" s="70"/>
      <c r="BA1176" s="132" t="s">
        <v>15</v>
      </c>
      <c r="BB1176" s="4">
        <v>0</v>
      </c>
      <c r="BC1176">
        <v>0</v>
      </c>
    </row>
    <row r="1177" spans="1:55" x14ac:dyDescent="0.3">
      <c r="A1177" s="63">
        <v>24</v>
      </c>
      <c r="B1177" s="65">
        <v>45824</v>
      </c>
      <c r="C1177" s="63">
        <v>2</v>
      </c>
      <c r="D1177" s="38" t="s">
        <v>179</v>
      </c>
      <c r="E1177" s="23" t="s">
        <v>146</v>
      </c>
      <c r="F1177" s="39">
        <v>0.41799999999999998</v>
      </c>
      <c r="G1177" s="64" t="s">
        <v>352</v>
      </c>
      <c r="H1177" s="70"/>
      <c r="BA1177" s="132" t="s">
        <v>15</v>
      </c>
      <c r="BB1177" s="4">
        <v>0</v>
      </c>
      <c r="BC1177">
        <v>0</v>
      </c>
    </row>
    <row r="1178" spans="1:55" x14ac:dyDescent="0.3">
      <c r="A1178" s="63">
        <v>25</v>
      </c>
      <c r="B1178" s="65">
        <v>45831</v>
      </c>
      <c r="C1178" s="63">
        <v>2</v>
      </c>
      <c r="D1178" s="38" t="s">
        <v>179</v>
      </c>
      <c r="E1178" s="23" t="s">
        <v>146</v>
      </c>
      <c r="F1178" s="39">
        <v>0.39029999999999998</v>
      </c>
      <c r="G1178" s="64" t="s">
        <v>352</v>
      </c>
      <c r="H1178" s="70"/>
      <c r="BA1178" s="132" t="s">
        <v>15</v>
      </c>
      <c r="BB1178" s="4">
        <v>0</v>
      </c>
      <c r="BC1178">
        <v>0</v>
      </c>
    </row>
    <row r="1179" spans="1:55" x14ac:dyDescent="0.3">
      <c r="A1179" s="63">
        <v>1</v>
      </c>
      <c r="B1179" s="65">
        <v>45663</v>
      </c>
      <c r="C1179" s="63">
        <v>3</v>
      </c>
      <c r="D1179" s="38" t="s">
        <v>180</v>
      </c>
      <c r="E1179" s="23" t="s">
        <v>146</v>
      </c>
      <c r="F1179" s="39">
        <v>1.0515000000000001</v>
      </c>
      <c r="G1179" s="64" t="s">
        <v>352</v>
      </c>
      <c r="H1179" s="70"/>
      <c r="BA1179" s="132" t="s">
        <v>15</v>
      </c>
      <c r="BB1179" s="4">
        <v>0</v>
      </c>
      <c r="BC1179">
        <v>0</v>
      </c>
    </row>
    <row r="1180" spans="1:55" x14ac:dyDescent="0.3">
      <c r="A1180" s="63">
        <v>2</v>
      </c>
      <c r="B1180" s="65">
        <v>45670</v>
      </c>
      <c r="C1180" s="63">
        <v>3</v>
      </c>
      <c r="D1180" s="38" t="s">
        <v>180</v>
      </c>
      <c r="E1180" s="23" t="s">
        <v>146</v>
      </c>
      <c r="F1180" s="39">
        <v>1.1415999999999999</v>
      </c>
      <c r="G1180" s="64" t="s">
        <v>352</v>
      </c>
      <c r="H1180" s="70"/>
      <c r="BA1180" s="132" t="s">
        <v>15</v>
      </c>
      <c r="BB1180" s="4">
        <v>0</v>
      </c>
      <c r="BC1180">
        <v>0</v>
      </c>
    </row>
    <row r="1181" spans="1:55" x14ac:dyDescent="0.3">
      <c r="A1181" s="63">
        <v>3</v>
      </c>
      <c r="B1181" s="65">
        <v>45677</v>
      </c>
      <c r="C1181" s="63">
        <v>3</v>
      </c>
      <c r="D1181" s="38" t="s">
        <v>180</v>
      </c>
      <c r="E1181" s="23" t="s">
        <v>146</v>
      </c>
      <c r="F1181" s="39">
        <v>1.0177</v>
      </c>
      <c r="G1181" s="64" t="s">
        <v>352</v>
      </c>
      <c r="H1181" s="70"/>
      <c r="BA1181" s="132" t="s">
        <v>15</v>
      </c>
      <c r="BB1181" s="4">
        <v>0</v>
      </c>
      <c r="BC1181">
        <v>0</v>
      </c>
    </row>
    <row r="1182" spans="1:55" x14ac:dyDescent="0.3">
      <c r="A1182" s="63">
        <v>4</v>
      </c>
      <c r="B1182" s="65">
        <v>45684</v>
      </c>
      <c r="C1182" s="63">
        <v>3</v>
      </c>
      <c r="D1182" s="38" t="s">
        <v>180</v>
      </c>
      <c r="E1182" s="23" t="s">
        <v>146</v>
      </c>
      <c r="F1182" s="39">
        <v>1.0780000000000001</v>
      </c>
      <c r="G1182" s="64" t="s">
        <v>352</v>
      </c>
      <c r="H1182" s="70"/>
      <c r="BA1182" s="132" t="s">
        <v>15</v>
      </c>
      <c r="BB1182" s="4">
        <v>0</v>
      </c>
      <c r="BC1182">
        <v>0</v>
      </c>
    </row>
    <row r="1183" spans="1:55" x14ac:dyDescent="0.3">
      <c r="A1183" s="63">
        <v>5</v>
      </c>
      <c r="B1183" s="65">
        <v>45691</v>
      </c>
      <c r="C1183" s="63">
        <v>3</v>
      </c>
      <c r="D1183" s="38" t="s">
        <v>180</v>
      </c>
      <c r="E1183" s="23" t="s">
        <v>146</v>
      </c>
      <c r="F1183" s="39">
        <v>1.0961000000000001</v>
      </c>
      <c r="G1183" s="64" t="s">
        <v>352</v>
      </c>
      <c r="H1183" s="70"/>
      <c r="BA1183" s="132" t="s">
        <v>15</v>
      </c>
      <c r="BB1183" s="4">
        <v>0</v>
      </c>
      <c r="BC1183">
        <v>0</v>
      </c>
    </row>
    <row r="1184" spans="1:55" x14ac:dyDescent="0.3">
      <c r="A1184" s="63">
        <v>6</v>
      </c>
      <c r="B1184" s="65">
        <v>45698</v>
      </c>
      <c r="C1184" s="63">
        <v>3</v>
      </c>
      <c r="D1184" s="38" t="s">
        <v>180</v>
      </c>
      <c r="E1184" s="23" t="s">
        <v>146</v>
      </c>
      <c r="F1184" s="39">
        <v>1.0768</v>
      </c>
      <c r="G1184" s="64" t="s">
        <v>352</v>
      </c>
      <c r="H1184" s="70"/>
      <c r="BA1184" s="132" t="s">
        <v>15</v>
      </c>
      <c r="BB1184" s="4">
        <v>0</v>
      </c>
      <c r="BC1184">
        <v>0</v>
      </c>
    </row>
    <row r="1185" spans="1:55" x14ac:dyDescent="0.3">
      <c r="A1185" s="63">
        <v>7</v>
      </c>
      <c r="B1185" s="65">
        <v>45705</v>
      </c>
      <c r="C1185" s="63">
        <v>3</v>
      </c>
      <c r="D1185" s="38" t="s">
        <v>180</v>
      </c>
      <c r="E1185" s="23" t="s">
        <v>146</v>
      </c>
      <c r="F1185" s="39">
        <v>1.0627</v>
      </c>
      <c r="G1185" s="64" t="s">
        <v>352</v>
      </c>
      <c r="H1185" s="70"/>
      <c r="BA1185" s="132" t="s">
        <v>15</v>
      </c>
      <c r="BB1185" s="4">
        <v>0</v>
      </c>
      <c r="BC1185">
        <v>0</v>
      </c>
    </row>
    <row r="1186" spans="1:55" x14ac:dyDescent="0.3">
      <c r="A1186" s="63">
        <v>8</v>
      </c>
      <c r="B1186" s="65">
        <v>45712</v>
      </c>
      <c r="C1186" s="63">
        <v>3</v>
      </c>
      <c r="D1186" s="38" t="s">
        <v>180</v>
      </c>
      <c r="E1186" s="23" t="s">
        <v>146</v>
      </c>
      <c r="F1186" s="39">
        <v>1.087</v>
      </c>
      <c r="G1186" s="64" t="s">
        <v>352</v>
      </c>
      <c r="H1186" s="70"/>
      <c r="BA1186" s="132" t="s">
        <v>15</v>
      </c>
      <c r="BB1186" s="4">
        <v>0</v>
      </c>
      <c r="BC1186">
        <v>0</v>
      </c>
    </row>
    <row r="1187" spans="1:55" x14ac:dyDescent="0.3">
      <c r="A1187" s="63">
        <v>9</v>
      </c>
      <c r="B1187" s="65">
        <v>45719</v>
      </c>
      <c r="C1187" s="63">
        <v>3</v>
      </c>
      <c r="D1187" s="38" t="s">
        <v>180</v>
      </c>
      <c r="E1187" s="23" t="s">
        <v>146</v>
      </c>
      <c r="F1187" s="39">
        <v>1.0888</v>
      </c>
      <c r="G1187" s="64" t="s">
        <v>352</v>
      </c>
      <c r="H1187" s="70"/>
      <c r="BA1187" s="132" t="s">
        <v>15</v>
      </c>
      <c r="BB1187" s="4">
        <v>0</v>
      </c>
      <c r="BC1187">
        <v>0</v>
      </c>
    </row>
    <row r="1188" spans="1:55" x14ac:dyDescent="0.3">
      <c r="A1188" s="63">
        <v>10</v>
      </c>
      <c r="B1188" s="65">
        <v>45726</v>
      </c>
      <c r="C1188" s="63">
        <v>3</v>
      </c>
      <c r="D1188" s="38" t="s">
        <v>180</v>
      </c>
      <c r="E1188" s="23" t="s">
        <v>146</v>
      </c>
      <c r="F1188" s="39">
        <v>1.0863</v>
      </c>
      <c r="G1188" s="64" t="s">
        <v>352</v>
      </c>
      <c r="H1188" s="70"/>
      <c r="BA1188" s="132" t="s">
        <v>15</v>
      </c>
      <c r="BB1188" s="4">
        <v>0</v>
      </c>
      <c r="BC1188">
        <v>0</v>
      </c>
    </row>
    <row r="1189" spans="1:55" x14ac:dyDescent="0.3">
      <c r="A1189" s="63">
        <v>11</v>
      </c>
      <c r="B1189" s="65">
        <v>45733</v>
      </c>
      <c r="C1189" s="63">
        <v>3</v>
      </c>
      <c r="D1189" s="38" t="s">
        <v>180</v>
      </c>
      <c r="E1189" s="23" t="s">
        <v>146</v>
      </c>
      <c r="F1189" s="39">
        <v>1.0278</v>
      </c>
      <c r="G1189" s="64" t="s">
        <v>352</v>
      </c>
      <c r="H1189" s="70"/>
      <c r="BA1189" s="132" t="s">
        <v>15</v>
      </c>
      <c r="BB1189" s="4">
        <v>0</v>
      </c>
      <c r="BC1189">
        <v>0</v>
      </c>
    </row>
    <row r="1190" spans="1:55" x14ac:dyDescent="0.3">
      <c r="A1190" s="63">
        <v>12</v>
      </c>
      <c r="B1190" s="65">
        <v>45740</v>
      </c>
      <c r="C1190" s="63">
        <v>3</v>
      </c>
      <c r="D1190" s="38" t="s">
        <v>180</v>
      </c>
      <c r="E1190" s="23" t="s">
        <v>146</v>
      </c>
      <c r="F1190" s="39">
        <v>1.0842000000000001</v>
      </c>
      <c r="G1190" s="64" t="s">
        <v>352</v>
      </c>
      <c r="H1190" s="70"/>
      <c r="BA1190" s="132" t="s">
        <v>15</v>
      </c>
      <c r="BB1190" s="4">
        <v>0</v>
      </c>
      <c r="BC1190">
        <v>0</v>
      </c>
    </row>
    <row r="1191" spans="1:55" x14ac:dyDescent="0.3">
      <c r="A1191" s="63">
        <v>13</v>
      </c>
      <c r="B1191" s="65">
        <v>45747</v>
      </c>
      <c r="C1191" s="63">
        <v>3</v>
      </c>
      <c r="D1191" s="38" t="s">
        <v>180</v>
      </c>
      <c r="E1191" s="23" t="s">
        <v>146</v>
      </c>
      <c r="F1191" s="39">
        <v>1.0610999999999999</v>
      </c>
      <c r="G1191" s="64" t="s">
        <v>352</v>
      </c>
      <c r="H1191" s="70"/>
      <c r="BA1191" s="132" t="s">
        <v>15</v>
      </c>
      <c r="BB1191" s="4">
        <v>0</v>
      </c>
      <c r="BC1191">
        <v>0</v>
      </c>
    </row>
    <row r="1192" spans="1:55" x14ac:dyDescent="0.3">
      <c r="A1192" s="63">
        <v>14</v>
      </c>
      <c r="B1192" s="65">
        <v>45754</v>
      </c>
      <c r="C1192" s="63">
        <v>3</v>
      </c>
      <c r="D1192" s="38" t="s">
        <v>180</v>
      </c>
      <c r="E1192" s="23" t="s">
        <v>146</v>
      </c>
      <c r="F1192" s="39">
        <v>1.0710999999999999</v>
      </c>
      <c r="G1192" s="64" t="s">
        <v>352</v>
      </c>
      <c r="H1192" s="70"/>
      <c r="BA1192" s="132" t="s">
        <v>15</v>
      </c>
      <c r="BB1192" s="4">
        <v>0</v>
      </c>
      <c r="BC1192">
        <v>0</v>
      </c>
    </row>
    <row r="1193" spans="1:55" x14ac:dyDescent="0.3">
      <c r="A1193" s="63">
        <v>15</v>
      </c>
      <c r="B1193" s="65">
        <v>45761</v>
      </c>
      <c r="C1193" s="63">
        <v>3</v>
      </c>
      <c r="D1193" s="38" t="s">
        <v>180</v>
      </c>
      <c r="E1193" s="23" t="s">
        <v>146</v>
      </c>
      <c r="F1193" s="39">
        <v>1.0964</v>
      </c>
      <c r="G1193" s="64" t="s">
        <v>352</v>
      </c>
      <c r="H1193" s="70"/>
      <c r="BA1193" s="132" t="s">
        <v>15</v>
      </c>
      <c r="BB1193" s="4">
        <v>0</v>
      </c>
      <c r="BC1193">
        <v>0</v>
      </c>
    </row>
    <row r="1194" spans="1:55" x14ac:dyDescent="0.3">
      <c r="A1194" s="63">
        <v>16</v>
      </c>
      <c r="B1194" s="65">
        <v>45768</v>
      </c>
      <c r="C1194" s="63">
        <v>3</v>
      </c>
      <c r="D1194" s="38" t="s">
        <v>180</v>
      </c>
      <c r="E1194" s="23" t="s">
        <v>146</v>
      </c>
      <c r="F1194" s="39">
        <v>1.1097999999999999</v>
      </c>
      <c r="G1194" s="64" t="s">
        <v>352</v>
      </c>
      <c r="H1194" s="70"/>
      <c r="BA1194" s="132" t="s">
        <v>15</v>
      </c>
      <c r="BB1194" s="4">
        <v>0</v>
      </c>
      <c r="BC1194">
        <v>0</v>
      </c>
    </row>
    <row r="1195" spans="1:55" x14ac:dyDescent="0.3">
      <c r="A1195" s="63">
        <v>17</v>
      </c>
      <c r="B1195" s="65">
        <v>45775</v>
      </c>
      <c r="C1195" s="63">
        <v>3</v>
      </c>
      <c r="D1195" s="38" t="s">
        <v>180</v>
      </c>
      <c r="E1195" s="23" t="s">
        <v>146</v>
      </c>
      <c r="F1195" s="39">
        <v>1.1182000000000001</v>
      </c>
      <c r="G1195" s="64" t="s">
        <v>352</v>
      </c>
      <c r="H1195" s="70"/>
      <c r="BA1195" s="132" t="s">
        <v>15</v>
      </c>
      <c r="BB1195" s="4">
        <v>0</v>
      </c>
      <c r="BC1195">
        <v>0</v>
      </c>
    </row>
    <row r="1196" spans="1:55" x14ac:dyDescent="0.3">
      <c r="A1196" s="63">
        <v>18</v>
      </c>
      <c r="B1196" s="65">
        <v>45782</v>
      </c>
      <c r="C1196" s="63">
        <v>3</v>
      </c>
      <c r="D1196" s="38" t="s">
        <v>180</v>
      </c>
      <c r="E1196" s="23" t="s">
        <v>146</v>
      </c>
      <c r="F1196" s="39">
        <v>1.0728</v>
      </c>
      <c r="G1196" s="64" t="s">
        <v>352</v>
      </c>
      <c r="H1196" s="70"/>
      <c r="BA1196" s="132" t="s">
        <v>15</v>
      </c>
      <c r="BB1196" s="4">
        <v>0</v>
      </c>
      <c r="BC1196">
        <v>0</v>
      </c>
    </row>
    <row r="1197" spans="1:55" x14ac:dyDescent="0.3">
      <c r="A1197" s="63">
        <v>19</v>
      </c>
      <c r="B1197" s="65">
        <v>45789</v>
      </c>
      <c r="C1197" s="63">
        <v>3</v>
      </c>
      <c r="D1197" s="38" t="s">
        <v>180</v>
      </c>
      <c r="E1197" s="23" t="s">
        <v>146</v>
      </c>
      <c r="F1197" s="39">
        <v>1.119</v>
      </c>
      <c r="G1197" s="64" t="s">
        <v>352</v>
      </c>
      <c r="H1197" s="70"/>
      <c r="BA1197" s="132" t="s">
        <v>15</v>
      </c>
      <c r="BB1197" s="4">
        <v>0</v>
      </c>
      <c r="BC1197">
        <v>0</v>
      </c>
    </row>
    <row r="1198" spans="1:55" x14ac:dyDescent="0.3">
      <c r="A1198" s="63">
        <v>20</v>
      </c>
      <c r="B1198" s="65">
        <v>45796</v>
      </c>
      <c r="C1198" s="63">
        <v>3</v>
      </c>
      <c r="D1198" s="38" t="s">
        <v>180</v>
      </c>
      <c r="E1198" s="23" t="s">
        <v>146</v>
      </c>
      <c r="F1198" s="39">
        <v>1.1272</v>
      </c>
      <c r="G1198" s="64" t="s">
        <v>352</v>
      </c>
      <c r="H1198" s="70"/>
      <c r="BA1198" s="132" t="s">
        <v>15</v>
      </c>
      <c r="BB1198" s="4">
        <v>0</v>
      </c>
      <c r="BC1198">
        <v>0</v>
      </c>
    </row>
    <row r="1199" spans="1:55" x14ac:dyDescent="0.3">
      <c r="A1199" s="63">
        <v>21</v>
      </c>
      <c r="B1199" s="65">
        <v>45803</v>
      </c>
      <c r="C1199" s="63">
        <v>3</v>
      </c>
      <c r="D1199" s="38" t="s">
        <v>180</v>
      </c>
      <c r="E1199" s="23" t="s">
        <v>146</v>
      </c>
      <c r="F1199" s="39">
        <v>1.1259999999999999</v>
      </c>
      <c r="G1199" s="64" t="s">
        <v>352</v>
      </c>
      <c r="H1199" s="70"/>
      <c r="BA1199" s="132" t="s">
        <v>15</v>
      </c>
      <c r="BB1199" s="4">
        <v>0</v>
      </c>
      <c r="BC1199">
        <v>0</v>
      </c>
    </row>
    <row r="1200" spans="1:55" x14ac:dyDescent="0.3">
      <c r="A1200" s="63">
        <v>22</v>
      </c>
      <c r="B1200" s="65">
        <v>45810</v>
      </c>
      <c r="C1200" s="63">
        <v>3</v>
      </c>
      <c r="D1200" s="38" t="s">
        <v>180</v>
      </c>
      <c r="E1200" s="23" t="s">
        <v>146</v>
      </c>
      <c r="F1200" s="39">
        <v>1.1342000000000001</v>
      </c>
      <c r="G1200" s="64" t="s">
        <v>352</v>
      </c>
      <c r="H1200" s="70"/>
      <c r="BA1200" s="132" t="s">
        <v>15</v>
      </c>
      <c r="BB1200" s="4">
        <v>0</v>
      </c>
      <c r="BC1200">
        <v>0</v>
      </c>
    </row>
    <row r="1201" spans="1:55" x14ac:dyDescent="0.3">
      <c r="A1201" s="63">
        <v>23</v>
      </c>
      <c r="B1201" s="65">
        <v>45817</v>
      </c>
      <c r="C1201" s="63">
        <v>3</v>
      </c>
      <c r="D1201" s="38" t="s">
        <v>180</v>
      </c>
      <c r="E1201" s="23" t="s">
        <v>146</v>
      </c>
      <c r="F1201" s="39">
        <v>1.0842000000000001</v>
      </c>
      <c r="G1201" s="64" t="s">
        <v>352</v>
      </c>
      <c r="H1201" s="70"/>
      <c r="BA1201" s="132" t="s">
        <v>15</v>
      </c>
      <c r="BB1201" s="4">
        <v>0</v>
      </c>
      <c r="BC1201">
        <v>0</v>
      </c>
    </row>
    <row r="1202" spans="1:55" x14ac:dyDescent="0.3">
      <c r="A1202" s="63">
        <v>24</v>
      </c>
      <c r="B1202" s="65">
        <v>45824</v>
      </c>
      <c r="C1202" s="63">
        <v>3</v>
      </c>
      <c r="D1202" s="38" t="s">
        <v>180</v>
      </c>
      <c r="E1202" s="23" t="s">
        <v>146</v>
      </c>
      <c r="F1202" s="39">
        <v>1.0832999999999999</v>
      </c>
      <c r="G1202" s="64" t="s">
        <v>352</v>
      </c>
      <c r="H1202" s="70"/>
      <c r="BA1202" s="132" t="s">
        <v>15</v>
      </c>
      <c r="BB1202" s="4">
        <v>0</v>
      </c>
      <c r="BC1202">
        <v>0</v>
      </c>
    </row>
    <row r="1203" spans="1:55" x14ac:dyDescent="0.3">
      <c r="A1203" s="63">
        <v>25</v>
      </c>
      <c r="B1203" s="65">
        <v>45831</v>
      </c>
      <c r="C1203" s="63">
        <v>3</v>
      </c>
      <c r="D1203" s="38" t="s">
        <v>180</v>
      </c>
      <c r="E1203" s="23" t="s">
        <v>146</v>
      </c>
      <c r="F1203" s="39">
        <v>1.1157999999999999</v>
      </c>
      <c r="G1203" s="64" t="s">
        <v>352</v>
      </c>
      <c r="H1203" s="70"/>
      <c r="BA1203" s="132" t="s">
        <v>15</v>
      </c>
      <c r="BB1203" s="4">
        <v>0</v>
      </c>
      <c r="BC1203">
        <v>0</v>
      </c>
    </row>
    <row r="1204" spans="1:55" x14ac:dyDescent="0.3">
      <c r="A1204" s="63">
        <v>1</v>
      </c>
      <c r="B1204" s="65">
        <v>45663</v>
      </c>
      <c r="C1204" s="63">
        <v>1</v>
      </c>
      <c r="D1204" s="38" t="s">
        <v>178</v>
      </c>
      <c r="E1204" s="23" t="s">
        <v>147</v>
      </c>
      <c r="F1204" s="39">
        <v>49.153399999999998</v>
      </c>
      <c r="G1204" s="64" t="s">
        <v>352</v>
      </c>
      <c r="H1204" s="70"/>
      <c r="BA1204" s="132" t="s">
        <v>15</v>
      </c>
      <c r="BB1204" s="4">
        <v>1</v>
      </c>
      <c r="BC1204">
        <v>0</v>
      </c>
    </row>
    <row r="1205" spans="1:55" x14ac:dyDescent="0.3">
      <c r="A1205" s="63">
        <v>2</v>
      </c>
      <c r="B1205" s="65">
        <v>45670</v>
      </c>
      <c r="C1205" s="63">
        <v>1</v>
      </c>
      <c r="D1205" s="38" t="s">
        <v>178</v>
      </c>
      <c r="E1205" s="23" t="s">
        <v>147</v>
      </c>
      <c r="F1205" s="39">
        <v>50.105899999999998</v>
      </c>
      <c r="G1205" s="64" t="s">
        <v>352</v>
      </c>
      <c r="H1205" s="70"/>
      <c r="BA1205" s="132" t="s">
        <v>15</v>
      </c>
      <c r="BB1205" s="4">
        <v>1</v>
      </c>
      <c r="BC1205">
        <v>0</v>
      </c>
    </row>
    <row r="1206" spans="1:55" x14ac:dyDescent="0.3">
      <c r="A1206" s="63">
        <v>3</v>
      </c>
      <c r="B1206" s="65">
        <v>45677</v>
      </c>
      <c r="C1206" s="63">
        <v>1</v>
      </c>
      <c r="D1206" s="38" t="s">
        <v>178</v>
      </c>
      <c r="E1206" s="23" t="s">
        <v>147</v>
      </c>
      <c r="F1206" s="39">
        <v>49.658700000000003</v>
      </c>
      <c r="G1206" s="64" t="s">
        <v>352</v>
      </c>
      <c r="H1206" s="70"/>
      <c r="BA1206" s="132" t="s">
        <v>15</v>
      </c>
      <c r="BB1206" s="4">
        <v>1</v>
      </c>
      <c r="BC1206">
        <v>0</v>
      </c>
    </row>
    <row r="1207" spans="1:55" x14ac:dyDescent="0.3">
      <c r="A1207" s="63">
        <v>4</v>
      </c>
      <c r="B1207" s="65">
        <v>45684</v>
      </c>
      <c r="C1207" s="63">
        <v>1</v>
      </c>
      <c r="D1207" s="38" t="s">
        <v>178</v>
      </c>
      <c r="E1207" s="23" t="s">
        <v>147</v>
      </c>
      <c r="F1207" s="39">
        <v>49.756399999999999</v>
      </c>
      <c r="G1207" s="64" t="s">
        <v>352</v>
      </c>
      <c r="H1207" s="70"/>
      <c r="BA1207" s="132" t="s">
        <v>15</v>
      </c>
      <c r="BB1207" s="4">
        <v>1</v>
      </c>
      <c r="BC1207">
        <v>0</v>
      </c>
    </row>
    <row r="1208" spans="1:55" x14ac:dyDescent="0.3">
      <c r="A1208" s="63">
        <v>5</v>
      </c>
      <c r="B1208" s="65">
        <v>45691</v>
      </c>
      <c r="C1208" s="63">
        <v>1</v>
      </c>
      <c r="D1208" s="38" t="s">
        <v>178</v>
      </c>
      <c r="E1208" s="23" t="s">
        <v>147</v>
      </c>
      <c r="F1208" s="39">
        <v>48.9268</v>
      </c>
      <c r="G1208" s="64" t="s">
        <v>352</v>
      </c>
      <c r="H1208" s="70"/>
      <c r="BA1208" s="132" t="s">
        <v>15</v>
      </c>
      <c r="BB1208" s="4">
        <v>1</v>
      </c>
      <c r="BC1208">
        <v>0</v>
      </c>
    </row>
    <row r="1209" spans="1:55" x14ac:dyDescent="0.3">
      <c r="A1209" s="63">
        <v>6</v>
      </c>
      <c r="B1209" s="65">
        <v>45698</v>
      </c>
      <c r="C1209" s="63">
        <v>1</v>
      </c>
      <c r="D1209" s="38" t="s">
        <v>178</v>
      </c>
      <c r="E1209" s="23" t="s">
        <v>147</v>
      </c>
      <c r="F1209" s="39">
        <v>49.441099999999999</v>
      </c>
      <c r="G1209" s="64" t="s">
        <v>352</v>
      </c>
      <c r="H1209" s="70"/>
      <c r="BA1209" s="132" t="s">
        <v>15</v>
      </c>
      <c r="BB1209" s="4">
        <v>1</v>
      </c>
      <c r="BC1209">
        <v>0</v>
      </c>
    </row>
    <row r="1210" spans="1:55" x14ac:dyDescent="0.3">
      <c r="A1210" s="63">
        <v>7</v>
      </c>
      <c r="B1210" s="65">
        <v>45705</v>
      </c>
      <c r="C1210" s="63">
        <v>1</v>
      </c>
      <c r="D1210" s="38" t="s">
        <v>178</v>
      </c>
      <c r="E1210" s="23" t="s">
        <v>147</v>
      </c>
      <c r="F1210" s="39">
        <v>49.966900000000003</v>
      </c>
      <c r="G1210" s="64" t="s">
        <v>352</v>
      </c>
      <c r="H1210" s="70"/>
      <c r="BA1210" s="132" t="s">
        <v>15</v>
      </c>
      <c r="BB1210" s="4">
        <v>1</v>
      </c>
      <c r="BC1210">
        <v>0</v>
      </c>
    </row>
    <row r="1211" spans="1:55" x14ac:dyDescent="0.3">
      <c r="A1211" s="63">
        <v>8</v>
      </c>
      <c r="B1211" s="65">
        <v>45712</v>
      </c>
      <c r="C1211" s="63">
        <v>1</v>
      </c>
      <c r="D1211" s="38" t="s">
        <v>178</v>
      </c>
      <c r="E1211" s="23" t="s">
        <v>147</v>
      </c>
      <c r="F1211" s="39">
        <v>50.516300000000001</v>
      </c>
      <c r="G1211" s="64" t="s">
        <v>352</v>
      </c>
      <c r="H1211" s="70"/>
      <c r="BA1211" s="132" t="s">
        <v>15</v>
      </c>
      <c r="BB1211" s="4">
        <v>1</v>
      </c>
      <c r="BC1211">
        <v>0</v>
      </c>
    </row>
    <row r="1212" spans="1:55" x14ac:dyDescent="0.3">
      <c r="A1212" s="63">
        <v>9</v>
      </c>
      <c r="B1212" s="65">
        <v>45719</v>
      </c>
      <c r="C1212" s="63">
        <v>1</v>
      </c>
      <c r="D1212" s="38" t="s">
        <v>178</v>
      </c>
      <c r="E1212" s="23" t="s">
        <v>147</v>
      </c>
      <c r="F1212" s="39">
        <v>50.5777</v>
      </c>
      <c r="G1212" s="64" t="s">
        <v>352</v>
      </c>
      <c r="H1212" s="70"/>
      <c r="BA1212" s="132" t="s">
        <v>15</v>
      </c>
      <c r="BB1212" s="4">
        <v>1</v>
      </c>
      <c r="BC1212">
        <v>0</v>
      </c>
    </row>
    <row r="1213" spans="1:55" x14ac:dyDescent="0.3">
      <c r="A1213" s="63">
        <v>10</v>
      </c>
      <c r="B1213" s="65">
        <v>45726</v>
      </c>
      <c r="C1213" s="63">
        <v>1</v>
      </c>
      <c r="D1213" s="38" t="s">
        <v>178</v>
      </c>
      <c r="E1213" s="23" t="s">
        <v>147</v>
      </c>
      <c r="F1213" s="39">
        <v>49.930799999999998</v>
      </c>
      <c r="G1213" s="64" t="s">
        <v>352</v>
      </c>
      <c r="H1213" s="70"/>
      <c r="BA1213" s="132" t="s">
        <v>15</v>
      </c>
      <c r="BB1213" s="4">
        <v>1</v>
      </c>
      <c r="BC1213">
        <v>0</v>
      </c>
    </row>
    <row r="1214" spans="1:55" x14ac:dyDescent="0.3">
      <c r="A1214" s="63">
        <v>11</v>
      </c>
      <c r="B1214" s="65">
        <v>45733</v>
      </c>
      <c r="C1214" s="63">
        <v>1</v>
      </c>
      <c r="D1214" s="38" t="s">
        <v>178</v>
      </c>
      <c r="E1214" s="23" t="s">
        <v>147</v>
      </c>
      <c r="F1214" s="39">
        <v>49.864899999999999</v>
      </c>
      <c r="G1214" s="64" t="s">
        <v>352</v>
      </c>
      <c r="H1214" s="70"/>
      <c r="BA1214" s="132" t="s">
        <v>15</v>
      </c>
      <c r="BB1214" s="4">
        <v>1</v>
      </c>
      <c r="BC1214">
        <v>0</v>
      </c>
    </row>
    <row r="1215" spans="1:55" x14ac:dyDescent="0.3">
      <c r="A1215" s="63">
        <v>12</v>
      </c>
      <c r="B1215" s="65">
        <v>45740</v>
      </c>
      <c r="C1215" s="63">
        <v>1</v>
      </c>
      <c r="D1215" s="38" t="s">
        <v>178</v>
      </c>
      <c r="E1215" s="23" t="s">
        <v>147</v>
      </c>
      <c r="F1215" s="39">
        <v>49.4773</v>
      </c>
      <c r="G1215" s="64" t="s">
        <v>352</v>
      </c>
      <c r="H1215" s="70"/>
      <c r="BA1215" s="132" t="s">
        <v>15</v>
      </c>
      <c r="BB1215" s="4">
        <v>1</v>
      </c>
      <c r="BC1215">
        <v>0</v>
      </c>
    </row>
    <row r="1216" spans="1:55" x14ac:dyDescent="0.3">
      <c r="A1216" s="63">
        <v>13</v>
      </c>
      <c r="B1216" s="65">
        <v>45747</v>
      </c>
      <c r="C1216" s="63">
        <v>1</v>
      </c>
      <c r="D1216" s="38" t="s">
        <v>178</v>
      </c>
      <c r="E1216" s="23" t="s">
        <v>147</v>
      </c>
      <c r="F1216" s="39">
        <v>50.222499999999997</v>
      </c>
      <c r="G1216" s="64" t="s">
        <v>352</v>
      </c>
      <c r="H1216" s="70"/>
      <c r="BA1216" s="132" t="s">
        <v>15</v>
      </c>
      <c r="BB1216" s="4">
        <v>1</v>
      </c>
      <c r="BC1216">
        <v>0</v>
      </c>
    </row>
    <row r="1217" spans="1:55" x14ac:dyDescent="0.3">
      <c r="A1217" s="63">
        <v>14</v>
      </c>
      <c r="B1217" s="65">
        <v>45754</v>
      </c>
      <c r="C1217" s="63">
        <v>1</v>
      </c>
      <c r="D1217" s="38" t="s">
        <v>178</v>
      </c>
      <c r="E1217" s="23" t="s">
        <v>147</v>
      </c>
      <c r="F1217" s="39">
        <v>49.829700000000003</v>
      </c>
      <c r="G1217" s="64" t="s">
        <v>352</v>
      </c>
      <c r="H1217" s="70"/>
      <c r="BA1217" s="132" t="s">
        <v>15</v>
      </c>
      <c r="BB1217" s="4">
        <v>1</v>
      </c>
      <c r="BC1217">
        <v>0</v>
      </c>
    </row>
    <row r="1218" spans="1:55" x14ac:dyDescent="0.3">
      <c r="A1218" s="63">
        <v>15</v>
      </c>
      <c r="B1218" s="65">
        <v>45761</v>
      </c>
      <c r="C1218" s="63">
        <v>1</v>
      </c>
      <c r="D1218" s="38" t="s">
        <v>178</v>
      </c>
      <c r="E1218" s="23" t="s">
        <v>147</v>
      </c>
      <c r="F1218" s="39">
        <v>50.345500000000001</v>
      </c>
      <c r="G1218" s="64" t="s">
        <v>352</v>
      </c>
      <c r="H1218" s="70"/>
      <c r="BA1218" s="132" t="s">
        <v>15</v>
      </c>
      <c r="BB1218" s="4">
        <v>1</v>
      </c>
      <c r="BC1218">
        <v>0</v>
      </c>
    </row>
    <row r="1219" spans="1:55" x14ac:dyDescent="0.3">
      <c r="A1219" s="63">
        <v>16</v>
      </c>
      <c r="B1219" s="65">
        <v>45768</v>
      </c>
      <c r="C1219" s="63">
        <v>1</v>
      </c>
      <c r="D1219" s="38" t="s">
        <v>178</v>
      </c>
      <c r="E1219" s="23" t="s">
        <v>147</v>
      </c>
      <c r="F1219" s="39">
        <v>51.037999999999997</v>
      </c>
      <c r="G1219" s="64" t="s">
        <v>352</v>
      </c>
      <c r="H1219" s="70"/>
      <c r="BA1219" s="132" t="s">
        <v>15</v>
      </c>
      <c r="BB1219" s="4">
        <v>1</v>
      </c>
      <c r="BC1219">
        <v>0</v>
      </c>
    </row>
    <row r="1220" spans="1:55" x14ac:dyDescent="0.3">
      <c r="A1220" s="63">
        <v>17</v>
      </c>
      <c r="B1220" s="65">
        <v>45775</v>
      </c>
      <c r="C1220" s="63">
        <v>1</v>
      </c>
      <c r="D1220" s="38" t="s">
        <v>178</v>
      </c>
      <c r="E1220" s="23" t="s">
        <v>147</v>
      </c>
      <c r="F1220" s="39">
        <v>49.959699999999998</v>
      </c>
      <c r="G1220" s="64" t="s">
        <v>352</v>
      </c>
      <c r="H1220" s="70"/>
      <c r="BA1220" s="132" t="s">
        <v>15</v>
      </c>
      <c r="BB1220" s="4">
        <v>1</v>
      </c>
      <c r="BC1220">
        <v>0</v>
      </c>
    </row>
    <row r="1221" spans="1:55" x14ac:dyDescent="0.3">
      <c r="A1221" s="63">
        <v>18</v>
      </c>
      <c r="B1221" s="65">
        <v>45782</v>
      </c>
      <c r="C1221" s="63">
        <v>1</v>
      </c>
      <c r="D1221" s="38" t="s">
        <v>178</v>
      </c>
      <c r="E1221" s="23" t="s">
        <v>147</v>
      </c>
      <c r="F1221" s="39">
        <v>49.074300000000001</v>
      </c>
      <c r="G1221" s="64" t="s">
        <v>352</v>
      </c>
      <c r="H1221" s="70"/>
      <c r="BA1221" s="132" t="s">
        <v>15</v>
      </c>
      <c r="BB1221" s="4">
        <v>1</v>
      </c>
      <c r="BC1221">
        <v>0</v>
      </c>
    </row>
    <row r="1222" spans="1:55" x14ac:dyDescent="0.3">
      <c r="A1222" s="63">
        <v>19</v>
      </c>
      <c r="B1222" s="65">
        <v>45789</v>
      </c>
      <c r="C1222" s="63">
        <v>1</v>
      </c>
      <c r="D1222" s="38" t="s">
        <v>178</v>
      </c>
      <c r="E1222" s="23" t="s">
        <v>147</v>
      </c>
      <c r="F1222" s="39">
        <v>49.459000000000003</v>
      </c>
      <c r="G1222" s="64" t="s">
        <v>352</v>
      </c>
      <c r="H1222" s="70"/>
      <c r="BA1222" s="132" t="s">
        <v>15</v>
      </c>
      <c r="BB1222" s="4">
        <v>1</v>
      </c>
      <c r="BC1222">
        <v>0</v>
      </c>
    </row>
    <row r="1223" spans="1:55" x14ac:dyDescent="0.3">
      <c r="A1223" s="63">
        <v>20</v>
      </c>
      <c r="B1223" s="65">
        <v>45796</v>
      </c>
      <c r="C1223" s="63">
        <v>1</v>
      </c>
      <c r="D1223" s="38" t="s">
        <v>178</v>
      </c>
      <c r="E1223" s="23" t="s">
        <v>147</v>
      </c>
      <c r="F1223" s="39">
        <v>49.097999999999999</v>
      </c>
      <c r="G1223" s="64" t="s">
        <v>352</v>
      </c>
      <c r="H1223" s="70"/>
      <c r="BA1223" s="132" t="s">
        <v>15</v>
      </c>
      <c r="BB1223" s="4">
        <v>1</v>
      </c>
      <c r="BC1223">
        <v>0</v>
      </c>
    </row>
    <row r="1224" spans="1:55" x14ac:dyDescent="0.3">
      <c r="A1224" s="63">
        <v>21</v>
      </c>
      <c r="B1224" s="65">
        <v>45803</v>
      </c>
      <c r="C1224" s="63">
        <v>1</v>
      </c>
      <c r="D1224" s="38" t="s">
        <v>178</v>
      </c>
      <c r="E1224" s="23" t="s">
        <v>147</v>
      </c>
      <c r="F1224" s="39">
        <v>49.255800000000001</v>
      </c>
      <c r="G1224" s="64" t="s">
        <v>352</v>
      </c>
      <c r="H1224" s="70"/>
      <c r="BA1224" s="132" t="s">
        <v>15</v>
      </c>
      <c r="BB1224" s="4">
        <v>1</v>
      </c>
      <c r="BC1224">
        <v>0</v>
      </c>
    </row>
    <row r="1225" spans="1:55" x14ac:dyDescent="0.3">
      <c r="A1225" s="63">
        <v>22</v>
      </c>
      <c r="B1225" s="65">
        <v>45810</v>
      </c>
      <c r="C1225" s="63">
        <v>1</v>
      </c>
      <c r="D1225" s="38" t="s">
        <v>178</v>
      </c>
      <c r="E1225" s="23" t="s">
        <v>147</v>
      </c>
      <c r="F1225" s="39">
        <v>50.7682</v>
      </c>
      <c r="G1225" s="64" t="s">
        <v>352</v>
      </c>
      <c r="H1225" s="70"/>
      <c r="BA1225" s="132" t="s">
        <v>15</v>
      </c>
      <c r="BB1225" s="4">
        <v>1</v>
      </c>
      <c r="BC1225">
        <v>0</v>
      </c>
    </row>
    <row r="1226" spans="1:55" x14ac:dyDescent="0.3">
      <c r="A1226" s="63">
        <v>23</v>
      </c>
      <c r="B1226" s="65">
        <v>45817</v>
      </c>
      <c r="C1226" s="63">
        <v>1</v>
      </c>
      <c r="D1226" s="38" t="s">
        <v>178</v>
      </c>
      <c r="E1226" s="23" t="s">
        <v>147</v>
      </c>
      <c r="F1226" s="39">
        <v>50.116300000000003</v>
      </c>
      <c r="G1226" s="64" t="s">
        <v>352</v>
      </c>
      <c r="H1226" s="70"/>
      <c r="BA1226" s="132" t="s">
        <v>15</v>
      </c>
      <c r="BB1226" s="4">
        <v>1</v>
      </c>
      <c r="BC1226">
        <v>0</v>
      </c>
    </row>
    <row r="1227" spans="1:55" x14ac:dyDescent="0.3">
      <c r="A1227" s="63">
        <v>24</v>
      </c>
      <c r="B1227" s="65">
        <v>45824</v>
      </c>
      <c r="C1227" s="63">
        <v>1</v>
      </c>
      <c r="D1227" s="38" t="s">
        <v>178</v>
      </c>
      <c r="E1227" s="23" t="s">
        <v>147</v>
      </c>
      <c r="F1227" s="39">
        <v>49.060600000000001</v>
      </c>
      <c r="G1227" s="64" t="s">
        <v>352</v>
      </c>
      <c r="H1227" s="70"/>
      <c r="BA1227" s="132" t="s">
        <v>15</v>
      </c>
      <c r="BB1227" s="4">
        <v>1</v>
      </c>
      <c r="BC1227">
        <v>0</v>
      </c>
    </row>
    <row r="1228" spans="1:55" x14ac:dyDescent="0.3">
      <c r="A1228" s="63">
        <v>25</v>
      </c>
      <c r="B1228" s="65">
        <v>45831</v>
      </c>
      <c r="C1228" s="63">
        <v>1</v>
      </c>
      <c r="D1228" s="38" t="s">
        <v>178</v>
      </c>
      <c r="E1228" s="23" t="s">
        <v>147</v>
      </c>
      <c r="F1228" s="39">
        <v>50.374400000000001</v>
      </c>
      <c r="G1228" s="64" t="s">
        <v>352</v>
      </c>
      <c r="H1228" s="70"/>
      <c r="BA1228" s="132" t="s">
        <v>15</v>
      </c>
      <c r="BB1228" s="4">
        <v>1</v>
      </c>
      <c r="BC1228">
        <v>0</v>
      </c>
    </row>
    <row r="1229" spans="1:55" x14ac:dyDescent="0.3">
      <c r="A1229" s="63">
        <v>1</v>
      </c>
      <c r="B1229" s="65">
        <v>45663</v>
      </c>
      <c r="C1229" s="63">
        <v>2</v>
      </c>
      <c r="D1229" s="38" t="s">
        <v>179</v>
      </c>
      <c r="E1229" s="23" t="s">
        <v>147</v>
      </c>
      <c r="F1229" s="39">
        <v>14.8825</v>
      </c>
      <c r="G1229" s="64" t="s">
        <v>352</v>
      </c>
      <c r="H1229" s="70"/>
      <c r="BA1229" s="132" t="s">
        <v>15</v>
      </c>
      <c r="BB1229" s="4">
        <v>0</v>
      </c>
      <c r="BC1229">
        <v>0</v>
      </c>
    </row>
    <row r="1230" spans="1:55" x14ac:dyDescent="0.3">
      <c r="A1230" s="63">
        <v>2</v>
      </c>
      <c r="B1230" s="65">
        <v>45670</v>
      </c>
      <c r="C1230" s="63">
        <v>2</v>
      </c>
      <c r="D1230" s="38" t="s">
        <v>179</v>
      </c>
      <c r="E1230" s="23" t="s">
        <v>147</v>
      </c>
      <c r="F1230" s="39">
        <v>14.7499</v>
      </c>
      <c r="G1230" s="64" t="s">
        <v>352</v>
      </c>
      <c r="H1230" s="70"/>
      <c r="BA1230" s="132" t="s">
        <v>15</v>
      </c>
      <c r="BB1230" s="4">
        <v>0</v>
      </c>
      <c r="BC1230">
        <v>0</v>
      </c>
    </row>
    <row r="1231" spans="1:55" x14ac:dyDescent="0.3">
      <c r="A1231" s="63">
        <v>3</v>
      </c>
      <c r="B1231" s="65">
        <v>45677</v>
      </c>
      <c r="C1231" s="63">
        <v>2</v>
      </c>
      <c r="D1231" s="38" t="s">
        <v>179</v>
      </c>
      <c r="E1231" s="23" t="s">
        <v>147</v>
      </c>
      <c r="F1231" s="39">
        <v>14.724</v>
      </c>
      <c r="G1231" s="64" t="s">
        <v>352</v>
      </c>
      <c r="H1231" s="70"/>
      <c r="BA1231" s="132" t="s">
        <v>15</v>
      </c>
      <c r="BB1231" s="4">
        <v>0</v>
      </c>
      <c r="BC1231">
        <v>0</v>
      </c>
    </row>
    <row r="1232" spans="1:55" x14ac:dyDescent="0.3">
      <c r="A1232" s="63">
        <v>4</v>
      </c>
      <c r="B1232" s="65">
        <v>45684</v>
      </c>
      <c r="C1232" s="63">
        <v>2</v>
      </c>
      <c r="D1232" s="38" t="s">
        <v>179</v>
      </c>
      <c r="E1232" s="23" t="s">
        <v>147</v>
      </c>
      <c r="F1232" s="39">
        <v>14.7517</v>
      </c>
      <c r="G1232" s="64" t="s">
        <v>352</v>
      </c>
      <c r="H1232" s="70"/>
      <c r="BA1232" s="132" t="s">
        <v>15</v>
      </c>
      <c r="BB1232" s="4">
        <v>0</v>
      </c>
      <c r="BC1232">
        <v>0</v>
      </c>
    </row>
    <row r="1233" spans="1:55" x14ac:dyDescent="0.3">
      <c r="A1233" s="63">
        <v>5</v>
      </c>
      <c r="B1233" s="65">
        <v>45691</v>
      </c>
      <c r="C1233" s="63">
        <v>2</v>
      </c>
      <c r="D1233" s="38" t="s">
        <v>179</v>
      </c>
      <c r="E1233" s="23" t="s">
        <v>147</v>
      </c>
      <c r="F1233" s="39">
        <v>14.8026</v>
      </c>
      <c r="G1233" s="64" t="s">
        <v>352</v>
      </c>
      <c r="H1233" s="70"/>
      <c r="BA1233" s="132" t="s">
        <v>15</v>
      </c>
      <c r="BB1233" s="4">
        <v>0</v>
      </c>
      <c r="BC1233">
        <v>0</v>
      </c>
    </row>
    <row r="1234" spans="1:55" x14ac:dyDescent="0.3">
      <c r="A1234" s="63">
        <v>6</v>
      </c>
      <c r="B1234" s="65">
        <v>45698</v>
      </c>
      <c r="C1234" s="63">
        <v>2</v>
      </c>
      <c r="D1234" s="38" t="s">
        <v>179</v>
      </c>
      <c r="E1234" s="23" t="s">
        <v>147</v>
      </c>
      <c r="F1234" s="39">
        <v>14.8317</v>
      </c>
      <c r="G1234" s="64" t="s">
        <v>352</v>
      </c>
      <c r="H1234" s="70"/>
      <c r="BA1234" s="132" t="s">
        <v>15</v>
      </c>
      <c r="BB1234" s="4">
        <v>0</v>
      </c>
      <c r="BC1234">
        <v>0</v>
      </c>
    </row>
    <row r="1235" spans="1:55" x14ac:dyDescent="0.3">
      <c r="A1235" s="63">
        <v>7</v>
      </c>
      <c r="B1235" s="65">
        <v>45705</v>
      </c>
      <c r="C1235" s="63">
        <v>2</v>
      </c>
      <c r="D1235" s="38" t="s">
        <v>179</v>
      </c>
      <c r="E1235" s="23" t="s">
        <v>147</v>
      </c>
      <c r="F1235" s="39">
        <v>14.876099999999999</v>
      </c>
      <c r="G1235" s="64" t="s">
        <v>352</v>
      </c>
      <c r="H1235" s="70"/>
      <c r="BA1235" s="132" t="s">
        <v>15</v>
      </c>
      <c r="BB1235" s="4">
        <v>0</v>
      </c>
      <c r="BC1235">
        <v>0</v>
      </c>
    </row>
    <row r="1236" spans="1:55" x14ac:dyDescent="0.3">
      <c r="A1236" s="63">
        <v>8</v>
      </c>
      <c r="B1236" s="65">
        <v>45712</v>
      </c>
      <c r="C1236" s="63">
        <v>2</v>
      </c>
      <c r="D1236" s="38" t="s">
        <v>179</v>
      </c>
      <c r="E1236" s="23" t="s">
        <v>147</v>
      </c>
      <c r="F1236" s="39">
        <v>14.8786</v>
      </c>
      <c r="G1236" s="64" t="s">
        <v>352</v>
      </c>
      <c r="H1236" s="70"/>
      <c r="BA1236" s="132" t="s">
        <v>15</v>
      </c>
      <c r="BB1236" s="4">
        <v>0</v>
      </c>
      <c r="BC1236">
        <v>0</v>
      </c>
    </row>
    <row r="1237" spans="1:55" x14ac:dyDescent="0.3">
      <c r="A1237" s="63">
        <v>9</v>
      </c>
      <c r="B1237" s="65">
        <v>45719</v>
      </c>
      <c r="C1237" s="63">
        <v>2</v>
      </c>
      <c r="D1237" s="38" t="s">
        <v>179</v>
      </c>
      <c r="E1237" s="23" t="s">
        <v>147</v>
      </c>
      <c r="F1237" s="39">
        <v>14.876300000000001</v>
      </c>
      <c r="G1237" s="64" t="s">
        <v>352</v>
      </c>
      <c r="H1237" s="70"/>
      <c r="BA1237" s="132" t="s">
        <v>15</v>
      </c>
      <c r="BB1237" s="4">
        <v>0</v>
      </c>
      <c r="BC1237">
        <v>0</v>
      </c>
    </row>
    <row r="1238" spans="1:55" x14ac:dyDescent="0.3">
      <c r="A1238" s="63">
        <v>10</v>
      </c>
      <c r="B1238" s="65">
        <v>45726</v>
      </c>
      <c r="C1238" s="63">
        <v>2</v>
      </c>
      <c r="D1238" s="38" t="s">
        <v>179</v>
      </c>
      <c r="E1238" s="23" t="s">
        <v>147</v>
      </c>
      <c r="F1238" s="39">
        <v>14.8908</v>
      </c>
      <c r="G1238" s="64" t="s">
        <v>352</v>
      </c>
      <c r="H1238" s="70"/>
      <c r="BA1238" s="132" t="s">
        <v>15</v>
      </c>
      <c r="BB1238" s="4">
        <v>0</v>
      </c>
      <c r="BC1238">
        <v>0</v>
      </c>
    </row>
    <row r="1239" spans="1:55" x14ac:dyDescent="0.3">
      <c r="A1239" s="63">
        <v>11</v>
      </c>
      <c r="B1239" s="65">
        <v>45733</v>
      </c>
      <c r="C1239" s="63">
        <v>2</v>
      </c>
      <c r="D1239" s="38" t="s">
        <v>179</v>
      </c>
      <c r="E1239" s="23" t="s">
        <v>147</v>
      </c>
      <c r="F1239" s="39">
        <v>14.833399999999999</v>
      </c>
      <c r="G1239" s="64" t="s">
        <v>352</v>
      </c>
      <c r="H1239" s="70"/>
      <c r="BA1239" s="132" t="s">
        <v>15</v>
      </c>
      <c r="BB1239" s="4">
        <v>0</v>
      </c>
      <c r="BC1239">
        <v>0</v>
      </c>
    </row>
    <row r="1240" spans="1:55" x14ac:dyDescent="0.3">
      <c r="A1240" s="63">
        <v>12</v>
      </c>
      <c r="B1240" s="65">
        <v>45740</v>
      </c>
      <c r="C1240" s="63">
        <v>2</v>
      </c>
      <c r="D1240" s="38" t="s">
        <v>179</v>
      </c>
      <c r="E1240" s="23" t="s">
        <v>147</v>
      </c>
      <c r="F1240" s="39">
        <v>14.654</v>
      </c>
      <c r="G1240" s="64" t="s">
        <v>352</v>
      </c>
      <c r="H1240" s="70"/>
      <c r="BA1240" s="132" t="s">
        <v>15</v>
      </c>
      <c r="BB1240" s="4">
        <v>0</v>
      </c>
      <c r="BC1240">
        <v>0</v>
      </c>
    </row>
    <row r="1241" spans="1:55" x14ac:dyDescent="0.3">
      <c r="A1241" s="63">
        <v>13</v>
      </c>
      <c r="B1241" s="65">
        <v>45747</v>
      </c>
      <c r="C1241" s="63">
        <v>2</v>
      </c>
      <c r="D1241" s="38" t="s">
        <v>179</v>
      </c>
      <c r="E1241" s="23" t="s">
        <v>147</v>
      </c>
      <c r="F1241" s="39">
        <v>14.768599999999999</v>
      </c>
      <c r="G1241" s="64" t="s">
        <v>352</v>
      </c>
      <c r="H1241" s="70"/>
      <c r="BA1241" s="132" t="s">
        <v>15</v>
      </c>
      <c r="BB1241" s="4">
        <v>0</v>
      </c>
      <c r="BC1241">
        <v>0</v>
      </c>
    </row>
    <row r="1242" spans="1:55" x14ac:dyDescent="0.3">
      <c r="A1242" s="63">
        <v>14</v>
      </c>
      <c r="B1242" s="65">
        <v>45754</v>
      </c>
      <c r="C1242" s="63">
        <v>2</v>
      </c>
      <c r="D1242" s="38" t="s">
        <v>179</v>
      </c>
      <c r="E1242" s="23" t="s">
        <v>147</v>
      </c>
      <c r="F1242" s="39">
        <v>14.805</v>
      </c>
      <c r="G1242" s="64" t="s">
        <v>352</v>
      </c>
      <c r="H1242" s="70"/>
      <c r="BA1242" s="132" t="s">
        <v>15</v>
      </c>
      <c r="BB1242" s="4">
        <v>0</v>
      </c>
      <c r="BC1242">
        <v>0</v>
      </c>
    </row>
    <row r="1243" spans="1:55" x14ac:dyDescent="0.3">
      <c r="A1243" s="63">
        <v>15</v>
      </c>
      <c r="B1243" s="65">
        <v>45761</v>
      </c>
      <c r="C1243" s="63">
        <v>2</v>
      </c>
      <c r="D1243" s="38" t="s">
        <v>179</v>
      </c>
      <c r="E1243" s="23" t="s">
        <v>147</v>
      </c>
      <c r="F1243" s="39">
        <v>14.747999999999999</v>
      </c>
      <c r="G1243" s="64" t="s">
        <v>352</v>
      </c>
      <c r="H1243" s="70"/>
      <c r="BA1243" s="132" t="s">
        <v>15</v>
      </c>
      <c r="BB1243" s="4">
        <v>0</v>
      </c>
      <c r="BC1243">
        <v>0</v>
      </c>
    </row>
    <row r="1244" spans="1:55" x14ac:dyDescent="0.3">
      <c r="A1244" s="63">
        <v>16</v>
      </c>
      <c r="B1244" s="65">
        <v>45768</v>
      </c>
      <c r="C1244" s="63">
        <v>2</v>
      </c>
      <c r="D1244" s="38" t="s">
        <v>179</v>
      </c>
      <c r="E1244" s="23" t="s">
        <v>147</v>
      </c>
      <c r="F1244" s="39">
        <v>14.853899999999999</v>
      </c>
      <c r="G1244" s="64" t="s">
        <v>352</v>
      </c>
      <c r="H1244" s="70"/>
      <c r="BA1244" s="132" t="s">
        <v>15</v>
      </c>
      <c r="BB1244" s="4">
        <v>0</v>
      </c>
      <c r="BC1244">
        <v>0</v>
      </c>
    </row>
    <row r="1245" spans="1:55" x14ac:dyDescent="0.3">
      <c r="A1245" s="63">
        <v>17</v>
      </c>
      <c r="B1245" s="65">
        <v>45775</v>
      </c>
      <c r="C1245" s="63">
        <v>2</v>
      </c>
      <c r="D1245" s="38" t="s">
        <v>179</v>
      </c>
      <c r="E1245" s="23" t="s">
        <v>147</v>
      </c>
      <c r="F1245" s="39">
        <v>14.7498</v>
      </c>
      <c r="G1245" s="64" t="s">
        <v>352</v>
      </c>
      <c r="H1245" s="70"/>
      <c r="BA1245" s="132" t="s">
        <v>15</v>
      </c>
      <c r="BB1245" s="4">
        <v>0</v>
      </c>
      <c r="BC1245">
        <v>0</v>
      </c>
    </row>
    <row r="1246" spans="1:55" x14ac:dyDescent="0.3">
      <c r="A1246" s="63">
        <v>18</v>
      </c>
      <c r="B1246" s="65">
        <v>45782</v>
      </c>
      <c r="C1246" s="63">
        <v>2</v>
      </c>
      <c r="D1246" s="38" t="s">
        <v>179</v>
      </c>
      <c r="E1246" s="23" t="s">
        <v>147</v>
      </c>
      <c r="F1246" s="39">
        <v>14.7035</v>
      </c>
      <c r="G1246" s="64" t="s">
        <v>352</v>
      </c>
      <c r="H1246" s="70"/>
      <c r="BA1246" s="132" t="s">
        <v>15</v>
      </c>
      <c r="BB1246" s="4">
        <v>0</v>
      </c>
      <c r="BC1246">
        <v>0</v>
      </c>
    </row>
    <row r="1247" spans="1:55" x14ac:dyDescent="0.3">
      <c r="A1247" s="63">
        <v>19</v>
      </c>
      <c r="B1247" s="65">
        <v>45789</v>
      </c>
      <c r="C1247" s="63">
        <v>2</v>
      </c>
      <c r="D1247" s="38" t="s">
        <v>179</v>
      </c>
      <c r="E1247" s="23" t="s">
        <v>147</v>
      </c>
      <c r="F1247" s="39">
        <v>14.897500000000001</v>
      </c>
      <c r="G1247" s="64" t="s">
        <v>352</v>
      </c>
      <c r="H1247" s="70"/>
      <c r="BA1247" s="132" t="s">
        <v>15</v>
      </c>
      <c r="BB1247" s="4">
        <v>0</v>
      </c>
      <c r="BC1247">
        <v>0</v>
      </c>
    </row>
    <row r="1248" spans="1:55" x14ac:dyDescent="0.3">
      <c r="A1248" s="63">
        <v>20</v>
      </c>
      <c r="B1248" s="65">
        <v>45796</v>
      </c>
      <c r="C1248" s="63">
        <v>2</v>
      </c>
      <c r="D1248" s="38" t="s">
        <v>179</v>
      </c>
      <c r="E1248" s="23" t="s">
        <v>147</v>
      </c>
      <c r="F1248" s="39">
        <v>14.8338</v>
      </c>
      <c r="G1248" s="64" t="s">
        <v>352</v>
      </c>
      <c r="H1248" s="70"/>
      <c r="BA1248" s="132" t="s">
        <v>15</v>
      </c>
      <c r="BB1248" s="4">
        <v>0</v>
      </c>
      <c r="BC1248">
        <v>0</v>
      </c>
    </row>
    <row r="1249" spans="1:55" x14ac:dyDescent="0.3">
      <c r="A1249" s="63">
        <v>21</v>
      </c>
      <c r="B1249" s="65">
        <v>45803</v>
      </c>
      <c r="C1249" s="63">
        <v>2</v>
      </c>
      <c r="D1249" s="38" t="s">
        <v>179</v>
      </c>
      <c r="E1249" s="23" t="s">
        <v>147</v>
      </c>
      <c r="F1249" s="39">
        <v>14.7973</v>
      </c>
      <c r="G1249" s="64" t="s">
        <v>352</v>
      </c>
      <c r="H1249" s="70"/>
      <c r="BA1249" s="132" t="s">
        <v>15</v>
      </c>
      <c r="BB1249" s="4">
        <v>0</v>
      </c>
      <c r="BC1249">
        <v>0</v>
      </c>
    </row>
    <row r="1250" spans="1:55" x14ac:dyDescent="0.3">
      <c r="A1250" s="63">
        <v>22</v>
      </c>
      <c r="B1250" s="65">
        <v>45810</v>
      </c>
      <c r="C1250" s="63">
        <v>2</v>
      </c>
      <c r="D1250" s="38" t="s">
        <v>179</v>
      </c>
      <c r="E1250" s="23" t="s">
        <v>147</v>
      </c>
      <c r="F1250" s="39">
        <v>14.8552</v>
      </c>
      <c r="G1250" s="64" t="s">
        <v>352</v>
      </c>
      <c r="H1250" s="70"/>
      <c r="BA1250" s="132" t="s">
        <v>15</v>
      </c>
      <c r="BB1250" s="4">
        <v>0</v>
      </c>
      <c r="BC1250">
        <v>0</v>
      </c>
    </row>
    <row r="1251" spans="1:55" x14ac:dyDescent="0.3">
      <c r="A1251" s="63">
        <v>23</v>
      </c>
      <c r="B1251" s="65">
        <v>45817</v>
      </c>
      <c r="C1251" s="63">
        <v>2</v>
      </c>
      <c r="D1251" s="38" t="s">
        <v>179</v>
      </c>
      <c r="E1251" s="23" t="s">
        <v>147</v>
      </c>
      <c r="F1251" s="39">
        <v>14.866300000000001</v>
      </c>
      <c r="G1251" s="64" t="s">
        <v>352</v>
      </c>
      <c r="H1251" s="70"/>
      <c r="BA1251" s="132" t="s">
        <v>15</v>
      </c>
      <c r="BB1251" s="4">
        <v>0</v>
      </c>
      <c r="BC1251">
        <v>0</v>
      </c>
    </row>
    <row r="1252" spans="1:55" x14ac:dyDescent="0.3">
      <c r="A1252" s="63">
        <v>24</v>
      </c>
      <c r="B1252" s="65">
        <v>45824</v>
      </c>
      <c r="C1252" s="63">
        <v>2</v>
      </c>
      <c r="D1252" s="38" t="s">
        <v>179</v>
      </c>
      <c r="E1252" s="23" t="s">
        <v>147</v>
      </c>
      <c r="F1252" s="39">
        <v>14.8072</v>
      </c>
      <c r="G1252" s="64" t="s">
        <v>352</v>
      </c>
      <c r="H1252" s="70"/>
      <c r="BA1252" s="132" t="s">
        <v>15</v>
      </c>
      <c r="BB1252" s="4">
        <v>0</v>
      </c>
      <c r="BC1252">
        <v>0</v>
      </c>
    </row>
    <row r="1253" spans="1:55" x14ac:dyDescent="0.3">
      <c r="A1253" s="63">
        <v>25</v>
      </c>
      <c r="B1253" s="65">
        <v>45831</v>
      </c>
      <c r="C1253" s="63">
        <v>2</v>
      </c>
      <c r="D1253" s="38" t="s">
        <v>179</v>
      </c>
      <c r="E1253" s="23" t="s">
        <v>147</v>
      </c>
      <c r="F1253" s="39">
        <v>14.578099999999999</v>
      </c>
      <c r="G1253" s="64" t="s">
        <v>352</v>
      </c>
      <c r="H1253" s="70"/>
      <c r="BA1253" s="132" t="s">
        <v>15</v>
      </c>
      <c r="BB1253" s="4">
        <v>0</v>
      </c>
      <c r="BC1253">
        <v>0</v>
      </c>
    </row>
    <row r="1254" spans="1:55" x14ac:dyDescent="0.3">
      <c r="A1254" s="63">
        <v>1</v>
      </c>
      <c r="B1254" s="65">
        <v>45663</v>
      </c>
      <c r="C1254" s="63">
        <v>3</v>
      </c>
      <c r="D1254" s="38" t="s">
        <v>180</v>
      </c>
      <c r="E1254" s="23" t="s">
        <v>147</v>
      </c>
      <c r="F1254" s="39">
        <v>46.912500000000001</v>
      </c>
      <c r="G1254" s="64" t="s">
        <v>352</v>
      </c>
      <c r="H1254" s="70"/>
      <c r="BA1254" s="132" t="s">
        <v>15</v>
      </c>
      <c r="BB1254" s="4">
        <v>0</v>
      </c>
      <c r="BC1254">
        <v>0</v>
      </c>
    </row>
    <row r="1255" spans="1:55" x14ac:dyDescent="0.3">
      <c r="A1255" s="63">
        <v>2</v>
      </c>
      <c r="B1255" s="65">
        <v>45670</v>
      </c>
      <c r="C1255" s="63">
        <v>3</v>
      </c>
      <c r="D1255" s="38" t="s">
        <v>180</v>
      </c>
      <c r="E1255" s="23" t="s">
        <v>147</v>
      </c>
      <c r="F1255" s="39">
        <v>47.034799999999997</v>
      </c>
      <c r="G1255" s="64" t="s">
        <v>352</v>
      </c>
      <c r="H1255" s="70"/>
      <c r="BA1255" s="132" t="s">
        <v>15</v>
      </c>
      <c r="BB1255" s="4">
        <v>0</v>
      </c>
      <c r="BC1255">
        <v>0</v>
      </c>
    </row>
    <row r="1256" spans="1:55" x14ac:dyDescent="0.3">
      <c r="A1256" s="63">
        <v>3</v>
      </c>
      <c r="B1256" s="65">
        <v>45677</v>
      </c>
      <c r="C1256" s="63">
        <v>3</v>
      </c>
      <c r="D1256" s="38" t="s">
        <v>180</v>
      </c>
      <c r="E1256" s="23" t="s">
        <v>147</v>
      </c>
      <c r="F1256" s="39">
        <v>46.740200000000002</v>
      </c>
      <c r="G1256" s="64" t="s">
        <v>352</v>
      </c>
      <c r="H1256" s="70"/>
      <c r="BA1256" s="132" t="s">
        <v>15</v>
      </c>
      <c r="BB1256" s="4">
        <v>0</v>
      </c>
      <c r="BC1256">
        <v>0</v>
      </c>
    </row>
    <row r="1257" spans="1:55" x14ac:dyDescent="0.3">
      <c r="A1257" s="63">
        <v>4</v>
      </c>
      <c r="B1257" s="65">
        <v>45684</v>
      </c>
      <c r="C1257" s="63">
        <v>3</v>
      </c>
      <c r="D1257" s="38" t="s">
        <v>180</v>
      </c>
      <c r="E1257" s="23" t="s">
        <v>147</v>
      </c>
      <c r="F1257" s="39">
        <v>47.400599999999997</v>
      </c>
      <c r="G1257" s="64" t="s">
        <v>352</v>
      </c>
      <c r="H1257" s="70"/>
      <c r="BA1257" s="132" t="s">
        <v>15</v>
      </c>
      <c r="BB1257" s="4">
        <v>0</v>
      </c>
      <c r="BC1257">
        <v>0</v>
      </c>
    </row>
    <row r="1258" spans="1:55" x14ac:dyDescent="0.3">
      <c r="A1258" s="63">
        <v>5</v>
      </c>
      <c r="B1258" s="65">
        <v>45691</v>
      </c>
      <c r="C1258" s="63">
        <v>3</v>
      </c>
      <c r="D1258" s="38" t="s">
        <v>180</v>
      </c>
      <c r="E1258" s="23" t="s">
        <v>147</v>
      </c>
      <c r="F1258" s="39">
        <v>47.955199999999998</v>
      </c>
      <c r="G1258" s="64" t="s">
        <v>352</v>
      </c>
      <c r="H1258" s="70"/>
      <c r="BA1258" s="132" t="s">
        <v>15</v>
      </c>
      <c r="BB1258" s="4">
        <v>0</v>
      </c>
      <c r="BC1258">
        <v>0</v>
      </c>
    </row>
    <row r="1259" spans="1:55" x14ac:dyDescent="0.3">
      <c r="A1259" s="63">
        <v>6</v>
      </c>
      <c r="B1259" s="65">
        <v>45698</v>
      </c>
      <c r="C1259" s="63">
        <v>3</v>
      </c>
      <c r="D1259" s="38" t="s">
        <v>180</v>
      </c>
      <c r="E1259" s="23" t="s">
        <v>147</v>
      </c>
      <c r="F1259" s="39">
        <v>47.018900000000002</v>
      </c>
      <c r="G1259" s="64" t="s">
        <v>352</v>
      </c>
      <c r="H1259" s="70"/>
      <c r="BA1259" s="132" t="s">
        <v>15</v>
      </c>
      <c r="BB1259" s="4">
        <v>0</v>
      </c>
      <c r="BC1259">
        <v>0</v>
      </c>
    </row>
    <row r="1260" spans="1:55" x14ac:dyDescent="0.3">
      <c r="A1260" s="63">
        <v>7</v>
      </c>
      <c r="B1260" s="65">
        <v>45705</v>
      </c>
      <c r="C1260" s="63">
        <v>3</v>
      </c>
      <c r="D1260" s="38" t="s">
        <v>180</v>
      </c>
      <c r="E1260" s="23" t="s">
        <v>147</v>
      </c>
      <c r="F1260" s="39">
        <v>46.656100000000002</v>
      </c>
      <c r="G1260" s="64" t="s">
        <v>352</v>
      </c>
      <c r="H1260" s="70"/>
      <c r="BA1260" s="132" t="s">
        <v>15</v>
      </c>
      <c r="BB1260" s="4">
        <v>0</v>
      </c>
      <c r="BC1260">
        <v>0</v>
      </c>
    </row>
    <row r="1261" spans="1:55" x14ac:dyDescent="0.3">
      <c r="A1261" s="63">
        <v>8</v>
      </c>
      <c r="B1261" s="65">
        <v>45712</v>
      </c>
      <c r="C1261" s="63">
        <v>3</v>
      </c>
      <c r="D1261" s="38" t="s">
        <v>180</v>
      </c>
      <c r="E1261" s="23" t="s">
        <v>147</v>
      </c>
      <c r="F1261" s="39">
        <v>48.421900000000001</v>
      </c>
      <c r="G1261" s="64" t="s">
        <v>352</v>
      </c>
      <c r="H1261" s="70"/>
      <c r="BA1261" s="132" t="s">
        <v>15</v>
      </c>
      <c r="BB1261" s="4">
        <v>0</v>
      </c>
      <c r="BC1261">
        <v>0</v>
      </c>
    </row>
    <row r="1262" spans="1:55" x14ac:dyDescent="0.3">
      <c r="A1262" s="63">
        <v>9</v>
      </c>
      <c r="B1262" s="65">
        <v>45719</v>
      </c>
      <c r="C1262" s="63">
        <v>3</v>
      </c>
      <c r="D1262" s="38" t="s">
        <v>180</v>
      </c>
      <c r="E1262" s="23" t="s">
        <v>147</v>
      </c>
      <c r="F1262" s="39">
        <v>47.037599999999998</v>
      </c>
      <c r="G1262" s="64" t="s">
        <v>352</v>
      </c>
      <c r="H1262" s="70"/>
      <c r="BA1262" s="132" t="s">
        <v>15</v>
      </c>
      <c r="BB1262" s="4">
        <v>0</v>
      </c>
      <c r="BC1262">
        <v>0</v>
      </c>
    </row>
    <row r="1263" spans="1:55" x14ac:dyDescent="0.3">
      <c r="A1263" s="63">
        <v>10</v>
      </c>
      <c r="B1263" s="65">
        <v>45726</v>
      </c>
      <c r="C1263" s="63">
        <v>3</v>
      </c>
      <c r="D1263" s="38" t="s">
        <v>180</v>
      </c>
      <c r="E1263" s="23" t="s">
        <v>147</v>
      </c>
      <c r="F1263" s="39">
        <v>46.601300000000002</v>
      </c>
      <c r="G1263" s="64" t="s">
        <v>352</v>
      </c>
      <c r="H1263" s="70"/>
      <c r="BA1263" s="132" t="s">
        <v>15</v>
      </c>
      <c r="BB1263" s="4">
        <v>0</v>
      </c>
      <c r="BC1263">
        <v>0</v>
      </c>
    </row>
    <row r="1264" spans="1:55" x14ac:dyDescent="0.3">
      <c r="A1264" s="63">
        <v>11</v>
      </c>
      <c r="B1264" s="65">
        <v>45733</v>
      </c>
      <c r="C1264" s="63">
        <v>3</v>
      </c>
      <c r="D1264" s="38" t="s">
        <v>180</v>
      </c>
      <c r="E1264" s="23" t="s">
        <v>147</v>
      </c>
      <c r="F1264" s="39">
        <v>47.4223</v>
      </c>
      <c r="G1264" s="64" t="s">
        <v>352</v>
      </c>
      <c r="H1264" s="70"/>
      <c r="BA1264" s="132" t="s">
        <v>15</v>
      </c>
      <c r="BB1264" s="4">
        <v>0</v>
      </c>
      <c r="BC1264">
        <v>0</v>
      </c>
    </row>
    <row r="1265" spans="1:55" x14ac:dyDescent="0.3">
      <c r="A1265" s="63">
        <v>12</v>
      </c>
      <c r="B1265" s="65">
        <v>45740</v>
      </c>
      <c r="C1265" s="63">
        <v>3</v>
      </c>
      <c r="D1265" s="38" t="s">
        <v>180</v>
      </c>
      <c r="E1265" s="23" t="s">
        <v>147</v>
      </c>
      <c r="F1265" s="39">
        <v>47.527299999999997</v>
      </c>
      <c r="G1265" s="64" t="s">
        <v>352</v>
      </c>
      <c r="H1265" s="70"/>
      <c r="BA1265" s="132" t="s">
        <v>15</v>
      </c>
      <c r="BB1265" s="4">
        <v>0</v>
      </c>
      <c r="BC1265">
        <v>0</v>
      </c>
    </row>
    <row r="1266" spans="1:55" x14ac:dyDescent="0.3">
      <c r="A1266" s="63">
        <v>13</v>
      </c>
      <c r="B1266" s="65">
        <v>45747</v>
      </c>
      <c r="C1266" s="63">
        <v>3</v>
      </c>
      <c r="D1266" s="38" t="s">
        <v>180</v>
      </c>
      <c r="E1266" s="23" t="s">
        <v>147</v>
      </c>
      <c r="F1266" s="39">
        <v>46.896000000000001</v>
      </c>
      <c r="G1266" s="64" t="s">
        <v>352</v>
      </c>
      <c r="H1266" s="70"/>
      <c r="BA1266" s="132" t="s">
        <v>15</v>
      </c>
      <c r="BB1266" s="4">
        <v>0</v>
      </c>
      <c r="BC1266">
        <v>0</v>
      </c>
    </row>
    <row r="1267" spans="1:55" x14ac:dyDescent="0.3">
      <c r="A1267" s="63">
        <v>14</v>
      </c>
      <c r="B1267" s="65">
        <v>45754</v>
      </c>
      <c r="C1267" s="63">
        <v>3</v>
      </c>
      <c r="D1267" s="38" t="s">
        <v>180</v>
      </c>
      <c r="E1267" s="23" t="s">
        <v>147</v>
      </c>
      <c r="F1267" s="39">
        <v>47.730899999999998</v>
      </c>
      <c r="G1267" s="64" t="s">
        <v>352</v>
      </c>
      <c r="H1267" s="70"/>
      <c r="BA1267" s="132" t="s">
        <v>15</v>
      </c>
      <c r="BB1267" s="4">
        <v>0</v>
      </c>
      <c r="BC1267">
        <v>0</v>
      </c>
    </row>
    <row r="1268" spans="1:55" x14ac:dyDescent="0.3">
      <c r="A1268" s="63">
        <v>15</v>
      </c>
      <c r="B1268" s="65">
        <v>45761</v>
      </c>
      <c r="C1268" s="63">
        <v>3</v>
      </c>
      <c r="D1268" s="38" t="s">
        <v>180</v>
      </c>
      <c r="E1268" s="23" t="s">
        <v>147</v>
      </c>
      <c r="F1268" s="39">
        <v>47.017600000000002</v>
      </c>
      <c r="G1268" s="64" t="s">
        <v>352</v>
      </c>
      <c r="H1268" s="70"/>
      <c r="BA1268" s="132" t="s">
        <v>15</v>
      </c>
      <c r="BB1268" s="4">
        <v>0</v>
      </c>
      <c r="BC1268">
        <v>0</v>
      </c>
    </row>
    <row r="1269" spans="1:55" x14ac:dyDescent="0.3">
      <c r="A1269" s="63">
        <v>16</v>
      </c>
      <c r="B1269" s="65">
        <v>45768</v>
      </c>
      <c r="C1269" s="63">
        <v>3</v>
      </c>
      <c r="D1269" s="38" t="s">
        <v>180</v>
      </c>
      <c r="E1269" s="23" t="s">
        <v>147</v>
      </c>
      <c r="F1269" s="39">
        <v>46.7744</v>
      </c>
      <c r="G1269" s="64" t="s">
        <v>352</v>
      </c>
      <c r="H1269" s="70"/>
      <c r="BA1269" s="132" t="s">
        <v>15</v>
      </c>
      <c r="BB1269" s="4">
        <v>0</v>
      </c>
      <c r="BC1269">
        <v>0</v>
      </c>
    </row>
    <row r="1270" spans="1:55" x14ac:dyDescent="0.3">
      <c r="A1270" s="63">
        <v>17</v>
      </c>
      <c r="B1270" s="65">
        <v>45775</v>
      </c>
      <c r="C1270" s="63">
        <v>3</v>
      </c>
      <c r="D1270" s="38" t="s">
        <v>180</v>
      </c>
      <c r="E1270" s="23" t="s">
        <v>147</v>
      </c>
      <c r="F1270" s="39">
        <v>47.389400000000002</v>
      </c>
      <c r="G1270" s="64" t="s">
        <v>352</v>
      </c>
      <c r="H1270" s="70"/>
      <c r="BA1270" s="132" t="s">
        <v>15</v>
      </c>
      <c r="BB1270" s="4">
        <v>0</v>
      </c>
      <c r="BC1270">
        <v>0</v>
      </c>
    </row>
    <row r="1271" spans="1:55" x14ac:dyDescent="0.3">
      <c r="A1271" s="63">
        <v>18</v>
      </c>
      <c r="B1271" s="65">
        <v>45782</v>
      </c>
      <c r="C1271" s="63">
        <v>3</v>
      </c>
      <c r="D1271" s="38" t="s">
        <v>180</v>
      </c>
      <c r="E1271" s="23" t="s">
        <v>147</v>
      </c>
      <c r="F1271" s="39">
        <v>47.72</v>
      </c>
      <c r="G1271" s="64" t="s">
        <v>352</v>
      </c>
      <c r="H1271" s="70"/>
      <c r="BA1271" s="132" t="s">
        <v>15</v>
      </c>
      <c r="BB1271" s="4">
        <v>0</v>
      </c>
      <c r="BC1271">
        <v>0</v>
      </c>
    </row>
    <row r="1272" spans="1:55" x14ac:dyDescent="0.3">
      <c r="A1272" s="63">
        <v>19</v>
      </c>
      <c r="B1272" s="65">
        <v>45789</v>
      </c>
      <c r="C1272" s="63">
        <v>3</v>
      </c>
      <c r="D1272" s="38" t="s">
        <v>180</v>
      </c>
      <c r="E1272" s="23" t="s">
        <v>147</v>
      </c>
      <c r="F1272" s="39">
        <v>46.9358</v>
      </c>
      <c r="G1272" s="64" t="s">
        <v>352</v>
      </c>
      <c r="H1272" s="70"/>
      <c r="BA1272" s="132" t="s">
        <v>15</v>
      </c>
      <c r="BB1272" s="4">
        <v>0</v>
      </c>
      <c r="BC1272">
        <v>0</v>
      </c>
    </row>
    <row r="1273" spans="1:55" x14ac:dyDescent="0.3">
      <c r="A1273" s="63">
        <v>20</v>
      </c>
      <c r="B1273" s="65">
        <v>45796</v>
      </c>
      <c r="C1273" s="63">
        <v>3</v>
      </c>
      <c r="D1273" s="38" t="s">
        <v>180</v>
      </c>
      <c r="E1273" s="23" t="s">
        <v>147</v>
      </c>
      <c r="F1273" s="39">
        <v>47.474200000000003</v>
      </c>
      <c r="G1273" s="64" t="s">
        <v>352</v>
      </c>
      <c r="H1273" s="70"/>
      <c r="BA1273" s="132" t="s">
        <v>15</v>
      </c>
      <c r="BB1273" s="4">
        <v>0</v>
      </c>
      <c r="BC1273">
        <v>0</v>
      </c>
    </row>
    <row r="1274" spans="1:55" x14ac:dyDescent="0.3">
      <c r="A1274" s="63">
        <v>21</v>
      </c>
      <c r="B1274" s="65">
        <v>45803</v>
      </c>
      <c r="C1274" s="63">
        <v>3</v>
      </c>
      <c r="D1274" s="38" t="s">
        <v>180</v>
      </c>
      <c r="E1274" s="23" t="s">
        <v>147</v>
      </c>
      <c r="F1274" s="39">
        <v>47.237499999999997</v>
      </c>
      <c r="G1274" s="64" t="s">
        <v>352</v>
      </c>
      <c r="H1274" s="70"/>
      <c r="BA1274" s="132" t="s">
        <v>15</v>
      </c>
      <c r="BB1274" s="4">
        <v>0</v>
      </c>
      <c r="BC1274">
        <v>0</v>
      </c>
    </row>
    <row r="1275" spans="1:55" x14ac:dyDescent="0.3">
      <c r="A1275" s="63">
        <v>22</v>
      </c>
      <c r="B1275" s="65">
        <v>45810</v>
      </c>
      <c r="C1275" s="63">
        <v>3</v>
      </c>
      <c r="D1275" s="38" t="s">
        <v>180</v>
      </c>
      <c r="E1275" s="23" t="s">
        <v>147</v>
      </c>
      <c r="F1275" s="39">
        <v>48.866500000000002</v>
      </c>
      <c r="G1275" s="64" t="s">
        <v>352</v>
      </c>
      <c r="H1275" s="70"/>
      <c r="BA1275" s="132" t="s">
        <v>15</v>
      </c>
      <c r="BB1275" s="4">
        <v>0</v>
      </c>
      <c r="BC1275">
        <v>0</v>
      </c>
    </row>
    <row r="1276" spans="1:55" x14ac:dyDescent="0.3">
      <c r="A1276" s="63">
        <v>23</v>
      </c>
      <c r="B1276" s="65">
        <v>45817</v>
      </c>
      <c r="C1276" s="63">
        <v>3</v>
      </c>
      <c r="D1276" s="38" t="s">
        <v>180</v>
      </c>
      <c r="E1276" s="23" t="s">
        <v>147</v>
      </c>
      <c r="F1276" s="39">
        <v>46.894100000000002</v>
      </c>
      <c r="G1276" s="64" t="s">
        <v>352</v>
      </c>
      <c r="H1276" s="70"/>
      <c r="BA1276" s="132" t="s">
        <v>15</v>
      </c>
      <c r="BB1276" s="4">
        <v>0</v>
      </c>
      <c r="BC1276">
        <v>0</v>
      </c>
    </row>
    <row r="1277" spans="1:55" x14ac:dyDescent="0.3">
      <c r="A1277" s="63">
        <v>24</v>
      </c>
      <c r="B1277" s="65">
        <v>45824</v>
      </c>
      <c r="C1277" s="63">
        <v>3</v>
      </c>
      <c r="D1277" s="38" t="s">
        <v>180</v>
      </c>
      <c r="E1277" s="23" t="s">
        <v>147</v>
      </c>
      <c r="F1277" s="39">
        <v>48.062399999999997</v>
      </c>
      <c r="G1277" s="64" t="s">
        <v>352</v>
      </c>
      <c r="H1277" s="70"/>
      <c r="BA1277" s="132" t="s">
        <v>15</v>
      </c>
      <c r="BB1277" s="4">
        <v>0</v>
      </c>
      <c r="BC1277">
        <v>0</v>
      </c>
    </row>
    <row r="1278" spans="1:55" x14ac:dyDescent="0.3">
      <c r="A1278" s="63">
        <v>25</v>
      </c>
      <c r="B1278" s="65">
        <v>45831</v>
      </c>
      <c r="C1278" s="63">
        <v>3</v>
      </c>
      <c r="D1278" s="38" t="s">
        <v>180</v>
      </c>
      <c r="E1278" s="23" t="s">
        <v>147</v>
      </c>
      <c r="F1278" s="39">
        <v>47.260399999999997</v>
      </c>
      <c r="G1278" s="64" t="s">
        <v>352</v>
      </c>
      <c r="H1278" s="70"/>
      <c r="BA1278" s="132" t="s">
        <v>15</v>
      </c>
      <c r="BB1278" s="4">
        <v>0</v>
      </c>
      <c r="BC1278">
        <v>0</v>
      </c>
    </row>
    <row r="1279" spans="1:55" x14ac:dyDescent="0.3">
      <c r="A1279" s="63">
        <v>1</v>
      </c>
      <c r="B1279" s="65">
        <v>45663</v>
      </c>
      <c r="C1279" s="63">
        <v>1</v>
      </c>
      <c r="D1279" s="38" t="s">
        <v>178</v>
      </c>
      <c r="E1279" s="23" t="s">
        <v>148</v>
      </c>
      <c r="F1279" s="39">
        <v>19.413499999999999</v>
      </c>
      <c r="G1279" s="64" t="s">
        <v>352</v>
      </c>
      <c r="H1279" s="70"/>
      <c r="BA1279" s="132" t="s">
        <v>15</v>
      </c>
      <c r="BB1279" s="4">
        <v>1</v>
      </c>
      <c r="BC1279">
        <v>0</v>
      </c>
    </row>
    <row r="1280" spans="1:55" x14ac:dyDescent="0.3">
      <c r="A1280" s="63">
        <v>2</v>
      </c>
      <c r="B1280" s="65">
        <v>45670</v>
      </c>
      <c r="C1280" s="63">
        <v>1</v>
      </c>
      <c r="D1280" s="38" t="s">
        <v>178</v>
      </c>
      <c r="E1280" s="23" t="s">
        <v>148</v>
      </c>
      <c r="F1280" s="39">
        <v>19.553799999999999</v>
      </c>
      <c r="G1280" s="64" t="s">
        <v>352</v>
      </c>
      <c r="H1280" s="70"/>
      <c r="BA1280" s="132" t="s">
        <v>15</v>
      </c>
      <c r="BB1280" s="4">
        <v>1</v>
      </c>
      <c r="BC1280">
        <v>0</v>
      </c>
    </row>
    <row r="1281" spans="1:55" x14ac:dyDescent="0.3">
      <c r="A1281" s="63">
        <v>3</v>
      </c>
      <c r="B1281" s="65">
        <v>45677</v>
      </c>
      <c r="C1281" s="63">
        <v>1</v>
      </c>
      <c r="D1281" s="38" t="s">
        <v>178</v>
      </c>
      <c r="E1281" s="23" t="s">
        <v>148</v>
      </c>
      <c r="F1281" s="39">
        <v>19.5823</v>
      </c>
      <c r="G1281" s="64" t="s">
        <v>352</v>
      </c>
      <c r="H1281" s="70"/>
      <c r="BA1281" s="132" t="s">
        <v>15</v>
      </c>
      <c r="BB1281" s="4">
        <v>1</v>
      </c>
      <c r="BC1281">
        <v>0</v>
      </c>
    </row>
    <row r="1282" spans="1:55" x14ac:dyDescent="0.3">
      <c r="A1282" s="63">
        <v>4</v>
      </c>
      <c r="B1282" s="65">
        <v>45684</v>
      </c>
      <c r="C1282" s="63">
        <v>1</v>
      </c>
      <c r="D1282" s="38" t="s">
        <v>178</v>
      </c>
      <c r="E1282" s="23" t="s">
        <v>148</v>
      </c>
      <c r="F1282" s="39">
        <v>19.643999999999998</v>
      </c>
      <c r="G1282" s="64" t="s">
        <v>352</v>
      </c>
      <c r="H1282" s="70"/>
      <c r="BA1282" s="132" t="s">
        <v>15</v>
      </c>
      <c r="BB1282" s="4">
        <v>1</v>
      </c>
      <c r="BC1282">
        <v>0</v>
      </c>
    </row>
    <row r="1283" spans="1:55" x14ac:dyDescent="0.3">
      <c r="A1283" s="63">
        <v>5</v>
      </c>
      <c r="B1283" s="65">
        <v>45691</v>
      </c>
      <c r="C1283" s="63">
        <v>1</v>
      </c>
      <c r="D1283" s="38" t="s">
        <v>178</v>
      </c>
      <c r="E1283" s="23" t="s">
        <v>148</v>
      </c>
      <c r="F1283" s="39">
        <v>19.488800000000001</v>
      </c>
      <c r="G1283" s="64" t="s">
        <v>352</v>
      </c>
      <c r="H1283" s="70"/>
      <c r="BA1283" s="132" t="s">
        <v>15</v>
      </c>
      <c r="BB1283" s="4">
        <v>1</v>
      </c>
      <c r="BC1283">
        <v>0</v>
      </c>
    </row>
    <row r="1284" spans="1:55" x14ac:dyDescent="0.3">
      <c r="A1284" s="63">
        <v>6</v>
      </c>
      <c r="B1284" s="65">
        <v>45698</v>
      </c>
      <c r="C1284" s="63">
        <v>1</v>
      </c>
      <c r="D1284" s="38" t="s">
        <v>178</v>
      </c>
      <c r="E1284" s="23" t="s">
        <v>148</v>
      </c>
      <c r="F1284" s="39">
        <v>19.3352</v>
      </c>
      <c r="G1284" s="64" t="s">
        <v>352</v>
      </c>
      <c r="H1284" s="70"/>
      <c r="BA1284" s="132" t="s">
        <v>15</v>
      </c>
      <c r="BB1284" s="4">
        <v>1</v>
      </c>
      <c r="BC1284">
        <v>0</v>
      </c>
    </row>
    <row r="1285" spans="1:55" x14ac:dyDescent="0.3">
      <c r="A1285" s="63">
        <v>7</v>
      </c>
      <c r="B1285" s="65">
        <v>45705</v>
      </c>
      <c r="C1285" s="63">
        <v>1</v>
      </c>
      <c r="D1285" s="38" t="s">
        <v>178</v>
      </c>
      <c r="E1285" s="23" t="s">
        <v>148</v>
      </c>
      <c r="F1285" s="39">
        <v>19.345600000000001</v>
      </c>
      <c r="G1285" s="64" t="s">
        <v>352</v>
      </c>
      <c r="H1285" s="70"/>
      <c r="BA1285" s="132" t="s">
        <v>15</v>
      </c>
      <c r="BB1285" s="4">
        <v>1</v>
      </c>
      <c r="BC1285">
        <v>0</v>
      </c>
    </row>
    <row r="1286" spans="1:55" x14ac:dyDescent="0.3">
      <c r="A1286" s="63">
        <v>8</v>
      </c>
      <c r="B1286" s="65">
        <v>45712</v>
      </c>
      <c r="C1286" s="63">
        <v>1</v>
      </c>
      <c r="D1286" s="38" t="s">
        <v>178</v>
      </c>
      <c r="E1286" s="23" t="s">
        <v>148</v>
      </c>
      <c r="F1286" s="39">
        <v>19.518799999999999</v>
      </c>
      <c r="G1286" s="64" t="s">
        <v>352</v>
      </c>
      <c r="H1286" s="70"/>
      <c r="BA1286" s="132" t="s">
        <v>15</v>
      </c>
      <c r="BB1286" s="4">
        <v>1</v>
      </c>
      <c r="BC1286">
        <v>0</v>
      </c>
    </row>
    <row r="1287" spans="1:55" x14ac:dyDescent="0.3">
      <c r="A1287" s="63">
        <v>9</v>
      </c>
      <c r="B1287" s="65">
        <v>45719</v>
      </c>
      <c r="C1287" s="63">
        <v>1</v>
      </c>
      <c r="D1287" s="38" t="s">
        <v>178</v>
      </c>
      <c r="E1287" s="23" t="s">
        <v>148</v>
      </c>
      <c r="F1287" s="39">
        <v>19.5305</v>
      </c>
      <c r="G1287" s="64" t="s">
        <v>352</v>
      </c>
      <c r="H1287" s="70"/>
      <c r="BA1287" s="132" t="s">
        <v>15</v>
      </c>
      <c r="BB1287" s="4">
        <v>1</v>
      </c>
      <c r="BC1287">
        <v>0</v>
      </c>
    </row>
    <row r="1288" spans="1:55" x14ac:dyDescent="0.3">
      <c r="A1288" s="63">
        <v>10</v>
      </c>
      <c r="B1288" s="65">
        <v>45726</v>
      </c>
      <c r="C1288" s="63">
        <v>1</v>
      </c>
      <c r="D1288" s="38" t="s">
        <v>178</v>
      </c>
      <c r="E1288" s="23" t="s">
        <v>148</v>
      </c>
      <c r="F1288" s="39">
        <v>19.665600000000001</v>
      </c>
      <c r="G1288" s="64" t="s">
        <v>352</v>
      </c>
      <c r="H1288" s="70"/>
      <c r="BA1288" s="132" t="s">
        <v>15</v>
      </c>
      <c r="BB1288" s="4">
        <v>1</v>
      </c>
      <c r="BC1288">
        <v>0</v>
      </c>
    </row>
    <row r="1289" spans="1:55" x14ac:dyDescent="0.3">
      <c r="A1289" s="63">
        <v>11</v>
      </c>
      <c r="B1289" s="65">
        <v>45733</v>
      </c>
      <c r="C1289" s="63">
        <v>1</v>
      </c>
      <c r="D1289" s="38" t="s">
        <v>178</v>
      </c>
      <c r="E1289" s="23" t="s">
        <v>148</v>
      </c>
      <c r="F1289" s="39">
        <v>19.503699999999998</v>
      </c>
      <c r="G1289" s="64" t="s">
        <v>352</v>
      </c>
      <c r="H1289" s="70"/>
      <c r="BA1289" s="132" t="s">
        <v>15</v>
      </c>
      <c r="BB1289" s="4">
        <v>1</v>
      </c>
      <c r="BC1289">
        <v>0</v>
      </c>
    </row>
    <row r="1290" spans="1:55" x14ac:dyDescent="0.3">
      <c r="A1290" s="63">
        <v>12</v>
      </c>
      <c r="B1290" s="65">
        <v>45740</v>
      </c>
      <c r="C1290" s="63">
        <v>1</v>
      </c>
      <c r="D1290" s="38" t="s">
        <v>178</v>
      </c>
      <c r="E1290" s="23" t="s">
        <v>148</v>
      </c>
      <c r="F1290" s="39">
        <v>19.6098</v>
      </c>
      <c r="G1290" s="64" t="s">
        <v>352</v>
      </c>
      <c r="H1290" s="70"/>
      <c r="BA1290" s="132" t="s">
        <v>15</v>
      </c>
      <c r="BB1290" s="4">
        <v>1</v>
      </c>
      <c r="BC1290">
        <v>0</v>
      </c>
    </row>
    <row r="1291" spans="1:55" x14ac:dyDescent="0.3">
      <c r="A1291" s="63">
        <v>13</v>
      </c>
      <c r="B1291" s="65">
        <v>45747</v>
      </c>
      <c r="C1291" s="63">
        <v>1</v>
      </c>
      <c r="D1291" s="38" t="s">
        <v>178</v>
      </c>
      <c r="E1291" s="23" t="s">
        <v>148</v>
      </c>
      <c r="F1291" s="39">
        <v>19.685300000000002</v>
      </c>
      <c r="G1291" s="64" t="s">
        <v>352</v>
      </c>
      <c r="H1291" s="70"/>
      <c r="BA1291" s="132" t="s">
        <v>15</v>
      </c>
      <c r="BB1291" s="4">
        <v>1</v>
      </c>
      <c r="BC1291">
        <v>0</v>
      </c>
    </row>
    <row r="1292" spans="1:55" x14ac:dyDescent="0.3">
      <c r="A1292" s="63">
        <v>14</v>
      </c>
      <c r="B1292" s="65">
        <v>45754</v>
      </c>
      <c r="C1292" s="63">
        <v>1</v>
      </c>
      <c r="D1292" s="38" t="s">
        <v>178</v>
      </c>
      <c r="E1292" s="23" t="s">
        <v>148</v>
      </c>
      <c r="F1292" s="39">
        <v>19.4617</v>
      </c>
      <c r="G1292" s="64" t="s">
        <v>352</v>
      </c>
      <c r="H1292" s="70"/>
      <c r="BA1292" s="132" t="s">
        <v>15</v>
      </c>
      <c r="BB1292" s="4">
        <v>1</v>
      </c>
      <c r="BC1292">
        <v>0</v>
      </c>
    </row>
    <row r="1293" spans="1:55" x14ac:dyDescent="0.3">
      <c r="A1293" s="63">
        <v>15</v>
      </c>
      <c r="B1293" s="65">
        <v>45761</v>
      </c>
      <c r="C1293" s="63">
        <v>1</v>
      </c>
      <c r="D1293" s="38" t="s">
        <v>178</v>
      </c>
      <c r="E1293" s="23" t="s">
        <v>148</v>
      </c>
      <c r="F1293" s="39">
        <v>19.188800000000001</v>
      </c>
      <c r="G1293" s="64" t="s">
        <v>352</v>
      </c>
      <c r="H1293" s="70"/>
      <c r="BA1293" s="132" t="s">
        <v>15</v>
      </c>
      <c r="BB1293" s="4">
        <v>1</v>
      </c>
      <c r="BC1293">
        <v>0</v>
      </c>
    </row>
    <row r="1294" spans="1:55" x14ac:dyDescent="0.3">
      <c r="A1294" s="63">
        <v>16</v>
      </c>
      <c r="B1294" s="65">
        <v>45768</v>
      </c>
      <c r="C1294" s="63">
        <v>1</v>
      </c>
      <c r="D1294" s="38" t="s">
        <v>178</v>
      </c>
      <c r="E1294" s="23" t="s">
        <v>148</v>
      </c>
      <c r="F1294" s="39">
        <v>19.2395</v>
      </c>
      <c r="G1294" s="64" t="s">
        <v>352</v>
      </c>
      <c r="H1294" s="70"/>
      <c r="BA1294" s="132" t="s">
        <v>15</v>
      </c>
      <c r="BB1294" s="4">
        <v>1</v>
      </c>
      <c r="BC1294">
        <v>0</v>
      </c>
    </row>
    <row r="1295" spans="1:55" x14ac:dyDescent="0.3">
      <c r="A1295" s="63">
        <v>17</v>
      </c>
      <c r="B1295" s="65">
        <v>45775</v>
      </c>
      <c r="C1295" s="63">
        <v>1</v>
      </c>
      <c r="D1295" s="38" t="s">
        <v>178</v>
      </c>
      <c r="E1295" s="23" t="s">
        <v>148</v>
      </c>
      <c r="F1295" s="39">
        <v>19.1967</v>
      </c>
      <c r="G1295" s="64" t="s">
        <v>352</v>
      </c>
      <c r="H1295" s="70"/>
      <c r="BA1295" s="132" t="s">
        <v>15</v>
      </c>
      <c r="BB1295" s="4">
        <v>1</v>
      </c>
      <c r="BC1295">
        <v>0</v>
      </c>
    </row>
    <row r="1296" spans="1:55" x14ac:dyDescent="0.3">
      <c r="A1296" s="63">
        <v>18</v>
      </c>
      <c r="B1296" s="65">
        <v>45782</v>
      </c>
      <c r="C1296" s="63">
        <v>1</v>
      </c>
      <c r="D1296" s="38" t="s">
        <v>178</v>
      </c>
      <c r="E1296" s="23" t="s">
        <v>148</v>
      </c>
      <c r="F1296" s="39">
        <v>19.697600000000001</v>
      </c>
      <c r="G1296" s="64" t="s">
        <v>352</v>
      </c>
      <c r="H1296" s="70"/>
      <c r="BA1296" s="132" t="s">
        <v>15</v>
      </c>
      <c r="BB1296" s="4">
        <v>1</v>
      </c>
      <c r="BC1296">
        <v>0</v>
      </c>
    </row>
    <row r="1297" spans="1:55" x14ac:dyDescent="0.3">
      <c r="A1297" s="63">
        <v>19</v>
      </c>
      <c r="B1297" s="65">
        <v>45789</v>
      </c>
      <c r="C1297" s="63">
        <v>1</v>
      </c>
      <c r="D1297" s="38" t="s">
        <v>178</v>
      </c>
      <c r="E1297" s="23" t="s">
        <v>148</v>
      </c>
      <c r="F1297" s="39">
        <v>19.2944</v>
      </c>
      <c r="G1297" s="64" t="s">
        <v>352</v>
      </c>
      <c r="H1297" s="70"/>
      <c r="BA1297" s="132" t="s">
        <v>15</v>
      </c>
      <c r="BB1297" s="4">
        <v>1</v>
      </c>
      <c r="BC1297">
        <v>0</v>
      </c>
    </row>
    <row r="1298" spans="1:55" x14ac:dyDescent="0.3">
      <c r="A1298" s="63">
        <v>20</v>
      </c>
      <c r="B1298" s="65">
        <v>45796</v>
      </c>
      <c r="C1298" s="63">
        <v>1</v>
      </c>
      <c r="D1298" s="38" t="s">
        <v>178</v>
      </c>
      <c r="E1298" s="23" t="s">
        <v>148</v>
      </c>
      <c r="F1298" s="39">
        <v>19.638200000000001</v>
      </c>
      <c r="G1298" s="64" t="s">
        <v>352</v>
      </c>
      <c r="H1298" s="70"/>
      <c r="BA1298" s="132" t="s">
        <v>15</v>
      </c>
      <c r="BB1298" s="4">
        <v>1</v>
      </c>
      <c r="BC1298">
        <v>0</v>
      </c>
    </row>
    <row r="1299" spans="1:55" x14ac:dyDescent="0.3">
      <c r="A1299" s="63">
        <v>21</v>
      </c>
      <c r="B1299" s="65">
        <v>45803</v>
      </c>
      <c r="C1299" s="63">
        <v>1</v>
      </c>
      <c r="D1299" s="38" t="s">
        <v>178</v>
      </c>
      <c r="E1299" s="23" t="s">
        <v>148</v>
      </c>
      <c r="F1299" s="39">
        <v>19.531300000000002</v>
      </c>
      <c r="G1299" s="64" t="s">
        <v>352</v>
      </c>
      <c r="H1299" s="70"/>
      <c r="BA1299" s="132" t="s">
        <v>15</v>
      </c>
      <c r="BB1299" s="4">
        <v>1</v>
      </c>
      <c r="BC1299">
        <v>0</v>
      </c>
    </row>
    <row r="1300" spans="1:55" x14ac:dyDescent="0.3">
      <c r="A1300" s="63">
        <v>22</v>
      </c>
      <c r="B1300" s="65">
        <v>45810</v>
      </c>
      <c r="C1300" s="63">
        <v>1</v>
      </c>
      <c r="D1300" s="38" t="s">
        <v>178</v>
      </c>
      <c r="E1300" s="23" t="s">
        <v>148</v>
      </c>
      <c r="F1300" s="39">
        <v>19.7181</v>
      </c>
      <c r="G1300" s="64" t="s">
        <v>352</v>
      </c>
      <c r="H1300" s="70"/>
      <c r="BA1300" s="132" t="s">
        <v>15</v>
      </c>
      <c r="BB1300" s="4">
        <v>1</v>
      </c>
      <c r="BC1300">
        <v>0</v>
      </c>
    </row>
    <row r="1301" spans="1:55" x14ac:dyDescent="0.3">
      <c r="A1301" s="63">
        <v>23</v>
      </c>
      <c r="B1301" s="65">
        <v>45817</v>
      </c>
      <c r="C1301" s="63">
        <v>1</v>
      </c>
      <c r="D1301" s="38" t="s">
        <v>178</v>
      </c>
      <c r="E1301" s="23" t="s">
        <v>148</v>
      </c>
      <c r="F1301" s="39">
        <v>19.600300000000001</v>
      </c>
      <c r="G1301" s="64" t="s">
        <v>352</v>
      </c>
      <c r="H1301" s="70"/>
      <c r="BA1301" s="132" t="s">
        <v>15</v>
      </c>
      <c r="BB1301" s="4">
        <v>1</v>
      </c>
      <c r="BC1301">
        <v>0</v>
      </c>
    </row>
    <row r="1302" spans="1:55" x14ac:dyDescent="0.3">
      <c r="A1302" s="63">
        <v>24</v>
      </c>
      <c r="B1302" s="65">
        <v>45824</v>
      </c>
      <c r="C1302" s="63">
        <v>1</v>
      </c>
      <c r="D1302" s="38" t="s">
        <v>178</v>
      </c>
      <c r="E1302" s="23" t="s">
        <v>148</v>
      </c>
      <c r="F1302" s="39">
        <v>19.4176</v>
      </c>
      <c r="G1302" s="64" t="s">
        <v>352</v>
      </c>
      <c r="H1302" s="70"/>
      <c r="BA1302" s="132" t="s">
        <v>15</v>
      </c>
      <c r="BB1302" s="4">
        <v>1</v>
      </c>
      <c r="BC1302">
        <v>0</v>
      </c>
    </row>
    <row r="1303" spans="1:55" x14ac:dyDescent="0.3">
      <c r="A1303" s="63">
        <v>25</v>
      </c>
      <c r="B1303" s="65">
        <v>45831</v>
      </c>
      <c r="C1303" s="63">
        <v>1</v>
      </c>
      <c r="D1303" s="38" t="s">
        <v>178</v>
      </c>
      <c r="E1303" s="23" t="s">
        <v>148</v>
      </c>
      <c r="F1303" s="39">
        <v>19.401399999999999</v>
      </c>
      <c r="G1303" s="64" t="s">
        <v>352</v>
      </c>
      <c r="H1303" s="70"/>
      <c r="BA1303" s="132" t="s">
        <v>15</v>
      </c>
      <c r="BB1303" s="4">
        <v>1</v>
      </c>
      <c r="BC1303">
        <v>0</v>
      </c>
    </row>
    <row r="1304" spans="1:55" x14ac:dyDescent="0.3">
      <c r="A1304" s="63">
        <v>1</v>
      </c>
      <c r="B1304" s="65">
        <v>45663</v>
      </c>
      <c r="C1304" s="63">
        <v>2</v>
      </c>
      <c r="D1304" s="38" t="s">
        <v>179</v>
      </c>
      <c r="E1304" s="23" t="s">
        <v>148</v>
      </c>
      <c r="F1304" s="39">
        <v>9.8600999999999992</v>
      </c>
      <c r="G1304" s="64" t="s">
        <v>352</v>
      </c>
      <c r="H1304" s="70"/>
      <c r="BA1304" s="132" t="s">
        <v>15</v>
      </c>
      <c r="BB1304" s="4">
        <v>0</v>
      </c>
      <c r="BC1304">
        <v>0</v>
      </c>
    </row>
    <row r="1305" spans="1:55" x14ac:dyDescent="0.3">
      <c r="A1305" s="63">
        <v>2</v>
      </c>
      <c r="B1305" s="65">
        <v>45670</v>
      </c>
      <c r="C1305" s="63">
        <v>2</v>
      </c>
      <c r="D1305" s="38" t="s">
        <v>179</v>
      </c>
      <c r="E1305" s="23" t="s">
        <v>148</v>
      </c>
      <c r="F1305" s="39">
        <v>9.8871000000000002</v>
      </c>
      <c r="G1305" s="64" t="s">
        <v>352</v>
      </c>
      <c r="H1305" s="70"/>
      <c r="BA1305" s="132" t="s">
        <v>15</v>
      </c>
      <c r="BB1305" s="4">
        <v>0</v>
      </c>
      <c r="BC1305">
        <v>0</v>
      </c>
    </row>
    <row r="1306" spans="1:55" x14ac:dyDescent="0.3">
      <c r="A1306" s="63">
        <v>3</v>
      </c>
      <c r="B1306" s="65">
        <v>45677</v>
      </c>
      <c r="C1306" s="63">
        <v>2</v>
      </c>
      <c r="D1306" s="38" t="s">
        <v>179</v>
      </c>
      <c r="E1306" s="23" t="s">
        <v>148</v>
      </c>
      <c r="F1306" s="39">
        <v>9.6751000000000005</v>
      </c>
      <c r="G1306" s="64" t="s">
        <v>352</v>
      </c>
      <c r="H1306" s="70"/>
      <c r="BA1306" s="132" t="s">
        <v>15</v>
      </c>
      <c r="BB1306" s="4">
        <v>0</v>
      </c>
      <c r="BC1306">
        <v>0</v>
      </c>
    </row>
    <row r="1307" spans="1:55" x14ac:dyDescent="0.3">
      <c r="A1307" s="63">
        <v>4</v>
      </c>
      <c r="B1307" s="65">
        <v>45684</v>
      </c>
      <c r="C1307" s="63">
        <v>2</v>
      </c>
      <c r="D1307" s="38" t="s">
        <v>179</v>
      </c>
      <c r="E1307" s="23" t="s">
        <v>148</v>
      </c>
      <c r="F1307" s="39">
        <v>9.8247</v>
      </c>
      <c r="G1307" s="64" t="s">
        <v>352</v>
      </c>
      <c r="H1307" s="70"/>
      <c r="BA1307" s="132" t="s">
        <v>15</v>
      </c>
      <c r="BB1307" s="4">
        <v>0</v>
      </c>
      <c r="BC1307">
        <v>0</v>
      </c>
    </row>
    <row r="1308" spans="1:55" x14ac:dyDescent="0.3">
      <c r="A1308" s="63">
        <v>5</v>
      </c>
      <c r="B1308" s="65">
        <v>45691</v>
      </c>
      <c r="C1308" s="63">
        <v>2</v>
      </c>
      <c r="D1308" s="38" t="s">
        <v>179</v>
      </c>
      <c r="E1308" s="23" t="s">
        <v>148</v>
      </c>
      <c r="F1308" s="39">
        <v>10.3178</v>
      </c>
      <c r="G1308" s="64" t="s">
        <v>352</v>
      </c>
      <c r="H1308" s="70"/>
      <c r="BA1308" s="132" t="s">
        <v>15</v>
      </c>
      <c r="BB1308" s="4">
        <v>0</v>
      </c>
      <c r="BC1308">
        <v>0</v>
      </c>
    </row>
    <row r="1309" spans="1:55" x14ac:dyDescent="0.3">
      <c r="A1309" s="63">
        <v>6</v>
      </c>
      <c r="B1309" s="65">
        <v>45698</v>
      </c>
      <c r="C1309" s="63">
        <v>2</v>
      </c>
      <c r="D1309" s="38" t="s">
        <v>179</v>
      </c>
      <c r="E1309" s="23" t="s">
        <v>148</v>
      </c>
      <c r="F1309" s="39">
        <v>9.3232999999999997</v>
      </c>
      <c r="G1309" s="64" t="s">
        <v>352</v>
      </c>
      <c r="H1309" s="70"/>
      <c r="BA1309" s="132" t="s">
        <v>15</v>
      </c>
      <c r="BB1309" s="4">
        <v>0</v>
      </c>
      <c r="BC1309">
        <v>0</v>
      </c>
    </row>
    <row r="1310" spans="1:55" x14ac:dyDescent="0.3">
      <c r="A1310" s="63">
        <v>7</v>
      </c>
      <c r="B1310" s="65">
        <v>45705</v>
      </c>
      <c r="C1310" s="63">
        <v>2</v>
      </c>
      <c r="D1310" s="38" t="s">
        <v>179</v>
      </c>
      <c r="E1310" s="23" t="s">
        <v>148</v>
      </c>
      <c r="F1310" s="39">
        <v>9.9121000000000006</v>
      </c>
      <c r="G1310" s="64" t="s">
        <v>352</v>
      </c>
      <c r="H1310" s="70"/>
      <c r="BA1310" s="132" t="s">
        <v>15</v>
      </c>
      <c r="BB1310" s="4">
        <v>0</v>
      </c>
      <c r="BC1310">
        <v>0</v>
      </c>
    </row>
    <row r="1311" spans="1:55" x14ac:dyDescent="0.3">
      <c r="A1311" s="63">
        <v>8</v>
      </c>
      <c r="B1311" s="65">
        <v>45712</v>
      </c>
      <c r="C1311" s="63">
        <v>2</v>
      </c>
      <c r="D1311" s="38" t="s">
        <v>179</v>
      </c>
      <c r="E1311" s="23" t="s">
        <v>148</v>
      </c>
      <c r="F1311" s="39">
        <v>9.5620999999999992</v>
      </c>
      <c r="G1311" s="64" t="s">
        <v>352</v>
      </c>
      <c r="H1311" s="70"/>
      <c r="BA1311" s="132" t="s">
        <v>15</v>
      </c>
      <c r="BB1311" s="4">
        <v>0</v>
      </c>
      <c r="BC1311">
        <v>0</v>
      </c>
    </row>
    <row r="1312" spans="1:55" x14ac:dyDescent="0.3">
      <c r="A1312" s="63">
        <v>9</v>
      </c>
      <c r="B1312" s="65">
        <v>45719</v>
      </c>
      <c r="C1312" s="63">
        <v>2</v>
      </c>
      <c r="D1312" s="38" t="s">
        <v>179</v>
      </c>
      <c r="E1312" s="23" t="s">
        <v>148</v>
      </c>
      <c r="F1312" s="39">
        <v>9.8907000000000007</v>
      </c>
      <c r="G1312" s="64" t="s">
        <v>352</v>
      </c>
      <c r="H1312" s="70"/>
      <c r="BA1312" s="132" t="s">
        <v>15</v>
      </c>
      <c r="BB1312" s="4">
        <v>0</v>
      </c>
      <c r="BC1312">
        <v>0</v>
      </c>
    </row>
    <row r="1313" spans="1:55" x14ac:dyDescent="0.3">
      <c r="A1313" s="63">
        <v>10</v>
      </c>
      <c r="B1313" s="65">
        <v>45726</v>
      </c>
      <c r="C1313" s="63">
        <v>2</v>
      </c>
      <c r="D1313" s="38" t="s">
        <v>179</v>
      </c>
      <c r="E1313" s="23" t="s">
        <v>148</v>
      </c>
      <c r="F1313" s="39">
        <v>10.0867</v>
      </c>
      <c r="G1313" s="64" t="s">
        <v>352</v>
      </c>
      <c r="H1313" s="70"/>
      <c r="BA1313" s="132" t="s">
        <v>15</v>
      </c>
      <c r="BB1313" s="4">
        <v>0</v>
      </c>
      <c r="BC1313">
        <v>0</v>
      </c>
    </row>
    <row r="1314" spans="1:55" x14ac:dyDescent="0.3">
      <c r="A1314" s="63">
        <v>11</v>
      </c>
      <c r="B1314" s="65">
        <v>45733</v>
      </c>
      <c r="C1314" s="63">
        <v>2</v>
      </c>
      <c r="D1314" s="38" t="s">
        <v>179</v>
      </c>
      <c r="E1314" s="23" t="s">
        <v>148</v>
      </c>
      <c r="F1314" s="39">
        <v>9.8171999999999997</v>
      </c>
      <c r="G1314" s="64" t="s">
        <v>352</v>
      </c>
      <c r="H1314" s="70"/>
      <c r="BA1314" s="132" t="s">
        <v>15</v>
      </c>
      <c r="BB1314" s="4">
        <v>0</v>
      </c>
      <c r="BC1314">
        <v>0</v>
      </c>
    </row>
    <row r="1315" spans="1:55" x14ac:dyDescent="0.3">
      <c r="A1315" s="63">
        <v>12</v>
      </c>
      <c r="B1315" s="65">
        <v>45740</v>
      </c>
      <c r="C1315" s="63">
        <v>2</v>
      </c>
      <c r="D1315" s="38" t="s">
        <v>179</v>
      </c>
      <c r="E1315" s="23" t="s">
        <v>148</v>
      </c>
      <c r="F1315" s="39">
        <v>10.066599999999999</v>
      </c>
      <c r="G1315" s="64" t="s">
        <v>352</v>
      </c>
      <c r="H1315" s="70"/>
      <c r="BA1315" s="132" t="s">
        <v>15</v>
      </c>
      <c r="BB1315" s="4">
        <v>0</v>
      </c>
      <c r="BC1315">
        <v>0</v>
      </c>
    </row>
    <row r="1316" spans="1:55" x14ac:dyDescent="0.3">
      <c r="A1316" s="63">
        <v>13</v>
      </c>
      <c r="B1316" s="65">
        <v>45747</v>
      </c>
      <c r="C1316" s="63">
        <v>2</v>
      </c>
      <c r="D1316" s="38" t="s">
        <v>179</v>
      </c>
      <c r="E1316" s="23" t="s">
        <v>148</v>
      </c>
      <c r="F1316" s="39">
        <v>9.3569999999999993</v>
      </c>
      <c r="G1316" s="64" t="s">
        <v>352</v>
      </c>
      <c r="H1316" s="70"/>
      <c r="BA1316" s="132" t="s">
        <v>15</v>
      </c>
      <c r="BB1316" s="4">
        <v>0</v>
      </c>
      <c r="BC1316">
        <v>0</v>
      </c>
    </row>
    <row r="1317" spans="1:55" x14ac:dyDescent="0.3">
      <c r="A1317" s="63">
        <v>14</v>
      </c>
      <c r="B1317" s="65">
        <v>45754</v>
      </c>
      <c r="C1317" s="63">
        <v>2</v>
      </c>
      <c r="D1317" s="38" t="s">
        <v>179</v>
      </c>
      <c r="E1317" s="23" t="s">
        <v>148</v>
      </c>
      <c r="F1317" s="39">
        <v>10.1669</v>
      </c>
      <c r="G1317" s="64" t="s">
        <v>352</v>
      </c>
      <c r="H1317" s="70"/>
      <c r="BA1317" s="132" t="s">
        <v>15</v>
      </c>
      <c r="BB1317" s="4">
        <v>0</v>
      </c>
      <c r="BC1317">
        <v>0</v>
      </c>
    </row>
    <row r="1318" spans="1:55" x14ac:dyDescent="0.3">
      <c r="A1318" s="63">
        <v>15</v>
      </c>
      <c r="B1318" s="65">
        <v>45761</v>
      </c>
      <c r="C1318" s="63">
        <v>2</v>
      </c>
      <c r="D1318" s="38" t="s">
        <v>179</v>
      </c>
      <c r="E1318" s="23" t="s">
        <v>148</v>
      </c>
      <c r="F1318" s="39">
        <v>9.6532999999999998</v>
      </c>
      <c r="G1318" s="64" t="s">
        <v>352</v>
      </c>
      <c r="H1318" s="70"/>
      <c r="BA1318" s="132" t="s">
        <v>15</v>
      </c>
      <c r="BB1318" s="4">
        <v>0</v>
      </c>
      <c r="BC1318">
        <v>0</v>
      </c>
    </row>
    <row r="1319" spans="1:55" x14ac:dyDescent="0.3">
      <c r="A1319" s="63">
        <v>16</v>
      </c>
      <c r="B1319" s="65">
        <v>45768</v>
      </c>
      <c r="C1319" s="63">
        <v>2</v>
      </c>
      <c r="D1319" s="38" t="s">
        <v>179</v>
      </c>
      <c r="E1319" s="23" t="s">
        <v>148</v>
      </c>
      <c r="F1319" s="39">
        <v>10.0214</v>
      </c>
      <c r="G1319" s="64" t="s">
        <v>352</v>
      </c>
      <c r="H1319" s="70"/>
      <c r="BA1319" s="132" t="s">
        <v>15</v>
      </c>
      <c r="BB1319" s="4">
        <v>0</v>
      </c>
      <c r="BC1319">
        <v>0</v>
      </c>
    </row>
    <row r="1320" spans="1:55" x14ac:dyDescent="0.3">
      <c r="A1320" s="63">
        <v>17</v>
      </c>
      <c r="B1320" s="65">
        <v>45775</v>
      </c>
      <c r="C1320" s="63">
        <v>2</v>
      </c>
      <c r="D1320" s="38" t="s">
        <v>179</v>
      </c>
      <c r="E1320" s="23" t="s">
        <v>148</v>
      </c>
      <c r="F1320" s="39">
        <v>9.8893000000000004</v>
      </c>
      <c r="G1320" s="64" t="s">
        <v>352</v>
      </c>
      <c r="H1320" s="70"/>
      <c r="BA1320" s="132" t="s">
        <v>15</v>
      </c>
      <c r="BB1320" s="4">
        <v>0</v>
      </c>
      <c r="BC1320">
        <v>0</v>
      </c>
    </row>
    <row r="1321" spans="1:55" x14ac:dyDescent="0.3">
      <c r="A1321" s="63">
        <v>18</v>
      </c>
      <c r="B1321" s="65">
        <v>45782</v>
      </c>
      <c r="C1321" s="63">
        <v>2</v>
      </c>
      <c r="D1321" s="38" t="s">
        <v>179</v>
      </c>
      <c r="E1321" s="23" t="s">
        <v>148</v>
      </c>
      <c r="F1321" s="39">
        <v>9.0579999999999998</v>
      </c>
      <c r="G1321" s="64" t="s">
        <v>352</v>
      </c>
      <c r="H1321" s="70"/>
      <c r="BA1321" s="132" t="s">
        <v>15</v>
      </c>
      <c r="BB1321" s="4">
        <v>0</v>
      </c>
      <c r="BC1321">
        <v>0</v>
      </c>
    </row>
    <row r="1322" spans="1:55" x14ac:dyDescent="0.3">
      <c r="A1322" s="63">
        <v>19</v>
      </c>
      <c r="B1322" s="65">
        <v>45789</v>
      </c>
      <c r="C1322" s="63">
        <v>2</v>
      </c>
      <c r="D1322" s="38" t="s">
        <v>179</v>
      </c>
      <c r="E1322" s="23" t="s">
        <v>148</v>
      </c>
      <c r="F1322" s="39">
        <v>9.6074000000000002</v>
      </c>
      <c r="G1322" s="64" t="s">
        <v>352</v>
      </c>
      <c r="H1322" s="70"/>
      <c r="BA1322" s="132" t="s">
        <v>15</v>
      </c>
      <c r="BB1322" s="4">
        <v>0</v>
      </c>
      <c r="BC1322">
        <v>0</v>
      </c>
    </row>
    <row r="1323" spans="1:55" x14ac:dyDescent="0.3">
      <c r="A1323" s="63">
        <v>20</v>
      </c>
      <c r="B1323" s="65">
        <v>45796</v>
      </c>
      <c r="C1323" s="63">
        <v>2</v>
      </c>
      <c r="D1323" s="38" t="s">
        <v>179</v>
      </c>
      <c r="E1323" s="23" t="s">
        <v>148</v>
      </c>
      <c r="F1323" s="39">
        <v>9.9007000000000005</v>
      </c>
      <c r="G1323" s="64" t="s">
        <v>352</v>
      </c>
      <c r="H1323" s="70"/>
      <c r="BA1323" s="132" t="s">
        <v>15</v>
      </c>
      <c r="BB1323" s="4">
        <v>0</v>
      </c>
      <c r="BC1323">
        <v>0</v>
      </c>
    </row>
    <row r="1324" spans="1:55" x14ac:dyDescent="0.3">
      <c r="A1324" s="63">
        <v>21</v>
      </c>
      <c r="B1324" s="65">
        <v>45803</v>
      </c>
      <c r="C1324" s="63">
        <v>2</v>
      </c>
      <c r="D1324" s="38" t="s">
        <v>179</v>
      </c>
      <c r="E1324" s="23" t="s">
        <v>148</v>
      </c>
      <c r="F1324" s="39">
        <v>10.3012</v>
      </c>
      <c r="G1324" s="64" t="s">
        <v>352</v>
      </c>
      <c r="H1324" s="70"/>
      <c r="BA1324" s="132" t="s">
        <v>15</v>
      </c>
      <c r="BB1324" s="4">
        <v>0</v>
      </c>
      <c r="BC1324">
        <v>0</v>
      </c>
    </row>
    <row r="1325" spans="1:55" x14ac:dyDescent="0.3">
      <c r="A1325" s="63">
        <v>22</v>
      </c>
      <c r="B1325" s="65">
        <v>45810</v>
      </c>
      <c r="C1325" s="63">
        <v>2</v>
      </c>
      <c r="D1325" s="38" t="s">
        <v>179</v>
      </c>
      <c r="E1325" s="23" t="s">
        <v>148</v>
      </c>
      <c r="F1325" s="39">
        <v>9.9207999999999998</v>
      </c>
      <c r="G1325" s="64" t="s">
        <v>352</v>
      </c>
      <c r="H1325" s="70"/>
      <c r="BA1325" s="132" t="s">
        <v>15</v>
      </c>
      <c r="BB1325" s="4">
        <v>0</v>
      </c>
      <c r="BC1325">
        <v>0</v>
      </c>
    </row>
    <row r="1326" spans="1:55" x14ac:dyDescent="0.3">
      <c r="A1326" s="63">
        <v>23</v>
      </c>
      <c r="B1326" s="65">
        <v>45817</v>
      </c>
      <c r="C1326" s="63">
        <v>2</v>
      </c>
      <c r="D1326" s="38" t="s">
        <v>179</v>
      </c>
      <c r="E1326" s="23" t="s">
        <v>148</v>
      </c>
      <c r="F1326" s="39">
        <v>9.9118999999999993</v>
      </c>
      <c r="G1326" s="64" t="s">
        <v>352</v>
      </c>
      <c r="H1326" s="70"/>
      <c r="BA1326" s="132" t="s">
        <v>15</v>
      </c>
      <c r="BB1326" s="4">
        <v>0</v>
      </c>
      <c r="BC1326">
        <v>0</v>
      </c>
    </row>
    <row r="1327" spans="1:55" x14ac:dyDescent="0.3">
      <c r="A1327" s="63">
        <v>24</v>
      </c>
      <c r="B1327" s="65">
        <v>45824</v>
      </c>
      <c r="C1327" s="63">
        <v>2</v>
      </c>
      <c r="D1327" s="38" t="s">
        <v>179</v>
      </c>
      <c r="E1327" s="23" t="s">
        <v>148</v>
      </c>
      <c r="F1327" s="39">
        <v>9.4101999999999997</v>
      </c>
      <c r="G1327" s="64" t="s">
        <v>352</v>
      </c>
      <c r="H1327" s="70"/>
      <c r="BA1327" s="132" t="s">
        <v>15</v>
      </c>
      <c r="BB1327" s="4">
        <v>0</v>
      </c>
      <c r="BC1327">
        <v>0</v>
      </c>
    </row>
    <row r="1328" spans="1:55" x14ac:dyDescent="0.3">
      <c r="A1328" s="63">
        <v>25</v>
      </c>
      <c r="B1328" s="65">
        <v>45831</v>
      </c>
      <c r="C1328" s="63">
        <v>2</v>
      </c>
      <c r="D1328" s="38" t="s">
        <v>179</v>
      </c>
      <c r="E1328" s="23" t="s">
        <v>148</v>
      </c>
      <c r="F1328" s="39">
        <v>10.2643</v>
      </c>
      <c r="G1328" s="64" t="s">
        <v>352</v>
      </c>
      <c r="H1328" s="70"/>
      <c r="BA1328" s="132" t="s">
        <v>15</v>
      </c>
      <c r="BB1328" s="4">
        <v>0</v>
      </c>
      <c r="BC1328">
        <v>0</v>
      </c>
    </row>
    <row r="1329" spans="1:55" x14ac:dyDescent="0.3">
      <c r="A1329" s="63">
        <v>1</v>
      </c>
      <c r="B1329" s="65">
        <v>45663</v>
      </c>
      <c r="C1329" s="63">
        <v>3</v>
      </c>
      <c r="D1329" s="38" t="s">
        <v>180</v>
      </c>
      <c r="E1329" s="23" t="s">
        <v>148</v>
      </c>
      <c r="F1329" s="39">
        <v>15.1092</v>
      </c>
      <c r="G1329" s="64" t="s">
        <v>352</v>
      </c>
      <c r="H1329" s="70"/>
      <c r="BA1329" s="132" t="s">
        <v>15</v>
      </c>
      <c r="BB1329" s="4">
        <v>0</v>
      </c>
      <c r="BC1329">
        <v>0</v>
      </c>
    </row>
    <row r="1330" spans="1:55" x14ac:dyDescent="0.3">
      <c r="A1330" s="63">
        <v>2</v>
      </c>
      <c r="B1330" s="65">
        <v>45670</v>
      </c>
      <c r="C1330" s="63">
        <v>3</v>
      </c>
      <c r="D1330" s="38" t="s">
        <v>180</v>
      </c>
      <c r="E1330" s="23" t="s">
        <v>148</v>
      </c>
      <c r="F1330" s="39">
        <v>14.9474</v>
      </c>
      <c r="G1330" s="64" t="s">
        <v>352</v>
      </c>
      <c r="H1330" s="70"/>
      <c r="BA1330" s="132" t="s">
        <v>15</v>
      </c>
      <c r="BB1330" s="4">
        <v>0</v>
      </c>
      <c r="BC1330">
        <v>0</v>
      </c>
    </row>
    <row r="1331" spans="1:55" x14ac:dyDescent="0.3">
      <c r="A1331" s="63">
        <v>3</v>
      </c>
      <c r="B1331" s="65">
        <v>45677</v>
      </c>
      <c r="C1331" s="63">
        <v>3</v>
      </c>
      <c r="D1331" s="38" t="s">
        <v>180</v>
      </c>
      <c r="E1331" s="23" t="s">
        <v>148</v>
      </c>
      <c r="F1331" s="39">
        <v>14.924799999999999</v>
      </c>
      <c r="G1331" s="64" t="s">
        <v>352</v>
      </c>
      <c r="H1331" s="70"/>
      <c r="BA1331" s="132" t="s">
        <v>15</v>
      </c>
      <c r="BB1331" s="4">
        <v>0</v>
      </c>
      <c r="BC1331">
        <v>0</v>
      </c>
    </row>
    <row r="1332" spans="1:55" x14ac:dyDescent="0.3">
      <c r="A1332" s="63">
        <v>4</v>
      </c>
      <c r="B1332" s="65">
        <v>45684</v>
      </c>
      <c r="C1332" s="63">
        <v>3</v>
      </c>
      <c r="D1332" s="38" t="s">
        <v>180</v>
      </c>
      <c r="E1332" s="23" t="s">
        <v>148</v>
      </c>
      <c r="F1332" s="39">
        <v>14.797499999999999</v>
      </c>
      <c r="G1332" s="64" t="s">
        <v>352</v>
      </c>
      <c r="H1332" s="70"/>
      <c r="BA1332" s="132" t="s">
        <v>15</v>
      </c>
      <c r="BB1332" s="4">
        <v>0</v>
      </c>
      <c r="BC1332">
        <v>0</v>
      </c>
    </row>
    <row r="1333" spans="1:55" x14ac:dyDescent="0.3">
      <c r="A1333" s="63">
        <v>5</v>
      </c>
      <c r="B1333" s="65">
        <v>45691</v>
      </c>
      <c r="C1333" s="63">
        <v>3</v>
      </c>
      <c r="D1333" s="38" t="s">
        <v>180</v>
      </c>
      <c r="E1333" s="23" t="s">
        <v>148</v>
      </c>
      <c r="F1333" s="39">
        <v>15.0252</v>
      </c>
      <c r="G1333" s="64" t="s">
        <v>352</v>
      </c>
      <c r="H1333" s="70"/>
      <c r="BA1333" s="132" t="s">
        <v>15</v>
      </c>
      <c r="BB1333" s="4">
        <v>0</v>
      </c>
      <c r="BC1333">
        <v>0</v>
      </c>
    </row>
    <row r="1334" spans="1:55" x14ac:dyDescent="0.3">
      <c r="A1334" s="63">
        <v>6</v>
      </c>
      <c r="B1334" s="65">
        <v>45698</v>
      </c>
      <c r="C1334" s="63">
        <v>3</v>
      </c>
      <c r="D1334" s="38" t="s">
        <v>180</v>
      </c>
      <c r="E1334" s="23" t="s">
        <v>148</v>
      </c>
      <c r="F1334" s="39">
        <v>15.1907</v>
      </c>
      <c r="G1334" s="64" t="s">
        <v>352</v>
      </c>
      <c r="H1334" s="70"/>
      <c r="BA1334" s="132" t="s">
        <v>15</v>
      </c>
      <c r="BB1334" s="4">
        <v>0</v>
      </c>
      <c r="BC1334">
        <v>0</v>
      </c>
    </row>
    <row r="1335" spans="1:55" x14ac:dyDescent="0.3">
      <c r="A1335" s="63">
        <v>7</v>
      </c>
      <c r="B1335" s="65">
        <v>45705</v>
      </c>
      <c r="C1335" s="63">
        <v>3</v>
      </c>
      <c r="D1335" s="38" t="s">
        <v>180</v>
      </c>
      <c r="E1335" s="23" t="s">
        <v>148</v>
      </c>
      <c r="F1335" s="39">
        <v>15.0101</v>
      </c>
      <c r="G1335" s="64" t="s">
        <v>352</v>
      </c>
      <c r="H1335" s="70"/>
      <c r="BA1335" s="132" t="s">
        <v>15</v>
      </c>
      <c r="BB1335" s="4">
        <v>0</v>
      </c>
      <c r="BC1335">
        <v>0</v>
      </c>
    </row>
    <row r="1336" spans="1:55" x14ac:dyDescent="0.3">
      <c r="A1336" s="63">
        <v>8</v>
      </c>
      <c r="B1336" s="65">
        <v>45712</v>
      </c>
      <c r="C1336" s="63">
        <v>3</v>
      </c>
      <c r="D1336" s="38" t="s">
        <v>180</v>
      </c>
      <c r="E1336" s="23" t="s">
        <v>148</v>
      </c>
      <c r="F1336" s="39">
        <v>15.059799999999999</v>
      </c>
      <c r="G1336" s="64" t="s">
        <v>352</v>
      </c>
      <c r="H1336" s="70"/>
      <c r="BA1336" s="132" t="s">
        <v>15</v>
      </c>
      <c r="BB1336" s="4">
        <v>0</v>
      </c>
      <c r="BC1336">
        <v>0</v>
      </c>
    </row>
    <row r="1337" spans="1:55" x14ac:dyDescent="0.3">
      <c r="A1337" s="63">
        <v>9</v>
      </c>
      <c r="B1337" s="65">
        <v>45719</v>
      </c>
      <c r="C1337" s="63">
        <v>3</v>
      </c>
      <c r="D1337" s="38" t="s">
        <v>180</v>
      </c>
      <c r="E1337" s="23" t="s">
        <v>148</v>
      </c>
      <c r="F1337" s="39">
        <v>14.9941</v>
      </c>
      <c r="G1337" s="64" t="s">
        <v>352</v>
      </c>
      <c r="H1337" s="70"/>
      <c r="BA1337" s="132" t="s">
        <v>15</v>
      </c>
      <c r="BB1337" s="4">
        <v>0</v>
      </c>
      <c r="BC1337">
        <v>0</v>
      </c>
    </row>
    <row r="1338" spans="1:55" x14ac:dyDescent="0.3">
      <c r="A1338" s="63">
        <v>10</v>
      </c>
      <c r="B1338" s="65">
        <v>45726</v>
      </c>
      <c r="C1338" s="63">
        <v>3</v>
      </c>
      <c r="D1338" s="38" t="s">
        <v>180</v>
      </c>
      <c r="E1338" s="23" t="s">
        <v>148</v>
      </c>
      <c r="F1338" s="39">
        <v>14.8552</v>
      </c>
      <c r="G1338" s="64" t="s">
        <v>352</v>
      </c>
      <c r="H1338" s="70"/>
      <c r="BA1338" s="132" t="s">
        <v>15</v>
      </c>
      <c r="BB1338" s="4">
        <v>0</v>
      </c>
      <c r="BC1338">
        <v>0</v>
      </c>
    </row>
    <row r="1339" spans="1:55" x14ac:dyDescent="0.3">
      <c r="A1339" s="63">
        <v>11</v>
      </c>
      <c r="B1339" s="65">
        <v>45733</v>
      </c>
      <c r="C1339" s="63">
        <v>3</v>
      </c>
      <c r="D1339" s="38" t="s">
        <v>180</v>
      </c>
      <c r="E1339" s="23" t="s">
        <v>148</v>
      </c>
      <c r="F1339" s="39">
        <v>15.0664</v>
      </c>
      <c r="G1339" s="64" t="s">
        <v>352</v>
      </c>
      <c r="H1339" s="70"/>
      <c r="BA1339" s="132" t="s">
        <v>15</v>
      </c>
      <c r="BB1339" s="4">
        <v>0</v>
      </c>
      <c r="BC1339">
        <v>0</v>
      </c>
    </row>
    <row r="1340" spans="1:55" x14ac:dyDescent="0.3">
      <c r="A1340" s="63">
        <v>12</v>
      </c>
      <c r="B1340" s="65">
        <v>45740</v>
      </c>
      <c r="C1340" s="63">
        <v>3</v>
      </c>
      <c r="D1340" s="38" t="s">
        <v>180</v>
      </c>
      <c r="E1340" s="23" t="s">
        <v>148</v>
      </c>
      <c r="F1340" s="39">
        <v>14.8325</v>
      </c>
      <c r="G1340" s="64" t="s">
        <v>352</v>
      </c>
      <c r="H1340" s="70"/>
      <c r="BA1340" s="132" t="s">
        <v>15</v>
      </c>
      <c r="BB1340" s="4">
        <v>0</v>
      </c>
      <c r="BC1340">
        <v>0</v>
      </c>
    </row>
    <row r="1341" spans="1:55" x14ac:dyDescent="0.3">
      <c r="A1341" s="63">
        <v>13</v>
      </c>
      <c r="B1341" s="65">
        <v>45747</v>
      </c>
      <c r="C1341" s="63">
        <v>3</v>
      </c>
      <c r="D1341" s="38" t="s">
        <v>180</v>
      </c>
      <c r="E1341" s="23" t="s">
        <v>148</v>
      </c>
      <c r="F1341" s="39">
        <v>14.925700000000001</v>
      </c>
      <c r="G1341" s="64" t="s">
        <v>352</v>
      </c>
      <c r="H1341" s="70"/>
      <c r="BA1341" s="132" t="s">
        <v>15</v>
      </c>
      <c r="BB1341" s="4">
        <v>0</v>
      </c>
      <c r="BC1341">
        <v>0</v>
      </c>
    </row>
    <row r="1342" spans="1:55" x14ac:dyDescent="0.3">
      <c r="A1342" s="63">
        <v>14</v>
      </c>
      <c r="B1342" s="65">
        <v>45754</v>
      </c>
      <c r="C1342" s="63">
        <v>3</v>
      </c>
      <c r="D1342" s="38" t="s">
        <v>180</v>
      </c>
      <c r="E1342" s="23" t="s">
        <v>148</v>
      </c>
      <c r="F1342" s="39">
        <v>14.9702</v>
      </c>
      <c r="G1342" s="64" t="s">
        <v>352</v>
      </c>
      <c r="H1342" s="70"/>
      <c r="BA1342" s="132" t="s">
        <v>15</v>
      </c>
      <c r="BB1342" s="4">
        <v>0</v>
      </c>
      <c r="BC1342">
        <v>0</v>
      </c>
    </row>
    <row r="1343" spans="1:55" x14ac:dyDescent="0.3">
      <c r="A1343" s="63">
        <v>15</v>
      </c>
      <c r="B1343" s="65">
        <v>45761</v>
      </c>
      <c r="C1343" s="63">
        <v>3</v>
      </c>
      <c r="D1343" s="38" t="s">
        <v>180</v>
      </c>
      <c r="E1343" s="23" t="s">
        <v>148</v>
      </c>
      <c r="F1343" s="39">
        <v>15.0251</v>
      </c>
      <c r="G1343" s="64" t="s">
        <v>352</v>
      </c>
      <c r="H1343" s="70"/>
      <c r="BA1343" s="132" t="s">
        <v>15</v>
      </c>
      <c r="BB1343" s="4">
        <v>0</v>
      </c>
      <c r="BC1343">
        <v>0</v>
      </c>
    </row>
    <row r="1344" spans="1:55" x14ac:dyDescent="0.3">
      <c r="A1344" s="63">
        <v>16</v>
      </c>
      <c r="B1344" s="65">
        <v>45768</v>
      </c>
      <c r="C1344" s="63">
        <v>3</v>
      </c>
      <c r="D1344" s="38" t="s">
        <v>180</v>
      </c>
      <c r="E1344" s="23" t="s">
        <v>148</v>
      </c>
      <c r="F1344" s="39">
        <v>14.982699999999999</v>
      </c>
      <c r="G1344" s="64" t="s">
        <v>352</v>
      </c>
      <c r="H1344" s="70"/>
      <c r="BA1344" s="132" t="s">
        <v>15</v>
      </c>
      <c r="BB1344" s="4">
        <v>0</v>
      </c>
      <c r="BC1344">
        <v>0</v>
      </c>
    </row>
    <row r="1345" spans="1:55" x14ac:dyDescent="0.3">
      <c r="A1345" s="63">
        <v>17</v>
      </c>
      <c r="B1345" s="65">
        <v>45775</v>
      </c>
      <c r="C1345" s="63">
        <v>3</v>
      </c>
      <c r="D1345" s="38" t="s">
        <v>180</v>
      </c>
      <c r="E1345" s="23" t="s">
        <v>148</v>
      </c>
      <c r="F1345" s="39">
        <v>14.98</v>
      </c>
      <c r="G1345" s="64" t="s">
        <v>352</v>
      </c>
      <c r="H1345" s="70"/>
      <c r="BA1345" s="132" t="s">
        <v>15</v>
      </c>
      <c r="BB1345" s="4">
        <v>0</v>
      </c>
      <c r="BC1345">
        <v>0</v>
      </c>
    </row>
    <row r="1346" spans="1:55" x14ac:dyDescent="0.3">
      <c r="A1346" s="63">
        <v>18</v>
      </c>
      <c r="B1346" s="65">
        <v>45782</v>
      </c>
      <c r="C1346" s="63">
        <v>3</v>
      </c>
      <c r="D1346" s="38" t="s">
        <v>180</v>
      </c>
      <c r="E1346" s="23" t="s">
        <v>148</v>
      </c>
      <c r="F1346" s="39">
        <v>14.8756</v>
      </c>
      <c r="G1346" s="64" t="s">
        <v>352</v>
      </c>
      <c r="H1346" s="70"/>
      <c r="BA1346" s="132" t="s">
        <v>15</v>
      </c>
      <c r="BB1346" s="4">
        <v>0</v>
      </c>
      <c r="BC1346">
        <v>0</v>
      </c>
    </row>
    <row r="1347" spans="1:55" x14ac:dyDescent="0.3">
      <c r="A1347" s="63">
        <v>19</v>
      </c>
      <c r="B1347" s="65">
        <v>45789</v>
      </c>
      <c r="C1347" s="63">
        <v>3</v>
      </c>
      <c r="D1347" s="38" t="s">
        <v>180</v>
      </c>
      <c r="E1347" s="23" t="s">
        <v>148</v>
      </c>
      <c r="F1347" s="39">
        <v>14.827500000000001</v>
      </c>
      <c r="G1347" s="64" t="s">
        <v>352</v>
      </c>
      <c r="H1347" s="70"/>
      <c r="BA1347" s="132" t="s">
        <v>15</v>
      </c>
      <c r="BB1347" s="4">
        <v>0</v>
      </c>
      <c r="BC1347">
        <v>0</v>
      </c>
    </row>
    <row r="1348" spans="1:55" x14ac:dyDescent="0.3">
      <c r="A1348" s="63">
        <v>20</v>
      </c>
      <c r="B1348" s="65">
        <v>45796</v>
      </c>
      <c r="C1348" s="63">
        <v>3</v>
      </c>
      <c r="D1348" s="38" t="s">
        <v>180</v>
      </c>
      <c r="E1348" s="23" t="s">
        <v>148</v>
      </c>
      <c r="F1348" s="39">
        <v>14.9504</v>
      </c>
      <c r="G1348" s="64" t="s">
        <v>352</v>
      </c>
      <c r="H1348" s="70"/>
      <c r="BA1348" s="132" t="s">
        <v>15</v>
      </c>
      <c r="BB1348" s="4">
        <v>0</v>
      </c>
      <c r="BC1348">
        <v>0</v>
      </c>
    </row>
    <row r="1349" spans="1:55" x14ac:dyDescent="0.3">
      <c r="A1349" s="63">
        <v>21</v>
      </c>
      <c r="B1349" s="65">
        <v>45803</v>
      </c>
      <c r="C1349" s="63">
        <v>3</v>
      </c>
      <c r="D1349" s="38" t="s">
        <v>180</v>
      </c>
      <c r="E1349" s="23" t="s">
        <v>148</v>
      </c>
      <c r="F1349" s="39">
        <v>14.8802</v>
      </c>
      <c r="G1349" s="64" t="s">
        <v>352</v>
      </c>
      <c r="H1349" s="70"/>
      <c r="BA1349" s="132" t="s">
        <v>15</v>
      </c>
      <c r="BB1349" s="4">
        <v>0</v>
      </c>
      <c r="BC1349">
        <v>0</v>
      </c>
    </row>
    <row r="1350" spans="1:55" x14ac:dyDescent="0.3">
      <c r="A1350" s="63">
        <v>22</v>
      </c>
      <c r="B1350" s="65">
        <v>45810</v>
      </c>
      <c r="C1350" s="63">
        <v>3</v>
      </c>
      <c r="D1350" s="38" t="s">
        <v>180</v>
      </c>
      <c r="E1350" s="23" t="s">
        <v>148</v>
      </c>
      <c r="F1350" s="39">
        <v>14.825900000000001</v>
      </c>
      <c r="G1350" s="64" t="s">
        <v>352</v>
      </c>
      <c r="H1350" s="70"/>
      <c r="BA1350" s="132" t="s">
        <v>15</v>
      </c>
      <c r="BB1350" s="4">
        <v>0</v>
      </c>
      <c r="BC1350">
        <v>0</v>
      </c>
    </row>
    <row r="1351" spans="1:55" x14ac:dyDescent="0.3">
      <c r="A1351" s="63">
        <v>23</v>
      </c>
      <c r="B1351" s="65">
        <v>45817</v>
      </c>
      <c r="C1351" s="63">
        <v>3</v>
      </c>
      <c r="D1351" s="38" t="s">
        <v>180</v>
      </c>
      <c r="E1351" s="23" t="s">
        <v>148</v>
      </c>
      <c r="F1351" s="39">
        <v>14.829700000000001</v>
      </c>
      <c r="G1351" s="64" t="s">
        <v>352</v>
      </c>
      <c r="H1351" s="70"/>
      <c r="BA1351" s="132" t="s">
        <v>15</v>
      </c>
      <c r="BB1351" s="4">
        <v>0</v>
      </c>
      <c r="BC1351">
        <v>0</v>
      </c>
    </row>
    <row r="1352" spans="1:55" x14ac:dyDescent="0.3">
      <c r="A1352" s="63">
        <v>24</v>
      </c>
      <c r="B1352" s="65">
        <v>45824</v>
      </c>
      <c r="C1352" s="63">
        <v>3</v>
      </c>
      <c r="D1352" s="38" t="s">
        <v>180</v>
      </c>
      <c r="E1352" s="23" t="s">
        <v>148</v>
      </c>
      <c r="F1352" s="39">
        <v>14.9002</v>
      </c>
      <c r="G1352" s="64" t="s">
        <v>352</v>
      </c>
      <c r="H1352" s="70"/>
      <c r="BA1352" s="132" t="s">
        <v>15</v>
      </c>
      <c r="BB1352" s="4">
        <v>0</v>
      </c>
      <c r="BC1352">
        <v>0</v>
      </c>
    </row>
    <row r="1353" spans="1:55" x14ac:dyDescent="0.3">
      <c r="A1353" s="63">
        <v>25</v>
      </c>
      <c r="B1353" s="65">
        <v>45831</v>
      </c>
      <c r="C1353" s="63">
        <v>3</v>
      </c>
      <c r="D1353" s="38" t="s">
        <v>180</v>
      </c>
      <c r="E1353" s="23" t="s">
        <v>148</v>
      </c>
      <c r="F1353" s="39">
        <v>14.776300000000001</v>
      </c>
      <c r="G1353" s="64" t="s">
        <v>352</v>
      </c>
      <c r="H1353" s="70"/>
      <c r="BA1353" s="132" t="s">
        <v>15</v>
      </c>
      <c r="BB1353" s="4">
        <v>0</v>
      </c>
      <c r="BC1353">
        <v>0</v>
      </c>
    </row>
    <row r="1354" spans="1:55" x14ac:dyDescent="0.3">
      <c r="A1354" s="63">
        <v>1</v>
      </c>
      <c r="B1354" s="65">
        <v>45663</v>
      </c>
      <c r="C1354" s="63">
        <v>1</v>
      </c>
      <c r="D1354" s="38" t="s">
        <v>178</v>
      </c>
      <c r="E1354" s="23" t="s">
        <v>150</v>
      </c>
      <c r="F1354" s="39">
        <v>4.2713999999999999</v>
      </c>
      <c r="G1354" s="64" t="s">
        <v>352</v>
      </c>
      <c r="H1354" s="70"/>
      <c r="BA1354" s="132" t="s">
        <v>15</v>
      </c>
      <c r="BB1354" s="4">
        <v>1</v>
      </c>
      <c r="BC1354">
        <v>0</v>
      </c>
    </row>
    <row r="1355" spans="1:55" x14ac:dyDescent="0.3">
      <c r="A1355" s="63">
        <v>2</v>
      </c>
      <c r="B1355" s="65">
        <v>45670</v>
      </c>
      <c r="C1355" s="63">
        <v>1</v>
      </c>
      <c r="D1355" s="38" t="s">
        <v>178</v>
      </c>
      <c r="E1355" s="23" t="s">
        <v>150</v>
      </c>
      <c r="F1355" s="39">
        <v>4.1947000000000001</v>
      </c>
      <c r="G1355" s="64" t="s">
        <v>352</v>
      </c>
      <c r="H1355" s="70"/>
      <c r="BA1355" s="132" t="s">
        <v>15</v>
      </c>
      <c r="BB1355" s="4">
        <v>1</v>
      </c>
      <c r="BC1355">
        <v>0</v>
      </c>
    </row>
    <row r="1356" spans="1:55" x14ac:dyDescent="0.3">
      <c r="A1356" s="63">
        <v>3</v>
      </c>
      <c r="B1356" s="65">
        <v>45677</v>
      </c>
      <c r="C1356" s="63">
        <v>1</v>
      </c>
      <c r="D1356" s="38" t="s">
        <v>178</v>
      </c>
      <c r="E1356" s="23" t="s">
        <v>150</v>
      </c>
      <c r="F1356" s="39">
        <v>4.6792999999999996</v>
      </c>
      <c r="G1356" s="64" t="s">
        <v>352</v>
      </c>
      <c r="H1356" s="70"/>
      <c r="BA1356" s="132" t="s">
        <v>15</v>
      </c>
      <c r="BB1356" s="4">
        <v>1</v>
      </c>
      <c r="BC1356">
        <v>0</v>
      </c>
    </row>
    <row r="1357" spans="1:55" x14ac:dyDescent="0.3">
      <c r="A1357" s="63">
        <v>4</v>
      </c>
      <c r="B1357" s="65">
        <v>45684</v>
      </c>
      <c r="C1357" s="63">
        <v>1</v>
      </c>
      <c r="D1357" s="38" t="s">
        <v>178</v>
      </c>
      <c r="E1357" s="23" t="s">
        <v>150</v>
      </c>
      <c r="F1357" s="39">
        <v>4.7394999999999996</v>
      </c>
      <c r="G1357" s="64" t="s">
        <v>352</v>
      </c>
      <c r="H1357" s="70"/>
      <c r="BA1357" s="132" t="s">
        <v>15</v>
      </c>
      <c r="BB1357" s="4">
        <v>1</v>
      </c>
      <c r="BC1357">
        <v>0</v>
      </c>
    </row>
    <row r="1358" spans="1:55" x14ac:dyDescent="0.3">
      <c r="A1358" s="63">
        <v>5</v>
      </c>
      <c r="B1358" s="65">
        <v>45691</v>
      </c>
      <c r="C1358" s="63">
        <v>1</v>
      </c>
      <c r="D1358" s="38" t="s">
        <v>178</v>
      </c>
      <c r="E1358" s="23" t="s">
        <v>150</v>
      </c>
      <c r="F1358" s="39">
        <v>5.1658999999999997</v>
      </c>
      <c r="G1358" s="64" t="s">
        <v>352</v>
      </c>
      <c r="H1358" s="70"/>
      <c r="BA1358" s="132" t="s">
        <v>15</v>
      </c>
      <c r="BB1358" s="4">
        <v>1</v>
      </c>
      <c r="BC1358">
        <v>0</v>
      </c>
    </row>
    <row r="1359" spans="1:55" x14ac:dyDescent="0.3">
      <c r="A1359" s="63">
        <v>6</v>
      </c>
      <c r="B1359" s="65">
        <v>45698</v>
      </c>
      <c r="C1359" s="63">
        <v>1</v>
      </c>
      <c r="D1359" s="38" t="s">
        <v>178</v>
      </c>
      <c r="E1359" s="23" t="s">
        <v>150</v>
      </c>
      <c r="F1359" s="39">
        <v>4.2313999999999998</v>
      </c>
      <c r="G1359" s="64" t="s">
        <v>352</v>
      </c>
      <c r="H1359" s="70"/>
      <c r="BA1359" s="132" t="s">
        <v>15</v>
      </c>
      <c r="BB1359" s="4">
        <v>1</v>
      </c>
      <c r="BC1359">
        <v>0</v>
      </c>
    </row>
    <row r="1360" spans="1:55" x14ac:dyDescent="0.3">
      <c r="A1360" s="63">
        <v>7</v>
      </c>
      <c r="B1360" s="65">
        <v>45705</v>
      </c>
      <c r="C1360" s="63">
        <v>1</v>
      </c>
      <c r="D1360" s="38" t="s">
        <v>178</v>
      </c>
      <c r="E1360" s="23" t="s">
        <v>150</v>
      </c>
      <c r="F1360" s="39">
        <v>4.4494999999999996</v>
      </c>
      <c r="G1360" s="64" t="s">
        <v>352</v>
      </c>
      <c r="H1360" s="70"/>
      <c r="BA1360" s="132" t="s">
        <v>15</v>
      </c>
      <c r="BB1360" s="4">
        <v>1</v>
      </c>
      <c r="BC1360">
        <v>0</v>
      </c>
    </row>
    <row r="1361" spans="1:55" x14ac:dyDescent="0.3">
      <c r="A1361" s="63">
        <v>8</v>
      </c>
      <c r="B1361" s="65">
        <v>45712</v>
      </c>
      <c r="C1361" s="63">
        <v>1</v>
      </c>
      <c r="D1361" s="38" t="s">
        <v>178</v>
      </c>
      <c r="E1361" s="23" t="s">
        <v>150</v>
      </c>
      <c r="F1361" s="39">
        <v>4.8739999999999997</v>
      </c>
      <c r="G1361" s="64" t="s">
        <v>352</v>
      </c>
      <c r="H1361" s="70"/>
      <c r="BA1361" s="132" t="s">
        <v>15</v>
      </c>
      <c r="BB1361" s="4">
        <v>1</v>
      </c>
      <c r="BC1361">
        <v>0</v>
      </c>
    </row>
    <row r="1362" spans="1:55" x14ac:dyDescent="0.3">
      <c r="A1362" s="63">
        <v>9</v>
      </c>
      <c r="B1362" s="65">
        <v>45719</v>
      </c>
      <c r="C1362" s="63">
        <v>1</v>
      </c>
      <c r="D1362" s="38" t="s">
        <v>178</v>
      </c>
      <c r="E1362" s="23" t="s">
        <v>150</v>
      </c>
      <c r="F1362" s="39">
        <v>4.5728999999999997</v>
      </c>
      <c r="G1362" s="64" t="s">
        <v>352</v>
      </c>
      <c r="H1362" s="70"/>
      <c r="BA1362" s="132" t="s">
        <v>15</v>
      </c>
      <c r="BB1362" s="4">
        <v>1</v>
      </c>
      <c r="BC1362">
        <v>0</v>
      </c>
    </row>
    <row r="1363" spans="1:55" x14ac:dyDescent="0.3">
      <c r="A1363" s="63">
        <v>10</v>
      </c>
      <c r="B1363" s="65">
        <v>45726</v>
      </c>
      <c r="C1363" s="63">
        <v>1</v>
      </c>
      <c r="D1363" s="38" t="s">
        <v>178</v>
      </c>
      <c r="E1363" s="23" t="s">
        <v>150</v>
      </c>
      <c r="F1363" s="39">
        <v>4.5434999999999999</v>
      </c>
      <c r="G1363" s="64" t="s">
        <v>352</v>
      </c>
      <c r="H1363" s="70"/>
      <c r="BA1363" s="132" t="s">
        <v>15</v>
      </c>
      <c r="BB1363" s="4">
        <v>1</v>
      </c>
      <c r="BC1363">
        <v>0</v>
      </c>
    </row>
    <row r="1364" spans="1:55" x14ac:dyDescent="0.3">
      <c r="A1364" s="63">
        <v>11</v>
      </c>
      <c r="B1364" s="65">
        <v>45733</v>
      </c>
      <c r="C1364" s="63">
        <v>1</v>
      </c>
      <c r="D1364" s="38" t="s">
        <v>178</v>
      </c>
      <c r="E1364" s="23" t="s">
        <v>150</v>
      </c>
      <c r="F1364" s="39">
        <v>5.0864000000000003</v>
      </c>
      <c r="G1364" s="64" t="s">
        <v>352</v>
      </c>
      <c r="H1364" s="70"/>
      <c r="BA1364" s="132" t="s">
        <v>15</v>
      </c>
      <c r="BB1364" s="4">
        <v>1</v>
      </c>
      <c r="BC1364">
        <v>0</v>
      </c>
    </row>
    <row r="1365" spans="1:55" x14ac:dyDescent="0.3">
      <c r="A1365" s="63">
        <v>12</v>
      </c>
      <c r="B1365" s="65">
        <v>45740</v>
      </c>
      <c r="C1365" s="63">
        <v>1</v>
      </c>
      <c r="D1365" s="38" t="s">
        <v>178</v>
      </c>
      <c r="E1365" s="23" t="s">
        <v>150</v>
      </c>
      <c r="F1365" s="39">
        <v>4.5404999999999998</v>
      </c>
      <c r="G1365" s="64" t="s">
        <v>352</v>
      </c>
      <c r="H1365" s="70"/>
      <c r="BA1365" s="132" t="s">
        <v>15</v>
      </c>
      <c r="BB1365" s="4">
        <v>1</v>
      </c>
      <c r="BC1365">
        <v>0</v>
      </c>
    </row>
    <row r="1366" spans="1:55" x14ac:dyDescent="0.3">
      <c r="A1366" s="63">
        <v>13</v>
      </c>
      <c r="B1366" s="65">
        <v>45747</v>
      </c>
      <c r="C1366" s="63">
        <v>1</v>
      </c>
      <c r="D1366" s="38" t="s">
        <v>178</v>
      </c>
      <c r="E1366" s="23" t="s">
        <v>150</v>
      </c>
      <c r="F1366" s="39">
        <v>4.3224</v>
      </c>
      <c r="G1366" s="64" t="s">
        <v>352</v>
      </c>
      <c r="H1366" s="70"/>
      <c r="BA1366" s="132" t="s">
        <v>15</v>
      </c>
      <c r="BB1366" s="4">
        <v>1</v>
      </c>
      <c r="BC1366">
        <v>0</v>
      </c>
    </row>
    <row r="1367" spans="1:55" x14ac:dyDescent="0.3">
      <c r="A1367" s="63">
        <v>14</v>
      </c>
      <c r="B1367" s="65">
        <v>45754</v>
      </c>
      <c r="C1367" s="63">
        <v>1</v>
      </c>
      <c r="D1367" s="38" t="s">
        <v>178</v>
      </c>
      <c r="E1367" s="23" t="s">
        <v>150</v>
      </c>
      <c r="F1367" s="39">
        <v>4.2794999999999996</v>
      </c>
      <c r="G1367" s="64" t="s">
        <v>352</v>
      </c>
      <c r="H1367" s="70"/>
      <c r="BA1367" s="132" t="s">
        <v>15</v>
      </c>
      <c r="BB1367" s="4">
        <v>1</v>
      </c>
      <c r="BC1367">
        <v>0</v>
      </c>
    </row>
    <row r="1368" spans="1:55" x14ac:dyDescent="0.3">
      <c r="A1368" s="63">
        <v>15</v>
      </c>
      <c r="B1368" s="65">
        <v>45761</v>
      </c>
      <c r="C1368" s="63">
        <v>1</v>
      </c>
      <c r="D1368" s="38" t="s">
        <v>178</v>
      </c>
      <c r="E1368" s="23" t="s">
        <v>150</v>
      </c>
      <c r="F1368" s="39">
        <v>4.7202000000000002</v>
      </c>
      <c r="G1368" s="64" t="s">
        <v>352</v>
      </c>
      <c r="H1368" s="70"/>
      <c r="BA1368" s="132" t="s">
        <v>15</v>
      </c>
      <c r="BB1368" s="4">
        <v>1</v>
      </c>
      <c r="BC1368">
        <v>0</v>
      </c>
    </row>
    <row r="1369" spans="1:55" x14ac:dyDescent="0.3">
      <c r="A1369" s="63">
        <v>16</v>
      </c>
      <c r="B1369" s="65">
        <v>45768</v>
      </c>
      <c r="C1369" s="63">
        <v>1</v>
      </c>
      <c r="D1369" s="38" t="s">
        <v>178</v>
      </c>
      <c r="E1369" s="23" t="s">
        <v>150</v>
      </c>
      <c r="F1369" s="39">
        <v>4.7121000000000004</v>
      </c>
      <c r="G1369" s="64" t="s">
        <v>352</v>
      </c>
      <c r="H1369" s="70"/>
      <c r="BA1369" s="132" t="s">
        <v>15</v>
      </c>
      <c r="BB1369" s="4">
        <v>1</v>
      </c>
      <c r="BC1369">
        <v>0</v>
      </c>
    </row>
    <row r="1370" spans="1:55" x14ac:dyDescent="0.3">
      <c r="A1370" s="63">
        <v>17</v>
      </c>
      <c r="B1370" s="65">
        <v>45775</v>
      </c>
      <c r="C1370" s="63">
        <v>1</v>
      </c>
      <c r="D1370" s="38" t="s">
        <v>178</v>
      </c>
      <c r="E1370" s="23" t="s">
        <v>150</v>
      </c>
      <c r="F1370" s="39">
        <v>4.2648999999999999</v>
      </c>
      <c r="G1370" s="64" t="s">
        <v>352</v>
      </c>
      <c r="H1370" s="70"/>
      <c r="BA1370" s="132" t="s">
        <v>15</v>
      </c>
      <c r="BB1370" s="4">
        <v>1</v>
      </c>
      <c r="BC1370">
        <v>0</v>
      </c>
    </row>
    <row r="1371" spans="1:55" x14ac:dyDescent="0.3">
      <c r="A1371" s="63">
        <v>18</v>
      </c>
      <c r="B1371" s="65">
        <v>45782</v>
      </c>
      <c r="C1371" s="63">
        <v>1</v>
      </c>
      <c r="D1371" s="38" t="s">
        <v>178</v>
      </c>
      <c r="E1371" s="23" t="s">
        <v>150</v>
      </c>
      <c r="F1371" s="39">
        <v>4.3678999999999997</v>
      </c>
      <c r="G1371" s="64" t="s">
        <v>352</v>
      </c>
      <c r="H1371" s="70"/>
      <c r="BA1371" s="132" t="s">
        <v>15</v>
      </c>
      <c r="BB1371" s="4">
        <v>1</v>
      </c>
      <c r="BC1371">
        <v>0</v>
      </c>
    </row>
    <row r="1372" spans="1:55" x14ac:dyDescent="0.3">
      <c r="A1372" s="63">
        <v>19</v>
      </c>
      <c r="B1372" s="65">
        <v>45789</v>
      </c>
      <c r="C1372" s="63">
        <v>1</v>
      </c>
      <c r="D1372" s="38" t="s">
        <v>178</v>
      </c>
      <c r="E1372" s="23" t="s">
        <v>150</v>
      </c>
      <c r="F1372" s="39">
        <v>4.7732999999999999</v>
      </c>
      <c r="G1372" s="64" t="s">
        <v>352</v>
      </c>
      <c r="H1372" s="70"/>
      <c r="BA1372" s="132" t="s">
        <v>15</v>
      </c>
      <c r="BB1372" s="4">
        <v>1</v>
      </c>
      <c r="BC1372">
        <v>0</v>
      </c>
    </row>
    <row r="1373" spans="1:55" x14ac:dyDescent="0.3">
      <c r="A1373" s="63">
        <v>20</v>
      </c>
      <c r="B1373" s="65">
        <v>45796</v>
      </c>
      <c r="C1373" s="63">
        <v>1</v>
      </c>
      <c r="D1373" s="38" t="s">
        <v>178</v>
      </c>
      <c r="E1373" s="23" t="s">
        <v>150</v>
      </c>
      <c r="F1373" s="39">
        <v>4.7846000000000002</v>
      </c>
      <c r="G1373" s="64" t="s">
        <v>352</v>
      </c>
      <c r="H1373" s="70"/>
      <c r="BA1373" s="132" t="s">
        <v>15</v>
      </c>
      <c r="BB1373" s="4">
        <v>1</v>
      </c>
      <c r="BC1373">
        <v>0</v>
      </c>
    </row>
    <row r="1374" spans="1:55" x14ac:dyDescent="0.3">
      <c r="A1374" s="63">
        <v>21</v>
      </c>
      <c r="B1374" s="65">
        <v>45803</v>
      </c>
      <c r="C1374" s="63">
        <v>1</v>
      </c>
      <c r="D1374" s="38" t="s">
        <v>178</v>
      </c>
      <c r="E1374" s="23" t="s">
        <v>150</v>
      </c>
      <c r="F1374" s="39">
        <v>4.4592000000000001</v>
      </c>
      <c r="G1374" s="64" t="s">
        <v>352</v>
      </c>
      <c r="H1374" s="70"/>
      <c r="BA1374" s="132" t="s">
        <v>15</v>
      </c>
      <c r="BB1374" s="4">
        <v>1</v>
      </c>
      <c r="BC1374">
        <v>0</v>
      </c>
    </row>
    <row r="1375" spans="1:55" x14ac:dyDescent="0.3">
      <c r="A1375" s="63">
        <v>22</v>
      </c>
      <c r="B1375" s="65">
        <v>45810</v>
      </c>
      <c r="C1375" s="63">
        <v>1</v>
      </c>
      <c r="D1375" s="38" t="s">
        <v>178</v>
      </c>
      <c r="E1375" s="23" t="s">
        <v>150</v>
      </c>
      <c r="F1375" s="39">
        <v>4.7965999999999998</v>
      </c>
      <c r="G1375" s="64" t="s">
        <v>352</v>
      </c>
      <c r="H1375" s="70"/>
      <c r="BA1375" s="132" t="s">
        <v>15</v>
      </c>
      <c r="BB1375" s="4">
        <v>1</v>
      </c>
      <c r="BC1375">
        <v>0</v>
      </c>
    </row>
    <row r="1376" spans="1:55" x14ac:dyDescent="0.3">
      <c r="A1376" s="63">
        <v>23</v>
      </c>
      <c r="B1376" s="65">
        <v>45817</v>
      </c>
      <c r="C1376" s="63">
        <v>1</v>
      </c>
      <c r="D1376" s="38" t="s">
        <v>178</v>
      </c>
      <c r="E1376" s="23" t="s">
        <v>150</v>
      </c>
      <c r="F1376" s="39">
        <v>4.7831999999999999</v>
      </c>
      <c r="G1376" s="64" t="s">
        <v>352</v>
      </c>
      <c r="H1376" s="70"/>
      <c r="BA1376" s="132" t="s">
        <v>15</v>
      </c>
      <c r="BB1376" s="4">
        <v>1</v>
      </c>
      <c r="BC1376">
        <v>0</v>
      </c>
    </row>
    <row r="1377" spans="1:55" x14ac:dyDescent="0.3">
      <c r="A1377" s="63">
        <v>24</v>
      </c>
      <c r="B1377" s="65">
        <v>45824</v>
      </c>
      <c r="C1377" s="63">
        <v>1</v>
      </c>
      <c r="D1377" s="38" t="s">
        <v>178</v>
      </c>
      <c r="E1377" s="23" t="s">
        <v>150</v>
      </c>
      <c r="F1377" s="39">
        <v>4.1551999999999998</v>
      </c>
      <c r="G1377" s="64" t="s">
        <v>352</v>
      </c>
      <c r="H1377" s="70"/>
      <c r="BA1377" s="132" t="s">
        <v>15</v>
      </c>
      <c r="BB1377" s="4">
        <v>1</v>
      </c>
      <c r="BC1377">
        <v>0</v>
      </c>
    </row>
    <row r="1378" spans="1:55" x14ac:dyDescent="0.3">
      <c r="A1378" s="63">
        <v>25</v>
      </c>
      <c r="B1378" s="65">
        <v>45831</v>
      </c>
      <c r="C1378" s="63">
        <v>1</v>
      </c>
      <c r="D1378" s="38" t="s">
        <v>178</v>
      </c>
      <c r="E1378" s="23" t="s">
        <v>150</v>
      </c>
      <c r="F1378" s="39">
        <v>4.5475000000000003</v>
      </c>
      <c r="G1378" s="64" t="s">
        <v>352</v>
      </c>
      <c r="H1378" s="70"/>
      <c r="BA1378" s="132" t="s">
        <v>15</v>
      </c>
      <c r="BB1378" s="4">
        <v>1</v>
      </c>
      <c r="BC1378">
        <v>0</v>
      </c>
    </row>
    <row r="1379" spans="1:55" x14ac:dyDescent="0.3">
      <c r="A1379" s="63">
        <v>1</v>
      </c>
      <c r="B1379" s="65">
        <v>45663</v>
      </c>
      <c r="C1379" s="63">
        <v>2</v>
      </c>
      <c r="D1379" s="38" t="s">
        <v>179</v>
      </c>
      <c r="E1379" s="23" t="s">
        <v>150</v>
      </c>
      <c r="F1379" s="39">
        <v>2.3692000000000002</v>
      </c>
      <c r="G1379" s="64" t="s">
        <v>352</v>
      </c>
      <c r="H1379" s="70"/>
      <c r="BA1379" s="132" t="s">
        <v>15</v>
      </c>
      <c r="BB1379" s="4">
        <v>0</v>
      </c>
      <c r="BC1379">
        <v>0</v>
      </c>
    </row>
    <row r="1380" spans="1:55" x14ac:dyDescent="0.3">
      <c r="A1380" s="63">
        <v>2</v>
      </c>
      <c r="B1380" s="65">
        <v>45670</v>
      </c>
      <c r="C1380" s="63">
        <v>2</v>
      </c>
      <c r="D1380" s="38" t="s">
        <v>179</v>
      </c>
      <c r="E1380" s="23" t="s">
        <v>150</v>
      </c>
      <c r="F1380" s="39">
        <v>2.3087</v>
      </c>
      <c r="G1380" s="64" t="s">
        <v>352</v>
      </c>
      <c r="H1380" s="70"/>
      <c r="BA1380" s="132" t="s">
        <v>15</v>
      </c>
      <c r="BB1380" s="4">
        <v>0</v>
      </c>
      <c r="BC1380">
        <v>0</v>
      </c>
    </row>
    <row r="1381" spans="1:55" x14ac:dyDescent="0.3">
      <c r="A1381" s="63">
        <v>3</v>
      </c>
      <c r="B1381" s="65">
        <v>45677</v>
      </c>
      <c r="C1381" s="63">
        <v>2</v>
      </c>
      <c r="D1381" s="38" t="s">
        <v>179</v>
      </c>
      <c r="E1381" s="23" t="s">
        <v>150</v>
      </c>
      <c r="F1381" s="39">
        <v>2.2128000000000001</v>
      </c>
      <c r="G1381" s="64" t="s">
        <v>352</v>
      </c>
      <c r="H1381" s="70"/>
      <c r="BA1381" s="132" t="s">
        <v>15</v>
      </c>
      <c r="BB1381" s="4">
        <v>0</v>
      </c>
      <c r="BC1381">
        <v>0</v>
      </c>
    </row>
    <row r="1382" spans="1:55" x14ac:dyDescent="0.3">
      <c r="A1382" s="63">
        <v>4</v>
      </c>
      <c r="B1382" s="65">
        <v>45684</v>
      </c>
      <c r="C1382" s="63">
        <v>2</v>
      </c>
      <c r="D1382" s="38" t="s">
        <v>179</v>
      </c>
      <c r="E1382" s="23" t="s">
        <v>150</v>
      </c>
      <c r="F1382" s="39">
        <v>2.3264999999999998</v>
      </c>
      <c r="G1382" s="64" t="s">
        <v>352</v>
      </c>
      <c r="H1382" s="70"/>
      <c r="BA1382" s="132" t="s">
        <v>15</v>
      </c>
      <c r="BB1382" s="4">
        <v>0</v>
      </c>
      <c r="BC1382">
        <v>0</v>
      </c>
    </row>
    <row r="1383" spans="1:55" x14ac:dyDescent="0.3">
      <c r="A1383" s="63">
        <v>5</v>
      </c>
      <c r="B1383" s="65">
        <v>45691</v>
      </c>
      <c r="C1383" s="63">
        <v>2</v>
      </c>
      <c r="D1383" s="38" t="s">
        <v>179</v>
      </c>
      <c r="E1383" s="23" t="s">
        <v>150</v>
      </c>
      <c r="F1383" s="39">
        <v>2.3898999999999999</v>
      </c>
      <c r="G1383" s="64" t="s">
        <v>352</v>
      </c>
      <c r="H1383" s="70"/>
      <c r="BA1383" s="132" t="s">
        <v>15</v>
      </c>
      <c r="BB1383" s="4">
        <v>0</v>
      </c>
      <c r="BC1383">
        <v>0</v>
      </c>
    </row>
    <row r="1384" spans="1:55" x14ac:dyDescent="0.3">
      <c r="A1384" s="63">
        <v>6</v>
      </c>
      <c r="B1384" s="65">
        <v>45698</v>
      </c>
      <c r="C1384" s="63">
        <v>2</v>
      </c>
      <c r="D1384" s="38" t="s">
        <v>179</v>
      </c>
      <c r="E1384" s="23" t="s">
        <v>150</v>
      </c>
      <c r="F1384" s="39">
        <v>2.4405999999999999</v>
      </c>
      <c r="G1384" s="64" t="s">
        <v>352</v>
      </c>
      <c r="H1384" s="70"/>
      <c r="BA1384" s="132" t="s">
        <v>15</v>
      </c>
      <c r="BB1384" s="4">
        <v>0</v>
      </c>
      <c r="BC1384">
        <v>0</v>
      </c>
    </row>
    <row r="1385" spans="1:55" x14ac:dyDescent="0.3">
      <c r="A1385" s="63">
        <v>7</v>
      </c>
      <c r="B1385" s="65">
        <v>45705</v>
      </c>
      <c r="C1385" s="63">
        <v>2</v>
      </c>
      <c r="D1385" s="38" t="s">
        <v>179</v>
      </c>
      <c r="E1385" s="23" t="s">
        <v>150</v>
      </c>
      <c r="F1385" s="39">
        <v>2.2096</v>
      </c>
      <c r="G1385" s="64" t="s">
        <v>352</v>
      </c>
      <c r="H1385" s="70"/>
      <c r="BA1385" s="132" t="s">
        <v>15</v>
      </c>
      <c r="BB1385" s="4">
        <v>0</v>
      </c>
      <c r="BC1385">
        <v>0</v>
      </c>
    </row>
    <row r="1386" spans="1:55" x14ac:dyDescent="0.3">
      <c r="A1386" s="63">
        <v>8</v>
      </c>
      <c r="B1386" s="65">
        <v>45712</v>
      </c>
      <c r="C1386" s="63">
        <v>2</v>
      </c>
      <c r="D1386" s="38" t="s">
        <v>179</v>
      </c>
      <c r="E1386" s="23" t="s">
        <v>150</v>
      </c>
      <c r="F1386" s="39">
        <v>2.5038999999999998</v>
      </c>
      <c r="G1386" s="64" t="s">
        <v>352</v>
      </c>
      <c r="H1386" s="70"/>
      <c r="BA1386" s="132" t="s">
        <v>15</v>
      </c>
      <c r="BB1386" s="4">
        <v>0</v>
      </c>
      <c r="BC1386">
        <v>0</v>
      </c>
    </row>
    <row r="1387" spans="1:55" x14ac:dyDescent="0.3">
      <c r="A1387" s="63">
        <v>9</v>
      </c>
      <c r="B1387" s="65">
        <v>45719</v>
      </c>
      <c r="C1387" s="63">
        <v>2</v>
      </c>
      <c r="D1387" s="38" t="s">
        <v>179</v>
      </c>
      <c r="E1387" s="23" t="s">
        <v>150</v>
      </c>
      <c r="F1387" s="39">
        <v>2.2747000000000002</v>
      </c>
      <c r="G1387" s="64" t="s">
        <v>352</v>
      </c>
      <c r="H1387" s="70"/>
      <c r="BA1387" s="132" t="s">
        <v>15</v>
      </c>
      <c r="BB1387" s="4">
        <v>0</v>
      </c>
      <c r="BC1387">
        <v>0</v>
      </c>
    </row>
    <row r="1388" spans="1:55" x14ac:dyDescent="0.3">
      <c r="A1388" s="63">
        <v>10</v>
      </c>
      <c r="B1388" s="65">
        <v>45726</v>
      </c>
      <c r="C1388" s="63">
        <v>2</v>
      </c>
      <c r="D1388" s="38" t="s">
        <v>179</v>
      </c>
      <c r="E1388" s="23" t="s">
        <v>150</v>
      </c>
      <c r="F1388" s="39">
        <v>2.4024000000000001</v>
      </c>
      <c r="G1388" s="64" t="s">
        <v>352</v>
      </c>
      <c r="H1388" s="70"/>
      <c r="BA1388" s="132" t="s">
        <v>15</v>
      </c>
      <c r="BB1388" s="4">
        <v>0</v>
      </c>
      <c r="BC1388">
        <v>0</v>
      </c>
    </row>
    <row r="1389" spans="1:55" x14ac:dyDescent="0.3">
      <c r="A1389" s="63">
        <v>11</v>
      </c>
      <c r="B1389" s="65">
        <v>45733</v>
      </c>
      <c r="C1389" s="63">
        <v>2</v>
      </c>
      <c r="D1389" s="38" t="s">
        <v>179</v>
      </c>
      <c r="E1389" s="23" t="s">
        <v>150</v>
      </c>
      <c r="F1389" s="39">
        <v>2.4194</v>
      </c>
      <c r="G1389" s="64" t="s">
        <v>352</v>
      </c>
      <c r="H1389" s="70"/>
      <c r="BA1389" s="132" t="s">
        <v>15</v>
      </c>
      <c r="BB1389" s="4">
        <v>0</v>
      </c>
      <c r="BC1389">
        <v>0</v>
      </c>
    </row>
    <row r="1390" spans="1:55" x14ac:dyDescent="0.3">
      <c r="A1390" s="63">
        <v>12</v>
      </c>
      <c r="B1390" s="65">
        <v>45740</v>
      </c>
      <c r="C1390" s="63">
        <v>2</v>
      </c>
      <c r="D1390" s="38" t="s">
        <v>179</v>
      </c>
      <c r="E1390" s="23" t="s">
        <v>150</v>
      </c>
      <c r="F1390" s="39">
        <v>2.4039999999999999</v>
      </c>
      <c r="G1390" s="64" t="s">
        <v>352</v>
      </c>
      <c r="H1390" s="70"/>
      <c r="BA1390" s="132" t="s">
        <v>15</v>
      </c>
      <c r="BB1390" s="4">
        <v>0</v>
      </c>
      <c r="BC1390">
        <v>0</v>
      </c>
    </row>
    <row r="1391" spans="1:55" x14ac:dyDescent="0.3">
      <c r="A1391" s="63">
        <v>13</v>
      </c>
      <c r="B1391" s="65">
        <v>45747</v>
      </c>
      <c r="C1391" s="63">
        <v>2</v>
      </c>
      <c r="D1391" s="38" t="s">
        <v>179</v>
      </c>
      <c r="E1391" s="23" t="s">
        <v>150</v>
      </c>
      <c r="F1391" s="39">
        <v>2.3530000000000002</v>
      </c>
      <c r="G1391" s="64" t="s">
        <v>352</v>
      </c>
      <c r="H1391" s="70"/>
      <c r="BA1391" s="132" t="s">
        <v>15</v>
      </c>
      <c r="BB1391" s="4">
        <v>0</v>
      </c>
      <c r="BC1391">
        <v>0</v>
      </c>
    </row>
    <row r="1392" spans="1:55" x14ac:dyDescent="0.3">
      <c r="A1392" s="63">
        <v>14</v>
      </c>
      <c r="B1392" s="65">
        <v>45754</v>
      </c>
      <c r="C1392" s="63">
        <v>2</v>
      </c>
      <c r="D1392" s="38" t="s">
        <v>179</v>
      </c>
      <c r="E1392" s="23" t="s">
        <v>150</v>
      </c>
      <c r="F1392" s="39">
        <v>2.2726000000000002</v>
      </c>
      <c r="G1392" s="64" t="s">
        <v>352</v>
      </c>
      <c r="H1392" s="70"/>
      <c r="BA1392" s="132" t="s">
        <v>15</v>
      </c>
      <c r="BB1392" s="4">
        <v>0</v>
      </c>
      <c r="BC1392">
        <v>0</v>
      </c>
    </row>
    <row r="1393" spans="1:55" x14ac:dyDescent="0.3">
      <c r="A1393" s="63">
        <v>15</v>
      </c>
      <c r="B1393" s="65">
        <v>45761</v>
      </c>
      <c r="C1393" s="63">
        <v>2</v>
      </c>
      <c r="D1393" s="38" t="s">
        <v>179</v>
      </c>
      <c r="E1393" s="23" t="s">
        <v>150</v>
      </c>
      <c r="F1393" s="39">
        <v>2.3822000000000001</v>
      </c>
      <c r="G1393" s="64" t="s">
        <v>352</v>
      </c>
      <c r="H1393" s="70"/>
      <c r="BA1393" s="132" t="s">
        <v>15</v>
      </c>
      <c r="BB1393" s="4">
        <v>0</v>
      </c>
      <c r="BC1393">
        <v>0</v>
      </c>
    </row>
    <row r="1394" spans="1:55" x14ac:dyDescent="0.3">
      <c r="A1394" s="63">
        <v>16</v>
      </c>
      <c r="B1394" s="65">
        <v>45768</v>
      </c>
      <c r="C1394" s="63">
        <v>2</v>
      </c>
      <c r="D1394" s="38" t="s">
        <v>179</v>
      </c>
      <c r="E1394" s="23" t="s">
        <v>150</v>
      </c>
      <c r="F1394" s="39">
        <v>2.2999999999999998</v>
      </c>
      <c r="G1394" s="64" t="s">
        <v>352</v>
      </c>
      <c r="H1394" s="70"/>
      <c r="BA1394" s="132" t="s">
        <v>15</v>
      </c>
      <c r="BB1394" s="4">
        <v>0</v>
      </c>
      <c r="BC1394">
        <v>0</v>
      </c>
    </row>
    <row r="1395" spans="1:55" x14ac:dyDescent="0.3">
      <c r="A1395" s="63">
        <v>17</v>
      </c>
      <c r="B1395" s="65">
        <v>45775</v>
      </c>
      <c r="C1395" s="63">
        <v>2</v>
      </c>
      <c r="D1395" s="38" t="s">
        <v>179</v>
      </c>
      <c r="E1395" s="23" t="s">
        <v>150</v>
      </c>
      <c r="F1395" s="39">
        <v>2.1892</v>
      </c>
      <c r="G1395" s="64" t="s">
        <v>352</v>
      </c>
      <c r="H1395" s="70"/>
      <c r="BA1395" s="132" t="s">
        <v>15</v>
      </c>
      <c r="BB1395" s="4">
        <v>0</v>
      </c>
      <c r="BC1395">
        <v>0</v>
      </c>
    </row>
    <row r="1396" spans="1:55" x14ac:dyDescent="0.3">
      <c r="A1396" s="63">
        <v>18</v>
      </c>
      <c r="B1396" s="65">
        <v>45782</v>
      </c>
      <c r="C1396" s="63">
        <v>2</v>
      </c>
      <c r="D1396" s="38" t="s">
        <v>179</v>
      </c>
      <c r="E1396" s="23" t="s">
        <v>150</v>
      </c>
      <c r="F1396" s="39">
        <v>2.5171000000000001</v>
      </c>
      <c r="G1396" s="64" t="s">
        <v>352</v>
      </c>
      <c r="H1396" s="70"/>
      <c r="BA1396" s="132" t="s">
        <v>15</v>
      </c>
      <c r="BB1396" s="4">
        <v>0</v>
      </c>
      <c r="BC1396">
        <v>0</v>
      </c>
    </row>
    <row r="1397" spans="1:55" x14ac:dyDescent="0.3">
      <c r="A1397" s="63">
        <v>19</v>
      </c>
      <c r="B1397" s="65">
        <v>45789</v>
      </c>
      <c r="C1397" s="63">
        <v>2</v>
      </c>
      <c r="D1397" s="38" t="s">
        <v>179</v>
      </c>
      <c r="E1397" s="23" t="s">
        <v>150</v>
      </c>
      <c r="F1397" s="39">
        <v>2.3872</v>
      </c>
      <c r="G1397" s="64" t="s">
        <v>352</v>
      </c>
      <c r="H1397" s="70"/>
      <c r="BA1397" s="132" t="s">
        <v>15</v>
      </c>
      <c r="BB1397" s="4">
        <v>0</v>
      </c>
      <c r="BC1397">
        <v>0</v>
      </c>
    </row>
    <row r="1398" spans="1:55" x14ac:dyDescent="0.3">
      <c r="A1398" s="63">
        <v>20</v>
      </c>
      <c r="B1398" s="65">
        <v>45796</v>
      </c>
      <c r="C1398" s="63">
        <v>2</v>
      </c>
      <c r="D1398" s="38" t="s">
        <v>179</v>
      </c>
      <c r="E1398" s="23" t="s">
        <v>150</v>
      </c>
      <c r="F1398" s="39">
        <v>2.4552</v>
      </c>
      <c r="G1398" s="64" t="s">
        <v>352</v>
      </c>
      <c r="H1398" s="70"/>
      <c r="BA1398" s="132" t="s">
        <v>15</v>
      </c>
      <c r="BB1398" s="4">
        <v>0</v>
      </c>
      <c r="BC1398">
        <v>0</v>
      </c>
    </row>
    <row r="1399" spans="1:55" x14ac:dyDescent="0.3">
      <c r="A1399" s="63">
        <v>21</v>
      </c>
      <c r="B1399" s="65">
        <v>45803</v>
      </c>
      <c r="C1399" s="63">
        <v>2</v>
      </c>
      <c r="D1399" s="38" t="s">
        <v>179</v>
      </c>
      <c r="E1399" s="23" t="s">
        <v>150</v>
      </c>
      <c r="F1399" s="39">
        <v>2.2879</v>
      </c>
      <c r="G1399" s="64" t="s">
        <v>352</v>
      </c>
      <c r="H1399" s="70"/>
      <c r="BA1399" s="132" t="s">
        <v>15</v>
      </c>
      <c r="BB1399" s="4">
        <v>0</v>
      </c>
      <c r="BC1399">
        <v>0</v>
      </c>
    </row>
    <row r="1400" spans="1:55" x14ac:dyDescent="0.3">
      <c r="A1400" s="63">
        <v>22</v>
      </c>
      <c r="B1400" s="65">
        <v>45810</v>
      </c>
      <c r="C1400" s="63">
        <v>2</v>
      </c>
      <c r="D1400" s="38" t="s">
        <v>179</v>
      </c>
      <c r="E1400" s="23" t="s">
        <v>150</v>
      </c>
      <c r="F1400" s="39">
        <v>2.4337</v>
      </c>
      <c r="G1400" s="64" t="s">
        <v>352</v>
      </c>
      <c r="H1400" s="70"/>
      <c r="BA1400" s="132" t="s">
        <v>15</v>
      </c>
      <c r="BB1400" s="4">
        <v>0</v>
      </c>
      <c r="BC1400">
        <v>0</v>
      </c>
    </row>
    <row r="1401" spans="1:55" x14ac:dyDescent="0.3">
      <c r="A1401" s="63">
        <v>23</v>
      </c>
      <c r="B1401" s="65">
        <v>45817</v>
      </c>
      <c r="C1401" s="63">
        <v>2</v>
      </c>
      <c r="D1401" s="38" t="s">
        <v>179</v>
      </c>
      <c r="E1401" s="23" t="s">
        <v>150</v>
      </c>
      <c r="F1401" s="39">
        <v>2.4411999999999998</v>
      </c>
      <c r="G1401" s="64" t="s">
        <v>352</v>
      </c>
      <c r="H1401" s="70"/>
      <c r="BA1401" s="132" t="s">
        <v>15</v>
      </c>
      <c r="BB1401" s="4">
        <v>0</v>
      </c>
      <c r="BC1401">
        <v>0</v>
      </c>
    </row>
    <row r="1402" spans="1:55" x14ac:dyDescent="0.3">
      <c r="A1402" s="63">
        <v>24</v>
      </c>
      <c r="B1402" s="65">
        <v>45824</v>
      </c>
      <c r="C1402" s="63">
        <v>2</v>
      </c>
      <c r="D1402" s="38" t="s">
        <v>179</v>
      </c>
      <c r="E1402" s="23" t="s">
        <v>150</v>
      </c>
      <c r="F1402" s="39">
        <v>2.4390000000000001</v>
      </c>
      <c r="G1402" s="64" t="s">
        <v>352</v>
      </c>
      <c r="H1402" s="70"/>
      <c r="BA1402" s="132" t="s">
        <v>15</v>
      </c>
      <c r="BB1402" s="4">
        <v>0</v>
      </c>
      <c r="BC1402">
        <v>0</v>
      </c>
    </row>
    <row r="1403" spans="1:55" x14ac:dyDescent="0.3">
      <c r="A1403" s="63">
        <v>25</v>
      </c>
      <c r="B1403" s="65">
        <v>45831</v>
      </c>
      <c r="C1403" s="63">
        <v>2</v>
      </c>
      <c r="D1403" s="38" t="s">
        <v>179</v>
      </c>
      <c r="E1403" s="23" t="s">
        <v>150</v>
      </c>
      <c r="F1403" s="39">
        <v>2.3424999999999998</v>
      </c>
      <c r="G1403" s="64" t="s">
        <v>352</v>
      </c>
      <c r="H1403" s="70"/>
      <c r="BA1403" s="132" t="s">
        <v>15</v>
      </c>
      <c r="BB1403" s="4">
        <v>0</v>
      </c>
      <c r="BC1403">
        <v>0</v>
      </c>
    </row>
    <row r="1404" spans="1:55" x14ac:dyDescent="0.3">
      <c r="A1404" s="63">
        <v>1</v>
      </c>
      <c r="B1404" s="65">
        <v>45663</v>
      </c>
      <c r="C1404" s="63">
        <v>3</v>
      </c>
      <c r="D1404" s="38" t="s">
        <v>180</v>
      </c>
      <c r="E1404" s="23" t="s">
        <v>150</v>
      </c>
      <c r="F1404" s="39">
        <v>1.1737</v>
      </c>
      <c r="G1404" s="64" t="s">
        <v>352</v>
      </c>
      <c r="H1404" s="70"/>
      <c r="BA1404" s="132" t="s">
        <v>15</v>
      </c>
      <c r="BB1404" s="4">
        <v>0</v>
      </c>
      <c r="BC1404">
        <v>0</v>
      </c>
    </row>
    <row r="1405" spans="1:55" x14ac:dyDescent="0.3">
      <c r="A1405" s="63">
        <v>2</v>
      </c>
      <c r="B1405" s="65">
        <v>45670</v>
      </c>
      <c r="C1405" s="63">
        <v>3</v>
      </c>
      <c r="D1405" s="38" t="s">
        <v>180</v>
      </c>
      <c r="E1405" s="23" t="s">
        <v>150</v>
      </c>
      <c r="F1405" s="39">
        <v>1.2270000000000001</v>
      </c>
      <c r="G1405" s="64" t="s">
        <v>352</v>
      </c>
      <c r="H1405" s="70"/>
      <c r="BA1405" s="132" t="s">
        <v>15</v>
      </c>
      <c r="BB1405" s="4">
        <v>0</v>
      </c>
      <c r="BC1405">
        <v>0</v>
      </c>
    </row>
    <row r="1406" spans="1:55" x14ac:dyDescent="0.3">
      <c r="A1406" s="63">
        <v>3</v>
      </c>
      <c r="B1406" s="65">
        <v>45677</v>
      </c>
      <c r="C1406" s="63">
        <v>3</v>
      </c>
      <c r="D1406" s="38" t="s">
        <v>180</v>
      </c>
      <c r="E1406" s="23" t="s">
        <v>150</v>
      </c>
      <c r="F1406" s="39">
        <v>1.1216999999999999</v>
      </c>
      <c r="G1406" s="64" t="s">
        <v>352</v>
      </c>
      <c r="H1406" s="70"/>
      <c r="BA1406" s="132" t="s">
        <v>15</v>
      </c>
      <c r="BB1406" s="4">
        <v>0</v>
      </c>
      <c r="BC1406">
        <v>0</v>
      </c>
    </row>
    <row r="1407" spans="1:55" x14ac:dyDescent="0.3">
      <c r="A1407" s="63">
        <v>4</v>
      </c>
      <c r="B1407" s="65">
        <v>45684</v>
      </c>
      <c r="C1407" s="63">
        <v>3</v>
      </c>
      <c r="D1407" s="38" t="s">
        <v>180</v>
      </c>
      <c r="E1407" s="23" t="s">
        <v>150</v>
      </c>
      <c r="F1407" s="39">
        <v>1.1476999999999999</v>
      </c>
      <c r="G1407" s="64" t="s">
        <v>352</v>
      </c>
      <c r="H1407" s="70"/>
      <c r="BA1407" s="132" t="s">
        <v>15</v>
      </c>
      <c r="BB1407" s="4">
        <v>0</v>
      </c>
      <c r="BC1407">
        <v>0</v>
      </c>
    </row>
    <row r="1408" spans="1:55" x14ac:dyDescent="0.3">
      <c r="A1408" s="63">
        <v>5</v>
      </c>
      <c r="B1408" s="65">
        <v>45691</v>
      </c>
      <c r="C1408" s="63">
        <v>3</v>
      </c>
      <c r="D1408" s="38" t="s">
        <v>180</v>
      </c>
      <c r="E1408" s="23" t="s">
        <v>150</v>
      </c>
      <c r="F1408" s="39">
        <v>1.2410000000000001</v>
      </c>
      <c r="G1408" s="64" t="s">
        <v>352</v>
      </c>
      <c r="H1408" s="70"/>
      <c r="BA1408" s="132" t="s">
        <v>15</v>
      </c>
      <c r="BB1408" s="4">
        <v>0</v>
      </c>
      <c r="BC1408">
        <v>0</v>
      </c>
    </row>
    <row r="1409" spans="1:55" x14ac:dyDescent="0.3">
      <c r="A1409" s="63">
        <v>6</v>
      </c>
      <c r="B1409" s="65">
        <v>45698</v>
      </c>
      <c r="C1409" s="63">
        <v>3</v>
      </c>
      <c r="D1409" s="38" t="s">
        <v>180</v>
      </c>
      <c r="E1409" s="23" t="s">
        <v>150</v>
      </c>
      <c r="F1409" s="39">
        <v>1.1847000000000001</v>
      </c>
      <c r="G1409" s="64" t="s">
        <v>352</v>
      </c>
      <c r="H1409" s="70"/>
      <c r="BA1409" s="132" t="s">
        <v>15</v>
      </c>
      <c r="BB1409" s="4">
        <v>0</v>
      </c>
      <c r="BC1409">
        <v>0</v>
      </c>
    </row>
    <row r="1410" spans="1:55" x14ac:dyDescent="0.3">
      <c r="A1410" s="63">
        <v>7</v>
      </c>
      <c r="B1410" s="65">
        <v>45705</v>
      </c>
      <c r="C1410" s="63">
        <v>3</v>
      </c>
      <c r="D1410" s="38" t="s">
        <v>180</v>
      </c>
      <c r="E1410" s="23" t="s">
        <v>150</v>
      </c>
      <c r="F1410" s="39">
        <v>1.2277</v>
      </c>
      <c r="G1410" s="64" t="s">
        <v>352</v>
      </c>
      <c r="H1410" s="70"/>
      <c r="BA1410" s="132" t="s">
        <v>15</v>
      </c>
      <c r="BB1410" s="4">
        <v>0</v>
      </c>
      <c r="BC1410">
        <v>0</v>
      </c>
    </row>
    <row r="1411" spans="1:55" x14ac:dyDescent="0.3">
      <c r="A1411" s="63">
        <v>8</v>
      </c>
      <c r="B1411" s="65">
        <v>45712</v>
      </c>
      <c r="C1411" s="63">
        <v>3</v>
      </c>
      <c r="D1411" s="38" t="s">
        <v>180</v>
      </c>
      <c r="E1411" s="23" t="s">
        <v>150</v>
      </c>
      <c r="F1411" s="39">
        <v>1.2304999999999999</v>
      </c>
      <c r="G1411" s="64" t="s">
        <v>352</v>
      </c>
      <c r="H1411" s="70"/>
      <c r="BA1411" s="132" t="s">
        <v>15</v>
      </c>
      <c r="BB1411" s="4">
        <v>0</v>
      </c>
      <c r="BC1411">
        <v>0</v>
      </c>
    </row>
    <row r="1412" spans="1:55" x14ac:dyDescent="0.3">
      <c r="A1412" s="63">
        <v>9</v>
      </c>
      <c r="B1412" s="65">
        <v>45719</v>
      </c>
      <c r="C1412" s="63">
        <v>3</v>
      </c>
      <c r="D1412" s="38" t="s">
        <v>180</v>
      </c>
      <c r="E1412" s="23" t="s">
        <v>150</v>
      </c>
      <c r="F1412" s="39">
        <v>1.3366</v>
      </c>
      <c r="G1412" s="64" t="s">
        <v>352</v>
      </c>
      <c r="H1412" s="70"/>
      <c r="BA1412" s="132" t="s">
        <v>15</v>
      </c>
      <c r="BB1412" s="4">
        <v>0</v>
      </c>
      <c r="BC1412">
        <v>0</v>
      </c>
    </row>
    <row r="1413" spans="1:55" x14ac:dyDescent="0.3">
      <c r="A1413" s="63">
        <v>10</v>
      </c>
      <c r="B1413" s="65">
        <v>45726</v>
      </c>
      <c r="C1413" s="63">
        <v>3</v>
      </c>
      <c r="D1413" s="38" t="s">
        <v>180</v>
      </c>
      <c r="E1413" s="23" t="s">
        <v>150</v>
      </c>
      <c r="F1413" s="39">
        <v>1.3037000000000001</v>
      </c>
      <c r="G1413" s="64" t="s">
        <v>352</v>
      </c>
      <c r="H1413" s="70"/>
      <c r="BA1413" s="132" t="s">
        <v>15</v>
      </c>
      <c r="BB1413" s="4">
        <v>0</v>
      </c>
      <c r="BC1413">
        <v>0</v>
      </c>
    </row>
    <row r="1414" spans="1:55" x14ac:dyDescent="0.3">
      <c r="A1414" s="63">
        <v>11</v>
      </c>
      <c r="B1414" s="65">
        <v>45733</v>
      </c>
      <c r="C1414" s="63">
        <v>3</v>
      </c>
      <c r="D1414" s="38" t="s">
        <v>180</v>
      </c>
      <c r="E1414" s="23" t="s">
        <v>150</v>
      </c>
      <c r="F1414" s="39">
        <v>1.2339</v>
      </c>
      <c r="G1414" s="64" t="s">
        <v>352</v>
      </c>
      <c r="H1414" s="70"/>
      <c r="BA1414" s="132" t="s">
        <v>15</v>
      </c>
      <c r="BB1414" s="4">
        <v>0</v>
      </c>
      <c r="BC1414">
        <v>0</v>
      </c>
    </row>
    <row r="1415" spans="1:55" x14ac:dyDescent="0.3">
      <c r="A1415" s="63">
        <v>12</v>
      </c>
      <c r="B1415" s="65">
        <v>45740</v>
      </c>
      <c r="C1415" s="63">
        <v>3</v>
      </c>
      <c r="D1415" s="38" t="s">
        <v>180</v>
      </c>
      <c r="E1415" s="23" t="s">
        <v>150</v>
      </c>
      <c r="F1415" s="39">
        <v>1.2990999999999999</v>
      </c>
      <c r="G1415" s="64" t="s">
        <v>352</v>
      </c>
      <c r="H1415" s="70"/>
      <c r="BA1415" s="132" t="s">
        <v>15</v>
      </c>
      <c r="BB1415" s="4">
        <v>0</v>
      </c>
      <c r="BC1415">
        <v>0</v>
      </c>
    </row>
    <row r="1416" spans="1:55" x14ac:dyDescent="0.3">
      <c r="A1416" s="63">
        <v>13</v>
      </c>
      <c r="B1416" s="65">
        <v>45747</v>
      </c>
      <c r="C1416" s="63">
        <v>3</v>
      </c>
      <c r="D1416" s="38" t="s">
        <v>180</v>
      </c>
      <c r="E1416" s="23" t="s">
        <v>150</v>
      </c>
      <c r="F1416" s="39">
        <v>1.1957</v>
      </c>
      <c r="G1416" s="64" t="s">
        <v>352</v>
      </c>
      <c r="H1416" s="70"/>
      <c r="BA1416" s="132" t="s">
        <v>15</v>
      </c>
      <c r="BB1416" s="4">
        <v>0</v>
      </c>
      <c r="BC1416">
        <v>0</v>
      </c>
    </row>
    <row r="1417" spans="1:55" x14ac:dyDescent="0.3">
      <c r="A1417" s="63">
        <v>14</v>
      </c>
      <c r="B1417" s="65">
        <v>45754</v>
      </c>
      <c r="C1417" s="63">
        <v>3</v>
      </c>
      <c r="D1417" s="38" t="s">
        <v>180</v>
      </c>
      <c r="E1417" s="23" t="s">
        <v>150</v>
      </c>
      <c r="F1417" s="39">
        <v>1.2186999999999999</v>
      </c>
      <c r="G1417" s="64" t="s">
        <v>352</v>
      </c>
      <c r="H1417" s="70"/>
      <c r="BA1417" s="132" t="s">
        <v>15</v>
      </c>
      <c r="BB1417" s="4">
        <v>0</v>
      </c>
      <c r="BC1417">
        <v>0</v>
      </c>
    </row>
    <row r="1418" spans="1:55" x14ac:dyDescent="0.3">
      <c r="A1418" s="63">
        <v>15</v>
      </c>
      <c r="B1418" s="65">
        <v>45761</v>
      </c>
      <c r="C1418" s="63">
        <v>3</v>
      </c>
      <c r="D1418" s="38" t="s">
        <v>180</v>
      </c>
      <c r="E1418" s="23" t="s">
        <v>150</v>
      </c>
      <c r="F1418" s="39">
        <v>1.2835000000000001</v>
      </c>
      <c r="G1418" s="64" t="s">
        <v>352</v>
      </c>
      <c r="H1418" s="70"/>
      <c r="BA1418" s="132" t="s">
        <v>15</v>
      </c>
      <c r="BB1418" s="4">
        <v>0</v>
      </c>
      <c r="BC1418">
        <v>0</v>
      </c>
    </row>
    <row r="1419" spans="1:55" x14ac:dyDescent="0.3">
      <c r="A1419" s="63">
        <v>16</v>
      </c>
      <c r="B1419" s="65">
        <v>45768</v>
      </c>
      <c r="C1419" s="63">
        <v>3</v>
      </c>
      <c r="D1419" s="38" t="s">
        <v>180</v>
      </c>
      <c r="E1419" s="23" t="s">
        <v>150</v>
      </c>
      <c r="F1419" s="39">
        <v>1.1717</v>
      </c>
      <c r="G1419" s="64" t="s">
        <v>352</v>
      </c>
      <c r="H1419" s="70"/>
      <c r="BA1419" s="132" t="s">
        <v>15</v>
      </c>
      <c r="BB1419" s="4">
        <v>0</v>
      </c>
      <c r="BC1419">
        <v>0</v>
      </c>
    </row>
    <row r="1420" spans="1:55" x14ac:dyDescent="0.3">
      <c r="A1420" s="63">
        <v>17</v>
      </c>
      <c r="B1420" s="65">
        <v>45775</v>
      </c>
      <c r="C1420" s="63">
        <v>3</v>
      </c>
      <c r="D1420" s="38" t="s">
        <v>180</v>
      </c>
      <c r="E1420" s="23" t="s">
        <v>150</v>
      </c>
      <c r="F1420" s="39">
        <v>1.2217</v>
      </c>
      <c r="G1420" s="64" t="s">
        <v>352</v>
      </c>
      <c r="H1420" s="70"/>
      <c r="BA1420" s="132" t="s">
        <v>15</v>
      </c>
      <c r="BB1420" s="4">
        <v>0</v>
      </c>
      <c r="BC1420">
        <v>0</v>
      </c>
    </row>
    <row r="1421" spans="1:55" x14ac:dyDescent="0.3">
      <c r="A1421" s="63">
        <v>18</v>
      </c>
      <c r="B1421" s="65">
        <v>45782</v>
      </c>
      <c r="C1421" s="63">
        <v>3</v>
      </c>
      <c r="D1421" s="38" t="s">
        <v>180</v>
      </c>
      <c r="E1421" s="23" t="s">
        <v>150</v>
      </c>
      <c r="F1421" s="39">
        <v>1.1675</v>
      </c>
      <c r="G1421" s="64" t="s">
        <v>352</v>
      </c>
      <c r="H1421" s="70"/>
      <c r="BA1421" s="132" t="s">
        <v>15</v>
      </c>
      <c r="BB1421" s="4">
        <v>0</v>
      </c>
      <c r="BC1421">
        <v>0</v>
      </c>
    </row>
    <row r="1422" spans="1:55" x14ac:dyDescent="0.3">
      <c r="A1422" s="63">
        <v>19</v>
      </c>
      <c r="B1422" s="65">
        <v>45789</v>
      </c>
      <c r="C1422" s="63">
        <v>3</v>
      </c>
      <c r="D1422" s="38" t="s">
        <v>180</v>
      </c>
      <c r="E1422" s="23" t="s">
        <v>150</v>
      </c>
      <c r="F1422" s="39">
        <v>1.2423</v>
      </c>
      <c r="G1422" s="64" t="s">
        <v>352</v>
      </c>
      <c r="H1422" s="70"/>
      <c r="BA1422" s="132" t="s">
        <v>15</v>
      </c>
      <c r="BB1422" s="4">
        <v>0</v>
      </c>
      <c r="BC1422">
        <v>0</v>
      </c>
    </row>
    <row r="1423" spans="1:55" x14ac:dyDescent="0.3">
      <c r="A1423" s="63">
        <v>20</v>
      </c>
      <c r="B1423" s="65">
        <v>45796</v>
      </c>
      <c r="C1423" s="63">
        <v>3</v>
      </c>
      <c r="D1423" s="38" t="s">
        <v>180</v>
      </c>
      <c r="E1423" s="23" t="s">
        <v>150</v>
      </c>
      <c r="F1423" s="39">
        <v>1.3210999999999999</v>
      </c>
      <c r="G1423" s="64" t="s">
        <v>352</v>
      </c>
      <c r="H1423" s="70"/>
      <c r="BA1423" s="132" t="s">
        <v>15</v>
      </c>
      <c r="BB1423" s="4">
        <v>0</v>
      </c>
      <c r="BC1423">
        <v>0</v>
      </c>
    </row>
    <row r="1424" spans="1:55" x14ac:dyDescent="0.3">
      <c r="A1424" s="63">
        <v>21</v>
      </c>
      <c r="B1424" s="65">
        <v>45803</v>
      </c>
      <c r="C1424" s="63">
        <v>3</v>
      </c>
      <c r="D1424" s="38" t="s">
        <v>180</v>
      </c>
      <c r="E1424" s="23" t="s">
        <v>150</v>
      </c>
      <c r="F1424" s="39">
        <v>1.1971000000000001</v>
      </c>
      <c r="G1424" s="64" t="s">
        <v>352</v>
      </c>
      <c r="H1424" s="70"/>
      <c r="BA1424" s="132" t="s">
        <v>15</v>
      </c>
      <c r="BB1424" s="4">
        <v>0</v>
      </c>
      <c r="BC1424">
        <v>0</v>
      </c>
    </row>
    <row r="1425" spans="1:55" x14ac:dyDescent="0.3">
      <c r="A1425" s="63">
        <v>22</v>
      </c>
      <c r="B1425" s="65">
        <v>45810</v>
      </c>
      <c r="C1425" s="63">
        <v>3</v>
      </c>
      <c r="D1425" s="38" t="s">
        <v>180</v>
      </c>
      <c r="E1425" s="23" t="s">
        <v>150</v>
      </c>
      <c r="F1425" s="39">
        <v>1.248</v>
      </c>
      <c r="G1425" s="64" t="s">
        <v>352</v>
      </c>
      <c r="H1425" s="70"/>
      <c r="BA1425" s="132" t="s">
        <v>15</v>
      </c>
      <c r="BB1425" s="4">
        <v>0</v>
      </c>
      <c r="BC1425">
        <v>0</v>
      </c>
    </row>
    <row r="1426" spans="1:55" x14ac:dyDescent="0.3">
      <c r="A1426" s="63">
        <v>23</v>
      </c>
      <c r="B1426" s="65">
        <v>45817</v>
      </c>
      <c r="C1426" s="63">
        <v>3</v>
      </c>
      <c r="D1426" s="38" t="s">
        <v>180</v>
      </c>
      <c r="E1426" s="23" t="s">
        <v>150</v>
      </c>
      <c r="F1426" s="39">
        <v>1.1896</v>
      </c>
      <c r="G1426" s="64" t="s">
        <v>352</v>
      </c>
      <c r="H1426" s="70"/>
      <c r="BA1426" s="132" t="s">
        <v>15</v>
      </c>
      <c r="BB1426" s="4">
        <v>0</v>
      </c>
      <c r="BC1426">
        <v>0</v>
      </c>
    </row>
    <row r="1427" spans="1:55" x14ac:dyDescent="0.3">
      <c r="A1427" s="63">
        <v>24</v>
      </c>
      <c r="B1427" s="65">
        <v>45824</v>
      </c>
      <c r="C1427" s="63">
        <v>3</v>
      </c>
      <c r="D1427" s="38" t="s">
        <v>180</v>
      </c>
      <c r="E1427" s="23" t="s">
        <v>150</v>
      </c>
      <c r="F1427" s="39">
        <v>1.1763999999999999</v>
      </c>
      <c r="G1427" s="64" t="s">
        <v>352</v>
      </c>
      <c r="H1427" s="70"/>
      <c r="BA1427" s="132" t="s">
        <v>15</v>
      </c>
      <c r="BB1427" s="4">
        <v>0</v>
      </c>
      <c r="BC1427">
        <v>0</v>
      </c>
    </row>
    <row r="1428" spans="1:55" x14ac:dyDescent="0.3">
      <c r="A1428" s="63">
        <v>25</v>
      </c>
      <c r="B1428" s="65">
        <v>45831</v>
      </c>
      <c r="C1428" s="63">
        <v>3</v>
      </c>
      <c r="D1428" s="38" t="s">
        <v>180</v>
      </c>
      <c r="E1428" s="23" t="s">
        <v>150</v>
      </c>
      <c r="F1428" s="39">
        <v>1.1719999999999999</v>
      </c>
      <c r="G1428" s="64" t="s">
        <v>352</v>
      </c>
      <c r="H1428" s="70"/>
      <c r="BA1428" s="132" t="s">
        <v>15</v>
      </c>
      <c r="BB1428" s="4">
        <v>0</v>
      </c>
      <c r="BC1428">
        <v>0</v>
      </c>
    </row>
    <row r="1429" spans="1:55" x14ac:dyDescent="0.3">
      <c r="A1429" s="63">
        <v>1</v>
      </c>
      <c r="B1429" s="65">
        <v>45663</v>
      </c>
      <c r="C1429" s="63">
        <v>1</v>
      </c>
      <c r="D1429" s="38" t="s">
        <v>178</v>
      </c>
      <c r="E1429" s="23" t="s">
        <v>151</v>
      </c>
      <c r="F1429" s="39">
        <v>0.1166</v>
      </c>
      <c r="G1429" s="64" t="s">
        <v>352</v>
      </c>
      <c r="H1429" s="70"/>
      <c r="BA1429" s="132" t="s">
        <v>15</v>
      </c>
      <c r="BB1429" s="4">
        <v>1</v>
      </c>
      <c r="BC1429">
        <v>0</v>
      </c>
    </row>
    <row r="1430" spans="1:55" x14ac:dyDescent="0.3">
      <c r="A1430" s="63">
        <v>2</v>
      </c>
      <c r="B1430" s="65">
        <v>45670</v>
      </c>
      <c r="C1430" s="63">
        <v>1</v>
      </c>
      <c r="D1430" s="38" t="s">
        <v>178</v>
      </c>
      <c r="E1430" s="23" t="s">
        <v>151</v>
      </c>
      <c r="F1430" s="39">
        <v>0.12280000000000001</v>
      </c>
      <c r="G1430" s="64" t="s">
        <v>352</v>
      </c>
      <c r="H1430" s="70"/>
      <c r="BA1430" s="132" t="s">
        <v>15</v>
      </c>
      <c r="BB1430" s="4">
        <v>1</v>
      </c>
      <c r="BC1430">
        <v>0</v>
      </c>
    </row>
    <row r="1431" spans="1:55" x14ac:dyDescent="0.3">
      <c r="A1431" s="63">
        <v>3</v>
      </c>
      <c r="B1431" s="65">
        <v>45677</v>
      </c>
      <c r="C1431" s="63">
        <v>1</v>
      </c>
      <c r="D1431" s="38" t="s">
        <v>178</v>
      </c>
      <c r="E1431" s="23" t="s">
        <v>151</v>
      </c>
      <c r="F1431" s="39">
        <v>0.1101</v>
      </c>
      <c r="G1431" s="64" t="s">
        <v>352</v>
      </c>
      <c r="H1431" s="70"/>
      <c r="BA1431" s="132" t="s">
        <v>15</v>
      </c>
      <c r="BB1431" s="4">
        <v>1</v>
      </c>
      <c r="BC1431">
        <v>0</v>
      </c>
    </row>
    <row r="1432" spans="1:55" x14ac:dyDescent="0.3">
      <c r="A1432" s="63">
        <v>4</v>
      </c>
      <c r="B1432" s="65">
        <v>45684</v>
      </c>
      <c r="C1432" s="63">
        <v>1</v>
      </c>
      <c r="D1432" s="38" t="s">
        <v>178</v>
      </c>
      <c r="E1432" s="23" t="s">
        <v>151</v>
      </c>
      <c r="F1432" s="39">
        <v>0.10199999999999999</v>
      </c>
      <c r="G1432" s="64" t="s">
        <v>352</v>
      </c>
      <c r="H1432" s="70"/>
      <c r="BA1432" s="132" t="s">
        <v>15</v>
      </c>
      <c r="BB1432" s="4">
        <v>1</v>
      </c>
      <c r="BC1432">
        <v>0</v>
      </c>
    </row>
    <row r="1433" spans="1:55" x14ac:dyDescent="0.3">
      <c r="A1433" s="63">
        <v>5</v>
      </c>
      <c r="B1433" s="65">
        <v>45691</v>
      </c>
      <c r="C1433" s="63">
        <v>1</v>
      </c>
      <c r="D1433" s="38" t="s">
        <v>178</v>
      </c>
      <c r="E1433" s="23" t="s">
        <v>151</v>
      </c>
      <c r="F1433" s="39">
        <v>0.1116</v>
      </c>
      <c r="G1433" s="64" t="s">
        <v>352</v>
      </c>
      <c r="H1433" s="70"/>
      <c r="BA1433" s="132" t="s">
        <v>15</v>
      </c>
      <c r="BB1433" s="4">
        <v>1</v>
      </c>
      <c r="BC1433">
        <v>0</v>
      </c>
    </row>
    <row r="1434" spans="1:55" x14ac:dyDescent="0.3">
      <c r="A1434" s="63">
        <v>6</v>
      </c>
      <c r="B1434" s="65">
        <v>45698</v>
      </c>
      <c r="C1434" s="63">
        <v>1</v>
      </c>
      <c r="D1434" s="38" t="s">
        <v>178</v>
      </c>
      <c r="E1434" s="23" t="s">
        <v>151</v>
      </c>
      <c r="F1434" s="39">
        <v>0.1046</v>
      </c>
      <c r="G1434" s="64" t="s">
        <v>352</v>
      </c>
      <c r="H1434" s="70"/>
      <c r="BA1434" s="132" t="s">
        <v>15</v>
      </c>
      <c r="BB1434" s="4">
        <v>1</v>
      </c>
      <c r="BC1434">
        <v>0</v>
      </c>
    </row>
    <row r="1435" spans="1:55" x14ac:dyDescent="0.3">
      <c r="A1435" s="63">
        <v>7</v>
      </c>
      <c r="B1435" s="65">
        <v>45705</v>
      </c>
      <c r="C1435" s="63">
        <v>1</v>
      </c>
      <c r="D1435" s="38" t="s">
        <v>178</v>
      </c>
      <c r="E1435" s="23" t="s">
        <v>151</v>
      </c>
      <c r="F1435" s="39">
        <v>0.11219999999999999</v>
      </c>
      <c r="G1435" s="64" t="s">
        <v>352</v>
      </c>
      <c r="H1435" s="70"/>
      <c r="BA1435" s="132" t="s">
        <v>15</v>
      </c>
      <c r="BB1435" s="4">
        <v>1</v>
      </c>
      <c r="BC1435">
        <v>0</v>
      </c>
    </row>
    <row r="1436" spans="1:55" x14ac:dyDescent="0.3">
      <c r="A1436" s="63">
        <v>8</v>
      </c>
      <c r="B1436" s="65">
        <v>45712</v>
      </c>
      <c r="C1436" s="63">
        <v>1</v>
      </c>
      <c r="D1436" s="38" t="s">
        <v>178</v>
      </c>
      <c r="E1436" s="23" t="s">
        <v>151</v>
      </c>
      <c r="F1436" s="39">
        <v>0.10879999999999999</v>
      </c>
      <c r="G1436" s="64" t="s">
        <v>352</v>
      </c>
      <c r="H1436" s="70"/>
      <c r="BA1436" s="132" t="s">
        <v>15</v>
      </c>
      <c r="BB1436" s="4">
        <v>1</v>
      </c>
      <c r="BC1436">
        <v>0</v>
      </c>
    </row>
    <row r="1437" spans="1:55" x14ac:dyDescent="0.3">
      <c r="A1437" s="63">
        <v>9</v>
      </c>
      <c r="B1437" s="65">
        <v>45719</v>
      </c>
      <c r="C1437" s="63">
        <v>1</v>
      </c>
      <c r="D1437" s="38" t="s">
        <v>178</v>
      </c>
      <c r="E1437" s="23" t="s">
        <v>151</v>
      </c>
      <c r="F1437" s="39">
        <v>0.1087</v>
      </c>
      <c r="G1437" s="64" t="s">
        <v>352</v>
      </c>
      <c r="H1437" s="70"/>
      <c r="BA1437" s="132" t="s">
        <v>15</v>
      </c>
      <c r="BB1437" s="4">
        <v>1</v>
      </c>
      <c r="BC1437">
        <v>0</v>
      </c>
    </row>
    <row r="1438" spans="1:55" x14ac:dyDescent="0.3">
      <c r="A1438" s="63">
        <v>10</v>
      </c>
      <c r="B1438" s="65">
        <v>45726</v>
      </c>
      <c r="C1438" s="63">
        <v>1</v>
      </c>
      <c r="D1438" s="38" t="s">
        <v>178</v>
      </c>
      <c r="E1438" s="23" t="s">
        <v>151</v>
      </c>
      <c r="F1438" s="39">
        <v>0.1109</v>
      </c>
      <c r="G1438" s="64" t="s">
        <v>352</v>
      </c>
      <c r="H1438" s="70"/>
      <c r="BA1438" s="132" t="s">
        <v>15</v>
      </c>
      <c r="BB1438" s="4">
        <v>1</v>
      </c>
      <c r="BC1438">
        <v>0</v>
      </c>
    </row>
    <row r="1439" spans="1:55" x14ac:dyDescent="0.3">
      <c r="A1439" s="63">
        <v>11</v>
      </c>
      <c r="B1439" s="65">
        <v>45733</v>
      </c>
      <c r="C1439" s="63">
        <v>1</v>
      </c>
      <c r="D1439" s="38" t="s">
        <v>178</v>
      </c>
      <c r="E1439" s="23" t="s">
        <v>151</v>
      </c>
      <c r="F1439" s="39">
        <v>0.10290000000000001</v>
      </c>
      <c r="G1439" s="64" t="s">
        <v>352</v>
      </c>
      <c r="H1439" s="70"/>
      <c r="BA1439" s="132" t="s">
        <v>15</v>
      </c>
      <c r="BB1439" s="4">
        <v>1</v>
      </c>
      <c r="BC1439">
        <v>0</v>
      </c>
    </row>
    <row r="1440" spans="1:55" x14ac:dyDescent="0.3">
      <c r="A1440" s="63">
        <v>12</v>
      </c>
      <c r="B1440" s="65">
        <v>45740</v>
      </c>
      <c r="C1440" s="63">
        <v>1</v>
      </c>
      <c r="D1440" s="38" t="s">
        <v>178</v>
      </c>
      <c r="E1440" s="23" t="s">
        <v>151</v>
      </c>
      <c r="F1440" s="39">
        <v>0.1041</v>
      </c>
      <c r="G1440" s="64" t="s">
        <v>352</v>
      </c>
      <c r="H1440" s="70"/>
      <c r="BA1440" s="132" t="s">
        <v>15</v>
      </c>
      <c r="BB1440" s="4">
        <v>1</v>
      </c>
      <c r="BC1440">
        <v>0</v>
      </c>
    </row>
    <row r="1441" spans="1:55" x14ac:dyDescent="0.3">
      <c r="A1441" s="63">
        <v>13</v>
      </c>
      <c r="B1441" s="65">
        <v>45747</v>
      </c>
      <c r="C1441" s="63">
        <v>1</v>
      </c>
      <c r="D1441" s="38" t="s">
        <v>178</v>
      </c>
      <c r="E1441" s="23" t="s">
        <v>151</v>
      </c>
      <c r="F1441" s="39">
        <v>9.5200000000000007E-2</v>
      </c>
      <c r="G1441" s="64" t="s">
        <v>352</v>
      </c>
      <c r="H1441" s="70"/>
      <c r="BA1441" s="132" t="s">
        <v>15</v>
      </c>
      <c r="BB1441" s="4">
        <v>1</v>
      </c>
      <c r="BC1441">
        <v>0</v>
      </c>
    </row>
    <row r="1442" spans="1:55" x14ac:dyDescent="0.3">
      <c r="A1442" s="63">
        <v>14</v>
      </c>
      <c r="B1442" s="65">
        <v>45754</v>
      </c>
      <c r="C1442" s="63">
        <v>1</v>
      </c>
      <c r="D1442" s="38" t="s">
        <v>178</v>
      </c>
      <c r="E1442" s="23" t="s">
        <v>151</v>
      </c>
      <c r="F1442" s="39">
        <v>0.10390000000000001</v>
      </c>
      <c r="G1442" s="64" t="s">
        <v>352</v>
      </c>
      <c r="H1442" s="70"/>
      <c r="BA1442" s="132" t="s">
        <v>15</v>
      </c>
      <c r="BB1442" s="4">
        <v>1</v>
      </c>
      <c r="BC1442">
        <v>0</v>
      </c>
    </row>
    <row r="1443" spans="1:55" x14ac:dyDescent="0.3">
      <c r="A1443" s="63">
        <v>15</v>
      </c>
      <c r="B1443" s="65">
        <v>45761</v>
      </c>
      <c r="C1443" s="63">
        <v>1</v>
      </c>
      <c r="D1443" s="38" t="s">
        <v>178</v>
      </c>
      <c r="E1443" s="23" t="s">
        <v>151</v>
      </c>
      <c r="F1443" s="39">
        <v>9.7199999999999995E-2</v>
      </c>
      <c r="G1443" s="64" t="s">
        <v>352</v>
      </c>
      <c r="H1443" s="70"/>
      <c r="BA1443" s="132" t="s">
        <v>15</v>
      </c>
      <c r="BB1443" s="4">
        <v>1</v>
      </c>
      <c r="BC1443">
        <v>0</v>
      </c>
    </row>
    <row r="1444" spans="1:55" x14ac:dyDescent="0.3">
      <c r="A1444" s="63">
        <v>16</v>
      </c>
      <c r="B1444" s="65">
        <v>45768</v>
      </c>
      <c r="C1444" s="63">
        <v>1</v>
      </c>
      <c r="D1444" s="38" t="s">
        <v>178</v>
      </c>
      <c r="E1444" s="23" t="s">
        <v>151</v>
      </c>
      <c r="F1444" s="39">
        <v>0.10589999999999999</v>
      </c>
      <c r="G1444" s="64" t="s">
        <v>352</v>
      </c>
      <c r="H1444" s="70"/>
      <c r="BA1444" s="132" t="s">
        <v>15</v>
      </c>
      <c r="BB1444" s="4">
        <v>1</v>
      </c>
      <c r="BC1444">
        <v>0</v>
      </c>
    </row>
    <row r="1445" spans="1:55" x14ac:dyDescent="0.3">
      <c r="A1445" s="63">
        <v>17</v>
      </c>
      <c r="B1445" s="65">
        <v>45775</v>
      </c>
      <c r="C1445" s="63">
        <v>1</v>
      </c>
      <c r="D1445" s="38" t="s">
        <v>178</v>
      </c>
      <c r="E1445" s="23" t="s">
        <v>151</v>
      </c>
      <c r="F1445" s="39">
        <v>0.1004</v>
      </c>
      <c r="G1445" s="64" t="s">
        <v>352</v>
      </c>
      <c r="H1445" s="70"/>
      <c r="BA1445" s="132" t="s">
        <v>15</v>
      </c>
      <c r="BB1445" s="4">
        <v>1</v>
      </c>
      <c r="BC1445">
        <v>0</v>
      </c>
    </row>
    <row r="1446" spans="1:55" x14ac:dyDescent="0.3">
      <c r="A1446" s="63">
        <v>18</v>
      </c>
      <c r="B1446" s="65">
        <v>45782</v>
      </c>
      <c r="C1446" s="63">
        <v>1</v>
      </c>
      <c r="D1446" s="38" t="s">
        <v>178</v>
      </c>
      <c r="E1446" s="23" t="s">
        <v>151</v>
      </c>
      <c r="F1446" s="39">
        <v>0.1075</v>
      </c>
      <c r="G1446" s="64" t="s">
        <v>352</v>
      </c>
      <c r="H1446" s="70"/>
      <c r="BA1446" s="132" t="s">
        <v>15</v>
      </c>
      <c r="BB1446" s="4">
        <v>1</v>
      </c>
      <c r="BC1446">
        <v>0</v>
      </c>
    </row>
    <row r="1447" spans="1:55" x14ac:dyDescent="0.3">
      <c r="A1447" s="63">
        <v>19</v>
      </c>
      <c r="B1447" s="65">
        <v>45789</v>
      </c>
      <c r="C1447" s="63">
        <v>1</v>
      </c>
      <c r="D1447" s="38" t="s">
        <v>178</v>
      </c>
      <c r="E1447" s="23" t="s">
        <v>151</v>
      </c>
      <c r="F1447" s="39">
        <v>0.1099</v>
      </c>
      <c r="G1447" s="64" t="s">
        <v>352</v>
      </c>
      <c r="H1447" s="70"/>
      <c r="BA1447" s="132" t="s">
        <v>15</v>
      </c>
      <c r="BB1447" s="4">
        <v>1</v>
      </c>
      <c r="BC1447">
        <v>0</v>
      </c>
    </row>
    <row r="1448" spans="1:55" x14ac:dyDescent="0.3">
      <c r="A1448" s="63">
        <v>20</v>
      </c>
      <c r="B1448" s="65">
        <v>45796</v>
      </c>
      <c r="C1448" s="63">
        <v>1</v>
      </c>
      <c r="D1448" s="38" t="s">
        <v>178</v>
      </c>
      <c r="E1448" s="23" t="s">
        <v>151</v>
      </c>
      <c r="F1448" s="39">
        <v>9.7299999999999998E-2</v>
      </c>
      <c r="G1448" s="64" t="s">
        <v>352</v>
      </c>
      <c r="H1448" s="70"/>
      <c r="BA1448" s="132" t="s">
        <v>15</v>
      </c>
      <c r="BB1448" s="4">
        <v>1</v>
      </c>
      <c r="BC1448">
        <v>0</v>
      </c>
    </row>
    <row r="1449" spans="1:55" x14ac:dyDescent="0.3">
      <c r="A1449" s="63">
        <v>21</v>
      </c>
      <c r="B1449" s="65">
        <v>45803</v>
      </c>
      <c r="C1449" s="63">
        <v>1</v>
      </c>
      <c r="D1449" s="38" t="s">
        <v>178</v>
      </c>
      <c r="E1449" s="23" t="s">
        <v>151</v>
      </c>
      <c r="F1449" s="39">
        <v>0.1014</v>
      </c>
      <c r="G1449" s="64" t="s">
        <v>352</v>
      </c>
      <c r="H1449" s="70"/>
      <c r="BA1449" s="132" t="s">
        <v>15</v>
      </c>
      <c r="BB1449" s="4">
        <v>1</v>
      </c>
      <c r="BC1449">
        <v>0</v>
      </c>
    </row>
    <row r="1450" spans="1:55" x14ac:dyDescent="0.3">
      <c r="A1450" s="63">
        <v>22</v>
      </c>
      <c r="B1450" s="65">
        <v>45810</v>
      </c>
      <c r="C1450" s="63">
        <v>1</v>
      </c>
      <c r="D1450" s="38" t="s">
        <v>178</v>
      </c>
      <c r="E1450" s="23" t="s">
        <v>151</v>
      </c>
      <c r="F1450" s="39">
        <v>0.10050000000000001</v>
      </c>
      <c r="G1450" s="64" t="s">
        <v>352</v>
      </c>
      <c r="H1450" s="70"/>
      <c r="BA1450" s="132" t="s">
        <v>15</v>
      </c>
      <c r="BB1450" s="4">
        <v>1</v>
      </c>
      <c r="BC1450">
        <v>0</v>
      </c>
    </row>
    <row r="1451" spans="1:55" x14ac:dyDescent="0.3">
      <c r="A1451" s="63">
        <v>23</v>
      </c>
      <c r="B1451" s="65">
        <v>45817</v>
      </c>
      <c r="C1451" s="63">
        <v>1</v>
      </c>
      <c r="D1451" s="38" t="s">
        <v>178</v>
      </c>
      <c r="E1451" s="23" t="s">
        <v>151</v>
      </c>
      <c r="F1451" s="39">
        <v>0.1119</v>
      </c>
      <c r="G1451" s="64" t="s">
        <v>352</v>
      </c>
      <c r="H1451" s="70"/>
      <c r="BA1451" s="132" t="s">
        <v>15</v>
      </c>
      <c r="BB1451" s="4">
        <v>1</v>
      </c>
      <c r="BC1451">
        <v>0</v>
      </c>
    </row>
    <row r="1452" spans="1:55" x14ac:dyDescent="0.3">
      <c r="A1452" s="63">
        <v>24</v>
      </c>
      <c r="B1452" s="65">
        <v>45824</v>
      </c>
      <c r="C1452" s="63">
        <v>1</v>
      </c>
      <c r="D1452" s="38" t="s">
        <v>178</v>
      </c>
      <c r="E1452" s="23" t="s">
        <v>151</v>
      </c>
      <c r="F1452" s="39">
        <v>0.1183</v>
      </c>
      <c r="G1452" s="64" t="s">
        <v>352</v>
      </c>
      <c r="H1452" s="70"/>
      <c r="BA1452" s="132" t="s">
        <v>15</v>
      </c>
      <c r="BB1452" s="4">
        <v>1</v>
      </c>
      <c r="BC1452">
        <v>0</v>
      </c>
    </row>
    <row r="1453" spans="1:55" x14ac:dyDescent="0.3">
      <c r="A1453" s="63">
        <v>25</v>
      </c>
      <c r="B1453" s="65">
        <v>45831</v>
      </c>
      <c r="C1453" s="63">
        <v>1</v>
      </c>
      <c r="D1453" s="38" t="s">
        <v>178</v>
      </c>
      <c r="E1453" s="23" t="s">
        <v>151</v>
      </c>
      <c r="F1453" s="39">
        <v>0.11260000000000001</v>
      </c>
      <c r="G1453" s="64" t="s">
        <v>352</v>
      </c>
      <c r="H1453" s="70"/>
      <c r="BA1453" s="132" t="s">
        <v>15</v>
      </c>
      <c r="BB1453" s="4">
        <v>1</v>
      </c>
      <c r="BC1453">
        <v>0</v>
      </c>
    </row>
    <row r="1454" spans="1:55" x14ac:dyDescent="0.3">
      <c r="A1454" s="63">
        <v>1</v>
      </c>
      <c r="B1454" s="65">
        <v>45663</v>
      </c>
      <c r="C1454" s="63">
        <v>2</v>
      </c>
      <c r="D1454" s="38" t="s">
        <v>179</v>
      </c>
      <c r="E1454" s="23" t="s">
        <v>151</v>
      </c>
      <c r="F1454" s="39">
        <v>0.1016</v>
      </c>
      <c r="G1454" s="64" t="s">
        <v>352</v>
      </c>
      <c r="H1454" s="70"/>
      <c r="BA1454" s="132" t="s">
        <v>15</v>
      </c>
      <c r="BB1454" s="4">
        <v>0</v>
      </c>
      <c r="BC1454">
        <v>0</v>
      </c>
    </row>
    <row r="1455" spans="1:55" x14ac:dyDescent="0.3">
      <c r="A1455" s="63">
        <v>2</v>
      </c>
      <c r="B1455" s="65">
        <v>45670</v>
      </c>
      <c r="C1455" s="63">
        <v>2</v>
      </c>
      <c r="D1455" s="38" t="s">
        <v>179</v>
      </c>
      <c r="E1455" s="23" t="s">
        <v>151</v>
      </c>
      <c r="F1455" s="39">
        <v>0.1066</v>
      </c>
      <c r="G1455" s="64" t="s">
        <v>352</v>
      </c>
      <c r="H1455" s="70"/>
      <c r="BA1455" s="132" t="s">
        <v>15</v>
      </c>
      <c r="BB1455" s="4">
        <v>0</v>
      </c>
      <c r="BC1455">
        <v>0</v>
      </c>
    </row>
    <row r="1456" spans="1:55" x14ac:dyDescent="0.3">
      <c r="A1456" s="63">
        <v>3</v>
      </c>
      <c r="B1456" s="65">
        <v>45677</v>
      </c>
      <c r="C1456" s="63">
        <v>2</v>
      </c>
      <c r="D1456" s="38" t="s">
        <v>179</v>
      </c>
      <c r="E1456" s="23" t="s">
        <v>151</v>
      </c>
      <c r="F1456" s="39">
        <v>9.8400000000000001E-2</v>
      </c>
      <c r="G1456" s="64" t="s">
        <v>352</v>
      </c>
      <c r="H1456" s="70"/>
      <c r="BA1456" s="132" t="s">
        <v>15</v>
      </c>
      <c r="BB1456" s="4">
        <v>0</v>
      </c>
      <c r="BC1456">
        <v>0</v>
      </c>
    </row>
    <row r="1457" spans="1:55" x14ac:dyDescent="0.3">
      <c r="A1457" s="63">
        <v>4</v>
      </c>
      <c r="B1457" s="65">
        <v>45684</v>
      </c>
      <c r="C1457" s="63">
        <v>2</v>
      </c>
      <c r="D1457" s="38" t="s">
        <v>179</v>
      </c>
      <c r="E1457" s="23" t="s">
        <v>151</v>
      </c>
      <c r="F1457" s="39">
        <v>0.1067</v>
      </c>
      <c r="G1457" s="64" t="s">
        <v>352</v>
      </c>
      <c r="H1457" s="70"/>
      <c r="BA1457" s="132" t="s">
        <v>15</v>
      </c>
      <c r="BB1457" s="4">
        <v>0</v>
      </c>
      <c r="BC1457">
        <v>0</v>
      </c>
    </row>
    <row r="1458" spans="1:55" x14ac:dyDescent="0.3">
      <c r="A1458" s="63">
        <v>5</v>
      </c>
      <c r="B1458" s="65">
        <v>45691</v>
      </c>
      <c r="C1458" s="63">
        <v>2</v>
      </c>
      <c r="D1458" s="38" t="s">
        <v>179</v>
      </c>
      <c r="E1458" s="23" t="s">
        <v>151</v>
      </c>
      <c r="F1458" s="39">
        <v>0.1008</v>
      </c>
      <c r="G1458" s="64" t="s">
        <v>352</v>
      </c>
      <c r="H1458" s="70"/>
      <c r="BA1458" s="132" t="s">
        <v>15</v>
      </c>
      <c r="BB1458" s="4">
        <v>0</v>
      </c>
      <c r="BC1458">
        <v>0</v>
      </c>
    </row>
    <row r="1459" spans="1:55" x14ac:dyDescent="0.3">
      <c r="A1459" s="63">
        <v>6</v>
      </c>
      <c r="B1459" s="65">
        <v>45698</v>
      </c>
      <c r="C1459" s="63">
        <v>2</v>
      </c>
      <c r="D1459" s="38" t="s">
        <v>179</v>
      </c>
      <c r="E1459" s="23" t="s">
        <v>151</v>
      </c>
      <c r="F1459" s="39">
        <v>9.5000000000000001E-2</v>
      </c>
      <c r="G1459" s="64" t="s">
        <v>352</v>
      </c>
      <c r="H1459" s="70"/>
      <c r="BA1459" s="132" t="s">
        <v>15</v>
      </c>
      <c r="BB1459" s="4">
        <v>0</v>
      </c>
      <c r="BC1459">
        <v>0</v>
      </c>
    </row>
    <row r="1460" spans="1:55" x14ac:dyDescent="0.3">
      <c r="A1460" s="63">
        <v>7</v>
      </c>
      <c r="B1460" s="65">
        <v>45705</v>
      </c>
      <c r="C1460" s="63">
        <v>2</v>
      </c>
      <c r="D1460" s="38" t="s">
        <v>179</v>
      </c>
      <c r="E1460" s="23" t="s">
        <v>151</v>
      </c>
      <c r="F1460" s="39">
        <v>0.10979999999999999</v>
      </c>
      <c r="G1460" s="64" t="s">
        <v>352</v>
      </c>
      <c r="H1460" s="70"/>
      <c r="BA1460" s="132" t="s">
        <v>15</v>
      </c>
      <c r="BB1460" s="4">
        <v>0</v>
      </c>
      <c r="BC1460">
        <v>0</v>
      </c>
    </row>
    <row r="1461" spans="1:55" x14ac:dyDescent="0.3">
      <c r="A1461" s="63">
        <v>8</v>
      </c>
      <c r="B1461" s="65">
        <v>45712</v>
      </c>
      <c r="C1461" s="63">
        <v>2</v>
      </c>
      <c r="D1461" s="38" t="s">
        <v>179</v>
      </c>
      <c r="E1461" s="23" t="s">
        <v>151</v>
      </c>
      <c r="F1461" s="39">
        <v>0.1069</v>
      </c>
      <c r="G1461" s="64" t="s">
        <v>352</v>
      </c>
      <c r="H1461" s="70"/>
      <c r="BA1461" s="132" t="s">
        <v>15</v>
      </c>
      <c r="BB1461" s="4">
        <v>0</v>
      </c>
      <c r="BC1461">
        <v>0</v>
      </c>
    </row>
    <row r="1462" spans="1:55" x14ac:dyDescent="0.3">
      <c r="A1462" s="63">
        <v>9</v>
      </c>
      <c r="B1462" s="65">
        <v>45719</v>
      </c>
      <c r="C1462" s="63">
        <v>2</v>
      </c>
      <c r="D1462" s="38" t="s">
        <v>179</v>
      </c>
      <c r="E1462" s="23" t="s">
        <v>151</v>
      </c>
      <c r="F1462" s="39">
        <v>9.98E-2</v>
      </c>
      <c r="G1462" s="64" t="s">
        <v>352</v>
      </c>
      <c r="H1462" s="70"/>
      <c r="BA1462" s="132" t="s">
        <v>15</v>
      </c>
      <c r="BB1462" s="4">
        <v>0</v>
      </c>
      <c r="BC1462">
        <v>0</v>
      </c>
    </row>
    <row r="1463" spans="1:55" x14ac:dyDescent="0.3">
      <c r="A1463" s="63">
        <v>10</v>
      </c>
      <c r="B1463" s="65">
        <v>45726</v>
      </c>
      <c r="C1463" s="63">
        <v>2</v>
      </c>
      <c r="D1463" s="38" t="s">
        <v>179</v>
      </c>
      <c r="E1463" s="23" t="s">
        <v>151</v>
      </c>
      <c r="F1463" s="39">
        <v>0.10299999999999999</v>
      </c>
      <c r="G1463" s="64" t="s">
        <v>352</v>
      </c>
      <c r="H1463" s="70"/>
      <c r="BA1463" s="132" t="s">
        <v>15</v>
      </c>
      <c r="BB1463" s="4">
        <v>0</v>
      </c>
      <c r="BC1463">
        <v>0</v>
      </c>
    </row>
    <row r="1464" spans="1:55" x14ac:dyDescent="0.3">
      <c r="A1464" s="63">
        <v>11</v>
      </c>
      <c r="B1464" s="65">
        <v>45733</v>
      </c>
      <c r="C1464" s="63">
        <v>2</v>
      </c>
      <c r="D1464" s="38" t="s">
        <v>179</v>
      </c>
      <c r="E1464" s="23" t="s">
        <v>151</v>
      </c>
      <c r="F1464" s="39">
        <v>0.10199999999999999</v>
      </c>
      <c r="G1464" s="64" t="s">
        <v>352</v>
      </c>
      <c r="H1464" s="70"/>
      <c r="BA1464" s="132" t="s">
        <v>15</v>
      </c>
      <c r="BB1464" s="4">
        <v>0</v>
      </c>
      <c r="BC1464">
        <v>0</v>
      </c>
    </row>
    <row r="1465" spans="1:55" x14ac:dyDescent="0.3">
      <c r="A1465" s="63">
        <v>12</v>
      </c>
      <c r="B1465" s="65">
        <v>45740</v>
      </c>
      <c r="C1465" s="63">
        <v>2</v>
      </c>
      <c r="D1465" s="38" t="s">
        <v>179</v>
      </c>
      <c r="E1465" s="23" t="s">
        <v>151</v>
      </c>
      <c r="F1465" s="39">
        <v>0.10290000000000001</v>
      </c>
      <c r="G1465" s="64" t="s">
        <v>352</v>
      </c>
      <c r="H1465" s="70"/>
      <c r="BA1465" s="132" t="s">
        <v>15</v>
      </c>
      <c r="BB1465" s="4">
        <v>0</v>
      </c>
      <c r="BC1465">
        <v>0</v>
      </c>
    </row>
    <row r="1466" spans="1:55" x14ac:dyDescent="0.3">
      <c r="A1466" s="63">
        <v>13</v>
      </c>
      <c r="B1466" s="65">
        <v>45747</v>
      </c>
      <c r="C1466" s="63">
        <v>2</v>
      </c>
      <c r="D1466" s="38" t="s">
        <v>179</v>
      </c>
      <c r="E1466" s="23" t="s">
        <v>151</v>
      </c>
      <c r="F1466" s="39">
        <v>9.8500000000000004E-2</v>
      </c>
      <c r="G1466" s="64" t="s">
        <v>352</v>
      </c>
      <c r="H1466" s="70"/>
      <c r="BA1466" s="132" t="s">
        <v>15</v>
      </c>
      <c r="BB1466" s="4">
        <v>0</v>
      </c>
      <c r="BC1466">
        <v>0</v>
      </c>
    </row>
    <row r="1467" spans="1:55" x14ac:dyDescent="0.3">
      <c r="A1467" s="63">
        <v>14</v>
      </c>
      <c r="B1467" s="65">
        <v>45754</v>
      </c>
      <c r="C1467" s="63">
        <v>2</v>
      </c>
      <c r="D1467" s="38" t="s">
        <v>179</v>
      </c>
      <c r="E1467" s="23" t="s">
        <v>151</v>
      </c>
      <c r="F1467" s="39">
        <v>0.1007</v>
      </c>
      <c r="G1467" s="64" t="s">
        <v>352</v>
      </c>
      <c r="H1467" s="70"/>
      <c r="BA1467" s="132" t="s">
        <v>15</v>
      </c>
      <c r="BB1467" s="4">
        <v>0</v>
      </c>
      <c r="BC1467">
        <v>0</v>
      </c>
    </row>
    <row r="1468" spans="1:55" x14ac:dyDescent="0.3">
      <c r="A1468" s="63">
        <v>15</v>
      </c>
      <c r="B1468" s="65">
        <v>45761</v>
      </c>
      <c r="C1468" s="63">
        <v>2</v>
      </c>
      <c r="D1468" s="38" t="s">
        <v>179</v>
      </c>
      <c r="E1468" s="23" t="s">
        <v>151</v>
      </c>
      <c r="F1468" s="39">
        <v>0.10390000000000001</v>
      </c>
      <c r="G1468" s="64" t="s">
        <v>352</v>
      </c>
      <c r="H1468" s="70"/>
      <c r="BA1468" s="132" t="s">
        <v>15</v>
      </c>
      <c r="BB1468" s="4">
        <v>0</v>
      </c>
      <c r="BC1468">
        <v>0</v>
      </c>
    </row>
    <row r="1469" spans="1:55" x14ac:dyDescent="0.3">
      <c r="A1469" s="63">
        <v>16</v>
      </c>
      <c r="B1469" s="65">
        <v>45768</v>
      </c>
      <c r="C1469" s="63">
        <v>2</v>
      </c>
      <c r="D1469" s="38" t="s">
        <v>179</v>
      </c>
      <c r="E1469" s="23" t="s">
        <v>151</v>
      </c>
      <c r="F1469" s="39">
        <v>0.1032</v>
      </c>
      <c r="G1469" s="64" t="s">
        <v>352</v>
      </c>
      <c r="H1469" s="70"/>
      <c r="BA1469" s="132" t="s">
        <v>15</v>
      </c>
      <c r="BB1469" s="4">
        <v>0</v>
      </c>
      <c r="BC1469">
        <v>0</v>
      </c>
    </row>
    <row r="1470" spans="1:55" x14ac:dyDescent="0.3">
      <c r="A1470" s="63">
        <v>17</v>
      </c>
      <c r="B1470" s="65">
        <v>45775</v>
      </c>
      <c r="C1470" s="63">
        <v>2</v>
      </c>
      <c r="D1470" s="38" t="s">
        <v>179</v>
      </c>
      <c r="E1470" s="23" t="s">
        <v>151</v>
      </c>
      <c r="F1470" s="39">
        <v>0.10589999999999999</v>
      </c>
      <c r="G1470" s="64" t="s">
        <v>352</v>
      </c>
      <c r="H1470" s="70"/>
      <c r="BA1470" s="132" t="s">
        <v>15</v>
      </c>
      <c r="BB1470" s="4">
        <v>0</v>
      </c>
      <c r="BC1470">
        <v>0</v>
      </c>
    </row>
    <row r="1471" spans="1:55" x14ac:dyDescent="0.3">
      <c r="A1471" s="63">
        <v>18</v>
      </c>
      <c r="B1471" s="65">
        <v>45782</v>
      </c>
      <c r="C1471" s="63">
        <v>2</v>
      </c>
      <c r="D1471" s="38" t="s">
        <v>179</v>
      </c>
      <c r="E1471" s="23" t="s">
        <v>151</v>
      </c>
      <c r="F1471" s="39">
        <v>0.1028</v>
      </c>
      <c r="G1471" s="64" t="s">
        <v>352</v>
      </c>
      <c r="H1471" s="70"/>
      <c r="BA1471" s="132" t="s">
        <v>15</v>
      </c>
      <c r="BB1471" s="4">
        <v>0</v>
      </c>
      <c r="BC1471">
        <v>0</v>
      </c>
    </row>
    <row r="1472" spans="1:55" x14ac:dyDescent="0.3">
      <c r="A1472" s="63">
        <v>19</v>
      </c>
      <c r="B1472" s="65">
        <v>45789</v>
      </c>
      <c r="C1472" s="63">
        <v>2</v>
      </c>
      <c r="D1472" s="38" t="s">
        <v>179</v>
      </c>
      <c r="E1472" s="23" t="s">
        <v>151</v>
      </c>
      <c r="F1472" s="39">
        <v>0.109</v>
      </c>
      <c r="G1472" s="64" t="s">
        <v>352</v>
      </c>
      <c r="H1472" s="70"/>
      <c r="BA1472" s="132" t="s">
        <v>15</v>
      </c>
      <c r="BB1472" s="4">
        <v>0</v>
      </c>
      <c r="BC1472">
        <v>0</v>
      </c>
    </row>
    <row r="1473" spans="1:55" x14ac:dyDescent="0.3">
      <c r="A1473" s="63">
        <v>20</v>
      </c>
      <c r="B1473" s="65">
        <v>45796</v>
      </c>
      <c r="C1473" s="63">
        <v>2</v>
      </c>
      <c r="D1473" s="38" t="s">
        <v>179</v>
      </c>
      <c r="E1473" s="23" t="s">
        <v>151</v>
      </c>
      <c r="F1473" s="39">
        <v>0.10059999999999999</v>
      </c>
      <c r="G1473" s="64" t="s">
        <v>352</v>
      </c>
      <c r="H1473" s="70"/>
      <c r="BA1473" s="132" t="s">
        <v>15</v>
      </c>
      <c r="BB1473" s="4">
        <v>0</v>
      </c>
      <c r="BC1473">
        <v>0</v>
      </c>
    </row>
    <row r="1474" spans="1:55" x14ac:dyDescent="0.3">
      <c r="A1474" s="63">
        <v>21</v>
      </c>
      <c r="B1474" s="65">
        <v>45803</v>
      </c>
      <c r="C1474" s="63">
        <v>2</v>
      </c>
      <c r="D1474" s="38" t="s">
        <v>179</v>
      </c>
      <c r="E1474" s="23" t="s">
        <v>151</v>
      </c>
      <c r="F1474" s="39">
        <v>0.1033</v>
      </c>
      <c r="G1474" s="64" t="s">
        <v>352</v>
      </c>
      <c r="H1474" s="70"/>
      <c r="BA1474" s="132" t="s">
        <v>15</v>
      </c>
      <c r="BB1474" s="4">
        <v>0</v>
      </c>
      <c r="BC1474">
        <v>0</v>
      </c>
    </row>
    <row r="1475" spans="1:55" x14ac:dyDescent="0.3">
      <c r="A1475" s="63">
        <v>22</v>
      </c>
      <c r="B1475" s="65">
        <v>45810</v>
      </c>
      <c r="C1475" s="63">
        <v>2</v>
      </c>
      <c r="D1475" s="38" t="s">
        <v>179</v>
      </c>
      <c r="E1475" s="23" t="s">
        <v>151</v>
      </c>
      <c r="F1475" s="39">
        <v>9.7299999999999998E-2</v>
      </c>
      <c r="G1475" s="64" t="s">
        <v>352</v>
      </c>
      <c r="H1475" s="70"/>
      <c r="BA1475" s="132" t="s">
        <v>15</v>
      </c>
      <c r="BB1475" s="4">
        <v>0</v>
      </c>
      <c r="BC1475">
        <v>0</v>
      </c>
    </row>
    <row r="1476" spans="1:55" x14ac:dyDescent="0.3">
      <c r="A1476" s="63">
        <v>23</v>
      </c>
      <c r="B1476" s="65">
        <v>45817</v>
      </c>
      <c r="C1476" s="63">
        <v>2</v>
      </c>
      <c r="D1476" s="38" t="s">
        <v>179</v>
      </c>
      <c r="E1476" s="23" t="s">
        <v>151</v>
      </c>
      <c r="F1476" s="39">
        <v>9.9199999999999997E-2</v>
      </c>
      <c r="G1476" s="64" t="s">
        <v>352</v>
      </c>
      <c r="H1476" s="70"/>
      <c r="BA1476" s="132" t="s">
        <v>15</v>
      </c>
      <c r="BB1476" s="4">
        <v>0</v>
      </c>
      <c r="BC1476">
        <v>0</v>
      </c>
    </row>
    <row r="1477" spans="1:55" x14ac:dyDescent="0.3">
      <c r="A1477" s="63">
        <v>24</v>
      </c>
      <c r="B1477" s="65">
        <v>45824</v>
      </c>
      <c r="C1477" s="63">
        <v>2</v>
      </c>
      <c r="D1477" s="38" t="s">
        <v>179</v>
      </c>
      <c r="E1477" s="23" t="s">
        <v>151</v>
      </c>
      <c r="F1477" s="39">
        <v>0.1062</v>
      </c>
      <c r="G1477" s="64" t="s">
        <v>352</v>
      </c>
      <c r="H1477" s="70"/>
      <c r="BA1477" s="132" t="s">
        <v>15</v>
      </c>
      <c r="BB1477" s="4">
        <v>0</v>
      </c>
      <c r="BC1477">
        <v>0</v>
      </c>
    </row>
    <row r="1478" spans="1:55" x14ac:dyDescent="0.3">
      <c r="A1478" s="63">
        <v>25</v>
      </c>
      <c r="B1478" s="65">
        <v>45831</v>
      </c>
      <c r="C1478" s="63">
        <v>2</v>
      </c>
      <c r="D1478" s="38" t="s">
        <v>179</v>
      </c>
      <c r="E1478" s="23" t="s">
        <v>151</v>
      </c>
      <c r="F1478" s="39">
        <v>0.1</v>
      </c>
      <c r="G1478" s="64" t="s">
        <v>352</v>
      </c>
      <c r="H1478" s="70"/>
      <c r="BA1478" s="132" t="s">
        <v>15</v>
      </c>
      <c r="BB1478" s="4">
        <v>0</v>
      </c>
      <c r="BC1478">
        <v>0</v>
      </c>
    </row>
    <row r="1479" spans="1:55" x14ac:dyDescent="0.3">
      <c r="A1479" s="63">
        <v>1</v>
      </c>
      <c r="B1479" s="65">
        <v>45663</v>
      </c>
      <c r="C1479" s="63">
        <v>3</v>
      </c>
      <c r="D1479" s="38" t="s">
        <v>180</v>
      </c>
      <c r="E1479" s="23" t="s">
        <v>151</v>
      </c>
      <c r="F1479" s="39">
        <v>6.4799999999999996E-2</v>
      </c>
      <c r="G1479" s="64" t="s">
        <v>352</v>
      </c>
      <c r="H1479" s="70"/>
      <c r="BA1479" s="132" t="s">
        <v>15</v>
      </c>
      <c r="BB1479" s="4">
        <v>0</v>
      </c>
      <c r="BC1479">
        <v>0</v>
      </c>
    </row>
    <row r="1480" spans="1:55" x14ac:dyDescent="0.3">
      <c r="A1480" s="63">
        <v>2</v>
      </c>
      <c r="B1480" s="65">
        <v>45670</v>
      </c>
      <c r="C1480" s="63">
        <v>3</v>
      </c>
      <c r="D1480" s="38" t="s">
        <v>180</v>
      </c>
      <c r="E1480" s="23" t="s">
        <v>151</v>
      </c>
      <c r="F1480" s="39">
        <v>6.3200000000000006E-2</v>
      </c>
      <c r="G1480" s="64" t="s">
        <v>352</v>
      </c>
      <c r="H1480" s="70"/>
      <c r="BA1480" s="132" t="s">
        <v>15</v>
      </c>
      <c r="BB1480" s="4">
        <v>0</v>
      </c>
      <c r="BC1480">
        <v>0</v>
      </c>
    </row>
    <row r="1481" spans="1:55" x14ac:dyDescent="0.3">
      <c r="A1481" s="63">
        <v>3</v>
      </c>
      <c r="B1481" s="65">
        <v>45677</v>
      </c>
      <c r="C1481" s="63">
        <v>3</v>
      </c>
      <c r="D1481" s="38" t="s">
        <v>180</v>
      </c>
      <c r="E1481" s="23" t="s">
        <v>151</v>
      </c>
      <c r="F1481" s="39">
        <v>6.0499999999999998E-2</v>
      </c>
      <c r="G1481" s="64" t="s">
        <v>352</v>
      </c>
      <c r="H1481" s="70"/>
      <c r="BA1481" s="132" t="s">
        <v>15</v>
      </c>
      <c r="BB1481" s="4">
        <v>0</v>
      </c>
      <c r="BC1481">
        <v>0</v>
      </c>
    </row>
    <row r="1482" spans="1:55" x14ac:dyDescent="0.3">
      <c r="A1482" s="63">
        <v>4</v>
      </c>
      <c r="B1482" s="65">
        <v>45684</v>
      </c>
      <c r="C1482" s="63">
        <v>3</v>
      </c>
      <c r="D1482" s="38" t="s">
        <v>180</v>
      </c>
      <c r="E1482" s="23" t="s">
        <v>151</v>
      </c>
      <c r="F1482" s="39">
        <v>6.2399999999999997E-2</v>
      </c>
      <c r="G1482" s="64" t="s">
        <v>352</v>
      </c>
      <c r="H1482" s="70"/>
      <c r="BA1482" s="132" t="s">
        <v>15</v>
      </c>
      <c r="BB1482" s="4">
        <v>0</v>
      </c>
      <c r="BC1482">
        <v>0</v>
      </c>
    </row>
    <row r="1483" spans="1:55" x14ac:dyDescent="0.3">
      <c r="A1483" s="63">
        <v>5</v>
      </c>
      <c r="B1483" s="65">
        <v>45691</v>
      </c>
      <c r="C1483" s="63">
        <v>3</v>
      </c>
      <c r="D1483" s="38" t="s">
        <v>180</v>
      </c>
      <c r="E1483" s="23" t="s">
        <v>151</v>
      </c>
      <c r="F1483" s="39">
        <v>6.1899999999999997E-2</v>
      </c>
      <c r="G1483" s="64" t="s">
        <v>352</v>
      </c>
      <c r="H1483" s="70"/>
      <c r="BA1483" s="132" t="s">
        <v>15</v>
      </c>
      <c r="BB1483" s="4">
        <v>0</v>
      </c>
      <c r="BC1483">
        <v>0</v>
      </c>
    </row>
    <row r="1484" spans="1:55" x14ac:dyDescent="0.3">
      <c r="A1484" s="63">
        <v>6</v>
      </c>
      <c r="B1484" s="65">
        <v>45698</v>
      </c>
      <c r="C1484" s="63">
        <v>3</v>
      </c>
      <c r="D1484" s="38" t="s">
        <v>180</v>
      </c>
      <c r="E1484" s="23" t="s">
        <v>151</v>
      </c>
      <c r="F1484" s="39">
        <v>6.2E-2</v>
      </c>
      <c r="G1484" s="64" t="s">
        <v>352</v>
      </c>
      <c r="H1484" s="70"/>
      <c r="BA1484" s="132" t="s">
        <v>15</v>
      </c>
      <c r="BB1484" s="4">
        <v>0</v>
      </c>
      <c r="BC1484">
        <v>0</v>
      </c>
    </row>
    <row r="1485" spans="1:55" x14ac:dyDescent="0.3">
      <c r="A1485" s="63">
        <v>7</v>
      </c>
      <c r="B1485" s="65">
        <v>45705</v>
      </c>
      <c r="C1485" s="63">
        <v>3</v>
      </c>
      <c r="D1485" s="38" t="s">
        <v>180</v>
      </c>
      <c r="E1485" s="23" t="s">
        <v>151</v>
      </c>
      <c r="F1485" s="39">
        <v>6.54E-2</v>
      </c>
      <c r="G1485" s="64" t="s">
        <v>352</v>
      </c>
      <c r="H1485" s="70"/>
      <c r="BA1485" s="132" t="s">
        <v>15</v>
      </c>
      <c r="BB1485" s="4">
        <v>0</v>
      </c>
      <c r="BC1485">
        <v>0</v>
      </c>
    </row>
    <row r="1486" spans="1:55" x14ac:dyDescent="0.3">
      <c r="A1486" s="63">
        <v>8</v>
      </c>
      <c r="B1486" s="65">
        <v>45712</v>
      </c>
      <c r="C1486" s="63">
        <v>3</v>
      </c>
      <c r="D1486" s="38" t="s">
        <v>180</v>
      </c>
      <c r="E1486" s="23" t="s">
        <v>151</v>
      </c>
      <c r="F1486" s="39">
        <v>6.5100000000000005E-2</v>
      </c>
      <c r="G1486" s="64" t="s">
        <v>352</v>
      </c>
      <c r="H1486" s="70"/>
      <c r="BA1486" s="132" t="s">
        <v>15</v>
      </c>
      <c r="BB1486" s="4">
        <v>0</v>
      </c>
      <c r="BC1486">
        <v>0</v>
      </c>
    </row>
    <row r="1487" spans="1:55" x14ac:dyDescent="0.3">
      <c r="A1487" s="63">
        <v>9</v>
      </c>
      <c r="B1487" s="65">
        <v>45719</v>
      </c>
      <c r="C1487" s="63">
        <v>3</v>
      </c>
      <c r="D1487" s="38" t="s">
        <v>180</v>
      </c>
      <c r="E1487" s="23" t="s">
        <v>151</v>
      </c>
      <c r="F1487" s="39">
        <v>6.1800000000000001E-2</v>
      </c>
      <c r="G1487" s="64" t="s">
        <v>352</v>
      </c>
      <c r="H1487" s="70"/>
      <c r="BA1487" s="132" t="s">
        <v>15</v>
      </c>
      <c r="BB1487" s="4">
        <v>0</v>
      </c>
      <c r="BC1487">
        <v>0</v>
      </c>
    </row>
    <row r="1488" spans="1:55" x14ac:dyDescent="0.3">
      <c r="A1488" s="63">
        <v>10</v>
      </c>
      <c r="B1488" s="65">
        <v>45726</v>
      </c>
      <c r="C1488" s="63">
        <v>3</v>
      </c>
      <c r="D1488" s="38" t="s">
        <v>180</v>
      </c>
      <c r="E1488" s="23" t="s">
        <v>151</v>
      </c>
      <c r="F1488" s="39">
        <v>6.0900000000000003E-2</v>
      </c>
      <c r="G1488" s="64" t="s">
        <v>352</v>
      </c>
      <c r="H1488" s="70"/>
      <c r="BA1488" s="132" t="s">
        <v>15</v>
      </c>
      <c r="BB1488" s="4">
        <v>0</v>
      </c>
      <c r="BC1488">
        <v>0</v>
      </c>
    </row>
    <row r="1489" spans="1:55" x14ac:dyDescent="0.3">
      <c r="A1489" s="63">
        <v>11</v>
      </c>
      <c r="B1489" s="65">
        <v>45733</v>
      </c>
      <c r="C1489" s="63">
        <v>3</v>
      </c>
      <c r="D1489" s="38" t="s">
        <v>180</v>
      </c>
      <c r="E1489" s="23" t="s">
        <v>151</v>
      </c>
      <c r="F1489" s="39">
        <v>6.4100000000000004E-2</v>
      </c>
      <c r="G1489" s="64" t="s">
        <v>352</v>
      </c>
      <c r="H1489" s="70"/>
      <c r="BA1489" s="132" t="s">
        <v>15</v>
      </c>
      <c r="BB1489" s="4">
        <v>0</v>
      </c>
      <c r="BC1489">
        <v>0</v>
      </c>
    </row>
    <row r="1490" spans="1:55" x14ac:dyDescent="0.3">
      <c r="A1490" s="63">
        <v>12</v>
      </c>
      <c r="B1490" s="65">
        <v>45740</v>
      </c>
      <c r="C1490" s="63">
        <v>3</v>
      </c>
      <c r="D1490" s="38" t="s">
        <v>180</v>
      </c>
      <c r="E1490" s="23" t="s">
        <v>151</v>
      </c>
      <c r="F1490" s="39">
        <v>6.3100000000000003E-2</v>
      </c>
      <c r="G1490" s="64" t="s">
        <v>352</v>
      </c>
      <c r="H1490" s="70"/>
      <c r="BA1490" s="132" t="s">
        <v>15</v>
      </c>
      <c r="BB1490" s="4">
        <v>0</v>
      </c>
      <c r="BC1490">
        <v>0</v>
      </c>
    </row>
    <row r="1491" spans="1:55" x14ac:dyDescent="0.3">
      <c r="A1491" s="63">
        <v>13</v>
      </c>
      <c r="B1491" s="65">
        <v>45747</v>
      </c>
      <c r="C1491" s="63">
        <v>3</v>
      </c>
      <c r="D1491" s="38" t="s">
        <v>180</v>
      </c>
      <c r="E1491" s="23" t="s">
        <v>151</v>
      </c>
      <c r="F1491" s="39">
        <v>6.6100000000000006E-2</v>
      </c>
      <c r="G1491" s="64" t="s">
        <v>352</v>
      </c>
      <c r="H1491" s="70"/>
      <c r="BA1491" s="132" t="s">
        <v>15</v>
      </c>
      <c r="BB1491" s="4">
        <v>0</v>
      </c>
      <c r="BC1491">
        <v>0</v>
      </c>
    </row>
    <row r="1492" spans="1:55" x14ac:dyDescent="0.3">
      <c r="A1492" s="63">
        <v>14</v>
      </c>
      <c r="B1492" s="65">
        <v>45754</v>
      </c>
      <c r="C1492" s="63">
        <v>3</v>
      </c>
      <c r="D1492" s="38" t="s">
        <v>180</v>
      </c>
      <c r="E1492" s="23" t="s">
        <v>151</v>
      </c>
      <c r="F1492" s="39">
        <v>7.0499999999999993E-2</v>
      </c>
      <c r="G1492" s="64" t="s">
        <v>352</v>
      </c>
      <c r="H1492" s="70"/>
      <c r="BA1492" s="132" t="s">
        <v>15</v>
      </c>
      <c r="BB1492" s="4">
        <v>0</v>
      </c>
      <c r="BC1492">
        <v>0</v>
      </c>
    </row>
    <row r="1493" spans="1:55" x14ac:dyDescent="0.3">
      <c r="A1493" s="63">
        <v>15</v>
      </c>
      <c r="B1493" s="65">
        <v>45761</v>
      </c>
      <c r="C1493" s="63">
        <v>3</v>
      </c>
      <c r="D1493" s="38" t="s">
        <v>180</v>
      </c>
      <c r="E1493" s="23" t="s">
        <v>151</v>
      </c>
      <c r="F1493" s="39">
        <v>6.5600000000000006E-2</v>
      </c>
      <c r="G1493" s="64" t="s">
        <v>352</v>
      </c>
      <c r="H1493" s="70"/>
      <c r="BA1493" s="132" t="s">
        <v>15</v>
      </c>
      <c r="BB1493" s="4">
        <v>0</v>
      </c>
      <c r="BC1493">
        <v>0</v>
      </c>
    </row>
    <row r="1494" spans="1:55" x14ac:dyDescent="0.3">
      <c r="A1494" s="63">
        <v>16</v>
      </c>
      <c r="B1494" s="65">
        <v>45768</v>
      </c>
      <c r="C1494" s="63">
        <v>3</v>
      </c>
      <c r="D1494" s="38" t="s">
        <v>180</v>
      </c>
      <c r="E1494" s="23" t="s">
        <v>151</v>
      </c>
      <c r="F1494" s="39">
        <v>6.3200000000000006E-2</v>
      </c>
      <c r="G1494" s="64" t="s">
        <v>352</v>
      </c>
      <c r="H1494" s="70"/>
      <c r="BA1494" s="132" t="s">
        <v>15</v>
      </c>
      <c r="BB1494" s="4">
        <v>0</v>
      </c>
      <c r="BC1494">
        <v>0</v>
      </c>
    </row>
    <row r="1495" spans="1:55" x14ac:dyDescent="0.3">
      <c r="A1495" s="63">
        <v>17</v>
      </c>
      <c r="B1495" s="65">
        <v>45775</v>
      </c>
      <c r="C1495" s="63">
        <v>3</v>
      </c>
      <c r="D1495" s="38" t="s">
        <v>180</v>
      </c>
      <c r="E1495" s="23" t="s">
        <v>151</v>
      </c>
      <c r="F1495" s="39">
        <v>6.2899999999999998E-2</v>
      </c>
      <c r="G1495" s="64" t="s">
        <v>352</v>
      </c>
      <c r="H1495" s="70"/>
      <c r="BA1495" s="132" t="s">
        <v>15</v>
      </c>
      <c r="BB1495" s="4">
        <v>0</v>
      </c>
      <c r="BC1495">
        <v>0</v>
      </c>
    </row>
    <row r="1496" spans="1:55" x14ac:dyDescent="0.3">
      <c r="A1496" s="63">
        <v>18</v>
      </c>
      <c r="B1496" s="65">
        <v>45782</v>
      </c>
      <c r="C1496" s="63">
        <v>3</v>
      </c>
      <c r="D1496" s="38" t="s">
        <v>180</v>
      </c>
      <c r="E1496" s="23" t="s">
        <v>151</v>
      </c>
      <c r="F1496" s="39">
        <v>6.0999999999999999E-2</v>
      </c>
      <c r="G1496" s="64" t="s">
        <v>352</v>
      </c>
      <c r="H1496" s="70"/>
      <c r="BA1496" s="132" t="s">
        <v>15</v>
      </c>
      <c r="BB1496" s="4">
        <v>0</v>
      </c>
      <c r="BC1496">
        <v>0</v>
      </c>
    </row>
    <row r="1497" spans="1:55" x14ac:dyDescent="0.3">
      <c r="A1497" s="63">
        <v>19</v>
      </c>
      <c r="B1497" s="65">
        <v>45789</v>
      </c>
      <c r="C1497" s="63">
        <v>3</v>
      </c>
      <c r="D1497" s="38" t="s">
        <v>180</v>
      </c>
      <c r="E1497" s="23" t="s">
        <v>151</v>
      </c>
      <c r="F1497" s="39">
        <v>6.0900000000000003E-2</v>
      </c>
      <c r="G1497" s="64" t="s">
        <v>352</v>
      </c>
      <c r="H1497" s="70"/>
      <c r="BA1497" s="132" t="s">
        <v>15</v>
      </c>
      <c r="BB1497" s="4">
        <v>0</v>
      </c>
      <c r="BC1497">
        <v>0</v>
      </c>
    </row>
    <row r="1498" spans="1:55" x14ac:dyDescent="0.3">
      <c r="A1498" s="63">
        <v>20</v>
      </c>
      <c r="B1498" s="65">
        <v>45796</v>
      </c>
      <c r="C1498" s="63">
        <v>3</v>
      </c>
      <c r="D1498" s="38" t="s">
        <v>180</v>
      </c>
      <c r="E1498" s="23" t="s">
        <v>151</v>
      </c>
      <c r="F1498" s="39">
        <v>6.0600000000000001E-2</v>
      </c>
      <c r="G1498" s="64" t="s">
        <v>352</v>
      </c>
      <c r="H1498" s="70"/>
      <c r="BA1498" s="132" t="s">
        <v>15</v>
      </c>
      <c r="BB1498" s="4">
        <v>0</v>
      </c>
      <c r="BC1498">
        <v>0</v>
      </c>
    </row>
    <row r="1499" spans="1:55" x14ac:dyDescent="0.3">
      <c r="A1499" s="63">
        <v>21</v>
      </c>
      <c r="B1499" s="65">
        <v>45803</v>
      </c>
      <c r="C1499" s="63">
        <v>3</v>
      </c>
      <c r="D1499" s="38" t="s">
        <v>180</v>
      </c>
      <c r="E1499" s="23" t="s">
        <v>151</v>
      </c>
      <c r="F1499" s="39">
        <v>6.2300000000000001E-2</v>
      </c>
      <c r="G1499" s="64" t="s">
        <v>352</v>
      </c>
      <c r="H1499" s="70"/>
      <c r="BA1499" s="132" t="s">
        <v>15</v>
      </c>
      <c r="BB1499" s="4">
        <v>0</v>
      </c>
      <c r="BC1499">
        <v>0</v>
      </c>
    </row>
    <row r="1500" spans="1:55" x14ac:dyDescent="0.3">
      <c r="A1500" s="63">
        <v>22</v>
      </c>
      <c r="B1500" s="65">
        <v>45810</v>
      </c>
      <c r="C1500" s="63">
        <v>3</v>
      </c>
      <c r="D1500" s="38" t="s">
        <v>180</v>
      </c>
      <c r="E1500" s="23" t="s">
        <v>151</v>
      </c>
      <c r="F1500" s="39">
        <v>6.2199999999999998E-2</v>
      </c>
      <c r="G1500" s="64" t="s">
        <v>352</v>
      </c>
      <c r="H1500" s="70"/>
      <c r="BA1500" s="132" t="s">
        <v>15</v>
      </c>
      <c r="BB1500" s="4">
        <v>0</v>
      </c>
      <c r="BC1500">
        <v>0</v>
      </c>
    </row>
    <row r="1501" spans="1:55" x14ac:dyDescent="0.3">
      <c r="A1501" s="63">
        <v>23</v>
      </c>
      <c r="B1501" s="65">
        <v>45817</v>
      </c>
      <c r="C1501" s="63">
        <v>3</v>
      </c>
      <c r="D1501" s="38" t="s">
        <v>180</v>
      </c>
      <c r="E1501" s="23" t="s">
        <v>151</v>
      </c>
      <c r="F1501" s="39">
        <v>6.5299999999999997E-2</v>
      </c>
      <c r="G1501" s="64" t="s">
        <v>352</v>
      </c>
      <c r="H1501" s="70"/>
      <c r="BA1501" s="132" t="s">
        <v>15</v>
      </c>
      <c r="BB1501" s="4">
        <v>0</v>
      </c>
      <c r="BC1501">
        <v>0</v>
      </c>
    </row>
    <row r="1502" spans="1:55" x14ac:dyDescent="0.3">
      <c r="A1502" s="63">
        <v>24</v>
      </c>
      <c r="B1502" s="65">
        <v>45824</v>
      </c>
      <c r="C1502" s="63">
        <v>3</v>
      </c>
      <c r="D1502" s="38" t="s">
        <v>180</v>
      </c>
      <c r="E1502" s="23" t="s">
        <v>151</v>
      </c>
      <c r="F1502" s="39">
        <v>6.2300000000000001E-2</v>
      </c>
      <c r="G1502" s="64" t="s">
        <v>352</v>
      </c>
      <c r="H1502" s="70"/>
      <c r="BA1502" s="132" t="s">
        <v>15</v>
      </c>
      <c r="BB1502" s="4">
        <v>0</v>
      </c>
      <c r="BC1502">
        <v>0</v>
      </c>
    </row>
    <row r="1503" spans="1:55" x14ac:dyDescent="0.3">
      <c r="A1503" s="63">
        <v>25</v>
      </c>
      <c r="B1503" s="65">
        <v>45831</v>
      </c>
      <c r="C1503" s="63">
        <v>3</v>
      </c>
      <c r="D1503" s="38" t="s">
        <v>180</v>
      </c>
      <c r="E1503" s="23" t="s">
        <v>151</v>
      </c>
      <c r="F1503" s="39">
        <v>6.2799999999999995E-2</v>
      </c>
      <c r="G1503" s="64" t="s">
        <v>352</v>
      </c>
      <c r="H1503" s="70"/>
      <c r="BA1503" s="132" t="s">
        <v>15</v>
      </c>
      <c r="BB1503" s="4">
        <v>0</v>
      </c>
      <c r="BC1503">
        <v>0</v>
      </c>
    </row>
    <row r="1504" spans="1:55" x14ac:dyDescent="0.3">
      <c r="A1504" s="63">
        <v>1</v>
      </c>
      <c r="B1504" s="65">
        <v>45663</v>
      </c>
      <c r="C1504" s="63">
        <v>1</v>
      </c>
      <c r="D1504" s="38" t="s">
        <v>178</v>
      </c>
      <c r="E1504" s="23" t="s">
        <v>152</v>
      </c>
      <c r="F1504" s="39">
        <v>28.831099999999999</v>
      </c>
      <c r="G1504" s="64" t="s">
        <v>352</v>
      </c>
      <c r="H1504" s="70"/>
      <c r="BA1504" s="132" t="s">
        <v>15</v>
      </c>
      <c r="BB1504" s="4">
        <v>1</v>
      </c>
      <c r="BC1504">
        <v>0</v>
      </c>
    </row>
    <row r="1505" spans="1:55" x14ac:dyDescent="0.3">
      <c r="A1505" s="63">
        <v>2</v>
      </c>
      <c r="B1505" s="65">
        <v>45670</v>
      </c>
      <c r="C1505" s="63">
        <v>1</v>
      </c>
      <c r="D1505" s="38" t="s">
        <v>178</v>
      </c>
      <c r="E1505" s="23" t="s">
        <v>152</v>
      </c>
      <c r="F1505" s="39">
        <v>46.7742</v>
      </c>
      <c r="G1505" s="64" t="s">
        <v>352</v>
      </c>
      <c r="H1505" s="70"/>
      <c r="BA1505" s="132" t="s">
        <v>15</v>
      </c>
      <c r="BB1505" s="4">
        <v>1</v>
      </c>
      <c r="BC1505">
        <v>0</v>
      </c>
    </row>
    <row r="1506" spans="1:55" x14ac:dyDescent="0.3">
      <c r="A1506" s="63">
        <v>3</v>
      </c>
      <c r="B1506" s="65">
        <v>45677</v>
      </c>
      <c r="C1506" s="63">
        <v>1</v>
      </c>
      <c r="D1506" s="38" t="s">
        <v>178</v>
      </c>
      <c r="E1506" s="23" t="s">
        <v>152</v>
      </c>
      <c r="F1506" s="39">
        <v>39.644199999999998</v>
      </c>
      <c r="G1506" s="64" t="s">
        <v>352</v>
      </c>
      <c r="H1506" s="70"/>
      <c r="BA1506" s="132" t="s">
        <v>15</v>
      </c>
      <c r="BB1506" s="4">
        <v>1</v>
      </c>
      <c r="BC1506">
        <v>0</v>
      </c>
    </row>
    <row r="1507" spans="1:55" x14ac:dyDescent="0.3">
      <c r="A1507" s="63">
        <v>4</v>
      </c>
      <c r="B1507" s="65">
        <v>45684</v>
      </c>
      <c r="C1507" s="63">
        <v>1</v>
      </c>
      <c r="D1507" s="38" t="s">
        <v>178</v>
      </c>
      <c r="E1507" s="23" t="s">
        <v>152</v>
      </c>
      <c r="F1507" s="39">
        <v>47.6785</v>
      </c>
      <c r="G1507" s="64" t="s">
        <v>352</v>
      </c>
      <c r="H1507" s="70"/>
      <c r="BA1507" s="132" t="s">
        <v>15</v>
      </c>
      <c r="BB1507" s="4">
        <v>1</v>
      </c>
      <c r="BC1507">
        <v>0</v>
      </c>
    </row>
    <row r="1508" spans="1:55" x14ac:dyDescent="0.3">
      <c r="A1508" s="63">
        <v>5</v>
      </c>
      <c r="B1508" s="65">
        <v>45691</v>
      </c>
      <c r="C1508" s="63">
        <v>1</v>
      </c>
      <c r="D1508" s="38" t="s">
        <v>178</v>
      </c>
      <c r="E1508" s="23" t="s">
        <v>152</v>
      </c>
      <c r="F1508" s="39">
        <v>41.461199999999998</v>
      </c>
      <c r="G1508" s="64" t="s">
        <v>352</v>
      </c>
      <c r="H1508" s="70"/>
      <c r="BA1508" s="132" t="s">
        <v>15</v>
      </c>
      <c r="BB1508" s="4">
        <v>1</v>
      </c>
      <c r="BC1508">
        <v>0</v>
      </c>
    </row>
    <row r="1509" spans="1:55" x14ac:dyDescent="0.3">
      <c r="A1509" s="63">
        <v>6</v>
      </c>
      <c r="B1509" s="65">
        <v>45698</v>
      </c>
      <c r="C1509" s="63">
        <v>1</v>
      </c>
      <c r="D1509" s="38" t="s">
        <v>178</v>
      </c>
      <c r="E1509" s="23" t="s">
        <v>152</v>
      </c>
      <c r="F1509" s="39">
        <v>45.803100000000001</v>
      </c>
      <c r="G1509" s="64" t="s">
        <v>352</v>
      </c>
      <c r="H1509" s="70"/>
      <c r="BA1509" s="132" t="s">
        <v>15</v>
      </c>
      <c r="BB1509" s="4">
        <v>1</v>
      </c>
      <c r="BC1509">
        <v>0</v>
      </c>
    </row>
    <row r="1510" spans="1:55" x14ac:dyDescent="0.3">
      <c r="A1510" s="63">
        <v>7</v>
      </c>
      <c r="B1510" s="65">
        <v>45705</v>
      </c>
      <c r="C1510" s="63">
        <v>1</v>
      </c>
      <c r="D1510" s="38" t="s">
        <v>178</v>
      </c>
      <c r="E1510" s="23" t="s">
        <v>152</v>
      </c>
      <c r="F1510" s="39">
        <v>34.909300000000002</v>
      </c>
      <c r="G1510" s="64" t="s">
        <v>352</v>
      </c>
      <c r="H1510" s="70"/>
      <c r="BA1510" s="132" t="s">
        <v>15</v>
      </c>
      <c r="BB1510" s="4">
        <v>1</v>
      </c>
      <c r="BC1510">
        <v>0</v>
      </c>
    </row>
    <row r="1511" spans="1:55" x14ac:dyDescent="0.3">
      <c r="A1511" s="63">
        <v>8</v>
      </c>
      <c r="B1511" s="65">
        <v>45712</v>
      </c>
      <c r="C1511" s="63">
        <v>1</v>
      </c>
      <c r="D1511" s="38" t="s">
        <v>178</v>
      </c>
      <c r="E1511" s="23" t="s">
        <v>152</v>
      </c>
      <c r="F1511" s="39">
        <v>40.961500000000001</v>
      </c>
      <c r="G1511" s="64" t="s">
        <v>352</v>
      </c>
      <c r="H1511" s="70"/>
      <c r="BA1511" s="132" t="s">
        <v>15</v>
      </c>
      <c r="BB1511" s="4">
        <v>1</v>
      </c>
      <c r="BC1511">
        <v>0</v>
      </c>
    </row>
    <row r="1512" spans="1:55" x14ac:dyDescent="0.3">
      <c r="A1512" s="63">
        <v>9</v>
      </c>
      <c r="B1512" s="65">
        <v>45719</v>
      </c>
      <c r="C1512" s="63">
        <v>1</v>
      </c>
      <c r="D1512" s="38" t="s">
        <v>178</v>
      </c>
      <c r="E1512" s="23" t="s">
        <v>152</v>
      </c>
      <c r="F1512" s="39">
        <v>53.4236</v>
      </c>
      <c r="G1512" s="64" t="s">
        <v>352</v>
      </c>
      <c r="H1512" s="70"/>
      <c r="BA1512" s="132" t="s">
        <v>15</v>
      </c>
      <c r="BB1512" s="4">
        <v>1</v>
      </c>
      <c r="BC1512">
        <v>0</v>
      </c>
    </row>
    <row r="1513" spans="1:55" x14ac:dyDescent="0.3">
      <c r="A1513" s="63">
        <v>10</v>
      </c>
      <c r="B1513" s="65">
        <v>45726</v>
      </c>
      <c r="C1513" s="63">
        <v>1</v>
      </c>
      <c r="D1513" s="38" t="s">
        <v>178</v>
      </c>
      <c r="E1513" s="23" t="s">
        <v>152</v>
      </c>
      <c r="F1513" s="39">
        <v>28.798100000000002</v>
      </c>
      <c r="G1513" s="64" t="s">
        <v>352</v>
      </c>
      <c r="H1513" s="70"/>
      <c r="BA1513" s="132" t="s">
        <v>15</v>
      </c>
      <c r="BB1513" s="4">
        <v>1</v>
      </c>
      <c r="BC1513">
        <v>0</v>
      </c>
    </row>
    <row r="1514" spans="1:55" x14ac:dyDescent="0.3">
      <c r="A1514" s="63">
        <v>11</v>
      </c>
      <c r="B1514" s="65">
        <v>45733</v>
      </c>
      <c r="C1514" s="63">
        <v>1</v>
      </c>
      <c r="D1514" s="38" t="s">
        <v>178</v>
      </c>
      <c r="E1514" s="23" t="s">
        <v>152</v>
      </c>
      <c r="F1514" s="39">
        <v>43.838999999999999</v>
      </c>
      <c r="G1514" s="64" t="s">
        <v>352</v>
      </c>
      <c r="H1514" s="70"/>
      <c r="BA1514" s="132" t="s">
        <v>15</v>
      </c>
      <c r="BB1514" s="4">
        <v>1</v>
      </c>
      <c r="BC1514">
        <v>0</v>
      </c>
    </row>
    <row r="1515" spans="1:55" x14ac:dyDescent="0.3">
      <c r="A1515" s="63">
        <v>12</v>
      </c>
      <c r="B1515" s="65">
        <v>45740</v>
      </c>
      <c r="C1515" s="63">
        <v>1</v>
      </c>
      <c r="D1515" s="38" t="s">
        <v>178</v>
      </c>
      <c r="E1515" s="23" t="s">
        <v>152</v>
      </c>
      <c r="F1515" s="39">
        <v>47.108600000000003</v>
      </c>
      <c r="G1515" s="64" t="s">
        <v>352</v>
      </c>
      <c r="H1515" s="70"/>
      <c r="BA1515" s="132" t="s">
        <v>15</v>
      </c>
      <c r="BB1515" s="4">
        <v>1</v>
      </c>
      <c r="BC1515">
        <v>0</v>
      </c>
    </row>
    <row r="1516" spans="1:55" x14ac:dyDescent="0.3">
      <c r="A1516" s="63">
        <v>13</v>
      </c>
      <c r="B1516" s="65">
        <v>45747</v>
      </c>
      <c r="C1516" s="63">
        <v>1</v>
      </c>
      <c r="D1516" s="38" t="s">
        <v>178</v>
      </c>
      <c r="E1516" s="23" t="s">
        <v>152</v>
      </c>
      <c r="F1516" s="39">
        <v>39.106099999999998</v>
      </c>
      <c r="G1516" s="64" t="s">
        <v>352</v>
      </c>
      <c r="H1516" s="70"/>
      <c r="BA1516" s="132" t="s">
        <v>15</v>
      </c>
      <c r="BB1516" s="4">
        <v>1</v>
      </c>
      <c r="BC1516">
        <v>0</v>
      </c>
    </row>
    <row r="1517" spans="1:55" x14ac:dyDescent="0.3">
      <c r="A1517" s="63">
        <v>14</v>
      </c>
      <c r="B1517" s="65">
        <v>45754</v>
      </c>
      <c r="C1517" s="63">
        <v>1</v>
      </c>
      <c r="D1517" s="38" t="s">
        <v>178</v>
      </c>
      <c r="E1517" s="23" t="s">
        <v>152</v>
      </c>
      <c r="F1517" s="39">
        <v>41.262700000000002</v>
      </c>
      <c r="G1517" s="64" t="s">
        <v>352</v>
      </c>
      <c r="H1517" s="70"/>
      <c r="BA1517" s="132" t="s">
        <v>15</v>
      </c>
      <c r="BB1517" s="4">
        <v>1</v>
      </c>
      <c r="BC1517">
        <v>0</v>
      </c>
    </row>
    <row r="1518" spans="1:55" x14ac:dyDescent="0.3">
      <c r="A1518" s="63">
        <v>15</v>
      </c>
      <c r="B1518" s="65">
        <v>45761</v>
      </c>
      <c r="C1518" s="63">
        <v>1</v>
      </c>
      <c r="D1518" s="38" t="s">
        <v>178</v>
      </c>
      <c r="E1518" s="23" t="s">
        <v>152</v>
      </c>
      <c r="F1518" s="39">
        <v>44.486899999999999</v>
      </c>
      <c r="G1518" s="64" t="s">
        <v>352</v>
      </c>
      <c r="H1518" s="70"/>
      <c r="BA1518" s="132" t="s">
        <v>15</v>
      </c>
      <c r="BB1518" s="4">
        <v>1</v>
      </c>
      <c r="BC1518">
        <v>0</v>
      </c>
    </row>
    <row r="1519" spans="1:55" x14ac:dyDescent="0.3">
      <c r="A1519" s="63">
        <v>16</v>
      </c>
      <c r="B1519" s="65">
        <v>45768</v>
      </c>
      <c r="C1519" s="63">
        <v>1</v>
      </c>
      <c r="D1519" s="38" t="s">
        <v>178</v>
      </c>
      <c r="E1519" s="23" t="s">
        <v>152</v>
      </c>
      <c r="F1519" s="39">
        <v>32.265500000000003</v>
      </c>
      <c r="G1519" s="64" t="s">
        <v>352</v>
      </c>
      <c r="H1519" s="70"/>
      <c r="BA1519" s="132" t="s">
        <v>15</v>
      </c>
      <c r="BB1519" s="4">
        <v>1</v>
      </c>
      <c r="BC1519">
        <v>0</v>
      </c>
    </row>
    <row r="1520" spans="1:55" x14ac:dyDescent="0.3">
      <c r="A1520" s="63">
        <v>17</v>
      </c>
      <c r="B1520" s="65">
        <v>45775</v>
      </c>
      <c r="C1520" s="63">
        <v>1</v>
      </c>
      <c r="D1520" s="38" t="s">
        <v>178</v>
      </c>
      <c r="E1520" s="23" t="s">
        <v>152</v>
      </c>
      <c r="F1520" s="39">
        <v>39.082799999999999</v>
      </c>
      <c r="G1520" s="64" t="s">
        <v>352</v>
      </c>
      <c r="H1520" s="70"/>
      <c r="BA1520" s="132" t="s">
        <v>15</v>
      </c>
      <c r="BB1520" s="4">
        <v>1</v>
      </c>
      <c r="BC1520">
        <v>0</v>
      </c>
    </row>
    <row r="1521" spans="1:55" x14ac:dyDescent="0.3">
      <c r="A1521" s="63">
        <v>18</v>
      </c>
      <c r="B1521" s="65">
        <v>45782</v>
      </c>
      <c r="C1521" s="63">
        <v>1</v>
      </c>
      <c r="D1521" s="38" t="s">
        <v>178</v>
      </c>
      <c r="E1521" s="23" t="s">
        <v>152</v>
      </c>
      <c r="F1521" s="39">
        <v>30.901</v>
      </c>
      <c r="G1521" s="64" t="s">
        <v>352</v>
      </c>
      <c r="H1521" s="70"/>
      <c r="BA1521" s="132" t="s">
        <v>15</v>
      </c>
      <c r="BB1521" s="4">
        <v>1</v>
      </c>
      <c r="BC1521">
        <v>0</v>
      </c>
    </row>
    <row r="1522" spans="1:55" x14ac:dyDescent="0.3">
      <c r="A1522" s="63">
        <v>19</v>
      </c>
      <c r="B1522" s="65">
        <v>45789</v>
      </c>
      <c r="C1522" s="63">
        <v>1</v>
      </c>
      <c r="D1522" s="38" t="s">
        <v>178</v>
      </c>
      <c r="E1522" s="23" t="s">
        <v>152</v>
      </c>
      <c r="F1522" s="39">
        <v>32.1342</v>
      </c>
      <c r="G1522" s="64" t="s">
        <v>352</v>
      </c>
      <c r="H1522" s="70"/>
      <c r="BA1522" s="132" t="s">
        <v>15</v>
      </c>
      <c r="BB1522" s="4">
        <v>1</v>
      </c>
      <c r="BC1522">
        <v>0</v>
      </c>
    </row>
    <row r="1523" spans="1:55" x14ac:dyDescent="0.3">
      <c r="A1523" s="63">
        <v>20</v>
      </c>
      <c r="B1523" s="65">
        <v>45796</v>
      </c>
      <c r="C1523" s="63">
        <v>1</v>
      </c>
      <c r="D1523" s="38" t="s">
        <v>178</v>
      </c>
      <c r="E1523" s="23" t="s">
        <v>152</v>
      </c>
      <c r="F1523" s="39">
        <v>32.508299999999998</v>
      </c>
      <c r="G1523" s="64" t="s">
        <v>352</v>
      </c>
      <c r="H1523" s="70"/>
      <c r="BA1523" s="132" t="s">
        <v>15</v>
      </c>
      <c r="BB1523" s="4">
        <v>1</v>
      </c>
      <c r="BC1523">
        <v>0</v>
      </c>
    </row>
    <row r="1524" spans="1:55" x14ac:dyDescent="0.3">
      <c r="A1524" s="63">
        <v>21</v>
      </c>
      <c r="B1524" s="65">
        <v>45803</v>
      </c>
      <c r="C1524" s="63">
        <v>1</v>
      </c>
      <c r="D1524" s="38" t="s">
        <v>178</v>
      </c>
      <c r="E1524" s="23" t="s">
        <v>152</v>
      </c>
      <c r="F1524" s="39">
        <v>35.549900000000001</v>
      </c>
      <c r="G1524" s="64" t="s">
        <v>352</v>
      </c>
      <c r="H1524" s="70"/>
      <c r="BA1524" s="132" t="s">
        <v>15</v>
      </c>
      <c r="BB1524" s="4">
        <v>1</v>
      </c>
      <c r="BC1524">
        <v>0</v>
      </c>
    </row>
    <row r="1525" spans="1:55" x14ac:dyDescent="0.3">
      <c r="A1525" s="63">
        <v>22</v>
      </c>
      <c r="B1525" s="65">
        <v>45810</v>
      </c>
      <c r="C1525" s="63">
        <v>1</v>
      </c>
      <c r="D1525" s="38" t="s">
        <v>178</v>
      </c>
      <c r="E1525" s="23" t="s">
        <v>152</v>
      </c>
      <c r="F1525" s="39">
        <v>37.4054</v>
      </c>
      <c r="G1525" s="64" t="s">
        <v>352</v>
      </c>
      <c r="H1525" s="70"/>
      <c r="BA1525" s="132" t="s">
        <v>15</v>
      </c>
      <c r="BB1525" s="4">
        <v>1</v>
      </c>
      <c r="BC1525">
        <v>0</v>
      </c>
    </row>
    <row r="1526" spans="1:55" x14ac:dyDescent="0.3">
      <c r="A1526" s="63">
        <v>23</v>
      </c>
      <c r="B1526" s="65">
        <v>45817</v>
      </c>
      <c r="C1526" s="63">
        <v>1</v>
      </c>
      <c r="D1526" s="38" t="s">
        <v>178</v>
      </c>
      <c r="E1526" s="23" t="s">
        <v>152</v>
      </c>
      <c r="F1526" s="39">
        <v>39.3688</v>
      </c>
      <c r="G1526" s="64" t="s">
        <v>352</v>
      </c>
      <c r="H1526" s="70"/>
      <c r="BA1526" s="132" t="s">
        <v>15</v>
      </c>
      <c r="BB1526" s="4">
        <v>1</v>
      </c>
      <c r="BC1526">
        <v>0</v>
      </c>
    </row>
    <row r="1527" spans="1:55" x14ac:dyDescent="0.3">
      <c r="A1527" s="63">
        <v>24</v>
      </c>
      <c r="B1527" s="65">
        <v>45824</v>
      </c>
      <c r="C1527" s="63">
        <v>1</v>
      </c>
      <c r="D1527" s="38" t="s">
        <v>178</v>
      </c>
      <c r="E1527" s="23" t="s">
        <v>152</v>
      </c>
      <c r="F1527" s="39">
        <v>27.373000000000001</v>
      </c>
      <c r="G1527" s="64" t="s">
        <v>352</v>
      </c>
      <c r="H1527" s="70"/>
      <c r="BA1527" s="132" t="s">
        <v>15</v>
      </c>
      <c r="BB1527" s="4">
        <v>1</v>
      </c>
      <c r="BC1527">
        <v>0</v>
      </c>
    </row>
    <row r="1528" spans="1:55" x14ac:dyDescent="0.3">
      <c r="A1528" s="63">
        <v>25</v>
      </c>
      <c r="B1528" s="65">
        <v>45831</v>
      </c>
      <c r="C1528" s="63">
        <v>1</v>
      </c>
      <c r="D1528" s="38" t="s">
        <v>178</v>
      </c>
      <c r="E1528" s="23" t="s">
        <v>152</v>
      </c>
      <c r="F1528" s="39">
        <v>49.169600000000003</v>
      </c>
      <c r="G1528" s="64" t="s">
        <v>352</v>
      </c>
      <c r="H1528" s="70"/>
      <c r="BA1528" s="132" t="s">
        <v>15</v>
      </c>
      <c r="BB1528" s="4">
        <v>1</v>
      </c>
      <c r="BC1528">
        <v>0</v>
      </c>
    </row>
    <row r="1529" spans="1:55" x14ac:dyDescent="0.3">
      <c r="A1529" s="63">
        <v>1</v>
      </c>
      <c r="B1529" s="65">
        <v>45663</v>
      </c>
      <c r="C1529" s="63">
        <v>2</v>
      </c>
      <c r="D1529" s="38" t="s">
        <v>179</v>
      </c>
      <c r="E1529" s="23" t="s">
        <v>152</v>
      </c>
      <c r="F1529" s="39">
        <v>47.660699999999999</v>
      </c>
      <c r="G1529" s="64" t="s">
        <v>352</v>
      </c>
      <c r="H1529" s="70"/>
      <c r="BA1529" s="132" t="s">
        <v>15</v>
      </c>
      <c r="BB1529" s="4">
        <v>0</v>
      </c>
      <c r="BC1529">
        <v>0</v>
      </c>
    </row>
    <row r="1530" spans="1:55" x14ac:dyDescent="0.3">
      <c r="A1530" s="63">
        <v>2</v>
      </c>
      <c r="B1530" s="65">
        <v>45670</v>
      </c>
      <c r="C1530" s="63">
        <v>2</v>
      </c>
      <c r="D1530" s="38" t="s">
        <v>179</v>
      </c>
      <c r="E1530" s="23" t="s">
        <v>152</v>
      </c>
      <c r="F1530" s="39">
        <v>44.554000000000002</v>
      </c>
      <c r="G1530" s="64" t="s">
        <v>352</v>
      </c>
      <c r="H1530" s="70"/>
      <c r="BA1530" s="132" t="s">
        <v>15</v>
      </c>
      <c r="BB1530" s="4">
        <v>0</v>
      </c>
      <c r="BC1530">
        <v>0</v>
      </c>
    </row>
    <row r="1531" spans="1:55" x14ac:dyDescent="0.3">
      <c r="A1531" s="63">
        <v>3</v>
      </c>
      <c r="B1531" s="65">
        <v>45677</v>
      </c>
      <c r="C1531" s="63">
        <v>2</v>
      </c>
      <c r="D1531" s="38" t="s">
        <v>179</v>
      </c>
      <c r="E1531" s="23" t="s">
        <v>152</v>
      </c>
      <c r="F1531" s="39">
        <v>36.715299999999999</v>
      </c>
      <c r="G1531" s="64" t="s">
        <v>352</v>
      </c>
      <c r="H1531" s="70"/>
      <c r="BA1531" s="132" t="s">
        <v>15</v>
      </c>
      <c r="BB1531" s="4">
        <v>0</v>
      </c>
      <c r="BC1531">
        <v>0</v>
      </c>
    </row>
    <row r="1532" spans="1:55" x14ac:dyDescent="0.3">
      <c r="A1532" s="63">
        <v>4</v>
      </c>
      <c r="B1532" s="65">
        <v>45684</v>
      </c>
      <c r="C1532" s="63">
        <v>2</v>
      </c>
      <c r="D1532" s="38" t="s">
        <v>179</v>
      </c>
      <c r="E1532" s="23" t="s">
        <v>152</v>
      </c>
      <c r="F1532" s="39">
        <v>38.658700000000003</v>
      </c>
      <c r="G1532" s="64" t="s">
        <v>352</v>
      </c>
      <c r="H1532" s="70"/>
      <c r="BA1532" s="132" t="s">
        <v>15</v>
      </c>
      <c r="BB1532" s="4">
        <v>0</v>
      </c>
      <c r="BC1532">
        <v>0</v>
      </c>
    </row>
    <row r="1533" spans="1:55" x14ac:dyDescent="0.3">
      <c r="A1533" s="63">
        <v>5</v>
      </c>
      <c r="B1533" s="65">
        <v>45691</v>
      </c>
      <c r="C1533" s="63">
        <v>2</v>
      </c>
      <c r="D1533" s="38" t="s">
        <v>179</v>
      </c>
      <c r="E1533" s="23" t="s">
        <v>152</v>
      </c>
      <c r="F1533" s="39">
        <v>43.265999999999998</v>
      </c>
      <c r="G1533" s="64" t="s">
        <v>352</v>
      </c>
      <c r="H1533" s="70"/>
      <c r="BA1533" s="132" t="s">
        <v>15</v>
      </c>
      <c r="BB1533" s="4">
        <v>0</v>
      </c>
      <c r="BC1533">
        <v>0</v>
      </c>
    </row>
    <row r="1534" spans="1:55" x14ac:dyDescent="0.3">
      <c r="A1534" s="63">
        <v>6</v>
      </c>
      <c r="B1534" s="65">
        <v>45698</v>
      </c>
      <c r="C1534" s="63">
        <v>2</v>
      </c>
      <c r="D1534" s="38" t="s">
        <v>179</v>
      </c>
      <c r="E1534" s="23" t="s">
        <v>152</v>
      </c>
      <c r="F1534" s="39">
        <v>42.279400000000003</v>
      </c>
      <c r="G1534" s="64" t="s">
        <v>352</v>
      </c>
      <c r="H1534" s="70"/>
      <c r="BA1534" s="132" t="s">
        <v>15</v>
      </c>
      <c r="BB1534" s="4">
        <v>0</v>
      </c>
      <c r="BC1534">
        <v>0</v>
      </c>
    </row>
    <row r="1535" spans="1:55" x14ac:dyDescent="0.3">
      <c r="A1535" s="63">
        <v>7</v>
      </c>
      <c r="B1535" s="65">
        <v>45705</v>
      </c>
      <c r="C1535" s="63">
        <v>2</v>
      </c>
      <c r="D1535" s="38" t="s">
        <v>179</v>
      </c>
      <c r="E1535" s="23" t="s">
        <v>152</v>
      </c>
      <c r="F1535" s="39">
        <v>27.150400000000001</v>
      </c>
      <c r="G1535" s="64" t="s">
        <v>352</v>
      </c>
      <c r="H1535" s="70"/>
      <c r="BA1535" s="132" t="s">
        <v>15</v>
      </c>
      <c r="BB1535" s="4">
        <v>0</v>
      </c>
      <c r="BC1535">
        <v>0</v>
      </c>
    </row>
    <row r="1536" spans="1:55" x14ac:dyDescent="0.3">
      <c r="A1536" s="63">
        <v>8</v>
      </c>
      <c r="B1536" s="65">
        <v>45712</v>
      </c>
      <c r="C1536" s="63">
        <v>2</v>
      </c>
      <c r="D1536" s="38" t="s">
        <v>179</v>
      </c>
      <c r="E1536" s="23" t="s">
        <v>152</v>
      </c>
      <c r="F1536" s="39">
        <v>44.664999999999999</v>
      </c>
      <c r="G1536" s="64" t="s">
        <v>352</v>
      </c>
      <c r="H1536" s="70"/>
      <c r="BA1536" s="132" t="s">
        <v>15</v>
      </c>
      <c r="BB1536" s="4">
        <v>0</v>
      </c>
      <c r="BC1536">
        <v>0</v>
      </c>
    </row>
    <row r="1537" spans="1:55" x14ac:dyDescent="0.3">
      <c r="A1537" s="63">
        <v>9</v>
      </c>
      <c r="B1537" s="65">
        <v>45719</v>
      </c>
      <c r="C1537" s="63">
        <v>2</v>
      </c>
      <c r="D1537" s="38" t="s">
        <v>179</v>
      </c>
      <c r="E1537" s="23" t="s">
        <v>152</v>
      </c>
      <c r="F1537" s="39">
        <v>60.404499999999999</v>
      </c>
      <c r="G1537" s="64" t="s">
        <v>352</v>
      </c>
      <c r="H1537" s="70"/>
      <c r="BA1537" s="132" t="s">
        <v>15</v>
      </c>
      <c r="BB1537" s="4">
        <v>0</v>
      </c>
      <c r="BC1537">
        <v>0</v>
      </c>
    </row>
    <row r="1538" spans="1:55" x14ac:dyDescent="0.3">
      <c r="A1538" s="63">
        <v>10</v>
      </c>
      <c r="B1538" s="65">
        <v>45726</v>
      </c>
      <c r="C1538" s="63">
        <v>2</v>
      </c>
      <c r="D1538" s="38" t="s">
        <v>179</v>
      </c>
      <c r="E1538" s="23" t="s">
        <v>152</v>
      </c>
      <c r="F1538" s="39">
        <v>25.9343</v>
      </c>
      <c r="G1538" s="64" t="s">
        <v>352</v>
      </c>
      <c r="H1538" s="70"/>
      <c r="BA1538" s="132" t="s">
        <v>15</v>
      </c>
      <c r="BB1538" s="4">
        <v>0</v>
      </c>
      <c r="BC1538">
        <v>0</v>
      </c>
    </row>
    <row r="1539" spans="1:55" x14ac:dyDescent="0.3">
      <c r="A1539" s="63">
        <v>11</v>
      </c>
      <c r="B1539" s="65">
        <v>45733</v>
      </c>
      <c r="C1539" s="63">
        <v>2</v>
      </c>
      <c r="D1539" s="38" t="s">
        <v>179</v>
      </c>
      <c r="E1539" s="23" t="s">
        <v>152</v>
      </c>
      <c r="F1539" s="39">
        <v>46.503700000000002</v>
      </c>
      <c r="G1539" s="64" t="s">
        <v>352</v>
      </c>
      <c r="H1539" s="70"/>
      <c r="BA1539" s="132" t="s">
        <v>15</v>
      </c>
      <c r="BB1539" s="4">
        <v>0</v>
      </c>
      <c r="BC1539">
        <v>0</v>
      </c>
    </row>
    <row r="1540" spans="1:55" x14ac:dyDescent="0.3">
      <c r="A1540" s="63">
        <v>12</v>
      </c>
      <c r="B1540" s="65">
        <v>45740</v>
      </c>
      <c r="C1540" s="63">
        <v>2</v>
      </c>
      <c r="D1540" s="38" t="s">
        <v>179</v>
      </c>
      <c r="E1540" s="23" t="s">
        <v>152</v>
      </c>
      <c r="F1540" s="39">
        <v>41.976199999999999</v>
      </c>
      <c r="G1540" s="64" t="s">
        <v>352</v>
      </c>
      <c r="H1540" s="70"/>
      <c r="BA1540" s="132" t="s">
        <v>15</v>
      </c>
      <c r="BB1540" s="4">
        <v>0</v>
      </c>
      <c r="BC1540">
        <v>0</v>
      </c>
    </row>
    <row r="1541" spans="1:55" x14ac:dyDescent="0.3">
      <c r="A1541" s="63">
        <v>13</v>
      </c>
      <c r="B1541" s="65">
        <v>45747</v>
      </c>
      <c r="C1541" s="63">
        <v>2</v>
      </c>
      <c r="D1541" s="38" t="s">
        <v>179</v>
      </c>
      <c r="E1541" s="23" t="s">
        <v>152</v>
      </c>
      <c r="F1541" s="39">
        <v>38.4955</v>
      </c>
      <c r="G1541" s="64" t="s">
        <v>352</v>
      </c>
      <c r="H1541" s="70"/>
      <c r="BA1541" s="132" t="s">
        <v>15</v>
      </c>
      <c r="BB1541" s="4">
        <v>0</v>
      </c>
      <c r="BC1541">
        <v>0</v>
      </c>
    </row>
    <row r="1542" spans="1:55" x14ac:dyDescent="0.3">
      <c r="A1542" s="63">
        <v>14</v>
      </c>
      <c r="B1542" s="65">
        <v>45754</v>
      </c>
      <c r="C1542" s="63">
        <v>2</v>
      </c>
      <c r="D1542" s="38" t="s">
        <v>179</v>
      </c>
      <c r="E1542" s="23" t="s">
        <v>152</v>
      </c>
      <c r="F1542" s="39">
        <v>49.238900000000001</v>
      </c>
      <c r="G1542" s="64" t="s">
        <v>352</v>
      </c>
      <c r="H1542" s="70"/>
      <c r="BA1542" s="132" t="s">
        <v>15</v>
      </c>
      <c r="BB1542" s="4">
        <v>0</v>
      </c>
      <c r="BC1542">
        <v>0</v>
      </c>
    </row>
    <row r="1543" spans="1:55" x14ac:dyDescent="0.3">
      <c r="A1543" s="63">
        <v>15</v>
      </c>
      <c r="B1543" s="65">
        <v>45761</v>
      </c>
      <c r="C1543" s="63">
        <v>2</v>
      </c>
      <c r="D1543" s="38" t="s">
        <v>179</v>
      </c>
      <c r="E1543" s="23" t="s">
        <v>152</v>
      </c>
      <c r="F1543" s="39">
        <v>30.733799999999999</v>
      </c>
      <c r="G1543" s="64" t="s">
        <v>352</v>
      </c>
      <c r="H1543" s="70"/>
      <c r="BA1543" s="132" t="s">
        <v>15</v>
      </c>
      <c r="BB1543" s="4">
        <v>0</v>
      </c>
      <c r="BC1543">
        <v>0</v>
      </c>
    </row>
    <row r="1544" spans="1:55" x14ac:dyDescent="0.3">
      <c r="A1544" s="63">
        <v>16</v>
      </c>
      <c r="B1544" s="65">
        <v>45768</v>
      </c>
      <c r="C1544" s="63">
        <v>2</v>
      </c>
      <c r="D1544" s="38" t="s">
        <v>179</v>
      </c>
      <c r="E1544" s="23" t="s">
        <v>152</v>
      </c>
      <c r="F1544" s="39">
        <v>40.483400000000003</v>
      </c>
      <c r="G1544" s="64" t="s">
        <v>352</v>
      </c>
      <c r="H1544" s="70"/>
      <c r="BA1544" s="132" t="s">
        <v>15</v>
      </c>
      <c r="BB1544" s="4">
        <v>0</v>
      </c>
      <c r="BC1544">
        <v>0</v>
      </c>
    </row>
    <row r="1545" spans="1:55" x14ac:dyDescent="0.3">
      <c r="A1545" s="63">
        <v>17</v>
      </c>
      <c r="B1545" s="65">
        <v>45775</v>
      </c>
      <c r="C1545" s="63">
        <v>2</v>
      </c>
      <c r="D1545" s="38" t="s">
        <v>179</v>
      </c>
      <c r="E1545" s="23" t="s">
        <v>152</v>
      </c>
      <c r="F1545" s="39">
        <v>49.909300000000002</v>
      </c>
      <c r="G1545" s="64" t="s">
        <v>352</v>
      </c>
      <c r="H1545" s="70"/>
      <c r="BA1545" s="132" t="s">
        <v>15</v>
      </c>
      <c r="BB1545" s="4">
        <v>0</v>
      </c>
      <c r="BC1545">
        <v>0</v>
      </c>
    </row>
    <row r="1546" spans="1:55" x14ac:dyDescent="0.3">
      <c r="A1546" s="63">
        <v>18</v>
      </c>
      <c r="B1546" s="65">
        <v>45782</v>
      </c>
      <c r="C1546" s="63">
        <v>2</v>
      </c>
      <c r="D1546" s="38" t="s">
        <v>179</v>
      </c>
      <c r="E1546" s="23" t="s">
        <v>152</v>
      </c>
      <c r="F1546" s="39">
        <v>37.876399999999997</v>
      </c>
      <c r="G1546" s="64" t="s">
        <v>352</v>
      </c>
      <c r="H1546" s="70"/>
      <c r="BA1546" s="132" t="s">
        <v>15</v>
      </c>
      <c r="BB1546" s="4">
        <v>0</v>
      </c>
      <c r="BC1546">
        <v>0</v>
      </c>
    </row>
    <row r="1547" spans="1:55" x14ac:dyDescent="0.3">
      <c r="A1547" s="63">
        <v>19</v>
      </c>
      <c r="B1547" s="65">
        <v>45789</v>
      </c>
      <c r="C1547" s="63">
        <v>2</v>
      </c>
      <c r="D1547" s="38" t="s">
        <v>179</v>
      </c>
      <c r="E1547" s="23" t="s">
        <v>152</v>
      </c>
      <c r="F1547" s="39">
        <v>36.272300000000001</v>
      </c>
      <c r="G1547" s="64" t="s">
        <v>352</v>
      </c>
      <c r="H1547" s="70"/>
      <c r="BA1547" s="132" t="s">
        <v>15</v>
      </c>
      <c r="BB1547" s="4">
        <v>0</v>
      </c>
      <c r="BC1547">
        <v>0</v>
      </c>
    </row>
    <row r="1548" spans="1:55" x14ac:dyDescent="0.3">
      <c r="A1548" s="63">
        <v>20</v>
      </c>
      <c r="B1548" s="65">
        <v>45796</v>
      </c>
      <c r="C1548" s="63">
        <v>2</v>
      </c>
      <c r="D1548" s="38" t="s">
        <v>179</v>
      </c>
      <c r="E1548" s="23" t="s">
        <v>152</v>
      </c>
      <c r="F1548" s="39">
        <v>40.136499999999998</v>
      </c>
      <c r="G1548" s="64" t="s">
        <v>352</v>
      </c>
      <c r="H1548" s="70"/>
      <c r="BA1548" s="132" t="s">
        <v>15</v>
      </c>
      <c r="BB1548" s="4">
        <v>0</v>
      </c>
      <c r="BC1548">
        <v>0</v>
      </c>
    </row>
    <row r="1549" spans="1:55" x14ac:dyDescent="0.3">
      <c r="A1549" s="63">
        <v>21</v>
      </c>
      <c r="B1549" s="65">
        <v>45803</v>
      </c>
      <c r="C1549" s="63">
        <v>2</v>
      </c>
      <c r="D1549" s="38" t="s">
        <v>179</v>
      </c>
      <c r="E1549" s="23" t="s">
        <v>152</v>
      </c>
      <c r="F1549" s="39">
        <v>36.078099999999999</v>
      </c>
      <c r="G1549" s="64" t="s">
        <v>352</v>
      </c>
      <c r="H1549" s="70"/>
      <c r="BA1549" s="132" t="s">
        <v>15</v>
      </c>
      <c r="BB1549" s="4">
        <v>0</v>
      </c>
      <c r="BC1549">
        <v>0</v>
      </c>
    </row>
    <row r="1550" spans="1:55" x14ac:dyDescent="0.3">
      <c r="A1550" s="63">
        <v>22</v>
      </c>
      <c r="B1550" s="65">
        <v>45810</v>
      </c>
      <c r="C1550" s="63">
        <v>2</v>
      </c>
      <c r="D1550" s="38" t="s">
        <v>179</v>
      </c>
      <c r="E1550" s="23" t="s">
        <v>152</v>
      </c>
      <c r="F1550" s="39">
        <v>50.525100000000002</v>
      </c>
      <c r="G1550" s="64" t="s">
        <v>352</v>
      </c>
      <c r="H1550" s="70"/>
      <c r="BA1550" s="132" t="s">
        <v>15</v>
      </c>
      <c r="BB1550" s="4">
        <v>0</v>
      </c>
      <c r="BC1550">
        <v>0</v>
      </c>
    </row>
    <row r="1551" spans="1:55" x14ac:dyDescent="0.3">
      <c r="A1551" s="63">
        <v>23</v>
      </c>
      <c r="B1551" s="65">
        <v>45817</v>
      </c>
      <c r="C1551" s="63">
        <v>2</v>
      </c>
      <c r="D1551" s="38" t="s">
        <v>179</v>
      </c>
      <c r="E1551" s="23" t="s">
        <v>152</v>
      </c>
      <c r="F1551" s="39">
        <v>32.723399999999998</v>
      </c>
      <c r="G1551" s="64" t="s">
        <v>352</v>
      </c>
      <c r="H1551" s="70"/>
      <c r="BA1551" s="132" t="s">
        <v>15</v>
      </c>
      <c r="BB1551" s="4">
        <v>0</v>
      </c>
      <c r="BC1551">
        <v>0</v>
      </c>
    </row>
    <row r="1552" spans="1:55" x14ac:dyDescent="0.3">
      <c r="A1552" s="63">
        <v>24</v>
      </c>
      <c r="B1552" s="65">
        <v>45824</v>
      </c>
      <c r="C1552" s="63">
        <v>2</v>
      </c>
      <c r="D1552" s="38" t="s">
        <v>179</v>
      </c>
      <c r="E1552" s="23" t="s">
        <v>152</v>
      </c>
      <c r="F1552" s="39">
        <v>45.637</v>
      </c>
      <c r="G1552" s="64" t="s">
        <v>352</v>
      </c>
      <c r="H1552" s="70"/>
      <c r="BA1552" s="132" t="s">
        <v>15</v>
      </c>
      <c r="BB1552" s="4">
        <v>0</v>
      </c>
      <c r="BC1552">
        <v>0</v>
      </c>
    </row>
    <row r="1553" spans="1:55" x14ac:dyDescent="0.3">
      <c r="A1553" s="63">
        <v>25</v>
      </c>
      <c r="B1553" s="65">
        <v>45831</v>
      </c>
      <c r="C1553" s="63">
        <v>2</v>
      </c>
      <c r="D1553" s="38" t="s">
        <v>179</v>
      </c>
      <c r="E1553" s="23" t="s">
        <v>152</v>
      </c>
      <c r="F1553" s="39">
        <v>30.217700000000001</v>
      </c>
      <c r="G1553" s="64" t="s">
        <v>352</v>
      </c>
      <c r="H1553" s="70"/>
      <c r="BA1553" s="132" t="s">
        <v>15</v>
      </c>
      <c r="BB1553" s="4">
        <v>0</v>
      </c>
      <c r="BC1553">
        <v>0</v>
      </c>
    </row>
    <row r="1554" spans="1:55" x14ac:dyDescent="0.3">
      <c r="A1554" s="63">
        <v>1</v>
      </c>
      <c r="B1554" s="65">
        <v>45663</v>
      </c>
      <c r="C1554" s="63">
        <v>3</v>
      </c>
      <c r="D1554" s="38" t="s">
        <v>180</v>
      </c>
      <c r="E1554" s="23" t="s">
        <v>152</v>
      </c>
      <c r="F1554" s="39">
        <v>36.721899999999998</v>
      </c>
      <c r="G1554" s="64" t="s">
        <v>352</v>
      </c>
      <c r="H1554" s="70"/>
      <c r="BA1554" s="132" t="s">
        <v>15</v>
      </c>
      <c r="BB1554" s="4">
        <v>0</v>
      </c>
      <c r="BC1554">
        <v>0</v>
      </c>
    </row>
    <row r="1555" spans="1:55" x14ac:dyDescent="0.3">
      <c r="A1555" s="63">
        <v>2</v>
      </c>
      <c r="B1555" s="65">
        <v>45670</v>
      </c>
      <c r="C1555" s="63">
        <v>3</v>
      </c>
      <c r="D1555" s="38" t="s">
        <v>180</v>
      </c>
      <c r="E1555" s="23" t="s">
        <v>152</v>
      </c>
      <c r="F1555" s="39">
        <v>33.018799999999999</v>
      </c>
      <c r="G1555" s="64" t="s">
        <v>352</v>
      </c>
      <c r="H1555" s="70"/>
      <c r="BA1555" s="132" t="s">
        <v>15</v>
      </c>
      <c r="BB1555" s="4">
        <v>0</v>
      </c>
      <c r="BC1555">
        <v>0</v>
      </c>
    </row>
    <row r="1556" spans="1:55" x14ac:dyDescent="0.3">
      <c r="A1556" s="63">
        <v>3</v>
      </c>
      <c r="B1556" s="65">
        <v>45677</v>
      </c>
      <c r="C1556" s="63">
        <v>3</v>
      </c>
      <c r="D1556" s="38" t="s">
        <v>180</v>
      </c>
      <c r="E1556" s="23" t="s">
        <v>152</v>
      </c>
      <c r="F1556" s="39">
        <v>21.158899999999999</v>
      </c>
      <c r="G1556" s="64" t="s">
        <v>352</v>
      </c>
      <c r="H1556" s="70"/>
      <c r="BA1556" s="132" t="s">
        <v>15</v>
      </c>
      <c r="BB1556" s="4">
        <v>0</v>
      </c>
      <c r="BC1556">
        <v>0</v>
      </c>
    </row>
    <row r="1557" spans="1:55" x14ac:dyDescent="0.3">
      <c r="A1557" s="63">
        <v>4</v>
      </c>
      <c r="B1557" s="65">
        <v>45684</v>
      </c>
      <c r="C1557" s="63">
        <v>3</v>
      </c>
      <c r="D1557" s="38" t="s">
        <v>180</v>
      </c>
      <c r="E1557" s="23" t="s">
        <v>152</v>
      </c>
      <c r="F1557" s="39">
        <v>33.492100000000001</v>
      </c>
      <c r="G1557" s="64" t="s">
        <v>352</v>
      </c>
      <c r="H1557" s="70"/>
      <c r="BA1557" s="132" t="s">
        <v>15</v>
      </c>
      <c r="BB1557" s="4">
        <v>0</v>
      </c>
      <c r="BC1557">
        <v>0</v>
      </c>
    </row>
    <row r="1558" spans="1:55" x14ac:dyDescent="0.3">
      <c r="A1558" s="63">
        <v>5</v>
      </c>
      <c r="B1558" s="65">
        <v>45691</v>
      </c>
      <c r="C1558" s="63">
        <v>3</v>
      </c>
      <c r="D1558" s="38" t="s">
        <v>180</v>
      </c>
      <c r="E1558" s="23" t="s">
        <v>152</v>
      </c>
      <c r="F1558" s="39">
        <v>28.414300000000001</v>
      </c>
      <c r="G1558" s="64" t="s">
        <v>352</v>
      </c>
      <c r="H1558" s="70"/>
      <c r="BA1558" s="132" t="s">
        <v>15</v>
      </c>
      <c r="BB1558" s="4">
        <v>0</v>
      </c>
      <c r="BC1558">
        <v>0</v>
      </c>
    </row>
    <row r="1559" spans="1:55" x14ac:dyDescent="0.3">
      <c r="A1559" s="63">
        <v>6</v>
      </c>
      <c r="B1559" s="65">
        <v>45698</v>
      </c>
      <c r="C1559" s="63">
        <v>3</v>
      </c>
      <c r="D1559" s="38" t="s">
        <v>180</v>
      </c>
      <c r="E1559" s="23" t="s">
        <v>152</v>
      </c>
      <c r="F1559" s="39">
        <v>31.393999999999998</v>
      </c>
      <c r="G1559" s="64" t="s">
        <v>352</v>
      </c>
      <c r="H1559" s="70"/>
      <c r="BA1559" s="132" t="s">
        <v>15</v>
      </c>
      <c r="BB1559" s="4">
        <v>0</v>
      </c>
      <c r="BC1559">
        <v>0</v>
      </c>
    </row>
    <row r="1560" spans="1:55" x14ac:dyDescent="0.3">
      <c r="A1560" s="63">
        <v>7</v>
      </c>
      <c r="B1560" s="65">
        <v>45705</v>
      </c>
      <c r="C1560" s="63">
        <v>3</v>
      </c>
      <c r="D1560" s="38" t="s">
        <v>180</v>
      </c>
      <c r="E1560" s="23" t="s">
        <v>152</v>
      </c>
      <c r="F1560" s="39">
        <v>40.884</v>
      </c>
      <c r="G1560" s="64" t="s">
        <v>352</v>
      </c>
      <c r="H1560" s="70"/>
      <c r="BA1560" s="132" t="s">
        <v>15</v>
      </c>
      <c r="BB1560" s="4">
        <v>0</v>
      </c>
      <c r="BC1560">
        <v>0</v>
      </c>
    </row>
    <row r="1561" spans="1:55" x14ac:dyDescent="0.3">
      <c r="A1561" s="63">
        <v>8</v>
      </c>
      <c r="B1561" s="65">
        <v>45712</v>
      </c>
      <c r="C1561" s="63">
        <v>3</v>
      </c>
      <c r="D1561" s="38" t="s">
        <v>180</v>
      </c>
      <c r="E1561" s="23" t="s">
        <v>152</v>
      </c>
      <c r="F1561" s="39">
        <v>28.173200000000001</v>
      </c>
      <c r="G1561" s="64" t="s">
        <v>352</v>
      </c>
      <c r="H1561" s="70"/>
      <c r="BA1561" s="132" t="s">
        <v>15</v>
      </c>
      <c r="BB1561" s="4">
        <v>0</v>
      </c>
      <c r="BC1561">
        <v>0</v>
      </c>
    </row>
    <row r="1562" spans="1:55" x14ac:dyDescent="0.3">
      <c r="A1562" s="63">
        <v>9</v>
      </c>
      <c r="B1562" s="65">
        <v>45719</v>
      </c>
      <c r="C1562" s="63">
        <v>3</v>
      </c>
      <c r="D1562" s="38" t="s">
        <v>180</v>
      </c>
      <c r="E1562" s="23" t="s">
        <v>152</v>
      </c>
      <c r="F1562" s="39">
        <v>28.446200000000001</v>
      </c>
      <c r="G1562" s="64" t="s">
        <v>352</v>
      </c>
      <c r="H1562" s="70"/>
      <c r="BA1562" s="132" t="s">
        <v>15</v>
      </c>
      <c r="BB1562" s="4">
        <v>0</v>
      </c>
      <c r="BC1562">
        <v>0</v>
      </c>
    </row>
    <row r="1563" spans="1:55" x14ac:dyDescent="0.3">
      <c r="A1563" s="63">
        <v>10</v>
      </c>
      <c r="B1563" s="65">
        <v>45726</v>
      </c>
      <c r="C1563" s="63">
        <v>3</v>
      </c>
      <c r="D1563" s="38" t="s">
        <v>180</v>
      </c>
      <c r="E1563" s="23" t="s">
        <v>152</v>
      </c>
      <c r="F1563" s="39">
        <v>40.415300000000002</v>
      </c>
      <c r="G1563" s="64" t="s">
        <v>352</v>
      </c>
      <c r="H1563" s="70"/>
      <c r="BA1563" s="132" t="s">
        <v>15</v>
      </c>
      <c r="BB1563" s="4">
        <v>0</v>
      </c>
      <c r="BC1563">
        <v>0</v>
      </c>
    </row>
    <row r="1564" spans="1:55" x14ac:dyDescent="0.3">
      <c r="A1564" s="63">
        <v>11</v>
      </c>
      <c r="B1564" s="65">
        <v>45733</v>
      </c>
      <c r="C1564" s="63">
        <v>3</v>
      </c>
      <c r="D1564" s="38" t="s">
        <v>180</v>
      </c>
      <c r="E1564" s="23" t="s">
        <v>152</v>
      </c>
      <c r="F1564" s="39">
        <v>34.075600000000001</v>
      </c>
      <c r="G1564" s="64" t="s">
        <v>352</v>
      </c>
      <c r="H1564" s="70"/>
      <c r="BA1564" s="132" t="s">
        <v>15</v>
      </c>
      <c r="BB1564" s="4">
        <v>0</v>
      </c>
      <c r="BC1564">
        <v>0</v>
      </c>
    </row>
    <row r="1565" spans="1:55" x14ac:dyDescent="0.3">
      <c r="A1565" s="63">
        <v>12</v>
      </c>
      <c r="B1565" s="65">
        <v>45740</v>
      </c>
      <c r="C1565" s="63">
        <v>3</v>
      </c>
      <c r="D1565" s="38" t="s">
        <v>180</v>
      </c>
      <c r="E1565" s="23" t="s">
        <v>152</v>
      </c>
      <c r="F1565" s="39">
        <v>40.898800000000001</v>
      </c>
      <c r="G1565" s="64" t="s">
        <v>352</v>
      </c>
      <c r="H1565" s="70"/>
      <c r="BA1565" s="132" t="s">
        <v>15</v>
      </c>
      <c r="BB1565" s="4">
        <v>0</v>
      </c>
      <c r="BC1565">
        <v>0</v>
      </c>
    </row>
    <row r="1566" spans="1:55" x14ac:dyDescent="0.3">
      <c r="A1566" s="63">
        <v>13</v>
      </c>
      <c r="B1566" s="65">
        <v>45747</v>
      </c>
      <c r="C1566" s="63">
        <v>3</v>
      </c>
      <c r="D1566" s="38" t="s">
        <v>180</v>
      </c>
      <c r="E1566" s="23" t="s">
        <v>152</v>
      </c>
      <c r="F1566" s="39">
        <v>35.069200000000002</v>
      </c>
      <c r="G1566" s="64" t="s">
        <v>352</v>
      </c>
      <c r="H1566" s="70"/>
      <c r="BA1566" s="132" t="s">
        <v>15</v>
      </c>
      <c r="BB1566" s="4">
        <v>0</v>
      </c>
      <c r="BC1566">
        <v>0</v>
      </c>
    </row>
    <row r="1567" spans="1:55" x14ac:dyDescent="0.3">
      <c r="A1567" s="63">
        <v>14</v>
      </c>
      <c r="B1567" s="65">
        <v>45754</v>
      </c>
      <c r="C1567" s="63">
        <v>3</v>
      </c>
      <c r="D1567" s="38" t="s">
        <v>180</v>
      </c>
      <c r="E1567" s="23" t="s">
        <v>152</v>
      </c>
      <c r="F1567" s="39">
        <v>29.297599999999999</v>
      </c>
      <c r="G1567" s="64" t="s">
        <v>352</v>
      </c>
      <c r="H1567" s="70"/>
      <c r="BA1567" s="132" t="s">
        <v>15</v>
      </c>
      <c r="BB1567" s="4">
        <v>0</v>
      </c>
      <c r="BC1567">
        <v>0</v>
      </c>
    </row>
    <row r="1568" spans="1:55" x14ac:dyDescent="0.3">
      <c r="A1568" s="63">
        <v>15</v>
      </c>
      <c r="B1568" s="65">
        <v>45761</v>
      </c>
      <c r="C1568" s="63">
        <v>3</v>
      </c>
      <c r="D1568" s="38" t="s">
        <v>180</v>
      </c>
      <c r="E1568" s="23" t="s">
        <v>152</v>
      </c>
      <c r="F1568" s="39">
        <v>33.203299999999999</v>
      </c>
      <c r="G1568" s="64" t="s">
        <v>352</v>
      </c>
      <c r="H1568" s="70"/>
      <c r="BA1568" s="132" t="s">
        <v>15</v>
      </c>
      <c r="BB1568" s="4">
        <v>0</v>
      </c>
      <c r="BC1568">
        <v>0</v>
      </c>
    </row>
    <row r="1569" spans="1:55" x14ac:dyDescent="0.3">
      <c r="A1569" s="63">
        <v>16</v>
      </c>
      <c r="B1569" s="65">
        <v>45768</v>
      </c>
      <c r="C1569" s="63">
        <v>3</v>
      </c>
      <c r="D1569" s="38" t="s">
        <v>180</v>
      </c>
      <c r="E1569" s="23" t="s">
        <v>152</v>
      </c>
      <c r="F1569" s="39">
        <v>39.406199999999998</v>
      </c>
      <c r="G1569" s="64" t="s">
        <v>352</v>
      </c>
      <c r="H1569" s="70"/>
      <c r="BA1569" s="132" t="s">
        <v>15</v>
      </c>
      <c r="BB1569" s="4">
        <v>0</v>
      </c>
      <c r="BC1569">
        <v>0</v>
      </c>
    </row>
    <row r="1570" spans="1:55" x14ac:dyDescent="0.3">
      <c r="A1570" s="63">
        <v>17</v>
      </c>
      <c r="B1570" s="65">
        <v>45775</v>
      </c>
      <c r="C1570" s="63">
        <v>3</v>
      </c>
      <c r="D1570" s="38" t="s">
        <v>180</v>
      </c>
      <c r="E1570" s="23" t="s">
        <v>152</v>
      </c>
      <c r="F1570" s="39">
        <v>38.025100000000002</v>
      </c>
      <c r="G1570" s="64" t="s">
        <v>352</v>
      </c>
      <c r="H1570" s="70"/>
      <c r="BA1570" s="132" t="s">
        <v>15</v>
      </c>
      <c r="BB1570" s="4">
        <v>0</v>
      </c>
      <c r="BC1570">
        <v>0</v>
      </c>
    </row>
    <row r="1571" spans="1:55" x14ac:dyDescent="0.3">
      <c r="A1571" s="63">
        <v>18</v>
      </c>
      <c r="B1571" s="65">
        <v>45782</v>
      </c>
      <c r="C1571" s="63">
        <v>3</v>
      </c>
      <c r="D1571" s="38" t="s">
        <v>180</v>
      </c>
      <c r="E1571" s="23" t="s">
        <v>152</v>
      </c>
      <c r="F1571" s="39">
        <v>33.524900000000002</v>
      </c>
      <c r="G1571" s="64" t="s">
        <v>352</v>
      </c>
      <c r="H1571" s="70"/>
      <c r="BA1571" s="132" t="s">
        <v>15</v>
      </c>
      <c r="BB1571" s="4">
        <v>0</v>
      </c>
      <c r="BC1571">
        <v>0</v>
      </c>
    </row>
    <row r="1572" spans="1:55" x14ac:dyDescent="0.3">
      <c r="A1572" s="63">
        <v>19</v>
      </c>
      <c r="B1572" s="65">
        <v>45789</v>
      </c>
      <c r="C1572" s="63">
        <v>3</v>
      </c>
      <c r="D1572" s="38" t="s">
        <v>180</v>
      </c>
      <c r="E1572" s="23" t="s">
        <v>152</v>
      </c>
      <c r="F1572" s="39">
        <v>33.754100000000001</v>
      </c>
      <c r="G1572" s="64" t="s">
        <v>352</v>
      </c>
      <c r="H1572" s="70"/>
      <c r="BA1572" s="132" t="s">
        <v>15</v>
      </c>
      <c r="BB1572" s="4">
        <v>0</v>
      </c>
      <c r="BC1572">
        <v>0</v>
      </c>
    </row>
    <row r="1573" spans="1:55" x14ac:dyDescent="0.3">
      <c r="A1573" s="63">
        <v>20</v>
      </c>
      <c r="B1573" s="65">
        <v>45796</v>
      </c>
      <c r="C1573" s="63">
        <v>3</v>
      </c>
      <c r="D1573" s="38" t="s">
        <v>180</v>
      </c>
      <c r="E1573" s="23" t="s">
        <v>152</v>
      </c>
      <c r="F1573" s="39">
        <v>32.981999999999999</v>
      </c>
      <c r="G1573" s="64" t="s">
        <v>352</v>
      </c>
      <c r="H1573" s="70"/>
      <c r="BA1573" s="132" t="s">
        <v>15</v>
      </c>
      <c r="BB1573" s="4">
        <v>0</v>
      </c>
      <c r="BC1573">
        <v>0</v>
      </c>
    </row>
    <row r="1574" spans="1:55" x14ac:dyDescent="0.3">
      <c r="A1574" s="63">
        <v>21</v>
      </c>
      <c r="B1574" s="65">
        <v>45803</v>
      </c>
      <c r="C1574" s="63">
        <v>3</v>
      </c>
      <c r="D1574" s="38" t="s">
        <v>180</v>
      </c>
      <c r="E1574" s="23" t="s">
        <v>152</v>
      </c>
      <c r="F1574" s="39">
        <v>30.752099999999999</v>
      </c>
      <c r="G1574" s="64" t="s">
        <v>352</v>
      </c>
      <c r="H1574" s="70"/>
      <c r="BA1574" s="132" t="s">
        <v>15</v>
      </c>
      <c r="BB1574" s="4">
        <v>0</v>
      </c>
      <c r="BC1574">
        <v>0</v>
      </c>
    </row>
    <row r="1575" spans="1:55" x14ac:dyDescent="0.3">
      <c r="A1575" s="63">
        <v>22</v>
      </c>
      <c r="B1575" s="65">
        <v>45810</v>
      </c>
      <c r="C1575" s="63">
        <v>3</v>
      </c>
      <c r="D1575" s="38" t="s">
        <v>180</v>
      </c>
      <c r="E1575" s="23" t="s">
        <v>152</v>
      </c>
      <c r="F1575" s="39">
        <v>42.766399999999997</v>
      </c>
      <c r="G1575" s="64" t="s">
        <v>352</v>
      </c>
      <c r="H1575" s="70"/>
      <c r="BA1575" s="132" t="s">
        <v>15</v>
      </c>
      <c r="BB1575" s="4">
        <v>0</v>
      </c>
      <c r="BC1575">
        <v>0</v>
      </c>
    </row>
    <row r="1576" spans="1:55" x14ac:dyDescent="0.3">
      <c r="A1576" s="63">
        <v>23</v>
      </c>
      <c r="B1576" s="65">
        <v>45817</v>
      </c>
      <c r="C1576" s="63">
        <v>3</v>
      </c>
      <c r="D1576" s="38" t="s">
        <v>180</v>
      </c>
      <c r="E1576" s="23" t="s">
        <v>152</v>
      </c>
      <c r="F1576" s="39">
        <v>33.555100000000003</v>
      </c>
      <c r="G1576" s="64" t="s">
        <v>352</v>
      </c>
      <c r="H1576" s="70"/>
      <c r="BA1576" s="132" t="s">
        <v>15</v>
      </c>
      <c r="BB1576" s="4">
        <v>0</v>
      </c>
      <c r="BC1576">
        <v>0</v>
      </c>
    </row>
    <row r="1577" spans="1:55" x14ac:dyDescent="0.3">
      <c r="A1577" s="63">
        <v>24</v>
      </c>
      <c r="B1577" s="65">
        <v>45824</v>
      </c>
      <c r="C1577" s="63">
        <v>3</v>
      </c>
      <c r="D1577" s="38" t="s">
        <v>180</v>
      </c>
      <c r="E1577" s="23" t="s">
        <v>152</v>
      </c>
      <c r="F1577" s="39">
        <v>28.1065</v>
      </c>
      <c r="G1577" s="64" t="s">
        <v>352</v>
      </c>
      <c r="H1577" s="70"/>
      <c r="BA1577" s="132" t="s">
        <v>15</v>
      </c>
      <c r="BB1577" s="4">
        <v>0</v>
      </c>
      <c r="BC1577">
        <v>0</v>
      </c>
    </row>
    <row r="1578" spans="1:55" x14ac:dyDescent="0.3">
      <c r="A1578" s="63">
        <v>25</v>
      </c>
      <c r="B1578" s="65">
        <v>45831</v>
      </c>
      <c r="C1578" s="63">
        <v>3</v>
      </c>
      <c r="D1578" s="38" t="s">
        <v>180</v>
      </c>
      <c r="E1578" s="23" t="s">
        <v>152</v>
      </c>
      <c r="F1578" s="39">
        <v>31.237400000000001</v>
      </c>
      <c r="G1578" s="64" t="s">
        <v>352</v>
      </c>
      <c r="H1578" s="70"/>
      <c r="BA1578" s="132" t="s">
        <v>15</v>
      </c>
      <c r="BB1578" s="4">
        <v>0</v>
      </c>
      <c r="BC1578">
        <v>0</v>
      </c>
    </row>
    <row r="1579" spans="1:55" x14ac:dyDescent="0.3">
      <c r="A1579" s="66"/>
      <c r="B1579" s="67"/>
      <c r="C1579" s="66"/>
      <c r="D1579" s="68"/>
      <c r="E1579" s="10"/>
      <c r="F1579" s="69"/>
      <c r="G1579" s="68"/>
      <c r="H1579" s="70"/>
      <c r="BA1579" s="4"/>
      <c r="BB1579" s="4"/>
    </row>
    <row r="1580" spans="1:55" x14ac:dyDescent="0.3">
      <c r="A1580" s="66"/>
      <c r="B1580" s="67"/>
      <c r="C1580" s="66"/>
      <c r="D1580" s="68"/>
      <c r="E1580" s="10"/>
      <c r="F1580" s="69"/>
      <c r="G1580" s="68"/>
      <c r="H1580" s="70"/>
      <c r="BA1580" s="4"/>
      <c r="BB1580" s="4"/>
    </row>
    <row r="1581" spans="1:55" x14ac:dyDescent="0.3">
      <c r="A1581" s="66"/>
      <c r="B1581" s="67"/>
      <c r="C1581" s="66"/>
      <c r="D1581" s="68"/>
      <c r="E1581" s="10"/>
      <c r="F1581" s="69"/>
      <c r="G1581" s="68"/>
      <c r="H1581" s="70"/>
      <c r="BA1581" s="4"/>
      <c r="BB1581" s="4"/>
    </row>
    <row r="1582" spans="1:55" x14ac:dyDescent="0.3">
      <c r="A1582" s="66"/>
      <c r="B1582" s="67"/>
      <c r="C1582" s="66"/>
      <c r="D1582" s="68"/>
      <c r="E1582" s="10"/>
      <c r="F1582" s="69"/>
      <c r="G1582" s="68"/>
      <c r="H1582" s="70"/>
      <c r="BA1582" s="4"/>
      <c r="BB1582" s="4"/>
    </row>
    <row r="1583" spans="1:55" x14ac:dyDescent="0.3">
      <c r="A1583" s="66"/>
      <c r="B1583" s="67"/>
      <c r="C1583" s="66"/>
      <c r="D1583" s="68"/>
      <c r="E1583" s="10"/>
      <c r="F1583" s="69"/>
      <c r="G1583" s="68"/>
      <c r="H1583" s="70"/>
      <c r="BA1583" s="4"/>
      <c r="BB1583" s="4"/>
    </row>
    <row r="1584" spans="1:55" x14ac:dyDescent="0.3">
      <c r="A1584" s="66"/>
      <c r="B1584" s="67"/>
      <c r="C1584" s="66"/>
      <c r="D1584" s="68"/>
      <c r="E1584" s="10"/>
      <c r="F1584" s="69"/>
      <c r="G1584" s="68"/>
      <c r="H1584" s="70"/>
      <c r="BA1584" s="4"/>
      <c r="BB1584" s="4"/>
    </row>
    <row r="1585" spans="1:54" x14ac:dyDescent="0.3">
      <c r="A1585" s="66"/>
      <c r="B1585" s="67"/>
      <c r="C1585" s="66"/>
      <c r="D1585" s="68"/>
      <c r="E1585" s="10"/>
      <c r="F1585" s="69"/>
      <c r="G1585" s="68"/>
      <c r="H1585" s="70"/>
      <c r="BA1585" s="4"/>
      <c r="BB1585" s="4"/>
    </row>
    <row r="1586" spans="1:54" x14ac:dyDescent="0.3">
      <c r="A1586" s="66"/>
      <c r="B1586" s="67"/>
      <c r="C1586" s="66"/>
      <c r="D1586" s="68"/>
      <c r="E1586" s="10"/>
      <c r="F1586" s="69"/>
      <c r="G1586" s="68"/>
      <c r="H1586" s="70"/>
      <c r="BA1586" s="4"/>
      <c r="BB1586" s="4"/>
    </row>
    <row r="1587" spans="1:54" x14ac:dyDescent="0.3">
      <c r="A1587" s="66"/>
      <c r="B1587" s="67"/>
      <c r="C1587" s="66"/>
      <c r="D1587" s="68"/>
      <c r="E1587" s="10"/>
      <c r="F1587" s="69"/>
      <c r="G1587" s="68"/>
      <c r="H1587" s="70"/>
      <c r="BA1587" s="4"/>
      <c r="BB1587" s="4"/>
    </row>
    <row r="1588" spans="1:54" x14ac:dyDescent="0.3">
      <c r="A1588" s="66"/>
      <c r="B1588" s="67"/>
      <c r="C1588" s="66"/>
      <c r="D1588" s="68"/>
      <c r="E1588" s="10"/>
      <c r="F1588" s="69"/>
      <c r="G1588" s="68"/>
      <c r="H1588" s="70"/>
      <c r="BA1588" s="4"/>
      <c r="BB1588" s="4"/>
    </row>
    <row r="1589" spans="1:54" x14ac:dyDescent="0.3">
      <c r="A1589" s="66"/>
      <c r="B1589" s="67"/>
      <c r="C1589" s="66"/>
      <c r="D1589" s="68"/>
      <c r="E1589" s="10"/>
      <c r="F1589" s="69"/>
      <c r="G1589" s="68"/>
      <c r="H1589" s="70"/>
      <c r="BA1589" s="4"/>
      <c r="BB1589" s="4"/>
    </row>
    <row r="1590" spans="1:54" x14ac:dyDescent="0.3">
      <c r="A1590" s="66"/>
      <c r="B1590" s="67"/>
      <c r="C1590" s="66"/>
      <c r="D1590" s="68"/>
      <c r="E1590" s="10"/>
      <c r="F1590" s="69"/>
      <c r="G1590" s="68"/>
      <c r="H1590" s="70"/>
      <c r="BA1590" s="4"/>
      <c r="BB1590" s="4"/>
    </row>
    <row r="1591" spans="1:54" x14ac:dyDescent="0.3">
      <c r="A1591" s="66"/>
      <c r="B1591" s="67"/>
      <c r="C1591" s="66"/>
      <c r="D1591" s="68"/>
      <c r="E1591" s="10"/>
      <c r="F1591" s="69"/>
      <c r="G1591" s="68"/>
      <c r="H1591" s="70"/>
      <c r="BA1591" s="4"/>
      <c r="BB1591" s="4"/>
    </row>
    <row r="1592" spans="1:54" x14ac:dyDescent="0.3">
      <c r="A1592" s="66"/>
      <c r="B1592" s="67"/>
      <c r="C1592" s="66"/>
      <c r="D1592" s="68"/>
      <c r="E1592" s="10"/>
      <c r="F1592" s="69"/>
      <c r="G1592" s="68"/>
      <c r="H1592" s="70"/>
      <c r="BA1592" s="4"/>
      <c r="BB1592" s="4"/>
    </row>
    <row r="1593" spans="1:54" x14ac:dyDescent="0.3">
      <c r="A1593" s="66"/>
      <c r="B1593" s="67"/>
      <c r="C1593" s="66"/>
      <c r="D1593" s="68"/>
      <c r="E1593" s="10"/>
      <c r="F1593" s="69"/>
      <c r="G1593" s="68"/>
      <c r="H1593" s="70"/>
      <c r="BA1593" s="4"/>
      <c r="BB1593" s="4"/>
    </row>
    <row r="1594" spans="1:54" x14ac:dyDescent="0.3">
      <c r="A1594" s="66"/>
      <c r="B1594" s="67"/>
      <c r="C1594" s="66"/>
      <c r="D1594" s="68"/>
      <c r="E1594" s="10"/>
      <c r="F1594" s="69"/>
      <c r="G1594" s="68"/>
      <c r="H1594" s="70"/>
      <c r="BA1594" s="4"/>
      <c r="BB1594" s="4"/>
    </row>
    <row r="1595" spans="1:54" x14ac:dyDescent="0.3">
      <c r="A1595" s="66"/>
      <c r="B1595" s="67"/>
      <c r="C1595" s="66"/>
      <c r="D1595" s="68"/>
      <c r="E1595" s="10"/>
      <c r="F1595" s="69"/>
      <c r="G1595" s="68"/>
      <c r="H1595" s="70"/>
      <c r="BA1595" s="4"/>
      <c r="BB1595" s="4"/>
    </row>
    <row r="1596" spans="1:54" x14ac:dyDescent="0.3">
      <c r="A1596" s="66"/>
      <c r="B1596" s="67"/>
      <c r="C1596" s="66"/>
      <c r="D1596" s="68"/>
      <c r="E1596" s="10"/>
      <c r="F1596" s="69"/>
      <c r="G1596" s="68"/>
      <c r="H1596" s="70"/>
      <c r="BA1596" s="4"/>
      <c r="BB1596" s="4"/>
    </row>
    <row r="1597" spans="1:54" x14ac:dyDescent="0.3">
      <c r="A1597" s="66"/>
      <c r="B1597" s="67"/>
      <c r="C1597" s="66"/>
      <c r="D1597" s="68"/>
      <c r="E1597" s="10"/>
      <c r="F1597" s="69"/>
      <c r="G1597" s="68"/>
      <c r="H1597" s="70"/>
      <c r="BA1597" s="4"/>
      <c r="BB1597" s="4"/>
    </row>
    <row r="1598" spans="1:54" x14ac:dyDescent="0.3">
      <c r="A1598" s="66"/>
      <c r="B1598" s="67"/>
      <c r="C1598" s="66"/>
      <c r="D1598" s="68"/>
      <c r="E1598" s="10"/>
      <c r="F1598" s="69"/>
      <c r="G1598" s="68"/>
      <c r="H1598" s="70"/>
      <c r="BA1598" s="4"/>
      <c r="BB1598" s="4"/>
    </row>
    <row r="1599" spans="1:54" x14ac:dyDescent="0.3">
      <c r="A1599" s="66"/>
      <c r="B1599" s="67"/>
      <c r="C1599" s="66"/>
      <c r="D1599" s="68"/>
      <c r="E1599" s="10"/>
      <c r="F1599" s="69"/>
      <c r="G1599" s="68"/>
      <c r="H1599" s="70"/>
      <c r="BA1599" s="4"/>
      <c r="BB1599" s="4"/>
    </row>
    <row r="1600" spans="1:54" x14ac:dyDescent="0.3">
      <c r="A1600" s="66"/>
      <c r="B1600" s="67"/>
      <c r="C1600" s="66"/>
      <c r="D1600" s="68"/>
      <c r="E1600" s="10"/>
      <c r="F1600" s="69"/>
      <c r="G1600" s="68"/>
      <c r="H1600" s="70"/>
      <c r="BA1600" s="4"/>
      <c r="BB1600" s="4"/>
    </row>
    <row r="1601" spans="1:54" x14ac:dyDescent="0.3">
      <c r="A1601" s="66"/>
      <c r="B1601" s="67"/>
      <c r="C1601" s="66"/>
      <c r="D1601" s="68"/>
      <c r="E1601" s="10"/>
      <c r="F1601" s="69"/>
      <c r="G1601" s="68"/>
      <c r="H1601" s="70"/>
      <c r="BA1601" s="4"/>
      <c r="BB1601" s="4"/>
    </row>
    <row r="1602" spans="1:54" x14ac:dyDescent="0.3">
      <c r="A1602" s="66"/>
      <c r="B1602" s="67"/>
      <c r="C1602" s="66"/>
      <c r="D1602" s="68"/>
      <c r="E1602" s="10"/>
      <c r="F1602" s="69"/>
      <c r="G1602" s="68"/>
      <c r="H1602" s="70"/>
      <c r="BA1602" s="4"/>
      <c r="BB1602" s="4"/>
    </row>
    <row r="1603" spans="1:54" x14ac:dyDescent="0.3">
      <c r="A1603" s="66"/>
      <c r="B1603" s="67"/>
      <c r="C1603" s="66"/>
      <c r="D1603" s="68"/>
      <c r="E1603" s="10"/>
      <c r="F1603" s="69"/>
      <c r="G1603" s="68"/>
      <c r="H1603" s="70"/>
      <c r="BA1603" s="4"/>
      <c r="BB1603" s="4"/>
    </row>
    <row r="1604" spans="1:54" x14ac:dyDescent="0.3">
      <c r="A1604" s="66"/>
      <c r="B1604" s="67"/>
      <c r="C1604" s="66"/>
      <c r="D1604" s="68"/>
      <c r="E1604" s="10"/>
      <c r="F1604" s="69"/>
      <c r="G1604" s="68"/>
      <c r="H1604" s="70"/>
      <c r="BA1604" s="4"/>
      <c r="BB1604" s="4"/>
    </row>
    <row r="1605" spans="1:54" x14ac:dyDescent="0.3">
      <c r="A1605" s="66"/>
      <c r="B1605" s="67"/>
      <c r="C1605" s="66"/>
      <c r="D1605" s="68"/>
      <c r="E1605" s="10"/>
      <c r="F1605" s="69"/>
      <c r="G1605" s="68"/>
      <c r="H1605" s="70"/>
      <c r="BA1605" s="4"/>
      <c r="BB1605" s="4"/>
    </row>
    <row r="1606" spans="1:54" x14ac:dyDescent="0.3">
      <c r="A1606" s="66"/>
      <c r="B1606" s="67"/>
      <c r="C1606" s="66"/>
      <c r="D1606" s="68"/>
      <c r="E1606" s="10"/>
      <c r="F1606" s="69"/>
      <c r="G1606" s="68"/>
      <c r="H1606" s="70"/>
      <c r="BA1606" s="4"/>
      <c r="BB1606" s="4"/>
    </row>
    <row r="1607" spans="1:54" x14ac:dyDescent="0.3">
      <c r="A1607" s="66"/>
      <c r="B1607" s="67"/>
      <c r="C1607" s="66"/>
      <c r="D1607" s="68"/>
      <c r="E1607" s="10"/>
      <c r="F1607" s="69"/>
      <c r="G1607" s="68"/>
      <c r="H1607" s="70"/>
      <c r="BA1607" s="4"/>
      <c r="BB1607" s="4"/>
    </row>
    <row r="1608" spans="1:54" x14ac:dyDescent="0.3">
      <c r="A1608" s="66"/>
      <c r="B1608" s="67"/>
      <c r="C1608" s="66"/>
      <c r="D1608" s="68"/>
      <c r="E1608" s="10"/>
      <c r="F1608" s="69"/>
      <c r="G1608" s="68"/>
      <c r="H1608" s="70"/>
      <c r="BA1608" s="4"/>
      <c r="BB1608" s="4"/>
    </row>
    <row r="1609" spans="1:54" x14ac:dyDescent="0.3">
      <c r="A1609" s="66"/>
      <c r="B1609" s="67"/>
      <c r="C1609" s="66"/>
      <c r="D1609" s="68"/>
      <c r="E1609" s="10"/>
      <c r="F1609" s="69"/>
      <c r="G1609" s="68"/>
      <c r="H1609" s="70"/>
      <c r="BA1609" s="4"/>
      <c r="BB1609" s="4"/>
    </row>
    <row r="1610" spans="1:54" x14ac:dyDescent="0.3">
      <c r="A1610" s="66"/>
      <c r="B1610" s="67"/>
      <c r="C1610" s="66"/>
      <c r="D1610" s="68"/>
      <c r="E1610" s="10"/>
      <c r="F1610" s="69"/>
      <c r="G1610" s="68"/>
      <c r="H1610" s="70"/>
      <c r="BA1610" s="4"/>
      <c r="BB1610" s="4"/>
    </row>
    <row r="1611" spans="1:54" x14ac:dyDescent="0.3">
      <c r="A1611" s="66"/>
      <c r="B1611" s="67"/>
      <c r="C1611" s="66"/>
      <c r="D1611" s="68"/>
      <c r="E1611" s="10"/>
      <c r="F1611" s="69"/>
      <c r="G1611" s="68"/>
      <c r="H1611" s="70"/>
      <c r="BA1611" s="4"/>
      <c r="BB1611" s="4"/>
    </row>
    <row r="1612" spans="1:54" x14ac:dyDescent="0.3">
      <c r="A1612" s="66"/>
      <c r="B1612" s="67"/>
      <c r="C1612" s="66"/>
      <c r="D1612" s="68"/>
      <c r="E1612" s="10"/>
      <c r="F1612" s="69"/>
      <c r="G1612" s="68"/>
      <c r="H1612" s="70"/>
      <c r="BA1612" s="4"/>
      <c r="BB1612" s="4"/>
    </row>
    <row r="1613" spans="1:54" x14ac:dyDescent="0.3">
      <c r="A1613" s="66"/>
      <c r="B1613" s="67"/>
      <c r="C1613" s="66"/>
      <c r="D1613" s="68"/>
      <c r="E1613" s="10"/>
      <c r="F1613" s="69"/>
      <c r="G1613" s="68"/>
      <c r="H1613" s="70"/>
      <c r="BA1613" s="4"/>
      <c r="BB1613" s="4"/>
    </row>
    <row r="1614" spans="1:54" x14ac:dyDescent="0.3">
      <c r="A1614" s="66"/>
      <c r="B1614" s="67"/>
      <c r="C1614" s="66"/>
      <c r="D1614" s="68"/>
      <c r="E1614" s="10"/>
      <c r="F1614" s="69"/>
      <c r="G1614" s="68"/>
      <c r="H1614" s="70"/>
      <c r="BA1614" s="4"/>
      <c r="BB1614" s="4"/>
    </row>
    <row r="1615" spans="1:54" x14ac:dyDescent="0.3">
      <c r="A1615" s="66"/>
      <c r="B1615" s="67"/>
      <c r="C1615" s="66"/>
      <c r="D1615" s="68"/>
      <c r="E1615" s="10"/>
      <c r="F1615" s="69"/>
      <c r="G1615" s="68"/>
      <c r="H1615" s="70"/>
      <c r="BA1615" s="4"/>
      <c r="BB1615" s="4"/>
    </row>
    <row r="1616" spans="1:54" x14ac:dyDescent="0.3">
      <c r="A1616" s="66"/>
      <c r="B1616" s="67"/>
      <c r="C1616" s="66"/>
      <c r="D1616" s="68"/>
      <c r="E1616" s="10"/>
      <c r="F1616" s="69"/>
      <c r="G1616" s="68"/>
      <c r="H1616" s="70"/>
      <c r="BA1616" s="4"/>
      <c r="BB1616" s="4"/>
    </row>
    <row r="1617" spans="1:54" x14ac:dyDescent="0.3">
      <c r="A1617" s="66"/>
      <c r="B1617" s="67"/>
      <c r="C1617" s="66"/>
      <c r="D1617" s="68"/>
      <c r="E1617" s="10"/>
      <c r="F1617" s="69"/>
      <c r="G1617" s="68"/>
      <c r="H1617" s="70"/>
      <c r="BA1617" s="4"/>
      <c r="BB1617" s="4"/>
    </row>
    <row r="1618" spans="1:54" x14ac:dyDescent="0.3">
      <c r="A1618" s="66"/>
      <c r="B1618" s="67"/>
      <c r="C1618" s="66"/>
      <c r="D1618" s="68"/>
      <c r="E1618" s="10"/>
      <c r="F1618" s="69"/>
      <c r="G1618" s="68"/>
      <c r="H1618" s="70"/>
      <c r="BA1618" s="4"/>
      <c r="BB1618" s="4"/>
    </row>
    <row r="1619" spans="1:54" x14ac:dyDescent="0.3">
      <c r="A1619" s="66"/>
      <c r="B1619" s="67"/>
      <c r="C1619" s="66"/>
      <c r="D1619" s="68"/>
      <c r="E1619" s="10"/>
      <c r="F1619" s="69"/>
      <c r="G1619" s="68"/>
      <c r="H1619" s="70"/>
      <c r="BA1619" s="4"/>
      <c r="BB1619" s="4"/>
    </row>
    <row r="1620" spans="1:54" x14ac:dyDescent="0.3">
      <c r="A1620" s="66"/>
      <c r="B1620" s="67"/>
      <c r="C1620" s="66"/>
      <c r="D1620" s="68"/>
      <c r="E1620" s="10"/>
      <c r="F1620" s="69"/>
      <c r="G1620" s="68"/>
      <c r="H1620" s="70"/>
      <c r="BA1620" s="4"/>
      <c r="BB1620" s="4"/>
    </row>
    <row r="1621" spans="1:54" x14ac:dyDescent="0.3">
      <c r="A1621" s="66"/>
      <c r="B1621" s="67"/>
      <c r="C1621" s="66"/>
      <c r="D1621" s="68"/>
      <c r="E1621" s="10"/>
      <c r="F1621" s="69"/>
      <c r="G1621" s="68"/>
      <c r="H1621" s="70"/>
      <c r="BA1621" s="4"/>
      <c r="BB1621" s="4"/>
    </row>
    <row r="1622" spans="1:54" x14ac:dyDescent="0.3">
      <c r="A1622" s="66"/>
      <c r="B1622" s="67"/>
      <c r="C1622" s="66"/>
      <c r="D1622" s="68"/>
      <c r="E1622" s="10"/>
      <c r="F1622" s="69"/>
      <c r="G1622" s="68"/>
      <c r="H1622" s="70"/>
      <c r="BA1622" s="4"/>
      <c r="BB1622" s="4"/>
    </row>
    <row r="1623" spans="1:54" x14ac:dyDescent="0.3">
      <c r="A1623" s="66"/>
      <c r="B1623" s="67"/>
      <c r="C1623" s="66"/>
      <c r="D1623" s="68"/>
      <c r="E1623" s="10"/>
      <c r="F1623" s="69"/>
      <c r="G1623" s="68"/>
      <c r="H1623" s="70"/>
      <c r="BA1623" s="4"/>
      <c r="BB1623" s="4"/>
    </row>
    <row r="1624" spans="1:54" x14ac:dyDescent="0.3">
      <c r="A1624" s="66"/>
      <c r="B1624" s="67"/>
      <c r="C1624" s="66"/>
      <c r="D1624" s="68"/>
      <c r="E1624" s="10"/>
      <c r="F1624" s="69"/>
      <c r="G1624" s="68"/>
      <c r="H1624" s="70"/>
      <c r="BA1624" s="4"/>
      <c r="BB1624" s="4"/>
    </row>
    <row r="1625" spans="1:54" x14ac:dyDescent="0.3">
      <c r="A1625" s="66"/>
      <c r="B1625" s="67"/>
      <c r="C1625" s="66"/>
      <c r="D1625" s="68"/>
      <c r="E1625" s="10"/>
      <c r="F1625" s="69"/>
      <c r="G1625" s="68"/>
      <c r="H1625" s="70"/>
      <c r="BA1625" s="4"/>
      <c r="BB1625" s="4"/>
    </row>
    <row r="1626" spans="1:54" x14ac:dyDescent="0.3">
      <c r="A1626" s="66"/>
      <c r="B1626" s="67"/>
      <c r="C1626" s="66"/>
      <c r="D1626" s="68"/>
      <c r="E1626" s="10"/>
      <c r="F1626" s="69"/>
      <c r="G1626" s="68"/>
      <c r="H1626" s="70"/>
      <c r="BA1626" s="4"/>
      <c r="BB1626" s="4"/>
    </row>
    <row r="1627" spans="1:54" x14ac:dyDescent="0.3">
      <c r="A1627" s="66"/>
      <c r="B1627" s="67"/>
      <c r="C1627" s="66"/>
      <c r="D1627" s="68"/>
      <c r="E1627" s="10"/>
      <c r="F1627" s="69"/>
      <c r="G1627" s="68"/>
      <c r="H1627" s="70"/>
      <c r="BA1627" s="4"/>
      <c r="BB1627" s="4"/>
    </row>
    <row r="1628" spans="1:54" x14ac:dyDescent="0.3">
      <c r="A1628" s="66"/>
      <c r="B1628" s="67"/>
      <c r="C1628" s="66"/>
      <c r="D1628" s="68"/>
      <c r="E1628" s="10"/>
      <c r="F1628" s="69"/>
      <c r="G1628" s="68"/>
      <c r="H1628" s="70"/>
      <c r="BA1628" s="4"/>
      <c r="BB1628" s="4"/>
    </row>
    <row r="1629" spans="1:54" x14ac:dyDescent="0.3">
      <c r="A1629" s="66"/>
      <c r="B1629" s="67"/>
      <c r="C1629" s="66"/>
      <c r="D1629" s="68"/>
      <c r="E1629" s="10"/>
      <c r="F1629" s="69"/>
      <c r="G1629" s="68"/>
      <c r="H1629" s="70"/>
      <c r="BA1629" s="4"/>
      <c r="BB1629" s="4"/>
    </row>
    <row r="1630" spans="1:54" x14ac:dyDescent="0.3">
      <c r="A1630" s="66"/>
      <c r="B1630" s="67"/>
      <c r="C1630" s="66"/>
      <c r="D1630" s="68"/>
      <c r="E1630" s="10"/>
      <c r="F1630" s="69"/>
      <c r="G1630" s="68"/>
      <c r="H1630" s="70"/>
      <c r="BA1630" s="4"/>
      <c r="BB1630" s="4"/>
    </row>
    <row r="1631" spans="1:54" x14ac:dyDescent="0.3">
      <c r="A1631" s="66"/>
      <c r="B1631" s="67"/>
      <c r="C1631" s="66"/>
      <c r="D1631" s="68"/>
      <c r="E1631" s="10"/>
      <c r="F1631" s="69"/>
      <c r="G1631" s="68"/>
      <c r="H1631" s="70"/>
      <c r="BA1631" s="4"/>
      <c r="BB1631" s="4"/>
    </row>
    <row r="1632" spans="1:54" x14ac:dyDescent="0.3">
      <c r="A1632" s="66"/>
      <c r="B1632" s="67"/>
      <c r="C1632" s="66"/>
      <c r="D1632" s="68"/>
      <c r="E1632" s="10"/>
      <c r="F1632" s="69"/>
      <c r="G1632" s="68"/>
      <c r="H1632" s="70"/>
      <c r="BA1632" s="4"/>
      <c r="BB1632" s="4"/>
    </row>
    <row r="1633" spans="1:54" x14ac:dyDescent="0.3">
      <c r="A1633" s="66"/>
      <c r="B1633" s="67"/>
      <c r="C1633" s="66"/>
      <c r="D1633" s="68"/>
      <c r="E1633" s="10"/>
      <c r="F1633" s="69"/>
      <c r="G1633" s="68"/>
      <c r="H1633" s="70"/>
      <c r="BA1633" s="4"/>
      <c r="BB1633" s="4"/>
    </row>
    <row r="1634" spans="1:54" x14ac:dyDescent="0.3">
      <c r="A1634" s="66"/>
      <c r="B1634" s="67"/>
      <c r="C1634" s="66"/>
      <c r="D1634" s="68"/>
      <c r="E1634" s="10"/>
      <c r="F1634" s="69"/>
      <c r="G1634" s="68"/>
      <c r="H1634" s="70"/>
      <c r="BA1634" s="4"/>
      <c r="BB1634" s="4"/>
    </row>
    <row r="1635" spans="1:54" x14ac:dyDescent="0.3">
      <c r="A1635" s="66"/>
      <c r="B1635" s="67"/>
      <c r="C1635" s="66"/>
      <c r="D1635" s="68"/>
      <c r="E1635" s="10"/>
      <c r="F1635" s="69"/>
      <c r="G1635" s="68"/>
      <c r="H1635" s="70"/>
      <c r="BA1635" s="4"/>
      <c r="BB1635" s="4"/>
    </row>
    <row r="1636" spans="1:54" x14ac:dyDescent="0.3">
      <c r="A1636" s="66"/>
      <c r="B1636" s="67"/>
      <c r="C1636" s="66"/>
      <c r="D1636" s="68"/>
      <c r="E1636" s="10"/>
      <c r="F1636" s="69"/>
      <c r="G1636" s="68"/>
      <c r="H1636" s="70"/>
      <c r="BA1636" s="4"/>
      <c r="BB1636" s="4"/>
    </row>
    <row r="1637" spans="1:54" x14ac:dyDescent="0.3">
      <c r="A1637" s="66"/>
      <c r="B1637" s="67"/>
      <c r="C1637" s="66"/>
      <c r="D1637" s="68"/>
      <c r="E1637" s="10"/>
      <c r="F1637" s="69"/>
      <c r="G1637" s="68"/>
      <c r="H1637" s="70"/>
      <c r="BA1637" s="4"/>
      <c r="BB1637" s="4"/>
    </row>
    <row r="1638" spans="1:54" x14ac:dyDescent="0.3">
      <c r="A1638" s="66"/>
      <c r="B1638" s="67"/>
      <c r="C1638" s="66"/>
      <c r="D1638" s="68"/>
      <c r="E1638" s="10"/>
      <c r="F1638" s="69"/>
      <c r="G1638" s="68"/>
      <c r="H1638" s="70"/>
      <c r="BA1638" s="4"/>
      <c r="BB1638" s="4"/>
    </row>
    <row r="1639" spans="1:54" x14ac:dyDescent="0.3">
      <c r="A1639" s="66"/>
      <c r="B1639" s="67"/>
      <c r="C1639" s="66"/>
      <c r="D1639" s="68"/>
      <c r="E1639" s="10"/>
      <c r="F1639" s="69"/>
      <c r="G1639" s="68"/>
      <c r="H1639" s="70"/>
      <c r="BA1639" s="4"/>
      <c r="BB1639" s="4"/>
    </row>
    <row r="1640" spans="1:54" x14ac:dyDescent="0.3">
      <c r="A1640" s="66"/>
      <c r="B1640" s="67"/>
      <c r="C1640" s="66"/>
      <c r="D1640" s="68"/>
      <c r="E1640" s="10"/>
      <c r="F1640" s="69"/>
      <c r="G1640" s="68"/>
      <c r="H1640" s="70"/>
      <c r="BA1640" s="4"/>
      <c r="BB1640" s="4"/>
    </row>
    <row r="1641" spans="1:54" x14ac:dyDescent="0.3">
      <c r="A1641" s="66"/>
      <c r="B1641" s="67"/>
      <c r="C1641" s="66"/>
      <c r="D1641" s="68"/>
      <c r="E1641" s="10"/>
      <c r="F1641" s="69"/>
      <c r="G1641" s="68"/>
      <c r="H1641" s="70"/>
      <c r="BA1641" s="4"/>
      <c r="BB1641" s="4"/>
    </row>
    <row r="1642" spans="1:54" x14ac:dyDescent="0.3">
      <c r="A1642" s="66"/>
      <c r="B1642" s="67"/>
      <c r="C1642" s="66"/>
      <c r="D1642" s="68"/>
      <c r="E1642" s="10"/>
      <c r="F1642" s="69"/>
      <c r="G1642" s="68"/>
      <c r="H1642" s="70"/>
      <c r="BA1642" s="4"/>
      <c r="BB1642" s="4"/>
    </row>
    <row r="1643" spans="1:54" x14ac:dyDescent="0.3">
      <c r="A1643" s="66"/>
      <c r="B1643" s="67"/>
      <c r="C1643" s="66"/>
      <c r="D1643" s="68"/>
      <c r="E1643" s="10"/>
      <c r="F1643" s="69"/>
      <c r="G1643" s="68"/>
      <c r="H1643" s="70"/>
      <c r="BA1643" s="4"/>
      <c r="BB1643" s="4"/>
    </row>
    <row r="1644" spans="1:54" x14ac:dyDescent="0.3">
      <c r="A1644" s="66"/>
      <c r="B1644" s="67"/>
      <c r="C1644" s="66"/>
      <c r="D1644" s="68"/>
      <c r="E1644" s="10"/>
      <c r="F1644" s="69"/>
      <c r="G1644" s="68"/>
      <c r="H1644" s="70"/>
      <c r="BA1644" s="4"/>
      <c r="BB1644" s="4"/>
    </row>
    <row r="1645" spans="1:54" x14ac:dyDescent="0.3">
      <c r="A1645" s="66"/>
      <c r="B1645" s="67"/>
      <c r="C1645" s="66"/>
      <c r="D1645" s="68"/>
      <c r="E1645" s="10"/>
      <c r="F1645" s="69"/>
      <c r="G1645" s="68"/>
      <c r="H1645" s="70"/>
      <c r="BA1645" s="4"/>
      <c r="BB1645" s="4"/>
    </row>
    <row r="1646" spans="1:54" x14ac:dyDescent="0.3">
      <c r="A1646" s="66"/>
      <c r="B1646" s="67"/>
      <c r="C1646" s="66"/>
      <c r="D1646" s="68"/>
      <c r="E1646" s="10"/>
      <c r="F1646" s="69"/>
      <c r="G1646" s="68"/>
      <c r="H1646" s="70"/>
      <c r="BA1646" s="4"/>
      <c r="BB1646" s="4"/>
    </row>
    <row r="1647" spans="1:54" x14ac:dyDescent="0.3">
      <c r="A1647" s="66"/>
      <c r="B1647" s="67"/>
      <c r="C1647" s="66"/>
      <c r="D1647" s="68"/>
      <c r="E1647" s="10"/>
      <c r="F1647" s="69"/>
      <c r="G1647" s="68"/>
      <c r="H1647" s="70"/>
      <c r="BA1647" s="4"/>
      <c r="BB1647" s="4"/>
    </row>
    <row r="1648" spans="1:54" x14ac:dyDescent="0.3">
      <c r="A1648" s="66"/>
      <c r="B1648" s="67"/>
      <c r="C1648" s="66"/>
      <c r="D1648" s="68"/>
      <c r="E1648" s="10"/>
      <c r="F1648" s="69"/>
      <c r="G1648" s="68"/>
      <c r="H1648" s="70"/>
      <c r="BA1648" s="4"/>
      <c r="BB1648" s="4"/>
    </row>
    <row r="1649" spans="1:54" x14ac:dyDescent="0.3">
      <c r="A1649" s="66"/>
      <c r="B1649" s="67"/>
      <c r="C1649" s="66"/>
      <c r="D1649" s="68"/>
      <c r="E1649" s="10"/>
      <c r="F1649" s="69"/>
      <c r="G1649" s="68"/>
      <c r="H1649" s="70"/>
      <c r="BA1649" s="4"/>
      <c r="BB1649" s="4"/>
    </row>
    <row r="1650" spans="1:54" x14ac:dyDescent="0.3">
      <c r="A1650" s="66"/>
      <c r="B1650" s="67"/>
      <c r="C1650" s="66"/>
      <c r="D1650" s="68"/>
      <c r="E1650" s="10"/>
      <c r="F1650" s="69"/>
      <c r="G1650" s="68"/>
      <c r="H1650" s="70"/>
      <c r="BA1650" s="4"/>
      <c r="BB1650" s="4"/>
    </row>
    <row r="1651" spans="1:54" x14ac:dyDescent="0.3">
      <c r="A1651" s="66"/>
      <c r="B1651" s="67"/>
      <c r="C1651" s="66"/>
      <c r="D1651" s="68"/>
      <c r="E1651" s="10"/>
      <c r="F1651" s="69"/>
      <c r="G1651" s="68"/>
      <c r="H1651" s="70"/>
      <c r="BA1651" s="4"/>
      <c r="BB1651" s="4"/>
    </row>
    <row r="1652" spans="1:54" x14ac:dyDescent="0.3">
      <c r="A1652" s="66"/>
      <c r="B1652" s="67"/>
      <c r="C1652" s="66"/>
      <c r="D1652" s="68"/>
      <c r="E1652" s="10"/>
      <c r="F1652" s="69"/>
      <c r="G1652" s="68"/>
      <c r="H1652" s="70"/>
      <c r="BA1652" s="4"/>
      <c r="BB1652" s="4"/>
    </row>
    <row r="1653" spans="1:54" x14ac:dyDescent="0.3">
      <c r="A1653" s="66"/>
      <c r="B1653" s="67"/>
      <c r="C1653" s="66"/>
      <c r="D1653" s="68"/>
      <c r="E1653" s="10"/>
      <c r="F1653" s="69"/>
      <c r="G1653" s="68"/>
      <c r="H1653" s="70"/>
      <c r="BA1653" s="4"/>
      <c r="BB1653" s="4"/>
    </row>
    <row r="1654" spans="1:54" x14ac:dyDescent="0.3">
      <c r="A1654" s="66"/>
      <c r="B1654" s="67"/>
      <c r="C1654" s="66"/>
      <c r="D1654" s="68"/>
      <c r="E1654" s="10"/>
      <c r="F1654" s="69"/>
      <c r="G1654" s="68"/>
      <c r="H1654" s="70"/>
      <c r="BA1654" s="4"/>
      <c r="BB1654" s="4"/>
    </row>
    <row r="1655" spans="1:54" x14ac:dyDescent="0.3">
      <c r="A1655" s="66"/>
      <c r="B1655" s="67"/>
      <c r="C1655" s="66"/>
      <c r="D1655" s="68"/>
      <c r="E1655" s="10"/>
      <c r="F1655" s="69"/>
      <c r="G1655" s="68"/>
      <c r="H1655" s="70"/>
      <c r="BA1655" s="4"/>
      <c r="BB1655" s="4"/>
    </row>
    <row r="1656" spans="1:54" x14ac:dyDescent="0.3">
      <c r="A1656" s="66"/>
      <c r="B1656" s="67"/>
      <c r="C1656" s="66"/>
      <c r="D1656" s="68"/>
      <c r="E1656" s="10"/>
      <c r="F1656" s="69"/>
      <c r="G1656" s="68"/>
      <c r="H1656" s="70"/>
      <c r="BA1656" s="4"/>
      <c r="BB1656" s="4"/>
    </row>
    <row r="1657" spans="1:54" x14ac:dyDescent="0.3">
      <c r="A1657" s="66"/>
      <c r="B1657" s="67"/>
      <c r="C1657" s="66"/>
      <c r="D1657" s="68"/>
      <c r="E1657" s="10"/>
      <c r="F1657" s="69"/>
      <c r="G1657" s="68"/>
      <c r="H1657" s="70"/>
      <c r="BA1657" s="4"/>
      <c r="BB1657" s="4"/>
    </row>
    <row r="1658" spans="1:54" x14ac:dyDescent="0.3">
      <c r="A1658" s="66"/>
      <c r="B1658" s="67"/>
      <c r="C1658" s="66"/>
      <c r="D1658" s="68"/>
      <c r="E1658" s="10"/>
      <c r="F1658" s="69"/>
      <c r="G1658" s="68"/>
      <c r="H1658" s="70"/>
      <c r="BA1658" s="4"/>
      <c r="BB1658" s="4"/>
    </row>
    <row r="1659" spans="1:54" x14ac:dyDescent="0.3">
      <c r="A1659" s="66"/>
      <c r="B1659" s="67"/>
      <c r="C1659" s="66"/>
      <c r="D1659" s="68"/>
      <c r="E1659" s="10"/>
      <c r="F1659" s="69"/>
      <c r="G1659" s="68"/>
      <c r="H1659" s="70"/>
      <c r="BA1659" s="4"/>
      <c r="BB1659" s="4"/>
    </row>
    <row r="1660" spans="1:54" x14ac:dyDescent="0.3">
      <c r="A1660" s="66"/>
      <c r="B1660" s="67"/>
      <c r="C1660" s="66"/>
      <c r="D1660" s="68"/>
      <c r="E1660" s="10"/>
      <c r="F1660" s="69"/>
      <c r="G1660" s="68"/>
      <c r="H1660" s="70"/>
      <c r="BA1660" s="4"/>
      <c r="BB1660" s="4"/>
    </row>
    <row r="1661" spans="1:54" x14ac:dyDescent="0.3">
      <c r="A1661" s="66"/>
      <c r="B1661" s="67"/>
      <c r="C1661" s="66"/>
      <c r="D1661" s="68"/>
      <c r="E1661" s="10"/>
      <c r="F1661" s="69"/>
      <c r="G1661" s="68"/>
      <c r="H1661" s="70"/>
      <c r="BA1661" s="4"/>
      <c r="BB1661" s="4"/>
    </row>
    <row r="1662" spans="1:54" x14ac:dyDescent="0.3">
      <c r="A1662" s="66"/>
      <c r="B1662" s="67"/>
      <c r="C1662" s="66"/>
      <c r="D1662" s="68"/>
      <c r="E1662" s="10"/>
      <c r="F1662" s="69"/>
      <c r="G1662" s="68"/>
      <c r="H1662" s="70"/>
      <c r="BA1662" s="4"/>
      <c r="BB1662" s="4"/>
    </row>
    <row r="1663" spans="1:54" x14ac:dyDescent="0.3">
      <c r="A1663" s="66"/>
      <c r="B1663" s="67"/>
      <c r="C1663" s="66"/>
      <c r="D1663" s="68"/>
      <c r="E1663" s="10"/>
      <c r="F1663" s="69"/>
      <c r="G1663" s="68"/>
      <c r="H1663" s="70"/>
      <c r="BA1663" s="4"/>
      <c r="BB1663" s="4"/>
    </row>
    <row r="1664" spans="1:54" x14ac:dyDescent="0.3">
      <c r="A1664" s="66"/>
      <c r="B1664" s="67"/>
      <c r="C1664" s="66"/>
      <c r="D1664" s="68"/>
      <c r="E1664" s="10"/>
      <c r="F1664" s="69"/>
      <c r="G1664" s="68"/>
      <c r="H1664" s="70"/>
      <c r="BA1664" s="4"/>
      <c r="BB1664" s="4"/>
    </row>
    <row r="1665" spans="1:54" x14ac:dyDescent="0.3">
      <c r="A1665" s="66"/>
      <c r="B1665" s="67"/>
      <c r="C1665" s="66"/>
      <c r="D1665" s="68"/>
      <c r="E1665" s="10"/>
      <c r="F1665" s="69"/>
      <c r="G1665" s="68"/>
      <c r="H1665" s="70"/>
      <c r="BA1665" s="4"/>
      <c r="BB1665" s="4"/>
    </row>
    <row r="1666" spans="1:54" x14ac:dyDescent="0.3">
      <c r="A1666" s="66"/>
      <c r="B1666" s="67"/>
      <c r="C1666" s="66"/>
      <c r="D1666" s="68"/>
      <c r="E1666" s="10"/>
      <c r="F1666" s="69"/>
      <c r="G1666" s="68"/>
      <c r="H1666" s="70"/>
      <c r="BA1666" s="4"/>
      <c r="BB1666" s="4"/>
    </row>
    <row r="1667" spans="1:54" x14ac:dyDescent="0.3">
      <c r="A1667" s="66"/>
      <c r="B1667" s="67"/>
      <c r="C1667" s="66"/>
      <c r="D1667" s="68"/>
      <c r="E1667" s="10"/>
      <c r="F1667" s="69"/>
      <c r="G1667" s="68"/>
      <c r="H1667" s="70"/>
      <c r="BA1667" s="4"/>
      <c r="BB1667" s="4"/>
    </row>
    <row r="1668" spans="1:54" x14ac:dyDescent="0.3">
      <c r="A1668" s="66"/>
      <c r="B1668" s="67"/>
      <c r="C1668" s="66"/>
      <c r="D1668" s="68"/>
      <c r="E1668" s="10"/>
      <c r="F1668" s="69"/>
      <c r="G1668" s="68"/>
      <c r="H1668" s="70"/>
      <c r="BA1668" s="4"/>
      <c r="BB1668" s="4"/>
    </row>
    <row r="1669" spans="1:54" x14ac:dyDescent="0.3">
      <c r="A1669" s="66"/>
      <c r="B1669" s="67"/>
      <c r="C1669" s="66"/>
      <c r="D1669" s="68"/>
      <c r="E1669" s="10"/>
      <c r="F1669" s="69"/>
      <c r="G1669" s="68"/>
      <c r="H1669" s="70"/>
      <c r="BA1669" s="4"/>
      <c r="BB1669" s="4"/>
    </row>
    <row r="1670" spans="1:54" x14ac:dyDescent="0.3">
      <c r="A1670" s="66"/>
      <c r="B1670" s="67"/>
      <c r="C1670" s="66"/>
      <c r="D1670" s="68"/>
      <c r="E1670" s="10"/>
      <c r="F1670" s="69"/>
      <c r="G1670" s="68"/>
      <c r="H1670" s="70"/>
      <c r="BA1670" s="4"/>
      <c r="BB1670" s="4"/>
    </row>
    <row r="1671" spans="1:54" x14ac:dyDescent="0.3">
      <c r="A1671" s="66"/>
      <c r="B1671" s="67"/>
      <c r="C1671" s="66"/>
      <c r="D1671" s="68"/>
      <c r="E1671" s="10"/>
      <c r="F1671" s="69"/>
      <c r="G1671" s="68"/>
      <c r="H1671" s="70"/>
      <c r="BA1671" s="4"/>
      <c r="BB1671" s="4"/>
    </row>
    <row r="1672" spans="1:54" x14ac:dyDescent="0.3">
      <c r="A1672" s="66"/>
      <c r="B1672" s="67"/>
      <c r="C1672" s="66"/>
      <c r="D1672" s="68"/>
      <c r="E1672" s="10"/>
      <c r="F1672" s="69"/>
      <c r="G1672" s="68"/>
      <c r="H1672" s="70"/>
      <c r="BA1672" s="4"/>
      <c r="BB1672" s="4"/>
    </row>
    <row r="1673" spans="1:54" x14ac:dyDescent="0.3">
      <c r="A1673" s="66"/>
      <c r="B1673" s="67"/>
      <c r="C1673" s="66"/>
      <c r="D1673" s="68"/>
      <c r="E1673" s="10"/>
      <c r="F1673" s="69"/>
      <c r="G1673" s="68"/>
      <c r="H1673" s="70"/>
      <c r="BA1673" s="4"/>
      <c r="BB1673" s="4"/>
    </row>
    <row r="1674" spans="1:54" x14ac:dyDescent="0.3">
      <c r="A1674" s="66"/>
      <c r="B1674" s="67"/>
      <c r="C1674" s="66"/>
      <c r="D1674" s="68"/>
      <c r="E1674" s="10"/>
      <c r="F1674" s="69"/>
      <c r="G1674" s="68"/>
      <c r="H1674" s="70"/>
      <c r="BA1674" s="4"/>
      <c r="BB1674" s="4"/>
    </row>
    <row r="1675" spans="1:54" x14ac:dyDescent="0.3">
      <c r="A1675" s="66"/>
      <c r="B1675" s="67"/>
      <c r="C1675" s="66"/>
      <c r="D1675" s="68"/>
      <c r="E1675" s="10"/>
      <c r="F1675" s="69"/>
      <c r="G1675" s="68"/>
      <c r="H1675" s="70"/>
      <c r="BA1675" s="4"/>
      <c r="BB1675" s="4"/>
    </row>
    <row r="1676" spans="1:54" x14ac:dyDescent="0.3">
      <c r="A1676" s="66"/>
      <c r="B1676" s="67"/>
      <c r="C1676" s="66"/>
      <c r="D1676" s="68"/>
      <c r="E1676" s="10"/>
      <c r="F1676" s="69"/>
      <c r="G1676" s="68"/>
      <c r="H1676" s="70"/>
      <c r="BA1676" s="4"/>
      <c r="BB1676" s="4"/>
    </row>
    <row r="1677" spans="1:54" x14ac:dyDescent="0.3">
      <c r="A1677" s="66"/>
      <c r="B1677" s="67"/>
      <c r="C1677" s="66"/>
      <c r="D1677" s="68"/>
      <c r="E1677" s="10"/>
      <c r="F1677" s="69"/>
      <c r="G1677" s="68"/>
      <c r="H1677" s="70"/>
      <c r="BA1677" s="4"/>
      <c r="BB1677" s="4"/>
    </row>
    <row r="1678" spans="1:54" x14ac:dyDescent="0.3">
      <c r="A1678" s="66"/>
      <c r="B1678" s="67"/>
      <c r="C1678" s="66"/>
      <c r="D1678" s="68"/>
      <c r="E1678" s="10"/>
      <c r="F1678" s="69"/>
      <c r="G1678" s="68"/>
      <c r="H1678" s="70"/>
      <c r="BA1678" s="4"/>
      <c r="BB1678" s="4"/>
    </row>
    <row r="1679" spans="1:54" x14ac:dyDescent="0.3">
      <c r="A1679" s="66"/>
      <c r="B1679" s="67"/>
      <c r="C1679" s="66"/>
      <c r="D1679" s="68"/>
      <c r="E1679" s="10"/>
      <c r="F1679" s="69"/>
      <c r="G1679" s="68"/>
      <c r="H1679" s="70"/>
      <c r="BA1679" s="4"/>
      <c r="BB1679" s="4"/>
    </row>
    <row r="1680" spans="1:54" x14ac:dyDescent="0.3">
      <c r="A1680" s="66"/>
      <c r="B1680" s="67"/>
      <c r="C1680" s="66"/>
      <c r="D1680" s="68"/>
      <c r="E1680" s="10"/>
      <c r="F1680" s="69"/>
      <c r="G1680" s="68"/>
      <c r="H1680" s="70"/>
      <c r="BA1680" s="4"/>
      <c r="BB1680" s="4"/>
    </row>
    <row r="1681" spans="1:54" x14ac:dyDescent="0.3">
      <c r="A1681" s="66"/>
      <c r="B1681" s="67"/>
      <c r="C1681" s="66"/>
      <c r="D1681" s="68"/>
      <c r="E1681" s="10"/>
      <c r="F1681" s="69"/>
      <c r="G1681" s="68"/>
      <c r="H1681" s="70"/>
      <c r="BA1681" s="4"/>
      <c r="BB1681" s="4"/>
    </row>
    <row r="1682" spans="1:54" x14ac:dyDescent="0.3">
      <c r="A1682" s="66"/>
      <c r="B1682" s="67"/>
      <c r="C1682" s="66"/>
      <c r="D1682" s="68"/>
      <c r="E1682" s="10"/>
      <c r="F1682" s="69"/>
      <c r="G1682" s="68"/>
      <c r="H1682" s="70"/>
      <c r="BA1682" s="4"/>
      <c r="BB1682" s="4"/>
    </row>
    <row r="1683" spans="1:54" x14ac:dyDescent="0.3">
      <c r="A1683" s="66"/>
      <c r="B1683" s="67"/>
      <c r="C1683" s="66"/>
      <c r="D1683" s="68"/>
      <c r="E1683" s="10"/>
      <c r="F1683" s="69"/>
      <c r="G1683" s="68"/>
      <c r="H1683" s="70"/>
      <c r="BA1683" s="4"/>
      <c r="BB1683" s="4"/>
    </row>
    <row r="1684" spans="1:54" x14ac:dyDescent="0.3">
      <c r="A1684" s="66"/>
      <c r="B1684" s="67"/>
      <c r="C1684" s="66"/>
      <c r="D1684" s="68"/>
      <c r="E1684" s="10"/>
      <c r="F1684" s="69"/>
      <c r="G1684" s="68"/>
      <c r="H1684" s="70"/>
      <c r="BA1684" s="4"/>
      <c r="BB1684" s="4"/>
    </row>
    <row r="1685" spans="1:54" x14ac:dyDescent="0.3">
      <c r="A1685" s="66"/>
      <c r="B1685" s="67"/>
      <c r="C1685" s="66"/>
      <c r="D1685" s="68"/>
      <c r="E1685" s="10"/>
      <c r="F1685" s="69"/>
      <c r="G1685" s="68"/>
      <c r="H1685" s="70"/>
      <c r="BA1685" s="4"/>
      <c r="BB1685" s="4"/>
    </row>
    <row r="1686" spans="1:54" x14ac:dyDescent="0.3">
      <c r="A1686" s="66"/>
      <c r="B1686" s="67"/>
      <c r="C1686" s="66"/>
      <c r="D1686" s="68"/>
      <c r="E1686" s="10"/>
      <c r="F1686" s="69"/>
      <c r="G1686" s="68"/>
      <c r="H1686" s="70"/>
      <c r="BA1686" s="4"/>
      <c r="BB1686" s="4"/>
    </row>
    <row r="1687" spans="1:54" x14ac:dyDescent="0.3">
      <c r="A1687" s="66"/>
      <c r="B1687" s="67"/>
      <c r="C1687" s="66"/>
      <c r="D1687" s="68"/>
      <c r="E1687" s="10"/>
      <c r="F1687" s="69"/>
      <c r="G1687" s="68"/>
      <c r="H1687" s="70"/>
      <c r="BA1687" s="4"/>
      <c r="BB1687" s="4"/>
    </row>
    <row r="1688" spans="1:54" x14ac:dyDescent="0.3">
      <c r="A1688" s="66"/>
      <c r="B1688" s="67"/>
      <c r="C1688" s="66"/>
      <c r="D1688" s="68"/>
      <c r="E1688" s="10"/>
      <c r="F1688" s="69"/>
      <c r="G1688" s="68"/>
      <c r="H1688" s="70"/>
      <c r="BA1688" s="4"/>
      <c r="BB1688" s="4"/>
    </row>
    <row r="1689" spans="1:54" x14ac:dyDescent="0.3">
      <c r="A1689" s="66"/>
      <c r="B1689" s="67"/>
      <c r="C1689" s="66"/>
      <c r="D1689" s="68"/>
      <c r="E1689" s="10"/>
      <c r="F1689" s="69"/>
      <c r="G1689" s="68"/>
      <c r="H1689" s="70"/>
      <c r="BA1689" s="4"/>
      <c r="BB1689" s="4"/>
    </row>
    <row r="1690" spans="1:54" x14ac:dyDescent="0.3">
      <c r="A1690" s="66"/>
      <c r="B1690" s="67"/>
      <c r="C1690" s="66"/>
      <c r="D1690" s="68"/>
      <c r="E1690" s="10"/>
      <c r="F1690" s="69"/>
      <c r="G1690" s="68"/>
      <c r="H1690" s="70"/>
      <c r="BA1690" s="4"/>
      <c r="BB1690" s="4"/>
    </row>
    <row r="1691" spans="1:54" x14ac:dyDescent="0.3">
      <c r="A1691" s="66"/>
      <c r="B1691" s="67"/>
      <c r="C1691" s="66"/>
      <c r="D1691" s="68"/>
      <c r="E1691" s="10"/>
      <c r="F1691" s="69"/>
      <c r="G1691" s="68"/>
      <c r="H1691" s="70"/>
      <c r="BA1691" s="4"/>
      <c r="BB1691" s="4"/>
    </row>
    <row r="1692" spans="1:54" x14ac:dyDescent="0.3">
      <c r="A1692" s="66"/>
      <c r="B1692" s="67"/>
      <c r="C1692" s="66"/>
      <c r="D1692" s="68"/>
      <c r="E1692" s="10"/>
      <c r="F1692" s="69"/>
      <c r="G1692" s="68"/>
      <c r="H1692" s="70"/>
      <c r="BA1692" s="4"/>
      <c r="BB1692" s="4"/>
    </row>
    <row r="1693" spans="1:54" x14ac:dyDescent="0.3">
      <c r="A1693" s="66"/>
      <c r="B1693" s="67"/>
      <c r="C1693" s="66"/>
      <c r="D1693" s="68"/>
      <c r="E1693" s="10"/>
      <c r="F1693" s="69"/>
      <c r="G1693" s="68"/>
      <c r="H1693" s="70"/>
      <c r="BA1693" s="4"/>
      <c r="BB1693" s="4"/>
    </row>
    <row r="1694" spans="1:54" x14ac:dyDescent="0.3">
      <c r="A1694" s="66"/>
      <c r="B1694" s="67"/>
      <c r="C1694" s="66"/>
      <c r="D1694" s="68"/>
      <c r="E1694" s="10"/>
      <c r="F1694" s="69"/>
      <c r="G1694" s="68"/>
      <c r="H1694" s="70"/>
      <c r="BA1694" s="4"/>
      <c r="BB1694" s="4"/>
    </row>
    <row r="1695" spans="1:54" x14ac:dyDescent="0.3">
      <c r="A1695" s="66"/>
      <c r="B1695" s="67"/>
      <c r="C1695" s="66"/>
      <c r="D1695" s="68"/>
      <c r="E1695" s="10"/>
      <c r="F1695" s="69"/>
      <c r="G1695" s="68"/>
      <c r="H1695" s="70"/>
      <c r="BA1695" s="4"/>
      <c r="BB1695" s="4"/>
    </row>
    <row r="1696" spans="1:54" x14ac:dyDescent="0.3">
      <c r="A1696" s="66"/>
      <c r="B1696" s="67"/>
      <c r="C1696" s="66"/>
      <c r="D1696" s="68"/>
      <c r="E1696" s="10"/>
      <c r="F1696" s="69"/>
      <c r="G1696" s="68"/>
      <c r="H1696" s="70"/>
      <c r="BA1696" s="4"/>
      <c r="BB1696" s="4"/>
    </row>
    <row r="1697" spans="1:54" x14ac:dyDescent="0.3">
      <c r="A1697" s="66"/>
      <c r="B1697" s="67"/>
      <c r="C1697" s="66"/>
      <c r="D1697" s="68"/>
      <c r="E1697" s="10"/>
      <c r="F1697" s="69"/>
      <c r="G1697" s="68"/>
      <c r="H1697" s="70"/>
      <c r="BA1697" s="4"/>
      <c r="BB1697" s="4"/>
    </row>
    <row r="1698" spans="1:54" x14ac:dyDescent="0.3">
      <c r="A1698" s="66"/>
      <c r="B1698" s="67"/>
      <c r="C1698" s="66"/>
      <c r="D1698" s="68"/>
      <c r="E1698" s="10"/>
      <c r="F1698" s="69"/>
      <c r="G1698" s="68"/>
      <c r="H1698" s="70"/>
      <c r="BA1698" s="4"/>
      <c r="BB1698" s="4"/>
    </row>
    <row r="1699" spans="1:54" x14ac:dyDescent="0.3">
      <c r="A1699" s="66"/>
      <c r="B1699" s="67"/>
      <c r="C1699" s="66"/>
      <c r="D1699" s="68"/>
      <c r="E1699" s="10"/>
      <c r="F1699" s="69"/>
      <c r="G1699" s="68"/>
      <c r="H1699" s="70"/>
      <c r="BA1699" s="4"/>
      <c r="BB1699" s="4"/>
    </row>
    <row r="1700" spans="1:54" x14ac:dyDescent="0.3">
      <c r="A1700" s="66"/>
      <c r="B1700" s="67"/>
      <c r="C1700" s="66"/>
      <c r="D1700" s="68"/>
      <c r="E1700" s="10"/>
      <c r="F1700" s="69"/>
      <c r="G1700" s="68"/>
      <c r="H1700" s="70"/>
      <c r="BA1700" s="4"/>
      <c r="BB1700" s="4"/>
    </row>
    <row r="1701" spans="1:54" x14ac:dyDescent="0.3">
      <c r="A1701" s="66"/>
      <c r="B1701" s="67"/>
      <c r="C1701" s="66"/>
      <c r="D1701" s="68"/>
      <c r="E1701" s="10"/>
      <c r="F1701" s="69"/>
      <c r="G1701" s="68"/>
      <c r="H1701" s="70"/>
      <c r="BA1701" s="4"/>
      <c r="BB1701" s="4"/>
    </row>
    <row r="1702" spans="1:54" x14ac:dyDescent="0.3">
      <c r="A1702" s="66"/>
      <c r="B1702" s="67"/>
      <c r="C1702" s="66"/>
      <c r="D1702" s="68"/>
      <c r="E1702" s="10"/>
      <c r="F1702" s="69"/>
      <c r="G1702" s="68"/>
      <c r="H1702" s="70"/>
      <c r="BA1702" s="4"/>
      <c r="BB1702" s="4"/>
    </row>
    <row r="1703" spans="1:54" x14ac:dyDescent="0.3">
      <c r="A1703" s="66"/>
      <c r="B1703" s="67"/>
      <c r="C1703" s="66"/>
      <c r="D1703" s="68"/>
      <c r="E1703" s="10"/>
      <c r="F1703" s="69"/>
      <c r="G1703" s="68"/>
      <c r="H1703" s="70"/>
      <c r="BA1703" s="4"/>
      <c r="BB1703" s="4"/>
    </row>
    <row r="1704" spans="1:54" x14ac:dyDescent="0.3">
      <c r="A1704" s="66"/>
      <c r="B1704" s="67"/>
      <c r="C1704" s="66"/>
      <c r="D1704" s="68"/>
      <c r="E1704" s="10"/>
      <c r="F1704" s="69"/>
      <c r="G1704" s="68"/>
      <c r="H1704" s="70"/>
      <c r="BA1704" s="4"/>
      <c r="BB1704" s="4"/>
    </row>
    <row r="1705" spans="1:54" x14ac:dyDescent="0.3">
      <c r="A1705" s="66"/>
      <c r="B1705" s="67"/>
      <c r="C1705" s="66"/>
      <c r="D1705" s="68"/>
      <c r="E1705" s="10"/>
      <c r="F1705" s="69"/>
      <c r="G1705" s="68"/>
      <c r="H1705" s="70"/>
      <c r="BA1705" s="4"/>
      <c r="BB1705" s="4"/>
    </row>
    <row r="1706" spans="1:54" x14ac:dyDescent="0.3">
      <c r="A1706" s="66"/>
      <c r="B1706" s="67"/>
      <c r="C1706" s="66"/>
      <c r="D1706" s="68"/>
      <c r="E1706" s="10"/>
      <c r="F1706" s="69"/>
      <c r="G1706" s="68"/>
      <c r="H1706" s="70"/>
      <c r="BA1706" s="4"/>
      <c r="BB1706" s="4"/>
    </row>
    <row r="1707" spans="1:54" x14ac:dyDescent="0.3">
      <c r="A1707" s="66"/>
      <c r="B1707" s="67"/>
      <c r="C1707" s="66"/>
      <c r="D1707" s="68"/>
      <c r="E1707" s="10"/>
      <c r="F1707" s="69"/>
      <c r="G1707" s="68"/>
      <c r="H1707" s="70"/>
      <c r="BA1707" s="4"/>
      <c r="BB1707" s="4"/>
    </row>
    <row r="1708" spans="1:54" x14ac:dyDescent="0.3">
      <c r="A1708" s="66"/>
      <c r="B1708" s="67"/>
      <c r="C1708" s="66"/>
      <c r="D1708" s="68"/>
      <c r="E1708" s="10"/>
      <c r="F1708" s="69"/>
      <c r="G1708" s="68"/>
      <c r="H1708" s="70"/>
      <c r="BA1708" s="4"/>
      <c r="BB1708" s="4"/>
    </row>
    <row r="1709" spans="1:54" x14ac:dyDescent="0.3">
      <c r="A1709" s="66"/>
      <c r="B1709" s="67"/>
      <c r="C1709" s="66"/>
      <c r="D1709" s="68"/>
      <c r="E1709" s="10"/>
      <c r="F1709" s="69"/>
      <c r="G1709" s="68"/>
      <c r="H1709" s="70"/>
      <c r="BA1709" s="4"/>
      <c r="BB1709" s="4"/>
    </row>
    <row r="1710" spans="1:54" x14ac:dyDescent="0.3">
      <c r="A1710" s="66"/>
      <c r="B1710" s="67"/>
      <c r="C1710" s="66"/>
      <c r="D1710" s="68"/>
      <c r="E1710" s="10"/>
      <c r="F1710" s="69"/>
      <c r="G1710" s="68"/>
      <c r="H1710" s="70"/>
      <c r="BA1710" s="4"/>
      <c r="BB1710" s="4"/>
    </row>
    <row r="1711" spans="1:54" x14ac:dyDescent="0.3">
      <c r="A1711" s="66"/>
      <c r="B1711" s="67"/>
      <c r="C1711" s="66"/>
      <c r="D1711" s="68"/>
      <c r="E1711" s="10"/>
      <c r="F1711" s="69"/>
      <c r="G1711" s="68"/>
      <c r="H1711" s="70"/>
      <c r="BA1711" s="4"/>
      <c r="BB1711" s="4"/>
    </row>
    <row r="1712" spans="1:54" x14ac:dyDescent="0.3">
      <c r="A1712" s="66"/>
      <c r="B1712" s="67"/>
      <c r="C1712" s="66"/>
      <c r="D1712" s="68"/>
      <c r="E1712" s="10"/>
      <c r="F1712" s="69"/>
      <c r="G1712" s="68"/>
      <c r="H1712" s="70"/>
      <c r="BA1712" s="4"/>
      <c r="BB1712" s="4"/>
    </row>
    <row r="1713" spans="1:54" x14ac:dyDescent="0.3">
      <c r="A1713" s="66"/>
      <c r="B1713" s="67"/>
      <c r="C1713" s="66"/>
      <c r="D1713" s="68"/>
      <c r="E1713" s="10"/>
      <c r="F1713" s="69"/>
      <c r="G1713" s="68"/>
      <c r="H1713" s="70"/>
      <c r="BA1713" s="4"/>
      <c r="BB1713" s="4"/>
    </row>
    <row r="1714" spans="1:54" x14ac:dyDescent="0.3">
      <c r="A1714" s="66"/>
      <c r="B1714" s="67"/>
      <c r="C1714" s="66"/>
      <c r="D1714" s="68"/>
      <c r="E1714" s="10"/>
      <c r="F1714" s="69"/>
      <c r="G1714" s="68"/>
      <c r="H1714" s="70"/>
      <c r="BA1714" s="4"/>
      <c r="BB1714" s="4"/>
    </row>
    <row r="1715" spans="1:54" x14ac:dyDescent="0.3">
      <c r="A1715" s="66"/>
      <c r="B1715" s="67"/>
      <c r="C1715" s="66"/>
      <c r="D1715" s="68"/>
      <c r="E1715" s="10"/>
      <c r="F1715" s="69"/>
      <c r="G1715" s="68"/>
      <c r="H1715" s="70"/>
      <c r="BA1715" s="4"/>
      <c r="BB1715" s="4"/>
    </row>
    <row r="1716" spans="1:54" x14ac:dyDescent="0.3">
      <c r="A1716" s="66"/>
      <c r="B1716" s="67"/>
      <c r="C1716" s="66"/>
      <c r="D1716" s="68"/>
      <c r="E1716" s="10"/>
      <c r="F1716" s="69"/>
      <c r="G1716" s="68"/>
      <c r="H1716" s="70"/>
      <c r="BA1716" s="4"/>
      <c r="BB1716" s="4"/>
    </row>
    <row r="1717" spans="1:54" x14ac:dyDescent="0.3">
      <c r="A1717" s="66"/>
      <c r="B1717" s="67"/>
      <c r="C1717" s="66"/>
      <c r="D1717" s="68"/>
      <c r="E1717" s="10"/>
      <c r="F1717" s="69"/>
      <c r="G1717" s="68"/>
      <c r="H1717" s="70"/>
      <c r="BA1717" s="4"/>
      <c r="BB1717" s="4"/>
    </row>
    <row r="1718" spans="1:54" x14ac:dyDescent="0.3">
      <c r="A1718" s="66"/>
      <c r="B1718" s="67"/>
      <c r="C1718" s="66"/>
      <c r="D1718" s="68"/>
      <c r="E1718" s="10"/>
      <c r="F1718" s="69"/>
      <c r="G1718" s="68"/>
      <c r="H1718" s="70"/>
      <c r="BA1718" s="4"/>
      <c r="BB1718" s="4"/>
    </row>
    <row r="1719" spans="1:54" x14ac:dyDescent="0.3">
      <c r="A1719" s="66"/>
      <c r="B1719" s="67"/>
      <c r="C1719" s="66"/>
      <c r="D1719" s="68"/>
      <c r="E1719" s="10"/>
      <c r="F1719" s="69"/>
      <c r="G1719" s="68"/>
      <c r="H1719" s="70"/>
      <c r="BA1719" s="4"/>
      <c r="BB1719" s="4"/>
    </row>
    <row r="1720" spans="1:54" x14ac:dyDescent="0.3">
      <c r="A1720" s="66"/>
      <c r="B1720" s="67"/>
      <c r="C1720" s="66"/>
      <c r="D1720" s="68"/>
      <c r="E1720" s="10"/>
      <c r="F1720" s="69"/>
      <c r="G1720" s="68"/>
      <c r="H1720" s="70"/>
      <c r="BA1720" s="4"/>
      <c r="BB1720" s="4"/>
    </row>
    <row r="1721" spans="1:54" x14ac:dyDescent="0.3">
      <c r="A1721" s="66"/>
      <c r="B1721" s="67"/>
      <c r="C1721" s="66"/>
      <c r="D1721" s="68"/>
      <c r="E1721" s="10"/>
      <c r="F1721" s="69"/>
      <c r="G1721" s="68"/>
      <c r="H1721" s="70"/>
      <c r="BA1721" s="4"/>
      <c r="BB1721" s="4"/>
    </row>
    <row r="1722" spans="1:54" x14ac:dyDescent="0.3">
      <c r="A1722" s="66"/>
      <c r="B1722" s="67"/>
      <c r="C1722" s="66"/>
      <c r="D1722" s="68"/>
      <c r="E1722" s="10"/>
      <c r="F1722" s="69"/>
      <c r="G1722" s="68"/>
      <c r="H1722" s="70"/>
      <c r="BA1722" s="4"/>
      <c r="BB1722" s="4"/>
    </row>
    <row r="1723" spans="1:54" x14ac:dyDescent="0.3">
      <c r="A1723" s="66"/>
      <c r="B1723" s="67"/>
      <c r="C1723" s="66"/>
      <c r="D1723" s="68"/>
      <c r="E1723" s="10"/>
      <c r="F1723" s="69"/>
      <c r="G1723" s="68"/>
      <c r="H1723" s="70"/>
      <c r="BA1723" s="4"/>
      <c r="BB1723" s="4"/>
    </row>
    <row r="1724" spans="1:54" x14ac:dyDescent="0.3">
      <c r="A1724" s="66"/>
      <c r="B1724" s="67"/>
      <c r="C1724" s="66"/>
      <c r="D1724" s="68"/>
      <c r="E1724" s="10"/>
      <c r="F1724" s="69"/>
      <c r="G1724" s="68"/>
      <c r="H1724" s="70"/>
      <c r="BA1724" s="4"/>
      <c r="BB1724" s="4"/>
    </row>
    <row r="1725" spans="1:54" x14ac:dyDescent="0.3">
      <c r="A1725" s="66"/>
      <c r="B1725" s="67"/>
      <c r="C1725" s="66"/>
      <c r="D1725" s="68"/>
      <c r="E1725" s="10"/>
      <c r="F1725" s="69"/>
      <c r="G1725" s="68"/>
      <c r="H1725" s="70"/>
      <c r="BA1725" s="4"/>
      <c r="BB1725" s="4"/>
    </row>
    <row r="1726" spans="1:54" x14ac:dyDescent="0.3">
      <c r="A1726" s="66"/>
      <c r="B1726" s="67"/>
      <c r="C1726" s="66"/>
      <c r="D1726" s="68"/>
      <c r="E1726" s="10"/>
      <c r="F1726" s="69"/>
      <c r="G1726" s="68"/>
      <c r="H1726" s="70"/>
      <c r="BA1726" s="4"/>
      <c r="BB1726" s="4"/>
    </row>
    <row r="1727" spans="1:54" x14ac:dyDescent="0.3">
      <c r="A1727" s="66"/>
      <c r="B1727" s="67"/>
      <c r="C1727" s="66"/>
      <c r="D1727" s="68"/>
      <c r="E1727" s="10"/>
      <c r="F1727" s="69"/>
      <c r="G1727" s="68"/>
      <c r="H1727" s="70"/>
      <c r="BA1727" s="4"/>
      <c r="BB1727" s="4"/>
    </row>
    <row r="1728" spans="1:54" x14ac:dyDescent="0.3">
      <c r="A1728" s="66"/>
      <c r="B1728" s="67"/>
      <c r="C1728" s="66"/>
      <c r="D1728" s="68"/>
      <c r="E1728" s="10"/>
      <c r="F1728" s="69"/>
      <c r="G1728" s="68"/>
      <c r="H1728" s="70"/>
      <c r="BA1728" s="4"/>
      <c r="BB1728" s="4"/>
    </row>
    <row r="1729" spans="1:54" x14ac:dyDescent="0.3">
      <c r="A1729" s="66"/>
      <c r="B1729" s="67"/>
      <c r="C1729" s="66"/>
      <c r="D1729" s="68"/>
      <c r="E1729" s="10"/>
      <c r="F1729" s="69"/>
      <c r="G1729" s="68"/>
      <c r="H1729" s="70"/>
      <c r="BA1729" s="4"/>
      <c r="BB1729" s="4"/>
    </row>
    <row r="1730" spans="1:54" x14ac:dyDescent="0.3">
      <c r="A1730" s="66"/>
      <c r="B1730" s="67"/>
      <c r="C1730" s="66"/>
      <c r="D1730" s="68"/>
      <c r="E1730" s="10"/>
      <c r="F1730" s="69"/>
      <c r="G1730" s="68"/>
      <c r="H1730" s="70"/>
      <c r="BA1730" s="4"/>
      <c r="BB1730" s="4"/>
    </row>
    <row r="1731" spans="1:54" x14ac:dyDescent="0.3">
      <c r="A1731" s="66"/>
      <c r="B1731" s="67"/>
      <c r="C1731" s="66"/>
      <c r="D1731" s="68"/>
      <c r="E1731" s="10"/>
      <c r="F1731" s="69"/>
      <c r="G1731" s="68"/>
      <c r="H1731" s="70"/>
      <c r="BA1731" s="4"/>
      <c r="BB1731" s="4"/>
    </row>
    <row r="1732" spans="1:54" x14ac:dyDescent="0.3">
      <c r="A1732" s="66"/>
      <c r="B1732" s="67"/>
      <c r="C1732" s="66"/>
      <c r="D1732" s="68"/>
      <c r="E1732" s="10"/>
      <c r="F1732" s="69"/>
      <c r="G1732" s="68"/>
      <c r="H1732" s="70"/>
      <c r="BA1732" s="4"/>
      <c r="BB1732" s="4"/>
    </row>
    <row r="1733" spans="1:54" x14ac:dyDescent="0.3">
      <c r="A1733" s="66"/>
      <c r="B1733" s="67"/>
      <c r="C1733" s="66"/>
      <c r="D1733" s="68"/>
      <c r="E1733" s="10"/>
      <c r="F1733" s="69"/>
      <c r="G1733" s="68"/>
      <c r="H1733" s="70"/>
      <c r="BA1733" s="4"/>
      <c r="BB1733" s="4"/>
    </row>
    <row r="1734" spans="1:54" x14ac:dyDescent="0.3">
      <c r="A1734" s="66"/>
      <c r="B1734" s="67"/>
      <c r="C1734" s="66"/>
      <c r="D1734" s="68"/>
      <c r="E1734" s="10"/>
      <c r="F1734" s="69"/>
      <c r="G1734" s="68"/>
      <c r="H1734" s="70"/>
      <c r="BA1734" s="4"/>
      <c r="BB1734" s="4"/>
    </row>
    <row r="1735" spans="1:54" x14ac:dyDescent="0.3">
      <c r="A1735" s="66"/>
      <c r="B1735" s="67"/>
      <c r="C1735" s="66"/>
      <c r="D1735" s="68"/>
      <c r="E1735" s="10"/>
      <c r="F1735" s="69"/>
      <c r="G1735" s="68"/>
      <c r="H1735" s="70"/>
      <c r="BA1735" s="4"/>
      <c r="BB1735" s="4"/>
    </row>
    <row r="1736" spans="1:54" x14ac:dyDescent="0.3">
      <c r="A1736" s="66"/>
      <c r="B1736" s="67"/>
      <c r="C1736" s="66"/>
      <c r="D1736" s="68"/>
      <c r="E1736" s="10"/>
      <c r="F1736" s="69"/>
      <c r="G1736" s="68"/>
      <c r="H1736" s="70"/>
      <c r="BA1736" s="4"/>
      <c r="BB1736" s="4"/>
    </row>
    <row r="1737" spans="1:54" x14ac:dyDescent="0.3">
      <c r="A1737" s="66"/>
      <c r="B1737" s="67"/>
      <c r="C1737" s="66"/>
      <c r="D1737" s="68"/>
      <c r="E1737" s="10"/>
      <c r="F1737" s="69"/>
      <c r="G1737" s="68"/>
      <c r="H1737" s="70"/>
      <c r="BA1737" s="4"/>
      <c r="BB1737" s="4"/>
    </row>
    <row r="1738" spans="1:54" x14ac:dyDescent="0.3">
      <c r="A1738" s="66"/>
      <c r="B1738" s="67"/>
      <c r="C1738" s="66"/>
      <c r="D1738" s="68"/>
      <c r="E1738" s="10"/>
      <c r="F1738" s="69"/>
      <c r="G1738" s="68"/>
      <c r="H1738" s="70"/>
      <c r="BA1738" s="4"/>
      <c r="BB1738" s="4"/>
    </row>
    <row r="1739" spans="1:54" x14ac:dyDescent="0.3">
      <c r="A1739" s="66"/>
      <c r="B1739" s="67"/>
      <c r="C1739" s="66"/>
      <c r="D1739" s="68"/>
      <c r="E1739" s="10"/>
      <c r="F1739" s="69"/>
      <c r="G1739" s="68"/>
      <c r="H1739" s="70"/>
      <c r="BA1739" s="4"/>
      <c r="BB1739" s="4"/>
    </row>
    <row r="1740" spans="1:54" x14ac:dyDescent="0.3">
      <c r="A1740" s="66"/>
      <c r="B1740" s="67"/>
      <c r="C1740" s="66"/>
      <c r="D1740" s="68"/>
      <c r="E1740" s="10"/>
      <c r="F1740" s="69"/>
      <c r="G1740" s="68"/>
      <c r="H1740" s="70"/>
      <c r="BA1740" s="4"/>
      <c r="BB1740" s="4"/>
    </row>
    <row r="1741" spans="1:54" x14ac:dyDescent="0.3">
      <c r="A1741" s="66"/>
      <c r="B1741" s="67"/>
      <c r="C1741" s="66"/>
      <c r="D1741" s="68"/>
      <c r="E1741" s="10"/>
      <c r="F1741" s="69"/>
      <c r="G1741" s="68"/>
      <c r="H1741" s="70"/>
      <c r="BA1741" s="4"/>
      <c r="BB1741" s="4"/>
    </row>
    <row r="1742" spans="1:54" x14ac:dyDescent="0.3">
      <c r="A1742" s="66"/>
      <c r="B1742" s="67"/>
      <c r="C1742" s="66"/>
      <c r="D1742" s="68"/>
      <c r="E1742" s="10"/>
      <c r="F1742" s="69"/>
      <c r="G1742" s="68"/>
      <c r="H1742" s="70"/>
      <c r="BA1742" s="4"/>
      <c r="BB1742" s="4"/>
    </row>
    <row r="1743" spans="1:54" x14ac:dyDescent="0.3">
      <c r="A1743" s="66"/>
      <c r="B1743" s="67"/>
      <c r="C1743" s="66"/>
      <c r="D1743" s="68"/>
      <c r="E1743" s="10"/>
      <c r="F1743" s="69"/>
      <c r="G1743" s="68"/>
      <c r="H1743" s="70"/>
      <c r="BA1743" s="4"/>
      <c r="BB1743" s="4"/>
    </row>
    <row r="1744" spans="1:54" x14ac:dyDescent="0.3">
      <c r="A1744" s="66"/>
      <c r="B1744" s="67"/>
      <c r="C1744" s="66"/>
      <c r="D1744" s="68"/>
      <c r="E1744" s="10"/>
      <c r="F1744" s="69"/>
      <c r="G1744" s="68"/>
      <c r="H1744" s="70"/>
      <c r="BA1744" s="4"/>
      <c r="BB1744" s="4"/>
    </row>
    <row r="1745" spans="1:54" x14ac:dyDescent="0.3">
      <c r="A1745" s="66"/>
      <c r="B1745" s="67"/>
      <c r="C1745" s="66"/>
      <c r="D1745" s="68"/>
      <c r="E1745" s="10"/>
      <c r="F1745" s="69"/>
      <c r="G1745" s="68"/>
      <c r="H1745" s="70"/>
      <c r="BA1745" s="4"/>
      <c r="BB1745" s="4"/>
    </row>
    <row r="1746" spans="1:54" x14ac:dyDescent="0.3">
      <c r="A1746" s="66"/>
      <c r="B1746" s="67"/>
      <c r="C1746" s="66"/>
      <c r="D1746" s="68"/>
      <c r="E1746" s="10"/>
      <c r="F1746" s="69"/>
      <c r="G1746" s="68"/>
      <c r="H1746" s="70"/>
      <c r="BA1746" s="4"/>
      <c r="BB1746" s="4"/>
    </row>
    <row r="1747" spans="1:54" x14ac:dyDescent="0.3">
      <c r="A1747" s="66"/>
      <c r="B1747" s="67"/>
      <c r="C1747" s="66"/>
      <c r="D1747" s="68"/>
      <c r="E1747" s="10"/>
      <c r="F1747" s="69"/>
      <c r="G1747" s="68"/>
      <c r="H1747" s="70"/>
      <c r="BA1747" s="4"/>
      <c r="BB1747" s="4"/>
    </row>
    <row r="1748" spans="1:54" x14ac:dyDescent="0.3">
      <c r="A1748" s="66"/>
      <c r="B1748" s="67"/>
      <c r="C1748" s="66"/>
      <c r="D1748" s="68"/>
      <c r="E1748" s="10"/>
      <c r="F1748" s="69"/>
      <c r="G1748" s="68"/>
      <c r="H1748" s="70"/>
      <c r="BA1748" s="4"/>
      <c r="BB1748" s="4"/>
    </row>
    <row r="1749" spans="1:54" x14ac:dyDescent="0.3">
      <c r="A1749" s="66"/>
      <c r="B1749" s="67"/>
      <c r="C1749" s="66"/>
      <c r="D1749" s="68"/>
      <c r="E1749" s="10"/>
      <c r="F1749" s="69"/>
      <c r="G1749" s="68"/>
      <c r="H1749" s="70"/>
      <c r="BA1749" s="4"/>
      <c r="BB1749" s="4"/>
    </row>
    <row r="1750" spans="1:54" x14ac:dyDescent="0.3">
      <c r="A1750" s="66"/>
      <c r="B1750" s="67"/>
      <c r="C1750" s="66"/>
      <c r="D1750" s="68"/>
      <c r="E1750" s="10"/>
      <c r="F1750" s="69"/>
      <c r="G1750" s="68"/>
      <c r="H1750" s="70"/>
      <c r="BA1750" s="4"/>
      <c r="BB1750" s="4"/>
    </row>
    <row r="1751" spans="1:54" x14ac:dyDescent="0.3">
      <c r="A1751" s="66"/>
      <c r="B1751" s="67"/>
      <c r="C1751" s="66"/>
      <c r="D1751" s="68"/>
      <c r="E1751" s="10"/>
      <c r="F1751" s="69"/>
      <c r="G1751" s="68"/>
      <c r="H1751" s="70"/>
      <c r="BA1751" s="4"/>
      <c r="BB1751" s="4"/>
    </row>
    <row r="1752" spans="1:54" x14ac:dyDescent="0.3">
      <c r="A1752" s="66"/>
      <c r="B1752" s="67"/>
      <c r="C1752" s="66"/>
      <c r="D1752" s="68"/>
      <c r="E1752" s="10"/>
      <c r="F1752" s="69"/>
      <c r="G1752" s="68"/>
      <c r="H1752" s="70"/>
      <c r="BA1752" s="4"/>
      <c r="BB1752" s="4"/>
    </row>
    <row r="1753" spans="1:54" x14ac:dyDescent="0.3">
      <c r="A1753" s="66"/>
      <c r="B1753" s="67"/>
      <c r="C1753" s="66"/>
      <c r="D1753" s="68"/>
      <c r="E1753" s="10"/>
      <c r="F1753" s="69"/>
      <c r="G1753" s="68"/>
      <c r="H1753" s="70"/>
      <c r="BA1753" s="4"/>
      <c r="BB1753" s="4"/>
    </row>
    <row r="1754" spans="1:54" x14ac:dyDescent="0.3">
      <c r="A1754" s="66"/>
      <c r="B1754" s="67"/>
      <c r="C1754" s="66"/>
      <c r="D1754" s="68"/>
      <c r="E1754" s="10"/>
      <c r="F1754" s="69"/>
      <c r="G1754" s="68"/>
      <c r="H1754" s="70"/>
      <c r="BA1754" s="4"/>
      <c r="BB1754" s="4"/>
    </row>
    <row r="1755" spans="1:54" x14ac:dyDescent="0.3">
      <c r="A1755" s="66"/>
      <c r="B1755" s="67"/>
      <c r="C1755" s="66"/>
      <c r="D1755" s="68"/>
      <c r="E1755" s="10"/>
      <c r="F1755" s="69"/>
      <c r="G1755" s="68"/>
      <c r="H1755" s="70"/>
      <c r="BA1755" s="4"/>
      <c r="BB1755" s="4"/>
    </row>
    <row r="1756" spans="1:54" x14ac:dyDescent="0.3">
      <c r="A1756" s="66"/>
      <c r="B1756" s="67"/>
      <c r="C1756" s="66"/>
      <c r="D1756" s="68"/>
      <c r="E1756" s="10"/>
      <c r="F1756" s="69"/>
      <c r="G1756" s="68"/>
      <c r="H1756" s="70"/>
      <c r="BA1756" s="4"/>
      <c r="BB1756" s="4"/>
    </row>
    <row r="1757" spans="1:54" x14ac:dyDescent="0.3">
      <c r="A1757" s="66"/>
      <c r="B1757" s="67"/>
      <c r="C1757" s="66"/>
      <c r="D1757" s="68"/>
      <c r="E1757" s="10"/>
      <c r="F1757" s="69"/>
      <c r="G1757" s="68"/>
      <c r="H1757" s="70"/>
      <c r="BA1757" s="4"/>
      <c r="BB1757" s="4"/>
    </row>
    <row r="1758" spans="1:54" x14ac:dyDescent="0.3">
      <c r="A1758" s="66"/>
      <c r="B1758" s="67"/>
      <c r="C1758" s="66"/>
      <c r="D1758" s="68"/>
      <c r="E1758" s="10"/>
      <c r="F1758" s="69"/>
      <c r="G1758" s="68"/>
      <c r="H1758" s="70"/>
      <c r="BA1758" s="4"/>
      <c r="BB1758" s="4"/>
    </row>
    <row r="1759" spans="1:54" x14ac:dyDescent="0.3">
      <c r="A1759" s="66"/>
      <c r="B1759" s="67"/>
      <c r="C1759" s="66"/>
      <c r="D1759" s="68"/>
      <c r="E1759" s="10"/>
      <c r="F1759" s="69"/>
      <c r="G1759" s="68"/>
      <c r="H1759" s="70"/>
      <c r="BA1759" s="4"/>
      <c r="BB1759" s="4"/>
    </row>
    <row r="1760" spans="1:54" x14ac:dyDescent="0.3">
      <c r="A1760" s="66"/>
      <c r="B1760" s="67"/>
      <c r="C1760" s="66"/>
      <c r="D1760" s="68"/>
      <c r="E1760" s="10"/>
      <c r="F1760" s="69"/>
      <c r="G1760" s="68"/>
      <c r="H1760" s="70"/>
      <c r="BA1760" s="4"/>
      <c r="BB1760" s="4"/>
    </row>
    <row r="1761" spans="1:54" x14ac:dyDescent="0.3">
      <c r="A1761" s="66"/>
      <c r="B1761" s="67"/>
      <c r="C1761" s="66"/>
      <c r="D1761" s="68"/>
      <c r="E1761" s="10"/>
      <c r="F1761" s="69"/>
      <c r="G1761" s="68"/>
      <c r="H1761" s="70"/>
      <c r="BA1761" s="4"/>
      <c r="BB1761" s="4"/>
    </row>
    <row r="1762" spans="1:54" x14ac:dyDescent="0.3">
      <c r="A1762" s="66"/>
      <c r="B1762" s="67"/>
      <c r="C1762" s="66"/>
      <c r="D1762" s="68"/>
      <c r="E1762" s="10"/>
      <c r="F1762" s="69"/>
      <c r="G1762" s="68"/>
      <c r="H1762" s="70"/>
      <c r="BA1762" s="4"/>
      <c r="BB1762" s="4"/>
    </row>
    <row r="1763" spans="1:54" x14ac:dyDescent="0.3">
      <c r="A1763" s="66"/>
      <c r="B1763" s="67"/>
      <c r="C1763" s="66"/>
      <c r="D1763" s="68"/>
      <c r="E1763" s="10"/>
      <c r="F1763" s="69"/>
      <c r="G1763" s="68"/>
      <c r="H1763" s="70"/>
      <c r="BA1763" s="4"/>
      <c r="BB1763" s="4"/>
    </row>
    <row r="1764" spans="1:54" x14ac:dyDescent="0.3">
      <c r="A1764" s="66"/>
      <c r="B1764" s="67"/>
      <c r="C1764" s="66"/>
      <c r="D1764" s="68"/>
      <c r="E1764" s="10"/>
      <c r="F1764" s="69"/>
      <c r="G1764" s="68"/>
      <c r="H1764" s="70"/>
      <c r="BA1764" s="4"/>
      <c r="BB1764" s="4"/>
    </row>
    <row r="1765" spans="1:54" x14ac:dyDescent="0.3">
      <c r="A1765" s="66"/>
      <c r="B1765" s="67"/>
      <c r="C1765" s="66"/>
      <c r="D1765" s="68"/>
      <c r="E1765" s="10"/>
      <c r="F1765" s="69"/>
      <c r="G1765" s="68"/>
      <c r="H1765" s="70"/>
      <c r="BA1765" s="4"/>
      <c r="BB1765" s="4"/>
    </row>
    <row r="1766" spans="1:54" x14ac:dyDescent="0.3">
      <c r="A1766" s="66"/>
      <c r="B1766" s="67"/>
      <c r="C1766" s="66"/>
      <c r="D1766" s="68"/>
      <c r="E1766" s="10"/>
      <c r="F1766" s="69"/>
      <c r="G1766" s="68"/>
      <c r="H1766" s="70"/>
      <c r="BA1766" s="4"/>
      <c r="BB1766" s="4"/>
    </row>
    <row r="1767" spans="1:54" x14ac:dyDescent="0.3">
      <c r="A1767" s="66"/>
      <c r="B1767" s="67"/>
      <c r="C1767" s="66"/>
      <c r="D1767" s="68"/>
      <c r="E1767" s="10"/>
      <c r="F1767" s="69"/>
      <c r="G1767" s="68"/>
      <c r="H1767" s="70"/>
      <c r="BA1767" s="4"/>
      <c r="BB1767" s="4"/>
    </row>
    <row r="1768" spans="1:54" x14ac:dyDescent="0.3">
      <c r="A1768" s="66"/>
      <c r="B1768" s="67"/>
      <c r="C1768" s="66"/>
      <c r="D1768" s="68"/>
      <c r="E1768" s="10"/>
      <c r="F1768" s="69"/>
      <c r="G1768" s="68"/>
      <c r="H1768" s="70"/>
      <c r="BA1768" s="4"/>
      <c r="BB1768" s="4"/>
    </row>
    <row r="1769" spans="1:54" x14ac:dyDescent="0.3">
      <c r="A1769" s="66"/>
      <c r="B1769" s="67"/>
      <c r="C1769" s="66"/>
      <c r="D1769" s="68"/>
      <c r="E1769" s="10"/>
      <c r="F1769" s="69"/>
      <c r="G1769" s="68"/>
      <c r="H1769" s="70"/>
      <c r="BA1769" s="4"/>
      <c r="BB1769" s="4"/>
    </row>
    <row r="1770" spans="1:54" x14ac:dyDescent="0.3">
      <c r="A1770" s="66"/>
      <c r="B1770" s="67"/>
      <c r="C1770" s="66"/>
      <c r="D1770" s="68"/>
      <c r="E1770" s="10"/>
      <c r="F1770" s="69"/>
      <c r="G1770" s="68"/>
      <c r="H1770" s="70"/>
      <c r="BA1770" s="4"/>
      <c r="BB1770" s="4"/>
    </row>
    <row r="1771" spans="1:54" x14ac:dyDescent="0.3">
      <c r="A1771" s="66"/>
      <c r="B1771" s="67"/>
      <c r="C1771" s="66"/>
      <c r="D1771" s="68"/>
      <c r="E1771" s="10"/>
      <c r="F1771" s="69"/>
      <c r="G1771" s="68"/>
      <c r="H1771" s="70"/>
      <c r="BA1771" s="4"/>
      <c r="BB1771" s="4"/>
    </row>
    <row r="1772" spans="1:54" x14ac:dyDescent="0.3">
      <c r="A1772" s="66"/>
      <c r="B1772" s="67"/>
      <c r="C1772" s="66"/>
      <c r="D1772" s="68"/>
      <c r="E1772" s="10"/>
      <c r="F1772" s="69"/>
      <c r="G1772" s="68"/>
      <c r="H1772" s="70"/>
      <c r="BA1772" s="4"/>
      <c r="BB1772" s="4"/>
    </row>
    <row r="1773" spans="1:54" x14ac:dyDescent="0.3">
      <c r="A1773" s="66"/>
      <c r="B1773" s="67"/>
      <c r="C1773" s="66"/>
      <c r="D1773" s="68"/>
      <c r="E1773" s="10"/>
      <c r="F1773" s="69"/>
      <c r="G1773" s="68"/>
      <c r="H1773" s="70"/>
      <c r="BA1773" s="4"/>
      <c r="BB1773" s="4"/>
    </row>
    <row r="1774" spans="1:54" x14ac:dyDescent="0.3">
      <c r="A1774" s="66"/>
      <c r="B1774" s="67"/>
      <c r="C1774" s="66"/>
      <c r="D1774" s="68"/>
      <c r="E1774" s="10"/>
      <c r="F1774" s="69"/>
      <c r="G1774" s="68"/>
      <c r="H1774" s="70"/>
      <c r="BA1774" s="4"/>
      <c r="BB1774" s="4"/>
    </row>
    <row r="1775" spans="1:54" x14ac:dyDescent="0.3">
      <c r="A1775" s="66"/>
      <c r="B1775" s="67"/>
      <c r="C1775" s="66"/>
      <c r="D1775" s="68"/>
      <c r="E1775" s="10"/>
      <c r="F1775" s="69"/>
      <c r="G1775" s="68"/>
      <c r="H1775" s="70"/>
      <c r="BA1775" s="4"/>
      <c r="BB1775" s="4"/>
    </row>
    <row r="1776" spans="1:54" x14ac:dyDescent="0.3">
      <c r="A1776" s="66"/>
      <c r="B1776" s="67"/>
      <c r="C1776" s="66"/>
      <c r="D1776" s="68"/>
      <c r="E1776" s="10"/>
      <c r="F1776" s="69"/>
      <c r="G1776" s="68"/>
      <c r="H1776" s="70"/>
      <c r="BA1776" s="4"/>
      <c r="BB1776" s="4"/>
    </row>
    <row r="1777" spans="1:54" x14ac:dyDescent="0.3">
      <c r="A1777" s="66"/>
      <c r="B1777" s="67"/>
      <c r="C1777" s="66"/>
      <c r="D1777" s="68"/>
      <c r="E1777" s="10"/>
      <c r="F1777" s="69"/>
      <c r="G1777" s="68"/>
      <c r="H1777" s="70"/>
      <c r="BA1777" s="4"/>
      <c r="BB1777" s="4"/>
    </row>
    <row r="1778" spans="1:54" x14ac:dyDescent="0.3">
      <c r="A1778" s="66"/>
      <c r="B1778" s="67"/>
      <c r="C1778" s="66"/>
      <c r="D1778" s="68"/>
      <c r="E1778" s="10"/>
      <c r="F1778" s="69"/>
      <c r="G1778" s="68"/>
      <c r="H1778" s="70"/>
      <c r="BA1778" s="4"/>
      <c r="BB1778" s="4"/>
    </row>
    <row r="1779" spans="1:54" x14ac:dyDescent="0.3">
      <c r="A1779" s="66"/>
      <c r="B1779" s="67"/>
      <c r="C1779" s="66"/>
      <c r="D1779" s="68"/>
      <c r="E1779" s="10"/>
      <c r="F1779" s="69"/>
      <c r="G1779" s="68"/>
      <c r="H1779" s="70"/>
      <c r="BA1779" s="4"/>
      <c r="BB1779" s="4"/>
    </row>
    <row r="1780" spans="1:54" x14ac:dyDescent="0.3">
      <c r="A1780" s="66"/>
      <c r="B1780" s="67"/>
      <c r="C1780" s="66"/>
      <c r="D1780" s="68"/>
      <c r="E1780" s="10"/>
      <c r="F1780" s="69"/>
      <c r="G1780" s="68"/>
      <c r="H1780" s="70"/>
      <c r="BA1780" s="4"/>
      <c r="BB1780" s="4"/>
    </row>
    <row r="1781" spans="1:54" x14ac:dyDescent="0.3">
      <c r="A1781" s="66"/>
      <c r="B1781" s="67"/>
      <c r="C1781" s="66"/>
      <c r="D1781" s="68"/>
      <c r="E1781" s="10"/>
      <c r="F1781" s="69"/>
      <c r="G1781" s="68"/>
      <c r="H1781" s="70"/>
      <c r="BA1781" s="4"/>
      <c r="BB1781" s="4"/>
    </row>
    <row r="1782" spans="1:54" x14ac:dyDescent="0.3">
      <c r="A1782" s="66"/>
      <c r="B1782" s="67"/>
      <c r="C1782" s="66"/>
      <c r="D1782" s="68"/>
      <c r="E1782" s="10"/>
      <c r="F1782" s="69"/>
      <c r="G1782" s="68"/>
      <c r="H1782" s="70"/>
      <c r="BA1782" s="4"/>
      <c r="BB1782" s="4"/>
    </row>
    <row r="1783" spans="1:54" x14ac:dyDescent="0.3">
      <c r="A1783" s="66"/>
      <c r="B1783" s="67"/>
      <c r="C1783" s="66"/>
      <c r="D1783" s="68"/>
      <c r="E1783" s="10"/>
      <c r="F1783" s="69"/>
      <c r="G1783" s="68"/>
      <c r="H1783" s="70"/>
      <c r="BA1783" s="4"/>
      <c r="BB1783" s="4"/>
    </row>
    <row r="1784" spans="1:54" x14ac:dyDescent="0.3">
      <c r="A1784" s="66"/>
      <c r="B1784" s="67"/>
      <c r="C1784" s="66"/>
      <c r="D1784" s="68"/>
      <c r="E1784" s="10"/>
      <c r="F1784" s="69"/>
      <c r="G1784" s="68"/>
      <c r="H1784" s="70"/>
      <c r="BA1784" s="4"/>
      <c r="BB1784" s="4"/>
    </row>
    <row r="1785" spans="1:54" x14ac:dyDescent="0.3">
      <c r="A1785" s="66"/>
      <c r="B1785" s="67"/>
      <c r="C1785" s="66"/>
      <c r="D1785" s="68"/>
      <c r="E1785" s="10"/>
      <c r="F1785" s="69"/>
      <c r="G1785" s="68"/>
      <c r="H1785" s="70"/>
      <c r="BA1785" s="4"/>
      <c r="BB1785" s="4"/>
    </row>
    <row r="1786" spans="1:54" x14ac:dyDescent="0.3">
      <c r="A1786" s="66"/>
      <c r="B1786" s="67"/>
      <c r="C1786" s="66"/>
      <c r="D1786" s="68"/>
      <c r="E1786" s="10"/>
      <c r="F1786" s="69"/>
      <c r="G1786" s="68"/>
      <c r="H1786" s="70"/>
      <c r="BA1786" s="4"/>
      <c r="BB1786" s="4"/>
    </row>
    <row r="1787" spans="1:54" x14ac:dyDescent="0.3">
      <c r="A1787" s="66"/>
      <c r="B1787" s="67"/>
      <c r="C1787" s="66"/>
      <c r="D1787" s="68"/>
      <c r="E1787" s="10"/>
      <c r="F1787" s="69"/>
      <c r="G1787" s="68"/>
      <c r="H1787" s="70"/>
      <c r="BA1787" s="4"/>
      <c r="BB1787" s="4"/>
    </row>
    <row r="1788" spans="1:54" x14ac:dyDescent="0.3">
      <c r="A1788" s="66"/>
      <c r="B1788" s="67"/>
      <c r="C1788" s="66"/>
      <c r="D1788" s="68"/>
      <c r="E1788" s="10"/>
      <c r="F1788" s="69"/>
      <c r="G1788" s="68"/>
      <c r="H1788" s="70"/>
      <c r="BA1788" s="4"/>
      <c r="BB1788" s="4"/>
    </row>
    <row r="1789" spans="1:54" x14ac:dyDescent="0.3">
      <c r="A1789" s="66"/>
      <c r="B1789" s="67"/>
      <c r="C1789" s="66"/>
      <c r="D1789" s="68"/>
      <c r="E1789" s="10"/>
      <c r="F1789" s="69"/>
      <c r="G1789" s="68"/>
      <c r="H1789" s="70"/>
      <c r="BA1789" s="4"/>
      <c r="BB1789" s="4"/>
    </row>
    <row r="1790" spans="1:54" x14ac:dyDescent="0.3">
      <c r="A1790" s="66"/>
      <c r="B1790" s="67"/>
      <c r="C1790" s="66"/>
      <c r="D1790" s="68"/>
      <c r="E1790" s="10"/>
      <c r="F1790" s="69"/>
      <c r="G1790" s="68"/>
      <c r="H1790" s="70"/>
      <c r="BA1790" s="4"/>
      <c r="BB1790" s="4"/>
    </row>
    <row r="1791" spans="1:54" x14ac:dyDescent="0.3">
      <c r="A1791" s="66"/>
      <c r="B1791" s="67"/>
      <c r="C1791" s="66"/>
      <c r="D1791" s="68"/>
      <c r="E1791" s="10"/>
      <c r="F1791" s="69"/>
      <c r="G1791" s="68"/>
      <c r="H1791" s="70"/>
      <c r="BA1791" s="4"/>
      <c r="BB1791" s="4"/>
    </row>
    <row r="1792" spans="1:54" x14ac:dyDescent="0.3">
      <c r="A1792" s="66"/>
      <c r="B1792" s="67"/>
      <c r="C1792" s="66"/>
      <c r="D1792" s="68"/>
      <c r="E1792" s="10"/>
      <c r="F1792" s="69"/>
      <c r="G1792" s="68"/>
      <c r="H1792" s="70"/>
      <c r="BA1792" s="4"/>
      <c r="BB1792" s="4"/>
    </row>
    <row r="1793" spans="1:54" x14ac:dyDescent="0.3">
      <c r="A1793" s="66"/>
      <c r="B1793" s="67"/>
      <c r="C1793" s="66"/>
      <c r="D1793" s="68"/>
      <c r="E1793" s="10"/>
      <c r="F1793" s="69"/>
      <c r="G1793" s="68"/>
      <c r="H1793" s="70"/>
      <c r="BA1793" s="4"/>
      <c r="BB1793" s="4"/>
    </row>
    <row r="1794" spans="1:54" x14ac:dyDescent="0.3">
      <c r="A1794" s="66"/>
      <c r="B1794" s="67"/>
      <c r="C1794" s="66"/>
      <c r="D1794" s="68"/>
      <c r="E1794" s="10"/>
      <c r="F1794" s="69"/>
      <c r="G1794" s="68"/>
      <c r="H1794" s="70"/>
      <c r="BA1794" s="4"/>
      <c r="BB1794" s="4"/>
    </row>
    <row r="1795" spans="1:54" x14ac:dyDescent="0.3">
      <c r="A1795" s="66"/>
      <c r="B1795" s="67"/>
      <c r="C1795" s="66"/>
      <c r="D1795" s="68"/>
      <c r="E1795" s="10"/>
      <c r="F1795" s="69"/>
      <c r="G1795" s="68"/>
      <c r="H1795" s="70"/>
      <c r="BA1795" s="4"/>
      <c r="BB1795" s="4"/>
    </row>
    <row r="1796" spans="1:54" x14ac:dyDescent="0.3">
      <c r="A1796" s="66"/>
      <c r="B1796" s="67"/>
      <c r="C1796" s="66"/>
      <c r="D1796" s="68"/>
      <c r="E1796" s="10"/>
      <c r="F1796" s="69"/>
      <c r="G1796" s="68"/>
      <c r="H1796" s="70"/>
      <c r="BA1796" s="4"/>
      <c r="BB1796" s="4"/>
    </row>
    <row r="1797" spans="1:54" x14ac:dyDescent="0.3">
      <c r="A1797" s="66"/>
      <c r="B1797" s="67"/>
      <c r="C1797" s="66"/>
      <c r="D1797" s="68"/>
      <c r="E1797" s="10"/>
      <c r="F1797" s="69"/>
      <c r="G1797" s="68"/>
      <c r="H1797" s="70"/>
      <c r="BA1797" s="4"/>
      <c r="BB1797" s="4"/>
    </row>
    <row r="1798" spans="1:54" x14ac:dyDescent="0.3">
      <c r="A1798" s="66"/>
      <c r="B1798" s="67"/>
      <c r="C1798" s="66"/>
      <c r="D1798" s="68"/>
      <c r="E1798" s="10"/>
      <c r="F1798" s="69"/>
      <c r="G1798" s="68"/>
      <c r="H1798" s="70"/>
      <c r="BA1798" s="4"/>
      <c r="BB1798" s="4"/>
    </row>
    <row r="1799" spans="1:54" x14ac:dyDescent="0.3">
      <c r="A1799" s="66"/>
      <c r="B1799" s="67"/>
      <c r="C1799" s="66"/>
      <c r="D1799" s="68"/>
      <c r="E1799" s="10"/>
      <c r="F1799" s="69"/>
      <c r="G1799" s="68"/>
      <c r="H1799" s="70"/>
      <c r="BA1799" s="4"/>
      <c r="BB1799" s="4"/>
    </row>
    <row r="1800" spans="1:54" x14ac:dyDescent="0.3">
      <c r="A1800" s="66"/>
      <c r="B1800" s="67"/>
      <c r="C1800" s="66"/>
      <c r="D1800" s="68"/>
      <c r="E1800" s="10"/>
      <c r="F1800" s="69"/>
      <c r="G1800" s="68"/>
      <c r="H1800" s="70"/>
      <c r="BA1800" s="4"/>
      <c r="BB1800" s="4"/>
    </row>
    <row r="1801" spans="1:54" x14ac:dyDescent="0.3">
      <c r="A1801" s="66"/>
      <c r="B1801" s="67"/>
      <c r="C1801" s="66"/>
      <c r="D1801" s="68"/>
      <c r="E1801" s="10"/>
      <c r="F1801" s="69"/>
      <c r="G1801" s="68"/>
      <c r="H1801" s="70"/>
      <c r="BA1801" s="4"/>
      <c r="BB1801" s="4"/>
    </row>
    <row r="1802" spans="1:54" x14ac:dyDescent="0.3">
      <c r="A1802" s="66"/>
      <c r="B1802" s="67"/>
      <c r="C1802" s="66"/>
      <c r="D1802" s="68"/>
      <c r="E1802" s="10"/>
      <c r="F1802" s="69"/>
      <c r="G1802" s="68"/>
      <c r="H1802" s="70"/>
      <c r="BA1802" s="4"/>
      <c r="BB1802" s="4"/>
    </row>
    <row r="1803" spans="1:54" x14ac:dyDescent="0.3">
      <c r="A1803" s="66"/>
      <c r="B1803" s="67"/>
      <c r="C1803" s="66"/>
      <c r="D1803" s="68"/>
      <c r="E1803" s="10"/>
      <c r="F1803" s="69"/>
      <c r="G1803" s="68"/>
      <c r="H1803" s="70"/>
      <c r="BA1803" s="4"/>
      <c r="BB1803" s="4"/>
    </row>
    <row r="1804" spans="1:54" x14ac:dyDescent="0.3">
      <c r="A1804" s="66"/>
      <c r="B1804" s="67"/>
      <c r="C1804" s="66"/>
      <c r="D1804" s="68"/>
      <c r="E1804" s="10"/>
      <c r="F1804" s="69"/>
      <c r="G1804" s="68"/>
      <c r="H1804" s="70"/>
      <c r="BA1804" s="4"/>
      <c r="BB1804" s="4"/>
    </row>
    <row r="1805" spans="1:54" x14ac:dyDescent="0.3">
      <c r="A1805" s="66"/>
      <c r="B1805" s="67"/>
      <c r="C1805" s="66"/>
      <c r="D1805" s="68"/>
      <c r="E1805" s="10"/>
      <c r="F1805" s="69"/>
      <c r="G1805" s="68"/>
      <c r="H1805" s="70"/>
      <c r="BA1805" s="4"/>
      <c r="BB1805" s="4"/>
    </row>
    <row r="1806" spans="1:54" x14ac:dyDescent="0.3">
      <c r="A1806" s="66"/>
      <c r="B1806" s="67"/>
      <c r="C1806" s="66"/>
      <c r="D1806" s="68"/>
      <c r="E1806" s="10"/>
      <c r="F1806" s="69"/>
      <c r="G1806" s="68"/>
      <c r="H1806" s="70"/>
      <c r="BA1806" s="4"/>
      <c r="BB1806" s="4"/>
    </row>
    <row r="1807" spans="1:54" x14ac:dyDescent="0.3">
      <c r="A1807" s="66"/>
      <c r="B1807" s="67"/>
      <c r="C1807" s="66"/>
      <c r="D1807" s="68"/>
      <c r="E1807" s="10"/>
      <c r="F1807" s="69"/>
      <c r="G1807" s="68"/>
      <c r="H1807" s="70"/>
      <c r="BA1807" s="4"/>
      <c r="BB1807" s="4"/>
    </row>
    <row r="1808" spans="1:54" x14ac:dyDescent="0.3">
      <c r="A1808" s="66"/>
      <c r="B1808" s="67"/>
      <c r="C1808" s="66"/>
      <c r="D1808" s="68"/>
      <c r="E1808" s="10"/>
      <c r="F1808" s="69"/>
      <c r="G1808" s="68"/>
      <c r="H1808" s="70"/>
      <c r="BA1808" s="4"/>
      <c r="BB1808" s="4"/>
    </row>
    <row r="1809" spans="1:54" x14ac:dyDescent="0.3">
      <c r="A1809" s="66"/>
      <c r="B1809" s="67"/>
      <c r="C1809" s="66"/>
      <c r="D1809" s="68"/>
      <c r="E1809" s="10"/>
      <c r="F1809" s="69"/>
      <c r="G1809" s="68"/>
      <c r="H1809" s="70"/>
      <c r="BA1809" s="4"/>
      <c r="BB1809" s="4"/>
    </row>
    <row r="1810" spans="1:54" x14ac:dyDescent="0.3">
      <c r="A1810" s="66"/>
      <c r="B1810" s="67"/>
      <c r="C1810" s="66"/>
      <c r="D1810" s="68"/>
      <c r="E1810" s="10"/>
      <c r="F1810" s="69"/>
      <c r="G1810" s="68"/>
      <c r="H1810" s="70"/>
      <c r="BA1810" s="4"/>
      <c r="BB1810" s="4"/>
    </row>
    <row r="1811" spans="1:54" x14ac:dyDescent="0.3">
      <c r="A1811" s="66"/>
      <c r="B1811" s="67"/>
      <c r="C1811" s="66"/>
      <c r="D1811" s="68"/>
      <c r="E1811" s="10"/>
      <c r="F1811" s="69"/>
      <c r="G1811" s="68"/>
      <c r="H1811" s="70"/>
      <c r="BA1811" s="4"/>
      <c r="BB1811" s="4"/>
    </row>
    <row r="1812" spans="1:54" x14ac:dyDescent="0.3">
      <c r="A1812" s="66"/>
      <c r="B1812" s="67"/>
      <c r="C1812" s="66"/>
      <c r="D1812" s="68"/>
      <c r="E1812" s="10"/>
      <c r="F1812" s="69"/>
      <c r="G1812" s="68"/>
      <c r="H1812" s="70"/>
      <c r="BA1812" s="4"/>
      <c r="BB1812" s="4"/>
    </row>
    <row r="1813" spans="1:54" x14ac:dyDescent="0.3">
      <c r="A1813" s="66"/>
      <c r="B1813" s="67"/>
      <c r="C1813" s="66"/>
      <c r="D1813" s="68"/>
      <c r="E1813" s="10"/>
      <c r="F1813" s="69"/>
      <c r="G1813" s="68"/>
      <c r="H1813" s="70"/>
      <c r="BA1813" s="4"/>
      <c r="BB1813" s="4"/>
    </row>
    <row r="1814" spans="1:54" x14ac:dyDescent="0.3">
      <c r="A1814" s="66"/>
      <c r="B1814" s="67"/>
      <c r="C1814" s="66"/>
      <c r="D1814" s="68"/>
      <c r="E1814" s="10"/>
      <c r="F1814" s="69"/>
      <c r="G1814" s="68"/>
      <c r="H1814" s="70"/>
      <c r="BA1814" s="4"/>
      <c r="BB1814" s="4"/>
    </row>
    <row r="1815" spans="1:54" x14ac:dyDescent="0.3">
      <c r="A1815" s="66"/>
      <c r="B1815" s="67"/>
      <c r="C1815" s="66"/>
      <c r="D1815" s="68"/>
      <c r="E1815" s="10"/>
      <c r="F1815" s="69"/>
      <c r="G1815" s="68"/>
      <c r="H1815" s="70"/>
      <c r="BA1815" s="4"/>
      <c r="BB1815" s="4"/>
    </row>
    <row r="1816" spans="1:54" x14ac:dyDescent="0.3">
      <c r="A1816" s="66"/>
      <c r="B1816" s="67"/>
      <c r="C1816" s="66"/>
      <c r="D1816" s="68"/>
      <c r="E1816" s="10"/>
      <c r="F1816" s="69"/>
      <c r="G1816" s="68"/>
      <c r="H1816" s="70"/>
      <c r="BA1816" s="4"/>
      <c r="BB1816" s="4"/>
    </row>
    <row r="1817" spans="1:54" x14ac:dyDescent="0.3">
      <c r="A1817" s="66"/>
      <c r="B1817" s="67"/>
      <c r="C1817" s="66"/>
      <c r="D1817" s="68"/>
      <c r="E1817" s="10"/>
      <c r="F1817" s="69"/>
      <c r="G1817" s="68"/>
      <c r="H1817" s="70"/>
      <c r="BA1817" s="4"/>
      <c r="BB1817" s="4"/>
    </row>
    <row r="1818" spans="1:54" x14ac:dyDescent="0.3">
      <c r="A1818" s="66"/>
      <c r="B1818" s="67"/>
      <c r="C1818" s="66"/>
      <c r="D1818" s="68"/>
      <c r="E1818" s="10"/>
      <c r="F1818" s="69"/>
      <c r="G1818" s="68"/>
      <c r="H1818" s="70"/>
      <c r="BA1818" s="4"/>
      <c r="BB1818" s="4"/>
    </row>
    <row r="1819" spans="1:54" x14ac:dyDescent="0.3">
      <c r="A1819" s="66"/>
      <c r="B1819" s="67"/>
      <c r="C1819" s="66"/>
      <c r="D1819" s="68"/>
      <c r="E1819" s="10"/>
      <c r="F1819" s="69"/>
      <c r="G1819" s="68"/>
      <c r="H1819" s="70"/>
      <c r="BA1819" s="4"/>
      <c r="BB1819" s="4"/>
    </row>
    <row r="1820" spans="1:54" x14ac:dyDescent="0.3">
      <c r="A1820" s="66"/>
      <c r="B1820" s="67"/>
      <c r="C1820" s="66"/>
      <c r="D1820" s="68"/>
      <c r="E1820" s="10"/>
      <c r="F1820" s="69"/>
      <c r="G1820" s="68"/>
      <c r="H1820" s="70"/>
      <c r="BA1820" s="4"/>
      <c r="BB1820" s="4"/>
    </row>
    <row r="1821" spans="1:54" x14ac:dyDescent="0.3">
      <c r="A1821" s="66"/>
      <c r="B1821" s="67"/>
      <c r="C1821" s="66"/>
      <c r="D1821" s="68"/>
      <c r="E1821" s="10"/>
      <c r="F1821" s="69"/>
      <c r="G1821" s="68"/>
      <c r="H1821" s="70"/>
      <c r="BA1821" s="4"/>
      <c r="BB1821" s="4"/>
    </row>
    <row r="1822" spans="1:54" x14ac:dyDescent="0.3">
      <c r="A1822" s="66"/>
      <c r="B1822" s="67"/>
      <c r="C1822" s="66"/>
      <c r="D1822" s="68"/>
      <c r="E1822" s="10"/>
      <c r="F1822" s="69"/>
      <c r="G1822" s="68"/>
      <c r="H1822" s="70"/>
      <c r="BA1822" s="4"/>
      <c r="BB1822" s="4"/>
    </row>
    <row r="1823" spans="1:54" x14ac:dyDescent="0.3">
      <c r="A1823" s="66"/>
      <c r="B1823" s="67"/>
      <c r="C1823" s="66"/>
      <c r="D1823" s="68"/>
      <c r="E1823" s="10"/>
      <c r="F1823" s="69"/>
      <c r="G1823" s="68"/>
      <c r="H1823" s="70"/>
      <c r="BA1823" s="4"/>
      <c r="BB1823" s="4"/>
    </row>
    <row r="1824" spans="1:54" x14ac:dyDescent="0.3">
      <c r="A1824" s="66"/>
      <c r="B1824" s="67"/>
      <c r="C1824" s="66"/>
      <c r="D1824" s="68"/>
      <c r="E1824" s="10"/>
      <c r="F1824" s="69"/>
      <c r="G1824" s="68"/>
      <c r="H1824" s="70"/>
      <c r="BA1824" s="4"/>
      <c r="BB1824" s="4"/>
    </row>
    <row r="1825" spans="1:54" x14ac:dyDescent="0.3">
      <c r="A1825" s="66"/>
      <c r="B1825" s="67"/>
      <c r="C1825" s="66"/>
      <c r="D1825" s="68"/>
      <c r="E1825" s="10"/>
      <c r="F1825" s="69"/>
      <c r="G1825" s="68"/>
      <c r="H1825" s="70"/>
      <c r="BA1825" s="4"/>
      <c r="BB1825" s="4"/>
    </row>
    <row r="1826" spans="1:54" x14ac:dyDescent="0.3">
      <c r="A1826" s="66"/>
      <c r="B1826" s="67"/>
      <c r="C1826" s="66"/>
      <c r="D1826" s="68"/>
      <c r="E1826" s="10"/>
      <c r="F1826" s="69"/>
      <c r="G1826" s="68"/>
      <c r="H1826" s="70"/>
      <c r="BA1826" s="4"/>
      <c r="BB1826" s="4"/>
    </row>
    <row r="1827" spans="1:54" x14ac:dyDescent="0.3">
      <c r="A1827" s="66"/>
      <c r="B1827" s="67"/>
      <c r="C1827" s="66"/>
      <c r="D1827" s="68"/>
      <c r="E1827" s="10"/>
      <c r="F1827" s="69"/>
      <c r="G1827" s="68"/>
      <c r="H1827" s="70"/>
      <c r="BA1827" s="4"/>
      <c r="BB1827" s="4"/>
    </row>
    <row r="1828" spans="1:54" x14ac:dyDescent="0.3">
      <c r="A1828" s="66"/>
      <c r="B1828" s="67"/>
      <c r="C1828" s="66"/>
      <c r="D1828" s="68"/>
      <c r="E1828" s="10"/>
      <c r="F1828" s="69"/>
      <c r="G1828" s="68"/>
      <c r="H1828" s="70"/>
      <c r="BA1828" s="4"/>
      <c r="BB1828" s="4"/>
    </row>
    <row r="1829" spans="1:54" x14ac:dyDescent="0.3">
      <c r="A1829" s="66"/>
      <c r="B1829" s="67"/>
      <c r="C1829" s="66"/>
      <c r="D1829" s="68"/>
      <c r="E1829" s="10"/>
      <c r="F1829" s="69"/>
      <c r="G1829" s="68"/>
      <c r="H1829" s="70"/>
      <c r="BA1829" s="4"/>
      <c r="BB1829" s="4"/>
    </row>
    <row r="1830" spans="1:54" x14ac:dyDescent="0.3">
      <c r="A1830" s="66"/>
      <c r="B1830" s="67"/>
      <c r="C1830" s="66"/>
      <c r="D1830" s="68"/>
      <c r="E1830" s="10"/>
      <c r="F1830" s="69"/>
      <c r="G1830" s="68"/>
      <c r="H1830" s="70"/>
      <c r="BA1830" s="4"/>
      <c r="BB1830" s="4"/>
    </row>
    <row r="1831" spans="1:54" x14ac:dyDescent="0.3">
      <c r="A1831" s="66"/>
      <c r="B1831" s="67"/>
      <c r="C1831" s="66"/>
      <c r="D1831" s="68"/>
      <c r="E1831" s="10"/>
      <c r="F1831" s="69"/>
      <c r="G1831" s="68"/>
      <c r="H1831" s="70"/>
      <c r="BA1831" s="4"/>
      <c r="BB1831" s="4"/>
    </row>
    <row r="1832" spans="1:54" x14ac:dyDescent="0.3">
      <c r="A1832" s="66"/>
      <c r="B1832" s="67"/>
      <c r="C1832" s="66"/>
      <c r="D1832" s="68"/>
      <c r="E1832" s="10"/>
      <c r="F1832" s="69"/>
      <c r="G1832" s="68"/>
      <c r="H1832" s="70"/>
      <c r="BA1832" s="4"/>
      <c r="BB1832" s="4"/>
    </row>
    <row r="1833" spans="1:54" x14ac:dyDescent="0.3">
      <c r="A1833" s="66"/>
      <c r="B1833" s="67"/>
      <c r="C1833" s="66"/>
      <c r="D1833" s="68"/>
      <c r="E1833" s="10"/>
      <c r="F1833" s="69"/>
      <c r="G1833" s="68"/>
      <c r="H1833" s="70"/>
      <c r="BA1833" s="4"/>
      <c r="BB1833" s="4"/>
    </row>
    <row r="1834" spans="1:54" x14ac:dyDescent="0.3">
      <c r="A1834" s="66"/>
      <c r="B1834" s="67"/>
      <c r="C1834" s="66"/>
      <c r="D1834" s="68"/>
      <c r="E1834" s="10"/>
      <c r="F1834" s="69"/>
      <c r="G1834" s="68"/>
      <c r="H1834" s="70"/>
      <c r="BA1834" s="4"/>
      <c r="BB1834" s="4"/>
    </row>
    <row r="1835" spans="1:54" x14ac:dyDescent="0.3">
      <c r="A1835" s="66"/>
      <c r="B1835" s="67"/>
      <c r="C1835" s="66"/>
      <c r="D1835" s="68"/>
      <c r="E1835" s="10"/>
      <c r="F1835" s="69"/>
      <c r="G1835" s="68"/>
      <c r="H1835" s="70"/>
      <c r="BA1835" s="4"/>
      <c r="BB1835" s="4"/>
    </row>
    <row r="1836" spans="1:54" x14ac:dyDescent="0.3">
      <c r="A1836" s="66"/>
      <c r="B1836" s="67"/>
      <c r="C1836" s="66"/>
      <c r="D1836" s="68"/>
      <c r="E1836" s="10"/>
      <c r="F1836" s="69"/>
      <c r="G1836" s="68"/>
      <c r="H1836" s="70"/>
      <c r="BA1836" s="4"/>
      <c r="BB1836" s="4"/>
    </row>
    <row r="1837" spans="1:54" x14ac:dyDescent="0.3">
      <c r="A1837" s="66"/>
      <c r="B1837" s="67"/>
      <c r="C1837" s="66"/>
      <c r="D1837" s="68"/>
      <c r="E1837" s="10"/>
      <c r="F1837" s="69"/>
      <c r="G1837" s="68"/>
      <c r="H1837" s="70"/>
      <c r="BA1837" s="4"/>
      <c r="BB1837" s="4"/>
    </row>
    <row r="1838" spans="1:54" x14ac:dyDescent="0.3">
      <c r="A1838" s="66"/>
      <c r="B1838" s="67"/>
      <c r="C1838" s="66"/>
      <c r="D1838" s="68"/>
      <c r="E1838" s="10"/>
      <c r="F1838" s="69"/>
      <c r="G1838" s="68"/>
      <c r="H1838" s="70"/>
      <c r="BA1838" s="4"/>
      <c r="BB1838" s="4"/>
    </row>
    <row r="1839" spans="1:54" x14ac:dyDescent="0.3">
      <c r="A1839" s="66"/>
      <c r="B1839" s="67"/>
      <c r="C1839" s="66"/>
      <c r="D1839" s="68"/>
      <c r="E1839" s="10"/>
      <c r="F1839" s="69"/>
      <c r="G1839" s="68"/>
      <c r="H1839" s="70"/>
      <c r="BA1839" s="4"/>
      <c r="BB1839" s="4"/>
    </row>
    <row r="1840" spans="1:54" x14ac:dyDescent="0.3">
      <c r="A1840" s="66"/>
      <c r="B1840" s="67"/>
      <c r="C1840" s="66"/>
      <c r="D1840" s="68"/>
      <c r="E1840" s="10"/>
      <c r="F1840" s="69"/>
      <c r="G1840" s="68"/>
      <c r="H1840" s="70"/>
      <c r="BA1840" s="4"/>
      <c r="BB1840" s="4"/>
    </row>
    <row r="1841" spans="1:54" x14ac:dyDescent="0.3">
      <c r="A1841" s="66"/>
      <c r="B1841" s="67"/>
      <c r="C1841" s="66"/>
      <c r="D1841" s="68"/>
      <c r="E1841" s="10"/>
      <c r="F1841" s="69"/>
      <c r="G1841" s="68"/>
      <c r="H1841" s="70"/>
      <c r="BA1841" s="4"/>
      <c r="BB1841" s="4"/>
    </row>
    <row r="1842" spans="1:54" x14ac:dyDescent="0.3">
      <c r="A1842" s="66"/>
      <c r="B1842" s="67"/>
      <c r="C1842" s="66"/>
      <c r="D1842" s="68"/>
      <c r="E1842" s="10"/>
      <c r="F1842" s="69"/>
      <c r="G1842" s="68"/>
      <c r="H1842" s="70"/>
      <c r="BA1842" s="4"/>
      <c r="BB1842" s="4"/>
    </row>
    <row r="1843" spans="1:54" x14ac:dyDescent="0.3">
      <c r="A1843" s="66"/>
      <c r="B1843" s="67"/>
      <c r="C1843" s="66"/>
      <c r="D1843" s="68"/>
      <c r="E1843" s="10"/>
      <c r="F1843" s="69"/>
      <c r="G1843" s="68"/>
      <c r="H1843" s="70"/>
      <c r="BA1843" s="4"/>
      <c r="BB1843" s="4"/>
    </row>
    <row r="1844" spans="1:54" x14ac:dyDescent="0.3">
      <c r="A1844" s="66"/>
      <c r="B1844" s="67"/>
      <c r="C1844" s="66"/>
      <c r="D1844" s="68"/>
      <c r="E1844" s="10"/>
      <c r="F1844" s="69"/>
      <c r="G1844" s="68"/>
      <c r="H1844" s="70"/>
      <c r="BA1844" s="4"/>
      <c r="BB1844" s="4"/>
    </row>
    <row r="1845" spans="1:54" x14ac:dyDescent="0.3">
      <c r="A1845" s="66"/>
      <c r="B1845" s="67"/>
      <c r="C1845" s="66"/>
      <c r="D1845" s="68"/>
      <c r="E1845" s="10"/>
      <c r="F1845" s="69"/>
      <c r="G1845" s="68"/>
      <c r="H1845" s="70"/>
      <c r="BA1845" s="4"/>
      <c r="BB1845" s="4"/>
    </row>
    <row r="1846" spans="1:54" x14ac:dyDescent="0.3">
      <c r="A1846" s="66"/>
      <c r="B1846" s="67"/>
      <c r="C1846" s="66"/>
      <c r="D1846" s="68"/>
      <c r="E1846" s="10"/>
      <c r="F1846" s="69"/>
      <c r="G1846" s="68"/>
      <c r="H1846" s="70"/>
      <c r="BA1846" s="4"/>
      <c r="BB1846" s="4"/>
    </row>
    <row r="1847" spans="1:54" x14ac:dyDescent="0.3">
      <c r="A1847" s="66"/>
      <c r="B1847" s="67"/>
      <c r="C1847" s="66"/>
      <c r="D1847" s="68"/>
      <c r="E1847" s="10"/>
      <c r="F1847" s="69"/>
      <c r="G1847" s="68"/>
      <c r="H1847" s="70"/>
      <c r="BA1847" s="4"/>
      <c r="BB1847" s="4"/>
    </row>
    <row r="1848" spans="1:54" x14ac:dyDescent="0.3">
      <c r="A1848" s="66"/>
      <c r="B1848" s="67"/>
      <c r="C1848" s="66"/>
      <c r="D1848" s="68"/>
      <c r="E1848" s="10"/>
      <c r="F1848" s="69"/>
      <c r="G1848" s="68"/>
      <c r="H1848" s="70"/>
      <c r="BA1848" s="4"/>
      <c r="BB1848" s="4"/>
    </row>
    <row r="1849" spans="1:54" x14ac:dyDescent="0.3">
      <c r="A1849" s="66"/>
      <c r="B1849" s="67"/>
      <c r="C1849" s="66"/>
      <c r="D1849" s="68"/>
      <c r="E1849" s="10"/>
      <c r="F1849" s="69"/>
      <c r="G1849" s="68"/>
      <c r="H1849" s="70"/>
      <c r="BA1849" s="4"/>
      <c r="BB1849" s="4"/>
    </row>
    <row r="1850" spans="1:54" x14ac:dyDescent="0.3">
      <c r="A1850" s="66"/>
      <c r="B1850" s="67"/>
      <c r="C1850" s="66"/>
      <c r="D1850" s="68"/>
      <c r="E1850" s="10"/>
      <c r="F1850" s="69"/>
      <c r="G1850" s="68"/>
      <c r="H1850" s="70"/>
      <c r="BA1850" s="4"/>
      <c r="BB1850" s="4"/>
    </row>
    <row r="1851" spans="1:54" x14ac:dyDescent="0.3">
      <c r="A1851" s="66"/>
      <c r="B1851" s="67"/>
      <c r="C1851" s="66"/>
      <c r="D1851" s="68"/>
      <c r="E1851" s="10"/>
      <c r="F1851" s="69"/>
      <c r="G1851" s="68"/>
      <c r="H1851" s="70"/>
      <c r="BA1851" s="4"/>
      <c r="BB1851" s="4"/>
    </row>
    <row r="1852" spans="1:54" x14ac:dyDescent="0.3">
      <c r="A1852" s="66"/>
      <c r="B1852" s="67"/>
      <c r="C1852" s="66"/>
      <c r="D1852" s="68"/>
      <c r="E1852" s="10"/>
      <c r="F1852" s="69"/>
      <c r="G1852" s="68"/>
      <c r="H1852" s="70"/>
      <c r="BA1852" s="4"/>
      <c r="BB1852" s="4"/>
    </row>
    <row r="1853" spans="1:54" x14ac:dyDescent="0.3">
      <c r="A1853" s="66"/>
      <c r="B1853" s="67"/>
      <c r="C1853" s="66"/>
      <c r="D1853" s="68"/>
      <c r="E1853" s="10"/>
      <c r="F1853" s="69"/>
      <c r="G1853" s="68"/>
      <c r="H1853" s="70"/>
      <c r="BA1853" s="4"/>
      <c r="BB1853" s="4"/>
    </row>
    <row r="1854" spans="1:54" x14ac:dyDescent="0.3">
      <c r="A1854" s="66"/>
      <c r="B1854" s="67"/>
      <c r="C1854" s="66"/>
      <c r="D1854" s="68"/>
      <c r="E1854" s="10"/>
      <c r="F1854" s="69"/>
      <c r="G1854" s="68"/>
      <c r="H1854" s="70"/>
      <c r="BA1854" s="4"/>
      <c r="BB1854" s="4"/>
    </row>
    <row r="1855" spans="1:54" x14ac:dyDescent="0.3">
      <c r="A1855" s="66"/>
      <c r="B1855" s="67"/>
      <c r="C1855" s="66"/>
      <c r="D1855" s="68"/>
      <c r="E1855" s="10"/>
      <c r="F1855" s="69"/>
      <c r="G1855" s="68"/>
      <c r="H1855" s="70"/>
      <c r="BA1855" s="4"/>
      <c r="BB1855" s="4"/>
    </row>
    <row r="1856" spans="1:54" x14ac:dyDescent="0.3">
      <c r="A1856" s="66"/>
      <c r="B1856" s="67"/>
      <c r="C1856" s="66"/>
      <c r="D1856" s="68"/>
      <c r="E1856" s="10"/>
      <c r="F1856" s="69"/>
      <c r="G1856" s="68"/>
      <c r="H1856" s="70"/>
      <c r="BA1856" s="4"/>
      <c r="BB1856" s="4"/>
    </row>
    <row r="1857" spans="1:54" x14ac:dyDescent="0.3">
      <c r="A1857" s="66"/>
      <c r="B1857" s="67"/>
      <c r="C1857" s="66"/>
      <c r="D1857" s="68"/>
      <c r="E1857" s="10"/>
      <c r="F1857" s="69"/>
      <c r="G1857" s="68"/>
      <c r="H1857" s="70"/>
      <c r="BA1857" s="4"/>
      <c r="BB1857" s="4"/>
    </row>
    <row r="1858" spans="1:54" x14ac:dyDescent="0.3">
      <c r="A1858" s="66"/>
      <c r="B1858" s="67"/>
      <c r="C1858" s="66"/>
      <c r="D1858" s="68"/>
      <c r="E1858" s="10"/>
      <c r="F1858" s="69"/>
      <c r="G1858" s="68"/>
      <c r="H1858" s="70"/>
      <c r="BA1858" s="4"/>
      <c r="BB1858" s="4"/>
    </row>
    <row r="1859" spans="1:54" x14ac:dyDescent="0.3">
      <c r="A1859" s="66"/>
      <c r="B1859" s="67"/>
      <c r="C1859" s="66"/>
      <c r="D1859" s="68"/>
      <c r="E1859" s="10"/>
      <c r="F1859" s="69"/>
      <c r="G1859" s="68"/>
      <c r="H1859" s="70"/>
      <c r="BA1859" s="4"/>
      <c r="BB1859" s="4"/>
    </row>
    <row r="1860" spans="1:54" x14ac:dyDescent="0.3">
      <c r="A1860" s="66"/>
      <c r="B1860" s="67"/>
      <c r="C1860" s="66"/>
      <c r="D1860" s="68"/>
      <c r="E1860" s="10"/>
      <c r="F1860" s="69"/>
      <c r="G1860" s="68"/>
      <c r="H1860" s="70"/>
      <c r="BA1860" s="4"/>
      <c r="BB1860" s="4"/>
    </row>
    <row r="1861" spans="1:54" x14ac:dyDescent="0.3">
      <c r="A1861" s="66"/>
      <c r="B1861" s="67"/>
      <c r="C1861" s="66"/>
      <c r="D1861" s="68"/>
      <c r="E1861" s="10"/>
      <c r="F1861" s="69"/>
      <c r="G1861" s="68"/>
      <c r="H1861" s="70"/>
      <c r="BA1861" s="4"/>
      <c r="BB1861" s="4"/>
    </row>
    <row r="1862" spans="1:54" x14ac:dyDescent="0.3">
      <c r="A1862" s="66"/>
      <c r="B1862" s="67"/>
      <c r="C1862" s="66"/>
      <c r="D1862" s="68"/>
      <c r="E1862" s="10"/>
      <c r="F1862" s="69"/>
      <c r="G1862" s="68"/>
      <c r="H1862" s="70"/>
      <c r="BA1862" s="4"/>
      <c r="BB1862" s="4"/>
    </row>
    <row r="1863" spans="1:54" x14ac:dyDescent="0.3">
      <c r="A1863" s="66"/>
      <c r="B1863" s="67"/>
      <c r="C1863" s="66"/>
      <c r="D1863" s="68"/>
      <c r="E1863" s="10"/>
      <c r="F1863" s="69"/>
      <c r="G1863" s="68"/>
      <c r="H1863" s="70"/>
      <c r="BA1863" s="4"/>
      <c r="BB1863" s="4"/>
    </row>
    <row r="1864" spans="1:54" x14ac:dyDescent="0.3">
      <c r="A1864" s="66"/>
      <c r="B1864" s="67"/>
      <c r="C1864" s="66"/>
      <c r="D1864" s="68"/>
      <c r="E1864" s="10"/>
      <c r="F1864" s="69"/>
      <c r="G1864" s="68"/>
      <c r="H1864" s="70"/>
      <c r="BA1864" s="4"/>
      <c r="BB1864" s="4"/>
    </row>
    <row r="1865" spans="1:54" x14ac:dyDescent="0.3">
      <c r="A1865" s="66"/>
      <c r="B1865" s="67"/>
      <c r="C1865" s="66"/>
      <c r="D1865" s="68"/>
      <c r="E1865" s="10"/>
      <c r="F1865" s="69"/>
      <c r="G1865" s="68"/>
      <c r="H1865" s="70"/>
      <c r="BA1865" s="4"/>
      <c r="BB1865" s="4"/>
    </row>
    <row r="1866" spans="1:54" x14ac:dyDescent="0.3">
      <c r="A1866" s="66"/>
      <c r="B1866" s="67"/>
      <c r="C1866" s="66"/>
      <c r="D1866" s="68"/>
      <c r="E1866" s="10"/>
      <c r="F1866" s="69"/>
      <c r="G1866" s="68"/>
      <c r="H1866" s="70"/>
      <c r="BA1866" s="4"/>
      <c r="BB1866" s="4"/>
    </row>
    <row r="1867" spans="1:54" x14ac:dyDescent="0.3">
      <c r="A1867" s="66"/>
      <c r="B1867" s="67"/>
      <c r="C1867" s="66"/>
      <c r="D1867" s="68"/>
      <c r="E1867" s="10"/>
      <c r="F1867" s="69"/>
      <c r="G1867" s="68"/>
      <c r="H1867" s="70"/>
      <c r="BA1867" s="4"/>
      <c r="BB1867" s="4"/>
    </row>
    <row r="1868" spans="1:54" x14ac:dyDescent="0.3">
      <c r="A1868" s="66"/>
      <c r="B1868" s="67"/>
      <c r="C1868" s="66"/>
      <c r="D1868" s="68"/>
      <c r="E1868" s="10"/>
      <c r="F1868" s="69"/>
      <c r="G1868" s="68"/>
      <c r="H1868" s="70"/>
      <c r="BA1868" s="4"/>
      <c r="BB1868" s="4"/>
    </row>
    <row r="1869" spans="1:54" x14ac:dyDescent="0.3">
      <c r="A1869" s="66"/>
      <c r="B1869" s="67"/>
      <c r="C1869" s="66"/>
      <c r="D1869" s="68"/>
      <c r="E1869" s="10"/>
      <c r="F1869" s="69"/>
      <c r="G1869" s="68"/>
      <c r="H1869" s="70"/>
      <c r="BA1869" s="4"/>
      <c r="BB1869" s="4"/>
    </row>
    <row r="1870" spans="1:54" x14ac:dyDescent="0.3">
      <c r="A1870" s="66"/>
      <c r="B1870" s="67"/>
      <c r="C1870" s="66"/>
      <c r="D1870" s="68"/>
      <c r="E1870" s="10"/>
      <c r="F1870" s="69"/>
      <c r="G1870" s="68"/>
      <c r="H1870" s="70"/>
      <c r="BA1870" s="4"/>
      <c r="BB1870" s="4"/>
    </row>
    <row r="1871" spans="1:54" x14ac:dyDescent="0.3">
      <c r="A1871" s="66"/>
      <c r="B1871" s="67"/>
      <c r="C1871" s="66"/>
      <c r="D1871" s="68"/>
      <c r="E1871" s="10"/>
      <c r="F1871" s="69"/>
      <c r="G1871" s="68"/>
      <c r="H1871" s="70"/>
      <c r="BA1871" s="4"/>
      <c r="BB1871" s="4"/>
    </row>
    <row r="1872" spans="1:54" x14ac:dyDescent="0.3">
      <c r="A1872" s="66"/>
      <c r="B1872" s="67"/>
      <c r="C1872" s="66"/>
      <c r="D1872" s="68"/>
      <c r="E1872" s="10"/>
      <c r="F1872" s="69"/>
      <c r="G1872" s="68"/>
      <c r="H1872" s="70"/>
      <c r="BA1872" s="4"/>
      <c r="BB1872" s="4"/>
    </row>
    <row r="1873" spans="1:54" x14ac:dyDescent="0.3">
      <c r="A1873" s="66"/>
      <c r="B1873" s="67"/>
      <c r="C1873" s="66"/>
      <c r="D1873" s="68"/>
      <c r="E1873" s="10"/>
      <c r="F1873" s="69"/>
      <c r="G1873" s="68"/>
      <c r="H1873" s="70"/>
      <c r="BA1873" s="4"/>
      <c r="BB1873" s="4"/>
    </row>
    <row r="1874" spans="1:54" x14ac:dyDescent="0.3">
      <c r="A1874" s="66"/>
      <c r="B1874" s="67"/>
      <c r="C1874" s="66"/>
      <c r="D1874" s="68"/>
      <c r="E1874" s="10"/>
      <c r="F1874" s="69"/>
      <c r="G1874" s="68"/>
      <c r="H1874" s="70"/>
      <c r="BA1874" s="4"/>
      <c r="BB1874" s="4"/>
    </row>
    <row r="1875" spans="1:54" x14ac:dyDescent="0.3">
      <c r="A1875" s="66"/>
      <c r="B1875" s="67"/>
      <c r="C1875" s="66"/>
      <c r="D1875" s="68"/>
      <c r="E1875" s="10"/>
      <c r="F1875" s="69"/>
      <c r="G1875" s="68"/>
      <c r="H1875" s="70"/>
      <c r="BA1875" s="4"/>
      <c r="BB1875" s="4"/>
    </row>
    <row r="1876" spans="1:54" x14ac:dyDescent="0.3">
      <c r="A1876" s="66"/>
      <c r="B1876" s="67"/>
      <c r="C1876" s="66"/>
      <c r="D1876" s="68"/>
      <c r="E1876" s="10"/>
      <c r="F1876" s="69"/>
      <c r="G1876" s="68"/>
      <c r="H1876" s="70"/>
      <c r="BA1876" s="4"/>
      <c r="BB1876" s="4"/>
    </row>
    <row r="1877" spans="1:54" x14ac:dyDescent="0.3">
      <c r="A1877" s="66"/>
      <c r="B1877" s="67"/>
      <c r="C1877" s="66"/>
      <c r="D1877" s="68"/>
      <c r="E1877" s="10"/>
      <c r="F1877" s="69"/>
      <c r="G1877" s="68"/>
      <c r="H1877" s="70"/>
      <c r="BA1877" s="4"/>
      <c r="BB1877" s="4"/>
    </row>
    <row r="1878" spans="1:54" x14ac:dyDescent="0.3">
      <c r="A1878" s="66"/>
      <c r="B1878" s="67"/>
      <c r="C1878" s="66"/>
      <c r="D1878" s="68"/>
      <c r="E1878" s="10"/>
      <c r="F1878" s="69"/>
      <c r="G1878" s="68"/>
      <c r="H1878" s="70"/>
      <c r="BA1878" s="4"/>
      <c r="BB1878" s="4"/>
    </row>
    <row r="1879" spans="1:54" x14ac:dyDescent="0.3">
      <c r="A1879" s="66"/>
      <c r="B1879" s="67"/>
      <c r="C1879" s="66"/>
      <c r="D1879" s="68"/>
      <c r="E1879" s="10"/>
      <c r="F1879" s="69"/>
      <c r="G1879" s="68"/>
      <c r="H1879" s="70"/>
      <c r="BA1879" s="4"/>
      <c r="BB1879" s="4"/>
    </row>
    <row r="1880" spans="1:54" x14ac:dyDescent="0.3">
      <c r="A1880" s="66"/>
      <c r="B1880" s="67"/>
      <c r="C1880" s="66"/>
      <c r="D1880" s="68"/>
      <c r="E1880" s="10"/>
      <c r="F1880" s="69"/>
      <c r="G1880" s="68"/>
      <c r="H1880" s="70"/>
      <c r="BA1880" s="4"/>
      <c r="BB1880" s="4"/>
    </row>
    <row r="1881" spans="1:54" x14ac:dyDescent="0.3">
      <c r="A1881" s="66"/>
      <c r="B1881" s="67"/>
      <c r="C1881" s="66"/>
      <c r="D1881" s="68"/>
      <c r="E1881" s="10"/>
      <c r="F1881" s="69"/>
      <c r="G1881" s="68"/>
      <c r="H1881" s="70"/>
      <c r="BA1881" s="4"/>
      <c r="BB1881" s="4"/>
    </row>
    <row r="1882" spans="1:54" x14ac:dyDescent="0.3">
      <c r="A1882" s="66"/>
      <c r="B1882" s="67"/>
      <c r="C1882" s="66"/>
      <c r="D1882" s="68"/>
      <c r="E1882" s="10"/>
      <c r="F1882" s="69"/>
      <c r="G1882" s="68"/>
      <c r="H1882" s="70"/>
      <c r="BA1882" s="4"/>
      <c r="BB1882" s="4"/>
    </row>
    <row r="1883" spans="1:54" x14ac:dyDescent="0.3">
      <c r="A1883" s="66"/>
      <c r="B1883" s="67"/>
      <c r="C1883" s="66"/>
      <c r="D1883" s="68"/>
      <c r="E1883" s="10"/>
      <c r="F1883" s="69"/>
      <c r="G1883" s="68"/>
      <c r="H1883" s="70"/>
      <c r="BA1883" s="4"/>
      <c r="BB1883" s="4"/>
    </row>
    <row r="1884" spans="1:54" x14ac:dyDescent="0.3">
      <c r="A1884" s="66"/>
      <c r="B1884" s="67"/>
      <c r="C1884" s="66"/>
      <c r="D1884" s="68"/>
      <c r="E1884" s="10"/>
      <c r="F1884" s="69"/>
      <c r="G1884" s="68"/>
      <c r="H1884" s="70"/>
      <c r="BA1884" s="4"/>
      <c r="BB1884" s="4"/>
    </row>
    <row r="1885" spans="1:54" x14ac:dyDescent="0.3">
      <c r="A1885" s="66"/>
      <c r="B1885" s="67"/>
      <c r="C1885" s="66"/>
      <c r="D1885" s="68"/>
      <c r="E1885" s="10"/>
      <c r="F1885" s="69"/>
      <c r="G1885" s="68"/>
      <c r="H1885" s="70"/>
      <c r="BA1885" s="4"/>
      <c r="BB1885" s="4"/>
    </row>
    <row r="1886" spans="1:54" x14ac:dyDescent="0.3">
      <c r="A1886" s="66"/>
      <c r="B1886" s="67"/>
      <c r="C1886" s="66"/>
      <c r="D1886" s="68"/>
      <c r="E1886" s="10"/>
      <c r="F1886" s="69"/>
      <c r="G1886" s="68"/>
      <c r="H1886" s="70"/>
      <c r="BA1886" s="4"/>
      <c r="BB1886" s="4"/>
    </row>
    <row r="1887" spans="1:54" x14ac:dyDescent="0.3">
      <c r="A1887" s="66"/>
      <c r="B1887" s="67"/>
      <c r="C1887" s="66"/>
      <c r="D1887" s="68"/>
      <c r="E1887" s="10"/>
      <c r="F1887" s="69"/>
      <c r="G1887" s="68"/>
      <c r="H1887" s="70"/>
      <c r="BA1887" s="4"/>
      <c r="BB1887" s="4"/>
    </row>
    <row r="1888" spans="1:54" x14ac:dyDescent="0.3">
      <c r="A1888" s="66"/>
      <c r="B1888" s="67"/>
      <c r="C1888" s="66"/>
      <c r="D1888" s="68"/>
      <c r="E1888" s="10"/>
      <c r="F1888" s="69"/>
      <c r="G1888" s="68"/>
      <c r="H1888" s="70"/>
      <c r="BA1888" s="4"/>
      <c r="BB1888" s="4"/>
    </row>
    <row r="1889" spans="1:54" x14ac:dyDescent="0.3">
      <c r="A1889" s="66"/>
      <c r="B1889" s="67"/>
      <c r="C1889" s="66"/>
      <c r="D1889" s="68"/>
      <c r="E1889" s="10"/>
      <c r="F1889" s="69"/>
      <c r="G1889" s="68"/>
      <c r="H1889" s="70"/>
      <c r="BA1889" s="4"/>
      <c r="BB1889" s="4"/>
    </row>
    <row r="1890" spans="1:54" x14ac:dyDescent="0.3">
      <c r="A1890" s="66"/>
      <c r="B1890" s="67"/>
      <c r="C1890" s="66"/>
      <c r="D1890" s="68"/>
      <c r="E1890" s="10"/>
      <c r="F1890" s="69"/>
      <c r="G1890" s="68"/>
      <c r="H1890" s="70"/>
      <c r="BA1890" s="4"/>
      <c r="BB1890" s="4"/>
    </row>
    <row r="1891" spans="1:54" x14ac:dyDescent="0.3">
      <c r="A1891" s="66"/>
      <c r="B1891" s="67"/>
      <c r="C1891" s="66"/>
      <c r="D1891" s="68"/>
      <c r="E1891" s="10"/>
      <c r="F1891" s="69"/>
      <c r="G1891" s="68"/>
      <c r="H1891" s="70"/>
      <c r="BA1891" s="4"/>
      <c r="BB1891" s="4"/>
    </row>
    <row r="1892" spans="1:54" x14ac:dyDescent="0.3">
      <c r="A1892" s="66"/>
      <c r="B1892" s="67"/>
      <c r="C1892" s="66"/>
      <c r="D1892" s="68"/>
      <c r="E1892" s="10"/>
      <c r="F1892" s="69"/>
      <c r="G1892" s="68"/>
      <c r="H1892" s="70"/>
      <c r="BA1892" s="4"/>
      <c r="BB1892" s="4"/>
    </row>
    <row r="1893" spans="1:54" x14ac:dyDescent="0.3">
      <c r="A1893" s="66"/>
      <c r="B1893" s="67"/>
      <c r="C1893" s="66"/>
      <c r="D1893" s="68"/>
      <c r="E1893" s="10"/>
      <c r="F1893" s="69"/>
      <c r="G1893" s="68"/>
      <c r="H1893" s="70"/>
      <c r="BA1893" s="4"/>
      <c r="BB1893" s="4"/>
    </row>
    <row r="1894" spans="1:54" x14ac:dyDescent="0.3">
      <c r="A1894" s="66"/>
      <c r="B1894" s="67"/>
      <c r="C1894" s="66"/>
      <c r="D1894" s="68"/>
      <c r="E1894" s="10"/>
      <c r="F1894" s="69"/>
      <c r="G1894" s="68"/>
      <c r="H1894" s="70"/>
      <c r="BA1894" s="4"/>
      <c r="BB1894" s="4"/>
    </row>
    <row r="1895" spans="1:54" x14ac:dyDescent="0.3">
      <c r="A1895" s="66"/>
      <c r="B1895" s="67"/>
      <c r="C1895" s="66"/>
      <c r="D1895" s="68"/>
      <c r="E1895" s="10"/>
      <c r="F1895" s="69"/>
      <c r="G1895" s="68"/>
      <c r="H1895" s="70"/>
      <c r="BA1895" s="4"/>
      <c r="BB1895" s="4"/>
    </row>
    <row r="1896" spans="1:54" x14ac:dyDescent="0.3">
      <c r="A1896" s="66"/>
      <c r="B1896" s="67"/>
      <c r="C1896" s="66"/>
      <c r="D1896" s="68"/>
      <c r="E1896" s="10"/>
      <c r="F1896" s="69"/>
      <c r="G1896" s="68"/>
      <c r="H1896" s="70"/>
      <c r="BA1896" s="4"/>
      <c r="BB1896" s="4"/>
    </row>
    <row r="1897" spans="1:54" x14ac:dyDescent="0.3">
      <c r="A1897" s="66"/>
      <c r="B1897" s="67"/>
      <c r="C1897" s="66"/>
      <c r="D1897" s="68"/>
      <c r="E1897" s="10"/>
      <c r="F1897" s="69"/>
      <c r="G1897" s="68"/>
      <c r="H1897" s="70"/>
      <c r="BA1897" s="4"/>
      <c r="BB1897" s="4"/>
    </row>
    <row r="1898" spans="1:54" x14ac:dyDescent="0.3">
      <c r="A1898" s="66"/>
      <c r="B1898" s="67"/>
      <c r="C1898" s="66"/>
      <c r="D1898" s="68"/>
      <c r="E1898" s="10"/>
      <c r="F1898" s="69"/>
      <c r="G1898" s="68"/>
      <c r="H1898" s="70"/>
      <c r="BA1898" s="4"/>
      <c r="BB1898" s="4"/>
    </row>
    <row r="1899" spans="1:54" x14ac:dyDescent="0.3">
      <c r="A1899" s="66"/>
      <c r="B1899" s="67"/>
      <c r="C1899" s="66"/>
      <c r="D1899" s="68"/>
      <c r="E1899" s="10"/>
      <c r="F1899" s="69"/>
      <c r="G1899" s="68"/>
      <c r="H1899" s="70"/>
      <c r="BA1899" s="4"/>
      <c r="BB1899" s="4"/>
    </row>
    <row r="1900" spans="1:54" x14ac:dyDescent="0.3">
      <c r="A1900" s="66"/>
      <c r="B1900" s="67"/>
      <c r="C1900" s="66"/>
      <c r="D1900" s="68"/>
      <c r="E1900" s="10"/>
      <c r="F1900" s="69"/>
      <c r="G1900" s="68"/>
      <c r="H1900" s="70"/>
      <c r="BA1900" s="4"/>
      <c r="BB1900" s="4"/>
    </row>
    <row r="1901" spans="1:54" x14ac:dyDescent="0.3">
      <c r="A1901" s="66"/>
      <c r="B1901" s="67"/>
      <c r="C1901" s="66"/>
      <c r="D1901" s="68"/>
      <c r="E1901" s="10"/>
      <c r="F1901" s="69"/>
      <c r="G1901" s="68"/>
      <c r="H1901" s="70"/>
      <c r="BA1901" s="4"/>
      <c r="BB1901" s="4"/>
    </row>
    <row r="1902" spans="1:54" x14ac:dyDescent="0.3">
      <c r="A1902" s="66"/>
      <c r="B1902" s="67"/>
      <c r="C1902" s="66"/>
      <c r="D1902" s="68"/>
      <c r="E1902" s="10"/>
      <c r="F1902" s="69"/>
      <c r="G1902" s="68"/>
      <c r="H1902" s="70"/>
      <c r="BA1902" s="4"/>
      <c r="BB1902" s="4"/>
    </row>
    <row r="1903" spans="1:54" x14ac:dyDescent="0.3">
      <c r="A1903" s="66"/>
      <c r="B1903" s="67"/>
      <c r="C1903" s="66"/>
      <c r="D1903" s="68"/>
      <c r="E1903" s="10"/>
      <c r="F1903" s="69"/>
      <c r="G1903" s="68"/>
      <c r="H1903" s="70"/>
      <c r="BA1903" s="4"/>
      <c r="BB1903" s="4"/>
    </row>
    <row r="1904" spans="1:54" x14ac:dyDescent="0.3">
      <c r="A1904" s="66"/>
      <c r="B1904" s="67"/>
      <c r="C1904" s="66"/>
      <c r="D1904" s="68"/>
      <c r="E1904" s="10"/>
      <c r="F1904" s="69"/>
      <c r="G1904" s="68"/>
      <c r="H1904" s="70"/>
      <c r="BA1904" s="4"/>
      <c r="BB1904" s="4"/>
    </row>
    <row r="1905" spans="1:54" x14ac:dyDescent="0.3">
      <c r="A1905" s="66"/>
      <c r="B1905" s="67"/>
      <c r="C1905" s="66"/>
      <c r="D1905" s="68"/>
      <c r="E1905" s="10"/>
      <c r="F1905" s="69"/>
      <c r="G1905" s="68"/>
      <c r="H1905" s="70"/>
      <c r="BA1905" s="4"/>
      <c r="BB1905" s="4"/>
    </row>
    <row r="1906" spans="1:54" x14ac:dyDescent="0.3">
      <c r="A1906" s="66"/>
      <c r="B1906" s="67"/>
      <c r="C1906" s="66"/>
      <c r="D1906" s="68"/>
      <c r="E1906" s="10"/>
      <c r="F1906" s="69"/>
      <c r="G1906" s="68"/>
      <c r="H1906" s="70"/>
      <c r="BA1906" s="4"/>
      <c r="BB1906" s="4"/>
    </row>
    <row r="1907" spans="1:54" x14ac:dyDescent="0.3">
      <c r="A1907" s="66"/>
      <c r="B1907" s="67"/>
      <c r="C1907" s="66"/>
      <c r="D1907" s="68"/>
      <c r="E1907" s="10"/>
      <c r="F1907" s="69"/>
      <c r="G1907" s="68"/>
      <c r="H1907" s="70"/>
      <c r="BA1907" s="4"/>
      <c r="BB1907" s="4"/>
    </row>
    <row r="1908" spans="1:54" x14ac:dyDescent="0.3">
      <c r="A1908" s="66"/>
      <c r="B1908" s="67"/>
      <c r="C1908" s="66"/>
      <c r="D1908" s="68"/>
      <c r="E1908" s="10"/>
      <c r="F1908" s="69"/>
      <c r="G1908" s="68"/>
      <c r="H1908" s="70"/>
      <c r="BA1908" s="4"/>
      <c r="BB1908" s="4"/>
    </row>
    <row r="1909" spans="1:54" x14ac:dyDescent="0.3">
      <c r="A1909" s="66"/>
      <c r="B1909" s="67"/>
      <c r="C1909" s="66"/>
      <c r="D1909" s="68"/>
      <c r="E1909" s="10"/>
      <c r="F1909" s="69"/>
      <c r="G1909" s="68"/>
      <c r="H1909" s="70"/>
      <c r="BA1909" s="4"/>
      <c r="BB1909" s="4"/>
    </row>
    <row r="1910" spans="1:54" x14ac:dyDescent="0.3">
      <c r="A1910" s="66"/>
      <c r="B1910" s="67"/>
      <c r="C1910" s="66"/>
      <c r="D1910" s="68"/>
      <c r="E1910" s="10"/>
      <c r="F1910" s="69"/>
      <c r="G1910" s="68"/>
      <c r="H1910" s="70"/>
      <c r="BA1910" s="4"/>
      <c r="BB1910" s="4"/>
    </row>
    <row r="1911" spans="1:54" x14ac:dyDescent="0.3">
      <c r="A1911" s="66"/>
      <c r="B1911" s="67"/>
      <c r="C1911" s="66"/>
      <c r="D1911" s="68"/>
      <c r="E1911" s="10"/>
      <c r="F1911" s="69"/>
      <c r="G1911" s="68"/>
      <c r="H1911" s="70"/>
      <c r="BA1911" s="4"/>
      <c r="BB1911" s="4"/>
    </row>
    <row r="1912" spans="1:54" x14ac:dyDescent="0.3">
      <c r="A1912" s="66"/>
      <c r="B1912" s="67"/>
      <c r="C1912" s="66"/>
      <c r="D1912" s="68"/>
      <c r="E1912" s="10"/>
      <c r="F1912" s="69"/>
      <c r="G1912" s="68"/>
      <c r="H1912" s="70"/>
      <c r="BA1912" s="4"/>
      <c r="BB1912" s="4"/>
    </row>
    <row r="1913" spans="1:54" x14ac:dyDescent="0.3">
      <c r="A1913" s="66"/>
      <c r="B1913" s="67"/>
      <c r="C1913" s="66"/>
      <c r="D1913" s="68"/>
      <c r="E1913" s="10"/>
      <c r="F1913" s="69"/>
      <c r="G1913" s="68"/>
      <c r="H1913" s="70"/>
      <c r="BA1913" s="4"/>
      <c r="BB1913" s="4"/>
    </row>
    <row r="1914" spans="1:54" x14ac:dyDescent="0.3">
      <c r="A1914" s="66"/>
      <c r="B1914" s="67"/>
      <c r="C1914" s="66"/>
      <c r="D1914" s="68"/>
      <c r="E1914" s="10"/>
      <c r="F1914" s="69"/>
      <c r="G1914" s="68"/>
      <c r="H1914" s="70"/>
      <c r="BA1914" s="4"/>
      <c r="BB1914" s="4"/>
    </row>
    <row r="1915" spans="1:54" x14ac:dyDescent="0.3">
      <c r="A1915" s="66"/>
      <c r="B1915" s="67"/>
      <c r="C1915" s="66"/>
      <c r="D1915" s="68"/>
      <c r="E1915" s="10"/>
      <c r="F1915" s="69"/>
      <c r="G1915" s="68"/>
      <c r="H1915" s="70"/>
      <c r="BA1915" s="4"/>
      <c r="BB1915" s="4"/>
    </row>
    <row r="1916" spans="1:54" x14ac:dyDescent="0.3">
      <c r="A1916" s="66"/>
      <c r="B1916" s="67"/>
      <c r="C1916" s="66"/>
      <c r="D1916" s="68"/>
      <c r="E1916" s="10"/>
      <c r="F1916" s="69"/>
      <c r="G1916" s="68"/>
      <c r="H1916" s="70"/>
      <c r="BA1916" s="4"/>
      <c r="BB1916" s="4"/>
    </row>
    <row r="1917" spans="1:54" x14ac:dyDescent="0.3">
      <c r="A1917" s="66"/>
      <c r="B1917" s="67"/>
      <c r="C1917" s="66"/>
      <c r="D1917" s="68"/>
      <c r="E1917" s="10"/>
      <c r="F1917" s="69"/>
      <c r="G1917" s="68"/>
      <c r="H1917" s="70"/>
      <c r="BA1917" s="4"/>
      <c r="BB1917" s="4"/>
    </row>
    <row r="1918" spans="1:54" x14ac:dyDescent="0.3">
      <c r="A1918" s="66"/>
      <c r="B1918" s="67"/>
      <c r="C1918" s="66"/>
      <c r="D1918" s="68"/>
      <c r="E1918" s="10"/>
      <c r="F1918" s="69"/>
      <c r="G1918" s="68"/>
      <c r="H1918" s="70"/>
      <c r="BA1918" s="4"/>
      <c r="BB1918" s="4"/>
    </row>
    <row r="1919" spans="1:54" x14ac:dyDescent="0.3">
      <c r="A1919" s="66"/>
      <c r="B1919" s="67"/>
      <c r="C1919" s="66"/>
      <c r="D1919" s="68"/>
      <c r="E1919" s="10"/>
      <c r="F1919" s="69"/>
      <c r="G1919" s="68"/>
      <c r="H1919" s="70"/>
      <c r="BA1919" s="4"/>
      <c r="BB1919" s="4"/>
    </row>
    <row r="1920" spans="1:54" x14ac:dyDescent="0.3">
      <c r="A1920" s="66"/>
      <c r="B1920" s="67"/>
      <c r="C1920" s="66"/>
      <c r="D1920" s="68"/>
      <c r="E1920" s="10"/>
      <c r="F1920" s="69"/>
      <c r="G1920" s="68"/>
      <c r="H1920" s="70"/>
      <c r="BA1920" s="4"/>
      <c r="BB1920" s="4"/>
    </row>
    <row r="1921" spans="1:54" x14ac:dyDescent="0.3">
      <c r="A1921" s="66"/>
      <c r="B1921" s="67"/>
      <c r="C1921" s="66"/>
      <c r="D1921" s="68"/>
      <c r="E1921" s="10"/>
      <c r="F1921" s="69"/>
      <c r="G1921" s="68"/>
      <c r="H1921" s="70"/>
      <c r="BA1921" s="4"/>
      <c r="BB1921" s="4"/>
    </row>
    <row r="1922" spans="1:54" x14ac:dyDescent="0.3">
      <c r="A1922" s="66"/>
      <c r="B1922" s="67"/>
      <c r="C1922" s="66"/>
      <c r="D1922" s="68"/>
      <c r="E1922" s="10"/>
      <c r="F1922" s="69"/>
      <c r="G1922" s="68"/>
      <c r="H1922" s="70"/>
      <c r="BA1922" s="4"/>
      <c r="BB1922" s="4"/>
    </row>
    <row r="1923" spans="1:54" x14ac:dyDescent="0.3">
      <c r="A1923" s="66"/>
      <c r="B1923" s="67"/>
      <c r="C1923" s="66"/>
      <c r="D1923" s="68"/>
      <c r="E1923" s="10"/>
      <c r="F1923" s="69"/>
      <c r="G1923" s="68"/>
      <c r="H1923" s="70"/>
      <c r="BA1923" s="4"/>
      <c r="BB1923" s="4"/>
    </row>
    <row r="1924" spans="1:54" x14ac:dyDescent="0.3">
      <c r="A1924" s="66"/>
      <c r="B1924" s="67"/>
      <c r="C1924" s="66"/>
      <c r="D1924" s="68"/>
      <c r="E1924" s="10"/>
      <c r="F1924" s="69"/>
      <c r="G1924" s="68"/>
      <c r="H1924" s="70"/>
      <c r="BA1924" s="4"/>
      <c r="BB1924" s="4"/>
    </row>
    <row r="1925" spans="1:54" x14ac:dyDescent="0.3">
      <c r="A1925" s="66"/>
      <c r="B1925" s="67"/>
      <c r="C1925" s="66"/>
      <c r="D1925" s="68"/>
      <c r="E1925" s="10"/>
      <c r="F1925" s="69"/>
      <c r="G1925" s="68"/>
      <c r="H1925" s="70"/>
      <c r="BA1925" s="4"/>
      <c r="BB1925" s="4"/>
    </row>
    <row r="1926" spans="1:54" x14ac:dyDescent="0.3">
      <c r="A1926" s="66"/>
      <c r="B1926" s="67"/>
      <c r="C1926" s="66"/>
      <c r="D1926" s="68"/>
      <c r="E1926" s="10"/>
      <c r="F1926" s="69"/>
      <c r="G1926" s="68"/>
      <c r="H1926" s="70"/>
      <c r="BA1926" s="4"/>
      <c r="BB1926" s="4"/>
    </row>
    <row r="1927" spans="1:54" x14ac:dyDescent="0.3">
      <c r="A1927" s="66"/>
      <c r="B1927" s="67"/>
      <c r="C1927" s="66"/>
      <c r="D1927" s="68"/>
      <c r="E1927" s="10"/>
      <c r="F1927" s="69"/>
      <c r="G1927" s="68"/>
      <c r="H1927" s="70"/>
      <c r="BA1927" s="4"/>
      <c r="BB1927" s="4"/>
    </row>
    <row r="1928" spans="1:54" x14ac:dyDescent="0.3">
      <c r="A1928" s="66"/>
      <c r="B1928" s="67"/>
      <c r="C1928" s="66"/>
      <c r="D1928" s="68"/>
      <c r="E1928" s="10"/>
      <c r="F1928" s="69"/>
      <c r="G1928" s="68"/>
      <c r="H1928" s="70"/>
      <c r="BA1928" s="4"/>
      <c r="BB1928" s="4"/>
    </row>
    <row r="1929" spans="1:54" x14ac:dyDescent="0.3">
      <c r="A1929" s="66"/>
      <c r="B1929" s="67"/>
      <c r="C1929" s="66"/>
      <c r="D1929" s="68"/>
      <c r="E1929" s="10"/>
      <c r="F1929" s="69"/>
      <c r="G1929" s="68"/>
      <c r="H1929" s="70"/>
      <c r="BA1929" s="4"/>
      <c r="BB1929" s="4"/>
    </row>
    <row r="1930" spans="1:54" x14ac:dyDescent="0.3">
      <c r="A1930" s="66"/>
      <c r="B1930" s="67"/>
      <c r="C1930" s="66"/>
      <c r="D1930" s="68"/>
      <c r="E1930" s="10"/>
      <c r="F1930" s="69"/>
      <c r="G1930" s="68"/>
      <c r="H1930" s="70"/>
      <c r="BA1930" s="4"/>
      <c r="BB1930" s="4"/>
    </row>
    <row r="1931" spans="1:54" x14ac:dyDescent="0.3">
      <c r="A1931" s="66"/>
      <c r="B1931" s="67"/>
      <c r="C1931" s="66"/>
      <c r="D1931" s="68"/>
      <c r="E1931" s="10"/>
      <c r="F1931" s="69"/>
      <c r="G1931" s="68"/>
      <c r="H1931" s="70"/>
      <c r="BA1931" s="4"/>
      <c r="BB1931" s="4"/>
    </row>
    <row r="1932" spans="1:54" x14ac:dyDescent="0.3">
      <c r="A1932" s="66"/>
      <c r="B1932" s="67"/>
      <c r="C1932" s="66"/>
      <c r="D1932" s="68"/>
      <c r="E1932" s="10"/>
      <c r="F1932" s="69"/>
      <c r="G1932" s="68"/>
      <c r="H1932" s="70"/>
      <c r="BA1932" s="4"/>
      <c r="BB1932" s="4"/>
    </row>
    <row r="1933" spans="1:54" x14ac:dyDescent="0.3">
      <c r="A1933" s="66"/>
      <c r="B1933" s="67"/>
      <c r="C1933" s="66"/>
      <c r="D1933" s="68"/>
      <c r="E1933" s="10"/>
      <c r="F1933" s="69"/>
      <c r="G1933" s="68"/>
      <c r="H1933" s="70"/>
      <c r="BA1933" s="4"/>
      <c r="BB1933" s="4"/>
    </row>
    <row r="1934" spans="1:54" x14ac:dyDescent="0.3">
      <c r="A1934" s="66"/>
      <c r="B1934" s="67"/>
      <c r="C1934" s="66"/>
      <c r="D1934" s="68"/>
      <c r="E1934" s="10"/>
      <c r="F1934" s="69"/>
      <c r="G1934" s="68"/>
      <c r="H1934" s="70"/>
      <c r="BA1934" s="4"/>
      <c r="BB1934" s="4"/>
    </row>
    <row r="1935" spans="1:54" x14ac:dyDescent="0.3">
      <c r="A1935" s="66"/>
      <c r="B1935" s="67"/>
      <c r="C1935" s="66"/>
      <c r="D1935" s="68"/>
      <c r="E1935" s="10"/>
      <c r="F1935" s="69"/>
      <c r="G1935" s="68"/>
      <c r="H1935" s="70"/>
      <c r="BA1935" s="4"/>
      <c r="BB1935" s="4"/>
    </row>
    <row r="1936" spans="1:54" x14ac:dyDescent="0.3">
      <c r="A1936" s="66"/>
      <c r="B1936" s="67"/>
      <c r="C1936" s="66"/>
      <c r="D1936" s="68"/>
      <c r="E1936" s="10"/>
      <c r="F1936" s="69"/>
      <c r="G1936" s="68"/>
      <c r="H1936" s="70"/>
      <c r="BA1936" s="4"/>
      <c r="BB1936" s="4"/>
    </row>
    <row r="1937" spans="1:54" x14ac:dyDescent="0.3">
      <c r="A1937" s="66"/>
      <c r="B1937" s="67"/>
      <c r="C1937" s="66"/>
      <c r="D1937" s="68"/>
      <c r="E1937" s="10"/>
      <c r="F1937" s="69"/>
      <c r="G1937" s="68"/>
      <c r="H1937" s="70"/>
      <c r="BA1937" s="4"/>
      <c r="BB1937" s="4"/>
    </row>
    <row r="1938" spans="1:54" x14ac:dyDescent="0.3">
      <c r="A1938" s="66"/>
      <c r="B1938" s="67"/>
      <c r="C1938" s="66"/>
      <c r="D1938" s="68"/>
      <c r="E1938" s="10"/>
      <c r="F1938" s="69"/>
      <c r="G1938" s="68"/>
      <c r="H1938" s="70"/>
      <c r="BA1938" s="4"/>
      <c r="BB1938" s="4"/>
    </row>
    <row r="1939" spans="1:54" x14ac:dyDescent="0.3">
      <c r="A1939" s="66"/>
      <c r="B1939" s="67"/>
      <c r="C1939" s="66"/>
      <c r="D1939" s="68"/>
      <c r="E1939" s="10"/>
      <c r="F1939" s="69"/>
      <c r="G1939" s="68"/>
      <c r="H1939" s="70"/>
      <c r="BA1939" s="4"/>
      <c r="BB1939" s="4"/>
    </row>
    <row r="1940" spans="1:54" x14ac:dyDescent="0.3">
      <c r="A1940" s="66"/>
      <c r="B1940" s="67"/>
      <c r="C1940" s="66"/>
      <c r="D1940" s="68"/>
      <c r="E1940" s="10"/>
      <c r="F1940" s="69"/>
      <c r="G1940" s="68"/>
      <c r="H1940" s="70"/>
      <c r="BA1940" s="4"/>
      <c r="BB1940" s="4"/>
    </row>
    <row r="1941" spans="1:54" x14ac:dyDescent="0.3">
      <c r="A1941" s="66"/>
      <c r="B1941" s="67"/>
      <c r="C1941" s="66"/>
      <c r="D1941" s="68"/>
      <c r="E1941" s="10"/>
      <c r="F1941" s="69"/>
      <c r="G1941" s="68"/>
      <c r="H1941" s="70"/>
      <c r="BA1941" s="4"/>
      <c r="BB1941" s="4"/>
    </row>
    <row r="1942" spans="1:54" x14ac:dyDescent="0.3">
      <c r="A1942" s="66"/>
      <c r="B1942" s="67"/>
      <c r="C1942" s="66"/>
      <c r="D1942" s="68"/>
      <c r="E1942" s="10"/>
      <c r="F1942" s="69"/>
      <c r="G1942" s="68"/>
      <c r="H1942" s="70"/>
      <c r="BA1942" s="4"/>
      <c r="BB1942" s="4"/>
    </row>
    <row r="1943" spans="1:54" x14ac:dyDescent="0.3">
      <c r="A1943" s="66"/>
      <c r="B1943" s="67"/>
      <c r="C1943" s="66"/>
      <c r="D1943" s="68"/>
      <c r="E1943" s="10"/>
      <c r="F1943" s="69"/>
      <c r="G1943" s="68"/>
      <c r="H1943" s="70"/>
      <c r="BA1943" s="4"/>
      <c r="BB1943" s="4"/>
    </row>
    <row r="1944" spans="1:54" x14ac:dyDescent="0.3">
      <c r="A1944" s="66"/>
      <c r="B1944" s="67"/>
      <c r="C1944" s="66"/>
      <c r="D1944" s="68"/>
      <c r="E1944" s="10"/>
      <c r="F1944" s="69"/>
      <c r="G1944" s="68"/>
      <c r="H1944" s="70"/>
      <c r="BA1944" s="4"/>
      <c r="BB1944" s="4"/>
    </row>
    <row r="1945" spans="1:54" x14ac:dyDescent="0.3">
      <c r="A1945" s="66"/>
      <c r="B1945" s="67"/>
      <c r="C1945" s="66"/>
      <c r="D1945" s="68"/>
      <c r="E1945" s="10"/>
      <c r="F1945" s="69"/>
      <c r="G1945" s="68"/>
      <c r="H1945" s="70"/>
      <c r="BA1945" s="4"/>
      <c r="BB1945" s="4"/>
    </row>
    <row r="1946" spans="1:54" x14ac:dyDescent="0.3">
      <c r="A1946" s="66"/>
      <c r="B1946" s="67"/>
      <c r="C1946" s="66"/>
      <c r="D1946" s="68"/>
      <c r="E1946" s="10"/>
      <c r="F1946" s="69"/>
      <c r="G1946" s="68"/>
      <c r="H1946" s="70"/>
      <c r="BA1946" s="4"/>
      <c r="BB1946" s="4"/>
    </row>
    <row r="1947" spans="1:54" x14ac:dyDescent="0.3">
      <c r="A1947" s="66"/>
      <c r="B1947" s="67"/>
      <c r="C1947" s="66"/>
      <c r="D1947" s="68"/>
      <c r="E1947" s="10"/>
      <c r="F1947" s="69"/>
      <c r="G1947" s="68"/>
      <c r="H1947" s="70"/>
      <c r="BA1947" s="4"/>
      <c r="BB1947" s="4"/>
    </row>
    <row r="1948" spans="1:54" x14ac:dyDescent="0.3">
      <c r="A1948" s="66"/>
      <c r="B1948" s="67"/>
      <c r="C1948" s="66"/>
      <c r="D1948" s="68"/>
      <c r="E1948" s="10"/>
      <c r="F1948" s="69"/>
      <c r="G1948" s="68"/>
      <c r="H1948" s="70"/>
      <c r="BA1948" s="4"/>
      <c r="BB1948" s="4"/>
    </row>
    <row r="1949" spans="1:54" x14ac:dyDescent="0.3">
      <c r="A1949" s="66"/>
      <c r="B1949" s="67"/>
      <c r="C1949" s="66"/>
      <c r="D1949" s="68"/>
      <c r="E1949" s="10"/>
      <c r="F1949" s="69"/>
      <c r="G1949" s="68"/>
      <c r="H1949" s="70"/>
      <c r="BA1949" s="4"/>
      <c r="BB1949" s="4"/>
    </row>
    <row r="1950" spans="1:54" x14ac:dyDescent="0.3">
      <c r="A1950" s="66"/>
      <c r="B1950" s="67"/>
      <c r="C1950" s="66"/>
      <c r="D1950" s="68"/>
      <c r="E1950" s="10"/>
      <c r="F1950" s="69"/>
      <c r="G1950" s="68"/>
      <c r="H1950" s="70"/>
      <c r="BA1950" s="4"/>
      <c r="BB1950" s="4"/>
    </row>
    <row r="1951" spans="1:54" x14ac:dyDescent="0.3">
      <c r="A1951" s="66"/>
      <c r="B1951" s="67"/>
      <c r="C1951" s="66"/>
      <c r="D1951" s="68"/>
      <c r="E1951" s="10"/>
      <c r="F1951" s="69"/>
      <c r="G1951" s="68"/>
      <c r="H1951" s="70"/>
      <c r="BA1951" s="4"/>
      <c r="BB1951" s="4"/>
    </row>
    <row r="1952" spans="1:54" x14ac:dyDescent="0.3">
      <c r="A1952" s="66"/>
      <c r="B1952" s="67"/>
      <c r="C1952" s="66"/>
      <c r="D1952" s="68"/>
      <c r="E1952" s="10"/>
      <c r="F1952" s="69"/>
      <c r="G1952" s="68"/>
      <c r="H1952" s="70"/>
      <c r="BA1952" s="4"/>
      <c r="BB1952" s="4"/>
    </row>
    <row r="1953" spans="1:54" x14ac:dyDescent="0.3">
      <c r="A1953" s="66"/>
      <c r="B1953" s="67"/>
      <c r="C1953" s="66"/>
      <c r="D1953" s="68"/>
      <c r="E1953" s="10"/>
      <c r="F1953" s="69"/>
      <c r="G1953" s="68"/>
      <c r="H1953" s="70"/>
      <c r="BA1953" s="4"/>
      <c r="BB1953" s="4"/>
    </row>
    <row r="1954" spans="1:54" x14ac:dyDescent="0.3">
      <c r="A1954" s="66"/>
      <c r="B1954" s="67"/>
      <c r="C1954" s="66"/>
      <c r="D1954" s="68"/>
      <c r="E1954" s="10"/>
      <c r="F1954" s="69"/>
      <c r="G1954" s="68"/>
      <c r="H1954" s="70"/>
      <c r="BA1954" s="4"/>
      <c r="BB1954" s="4"/>
    </row>
    <row r="1955" spans="1:54" x14ac:dyDescent="0.3">
      <c r="A1955" s="66"/>
      <c r="B1955" s="67"/>
      <c r="C1955" s="66"/>
      <c r="D1955" s="68"/>
      <c r="E1955" s="10"/>
      <c r="F1955" s="69"/>
      <c r="G1955" s="68"/>
      <c r="H1955" s="70"/>
      <c r="BA1955" s="4"/>
      <c r="BB1955" s="4"/>
    </row>
    <row r="1956" spans="1:54" x14ac:dyDescent="0.3">
      <c r="A1956" s="66"/>
      <c r="B1956" s="67"/>
      <c r="C1956" s="66"/>
      <c r="D1956" s="68"/>
      <c r="E1956" s="10"/>
      <c r="F1956" s="69"/>
      <c r="G1956" s="68"/>
      <c r="H1956" s="70"/>
      <c r="BA1956" s="4"/>
      <c r="BB1956" s="4"/>
    </row>
    <row r="1957" spans="1:54" x14ac:dyDescent="0.3">
      <c r="A1957" s="66"/>
      <c r="B1957" s="67"/>
      <c r="C1957" s="66"/>
      <c r="D1957" s="68"/>
      <c r="E1957" s="10"/>
      <c r="F1957" s="69"/>
      <c r="G1957" s="68"/>
      <c r="H1957" s="70"/>
      <c r="BA1957" s="4"/>
      <c r="BB1957" s="4"/>
    </row>
    <row r="1958" spans="1:54" x14ac:dyDescent="0.3">
      <c r="A1958" s="66"/>
      <c r="B1958" s="67"/>
      <c r="C1958" s="66"/>
      <c r="D1958" s="68"/>
      <c r="E1958" s="10"/>
      <c r="F1958" s="69"/>
      <c r="G1958" s="68"/>
      <c r="H1958" s="70"/>
      <c r="BA1958" s="4"/>
      <c r="BB1958" s="4"/>
    </row>
    <row r="1959" spans="1:54" x14ac:dyDescent="0.3">
      <c r="A1959" s="66"/>
      <c r="B1959" s="67"/>
      <c r="C1959" s="66"/>
      <c r="D1959" s="68"/>
      <c r="E1959" s="10"/>
      <c r="F1959" s="69"/>
      <c r="G1959" s="68"/>
      <c r="H1959" s="70"/>
      <c r="BA1959" s="4"/>
      <c r="BB1959" s="4"/>
    </row>
    <row r="1960" spans="1:54" x14ac:dyDescent="0.3">
      <c r="A1960" s="66"/>
      <c r="B1960" s="67"/>
      <c r="C1960" s="66"/>
      <c r="D1960" s="68"/>
      <c r="E1960" s="10"/>
      <c r="F1960" s="69"/>
      <c r="G1960" s="68"/>
      <c r="H1960" s="70"/>
      <c r="BA1960" s="4"/>
      <c r="BB1960" s="4"/>
    </row>
    <row r="1961" spans="1:54" x14ac:dyDescent="0.3">
      <c r="A1961" s="66"/>
      <c r="B1961" s="67"/>
      <c r="C1961" s="66"/>
      <c r="D1961" s="68"/>
      <c r="E1961" s="10"/>
      <c r="F1961" s="69"/>
      <c r="G1961" s="68"/>
      <c r="H1961" s="70"/>
      <c r="BA1961" s="4"/>
      <c r="BB1961" s="4"/>
    </row>
    <row r="1962" spans="1:54" x14ac:dyDescent="0.3">
      <c r="A1962" s="66"/>
      <c r="B1962" s="67"/>
      <c r="C1962" s="66"/>
      <c r="D1962" s="68"/>
      <c r="E1962" s="10"/>
      <c r="F1962" s="69"/>
      <c r="G1962" s="68"/>
      <c r="H1962" s="70"/>
      <c r="BA1962" s="4"/>
      <c r="BB1962" s="4"/>
    </row>
    <row r="1963" spans="1:54" x14ac:dyDescent="0.3">
      <c r="A1963" s="66"/>
      <c r="B1963" s="67"/>
      <c r="C1963" s="66"/>
      <c r="D1963" s="68"/>
      <c r="E1963" s="10"/>
      <c r="F1963" s="69"/>
      <c r="G1963" s="68"/>
      <c r="H1963" s="70"/>
      <c r="BA1963" s="4"/>
      <c r="BB1963" s="4"/>
    </row>
    <row r="1964" spans="1:54" x14ac:dyDescent="0.3">
      <c r="A1964" s="66"/>
      <c r="B1964" s="67"/>
      <c r="C1964" s="66"/>
      <c r="D1964" s="68"/>
      <c r="E1964" s="10"/>
      <c r="F1964" s="69"/>
      <c r="G1964" s="68"/>
      <c r="H1964" s="70"/>
      <c r="BA1964" s="4"/>
      <c r="BB1964" s="4"/>
    </row>
    <row r="1965" spans="1:54" x14ac:dyDescent="0.3">
      <c r="A1965" s="66"/>
      <c r="B1965" s="67"/>
      <c r="C1965" s="66"/>
      <c r="D1965" s="68"/>
      <c r="E1965" s="10"/>
      <c r="F1965" s="69"/>
      <c r="G1965" s="68"/>
      <c r="H1965" s="70"/>
      <c r="BA1965" s="4"/>
      <c r="BB1965" s="4"/>
    </row>
    <row r="1966" spans="1:54" x14ac:dyDescent="0.3">
      <c r="A1966" s="66"/>
      <c r="B1966" s="67"/>
      <c r="C1966" s="66"/>
      <c r="D1966" s="68"/>
      <c r="E1966" s="10"/>
      <c r="F1966" s="69"/>
      <c r="G1966" s="68"/>
      <c r="H1966" s="70"/>
      <c r="BA1966" s="4"/>
      <c r="BB1966" s="4"/>
    </row>
    <row r="1967" spans="1:54" x14ac:dyDescent="0.3">
      <c r="A1967" s="66"/>
      <c r="B1967" s="67"/>
      <c r="C1967" s="66"/>
      <c r="D1967" s="68"/>
      <c r="E1967" s="10"/>
      <c r="F1967" s="69"/>
      <c r="G1967" s="68"/>
      <c r="H1967" s="70"/>
      <c r="BA1967" s="4"/>
      <c r="BB1967" s="4"/>
    </row>
    <row r="1968" spans="1:54" x14ac:dyDescent="0.3">
      <c r="A1968" s="66"/>
      <c r="B1968" s="67"/>
      <c r="C1968" s="66"/>
      <c r="D1968" s="68"/>
      <c r="E1968" s="10"/>
      <c r="F1968" s="69"/>
      <c r="G1968" s="68"/>
      <c r="H1968" s="70"/>
      <c r="BA1968" s="4"/>
      <c r="BB1968" s="4"/>
    </row>
    <row r="1969" spans="1:54" x14ac:dyDescent="0.3">
      <c r="A1969" s="66"/>
      <c r="B1969" s="67"/>
      <c r="C1969" s="66"/>
      <c r="D1969" s="68"/>
      <c r="E1969" s="10"/>
      <c r="F1969" s="69"/>
      <c r="G1969" s="68"/>
      <c r="H1969" s="70"/>
      <c r="BA1969" s="4"/>
      <c r="BB1969" s="4"/>
    </row>
    <row r="1970" spans="1:54" x14ac:dyDescent="0.3">
      <c r="A1970" s="66"/>
      <c r="B1970" s="67"/>
      <c r="C1970" s="66"/>
      <c r="D1970" s="68"/>
      <c r="E1970" s="10"/>
      <c r="F1970" s="69"/>
      <c r="G1970" s="68"/>
      <c r="H1970" s="70"/>
      <c r="BA1970" s="4"/>
      <c r="BB1970" s="4"/>
    </row>
    <row r="1971" spans="1:54" x14ac:dyDescent="0.3">
      <c r="A1971" s="66"/>
      <c r="B1971" s="67"/>
      <c r="C1971" s="66"/>
      <c r="D1971" s="68"/>
      <c r="E1971" s="10"/>
      <c r="F1971" s="69"/>
      <c r="G1971" s="68"/>
      <c r="H1971" s="70"/>
      <c r="BA1971" s="4"/>
      <c r="BB1971" s="4"/>
    </row>
    <row r="1972" spans="1:54" x14ac:dyDescent="0.3">
      <c r="A1972" s="66"/>
      <c r="B1972" s="67"/>
      <c r="C1972" s="66"/>
      <c r="D1972" s="68"/>
      <c r="E1972" s="10"/>
      <c r="F1972" s="69"/>
      <c r="G1972" s="68"/>
      <c r="H1972" s="70"/>
      <c r="BA1972" s="4"/>
      <c r="BB1972" s="4"/>
    </row>
    <row r="1973" spans="1:54" x14ac:dyDescent="0.3">
      <c r="A1973" s="66"/>
      <c r="B1973" s="67"/>
      <c r="C1973" s="66"/>
      <c r="D1973" s="68"/>
      <c r="E1973" s="10"/>
      <c r="F1973" s="69"/>
      <c r="G1973" s="68"/>
      <c r="H1973" s="70"/>
      <c r="BA1973" s="4"/>
      <c r="BB1973" s="4"/>
    </row>
    <row r="1974" spans="1:54" x14ac:dyDescent="0.3">
      <c r="A1974" s="66"/>
      <c r="B1974" s="67"/>
      <c r="C1974" s="66"/>
      <c r="D1974" s="68"/>
      <c r="E1974" s="10"/>
      <c r="F1974" s="69"/>
      <c r="G1974" s="68"/>
      <c r="H1974" s="70"/>
      <c r="BA1974" s="4"/>
      <c r="BB1974" s="4"/>
    </row>
    <row r="1975" spans="1:54" x14ac:dyDescent="0.3">
      <c r="A1975" s="66"/>
      <c r="B1975" s="67"/>
      <c r="C1975" s="66"/>
      <c r="D1975" s="68"/>
      <c r="E1975" s="10"/>
      <c r="F1975" s="69"/>
      <c r="G1975" s="68"/>
      <c r="H1975" s="70"/>
      <c r="BA1975" s="4"/>
      <c r="BB1975" s="4"/>
    </row>
    <row r="1976" spans="1:54" x14ac:dyDescent="0.3">
      <c r="A1976" s="66"/>
      <c r="B1976" s="67"/>
      <c r="C1976" s="66"/>
      <c r="D1976" s="68"/>
      <c r="E1976" s="10"/>
      <c r="F1976" s="69"/>
      <c r="G1976" s="68"/>
      <c r="H1976" s="70"/>
      <c r="BA1976" s="4"/>
      <c r="BB1976" s="4"/>
    </row>
    <row r="1977" spans="1:54" x14ac:dyDescent="0.3">
      <c r="A1977" s="66"/>
      <c r="B1977" s="67"/>
      <c r="C1977" s="66"/>
      <c r="D1977" s="68"/>
      <c r="E1977" s="10"/>
      <c r="F1977" s="69"/>
      <c r="G1977" s="68"/>
      <c r="H1977" s="70"/>
      <c r="BA1977" s="4"/>
      <c r="BB1977" s="4"/>
    </row>
    <row r="1978" spans="1:54" x14ac:dyDescent="0.3">
      <c r="A1978" s="66"/>
      <c r="B1978" s="67"/>
      <c r="C1978" s="66"/>
      <c r="D1978" s="68"/>
      <c r="E1978" s="10"/>
      <c r="F1978" s="69"/>
      <c r="G1978" s="68"/>
      <c r="H1978" s="70"/>
      <c r="BA1978" s="4"/>
      <c r="BB1978" s="4"/>
    </row>
    <row r="1979" spans="1:54" x14ac:dyDescent="0.3">
      <c r="A1979" s="66"/>
      <c r="B1979" s="67"/>
      <c r="C1979" s="66"/>
      <c r="D1979" s="68"/>
      <c r="E1979" s="10"/>
      <c r="F1979" s="69"/>
      <c r="G1979" s="68"/>
      <c r="H1979" s="70"/>
      <c r="BA1979" s="4"/>
      <c r="BB1979" s="4"/>
    </row>
    <row r="1980" spans="1:54" x14ac:dyDescent="0.3">
      <c r="A1980" s="66"/>
      <c r="B1980" s="67"/>
      <c r="C1980" s="66"/>
      <c r="D1980" s="68"/>
      <c r="E1980" s="10"/>
      <c r="F1980" s="69"/>
      <c r="G1980" s="68"/>
      <c r="H1980" s="70"/>
      <c r="BA1980" s="4"/>
      <c r="BB1980" s="4"/>
    </row>
    <row r="1981" spans="1:54" x14ac:dyDescent="0.3">
      <c r="A1981" s="66"/>
      <c r="B1981" s="67"/>
      <c r="C1981" s="66"/>
      <c r="D1981" s="68"/>
      <c r="E1981" s="10"/>
      <c r="F1981" s="69"/>
      <c r="G1981" s="68"/>
      <c r="H1981" s="70"/>
      <c r="BA1981" s="4"/>
      <c r="BB1981" s="4"/>
    </row>
    <row r="1982" spans="1:54" x14ac:dyDescent="0.3">
      <c r="A1982" s="66"/>
      <c r="B1982" s="67"/>
      <c r="C1982" s="66"/>
      <c r="D1982" s="68"/>
      <c r="E1982" s="10"/>
      <c r="F1982" s="69"/>
      <c r="G1982" s="68"/>
      <c r="H1982" s="70"/>
      <c r="BA1982" s="4"/>
      <c r="BB1982" s="4"/>
    </row>
    <row r="1983" spans="1:54" x14ac:dyDescent="0.3">
      <c r="A1983" s="66"/>
      <c r="B1983" s="67"/>
      <c r="C1983" s="66"/>
      <c r="D1983" s="68"/>
      <c r="E1983" s="10"/>
      <c r="F1983" s="69"/>
      <c r="G1983" s="68"/>
      <c r="H1983" s="70"/>
      <c r="BA1983" s="4"/>
      <c r="BB1983" s="4"/>
    </row>
    <row r="1984" spans="1:54" x14ac:dyDescent="0.3">
      <c r="A1984" s="66"/>
      <c r="B1984" s="67"/>
      <c r="C1984" s="66"/>
      <c r="D1984" s="68"/>
      <c r="E1984" s="10"/>
      <c r="F1984" s="69"/>
      <c r="G1984" s="68"/>
      <c r="H1984" s="70"/>
      <c r="BA1984" s="4"/>
      <c r="BB1984" s="4"/>
    </row>
    <row r="1985" spans="1:54" x14ac:dyDescent="0.3">
      <c r="A1985" s="66"/>
      <c r="B1985" s="67"/>
      <c r="C1985" s="66"/>
      <c r="D1985" s="68"/>
      <c r="E1985" s="10"/>
      <c r="F1985" s="69"/>
      <c r="G1985" s="68"/>
      <c r="H1985" s="70"/>
      <c r="BA1985" s="4"/>
      <c r="BB1985" s="4"/>
    </row>
    <row r="1986" spans="1:54" x14ac:dyDescent="0.3">
      <c r="A1986" s="66"/>
      <c r="B1986" s="67"/>
      <c r="C1986" s="66"/>
      <c r="D1986" s="68"/>
      <c r="E1986" s="10"/>
      <c r="F1986" s="69"/>
      <c r="G1986" s="68"/>
      <c r="H1986" s="70"/>
      <c r="BA1986" s="4"/>
      <c r="BB1986" s="4"/>
    </row>
    <row r="1987" spans="1:54" x14ac:dyDescent="0.3">
      <c r="A1987" s="66"/>
      <c r="B1987" s="67"/>
      <c r="C1987" s="66"/>
      <c r="D1987" s="68"/>
      <c r="E1987" s="10"/>
      <c r="F1987" s="69"/>
      <c r="G1987" s="68"/>
      <c r="H1987" s="70"/>
      <c r="BA1987" s="4"/>
      <c r="BB1987" s="4"/>
    </row>
    <row r="1988" spans="1:54" x14ac:dyDescent="0.3">
      <c r="A1988" s="66"/>
      <c r="B1988" s="67"/>
      <c r="C1988" s="66"/>
      <c r="D1988" s="68"/>
      <c r="E1988" s="10"/>
      <c r="F1988" s="69"/>
      <c r="G1988" s="68"/>
      <c r="H1988" s="70"/>
      <c r="BA1988" s="4"/>
      <c r="BB1988" s="4"/>
    </row>
    <row r="1989" spans="1:54" x14ac:dyDescent="0.3">
      <c r="A1989" s="66"/>
      <c r="B1989" s="67"/>
      <c r="C1989" s="66"/>
      <c r="D1989" s="68"/>
      <c r="E1989" s="10"/>
      <c r="F1989" s="69"/>
      <c r="G1989" s="68"/>
      <c r="H1989" s="70"/>
      <c r="BA1989" s="4"/>
      <c r="BB1989" s="4"/>
    </row>
    <row r="1990" spans="1:54" x14ac:dyDescent="0.3">
      <c r="A1990" s="66"/>
      <c r="B1990" s="67"/>
      <c r="C1990" s="66"/>
      <c r="D1990" s="68"/>
      <c r="E1990" s="10"/>
      <c r="F1990" s="69"/>
      <c r="G1990" s="68"/>
      <c r="H1990" s="70"/>
      <c r="BA1990" s="4"/>
      <c r="BB1990" s="4"/>
    </row>
    <row r="1991" spans="1:54" x14ac:dyDescent="0.3">
      <c r="A1991" s="66"/>
      <c r="B1991" s="67"/>
      <c r="C1991" s="66"/>
      <c r="D1991" s="68"/>
      <c r="E1991" s="10"/>
      <c r="F1991" s="69"/>
      <c r="G1991" s="68"/>
      <c r="H1991" s="70"/>
      <c r="BA1991" s="4"/>
      <c r="BB1991" s="4"/>
    </row>
    <row r="1992" spans="1:54" x14ac:dyDescent="0.3">
      <c r="A1992" s="66"/>
      <c r="B1992" s="67"/>
      <c r="C1992" s="66"/>
      <c r="D1992" s="68"/>
      <c r="E1992" s="10"/>
      <c r="F1992" s="69"/>
      <c r="G1992" s="68"/>
      <c r="H1992" s="70"/>
      <c r="BA1992" s="4"/>
      <c r="BB1992" s="4"/>
    </row>
    <row r="1993" spans="1:54" x14ac:dyDescent="0.3">
      <c r="A1993" s="66"/>
      <c r="B1993" s="67"/>
      <c r="C1993" s="66"/>
      <c r="D1993" s="68"/>
      <c r="E1993" s="10"/>
      <c r="F1993" s="69"/>
      <c r="G1993" s="68"/>
      <c r="H1993" s="70"/>
      <c r="BA1993" s="4"/>
      <c r="BB1993" s="4"/>
    </row>
    <row r="1994" spans="1:54" x14ac:dyDescent="0.3">
      <c r="A1994" s="66"/>
      <c r="B1994" s="67"/>
      <c r="C1994" s="66"/>
      <c r="D1994" s="68"/>
      <c r="E1994" s="10"/>
      <c r="F1994" s="69"/>
      <c r="G1994" s="68"/>
      <c r="H1994" s="70"/>
      <c r="BA1994" s="4"/>
      <c r="BB1994" s="4"/>
    </row>
    <row r="1995" spans="1:54" x14ac:dyDescent="0.3">
      <c r="A1995" s="66"/>
      <c r="B1995" s="67"/>
      <c r="C1995" s="66"/>
      <c r="D1995" s="68"/>
      <c r="E1995" s="10"/>
      <c r="F1995" s="69"/>
      <c r="G1995" s="68"/>
      <c r="H1995" s="70"/>
      <c r="BA1995" s="4"/>
      <c r="BB1995" s="4"/>
    </row>
    <row r="1996" spans="1:54" x14ac:dyDescent="0.3">
      <c r="A1996" s="66"/>
      <c r="B1996" s="67"/>
      <c r="C1996" s="66"/>
      <c r="D1996" s="68"/>
      <c r="E1996" s="10"/>
      <c r="F1996" s="69"/>
      <c r="G1996" s="68"/>
      <c r="H1996" s="70"/>
      <c r="BA1996" s="4"/>
      <c r="BB1996" s="4"/>
    </row>
    <row r="1997" spans="1:54" x14ac:dyDescent="0.3">
      <c r="A1997" s="66"/>
      <c r="B1997" s="67"/>
      <c r="C1997" s="66"/>
      <c r="D1997" s="68"/>
      <c r="E1997" s="10"/>
      <c r="F1997" s="69"/>
      <c r="G1997" s="68"/>
      <c r="H1997" s="70"/>
      <c r="BA1997" s="4"/>
      <c r="BB1997" s="4"/>
    </row>
    <row r="1998" spans="1:54" x14ac:dyDescent="0.3">
      <c r="A1998" s="66"/>
      <c r="B1998" s="67"/>
      <c r="C1998" s="66"/>
      <c r="D1998" s="68"/>
      <c r="E1998" s="10"/>
      <c r="F1998" s="69"/>
      <c r="G1998" s="68"/>
      <c r="H1998" s="70"/>
      <c r="BA1998" s="4"/>
      <c r="BB1998" s="4"/>
    </row>
    <row r="1999" spans="1:54" x14ac:dyDescent="0.3">
      <c r="A1999" s="66"/>
      <c r="B1999" s="67"/>
      <c r="C1999" s="66"/>
      <c r="D1999" s="68"/>
      <c r="E1999" s="10"/>
      <c r="F1999" s="69"/>
      <c r="G1999" s="68"/>
      <c r="H1999" s="70"/>
      <c r="BA1999" s="4"/>
      <c r="BB1999" s="4"/>
    </row>
    <row r="2000" spans="1:54" x14ac:dyDescent="0.3">
      <c r="A2000" s="66"/>
      <c r="B2000" s="67"/>
      <c r="C2000" s="66"/>
      <c r="D2000" s="68"/>
      <c r="E2000" s="10"/>
      <c r="F2000" s="69"/>
      <c r="G2000" s="68"/>
      <c r="H2000" s="70"/>
      <c r="BA2000" s="4"/>
      <c r="BB2000" s="4"/>
    </row>
    <row r="2001" spans="1:54" x14ac:dyDescent="0.3">
      <c r="A2001" s="66"/>
      <c r="B2001" s="67"/>
      <c r="C2001" s="66"/>
      <c r="D2001" s="68"/>
      <c r="E2001" s="10"/>
      <c r="F2001" s="69"/>
      <c r="G2001" s="68"/>
      <c r="H2001" s="70"/>
      <c r="BA2001" s="4"/>
      <c r="BB2001" s="4"/>
    </row>
    <row r="2002" spans="1:54" x14ac:dyDescent="0.3">
      <c r="A2002" s="66"/>
      <c r="B2002" s="67"/>
      <c r="C2002" s="66"/>
      <c r="D2002" s="68"/>
      <c r="E2002" s="10"/>
      <c r="F2002" s="69"/>
      <c r="G2002" s="68"/>
      <c r="H2002" s="70"/>
      <c r="BA2002" s="4"/>
      <c r="BB2002" s="4"/>
    </row>
    <row r="2003" spans="1:54" x14ac:dyDescent="0.3">
      <c r="A2003" s="66"/>
      <c r="B2003" s="67"/>
      <c r="C2003" s="66"/>
      <c r="D2003" s="68"/>
      <c r="E2003" s="10"/>
      <c r="F2003" s="69"/>
      <c r="G2003" s="68"/>
      <c r="H2003" s="70"/>
      <c r="BA2003" s="4"/>
      <c r="BB2003" s="4"/>
    </row>
    <row r="2004" spans="1:54" x14ac:dyDescent="0.3">
      <c r="A2004" s="66"/>
      <c r="B2004" s="67"/>
      <c r="C2004" s="66"/>
      <c r="D2004" s="68"/>
      <c r="E2004" s="10"/>
      <c r="F2004" s="69"/>
      <c r="G2004" s="68"/>
      <c r="H2004" s="70"/>
      <c r="BA2004" s="4"/>
      <c r="BB2004" s="4"/>
    </row>
    <row r="2005" spans="1:54" x14ac:dyDescent="0.3">
      <c r="A2005" s="66"/>
      <c r="B2005" s="67"/>
      <c r="C2005" s="66"/>
      <c r="D2005" s="68"/>
      <c r="E2005" s="10"/>
      <c r="F2005" s="69"/>
      <c r="G2005" s="68"/>
      <c r="H2005" s="70"/>
      <c r="BA2005" s="4"/>
      <c r="BB2005" s="4"/>
    </row>
    <row r="2006" spans="1:54" x14ac:dyDescent="0.3">
      <c r="A2006" s="66"/>
      <c r="B2006" s="67"/>
      <c r="C2006" s="66"/>
      <c r="D2006" s="68"/>
      <c r="E2006" s="10"/>
      <c r="F2006" s="69"/>
      <c r="G2006" s="68"/>
      <c r="H2006" s="70"/>
      <c r="BA2006" s="4"/>
      <c r="BB2006" s="4"/>
    </row>
    <row r="2007" spans="1:54" x14ac:dyDescent="0.3">
      <c r="A2007" s="66"/>
      <c r="B2007" s="67"/>
      <c r="C2007" s="66"/>
      <c r="D2007" s="68"/>
      <c r="E2007" s="10"/>
      <c r="F2007" s="69"/>
      <c r="G2007" s="68"/>
      <c r="H2007" s="70"/>
      <c r="BA2007" s="4"/>
      <c r="BB2007" s="4"/>
    </row>
    <row r="2008" spans="1:54" x14ac:dyDescent="0.3">
      <c r="A2008" s="66"/>
      <c r="B2008" s="67"/>
      <c r="C2008" s="66"/>
      <c r="D2008" s="68"/>
      <c r="E2008" s="10"/>
      <c r="F2008" s="69"/>
      <c r="G2008" s="68"/>
      <c r="H2008" s="70"/>
      <c r="BA2008" s="4"/>
      <c r="BB2008" s="4"/>
    </row>
    <row r="2009" spans="1:54" x14ac:dyDescent="0.3">
      <c r="A2009" s="66"/>
      <c r="B2009" s="67"/>
      <c r="C2009" s="66"/>
      <c r="D2009" s="68"/>
      <c r="E2009" s="10"/>
      <c r="F2009" s="69"/>
      <c r="G2009" s="68"/>
      <c r="H2009" s="70"/>
      <c r="BA2009" s="4"/>
      <c r="BB2009" s="4"/>
    </row>
    <row r="2010" spans="1:54" x14ac:dyDescent="0.3">
      <c r="A2010" s="66"/>
      <c r="B2010" s="67"/>
      <c r="C2010" s="66"/>
      <c r="D2010" s="68"/>
      <c r="E2010" s="10"/>
      <c r="F2010" s="69"/>
      <c r="G2010" s="68"/>
      <c r="H2010" s="70"/>
      <c r="BA2010" s="4"/>
      <c r="BB2010" s="4"/>
    </row>
    <row r="2011" spans="1:54" x14ac:dyDescent="0.3">
      <c r="A2011" s="66"/>
      <c r="B2011" s="67"/>
      <c r="C2011" s="66"/>
      <c r="D2011" s="68"/>
      <c r="E2011" s="10"/>
      <c r="F2011" s="69"/>
      <c r="G2011" s="68"/>
      <c r="H2011" s="70"/>
      <c r="BA2011" s="4"/>
      <c r="BB2011" s="4"/>
    </row>
    <row r="2012" spans="1:54" x14ac:dyDescent="0.3">
      <c r="A2012" s="66"/>
      <c r="B2012" s="67"/>
      <c r="C2012" s="66"/>
      <c r="D2012" s="68"/>
      <c r="E2012" s="10"/>
      <c r="F2012" s="69"/>
      <c r="G2012" s="68"/>
      <c r="H2012" s="70"/>
      <c r="BA2012" s="4"/>
      <c r="BB2012" s="4"/>
    </row>
    <row r="2013" spans="1:54" x14ac:dyDescent="0.3">
      <c r="A2013" s="66"/>
      <c r="B2013" s="67"/>
      <c r="C2013" s="66"/>
      <c r="D2013" s="68"/>
      <c r="E2013" s="10"/>
      <c r="F2013" s="69"/>
      <c r="G2013" s="68"/>
      <c r="H2013" s="70"/>
      <c r="BA2013" s="4"/>
      <c r="BB2013" s="4"/>
    </row>
    <row r="2014" spans="1:54" x14ac:dyDescent="0.3">
      <c r="A2014" s="66"/>
      <c r="B2014" s="67"/>
      <c r="C2014" s="66"/>
      <c r="D2014" s="68"/>
      <c r="E2014" s="10"/>
      <c r="F2014" s="69"/>
      <c r="G2014" s="68"/>
      <c r="H2014" s="70"/>
      <c r="BA2014" s="4"/>
      <c r="BB2014" s="4"/>
    </row>
    <row r="2015" spans="1:54" x14ac:dyDescent="0.3">
      <c r="A2015" s="66"/>
      <c r="B2015" s="67"/>
      <c r="C2015" s="66"/>
      <c r="D2015" s="68"/>
      <c r="E2015" s="10"/>
      <c r="F2015" s="69"/>
      <c r="G2015" s="68"/>
      <c r="H2015" s="70"/>
      <c r="BA2015" s="4"/>
      <c r="BB2015" s="4"/>
    </row>
    <row r="2016" spans="1:54" x14ac:dyDescent="0.3">
      <c r="A2016" s="66"/>
      <c r="B2016" s="67"/>
      <c r="C2016" s="66"/>
      <c r="D2016" s="68"/>
      <c r="E2016" s="10"/>
      <c r="F2016" s="69"/>
      <c r="G2016" s="68"/>
      <c r="H2016" s="70"/>
      <c r="BA2016" s="4"/>
      <c r="BB2016" s="4"/>
    </row>
    <row r="2017" spans="1:54" x14ac:dyDescent="0.3">
      <c r="A2017" s="66"/>
      <c r="B2017" s="67"/>
      <c r="C2017" s="66"/>
      <c r="D2017" s="68"/>
      <c r="E2017" s="10"/>
      <c r="F2017" s="69"/>
      <c r="G2017" s="68"/>
      <c r="H2017" s="70"/>
      <c r="BA2017" s="4"/>
      <c r="BB2017" s="4"/>
    </row>
    <row r="2018" spans="1:54" x14ac:dyDescent="0.3">
      <c r="A2018" s="66"/>
      <c r="B2018" s="67"/>
      <c r="C2018" s="66"/>
      <c r="D2018" s="68"/>
      <c r="E2018" s="10"/>
      <c r="F2018" s="69"/>
      <c r="G2018" s="68"/>
      <c r="H2018" s="70"/>
      <c r="BA2018" s="4"/>
      <c r="BB2018" s="4"/>
    </row>
    <row r="2019" spans="1:54" x14ac:dyDescent="0.3">
      <c r="A2019" s="66"/>
      <c r="B2019" s="67"/>
      <c r="C2019" s="66"/>
      <c r="D2019" s="68"/>
      <c r="E2019" s="10"/>
      <c r="F2019" s="69"/>
      <c r="G2019" s="68"/>
      <c r="H2019" s="70"/>
      <c r="BA2019" s="4"/>
      <c r="BB2019" s="4"/>
    </row>
    <row r="2020" spans="1:54" x14ac:dyDescent="0.3">
      <c r="A2020" s="66"/>
      <c r="B2020" s="67"/>
      <c r="C2020" s="66"/>
      <c r="D2020" s="68"/>
      <c r="E2020" s="10"/>
      <c r="F2020" s="69"/>
      <c r="G2020" s="68"/>
      <c r="H2020" s="70"/>
      <c r="BA2020" s="4"/>
      <c r="BB2020" s="4"/>
    </row>
    <row r="2021" spans="1:54" x14ac:dyDescent="0.3">
      <c r="A2021" s="66"/>
      <c r="B2021" s="67"/>
      <c r="C2021" s="66"/>
      <c r="D2021" s="68"/>
      <c r="E2021" s="10"/>
      <c r="F2021" s="69"/>
      <c r="G2021" s="68"/>
      <c r="H2021" s="70"/>
      <c r="BA2021" s="4"/>
      <c r="BB2021" s="4"/>
    </row>
    <row r="2022" spans="1:54" x14ac:dyDescent="0.3">
      <c r="A2022" s="66"/>
      <c r="B2022" s="67"/>
      <c r="C2022" s="66"/>
      <c r="D2022" s="68"/>
      <c r="E2022" s="10"/>
      <c r="F2022" s="69"/>
      <c r="G2022" s="68"/>
      <c r="H2022" s="70"/>
      <c r="BA2022" s="4"/>
      <c r="BB2022" s="4"/>
    </row>
    <row r="2023" spans="1:54" x14ac:dyDescent="0.3">
      <c r="A2023" s="66"/>
      <c r="B2023" s="67"/>
      <c r="C2023" s="66"/>
      <c r="D2023" s="68"/>
      <c r="E2023" s="10"/>
      <c r="F2023" s="69"/>
      <c r="G2023" s="68"/>
      <c r="H2023" s="70"/>
      <c r="BA2023" s="4"/>
      <c r="BB2023" s="4"/>
    </row>
    <row r="2024" spans="1:54" x14ac:dyDescent="0.3">
      <c r="A2024" s="66"/>
      <c r="B2024" s="67"/>
      <c r="C2024" s="66"/>
      <c r="D2024" s="68"/>
      <c r="E2024" s="10"/>
      <c r="F2024" s="69"/>
      <c r="G2024" s="68"/>
      <c r="H2024" s="70"/>
      <c r="BA2024" s="4"/>
      <c r="BB2024" s="4"/>
    </row>
    <row r="2025" spans="1:54" x14ac:dyDescent="0.3">
      <c r="A2025" s="66"/>
      <c r="B2025" s="67"/>
      <c r="C2025" s="66"/>
      <c r="D2025" s="68"/>
      <c r="E2025" s="10"/>
      <c r="F2025" s="69"/>
      <c r="G2025" s="68"/>
      <c r="H2025" s="70"/>
      <c r="BA2025" s="4"/>
      <c r="BB2025" s="4"/>
    </row>
    <row r="2026" spans="1:54" x14ac:dyDescent="0.3">
      <c r="A2026" s="66"/>
      <c r="B2026" s="67"/>
      <c r="C2026" s="66"/>
      <c r="D2026" s="68"/>
      <c r="E2026" s="10"/>
      <c r="F2026" s="69"/>
      <c r="G2026" s="68"/>
      <c r="H2026" s="70"/>
      <c r="BA2026" s="4"/>
      <c r="BB2026" s="4"/>
    </row>
    <row r="2027" spans="1:54" x14ac:dyDescent="0.3">
      <c r="A2027" s="66"/>
      <c r="B2027" s="67"/>
      <c r="C2027" s="66"/>
      <c r="D2027" s="68"/>
      <c r="E2027" s="10"/>
      <c r="F2027" s="69"/>
      <c r="G2027" s="68"/>
      <c r="H2027" s="70"/>
      <c r="BA2027" s="4"/>
      <c r="BB2027" s="4"/>
    </row>
    <row r="2028" spans="1:54" x14ac:dyDescent="0.3">
      <c r="A2028" s="66"/>
      <c r="B2028" s="67"/>
      <c r="C2028" s="66"/>
      <c r="D2028" s="68"/>
      <c r="E2028" s="10"/>
      <c r="F2028" s="69"/>
      <c r="G2028" s="68"/>
      <c r="H2028" s="70"/>
      <c r="BA2028" s="4"/>
      <c r="BB2028" s="4"/>
    </row>
    <row r="2029" spans="1:54" x14ac:dyDescent="0.3">
      <c r="A2029" s="66"/>
      <c r="B2029" s="67"/>
      <c r="C2029" s="66"/>
      <c r="D2029" s="68"/>
      <c r="E2029" s="10"/>
      <c r="F2029" s="69"/>
      <c r="G2029" s="68"/>
      <c r="H2029" s="70"/>
      <c r="BA2029" s="4"/>
      <c r="BB2029" s="4"/>
    </row>
    <row r="2030" spans="1:54" x14ac:dyDescent="0.3">
      <c r="A2030" s="66"/>
      <c r="B2030" s="67"/>
      <c r="C2030" s="66"/>
      <c r="D2030" s="68"/>
      <c r="E2030" s="10"/>
      <c r="F2030" s="69"/>
      <c r="G2030" s="68"/>
      <c r="H2030" s="70"/>
      <c r="BA2030" s="4"/>
      <c r="BB2030" s="4"/>
    </row>
    <row r="2031" spans="1:54" x14ac:dyDescent="0.3">
      <c r="A2031" s="66"/>
      <c r="B2031" s="67"/>
      <c r="C2031" s="66"/>
      <c r="D2031" s="68"/>
      <c r="E2031" s="10"/>
      <c r="F2031" s="69"/>
      <c r="G2031" s="68"/>
      <c r="H2031" s="70"/>
      <c r="BA2031" s="4"/>
      <c r="BB2031" s="4"/>
    </row>
    <row r="2032" spans="1:54" x14ac:dyDescent="0.3">
      <c r="A2032" s="66"/>
      <c r="B2032" s="67"/>
      <c r="C2032" s="66"/>
      <c r="D2032" s="68"/>
      <c r="E2032" s="10"/>
      <c r="F2032" s="69"/>
      <c r="G2032" s="68"/>
      <c r="H2032" s="70"/>
      <c r="BA2032" s="4"/>
      <c r="BB2032" s="4"/>
    </row>
    <row r="2033" spans="1:54" x14ac:dyDescent="0.3">
      <c r="A2033" s="66"/>
      <c r="B2033" s="67"/>
      <c r="C2033" s="66"/>
      <c r="D2033" s="68"/>
      <c r="E2033" s="10"/>
      <c r="F2033" s="69"/>
      <c r="G2033" s="68"/>
      <c r="H2033" s="70"/>
      <c r="BA2033" s="4"/>
      <c r="BB2033" s="4"/>
    </row>
    <row r="2034" spans="1:54" x14ac:dyDescent="0.3">
      <c r="A2034" s="66"/>
      <c r="B2034" s="67"/>
      <c r="C2034" s="66"/>
      <c r="D2034" s="68"/>
      <c r="E2034" s="10"/>
      <c r="F2034" s="69"/>
      <c r="G2034" s="68"/>
      <c r="H2034" s="70"/>
      <c r="BA2034" s="4"/>
      <c r="BB2034" s="4"/>
    </row>
    <row r="2035" spans="1:54" x14ac:dyDescent="0.3">
      <c r="A2035" s="66"/>
      <c r="B2035" s="67"/>
      <c r="C2035" s="66"/>
      <c r="D2035" s="68"/>
      <c r="E2035" s="10"/>
      <c r="F2035" s="69"/>
      <c r="G2035" s="68"/>
      <c r="H2035" s="70"/>
      <c r="BA2035" s="4"/>
      <c r="BB2035" s="4"/>
    </row>
    <row r="2036" spans="1:54" x14ac:dyDescent="0.3">
      <c r="A2036" s="66"/>
      <c r="B2036" s="67"/>
      <c r="C2036" s="66"/>
      <c r="D2036" s="68"/>
      <c r="E2036" s="10"/>
      <c r="F2036" s="69"/>
      <c r="G2036" s="68"/>
      <c r="H2036" s="70"/>
      <c r="BA2036" s="4"/>
      <c r="BB2036" s="4"/>
    </row>
    <row r="2037" spans="1:54" x14ac:dyDescent="0.3">
      <c r="A2037" s="66"/>
      <c r="B2037" s="67"/>
      <c r="C2037" s="66"/>
      <c r="D2037" s="68"/>
      <c r="E2037" s="10"/>
      <c r="F2037" s="69"/>
      <c r="G2037" s="68"/>
      <c r="H2037" s="70"/>
      <c r="BA2037" s="4"/>
      <c r="BB2037" s="4"/>
    </row>
    <row r="2038" spans="1:54" x14ac:dyDescent="0.3">
      <c r="A2038" s="66"/>
      <c r="B2038" s="67"/>
      <c r="C2038" s="66"/>
      <c r="D2038" s="68"/>
      <c r="E2038" s="10"/>
      <c r="F2038" s="69"/>
      <c r="G2038" s="68"/>
      <c r="H2038" s="70"/>
      <c r="BA2038" s="4"/>
      <c r="BB2038" s="4"/>
    </row>
    <row r="2039" spans="1:54" x14ac:dyDescent="0.3">
      <c r="A2039" s="66"/>
      <c r="B2039" s="67"/>
      <c r="C2039" s="66"/>
      <c r="D2039" s="68"/>
      <c r="E2039" s="10"/>
      <c r="F2039" s="69"/>
      <c r="G2039" s="68"/>
      <c r="H2039" s="70"/>
      <c r="BA2039" s="4"/>
      <c r="BB2039" s="4"/>
    </row>
    <row r="2040" spans="1:54" x14ac:dyDescent="0.3">
      <c r="A2040" s="66"/>
      <c r="B2040" s="67"/>
      <c r="C2040" s="66"/>
      <c r="D2040" s="68"/>
      <c r="E2040" s="10"/>
      <c r="F2040" s="69"/>
      <c r="G2040" s="68"/>
      <c r="H2040" s="70"/>
      <c r="BA2040" s="4"/>
      <c r="BB2040" s="4"/>
    </row>
    <row r="2041" spans="1:54" x14ac:dyDescent="0.3">
      <c r="A2041" s="66"/>
      <c r="B2041" s="67"/>
      <c r="C2041" s="66"/>
      <c r="D2041" s="68"/>
      <c r="E2041" s="10"/>
      <c r="F2041" s="69"/>
      <c r="G2041" s="68"/>
      <c r="H2041" s="70"/>
      <c r="BA2041" s="4"/>
      <c r="BB2041" s="4"/>
    </row>
    <row r="2042" spans="1:54" x14ac:dyDescent="0.3">
      <c r="A2042" s="66"/>
      <c r="B2042" s="67"/>
      <c r="C2042" s="66"/>
      <c r="D2042" s="68"/>
      <c r="E2042" s="10"/>
      <c r="F2042" s="69"/>
      <c r="G2042" s="68"/>
      <c r="H2042" s="70"/>
      <c r="BA2042" s="4"/>
      <c r="BB2042" s="4"/>
    </row>
    <row r="2043" spans="1:54" x14ac:dyDescent="0.3">
      <c r="A2043" s="66"/>
      <c r="B2043" s="67"/>
      <c r="C2043" s="66"/>
      <c r="D2043" s="68"/>
      <c r="E2043" s="10"/>
      <c r="F2043" s="69"/>
      <c r="G2043" s="68"/>
      <c r="H2043" s="70"/>
      <c r="BA2043" s="4"/>
      <c r="BB2043" s="4"/>
    </row>
    <row r="2044" spans="1:54" x14ac:dyDescent="0.3">
      <c r="A2044" s="66"/>
      <c r="B2044" s="67"/>
      <c r="C2044" s="66"/>
      <c r="D2044" s="68"/>
      <c r="E2044" s="10"/>
      <c r="F2044" s="69"/>
      <c r="G2044" s="68"/>
      <c r="H2044" s="70"/>
      <c r="BA2044" s="4"/>
      <c r="BB2044" s="4"/>
    </row>
    <row r="2045" spans="1:54" x14ac:dyDescent="0.3">
      <c r="A2045" s="66"/>
      <c r="B2045" s="67"/>
      <c r="C2045" s="66"/>
      <c r="D2045" s="68"/>
      <c r="E2045" s="10"/>
      <c r="F2045" s="69"/>
      <c r="G2045" s="68"/>
      <c r="H2045" s="70"/>
      <c r="BA2045" s="4"/>
      <c r="BB2045" s="4"/>
    </row>
    <row r="2046" spans="1:54" x14ac:dyDescent="0.3">
      <c r="A2046" s="66"/>
      <c r="B2046" s="67"/>
      <c r="C2046" s="66"/>
      <c r="D2046" s="68"/>
      <c r="E2046" s="10"/>
      <c r="F2046" s="69"/>
      <c r="G2046" s="68"/>
      <c r="H2046" s="70"/>
      <c r="BA2046" s="4"/>
      <c r="BB2046" s="4"/>
    </row>
    <row r="2047" spans="1:54" x14ac:dyDescent="0.3">
      <c r="A2047" s="66"/>
      <c r="B2047" s="67"/>
      <c r="C2047" s="66"/>
      <c r="D2047" s="68"/>
      <c r="E2047" s="10"/>
      <c r="F2047" s="69"/>
      <c r="G2047" s="68"/>
      <c r="H2047" s="70"/>
      <c r="BA2047" s="4"/>
      <c r="BB2047" s="4"/>
    </row>
    <row r="2048" spans="1:54" x14ac:dyDescent="0.3">
      <c r="A2048" s="66"/>
      <c r="B2048" s="67"/>
      <c r="C2048" s="66"/>
      <c r="D2048" s="68"/>
      <c r="E2048" s="10"/>
      <c r="F2048" s="69"/>
      <c r="G2048" s="68"/>
      <c r="H2048" s="70"/>
      <c r="BA2048" s="4"/>
      <c r="BB2048" s="4"/>
    </row>
    <row r="2049" spans="1:54" x14ac:dyDescent="0.3">
      <c r="A2049" s="66"/>
      <c r="B2049" s="67"/>
      <c r="C2049" s="66"/>
      <c r="D2049" s="68"/>
      <c r="E2049" s="10"/>
      <c r="F2049" s="69"/>
      <c r="G2049" s="68"/>
      <c r="H2049" s="70"/>
      <c r="BA2049" s="4"/>
      <c r="BB2049" s="4"/>
    </row>
    <row r="2050" spans="1:54" x14ac:dyDescent="0.3">
      <c r="A2050" s="66"/>
      <c r="B2050" s="67"/>
      <c r="C2050" s="66"/>
      <c r="D2050" s="68"/>
      <c r="E2050" s="10"/>
      <c r="F2050" s="69"/>
      <c r="G2050" s="68"/>
      <c r="H2050" s="70"/>
      <c r="BA2050" s="4"/>
      <c r="BB2050" s="4"/>
    </row>
    <row r="2051" spans="1:54" x14ac:dyDescent="0.3">
      <c r="A2051" s="66"/>
      <c r="B2051" s="67"/>
      <c r="C2051" s="66"/>
      <c r="D2051" s="68"/>
      <c r="E2051" s="10"/>
      <c r="F2051" s="69"/>
      <c r="G2051" s="68"/>
      <c r="H2051" s="70"/>
      <c r="BA2051" s="4"/>
      <c r="BB2051" s="4"/>
    </row>
    <row r="2052" spans="1:54" x14ac:dyDescent="0.3">
      <c r="A2052" s="66"/>
      <c r="B2052" s="67"/>
      <c r="C2052" s="66"/>
      <c r="D2052" s="68"/>
      <c r="E2052" s="10"/>
      <c r="F2052" s="69"/>
      <c r="G2052" s="68"/>
      <c r="H2052" s="70"/>
      <c r="BA2052" s="4"/>
      <c r="BB2052" s="4"/>
    </row>
    <row r="2053" spans="1:54" x14ac:dyDescent="0.3">
      <c r="A2053" s="66"/>
      <c r="B2053" s="67"/>
      <c r="C2053" s="66"/>
      <c r="D2053" s="68"/>
      <c r="E2053" s="10"/>
      <c r="F2053" s="69"/>
      <c r="G2053" s="68"/>
      <c r="H2053" s="70"/>
      <c r="BA2053" s="4"/>
      <c r="BB2053" s="4"/>
    </row>
    <row r="2054" spans="1:54" x14ac:dyDescent="0.3">
      <c r="A2054" s="66"/>
      <c r="B2054" s="67"/>
      <c r="C2054" s="66"/>
      <c r="D2054" s="68"/>
      <c r="E2054" s="10"/>
      <c r="F2054" s="69"/>
      <c r="G2054" s="68"/>
      <c r="H2054" s="70"/>
      <c r="BA2054" s="4"/>
      <c r="BB2054" s="4"/>
    </row>
    <row r="2055" spans="1:54" x14ac:dyDescent="0.3">
      <c r="A2055" s="66"/>
      <c r="B2055" s="67"/>
      <c r="C2055" s="66"/>
      <c r="D2055" s="68"/>
      <c r="E2055" s="10"/>
      <c r="F2055" s="69"/>
      <c r="G2055" s="68"/>
      <c r="H2055" s="70"/>
      <c r="BA2055" s="4"/>
      <c r="BB2055" s="4"/>
    </row>
    <row r="2056" spans="1:54" x14ac:dyDescent="0.3">
      <c r="A2056" s="66"/>
      <c r="B2056" s="67"/>
      <c r="C2056" s="66"/>
      <c r="D2056" s="68"/>
      <c r="E2056" s="10"/>
      <c r="F2056" s="69"/>
      <c r="G2056" s="68"/>
      <c r="H2056" s="70"/>
      <c r="BA2056" s="4"/>
      <c r="BB2056" s="4"/>
    </row>
    <row r="2057" spans="1:54" x14ac:dyDescent="0.3">
      <c r="A2057" s="66"/>
      <c r="B2057" s="67"/>
      <c r="C2057" s="66"/>
      <c r="D2057" s="68"/>
      <c r="E2057" s="10"/>
      <c r="F2057" s="69"/>
      <c r="G2057" s="68"/>
      <c r="H2057" s="70"/>
      <c r="BA2057" s="4"/>
      <c r="BB2057" s="4"/>
    </row>
    <row r="2058" spans="1:54" x14ac:dyDescent="0.3">
      <c r="A2058" s="66"/>
      <c r="B2058" s="67"/>
      <c r="C2058" s="66"/>
      <c r="D2058" s="68"/>
      <c r="E2058" s="10"/>
      <c r="F2058" s="69"/>
      <c r="G2058" s="68"/>
      <c r="H2058" s="70"/>
      <c r="BA2058" s="4"/>
      <c r="BB2058" s="4"/>
    </row>
    <row r="2059" spans="1:54" x14ac:dyDescent="0.3">
      <c r="A2059" s="66"/>
      <c r="B2059" s="67"/>
      <c r="C2059" s="66"/>
      <c r="D2059" s="68"/>
      <c r="E2059" s="10"/>
      <c r="F2059" s="69"/>
      <c r="G2059" s="68"/>
      <c r="H2059" s="70"/>
      <c r="BA2059" s="4"/>
      <c r="BB2059" s="4"/>
    </row>
    <row r="2060" spans="1:54" x14ac:dyDescent="0.3">
      <c r="A2060" s="66"/>
      <c r="B2060" s="67"/>
      <c r="C2060" s="66"/>
      <c r="D2060" s="68"/>
      <c r="E2060" s="10"/>
      <c r="F2060" s="69"/>
      <c r="G2060" s="68"/>
      <c r="H2060" s="70"/>
      <c r="BA2060" s="4"/>
      <c r="BB2060" s="4"/>
    </row>
    <row r="2061" spans="1:54" x14ac:dyDescent="0.3">
      <c r="A2061" s="66"/>
      <c r="B2061" s="67"/>
      <c r="C2061" s="66"/>
      <c r="D2061" s="68"/>
      <c r="E2061" s="10"/>
      <c r="F2061" s="69"/>
      <c r="G2061" s="68"/>
      <c r="H2061" s="70"/>
      <c r="BA2061" s="4"/>
      <c r="BB2061" s="4"/>
    </row>
    <row r="2062" spans="1:54" x14ac:dyDescent="0.3">
      <c r="A2062" s="66"/>
      <c r="B2062" s="67"/>
      <c r="C2062" s="66"/>
      <c r="D2062" s="68"/>
      <c r="E2062" s="10"/>
      <c r="F2062" s="69"/>
      <c r="G2062" s="68"/>
      <c r="H2062" s="70"/>
      <c r="BA2062" s="4"/>
      <c r="BB2062" s="4"/>
    </row>
    <row r="2063" spans="1:54" x14ac:dyDescent="0.3">
      <c r="A2063" s="66"/>
      <c r="B2063" s="67"/>
      <c r="C2063" s="66"/>
      <c r="D2063" s="68"/>
      <c r="E2063" s="10"/>
      <c r="F2063" s="69"/>
      <c r="G2063" s="68"/>
      <c r="H2063" s="70"/>
      <c r="BA2063" s="4"/>
      <c r="BB2063" s="4"/>
    </row>
    <row r="2064" spans="1:54" x14ac:dyDescent="0.3">
      <c r="A2064" s="66"/>
      <c r="B2064" s="67"/>
      <c r="C2064" s="66"/>
      <c r="D2064" s="68"/>
      <c r="E2064" s="10"/>
      <c r="F2064" s="69"/>
      <c r="G2064" s="68"/>
      <c r="H2064" s="70"/>
      <c r="BA2064" s="4"/>
      <c r="BB2064" s="4"/>
    </row>
    <row r="2065" spans="1:54" x14ac:dyDescent="0.3">
      <c r="A2065" s="66"/>
      <c r="B2065" s="67"/>
      <c r="C2065" s="66"/>
      <c r="D2065" s="68"/>
      <c r="E2065" s="10"/>
      <c r="F2065" s="69"/>
      <c r="G2065" s="68"/>
      <c r="H2065" s="70"/>
      <c r="BA2065" s="4"/>
      <c r="BB2065" s="4"/>
    </row>
    <row r="2066" spans="1:54" x14ac:dyDescent="0.3">
      <c r="A2066" s="66"/>
      <c r="B2066" s="67"/>
      <c r="C2066" s="66"/>
      <c r="D2066" s="68"/>
      <c r="E2066" s="10"/>
      <c r="F2066" s="69"/>
      <c r="G2066" s="68"/>
      <c r="H2066" s="70"/>
      <c r="BA2066" s="4"/>
      <c r="BB2066" s="4"/>
    </row>
    <row r="2067" spans="1:54" x14ac:dyDescent="0.3">
      <c r="A2067" s="66"/>
      <c r="B2067" s="67"/>
      <c r="C2067" s="66"/>
      <c r="D2067" s="68"/>
      <c r="E2067" s="10"/>
      <c r="F2067" s="69"/>
      <c r="G2067" s="68"/>
      <c r="H2067" s="70"/>
      <c r="BA2067" s="4"/>
      <c r="BB2067" s="4"/>
    </row>
    <row r="2068" spans="1:54" x14ac:dyDescent="0.3">
      <c r="A2068" s="66"/>
      <c r="B2068" s="67"/>
      <c r="C2068" s="66"/>
      <c r="D2068" s="68"/>
      <c r="E2068" s="10"/>
      <c r="F2068" s="69"/>
      <c r="G2068" s="68"/>
      <c r="H2068" s="70"/>
      <c r="BA2068" s="4"/>
      <c r="BB2068" s="4"/>
    </row>
    <row r="2069" spans="1:54" x14ac:dyDescent="0.3">
      <c r="A2069" s="66"/>
      <c r="B2069" s="67"/>
      <c r="C2069" s="66"/>
      <c r="D2069" s="68"/>
      <c r="E2069" s="10"/>
      <c r="F2069" s="69"/>
      <c r="G2069" s="68"/>
      <c r="H2069" s="70"/>
      <c r="BA2069" s="4"/>
      <c r="BB2069" s="4"/>
    </row>
    <row r="2070" spans="1:54" x14ac:dyDescent="0.3">
      <c r="A2070" s="66"/>
      <c r="B2070" s="67"/>
      <c r="C2070" s="66"/>
      <c r="D2070" s="68"/>
      <c r="E2070" s="10"/>
      <c r="F2070" s="69"/>
      <c r="G2070" s="68"/>
      <c r="H2070" s="70"/>
      <c r="BA2070" s="4"/>
      <c r="BB2070" s="4"/>
    </row>
    <row r="2071" spans="1:54" x14ac:dyDescent="0.3">
      <c r="A2071" s="66"/>
      <c r="B2071" s="67"/>
      <c r="C2071" s="66"/>
      <c r="D2071" s="68"/>
      <c r="E2071" s="10"/>
      <c r="F2071" s="69"/>
      <c r="G2071" s="68"/>
      <c r="H2071" s="70"/>
      <c r="BA2071" s="4"/>
      <c r="BB2071" s="4"/>
    </row>
    <row r="2072" spans="1:54" x14ac:dyDescent="0.3">
      <c r="A2072" s="66"/>
      <c r="B2072" s="67"/>
      <c r="C2072" s="66"/>
      <c r="D2072" s="68"/>
      <c r="E2072" s="10"/>
      <c r="F2072" s="69"/>
      <c r="G2072" s="68"/>
      <c r="H2072" s="70"/>
      <c r="BA2072" s="4"/>
      <c r="BB2072" s="4"/>
    </row>
    <row r="2073" spans="1:54" x14ac:dyDescent="0.3">
      <c r="A2073" s="66"/>
      <c r="B2073" s="67"/>
      <c r="C2073" s="66"/>
      <c r="D2073" s="68"/>
      <c r="E2073" s="10"/>
      <c r="F2073" s="69"/>
      <c r="G2073" s="68"/>
      <c r="H2073" s="70"/>
      <c r="BA2073" s="4"/>
      <c r="BB2073" s="4"/>
    </row>
    <row r="2074" spans="1:54" x14ac:dyDescent="0.3">
      <c r="A2074" s="66"/>
      <c r="B2074" s="67"/>
      <c r="C2074" s="66"/>
      <c r="D2074" s="68"/>
      <c r="E2074" s="10"/>
      <c r="F2074" s="69"/>
      <c r="G2074" s="68"/>
      <c r="H2074" s="70"/>
      <c r="BA2074" s="4"/>
      <c r="BB2074" s="4"/>
    </row>
    <row r="2075" spans="1:54" x14ac:dyDescent="0.3">
      <c r="A2075" s="66"/>
      <c r="B2075" s="67"/>
      <c r="C2075" s="66"/>
      <c r="D2075" s="68"/>
      <c r="E2075" s="10"/>
      <c r="F2075" s="69"/>
      <c r="G2075" s="68"/>
      <c r="H2075" s="70"/>
      <c r="BA2075" s="4"/>
      <c r="BB2075" s="4"/>
    </row>
    <row r="2076" spans="1:54" x14ac:dyDescent="0.3">
      <c r="A2076" s="66"/>
      <c r="B2076" s="67"/>
      <c r="C2076" s="66"/>
      <c r="D2076" s="68"/>
      <c r="E2076" s="10"/>
      <c r="F2076" s="69"/>
      <c r="G2076" s="68"/>
      <c r="H2076" s="70"/>
      <c r="BA2076" s="4"/>
      <c r="BB2076" s="4"/>
    </row>
    <row r="2077" spans="1:54" x14ac:dyDescent="0.3">
      <c r="A2077" s="66"/>
      <c r="B2077" s="67"/>
      <c r="C2077" s="66"/>
      <c r="D2077" s="68"/>
      <c r="E2077" s="10"/>
      <c r="F2077" s="69"/>
      <c r="G2077" s="68"/>
      <c r="H2077" s="70"/>
      <c r="BA2077" s="4"/>
      <c r="BB2077" s="4"/>
    </row>
    <row r="2078" spans="1:54" x14ac:dyDescent="0.3">
      <c r="A2078" s="66"/>
      <c r="B2078" s="67"/>
      <c r="C2078" s="66"/>
      <c r="D2078" s="68"/>
      <c r="E2078" s="10"/>
      <c r="F2078" s="69"/>
      <c r="G2078" s="68"/>
      <c r="H2078" s="70"/>
      <c r="BA2078" s="4"/>
      <c r="BB2078" s="4"/>
    </row>
    <row r="2079" spans="1:54" x14ac:dyDescent="0.3">
      <c r="A2079" s="66"/>
      <c r="B2079" s="67"/>
      <c r="C2079" s="66"/>
      <c r="D2079" s="68"/>
      <c r="E2079" s="10"/>
      <c r="F2079" s="69"/>
      <c r="G2079" s="68"/>
      <c r="H2079" s="70"/>
      <c r="BA2079" s="4"/>
      <c r="BB2079" s="4"/>
    </row>
    <row r="2080" spans="1:54" x14ac:dyDescent="0.3">
      <c r="A2080" s="66"/>
      <c r="B2080" s="67"/>
      <c r="C2080" s="66"/>
      <c r="D2080" s="68"/>
      <c r="E2080" s="10"/>
      <c r="F2080" s="69"/>
      <c r="G2080" s="68"/>
      <c r="H2080" s="70"/>
      <c r="BA2080" s="4"/>
      <c r="BB2080" s="4"/>
    </row>
    <row r="2081" spans="1:54" x14ac:dyDescent="0.3">
      <c r="A2081" s="66"/>
      <c r="B2081" s="67"/>
      <c r="C2081" s="66"/>
      <c r="D2081" s="68"/>
      <c r="E2081" s="10"/>
      <c r="F2081" s="69"/>
      <c r="G2081" s="68"/>
      <c r="H2081" s="70"/>
      <c r="BA2081" s="4"/>
      <c r="BB2081" s="4"/>
    </row>
    <row r="2082" spans="1:54" x14ac:dyDescent="0.3">
      <c r="A2082" s="66"/>
      <c r="B2082" s="67"/>
      <c r="C2082" s="66"/>
      <c r="D2082" s="68"/>
      <c r="E2082" s="10"/>
      <c r="F2082" s="69"/>
      <c r="G2082" s="68"/>
      <c r="H2082" s="70"/>
      <c r="BA2082" s="4"/>
      <c r="BB2082" s="4"/>
    </row>
    <row r="2083" spans="1:54" x14ac:dyDescent="0.3">
      <c r="A2083" s="66"/>
      <c r="B2083" s="67"/>
      <c r="C2083" s="66"/>
      <c r="D2083" s="68"/>
      <c r="E2083" s="10"/>
      <c r="F2083" s="69"/>
      <c r="G2083" s="68"/>
      <c r="H2083" s="70"/>
      <c r="BA2083" s="4"/>
      <c r="BB2083" s="4"/>
    </row>
    <row r="2084" spans="1:54" x14ac:dyDescent="0.3">
      <c r="A2084" s="66"/>
      <c r="B2084" s="67"/>
      <c r="C2084" s="66"/>
      <c r="D2084" s="68"/>
      <c r="E2084" s="10"/>
      <c r="F2084" s="69"/>
      <c r="G2084" s="68"/>
      <c r="H2084" s="70"/>
      <c r="BA2084" s="4"/>
      <c r="BB2084" s="4"/>
    </row>
    <row r="2085" spans="1:54" x14ac:dyDescent="0.3">
      <c r="A2085" s="66"/>
      <c r="B2085" s="67"/>
      <c r="C2085" s="66"/>
      <c r="D2085" s="68"/>
      <c r="E2085" s="10"/>
      <c r="F2085" s="69"/>
      <c r="G2085" s="68"/>
      <c r="H2085" s="70"/>
      <c r="BA2085" s="4"/>
      <c r="BB2085" s="4"/>
    </row>
    <row r="2086" spans="1:54" x14ac:dyDescent="0.3">
      <c r="A2086" s="66"/>
      <c r="B2086" s="67"/>
      <c r="C2086" s="66"/>
      <c r="D2086" s="68"/>
      <c r="E2086" s="10"/>
      <c r="F2086" s="69"/>
      <c r="G2086" s="68"/>
      <c r="H2086" s="70"/>
      <c r="BA2086" s="4"/>
      <c r="BB2086" s="4"/>
    </row>
    <row r="2087" spans="1:54" x14ac:dyDescent="0.3">
      <c r="A2087" s="66"/>
      <c r="B2087" s="67"/>
      <c r="C2087" s="66"/>
      <c r="D2087" s="68"/>
      <c r="E2087" s="10"/>
      <c r="F2087" s="69"/>
      <c r="G2087" s="68"/>
      <c r="H2087" s="70"/>
      <c r="BA2087" s="4"/>
      <c r="BB2087" s="4"/>
    </row>
    <row r="2088" spans="1:54" x14ac:dyDescent="0.3">
      <c r="A2088" s="66"/>
      <c r="B2088" s="67"/>
      <c r="C2088" s="66"/>
      <c r="D2088" s="68"/>
      <c r="E2088" s="10"/>
      <c r="F2088" s="69"/>
      <c r="G2088" s="68"/>
      <c r="H2088" s="70"/>
      <c r="BA2088" s="4"/>
      <c r="BB2088" s="4"/>
    </row>
    <row r="2089" spans="1:54" x14ac:dyDescent="0.3">
      <c r="A2089" s="66"/>
      <c r="B2089" s="67"/>
      <c r="C2089" s="66"/>
      <c r="D2089" s="68"/>
      <c r="E2089" s="10"/>
      <c r="F2089" s="69"/>
      <c r="G2089" s="68"/>
      <c r="H2089" s="70"/>
      <c r="BA2089" s="4"/>
      <c r="BB2089" s="4"/>
    </row>
    <row r="2090" spans="1:54" x14ac:dyDescent="0.3">
      <c r="A2090" s="66"/>
      <c r="B2090" s="67"/>
      <c r="C2090" s="66"/>
      <c r="D2090" s="68"/>
      <c r="E2090" s="10"/>
      <c r="F2090" s="69"/>
      <c r="G2090" s="68"/>
      <c r="H2090" s="70"/>
      <c r="BA2090" s="4"/>
      <c r="BB2090" s="4"/>
    </row>
    <row r="2091" spans="1:54" x14ac:dyDescent="0.3">
      <c r="A2091" s="66"/>
      <c r="B2091" s="67"/>
      <c r="C2091" s="66"/>
      <c r="D2091" s="68"/>
      <c r="E2091" s="10"/>
      <c r="F2091" s="69"/>
      <c r="G2091" s="68"/>
      <c r="H2091" s="70"/>
      <c r="BA2091" s="4"/>
      <c r="BB2091" s="4"/>
    </row>
    <row r="2092" spans="1:54" x14ac:dyDescent="0.3">
      <c r="A2092" s="66"/>
      <c r="B2092" s="67"/>
      <c r="C2092" s="66"/>
      <c r="D2092" s="68"/>
      <c r="E2092" s="10"/>
      <c r="F2092" s="69"/>
      <c r="G2092" s="68"/>
      <c r="H2092" s="70"/>
      <c r="BA2092" s="4"/>
      <c r="BB2092" s="4"/>
    </row>
    <row r="2093" spans="1:54" x14ac:dyDescent="0.3">
      <c r="A2093" s="66"/>
      <c r="B2093" s="67"/>
      <c r="C2093" s="66"/>
      <c r="D2093" s="68"/>
      <c r="E2093" s="10"/>
      <c r="F2093" s="69"/>
      <c r="G2093" s="68"/>
      <c r="H2093" s="70"/>
      <c r="BA2093" s="4"/>
      <c r="BB2093" s="4"/>
    </row>
    <row r="2094" spans="1:54" x14ac:dyDescent="0.3">
      <c r="A2094" s="66"/>
      <c r="B2094" s="67"/>
      <c r="C2094" s="66"/>
      <c r="D2094" s="68"/>
      <c r="E2094" s="10"/>
      <c r="F2094" s="69"/>
      <c r="G2094" s="68"/>
      <c r="H2094" s="70"/>
      <c r="BA2094" s="4"/>
      <c r="BB2094" s="4"/>
    </row>
    <row r="2095" spans="1:54" x14ac:dyDescent="0.3">
      <c r="A2095" s="66"/>
      <c r="B2095" s="67"/>
      <c r="C2095" s="66"/>
      <c r="D2095" s="68"/>
      <c r="E2095" s="10"/>
      <c r="F2095" s="69"/>
      <c r="G2095" s="68"/>
      <c r="H2095" s="70"/>
      <c r="BA2095" s="4"/>
      <c r="BB2095" s="4"/>
    </row>
    <row r="2096" spans="1:54" x14ac:dyDescent="0.3">
      <c r="A2096" s="66"/>
      <c r="B2096" s="67"/>
      <c r="C2096" s="66"/>
      <c r="D2096" s="68"/>
      <c r="E2096" s="10"/>
      <c r="F2096" s="69"/>
      <c r="G2096" s="68"/>
      <c r="H2096" s="70"/>
      <c r="BA2096" s="4"/>
      <c r="BB2096" s="4"/>
    </row>
    <row r="2097" spans="1:54" x14ac:dyDescent="0.3">
      <c r="A2097" s="66"/>
      <c r="B2097" s="67"/>
      <c r="C2097" s="66"/>
      <c r="D2097" s="68"/>
      <c r="E2097" s="10"/>
      <c r="F2097" s="69"/>
      <c r="G2097" s="68"/>
      <c r="H2097" s="70"/>
      <c r="BA2097" s="4"/>
      <c r="BB2097" s="4"/>
    </row>
    <row r="2098" spans="1:54" x14ac:dyDescent="0.3">
      <c r="A2098" s="66"/>
      <c r="B2098" s="67"/>
      <c r="C2098" s="66"/>
      <c r="D2098" s="68"/>
      <c r="E2098" s="10"/>
      <c r="F2098" s="69"/>
      <c r="G2098" s="68"/>
      <c r="H2098" s="70"/>
      <c r="BA2098" s="4"/>
      <c r="BB2098" s="4"/>
    </row>
    <row r="2099" spans="1:54" x14ac:dyDescent="0.3">
      <c r="A2099" s="66"/>
      <c r="B2099" s="67"/>
      <c r="C2099" s="66"/>
      <c r="D2099" s="68"/>
      <c r="E2099" s="10"/>
      <c r="F2099" s="69"/>
      <c r="G2099" s="68"/>
      <c r="H2099" s="70"/>
      <c r="BA2099" s="4"/>
      <c r="BB2099" s="4"/>
    </row>
    <row r="2100" spans="1:54" x14ac:dyDescent="0.3">
      <c r="A2100" s="66"/>
      <c r="B2100" s="67"/>
      <c r="C2100" s="66"/>
      <c r="D2100" s="68"/>
      <c r="E2100" s="10"/>
      <c r="F2100" s="69"/>
      <c r="G2100" s="68"/>
      <c r="H2100" s="70"/>
      <c r="BA2100" s="4"/>
      <c r="BB2100" s="4"/>
    </row>
    <row r="2101" spans="1:54" x14ac:dyDescent="0.3">
      <c r="A2101" s="66"/>
      <c r="B2101" s="67"/>
      <c r="C2101" s="66"/>
      <c r="D2101" s="68"/>
      <c r="E2101" s="10"/>
      <c r="F2101" s="69"/>
      <c r="G2101" s="68"/>
      <c r="H2101" s="70"/>
      <c r="BA2101" s="4"/>
      <c r="BB2101" s="4"/>
    </row>
    <row r="2102" spans="1:54" x14ac:dyDescent="0.3">
      <c r="A2102" s="66"/>
      <c r="B2102" s="67"/>
      <c r="C2102" s="66"/>
      <c r="D2102" s="68"/>
      <c r="E2102" s="10"/>
      <c r="F2102" s="69"/>
      <c r="G2102" s="68"/>
      <c r="H2102" s="70"/>
      <c r="BA2102" s="4"/>
      <c r="BB2102" s="4"/>
    </row>
    <row r="2103" spans="1:54" x14ac:dyDescent="0.3">
      <c r="A2103" s="66"/>
      <c r="B2103" s="67"/>
      <c r="C2103" s="66"/>
      <c r="D2103" s="68"/>
      <c r="E2103" s="10"/>
      <c r="F2103" s="69"/>
      <c r="G2103" s="68"/>
      <c r="H2103" s="70"/>
      <c r="BA2103" s="4"/>
      <c r="BB2103" s="4"/>
    </row>
    <row r="2104" spans="1:54" x14ac:dyDescent="0.3">
      <c r="A2104" s="66"/>
      <c r="B2104" s="67"/>
      <c r="C2104" s="66"/>
      <c r="D2104" s="68"/>
      <c r="E2104" s="10"/>
      <c r="F2104" s="69"/>
      <c r="G2104" s="68"/>
      <c r="H2104" s="70"/>
      <c r="BA2104" s="4"/>
      <c r="BB2104" s="4"/>
    </row>
    <row r="2105" spans="1:54" x14ac:dyDescent="0.3">
      <c r="A2105" s="66"/>
      <c r="B2105" s="67"/>
      <c r="C2105" s="66"/>
      <c r="D2105" s="68"/>
      <c r="E2105" s="10"/>
      <c r="F2105" s="69"/>
      <c r="G2105" s="68"/>
      <c r="H2105" s="70"/>
      <c r="BA2105" s="4"/>
      <c r="BB2105" s="4"/>
    </row>
    <row r="2106" spans="1:54" x14ac:dyDescent="0.3">
      <c r="A2106" s="66"/>
      <c r="B2106" s="67"/>
      <c r="C2106" s="66"/>
      <c r="D2106" s="68"/>
      <c r="E2106" s="10"/>
      <c r="F2106" s="69"/>
      <c r="G2106" s="68"/>
      <c r="H2106" s="70"/>
      <c r="BA2106" s="4"/>
      <c r="BB2106" s="4"/>
    </row>
    <row r="2107" spans="1:54" x14ac:dyDescent="0.3">
      <c r="A2107" s="66"/>
      <c r="B2107" s="67"/>
      <c r="C2107" s="66"/>
      <c r="D2107" s="68"/>
      <c r="E2107" s="10"/>
      <c r="F2107" s="69"/>
      <c r="G2107" s="68"/>
      <c r="H2107" s="70"/>
      <c r="BA2107" s="4"/>
      <c r="BB2107" s="4"/>
    </row>
    <row r="2108" spans="1:54" x14ac:dyDescent="0.3">
      <c r="A2108" s="66"/>
      <c r="B2108" s="67"/>
      <c r="C2108" s="66"/>
      <c r="D2108" s="68"/>
      <c r="E2108" s="10"/>
      <c r="F2108" s="69"/>
      <c r="G2108" s="68"/>
      <c r="H2108" s="70"/>
      <c r="BA2108" s="4"/>
      <c r="BB2108" s="4"/>
    </row>
    <row r="2109" spans="1:54" x14ac:dyDescent="0.3">
      <c r="A2109" s="66"/>
      <c r="B2109" s="67"/>
      <c r="C2109" s="66"/>
      <c r="D2109" s="68"/>
      <c r="E2109" s="10"/>
      <c r="F2109" s="69"/>
      <c r="G2109" s="68"/>
      <c r="H2109" s="70"/>
      <c r="BA2109" s="4"/>
      <c r="BB2109" s="4"/>
    </row>
    <row r="2110" spans="1:54" x14ac:dyDescent="0.3">
      <c r="A2110" s="66"/>
      <c r="B2110" s="67"/>
      <c r="C2110" s="66"/>
      <c r="D2110" s="68"/>
      <c r="E2110" s="10"/>
      <c r="F2110" s="69"/>
      <c r="G2110" s="68"/>
      <c r="H2110" s="70"/>
      <c r="BA2110" s="4"/>
      <c r="BB2110" s="4"/>
    </row>
    <row r="2111" spans="1:54" x14ac:dyDescent="0.3">
      <c r="A2111" s="66"/>
      <c r="B2111" s="67"/>
      <c r="C2111" s="66"/>
      <c r="D2111" s="68"/>
      <c r="E2111" s="10"/>
      <c r="F2111" s="69"/>
      <c r="G2111" s="68"/>
      <c r="H2111" s="70"/>
      <c r="BA2111" s="4"/>
      <c r="BB2111" s="4"/>
    </row>
    <row r="2112" spans="1:54" x14ac:dyDescent="0.3">
      <c r="A2112" s="66"/>
      <c r="B2112" s="67"/>
      <c r="C2112" s="66"/>
      <c r="D2112" s="68"/>
      <c r="E2112" s="10"/>
      <c r="F2112" s="69"/>
      <c r="G2112" s="68"/>
      <c r="H2112" s="70"/>
      <c r="BA2112" s="4"/>
      <c r="BB2112" s="4"/>
    </row>
    <row r="2113" spans="1:54" x14ac:dyDescent="0.3">
      <c r="A2113" s="66"/>
      <c r="B2113" s="67"/>
      <c r="C2113" s="66"/>
      <c r="D2113" s="68"/>
      <c r="E2113" s="10"/>
      <c r="F2113" s="69"/>
      <c r="G2113" s="68"/>
      <c r="H2113" s="70"/>
      <c r="BA2113" s="4"/>
      <c r="BB2113" s="4"/>
    </row>
    <row r="2114" spans="1:54" x14ac:dyDescent="0.3">
      <c r="A2114" s="66"/>
      <c r="B2114" s="67"/>
      <c r="C2114" s="66"/>
      <c r="D2114" s="68"/>
      <c r="E2114" s="10"/>
      <c r="F2114" s="69"/>
      <c r="G2114" s="68"/>
      <c r="H2114" s="70"/>
      <c r="BA2114" s="4"/>
      <c r="BB2114" s="4"/>
    </row>
    <row r="2115" spans="1:54" x14ac:dyDescent="0.3">
      <c r="A2115" s="66"/>
      <c r="B2115" s="67"/>
      <c r="C2115" s="66"/>
      <c r="D2115" s="68"/>
      <c r="E2115" s="10"/>
      <c r="F2115" s="69"/>
      <c r="G2115" s="68"/>
      <c r="H2115" s="70"/>
      <c r="BA2115" s="4"/>
      <c r="BB2115" s="4"/>
    </row>
    <row r="2116" spans="1:54" x14ac:dyDescent="0.3">
      <c r="A2116" s="66"/>
      <c r="B2116" s="67"/>
      <c r="C2116" s="66"/>
      <c r="D2116" s="68"/>
      <c r="E2116" s="10"/>
      <c r="F2116" s="69"/>
      <c r="G2116" s="68"/>
      <c r="H2116" s="70"/>
      <c r="BA2116" s="4"/>
      <c r="BB2116" s="4"/>
    </row>
    <row r="2117" spans="1:54" x14ac:dyDescent="0.3">
      <c r="A2117" s="66"/>
      <c r="B2117" s="67"/>
      <c r="C2117" s="66"/>
      <c r="D2117" s="68"/>
      <c r="E2117" s="10"/>
      <c r="F2117" s="69"/>
      <c r="G2117" s="68"/>
      <c r="H2117" s="70"/>
      <c r="BA2117" s="4"/>
      <c r="BB2117" s="4"/>
    </row>
    <row r="2118" spans="1:54" x14ac:dyDescent="0.3">
      <c r="A2118" s="66"/>
      <c r="B2118" s="67"/>
      <c r="C2118" s="66"/>
      <c r="D2118" s="68"/>
      <c r="E2118" s="10"/>
      <c r="F2118" s="69"/>
      <c r="G2118" s="68"/>
      <c r="H2118" s="70"/>
      <c r="BA2118" s="4"/>
      <c r="BB2118" s="4"/>
    </row>
    <row r="2119" spans="1:54" x14ac:dyDescent="0.3">
      <c r="A2119" s="66"/>
      <c r="B2119" s="67"/>
      <c r="C2119" s="66"/>
      <c r="D2119" s="68"/>
      <c r="E2119" s="10"/>
      <c r="F2119" s="69"/>
      <c r="G2119" s="68"/>
      <c r="H2119" s="70"/>
      <c r="BA2119" s="4"/>
      <c r="BB2119" s="4"/>
    </row>
    <row r="2120" spans="1:54" x14ac:dyDescent="0.3">
      <c r="A2120" s="66"/>
      <c r="B2120" s="67"/>
      <c r="C2120" s="66"/>
      <c r="D2120" s="68"/>
      <c r="E2120" s="10"/>
      <c r="F2120" s="69"/>
      <c r="G2120" s="68"/>
      <c r="H2120" s="70"/>
      <c r="BA2120" s="4"/>
      <c r="BB2120" s="4"/>
    </row>
    <row r="2121" spans="1:54" x14ac:dyDescent="0.3">
      <c r="A2121" s="66"/>
      <c r="B2121" s="67"/>
      <c r="C2121" s="66"/>
      <c r="D2121" s="68"/>
      <c r="E2121" s="10"/>
      <c r="F2121" s="69"/>
      <c r="G2121" s="68"/>
      <c r="H2121" s="70"/>
      <c r="BA2121" s="4"/>
      <c r="BB2121" s="4"/>
    </row>
    <row r="2122" spans="1:54" x14ac:dyDescent="0.3">
      <c r="A2122" s="66"/>
      <c r="B2122" s="67"/>
      <c r="C2122" s="66"/>
      <c r="D2122" s="68"/>
      <c r="E2122" s="10"/>
      <c r="F2122" s="69"/>
      <c r="G2122" s="68"/>
      <c r="H2122" s="70"/>
      <c r="BA2122" s="4"/>
      <c r="BB2122" s="4"/>
    </row>
    <row r="2123" spans="1:54" x14ac:dyDescent="0.3">
      <c r="A2123" s="66"/>
      <c r="B2123" s="67"/>
      <c r="C2123" s="66"/>
      <c r="D2123" s="68"/>
      <c r="E2123" s="10"/>
      <c r="F2123" s="69"/>
      <c r="G2123" s="68"/>
      <c r="H2123" s="70"/>
      <c r="BA2123" s="4"/>
      <c r="BB2123" s="4"/>
    </row>
    <row r="2124" spans="1:54" x14ac:dyDescent="0.3">
      <c r="A2124" s="66"/>
      <c r="B2124" s="67"/>
      <c r="C2124" s="66"/>
      <c r="D2124" s="68"/>
      <c r="E2124" s="10"/>
      <c r="F2124" s="69"/>
      <c r="G2124" s="68"/>
      <c r="H2124" s="70"/>
      <c r="BA2124" s="4"/>
      <c r="BB2124" s="4"/>
    </row>
    <row r="2125" spans="1:54" x14ac:dyDescent="0.3">
      <c r="A2125" s="66"/>
      <c r="B2125" s="67"/>
      <c r="C2125" s="66"/>
      <c r="D2125" s="68"/>
      <c r="E2125" s="10"/>
      <c r="F2125" s="69"/>
      <c r="G2125" s="68"/>
      <c r="H2125" s="70"/>
      <c r="BA2125" s="4"/>
      <c r="BB2125" s="4"/>
    </row>
    <row r="2126" spans="1:54" x14ac:dyDescent="0.3">
      <c r="A2126" s="66"/>
      <c r="B2126" s="67"/>
      <c r="C2126" s="66"/>
      <c r="D2126" s="68"/>
      <c r="E2126" s="10"/>
      <c r="F2126" s="69"/>
      <c r="G2126" s="68"/>
      <c r="H2126" s="70"/>
      <c r="BA2126" s="4"/>
      <c r="BB2126" s="4"/>
    </row>
    <row r="2127" spans="1:54" x14ac:dyDescent="0.3">
      <c r="A2127" s="66"/>
      <c r="B2127" s="67"/>
      <c r="C2127" s="66"/>
      <c r="D2127" s="68"/>
      <c r="E2127" s="10"/>
      <c r="F2127" s="69"/>
      <c r="G2127" s="68"/>
      <c r="H2127" s="70"/>
      <c r="BA2127" s="4"/>
      <c r="BB2127" s="4"/>
    </row>
    <row r="2128" spans="1:54" x14ac:dyDescent="0.3">
      <c r="A2128" s="66"/>
      <c r="B2128" s="67"/>
      <c r="C2128" s="66"/>
      <c r="D2128" s="68"/>
      <c r="E2128" s="10"/>
      <c r="F2128" s="69"/>
      <c r="G2128" s="68"/>
      <c r="H2128" s="70"/>
      <c r="BA2128" s="4"/>
      <c r="BB2128" s="4"/>
    </row>
    <row r="2129" spans="1:54" x14ac:dyDescent="0.3">
      <c r="A2129" s="66"/>
      <c r="B2129" s="67"/>
      <c r="C2129" s="66"/>
      <c r="D2129" s="68"/>
      <c r="E2129" s="10"/>
      <c r="F2129" s="69"/>
      <c r="G2129" s="68"/>
      <c r="H2129" s="70"/>
      <c r="BA2129" s="4"/>
      <c r="BB2129" s="4"/>
    </row>
    <row r="2130" spans="1:54" x14ac:dyDescent="0.3">
      <c r="A2130" s="66"/>
      <c r="B2130" s="67"/>
      <c r="C2130" s="66"/>
      <c r="D2130" s="68"/>
      <c r="E2130" s="10"/>
      <c r="F2130" s="69"/>
      <c r="G2130" s="68"/>
      <c r="H2130" s="70"/>
      <c r="BA2130" s="4"/>
      <c r="BB2130" s="4"/>
    </row>
    <row r="2131" spans="1:54" x14ac:dyDescent="0.3">
      <c r="A2131" s="66"/>
      <c r="B2131" s="67"/>
      <c r="C2131" s="66"/>
      <c r="D2131" s="68"/>
      <c r="E2131" s="10"/>
      <c r="F2131" s="69"/>
      <c r="G2131" s="68"/>
      <c r="H2131" s="70"/>
      <c r="BA2131" s="4"/>
      <c r="BB2131" s="4"/>
    </row>
    <row r="2132" spans="1:54" x14ac:dyDescent="0.3">
      <c r="A2132" s="66"/>
      <c r="B2132" s="67"/>
      <c r="C2132" s="66"/>
      <c r="D2132" s="68"/>
      <c r="E2132" s="10"/>
      <c r="F2132" s="69"/>
      <c r="G2132" s="68"/>
      <c r="H2132" s="70"/>
      <c r="BA2132" s="4"/>
      <c r="BB2132" s="4"/>
    </row>
    <row r="2133" spans="1:54" x14ac:dyDescent="0.3">
      <c r="A2133" s="66"/>
      <c r="B2133" s="67"/>
      <c r="C2133" s="66"/>
      <c r="D2133" s="68"/>
      <c r="E2133" s="10"/>
      <c r="F2133" s="69"/>
      <c r="G2133" s="68"/>
      <c r="H2133" s="70"/>
      <c r="BA2133" s="4"/>
      <c r="BB2133" s="4"/>
    </row>
    <row r="2134" spans="1:54" x14ac:dyDescent="0.3">
      <c r="A2134" s="66"/>
      <c r="B2134" s="67"/>
      <c r="C2134" s="66"/>
      <c r="D2134" s="68"/>
      <c r="E2134" s="10"/>
      <c r="F2134" s="69"/>
      <c r="G2134" s="68"/>
      <c r="H2134" s="70"/>
      <c r="BA2134" s="4"/>
      <c r="BB2134" s="4"/>
    </row>
    <row r="2135" spans="1:54" x14ac:dyDescent="0.3">
      <c r="A2135" s="66"/>
      <c r="B2135" s="67"/>
      <c r="C2135" s="66"/>
      <c r="D2135" s="68"/>
      <c r="E2135" s="10"/>
      <c r="F2135" s="69"/>
      <c r="G2135" s="68"/>
      <c r="H2135" s="70"/>
      <c r="BA2135" s="4"/>
      <c r="BB2135" s="4"/>
    </row>
    <row r="2136" spans="1:54" x14ac:dyDescent="0.3">
      <c r="A2136" s="66"/>
      <c r="B2136" s="67"/>
      <c r="C2136" s="66"/>
      <c r="D2136" s="68"/>
      <c r="E2136" s="10"/>
      <c r="F2136" s="69"/>
      <c r="G2136" s="68"/>
      <c r="H2136" s="70"/>
      <c r="BA2136" s="4"/>
      <c r="BB2136" s="4"/>
    </row>
    <row r="2137" spans="1:54" x14ac:dyDescent="0.3">
      <c r="A2137" s="66"/>
      <c r="B2137" s="67"/>
      <c r="C2137" s="66"/>
      <c r="D2137" s="68"/>
      <c r="E2137" s="10"/>
      <c r="F2137" s="69"/>
      <c r="G2137" s="68"/>
      <c r="H2137" s="70"/>
      <c r="BA2137" s="4"/>
      <c r="BB2137" s="4"/>
    </row>
    <row r="2138" spans="1:54" x14ac:dyDescent="0.3">
      <c r="A2138" s="66"/>
      <c r="B2138" s="67"/>
      <c r="C2138" s="66"/>
      <c r="D2138" s="68"/>
      <c r="E2138" s="10"/>
      <c r="F2138" s="69"/>
      <c r="G2138" s="68"/>
      <c r="H2138" s="70"/>
      <c r="BA2138" s="4"/>
      <c r="BB2138" s="4"/>
    </row>
    <row r="2139" spans="1:54" x14ac:dyDescent="0.3">
      <c r="A2139" s="66"/>
      <c r="B2139" s="67"/>
      <c r="C2139" s="66"/>
      <c r="D2139" s="68"/>
      <c r="E2139" s="10"/>
      <c r="F2139" s="69"/>
      <c r="G2139" s="68"/>
      <c r="H2139" s="70"/>
      <c r="BA2139" s="4"/>
      <c r="BB2139" s="4"/>
    </row>
    <row r="2140" spans="1:54" x14ac:dyDescent="0.3">
      <c r="A2140" s="66"/>
      <c r="B2140" s="67"/>
      <c r="C2140" s="66"/>
      <c r="D2140" s="68"/>
      <c r="E2140" s="10"/>
      <c r="F2140" s="69"/>
      <c r="G2140" s="68"/>
      <c r="H2140" s="70"/>
      <c r="BA2140" s="4"/>
      <c r="BB2140" s="4"/>
    </row>
    <row r="2141" spans="1:54" x14ac:dyDescent="0.3">
      <c r="A2141" s="66"/>
      <c r="B2141" s="67"/>
      <c r="C2141" s="66"/>
      <c r="D2141" s="68"/>
      <c r="E2141" s="10"/>
      <c r="F2141" s="69"/>
      <c r="G2141" s="68"/>
      <c r="H2141" s="70"/>
      <c r="BA2141" s="4"/>
      <c r="BB2141" s="4"/>
    </row>
    <row r="2142" spans="1:54" x14ac:dyDescent="0.3">
      <c r="A2142" s="66"/>
      <c r="B2142" s="67"/>
      <c r="C2142" s="66"/>
      <c r="D2142" s="68"/>
      <c r="E2142" s="10"/>
      <c r="F2142" s="69"/>
      <c r="G2142" s="68"/>
      <c r="H2142" s="70"/>
      <c r="BA2142" s="4"/>
      <c r="BB2142" s="4"/>
    </row>
    <row r="2143" spans="1:54" x14ac:dyDescent="0.3">
      <c r="A2143" s="66"/>
      <c r="B2143" s="67"/>
      <c r="C2143" s="66"/>
      <c r="D2143" s="68"/>
      <c r="E2143" s="10"/>
      <c r="F2143" s="69"/>
      <c r="G2143" s="68"/>
      <c r="H2143" s="70"/>
      <c r="BA2143" s="4"/>
      <c r="BB2143" s="4"/>
    </row>
    <row r="2144" spans="1:54" x14ac:dyDescent="0.3">
      <c r="A2144" s="66"/>
      <c r="B2144" s="67"/>
      <c r="C2144" s="66"/>
      <c r="D2144" s="68"/>
      <c r="E2144" s="10"/>
      <c r="F2144" s="69"/>
      <c r="G2144" s="68"/>
      <c r="H2144" s="70"/>
      <c r="BA2144" s="4"/>
      <c r="BB2144" s="4"/>
    </row>
    <row r="2145" spans="1:54" x14ac:dyDescent="0.3">
      <c r="A2145" s="66"/>
      <c r="B2145" s="67"/>
      <c r="C2145" s="66"/>
      <c r="D2145" s="68"/>
      <c r="E2145" s="10"/>
      <c r="F2145" s="69"/>
      <c r="G2145" s="68"/>
      <c r="H2145" s="70"/>
      <c r="BA2145" s="4"/>
      <c r="BB2145" s="4"/>
    </row>
    <row r="2146" spans="1:54" x14ac:dyDescent="0.3">
      <c r="A2146" s="66"/>
      <c r="B2146" s="67"/>
      <c r="C2146" s="66"/>
      <c r="D2146" s="68"/>
      <c r="E2146" s="10"/>
      <c r="F2146" s="69"/>
      <c r="G2146" s="68"/>
      <c r="H2146" s="70"/>
      <c r="BA2146" s="4"/>
      <c r="BB2146" s="4"/>
    </row>
    <row r="2147" spans="1:54" x14ac:dyDescent="0.3">
      <c r="A2147" s="66"/>
      <c r="B2147" s="67"/>
      <c r="C2147" s="66"/>
      <c r="D2147" s="68"/>
      <c r="E2147" s="10"/>
      <c r="F2147" s="69"/>
      <c r="G2147" s="68"/>
      <c r="H2147" s="70"/>
      <c r="BA2147" s="4"/>
      <c r="BB2147" s="4"/>
    </row>
    <row r="2148" spans="1:54" x14ac:dyDescent="0.3">
      <c r="A2148" s="66"/>
      <c r="B2148" s="67"/>
      <c r="C2148" s="66"/>
      <c r="D2148" s="68"/>
      <c r="E2148" s="10"/>
      <c r="F2148" s="69"/>
      <c r="G2148" s="68"/>
      <c r="H2148" s="70"/>
      <c r="BA2148" s="4"/>
      <c r="BB2148" s="4"/>
    </row>
    <row r="2149" spans="1:54" x14ac:dyDescent="0.3">
      <c r="A2149" s="66"/>
      <c r="B2149" s="67"/>
      <c r="C2149" s="66"/>
      <c r="D2149" s="68"/>
      <c r="E2149" s="10"/>
      <c r="F2149" s="69"/>
      <c r="G2149" s="68"/>
      <c r="H2149" s="70"/>
      <c r="BA2149" s="4"/>
      <c r="BB2149" s="4"/>
    </row>
    <row r="2150" spans="1:54" x14ac:dyDescent="0.3">
      <c r="A2150" s="66"/>
      <c r="B2150" s="67"/>
      <c r="C2150" s="66"/>
      <c r="D2150" s="68"/>
      <c r="E2150" s="10"/>
      <c r="F2150" s="69"/>
      <c r="G2150" s="68"/>
      <c r="H2150" s="70"/>
      <c r="BA2150" s="4"/>
      <c r="BB2150" s="4"/>
    </row>
    <row r="2151" spans="1:54" x14ac:dyDescent="0.3">
      <c r="A2151" s="66"/>
      <c r="B2151" s="67"/>
      <c r="C2151" s="66"/>
      <c r="D2151" s="68"/>
      <c r="E2151" s="10"/>
      <c r="F2151" s="69"/>
      <c r="G2151" s="68"/>
      <c r="H2151" s="70"/>
      <c r="BA2151" s="4"/>
      <c r="BB2151" s="4"/>
    </row>
    <row r="2152" spans="1:54" x14ac:dyDescent="0.3">
      <c r="A2152" s="66"/>
      <c r="B2152" s="67"/>
      <c r="C2152" s="66"/>
      <c r="D2152" s="68"/>
      <c r="E2152" s="10"/>
      <c r="F2152" s="69"/>
      <c r="G2152" s="68"/>
      <c r="H2152" s="70"/>
      <c r="BA2152" s="4"/>
      <c r="BB2152" s="4"/>
    </row>
    <row r="2153" spans="1:54" x14ac:dyDescent="0.3">
      <c r="A2153" s="66"/>
      <c r="B2153" s="67"/>
      <c r="C2153" s="66"/>
      <c r="D2153" s="68"/>
      <c r="E2153" s="10"/>
      <c r="F2153" s="69"/>
      <c r="G2153" s="68"/>
      <c r="H2153" s="70"/>
      <c r="BA2153" s="4"/>
      <c r="BB2153" s="4"/>
    </row>
    <row r="2154" spans="1:54" x14ac:dyDescent="0.3">
      <c r="A2154" s="66"/>
      <c r="B2154" s="67"/>
      <c r="C2154" s="66"/>
      <c r="D2154" s="68"/>
      <c r="E2154" s="10"/>
      <c r="F2154" s="69"/>
      <c r="G2154" s="68"/>
      <c r="H2154" s="70"/>
      <c r="BA2154" s="4"/>
      <c r="BB2154" s="4"/>
    </row>
    <row r="2155" spans="1:54" x14ac:dyDescent="0.3">
      <c r="A2155" s="66"/>
      <c r="B2155" s="67"/>
      <c r="C2155" s="66"/>
      <c r="D2155" s="68"/>
      <c r="E2155" s="10"/>
      <c r="F2155" s="69"/>
      <c r="G2155" s="68"/>
      <c r="H2155" s="70"/>
      <c r="BA2155" s="4"/>
      <c r="BB2155" s="4"/>
    </row>
    <row r="2156" spans="1:54" x14ac:dyDescent="0.3">
      <c r="A2156" s="66"/>
      <c r="B2156" s="67"/>
      <c r="C2156" s="66"/>
      <c r="D2156" s="68"/>
      <c r="E2156" s="10"/>
      <c r="F2156" s="69"/>
      <c r="G2156" s="68"/>
      <c r="H2156" s="70"/>
      <c r="BA2156" s="4"/>
      <c r="BB2156" s="4"/>
    </row>
    <row r="2157" spans="1:54" x14ac:dyDescent="0.3">
      <c r="A2157" s="66"/>
      <c r="B2157" s="67"/>
      <c r="C2157" s="66"/>
      <c r="D2157" s="68"/>
      <c r="E2157" s="10"/>
      <c r="F2157" s="69"/>
      <c r="G2157" s="68"/>
      <c r="H2157" s="70"/>
      <c r="BA2157" s="4"/>
      <c r="BB2157" s="4"/>
    </row>
    <row r="2158" spans="1:54" x14ac:dyDescent="0.3">
      <c r="A2158" s="66"/>
      <c r="B2158" s="67"/>
      <c r="C2158" s="66"/>
      <c r="D2158" s="68"/>
      <c r="E2158" s="10"/>
      <c r="F2158" s="69"/>
      <c r="G2158" s="68"/>
      <c r="H2158" s="70"/>
      <c r="BA2158" s="4"/>
      <c r="BB2158" s="4"/>
    </row>
    <row r="2159" spans="1:54" x14ac:dyDescent="0.3">
      <c r="A2159" s="66"/>
      <c r="B2159" s="67"/>
      <c r="C2159" s="66"/>
      <c r="D2159" s="68"/>
      <c r="E2159" s="10"/>
      <c r="F2159" s="69"/>
      <c r="G2159" s="68"/>
      <c r="H2159" s="70"/>
      <c r="BA2159" s="4"/>
      <c r="BB2159" s="4"/>
    </row>
    <row r="2160" spans="1:54" x14ac:dyDescent="0.3">
      <c r="A2160" s="66"/>
      <c r="B2160" s="67"/>
      <c r="C2160" s="66"/>
      <c r="D2160" s="68"/>
      <c r="E2160" s="10"/>
      <c r="F2160" s="69"/>
      <c r="G2160" s="68"/>
      <c r="H2160" s="70"/>
      <c r="BA2160" s="4"/>
      <c r="BB2160" s="4"/>
    </row>
    <row r="2161" spans="1:54" x14ac:dyDescent="0.3">
      <c r="A2161" s="66"/>
      <c r="B2161" s="67"/>
      <c r="C2161" s="66"/>
      <c r="D2161" s="68"/>
      <c r="E2161" s="10"/>
      <c r="F2161" s="69"/>
      <c r="G2161" s="68"/>
      <c r="H2161" s="70"/>
      <c r="BA2161" s="4"/>
      <c r="BB2161" s="4"/>
    </row>
    <row r="2162" spans="1:54" x14ac:dyDescent="0.3">
      <c r="A2162" s="66"/>
      <c r="B2162" s="67"/>
      <c r="C2162" s="66"/>
      <c r="D2162" s="68"/>
      <c r="E2162" s="10"/>
      <c r="F2162" s="69"/>
      <c r="G2162" s="68"/>
      <c r="H2162" s="70"/>
      <c r="BA2162" s="4"/>
      <c r="BB2162" s="4"/>
    </row>
    <row r="2163" spans="1:54" x14ac:dyDescent="0.3">
      <c r="A2163" s="66"/>
      <c r="B2163" s="67"/>
      <c r="C2163" s="66"/>
      <c r="D2163" s="68"/>
      <c r="E2163" s="10"/>
      <c r="F2163" s="69"/>
      <c r="G2163" s="68"/>
      <c r="H2163" s="70"/>
      <c r="BA2163" s="4"/>
      <c r="BB2163" s="4"/>
    </row>
    <row r="2164" spans="1:54" x14ac:dyDescent="0.3">
      <c r="A2164" s="66"/>
      <c r="B2164" s="67"/>
      <c r="C2164" s="66"/>
      <c r="D2164" s="68"/>
      <c r="E2164" s="10"/>
      <c r="F2164" s="69"/>
      <c r="G2164" s="68"/>
      <c r="H2164" s="70"/>
      <c r="BA2164" s="4"/>
      <c r="BB2164" s="4"/>
    </row>
    <row r="2165" spans="1:54" x14ac:dyDescent="0.3">
      <c r="A2165" s="66"/>
      <c r="B2165" s="67"/>
      <c r="C2165" s="66"/>
      <c r="D2165" s="68"/>
      <c r="E2165" s="10"/>
      <c r="F2165" s="69"/>
      <c r="G2165" s="68"/>
      <c r="H2165" s="70"/>
      <c r="BA2165" s="4"/>
      <c r="BB2165" s="4"/>
    </row>
    <row r="2166" spans="1:54" x14ac:dyDescent="0.3">
      <c r="A2166" s="66"/>
      <c r="B2166" s="67"/>
      <c r="C2166" s="66"/>
      <c r="D2166" s="68"/>
      <c r="E2166" s="10"/>
      <c r="F2166" s="69"/>
      <c r="G2166" s="68"/>
      <c r="H2166" s="70"/>
      <c r="BA2166" s="4"/>
      <c r="BB2166" s="4"/>
    </row>
    <row r="2167" spans="1:54" x14ac:dyDescent="0.3">
      <c r="A2167" s="66"/>
      <c r="B2167" s="67"/>
      <c r="C2167" s="66"/>
      <c r="D2167" s="68"/>
      <c r="E2167" s="10"/>
      <c r="F2167" s="69"/>
      <c r="G2167" s="68"/>
      <c r="H2167" s="70"/>
      <c r="BA2167" s="4"/>
      <c r="BB2167" s="4"/>
    </row>
    <row r="2168" spans="1:54" x14ac:dyDescent="0.3">
      <c r="A2168" s="66"/>
      <c r="B2168" s="67"/>
      <c r="C2168" s="66"/>
      <c r="D2168" s="68"/>
      <c r="E2168" s="10"/>
      <c r="F2168" s="69"/>
      <c r="G2168" s="68"/>
      <c r="H2168" s="70"/>
      <c r="BA2168" s="4"/>
      <c r="BB2168" s="4"/>
    </row>
    <row r="2169" spans="1:54" x14ac:dyDescent="0.3">
      <c r="A2169" s="66"/>
      <c r="B2169" s="67"/>
      <c r="C2169" s="66"/>
      <c r="D2169" s="68"/>
      <c r="E2169" s="10"/>
      <c r="F2169" s="69"/>
      <c r="G2169" s="68"/>
      <c r="H2169" s="70"/>
      <c r="BA2169" s="4"/>
      <c r="BB2169" s="4"/>
    </row>
    <row r="2170" spans="1:54" x14ac:dyDescent="0.3">
      <c r="A2170" s="66"/>
      <c r="B2170" s="67"/>
      <c r="C2170" s="66"/>
      <c r="D2170" s="68"/>
      <c r="E2170" s="10"/>
      <c r="F2170" s="69"/>
      <c r="G2170" s="68"/>
      <c r="H2170" s="70"/>
      <c r="BA2170" s="4"/>
      <c r="BB2170" s="4"/>
    </row>
    <row r="2171" spans="1:54" x14ac:dyDescent="0.3">
      <c r="A2171" s="66"/>
      <c r="B2171" s="67"/>
      <c r="C2171" s="66"/>
      <c r="D2171" s="68"/>
      <c r="E2171" s="10"/>
      <c r="F2171" s="69"/>
      <c r="G2171" s="68"/>
      <c r="H2171" s="70"/>
      <c r="BA2171" s="4"/>
      <c r="BB2171" s="4"/>
    </row>
    <row r="2172" spans="1:54" x14ac:dyDescent="0.3">
      <c r="A2172" s="66"/>
      <c r="B2172" s="67"/>
      <c r="C2172" s="66"/>
      <c r="D2172" s="68"/>
      <c r="E2172" s="10"/>
      <c r="F2172" s="69"/>
      <c r="G2172" s="68"/>
      <c r="H2172" s="70"/>
      <c r="BA2172" s="4"/>
      <c r="BB2172" s="4"/>
    </row>
    <row r="2173" spans="1:54" x14ac:dyDescent="0.3">
      <c r="A2173" s="66"/>
      <c r="B2173" s="67"/>
      <c r="C2173" s="66"/>
      <c r="D2173" s="68"/>
      <c r="E2173" s="10"/>
      <c r="F2173" s="69"/>
      <c r="G2173" s="68"/>
      <c r="H2173" s="70"/>
      <c r="BA2173" s="4"/>
      <c r="BB2173" s="4"/>
    </row>
    <row r="2174" spans="1:54" x14ac:dyDescent="0.3">
      <c r="A2174" s="66"/>
      <c r="B2174" s="67"/>
      <c r="C2174" s="66"/>
      <c r="D2174" s="68"/>
      <c r="E2174" s="10"/>
      <c r="F2174" s="69"/>
      <c r="G2174" s="68"/>
      <c r="H2174" s="70"/>
      <c r="BA2174" s="4"/>
      <c r="BB2174" s="4"/>
    </row>
    <row r="2175" spans="1:54" x14ac:dyDescent="0.3">
      <c r="A2175" s="66"/>
      <c r="B2175" s="67"/>
      <c r="C2175" s="66"/>
      <c r="D2175" s="68"/>
      <c r="E2175" s="10"/>
      <c r="F2175" s="69"/>
      <c r="G2175" s="68"/>
      <c r="H2175" s="70"/>
      <c r="BA2175" s="4"/>
      <c r="BB2175" s="4"/>
    </row>
    <row r="2176" spans="1:54" x14ac:dyDescent="0.3">
      <c r="A2176" s="66"/>
      <c r="B2176" s="67"/>
      <c r="C2176" s="66"/>
      <c r="D2176" s="68"/>
      <c r="E2176" s="10"/>
      <c r="F2176" s="69"/>
      <c r="G2176" s="68"/>
      <c r="H2176" s="70"/>
      <c r="BA2176" s="4"/>
      <c r="BB2176" s="4"/>
    </row>
    <row r="2177" spans="1:54" x14ac:dyDescent="0.3">
      <c r="A2177" s="66"/>
      <c r="B2177" s="67"/>
      <c r="C2177" s="66"/>
      <c r="D2177" s="68"/>
      <c r="E2177" s="10"/>
      <c r="F2177" s="69"/>
      <c r="G2177" s="68"/>
      <c r="H2177" s="70"/>
      <c r="BA2177" s="4"/>
      <c r="BB2177" s="4"/>
    </row>
    <row r="2178" spans="1:54" x14ac:dyDescent="0.3">
      <c r="A2178" s="66"/>
      <c r="B2178" s="67"/>
      <c r="C2178" s="66"/>
      <c r="D2178" s="68"/>
      <c r="E2178" s="10"/>
      <c r="F2178" s="69"/>
      <c r="G2178" s="68"/>
      <c r="H2178" s="70"/>
      <c r="BA2178" s="4"/>
      <c r="BB2178" s="4"/>
    </row>
    <row r="2179" spans="1:54" x14ac:dyDescent="0.3">
      <c r="A2179" s="66"/>
      <c r="B2179" s="67"/>
      <c r="C2179" s="66"/>
      <c r="D2179" s="68"/>
      <c r="E2179" s="10"/>
      <c r="F2179" s="69"/>
      <c r="G2179" s="68"/>
      <c r="H2179" s="70"/>
      <c r="BA2179" s="4"/>
      <c r="BB2179" s="4"/>
    </row>
    <row r="2180" spans="1:54" x14ac:dyDescent="0.3">
      <c r="A2180" s="66"/>
      <c r="B2180" s="67"/>
      <c r="C2180" s="66"/>
      <c r="D2180" s="68"/>
      <c r="E2180" s="10"/>
      <c r="F2180" s="69"/>
      <c r="G2180" s="68"/>
      <c r="H2180" s="70"/>
      <c r="BA2180" s="4"/>
      <c r="BB2180" s="4"/>
    </row>
    <row r="2181" spans="1:54" x14ac:dyDescent="0.3">
      <c r="A2181" s="66"/>
      <c r="B2181" s="67"/>
      <c r="C2181" s="66"/>
      <c r="D2181" s="68"/>
      <c r="E2181" s="10"/>
      <c r="F2181" s="69"/>
      <c r="G2181" s="68"/>
      <c r="H2181" s="70"/>
      <c r="BA2181" s="4"/>
      <c r="BB2181" s="4"/>
    </row>
    <row r="2182" spans="1:54" x14ac:dyDescent="0.3">
      <c r="A2182" s="66"/>
      <c r="B2182" s="67"/>
      <c r="C2182" s="66"/>
      <c r="D2182" s="68"/>
      <c r="E2182" s="10"/>
      <c r="F2182" s="69"/>
      <c r="G2182" s="68"/>
      <c r="H2182" s="70"/>
      <c r="BA2182" s="4"/>
      <c r="BB2182" s="4"/>
    </row>
    <row r="2183" spans="1:54" x14ac:dyDescent="0.3">
      <c r="A2183" s="66"/>
      <c r="B2183" s="67"/>
      <c r="C2183" s="66"/>
      <c r="D2183" s="68"/>
      <c r="E2183" s="10"/>
      <c r="F2183" s="69"/>
      <c r="G2183" s="68"/>
      <c r="H2183" s="70"/>
      <c r="BA2183" s="4"/>
      <c r="BB2183" s="4"/>
    </row>
    <row r="2184" spans="1:54" x14ac:dyDescent="0.3">
      <c r="A2184" s="66"/>
      <c r="B2184" s="67"/>
      <c r="C2184" s="66"/>
      <c r="D2184" s="68"/>
      <c r="E2184" s="10"/>
      <c r="F2184" s="69"/>
      <c r="G2184" s="68"/>
      <c r="H2184" s="70"/>
      <c r="BA2184" s="4"/>
      <c r="BB2184" s="4"/>
    </row>
    <row r="2185" spans="1:54" x14ac:dyDescent="0.3">
      <c r="A2185" s="66"/>
      <c r="B2185" s="67"/>
      <c r="C2185" s="66"/>
      <c r="D2185" s="68"/>
      <c r="E2185" s="10"/>
      <c r="F2185" s="69"/>
      <c r="G2185" s="68"/>
      <c r="H2185" s="70"/>
      <c r="BA2185" s="4"/>
      <c r="BB2185" s="4"/>
    </row>
    <row r="2186" spans="1:54" x14ac:dyDescent="0.3">
      <c r="A2186" s="66"/>
      <c r="B2186" s="67"/>
      <c r="C2186" s="66"/>
      <c r="D2186" s="68"/>
      <c r="E2186" s="10"/>
      <c r="F2186" s="69"/>
      <c r="G2186" s="68"/>
      <c r="H2186" s="70"/>
      <c r="BA2186" s="4"/>
      <c r="BB2186" s="4"/>
    </row>
    <row r="2187" spans="1:54" x14ac:dyDescent="0.3">
      <c r="A2187" s="66"/>
      <c r="B2187" s="67"/>
      <c r="C2187" s="66"/>
      <c r="D2187" s="68"/>
      <c r="E2187" s="10"/>
      <c r="F2187" s="69"/>
      <c r="G2187" s="68"/>
      <c r="H2187" s="70"/>
      <c r="BA2187" s="4"/>
      <c r="BB2187" s="4"/>
    </row>
    <row r="2188" spans="1:54" x14ac:dyDescent="0.3">
      <c r="A2188" s="66"/>
      <c r="B2188" s="67"/>
      <c r="C2188" s="66"/>
      <c r="D2188" s="68"/>
      <c r="E2188" s="10"/>
      <c r="F2188" s="69"/>
      <c r="G2188" s="68"/>
      <c r="H2188" s="70"/>
      <c r="BA2188" s="4"/>
      <c r="BB2188" s="4"/>
    </row>
    <row r="2189" spans="1:54" x14ac:dyDescent="0.3">
      <c r="A2189" s="66"/>
      <c r="B2189" s="67"/>
      <c r="C2189" s="66"/>
      <c r="D2189" s="68"/>
      <c r="E2189" s="10"/>
      <c r="F2189" s="69"/>
      <c r="G2189" s="68"/>
      <c r="H2189" s="70"/>
      <c r="BA2189" s="4"/>
      <c r="BB2189" s="4"/>
    </row>
    <row r="2190" spans="1:54" x14ac:dyDescent="0.3">
      <c r="A2190" s="66"/>
      <c r="B2190" s="67"/>
      <c r="C2190" s="66"/>
      <c r="D2190" s="68"/>
      <c r="E2190" s="10"/>
      <c r="F2190" s="69"/>
      <c r="G2190" s="68"/>
      <c r="H2190" s="70"/>
      <c r="BA2190" s="4"/>
      <c r="BB2190" s="4"/>
    </row>
    <row r="2191" spans="1:54" x14ac:dyDescent="0.3">
      <c r="A2191" s="66"/>
      <c r="B2191" s="67"/>
      <c r="C2191" s="66"/>
      <c r="D2191" s="68"/>
      <c r="E2191" s="10"/>
      <c r="F2191" s="69"/>
      <c r="G2191" s="68"/>
      <c r="H2191" s="70"/>
      <c r="BA2191" s="4"/>
      <c r="BB2191" s="4"/>
    </row>
    <row r="2192" spans="1:54" x14ac:dyDescent="0.3">
      <c r="A2192" s="66"/>
      <c r="B2192" s="67"/>
      <c r="C2192" s="66"/>
      <c r="D2192" s="68"/>
      <c r="E2192" s="10"/>
      <c r="F2192" s="69"/>
      <c r="G2192" s="68"/>
      <c r="H2192" s="70"/>
      <c r="BA2192" s="4"/>
      <c r="BB2192" s="4"/>
    </row>
    <row r="2193" spans="1:54" x14ac:dyDescent="0.3">
      <c r="A2193" s="66"/>
      <c r="B2193" s="67"/>
      <c r="C2193" s="66"/>
      <c r="D2193" s="68"/>
      <c r="E2193" s="10"/>
      <c r="F2193" s="69"/>
      <c r="G2193" s="68"/>
      <c r="H2193" s="70"/>
      <c r="BA2193" s="4"/>
      <c r="BB2193" s="4"/>
    </row>
    <row r="2194" spans="1:54" x14ac:dyDescent="0.3">
      <c r="A2194" s="66"/>
      <c r="B2194" s="67"/>
      <c r="C2194" s="66"/>
      <c r="D2194" s="68"/>
      <c r="E2194" s="10"/>
      <c r="F2194" s="69"/>
      <c r="G2194" s="68"/>
      <c r="H2194" s="70"/>
      <c r="BA2194" s="4"/>
      <c r="BB2194" s="4"/>
    </row>
    <row r="2195" spans="1:54" x14ac:dyDescent="0.3">
      <c r="A2195" s="66"/>
      <c r="B2195" s="67"/>
      <c r="C2195" s="66"/>
      <c r="D2195" s="68"/>
      <c r="E2195" s="10"/>
      <c r="F2195" s="69"/>
      <c r="G2195" s="68"/>
      <c r="H2195" s="70"/>
      <c r="BA2195" s="4"/>
      <c r="BB2195" s="4"/>
    </row>
    <row r="2196" spans="1:54" x14ac:dyDescent="0.3">
      <c r="A2196" s="66"/>
      <c r="B2196" s="67"/>
      <c r="C2196" s="66"/>
      <c r="D2196" s="68"/>
      <c r="E2196" s="10"/>
      <c r="F2196" s="69"/>
      <c r="G2196" s="68"/>
      <c r="H2196" s="70"/>
      <c r="BA2196" s="4"/>
      <c r="BB2196" s="4"/>
    </row>
    <row r="2197" spans="1:54" x14ac:dyDescent="0.3">
      <c r="A2197" s="66"/>
      <c r="B2197" s="67"/>
      <c r="C2197" s="66"/>
      <c r="D2197" s="68"/>
      <c r="E2197" s="10"/>
      <c r="F2197" s="69"/>
      <c r="G2197" s="68"/>
      <c r="H2197" s="70"/>
      <c r="BA2197" s="4"/>
      <c r="BB2197" s="4"/>
    </row>
    <row r="2198" spans="1:54" x14ac:dyDescent="0.3">
      <c r="A2198" s="66"/>
      <c r="B2198" s="67"/>
      <c r="C2198" s="66"/>
      <c r="D2198" s="68"/>
      <c r="E2198" s="10"/>
      <c r="F2198" s="69"/>
      <c r="G2198" s="68"/>
      <c r="H2198" s="70"/>
      <c r="BA2198" s="4"/>
      <c r="BB2198" s="4"/>
    </row>
    <row r="2199" spans="1:54" x14ac:dyDescent="0.3">
      <c r="A2199" s="66"/>
      <c r="B2199" s="67"/>
      <c r="C2199" s="66"/>
      <c r="D2199" s="68"/>
      <c r="E2199" s="10"/>
      <c r="F2199" s="69"/>
      <c r="G2199" s="68"/>
      <c r="H2199" s="70"/>
      <c r="BA2199" s="4"/>
      <c r="BB2199" s="4"/>
    </row>
    <row r="2200" spans="1:54" x14ac:dyDescent="0.3">
      <c r="A2200" s="66"/>
      <c r="B2200" s="67"/>
      <c r="C2200" s="66"/>
      <c r="D2200" s="68"/>
      <c r="E2200" s="10"/>
      <c r="F2200" s="69"/>
      <c r="G2200" s="68"/>
      <c r="H2200" s="70"/>
      <c r="BA2200" s="4"/>
      <c r="BB2200" s="4"/>
    </row>
    <row r="2201" spans="1:54" x14ac:dyDescent="0.3">
      <c r="A2201" s="66"/>
      <c r="B2201" s="67"/>
      <c r="C2201" s="66"/>
      <c r="D2201" s="68"/>
      <c r="E2201" s="10"/>
      <c r="F2201" s="69"/>
      <c r="G2201" s="68"/>
      <c r="H2201" s="70"/>
      <c r="BA2201" s="4"/>
      <c r="BB2201" s="4"/>
    </row>
    <row r="2202" spans="1:54" x14ac:dyDescent="0.3">
      <c r="A2202" s="66"/>
      <c r="B2202" s="67"/>
      <c r="C2202" s="66"/>
      <c r="D2202" s="68"/>
      <c r="E2202" s="10"/>
      <c r="F2202" s="69"/>
      <c r="G2202" s="68"/>
      <c r="H2202" s="70"/>
      <c r="BA2202" s="4"/>
      <c r="BB2202" s="4"/>
    </row>
    <row r="2203" spans="1:54" x14ac:dyDescent="0.3">
      <c r="A2203" s="66"/>
      <c r="B2203" s="67"/>
      <c r="C2203" s="66"/>
      <c r="D2203" s="68"/>
      <c r="E2203" s="10"/>
      <c r="F2203" s="69"/>
      <c r="G2203" s="68"/>
      <c r="H2203" s="70"/>
      <c r="BA2203" s="4"/>
      <c r="BB2203" s="4"/>
    </row>
    <row r="2204" spans="1:54" x14ac:dyDescent="0.3">
      <c r="A2204" s="66"/>
      <c r="B2204" s="67"/>
      <c r="C2204" s="66"/>
      <c r="D2204" s="68"/>
      <c r="E2204" s="10"/>
      <c r="F2204" s="69"/>
      <c r="G2204" s="68"/>
      <c r="H2204" s="70"/>
      <c r="BA2204" s="4"/>
      <c r="BB2204" s="4"/>
    </row>
    <row r="2205" spans="1:54" x14ac:dyDescent="0.3">
      <c r="A2205" s="66"/>
      <c r="B2205" s="67"/>
      <c r="C2205" s="66"/>
      <c r="D2205" s="68"/>
      <c r="E2205" s="10"/>
      <c r="F2205" s="69"/>
      <c r="G2205" s="68"/>
      <c r="H2205" s="70"/>
      <c r="BA2205" s="4"/>
      <c r="BB2205" s="4"/>
    </row>
    <row r="2206" spans="1:54" x14ac:dyDescent="0.3">
      <c r="A2206" s="66"/>
      <c r="B2206" s="67"/>
      <c r="C2206" s="66"/>
      <c r="D2206" s="68"/>
      <c r="E2206" s="10"/>
      <c r="F2206" s="69"/>
      <c r="G2206" s="68"/>
      <c r="H2206" s="70"/>
      <c r="BA2206" s="4"/>
      <c r="BB2206" s="4"/>
    </row>
    <row r="2207" spans="1:54" x14ac:dyDescent="0.3">
      <c r="A2207" s="66"/>
      <c r="B2207" s="67"/>
      <c r="C2207" s="66"/>
      <c r="D2207" s="68"/>
      <c r="E2207" s="10"/>
      <c r="F2207" s="69"/>
      <c r="G2207" s="68"/>
      <c r="H2207" s="70"/>
      <c r="BA2207" s="4"/>
      <c r="BB2207" s="4"/>
    </row>
    <row r="2208" spans="1:54" x14ac:dyDescent="0.3">
      <c r="A2208" s="66"/>
      <c r="B2208" s="67"/>
      <c r="C2208" s="66"/>
      <c r="D2208" s="68"/>
      <c r="E2208" s="10"/>
      <c r="F2208" s="69"/>
      <c r="G2208" s="68"/>
      <c r="H2208" s="70"/>
      <c r="BA2208" s="4"/>
      <c r="BB2208" s="4"/>
    </row>
    <row r="2209" spans="1:54" x14ac:dyDescent="0.3">
      <c r="A2209" s="66"/>
      <c r="B2209" s="67"/>
      <c r="C2209" s="66"/>
      <c r="D2209" s="68"/>
      <c r="E2209" s="10"/>
      <c r="F2209" s="69"/>
      <c r="G2209" s="68"/>
      <c r="H2209" s="70"/>
      <c r="BA2209" s="4"/>
      <c r="BB2209" s="4"/>
    </row>
    <row r="2210" spans="1:54" x14ac:dyDescent="0.3">
      <c r="A2210" s="66"/>
      <c r="B2210" s="67"/>
      <c r="C2210" s="66"/>
      <c r="D2210" s="68"/>
      <c r="E2210" s="10"/>
      <c r="F2210" s="69"/>
      <c r="G2210" s="68"/>
      <c r="H2210" s="70"/>
      <c r="BA2210" s="4"/>
      <c r="BB2210" s="4"/>
    </row>
    <row r="2211" spans="1:54" x14ac:dyDescent="0.3">
      <c r="A2211" s="66"/>
      <c r="B2211" s="67"/>
      <c r="C2211" s="66"/>
      <c r="D2211" s="68"/>
      <c r="E2211" s="10"/>
      <c r="F2211" s="69"/>
      <c r="G2211" s="68"/>
      <c r="H2211" s="70"/>
      <c r="BA2211" s="4"/>
      <c r="BB2211" s="4"/>
    </row>
    <row r="2212" spans="1:54" x14ac:dyDescent="0.3">
      <c r="A2212" s="66"/>
      <c r="B2212" s="67"/>
      <c r="C2212" s="66"/>
      <c r="D2212" s="68"/>
      <c r="E2212" s="10"/>
      <c r="F2212" s="69"/>
      <c r="G2212" s="68"/>
      <c r="H2212" s="70"/>
      <c r="BA2212" s="4"/>
      <c r="BB2212" s="4"/>
    </row>
    <row r="2213" spans="1:54" x14ac:dyDescent="0.3">
      <c r="A2213" s="66"/>
      <c r="B2213" s="67"/>
      <c r="C2213" s="66"/>
      <c r="D2213" s="68"/>
      <c r="E2213" s="10"/>
      <c r="F2213" s="69"/>
      <c r="G2213" s="68"/>
      <c r="H2213" s="70"/>
      <c r="BA2213" s="4"/>
      <c r="BB2213" s="4"/>
    </row>
    <row r="2214" spans="1:54" x14ac:dyDescent="0.3">
      <c r="A2214" s="66"/>
      <c r="B2214" s="67"/>
      <c r="C2214" s="66"/>
      <c r="D2214" s="68"/>
      <c r="E2214" s="10"/>
      <c r="F2214" s="69"/>
      <c r="G2214" s="68"/>
      <c r="H2214" s="70"/>
      <c r="BA2214" s="4"/>
      <c r="BB2214" s="4"/>
    </row>
    <row r="2215" spans="1:54" x14ac:dyDescent="0.3">
      <c r="A2215" s="66"/>
      <c r="B2215" s="67"/>
      <c r="C2215" s="66"/>
      <c r="D2215" s="68"/>
      <c r="E2215" s="10"/>
      <c r="F2215" s="69"/>
      <c r="G2215" s="68"/>
      <c r="H2215" s="70"/>
      <c r="BA2215" s="4"/>
      <c r="BB2215" s="4"/>
    </row>
    <row r="2216" spans="1:54" x14ac:dyDescent="0.3">
      <c r="A2216" s="66"/>
      <c r="B2216" s="67"/>
      <c r="C2216" s="66"/>
      <c r="D2216" s="68"/>
      <c r="E2216" s="10"/>
      <c r="F2216" s="69"/>
      <c r="G2216" s="68"/>
      <c r="H2216" s="70"/>
      <c r="BA2216" s="4"/>
      <c r="BB2216" s="4"/>
    </row>
    <row r="2217" spans="1:54" x14ac:dyDescent="0.3">
      <c r="A2217" s="66"/>
      <c r="B2217" s="67"/>
      <c r="C2217" s="66"/>
      <c r="D2217" s="68"/>
      <c r="E2217" s="10"/>
      <c r="F2217" s="69"/>
      <c r="G2217" s="68"/>
      <c r="H2217" s="70"/>
      <c r="BA2217" s="4"/>
      <c r="BB2217" s="4"/>
    </row>
    <row r="2218" spans="1:54" x14ac:dyDescent="0.3">
      <c r="A2218" s="66"/>
      <c r="B2218" s="67"/>
      <c r="C2218" s="66"/>
      <c r="D2218" s="68"/>
      <c r="E2218" s="10"/>
      <c r="F2218" s="69"/>
      <c r="G2218" s="68"/>
      <c r="H2218" s="70"/>
      <c r="BA2218" s="4"/>
      <c r="BB2218" s="4"/>
    </row>
    <row r="2219" spans="1:54" x14ac:dyDescent="0.3">
      <c r="A2219" s="66"/>
      <c r="B2219" s="67"/>
      <c r="C2219" s="66"/>
      <c r="D2219" s="68"/>
      <c r="E2219" s="10"/>
      <c r="F2219" s="69"/>
      <c r="G2219" s="68"/>
      <c r="H2219" s="70"/>
      <c r="BA2219" s="4"/>
      <c r="BB2219" s="4"/>
    </row>
    <row r="2220" spans="1:54" x14ac:dyDescent="0.3">
      <c r="A2220" s="66"/>
      <c r="B2220" s="67"/>
      <c r="C2220" s="66"/>
      <c r="D2220" s="68"/>
      <c r="E2220" s="10"/>
      <c r="F2220" s="69"/>
      <c r="G2220" s="68"/>
      <c r="H2220" s="70"/>
      <c r="BA2220" s="4"/>
      <c r="BB2220" s="4"/>
    </row>
    <row r="2221" spans="1:54" x14ac:dyDescent="0.3">
      <c r="A2221" s="66"/>
      <c r="B2221" s="67"/>
      <c r="C2221" s="66"/>
      <c r="D2221" s="68"/>
      <c r="E2221" s="10"/>
      <c r="F2221" s="69"/>
      <c r="G2221" s="68"/>
      <c r="H2221" s="70"/>
      <c r="BA2221" s="4"/>
      <c r="BB2221" s="4"/>
    </row>
    <row r="2222" spans="1:54" x14ac:dyDescent="0.3">
      <c r="A2222" s="66"/>
      <c r="B2222" s="67"/>
      <c r="C2222" s="66"/>
      <c r="D2222" s="68"/>
      <c r="E2222" s="10"/>
      <c r="F2222" s="69"/>
      <c r="G2222" s="68"/>
      <c r="H2222" s="70"/>
      <c r="BA2222" s="4"/>
      <c r="BB2222" s="4"/>
    </row>
    <row r="2223" spans="1:54" x14ac:dyDescent="0.3">
      <c r="A2223" s="66"/>
      <c r="B2223" s="67"/>
      <c r="C2223" s="66"/>
      <c r="D2223" s="68"/>
      <c r="E2223" s="10"/>
      <c r="F2223" s="69"/>
      <c r="G2223" s="68"/>
      <c r="H2223" s="70"/>
      <c r="BA2223" s="4"/>
      <c r="BB2223" s="4"/>
    </row>
    <row r="2224" spans="1:54" x14ac:dyDescent="0.3">
      <c r="A2224" s="66"/>
      <c r="B2224" s="67"/>
      <c r="C2224" s="66"/>
      <c r="D2224" s="68"/>
      <c r="E2224" s="10"/>
      <c r="F2224" s="69"/>
      <c r="G2224" s="68"/>
      <c r="H2224" s="70"/>
      <c r="BA2224" s="4"/>
      <c r="BB2224" s="4"/>
    </row>
    <row r="2225" spans="1:54" x14ac:dyDescent="0.3">
      <c r="A2225" s="66"/>
      <c r="B2225" s="67"/>
      <c r="C2225" s="66"/>
      <c r="D2225" s="68"/>
      <c r="E2225" s="10"/>
      <c r="F2225" s="69"/>
      <c r="G2225" s="68"/>
      <c r="H2225" s="70"/>
      <c r="BA2225" s="4"/>
      <c r="BB2225" s="4"/>
    </row>
    <row r="2226" spans="1:54" x14ac:dyDescent="0.3">
      <c r="A2226" s="66"/>
      <c r="B2226" s="67"/>
      <c r="C2226" s="66"/>
      <c r="D2226" s="68"/>
      <c r="E2226" s="10"/>
      <c r="F2226" s="69"/>
      <c r="G2226" s="68"/>
      <c r="H2226" s="70"/>
      <c r="BA2226" s="4"/>
      <c r="BB2226" s="4"/>
    </row>
    <row r="2227" spans="1:54" x14ac:dyDescent="0.3">
      <c r="A2227" s="66"/>
      <c r="B2227" s="67"/>
      <c r="C2227" s="66"/>
      <c r="D2227" s="68"/>
      <c r="E2227" s="10"/>
      <c r="F2227" s="69"/>
      <c r="G2227" s="68"/>
      <c r="H2227" s="70"/>
      <c r="BA2227" s="4"/>
      <c r="BB2227" s="4"/>
    </row>
    <row r="2228" spans="1:54" x14ac:dyDescent="0.3">
      <c r="A2228" s="66"/>
      <c r="B2228" s="67"/>
      <c r="C2228" s="66"/>
      <c r="D2228" s="68"/>
      <c r="E2228" s="10"/>
      <c r="F2228" s="69"/>
      <c r="G2228" s="68"/>
      <c r="H2228" s="70"/>
      <c r="BA2228" s="4"/>
      <c r="BB2228" s="4"/>
    </row>
    <row r="2229" spans="1:54" x14ac:dyDescent="0.3">
      <c r="A2229" s="66"/>
      <c r="B2229" s="67"/>
      <c r="C2229" s="66"/>
      <c r="D2229" s="68"/>
      <c r="E2229" s="10"/>
      <c r="F2229" s="69"/>
      <c r="G2229" s="68"/>
      <c r="H2229" s="70"/>
      <c r="BA2229" s="4"/>
      <c r="BB2229" s="4"/>
    </row>
    <row r="2230" spans="1:54" x14ac:dyDescent="0.3">
      <c r="A2230" s="66"/>
      <c r="B2230" s="67"/>
      <c r="C2230" s="66"/>
      <c r="D2230" s="68"/>
      <c r="E2230" s="10"/>
      <c r="F2230" s="69"/>
      <c r="G2230" s="68"/>
      <c r="H2230" s="70"/>
      <c r="BA2230" s="4"/>
      <c r="BB2230" s="4"/>
    </row>
    <row r="2231" spans="1:54" x14ac:dyDescent="0.3">
      <c r="A2231" s="66"/>
      <c r="B2231" s="67"/>
      <c r="C2231" s="66"/>
      <c r="D2231" s="68"/>
      <c r="E2231" s="10"/>
      <c r="F2231" s="69"/>
      <c r="G2231" s="68"/>
      <c r="H2231" s="70"/>
      <c r="BA2231" s="4"/>
      <c r="BB2231" s="4"/>
    </row>
    <row r="2232" spans="1:54" x14ac:dyDescent="0.3">
      <c r="A2232" s="66"/>
      <c r="B2232" s="67"/>
      <c r="C2232" s="66"/>
      <c r="D2232" s="68"/>
      <c r="E2232" s="10"/>
      <c r="F2232" s="69"/>
      <c r="G2232" s="68"/>
      <c r="H2232" s="70"/>
      <c r="BA2232" s="4"/>
      <c r="BB2232" s="4"/>
    </row>
    <row r="2233" spans="1:54" x14ac:dyDescent="0.3">
      <c r="A2233" s="66"/>
      <c r="B2233" s="67"/>
      <c r="C2233" s="66"/>
      <c r="D2233" s="68"/>
      <c r="E2233" s="10"/>
      <c r="F2233" s="69"/>
      <c r="G2233" s="68"/>
      <c r="H2233" s="70"/>
      <c r="BA2233" s="4"/>
      <c r="BB2233" s="4"/>
    </row>
    <row r="2234" spans="1:54" x14ac:dyDescent="0.3">
      <c r="A2234" s="66"/>
      <c r="B2234" s="67"/>
      <c r="C2234" s="66"/>
      <c r="D2234" s="68"/>
      <c r="E2234" s="10"/>
      <c r="F2234" s="69"/>
      <c r="G2234" s="68"/>
      <c r="H2234" s="70"/>
      <c r="BA2234" s="4"/>
      <c r="BB2234" s="4"/>
    </row>
    <row r="2235" spans="1:54" x14ac:dyDescent="0.3">
      <c r="A2235" s="66"/>
      <c r="B2235" s="67"/>
      <c r="C2235" s="66"/>
      <c r="D2235" s="68"/>
      <c r="E2235" s="10"/>
      <c r="F2235" s="69"/>
      <c r="G2235" s="68"/>
      <c r="H2235" s="70"/>
      <c r="BA2235" s="4"/>
      <c r="BB2235" s="4"/>
    </row>
    <row r="2236" spans="1:54" x14ac:dyDescent="0.3">
      <c r="A2236" s="66"/>
      <c r="B2236" s="67"/>
      <c r="C2236" s="66"/>
      <c r="D2236" s="68"/>
      <c r="E2236" s="10"/>
      <c r="F2236" s="69"/>
      <c r="G2236" s="68"/>
      <c r="H2236" s="70"/>
      <c r="BA2236" s="4"/>
      <c r="BB2236" s="4"/>
    </row>
    <row r="2237" spans="1:54" x14ac:dyDescent="0.3">
      <c r="A2237" s="66"/>
      <c r="B2237" s="67"/>
      <c r="C2237" s="66"/>
      <c r="D2237" s="68"/>
      <c r="E2237" s="10"/>
      <c r="F2237" s="69"/>
      <c r="G2237" s="68"/>
      <c r="H2237" s="70"/>
      <c r="BA2237" s="4"/>
      <c r="BB2237" s="4"/>
    </row>
    <row r="2238" spans="1:54" x14ac:dyDescent="0.3">
      <c r="A2238" s="66"/>
      <c r="B2238" s="67"/>
      <c r="C2238" s="66"/>
      <c r="D2238" s="68"/>
      <c r="E2238" s="10"/>
      <c r="F2238" s="69"/>
      <c r="G2238" s="68"/>
      <c r="H2238" s="70"/>
      <c r="BA2238" s="4"/>
      <c r="BB2238" s="4"/>
    </row>
    <row r="2239" spans="1:54" x14ac:dyDescent="0.3">
      <c r="A2239" s="66"/>
      <c r="B2239" s="67"/>
      <c r="C2239" s="66"/>
      <c r="D2239" s="68"/>
      <c r="E2239" s="10"/>
      <c r="F2239" s="69"/>
      <c r="G2239" s="68"/>
      <c r="H2239" s="70"/>
      <c r="BA2239" s="4"/>
      <c r="BB2239" s="4"/>
    </row>
    <row r="2240" spans="1:54" x14ac:dyDescent="0.3">
      <c r="A2240" s="66"/>
      <c r="B2240" s="67"/>
      <c r="C2240" s="66"/>
      <c r="D2240" s="68"/>
      <c r="E2240" s="10"/>
      <c r="F2240" s="69"/>
      <c r="G2240" s="68"/>
      <c r="H2240" s="70"/>
      <c r="BA2240" s="4"/>
      <c r="BB2240" s="4"/>
    </row>
    <row r="2241" spans="1:54" x14ac:dyDescent="0.3">
      <c r="A2241" s="66"/>
      <c r="B2241" s="67"/>
      <c r="C2241" s="66"/>
      <c r="D2241" s="68"/>
      <c r="E2241" s="10"/>
      <c r="F2241" s="69"/>
      <c r="G2241" s="68"/>
      <c r="H2241" s="70"/>
      <c r="BA2241" s="4"/>
      <c r="BB2241" s="4"/>
    </row>
    <row r="2242" spans="1:54" x14ac:dyDescent="0.3">
      <c r="A2242" s="66"/>
      <c r="B2242" s="67"/>
      <c r="C2242" s="66"/>
      <c r="D2242" s="68"/>
      <c r="E2242" s="10"/>
      <c r="F2242" s="69"/>
      <c r="G2242" s="68"/>
      <c r="H2242" s="70"/>
      <c r="BA2242" s="4"/>
      <c r="BB2242" s="4"/>
    </row>
    <row r="2243" spans="1:54" x14ac:dyDescent="0.3">
      <c r="A2243" s="66"/>
      <c r="B2243" s="67"/>
      <c r="C2243" s="66"/>
      <c r="D2243" s="68"/>
      <c r="E2243" s="10"/>
      <c r="F2243" s="69"/>
      <c r="G2243" s="68"/>
      <c r="H2243" s="70"/>
      <c r="BA2243" s="4"/>
      <c r="BB2243" s="4"/>
    </row>
    <row r="2244" spans="1:54" x14ac:dyDescent="0.3">
      <c r="A2244" s="66"/>
      <c r="B2244" s="67"/>
      <c r="C2244" s="66"/>
      <c r="D2244" s="68"/>
      <c r="E2244" s="10"/>
      <c r="F2244" s="69"/>
      <c r="G2244" s="68"/>
      <c r="H2244" s="70"/>
      <c r="BA2244" s="4"/>
      <c r="BB2244" s="4"/>
    </row>
    <row r="2245" spans="1:54" x14ac:dyDescent="0.3">
      <c r="A2245" s="66"/>
      <c r="B2245" s="67"/>
      <c r="C2245" s="66"/>
      <c r="D2245" s="68"/>
      <c r="E2245" s="10"/>
      <c r="F2245" s="69"/>
      <c r="G2245" s="68"/>
      <c r="H2245" s="70"/>
      <c r="BA2245" s="4"/>
      <c r="BB2245" s="4"/>
    </row>
    <row r="2246" spans="1:54" x14ac:dyDescent="0.3">
      <c r="A2246" s="66"/>
      <c r="B2246" s="67"/>
      <c r="C2246" s="66"/>
      <c r="D2246" s="68"/>
      <c r="E2246" s="10"/>
      <c r="F2246" s="69"/>
      <c r="G2246" s="68"/>
      <c r="H2246" s="70"/>
      <c r="BA2246" s="4"/>
      <c r="BB2246" s="4"/>
    </row>
    <row r="2247" spans="1:54" x14ac:dyDescent="0.3">
      <c r="A2247" s="66"/>
      <c r="B2247" s="67"/>
      <c r="C2247" s="66"/>
      <c r="D2247" s="68"/>
      <c r="E2247" s="10"/>
      <c r="F2247" s="69"/>
      <c r="G2247" s="68"/>
      <c r="H2247" s="70"/>
      <c r="BA2247" s="4"/>
      <c r="BB2247" s="4"/>
    </row>
    <row r="2248" spans="1:54" x14ac:dyDescent="0.3">
      <c r="A2248" s="66"/>
      <c r="B2248" s="67"/>
      <c r="C2248" s="66"/>
      <c r="D2248" s="68"/>
      <c r="E2248" s="10"/>
      <c r="F2248" s="69"/>
      <c r="G2248" s="68"/>
      <c r="H2248" s="70"/>
      <c r="BA2248" s="4"/>
      <c r="BB2248" s="4"/>
    </row>
    <row r="2249" spans="1:54" x14ac:dyDescent="0.3">
      <c r="A2249" s="66"/>
      <c r="B2249" s="67"/>
      <c r="C2249" s="66"/>
      <c r="D2249" s="68"/>
      <c r="E2249" s="10"/>
      <c r="F2249" s="69"/>
      <c r="G2249" s="68"/>
      <c r="H2249" s="70"/>
      <c r="BA2249" s="4"/>
      <c r="BB2249" s="4"/>
    </row>
    <row r="2250" spans="1:54" x14ac:dyDescent="0.3">
      <c r="A2250" s="66"/>
      <c r="B2250" s="67"/>
      <c r="C2250" s="66"/>
      <c r="D2250" s="68"/>
      <c r="E2250" s="10"/>
      <c r="F2250" s="69"/>
      <c r="G2250" s="68"/>
      <c r="H2250" s="70"/>
      <c r="BA2250" s="4"/>
      <c r="BB2250" s="4"/>
    </row>
    <row r="2251" spans="1:54" x14ac:dyDescent="0.3">
      <c r="A2251" s="66"/>
      <c r="B2251" s="67"/>
      <c r="C2251" s="66"/>
      <c r="D2251" s="68"/>
      <c r="E2251" s="10"/>
      <c r="F2251" s="69"/>
      <c r="G2251" s="68"/>
      <c r="H2251" s="70"/>
      <c r="BA2251" s="4"/>
      <c r="BB2251" s="4"/>
    </row>
    <row r="2252" spans="1:54" x14ac:dyDescent="0.3">
      <c r="A2252" s="66"/>
      <c r="B2252" s="67"/>
      <c r="C2252" s="66"/>
      <c r="D2252" s="68"/>
      <c r="E2252" s="10"/>
      <c r="F2252" s="69"/>
      <c r="G2252" s="68"/>
      <c r="H2252" s="70"/>
      <c r="BA2252" s="4"/>
      <c r="BB2252" s="4"/>
    </row>
    <row r="2253" spans="1:54" x14ac:dyDescent="0.3">
      <c r="A2253" s="66"/>
      <c r="B2253" s="67"/>
      <c r="C2253" s="66"/>
      <c r="D2253" s="68"/>
      <c r="E2253" s="10"/>
      <c r="F2253" s="69"/>
      <c r="G2253" s="68"/>
      <c r="H2253" s="70"/>
      <c r="BA2253" s="4"/>
      <c r="BB2253" s="4"/>
    </row>
    <row r="2254" spans="1:54" x14ac:dyDescent="0.3">
      <c r="A2254" s="66"/>
      <c r="B2254" s="67"/>
      <c r="C2254" s="66"/>
      <c r="D2254" s="68"/>
      <c r="E2254" s="10"/>
      <c r="F2254" s="69"/>
      <c r="G2254" s="68"/>
      <c r="H2254" s="70"/>
      <c r="BA2254" s="4"/>
      <c r="BB2254" s="4"/>
    </row>
    <row r="2255" spans="1:54" x14ac:dyDescent="0.3">
      <c r="A2255" s="66"/>
      <c r="B2255" s="67"/>
      <c r="C2255" s="66"/>
      <c r="D2255" s="68"/>
      <c r="E2255" s="10"/>
      <c r="F2255" s="69"/>
      <c r="G2255" s="68"/>
      <c r="H2255" s="70"/>
      <c r="BA2255" s="4"/>
      <c r="BB2255" s="4"/>
    </row>
    <row r="2256" spans="1:54" x14ac:dyDescent="0.3">
      <c r="A2256" s="66"/>
      <c r="B2256" s="67"/>
      <c r="C2256" s="66"/>
      <c r="D2256" s="68"/>
      <c r="E2256" s="10"/>
      <c r="F2256" s="69"/>
      <c r="G2256" s="68"/>
      <c r="H2256" s="70"/>
      <c r="BA2256" s="4"/>
      <c r="BB2256" s="4"/>
    </row>
    <row r="2257" spans="1:54" x14ac:dyDescent="0.3">
      <c r="A2257" s="66"/>
      <c r="B2257" s="67"/>
      <c r="C2257" s="66"/>
      <c r="D2257" s="68"/>
      <c r="E2257" s="10"/>
      <c r="F2257" s="69"/>
      <c r="G2257" s="68"/>
      <c r="H2257" s="70"/>
      <c r="BA2257" s="4"/>
      <c r="BB2257" s="4"/>
    </row>
    <row r="2258" spans="1:54" x14ac:dyDescent="0.3">
      <c r="A2258" s="66"/>
      <c r="B2258" s="67"/>
      <c r="C2258" s="66"/>
      <c r="D2258" s="68"/>
      <c r="E2258" s="10"/>
      <c r="F2258" s="69"/>
      <c r="G2258" s="68"/>
      <c r="H2258" s="70"/>
      <c r="BA2258" s="4"/>
      <c r="BB2258" s="4"/>
    </row>
    <row r="2259" spans="1:54" x14ac:dyDescent="0.3">
      <c r="A2259" s="66"/>
      <c r="B2259" s="67"/>
      <c r="C2259" s="66"/>
      <c r="D2259" s="68"/>
      <c r="E2259" s="10"/>
      <c r="F2259" s="69"/>
      <c r="G2259" s="68"/>
      <c r="H2259" s="70"/>
      <c r="BA2259" s="4"/>
      <c r="BB2259" s="4"/>
    </row>
    <row r="2260" spans="1:54" x14ac:dyDescent="0.3">
      <c r="A2260" s="66"/>
      <c r="B2260" s="67"/>
      <c r="C2260" s="66"/>
      <c r="D2260" s="68"/>
      <c r="E2260" s="10"/>
      <c r="F2260" s="69"/>
      <c r="G2260" s="68"/>
      <c r="H2260" s="70"/>
      <c r="BA2260" s="4"/>
      <c r="BB2260" s="4"/>
    </row>
    <row r="2261" spans="1:54" x14ac:dyDescent="0.3">
      <c r="A2261" s="66"/>
      <c r="B2261" s="67"/>
      <c r="C2261" s="66"/>
      <c r="D2261" s="68"/>
      <c r="E2261" s="10"/>
      <c r="F2261" s="69"/>
      <c r="G2261" s="68"/>
      <c r="H2261" s="70"/>
      <c r="BA2261" s="4"/>
      <c r="BB2261" s="4"/>
    </row>
    <row r="2262" spans="1:54" x14ac:dyDescent="0.3">
      <c r="A2262" s="66"/>
      <c r="B2262" s="67"/>
      <c r="C2262" s="66"/>
      <c r="D2262" s="68"/>
      <c r="E2262" s="10"/>
      <c r="F2262" s="69"/>
      <c r="G2262" s="68"/>
      <c r="H2262" s="70"/>
      <c r="BA2262" s="4"/>
      <c r="BB2262" s="4"/>
    </row>
    <row r="2263" spans="1:54" x14ac:dyDescent="0.3">
      <c r="A2263" s="66"/>
      <c r="B2263" s="67"/>
      <c r="C2263" s="66"/>
      <c r="D2263" s="68"/>
      <c r="E2263" s="10"/>
      <c r="F2263" s="69"/>
      <c r="G2263" s="68"/>
      <c r="H2263" s="70"/>
      <c r="BA2263" s="4"/>
      <c r="BB2263" s="4"/>
    </row>
    <row r="2264" spans="1:54" x14ac:dyDescent="0.3">
      <c r="A2264" s="66"/>
      <c r="B2264" s="67"/>
      <c r="C2264" s="66"/>
      <c r="D2264" s="68"/>
      <c r="E2264" s="10"/>
      <c r="F2264" s="69"/>
      <c r="G2264" s="68"/>
      <c r="H2264" s="70"/>
      <c r="BA2264" s="4"/>
      <c r="BB2264" s="4"/>
    </row>
    <row r="2265" spans="1:54" x14ac:dyDescent="0.3">
      <c r="A2265" s="66"/>
      <c r="B2265" s="67"/>
      <c r="C2265" s="66"/>
      <c r="D2265" s="68"/>
      <c r="E2265" s="10"/>
      <c r="F2265" s="69"/>
      <c r="G2265" s="68"/>
      <c r="H2265" s="70"/>
      <c r="BA2265" s="4"/>
      <c r="BB2265" s="4"/>
    </row>
    <row r="2266" spans="1:54" x14ac:dyDescent="0.3">
      <c r="A2266" s="66"/>
      <c r="B2266" s="67"/>
      <c r="C2266" s="66"/>
      <c r="D2266" s="68"/>
      <c r="E2266" s="10"/>
      <c r="F2266" s="69"/>
      <c r="G2266" s="68"/>
      <c r="H2266" s="70"/>
      <c r="BA2266" s="4"/>
      <c r="BB2266" s="4"/>
    </row>
    <row r="2267" spans="1:54" x14ac:dyDescent="0.3">
      <c r="A2267" s="66"/>
      <c r="B2267" s="67"/>
      <c r="C2267" s="66"/>
      <c r="D2267" s="68"/>
      <c r="E2267" s="10"/>
      <c r="F2267" s="69"/>
      <c r="G2267" s="68"/>
      <c r="H2267" s="70"/>
      <c r="BA2267" s="4"/>
      <c r="BB2267" s="4"/>
    </row>
    <row r="2268" spans="1:54" x14ac:dyDescent="0.3">
      <c r="A2268" s="66"/>
      <c r="B2268" s="67"/>
      <c r="C2268" s="66"/>
      <c r="D2268" s="68"/>
      <c r="E2268" s="10"/>
      <c r="F2268" s="69"/>
      <c r="G2268" s="68"/>
      <c r="H2268" s="70"/>
      <c r="BA2268" s="4"/>
      <c r="BB2268" s="4"/>
    </row>
    <row r="2269" spans="1:54" x14ac:dyDescent="0.3">
      <c r="A2269" s="66"/>
      <c r="B2269" s="67"/>
      <c r="C2269" s="66"/>
      <c r="D2269" s="68"/>
      <c r="E2269" s="10"/>
      <c r="F2269" s="69"/>
      <c r="G2269" s="68"/>
      <c r="H2269" s="70"/>
      <c r="BA2269" s="4"/>
      <c r="BB2269" s="4"/>
    </row>
    <row r="2270" spans="1:54" x14ac:dyDescent="0.3">
      <c r="A2270" s="66"/>
      <c r="B2270" s="67"/>
      <c r="C2270" s="66"/>
      <c r="D2270" s="68"/>
      <c r="E2270" s="10"/>
      <c r="F2270" s="69"/>
      <c r="G2270" s="68"/>
      <c r="H2270" s="70"/>
      <c r="BA2270" s="4"/>
      <c r="BB2270" s="4"/>
    </row>
    <row r="2271" spans="1:54" x14ac:dyDescent="0.3">
      <c r="A2271" s="66"/>
      <c r="B2271" s="67"/>
      <c r="C2271" s="66"/>
      <c r="D2271" s="68"/>
      <c r="E2271" s="10"/>
      <c r="F2271" s="69"/>
      <c r="G2271" s="68"/>
      <c r="H2271" s="70"/>
      <c r="BA2271" s="4"/>
      <c r="BB2271" s="4"/>
    </row>
    <row r="2272" spans="1:54" x14ac:dyDescent="0.3">
      <c r="A2272" s="66"/>
      <c r="B2272" s="67"/>
      <c r="C2272" s="66"/>
      <c r="D2272" s="68"/>
      <c r="E2272" s="10"/>
      <c r="F2272" s="69"/>
      <c r="G2272" s="68"/>
      <c r="H2272" s="70"/>
      <c r="BA2272" s="4"/>
      <c r="BB2272" s="4"/>
    </row>
    <row r="2273" spans="1:54" x14ac:dyDescent="0.3">
      <c r="A2273" s="66"/>
      <c r="B2273" s="67"/>
      <c r="C2273" s="66"/>
      <c r="D2273" s="68"/>
      <c r="E2273" s="10"/>
      <c r="F2273" s="69"/>
      <c r="G2273" s="68"/>
      <c r="H2273" s="70"/>
      <c r="BA2273" s="4"/>
      <c r="BB2273" s="4"/>
    </row>
    <row r="2274" spans="1:54" x14ac:dyDescent="0.3">
      <c r="A2274" s="66"/>
      <c r="B2274" s="67"/>
      <c r="C2274" s="66"/>
      <c r="D2274" s="68"/>
      <c r="E2274" s="10"/>
      <c r="F2274" s="69"/>
      <c r="G2274" s="68"/>
      <c r="H2274" s="70"/>
      <c r="BA2274" s="4"/>
      <c r="BB2274" s="4"/>
    </row>
    <row r="2275" spans="1:54" x14ac:dyDescent="0.3">
      <c r="A2275" s="66"/>
      <c r="B2275" s="67"/>
      <c r="C2275" s="66"/>
      <c r="D2275" s="68"/>
      <c r="E2275" s="10"/>
      <c r="F2275" s="69"/>
      <c r="G2275" s="68"/>
      <c r="H2275" s="70"/>
      <c r="BA2275" s="4"/>
      <c r="BB2275" s="4"/>
    </row>
    <row r="2276" spans="1:54" x14ac:dyDescent="0.3">
      <c r="A2276" s="66"/>
      <c r="B2276" s="67"/>
      <c r="C2276" s="66"/>
      <c r="D2276" s="68"/>
      <c r="E2276" s="10"/>
      <c r="F2276" s="69"/>
      <c r="G2276" s="68"/>
      <c r="H2276" s="70"/>
      <c r="BA2276" s="4"/>
      <c r="BB2276" s="4"/>
    </row>
    <row r="2277" spans="1:54" x14ac:dyDescent="0.3">
      <c r="A2277" s="66"/>
      <c r="B2277" s="67"/>
      <c r="C2277" s="66"/>
      <c r="D2277" s="68"/>
      <c r="E2277" s="10"/>
      <c r="F2277" s="69"/>
      <c r="G2277" s="68"/>
      <c r="H2277" s="70"/>
      <c r="BA2277" s="4"/>
      <c r="BB2277" s="4"/>
    </row>
    <row r="2278" spans="1:54" x14ac:dyDescent="0.3">
      <c r="A2278" s="66"/>
      <c r="B2278" s="67"/>
      <c r="C2278" s="66"/>
      <c r="D2278" s="68"/>
      <c r="E2278" s="10"/>
      <c r="F2278" s="69"/>
      <c r="G2278" s="68"/>
      <c r="H2278" s="70"/>
      <c r="BA2278" s="4"/>
      <c r="BB2278" s="4"/>
    </row>
    <row r="2279" spans="1:54" x14ac:dyDescent="0.3">
      <c r="A2279" s="66"/>
      <c r="B2279" s="67"/>
      <c r="C2279" s="66"/>
      <c r="D2279" s="68"/>
      <c r="E2279" s="10"/>
      <c r="F2279" s="69"/>
      <c r="G2279" s="68"/>
      <c r="H2279" s="70"/>
      <c r="BA2279" s="4"/>
      <c r="BB2279" s="4"/>
    </row>
    <row r="2280" spans="1:54" x14ac:dyDescent="0.3">
      <c r="A2280" s="66"/>
      <c r="B2280" s="67"/>
      <c r="C2280" s="66"/>
      <c r="D2280" s="68"/>
      <c r="E2280" s="10"/>
      <c r="F2280" s="69"/>
      <c r="G2280" s="68"/>
      <c r="H2280" s="70"/>
      <c r="BA2280" s="4"/>
      <c r="BB2280" s="4"/>
    </row>
    <row r="2281" spans="1:54" x14ac:dyDescent="0.3">
      <c r="A2281" s="66"/>
      <c r="B2281" s="67"/>
      <c r="C2281" s="66"/>
      <c r="D2281" s="68"/>
      <c r="E2281" s="10"/>
      <c r="F2281" s="69"/>
      <c r="G2281" s="68"/>
      <c r="H2281" s="70"/>
      <c r="BA2281" s="4"/>
      <c r="BB2281" s="4"/>
    </row>
    <row r="2282" spans="1:54" x14ac:dyDescent="0.3">
      <c r="A2282" s="66"/>
      <c r="B2282" s="67"/>
      <c r="C2282" s="66"/>
      <c r="D2282" s="68"/>
      <c r="E2282" s="10"/>
      <c r="F2282" s="69"/>
      <c r="G2282" s="68"/>
      <c r="H2282" s="70"/>
      <c r="BA2282" s="4"/>
      <c r="BB2282" s="4"/>
    </row>
    <row r="2283" spans="1:54" x14ac:dyDescent="0.3">
      <c r="A2283" s="66"/>
      <c r="B2283" s="67"/>
      <c r="C2283" s="66"/>
      <c r="D2283" s="68"/>
      <c r="E2283" s="10"/>
      <c r="F2283" s="69"/>
      <c r="G2283" s="68"/>
      <c r="H2283" s="70"/>
      <c r="BA2283" s="4"/>
      <c r="BB2283" s="4"/>
    </row>
    <row r="2284" spans="1:54" x14ac:dyDescent="0.3">
      <c r="A2284" s="66"/>
      <c r="B2284" s="67"/>
      <c r="C2284" s="66"/>
      <c r="D2284" s="68"/>
      <c r="E2284" s="10"/>
      <c r="F2284" s="69"/>
      <c r="G2284" s="68"/>
      <c r="H2284" s="70"/>
      <c r="BA2284" s="4"/>
      <c r="BB2284" s="4"/>
    </row>
    <row r="2285" spans="1:54" x14ac:dyDescent="0.3">
      <c r="A2285" s="66"/>
      <c r="B2285" s="67"/>
      <c r="C2285" s="66"/>
      <c r="D2285" s="68"/>
      <c r="E2285" s="10"/>
      <c r="F2285" s="69"/>
      <c r="G2285" s="68"/>
      <c r="H2285" s="70"/>
      <c r="BA2285" s="4"/>
      <c r="BB2285" s="4"/>
    </row>
    <row r="2286" spans="1:54" x14ac:dyDescent="0.3">
      <c r="A2286" s="66"/>
      <c r="B2286" s="67"/>
      <c r="C2286" s="66"/>
      <c r="D2286" s="68"/>
      <c r="E2286" s="10"/>
      <c r="F2286" s="69"/>
      <c r="G2286" s="68"/>
      <c r="H2286" s="70"/>
      <c r="BA2286" s="4"/>
      <c r="BB2286" s="4"/>
    </row>
    <row r="2287" spans="1:54" x14ac:dyDescent="0.3">
      <c r="A2287" s="66"/>
      <c r="B2287" s="67"/>
      <c r="C2287" s="66"/>
      <c r="D2287" s="68"/>
      <c r="E2287" s="10"/>
      <c r="F2287" s="69"/>
      <c r="G2287" s="68"/>
      <c r="H2287" s="70"/>
      <c r="BA2287" s="4"/>
      <c r="BB2287" s="4"/>
    </row>
    <row r="2288" spans="1:54" x14ac:dyDescent="0.3">
      <c r="A2288" s="66"/>
      <c r="B2288" s="67"/>
      <c r="C2288" s="66"/>
      <c r="D2288" s="68"/>
      <c r="E2288" s="10"/>
      <c r="F2288" s="69"/>
      <c r="G2288" s="68"/>
      <c r="H2288" s="70"/>
      <c r="BA2288" s="4"/>
      <c r="BB2288" s="4"/>
    </row>
    <row r="2289" spans="1:54" x14ac:dyDescent="0.3">
      <c r="A2289" s="66"/>
      <c r="B2289" s="67"/>
      <c r="C2289" s="66"/>
      <c r="D2289" s="68"/>
      <c r="E2289" s="10"/>
      <c r="F2289" s="69"/>
      <c r="G2289" s="68"/>
      <c r="H2289" s="70"/>
      <c r="BA2289" s="4"/>
      <c r="BB2289" s="4"/>
    </row>
    <row r="2290" spans="1:54" x14ac:dyDescent="0.3">
      <c r="A2290" s="66"/>
      <c r="B2290" s="67"/>
      <c r="C2290" s="66"/>
      <c r="D2290" s="68"/>
      <c r="E2290" s="10"/>
      <c r="F2290" s="69"/>
      <c r="G2290" s="68"/>
      <c r="H2290" s="70"/>
      <c r="BA2290" s="4"/>
      <c r="BB2290" s="4"/>
    </row>
    <row r="2291" spans="1:54" x14ac:dyDescent="0.3">
      <c r="A2291" s="66"/>
      <c r="B2291" s="67"/>
      <c r="C2291" s="66"/>
      <c r="D2291" s="68"/>
      <c r="E2291" s="10"/>
      <c r="F2291" s="69"/>
      <c r="G2291" s="68"/>
      <c r="H2291" s="70"/>
      <c r="BA2291" s="4"/>
      <c r="BB2291" s="4"/>
    </row>
    <row r="2292" spans="1:54" x14ac:dyDescent="0.3">
      <c r="A2292" s="66"/>
      <c r="B2292" s="67"/>
      <c r="C2292" s="66"/>
      <c r="D2292" s="68"/>
      <c r="E2292" s="10"/>
      <c r="F2292" s="69"/>
      <c r="G2292" s="68"/>
      <c r="H2292" s="70"/>
      <c r="BA2292" s="4"/>
      <c r="BB2292" s="4"/>
    </row>
    <row r="2293" spans="1:54" x14ac:dyDescent="0.3">
      <c r="A2293" s="66"/>
      <c r="B2293" s="67"/>
      <c r="C2293" s="66"/>
      <c r="D2293" s="68"/>
      <c r="E2293" s="10"/>
      <c r="F2293" s="69"/>
      <c r="G2293" s="68"/>
      <c r="H2293" s="70"/>
      <c r="BA2293" s="4"/>
      <c r="BB2293" s="4"/>
    </row>
    <row r="2294" spans="1:54" x14ac:dyDescent="0.3">
      <c r="A2294" s="66"/>
      <c r="B2294" s="67"/>
      <c r="C2294" s="66"/>
      <c r="D2294" s="68"/>
      <c r="E2294" s="10"/>
      <c r="F2294" s="69"/>
      <c r="G2294" s="68"/>
      <c r="H2294" s="70"/>
      <c r="BA2294" s="4"/>
      <c r="BB2294" s="4"/>
    </row>
    <row r="2295" spans="1:54" x14ac:dyDescent="0.3">
      <c r="A2295" s="66"/>
      <c r="B2295" s="67"/>
      <c r="C2295" s="66"/>
      <c r="D2295" s="68"/>
      <c r="E2295" s="10"/>
      <c r="F2295" s="69"/>
      <c r="G2295" s="68"/>
      <c r="H2295" s="70"/>
      <c r="BA2295" s="4"/>
      <c r="BB2295" s="4"/>
    </row>
    <row r="2296" spans="1:54" x14ac:dyDescent="0.3">
      <c r="A2296" s="66"/>
      <c r="B2296" s="67"/>
      <c r="C2296" s="66"/>
      <c r="D2296" s="68"/>
      <c r="E2296" s="10"/>
      <c r="F2296" s="69"/>
      <c r="G2296" s="68"/>
      <c r="H2296" s="70"/>
      <c r="BA2296" s="4"/>
      <c r="BB2296" s="4"/>
    </row>
    <row r="2297" spans="1:54" x14ac:dyDescent="0.3">
      <c r="A2297" s="66"/>
      <c r="B2297" s="67"/>
      <c r="C2297" s="66"/>
      <c r="D2297" s="68"/>
      <c r="E2297" s="10"/>
      <c r="F2297" s="69"/>
      <c r="G2297" s="68"/>
      <c r="H2297" s="70"/>
      <c r="BA2297" s="4"/>
      <c r="BB2297" s="4"/>
    </row>
    <row r="2298" spans="1:54" x14ac:dyDescent="0.3">
      <c r="A2298" s="66"/>
      <c r="B2298" s="67"/>
      <c r="C2298" s="66"/>
      <c r="D2298" s="68"/>
      <c r="E2298" s="10"/>
      <c r="F2298" s="69"/>
      <c r="G2298" s="68"/>
      <c r="H2298" s="70"/>
      <c r="BA2298" s="4"/>
      <c r="BB2298" s="4"/>
    </row>
    <row r="2299" spans="1:54" x14ac:dyDescent="0.3">
      <c r="A2299" s="66"/>
      <c r="B2299" s="67"/>
      <c r="C2299" s="66"/>
      <c r="D2299" s="68"/>
      <c r="E2299" s="10"/>
      <c r="F2299" s="69"/>
      <c r="G2299" s="68"/>
      <c r="H2299" s="70"/>
      <c r="BA2299" s="4"/>
      <c r="BB2299" s="4"/>
    </row>
    <row r="2300" spans="1:54" x14ac:dyDescent="0.3">
      <c r="A2300" s="66"/>
      <c r="B2300" s="67"/>
      <c r="C2300" s="66"/>
      <c r="D2300" s="68"/>
      <c r="E2300" s="10"/>
      <c r="F2300" s="69"/>
      <c r="G2300" s="68"/>
      <c r="H2300" s="70"/>
      <c r="BA2300" s="4"/>
      <c r="BB2300" s="4"/>
    </row>
    <row r="2301" spans="1:54" x14ac:dyDescent="0.3">
      <c r="A2301" s="66"/>
      <c r="B2301" s="67"/>
      <c r="C2301" s="66"/>
      <c r="D2301" s="68"/>
      <c r="E2301" s="10"/>
      <c r="F2301" s="69"/>
      <c r="G2301" s="68"/>
      <c r="H2301" s="70"/>
      <c r="BA2301" s="4"/>
      <c r="BB2301" s="4"/>
    </row>
    <row r="2302" spans="1:54" x14ac:dyDescent="0.3">
      <c r="A2302" s="66"/>
      <c r="B2302" s="67"/>
      <c r="C2302" s="66"/>
      <c r="D2302" s="68"/>
      <c r="E2302" s="10"/>
      <c r="F2302" s="69"/>
      <c r="G2302" s="68"/>
      <c r="H2302" s="70"/>
      <c r="BA2302" s="4"/>
      <c r="BB2302" s="4"/>
    </row>
    <row r="2303" spans="1:54" x14ac:dyDescent="0.3">
      <c r="A2303" s="66"/>
      <c r="B2303" s="67"/>
      <c r="C2303" s="66"/>
      <c r="D2303" s="68"/>
      <c r="E2303" s="10"/>
      <c r="F2303" s="69"/>
      <c r="G2303" s="68"/>
      <c r="H2303" s="70"/>
      <c r="BA2303" s="4"/>
      <c r="BB2303" s="4"/>
    </row>
    <row r="2304" spans="1:54" x14ac:dyDescent="0.3">
      <c r="A2304" s="66"/>
      <c r="B2304" s="67"/>
      <c r="C2304" s="66"/>
      <c r="D2304" s="68"/>
      <c r="E2304" s="10"/>
      <c r="F2304" s="69"/>
      <c r="G2304" s="68"/>
      <c r="H2304" s="70"/>
      <c r="BA2304" s="4"/>
      <c r="BB2304" s="4"/>
    </row>
    <row r="2305" spans="1:54" x14ac:dyDescent="0.3">
      <c r="A2305" s="66"/>
      <c r="B2305" s="67"/>
      <c r="C2305" s="66"/>
      <c r="D2305" s="68"/>
      <c r="E2305" s="10"/>
      <c r="F2305" s="69"/>
      <c r="G2305" s="68"/>
      <c r="H2305" s="70"/>
      <c r="BA2305" s="4"/>
      <c r="BB2305" s="4"/>
    </row>
    <row r="2306" spans="1:54" x14ac:dyDescent="0.3">
      <c r="A2306" s="66"/>
      <c r="B2306" s="67"/>
      <c r="C2306" s="66"/>
      <c r="D2306" s="68"/>
      <c r="E2306" s="10"/>
      <c r="F2306" s="69"/>
      <c r="G2306" s="68"/>
      <c r="H2306" s="70"/>
      <c r="BA2306" s="4"/>
      <c r="BB2306" s="4"/>
    </row>
    <row r="2307" spans="1:54" x14ac:dyDescent="0.3">
      <c r="A2307" s="66"/>
      <c r="B2307" s="67"/>
      <c r="C2307" s="66"/>
      <c r="D2307" s="68"/>
      <c r="E2307" s="10"/>
      <c r="F2307" s="69"/>
      <c r="G2307" s="68"/>
      <c r="H2307" s="70"/>
      <c r="BA2307" s="4"/>
      <c r="BB2307" s="4"/>
    </row>
    <row r="2308" spans="1:54" x14ac:dyDescent="0.3">
      <c r="A2308" s="66"/>
      <c r="B2308" s="67"/>
      <c r="C2308" s="66"/>
      <c r="D2308" s="68"/>
      <c r="E2308" s="10"/>
      <c r="F2308" s="69"/>
      <c r="G2308" s="68"/>
      <c r="H2308" s="70"/>
      <c r="BA2308" s="4"/>
      <c r="BB2308" s="4"/>
    </row>
    <row r="2309" spans="1:54" x14ac:dyDescent="0.3">
      <c r="A2309" s="66"/>
      <c r="B2309" s="67"/>
      <c r="C2309" s="66"/>
      <c r="D2309" s="68"/>
      <c r="E2309" s="10"/>
      <c r="F2309" s="69"/>
      <c r="G2309" s="68"/>
      <c r="H2309" s="70"/>
      <c r="BA2309" s="4"/>
      <c r="BB2309" s="4"/>
    </row>
    <row r="2310" spans="1:54" x14ac:dyDescent="0.3">
      <c r="A2310" s="66"/>
      <c r="B2310" s="67"/>
      <c r="C2310" s="66"/>
      <c r="D2310" s="68"/>
      <c r="E2310" s="10"/>
      <c r="F2310" s="69"/>
      <c r="G2310" s="68"/>
      <c r="H2310" s="70"/>
      <c r="BA2310" s="4"/>
      <c r="BB2310" s="4"/>
    </row>
    <row r="2311" spans="1:54" x14ac:dyDescent="0.3">
      <c r="A2311" s="66"/>
      <c r="B2311" s="67"/>
      <c r="C2311" s="66"/>
      <c r="D2311" s="68"/>
      <c r="E2311" s="10"/>
      <c r="F2311" s="69"/>
      <c r="G2311" s="68"/>
      <c r="H2311" s="70"/>
      <c r="BA2311" s="4"/>
      <c r="BB2311" s="4"/>
    </row>
    <row r="2312" spans="1:54" x14ac:dyDescent="0.3">
      <c r="A2312" s="66"/>
      <c r="B2312" s="67"/>
      <c r="C2312" s="66"/>
      <c r="D2312" s="68"/>
      <c r="E2312" s="10"/>
      <c r="F2312" s="69"/>
      <c r="G2312" s="68"/>
      <c r="H2312" s="70"/>
      <c r="BA2312" s="4"/>
      <c r="BB2312" s="4"/>
    </row>
    <row r="2313" spans="1:54" x14ac:dyDescent="0.3">
      <c r="A2313" s="66"/>
      <c r="B2313" s="67"/>
      <c r="C2313" s="66"/>
      <c r="D2313" s="68"/>
      <c r="E2313" s="10"/>
      <c r="F2313" s="69"/>
      <c r="G2313" s="68"/>
      <c r="H2313" s="70"/>
      <c r="BA2313" s="4"/>
      <c r="BB2313" s="4"/>
    </row>
    <row r="2314" spans="1:54" x14ac:dyDescent="0.3">
      <c r="A2314" s="66"/>
      <c r="B2314" s="67"/>
      <c r="C2314" s="66"/>
      <c r="D2314" s="68"/>
      <c r="E2314" s="10"/>
      <c r="F2314" s="69"/>
      <c r="G2314" s="68"/>
      <c r="H2314" s="70"/>
      <c r="BA2314" s="4"/>
      <c r="BB2314" s="4"/>
    </row>
    <row r="2315" spans="1:54" x14ac:dyDescent="0.3">
      <c r="A2315" s="66"/>
      <c r="B2315" s="67"/>
      <c r="C2315" s="66"/>
      <c r="D2315" s="68"/>
      <c r="E2315" s="10"/>
      <c r="F2315" s="69"/>
      <c r="G2315" s="68"/>
      <c r="H2315" s="70"/>
      <c r="BA2315" s="4"/>
      <c r="BB2315" s="4"/>
    </row>
    <row r="2316" spans="1:54" x14ac:dyDescent="0.3">
      <c r="A2316" s="66"/>
      <c r="B2316" s="67"/>
      <c r="C2316" s="66"/>
      <c r="D2316" s="68"/>
      <c r="E2316" s="10"/>
      <c r="F2316" s="69"/>
      <c r="G2316" s="68"/>
      <c r="H2316" s="70"/>
      <c r="BA2316" s="4"/>
      <c r="BB2316" s="4"/>
    </row>
    <row r="2317" spans="1:54" x14ac:dyDescent="0.3">
      <c r="A2317" s="66"/>
      <c r="B2317" s="67"/>
      <c r="C2317" s="66"/>
      <c r="D2317" s="68"/>
      <c r="E2317" s="10"/>
      <c r="F2317" s="69"/>
      <c r="G2317" s="68"/>
      <c r="H2317" s="70"/>
      <c r="BA2317" s="4"/>
      <c r="BB2317" s="4"/>
    </row>
    <row r="2318" spans="1:54" x14ac:dyDescent="0.3">
      <c r="A2318" s="66"/>
      <c r="B2318" s="67"/>
      <c r="C2318" s="66"/>
      <c r="D2318" s="68"/>
      <c r="E2318" s="10"/>
      <c r="F2318" s="69"/>
      <c r="G2318" s="68"/>
      <c r="H2318" s="70"/>
      <c r="BA2318" s="4"/>
      <c r="BB2318" s="4"/>
    </row>
    <row r="2319" spans="1:54" x14ac:dyDescent="0.3">
      <c r="A2319" s="66"/>
      <c r="B2319" s="67"/>
      <c r="C2319" s="66"/>
      <c r="D2319" s="68"/>
      <c r="E2319" s="10"/>
      <c r="F2319" s="69"/>
      <c r="G2319" s="68"/>
      <c r="H2319" s="70"/>
      <c r="BA2319" s="4"/>
      <c r="BB2319" s="4"/>
    </row>
    <row r="2320" spans="1:54" x14ac:dyDescent="0.3">
      <c r="A2320" s="66"/>
      <c r="B2320" s="67"/>
      <c r="C2320" s="66"/>
      <c r="D2320" s="68"/>
      <c r="E2320" s="10"/>
      <c r="F2320" s="69"/>
      <c r="G2320" s="68"/>
      <c r="H2320" s="70"/>
      <c r="BA2320" s="4"/>
      <c r="BB2320" s="4"/>
    </row>
    <row r="2321" spans="1:54" x14ac:dyDescent="0.3">
      <c r="A2321" s="66"/>
      <c r="B2321" s="67"/>
      <c r="C2321" s="66"/>
      <c r="D2321" s="68"/>
      <c r="E2321" s="10"/>
      <c r="F2321" s="69"/>
      <c r="G2321" s="68"/>
      <c r="H2321" s="70"/>
      <c r="BA2321" s="4"/>
      <c r="BB2321" s="4"/>
    </row>
    <row r="2322" spans="1:54" x14ac:dyDescent="0.3">
      <c r="A2322" s="66"/>
      <c r="B2322" s="67"/>
      <c r="C2322" s="66"/>
      <c r="D2322" s="68"/>
      <c r="E2322" s="10"/>
      <c r="F2322" s="69"/>
      <c r="G2322" s="68"/>
      <c r="H2322" s="70"/>
      <c r="BA2322" s="4"/>
      <c r="BB2322" s="4"/>
    </row>
    <row r="2323" spans="1:54" x14ac:dyDescent="0.3">
      <c r="A2323" s="66"/>
      <c r="B2323" s="67"/>
      <c r="C2323" s="66"/>
      <c r="D2323" s="68"/>
      <c r="E2323" s="10"/>
      <c r="F2323" s="69"/>
      <c r="G2323" s="68"/>
      <c r="H2323" s="70"/>
      <c r="BA2323" s="4"/>
      <c r="BB2323" s="4"/>
    </row>
    <row r="2324" spans="1:54" x14ac:dyDescent="0.3">
      <c r="A2324" s="66"/>
      <c r="B2324" s="67"/>
      <c r="C2324" s="66"/>
      <c r="D2324" s="68"/>
      <c r="E2324" s="10"/>
      <c r="F2324" s="69"/>
      <c r="G2324" s="68"/>
      <c r="H2324" s="70"/>
      <c r="BA2324" s="4"/>
      <c r="BB2324" s="4"/>
    </row>
    <row r="2325" spans="1:54" x14ac:dyDescent="0.3">
      <c r="A2325" s="66"/>
      <c r="B2325" s="67"/>
      <c r="C2325" s="66"/>
      <c r="D2325" s="68"/>
      <c r="E2325" s="10"/>
      <c r="F2325" s="69"/>
      <c r="G2325" s="68"/>
      <c r="H2325" s="70"/>
      <c r="BA2325" s="4"/>
      <c r="BB2325" s="4"/>
    </row>
    <row r="2326" spans="1:54" x14ac:dyDescent="0.3">
      <c r="A2326" s="66"/>
      <c r="B2326" s="67"/>
      <c r="C2326" s="66"/>
      <c r="D2326" s="68"/>
      <c r="E2326" s="10"/>
      <c r="F2326" s="69"/>
      <c r="G2326" s="68"/>
      <c r="H2326" s="70"/>
      <c r="BA2326" s="4"/>
      <c r="BB2326" s="4"/>
    </row>
    <row r="2327" spans="1:54" x14ac:dyDescent="0.3">
      <c r="A2327" s="66"/>
      <c r="B2327" s="67"/>
      <c r="C2327" s="66"/>
      <c r="D2327" s="68"/>
      <c r="E2327" s="10"/>
      <c r="F2327" s="69"/>
      <c r="G2327" s="68"/>
      <c r="H2327" s="70"/>
      <c r="BA2327" s="4"/>
      <c r="BB2327" s="4"/>
    </row>
    <row r="2328" spans="1:54" x14ac:dyDescent="0.3">
      <c r="A2328" s="66"/>
      <c r="B2328" s="67"/>
      <c r="C2328" s="66"/>
      <c r="D2328" s="68"/>
      <c r="E2328" s="10"/>
      <c r="F2328" s="69"/>
      <c r="G2328" s="68"/>
      <c r="H2328" s="70"/>
      <c r="BA2328" s="4"/>
      <c r="BB2328" s="4"/>
    </row>
    <row r="2329" spans="1:54" x14ac:dyDescent="0.3">
      <c r="A2329" s="66"/>
      <c r="B2329" s="67"/>
      <c r="C2329" s="66"/>
      <c r="D2329" s="68"/>
      <c r="E2329" s="10"/>
      <c r="F2329" s="69"/>
      <c r="G2329" s="68"/>
      <c r="H2329" s="70"/>
      <c r="BA2329" s="4"/>
      <c r="BB2329" s="4"/>
    </row>
    <row r="2330" spans="1:54" x14ac:dyDescent="0.3">
      <c r="A2330" s="66"/>
      <c r="B2330" s="67"/>
      <c r="C2330" s="66"/>
      <c r="D2330" s="68"/>
      <c r="E2330" s="10"/>
      <c r="F2330" s="69"/>
      <c r="G2330" s="68"/>
      <c r="H2330" s="70"/>
      <c r="BA2330" s="4"/>
      <c r="BB2330" s="4"/>
    </row>
    <row r="2331" spans="1:54" x14ac:dyDescent="0.3">
      <c r="A2331" s="66"/>
      <c r="B2331" s="67"/>
      <c r="C2331" s="66"/>
      <c r="D2331" s="68"/>
      <c r="E2331" s="10"/>
      <c r="F2331" s="69"/>
      <c r="G2331" s="68"/>
      <c r="H2331" s="70"/>
      <c r="BA2331" s="4"/>
      <c r="BB2331" s="4"/>
    </row>
    <row r="2332" spans="1:54" x14ac:dyDescent="0.3">
      <c r="A2332" s="66"/>
      <c r="B2332" s="67"/>
      <c r="C2332" s="66"/>
      <c r="D2332" s="68"/>
      <c r="E2332" s="10"/>
      <c r="F2332" s="69"/>
      <c r="G2332" s="68"/>
      <c r="H2332" s="70"/>
      <c r="BA2332" s="4"/>
      <c r="BB2332" s="4"/>
    </row>
    <row r="2333" spans="1:54" x14ac:dyDescent="0.3">
      <c r="A2333" s="66"/>
      <c r="B2333" s="67"/>
      <c r="C2333" s="66"/>
      <c r="D2333" s="68"/>
      <c r="E2333" s="10"/>
      <c r="F2333" s="69"/>
      <c r="G2333" s="68"/>
      <c r="H2333" s="70"/>
      <c r="BA2333" s="4"/>
      <c r="BB2333" s="4"/>
    </row>
    <row r="2334" spans="1:54" x14ac:dyDescent="0.3">
      <c r="A2334" s="66"/>
      <c r="B2334" s="67"/>
      <c r="C2334" s="66"/>
      <c r="D2334" s="68"/>
      <c r="E2334" s="10"/>
      <c r="F2334" s="69"/>
      <c r="G2334" s="68"/>
      <c r="H2334" s="70"/>
      <c r="BA2334" s="4"/>
      <c r="BB2334" s="4"/>
    </row>
    <row r="2335" spans="1:54" x14ac:dyDescent="0.3">
      <c r="A2335" s="66"/>
      <c r="B2335" s="67"/>
      <c r="C2335" s="66"/>
      <c r="D2335" s="68"/>
      <c r="E2335" s="10"/>
      <c r="F2335" s="69"/>
      <c r="G2335" s="68"/>
      <c r="H2335" s="70"/>
      <c r="BA2335" s="4"/>
      <c r="BB2335" s="4"/>
    </row>
    <row r="2336" spans="1:54" x14ac:dyDescent="0.3">
      <c r="A2336" s="66"/>
      <c r="B2336" s="67"/>
      <c r="C2336" s="66"/>
      <c r="D2336" s="68"/>
      <c r="E2336" s="10"/>
      <c r="F2336" s="69"/>
      <c r="G2336" s="68"/>
      <c r="H2336" s="70"/>
      <c r="BA2336" s="4"/>
      <c r="BB2336" s="4"/>
    </row>
    <row r="2337" spans="1:54" x14ac:dyDescent="0.3">
      <c r="A2337" s="66"/>
      <c r="B2337" s="67"/>
      <c r="C2337" s="66"/>
      <c r="D2337" s="68"/>
      <c r="E2337" s="10"/>
      <c r="F2337" s="69"/>
      <c r="G2337" s="68"/>
      <c r="H2337" s="70"/>
      <c r="BA2337" s="4"/>
      <c r="BB2337" s="4"/>
    </row>
    <row r="2338" spans="1:54" x14ac:dyDescent="0.3">
      <c r="A2338" s="66"/>
      <c r="B2338" s="67"/>
      <c r="C2338" s="66"/>
      <c r="D2338" s="68"/>
      <c r="E2338" s="10"/>
      <c r="F2338" s="69"/>
      <c r="G2338" s="68"/>
      <c r="H2338" s="70"/>
      <c r="BA2338" s="4"/>
      <c r="BB2338" s="4"/>
    </row>
    <row r="2339" spans="1:54" x14ac:dyDescent="0.3">
      <c r="A2339" s="66"/>
      <c r="B2339" s="67"/>
      <c r="C2339" s="66"/>
      <c r="D2339" s="68"/>
      <c r="E2339" s="10"/>
      <c r="F2339" s="69"/>
      <c r="G2339" s="68"/>
      <c r="H2339" s="70"/>
      <c r="BA2339" s="4"/>
      <c r="BB2339" s="4"/>
    </row>
    <row r="2340" spans="1:54" x14ac:dyDescent="0.3">
      <c r="A2340" s="66"/>
      <c r="B2340" s="67"/>
      <c r="C2340" s="66"/>
      <c r="D2340" s="68"/>
      <c r="E2340" s="10"/>
      <c r="F2340" s="69"/>
      <c r="G2340" s="68"/>
      <c r="H2340" s="70"/>
      <c r="BA2340" s="4"/>
      <c r="BB2340" s="4"/>
    </row>
    <row r="2341" spans="1:54" x14ac:dyDescent="0.3">
      <c r="A2341" s="66"/>
      <c r="B2341" s="67"/>
      <c r="C2341" s="66"/>
      <c r="D2341" s="68"/>
      <c r="E2341" s="10"/>
      <c r="F2341" s="69"/>
      <c r="G2341" s="68"/>
      <c r="H2341" s="70"/>
      <c r="BA2341" s="4"/>
      <c r="BB2341" s="4"/>
    </row>
    <row r="2342" spans="1:54" x14ac:dyDescent="0.3">
      <c r="A2342" s="66"/>
      <c r="B2342" s="67"/>
      <c r="C2342" s="66"/>
      <c r="D2342" s="68"/>
      <c r="E2342" s="10"/>
      <c r="F2342" s="69"/>
      <c r="G2342" s="68"/>
      <c r="H2342" s="70"/>
      <c r="BA2342" s="4"/>
      <c r="BB2342" s="4"/>
    </row>
    <row r="2343" spans="1:54" x14ac:dyDescent="0.3">
      <c r="A2343" s="66"/>
      <c r="B2343" s="67"/>
      <c r="C2343" s="66"/>
      <c r="D2343" s="68"/>
      <c r="E2343" s="10"/>
      <c r="F2343" s="69"/>
      <c r="G2343" s="68"/>
      <c r="H2343" s="70"/>
      <c r="BA2343" s="4"/>
      <c r="BB2343" s="4"/>
    </row>
    <row r="2344" spans="1:54" x14ac:dyDescent="0.3">
      <c r="A2344" s="66"/>
      <c r="B2344" s="67"/>
      <c r="C2344" s="66"/>
      <c r="D2344" s="68"/>
      <c r="E2344" s="10"/>
      <c r="F2344" s="69"/>
      <c r="G2344" s="68"/>
      <c r="H2344" s="70"/>
      <c r="BA2344" s="4"/>
      <c r="BB2344" s="4"/>
    </row>
    <row r="2345" spans="1:54" x14ac:dyDescent="0.3">
      <c r="A2345" s="66"/>
      <c r="B2345" s="67"/>
      <c r="C2345" s="66"/>
      <c r="D2345" s="68"/>
      <c r="E2345" s="10"/>
      <c r="F2345" s="69"/>
      <c r="G2345" s="68"/>
      <c r="H2345" s="70"/>
      <c r="BA2345" s="4"/>
      <c r="BB2345" s="4"/>
    </row>
    <row r="2346" spans="1:54" x14ac:dyDescent="0.3">
      <c r="A2346" s="66"/>
      <c r="B2346" s="67"/>
      <c r="C2346" s="66"/>
      <c r="D2346" s="68"/>
      <c r="E2346" s="10"/>
      <c r="F2346" s="69"/>
      <c r="G2346" s="68"/>
      <c r="H2346" s="70"/>
      <c r="BA2346" s="4"/>
      <c r="BB2346" s="4"/>
    </row>
    <row r="2347" spans="1:54" x14ac:dyDescent="0.3">
      <c r="A2347" s="66"/>
      <c r="B2347" s="67"/>
      <c r="C2347" s="66"/>
      <c r="D2347" s="68"/>
      <c r="E2347" s="10"/>
      <c r="F2347" s="69"/>
      <c r="G2347" s="68"/>
      <c r="H2347" s="70"/>
      <c r="BA2347" s="4"/>
      <c r="BB2347" s="4"/>
    </row>
    <row r="2348" spans="1:54" x14ac:dyDescent="0.3">
      <c r="A2348" s="66"/>
      <c r="B2348" s="67"/>
      <c r="C2348" s="66"/>
      <c r="D2348" s="68"/>
      <c r="E2348" s="10"/>
      <c r="F2348" s="69"/>
      <c r="G2348" s="68"/>
      <c r="H2348" s="70"/>
      <c r="BA2348" s="4"/>
      <c r="BB2348" s="4"/>
    </row>
    <row r="2349" spans="1:54" x14ac:dyDescent="0.3">
      <c r="A2349" s="66"/>
      <c r="B2349" s="67"/>
      <c r="C2349" s="66"/>
      <c r="D2349" s="68"/>
      <c r="E2349" s="10"/>
      <c r="F2349" s="69"/>
      <c r="G2349" s="68"/>
      <c r="H2349" s="70"/>
      <c r="BA2349" s="4"/>
      <c r="BB2349" s="4"/>
    </row>
    <row r="2350" spans="1:54" x14ac:dyDescent="0.3">
      <c r="A2350" s="66"/>
      <c r="B2350" s="67"/>
      <c r="C2350" s="66"/>
      <c r="D2350" s="68"/>
      <c r="E2350" s="10"/>
      <c r="F2350" s="69"/>
      <c r="G2350" s="68"/>
      <c r="H2350" s="70"/>
      <c r="BA2350" s="4"/>
      <c r="BB2350" s="4"/>
    </row>
    <row r="2351" spans="1:54" x14ac:dyDescent="0.3">
      <c r="A2351" s="66"/>
      <c r="B2351" s="67"/>
      <c r="C2351" s="66"/>
      <c r="D2351" s="68"/>
      <c r="E2351" s="10"/>
      <c r="F2351" s="69"/>
      <c r="G2351" s="68"/>
      <c r="H2351" s="70"/>
      <c r="BA2351" s="4"/>
      <c r="BB2351" s="4"/>
    </row>
    <row r="2352" spans="1:54" x14ac:dyDescent="0.3">
      <c r="A2352" s="66"/>
      <c r="B2352" s="67"/>
      <c r="C2352" s="66"/>
      <c r="D2352" s="68"/>
      <c r="E2352" s="10"/>
      <c r="F2352" s="69"/>
      <c r="G2352" s="68"/>
      <c r="H2352" s="70"/>
      <c r="BA2352" s="4"/>
      <c r="BB2352" s="4"/>
    </row>
    <row r="2353" spans="1:54" x14ac:dyDescent="0.3">
      <c r="A2353" s="66"/>
      <c r="B2353" s="67"/>
      <c r="C2353" s="66"/>
      <c r="D2353" s="68"/>
      <c r="E2353" s="10"/>
      <c r="F2353" s="69"/>
      <c r="G2353" s="68"/>
      <c r="H2353" s="70"/>
      <c r="BA2353" s="4"/>
      <c r="BB2353" s="4"/>
    </row>
    <row r="2354" spans="1:54" x14ac:dyDescent="0.3">
      <c r="A2354" s="66"/>
      <c r="B2354" s="67"/>
      <c r="C2354" s="66"/>
      <c r="D2354" s="68"/>
      <c r="E2354" s="10"/>
      <c r="F2354" s="69"/>
      <c r="G2354" s="68"/>
      <c r="H2354" s="70"/>
      <c r="BA2354" s="4"/>
      <c r="BB2354" s="4"/>
    </row>
    <row r="2355" spans="1:54" x14ac:dyDescent="0.3">
      <c r="A2355" s="66"/>
      <c r="B2355" s="67"/>
      <c r="C2355" s="66"/>
      <c r="D2355" s="68"/>
      <c r="E2355" s="10"/>
      <c r="F2355" s="69"/>
      <c r="G2355" s="68"/>
      <c r="H2355" s="70"/>
      <c r="BA2355" s="4"/>
      <c r="BB2355" s="4"/>
    </row>
    <row r="2356" spans="1:54" x14ac:dyDescent="0.3">
      <c r="A2356" s="66"/>
      <c r="B2356" s="67"/>
      <c r="C2356" s="66"/>
      <c r="D2356" s="68"/>
      <c r="E2356" s="10"/>
      <c r="F2356" s="69"/>
      <c r="G2356" s="68"/>
      <c r="H2356" s="70"/>
      <c r="BA2356" s="4"/>
      <c r="BB2356" s="4"/>
    </row>
    <row r="2357" spans="1:54" x14ac:dyDescent="0.3">
      <c r="A2357" s="66"/>
      <c r="B2357" s="67"/>
      <c r="C2357" s="66"/>
      <c r="D2357" s="68"/>
      <c r="E2357" s="10"/>
      <c r="F2357" s="69"/>
      <c r="G2357" s="68"/>
      <c r="H2357" s="70"/>
      <c r="BA2357" s="4"/>
      <c r="BB2357" s="4"/>
    </row>
    <row r="2358" spans="1:54" x14ac:dyDescent="0.3">
      <c r="A2358" s="66"/>
      <c r="B2358" s="67"/>
      <c r="C2358" s="66"/>
      <c r="D2358" s="68"/>
      <c r="E2358" s="10"/>
      <c r="F2358" s="69"/>
      <c r="G2358" s="68"/>
      <c r="H2358" s="70"/>
      <c r="BA2358" s="4"/>
      <c r="BB2358" s="4"/>
    </row>
    <row r="2359" spans="1:54" x14ac:dyDescent="0.3">
      <c r="A2359" s="66"/>
      <c r="B2359" s="67"/>
      <c r="C2359" s="66"/>
      <c r="D2359" s="68"/>
      <c r="E2359" s="10"/>
      <c r="F2359" s="69"/>
      <c r="G2359" s="68"/>
      <c r="H2359" s="70"/>
      <c r="BA2359" s="4"/>
      <c r="BB2359" s="4"/>
    </row>
    <row r="2360" spans="1:54" x14ac:dyDescent="0.3">
      <c r="A2360" s="66"/>
      <c r="B2360" s="67"/>
      <c r="C2360" s="66"/>
      <c r="D2360" s="68"/>
      <c r="E2360" s="10"/>
      <c r="F2360" s="69"/>
      <c r="G2360" s="68"/>
      <c r="H2360" s="70"/>
      <c r="BA2360" s="4"/>
      <c r="BB2360" s="4"/>
    </row>
    <row r="2361" spans="1:54" x14ac:dyDescent="0.3">
      <c r="A2361" s="66"/>
      <c r="B2361" s="67"/>
      <c r="C2361" s="66"/>
      <c r="D2361" s="68"/>
      <c r="E2361" s="10"/>
      <c r="F2361" s="69"/>
      <c r="G2361" s="68"/>
      <c r="H2361" s="70"/>
      <c r="BA2361" s="4"/>
      <c r="BB2361" s="4"/>
    </row>
    <row r="2362" spans="1:54" x14ac:dyDescent="0.3">
      <c r="A2362" s="66"/>
      <c r="B2362" s="67"/>
      <c r="C2362" s="66"/>
      <c r="D2362" s="68"/>
      <c r="E2362" s="10"/>
      <c r="F2362" s="69"/>
      <c r="G2362" s="68"/>
      <c r="H2362" s="70"/>
      <c r="BA2362" s="4"/>
      <c r="BB2362" s="4"/>
    </row>
    <row r="2363" spans="1:54" x14ac:dyDescent="0.3">
      <c r="A2363" s="66"/>
      <c r="B2363" s="67"/>
      <c r="C2363" s="66"/>
      <c r="D2363" s="68"/>
      <c r="E2363" s="10"/>
      <c r="F2363" s="69"/>
      <c r="G2363" s="68"/>
      <c r="H2363" s="70"/>
      <c r="BA2363" s="4"/>
      <c r="BB2363" s="4"/>
    </row>
    <row r="2364" spans="1:54" x14ac:dyDescent="0.3">
      <c r="A2364" s="66"/>
      <c r="B2364" s="67"/>
      <c r="C2364" s="66"/>
      <c r="D2364" s="68"/>
      <c r="E2364" s="10"/>
      <c r="F2364" s="69"/>
      <c r="G2364" s="68"/>
      <c r="H2364" s="70"/>
      <c r="BA2364" s="4"/>
      <c r="BB2364" s="4"/>
    </row>
    <row r="2365" spans="1:54" x14ac:dyDescent="0.3">
      <c r="A2365" s="66"/>
      <c r="B2365" s="67"/>
      <c r="C2365" s="66"/>
      <c r="D2365" s="68"/>
      <c r="E2365" s="10"/>
      <c r="F2365" s="69"/>
      <c r="G2365" s="68"/>
      <c r="H2365" s="70"/>
      <c r="BA2365" s="4"/>
      <c r="BB2365" s="4"/>
    </row>
    <row r="2366" spans="1:54" x14ac:dyDescent="0.3">
      <c r="A2366" s="66"/>
      <c r="B2366" s="67"/>
      <c r="C2366" s="66"/>
      <c r="D2366" s="68"/>
      <c r="E2366" s="10"/>
      <c r="F2366" s="69"/>
      <c r="G2366" s="68"/>
      <c r="H2366" s="70"/>
      <c r="BA2366" s="4"/>
      <c r="BB2366" s="4"/>
    </row>
    <row r="2367" spans="1:54" x14ac:dyDescent="0.3">
      <c r="A2367" s="66"/>
      <c r="B2367" s="67"/>
      <c r="C2367" s="66"/>
      <c r="D2367" s="68"/>
      <c r="E2367" s="10"/>
      <c r="F2367" s="69"/>
      <c r="G2367" s="68"/>
      <c r="H2367" s="70"/>
      <c r="BA2367" s="4"/>
      <c r="BB2367" s="4"/>
    </row>
    <row r="2368" spans="1:54" x14ac:dyDescent="0.3">
      <c r="A2368" s="66"/>
      <c r="B2368" s="67"/>
      <c r="C2368" s="66"/>
      <c r="D2368" s="68"/>
      <c r="E2368" s="10"/>
      <c r="F2368" s="69"/>
      <c r="G2368" s="68"/>
      <c r="H2368" s="70"/>
      <c r="BA2368" s="4"/>
      <c r="BB2368" s="4"/>
    </row>
    <row r="2369" spans="1:54" x14ac:dyDescent="0.3">
      <c r="A2369" s="66"/>
      <c r="B2369" s="67"/>
      <c r="C2369" s="66"/>
      <c r="D2369" s="68"/>
      <c r="E2369" s="10"/>
      <c r="F2369" s="69"/>
      <c r="G2369" s="68"/>
      <c r="H2369" s="70"/>
      <c r="BA2369" s="4"/>
      <c r="BB2369" s="4"/>
    </row>
    <row r="2370" spans="1:54" x14ac:dyDescent="0.3">
      <c r="A2370" s="66"/>
      <c r="B2370" s="67"/>
      <c r="C2370" s="66"/>
      <c r="D2370" s="68"/>
      <c r="E2370" s="10"/>
      <c r="F2370" s="69"/>
      <c r="G2370" s="68"/>
      <c r="H2370" s="70"/>
      <c r="BA2370" s="4"/>
      <c r="BB2370" s="4"/>
    </row>
    <row r="2371" spans="1:54" x14ac:dyDescent="0.3">
      <c r="A2371" s="66"/>
      <c r="B2371" s="67"/>
      <c r="C2371" s="66"/>
      <c r="D2371" s="68"/>
      <c r="E2371" s="10"/>
      <c r="F2371" s="69"/>
      <c r="G2371" s="68"/>
      <c r="H2371" s="70"/>
      <c r="BA2371" s="4"/>
      <c r="BB2371" s="4"/>
    </row>
    <row r="2372" spans="1:54" x14ac:dyDescent="0.3">
      <c r="A2372" s="66"/>
      <c r="B2372" s="67"/>
      <c r="C2372" s="66"/>
      <c r="D2372" s="68"/>
      <c r="E2372" s="10"/>
      <c r="F2372" s="69"/>
      <c r="G2372" s="68"/>
      <c r="H2372" s="70"/>
      <c r="BA2372" s="4"/>
      <c r="BB2372" s="4"/>
    </row>
    <row r="2373" spans="1:54" x14ac:dyDescent="0.3">
      <c r="A2373" s="66"/>
      <c r="B2373" s="67"/>
      <c r="C2373" s="66"/>
      <c r="D2373" s="68"/>
      <c r="E2373" s="10"/>
      <c r="F2373" s="69"/>
      <c r="G2373" s="68"/>
      <c r="H2373" s="70"/>
      <c r="BA2373" s="4"/>
      <c r="BB2373" s="4"/>
    </row>
    <row r="2374" spans="1:54" x14ac:dyDescent="0.3">
      <c r="A2374" s="66"/>
      <c r="B2374" s="67"/>
      <c r="C2374" s="66"/>
      <c r="D2374" s="68"/>
      <c r="E2374" s="10"/>
      <c r="F2374" s="69"/>
      <c r="G2374" s="68"/>
      <c r="H2374" s="70"/>
      <c r="BA2374" s="4"/>
      <c r="BB2374" s="4"/>
    </row>
    <row r="2375" spans="1:54" x14ac:dyDescent="0.3">
      <c r="A2375" s="66"/>
      <c r="B2375" s="67"/>
      <c r="C2375" s="66"/>
      <c r="D2375" s="68"/>
      <c r="E2375" s="10"/>
      <c r="F2375" s="69"/>
      <c r="G2375" s="68"/>
      <c r="H2375" s="70"/>
      <c r="BA2375" s="4"/>
      <c r="BB2375" s="4"/>
    </row>
    <row r="2376" spans="1:54" x14ac:dyDescent="0.3">
      <c r="A2376" s="66"/>
      <c r="B2376" s="67"/>
      <c r="C2376" s="66"/>
      <c r="D2376" s="68"/>
      <c r="E2376" s="10"/>
      <c r="F2376" s="69"/>
      <c r="G2376" s="68"/>
      <c r="H2376" s="70"/>
      <c r="BA2376" s="4"/>
      <c r="BB2376" s="4"/>
    </row>
    <row r="2377" spans="1:54" x14ac:dyDescent="0.3">
      <c r="A2377" s="66"/>
      <c r="B2377" s="67"/>
      <c r="C2377" s="66"/>
      <c r="D2377" s="68"/>
      <c r="E2377" s="10"/>
      <c r="F2377" s="69"/>
      <c r="G2377" s="68"/>
      <c r="H2377" s="70"/>
      <c r="BA2377" s="4"/>
      <c r="BB2377" s="4"/>
    </row>
    <row r="2378" spans="1:54" x14ac:dyDescent="0.3">
      <c r="A2378" s="66"/>
      <c r="B2378" s="67"/>
      <c r="C2378" s="66"/>
      <c r="D2378" s="68"/>
      <c r="E2378" s="10"/>
      <c r="F2378" s="69"/>
      <c r="G2378" s="68"/>
      <c r="H2378" s="70"/>
      <c r="BA2378" s="4"/>
      <c r="BB2378" s="4"/>
    </row>
    <row r="2379" spans="1:54" x14ac:dyDescent="0.3">
      <c r="A2379" s="66"/>
      <c r="B2379" s="67"/>
      <c r="C2379" s="66"/>
      <c r="D2379" s="68"/>
      <c r="E2379" s="10"/>
      <c r="F2379" s="69"/>
      <c r="G2379" s="68"/>
      <c r="H2379" s="70"/>
      <c r="BA2379" s="4"/>
      <c r="BB2379" s="4"/>
    </row>
    <row r="2380" spans="1:54" x14ac:dyDescent="0.3">
      <c r="A2380" s="66"/>
      <c r="B2380" s="67"/>
      <c r="C2380" s="66"/>
      <c r="D2380" s="68"/>
      <c r="E2380" s="10"/>
      <c r="F2380" s="69"/>
      <c r="G2380" s="68"/>
      <c r="H2380" s="70"/>
      <c r="BA2380" s="4"/>
      <c r="BB2380" s="4"/>
    </row>
    <row r="2381" spans="1:54" x14ac:dyDescent="0.3">
      <c r="A2381" s="66"/>
      <c r="B2381" s="67"/>
      <c r="C2381" s="66"/>
      <c r="D2381" s="68"/>
      <c r="E2381" s="10"/>
      <c r="F2381" s="69"/>
      <c r="G2381" s="68"/>
      <c r="H2381" s="70"/>
      <c r="BA2381" s="4"/>
      <c r="BB2381" s="4"/>
    </row>
    <row r="2382" spans="1:54" x14ac:dyDescent="0.3">
      <c r="A2382" s="66"/>
      <c r="B2382" s="67"/>
      <c r="C2382" s="66"/>
      <c r="D2382" s="68"/>
      <c r="E2382" s="10"/>
      <c r="F2382" s="69"/>
      <c r="G2382" s="68"/>
      <c r="H2382" s="70"/>
      <c r="BA2382" s="4"/>
      <c r="BB2382" s="4"/>
    </row>
    <row r="2383" spans="1:54" x14ac:dyDescent="0.3">
      <c r="A2383" s="66"/>
      <c r="B2383" s="67"/>
      <c r="C2383" s="66"/>
      <c r="D2383" s="68"/>
      <c r="E2383" s="10"/>
      <c r="F2383" s="69"/>
      <c r="G2383" s="68"/>
      <c r="H2383" s="70"/>
      <c r="BA2383" s="4"/>
      <c r="BB2383" s="4"/>
    </row>
    <row r="2384" spans="1:54" x14ac:dyDescent="0.3">
      <c r="A2384" s="66"/>
      <c r="B2384" s="67"/>
      <c r="C2384" s="66"/>
      <c r="D2384" s="68"/>
      <c r="E2384" s="10"/>
      <c r="F2384" s="69"/>
      <c r="G2384" s="68"/>
      <c r="H2384" s="70"/>
      <c r="BA2384" s="4"/>
      <c r="BB2384" s="4"/>
    </row>
    <row r="2385" spans="1:54" x14ac:dyDescent="0.3">
      <c r="A2385" s="66"/>
      <c r="B2385" s="67"/>
      <c r="C2385" s="66"/>
      <c r="D2385" s="68"/>
      <c r="E2385" s="10"/>
      <c r="F2385" s="69"/>
      <c r="G2385" s="68"/>
      <c r="H2385" s="70"/>
      <c r="BA2385" s="4"/>
      <c r="BB2385" s="4"/>
    </row>
    <row r="2386" spans="1:54" x14ac:dyDescent="0.3">
      <c r="A2386" s="66"/>
      <c r="B2386" s="67"/>
      <c r="C2386" s="66"/>
      <c r="D2386" s="68"/>
      <c r="E2386" s="10"/>
      <c r="F2386" s="69"/>
      <c r="G2386" s="68"/>
      <c r="H2386" s="70"/>
      <c r="BA2386" s="4"/>
      <c r="BB2386" s="4"/>
    </row>
    <row r="2387" spans="1:54" x14ac:dyDescent="0.3">
      <c r="A2387" s="66"/>
      <c r="B2387" s="67"/>
      <c r="C2387" s="66"/>
      <c r="D2387" s="68"/>
      <c r="E2387" s="10"/>
      <c r="F2387" s="69"/>
      <c r="G2387" s="68"/>
      <c r="H2387" s="70"/>
      <c r="BA2387" s="4"/>
      <c r="BB2387" s="4"/>
    </row>
    <row r="2388" spans="1:54" x14ac:dyDescent="0.3">
      <c r="A2388" s="66"/>
      <c r="B2388" s="67"/>
      <c r="C2388" s="66"/>
      <c r="D2388" s="68"/>
      <c r="E2388" s="10"/>
      <c r="F2388" s="69"/>
      <c r="G2388" s="68"/>
      <c r="H2388" s="70"/>
      <c r="BA2388" s="4"/>
      <c r="BB2388" s="4"/>
    </row>
    <row r="2389" spans="1:54" x14ac:dyDescent="0.3">
      <c r="A2389" s="66"/>
      <c r="B2389" s="67"/>
      <c r="C2389" s="66"/>
      <c r="D2389" s="68"/>
      <c r="E2389" s="10"/>
      <c r="F2389" s="69"/>
      <c r="G2389" s="68"/>
      <c r="H2389" s="70"/>
      <c r="BA2389" s="4"/>
      <c r="BB2389" s="4"/>
    </row>
    <row r="2390" spans="1:54" x14ac:dyDescent="0.3">
      <c r="A2390" s="66"/>
      <c r="B2390" s="67"/>
      <c r="C2390" s="66"/>
      <c r="D2390" s="68"/>
      <c r="E2390" s="10"/>
      <c r="F2390" s="69"/>
      <c r="G2390" s="68"/>
      <c r="H2390" s="70"/>
      <c r="BA2390" s="4"/>
      <c r="BB2390" s="4"/>
    </row>
    <row r="2391" spans="1:54" x14ac:dyDescent="0.3">
      <c r="A2391" s="66"/>
      <c r="B2391" s="67"/>
      <c r="C2391" s="66"/>
      <c r="D2391" s="68"/>
      <c r="E2391" s="10"/>
      <c r="F2391" s="69"/>
      <c r="G2391" s="68"/>
      <c r="H2391" s="70"/>
      <c r="BA2391" s="4"/>
      <c r="BB2391" s="4"/>
    </row>
    <row r="2392" spans="1:54" x14ac:dyDescent="0.3">
      <c r="A2392" s="66"/>
      <c r="B2392" s="67"/>
      <c r="C2392" s="66"/>
      <c r="D2392" s="68"/>
      <c r="E2392" s="10"/>
      <c r="F2392" s="69"/>
      <c r="G2392" s="68"/>
      <c r="H2392" s="70"/>
      <c r="BA2392" s="4"/>
      <c r="BB2392" s="4"/>
    </row>
    <row r="2393" spans="1:54" x14ac:dyDescent="0.3">
      <c r="A2393" s="66"/>
      <c r="B2393" s="67"/>
      <c r="C2393" s="66"/>
      <c r="D2393" s="68"/>
      <c r="E2393" s="10"/>
      <c r="F2393" s="69"/>
      <c r="G2393" s="68"/>
      <c r="H2393" s="70"/>
      <c r="BA2393" s="4"/>
      <c r="BB2393" s="4"/>
    </row>
    <row r="2394" spans="1:54" x14ac:dyDescent="0.3">
      <c r="A2394" s="66"/>
      <c r="B2394" s="67"/>
      <c r="C2394" s="66"/>
      <c r="D2394" s="68"/>
      <c r="E2394" s="10"/>
      <c r="F2394" s="69"/>
      <c r="G2394" s="68"/>
      <c r="H2394" s="70"/>
      <c r="BA2394" s="4"/>
      <c r="BB2394" s="4"/>
    </row>
    <row r="2395" spans="1:54" x14ac:dyDescent="0.3">
      <c r="A2395" s="66"/>
      <c r="B2395" s="67"/>
      <c r="C2395" s="66"/>
      <c r="D2395" s="68"/>
      <c r="E2395" s="10"/>
      <c r="F2395" s="69"/>
      <c r="G2395" s="68"/>
      <c r="H2395" s="70"/>
      <c r="BA2395" s="4"/>
      <c r="BB2395" s="4"/>
    </row>
    <row r="2396" spans="1:54" x14ac:dyDescent="0.3">
      <c r="A2396" s="66"/>
      <c r="B2396" s="67"/>
      <c r="C2396" s="66"/>
      <c r="D2396" s="68"/>
      <c r="E2396" s="10"/>
      <c r="F2396" s="69"/>
      <c r="G2396" s="68"/>
      <c r="H2396" s="70"/>
      <c r="BA2396" s="4"/>
      <c r="BB2396" s="4"/>
    </row>
    <row r="2397" spans="1:54" x14ac:dyDescent="0.3">
      <c r="A2397" s="66"/>
      <c r="B2397" s="67"/>
      <c r="C2397" s="66"/>
      <c r="D2397" s="68"/>
      <c r="E2397" s="10"/>
      <c r="F2397" s="69"/>
      <c r="G2397" s="68"/>
      <c r="H2397" s="70"/>
      <c r="BA2397" s="4"/>
      <c r="BB2397" s="4"/>
    </row>
    <row r="2398" spans="1:54" x14ac:dyDescent="0.3">
      <c r="A2398" s="66"/>
      <c r="B2398" s="67"/>
      <c r="C2398" s="66"/>
      <c r="D2398" s="68"/>
      <c r="E2398" s="10"/>
      <c r="F2398" s="69"/>
      <c r="G2398" s="68"/>
      <c r="H2398" s="70"/>
      <c r="BA2398" s="4"/>
      <c r="BB2398" s="4"/>
    </row>
    <row r="2399" spans="1:54" x14ac:dyDescent="0.3">
      <c r="A2399" s="66"/>
      <c r="B2399" s="67"/>
      <c r="C2399" s="66"/>
      <c r="D2399" s="68"/>
      <c r="E2399" s="10"/>
      <c r="F2399" s="69"/>
      <c r="G2399" s="68"/>
      <c r="H2399" s="70"/>
      <c r="BA2399" s="4"/>
      <c r="BB2399" s="4"/>
    </row>
    <row r="2400" spans="1:54" x14ac:dyDescent="0.3">
      <c r="A2400" s="66"/>
      <c r="B2400" s="67"/>
      <c r="C2400" s="66"/>
      <c r="D2400" s="68"/>
      <c r="E2400" s="10"/>
      <c r="F2400" s="69"/>
      <c r="G2400" s="68"/>
      <c r="H2400" s="70"/>
      <c r="BA2400" s="4"/>
      <c r="BB2400" s="4"/>
    </row>
    <row r="2401" spans="1:54" x14ac:dyDescent="0.3">
      <c r="A2401" s="66"/>
      <c r="B2401" s="67"/>
      <c r="C2401" s="66"/>
      <c r="D2401" s="68"/>
      <c r="E2401" s="10"/>
      <c r="F2401" s="69"/>
      <c r="G2401" s="68"/>
      <c r="H2401" s="70"/>
      <c r="BA2401" s="4"/>
      <c r="BB2401" s="4"/>
    </row>
    <row r="2402" spans="1:54" x14ac:dyDescent="0.3">
      <c r="A2402" s="66"/>
      <c r="B2402" s="67"/>
      <c r="C2402" s="66"/>
      <c r="D2402" s="68"/>
      <c r="E2402" s="10"/>
      <c r="F2402" s="69"/>
      <c r="G2402" s="68"/>
      <c r="H2402" s="70"/>
      <c r="BA2402" s="4"/>
      <c r="BB2402" s="4"/>
    </row>
    <row r="2403" spans="1:54" x14ac:dyDescent="0.3">
      <c r="A2403" s="66"/>
      <c r="B2403" s="67"/>
      <c r="C2403" s="66"/>
      <c r="D2403" s="68"/>
      <c r="E2403" s="10"/>
      <c r="F2403" s="69"/>
      <c r="G2403" s="68"/>
      <c r="H2403" s="70"/>
      <c r="BA2403" s="4"/>
      <c r="BB2403" s="4"/>
    </row>
    <row r="2404" spans="1:54" x14ac:dyDescent="0.3">
      <c r="A2404" s="66"/>
      <c r="B2404" s="67"/>
      <c r="C2404" s="66"/>
      <c r="D2404" s="68"/>
      <c r="E2404" s="10"/>
      <c r="F2404" s="69"/>
      <c r="G2404" s="68"/>
      <c r="H2404" s="70"/>
      <c r="BA2404" s="4"/>
      <c r="BB2404" s="4"/>
    </row>
    <row r="2405" spans="1:54" x14ac:dyDescent="0.3">
      <c r="A2405" s="66"/>
      <c r="B2405" s="67"/>
      <c r="C2405" s="66"/>
      <c r="D2405" s="68"/>
      <c r="E2405" s="10"/>
      <c r="F2405" s="69"/>
      <c r="G2405" s="68"/>
      <c r="H2405" s="70"/>
      <c r="BA2405" s="4"/>
      <c r="BB2405" s="4"/>
    </row>
    <row r="2406" spans="1:54" x14ac:dyDescent="0.3">
      <c r="A2406" s="66"/>
      <c r="B2406" s="67"/>
      <c r="C2406" s="66"/>
      <c r="D2406" s="68"/>
      <c r="E2406" s="10"/>
      <c r="F2406" s="69"/>
      <c r="G2406" s="68"/>
      <c r="H2406" s="70"/>
      <c r="BA2406" s="4"/>
      <c r="BB2406" s="4"/>
    </row>
    <row r="2407" spans="1:54" x14ac:dyDescent="0.3">
      <c r="A2407" s="66"/>
      <c r="B2407" s="67"/>
      <c r="C2407" s="66"/>
      <c r="D2407" s="68"/>
      <c r="E2407" s="10"/>
      <c r="F2407" s="69"/>
      <c r="G2407" s="68"/>
      <c r="H2407" s="70"/>
      <c r="BA2407" s="4"/>
      <c r="BB2407" s="4"/>
    </row>
    <row r="2408" spans="1:54" x14ac:dyDescent="0.3">
      <c r="A2408" s="66"/>
      <c r="B2408" s="67"/>
      <c r="C2408" s="66"/>
      <c r="D2408" s="68"/>
      <c r="E2408" s="10"/>
      <c r="F2408" s="69"/>
      <c r="G2408" s="68"/>
      <c r="H2408" s="70"/>
      <c r="BA2408" s="4"/>
      <c r="BB2408" s="4"/>
    </row>
    <row r="2409" spans="1:54" x14ac:dyDescent="0.3">
      <c r="A2409" s="66"/>
      <c r="B2409" s="67"/>
      <c r="C2409" s="66"/>
      <c r="D2409" s="68"/>
      <c r="E2409" s="10"/>
      <c r="F2409" s="69"/>
      <c r="G2409" s="68"/>
      <c r="H2409" s="70"/>
      <c r="BA2409" s="4"/>
      <c r="BB2409" s="4"/>
    </row>
    <row r="2410" spans="1:54" x14ac:dyDescent="0.3">
      <c r="A2410" s="66"/>
      <c r="B2410" s="67"/>
      <c r="C2410" s="66"/>
      <c r="D2410" s="68"/>
      <c r="E2410" s="10"/>
      <c r="F2410" s="69"/>
      <c r="G2410" s="68"/>
      <c r="H2410" s="70"/>
      <c r="BA2410" s="4"/>
      <c r="BB2410" s="4"/>
    </row>
    <row r="2411" spans="1:54" x14ac:dyDescent="0.3">
      <c r="A2411" s="66"/>
      <c r="B2411" s="67"/>
      <c r="C2411" s="66"/>
      <c r="D2411" s="68"/>
      <c r="E2411" s="10"/>
      <c r="F2411" s="69"/>
      <c r="G2411" s="68"/>
      <c r="H2411" s="70"/>
      <c r="BA2411" s="4"/>
      <c r="BB2411" s="4"/>
    </row>
    <row r="2412" spans="1:54" x14ac:dyDescent="0.3">
      <c r="A2412" s="66"/>
      <c r="B2412" s="67"/>
      <c r="C2412" s="66"/>
      <c r="D2412" s="68"/>
      <c r="E2412" s="10"/>
      <c r="F2412" s="69"/>
      <c r="G2412" s="68"/>
      <c r="H2412" s="70"/>
      <c r="BA2412" s="4"/>
      <c r="BB2412" s="4"/>
    </row>
    <row r="2413" spans="1:54" x14ac:dyDescent="0.3">
      <c r="A2413" s="66"/>
      <c r="B2413" s="67"/>
      <c r="C2413" s="66"/>
      <c r="D2413" s="68"/>
      <c r="E2413" s="10"/>
      <c r="F2413" s="69"/>
      <c r="G2413" s="68"/>
      <c r="H2413" s="70"/>
      <c r="BA2413" s="4"/>
      <c r="BB2413" s="4"/>
    </row>
    <row r="2414" spans="1:54" x14ac:dyDescent="0.3">
      <c r="A2414" s="66"/>
      <c r="B2414" s="67"/>
      <c r="C2414" s="66"/>
      <c r="D2414" s="68"/>
      <c r="E2414" s="10"/>
      <c r="F2414" s="69"/>
      <c r="G2414" s="68"/>
      <c r="H2414" s="70"/>
      <c r="BA2414" s="4"/>
      <c r="BB2414" s="4"/>
    </row>
    <row r="2415" spans="1:54" x14ac:dyDescent="0.3">
      <c r="A2415" s="66"/>
      <c r="B2415" s="67"/>
      <c r="C2415" s="66"/>
      <c r="D2415" s="68"/>
      <c r="E2415" s="10"/>
      <c r="F2415" s="69"/>
      <c r="G2415" s="68"/>
      <c r="H2415" s="70"/>
      <c r="BA2415" s="4"/>
      <c r="BB2415" s="4"/>
    </row>
    <row r="2416" spans="1:54" x14ac:dyDescent="0.3">
      <c r="A2416" s="66"/>
      <c r="B2416" s="67"/>
      <c r="C2416" s="66"/>
      <c r="D2416" s="68"/>
      <c r="E2416" s="10"/>
      <c r="F2416" s="69"/>
      <c r="G2416" s="68"/>
      <c r="H2416" s="70"/>
      <c r="BA2416" s="4"/>
      <c r="BB2416" s="4"/>
    </row>
    <row r="2417" spans="1:54" x14ac:dyDescent="0.3">
      <c r="A2417" s="66"/>
      <c r="B2417" s="67"/>
      <c r="C2417" s="66"/>
      <c r="D2417" s="68"/>
      <c r="E2417" s="10"/>
      <c r="F2417" s="69"/>
      <c r="G2417" s="68"/>
      <c r="H2417" s="70"/>
      <c r="BA2417" s="4"/>
      <c r="BB2417" s="4"/>
    </row>
    <row r="2418" spans="1:54" x14ac:dyDescent="0.3">
      <c r="A2418" s="66"/>
      <c r="B2418" s="67"/>
      <c r="C2418" s="66"/>
      <c r="D2418" s="68"/>
      <c r="E2418" s="10"/>
      <c r="F2418" s="69"/>
      <c r="G2418" s="68"/>
      <c r="H2418" s="70"/>
      <c r="BA2418" s="4"/>
      <c r="BB2418" s="4"/>
    </row>
    <row r="2419" spans="1:54" x14ac:dyDescent="0.3">
      <c r="A2419" s="66"/>
      <c r="B2419" s="67"/>
      <c r="C2419" s="66"/>
      <c r="D2419" s="68"/>
      <c r="E2419" s="10"/>
      <c r="F2419" s="69"/>
      <c r="G2419" s="68"/>
      <c r="H2419" s="70"/>
      <c r="BA2419" s="4"/>
      <c r="BB2419" s="4"/>
    </row>
    <row r="2420" spans="1:54" x14ac:dyDescent="0.3">
      <c r="A2420" s="66"/>
      <c r="B2420" s="67"/>
      <c r="C2420" s="66"/>
      <c r="D2420" s="68"/>
      <c r="E2420" s="10"/>
      <c r="F2420" s="69"/>
      <c r="G2420" s="68"/>
      <c r="H2420" s="70"/>
      <c r="BA2420" s="4"/>
      <c r="BB2420" s="4"/>
    </row>
    <row r="2421" spans="1:54" x14ac:dyDescent="0.3">
      <c r="A2421" s="66"/>
      <c r="B2421" s="67"/>
      <c r="C2421" s="66"/>
      <c r="D2421" s="68"/>
      <c r="E2421" s="10"/>
      <c r="F2421" s="69"/>
      <c r="G2421" s="68"/>
      <c r="H2421" s="70"/>
      <c r="BA2421" s="4"/>
      <c r="BB2421" s="4"/>
    </row>
    <row r="2422" spans="1:54" x14ac:dyDescent="0.3">
      <c r="A2422" s="66"/>
      <c r="B2422" s="67"/>
      <c r="C2422" s="66"/>
      <c r="D2422" s="68"/>
      <c r="E2422" s="10"/>
      <c r="F2422" s="69"/>
      <c r="G2422" s="68"/>
      <c r="H2422" s="70"/>
      <c r="BA2422" s="4"/>
      <c r="BB2422" s="4"/>
    </row>
    <row r="2423" spans="1:54" x14ac:dyDescent="0.3">
      <c r="A2423" s="66"/>
      <c r="B2423" s="67"/>
      <c r="C2423" s="66"/>
      <c r="D2423" s="68"/>
      <c r="E2423" s="10"/>
      <c r="F2423" s="69"/>
      <c r="G2423" s="68"/>
      <c r="H2423" s="70"/>
      <c r="BA2423" s="4"/>
      <c r="BB2423" s="4"/>
    </row>
    <row r="2424" spans="1:54" x14ac:dyDescent="0.3">
      <c r="A2424" s="66"/>
      <c r="B2424" s="67"/>
      <c r="C2424" s="66"/>
      <c r="D2424" s="68"/>
      <c r="E2424" s="10"/>
      <c r="F2424" s="69"/>
      <c r="G2424" s="68"/>
      <c r="H2424" s="70"/>
      <c r="BA2424" s="4"/>
      <c r="BB2424" s="4"/>
    </row>
    <row r="2425" spans="1:54" x14ac:dyDescent="0.3">
      <c r="A2425" s="66"/>
      <c r="B2425" s="67"/>
      <c r="C2425" s="66"/>
      <c r="D2425" s="68"/>
      <c r="E2425" s="10"/>
      <c r="F2425" s="69"/>
      <c r="G2425" s="68"/>
      <c r="H2425" s="70"/>
      <c r="BA2425" s="4"/>
      <c r="BB2425" s="4"/>
    </row>
    <row r="2426" spans="1:54" x14ac:dyDescent="0.3">
      <c r="A2426" s="66"/>
      <c r="B2426" s="67"/>
      <c r="C2426" s="66"/>
      <c r="D2426" s="68"/>
      <c r="E2426" s="10"/>
      <c r="F2426" s="69"/>
      <c r="G2426" s="68"/>
      <c r="H2426" s="70"/>
      <c r="BA2426" s="4"/>
      <c r="BB2426" s="4"/>
    </row>
    <row r="2427" spans="1:54" x14ac:dyDescent="0.3">
      <c r="A2427" s="66"/>
      <c r="B2427" s="67"/>
      <c r="C2427" s="66"/>
      <c r="D2427" s="68"/>
      <c r="E2427" s="10"/>
      <c r="F2427" s="69"/>
      <c r="G2427" s="68"/>
      <c r="H2427" s="70"/>
      <c r="BA2427" s="4"/>
      <c r="BB2427" s="4"/>
    </row>
    <row r="2428" spans="1:54" x14ac:dyDescent="0.3">
      <c r="A2428" s="66"/>
      <c r="B2428" s="67"/>
      <c r="C2428" s="66"/>
      <c r="D2428" s="68"/>
      <c r="E2428" s="10"/>
      <c r="F2428" s="69"/>
      <c r="G2428" s="68"/>
      <c r="H2428" s="70"/>
      <c r="BA2428" s="4"/>
      <c r="BB2428" s="4"/>
    </row>
    <row r="2429" spans="1:54" x14ac:dyDescent="0.3">
      <c r="A2429" s="66"/>
      <c r="B2429" s="67"/>
      <c r="C2429" s="66"/>
      <c r="D2429" s="68"/>
      <c r="E2429" s="10"/>
      <c r="F2429" s="69"/>
      <c r="G2429" s="68"/>
      <c r="H2429" s="70"/>
      <c r="BA2429" s="4"/>
      <c r="BB2429" s="4"/>
    </row>
    <row r="2430" spans="1:54" x14ac:dyDescent="0.3">
      <c r="A2430" s="66"/>
      <c r="B2430" s="67"/>
      <c r="C2430" s="66"/>
      <c r="D2430" s="68"/>
      <c r="E2430" s="10"/>
      <c r="F2430" s="69"/>
      <c r="G2430" s="68"/>
      <c r="H2430" s="70"/>
      <c r="BA2430" s="4"/>
      <c r="BB2430" s="4"/>
    </row>
    <row r="2431" spans="1:54" x14ac:dyDescent="0.3">
      <c r="A2431" s="66"/>
      <c r="B2431" s="67"/>
      <c r="C2431" s="66"/>
      <c r="D2431" s="68"/>
      <c r="E2431" s="10"/>
      <c r="F2431" s="69"/>
      <c r="G2431" s="68"/>
      <c r="H2431" s="70"/>
      <c r="BA2431" s="4"/>
      <c r="BB2431" s="4"/>
    </row>
    <row r="2432" spans="1:54" x14ac:dyDescent="0.3">
      <c r="A2432" s="66"/>
      <c r="B2432" s="67"/>
      <c r="C2432" s="66"/>
      <c r="D2432" s="68"/>
      <c r="E2432" s="10"/>
      <c r="F2432" s="69"/>
      <c r="G2432" s="68"/>
      <c r="H2432" s="70"/>
      <c r="BA2432" s="4"/>
      <c r="BB2432" s="4"/>
    </row>
    <row r="2433" spans="1:54" x14ac:dyDescent="0.3">
      <c r="A2433" s="66"/>
      <c r="B2433" s="67"/>
      <c r="C2433" s="66"/>
      <c r="D2433" s="68"/>
      <c r="E2433" s="10"/>
      <c r="F2433" s="69"/>
      <c r="G2433" s="68"/>
      <c r="H2433" s="70"/>
      <c r="BA2433" s="4"/>
      <c r="BB2433" s="4"/>
    </row>
    <row r="2434" spans="1:54" x14ac:dyDescent="0.3">
      <c r="A2434" s="66"/>
      <c r="B2434" s="67"/>
      <c r="C2434" s="66"/>
      <c r="D2434" s="68"/>
      <c r="E2434" s="10"/>
      <c r="F2434" s="69"/>
      <c r="G2434" s="68"/>
      <c r="H2434" s="70"/>
      <c r="BA2434" s="4"/>
      <c r="BB2434" s="4"/>
    </row>
    <row r="2435" spans="1:54" x14ac:dyDescent="0.3">
      <c r="A2435" s="66"/>
      <c r="B2435" s="67"/>
      <c r="C2435" s="66"/>
      <c r="D2435" s="68"/>
      <c r="E2435" s="10"/>
      <c r="F2435" s="69"/>
      <c r="G2435" s="68"/>
      <c r="H2435" s="70"/>
      <c r="BA2435" s="4"/>
      <c r="BB2435" s="4"/>
    </row>
    <row r="2436" spans="1:54" x14ac:dyDescent="0.3">
      <c r="A2436" s="66"/>
      <c r="B2436" s="67"/>
      <c r="C2436" s="66"/>
      <c r="D2436" s="68"/>
      <c r="E2436" s="10"/>
      <c r="F2436" s="69"/>
      <c r="G2436" s="68"/>
      <c r="H2436" s="70"/>
      <c r="BA2436" s="4"/>
      <c r="BB2436" s="4"/>
    </row>
    <row r="2437" spans="1:54" x14ac:dyDescent="0.3">
      <c r="A2437" s="66"/>
      <c r="B2437" s="67"/>
      <c r="C2437" s="66"/>
      <c r="D2437" s="68"/>
      <c r="E2437" s="10"/>
      <c r="F2437" s="69"/>
      <c r="G2437" s="68"/>
      <c r="H2437" s="70"/>
      <c r="BA2437" s="4"/>
      <c r="BB2437" s="4"/>
    </row>
    <row r="2438" spans="1:54" x14ac:dyDescent="0.3">
      <c r="A2438" s="66"/>
      <c r="B2438" s="67"/>
      <c r="C2438" s="66"/>
      <c r="D2438" s="68"/>
      <c r="E2438" s="10"/>
      <c r="F2438" s="69"/>
      <c r="G2438" s="68"/>
      <c r="H2438" s="70"/>
      <c r="BA2438" s="4"/>
      <c r="BB2438" s="4"/>
    </row>
    <row r="2439" spans="1:54" x14ac:dyDescent="0.3">
      <c r="A2439" s="66"/>
      <c r="B2439" s="67"/>
      <c r="C2439" s="66"/>
      <c r="D2439" s="68"/>
      <c r="E2439" s="10"/>
      <c r="F2439" s="69"/>
      <c r="G2439" s="68"/>
      <c r="H2439" s="70"/>
      <c r="BA2439" s="4"/>
      <c r="BB2439" s="4"/>
    </row>
    <row r="2440" spans="1:54" x14ac:dyDescent="0.3">
      <c r="A2440" s="66"/>
      <c r="B2440" s="67"/>
      <c r="C2440" s="66"/>
      <c r="D2440" s="68"/>
      <c r="E2440" s="10"/>
      <c r="F2440" s="69"/>
      <c r="G2440" s="68"/>
      <c r="H2440" s="70"/>
      <c r="BA2440" s="4"/>
      <c r="BB2440" s="4"/>
    </row>
    <row r="2441" spans="1:54" x14ac:dyDescent="0.3">
      <c r="A2441" s="66"/>
      <c r="B2441" s="67"/>
      <c r="C2441" s="66"/>
      <c r="D2441" s="68"/>
      <c r="E2441" s="10"/>
      <c r="F2441" s="69"/>
      <c r="G2441" s="68"/>
      <c r="H2441" s="70"/>
      <c r="BA2441" s="4"/>
      <c r="BB2441" s="4"/>
    </row>
    <row r="2442" spans="1:54" x14ac:dyDescent="0.3">
      <c r="A2442" s="66"/>
      <c r="B2442" s="67"/>
      <c r="C2442" s="66"/>
      <c r="D2442" s="68"/>
      <c r="E2442" s="10"/>
      <c r="F2442" s="69"/>
      <c r="G2442" s="68"/>
      <c r="H2442" s="70"/>
      <c r="BA2442" s="4"/>
      <c r="BB2442" s="4"/>
    </row>
    <row r="2443" spans="1:54" x14ac:dyDescent="0.3">
      <c r="A2443" s="66"/>
      <c r="B2443" s="67"/>
      <c r="C2443" s="66"/>
      <c r="D2443" s="68"/>
      <c r="E2443" s="10"/>
      <c r="F2443" s="69"/>
      <c r="G2443" s="68"/>
      <c r="H2443" s="70"/>
      <c r="BA2443" s="4"/>
      <c r="BB2443" s="4"/>
    </row>
    <row r="2444" spans="1:54" x14ac:dyDescent="0.3">
      <c r="A2444" s="66"/>
      <c r="B2444" s="67"/>
      <c r="C2444" s="66"/>
      <c r="D2444" s="68"/>
      <c r="E2444" s="10"/>
      <c r="F2444" s="69"/>
      <c r="G2444" s="68"/>
      <c r="H2444" s="70"/>
      <c r="BA2444" s="4"/>
      <c r="BB2444" s="4"/>
    </row>
    <row r="2445" spans="1:54" x14ac:dyDescent="0.3">
      <c r="A2445" s="66"/>
      <c r="B2445" s="67"/>
      <c r="C2445" s="66"/>
      <c r="D2445" s="68"/>
      <c r="E2445" s="10"/>
      <c r="F2445" s="69"/>
      <c r="G2445" s="68"/>
      <c r="H2445" s="70"/>
      <c r="BA2445" s="4"/>
      <c r="BB2445" s="4"/>
    </row>
    <row r="2446" spans="1:54" x14ac:dyDescent="0.3">
      <c r="A2446" s="66"/>
      <c r="B2446" s="67"/>
      <c r="C2446" s="66"/>
      <c r="D2446" s="68"/>
      <c r="E2446" s="10"/>
      <c r="F2446" s="69"/>
      <c r="G2446" s="68"/>
      <c r="H2446" s="70"/>
      <c r="BA2446" s="4"/>
      <c r="BB2446" s="4"/>
    </row>
    <row r="2447" spans="1:54" x14ac:dyDescent="0.3">
      <c r="A2447" s="66"/>
      <c r="B2447" s="67"/>
      <c r="C2447" s="66"/>
      <c r="D2447" s="68"/>
      <c r="E2447" s="10"/>
      <c r="F2447" s="69"/>
      <c r="G2447" s="68"/>
      <c r="H2447" s="70"/>
      <c r="BA2447" s="4"/>
      <c r="BB2447" s="4"/>
    </row>
    <row r="2448" spans="1:54" x14ac:dyDescent="0.3">
      <c r="A2448" s="66"/>
      <c r="B2448" s="67"/>
      <c r="C2448" s="66"/>
      <c r="D2448" s="68"/>
      <c r="E2448" s="10"/>
      <c r="F2448" s="69"/>
      <c r="G2448" s="68"/>
      <c r="H2448" s="70"/>
      <c r="BA2448" s="4"/>
      <c r="BB2448" s="4"/>
    </row>
    <row r="2449" spans="1:54" x14ac:dyDescent="0.3">
      <c r="A2449" s="66"/>
      <c r="B2449" s="67"/>
      <c r="C2449" s="66"/>
      <c r="D2449" s="68"/>
      <c r="E2449" s="10"/>
      <c r="F2449" s="69"/>
      <c r="G2449" s="68"/>
      <c r="H2449" s="70"/>
      <c r="BA2449" s="4"/>
      <c r="BB2449" s="4"/>
    </row>
    <row r="2450" spans="1:54" x14ac:dyDescent="0.3">
      <c r="A2450" s="66"/>
      <c r="B2450" s="67"/>
      <c r="C2450" s="66"/>
      <c r="D2450" s="68"/>
      <c r="E2450" s="10"/>
      <c r="F2450" s="69"/>
      <c r="G2450" s="68"/>
      <c r="H2450" s="70"/>
      <c r="BA2450" s="4"/>
      <c r="BB2450" s="4"/>
    </row>
    <row r="2451" spans="1:54" x14ac:dyDescent="0.3">
      <c r="A2451" s="66"/>
      <c r="B2451" s="67"/>
      <c r="C2451" s="66"/>
      <c r="D2451" s="68"/>
      <c r="E2451" s="10"/>
      <c r="F2451" s="69"/>
      <c r="G2451" s="68"/>
      <c r="H2451" s="70"/>
      <c r="BA2451" s="4"/>
      <c r="BB2451" s="4"/>
    </row>
    <row r="2452" spans="1:54" x14ac:dyDescent="0.3">
      <c r="A2452" s="66"/>
      <c r="B2452" s="67"/>
      <c r="C2452" s="66"/>
      <c r="D2452" s="68"/>
      <c r="E2452" s="10"/>
      <c r="F2452" s="69"/>
      <c r="G2452" s="68"/>
      <c r="H2452" s="70"/>
      <c r="BA2452" s="4"/>
      <c r="BB2452" s="4"/>
    </row>
    <row r="2453" spans="1:54" x14ac:dyDescent="0.3">
      <c r="A2453" s="66"/>
      <c r="B2453" s="67"/>
      <c r="C2453" s="66"/>
      <c r="D2453" s="68"/>
      <c r="E2453" s="10"/>
      <c r="F2453" s="69"/>
      <c r="G2453" s="68"/>
      <c r="H2453" s="70"/>
      <c r="BA2453" s="4"/>
      <c r="BB2453" s="4"/>
    </row>
    <row r="2454" spans="1:54" x14ac:dyDescent="0.3">
      <c r="A2454" s="66"/>
      <c r="B2454" s="67"/>
      <c r="C2454" s="66"/>
      <c r="D2454" s="68"/>
      <c r="E2454" s="10"/>
      <c r="F2454" s="69"/>
      <c r="G2454" s="68"/>
      <c r="H2454" s="70"/>
      <c r="BA2454" s="4"/>
      <c r="BB2454" s="4"/>
    </row>
    <row r="2455" spans="1:54" x14ac:dyDescent="0.3">
      <c r="A2455" s="66"/>
      <c r="B2455" s="67"/>
      <c r="C2455" s="66"/>
      <c r="D2455" s="68"/>
      <c r="E2455" s="10"/>
      <c r="F2455" s="69"/>
      <c r="G2455" s="68"/>
      <c r="H2455" s="70"/>
      <c r="BA2455" s="4"/>
      <c r="BB2455" s="4"/>
    </row>
    <row r="2456" spans="1:54" x14ac:dyDescent="0.3">
      <c r="A2456" s="66"/>
      <c r="B2456" s="67"/>
      <c r="C2456" s="66"/>
      <c r="D2456" s="68"/>
      <c r="E2456" s="10"/>
      <c r="F2456" s="69"/>
      <c r="G2456" s="68"/>
      <c r="H2456" s="70"/>
      <c r="BA2456" s="4"/>
      <c r="BB2456" s="4"/>
    </row>
    <row r="2457" spans="1:54" x14ac:dyDescent="0.3">
      <c r="A2457" s="66"/>
      <c r="B2457" s="67"/>
      <c r="C2457" s="66"/>
      <c r="D2457" s="68"/>
      <c r="E2457" s="10"/>
      <c r="F2457" s="69"/>
      <c r="G2457" s="68"/>
      <c r="H2457" s="70"/>
      <c r="BA2457" s="4"/>
      <c r="BB2457" s="4"/>
    </row>
    <row r="2458" spans="1:54" x14ac:dyDescent="0.3">
      <c r="A2458" s="66"/>
      <c r="B2458" s="67"/>
      <c r="C2458" s="66"/>
      <c r="D2458" s="68"/>
      <c r="E2458" s="10"/>
      <c r="F2458" s="69"/>
      <c r="G2458" s="68"/>
      <c r="H2458" s="70"/>
      <c r="BA2458" s="4"/>
      <c r="BB2458" s="4"/>
    </row>
    <row r="2459" spans="1:54" x14ac:dyDescent="0.3">
      <c r="A2459" s="66"/>
      <c r="B2459" s="67"/>
      <c r="C2459" s="66"/>
      <c r="D2459" s="68"/>
      <c r="E2459" s="10"/>
      <c r="F2459" s="69"/>
      <c r="G2459" s="68"/>
      <c r="H2459" s="70"/>
      <c r="BA2459" s="4"/>
      <c r="BB2459" s="4"/>
    </row>
    <row r="2460" spans="1:54" x14ac:dyDescent="0.3">
      <c r="A2460" s="66"/>
      <c r="B2460" s="67"/>
      <c r="C2460" s="66"/>
      <c r="D2460" s="68"/>
      <c r="E2460" s="10"/>
      <c r="F2460" s="69"/>
      <c r="G2460" s="68"/>
      <c r="H2460" s="70"/>
      <c r="BA2460" s="4"/>
      <c r="BB2460" s="4"/>
    </row>
    <row r="2461" spans="1:54" x14ac:dyDescent="0.3">
      <c r="A2461" s="66"/>
      <c r="B2461" s="67"/>
      <c r="C2461" s="66"/>
      <c r="D2461" s="68"/>
      <c r="E2461" s="10"/>
      <c r="F2461" s="69"/>
      <c r="G2461" s="68"/>
      <c r="H2461" s="70"/>
      <c r="BA2461" s="4"/>
      <c r="BB2461" s="4"/>
    </row>
    <row r="2462" spans="1:54" x14ac:dyDescent="0.3">
      <c r="A2462" s="66"/>
      <c r="B2462" s="67"/>
      <c r="C2462" s="66"/>
      <c r="D2462" s="68"/>
      <c r="E2462" s="10"/>
      <c r="F2462" s="69"/>
      <c r="G2462" s="68"/>
      <c r="H2462" s="70"/>
      <c r="BA2462" s="4"/>
      <c r="BB2462" s="4"/>
    </row>
    <row r="2463" spans="1:54" x14ac:dyDescent="0.3">
      <c r="A2463" s="66"/>
      <c r="B2463" s="67"/>
      <c r="C2463" s="66"/>
      <c r="D2463" s="68"/>
      <c r="E2463" s="10"/>
      <c r="F2463" s="69"/>
      <c r="G2463" s="68"/>
      <c r="H2463" s="70"/>
      <c r="BA2463" s="4"/>
      <c r="BB2463" s="4"/>
    </row>
    <row r="2464" spans="1:54" x14ac:dyDescent="0.3">
      <c r="A2464" s="66"/>
      <c r="B2464" s="67"/>
      <c r="C2464" s="66"/>
      <c r="D2464" s="68"/>
      <c r="E2464" s="10"/>
      <c r="F2464" s="69"/>
      <c r="G2464" s="68"/>
      <c r="H2464" s="70"/>
      <c r="BA2464" s="4"/>
      <c r="BB2464" s="4"/>
    </row>
    <row r="2465" spans="1:54" x14ac:dyDescent="0.3">
      <c r="A2465" s="66"/>
      <c r="B2465" s="67"/>
      <c r="C2465" s="66"/>
      <c r="D2465" s="68"/>
      <c r="E2465" s="10"/>
      <c r="F2465" s="69"/>
      <c r="G2465" s="68"/>
      <c r="H2465" s="70"/>
      <c r="BA2465" s="4"/>
      <c r="BB2465" s="4"/>
    </row>
    <row r="2466" spans="1:54" x14ac:dyDescent="0.3">
      <c r="A2466" s="66"/>
      <c r="B2466" s="67"/>
      <c r="C2466" s="66"/>
      <c r="D2466" s="68"/>
      <c r="E2466" s="10"/>
      <c r="F2466" s="69"/>
      <c r="G2466" s="68"/>
      <c r="H2466" s="70"/>
      <c r="BA2466" s="4"/>
      <c r="BB2466" s="4"/>
    </row>
    <row r="2467" spans="1:54" x14ac:dyDescent="0.3">
      <c r="A2467" s="66"/>
      <c r="B2467" s="67"/>
      <c r="C2467" s="66"/>
      <c r="D2467" s="68"/>
      <c r="E2467" s="10"/>
      <c r="F2467" s="69"/>
      <c r="G2467" s="68"/>
      <c r="H2467" s="70"/>
      <c r="BA2467" s="4"/>
      <c r="BB2467" s="4"/>
    </row>
    <row r="2468" spans="1:54" x14ac:dyDescent="0.3">
      <c r="A2468" s="66"/>
      <c r="B2468" s="67"/>
      <c r="C2468" s="66"/>
      <c r="D2468" s="68"/>
      <c r="E2468" s="10"/>
      <c r="F2468" s="69"/>
      <c r="G2468" s="68"/>
      <c r="H2468" s="70"/>
      <c r="BA2468" s="4"/>
      <c r="BB2468" s="4"/>
    </row>
    <row r="2469" spans="1:54" x14ac:dyDescent="0.3">
      <c r="A2469" s="66"/>
      <c r="B2469" s="67"/>
      <c r="C2469" s="66"/>
      <c r="D2469" s="68"/>
      <c r="E2469" s="10"/>
      <c r="F2469" s="69"/>
      <c r="G2469" s="68"/>
      <c r="H2469" s="70"/>
      <c r="BA2469" s="4"/>
      <c r="BB2469" s="4"/>
    </row>
    <row r="2470" spans="1:54" x14ac:dyDescent="0.3">
      <c r="A2470" s="66"/>
      <c r="B2470" s="67"/>
      <c r="C2470" s="66"/>
      <c r="D2470" s="68"/>
      <c r="E2470" s="10"/>
      <c r="F2470" s="69"/>
      <c r="G2470" s="68"/>
      <c r="H2470" s="70"/>
      <c r="BA2470" s="4"/>
      <c r="BB2470" s="4"/>
    </row>
    <row r="2471" spans="1:54" x14ac:dyDescent="0.3">
      <c r="A2471" s="66"/>
      <c r="B2471" s="67"/>
      <c r="C2471" s="66"/>
      <c r="D2471" s="68"/>
      <c r="E2471" s="10"/>
      <c r="F2471" s="69"/>
      <c r="G2471" s="68"/>
      <c r="H2471" s="70"/>
      <c r="BA2471" s="4"/>
      <c r="BB2471" s="4"/>
    </row>
    <row r="2472" spans="1:54" x14ac:dyDescent="0.3">
      <c r="A2472" s="66"/>
      <c r="B2472" s="67"/>
      <c r="C2472" s="66"/>
      <c r="D2472" s="68"/>
      <c r="E2472" s="10"/>
      <c r="F2472" s="69"/>
      <c r="G2472" s="68"/>
      <c r="H2472" s="70"/>
      <c r="BA2472" s="4"/>
      <c r="BB2472" s="4"/>
    </row>
    <row r="2473" spans="1:54" x14ac:dyDescent="0.3">
      <c r="A2473" s="66"/>
      <c r="B2473" s="67"/>
      <c r="C2473" s="66"/>
      <c r="D2473" s="68"/>
      <c r="E2473" s="10"/>
      <c r="F2473" s="69"/>
      <c r="G2473" s="68"/>
      <c r="H2473" s="70"/>
      <c r="BA2473" s="4"/>
      <c r="BB2473" s="4"/>
    </row>
    <row r="2474" spans="1:54" x14ac:dyDescent="0.3">
      <c r="A2474" s="66"/>
      <c r="B2474" s="67"/>
      <c r="C2474" s="66"/>
      <c r="D2474" s="68"/>
      <c r="E2474" s="10"/>
      <c r="F2474" s="69"/>
      <c r="G2474" s="68"/>
      <c r="H2474" s="70"/>
      <c r="BA2474" s="4"/>
      <c r="BB2474" s="4"/>
    </row>
    <row r="2475" spans="1:54" x14ac:dyDescent="0.3">
      <c r="A2475" s="66"/>
      <c r="B2475" s="67"/>
      <c r="C2475" s="66"/>
      <c r="D2475" s="68"/>
      <c r="E2475" s="10"/>
      <c r="F2475" s="69"/>
      <c r="G2475" s="68"/>
      <c r="H2475" s="70"/>
      <c r="BA2475" s="4"/>
      <c r="BB2475" s="4"/>
    </row>
    <row r="2476" spans="1:54" x14ac:dyDescent="0.3">
      <c r="A2476" s="66"/>
      <c r="B2476" s="67"/>
      <c r="C2476" s="66"/>
      <c r="D2476" s="68"/>
      <c r="E2476" s="10"/>
      <c r="F2476" s="69"/>
      <c r="G2476" s="68"/>
      <c r="H2476" s="70"/>
      <c r="BA2476" s="4"/>
      <c r="BB2476" s="4"/>
    </row>
    <row r="2477" spans="1:54" x14ac:dyDescent="0.3">
      <c r="A2477" s="66"/>
      <c r="B2477" s="67"/>
      <c r="C2477" s="66"/>
      <c r="D2477" s="68"/>
      <c r="E2477" s="10"/>
      <c r="F2477" s="69"/>
      <c r="G2477" s="68"/>
      <c r="H2477" s="70"/>
      <c r="BA2477" s="4"/>
      <c r="BB2477" s="4"/>
    </row>
    <row r="2478" spans="1:54" x14ac:dyDescent="0.3">
      <c r="A2478" s="66"/>
      <c r="B2478" s="67"/>
      <c r="C2478" s="66"/>
      <c r="D2478" s="68"/>
      <c r="E2478" s="10"/>
      <c r="F2478" s="69"/>
      <c r="G2478" s="68"/>
      <c r="H2478" s="70"/>
      <c r="BA2478" s="4"/>
      <c r="BB2478" s="4"/>
    </row>
    <row r="2479" spans="1:54" x14ac:dyDescent="0.3">
      <c r="A2479" s="66"/>
      <c r="B2479" s="67"/>
      <c r="C2479" s="66"/>
      <c r="D2479" s="68"/>
      <c r="E2479" s="10"/>
      <c r="F2479" s="69"/>
      <c r="G2479" s="68"/>
      <c r="H2479" s="70"/>
      <c r="BA2479" s="4"/>
      <c r="BB2479" s="4"/>
    </row>
    <row r="2480" spans="1:54" x14ac:dyDescent="0.3">
      <c r="A2480" s="66"/>
      <c r="B2480" s="67"/>
      <c r="C2480" s="66"/>
      <c r="D2480" s="68"/>
      <c r="E2480" s="10"/>
      <c r="F2480" s="69"/>
      <c r="G2480" s="68"/>
      <c r="H2480" s="70"/>
      <c r="BA2480" s="4"/>
      <c r="BB2480" s="4"/>
    </row>
    <row r="2481" spans="1:54" x14ac:dyDescent="0.3">
      <c r="A2481" s="66"/>
      <c r="B2481" s="67"/>
      <c r="C2481" s="66"/>
      <c r="D2481" s="68"/>
      <c r="E2481" s="10"/>
      <c r="F2481" s="69"/>
      <c r="G2481" s="68"/>
      <c r="H2481" s="70"/>
      <c r="BA2481" s="4"/>
      <c r="BB2481" s="4"/>
    </row>
    <row r="2482" spans="1:54" x14ac:dyDescent="0.3">
      <c r="A2482" s="66"/>
      <c r="B2482" s="67"/>
      <c r="C2482" s="66"/>
      <c r="D2482" s="68"/>
      <c r="E2482" s="10"/>
      <c r="F2482" s="69"/>
      <c r="G2482" s="68"/>
      <c r="H2482" s="70"/>
      <c r="BA2482" s="4"/>
      <c r="BB2482" s="4"/>
    </row>
    <row r="2483" spans="1:54" x14ac:dyDescent="0.3">
      <c r="A2483" s="66"/>
      <c r="B2483" s="67"/>
      <c r="C2483" s="66"/>
      <c r="D2483" s="68"/>
      <c r="E2483" s="10"/>
      <c r="F2483" s="69"/>
      <c r="G2483" s="68"/>
      <c r="H2483" s="70"/>
      <c r="BA2483" s="4"/>
      <c r="BB2483" s="4"/>
    </row>
    <row r="2484" spans="1:54" x14ac:dyDescent="0.3">
      <c r="A2484" s="66"/>
      <c r="B2484" s="67"/>
      <c r="C2484" s="66"/>
      <c r="D2484" s="68"/>
      <c r="E2484" s="10"/>
      <c r="F2484" s="69"/>
      <c r="G2484" s="68"/>
      <c r="H2484" s="70"/>
      <c r="BA2484" s="4"/>
      <c r="BB2484" s="4"/>
    </row>
    <row r="2485" spans="1:54" x14ac:dyDescent="0.3">
      <c r="A2485" s="66"/>
      <c r="B2485" s="67"/>
      <c r="C2485" s="66"/>
      <c r="D2485" s="68"/>
      <c r="E2485" s="10"/>
      <c r="F2485" s="69"/>
      <c r="G2485" s="68"/>
      <c r="H2485" s="70"/>
      <c r="BA2485" s="4"/>
      <c r="BB2485" s="4"/>
    </row>
    <row r="2486" spans="1:54" x14ac:dyDescent="0.3">
      <c r="A2486" s="66"/>
      <c r="B2486" s="67"/>
      <c r="C2486" s="66"/>
      <c r="D2486" s="68"/>
      <c r="E2486" s="10"/>
      <c r="F2486" s="69"/>
      <c r="G2486" s="68"/>
      <c r="H2486" s="70"/>
      <c r="BA2486" s="4"/>
      <c r="BB2486" s="4"/>
    </row>
    <row r="2487" spans="1:54" x14ac:dyDescent="0.3">
      <c r="A2487" s="66"/>
      <c r="B2487" s="67"/>
      <c r="C2487" s="66"/>
      <c r="D2487" s="68"/>
      <c r="E2487" s="10"/>
      <c r="F2487" s="69"/>
      <c r="G2487" s="68"/>
      <c r="H2487" s="70"/>
      <c r="BA2487" s="4"/>
      <c r="BB2487" s="4"/>
    </row>
    <row r="2488" spans="1:54" x14ac:dyDescent="0.3">
      <c r="A2488" s="66"/>
      <c r="B2488" s="67"/>
      <c r="C2488" s="66"/>
      <c r="D2488" s="68"/>
      <c r="E2488" s="10"/>
      <c r="F2488" s="69"/>
      <c r="G2488" s="68"/>
      <c r="H2488" s="70"/>
      <c r="BA2488" s="4"/>
      <c r="BB2488" s="4"/>
    </row>
    <row r="2489" spans="1:54" x14ac:dyDescent="0.3">
      <c r="A2489" s="66"/>
      <c r="B2489" s="67"/>
      <c r="C2489" s="66"/>
      <c r="D2489" s="68"/>
      <c r="E2489" s="10"/>
      <c r="F2489" s="69"/>
      <c r="G2489" s="68"/>
      <c r="H2489" s="70"/>
      <c r="BA2489" s="4"/>
      <c r="BB2489" s="4"/>
    </row>
    <row r="2490" spans="1:54" x14ac:dyDescent="0.3">
      <c r="A2490" s="66"/>
      <c r="B2490" s="67"/>
      <c r="C2490" s="66"/>
      <c r="D2490" s="68"/>
      <c r="E2490" s="10"/>
      <c r="F2490" s="69"/>
      <c r="G2490" s="68"/>
      <c r="H2490" s="70"/>
      <c r="BA2490" s="4"/>
      <c r="BB2490" s="4"/>
    </row>
    <row r="2491" spans="1:54" x14ac:dyDescent="0.3">
      <c r="A2491" s="66"/>
      <c r="B2491" s="67"/>
      <c r="C2491" s="66"/>
      <c r="D2491" s="68"/>
      <c r="E2491" s="10"/>
      <c r="F2491" s="69"/>
      <c r="G2491" s="68"/>
      <c r="H2491" s="70"/>
      <c r="BA2491" s="4"/>
      <c r="BB2491" s="4"/>
    </row>
    <row r="2492" spans="1:54" x14ac:dyDescent="0.3">
      <c r="A2492" s="66"/>
      <c r="B2492" s="67"/>
      <c r="C2492" s="66"/>
      <c r="D2492" s="68"/>
      <c r="E2492" s="10"/>
      <c r="F2492" s="69"/>
      <c r="G2492" s="68"/>
      <c r="H2492" s="70"/>
      <c r="BA2492" s="4"/>
      <c r="BB2492" s="4"/>
    </row>
    <row r="2493" spans="1:54" x14ac:dyDescent="0.3">
      <c r="A2493" s="66"/>
      <c r="B2493" s="67"/>
      <c r="C2493" s="66"/>
      <c r="D2493" s="68"/>
      <c r="E2493" s="10"/>
      <c r="F2493" s="69"/>
      <c r="G2493" s="68"/>
      <c r="H2493" s="70"/>
      <c r="BA2493" s="4"/>
      <c r="BB2493" s="4"/>
    </row>
    <row r="2494" spans="1:54" x14ac:dyDescent="0.3">
      <c r="A2494" s="66"/>
      <c r="B2494" s="67"/>
      <c r="C2494" s="66"/>
      <c r="D2494" s="68"/>
      <c r="E2494" s="10"/>
      <c r="F2494" s="69"/>
      <c r="G2494" s="68"/>
      <c r="H2494" s="70"/>
      <c r="BA2494" s="4"/>
      <c r="BB2494" s="4"/>
    </row>
    <row r="2495" spans="1:54" x14ac:dyDescent="0.3">
      <c r="A2495" s="66"/>
      <c r="B2495" s="67"/>
      <c r="C2495" s="66"/>
      <c r="D2495" s="68"/>
      <c r="E2495" s="10"/>
      <c r="F2495" s="69"/>
      <c r="G2495" s="68"/>
      <c r="H2495" s="70"/>
      <c r="BA2495" s="4"/>
      <c r="BB2495" s="4"/>
    </row>
    <row r="2496" spans="1:54" x14ac:dyDescent="0.3">
      <c r="A2496" s="66"/>
      <c r="B2496" s="67"/>
      <c r="C2496" s="66"/>
      <c r="D2496" s="68"/>
      <c r="E2496" s="10"/>
      <c r="F2496" s="69"/>
      <c r="G2496" s="68"/>
      <c r="H2496" s="70"/>
      <c r="BA2496" s="4"/>
      <c r="BB2496" s="4"/>
    </row>
    <row r="2497" spans="1:54" x14ac:dyDescent="0.3">
      <c r="A2497" s="66"/>
      <c r="B2497" s="67"/>
      <c r="C2497" s="66"/>
      <c r="D2497" s="68"/>
      <c r="E2497" s="10"/>
      <c r="F2497" s="69"/>
      <c r="G2497" s="68"/>
      <c r="H2497" s="70"/>
      <c r="BA2497" s="4"/>
      <c r="BB2497" s="4"/>
    </row>
    <row r="2498" spans="1:54" x14ac:dyDescent="0.3">
      <c r="A2498" s="66"/>
      <c r="B2498" s="67"/>
      <c r="C2498" s="66"/>
      <c r="D2498" s="68"/>
      <c r="E2498" s="10"/>
      <c r="F2498" s="69"/>
      <c r="G2498" s="68"/>
      <c r="H2498" s="70"/>
      <c r="BA2498" s="4"/>
      <c r="BB2498" s="4"/>
    </row>
    <row r="2499" spans="1:54" x14ac:dyDescent="0.3">
      <c r="A2499" s="66"/>
      <c r="B2499" s="67"/>
      <c r="C2499" s="66"/>
      <c r="D2499" s="68"/>
      <c r="E2499" s="10"/>
      <c r="F2499" s="69"/>
      <c r="G2499" s="68"/>
      <c r="H2499" s="70"/>
      <c r="BA2499" s="4"/>
      <c r="BB2499" s="4"/>
    </row>
    <row r="2500" spans="1:54" x14ac:dyDescent="0.3">
      <c r="A2500" s="66"/>
      <c r="B2500" s="67"/>
      <c r="C2500" s="66"/>
      <c r="D2500" s="68"/>
      <c r="E2500" s="10"/>
      <c r="F2500" s="69"/>
      <c r="G2500" s="68"/>
      <c r="H2500" s="70"/>
      <c r="BA2500" s="4"/>
      <c r="BB2500" s="4"/>
    </row>
    <row r="2501" spans="1:54" x14ac:dyDescent="0.3">
      <c r="A2501" s="66"/>
      <c r="B2501" s="67"/>
      <c r="C2501" s="66"/>
      <c r="D2501" s="68"/>
      <c r="E2501" s="10"/>
      <c r="F2501" s="69"/>
      <c r="G2501" s="68"/>
      <c r="H2501" s="70"/>
      <c r="BA2501" s="4"/>
      <c r="BB2501" s="4"/>
    </row>
    <row r="2502" spans="1:54" x14ac:dyDescent="0.3">
      <c r="A2502" s="66"/>
      <c r="B2502" s="67"/>
      <c r="C2502" s="66"/>
      <c r="D2502" s="68"/>
      <c r="E2502" s="10"/>
      <c r="F2502" s="69"/>
      <c r="G2502" s="68"/>
      <c r="H2502" s="70"/>
      <c r="BA2502" s="4"/>
      <c r="BB2502" s="4"/>
    </row>
    <row r="2503" spans="1:54" x14ac:dyDescent="0.3">
      <c r="A2503" s="66"/>
      <c r="B2503" s="67"/>
      <c r="C2503" s="66"/>
      <c r="D2503" s="68"/>
      <c r="E2503" s="10"/>
      <c r="F2503" s="69"/>
      <c r="G2503" s="68"/>
      <c r="H2503" s="70"/>
      <c r="BA2503" s="4"/>
      <c r="BB2503" s="4"/>
    </row>
    <row r="2504" spans="1:54" x14ac:dyDescent="0.3">
      <c r="A2504" s="66"/>
      <c r="B2504" s="67"/>
      <c r="C2504" s="66"/>
      <c r="D2504" s="68"/>
      <c r="E2504" s="10"/>
      <c r="F2504" s="69"/>
      <c r="G2504" s="68"/>
      <c r="H2504" s="70"/>
      <c r="BA2504" s="4"/>
      <c r="BB2504" s="4"/>
    </row>
    <row r="2505" spans="1:54" x14ac:dyDescent="0.3">
      <c r="A2505" s="66"/>
      <c r="B2505" s="67"/>
      <c r="C2505" s="66"/>
      <c r="D2505" s="68"/>
      <c r="E2505" s="10"/>
      <c r="F2505" s="69"/>
      <c r="G2505" s="68"/>
      <c r="H2505" s="70"/>
      <c r="BA2505" s="4"/>
      <c r="BB2505" s="4"/>
    </row>
    <row r="2506" spans="1:54" x14ac:dyDescent="0.3">
      <c r="A2506" s="66"/>
      <c r="B2506" s="67"/>
      <c r="C2506" s="66"/>
      <c r="D2506" s="68"/>
      <c r="E2506" s="10"/>
      <c r="F2506" s="69"/>
      <c r="G2506" s="68"/>
      <c r="H2506" s="70"/>
      <c r="BA2506" s="4"/>
      <c r="BB2506" s="4"/>
    </row>
    <row r="2507" spans="1:54" x14ac:dyDescent="0.3">
      <c r="A2507" s="66"/>
      <c r="B2507" s="67"/>
      <c r="C2507" s="66"/>
      <c r="D2507" s="68"/>
      <c r="E2507" s="10"/>
      <c r="F2507" s="69"/>
      <c r="G2507" s="68"/>
      <c r="H2507" s="70"/>
      <c r="BA2507" s="4"/>
      <c r="BB2507" s="4"/>
    </row>
    <row r="2508" spans="1:54" x14ac:dyDescent="0.3">
      <c r="A2508" s="66"/>
      <c r="B2508" s="67"/>
      <c r="C2508" s="66"/>
      <c r="D2508" s="68"/>
      <c r="E2508" s="10"/>
      <c r="F2508" s="69"/>
      <c r="G2508" s="68"/>
      <c r="H2508" s="70"/>
      <c r="BA2508" s="4"/>
      <c r="BB2508" s="4"/>
    </row>
    <row r="2509" spans="1:54" x14ac:dyDescent="0.3">
      <c r="A2509" s="66"/>
      <c r="B2509" s="67"/>
      <c r="C2509" s="66"/>
      <c r="D2509" s="68"/>
      <c r="E2509" s="10"/>
      <c r="F2509" s="69"/>
      <c r="G2509" s="68"/>
      <c r="H2509" s="70"/>
      <c r="BA2509" s="4"/>
      <c r="BB2509" s="4"/>
    </row>
    <row r="2510" spans="1:54" x14ac:dyDescent="0.3">
      <c r="A2510" s="66"/>
      <c r="B2510" s="67"/>
      <c r="C2510" s="66"/>
      <c r="D2510" s="68"/>
      <c r="E2510" s="10"/>
      <c r="F2510" s="69"/>
      <c r="G2510" s="68"/>
      <c r="H2510" s="70"/>
      <c r="BA2510" s="4"/>
      <c r="BB2510" s="4"/>
    </row>
    <row r="2511" spans="1:54" x14ac:dyDescent="0.3">
      <c r="A2511" s="66"/>
      <c r="B2511" s="67"/>
      <c r="C2511" s="66"/>
      <c r="D2511" s="68"/>
      <c r="E2511" s="10"/>
      <c r="F2511" s="69"/>
      <c r="G2511" s="68"/>
      <c r="H2511" s="70"/>
      <c r="BA2511" s="4"/>
      <c r="BB2511" s="4"/>
    </row>
    <row r="2512" spans="1:54" x14ac:dyDescent="0.3">
      <c r="A2512" s="66"/>
      <c r="B2512" s="67"/>
      <c r="C2512" s="66"/>
      <c r="D2512" s="68"/>
      <c r="E2512" s="10"/>
      <c r="F2512" s="69"/>
      <c r="G2512" s="68"/>
      <c r="H2512" s="70"/>
      <c r="BA2512" s="4"/>
      <c r="BB2512" s="4"/>
    </row>
    <row r="2513" spans="1:54" x14ac:dyDescent="0.3">
      <c r="A2513" s="66"/>
      <c r="B2513" s="67"/>
      <c r="C2513" s="66"/>
      <c r="D2513" s="68"/>
      <c r="E2513" s="10"/>
      <c r="F2513" s="69"/>
      <c r="G2513" s="68"/>
      <c r="H2513" s="70"/>
      <c r="BA2513" s="4"/>
      <c r="BB2513" s="4"/>
    </row>
    <row r="2514" spans="1:54" x14ac:dyDescent="0.3">
      <c r="A2514" s="66"/>
      <c r="B2514" s="67"/>
      <c r="C2514" s="66"/>
      <c r="D2514" s="68"/>
      <c r="E2514" s="10"/>
      <c r="F2514" s="69"/>
      <c r="G2514" s="68"/>
      <c r="H2514" s="70"/>
      <c r="BA2514" s="4"/>
      <c r="BB2514" s="4"/>
    </row>
    <row r="2515" spans="1:54" x14ac:dyDescent="0.3">
      <c r="A2515" s="66"/>
      <c r="B2515" s="67"/>
      <c r="C2515" s="66"/>
      <c r="D2515" s="68"/>
      <c r="E2515" s="10"/>
      <c r="F2515" s="69"/>
      <c r="G2515" s="68"/>
      <c r="H2515" s="70"/>
      <c r="BA2515" s="4"/>
      <c r="BB2515" s="4"/>
    </row>
    <row r="2516" spans="1:54" x14ac:dyDescent="0.3">
      <c r="A2516" s="66"/>
      <c r="B2516" s="67"/>
      <c r="C2516" s="66"/>
      <c r="D2516" s="68"/>
      <c r="E2516" s="10"/>
      <c r="F2516" s="69"/>
      <c r="G2516" s="68"/>
      <c r="H2516" s="70"/>
      <c r="BA2516" s="4"/>
      <c r="BB2516" s="4"/>
    </row>
    <row r="2517" spans="1:54" x14ac:dyDescent="0.3">
      <c r="A2517" s="66"/>
      <c r="B2517" s="67"/>
      <c r="C2517" s="66"/>
      <c r="D2517" s="68"/>
      <c r="E2517" s="10"/>
      <c r="F2517" s="69"/>
      <c r="G2517" s="68"/>
      <c r="H2517" s="70"/>
      <c r="BA2517" s="4"/>
      <c r="BB2517" s="4"/>
    </row>
    <row r="2518" spans="1:54" x14ac:dyDescent="0.3">
      <c r="A2518" s="66"/>
      <c r="B2518" s="67"/>
      <c r="C2518" s="66"/>
      <c r="D2518" s="68"/>
      <c r="E2518" s="10"/>
      <c r="F2518" s="69"/>
      <c r="G2518" s="68"/>
      <c r="H2518" s="70"/>
      <c r="BA2518" s="4"/>
      <c r="BB2518" s="4"/>
    </row>
    <row r="2519" spans="1:54" x14ac:dyDescent="0.3">
      <c r="A2519" s="66"/>
      <c r="B2519" s="67"/>
      <c r="C2519" s="66"/>
      <c r="D2519" s="68"/>
      <c r="E2519" s="10"/>
      <c r="F2519" s="69"/>
      <c r="G2519" s="68"/>
      <c r="H2519" s="70"/>
      <c r="BA2519" s="4"/>
      <c r="BB2519" s="4"/>
    </row>
    <row r="2520" spans="1:54" x14ac:dyDescent="0.3">
      <c r="A2520" s="66"/>
      <c r="B2520" s="67"/>
      <c r="C2520" s="66"/>
      <c r="D2520" s="68"/>
      <c r="E2520" s="10"/>
      <c r="F2520" s="69"/>
      <c r="G2520" s="68"/>
      <c r="H2520" s="70"/>
      <c r="BA2520" s="4"/>
      <c r="BB2520" s="4"/>
    </row>
    <row r="2521" spans="1:54" x14ac:dyDescent="0.3">
      <c r="A2521" s="66"/>
      <c r="B2521" s="67"/>
      <c r="C2521" s="66"/>
      <c r="D2521" s="68"/>
      <c r="E2521" s="10"/>
      <c r="F2521" s="69"/>
      <c r="G2521" s="68"/>
      <c r="H2521" s="70"/>
      <c r="BA2521" s="4"/>
      <c r="BB2521" s="4"/>
    </row>
    <row r="2522" spans="1:54" x14ac:dyDescent="0.3">
      <c r="A2522" s="66"/>
      <c r="B2522" s="67"/>
      <c r="C2522" s="66"/>
      <c r="D2522" s="68"/>
      <c r="E2522" s="10"/>
      <c r="F2522" s="69"/>
      <c r="G2522" s="68"/>
      <c r="H2522" s="70"/>
      <c r="BA2522" s="4"/>
      <c r="BB2522" s="4"/>
    </row>
    <row r="2523" spans="1:54" x14ac:dyDescent="0.3">
      <c r="A2523" s="66"/>
      <c r="B2523" s="67"/>
      <c r="C2523" s="66"/>
      <c r="D2523" s="68"/>
      <c r="E2523" s="10"/>
      <c r="F2523" s="69"/>
      <c r="G2523" s="68"/>
      <c r="H2523" s="70"/>
      <c r="BA2523" s="4"/>
      <c r="BB2523" s="4"/>
    </row>
    <row r="2524" spans="1:54" x14ac:dyDescent="0.3">
      <c r="A2524" s="66"/>
      <c r="B2524" s="67"/>
      <c r="C2524" s="66"/>
      <c r="D2524" s="68"/>
      <c r="E2524" s="10"/>
      <c r="F2524" s="69"/>
      <c r="G2524" s="68"/>
      <c r="H2524" s="70"/>
      <c r="BA2524" s="4"/>
      <c r="BB2524" s="4"/>
    </row>
    <row r="2525" spans="1:54" x14ac:dyDescent="0.3">
      <c r="A2525" s="66"/>
      <c r="B2525" s="67"/>
      <c r="C2525" s="66"/>
      <c r="D2525" s="68"/>
      <c r="E2525" s="10"/>
      <c r="F2525" s="69"/>
      <c r="G2525" s="68"/>
      <c r="H2525" s="70"/>
      <c r="BA2525" s="4"/>
      <c r="BB2525" s="4"/>
    </row>
    <row r="2526" spans="1:54" x14ac:dyDescent="0.3">
      <c r="A2526" s="66"/>
      <c r="B2526" s="67"/>
      <c r="C2526" s="66"/>
      <c r="D2526" s="68"/>
      <c r="E2526" s="10"/>
      <c r="F2526" s="69"/>
      <c r="G2526" s="68"/>
      <c r="H2526" s="70"/>
      <c r="BA2526" s="4"/>
      <c r="BB2526" s="4"/>
    </row>
    <row r="2527" spans="1:54" x14ac:dyDescent="0.3">
      <c r="A2527" s="66"/>
      <c r="B2527" s="67"/>
      <c r="C2527" s="66"/>
      <c r="D2527" s="68"/>
      <c r="E2527" s="10"/>
      <c r="F2527" s="69"/>
      <c r="G2527" s="68"/>
      <c r="H2527" s="70"/>
      <c r="BA2527" s="4"/>
      <c r="BB2527" s="4"/>
    </row>
    <row r="2528" spans="1:54" x14ac:dyDescent="0.3">
      <c r="A2528" s="66"/>
      <c r="B2528" s="67"/>
      <c r="C2528" s="66"/>
      <c r="D2528" s="68"/>
      <c r="E2528" s="10"/>
      <c r="F2528" s="69"/>
      <c r="G2528" s="68"/>
      <c r="H2528" s="70"/>
      <c r="BA2528" s="4"/>
      <c r="BB2528" s="4"/>
    </row>
    <row r="2529" spans="1:54" x14ac:dyDescent="0.3">
      <c r="A2529" s="66"/>
      <c r="B2529" s="67"/>
      <c r="C2529" s="66"/>
      <c r="D2529" s="68"/>
      <c r="E2529" s="10"/>
      <c r="F2529" s="69"/>
      <c r="G2529" s="68"/>
      <c r="H2529" s="70"/>
      <c r="BA2529" s="4"/>
      <c r="BB2529" s="4"/>
    </row>
    <row r="2530" spans="1:54" x14ac:dyDescent="0.3">
      <c r="A2530" s="66"/>
      <c r="B2530" s="67"/>
      <c r="C2530" s="66"/>
      <c r="D2530" s="68"/>
      <c r="E2530" s="10"/>
      <c r="F2530" s="69"/>
      <c r="G2530" s="68"/>
      <c r="H2530" s="70"/>
      <c r="BA2530" s="4"/>
      <c r="BB2530" s="4"/>
    </row>
    <row r="2531" spans="1:54" x14ac:dyDescent="0.3">
      <c r="A2531" s="66"/>
      <c r="B2531" s="67"/>
      <c r="C2531" s="66"/>
      <c r="D2531" s="68"/>
      <c r="E2531" s="10"/>
      <c r="F2531" s="69"/>
      <c r="G2531" s="68"/>
      <c r="H2531" s="70"/>
      <c r="BA2531" s="4"/>
      <c r="BB2531" s="4"/>
    </row>
    <row r="2532" spans="1:54" x14ac:dyDescent="0.3">
      <c r="A2532" s="66"/>
      <c r="B2532" s="67"/>
      <c r="C2532" s="66"/>
      <c r="D2532" s="68"/>
      <c r="E2532" s="10"/>
      <c r="F2532" s="69"/>
      <c r="G2532" s="68"/>
      <c r="H2532" s="70"/>
      <c r="BA2532" s="4"/>
      <c r="BB2532" s="4"/>
    </row>
    <row r="2533" spans="1:54" x14ac:dyDescent="0.3">
      <c r="A2533" s="66"/>
      <c r="B2533" s="67"/>
      <c r="C2533" s="66"/>
      <c r="D2533" s="68"/>
      <c r="E2533" s="10"/>
      <c r="F2533" s="69"/>
      <c r="G2533" s="68"/>
      <c r="H2533" s="70"/>
      <c r="BA2533" s="4"/>
      <c r="BB2533" s="4"/>
    </row>
    <row r="2534" spans="1:54" x14ac:dyDescent="0.3">
      <c r="A2534" s="66"/>
      <c r="B2534" s="67"/>
      <c r="C2534" s="66"/>
      <c r="D2534" s="68"/>
      <c r="E2534" s="10"/>
      <c r="F2534" s="69"/>
      <c r="G2534" s="68"/>
      <c r="H2534" s="70"/>
      <c r="BA2534" s="4"/>
      <c r="BB2534" s="4"/>
    </row>
    <row r="2535" spans="1:54" x14ac:dyDescent="0.3">
      <c r="A2535" s="66"/>
      <c r="B2535" s="67"/>
      <c r="C2535" s="66"/>
      <c r="D2535" s="68"/>
      <c r="E2535" s="10"/>
      <c r="F2535" s="69"/>
      <c r="G2535" s="68"/>
      <c r="H2535" s="70"/>
      <c r="BA2535" s="4"/>
      <c r="BB2535" s="4"/>
    </row>
    <row r="2536" spans="1:54" x14ac:dyDescent="0.3">
      <c r="A2536" s="66"/>
      <c r="B2536" s="67"/>
      <c r="C2536" s="66"/>
      <c r="D2536" s="68"/>
      <c r="E2536" s="10"/>
      <c r="F2536" s="69"/>
      <c r="G2536" s="68"/>
      <c r="H2536" s="70"/>
      <c r="BA2536" s="4"/>
      <c r="BB2536" s="4"/>
    </row>
    <row r="2537" spans="1:54" x14ac:dyDescent="0.3">
      <c r="A2537" s="66"/>
      <c r="B2537" s="67"/>
      <c r="C2537" s="66"/>
      <c r="D2537" s="68"/>
      <c r="E2537" s="10"/>
      <c r="F2537" s="69"/>
      <c r="G2537" s="68"/>
      <c r="H2537" s="70"/>
      <c r="BA2537" s="4"/>
      <c r="BB2537" s="4"/>
    </row>
    <row r="2538" spans="1:54" x14ac:dyDescent="0.3">
      <c r="A2538" s="66"/>
      <c r="B2538" s="67"/>
      <c r="C2538" s="66"/>
      <c r="D2538" s="68"/>
      <c r="E2538" s="10"/>
      <c r="F2538" s="69"/>
      <c r="G2538" s="68"/>
      <c r="H2538" s="70"/>
      <c r="BA2538" s="4"/>
      <c r="BB2538" s="4"/>
    </row>
    <row r="2539" spans="1:54" x14ac:dyDescent="0.3">
      <c r="A2539" s="66"/>
      <c r="B2539" s="67"/>
      <c r="C2539" s="66"/>
      <c r="D2539" s="68"/>
      <c r="E2539" s="10"/>
      <c r="F2539" s="69"/>
      <c r="G2539" s="68"/>
      <c r="H2539" s="70"/>
      <c r="BA2539" s="4"/>
      <c r="BB2539" s="4"/>
    </row>
    <row r="2540" spans="1:54" x14ac:dyDescent="0.3">
      <c r="A2540" s="66"/>
      <c r="B2540" s="67"/>
      <c r="C2540" s="66"/>
      <c r="D2540" s="68"/>
      <c r="E2540" s="10"/>
      <c r="F2540" s="69"/>
      <c r="G2540" s="68"/>
      <c r="H2540" s="70"/>
      <c r="BA2540" s="4"/>
      <c r="BB2540" s="4"/>
    </row>
    <row r="2541" spans="1:54" x14ac:dyDescent="0.3">
      <c r="A2541" s="66"/>
      <c r="B2541" s="67"/>
      <c r="C2541" s="66"/>
      <c r="D2541" s="68"/>
      <c r="E2541" s="10"/>
      <c r="F2541" s="69"/>
      <c r="G2541" s="68"/>
      <c r="H2541" s="70"/>
      <c r="BA2541" s="4"/>
      <c r="BB2541" s="4"/>
    </row>
    <row r="2542" spans="1:54" x14ac:dyDescent="0.3">
      <c r="A2542" s="66"/>
      <c r="B2542" s="67"/>
      <c r="C2542" s="66"/>
      <c r="D2542" s="68"/>
      <c r="E2542" s="10"/>
      <c r="F2542" s="69"/>
      <c r="G2542" s="68"/>
      <c r="H2542" s="70"/>
      <c r="BA2542" s="4"/>
      <c r="BB2542" s="4"/>
    </row>
    <row r="2543" spans="1:54" x14ac:dyDescent="0.3">
      <c r="A2543" s="66"/>
      <c r="B2543" s="67"/>
      <c r="C2543" s="66"/>
      <c r="D2543" s="68"/>
      <c r="E2543" s="10"/>
      <c r="F2543" s="69"/>
      <c r="G2543" s="68"/>
      <c r="H2543" s="70"/>
      <c r="BA2543" s="4"/>
      <c r="BB2543" s="4"/>
    </row>
    <row r="2544" spans="1:54" x14ac:dyDescent="0.3">
      <c r="A2544" s="66"/>
      <c r="B2544" s="67"/>
      <c r="C2544" s="66"/>
      <c r="D2544" s="68"/>
      <c r="E2544" s="10"/>
      <c r="F2544" s="69"/>
      <c r="G2544" s="68"/>
      <c r="H2544" s="70"/>
      <c r="BA2544" s="4"/>
      <c r="BB2544" s="4"/>
    </row>
    <row r="2545" spans="1:54" x14ac:dyDescent="0.3">
      <c r="A2545" s="66"/>
      <c r="B2545" s="67"/>
      <c r="C2545" s="66"/>
      <c r="D2545" s="68"/>
      <c r="E2545" s="10"/>
      <c r="F2545" s="69"/>
      <c r="G2545" s="68"/>
      <c r="H2545" s="70"/>
      <c r="BA2545" s="4"/>
      <c r="BB2545" s="4"/>
    </row>
    <row r="2546" spans="1:54" x14ac:dyDescent="0.3">
      <c r="A2546" s="66"/>
      <c r="B2546" s="67"/>
      <c r="C2546" s="66"/>
      <c r="D2546" s="68"/>
      <c r="E2546" s="10"/>
      <c r="F2546" s="69"/>
      <c r="G2546" s="68"/>
      <c r="H2546" s="70"/>
      <c r="BA2546" s="4"/>
      <c r="BB2546" s="4"/>
    </row>
    <row r="2547" spans="1:54" x14ac:dyDescent="0.3">
      <c r="A2547" s="66"/>
      <c r="B2547" s="67"/>
      <c r="C2547" s="66"/>
      <c r="D2547" s="68"/>
      <c r="E2547" s="10"/>
      <c r="F2547" s="69"/>
      <c r="G2547" s="68"/>
      <c r="H2547" s="70"/>
      <c r="BA2547" s="4"/>
      <c r="BB2547" s="4"/>
    </row>
    <row r="2548" spans="1:54" x14ac:dyDescent="0.3">
      <c r="A2548" s="66"/>
      <c r="B2548" s="67"/>
      <c r="C2548" s="66"/>
      <c r="D2548" s="68"/>
      <c r="E2548" s="10"/>
      <c r="F2548" s="69"/>
      <c r="G2548" s="68"/>
      <c r="H2548" s="70"/>
      <c r="BA2548" s="4"/>
      <c r="BB2548" s="4"/>
    </row>
    <row r="2549" spans="1:54" x14ac:dyDescent="0.3">
      <c r="A2549" s="66"/>
      <c r="B2549" s="67"/>
      <c r="C2549" s="66"/>
      <c r="D2549" s="68"/>
      <c r="E2549" s="10"/>
      <c r="F2549" s="69"/>
      <c r="G2549" s="68"/>
      <c r="H2549" s="70"/>
      <c r="BA2549" s="4"/>
      <c r="BB2549" s="4"/>
    </row>
    <row r="2550" spans="1:54" x14ac:dyDescent="0.3">
      <c r="A2550" s="66"/>
      <c r="B2550" s="67"/>
      <c r="C2550" s="66"/>
      <c r="D2550" s="68"/>
      <c r="E2550" s="10"/>
      <c r="F2550" s="69"/>
      <c r="G2550" s="68"/>
      <c r="H2550" s="70"/>
      <c r="BA2550" s="4"/>
      <c r="BB2550" s="4"/>
    </row>
    <row r="2551" spans="1:54" x14ac:dyDescent="0.3">
      <c r="A2551" s="66"/>
      <c r="B2551" s="67"/>
      <c r="C2551" s="66"/>
      <c r="D2551" s="68"/>
      <c r="E2551" s="10"/>
      <c r="F2551" s="69"/>
      <c r="G2551" s="68"/>
      <c r="H2551" s="70"/>
      <c r="BA2551" s="4"/>
      <c r="BB2551" s="4"/>
    </row>
    <row r="2552" spans="1:54" x14ac:dyDescent="0.3">
      <c r="A2552" s="66"/>
      <c r="B2552" s="67"/>
      <c r="C2552" s="66"/>
      <c r="D2552" s="68"/>
      <c r="E2552" s="10"/>
      <c r="F2552" s="69"/>
      <c r="G2552" s="68"/>
      <c r="H2552" s="70"/>
      <c r="BA2552" s="4"/>
      <c r="BB2552" s="4"/>
    </row>
    <row r="2553" spans="1:54" x14ac:dyDescent="0.3">
      <c r="A2553" s="66"/>
      <c r="B2553" s="67"/>
      <c r="C2553" s="66"/>
      <c r="D2553" s="68"/>
      <c r="E2553" s="10"/>
      <c r="F2553" s="69"/>
      <c r="G2553" s="68"/>
      <c r="H2553" s="70"/>
      <c r="BA2553" s="4"/>
      <c r="BB2553" s="4"/>
    </row>
    <row r="2554" spans="1:54" x14ac:dyDescent="0.3">
      <c r="A2554" s="66"/>
      <c r="B2554" s="67"/>
      <c r="C2554" s="66"/>
      <c r="D2554" s="68"/>
      <c r="E2554" s="10"/>
      <c r="F2554" s="69"/>
      <c r="G2554" s="68"/>
      <c r="H2554" s="70"/>
      <c r="BA2554" s="4"/>
      <c r="BB2554" s="4"/>
    </row>
    <row r="2555" spans="1:54" x14ac:dyDescent="0.3">
      <c r="A2555" s="66"/>
      <c r="B2555" s="67"/>
      <c r="C2555" s="66"/>
      <c r="D2555" s="68"/>
      <c r="E2555" s="10"/>
      <c r="F2555" s="69"/>
      <c r="G2555" s="68"/>
      <c r="H2555" s="70"/>
      <c r="BA2555" s="4"/>
      <c r="BB2555" s="4"/>
    </row>
    <row r="2556" spans="1:54" x14ac:dyDescent="0.3">
      <c r="A2556" s="66"/>
      <c r="B2556" s="67"/>
      <c r="C2556" s="66"/>
      <c r="D2556" s="68"/>
      <c r="E2556" s="10"/>
      <c r="F2556" s="69"/>
      <c r="G2556" s="68"/>
      <c r="H2556" s="70"/>
      <c r="BA2556" s="4"/>
      <c r="BB2556" s="4"/>
    </row>
    <row r="2557" spans="1:54" x14ac:dyDescent="0.3">
      <c r="A2557" s="66"/>
      <c r="B2557" s="67"/>
      <c r="C2557" s="66"/>
      <c r="D2557" s="68"/>
      <c r="E2557" s="10"/>
      <c r="F2557" s="69"/>
      <c r="G2557" s="68"/>
      <c r="H2557" s="70"/>
      <c r="BA2557" s="4"/>
      <c r="BB2557" s="4"/>
    </row>
    <row r="2558" spans="1:54" x14ac:dyDescent="0.3">
      <c r="A2558" s="66"/>
      <c r="B2558" s="67"/>
      <c r="C2558" s="66"/>
      <c r="D2558" s="68"/>
      <c r="E2558" s="10"/>
      <c r="F2558" s="69"/>
      <c r="G2558" s="68"/>
      <c r="H2558" s="70"/>
      <c r="BA2558" s="4"/>
      <c r="BB2558" s="4"/>
    </row>
    <row r="2559" spans="1:54" x14ac:dyDescent="0.3">
      <c r="A2559" s="66"/>
      <c r="B2559" s="67"/>
      <c r="C2559" s="66"/>
      <c r="D2559" s="68"/>
      <c r="E2559" s="10"/>
      <c r="F2559" s="69"/>
      <c r="G2559" s="68"/>
      <c r="H2559" s="70"/>
      <c r="BA2559" s="4"/>
      <c r="BB2559" s="4"/>
    </row>
    <row r="2560" spans="1:54" x14ac:dyDescent="0.3">
      <c r="A2560" s="66"/>
      <c r="B2560" s="67"/>
      <c r="C2560" s="66"/>
      <c r="D2560" s="68"/>
      <c r="E2560" s="10"/>
      <c r="F2560" s="69"/>
      <c r="G2560" s="68"/>
      <c r="H2560" s="70"/>
      <c r="BA2560" s="4"/>
      <c r="BB2560" s="4"/>
    </row>
    <row r="2561" spans="1:54" x14ac:dyDescent="0.3">
      <c r="A2561" s="66"/>
      <c r="B2561" s="67"/>
      <c r="C2561" s="66"/>
      <c r="D2561" s="68"/>
      <c r="E2561" s="10"/>
      <c r="F2561" s="69"/>
      <c r="G2561" s="68"/>
      <c r="H2561" s="70"/>
      <c r="BA2561" s="4"/>
      <c r="BB2561" s="4"/>
    </row>
    <row r="2562" spans="1:54" x14ac:dyDescent="0.3">
      <c r="A2562" s="66"/>
      <c r="B2562" s="67"/>
      <c r="C2562" s="66"/>
      <c r="D2562" s="68"/>
      <c r="E2562" s="10"/>
      <c r="F2562" s="69"/>
      <c r="G2562" s="68"/>
      <c r="H2562" s="70"/>
      <c r="BA2562" s="4"/>
      <c r="BB2562" s="4"/>
    </row>
    <row r="2563" spans="1:54" x14ac:dyDescent="0.3">
      <c r="A2563" s="66"/>
      <c r="B2563" s="67"/>
      <c r="C2563" s="66"/>
      <c r="D2563" s="68"/>
      <c r="E2563" s="10"/>
      <c r="F2563" s="69"/>
      <c r="G2563" s="68"/>
      <c r="H2563" s="70"/>
      <c r="BA2563" s="4"/>
      <c r="BB2563" s="4"/>
    </row>
    <row r="2564" spans="1:54" x14ac:dyDescent="0.3">
      <c r="A2564" s="66"/>
      <c r="B2564" s="67"/>
      <c r="C2564" s="66"/>
      <c r="D2564" s="68"/>
      <c r="E2564" s="10"/>
      <c r="F2564" s="69"/>
      <c r="G2564" s="68"/>
      <c r="H2564" s="70"/>
      <c r="BA2564" s="4"/>
      <c r="BB2564" s="4"/>
    </row>
    <row r="2565" spans="1:54" x14ac:dyDescent="0.3">
      <c r="A2565" s="66"/>
      <c r="B2565" s="67"/>
      <c r="C2565" s="66"/>
      <c r="D2565" s="68"/>
      <c r="E2565" s="10"/>
      <c r="F2565" s="69"/>
      <c r="G2565" s="68"/>
      <c r="H2565" s="70"/>
      <c r="BA2565" s="4"/>
      <c r="BB2565" s="4"/>
    </row>
    <row r="2566" spans="1:54" x14ac:dyDescent="0.3">
      <c r="A2566" s="66"/>
      <c r="B2566" s="67"/>
      <c r="C2566" s="66"/>
      <c r="D2566" s="68"/>
      <c r="E2566" s="10"/>
      <c r="F2566" s="69"/>
      <c r="G2566" s="68"/>
      <c r="H2566" s="70"/>
      <c r="BA2566" s="4"/>
      <c r="BB2566" s="4"/>
    </row>
    <row r="2567" spans="1:54" x14ac:dyDescent="0.3">
      <c r="A2567" s="66"/>
      <c r="B2567" s="67"/>
      <c r="C2567" s="66"/>
      <c r="D2567" s="68"/>
      <c r="E2567" s="10"/>
      <c r="F2567" s="69"/>
      <c r="G2567" s="68"/>
      <c r="H2567" s="70"/>
      <c r="BA2567" s="4"/>
      <c r="BB2567" s="4"/>
    </row>
    <row r="2568" spans="1:54" x14ac:dyDescent="0.3">
      <c r="A2568" s="66"/>
      <c r="B2568" s="67"/>
      <c r="C2568" s="66"/>
      <c r="D2568" s="68"/>
      <c r="E2568" s="10"/>
      <c r="F2568" s="69"/>
      <c r="G2568" s="68"/>
      <c r="H2568" s="70"/>
      <c r="BA2568" s="4"/>
      <c r="BB2568" s="4"/>
    </row>
    <row r="2569" spans="1:54" x14ac:dyDescent="0.3">
      <c r="A2569" s="66"/>
      <c r="B2569" s="67"/>
      <c r="C2569" s="66"/>
      <c r="D2569" s="68"/>
      <c r="E2569" s="10"/>
      <c r="F2569" s="69"/>
      <c r="G2569" s="68"/>
      <c r="H2569" s="70"/>
      <c r="BA2569" s="4"/>
      <c r="BB2569" s="4"/>
    </row>
    <row r="2570" spans="1:54" x14ac:dyDescent="0.3">
      <c r="A2570" s="66"/>
      <c r="B2570" s="67"/>
      <c r="C2570" s="66"/>
      <c r="D2570" s="68"/>
      <c r="E2570" s="10"/>
      <c r="F2570" s="69"/>
      <c r="G2570" s="68"/>
      <c r="H2570" s="70"/>
      <c r="BA2570" s="4"/>
      <c r="BB2570" s="4"/>
    </row>
    <row r="2571" spans="1:54" x14ac:dyDescent="0.3">
      <c r="A2571" s="66"/>
      <c r="B2571" s="67"/>
      <c r="C2571" s="66"/>
      <c r="D2571" s="68"/>
      <c r="E2571" s="10"/>
      <c r="F2571" s="69"/>
      <c r="G2571" s="68"/>
      <c r="H2571" s="70"/>
      <c r="BA2571" s="4"/>
      <c r="BB2571" s="4"/>
    </row>
    <row r="2572" spans="1:54" x14ac:dyDescent="0.3">
      <c r="A2572" s="66"/>
      <c r="B2572" s="67"/>
      <c r="C2572" s="66"/>
      <c r="D2572" s="68"/>
      <c r="E2572" s="10"/>
      <c r="F2572" s="69"/>
      <c r="G2572" s="68"/>
      <c r="H2572" s="70"/>
      <c r="BA2572" s="4"/>
      <c r="BB2572" s="4"/>
    </row>
    <row r="2573" spans="1:54" x14ac:dyDescent="0.3">
      <c r="A2573" s="66"/>
      <c r="B2573" s="67"/>
      <c r="C2573" s="66"/>
      <c r="D2573" s="68"/>
      <c r="E2573" s="10"/>
      <c r="F2573" s="69"/>
      <c r="G2573" s="68"/>
      <c r="H2573" s="70"/>
      <c r="BA2573" s="4"/>
      <c r="BB2573" s="4"/>
    </row>
    <row r="2574" spans="1:54" x14ac:dyDescent="0.3">
      <c r="A2574" s="66"/>
      <c r="B2574" s="67"/>
      <c r="C2574" s="66"/>
      <c r="D2574" s="68"/>
      <c r="E2574" s="10"/>
      <c r="F2574" s="69"/>
      <c r="G2574" s="68"/>
      <c r="H2574" s="70"/>
      <c r="BA2574" s="4"/>
      <c r="BB2574" s="4"/>
    </row>
    <row r="2575" spans="1:54" x14ac:dyDescent="0.3">
      <c r="A2575" s="66"/>
      <c r="B2575" s="67"/>
      <c r="C2575" s="66"/>
      <c r="D2575" s="68"/>
      <c r="E2575" s="10"/>
      <c r="F2575" s="69"/>
      <c r="G2575" s="68"/>
      <c r="H2575" s="70"/>
      <c r="BA2575" s="4"/>
      <c r="BB2575" s="4"/>
    </row>
    <row r="2576" spans="1:54" x14ac:dyDescent="0.3">
      <c r="A2576" s="66"/>
      <c r="B2576" s="67"/>
      <c r="C2576" s="66"/>
      <c r="D2576" s="68"/>
      <c r="E2576" s="10"/>
      <c r="F2576" s="69"/>
      <c r="G2576" s="68"/>
      <c r="H2576" s="70"/>
      <c r="BA2576" s="4"/>
      <c r="BB2576" s="4"/>
    </row>
    <row r="2577" spans="1:54" x14ac:dyDescent="0.3">
      <c r="A2577" s="66"/>
      <c r="B2577" s="67"/>
      <c r="C2577" s="66"/>
      <c r="D2577" s="68"/>
      <c r="E2577" s="10"/>
      <c r="F2577" s="69"/>
      <c r="G2577" s="68"/>
      <c r="H2577" s="70"/>
      <c r="BA2577" s="4"/>
      <c r="BB2577" s="4"/>
    </row>
    <row r="2578" spans="1:54" x14ac:dyDescent="0.3">
      <c r="A2578" s="66"/>
      <c r="B2578" s="67"/>
      <c r="C2578" s="66"/>
      <c r="D2578" s="68"/>
      <c r="E2578" s="10"/>
      <c r="F2578" s="69"/>
      <c r="G2578" s="68"/>
      <c r="H2578" s="70"/>
      <c r="BA2578" s="4"/>
      <c r="BB2578" s="4"/>
    </row>
    <row r="2579" spans="1:54" x14ac:dyDescent="0.3">
      <c r="A2579" s="66"/>
      <c r="B2579" s="67"/>
      <c r="C2579" s="66"/>
      <c r="D2579" s="68"/>
      <c r="E2579" s="10"/>
      <c r="F2579" s="69"/>
      <c r="G2579" s="68"/>
      <c r="H2579" s="70"/>
      <c r="BA2579" s="4"/>
      <c r="BB2579" s="4"/>
    </row>
    <row r="2580" spans="1:54" x14ac:dyDescent="0.3">
      <c r="A2580" s="66"/>
      <c r="B2580" s="67"/>
      <c r="C2580" s="66"/>
      <c r="D2580" s="68"/>
      <c r="E2580" s="10"/>
      <c r="F2580" s="69"/>
      <c r="G2580" s="68"/>
      <c r="H2580" s="70"/>
      <c r="BA2580" s="4"/>
      <c r="BB2580" s="4"/>
    </row>
    <row r="2581" spans="1:54" x14ac:dyDescent="0.3">
      <c r="A2581" s="66"/>
      <c r="B2581" s="67"/>
      <c r="C2581" s="66"/>
      <c r="D2581" s="68"/>
      <c r="E2581" s="10"/>
      <c r="F2581" s="69"/>
      <c r="G2581" s="68"/>
      <c r="H2581" s="70"/>
      <c r="BA2581" s="4"/>
      <c r="BB2581" s="4"/>
    </row>
    <row r="2582" spans="1:54" x14ac:dyDescent="0.3">
      <c r="A2582" s="66"/>
      <c r="B2582" s="67"/>
      <c r="C2582" s="66"/>
      <c r="D2582" s="68"/>
      <c r="E2582" s="10"/>
      <c r="F2582" s="69"/>
      <c r="G2582" s="68"/>
      <c r="H2582" s="70"/>
      <c r="BA2582" s="4"/>
      <c r="BB2582" s="4"/>
    </row>
    <row r="2583" spans="1:54" x14ac:dyDescent="0.3">
      <c r="A2583" s="66"/>
      <c r="B2583" s="67"/>
      <c r="C2583" s="66"/>
      <c r="D2583" s="68"/>
      <c r="E2583" s="10"/>
      <c r="F2583" s="69"/>
      <c r="G2583" s="68"/>
      <c r="H2583" s="70"/>
      <c r="BA2583" s="4"/>
      <c r="BB2583" s="4"/>
    </row>
    <row r="2584" spans="1:54" x14ac:dyDescent="0.3">
      <c r="A2584" s="66"/>
      <c r="B2584" s="67"/>
      <c r="C2584" s="66"/>
      <c r="D2584" s="68"/>
      <c r="E2584" s="10"/>
      <c r="F2584" s="69"/>
      <c r="G2584" s="68"/>
      <c r="H2584" s="70"/>
      <c r="BA2584" s="4"/>
      <c r="BB2584" s="4"/>
    </row>
    <row r="2585" spans="1:54" x14ac:dyDescent="0.3">
      <c r="A2585" s="66"/>
      <c r="B2585" s="67"/>
      <c r="C2585" s="66"/>
      <c r="D2585" s="68"/>
      <c r="E2585" s="10"/>
      <c r="F2585" s="69"/>
      <c r="G2585" s="68"/>
      <c r="H2585" s="70"/>
      <c r="BA2585" s="4"/>
      <c r="BB2585" s="4"/>
    </row>
    <row r="2586" spans="1:54" x14ac:dyDescent="0.3">
      <c r="A2586" s="66"/>
      <c r="B2586" s="67"/>
      <c r="C2586" s="66"/>
      <c r="D2586" s="68"/>
      <c r="E2586" s="10"/>
      <c r="F2586" s="69"/>
      <c r="G2586" s="68"/>
      <c r="H2586" s="70"/>
      <c r="BA2586" s="4"/>
      <c r="BB2586" s="4"/>
    </row>
    <row r="2587" spans="1:54" x14ac:dyDescent="0.3">
      <c r="A2587" s="66"/>
      <c r="B2587" s="67"/>
      <c r="C2587" s="66"/>
      <c r="D2587" s="68"/>
      <c r="E2587" s="10"/>
      <c r="F2587" s="69"/>
      <c r="G2587" s="68"/>
      <c r="H2587" s="70"/>
      <c r="BA2587" s="4"/>
      <c r="BB2587" s="4"/>
    </row>
    <row r="2588" spans="1:54" x14ac:dyDescent="0.3">
      <c r="A2588" s="66"/>
      <c r="B2588" s="67"/>
      <c r="C2588" s="66"/>
      <c r="D2588" s="68"/>
      <c r="E2588" s="10"/>
      <c r="F2588" s="69"/>
      <c r="G2588" s="68"/>
      <c r="H2588" s="70"/>
      <c r="BA2588" s="4"/>
      <c r="BB2588" s="4"/>
    </row>
    <row r="2589" spans="1:54" x14ac:dyDescent="0.3">
      <c r="A2589" s="66"/>
      <c r="B2589" s="67"/>
      <c r="C2589" s="66"/>
      <c r="D2589" s="68"/>
      <c r="E2589" s="10"/>
      <c r="F2589" s="69"/>
      <c r="G2589" s="68"/>
      <c r="H2589" s="70"/>
      <c r="BA2589" s="4"/>
      <c r="BB2589" s="4"/>
    </row>
    <row r="2590" spans="1:54" x14ac:dyDescent="0.3">
      <c r="A2590" s="66"/>
      <c r="B2590" s="67"/>
      <c r="C2590" s="66"/>
      <c r="D2590" s="68"/>
      <c r="E2590" s="10"/>
      <c r="F2590" s="69"/>
      <c r="G2590" s="68"/>
      <c r="H2590" s="70"/>
      <c r="BA2590" s="4"/>
      <c r="BB2590" s="4"/>
    </row>
    <row r="2591" spans="1:54" x14ac:dyDescent="0.3">
      <c r="A2591" s="66"/>
      <c r="B2591" s="67"/>
      <c r="C2591" s="66"/>
      <c r="D2591" s="68"/>
      <c r="E2591" s="10"/>
      <c r="F2591" s="69"/>
      <c r="G2591" s="68"/>
      <c r="H2591" s="70"/>
      <c r="BA2591" s="4"/>
      <c r="BB2591" s="4"/>
    </row>
    <row r="2592" spans="1:54" x14ac:dyDescent="0.3">
      <c r="A2592" s="66"/>
      <c r="B2592" s="67"/>
      <c r="C2592" s="66"/>
      <c r="D2592" s="68"/>
      <c r="E2592" s="10"/>
      <c r="F2592" s="69"/>
      <c r="G2592" s="68"/>
      <c r="H2592" s="70"/>
      <c r="BA2592" s="4"/>
      <c r="BB2592" s="4"/>
    </row>
    <row r="2593" spans="1:54" x14ac:dyDescent="0.3">
      <c r="A2593" s="66"/>
      <c r="B2593" s="67"/>
      <c r="C2593" s="66"/>
      <c r="D2593" s="68"/>
      <c r="E2593" s="10"/>
      <c r="F2593" s="69"/>
      <c r="G2593" s="68"/>
      <c r="H2593" s="70"/>
      <c r="BA2593" s="4"/>
      <c r="BB2593" s="4"/>
    </row>
    <row r="2594" spans="1:54" x14ac:dyDescent="0.3">
      <c r="A2594" s="66"/>
      <c r="B2594" s="67"/>
      <c r="C2594" s="66"/>
      <c r="D2594" s="68"/>
      <c r="E2594" s="10"/>
      <c r="F2594" s="69"/>
      <c r="G2594" s="68"/>
      <c r="H2594" s="70"/>
      <c r="BA2594" s="4"/>
      <c r="BB2594" s="4"/>
    </row>
    <row r="2595" spans="1:54" x14ac:dyDescent="0.3">
      <c r="A2595" s="66"/>
      <c r="B2595" s="67"/>
      <c r="C2595" s="66"/>
      <c r="D2595" s="68"/>
      <c r="E2595" s="10"/>
      <c r="F2595" s="69"/>
      <c r="G2595" s="68"/>
      <c r="H2595" s="70"/>
      <c r="BA2595" s="4"/>
      <c r="BB2595" s="4"/>
    </row>
    <row r="2596" spans="1:54" x14ac:dyDescent="0.3">
      <c r="A2596" s="66"/>
      <c r="B2596" s="67"/>
      <c r="C2596" s="66"/>
      <c r="D2596" s="68"/>
      <c r="E2596" s="10"/>
      <c r="F2596" s="69"/>
      <c r="G2596" s="68"/>
      <c r="H2596" s="70"/>
      <c r="BA2596" s="4"/>
      <c r="BB2596" s="4"/>
    </row>
    <row r="2597" spans="1:54" x14ac:dyDescent="0.3">
      <c r="A2597" s="66"/>
      <c r="B2597" s="67"/>
      <c r="C2597" s="66"/>
      <c r="D2597" s="68"/>
      <c r="E2597" s="10"/>
      <c r="F2597" s="69"/>
      <c r="G2597" s="68"/>
      <c r="H2597" s="70"/>
      <c r="BA2597" s="4"/>
      <c r="BB2597" s="4"/>
    </row>
    <row r="2598" spans="1:54" x14ac:dyDescent="0.3">
      <c r="A2598" s="66"/>
      <c r="B2598" s="67"/>
      <c r="C2598" s="66"/>
      <c r="D2598" s="68"/>
      <c r="E2598" s="10"/>
      <c r="F2598" s="69"/>
      <c r="G2598" s="68"/>
      <c r="H2598" s="70"/>
      <c r="BA2598" s="4"/>
      <c r="BB2598" s="4"/>
    </row>
    <row r="2599" spans="1:54" x14ac:dyDescent="0.3">
      <c r="A2599" s="66"/>
      <c r="B2599" s="67"/>
      <c r="C2599" s="66"/>
      <c r="D2599" s="68"/>
      <c r="E2599" s="10"/>
      <c r="F2599" s="69"/>
      <c r="G2599" s="68"/>
      <c r="H2599" s="70"/>
      <c r="BA2599" s="4"/>
      <c r="BB2599" s="4"/>
    </row>
    <row r="2600" spans="1:54" x14ac:dyDescent="0.3">
      <c r="A2600" s="66"/>
      <c r="B2600" s="67"/>
      <c r="C2600" s="66"/>
      <c r="D2600" s="68"/>
      <c r="E2600" s="10"/>
      <c r="F2600" s="69"/>
      <c r="G2600" s="68"/>
      <c r="H2600" s="70"/>
      <c r="BA2600" s="4"/>
      <c r="BB2600" s="4"/>
    </row>
    <row r="2601" spans="1:54" x14ac:dyDescent="0.3">
      <c r="A2601" s="66"/>
      <c r="B2601" s="67"/>
      <c r="C2601" s="66"/>
      <c r="D2601" s="68"/>
      <c r="E2601" s="10"/>
      <c r="F2601" s="69"/>
      <c r="G2601" s="68"/>
      <c r="H2601" s="70"/>
      <c r="BA2601" s="4"/>
      <c r="BB2601" s="4"/>
    </row>
    <row r="2602" spans="1:54" x14ac:dyDescent="0.3">
      <c r="A2602" s="66"/>
      <c r="B2602" s="67"/>
      <c r="C2602" s="66"/>
      <c r="D2602" s="68"/>
      <c r="E2602" s="10"/>
      <c r="F2602" s="69"/>
      <c r="G2602" s="68"/>
      <c r="H2602" s="70"/>
      <c r="BA2602" s="4"/>
      <c r="BB2602" s="4"/>
    </row>
    <row r="2603" spans="1:54" x14ac:dyDescent="0.3">
      <c r="A2603" s="66"/>
      <c r="B2603" s="67"/>
      <c r="C2603" s="66"/>
      <c r="D2603" s="68"/>
      <c r="E2603" s="10"/>
      <c r="F2603" s="69"/>
      <c r="G2603" s="68"/>
      <c r="H2603" s="70"/>
      <c r="BA2603" s="4"/>
      <c r="BB2603" s="4"/>
    </row>
    <row r="2604" spans="1:54" x14ac:dyDescent="0.3">
      <c r="A2604" s="66"/>
      <c r="B2604" s="67"/>
      <c r="C2604" s="66"/>
      <c r="D2604" s="68"/>
      <c r="E2604" s="10"/>
      <c r="F2604" s="69"/>
      <c r="G2604" s="68"/>
      <c r="H2604" s="70"/>
      <c r="BA2604" s="4"/>
      <c r="BB2604" s="4"/>
    </row>
    <row r="2605" spans="1:54" x14ac:dyDescent="0.3">
      <c r="A2605" s="66"/>
      <c r="B2605" s="67"/>
      <c r="C2605" s="66"/>
      <c r="D2605" s="68"/>
      <c r="E2605" s="10"/>
      <c r="F2605" s="69"/>
      <c r="G2605" s="68"/>
      <c r="H2605" s="70"/>
      <c r="BA2605" s="4"/>
      <c r="BB2605" s="4"/>
    </row>
    <row r="2606" spans="1:54" x14ac:dyDescent="0.3">
      <c r="A2606" s="66"/>
      <c r="B2606" s="67"/>
      <c r="C2606" s="66"/>
      <c r="D2606" s="68"/>
      <c r="E2606" s="10"/>
      <c r="F2606" s="69"/>
      <c r="G2606" s="68"/>
      <c r="H2606" s="70"/>
      <c r="BA2606" s="4"/>
      <c r="BB2606" s="4"/>
    </row>
    <row r="2607" spans="1:54" x14ac:dyDescent="0.3">
      <c r="A2607" s="66"/>
      <c r="B2607" s="67"/>
      <c r="C2607" s="66"/>
      <c r="D2607" s="68"/>
      <c r="E2607" s="10"/>
      <c r="F2607" s="69"/>
      <c r="G2607" s="68"/>
      <c r="H2607" s="70"/>
      <c r="BA2607" s="4"/>
      <c r="BB2607" s="4"/>
    </row>
    <row r="2608" spans="1:54" x14ac:dyDescent="0.3">
      <c r="A2608" s="66"/>
      <c r="B2608" s="67"/>
      <c r="C2608" s="66"/>
      <c r="D2608" s="68"/>
      <c r="E2608" s="10"/>
      <c r="F2608" s="69"/>
      <c r="G2608" s="68"/>
      <c r="H2608" s="70"/>
      <c r="BA2608" s="4"/>
      <c r="BB2608" s="4"/>
    </row>
    <row r="2609" spans="1:54" x14ac:dyDescent="0.3">
      <c r="A2609" s="66"/>
      <c r="B2609" s="67"/>
      <c r="C2609" s="66"/>
      <c r="D2609" s="68"/>
      <c r="E2609" s="10"/>
      <c r="F2609" s="69"/>
      <c r="G2609" s="68"/>
      <c r="H2609" s="70"/>
      <c r="BA2609" s="4"/>
      <c r="BB2609" s="4"/>
    </row>
    <row r="2610" spans="1:54" x14ac:dyDescent="0.3">
      <c r="A2610" s="66"/>
      <c r="B2610" s="67"/>
      <c r="C2610" s="66"/>
      <c r="D2610" s="68"/>
      <c r="E2610" s="10"/>
      <c r="F2610" s="69"/>
      <c r="G2610" s="68"/>
      <c r="H2610" s="70"/>
      <c r="BA2610" s="4"/>
      <c r="BB2610" s="4"/>
    </row>
    <row r="2611" spans="1:54" x14ac:dyDescent="0.3">
      <c r="A2611" s="66"/>
      <c r="B2611" s="67"/>
      <c r="C2611" s="66"/>
      <c r="D2611" s="68"/>
      <c r="E2611" s="10"/>
      <c r="F2611" s="69"/>
      <c r="G2611" s="68"/>
      <c r="H2611" s="70"/>
      <c r="BA2611" s="4"/>
      <c r="BB2611" s="4"/>
    </row>
    <row r="2612" spans="1:54" x14ac:dyDescent="0.3">
      <c r="A2612" s="66"/>
      <c r="B2612" s="67"/>
      <c r="C2612" s="66"/>
      <c r="D2612" s="68"/>
      <c r="E2612" s="10"/>
      <c r="F2612" s="69"/>
      <c r="G2612" s="68"/>
      <c r="H2612" s="70"/>
      <c r="BA2612" s="4"/>
      <c r="BB2612" s="4"/>
    </row>
    <row r="2613" spans="1:54" x14ac:dyDescent="0.3">
      <c r="A2613" s="66"/>
      <c r="B2613" s="67"/>
      <c r="C2613" s="66"/>
      <c r="D2613" s="68"/>
      <c r="E2613" s="10"/>
      <c r="F2613" s="69"/>
      <c r="G2613" s="68"/>
      <c r="H2613" s="70"/>
      <c r="BA2613" s="4"/>
      <c r="BB2613" s="4"/>
    </row>
    <row r="2614" spans="1:54" x14ac:dyDescent="0.3">
      <c r="A2614" s="66"/>
      <c r="B2614" s="67"/>
      <c r="C2614" s="66"/>
      <c r="D2614" s="68"/>
      <c r="E2614" s="10"/>
      <c r="F2614" s="69"/>
      <c r="G2614" s="68"/>
      <c r="H2614" s="70"/>
      <c r="BA2614" s="4"/>
      <c r="BB2614" s="4"/>
    </row>
    <row r="2615" spans="1:54" x14ac:dyDescent="0.3">
      <c r="A2615" s="66"/>
      <c r="B2615" s="67"/>
      <c r="C2615" s="66"/>
      <c r="D2615" s="68"/>
      <c r="E2615" s="10"/>
      <c r="F2615" s="69"/>
      <c r="G2615" s="68"/>
      <c r="H2615" s="70"/>
      <c r="BA2615" s="4"/>
      <c r="BB2615" s="4"/>
    </row>
    <row r="2616" spans="1:54" x14ac:dyDescent="0.3">
      <c r="A2616" s="66"/>
      <c r="B2616" s="67"/>
      <c r="C2616" s="66"/>
      <c r="D2616" s="68"/>
      <c r="E2616" s="10"/>
      <c r="F2616" s="69"/>
      <c r="G2616" s="68"/>
      <c r="H2616" s="70"/>
      <c r="BA2616" s="4"/>
      <c r="BB2616" s="4"/>
    </row>
    <row r="2617" spans="1:54" x14ac:dyDescent="0.3">
      <c r="A2617" s="66"/>
      <c r="B2617" s="67"/>
      <c r="C2617" s="66"/>
      <c r="D2617" s="68"/>
      <c r="E2617" s="10"/>
      <c r="F2617" s="69"/>
      <c r="G2617" s="68"/>
      <c r="H2617" s="70"/>
      <c r="BA2617" s="4"/>
      <c r="BB2617" s="4"/>
    </row>
    <row r="2618" spans="1:54" x14ac:dyDescent="0.3">
      <c r="A2618" s="66"/>
      <c r="B2618" s="67"/>
      <c r="C2618" s="66"/>
      <c r="D2618" s="68"/>
      <c r="E2618" s="10"/>
      <c r="F2618" s="69"/>
      <c r="G2618" s="68"/>
      <c r="H2618" s="70"/>
      <c r="BA2618" s="4"/>
      <c r="BB2618" s="4"/>
    </row>
    <row r="2619" spans="1:54" x14ac:dyDescent="0.3">
      <c r="A2619" s="66"/>
      <c r="B2619" s="67"/>
      <c r="C2619" s="66"/>
      <c r="D2619" s="68"/>
      <c r="E2619" s="10"/>
      <c r="F2619" s="69"/>
      <c r="G2619" s="68"/>
      <c r="H2619" s="70"/>
      <c r="BA2619" s="4"/>
      <c r="BB2619" s="4"/>
    </row>
    <row r="2620" spans="1:54" x14ac:dyDescent="0.3">
      <c r="A2620" s="66"/>
      <c r="B2620" s="67"/>
      <c r="C2620" s="66"/>
      <c r="D2620" s="68"/>
      <c r="E2620" s="10"/>
      <c r="F2620" s="69"/>
      <c r="G2620" s="68"/>
      <c r="H2620" s="70"/>
      <c r="BA2620" s="4"/>
      <c r="BB2620" s="4"/>
    </row>
    <row r="2621" spans="1:54" x14ac:dyDescent="0.3">
      <c r="A2621" s="66"/>
      <c r="B2621" s="67"/>
      <c r="C2621" s="66"/>
      <c r="D2621" s="68"/>
      <c r="E2621" s="10"/>
      <c r="F2621" s="69"/>
      <c r="G2621" s="68"/>
      <c r="H2621" s="70"/>
      <c r="BA2621" s="4"/>
      <c r="BB2621" s="4"/>
    </row>
    <row r="2622" spans="1:54" x14ac:dyDescent="0.3">
      <c r="A2622" s="66"/>
      <c r="B2622" s="67"/>
      <c r="C2622" s="66"/>
      <c r="D2622" s="68"/>
      <c r="E2622" s="10"/>
      <c r="F2622" s="69"/>
      <c r="G2622" s="68"/>
      <c r="H2622" s="70"/>
      <c r="BA2622" s="4"/>
      <c r="BB2622" s="4"/>
    </row>
    <row r="2623" spans="1:54" x14ac:dyDescent="0.3">
      <c r="A2623" s="66"/>
      <c r="B2623" s="67"/>
      <c r="C2623" s="66"/>
      <c r="D2623" s="68"/>
      <c r="E2623" s="10"/>
      <c r="F2623" s="69"/>
      <c r="G2623" s="68"/>
      <c r="H2623" s="70"/>
      <c r="BA2623" s="4"/>
      <c r="BB2623" s="4"/>
    </row>
    <row r="2624" spans="1:54" x14ac:dyDescent="0.3">
      <c r="A2624" s="66"/>
      <c r="B2624" s="67"/>
      <c r="C2624" s="66"/>
      <c r="D2624" s="68"/>
      <c r="E2624" s="10"/>
      <c r="F2624" s="69"/>
      <c r="G2624" s="68"/>
      <c r="H2624" s="70"/>
      <c r="BA2624" s="4"/>
      <c r="BB2624" s="4"/>
    </row>
    <row r="2625" spans="1:54" x14ac:dyDescent="0.3">
      <c r="A2625" s="66"/>
      <c r="B2625" s="67"/>
      <c r="C2625" s="66"/>
      <c r="D2625" s="68"/>
      <c r="E2625" s="10"/>
      <c r="F2625" s="69"/>
      <c r="G2625" s="68"/>
      <c r="H2625" s="70"/>
      <c r="BA2625" s="4"/>
      <c r="BB2625" s="4"/>
    </row>
    <row r="2626" spans="1:54" x14ac:dyDescent="0.3">
      <c r="A2626" s="66"/>
      <c r="B2626" s="67"/>
      <c r="C2626" s="66"/>
      <c r="D2626" s="68"/>
      <c r="E2626" s="10"/>
      <c r="F2626" s="69"/>
      <c r="G2626" s="68"/>
      <c r="H2626" s="70"/>
      <c r="BA2626" s="4"/>
      <c r="BB2626" s="4"/>
    </row>
    <row r="2627" spans="1:54" x14ac:dyDescent="0.3">
      <c r="A2627" s="66"/>
      <c r="B2627" s="67"/>
      <c r="C2627" s="66"/>
      <c r="D2627" s="68"/>
      <c r="E2627" s="10"/>
      <c r="F2627" s="69"/>
      <c r="G2627" s="68"/>
      <c r="H2627" s="70"/>
      <c r="BA2627" s="4"/>
      <c r="BB2627" s="4"/>
    </row>
    <row r="2628" spans="1:54" x14ac:dyDescent="0.3">
      <c r="A2628" s="66"/>
      <c r="B2628" s="67"/>
      <c r="C2628" s="66"/>
      <c r="D2628" s="68"/>
      <c r="E2628" s="10"/>
      <c r="F2628" s="69"/>
      <c r="G2628" s="68"/>
      <c r="H2628" s="70"/>
      <c r="BA2628" s="4"/>
      <c r="BB2628" s="4"/>
    </row>
    <row r="2629" spans="1:54" x14ac:dyDescent="0.3">
      <c r="A2629" s="66"/>
      <c r="B2629" s="67"/>
      <c r="C2629" s="66"/>
      <c r="D2629" s="68"/>
      <c r="E2629" s="10"/>
      <c r="F2629" s="69"/>
      <c r="G2629" s="68"/>
      <c r="H2629" s="70"/>
      <c r="BA2629" s="4"/>
      <c r="BB2629" s="4"/>
    </row>
    <row r="2630" spans="1:54" x14ac:dyDescent="0.3">
      <c r="A2630" s="66"/>
      <c r="B2630" s="67"/>
      <c r="C2630" s="66"/>
      <c r="D2630" s="68"/>
      <c r="E2630" s="10"/>
      <c r="F2630" s="69"/>
      <c r="G2630" s="68"/>
      <c r="H2630" s="70"/>
      <c r="BA2630" s="4"/>
      <c r="BB2630" s="4"/>
    </row>
    <row r="2631" spans="1:54" x14ac:dyDescent="0.3">
      <c r="A2631" s="66"/>
      <c r="B2631" s="67"/>
      <c r="C2631" s="66"/>
      <c r="D2631" s="68"/>
      <c r="E2631" s="10"/>
      <c r="F2631" s="69"/>
      <c r="G2631" s="68"/>
      <c r="H2631" s="70"/>
      <c r="BA2631" s="4"/>
      <c r="BB2631" s="4"/>
    </row>
    <row r="2632" spans="1:54" x14ac:dyDescent="0.3">
      <c r="A2632" s="66"/>
      <c r="B2632" s="67"/>
      <c r="C2632" s="66"/>
      <c r="D2632" s="68"/>
      <c r="E2632" s="10"/>
      <c r="F2632" s="69"/>
      <c r="G2632" s="68"/>
      <c r="H2632" s="70"/>
      <c r="BA2632" s="4"/>
      <c r="BB2632" s="4"/>
    </row>
    <row r="2633" spans="1:54" x14ac:dyDescent="0.3">
      <c r="A2633" s="66"/>
      <c r="B2633" s="67"/>
      <c r="C2633" s="66"/>
      <c r="D2633" s="68"/>
      <c r="E2633" s="10"/>
      <c r="F2633" s="69"/>
      <c r="G2633" s="68"/>
      <c r="H2633" s="70"/>
      <c r="BA2633" s="4"/>
      <c r="BB2633" s="4"/>
    </row>
    <row r="2634" spans="1:54" x14ac:dyDescent="0.3">
      <c r="A2634" s="66"/>
      <c r="B2634" s="67"/>
      <c r="C2634" s="66"/>
      <c r="D2634" s="68"/>
      <c r="E2634" s="10"/>
      <c r="F2634" s="69"/>
      <c r="G2634" s="68"/>
      <c r="H2634" s="70"/>
      <c r="BA2634" s="4"/>
      <c r="BB2634" s="4"/>
    </row>
    <row r="2635" spans="1:54" x14ac:dyDescent="0.3">
      <c r="A2635" s="66"/>
      <c r="B2635" s="67"/>
      <c r="C2635" s="66"/>
      <c r="D2635" s="68"/>
      <c r="E2635" s="10"/>
      <c r="F2635" s="69"/>
      <c r="G2635" s="68"/>
      <c r="H2635" s="70"/>
      <c r="BA2635" s="4"/>
      <c r="BB2635" s="4"/>
    </row>
    <row r="2636" spans="1:54" x14ac:dyDescent="0.3">
      <c r="A2636" s="66"/>
      <c r="B2636" s="67"/>
      <c r="C2636" s="66"/>
      <c r="D2636" s="68"/>
      <c r="E2636" s="10"/>
      <c r="F2636" s="69"/>
      <c r="G2636" s="68"/>
      <c r="H2636" s="70"/>
      <c r="BA2636" s="4"/>
      <c r="BB2636" s="4"/>
    </row>
    <row r="2637" spans="1:54" x14ac:dyDescent="0.3">
      <c r="A2637" s="66"/>
      <c r="B2637" s="67"/>
      <c r="C2637" s="66"/>
      <c r="D2637" s="68"/>
      <c r="E2637" s="10"/>
      <c r="F2637" s="69"/>
      <c r="G2637" s="68"/>
      <c r="H2637" s="70"/>
      <c r="BA2637" s="4"/>
      <c r="BB2637" s="4"/>
    </row>
    <row r="2638" spans="1:54" x14ac:dyDescent="0.3">
      <c r="A2638" s="66"/>
      <c r="B2638" s="67"/>
      <c r="C2638" s="66"/>
      <c r="D2638" s="68"/>
      <c r="E2638" s="10"/>
      <c r="F2638" s="69"/>
      <c r="G2638" s="68"/>
      <c r="H2638" s="70"/>
      <c r="BA2638" s="4"/>
      <c r="BB2638" s="4"/>
    </row>
    <row r="2639" spans="1:54" x14ac:dyDescent="0.3">
      <c r="A2639" s="66"/>
      <c r="B2639" s="67"/>
      <c r="C2639" s="66"/>
      <c r="D2639" s="68"/>
      <c r="E2639" s="10"/>
      <c r="F2639" s="69"/>
      <c r="G2639" s="68"/>
      <c r="H2639" s="70"/>
      <c r="BA2639" s="4"/>
      <c r="BB2639" s="4"/>
    </row>
    <row r="2640" spans="1:54" x14ac:dyDescent="0.3">
      <c r="A2640" s="66"/>
      <c r="B2640" s="67"/>
      <c r="C2640" s="66"/>
      <c r="D2640" s="68"/>
      <c r="E2640" s="10"/>
      <c r="F2640" s="69"/>
      <c r="G2640" s="68"/>
      <c r="H2640" s="70"/>
      <c r="BA2640" s="4"/>
      <c r="BB2640" s="4"/>
    </row>
    <row r="2641" spans="1:54" x14ac:dyDescent="0.3">
      <c r="A2641" s="66"/>
      <c r="B2641" s="67"/>
      <c r="C2641" s="66"/>
      <c r="D2641" s="68"/>
      <c r="E2641" s="10"/>
      <c r="F2641" s="69"/>
      <c r="G2641" s="68"/>
      <c r="H2641" s="70"/>
      <c r="BA2641" s="4"/>
      <c r="BB2641" s="4"/>
    </row>
    <row r="2642" spans="1:54" x14ac:dyDescent="0.3">
      <c r="A2642" s="66"/>
      <c r="B2642" s="67"/>
      <c r="C2642" s="66"/>
      <c r="D2642" s="68"/>
      <c r="E2642" s="10"/>
      <c r="F2642" s="69"/>
      <c r="G2642" s="68"/>
      <c r="H2642" s="70"/>
      <c r="BA2642" s="4"/>
      <c r="BB2642" s="4"/>
    </row>
    <row r="2643" spans="1:54" x14ac:dyDescent="0.3">
      <c r="A2643" s="66"/>
      <c r="B2643" s="67"/>
      <c r="C2643" s="66"/>
      <c r="D2643" s="68"/>
      <c r="E2643" s="10"/>
      <c r="F2643" s="69"/>
      <c r="G2643" s="68"/>
      <c r="H2643" s="70"/>
      <c r="BA2643" s="4"/>
      <c r="BB2643" s="4"/>
    </row>
    <row r="2644" spans="1:54" x14ac:dyDescent="0.3">
      <c r="A2644" s="66"/>
      <c r="B2644" s="67"/>
      <c r="C2644" s="66"/>
      <c r="D2644" s="68"/>
      <c r="E2644" s="10"/>
      <c r="F2644" s="69"/>
      <c r="G2644" s="68"/>
      <c r="H2644" s="70"/>
      <c r="BA2644" s="4"/>
      <c r="BB2644" s="4"/>
    </row>
    <row r="2645" spans="1:54" x14ac:dyDescent="0.3">
      <c r="A2645" s="66"/>
      <c r="B2645" s="67"/>
      <c r="C2645" s="66"/>
      <c r="D2645" s="68"/>
      <c r="E2645" s="10"/>
      <c r="F2645" s="69"/>
      <c r="G2645" s="68"/>
      <c r="H2645" s="70"/>
      <c r="BA2645" s="4"/>
      <c r="BB2645" s="4"/>
    </row>
    <row r="2646" spans="1:54" x14ac:dyDescent="0.3">
      <c r="A2646" s="66"/>
      <c r="B2646" s="67"/>
      <c r="C2646" s="66"/>
      <c r="D2646" s="68"/>
      <c r="E2646" s="10"/>
      <c r="F2646" s="69"/>
      <c r="G2646" s="68"/>
      <c r="H2646" s="70"/>
      <c r="BA2646" s="4"/>
      <c r="BB2646" s="4"/>
    </row>
    <row r="2647" spans="1:54" x14ac:dyDescent="0.3">
      <c r="A2647" s="66"/>
      <c r="B2647" s="67"/>
      <c r="C2647" s="66"/>
      <c r="D2647" s="68"/>
      <c r="E2647" s="10"/>
      <c r="F2647" s="69"/>
      <c r="G2647" s="68"/>
      <c r="H2647" s="70"/>
      <c r="BA2647" s="4"/>
      <c r="BB2647" s="4"/>
    </row>
    <row r="2648" spans="1:54" x14ac:dyDescent="0.3">
      <c r="A2648" s="66"/>
      <c r="B2648" s="67"/>
      <c r="C2648" s="66"/>
      <c r="D2648" s="68"/>
      <c r="E2648" s="10"/>
      <c r="F2648" s="69"/>
      <c r="G2648" s="68"/>
      <c r="H2648" s="70"/>
      <c r="BA2648" s="4"/>
      <c r="BB2648" s="4"/>
    </row>
    <row r="2649" spans="1:54" x14ac:dyDescent="0.3">
      <c r="A2649" s="66"/>
      <c r="B2649" s="67"/>
      <c r="C2649" s="66"/>
      <c r="D2649" s="68"/>
      <c r="E2649" s="10"/>
      <c r="F2649" s="69"/>
      <c r="G2649" s="68"/>
      <c r="H2649" s="70"/>
      <c r="BA2649" s="4"/>
      <c r="BB2649" s="4"/>
    </row>
    <row r="2650" spans="1:54" x14ac:dyDescent="0.3">
      <c r="A2650" s="66"/>
      <c r="B2650" s="67"/>
      <c r="C2650" s="66"/>
      <c r="D2650" s="68"/>
      <c r="E2650" s="10"/>
      <c r="F2650" s="69"/>
      <c r="G2650" s="68"/>
      <c r="H2650" s="70"/>
      <c r="BA2650" s="4"/>
      <c r="BB2650" s="4"/>
    </row>
    <row r="2651" spans="1:54" x14ac:dyDescent="0.3">
      <c r="A2651" s="66"/>
      <c r="B2651" s="67"/>
      <c r="C2651" s="66"/>
      <c r="D2651" s="68"/>
      <c r="E2651" s="10"/>
      <c r="F2651" s="69"/>
      <c r="G2651" s="68"/>
      <c r="H2651" s="70"/>
      <c r="BA2651" s="4"/>
      <c r="BB2651" s="4"/>
    </row>
    <row r="2652" spans="1:54" x14ac:dyDescent="0.3">
      <c r="A2652" s="66"/>
      <c r="B2652" s="67"/>
      <c r="C2652" s="66"/>
      <c r="D2652" s="68"/>
      <c r="E2652" s="10"/>
      <c r="F2652" s="69"/>
      <c r="G2652" s="68"/>
      <c r="H2652" s="70"/>
      <c r="BA2652" s="4"/>
      <c r="BB2652" s="4"/>
    </row>
    <row r="2653" spans="1:54" x14ac:dyDescent="0.3">
      <c r="A2653" s="66"/>
      <c r="B2653" s="67"/>
      <c r="C2653" s="66"/>
      <c r="D2653" s="68"/>
      <c r="E2653" s="10"/>
      <c r="F2653" s="69"/>
      <c r="G2653" s="68"/>
      <c r="H2653" s="70"/>
      <c r="BA2653" s="4"/>
      <c r="BB2653" s="4"/>
    </row>
    <row r="2654" spans="1:54" x14ac:dyDescent="0.3">
      <c r="A2654" s="66"/>
      <c r="B2654" s="67"/>
      <c r="C2654" s="66"/>
      <c r="D2654" s="68"/>
      <c r="E2654" s="10"/>
      <c r="F2654" s="69"/>
      <c r="G2654" s="68"/>
      <c r="H2654" s="70"/>
      <c r="BA2654" s="4"/>
      <c r="BB2654" s="4"/>
    </row>
    <row r="2655" spans="1:54" x14ac:dyDescent="0.3">
      <c r="A2655" s="66"/>
      <c r="B2655" s="67"/>
      <c r="C2655" s="66"/>
      <c r="D2655" s="68"/>
      <c r="E2655" s="10"/>
      <c r="F2655" s="69"/>
      <c r="G2655" s="68"/>
      <c r="H2655" s="70"/>
      <c r="BA2655" s="4"/>
      <c r="BB2655" s="4"/>
    </row>
    <row r="2656" spans="1:54" x14ac:dyDescent="0.3">
      <c r="A2656" s="66"/>
      <c r="B2656" s="67"/>
      <c r="C2656" s="66"/>
      <c r="D2656" s="68"/>
      <c r="E2656" s="10"/>
      <c r="F2656" s="69"/>
      <c r="G2656" s="68"/>
      <c r="H2656" s="70"/>
      <c r="BA2656" s="4"/>
      <c r="BB2656" s="4"/>
    </row>
    <row r="2657" spans="1:54" x14ac:dyDescent="0.3">
      <c r="A2657" s="66"/>
      <c r="B2657" s="67"/>
      <c r="C2657" s="66"/>
      <c r="D2657" s="68"/>
      <c r="E2657" s="10"/>
      <c r="F2657" s="69"/>
      <c r="G2657" s="68"/>
      <c r="H2657" s="70"/>
      <c r="BA2657" s="4"/>
      <c r="BB2657" s="4"/>
    </row>
    <row r="2658" spans="1:54" x14ac:dyDescent="0.3">
      <c r="A2658" s="66"/>
      <c r="B2658" s="67"/>
      <c r="C2658" s="66"/>
      <c r="D2658" s="68"/>
      <c r="E2658" s="10"/>
      <c r="F2658" s="69"/>
      <c r="G2658" s="68"/>
      <c r="H2658" s="70"/>
      <c r="BA2658" s="4"/>
      <c r="BB2658" s="4"/>
    </row>
    <row r="2659" spans="1:54" x14ac:dyDescent="0.3">
      <c r="A2659" s="66"/>
      <c r="B2659" s="67"/>
      <c r="C2659" s="66"/>
      <c r="D2659" s="68"/>
      <c r="E2659" s="10"/>
      <c r="F2659" s="69"/>
      <c r="G2659" s="68"/>
      <c r="H2659" s="70"/>
      <c r="BA2659" s="4"/>
      <c r="BB2659" s="4"/>
    </row>
    <row r="2660" spans="1:54" x14ac:dyDescent="0.3">
      <c r="A2660" s="66"/>
      <c r="B2660" s="67"/>
      <c r="C2660" s="66"/>
      <c r="D2660" s="68"/>
      <c r="E2660" s="10"/>
      <c r="F2660" s="69"/>
      <c r="G2660" s="68"/>
      <c r="H2660" s="70"/>
      <c r="BA2660" s="4"/>
      <c r="BB2660" s="4"/>
    </row>
    <row r="2661" spans="1:54" x14ac:dyDescent="0.3">
      <c r="A2661" s="66"/>
      <c r="B2661" s="67"/>
      <c r="C2661" s="66"/>
      <c r="D2661" s="68"/>
      <c r="E2661" s="10"/>
      <c r="F2661" s="69"/>
      <c r="G2661" s="68"/>
      <c r="H2661" s="70"/>
      <c r="BA2661" s="4"/>
      <c r="BB2661" s="4"/>
    </row>
    <row r="2662" spans="1:54" x14ac:dyDescent="0.3">
      <c r="A2662" s="66"/>
      <c r="B2662" s="67"/>
      <c r="C2662" s="66"/>
      <c r="D2662" s="68"/>
      <c r="E2662" s="10"/>
      <c r="F2662" s="69"/>
      <c r="G2662" s="68"/>
      <c r="H2662" s="70"/>
      <c r="BA2662" s="4"/>
      <c r="BB2662" s="4"/>
    </row>
    <row r="2663" spans="1:54" x14ac:dyDescent="0.3">
      <c r="A2663" s="66"/>
      <c r="B2663" s="67"/>
      <c r="C2663" s="66"/>
      <c r="D2663" s="68"/>
      <c r="E2663" s="10"/>
      <c r="F2663" s="69"/>
      <c r="G2663" s="68"/>
      <c r="H2663" s="70"/>
      <c r="BA2663" s="4"/>
      <c r="BB2663" s="4"/>
    </row>
    <row r="2664" spans="1:54" x14ac:dyDescent="0.3">
      <c r="A2664" s="66"/>
      <c r="B2664" s="67"/>
      <c r="C2664" s="66"/>
      <c r="D2664" s="68"/>
      <c r="E2664" s="10"/>
      <c r="F2664" s="69"/>
      <c r="G2664" s="68"/>
      <c r="H2664" s="70"/>
      <c r="BA2664" s="4"/>
      <c r="BB2664" s="4"/>
    </row>
    <row r="2665" spans="1:54" x14ac:dyDescent="0.3">
      <c r="A2665" s="66"/>
      <c r="B2665" s="67"/>
      <c r="C2665" s="66"/>
      <c r="D2665" s="68"/>
      <c r="E2665" s="10"/>
      <c r="F2665" s="69"/>
      <c r="G2665" s="68"/>
      <c r="H2665" s="70"/>
      <c r="BA2665" s="4"/>
      <c r="BB2665" s="4"/>
    </row>
    <row r="2666" spans="1:54" x14ac:dyDescent="0.3">
      <c r="A2666" s="66"/>
      <c r="B2666" s="67"/>
      <c r="C2666" s="66"/>
      <c r="D2666" s="68"/>
      <c r="E2666" s="10"/>
      <c r="F2666" s="69"/>
      <c r="G2666" s="68"/>
      <c r="H2666" s="70"/>
      <c r="BA2666" s="4"/>
      <c r="BB2666" s="4"/>
    </row>
    <row r="2667" spans="1:54" x14ac:dyDescent="0.3">
      <c r="A2667" s="66"/>
      <c r="B2667" s="67"/>
      <c r="C2667" s="66"/>
      <c r="D2667" s="68"/>
      <c r="E2667" s="10"/>
      <c r="F2667" s="69"/>
      <c r="G2667" s="68"/>
      <c r="H2667" s="70"/>
      <c r="BA2667" s="4"/>
      <c r="BB2667" s="4"/>
    </row>
    <row r="2668" spans="1:54" x14ac:dyDescent="0.3">
      <c r="A2668" s="66"/>
      <c r="B2668" s="67"/>
      <c r="C2668" s="66"/>
      <c r="D2668" s="68"/>
      <c r="E2668" s="10"/>
      <c r="F2668" s="69"/>
      <c r="G2668" s="68"/>
      <c r="H2668" s="70"/>
      <c r="BA2668" s="4"/>
      <c r="BB2668" s="4"/>
    </row>
    <row r="2669" spans="1:54" x14ac:dyDescent="0.3">
      <c r="A2669" s="66"/>
      <c r="B2669" s="67"/>
      <c r="C2669" s="66"/>
      <c r="D2669" s="68"/>
      <c r="E2669" s="10"/>
      <c r="F2669" s="69"/>
      <c r="G2669" s="68"/>
      <c r="H2669" s="70"/>
      <c r="BA2669" s="4"/>
      <c r="BB2669" s="4"/>
    </row>
    <row r="2670" spans="1:54" x14ac:dyDescent="0.3">
      <c r="A2670" s="66"/>
      <c r="B2670" s="67"/>
      <c r="C2670" s="66"/>
      <c r="D2670" s="68"/>
      <c r="E2670" s="10"/>
      <c r="F2670" s="69"/>
      <c r="G2670" s="68"/>
      <c r="H2670" s="70"/>
      <c r="BA2670" s="4"/>
      <c r="BB2670" s="4"/>
    </row>
    <row r="2671" spans="1:54" x14ac:dyDescent="0.3">
      <c r="A2671" s="66"/>
      <c r="B2671" s="67"/>
      <c r="C2671" s="66"/>
      <c r="D2671" s="68"/>
      <c r="E2671" s="10"/>
      <c r="F2671" s="69"/>
      <c r="G2671" s="68"/>
      <c r="H2671" s="70"/>
      <c r="BA2671" s="4"/>
      <c r="BB2671" s="4"/>
    </row>
    <row r="2672" spans="1:54" x14ac:dyDescent="0.3">
      <c r="A2672" s="66"/>
      <c r="B2672" s="67"/>
      <c r="C2672" s="66"/>
      <c r="D2672" s="68"/>
      <c r="E2672" s="10"/>
      <c r="F2672" s="69"/>
      <c r="G2672" s="68"/>
      <c r="H2672" s="70"/>
      <c r="BA2672" s="4"/>
      <c r="BB2672" s="4"/>
    </row>
    <row r="2673" spans="1:54" x14ac:dyDescent="0.3">
      <c r="A2673" s="66"/>
      <c r="B2673" s="67"/>
      <c r="C2673" s="66"/>
      <c r="D2673" s="68"/>
      <c r="E2673" s="10"/>
      <c r="F2673" s="69"/>
      <c r="G2673" s="68"/>
      <c r="H2673" s="70"/>
      <c r="BA2673" s="4"/>
      <c r="BB2673" s="4"/>
    </row>
    <row r="2674" spans="1:54" x14ac:dyDescent="0.3">
      <c r="A2674" s="66"/>
      <c r="B2674" s="67"/>
      <c r="C2674" s="66"/>
      <c r="D2674" s="68"/>
      <c r="E2674" s="10"/>
      <c r="F2674" s="69"/>
      <c r="G2674" s="68"/>
      <c r="H2674" s="70"/>
      <c r="BA2674" s="4"/>
      <c r="BB2674" s="4"/>
    </row>
    <row r="2675" spans="1:54" x14ac:dyDescent="0.3">
      <c r="A2675" s="66"/>
      <c r="B2675" s="67"/>
      <c r="C2675" s="66"/>
      <c r="D2675" s="68"/>
      <c r="E2675" s="10"/>
      <c r="F2675" s="69"/>
      <c r="G2675" s="68"/>
      <c r="H2675" s="70"/>
      <c r="BA2675" s="4"/>
      <c r="BB2675" s="4"/>
    </row>
    <row r="2676" spans="1:54" x14ac:dyDescent="0.3">
      <c r="A2676" s="66"/>
      <c r="B2676" s="67"/>
      <c r="C2676" s="66"/>
      <c r="D2676" s="68"/>
      <c r="E2676" s="10"/>
      <c r="F2676" s="69"/>
      <c r="G2676" s="68"/>
      <c r="H2676" s="70"/>
      <c r="BA2676" s="4"/>
      <c r="BB2676" s="4"/>
    </row>
    <row r="2677" spans="1:54" x14ac:dyDescent="0.3">
      <c r="A2677" s="66"/>
      <c r="B2677" s="67"/>
      <c r="C2677" s="66"/>
      <c r="D2677" s="68"/>
      <c r="E2677" s="10"/>
      <c r="F2677" s="69"/>
      <c r="G2677" s="68"/>
      <c r="H2677" s="70"/>
      <c r="BA2677" s="4"/>
      <c r="BB2677" s="4"/>
    </row>
    <row r="2678" spans="1:54" x14ac:dyDescent="0.3">
      <c r="A2678" s="66"/>
      <c r="B2678" s="67"/>
      <c r="C2678" s="66"/>
      <c r="D2678" s="68"/>
      <c r="E2678" s="10"/>
      <c r="F2678" s="69"/>
      <c r="G2678" s="68"/>
      <c r="H2678" s="70"/>
      <c r="BA2678" s="4"/>
      <c r="BB2678" s="4"/>
    </row>
    <row r="2679" spans="1:54" x14ac:dyDescent="0.3">
      <c r="A2679" s="66"/>
      <c r="B2679" s="67"/>
      <c r="C2679" s="66"/>
      <c r="D2679" s="68"/>
      <c r="E2679" s="10"/>
      <c r="F2679" s="69"/>
      <c r="G2679" s="68"/>
      <c r="H2679" s="70"/>
      <c r="BA2679" s="4"/>
      <c r="BB2679" s="4"/>
    </row>
    <row r="2680" spans="1:54" x14ac:dyDescent="0.3">
      <c r="A2680" s="66"/>
      <c r="B2680" s="67"/>
      <c r="C2680" s="66"/>
      <c r="D2680" s="68"/>
      <c r="E2680" s="10"/>
      <c r="F2680" s="69"/>
      <c r="G2680" s="68"/>
      <c r="H2680" s="70"/>
      <c r="BA2680" s="4"/>
      <c r="BB2680" s="4"/>
    </row>
    <row r="2681" spans="1:54" x14ac:dyDescent="0.3">
      <c r="A2681" s="66"/>
      <c r="B2681" s="67"/>
      <c r="C2681" s="66"/>
      <c r="D2681" s="68"/>
      <c r="E2681" s="10"/>
      <c r="F2681" s="69"/>
      <c r="G2681" s="68"/>
      <c r="H2681" s="70"/>
      <c r="BA2681" s="4"/>
      <c r="BB2681" s="4"/>
    </row>
    <row r="2682" spans="1:54" x14ac:dyDescent="0.3">
      <c r="A2682" s="66"/>
      <c r="B2682" s="67"/>
      <c r="C2682" s="66"/>
      <c r="D2682" s="68"/>
      <c r="E2682" s="10"/>
      <c r="F2682" s="69"/>
      <c r="G2682" s="68"/>
      <c r="H2682" s="70"/>
      <c r="BA2682" s="4"/>
      <c r="BB2682" s="4"/>
    </row>
    <row r="2683" spans="1:54" x14ac:dyDescent="0.3">
      <c r="A2683" s="66"/>
      <c r="B2683" s="67"/>
      <c r="C2683" s="66"/>
      <c r="D2683" s="68"/>
      <c r="E2683" s="10"/>
      <c r="F2683" s="69"/>
      <c r="G2683" s="68"/>
      <c r="H2683" s="70"/>
      <c r="BA2683" s="4"/>
      <c r="BB2683" s="4"/>
    </row>
    <row r="2684" spans="1:54" x14ac:dyDescent="0.3">
      <c r="A2684" s="66"/>
      <c r="B2684" s="67"/>
      <c r="C2684" s="66"/>
      <c r="D2684" s="68"/>
      <c r="E2684" s="10"/>
      <c r="F2684" s="69"/>
      <c r="G2684" s="68"/>
      <c r="H2684" s="70"/>
      <c r="BA2684" s="4"/>
      <c r="BB2684" s="4"/>
    </row>
    <row r="2685" spans="1:54" x14ac:dyDescent="0.3">
      <c r="A2685" s="66"/>
      <c r="B2685" s="67"/>
      <c r="C2685" s="66"/>
      <c r="D2685" s="68"/>
      <c r="E2685" s="10"/>
      <c r="F2685" s="69"/>
      <c r="G2685" s="68"/>
      <c r="H2685" s="70"/>
      <c r="BA2685" s="4"/>
      <c r="BB2685" s="4"/>
    </row>
    <row r="2686" spans="1:54" x14ac:dyDescent="0.3">
      <c r="A2686" s="66"/>
      <c r="B2686" s="67"/>
      <c r="C2686" s="66"/>
      <c r="D2686" s="68"/>
      <c r="E2686" s="10"/>
      <c r="F2686" s="69"/>
      <c r="G2686" s="68"/>
      <c r="H2686" s="70"/>
      <c r="BA2686" s="4"/>
      <c r="BB2686" s="4"/>
    </row>
    <row r="2687" spans="1:54" x14ac:dyDescent="0.3">
      <c r="A2687" s="66"/>
      <c r="B2687" s="67"/>
      <c r="C2687" s="66"/>
      <c r="D2687" s="68"/>
      <c r="E2687" s="10"/>
      <c r="F2687" s="69"/>
      <c r="G2687" s="68"/>
      <c r="H2687" s="70"/>
      <c r="BA2687" s="4"/>
      <c r="BB2687" s="4"/>
    </row>
    <row r="2688" spans="1:54" x14ac:dyDescent="0.3">
      <c r="A2688" s="66"/>
      <c r="B2688" s="67"/>
      <c r="C2688" s="66"/>
      <c r="D2688" s="68"/>
      <c r="E2688" s="10"/>
      <c r="F2688" s="69"/>
      <c r="G2688" s="68"/>
      <c r="H2688" s="70"/>
      <c r="BA2688" s="4"/>
      <c r="BB2688" s="4"/>
    </row>
    <row r="2689" spans="1:54" x14ac:dyDescent="0.3">
      <c r="A2689" s="66"/>
      <c r="B2689" s="67"/>
      <c r="C2689" s="66"/>
      <c r="D2689" s="68"/>
      <c r="E2689" s="10"/>
      <c r="F2689" s="69"/>
      <c r="G2689" s="68"/>
      <c r="H2689" s="70"/>
      <c r="BA2689" s="4"/>
      <c r="BB2689" s="4"/>
    </row>
    <row r="2690" spans="1:54" x14ac:dyDescent="0.3">
      <c r="A2690" s="66"/>
      <c r="B2690" s="67"/>
      <c r="C2690" s="66"/>
      <c r="D2690" s="68"/>
      <c r="E2690" s="10"/>
      <c r="F2690" s="69"/>
      <c r="G2690" s="68"/>
      <c r="H2690" s="70"/>
      <c r="BA2690" s="4"/>
      <c r="BB2690" s="4"/>
    </row>
    <row r="2691" spans="1:54" x14ac:dyDescent="0.3">
      <c r="A2691" s="66"/>
      <c r="B2691" s="67"/>
      <c r="C2691" s="66"/>
      <c r="D2691" s="68"/>
      <c r="E2691" s="10"/>
      <c r="F2691" s="69"/>
      <c r="G2691" s="68"/>
      <c r="H2691" s="70"/>
      <c r="BA2691" s="4"/>
      <c r="BB2691" s="4"/>
    </row>
    <row r="2692" spans="1:54" x14ac:dyDescent="0.3">
      <c r="A2692" s="66"/>
      <c r="B2692" s="67"/>
      <c r="C2692" s="66"/>
      <c r="D2692" s="68"/>
      <c r="E2692" s="10"/>
      <c r="F2692" s="69"/>
      <c r="G2692" s="68"/>
      <c r="H2692" s="70"/>
      <c r="BA2692" s="4"/>
      <c r="BB2692" s="4"/>
    </row>
    <row r="2693" spans="1:54" x14ac:dyDescent="0.3">
      <c r="A2693" s="66"/>
      <c r="B2693" s="67"/>
      <c r="C2693" s="66"/>
      <c r="D2693" s="68"/>
      <c r="E2693" s="10"/>
      <c r="F2693" s="69"/>
      <c r="G2693" s="68"/>
      <c r="H2693" s="70"/>
      <c r="BA2693" s="4"/>
      <c r="BB2693" s="4"/>
    </row>
    <row r="2694" spans="1:54" x14ac:dyDescent="0.3">
      <c r="A2694" s="66"/>
      <c r="B2694" s="67"/>
      <c r="C2694" s="66"/>
      <c r="D2694" s="68"/>
      <c r="E2694" s="10"/>
      <c r="F2694" s="69"/>
      <c r="G2694" s="68"/>
      <c r="H2694" s="70"/>
      <c r="BA2694" s="4"/>
      <c r="BB2694" s="4"/>
    </row>
    <row r="2695" spans="1:54" x14ac:dyDescent="0.3">
      <c r="A2695" s="66"/>
      <c r="B2695" s="67"/>
      <c r="C2695" s="66"/>
      <c r="D2695" s="68"/>
      <c r="E2695" s="10"/>
      <c r="F2695" s="69"/>
      <c r="G2695" s="68"/>
      <c r="H2695" s="70"/>
      <c r="BA2695" s="4"/>
      <c r="BB2695" s="4"/>
    </row>
    <row r="2696" spans="1:54" x14ac:dyDescent="0.3">
      <c r="A2696" s="66"/>
      <c r="B2696" s="67"/>
      <c r="C2696" s="66"/>
      <c r="D2696" s="68"/>
      <c r="E2696" s="10"/>
      <c r="F2696" s="69"/>
      <c r="G2696" s="68"/>
      <c r="H2696" s="70"/>
      <c r="BA2696" s="4"/>
      <c r="BB2696" s="4"/>
    </row>
    <row r="2697" spans="1:54" x14ac:dyDescent="0.3">
      <c r="A2697" s="66"/>
      <c r="B2697" s="67"/>
      <c r="C2697" s="66"/>
      <c r="D2697" s="68"/>
      <c r="E2697" s="10"/>
      <c r="F2697" s="69"/>
      <c r="G2697" s="68"/>
      <c r="H2697" s="70"/>
      <c r="BA2697" s="4"/>
      <c r="BB2697" s="4"/>
    </row>
    <row r="2698" spans="1:54" x14ac:dyDescent="0.3">
      <c r="A2698" s="66"/>
      <c r="B2698" s="67"/>
      <c r="C2698" s="66"/>
      <c r="D2698" s="68"/>
      <c r="E2698" s="10"/>
      <c r="F2698" s="69"/>
      <c r="G2698" s="68"/>
      <c r="H2698" s="70"/>
      <c r="BA2698" s="4"/>
      <c r="BB2698" s="4"/>
    </row>
    <row r="2699" spans="1:54" x14ac:dyDescent="0.3">
      <c r="A2699" s="66"/>
      <c r="B2699" s="67"/>
      <c r="C2699" s="66"/>
      <c r="D2699" s="68"/>
      <c r="E2699" s="10"/>
      <c r="F2699" s="69"/>
      <c r="G2699" s="68"/>
      <c r="H2699" s="70"/>
      <c r="BA2699" s="4"/>
      <c r="BB2699" s="4"/>
    </row>
    <row r="2700" spans="1:54" x14ac:dyDescent="0.3">
      <c r="A2700" s="66"/>
      <c r="B2700" s="67"/>
      <c r="C2700" s="66"/>
      <c r="D2700" s="68"/>
      <c r="E2700" s="10"/>
      <c r="F2700" s="69"/>
      <c r="G2700" s="68"/>
      <c r="H2700" s="70"/>
      <c r="BA2700" s="4"/>
      <c r="BB2700" s="4"/>
    </row>
    <row r="2701" spans="1:54" x14ac:dyDescent="0.3">
      <c r="A2701" s="66"/>
      <c r="B2701" s="67"/>
      <c r="C2701" s="66"/>
      <c r="D2701" s="68"/>
      <c r="E2701" s="10"/>
      <c r="F2701" s="69"/>
      <c r="G2701" s="68"/>
      <c r="H2701" s="70"/>
      <c r="BA2701" s="4"/>
      <c r="BB2701" s="4"/>
    </row>
    <row r="2702" spans="1:54" x14ac:dyDescent="0.3">
      <c r="A2702" s="66"/>
      <c r="B2702" s="67"/>
      <c r="C2702" s="66"/>
      <c r="D2702" s="68"/>
      <c r="E2702" s="10"/>
      <c r="F2702" s="69"/>
      <c r="G2702" s="68"/>
      <c r="H2702" s="70"/>
      <c r="BA2702" s="4"/>
      <c r="BB2702" s="4"/>
    </row>
    <row r="2703" spans="1:54" x14ac:dyDescent="0.3">
      <c r="A2703" s="66"/>
      <c r="B2703" s="67"/>
      <c r="C2703" s="66"/>
      <c r="D2703" s="68"/>
      <c r="E2703" s="10"/>
      <c r="F2703" s="69"/>
      <c r="G2703" s="68"/>
      <c r="H2703" s="70"/>
      <c r="BA2703" s="4"/>
      <c r="BB2703" s="4"/>
    </row>
    <row r="2704" spans="1:54" x14ac:dyDescent="0.3">
      <c r="A2704" s="66"/>
      <c r="B2704" s="67"/>
      <c r="C2704" s="66"/>
      <c r="D2704" s="68"/>
      <c r="E2704" s="10"/>
      <c r="F2704" s="69"/>
      <c r="G2704" s="68"/>
      <c r="H2704" s="70"/>
      <c r="BA2704" s="4"/>
      <c r="BB2704" s="4"/>
    </row>
    <row r="2705" spans="1:54" x14ac:dyDescent="0.3">
      <c r="A2705" s="66"/>
      <c r="B2705" s="67"/>
      <c r="C2705" s="66"/>
      <c r="D2705" s="68"/>
      <c r="E2705" s="10"/>
      <c r="F2705" s="69"/>
      <c r="G2705" s="68"/>
      <c r="H2705" s="70"/>
      <c r="BA2705" s="4"/>
      <c r="BB2705" s="4"/>
    </row>
    <row r="2706" spans="1:54" x14ac:dyDescent="0.3">
      <c r="A2706" s="66"/>
      <c r="B2706" s="67"/>
      <c r="C2706" s="66"/>
      <c r="D2706" s="68"/>
      <c r="E2706" s="10"/>
      <c r="F2706" s="69"/>
      <c r="G2706" s="68"/>
      <c r="H2706" s="70"/>
      <c r="BA2706" s="4"/>
      <c r="BB2706" s="4"/>
    </row>
    <row r="2707" spans="1:54" x14ac:dyDescent="0.3">
      <c r="A2707" s="66"/>
      <c r="B2707" s="67"/>
      <c r="C2707" s="66"/>
      <c r="D2707" s="68"/>
      <c r="E2707" s="10"/>
      <c r="F2707" s="69"/>
      <c r="G2707" s="68"/>
      <c r="H2707" s="70"/>
      <c r="BA2707" s="4"/>
      <c r="BB2707" s="4"/>
    </row>
    <row r="2708" spans="1:54" x14ac:dyDescent="0.3">
      <c r="A2708" s="66"/>
      <c r="B2708" s="67"/>
      <c r="C2708" s="66"/>
      <c r="D2708" s="68"/>
      <c r="E2708" s="10"/>
      <c r="F2708" s="69"/>
      <c r="G2708" s="68"/>
      <c r="H2708" s="70"/>
      <c r="BA2708" s="4"/>
      <c r="BB2708" s="4"/>
    </row>
    <row r="2709" spans="1:54" x14ac:dyDescent="0.3">
      <c r="A2709" s="66"/>
      <c r="B2709" s="67"/>
      <c r="C2709" s="66"/>
      <c r="D2709" s="68"/>
      <c r="E2709" s="10"/>
      <c r="F2709" s="69"/>
      <c r="G2709" s="68"/>
      <c r="H2709" s="70"/>
      <c r="BA2709" s="4"/>
      <c r="BB2709" s="4"/>
    </row>
    <row r="2710" spans="1:54" x14ac:dyDescent="0.3">
      <c r="A2710" s="66"/>
      <c r="B2710" s="67"/>
      <c r="C2710" s="66"/>
      <c r="D2710" s="68"/>
      <c r="E2710" s="10"/>
      <c r="F2710" s="69"/>
      <c r="G2710" s="68"/>
      <c r="H2710" s="70"/>
      <c r="BA2710" s="4"/>
      <c r="BB2710" s="4"/>
    </row>
    <row r="2711" spans="1:54" x14ac:dyDescent="0.3">
      <c r="A2711" s="66"/>
      <c r="B2711" s="67"/>
      <c r="C2711" s="66"/>
      <c r="D2711" s="68"/>
      <c r="E2711" s="10"/>
      <c r="F2711" s="69"/>
      <c r="G2711" s="68"/>
      <c r="H2711" s="70"/>
      <c r="BA2711" s="4"/>
      <c r="BB2711" s="4"/>
    </row>
    <row r="2712" spans="1:54" x14ac:dyDescent="0.3">
      <c r="A2712" s="66"/>
      <c r="B2712" s="67"/>
      <c r="C2712" s="66"/>
      <c r="D2712" s="68"/>
      <c r="E2712" s="10"/>
      <c r="F2712" s="69"/>
      <c r="G2712" s="68"/>
      <c r="H2712" s="70"/>
      <c r="BA2712" s="4"/>
      <c r="BB2712" s="4"/>
    </row>
    <row r="2713" spans="1:54" x14ac:dyDescent="0.3">
      <c r="A2713" s="66"/>
      <c r="B2713" s="67"/>
      <c r="C2713" s="66"/>
      <c r="D2713" s="68"/>
      <c r="E2713" s="10"/>
      <c r="F2713" s="69"/>
      <c r="G2713" s="68"/>
      <c r="H2713" s="70"/>
      <c r="BA2713" s="4"/>
      <c r="BB2713" s="4"/>
    </row>
    <row r="2714" spans="1:54" x14ac:dyDescent="0.3">
      <c r="A2714" s="66"/>
      <c r="B2714" s="67"/>
      <c r="C2714" s="66"/>
      <c r="D2714" s="68"/>
      <c r="E2714" s="10"/>
      <c r="F2714" s="69"/>
      <c r="G2714" s="68"/>
      <c r="H2714" s="70"/>
      <c r="BA2714" s="4"/>
      <c r="BB2714" s="4"/>
    </row>
    <row r="2715" spans="1:54" x14ac:dyDescent="0.3">
      <c r="A2715" s="66"/>
      <c r="B2715" s="67"/>
      <c r="C2715" s="66"/>
      <c r="D2715" s="68"/>
      <c r="E2715" s="10"/>
      <c r="F2715" s="69"/>
      <c r="G2715" s="68"/>
      <c r="H2715" s="70"/>
      <c r="BA2715" s="4"/>
      <c r="BB2715" s="4"/>
    </row>
    <row r="2716" spans="1:54" x14ac:dyDescent="0.3">
      <c r="A2716" s="66"/>
      <c r="B2716" s="67"/>
      <c r="C2716" s="66"/>
      <c r="D2716" s="68"/>
      <c r="E2716" s="10"/>
      <c r="F2716" s="69"/>
      <c r="G2716" s="68"/>
      <c r="H2716" s="70"/>
      <c r="BA2716" s="4"/>
      <c r="BB2716" s="4"/>
    </row>
    <row r="2717" spans="1:54" x14ac:dyDescent="0.3">
      <c r="A2717" s="66"/>
      <c r="B2717" s="67"/>
      <c r="C2717" s="66"/>
      <c r="D2717" s="68"/>
      <c r="E2717" s="10"/>
      <c r="F2717" s="69"/>
      <c r="G2717" s="68"/>
      <c r="H2717" s="70"/>
      <c r="BA2717" s="4"/>
      <c r="BB2717" s="4"/>
    </row>
    <row r="2718" spans="1:54" x14ac:dyDescent="0.3">
      <c r="A2718" s="66"/>
      <c r="B2718" s="67"/>
      <c r="C2718" s="66"/>
      <c r="D2718" s="68"/>
      <c r="E2718" s="10"/>
      <c r="F2718" s="69"/>
      <c r="G2718" s="68"/>
      <c r="H2718" s="70"/>
      <c r="BA2718" s="4"/>
      <c r="BB2718" s="4"/>
    </row>
    <row r="2719" spans="1:54" x14ac:dyDescent="0.3">
      <c r="A2719" s="66"/>
      <c r="B2719" s="67"/>
      <c r="C2719" s="66"/>
      <c r="D2719" s="68"/>
      <c r="E2719" s="10"/>
      <c r="F2719" s="69"/>
      <c r="G2719" s="68"/>
      <c r="H2719" s="70"/>
      <c r="BA2719" s="4"/>
      <c r="BB2719" s="4"/>
    </row>
    <row r="2720" spans="1:54" x14ac:dyDescent="0.3">
      <c r="A2720" s="66"/>
      <c r="B2720" s="67"/>
      <c r="C2720" s="66"/>
      <c r="D2720" s="68"/>
      <c r="E2720" s="10"/>
      <c r="F2720" s="69"/>
      <c r="G2720" s="68"/>
      <c r="H2720" s="70"/>
      <c r="BA2720" s="4"/>
      <c r="BB2720" s="4"/>
    </row>
    <row r="2721" spans="1:54" x14ac:dyDescent="0.3">
      <c r="A2721" s="66"/>
      <c r="B2721" s="67"/>
      <c r="C2721" s="66"/>
      <c r="D2721" s="68"/>
      <c r="E2721" s="10"/>
      <c r="F2721" s="69"/>
      <c r="G2721" s="68"/>
      <c r="H2721" s="70"/>
      <c r="BA2721" s="4"/>
      <c r="BB2721" s="4"/>
    </row>
    <row r="2722" spans="1:54" x14ac:dyDescent="0.3">
      <c r="A2722" s="66"/>
      <c r="B2722" s="67"/>
      <c r="C2722" s="66"/>
      <c r="D2722" s="68"/>
      <c r="E2722" s="10"/>
      <c r="F2722" s="69"/>
      <c r="G2722" s="68"/>
      <c r="H2722" s="70"/>
      <c r="BA2722" s="4"/>
      <c r="BB2722" s="4"/>
    </row>
    <row r="2723" spans="1:54" x14ac:dyDescent="0.3">
      <c r="A2723" s="66"/>
      <c r="B2723" s="67"/>
      <c r="C2723" s="66"/>
      <c r="D2723" s="68"/>
      <c r="E2723" s="10"/>
      <c r="F2723" s="69"/>
      <c r="G2723" s="68"/>
      <c r="H2723" s="70"/>
      <c r="BA2723" s="4"/>
      <c r="BB2723" s="4"/>
    </row>
    <row r="2724" spans="1:54" x14ac:dyDescent="0.3">
      <c r="A2724" s="66"/>
      <c r="B2724" s="67"/>
      <c r="C2724" s="66"/>
      <c r="D2724" s="68"/>
      <c r="E2724" s="10"/>
      <c r="F2724" s="69"/>
      <c r="G2724" s="68"/>
      <c r="H2724" s="70"/>
      <c r="BA2724" s="4"/>
      <c r="BB2724" s="4"/>
    </row>
    <row r="2725" spans="1:54" x14ac:dyDescent="0.3">
      <c r="A2725" s="66"/>
      <c r="B2725" s="67"/>
      <c r="C2725" s="66"/>
      <c r="D2725" s="68"/>
      <c r="E2725" s="10"/>
      <c r="F2725" s="69"/>
      <c r="G2725" s="68"/>
      <c r="H2725" s="70"/>
      <c r="BA2725" s="4"/>
      <c r="BB2725" s="4"/>
    </row>
    <row r="2726" spans="1:54" x14ac:dyDescent="0.3">
      <c r="A2726" s="66"/>
      <c r="B2726" s="67"/>
      <c r="C2726" s="66"/>
      <c r="D2726" s="68"/>
      <c r="E2726" s="10"/>
      <c r="F2726" s="69"/>
      <c r="G2726" s="68"/>
      <c r="H2726" s="70"/>
      <c r="BA2726" s="4"/>
      <c r="BB2726" s="4"/>
    </row>
    <row r="2727" spans="1:54" x14ac:dyDescent="0.3">
      <c r="A2727" s="66"/>
      <c r="B2727" s="67"/>
      <c r="C2727" s="66"/>
      <c r="D2727" s="68"/>
      <c r="E2727" s="10"/>
      <c r="F2727" s="69"/>
      <c r="G2727" s="68"/>
      <c r="H2727" s="70"/>
      <c r="BA2727" s="4"/>
      <c r="BB2727" s="4"/>
    </row>
    <row r="2728" spans="1:54" x14ac:dyDescent="0.3">
      <c r="A2728" s="66"/>
      <c r="B2728" s="67"/>
      <c r="C2728" s="66"/>
      <c r="D2728" s="68"/>
      <c r="E2728" s="10"/>
      <c r="F2728" s="69"/>
      <c r="G2728" s="68"/>
      <c r="H2728" s="70"/>
      <c r="BA2728" s="4"/>
      <c r="BB2728" s="4"/>
    </row>
    <row r="2729" spans="1:54" x14ac:dyDescent="0.3">
      <c r="A2729" s="66"/>
      <c r="B2729" s="67"/>
      <c r="C2729" s="66"/>
      <c r="D2729" s="68"/>
      <c r="E2729" s="10"/>
      <c r="F2729" s="69"/>
      <c r="G2729" s="68"/>
      <c r="H2729" s="70"/>
      <c r="BA2729" s="4"/>
      <c r="BB2729" s="4"/>
    </row>
    <row r="2730" spans="1:54" x14ac:dyDescent="0.3">
      <c r="A2730" s="66"/>
      <c r="B2730" s="67"/>
      <c r="C2730" s="66"/>
      <c r="D2730" s="68"/>
      <c r="E2730" s="10"/>
      <c r="F2730" s="69"/>
      <c r="G2730" s="68"/>
      <c r="H2730" s="70"/>
      <c r="BA2730" s="4"/>
      <c r="BB2730" s="4"/>
    </row>
    <row r="2731" spans="1:54" x14ac:dyDescent="0.3">
      <c r="A2731" s="66"/>
      <c r="B2731" s="67"/>
      <c r="C2731" s="66"/>
      <c r="D2731" s="68"/>
      <c r="E2731" s="10"/>
      <c r="F2731" s="69"/>
      <c r="G2731" s="68"/>
      <c r="H2731" s="70"/>
      <c r="BA2731" s="4"/>
      <c r="BB2731" s="4"/>
    </row>
    <row r="2732" spans="1:54" x14ac:dyDescent="0.3">
      <c r="A2732" s="66"/>
      <c r="B2732" s="67"/>
      <c r="C2732" s="66"/>
      <c r="D2732" s="68"/>
      <c r="E2732" s="10"/>
      <c r="F2732" s="69"/>
      <c r="G2732" s="68"/>
      <c r="H2732" s="70"/>
      <c r="BA2732" s="4"/>
      <c r="BB2732" s="4"/>
    </row>
    <row r="2733" spans="1:54" x14ac:dyDescent="0.3">
      <c r="A2733" s="66"/>
      <c r="B2733" s="67"/>
      <c r="C2733" s="66"/>
      <c r="D2733" s="68"/>
      <c r="E2733" s="10"/>
      <c r="F2733" s="69"/>
      <c r="G2733" s="68"/>
      <c r="H2733" s="70"/>
      <c r="BA2733" s="4"/>
      <c r="BB2733" s="4"/>
    </row>
    <row r="2734" spans="1:54" x14ac:dyDescent="0.3">
      <c r="A2734" s="66"/>
      <c r="B2734" s="67"/>
      <c r="C2734" s="66"/>
      <c r="D2734" s="68"/>
      <c r="E2734" s="10"/>
      <c r="F2734" s="69"/>
      <c r="G2734" s="68"/>
      <c r="H2734" s="70"/>
      <c r="BA2734" s="4"/>
      <c r="BB2734" s="4"/>
    </row>
    <row r="2735" spans="1:54" x14ac:dyDescent="0.3">
      <c r="A2735" s="66"/>
      <c r="B2735" s="67"/>
      <c r="C2735" s="66"/>
      <c r="D2735" s="68"/>
      <c r="E2735" s="10"/>
      <c r="F2735" s="69"/>
      <c r="G2735" s="68"/>
      <c r="H2735" s="70"/>
      <c r="BA2735" s="4"/>
      <c r="BB2735" s="4"/>
    </row>
    <row r="2736" spans="1:54" x14ac:dyDescent="0.3">
      <c r="A2736" s="66"/>
      <c r="B2736" s="67"/>
      <c r="C2736" s="66"/>
      <c r="D2736" s="68"/>
      <c r="E2736" s="10"/>
      <c r="F2736" s="69"/>
      <c r="G2736" s="68"/>
      <c r="H2736" s="70"/>
      <c r="BA2736" s="4"/>
      <c r="BB2736" s="4"/>
    </row>
    <row r="2737" spans="1:54" x14ac:dyDescent="0.3">
      <c r="A2737" s="66"/>
      <c r="B2737" s="67"/>
      <c r="C2737" s="66"/>
      <c r="D2737" s="68"/>
      <c r="E2737" s="10"/>
      <c r="F2737" s="69"/>
      <c r="G2737" s="68"/>
      <c r="H2737" s="70"/>
      <c r="BA2737" s="4"/>
      <c r="BB2737" s="4"/>
    </row>
    <row r="2738" spans="1:54" x14ac:dyDescent="0.3">
      <c r="A2738" s="66"/>
      <c r="B2738" s="67"/>
      <c r="C2738" s="66"/>
      <c r="D2738" s="68"/>
      <c r="E2738" s="10"/>
      <c r="F2738" s="69"/>
      <c r="G2738" s="68"/>
      <c r="H2738" s="70"/>
      <c r="BA2738" s="4"/>
      <c r="BB2738" s="4"/>
    </row>
    <row r="2739" spans="1:54" x14ac:dyDescent="0.3">
      <c r="A2739" s="66"/>
      <c r="B2739" s="67"/>
      <c r="C2739" s="66"/>
      <c r="D2739" s="68"/>
      <c r="E2739" s="10"/>
      <c r="F2739" s="69"/>
      <c r="G2739" s="68"/>
      <c r="H2739" s="70"/>
      <c r="BA2739" s="4"/>
      <c r="BB2739" s="4"/>
    </row>
    <row r="2740" spans="1:54" x14ac:dyDescent="0.3">
      <c r="A2740" s="66"/>
      <c r="B2740" s="67"/>
      <c r="C2740" s="66"/>
      <c r="D2740" s="68"/>
      <c r="E2740" s="10"/>
      <c r="F2740" s="69"/>
      <c r="G2740" s="68"/>
      <c r="H2740" s="70"/>
      <c r="BA2740" s="4"/>
      <c r="BB2740" s="4"/>
    </row>
    <row r="2741" spans="1:54" x14ac:dyDescent="0.3">
      <c r="A2741" s="66"/>
      <c r="B2741" s="67"/>
      <c r="C2741" s="66"/>
      <c r="D2741" s="68"/>
      <c r="E2741" s="10"/>
      <c r="F2741" s="69"/>
      <c r="G2741" s="68"/>
      <c r="H2741" s="70"/>
      <c r="BA2741" s="4"/>
      <c r="BB2741" s="4"/>
    </row>
    <row r="2742" spans="1:54" x14ac:dyDescent="0.3">
      <c r="A2742" s="66"/>
      <c r="B2742" s="67"/>
      <c r="C2742" s="66"/>
      <c r="D2742" s="68"/>
      <c r="E2742" s="10"/>
      <c r="F2742" s="69"/>
      <c r="G2742" s="68"/>
      <c r="H2742" s="70"/>
      <c r="BA2742" s="4"/>
      <c r="BB2742" s="4"/>
    </row>
    <row r="2743" spans="1:54" x14ac:dyDescent="0.3">
      <c r="A2743" s="66"/>
      <c r="B2743" s="67"/>
      <c r="C2743" s="66"/>
      <c r="D2743" s="68"/>
      <c r="E2743" s="10"/>
      <c r="F2743" s="69"/>
      <c r="G2743" s="68"/>
      <c r="H2743" s="70"/>
      <c r="BA2743" s="4"/>
      <c r="BB2743" s="4"/>
    </row>
    <row r="2744" spans="1:54" x14ac:dyDescent="0.3">
      <c r="A2744" s="66"/>
      <c r="B2744" s="67"/>
      <c r="C2744" s="66"/>
      <c r="D2744" s="68"/>
      <c r="E2744" s="10"/>
      <c r="F2744" s="69"/>
      <c r="G2744" s="68"/>
      <c r="H2744" s="70"/>
      <c r="BA2744" s="4"/>
      <c r="BB2744" s="4"/>
    </row>
    <row r="2745" spans="1:54" x14ac:dyDescent="0.3">
      <c r="A2745" s="66"/>
      <c r="B2745" s="67"/>
      <c r="C2745" s="66"/>
      <c r="D2745" s="68"/>
      <c r="E2745" s="10"/>
      <c r="F2745" s="69"/>
      <c r="G2745" s="68"/>
      <c r="H2745" s="70"/>
      <c r="BA2745" s="4"/>
      <c r="BB2745" s="4"/>
    </row>
    <row r="2746" spans="1:54" x14ac:dyDescent="0.3">
      <c r="A2746" s="66"/>
      <c r="B2746" s="67"/>
      <c r="C2746" s="66"/>
      <c r="D2746" s="68"/>
      <c r="E2746" s="10"/>
      <c r="F2746" s="69"/>
      <c r="G2746" s="68"/>
      <c r="H2746" s="70"/>
      <c r="BA2746" s="4"/>
      <c r="BB2746" s="4"/>
    </row>
    <row r="2747" spans="1:54" x14ac:dyDescent="0.3">
      <c r="A2747" s="66"/>
      <c r="B2747" s="67"/>
      <c r="C2747" s="66"/>
      <c r="D2747" s="68"/>
      <c r="E2747" s="10"/>
      <c r="F2747" s="69"/>
      <c r="G2747" s="68"/>
      <c r="H2747" s="70"/>
      <c r="BA2747" s="4"/>
      <c r="BB2747" s="4"/>
    </row>
    <row r="2748" spans="1:54" x14ac:dyDescent="0.3">
      <c r="A2748" s="66"/>
      <c r="B2748" s="67"/>
      <c r="C2748" s="66"/>
      <c r="D2748" s="68"/>
      <c r="E2748" s="10"/>
      <c r="F2748" s="69"/>
      <c r="G2748" s="68"/>
      <c r="H2748" s="70"/>
      <c r="BA2748" s="4"/>
      <c r="BB2748" s="4"/>
    </row>
    <row r="2749" spans="1:54" x14ac:dyDescent="0.3">
      <c r="A2749" s="66"/>
      <c r="B2749" s="67"/>
      <c r="C2749" s="66"/>
      <c r="D2749" s="68"/>
      <c r="E2749" s="10"/>
      <c r="F2749" s="69"/>
      <c r="G2749" s="68"/>
      <c r="H2749" s="70"/>
      <c r="BA2749" s="4"/>
      <c r="BB2749" s="4"/>
    </row>
    <row r="2750" spans="1:54" x14ac:dyDescent="0.3">
      <c r="A2750" s="66"/>
      <c r="B2750" s="67"/>
      <c r="C2750" s="66"/>
      <c r="D2750" s="68"/>
      <c r="E2750" s="10"/>
      <c r="F2750" s="69"/>
      <c r="G2750" s="68"/>
      <c r="H2750" s="70"/>
      <c r="BA2750" s="4"/>
      <c r="BB2750" s="4"/>
    </row>
    <row r="2751" spans="1:54" x14ac:dyDescent="0.3">
      <c r="A2751" s="66"/>
      <c r="B2751" s="67"/>
      <c r="C2751" s="66"/>
      <c r="D2751" s="68"/>
      <c r="E2751" s="10"/>
      <c r="F2751" s="69"/>
      <c r="G2751" s="68"/>
      <c r="H2751" s="70"/>
      <c r="BA2751" s="4"/>
      <c r="BB2751" s="4"/>
    </row>
    <row r="2752" spans="1:54" x14ac:dyDescent="0.3">
      <c r="A2752" s="66"/>
      <c r="B2752" s="67"/>
      <c r="C2752" s="66"/>
      <c r="D2752" s="68"/>
      <c r="E2752" s="10"/>
      <c r="F2752" s="69"/>
      <c r="G2752" s="68"/>
      <c r="H2752" s="70"/>
      <c r="BA2752" s="4"/>
      <c r="BB2752" s="4"/>
    </row>
    <row r="2753" spans="1:54" x14ac:dyDescent="0.3">
      <c r="A2753" s="66"/>
      <c r="B2753" s="67"/>
      <c r="C2753" s="66"/>
      <c r="D2753" s="68"/>
      <c r="E2753" s="10"/>
      <c r="F2753" s="69"/>
      <c r="G2753" s="68"/>
      <c r="H2753" s="70"/>
      <c r="BA2753" s="4"/>
      <c r="BB2753" s="4"/>
    </row>
    <row r="2754" spans="1:54" x14ac:dyDescent="0.3">
      <c r="A2754" s="66"/>
      <c r="B2754" s="67"/>
      <c r="C2754" s="66"/>
      <c r="D2754" s="68"/>
      <c r="E2754" s="10"/>
      <c r="F2754" s="69"/>
      <c r="G2754" s="68"/>
      <c r="H2754" s="70"/>
      <c r="BA2754" s="4"/>
      <c r="BB2754" s="4"/>
    </row>
    <row r="2755" spans="1:54" x14ac:dyDescent="0.3">
      <c r="A2755" s="66"/>
      <c r="B2755" s="67"/>
      <c r="C2755" s="66"/>
      <c r="D2755" s="68"/>
      <c r="E2755" s="10"/>
      <c r="F2755" s="69"/>
      <c r="G2755" s="68"/>
      <c r="H2755" s="70"/>
      <c r="BA2755" s="4"/>
      <c r="BB2755" s="4"/>
    </row>
    <row r="2756" spans="1:54" x14ac:dyDescent="0.3">
      <c r="A2756" s="66"/>
      <c r="B2756" s="67"/>
      <c r="C2756" s="66"/>
      <c r="D2756" s="68"/>
      <c r="E2756" s="10"/>
      <c r="F2756" s="69"/>
      <c r="G2756" s="68"/>
      <c r="H2756" s="70"/>
      <c r="BA2756" s="4"/>
      <c r="BB2756" s="4"/>
    </row>
    <row r="2757" spans="1:54" x14ac:dyDescent="0.3">
      <c r="A2757" s="66"/>
      <c r="B2757" s="67"/>
      <c r="C2757" s="66"/>
      <c r="D2757" s="68"/>
      <c r="E2757" s="10"/>
      <c r="F2757" s="69"/>
      <c r="G2757" s="68"/>
      <c r="H2757" s="70"/>
      <c r="BA2757" s="4"/>
      <c r="BB2757" s="4"/>
    </row>
    <row r="2758" spans="1:54" x14ac:dyDescent="0.3">
      <c r="A2758" s="66"/>
      <c r="B2758" s="67"/>
      <c r="C2758" s="66"/>
      <c r="D2758" s="68"/>
      <c r="E2758" s="10"/>
      <c r="F2758" s="69"/>
      <c r="G2758" s="68"/>
      <c r="H2758" s="70"/>
      <c r="BA2758" s="4"/>
      <c r="BB2758" s="4"/>
    </row>
    <row r="2759" spans="1:54" x14ac:dyDescent="0.3">
      <c r="A2759" s="66"/>
      <c r="B2759" s="67"/>
      <c r="C2759" s="66"/>
      <c r="D2759" s="68"/>
      <c r="E2759" s="10"/>
      <c r="F2759" s="69"/>
      <c r="G2759" s="68"/>
      <c r="H2759" s="70"/>
      <c r="BA2759" s="4"/>
      <c r="BB2759" s="4"/>
    </row>
    <row r="2760" spans="1:54" x14ac:dyDescent="0.3">
      <c r="A2760" s="66"/>
      <c r="B2760" s="67"/>
      <c r="C2760" s="66"/>
      <c r="D2760" s="68"/>
      <c r="E2760" s="10"/>
      <c r="F2760" s="69"/>
      <c r="G2760" s="68"/>
      <c r="H2760" s="70"/>
      <c r="BA2760" s="4"/>
      <c r="BB2760" s="4"/>
    </row>
    <row r="2761" spans="1:54" x14ac:dyDescent="0.3">
      <c r="A2761" s="66"/>
      <c r="B2761" s="67"/>
      <c r="C2761" s="66"/>
      <c r="D2761" s="68"/>
      <c r="E2761" s="10"/>
      <c r="F2761" s="69"/>
      <c r="G2761" s="68"/>
      <c r="H2761" s="70"/>
      <c r="BA2761" s="4"/>
      <c r="BB2761" s="4"/>
    </row>
    <row r="2762" spans="1:54" x14ac:dyDescent="0.3">
      <c r="A2762" s="66"/>
      <c r="B2762" s="67"/>
      <c r="C2762" s="66"/>
      <c r="D2762" s="68"/>
      <c r="E2762" s="10"/>
      <c r="F2762" s="69"/>
      <c r="G2762" s="68"/>
      <c r="H2762" s="70"/>
      <c r="BA2762" s="4"/>
      <c r="BB2762" s="4"/>
    </row>
    <row r="2763" spans="1:54" x14ac:dyDescent="0.3">
      <c r="A2763" s="66"/>
      <c r="B2763" s="67"/>
      <c r="C2763" s="66"/>
      <c r="D2763" s="68"/>
      <c r="E2763" s="10"/>
      <c r="F2763" s="69"/>
      <c r="G2763" s="68"/>
      <c r="H2763" s="70"/>
      <c r="BA2763" s="4"/>
      <c r="BB2763" s="4"/>
    </row>
    <row r="2764" spans="1:54" x14ac:dyDescent="0.3">
      <c r="A2764" s="66"/>
      <c r="B2764" s="67"/>
      <c r="C2764" s="66"/>
      <c r="D2764" s="68"/>
      <c r="E2764" s="10"/>
      <c r="F2764" s="69"/>
      <c r="G2764" s="68"/>
      <c r="H2764" s="70"/>
      <c r="BA2764" s="4"/>
      <c r="BB2764" s="4"/>
    </row>
    <row r="2765" spans="1:54" x14ac:dyDescent="0.3">
      <c r="A2765" s="66"/>
      <c r="B2765" s="67"/>
      <c r="C2765" s="66"/>
      <c r="D2765" s="68"/>
      <c r="E2765" s="10"/>
      <c r="F2765" s="69"/>
      <c r="G2765" s="68"/>
      <c r="H2765" s="70"/>
      <c r="BA2765" s="4"/>
      <c r="BB2765" s="4"/>
    </row>
    <row r="2766" spans="1:54" x14ac:dyDescent="0.3">
      <c r="A2766" s="66"/>
      <c r="B2766" s="67"/>
      <c r="C2766" s="66"/>
      <c r="D2766" s="68"/>
      <c r="E2766" s="10"/>
      <c r="F2766" s="69"/>
      <c r="G2766" s="68"/>
      <c r="H2766" s="70"/>
      <c r="BA2766" s="4"/>
      <c r="BB2766" s="4"/>
    </row>
    <row r="2767" spans="1:54" x14ac:dyDescent="0.3">
      <c r="A2767" s="66"/>
      <c r="B2767" s="67"/>
      <c r="C2767" s="66"/>
      <c r="D2767" s="68"/>
      <c r="E2767" s="10"/>
      <c r="F2767" s="69"/>
      <c r="G2767" s="68"/>
      <c r="H2767" s="70"/>
      <c r="BA2767" s="4"/>
      <c r="BB2767" s="4"/>
    </row>
    <row r="2768" spans="1:54" x14ac:dyDescent="0.3">
      <c r="A2768" s="66"/>
      <c r="B2768" s="67"/>
      <c r="C2768" s="66"/>
      <c r="D2768" s="68"/>
      <c r="E2768" s="10"/>
      <c r="F2768" s="69"/>
      <c r="G2768" s="68"/>
      <c r="H2768" s="70"/>
      <c r="BA2768" s="4"/>
      <c r="BB2768" s="4"/>
    </row>
    <row r="2769" spans="1:54" x14ac:dyDescent="0.3">
      <c r="A2769" s="66"/>
      <c r="B2769" s="67"/>
      <c r="C2769" s="66"/>
      <c r="D2769" s="68"/>
      <c r="E2769" s="10"/>
      <c r="F2769" s="69"/>
      <c r="G2769" s="68"/>
      <c r="H2769" s="70"/>
      <c r="BA2769" s="4"/>
      <c r="BB2769" s="4"/>
    </row>
    <row r="2770" spans="1:54" x14ac:dyDescent="0.3">
      <c r="A2770" s="66"/>
      <c r="B2770" s="67"/>
      <c r="C2770" s="66"/>
      <c r="D2770" s="68"/>
      <c r="E2770" s="10"/>
      <c r="F2770" s="69"/>
      <c r="G2770" s="68"/>
      <c r="H2770" s="70"/>
      <c r="BA2770" s="4"/>
      <c r="BB2770" s="4"/>
    </row>
    <row r="2771" spans="1:54" x14ac:dyDescent="0.3">
      <c r="A2771" s="66"/>
      <c r="B2771" s="67"/>
      <c r="C2771" s="66"/>
      <c r="D2771" s="68"/>
      <c r="E2771" s="10"/>
      <c r="F2771" s="69"/>
      <c r="G2771" s="68"/>
      <c r="H2771" s="70"/>
      <c r="BA2771" s="4"/>
      <c r="BB2771" s="4"/>
    </row>
    <row r="2772" spans="1:54" x14ac:dyDescent="0.3">
      <c r="A2772" s="66"/>
      <c r="B2772" s="67"/>
      <c r="C2772" s="66"/>
      <c r="D2772" s="68"/>
      <c r="E2772" s="10"/>
      <c r="F2772" s="69"/>
      <c r="G2772" s="68"/>
      <c r="H2772" s="70"/>
      <c r="BA2772" s="4"/>
      <c r="BB2772" s="4"/>
    </row>
    <row r="2773" spans="1:54" x14ac:dyDescent="0.3">
      <c r="A2773" s="66"/>
      <c r="B2773" s="67"/>
      <c r="C2773" s="66"/>
      <c r="D2773" s="68"/>
      <c r="E2773" s="10"/>
      <c r="F2773" s="69"/>
      <c r="G2773" s="68"/>
      <c r="H2773" s="70"/>
      <c r="BA2773" s="4"/>
      <c r="BB2773" s="4"/>
    </row>
    <row r="2774" spans="1:54" x14ac:dyDescent="0.3">
      <c r="A2774" s="66"/>
      <c r="B2774" s="67"/>
      <c r="C2774" s="66"/>
      <c r="D2774" s="68"/>
      <c r="E2774" s="10"/>
      <c r="F2774" s="69"/>
      <c r="G2774" s="68"/>
      <c r="H2774" s="70"/>
      <c r="BA2774" s="4"/>
      <c r="BB2774" s="4"/>
    </row>
    <row r="2775" spans="1:54" x14ac:dyDescent="0.3">
      <c r="A2775" s="66"/>
      <c r="B2775" s="67"/>
      <c r="C2775" s="66"/>
      <c r="D2775" s="68"/>
      <c r="E2775" s="10"/>
      <c r="F2775" s="69"/>
      <c r="G2775" s="68"/>
      <c r="H2775" s="70"/>
      <c r="BA2775" s="4"/>
      <c r="BB2775" s="4"/>
    </row>
    <row r="2776" spans="1:54" x14ac:dyDescent="0.3">
      <c r="A2776" s="66"/>
      <c r="B2776" s="67"/>
      <c r="C2776" s="66"/>
      <c r="D2776" s="68"/>
      <c r="E2776" s="10"/>
      <c r="F2776" s="69"/>
      <c r="G2776" s="68"/>
      <c r="H2776" s="70"/>
      <c r="BA2776" s="4"/>
      <c r="BB2776" s="4"/>
    </row>
    <row r="2777" spans="1:54" x14ac:dyDescent="0.3">
      <c r="A2777" s="66"/>
      <c r="B2777" s="67"/>
      <c r="C2777" s="66"/>
      <c r="D2777" s="68"/>
      <c r="E2777" s="10"/>
      <c r="F2777" s="69"/>
      <c r="G2777" s="68"/>
      <c r="H2777" s="70"/>
      <c r="BA2777" s="4"/>
      <c r="BB2777" s="4"/>
    </row>
    <row r="2778" spans="1:54" x14ac:dyDescent="0.3">
      <c r="A2778" s="66"/>
      <c r="B2778" s="67"/>
      <c r="C2778" s="66"/>
      <c r="D2778" s="68"/>
      <c r="E2778" s="10"/>
      <c r="F2778" s="69"/>
      <c r="G2778" s="68"/>
      <c r="H2778" s="70"/>
      <c r="BA2778" s="4"/>
      <c r="BB2778" s="4"/>
    </row>
    <row r="2779" spans="1:54" x14ac:dyDescent="0.3">
      <c r="A2779" s="66"/>
      <c r="B2779" s="67"/>
      <c r="C2779" s="66"/>
      <c r="D2779" s="68"/>
      <c r="E2779" s="10"/>
      <c r="F2779" s="69"/>
      <c r="G2779" s="68"/>
      <c r="H2779" s="70"/>
      <c r="BA2779" s="4"/>
      <c r="BB2779" s="4"/>
    </row>
    <row r="2780" spans="1:54" x14ac:dyDescent="0.3">
      <c r="A2780" s="66"/>
      <c r="B2780" s="67"/>
      <c r="C2780" s="66"/>
      <c r="D2780" s="68"/>
      <c r="E2780" s="10"/>
      <c r="F2780" s="69"/>
      <c r="G2780" s="68"/>
      <c r="H2780" s="70"/>
      <c r="BA2780" s="4"/>
      <c r="BB2780" s="4"/>
    </row>
    <row r="2781" spans="1:54" x14ac:dyDescent="0.3">
      <c r="A2781" s="66"/>
      <c r="B2781" s="67"/>
      <c r="C2781" s="66"/>
      <c r="D2781" s="68"/>
      <c r="E2781" s="10"/>
      <c r="F2781" s="69"/>
      <c r="G2781" s="68"/>
      <c r="H2781" s="70"/>
      <c r="BA2781" s="4"/>
      <c r="BB2781" s="4"/>
    </row>
    <row r="2782" spans="1:54" x14ac:dyDescent="0.3">
      <c r="A2782" s="66"/>
      <c r="B2782" s="67"/>
      <c r="C2782" s="66"/>
      <c r="D2782" s="68"/>
      <c r="E2782" s="10"/>
      <c r="F2782" s="69"/>
      <c r="G2782" s="68"/>
      <c r="H2782" s="70"/>
      <c r="BA2782" s="4"/>
      <c r="BB2782" s="4"/>
    </row>
    <row r="2783" spans="1:54" x14ac:dyDescent="0.3">
      <c r="A2783" s="66"/>
      <c r="B2783" s="67"/>
      <c r="C2783" s="66"/>
      <c r="D2783" s="68"/>
      <c r="E2783" s="10"/>
      <c r="F2783" s="69"/>
      <c r="G2783" s="68"/>
      <c r="H2783" s="70"/>
      <c r="BA2783" s="4"/>
      <c r="BB2783" s="4"/>
    </row>
    <row r="2784" spans="1:54" x14ac:dyDescent="0.3">
      <c r="A2784" s="66"/>
      <c r="B2784" s="67"/>
      <c r="C2784" s="66"/>
      <c r="D2784" s="68"/>
      <c r="E2784" s="10"/>
      <c r="F2784" s="69"/>
      <c r="G2784" s="68"/>
      <c r="H2784" s="70"/>
      <c r="BA2784" s="4"/>
      <c r="BB2784" s="4"/>
    </row>
    <row r="2785" spans="1:54" x14ac:dyDescent="0.3">
      <c r="A2785" s="66"/>
      <c r="B2785" s="67"/>
      <c r="C2785" s="66"/>
      <c r="D2785" s="68"/>
      <c r="E2785" s="10"/>
      <c r="F2785" s="69"/>
      <c r="G2785" s="68"/>
      <c r="H2785" s="70"/>
      <c r="BA2785" s="4"/>
      <c r="BB2785" s="4"/>
    </row>
    <row r="2786" spans="1:54" x14ac:dyDescent="0.3">
      <c r="A2786" s="66"/>
      <c r="B2786" s="67"/>
      <c r="C2786" s="66"/>
      <c r="D2786" s="68"/>
      <c r="E2786" s="10"/>
      <c r="F2786" s="69"/>
      <c r="G2786" s="68"/>
      <c r="H2786" s="70"/>
      <c r="BA2786" s="4"/>
      <c r="BB2786" s="4"/>
    </row>
    <row r="2787" spans="1:54" x14ac:dyDescent="0.3">
      <c r="A2787" s="66"/>
      <c r="B2787" s="67"/>
      <c r="C2787" s="66"/>
      <c r="D2787" s="68"/>
      <c r="E2787" s="10"/>
      <c r="F2787" s="69"/>
      <c r="G2787" s="68"/>
      <c r="H2787" s="70"/>
      <c r="BA2787" s="4"/>
      <c r="BB2787" s="4"/>
    </row>
    <row r="2788" spans="1:54" x14ac:dyDescent="0.3">
      <c r="A2788" s="66"/>
      <c r="B2788" s="67"/>
      <c r="C2788" s="66"/>
      <c r="D2788" s="68"/>
      <c r="E2788" s="10"/>
      <c r="F2788" s="69"/>
      <c r="G2788" s="68"/>
      <c r="H2788" s="70"/>
      <c r="BA2788" s="4"/>
      <c r="BB2788" s="4"/>
    </row>
    <row r="2789" spans="1:54" x14ac:dyDescent="0.3">
      <c r="A2789" s="66"/>
      <c r="B2789" s="67"/>
      <c r="C2789" s="66"/>
      <c r="D2789" s="68"/>
      <c r="E2789" s="10"/>
      <c r="F2789" s="69"/>
      <c r="G2789" s="68"/>
      <c r="H2789" s="70"/>
      <c r="BA2789" s="4"/>
      <c r="BB2789" s="4"/>
    </row>
    <row r="2790" spans="1:54" x14ac:dyDescent="0.3">
      <c r="A2790" s="66"/>
      <c r="B2790" s="67"/>
      <c r="C2790" s="66"/>
      <c r="D2790" s="68"/>
      <c r="E2790" s="10"/>
      <c r="F2790" s="69"/>
      <c r="G2790" s="68"/>
      <c r="H2790" s="70"/>
      <c r="BA2790" s="4"/>
      <c r="BB2790" s="4"/>
    </row>
    <row r="2791" spans="1:54" x14ac:dyDescent="0.3">
      <c r="A2791" s="66"/>
      <c r="B2791" s="67"/>
      <c r="C2791" s="66"/>
      <c r="D2791" s="68"/>
      <c r="E2791" s="10"/>
      <c r="F2791" s="69"/>
      <c r="G2791" s="68"/>
      <c r="H2791" s="70"/>
      <c r="BA2791" s="4"/>
      <c r="BB2791" s="4"/>
    </row>
    <row r="2792" spans="1:54" x14ac:dyDescent="0.3">
      <c r="A2792" s="66"/>
      <c r="B2792" s="67"/>
      <c r="C2792" s="66"/>
      <c r="D2792" s="68"/>
      <c r="E2792" s="10"/>
      <c r="F2792" s="69"/>
      <c r="G2792" s="68"/>
      <c r="H2792" s="70"/>
      <c r="BA2792" s="4"/>
      <c r="BB2792" s="4"/>
    </row>
    <row r="2793" spans="1:54" x14ac:dyDescent="0.3">
      <c r="A2793" s="66"/>
      <c r="B2793" s="67"/>
      <c r="C2793" s="66"/>
      <c r="D2793" s="68"/>
      <c r="E2793" s="10"/>
      <c r="F2793" s="69"/>
      <c r="G2793" s="68"/>
      <c r="H2793" s="70"/>
      <c r="BA2793" s="4"/>
      <c r="BB2793" s="4"/>
    </row>
    <row r="2794" spans="1:54" x14ac:dyDescent="0.3">
      <c r="A2794" s="66"/>
      <c r="B2794" s="67"/>
      <c r="C2794" s="66"/>
      <c r="D2794" s="68"/>
      <c r="E2794" s="10"/>
      <c r="F2794" s="69"/>
      <c r="G2794" s="68"/>
      <c r="H2794" s="70"/>
      <c r="BA2794" s="4"/>
      <c r="BB2794" s="4"/>
    </row>
    <row r="2795" spans="1:54" x14ac:dyDescent="0.3">
      <c r="A2795" s="66"/>
      <c r="B2795" s="67"/>
      <c r="C2795" s="66"/>
      <c r="D2795" s="68"/>
      <c r="E2795" s="10"/>
      <c r="F2795" s="69"/>
      <c r="G2795" s="68"/>
      <c r="H2795" s="70"/>
      <c r="BA2795" s="4"/>
      <c r="BB2795" s="4"/>
    </row>
    <row r="2796" spans="1:54" x14ac:dyDescent="0.3">
      <c r="A2796" s="66"/>
      <c r="B2796" s="67"/>
      <c r="C2796" s="66"/>
      <c r="D2796" s="68"/>
      <c r="E2796" s="10"/>
      <c r="F2796" s="69"/>
      <c r="G2796" s="68"/>
      <c r="H2796" s="70"/>
      <c r="BA2796" s="4"/>
      <c r="BB2796" s="4"/>
    </row>
    <row r="2797" spans="1:54" x14ac:dyDescent="0.3">
      <c r="A2797" s="66"/>
      <c r="B2797" s="67"/>
      <c r="C2797" s="66"/>
      <c r="D2797" s="68"/>
      <c r="E2797" s="10"/>
      <c r="F2797" s="69"/>
      <c r="G2797" s="68"/>
      <c r="H2797" s="70"/>
      <c r="BA2797" s="4"/>
      <c r="BB2797" s="4"/>
    </row>
    <row r="2798" spans="1:54" x14ac:dyDescent="0.3">
      <c r="A2798" s="66"/>
      <c r="B2798" s="67"/>
      <c r="C2798" s="66"/>
      <c r="D2798" s="68"/>
      <c r="E2798" s="10"/>
      <c r="F2798" s="69"/>
      <c r="G2798" s="68"/>
      <c r="H2798" s="70"/>
      <c r="BA2798" s="4"/>
      <c r="BB2798" s="4"/>
    </row>
    <row r="2799" spans="1:54" x14ac:dyDescent="0.3">
      <c r="A2799" s="66"/>
      <c r="B2799" s="67"/>
      <c r="C2799" s="66"/>
      <c r="D2799" s="68"/>
      <c r="E2799" s="10"/>
      <c r="F2799" s="69"/>
      <c r="G2799" s="68"/>
      <c r="H2799" s="70"/>
      <c r="BA2799" s="4"/>
      <c r="BB2799" s="4"/>
    </row>
    <row r="2800" spans="1:54" x14ac:dyDescent="0.3">
      <c r="A2800" s="66"/>
      <c r="B2800" s="67"/>
      <c r="C2800" s="66"/>
      <c r="D2800" s="68"/>
      <c r="E2800" s="10"/>
      <c r="F2800" s="69"/>
      <c r="G2800" s="68"/>
      <c r="H2800" s="70"/>
      <c r="BA2800" s="4"/>
      <c r="BB2800" s="4"/>
    </row>
    <row r="2801" spans="1:54" x14ac:dyDescent="0.3">
      <c r="A2801" s="66"/>
      <c r="B2801" s="67"/>
      <c r="C2801" s="66"/>
      <c r="D2801" s="68"/>
      <c r="E2801" s="10"/>
      <c r="F2801" s="69"/>
      <c r="G2801" s="68"/>
      <c r="H2801" s="70"/>
      <c r="BA2801" s="4"/>
      <c r="BB2801" s="4"/>
    </row>
    <row r="2802" spans="1:54" x14ac:dyDescent="0.3">
      <c r="A2802" s="66"/>
      <c r="B2802" s="67"/>
      <c r="C2802" s="66"/>
      <c r="D2802" s="68"/>
      <c r="E2802" s="10"/>
      <c r="F2802" s="69"/>
      <c r="G2802" s="68"/>
      <c r="H2802" s="70"/>
      <c r="BA2802" s="4"/>
      <c r="BB2802" s="4"/>
    </row>
    <row r="2803" spans="1:54" x14ac:dyDescent="0.3">
      <c r="A2803" s="66"/>
      <c r="B2803" s="67"/>
      <c r="C2803" s="66"/>
      <c r="D2803" s="68"/>
      <c r="E2803" s="10"/>
      <c r="F2803" s="69"/>
      <c r="G2803" s="68"/>
      <c r="H2803" s="70"/>
      <c r="BA2803" s="4"/>
      <c r="BB2803" s="4"/>
    </row>
    <row r="2804" spans="1:54" x14ac:dyDescent="0.3">
      <c r="A2804" s="66"/>
      <c r="B2804" s="67"/>
      <c r="C2804" s="66"/>
      <c r="D2804" s="68"/>
      <c r="E2804" s="10"/>
      <c r="F2804" s="69"/>
      <c r="G2804" s="68"/>
      <c r="H2804" s="70"/>
      <c r="BA2804" s="4"/>
      <c r="BB2804" s="4"/>
    </row>
    <row r="2805" spans="1:54" x14ac:dyDescent="0.3">
      <c r="A2805" s="66"/>
      <c r="B2805" s="67"/>
      <c r="C2805" s="66"/>
      <c r="D2805" s="68"/>
      <c r="E2805" s="10"/>
      <c r="F2805" s="69"/>
      <c r="G2805" s="68"/>
      <c r="H2805" s="70"/>
      <c r="BA2805" s="4"/>
      <c r="BB2805" s="4"/>
    </row>
    <row r="2806" spans="1:54" x14ac:dyDescent="0.3">
      <c r="A2806" s="66"/>
      <c r="B2806" s="67"/>
      <c r="C2806" s="66"/>
      <c r="D2806" s="68"/>
      <c r="E2806" s="10"/>
      <c r="F2806" s="69"/>
      <c r="G2806" s="68"/>
      <c r="H2806" s="70"/>
      <c r="BA2806" s="4"/>
      <c r="BB2806" s="4"/>
    </row>
    <row r="2807" spans="1:54" x14ac:dyDescent="0.3">
      <c r="A2807" s="66"/>
      <c r="B2807" s="67"/>
      <c r="C2807" s="66"/>
      <c r="D2807" s="68"/>
      <c r="E2807" s="10"/>
      <c r="F2807" s="69"/>
      <c r="G2807" s="68"/>
      <c r="H2807" s="70"/>
      <c r="BA2807" s="4"/>
      <c r="BB2807" s="4"/>
    </row>
    <row r="2808" spans="1:54" x14ac:dyDescent="0.3">
      <c r="A2808" s="66"/>
      <c r="B2808" s="67"/>
      <c r="C2808" s="66"/>
      <c r="D2808" s="68"/>
      <c r="E2808" s="10"/>
      <c r="F2808" s="69"/>
      <c r="G2808" s="68"/>
      <c r="H2808" s="70"/>
      <c r="BA2808" s="4"/>
      <c r="BB2808" s="4"/>
    </row>
    <row r="2809" spans="1:54" x14ac:dyDescent="0.3">
      <c r="A2809" s="66"/>
      <c r="B2809" s="67"/>
      <c r="C2809" s="66"/>
      <c r="D2809" s="68"/>
      <c r="E2809" s="10"/>
      <c r="F2809" s="69"/>
      <c r="G2809" s="68"/>
      <c r="H2809" s="70"/>
      <c r="BA2809" s="4"/>
      <c r="BB2809" s="4"/>
    </row>
    <row r="2810" spans="1:54" x14ac:dyDescent="0.3">
      <c r="A2810" s="66"/>
      <c r="B2810" s="67"/>
      <c r="C2810" s="66"/>
      <c r="D2810" s="68"/>
      <c r="E2810" s="10"/>
      <c r="F2810" s="69"/>
      <c r="G2810" s="68"/>
      <c r="H2810" s="70"/>
      <c r="BA2810" s="4"/>
      <c r="BB2810" s="4"/>
    </row>
    <row r="2811" spans="1:54" x14ac:dyDescent="0.3">
      <c r="A2811" s="66"/>
      <c r="B2811" s="67"/>
      <c r="C2811" s="66"/>
      <c r="D2811" s="68"/>
      <c r="E2811" s="10"/>
      <c r="F2811" s="69"/>
      <c r="G2811" s="68"/>
      <c r="H2811" s="70"/>
      <c r="BA2811" s="4"/>
      <c r="BB2811" s="4"/>
    </row>
    <row r="2812" spans="1:54" x14ac:dyDescent="0.3">
      <c r="A2812" s="66"/>
      <c r="B2812" s="67"/>
      <c r="C2812" s="66"/>
      <c r="D2812" s="68"/>
      <c r="E2812" s="10"/>
      <c r="F2812" s="69"/>
      <c r="G2812" s="68"/>
      <c r="H2812" s="70"/>
      <c r="BA2812" s="4"/>
      <c r="BB2812" s="4"/>
    </row>
    <row r="2813" spans="1:54" x14ac:dyDescent="0.3">
      <c r="A2813" s="66"/>
      <c r="B2813" s="67"/>
      <c r="C2813" s="66"/>
      <c r="D2813" s="68"/>
      <c r="E2813" s="10"/>
      <c r="F2813" s="69"/>
      <c r="G2813" s="68"/>
      <c r="H2813" s="70"/>
      <c r="BA2813" s="4"/>
      <c r="BB2813" s="4"/>
    </row>
    <row r="2814" spans="1:54" x14ac:dyDescent="0.3">
      <c r="A2814" s="66"/>
      <c r="B2814" s="67"/>
      <c r="C2814" s="66"/>
      <c r="D2814" s="68"/>
      <c r="E2814" s="10"/>
      <c r="F2814" s="69"/>
      <c r="G2814" s="68"/>
      <c r="H2814" s="70"/>
      <c r="BA2814" s="4"/>
      <c r="BB2814" s="4"/>
    </row>
    <row r="2815" spans="1:54" x14ac:dyDescent="0.3">
      <c r="A2815" s="66"/>
      <c r="B2815" s="67"/>
      <c r="C2815" s="66"/>
      <c r="D2815" s="68"/>
      <c r="E2815" s="10"/>
      <c r="F2815" s="69"/>
      <c r="G2815" s="68"/>
      <c r="H2815" s="70"/>
      <c r="BA2815" s="4"/>
      <c r="BB2815" s="4"/>
    </row>
    <row r="2816" spans="1:54" x14ac:dyDescent="0.3">
      <c r="A2816" s="66"/>
      <c r="B2816" s="67"/>
      <c r="C2816" s="66"/>
      <c r="D2816" s="68"/>
      <c r="E2816" s="10"/>
      <c r="F2816" s="69"/>
      <c r="G2816" s="68"/>
      <c r="H2816" s="70"/>
      <c r="BA2816" s="4"/>
      <c r="BB2816" s="4"/>
    </row>
    <row r="2817" spans="1:54" x14ac:dyDescent="0.3">
      <c r="A2817" s="66"/>
      <c r="B2817" s="67"/>
      <c r="C2817" s="66"/>
      <c r="D2817" s="68"/>
      <c r="E2817" s="10"/>
      <c r="F2817" s="69"/>
      <c r="G2817" s="68"/>
      <c r="H2817" s="70"/>
      <c r="BA2817" s="4"/>
      <c r="BB2817" s="4"/>
    </row>
    <row r="2818" spans="1:54" x14ac:dyDescent="0.3">
      <c r="A2818" s="66"/>
      <c r="B2818" s="67"/>
      <c r="C2818" s="66"/>
      <c r="D2818" s="68"/>
      <c r="E2818" s="10"/>
      <c r="F2818" s="69"/>
      <c r="G2818" s="68"/>
      <c r="H2818" s="70"/>
      <c r="BA2818" s="4"/>
      <c r="BB2818" s="4"/>
    </row>
    <row r="2819" spans="1:54" x14ac:dyDescent="0.3">
      <c r="A2819" s="66"/>
      <c r="B2819" s="67"/>
      <c r="C2819" s="66"/>
      <c r="D2819" s="68"/>
      <c r="E2819" s="10"/>
      <c r="F2819" s="69"/>
      <c r="G2819" s="68"/>
      <c r="H2819" s="70"/>
      <c r="BA2819" s="4"/>
      <c r="BB2819" s="4"/>
    </row>
    <row r="2820" spans="1:54" x14ac:dyDescent="0.3">
      <c r="A2820" s="66"/>
      <c r="B2820" s="67"/>
      <c r="C2820" s="66"/>
      <c r="D2820" s="68"/>
      <c r="E2820" s="10"/>
      <c r="F2820" s="69"/>
      <c r="G2820" s="68"/>
      <c r="H2820" s="70"/>
      <c r="BA2820" s="4"/>
      <c r="BB2820" s="4"/>
    </row>
    <row r="2821" spans="1:54" x14ac:dyDescent="0.3">
      <c r="A2821" s="66"/>
      <c r="B2821" s="67"/>
      <c r="C2821" s="66"/>
      <c r="D2821" s="68"/>
      <c r="E2821" s="10"/>
      <c r="F2821" s="69"/>
      <c r="G2821" s="68"/>
      <c r="H2821" s="70"/>
      <c r="BA2821" s="4"/>
      <c r="BB2821" s="4"/>
    </row>
    <row r="2822" spans="1:54" x14ac:dyDescent="0.3">
      <c r="A2822" s="66"/>
      <c r="B2822" s="67"/>
      <c r="C2822" s="66"/>
      <c r="D2822" s="68"/>
      <c r="E2822" s="10"/>
      <c r="F2822" s="69"/>
      <c r="G2822" s="68"/>
      <c r="H2822" s="70"/>
      <c r="BA2822" s="4"/>
      <c r="BB2822" s="4"/>
    </row>
    <row r="2823" spans="1:54" x14ac:dyDescent="0.3">
      <c r="A2823" s="66"/>
      <c r="B2823" s="67"/>
      <c r="C2823" s="66"/>
      <c r="D2823" s="68"/>
      <c r="E2823" s="10"/>
      <c r="F2823" s="69"/>
      <c r="G2823" s="68"/>
      <c r="H2823" s="70"/>
      <c r="BA2823" s="4"/>
      <c r="BB2823" s="4"/>
    </row>
    <row r="2824" spans="1:54" x14ac:dyDescent="0.3">
      <c r="A2824" s="66"/>
      <c r="B2824" s="67"/>
      <c r="C2824" s="66"/>
      <c r="D2824" s="68"/>
      <c r="E2824" s="10"/>
      <c r="F2824" s="69"/>
      <c r="G2824" s="68"/>
      <c r="H2824" s="70"/>
      <c r="BA2824" s="4"/>
      <c r="BB2824" s="4"/>
    </row>
    <row r="2825" spans="1:54" x14ac:dyDescent="0.3">
      <c r="A2825" s="66"/>
      <c r="B2825" s="67"/>
      <c r="C2825" s="66"/>
      <c r="D2825" s="68"/>
      <c r="E2825" s="10"/>
      <c r="F2825" s="69"/>
      <c r="G2825" s="68"/>
      <c r="H2825" s="70"/>
      <c r="BA2825" s="4"/>
      <c r="BB2825" s="4"/>
    </row>
    <row r="2826" spans="1:54" x14ac:dyDescent="0.3">
      <c r="A2826" s="66"/>
      <c r="B2826" s="67"/>
      <c r="C2826" s="66"/>
      <c r="D2826" s="68"/>
      <c r="E2826" s="10"/>
      <c r="F2826" s="69"/>
      <c r="G2826" s="68"/>
      <c r="H2826" s="70"/>
      <c r="BA2826" s="4"/>
      <c r="BB2826" s="4"/>
    </row>
    <row r="2827" spans="1:54" x14ac:dyDescent="0.3">
      <c r="A2827" s="66"/>
      <c r="B2827" s="67"/>
      <c r="C2827" s="66"/>
      <c r="D2827" s="68"/>
      <c r="E2827" s="10"/>
      <c r="F2827" s="69"/>
      <c r="G2827" s="68"/>
      <c r="H2827" s="70"/>
      <c r="BA2827" s="4"/>
      <c r="BB2827" s="4"/>
    </row>
    <row r="2828" spans="1:54" x14ac:dyDescent="0.3">
      <c r="A2828" s="66"/>
      <c r="B2828" s="67"/>
      <c r="C2828" s="66"/>
      <c r="D2828" s="68"/>
      <c r="E2828" s="10"/>
      <c r="F2828" s="69"/>
      <c r="G2828" s="68"/>
      <c r="H2828" s="70"/>
      <c r="BA2828" s="4"/>
      <c r="BB2828" s="4"/>
    </row>
    <row r="2829" spans="1:54" x14ac:dyDescent="0.3">
      <c r="A2829" s="66"/>
      <c r="B2829" s="67"/>
      <c r="C2829" s="66"/>
      <c r="D2829" s="68"/>
      <c r="E2829" s="10"/>
      <c r="F2829" s="69"/>
      <c r="G2829" s="68"/>
      <c r="H2829" s="70"/>
      <c r="BA2829" s="4"/>
      <c r="BB2829" s="4"/>
    </row>
    <row r="2830" spans="1:54" x14ac:dyDescent="0.3">
      <c r="A2830" s="66"/>
      <c r="B2830" s="67"/>
      <c r="C2830" s="66"/>
      <c r="D2830" s="68"/>
      <c r="E2830" s="10"/>
      <c r="F2830" s="69"/>
      <c r="G2830" s="68"/>
      <c r="H2830" s="70"/>
      <c r="BA2830" s="4"/>
      <c r="BB2830" s="4"/>
    </row>
    <row r="2831" spans="1:54" x14ac:dyDescent="0.3">
      <c r="A2831" s="66"/>
      <c r="B2831" s="67"/>
      <c r="C2831" s="66"/>
      <c r="D2831" s="68"/>
      <c r="E2831" s="10"/>
      <c r="F2831" s="69"/>
      <c r="G2831" s="68"/>
      <c r="H2831" s="70"/>
      <c r="BA2831" s="4"/>
      <c r="BB2831" s="4"/>
    </row>
    <row r="2832" spans="1:54" x14ac:dyDescent="0.3">
      <c r="A2832" s="66"/>
      <c r="B2832" s="67"/>
      <c r="C2832" s="66"/>
      <c r="D2832" s="68"/>
      <c r="E2832" s="10"/>
      <c r="F2832" s="69"/>
      <c r="G2832" s="68"/>
      <c r="H2832" s="70"/>
      <c r="BA2832" s="4"/>
      <c r="BB2832" s="4"/>
    </row>
    <row r="2833" spans="1:54" x14ac:dyDescent="0.3">
      <c r="A2833" s="66"/>
      <c r="B2833" s="67"/>
      <c r="C2833" s="66"/>
      <c r="D2833" s="68"/>
      <c r="E2833" s="10"/>
      <c r="F2833" s="69"/>
      <c r="G2833" s="68"/>
      <c r="H2833" s="70"/>
      <c r="BA2833" s="4"/>
      <c r="BB2833" s="4"/>
    </row>
    <row r="2834" spans="1:54" x14ac:dyDescent="0.3">
      <c r="A2834" s="66"/>
      <c r="B2834" s="67"/>
      <c r="C2834" s="66"/>
      <c r="D2834" s="68"/>
      <c r="E2834" s="10"/>
      <c r="F2834" s="69"/>
      <c r="G2834" s="68"/>
      <c r="H2834" s="70"/>
      <c r="BA2834" s="4"/>
      <c r="BB2834" s="4"/>
    </row>
    <row r="2835" spans="1:54" x14ac:dyDescent="0.3">
      <c r="A2835" s="66"/>
      <c r="B2835" s="67"/>
      <c r="C2835" s="66"/>
      <c r="D2835" s="68"/>
      <c r="E2835" s="10"/>
      <c r="F2835" s="69"/>
      <c r="G2835" s="68"/>
      <c r="H2835" s="70"/>
      <c r="BA2835" s="4"/>
      <c r="BB2835" s="4"/>
    </row>
    <row r="2836" spans="1:54" x14ac:dyDescent="0.3">
      <c r="A2836" s="66"/>
      <c r="B2836" s="67"/>
      <c r="C2836" s="66"/>
      <c r="D2836" s="68"/>
      <c r="E2836" s="10"/>
      <c r="F2836" s="69"/>
      <c r="G2836" s="68"/>
      <c r="H2836" s="70"/>
      <c r="BA2836" s="4"/>
      <c r="BB2836" s="4"/>
    </row>
    <row r="2837" spans="1:54" x14ac:dyDescent="0.3">
      <c r="A2837" s="66"/>
      <c r="B2837" s="67"/>
      <c r="C2837" s="66"/>
      <c r="D2837" s="68"/>
      <c r="E2837" s="10"/>
      <c r="F2837" s="69"/>
      <c r="G2837" s="68"/>
      <c r="H2837" s="70"/>
      <c r="BA2837" s="4"/>
      <c r="BB2837" s="4"/>
    </row>
    <row r="2838" spans="1:54" x14ac:dyDescent="0.3">
      <c r="A2838" s="66"/>
      <c r="B2838" s="67"/>
      <c r="C2838" s="66"/>
      <c r="D2838" s="68"/>
      <c r="E2838" s="10"/>
      <c r="F2838" s="69"/>
      <c r="G2838" s="68"/>
      <c r="H2838" s="70"/>
      <c r="BA2838" s="4"/>
      <c r="BB2838" s="4"/>
    </row>
    <row r="2839" spans="1:54" x14ac:dyDescent="0.3">
      <c r="A2839" s="66"/>
      <c r="B2839" s="67"/>
      <c r="C2839" s="66"/>
      <c r="D2839" s="68"/>
      <c r="E2839" s="10"/>
      <c r="F2839" s="69"/>
      <c r="G2839" s="68"/>
      <c r="H2839" s="70"/>
      <c r="BA2839" s="4"/>
      <c r="BB2839" s="4"/>
    </row>
    <row r="2840" spans="1:54" x14ac:dyDescent="0.3">
      <c r="A2840" s="66"/>
      <c r="B2840" s="67"/>
      <c r="C2840" s="66"/>
      <c r="D2840" s="68"/>
      <c r="E2840" s="10"/>
      <c r="F2840" s="69"/>
      <c r="G2840" s="68"/>
      <c r="H2840" s="70"/>
      <c r="BA2840" s="4"/>
      <c r="BB2840" s="4"/>
    </row>
    <row r="2841" spans="1:54" x14ac:dyDescent="0.3">
      <c r="A2841" s="66"/>
      <c r="B2841" s="67"/>
      <c r="C2841" s="66"/>
      <c r="D2841" s="68"/>
      <c r="E2841" s="10"/>
      <c r="F2841" s="69"/>
      <c r="G2841" s="68"/>
      <c r="H2841" s="70"/>
      <c r="BA2841" s="4"/>
      <c r="BB2841" s="4"/>
    </row>
    <row r="2842" spans="1:54" x14ac:dyDescent="0.3">
      <c r="A2842" s="66"/>
      <c r="B2842" s="67"/>
      <c r="C2842" s="66"/>
      <c r="D2842" s="68"/>
      <c r="E2842" s="10"/>
      <c r="F2842" s="69"/>
      <c r="G2842" s="68"/>
      <c r="H2842" s="70"/>
      <c r="BA2842" s="4"/>
      <c r="BB2842" s="4"/>
    </row>
    <row r="2843" spans="1:54" x14ac:dyDescent="0.3">
      <c r="A2843" s="66"/>
      <c r="B2843" s="67"/>
      <c r="C2843" s="66"/>
      <c r="D2843" s="68"/>
      <c r="E2843" s="10"/>
      <c r="F2843" s="69"/>
      <c r="G2843" s="68"/>
      <c r="H2843" s="70"/>
      <c r="BA2843" s="4"/>
      <c r="BB2843" s="4"/>
    </row>
    <row r="2844" spans="1:54" x14ac:dyDescent="0.3">
      <c r="A2844" s="66"/>
      <c r="B2844" s="67"/>
      <c r="C2844" s="66"/>
      <c r="D2844" s="68"/>
      <c r="E2844" s="10"/>
      <c r="F2844" s="69"/>
      <c r="G2844" s="68"/>
      <c r="H2844" s="70"/>
      <c r="BA2844" s="4"/>
      <c r="BB2844" s="4"/>
    </row>
    <row r="2845" spans="1:54" x14ac:dyDescent="0.3">
      <c r="A2845" s="66"/>
      <c r="B2845" s="67"/>
      <c r="C2845" s="66"/>
      <c r="D2845" s="68"/>
      <c r="E2845" s="10"/>
      <c r="F2845" s="69"/>
      <c r="G2845" s="68"/>
      <c r="H2845" s="70"/>
      <c r="BA2845" s="4"/>
      <c r="BB2845" s="4"/>
    </row>
    <row r="2846" spans="1:54" x14ac:dyDescent="0.3">
      <c r="A2846" s="66"/>
      <c r="B2846" s="67"/>
      <c r="C2846" s="66"/>
      <c r="D2846" s="68"/>
      <c r="E2846" s="10"/>
      <c r="F2846" s="69"/>
      <c r="G2846" s="68"/>
      <c r="H2846" s="70"/>
      <c r="BA2846" s="4"/>
      <c r="BB2846" s="4"/>
    </row>
    <row r="2847" spans="1:54" x14ac:dyDescent="0.3">
      <c r="A2847" s="66"/>
      <c r="B2847" s="67"/>
      <c r="C2847" s="66"/>
      <c r="D2847" s="68"/>
      <c r="E2847" s="10"/>
      <c r="F2847" s="69"/>
      <c r="G2847" s="68"/>
      <c r="H2847" s="70"/>
      <c r="BA2847" s="4"/>
      <c r="BB2847" s="4"/>
    </row>
    <row r="2848" spans="1:54" x14ac:dyDescent="0.3">
      <c r="A2848" s="66"/>
      <c r="B2848" s="67"/>
      <c r="C2848" s="66"/>
      <c r="D2848" s="68"/>
      <c r="E2848" s="10"/>
      <c r="F2848" s="69"/>
      <c r="G2848" s="68"/>
      <c r="H2848" s="70"/>
      <c r="BA2848" s="4"/>
      <c r="BB2848" s="4"/>
    </row>
    <row r="2849" spans="1:54" x14ac:dyDescent="0.3">
      <c r="A2849" s="66"/>
      <c r="B2849" s="67"/>
      <c r="C2849" s="66"/>
      <c r="D2849" s="68"/>
      <c r="E2849" s="10"/>
      <c r="F2849" s="69"/>
      <c r="G2849" s="68"/>
      <c r="H2849" s="70"/>
      <c r="BA2849" s="4"/>
      <c r="BB2849" s="4"/>
    </row>
    <row r="2850" spans="1:54" x14ac:dyDescent="0.3">
      <c r="A2850" s="66"/>
      <c r="B2850" s="67"/>
      <c r="C2850" s="66"/>
      <c r="D2850" s="68"/>
      <c r="E2850" s="10"/>
      <c r="F2850" s="69"/>
      <c r="G2850" s="68"/>
      <c r="H2850" s="70"/>
      <c r="BA2850" s="4"/>
      <c r="BB2850" s="4"/>
    </row>
    <row r="2851" spans="1:54" x14ac:dyDescent="0.3">
      <c r="A2851" s="66"/>
      <c r="B2851" s="67"/>
      <c r="C2851" s="66"/>
      <c r="D2851" s="68"/>
      <c r="E2851" s="10"/>
      <c r="F2851" s="69"/>
      <c r="G2851" s="68"/>
      <c r="H2851" s="70"/>
      <c r="BA2851" s="4"/>
      <c r="BB2851" s="4"/>
    </row>
    <row r="2852" spans="1:54" x14ac:dyDescent="0.3">
      <c r="A2852" s="66"/>
      <c r="B2852" s="67"/>
      <c r="C2852" s="66"/>
      <c r="D2852" s="68"/>
      <c r="E2852" s="10"/>
      <c r="F2852" s="69"/>
      <c r="G2852" s="68"/>
      <c r="H2852" s="70"/>
      <c r="BA2852" s="4"/>
      <c r="BB2852" s="4"/>
    </row>
    <row r="2853" spans="1:54" x14ac:dyDescent="0.3">
      <c r="A2853" s="66"/>
      <c r="B2853" s="67"/>
      <c r="C2853" s="66"/>
      <c r="D2853" s="68"/>
      <c r="E2853" s="10"/>
      <c r="F2853" s="69"/>
      <c r="G2853" s="68"/>
      <c r="H2853" s="70"/>
      <c r="BA2853" s="4"/>
      <c r="BB2853" s="4"/>
    </row>
    <row r="2854" spans="1:54" x14ac:dyDescent="0.3">
      <c r="A2854" s="66"/>
      <c r="B2854" s="67"/>
      <c r="C2854" s="66"/>
      <c r="D2854" s="68"/>
      <c r="E2854" s="10"/>
      <c r="F2854" s="69"/>
      <c r="G2854" s="68"/>
      <c r="H2854" s="70"/>
      <c r="BA2854" s="4"/>
      <c r="BB2854" s="4"/>
    </row>
    <row r="2855" spans="1:54" x14ac:dyDescent="0.3">
      <c r="A2855" s="66"/>
      <c r="B2855" s="67"/>
      <c r="C2855" s="66"/>
      <c r="D2855" s="68"/>
      <c r="E2855" s="10"/>
      <c r="F2855" s="69"/>
      <c r="G2855" s="68"/>
      <c r="H2855" s="70"/>
      <c r="BA2855" s="4"/>
      <c r="BB2855" s="4"/>
    </row>
    <row r="2856" spans="1:54" x14ac:dyDescent="0.3">
      <c r="A2856" s="66"/>
      <c r="B2856" s="67"/>
      <c r="C2856" s="66"/>
      <c r="D2856" s="68"/>
      <c r="E2856" s="10"/>
      <c r="F2856" s="69"/>
      <c r="G2856" s="68"/>
      <c r="H2856" s="70"/>
      <c r="BA2856" s="4"/>
      <c r="BB2856" s="4"/>
    </row>
    <row r="2857" spans="1:54" x14ac:dyDescent="0.3">
      <c r="A2857" s="66"/>
      <c r="B2857" s="67"/>
      <c r="C2857" s="66"/>
      <c r="D2857" s="68"/>
      <c r="E2857" s="10"/>
      <c r="F2857" s="69"/>
      <c r="G2857" s="68"/>
      <c r="H2857" s="70"/>
      <c r="BA2857" s="4"/>
      <c r="BB2857" s="4"/>
    </row>
    <row r="2858" spans="1:54" x14ac:dyDescent="0.3">
      <c r="A2858" s="66"/>
      <c r="B2858" s="67"/>
      <c r="C2858" s="66"/>
      <c r="D2858" s="68"/>
      <c r="E2858" s="10"/>
      <c r="F2858" s="69"/>
      <c r="G2858" s="68"/>
      <c r="H2858" s="70"/>
      <c r="BA2858" s="4"/>
      <c r="BB2858" s="4"/>
    </row>
    <row r="2859" spans="1:54" x14ac:dyDescent="0.3">
      <c r="A2859" s="66"/>
      <c r="B2859" s="67"/>
      <c r="C2859" s="66"/>
      <c r="D2859" s="68"/>
      <c r="E2859" s="10"/>
      <c r="F2859" s="69"/>
      <c r="G2859" s="68"/>
      <c r="H2859" s="70"/>
      <c r="BA2859" s="4"/>
      <c r="BB2859" s="4"/>
    </row>
    <row r="2860" spans="1:54" x14ac:dyDescent="0.3">
      <c r="A2860" s="66"/>
      <c r="B2860" s="67"/>
      <c r="C2860" s="66"/>
      <c r="D2860" s="68"/>
      <c r="E2860" s="10"/>
      <c r="F2860" s="69"/>
      <c r="G2860" s="68"/>
      <c r="H2860" s="70"/>
      <c r="BA2860" s="4"/>
      <c r="BB2860" s="4"/>
    </row>
    <row r="2861" spans="1:54" x14ac:dyDescent="0.3">
      <c r="A2861" s="66"/>
      <c r="B2861" s="67"/>
      <c r="C2861" s="66"/>
      <c r="D2861" s="68"/>
      <c r="E2861" s="10"/>
      <c r="F2861" s="69"/>
      <c r="G2861" s="68"/>
      <c r="H2861" s="70"/>
      <c r="BA2861" s="4"/>
      <c r="BB2861" s="4"/>
    </row>
    <row r="2862" spans="1:54" x14ac:dyDescent="0.3">
      <c r="A2862" s="66"/>
      <c r="B2862" s="67"/>
      <c r="C2862" s="66"/>
      <c r="D2862" s="68"/>
      <c r="E2862" s="10"/>
      <c r="F2862" s="69"/>
      <c r="G2862" s="68"/>
      <c r="H2862" s="70"/>
      <c r="BA2862" s="4"/>
      <c r="BB2862" s="4"/>
    </row>
    <row r="2863" spans="1:54" x14ac:dyDescent="0.3">
      <c r="A2863" s="66"/>
      <c r="B2863" s="67"/>
      <c r="C2863" s="66"/>
      <c r="D2863" s="68"/>
      <c r="E2863" s="10"/>
      <c r="F2863" s="69"/>
      <c r="G2863" s="68"/>
      <c r="H2863" s="70"/>
      <c r="BA2863" s="4"/>
      <c r="BB2863" s="4"/>
    </row>
    <row r="2864" spans="1:54" x14ac:dyDescent="0.3">
      <c r="A2864" s="66"/>
      <c r="B2864" s="67"/>
      <c r="C2864" s="66"/>
      <c r="D2864" s="68"/>
      <c r="E2864" s="10"/>
      <c r="F2864" s="69"/>
      <c r="G2864" s="68"/>
      <c r="H2864" s="70"/>
      <c r="BA2864" s="4"/>
      <c r="BB2864" s="4"/>
    </row>
    <row r="2865" spans="1:54" x14ac:dyDescent="0.3">
      <c r="A2865" s="66"/>
      <c r="B2865" s="67"/>
      <c r="C2865" s="66"/>
      <c r="D2865" s="68"/>
      <c r="E2865" s="10"/>
      <c r="F2865" s="69"/>
      <c r="G2865" s="68"/>
      <c r="H2865" s="70"/>
      <c r="BA2865" s="4"/>
      <c r="BB2865" s="4"/>
    </row>
    <row r="2866" spans="1:54" x14ac:dyDescent="0.3">
      <c r="A2866" s="66"/>
      <c r="B2866" s="67"/>
      <c r="C2866" s="66"/>
      <c r="D2866" s="68"/>
      <c r="E2866" s="10"/>
      <c r="F2866" s="69"/>
      <c r="G2866" s="68"/>
      <c r="H2866" s="70"/>
      <c r="BA2866" s="4"/>
      <c r="BB2866" s="4"/>
    </row>
    <row r="2867" spans="1:54" x14ac:dyDescent="0.3">
      <c r="A2867" s="66"/>
      <c r="B2867" s="67"/>
      <c r="C2867" s="66"/>
      <c r="D2867" s="68"/>
      <c r="E2867" s="10"/>
      <c r="F2867" s="69"/>
      <c r="G2867" s="68"/>
      <c r="H2867" s="70"/>
      <c r="BA2867" s="4"/>
      <c r="BB2867" s="4"/>
    </row>
    <row r="2868" spans="1:54" x14ac:dyDescent="0.3">
      <c r="A2868" s="66"/>
      <c r="B2868" s="67"/>
      <c r="C2868" s="66"/>
      <c r="D2868" s="68"/>
      <c r="E2868" s="10"/>
      <c r="F2868" s="69"/>
      <c r="G2868" s="68"/>
      <c r="H2868" s="70"/>
      <c r="BA2868" s="4"/>
      <c r="BB2868" s="4"/>
    </row>
    <row r="2869" spans="1:54" x14ac:dyDescent="0.3">
      <c r="A2869" s="66"/>
      <c r="B2869" s="67"/>
      <c r="C2869" s="66"/>
      <c r="D2869" s="68"/>
      <c r="E2869" s="10"/>
      <c r="F2869" s="69"/>
      <c r="G2869" s="68"/>
      <c r="H2869" s="70"/>
      <c r="BA2869" s="4"/>
      <c r="BB2869" s="4"/>
    </row>
    <row r="2870" spans="1:54" x14ac:dyDescent="0.3">
      <c r="A2870" s="66"/>
      <c r="B2870" s="67"/>
      <c r="C2870" s="66"/>
      <c r="D2870" s="68"/>
      <c r="E2870" s="10"/>
      <c r="F2870" s="69"/>
      <c r="G2870" s="68"/>
      <c r="H2870" s="70"/>
      <c r="BA2870" s="4"/>
      <c r="BB2870" s="4"/>
    </row>
    <row r="2871" spans="1:54" x14ac:dyDescent="0.3">
      <c r="A2871" s="66"/>
      <c r="B2871" s="67"/>
      <c r="C2871" s="66"/>
      <c r="D2871" s="68"/>
      <c r="E2871" s="10"/>
      <c r="F2871" s="69"/>
      <c r="G2871" s="68"/>
      <c r="H2871" s="70"/>
      <c r="BA2871" s="4"/>
      <c r="BB2871" s="4"/>
    </row>
    <row r="2872" spans="1:54" x14ac:dyDescent="0.3">
      <c r="A2872" s="66"/>
      <c r="B2872" s="67"/>
      <c r="C2872" s="66"/>
      <c r="D2872" s="68"/>
      <c r="E2872" s="10"/>
      <c r="F2872" s="69"/>
      <c r="G2872" s="68"/>
      <c r="H2872" s="70"/>
      <c r="BA2872" s="4"/>
      <c r="BB2872" s="4"/>
    </row>
    <row r="2873" spans="1:54" x14ac:dyDescent="0.3">
      <c r="A2873" s="66"/>
      <c r="B2873" s="67"/>
      <c r="C2873" s="66"/>
      <c r="D2873" s="68"/>
      <c r="E2873" s="10"/>
      <c r="F2873" s="69"/>
      <c r="G2873" s="68"/>
      <c r="H2873" s="70"/>
      <c r="BA2873" s="4"/>
      <c r="BB2873" s="4"/>
    </row>
    <row r="2874" spans="1:54" x14ac:dyDescent="0.3">
      <c r="A2874" s="66"/>
      <c r="B2874" s="67"/>
      <c r="C2874" s="66"/>
      <c r="D2874" s="68"/>
      <c r="E2874" s="10"/>
      <c r="F2874" s="69"/>
      <c r="G2874" s="68"/>
      <c r="H2874" s="70"/>
      <c r="BA2874" s="4"/>
      <c r="BB2874" s="4"/>
    </row>
    <row r="2875" spans="1:54" x14ac:dyDescent="0.3">
      <c r="A2875" s="66"/>
      <c r="B2875" s="67"/>
      <c r="C2875" s="66"/>
      <c r="D2875" s="68"/>
      <c r="E2875" s="10"/>
      <c r="F2875" s="69"/>
      <c r="G2875" s="68"/>
      <c r="H2875" s="70"/>
      <c r="BA2875" s="4"/>
      <c r="BB2875" s="4"/>
    </row>
    <row r="2876" spans="1:54" x14ac:dyDescent="0.3">
      <c r="A2876" s="66"/>
      <c r="B2876" s="67"/>
      <c r="C2876" s="66"/>
      <c r="D2876" s="68"/>
      <c r="E2876" s="10"/>
      <c r="F2876" s="69"/>
      <c r="G2876" s="68"/>
      <c r="H2876" s="70"/>
      <c r="BA2876" s="4"/>
      <c r="BB2876" s="4"/>
    </row>
    <row r="2877" spans="1:54" x14ac:dyDescent="0.3">
      <c r="A2877" s="66"/>
      <c r="B2877" s="67"/>
      <c r="C2877" s="66"/>
      <c r="D2877" s="68"/>
      <c r="E2877" s="10"/>
      <c r="F2877" s="69"/>
      <c r="G2877" s="68"/>
      <c r="H2877" s="70"/>
      <c r="BA2877" s="4"/>
      <c r="BB2877" s="4"/>
    </row>
    <row r="2878" spans="1:54" x14ac:dyDescent="0.3">
      <c r="A2878" s="66"/>
      <c r="B2878" s="67"/>
      <c r="C2878" s="66"/>
      <c r="D2878" s="68"/>
      <c r="E2878" s="10"/>
      <c r="F2878" s="69"/>
      <c r="G2878" s="68"/>
      <c r="H2878" s="70"/>
      <c r="BA2878" s="4"/>
      <c r="BB2878" s="4"/>
    </row>
    <row r="2879" spans="1:54" x14ac:dyDescent="0.3">
      <c r="A2879" s="66"/>
      <c r="B2879" s="67"/>
      <c r="C2879" s="66"/>
      <c r="D2879" s="68"/>
      <c r="E2879" s="10"/>
      <c r="F2879" s="69"/>
      <c r="G2879" s="68"/>
      <c r="H2879" s="70"/>
      <c r="BA2879" s="4"/>
      <c r="BB2879" s="4"/>
    </row>
    <row r="2880" spans="1:54" x14ac:dyDescent="0.3">
      <c r="A2880" s="66"/>
      <c r="B2880" s="67"/>
      <c r="C2880" s="66"/>
      <c r="D2880" s="68"/>
      <c r="E2880" s="10"/>
      <c r="F2880" s="69"/>
      <c r="G2880" s="68"/>
      <c r="H2880" s="70"/>
      <c r="BA2880" s="4"/>
      <c r="BB2880" s="4"/>
    </row>
    <row r="2881" spans="1:54" x14ac:dyDescent="0.3">
      <c r="A2881" s="66"/>
      <c r="B2881" s="67"/>
      <c r="C2881" s="66"/>
      <c r="D2881" s="68"/>
      <c r="E2881" s="10"/>
      <c r="F2881" s="69"/>
      <c r="G2881" s="68"/>
      <c r="H2881" s="70"/>
      <c r="BA2881" s="4"/>
      <c r="BB2881" s="4"/>
    </row>
    <row r="2882" spans="1:54" x14ac:dyDescent="0.3">
      <c r="A2882" s="66"/>
      <c r="B2882" s="67"/>
      <c r="C2882" s="66"/>
      <c r="D2882" s="68"/>
      <c r="E2882" s="10"/>
      <c r="F2882" s="69"/>
      <c r="G2882" s="68"/>
      <c r="H2882" s="70"/>
      <c r="BA2882" s="4"/>
      <c r="BB2882" s="4"/>
    </row>
    <row r="2883" spans="1:54" x14ac:dyDescent="0.3">
      <c r="A2883" s="66"/>
      <c r="B2883" s="67"/>
      <c r="C2883" s="66"/>
      <c r="D2883" s="68"/>
      <c r="E2883" s="10"/>
      <c r="F2883" s="69"/>
      <c r="G2883" s="68"/>
      <c r="H2883" s="70"/>
      <c r="BA2883" s="4"/>
      <c r="BB2883" s="4"/>
    </row>
    <row r="2884" spans="1:54" x14ac:dyDescent="0.3">
      <c r="A2884" s="66"/>
      <c r="B2884" s="67"/>
      <c r="C2884" s="66"/>
      <c r="D2884" s="68"/>
      <c r="E2884" s="10"/>
      <c r="F2884" s="69"/>
      <c r="G2884" s="68"/>
      <c r="H2884" s="70"/>
      <c r="BA2884" s="4"/>
      <c r="BB2884" s="4"/>
    </row>
    <row r="2885" spans="1:54" x14ac:dyDescent="0.3">
      <c r="A2885" s="66"/>
      <c r="B2885" s="67"/>
      <c r="C2885" s="66"/>
      <c r="D2885" s="68"/>
      <c r="E2885" s="10"/>
      <c r="F2885" s="69"/>
      <c r="G2885" s="68"/>
      <c r="H2885" s="70"/>
      <c r="BA2885" s="4"/>
      <c r="BB2885" s="4"/>
    </row>
    <row r="2886" spans="1:54" x14ac:dyDescent="0.3">
      <c r="A2886" s="66"/>
      <c r="B2886" s="67"/>
      <c r="C2886" s="66"/>
      <c r="D2886" s="68"/>
      <c r="E2886" s="10"/>
      <c r="F2886" s="69"/>
      <c r="G2886" s="68"/>
      <c r="H2886" s="70"/>
      <c r="BA2886" s="4"/>
      <c r="BB2886" s="4"/>
    </row>
    <row r="2887" spans="1:54" x14ac:dyDescent="0.3">
      <c r="A2887" s="66"/>
      <c r="B2887" s="67"/>
      <c r="C2887" s="66"/>
      <c r="D2887" s="68"/>
      <c r="E2887" s="10"/>
      <c r="F2887" s="69"/>
      <c r="G2887" s="68"/>
      <c r="H2887" s="70"/>
      <c r="BA2887" s="4"/>
      <c r="BB2887" s="4"/>
    </row>
    <row r="2888" spans="1:54" x14ac:dyDescent="0.3">
      <c r="A2888" s="66"/>
      <c r="B2888" s="67"/>
      <c r="C2888" s="66"/>
      <c r="D2888" s="68"/>
      <c r="E2888" s="10"/>
      <c r="F2888" s="69"/>
      <c r="G2888" s="68"/>
      <c r="H2888" s="70"/>
      <c r="BA2888" s="4"/>
      <c r="BB2888" s="4"/>
    </row>
    <row r="2889" spans="1:54" x14ac:dyDescent="0.3">
      <c r="A2889" s="66"/>
      <c r="B2889" s="67"/>
      <c r="C2889" s="66"/>
      <c r="D2889" s="68"/>
      <c r="E2889" s="10"/>
      <c r="F2889" s="69"/>
      <c r="G2889" s="68"/>
      <c r="H2889" s="70"/>
      <c r="BA2889" s="4"/>
      <c r="BB2889" s="4"/>
    </row>
    <row r="2890" spans="1:54" x14ac:dyDescent="0.3">
      <c r="A2890" s="66"/>
      <c r="B2890" s="67"/>
      <c r="C2890" s="66"/>
      <c r="D2890" s="68"/>
      <c r="E2890" s="10"/>
      <c r="F2890" s="69"/>
      <c r="G2890" s="68"/>
      <c r="H2890" s="70"/>
      <c r="BA2890" s="4"/>
      <c r="BB2890" s="4"/>
    </row>
    <row r="2891" spans="1:54" x14ac:dyDescent="0.3">
      <c r="A2891" s="66"/>
      <c r="B2891" s="67"/>
      <c r="C2891" s="66"/>
      <c r="D2891" s="68"/>
      <c r="E2891" s="10"/>
      <c r="F2891" s="69"/>
      <c r="G2891" s="68"/>
      <c r="H2891" s="70"/>
      <c r="BA2891" s="4"/>
      <c r="BB2891" s="4"/>
    </row>
    <row r="2892" spans="1:54" x14ac:dyDescent="0.3">
      <c r="A2892" s="66"/>
      <c r="B2892" s="67"/>
      <c r="C2892" s="66"/>
      <c r="D2892" s="68"/>
      <c r="E2892" s="10"/>
      <c r="F2892" s="69"/>
      <c r="G2892" s="68"/>
      <c r="H2892" s="70"/>
      <c r="BA2892" s="4"/>
      <c r="BB2892" s="4"/>
    </row>
    <row r="2893" spans="1:54" x14ac:dyDescent="0.3">
      <c r="A2893" s="66"/>
      <c r="B2893" s="67"/>
      <c r="C2893" s="66"/>
      <c r="D2893" s="68"/>
      <c r="E2893" s="10"/>
      <c r="F2893" s="69"/>
      <c r="G2893" s="68"/>
      <c r="H2893" s="70"/>
      <c r="BA2893" s="4"/>
      <c r="BB2893" s="4"/>
    </row>
    <row r="2894" spans="1:54" x14ac:dyDescent="0.3">
      <c r="A2894" s="66"/>
      <c r="B2894" s="67"/>
      <c r="C2894" s="66"/>
      <c r="D2894" s="68"/>
      <c r="E2894" s="10"/>
      <c r="F2894" s="69"/>
      <c r="G2894" s="68"/>
      <c r="H2894" s="70"/>
      <c r="BA2894" s="4"/>
      <c r="BB2894" s="4"/>
    </row>
    <row r="2895" spans="1:54" x14ac:dyDescent="0.3">
      <c r="A2895" s="66"/>
      <c r="B2895" s="67"/>
      <c r="C2895" s="66"/>
      <c r="D2895" s="68"/>
      <c r="E2895" s="10"/>
      <c r="F2895" s="69"/>
      <c r="G2895" s="68"/>
      <c r="H2895" s="70"/>
      <c r="BA2895" s="4"/>
      <c r="BB2895" s="4"/>
    </row>
    <row r="2896" spans="1:54" x14ac:dyDescent="0.3">
      <c r="A2896" s="66"/>
      <c r="B2896" s="67"/>
      <c r="C2896" s="66"/>
      <c r="D2896" s="68"/>
      <c r="E2896" s="10"/>
      <c r="F2896" s="69"/>
      <c r="G2896" s="68"/>
      <c r="H2896" s="70"/>
      <c r="BA2896" s="4"/>
      <c r="BB2896" s="4"/>
    </row>
    <row r="2897" spans="1:54" x14ac:dyDescent="0.3">
      <c r="A2897" s="66"/>
      <c r="B2897" s="67"/>
      <c r="C2897" s="66"/>
      <c r="D2897" s="68"/>
      <c r="E2897" s="10"/>
      <c r="F2897" s="69"/>
      <c r="G2897" s="68"/>
      <c r="H2897" s="70"/>
      <c r="BA2897" s="4"/>
      <c r="BB2897" s="4"/>
    </row>
    <row r="2898" spans="1:54" x14ac:dyDescent="0.3">
      <c r="A2898" s="66"/>
      <c r="B2898" s="67"/>
      <c r="C2898" s="66"/>
      <c r="D2898" s="68"/>
      <c r="E2898" s="10"/>
      <c r="F2898" s="69"/>
      <c r="G2898" s="68"/>
      <c r="H2898" s="70"/>
      <c r="BA2898" s="4"/>
      <c r="BB2898" s="4"/>
    </row>
    <row r="2899" spans="1:54" x14ac:dyDescent="0.3">
      <c r="A2899" s="66"/>
      <c r="B2899" s="67"/>
      <c r="C2899" s="66"/>
      <c r="D2899" s="68"/>
      <c r="E2899" s="10"/>
      <c r="F2899" s="69"/>
      <c r="G2899" s="68"/>
      <c r="H2899" s="70"/>
      <c r="BA2899" s="4"/>
      <c r="BB2899" s="4"/>
    </row>
    <row r="2900" spans="1:54" x14ac:dyDescent="0.3">
      <c r="A2900" s="66"/>
      <c r="B2900" s="67"/>
      <c r="C2900" s="66"/>
      <c r="D2900" s="68"/>
      <c r="E2900" s="10"/>
      <c r="F2900" s="69"/>
      <c r="G2900" s="68"/>
      <c r="H2900" s="70"/>
      <c r="BA2900" s="4"/>
      <c r="BB2900" s="4"/>
    </row>
    <row r="2901" spans="1:54" x14ac:dyDescent="0.3">
      <c r="A2901" s="66"/>
      <c r="B2901" s="67"/>
      <c r="C2901" s="66"/>
      <c r="D2901" s="68"/>
      <c r="E2901" s="10"/>
      <c r="F2901" s="69"/>
      <c r="G2901" s="68"/>
      <c r="H2901" s="70"/>
      <c r="BA2901" s="4"/>
      <c r="BB2901" s="4"/>
    </row>
    <row r="2902" spans="1:54" x14ac:dyDescent="0.3">
      <c r="A2902" s="66"/>
      <c r="B2902" s="67"/>
      <c r="C2902" s="66"/>
      <c r="D2902" s="68"/>
      <c r="E2902" s="10"/>
      <c r="F2902" s="69"/>
      <c r="G2902" s="68"/>
      <c r="H2902" s="70"/>
      <c r="BA2902" s="4"/>
      <c r="BB2902" s="4"/>
    </row>
    <row r="2903" spans="1:54" x14ac:dyDescent="0.3">
      <c r="A2903" s="66"/>
      <c r="B2903" s="67"/>
      <c r="C2903" s="66"/>
      <c r="D2903" s="68"/>
      <c r="E2903" s="10"/>
      <c r="F2903" s="69"/>
      <c r="G2903" s="68"/>
      <c r="H2903" s="70"/>
      <c r="BA2903" s="4"/>
      <c r="BB2903" s="4"/>
    </row>
    <row r="2904" spans="1:54" x14ac:dyDescent="0.3">
      <c r="A2904" s="66"/>
      <c r="B2904" s="67"/>
      <c r="C2904" s="66"/>
      <c r="D2904" s="68"/>
      <c r="E2904" s="10"/>
      <c r="F2904" s="69"/>
      <c r="G2904" s="68"/>
      <c r="H2904" s="70"/>
      <c r="BA2904" s="4"/>
      <c r="BB2904" s="4"/>
    </row>
    <row r="2905" spans="1:54" x14ac:dyDescent="0.3">
      <c r="A2905" s="66"/>
      <c r="B2905" s="67"/>
      <c r="C2905" s="66"/>
      <c r="D2905" s="68"/>
      <c r="E2905" s="10"/>
      <c r="F2905" s="69"/>
      <c r="G2905" s="68"/>
      <c r="H2905" s="70"/>
      <c r="BA2905" s="4"/>
      <c r="BB2905" s="4"/>
    </row>
    <row r="2906" spans="1:54" x14ac:dyDescent="0.3">
      <c r="A2906" s="66"/>
      <c r="B2906" s="67"/>
      <c r="C2906" s="66"/>
      <c r="D2906" s="68"/>
      <c r="E2906" s="10"/>
      <c r="F2906" s="69"/>
      <c r="G2906" s="68"/>
      <c r="H2906" s="70"/>
      <c r="BA2906" s="4"/>
      <c r="BB2906" s="4"/>
    </row>
    <row r="2907" spans="1:54" x14ac:dyDescent="0.3">
      <c r="A2907" s="66"/>
      <c r="B2907" s="67"/>
      <c r="C2907" s="66"/>
      <c r="D2907" s="68"/>
      <c r="E2907" s="10"/>
      <c r="F2907" s="69"/>
      <c r="G2907" s="68"/>
      <c r="H2907" s="70"/>
      <c r="BA2907" s="4"/>
      <c r="BB2907" s="4"/>
    </row>
    <row r="2908" spans="1:54" x14ac:dyDescent="0.3">
      <c r="A2908" s="66"/>
      <c r="B2908" s="67"/>
      <c r="C2908" s="66"/>
      <c r="D2908" s="68"/>
      <c r="E2908" s="10"/>
      <c r="F2908" s="69"/>
      <c r="G2908" s="68"/>
      <c r="H2908" s="70"/>
      <c r="BA2908" s="4"/>
      <c r="BB2908" s="4"/>
    </row>
    <row r="2909" spans="1:54" x14ac:dyDescent="0.3">
      <c r="A2909" s="66"/>
      <c r="B2909" s="67"/>
      <c r="C2909" s="66"/>
      <c r="D2909" s="68"/>
      <c r="E2909" s="10"/>
      <c r="F2909" s="69"/>
      <c r="G2909" s="68"/>
      <c r="H2909" s="70"/>
      <c r="BA2909" s="4"/>
      <c r="BB2909" s="4"/>
    </row>
    <row r="2910" spans="1:54" x14ac:dyDescent="0.3">
      <c r="A2910" s="66"/>
      <c r="B2910" s="67"/>
      <c r="C2910" s="66"/>
      <c r="D2910" s="68"/>
      <c r="E2910" s="10"/>
      <c r="F2910" s="69"/>
      <c r="G2910" s="68"/>
      <c r="H2910" s="70"/>
      <c r="BA2910" s="4"/>
      <c r="BB2910" s="4"/>
    </row>
    <row r="2911" spans="1:54" x14ac:dyDescent="0.3">
      <c r="A2911" s="66"/>
      <c r="B2911" s="67"/>
      <c r="C2911" s="66"/>
      <c r="D2911" s="68"/>
      <c r="E2911" s="10"/>
      <c r="F2911" s="69"/>
      <c r="G2911" s="68"/>
      <c r="H2911" s="70"/>
      <c r="BA2911" s="4"/>
      <c r="BB2911" s="4"/>
    </row>
    <row r="2912" spans="1:54" x14ac:dyDescent="0.3">
      <c r="A2912" s="66"/>
      <c r="B2912" s="67"/>
      <c r="C2912" s="66"/>
      <c r="D2912" s="68"/>
      <c r="E2912" s="10"/>
      <c r="F2912" s="69"/>
      <c r="G2912" s="68"/>
      <c r="H2912" s="70"/>
      <c r="BA2912" s="4"/>
      <c r="BB2912" s="4"/>
    </row>
    <row r="2913" spans="1:54" x14ac:dyDescent="0.3">
      <c r="A2913" s="66"/>
      <c r="B2913" s="67"/>
      <c r="C2913" s="66"/>
      <c r="D2913" s="68"/>
      <c r="E2913" s="10"/>
      <c r="F2913" s="69"/>
      <c r="G2913" s="68"/>
      <c r="H2913" s="70"/>
      <c r="BA2913" s="4"/>
      <c r="BB2913" s="4"/>
    </row>
    <row r="2914" spans="1:54" x14ac:dyDescent="0.3">
      <c r="A2914" s="66"/>
      <c r="B2914" s="67"/>
      <c r="C2914" s="66"/>
      <c r="D2914" s="68"/>
      <c r="E2914" s="10"/>
      <c r="F2914" s="69"/>
      <c r="G2914" s="68"/>
      <c r="H2914" s="70"/>
      <c r="BA2914" s="4"/>
      <c r="BB2914" s="4"/>
    </row>
    <row r="2915" spans="1:54" x14ac:dyDescent="0.3">
      <c r="A2915" s="66"/>
      <c r="B2915" s="67"/>
      <c r="C2915" s="66"/>
      <c r="D2915" s="68"/>
      <c r="E2915" s="10"/>
      <c r="F2915" s="69"/>
      <c r="G2915" s="68"/>
      <c r="H2915" s="70"/>
      <c r="BA2915" s="4"/>
      <c r="BB2915" s="4"/>
    </row>
    <row r="2916" spans="1:54" x14ac:dyDescent="0.3">
      <c r="A2916" s="66"/>
      <c r="B2916" s="67"/>
      <c r="C2916" s="66"/>
      <c r="D2916" s="68"/>
      <c r="E2916" s="10"/>
      <c r="F2916" s="69"/>
      <c r="G2916" s="68"/>
      <c r="H2916" s="70"/>
      <c r="BA2916" s="4"/>
      <c r="BB2916" s="4"/>
    </row>
    <row r="2917" spans="1:54" x14ac:dyDescent="0.3">
      <c r="A2917" s="66"/>
      <c r="B2917" s="67"/>
      <c r="C2917" s="66"/>
      <c r="D2917" s="68"/>
      <c r="E2917" s="10"/>
      <c r="F2917" s="69"/>
      <c r="G2917" s="68"/>
      <c r="H2917" s="70"/>
      <c r="BA2917" s="4"/>
      <c r="BB2917" s="4"/>
    </row>
    <row r="2918" spans="1:54" x14ac:dyDescent="0.3">
      <c r="A2918" s="66"/>
      <c r="B2918" s="67"/>
      <c r="C2918" s="66"/>
      <c r="D2918" s="68"/>
      <c r="E2918" s="10"/>
      <c r="F2918" s="69"/>
      <c r="G2918" s="68"/>
      <c r="H2918" s="70"/>
      <c r="BA2918" s="4"/>
      <c r="BB2918" s="4"/>
    </row>
    <row r="2919" spans="1:54" x14ac:dyDescent="0.3">
      <c r="A2919" s="66"/>
      <c r="B2919" s="67"/>
      <c r="C2919" s="66"/>
      <c r="D2919" s="68"/>
      <c r="E2919" s="10"/>
      <c r="F2919" s="69"/>
      <c r="G2919" s="68"/>
      <c r="H2919" s="70"/>
      <c r="BA2919" s="4"/>
      <c r="BB2919" s="4"/>
    </row>
    <row r="2920" spans="1:54" x14ac:dyDescent="0.3">
      <c r="A2920" s="66"/>
      <c r="B2920" s="67"/>
      <c r="C2920" s="66"/>
      <c r="D2920" s="68"/>
      <c r="E2920" s="10"/>
      <c r="F2920" s="69"/>
      <c r="G2920" s="68"/>
      <c r="H2920" s="70"/>
      <c r="BA2920" s="4"/>
      <c r="BB2920" s="4"/>
    </row>
    <row r="2921" spans="1:54" x14ac:dyDescent="0.3">
      <c r="A2921" s="66"/>
      <c r="B2921" s="67"/>
      <c r="C2921" s="66"/>
      <c r="D2921" s="68"/>
      <c r="E2921" s="10"/>
      <c r="F2921" s="69"/>
      <c r="G2921" s="68"/>
      <c r="H2921" s="70"/>
      <c r="BA2921" s="4"/>
      <c r="BB2921" s="4"/>
    </row>
    <row r="2922" spans="1:54" x14ac:dyDescent="0.3">
      <c r="A2922" s="66"/>
      <c r="B2922" s="67"/>
      <c r="C2922" s="66"/>
      <c r="D2922" s="68"/>
      <c r="E2922" s="10"/>
      <c r="F2922" s="69"/>
      <c r="G2922" s="68"/>
      <c r="H2922" s="70"/>
      <c r="BA2922" s="4"/>
      <c r="BB2922" s="4"/>
    </row>
    <row r="2923" spans="1:54" x14ac:dyDescent="0.3">
      <c r="A2923" s="66"/>
      <c r="B2923" s="67"/>
      <c r="C2923" s="66"/>
      <c r="D2923" s="68"/>
      <c r="E2923" s="10"/>
      <c r="F2923" s="69"/>
      <c r="G2923" s="68"/>
      <c r="H2923" s="70"/>
      <c r="BA2923" s="4"/>
      <c r="BB2923" s="4"/>
    </row>
    <row r="2924" spans="1:54" x14ac:dyDescent="0.3">
      <c r="A2924" s="66"/>
      <c r="B2924" s="67"/>
      <c r="C2924" s="66"/>
      <c r="D2924" s="68"/>
      <c r="E2924" s="10"/>
      <c r="F2924" s="69"/>
      <c r="G2924" s="68"/>
      <c r="H2924" s="70"/>
      <c r="BA2924" s="4"/>
      <c r="BB2924" s="4"/>
    </row>
    <row r="2925" spans="1:54" x14ac:dyDescent="0.3">
      <c r="A2925" s="66"/>
      <c r="B2925" s="67"/>
      <c r="C2925" s="66"/>
      <c r="D2925" s="68"/>
      <c r="E2925" s="10"/>
      <c r="F2925" s="69"/>
      <c r="G2925" s="68"/>
      <c r="H2925" s="70"/>
      <c r="BA2925" s="4"/>
      <c r="BB2925" s="4"/>
    </row>
    <row r="2926" spans="1:54" x14ac:dyDescent="0.3">
      <c r="A2926" s="66"/>
      <c r="B2926" s="67"/>
      <c r="C2926" s="66"/>
      <c r="D2926" s="68"/>
      <c r="E2926" s="10"/>
      <c r="F2926" s="69"/>
      <c r="G2926" s="68"/>
      <c r="H2926" s="70"/>
      <c r="BA2926" s="4"/>
      <c r="BB2926" s="4"/>
    </row>
    <row r="2927" spans="1:54" x14ac:dyDescent="0.3">
      <c r="A2927" s="66"/>
      <c r="B2927" s="67"/>
      <c r="C2927" s="66"/>
      <c r="D2927" s="68"/>
      <c r="E2927" s="10"/>
      <c r="F2927" s="69"/>
      <c r="G2927" s="68"/>
      <c r="H2927" s="70"/>
      <c r="BA2927" s="4"/>
      <c r="BB2927" s="4"/>
    </row>
    <row r="2928" spans="1:54" x14ac:dyDescent="0.3">
      <c r="A2928" s="66"/>
      <c r="B2928" s="67"/>
      <c r="C2928" s="66"/>
      <c r="D2928" s="68"/>
      <c r="E2928" s="10"/>
      <c r="F2928" s="69"/>
      <c r="G2928" s="68"/>
      <c r="H2928" s="70"/>
      <c r="BA2928" s="4"/>
      <c r="BB2928" s="4"/>
    </row>
    <row r="2929" spans="1:54" x14ac:dyDescent="0.3">
      <c r="A2929" s="66"/>
      <c r="B2929" s="67"/>
      <c r="C2929" s="66"/>
      <c r="D2929" s="68"/>
      <c r="E2929" s="10"/>
      <c r="F2929" s="69"/>
      <c r="G2929" s="68"/>
      <c r="H2929" s="70"/>
      <c r="BA2929" s="4"/>
      <c r="BB2929" s="4"/>
    </row>
    <row r="2930" spans="1:54" x14ac:dyDescent="0.3">
      <c r="A2930" s="66"/>
      <c r="B2930" s="67"/>
      <c r="C2930" s="66"/>
      <c r="D2930" s="68"/>
      <c r="E2930" s="10"/>
      <c r="F2930" s="69"/>
      <c r="G2930" s="68"/>
      <c r="H2930" s="70"/>
      <c r="BA2930" s="4"/>
      <c r="BB2930" s="4"/>
    </row>
    <row r="2931" spans="1:54" x14ac:dyDescent="0.3">
      <c r="A2931" s="66"/>
      <c r="B2931" s="67"/>
      <c r="C2931" s="66"/>
      <c r="D2931" s="68"/>
      <c r="E2931" s="10"/>
      <c r="F2931" s="69"/>
      <c r="G2931" s="68"/>
      <c r="H2931" s="70"/>
      <c r="BA2931" s="4"/>
      <c r="BB2931" s="4"/>
    </row>
    <row r="2932" spans="1:54" x14ac:dyDescent="0.3">
      <c r="A2932" s="66"/>
      <c r="B2932" s="67"/>
      <c r="C2932" s="66"/>
      <c r="D2932" s="68"/>
      <c r="E2932" s="10"/>
      <c r="F2932" s="69"/>
      <c r="G2932" s="68"/>
      <c r="H2932" s="70"/>
      <c r="BA2932" s="4"/>
      <c r="BB2932" s="4"/>
    </row>
    <row r="2933" spans="1:54" x14ac:dyDescent="0.3">
      <c r="A2933" s="66"/>
      <c r="B2933" s="67"/>
      <c r="C2933" s="66"/>
      <c r="D2933" s="68"/>
      <c r="E2933" s="10"/>
      <c r="F2933" s="69"/>
      <c r="G2933" s="68"/>
      <c r="H2933" s="70"/>
      <c r="BA2933" s="4"/>
      <c r="BB2933" s="4"/>
    </row>
    <row r="2934" spans="1:54" x14ac:dyDescent="0.3">
      <c r="A2934" s="66"/>
      <c r="B2934" s="67"/>
      <c r="C2934" s="66"/>
      <c r="D2934" s="68"/>
      <c r="E2934" s="10"/>
      <c r="F2934" s="69"/>
      <c r="G2934" s="68"/>
      <c r="H2934" s="70"/>
      <c r="BA2934" s="4"/>
      <c r="BB2934" s="4"/>
    </row>
    <row r="2935" spans="1:54" x14ac:dyDescent="0.3">
      <c r="A2935" s="66"/>
      <c r="B2935" s="67"/>
      <c r="C2935" s="66"/>
      <c r="D2935" s="68"/>
      <c r="E2935" s="10"/>
      <c r="F2935" s="69"/>
      <c r="G2935" s="68"/>
      <c r="H2935" s="70"/>
      <c r="BA2935" s="4"/>
      <c r="BB2935" s="4"/>
    </row>
    <row r="2936" spans="1:54" x14ac:dyDescent="0.3">
      <c r="A2936" s="66"/>
      <c r="B2936" s="67"/>
      <c r="C2936" s="66"/>
      <c r="D2936" s="68"/>
      <c r="E2936" s="10"/>
      <c r="F2936" s="69"/>
      <c r="G2936" s="68"/>
      <c r="H2936" s="70"/>
      <c r="BA2936" s="4"/>
      <c r="BB2936" s="4"/>
    </row>
    <row r="2937" spans="1:54" x14ac:dyDescent="0.3">
      <c r="A2937" s="66"/>
      <c r="B2937" s="67"/>
      <c r="C2937" s="66"/>
      <c r="D2937" s="68"/>
      <c r="E2937" s="10"/>
      <c r="F2937" s="69"/>
      <c r="G2937" s="68"/>
      <c r="H2937" s="70"/>
      <c r="BA2937" s="4"/>
      <c r="BB2937" s="4"/>
    </row>
    <row r="2938" spans="1:54" x14ac:dyDescent="0.3">
      <c r="A2938" s="66"/>
      <c r="B2938" s="67"/>
      <c r="C2938" s="66"/>
      <c r="D2938" s="68"/>
      <c r="E2938" s="10"/>
      <c r="F2938" s="69"/>
      <c r="G2938" s="68"/>
      <c r="H2938" s="70"/>
      <c r="BA2938" s="4"/>
      <c r="BB2938" s="4"/>
    </row>
    <row r="2939" spans="1:54" x14ac:dyDescent="0.3">
      <c r="A2939" s="66"/>
      <c r="B2939" s="67"/>
      <c r="C2939" s="66"/>
      <c r="D2939" s="68"/>
      <c r="E2939" s="10"/>
      <c r="F2939" s="69"/>
      <c r="G2939" s="68"/>
      <c r="H2939" s="70"/>
      <c r="BA2939" s="4"/>
      <c r="BB2939" s="4"/>
    </row>
    <row r="2940" spans="1:54" x14ac:dyDescent="0.3">
      <c r="A2940" s="66"/>
      <c r="B2940" s="67"/>
      <c r="C2940" s="66"/>
      <c r="D2940" s="68"/>
      <c r="E2940" s="10"/>
      <c r="F2940" s="69"/>
      <c r="G2940" s="68"/>
      <c r="H2940" s="70"/>
      <c r="BA2940" s="4"/>
      <c r="BB2940" s="4"/>
    </row>
    <row r="2941" spans="1:54" x14ac:dyDescent="0.3">
      <c r="A2941" s="66"/>
      <c r="B2941" s="67"/>
      <c r="C2941" s="66"/>
      <c r="D2941" s="68"/>
      <c r="E2941" s="10"/>
      <c r="F2941" s="69"/>
      <c r="G2941" s="68"/>
      <c r="H2941" s="70"/>
      <c r="BA2941" s="4"/>
      <c r="BB2941" s="4"/>
    </row>
    <row r="2942" spans="1:54" x14ac:dyDescent="0.3">
      <c r="A2942" s="66"/>
      <c r="B2942" s="67"/>
      <c r="C2942" s="66"/>
      <c r="D2942" s="68"/>
      <c r="E2942" s="10"/>
      <c r="F2942" s="69"/>
      <c r="G2942" s="68"/>
      <c r="H2942" s="70"/>
      <c r="BA2942" s="4"/>
      <c r="BB2942" s="4"/>
    </row>
    <row r="2943" spans="1:54" x14ac:dyDescent="0.3">
      <c r="A2943" s="66"/>
      <c r="B2943" s="67"/>
      <c r="C2943" s="66"/>
      <c r="D2943" s="68"/>
      <c r="E2943" s="10"/>
      <c r="F2943" s="69"/>
      <c r="G2943" s="68"/>
      <c r="H2943" s="70"/>
      <c r="BA2943" s="4"/>
      <c r="BB2943" s="4"/>
    </row>
    <row r="2944" spans="1:54" x14ac:dyDescent="0.3">
      <c r="A2944" s="66"/>
      <c r="B2944" s="67"/>
      <c r="C2944" s="66"/>
      <c r="D2944" s="68"/>
      <c r="E2944" s="10"/>
      <c r="F2944" s="69"/>
      <c r="G2944" s="68"/>
      <c r="H2944" s="70"/>
      <c r="BA2944" s="4"/>
      <c r="BB2944" s="4"/>
    </row>
    <row r="2945" spans="1:54" x14ac:dyDescent="0.3">
      <c r="A2945" s="66"/>
      <c r="B2945" s="67"/>
      <c r="C2945" s="66"/>
      <c r="D2945" s="68"/>
      <c r="E2945" s="10"/>
      <c r="F2945" s="69"/>
      <c r="G2945" s="68"/>
      <c r="H2945" s="70"/>
      <c r="BA2945" s="4"/>
      <c r="BB2945" s="4"/>
    </row>
    <row r="2946" spans="1:54" x14ac:dyDescent="0.3">
      <c r="A2946" s="66"/>
      <c r="B2946" s="67"/>
      <c r="C2946" s="66"/>
      <c r="D2946" s="68"/>
      <c r="E2946" s="10"/>
      <c r="F2946" s="69"/>
      <c r="G2946" s="68"/>
      <c r="H2946" s="70"/>
      <c r="BA2946" s="4"/>
      <c r="BB2946" s="4"/>
    </row>
    <row r="2947" spans="1:54" x14ac:dyDescent="0.3">
      <c r="A2947" s="66"/>
      <c r="B2947" s="67"/>
      <c r="C2947" s="66"/>
      <c r="D2947" s="68"/>
      <c r="E2947" s="10"/>
      <c r="F2947" s="69"/>
      <c r="G2947" s="68"/>
      <c r="H2947" s="70"/>
      <c r="BA2947" s="4"/>
      <c r="BB2947" s="4"/>
    </row>
    <row r="2948" spans="1:54" x14ac:dyDescent="0.3">
      <c r="A2948" s="66"/>
      <c r="B2948" s="67"/>
      <c r="C2948" s="66"/>
      <c r="D2948" s="68"/>
      <c r="E2948" s="10"/>
      <c r="F2948" s="69"/>
      <c r="G2948" s="68"/>
      <c r="H2948" s="70"/>
      <c r="BA2948" s="4"/>
      <c r="BB2948" s="4"/>
    </row>
    <row r="2949" spans="1:54" x14ac:dyDescent="0.3">
      <c r="A2949" s="66"/>
      <c r="B2949" s="67"/>
      <c r="C2949" s="66"/>
      <c r="D2949" s="68"/>
      <c r="E2949" s="10"/>
      <c r="F2949" s="69"/>
      <c r="G2949" s="68"/>
      <c r="H2949" s="70"/>
      <c r="BA2949" s="4"/>
      <c r="BB2949" s="4"/>
    </row>
    <row r="2950" spans="1:54" x14ac:dyDescent="0.3">
      <c r="A2950" s="66"/>
      <c r="B2950" s="67"/>
      <c r="C2950" s="66"/>
      <c r="D2950" s="68"/>
      <c r="E2950" s="10"/>
      <c r="F2950" s="69"/>
      <c r="G2950" s="68"/>
      <c r="H2950" s="70"/>
      <c r="BA2950" s="4"/>
      <c r="BB2950" s="4"/>
    </row>
    <row r="2951" spans="1:54" x14ac:dyDescent="0.3">
      <c r="A2951" s="66"/>
      <c r="B2951" s="67"/>
      <c r="C2951" s="66"/>
      <c r="D2951" s="68"/>
      <c r="E2951" s="10"/>
      <c r="F2951" s="69"/>
      <c r="G2951" s="68"/>
      <c r="H2951" s="70"/>
      <c r="BA2951" s="4"/>
      <c r="BB2951" s="4"/>
    </row>
    <row r="2952" spans="1:54" x14ac:dyDescent="0.3">
      <c r="A2952" s="66"/>
      <c r="B2952" s="67"/>
      <c r="C2952" s="66"/>
      <c r="D2952" s="68"/>
      <c r="E2952" s="10"/>
      <c r="F2952" s="69"/>
      <c r="G2952" s="68"/>
      <c r="H2952" s="70"/>
      <c r="BA2952" s="4"/>
      <c r="BB2952" s="4"/>
    </row>
    <row r="2953" spans="1:54" x14ac:dyDescent="0.3">
      <c r="A2953" s="66"/>
      <c r="B2953" s="67"/>
      <c r="C2953" s="66"/>
      <c r="D2953" s="68"/>
      <c r="E2953" s="10"/>
      <c r="F2953" s="69"/>
      <c r="G2953" s="68"/>
      <c r="H2953" s="70"/>
      <c r="BA2953" s="4"/>
      <c r="BB2953" s="4"/>
    </row>
    <row r="2954" spans="1:54" x14ac:dyDescent="0.3">
      <c r="A2954" s="66"/>
      <c r="B2954" s="67"/>
      <c r="C2954" s="66"/>
      <c r="D2954" s="68"/>
      <c r="E2954" s="10"/>
      <c r="F2954" s="69"/>
      <c r="G2954" s="68"/>
      <c r="H2954" s="70"/>
      <c r="BA2954" s="4"/>
      <c r="BB2954" s="4"/>
    </row>
    <row r="2955" spans="1:54" x14ac:dyDescent="0.3">
      <c r="A2955" s="66"/>
      <c r="B2955" s="67"/>
      <c r="C2955" s="66"/>
      <c r="D2955" s="68"/>
      <c r="E2955" s="10"/>
      <c r="F2955" s="69"/>
      <c r="G2955" s="68"/>
      <c r="H2955" s="70"/>
      <c r="BA2955" s="4"/>
      <c r="BB2955" s="4"/>
    </row>
    <row r="2956" spans="1:54" x14ac:dyDescent="0.3">
      <c r="A2956" s="66"/>
      <c r="B2956" s="67"/>
      <c r="C2956" s="66"/>
      <c r="D2956" s="68"/>
      <c r="E2956" s="10"/>
      <c r="F2956" s="69"/>
      <c r="G2956" s="68"/>
      <c r="H2956" s="70"/>
      <c r="BA2956" s="4"/>
      <c r="BB2956" s="4"/>
    </row>
    <row r="2957" spans="1:54" x14ac:dyDescent="0.3">
      <c r="A2957" s="66"/>
      <c r="B2957" s="67"/>
      <c r="C2957" s="66"/>
      <c r="D2957" s="68"/>
      <c r="E2957" s="10"/>
      <c r="F2957" s="69"/>
      <c r="G2957" s="68"/>
      <c r="H2957" s="70"/>
      <c r="BA2957" s="4"/>
      <c r="BB2957" s="4"/>
    </row>
    <row r="2958" spans="1:54" x14ac:dyDescent="0.3">
      <c r="A2958" s="66"/>
      <c r="B2958" s="67"/>
      <c r="C2958" s="66"/>
      <c r="D2958" s="68"/>
      <c r="E2958" s="10"/>
      <c r="F2958" s="69"/>
      <c r="G2958" s="68"/>
      <c r="H2958" s="70"/>
      <c r="BA2958" s="4"/>
      <c r="BB2958" s="4"/>
    </row>
    <row r="2959" spans="1:54" x14ac:dyDescent="0.3">
      <c r="A2959" s="66"/>
      <c r="B2959" s="67"/>
      <c r="C2959" s="66"/>
      <c r="D2959" s="68"/>
      <c r="E2959" s="10"/>
      <c r="F2959" s="69"/>
      <c r="G2959" s="68"/>
      <c r="H2959" s="70"/>
      <c r="BA2959" s="4"/>
      <c r="BB2959" s="4"/>
    </row>
    <row r="2960" spans="1:54" x14ac:dyDescent="0.3">
      <c r="A2960" s="66"/>
      <c r="B2960" s="67"/>
      <c r="C2960" s="66"/>
      <c r="D2960" s="68"/>
      <c r="E2960" s="10"/>
      <c r="F2960" s="69"/>
      <c r="G2960" s="68"/>
      <c r="H2960" s="70"/>
      <c r="BA2960" s="4"/>
      <c r="BB2960" s="4"/>
    </row>
    <row r="2961" spans="1:54" x14ac:dyDescent="0.3">
      <c r="A2961" s="66"/>
      <c r="B2961" s="67"/>
      <c r="C2961" s="66"/>
      <c r="D2961" s="68"/>
      <c r="E2961" s="10"/>
      <c r="F2961" s="69"/>
      <c r="G2961" s="68"/>
      <c r="H2961" s="70"/>
      <c r="BA2961" s="4"/>
      <c r="BB2961" s="4"/>
    </row>
    <row r="2962" spans="1:54" x14ac:dyDescent="0.3">
      <c r="A2962" s="66"/>
      <c r="B2962" s="67"/>
      <c r="C2962" s="66"/>
      <c r="D2962" s="68"/>
      <c r="E2962" s="10"/>
      <c r="F2962" s="69"/>
      <c r="G2962" s="68"/>
      <c r="H2962" s="70"/>
      <c r="BA2962" s="4"/>
      <c r="BB2962" s="4"/>
    </row>
    <row r="2963" spans="1:54" x14ac:dyDescent="0.3">
      <c r="A2963" s="66"/>
      <c r="B2963" s="67"/>
      <c r="C2963" s="66"/>
      <c r="D2963" s="68"/>
      <c r="E2963" s="10"/>
      <c r="F2963" s="69"/>
      <c r="G2963" s="68"/>
      <c r="H2963" s="70"/>
      <c r="BA2963" s="4"/>
      <c r="BB2963" s="4"/>
    </row>
    <row r="2964" spans="1:54" x14ac:dyDescent="0.3">
      <c r="A2964" s="66"/>
      <c r="B2964" s="67"/>
      <c r="C2964" s="66"/>
      <c r="D2964" s="68"/>
      <c r="E2964" s="10"/>
      <c r="F2964" s="69"/>
      <c r="G2964" s="68"/>
      <c r="H2964" s="70"/>
      <c r="BA2964" s="4"/>
      <c r="BB2964" s="4"/>
    </row>
    <row r="2965" spans="1:54" x14ac:dyDescent="0.3">
      <c r="A2965" s="66"/>
      <c r="B2965" s="67"/>
      <c r="C2965" s="66"/>
      <c r="D2965" s="68"/>
      <c r="E2965" s="10"/>
      <c r="F2965" s="69"/>
      <c r="G2965" s="68"/>
      <c r="H2965" s="70"/>
      <c r="BA2965" s="4"/>
      <c r="BB2965" s="4"/>
    </row>
    <row r="2966" spans="1:54" x14ac:dyDescent="0.3">
      <c r="A2966" s="66"/>
      <c r="B2966" s="67"/>
      <c r="C2966" s="66"/>
      <c r="D2966" s="68"/>
      <c r="E2966" s="10"/>
      <c r="F2966" s="69"/>
      <c r="G2966" s="68"/>
      <c r="H2966" s="70"/>
      <c r="BA2966" s="4"/>
      <c r="BB2966" s="4"/>
    </row>
    <row r="2967" spans="1:54" x14ac:dyDescent="0.3">
      <c r="A2967" s="66"/>
      <c r="B2967" s="67"/>
      <c r="C2967" s="66"/>
      <c r="D2967" s="68"/>
      <c r="E2967" s="10"/>
      <c r="F2967" s="69"/>
      <c r="G2967" s="68"/>
      <c r="H2967" s="70"/>
      <c r="BA2967" s="4"/>
      <c r="BB2967" s="4"/>
    </row>
    <row r="2968" spans="1:54" x14ac:dyDescent="0.3">
      <c r="A2968" s="66"/>
      <c r="B2968" s="67"/>
      <c r="C2968" s="66"/>
      <c r="D2968" s="68"/>
      <c r="E2968" s="10"/>
      <c r="F2968" s="69"/>
      <c r="G2968" s="68"/>
      <c r="H2968" s="70"/>
      <c r="BA2968" s="4"/>
      <c r="BB2968" s="4"/>
    </row>
    <row r="2969" spans="1:54" x14ac:dyDescent="0.3">
      <c r="A2969" s="66"/>
      <c r="B2969" s="67"/>
      <c r="C2969" s="66"/>
      <c r="D2969" s="68"/>
      <c r="E2969" s="10"/>
      <c r="F2969" s="69"/>
      <c r="G2969" s="68"/>
      <c r="H2969" s="70"/>
      <c r="BA2969" s="4"/>
      <c r="BB2969" s="4"/>
    </row>
    <row r="2970" spans="1:54" x14ac:dyDescent="0.3">
      <c r="A2970" s="66"/>
      <c r="B2970" s="67"/>
      <c r="C2970" s="66"/>
      <c r="D2970" s="68"/>
      <c r="E2970" s="10"/>
      <c r="F2970" s="69"/>
      <c r="G2970" s="68"/>
      <c r="H2970" s="70"/>
      <c r="BA2970" s="4"/>
      <c r="BB2970" s="4"/>
    </row>
    <row r="2971" spans="1:54" x14ac:dyDescent="0.3">
      <c r="A2971" s="66"/>
      <c r="B2971" s="67"/>
      <c r="C2971" s="66"/>
      <c r="D2971" s="68"/>
      <c r="E2971" s="10"/>
      <c r="F2971" s="69"/>
      <c r="G2971" s="68"/>
      <c r="H2971" s="70"/>
      <c r="BA2971" s="4"/>
      <c r="BB2971" s="4"/>
    </row>
    <row r="2972" spans="1:54" x14ac:dyDescent="0.3">
      <c r="A2972" s="66"/>
      <c r="B2972" s="67"/>
      <c r="C2972" s="66"/>
      <c r="D2972" s="68"/>
      <c r="E2972" s="10"/>
      <c r="F2972" s="69"/>
      <c r="G2972" s="68"/>
      <c r="H2972" s="70"/>
      <c r="BA2972" s="4"/>
      <c r="BB2972" s="4"/>
    </row>
    <row r="2973" spans="1:54" x14ac:dyDescent="0.3">
      <c r="A2973" s="66"/>
      <c r="B2973" s="67"/>
      <c r="C2973" s="66"/>
      <c r="D2973" s="68"/>
      <c r="E2973" s="10"/>
      <c r="F2973" s="69"/>
      <c r="G2973" s="68"/>
      <c r="H2973" s="70"/>
      <c r="BA2973" s="4"/>
      <c r="BB2973" s="4"/>
    </row>
    <row r="2974" spans="1:54" x14ac:dyDescent="0.3">
      <c r="A2974" s="66"/>
      <c r="B2974" s="67"/>
      <c r="C2974" s="66"/>
      <c r="D2974" s="68"/>
      <c r="E2974" s="10"/>
      <c r="F2974" s="69"/>
      <c r="G2974" s="68"/>
      <c r="H2974" s="70"/>
      <c r="BA2974" s="4"/>
      <c r="BB2974" s="4"/>
    </row>
    <row r="2975" spans="1:54" x14ac:dyDescent="0.3">
      <c r="A2975" s="66"/>
      <c r="B2975" s="67"/>
      <c r="C2975" s="66"/>
      <c r="D2975" s="68"/>
      <c r="E2975" s="10"/>
      <c r="F2975" s="69"/>
      <c r="G2975" s="68"/>
      <c r="H2975" s="70"/>
      <c r="BA2975" s="4"/>
      <c r="BB2975" s="4"/>
    </row>
    <row r="2976" spans="1:54" x14ac:dyDescent="0.3">
      <c r="A2976" s="66"/>
      <c r="B2976" s="67"/>
      <c r="C2976" s="66"/>
      <c r="D2976" s="68"/>
      <c r="E2976" s="10"/>
      <c r="F2976" s="69"/>
      <c r="G2976" s="68"/>
      <c r="H2976" s="70"/>
      <c r="BA2976" s="4"/>
      <c r="BB2976" s="4"/>
    </row>
    <row r="2977" spans="1:54" x14ac:dyDescent="0.3">
      <c r="A2977" s="66"/>
      <c r="B2977" s="67"/>
      <c r="C2977" s="66"/>
      <c r="D2977" s="68"/>
      <c r="E2977" s="10"/>
      <c r="F2977" s="69"/>
      <c r="G2977" s="68"/>
      <c r="H2977" s="70"/>
      <c r="BA2977" s="4"/>
      <c r="BB2977" s="4"/>
    </row>
    <row r="2978" spans="1:54" x14ac:dyDescent="0.3">
      <c r="A2978" s="66"/>
      <c r="B2978" s="67"/>
      <c r="C2978" s="66"/>
      <c r="D2978" s="68"/>
      <c r="E2978" s="10"/>
      <c r="F2978" s="69"/>
      <c r="G2978" s="68"/>
      <c r="H2978" s="70"/>
      <c r="BA2978" s="4"/>
      <c r="BB2978" s="4"/>
    </row>
    <row r="2979" spans="1:54" x14ac:dyDescent="0.3">
      <c r="A2979" s="66"/>
      <c r="B2979" s="67"/>
      <c r="C2979" s="66"/>
      <c r="D2979" s="68"/>
      <c r="E2979" s="10"/>
      <c r="F2979" s="69"/>
      <c r="G2979" s="68"/>
      <c r="H2979" s="70"/>
      <c r="BA2979" s="4"/>
      <c r="BB2979" s="4"/>
    </row>
    <row r="2980" spans="1:54" x14ac:dyDescent="0.3">
      <c r="A2980" s="66"/>
      <c r="B2980" s="67"/>
      <c r="C2980" s="66"/>
      <c r="D2980" s="68"/>
      <c r="E2980" s="10"/>
      <c r="F2980" s="69"/>
      <c r="G2980" s="68"/>
      <c r="H2980" s="70"/>
      <c r="BA2980" s="4"/>
      <c r="BB2980" s="4"/>
    </row>
    <row r="2981" spans="1:54" x14ac:dyDescent="0.3">
      <c r="A2981" s="66"/>
      <c r="B2981" s="67"/>
      <c r="C2981" s="66"/>
      <c r="D2981" s="68"/>
      <c r="E2981" s="10"/>
      <c r="F2981" s="69"/>
      <c r="G2981" s="68"/>
      <c r="H2981" s="70"/>
      <c r="BA2981" s="4"/>
      <c r="BB2981" s="4"/>
    </row>
    <row r="2982" spans="1:54" x14ac:dyDescent="0.3">
      <c r="A2982" s="66"/>
      <c r="B2982" s="67"/>
      <c r="C2982" s="66"/>
      <c r="D2982" s="68"/>
      <c r="E2982" s="10"/>
      <c r="F2982" s="69"/>
      <c r="G2982" s="68"/>
      <c r="H2982" s="70"/>
      <c r="BA2982" s="4"/>
      <c r="BB2982" s="4"/>
    </row>
    <row r="2983" spans="1:54" x14ac:dyDescent="0.3">
      <c r="A2983" s="66"/>
      <c r="B2983" s="67"/>
      <c r="C2983" s="66"/>
      <c r="D2983" s="68"/>
      <c r="E2983" s="10"/>
      <c r="F2983" s="69"/>
      <c r="G2983" s="68"/>
      <c r="H2983" s="70"/>
      <c r="BA2983" s="4"/>
      <c r="BB2983" s="4"/>
    </row>
    <row r="2984" spans="1:54" x14ac:dyDescent="0.3">
      <c r="A2984" s="66"/>
      <c r="B2984" s="67"/>
      <c r="C2984" s="66"/>
      <c r="D2984" s="68"/>
      <c r="E2984" s="10"/>
      <c r="F2984" s="69"/>
      <c r="G2984" s="68"/>
      <c r="H2984" s="70"/>
      <c r="BA2984" s="4"/>
      <c r="BB2984" s="4"/>
    </row>
    <row r="2985" spans="1:54" x14ac:dyDescent="0.3">
      <c r="A2985" s="66"/>
      <c r="B2985" s="67"/>
      <c r="C2985" s="66"/>
      <c r="D2985" s="68"/>
      <c r="E2985" s="10"/>
      <c r="F2985" s="69"/>
      <c r="G2985" s="68"/>
      <c r="H2985" s="70"/>
      <c r="BA2985" s="4"/>
      <c r="BB2985" s="4"/>
    </row>
    <row r="2986" spans="1:54" x14ac:dyDescent="0.3">
      <c r="A2986" s="66"/>
      <c r="B2986" s="67"/>
      <c r="C2986" s="66"/>
      <c r="D2986" s="68"/>
      <c r="E2986" s="10"/>
      <c r="F2986" s="69"/>
      <c r="G2986" s="68"/>
      <c r="H2986" s="70"/>
      <c r="BA2986" s="4"/>
      <c r="BB2986" s="4"/>
    </row>
    <row r="2987" spans="1:54" x14ac:dyDescent="0.3">
      <c r="A2987" s="66"/>
      <c r="B2987" s="67"/>
      <c r="C2987" s="66"/>
      <c r="D2987" s="68"/>
      <c r="E2987" s="10"/>
      <c r="F2987" s="69"/>
      <c r="G2987" s="68"/>
      <c r="H2987" s="70"/>
      <c r="BA2987" s="4"/>
      <c r="BB2987" s="4"/>
    </row>
    <row r="2988" spans="1:54" x14ac:dyDescent="0.3">
      <c r="A2988" s="66"/>
      <c r="B2988" s="67"/>
      <c r="C2988" s="66"/>
      <c r="D2988" s="68"/>
      <c r="E2988" s="10"/>
      <c r="F2988" s="69"/>
      <c r="G2988" s="68"/>
      <c r="H2988" s="70"/>
      <c r="BA2988" s="4"/>
      <c r="BB2988" s="4"/>
    </row>
    <row r="2989" spans="1:54" x14ac:dyDescent="0.3">
      <c r="A2989" s="66"/>
      <c r="B2989" s="67"/>
      <c r="C2989" s="66"/>
      <c r="D2989" s="68"/>
      <c r="E2989" s="10"/>
      <c r="F2989" s="69"/>
      <c r="G2989" s="68"/>
      <c r="H2989" s="70"/>
      <c r="BA2989" s="4"/>
      <c r="BB2989" s="4"/>
    </row>
    <row r="2990" spans="1:54" x14ac:dyDescent="0.3">
      <c r="A2990" s="66"/>
      <c r="B2990" s="67"/>
      <c r="C2990" s="66"/>
      <c r="D2990" s="68"/>
      <c r="E2990" s="10"/>
      <c r="F2990" s="69"/>
      <c r="G2990" s="68"/>
      <c r="H2990" s="70"/>
      <c r="BA2990" s="4"/>
      <c r="BB2990" s="4"/>
    </row>
    <row r="2991" spans="1:54" x14ac:dyDescent="0.3">
      <c r="A2991" s="66"/>
      <c r="B2991" s="67"/>
      <c r="C2991" s="66"/>
      <c r="D2991" s="68"/>
      <c r="E2991" s="10"/>
      <c r="F2991" s="69"/>
      <c r="G2991" s="68"/>
      <c r="H2991" s="70"/>
      <c r="BA2991" s="4"/>
      <c r="BB2991" s="4"/>
    </row>
    <row r="2992" spans="1:54" x14ac:dyDescent="0.3">
      <c r="A2992" s="66"/>
      <c r="B2992" s="67"/>
      <c r="C2992" s="66"/>
      <c r="D2992" s="68"/>
      <c r="E2992" s="10"/>
      <c r="F2992" s="69"/>
      <c r="G2992" s="68"/>
      <c r="H2992" s="70"/>
      <c r="BA2992" s="4"/>
      <c r="BB2992" s="4"/>
    </row>
    <row r="2993" spans="1:54" x14ac:dyDescent="0.3">
      <c r="A2993" s="66"/>
      <c r="B2993" s="67"/>
      <c r="C2993" s="66"/>
      <c r="D2993" s="68"/>
      <c r="E2993" s="10"/>
      <c r="F2993" s="69"/>
      <c r="G2993" s="68"/>
      <c r="H2993" s="70"/>
      <c r="BA2993" s="4"/>
      <c r="BB2993" s="4"/>
    </row>
    <row r="2994" spans="1:54" x14ac:dyDescent="0.3">
      <c r="A2994" s="66"/>
      <c r="B2994" s="67"/>
      <c r="C2994" s="66"/>
      <c r="D2994" s="68"/>
      <c r="E2994" s="10"/>
      <c r="F2994" s="69"/>
      <c r="G2994" s="68"/>
      <c r="H2994" s="70"/>
      <c r="BA2994" s="4"/>
      <c r="BB2994" s="4"/>
    </row>
    <row r="2995" spans="1:54" x14ac:dyDescent="0.3">
      <c r="A2995" s="66"/>
      <c r="B2995" s="67"/>
      <c r="C2995" s="66"/>
      <c r="D2995" s="68"/>
      <c r="E2995" s="10"/>
      <c r="F2995" s="69"/>
      <c r="G2995" s="68"/>
      <c r="H2995" s="70"/>
      <c r="BA2995" s="4"/>
      <c r="BB2995" s="4"/>
    </row>
    <row r="2996" spans="1:54" x14ac:dyDescent="0.3">
      <c r="A2996" s="66"/>
      <c r="B2996" s="67"/>
      <c r="C2996" s="66"/>
      <c r="D2996" s="68"/>
      <c r="E2996" s="10"/>
      <c r="F2996" s="69"/>
      <c r="G2996" s="68"/>
      <c r="H2996" s="70"/>
      <c r="BA2996" s="4"/>
      <c r="BB2996" s="4"/>
    </row>
    <row r="2997" spans="1:54" x14ac:dyDescent="0.3">
      <c r="A2997" s="66"/>
      <c r="B2997" s="67"/>
      <c r="C2997" s="66"/>
      <c r="D2997" s="68"/>
      <c r="E2997" s="10"/>
      <c r="F2997" s="69"/>
      <c r="G2997" s="68"/>
      <c r="H2997" s="70"/>
      <c r="BA2997" s="4"/>
      <c r="BB2997" s="4"/>
    </row>
    <row r="2998" spans="1:54" x14ac:dyDescent="0.3">
      <c r="A2998" s="66"/>
      <c r="B2998" s="67"/>
      <c r="C2998" s="66"/>
      <c r="D2998" s="68"/>
      <c r="E2998" s="10"/>
      <c r="F2998" s="69"/>
      <c r="G2998" s="68"/>
      <c r="H2998" s="70"/>
      <c r="BA2998" s="4"/>
      <c r="BB2998" s="4"/>
    </row>
    <row r="2999" spans="1:54" x14ac:dyDescent="0.3">
      <c r="A2999" s="66"/>
      <c r="B2999" s="67"/>
      <c r="C2999" s="66"/>
      <c r="D2999" s="68"/>
      <c r="E2999" s="10"/>
      <c r="F2999" s="69"/>
      <c r="G2999" s="68"/>
      <c r="H2999" s="70"/>
      <c r="BA2999" s="4"/>
      <c r="BB2999" s="4"/>
    </row>
    <row r="3000" spans="1:54" x14ac:dyDescent="0.3">
      <c r="A3000" s="66"/>
      <c r="B3000" s="67"/>
      <c r="C3000" s="66"/>
      <c r="D3000" s="68"/>
      <c r="E3000" s="10"/>
      <c r="F3000" s="69"/>
      <c r="G3000" s="68"/>
      <c r="H3000" s="70"/>
      <c r="BA3000" s="4"/>
      <c r="BB3000" s="4"/>
    </row>
    <row r="3001" spans="1:54" x14ac:dyDescent="0.3">
      <c r="A3001" s="66"/>
      <c r="B3001" s="67"/>
      <c r="C3001" s="66"/>
      <c r="D3001" s="68"/>
      <c r="E3001" s="10"/>
      <c r="F3001" s="69"/>
      <c r="G3001" s="68"/>
      <c r="H3001" s="70"/>
      <c r="BA3001" s="4"/>
      <c r="BB3001" s="4"/>
    </row>
    <row r="3002" spans="1:54" x14ac:dyDescent="0.3">
      <c r="A3002" s="66"/>
      <c r="B3002" s="67"/>
      <c r="C3002" s="66"/>
      <c r="D3002" s="68"/>
      <c r="E3002" s="10"/>
      <c r="F3002" s="69"/>
      <c r="G3002" s="68"/>
      <c r="H3002" s="70"/>
      <c r="BA3002" s="4"/>
      <c r="BB3002" s="4"/>
    </row>
    <row r="3003" spans="1:54" x14ac:dyDescent="0.3">
      <c r="A3003" s="66"/>
      <c r="B3003" s="67"/>
      <c r="C3003" s="66"/>
      <c r="D3003" s="68"/>
      <c r="E3003" s="10"/>
      <c r="F3003" s="69"/>
      <c r="G3003" s="68"/>
      <c r="H3003" s="70"/>
      <c r="BA3003" s="4"/>
      <c r="BB3003" s="4"/>
    </row>
    <row r="3004" spans="1:54" x14ac:dyDescent="0.3">
      <c r="A3004" s="66"/>
      <c r="B3004" s="67"/>
      <c r="C3004" s="66"/>
      <c r="D3004" s="68"/>
      <c r="E3004" s="10"/>
      <c r="F3004" s="69"/>
      <c r="G3004" s="68"/>
      <c r="H3004" s="70"/>
      <c r="BA3004" s="4"/>
      <c r="BB3004" s="4"/>
    </row>
    <row r="3005" spans="1:54" x14ac:dyDescent="0.3">
      <c r="A3005" s="66"/>
      <c r="B3005" s="67"/>
      <c r="C3005" s="66"/>
      <c r="D3005" s="68"/>
      <c r="E3005" s="10"/>
      <c r="F3005" s="69"/>
      <c r="G3005" s="68"/>
      <c r="H3005" s="70"/>
      <c r="BA3005" s="4"/>
      <c r="BB3005" s="4"/>
    </row>
    <row r="3006" spans="1:54" x14ac:dyDescent="0.3">
      <c r="A3006" s="66"/>
      <c r="B3006" s="67"/>
      <c r="C3006" s="66"/>
      <c r="D3006" s="68"/>
      <c r="E3006" s="10"/>
      <c r="F3006" s="69"/>
      <c r="G3006" s="68"/>
      <c r="H3006" s="70"/>
      <c r="BA3006" s="4"/>
      <c r="BB3006" s="4"/>
    </row>
    <row r="3007" spans="1:54" x14ac:dyDescent="0.3">
      <c r="A3007" s="66"/>
      <c r="B3007" s="67"/>
      <c r="C3007" s="66"/>
      <c r="D3007" s="68"/>
      <c r="E3007" s="10"/>
      <c r="F3007" s="69"/>
      <c r="G3007" s="68"/>
      <c r="H3007" s="70"/>
      <c r="BA3007" s="4"/>
      <c r="BB3007" s="4"/>
    </row>
    <row r="3008" spans="1:54" x14ac:dyDescent="0.3">
      <c r="A3008" s="66"/>
      <c r="B3008" s="67"/>
      <c r="C3008" s="66"/>
      <c r="D3008" s="68"/>
      <c r="E3008" s="10"/>
      <c r="F3008" s="69"/>
      <c r="G3008" s="68"/>
      <c r="H3008" s="70"/>
      <c r="BA3008" s="4"/>
      <c r="BB3008" s="4"/>
    </row>
    <row r="3009" spans="1:54" x14ac:dyDescent="0.3">
      <c r="A3009" s="66"/>
      <c r="B3009" s="67"/>
      <c r="C3009" s="66"/>
      <c r="D3009" s="68"/>
      <c r="E3009" s="10"/>
      <c r="F3009" s="69"/>
      <c r="G3009" s="68"/>
      <c r="H3009" s="70"/>
      <c r="BA3009" s="4"/>
      <c r="BB3009" s="4"/>
    </row>
    <row r="3010" spans="1:54" x14ac:dyDescent="0.3">
      <c r="A3010" s="66"/>
      <c r="B3010" s="67"/>
      <c r="C3010" s="66"/>
      <c r="D3010" s="68"/>
      <c r="E3010" s="10"/>
      <c r="F3010" s="69"/>
      <c r="G3010" s="68"/>
      <c r="H3010" s="70"/>
      <c r="BA3010" s="4"/>
      <c r="BB3010" s="4"/>
    </row>
    <row r="3011" spans="1:54" x14ac:dyDescent="0.3">
      <c r="A3011" s="66"/>
      <c r="B3011" s="67"/>
      <c r="C3011" s="66"/>
      <c r="D3011" s="68"/>
      <c r="E3011" s="10"/>
      <c r="F3011" s="69"/>
      <c r="G3011" s="68"/>
      <c r="H3011" s="70"/>
      <c r="BA3011" s="4"/>
      <c r="BB3011" s="4"/>
    </row>
    <row r="3012" spans="1:54" x14ac:dyDescent="0.3">
      <c r="A3012" s="66"/>
      <c r="B3012" s="67"/>
      <c r="C3012" s="66"/>
      <c r="D3012" s="68"/>
      <c r="E3012" s="10"/>
      <c r="F3012" s="69"/>
      <c r="G3012" s="68"/>
      <c r="H3012" s="70"/>
      <c r="BA3012" s="4"/>
      <c r="BB3012" s="4"/>
    </row>
    <row r="3013" spans="1:54" x14ac:dyDescent="0.3">
      <c r="A3013" s="66"/>
      <c r="B3013" s="67"/>
      <c r="C3013" s="66"/>
      <c r="D3013" s="68"/>
      <c r="E3013" s="10"/>
      <c r="F3013" s="69"/>
      <c r="G3013" s="68"/>
      <c r="H3013" s="70"/>
      <c r="BA3013" s="4"/>
      <c r="BB3013" s="4"/>
    </row>
    <row r="3014" spans="1:54" x14ac:dyDescent="0.3">
      <c r="A3014" s="66"/>
      <c r="B3014" s="67"/>
      <c r="C3014" s="66"/>
      <c r="D3014" s="68"/>
      <c r="E3014" s="10"/>
      <c r="F3014" s="69"/>
      <c r="G3014" s="68"/>
      <c r="H3014" s="70"/>
      <c r="BA3014" s="4"/>
      <c r="BB3014" s="4"/>
    </row>
    <row r="3015" spans="1:54" x14ac:dyDescent="0.3">
      <c r="A3015" s="66"/>
      <c r="B3015" s="67"/>
      <c r="C3015" s="66"/>
      <c r="D3015" s="68"/>
      <c r="E3015" s="10"/>
      <c r="F3015" s="69"/>
      <c r="G3015" s="68"/>
      <c r="H3015" s="70"/>
      <c r="BA3015" s="4"/>
      <c r="BB3015" s="4"/>
    </row>
    <row r="3016" spans="1:54" x14ac:dyDescent="0.3">
      <c r="A3016" s="66"/>
      <c r="B3016" s="67"/>
      <c r="C3016" s="66"/>
      <c r="D3016" s="68"/>
      <c r="E3016" s="10"/>
      <c r="F3016" s="69"/>
      <c r="G3016" s="68"/>
      <c r="H3016" s="70"/>
      <c r="BA3016" s="4"/>
      <c r="BB3016" s="4"/>
    </row>
    <row r="3017" spans="1:54" x14ac:dyDescent="0.3">
      <c r="A3017" s="66"/>
      <c r="B3017" s="67"/>
      <c r="C3017" s="66"/>
      <c r="D3017" s="68"/>
      <c r="E3017" s="10"/>
      <c r="F3017" s="69"/>
      <c r="G3017" s="68"/>
      <c r="H3017" s="70"/>
      <c r="BA3017" s="4"/>
      <c r="BB3017" s="4"/>
    </row>
    <row r="3018" spans="1:54" x14ac:dyDescent="0.3">
      <c r="A3018" s="66"/>
      <c r="B3018" s="67"/>
      <c r="C3018" s="66"/>
      <c r="D3018" s="68"/>
      <c r="E3018" s="10"/>
      <c r="F3018" s="69"/>
      <c r="G3018" s="68"/>
      <c r="H3018" s="70"/>
      <c r="BA3018" s="4"/>
      <c r="BB3018" s="4"/>
    </row>
    <row r="3019" spans="1:54" x14ac:dyDescent="0.3">
      <c r="A3019" s="66"/>
      <c r="B3019" s="67"/>
      <c r="C3019" s="66"/>
      <c r="D3019" s="68"/>
      <c r="E3019" s="10"/>
      <c r="F3019" s="69"/>
      <c r="G3019" s="68"/>
      <c r="H3019" s="70"/>
      <c r="BA3019" s="4"/>
      <c r="BB3019" s="4"/>
    </row>
    <row r="3020" spans="1:54" x14ac:dyDescent="0.3">
      <c r="A3020" s="66"/>
      <c r="B3020" s="67"/>
      <c r="C3020" s="66"/>
      <c r="D3020" s="68"/>
      <c r="E3020" s="10"/>
      <c r="F3020" s="69"/>
      <c r="G3020" s="68"/>
      <c r="H3020" s="70"/>
      <c r="BA3020" s="4"/>
      <c r="BB3020" s="4"/>
    </row>
    <row r="3021" spans="1:54" x14ac:dyDescent="0.3">
      <c r="A3021" s="66"/>
      <c r="B3021" s="67"/>
      <c r="C3021" s="66"/>
      <c r="D3021" s="68"/>
      <c r="E3021" s="10"/>
      <c r="F3021" s="69"/>
      <c r="G3021" s="68"/>
      <c r="H3021" s="70"/>
      <c r="BA3021" s="4"/>
      <c r="BB3021" s="4"/>
    </row>
    <row r="3022" spans="1:54" x14ac:dyDescent="0.3">
      <c r="A3022" s="66"/>
      <c r="B3022" s="67"/>
      <c r="C3022" s="66"/>
      <c r="D3022" s="68"/>
      <c r="E3022" s="10"/>
      <c r="F3022" s="69"/>
      <c r="G3022" s="68"/>
      <c r="H3022" s="70"/>
      <c r="BA3022" s="4"/>
      <c r="BB3022" s="4"/>
    </row>
    <row r="3023" spans="1:54" x14ac:dyDescent="0.3">
      <c r="A3023" s="66"/>
      <c r="B3023" s="67"/>
      <c r="C3023" s="66"/>
      <c r="D3023" s="68"/>
      <c r="E3023" s="10"/>
      <c r="F3023" s="69"/>
      <c r="G3023" s="68"/>
      <c r="H3023" s="70"/>
      <c r="BA3023" s="4"/>
      <c r="BB3023" s="4"/>
    </row>
    <row r="3024" spans="1:54" x14ac:dyDescent="0.3">
      <c r="A3024" s="66"/>
      <c r="B3024" s="67"/>
      <c r="C3024" s="66"/>
      <c r="D3024" s="68"/>
      <c r="E3024" s="10"/>
      <c r="F3024" s="69"/>
      <c r="G3024" s="68"/>
      <c r="H3024" s="70"/>
      <c r="BA3024" s="4"/>
      <c r="BB3024" s="4"/>
    </row>
    <row r="3025" spans="1:54" x14ac:dyDescent="0.3">
      <c r="A3025" s="66"/>
      <c r="B3025" s="67"/>
      <c r="C3025" s="66"/>
      <c r="D3025" s="68"/>
      <c r="E3025" s="10"/>
      <c r="F3025" s="69"/>
      <c r="G3025" s="68"/>
      <c r="H3025" s="70"/>
      <c r="BA3025" s="4"/>
      <c r="BB3025" s="4"/>
    </row>
    <row r="3026" spans="1:54" x14ac:dyDescent="0.3">
      <c r="A3026" s="66"/>
      <c r="B3026" s="67"/>
      <c r="C3026" s="66"/>
      <c r="D3026" s="68"/>
      <c r="E3026" s="10"/>
      <c r="F3026" s="69"/>
      <c r="G3026" s="68"/>
      <c r="H3026" s="70"/>
      <c r="BA3026" s="4"/>
      <c r="BB3026" s="4"/>
    </row>
    <row r="3027" spans="1:54" x14ac:dyDescent="0.3">
      <c r="A3027" s="66"/>
      <c r="B3027" s="67"/>
      <c r="C3027" s="66"/>
      <c r="D3027" s="68"/>
      <c r="E3027" s="10"/>
      <c r="F3027" s="69"/>
      <c r="G3027" s="68"/>
      <c r="H3027" s="70"/>
      <c r="BA3027" s="4"/>
      <c r="BB3027" s="4"/>
    </row>
    <row r="3028" spans="1:54" x14ac:dyDescent="0.3">
      <c r="A3028" s="66"/>
      <c r="B3028" s="67"/>
      <c r="C3028" s="66"/>
      <c r="D3028" s="68"/>
      <c r="E3028" s="10"/>
      <c r="F3028" s="69"/>
      <c r="G3028" s="68"/>
      <c r="H3028" s="70"/>
      <c r="BA3028" s="4"/>
      <c r="BB3028" s="4"/>
    </row>
    <row r="3029" spans="1:54" x14ac:dyDescent="0.3">
      <c r="A3029" s="66"/>
      <c r="B3029" s="67"/>
      <c r="C3029" s="66"/>
      <c r="D3029" s="68"/>
      <c r="E3029" s="10"/>
      <c r="F3029" s="69"/>
      <c r="G3029" s="68"/>
      <c r="H3029" s="70"/>
      <c r="BA3029" s="4"/>
      <c r="BB3029" s="4"/>
    </row>
    <row r="3030" spans="1:54" x14ac:dyDescent="0.3">
      <c r="A3030" s="66"/>
      <c r="B3030" s="67"/>
      <c r="C3030" s="66"/>
      <c r="D3030" s="68"/>
      <c r="E3030" s="10"/>
      <c r="F3030" s="69"/>
      <c r="G3030" s="68"/>
      <c r="H3030" s="70"/>
      <c r="BA3030" s="4"/>
      <c r="BB3030" s="4"/>
    </row>
    <row r="3031" spans="1:54" x14ac:dyDescent="0.3">
      <c r="A3031" s="66"/>
      <c r="B3031" s="67"/>
      <c r="C3031" s="66"/>
      <c r="D3031" s="68"/>
      <c r="E3031" s="10"/>
      <c r="F3031" s="69"/>
      <c r="G3031" s="68"/>
      <c r="H3031" s="70"/>
      <c r="BA3031" s="4"/>
      <c r="BB3031" s="4"/>
    </row>
    <row r="3032" spans="1:54" x14ac:dyDescent="0.3">
      <c r="A3032" s="66"/>
      <c r="B3032" s="67"/>
      <c r="C3032" s="66"/>
      <c r="D3032" s="68"/>
      <c r="E3032" s="10"/>
      <c r="F3032" s="69"/>
      <c r="G3032" s="68"/>
      <c r="H3032" s="70"/>
      <c r="BA3032" s="4"/>
      <c r="BB3032" s="4"/>
    </row>
    <row r="3033" spans="1:54" x14ac:dyDescent="0.3">
      <c r="A3033" s="66"/>
      <c r="B3033" s="67"/>
      <c r="C3033" s="66"/>
      <c r="D3033" s="68"/>
      <c r="E3033" s="10"/>
      <c r="F3033" s="69"/>
      <c r="G3033" s="68"/>
      <c r="H3033" s="70"/>
      <c r="BA3033" s="4"/>
      <c r="BB3033" s="4"/>
    </row>
    <row r="3034" spans="1:54" x14ac:dyDescent="0.3">
      <c r="A3034" s="66"/>
      <c r="B3034" s="67"/>
      <c r="C3034" s="66"/>
      <c r="D3034" s="68"/>
      <c r="E3034" s="10"/>
      <c r="F3034" s="69"/>
      <c r="G3034" s="68"/>
      <c r="H3034" s="70"/>
      <c r="BA3034" s="4"/>
      <c r="BB3034" s="4"/>
    </row>
    <row r="3035" spans="1:54" x14ac:dyDescent="0.3">
      <c r="A3035" s="66"/>
      <c r="B3035" s="67"/>
      <c r="C3035" s="66"/>
      <c r="D3035" s="68"/>
      <c r="E3035" s="10"/>
      <c r="F3035" s="69"/>
      <c r="G3035" s="68"/>
      <c r="H3035" s="70"/>
      <c r="BA3035" s="4"/>
      <c r="BB3035" s="4"/>
    </row>
    <row r="3036" spans="1:54" x14ac:dyDescent="0.3">
      <c r="A3036" s="66"/>
      <c r="B3036" s="67"/>
      <c r="C3036" s="66"/>
      <c r="D3036" s="68"/>
      <c r="E3036" s="10"/>
      <c r="F3036" s="69"/>
      <c r="G3036" s="68"/>
      <c r="H3036" s="70"/>
      <c r="BA3036" s="4"/>
      <c r="BB3036" s="4"/>
    </row>
    <row r="3037" spans="1:54" x14ac:dyDescent="0.3">
      <c r="A3037" s="66"/>
      <c r="B3037" s="67"/>
      <c r="C3037" s="66"/>
      <c r="D3037" s="68"/>
      <c r="E3037" s="10"/>
      <c r="F3037" s="69"/>
      <c r="G3037" s="68"/>
      <c r="H3037" s="70"/>
      <c r="BA3037" s="4"/>
      <c r="BB3037" s="4"/>
    </row>
    <row r="3038" spans="1:54" x14ac:dyDescent="0.3">
      <c r="A3038" s="66"/>
      <c r="B3038" s="67"/>
      <c r="C3038" s="66"/>
      <c r="D3038" s="68"/>
      <c r="E3038" s="10"/>
      <c r="F3038" s="69"/>
      <c r="G3038" s="68"/>
      <c r="H3038" s="70"/>
      <c r="BA3038" s="4"/>
      <c r="BB3038" s="4"/>
    </row>
    <row r="3039" spans="1:54" x14ac:dyDescent="0.3">
      <c r="A3039" s="66"/>
      <c r="B3039" s="67"/>
      <c r="C3039" s="66"/>
      <c r="D3039" s="68"/>
      <c r="E3039" s="10"/>
      <c r="F3039" s="69"/>
      <c r="G3039" s="68"/>
      <c r="H3039" s="70"/>
      <c r="BA3039" s="4"/>
      <c r="BB3039" s="4"/>
    </row>
    <row r="3040" spans="1:54" x14ac:dyDescent="0.3">
      <c r="A3040" s="66"/>
      <c r="B3040" s="67"/>
      <c r="C3040" s="66"/>
      <c r="D3040" s="68"/>
      <c r="E3040" s="10"/>
      <c r="F3040" s="69"/>
      <c r="G3040" s="68"/>
      <c r="H3040" s="70"/>
      <c r="BA3040" s="4"/>
      <c r="BB3040" s="4"/>
    </row>
    <row r="3041" spans="1:54" x14ac:dyDescent="0.3">
      <c r="A3041" s="66"/>
      <c r="B3041" s="67"/>
      <c r="C3041" s="66"/>
      <c r="D3041" s="68"/>
      <c r="E3041" s="10"/>
      <c r="F3041" s="69"/>
      <c r="G3041" s="68"/>
      <c r="H3041" s="70"/>
      <c r="BA3041" s="4"/>
      <c r="BB3041" s="4"/>
    </row>
    <row r="3042" spans="1:54" x14ac:dyDescent="0.3">
      <c r="A3042" s="66"/>
      <c r="B3042" s="67"/>
      <c r="C3042" s="66"/>
      <c r="D3042" s="68"/>
      <c r="E3042" s="10"/>
      <c r="F3042" s="69"/>
      <c r="G3042" s="68"/>
      <c r="H3042" s="70"/>
      <c r="BA3042" s="4"/>
      <c r="BB3042" s="4"/>
    </row>
    <row r="3043" spans="1:54" x14ac:dyDescent="0.3">
      <c r="A3043" s="66"/>
      <c r="B3043" s="67"/>
      <c r="C3043" s="66"/>
      <c r="D3043" s="68"/>
      <c r="E3043" s="10"/>
      <c r="F3043" s="69"/>
      <c r="G3043" s="68"/>
      <c r="H3043" s="70"/>
      <c r="BA3043" s="4"/>
      <c r="BB3043" s="4"/>
    </row>
    <row r="3044" spans="1:54" x14ac:dyDescent="0.3">
      <c r="A3044" s="66"/>
      <c r="B3044" s="67"/>
      <c r="C3044" s="66"/>
      <c r="D3044" s="68"/>
      <c r="E3044" s="10"/>
      <c r="F3044" s="69"/>
      <c r="G3044" s="68"/>
      <c r="H3044" s="70"/>
      <c r="BA3044" s="4"/>
      <c r="BB3044" s="4"/>
    </row>
    <row r="3045" spans="1:54" x14ac:dyDescent="0.3">
      <c r="A3045" s="66"/>
      <c r="B3045" s="67"/>
      <c r="C3045" s="66"/>
      <c r="D3045" s="68"/>
      <c r="E3045" s="10"/>
      <c r="F3045" s="69"/>
      <c r="G3045" s="68"/>
      <c r="H3045" s="70"/>
      <c r="BA3045" s="4"/>
      <c r="BB3045" s="4"/>
    </row>
    <row r="3046" spans="1:54" x14ac:dyDescent="0.3">
      <c r="A3046" s="66"/>
      <c r="B3046" s="67"/>
      <c r="C3046" s="66"/>
      <c r="D3046" s="68"/>
      <c r="E3046" s="10"/>
      <c r="F3046" s="69"/>
      <c r="G3046" s="68"/>
      <c r="H3046" s="70"/>
      <c r="BA3046" s="4"/>
      <c r="BB3046" s="4"/>
    </row>
    <row r="3047" spans="1:54" x14ac:dyDescent="0.3">
      <c r="A3047" s="66"/>
      <c r="B3047" s="67"/>
      <c r="C3047" s="66"/>
      <c r="D3047" s="68"/>
      <c r="E3047" s="10"/>
      <c r="F3047" s="69"/>
      <c r="G3047" s="68"/>
      <c r="H3047" s="70"/>
      <c r="BA3047" s="4"/>
      <c r="BB3047" s="4"/>
    </row>
    <row r="3048" spans="1:54" x14ac:dyDescent="0.3">
      <c r="A3048" s="66"/>
      <c r="B3048" s="67"/>
      <c r="C3048" s="66"/>
      <c r="D3048" s="68"/>
      <c r="E3048" s="10"/>
      <c r="F3048" s="69"/>
      <c r="G3048" s="68"/>
      <c r="H3048" s="70"/>
      <c r="BA3048" s="4"/>
      <c r="BB3048" s="4"/>
    </row>
    <row r="3049" spans="1:54" x14ac:dyDescent="0.3">
      <c r="A3049" s="66"/>
      <c r="B3049" s="67"/>
      <c r="C3049" s="66"/>
      <c r="D3049" s="68"/>
      <c r="E3049" s="10"/>
      <c r="F3049" s="69"/>
      <c r="G3049" s="68"/>
      <c r="H3049" s="70"/>
      <c r="BA3049" s="4"/>
      <c r="BB3049" s="4"/>
    </row>
    <row r="3050" spans="1:54" x14ac:dyDescent="0.3">
      <c r="A3050" s="66"/>
      <c r="B3050" s="67"/>
      <c r="C3050" s="66"/>
      <c r="D3050" s="68"/>
      <c r="E3050" s="10"/>
      <c r="F3050" s="69"/>
      <c r="G3050" s="68"/>
      <c r="H3050" s="70"/>
      <c r="BA3050" s="4"/>
      <c r="BB3050" s="4"/>
    </row>
    <row r="3051" spans="1:54" x14ac:dyDescent="0.3">
      <c r="A3051" s="66"/>
      <c r="B3051" s="67"/>
      <c r="C3051" s="66"/>
      <c r="D3051" s="68"/>
      <c r="E3051" s="10"/>
      <c r="F3051" s="69"/>
      <c r="G3051" s="68"/>
      <c r="H3051" s="70"/>
      <c r="BA3051" s="4"/>
      <c r="BB3051" s="4"/>
    </row>
    <row r="3052" spans="1:54" x14ac:dyDescent="0.3">
      <c r="A3052" s="66"/>
      <c r="B3052" s="67"/>
      <c r="C3052" s="66"/>
      <c r="D3052" s="68"/>
      <c r="E3052" s="10"/>
      <c r="F3052" s="69"/>
      <c r="G3052" s="68"/>
      <c r="H3052" s="70"/>
      <c r="BA3052" s="4"/>
      <c r="BB3052" s="4"/>
    </row>
    <row r="3053" spans="1:54" x14ac:dyDescent="0.3">
      <c r="A3053" s="66"/>
      <c r="B3053" s="67"/>
      <c r="C3053" s="66"/>
      <c r="D3053" s="68"/>
      <c r="E3053" s="10"/>
      <c r="F3053" s="69"/>
      <c r="G3053" s="68"/>
      <c r="H3053" s="70"/>
      <c r="BA3053" s="4"/>
      <c r="BB3053" s="4"/>
    </row>
    <row r="3054" spans="1:54" x14ac:dyDescent="0.3">
      <c r="A3054" s="66"/>
      <c r="B3054" s="67"/>
      <c r="C3054" s="66"/>
      <c r="D3054" s="68"/>
      <c r="E3054" s="10"/>
      <c r="F3054" s="69"/>
      <c r="G3054" s="68"/>
      <c r="H3054" s="70"/>
      <c r="BA3054" s="4"/>
      <c r="BB3054" s="4"/>
    </row>
    <row r="3055" spans="1:54" x14ac:dyDescent="0.3">
      <c r="A3055" s="66"/>
      <c r="B3055" s="67"/>
      <c r="C3055" s="66"/>
      <c r="D3055" s="68"/>
      <c r="E3055" s="10"/>
      <c r="F3055" s="69"/>
      <c r="G3055" s="68"/>
      <c r="H3055" s="70"/>
      <c r="BA3055" s="4"/>
      <c r="BB3055" s="4"/>
    </row>
    <row r="3056" spans="1:54" x14ac:dyDescent="0.3">
      <c r="A3056" s="66"/>
      <c r="B3056" s="67"/>
      <c r="C3056" s="66"/>
      <c r="D3056" s="68"/>
      <c r="E3056" s="10"/>
      <c r="F3056" s="69"/>
      <c r="G3056" s="68"/>
      <c r="H3056" s="70"/>
      <c r="BA3056" s="4"/>
      <c r="BB3056" s="4"/>
    </row>
    <row r="3057" spans="1:54" x14ac:dyDescent="0.3">
      <c r="A3057" s="66"/>
      <c r="B3057" s="67"/>
      <c r="C3057" s="66"/>
      <c r="D3057" s="68"/>
      <c r="E3057" s="10"/>
      <c r="F3057" s="69"/>
      <c r="G3057" s="68"/>
      <c r="H3057" s="70"/>
      <c r="BA3057" s="4"/>
      <c r="BB3057" s="4"/>
    </row>
    <row r="3058" spans="1:54" x14ac:dyDescent="0.3">
      <c r="A3058" s="66"/>
      <c r="B3058" s="67"/>
      <c r="C3058" s="66"/>
      <c r="D3058" s="68"/>
      <c r="E3058" s="10"/>
      <c r="F3058" s="69"/>
      <c r="G3058" s="68"/>
      <c r="H3058" s="70"/>
      <c r="BA3058" s="4"/>
      <c r="BB3058" s="4"/>
    </row>
    <row r="3059" spans="1:54" x14ac:dyDescent="0.3">
      <c r="A3059" s="66"/>
      <c r="B3059" s="67"/>
      <c r="C3059" s="66"/>
      <c r="D3059" s="68"/>
      <c r="E3059" s="10"/>
      <c r="F3059" s="69"/>
      <c r="G3059" s="68"/>
      <c r="H3059" s="70"/>
      <c r="BA3059" s="4"/>
      <c r="BB3059" s="4"/>
    </row>
    <row r="3060" spans="1:54" x14ac:dyDescent="0.3">
      <c r="A3060" s="66"/>
      <c r="B3060" s="67"/>
      <c r="C3060" s="66"/>
      <c r="D3060" s="68"/>
      <c r="E3060" s="10"/>
      <c r="F3060" s="69"/>
      <c r="G3060" s="68"/>
      <c r="H3060" s="70"/>
      <c r="BA3060" s="4"/>
      <c r="BB3060" s="4"/>
    </row>
    <row r="3061" spans="1:54" x14ac:dyDescent="0.3">
      <c r="A3061" s="66"/>
      <c r="B3061" s="67"/>
      <c r="C3061" s="66"/>
      <c r="D3061" s="68"/>
      <c r="E3061" s="10"/>
      <c r="F3061" s="69"/>
      <c r="G3061" s="68"/>
      <c r="H3061" s="70"/>
      <c r="BA3061" s="4"/>
      <c r="BB3061" s="4"/>
    </row>
    <row r="3062" spans="1:54" x14ac:dyDescent="0.3">
      <c r="A3062" s="66"/>
      <c r="B3062" s="67"/>
      <c r="C3062" s="66"/>
      <c r="D3062" s="68"/>
      <c r="E3062" s="10"/>
      <c r="F3062" s="69"/>
      <c r="G3062" s="68"/>
      <c r="H3062" s="70"/>
      <c r="BA3062" s="4"/>
      <c r="BB3062" s="4"/>
    </row>
    <row r="3063" spans="1:54" x14ac:dyDescent="0.3">
      <c r="A3063" s="66"/>
      <c r="B3063" s="67"/>
      <c r="C3063" s="66"/>
      <c r="D3063" s="68"/>
      <c r="E3063" s="10"/>
      <c r="F3063" s="69"/>
      <c r="G3063" s="68"/>
      <c r="H3063" s="70"/>
      <c r="BA3063" s="4"/>
      <c r="BB3063" s="4"/>
    </row>
    <row r="3064" spans="1:54" x14ac:dyDescent="0.3">
      <c r="A3064" s="66"/>
      <c r="B3064" s="67"/>
      <c r="C3064" s="66"/>
      <c r="D3064" s="68"/>
      <c r="E3064" s="10"/>
      <c r="F3064" s="69"/>
      <c r="G3064" s="68"/>
      <c r="H3064" s="70"/>
      <c r="BA3064" s="4"/>
      <c r="BB3064" s="4"/>
    </row>
    <row r="3065" spans="1:54" x14ac:dyDescent="0.3">
      <c r="A3065" s="66"/>
      <c r="B3065" s="67"/>
      <c r="C3065" s="66"/>
      <c r="D3065" s="68"/>
      <c r="E3065" s="10"/>
      <c r="F3065" s="69"/>
      <c r="G3065" s="68"/>
      <c r="H3065" s="70"/>
      <c r="BA3065" s="4"/>
      <c r="BB3065" s="4"/>
    </row>
    <row r="3066" spans="1:54" x14ac:dyDescent="0.3">
      <c r="A3066" s="66"/>
      <c r="B3066" s="67"/>
      <c r="C3066" s="66"/>
      <c r="D3066" s="68"/>
      <c r="E3066" s="10"/>
      <c r="F3066" s="69"/>
      <c r="G3066" s="68"/>
      <c r="H3066" s="70"/>
      <c r="BA3066" s="4"/>
      <c r="BB3066" s="4"/>
    </row>
    <row r="3067" spans="1:54" x14ac:dyDescent="0.3">
      <c r="A3067" s="66"/>
      <c r="B3067" s="67"/>
      <c r="C3067" s="66"/>
      <c r="D3067" s="68"/>
      <c r="E3067" s="10"/>
      <c r="F3067" s="69"/>
      <c r="G3067" s="68"/>
      <c r="H3067" s="70"/>
      <c r="BA3067" s="4"/>
      <c r="BB3067" s="4"/>
    </row>
    <row r="3068" spans="1:54" x14ac:dyDescent="0.3">
      <c r="A3068" s="66"/>
      <c r="B3068" s="67"/>
      <c r="C3068" s="66"/>
      <c r="D3068" s="68"/>
      <c r="E3068" s="10"/>
      <c r="F3068" s="69"/>
      <c r="G3068" s="68"/>
      <c r="H3068" s="70"/>
      <c r="BA3068" s="4"/>
      <c r="BB3068" s="4"/>
    </row>
    <row r="3069" spans="1:54" x14ac:dyDescent="0.3">
      <c r="A3069" s="66"/>
      <c r="B3069" s="67"/>
      <c r="C3069" s="66"/>
      <c r="D3069" s="68"/>
      <c r="E3069" s="10"/>
      <c r="F3069" s="69"/>
      <c r="G3069" s="68"/>
      <c r="H3069" s="70"/>
      <c r="BA3069" s="4"/>
      <c r="BB3069" s="4"/>
    </row>
    <row r="3070" spans="1:54" x14ac:dyDescent="0.3">
      <c r="A3070" s="66"/>
      <c r="B3070" s="67"/>
      <c r="C3070" s="66"/>
      <c r="D3070" s="68"/>
      <c r="E3070" s="10"/>
      <c r="F3070" s="69"/>
      <c r="G3070" s="68"/>
      <c r="H3070" s="70"/>
      <c r="BA3070" s="4"/>
      <c r="BB3070" s="4"/>
    </row>
    <row r="3071" spans="1:54" x14ac:dyDescent="0.3">
      <c r="A3071" s="66"/>
      <c r="B3071" s="67"/>
      <c r="C3071" s="66"/>
      <c r="D3071" s="68"/>
      <c r="E3071" s="10"/>
      <c r="F3071" s="69"/>
      <c r="G3071" s="68"/>
      <c r="H3071" s="70"/>
      <c r="BA3071" s="4"/>
      <c r="BB3071" s="4"/>
    </row>
    <row r="3072" spans="1:54" x14ac:dyDescent="0.3">
      <c r="A3072" s="66"/>
      <c r="B3072" s="67"/>
      <c r="C3072" s="66"/>
      <c r="D3072" s="68"/>
      <c r="E3072" s="10"/>
      <c r="F3072" s="69"/>
      <c r="G3072" s="68"/>
      <c r="H3072" s="70"/>
      <c r="BA3072" s="4"/>
      <c r="BB3072" s="4"/>
    </row>
    <row r="3073" spans="1:54" x14ac:dyDescent="0.3">
      <c r="A3073" s="66"/>
      <c r="B3073" s="67"/>
      <c r="C3073" s="66"/>
      <c r="D3073" s="68"/>
      <c r="E3073" s="10"/>
      <c r="F3073" s="69"/>
      <c r="G3073" s="68"/>
      <c r="H3073" s="70"/>
      <c r="BA3073" s="4"/>
      <c r="BB3073" s="4"/>
    </row>
    <row r="3074" spans="1:54" x14ac:dyDescent="0.3">
      <c r="A3074" s="66"/>
      <c r="B3074" s="67"/>
      <c r="C3074" s="66"/>
      <c r="D3074" s="68"/>
      <c r="E3074" s="10"/>
      <c r="F3074" s="69"/>
      <c r="G3074" s="68"/>
      <c r="H3074" s="70"/>
      <c r="BA3074" s="4"/>
      <c r="BB3074" s="4"/>
    </row>
    <row r="3075" spans="1:54" x14ac:dyDescent="0.3">
      <c r="A3075" s="66"/>
      <c r="B3075" s="67"/>
      <c r="C3075" s="66"/>
      <c r="D3075" s="68"/>
      <c r="E3075" s="10"/>
      <c r="F3075" s="69"/>
      <c r="G3075" s="68"/>
      <c r="H3075" s="70"/>
      <c r="BA3075" s="4"/>
      <c r="BB3075" s="4"/>
    </row>
    <row r="3076" spans="1:54" x14ac:dyDescent="0.3">
      <c r="A3076" s="66"/>
      <c r="B3076" s="67"/>
      <c r="C3076" s="66"/>
      <c r="D3076" s="68"/>
      <c r="E3076" s="10"/>
      <c r="F3076" s="69"/>
      <c r="G3076" s="68"/>
      <c r="H3076" s="70"/>
      <c r="BA3076" s="4"/>
      <c r="BB3076" s="4"/>
    </row>
    <row r="3077" spans="1:54" x14ac:dyDescent="0.3">
      <c r="A3077" s="66"/>
      <c r="B3077" s="67"/>
      <c r="C3077" s="66"/>
      <c r="D3077" s="68"/>
      <c r="E3077" s="10"/>
      <c r="F3077" s="69"/>
      <c r="G3077" s="68"/>
      <c r="H3077" s="70"/>
      <c r="BA3077" s="4"/>
      <c r="BB3077" s="4"/>
    </row>
    <row r="3078" spans="1:54" x14ac:dyDescent="0.3">
      <c r="A3078" s="66"/>
      <c r="B3078" s="67"/>
      <c r="C3078" s="66"/>
      <c r="D3078" s="68"/>
      <c r="E3078" s="10"/>
      <c r="F3078" s="69"/>
      <c r="G3078" s="68"/>
      <c r="H3078" s="70"/>
      <c r="BA3078" s="4"/>
      <c r="BB3078" s="4"/>
    </row>
    <row r="3079" spans="1:54" x14ac:dyDescent="0.3">
      <c r="A3079" s="66"/>
      <c r="B3079" s="67"/>
      <c r="C3079" s="66"/>
      <c r="D3079" s="68"/>
      <c r="E3079" s="10"/>
      <c r="F3079" s="69"/>
      <c r="G3079" s="68"/>
      <c r="H3079" s="70"/>
      <c r="BA3079" s="4"/>
      <c r="BB3079" s="4"/>
    </row>
    <row r="3080" spans="1:54" x14ac:dyDescent="0.3">
      <c r="A3080" s="66"/>
      <c r="B3080" s="67"/>
      <c r="C3080" s="66"/>
      <c r="D3080" s="68"/>
      <c r="E3080" s="10"/>
      <c r="F3080" s="69"/>
      <c r="G3080" s="68"/>
      <c r="H3080" s="70"/>
      <c r="BA3080" s="4"/>
      <c r="BB3080" s="4"/>
    </row>
    <row r="3081" spans="1:54" x14ac:dyDescent="0.3">
      <c r="A3081" s="66"/>
      <c r="B3081" s="67"/>
      <c r="C3081" s="66"/>
      <c r="D3081" s="68"/>
      <c r="E3081" s="10"/>
      <c r="F3081" s="69"/>
      <c r="G3081" s="68"/>
      <c r="H3081" s="70"/>
      <c r="BA3081" s="4"/>
      <c r="BB3081" s="4"/>
    </row>
    <row r="3082" spans="1:54" x14ac:dyDescent="0.3">
      <c r="A3082" s="66"/>
      <c r="B3082" s="67"/>
      <c r="C3082" s="66"/>
      <c r="D3082" s="68"/>
      <c r="E3082" s="10"/>
      <c r="F3082" s="69"/>
      <c r="G3082" s="68"/>
      <c r="H3082" s="70"/>
      <c r="BA3082" s="4"/>
      <c r="BB3082" s="4"/>
    </row>
    <row r="3083" spans="1:54" x14ac:dyDescent="0.3">
      <c r="A3083" s="66"/>
      <c r="B3083" s="67"/>
      <c r="C3083" s="66"/>
      <c r="D3083" s="68"/>
      <c r="E3083" s="10"/>
      <c r="F3083" s="69"/>
      <c r="G3083" s="68"/>
      <c r="H3083" s="70"/>
      <c r="BA3083" s="4"/>
      <c r="BB3083" s="4"/>
    </row>
    <row r="3084" spans="1:54" x14ac:dyDescent="0.3">
      <c r="A3084" s="66"/>
      <c r="B3084" s="67"/>
      <c r="C3084" s="66"/>
      <c r="D3084" s="68"/>
      <c r="E3084" s="10"/>
      <c r="F3084" s="69"/>
      <c r="G3084" s="68"/>
      <c r="H3084" s="70"/>
      <c r="BA3084" s="4"/>
      <c r="BB3084" s="4"/>
    </row>
    <row r="3085" spans="1:54" x14ac:dyDescent="0.3">
      <c r="A3085" s="66"/>
      <c r="B3085" s="67"/>
      <c r="C3085" s="66"/>
      <c r="D3085" s="68"/>
      <c r="E3085" s="10"/>
      <c r="F3085" s="69"/>
      <c r="G3085" s="68"/>
      <c r="H3085" s="70"/>
      <c r="BA3085" s="4"/>
      <c r="BB3085" s="4"/>
    </row>
    <row r="3086" spans="1:54" x14ac:dyDescent="0.3">
      <c r="A3086" s="66"/>
      <c r="B3086" s="67"/>
      <c r="C3086" s="66"/>
      <c r="D3086" s="68"/>
      <c r="E3086" s="10"/>
      <c r="F3086" s="69"/>
      <c r="G3086" s="68"/>
      <c r="H3086" s="70"/>
      <c r="BA3086" s="4"/>
      <c r="BB3086" s="4"/>
    </row>
    <row r="3087" spans="1:54" x14ac:dyDescent="0.3">
      <c r="A3087" s="66"/>
      <c r="B3087" s="67"/>
      <c r="C3087" s="66"/>
      <c r="D3087" s="68"/>
      <c r="E3087" s="10"/>
      <c r="F3087" s="69"/>
      <c r="G3087" s="68"/>
      <c r="H3087" s="70"/>
      <c r="BA3087" s="4"/>
      <c r="BB3087" s="4"/>
    </row>
    <row r="3088" spans="1:54" x14ac:dyDescent="0.3">
      <c r="A3088" s="66"/>
      <c r="B3088" s="67"/>
      <c r="C3088" s="66"/>
      <c r="D3088" s="68"/>
      <c r="E3088" s="10"/>
      <c r="F3088" s="69"/>
      <c r="G3088" s="68"/>
      <c r="H3088" s="70"/>
      <c r="BA3088" s="4"/>
      <c r="BB3088" s="4"/>
    </row>
    <row r="3089" spans="1:54" x14ac:dyDescent="0.3">
      <c r="A3089" s="66"/>
      <c r="B3089" s="67"/>
      <c r="C3089" s="66"/>
      <c r="D3089" s="68"/>
      <c r="E3089" s="10"/>
      <c r="F3089" s="69"/>
      <c r="G3089" s="68"/>
      <c r="H3089" s="70"/>
      <c r="BA3089" s="4"/>
      <c r="BB3089" s="4"/>
    </row>
    <row r="3090" spans="1:54" x14ac:dyDescent="0.3">
      <c r="A3090" s="66"/>
      <c r="B3090" s="67"/>
      <c r="C3090" s="66"/>
      <c r="D3090" s="68"/>
      <c r="E3090" s="10"/>
      <c r="F3090" s="69"/>
      <c r="G3090" s="68"/>
      <c r="H3090" s="70"/>
      <c r="BA3090" s="4"/>
      <c r="BB3090" s="4"/>
    </row>
    <row r="3091" spans="1:54" x14ac:dyDescent="0.3">
      <c r="A3091" s="66"/>
      <c r="B3091" s="67"/>
      <c r="C3091" s="66"/>
      <c r="D3091" s="68"/>
      <c r="E3091" s="10"/>
      <c r="F3091" s="69"/>
      <c r="G3091" s="68"/>
      <c r="H3091" s="70"/>
      <c r="BA3091" s="4"/>
      <c r="BB3091" s="4"/>
    </row>
    <row r="3092" spans="1:54" x14ac:dyDescent="0.3">
      <c r="A3092" s="66"/>
      <c r="B3092" s="67"/>
      <c r="C3092" s="66"/>
      <c r="D3092" s="68"/>
      <c r="E3092" s="10"/>
      <c r="F3092" s="69"/>
      <c r="G3092" s="68"/>
      <c r="H3092" s="70"/>
      <c r="BA3092" s="4"/>
      <c r="BB3092" s="4"/>
    </row>
    <row r="3093" spans="1:54" x14ac:dyDescent="0.3">
      <c r="A3093" s="66"/>
      <c r="B3093" s="67"/>
      <c r="C3093" s="66"/>
      <c r="D3093" s="68"/>
      <c r="E3093" s="10"/>
      <c r="F3093" s="69"/>
      <c r="G3093" s="68"/>
      <c r="H3093" s="70"/>
      <c r="BA3093" s="4"/>
      <c r="BB3093" s="4"/>
    </row>
    <row r="3094" spans="1:54" x14ac:dyDescent="0.3">
      <c r="A3094" s="66"/>
      <c r="B3094" s="67"/>
      <c r="C3094" s="66"/>
      <c r="D3094" s="68"/>
      <c r="E3094" s="10"/>
      <c r="F3094" s="69"/>
      <c r="G3094" s="68"/>
      <c r="H3094" s="70"/>
      <c r="BA3094" s="4"/>
      <c r="BB3094" s="4"/>
    </row>
    <row r="3095" spans="1:54" x14ac:dyDescent="0.3">
      <c r="A3095" s="66"/>
      <c r="B3095" s="67"/>
      <c r="C3095" s="66"/>
      <c r="D3095" s="68"/>
      <c r="E3095" s="10"/>
      <c r="F3095" s="69"/>
      <c r="G3095" s="68"/>
      <c r="H3095" s="70"/>
      <c r="BA3095" s="4"/>
      <c r="BB3095" s="4"/>
    </row>
    <row r="3096" spans="1:54" x14ac:dyDescent="0.3">
      <c r="A3096" s="66"/>
      <c r="B3096" s="67"/>
      <c r="C3096" s="66"/>
      <c r="D3096" s="68"/>
      <c r="E3096" s="10"/>
      <c r="F3096" s="69"/>
      <c r="G3096" s="68"/>
      <c r="H3096" s="70"/>
      <c r="BA3096" s="4"/>
      <c r="BB3096" s="4"/>
    </row>
    <row r="3097" spans="1:54" x14ac:dyDescent="0.3">
      <c r="A3097" s="66"/>
      <c r="B3097" s="67"/>
      <c r="C3097" s="66"/>
      <c r="D3097" s="68"/>
      <c r="E3097" s="10"/>
      <c r="F3097" s="69"/>
      <c r="G3097" s="68"/>
      <c r="H3097" s="70"/>
      <c r="BA3097" s="4"/>
      <c r="BB3097" s="4"/>
    </row>
    <row r="3098" spans="1:54" x14ac:dyDescent="0.3">
      <c r="A3098" s="66"/>
      <c r="B3098" s="67"/>
      <c r="C3098" s="66"/>
      <c r="D3098" s="68"/>
      <c r="E3098" s="10"/>
      <c r="F3098" s="69"/>
      <c r="G3098" s="68"/>
      <c r="H3098" s="70"/>
      <c r="BA3098" s="4"/>
      <c r="BB3098" s="4"/>
    </row>
    <row r="3099" spans="1:54" x14ac:dyDescent="0.3">
      <c r="A3099" s="66"/>
      <c r="B3099" s="67"/>
      <c r="C3099" s="66"/>
      <c r="D3099" s="68"/>
      <c r="E3099" s="10"/>
      <c r="F3099" s="69"/>
      <c r="G3099" s="68"/>
      <c r="H3099" s="70"/>
      <c r="BA3099" s="4"/>
      <c r="BB3099" s="4"/>
    </row>
    <row r="3100" spans="1:54" x14ac:dyDescent="0.3">
      <c r="A3100" s="66"/>
      <c r="B3100" s="67"/>
      <c r="C3100" s="66"/>
      <c r="D3100" s="68"/>
      <c r="E3100" s="10"/>
      <c r="F3100" s="69"/>
      <c r="G3100" s="68"/>
      <c r="H3100" s="70"/>
      <c r="BA3100" s="4"/>
      <c r="BB3100" s="4"/>
    </row>
    <row r="3101" spans="1:54" x14ac:dyDescent="0.3">
      <c r="A3101" s="66"/>
      <c r="B3101" s="67"/>
      <c r="C3101" s="66"/>
      <c r="D3101" s="68"/>
      <c r="E3101" s="10"/>
      <c r="F3101" s="69"/>
      <c r="G3101" s="68"/>
      <c r="H3101" s="70"/>
      <c r="BA3101" s="4"/>
      <c r="BB3101" s="4"/>
    </row>
    <row r="3102" spans="1:54" x14ac:dyDescent="0.3">
      <c r="A3102" s="66"/>
      <c r="B3102" s="67"/>
      <c r="C3102" s="66"/>
      <c r="D3102" s="68"/>
      <c r="E3102" s="10"/>
      <c r="F3102" s="69"/>
      <c r="G3102" s="68"/>
      <c r="H3102" s="70"/>
      <c r="BA3102" s="4"/>
      <c r="BB3102" s="4"/>
    </row>
    <row r="3103" spans="1:54" x14ac:dyDescent="0.3">
      <c r="A3103" s="66"/>
      <c r="B3103" s="67"/>
      <c r="C3103" s="66"/>
      <c r="D3103" s="68"/>
      <c r="E3103" s="10"/>
      <c r="F3103" s="69"/>
      <c r="G3103" s="68"/>
      <c r="H3103" s="70"/>
      <c r="BA3103" s="4"/>
      <c r="BB3103" s="4"/>
    </row>
    <row r="3104" spans="1:54" x14ac:dyDescent="0.3">
      <c r="A3104" s="66"/>
      <c r="B3104" s="67"/>
      <c r="C3104" s="66"/>
      <c r="D3104" s="68"/>
      <c r="E3104" s="10"/>
      <c r="F3104" s="69"/>
      <c r="G3104" s="68"/>
      <c r="H3104" s="70"/>
      <c r="BA3104" s="4"/>
      <c r="BB3104" s="4"/>
    </row>
    <row r="3105" spans="1:54" x14ac:dyDescent="0.3">
      <c r="A3105" s="66"/>
      <c r="B3105" s="67"/>
      <c r="C3105" s="66"/>
      <c r="D3105" s="68"/>
      <c r="E3105" s="10"/>
      <c r="F3105" s="69"/>
      <c r="G3105" s="68"/>
      <c r="H3105" s="70"/>
      <c r="BA3105" s="4"/>
      <c r="BB3105" s="4"/>
    </row>
    <row r="3106" spans="1:54" x14ac:dyDescent="0.3">
      <c r="A3106" s="66"/>
      <c r="B3106" s="67"/>
      <c r="C3106" s="66"/>
      <c r="D3106" s="68"/>
      <c r="E3106" s="10"/>
      <c r="F3106" s="69"/>
      <c r="G3106" s="68"/>
      <c r="H3106" s="70"/>
      <c r="BA3106" s="4"/>
      <c r="BB3106" s="4"/>
    </row>
    <row r="3107" spans="1:54" x14ac:dyDescent="0.3">
      <c r="A3107" s="66"/>
      <c r="B3107" s="67"/>
      <c r="C3107" s="66"/>
      <c r="D3107" s="68"/>
      <c r="E3107" s="10"/>
      <c r="F3107" s="69"/>
      <c r="G3107" s="68"/>
      <c r="H3107" s="70"/>
      <c r="BA3107" s="4"/>
      <c r="BB3107" s="4"/>
    </row>
    <row r="3108" spans="1:54" x14ac:dyDescent="0.3">
      <c r="A3108" s="66"/>
      <c r="B3108" s="67"/>
      <c r="C3108" s="66"/>
      <c r="D3108" s="68"/>
      <c r="E3108" s="10"/>
      <c r="F3108" s="69"/>
      <c r="G3108" s="68"/>
      <c r="H3108" s="70"/>
      <c r="BA3108" s="4"/>
      <c r="BB3108" s="4"/>
    </row>
    <row r="3109" spans="1:54" x14ac:dyDescent="0.3">
      <c r="A3109" s="66"/>
      <c r="B3109" s="67"/>
      <c r="C3109" s="66"/>
      <c r="D3109" s="68"/>
      <c r="E3109" s="10"/>
      <c r="F3109" s="69"/>
      <c r="G3109" s="68"/>
      <c r="H3109" s="70"/>
      <c r="BA3109" s="4"/>
      <c r="BB3109" s="4"/>
    </row>
    <row r="3110" spans="1:54" x14ac:dyDescent="0.3">
      <c r="A3110" s="66"/>
      <c r="B3110" s="67"/>
      <c r="C3110" s="66"/>
      <c r="D3110" s="68"/>
      <c r="E3110" s="10"/>
      <c r="F3110" s="69"/>
      <c r="G3110" s="68"/>
      <c r="H3110" s="70"/>
      <c r="BA3110" s="4"/>
      <c r="BB3110" s="4"/>
    </row>
    <row r="3111" spans="1:54" x14ac:dyDescent="0.3">
      <c r="A3111" s="66"/>
      <c r="B3111" s="67"/>
      <c r="C3111" s="66"/>
      <c r="D3111" s="68"/>
      <c r="E3111" s="10"/>
      <c r="F3111" s="69"/>
      <c r="G3111" s="68"/>
      <c r="H3111" s="70"/>
      <c r="BA3111" s="4"/>
      <c r="BB3111" s="4"/>
    </row>
    <row r="3112" spans="1:54" x14ac:dyDescent="0.3">
      <c r="A3112" s="66"/>
      <c r="B3112" s="67"/>
      <c r="C3112" s="66"/>
      <c r="D3112" s="68"/>
      <c r="E3112" s="10"/>
      <c r="F3112" s="69"/>
      <c r="G3112" s="68"/>
      <c r="H3112" s="70"/>
      <c r="BA3112" s="4"/>
      <c r="BB3112" s="4"/>
    </row>
    <row r="3113" spans="1:54" x14ac:dyDescent="0.3">
      <c r="A3113" s="66"/>
      <c r="B3113" s="67"/>
      <c r="C3113" s="66"/>
      <c r="D3113" s="68"/>
      <c r="E3113" s="10"/>
      <c r="F3113" s="69"/>
      <c r="G3113" s="68"/>
      <c r="H3113" s="70"/>
      <c r="BA3113" s="4"/>
      <c r="BB3113" s="4"/>
    </row>
    <row r="3114" spans="1:54" x14ac:dyDescent="0.3">
      <c r="A3114" s="66"/>
      <c r="B3114" s="67"/>
      <c r="C3114" s="66"/>
      <c r="D3114" s="68"/>
      <c r="E3114" s="10"/>
      <c r="F3114" s="69"/>
      <c r="G3114" s="68"/>
      <c r="H3114" s="70"/>
      <c r="BA3114" s="4"/>
      <c r="BB3114" s="4"/>
    </row>
    <row r="3115" spans="1:54" x14ac:dyDescent="0.3">
      <c r="A3115" s="66"/>
      <c r="B3115" s="67"/>
      <c r="C3115" s="66"/>
      <c r="D3115" s="68"/>
      <c r="E3115" s="10"/>
      <c r="F3115" s="69"/>
      <c r="G3115" s="68"/>
      <c r="H3115" s="70"/>
      <c r="BA3115" s="4"/>
      <c r="BB3115" s="4"/>
    </row>
    <row r="3116" spans="1:54" x14ac:dyDescent="0.3">
      <c r="A3116" s="66"/>
      <c r="B3116" s="67"/>
      <c r="C3116" s="66"/>
      <c r="D3116" s="68"/>
      <c r="E3116" s="10"/>
      <c r="F3116" s="69"/>
      <c r="G3116" s="68"/>
      <c r="H3116" s="70"/>
      <c r="BA3116" s="4"/>
      <c r="BB3116" s="4"/>
    </row>
    <row r="3117" spans="1:54" x14ac:dyDescent="0.3">
      <c r="A3117" s="66"/>
      <c r="B3117" s="67"/>
      <c r="C3117" s="66"/>
      <c r="D3117" s="68"/>
      <c r="E3117" s="10"/>
      <c r="F3117" s="69"/>
      <c r="G3117" s="68"/>
      <c r="H3117" s="70"/>
      <c r="BA3117" s="4"/>
      <c r="BB3117" s="4"/>
    </row>
    <row r="3118" spans="1:54" x14ac:dyDescent="0.3">
      <c r="A3118" s="66"/>
      <c r="B3118" s="67"/>
      <c r="C3118" s="66"/>
      <c r="D3118" s="68"/>
      <c r="E3118" s="10"/>
      <c r="F3118" s="69"/>
      <c r="G3118" s="68"/>
      <c r="H3118" s="70"/>
      <c r="BA3118" s="4"/>
      <c r="BB3118" s="4"/>
    </row>
    <row r="3119" spans="1:54" x14ac:dyDescent="0.3">
      <c r="A3119" s="66"/>
      <c r="B3119" s="67"/>
      <c r="C3119" s="66"/>
      <c r="D3119" s="68"/>
      <c r="E3119" s="10"/>
      <c r="F3119" s="69"/>
      <c r="G3119" s="68"/>
      <c r="H3119" s="70"/>
      <c r="BA3119" s="4"/>
      <c r="BB3119" s="4"/>
    </row>
    <row r="3120" spans="1:54" x14ac:dyDescent="0.3">
      <c r="A3120" s="66"/>
      <c r="B3120" s="67"/>
      <c r="C3120" s="66"/>
      <c r="D3120" s="68"/>
      <c r="E3120" s="10"/>
      <c r="F3120" s="69"/>
      <c r="G3120" s="68"/>
      <c r="H3120" s="70"/>
      <c r="BA3120" s="4"/>
      <c r="BB3120" s="4"/>
    </row>
    <row r="3121" spans="1:54" x14ac:dyDescent="0.3">
      <c r="A3121" s="66"/>
      <c r="B3121" s="67"/>
      <c r="C3121" s="66"/>
      <c r="D3121" s="68"/>
      <c r="E3121" s="10"/>
      <c r="F3121" s="69"/>
      <c r="G3121" s="68"/>
      <c r="H3121" s="70"/>
      <c r="BA3121" s="4"/>
      <c r="BB3121" s="4"/>
    </row>
    <row r="3122" spans="1:54" x14ac:dyDescent="0.3">
      <c r="A3122" s="66"/>
      <c r="B3122" s="67"/>
      <c r="C3122" s="66"/>
      <c r="D3122" s="68"/>
      <c r="E3122" s="10"/>
      <c r="F3122" s="69"/>
      <c r="G3122" s="68"/>
      <c r="H3122" s="70"/>
      <c r="BA3122" s="4"/>
      <c r="BB3122" s="4"/>
    </row>
    <row r="3123" spans="1:54" x14ac:dyDescent="0.3">
      <c r="A3123" s="66"/>
      <c r="B3123" s="67"/>
      <c r="C3123" s="66"/>
      <c r="D3123" s="68"/>
      <c r="E3123" s="10"/>
      <c r="F3123" s="69"/>
      <c r="G3123" s="68"/>
      <c r="H3123" s="70"/>
      <c r="BA3123" s="4"/>
      <c r="BB3123" s="4"/>
    </row>
    <row r="3124" spans="1:54" x14ac:dyDescent="0.3">
      <c r="A3124" s="66"/>
      <c r="B3124" s="67"/>
      <c r="C3124" s="66"/>
      <c r="D3124" s="68"/>
      <c r="E3124" s="10"/>
      <c r="F3124" s="69"/>
      <c r="G3124" s="68"/>
      <c r="H3124" s="70"/>
      <c r="BA3124" s="4"/>
      <c r="BB3124" s="4"/>
    </row>
    <row r="3125" spans="1:54" x14ac:dyDescent="0.3">
      <c r="A3125" s="66"/>
      <c r="B3125" s="67"/>
      <c r="C3125" s="66"/>
      <c r="D3125" s="68"/>
      <c r="E3125" s="10"/>
      <c r="F3125" s="69"/>
      <c r="G3125" s="68"/>
      <c r="H3125" s="70"/>
      <c r="BA3125" s="4"/>
      <c r="BB3125" s="4"/>
    </row>
    <row r="3126" spans="1:54" x14ac:dyDescent="0.3">
      <c r="A3126" s="66"/>
      <c r="B3126" s="67"/>
      <c r="C3126" s="66"/>
      <c r="D3126" s="68"/>
      <c r="E3126" s="10"/>
      <c r="F3126" s="69"/>
      <c r="G3126" s="68"/>
      <c r="H3126" s="70"/>
      <c r="BA3126" s="4"/>
      <c r="BB3126" s="4"/>
    </row>
    <row r="3127" spans="1:54" x14ac:dyDescent="0.3">
      <c r="A3127" s="66"/>
      <c r="B3127" s="67"/>
      <c r="C3127" s="66"/>
      <c r="D3127" s="68"/>
      <c r="E3127" s="10"/>
      <c r="F3127" s="69"/>
      <c r="G3127" s="68"/>
      <c r="H3127" s="70"/>
      <c r="BA3127" s="4"/>
      <c r="BB3127" s="4"/>
    </row>
    <row r="3128" spans="1:54" x14ac:dyDescent="0.3">
      <c r="A3128" s="66"/>
      <c r="B3128" s="67"/>
      <c r="C3128" s="66"/>
      <c r="D3128" s="68"/>
      <c r="E3128" s="10"/>
      <c r="F3128" s="69"/>
      <c r="G3128" s="68"/>
      <c r="H3128" s="70"/>
      <c r="BA3128" s="4"/>
      <c r="BB3128" s="4"/>
    </row>
    <row r="3129" spans="1:54" x14ac:dyDescent="0.3">
      <c r="A3129" s="66"/>
      <c r="B3129" s="67"/>
      <c r="C3129" s="66"/>
      <c r="D3129" s="68"/>
      <c r="E3129" s="10"/>
      <c r="F3129" s="69"/>
      <c r="G3129" s="68"/>
      <c r="H3129" s="70"/>
      <c r="BA3129" s="4"/>
      <c r="BB3129" s="4"/>
    </row>
    <row r="3130" spans="1:54" x14ac:dyDescent="0.3">
      <c r="A3130" s="66"/>
      <c r="B3130" s="67"/>
      <c r="C3130" s="66"/>
      <c r="D3130" s="68"/>
      <c r="E3130" s="10"/>
      <c r="F3130" s="69"/>
      <c r="G3130" s="68"/>
      <c r="H3130" s="70"/>
      <c r="BA3130" s="4"/>
      <c r="BB3130" s="4"/>
    </row>
    <row r="3131" spans="1:54" x14ac:dyDescent="0.3">
      <c r="A3131" s="66"/>
      <c r="B3131" s="67"/>
      <c r="C3131" s="66"/>
      <c r="D3131" s="68"/>
      <c r="E3131" s="10"/>
      <c r="F3131" s="69"/>
      <c r="G3131" s="68"/>
      <c r="H3131" s="70"/>
      <c r="BA3131" s="4"/>
      <c r="BB3131" s="4"/>
    </row>
    <row r="3132" spans="1:54" x14ac:dyDescent="0.3">
      <c r="A3132" s="66"/>
      <c r="B3132" s="67"/>
      <c r="C3132" s="66"/>
      <c r="D3132" s="68"/>
      <c r="E3132" s="10"/>
      <c r="F3132" s="69"/>
      <c r="G3132" s="68"/>
      <c r="H3132" s="70"/>
      <c r="BA3132" s="4"/>
      <c r="BB3132" s="4"/>
    </row>
    <row r="3133" spans="1:54" x14ac:dyDescent="0.3">
      <c r="A3133" s="66"/>
      <c r="B3133" s="67"/>
      <c r="C3133" s="66"/>
      <c r="D3133" s="68"/>
      <c r="E3133" s="10"/>
      <c r="F3133" s="69"/>
      <c r="G3133" s="68"/>
      <c r="H3133" s="70"/>
      <c r="BA3133" s="4"/>
      <c r="BB3133" s="4"/>
    </row>
    <row r="3134" spans="1:54" x14ac:dyDescent="0.3">
      <c r="A3134" s="66"/>
      <c r="B3134" s="67"/>
      <c r="C3134" s="66"/>
      <c r="D3134" s="68"/>
      <c r="E3134" s="10"/>
      <c r="F3134" s="69"/>
      <c r="G3134" s="68"/>
      <c r="H3134" s="70"/>
      <c r="BA3134" s="4"/>
      <c r="BB3134" s="4"/>
    </row>
    <row r="3135" spans="1:54" x14ac:dyDescent="0.3">
      <c r="A3135" s="66"/>
      <c r="B3135" s="67"/>
      <c r="C3135" s="66"/>
      <c r="D3135" s="68"/>
      <c r="E3135" s="10"/>
      <c r="F3135" s="69"/>
      <c r="G3135" s="68"/>
      <c r="H3135" s="70"/>
      <c r="BA3135" s="4"/>
      <c r="BB3135" s="4"/>
    </row>
    <row r="3136" spans="1:54" x14ac:dyDescent="0.3">
      <c r="A3136" s="66"/>
      <c r="B3136" s="67"/>
      <c r="C3136" s="66"/>
      <c r="D3136" s="68"/>
      <c r="E3136" s="10"/>
      <c r="F3136" s="69"/>
      <c r="G3136" s="68"/>
      <c r="H3136" s="70"/>
      <c r="BA3136" s="4"/>
      <c r="BB3136" s="4"/>
    </row>
    <row r="3137" spans="1:54" x14ac:dyDescent="0.3">
      <c r="A3137" s="66"/>
      <c r="B3137" s="67"/>
      <c r="C3137" s="66"/>
      <c r="D3137" s="68"/>
      <c r="E3137" s="10"/>
      <c r="F3137" s="69"/>
      <c r="G3137" s="68"/>
      <c r="H3137" s="70"/>
      <c r="BA3137" s="4"/>
      <c r="BB3137" s="4"/>
    </row>
    <row r="3138" spans="1:54" x14ac:dyDescent="0.3">
      <c r="A3138" s="66"/>
      <c r="B3138" s="67"/>
      <c r="C3138" s="66"/>
      <c r="D3138" s="68"/>
      <c r="E3138" s="10"/>
      <c r="F3138" s="69"/>
      <c r="G3138" s="68"/>
      <c r="H3138" s="70"/>
      <c r="BA3138" s="4"/>
      <c r="BB3138" s="4"/>
    </row>
    <row r="3139" spans="1:54" x14ac:dyDescent="0.3">
      <c r="A3139" s="66"/>
      <c r="B3139" s="67"/>
      <c r="C3139" s="66"/>
      <c r="D3139" s="68"/>
      <c r="E3139" s="10"/>
      <c r="F3139" s="69"/>
      <c r="G3139" s="68"/>
      <c r="H3139" s="70"/>
      <c r="BA3139" s="4"/>
      <c r="BB3139" s="4"/>
    </row>
    <row r="3140" spans="1:54" x14ac:dyDescent="0.3">
      <c r="A3140" s="66"/>
      <c r="B3140" s="67"/>
      <c r="C3140" s="66"/>
      <c r="D3140" s="68"/>
      <c r="E3140" s="10"/>
      <c r="F3140" s="69"/>
      <c r="G3140" s="68"/>
      <c r="H3140" s="70"/>
      <c r="BA3140" s="4"/>
      <c r="BB3140" s="4"/>
    </row>
    <row r="3141" spans="1:54" x14ac:dyDescent="0.3">
      <c r="A3141" s="66"/>
      <c r="B3141" s="67"/>
      <c r="C3141" s="66"/>
      <c r="D3141" s="68"/>
      <c r="E3141" s="10"/>
      <c r="F3141" s="69"/>
      <c r="G3141" s="68"/>
      <c r="H3141" s="70"/>
      <c r="BA3141" s="4"/>
      <c r="BB3141" s="4"/>
    </row>
    <row r="3142" spans="1:54" x14ac:dyDescent="0.3">
      <c r="A3142" s="66"/>
      <c r="B3142" s="67"/>
      <c r="C3142" s="66"/>
      <c r="D3142" s="68"/>
      <c r="E3142" s="10"/>
      <c r="F3142" s="69"/>
      <c r="G3142" s="68"/>
      <c r="H3142" s="70"/>
      <c r="BA3142" s="4"/>
      <c r="BB3142" s="4"/>
    </row>
    <row r="3143" spans="1:54" x14ac:dyDescent="0.3">
      <c r="A3143" s="66"/>
      <c r="B3143" s="67"/>
      <c r="C3143" s="66"/>
      <c r="D3143" s="68"/>
      <c r="E3143" s="10"/>
      <c r="F3143" s="69"/>
      <c r="G3143" s="68"/>
      <c r="H3143" s="70"/>
      <c r="BA3143" s="4"/>
      <c r="BB3143" s="4"/>
    </row>
    <row r="3144" spans="1:54" x14ac:dyDescent="0.3">
      <c r="A3144" s="66"/>
      <c r="B3144" s="67"/>
      <c r="C3144" s="66"/>
      <c r="D3144" s="68"/>
      <c r="E3144" s="10"/>
      <c r="F3144" s="69"/>
      <c r="G3144" s="68"/>
      <c r="H3144" s="70"/>
      <c r="BA3144" s="4"/>
      <c r="BB3144" s="4"/>
    </row>
    <row r="3145" spans="1:54" x14ac:dyDescent="0.3">
      <c r="A3145" s="66"/>
      <c r="B3145" s="67"/>
      <c r="C3145" s="66"/>
      <c r="D3145" s="68"/>
      <c r="E3145" s="10"/>
      <c r="F3145" s="69"/>
      <c r="G3145" s="68"/>
      <c r="H3145" s="70"/>
      <c r="BA3145" s="4"/>
      <c r="BB3145" s="4"/>
    </row>
    <row r="3146" spans="1:54" x14ac:dyDescent="0.3">
      <c r="A3146" s="66"/>
      <c r="B3146" s="67"/>
      <c r="C3146" s="66"/>
      <c r="D3146" s="68"/>
      <c r="E3146" s="10"/>
      <c r="F3146" s="69"/>
      <c r="G3146" s="68"/>
      <c r="H3146" s="70"/>
      <c r="BA3146" s="4"/>
      <c r="BB3146" s="4"/>
    </row>
    <row r="3147" spans="1:54" x14ac:dyDescent="0.3">
      <c r="A3147" s="66"/>
      <c r="B3147" s="67"/>
      <c r="C3147" s="66"/>
      <c r="D3147" s="68"/>
      <c r="E3147" s="10"/>
      <c r="F3147" s="69"/>
      <c r="G3147" s="68"/>
      <c r="H3147" s="70"/>
      <c r="BA3147" s="4"/>
      <c r="BB3147" s="4"/>
    </row>
    <row r="3148" spans="1:54" x14ac:dyDescent="0.3">
      <c r="A3148" s="66"/>
      <c r="B3148" s="67"/>
      <c r="C3148" s="66"/>
      <c r="D3148" s="68"/>
      <c r="E3148" s="10"/>
      <c r="F3148" s="69"/>
      <c r="G3148" s="68"/>
      <c r="H3148" s="70"/>
      <c r="BA3148" s="4"/>
      <c r="BB3148" s="4"/>
    </row>
    <row r="3149" spans="1:54" x14ac:dyDescent="0.3">
      <c r="A3149" s="66"/>
      <c r="B3149" s="67"/>
      <c r="C3149" s="66"/>
      <c r="D3149" s="68"/>
      <c r="E3149" s="10"/>
      <c r="F3149" s="69"/>
      <c r="G3149" s="68"/>
      <c r="H3149" s="70"/>
      <c r="BA3149" s="4"/>
      <c r="BB3149" s="4"/>
    </row>
    <row r="3150" spans="1:54" x14ac:dyDescent="0.3">
      <c r="A3150" s="66"/>
      <c r="B3150" s="67"/>
      <c r="C3150" s="66"/>
      <c r="D3150" s="68"/>
      <c r="E3150" s="10"/>
      <c r="F3150" s="69"/>
      <c r="G3150" s="68"/>
      <c r="H3150" s="70"/>
      <c r="BA3150" s="4"/>
      <c r="BB3150" s="4"/>
    </row>
    <row r="3151" spans="1:54" x14ac:dyDescent="0.3">
      <c r="A3151" s="66"/>
      <c r="B3151" s="67"/>
      <c r="C3151" s="66"/>
      <c r="D3151" s="68"/>
      <c r="E3151" s="10"/>
      <c r="F3151" s="69"/>
      <c r="G3151" s="68"/>
      <c r="H3151" s="70"/>
      <c r="BA3151" s="4"/>
      <c r="BB3151" s="4"/>
    </row>
    <row r="3152" spans="1:54" x14ac:dyDescent="0.3">
      <c r="A3152" s="66"/>
      <c r="B3152" s="67"/>
      <c r="C3152" s="66"/>
      <c r="D3152" s="68"/>
      <c r="E3152" s="10"/>
      <c r="F3152" s="69"/>
      <c r="G3152" s="68"/>
      <c r="H3152" s="70"/>
      <c r="BA3152" s="4"/>
      <c r="BB3152" s="4"/>
    </row>
    <row r="3153" spans="1:54" x14ac:dyDescent="0.3">
      <c r="A3153" s="66"/>
      <c r="B3153" s="67"/>
      <c r="C3153" s="66"/>
      <c r="D3153" s="68"/>
      <c r="E3153" s="10"/>
      <c r="F3153" s="69"/>
      <c r="G3153" s="68"/>
      <c r="H3153" s="70"/>
      <c r="BA3153" s="4"/>
      <c r="BB3153" s="4"/>
    </row>
    <row r="3154" spans="1:54" x14ac:dyDescent="0.3">
      <c r="A3154" s="66"/>
      <c r="B3154" s="67"/>
      <c r="C3154" s="66"/>
      <c r="D3154" s="68"/>
      <c r="E3154" s="10"/>
      <c r="F3154" s="69"/>
      <c r="G3154" s="68"/>
      <c r="H3154" s="70"/>
      <c r="BA3154" s="4"/>
      <c r="BB3154" s="4"/>
    </row>
    <row r="3155" spans="1:54" x14ac:dyDescent="0.3">
      <c r="A3155" s="66"/>
      <c r="B3155" s="67"/>
      <c r="C3155" s="66"/>
      <c r="D3155" s="68"/>
      <c r="E3155" s="10"/>
      <c r="F3155" s="69"/>
      <c r="G3155" s="68"/>
      <c r="H3155" s="70"/>
      <c r="BA3155" s="4"/>
      <c r="BB3155" s="4"/>
    </row>
    <row r="3156" spans="1:54" x14ac:dyDescent="0.3">
      <c r="A3156" s="66"/>
      <c r="B3156" s="67"/>
      <c r="C3156" s="66"/>
      <c r="D3156" s="68"/>
      <c r="E3156" s="10"/>
      <c r="F3156" s="69"/>
      <c r="G3156" s="68"/>
      <c r="H3156" s="70"/>
      <c r="BA3156" s="4"/>
      <c r="BB3156" s="4"/>
    </row>
    <row r="3157" spans="1:54" x14ac:dyDescent="0.3">
      <c r="A3157" s="66"/>
      <c r="B3157" s="67"/>
      <c r="C3157" s="66"/>
      <c r="D3157" s="68"/>
      <c r="E3157" s="10"/>
      <c r="F3157" s="69"/>
      <c r="G3157" s="68"/>
      <c r="H3157" s="70"/>
      <c r="BA3157" s="4"/>
      <c r="BB3157" s="4"/>
    </row>
    <row r="3158" spans="1:54" x14ac:dyDescent="0.3">
      <c r="A3158" s="66"/>
      <c r="B3158" s="67"/>
      <c r="C3158" s="66"/>
      <c r="D3158" s="68"/>
      <c r="E3158" s="10"/>
      <c r="F3158" s="69"/>
      <c r="G3158" s="68"/>
      <c r="H3158" s="70"/>
      <c r="BA3158" s="4"/>
      <c r="BB3158" s="4"/>
    </row>
    <row r="3159" spans="1:54" x14ac:dyDescent="0.3">
      <c r="A3159" s="66"/>
      <c r="B3159" s="67"/>
      <c r="C3159" s="66"/>
      <c r="D3159" s="68"/>
      <c r="E3159" s="10"/>
      <c r="F3159" s="69"/>
      <c r="G3159" s="68"/>
      <c r="H3159" s="70"/>
      <c r="BA3159" s="4"/>
      <c r="BB3159" s="4"/>
    </row>
    <row r="3160" spans="1:54" x14ac:dyDescent="0.3">
      <c r="A3160" s="66"/>
      <c r="B3160" s="67"/>
      <c r="C3160" s="66"/>
      <c r="D3160" s="68"/>
      <c r="E3160" s="10"/>
      <c r="F3160" s="69"/>
      <c r="G3160" s="68"/>
      <c r="H3160" s="70"/>
      <c r="BA3160" s="4"/>
      <c r="BB3160" s="4"/>
    </row>
    <row r="3161" spans="1:54" x14ac:dyDescent="0.3">
      <c r="A3161" s="66"/>
      <c r="B3161" s="67"/>
      <c r="C3161" s="66"/>
      <c r="D3161" s="68"/>
      <c r="E3161" s="10"/>
      <c r="F3161" s="69"/>
      <c r="G3161" s="68"/>
      <c r="H3161" s="70"/>
      <c r="BA3161" s="4"/>
      <c r="BB3161" s="4"/>
    </row>
    <row r="3162" spans="1:54" x14ac:dyDescent="0.3">
      <c r="A3162" s="66"/>
      <c r="B3162" s="67"/>
      <c r="C3162" s="66"/>
      <c r="D3162" s="68"/>
      <c r="E3162" s="10"/>
      <c r="F3162" s="69"/>
      <c r="G3162" s="68"/>
      <c r="H3162" s="70"/>
      <c r="BA3162" s="4"/>
      <c r="BB3162" s="4"/>
    </row>
    <row r="3163" spans="1:54" x14ac:dyDescent="0.3">
      <c r="A3163" s="66"/>
      <c r="B3163" s="67"/>
      <c r="C3163" s="66"/>
      <c r="D3163" s="68"/>
      <c r="E3163" s="10"/>
      <c r="F3163" s="69"/>
      <c r="G3163" s="68"/>
      <c r="H3163" s="70"/>
      <c r="BA3163" s="4"/>
      <c r="BB3163" s="4"/>
    </row>
    <row r="3164" spans="1:54" x14ac:dyDescent="0.3">
      <c r="A3164" s="66"/>
      <c r="B3164" s="67"/>
      <c r="C3164" s="66"/>
      <c r="D3164" s="68"/>
      <c r="E3164" s="10"/>
      <c r="F3164" s="69"/>
      <c r="G3164" s="68"/>
      <c r="H3164" s="70"/>
      <c r="BA3164" s="4"/>
      <c r="BB3164" s="4"/>
    </row>
    <row r="3165" spans="1:54" x14ac:dyDescent="0.3">
      <c r="A3165" s="66"/>
      <c r="B3165" s="67"/>
      <c r="C3165" s="66"/>
      <c r="D3165" s="68"/>
      <c r="E3165" s="10"/>
      <c r="F3165" s="69"/>
      <c r="G3165" s="68"/>
      <c r="H3165" s="70"/>
      <c r="BA3165" s="4"/>
      <c r="BB3165" s="4"/>
    </row>
    <row r="3166" spans="1:54" x14ac:dyDescent="0.3">
      <c r="A3166" s="66"/>
      <c r="B3166" s="67"/>
      <c r="C3166" s="66"/>
      <c r="D3166" s="68"/>
      <c r="E3166" s="10"/>
      <c r="F3166" s="69"/>
      <c r="G3166" s="68"/>
      <c r="H3166" s="70"/>
      <c r="BA3166" s="4"/>
      <c r="BB3166" s="4"/>
    </row>
    <row r="3167" spans="1:54" x14ac:dyDescent="0.3">
      <c r="A3167" s="66"/>
      <c r="B3167" s="67"/>
      <c r="C3167" s="66"/>
      <c r="D3167" s="68"/>
      <c r="E3167" s="10"/>
      <c r="F3167" s="69"/>
      <c r="G3167" s="68"/>
      <c r="H3167" s="70"/>
      <c r="BA3167" s="4"/>
      <c r="BB3167" s="4"/>
    </row>
    <row r="3168" spans="1:54" x14ac:dyDescent="0.3">
      <c r="A3168" s="66"/>
      <c r="B3168" s="67"/>
      <c r="C3168" s="66"/>
      <c r="D3168" s="68"/>
      <c r="E3168" s="10"/>
      <c r="F3168" s="69"/>
      <c r="G3168" s="68"/>
      <c r="H3168" s="70"/>
      <c r="BA3168" s="4"/>
      <c r="BB3168" s="4"/>
    </row>
    <row r="3169" spans="1:54" x14ac:dyDescent="0.3">
      <c r="A3169" s="66"/>
      <c r="B3169" s="67"/>
      <c r="C3169" s="66"/>
      <c r="D3169" s="68"/>
      <c r="E3169" s="10"/>
      <c r="F3169" s="69"/>
      <c r="G3169" s="68"/>
      <c r="H3169" s="70"/>
      <c r="BA3169" s="4"/>
      <c r="BB3169" s="4"/>
    </row>
    <row r="3170" spans="1:54" x14ac:dyDescent="0.3">
      <c r="A3170" s="66"/>
      <c r="B3170" s="67"/>
      <c r="C3170" s="66"/>
      <c r="D3170" s="68"/>
      <c r="E3170" s="10"/>
      <c r="F3170" s="69"/>
      <c r="G3170" s="68"/>
      <c r="H3170" s="70"/>
      <c r="BA3170" s="4"/>
      <c r="BB3170" s="4"/>
    </row>
    <row r="3171" spans="1:54" x14ac:dyDescent="0.3">
      <c r="A3171" s="66"/>
      <c r="B3171" s="67"/>
      <c r="C3171" s="66"/>
      <c r="D3171" s="68"/>
      <c r="E3171" s="10"/>
      <c r="F3171" s="69"/>
      <c r="G3171" s="68"/>
      <c r="H3171" s="70"/>
      <c r="BA3171" s="4"/>
      <c r="BB3171" s="4"/>
    </row>
    <row r="3172" spans="1:54" x14ac:dyDescent="0.3">
      <c r="A3172" s="66"/>
      <c r="B3172" s="67"/>
      <c r="C3172" s="66"/>
      <c r="D3172" s="68"/>
      <c r="E3172" s="10"/>
      <c r="F3172" s="69"/>
      <c r="G3172" s="68"/>
      <c r="H3172" s="70"/>
      <c r="BA3172" s="4"/>
      <c r="BB3172" s="4"/>
    </row>
    <row r="3173" spans="1:54" x14ac:dyDescent="0.3">
      <c r="A3173" s="66"/>
      <c r="B3173" s="67"/>
      <c r="C3173" s="66"/>
      <c r="D3173" s="68"/>
      <c r="E3173" s="10"/>
      <c r="F3173" s="69"/>
      <c r="G3173" s="68"/>
      <c r="H3173" s="70"/>
      <c r="BA3173" s="4"/>
      <c r="BB3173" s="4"/>
    </row>
    <row r="3174" spans="1:54" x14ac:dyDescent="0.3">
      <c r="A3174" s="66"/>
      <c r="B3174" s="67"/>
      <c r="C3174" s="66"/>
      <c r="D3174" s="68"/>
      <c r="E3174" s="10"/>
      <c r="F3174" s="69"/>
      <c r="G3174" s="68"/>
      <c r="H3174" s="70"/>
      <c r="BA3174" s="4"/>
      <c r="BB3174" s="4"/>
    </row>
    <row r="3175" spans="1:54" x14ac:dyDescent="0.3">
      <c r="A3175" s="66"/>
      <c r="B3175" s="67"/>
      <c r="C3175" s="66"/>
      <c r="D3175" s="68"/>
      <c r="E3175" s="10"/>
      <c r="F3175" s="69"/>
      <c r="G3175" s="68"/>
      <c r="H3175" s="70"/>
      <c r="BA3175" s="4"/>
      <c r="BB3175" s="4"/>
    </row>
    <row r="3176" spans="1:54" x14ac:dyDescent="0.3">
      <c r="A3176" s="66"/>
      <c r="B3176" s="67"/>
      <c r="C3176" s="66"/>
      <c r="D3176" s="68"/>
      <c r="E3176" s="10"/>
      <c r="F3176" s="69"/>
      <c r="G3176" s="68"/>
      <c r="H3176" s="70"/>
      <c r="BA3176" s="4"/>
      <c r="BB3176" s="4"/>
    </row>
    <row r="3177" spans="1:54" x14ac:dyDescent="0.3">
      <c r="A3177" s="66"/>
      <c r="B3177" s="67"/>
      <c r="C3177" s="66"/>
      <c r="D3177" s="68"/>
      <c r="E3177" s="10"/>
      <c r="F3177" s="69"/>
      <c r="G3177" s="68"/>
      <c r="H3177" s="70"/>
      <c r="BA3177" s="4"/>
      <c r="BB3177" s="4"/>
    </row>
    <row r="3178" spans="1:54" x14ac:dyDescent="0.3">
      <c r="A3178" s="66"/>
      <c r="B3178" s="67"/>
      <c r="C3178" s="66"/>
      <c r="D3178" s="68"/>
      <c r="E3178" s="10"/>
      <c r="F3178" s="69"/>
      <c r="G3178" s="68"/>
      <c r="H3178" s="70"/>
      <c r="BA3178" s="4"/>
      <c r="BB3178" s="4"/>
    </row>
    <row r="3179" spans="1:54" x14ac:dyDescent="0.3">
      <c r="A3179" s="66"/>
      <c r="B3179" s="67"/>
      <c r="C3179" s="66"/>
      <c r="D3179" s="68"/>
      <c r="E3179" s="10"/>
      <c r="F3179" s="69"/>
      <c r="G3179" s="68"/>
      <c r="H3179" s="70"/>
      <c r="BA3179" s="4"/>
      <c r="BB3179" s="4"/>
    </row>
    <row r="3180" spans="1:54" x14ac:dyDescent="0.3">
      <c r="A3180" s="66"/>
      <c r="B3180" s="67"/>
      <c r="C3180" s="66"/>
      <c r="D3180" s="68"/>
      <c r="E3180" s="10"/>
      <c r="F3180" s="69"/>
      <c r="G3180" s="68"/>
      <c r="H3180" s="70"/>
      <c r="BA3180" s="4"/>
      <c r="BB3180" s="4"/>
    </row>
    <row r="3181" spans="1:54" x14ac:dyDescent="0.3">
      <c r="A3181" s="66"/>
      <c r="B3181" s="67"/>
      <c r="C3181" s="66"/>
      <c r="D3181" s="68"/>
      <c r="E3181" s="10"/>
      <c r="F3181" s="69"/>
      <c r="G3181" s="68"/>
      <c r="H3181" s="70"/>
      <c r="BA3181" s="4"/>
      <c r="BB3181" s="4"/>
    </row>
    <row r="3182" spans="1:54" x14ac:dyDescent="0.3">
      <c r="A3182" s="66"/>
      <c r="B3182" s="67"/>
      <c r="C3182" s="66"/>
      <c r="D3182" s="68"/>
      <c r="E3182" s="10"/>
      <c r="F3182" s="69"/>
      <c r="G3182" s="68"/>
      <c r="H3182" s="70"/>
      <c r="BA3182" s="4"/>
      <c r="BB3182" s="4"/>
    </row>
    <row r="3183" spans="1:54" x14ac:dyDescent="0.3">
      <c r="A3183" s="66"/>
      <c r="B3183" s="67"/>
      <c r="C3183" s="66"/>
      <c r="D3183" s="68"/>
      <c r="E3183" s="10"/>
      <c r="F3183" s="69"/>
      <c r="G3183" s="68"/>
      <c r="H3183" s="70"/>
      <c r="BA3183" s="4"/>
      <c r="BB3183" s="4"/>
    </row>
    <row r="3184" spans="1:54" x14ac:dyDescent="0.3">
      <c r="A3184" s="66"/>
      <c r="B3184" s="67"/>
      <c r="C3184" s="66"/>
      <c r="D3184" s="68"/>
      <c r="E3184" s="10"/>
      <c r="F3184" s="69"/>
      <c r="G3184" s="68"/>
      <c r="H3184" s="70"/>
      <c r="BA3184" s="4"/>
      <c r="BB3184" s="4"/>
    </row>
    <row r="3185" spans="1:54" x14ac:dyDescent="0.3">
      <c r="A3185" s="66"/>
      <c r="B3185" s="67"/>
      <c r="C3185" s="66"/>
      <c r="D3185" s="68"/>
      <c r="E3185" s="10"/>
      <c r="F3185" s="69"/>
      <c r="G3185" s="68"/>
      <c r="H3185" s="70"/>
      <c r="BA3185" s="4"/>
      <c r="BB3185" s="4"/>
    </row>
    <row r="3186" spans="1:54" x14ac:dyDescent="0.3">
      <c r="A3186" s="66"/>
      <c r="B3186" s="67"/>
      <c r="C3186" s="66"/>
      <c r="D3186" s="68"/>
      <c r="E3186" s="10"/>
      <c r="F3186" s="69"/>
      <c r="G3186" s="68"/>
      <c r="H3186" s="70"/>
      <c r="BA3186" s="4"/>
      <c r="BB3186" s="4"/>
    </row>
    <row r="3187" spans="1:54" x14ac:dyDescent="0.3">
      <c r="A3187" s="66"/>
      <c r="B3187" s="67"/>
      <c r="C3187" s="66"/>
      <c r="D3187" s="68"/>
      <c r="E3187" s="10"/>
      <c r="F3187" s="69"/>
      <c r="G3187" s="68"/>
      <c r="H3187" s="70"/>
      <c r="BA3187" s="4"/>
      <c r="BB3187" s="4"/>
    </row>
    <row r="3188" spans="1:54" x14ac:dyDescent="0.3">
      <c r="A3188" s="66"/>
      <c r="B3188" s="67"/>
      <c r="C3188" s="66"/>
      <c r="D3188" s="68"/>
      <c r="E3188" s="10"/>
      <c r="F3188" s="69"/>
      <c r="G3188" s="68"/>
      <c r="H3188" s="70"/>
      <c r="BA3188" s="4"/>
      <c r="BB3188" s="4"/>
    </row>
    <row r="3189" spans="1:54" x14ac:dyDescent="0.3">
      <c r="A3189" s="66"/>
      <c r="B3189" s="67"/>
      <c r="C3189" s="66"/>
      <c r="D3189" s="68"/>
      <c r="E3189" s="10"/>
      <c r="F3189" s="69"/>
      <c r="G3189" s="68"/>
      <c r="H3189" s="70"/>
      <c r="BA3189" s="4"/>
      <c r="BB3189" s="4"/>
    </row>
    <row r="3190" spans="1:54" x14ac:dyDescent="0.3">
      <c r="A3190" s="66"/>
      <c r="B3190" s="67"/>
      <c r="C3190" s="66"/>
      <c r="D3190" s="68"/>
      <c r="E3190" s="10"/>
      <c r="F3190" s="69"/>
      <c r="G3190" s="68"/>
      <c r="H3190" s="70"/>
      <c r="BA3190" s="4"/>
      <c r="BB3190" s="4"/>
    </row>
    <row r="3191" spans="1:54" x14ac:dyDescent="0.3">
      <c r="A3191" s="66"/>
      <c r="B3191" s="67"/>
      <c r="C3191" s="66"/>
      <c r="D3191" s="68"/>
      <c r="E3191" s="10"/>
      <c r="F3191" s="69"/>
      <c r="G3191" s="68"/>
      <c r="H3191" s="70"/>
      <c r="BA3191" s="4"/>
      <c r="BB3191" s="4"/>
    </row>
    <row r="3192" spans="1:54" x14ac:dyDescent="0.3">
      <c r="A3192" s="66"/>
      <c r="B3192" s="67"/>
      <c r="C3192" s="66"/>
      <c r="D3192" s="68"/>
      <c r="E3192" s="10"/>
      <c r="F3192" s="69"/>
      <c r="G3192" s="68"/>
      <c r="H3192" s="70"/>
      <c r="BA3192" s="4"/>
      <c r="BB3192" s="4"/>
    </row>
    <row r="3193" spans="1:54" x14ac:dyDescent="0.3">
      <c r="A3193" s="66"/>
      <c r="B3193" s="67"/>
      <c r="C3193" s="66"/>
      <c r="D3193" s="68"/>
      <c r="E3193" s="10"/>
      <c r="F3193" s="69"/>
      <c r="G3193" s="68"/>
      <c r="H3193" s="70"/>
      <c r="BA3193" s="4"/>
      <c r="BB3193" s="4"/>
    </row>
    <row r="3194" spans="1:54" x14ac:dyDescent="0.3">
      <c r="A3194" s="66"/>
      <c r="B3194" s="67"/>
      <c r="C3194" s="66"/>
      <c r="D3194" s="68"/>
      <c r="E3194" s="10"/>
      <c r="F3194" s="69"/>
      <c r="G3194" s="68"/>
      <c r="H3194" s="70"/>
      <c r="BA3194" s="4"/>
      <c r="BB3194" s="4"/>
    </row>
    <row r="3195" spans="1:54" x14ac:dyDescent="0.3">
      <c r="A3195" s="66"/>
      <c r="B3195" s="67"/>
      <c r="C3195" s="66"/>
      <c r="D3195" s="68"/>
      <c r="E3195" s="10"/>
      <c r="F3195" s="69"/>
      <c r="G3195" s="68"/>
      <c r="H3195" s="70"/>
      <c r="BA3195" s="4"/>
      <c r="BB3195" s="4"/>
    </row>
    <row r="3196" spans="1:54" x14ac:dyDescent="0.3">
      <c r="A3196" s="66"/>
      <c r="B3196" s="67"/>
      <c r="C3196" s="66"/>
      <c r="D3196" s="68"/>
      <c r="E3196" s="10"/>
      <c r="F3196" s="69"/>
      <c r="G3196" s="68"/>
      <c r="H3196" s="70"/>
      <c r="BA3196" s="4"/>
      <c r="BB3196" s="4"/>
    </row>
    <row r="3197" spans="1:54" x14ac:dyDescent="0.3">
      <c r="A3197" s="66"/>
      <c r="B3197" s="67"/>
      <c r="C3197" s="66"/>
      <c r="D3197" s="68"/>
      <c r="E3197" s="10"/>
      <c r="F3197" s="69"/>
      <c r="G3197" s="68"/>
      <c r="H3197" s="70"/>
      <c r="BA3197" s="4"/>
      <c r="BB3197" s="4"/>
    </row>
    <row r="3198" spans="1:54" x14ac:dyDescent="0.3">
      <c r="A3198" s="66"/>
      <c r="B3198" s="67"/>
      <c r="C3198" s="66"/>
      <c r="D3198" s="68"/>
      <c r="E3198" s="10"/>
      <c r="F3198" s="69"/>
      <c r="G3198" s="68"/>
      <c r="H3198" s="70"/>
      <c r="BA3198" s="4"/>
      <c r="BB3198" s="4"/>
    </row>
    <row r="3199" spans="1:54" x14ac:dyDescent="0.3">
      <c r="A3199" s="66"/>
      <c r="B3199" s="67"/>
      <c r="C3199" s="66"/>
      <c r="D3199" s="68"/>
      <c r="E3199" s="10"/>
      <c r="F3199" s="69"/>
      <c r="G3199" s="68"/>
      <c r="H3199" s="70"/>
      <c r="BA3199" s="4"/>
      <c r="BB3199" s="4"/>
    </row>
    <row r="3200" spans="1:54" x14ac:dyDescent="0.3">
      <c r="A3200" s="66"/>
      <c r="B3200" s="67"/>
      <c r="C3200" s="66"/>
      <c r="D3200" s="68"/>
      <c r="E3200" s="10"/>
      <c r="F3200" s="69"/>
      <c r="G3200" s="68"/>
      <c r="H3200" s="70"/>
      <c r="BA3200" s="4"/>
      <c r="BB3200" s="4"/>
    </row>
    <row r="3201" spans="1:54" x14ac:dyDescent="0.3">
      <c r="A3201" s="66"/>
      <c r="B3201" s="67"/>
      <c r="C3201" s="66"/>
      <c r="D3201" s="68"/>
      <c r="E3201" s="10"/>
      <c r="F3201" s="69"/>
      <c r="G3201" s="68"/>
      <c r="H3201" s="70"/>
      <c r="BA3201" s="4"/>
      <c r="BB3201" s="4"/>
    </row>
    <row r="3202" spans="1:54" x14ac:dyDescent="0.3">
      <c r="A3202" s="66"/>
      <c r="B3202" s="67"/>
      <c r="C3202" s="66"/>
      <c r="D3202" s="68"/>
      <c r="E3202" s="10"/>
      <c r="F3202" s="69"/>
      <c r="G3202" s="68"/>
      <c r="H3202" s="70"/>
      <c r="BA3202" s="4"/>
      <c r="BB3202" s="4"/>
    </row>
    <row r="3203" spans="1:54" x14ac:dyDescent="0.3">
      <c r="A3203" s="66"/>
      <c r="B3203" s="67"/>
      <c r="C3203" s="66"/>
      <c r="D3203" s="68"/>
      <c r="E3203" s="10"/>
      <c r="F3203" s="69"/>
      <c r="G3203" s="68"/>
      <c r="H3203" s="70"/>
      <c r="BA3203" s="4"/>
      <c r="BB3203" s="4"/>
    </row>
    <row r="3204" spans="1:54" x14ac:dyDescent="0.3">
      <c r="A3204" s="66"/>
      <c r="B3204" s="67"/>
      <c r="C3204" s="66"/>
      <c r="D3204" s="68"/>
      <c r="E3204" s="10"/>
      <c r="F3204" s="69"/>
      <c r="G3204" s="68"/>
      <c r="H3204" s="70"/>
      <c r="BA3204" s="4"/>
      <c r="BB3204" s="4"/>
    </row>
    <row r="3205" spans="1:54" x14ac:dyDescent="0.3">
      <c r="A3205" s="66"/>
      <c r="B3205" s="67"/>
      <c r="C3205" s="66"/>
      <c r="D3205" s="68"/>
      <c r="E3205" s="10"/>
      <c r="F3205" s="69"/>
      <c r="G3205" s="68"/>
      <c r="H3205" s="70"/>
      <c r="BA3205" s="4"/>
      <c r="BB3205" s="4"/>
    </row>
    <row r="3206" spans="1:54" x14ac:dyDescent="0.3">
      <c r="A3206" s="66"/>
      <c r="B3206" s="67"/>
      <c r="C3206" s="66"/>
      <c r="D3206" s="68"/>
      <c r="E3206" s="10"/>
      <c r="F3206" s="69"/>
      <c r="G3206" s="68"/>
      <c r="H3206" s="70"/>
      <c r="BA3206" s="4"/>
      <c r="BB3206" s="4"/>
    </row>
    <row r="3207" spans="1:54" x14ac:dyDescent="0.3">
      <c r="A3207" s="66"/>
      <c r="B3207" s="67"/>
      <c r="C3207" s="66"/>
      <c r="D3207" s="68"/>
      <c r="E3207" s="10"/>
      <c r="F3207" s="69"/>
      <c r="G3207" s="68"/>
      <c r="H3207" s="70"/>
      <c r="BA3207" s="4"/>
      <c r="BB3207" s="4"/>
    </row>
    <row r="3208" spans="1:54" x14ac:dyDescent="0.3">
      <c r="A3208" s="66"/>
      <c r="B3208" s="67"/>
      <c r="C3208" s="66"/>
      <c r="D3208" s="68"/>
      <c r="E3208" s="10"/>
      <c r="F3208" s="69"/>
      <c r="G3208" s="68"/>
      <c r="H3208" s="70"/>
      <c r="BA3208" s="4"/>
      <c r="BB3208" s="4"/>
    </row>
    <row r="3209" spans="1:54" x14ac:dyDescent="0.3">
      <c r="A3209" s="66"/>
      <c r="B3209" s="67"/>
      <c r="C3209" s="66"/>
      <c r="D3209" s="68"/>
      <c r="E3209" s="10"/>
      <c r="F3209" s="69"/>
      <c r="G3209" s="68"/>
      <c r="H3209" s="70"/>
      <c r="BA3209" s="4"/>
      <c r="BB3209" s="4"/>
    </row>
    <row r="3210" spans="1:54" x14ac:dyDescent="0.3">
      <c r="A3210" s="66"/>
      <c r="B3210" s="67"/>
      <c r="C3210" s="66"/>
      <c r="D3210" s="68"/>
      <c r="E3210" s="10"/>
      <c r="F3210" s="69"/>
      <c r="G3210" s="68"/>
      <c r="H3210" s="70"/>
      <c r="BA3210" s="4"/>
      <c r="BB3210" s="4"/>
    </row>
    <row r="3211" spans="1:54" x14ac:dyDescent="0.3">
      <c r="A3211" s="66"/>
      <c r="B3211" s="67"/>
      <c r="C3211" s="66"/>
      <c r="D3211" s="68"/>
      <c r="E3211" s="10"/>
      <c r="F3211" s="69"/>
      <c r="G3211" s="68"/>
      <c r="H3211" s="70"/>
      <c r="BA3211" s="4"/>
      <c r="BB3211" s="4"/>
    </row>
    <row r="3212" spans="1:54" x14ac:dyDescent="0.3">
      <c r="A3212" s="66"/>
      <c r="B3212" s="67"/>
      <c r="C3212" s="66"/>
      <c r="D3212" s="68"/>
      <c r="E3212" s="10"/>
      <c r="F3212" s="69"/>
      <c r="G3212" s="68"/>
      <c r="H3212" s="70"/>
      <c r="BA3212" s="4"/>
      <c r="BB3212" s="4"/>
    </row>
    <row r="3213" spans="1:54" x14ac:dyDescent="0.3">
      <c r="A3213" s="66"/>
      <c r="B3213" s="67"/>
      <c r="C3213" s="66"/>
      <c r="D3213" s="68"/>
      <c r="E3213" s="10"/>
      <c r="F3213" s="69"/>
      <c r="G3213" s="68"/>
      <c r="H3213" s="70"/>
      <c r="BA3213" s="4"/>
      <c r="BB3213" s="4"/>
    </row>
    <row r="3214" spans="1:54" x14ac:dyDescent="0.3">
      <c r="A3214" s="66"/>
      <c r="B3214" s="67"/>
      <c r="C3214" s="66"/>
      <c r="D3214" s="68"/>
      <c r="E3214" s="10"/>
      <c r="F3214" s="69"/>
      <c r="G3214" s="68"/>
      <c r="H3214" s="70"/>
      <c r="BA3214" s="4"/>
      <c r="BB3214" s="4"/>
    </row>
    <row r="3215" spans="1:54" x14ac:dyDescent="0.3">
      <c r="A3215" s="66"/>
      <c r="B3215" s="67"/>
      <c r="C3215" s="66"/>
      <c r="D3215" s="68"/>
      <c r="E3215" s="10"/>
      <c r="F3215" s="69"/>
      <c r="G3215" s="68"/>
      <c r="H3215" s="70"/>
      <c r="BA3215" s="4"/>
      <c r="BB3215" s="4"/>
    </row>
    <row r="3216" spans="1:54" x14ac:dyDescent="0.3">
      <c r="A3216" s="66"/>
      <c r="B3216" s="67"/>
      <c r="C3216" s="66"/>
      <c r="D3216" s="68"/>
      <c r="E3216" s="10"/>
      <c r="F3216" s="69"/>
      <c r="G3216" s="68"/>
      <c r="H3216" s="70"/>
      <c r="BA3216" s="4"/>
      <c r="BB3216" s="4"/>
    </row>
    <row r="3217" spans="1:54" x14ac:dyDescent="0.3">
      <c r="A3217" s="66"/>
      <c r="B3217" s="67"/>
      <c r="C3217" s="66"/>
      <c r="D3217" s="68"/>
      <c r="E3217" s="10"/>
      <c r="F3217" s="69"/>
      <c r="G3217" s="68"/>
      <c r="H3217" s="70"/>
      <c r="BA3217" s="4"/>
      <c r="BB3217" s="4"/>
    </row>
    <row r="3218" spans="1:54" x14ac:dyDescent="0.3">
      <c r="A3218" s="66"/>
      <c r="B3218" s="67"/>
      <c r="C3218" s="66"/>
      <c r="D3218" s="68"/>
      <c r="E3218" s="10"/>
      <c r="F3218" s="69"/>
      <c r="G3218" s="68"/>
      <c r="H3218" s="70"/>
      <c r="BA3218" s="4"/>
      <c r="BB3218" s="4"/>
    </row>
    <row r="3219" spans="1:54" x14ac:dyDescent="0.3">
      <c r="A3219" s="66"/>
      <c r="B3219" s="67"/>
      <c r="C3219" s="66"/>
      <c r="D3219" s="68"/>
      <c r="E3219" s="10"/>
      <c r="F3219" s="69"/>
      <c r="G3219" s="68"/>
      <c r="H3219" s="70"/>
      <c r="BA3219" s="4"/>
      <c r="BB3219" s="4"/>
    </row>
    <row r="3220" spans="1:54" x14ac:dyDescent="0.3">
      <c r="A3220" s="66"/>
      <c r="B3220" s="67"/>
      <c r="C3220" s="66"/>
      <c r="D3220" s="68"/>
      <c r="E3220" s="10"/>
      <c r="F3220" s="69"/>
      <c r="G3220" s="68"/>
      <c r="H3220" s="70"/>
      <c r="BA3220" s="4"/>
      <c r="BB3220" s="4"/>
    </row>
    <row r="3221" spans="1:54" x14ac:dyDescent="0.3">
      <c r="A3221" s="66"/>
      <c r="B3221" s="67"/>
      <c r="C3221" s="66"/>
      <c r="D3221" s="68"/>
      <c r="E3221" s="10"/>
      <c r="F3221" s="69"/>
      <c r="G3221" s="68"/>
      <c r="H3221" s="70"/>
      <c r="BA3221" s="4"/>
      <c r="BB3221" s="4"/>
    </row>
    <row r="3222" spans="1:54" x14ac:dyDescent="0.3">
      <c r="A3222" s="66"/>
      <c r="B3222" s="67"/>
      <c r="C3222" s="66"/>
      <c r="D3222" s="68"/>
      <c r="E3222" s="10"/>
      <c r="F3222" s="69"/>
      <c r="G3222" s="68"/>
      <c r="H3222" s="70"/>
      <c r="BA3222" s="4"/>
      <c r="BB3222" s="4"/>
    </row>
    <row r="3223" spans="1:54" x14ac:dyDescent="0.3">
      <c r="A3223" s="66"/>
      <c r="B3223" s="67"/>
      <c r="C3223" s="66"/>
      <c r="D3223" s="68"/>
      <c r="E3223" s="10"/>
      <c r="F3223" s="69"/>
      <c r="G3223" s="68"/>
      <c r="H3223" s="70"/>
      <c r="BA3223" s="4"/>
      <c r="BB3223" s="4"/>
    </row>
    <row r="3224" spans="1:54" x14ac:dyDescent="0.3">
      <c r="A3224" s="66"/>
      <c r="B3224" s="67"/>
      <c r="C3224" s="66"/>
      <c r="D3224" s="68"/>
      <c r="E3224" s="10"/>
      <c r="F3224" s="69"/>
      <c r="G3224" s="68"/>
      <c r="H3224" s="70"/>
      <c r="BA3224" s="4"/>
      <c r="BB3224" s="4"/>
    </row>
    <row r="3225" spans="1:54" x14ac:dyDescent="0.3">
      <c r="A3225" s="66"/>
      <c r="B3225" s="67"/>
      <c r="C3225" s="66"/>
      <c r="D3225" s="68"/>
      <c r="E3225" s="10"/>
      <c r="F3225" s="69"/>
      <c r="G3225" s="68"/>
      <c r="H3225" s="70"/>
      <c r="BA3225" s="4"/>
      <c r="BB3225" s="4"/>
    </row>
    <row r="3226" spans="1:54" x14ac:dyDescent="0.3">
      <c r="A3226" s="66"/>
      <c r="B3226" s="67"/>
      <c r="C3226" s="66"/>
      <c r="D3226" s="68"/>
      <c r="E3226" s="10"/>
      <c r="F3226" s="69"/>
      <c r="G3226" s="68"/>
      <c r="H3226" s="70"/>
      <c r="BA3226" s="4"/>
      <c r="BB3226" s="4"/>
    </row>
    <row r="3227" spans="1:54" x14ac:dyDescent="0.3">
      <c r="A3227" s="66"/>
      <c r="B3227" s="67"/>
      <c r="C3227" s="66"/>
      <c r="D3227" s="68"/>
      <c r="E3227" s="10"/>
      <c r="F3227" s="69"/>
      <c r="G3227" s="68"/>
      <c r="H3227" s="70"/>
      <c r="BA3227" s="4"/>
      <c r="BB3227" s="4"/>
    </row>
    <row r="3228" spans="1:54" x14ac:dyDescent="0.3">
      <c r="A3228" s="66"/>
      <c r="B3228" s="67"/>
      <c r="C3228" s="66"/>
      <c r="D3228" s="68"/>
      <c r="E3228" s="10"/>
      <c r="F3228" s="69"/>
      <c r="G3228" s="68"/>
      <c r="H3228" s="70"/>
      <c r="BA3228" s="4"/>
      <c r="BB3228" s="4"/>
    </row>
    <row r="3229" spans="1:54" x14ac:dyDescent="0.3">
      <c r="A3229" s="66"/>
      <c r="B3229" s="67"/>
      <c r="C3229" s="66"/>
      <c r="D3229" s="68"/>
      <c r="E3229" s="10"/>
      <c r="F3229" s="69"/>
      <c r="G3229" s="68"/>
      <c r="H3229" s="70"/>
      <c r="BA3229" s="4"/>
      <c r="BB3229" s="4"/>
    </row>
    <row r="3230" spans="1:54" x14ac:dyDescent="0.3">
      <c r="A3230" s="66"/>
      <c r="B3230" s="67"/>
      <c r="C3230" s="66"/>
      <c r="D3230" s="68"/>
      <c r="E3230" s="10"/>
      <c r="F3230" s="69"/>
      <c r="G3230" s="68"/>
      <c r="H3230" s="70"/>
      <c r="BA3230" s="4"/>
      <c r="BB3230" s="4"/>
    </row>
    <row r="3231" spans="1:54" x14ac:dyDescent="0.3">
      <c r="A3231" s="66"/>
      <c r="B3231" s="67"/>
      <c r="C3231" s="66"/>
      <c r="D3231" s="68"/>
      <c r="E3231" s="10"/>
      <c r="F3231" s="69"/>
      <c r="G3231" s="68"/>
      <c r="H3231" s="70"/>
      <c r="BA3231" s="4"/>
      <c r="BB3231" s="4"/>
    </row>
    <row r="3232" spans="1:54" x14ac:dyDescent="0.3">
      <c r="A3232" s="66"/>
      <c r="B3232" s="67"/>
      <c r="C3232" s="66"/>
      <c r="D3232" s="68"/>
      <c r="E3232" s="10"/>
      <c r="F3232" s="69"/>
      <c r="G3232" s="68"/>
      <c r="H3232" s="70"/>
      <c r="BA3232" s="4"/>
      <c r="BB3232" s="4"/>
    </row>
    <row r="3233" spans="1:54" x14ac:dyDescent="0.3">
      <c r="A3233" s="66"/>
      <c r="B3233" s="67"/>
      <c r="C3233" s="66"/>
      <c r="D3233" s="68"/>
      <c r="E3233" s="10"/>
      <c r="F3233" s="69"/>
      <c r="G3233" s="68"/>
      <c r="H3233" s="70"/>
      <c r="BA3233" s="4"/>
      <c r="BB3233" s="4"/>
    </row>
    <row r="3234" spans="1:54" x14ac:dyDescent="0.3">
      <c r="A3234" s="66"/>
      <c r="B3234" s="67"/>
      <c r="C3234" s="66"/>
      <c r="D3234" s="68"/>
      <c r="E3234" s="10"/>
      <c r="F3234" s="69"/>
      <c r="G3234" s="68"/>
      <c r="H3234" s="70"/>
      <c r="BA3234" s="4"/>
      <c r="BB3234" s="4"/>
    </row>
    <row r="3235" spans="1:54" x14ac:dyDescent="0.3">
      <c r="A3235" s="66"/>
      <c r="B3235" s="67"/>
      <c r="C3235" s="66"/>
      <c r="D3235" s="68"/>
      <c r="E3235" s="10"/>
      <c r="F3235" s="69"/>
      <c r="G3235" s="68"/>
      <c r="H3235" s="70"/>
      <c r="BA3235" s="4"/>
      <c r="BB3235" s="4"/>
    </row>
    <row r="3236" spans="1:54" x14ac:dyDescent="0.3">
      <c r="A3236" s="66"/>
      <c r="B3236" s="67"/>
      <c r="C3236" s="66"/>
      <c r="D3236" s="68"/>
      <c r="E3236" s="10"/>
      <c r="F3236" s="69"/>
      <c r="G3236" s="68"/>
      <c r="H3236" s="70"/>
      <c r="BA3236" s="4"/>
      <c r="BB3236" s="4"/>
    </row>
    <row r="3237" spans="1:54" x14ac:dyDescent="0.3">
      <c r="A3237" s="66"/>
      <c r="B3237" s="67"/>
      <c r="C3237" s="66"/>
      <c r="D3237" s="68"/>
      <c r="E3237" s="10"/>
      <c r="F3237" s="69"/>
      <c r="G3237" s="68"/>
      <c r="H3237" s="70"/>
      <c r="BA3237" s="4"/>
      <c r="BB3237" s="4"/>
    </row>
    <row r="3238" spans="1:54" x14ac:dyDescent="0.3">
      <c r="A3238" s="66"/>
      <c r="B3238" s="67"/>
      <c r="C3238" s="66"/>
      <c r="D3238" s="68"/>
      <c r="E3238" s="10"/>
      <c r="F3238" s="69"/>
      <c r="G3238" s="68"/>
      <c r="H3238" s="70"/>
      <c r="BA3238" s="4"/>
      <c r="BB3238" s="4"/>
    </row>
    <row r="3239" spans="1:54" x14ac:dyDescent="0.3">
      <c r="A3239" s="66"/>
      <c r="B3239" s="67"/>
      <c r="C3239" s="66"/>
      <c r="D3239" s="68"/>
      <c r="E3239" s="10"/>
      <c r="F3239" s="69"/>
      <c r="G3239" s="68"/>
      <c r="H3239" s="70"/>
      <c r="BA3239" s="4"/>
      <c r="BB3239" s="4"/>
    </row>
    <row r="3240" spans="1:54" x14ac:dyDescent="0.3">
      <c r="A3240" s="66"/>
      <c r="B3240" s="67"/>
      <c r="C3240" s="66"/>
      <c r="D3240" s="68"/>
      <c r="E3240" s="10"/>
      <c r="F3240" s="69"/>
      <c r="G3240" s="68"/>
      <c r="H3240" s="70"/>
      <c r="BA3240" s="4"/>
      <c r="BB3240" s="4"/>
    </row>
    <row r="3241" spans="1:54" x14ac:dyDescent="0.3">
      <c r="A3241" s="66"/>
      <c r="B3241" s="67"/>
      <c r="C3241" s="66"/>
      <c r="D3241" s="68"/>
      <c r="E3241" s="10"/>
      <c r="F3241" s="69"/>
      <c r="G3241" s="68"/>
      <c r="H3241" s="70"/>
      <c r="BA3241" s="4"/>
      <c r="BB3241" s="4"/>
    </row>
    <row r="3242" spans="1:54" x14ac:dyDescent="0.3">
      <c r="A3242" s="66"/>
      <c r="B3242" s="67"/>
      <c r="C3242" s="66"/>
      <c r="D3242" s="68"/>
      <c r="E3242" s="10"/>
      <c r="F3242" s="69"/>
      <c r="G3242" s="68"/>
      <c r="H3242" s="70"/>
      <c r="BA3242" s="4"/>
      <c r="BB3242" s="4"/>
    </row>
    <row r="3243" spans="1:54" x14ac:dyDescent="0.3">
      <c r="A3243" s="66"/>
      <c r="B3243" s="67"/>
      <c r="C3243" s="66"/>
      <c r="D3243" s="68"/>
      <c r="E3243" s="10"/>
      <c r="F3243" s="69"/>
      <c r="G3243" s="68"/>
      <c r="H3243" s="70"/>
      <c r="BA3243" s="4"/>
      <c r="BB3243" s="4"/>
    </row>
    <row r="3244" spans="1:54" x14ac:dyDescent="0.3">
      <c r="A3244" s="66"/>
      <c r="B3244" s="67"/>
      <c r="C3244" s="66"/>
      <c r="D3244" s="68"/>
      <c r="E3244" s="10"/>
      <c r="F3244" s="69"/>
      <c r="G3244" s="68"/>
      <c r="H3244" s="70"/>
      <c r="BA3244" s="4"/>
      <c r="BB3244" s="4"/>
    </row>
    <row r="3245" spans="1:54" x14ac:dyDescent="0.3">
      <c r="A3245" s="66"/>
      <c r="B3245" s="67"/>
      <c r="C3245" s="66"/>
      <c r="D3245" s="68"/>
      <c r="E3245" s="10"/>
      <c r="F3245" s="69"/>
      <c r="G3245" s="68"/>
      <c r="H3245" s="70"/>
      <c r="BA3245" s="4"/>
      <c r="BB3245" s="4"/>
    </row>
    <row r="3246" spans="1:54" x14ac:dyDescent="0.3">
      <c r="A3246" s="66"/>
      <c r="B3246" s="67"/>
      <c r="C3246" s="66"/>
      <c r="D3246" s="68"/>
      <c r="E3246" s="10"/>
      <c r="F3246" s="69"/>
      <c r="G3246" s="68"/>
      <c r="H3246" s="70"/>
      <c r="BA3246" s="4"/>
      <c r="BB3246" s="4"/>
    </row>
    <row r="3247" spans="1:54" x14ac:dyDescent="0.3">
      <c r="A3247" s="66"/>
      <c r="B3247" s="67"/>
      <c r="C3247" s="66"/>
      <c r="D3247" s="68"/>
      <c r="E3247" s="10"/>
      <c r="F3247" s="69"/>
      <c r="G3247" s="68"/>
      <c r="H3247" s="70"/>
      <c r="BA3247" s="4"/>
      <c r="BB3247" s="4"/>
    </row>
    <row r="3248" spans="1:54" x14ac:dyDescent="0.3">
      <c r="A3248" s="66"/>
      <c r="B3248" s="67"/>
      <c r="C3248" s="66"/>
      <c r="D3248" s="68"/>
      <c r="E3248" s="10"/>
      <c r="F3248" s="69"/>
      <c r="G3248" s="68"/>
      <c r="H3248" s="70"/>
      <c r="BA3248" s="4"/>
      <c r="BB3248" s="4"/>
    </row>
    <row r="3249" spans="1:54" x14ac:dyDescent="0.3">
      <c r="A3249" s="66"/>
      <c r="B3249" s="67"/>
      <c r="C3249" s="66"/>
      <c r="D3249" s="68"/>
      <c r="E3249" s="10"/>
      <c r="F3249" s="69"/>
      <c r="G3249" s="68"/>
      <c r="H3249" s="70"/>
      <c r="BA3249" s="4"/>
      <c r="BB3249" s="4"/>
    </row>
    <row r="3250" spans="1:54" x14ac:dyDescent="0.3">
      <c r="A3250" s="66"/>
      <c r="B3250" s="67"/>
      <c r="C3250" s="66"/>
      <c r="D3250" s="68"/>
      <c r="E3250" s="10"/>
      <c r="F3250" s="69"/>
      <c r="G3250" s="68"/>
      <c r="H3250" s="70"/>
      <c r="BA3250" s="4"/>
      <c r="BB3250" s="4"/>
    </row>
    <row r="3251" spans="1:54" x14ac:dyDescent="0.3">
      <c r="A3251" s="66"/>
      <c r="B3251" s="67"/>
      <c r="C3251" s="66"/>
      <c r="D3251" s="68"/>
      <c r="E3251" s="10"/>
      <c r="F3251" s="69"/>
      <c r="G3251" s="68"/>
      <c r="H3251" s="70"/>
      <c r="BA3251" s="4"/>
      <c r="BB3251" s="4"/>
    </row>
    <row r="3252" spans="1:54" x14ac:dyDescent="0.3">
      <c r="A3252" s="66"/>
      <c r="B3252" s="67"/>
      <c r="C3252" s="66"/>
      <c r="D3252" s="68"/>
      <c r="E3252" s="10"/>
      <c r="F3252" s="69"/>
      <c r="G3252" s="68"/>
      <c r="H3252" s="70"/>
      <c r="BA3252" s="4"/>
      <c r="BB3252" s="4"/>
    </row>
    <row r="3253" spans="1:54" x14ac:dyDescent="0.3">
      <c r="A3253" s="66"/>
      <c r="B3253" s="67"/>
      <c r="C3253" s="66"/>
      <c r="D3253" s="68"/>
      <c r="E3253" s="10"/>
      <c r="F3253" s="69"/>
      <c r="G3253" s="68"/>
      <c r="H3253" s="70"/>
      <c r="BA3253" s="4"/>
      <c r="BB3253" s="4"/>
    </row>
    <row r="3254" spans="1:54" x14ac:dyDescent="0.3">
      <c r="A3254" s="66"/>
      <c r="B3254" s="67"/>
      <c r="C3254" s="66"/>
      <c r="D3254" s="68"/>
      <c r="E3254" s="10"/>
      <c r="F3254" s="69"/>
      <c r="G3254" s="68"/>
      <c r="H3254" s="70"/>
      <c r="BA3254" s="4"/>
      <c r="BB3254" s="4"/>
    </row>
    <row r="3255" spans="1:54" x14ac:dyDescent="0.3">
      <c r="A3255" s="66"/>
      <c r="B3255" s="67"/>
      <c r="C3255" s="66"/>
      <c r="D3255" s="68"/>
      <c r="E3255" s="10"/>
      <c r="F3255" s="69"/>
      <c r="G3255" s="68"/>
      <c r="H3255" s="70"/>
      <c r="BA3255" s="4"/>
      <c r="BB3255" s="4"/>
    </row>
    <row r="3256" spans="1:54" x14ac:dyDescent="0.3">
      <c r="A3256" s="66"/>
      <c r="B3256" s="67"/>
      <c r="C3256" s="66"/>
      <c r="D3256" s="68"/>
      <c r="E3256" s="10"/>
      <c r="F3256" s="69"/>
      <c r="G3256" s="68"/>
      <c r="H3256" s="70"/>
      <c r="BA3256" s="4"/>
      <c r="BB3256" s="4"/>
    </row>
    <row r="3257" spans="1:54" x14ac:dyDescent="0.3">
      <c r="A3257" s="66"/>
      <c r="B3257" s="67"/>
      <c r="C3257" s="66"/>
      <c r="D3257" s="68"/>
      <c r="E3257" s="10"/>
      <c r="F3257" s="69"/>
      <c r="G3257" s="68"/>
      <c r="H3257" s="70"/>
      <c r="BA3257" s="4"/>
      <c r="BB3257" s="4"/>
    </row>
    <row r="3258" spans="1:54" x14ac:dyDescent="0.3">
      <c r="A3258" s="66"/>
      <c r="B3258" s="67"/>
      <c r="C3258" s="66"/>
      <c r="D3258" s="68"/>
      <c r="E3258" s="10"/>
      <c r="F3258" s="69"/>
      <c r="G3258" s="68"/>
      <c r="H3258" s="70"/>
      <c r="BA3258" s="4"/>
      <c r="BB3258" s="4"/>
    </row>
    <row r="3259" spans="1:54" x14ac:dyDescent="0.3">
      <c r="A3259" s="66"/>
      <c r="B3259" s="67"/>
      <c r="C3259" s="66"/>
      <c r="D3259" s="68"/>
      <c r="E3259" s="10"/>
      <c r="F3259" s="69"/>
      <c r="G3259" s="68"/>
      <c r="H3259" s="70"/>
      <c r="BA3259" s="4"/>
      <c r="BB3259" s="4"/>
    </row>
    <row r="3260" spans="1:54" x14ac:dyDescent="0.3">
      <c r="A3260" s="66"/>
      <c r="B3260" s="67"/>
      <c r="C3260" s="66"/>
      <c r="D3260" s="68"/>
      <c r="E3260" s="10"/>
      <c r="F3260" s="69"/>
      <c r="G3260" s="68"/>
      <c r="H3260" s="70"/>
      <c r="BA3260" s="4"/>
      <c r="BB3260" s="4"/>
    </row>
    <row r="3261" spans="1:54" x14ac:dyDescent="0.3">
      <c r="A3261" s="66"/>
      <c r="B3261" s="67"/>
      <c r="C3261" s="66"/>
      <c r="D3261" s="68"/>
      <c r="E3261" s="10"/>
      <c r="F3261" s="69"/>
      <c r="G3261" s="68"/>
      <c r="H3261" s="70"/>
      <c r="BA3261" s="4"/>
      <c r="BB3261" s="4"/>
    </row>
    <row r="3262" spans="1:54" x14ac:dyDescent="0.3">
      <c r="A3262" s="66"/>
      <c r="B3262" s="67"/>
      <c r="C3262" s="66"/>
      <c r="D3262" s="68"/>
      <c r="E3262" s="10"/>
      <c r="F3262" s="69"/>
      <c r="G3262" s="68"/>
      <c r="H3262" s="70"/>
      <c r="BA3262" s="4"/>
      <c r="BB3262" s="4"/>
    </row>
    <row r="3263" spans="1:54" x14ac:dyDescent="0.3">
      <c r="A3263" s="66"/>
      <c r="B3263" s="67"/>
      <c r="C3263" s="66"/>
      <c r="D3263" s="68"/>
      <c r="E3263" s="10"/>
      <c r="F3263" s="69"/>
      <c r="G3263" s="68"/>
      <c r="H3263" s="70"/>
      <c r="BA3263" s="4"/>
      <c r="BB3263" s="4"/>
    </row>
    <row r="3264" spans="1:54" x14ac:dyDescent="0.3">
      <c r="A3264" s="66"/>
      <c r="B3264" s="67"/>
      <c r="C3264" s="66"/>
      <c r="D3264" s="68"/>
      <c r="E3264" s="10"/>
      <c r="F3264" s="69"/>
      <c r="G3264" s="68"/>
      <c r="H3264" s="70"/>
      <c r="BA3264" s="4"/>
      <c r="BB3264" s="4"/>
    </row>
    <row r="3265" spans="1:54" x14ac:dyDescent="0.3">
      <c r="A3265" s="66"/>
      <c r="B3265" s="67"/>
      <c r="C3265" s="66"/>
      <c r="D3265" s="68"/>
      <c r="E3265" s="10"/>
      <c r="F3265" s="69"/>
      <c r="G3265" s="68"/>
      <c r="H3265" s="70"/>
      <c r="BA3265" s="4"/>
      <c r="BB3265" s="4"/>
    </row>
    <row r="3266" spans="1:54" x14ac:dyDescent="0.3">
      <c r="A3266" s="66"/>
      <c r="B3266" s="67"/>
      <c r="C3266" s="66"/>
      <c r="D3266" s="68"/>
      <c r="E3266" s="10"/>
      <c r="F3266" s="69"/>
      <c r="G3266" s="68"/>
      <c r="H3266" s="70"/>
      <c r="BA3266" s="4"/>
      <c r="BB3266" s="4"/>
    </row>
    <row r="3267" spans="1:54" x14ac:dyDescent="0.3">
      <c r="A3267" s="66"/>
      <c r="B3267" s="67"/>
      <c r="C3267" s="66"/>
      <c r="D3267" s="68"/>
      <c r="E3267" s="10"/>
      <c r="F3267" s="69"/>
      <c r="G3267" s="68"/>
      <c r="H3267" s="70"/>
      <c r="BA3267" s="4"/>
      <c r="BB3267" s="4"/>
    </row>
    <row r="3268" spans="1:54" x14ac:dyDescent="0.3">
      <c r="A3268" s="66"/>
      <c r="B3268" s="67"/>
      <c r="C3268" s="66"/>
      <c r="D3268" s="68"/>
      <c r="E3268" s="10"/>
      <c r="F3268" s="69"/>
      <c r="G3268" s="68"/>
      <c r="H3268" s="70"/>
      <c r="BA3268" s="4"/>
      <c r="BB3268" s="4"/>
    </row>
    <row r="3269" spans="1:54" x14ac:dyDescent="0.3">
      <c r="A3269" s="66"/>
      <c r="B3269" s="67"/>
      <c r="C3269" s="66"/>
      <c r="D3269" s="68"/>
      <c r="E3269" s="10"/>
      <c r="F3269" s="69"/>
      <c r="G3269" s="68"/>
      <c r="H3269" s="70"/>
      <c r="BA3269" s="4"/>
      <c r="BB3269" s="4"/>
    </row>
    <row r="3270" spans="1:54" x14ac:dyDescent="0.3">
      <c r="A3270" s="66"/>
      <c r="B3270" s="67"/>
      <c r="C3270" s="66"/>
      <c r="D3270" s="68"/>
      <c r="E3270" s="10"/>
      <c r="F3270" s="69"/>
      <c r="G3270" s="68"/>
      <c r="H3270" s="70"/>
      <c r="BA3270" s="4"/>
      <c r="BB3270" s="4"/>
    </row>
    <row r="3271" spans="1:54" x14ac:dyDescent="0.3">
      <c r="A3271" s="66"/>
      <c r="B3271" s="67"/>
      <c r="C3271" s="66"/>
      <c r="D3271" s="68"/>
      <c r="E3271" s="10"/>
      <c r="F3271" s="69"/>
      <c r="G3271" s="68"/>
      <c r="H3271" s="70"/>
      <c r="BA3271" s="4"/>
      <c r="BB3271" s="4"/>
    </row>
    <row r="3272" spans="1:54" x14ac:dyDescent="0.3">
      <c r="A3272" s="66"/>
      <c r="B3272" s="67"/>
      <c r="C3272" s="66"/>
      <c r="D3272" s="68"/>
      <c r="E3272" s="10"/>
      <c r="F3272" s="69"/>
      <c r="G3272" s="68"/>
      <c r="H3272" s="70"/>
      <c r="BA3272" s="4"/>
      <c r="BB3272" s="4"/>
    </row>
    <row r="3273" spans="1:54" x14ac:dyDescent="0.3">
      <c r="A3273" s="66"/>
      <c r="B3273" s="67"/>
      <c r="C3273" s="66"/>
      <c r="D3273" s="68"/>
      <c r="E3273" s="10"/>
      <c r="F3273" s="69"/>
      <c r="G3273" s="68"/>
      <c r="H3273" s="70"/>
      <c r="BA3273" s="4"/>
      <c r="BB3273" s="4"/>
    </row>
    <row r="3274" spans="1:54" x14ac:dyDescent="0.3">
      <c r="A3274" s="66"/>
      <c r="B3274" s="67"/>
      <c r="C3274" s="66"/>
      <c r="D3274" s="68"/>
      <c r="E3274" s="10"/>
      <c r="F3274" s="69"/>
      <c r="G3274" s="68"/>
      <c r="H3274" s="70"/>
      <c r="BA3274" s="4"/>
      <c r="BB3274" s="4"/>
    </row>
    <row r="3275" spans="1:54" x14ac:dyDescent="0.3">
      <c r="A3275" s="66"/>
      <c r="B3275" s="67"/>
      <c r="C3275" s="66"/>
      <c r="D3275" s="68"/>
      <c r="E3275" s="10"/>
      <c r="F3275" s="69"/>
      <c r="G3275" s="68"/>
      <c r="H3275" s="70"/>
      <c r="BA3275" s="4"/>
      <c r="BB3275" s="4"/>
    </row>
    <row r="3276" spans="1:54" x14ac:dyDescent="0.3">
      <c r="A3276" s="66"/>
      <c r="B3276" s="67"/>
      <c r="C3276" s="66"/>
      <c r="D3276" s="68"/>
      <c r="E3276" s="10"/>
      <c r="F3276" s="69"/>
      <c r="G3276" s="68"/>
      <c r="H3276" s="70"/>
      <c r="BA3276" s="4"/>
      <c r="BB3276" s="4"/>
    </row>
    <row r="3277" spans="1:54" x14ac:dyDescent="0.3">
      <c r="A3277" s="66"/>
      <c r="B3277" s="67"/>
      <c r="C3277" s="66"/>
      <c r="D3277" s="68"/>
      <c r="E3277" s="10"/>
      <c r="F3277" s="69"/>
      <c r="G3277" s="68"/>
      <c r="H3277" s="70"/>
      <c r="BA3277" s="4"/>
      <c r="BB3277" s="4"/>
    </row>
    <row r="3278" spans="1:54" x14ac:dyDescent="0.3">
      <c r="A3278" s="66"/>
      <c r="B3278" s="67"/>
      <c r="C3278" s="66"/>
      <c r="D3278" s="68"/>
      <c r="E3278" s="10"/>
      <c r="F3278" s="69"/>
      <c r="G3278" s="68"/>
      <c r="H3278" s="70"/>
      <c r="BA3278" s="4"/>
      <c r="BB3278" s="4"/>
    </row>
    <row r="3279" spans="1:54" x14ac:dyDescent="0.3">
      <c r="A3279" s="66"/>
      <c r="B3279" s="67"/>
      <c r="C3279" s="66"/>
      <c r="D3279" s="68"/>
      <c r="E3279" s="10"/>
      <c r="F3279" s="69"/>
      <c r="G3279" s="68"/>
      <c r="H3279" s="70"/>
      <c r="BA3279" s="4"/>
      <c r="BB3279" s="4"/>
    </row>
    <row r="3280" spans="1:54" x14ac:dyDescent="0.3">
      <c r="A3280" s="66"/>
      <c r="B3280" s="67"/>
      <c r="C3280" s="66"/>
      <c r="D3280" s="68"/>
      <c r="E3280" s="10"/>
      <c r="F3280" s="69"/>
      <c r="G3280" s="68"/>
      <c r="H3280" s="70"/>
      <c r="BA3280" s="4"/>
      <c r="BB3280" s="4"/>
    </row>
    <row r="3281" spans="1:54" x14ac:dyDescent="0.3">
      <c r="A3281" s="66"/>
      <c r="B3281" s="67"/>
      <c r="C3281" s="66"/>
      <c r="D3281" s="68"/>
      <c r="E3281" s="10"/>
      <c r="F3281" s="69"/>
      <c r="G3281" s="68"/>
      <c r="H3281" s="70"/>
      <c r="BA3281" s="4"/>
      <c r="BB3281" s="4"/>
    </row>
    <row r="3282" spans="1:54" x14ac:dyDescent="0.3">
      <c r="A3282" s="66"/>
      <c r="B3282" s="67"/>
      <c r="C3282" s="66"/>
      <c r="D3282" s="68"/>
      <c r="E3282" s="10"/>
      <c r="F3282" s="69"/>
      <c r="G3282" s="68"/>
      <c r="H3282" s="70"/>
      <c r="BA3282" s="4"/>
      <c r="BB3282" s="4"/>
    </row>
    <row r="3283" spans="1:54" x14ac:dyDescent="0.3">
      <c r="A3283" s="66"/>
      <c r="B3283" s="67"/>
      <c r="C3283" s="66"/>
      <c r="D3283" s="68"/>
      <c r="E3283" s="10"/>
      <c r="F3283" s="69"/>
      <c r="G3283" s="68"/>
      <c r="H3283" s="70"/>
      <c r="BA3283" s="4"/>
      <c r="BB3283" s="4"/>
    </row>
    <row r="3284" spans="1:54" x14ac:dyDescent="0.3">
      <c r="A3284" s="66"/>
      <c r="B3284" s="67"/>
      <c r="C3284" s="66"/>
      <c r="D3284" s="68"/>
      <c r="E3284" s="10"/>
      <c r="F3284" s="69"/>
      <c r="G3284" s="68"/>
      <c r="H3284" s="70"/>
      <c r="BA3284" s="4"/>
      <c r="BB3284" s="4"/>
    </row>
    <row r="3285" spans="1:54" x14ac:dyDescent="0.3">
      <c r="A3285" s="66"/>
      <c r="B3285" s="67"/>
      <c r="C3285" s="66"/>
      <c r="D3285" s="68"/>
      <c r="E3285" s="10"/>
      <c r="F3285" s="69"/>
      <c r="G3285" s="68"/>
      <c r="H3285" s="70"/>
      <c r="BA3285" s="4"/>
      <c r="BB3285" s="4"/>
    </row>
    <row r="3286" spans="1:54" x14ac:dyDescent="0.3">
      <c r="A3286" s="66"/>
      <c r="B3286" s="67"/>
      <c r="C3286" s="66"/>
      <c r="D3286" s="68"/>
      <c r="E3286" s="10"/>
      <c r="F3286" s="69"/>
      <c r="G3286" s="68"/>
      <c r="H3286" s="70"/>
      <c r="BA3286" s="4"/>
      <c r="BB3286" s="4"/>
    </row>
    <row r="3287" spans="1:54" x14ac:dyDescent="0.3">
      <c r="A3287" s="66"/>
      <c r="B3287" s="67"/>
      <c r="C3287" s="66"/>
      <c r="D3287" s="68"/>
      <c r="E3287" s="10"/>
      <c r="F3287" s="69"/>
      <c r="G3287" s="68"/>
      <c r="H3287" s="70"/>
      <c r="BA3287" s="4"/>
      <c r="BB3287" s="4"/>
    </row>
    <row r="3288" spans="1:54" x14ac:dyDescent="0.3">
      <c r="A3288" s="66"/>
      <c r="B3288" s="67"/>
      <c r="C3288" s="66"/>
      <c r="D3288" s="68"/>
      <c r="E3288" s="10"/>
      <c r="F3288" s="69"/>
      <c r="G3288" s="68"/>
      <c r="H3288" s="70"/>
      <c r="BA3288" s="4"/>
      <c r="BB3288" s="4"/>
    </row>
    <row r="3289" spans="1:54" x14ac:dyDescent="0.3">
      <c r="A3289" s="66"/>
      <c r="B3289" s="67"/>
      <c r="C3289" s="66"/>
      <c r="D3289" s="68"/>
      <c r="E3289" s="10"/>
      <c r="F3289" s="69"/>
      <c r="G3289" s="68"/>
      <c r="H3289" s="70"/>
      <c r="BA3289" s="4"/>
      <c r="BB3289" s="4"/>
    </row>
    <row r="3290" spans="1:54" x14ac:dyDescent="0.3">
      <c r="A3290" s="66"/>
      <c r="B3290" s="67"/>
      <c r="C3290" s="66"/>
      <c r="D3290" s="68"/>
      <c r="E3290" s="10"/>
      <c r="F3290" s="69"/>
      <c r="G3290" s="68"/>
      <c r="H3290" s="70"/>
      <c r="BA3290" s="4"/>
      <c r="BB3290" s="4"/>
    </row>
    <row r="3291" spans="1:54" x14ac:dyDescent="0.3">
      <c r="A3291" s="66"/>
      <c r="B3291" s="67"/>
      <c r="C3291" s="66"/>
      <c r="D3291" s="68"/>
      <c r="E3291" s="10"/>
      <c r="F3291" s="69"/>
      <c r="G3291" s="68"/>
      <c r="H3291" s="70"/>
      <c r="BA3291" s="4"/>
      <c r="BB3291" s="4"/>
    </row>
    <row r="3292" spans="1:54" x14ac:dyDescent="0.3">
      <c r="A3292" s="66"/>
      <c r="B3292" s="67"/>
      <c r="C3292" s="66"/>
      <c r="D3292" s="68"/>
      <c r="E3292" s="10"/>
      <c r="F3292" s="69"/>
      <c r="G3292" s="68"/>
      <c r="H3292" s="70"/>
      <c r="BA3292" s="4"/>
      <c r="BB3292" s="4"/>
    </row>
    <row r="3293" spans="1:54" x14ac:dyDescent="0.3">
      <c r="A3293" s="66"/>
      <c r="B3293" s="67"/>
      <c r="C3293" s="66"/>
      <c r="D3293" s="68"/>
      <c r="E3293" s="10"/>
      <c r="F3293" s="69"/>
      <c r="G3293" s="68"/>
      <c r="H3293" s="70"/>
      <c r="BA3293" s="4"/>
      <c r="BB3293" s="4"/>
    </row>
    <row r="3294" spans="1:54" x14ac:dyDescent="0.3">
      <c r="A3294" s="66"/>
      <c r="B3294" s="67"/>
      <c r="C3294" s="66"/>
      <c r="D3294" s="68"/>
      <c r="E3294" s="10"/>
      <c r="F3294" s="69"/>
      <c r="G3294" s="68"/>
      <c r="H3294" s="70"/>
      <c r="BA3294" s="4"/>
      <c r="BB3294" s="4"/>
    </row>
    <row r="3295" spans="1:54" x14ac:dyDescent="0.3">
      <c r="A3295" s="66"/>
      <c r="B3295" s="67"/>
      <c r="C3295" s="66"/>
      <c r="D3295" s="68"/>
      <c r="E3295" s="10"/>
      <c r="F3295" s="69"/>
      <c r="G3295" s="68"/>
      <c r="H3295" s="70"/>
      <c r="BA3295" s="4"/>
      <c r="BB3295" s="4"/>
    </row>
    <row r="3296" spans="1:54" x14ac:dyDescent="0.3">
      <c r="A3296" s="66"/>
      <c r="B3296" s="67"/>
      <c r="C3296" s="66"/>
      <c r="D3296" s="68"/>
      <c r="E3296" s="10"/>
      <c r="F3296" s="69"/>
      <c r="G3296" s="68"/>
      <c r="H3296" s="70"/>
      <c r="BA3296" s="4"/>
      <c r="BB3296" s="4"/>
    </row>
    <row r="3297" spans="1:54" x14ac:dyDescent="0.3">
      <c r="A3297" s="66"/>
      <c r="B3297" s="67"/>
      <c r="C3297" s="66"/>
      <c r="D3297" s="68"/>
      <c r="E3297" s="10"/>
      <c r="F3297" s="69"/>
      <c r="G3297" s="68"/>
      <c r="H3297" s="70"/>
      <c r="BA3297" s="4"/>
      <c r="BB3297" s="4"/>
    </row>
    <row r="3298" spans="1:54" x14ac:dyDescent="0.3">
      <c r="A3298" s="66"/>
      <c r="B3298" s="67"/>
      <c r="C3298" s="66"/>
      <c r="D3298" s="68"/>
      <c r="E3298" s="10"/>
      <c r="F3298" s="69"/>
      <c r="G3298" s="68"/>
      <c r="H3298" s="70"/>
      <c r="BA3298" s="4"/>
      <c r="BB3298" s="4"/>
    </row>
    <row r="3299" spans="1:54" x14ac:dyDescent="0.3">
      <c r="A3299" s="66"/>
      <c r="B3299" s="67"/>
      <c r="C3299" s="66"/>
      <c r="D3299" s="68"/>
      <c r="E3299" s="10"/>
      <c r="F3299" s="69"/>
      <c r="G3299" s="68"/>
      <c r="H3299" s="70"/>
      <c r="BA3299" s="4"/>
      <c r="BB3299" s="4"/>
    </row>
    <row r="3300" spans="1:54" x14ac:dyDescent="0.3">
      <c r="A3300" s="66"/>
      <c r="B3300" s="67"/>
      <c r="C3300" s="66"/>
      <c r="D3300" s="68"/>
      <c r="E3300" s="10"/>
      <c r="F3300" s="69"/>
      <c r="G3300" s="68"/>
      <c r="H3300" s="70"/>
      <c r="BA3300" s="4"/>
      <c r="BB3300" s="4"/>
    </row>
    <row r="3301" spans="1:54" x14ac:dyDescent="0.3">
      <c r="A3301" s="66"/>
      <c r="B3301" s="67"/>
      <c r="C3301" s="66"/>
      <c r="D3301" s="68"/>
      <c r="E3301" s="10"/>
      <c r="F3301" s="69"/>
      <c r="G3301" s="68"/>
      <c r="H3301" s="70"/>
      <c r="BA3301" s="4"/>
      <c r="BB3301" s="4"/>
    </row>
    <row r="3302" spans="1:54" x14ac:dyDescent="0.3">
      <c r="A3302" s="66"/>
      <c r="B3302" s="67"/>
      <c r="C3302" s="66"/>
      <c r="D3302" s="68"/>
      <c r="E3302" s="10"/>
      <c r="F3302" s="69"/>
      <c r="G3302" s="68"/>
      <c r="H3302" s="70"/>
      <c r="BA3302" s="4"/>
      <c r="BB3302" s="4"/>
    </row>
    <row r="3303" spans="1:54" x14ac:dyDescent="0.3">
      <c r="A3303" s="66"/>
      <c r="B3303" s="67"/>
      <c r="C3303" s="66"/>
      <c r="D3303" s="68"/>
      <c r="E3303" s="10"/>
      <c r="F3303" s="69"/>
      <c r="G3303" s="68"/>
      <c r="H3303" s="70"/>
      <c r="BA3303" s="4"/>
      <c r="BB3303" s="4"/>
    </row>
    <row r="3304" spans="1:54" x14ac:dyDescent="0.3">
      <c r="A3304" s="66"/>
      <c r="B3304" s="67"/>
      <c r="C3304" s="66"/>
      <c r="D3304" s="68"/>
      <c r="E3304" s="10"/>
      <c r="F3304" s="69"/>
      <c r="G3304" s="68"/>
      <c r="H3304" s="70"/>
      <c r="BA3304" s="4"/>
      <c r="BB3304" s="4"/>
    </row>
    <row r="3305" spans="1:54" x14ac:dyDescent="0.3">
      <c r="A3305" s="66"/>
      <c r="B3305" s="67"/>
      <c r="C3305" s="66"/>
      <c r="D3305" s="68"/>
      <c r="E3305" s="10"/>
      <c r="F3305" s="69"/>
      <c r="G3305" s="68"/>
      <c r="H3305" s="70"/>
      <c r="BA3305" s="4"/>
      <c r="BB3305" s="4"/>
    </row>
    <row r="3306" spans="1:54" x14ac:dyDescent="0.3">
      <c r="A3306" s="66"/>
      <c r="B3306" s="67"/>
      <c r="C3306" s="66"/>
      <c r="D3306" s="68"/>
      <c r="E3306" s="10"/>
      <c r="F3306" s="69"/>
      <c r="G3306" s="68"/>
      <c r="H3306" s="70"/>
      <c r="BA3306" s="4"/>
      <c r="BB3306" s="4"/>
    </row>
    <row r="3307" spans="1:54" x14ac:dyDescent="0.3">
      <c r="A3307" s="66"/>
      <c r="B3307" s="67"/>
      <c r="C3307" s="66"/>
      <c r="D3307" s="68"/>
      <c r="E3307" s="10"/>
      <c r="F3307" s="69"/>
      <c r="G3307" s="68"/>
      <c r="H3307" s="70"/>
      <c r="BA3307" s="4"/>
      <c r="BB3307" s="4"/>
    </row>
    <row r="3308" spans="1:54" x14ac:dyDescent="0.3">
      <c r="A3308" s="66"/>
      <c r="B3308" s="67"/>
      <c r="C3308" s="66"/>
      <c r="D3308" s="68"/>
      <c r="E3308" s="10"/>
      <c r="F3308" s="69"/>
      <c r="G3308" s="68"/>
      <c r="H3308" s="70"/>
      <c r="BA3308" s="4"/>
      <c r="BB3308" s="4"/>
    </row>
    <row r="3309" spans="1:54" x14ac:dyDescent="0.3">
      <c r="A3309" s="66"/>
      <c r="B3309" s="67"/>
      <c r="C3309" s="66"/>
      <c r="D3309" s="68"/>
      <c r="E3309" s="10"/>
      <c r="F3309" s="69"/>
      <c r="G3309" s="68"/>
      <c r="H3309" s="70"/>
      <c r="BA3309" s="4"/>
      <c r="BB3309" s="4"/>
    </row>
    <row r="3310" spans="1:54" x14ac:dyDescent="0.3">
      <c r="A3310" s="66"/>
      <c r="B3310" s="67"/>
      <c r="C3310" s="66"/>
      <c r="D3310" s="68"/>
      <c r="E3310" s="10"/>
      <c r="F3310" s="69"/>
      <c r="G3310" s="68"/>
      <c r="H3310" s="70"/>
      <c r="BA3310" s="4"/>
      <c r="BB3310" s="4"/>
    </row>
    <row r="3311" spans="1:54" x14ac:dyDescent="0.3">
      <c r="A3311" s="66"/>
      <c r="B3311" s="67"/>
      <c r="C3311" s="66"/>
      <c r="D3311" s="68"/>
      <c r="E3311" s="10"/>
      <c r="F3311" s="69"/>
      <c r="G3311" s="68"/>
      <c r="H3311" s="70"/>
      <c r="BA3311" s="4"/>
      <c r="BB3311" s="4"/>
    </row>
    <row r="3312" spans="1:54" x14ac:dyDescent="0.3">
      <c r="A3312" s="66"/>
      <c r="B3312" s="67"/>
      <c r="C3312" s="66"/>
      <c r="D3312" s="68"/>
      <c r="E3312" s="10"/>
      <c r="F3312" s="69"/>
      <c r="G3312" s="68"/>
      <c r="H3312" s="70"/>
      <c r="BA3312" s="4"/>
      <c r="BB3312" s="4"/>
    </row>
    <row r="3313" spans="1:54" x14ac:dyDescent="0.3">
      <c r="A3313" s="66"/>
      <c r="B3313" s="67"/>
      <c r="C3313" s="66"/>
      <c r="D3313" s="68"/>
      <c r="E3313" s="10"/>
      <c r="F3313" s="69"/>
      <c r="G3313" s="68"/>
      <c r="H3313" s="70"/>
      <c r="BA3313" s="4"/>
      <c r="BB3313" s="4"/>
    </row>
    <row r="3314" spans="1:54" x14ac:dyDescent="0.3">
      <c r="A3314" s="66"/>
      <c r="B3314" s="67"/>
      <c r="C3314" s="66"/>
      <c r="D3314" s="68"/>
      <c r="E3314" s="10"/>
      <c r="F3314" s="69"/>
      <c r="G3314" s="68"/>
      <c r="H3314" s="70"/>
      <c r="BA3314" s="4"/>
      <c r="BB3314" s="4"/>
    </row>
    <row r="3315" spans="1:54" x14ac:dyDescent="0.3">
      <c r="A3315" s="66"/>
      <c r="B3315" s="67"/>
      <c r="C3315" s="66"/>
      <c r="D3315" s="68"/>
      <c r="E3315" s="10"/>
      <c r="F3315" s="69"/>
      <c r="G3315" s="68"/>
      <c r="H3315" s="70"/>
      <c r="BA3315" s="4"/>
      <c r="BB3315" s="4"/>
    </row>
    <row r="3316" spans="1:54" x14ac:dyDescent="0.3">
      <c r="A3316" s="66"/>
      <c r="B3316" s="67"/>
      <c r="C3316" s="66"/>
      <c r="D3316" s="68"/>
      <c r="E3316" s="10"/>
      <c r="F3316" s="69"/>
      <c r="G3316" s="68"/>
      <c r="H3316" s="70"/>
      <c r="BA3316" s="4"/>
      <c r="BB3316" s="4"/>
    </row>
    <row r="3317" spans="1:54" x14ac:dyDescent="0.3">
      <c r="A3317" s="66"/>
      <c r="B3317" s="67"/>
      <c r="C3317" s="66"/>
      <c r="D3317" s="68"/>
      <c r="E3317" s="10"/>
      <c r="F3317" s="69"/>
      <c r="G3317" s="68"/>
      <c r="H3317" s="70"/>
      <c r="BA3317" s="4"/>
      <c r="BB3317" s="4"/>
    </row>
    <row r="3318" spans="1:54" x14ac:dyDescent="0.3">
      <c r="A3318" s="66"/>
      <c r="B3318" s="67"/>
      <c r="C3318" s="66"/>
      <c r="D3318" s="68"/>
      <c r="E3318" s="10"/>
      <c r="F3318" s="69"/>
      <c r="G3318" s="68"/>
      <c r="H3318" s="70"/>
      <c r="BA3318" s="4"/>
      <c r="BB3318" s="4"/>
    </row>
    <row r="3319" spans="1:54" x14ac:dyDescent="0.3">
      <c r="A3319" s="66"/>
      <c r="B3319" s="67"/>
      <c r="C3319" s="66"/>
      <c r="D3319" s="68"/>
      <c r="E3319" s="10"/>
      <c r="F3319" s="69"/>
      <c r="G3319" s="68"/>
      <c r="H3319" s="70"/>
      <c r="BA3319" s="4"/>
      <c r="BB3319" s="4"/>
    </row>
    <row r="3320" spans="1:54" x14ac:dyDescent="0.3">
      <c r="A3320" s="66"/>
      <c r="B3320" s="67"/>
      <c r="C3320" s="66"/>
      <c r="D3320" s="68"/>
      <c r="E3320" s="10"/>
      <c r="F3320" s="69"/>
      <c r="G3320" s="68"/>
      <c r="H3320" s="70"/>
      <c r="BA3320" s="4"/>
      <c r="BB3320" s="4"/>
    </row>
    <row r="3321" spans="1:54" x14ac:dyDescent="0.3">
      <c r="A3321" s="66"/>
      <c r="B3321" s="67"/>
      <c r="C3321" s="66"/>
      <c r="D3321" s="68"/>
      <c r="E3321" s="10"/>
      <c r="F3321" s="69"/>
      <c r="G3321" s="68"/>
      <c r="H3321" s="70"/>
      <c r="BA3321" s="4"/>
      <c r="BB3321" s="4"/>
    </row>
    <row r="3322" spans="1:54" x14ac:dyDescent="0.3">
      <c r="A3322" s="66"/>
      <c r="B3322" s="67"/>
      <c r="C3322" s="66"/>
      <c r="D3322" s="68"/>
      <c r="E3322" s="10"/>
      <c r="F3322" s="69"/>
      <c r="G3322" s="68"/>
      <c r="H3322" s="70"/>
      <c r="BA3322" s="4"/>
      <c r="BB3322" s="4"/>
    </row>
    <row r="3323" spans="1:54" x14ac:dyDescent="0.3">
      <c r="A3323" s="66"/>
      <c r="B3323" s="67"/>
      <c r="C3323" s="66"/>
      <c r="D3323" s="68"/>
      <c r="E3323" s="10"/>
      <c r="F3323" s="69"/>
      <c r="G3323" s="68"/>
      <c r="H3323" s="70"/>
      <c r="BA3323" s="4"/>
      <c r="BB3323" s="4"/>
    </row>
    <row r="3324" spans="1:54" x14ac:dyDescent="0.3">
      <c r="A3324" s="66"/>
      <c r="B3324" s="67"/>
      <c r="C3324" s="66"/>
      <c r="D3324" s="68"/>
      <c r="E3324" s="10"/>
      <c r="F3324" s="69"/>
      <c r="G3324" s="68"/>
      <c r="H3324" s="70"/>
      <c r="BA3324" s="4"/>
      <c r="BB3324" s="4"/>
    </row>
    <row r="3325" spans="1:54" x14ac:dyDescent="0.3">
      <c r="A3325" s="66"/>
      <c r="B3325" s="67"/>
      <c r="C3325" s="66"/>
      <c r="D3325" s="68"/>
      <c r="E3325" s="10"/>
      <c r="F3325" s="69"/>
      <c r="G3325" s="68"/>
      <c r="H3325" s="70"/>
      <c r="BA3325" s="4"/>
      <c r="BB3325" s="4"/>
    </row>
    <row r="3326" spans="1:54" x14ac:dyDescent="0.3">
      <c r="A3326" s="66"/>
      <c r="B3326" s="67"/>
      <c r="C3326" s="66"/>
      <c r="D3326" s="68"/>
      <c r="E3326" s="10"/>
      <c r="F3326" s="69"/>
      <c r="G3326" s="68"/>
      <c r="H3326" s="70"/>
      <c r="BA3326" s="4"/>
      <c r="BB3326" s="4"/>
    </row>
    <row r="3327" spans="1:54" x14ac:dyDescent="0.3">
      <c r="A3327" s="66"/>
      <c r="B3327" s="67"/>
      <c r="C3327" s="66"/>
      <c r="D3327" s="68"/>
      <c r="E3327" s="10"/>
      <c r="F3327" s="69"/>
      <c r="G3327" s="68"/>
      <c r="H3327" s="70"/>
      <c r="BA3327" s="4"/>
      <c r="BB3327" s="4"/>
    </row>
    <row r="3328" spans="1:54" x14ac:dyDescent="0.3">
      <c r="A3328" s="66"/>
      <c r="B3328" s="67"/>
      <c r="C3328" s="66"/>
      <c r="D3328" s="68"/>
      <c r="E3328" s="10"/>
      <c r="F3328" s="69"/>
      <c r="G3328" s="68"/>
      <c r="H3328" s="70"/>
      <c r="BA3328" s="4"/>
      <c r="BB3328" s="4"/>
    </row>
    <row r="3329" spans="1:54" x14ac:dyDescent="0.3">
      <c r="A3329" s="66"/>
      <c r="B3329" s="67"/>
      <c r="C3329" s="66"/>
      <c r="D3329" s="68"/>
      <c r="E3329" s="10"/>
      <c r="F3329" s="69"/>
      <c r="G3329" s="68"/>
      <c r="H3329" s="70"/>
      <c r="BA3329" s="4"/>
      <c r="BB3329" s="4"/>
    </row>
    <row r="3330" spans="1:54" x14ac:dyDescent="0.3">
      <c r="A3330" s="66"/>
      <c r="B3330" s="67"/>
      <c r="C3330" s="66"/>
      <c r="D3330" s="68"/>
      <c r="E3330" s="10"/>
      <c r="F3330" s="69"/>
      <c r="G3330" s="68"/>
      <c r="H3330" s="70"/>
      <c r="BA3330" s="4"/>
      <c r="BB3330" s="4"/>
    </row>
    <row r="3331" spans="1:54" x14ac:dyDescent="0.3">
      <c r="A3331" s="66"/>
      <c r="B3331" s="67"/>
      <c r="C3331" s="66"/>
      <c r="D3331" s="68"/>
      <c r="E3331" s="10"/>
      <c r="F3331" s="69"/>
      <c r="G3331" s="68"/>
      <c r="H3331" s="70"/>
      <c r="BA3331" s="4"/>
      <c r="BB3331" s="4"/>
    </row>
    <row r="3332" spans="1:54" x14ac:dyDescent="0.3">
      <c r="A3332" s="66"/>
      <c r="B3332" s="67"/>
      <c r="C3332" s="66"/>
      <c r="D3332" s="68"/>
      <c r="E3332" s="10"/>
      <c r="F3332" s="69"/>
      <c r="G3332" s="68"/>
      <c r="H3332" s="70"/>
      <c r="BA3332" s="4"/>
      <c r="BB3332" s="4"/>
    </row>
    <row r="3333" spans="1:54" x14ac:dyDescent="0.3">
      <c r="A3333" s="66"/>
      <c r="B3333" s="67"/>
      <c r="C3333" s="66"/>
      <c r="D3333" s="68"/>
      <c r="E3333" s="10"/>
      <c r="F3333" s="69"/>
      <c r="G3333" s="68"/>
      <c r="H3333" s="70"/>
      <c r="BA3333" s="4"/>
      <c r="BB3333" s="4"/>
    </row>
    <row r="3334" spans="1:54" x14ac:dyDescent="0.3">
      <c r="A3334" s="66"/>
      <c r="B3334" s="67"/>
      <c r="C3334" s="66"/>
      <c r="D3334" s="68"/>
      <c r="E3334" s="10"/>
      <c r="F3334" s="69"/>
      <c r="G3334" s="68"/>
      <c r="H3334" s="70"/>
      <c r="BA3334" s="4"/>
      <c r="BB3334" s="4"/>
    </row>
    <row r="3335" spans="1:54" x14ac:dyDescent="0.3">
      <c r="A3335" s="66"/>
      <c r="B3335" s="67"/>
      <c r="C3335" s="66"/>
      <c r="D3335" s="68"/>
      <c r="E3335" s="10"/>
      <c r="F3335" s="69"/>
      <c r="G3335" s="68"/>
      <c r="H3335" s="70"/>
      <c r="BA3335" s="4"/>
      <c r="BB3335" s="4"/>
    </row>
    <row r="3336" spans="1:54" x14ac:dyDescent="0.3">
      <c r="A3336" s="66"/>
      <c r="B3336" s="67"/>
      <c r="C3336" s="66"/>
      <c r="D3336" s="68"/>
      <c r="E3336" s="10"/>
      <c r="F3336" s="69"/>
      <c r="G3336" s="68"/>
      <c r="H3336" s="70"/>
      <c r="BA3336" s="4"/>
      <c r="BB3336" s="4"/>
    </row>
    <row r="3337" spans="1:54" x14ac:dyDescent="0.3">
      <c r="A3337" s="66"/>
      <c r="B3337" s="67"/>
      <c r="C3337" s="66"/>
      <c r="D3337" s="68"/>
      <c r="E3337" s="10"/>
      <c r="F3337" s="69"/>
      <c r="G3337" s="68"/>
      <c r="H3337" s="70"/>
      <c r="BA3337" s="4"/>
      <c r="BB3337" s="4"/>
    </row>
    <row r="3338" spans="1:54" x14ac:dyDescent="0.3">
      <c r="A3338" s="66"/>
      <c r="B3338" s="67"/>
      <c r="C3338" s="66"/>
      <c r="D3338" s="68"/>
      <c r="E3338" s="10"/>
      <c r="F3338" s="69"/>
      <c r="G3338" s="68"/>
      <c r="H3338" s="70"/>
      <c r="BA3338" s="4"/>
      <c r="BB3338" s="4"/>
    </row>
    <row r="3339" spans="1:54" x14ac:dyDescent="0.3">
      <c r="A3339" s="66"/>
      <c r="B3339" s="67"/>
      <c r="C3339" s="66"/>
      <c r="D3339" s="68"/>
      <c r="E3339" s="10"/>
      <c r="F3339" s="69"/>
      <c r="G3339" s="68"/>
      <c r="H3339" s="70"/>
      <c r="BA3339" s="4"/>
      <c r="BB3339" s="4"/>
    </row>
    <row r="3340" spans="1:54" x14ac:dyDescent="0.3">
      <c r="A3340" s="66"/>
      <c r="B3340" s="67"/>
      <c r="C3340" s="66"/>
      <c r="D3340" s="68"/>
      <c r="E3340" s="10"/>
      <c r="F3340" s="69"/>
      <c r="G3340" s="68"/>
      <c r="H3340" s="70"/>
      <c r="BA3340" s="4"/>
      <c r="BB3340" s="4"/>
    </row>
    <row r="3341" spans="1:54" x14ac:dyDescent="0.3">
      <c r="A3341" s="66"/>
      <c r="B3341" s="67"/>
      <c r="C3341" s="66"/>
      <c r="D3341" s="68"/>
      <c r="E3341" s="10"/>
      <c r="F3341" s="69"/>
      <c r="G3341" s="68"/>
      <c r="H3341" s="70"/>
      <c r="BA3341" s="4"/>
      <c r="BB3341" s="4"/>
    </row>
    <row r="3342" spans="1:54" x14ac:dyDescent="0.3">
      <c r="A3342" s="66"/>
      <c r="B3342" s="67"/>
      <c r="C3342" s="66"/>
      <c r="D3342" s="68"/>
      <c r="E3342" s="10"/>
      <c r="F3342" s="69"/>
      <c r="G3342" s="68"/>
      <c r="H3342" s="70"/>
      <c r="BA3342" s="4"/>
      <c r="BB3342" s="4"/>
    </row>
    <row r="3343" spans="1:54" x14ac:dyDescent="0.3">
      <c r="A3343" s="66"/>
      <c r="B3343" s="67"/>
      <c r="C3343" s="66"/>
      <c r="D3343" s="68"/>
      <c r="E3343" s="10"/>
      <c r="F3343" s="69"/>
      <c r="G3343" s="68"/>
      <c r="H3343" s="70"/>
      <c r="BA3343" s="4"/>
      <c r="BB3343" s="4"/>
    </row>
    <row r="3344" spans="1:54" x14ac:dyDescent="0.3">
      <c r="A3344" s="66"/>
      <c r="B3344" s="67"/>
      <c r="C3344" s="66"/>
      <c r="D3344" s="68"/>
      <c r="E3344" s="10"/>
      <c r="F3344" s="69"/>
      <c r="G3344" s="68"/>
      <c r="H3344" s="70"/>
      <c r="BA3344" s="4"/>
      <c r="BB3344" s="4"/>
    </row>
    <row r="3345" spans="1:54" x14ac:dyDescent="0.3">
      <c r="A3345" s="66"/>
      <c r="B3345" s="67"/>
      <c r="C3345" s="66"/>
      <c r="D3345" s="68"/>
      <c r="E3345" s="10"/>
      <c r="F3345" s="69"/>
      <c r="G3345" s="68"/>
      <c r="H3345" s="70"/>
      <c r="BA3345" s="4"/>
      <c r="BB3345" s="4"/>
    </row>
    <row r="3346" spans="1:54" x14ac:dyDescent="0.3">
      <c r="A3346" s="66"/>
      <c r="B3346" s="67"/>
      <c r="C3346" s="66"/>
      <c r="D3346" s="68"/>
      <c r="E3346" s="10"/>
      <c r="F3346" s="69"/>
      <c r="G3346" s="68"/>
      <c r="H3346" s="70"/>
      <c r="BA3346" s="4"/>
      <c r="BB3346" s="4"/>
    </row>
    <row r="3347" spans="1:54" x14ac:dyDescent="0.3">
      <c r="A3347" s="66"/>
      <c r="B3347" s="67"/>
      <c r="C3347" s="66"/>
      <c r="D3347" s="68"/>
      <c r="E3347" s="10"/>
      <c r="F3347" s="69"/>
      <c r="G3347" s="68"/>
      <c r="H3347" s="70"/>
      <c r="BA3347" s="4"/>
      <c r="BB3347" s="4"/>
    </row>
    <row r="3348" spans="1:54" x14ac:dyDescent="0.3">
      <c r="A3348" s="66"/>
      <c r="B3348" s="67"/>
      <c r="C3348" s="66"/>
      <c r="D3348" s="68"/>
      <c r="E3348" s="10"/>
      <c r="F3348" s="69"/>
      <c r="G3348" s="68"/>
      <c r="H3348" s="70"/>
      <c r="BA3348" s="4"/>
      <c r="BB3348" s="4"/>
    </row>
    <row r="3349" spans="1:54" x14ac:dyDescent="0.3">
      <c r="A3349" s="66"/>
      <c r="B3349" s="67"/>
      <c r="C3349" s="66"/>
      <c r="D3349" s="68"/>
      <c r="E3349" s="10"/>
      <c r="F3349" s="69"/>
      <c r="G3349" s="68"/>
      <c r="H3349" s="70"/>
      <c r="BA3349" s="4"/>
      <c r="BB3349" s="4"/>
    </row>
    <row r="3350" spans="1:54" x14ac:dyDescent="0.3">
      <c r="A3350" s="66"/>
      <c r="B3350" s="67"/>
      <c r="C3350" s="66"/>
      <c r="D3350" s="68"/>
      <c r="E3350" s="10"/>
      <c r="F3350" s="69"/>
      <c r="G3350" s="68"/>
      <c r="H3350" s="70"/>
      <c r="BA3350" s="4"/>
      <c r="BB3350" s="4"/>
    </row>
    <row r="3351" spans="1:54" x14ac:dyDescent="0.3">
      <c r="A3351" s="66"/>
      <c r="B3351" s="67"/>
      <c r="C3351" s="66"/>
      <c r="D3351" s="68"/>
      <c r="E3351" s="10"/>
      <c r="F3351" s="69"/>
      <c r="G3351" s="68"/>
      <c r="H3351" s="70"/>
      <c r="BA3351" s="4"/>
      <c r="BB3351" s="4"/>
    </row>
    <row r="3352" spans="1:54" x14ac:dyDescent="0.3">
      <c r="A3352" s="66"/>
      <c r="B3352" s="67"/>
      <c r="C3352" s="66"/>
      <c r="D3352" s="68"/>
      <c r="E3352" s="10"/>
      <c r="F3352" s="69"/>
      <c r="G3352" s="68"/>
      <c r="H3352" s="70"/>
      <c r="BA3352" s="4"/>
      <c r="BB3352" s="4"/>
    </row>
    <row r="3353" spans="1:54" x14ac:dyDescent="0.3">
      <c r="A3353" s="66"/>
      <c r="B3353" s="67"/>
      <c r="C3353" s="66"/>
      <c r="D3353" s="68"/>
      <c r="E3353" s="10"/>
      <c r="F3353" s="69"/>
      <c r="G3353" s="68"/>
      <c r="H3353" s="70"/>
      <c r="BA3353" s="4"/>
      <c r="BB3353" s="4"/>
    </row>
    <row r="3354" spans="1:54" x14ac:dyDescent="0.3">
      <c r="A3354" s="66"/>
      <c r="B3354" s="67"/>
      <c r="C3354" s="66"/>
      <c r="D3354" s="68"/>
      <c r="E3354" s="10"/>
      <c r="F3354" s="69"/>
      <c r="G3354" s="68"/>
      <c r="H3354" s="70"/>
      <c r="BA3354" s="4"/>
      <c r="BB3354" s="4"/>
    </row>
    <row r="3355" spans="1:54" x14ac:dyDescent="0.3">
      <c r="A3355" s="66"/>
      <c r="B3355" s="67"/>
      <c r="C3355" s="66"/>
      <c r="D3355" s="68"/>
      <c r="E3355" s="10"/>
      <c r="F3355" s="69"/>
      <c r="G3355" s="68"/>
      <c r="H3355" s="70"/>
      <c r="BA3355" s="4"/>
      <c r="BB3355" s="4"/>
    </row>
    <row r="3356" spans="1:54" x14ac:dyDescent="0.3">
      <c r="A3356" s="66"/>
      <c r="B3356" s="67"/>
      <c r="C3356" s="66"/>
      <c r="D3356" s="68"/>
      <c r="E3356" s="10"/>
      <c r="F3356" s="69"/>
      <c r="G3356" s="68"/>
      <c r="H3356" s="70"/>
      <c r="BA3356" s="4"/>
      <c r="BB3356" s="4"/>
    </row>
    <row r="3357" spans="1:54" x14ac:dyDescent="0.3">
      <c r="A3357" s="66"/>
      <c r="B3357" s="67"/>
      <c r="C3357" s="66"/>
      <c r="D3357" s="68"/>
      <c r="E3357" s="10"/>
      <c r="F3357" s="69"/>
      <c r="G3357" s="68"/>
      <c r="H3357" s="70"/>
      <c r="BA3357" s="4"/>
      <c r="BB3357" s="4"/>
    </row>
    <row r="3358" spans="1:54" x14ac:dyDescent="0.3">
      <c r="A3358" s="66"/>
      <c r="B3358" s="67"/>
      <c r="C3358" s="66"/>
      <c r="D3358" s="68"/>
      <c r="E3358" s="10"/>
      <c r="F3358" s="69"/>
      <c r="G3358" s="68"/>
      <c r="H3358" s="70"/>
      <c r="BA3358" s="4"/>
      <c r="BB3358" s="4"/>
    </row>
    <row r="3359" spans="1:54" x14ac:dyDescent="0.3">
      <c r="A3359" s="66"/>
      <c r="B3359" s="67"/>
      <c r="C3359" s="66"/>
      <c r="D3359" s="68"/>
      <c r="E3359" s="10"/>
      <c r="F3359" s="69"/>
      <c r="G3359" s="68"/>
      <c r="H3359" s="70"/>
      <c r="BA3359" s="4"/>
      <c r="BB3359" s="4"/>
    </row>
    <row r="3360" spans="1:54" x14ac:dyDescent="0.3">
      <c r="A3360" s="66"/>
      <c r="B3360" s="67"/>
      <c r="C3360" s="66"/>
      <c r="D3360" s="68"/>
      <c r="E3360" s="10"/>
      <c r="F3360" s="69"/>
      <c r="G3360" s="68"/>
      <c r="H3360" s="70"/>
      <c r="BA3360" s="4"/>
      <c r="BB3360" s="4"/>
    </row>
    <row r="3361" spans="1:54" x14ac:dyDescent="0.3">
      <c r="A3361" s="66"/>
      <c r="B3361" s="67"/>
      <c r="C3361" s="66"/>
      <c r="D3361" s="68"/>
      <c r="E3361" s="10"/>
      <c r="F3361" s="69"/>
      <c r="G3361" s="68"/>
      <c r="H3361" s="70"/>
      <c r="BA3361" s="4"/>
      <c r="BB3361" s="4"/>
    </row>
    <row r="3362" spans="1:54" x14ac:dyDescent="0.3">
      <c r="A3362" s="66"/>
      <c r="B3362" s="67"/>
      <c r="C3362" s="66"/>
      <c r="D3362" s="68"/>
      <c r="E3362" s="10"/>
      <c r="F3362" s="69"/>
      <c r="G3362" s="68"/>
      <c r="H3362" s="70"/>
      <c r="BA3362" s="4"/>
      <c r="BB3362" s="4"/>
    </row>
    <row r="3363" spans="1:54" x14ac:dyDescent="0.3">
      <c r="A3363" s="66"/>
      <c r="B3363" s="67"/>
      <c r="C3363" s="66"/>
      <c r="D3363" s="68"/>
      <c r="E3363" s="10"/>
      <c r="F3363" s="69"/>
      <c r="G3363" s="68"/>
      <c r="H3363" s="70"/>
      <c r="BA3363" s="4"/>
      <c r="BB3363" s="4"/>
    </row>
    <row r="3364" spans="1:54" x14ac:dyDescent="0.3">
      <c r="A3364" s="66"/>
      <c r="B3364" s="67"/>
      <c r="C3364" s="66"/>
      <c r="D3364" s="68"/>
      <c r="E3364" s="10"/>
      <c r="F3364" s="69"/>
      <c r="G3364" s="68"/>
      <c r="H3364" s="70"/>
      <c r="BA3364" s="4"/>
      <c r="BB3364" s="4"/>
    </row>
    <row r="3365" spans="1:54" x14ac:dyDescent="0.3">
      <c r="A3365" s="66"/>
      <c r="B3365" s="67"/>
      <c r="C3365" s="66"/>
      <c r="D3365" s="68"/>
      <c r="E3365" s="10"/>
      <c r="F3365" s="69"/>
      <c r="G3365" s="68"/>
      <c r="H3365" s="70"/>
      <c r="BA3365" s="4"/>
      <c r="BB3365" s="4"/>
    </row>
    <row r="3366" spans="1:54" x14ac:dyDescent="0.3">
      <c r="A3366" s="66"/>
      <c r="B3366" s="67"/>
      <c r="C3366" s="66"/>
      <c r="D3366" s="68"/>
      <c r="E3366" s="10"/>
      <c r="F3366" s="69"/>
      <c r="G3366" s="68"/>
      <c r="H3366" s="70"/>
      <c r="BA3366" s="4"/>
      <c r="BB3366" s="4"/>
    </row>
    <row r="3367" spans="1:54" x14ac:dyDescent="0.3">
      <c r="A3367" s="66"/>
      <c r="B3367" s="67"/>
      <c r="C3367" s="66"/>
      <c r="D3367" s="68"/>
      <c r="E3367" s="10"/>
      <c r="F3367" s="69"/>
      <c r="G3367" s="68"/>
      <c r="H3367" s="70"/>
      <c r="BA3367" s="4"/>
      <c r="BB3367" s="4"/>
    </row>
    <row r="3368" spans="1:54" x14ac:dyDescent="0.3">
      <c r="A3368" s="66"/>
      <c r="B3368" s="67"/>
      <c r="C3368" s="66"/>
      <c r="D3368" s="68"/>
      <c r="E3368" s="10"/>
      <c r="F3368" s="69"/>
      <c r="G3368" s="68"/>
      <c r="H3368" s="70"/>
      <c r="BA3368" s="4"/>
      <c r="BB3368" s="4"/>
    </row>
    <row r="3369" spans="1:54" x14ac:dyDescent="0.3">
      <c r="A3369" s="66"/>
      <c r="B3369" s="67"/>
      <c r="C3369" s="66"/>
      <c r="D3369" s="68"/>
      <c r="E3369" s="10"/>
      <c r="F3369" s="69"/>
      <c r="G3369" s="68"/>
      <c r="H3369" s="70"/>
      <c r="BA3369" s="4"/>
      <c r="BB3369" s="4"/>
    </row>
    <row r="3370" spans="1:54" x14ac:dyDescent="0.3">
      <c r="A3370" s="66"/>
      <c r="B3370" s="67"/>
      <c r="C3370" s="66"/>
      <c r="D3370" s="68"/>
      <c r="E3370" s="10"/>
      <c r="F3370" s="69"/>
      <c r="G3370" s="68"/>
      <c r="H3370" s="70"/>
      <c r="BA3370" s="4"/>
      <c r="BB3370" s="4"/>
    </row>
    <row r="3371" spans="1:54" x14ac:dyDescent="0.3">
      <c r="A3371" s="66"/>
      <c r="B3371" s="67"/>
      <c r="C3371" s="66"/>
      <c r="D3371" s="68"/>
      <c r="E3371" s="10"/>
      <c r="F3371" s="69"/>
      <c r="G3371" s="68"/>
      <c r="H3371" s="70"/>
      <c r="BA3371" s="4"/>
      <c r="BB3371" s="4"/>
    </row>
    <row r="3372" spans="1:54" x14ac:dyDescent="0.3">
      <c r="A3372" s="66"/>
      <c r="B3372" s="67"/>
      <c r="C3372" s="66"/>
      <c r="D3372" s="68"/>
      <c r="E3372" s="10"/>
      <c r="F3372" s="69"/>
      <c r="G3372" s="68"/>
      <c r="H3372" s="70"/>
      <c r="BA3372" s="4"/>
      <c r="BB3372" s="4"/>
    </row>
    <row r="3373" spans="1:54" x14ac:dyDescent="0.3">
      <c r="A3373" s="66"/>
      <c r="B3373" s="67"/>
      <c r="C3373" s="66"/>
      <c r="D3373" s="68"/>
      <c r="E3373" s="10"/>
      <c r="F3373" s="69"/>
      <c r="G3373" s="68"/>
      <c r="H3373" s="70"/>
      <c r="BA3373" s="4"/>
      <c r="BB3373" s="4"/>
    </row>
    <row r="3374" spans="1:54" x14ac:dyDescent="0.3">
      <c r="A3374" s="66"/>
      <c r="B3374" s="67"/>
      <c r="C3374" s="66"/>
      <c r="D3374" s="68"/>
      <c r="E3374" s="10"/>
      <c r="F3374" s="69"/>
      <c r="G3374" s="68"/>
      <c r="H3374" s="70"/>
      <c r="BA3374" s="4"/>
      <c r="BB3374" s="4"/>
    </row>
    <row r="3375" spans="1:54" x14ac:dyDescent="0.3">
      <c r="A3375" s="66"/>
      <c r="B3375" s="67"/>
      <c r="C3375" s="66"/>
      <c r="D3375" s="68"/>
      <c r="E3375" s="10"/>
      <c r="F3375" s="69"/>
      <c r="G3375" s="68"/>
      <c r="H3375" s="70"/>
      <c r="BA3375" s="4"/>
      <c r="BB3375" s="4"/>
    </row>
    <row r="3376" spans="1:54" x14ac:dyDescent="0.3">
      <c r="A3376" s="66"/>
      <c r="B3376" s="67"/>
      <c r="C3376" s="66"/>
      <c r="D3376" s="68"/>
      <c r="E3376" s="10"/>
      <c r="F3376" s="69"/>
      <c r="G3376" s="68"/>
      <c r="H3376" s="70"/>
      <c r="BA3376" s="4"/>
      <c r="BB3376" s="4"/>
    </row>
    <row r="3377" spans="1:54" x14ac:dyDescent="0.3">
      <c r="A3377" s="66"/>
      <c r="B3377" s="67"/>
      <c r="C3377" s="66"/>
      <c r="D3377" s="68"/>
      <c r="E3377" s="10"/>
      <c r="F3377" s="69"/>
      <c r="G3377" s="68"/>
      <c r="H3377" s="70"/>
      <c r="BA3377" s="4"/>
      <c r="BB3377" s="4"/>
    </row>
    <row r="3378" spans="1:54" x14ac:dyDescent="0.3">
      <c r="A3378" s="66"/>
      <c r="B3378" s="67"/>
      <c r="C3378" s="66"/>
      <c r="D3378" s="68"/>
      <c r="E3378" s="10"/>
      <c r="F3378" s="69"/>
      <c r="G3378" s="68"/>
      <c r="H3378" s="70"/>
      <c r="BA3378" s="4"/>
      <c r="BB3378" s="4"/>
    </row>
    <row r="3379" spans="1:54" x14ac:dyDescent="0.3">
      <c r="A3379" s="66"/>
      <c r="B3379" s="67"/>
      <c r="C3379" s="66"/>
      <c r="D3379" s="68"/>
      <c r="E3379" s="10"/>
      <c r="F3379" s="69"/>
      <c r="G3379" s="68"/>
      <c r="H3379" s="70"/>
      <c r="BA3379" s="4"/>
      <c r="BB3379" s="4"/>
    </row>
    <row r="3380" spans="1:54" x14ac:dyDescent="0.3">
      <c r="A3380" s="66"/>
      <c r="B3380" s="67"/>
      <c r="C3380" s="66"/>
      <c r="D3380" s="68"/>
      <c r="E3380" s="10"/>
      <c r="F3380" s="69"/>
      <c r="G3380" s="68"/>
      <c r="H3380" s="70"/>
      <c r="BA3380" s="4"/>
      <c r="BB3380" s="4"/>
    </row>
    <row r="3381" spans="1:54" x14ac:dyDescent="0.3">
      <c r="A3381" s="66"/>
      <c r="B3381" s="67"/>
      <c r="C3381" s="66"/>
      <c r="D3381" s="68"/>
      <c r="E3381" s="10"/>
      <c r="F3381" s="69"/>
      <c r="G3381" s="68"/>
      <c r="H3381" s="70"/>
      <c r="BA3381" s="4"/>
      <c r="BB3381" s="4"/>
    </row>
    <row r="3382" spans="1:54" x14ac:dyDescent="0.3">
      <c r="A3382" s="66"/>
      <c r="B3382" s="67"/>
      <c r="C3382" s="66"/>
      <c r="D3382" s="68"/>
      <c r="E3382" s="10"/>
      <c r="F3382" s="69"/>
      <c r="G3382" s="68"/>
      <c r="H3382" s="70"/>
      <c r="BA3382" s="4"/>
      <c r="BB3382" s="4"/>
    </row>
    <row r="3383" spans="1:54" x14ac:dyDescent="0.3">
      <c r="A3383" s="66"/>
      <c r="B3383" s="67"/>
      <c r="C3383" s="66"/>
      <c r="D3383" s="68"/>
      <c r="E3383" s="10"/>
      <c r="F3383" s="69"/>
      <c r="G3383" s="68"/>
      <c r="H3383" s="70"/>
      <c r="BA3383" s="4"/>
      <c r="BB3383" s="4"/>
    </row>
    <row r="3384" spans="1:54" x14ac:dyDescent="0.3">
      <c r="A3384" s="66"/>
      <c r="B3384" s="67"/>
      <c r="C3384" s="66"/>
      <c r="D3384" s="68"/>
      <c r="E3384" s="10"/>
      <c r="F3384" s="69"/>
      <c r="G3384" s="68"/>
      <c r="H3384" s="70"/>
      <c r="BA3384" s="4"/>
      <c r="BB3384" s="4"/>
    </row>
    <row r="3385" spans="1:54" x14ac:dyDescent="0.3">
      <c r="A3385" s="66"/>
      <c r="B3385" s="67"/>
      <c r="C3385" s="66"/>
      <c r="D3385" s="68"/>
      <c r="E3385" s="10"/>
      <c r="F3385" s="69"/>
      <c r="G3385" s="68"/>
      <c r="H3385" s="70"/>
      <c r="BA3385" s="4"/>
      <c r="BB3385" s="4"/>
    </row>
    <row r="3386" spans="1:54" x14ac:dyDescent="0.3">
      <c r="A3386" s="66"/>
      <c r="B3386" s="67"/>
      <c r="C3386" s="66"/>
      <c r="D3386" s="68"/>
      <c r="E3386" s="10"/>
      <c r="F3386" s="69"/>
      <c r="G3386" s="68"/>
      <c r="H3386" s="70"/>
      <c r="BA3386" s="4"/>
      <c r="BB3386" s="4"/>
    </row>
    <row r="3387" spans="1:54" x14ac:dyDescent="0.3">
      <c r="A3387" s="66"/>
      <c r="B3387" s="67"/>
      <c r="C3387" s="66"/>
      <c r="D3387" s="68"/>
      <c r="E3387" s="10"/>
      <c r="F3387" s="69"/>
      <c r="G3387" s="68"/>
      <c r="H3387" s="70"/>
      <c r="BA3387" s="4"/>
      <c r="BB3387" s="4"/>
    </row>
    <row r="3388" spans="1:54" x14ac:dyDescent="0.3">
      <c r="A3388" s="66"/>
      <c r="B3388" s="67"/>
      <c r="C3388" s="66"/>
      <c r="D3388" s="68"/>
      <c r="E3388" s="10"/>
      <c r="F3388" s="69"/>
      <c r="G3388" s="68"/>
      <c r="H3388" s="70"/>
      <c r="BA3388" s="4"/>
      <c r="BB3388" s="4"/>
    </row>
    <row r="3389" spans="1:54" x14ac:dyDescent="0.3">
      <c r="A3389" s="66"/>
      <c r="B3389" s="67"/>
      <c r="C3389" s="66"/>
      <c r="D3389" s="68"/>
      <c r="E3389" s="10"/>
      <c r="F3389" s="69"/>
      <c r="G3389" s="68"/>
      <c r="H3389" s="70"/>
      <c r="BA3389" s="4"/>
      <c r="BB3389" s="4"/>
    </row>
    <row r="3390" spans="1:54" x14ac:dyDescent="0.3">
      <c r="A3390" s="66"/>
      <c r="B3390" s="67"/>
      <c r="C3390" s="66"/>
      <c r="D3390" s="68"/>
      <c r="E3390" s="10"/>
      <c r="F3390" s="69"/>
      <c r="G3390" s="68"/>
      <c r="H3390" s="70"/>
      <c r="BA3390" s="4"/>
      <c r="BB3390" s="4"/>
    </row>
    <row r="3391" spans="1:54" x14ac:dyDescent="0.3">
      <c r="A3391" s="66"/>
      <c r="B3391" s="67"/>
      <c r="C3391" s="66"/>
      <c r="D3391" s="68"/>
      <c r="E3391" s="10"/>
      <c r="F3391" s="69"/>
      <c r="G3391" s="68"/>
      <c r="H3391" s="70"/>
      <c r="BA3391" s="4"/>
      <c r="BB3391" s="4"/>
    </row>
    <row r="3392" spans="1:54" x14ac:dyDescent="0.3">
      <c r="A3392" s="66"/>
      <c r="B3392" s="67"/>
      <c r="C3392" s="66"/>
      <c r="D3392" s="68"/>
      <c r="E3392" s="10"/>
      <c r="F3392" s="69"/>
      <c r="G3392" s="68"/>
      <c r="H3392" s="70"/>
      <c r="BA3392" s="4"/>
      <c r="BB3392" s="4"/>
    </row>
    <row r="3393" spans="1:54" x14ac:dyDescent="0.3">
      <c r="A3393" s="66"/>
      <c r="B3393" s="67"/>
      <c r="C3393" s="66"/>
      <c r="D3393" s="68"/>
      <c r="E3393" s="10"/>
      <c r="F3393" s="69"/>
      <c r="G3393" s="68"/>
      <c r="H3393" s="70"/>
      <c r="BA3393" s="4"/>
      <c r="BB3393" s="4"/>
    </row>
    <row r="3394" spans="1:54" x14ac:dyDescent="0.3">
      <c r="A3394" s="66"/>
      <c r="B3394" s="67"/>
      <c r="C3394" s="66"/>
      <c r="D3394" s="68"/>
      <c r="E3394" s="10"/>
      <c r="F3394" s="69"/>
      <c r="G3394" s="68"/>
      <c r="H3394" s="70"/>
      <c r="BA3394" s="4"/>
      <c r="BB3394" s="4"/>
    </row>
    <row r="3395" spans="1:54" x14ac:dyDescent="0.3">
      <c r="A3395" s="66"/>
      <c r="B3395" s="67"/>
      <c r="C3395" s="66"/>
      <c r="D3395" s="68"/>
      <c r="E3395" s="10"/>
      <c r="F3395" s="69"/>
      <c r="G3395" s="68"/>
      <c r="H3395" s="70"/>
      <c r="BA3395" s="4"/>
      <c r="BB3395" s="4"/>
    </row>
    <row r="3396" spans="1:54" x14ac:dyDescent="0.3">
      <c r="A3396" s="66"/>
      <c r="B3396" s="67"/>
      <c r="C3396" s="66"/>
      <c r="D3396" s="68"/>
      <c r="E3396" s="10"/>
      <c r="F3396" s="69"/>
      <c r="G3396" s="68"/>
      <c r="H3396" s="70"/>
      <c r="BA3396" s="4"/>
      <c r="BB3396" s="4"/>
    </row>
    <row r="3397" spans="1:54" x14ac:dyDescent="0.3">
      <c r="A3397" s="66"/>
      <c r="B3397" s="67"/>
      <c r="C3397" s="66"/>
      <c r="D3397" s="68"/>
      <c r="E3397" s="10"/>
      <c r="F3397" s="69"/>
      <c r="G3397" s="68"/>
      <c r="H3397" s="70"/>
      <c r="BA3397" s="4"/>
      <c r="BB3397" s="4"/>
    </row>
    <row r="3398" spans="1:54" x14ac:dyDescent="0.3">
      <c r="A3398" s="66"/>
      <c r="B3398" s="67"/>
      <c r="C3398" s="66"/>
      <c r="D3398" s="68"/>
      <c r="E3398" s="10"/>
      <c r="F3398" s="69"/>
      <c r="G3398" s="68"/>
      <c r="H3398" s="70"/>
      <c r="BA3398" s="4"/>
      <c r="BB3398" s="4"/>
    </row>
    <row r="3399" spans="1:54" x14ac:dyDescent="0.3">
      <c r="A3399" s="66"/>
      <c r="B3399" s="67"/>
      <c r="C3399" s="66"/>
      <c r="D3399" s="68"/>
      <c r="E3399" s="10"/>
      <c r="F3399" s="69"/>
      <c r="G3399" s="68"/>
      <c r="H3399" s="70"/>
      <c r="BA3399" s="4"/>
      <c r="BB3399" s="4"/>
    </row>
    <row r="3400" spans="1:54" x14ac:dyDescent="0.3">
      <c r="A3400" s="66"/>
      <c r="B3400" s="67"/>
      <c r="C3400" s="66"/>
      <c r="D3400" s="68"/>
      <c r="E3400" s="10"/>
      <c r="F3400" s="69"/>
      <c r="G3400" s="68"/>
      <c r="H3400" s="70"/>
      <c r="BA3400" s="4"/>
      <c r="BB3400" s="4"/>
    </row>
    <row r="3401" spans="1:54" x14ac:dyDescent="0.3">
      <c r="A3401" s="66"/>
      <c r="B3401" s="67"/>
      <c r="C3401" s="66"/>
      <c r="D3401" s="68"/>
      <c r="E3401" s="10"/>
      <c r="F3401" s="69"/>
      <c r="G3401" s="68"/>
      <c r="H3401" s="70"/>
      <c r="BA3401" s="4"/>
      <c r="BB3401" s="4"/>
    </row>
    <row r="3402" spans="1:54" x14ac:dyDescent="0.3">
      <c r="A3402" s="66"/>
      <c r="B3402" s="67"/>
      <c r="C3402" s="66"/>
      <c r="D3402" s="68"/>
      <c r="E3402" s="10"/>
      <c r="F3402" s="69"/>
      <c r="G3402" s="68"/>
      <c r="H3402" s="70"/>
      <c r="BA3402" s="4"/>
      <c r="BB3402" s="4"/>
    </row>
    <row r="3403" spans="1:54" x14ac:dyDescent="0.3">
      <c r="A3403" s="66"/>
      <c r="B3403" s="67"/>
      <c r="C3403" s="66"/>
      <c r="D3403" s="68"/>
      <c r="E3403" s="10"/>
      <c r="F3403" s="69"/>
      <c r="G3403" s="68"/>
      <c r="H3403" s="70"/>
      <c r="BA3403" s="4"/>
      <c r="BB3403" s="4"/>
    </row>
    <row r="3404" spans="1:54" x14ac:dyDescent="0.3">
      <c r="A3404" s="66"/>
      <c r="B3404" s="67"/>
      <c r="C3404" s="66"/>
      <c r="D3404" s="68"/>
      <c r="E3404" s="10"/>
      <c r="F3404" s="69"/>
      <c r="G3404" s="68"/>
      <c r="H3404" s="70"/>
      <c r="BA3404" s="4"/>
      <c r="BB3404" s="4"/>
    </row>
    <row r="3405" spans="1:54" x14ac:dyDescent="0.3">
      <c r="A3405" s="66"/>
      <c r="B3405" s="67"/>
      <c r="C3405" s="66"/>
      <c r="D3405" s="68"/>
      <c r="E3405" s="10"/>
      <c r="F3405" s="69"/>
      <c r="G3405" s="68"/>
      <c r="H3405" s="70"/>
      <c r="BA3405" s="4"/>
      <c r="BB3405" s="4"/>
    </row>
    <row r="3406" spans="1:54" x14ac:dyDescent="0.3">
      <c r="A3406" s="66"/>
      <c r="B3406" s="67"/>
      <c r="C3406" s="66"/>
      <c r="D3406" s="68"/>
      <c r="E3406" s="10"/>
      <c r="F3406" s="69"/>
      <c r="G3406" s="68"/>
      <c r="H3406" s="70"/>
      <c r="BA3406" s="4"/>
      <c r="BB3406" s="4"/>
    </row>
    <row r="3407" spans="1:54" x14ac:dyDescent="0.3">
      <c r="A3407" s="66"/>
      <c r="B3407" s="67"/>
      <c r="C3407" s="66"/>
      <c r="D3407" s="68"/>
      <c r="E3407" s="10"/>
      <c r="F3407" s="69"/>
      <c r="G3407" s="68"/>
      <c r="H3407" s="70"/>
      <c r="BA3407" s="4"/>
      <c r="BB3407" s="4"/>
    </row>
    <row r="3408" spans="1:54" x14ac:dyDescent="0.3">
      <c r="A3408" s="66"/>
      <c r="B3408" s="67"/>
      <c r="C3408" s="66"/>
      <c r="D3408" s="68"/>
      <c r="E3408" s="10"/>
      <c r="F3408" s="69"/>
      <c r="G3408" s="68"/>
      <c r="H3408" s="70"/>
      <c r="BA3408" s="4"/>
      <c r="BB3408" s="4"/>
    </row>
    <row r="3409" spans="1:54" x14ac:dyDescent="0.3">
      <c r="A3409" s="66"/>
      <c r="B3409" s="67"/>
      <c r="C3409" s="66"/>
      <c r="D3409" s="68"/>
      <c r="E3409" s="10"/>
      <c r="F3409" s="69"/>
      <c r="G3409" s="68"/>
      <c r="H3409" s="70"/>
      <c r="BA3409" s="4"/>
      <c r="BB3409" s="4"/>
    </row>
    <row r="3410" spans="1:54" x14ac:dyDescent="0.3">
      <c r="A3410" s="66"/>
      <c r="B3410" s="67"/>
      <c r="C3410" s="66"/>
      <c r="D3410" s="68"/>
      <c r="E3410" s="10"/>
      <c r="F3410" s="69"/>
      <c r="G3410" s="68"/>
      <c r="H3410" s="70"/>
      <c r="BA3410" s="4"/>
      <c r="BB3410" s="4"/>
    </row>
    <row r="3411" spans="1:54" x14ac:dyDescent="0.3">
      <c r="A3411" s="66"/>
      <c r="B3411" s="67"/>
      <c r="C3411" s="66"/>
      <c r="D3411" s="68"/>
      <c r="E3411" s="10"/>
      <c r="F3411" s="69"/>
      <c r="G3411" s="68"/>
      <c r="H3411" s="70"/>
      <c r="BA3411" s="4"/>
      <c r="BB3411" s="4"/>
    </row>
    <row r="3412" spans="1:54" x14ac:dyDescent="0.3">
      <c r="A3412" s="66"/>
      <c r="B3412" s="67"/>
      <c r="C3412" s="66"/>
      <c r="D3412" s="68"/>
      <c r="E3412" s="10"/>
      <c r="F3412" s="69"/>
      <c r="G3412" s="68"/>
      <c r="H3412" s="70"/>
      <c r="BA3412" s="4"/>
      <c r="BB3412" s="4"/>
    </row>
    <row r="3413" spans="1:54" x14ac:dyDescent="0.3">
      <c r="A3413" s="66"/>
      <c r="B3413" s="67"/>
      <c r="C3413" s="66"/>
      <c r="D3413" s="68"/>
      <c r="E3413" s="10"/>
      <c r="F3413" s="69"/>
      <c r="G3413" s="68"/>
      <c r="H3413" s="70"/>
      <c r="BA3413" s="4"/>
      <c r="BB3413" s="4"/>
    </row>
    <row r="3414" spans="1:54" x14ac:dyDescent="0.3">
      <c r="A3414" s="66"/>
      <c r="B3414" s="67"/>
      <c r="C3414" s="66"/>
      <c r="D3414" s="68"/>
      <c r="E3414" s="10"/>
      <c r="F3414" s="69"/>
      <c r="G3414" s="68"/>
      <c r="H3414" s="70"/>
      <c r="BA3414" s="4"/>
      <c r="BB3414" s="4"/>
    </row>
    <row r="3415" spans="1:54" x14ac:dyDescent="0.3">
      <c r="A3415" s="66"/>
      <c r="B3415" s="67"/>
      <c r="C3415" s="66"/>
      <c r="D3415" s="68"/>
      <c r="E3415" s="10"/>
      <c r="F3415" s="69"/>
      <c r="G3415" s="68"/>
      <c r="H3415" s="70"/>
      <c r="BA3415" s="4"/>
      <c r="BB3415" s="4"/>
    </row>
    <row r="3416" spans="1:54" x14ac:dyDescent="0.3">
      <c r="A3416" s="66"/>
      <c r="B3416" s="67"/>
      <c r="C3416" s="66"/>
      <c r="D3416" s="68"/>
      <c r="E3416" s="10"/>
      <c r="F3416" s="69"/>
      <c r="G3416" s="68"/>
      <c r="H3416" s="70"/>
      <c r="BA3416" s="4"/>
      <c r="BB3416" s="4"/>
    </row>
    <row r="3417" spans="1:54" x14ac:dyDescent="0.3">
      <c r="A3417" s="66"/>
      <c r="B3417" s="67"/>
      <c r="C3417" s="66"/>
      <c r="D3417" s="68"/>
      <c r="E3417" s="10"/>
      <c r="F3417" s="69"/>
      <c r="G3417" s="68"/>
      <c r="H3417" s="70"/>
      <c r="BA3417" s="4"/>
      <c r="BB3417" s="4"/>
    </row>
    <row r="3418" spans="1:54" x14ac:dyDescent="0.3">
      <c r="A3418" s="66"/>
      <c r="B3418" s="67"/>
      <c r="C3418" s="66"/>
      <c r="D3418" s="68"/>
      <c r="E3418" s="10"/>
      <c r="F3418" s="69"/>
      <c r="G3418" s="68"/>
      <c r="H3418" s="70"/>
      <c r="BA3418" s="4"/>
      <c r="BB3418" s="4"/>
    </row>
    <row r="3419" spans="1:54" x14ac:dyDescent="0.3">
      <c r="A3419" s="66"/>
      <c r="B3419" s="67"/>
      <c r="C3419" s="66"/>
      <c r="D3419" s="68"/>
      <c r="E3419" s="10"/>
      <c r="F3419" s="69"/>
      <c r="G3419" s="68"/>
      <c r="H3419" s="70"/>
      <c r="BA3419" s="4"/>
      <c r="BB3419" s="4"/>
    </row>
    <row r="3420" spans="1:54" x14ac:dyDescent="0.3">
      <c r="A3420" s="66"/>
      <c r="B3420" s="67"/>
      <c r="C3420" s="66"/>
      <c r="D3420" s="68"/>
      <c r="E3420" s="10"/>
      <c r="F3420" s="69"/>
      <c r="G3420" s="68"/>
      <c r="H3420" s="70"/>
      <c r="BA3420" s="4"/>
      <c r="BB3420" s="4"/>
    </row>
    <row r="3421" spans="1:54" x14ac:dyDescent="0.3">
      <c r="A3421" s="66"/>
      <c r="B3421" s="67"/>
      <c r="C3421" s="66"/>
      <c r="D3421" s="68"/>
      <c r="E3421" s="10"/>
      <c r="F3421" s="69"/>
      <c r="G3421" s="68"/>
      <c r="H3421" s="70"/>
      <c r="BA3421" s="4"/>
      <c r="BB3421" s="4"/>
    </row>
    <row r="3422" spans="1:54" x14ac:dyDescent="0.3">
      <c r="A3422" s="66"/>
      <c r="B3422" s="67"/>
      <c r="C3422" s="66"/>
      <c r="D3422" s="68"/>
      <c r="E3422" s="10"/>
      <c r="F3422" s="69"/>
      <c r="G3422" s="68"/>
      <c r="H3422" s="70"/>
      <c r="BA3422" s="4"/>
      <c r="BB3422" s="4"/>
    </row>
    <row r="3423" spans="1:54" x14ac:dyDescent="0.3">
      <c r="A3423" s="66"/>
      <c r="B3423" s="67"/>
      <c r="C3423" s="66"/>
      <c r="D3423" s="68"/>
      <c r="E3423" s="10"/>
      <c r="F3423" s="69"/>
      <c r="G3423" s="68"/>
      <c r="H3423" s="70"/>
      <c r="BA3423" s="4"/>
      <c r="BB3423" s="4"/>
    </row>
    <row r="3424" spans="1:54" x14ac:dyDescent="0.3">
      <c r="A3424" s="66"/>
      <c r="B3424" s="67"/>
      <c r="C3424" s="66"/>
      <c r="D3424" s="68"/>
      <c r="E3424" s="10"/>
      <c r="F3424" s="69"/>
      <c r="G3424" s="68"/>
      <c r="H3424" s="70"/>
      <c r="BA3424" s="4"/>
      <c r="BB3424" s="4"/>
    </row>
    <row r="3425" spans="1:54" x14ac:dyDescent="0.3">
      <c r="A3425" s="66"/>
      <c r="B3425" s="67"/>
      <c r="C3425" s="66"/>
      <c r="D3425" s="68"/>
      <c r="E3425" s="10"/>
      <c r="F3425" s="69"/>
      <c r="G3425" s="68"/>
      <c r="H3425" s="70"/>
      <c r="BA3425" s="4"/>
      <c r="BB3425" s="4"/>
    </row>
    <row r="3426" spans="1:54" x14ac:dyDescent="0.3">
      <c r="A3426" s="66"/>
      <c r="B3426" s="67"/>
      <c r="C3426" s="66"/>
      <c r="D3426" s="68"/>
      <c r="E3426" s="10"/>
      <c r="F3426" s="69"/>
      <c r="G3426" s="68"/>
      <c r="H3426" s="70"/>
      <c r="BA3426" s="4"/>
      <c r="BB3426" s="4"/>
    </row>
    <row r="3427" spans="1:54" x14ac:dyDescent="0.3">
      <c r="A3427" s="66"/>
      <c r="B3427" s="67"/>
      <c r="C3427" s="66"/>
      <c r="D3427" s="68"/>
      <c r="E3427" s="10"/>
      <c r="F3427" s="69"/>
      <c r="G3427" s="68"/>
      <c r="H3427" s="70"/>
      <c r="BA3427" s="4"/>
      <c r="BB3427" s="4"/>
    </row>
    <row r="3428" spans="1:54" x14ac:dyDescent="0.3">
      <c r="A3428" s="66"/>
      <c r="B3428" s="67"/>
      <c r="C3428" s="66"/>
      <c r="D3428" s="68"/>
      <c r="E3428" s="10"/>
      <c r="F3428" s="69"/>
      <c r="G3428" s="68"/>
      <c r="H3428" s="70"/>
      <c r="BA3428" s="4"/>
      <c r="BB3428" s="4"/>
    </row>
    <row r="3429" spans="1:54" x14ac:dyDescent="0.3">
      <c r="A3429" s="66"/>
      <c r="B3429" s="67"/>
      <c r="C3429" s="66"/>
      <c r="D3429" s="68"/>
      <c r="E3429" s="10"/>
      <c r="F3429" s="69"/>
      <c r="G3429" s="68"/>
      <c r="H3429" s="70"/>
      <c r="BA3429" s="4"/>
      <c r="BB3429" s="4"/>
    </row>
    <row r="3430" spans="1:54" x14ac:dyDescent="0.3">
      <c r="A3430" s="66"/>
      <c r="B3430" s="67"/>
      <c r="C3430" s="66"/>
      <c r="D3430" s="68"/>
      <c r="E3430" s="10"/>
      <c r="F3430" s="69"/>
      <c r="G3430" s="68"/>
      <c r="H3430" s="70"/>
      <c r="BA3430" s="4"/>
      <c r="BB3430" s="4"/>
    </row>
    <row r="3431" spans="1:54" x14ac:dyDescent="0.3">
      <c r="A3431" s="66"/>
      <c r="B3431" s="67"/>
      <c r="C3431" s="66"/>
      <c r="D3431" s="68"/>
      <c r="E3431" s="10"/>
      <c r="F3431" s="69"/>
      <c r="G3431" s="68"/>
      <c r="H3431" s="70"/>
      <c r="BA3431" s="4"/>
      <c r="BB3431" s="4"/>
    </row>
    <row r="3432" spans="1:54" x14ac:dyDescent="0.3">
      <c r="A3432" s="66"/>
      <c r="B3432" s="67"/>
      <c r="C3432" s="66"/>
      <c r="D3432" s="68"/>
      <c r="E3432" s="10"/>
      <c r="F3432" s="69"/>
      <c r="G3432" s="68"/>
      <c r="H3432" s="70"/>
      <c r="BA3432" s="4"/>
      <c r="BB3432" s="4"/>
    </row>
    <row r="3433" spans="1:54" x14ac:dyDescent="0.3">
      <c r="A3433" s="66"/>
      <c r="B3433" s="67"/>
      <c r="C3433" s="66"/>
      <c r="D3433" s="68"/>
      <c r="E3433" s="10"/>
      <c r="F3433" s="69"/>
      <c r="G3433" s="68"/>
      <c r="H3433" s="70"/>
      <c r="BA3433" s="4"/>
      <c r="BB3433" s="4"/>
    </row>
    <row r="3434" spans="1:54" x14ac:dyDescent="0.3">
      <c r="A3434" s="66"/>
      <c r="B3434" s="67"/>
      <c r="C3434" s="66"/>
      <c r="D3434" s="68"/>
      <c r="E3434" s="10"/>
      <c r="F3434" s="69"/>
      <c r="G3434" s="68"/>
      <c r="H3434" s="70"/>
      <c r="BA3434" s="4"/>
      <c r="BB3434" s="4"/>
    </row>
    <row r="3435" spans="1:54" x14ac:dyDescent="0.3">
      <c r="A3435" s="66"/>
      <c r="B3435" s="67"/>
      <c r="C3435" s="66"/>
      <c r="D3435" s="68"/>
      <c r="E3435" s="10"/>
      <c r="F3435" s="69"/>
      <c r="G3435" s="68"/>
      <c r="H3435" s="70"/>
      <c r="BA3435" s="4"/>
      <c r="BB3435" s="4"/>
    </row>
    <row r="3436" spans="1:54" x14ac:dyDescent="0.3">
      <c r="A3436" s="66"/>
      <c r="B3436" s="67"/>
      <c r="C3436" s="66"/>
      <c r="D3436" s="68"/>
      <c r="E3436" s="10"/>
      <c r="F3436" s="69"/>
      <c r="G3436" s="68"/>
      <c r="H3436" s="70"/>
      <c r="BA3436" s="4"/>
      <c r="BB3436" s="4"/>
    </row>
    <row r="3437" spans="1:54" x14ac:dyDescent="0.3">
      <c r="A3437" s="66"/>
      <c r="B3437" s="67"/>
      <c r="C3437" s="66"/>
      <c r="D3437" s="68"/>
      <c r="E3437" s="10"/>
      <c r="F3437" s="69"/>
      <c r="G3437" s="68"/>
      <c r="H3437" s="70"/>
      <c r="BA3437" s="4"/>
      <c r="BB3437" s="4"/>
    </row>
    <row r="3438" spans="1:54" x14ac:dyDescent="0.3">
      <c r="A3438" s="66"/>
      <c r="B3438" s="67"/>
      <c r="C3438" s="66"/>
      <c r="D3438" s="68"/>
      <c r="E3438" s="10"/>
      <c r="F3438" s="69"/>
      <c r="G3438" s="68"/>
      <c r="H3438" s="70"/>
      <c r="BA3438" s="4"/>
      <c r="BB3438" s="4"/>
    </row>
    <row r="3439" spans="1:54" x14ac:dyDescent="0.3">
      <c r="A3439" s="66"/>
      <c r="B3439" s="67"/>
      <c r="C3439" s="66"/>
      <c r="D3439" s="68"/>
      <c r="E3439" s="10"/>
      <c r="F3439" s="69"/>
      <c r="G3439" s="68"/>
      <c r="H3439" s="70"/>
      <c r="BA3439" s="4"/>
      <c r="BB3439" s="4"/>
    </row>
    <row r="3440" spans="1:54" x14ac:dyDescent="0.3">
      <c r="A3440" s="66"/>
      <c r="B3440" s="67"/>
      <c r="C3440" s="66"/>
      <c r="D3440" s="68"/>
      <c r="E3440" s="10"/>
      <c r="F3440" s="69"/>
      <c r="G3440" s="68"/>
      <c r="H3440" s="70"/>
      <c r="BA3440" s="4"/>
      <c r="BB3440" s="4"/>
    </row>
    <row r="3441" spans="1:54" x14ac:dyDescent="0.3">
      <c r="A3441" s="66"/>
      <c r="B3441" s="67"/>
      <c r="C3441" s="66"/>
      <c r="D3441" s="68"/>
      <c r="E3441" s="10"/>
      <c r="F3441" s="69"/>
      <c r="G3441" s="68"/>
      <c r="H3441" s="70"/>
      <c r="BA3441" s="4"/>
      <c r="BB3441" s="4"/>
    </row>
    <row r="3442" spans="1:54" x14ac:dyDescent="0.3">
      <c r="A3442" s="66"/>
      <c r="B3442" s="67"/>
      <c r="C3442" s="66"/>
      <c r="D3442" s="68"/>
      <c r="E3442" s="10"/>
      <c r="F3442" s="69"/>
      <c r="G3442" s="68"/>
      <c r="H3442" s="70"/>
      <c r="BA3442" s="4"/>
      <c r="BB3442" s="4"/>
    </row>
    <row r="3443" spans="1:54" x14ac:dyDescent="0.3">
      <c r="A3443" s="66"/>
      <c r="B3443" s="67"/>
      <c r="C3443" s="66"/>
      <c r="D3443" s="68"/>
      <c r="E3443" s="10"/>
      <c r="F3443" s="69"/>
      <c r="G3443" s="68"/>
      <c r="H3443" s="70"/>
      <c r="BA3443" s="4"/>
      <c r="BB3443" s="4"/>
    </row>
    <row r="3444" spans="1:54" x14ac:dyDescent="0.3">
      <c r="A3444" s="66"/>
      <c r="B3444" s="67"/>
      <c r="C3444" s="66"/>
      <c r="D3444" s="68"/>
      <c r="E3444" s="10"/>
      <c r="F3444" s="69"/>
      <c r="G3444" s="68"/>
      <c r="H3444" s="70"/>
      <c r="BA3444" s="4"/>
      <c r="BB3444" s="4"/>
    </row>
    <row r="3445" spans="1:54" x14ac:dyDescent="0.3">
      <c r="A3445" s="66"/>
      <c r="B3445" s="67"/>
      <c r="C3445" s="66"/>
      <c r="D3445" s="68"/>
      <c r="E3445" s="10"/>
      <c r="F3445" s="69"/>
      <c r="G3445" s="68"/>
      <c r="H3445" s="70"/>
      <c r="BA3445" s="4"/>
      <c r="BB3445" s="4"/>
    </row>
    <row r="3446" spans="1:54" x14ac:dyDescent="0.3">
      <c r="A3446" s="66"/>
      <c r="B3446" s="67"/>
      <c r="C3446" s="66"/>
      <c r="D3446" s="68"/>
      <c r="E3446" s="10"/>
      <c r="F3446" s="69"/>
      <c r="G3446" s="68"/>
      <c r="H3446" s="70"/>
      <c r="BA3446" s="4"/>
      <c r="BB3446" s="4"/>
    </row>
    <row r="3447" spans="1:54" x14ac:dyDescent="0.3">
      <c r="A3447" s="66"/>
      <c r="B3447" s="67"/>
      <c r="C3447" s="66"/>
      <c r="D3447" s="68"/>
      <c r="E3447" s="10"/>
      <c r="F3447" s="69"/>
      <c r="G3447" s="68"/>
      <c r="H3447" s="70"/>
      <c r="BA3447" s="4"/>
      <c r="BB3447" s="4"/>
    </row>
    <row r="3448" spans="1:54" x14ac:dyDescent="0.3">
      <c r="A3448" s="66"/>
      <c r="B3448" s="67"/>
      <c r="C3448" s="66"/>
      <c r="D3448" s="68"/>
      <c r="E3448" s="10"/>
      <c r="F3448" s="69"/>
      <c r="G3448" s="68"/>
      <c r="H3448" s="70"/>
      <c r="BA3448" s="4"/>
      <c r="BB3448" s="4"/>
    </row>
    <row r="3449" spans="1:54" x14ac:dyDescent="0.3">
      <c r="A3449" s="66"/>
      <c r="B3449" s="67"/>
      <c r="C3449" s="66"/>
      <c r="D3449" s="68"/>
      <c r="E3449" s="10"/>
      <c r="F3449" s="69"/>
      <c r="G3449" s="68"/>
      <c r="H3449" s="70"/>
      <c r="BA3449" s="4"/>
      <c r="BB3449" s="4"/>
    </row>
    <row r="3450" spans="1:54" x14ac:dyDescent="0.3">
      <c r="A3450" s="66"/>
      <c r="B3450" s="67"/>
      <c r="C3450" s="66"/>
      <c r="D3450" s="68"/>
      <c r="E3450" s="10"/>
      <c r="F3450" s="69"/>
      <c r="G3450" s="68"/>
      <c r="H3450" s="70"/>
      <c r="BA3450" s="4"/>
      <c r="BB3450" s="4"/>
    </row>
    <row r="3451" spans="1:54" x14ac:dyDescent="0.3">
      <c r="A3451" s="66"/>
      <c r="B3451" s="67"/>
      <c r="C3451" s="66"/>
      <c r="D3451" s="68"/>
      <c r="E3451" s="10"/>
      <c r="F3451" s="69"/>
      <c r="G3451" s="68"/>
      <c r="H3451" s="70"/>
      <c r="BA3451" s="4"/>
      <c r="BB3451" s="4"/>
    </row>
    <row r="3452" spans="1:54" x14ac:dyDescent="0.3">
      <c r="A3452" s="66"/>
      <c r="B3452" s="67"/>
      <c r="C3452" s="66"/>
      <c r="D3452" s="68"/>
      <c r="E3452" s="10"/>
      <c r="F3452" s="69"/>
      <c r="G3452" s="68"/>
      <c r="H3452" s="70"/>
      <c r="BA3452" s="4"/>
      <c r="BB3452" s="4"/>
    </row>
    <row r="3453" spans="1:54" x14ac:dyDescent="0.3">
      <c r="A3453" s="66"/>
      <c r="B3453" s="67"/>
      <c r="C3453" s="66"/>
      <c r="D3453" s="68"/>
      <c r="E3453" s="10"/>
      <c r="F3453" s="69"/>
      <c r="G3453" s="68"/>
      <c r="H3453" s="70"/>
      <c r="BA3453" s="4"/>
      <c r="BB3453" s="4"/>
    </row>
    <row r="3454" spans="1:54" x14ac:dyDescent="0.3">
      <c r="A3454" s="66"/>
      <c r="B3454" s="67"/>
      <c r="C3454" s="66"/>
      <c r="D3454" s="68"/>
      <c r="E3454" s="10"/>
      <c r="F3454" s="69"/>
      <c r="G3454" s="68"/>
      <c r="H3454" s="70"/>
      <c r="BA3454" s="4"/>
      <c r="BB3454" s="4"/>
    </row>
    <row r="3455" spans="1:54" x14ac:dyDescent="0.3">
      <c r="A3455" s="66"/>
      <c r="B3455" s="67"/>
      <c r="C3455" s="66"/>
      <c r="D3455" s="68"/>
      <c r="E3455" s="10"/>
      <c r="F3455" s="69"/>
      <c r="G3455" s="68"/>
      <c r="H3455" s="70"/>
      <c r="BA3455" s="4"/>
      <c r="BB3455" s="4"/>
    </row>
    <row r="3456" spans="1:54" x14ac:dyDescent="0.3">
      <c r="A3456" s="66"/>
      <c r="B3456" s="67"/>
      <c r="C3456" s="66"/>
      <c r="D3456" s="68"/>
      <c r="E3456" s="10"/>
      <c r="F3456" s="69"/>
      <c r="G3456" s="68"/>
      <c r="H3456" s="70"/>
      <c r="BA3456" s="4"/>
      <c r="BB3456" s="4"/>
    </row>
    <row r="3457" spans="1:54" x14ac:dyDescent="0.3">
      <c r="A3457" s="66"/>
      <c r="B3457" s="67"/>
      <c r="C3457" s="66"/>
      <c r="D3457" s="68"/>
      <c r="E3457" s="10"/>
      <c r="F3457" s="69"/>
      <c r="G3457" s="68"/>
      <c r="H3457" s="70"/>
      <c r="BA3457" s="4"/>
      <c r="BB3457" s="4"/>
    </row>
    <row r="3458" spans="1:54" x14ac:dyDescent="0.3">
      <c r="A3458" s="66"/>
      <c r="B3458" s="67"/>
      <c r="C3458" s="66"/>
      <c r="D3458" s="68"/>
      <c r="E3458" s="10"/>
      <c r="F3458" s="69"/>
      <c r="G3458" s="68"/>
      <c r="H3458" s="70"/>
      <c r="BA3458" s="4"/>
      <c r="BB3458" s="4"/>
    </row>
    <row r="3459" spans="1:54" x14ac:dyDescent="0.3">
      <c r="A3459" s="66"/>
      <c r="B3459" s="67"/>
      <c r="C3459" s="66"/>
      <c r="D3459" s="68"/>
      <c r="E3459" s="10"/>
      <c r="F3459" s="69"/>
      <c r="G3459" s="68"/>
      <c r="H3459" s="70"/>
      <c r="BA3459" s="4"/>
      <c r="BB3459" s="4"/>
    </row>
    <row r="3460" spans="1:54" x14ac:dyDescent="0.3">
      <c r="A3460" s="66"/>
      <c r="B3460" s="67"/>
      <c r="C3460" s="66"/>
      <c r="D3460" s="68"/>
      <c r="E3460" s="10"/>
      <c r="F3460" s="69"/>
      <c r="G3460" s="68"/>
      <c r="H3460" s="70"/>
      <c r="BA3460" s="4"/>
      <c r="BB3460" s="4"/>
    </row>
    <row r="3461" spans="1:54" x14ac:dyDescent="0.3">
      <c r="A3461" s="66"/>
      <c r="B3461" s="67"/>
      <c r="C3461" s="66"/>
      <c r="D3461" s="68"/>
      <c r="E3461" s="10"/>
      <c r="F3461" s="69"/>
      <c r="G3461" s="68"/>
      <c r="H3461" s="70"/>
      <c r="BA3461" s="4"/>
      <c r="BB3461" s="4"/>
    </row>
    <row r="3462" spans="1:54" x14ac:dyDescent="0.3">
      <c r="A3462" s="66"/>
      <c r="B3462" s="67"/>
      <c r="C3462" s="66"/>
      <c r="D3462" s="68"/>
      <c r="E3462" s="10"/>
      <c r="F3462" s="69"/>
      <c r="G3462" s="68"/>
      <c r="H3462" s="70"/>
      <c r="BA3462" s="4"/>
      <c r="BB3462" s="4"/>
    </row>
    <row r="3463" spans="1:54" x14ac:dyDescent="0.3">
      <c r="A3463" s="66"/>
      <c r="B3463" s="67"/>
      <c r="C3463" s="66"/>
      <c r="D3463" s="68"/>
      <c r="E3463" s="10"/>
      <c r="F3463" s="69"/>
      <c r="G3463" s="68"/>
      <c r="H3463" s="70"/>
      <c r="BA3463" s="4"/>
      <c r="BB3463" s="4"/>
    </row>
    <row r="3464" spans="1:54" x14ac:dyDescent="0.3">
      <c r="A3464" s="66"/>
      <c r="B3464" s="67"/>
      <c r="C3464" s="66"/>
      <c r="D3464" s="68"/>
      <c r="E3464" s="10"/>
      <c r="F3464" s="69"/>
      <c r="G3464" s="68"/>
      <c r="H3464" s="70"/>
      <c r="BA3464" s="4"/>
      <c r="BB3464" s="4"/>
    </row>
    <row r="3465" spans="1:54" x14ac:dyDescent="0.3">
      <c r="A3465" s="66"/>
      <c r="B3465" s="67"/>
      <c r="C3465" s="66"/>
      <c r="D3465" s="68"/>
      <c r="E3465" s="10"/>
      <c r="F3465" s="69"/>
      <c r="G3465" s="68"/>
      <c r="H3465" s="70"/>
      <c r="BA3465" s="4"/>
      <c r="BB3465" s="4"/>
    </row>
    <row r="3466" spans="1:54" x14ac:dyDescent="0.3">
      <c r="A3466" s="66"/>
      <c r="B3466" s="67"/>
      <c r="C3466" s="66"/>
      <c r="D3466" s="68"/>
      <c r="E3466" s="10"/>
      <c r="F3466" s="69"/>
      <c r="G3466" s="68"/>
      <c r="H3466" s="70"/>
      <c r="BA3466" s="4"/>
      <c r="BB3466" s="4"/>
    </row>
    <row r="3467" spans="1:54" x14ac:dyDescent="0.3">
      <c r="A3467" s="66"/>
      <c r="B3467" s="67"/>
      <c r="C3467" s="66"/>
      <c r="D3467" s="68"/>
      <c r="E3467" s="10"/>
      <c r="F3467" s="69"/>
      <c r="G3467" s="68"/>
      <c r="H3467" s="70"/>
      <c r="BA3467" s="4"/>
      <c r="BB3467" s="4"/>
    </row>
    <row r="3468" spans="1:54" x14ac:dyDescent="0.3">
      <c r="A3468" s="66"/>
      <c r="B3468" s="67"/>
      <c r="C3468" s="66"/>
      <c r="D3468" s="68"/>
      <c r="E3468" s="10"/>
      <c r="F3468" s="69"/>
      <c r="G3468" s="68"/>
      <c r="H3468" s="70"/>
      <c r="BA3468" s="4"/>
      <c r="BB3468" s="4"/>
    </row>
    <row r="3469" spans="1:54" x14ac:dyDescent="0.3">
      <c r="A3469" s="66"/>
      <c r="B3469" s="67"/>
      <c r="C3469" s="66"/>
      <c r="D3469" s="68"/>
      <c r="E3469" s="10"/>
      <c r="F3469" s="69"/>
      <c r="G3469" s="68"/>
      <c r="H3469" s="70"/>
      <c r="BA3469" s="4"/>
      <c r="BB3469" s="4"/>
    </row>
    <row r="3470" spans="1:54" x14ac:dyDescent="0.3">
      <c r="A3470" s="66"/>
      <c r="B3470" s="67"/>
      <c r="C3470" s="66"/>
      <c r="D3470" s="68"/>
      <c r="E3470" s="10"/>
      <c r="F3470" s="69"/>
      <c r="G3470" s="68"/>
      <c r="H3470" s="70"/>
      <c r="BA3470" s="4"/>
      <c r="BB3470" s="4"/>
    </row>
    <row r="3471" spans="1:54" x14ac:dyDescent="0.3">
      <c r="A3471" s="66"/>
      <c r="B3471" s="67"/>
      <c r="C3471" s="66"/>
      <c r="D3471" s="68"/>
      <c r="E3471" s="10"/>
      <c r="F3471" s="69"/>
      <c r="G3471" s="68"/>
      <c r="H3471" s="70"/>
      <c r="BA3471" s="4"/>
      <c r="BB3471" s="4"/>
    </row>
    <row r="3472" spans="1:54" x14ac:dyDescent="0.3">
      <c r="A3472" s="66"/>
      <c r="B3472" s="67"/>
      <c r="C3472" s="66"/>
      <c r="D3472" s="68"/>
      <c r="E3472" s="10"/>
      <c r="F3472" s="69"/>
      <c r="G3472" s="68"/>
      <c r="H3472" s="70"/>
      <c r="BA3472" s="4"/>
      <c r="BB3472" s="4"/>
    </row>
    <row r="3473" spans="1:54" x14ac:dyDescent="0.3">
      <c r="A3473" s="66"/>
      <c r="B3473" s="67"/>
      <c r="C3473" s="66"/>
      <c r="D3473" s="68"/>
      <c r="E3473" s="10"/>
      <c r="F3473" s="69"/>
      <c r="G3473" s="68"/>
      <c r="H3473" s="70"/>
      <c r="BA3473" s="4"/>
      <c r="BB3473" s="4"/>
    </row>
    <row r="3474" spans="1:54" x14ac:dyDescent="0.3">
      <c r="A3474" s="66"/>
      <c r="B3474" s="67"/>
      <c r="C3474" s="66"/>
      <c r="D3474" s="68"/>
      <c r="E3474" s="10"/>
      <c r="F3474" s="69"/>
      <c r="G3474" s="68"/>
      <c r="H3474" s="70"/>
      <c r="BA3474" s="4"/>
      <c r="BB3474" s="4"/>
    </row>
    <row r="3475" spans="1:54" x14ac:dyDescent="0.3">
      <c r="A3475" s="66"/>
      <c r="B3475" s="67"/>
      <c r="C3475" s="66"/>
      <c r="D3475" s="68"/>
      <c r="E3475" s="10"/>
      <c r="F3475" s="69"/>
      <c r="G3475" s="68"/>
      <c r="H3475" s="70"/>
      <c r="BA3475" s="4"/>
      <c r="BB3475" s="4"/>
    </row>
    <row r="3476" spans="1:54" x14ac:dyDescent="0.3">
      <c r="A3476" s="66"/>
      <c r="B3476" s="67"/>
      <c r="C3476" s="66"/>
      <c r="D3476" s="68"/>
      <c r="E3476" s="10"/>
      <c r="F3476" s="69"/>
      <c r="G3476" s="68"/>
      <c r="H3476" s="70"/>
      <c r="BA3476" s="4"/>
      <c r="BB3476" s="4"/>
    </row>
    <row r="3477" spans="1:54" x14ac:dyDescent="0.3">
      <c r="A3477" s="66"/>
      <c r="B3477" s="67"/>
      <c r="C3477" s="66"/>
      <c r="D3477" s="68"/>
      <c r="E3477" s="10"/>
      <c r="F3477" s="69"/>
      <c r="G3477" s="68"/>
      <c r="H3477" s="70"/>
      <c r="BA3477" s="4"/>
      <c r="BB3477" s="4"/>
    </row>
    <row r="3478" spans="1:54" x14ac:dyDescent="0.3">
      <c r="A3478" s="66"/>
      <c r="B3478" s="67"/>
      <c r="C3478" s="66"/>
      <c r="D3478" s="68"/>
      <c r="E3478" s="10"/>
      <c r="F3478" s="69"/>
      <c r="G3478" s="68"/>
      <c r="H3478" s="70"/>
      <c r="BA3478" s="4"/>
      <c r="BB3478" s="4"/>
    </row>
    <row r="3479" spans="1:54" x14ac:dyDescent="0.3">
      <c r="A3479" s="66"/>
      <c r="B3479" s="67"/>
      <c r="C3479" s="66"/>
      <c r="D3479" s="68"/>
      <c r="E3479" s="10"/>
      <c r="F3479" s="69"/>
      <c r="G3479" s="68"/>
      <c r="H3479" s="70"/>
      <c r="BA3479" s="4"/>
      <c r="BB3479" s="4"/>
    </row>
    <row r="3480" spans="1:54" x14ac:dyDescent="0.3">
      <c r="A3480" s="66"/>
      <c r="B3480" s="67"/>
      <c r="C3480" s="66"/>
      <c r="D3480" s="68"/>
      <c r="E3480" s="10"/>
      <c r="F3480" s="69"/>
      <c r="G3480" s="68"/>
      <c r="H3480" s="70"/>
      <c r="BA3480" s="4"/>
      <c r="BB3480" s="4"/>
    </row>
    <row r="3481" spans="1:54" x14ac:dyDescent="0.3">
      <c r="A3481" s="66"/>
      <c r="B3481" s="67"/>
      <c r="C3481" s="66"/>
      <c r="D3481" s="68"/>
      <c r="E3481" s="10"/>
      <c r="F3481" s="69"/>
      <c r="G3481" s="68"/>
      <c r="H3481" s="70"/>
      <c r="BA3481" s="4"/>
      <c r="BB3481" s="4"/>
    </row>
    <row r="3482" spans="1:54" x14ac:dyDescent="0.3">
      <c r="A3482" s="66"/>
      <c r="B3482" s="67"/>
      <c r="C3482" s="66"/>
      <c r="D3482" s="68"/>
      <c r="E3482" s="10"/>
      <c r="F3482" s="69"/>
      <c r="G3482" s="68"/>
      <c r="H3482" s="70"/>
      <c r="BA3482" s="4"/>
      <c r="BB3482" s="4"/>
    </row>
    <row r="3483" spans="1:54" x14ac:dyDescent="0.3">
      <c r="A3483" s="66"/>
      <c r="B3483" s="67"/>
      <c r="C3483" s="66"/>
      <c r="D3483" s="68"/>
      <c r="E3483" s="10"/>
      <c r="F3483" s="69"/>
      <c r="G3483" s="68"/>
      <c r="H3483" s="70"/>
      <c r="BA3483" s="4"/>
      <c r="BB3483" s="4"/>
    </row>
    <row r="3484" spans="1:54" x14ac:dyDescent="0.3">
      <c r="A3484" s="66"/>
      <c r="B3484" s="67"/>
      <c r="C3484" s="66"/>
      <c r="D3484" s="68"/>
      <c r="E3484" s="10"/>
      <c r="F3484" s="69"/>
      <c r="G3484" s="68"/>
      <c r="H3484" s="70"/>
      <c r="BA3484" s="4"/>
      <c r="BB3484" s="4"/>
    </row>
    <row r="3485" spans="1:54" x14ac:dyDescent="0.3">
      <c r="A3485" s="66"/>
      <c r="B3485" s="67"/>
      <c r="C3485" s="66"/>
      <c r="D3485" s="68"/>
      <c r="E3485" s="10"/>
      <c r="F3485" s="69"/>
      <c r="G3485" s="68"/>
      <c r="H3485" s="70"/>
      <c r="BA3485" s="4"/>
      <c r="BB3485" s="4"/>
    </row>
    <row r="3486" spans="1:54" x14ac:dyDescent="0.3">
      <c r="A3486" s="66"/>
      <c r="B3486" s="67"/>
      <c r="C3486" s="66"/>
      <c r="D3486" s="68"/>
      <c r="E3486" s="10"/>
      <c r="F3486" s="69"/>
      <c r="G3486" s="68"/>
      <c r="H3486" s="70"/>
      <c r="BA3486" s="4"/>
      <c r="BB3486" s="4"/>
    </row>
    <row r="3487" spans="1:54" x14ac:dyDescent="0.3">
      <c r="A3487" s="66"/>
      <c r="B3487" s="67"/>
      <c r="C3487" s="66"/>
      <c r="D3487" s="68"/>
      <c r="E3487" s="10"/>
      <c r="F3487" s="69"/>
      <c r="G3487" s="68"/>
      <c r="H3487" s="70"/>
      <c r="BA3487" s="4"/>
      <c r="BB3487" s="4"/>
    </row>
    <row r="3488" spans="1:54" x14ac:dyDescent="0.3">
      <c r="A3488" s="66"/>
      <c r="B3488" s="67"/>
      <c r="C3488" s="66"/>
      <c r="D3488" s="68"/>
      <c r="E3488" s="10"/>
      <c r="F3488" s="69"/>
      <c r="G3488" s="68"/>
      <c r="H3488" s="70"/>
      <c r="BA3488" s="4"/>
      <c r="BB3488" s="4"/>
    </row>
    <row r="3489" spans="1:54" x14ac:dyDescent="0.3">
      <c r="A3489" s="66"/>
      <c r="B3489" s="67"/>
      <c r="C3489" s="66"/>
      <c r="D3489" s="68"/>
      <c r="E3489" s="10"/>
      <c r="F3489" s="69"/>
      <c r="G3489" s="68"/>
      <c r="H3489" s="70"/>
      <c r="BA3489" s="4"/>
      <c r="BB3489" s="4"/>
    </row>
    <row r="3490" spans="1:54" x14ac:dyDescent="0.3">
      <c r="A3490" s="66"/>
      <c r="B3490" s="67"/>
      <c r="C3490" s="66"/>
      <c r="D3490" s="68"/>
      <c r="E3490" s="10"/>
      <c r="F3490" s="69"/>
      <c r="G3490" s="68"/>
      <c r="H3490" s="70"/>
      <c r="BA3490" s="4"/>
      <c r="BB3490" s="4"/>
    </row>
    <row r="3491" spans="1:54" x14ac:dyDescent="0.3">
      <c r="A3491" s="66"/>
      <c r="B3491" s="67"/>
      <c r="C3491" s="66"/>
      <c r="D3491" s="68"/>
      <c r="E3491" s="10"/>
      <c r="F3491" s="69"/>
      <c r="G3491" s="68"/>
      <c r="H3491" s="70"/>
      <c r="BA3491" s="4"/>
      <c r="BB3491" s="4"/>
    </row>
    <row r="3492" spans="1:54" x14ac:dyDescent="0.3">
      <c r="A3492" s="66"/>
      <c r="B3492" s="67"/>
      <c r="C3492" s="66"/>
      <c r="D3492" s="68"/>
      <c r="E3492" s="10"/>
      <c r="F3492" s="69"/>
      <c r="G3492" s="68"/>
      <c r="H3492" s="70"/>
      <c r="BA3492" s="4"/>
      <c r="BB3492" s="4"/>
    </row>
    <row r="3493" spans="1:54" x14ac:dyDescent="0.3">
      <c r="A3493" s="66"/>
      <c r="B3493" s="67"/>
      <c r="C3493" s="66"/>
      <c r="D3493" s="68"/>
      <c r="E3493" s="10"/>
      <c r="F3493" s="69"/>
      <c r="G3493" s="68"/>
      <c r="H3493" s="70"/>
      <c r="BA3493" s="4"/>
      <c r="BB3493" s="4"/>
    </row>
    <row r="3494" spans="1:54" x14ac:dyDescent="0.3">
      <c r="A3494" s="66"/>
      <c r="B3494" s="67"/>
      <c r="C3494" s="66"/>
      <c r="D3494" s="68"/>
      <c r="E3494" s="10"/>
      <c r="F3494" s="69"/>
      <c r="G3494" s="68"/>
      <c r="H3494" s="70"/>
      <c r="BA3494" s="4"/>
      <c r="BB3494" s="4"/>
    </row>
    <row r="3495" spans="1:54" x14ac:dyDescent="0.3">
      <c r="A3495" s="66"/>
      <c r="B3495" s="67"/>
      <c r="C3495" s="66"/>
      <c r="D3495" s="68"/>
      <c r="E3495" s="10"/>
      <c r="F3495" s="69"/>
      <c r="G3495" s="68"/>
      <c r="H3495" s="70"/>
      <c r="BA3495" s="4"/>
      <c r="BB3495" s="4"/>
    </row>
    <row r="3496" spans="1:54" x14ac:dyDescent="0.3">
      <c r="A3496" s="66"/>
      <c r="B3496" s="67"/>
      <c r="C3496" s="66"/>
      <c r="D3496" s="68"/>
      <c r="E3496" s="10"/>
      <c r="F3496" s="69"/>
      <c r="G3496" s="68"/>
      <c r="H3496" s="70"/>
      <c r="BA3496" s="4"/>
      <c r="BB3496" s="4"/>
    </row>
    <row r="3497" spans="1:54" x14ac:dyDescent="0.3">
      <c r="A3497" s="66"/>
      <c r="B3497" s="67"/>
      <c r="C3497" s="66"/>
      <c r="D3497" s="68"/>
      <c r="E3497" s="10"/>
      <c r="F3497" s="69"/>
      <c r="G3497" s="68"/>
      <c r="H3497" s="70"/>
      <c r="BA3497" s="4"/>
      <c r="BB3497" s="4"/>
    </row>
    <row r="3498" spans="1:54" x14ac:dyDescent="0.3">
      <c r="A3498" s="66"/>
      <c r="B3498" s="67"/>
      <c r="C3498" s="66"/>
      <c r="D3498" s="68"/>
      <c r="E3498" s="10"/>
      <c r="F3498" s="69"/>
      <c r="G3498" s="68"/>
      <c r="H3498" s="70"/>
      <c r="BA3498" s="4"/>
      <c r="BB3498" s="4"/>
    </row>
    <row r="3499" spans="1:54" x14ac:dyDescent="0.3">
      <c r="A3499" s="66"/>
      <c r="B3499" s="67"/>
      <c r="C3499" s="66"/>
      <c r="D3499" s="68"/>
      <c r="E3499" s="10"/>
      <c r="F3499" s="69"/>
      <c r="G3499" s="68"/>
      <c r="H3499" s="70"/>
      <c r="BA3499" s="4"/>
      <c r="BB3499" s="4"/>
    </row>
    <row r="3500" spans="1:54" x14ac:dyDescent="0.3">
      <c r="A3500" s="66"/>
      <c r="B3500" s="67"/>
      <c r="C3500" s="66"/>
      <c r="D3500" s="68"/>
      <c r="E3500" s="10"/>
      <c r="F3500" s="69"/>
      <c r="G3500" s="68"/>
      <c r="H3500" s="70"/>
      <c r="BA3500" s="4"/>
      <c r="BB3500" s="4"/>
    </row>
    <row r="3501" spans="1:54" x14ac:dyDescent="0.3">
      <c r="A3501" s="66"/>
      <c r="B3501" s="67"/>
      <c r="C3501" s="66"/>
      <c r="D3501" s="68"/>
      <c r="E3501" s="10"/>
      <c r="F3501" s="69"/>
      <c r="G3501" s="68"/>
      <c r="H3501" s="70"/>
      <c r="BA3501" s="4"/>
      <c r="BB3501" s="4"/>
    </row>
    <row r="3502" spans="1:54" x14ac:dyDescent="0.3">
      <c r="A3502" s="66"/>
      <c r="B3502" s="67"/>
      <c r="C3502" s="66"/>
      <c r="D3502" s="68"/>
      <c r="E3502" s="10"/>
      <c r="F3502" s="69"/>
      <c r="G3502" s="68"/>
      <c r="H3502" s="70"/>
      <c r="BA3502" s="4"/>
      <c r="BB3502" s="4"/>
    </row>
    <row r="3503" spans="1:54" x14ac:dyDescent="0.3">
      <c r="A3503" s="66"/>
      <c r="B3503" s="67"/>
      <c r="C3503" s="66"/>
      <c r="D3503" s="68"/>
      <c r="E3503" s="10"/>
      <c r="F3503" s="69"/>
      <c r="G3503" s="68"/>
      <c r="H3503" s="70"/>
      <c r="BA3503" s="4"/>
      <c r="BB3503" s="4"/>
    </row>
    <row r="3504" spans="1:54" x14ac:dyDescent="0.3">
      <c r="A3504" s="66"/>
      <c r="B3504" s="67"/>
      <c r="C3504" s="66"/>
      <c r="D3504" s="68"/>
      <c r="E3504" s="10"/>
      <c r="F3504" s="69"/>
      <c r="G3504" s="68"/>
      <c r="H3504" s="70"/>
      <c r="BA3504" s="4"/>
      <c r="BB3504" s="4"/>
    </row>
    <row r="3505" spans="1:54" x14ac:dyDescent="0.3">
      <c r="A3505" s="66"/>
      <c r="B3505" s="67"/>
      <c r="C3505" s="66"/>
      <c r="D3505" s="68"/>
      <c r="E3505" s="10"/>
      <c r="F3505" s="69"/>
      <c r="G3505" s="68"/>
      <c r="H3505" s="70"/>
      <c r="BA3505" s="4"/>
      <c r="BB3505" s="4"/>
    </row>
    <row r="3506" spans="1:54" x14ac:dyDescent="0.3">
      <c r="A3506" s="66"/>
      <c r="B3506" s="67"/>
      <c r="C3506" s="66"/>
      <c r="D3506" s="68"/>
      <c r="E3506" s="10"/>
      <c r="F3506" s="69"/>
      <c r="G3506" s="68"/>
      <c r="H3506" s="70"/>
      <c r="BA3506" s="4"/>
      <c r="BB3506" s="4"/>
    </row>
    <row r="3507" spans="1:54" x14ac:dyDescent="0.3">
      <c r="A3507" s="66"/>
      <c r="B3507" s="67"/>
      <c r="C3507" s="66"/>
      <c r="D3507" s="68"/>
      <c r="E3507" s="10"/>
      <c r="F3507" s="69"/>
      <c r="G3507" s="68"/>
      <c r="H3507" s="70"/>
      <c r="BA3507" s="4"/>
      <c r="BB3507" s="4"/>
    </row>
    <row r="3508" spans="1:54" x14ac:dyDescent="0.3">
      <c r="A3508" s="66"/>
      <c r="B3508" s="67"/>
      <c r="C3508" s="66"/>
      <c r="D3508" s="68"/>
      <c r="E3508" s="10"/>
      <c r="F3508" s="69"/>
      <c r="G3508" s="68"/>
      <c r="H3508" s="70"/>
      <c r="BA3508" s="4"/>
      <c r="BB3508" s="4"/>
    </row>
    <row r="3509" spans="1:54" x14ac:dyDescent="0.3">
      <c r="A3509" s="66"/>
      <c r="B3509" s="67"/>
      <c r="C3509" s="66"/>
      <c r="D3509" s="68"/>
      <c r="E3509" s="10"/>
      <c r="F3509" s="69"/>
      <c r="G3509" s="68"/>
      <c r="H3509" s="70"/>
      <c r="BA3509" s="4"/>
      <c r="BB3509" s="4"/>
    </row>
    <row r="3510" spans="1:54" x14ac:dyDescent="0.3">
      <c r="A3510" s="66"/>
      <c r="B3510" s="67"/>
      <c r="C3510" s="66"/>
      <c r="D3510" s="68"/>
      <c r="E3510" s="10"/>
      <c r="F3510" s="69"/>
      <c r="G3510" s="68"/>
      <c r="H3510" s="70"/>
      <c r="BA3510" s="4"/>
      <c r="BB3510" s="4"/>
    </row>
    <row r="3511" spans="1:54" x14ac:dyDescent="0.3">
      <c r="A3511" s="66"/>
      <c r="B3511" s="67"/>
      <c r="C3511" s="66"/>
      <c r="D3511" s="68"/>
      <c r="E3511" s="10"/>
      <c r="F3511" s="69"/>
      <c r="G3511" s="68"/>
      <c r="H3511" s="70"/>
      <c r="BA3511" s="4"/>
      <c r="BB3511" s="4"/>
    </row>
    <row r="3512" spans="1:54" x14ac:dyDescent="0.3">
      <c r="A3512" s="66"/>
      <c r="B3512" s="67"/>
      <c r="C3512" s="66"/>
      <c r="D3512" s="68"/>
      <c r="E3512" s="10"/>
      <c r="F3512" s="69"/>
      <c r="G3512" s="68"/>
      <c r="H3512" s="70"/>
      <c r="BA3512" s="4"/>
      <c r="BB3512" s="4"/>
    </row>
    <row r="3513" spans="1:54" x14ac:dyDescent="0.3">
      <c r="A3513" s="66"/>
      <c r="B3513" s="67"/>
      <c r="C3513" s="66"/>
      <c r="D3513" s="68"/>
      <c r="E3513" s="10"/>
      <c r="F3513" s="69"/>
      <c r="G3513" s="68"/>
      <c r="H3513" s="70"/>
      <c r="BA3513" s="4"/>
      <c r="BB3513" s="4"/>
    </row>
    <row r="3514" spans="1:54" x14ac:dyDescent="0.3">
      <c r="A3514" s="66"/>
      <c r="B3514" s="67"/>
      <c r="C3514" s="66"/>
      <c r="D3514" s="68"/>
      <c r="E3514" s="10"/>
      <c r="F3514" s="69"/>
      <c r="G3514" s="68"/>
      <c r="H3514" s="70"/>
      <c r="BA3514" s="4"/>
      <c r="BB3514" s="4"/>
    </row>
    <row r="3515" spans="1:54" x14ac:dyDescent="0.3">
      <c r="A3515" s="66"/>
      <c r="B3515" s="67"/>
      <c r="C3515" s="66"/>
      <c r="D3515" s="68"/>
      <c r="E3515" s="10"/>
      <c r="F3515" s="69"/>
      <c r="G3515" s="68"/>
      <c r="H3515" s="70"/>
      <c r="BA3515" s="4"/>
      <c r="BB3515" s="4"/>
    </row>
    <row r="3516" spans="1:54" x14ac:dyDescent="0.3">
      <c r="A3516" s="66"/>
      <c r="B3516" s="67"/>
      <c r="C3516" s="66"/>
      <c r="D3516" s="68"/>
      <c r="E3516" s="10"/>
      <c r="F3516" s="69"/>
      <c r="G3516" s="68"/>
      <c r="H3516" s="70"/>
      <c r="BA3516" s="4"/>
      <c r="BB3516" s="4"/>
    </row>
    <row r="3517" spans="1:54" x14ac:dyDescent="0.3">
      <c r="A3517" s="66"/>
      <c r="B3517" s="67"/>
      <c r="C3517" s="66"/>
      <c r="D3517" s="68"/>
      <c r="E3517" s="10"/>
      <c r="F3517" s="69"/>
      <c r="G3517" s="68"/>
      <c r="H3517" s="70"/>
      <c r="BA3517" s="4"/>
      <c r="BB3517" s="4"/>
    </row>
    <row r="3518" spans="1:54" x14ac:dyDescent="0.3">
      <c r="A3518" s="66"/>
      <c r="B3518" s="67"/>
      <c r="C3518" s="66"/>
      <c r="D3518" s="68"/>
      <c r="E3518" s="10"/>
      <c r="F3518" s="69"/>
      <c r="G3518" s="68"/>
      <c r="H3518" s="70"/>
      <c r="BA3518" s="4"/>
      <c r="BB3518" s="4"/>
    </row>
    <row r="3519" spans="1:54" x14ac:dyDescent="0.3">
      <c r="A3519" s="66"/>
      <c r="B3519" s="67"/>
      <c r="C3519" s="66"/>
      <c r="D3519" s="68"/>
      <c r="E3519" s="10"/>
      <c r="F3519" s="69"/>
      <c r="G3519" s="68"/>
      <c r="H3519" s="70"/>
      <c r="BA3519" s="4"/>
      <c r="BB3519" s="4"/>
    </row>
    <row r="3520" spans="1:54" x14ac:dyDescent="0.3">
      <c r="A3520" s="66"/>
      <c r="B3520" s="67"/>
      <c r="C3520" s="66"/>
      <c r="D3520" s="68"/>
      <c r="E3520" s="10"/>
      <c r="F3520" s="69"/>
      <c r="G3520" s="68"/>
      <c r="H3520" s="70"/>
      <c r="BA3520" s="4"/>
      <c r="BB3520" s="4"/>
    </row>
    <row r="3521" spans="1:54" x14ac:dyDescent="0.3">
      <c r="A3521" s="66"/>
      <c r="B3521" s="67"/>
      <c r="C3521" s="66"/>
      <c r="D3521" s="68"/>
      <c r="E3521" s="10"/>
      <c r="F3521" s="69"/>
      <c r="G3521" s="68"/>
      <c r="H3521" s="70"/>
      <c r="BA3521" s="4"/>
      <c r="BB3521" s="4"/>
    </row>
    <row r="3522" spans="1:54" x14ac:dyDescent="0.3">
      <c r="A3522" s="66"/>
      <c r="B3522" s="67"/>
      <c r="C3522" s="66"/>
      <c r="D3522" s="68"/>
      <c r="E3522" s="10"/>
      <c r="F3522" s="69"/>
      <c r="G3522" s="68"/>
      <c r="H3522" s="70"/>
      <c r="BA3522" s="4"/>
      <c r="BB3522" s="4"/>
    </row>
    <row r="3523" spans="1:54" x14ac:dyDescent="0.3">
      <c r="A3523" s="66"/>
      <c r="B3523" s="67"/>
      <c r="C3523" s="66"/>
      <c r="D3523" s="68"/>
      <c r="E3523" s="10"/>
      <c r="F3523" s="69"/>
      <c r="G3523" s="68"/>
      <c r="H3523" s="70"/>
      <c r="BA3523" s="4"/>
      <c r="BB3523" s="4"/>
    </row>
    <row r="3524" spans="1:54" x14ac:dyDescent="0.3">
      <c r="A3524" s="66"/>
      <c r="B3524" s="67"/>
      <c r="C3524" s="66"/>
      <c r="D3524" s="68"/>
      <c r="E3524" s="10"/>
      <c r="F3524" s="69"/>
      <c r="G3524" s="68"/>
      <c r="H3524" s="70"/>
      <c r="BA3524" s="4"/>
      <c r="BB3524" s="4"/>
    </row>
    <row r="3525" spans="1:54" x14ac:dyDescent="0.3">
      <c r="A3525" s="66"/>
      <c r="B3525" s="67"/>
      <c r="C3525" s="66"/>
      <c r="D3525" s="68"/>
      <c r="E3525" s="10"/>
      <c r="F3525" s="69"/>
      <c r="G3525" s="68"/>
      <c r="H3525" s="70"/>
      <c r="BA3525" s="4"/>
      <c r="BB3525" s="4"/>
    </row>
    <row r="3526" spans="1:54" x14ac:dyDescent="0.3">
      <c r="A3526" s="66"/>
      <c r="B3526" s="67"/>
      <c r="C3526" s="66"/>
      <c r="D3526" s="68"/>
      <c r="E3526" s="10"/>
      <c r="F3526" s="69"/>
      <c r="G3526" s="68"/>
      <c r="H3526" s="70"/>
      <c r="BA3526" s="4"/>
      <c r="BB3526" s="4"/>
    </row>
    <row r="3527" spans="1:54" x14ac:dyDescent="0.3">
      <c r="A3527" s="66"/>
      <c r="B3527" s="67"/>
      <c r="C3527" s="66"/>
      <c r="D3527" s="68"/>
      <c r="E3527" s="10"/>
      <c r="F3527" s="69"/>
      <c r="G3527" s="68"/>
      <c r="H3527" s="70"/>
      <c r="BA3527" s="4"/>
      <c r="BB3527" s="4"/>
    </row>
    <row r="3528" spans="1:54" x14ac:dyDescent="0.3">
      <c r="A3528" s="66"/>
      <c r="B3528" s="67"/>
      <c r="C3528" s="66"/>
      <c r="D3528" s="68"/>
      <c r="E3528" s="10"/>
      <c r="F3528" s="69"/>
      <c r="G3528" s="68"/>
      <c r="H3528" s="70"/>
      <c r="BA3528" s="4"/>
      <c r="BB3528" s="4"/>
    </row>
    <row r="3529" spans="1:54" x14ac:dyDescent="0.3">
      <c r="A3529" s="66"/>
      <c r="B3529" s="67"/>
      <c r="C3529" s="66"/>
      <c r="D3529" s="68"/>
      <c r="E3529" s="10"/>
      <c r="F3529" s="69"/>
      <c r="G3529" s="68"/>
      <c r="H3529" s="70"/>
      <c r="BA3529" s="4"/>
      <c r="BB3529" s="4"/>
    </row>
    <row r="3530" spans="1:54" x14ac:dyDescent="0.3">
      <c r="A3530" s="66"/>
      <c r="B3530" s="67"/>
      <c r="C3530" s="66"/>
      <c r="D3530" s="68"/>
      <c r="E3530" s="10"/>
      <c r="F3530" s="69"/>
      <c r="G3530" s="68"/>
      <c r="H3530" s="70"/>
      <c r="BA3530" s="4"/>
      <c r="BB3530" s="4"/>
    </row>
    <row r="3531" spans="1:54" x14ac:dyDescent="0.3">
      <c r="A3531" s="66"/>
      <c r="B3531" s="67"/>
      <c r="C3531" s="66"/>
      <c r="D3531" s="68"/>
      <c r="E3531" s="10"/>
      <c r="F3531" s="69"/>
      <c r="G3531" s="68"/>
      <c r="H3531" s="70"/>
      <c r="BA3531" s="4"/>
      <c r="BB3531" s="4"/>
    </row>
    <row r="3532" spans="1:54" x14ac:dyDescent="0.3">
      <c r="A3532" s="66"/>
      <c r="B3532" s="67"/>
      <c r="C3532" s="66"/>
      <c r="D3532" s="68"/>
      <c r="E3532" s="10"/>
      <c r="F3532" s="69"/>
      <c r="G3532" s="68"/>
      <c r="H3532" s="70"/>
      <c r="BA3532" s="4"/>
      <c r="BB3532" s="4"/>
    </row>
    <row r="3533" spans="1:54" x14ac:dyDescent="0.3">
      <c r="A3533" s="66"/>
      <c r="B3533" s="67"/>
      <c r="C3533" s="66"/>
      <c r="D3533" s="68"/>
      <c r="E3533" s="10"/>
      <c r="F3533" s="69"/>
      <c r="G3533" s="68"/>
      <c r="H3533" s="70"/>
      <c r="BA3533" s="4"/>
      <c r="BB3533" s="4"/>
    </row>
    <row r="3534" spans="1:54" x14ac:dyDescent="0.3">
      <c r="A3534" s="66"/>
      <c r="B3534" s="67"/>
      <c r="C3534" s="66"/>
      <c r="D3534" s="68"/>
      <c r="E3534" s="10"/>
      <c r="F3534" s="69"/>
      <c r="G3534" s="68"/>
      <c r="H3534" s="70"/>
      <c r="BA3534" s="4"/>
      <c r="BB3534" s="4"/>
    </row>
    <row r="3535" spans="1:54" x14ac:dyDescent="0.3">
      <c r="A3535" s="66"/>
      <c r="B3535" s="67"/>
      <c r="C3535" s="66"/>
      <c r="D3535" s="68"/>
      <c r="E3535" s="10"/>
      <c r="F3535" s="69"/>
      <c r="G3535" s="68"/>
      <c r="H3535" s="70"/>
      <c r="BA3535" s="4"/>
      <c r="BB3535" s="4"/>
    </row>
    <row r="3536" spans="1:54" x14ac:dyDescent="0.3">
      <c r="A3536" s="66"/>
      <c r="B3536" s="67"/>
      <c r="C3536" s="66"/>
      <c r="D3536" s="68"/>
      <c r="E3536" s="10"/>
      <c r="F3536" s="69"/>
      <c r="G3536" s="68"/>
      <c r="H3536" s="70"/>
      <c r="BA3536" s="4"/>
      <c r="BB3536" s="4"/>
    </row>
    <row r="3537" spans="1:54" x14ac:dyDescent="0.3">
      <c r="A3537" s="66"/>
      <c r="B3537" s="67"/>
      <c r="C3537" s="66"/>
      <c r="D3537" s="68"/>
      <c r="E3537" s="10"/>
      <c r="F3537" s="69"/>
      <c r="G3537" s="68"/>
      <c r="H3537" s="70"/>
      <c r="BA3537" s="4"/>
      <c r="BB3537" s="4"/>
    </row>
    <row r="3538" spans="1:54" x14ac:dyDescent="0.3">
      <c r="A3538" s="66"/>
      <c r="B3538" s="67"/>
      <c r="C3538" s="66"/>
      <c r="D3538" s="68"/>
      <c r="E3538" s="10"/>
      <c r="F3538" s="69"/>
      <c r="G3538" s="68"/>
      <c r="H3538" s="70"/>
      <c r="BA3538" s="4"/>
      <c r="BB3538" s="4"/>
    </row>
    <row r="3539" spans="1:54" x14ac:dyDescent="0.3">
      <c r="A3539" s="66"/>
      <c r="B3539" s="67"/>
      <c r="C3539" s="66"/>
      <c r="D3539" s="68"/>
      <c r="E3539" s="10"/>
      <c r="F3539" s="69"/>
      <c r="G3539" s="68"/>
      <c r="H3539" s="70"/>
      <c r="BA3539" s="4"/>
      <c r="BB3539" s="4"/>
    </row>
    <row r="3540" spans="1:54" x14ac:dyDescent="0.3">
      <c r="A3540" s="66"/>
      <c r="B3540" s="67"/>
      <c r="C3540" s="66"/>
      <c r="D3540" s="68"/>
      <c r="E3540" s="10"/>
      <c r="F3540" s="69"/>
      <c r="G3540" s="68"/>
      <c r="H3540" s="70"/>
      <c r="BA3540" s="4"/>
      <c r="BB3540" s="4"/>
    </row>
    <row r="3541" spans="1:54" x14ac:dyDescent="0.3">
      <c r="A3541" s="66"/>
      <c r="B3541" s="67"/>
      <c r="C3541" s="66"/>
      <c r="D3541" s="68"/>
      <c r="E3541" s="10"/>
      <c r="F3541" s="69"/>
      <c r="G3541" s="68"/>
      <c r="H3541" s="70"/>
      <c r="BA3541" s="4"/>
      <c r="BB3541" s="4"/>
    </row>
    <row r="3542" spans="1:54" x14ac:dyDescent="0.3">
      <c r="A3542" s="66"/>
      <c r="B3542" s="67"/>
      <c r="C3542" s="66"/>
      <c r="D3542" s="68"/>
      <c r="E3542" s="10"/>
      <c r="F3542" s="69"/>
      <c r="G3542" s="68"/>
      <c r="H3542" s="70"/>
      <c r="BA3542" s="4"/>
      <c r="BB3542" s="4"/>
    </row>
    <row r="3543" spans="1:54" x14ac:dyDescent="0.3">
      <c r="A3543" s="66"/>
      <c r="B3543" s="67"/>
      <c r="C3543" s="66"/>
      <c r="D3543" s="68"/>
      <c r="E3543" s="10"/>
      <c r="F3543" s="69"/>
      <c r="G3543" s="68"/>
      <c r="H3543" s="70"/>
      <c r="BA3543" s="4"/>
      <c r="BB3543" s="4"/>
    </row>
    <row r="3544" spans="1:54" x14ac:dyDescent="0.3">
      <c r="A3544" s="66"/>
      <c r="B3544" s="67"/>
      <c r="C3544" s="66"/>
      <c r="D3544" s="68"/>
      <c r="E3544" s="10"/>
      <c r="F3544" s="69"/>
      <c r="G3544" s="68"/>
      <c r="H3544" s="70"/>
      <c r="BA3544" s="4"/>
      <c r="BB3544" s="4"/>
    </row>
    <row r="3545" spans="1:54" x14ac:dyDescent="0.3">
      <c r="A3545" s="66"/>
      <c r="B3545" s="67"/>
      <c r="C3545" s="66"/>
      <c r="D3545" s="68"/>
      <c r="E3545" s="10"/>
      <c r="F3545" s="69"/>
      <c r="G3545" s="68"/>
      <c r="H3545" s="70"/>
      <c r="BA3545" s="4"/>
      <c r="BB3545" s="4"/>
    </row>
    <row r="3546" spans="1:54" x14ac:dyDescent="0.3">
      <c r="A3546" s="66"/>
      <c r="B3546" s="67"/>
      <c r="C3546" s="66"/>
      <c r="D3546" s="68"/>
      <c r="E3546" s="10"/>
      <c r="F3546" s="69"/>
      <c r="G3546" s="68"/>
      <c r="H3546" s="70"/>
      <c r="BA3546" s="4"/>
      <c r="BB3546" s="4"/>
    </row>
    <row r="3547" spans="1:54" x14ac:dyDescent="0.3">
      <c r="A3547" s="66"/>
      <c r="B3547" s="67"/>
      <c r="C3547" s="66"/>
      <c r="D3547" s="68"/>
      <c r="E3547" s="10"/>
      <c r="F3547" s="69"/>
      <c r="G3547" s="68"/>
      <c r="H3547" s="70"/>
      <c r="BA3547" s="4"/>
      <c r="BB3547" s="4"/>
    </row>
    <row r="3548" spans="1:54" x14ac:dyDescent="0.3">
      <c r="A3548" s="66"/>
      <c r="B3548" s="67"/>
      <c r="C3548" s="66"/>
      <c r="D3548" s="68"/>
      <c r="E3548" s="10"/>
      <c r="F3548" s="69"/>
      <c r="G3548" s="68"/>
      <c r="H3548" s="70"/>
      <c r="BA3548" s="4"/>
      <c r="BB3548" s="4"/>
    </row>
    <row r="3549" spans="1:54" x14ac:dyDescent="0.3">
      <c r="A3549" s="66"/>
      <c r="B3549" s="67"/>
      <c r="C3549" s="66"/>
      <c r="D3549" s="68"/>
      <c r="E3549" s="10"/>
      <c r="F3549" s="69"/>
      <c r="G3549" s="68"/>
      <c r="H3549" s="70"/>
      <c r="BA3549" s="4"/>
      <c r="BB3549" s="4"/>
    </row>
    <row r="3550" spans="1:54" x14ac:dyDescent="0.3">
      <c r="A3550" s="66"/>
      <c r="B3550" s="67"/>
      <c r="C3550" s="66"/>
      <c r="D3550" s="68"/>
      <c r="E3550" s="10"/>
      <c r="F3550" s="69"/>
      <c r="G3550" s="68"/>
      <c r="H3550" s="70"/>
      <c r="BA3550" s="4"/>
      <c r="BB3550" s="4"/>
    </row>
    <row r="3551" spans="1:54" x14ac:dyDescent="0.3">
      <c r="A3551" s="66"/>
      <c r="B3551" s="67"/>
      <c r="C3551" s="66"/>
      <c r="D3551" s="68"/>
      <c r="E3551" s="10"/>
      <c r="F3551" s="69"/>
      <c r="G3551" s="68"/>
      <c r="H3551" s="70"/>
      <c r="BA3551" s="4"/>
      <c r="BB3551" s="4"/>
    </row>
    <row r="3552" spans="1:54" x14ac:dyDescent="0.3">
      <c r="A3552" s="66"/>
      <c r="B3552" s="67"/>
      <c r="C3552" s="66"/>
      <c r="D3552" s="68"/>
      <c r="E3552" s="10"/>
      <c r="F3552" s="69"/>
      <c r="G3552" s="68"/>
      <c r="H3552" s="70"/>
      <c r="BA3552" s="4"/>
      <c r="BB3552" s="4"/>
    </row>
    <row r="3553" spans="1:54" x14ac:dyDescent="0.3">
      <c r="A3553" s="66"/>
      <c r="B3553" s="67"/>
      <c r="C3553" s="66"/>
      <c r="D3553" s="68"/>
      <c r="E3553" s="10"/>
      <c r="F3553" s="69"/>
      <c r="G3553" s="68"/>
      <c r="H3553" s="70"/>
      <c r="BA3553" s="4"/>
      <c r="BB3553" s="4"/>
    </row>
    <row r="3554" spans="1:54" x14ac:dyDescent="0.3">
      <c r="A3554" s="66"/>
      <c r="B3554" s="67"/>
      <c r="C3554" s="66"/>
      <c r="D3554" s="68"/>
      <c r="E3554" s="10"/>
      <c r="F3554" s="69"/>
      <c r="G3554" s="68"/>
      <c r="H3554" s="70"/>
      <c r="BA3554" s="4"/>
      <c r="BB3554" s="4"/>
    </row>
    <row r="3555" spans="1:54" x14ac:dyDescent="0.3">
      <c r="A3555" s="66"/>
      <c r="B3555" s="67"/>
      <c r="C3555" s="66"/>
      <c r="D3555" s="68"/>
      <c r="E3555" s="10"/>
      <c r="F3555" s="69"/>
      <c r="G3555" s="68"/>
      <c r="H3555" s="70"/>
      <c r="BA3555" s="4"/>
      <c r="BB3555" s="4"/>
    </row>
    <row r="3556" spans="1:54" x14ac:dyDescent="0.3">
      <c r="A3556" s="66"/>
      <c r="B3556" s="67"/>
      <c r="C3556" s="66"/>
      <c r="D3556" s="68"/>
      <c r="E3556" s="10"/>
      <c r="F3556" s="69"/>
      <c r="G3556" s="68"/>
      <c r="H3556" s="70"/>
      <c r="BA3556" s="4"/>
      <c r="BB3556" s="4"/>
    </row>
    <row r="3557" spans="1:54" x14ac:dyDescent="0.3">
      <c r="A3557" s="66"/>
      <c r="B3557" s="67"/>
      <c r="C3557" s="66"/>
      <c r="D3557" s="68"/>
      <c r="E3557" s="10"/>
      <c r="F3557" s="69"/>
      <c r="G3557" s="68"/>
      <c r="H3557" s="70"/>
      <c r="BA3557" s="4"/>
      <c r="BB3557" s="4"/>
    </row>
    <row r="3558" spans="1:54" x14ac:dyDescent="0.3">
      <c r="A3558" s="66"/>
      <c r="B3558" s="67"/>
      <c r="C3558" s="66"/>
      <c r="D3558" s="68"/>
      <c r="E3558" s="10"/>
      <c r="F3558" s="69"/>
      <c r="G3558" s="68"/>
      <c r="H3558" s="70"/>
      <c r="BA3558" s="4"/>
      <c r="BB3558" s="4"/>
    </row>
    <row r="3559" spans="1:54" x14ac:dyDescent="0.3">
      <c r="A3559" s="66"/>
      <c r="B3559" s="67"/>
      <c r="C3559" s="66"/>
      <c r="D3559" s="68"/>
      <c r="E3559" s="10"/>
      <c r="F3559" s="69"/>
      <c r="G3559" s="68"/>
      <c r="H3559" s="70"/>
      <c r="BA3559" s="4"/>
      <c r="BB3559" s="4"/>
    </row>
    <row r="3560" spans="1:54" x14ac:dyDescent="0.3">
      <c r="A3560" s="66"/>
      <c r="B3560" s="67"/>
      <c r="C3560" s="66"/>
      <c r="D3560" s="68"/>
      <c r="E3560" s="10"/>
      <c r="F3560" s="69"/>
      <c r="G3560" s="68"/>
      <c r="H3560" s="70"/>
      <c r="BA3560" s="4"/>
      <c r="BB3560" s="4"/>
    </row>
    <row r="3561" spans="1:54" x14ac:dyDescent="0.3">
      <c r="A3561" s="66"/>
      <c r="B3561" s="67"/>
      <c r="C3561" s="66"/>
      <c r="D3561" s="68"/>
      <c r="E3561" s="10"/>
      <c r="F3561" s="69"/>
      <c r="G3561" s="68"/>
      <c r="H3561" s="70"/>
      <c r="BA3561" s="4"/>
      <c r="BB3561" s="4"/>
    </row>
    <row r="3562" spans="1:54" x14ac:dyDescent="0.3">
      <c r="A3562" s="66"/>
      <c r="B3562" s="67"/>
      <c r="C3562" s="66"/>
      <c r="D3562" s="68"/>
      <c r="E3562" s="10"/>
      <c r="F3562" s="69"/>
      <c r="G3562" s="68"/>
      <c r="H3562" s="70"/>
      <c r="BA3562" s="4"/>
      <c r="BB3562" s="4"/>
    </row>
    <row r="3563" spans="1:54" x14ac:dyDescent="0.3">
      <c r="A3563" s="66"/>
      <c r="B3563" s="67"/>
      <c r="C3563" s="66"/>
      <c r="D3563" s="68"/>
      <c r="E3563" s="10"/>
      <c r="F3563" s="69"/>
      <c r="G3563" s="68"/>
      <c r="H3563" s="70"/>
      <c r="BA3563" s="4"/>
      <c r="BB3563" s="4"/>
    </row>
    <row r="3564" spans="1:54" x14ac:dyDescent="0.3">
      <c r="A3564" s="66"/>
      <c r="B3564" s="67"/>
      <c r="C3564" s="66"/>
      <c r="D3564" s="68"/>
      <c r="E3564" s="10"/>
      <c r="F3564" s="69"/>
      <c r="G3564" s="68"/>
      <c r="H3564" s="70"/>
      <c r="BA3564" s="4"/>
      <c r="BB3564" s="4"/>
    </row>
    <row r="3565" spans="1:54" x14ac:dyDescent="0.3">
      <c r="A3565" s="66"/>
      <c r="B3565" s="67"/>
      <c r="C3565" s="66"/>
      <c r="D3565" s="68"/>
      <c r="E3565" s="10"/>
      <c r="F3565" s="69"/>
      <c r="G3565" s="68"/>
      <c r="H3565" s="70"/>
      <c r="BA3565" s="4"/>
      <c r="BB3565" s="4"/>
    </row>
    <row r="3566" spans="1:54" x14ac:dyDescent="0.3">
      <c r="A3566" s="66"/>
      <c r="B3566" s="67"/>
      <c r="C3566" s="66"/>
      <c r="D3566" s="68"/>
      <c r="E3566" s="10"/>
      <c r="F3566" s="69"/>
      <c r="G3566" s="68"/>
      <c r="H3566" s="70"/>
      <c r="BA3566" s="4"/>
      <c r="BB3566" s="4"/>
    </row>
    <row r="3567" spans="1:54" x14ac:dyDescent="0.3">
      <c r="A3567" s="66"/>
      <c r="B3567" s="67"/>
      <c r="C3567" s="66"/>
      <c r="D3567" s="68"/>
      <c r="E3567" s="10"/>
      <c r="F3567" s="69"/>
      <c r="G3567" s="68"/>
      <c r="H3567" s="70"/>
      <c r="BA3567" s="4"/>
      <c r="BB3567" s="4"/>
    </row>
    <row r="3568" spans="1:54" x14ac:dyDescent="0.3">
      <c r="A3568" s="66"/>
      <c r="B3568" s="67"/>
      <c r="C3568" s="66"/>
      <c r="D3568" s="68"/>
      <c r="E3568" s="10"/>
      <c r="F3568" s="69"/>
      <c r="G3568" s="68"/>
      <c r="H3568" s="70"/>
      <c r="BA3568" s="4"/>
      <c r="BB3568" s="4"/>
    </row>
    <row r="3569" spans="1:54" x14ac:dyDescent="0.3">
      <c r="A3569" s="66"/>
      <c r="B3569" s="67"/>
      <c r="C3569" s="66"/>
      <c r="D3569" s="68"/>
      <c r="E3569" s="10"/>
      <c r="F3569" s="69"/>
      <c r="G3569" s="68"/>
      <c r="H3569" s="70"/>
      <c r="BA3569" s="4"/>
      <c r="BB3569" s="4"/>
    </row>
    <row r="3570" spans="1:54" x14ac:dyDescent="0.3">
      <c r="A3570" s="66"/>
      <c r="B3570" s="67"/>
      <c r="C3570" s="66"/>
      <c r="D3570" s="68"/>
      <c r="E3570" s="10"/>
      <c r="F3570" s="69"/>
      <c r="G3570" s="68"/>
      <c r="H3570" s="70"/>
      <c r="BA3570" s="4"/>
      <c r="BB3570" s="4"/>
    </row>
    <row r="3571" spans="1:54" x14ac:dyDescent="0.3">
      <c r="A3571" s="66"/>
      <c r="B3571" s="67"/>
      <c r="C3571" s="66"/>
      <c r="D3571" s="68"/>
      <c r="E3571" s="10"/>
      <c r="F3571" s="69"/>
      <c r="G3571" s="68"/>
      <c r="H3571" s="70"/>
      <c r="BA3571" s="4"/>
      <c r="BB3571" s="4"/>
    </row>
    <row r="3572" spans="1:54" x14ac:dyDescent="0.3">
      <c r="A3572" s="66"/>
      <c r="B3572" s="67"/>
      <c r="C3572" s="66"/>
      <c r="D3572" s="68"/>
      <c r="E3572" s="10"/>
      <c r="F3572" s="69"/>
      <c r="G3572" s="68"/>
      <c r="H3572" s="70"/>
      <c r="BA3572" s="4"/>
      <c r="BB3572" s="4"/>
    </row>
    <row r="3573" spans="1:54" x14ac:dyDescent="0.3">
      <c r="A3573" s="66"/>
      <c r="B3573" s="67"/>
      <c r="C3573" s="66"/>
      <c r="D3573" s="68"/>
      <c r="E3573" s="10"/>
      <c r="F3573" s="69"/>
      <c r="G3573" s="68"/>
      <c r="H3573" s="70"/>
      <c r="BA3573" s="4"/>
      <c r="BB3573" s="4"/>
    </row>
    <row r="3574" spans="1:54" x14ac:dyDescent="0.3">
      <c r="A3574" s="66"/>
      <c r="B3574" s="67"/>
      <c r="C3574" s="66"/>
      <c r="D3574" s="68"/>
      <c r="E3574" s="10"/>
      <c r="F3574" s="69"/>
      <c r="G3574" s="68"/>
      <c r="H3574" s="70"/>
      <c r="BA3574" s="4"/>
      <c r="BB3574" s="4"/>
    </row>
    <row r="3575" spans="1:54" x14ac:dyDescent="0.3">
      <c r="A3575" s="66"/>
      <c r="B3575" s="67"/>
      <c r="C3575" s="66"/>
      <c r="D3575" s="68"/>
      <c r="E3575" s="10"/>
      <c r="F3575" s="69"/>
      <c r="G3575" s="68"/>
      <c r="H3575" s="70"/>
      <c r="BA3575" s="4"/>
      <c r="BB3575" s="4"/>
    </row>
    <row r="3576" spans="1:54" x14ac:dyDescent="0.3">
      <c r="A3576" s="66"/>
      <c r="B3576" s="67"/>
      <c r="C3576" s="66"/>
      <c r="D3576" s="68"/>
      <c r="E3576" s="10"/>
      <c r="F3576" s="69"/>
      <c r="G3576" s="68"/>
      <c r="H3576" s="70"/>
      <c r="BA3576" s="4"/>
      <c r="BB3576" s="4"/>
    </row>
    <row r="3577" spans="1:54" x14ac:dyDescent="0.3">
      <c r="A3577" s="66"/>
      <c r="B3577" s="67"/>
      <c r="C3577" s="66"/>
      <c r="D3577" s="68"/>
      <c r="E3577" s="10"/>
      <c r="F3577" s="69"/>
      <c r="G3577" s="68"/>
      <c r="H3577" s="70"/>
      <c r="BA3577" s="4"/>
      <c r="BB3577" s="4"/>
    </row>
    <row r="3578" spans="1:54" x14ac:dyDescent="0.3">
      <c r="A3578" s="66"/>
      <c r="B3578" s="67"/>
      <c r="C3578" s="66"/>
      <c r="D3578" s="68"/>
      <c r="E3578" s="10"/>
      <c r="F3578" s="69"/>
      <c r="G3578" s="68"/>
      <c r="H3578" s="70"/>
      <c r="BA3578" s="4"/>
      <c r="BB3578" s="4"/>
    </row>
    <row r="3579" spans="1:54" x14ac:dyDescent="0.3">
      <c r="A3579" s="66"/>
      <c r="B3579" s="67"/>
      <c r="C3579" s="66"/>
      <c r="D3579" s="68"/>
      <c r="E3579" s="10"/>
      <c r="F3579" s="69"/>
      <c r="G3579" s="68"/>
      <c r="H3579" s="70"/>
      <c r="BA3579" s="4"/>
      <c r="BB3579" s="4"/>
    </row>
    <row r="3580" spans="1:54" x14ac:dyDescent="0.3">
      <c r="A3580" s="66"/>
      <c r="B3580" s="67"/>
      <c r="C3580" s="66"/>
      <c r="D3580" s="68"/>
      <c r="E3580" s="10"/>
      <c r="F3580" s="69"/>
      <c r="G3580" s="68"/>
      <c r="H3580" s="70"/>
      <c r="BA3580" s="4"/>
      <c r="BB3580" s="4"/>
    </row>
    <row r="3581" spans="1:54" x14ac:dyDescent="0.3">
      <c r="A3581" s="66"/>
      <c r="B3581" s="67"/>
      <c r="C3581" s="66"/>
      <c r="D3581" s="68"/>
      <c r="E3581" s="10"/>
      <c r="F3581" s="69"/>
      <c r="G3581" s="68"/>
      <c r="H3581" s="70"/>
      <c r="BA3581" s="4"/>
      <c r="BB3581" s="4"/>
    </row>
    <row r="3582" spans="1:54" x14ac:dyDescent="0.3">
      <c r="A3582" s="66"/>
      <c r="B3582" s="67"/>
      <c r="C3582" s="66"/>
      <c r="D3582" s="68"/>
      <c r="E3582" s="10"/>
      <c r="F3582" s="69"/>
      <c r="G3582" s="68"/>
      <c r="H3582" s="70"/>
      <c r="BA3582" s="4"/>
      <c r="BB3582" s="4"/>
    </row>
    <row r="3583" spans="1:54" x14ac:dyDescent="0.3">
      <c r="A3583" s="66"/>
      <c r="B3583" s="67"/>
      <c r="C3583" s="66"/>
      <c r="D3583" s="68"/>
      <c r="E3583" s="10"/>
      <c r="F3583" s="69"/>
      <c r="G3583" s="68"/>
      <c r="H3583" s="70"/>
      <c r="BA3583" s="4"/>
      <c r="BB3583" s="4"/>
    </row>
    <row r="3584" spans="1:54" x14ac:dyDescent="0.3">
      <c r="A3584" s="66"/>
      <c r="B3584" s="67"/>
      <c r="C3584" s="66"/>
      <c r="D3584" s="68"/>
      <c r="E3584" s="10"/>
      <c r="F3584" s="69"/>
      <c r="G3584" s="68"/>
      <c r="H3584" s="70"/>
      <c r="BA3584" s="4"/>
      <c r="BB3584" s="4"/>
    </row>
    <row r="3585" spans="1:54" x14ac:dyDescent="0.3">
      <c r="A3585" s="66"/>
      <c r="B3585" s="67"/>
      <c r="C3585" s="66"/>
      <c r="D3585" s="68"/>
      <c r="E3585" s="10"/>
      <c r="F3585" s="69"/>
      <c r="G3585" s="68"/>
      <c r="H3585" s="70"/>
      <c r="BA3585" s="4"/>
      <c r="BB3585" s="4"/>
    </row>
    <row r="3586" spans="1:54" x14ac:dyDescent="0.3">
      <c r="A3586" s="66"/>
      <c r="B3586" s="67"/>
      <c r="C3586" s="66"/>
      <c r="D3586" s="68"/>
      <c r="E3586" s="10"/>
      <c r="F3586" s="69"/>
      <c r="G3586" s="68"/>
      <c r="H3586" s="70"/>
      <c r="BA3586" s="4"/>
      <c r="BB3586" s="4"/>
    </row>
    <row r="3587" spans="1:54" x14ac:dyDescent="0.3">
      <c r="A3587" s="66"/>
      <c r="B3587" s="67"/>
      <c r="C3587" s="66"/>
      <c r="D3587" s="68"/>
      <c r="E3587" s="10"/>
      <c r="F3587" s="69"/>
      <c r="G3587" s="68"/>
      <c r="H3587" s="70"/>
      <c r="BA3587" s="4"/>
      <c r="BB3587" s="4"/>
    </row>
    <row r="3588" spans="1:54" x14ac:dyDescent="0.3">
      <c r="A3588" s="66"/>
      <c r="B3588" s="67"/>
      <c r="C3588" s="66"/>
      <c r="D3588" s="68"/>
      <c r="E3588" s="10"/>
      <c r="F3588" s="69"/>
      <c r="G3588" s="68"/>
      <c r="H3588" s="70"/>
      <c r="BA3588" s="4"/>
      <c r="BB3588" s="4"/>
    </row>
    <row r="3589" spans="1:54" x14ac:dyDescent="0.3">
      <c r="A3589" s="66"/>
      <c r="B3589" s="67"/>
      <c r="C3589" s="66"/>
      <c r="D3589" s="68"/>
      <c r="E3589" s="10"/>
      <c r="F3589" s="69"/>
      <c r="G3589" s="68"/>
      <c r="H3589" s="70"/>
      <c r="BA3589" s="4"/>
      <c r="BB3589" s="4"/>
    </row>
    <row r="3590" spans="1:54" x14ac:dyDescent="0.3">
      <c r="A3590" s="66"/>
      <c r="B3590" s="67"/>
      <c r="C3590" s="66"/>
      <c r="D3590" s="68"/>
      <c r="E3590" s="10"/>
      <c r="F3590" s="69"/>
      <c r="G3590" s="68"/>
      <c r="H3590" s="70"/>
      <c r="BA3590" s="4"/>
      <c r="BB3590" s="4"/>
    </row>
    <row r="3591" spans="1:54" x14ac:dyDescent="0.3">
      <c r="A3591" s="66"/>
      <c r="B3591" s="67"/>
      <c r="C3591" s="66"/>
      <c r="D3591" s="68"/>
      <c r="E3591" s="10"/>
      <c r="F3591" s="69"/>
      <c r="G3591" s="68"/>
      <c r="H3591" s="70"/>
      <c r="BA3591" s="4"/>
      <c r="BB3591" s="4"/>
    </row>
    <row r="3592" spans="1:54" x14ac:dyDescent="0.3">
      <c r="A3592" s="66"/>
      <c r="B3592" s="67"/>
      <c r="C3592" s="66"/>
      <c r="D3592" s="68"/>
      <c r="E3592" s="10"/>
      <c r="F3592" s="69"/>
      <c r="G3592" s="68"/>
      <c r="H3592" s="70"/>
      <c r="BA3592" s="4"/>
      <c r="BB3592" s="4"/>
    </row>
    <row r="3593" spans="1:54" x14ac:dyDescent="0.3">
      <c r="A3593" s="66"/>
      <c r="B3593" s="67"/>
      <c r="C3593" s="66"/>
      <c r="D3593" s="68"/>
      <c r="E3593" s="10"/>
      <c r="F3593" s="69"/>
      <c r="G3593" s="68"/>
      <c r="H3593" s="70"/>
      <c r="BA3593" s="4"/>
      <c r="BB3593" s="4"/>
    </row>
    <row r="3594" spans="1:54" x14ac:dyDescent="0.3">
      <c r="A3594" s="66"/>
      <c r="B3594" s="67"/>
      <c r="C3594" s="66"/>
      <c r="D3594" s="68"/>
      <c r="E3594" s="10"/>
      <c r="F3594" s="69"/>
      <c r="G3594" s="68"/>
      <c r="H3594" s="70"/>
      <c r="BA3594" s="4"/>
      <c r="BB3594" s="4"/>
    </row>
    <row r="3595" spans="1:54" x14ac:dyDescent="0.3">
      <c r="A3595" s="66"/>
      <c r="B3595" s="67"/>
      <c r="C3595" s="66"/>
      <c r="D3595" s="68"/>
      <c r="E3595" s="10"/>
      <c r="F3595" s="69"/>
      <c r="G3595" s="68"/>
      <c r="H3595" s="70"/>
      <c r="BA3595" s="4"/>
      <c r="BB3595" s="4"/>
    </row>
    <row r="3596" spans="1:54" x14ac:dyDescent="0.3">
      <c r="A3596" s="66"/>
      <c r="B3596" s="67"/>
      <c r="C3596" s="66"/>
      <c r="D3596" s="68"/>
      <c r="E3596" s="10"/>
      <c r="F3596" s="69"/>
      <c r="G3596" s="68"/>
      <c r="H3596" s="70"/>
      <c r="BA3596" s="4"/>
      <c r="BB3596" s="4"/>
    </row>
    <row r="3597" spans="1:54" x14ac:dyDescent="0.3">
      <c r="A3597" s="66"/>
      <c r="B3597" s="67"/>
      <c r="C3597" s="66"/>
      <c r="D3597" s="68"/>
      <c r="E3597" s="10"/>
      <c r="F3597" s="69"/>
      <c r="G3597" s="68"/>
      <c r="H3597" s="70"/>
      <c r="BA3597" s="4"/>
      <c r="BB3597" s="4"/>
    </row>
    <row r="3598" spans="1:54" x14ac:dyDescent="0.3">
      <c r="A3598" s="66"/>
      <c r="B3598" s="67"/>
      <c r="C3598" s="66"/>
      <c r="D3598" s="68"/>
      <c r="E3598" s="10"/>
      <c r="F3598" s="69"/>
      <c r="G3598" s="68"/>
      <c r="H3598" s="70"/>
      <c r="BA3598" s="4"/>
      <c r="BB3598" s="4"/>
    </row>
    <row r="3599" spans="1:54" x14ac:dyDescent="0.3">
      <c r="A3599" s="66"/>
      <c r="B3599" s="67"/>
      <c r="C3599" s="66"/>
      <c r="D3599" s="68"/>
      <c r="E3599" s="10"/>
      <c r="F3599" s="69"/>
      <c r="G3599" s="68"/>
      <c r="H3599" s="70"/>
      <c r="BA3599" s="4"/>
      <c r="BB3599" s="4"/>
    </row>
    <row r="3600" spans="1:54" x14ac:dyDescent="0.3">
      <c r="A3600" s="66"/>
      <c r="B3600" s="67"/>
      <c r="C3600" s="66"/>
      <c r="D3600" s="68"/>
      <c r="E3600" s="10"/>
      <c r="F3600" s="69"/>
      <c r="G3600" s="68"/>
      <c r="H3600" s="70"/>
      <c r="BA3600" s="4"/>
      <c r="BB3600" s="4"/>
    </row>
    <row r="3601" spans="1:54" x14ac:dyDescent="0.3">
      <c r="A3601" s="66"/>
      <c r="B3601" s="67"/>
      <c r="C3601" s="66"/>
      <c r="D3601" s="68"/>
      <c r="E3601" s="10"/>
      <c r="F3601" s="69"/>
      <c r="G3601" s="68"/>
      <c r="H3601" s="70"/>
      <c r="BA3601" s="4"/>
      <c r="BB3601" s="4"/>
    </row>
    <row r="3602" spans="1:54" x14ac:dyDescent="0.3">
      <c r="A3602" s="66"/>
      <c r="B3602" s="67"/>
      <c r="C3602" s="66"/>
      <c r="D3602" s="68"/>
      <c r="E3602" s="10"/>
      <c r="F3602" s="69"/>
      <c r="G3602" s="68"/>
      <c r="H3602" s="70"/>
      <c r="BA3602" s="4"/>
      <c r="BB3602" s="4"/>
    </row>
    <row r="3603" spans="1:54" x14ac:dyDescent="0.3">
      <c r="A3603" s="66"/>
      <c r="B3603" s="67"/>
      <c r="C3603" s="66"/>
      <c r="D3603" s="68"/>
      <c r="E3603" s="10"/>
      <c r="F3603" s="69"/>
      <c r="G3603" s="68"/>
      <c r="H3603" s="70"/>
      <c r="BA3603" s="4"/>
      <c r="BB3603" s="4"/>
    </row>
    <row r="3604" spans="1:54" x14ac:dyDescent="0.3">
      <c r="A3604" s="66"/>
      <c r="B3604" s="67"/>
      <c r="C3604" s="66"/>
      <c r="D3604" s="68"/>
      <c r="E3604" s="10"/>
      <c r="F3604" s="69"/>
      <c r="G3604" s="68"/>
      <c r="H3604" s="70"/>
      <c r="BA3604" s="4"/>
      <c r="BB3604" s="4"/>
    </row>
    <row r="3605" spans="1:54" x14ac:dyDescent="0.3">
      <c r="A3605" s="66"/>
      <c r="B3605" s="67"/>
      <c r="C3605" s="66"/>
      <c r="D3605" s="68"/>
      <c r="E3605" s="10"/>
      <c r="F3605" s="69"/>
      <c r="G3605" s="68"/>
      <c r="H3605" s="70"/>
      <c r="BA3605" s="4"/>
      <c r="BB3605" s="4"/>
    </row>
    <row r="3606" spans="1:54" x14ac:dyDescent="0.3">
      <c r="A3606" s="66"/>
      <c r="B3606" s="67"/>
      <c r="C3606" s="66"/>
      <c r="D3606" s="68"/>
      <c r="E3606" s="10"/>
      <c r="F3606" s="69"/>
      <c r="G3606" s="68"/>
      <c r="H3606" s="70"/>
      <c r="BA3606" s="4"/>
      <c r="BB3606" s="4"/>
    </row>
    <row r="3607" spans="1:54" x14ac:dyDescent="0.3">
      <c r="A3607" s="66"/>
      <c r="B3607" s="67"/>
      <c r="C3607" s="66"/>
      <c r="D3607" s="68"/>
      <c r="E3607" s="10"/>
      <c r="F3607" s="69"/>
      <c r="G3607" s="68"/>
      <c r="H3607" s="70"/>
      <c r="BA3607" s="4"/>
      <c r="BB3607" s="4"/>
    </row>
    <row r="3608" spans="1:54" x14ac:dyDescent="0.3">
      <c r="A3608" s="66"/>
      <c r="B3608" s="67"/>
      <c r="C3608" s="66"/>
      <c r="D3608" s="68"/>
      <c r="E3608" s="10"/>
      <c r="F3608" s="69"/>
      <c r="G3608" s="68"/>
      <c r="H3608" s="70"/>
      <c r="BA3608" s="4"/>
      <c r="BB3608" s="4"/>
    </row>
    <row r="3609" spans="1:54" x14ac:dyDescent="0.3">
      <c r="A3609" s="66"/>
      <c r="B3609" s="67"/>
      <c r="C3609" s="66"/>
      <c r="D3609" s="68"/>
      <c r="E3609" s="10"/>
      <c r="F3609" s="69"/>
      <c r="G3609" s="68"/>
      <c r="H3609" s="70"/>
      <c r="BA3609" s="4"/>
      <c r="BB3609" s="4"/>
    </row>
    <row r="3610" spans="1:54" x14ac:dyDescent="0.3">
      <c r="A3610" s="66"/>
      <c r="B3610" s="67"/>
      <c r="C3610" s="66"/>
      <c r="D3610" s="68"/>
      <c r="E3610" s="10"/>
      <c r="F3610" s="69"/>
      <c r="G3610" s="68"/>
      <c r="H3610" s="70"/>
      <c r="BA3610" s="4"/>
      <c r="BB3610" s="4"/>
    </row>
    <row r="3611" spans="1:54" x14ac:dyDescent="0.3">
      <c r="A3611" s="66"/>
      <c r="B3611" s="67"/>
      <c r="C3611" s="66"/>
      <c r="D3611" s="68"/>
      <c r="E3611" s="10"/>
      <c r="F3611" s="69"/>
      <c r="G3611" s="68"/>
      <c r="H3611" s="70"/>
      <c r="BA3611" s="4"/>
      <c r="BB3611" s="4"/>
    </row>
    <row r="3612" spans="1:54" x14ac:dyDescent="0.3">
      <c r="A3612" s="66"/>
      <c r="B3612" s="67"/>
      <c r="C3612" s="66"/>
      <c r="D3612" s="68"/>
      <c r="E3612" s="10"/>
      <c r="F3612" s="69"/>
      <c r="G3612" s="68"/>
      <c r="H3612" s="70"/>
      <c r="BA3612" s="4"/>
      <c r="BB3612" s="4"/>
    </row>
    <row r="3613" spans="1:54" x14ac:dyDescent="0.3">
      <c r="A3613" s="66"/>
      <c r="B3613" s="67"/>
      <c r="C3613" s="66"/>
      <c r="D3613" s="68"/>
      <c r="E3613" s="10"/>
      <c r="F3613" s="69"/>
      <c r="G3613" s="68"/>
      <c r="H3613" s="70"/>
      <c r="BA3613" s="4"/>
      <c r="BB3613" s="4"/>
    </row>
    <row r="3614" spans="1:54" x14ac:dyDescent="0.3">
      <c r="A3614" s="66"/>
      <c r="B3614" s="67"/>
      <c r="C3614" s="66"/>
      <c r="D3614" s="68"/>
      <c r="E3614" s="10"/>
      <c r="F3614" s="69"/>
      <c r="G3614" s="68"/>
      <c r="H3614" s="70"/>
      <c r="BA3614" s="4"/>
      <c r="BB3614" s="4"/>
    </row>
    <row r="3615" spans="1:54" x14ac:dyDescent="0.3">
      <c r="A3615" s="66"/>
      <c r="B3615" s="67"/>
      <c r="C3615" s="66"/>
      <c r="D3615" s="68"/>
      <c r="E3615" s="10"/>
      <c r="F3615" s="69"/>
      <c r="G3615" s="68"/>
      <c r="H3615" s="70"/>
      <c r="BA3615" s="4"/>
      <c r="BB3615" s="4"/>
    </row>
    <row r="3616" spans="1:54" x14ac:dyDescent="0.3">
      <c r="A3616" s="66"/>
      <c r="B3616" s="67"/>
      <c r="C3616" s="66"/>
      <c r="D3616" s="68"/>
      <c r="E3616" s="10"/>
      <c r="F3616" s="69"/>
      <c r="G3616" s="68"/>
      <c r="H3616" s="70"/>
      <c r="BA3616" s="4"/>
      <c r="BB3616" s="4"/>
    </row>
    <row r="3617" spans="1:54" x14ac:dyDescent="0.3">
      <c r="A3617" s="66"/>
      <c r="B3617" s="67"/>
      <c r="C3617" s="66"/>
      <c r="D3617" s="68"/>
      <c r="E3617" s="10"/>
      <c r="F3617" s="69"/>
      <c r="G3617" s="68"/>
      <c r="H3617" s="70"/>
      <c r="BA3617" s="4"/>
      <c r="BB3617" s="4"/>
    </row>
    <row r="3618" spans="1:54" x14ac:dyDescent="0.3">
      <c r="A3618" s="66"/>
      <c r="B3618" s="67"/>
      <c r="C3618" s="66"/>
      <c r="D3618" s="68"/>
      <c r="E3618" s="10"/>
      <c r="F3618" s="69"/>
      <c r="G3618" s="68"/>
      <c r="H3618" s="70"/>
      <c r="BA3618" s="4"/>
      <c r="BB3618" s="4"/>
    </row>
    <row r="3619" spans="1:54" x14ac:dyDescent="0.3">
      <c r="A3619" s="66"/>
      <c r="B3619" s="67"/>
      <c r="C3619" s="66"/>
      <c r="D3619" s="68"/>
      <c r="E3619" s="10"/>
      <c r="F3619" s="69"/>
      <c r="G3619" s="68"/>
      <c r="H3619" s="70"/>
      <c r="BA3619" s="4"/>
      <c r="BB3619" s="4"/>
    </row>
    <row r="3620" spans="1:54" x14ac:dyDescent="0.3">
      <c r="A3620" s="66"/>
      <c r="B3620" s="67"/>
      <c r="C3620" s="66"/>
      <c r="D3620" s="68"/>
      <c r="E3620" s="10"/>
      <c r="F3620" s="69"/>
      <c r="G3620" s="68"/>
      <c r="H3620" s="70"/>
      <c r="BA3620" s="4"/>
      <c r="BB3620" s="4"/>
    </row>
    <row r="3621" spans="1:54" x14ac:dyDescent="0.3">
      <c r="A3621" s="66"/>
      <c r="B3621" s="67"/>
      <c r="C3621" s="66"/>
      <c r="D3621" s="68"/>
      <c r="E3621" s="10"/>
      <c r="F3621" s="69"/>
      <c r="G3621" s="68"/>
      <c r="H3621" s="70"/>
      <c r="BA3621" s="4"/>
      <c r="BB3621" s="4"/>
    </row>
    <row r="3622" spans="1:54" x14ac:dyDescent="0.3">
      <c r="A3622" s="66"/>
      <c r="B3622" s="67"/>
      <c r="C3622" s="66"/>
      <c r="D3622" s="68"/>
      <c r="E3622" s="10"/>
      <c r="F3622" s="69"/>
      <c r="G3622" s="68"/>
      <c r="H3622" s="70"/>
      <c r="BA3622" s="4"/>
      <c r="BB3622" s="4"/>
    </row>
    <row r="3623" spans="1:54" x14ac:dyDescent="0.3">
      <c r="A3623" s="66"/>
      <c r="B3623" s="67"/>
      <c r="C3623" s="66"/>
      <c r="D3623" s="68"/>
      <c r="E3623" s="10"/>
      <c r="F3623" s="69"/>
      <c r="G3623" s="68"/>
      <c r="H3623" s="70"/>
      <c r="BA3623" s="4"/>
      <c r="BB3623" s="4"/>
    </row>
    <row r="3624" spans="1:54" x14ac:dyDescent="0.3">
      <c r="A3624" s="66"/>
      <c r="B3624" s="67"/>
      <c r="C3624" s="66"/>
      <c r="D3624" s="68"/>
      <c r="E3624" s="10"/>
      <c r="F3624" s="69"/>
      <c r="G3624" s="68"/>
      <c r="H3624" s="70"/>
      <c r="BA3624" s="4"/>
      <c r="BB3624" s="4"/>
    </row>
    <row r="3625" spans="1:54" x14ac:dyDescent="0.3">
      <c r="A3625" s="66"/>
      <c r="B3625" s="67"/>
      <c r="C3625" s="66"/>
      <c r="D3625" s="68"/>
      <c r="E3625" s="10"/>
      <c r="F3625" s="69"/>
      <c r="G3625" s="68"/>
      <c r="H3625" s="70"/>
      <c r="BA3625" s="4"/>
      <c r="BB3625" s="4"/>
    </row>
    <row r="3626" spans="1:54" x14ac:dyDescent="0.3">
      <c r="A3626" s="66"/>
      <c r="B3626" s="67"/>
      <c r="C3626" s="66"/>
      <c r="D3626" s="68"/>
      <c r="E3626" s="10"/>
      <c r="F3626" s="69"/>
      <c r="G3626" s="68"/>
      <c r="H3626" s="70"/>
      <c r="BA3626" s="4"/>
      <c r="BB3626" s="4"/>
    </row>
    <row r="3627" spans="1:54" x14ac:dyDescent="0.3">
      <c r="A3627" s="66"/>
      <c r="B3627" s="67"/>
      <c r="C3627" s="66"/>
      <c r="D3627" s="68"/>
      <c r="E3627" s="10"/>
      <c r="F3627" s="69"/>
      <c r="G3627" s="68"/>
      <c r="H3627" s="70"/>
      <c r="BA3627" s="4"/>
      <c r="BB3627" s="4"/>
    </row>
    <row r="3628" spans="1:54" x14ac:dyDescent="0.3">
      <c r="A3628" s="66"/>
      <c r="B3628" s="67"/>
      <c r="C3628" s="66"/>
      <c r="D3628" s="68"/>
      <c r="E3628" s="10"/>
      <c r="F3628" s="69"/>
      <c r="G3628" s="68"/>
      <c r="H3628" s="70"/>
      <c r="BA3628" s="4"/>
      <c r="BB3628" s="4"/>
    </row>
    <row r="3629" spans="1:54" x14ac:dyDescent="0.3">
      <c r="A3629" s="66"/>
      <c r="B3629" s="67"/>
      <c r="C3629" s="66"/>
      <c r="D3629" s="68"/>
      <c r="E3629" s="10"/>
      <c r="F3629" s="69"/>
      <c r="G3629" s="68"/>
      <c r="H3629" s="70"/>
      <c r="BA3629" s="4"/>
      <c r="BB3629" s="4"/>
    </row>
    <row r="3630" spans="1:54" x14ac:dyDescent="0.3">
      <c r="A3630" s="66"/>
      <c r="B3630" s="67"/>
      <c r="C3630" s="66"/>
      <c r="D3630" s="68"/>
      <c r="E3630" s="10"/>
      <c r="F3630" s="69"/>
      <c r="G3630" s="68"/>
      <c r="H3630" s="70"/>
      <c r="BA3630" s="4"/>
      <c r="BB3630" s="4"/>
    </row>
    <row r="3631" spans="1:54" x14ac:dyDescent="0.3">
      <c r="A3631" s="66"/>
      <c r="B3631" s="67"/>
      <c r="C3631" s="66"/>
      <c r="D3631" s="68"/>
      <c r="E3631" s="10"/>
      <c r="F3631" s="69"/>
      <c r="G3631" s="68"/>
      <c r="H3631" s="70"/>
      <c r="BA3631" s="4"/>
      <c r="BB3631" s="4"/>
    </row>
    <row r="3632" spans="1:54" x14ac:dyDescent="0.3">
      <c r="A3632" s="66"/>
      <c r="B3632" s="67"/>
      <c r="C3632" s="66"/>
      <c r="D3632" s="68"/>
      <c r="E3632" s="10"/>
      <c r="F3632" s="69"/>
      <c r="G3632" s="68"/>
      <c r="H3632" s="70"/>
      <c r="BA3632" s="4"/>
      <c r="BB3632" s="4"/>
    </row>
    <row r="3633" spans="1:54" x14ac:dyDescent="0.3">
      <c r="A3633" s="66"/>
      <c r="B3633" s="67"/>
      <c r="C3633" s="66"/>
      <c r="D3633" s="68"/>
      <c r="E3633" s="10"/>
      <c r="F3633" s="69"/>
      <c r="G3633" s="68"/>
      <c r="H3633" s="70"/>
      <c r="BA3633" s="4"/>
      <c r="BB3633" s="4"/>
    </row>
    <row r="3634" spans="1:54" x14ac:dyDescent="0.3">
      <c r="A3634" s="66"/>
      <c r="B3634" s="67"/>
      <c r="C3634" s="66"/>
      <c r="D3634" s="68"/>
      <c r="E3634" s="10"/>
      <c r="F3634" s="69"/>
      <c r="G3634" s="68"/>
      <c r="H3634" s="70"/>
      <c r="BA3634" s="4"/>
      <c r="BB3634" s="4"/>
    </row>
    <row r="3635" spans="1:54" x14ac:dyDescent="0.3">
      <c r="A3635" s="66"/>
      <c r="B3635" s="67"/>
      <c r="C3635" s="66"/>
      <c r="D3635" s="68"/>
      <c r="E3635" s="10"/>
      <c r="F3635" s="69"/>
      <c r="G3635" s="68"/>
      <c r="H3635" s="70"/>
      <c r="BA3635" s="4"/>
      <c r="BB3635" s="4"/>
    </row>
    <row r="3636" spans="1:54" x14ac:dyDescent="0.3">
      <c r="A3636" s="66"/>
      <c r="B3636" s="67"/>
      <c r="C3636" s="66"/>
      <c r="D3636" s="68"/>
      <c r="E3636" s="10"/>
      <c r="F3636" s="69"/>
      <c r="G3636" s="68"/>
      <c r="H3636" s="70"/>
      <c r="BA3636" s="4"/>
      <c r="BB3636" s="4"/>
    </row>
    <row r="3637" spans="1:54" x14ac:dyDescent="0.3">
      <c r="A3637" s="66"/>
      <c r="B3637" s="67"/>
      <c r="C3637" s="66"/>
      <c r="D3637" s="68"/>
      <c r="E3637" s="10"/>
      <c r="F3637" s="69"/>
      <c r="G3637" s="68"/>
      <c r="H3637" s="70"/>
      <c r="BA3637" s="4"/>
      <c r="BB3637" s="4"/>
    </row>
    <row r="3638" spans="1:54" x14ac:dyDescent="0.3">
      <c r="A3638" s="66"/>
      <c r="B3638" s="67"/>
      <c r="C3638" s="66"/>
      <c r="D3638" s="68"/>
      <c r="E3638" s="10"/>
      <c r="F3638" s="69"/>
      <c r="G3638" s="68"/>
      <c r="H3638" s="70"/>
      <c r="BA3638" s="4"/>
      <c r="BB3638" s="4"/>
    </row>
    <row r="3639" spans="1:54" x14ac:dyDescent="0.3">
      <c r="A3639" s="66"/>
      <c r="B3639" s="67"/>
      <c r="C3639" s="66"/>
      <c r="D3639" s="68"/>
      <c r="E3639" s="10"/>
      <c r="F3639" s="69"/>
      <c r="G3639" s="68"/>
      <c r="H3639" s="70"/>
      <c r="BA3639" s="4"/>
      <c r="BB3639" s="4"/>
    </row>
    <row r="3640" spans="1:54" x14ac:dyDescent="0.3">
      <c r="A3640" s="66"/>
      <c r="B3640" s="67"/>
      <c r="C3640" s="66"/>
      <c r="D3640" s="68"/>
      <c r="E3640" s="10"/>
      <c r="F3640" s="69"/>
      <c r="G3640" s="68"/>
      <c r="H3640" s="70"/>
      <c r="BA3640" s="4"/>
      <c r="BB3640" s="4"/>
    </row>
    <row r="3641" spans="1:54" x14ac:dyDescent="0.3">
      <c r="A3641" s="66"/>
      <c r="B3641" s="67"/>
      <c r="C3641" s="66"/>
      <c r="D3641" s="68"/>
      <c r="E3641" s="10"/>
      <c r="F3641" s="69"/>
      <c r="G3641" s="68"/>
      <c r="H3641" s="70"/>
      <c r="BA3641" s="4"/>
      <c r="BB3641" s="4"/>
    </row>
    <row r="3642" spans="1:54" x14ac:dyDescent="0.3">
      <c r="A3642" s="66"/>
      <c r="B3642" s="67"/>
      <c r="C3642" s="66"/>
      <c r="D3642" s="68"/>
      <c r="E3642" s="10"/>
      <c r="F3642" s="69"/>
      <c r="G3642" s="68"/>
      <c r="H3642" s="70"/>
      <c r="BA3642" s="4"/>
      <c r="BB3642" s="4"/>
    </row>
    <row r="3643" spans="1:54" x14ac:dyDescent="0.3">
      <c r="A3643" s="66"/>
      <c r="B3643" s="67"/>
      <c r="C3643" s="66"/>
      <c r="D3643" s="68"/>
      <c r="E3643" s="10"/>
      <c r="F3643" s="69"/>
      <c r="G3643" s="68"/>
      <c r="H3643" s="70"/>
      <c r="BA3643" s="4"/>
      <c r="BB3643" s="4"/>
    </row>
    <row r="3644" spans="1:54" x14ac:dyDescent="0.3">
      <c r="A3644" s="66"/>
      <c r="B3644" s="67"/>
      <c r="C3644" s="66"/>
      <c r="D3644" s="68"/>
      <c r="E3644" s="10"/>
      <c r="F3644" s="69"/>
      <c r="G3644" s="68"/>
      <c r="H3644" s="70"/>
      <c r="BA3644" s="4"/>
      <c r="BB3644" s="4"/>
    </row>
    <row r="3645" spans="1:54" x14ac:dyDescent="0.3">
      <c r="A3645" s="66"/>
      <c r="B3645" s="67"/>
      <c r="C3645" s="66"/>
      <c r="D3645" s="68"/>
      <c r="E3645" s="10"/>
      <c r="F3645" s="69"/>
      <c r="G3645" s="68"/>
      <c r="H3645" s="70"/>
      <c r="BA3645" s="4"/>
      <c r="BB3645" s="4"/>
    </row>
    <row r="3646" spans="1:54" x14ac:dyDescent="0.3">
      <c r="A3646" s="66"/>
      <c r="B3646" s="67"/>
      <c r="C3646" s="66"/>
      <c r="D3646" s="68"/>
      <c r="E3646" s="10"/>
      <c r="F3646" s="69"/>
      <c r="G3646" s="68"/>
      <c r="H3646" s="70"/>
      <c r="BA3646" s="4"/>
      <c r="BB3646" s="4"/>
    </row>
    <row r="3647" spans="1:54" x14ac:dyDescent="0.3">
      <c r="A3647" s="66"/>
      <c r="B3647" s="67"/>
      <c r="C3647" s="66"/>
      <c r="D3647" s="68"/>
      <c r="E3647" s="10"/>
      <c r="F3647" s="69"/>
      <c r="G3647" s="68"/>
      <c r="H3647" s="70"/>
      <c r="BA3647" s="4"/>
      <c r="BB3647" s="4"/>
    </row>
    <row r="3648" spans="1:54" x14ac:dyDescent="0.3">
      <c r="A3648" s="66"/>
      <c r="B3648" s="67"/>
      <c r="C3648" s="66"/>
      <c r="D3648" s="68"/>
      <c r="E3648" s="10"/>
      <c r="F3648" s="69"/>
      <c r="G3648" s="68"/>
      <c r="H3648" s="70"/>
      <c r="BA3648" s="4"/>
      <c r="BB3648" s="4"/>
    </row>
    <row r="3649" spans="1:54" x14ac:dyDescent="0.3">
      <c r="A3649" s="66"/>
      <c r="B3649" s="67"/>
      <c r="C3649" s="66"/>
      <c r="D3649" s="68"/>
      <c r="E3649" s="10"/>
      <c r="F3649" s="69"/>
      <c r="G3649" s="68"/>
      <c r="H3649" s="70"/>
      <c r="BA3649" s="4"/>
      <c r="BB3649" s="4"/>
    </row>
    <row r="3650" spans="1:54" x14ac:dyDescent="0.3">
      <c r="A3650" s="66"/>
      <c r="B3650" s="67"/>
      <c r="C3650" s="66"/>
      <c r="D3650" s="68"/>
      <c r="E3650" s="10"/>
      <c r="F3650" s="69"/>
      <c r="G3650" s="68"/>
      <c r="H3650" s="70"/>
      <c r="BA3650" s="4"/>
      <c r="BB3650" s="4"/>
    </row>
    <row r="3651" spans="1:54" x14ac:dyDescent="0.3">
      <c r="A3651" s="66"/>
      <c r="B3651" s="67"/>
      <c r="C3651" s="66"/>
      <c r="D3651" s="68"/>
      <c r="E3651" s="10"/>
      <c r="F3651" s="69"/>
      <c r="G3651" s="68"/>
      <c r="H3651" s="70"/>
      <c r="BA3651" s="4"/>
      <c r="BB3651" s="4"/>
    </row>
    <row r="3652" spans="1:54" x14ac:dyDescent="0.3">
      <c r="A3652" s="66"/>
      <c r="B3652" s="67"/>
      <c r="C3652" s="66"/>
      <c r="D3652" s="68"/>
      <c r="E3652" s="10"/>
      <c r="F3652" s="69"/>
      <c r="G3652" s="68"/>
      <c r="H3652" s="70"/>
      <c r="BA3652" s="4"/>
      <c r="BB3652" s="4"/>
    </row>
    <row r="3653" spans="1:54" x14ac:dyDescent="0.3">
      <c r="A3653" s="66"/>
      <c r="B3653" s="67"/>
      <c r="C3653" s="66"/>
      <c r="D3653" s="68"/>
      <c r="E3653" s="10"/>
      <c r="F3653" s="69"/>
      <c r="G3653" s="68"/>
      <c r="H3653" s="70"/>
      <c r="BA3653" s="4"/>
      <c r="BB3653" s="4"/>
    </row>
    <row r="3654" spans="1:54" x14ac:dyDescent="0.3">
      <c r="A3654" s="66"/>
      <c r="B3654" s="67"/>
      <c r="C3654" s="66"/>
      <c r="D3654" s="68"/>
      <c r="E3654" s="10"/>
      <c r="F3654" s="69"/>
      <c r="G3654" s="68"/>
      <c r="H3654" s="70"/>
      <c r="BA3654" s="4"/>
      <c r="BB3654" s="4"/>
    </row>
    <row r="3655" spans="1:54" x14ac:dyDescent="0.3">
      <c r="A3655" s="66"/>
      <c r="B3655" s="67"/>
      <c r="C3655" s="66"/>
      <c r="D3655" s="68"/>
      <c r="E3655" s="10"/>
      <c r="F3655" s="69"/>
      <c r="G3655" s="68"/>
      <c r="H3655" s="70"/>
      <c r="BA3655" s="4"/>
      <c r="BB3655" s="4"/>
    </row>
    <row r="3656" spans="1:54" x14ac:dyDescent="0.3">
      <c r="A3656" s="66"/>
      <c r="B3656" s="67"/>
      <c r="C3656" s="66"/>
      <c r="D3656" s="68"/>
      <c r="E3656" s="10"/>
      <c r="F3656" s="69"/>
      <c r="G3656" s="68"/>
      <c r="H3656" s="70"/>
      <c r="BA3656" s="4"/>
      <c r="BB3656" s="4"/>
    </row>
    <row r="3657" spans="1:54" x14ac:dyDescent="0.3">
      <c r="A3657" s="66"/>
      <c r="B3657" s="67"/>
      <c r="C3657" s="66"/>
      <c r="D3657" s="68"/>
      <c r="E3657" s="10"/>
      <c r="F3657" s="69"/>
      <c r="G3657" s="68"/>
      <c r="H3657" s="70"/>
      <c r="BA3657" s="4"/>
      <c r="BB3657" s="4"/>
    </row>
    <row r="3658" spans="1:54" x14ac:dyDescent="0.3">
      <c r="A3658" s="66"/>
      <c r="B3658" s="67"/>
      <c r="C3658" s="66"/>
      <c r="D3658" s="68"/>
      <c r="E3658" s="10"/>
      <c r="F3658" s="69"/>
      <c r="G3658" s="68"/>
      <c r="H3658" s="70"/>
      <c r="BA3658" s="4"/>
      <c r="BB3658" s="4"/>
    </row>
    <row r="3659" spans="1:54" x14ac:dyDescent="0.3">
      <c r="A3659" s="66"/>
      <c r="B3659" s="67"/>
      <c r="C3659" s="66"/>
      <c r="D3659" s="68"/>
      <c r="E3659" s="10"/>
      <c r="F3659" s="69"/>
      <c r="G3659" s="68"/>
      <c r="H3659" s="70"/>
      <c r="BA3659" s="4"/>
      <c r="BB3659" s="4"/>
    </row>
    <row r="3660" spans="1:54" x14ac:dyDescent="0.3">
      <c r="A3660" s="66"/>
      <c r="B3660" s="67"/>
      <c r="C3660" s="66"/>
      <c r="D3660" s="68"/>
      <c r="E3660" s="10"/>
      <c r="F3660" s="69"/>
      <c r="G3660" s="68"/>
      <c r="H3660" s="70"/>
      <c r="BA3660" s="4"/>
      <c r="BB3660" s="4"/>
    </row>
    <row r="3661" spans="1:54" x14ac:dyDescent="0.3">
      <c r="A3661" s="66"/>
      <c r="B3661" s="67"/>
      <c r="C3661" s="66"/>
      <c r="D3661" s="68"/>
      <c r="E3661" s="10"/>
      <c r="F3661" s="69"/>
      <c r="G3661" s="68"/>
      <c r="H3661" s="70"/>
      <c r="BA3661" s="4"/>
      <c r="BB3661" s="4"/>
    </row>
    <row r="3662" spans="1:54" x14ac:dyDescent="0.3">
      <c r="A3662" s="66"/>
      <c r="B3662" s="67"/>
      <c r="C3662" s="66"/>
      <c r="D3662" s="68"/>
      <c r="E3662" s="10"/>
      <c r="F3662" s="69"/>
      <c r="G3662" s="68"/>
      <c r="H3662" s="70"/>
      <c r="BA3662" s="4"/>
      <c r="BB3662" s="4"/>
    </row>
    <row r="3663" spans="1:54" x14ac:dyDescent="0.3">
      <c r="A3663" s="66"/>
      <c r="B3663" s="67"/>
      <c r="C3663" s="66"/>
      <c r="D3663" s="68"/>
      <c r="E3663" s="10"/>
      <c r="F3663" s="69"/>
      <c r="G3663" s="68"/>
      <c r="H3663" s="70"/>
      <c r="BA3663" s="4"/>
      <c r="BB3663" s="4"/>
    </row>
    <row r="3664" spans="1:54" x14ac:dyDescent="0.3">
      <c r="A3664" s="66"/>
      <c r="B3664" s="67"/>
      <c r="C3664" s="66"/>
      <c r="D3664" s="68"/>
      <c r="E3664" s="10"/>
      <c r="F3664" s="69"/>
      <c r="G3664" s="68"/>
      <c r="H3664" s="70"/>
      <c r="BA3664" s="4"/>
      <c r="BB3664" s="4"/>
    </row>
    <row r="3665" spans="1:54" x14ac:dyDescent="0.3">
      <c r="A3665" s="66"/>
      <c r="B3665" s="67"/>
      <c r="C3665" s="66"/>
      <c r="D3665" s="68"/>
      <c r="E3665" s="10"/>
      <c r="F3665" s="69"/>
      <c r="G3665" s="68"/>
      <c r="H3665" s="70"/>
      <c r="BA3665" s="4"/>
      <c r="BB3665" s="4"/>
    </row>
    <row r="3666" spans="1:54" x14ac:dyDescent="0.3">
      <c r="A3666" s="66"/>
      <c r="B3666" s="67"/>
      <c r="C3666" s="66"/>
      <c r="D3666" s="68"/>
      <c r="E3666" s="10"/>
      <c r="F3666" s="69"/>
      <c r="G3666" s="68"/>
      <c r="H3666" s="70"/>
      <c r="BA3666" s="4"/>
      <c r="BB3666" s="4"/>
    </row>
    <row r="3667" spans="1:54" x14ac:dyDescent="0.3">
      <c r="A3667" s="66"/>
      <c r="B3667" s="67"/>
      <c r="C3667" s="66"/>
      <c r="D3667" s="68"/>
      <c r="E3667" s="10"/>
      <c r="F3667" s="69"/>
      <c r="G3667" s="68"/>
      <c r="H3667" s="70"/>
      <c r="BA3667" s="4"/>
      <c r="BB3667" s="4"/>
    </row>
    <row r="3668" spans="1:54" x14ac:dyDescent="0.3">
      <c r="A3668" s="66"/>
      <c r="B3668" s="67"/>
      <c r="C3668" s="66"/>
      <c r="D3668" s="68"/>
      <c r="E3668" s="10"/>
      <c r="F3668" s="69"/>
      <c r="G3668" s="68"/>
      <c r="H3668" s="70"/>
      <c r="BA3668" s="4"/>
      <c r="BB3668" s="4"/>
    </row>
    <row r="3669" spans="1:54" x14ac:dyDescent="0.3">
      <c r="A3669" s="66"/>
      <c r="B3669" s="67"/>
      <c r="C3669" s="66"/>
      <c r="D3669" s="68"/>
      <c r="E3669" s="10"/>
      <c r="F3669" s="69"/>
      <c r="G3669" s="68"/>
      <c r="H3669" s="70"/>
      <c r="BA3669" s="4"/>
      <c r="BB3669" s="4"/>
    </row>
    <row r="3670" spans="1:54" x14ac:dyDescent="0.3">
      <c r="A3670" s="66"/>
      <c r="B3670" s="67"/>
      <c r="C3670" s="66"/>
      <c r="D3670" s="68"/>
      <c r="E3670" s="10"/>
      <c r="F3670" s="69"/>
      <c r="G3670" s="68"/>
      <c r="H3670" s="70"/>
      <c r="BA3670" s="4"/>
      <c r="BB3670" s="4"/>
    </row>
    <row r="3671" spans="1:54" x14ac:dyDescent="0.3">
      <c r="A3671" s="66"/>
      <c r="B3671" s="67"/>
      <c r="C3671" s="66"/>
      <c r="D3671" s="68"/>
      <c r="E3671" s="10"/>
      <c r="F3671" s="69"/>
      <c r="G3671" s="68"/>
      <c r="H3671" s="70"/>
      <c r="BA3671" s="4"/>
      <c r="BB3671" s="4"/>
    </row>
    <row r="3672" spans="1:54" x14ac:dyDescent="0.3">
      <c r="A3672" s="66"/>
      <c r="B3672" s="67"/>
      <c r="C3672" s="66"/>
      <c r="D3672" s="68"/>
      <c r="E3672" s="10"/>
      <c r="F3672" s="69"/>
      <c r="G3672" s="68"/>
      <c r="H3672" s="70"/>
      <c r="BA3672" s="4"/>
      <c r="BB3672" s="4"/>
    </row>
    <row r="3673" spans="1:54" x14ac:dyDescent="0.3">
      <c r="A3673" s="66"/>
      <c r="B3673" s="67"/>
      <c r="C3673" s="66"/>
      <c r="D3673" s="68"/>
      <c r="E3673" s="10"/>
      <c r="F3673" s="69"/>
      <c r="G3673" s="68"/>
      <c r="H3673" s="70"/>
      <c r="BA3673" s="4"/>
      <c r="BB3673" s="4"/>
    </row>
    <row r="3674" spans="1:54" x14ac:dyDescent="0.3">
      <c r="A3674" s="66"/>
      <c r="B3674" s="67"/>
      <c r="C3674" s="66"/>
      <c r="D3674" s="68"/>
      <c r="E3674" s="10"/>
      <c r="F3674" s="69"/>
      <c r="G3674" s="68"/>
      <c r="H3674" s="70"/>
      <c r="BA3674" s="4"/>
      <c r="BB3674" s="4"/>
    </row>
    <row r="3675" spans="1:54" x14ac:dyDescent="0.3">
      <c r="A3675" s="66"/>
      <c r="B3675" s="67"/>
      <c r="C3675" s="66"/>
      <c r="D3675" s="68"/>
      <c r="E3675" s="10"/>
      <c r="F3675" s="69"/>
      <c r="G3675" s="68"/>
      <c r="H3675" s="70"/>
      <c r="BA3675" s="4"/>
      <c r="BB3675" s="4"/>
    </row>
    <row r="3676" spans="1:54" x14ac:dyDescent="0.3">
      <c r="A3676" s="66"/>
      <c r="B3676" s="67"/>
      <c r="C3676" s="66"/>
      <c r="D3676" s="68"/>
      <c r="E3676" s="10"/>
      <c r="F3676" s="69"/>
      <c r="G3676" s="68"/>
      <c r="H3676" s="70"/>
      <c r="BA3676" s="4"/>
      <c r="BB3676" s="4"/>
    </row>
    <row r="3677" spans="1:54" x14ac:dyDescent="0.3">
      <c r="A3677" s="66"/>
      <c r="B3677" s="67"/>
      <c r="C3677" s="66"/>
      <c r="D3677" s="68"/>
      <c r="E3677" s="10"/>
      <c r="F3677" s="69"/>
      <c r="G3677" s="68"/>
      <c r="H3677" s="70"/>
      <c r="BA3677" s="4"/>
      <c r="BB3677" s="4"/>
    </row>
    <row r="3678" spans="1:54" x14ac:dyDescent="0.3">
      <c r="A3678" s="66"/>
      <c r="B3678" s="67"/>
      <c r="C3678" s="66"/>
      <c r="D3678" s="68"/>
      <c r="E3678" s="10"/>
      <c r="F3678" s="69"/>
      <c r="G3678" s="68"/>
      <c r="H3678" s="70"/>
      <c r="BA3678" s="4"/>
      <c r="BB3678" s="4"/>
    </row>
    <row r="3679" spans="1:54" x14ac:dyDescent="0.3">
      <c r="A3679" s="66"/>
      <c r="B3679" s="67"/>
      <c r="C3679" s="66"/>
      <c r="D3679" s="68"/>
      <c r="E3679" s="10"/>
      <c r="F3679" s="69"/>
      <c r="G3679" s="68"/>
      <c r="H3679" s="70"/>
      <c r="BA3679" s="4"/>
      <c r="BB3679" s="4"/>
    </row>
    <row r="3680" spans="1:54" x14ac:dyDescent="0.3">
      <c r="A3680" s="66"/>
      <c r="B3680" s="67"/>
      <c r="C3680" s="66"/>
      <c r="D3680" s="68"/>
      <c r="E3680" s="10"/>
      <c r="F3680" s="69"/>
      <c r="G3680" s="68"/>
      <c r="H3680" s="70"/>
      <c r="BA3680" s="4"/>
      <c r="BB3680" s="4"/>
    </row>
    <row r="3681" spans="1:54" x14ac:dyDescent="0.3">
      <c r="A3681" s="66"/>
      <c r="B3681" s="67"/>
      <c r="C3681" s="66"/>
      <c r="D3681" s="68"/>
      <c r="E3681" s="10"/>
      <c r="F3681" s="69"/>
      <c r="G3681" s="68"/>
      <c r="H3681" s="70"/>
      <c r="BA3681" s="4"/>
      <c r="BB3681" s="4"/>
    </row>
    <row r="3682" spans="1:54" x14ac:dyDescent="0.3">
      <c r="A3682" s="66"/>
      <c r="B3682" s="67"/>
      <c r="C3682" s="66"/>
      <c r="D3682" s="68"/>
      <c r="E3682" s="10"/>
      <c r="F3682" s="69"/>
      <c r="G3682" s="68"/>
      <c r="H3682" s="70"/>
      <c r="BA3682" s="4"/>
      <c r="BB3682" s="4"/>
    </row>
    <row r="3683" spans="1:54" x14ac:dyDescent="0.3">
      <c r="A3683" s="66"/>
      <c r="B3683" s="67"/>
      <c r="C3683" s="66"/>
      <c r="D3683" s="68"/>
      <c r="E3683" s="10"/>
      <c r="F3683" s="69"/>
      <c r="G3683" s="68"/>
      <c r="H3683" s="70"/>
      <c r="BA3683" s="4"/>
      <c r="BB3683" s="4"/>
    </row>
    <row r="3684" spans="1:54" x14ac:dyDescent="0.3">
      <c r="A3684" s="66"/>
      <c r="B3684" s="67"/>
      <c r="C3684" s="66"/>
      <c r="D3684" s="68"/>
      <c r="E3684" s="10"/>
      <c r="F3684" s="69"/>
      <c r="G3684" s="68"/>
      <c r="H3684" s="70"/>
      <c r="BA3684" s="4"/>
      <c r="BB3684" s="4"/>
    </row>
    <row r="3685" spans="1:54" x14ac:dyDescent="0.3">
      <c r="A3685" s="66"/>
      <c r="B3685" s="67"/>
      <c r="C3685" s="66"/>
      <c r="D3685" s="68"/>
      <c r="E3685" s="10"/>
      <c r="F3685" s="69"/>
      <c r="G3685" s="68"/>
      <c r="H3685" s="70"/>
      <c r="BA3685" s="4"/>
      <c r="BB3685" s="4"/>
    </row>
    <row r="3686" spans="1:54" x14ac:dyDescent="0.3">
      <c r="A3686" s="66"/>
      <c r="B3686" s="67"/>
      <c r="C3686" s="66"/>
      <c r="D3686" s="68"/>
      <c r="E3686" s="10"/>
      <c r="F3686" s="69"/>
      <c r="G3686" s="68"/>
      <c r="H3686" s="70"/>
      <c r="BA3686" s="4"/>
      <c r="BB3686" s="4"/>
    </row>
    <row r="3687" spans="1:54" x14ac:dyDescent="0.3">
      <c r="A3687" s="66"/>
      <c r="B3687" s="67"/>
      <c r="C3687" s="66"/>
      <c r="D3687" s="68"/>
      <c r="E3687" s="10"/>
      <c r="F3687" s="69"/>
      <c r="G3687" s="68"/>
      <c r="H3687" s="70"/>
      <c r="BA3687" s="4"/>
      <c r="BB3687" s="4"/>
    </row>
    <row r="3688" spans="1:54" x14ac:dyDescent="0.3">
      <c r="A3688" s="66"/>
      <c r="B3688" s="67"/>
      <c r="C3688" s="66"/>
      <c r="D3688" s="68"/>
      <c r="E3688" s="10"/>
      <c r="F3688" s="69"/>
      <c r="G3688" s="68"/>
      <c r="H3688" s="70"/>
      <c r="BA3688" s="4"/>
      <c r="BB3688" s="4"/>
    </row>
    <row r="3689" spans="1:54" x14ac:dyDescent="0.3">
      <c r="A3689" s="66"/>
      <c r="B3689" s="67"/>
      <c r="C3689" s="66"/>
      <c r="D3689" s="68"/>
      <c r="E3689" s="10"/>
      <c r="F3689" s="69"/>
      <c r="G3689" s="68"/>
      <c r="H3689" s="70"/>
      <c r="BA3689" s="4"/>
      <c r="BB3689" s="4"/>
    </row>
    <row r="3690" spans="1:54" x14ac:dyDescent="0.3">
      <c r="A3690" s="66"/>
      <c r="B3690" s="67"/>
      <c r="C3690" s="66"/>
      <c r="D3690" s="68"/>
      <c r="E3690" s="10"/>
      <c r="F3690" s="69"/>
      <c r="G3690" s="68"/>
      <c r="H3690" s="70"/>
      <c r="BA3690" s="4"/>
      <c r="BB3690" s="4"/>
    </row>
    <row r="3691" spans="1:54" x14ac:dyDescent="0.3">
      <c r="A3691" s="66"/>
      <c r="B3691" s="67"/>
      <c r="C3691" s="66"/>
      <c r="D3691" s="68"/>
      <c r="E3691" s="10"/>
      <c r="F3691" s="69"/>
      <c r="G3691" s="68"/>
      <c r="H3691" s="70"/>
      <c r="BA3691" s="4"/>
      <c r="BB3691" s="4"/>
    </row>
    <row r="3692" spans="1:54" x14ac:dyDescent="0.3">
      <c r="A3692" s="66"/>
      <c r="B3692" s="67"/>
      <c r="C3692" s="66"/>
      <c r="D3692" s="68"/>
      <c r="E3692" s="10"/>
      <c r="F3692" s="69"/>
      <c r="G3692" s="68"/>
      <c r="H3692" s="70"/>
      <c r="BA3692" s="4"/>
      <c r="BB3692" s="4"/>
    </row>
    <row r="3693" spans="1:54" x14ac:dyDescent="0.3">
      <c r="A3693" s="66"/>
      <c r="B3693" s="67"/>
      <c r="C3693" s="66"/>
      <c r="D3693" s="68"/>
      <c r="E3693" s="10"/>
      <c r="F3693" s="69"/>
      <c r="G3693" s="68"/>
      <c r="H3693" s="70"/>
      <c r="BA3693" s="4"/>
      <c r="BB3693" s="4"/>
    </row>
    <row r="3694" spans="1:54" x14ac:dyDescent="0.3">
      <c r="A3694" s="66"/>
      <c r="B3694" s="67"/>
      <c r="C3694" s="66"/>
      <c r="D3694" s="68"/>
      <c r="E3694" s="10"/>
      <c r="F3694" s="69"/>
      <c r="G3694" s="68"/>
      <c r="H3694" s="70"/>
      <c r="BA3694" s="4"/>
      <c r="BB3694" s="4"/>
    </row>
    <row r="3695" spans="1:54" x14ac:dyDescent="0.3">
      <c r="A3695" s="66"/>
      <c r="B3695" s="67"/>
      <c r="C3695" s="66"/>
      <c r="D3695" s="68"/>
      <c r="E3695" s="10"/>
      <c r="F3695" s="69"/>
      <c r="G3695" s="68"/>
      <c r="H3695" s="70"/>
      <c r="BA3695" s="4"/>
      <c r="BB3695" s="4"/>
    </row>
    <row r="3696" spans="1:54" x14ac:dyDescent="0.3">
      <c r="A3696" s="66"/>
      <c r="B3696" s="67"/>
      <c r="C3696" s="66"/>
      <c r="D3696" s="68"/>
      <c r="E3696" s="10"/>
      <c r="F3696" s="69"/>
      <c r="G3696" s="68"/>
      <c r="H3696" s="70"/>
      <c r="BA3696" s="4"/>
      <c r="BB3696" s="4"/>
    </row>
    <row r="3697" spans="1:54" x14ac:dyDescent="0.3">
      <c r="A3697" s="66"/>
      <c r="B3697" s="67"/>
      <c r="C3697" s="66"/>
      <c r="D3697" s="68"/>
      <c r="E3697" s="10"/>
      <c r="F3697" s="69"/>
      <c r="G3697" s="68"/>
      <c r="H3697" s="70"/>
      <c r="BA3697" s="4"/>
      <c r="BB3697" s="4"/>
    </row>
    <row r="3698" spans="1:54" x14ac:dyDescent="0.3">
      <c r="A3698" s="66"/>
      <c r="B3698" s="67"/>
      <c r="C3698" s="66"/>
      <c r="D3698" s="68"/>
      <c r="E3698" s="10"/>
      <c r="F3698" s="69"/>
      <c r="G3698" s="68"/>
      <c r="H3698" s="70"/>
      <c r="BA3698" s="4"/>
      <c r="BB3698" s="4"/>
    </row>
    <row r="3699" spans="1:54" x14ac:dyDescent="0.3">
      <c r="A3699" s="66"/>
      <c r="B3699" s="67"/>
      <c r="C3699" s="66"/>
      <c r="D3699" s="68"/>
      <c r="E3699" s="10"/>
      <c r="F3699" s="69"/>
      <c r="G3699" s="68"/>
      <c r="H3699" s="70"/>
      <c r="BA3699" s="4"/>
      <c r="BB3699" s="4"/>
    </row>
    <row r="3700" spans="1:54" x14ac:dyDescent="0.3">
      <c r="A3700" s="66"/>
      <c r="B3700" s="67"/>
      <c r="C3700" s="66"/>
      <c r="D3700" s="68"/>
      <c r="E3700" s="10"/>
      <c r="F3700" s="69"/>
      <c r="G3700" s="68"/>
      <c r="H3700" s="70"/>
      <c r="BA3700" s="4"/>
      <c r="BB3700" s="4"/>
    </row>
    <row r="3701" spans="1:54" x14ac:dyDescent="0.3">
      <c r="A3701" s="66"/>
      <c r="B3701" s="67"/>
      <c r="C3701" s="66"/>
      <c r="D3701" s="68"/>
      <c r="E3701" s="10"/>
      <c r="F3701" s="69"/>
      <c r="G3701" s="68"/>
      <c r="H3701" s="70"/>
      <c r="BA3701" s="4"/>
      <c r="BB3701" s="4"/>
    </row>
    <row r="3702" spans="1:54" x14ac:dyDescent="0.3">
      <c r="A3702" s="66"/>
      <c r="B3702" s="67"/>
      <c r="C3702" s="66"/>
      <c r="D3702" s="68"/>
      <c r="E3702" s="10"/>
      <c r="F3702" s="69"/>
      <c r="G3702" s="68"/>
      <c r="H3702" s="70"/>
      <c r="BA3702" s="4"/>
      <c r="BB3702" s="4"/>
    </row>
    <row r="3703" spans="1:54" x14ac:dyDescent="0.3">
      <c r="A3703" s="66"/>
      <c r="B3703" s="67"/>
      <c r="C3703" s="66"/>
      <c r="D3703" s="68"/>
      <c r="E3703" s="10"/>
      <c r="F3703" s="69"/>
      <c r="G3703" s="68"/>
      <c r="H3703" s="70"/>
      <c r="BA3703" s="4"/>
      <c r="BB3703" s="4"/>
    </row>
    <row r="3704" spans="1:54" x14ac:dyDescent="0.3">
      <c r="A3704" s="66"/>
      <c r="B3704" s="67"/>
      <c r="C3704" s="66"/>
      <c r="D3704" s="68"/>
      <c r="E3704" s="10"/>
      <c r="F3704" s="69"/>
      <c r="G3704" s="68"/>
      <c r="H3704" s="70"/>
      <c r="BA3704" s="4"/>
      <c r="BB3704" s="4"/>
    </row>
    <row r="3705" spans="1:54" x14ac:dyDescent="0.3">
      <c r="A3705" s="66"/>
      <c r="B3705" s="67"/>
      <c r="C3705" s="66"/>
      <c r="D3705" s="68"/>
      <c r="E3705" s="10"/>
      <c r="F3705" s="69"/>
      <c r="G3705" s="68"/>
      <c r="H3705" s="70"/>
      <c r="BA3705" s="4"/>
      <c r="BB3705" s="4"/>
    </row>
    <row r="3706" spans="1:54" x14ac:dyDescent="0.3">
      <c r="A3706" s="66"/>
      <c r="B3706" s="67"/>
      <c r="C3706" s="66"/>
      <c r="D3706" s="68"/>
      <c r="E3706" s="10"/>
      <c r="F3706" s="69"/>
      <c r="G3706" s="68"/>
      <c r="H3706" s="70"/>
      <c r="BA3706" s="4"/>
      <c r="BB3706" s="4"/>
    </row>
    <row r="3707" spans="1:54" x14ac:dyDescent="0.3">
      <c r="A3707" s="66"/>
      <c r="B3707" s="67"/>
      <c r="C3707" s="66"/>
      <c r="D3707" s="68"/>
      <c r="E3707" s="10"/>
      <c r="F3707" s="69"/>
      <c r="G3707" s="68"/>
      <c r="H3707" s="70"/>
      <c r="BA3707" s="4"/>
      <c r="BB3707" s="4"/>
    </row>
    <row r="3708" spans="1:54" x14ac:dyDescent="0.3">
      <c r="A3708" s="66"/>
      <c r="B3708" s="67"/>
      <c r="C3708" s="66"/>
      <c r="D3708" s="68"/>
      <c r="E3708" s="10"/>
      <c r="F3708" s="69"/>
      <c r="G3708" s="68"/>
      <c r="H3708" s="70"/>
      <c r="BA3708" s="4"/>
      <c r="BB3708" s="4"/>
    </row>
    <row r="3709" spans="1:54" x14ac:dyDescent="0.3">
      <c r="A3709" s="66"/>
      <c r="B3709" s="67"/>
      <c r="C3709" s="66"/>
      <c r="D3709" s="68"/>
      <c r="E3709" s="10"/>
      <c r="F3709" s="69"/>
      <c r="G3709" s="68"/>
      <c r="H3709" s="70"/>
      <c r="BA3709" s="4"/>
      <c r="BB3709" s="4"/>
    </row>
    <row r="3710" spans="1:54" x14ac:dyDescent="0.3">
      <c r="A3710" s="66"/>
      <c r="B3710" s="67"/>
      <c r="C3710" s="66"/>
      <c r="D3710" s="68"/>
      <c r="E3710" s="10"/>
      <c r="F3710" s="69"/>
      <c r="G3710" s="68"/>
      <c r="H3710" s="70"/>
      <c r="BA3710" s="4"/>
      <c r="BB3710" s="4"/>
    </row>
    <row r="3711" spans="1:54" x14ac:dyDescent="0.3">
      <c r="A3711" s="66"/>
      <c r="B3711" s="67"/>
      <c r="C3711" s="66"/>
      <c r="D3711" s="68"/>
      <c r="E3711" s="10"/>
      <c r="F3711" s="69"/>
      <c r="G3711" s="68"/>
      <c r="H3711" s="70"/>
      <c r="BA3711" s="4"/>
      <c r="BB3711" s="4"/>
    </row>
    <row r="3712" spans="1:54" x14ac:dyDescent="0.3">
      <c r="A3712" s="66"/>
      <c r="B3712" s="67"/>
      <c r="C3712" s="66"/>
      <c r="D3712" s="68"/>
      <c r="E3712" s="10"/>
      <c r="F3712" s="69"/>
      <c r="G3712" s="68"/>
      <c r="H3712" s="70"/>
      <c r="BA3712" s="4"/>
      <c r="BB3712" s="4"/>
    </row>
    <row r="3713" spans="1:54" x14ac:dyDescent="0.3">
      <c r="A3713" s="66"/>
      <c r="B3713" s="67"/>
      <c r="C3713" s="66"/>
      <c r="D3713" s="68"/>
      <c r="E3713" s="10"/>
      <c r="F3713" s="69"/>
      <c r="G3713" s="68"/>
      <c r="H3713" s="70"/>
      <c r="BA3713" s="4"/>
      <c r="BB3713" s="4"/>
    </row>
    <row r="3714" spans="1:54" x14ac:dyDescent="0.3">
      <c r="A3714" s="66"/>
      <c r="B3714" s="67"/>
      <c r="C3714" s="66"/>
      <c r="D3714" s="68"/>
      <c r="E3714" s="10"/>
      <c r="F3714" s="69"/>
      <c r="G3714" s="68"/>
      <c r="H3714" s="70"/>
      <c r="BA3714" s="4"/>
      <c r="BB3714" s="4"/>
    </row>
    <row r="3715" spans="1:54" x14ac:dyDescent="0.3">
      <c r="A3715" s="66"/>
      <c r="B3715" s="67"/>
      <c r="C3715" s="66"/>
      <c r="D3715" s="68"/>
      <c r="E3715" s="10"/>
      <c r="F3715" s="69"/>
      <c r="G3715" s="68"/>
      <c r="H3715" s="70"/>
      <c r="BA3715" s="4"/>
      <c r="BB3715" s="4"/>
    </row>
    <row r="3716" spans="1:54" x14ac:dyDescent="0.3">
      <c r="A3716" s="66"/>
      <c r="B3716" s="67"/>
      <c r="C3716" s="66"/>
      <c r="D3716" s="68"/>
      <c r="E3716" s="10"/>
      <c r="F3716" s="69"/>
      <c r="G3716" s="68"/>
      <c r="H3716" s="70"/>
      <c r="BA3716" s="4"/>
      <c r="BB3716" s="4"/>
    </row>
    <row r="3717" spans="1:54" x14ac:dyDescent="0.3">
      <c r="A3717" s="66"/>
      <c r="B3717" s="67"/>
      <c r="C3717" s="66"/>
      <c r="D3717" s="68"/>
      <c r="E3717" s="10"/>
      <c r="F3717" s="69"/>
      <c r="G3717" s="68"/>
      <c r="H3717" s="70"/>
      <c r="BA3717" s="4"/>
      <c r="BB3717" s="4"/>
    </row>
    <row r="3718" spans="1:54" x14ac:dyDescent="0.3">
      <c r="A3718" s="66"/>
      <c r="B3718" s="67"/>
      <c r="C3718" s="66"/>
      <c r="D3718" s="68"/>
      <c r="E3718" s="10"/>
      <c r="F3718" s="69"/>
      <c r="G3718" s="68"/>
      <c r="H3718" s="70"/>
      <c r="BA3718" s="4"/>
      <c r="BB3718" s="4"/>
    </row>
    <row r="3719" spans="1:54" x14ac:dyDescent="0.3">
      <c r="A3719" s="66"/>
      <c r="B3719" s="67"/>
      <c r="C3719" s="66"/>
      <c r="D3719" s="68"/>
      <c r="E3719" s="10"/>
      <c r="F3719" s="69"/>
      <c r="G3719" s="68"/>
      <c r="H3719" s="70"/>
      <c r="BA3719" s="4"/>
      <c r="BB3719" s="4"/>
    </row>
    <row r="3720" spans="1:54" x14ac:dyDescent="0.3">
      <c r="A3720" s="66"/>
      <c r="B3720" s="67"/>
      <c r="C3720" s="66"/>
      <c r="D3720" s="68"/>
      <c r="E3720" s="10"/>
      <c r="F3720" s="69"/>
      <c r="G3720" s="68"/>
      <c r="H3720" s="70"/>
      <c r="BA3720" s="4"/>
      <c r="BB3720" s="4"/>
    </row>
    <row r="3721" spans="1:54" x14ac:dyDescent="0.3">
      <c r="A3721" s="66"/>
      <c r="B3721" s="67"/>
      <c r="C3721" s="66"/>
      <c r="D3721" s="68"/>
      <c r="E3721" s="10"/>
      <c r="F3721" s="69"/>
      <c r="G3721" s="68"/>
      <c r="H3721" s="70"/>
      <c r="BA3721" s="4"/>
      <c r="BB3721" s="4"/>
    </row>
    <row r="3722" spans="1:54" x14ac:dyDescent="0.3">
      <c r="A3722" s="66"/>
      <c r="B3722" s="67"/>
      <c r="C3722" s="66"/>
      <c r="D3722" s="68"/>
      <c r="E3722" s="10"/>
      <c r="F3722" s="69"/>
      <c r="G3722" s="68"/>
      <c r="H3722" s="70"/>
      <c r="BA3722" s="4"/>
      <c r="BB3722" s="4"/>
    </row>
    <row r="3723" spans="1:54" x14ac:dyDescent="0.3">
      <c r="A3723" s="66"/>
      <c r="B3723" s="67"/>
      <c r="C3723" s="66"/>
      <c r="D3723" s="68"/>
      <c r="E3723" s="10"/>
      <c r="F3723" s="69"/>
      <c r="G3723" s="68"/>
      <c r="H3723" s="70"/>
      <c r="BA3723" s="4"/>
      <c r="BB3723" s="4"/>
    </row>
    <row r="3724" spans="1:54" x14ac:dyDescent="0.3">
      <c r="A3724" s="66"/>
      <c r="B3724" s="67"/>
      <c r="C3724" s="66"/>
      <c r="D3724" s="68"/>
      <c r="E3724" s="10"/>
      <c r="F3724" s="69"/>
      <c r="G3724" s="68"/>
      <c r="H3724" s="70"/>
      <c r="BA3724" s="4"/>
      <c r="BB3724" s="4"/>
    </row>
    <row r="3725" spans="1:54" x14ac:dyDescent="0.3">
      <c r="A3725" s="66"/>
      <c r="B3725" s="67"/>
      <c r="C3725" s="66"/>
      <c r="D3725" s="68"/>
      <c r="E3725" s="10"/>
      <c r="F3725" s="69"/>
      <c r="G3725" s="68"/>
      <c r="H3725" s="70"/>
      <c r="BA3725" s="4"/>
      <c r="BB3725" s="4"/>
    </row>
    <row r="3726" spans="1:54" x14ac:dyDescent="0.3">
      <c r="A3726" s="66"/>
      <c r="B3726" s="67"/>
      <c r="C3726" s="66"/>
      <c r="D3726" s="68"/>
      <c r="E3726" s="10"/>
      <c r="F3726" s="69"/>
      <c r="G3726" s="68"/>
      <c r="H3726" s="70"/>
      <c r="BA3726" s="4"/>
      <c r="BB3726" s="4"/>
    </row>
    <row r="3727" spans="1:54" x14ac:dyDescent="0.3">
      <c r="A3727" s="66"/>
      <c r="B3727" s="67"/>
      <c r="C3727" s="66"/>
      <c r="D3727" s="68"/>
      <c r="E3727" s="10"/>
      <c r="F3727" s="69"/>
      <c r="G3727" s="68"/>
      <c r="H3727" s="70"/>
      <c r="BA3727" s="4"/>
      <c r="BB3727" s="4"/>
    </row>
    <row r="3728" spans="1:54" x14ac:dyDescent="0.3">
      <c r="A3728" s="66"/>
      <c r="B3728" s="67"/>
      <c r="C3728" s="66"/>
      <c r="D3728" s="68"/>
      <c r="E3728" s="10"/>
      <c r="F3728" s="69"/>
      <c r="G3728" s="68"/>
      <c r="H3728" s="70"/>
      <c r="BA3728" s="4"/>
      <c r="BB3728" s="4"/>
    </row>
    <row r="3729" spans="1:54" x14ac:dyDescent="0.3">
      <c r="A3729" s="66"/>
      <c r="B3729" s="67"/>
      <c r="C3729" s="66"/>
      <c r="D3729" s="68"/>
      <c r="E3729" s="10"/>
      <c r="F3729" s="69"/>
      <c r="G3729" s="68"/>
      <c r="H3729" s="70"/>
      <c r="BA3729" s="4"/>
      <c r="BB3729" s="4"/>
    </row>
    <row r="3730" spans="1:54" x14ac:dyDescent="0.3">
      <c r="A3730" s="66"/>
      <c r="B3730" s="67"/>
      <c r="C3730" s="66"/>
      <c r="D3730" s="68"/>
      <c r="E3730" s="10"/>
      <c r="F3730" s="69"/>
      <c r="G3730" s="68"/>
      <c r="H3730" s="70"/>
      <c r="BA3730" s="4"/>
      <c r="BB3730" s="4"/>
    </row>
    <row r="3731" spans="1:54" x14ac:dyDescent="0.3">
      <c r="A3731" s="66"/>
      <c r="B3731" s="67"/>
      <c r="C3731" s="66"/>
      <c r="D3731" s="68"/>
      <c r="E3731" s="10"/>
      <c r="F3731" s="69"/>
      <c r="G3731" s="68"/>
      <c r="H3731" s="70"/>
      <c r="BA3731" s="4"/>
      <c r="BB3731" s="4"/>
    </row>
    <row r="3732" spans="1:54" x14ac:dyDescent="0.3">
      <c r="A3732" s="66"/>
      <c r="B3732" s="67"/>
      <c r="C3732" s="66"/>
      <c r="D3732" s="68"/>
      <c r="E3732" s="10"/>
      <c r="F3732" s="69"/>
      <c r="G3732" s="68"/>
      <c r="H3732" s="70"/>
      <c r="BA3732" s="4"/>
      <c r="BB3732" s="4"/>
    </row>
    <row r="3733" spans="1:54" x14ac:dyDescent="0.3">
      <c r="A3733" s="66"/>
      <c r="B3733" s="67"/>
      <c r="C3733" s="66"/>
      <c r="D3733" s="68"/>
      <c r="E3733" s="10"/>
      <c r="F3733" s="69"/>
      <c r="G3733" s="68"/>
      <c r="H3733" s="70"/>
      <c r="BA3733" s="4"/>
      <c r="BB3733" s="4"/>
    </row>
    <row r="3734" spans="1:54" x14ac:dyDescent="0.3">
      <c r="A3734" s="66"/>
      <c r="B3734" s="67"/>
      <c r="C3734" s="66"/>
      <c r="D3734" s="68"/>
      <c r="E3734" s="10"/>
      <c r="F3734" s="69"/>
      <c r="G3734" s="68"/>
      <c r="H3734" s="70"/>
      <c r="BA3734" s="4"/>
      <c r="BB3734" s="4"/>
    </row>
    <row r="3735" spans="1:54" x14ac:dyDescent="0.3">
      <c r="A3735" s="66"/>
      <c r="B3735" s="67"/>
      <c r="C3735" s="66"/>
      <c r="D3735" s="68"/>
      <c r="E3735" s="10"/>
      <c r="F3735" s="69"/>
      <c r="G3735" s="68"/>
      <c r="H3735" s="70"/>
      <c r="BA3735" s="4"/>
      <c r="BB3735" s="4"/>
    </row>
    <row r="3736" spans="1:54" x14ac:dyDescent="0.3">
      <c r="A3736" s="66"/>
      <c r="B3736" s="67"/>
      <c r="C3736" s="66"/>
      <c r="D3736" s="68"/>
      <c r="E3736" s="10"/>
      <c r="F3736" s="69"/>
      <c r="G3736" s="68"/>
      <c r="H3736" s="70"/>
      <c r="BA3736" s="4"/>
      <c r="BB3736" s="4"/>
    </row>
    <row r="3737" spans="1:54" x14ac:dyDescent="0.3">
      <c r="A3737" s="66"/>
      <c r="B3737" s="67"/>
      <c r="C3737" s="66"/>
      <c r="D3737" s="68"/>
      <c r="E3737" s="10"/>
      <c r="F3737" s="69"/>
      <c r="G3737" s="68"/>
      <c r="H3737" s="70"/>
      <c r="BA3737" s="4"/>
      <c r="BB3737" s="4"/>
    </row>
    <row r="3738" spans="1:54" x14ac:dyDescent="0.3">
      <c r="A3738" s="66"/>
      <c r="B3738" s="67"/>
      <c r="C3738" s="66"/>
      <c r="D3738" s="68"/>
      <c r="E3738" s="10"/>
      <c r="F3738" s="69"/>
      <c r="G3738" s="68"/>
      <c r="H3738" s="70"/>
      <c r="BA3738" s="4"/>
      <c r="BB3738" s="4"/>
    </row>
    <row r="3739" spans="1:54" x14ac:dyDescent="0.3">
      <c r="A3739" s="66"/>
      <c r="B3739" s="67"/>
      <c r="C3739" s="66"/>
      <c r="D3739" s="68"/>
      <c r="E3739" s="10"/>
      <c r="F3739" s="69"/>
      <c r="G3739" s="68"/>
      <c r="H3739" s="70"/>
      <c r="BA3739" s="4"/>
      <c r="BB3739" s="4"/>
    </row>
    <row r="3740" spans="1:54" x14ac:dyDescent="0.3">
      <c r="A3740" s="66"/>
      <c r="B3740" s="67"/>
      <c r="C3740" s="66"/>
      <c r="D3740" s="68"/>
      <c r="E3740" s="10"/>
      <c r="F3740" s="69"/>
      <c r="G3740" s="68"/>
      <c r="H3740" s="70"/>
      <c r="BA3740" s="4"/>
      <c r="BB3740" s="4"/>
    </row>
    <row r="3741" spans="1:54" x14ac:dyDescent="0.3">
      <c r="A3741" s="66"/>
      <c r="B3741" s="67"/>
      <c r="C3741" s="66"/>
      <c r="D3741" s="68"/>
      <c r="E3741" s="10"/>
      <c r="F3741" s="69"/>
      <c r="G3741" s="68"/>
      <c r="H3741" s="70"/>
      <c r="BA3741" s="4"/>
      <c r="BB3741" s="4"/>
    </row>
    <row r="3742" spans="1:54" x14ac:dyDescent="0.3">
      <c r="A3742" s="66"/>
      <c r="B3742" s="67"/>
      <c r="C3742" s="66"/>
      <c r="D3742" s="68"/>
      <c r="E3742" s="10"/>
      <c r="F3742" s="69"/>
      <c r="G3742" s="68"/>
      <c r="H3742" s="70"/>
      <c r="BA3742" s="4"/>
      <c r="BB3742" s="4"/>
    </row>
    <row r="3743" spans="1:54" x14ac:dyDescent="0.3">
      <c r="A3743" s="66"/>
      <c r="B3743" s="67"/>
      <c r="C3743" s="66"/>
      <c r="D3743" s="68"/>
      <c r="E3743" s="10"/>
      <c r="F3743" s="69"/>
      <c r="G3743" s="68"/>
      <c r="H3743" s="70"/>
      <c r="BA3743" s="4"/>
      <c r="BB3743" s="4"/>
    </row>
    <row r="3744" spans="1:54" x14ac:dyDescent="0.3">
      <c r="A3744" s="66"/>
      <c r="B3744" s="67"/>
      <c r="C3744" s="66"/>
      <c r="D3744" s="68"/>
      <c r="E3744" s="10"/>
      <c r="F3744" s="69"/>
      <c r="G3744" s="68"/>
      <c r="H3744" s="70"/>
      <c r="BA3744" s="4"/>
      <c r="BB3744" s="4"/>
    </row>
    <row r="3745" spans="1:54" x14ac:dyDescent="0.3">
      <c r="A3745" s="66"/>
      <c r="B3745" s="67"/>
      <c r="C3745" s="66"/>
      <c r="D3745" s="68"/>
      <c r="E3745" s="10"/>
      <c r="F3745" s="69"/>
      <c r="G3745" s="68"/>
      <c r="H3745" s="70"/>
      <c r="BA3745" s="4"/>
      <c r="BB3745" s="4"/>
    </row>
    <row r="3746" spans="1:54" x14ac:dyDescent="0.3">
      <c r="A3746" s="66"/>
      <c r="B3746" s="67"/>
      <c r="C3746" s="66"/>
      <c r="D3746" s="68"/>
      <c r="E3746" s="10"/>
      <c r="F3746" s="69"/>
      <c r="G3746" s="68"/>
      <c r="H3746" s="70"/>
      <c r="BA3746" s="4"/>
      <c r="BB3746" s="4"/>
    </row>
    <row r="3747" spans="1:54" x14ac:dyDescent="0.3">
      <c r="A3747" s="66"/>
      <c r="B3747" s="67"/>
      <c r="C3747" s="66"/>
      <c r="D3747" s="68"/>
      <c r="E3747" s="10"/>
      <c r="F3747" s="69"/>
      <c r="G3747" s="68"/>
      <c r="H3747" s="70"/>
      <c r="BA3747" s="4"/>
      <c r="BB3747" s="4"/>
    </row>
    <row r="3748" spans="1:54" x14ac:dyDescent="0.3">
      <c r="A3748" s="66"/>
      <c r="B3748" s="67"/>
      <c r="C3748" s="66"/>
      <c r="D3748" s="68"/>
      <c r="E3748" s="10"/>
      <c r="F3748" s="69"/>
      <c r="G3748" s="68"/>
      <c r="H3748" s="70"/>
      <c r="BA3748" s="4"/>
      <c r="BB3748" s="4"/>
    </row>
    <row r="3749" spans="1:54" x14ac:dyDescent="0.3">
      <c r="A3749" s="66"/>
      <c r="B3749" s="67"/>
      <c r="C3749" s="66"/>
      <c r="D3749" s="68"/>
      <c r="E3749" s="10"/>
      <c r="F3749" s="69"/>
      <c r="G3749" s="68"/>
      <c r="H3749" s="70"/>
      <c r="BA3749" s="4"/>
      <c r="BB3749" s="4"/>
    </row>
    <row r="3750" spans="1:54" x14ac:dyDescent="0.3">
      <c r="A3750" s="66"/>
      <c r="B3750" s="67"/>
      <c r="C3750" s="66"/>
      <c r="D3750" s="68"/>
      <c r="E3750" s="10"/>
      <c r="F3750" s="69"/>
      <c r="G3750" s="68"/>
      <c r="H3750" s="70"/>
      <c r="BA3750" s="4"/>
      <c r="BB3750" s="4"/>
    </row>
    <row r="3751" spans="1:54" x14ac:dyDescent="0.3">
      <c r="A3751" s="66"/>
      <c r="B3751" s="67"/>
      <c r="C3751" s="66"/>
      <c r="D3751" s="68"/>
      <c r="E3751" s="10"/>
      <c r="F3751" s="69"/>
      <c r="G3751" s="68"/>
      <c r="H3751" s="70"/>
      <c r="BA3751" s="4"/>
      <c r="BB3751" s="4"/>
    </row>
    <row r="3752" spans="1:54" x14ac:dyDescent="0.3">
      <c r="A3752" s="66"/>
      <c r="B3752" s="67"/>
      <c r="C3752" s="66"/>
      <c r="D3752" s="68"/>
      <c r="E3752" s="10"/>
      <c r="F3752" s="69"/>
      <c r="G3752" s="68"/>
      <c r="H3752" s="70"/>
      <c r="BA3752" s="4"/>
      <c r="BB3752" s="4"/>
    </row>
    <row r="3753" spans="1:54" x14ac:dyDescent="0.3">
      <c r="A3753" s="66"/>
      <c r="B3753" s="67"/>
      <c r="C3753" s="66"/>
      <c r="D3753" s="68"/>
      <c r="E3753" s="10"/>
      <c r="F3753" s="69"/>
      <c r="G3753" s="68"/>
      <c r="H3753" s="70"/>
      <c r="BA3753" s="4"/>
      <c r="BB3753" s="4"/>
    </row>
    <row r="3754" spans="1:54" x14ac:dyDescent="0.3">
      <c r="A3754" s="66"/>
      <c r="B3754" s="67"/>
      <c r="C3754" s="66"/>
      <c r="D3754" s="68"/>
      <c r="E3754" s="10"/>
      <c r="F3754" s="69"/>
      <c r="G3754" s="68"/>
      <c r="H3754" s="70"/>
      <c r="BA3754" s="4"/>
      <c r="BB3754" s="4"/>
    </row>
    <row r="3755" spans="1:54" x14ac:dyDescent="0.3">
      <c r="A3755" s="66"/>
      <c r="B3755" s="67"/>
      <c r="C3755" s="66"/>
      <c r="D3755" s="68"/>
      <c r="E3755" s="10"/>
      <c r="F3755" s="69"/>
      <c r="G3755" s="68"/>
      <c r="H3755" s="70"/>
      <c r="BA3755" s="4"/>
      <c r="BB3755" s="4"/>
    </row>
    <row r="3756" spans="1:54" x14ac:dyDescent="0.3">
      <c r="A3756" s="66"/>
      <c r="B3756" s="67"/>
      <c r="C3756" s="66"/>
      <c r="D3756" s="68"/>
      <c r="E3756" s="10"/>
      <c r="F3756" s="69"/>
      <c r="G3756" s="68"/>
      <c r="H3756" s="70"/>
      <c r="BA3756" s="4"/>
      <c r="BB3756" s="4"/>
    </row>
    <row r="3757" spans="1:54" x14ac:dyDescent="0.3">
      <c r="A3757" s="66"/>
      <c r="B3757" s="67"/>
      <c r="C3757" s="66"/>
      <c r="D3757" s="68"/>
      <c r="E3757" s="10"/>
      <c r="F3757" s="69"/>
      <c r="G3757" s="68"/>
      <c r="H3757" s="70"/>
      <c r="BA3757" s="4"/>
      <c r="BB3757" s="4"/>
    </row>
    <row r="3758" spans="1:54" x14ac:dyDescent="0.3">
      <c r="A3758" s="66"/>
      <c r="B3758" s="67"/>
      <c r="C3758" s="66"/>
      <c r="D3758" s="68"/>
      <c r="E3758" s="10"/>
      <c r="F3758" s="69"/>
      <c r="G3758" s="68"/>
      <c r="H3758" s="70"/>
      <c r="BA3758" s="4"/>
      <c r="BB3758" s="4"/>
    </row>
    <row r="3759" spans="1:54" x14ac:dyDescent="0.3">
      <c r="A3759" s="66"/>
      <c r="B3759" s="67"/>
      <c r="C3759" s="66"/>
      <c r="D3759" s="68"/>
      <c r="E3759" s="10"/>
      <c r="F3759" s="69"/>
      <c r="G3759" s="68"/>
      <c r="H3759" s="70"/>
      <c r="BA3759" s="4"/>
      <c r="BB3759" s="4"/>
    </row>
    <row r="3760" spans="1:54" x14ac:dyDescent="0.3">
      <c r="A3760" s="66"/>
      <c r="B3760" s="67"/>
      <c r="C3760" s="66"/>
      <c r="D3760" s="68"/>
      <c r="E3760" s="10"/>
      <c r="F3760" s="69"/>
      <c r="G3760" s="68"/>
      <c r="H3760" s="70"/>
      <c r="BA3760" s="4"/>
      <c r="BB3760" s="4"/>
    </row>
    <row r="3761" spans="1:54" x14ac:dyDescent="0.3">
      <c r="A3761" s="66"/>
      <c r="B3761" s="67"/>
      <c r="C3761" s="66"/>
      <c r="D3761" s="68"/>
      <c r="E3761" s="10"/>
      <c r="F3761" s="69"/>
      <c r="G3761" s="68"/>
      <c r="H3761" s="70"/>
      <c r="BA3761" s="4"/>
      <c r="BB3761" s="4"/>
    </row>
    <row r="3762" spans="1:54" x14ac:dyDescent="0.3">
      <c r="A3762" s="66"/>
      <c r="B3762" s="67"/>
      <c r="C3762" s="66"/>
      <c r="D3762" s="68"/>
      <c r="E3762" s="10"/>
      <c r="F3762" s="69"/>
      <c r="G3762" s="68"/>
      <c r="H3762" s="70"/>
      <c r="BA3762" s="4"/>
      <c r="BB3762" s="4"/>
    </row>
    <row r="3763" spans="1:54" x14ac:dyDescent="0.3">
      <c r="A3763" s="66"/>
      <c r="B3763" s="67"/>
      <c r="C3763" s="66"/>
      <c r="D3763" s="68"/>
      <c r="E3763" s="10"/>
      <c r="F3763" s="69"/>
      <c r="G3763" s="68"/>
      <c r="H3763" s="70"/>
      <c r="BA3763" s="4"/>
      <c r="BB3763" s="4"/>
    </row>
    <row r="3764" spans="1:54" x14ac:dyDescent="0.3">
      <c r="A3764" s="66"/>
      <c r="B3764" s="67"/>
      <c r="C3764" s="66"/>
      <c r="D3764" s="68"/>
      <c r="E3764" s="10"/>
      <c r="F3764" s="69"/>
      <c r="G3764" s="68"/>
      <c r="H3764" s="70"/>
      <c r="BA3764" s="4"/>
      <c r="BB3764" s="4"/>
    </row>
    <row r="3765" spans="1:54" x14ac:dyDescent="0.3">
      <c r="A3765" s="66"/>
      <c r="B3765" s="67"/>
      <c r="C3765" s="66"/>
      <c r="D3765" s="68"/>
      <c r="E3765" s="10"/>
      <c r="F3765" s="69"/>
      <c r="G3765" s="68"/>
      <c r="H3765" s="70"/>
      <c r="BA3765" s="4"/>
      <c r="BB3765" s="4"/>
    </row>
    <row r="3766" spans="1:54" x14ac:dyDescent="0.3">
      <c r="A3766" s="66"/>
      <c r="B3766" s="67"/>
      <c r="C3766" s="66"/>
      <c r="D3766" s="68"/>
      <c r="E3766" s="10"/>
      <c r="F3766" s="69"/>
      <c r="G3766" s="68"/>
      <c r="H3766" s="70"/>
      <c r="BA3766" s="4"/>
      <c r="BB3766" s="4"/>
    </row>
    <row r="3767" spans="1:54" x14ac:dyDescent="0.3">
      <c r="A3767" s="66"/>
      <c r="B3767" s="67"/>
      <c r="C3767" s="66"/>
      <c r="D3767" s="68"/>
      <c r="E3767" s="10"/>
      <c r="F3767" s="69"/>
      <c r="G3767" s="68"/>
      <c r="H3767" s="70"/>
      <c r="BA3767" s="4"/>
      <c r="BB3767" s="4"/>
    </row>
    <row r="3768" spans="1:54" x14ac:dyDescent="0.3">
      <c r="A3768" s="66"/>
      <c r="B3768" s="67"/>
      <c r="C3768" s="66"/>
      <c r="D3768" s="68"/>
      <c r="E3768" s="10"/>
      <c r="F3768" s="69"/>
      <c r="G3768" s="68"/>
      <c r="H3768" s="70"/>
      <c r="BA3768" s="4"/>
      <c r="BB3768" s="4"/>
    </row>
    <row r="3769" spans="1:54" x14ac:dyDescent="0.3">
      <c r="A3769" s="66"/>
      <c r="B3769" s="67"/>
      <c r="C3769" s="66"/>
      <c r="D3769" s="68"/>
      <c r="E3769" s="10"/>
      <c r="F3769" s="69"/>
      <c r="G3769" s="68"/>
      <c r="H3769" s="70"/>
      <c r="BA3769" s="4"/>
      <c r="BB3769" s="4"/>
    </row>
    <row r="3770" spans="1:54" x14ac:dyDescent="0.3">
      <c r="A3770" s="66"/>
      <c r="B3770" s="67"/>
      <c r="C3770" s="66"/>
      <c r="D3770" s="68"/>
      <c r="E3770" s="10"/>
      <c r="F3770" s="69"/>
      <c r="G3770" s="68"/>
      <c r="H3770" s="70"/>
      <c r="BA3770" s="4"/>
      <c r="BB3770" s="4"/>
    </row>
    <row r="3771" spans="1:54" x14ac:dyDescent="0.3">
      <c r="A3771" s="66"/>
      <c r="B3771" s="67"/>
      <c r="C3771" s="66"/>
      <c r="D3771" s="68"/>
      <c r="E3771" s="10"/>
      <c r="F3771" s="69"/>
      <c r="G3771" s="68"/>
      <c r="H3771" s="70"/>
      <c r="BA3771" s="4"/>
      <c r="BB3771" s="4"/>
    </row>
    <row r="3772" spans="1:54" x14ac:dyDescent="0.3">
      <c r="A3772" s="66"/>
      <c r="B3772" s="67"/>
      <c r="C3772" s="66"/>
      <c r="D3772" s="68"/>
      <c r="E3772" s="10"/>
      <c r="F3772" s="69"/>
      <c r="G3772" s="68"/>
      <c r="H3772" s="70"/>
      <c r="BA3772" s="4"/>
      <c r="BB3772" s="4"/>
    </row>
    <row r="3773" spans="1:54" x14ac:dyDescent="0.3">
      <c r="A3773" s="66"/>
      <c r="B3773" s="67"/>
      <c r="C3773" s="66"/>
      <c r="D3773" s="68"/>
      <c r="E3773" s="10"/>
      <c r="F3773" s="69"/>
      <c r="G3773" s="68"/>
      <c r="H3773" s="70"/>
      <c r="BA3773" s="4"/>
      <c r="BB3773" s="4"/>
    </row>
    <row r="3774" spans="1:54" x14ac:dyDescent="0.3">
      <c r="A3774" s="66"/>
      <c r="B3774" s="67"/>
      <c r="C3774" s="66"/>
      <c r="D3774" s="68"/>
      <c r="E3774" s="10"/>
      <c r="F3774" s="69"/>
      <c r="G3774" s="68"/>
      <c r="H3774" s="70"/>
      <c r="BA3774" s="4"/>
      <c r="BB3774" s="4"/>
    </row>
    <row r="3775" spans="1:54" x14ac:dyDescent="0.3">
      <c r="A3775" s="66"/>
      <c r="B3775" s="67"/>
      <c r="C3775" s="66"/>
      <c r="D3775" s="68"/>
      <c r="E3775" s="10"/>
      <c r="F3775" s="69"/>
      <c r="G3775" s="68"/>
      <c r="H3775" s="70"/>
      <c r="BA3775" s="4"/>
      <c r="BB3775" s="4"/>
    </row>
    <row r="3776" spans="1:54" x14ac:dyDescent="0.3">
      <c r="A3776" s="66"/>
      <c r="B3776" s="67"/>
      <c r="C3776" s="66"/>
      <c r="D3776" s="68"/>
      <c r="E3776" s="10"/>
      <c r="F3776" s="69"/>
      <c r="G3776" s="68"/>
      <c r="H3776" s="70"/>
      <c r="BA3776" s="4"/>
      <c r="BB3776" s="4"/>
    </row>
    <row r="3777" spans="1:54" x14ac:dyDescent="0.3">
      <c r="A3777" s="66"/>
      <c r="B3777" s="67"/>
      <c r="C3777" s="66"/>
      <c r="D3777" s="68"/>
      <c r="E3777" s="10"/>
      <c r="F3777" s="69"/>
      <c r="G3777" s="68"/>
      <c r="H3777" s="70"/>
      <c r="BA3777" s="4"/>
      <c r="BB3777" s="4"/>
    </row>
    <row r="3778" spans="1:54" x14ac:dyDescent="0.3">
      <c r="A3778" s="66"/>
      <c r="B3778" s="67"/>
      <c r="C3778" s="66"/>
      <c r="D3778" s="68"/>
      <c r="E3778" s="10"/>
      <c r="F3778" s="69"/>
      <c r="G3778" s="68"/>
      <c r="H3778" s="70"/>
      <c r="BA3778" s="4"/>
      <c r="BB3778" s="4"/>
    </row>
    <row r="3779" spans="1:54" x14ac:dyDescent="0.3">
      <c r="A3779" s="66"/>
      <c r="B3779" s="67"/>
      <c r="C3779" s="66"/>
      <c r="D3779" s="68"/>
      <c r="E3779" s="10"/>
      <c r="F3779" s="69"/>
      <c r="G3779" s="68"/>
      <c r="H3779" s="70"/>
      <c r="BA3779" s="4"/>
      <c r="BB3779" s="4"/>
    </row>
    <row r="3780" spans="1:54" x14ac:dyDescent="0.3">
      <c r="A3780" s="66"/>
      <c r="B3780" s="67"/>
      <c r="C3780" s="66"/>
      <c r="D3780" s="68"/>
      <c r="E3780" s="10"/>
      <c r="F3780" s="69"/>
      <c r="G3780" s="68"/>
      <c r="H3780" s="70"/>
      <c r="BA3780" s="4"/>
      <c r="BB3780" s="4"/>
    </row>
    <row r="3781" spans="1:54" x14ac:dyDescent="0.3">
      <c r="A3781" s="66"/>
      <c r="B3781" s="67"/>
      <c r="C3781" s="66"/>
      <c r="D3781" s="68"/>
      <c r="E3781" s="10"/>
      <c r="F3781" s="69"/>
      <c r="G3781" s="68"/>
      <c r="H3781" s="70"/>
      <c r="BA3781" s="4"/>
      <c r="BB3781" s="4"/>
    </row>
    <row r="3782" spans="1:54" x14ac:dyDescent="0.3">
      <c r="A3782" s="66"/>
      <c r="B3782" s="67"/>
      <c r="C3782" s="66"/>
      <c r="D3782" s="68"/>
      <c r="E3782" s="10"/>
      <c r="F3782" s="69"/>
      <c r="G3782" s="68"/>
      <c r="H3782" s="70"/>
      <c r="BA3782" s="4"/>
      <c r="BB3782" s="4"/>
    </row>
    <row r="3783" spans="1:54" x14ac:dyDescent="0.3">
      <c r="A3783" s="66"/>
      <c r="B3783" s="67"/>
      <c r="C3783" s="66"/>
      <c r="D3783" s="68"/>
      <c r="E3783" s="10"/>
      <c r="F3783" s="69"/>
      <c r="G3783" s="68"/>
      <c r="H3783" s="70"/>
      <c r="BA3783" s="4"/>
      <c r="BB3783" s="4"/>
    </row>
    <row r="3784" spans="1:54" x14ac:dyDescent="0.3">
      <c r="A3784" s="66"/>
      <c r="B3784" s="67"/>
      <c r="C3784" s="66"/>
      <c r="D3784" s="68"/>
      <c r="E3784" s="10"/>
      <c r="F3784" s="69"/>
      <c r="G3784" s="68"/>
      <c r="H3784" s="70"/>
      <c r="BA3784" s="4"/>
      <c r="BB3784" s="4"/>
    </row>
    <row r="3785" spans="1:54" x14ac:dyDescent="0.3">
      <c r="A3785" s="66"/>
      <c r="B3785" s="67"/>
      <c r="C3785" s="66"/>
      <c r="D3785" s="68"/>
      <c r="E3785" s="10"/>
      <c r="F3785" s="69"/>
      <c r="G3785" s="68"/>
      <c r="H3785" s="70"/>
      <c r="BA3785" s="4"/>
      <c r="BB3785" s="4"/>
    </row>
    <row r="3786" spans="1:54" x14ac:dyDescent="0.3">
      <c r="A3786" s="66"/>
      <c r="B3786" s="67"/>
      <c r="C3786" s="66"/>
      <c r="D3786" s="68"/>
      <c r="E3786" s="10"/>
      <c r="F3786" s="69"/>
      <c r="G3786" s="68"/>
      <c r="H3786" s="70"/>
      <c r="BA3786" s="4"/>
      <c r="BB3786" s="4"/>
    </row>
    <row r="3787" spans="1:54" x14ac:dyDescent="0.3">
      <c r="A3787" s="66"/>
      <c r="B3787" s="67"/>
      <c r="C3787" s="66"/>
      <c r="D3787" s="68"/>
      <c r="E3787" s="10"/>
      <c r="F3787" s="69"/>
      <c r="G3787" s="68"/>
      <c r="H3787" s="70"/>
      <c r="BA3787" s="4"/>
      <c r="BB3787" s="4"/>
    </row>
    <row r="3788" spans="1:54" x14ac:dyDescent="0.3">
      <c r="A3788" s="66"/>
      <c r="B3788" s="67"/>
      <c r="C3788" s="66"/>
      <c r="D3788" s="68"/>
      <c r="E3788" s="10"/>
      <c r="F3788" s="69"/>
      <c r="G3788" s="68"/>
      <c r="H3788" s="70"/>
      <c r="BA3788" s="4"/>
      <c r="BB3788" s="4"/>
    </row>
    <row r="3789" spans="1:54" x14ac:dyDescent="0.3">
      <c r="A3789" s="66"/>
      <c r="B3789" s="67"/>
      <c r="C3789" s="66"/>
      <c r="D3789" s="68"/>
      <c r="E3789" s="10"/>
      <c r="F3789" s="69"/>
      <c r="G3789" s="68"/>
      <c r="H3789" s="70"/>
      <c r="BA3789" s="4"/>
      <c r="BB3789" s="4"/>
    </row>
    <row r="3790" spans="1:54" x14ac:dyDescent="0.3">
      <c r="A3790" s="66"/>
      <c r="B3790" s="67"/>
      <c r="C3790" s="66"/>
      <c r="D3790" s="68"/>
      <c r="E3790" s="10"/>
      <c r="F3790" s="69"/>
      <c r="G3790" s="68"/>
      <c r="H3790" s="70"/>
      <c r="BA3790" s="4"/>
      <c r="BB3790" s="4"/>
    </row>
    <row r="3791" spans="1:54" x14ac:dyDescent="0.3">
      <c r="A3791" s="66"/>
      <c r="B3791" s="67"/>
      <c r="C3791" s="66"/>
      <c r="D3791" s="68"/>
      <c r="E3791" s="10"/>
      <c r="F3791" s="69"/>
      <c r="G3791" s="68"/>
      <c r="H3791" s="70"/>
      <c r="BA3791" s="4"/>
      <c r="BB3791" s="4"/>
    </row>
    <row r="3792" spans="1:54" x14ac:dyDescent="0.3">
      <c r="A3792" s="66"/>
      <c r="B3792" s="67"/>
      <c r="C3792" s="66"/>
      <c r="D3792" s="68"/>
      <c r="E3792" s="10"/>
      <c r="F3792" s="69"/>
      <c r="G3792" s="68"/>
      <c r="H3792" s="70"/>
      <c r="BA3792" s="4"/>
      <c r="BB3792" s="4"/>
    </row>
    <row r="3793" spans="1:54" x14ac:dyDescent="0.3">
      <c r="A3793" s="66"/>
      <c r="B3793" s="67"/>
      <c r="C3793" s="66"/>
      <c r="D3793" s="68"/>
      <c r="E3793" s="10"/>
      <c r="F3793" s="69"/>
      <c r="G3793" s="68"/>
      <c r="H3793" s="70"/>
      <c r="BA3793" s="4"/>
      <c r="BB3793" s="4"/>
    </row>
    <row r="3794" spans="1:54" x14ac:dyDescent="0.3">
      <c r="A3794" s="66"/>
      <c r="B3794" s="67"/>
      <c r="C3794" s="66"/>
      <c r="D3794" s="68"/>
      <c r="E3794" s="10"/>
      <c r="F3794" s="69"/>
      <c r="G3794" s="68"/>
      <c r="H3794" s="70"/>
      <c r="BA3794" s="4"/>
      <c r="BB3794" s="4"/>
    </row>
    <row r="3795" spans="1:54" x14ac:dyDescent="0.3">
      <c r="A3795" s="66"/>
      <c r="B3795" s="67"/>
      <c r="C3795" s="66"/>
      <c r="D3795" s="68"/>
      <c r="E3795" s="10"/>
      <c r="F3795" s="69"/>
      <c r="G3795" s="68"/>
      <c r="H3795" s="70"/>
      <c r="BA3795" s="4"/>
      <c r="BB3795" s="4"/>
    </row>
    <row r="3796" spans="1:54" x14ac:dyDescent="0.3">
      <c r="A3796" s="66"/>
      <c r="B3796" s="67"/>
      <c r="C3796" s="66"/>
      <c r="D3796" s="68"/>
      <c r="E3796" s="10"/>
      <c r="F3796" s="69"/>
      <c r="G3796" s="68"/>
      <c r="H3796" s="70"/>
      <c r="BA3796" s="4"/>
      <c r="BB3796" s="4"/>
    </row>
    <row r="3797" spans="1:54" x14ac:dyDescent="0.3">
      <c r="A3797" s="66"/>
      <c r="B3797" s="67"/>
      <c r="C3797" s="66"/>
      <c r="D3797" s="68"/>
      <c r="E3797" s="10"/>
      <c r="F3797" s="69"/>
      <c r="G3797" s="68"/>
      <c r="H3797" s="70"/>
      <c r="BA3797" s="4"/>
      <c r="BB3797" s="4"/>
    </row>
    <row r="3798" spans="1:54" x14ac:dyDescent="0.3">
      <c r="A3798" s="66"/>
      <c r="B3798" s="67"/>
      <c r="C3798" s="66"/>
      <c r="D3798" s="68"/>
      <c r="E3798" s="10"/>
      <c r="F3798" s="69"/>
      <c r="G3798" s="68"/>
      <c r="H3798" s="70"/>
      <c r="BA3798" s="4"/>
      <c r="BB3798" s="4"/>
    </row>
    <row r="3799" spans="1:54" x14ac:dyDescent="0.3">
      <c r="A3799" s="66"/>
      <c r="B3799" s="67"/>
      <c r="C3799" s="66"/>
      <c r="D3799" s="68"/>
      <c r="E3799" s="10"/>
      <c r="F3799" s="69"/>
      <c r="G3799" s="68"/>
      <c r="H3799" s="70"/>
      <c r="BA3799" s="4"/>
      <c r="BB3799" s="4"/>
    </row>
    <row r="3800" spans="1:54" x14ac:dyDescent="0.3">
      <c r="A3800" s="66"/>
      <c r="B3800" s="67"/>
      <c r="C3800" s="66"/>
      <c r="D3800" s="68"/>
      <c r="E3800" s="10"/>
      <c r="F3800" s="69"/>
      <c r="G3800" s="68"/>
      <c r="H3800" s="70"/>
      <c r="BA3800" s="4"/>
      <c r="BB3800" s="4"/>
    </row>
    <row r="3801" spans="1:54" x14ac:dyDescent="0.3">
      <c r="A3801" s="66"/>
      <c r="B3801" s="67"/>
      <c r="C3801" s="66"/>
      <c r="D3801" s="68"/>
      <c r="E3801" s="10"/>
      <c r="F3801" s="69"/>
      <c r="G3801" s="68"/>
      <c r="H3801" s="70"/>
      <c r="BA3801" s="4"/>
      <c r="BB3801" s="4"/>
    </row>
    <row r="3802" spans="1:54" x14ac:dyDescent="0.3">
      <c r="A3802" s="66"/>
      <c r="B3802" s="67"/>
      <c r="C3802" s="66"/>
      <c r="D3802" s="68"/>
      <c r="E3802" s="10"/>
      <c r="F3802" s="69"/>
      <c r="G3802" s="68"/>
      <c r="H3802" s="70"/>
      <c r="BA3802" s="4"/>
      <c r="BB3802" s="4"/>
    </row>
    <row r="3803" spans="1:54" x14ac:dyDescent="0.3">
      <c r="A3803" s="66"/>
      <c r="B3803" s="67"/>
      <c r="C3803" s="66"/>
      <c r="D3803" s="68"/>
      <c r="E3803" s="10"/>
      <c r="F3803" s="69"/>
      <c r="G3803" s="68"/>
      <c r="H3803" s="70"/>
      <c r="BA3803" s="4"/>
      <c r="BB3803" s="4"/>
    </row>
    <row r="3804" spans="1:54" x14ac:dyDescent="0.3">
      <c r="A3804" s="66"/>
      <c r="B3804" s="67"/>
      <c r="C3804" s="66"/>
      <c r="D3804" s="68"/>
      <c r="E3804" s="10"/>
      <c r="F3804" s="69"/>
      <c r="G3804" s="68"/>
      <c r="H3804" s="70"/>
      <c r="BA3804" s="4"/>
      <c r="BB3804" s="4"/>
    </row>
    <row r="3805" spans="1:54" x14ac:dyDescent="0.3">
      <c r="A3805" s="66"/>
      <c r="B3805" s="67"/>
      <c r="C3805" s="66"/>
      <c r="D3805" s="68"/>
      <c r="E3805" s="10"/>
      <c r="F3805" s="69"/>
      <c r="G3805" s="68"/>
      <c r="H3805" s="70"/>
      <c r="BA3805" s="4"/>
      <c r="BB3805" s="4"/>
    </row>
    <row r="3806" spans="1:54" x14ac:dyDescent="0.3">
      <c r="A3806" s="66"/>
      <c r="B3806" s="67"/>
      <c r="C3806" s="66"/>
      <c r="D3806" s="68"/>
      <c r="E3806" s="10"/>
      <c r="F3806" s="69"/>
      <c r="G3806" s="68"/>
      <c r="H3806" s="70"/>
      <c r="BA3806" s="4"/>
      <c r="BB3806" s="4"/>
    </row>
    <row r="3807" spans="1:54" x14ac:dyDescent="0.3">
      <c r="A3807" s="66"/>
      <c r="B3807" s="67"/>
      <c r="C3807" s="66"/>
      <c r="D3807" s="68"/>
      <c r="E3807" s="10"/>
      <c r="F3807" s="69"/>
      <c r="G3807" s="68"/>
      <c r="H3807" s="70"/>
      <c r="BA3807" s="4"/>
      <c r="BB3807" s="4"/>
    </row>
    <row r="3808" spans="1:54" x14ac:dyDescent="0.3">
      <c r="A3808" s="66"/>
      <c r="B3808" s="67"/>
      <c r="C3808" s="66"/>
      <c r="D3808" s="68"/>
      <c r="E3808" s="10"/>
      <c r="F3808" s="69"/>
      <c r="G3808" s="68"/>
      <c r="H3808" s="70"/>
      <c r="BA3808" s="4"/>
      <c r="BB3808" s="4"/>
    </row>
    <row r="3809" spans="1:54" x14ac:dyDescent="0.3">
      <c r="A3809" s="66"/>
      <c r="B3809" s="67"/>
      <c r="C3809" s="66"/>
      <c r="D3809" s="68"/>
      <c r="E3809" s="10"/>
      <c r="F3809" s="69"/>
      <c r="G3809" s="68"/>
      <c r="H3809" s="70"/>
      <c r="BA3809" s="4"/>
      <c r="BB3809" s="4"/>
    </row>
    <row r="3810" spans="1:54" x14ac:dyDescent="0.3">
      <c r="A3810" s="66"/>
      <c r="B3810" s="67"/>
      <c r="C3810" s="66"/>
      <c r="D3810" s="68"/>
      <c r="E3810" s="10"/>
      <c r="F3810" s="69"/>
      <c r="G3810" s="68"/>
      <c r="H3810" s="70"/>
      <c r="BA3810" s="4"/>
      <c r="BB3810" s="4"/>
    </row>
    <row r="3811" spans="1:54" x14ac:dyDescent="0.3">
      <c r="A3811" s="66"/>
      <c r="B3811" s="67"/>
      <c r="C3811" s="66"/>
      <c r="D3811" s="68"/>
      <c r="E3811" s="10"/>
      <c r="F3811" s="69"/>
      <c r="G3811" s="68"/>
      <c r="H3811" s="70"/>
      <c r="BA3811" s="4"/>
      <c r="BB3811" s="4"/>
    </row>
    <row r="3812" spans="1:54" x14ac:dyDescent="0.3">
      <c r="A3812" s="66"/>
      <c r="B3812" s="67"/>
      <c r="C3812" s="66"/>
      <c r="D3812" s="68"/>
      <c r="E3812" s="10"/>
      <c r="F3812" s="69"/>
      <c r="G3812" s="68"/>
      <c r="H3812" s="70"/>
      <c r="BA3812" s="4"/>
      <c r="BB3812" s="4"/>
    </row>
    <row r="3813" spans="1:54" x14ac:dyDescent="0.3">
      <c r="A3813" s="66"/>
      <c r="B3813" s="67"/>
      <c r="C3813" s="66"/>
      <c r="D3813" s="68"/>
      <c r="E3813" s="10"/>
      <c r="F3813" s="69"/>
      <c r="G3813" s="68"/>
      <c r="H3813" s="70"/>
      <c r="BA3813" s="4"/>
      <c r="BB3813" s="4"/>
    </row>
    <row r="3814" spans="1:54" x14ac:dyDescent="0.3">
      <c r="A3814" s="66"/>
      <c r="B3814" s="67"/>
      <c r="C3814" s="66"/>
      <c r="D3814" s="68"/>
      <c r="E3814" s="10"/>
      <c r="F3814" s="69"/>
      <c r="G3814" s="68"/>
      <c r="H3814" s="70"/>
      <c r="BA3814" s="4"/>
      <c r="BB3814" s="4"/>
    </row>
    <row r="3815" spans="1:54" x14ac:dyDescent="0.3">
      <c r="A3815" s="66"/>
      <c r="B3815" s="67"/>
      <c r="C3815" s="66"/>
      <c r="D3815" s="68"/>
      <c r="E3815" s="10"/>
      <c r="F3815" s="69"/>
      <c r="G3815" s="68"/>
      <c r="H3815" s="70"/>
      <c r="BA3815" s="4"/>
      <c r="BB3815" s="4"/>
    </row>
    <row r="3816" spans="1:54" x14ac:dyDescent="0.3">
      <c r="A3816" s="66"/>
      <c r="B3816" s="67"/>
      <c r="C3816" s="66"/>
      <c r="D3816" s="68"/>
      <c r="E3816" s="10"/>
      <c r="F3816" s="69"/>
      <c r="G3816" s="68"/>
      <c r="H3816" s="70"/>
      <c r="BA3816" s="4"/>
      <c r="BB3816" s="4"/>
    </row>
    <row r="3817" spans="1:54" x14ac:dyDescent="0.3">
      <c r="A3817" s="66"/>
      <c r="B3817" s="67"/>
      <c r="C3817" s="66"/>
      <c r="D3817" s="68"/>
      <c r="E3817" s="10"/>
      <c r="F3817" s="69"/>
      <c r="G3817" s="68"/>
      <c r="H3817" s="70"/>
      <c r="BA3817" s="4"/>
      <c r="BB3817" s="4"/>
    </row>
    <row r="3818" spans="1:54" x14ac:dyDescent="0.3">
      <c r="A3818" s="66"/>
      <c r="B3818" s="67"/>
      <c r="C3818" s="66"/>
      <c r="D3818" s="68"/>
      <c r="E3818" s="10"/>
      <c r="F3818" s="69"/>
      <c r="G3818" s="68"/>
      <c r="H3818" s="70"/>
      <c r="BA3818" s="4"/>
      <c r="BB3818" s="4"/>
    </row>
    <row r="3819" spans="1:54" x14ac:dyDescent="0.3">
      <c r="A3819" s="66"/>
      <c r="B3819" s="67"/>
      <c r="C3819" s="66"/>
      <c r="D3819" s="68"/>
      <c r="E3819" s="10"/>
      <c r="F3819" s="69"/>
      <c r="G3819" s="68"/>
      <c r="H3819" s="70"/>
      <c r="BA3819" s="4"/>
      <c r="BB3819" s="4"/>
    </row>
    <row r="3820" spans="1:54" x14ac:dyDescent="0.3">
      <c r="A3820" s="66"/>
      <c r="B3820" s="67"/>
      <c r="C3820" s="66"/>
      <c r="D3820" s="68"/>
      <c r="E3820" s="10"/>
      <c r="F3820" s="69"/>
      <c r="G3820" s="68"/>
      <c r="H3820" s="70"/>
      <c r="BA3820" s="4"/>
      <c r="BB3820" s="4"/>
    </row>
    <row r="3821" spans="1:54" x14ac:dyDescent="0.3">
      <c r="A3821" s="66"/>
      <c r="B3821" s="67"/>
      <c r="C3821" s="66"/>
      <c r="D3821" s="68"/>
      <c r="E3821" s="10"/>
      <c r="F3821" s="69"/>
      <c r="G3821" s="68"/>
      <c r="H3821" s="70"/>
      <c r="BA3821" s="4"/>
      <c r="BB3821" s="4"/>
    </row>
    <row r="3822" spans="1:54" x14ac:dyDescent="0.3">
      <c r="A3822" s="66"/>
      <c r="B3822" s="67"/>
      <c r="C3822" s="66"/>
      <c r="D3822" s="68"/>
      <c r="E3822" s="10"/>
      <c r="F3822" s="69"/>
      <c r="G3822" s="68"/>
      <c r="H3822" s="70"/>
      <c r="BA3822" s="4"/>
      <c r="BB3822" s="4"/>
    </row>
    <row r="3823" spans="1:54" x14ac:dyDescent="0.3">
      <c r="A3823" s="66"/>
      <c r="B3823" s="67"/>
      <c r="C3823" s="66"/>
      <c r="D3823" s="68"/>
      <c r="E3823" s="10"/>
      <c r="F3823" s="69"/>
      <c r="G3823" s="68"/>
      <c r="H3823" s="70"/>
      <c r="BA3823" s="4"/>
      <c r="BB3823" s="4"/>
    </row>
    <row r="3824" spans="1:54" x14ac:dyDescent="0.3">
      <c r="A3824" s="66"/>
      <c r="B3824" s="67"/>
      <c r="C3824" s="66"/>
      <c r="D3824" s="68"/>
      <c r="E3824" s="10"/>
      <c r="F3824" s="69"/>
      <c r="G3824" s="68"/>
      <c r="H3824" s="70"/>
      <c r="BA3824" s="4"/>
      <c r="BB3824" s="4"/>
    </row>
    <row r="3825" spans="1:54" x14ac:dyDescent="0.3">
      <c r="A3825" s="66"/>
      <c r="B3825" s="67"/>
      <c r="C3825" s="66"/>
      <c r="D3825" s="68"/>
      <c r="E3825" s="10"/>
      <c r="F3825" s="69"/>
      <c r="G3825" s="68"/>
      <c r="H3825" s="70"/>
      <c r="BA3825" s="4"/>
      <c r="BB3825" s="4"/>
    </row>
    <row r="3826" spans="1:54" x14ac:dyDescent="0.3">
      <c r="A3826" s="66"/>
      <c r="B3826" s="67"/>
      <c r="C3826" s="66"/>
      <c r="D3826" s="68"/>
      <c r="E3826" s="10"/>
      <c r="F3826" s="69"/>
      <c r="G3826" s="68"/>
      <c r="H3826" s="70"/>
      <c r="BA3826" s="4"/>
      <c r="BB3826" s="4"/>
    </row>
    <row r="3827" spans="1:54" x14ac:dyDescent="0.3">
      <c r="A3827" s="66"/>
      <c r="B3827" s="67"/>
      <c r="C3827" s="66"/>
      <c r="D3827" s="68"/>
      <c r="E3827" s="10"/>
      <c r="F3827" s="69"/>
      <c r="G3827" s="68"/>
      <c r="H3827" s="70"/>
      <c r="BA3827" s="4"/>
      <c r="BB3827" s="4"/>
    </row>
    <row r="3828" spans="1:54" x14ac:dyDescent="0.3">
      <c r="A3828" s="66"/>
      <c r="B3828" s="67"/>
      <c r="C3828" s="66"/>
      <c r="D3828" s="68"/>
      <c r="E3828" s="10"/>
      <c r="F3828" s="69"/>
      <c r="G3828" s="68"/>
      <c r="H3828" s="70"/>
      <c r="BA3828" s="4"/>
      <c r="BB3828" s="4"/>
    </row>
    <row r="3829" spans="1:54" x14ac:dyDescent="0.3">
      <c r="A3829" s="66"/>
      <c r="B3829" s="67"/>
      <c r="C3829" s="66"/>
      <c r="D3829" s="68"/>
      <c r="E3829" s="10"/>
      <c r="F3829" s="69"/>
      <c r="G3829" s="68"/>
      <c r="H3829" s="70"/>
      <c r="BA3829" s="4"/>
      <c r="BB3829" s="4"/>
    </row>
    <row r="3830" spans="1:54" x14ac:dyDescent="0.3">
      <c r="A3830" s="66"/>
      <c r="B3830" s="67"/>
      <c r="C3830" s="66"/>
      <c r="D3830" s="68"/>
      <c r="E3830" s="10"/>
      <c r="F3830" s="69"/>
      <c r="G3830" s="68"/>
      <c r="H3830" s="70"/>
      <c r="BA3830" s="4"/>
      <c r="BB3830" s="4"/>
    </row>
    <row r="3831" spans="1:54" x14ac:dyDescent="0.3">
      <c r="A3831" s="66"/>
      <c r="B3831" s="67"/>
      <c r="C3831" s="66"/>
      <c r="D3831" s="68"/>
      <c r="E3831" s="10"/>
      <c r="F3831" s="69"/>
      <c r="G3831" s="68"/>
      <c r="H3831" s="70"/>
      <c r="BA3831" s="4"/>
      <c r="BB3831" s="4"/>
    </row>
    <row r="3832" spans="1:54" x14ac:dyDescent="0.3">
      <c r="A3832" s="66"/>
      <c r="B3832" s="67"/>
      <c r="C3832" s="66"/>
      <c r="D3832" s="68"/>
      <c r="E3832" s="10"/>
      <c r="F3832" s="69"/>
      <c r="G3832" s="68"/>
      <c r="H3832" s="70"/>
      <c r="BA3832" s="4"/>
      <c r="BB3832" s="4"/>
    </row>
    <row r="3833" spans="1:54" x14ac:dyDescent="0.3">
      <c r="A3833" s="66"/>
      <c r="B3833" s="67"/>
      <c r="C3833" s="66"/>
      <c r="D3833" s="68"/>
      <c r="E3833" s="10"/>
      <c r="F3833" s="69"/>
      <c r="G3833" s="68"/>
      <c r="H3833" s="70"/>
      <c r="BA3833" s="4"/>
      <c r="BB3833" s="4"/>
    </row>
    <row r="3834" spans="1:54" x14ac:dyDescent="0.3">
      <c r="A3834" s="66"/>
      <c r="B3834" s="67"/>
      <c r="C3834" s="66"/>
      <c r="D3834" s="68"/>
      <c r="E3834" s="10"/>
      <c r="F3834" s="69"/>
      <c r="G3834" s="68"/>
      <c r="H3834" s="70"/>
      <c r="BA3834" s="4"/>
      <c r="BB3834" s="4"/>
    </row>
    <row r="3835" spans="1:54" x14ac:dyDescent="0.3">
      <c r="A3835" s="66"/>
      <c r="B3835" s="67"/>
      <c r="C3835" s="66"/>
      <c r="D3835" s="68"/>
      <c r="E3835" s="10"/>
      <c r="F3835" s="69"/>
      <c r="G3835" s="68"/>
      <c r="H3835" s="70"/>
      <c r="BA3835" s="4"/>
      <c r="BB3835" s="4"/>
    </row>
    <row r="3836" spans="1:54" x14ac:dyDescent="0.3">
      <c r="A3836" s="66"/>
      <c r="B3836" s="67"/>
      <c r="C3836" s="66"/>
      <c r="D3836" s="68"/>
      <c r="E3836" s="10"/>
      <c r="F3836" s="69"/>
      <c r="G3836" s="68"/>
      <c r="H3836" s="70"/>
      <c r="BA3836" s="4"/>
      <c r="BB3836" s="4"/>
    </row>
    <row r="3837" spans="1:54" x14ac:dyDescent="0.3">
      <c r="A3837" s="66"/>
      <c r="B3837" s="67"/>
      <c r="C3837" s="66"/>
      <c r="D3837" s="68"/>
      <c r="E3837" s="10"/>
      <c r="F3837" s="69"/>
      <c r="G3837" s="68"/>
      <c r="H3837" s="70"/>
      <c r="BA3837" s="4"/>
      <c r="BB3837" s="4"/>
    </row>
    <row r="3838" spans="1:54" x14ac:dyDescent="0.3">
      <c r="A3838" s="66"/>
      <c r="B3838" s="67"/>
      <c r="C3838" s="66"/>
      <c r="D3838" s="68"/>
      <c r="E3838" s="10"/>
      <c r="F3838" s="69"/>
      <c r="G3838" s="68"/>
      <c r="H3838" s="70"/>
      <c r="BA3838" s="4"/>
      <c r="BB3838" s="4"/>
    </row>
    <row r="3839" spans="1:54" x14ac:dyDescent="0.3">
      <c r="A3839" s="66"/>
      <c r="B3839" s="67"/>
      <c r="C3839" s="66"/>
      <c r="D3839" s="68"/>
      <c r="E3839" s="10"/>
      <c r="F3839" s="69"/>
      <c r="G3839" s="68"/>
      <c r="H3839" s="70"/>
      <c r="BA3839" s="4"/>
      <c r="BB3839" s="4"/>
    </row>
    <row r="3840" spans="1:54" x14ac:dyDescent="0.3">
      <c r="A3840" s="66"/>
      <c r="B3840" s="67"/>
      <c r="C3840" s="66"/>
      <c r="D3840" s="68"/>
      <c r="E3840" s="10"/>
      <c r="F3840" s="69"/>
      <c r="G3840" s="68"/>
      <c r="H3840" s="70"/>
      <c r="BA3840" s="4"/>
      <c r="BB3840" s="4"/>
    </row>
    <row r="3841" spans="1:54" x14ac:dyDescent="0.3">
      <c r="A3841" s="66"/>
      <c r="B3841" s="67"/>
      <c r="C3841" s="66"/>
      <c r="D3841" s="68"/>
      <c r="E3841" s="10"/>
      <c r="F3841" s="69"/>
      <c r="G3841" s="68"/>
      <c r="H3841" s="70"/>
      <c r="BA3841" s="4"/>
      <c r="BB3841" s="4"/>
    </row>
    <row r="3842" spans="1:54" x14ac:dyDescent="0.3">
      <c r="A3842" s="66"/>
      <c r="B3842" s="67"/>
      <c r="C3842" s="66"/>
      <c r="D3842" s="68"/>
      <c r="E3842" s="10"/>
      <c r="F3842" s="69"/>
      <c r="G3842" s="68"/>
      <c r="H3842" s="70"/>
      <c r="BA3842" s="4"/>
      <c r="BB3842" s="4"/>
    </row>
    <row r="3843" spans="1:54" x14ac:dyDescent="0.3">
      <c r="A3843" s="66"/>
      <c r="B3843" s="67"/>
      <c r="C3843" s="66"/>
      <c r="D3843" s="68"/>
      <c r="E3843" s="10"/>
      <c r="F3843" s="69"/>
      <c r="G3843" s="68"/>
      <c r="H3843" s="70"/>
      <c r="BA3843" s="4"/>
      <c r="BB3843" s="4"/>
    </row>
    <row r="3844" spans="1:54" x14ac:dyDescent="0.3">
      <c r="A3844" s="66"/>
      <c r="B3844" s="67"/>
      <c r="C3844" s="66"/>
      <c r="D3844" s="68"/>
      <c r="E3844" s="10"/>
      <c r="F3844" s="69"/>
      <c r="G3844" s="68"/>
      <c r="H3844" s="70"/>
      <c r="BA3844" s="4"/>
      <c r="BB3844" s="4"/>
    </row>
    <row r="3845" spans="1:54" x14ac:dyDescent="0.3">
      <c r="A3845" s="66"/>
      <c r="B3845" s="67"/>
      <c r="C3845" s="66"/>
      <c r="D3845" s="68"/>
      <c r="E3845" s="10"/>
      <c r="F3845" s="69"/>
      <c r="G3845" s="68"/>
      <c r="H3845" s="70"/>
      <c r="BA3845" s="4"/>
      <c r="BB3845" s="4"/>
    </row>
    <row r="3846" spans="1:54" x14ac:dyDescent="0.3">
      <c r="A3846" s="66"/>
      <c r="B3846" s="67"/>
      <c r="C3846" s="66"/>
      <c r="D3846" s="68"/>
      <c r="E3846" s="10"/>
      <c r="F3846" s="69"/>
      <c r="G3846" s="68"/>
      <c r="H3846" s="70"/>
      <c r="BA3846" s="4"/>
      <c r="BB3846" s="4"/>
    </row>
    <row r="3847" spans="1:54" x14ac:dyDescent="0.3">
      <c r="A3847" s="66"/>
      <c r="B3847" s="67"/>
      <c r="C3847" s="66"/>
      <c r="D3847" s="68"/>
      <c r="E3847" s="10"/>
      <c r="F3847" s="69"/>
      <c r="G3847" s="68"/>
      <c r="H3847" s="70"/>
      <c r="BA3847" s="4"/>
      <c r="BB3847" s="4"/>
    </row>
    <row r="3848" spans="1:54" x14ac:dyDescent="0.3">
      <c r="A3848" s="66"/>
      <c r="B3848" s="67"/>
      <c r="C3848" s="66"/>
      <c r="D3848" s="68"/>
      <c r="E3848" s="10"/>
      <c r="F3848" s="69"/>
      <c r="G3848" s="68"/>
      <c r="H3848" s="70"/>
      <c r="BA3848" s="4"/>
      <c r="BB3848" s="4"/>
    </row>
    <row r="3849" spans="1:54" x14ac:dyDescent="0.3">
      <c r="A3849" s="66"/>
      <c r="B3849" s="67"/>
      <c r="C3849" s="66"/>
      <c r="D3849" s="68"/>
      <c r="E3849" s="10"/>
      <c r="F3849" s="69"/>
      <c r="G3849" s="68"/>
      <c r="H3849" s="70"/>
      <c r="BA3849" s="4"/>
      <c r="BB3849" s="4"/>
    </row>
    <row r="3850" spans="1:54" x14ac:dyDescent="0.3">
      <c r="A3850" s="66"/>
      <c r="B3850" s="67"/>
      <c r="C3850" s="66"/>
      <c r="D3850" s="68"/>
      <c r="E3850" s="10"/>
      <c r="F3850" s="69"/>
      <c r="G3850" s="68"/>
      <c r="H3850" s="70"/>
      <c r="BA3850" s="4"/>
      <c r="BB3850" s="4"/>
    </row>
    <row r="3851" spans="1:54" x14ac:dyDescent="0.3">
      <c r="A3851" s="66"/>
      <c r="B3851" s="67"/>
      <c r="C3851" s="66"/>
      <c r="D3851" s="68"/>
      <c r="E3851" s="10"/>
      <c r="F3851" s="69"/>
      <c r="G3851" s="68"/>
      <c r="H3851" s="70"/>
      <c r="BA3851" s="4"/>
      <c r="BB3851" s="4"/>
    </row>
    <row r="3852" spans="1:54" x14ac:dyDescent="0.3">
      <c r="A3852" s="66"/>
      <c r="B3852" s="67"/>
      <c r="C3852" s="66"/>
      <c r="D3852" s="68"/>
      <c r="E3852" s="10"/>
      <c r="F3852" s="69"/>
      <c r="G3852" s="68"/>
      <c r="H3852" s="70"/>
      <c r="BA3852" s="4"/>
      <c r="BB3852" s="4"/>
    </row>
    <row r="3853" spans="1:54" x14ac:dyDescent="0.3">
      <c r="A3853" s="66"/>
      <c r="B3853" s="67"/>
      <c r="C3853" s="66"/>
      <c r="D3853" s="68"/>
      <c r="E3853" s="10"/>
      <c r="F3853" s="69"/>
      <c r="G3853" s="68"/>
      <c r="H3853" s="70"/>
      <c r="BA3853" s="4"/>
      <c r="BB3853" s="4"/>
    </row>
    <row r="3854" spans="1:54" x14ac:dyDescent="0.3">
      <c r="A3854" s="66"/>
      <c r="B3854" s="67"/>
      <c r="C3854" s="66"/>
      <c r="D3854" s="68"/>
      <c r="E3854" s="10"/>
      <c r="F3854" s="69"/>
      <c r="G3854" s="68"/>
      <c r="H3854" s="70"/>
      <c r="BA3854" s="4"/>
      <c r="BB3854" s="4"/>
    </row>
    <row r="3855" spans="1:54" x14ac:dyDescent="0.3">
      <c r="A3855" s="66"/>
      <c r="B3855" s="67"/>
      <c r="C3855" s="66"/>
      <c r="D3855" s="68"/>
      <c r="E3855" s="10"/>
      <c r="F3855" s="69"/>
      <c r="G3855" s="68"/>
      <c r="H3855" s="70"/>
      <c r="BA3855" s="4"/>
      <c r="BB3855" s="4"/>
    </row>
    <row r="3856" spans="1:54" x14ac:dyDescent="0.3">
      <c r="A3856" s="66"/>
      <c r="B3856" s="67"/>
      <c r="C3856" s="66"/>
      <c r="D3856" s="68"/>
      <c r="E3856" s="10"/>
      <c r="F3856" s="69"/>
      <c r="G3856" s="68"/>
      <c r="H3856" s="70"/>
      <c r="BA3856" s="4"/>
      <c r="BB3856" s="4"/>
    </row>
    <row r="3857" spans="1:54" x14ac:dyDescent="0.3">
      <c r="A3857" s="66"/>
      <c r="B3857" s="67"/>
      <c r="C3857" s="66"/>
      <c r="D3857" s="68"/>
      <c r="E3857" s="10"/>
      <c r="F3857" s="69"/>
      <c r="G3857" s="68"/>
      <c r="H3857" s="70"/>
      <c r="BA3857" s="4"/>
      <c r="BB3857" s="4"/>
    </row>
    <row r="3858" spans="1:54" x14ac:dyDescent="0.3">
      <c r="A3858" s="66"/>
      <c r="B3858" s="67"/>
      <c r="C3858" s="66"/>
      <c r="D3858" s="68"/>
      <c r="E3858" s="10"/>
      <c r="F3858" s="69"/>
      <c r="G3858" s="68"/>
      <c r="H3858" s="70"/>
      <c r="BA3858" s="4"/>
      <c r="BB3858" s="4"/>
    </row>
    <row r="3859" spans="1:54" x14ac:dyDescent="0.3">
      <c r="A3859" s="66"/>
      <c r="B3859" s="67"/>
      <c r="C3859" s="66"/>
      <c r="D3859" s="68"/>
      <c r="E3859" s="10"/>
      <c r="F3859" s="69"/>
      <c r="G3859" s="68"/>
      <c r="H3859" s="70"/>
      <c r="BA3859" s="4"/>
      <c r="BB3859" s="4"/>
    </row>
    <row r="3860" spans="1:54" x14ac:dyDescent="0.3">
      <c r="A3860" s="66"/>
      <c r="B3860" s="67"/>
      <c r="C3860" s="66"/>
      <c r="D3860" s="68"/>
      <c r="E3860" s="10"/>
      <c r="F3860" s="69"/>
      <c r="G3860" s="68"/>
      <c r="H3860" s="70"/>
      <c r="BA3860" s="4"/>
      <c r="BB3860" s="4"/>
    </row>
    <row r="3861" spans="1:54" x14ac:dyDescent="0.3">
      <c r="A3861" s="66"/>
      <c r="B3861" s="67"/>
      <c r="C3861" s="66"/>
      <c r="D3861" s="68"/>
      <c r="E3861" s="10"/>
      <c r="F3861" s="69"/>
      <c r="G3861" s="68"/>
      <c r="H3861" s="70"/>
      <c r="BA3861" s="4"/>
      <c r="BB3861" s="4"/>
    </row>
    <row r="3862" spans="1:54" x14ac:dyDescent="0.3">
      <c r="A3862" s="66"/>
      <c r="B3862" s="67"/>
      <c r="C3862" s="66"/>
      <c r="D3862" s="68"/>
      <c r="E3862" s="10"/>
      <c r="F3862" s="69"/>
      <c r="G3862" s="68"/>
      <c r="H3862" s="70"/>
      <c r="BA3862" s="4"/>
      <c r="BB3862" s="4"/>
    </row>
    <row r="3863" spans="1:54" x14ac:dyDescent="0.3">
      <c r="A3863" s="66"/>
      <c r="B3863" s="67"/>
      <c r="C3863" s="66"/>
      <c r="D3863" s="68"/>
      <c r="E3863" s="10"/>
      <c r="F3863" s="69"/>
      <c r="G3863" s="68"/>
      <c r="H3863" s="70"/>
      <c r="BA3863" s="4"/>
      <c r="BB3863" s="4"/>
    </row>
    <row r="3864" spans="1:54" x14ac:dyDescent="0.3">
      <c r="A3864" s="66"/>
      <c r="B3864" s="67"/>
      <c r="C3864" s="66"/>
      <c r="D3864" s="68"/>
      <c r="E3864" s="10"/>
      <c r="F3864" s="69"/>
      <c r="G3864" s="68"/>
      <c r="H3864" s="70"/>
      <c r="BA3864" s="4"/>
      <c r="BB3864" s="4"/>
    </row>
    <row r="3865" spans="1:54" x14ac:dyDescent="0.3">
      <c r="A3865" s="66"/>
      <c r="B3865" s="67"/>
      <c r="C3865" s="66"/>
      <c r="D3865" s="68"/>
      <c r="E3865" s="10"/>
      <c r="F3865" s="69"/>
      <c r="G3865" s="68"/>
      <c r="H3865" s="70"/>
      <c r="BA3865" s="4"/>
      <c r="BB3865" s="4"/>
    </row>
    <row r="3866" spans="1:54" x14ac:dyDescent="0.3">
      <c r="A3866" s="66"/>
      <c r="B3866" s="67"/>
      <c r="C3866" s="66"/>
      <c r="D3866" s="68"/>
      <c r="E3866" s="10"/>
      <c r="F3866" s="69"/>
      <c r="G3866" s="68"/>
      <c r="H3866" s="70"/>
      <c r="BA3866" s="4"/>
      <c r="BB3866" s="4"/>
    </row>
    <row r="3867" spans="1:54" x14ac:dyDescent="0.3">
      <c r="A3867" s="66"/>
      <c r="B3867" s="67"/>
      <c r="C3867" s="66"/>
      <c r="D3867" s="68"/>
      <c r="E3867" s="10"/>
      <c r="F3867" s="69"/>
      <c r="G3867" s="68"/>
      <c r="H3867" s="70"/>
      <c r="BA3867" s="4"/>
      <c r="BB3867" s="4"/>
    </row>
    <row r="3868" spans="1:54" x14ac:dyDescent="0.3">
      <c r="A3868" s="66"/>
      <c r="B3868" s="67"/>
      <c r="C3868" s="66"/>
      <c r="D3868" s="68"/>
      <c r="E3868" s="10"/>
      <c r="F3868" s="69"/>
      <c r="G3868" s="68"/>
      <c r="H3868" s="70"/>
      <c r="BA3868" s="4"/>
      <c r="BB3868" s="4"/>
    </row>
    <row r="3869" spans="1:54" x14ac:dyDescent="0.3">
      <c r="A3869" s="66"/>
      <c r="B3869" s="67"/>
      <c r="C3869" s="66"/>
      <c r="D3869" s="68"/>
      <c r="E3869" s="10"/>
      <c r="F3869" s="69"/>
      <c r="G3869" s="68"/>
      <c r="H3869" s="70"/>
      <c r="BA3869" s="4"/>
      <c r="BB3869" s="4"/>
    </row>
    <row r="3870" spans="1:54" x14ac:dyDescent="0.3">
      <c r="A3870" s="66"/>
      <c r="B3870" s="67"/>
      <c r="C3870" s="66"/>
      <c r="D3870" s="68"/>
      <c r="E3870" s="10"/>
      <c r="F3870" s="69"/>
      <c r="G3870" s="68"/>
      <c r="H3870" s="70"/>
      <c r="BA3870" s="4"/>
      <c r="BB3870" s="4"/>
    </row>
    <row r="3871" spans="1:54" x14ac:dyDescent="0.3">
      <c r="A3871" s="66"/>
      <c r="B3871" s="67"/>
      <c r="C3871" s="66"/>
      <c r="D3871" s="68"/>
      <c r="E3871" s="10"/>
      <c r="F3871" s="69"/>
      <c r="G3871" s="68"/>
      <c r="H3871" s="70"/>
      <c r="BA3871" s="4"/>
      <c r="BB3871" s="4"/>
    </row>
    <row r="3872" spans="1:54" x14ac:dyDescent="0.3">
      <c r="A3872" s="66"/>
      <c r="B3872" s="67"/>
      <c r="C3872" s="66"/>
      <c r="D3872" s="68"/>
      <c r="E3872" s="10"/>
      <c r="F3872" s="69"/>
      <c r="G3872" s="68"/>
      <c r="H3872" s="70"/>
      <c r="BA3872" s="4"/>
      <c r="BB3872" s="4"/>
    </row>
    <row r="3873" spans="1:54" x14ac:dyDescent="0.3">
      <c r="A3873" s="66"/>
      <c r="B3873" s="67"/>
      <c r="C3873" s="66"/>
      <c r="D3873" s="68"/>
      <c r="E3873" s="10"/>
      <c r="F3873" s="69"/>
      <c r="G3873" s="68"/>
      <c r="H3873" s="70"/>
      <c r="BA3873" s="4"/>
      <c r="BB3873" s="4"/>
    </row>
    <row r="3874" spans="1:54" x14ac:dyDescent="0.3">
      <c r="A3874" s="66"/>
      <c r="B3874" s="67"/>
      <c r="C3874" s="66"/>
      <c r="D3874" s="68"/>
      <c r="E3874" s="10"/>
      <c r="F3874" s="69"/>
      <c r="G3874" s="68"/>
      <c r="H3874" s="70"/>
      <c r="BA3874" s="4"/>
      <c r="BB3874" s="4"/>
    </row>
    <row r="3875" spans="1:54" x14ac:dyDescent="0.3">
      <c r="A3875" s="66"/>
      <c r="B3875" s="67"/>
      <c r="C3875" s="66"/>
      <c r="D3875" s="68"/>
      <c r="E3875" s="10"/>
      <c r="F3875" s="69"/>
      <c r="G3875" s="68"/>
      <c r="H3875" s="70"/>
      <c r="BA3875" s="4"/>
      <c r="BB3875" s="4"/>
    </row>
    <row r="3876" spans="1:54" x14ac:dyDescent="0.3">
      <c r="A3876" s="66"/>
      <c r="B3876" s="67"/>
      <c r="C3876" s="66"/>
      <c r="D3876" s="68"/>
      <c r="E3876" s="10"/>
      <c r="F3876" s="69"/>
      <c r="G3876" s="68"/>
      <c r="H3876" s="70"/>
      <c r="BA3876" s="4"/>
      <c r="BB3876" s="4"/>
    </row>
    <row r="3877" spans="1:54" x14ac:dyDescent="0.3">
      <c r="A3877" s="66"/>
      <c r="B3877" s="67"/>
      <c r="C3877" s="66"/>
      <c r="D3877" s="68"/>
      <c r="E3877" s="10"/>
      <c r="F3877" s="69"/>
      <c r="G3877" s="68"/>
      <c r="H3877" s="70"/>
      <c r="BA3877" s="4"/>
      <c r="BB3877" s="4"/>
    </row>
    <row r="3878" spans="1:54" x14ac:dyDescent="0.3">
      <c r="A3878" s="66"/>
      <c r="B3878" s="67"/>
      <c r="C3878" s="66"/>
      <c r="D3878" s="68"/>
      <c r="E3878" s="10"/>
      <c r="F3878" s="69"/>
      <c r="G3878" s="68"/>
      <c r="H3878" s="70"/>
      <c r="BA3878" s="4"/>
      <c r="BB3878" s="4"/>
    </row>
    <row r="3879" spans="1:54" x14ac:dyDescent="0.3">
      <c r="A3879" s="66"/>
      <c r="B3879" s="67"/>
      <c r="C3879" s="66"/>
      <c r="D3879" s="68"/>
      <c r="E3879" s="10"/>
      <c r="F3879" s="69"/>
      <c r="G3879" s="68"/>
      <c r="H3879" s="70"/>
      <c r="BA3879" s="4"/>
      <c r="BB3879" s="4"/>
    </row>
    <row r="3880" spans="1:54" x14ac:dyDescent="0.3">
      <c r="A3880" s="66"/>
      <c r="B3880" s="67"/>
      <c r="C3880" s="66"/>
      <c r="D3880" s="68"/>
      <c r="E3880" s="10"/>
      <c r="F3880" s="69"/>
      <c r="G3880" s="68"/>
      <c r="H3880" s="70"/>
      <c r="BA3880" s="4"/>
      <c r="BB3880" s="4"/>
    </row>
    <row r="3881" spans="1:54" x14ac:dyDescent="0.3">
      <c r="A3881" s="66"/>
      <c r="B3881" s="67"/>
      <c r="C3881" s="66"/>
      <c r="D3881" s="68"/>
      <c r="E3881" s="10"/>
      <c r="F3881" s="69"/>
      <c r="G3881" s="68"/>
      <c r="H3881" s="70"/>
      <c r="BA3881" s="4"/>
      <c r="BB3881" s="4"/>
    </row>
    <row r="3882" spans="1:54" x14ac:dyDescent="0.3">
      <c r="A3882" s="66"/>
      <c r="B3882" s="67"/>
      <c r="C3882" s="66"/>
      <c r="D3882" s="68"/>
      <c r="E3882" s="10"/>
      <c r="F3882" s="69"/>
      <c r="G3882" s="68"/>
      <c r="H3882" s="70"/>
      <c r="BA3882" s="4"/>
      <c r="BB3882" s="4"/>
    </row>
    <row r="3883" spans="1:54" x14ac:dyDescent="0.3">
      <c r="A3883" s="66"/>
      <c r="B3883" s="67"/>
      <c r="C3883" s="66"/>
      <c r="D3883" s="68"/>
      <c r="E3883" s="10"/>
      <c r="F3883" s="69"/>
      <c r="G3883" s="68"/>
      <c r="H3883" s="70"/>
      <c r="BA3883" s="4"/>
      <c r="BB3883" s="4"/>
    </row>
    <row r="3884" spans="1:54" x14ac:dyDescent="0.3">
      <c r="A3884" s="66"/>
      <c r="B3884" s="67"/>
      <c r="C3884" s="66"/>
      <c r="D3884" s="68"/>
      <c r="E3884" s="10"/>
      <c r="F3884" s="69"/>
      <c r="G3884" s="68"/>
      <c r="H3884" s="70"/>
      <c r="BA3884" s="4"/>
      <c r="BB3884" s="4"/>
    </row>
    <row r="3885" spans="1:54" x14ac:dyDescent="0.3">
      <c r="A3885" s="66"/>
      <c r="B3885" s="67"/>
      <c r="C3885" s="66"/>
      <c r="D3885" s="68"/>
      <c r="E3885" s="10"/>
      <c r="F3885" s="69"/>
      <c r="G3885" s="68"/>
      <c r="H3885" s="70"/>
      <c r="BA3885" s="4"/>
      <c r="BB3885" s="4"/>
    </row>
    <row r="3886" spans="1:54" x14ac:dyDescent="0.3">
      <c r="A3886" s="66"/>
      <c r="B3886" s="67"/>
      <c r="C3886" s="66"/>
      <c r="D3886" s="68"/>
      <c r="E3886" s="10"/>
      <c r="F3886" s="69"/>
      <c r="G3886" s="68"/>
      <c r="H3886" s="70"/>
      <c r="BA3886" s="4"/>
      <c r="BB3886" s="4"/>
    </row>
    <row r="3887" spans="1:54" x14ac:dyDescent="0.3">
      <c r="A3887" s="66"/>
      <c r="B3887" s="67"/>
      <c r="C3887" s="66"/>
      <c r="D3887" s="68"/>
      <c r="E3887" s="10"/>
      <c r="F3887" s="69"/>
      <c r="G3887" s="68"/>
      <c r="H3887" s="70"/>
      <c r="BA3887" s="4"/>
      <c r="BB3887" s="4"/>
    </row>
    <row r="3888" spans="1:54" x14ac:dyDescent="0.3">
      <c r="A3888" s="66"/>
      <c r="B3888" s="67"/>
      <c r="C3888" s="66"/>
      <c r="D3888" s="68"/>
      <c r="E3888" s="10"/>
      <c r="F3888" s="69"/>
      <c r="G3888" s="68"/>
      <c r="H3888" s="70"/>
      <c r="BA3888" s="4"/>
      <c r="BB3888" s="4"/>
    </row>
    <row r="3889" spans="1:54" x14ac:dyDescent="0.3">
      <c r="A3889" s="66"/>
      <c r="B3889" s="67"/>
      <c r="C3889" s="66"/>
      <c r="D3889" s="68"/>
      <c r="E3889" s="10"/>
      <c r="F3889" s="69"/>
      <c r="G3889" s="68"/>
      <c r="H3889" s="70"/>
      <c r="BA3889" s="4"/>
      <c r="BB3889" s="4"/>
    </row>
    <row r="3890" spans="1:54" x14ac:dyDescent="0.3">
      <c r="A3890" s="66"/>
      <c r="B3890" s="67"/>
      <c r="C3890" s="66"/>
      <c r="D3890" s="68"/>
      <c r="E3890" s="10"/>
      <c r="F3890" s="69"/>
      <c r="G3890" s="68"/>
      <c r="H3890" s="70"/>
      <c r="BA3890" s="4"/>
      <c r="BB3890" s="4"/>
    </row>
    <row r="3891" spans="1:54" x14ac:dyDescent="0.3">
      <c r="A3891" s="66"/>
      <c r="B3891" s="67"/>
      <c r="C3891" s="66"/>
      <c r="D3891" s="68"/>
      <c r="E3891" s="10"/>
      <c r="F3891" s="69"/>
      <c r="G3891" s="68"/>
      <c r="H3891" s="70"/>
      <c r="BA3891" s="4"/>
      <c r="BB3891" s="4"/>
    </row>
    <row r="3892" spans="1:54" x14ac:dyDescent="0.3">
      <c r="A3892" s="66"/>
      <c r="B3892" s="67"/>
      <c r="C3892" s="66"/>
      <c r="D3892" s="68"/>
      <c r="E3892" s="10"/>
      <c r="F3892" s="69"/>
      <c r="G3892" s="68"/>
      <c r="H3892" s="70"/>
      <c r="BA3892" s="4"/>
      <c r="BB3892" s="4"/>
    </row>
    <row r="3893" spans="1:54" x14ac:dyDescent="0.3">
      <c r="A3893" s="66"/>
      <c r="B3893" s="67"/>
      <c r="C3893" s="66"/>
      <c r="D3893" s="68"/>
      <c r="E3893" s="10"/>
      <c r="F3893" s="69"/>
      <c r="G3893" s="68"/>
      <c r="H3893" s="70"/>
      <c r="BA3893" s="4"/>
      <c r="BB3893" s="4"/>
    </row>
    <row r="3894" spans="1:54" x14ac:dyDescent="0.3">
      <c r="A3894" s="66"/>
      <c r="B3894" s="67"/>
      <c r="C3894" s="66"/>
      <c r="D3894" s="68"/>
      <c r="E3894" s="10"/>
      <c r="F3894" s="69"/>
      <c r="G3894" s="68"/>
      <c r="H3894" s="70"/>
      <c r="BA3894" s="4"/>
      <c r="BB3894" s="4"/>
    </row>
    <row r="3895" spans="1:54" x14ac:dyDescent="0.3">
      <c r="A3895" s="66"/>
      <c r="B3895" s="67"/>
      <c r="C3895" s="66"/>
      <c r="D3895" s="68"/>
      <c r="E3895" s="10"/>
      <c r="F3895" s="69"/>
      <c r="G3895" s="68"/>
      <c r="H3895" s="70"/>
      <c r="BA3895" s="4"/>
      <c r="BB3895" s="4"/>
    </row>
    <row r="3896" spans="1:54" x14ac:dyDescent="0.3">
      <c r="A3896" s="66"/>
      <c r="B3896" s="67"/>
      <c r="C3896" s="66"/>
      <c r="D3896" s="68"/>
      <c r="E3896" s="10"/>
      <c r="F3896" s="69"/>
      <c r="G3896" s="68"/>
      <c r="H3896" s="70"/>
      <c r="BA3896" s="4"/>
      <c r="BB3896" s="4"/>
    </row>
    <row r="3897" spans="1:54" x14ac:dyDescent="0.3">
      <c r="A3897" s="66"/>
      <c r="B3897" s="67"/>
      <c r="C3897" s="66"/>
      <c r="D3897" s="68"/>
      <c r="E3897" s="10"/>
      <c r="F3897" s="69"/>
      <c r="G3897" s="68"/>
      <c r="H3897" s="70"/>
      <c r="BA3897" s="4"/>
      <c r="BB3897" s="4"/>
    </row>
    <row r="3898" spans="1:54" x14ac:dyDescent="0.3">
      <c r="A3898" s="66"/>
      <c r="B3898" s="67"/>
      <c r="C3898" s="66"/>
      <c r="D3898" s="68"/>
      <c r="E3898" s="10"/>
      <c r="F3898" s="69"/>
      <c r="G3898" s="68"/>
      <c r="H3898" s="70"/>
      <c r="BA3898" s="4"/>
      <c r="BB3898" s="4"/>
    </row>
    <row r="3899" spans="1:54" x14ac:dyDescent="0.3">
      <c r="A3899" s="66"/>
      <c r="B3899" s="67"/>
      <c r="C3899" s="66"/>
      <c r="D3899" s="68"/>
      <c r="E3899" s="10"/>
      <c r="F3899" s="69"/>
      <c r="G3899" s="68"/>
      <c r="H3899" s="70"/>
      <c r="BA3899" s="4"/>
      <c r="BB3899" s="4"/>
    </row>
    <row r="3900" spans="1:54" x14ac:dyDescent="0.3">
      <c r="A3900" s="66"/>
      <c r="B3900" s="67"/>
      <c r="C3900" s="66"/>
      <c r="D3900" s="68"/>
      <c r="E3900" s="10"/>
      <c r="F3900" s="69"/>
      <c r="G3900" s="68"/>
      <c r="H3900" s="70"/>
      <c r="BA3900" s="4"/>
      <c r="BB3900" s="4"/>
    </row>
    <row r="3901" spans="1:54" x14ac:dyDescent="0.3">
      <c r="A3901" s="66"/>
      <c r="B3901" s="67"/>
      <c r="C3901" s="66"/>
      <c r="D3901" s="68"/>
      <c r="E3901" s="10"/>
      <c r="F3901" s="69"/>
      <c r="G3901" s="68"/>
      <c r="H3901" s="70"/>
      <c r="BA3901" s="4"/>
      <c r="BB3901" s="4"/>
    </row>
    <row r="3902" spans="1:54" x14ac:dyDescent="0.3">
      <c r="A3902" s="66"/>
      <c r="B3902" s="67"/>
      <c r="C3902" s="66"/>
      <c r="D3902" s="68"/>
      <c r="E3902" s="10"/>
      <c r="F3902" s="69"/>
      <c r="G3902" s="68"/>
      <c r="H3902" s="70"/>
      <c r="BA3902" s="4"/>
      <c r="BB3902" s="4"/>
    </row>
    <row r="3903" spans="1:54" x14ac:dyDescent="0.3">
      <c r="A3903" s="66"/>
      <c r="B3903" s="67"/>
      <c r="C3903" s="66"/>
      <c r="D3903" s="68"/>
      <c r="E3903" s="10"/>
      <c r="F3903" s="69"/>
      <c r="G3903" s="68"/>
      <c r="H3903" s="70"/>
      <c r="BA3903" s="4"/>
      <c r="BB3903" s="4"/>
    </row>
    <row r="3904" spans="1:54" x14ac:dyDescent="0.3">
      <c r="A3904" s="66"/>
      <c r="B3904" s="67"/>
      <c r="C3904" s="66"/>
      <c r="D3904" s="68"/>
      <c r="E3904" s="10"/>
      <c r="F3904" s="69"/>
      <c r="G3904" s="68"/>
      <c r="H3904" s="70"/>
      <c r="BA3904" s="4"/>
      <c r="BB3904" s="4"/>
    </row>
    <row r="3905" spans="1:54" x14ac:dyDescent="0.3">
      <c r="A3905" s="66"/>
      <c r="B3905" s="67"/>
      <c r="C3905" s="66"/>
      <c r="D3905" s="68"/>
      <c r="E3905" s="10"/>
      <c r="F3905" s="69"/>
      <c r="G3905" s="68"/>
      <c r="H3905" s="70"/>
      <c r="BA3905" s="4"/>
      <c r="BB3905" s="4"/>
    </row>
    <row r="3906" spans="1:54" x14ac:dyDescent="0.3">
      <c r="A3906" s="66"/>
      <c r="B3906" s="67"/>
      <c r="C3906" s="66"/>
      <c r="D3906" s="68"/>
      <c r="E3906" s="10"/>
      <c r="F3906" s="69"/>
      <c r="G3906" s="68"/>
      <c r="H3906" s="70"/>
      <c r="BA3906" s="4"/>
      <c r="BB3906" s="4"/>
    </row>
    <row r="3907" spans="1:54" x14ac:dyDescent="0.3">
      <c r="A3907" s="66"/>
      <c r="B3907" s="67"/>
      <c r="C3907" s="66"/>
      <c r="D3907" s="68"/>
      <c r="E3907" s="10"/>
      <c r="F3907" s="69"/>
      <c r="G3907" s="68"/>
      <c r="H3907" s="70"/>
      <c r="BA3907" s="4"/>
      <c r="BB3907" s="4"/>
    </row>
    <row r="3908" spans="1:54" x14ac:dyDescent="0.3">
      <c r="A3908" s="66"/>
      <c r="B3908" s="67"/>
      <c r="C3908" s="66"/>
      <c r="D3908" s="68"/>
      <c r="E3908" s="10"/>
      <c r="F3908" s="69"/>
      <c r="G3908" s="68"/>
      <c r="H3908" s="70"/>
      <c r="BA3908" s="4"/>
      <c r="BB3908" s="4"/>
    </row>
    <row r="3909" spans="1:54" x14ac:dyDescent="0.3">
      <c r="A3909" s="66"/>
      <c r="B3909" s="67"/>
      <c r="C3909" s="66"/>
      <c r="D3909" s="68"/>
      <c r="E3909" s="10"/>
      <c r="F3909" s="69"/>
      <c r="G3909" s="68"/>
      <c r="H3909" s="70"/>
      <c r="BA3909" s="4"/>
      <c r="BB3909" s="4"/>
    </row>
    <row r="3910" spans="1:54" x14ac:dyDescent="0.3">
      <c r="A3910" s="66"/>
      <c r="B3910" s="67"/>
      <c r="C3910" s="66"/>
      <c r="D3910" s="68"/>
      <c r="E3910" s="10"/>
      <c r="F3910" s="69"/>
      <c r="G3910" s="68"/>
      <c r="H3910" s="70"/>
      <c r="BA3910" s="4"/>
      <c r="BB3910" s="4"/>
    </row>
    <row r="3911" spans="1:54" x14ac:dyDescent="0.3">
      <c r="A3911" s="66"/>
      <c r="B3911" s="67"/>
      <c r="C3911" s="66"/>
      <c r="D3911" s="68"/>
      <c r="E3911" s="10"/>
      <c r="F3911" s="69"/>
      <c r="G3911" s="68"/>
      <c r="H3911" s="70"/>
      <c r="BA3911" s="4"/>
      <c r="BB3911" s="4"/>
    </row>
    <row r="3912" spans="1:54" x14ac:dyDescent="0.3">
      <c r="A3912" s="66"/>
      <c r="B3912" s="67"/>
      <c r="C3912" s="66"/>
      <c r="D3912" s="68"/>
      <c r="E3912" s="10"/>
      <c r="F3912" s="69"/>
      <c r="G3912" s="68"/>
      <c r="H3912" s="70"/>
      <c r="BA3912" s="4"/>
      <c r="BB3912" s="4"/>
    </row>
    <row r="3913" spans="1:54" x14ac:dyDescent="0.3">
      <c r="A3913" s="66"/>
      <c r="B3913" s="67"/>
      <c r="C3913" s="66"/>
      <c r="D3913" s="68"/>
      <c r="E3913" s="10"/>
      <c r="F3913" s="69"/>
      <c r="G3913" s="68"/>
      <c r="H3913" s="70"/>
      <c r="BA3913" s="4"/>
      <c r="BB3913" s="4"/>
    </row>
    <row r="3914" spans="1:54" x14ac:dyDescent="0.3">
      <c r="A3914" s="66"/>
      <c r="B3914" s="67"/>
      <c r="C3914" s="66"/>
      <c r="D3914" s="68"/>
      <c r="E3914" s="10"/>
      <c r="F3914" s="69"/>
      <c r="G3914" s="68"/>
      <c r="H3914" s="70"/>
      <c r="BA3914" s="4"/>
      <c r="BB3914" s="4"/>
    </row>
    <row r="3915" spans="1:54" x14ac:dyDescent="0.3">
      <c r="A3915" s="66"/>
      <c r="B3915" s="67"/>
      <c r="C3915" s="66"/>
      <c r="D3915" s="68"/>
      <c r="E3915" s="10"/>
      <c r="F3915" s="69"/>
      <c r="G3915" s="68"/>
      <c r="H3915" s="70"/>
      <c r="BA3915" s="4"/>
      <c r="BB3915" s="4"/>
    </row>
    <row r="3916" spans="1:54" x14ac:dyDescent="0.3">
      <c r="A3916" s="66"/>
      <c r="B3916" s="67"/>
      <c r="C3916" s="66"/>
      <c r="D3916" s="68"/>
      <c r="E3916" s="10"/>
      <c r="F3916" s="69"/>
      <c r="G3916" s="68"/>
      <c r="H3916" s="70"/>
      <c r="BA3916" s="4"/>
      <c r="BB3916" s="4"/>
    </row>
    <row r="3917" spans="1:54" x14ac:dyDescent="0.3">
      <c r="A3917" s="66"/>
      <c r="B3917" s="67"/>
      <c r="C3917" s="66"/>
      <c r="D3917" s="68"/>
      <c r="E3917" s="10"/>
      <c r="F3917" s="69"/>
      <c r="G3917" s="68"/>
      <c r="H3917" s="70"/>
      <c r="BA3917" s="4"/>
      <c r="BB3917" s="4"/>
    </row>
    <row r="3918" spans="1:54" x14ac:dyDescent="0.3">
      <c r="A3918" s="66"/>
      <c r="B3918" s="67"/>
      <c r="C3918" s="66"/>
      <c r="D3918" s="68"/>
      <c r="E3918" s="10"/>
      <c r="F3918" s="69"/>
      <c r="G3918" s="68"/>
      <c r="H3918" s="70"/>
      <c r="BA3918" s="4"/>
      <c r="BB3918" s="4"/>
    </row>
    <row r="3919" spans="1:54" x14ac:dyDescent="0.3">
      <c r="A3919" s="66"/>
      <c r="B3919" s="67"/>
      <c r="C3919" s="66"/>
      <c r="D3919" s="68"/>
      <c r="E3919" s="10"/>
      <c r="F3919" s="69"/>
      <c r="G3919" s="68"/>
      <c r="H3919" s="70"/>
      <c r="BA3919" s="4"/>
      <c r="BB3919" s="4"/>
    </row>
    <row r="3920" spans="1:54" x14ac:dyDescent="0.3">
      <c r="A3920" s="66"/>
      <c r="B3920" s="67"/>
      <c r="C3920" s="66"/>
      <c r="D3920" s="68"/>
      <c r="E3920" s="10"/>
      <c r="F3920" s="69"/>
      <c r="G3920" s="68"/>
      <c r="H3920" s="70"/>
      <c r="BA3920" s="4"/>
      <c r="BB3920" s="4"/>
    </row>
    <row r="3921" spans="1:54" x14ac:dyDescent="0.3">
      <c r="A3921" s="66"/>
      <c r="B3921" s="67"/>
      <c r="C3921" s="66"/>
      <c r="D3921" s="68"/>
      <c r="E3921" s="10"/>
      <c r="F3921" s="69"/>
      <c r="G3921" s="68"/>
      <c r="H3921" s="70"/>
      <c r="BA3921" s="4"/>
      <c r="BB3921" s="4"/>
    </row>
    <row r="3922" spans="1:54" x14ac:dyDescent="0.3">
      <c r="A3922" s="66"/>
      <c r="B3922" s="67"/>
      <c r="C3922" s="66"/>
      <c r="D3922" s="68"/>
      <c r="E3922" s="10"/>
      <c r="F3922" s="69"/>
      <c r="G3922" s="68"/>
      <c r="H3922" s="70"/>
      <c r="BA3922" s="4"/>
      <c r="BB3922" s="4"/>
    </row>
    <row r="3923" spans="1:54" x14ac:dyDescent="0.3">
      <c r="A3923" s="66"/>
      <c r="B3923" s="67"/>
      <c r="C3923" s="66"/>
      <c r="D3923" s="68"/>
      <c r="E3923" s="10"/>
      <c r="F3923" s="69"/>
      <c r="G3923" s="68"/>
      <c r="H3923" s="70"/>
      <c r="BA3923" s="4"/>
      <c r="BB3923" s="4"/>
    </row>
    <row r="3924" spans="1:54" x14ac:dyDescent="0.3">
      <c r="A3924" s="66"/>
      <c r="B3924" s="67"/>
      <c r="C3924" s="66"/>
      <c r="D3924" s="68"/>
      <c r="E3924" s="10"/>
      <c r="F3924" s="69"/>
      <c r="G3924" s="68"/>
      <c r="H3924" s="70"/>
      <c r="BA3924" s="4"/>
      <c r="BB3924" s="4"/>
    </row>
    <row r="3925" spans="1:54" x14ac:dyDescent="0.3">
      <c r="A3925" s="66"/>
      <c r="B3925" s="67"/>
      <c r="C3925" s="66"/>
      <c r="D3925" s="68"/>
      <c r="E3925" s="10"/>
      <c r="F3925" s="69"/>
      <c r="G3925" s="68"/>
      <c r="H3925" s="70"/>
      <c r="BA3925" s="4"/>
      <c r="BB3925" s="4"/>
    </row>
    <row r="3926" spans="1:54" x14ac:dyDescent="0.3">
      <c r="A3926" s="66"/>
      <c r="B3926" s="67"/>
      <c r="C3926" s="66"/>
      <c r="D3926" s="68"/>
      <c r="E3926" s="10"/>
      <c r="F3926" s="69"/>
      <c r="G3926" s="68"/>
      <c r="H3926" s="70"/>
      <c r="BA3926" s="4"/>
      <c r="BB3926" s="4"/>
    </row>
    <row r="3927" spans="1:54" x14ac:dyDescent="0.3">
      <c r="A3927" s="66"/>
      <c r="B3927" s="67"/>
      <c r="C3927" s="66"/>
      <c r="D3927" s="68"/>
      <c r="E3927" s="10"/>
      <c r="F3927" s="69"/>
      <c r="G3927" s="68"/>
      <c r="H3927" s="70"/>
      <c r="BA3927" s="4"/>
      <c r="BB3927" s="4"/>
    </row>
    <row r="3928" spans="1:54" x14ac:dyDescent="0.3">
      <c r="A3928" s="66"/>
      <c r="B3928" s="67"/>
      <c r="C3928" s="66"/>
      <c r="D3928" s="68"/>
      <c r="E3928" s="10"/>
      <c r="F3928" s="69"/>
      <c r="G3928" s="68"/>
      <c r="H3928" s="70"/>
      <c r="BA3928" s="4"/>
      <c r="BB3928" s="4"/>
    </row>
    <row r="3929" spans="1:54" x14ac:dyDescent="0.3">
      <c r="A3929" s="66"/>
      <c r="B3929" s="67"/>
      <c r="C3929" s="66"/>
      <c r="D3929" s="68"/>
      <c r="E3929" s="10"/>
      <c r="F3929" s="69"/>
      <c r="G3929" s="68"/>
      <c r="H3929" s="70"/>
      <c r="BA3929" s="4"/>
      <c r="BB3929" s="4"/>
    </row>
    <row r="3930" spans="1:54" x14ac:dyDescent="0.3">
      <c r="A3930" s="66"/>
      <c r="B3930" s="67"/>
      <c r="C3930" s="66"/>
      <c r="D3930" s="68"/>
      <c r="E3930" s="10"/>
      <c r="F3930" s="69"/>
      <c r="G3930" s="68"/>
      <c r="H3930" s="70"/>
      <c r="BA3930" s="4"/>
      <c r="BB3930" s="4"/>
    </row>
    <row r="3931" spans="1:54" x14ac:dyDescent="0.3">
      <c r="A3931" s="66"/>
      <c r="B3931" s="67"/>
      <c r="C3931" s="66"/>
      <c r="D3931" s="68"/>
      <c r="E3931" s="10"/>
      <c r="F3931" s="69"/>
      <c r="G3931" s="68"/>
      <c r="H3931" s="70"/>
      <c r="BA3931" s="4"/>
      <c r="BB3931" s="4"/>
    </row>
    <row r="3932" spans="1:54" x14ac:dyDescent="0.3">
      <c r="A3932" s="66"/>
      <c r="B3932" s="67"/>
      <c r="C3932" s="66"/>
      <c r="D3932" s="68"/>
      <c r="E3932" s="10"/>
      <c r="F3932" s="69"/>
      <c r="G3932" s="68"/>
      <c r="H3932" s="70"/>
      <c r="BA3932" s="4"/>
      <c r="BB3932" s="4"/>
    </row>
    <row r="3933" spans="1:54" x14ac:dyDescent="0.3">
      <c r="A3933" s="66"/>
      <c r="B3933" s="67"/>
      <c r="C3933" s="66"/>
      <c r="D3933" s="68"/>
      <c r="E3933" s="10"/>
      <c r="F3933" s="69"/>
      <c r="G3933" s="68"/>
      <c r="H3933" s="70"/>
      <c r="BA3933" s="4"/>
      <c r="BB3933" s="4"/>
    </row>
    <row r="3934" spans="1:54" x14ac:dyDescent="0.3">
      <c r="A3934" s="66"/>
      <c r="B3934" s="67"/>
      <c r="C3934" s="66"/>
      <c r="D3934" s="68"/>
      <c r="E3934" s="10"/>
      <c r="F3934" s="69"/>
      <c r="G3934" s="68"/>
      <c r="H3934" s="70"/>
      <c r="BA3934" s="4"/>
      <c r="BB3934" s="4"/>
    </row>
    <row r="3935" spans="1:54" x14ac:dyDescent="0.3">
      <c r="A3935" s="66"/>
      <c r="B3935" s="67"/>
      <c r="C3935" s="66"/>
      <c r="D3935" s="68"/>
      <c r="E3935" s="10"/>
      <c r="F3935" s="69"/>
      <c r="G3935" s="68"/>
      <c r="H3935" s="70"/>
      <c r="BA3935" s="4"/>
      <c r="BB3935" s="4"/>
    </row>
    <row r="3936" spans="1:54" x14ac:dyDescent="0.3">
      <c r="A3936" s="66"/>
      <c r="B3936" s="67"/>
      <c r="C3936" s="66"/>
      <c r="D3936" s="68"/>
      <c r="E3936" s="10"/>
      <c r="F3936" s="69"/>
      <c r="G3936" s="68"/>
      <c r="H3936" s="70"/>
      <c r="BA3936" s="4"/>
      <c r="BB3936" s="4"/>
    </row>
    <row r="3937" spans="1:54" x14ac:dyDescent="0.3">
      <c r="A3937" s="66"/>
      <c r="B3937" s="67"/>
      <c r="C3937" s="66"/>
      <c r="D3937" s="68"/>
      <c r="E3937" s="10"/>
      <c r="F3937" s="69"/>
      <c r="G3937" s="68"/>
      <c r="H3937" s="70"/>
      <c r="BA3937" s="4"/>
      <c r="BB3937" s="4"/>
    </row>
    <row r="3938" spans="1:54" x14ac:dyDescent="0.3">
      <c r="A3938" s="66"/>
      <c r="B3938" s="67"/>
      <c r="C3938" s="66"/>
      <c r="D3938" s="68"/>
      <c r="E3938" s="10"/>
      <c r="F3938" s="69"/>
      <c r="G3938" s="68"/>
      <c r="H3938" s="70"/>
      <c r="BA3938" s="4"/>
      <c r="BB3938" s="4"/>
    </row>
    <row r="3939" spans="1:54" x14ac:dyDescent="0.3">
      <c r="A3939" s="66"/>
      <c r="B3939" s="67"/>
      <c r="C3939" s="66"/>
      <c r="D3939" s="68"/>
      <c r="E3939" s="10"/>
      <c r="F3939" s="69"/>
      <c r="G3939" s="68"/>
      <c r="H3939" s="70"/>
      <c r="BA3939" s="4"/>
      <c r="BB3939" s="4"/>
    </row>
    <row r="3940" spans="1:54" x14ac:dyDescent="0.3">
      <c r="A3940" s="66"/>
      <c r="B3940" s="67"/>
      <c r="C3940" s="66"/>
      <c r="D3940" s="68"/>
      <c r="E3940" s="10"/>
      <c r="F3940" s="69"/>
      <c r="G3940" s="68"/>
      <c r="H3940" s="70"/>
      <c r="BA3940" s="4"/>
      <c r="BB3940" s="4"/>
    </row>
    <row r="3941" spans="1:54" x14ac:dyDescent="0.3">
      <c r="A3941" s="66"/>
      <c r="B3941" s="67"/>
      <c r="C3941" s="66"/>
      <c r="D3941" s="68"/>
      <c r="E3941" s="10"/>
      <c r="F3941" s="69"/>
      <c r="G3941" s="68"/>
      <c r="H3941" s="70"/>
      <c r="BA3941" s="4"/>
      <c r="BB3941" s="4"/>
    </row>
    <row r="3942" spans="1:54" x14ac:dyDescent="0.3">
      <c r="A3942" s="66"/>
      <c r="B3942" s="67"/>
      <c r="C3942" s="66"/>
      <c r="D3942" s="68"/>
      <c r="E3942" s="10"/>
      <c r="F3942" s="69"/>
      <c r="G3942" s="68"/>
      <c r="H3942" s="70"/>
      <c r="BA3942" s="4"/>
      <c r="BB3942" s="4"/>
    </row>
    <row r="3943" spans="1:54" x14ac:dyDescent="0.3">
      <c r="A3943" s="66"/>
      <c r="B3943" s="67"/>
      <c r="C3943" s="66"/>
      <c r="D3943" s="68"/>
      <c r="E3943" s="10"/>
      <c r="F3943" s="69"/>
      <c r="G3943" s="68"/>
      <c r="H3943" s="70"/>
      <c r="BA3943" s="4"/>
      <c r="BB3943" s="4"/>
    </row>
    <row r="3944" spans="1:54" x14ac:dyDescent="0.3">
      <c r="A3944" s="66"/>
      <c r="B3944" s="67"/>
      <c r="C3944" s="66"/>
      <c r="D3944" s="68"/>
      <c r="E3944" s="10"/>
      <c r="F3944" s="69"/>
      <c r="G3944" s="68"/>
      <c r="H3944" s="70"/>
      <c r="BA3944" s="4"/>
      <c r="BB3944" s="4"/>
    </row>
    <row r="3945" spans="1:54" x14ac:dyDescent="0.3">
      <c r="A3945" s="66"/>
      <c r="B3945" s="67"/>
      <c r="C3945" s="66"/>
      <c r="D3945" s="68"/>
      <c r="E3945" s="10"/>
      <c r="F3945" s="69"/>
      <c r="G3945" s="68"/>
      <c r="H3945" s="70"/>
      <c r="BA3945" s="4"/>
      <c r="BB3945" s="4"/>
    </row>
    <row r="3946" spans="1:54" x14ac:dyDescent="0.3">
      <c r="A3946" s="66"/>
      <c r="B3946" s="67"/>
      <c r="C3946" s="66"/>
      <c r="D3946" s="68"/>
      <c r="E3946" s="10"/>
      <c r="F3946" s="69"/>
      <c r="G3946" s="68"/>
      <c r="H3946" s="70"/>
      <c r="BA3946" s="4"/>
      <c r="BB3946" s="4"/>
    </row>
    <row r="3947" spans="1:54" x14ac:dyDescent="0.3">
      <c r="A3947" s="66"/>
      <c r="B3947" s="67"/>
      <c r="C3947" s="66"/>
      <c r="D3947" s="68"/>
      <c r="E3947" s="10"/>
      <c r="F3947" s="69"/>
      <c r="G3947" s="68"/>
      <c r="H3947" s="70"/>
      <c r="BA3947" s="4"/>
      <c r="BB3947" s="4"/>
    </row>
    <row r="3948" spans="1:54" x14ac:dyDescent="0.3">
      <c r="A3948" s="66"/>
      <c r="B3948" s="67"/>
      <c r="C3948" s="66"/>
      <c r="D3948" s="68"/>
      <c r="E3948" s="10"/>
      <c r="F3948" s="69"/>
      <c r="G3948" s="68"/>
      <c r="H3948" s="70"/>
      <c r="BA3948" s="4"/>
      <c r="BB3948" s="4"/>
    </row>
    <row r="3949" spans="1:54" x14ac:dyDescent="0.3">
      <c r="A3949" s="66"/>
      <c r="B3949" s="67"/>
      <c r="C3949" s="66"/>
      <c r="D3949" s="68"/>
      <c r="E3949" s="10"/>
      <c r="F3949" s="69"/>
      <c r="G3949" s="68"/>
      <c r="H3949" s="70"/>
      <c r="BA3949" s="4"/>
      <c r="BB3949" s="4"/>
    </row>
    <row r="3950" spans="1:54" x14ac:dyDescent="0.3">
      <c r="A3950" s="66"/>
      <c r="B3950" s="67"/>
      <c r="C3950" s="66"/>
      <c r="D3950" s="68"/>
      <c r="E3950" s="10"/>
      <c r="F3950" s="69"/>
      <c r="G3950" s="68"/>
      <c r="H3950" s="70"/>
      <c r="BA3950" s="4"/>
      <c r="BB3950" s="4"/>
    </row>
    <row r="3951" spans="1:54" x14ac:dyDescent="0.3">
      <c r="A3951" s="66"/>
      <c r="B3951" s="67"/>
      <c r="C3951" s="66"/>
      <c r="D3951" s="68"/>
      <c r="E3951" s="10"/>
      <c r="F3951" s="69"/>
      <c r="G3951" s="68"/>
      <c r="H3951" s="70"/>
      <c r="BA3951" s="4"/>
      <c r="BB3951" s="4"/>
    </row>
    <row r="3952" spans="1:54" x14ac:dyDescent="0.3">
      <c r="A3952" s="66"/>
      <c r="B3952" s="67"/>
      <c r="C3952" s="66"/>
      <c r="D3952" s="68"/>
      <c r="E3952" s="10"/>
      <c r="F3952" s="69"/>
      <c r="G3952" s="68"/>
      <c r="H3952" s="70"/>
      <c r="BA3952" s="4"/>
      <c r="BB3952" s="4"/>
    </row>
    <row r="3953" spans="1:54" x14ac:dyDescent="0.3">
      <c r="A3953" s="66"/>
      <c r="B3953" s="67"/>
      <c r="C3953" s="66"/>
      <c r="D3953" s="68"/>
      <c r="E3953" s="10"/>
      <c r="F3953" s="69"/>
      <c r="G3953" s="68"/>
      <c r="H3953" s="70"/>
      <c r="BA3953" s="4"/>
      <c r="BB3953" s="4"/>
    </row>
    <row r="3954" spans="1:54" x14ac:dyDescent="0.3">
      <c r="A3954" s="66"/>
      <c r="B3954" s="67"/>
      <c r="C3954" s="66"/>
      <c r="D3954" s="68"/>
      <c r="E3954" s="10"/>
      <c r="F3954" s="69"/>
      <c r="G3954" s="68"/>
      <c r="H3954" s="70"/>
      <c r="BA3954" s="4"/>
      <c r="BB3954" s="4"/>
    </row>
    <row r="3955" spans="1:54" x14ac:dyDescent="0.3">
      <c r="A3955" s="66"/>
      <c r="B3955" s="67"/>
      <c r="C3955" s="66"/>
      <c r="D3955" s="68"/>
      <c r="E3955" s="10"/>
      <c r="F3955" s="69"/>
      <c r="G3955" s="68"/>
      <c r="H3955" s="70"/>
      <c r="BA3955" s="4"/>
      <c r="BB3955" s="4"/>
    </row>
    <row r="3956" spans="1:54" x14ac:dyDescent="0.3">
      <c r="A3956" s="66"/>
      <c r="B3956" s="67"/>
      <c r="C3956" s="66"/>
      <c r="D3956" s="68"/>
      <c r="E3956" s="10"/>
      <c r="F3956" s="69"/>
      <c r="G3956" s="68"/>
      <c r="H3956" s="70"/>
      <c r="BA3956" s="4"/>
      <c r="BB3956" s="4"/>
    </row>
    <row r="3957" spans="1:54" x14ac:dyDescent="0.3">
      <c r="A3957" s="66"/>
      <c r="B3957" s="67"/>
      <c r="C3957" s="66"/>
      <c r="D3957" s="68"/>
      <c r="E3957" s="10"/>
      <c r="F3957" s="69"/>
      <c r="G3957" s="68"/>
      <c r="H3957" s="70"/>
      <c r="BA3957" s="4"/>
      <c r="BB3957" s="4"/>
    </row>
    <row r="3958" spans="1:54" x14ac:dyDescent="0.3">
      <c r="A3958" s="66"/>
      <c r="B3958" s="67"/>
      <c r="C3958" s="66"/>
      <c r="D3958" s="68"/>
      <c r="E3958" s="10"/>
      <c r="F3958" s="69"/>
      <c r="G3958" s="68"/>
      <c r="H3958" s="70"/>
      <c r="BA3958" s="4"/>
      <c r="BB3958" s="4"/>
    </row>
    <row r="3959" spans="1:54" x14ac:dyDescent="0.3">
      <c r="A3959" s="66"/>
      <c r="B3959" s="67"/>
      <c r="C3959" s="66"/>
      <c r="D3959" s="68"/>
      <c r="E3959" s="10"/>
      <c r="F3959" s="69"/>
      <c r="G3959" s="68"/>
      <c r="H3959" s="70"/>
      <c r="BA3959" s="4"/>
      <c r="BB3959" s="4"/>
    </row>
    <row r="3960" spans="1:54" x14ac:dyDescent="0.3">
      <c r="A3960" s="66"/>
      <c r="B3960" s="67"/>
      <c r="C3960" s="66"/>
      <c r="D3960" s="68"/>
      <c r="E3960" s="10"/>
      <c r="F3960" s="69"/>
      <c r="G3960" s="68"/>
      <c r="H3960" s="70"/>
      <c r="BA3960" s="4"/>
      <c r="BB3960" s="4"/>
    </row>
    <row r="3961" spans="1:54" x14ac:dyDescent="0.3">
      <c r="A3961" s="66"/>
      <c r="B3961" s="67"/>
      <c r="C3961" s="66"/>
      <c r="D3961" s="68"/>
      <c r="E3961" s="10"/>
      <c r="F3961" s="69"/>
      <c r="G3961" s="68"/>
      <c r="H3961" s="70"/>
      <c r="BA3961" s="4"/>
      <c r="BB3961" s="4"/>
    </row>
    <row r="3962" spans="1:54" x14ac:dyDescent="0.3">
      <c r="A3962" s="66"/>
      <c r="B3962" s="67"/>
      <c r="C3962" s="66"/>
      <c r="D3962" s="68"/>
      <c r="E3962" s="10"/>
      <c r="F3962" s="69"/>
      <c r="G3962" s="68"/>
      <c r="H3962" s="70"/>
      <c r="BA3962" s="4"/>
      <c r="BB3962" s="4"/>
    </row>
    <row r="3963" spans="1:54" x14ac:dyDescent="0.3">
      <c r="A3963" s="66"/>
      <c r="B3963" s="67"/>
      <c r="C3963" s="66"/>
      <c r="D3963" s="68"/>
      <c r="E3963" s="10"/>
      <c r="F3963" s="69"/>
      <c r="G3963" s="68"/>
      <c r="H3963" s="70"/>
      <c r="BA3963" s="4"/>
      <c r="BB3963" s="4"/>
    </row>
    <row r="3964" spans="1:54" x14ac:dyDescent="0.3">
      <c r="A3964" s="66"/>
      <c r="B3964" s="67"/>
      <c r="C3964" s="66"/>
      <c r="D3964" s="68"/>
      <c r="E3964" s="10"/>
      <c r="F3964" s="69"/>
      <c r="G3964" s="68"/>
      <c r="H3964" s="70"/>
      <c r="BA3964" s="4"/>
      <c r="BB3964" s="4"/>
    </row>
    <row r="3965" spans="1:54" x14ac:dyDescent="0.3">
      <c r="A3965" s="66"/>
      <c r="B3965" s="67"/>
      <c r="C3965" s="66"/>
      <c r="D3965" s="68"/>
      <c r="E3965" s="10"/>
      <c r="F3965" s="69"/>
      <c r="G3965" s="68"/>
      <c r="H3965" s="70"/>
      <c r="BA3965" s="4"/>
      <c r="BB3965" s="4"/>
    </row>
    <row r="3966" spans="1:54" x14ac:dyDescent="0.3">
      <c r="A3966" s="66"/>
      <c r="B3966" s="67"/>
      <c r="C3966" s="66"/>
      <c r="D3966" s="68"/>
      <c r="E3966" s="10"/>
      <c r="F3966" s="69"/>
      <c r="G3966" s="68"/>
      <c r="H3966" s="70"/>
      <c r="BA3966" s="4"/>
      <c r="BB3966" s="4"/>
    </row>
    <row r="3967" spans="1:54" x14ac:dyDescent="0.3">
      <c r="A3967" s="66"/>
      <c r="B3967" s="67"/>
      <c r="C3967" s="66"/>
      <c r="D3967" s="68"/>
      <c r="E3967" s="10"/>
      <c r="F3967" s="69"/>
      <c r="G3967" s="68"/>
      <c r="H3967" s="70"/>
      <c r="BA3967" s="4"/>
      <c r="BB3967" s="4"/>
    </row>
    <row r="3968" spans="1:54" x14ac:dyDescent="0.3">
      <c r="A3968" s="66"/>
      <c r="B3968" s="67"/>
      <c r="C3968" s="66"/>
      <c r="D3968" s="68"/>
      <c r="E3968" s="10"/>
      <c r="F3968" s="69"/>
      <c r="G3968" s="68"/>
      <c r="H3968" s="70"/>
      <c r="BA3968" s="4"/>
      <c r="BB3968" s="4"/>
    </row>
    <row r="3969" spans="1:54" x14ac:dyDescent="0.3">
      <c r="A3969" s="66"/>
      <c r="B3969" s="67"/>
      <c r="C3969" s="66"/>
      <c r="D3969" s="68"/>
      <c r="E3969" s="10"/>
      <c r="F3969" s="69"/>
      <c r="G3969" s="68"/>
      <c r="H3969" s="70"/>
      <c r="BA3969" s="4"/>
      <c r="BB3969" s="4"/>
    </row>
    <row r="3970" spans="1:54" x14ac:dyDescent="0.3">
      <c r="A3970" s="66"/>
      <c r="B3970" s="67"/>
      <c r="C3970" s="66"/>
      <c r="D3970" s="68"/>
      <c r="E3970" s="10"/>
      <c r="F3970" s="69"/>
      <c r="G3970" s="68"/>
      <c r="H3970" s="70"/>
      <c r="BA3970" s="4"/>
      <c r="BB3970" s="4"/>
    </row>
    <row r="3971" spans="1:54" x14ac:dyDescent="0.3">
      <c r="A3971" s="66"/>
      <c r="B3971" s="67"/>
      <c r="C3971" s="66"/>
      <c r="D3971" s="68"/>
      <c r="E3971" s="10"/>
      <c r="F3971" s="69"/>
      <c r="G3971" s="68"/>
      <c r="H3971" s="70"/>
      <c r="BA3971" s="4"/>
      <c r="BB3971" s="4"/>
    </row>
    <row r="3972" spans="1:54" x14ac:dyDescent="0.3">
      <c r="A3972" s="66"/>
      <c r="B3972" s="67"/>
      <c r="C3972" s="66"/>
      <c r="D3972" s="68"/>
      <c r="E3972" s="10"/>
      <c r="F3972" s="69"/>
      <c r="G3972" s="68"/>
      <c r="H3972" s="70"/>
      <c r="BA3972" s="4"/>
      <c r="BB3972" s="4"/>
    </row>
    <row r="3973" spans="1:54" x14ac:dyDescent="0.3">
      <c r="A3973" s="66"/>
      <c r="B3973" s="67"/>
      <c r="C3973" s="66"/>
      <c r="D3973" s="68"/>
      <c r="E3973" s="10"/>
      <c r="F3973" s="69"/>
      <c r="G3973" s="68"/>
      <c r="H3973" s="70"/>
      <c r="BA3973" s="4"/>
      <c r="BB3973" s="4"/>
    </row>
    <row r="3974" spans="1:54" x14ac:dyDescent="0.3">
      <c r="A3974" s="66"/>
      <c r="B3974" s="67"/>
      <c r="C3974" s="66"/>
      <c r="D3974" s="68"/>
      <c r="E3974" s="10"/>
      <c r="F3974" s="69"/>
      <c r="G3974" s="68"/>
      <c r="H3974" s="70"/>
      <c r="BA3974" s="4"/>
      <c r="BB3974" s="4"/>
    </row>
    <row r="3975" spans="1:54" x14ac:dyDescent="0.3">
      <c r="A3975" s="66"/>
      <c r="B3975" s="67"/>
      <c r="C3975" s="66"/>
      <c r="D3975" s="68"/>
      <c r="E3975" s="10"/>
      <c r="F3975" s="69"/>
      <c r="G3975" s="68"/>
      <c r="H3975" s="70"/>
      <c r="BA3975" s="4"/>
      <c r="BB3975" s="4"/>
    </row>
    <row r="3976" spans="1:54" x14ac:dyDescent="0.3">
      <c r="A3976" s="66"/>
      <c r="B3976" s="67"/>
      <c r="C3976" s="66"/>
      <c r="D3976" s="68"/>
      <c r="E3976" s="10"/>
      <c r="F3976" s="69"/>
      <c r="G3976" s="68"/>
      <c r="H3976" s="70"/>
      <c r="BA3976" s="4"/>
      <c r="BB3976" s="4"/>
    </row>
    <row r="3977" spans="1:54" x14ac:dyDescent="0.3">
      <c r="A3977" s="66"/>
      <c r="B3977" s="67"/>
      <c r="C3977" s="66"/>
      <c r="D3977" s="68"/>
      <c r="E3977" s="10"/>
      <c r="F3977" s="69"/>
      <c r="G3977" s="68"/>
      <c r="H3977" s="70"/>
      <c r="BA3977" s="4"/>
      <c r="BB3977" s="4"/>
    </row>
    <row r="3978" spans="1:54" x14ac:dyDescent="0.3">
      <c r="A3978" s="66"/>
      <c r="B3978" s="67"/>
      <c r="C3978" s="66"/>
      <c r="D3978" s="68"/>
      <c r="E3978" s="10"/>
      <c r="F3978" s="69"/>
      <c r="G3978" s="68"/>
      <c r="H3978" s="70"/>
      <c r="BA3978" s="4"/>
      <c r="BB3978" s="4"/>
    </row>
    <row r="3979" spans="1:54" x14ac:dyDescent="0.3">
      <c r="A3979" s="66"/>
      <c r="B3979" s="67"/>
      <c r="C3979" s="66"/>
      <c r="D3979" s="68"/>
      <c r="E3979" s="10"/>
      <c r="F3979" s="69"/>
      <c r="G3979" s="68"/>
      <c r="H3979" s="70"/>
      <c r="BA3979" s="4"/>
      <c r="BB3979" s="4"/>
    </row>
    <row r="3980" spans="1:54" x14ac:dyDescent="0.3">
      <c r="A3980" s="66"/>
      <c r="B3980" s="67"/>
      <c r="C3980" s="66"/>
      <c r="D3980" s="68"/>
      <c r="E3980" s="10"/>
      <c r="F3980" s="69"/>
      <c r="G3980" s="68"/>
      <c r="H3980" s="70"/>
      <c r="BA3980" s="4"/>
      <c r="BB3980" s="4"/>
    </row>
    <row r="3981" spans="1:54" x14ac:dyDescent="0.3">
      <c r="A3981" s="66"/>
      <c r="B3981" s="67"/>
      <c r="C3981" s="66"/>
      <c r="D3981" s="68"/>
      <c r="E3981" s="10"/>
      <c r="F3981" s="69"/>
      <c r="G3981" s="68"/>
      <c r="H3981" s="70"/>
      <c r="BA3981" s="4"/>
      <c r="BB3981" s="4"/>
    </row>
    <row r="3982" spans="1:54" x14ac:dyDescent="0.3">
      <c r="A3982" s="66"/>
      <c r="B3982" s="67"/>
      <c r="C3982" s="66"/>
      <c r="D3982" s="68"/>
      <c r="E3982" s="10"/>
      <c r="F3982" s="69"/>
      <c r="G3982" s="68"/>
      <c r="H3982" s="70"/>
      <c r="BA3982" s="4"/>
      <c r="BB3982" s="4"/>
    </row>
    <row r="3983" spans="1:54" x14ac:dyDescent="0.3">
      <c r="A3983" s="66"/>
      <c r="B3983" s="67"/>
      <c r="C3983" s="66"/>
      <c r="D3983" s="68"/>
      <c r="E3983" s="10"/>
      <c r="F3983" s="69"/>
      <c r="G3983" s="68"/>
      <c r="H3983" s="70"/>
      <c r="BA3983" s="4"/>
      <c r="BB3983" s="4"/>
    </row>
    <row r="3984" spans="1:54" x14ac:dyDescent="0.3">
      <c r="A3984" s="66"/>
      <c r="B3984" s="67"/>
      <c r="C3984" s="66"/>
      <c r="D3984" s="68"/>
      <c r="E3984" s="10"/>
      <c r="F3984" s="69"/>
      <c r="G3984" s="68"/>
      <c r="H3984" s="70"/>
      <c r="BA3984" s="4"/>
      <c r="BB3984" s="4"/>
    </row>
    <row r="3985" spans="1:54" x14ac:dyDescent="0.3">
      <c r="A3985" s="66"/>
      <c r="B3985" s="67"/>
      <c r="C3985" s="66"/>
      <c r="D3985" s="68"/>
      <c r="E3985" s="10"/>
      <c r="F3985" s="69"/>
      <c r="G3985" s="68"/>
      <c r="H3985" s="70"/>
      <c r="BA3985" s="4"/>
      <c r="BB3985" s="4"/>
    </row>
    <row r="3986" spans="1:54" x14ac:dyDescent="0.3">
      <c r="A3986" s="66"/>
      <c r="B3986" s="67"/>
      <c r="C3986" s="66"/>
      <c r="D3986" s="68"/>
      <c r="E3986" s="10"/>
      <c r="F3986" s="69"/>
      <c r="G3986" s="68"/>
      <c r="H3986" s="70"/>
      <c r="BA3986" s="4"/>
      <c r="BB3986" s="4"/>
    </row>
    <row r="3987" spans="1:54" x14ac:dyDescent="0.3">
      <c r="A3987" s="66"/>
      <c r="B3987" s="67"/>
      <c r="C3987" s="66"/>
      <c r="D3987" s="68"/>
      <c r="E3987" s="10"/>
      <c r="F3987" s="69"/>
      <c r="G3987" s="68"/>
      <c r="H3987" s="70"/>
      <c r="BA3987" s="4"/>
      <c r="BB3987" s="4"/>
    </row>
    <row r="3988" spans="1:54" x14ac:dyDescent="0.3">
      <c r="A3988" s="66"/>
      <c r="B3988" s="67"/>
      <c r="C3988" s="66"/>
      <c r="D3988" s="68"/>
      <c r="E3988" s="10"/>
      <c r="F3988" s="69"/>
      <c r="G3988" s="68"/>
      <c r="H3988" s="70"/>
      <c r="BA3988" s="4"/>
      <c r="BB3988" s="4"/>
    </row>
    <row r="3989" spans="1:54" x14ac:dyDescent="0.3">
      <c r="A3989" s="66"/>
      <c r="B3989" s="67"/>
      <c r="C3989" s="66"/>
      <c r="D3989" s="68"/>
      <c r="E3989" s="10"/>
      <c r="F3989" s="69"/>
      <c r="G3989" s="68"/>
      <c r="H3989" s="70"/>
      <c r="BA3989" s="4"/>
      <c r="BB3989" s="4"/>
    </row>
    <row r="3990" spans="1:54" x14ac:dyDescent="0.3">
      <c r="A3990" s="66"/>
      <c r="B3990" s="67"/>
      <c r="C3990" s="66"/>
      <c r="D3990" s="68"/>
      <c r="E3990" s="10"/>
      <c r="F3990" s="69"/>
      <c r="G3990" s="68"/>
      <c r="H3990" s="70"/>
      <c r="BA3990" s="4"/>
      <c r="BB3990" s="4"/>
    </row>
    <row r="3991" spans="1:54" x14ac:dyDescent="0.3">
      <c r="A3991" s="66"/>
      <c r="B3991" s="67"/>
      <c r="C3991" s="66"/>
      <c r="D3991" s="68"/>
      <c r="E3991" s="10"/>
      <c r="F3991" s="69"/>
      <c r="G3991" s="68"/>
      <c r="H3991" s="70"/>
      <c r="BA3991" s="4"/>
      <c r="BB3991" s="4"/>
    </row>
    <row r="3992" spans="1:54" x14ac:dyDescent="0.3">
      <c r="A3992" s="66"/>
      <c r="B3992" s="67"/>
      <c r="C3992" s="66"/>
      <c r="D3992" s="68"/>
      <c r="E3992" s="10"/>
      <c r="F3992" s="69"/>
      <c r="G3992" s="68"/>
      <c r="H3992" s="70"/>
      <c r="BA3992" s="4"/>
      <c r="BB3992" s="4"/>
    </row>
    <row r="3993" spans="1:54" x14ac:dyDescent="0.3">
      <c r="A3993" s="66"/>
      <c r="B3993" s="67"/>
      <c r="C3993" s="66"/>
      <c r="D3993" s="68"/>
      <c r="E3993" s="10"/>
      <c r="F3993" s="69"/>
      <c r="G3993" s="68"/>
      <c r="H3993" s="70"/>
      <c r="BA3993" s="4"/>
      <c r="BB3993" s="4"/>
    </row>
    <row r="3994" spans="1:54" x14ac:dyDescent="0.3">
      <c r="A3994" s="66"/>
      <c r="B3994" s="67"/>
      <c r="C3994" s="66"/>
      <c r="D3994" s="68"/>
      <c r="E3994" s="10"/>
      <c r="F3994" s="69"/>
      <c r="G3994" s="68"/>
      <c r="H3994" s="70"/>
      <c r="BA3994" s="4"/>
      <c r="BB3994" s="4"/>
    </row>
    <row r="3995" spans="1:54" x14ac:dyDescent="0.3">
      <c r="A3995" s="66"/>
      <c r="B3995" s="67"/>
      <c r="C3995" s="66"/>
      <c r="D3995" s="68"/>
      <c r="E3995" s="10"/>
      <c r="F3995" s="69"/>
      <c r="G3995" s="68"/>
      <c r="H3995" s="70"/>
      <c r="BA3995" s="4"/>
      <c r="BB3995" s="4"/>
    </row>
    <row r="3996" spans="1:54" x14ac:dyDescent="0.3">
      <c r="A3996" s="66"/>
      <c r="B3996" s="67"/>
      <c r="C3996" s="66"/>
      <c r="D3996" s="68"/>
      <c r="E3996" s="10"/>
      <c r="F3996" s="69"/>
      <c r="G3996" s="68"/>
      <c r="H3996" s="70"/>
      <c r="BA3996" s="4"/>
      <c r="BB3996" s="4"/>
    </row>
    <row r="3997" spans="1:54" x14ac:dyDescent="0.3">
      <c r="A3997" s="66"/>
      <c r="B3997" s="67"/>
      <c r="C3997" s="66"/>
      <c r="D3997" s="68"/>
      <c r="E3997" s="10"/>
      <c r="F3997" s="69"/>
      <c r="G3997" s="68"/>
      <c r="H3997" s="70"/>
      <c r="BA3997" s="4"/>
      <c r="BB3997" s="4"/>
    </row>
    <row r="3998" spans="1:54" x14ac:dyDescent="0.3">
      <c r="A3998" s="66"/>
      <c r="B3998" s="67"/>
      <c r="C3998" s="66"/>
      <c r="D3998" s="68"/>
      <c r="E3998" s="10"/>
      <c r="F3998" s="69"/>
      <c r="G3998" s="68"/>
      <c r="H3998" s="70"/>
      <c r="BA3998" s="4"/>
      <c r="BB3998" s="4"/>
    </row>
    <row r="3999" spans="1:54" x14ac:dyDescent="0.3">
      <c r="A3999" s="66"/>
      <c r="B3999" s="67"/>
      <c r="C3999" s="66"/>
      <c r="D3999" s="68"/>
      <c r="E3999" s="10"/>
      <c r="F3999" s="69"/>
      <c r="G3999" s="68"/>
      <c r="H3999" s="70"/>
      <c r="BA3999" s="4"/>
      <c r="BB3999" s="4"/>
    </row>
    <row r="4000" spans="1:54" x14ac:dyDescent="0.3">
      <c r="A4000" s="66"/>
      <c r="B4000" s="67"/>
      <c r="C4000" s="66"/>
      <c r="D4000" s="68"/>
      <c r="E4000" s="10"/>
      <c r="F4000" s="69"/>
      <c r="G4000" s="68"/>
      <c r="H4000" s="70"/>
      <c r="BA4000" s="4"/>
      <c r="BB4000" s="4"/>
    </row>
    <row r="4001" spans="1:54" x14ac:dyDescent="0.3">
      <c r="A4001" s="66"/>
      <c r="B4001" s="67"/>
      <c r="C4001" s="66"/>
      <c r="D4001" s="68"/>
      <c r="E4001" s="10"/>
      <c r="F4001" s="69"/>
      <c r="G4001" s="68"/>
      <c r="H4001" s="70"/>
      <c r="BA4001" s="4"/>
      <c r="BB4001" s="4"/>
    </row>
    <row r="4002" spans="1:54" x14ac:dyDescent="0.3">
      <c r="A4002" s="66"/>
      <c r="B4002" s="67"/>
      <c r="C4002" s="66"/>
      <c r="D4002" s="68"/>
      <c r="E4002" s="10"/>
      <c r="F4002" s="69"/>
      <c r="G4002" s="68"/>
      <c r="H4002" s="70"/>
      <c r="BA4002" s="4"/>
      <c r="BB4002" s="4"/>
    </row>
    <row r="4003" spans="1:54" x14ac:dyDescent="0.3">
      <c r="A4003" s="66"/>
      <c r="B4003" s="67"/>
      <c r="C4003" s="66"/>
      <c r="D4003" s="68"/>
      <c r="E4003" s="10"/>
      <c r="F4003" s="69"/>
      <c r="G4003" s="68"/>
      <c r="H4003" s="70"/>
      <c r="BA4003" s="4"/>
      <c r="BB4003" s="4"/>
    </row>
    <row r="4004" spans="1:54" x14ac:dyDescent="0.3">
      <c r="A4004" s="66"/>
      <c r="B4004" s="67"/>
      <c r="C4004" s="66"/>
      <c r="D4004" s="68"/>
      <c r="E4004" s="10"/>
      <c r="F4004" s="69"/>
      <c r="G4004" s="68"/>
      <c r="H4004" s="70"/>
      <c r="BA4004" s="4"/>
      <c r="BB4004" s="4"/>
    </row>
    <row r="4005" spans="1:54" x14ac:dyDescent="0.3">
      <c r="A4005" s="66"/>
      <c r="B4005" s="67"/>
      <c r="C4005" s="66"/>
      <c r="D4005" s="68"/>
      <c r="E4005" s="10"/>
      <c r="F4005" s="69"/>
      <c r="G4005" s="68"/>
      <c r="H4005" s="70"/>
      <c r="BA4005" s="4"/>
      <c r="BB4005" s="4"/>
    </row>
    <row r="4006" spans="1:54" x14ac:dyDescent="0.3">
      <c r="A4006" s="66"/>
      <c r="B4006" s="67"/>
      <c r="C4006" s="66"/>
      <c r="D4006" s="68"/>
      <c r="E4006" s="10"/>
      <c r="F4006" s="69"/>
      <c r="G4006" s="68"/>
      <c r="H4006" s="70"/>
      <c r="BA4006" s="4"/>
      <c r="BB4006" s="4"/>
    </row>
    <row r="4007" spans="1:54" x14ac:dyDescent="0.3">
      <c r="A4007" s="66"/>
      <c r="B4007" s="67"/>
      <c r="C4007" s="66"/>
      <c r="D4007" s="68"/>
      <c r="E4007" s="10"/>
      <c r="F4007" s="69"/>
      <c r="G4007" s="68"/>
      <c r="H4007" s="70"/>
      <c r="BA4007" s="4"/>
      <c r="BB4007" s="4"/>
    </row>
    <row r="4008" spans="1:54" x14ac:dyDescent="0.3">
      <c r="A4008" s="66"/>
      <c r="B4008" s="67"/>
      <c r="C4008" s="66"/>
      <c r="D4008" s="68"/>
      <c r="E4008" s="10"/>
      <c r="F4008" s="69"/>
      <c r="G4008" s="68"/>
      <c r="H4008" s="70"/>
      <c r="BA4008" s="4"/>
      <c r="BB4008" s="4"/>
    </row>
    <row r="4009" spans="1:54" x14ac:dyDescent="0.3">
      <c r="A4009" s="66"/>
      <c r="B4009" s="67"/>
      <c r="C4009" s="66"/>
      <c r="D4009" s="68"/>
      <c r="E4009" s="10"/>
      <c r="F4009" s="69"/>
      <c r="G4009" s="68"/>
      <c r="H4009" s="70"/>
      <c r="BA4009" s="4"/>
      <c r="BB4009" s="4"/>
    </row>
    <row r="4010" spans="1:54" x14ac:dyDescent="0.3">
      <c r="A4010" s="66"/>
      <c r="B4010" s="67"/>
      <c r="C4010" s="66"/>
      <c r="D4010" s="68"/>
      <c r="E4010" s="10"/>
      <c r="F4010" s="69"/>
      <c r="G4010" s="68"/>
      <c r="H4010" s="70"/>
      <c r="BA4010" s="4"/>
      <c r="BB4010" s="4"/>
    </row>
    <row r="4011" spans="1:54" x14ac:dyDescent="0.3">
      <c r="A4011" s="66"/>
      <c r="B4011" s="67"/>
      <c r="C4011" s="66"/>
      <c r="D4011" s="68"/>
      <c r="E4011" s="10"/>
      <c r="F4011" s="69"/>
      <c r="G4011" s="68"/>
      <c r="H4011" s="70"/>
      <c r="BA4011" s="4"/>
      <c r="BB4011" s="4"/>
    </row>
    <row r="4012" spans="1:54" x14ac:dyDescent="0.3">
      <c r="A4012" s="66"/>
      <c r="B4012" s="67"/>
      <c r="C4012" s="66"/>
      <c r="D4012" s="68"/>
      <c r="E4012" s="10"/>
      <c r="F4012" s="69"/>
      <c r="G4012" s="68"/>
      <c r="H4012" s="70"/>
      <c r="BA4012" s="4"/>
      <c r="BB4012" s="4"/>
    </row>
    <row r="4013" spans="1:54" x14ac:dyDescent="0.3">
      <c r="A4013" s="66"/>
      <c r="B4013" s="67"/>
      <c r="C4013" s="66"/>
      <c r="D4013" s="68"/>
      <c r="E4013" s="10"/>
      <c r="F4013" s="69"/>
      <c r="G4013" s="68"/>
      <c r="H4013" s="70"/>
      <c r="BA4013" s="4"/>
      <c r="BB4013" s="4"/>
    </row>
    <row r="4014" spans="1:54" x14ac:dyDescent="0.3">
      <c r="A4014" s="66"/>
      <c r="B4014" s="67"/>
      <c r="C4014" s="66"/>
      <c r="D4014" s="68"/>
      <c r="E4014" s="10"/>
      <c r="F4014" s="69"/>
      <c r="G4014" s="68"/>
      <c r="H4014" s="70"/>
      <c r="BA4014" s="4"/>
      <c r="BB4014" s="4"/>
    </row>
    <row r="4015" spans="1:54" x14ac:dyDescent="0.3">
      <c r="A4015" s="66"/>
      <c r="B4015" s="67"/>
      <c r="C4015" s="66"/>
      <c r="D4015" s="68"/>
      <c r="E4015" s="10"/>
      <c r="F4015" s="69"/>
      <c r="G4015" s="68"/>
      <c r="H4015" s="70"/>
      <c r="BA4015" s="4"/>
      <c r="BB4015" s="4"/>
    </row>
    <row r="4016" spans="1:54" x14ac:dyDescent="0.3">
      <c r="A4016" s="66"/>
      <c r="B4016" s="67"/>
      <c r="C4016" s="66"/>
      <c r="D4016" s="68"/>
      <c r="E4016" s="10"/>
      <c r="F4016" s="69"/>
      <c r="G4016" s="68"/>
      <c r="H4016" s="70"/>
      <c r="BA4016" s="4"/>
      <c r="BB4016" s="4"/>
    </row>
    <row r="4017" spans="1:54" x14ac:dyDescent="0.3">
      <c r="A4017" s="66"/>
      <c r="B4017" s="67"/>
      <c r="C4017" s="66"/>
      <c r="D4017" s="68"/>
      <c r="E4017" s="10"/>
      <c r="F4017" s="69"/>
      <c r="G4017" s="68"/>
      <c r="H4017" s="70"/>
      <c r="BA4017" s="4"/>
      <c r="BB4017" s="4"/>
    </row>
    <row r="4018" spans="1:54" x14ac:dyDescent="0.3">
      <c r="A4018" s="66"/>
      <c r="B4018" s="67"/>
      <c r="C4018" s="66"/>
      <c r="D4018" s="68"/>
      <c r="E4018" s="10"/>
      <c r="F4018" s="69"/>
      <c r="G4018" s="68"/>
      <c r="H4018" s="70"/>
      <c r="BA4018" s="4"/>
      <c r="BB4018" s="4"/>
    </row>
    <row r="4019" spans="1:54" x14ac:dyDescent="0.3">
      <c r="A4019" s="66"/>
      <c r="B4019" s="67"/>
      <c r="C4019" s="66"/>
      <c r="D4019" s="68"/>
      <c r="E4019" s="10"/>
      <c r="F4019" s="69"/>
      <c r="G4019" s="68"/>
      <c r="H4019" s="70"/>
      <c r="BA4019" s="4"/>
      <c r="BB4019" s="4"/>
    </row>
    <row r="4020" spans="1:54" x14ac:dyDescent="0.3">
      <c r="A4020" s="66"/>
      <c r="B4020" s="67"/>
      <c r="C4020" s="66"/>
      <c r="D4020" s="68"/>
      <c r="E4020" s="10"/>
      <c r="F4020" s="69"/>
      <c r="G4020" s="68"/>
      <c r="H4020" s="70"/>
      <c r="BA4020" s="4"/>
      <c r="BB4020" s="4"/>
    </row>
    <row r="4021" spans="1:54" x14ac:dyDescent="0.3">
      <c r="A4021" s="66"/>
      <c r="B4021" s="67"/>
      <c r="C4021" s="66"/>
      <c r="D4021" s="68"/>
      <c r="E4021" s="10"/>
      <c r="F4021" s="69"/>
      <c r="G4021" s="68"/>
      <c r="H4021" s="70"/>
      <c r="BA4021" s="4"/>
      <c r="BB4021" s="4"/>
    </row>
    <row r="4022" spans="1:54" x14ac:dyDescent="0.3">
      <c r="A4022" s="66"/>
      <c r="B4022" s="67"/>
      <c r="C4022" s="66"/>
      <c r="D4022" s="68"/>
      <c r="E4022" s="10"/>
      <c r="F4022" s="69"/>
      <c r="G4022" s="68"/>
      <c r="H4022" s="70"/>
      <c r="BA4022" s="4"/>
      <c r="BB4022" s="4"/>
    </row>
    <row r="4023" spans="1:54" x14ac:dyDescent="0.3">
      <c r="A4023" s="66"/>
      <c r="B4023" s="67"/>
      <c r="C4023" s="66"/>
      <c r="D4023" s="68"/>
      <c r="E4023" s="10"/>
      <c r="F4023" s="69"/>
      <c r="G4023" s="68"/>
      <c r="H4023" s="70"/>
      <c r="BA4023" s="4"/>
      <c r="BB4023" s="4"/>
    </row>
    <row r="4024" spans="1:54" x14ac:dyDescent="0.3">
      <c r="A4024" s="66"/>
      <c r="B4024" s="67"/>
      <c r="C4024" s="66"/>
      <c r="D4024" s="68"/>
      <c r="E4024" s="10"/>
      <c r="F4024" s="69"/>
      <c r="G4024" s="68"/>
      <c r="H4024" s="70"/>
      <c r="BA4024" s="4"/>
      <c r="BB4024" s="4"/>
    </row>
    <row r="4025" spans="1:54" x14ac:dyDescent="0.3">
      <c r="A4025" s="66"/>
      <c r="B4025" s="67"/>
      <c r="C4025" s="66"/>
      <c r="D4025" s="68"/>
      <c r="E4025" s="10"/>
      <c r="F4025" s="69"/>
      <c r="G4025" s="68"/>
      <c r="H4025" s="70"/>
      <c r="BA4025" s="4"/>
      <c r="BB4025" s="4"/>
    </row>
    <row r="4026" spans="1:54" x14ac:dyDescent="0.3">
      <c r="A4026" s="66"/>
      <c r="B4026" s="67"/>
      <c r="C4026" s="66"/>
      <c r="D4026" s="68"/>
      <c r="E4026" s="10"/>
      <c r="F4026" s="69"/>
      <c r="G4026" s="68"/>
      <c r="H4026" s="70"/>
      <c r="BA4026" s="4"/>
      <c r="BB4026" s="4"/>
    </row>
    <row r="4027" spans="1:54" x14ac:dyDescent="0.3">
      <c r="A4027" s="66"/>
      <c r="B4027" s="67"/>
      <c r="C4027" s="66"/>
      <c r="D4027" s="68"/>
      <c r="E4027" s="10"/>
      <c r="F4027" s="69"/>
      <c r="G4027" s="68"/>
      <c r="H4027" s="70"/>
      <c r="BA4027" s="4"/>
      <c r="BB4027" s="4"/>
    </row>
    <row r="4028" spans="1:54" x14ac:dyDescent="0.3">
      <c r="A4028" s="66"/>
      <c r="B4028" s="67"/>
      <c r="C4028" s="66"/>
      <c r="D4028" s="68"/>
      <c r="E4028" s="10"/>
      <c r="F4028" s="69"/>
      <c r="G4028" s="68"/>
      <c r="H4028" s="70"/>
      <c r="BA4028" s="4"/>
      <c r="BB4028" s="4"/>
    </row>
    <row r="4029" spans="1:54" x14ac:dyDescent="0.3">
      <c r="A4029" s="66"/>
      <c r="B4029" s="67"/>
      <c r="C4029" s="66"/>
      <c r="D4029" s="68"/>
      <c r="E4029" s="10"/>
      <c r="F4029" s="69"/>
      <c r="G4029" s="68"/>
      <c r="H4029" s="70"/>
      <c r="BA4029" s="4"/>
      <c r="BB4029" s="4"/>
    </row>
    <row r="4030" spans="1:54" x14ac:dyDescent="0.3">
      <c r="A4030" s="66"/>
      <c r="B4030" s="67"/>
      <c r="C4030" s="66"/>
      <c r="D4030" s="68"/>
      <c r="E4030" s="10"/>
      <c r="F4030" s="69"/>
      <c r="G4030" s="68"/>
      <c r="H4030" s="70"/>
      <c r="BA4030" s="4"/>
      <c r="BB4030" s="4"/>
    </row>
    <row r="4031" spans="1:54" x14ac:dyDescent="0.3">
      <c r="A4031" s="66"/>
      <c r="B4031" s="67"/>
      <c r="C4031" s="66"/>
      <c r="D4031" s="68"/>
      <c r="E4031" s="10"/>
      <c r="F4031" s="69"/>
      <c r="G4031" s="68"/>
      <c r="H4031" s="70"/>
      <c r="BA4031" s="4"/>
      <c r="BB4031" s="4"/>
    </row>
    <row r="4032" spans="1:54" x14ac:dyDescent="0.3">
      <c r="A4032" s="66"/>
      <c r="B4032" s="67"/>
      <c r="C4032" s="66"/>
      <c r="D4032" s="68"/>
      <c r="E4032" s="10"/>
      <c r="F4032" s="69"/>
      <c r="G4032" s="68"/>
      <c r="H4032" s="70"/>
      <c r="BA4032" s="4"/>
      <c r="BB4032" s="4"/>
    </row>
    <row r="4033" spans="1:54" x14ac:dyDescent="0.3">
      <c r="A4033" s="66"/>
      <c r="B4033" s="67"/>
      <c r="C4033" s="66"/>
      <c r="D4033" s="68"/>
      <c r="E4033" s="10"/>
      <c r="F4033" s="69"/>
      <c r="G4033" s="68"/>
      <c r="H4033" s="70"/>
      <c r="BA4033" s="4"/>
      <c r="BB4033" s="4"/>
    </row>
    <row r="4034" spans="1:54" x14ac:dyDescent="0.3">
      <c r="A4034" s="66"/>
      <c r="B4034" s="67"/>
      <c r="C4034" s="66"/>
      <c r="D4034" s="68"/>
      <c r="E4034" s="10"/>
      <c r="F4034" s="69"/>
      <c r="G4034" s="68"/>
      <c r="H4034" s="70"/>
      <c r="BA4034" s="4"/>
      <c r="BB4034" s="4"/>
    </row>
    <row r="4035" spans="1:54" x14ac:dyDescent="0.3">
      <c r="A4035" s="66"/>
      <c r="B4035" s="67"/>
      <c r="C4035" s="66"/>
      <c r="D4035" s="68"/>
      <c r="E4035" s="10"/>
      <c r="F4035" s="69"/>
      <c r="G4035" s="68"/>
      <c r="H4035" s="70"/>
      <c r="BA4035" s="4"/>
      <c r="BB4035" s="4"/>
    </row>
    <row r="4036" spans="1:54" x14ac:dyDescent="0.3">
      <c r="A4036" s="66"/>
      <c r="B4036" s="67"/>
      <c r="C4036" s="66"/>
      <c r="D4036" s="68"/>
      <c r="E4036" s="10"/>
      <c r="F4036" s="69"/>
      <c r="G4036" s="68"/>
      <c r="H4036" s="70"/>
      <c r="BA4036" s="4"/>
      <c r="BB4036" s="4"/>
    </row>
    <row r="4037" spans="1:54" x14ac:dyDescent="0.3">
      <c r="A4037" s="66"/>
      <c r="B4037" s="67"/>
      <c r="C4037" s="66"/>
      <c r="D4037" s="68"/>
      <c r="E4037" s="10"/>
      <c r="F4037" s="69"/>
      <c r="G4037" s="68"/>
      <c r="H4037" s="70"/>
      <c r="BA4037" s="4"/>
      <c r="BB4037" s="4"/>
    </row>
    <row r="4038" spans="1:54" x14ac:dyDescent="0.3">
      <c r="A4038" s="66"/>
      <c r="B4038" s="67"/>
      <c r="C4038" s="66"/>
      <c r="D4038" s="68"/>
      <c r="E4038" s="10"/>
      <c r="F4038" s="69"/>
      <c r="G4038" s="68"/>
      <c r="H4038" s="70"/>
      <c r="BA4038" s="4"/>
      <c r="BB4038" s="4"/>
    </row>
    <row r="4039" spans="1:54" x14ac:dyDescent="0.3">
      <c r="A4039" s="66"/>
      <c r="B4039" s="67"/>
      <c r="C4039" s="66"/>
      <c r="D4039" s="68"/>
      <c r="E4039" s="10"/>
      <c r="F4039" s="69"/>
      <c r="G4039" s="68"/>
      <c r="H4039" s="70"/>
      <c r="BA4039" s="4"/>
      <c r="BB4039" s="4"/>
    </row>
    <row r="4040" spans="1:54" x14ac:dyDescent="0.3">
      <c r="A4040" s="66"/>
      <c r="B4040" s="67"/>
      <c r="C4040" s="66"/>
      <c r="D4040" s="68"/>
      <c r="E4040" s="10"/>
      <c r="F4040" s="69"/>
      <c r="G4040" s="68"/>
      <c r="H4040" s="70"/>
      <c r="BA4040" s="4"/>
      <c r="BB4040" s="4"/>
    </row>
    <row r="4041" spans="1:54" x14ac:dyDescent="0.3">
      <c r="A4041" s="66"/>
      <c r="B4041" s="67"/>
      <c r="C4041" s="66"/>
      <c r="D4041" s="68"/>
      <c r="E4041" s="10"/>
      <c r="F4041" s="69"/>
      <c r="G4041" s="68"/>
      <c r="H4041" s="70"/>
      <c r="BA4041" s="4"/>
      <c r="BB4041" s="4"/>
    </row>
    <row r="4042" spans="1:54" x14ac:dyDescent="0.3">
      <c r="A4042" s="66"/>
      <c r="B4042" s="67"/>
      <c r="C4042" s="66"/>
      <c r="D4042" s="68"/>
      <c r="E4042" s="10"/>
      <c r="F4042" s="69"/>
      <c r="G4042" s="68"/>
      <c r="H4042" s="70"/>
      <c r="BA4042" s="4"/>
      <c r="BB4042" s="4"/>
    </row>
    <row r="4043" spans="1:54" x14ac:dyDescent="0.3">
      <c r="A4043" s="66"/>
      <c r="B4043" s="67"/>
      <c r="C4043" s="66"/>
      <c r="D4043" s="68"/>
      <c r="E4043" s="10"/>
      <c r="F4043" s="69"/>
      <c r="G4043" s="68"/>
      <c r="H4043" s="70"/>
      <c r="BA4043" s="4"/>
      <c r="BB4043" s="4"/>
    </row>
    <row r="4044" spans="1:54" x14ac:dyDescent="0.3">
      <c r="A4044" s="66"/>
      <c r="B4044" s="67"/>
      <c r="C4044" s="66"/>
      <c r="D4044" s="68"/>
      <c r="E4044" s="10"/>
      <c r="F4044" s="69"/>
      <c r="G4044" s="68"/>
      <c r="H4044" s="70"/>
      <c r="BA4044" s="4"/>
      <c r="BB4044" s="4"/>
    </row>
    <row r="4045" spans="1:54" x14ac:dyDescent="0.3">
      <c r="A4045" s="66"/>
      <c r="B4045" s="67"/>
      <c r="C4045" s="66"/>
      <c r="D4045" s="68"/>
      <c r="E4045" s="10"/>
      <c r="F4045" s="69"/>
      <c r="G4045" s="68"/>
      <c r="H4045" s="70"/>
      <c r="BA4045" s="4"/>
      <c r="BB4045" s="4"/>
    </row>
    <row r="4046" spans="1:54" x14ac:dyDescent="0.3">
      <c r="A4046" s="66"/>
      <c r="B4046" s="67"/>
      <c r="C4046" s="66"/>
      <c r="D4046" s="68"/>
      <c r="E4046" s="10"/>
      <c r="F4046" s="69"/>
      <c r="G4046" s="68"/>
      <c r="H4046" s="70"/>
      <c r="BA4046" s="4"/>
      <c r="BB4046" s="4"/>
    </row>
    <row r="4047" spans="1:54" x14ac:dyDescent="0.3">
      <c r="A4047" s="66"/>
      <c r="B4047" s="67"/>
      <c r="C4047" s="66"/>
      <c r="D4047" s="68"/>
      <c r="E4047" s="10"/>
      <c r="F4047" s="69"/>
      <c r="G4047" s="68"/>
      <c r="H4047" s="70"/>
      <c r="BA4047" s="4"/>
      <c r="BB4047" s="4"/>
    </row>
    <row r="4048" spans="1:54" x14ac:dyDescent="0.3">
      <c r="A4048" s="66"/>
      <c r="B4048" s="67"/>
      <c r="C4048" s="66"/>
      <c r="D4048" s="68"/>
      <c r="E4048" s="10"/>
      <c r="F4048" s="69"/>
      <c r="G4048" s="68"/>
      <c r="H4048" s="70"/>
      <c r="BA4048" s="4"/>
      <c r="BB4048" s="4"/>
    </row>
    <row r="4049" spans="1:54" x14ac:dyDescent="0.3">
      <c r="A4049" s="66"/>
      <c r="B4049" s="67"/>
      <c r="C4049" s="66"/>
      <c r="D4049" s="68"/>
      <c r="E4049" s="10"/>
      <c r="F4049" s="69"/>
      <c r="G4049" s="68"/>
      <c r="H4049" s="70"/>
      <c r="BA4049" s="4"/>
      <c r="BB4049" s="4"/>
    </row>
    <row r="4050" spans="1:54" x14ac:dyDescent="0.3">
      <c r="A4050" s="66"/>
      <c r="B4050" s="67"/>
      <c r="C4050" s="66"/>
      <c r="D4050" s="68"/>
      <c r="E4050" s="10"/>
      <c r="F4050" s="69"/>
      <c r="G4050" s="68"/>
      <c r="H4050" s="70"/>
      <c r="BA4050" s="4"/>
      <c r="BB4050" s="4"/>
    </row>
    <row r="4051" spans="1:54" x14ac:dyDescent="0.3">
      <c r="A4051" s="66"/>
      <c r="B4051" s="67"/>
      <c r="C4051" s="66"/>
      <c r="D4051" s="68"/>
      <c r="E4051" s="10"/>
      <c r="F4051" s="69"/>
      <c r="G4051" s="68"/>
      <c r="H4051" s="70"/>
      <c r="BA4051" s="4"/>
      <c r="BB4051" s="4"/>
    </row>
    <row r="4052" spans="1:54" x14ac:dyDescent="0.3">
      <c r="A4052" s="66"/>
      <c r="B4052" s="67"/>
      <c r="C4052" s="66"/>
      <c r="D4052" s="68"/>
      <c r="E4052" s="10"/>
      <c r="F4052" s="69"/>
      <c r="G4052" s="68"/>
      <c r="H4052" s="70"/>
      <c r="BA4052" s="4"/>
      <c r="BB4052" s="4"/>
    </row>
    <row r="4053" spans="1:54" x14ac:dyDescent="0.3">
      <c r="A4053" s="66"/>
      <c r="B4053" s="67"/>
      <c r="C4053" s="66"/>
      <c r="D4053" s="68"/>
      <c r="E4053" s="10"/>
      <c r="F4053" s="69"/>
      <c r="G4053" s="68"/>
      <c r="H4053" s="70"/>
      <c r="BA4053" s="4"/>
      <c r="BB4053" s="4"/>
    </row>
    <row r="4054" spans="1:54" x14ac:dyDescent="0.3">
      <c r="A4054" s="66"/>
      <c r="B4054" s="67"/>
      <c r="C4054" s="66"/>
      <c r="D4054" s="68"/>
      <c r="E4054" s="10"/>
      <c r="F4054" s="69"/>
      <c r="G4054" s="68"/>
      <c r="H4054" s="70"/>
      <c r="BA4054" s="4"/>
      <c r="BB4054" s="4"/>
    </row>
    <row r="4055" spans="1:54" x14ac:dyDescent="0.3">
      <c r="A4055" s="66"/>
      <c r="B4055" s="67"/>
      <c r="C4055" s="66"/>
      <c r="D4055" s="68"/>
      <c r="E4055" s="10"/>
      <c r="F4055" s="69"/>
      <c r="G4055" s="68"/>
      <c r="H4055" s="70"/>
      <c r="BA4055" s="4"/>
      <c r="BB4055" s="4"/>
    </row>
    <row r="4056" spans="1:54" x14ac:dyDescent="0.3">
      <c r="A4056" s="66"/>
      <c r="B4056" s="67"/>
      <c r="C4056" s="66"/>
      <c r="D4056" s="68"/>
      <c r="E4056" s="10"/>
      <c r="F4056" s="69"/>
      <c r="G4056" s="68"/>
      <c r="H4056" s="70"/>
      <c r="BA4056" s="4"/>
      <c r="BB4056" s="4"/>
    </row>
    <row r="4057" spans="1:54" x14ac:dyDescent="0.3">
      <c r="A4057" s="66"/>
      <c r="B4057" s="67"/>
      <c r="C4057" s="66"/>
      <c r="D4057" s="68"/>
      <c r="E4057" s="10"/>
      <c r="F4057" s="69"/>
      <c r="G4057" s="68"/>
      <c r="H4057" s="70"/>
      <c r="BA4057" s="4"/>
      <c r="BB4057" s="4"/>
    </row>
    <row r="4058" spans="1:54" x14ac:dyDescent="0.3">
      <c r="A4058" s="66"/>
      <c r="B4058" s="67"/>
      <c r="C4058" s="66"/>
      <c r="D4058" s="68"/>
      <c r="E4058" s="10"/>
      <c r="F4058" s="69"/>
      <c r="G4058" s="68"/>
      <c r="H4058" s="70"/>
      <c r="BA4058" s="4"/>
      <c r="BB4058" s="4"/>
    </row>
    <row r="4059" spans="1:54" x14ac:dyDescent="0.3">
      <c r="A4059" s="66"/>
      <c r="B4059" s="67"/>
      <c r="C4059" s="66"/>
      <c r="D4059" s="68"/>
      <c r="E4059" s="10"/>
      <c r="F4059" s="69"/>
      <c r="G4059" s="68"/>
      <c r="H4059" s="70"/>
      <c r="BA4059" s="4"/>
      <c r="BB4059" s="4"/>
    </row>
    <row r="4060" spans="1:54" x14ac:dyDescent="0.3">
      <c r="A4060" s="66"/>
      <c r="B4060" s="67"/>
      <c r="C4060" s="66"/>
      <c r="D4060" s="68"/>
      <c r="E4060" s="10"/>
      <c r="F4060" s="69"/>
      <c r="G4060" s="68"/>
      <c r="H4060" s="70"/>
      <c r="BA4060" s="4"/>
      <c r="BB4060" s="4"/>
    </row>
    <row r="4061" spans="1:54" x14ac:dyDescent="0.3">
      <c r="A4061" s="66"/>
      <c r="B4061" s="67"/>
      <c r="C4061" s="66"/>
      <c r="D4061" s="68"/>
      <c r="E4061" s="10"/>
      <c r="F4061" s="69"/>
      <c r="G4061" s="68"/>
      <c r="H4061" s="70"/>
      <c r="BA4061" s="4"/>
      <c r="BB4061" s="4"/>
    </row>
    <row r="4062" spans="1:54" x14ac:dyDescent="0.3">
      <c r="A4062" s="66"/>
      <c r="B4062" s="67"/>
      <c r="C4062" s="66"/>
      <c r="D4062" s="68"/>
      <c r="E4062" s="10"/>
      <c r="F4062" s="69"/>
      <c r="G4062" s="68"/>
      <c r="H4062" s="70"/>
      <c r="BA4062" s="4"/>
      <c r="BB4062" s="4"/>
    </row>
    <row r="4063" spans="1:54" x14ac:dyDescent="0.3">
      <c r="A4063" s="66"/>
      <c r="B4063" s="67"/>
      <c r="C4063" s="66"/>
      <c r="D4063" s="68"/>
      <c r="E4063" s="10"/>
      <c r="F4063" s="69"/>
      <c r="G4063" s="68"/>
      <c r="H4063" s="70"/>
      <c r="BA4063" s="4"/>
      <c r="BB4063" s="4"/>
    </row>
    <row r="4064" spans="1:54" x14ac:dyDescent="0.3">
      <c r="A4064" s="66"/>
      <c r="B4064" s="67"/>
      <c r="C4064" s="66"/>
      <c r="D4064" s="68"/>
      <c r="E4064" s="10"/>
      <c r="F4064" s="69"/>
      <c r="G4064" s="68"/>
      <c r="H4064" s="70"/>
      <c r="BA4064" s="4"/>
      <c r="BB4064" s="4"/>
    </row>
    <row r="4065" spans="1:54" x14ac:dyDescent="0.3">
      <c r="A4065" s="66"/>
      <c r="B4065" s="67"/>
      <c r="C4065" s="66"/>
      <c r="D4065" s="68"/>
      <c r="E4065" s="10"/>
      <c r="F4065" s="69"/>
      <c r="G4065" s="68"/>
      <c r="H4065" s="70"/>
      <c r="BA4065" s="4"/>
      <c r="BB4065" s="4"/>
    </row>
    <row r="4066" spans="1:54" x14ac:dyDescent="0.3">
      <c r="A4066" s="66"/>
      <c r="B4066" s="67"/>
      <c r="C4066" s="66"/>
      <c r="D4066" s="68"/>
      <c r="E4066" s="10"/>
      <c r="F4066" s="69"/>
      <c r="G4066" s="68"/>
      <c r="H4066" s="70"/>
      <c r="BA4066" s="4"/>
      <c r="BB4066" s="4"/>
    </row>
    <row r="4067" spans="1:54" x14ac:dyDescent="0.3">
      <c r="A4067" s="66"/>
      <c r="B4067" s="67"/>
      <c r="C4067" s="66"/>
      <c r="D4067" s="68"/>
      <c r="E4067" s="10"/>
      <c r="F4067" s="69"/>
      <c r="G4067" s="68"/>
      <c r="H4067" s="70"/>
      <c r="BA4067" s="4"/>
      <c r="BB4067" s="4"/>
    </row>
    <row r="4068" spans="1:54" x14ac:dyDescent="0.3">
      <c r="A4068" s="66"/>
      <c r="B4068" s="67"/>
      <c r="C4068" s="66"/>
      <c r="D4068" s="68"/>
      <c r="E4068" s="10"/>
      <c r="F4068" s="69"/>
      <c r="G4068" s="68"/>
      <c r="H4068" s="70"/>
      <c r="BA4068" s="4"/>
      <c r="BB4068" s="4"/>
    </row>
    <row r="4069" spans="1:54" x14ac:dyDescent="0.3">
      <c r="A4069" s="66"/>
      <c r="B4069" s="67"/>
      <c r="C4069" s="66"/>
      <c r="D4069" s="68"/>
      <c r="E4069" s="10"/>
      <c r="F4069" s="69"/>
      <c r="G4069" s="68"/>
      <c r="H4069" s="70"/>
      <c r="BA4069" s="4"/>
      <c r="BB4069" s="4"/>
    </row>
    <row r="4070" spans="1:54" x14ac:dyDescent="0.3">
      <c r="A4070" s="66"/>
      <c r="B4070" s="67"/>
      <c r="C4070" s="66"/>
      <c r="D4070" s="68"/>
      <c r="E4070" s="10"/>
      <c r="F4070" s="69"/>
      <c r="G4070" s="68"/>
      <c r="H4070" s="70"/>
      <c r="BA4070" s="4"/>
      <c r="BB4070" s="4"/>
    </row>
    <row r="4071" spans="1:54" x14ac:dyDescent="0.3">
      <c r="A4071" s="66"/>
      <c r="B4071" s="67"/>
      <c r="C4071" s="66"/>
      <c r="D4071" s="68"/>
      <c r="E4071" s="10"/>
      <c r="F4071" s="69"/>
      <c r="G4071" s="68"/>
      <c r="H4071" s="70"/>
      <c r="BA4071" s="4"/>
      <c r="BB4071" s="4"/>
    </row>
    <row r="4072" spans="1:54" x14ac:dyDescent="0.3">
      <c r="A4072" s="66"/>
      <c r="B4072" s="67"/>
      <c r="C4072" s="66"/>
      <c r="D4072" s="68"/>
      <c r="E4072" s="10"/>
      <c r="F4072" s="69"/>
      <c r="G4072" s="68"/>
      <c r="H4072" s="70"/>
      <c r="BA4072" s="4"/>
      <c r="BB4072" s="4"/>
    </row>
    <row r="4073" spans="1:54" x14ac:dyDescent="0.3">
      <c r="A4073" s="66"/>
      <c r="B4073" s="67"/>
      <c r="C4073" s="66"/>
      <c r="D4073" s="68"/>
      <c r="E4073" s="10"/>
      <c r="F4073" s="69"/>
      <c r="G4073" s="68"/>
      <c r="H4073" s="70"/>
      <c r="BA4073" s="4"/>
      <c r="BB4073" s="4"/>
    </row>
    <row r="4074" spans="1:54" x14ac:dyDescent="0.3">
      <c r="A4074" s="66"/>
      <c r="B4074" s="67"/>
      <c r="C4074" s="66"/>
      <c r="D4074" s="68"/>
      <c r="E4074" s="10"/>
      <c r="F4074" s="69"/>
      <c r="G4074" s="68"/>
      <c r="H4074" s="70"/>
      <c r="BA4074" s="4"/>
      <c r="BB4074" s="4"/>
    </row>
    <row r="4075" spans="1:54" x14ac:dyDescent="0.3">
      <c r="A4075" s="66"/>
      <c r="B4075" s="67"/>
      <c r="C4075" s="66"/>
      <c r="D4075" s="68"/>
      <c r="E4075" s="10"/>
      <c r="F4075" s="69"/>
      <c r="G4075" s="68"/>
      <c r="H4075" s="70"/>
      <c r="BA4075" s="4"/>
      <c r="BB4075" s="4"/>
    </row>
    <row r="4076" spans="1:54" x14ac:dyDescent="0.3">
      <c r="A4076" s="66"/>
      <c r="B4076" s="67"/>
      <c r="C4076" s="66"/>
      <c r="D4076" s="68"/>
      <c r="E4076" s="10"/>
      <c r="F4076" s="69"/>
      <c r="G4076" s="68"/>
      <c r="H4076" s="70"/>
      <c r="BA4076" s="4"/>
      <c r="BB4076" s="4"/>
    </row>
    <row r="4077" spans="1:54" x14ac:dyDescent="0.3">
      <c r="A4077" s="66"/>
      <c r="B4077" s="67"/>
      <c r="C4077" s="66"/>
      <c r="D4077" s="68"/>
      <c r="E4077" s="10"/>
      <c r="F4077" s="69"/>
      <c r="G4077" s="68"/>
      <c r="H4077" s="70"/>
      <c r="BA4077" s="4"/>
      <c r="BB4077" s="4"/>
    </row>
    <row r="4078" spans="1:54" x14ac:dyDescent="0.3">
      <c r="A4078" s="66"/>
      <c r="B4078" s="67"/>
      <c r="C4078" s="66"/>
      <c r="D4078" s="68"/>
      <c r="E4078" s="10"/>
      <c r="F4078" s="69"/>
      <c r="G4078" s="68"/>
      <c r="H4078" s="70"/>
      <c r="BA4078" s="4"/>
      <c r="BB4078" s="4"/>
    </row>
    <row r="4079" spans="1:54" x14ac:dyDescent="0.3">
      <c r="A4079" s="66"/>
      <c r="B4079" s="67"/>
      <c r="C4079" s="66"/>
      <c r="D4079" s="68"/>
      <c r="E4079" s="10"/>
      <c r="F4079" s="69"/>
      <c r="G4079" s="68"/>
      <c r="H4079" s="70"/>
      <c r="BA4079" s="4"/>
      <c r="BB4079" s="4"/>
    </row>
    <row r="4080" spans="1:54" x14ac:dyDescent="0.3">
      <c r="A4080" s="66"/>
      <c r="B4080" s="67"/>
      <c r="C4080" s="66"/>
      <c r="D4080" s="68"/>
      <c r="E4080" s="10"/>
      <c r="F4080" s="69"/>
      <c r="G4080" s="68"/>
      <c r="H4080" s="70"/>
      <c r="BA4080" s="4"/>
      <c r="BB4080" s="4"/>
    </row>
    <row r="4081" spans="1:54" x14ac:dyDescent="0.3">
      <c r="A4081" s="66"/>
      <c r="B4081" s="67"/>
      <c r="C4081" s="66"/>
      <c r="D4081" s="68"/>
      <c r="E4081" s="10"/>
      <c r="F4081" s="69"/>
      <c r="G4081" s="68"/>
      <c r="H4081" s="70"/>
      <c r="BA4081" s="4"/>
      <c r="BB4081" s="4"/>
    </row>
    <row r="4082" spans="1:54" x14ac:dyDescent="0.3">
      <c r="A4082" s="66"/>
      <c r="B4082" s="67"/>
      <c r="C4082" s="66"/>
      <c r="D4082" s="68"/>
      <c r="E4082" s="10"/>
      <c r="F4082" s="69"/>
      <c r="G4082" s="68"/>
      <c r="H4082" s="70"/>
      <c r="BA4082" s="4"/>
      <c r="BB4082" s="4"/>
    </row>
    <row r="4083" spans="1:54" x14ac:dyDescent="0.3">
      <c r="A4083" s="66"/>
      <c r="B4083" s="67"/>
      <c r="C4083" s="66"/>
      <c r="D4083" s="68"/>
      <c r="E4083" s="10"/>
      <c r="F4083" s="69"/>
      <c r="G4083" s="68"/>
      <c r="H4083" s="70"/>
      <c r="BA4083" s="4"/>
      <c r="BB4083" s="4"/>
    </row>
    <row r="4084" spans="1:54" x14ac:dyDescent="0.3">
      <c r="A4084" s="66"/>
      <c r="B4084" s="67"/>
      <c r="C4084" s="66"/>
      <c r="D4084" s="68"/>
      <c r="E4084" s="10"/>
      <c r="F4084" s="69"/>
      <c r="G4084" s="68"/>
      <c r="H4084" s="70"/>
      <c r="BA4084" s="4"/>
      <c r="BB4084" s="4"/>
    </row>
    <row r="4085" spans="1:54" x14ac:dyDescent="0.3">
      <c r="A4085" s="66"/>
      <c r="B4085" s="67"/>
      <c r="C4085" s="66"/>
      <c r="D4085" s="68"/>
      <c r="E4085" s="10"/>
      <c r="F4085" s="69"/>
      <c r="G4085" s="68"/>
      <c r="H4085" s="70"/>
      <c r="BA4085" s="4"/>
      <c r="BB4085" s="4"/>
    </row>
    <row r="4086" spans="1:54" x14ac:dyDescent="0.3">
      <c r="A4086" s="66"/>
      <c r="B4086" s="67"/>
      <c r="C4086" s="66"/>
      <c r="D4086" s="68"/>
      <c r="E4086" s="10"/>
      <c r="F4086" s="69"/>
      <c r="G4086" s="68"/>
      <c r="H4086" s="70"/>
      <c r="BA4086" s="4"/>
      <c r="BB4086" s="4"/>
    </row>
    <row r="4087" spans="1:54" x14ac:dyDescent="0.3">
      <c r="A4087" s="66"/>
      <c r="B4087" s="67"/>
      <c r="C4087" s="66"/>
      <c r="D4087" s="68"/>
      <c r="E4087" s="10"/>
      <c r="F4087" s="69"/>
      <c r="G4087" s="68"/>
      <c r="H4087" s="70"/>
      <c r="BA4087" s="4"/>
      <c r="BB4087" s="4"/>
    </row>
    <row r="4088" spans="1:54" x14ac:dyDescent="0.3">
      <c r="A4088" s="66"/>
      <c r="B4088" s="67"/>
      <c r="C4088" s="66"/>
      <c r="D4088" s="68"/>
      <c r="E4088" s="10"/>
      <c r="F4088" s="69"/>
      <c r="G4088" s="68"/>
      <c r="H4088" s="70"/>
      <c r="BA4088" s="4"/>
      <c r="BB4088" s="4"/>
    </row>
    <row r="4089" spans="1:54" x14ac:dyDescent="0.3">
      <c r="A4089" s="66"/>
      <c r="B4089" s="67"/>
      <c r="C4089" s="66"/>
      <c r="D4089" s="68"/>
      <c r="E4089" s="10"/>
      <c r="F4089" s="69"/>
      <c r="G4089" s="68"/>
      <c r="H4089" s="70"/>
      <c r="BA4089" s="4"/>
      <c r="BB4089" s="4"/>
    </row>
    <row r="4090" spans="1:54" x14ac:dyDescent="0.3">
      <c r="A4090" s="66"/>
      <c r="B4090" s="67"/>
      <c r="C4090" s="66"/>
      <c r="D4090" s="68"/>
      <c r="E4090" s="10"/>
      <c r="F4090" s="69"/>
      <c r="G4090" s="68"/>
      <c r="H4090" s="70"/>
      <c r="BA4090" s="4"/>
      <c r="BB4090" s="4"/>
    </row>
    <row r="4091" spans="1:54" x14ac:dyDescent="0.3">
      <c r="A4091" s="66"/>
      <c r="B4091" s="67"/>
      <c r="C4091" s="66"/>
      <c r="D4091" s="68"/>
      <c r="E4091" s="10"/>
      <c r="F4091" s="69"/>
      <c r="G4091" s="68"/>
      <c r="H4091" s="70"/>
      <c r="BA4091" s="4"/>
      <c r="BB4091" s="4"/>
    </row>
    <row r="4092" spans="1:54" x14ac:dyDescent="0.3">
      <c r="A4092" s="66"/>
      <c r="B4092" s="67"/>
      <c r="C4092" s="66"/>
      <c r="D4092" s="68"/>
      <c r="E4092" s="10"/>
      <c r="F4092" s="69"/>
      <c r="G4092" s="68"/>
      <c r="H4092" s="70"/>
      <c r="BA4092" s="4"/>
      <c r="BB4092" s="4"/>
    </row>
    <row r="4093" spans="1:54" x14ac:dyDescent="0.3">
      <c r="A4093" s="66"/>
      <c r="B4093" s="67"/>
      <c r="C4093" s="66"/>
      <c r="D4093" s="68"/>
      <c r="E4093" s="10"/>
      <c r="F4093" s="69"/>
      <c r="G4093" s="68"/>
      <c r="H4093" s="70"/>
      <c r="BA4093" s="4"/>
      <c r="BB4093" s="4"/>
    </row>
    <row r="4094" spans="1:54" x14ac:dyDescent="0.3">
      <c r="A4094" s="66"/>
      <c r="B4094" s="67"/>
      <c r="C4094" s="66"/>
      <c r="D4094" s="68"/>
      <c r="E4094" s="10"/>
      <c r="F4094" s="69"/>
      <c r="G4094" s="68"/>
      <c r="H4094" s="70"/>
      <c r="BA4094" s="4"/>
      <c r="BB4094" s="4"/>
    </row>
    <row r="4095" spans="1:54" x14ac:dyDescent="0.3">
      <c r="A4095" s="66"/>
      <c r="B4095" s="67"/>
      <c r="C4095" s="66"/>
      <c r="D4095" s="68"/>
      <c r="E4095" s="10"/>
      <c r="F4095" s="69"/>
      <c r="G4095" s="68"/>
      <c r="H4095" s="70"/>
      <c r="BA4095" s="4"/>
      <c r="BB4095" s="4"/>
    </row>
    <row r="4096" spans="1:54" x14ac:dyDescent="0.3">
      <c r="A4096" s="66"/>
      <c r="B4096" s="67"/>
      <c r="C4096" s="66"/>
      <c r="D4096" s="68"/>
      <c r="E4096" s="10"/>
      <c r="F4096" s="69"/>
      <c r="G4096" s="68"/>
      <c r="H4096" s="70"/>
      <c r="BA4096" s="4"/>
      <c r="BB4096" s="4"/>
    </row>
    <row r="4097" spans="1:54" x14ac:dyDescent="0.3">
      <c r="A4097" s="66"/>
      <c r="B4097" s="67"/>
      <c r="C4097" s="66"/>
      <c r="D4097" s="68"/>
      <c r="E4097" s="10"/>
      <c r="F4097" s="69"/>
      <c r="G4097" s="68"/>
      <c r="H4097" s="70"/>
      <c r="BA4097" s="4"/>
      <c r="BB4097" s="4"/>
    </row>
    <row r="4098" spans="1:54" x14ac:dyDescent="0.3">
      <c r="A4098" s="66"/>
      <c r="B4098" s="67"/>
      <c r="C4098" s="66"/>
      <c r="D4098" s="68"/>
      <c r="E4098" s="10"/>
      <c r="F4098" s="69"/>
      <c r="G4098" s="68"/>
      <c r="H4098" s="70"/>
      <c r="BA4098" s="4"/>
      <c r="BB4098" s="4"/>
    </row>
    <row r="4099" spans="1:54" x14ac:dyDescent="0.3">
      <c r="A4099" s="66"/>
      <c r="B4099" s="67"/>
      <c r="C4099" s="66"/>
      <c r="D4099" s="68"/>
      <c r="E4099" s="10"/>
      <c r="F4099" s="69"/>
      <c r="G4099" s="68"/>
      <c r="H4099" s="70"/>
      <c r="BA4099" s="4"/>
      <c r="BB4099" s="4"/>
    </row>
    <row r="4100" spans="1:54" x14ac:dyDescent="0.3">
      <c r="A4100" s="66"/>
      <c r="B4100" s="67"/>
      <c r="C4100" s="66"/>
      <c r="D4100" s="68"/>
      <c r="E4100" s="10"/>
      <c r="F4100" s="69"/>
      <c r="G4100" s="68"/>
      <c r="H4100" s="70"/>
      <c r="BA4100" s="4"/>
      <c r="BB4100" s="4"/>
    </row>
    <row r="4101" spans="1:54" x14ac:dyDescent="0.3">
      <c r="A4101" s="66"/>
      <c r="B4101" s="67"/>
      <c r="C4101" s="66"/>
      <c r="D4101" s="68"/>
      <c r="E4101" s="10"/>
      <c r="F4101" s="69"/>
      <c r="G4101" s="68"/>
      <c r="H4101" s="70"/>
      <c r="BA4101" s="4"/>
      <c r="BB4101" s="4"/>
    </row>
    <row r="4102" spans="1:54" x14ac:dyDescent="0.3">
      <c r="A4102" s="66"/>
      <c r="B4102" s="67"/>
      <c r="C4102" s="66"/>
      <c r="D4102" s="68"/>
      <c r="E4102" s="10"/>
      <c r="F4102" s="69"/>
      <c r="G4102" s="68"/>
      <c r="H4102" s="70"/>
      <c r="BA4102" s="4"/>
      <c r="BB4102" s="4"/>
    </row>
    <row r="4103" spans="1:54" x14ac:dyDescent="0.3">
      <c r="A4103" s="66"/>
      <c r="B4103" s="67"/>
      <c r="C4103" s="66"/>
      <c r="D4103" s="68"/>
      <c r="E4103" s="10"/>
      <c r="F4103" s="69"/>
      <c r="G4103" s="68"/>
      <c r="H4103" s="70"/>
      <c r="BA4103" s="4"/>
      <c r="BB4103" s="4"/>
    </row>
    <row r="4104" spans="1:54" x14ac:dyDescent="0.3">
      <c r="A4104" s="66"/>
      <c r="B4104" s="67"/>
      <c r="C4104" s="66"/>
      <c r="D4104" s="68"/>
      <c r="E4104" s="10"/>
      <c r="F4104" s="69"/>
      <c r="G4104" s="68"/>
      <c r="H4104" s="70"/>
      <c r="BA4104" s="4"/>
      <c r="BB4104" s="4"/>
    </row>
    <row r="4105" spans="1:54" x14ac:dyDescent="0.3">
      <c r="A4105" s="66"/>
      <c r="B4105" s="67"/>
      <c r="C4105" s="66"/>
      <c r="D4105" s="68"/>
      <c r="E4105" s="10"/>
      <c r="F4105" s="69"/>
      <c r="G4105" s="68"/>
      <c r="H4105" s="70"/>
      <c r="BA4105" s="4"/>
      <c r="BB4105" s="4"/>
    </row>
    <row r="4106" spans="1:54" x14ac:dyDescent="0.3">
      <c r="A4106" s="66"/>
      <c r="B4106" s="67"/>
      <c r="C4106" s="66"/>
      <c r="D4106" s="68"/>
      <c r="E4106" s="10"/>
      <c r="F4106" s="69"/>
      <c r="G4106" s="68"/>
      <c r="H4106" s="70"/>
      <c r="BA4106" s="4"/>
      <c r="BB4106" s="4"/>
    </row>
    <row r="4107" spans="1:54" x14ac:dyDescent="0.3">
      <c r="A4107" s="66"/>
      <c r="B4107" s="67"/>
      <c r="C4107" s="66"/>
      <c r="D4107" s="68"/>
      <c r="E4107" s="10"/>
      <c r="F4107" s="69"/>
      <c r="G4107" s="68"/>
      <c r="H4107" s="70"/>
      <c r="BA4107" s="4"/>
      <c r="BB4107" s="4"/>
    </row>
    <row r="4108" spans="1:54" x14ac:dyDescent="0.3">
      <c r="A4108" s="66"/>
      <c r="B4108" s="67"/>
      <c r="C4108" s="66"/>
      <c r="D4108" s="68"/>
      <c r="E4108" s="10"/>
      <c r="F4108" s="69"/>
      <c r="G4108" s="68"/>
      <c r="H4108" s="70"/>
      <c r="BA4108" s="4"/>
      <c r="BB4108" s="4"/>
    </row>
    <row r="4109" spans="1:54" x14ac:dyDescent="0.3">
      <c r="A4109" s="66"/>
      <c r="B4109" s="67"/>
      <c r="C4109" s="66"/>
      <c r="D4109" s="68"/>
      <c r="E4109" s="10"/>
      <c r="F4109" s="69"/>
      <c r="G4109" s="68"/>
      <c r="H4109" s="70"/>
      <c r="BA4109" s="4"/>
      <c r="BB4109" s="4"/>
    </row>
    <row r="4110" spans="1:54" x14ac:dyDescent="0.3">
      <c r="A4110" s="66"/>
      <c r="B4110" s="67"/>
      <c r="C4110" s="66"/>
      <c r="D4110" s="68"/>
      <c r="E4110" s="10"/>
      <c r="F4110" s="69"/>
      <c r="G4110" s="68"/>
      <c r="H4110" s="70"/>
      <c r="BA4110" s="4"/>
      <c r="BB4110" s="4"/>
    </row>
    <row r="4111" spans="1:54" x14ac:dyDescent="0.3">
      <c r="A4111" s="66"/>
      <c r="B4111" s="67"/>
      <c r="C4111" s="66"/>
      <c r="D4111" s="68"/>
      <c r="E4111" s="10"/>
      <c r="F4111" s="69"/>
      <c r="G4111" s="68"/>
      <c r="H4111" s="70"/>
      <c r="BA4111" s="4"/>
      <c r="BB4111" s="4"/>
    </row>
    <row r="4112" spans="1:54" x14ac:dyDescent="0.3">
      <c r="A4112" s="66"/>
      <c r="B4112" s="67"/>
      <c r="C4112" s="66"/>
      <c r="D4112" s="68"/>
      <c r="E4112" s="10"/>
      <c r="F4112" s="69"/>
      <c r="G4112" s="68"/>
      <c r="H4112" s="70"/>
      <c r="BA4112" s="4"/>
      <c r="BB4112" s="4"/>
    </row>
    <row r="4113" spans="1:54" x14ac:dyDescent="0.3">
      <c r="A4113" s="66"/>
      <c r="B4113" s="67"/>
      <c r="C4113" s="66"/>
      <c r="D4113" s="68"/>
      <c r="E4113" s="10"/>
      <c r="F4113" s="69"/>
      <c r="G4113" s="68"/>
      <c r="H4113" s="70"/>
      <c r="BA4113" s="4"/>
      <c r="BB4113" s="4"/>
    </row>
    <row r="4114" spans="1:54" x14ac:dyDescent="0.3">
      <c r="A4114" s="66"/>
      <c r="B4114" s="67"/>
      <c r="C4114" s="66"/>
      <c r="D4114" s="68"/>
      <c r="E4114" s="10"/>
      <c r="F4114" s="69"/>
      <c r="G4114" s="68"/>
      <c r="H4114" s="70"/>
      <c r="BA4114" s="4"/>
      <c r="BB4114" s="4"/>
    </row>
    <row r="4115" spans="1:54" x14ac:dyDescent="0.3">
      <c r="A4115" s="66"/>
      <c r="B4115" s="67"/>
      <c r="C4115" s="66"/>
      <c r="D4115" s="68"/>
      <c r="E4115" s="10"/>
      <c r="F4115" s="69"/>
      <c r="G4115" s="68"/>
      <c r="H4115" s="70"/>
      <c r="BA4115" s="4"/>
      <c r="BB4115" s="4"/>
    </row>
    <row r="4116" spans="1:54" x14ac:dyDescent="0.3">
      <c r="A4116" s="66"/>
      <c r="B4116" s="67"/>
      <c r="C4116" s="66"/>
      <c r="D4116" s="68"/>
      <c r="E4116" s="10"/>
      <c r="F4116" s="69"/>
      <c r="G4116" s="68"/>
      <c r="H4116" s="70"/>
      <c r="BA4116" s="4"/>
      <c r="BB4116" s="4"/>
    </row>
    <row r="4117" spans="1:54" x14ac:dyDescent="0.3">
      <c r="A4117" s="66"/>
      <c r="B4117" s="67"/>
      <c r="C4117" s="66"/>
      <c r="D4117" s="68"/>
      <c r="E4117" s="10"/>
      <c r="F4117" s="69"/>
      <c r="G4117" s="68"/>
      <c r="H4117" s="70"/>
      <c r="BA4117" s="4"/>
      <c r="BB4117" s="4"/>
    </row>
    <row r="4118" spans="1:54" x14ac:dyDescent="0.3">
      <c r="A4118" s="66"/>
      <c r="B4118" s="67"/>
      <c r="C4118" s="66"/>
      <c r="D4118" s="68"/>
      <c r="E4118" s="10"/>
      <c r="F4118" s="69"/>
      <c r="G4118" s="68"/>
      <c r="H4118" s="70"/>
      <c r="BA4118" s="4"/>
      <c r="BB4118" s="4"/>
    </row>
    <row r="4119" spans="1:54" x14ac:dyDescent="0.3">
      <c r="A4119" s="66"/>
      <c r="B4119" s="67"/>
      <c r="C4119" s="66"/>
      <c r="D4119" s="68"/>
      <c r="E4119" s="10"/>
      <c r="F4119" s="69"/>
      <c r="G4119" s="68"/>
      <c r="H4119" s="70"/>
      <c r="BA4119" s="4"/>
      <c r="BB4119" s="4"/>
    </row>
    <row r="4120" spans="1:54" x14ac:dyDescent="0.3">
      <c r="A4120" s="66"/>
      <c r="B4120" s="67"/>
      <c r="C4120" s="66"/>
      <c r="D4120" s="68"/>
      <c r="E4120" s="10"/>
      <c r="F4120" s="69"/>
      <c r="G4120" s="68"/>
      <c r="H4120" s="70"/>
      <c r="BA4120" s="4"/>
      <c r="BB4120" s="4"/>
    </row>
    <row r="4121" spans="1:54" x14ac:dyDescent="0.3">
      <c r="A4121" s="66"/>
      <c r="B4121" s="67"/>
      <c r="C4121" s="66"/>
      <c r="D4121" s="68"/>
      <c r="E4121" s="10"/>
      <c r="F4121" s="69"/>
      <c r="G4121" s="68"/>
      <c r="H4121" s="70"/>
      <c r="BA4121" s="4"/>
      <c r="BB4121" s="4"/>
    </row>
    <row r="4122" spans="1:54" x14ac:dyDescent="0.3">
      <c r="A4122" s="66"/>
      <c r="B4122" s="67"/>
      <c r="C4122" s="66"/>
      <c r="D4122" s="68"/>
      <c r="E4122" s="10"/>
      <c r="F4122" s="69"/>
      <c r="G4122" s="68"/>
      <c r="H4122" s="70"/>
      <c r="BA4122" s="4"/>
      <c r="BB4122" s="4"/>
    </row>
    <row r="4123" spans="1:54" x14ac:dyDescent="0.3">
      <c r="A4123" s="66"/>
      <c r="B4123" s="67"/>
      <c r="C4123" s="66"/>
      <c r="D4123" s="68"/>
      <c r="E4123" s="10"/>
      <c r="F4123" s="69"/>
      <c r="G4123" s="68"/>
      <c r="H4123" s="70"/>
      <c r="BA4123" s="4"/>
      <c r="BB4123" s="4"/>
    </row>
    <row r="4124" spans="1:54" x14ac:dyDescent="0.3">
      <c r="A4124" s="66"/>
      <c r="B4124" s="67"/>
      <c r="C4124" s="66"/>
      <c r="D4124" s="68"/>
      <c r="E4124" s="10"/>
      <c r="F4124" s="69"/>
      <c r="G4124" s="68"/>
      <c r="H4124" s="70"/>
      <c r="BA4124" s="4"/>
      <c r="BB4124" s="4"/>
    </row>
    <row r="4125" spans="1:54" x14ac:dyDescent="0.3">
      <c r="A4125" s="66"/>
      <c r="B4125" s="67"/>
      <c r="C4125" s="66"/>
      <c r="D4125" s="68"/>
      <c r="E4125" s="10"/>
      <c r="F4125" s="69"/>
      <c r="G4125" s="68"/>
      <c r="H4125" s="70"/>
      <c r="BA4125" s="4"/>
      <c r="BB4125" s="4"/>
    </row>
    <row r="4126" spans="1:54" x14ac:dyDescent="0.3">
      <c r="A4126" s="66"/>
      <c r="B4126" s="67"/>
      <c r="C4126" s="66"/>
      <c r="D4126" s="68"/>
      <c r="E4126" s="10"/>
      <c r="F4126" s="69"/>
      <c r="G4126" s="68"/>
      <c r="H4126" s="70"/>
      <c r="BA4126" s="4"/>
      <c r="BB4126" s="4"/>
    </row>
    <row r="4127" spans="1:54" x14ac:dyDescent="0.3">
      <c r="A4127" s="66"/>
      <c r="B4127" s="67"/>
      <c r="C4127" s="66"/>
      <c r="D4127" s="68"/>
      <c r="E4127" s="10"/>
      <c r="F4127" s="69"/>
      <c r="G4127" s="68"/>
      <c r="H4127" s="70"/>
      <c r="BA4127" s="4"/>
      <c r="BB4127" s="4"/>
    </row>
    <row r="4128" spans="1:54" x14ac:dyDescent="0.3">
      <c r="A4128" s="66"/>
      <c r="B4128" s="67"/>
      <c r="C4128" s="66"/>
      <c r="D4128" s="68"/>
      <c r="E4128" s="10"/>
      <c r="F4128" s="69"/>
      <c r="G4128" s="68"/>
      <c r="H4128" s="70"/>
      <c r="BA4128" s="4"/>
      <c r="BB4128" s="4"/>
    </row>
    <row r="4129" spans="1:54" x14ac:dyDescent="0.3">
      <c r="A4129" s="66"/>
      <c r="B4129" s="67"/>
      <c r="C4129" s="66"/>
      <c r="D4129" s="68"/>
      <c r="E4129" s="10"/>
      <c r="F4129" s="69"/>
      <c r="G4129" s="68"/>
      <c r="H4129" s="70"/>
      <c r="BA4129" s="4"/>
      <c r="BB4129" s="4"/>
    </row>
    <row r="4130" spans="1:54" x14ac:dyDescent="0.3">
      <c r="A4130" s="66"/>
      <c r="B4130" s="67"/>
      <c r="C4130" s="66"/>
      <c r="D4130" s="68"/>
      <c r="E4130" s="10"/>
      <c r="F4130" s="69"/>
      <c r="G4130" s="68"/>
      <c r="H4130" s="70"/>
      <c r="BA4130" s="4"/>
      <c r="BB4130" s="4"/>
    </row>
    <row r="4131" spans="1:54" x14ac:dyDescent="0.3">
      <c r="A4131" s="66"/>
      <c r="B4131" s="67"/>
      <c r="C4131" s="66"/>
      <c r="D4131" s="68"/>
      <c r="E4131" s="10"/>
      <c r="F4131" s="69"/>
      <c r="G4131" s="68"/>
      <c r="H4131" s="70"/>
      <c r="BA4131" s="4"/>
      <c r="BB4131" s="4"/>
    </row>
    <row r="4132" spans="1:54" x14ac:dyDescent="0.3">
      <c r="A4132" s="66"/>
      <c r="B4132" s="67"/>
      <c r="C4132" s="66"/>
      <c r="D4132" s="68"/>
      <c r="E4132" s="10"/>
      <c r="F4132" s="69"/>
      <c r="G4132" s="68"/>
      <c r="H4132" s="70"/>
      <c r="BA4132" s="4"/>
      <c r="BB4132" s="4"/>
    </row>
    <row r="4133" spans="1:54" x14ac:dyDescent="0.3">
      <c r="A4133" s="66"/>
      <c r="B4133" s="67"/>
      <c r="C4133" s="66"/>
      <c r="D4133" s="68"/>
      <c r="E4133" s="10"/>
      <c r="F4133" s="69"/>
      <c r="G4133" s="68"/>
      <c r="H4133" s="70"/>
      <c r="BA4133" s="4"/>
      <c r="BB4133" s="4"/>
    </row>
    <row r="4134" spans="1:54" x14ac:dyDescent="0.3">
      <c r="A4134" s="66"/>
      <c r="B4134" s="67"/>
      <c r="C4134" s="66"/>
      <c r="D4134" s="68"/>
      <c r="E4134" s="10"/>
      <c r="F4134" s="69"/>
      <c r="G4134" s="68"/>
      <c r="H4134" s="70"/>
      <c r="BA4134" s="4"/>
      <c r="BB4134" s="4"/>
    </row>
    <row r="4135" spans="1:54" x14ac:dyDescent="0.3">
      <c r="A4135" s="66"/>
      <c r="B4135" s="67"/>
      <c r="C4135" s="66"/>
      <c r="D4135" s="68"/>
      <c r="E4135" s="10"/>
      <c r="F4135" s="69"/>
      <c r="G4135" s="68"/>
      <c r="H4135" s="70"/>
      <c r="BA4135" s="4"/>
      <c r="BB4135" s="4"/>
    </row>
    <row r="4136" spans="1:54" x14ac:dyDescent="0.3">
      <c r="A4136" s="66"/>
      <c r="B4136" s="67"/>
      <c r="C4136" s="66"/>
      <c r="D4136" s="68"/>
      <c r="E4136" s="10"/>
      <c r="F4136" s="69"/>
      <c r="G4136" s="68"/>
      <c r="H4136" s="70"/>
      <c r="BA4136" s="4"/>
      <c r="BB4136" s="4"/>
    </row>
    <row r="4137" spans="1:54" x14ac:dyDescent="0.3">
      <c r="A4137" s="66"/>
      <c r="B4137" s="67"/>
      <c r="C4137" s="66"/>
      <c r="D4137" s="68"/>
      <c r="E4137" s="10"/>
      <c r="F4137" s="69"/>
      <c r="G4137" s="68"/>
      <c r="H4137" s="70"/>
      <c r="BA4137" s="4"/>
      <c r="BB4137" s="4"/>
    </row>
    <row r="4138" spans="1:54" x14ac:dyDescent="0.3">
      <c r="A4138" s="66"/>
      <c r="B4138" s="67"/>
      <c r="C4138" s="66"/>
      <c r="D4138" s="68"/>
      <c r="E4138" s="10"/>
      <c r="F4138" s="69"/>
      <c r="G4138" s="68"/>
      <c r="H4138" s="70"/>
      <c r="BA4138" s="4"/>
      <c r="BB4138" s="4"/>
    </row>
    <row r="4139" spans="1:54" x14ac:dyDescent="0.3">
      <c r="A4139" s="66"/>
      <c r="B4139" s="67"/>
      <c r="C4139" s="66"/>
      <c r="D4139" s="68"/>
      <c r="E4139" s="10"/>
      <c r="F4139" s="69"/>
      <c r="G4139" s="68"/>
      <c r="H4139" s="70"/>
      <c r="BA4139" s="4"/>
      <c r="BB4139" s="4"/>
    </row>
    <row r="4140" spans="1:54" x14ac:dyDescent="0.3">
      <c r="A4140" s="66"/>
      <c r="B4140" s="67"/>
      <c r="C4140" s="66"/>
      <c r="D4140" s="68"/>
      <c r="E4140" s="10"/>
      <c r="F4140" s="69"/>
      <c r="G4140" s="68"/>
      <c r="H4140" s="70"/>
      <c r="BA4140" s="4"/>
      <c r="BB4140" s="4"/>
    </row>
    <row r="4141" spans="1:54" x14ac:dyDescent="0.3">
      <c r="A4141" s="66"/>
      <c r="B4141" s="67"/>
      <c r="C4141" s="66"/>
      <c r="D4141" s="68"/>
      <c r="E4141" s="10"/>
      <c r="F4141" s="69"/>
      <c r="G4141" s="68"/>
      <c r="H4141" s="70"/>
      <c r="BA4141" s="4"/>
      <c r="BB4141" s="4"/>
    </row>
    <row r="4142" spans="1:54" x14ac:dyDescent="0.3">
      <c r="A4142" s="66"/>
      <c r="B4142" s="67"/>
      <c r="C4142" s="66"/>
      <c r="D4142" s="68"/>
      <c r="E4142" s="10"/>
      <c r="F4142" s="69"/>
      <c r="G4142" s="68"/>
      <c r="H4142" s="70"/>
      <c r="BA4142" s="4"/>
      <c r="BB4142" s="4"/>
    </row>
    <row r="4143" spans="1:54" x14ac:dyDescent="0.3">
      <c r="A4143" s="66"/>
      <c r="B4143" s="67"/>
      <c r="C4143" s="66"/>
      <c r="D4143" s="68"/>
      <c r="E4143" s="10"/>
      <c r="F4143" s="69"/>
      <c r="G4143" s="68"/>
      <c r="H4143" s="70"/>
      <c r="BA4143" s="4"/>
      <c r="BB4143" s="4"/>
    </row>
    <row r="4144" spans="1:54" x14ac:dyDescent="0.3">
      <c r="A4144" s="66"/>
      <c r="B4144" s="67"/>
      <c r="C4144" s="66"/>
      <c r="D4144" s="68"/>
      <c r="E4144" s="10"/>
      <c r="F4144" s="69"/>
      <c r="G4144" s="68"/>
      <c r="H4144" s="70"/>
      <c r="BA4144" s="4"/>
      <c r="BB4144" s="4"/>
    </row>
    <row r="4145" spans="1:54" x14ac:dyDescent="0.3">
      <c r="A4145" s="66"/>
      <c r="B4145" s="67"/>
      <c r="C4145" s="66"/>
      <c r="D4145" s="68"/>
      <c r="E4145" s="10"/>
      <c r="F4145" s="69"/>
      <c r="G4145" s="68"/>
      <c r="H4145" s="70"/>
      <c r="BA4145" s="4"/>
      <c r="BB4145" s="4"/>
    </row>
    <row r="4146" spans="1:54" x14ac:dyDescent="0.3">
      <c r="A4146" s="66"/>
      <c r="B4146" s="67"/>
      <c r="C4146" s="66"/>
      <c r="D4146" s="68"/>
      <c r="E4146" s="10"/>
      <c r="F4146" s="69"/>
      <c r="G4146" s="68"/>
      <c r="H4146" s="70"/>
      <c r="BA4146" s="4"/>
      <c r="BB4146" s="4"/>
    </row>
    <row r="4147" spans="1:54" x14ac:dyDescent="0.3">
      <c r="A4147" s="66"/>
      <c r="B4147" s="67"/>
      <c r="C4147" s="66"/>
      <c r="D4147" s="68"/>
      <c r="E4147" s="10"/>
      <c r="F4147" s="69"/>
      <c r="G4147" s="68"/>
      <c r="H4147" s="70"/>
      <c r="BA4147" s="4"/>
      <c r="BB4147" s="4"/>
    </row>
    <row r="4148" spans="1:54" x14ac:dyDescent="0.3">
      <c r="A4148" s="66"/>
      <c r="B4148" s="67"/>
      <c r="C4148" s="66"/>
      <c r="D4148" s="68"/>
      <c r="E4148" s="10"/>
      <c r="F4148" s="69"/>
      <c r="G4148" s="68"/>
      <c r="H4148" s="70"/>
      <c r="BA4148" s="4"/>
      <c r="BB4148" s="4"/>
    </row>
    <row r="4149" spans="1:54" x14ac:dyDescent="0.3">
      <c r="A4149" s="66"/>
      <c r="B4149" s="67"/>
      <c r="C4149" s="66"/>
      <c r="D4149" s="68"/>
      <c r="E4149" s="10"/>
      <c r="F4149" s="69"/>
      <c r="G4149" s="68"/>
      <c r="H4149" s="70"/>
      <c r="BA4149" s="4"/>
      <c r="BB4149" s="4"/>
    </row>
    <row r="4150" spans="1:54" x14ac:dyDescent="0.3">
      <c r="A4150" s="66"/>
      <c r="B4150" s="67"/>
      <c r="C4150" s="66"/>
      <c r="D4150" s="68"/>
      <c r="E4150" s="10"/>
      <c r="F4150" s="69"/>
      <c r="G4150" s="68"/>
      <c r="H4150" s="70"/>
      <c r="BA4150" s="4"/>
      <c r="BB4150" s="4"/>
    </row>
    <row r="4151" spans="1:54" x14ac:dyDescent="0.3">
      <c r="A4151" s="66"/>
      <c r="B4151" s="67"/>
      <c r="C4151" s="66"/>
      <c r="D4151" s="68"/>
      <c r="E4151" s="10"/>
      <c r="F4151" s="69"/>
      <c r="G4151" s="68"/>
      <c r="H4151" s="70"/>
      <c r="BA4151" s="4"/>
      <c r="BB4151" s="4"/>
    </row>
    <row r="4152" spans="1:54" x14ac:dyDescent="0.3">
      <c r="A4152" s="66"/>
      <c r="B4152" s="67"/>
      <c r="C4152" s="66"/>
      <c r="D4152" s="68"/>
      <c r="E4152" s="10"/>
      <c r="F4152" s="69"/>
      <c r="G4152" s="68"/>
      <c r="H4152" s="70"/>
      <c r="BA4152" s="4"/>
      <c r="BB4152" s="4"/>
    </row>
    <row r="4153" spans="1:54" x14ac:dyDescent="0.3">
      <c r="A4153" s="66"/>
      <c r="B4153" s="67"/>
      <c r="C4153" s="66"/>
      <c r="D4153" s="68"/>
      <c r="E4153" s="10"/>
      <c r="F4153" s="69"/>
      <c r="G4153" s="68"/>
      <c r="H4153" s="70"/>
      <c r="BA4153" s="4"/>
      <c r="BB4153" s="4"/>
    </row>
    <row r="4154" spans="1:54" x14ac:dyDescent="0.3">
      <c r="A4154" s="66"/>
      <c r="B4154" s="67"/>
      <c r="C4154" s="66"/>
      <c r="D4154" s="68"/>
      <c r="E4154" s="10"/>
      <c r="F4154" s="69"/>
      <c r="G4154" s="68"/>
      <c r="H4154" s="70"/>
      <c r="BA4154" s="4"/>
      <c r="BB4154" s="4"/>
    </row>
    <row r="4155" spans="1:54" x14ac:dyDescent="0.3">
      <c r="A4155" s="66"/>
      <c r="B4155" s="67"/>
      <c r="C4155" s="66"/>
      <c r="D4155" s="68"/>
      <c r="E4155" s="10"/>
      <c r="F4155" s="69"/>
      <c r="G4155" s="68"/>
      <c r="H4155" s="70"/>
      <c r="BA4155" s="4"/>
      <c r="BB4155" s="4"/>
    </row>
    <row r="4156" spans="1:54" x14ac:dyDescent="0.3">
      <c r="A4156" s="66"/>
      <c r="B4156" s="67"/>
      <c r="C4156" s="66"/>
      <c r="D4156" s="68"/>
      <c r="E4156" s="10"/>
      <c r="F4156" s="69"/>
      <c r="G4156" s="68"/>
      <c r="H4156" s="70"/>
      <c r="BA4156" s="4"/>
      <c r="BB4156" s="4"/>
    </row>
    <row r="4157" spans="1:54" x14ac:dyDescent="0.3">
      <c r="A4157" s="66"/>
      <c r="B4157" s="67"/>
      <c r="C4157" s="66"/>
      <c r="D4157" s="68"/>
      <c r="E4157" s="10"/>
      <c r="F4157" s="69"/>
      <c r="G4157" s="68"/>
      <c r="H4157" s="70"/>
      <c r="BA4157" s="4"/>
      <c r="BB4157" s="4"/>
    </row>
    <row r="4158" spans="1:54" x14ac:dyDescent="0.3">
      <c r="A4158" s="66"/>
      <c r="B4158" s="67"/>
      <c r="C4158" s="66"/>
      <c r="D4158" s="68"/>
      <c r="E4158" s="10"/>
      <c r="F4158" s="69"/>
      <c r="G4158" s="68"/>
      <c r="H4158" s="70"/>
      <c r="BA4158" s="4"/>
      <c r="BB4158" s="4"/>
    </row>
    <row r="4159" spans="1:54" x14ac:dyDescent="0.3">
      <c r="A4159" s="66"/>
      <c r="B4159" s="67"/>
      <c r="C4159" s="66"/>
      <c r="D4159" s="68"/>
      <c r="E4159" s="10"/>
      <c r="F4159" s="69"/>
      <c r="G4159" s="68"/>
      <c r="H4159" s="70"/>
      <c r="BA4159" s="4"/>
      <c r="BB4159" s="4"/>
    </row>
    <row r="4160" spans="1:54" x14ac:dyDescent="0.3">
      <c r="A4160" s="66"/>
      <c r="B4160" s="67"/>
      <c r="C4160" s="66"/>
      <c r="D4160" s="68"/>
      <c r="E4160" s="10"/>
      <c r="F4160" s="69"/>
      <c r="G4160" s="68"/>
      <c r="H4160" s="70"/>
      <c r="BA4160" s="4"/>
      <c r="BB4160" s="4"/>
    </row>
    <row r="4161" spans="1:54" x14ac:dyDescent="0.3">
      <c r="A4161" s="66"/>
      <c r="B4161" s="67"/>
      <c r="C4161" s="66"/>
      <c r="D4161" s="68"/>
      <c r="E4161" s="10"/>
      <c r="F4161" s="69"/>
      <c r="G4161" s="68"/>
      <c r="H4161" s="70"/>
      <c r="BA4161" s="4"/>
      <c r="BB4161" s="4"/>
    </row>
    <row r="4162" spans="1:54" x14ac:dyDescent="0.3">
      <c r="A4162" s="66"/>
      <c r="B4162" s="67"/>
      <c r="C4162" s="66"/>
      <c r="D4162" s="68"/>
      <c r="E4162" s="10"/>
      <c r="F4162" s="69"/>
      <c r="G4162" s="68"/>
      <c r="H4162" s="70"/>
      <c r="BA4162" s="4"/>
      <c r="BB4162" s="4"/>
    </row>
    <row r="4163" spans="1:54" x14ac:dyDescent="0.3">
      <c r="A4163" s="66"/>
      <c r="B4163" s="67"/>
      <c r="C4163" s="66"/>
      <c r="D4163" s="68"/>
      <c r="E4163" s="10"/>
      <c r="F4163" s="69"/>
      <c r="G4163" s="68"/>
      <c r="H4163" s="70"/>
      <c r="BA4163" s="4"/>
      <c r="BB4163" s="4"/>
    </row>
    <row r="4164" spans="1:54" x14ac:dyDescent="0.3">
      <c r="A4164" s="66"/>
      <c r="B4164" s="67"/>
      <c r="C4164" s="66"/>
      <c r="D4164" s="68"/>
      <c r="E4164" s="10"/>
      <c r="F4164" s="69"/>
      <c r="G4164" s="68"/>
      <c r="H4164" s="70"/>
      <c r="BA4164" s="4"/>
      <c r="BB4164" s="4"/>
    </row>
    <row r="4165" spans="1:54" x14ac:dyDescent="0.3">
      <c r="A4165" s="66"/>
      <c r="B4165" s="67"/>
      <c r="C4165" s="66"/>
      <c r="D4165" s="68"/>
      <c r="E4165" s="10"/>
      <c r="F4165" s="69"/>
      <c r="G4165" s="68"/>
      <c r="H4165" s="70"/>
      <c r="BA4165" s="4"/>
      <c r="BB4165" s="4"/>
    </row>
    <row r="4166" spans="1:54" x14ac:dyDescent="0.3">
      <c r="A4166" s="66"/>
      <c r="B4166" s="67"/>
      <c r="C4166" s="66"/>
      <c r="D4166" s="68"/>
      <c r="E4166" s="10"/>
      <c r="F4166" s="69"/>
      <c r="G4166" s="68"/>
      <c r="H4166" s="70"/>
      <c r="BA4166" s="4"/>
      <c r="BB4166" s="4"/>
    </row>
    <row r="4167" spans="1:54" x14ac:dyDescent="0.3">
      <c r="A4167" s="66"/>
      <c r="B4167" s="67"/>
      <c r="C4167" s="66"/>
      <c r="D4167" s="68"/>
      <c r="E4167" s="10"/>
      <c r="F4167" s="69"/>
      <c r="G4167" s="68"/>
      <c r="H4167" s="70"/>
      <c r="BA4167" s="4"/>
      <c r="BB4167" s="4"/>
    </row>
    <row r="4168" spans="1:54" x14ac:dyDescent="0.3">
      <c r="A4168" s="66"/>
      <c r="B4168" s="67"/>
      <c r="C4168" s="66"/>
      <c r="D4168" s="68"/>
      <c r="E4168" s="10"/>
      <c r="F4168" s="69"/>
      <c r="G4168" s="68"/>
      <c r="H4168" s="70"/>
      <c r="BA4168" s="4"/>
      <c r="BB4168" s="4"/>
    </row>
    <row r="4169" spans="1:54" x14ac:dyDescent="0.3">
      <c r="A4169" s="66"/>
      <c r="B4169" s="67"/>
      <c r="C4169" s="66"/>
      <c r="D4169" s="68"/>
      <c r="E4169" s="10"/>
      <c r="F4169" s="69"/>
      <c r="G4169" s="68"/>
      <c r="H4169" s="70"/>
      <c r="BA4169" s="4"/>
      <c r="BB4169" s="4"/>
    </row>
    <row r="4170" spans="1:54" x14ac:dyDescent="0.3">
      <c r="A4170" s="66"/>
      <c r="B4170" s="67"/>
      <c r="C4170" s="66"/>
      <c r="D4170" s="68"/>
      <c r="E4170" s="10"/>
      <c r="F4170" s="69"/>
      <c r="G4170" s="68"/>
      <c r="H4170" s="70"/>
      <c r="BA4170" s="4"/>
      <c r="BB4170" s="4"/>
    </row>
    <row r="4171" spans="1:54" x14ac:dyDescent="0.3">
      <c r="A4171" s="66"/>
      <c r="B4171" s="67"/>
      <c r="C4171" s="66"/>
      <c r="D4171" s="68"/>
      <c r="E4171" s="10"/>
      <c r="F4171" s="69"/>
      <c r="G4171" s="68"/>
      <c r="H4171" s="70"/>
      <c r="BA4171" s="4"/>
      <c r="BB4171" s="4"/>
    </row>
    <row r="4172" spans="1:54" x14ac:dyDescent="0.3">
      <c r="A4172" s="66"/>
      <c r="B4172" s="67"/>
      <c r="C4172" s="66"/>
      <c r="D4172" s="68"/>
      <c r="E4172" s="10"/>
      <c r="F4172" s="69"/>
      <c r="G4172" s="68"/>
      <c r="H4172" s="70"/>
      <c r="BA4172" s="4"/>
      <c r="BB4172" s="4"/>
    </row>
    <row r="4173" spans="1:54" x14ac:dyDescent="0.3">
      <c r="A4173" s="66"/>
      <c r="B4173" s="67"/>
      <c r="C4173" s="66"/>
      <c r="D4173" s="68"/>
      <c r="E4173" s="10"/>
      <c r="F4173" s="69"/>
      <c r="G4173" s="68"/>
      <c r="H4173" s="70"/>
      <c r="BA4173" s="4"/>
      <c r="BB4173" s="4"/>
    </row>
    <row r="4174" spans="1:54" x14ac:dyDescent="0.3">
      <c r="A4174" s="66"/>
      <c r="B4174" s="67"/>
      <c r="C4174" s="66"/>
      <c r="D4174" s="68"/>
      <c r="E4174" s="10"/>
      <c r="F4174" s="69"/>
      <c r="G4174" s="68"/>
      <c r="H4174" s="70"/>
      <c r="BA4174" s="4"/>
      <c r="BB4174" s="4"/>
    </row>
    <row r="4175" spans="1:54" x14ac:dyDescent="0.3">
      <c r="A4175" s="66"/>
      <c r="B4175" s="67"/>
      <c r="C4175" s="66"/>
      <c r="D4175" s="68"/>
      <c r="E4175" s="10"/>
      <c r="F4175" s="69"/>
      <c r="G4175" s="68"/>
      <c r="H4175" s="70"/>
      <c r="BA4175" s="4"/>
      <c r="BB4175" s="4"/>
    </row>
    <row r="4176" spans="1:54" x14ac:dyDescent="0.3">
      <c r="A4176" s="66"/>
      <c r="B4176" s="67"/>
      <c r="C4176" s="66"/>
      <c r="D4176" s="68"/>
      <c r="E4176" s="10"/>
      <c r="F4176" s="69"/>
      <c r="G4176" s="68"/>
      <c r="H4176" s="70"/>
      <c r="BA4176" s="4"/>
      <c r="BB4176" s="4"/>
    </row>
    <row r="4177" spans="1:54" x14ac:dyDescent="0.3">
      <c r="A4177" s="66"/>
      <c r="B4177" s="67"/>
      <c r="C4177" s="66"/>
      <c r="D4177" s="68"/>
      <c r="E4177" s="10"/>
      <c r="F4177" s="69"/>
      <c r="G4177" s="68"/>
      <c r="H4177" s="70"/>
      <c r="BA4177" s="4"/>
      <c r="BB4177" s="4"/>
    </row>
    <row r="4178" spans="1:54" x14ac:dyDescent="0.3">
      <c r="A4178" s="66"/>
      <c r="B4178" s="67"/>
      <c r="C4178" s="66"/>
      <c r="D4178" s="68"/>
      <c r="E4178" s="10"/>
      <c r="F4178" s="69"/>
      <c r="G4178" s="68"/>
      <c r="H4178" s="70"/>
      <c r="BA4178" s="4"/>
      <c r="BB4178" s="4"/>
    </row>
    <row r="4179" spans="1:54" x14ac:dyDescent="0.3">
      <c r="A4179" s="66"/>
      <c r="B4179" s="67"/>
      <c r="C4179" s="66"/>
      <c r="D4179" s="68"/>
      <c r="E4179" s="10"/>
      <c r="F4179" s="69"/>
      <c r="G4179" s="68"/>
      <c r="H4179" s="70"/>
      <c r="BA4179" s="4"/>
      <c r="BB4179" s="4"/>
    </row>
    <row r="4180" spans="1:54" x14ac:dyDescent="0.3">
      <c r="A4180" s="66"/>
      <c r="B4180" s="67"/>
      <c r="C4180" s="66"/>
      <c r="D4180" s="68"/>
      <c r="E4180" s="10"/>
      <c r="F4180" s="69"/>
      <c r="G4180" s="68"/>
      <c r="H4180" s="70"/>
      <c r="BA4180" s="4"/>
      <c r="BB4180" s="4"/>
    </row>
    <row r="4181" spans="1:54" x14ac:dyDescent="0.3">
      <c r="A4181" s="66"/>
      <c r="B4181" s="67"/>
      <c r="C4181" s="66"/>
      <c r="D4181" s="68"/>
      <c r="E4181" s="10"/>
      <c r="F4181" s="69"/>
      <c r="G4181" s="68"/>
      <c r="H4181" s="70"/>
      <c r="BA4181" s="4"/>
      <c r="BB4181" s="4"/>
    </row>
    <row r="4182" spans="1:54" x14ac:dyDescent="0.3">
      <c r="A4182" s="66"/>
      <c r="B4182" s="67"/>
      <c r="C4182" s="66"/>
      <c r="D4182" s="68"/>
      <c r="E4182" s="10"/>
      <c r="F4182" s="69"/>
      <c r="G4182" s="68"/>
      <c r="H4182" s="70"/>
      <c r="BA4182" s="4"/>
      <c r="BB4182" s="4"/>
    </row>
    <row r="4183" spans="1:54" x14ac:dyDescent="0.3">
      <c r="A4183" s="66"/>
      <c r="B4183" s="67"/>
      <c r="C4183" s="66"/>
      <c r="D4183" s="68"/>
      <c r="E4183" s="10"/>
      <c r="F4183" s="69"/>
      <c r="G4183" s="68"/>
      <c r="H4183" s="70"/>
      <c r="BA4183" s="4"/>
      <c r="BB4183" s="4"/>
    </row>
    <row r="4184" spans="1:54" x14ac:dyDescent="0.3">
      <c r="A4184" s="66"/>
      <c r="B4184" s="67"/>
      <c r="C4184" s="66"/>
      <c r="D4184" s="68"/>
      <c r="E4184" s="10"/>
      <c r="F4184" s="69"/>
      <c r="G4184" s="68"/>
      <c r="H4184" s="70"/>
      <c r="BA4184" s="4"/>
      <c r="BB4184" s="4"/>
    </row>
    <row r="4185" spans="1:54" x14ac:dyDescent="0.3">
      <c r="A4185" s="66"/>
      <c r="B4185" s="67"/>
      <c r="C4185" s="66"/>
      <c r="D4185" s="68"/>
      <c r="E4185" s="10"/>
      <c r="F4185" s="69"/>
      <c r="G4185" s="68"/>
      <c r="H4185" s="70"/>
      <c r="BA4185" s="4"/>
      <c r="BB4185" s="4"/>
    </row>
    <row r="4186" spans="1:54" x14ac:dyDescent="0.3">
      <c r="A4186" s="66"/>
      <c r="B4186" s="67"/>
      <c r="C4186" s="66"/>
      <c r="D4186" s="68"/>
      <c r="E4186" s="10"/>
      <c r="F4186" s="69"/>
      <c r="G4186" s="68"/>
      <c r="H4186" s="70"/>
      <c r="BA4186" s="4"/>
      <c r="BB4186" s="4"/>
    </row>
    <row r="4187" spans="1:54" x14ac:dyDescent="0.3">
      <c r="A4187" s="66"/>
      <c r="B4187" s="67"/>
      <c r="C4187" s="66"/>
      <c r="D4187" s="68"/>
      <c r="E4187" s="10"/>
      <c r="F4187" s="69"/>
      <c r="G4187" s="68"/>
      <c r="H4187" s="70"/>
      <c r="BA4187" s="4"/>
      <c r="BB4187" s="4"/>
    </row>
    <row r="4188" spans="1:54" x14ac:dyDescent="0.3">
      <c r="A4188" s="66"/>
      <c r="B4188" s="67"/>
      <c r="C4188" s="66"/>
      <c r="D4188" s="68"/>
      <c r="E4188" s="10"/>
      <c r="F4188" s="69"/>
      <c r="G4188" s="68"/>
      <c r="H4188" s="70"/>
      <c r="BA4188" s="4"/>
      <c r="BB4188" s="4"/>
    </row>
    <row r="4189" spans="1:54" x14ac:dyDescent="0.3">
      <c r="A4189" s="66"/>
      <c r="B4189" s="67"/>
      <c r="C4189" s="66"/>
      <c r="D4189" s="68"/>
      <c r="E4189" s="10"/>
      <c r="F4189" s="69"/>
      <c r="G4189" s="68"/>
      <c r="H4189" s="70"/>
      <c r="BA4189" s="4"/>
      <c r="BB4189" s="4"/>
    </row>
    <row r="4190" spans="1:54" x14ac:dyDescent="0.3">
      <c r="A4190" s="66"/>
      <c r="B4190" s="67"/>
      <c r="C4190" s="66"/>
      <c r="D4190" s="68"/>
      <c r="E4190" s="10"/>
      <c r="F4190" s="69"/>
      <c r="G4190" s="68"/>
      <c r="H4190" s="70"/>
      <c r="BA4190" s="4"/>
      <c r="BB4190" s="4"/>
    </row>
    <row r="4191" spans="1:54" x14ac:dyDescent="0.3">
      <c r="A4191" s="66"/>
      <c r="B4191" s="67"/>
      <c r="C4191" s="66"/>
      <c r="D4191" s="68"/>
      <c r="E4191" s="10"/>
      <c r="F4191" s="69"/>
      <c r="G4191" s="68"/>
      <c r="H4191" s="70"/>
      <c r="BA4191" s="4"/>
      <c r="BB4191" s="4"/>
    </row>
    <row r="4192" spans="1:54" x14ac:dyDescent="0.3">
      <c r="A4192" s="66"/>
      <c r="B4192" s="67"/>
      <c r="C4192" s="66"/>
      <c r="D4192" s="68"/>
      <c r="E4192" s="10"/>
      <c r="F4192" s="69"/>
      <c r="G4192" s="68"/>
      <c r="H4192" s="70"/>
      <c r="BA4192" s="4"/>
      <c r="BB4192" s="4"/>
    </row>
    <row r="4193" spans="1:54" x14ac:dyDescent="0.3">
      <c r="A4193" s="66"/>
      <c r="B4193" s="67"/>
      <c r="C4193" s="66"/>
      <c r="D4193" s="68"/>
      <c r="E4193" s="10"/>
      <c r="F4193" s="69"/>
      <c r="G4193" s="68"/>
      <c r="H4193" s="70"/>
      <c r="BA4193" s="4"/>
      <c r="BB4193" s="4"/>
    </row>
    <row r="4194" spans="1:54" x14ac:dyDescent="0.3">
      <c r="A4194" s="66"/>
      <c r="B4194" s="67"/>
      <c r="C4194" s="66"/>
      <c r="D4194" s="68"/>
      <c r="E4194" s="10"/>
      <c r="F4194" s="69"/>
      <c r="G4194" s="68"/>
      <c r="H4194" s="70"/>
      <c r="BA4194" s="4"/>
      <c r="BB4194" s="4"/>
    </row>
    <row r="4195" spans="1:54" x14ac:dyDescent="0.3">
      <c r="A4195" s="66"/>
      <c r="B4195" s="67"/>
      <c r="C4195" s="66"/>
      <c r="D4195" s="68"/>
      <c r="E4195" s="10"/>
      <c r="F4195" s="69"/>
      <c r="G4195" s="68"/>
      <c r="H4195" s="70"/>
      <c r="BA4195" s="4"/>
      <c r="BB4195" s="4"/>
    </row>
    <row r="4196" spans="1:54" x14ac:dyDescent="0.3">
      <c r="A4196" s="66"/>
      <c r="B4196" s="67"/>
      <c r="C4196" s="66"/>
      <c r="D4196" s="68"/>
      <c r="E4196" s="10"/>
      <c r="F4196" s="69"/>
      <c r="G4196" s="68"/>
      <c r="H4196" s="70"/>
      <c r="BA4196" s="4"/>
      <c r="BB4196" s="4"/>
    </row>
    <row r="4197" spans="1:54" x14ac:dyDescent="0.3">
      <c r="A4197" s="66"/>
      <c r="B4197" s="67"/>
      <c r="C4197" s="66"/>
      <c r="D4197" s="68"/>
      <c r="E4197" s="10"/>
      <c r="F4197" s="69"/>
      <c r="G4197" s="68"/>
      <c r="H4197" s="70"/>
      <c r="BA4197" s="4"/>
      <c r="BB4197" s="4"/>
    </row>
    <row r="4198" spans="1:54" x14ac:dyDescent="0.3">
      <c r="A4198" s="66"/>
      <c r="B4198" s="67"/>
      <c r="C4198" s="66"/>
      <c r="D4198" s="68"/>
      <c r="E4198" s="10"/>
      <c r="F4198" s="69"/>
      <c r="G4198" s="68"/>
      <c r="H4198" s="70"/>
      <c r="BA4198" s="4"/>
      <c r="BB4198" s="4"/>
    </row>
    <row r="4199" spans="1:54" x14ac:dyDescent="0.3">
      <c r="A4199" s="66"/>
      <c r="B4199" s="67"/>
      <c r="C4199" s="66"/>
      <c r="D4199" s="68"/>
      <c r="E4199" s="10"/>
      <c r="F4199" s="69"/>
      <c r="G4199" s="68"/>
      <c r="H4199" s="70"/>
      <c r="BA4199" s="4"/>
      <c r="BB4199" s="4"/>
    </row>
    <row r="4200" spans="1:54" x14ac:dyDescent="0.3">
      <c r="A4200" s="66"/>
      <c r="B4200" s="67"/>
      <c r="C4200" s="66"/>
      <c r="D4200" s="68"/>
      <c r="E4200" s="10"/>
      <c r="F4200" s="69"/>
      <c r="G4200" s="68"/>
      <c r="H4200" s="70"/>
      <c r="BA4200" s="4"/>
      <c r="BB4200" s="4"/>
    </row>
    <row r="4201" spans="1:54" x14ac:dyDescent="0.3">
      <c r="A4201" s="66"/>
      <c r="B4201" s="67"/>
      <c r="C4201" s="66"/>
      <c r="D4201" s="68"/>
      <c r="E4201" s="10"/>
      <c r="F4201" s="69"/>
      <c r="G4201" s="68"/>
      <c r="H4201" s="70"/>
      <c r="BA4201" s="4"/>
      <c r="BB4201" s="4"/>
    </row>
    <row r="4202" spans="1:54" x14ac:dyDescent="0.3">
      <c r="A4202" s="66"/>
      <c r="B4202" s="67"/>
      <c r="C4202" s="66"/>
      <c r="D4202" s="68"/>
      <c r="E4202" s="10"/>
      <c r="F4202" s="69"/>
      <c r="G4202" s="68"/>
      <c r="H4202" s="70"/>
      <c r="BA4202" s="4"/>
      <c r="BB4202" s="4"/>
    </row>
    <row r="4203" spans="1:54" x14ac:dyDescent="0.3">
      <c r="A4203" s="66"/>
      <c r="B4203" s="67"/>
      <c r="C4203" s="66"/>
      <c r="D4203" s="68"/>
      <c r="E4203" s="10"/>
      <c r="F4203" s="69"/>
      <c r="G4203" s="68"/>
      <c r="H4203" s="70"/>
      <c r="BA4203" s="4"/>
      <c r="BB4203" s="4"/>
    </row>
    <row r="4204" spans="1:54" x14ac:dyDescent="0.3">
      <c r="A4204" s="66"/>
      <c r="B4204" s="67"/>
      <c r="C4204" s="66"/>
      <c r="D4204" s="68"/>
      <c r="E4204" s="10"/>
      <c r="F4204" s="69"/>
      <c r="G4204" s="68"/>
      <c r="H4204" s="70"/>
      <c r="BA4204" s="4"/>
      <c r="BB4204" s="4"/>
    </row>
    <row r="4205" spans="1:54" x14ac:dyDescent="0.3">
      <c r="A4205" s="66"/>
      <c r="B4205" s="67"/>
      <c r="C4205" s="66"/>
      <c r="D4205" s="68"/>
      <c r="E4205" s="10"/>
      <c r="F4205" s="69"/>
      <c r="G4205" s="68"/>
      <c r="H4205" s="70"/>
      <c r="BA4205" s="4"/>
      <c r="BB4205" s="4"/>
    </row>
    <row r="4206" spans="1:54" x14ac:dyDescent="0.3">
      <c r="A4206" s="66"/>
      <c r="B4206" s="67"/>
      <c r="C4206" s="66"/>
      <c r="D4206" s="68"/>
      <c r="E4206" s="10"/>
      <c r="F4206" s="69"/>
      <c r="G4206" s="68"/>
      <c r="H4206" s="70"/>
      <c r="BA4206" s="4"/>
      <c r="BB4206" s="4"/>
    </row>
    <row r="4207" spans="1:54" x14ac:dyDescent="0.3">
      <c r="A4207" s="66"/>
      <c r="B4207" s="67"/>
      <c r="C4207" s="66"/>
      <c r="D4207" s="68"/>
      <c r="E4207" s="10"/>
      <c r="F4207" s="69"/>
      <c r="G4207" s="68"/>
      <c r="H4207" s="70"/>
      <c r="BA4207" s="4"/>
      <c r="BB4207" s="4"/>
    </row>
    <row r="4208" spans="1:54" x14ac:dyDescent="0.3">
      <c r="A4208" s="66"/>
      <c r="B4208" s="67"/>
      <c r="C4208" s="66"/>
      <c r="D4208" s="68"/>
      <c r="E4208" s="10"/>
      <c r="F4208" s="69"/>
      <c r="G4208" s="68"/>
      <c r="H4208" s="70"/>
      <c r="BA4208" s="4"/>
      <c r="BB4208" s="4"/>
    </row>
    <row r="4209" spans="1:54" x14ac:dyDescent="0.3">
      <c r="A4209" s="66"/>
      <c r="B4209" s="67"/>
      <c r="C4209" s="66"/>
      <c r="D4209" s="68"/>
      <c r="E4209" s="10"/>
      <c r="F4209" s="69"/>
      <c r="G4209" s="68"/>
      <c r="H4209" s="70"/>
      <c r="BA4209" s="4"/>
      <c r="BB4209" s="4"/>
    </row>
    <row r="4210" spans="1:54" x14ac:dyDescent="0.3">
      <c r="A4210" s="66"/>
      <c r="B4210" s="67"/>
      <c r="C4210" s="66"/>
      <c r="D4210" s="68"/>
      <c r="E4210" s="10"/>
      <c r="F4210" s="69"/>
      <c r="G4210" s="68"/>
      <c r="H4210" s="70"/>
      <c r="BA4210" s="4"/>
      <c r="BB4210" s="4"/>
    </row>
    <row r="4211" spans="1:54" x14ac:dyDescent="0.3">
      <c r="A4211" s="66"/>
      <c r="B4211" s="67"/>
      <c r="C4211" s="66"/>
      <c r="D4211" s="68"/>
      <c r="E4211" s="10"/>
      <c r="F4211" s="69"/>
      <c r="G4211" s="68"/>
      <c r="H4211" s="70"/>
      <c r="BA4211" s="4"/>
      <c r="BB4211" s="4"/>
    </row>
    <row r="4212" spans="1:54" x14ac:dyDescent="0.3">
      <c r="A4212" s="66"/>
      <c r="B4212" s="67"/>
      <c r="C4212" s="66"/>
      <c r="D4212" s="68"/>
      <c r="E4212" s="10"/>
      <c r="F4212" s="69"/>
      <c r="G4212" s="68"/>
      <c r="H4212" s="70"/>
      <c r="BA4212" s="4"/>
      <c r="BB4212" s="4"/>
    </row>
    <row r="4213" spans="1:54" x14ac:dyDescent="0.3">
      <c r="A4213" s="66"/>
      <c r="B4213" s="67"/>
      <c r="C4213" s="66"/>
      <c r="D4213" s="68"/>
      <c r="E4213" s="10"/>
      <c r="F4213" s="69"/>
      <c r="G4213" s="68"/>
      <c r="H4213" s="70"/>
      <c r="BA4213" s="4"/>
      <c r="BB4213" s="4"/>
    </row>
    <row r="4214" spans="1:54" x14ac:dyDescent="0.3">
      <c r="A4214" s="66"/>
      <c r="B4214" s="67"/>
      <c r="C4214" s="66"/>
      <c r="D4214" s="68"/>
      <c r="E4214" s="10"/>
      <c r="F4214" s="69"/>
      <c r="G4214" s="68"/>
      <c r="H4214" s="70"/>
      <c r="BA4214" s="4"/>
      <c r="BB4214" s="4"/>
    </row>
    <row r="4215" spans="1:54" x14ac:dyDescent="0.3">
      <c r="A4215" s="66"/>
      <c r="B4215" s="67"/>
      <c r="C4215" s="66"/>
      <c r="D4215" s="68"/>
      <c r="E4215" s="10"/>
      <c r="F4215" s="69"/>
      <c r="G4215" s="68"/>
      <c r="H4215" s="70"/>
      <c r="BA4215" s="4"/>
      <c r="BB4215" s="4"/>
    </row>
    <row r="4216" spans="1:54" x14ac:dyDescent="0.3">
      <c r="A4216" s="66"/>
      <c r="B4216" s="67"/>
      <c r="C4216" s="66"/>
      <c r="D4216" s="68"/>
      <c r="E4216" s="10"/>
      <c r="F4216" s="69"/>
      <c r="G4216" s="68"/>
      <c r="H4216" s="70"/>
      <c r="BA4216" s="4"/>
      <c r="BB4216" s="4"/>
    </row>
    <row r="4217" spans="1:54" x14ac:dyDescent="0.3">
      <c r="A4217" s="66"/>
      <c r="B4217" s="67"/>
      <c r="C4217" s="66"/>
      <c r="D4217" s="68"/>
      <c r="E4217" s="10"/>
      <c r="F4217" s="69"/>
      <c r="G4217" s="68"/>
      <c r="H4217" s="70"/>
      <c r="BA4217" s="4"/>
      <c r="BB4217" s="4"/>
    </row>
    <row r="4218" spans="1:54" x14ac:dyDescent="0.3">
      <c r="A4218" s="66"/>
      <c r="B4218" s="67"/>
      <c r="C4218" s="66"/>
      <c r="D4218" s="68"/>
      <c r="E4218" s="10"/>
      <c r="F4218" s="69"/>
      <c r="G4218" s="68"/>
      <c r="H4218" s="70"/>
      <c r="BA4218" s="4"/>
      <c r="BB4218" s="4"/>
    </row>
    <row r="4219" spans="1:54" x14ac:dyDescent="0.3">
      <c r="A4219" s="66"/>
      <c r="B4219" s="67"/>
      <c r="C4219" s="66"/>
      <c r="D4219" s="68"/>
      <c r="E4219" s="10"/>
      <c r="F4219" s="69"/>
      <c r="G4219" s="68"/>
      <c r="H4219" s="70"/>
      <c r="BA4219" s="4"/>
      <c r="BB4219" s="4"/>
    </row>
    <row r="4220" spans="1:54" x14ac:dyDescent="0.3">
      <c r="A4220" s="66"/>
      <c r="B4220" s="67"/>
      <c r="C4220" s="66"/>
      <c r="D4220" s="68"/>
      <c r="E4220" s="10"/>
      <c r="F4220" s="69"/>
      <c r="G4220" s="68"/>
      <c r="H4220" s="70"/>
      <c r="BA4220" s="4"/>
      <c r="BB4220" s="4"/>
    </row>
    <row r="4221" spans="1:54" x14ac:dyDescent="0.3">
      <c r="A4221" s="66"/>
      <c r="B4221" s="67"/>
      <c r="C4221" s="66"/>
      <c r="D4221" s="68"/>
      <c r="E4221" s="10"/>
      <c r="F4221" s="69"/>
      <c r="G4221" s="68"/>
      <c r="H4221" s="70"/>
      <c r="BA4221" s="4"/>
      <c r="BB4221" s="4"/>
    </row>
    <row r="4222" spans="1:54" x14ac:dyDescent="0.3">
      <c r="A4222" s="66"/>
      <c r="B4222" s="67"/>
      <c r="C4222" s="66"/>
      <c r="D4222" s="68"/>
      <c r="E4222" s="10"/>
      <c r="F4222" s="69"/>
      <c r="G4222" s="68"/>
      <c r="H4222" s="70"/>
      <c r="BA4222" s="4"/>
      <c r="BB4222" s="4"/>
    </row>
    <row r="4223" spans="1:54" x14ac:dyDescent="0.3">
      <c r="A4223" s="66"/>
      <c r="B4223" s="67"/>
      <c r="C4223" s="66"/>
      <c r="D4223" s="68"/>
      <c r="E4223" s="10"/>
      <c r="F4223" s="69"/>
      <c r="G4223" s="68"/>
      <c r="H4223" s="70"/>
      <c r="BA4223" s="4"/>
      <c r="BB4223" s="4"/>
    </row>
    <row r="4224" spans="1:54" x14ac:dyDescent="0.3">
      <c r="A4224" s="66"/>
      <c r="B4224" s="67"/>
      <c r="C4224" s="66"/>
      <c r="D4224" s="68"/>
      <c r="E4224" s="10"/>
      <c r="F4224" s="69"/>
      <c r="G4224" s="68"/>
      <c r="H4224" s="70"/>
      <c r="BA4224" s="4"/>
      <c r="BB4224" s="4"/>
    </row>
    <row r="4225" spans="1:54" x14ac:dyDescent="0.3">
      <c r="A4225" s="66"/>
      <c r="B4225" s="67"/>
      <c r="C4225" s="66"/>
      <c r="D4225" s="68"/>
      <c r="E4225" s="10"/>
      <c r="F4225" s="69"/>
      <c r="G4225" s="68"/>
      <c r="H4225" s="70"/>
      <c r="BA4225" s="4"/>
      <c r="BB4225" s="4"/>
    </row>
    <row r="4226" spans="1:54" x14ac:dyDescent="0.3">
      <c r="A4226" s="66"/>
      <c r="B4226" s="67"/>
      <c r="C4226" s="66"/>
      <c r="D4226" s="68"/>
      <c r="E4226" s="10"/>
      <c r="F4226" s="69"/>
      <c r="G4226" s="68"/>
      <c r="H4226" s="70"/>
      <c r="BA4226" s="4"/>
      <c r="BB4226" s="4"/>
    </row>
    <row r="4227" spans="1:54" x14ac:dyDescent="0.3">
      <c r="A4227" s="66"/>
      <c r="B4227" s="67"/>
      <c r="C4227" s="66"/>
      <c r="D4227" s="68"/>
      <c r="E4227" s="10"/>
      <c r="F4227" s="69"/>
      <c r="G4227" s="68"/>
      <c r="H4227" s="70"/>
      <c r="BA4227" s="4"/>
      <c r="BB4227" s="4"/>
    </row>
    <row r="4228" spans="1:54" x14ac:dyDescent="0.3">
      <c r="A4228" s="66"/>
      <c r="B4228" s="67"/>
      <c r="C4228" s="66"/>
      <c r="D4228" s="68"/>
      <c r="E4228" s="10"/>
      <c r="F4228" s="69"/>
      <c r="G4228" s="68"/>
      <c r="H4228" s="70"/>
      <c r="BA4228" s="4"/>
      <c r="BB4228" s="4"/>
    </row>
    <row r="4229" spans="1:54" x14ac:dyDescent="0.3">
      <c r="A4229" s="66"/>
      <c r="B4229" s="67"/>
      <c r="C4229" s="66"/>
      <c r="D4229" s="68"/>
      <c r="E4229" s="10"/>
      <c r="F4229" s="69"/>
      <c r="G4229" s="68"/>
      <c r="H4229" s="70"/>
      <c r="BA4229" s="4"/>
      <c r="BB4229" s="4"/>
    </row>
    <row r="4230" spans="1:54" x14ac:dyDescent="0.3">
      <c r="A4230" s="66"/>
      <c r="B4230" s="67"/>
      <c r="C4230" s="66"/>
      <c r="D4230" s="68"/>
      <c r="E4230" s="10"/>
      <c r="F4230" s="69"/>
      <c r="G4230" s="68"/>
      <c r="H4230" s="70"/>
      <c r="BA4230" s="4"/>
      <c r="BB4230" s="4"/>
    </row>
    <row r="4231" spans="1:54" x14ac:dyDescent="0.3">
      <c r="A4231" s="66"/>
      <c r="B4231" s="67"/>
      <c r="C4231" s="66"/>
      <c r="D4231" s="68"/>
      <c r="E4231" s="10"/>
      <c r="F4231" s="69"/>
      <c r="G4231" s="68"/>
      <c r="H4231" s="70"/>
      <c r="BA4231" s="4"/>
      <c r="BB4231" s="4"/>
    </row>
    <row r="4232" spans="1:54" x14ac:dyDescent="0.3">
      <c r="A4232" s="66"/>
      <c r="B4232" s="67"/>
      <c r="C4232" s="66"/>
      <c r="D4232" s="68"/>
      <c r="E4232" s="10"/>
      <c r="F4232" s="69"/>
      <c r="G4232" s="68"/>
      <c r="H4232" s="70"/>
      <c r="BA4232" s="4"/>
      <c r="BB4232" s="4"/>
    </row>
    <row r="4233" spans="1:54" x14ac:dyDescent="0.3">
      <c r="A4233" s="66"/>
      <c r="B4233" s="67"/>
      <c r="C4233" s="66"/>
      <c r="D4233" s="68"/>
      <c r="E4233" s="10"/>
      <c r="F4233" s="69"/>
      <c r="G4233" s="68"/>
      <c r="H4233" s="70"/>
      <c r="BA4233" s="4"/>
      <c r="BB4233" s="4"/>
    </row>
    <row r="4234" spans="1:54" x14ac:dyDescent="0.3">
      <c r="A4234" s="66"/>
      <c r="B4234" s="67"/>
      <c r="C4234" s="66"/>
      <c r="D4234" s="68"/>
      <c r="E4234" s="10"/>
      <c r="F4234" s="69"/>
      <c r="G4234" s="68"/>
      <c r="H4234" s="70"/>
      <c r="BA4234" s="4"/>
      <c r="BB4234" s="4"/>
    </row>
    <row r="4235" spans="1:54" x14ac:dyDescent="0.3">
      <c r="A4235" s="66"/>
      <c r="B4235" s="67"/>
      <c r="C4235" s="66"/>
      <c r="D4235" s="68"/>
      <c r="E4235" s="10"/>
      <c r="F4235" s="69"/>
      <c r="G4235" s="68"/>
      <c r="H4235" s="70"/>
      <c r="BA4235" s="4"/>
      <c r="BB4235" s="4"/>
    </row>
    <row r="4236" spans="1:54" x14ac:dyDescent="0.3">
      <c r="A4236" s="66"/>
      <c r="B4236" s="67"/>
      <c r="C4236" s="66"/>
      <c r="D4236" s="68"/>
      <c r="E4236" s="10"/>
      <c r="F4236" s="69"/>
      <c r="G4236" s="68"/>
      <c r="H4236" s="70"/>
      <c r="BA4236" s="4"/>
      <c r="BB4236" s="4"/>
    </row>
    <row r="4237" spans="1:54" x14ac:dyDescent="0.3">
      <c r="A4237" s="66"/>
      <c r="B4237" s="67"/>
      <c r="C4237" s="66"/>
      <c r="D4237" s="68"/>
      <c r="E4237" s="10"/>
      <c r="F4237" s="69"/>
      <c r="G4237" s="68"/>
      <c r="H4237" s="70"/>
      <c r="BA4237" s="4"/>
      <c r="BB4237" s="4"/>
    </row>
    <row r="4238" spans="1:54" x14ac:dyDescent="0.3">
      <c r="A4238" s="66"/>
      <c r="B4238" s="67"/>
      <c r="C4238" s="66"/>
      <c r="D4238" s="68"/>
      <c r="E4238" s="10"/>
      <c r="F4238" s="69"/>
      <c r="G4238" s="68"/>
      <c r="H4238" s="70"/>
      <c r="BA4238" s="4"/>
      <c r="BB4238" s="4"/>
    </row>
    <row r="4239" spans="1:54" x14ac:dyDescent="0.3">
      <c r="A4239" s="66"/>
      <c r="B4239" s="67"/>
      <c r="C4239" s="66"/>
      <c r="D4239" s="68"/>
      <c r="E4239" s="10"/>
      <c r="F4239" s="69"/>
      <c r="G4239" s="68"/>
      <c r="H4239" s="70"/>
      <c r="BA4239" s="4"/>
      <c r="BB4239" s="4"/>
    </row>
    <row r="4240" spans="1:54" x14ac:dyDescent="0.3">
      <c r="A4240" s="66"/>
      <c r="B4240" s="67"/>
      <c r="C4240" s="66"/>
      <c r="D4240" s="68"/>
      <c r="E4240" s="10"/>
      <c r="F4240" s="69"/>
      <c r="G4240" s="68"/>
      <c r="H4240" s="70"/>
      <c r="BA4240" s="4"/>
      <c r="BB4240" s="4"/>
    </row>
    <row r="4241" spans="1:54" x14ac:dyDescent="0.3">
      <c r="A4241" s="66"/>
      <c r="B4241" s="67"/>
      <c r="C4241" s="66"/>
      <c r="D4241" s="68"/>
      <c r="E4241" s="10"/>
      <c r="F4241" s="69"/>
      <c r="G4241" s="68"/>
      <c r="H4241" s="70"/>
      <c r="BA4241" s="4"/>
      <c r="BB4241" s="4"/>
    </row>
    <row r="4242" spans="1:54" x14ac:dyDescent="0.3">
      <c r="A4242" s="66"/>
      <c r="B4242" s="67"/>
      <c r="C4242" s="66"/>
      <c r="D4242" s="68"/>
      <c r="E4242" s="10"/>
      <c r="F4242" s="69"/>
      <c r="G4242" s="68"/>
      <c r="H4242" s="70"/>
      <c r="BA4242" s="4"/>
      <c r="BB4242" s="4"/>
    </row>
    <row r="4243" spans="1:54" x14ac:dyDescent="0.3">
      <c r="A4243" s="66"/>
      <c r="B4243" s="67"/>
      <c r="C4243" s="66"/>
      <c r="D4243" s="68"/>
      <c r="E4243" s="10"/>
      <c r="F4243" s="69"/>
      <c r="G4243" s="68"/>
      <c r="H4243" s="70"/>
      <c r="BA4243" s="4"/>
      <c r="BB4243" s="4"/>
    </row>
    <row r="4244" spans="1:54" x14ac:dyDescent="0.3">
      <c r="A4244" s="66"/>
      <c r="B4244" s="67"/>
      <c r="C4244" s="66"/>
      <c r="D4244" s="68"/>
      <c r="E4244" s="10"/>
      <c r="F4244" s="69"/>
      <c r="G4244" s="68"/>
      <c r="H4244" s="70"/>
      <c r="BA4244" s="4"/>
      <c r="BB4244" s="4"/>
    </row>
    <row r="4245" spans="1:54" x14ac:dyDescent="0.3">
      <c r="A4245" s="66"/>
      <c r="B4245" s="67"/>
      <c r="C4245" s="66"/>
      <c r="D4245" s="68"/>
      <c r="E4245" s="10"/>
      <c r="F4245" s="69"/>
      <c r="G4245" s="68"/>
      <c r="H4245" s="70"/>
      <c r="BA4245" s="4"/>
      <c r="BB4245" s="4"/>
    </row>
    <row r="4246" spans="1:54" x14ac:dyDescent="0.3">
      <c r="A4246" s="66"/>
      <c r="B4246" s="67"/>
      <c r="C4246" s="66"/>
      <c r="D4246" s="68"/>
      <c r="E4246" s="10"/>
      <c r="F4246" s="69"/>
      <c r="G4246" s="68"/>
      <c r="H4246" s="70"/>
      <c r="BA4246" s="4"/>
      <c r="BB4246" s="4"/>
    </row>
    <row r="4247" spans="1:54" x14ac:dyDescent="0.3">
      <c r="A4247" s="66"/>
      <c r="B4247" s="67"/>
      <c r="C4247" s="66"/>
      <c r="D4247" s="68"/>
      <c r="E4247" s="10"/>
      <c r="F4247" s="69"/>
      <c r="G4247" s="68"/>
      <c r="H4247" s="70"/>
      <c r="BA4247" s="4"/>
      <c r="BB4247" s="4"/>
    </row>
    <row r="4248" spans="1:54" x14ac:dyDescent="0.3">
      <c r="A4248" s="66"/>
      <c r="B4248" s="67"/>
      <c r="C4248" s="66"/>
      <c r="D4248" s="68"/>
      <c r="E4248" s="10"/>
      <c r="F4248" s="69"/>
      <c r="G4248" s="68"/>
      <c r="H4248" s="70"/>
      <c r="BA4248" s="4"/>
      <c r="BB4248" s="4"/>
    </row>
    <row r="4249" spans="1:54" x14ac:dyDescent="0.3">
      <c r="A4249" s="66"/>
      <c r="B4249" s="67"/>
      <c r="C4249" s="66"/>
      <c r="D4249" s="68"/>
      <c r="E4249" s="10"/>
      <c r="F4249" s="69"/>
      <c r="G4249" s="68"/>
      <c r="H4249" s="70"/>
      <c r="BA4249" s="4"/>
      <c r="BB4249" s="4"/>
    </row>
    <row r="4250" spans="1:54" x14ac:dyDescent="0.3">
      <c r="A4250" s="66"/>
      <c r="B4250" s="67"/>
      <c r="C4250" s="66"/>
      <c r="D4250" s="68"/>
      <c r="E4250" s="10"/>
      <c r="F4250" s="69"/>
      <c r="G4250" s="68"/>
      <c r="H4250" s="70"/>
      <c r="BA4250" s="4"/>
      <c r="BB4250" s="4"/>
    </row>
    <row r="4251" spans="1:54" x14ac:dyDescent="0.3">
      <c r="A4251" s="66"/>
      <c r="B4251" s="67"/>
      <c r="C4251" s="66"/>
      <c r="D4251" s="68"/>
      <c r="E4251" s="10"/>
      <c r="F4251" s="69"/>
      <c r="G4251" s="68"/>
      <c r="H4251" s="70"/>
      <c r="BA4251" s="4"/>
      <c r="BB4251" s="4"/>
    </row>
    <row r="4252" spans="1:54" x14ac:dyDescent="0.3">
      <c r="A4252" s="66"/>
      <c r="B4252" s="67"/>
      <c r="C4252" s="66"/>
      <c r="D4252" s="68"/>
      <c r="E4252" s="10"/>
      <c r="F4252" s="69"/>
      <c r="G4252" s="68"/>
      <c r="H4252" s="70"/>
      <c r="BA4252" s="4"/>
      <c r="BB4252" s="4"/>
    </row>
    <row r="4253" spans="1:54" x14ac:dyDescent="0.3">
      <c r="A4253" s="66"/>
      <c r="B4253" s="67"/>
      <c r="C4253" s="66"/>
      <c r="D4253" s="68"/>
      <c r="E4253" s="10"/>
      <c r="F4253" s="69"/>
      <c r="G4253" s="68"/>
      <c r="H4253" s="70"/>
      <c r="BA4253" s="4"/>
      <c r="BB4253" s="4"/>
    </row>
    <row r="4254" spans="1:54" x14ac:dyDescent="0.3">
      <c r="A4254" s="66"/>
      <c r="B4254" s="67"/>
      <c r="C4254" s="66"/>
      <c r="D4254" s="68"/>
      <c r="E4254" s="10"/>
      <c r="F4254" s="69"/>
      <c r="G4254" s="68"/>
      <c r="H4254" s="70"/>
      <c r="BA4254" s="4"/>
      <c r="BB4254" s="4"/>
    </row>
    <row r="4255" spans="1:54" x14ac:dyDescent="0.3">
      <c r="A4255" s="66"/>
      <c r="B4255" s="67"/>
      <c r="C4255" s="66"/>
      <c r="D4255" s="68"/>
      <c r="E4255" s="10"/>
      <c r="F4255" s="69"/>
      <c r="G4255" s="68"/>
      <c r="H4255" s="70"/>
      <c r="BA4255" s="4"/>
      <c r="BB4255" s="4"/>
    </row>
    <row r="4256" spans="1:54" x14ac:dyDescent="0.3">
      <c r="A4256" s="66"/>
      <c r="B4256" s="67"/>
      <c r="C4256" s="66"/>
      <c r="D4256" s="68"/>
      <c r="E4256" s="10"/>
      <c r="F4256" s="69"/>
      <c r="G4256" s="68"/>
      <c r="H4256" s="70"/>
      <c r="BA4256" s="4"/>
      <c r="BB4256" s="4"/>
    </row>
    <row r="4257" spans="1:54" x14ac:dyDescent="0.3">
      <c r="A4257" s="66"/>
      <c r="B4257" s="67"/>
      <c r="C4257" s="66"/>
      <c r="D4257" s="68"/>
      <c r="E4257" s="10"/>
      <c r="F4257" s="69"/>
      <c r="G4257" s="68"/>
      <c r="H4257" s="70"/>
      <c r="BA4257" s="4"/>
      <c r="BB4257" s="4"/>
    </row>
    <row r="4258" spans="1:54" x14ac:dyDescent="0.3">
      <c r="A4258" s="66"/>
      <c r="B4258" s="67"/>
      <c r="C4258" s="66"/>
      <c r="D4258" s="68"/>
      <c r="E4258" s="10"/>
      <c r="F4258" s="69"/>
      <c r="G4258" s="68"/>
      <c r="H4258" s="70"/>
      <c r="BA4258" s="4"/>
      <c r="BB4258" s="4"/>
    </row>
    <row r="4259" spans="1:54" x14ac:dyDescent="0.3">
      <c r="A4259" s="66"/>
      <c r="B4259" s="67"/>
      <c r="C4259" s="66"/>
      <c r="D4259" s="68"/>
      <c r="E4259" s="10"/>
      <c r="F4259" s="69"/>
      <c r="G4259" s="68"/>
      <c r="H4259" s="70"/>
      <c r="BA4259" s="4"/>
      <c r="BB4259" s="4"/>
    </row>
    <row r="4260" spans="1:54" x14ac:dyDescent="0.3">
      <c r="A4260" s="66"/>
      <c r="B4260" s="67"/>
      <c r="C4260" s="66"/>
      <c r="D4260" s="68"/>
      <c r="E4260" s="10"/>
      <c r="F4260" s="69"/>
      <c r="G4260" s="68"/>
      <c r="H4260" s="70"/>
      <c r="BA4260" s="4"/>
      <c r="BB4260" s="4"/>
    </row>
    <row r="4261" spans="1:54" x14ac:dyDescent="0.3">
      <c r="A4261" s="66"/>
      <c r="B4261" s="67"/>
      <c r="C4261" s="66"/>
      <c r="D4261" s="68"/>
      <c r="E4261" s="10"/>
      <c r="F4261" s="69"/>
      <c r="G4261" s="68"/>
      <c r="H4261" s="70"/>
      <c r="BA4261" s="4"/>
      <c r="BB4261" s="4"/>
    </row>
    <row r="4262" spans="1:54" x14ac:dyDescent="0.3">
      <c r="A4262" s="66"/>
      <c r="B4262" s="67"/>
      <c r="C4262" s="66"/>
      <c r="D4262" s="68"/>
      <c r="E4262" s="10"/>
      <c r="F4262" s="69"/>
      <c r="G4262" s="68"/>
      <c r="H4262" s="70"/>
      <c r="BA4262" s="4"/>
      <c r="BB4262" s="4"/>
    </row>
    <row r="4263" spans="1:54" x14ac:dyDescent="0.3">
      <c r="A4263" s="66"/>
      <c r="B4263" s="67"/>
      <c r="C4263" s="66"/>
      <c r="D4263" s="68"/>
      <c r="E4263" s="10"/>
      <c r="F4263" s="69"/>
      <c r="G4263" s="68"/>
      <c r="H4263" s="70"/>
      <c r="BA4263" s="4"/>
      <c r="BB4263" s="4"/>
    </row>
    <row r="4264" spans="1:54" x14ac:dyDescent="0.3">
      <c r="A4264" s="66"/>
      <c r="B4264" s="67"/>
      <c r="C4264" s="66"/>
      <c r="D4264" s="68"/>
      <c r="E4264" s="10"/>
      <c r="F4264" s="69"/>
      <c r="G4264" s="68"/>
      <c r="H4264" s="70"/>
      <c r="BA4264" s="4"/>
      <c r="BB4264" s="4"/>
    </row>
    <row r="4265" spans="1:54" x14ac:dyDescent="0.3">
      <c r="A4265" s="66"/>
      <c r="B4265" s="67"/>
      <c r="C4265" s="66"/>
      <c r="D4265" s="68"/>
      <c r="E4265" s="10"/>
      <c r="F4265" s="69"/>
      <c r="G4265" s="68"/>
      <c r="H4265" s="70"/>
      <c r="BA4265" s="4"/>
      <c r="BB4265" s="4"/>
    </row>
    <row r="4266" spans="1:54" x14ac:dyDescent="0.3">
      <c r="A4266" s="66"/>
      <c r="B4266" s="67"/>
      <c r="C4266" s="66"/>
      <c r="D4266" s="68"/>
      <c r="E4266" s="10"/>
      <c r="F4266" s="69"/>
      <c r="G4266" s="68"/>
      <c r="H4266" s="70"/>
      <c r="BA4266" s="4"/>
      <c r="BB4266" s="4"/>
    </row>
    <row r="4267" spans="1:54" x14ac:dyDescent="0.3">
      <c r="A4267" s="66"/>
      <c r="B4267" s="67"/>
      <c r="C4267" s="66"/>
      <c r="D4267" s="68"/>
      <c r="E4267" s="10"/>
      <c r="F4267" s="69"/>
      <c r="G4267" s="68"/>
      <c r="H4267" s="70"/>
      <c r="BA4267" s="4"/>
      <c r="BB4267" s="4"/>
    </row>
    <row r="4268" spans="1:54" x14ac:dyDescent="0.3">
      <c r="A4268" s="66"/>
      <c r="B4268" s="67"/>
      <c r="C4268" s="66"/>
      <c r="D4268" s="68"/>
      <c r="E4268" s="10"/>
      <c r="F4268" s="69"/>
      <c r="G4268" s="68"/>
      <c r="H4268" s="70"/>
      <c r="BA4268" s="4"/>
      <c r="BB4268" s="4"/>
    </row>
    <row r="4269" spans="1:54" x14ac:dyDescent="0.3">
      <c r="A4269" s="66"/>
      <c r="B4269" s="67"/>
      <c r="C4269" s="66"/>
      <c r="D4269" s="68"/>
      <c r="E4269" s="10"/>
      <c r="F4269" s="69"/>
      <c r="G4269" s="68"/>
      <c r="H4269" s="70"/>
      <c r="BA4269" s="4"/>
      <c r="BB4269" s="4"/>
    </row>
    <row r="4270" spans="1:54" x14ac:dyDescent="0.3">
      <c r="A4270" s="66"/>
      <c r="B4270" s="67"/>
      <c r="C4270" s="66"/>
      <c r="D4270" s="68"/>
      <c r="E4270" s="10"/>
      <c r="F4270" s="69"/>
      <c r="G4270" s="68"/>
      <c r="H4270" s="70"/>
      <c r="BA4270" s="4"/>
      <c r="BB4270" s="4"/>
    </row>
    <row r="4271" spans="1:54" x14ac:dyDescent="0.3">
      <c r="A4271" s="66"/>
      <c r="B4271" s="67"/>
      <c r="C4271" s="66"/>
      <c r="D4271" s="68"/>
      <c r="E4271" s="10"/>
      <c r="F4271" s="69"/>
      <c r="G4271" s="68"/>
      <c r="H4271" s="70"/>
      <c r="BA4271" s="4"/>
      <c r="BB4271" s="4"/>
    </row>
    <row r="4272" spans="1:54" x14ac:dyDescent="0.3">
      <c r="A4272" s="66"/>
      <c r="B4272" s="67"/>
      <c r="C4272" s="66"/>
      <c r="D4272" s="68"/>
      <c r="E4272" s="10"/>
      <c r="F4272" s="69"/>
      <c r="G4272" s="68"/>
      <c r="H4272" s="70"/>
      <c r="BA4272" s="4"/>
      <c r="BB4272" s="4"/>
    </row>
    <row r="4273" spans="1:54" x14ac:dyDescent="0.3">
      <c r="A4273" s="66"/>
      <c r="B4273" s="67"/>
      <c r="C4273" s="66"/>
      <c r="D4273" s="68"/>
      <c r="E4273" s="10"/>
      <c r="F4273" s="69"/>
      <c r="G4273" s="68"/>
      <c r="H4273" s="70"/>
      <c r="BA4273" s="4"/>
      <c r="BB4273" s="4"/>
    </row>
    <row r="4274" spans="1:54" x14ac:dyDescent="0.3">
      <c r="A4274" s="66"/>
      <c r="B4274" s="67"/>
      <c r="C4274" s="66"/>
      <c r="D4274" s="68"/>
      <c r="E4274" s="10"/>
      <c r="F4274" s="69"/>
      <c r="G4274" s="68"/>
      <c r="H4274" s="70"/>
      <c r="BA4274" s="4"/>
      <c r="BB4274" s="4"/>
    </row>
    <row r="4275" spans="1:54" x14ac:dyDescent="0.3">
      <c r="A4275" s="66"/>
      <c r="B4275" s="67"/>
      <c r="C4275" s="66"/>
      <c r="D4275" s="68"/>
      <c r="E4275" s="10"/>
      <c r="F4275" s="69"/>
      <c r="G4275" s="68"/>
      <c r="H4275" s="70"/>
      <c r="BA4275" s="4"/>
      <c r="BB4275" s="4"/>
    </row>
    <row r="4276" spans="1:54" x14ac:dyDescent="0.3">
      <c r="A4276" s="66"/>
      <c r="B4276" s="67"/>
      <c r="C4276" s="66"/>
      <c r="D4276" s="68"/>
      <c r="E4276" s="10"/>
      <c r="F4276" s="69"/>
      <c r="G4276" s="68"/>
      <c r="H4276" s="70"/>
      <c r="BA4276" s="4"/>
      <c r="BB4276" s="4"/>
    </row>
    <row r="4277" spans="1:54" x14ac:dyDescent="0.3">
      <c r="A4277" s="66"/>
      <c r="B4277" s="67"/>
      <c r="C4277" s="66"/>
      <c r="D4277" s="68"/>
      <c r="E4277" s="10"/>
      <c r="F4277" s="69"/>
      <c r="G4277" s="68"/>
      <c r="H4277" s="70"/>
      <c r="BA4277" s="4"/>
      <c r="BB4277" s="4"/>
    </row>
    <row r="4278" spans="1:54" x14ac:dyDescent="0.3">
      <c r="A4278" s="66"/>
      <c r="B4278" s="67"/>
      <c r="C4278" s="66"/>
      <c r="D4278" s="68"/>
      <c r="E4278" s="10"/>
      <c r="F4278" s="69"/>
      <c r="G4278" s="68"/>
      <c r="H4278" s="70"/>
      <c r="BA4278" s="4"/>
      <c r="BB4278" s="4"/>
    </row>
    <row r="4279" spans="1:54" x14ac:dyDescent="0.3">
      <c r="A4279" s="66"/>
      <c r="B4279" s="67"/>
      <c r="C4279" s="66"/>
      <c r="D4279" s="68"/>
      <c r="E4279" s="10"/>
      <c r="F4279" s="69"/>
      <c r="G4279" s="68"/>
      <c r="H4279" s="70"/>
      <c r="BA4279" s="4"/>
      <c r="BB4279" s="4"/>
    </row>
    <row r="4280" spans="1:54" x14ac:dyDescent="0.3">
      <c r="A4280" s="66"/>
      <c r="B4280" s="67"/>
      <c r="C4280" s="66"/>
      <c r="D4280" s="68"/>
      <c r="E4280" s="10"/>
      <c r="F4280" s="69"/>
      <c r="G4280" s="68"/>
      <c r="H4280" s="70"/>
      <c r="BA4280" s="4"/>
      <c r="BB4280" s="4"/>
    </row>
    <row r="4281" spans="1:54" x14ac:dyDescent="0.3">
      <c r="A4281" s="66"/>
      <c r="B4281" s="67"/>
      <c r="C4281" s="66"/>
      <c r="D4281" s="68"/>
      <c r="E4281" s="10"/>
      <c r="F4281" s="69"/>
      <c r="G4281" s="68"/>
      <c r="H4281" s="70"/>
      <c r="BA4281" s="4"/>
      <c r="BB4281" s="4"/>
    </row>
    <row r="4282" spans="1:54" x14ac:dyDescent="0.3">
      <c r="A4282" s="66"/>
      <c r="B4282" s="67"/>
      <c r="C4282" s="66"/>
      <c r="D4282" s="68"/>
      <c r="E4282" s="10"/>
      <c r="F4282" s="69"/>
      <c r="G4282" s="68"/>
      <c r="H4282" s="70"/>
      <c r="BA4282" s="4"/>
      <c r="BB4282" s="4"/>
    </row>
    <row r="4283" spans="1:54" x14ac:dyDescent="0.3">
      <c r="A4283" s="66"/>
      <c r="B4283" s="67"/>
      <c r="C4283" s="66"/>
      <c r="D4283" s="68"/>
      <c r="E4283" s="10"/>
      <c r="F4283" s="69"/>
      <c r="G4283" s="68"/>
      <c r="H4283" s="70"/>
      <c r="BA4283" s="4"/>
      <c r="BB4283" s="4"/>
    </row>
    <row r="4284" spans="1:54" x14ac:dyDescent="0.3">
      <c r="A4284" s="66"/>
      <c r="B4284" s="67"/>
      <c r="C4284" s="66"/>
      <c r="D4284" s="68"/>
      <c r="E4284" s="10"/>
      <c r="F4284" s="69"/>
      <c r="G4284" s="68"/>
      <c r="H4284" s="70"/>
      <c r="BA4284" s="4"/>
      <c r="BB4284" s="4"/>
    </row>
    <row r="4285" spans="1:54" x14ac:dyDescent="0.3">
      <c r="A4285" s="66"/>
      <c r="B4285" s="67"/>
      <c r="C4285" s="66"/>
      <c r="D4285" s="68"/>
      <c r="E4285" s="10"/>
      <c r="F4285" s="69"/>
      <c r="G4285" s="68"/>
      <c r="H4285" s="70"/>
      <c r="BA4285" s="4"/>
      <c r="BB4285" s="4"/>
    </row>
    <row r="4286" spans="1:54" x14ac:dyDescent="0.3">
      <c r="A4286" s="66"/>
      <c r="B4286" s="67"/>
      <c r="C4286" s="66"/>
      <c r="D4286" s="68"/>
      <c r="E4286" s="10"/>
      <c r="F4286" s="69"/>
      <c r="G4286" s="68"/>
      <c r="H4286" s="70"/>
      <c r="BA4286" s="4"/>
      <c r="BB4286" s="4"/>
    </row>
    <row r="4287" spans="1:54" x14ac:dyDescent="0.3">
      <c r="A4287" s="66"/>
      <c r="B4287" s="67"/>
      <c r="C4287" s="66"/>
      <c r="D4287" s="68"/>
      <c r="E4287" s="10"/>
      <c r="F4287" s="69"/>
      <c r="G4287" s="68"/>
      <c r="H4287" s="70"/>
      <c r="BA4287" s="4"/>
      <c r="BB4287" s="4"/>
    </row>
    <row r="4288" spans="1:54" x14ac:dyDescent="0.3">
      <c r="A4288" s="66"/>
      <c r="B4288" s="67"/>
      <c r="C4288" s="66"/>
      <c r="D4288" s="68"/>
      <c r="E4288" s="10"/>
      <c r="F4288" s="69"/>
      <c r="G4288" s="68"/>
      <c r="H4288" s="70"/>
      <c r="BA4288" s="4"/>
      <c r="BB4288" s="4"/>
    </row>
    <row r="4289" spans="1:54" x14ac:dyDescent="0.3">
      <c r="A4289" s="66"/>
      <c r="B4289" s="67"/>
      <c r="C4289" s="66"/>
      <c r="D4289" s="68"/>
      <c r="E4289" s="10"/>
      <c r="F4289" s="69"/>
      <c r="G4289" s="68"/>
      <c r="H4289" s="70"/>
      <c r="BA4289" s="4"/>
      <c r="BB4289" s="4"/>
    </row>
    <row r="4290" spans="1:54" x14ac:dyDescent="0.3">
      <c r="A4290" s="66"/>
      <c r="B4290" s="67"/>
      <c r="C4290" s="66"/>
      <c r="D4290" s="68"/>
      <c r="E4290" s="10"/>
      <c r="F4290" s="69"/>
      <c r="G4290" s="68"/>
      <c r="H4290" s="70"/>
      <c r="BA4290" s="4"/>
      <c r="BB4290" s="4"/>
    </row>
    <row r="4291" spans="1:54" x14ac:dyDescent="0.3">
      <c r="A4291" s="66"/>
      <c r="B4291" s="67"/>
      <c r="C4291" s="66"/>
      <c r="D4291" s="68"/>
      <c r="E4291" s="10"/>
      <c r="F4291" s="69"/>
      <c r="G4291" s="68"/>
      <c r="H4291" s="70"/>
      <c r="BA4291" s="4"/>
      <c r="BB4291" s="4"/>
    </row>
    <row r="4292" spans="1:54" x14ac:dyDescent="0.3">
      <c r="A4292" s="66"/>
      <c r="B4292" s="67"/>
      <c r="C4292" s="66"/>
      <c r="D4292" s="68"/>
      <c r="E4292" s="10"/>
      <c r="F4292" s="69"/>
      <c r="G4292" s="68"/>
      <c r="H4292" s="70"/>
      <c r="BA4292" s="4"/>
      <c r="BB4292" s="4"/>
    </row>
    <row r="4293" spans="1:54" x14ac:dyDescent="0.3">
      <c r="A4293" s="66"/>
      <c r="B4293" s="67"/>
      <c r="C4293" s="66"/>
      <c r="D4293" s="68"/>
      <c r="E4293" s="10"/>
      <c r="F4293" s="69"/>
      <c r="G4293" s="68"/>
      <c r="H4293" s="70"/>
      <c r="BA4293" s="4"/>
      <c r="BB4293" s="4"/>
    </row>
    <row r="4294" spans="1:54" x14ac:dyDescent="0.3">
      <c r="A4294" s="66"/>
      <c r="B4294" s="67"/>
      <c r="C4294" s="66"/>
      <c r="D4294" s="68"/>
      <c r="E4294" s="10"/>
      <c r="F4294" s="69"/>
      <c r="G4294" s="68"/>
      <c r="H4294" s="70"/>
      <c r="BA4294" s="4"/>
      <c r="BB4294" s="4"/>
    </row>
    <row r="4295" spans="1:54" x14ac:dyDescent="0.3">
      <c r="A4295" s="66"/>
      <c r="B4295" s="67"/>
      <c r="C4295" s="66"/>
      <c r="D4295" s="68"/>
      <c r="E4295" s="10"/>
      <c r="F4295" s="69"/>
      <c r="G4295" s="68"/>
      <c r="H4295" s="70"/>
      <c r="BA4295" s="4"/>
      <c r="BB4295" s="4"/>
    </row>
    <row r="4296" spans="1:54" x14ac:dyDescent="0.3">
      <c r="A4296" s="66"/>
      <c r="B4296" s="67"/>
      <c r="C4296" s="66"/>
      <c r="D4296" s="68"/>
      <c r="E4296" s="10"/>
      <c r="F4296" s="69"/>
      <c r="G4296" s="68"/>
      <c r="H4296" s="70"/>
      <c r="BA4296" s="4"/>
      <c r="BB4296" s="4"/>
    </row>
    <row r="4297" spans="1:54" x14ac:dyDescent="0.3">
      <c r="A4297" s="66"/>
      <c r="B4297" s="67"/>
      <c r="C4297" s="66"/>
      <c r="D4297" s="68"/>
      <c r="E4297" s="10"/>
      <c r="F4297" s="69"/>
      <c r="G4297" s="68"/>
      <c r="H4297" s="70"/>
      <c r="BA4297" s="4"/>
      <c r="BB4297" s="4"/>
    </row>
    <row r="4298" spans="1:54" x14ac:dyDescent="0.3">
      <c r="A4298" s="66"/>
      <c r="B4298" s="67"/>
      <c r="C4298" s="66"/>
      <c r="D4298" s="68"/>
      <c r="E4298" s="10"/>
      <c r="F4298" s="69"/>
      <c r="G4298" s="68"/>
      <c r="H4298" s="70"/>
      <c r="BA4298" s="4"/>
      <c r="BB4298" s="4"/>
    </row>
    <row r="4299" spans="1:54" x14ac:dyDescent="0.3">
      <c r="A4299" s="66"/>
      <c r="B4299" s="67"/>
      <c r="C4299" s="66"/>
      <c r="D4299" s="68"/>
      <c r="E4299" s="10"/>
      <c r="F4299" s="69"/>
      <c r="G4299" s="68"/>
      <c r="H4299" s="70"/>
      <c r="BA4299" s="4"/>
      <c r="BB4299" s="4"/>
    </row>
    <row r="4300" spans="1:54" x14ac:dyDescent="0.3">
      <c r="A4300" s="66"/>
      <c r="B4300" s="67"/>
      <c r="C4300" s="66"/>
      <c r="D4300" s="68"/>
      <c r="E4300" s="10"/>
      <c r="F4300" s="69"/>
      <c r="G4300" s="68"/>
      <c r="H4300" s="70"/>
      <c r="BA4300" s="4"/>
      <c r="BB4300" s="4"/>
    </row>
    <row r="4301" spans="1:54" x14ac:dyDescent="0.3">
      <c r="A4301" s="66"/>
      <c r="B4301" s="67"/>
      <c r="C4301" s="66"/>
      <c r="D4301" s="68"/>
      <c r="E4301" s="10"/>
      <c r="F4301" s="69"/>
      <c r="G4301" s="68"/>
      <c r="H4301" s="70"/>
      <c r="BA4301" s="4"/>
      <c r="BB4301" s="4"/>
    </row>
    <row r="4302" spans="1:54" x14ac:dyDescent="0.3">
      <c r="A4302" s="66"/>
      <c r="B4302" s="67"/>
      <c r="C4302" s="66"/>
      <c r="D4302" s="68"/>
      <c r="E4302" s="10"/>
      <c r="F4302" s="69"/>
      <c r="G4302" s="68"/>
      <c r="H4302" s="70"/>
      <c r="BA4302" s="4"/>
      <c r="BB4302" s="4"/>
    </row>
    <row r="4303" spans="1:54" x14ac:dyDescent="0.3">
      <c r="A4303" s="66"/>
      <c r="B4303" s="67"/>
      <c r="C4303" s="66"/>
      <c r="D4303" s="68"/>
      <c r="E4303" s="10"/>
      <c r="F4303" s="69"/>
      <c r="G4303" s="68"/>
      <c r="H4303" s="70"/>
      <c r="BA4303" s="4"/>
      <c r="BB4303" s="4"/>
    </row>
    <row r="4304" spans="1:54" x14ac:dyDescent="0.3">
      <c r="A4304" s="66"/>
      <c r="B4304" s="67"/>
      <c r="C4304" s="66"/>
      <c r="D4304" s="68"/>
      <c r="E4304" s="10"/>
      <c r="F4304" s="69"/>
      <c r="G4304" s="68"/>
      <c r="H4304" s="70"/>
      <c r="BA4304" s="4"/>
      <c r="BB4304" s="4"/>
    </row>
    <row r="4305" spans="1:54" x14ac:dyDescent="0.3">
      <c r="A4305" s="66"/>
      <c r="B4305" s="67"/>
      <c r="C4305" s="66"/>
      <c r="D4305" s="68"/>
      <c r="E4305" s="10"/>
      <c r="F4305" s="69"/>
      <c r="G4305" s="68"/>
      <c r="H4305" s="70"/>
      <c r="BA4305" s="4"/>
      <c r="BB4305" s="4"/>
    </row>
    <row r="4306" spans="1:54" x14ac:dyDescent="0.3">
      <c r="A4306" s="66"/>
      <c r="B4306" s="67"/>
      <c r="C4306" s="66"/>
      <c r="D4306" s="68"/>
      <c r="E4306" s="10"/>
      <c r="F4306" s="69"/>
      <c r="G4306" s="68"/>
      <c r="H4306" s="70"/>
      <c r="BA4306" s="4"/>
      <c r="BB4306" s="4"/>
    </row>
    <row r="4307" spans="1:54" x14ac:dyDescent="0.3">
      <c r="A4307" s="66"/>
      <c r="B4307" s="67"/>
      <c r="C4307" s="66"/>
      <c r="D4307" s="68"/>
      <c r="E4307" s="10"/>
      <c r="F4307" s="69"/>
      <c r="G4307" s="68"/>
      <c r="H4307" s="70"/>
      <c r="BA4307" s="4"/>
      <c r="BB4307" s="4"/>
    </row>
    <row r="4308" spans="1:54" x14ac:dyDescent="0.3">
      <c r="A4308" s="66"/>
      <c r="B4308" s="67"/>
      <c r="C4308" s="66"/>
      <c r="D4308" s="68"/>
      <c r="E4308" s="10"/>
      <c r="F4308" s="69"/>
      <c r="G4308" s="68"/>
      <c r="H4308" s="70"/>
      <c r="BA4308" s="4"/>
      <c r="BB4308" s="4"/>
    </row>
    <row r="4309" spans="1:54" x14ac:dyDescent="0.3">
      <c r="A4309" s="66"/>
      <c r="B4309" s="67"/>
      <c r="C4309" s="66"/>
      <c r="D4309" s="68"/>
      <c r="E4309" s="10"/>
      <c r="F4309" s="69"/>
      <c r="G4309" s="68"/>
      <c r="H4309" s="70"/>
      <c r="BA4309" s="4"/>
      <c r="BB4309" s="4"/>
    </row>
    <row r="4310" spans="1:54" x14ac:dyDescent="0.3">
      <c r="A4310" s="66"/>
      <c r="B4310" s="67"/>
      <c r="C4310" s="66"/>
      <c r="D4310" s="68"/>
      <c r="E4310" s="10"/>
      <c r="F4310" s="69"/>
      <c r="G4310" s="68"/>
      <c r="H4310" s="70"/>
      <c r="BA4310" s="4"/>
      <c r="BB4310" s="4"/>
    </row>
    <row r="4311" spans="1:54" x14ac:dyDescent="0.3">
      <c r="A4311" s="66"/>
      <c r="B4311" s="67"/>
      <c r="C4311" s="66"/>
      <c r="D4311" s="68"/>
      <c r="E4311" s="10"/>
      <c r="F4311" s="69"/>
      <c r="G4311" s="68"/>
      <c r="H4311" s="70"/>
      <c r="BA4311" s="4"/>
      <c r="BB4311" s="4"/>
    </row>
    <row r="4312" spans="1:54" x14ac:dyDescent="0.3">
      <c r="A4312" s="66"/>
      <c r="B4312" s="67"/>
      <c r="C4312" s="66"/>
      <c r="D4312" s="68"/>
      <c r="E4312" s="10"/>
      <c r="F4312" s="69"/>
      <c r="G4312" s="68"/>
      <c r="H4312" s="70"/>
      <c r="BA4312" s="4"/>
      <c r="BB4312" s="4"/>
    </row>
    <row r="4313" spans="1:54" x14ac:dyDescent="0.3">
      <c r="A4313" s="66"/>
      <c r="B4313" s="67"/>
      <c r="C4313" s="66"/>
      <c r="D4313" s="68"/>
      <c r="E4313" s="10"/>
      <c r="F4313" s="69"/>
      <c r="G4313" s="68"/>
      <c r="H4313" s="70"/>
      <c r="BA4313" s="4"/>
      <c r="BB4313" s="4"/>
    </row>
    <row r="4314" spans="1:54" x14ac:dyDescent="0.3">
      <c r="A4314" s="66"/>
      <c r="B4314" s="67"/>
      <c r="C4314" s="66"/>
      <c r="D4314" s="68"/>
      <c r="E4314" s="10"/>
      <c r="F4314" s="69"/>
      <c r="G4314" s="68"/>
      <c r="H4314" s="70"/>
      <c r="BA4314" s="4"/>
      <c r="BB4314" s="4"/>
    </row>
    <row r="4315" spans="1:54" x14ac:dyDescent="0.3">
      <c r="A4315" s="66"/>
      <c r="B4315" s="67"/>
      <c r="C4315" s="66"/>
      <c r="D4315" s="68"/>
      <c r="E4315" s="10"/>
      <c r="F4315" s="69"/>
      <c r="G4315" s="68"/>
      <c r="H4315" s="70"/>
      <c r="BA4315" s="4"/>
      <c r="BB4315" s="4"/>
    </row>
    <row r="4316" spans="1:54" x14ac:dyDescent="0.3">
      <c r="A4316" s="66"/>
      <c r="B4316" s="67"/>
      <c r="C4316" s="66"/>
      <c r="D4316" s="68"/>
      <c r="E4316" s="10"/>
      <c r="F4316" s="69"/>
      <c r="G4316" s="68"/>
      <c r="H4316" s="70"/>
      <c r="BA4316" s="4"/>
      <c r="BB4316" s="4"/>
    </row>
    <row r="4317" spans="1:54" x14ac:dyDescent="0.3">
      <c r="A4317" s="66"/>
      <c r="B4317" s="67"/>
      <c r="C4317" s="66"/>
      <c r="D4317" s="68"/>
      <c r="E4317" s="10"/>
      <c r="F4317" s="69"/>
      <c r="G4317" s="68"/>
      <c r="H4317" s="70"/>
      <c r="BA4317" s="4"/>
      <c r="BB4317" s="4"/>
    </row>
    <row r="4318" spans="1:54" x14ac:dyDescent="0.3">
      <c r="A4318" s="66"/>
      <c r="B4318" s="67"/>
      <c r="C4318" s="66"/>
      <c r="D4318" s="68"/>
      <c r="E4318" s="10"/>
      <c r="F4318" s="69"/>
      <c r="G4318" s="68"/>
      <c r="H4318" s="70"/>
      <c r="BA4318" s="4"/>
      <c r="BB4318" s="4"/>
    </row>
    <row r="4319" spans="1:54" x14ac:dyDescent="0.3">
      <c r="A4319" s="66"/>
      <c r="B4319" s="67"/>
      <c r="C4319" s="66"/>
      <c r="D4319" s="68"/>
      <c r="E4319" s="10"/>
      <c r="F4319" s="69"/>
      <c r="G4319" s="68"/>
      <c r="H4319" s="70"/>
      <c r="BA4319" s="4"/>
      <c r="BB4319" s="4"/>
    </row>
    <row r="4320" spans="1:54" x14ac:dyDescent="0.3">
      <c r="A4320" s="66"/>
      <c r="B4320" s="67"/>
      <c r="C4320" s="66"/>
      <c r="D4320" s="68"/>
      <c r="E4320" s="10"/>
      <c r="F4320" s="69"/>
      <c r="G4320" s="68"/>
      <c r="H4320" s="70"/>
      <c r="BA4320" s="4"/>
      <c r="BB4320" s="4"/>
    </row>
    <row r="4321" spans="1:54" x14ac:dyDescent="0.3">
      <c r="A4321" s="66"/>
      <c r="B4321" s="67"/>
      <c r="C4321" s="66"/>
      <c r="D4321" s="68"/>
      <c r="E4321" s="10"/>
      <c r="F4321" s="69"/>
      <c r="G4321" s="68"/>
      <c r="H4321" s="70"/>
      <c r="BA4321" s="4"/>
      <c r="BB4321" s="4"/>
    </row>
    <row r="4322" spans="1:54" x14ac:dyDescent="0.3">
      <c r="A4322" s="66"/>
      <c r="B4322" s="67"/>
      <c r="C4322" s="66"/>
      <c r="D4322" s="68"/>
      <c r="E4322" s="10"/>
      <c r="F4322" s="69"/>
      <c r="G4322" s="68"/>
      <c r="H4322" s="70"/>
      <c r="BA4322" s="4"/>
      <c r="BB4322" s="4"/>
    </row>
    <row r="4323" spans="1:54" x14ac:dyDescent="0.3">
      <c r="A4323" s="66"/>
      <c r="B4323" s="67"/>
      <c r="C4323" s="66"/>
      <c r="D4323" s="68"/>
      <c r="E4323" s="10"/>
      <c r="F4323" s="69"/>
      <c r="G4323" s="68"/>
      <c r="H4323" s="70"/>
      <c r="BA4323" s="4"/>
      <c r="BB4323" s="4"/>
    </row>
    <row r="4324" spans="1:54" x14ac:dyDescent="0.3">
      <c r="A4324" s="66"/>
      <c r="B4324" s="67"/>
      <c r="C4324" s="66"/>
      <c r="D4324" s="68"/>
      <c r="E4324" s="10"/>
      <c r="F4324" s="69"/>
      <c r="G4324" s="68"/>
      <c r="H4324" s="70"/>
      <c r="BA4324" s="4"/>
      <c r="BB4324" s="4"/>
    </row>
    <row r="4325" spans="1:54" x14ac:dyDescent="0.3">
      <c r="A4325" s="66"/>
      <c r="B4325" s="67"/>
      <c r="C4325" s="66"/>
      <c r="D4325" s="68"/>
      <c r="E4325" s="10"/>
      <c r="F4325" s="69"/>
      <c r="G4325" s="68"/>
      <c r="H4325" s="70"/>
      <c r="BA4325" s="4"/>
      <c r="BB4325" s="4"/>
    </row>
    <row r="4326" spans="1:54" x14ac:dyDescent="0.3">
      <c r="A4326" s="66"/>
      <c r="B4326" s="67"/>
      <c r="C4326" s="66"/>
      <c r="D4326" s="68"/>
      <c r="E4326" s="10"/>
      <c r="F4326" s="69"/>
      <c r="G4326" s="68"/>
      <c r="H4326" s="70"/>
      <c r="BA4326" s="4"/>
      <c r="BB4326" s="4"/>
    </row>
    <row r="4327" spans="1:54" x14ac:dyDescent="0.3">
      <c r="A4327" s="66"/>
      <c r="B4327" s="67"/>
      <c r="C4327" s="66"/>
      <c r="D4327" s="68"/>
      <c r="E4327" s="10"/>
      <c r="F4327" s="69"/>
      <c r="G4327" s="68"/>
      <c r="H4327" s="70"/>
      <c r="BA4327" s="4"/>
      <c r="BB4327" s="4"/>
    </row>
    <row r="4328" spans="1:54" x14ac:dyDescent="0.3">
      <c r="A4328" s="66"/>
      <c r="B4328" s="67"/>
      <c r="C4328" s="66"/>
      <c r="D4328" s="68"/>
      <c r="E4328" s="10"/>
      <c r="F4328" s="69"/>
      <c r="G4328" s="68"/>
      <c r="H4328" s="70"/>
      <c r="BA4328" s="4"/>
      <c r="BB4328" s="4"/>
    </row>
    <row r="4329" spans="1:54" x14ac:dyDescent="0.3">
      <c r="A4329" s="66"/>
      <c r="B4329" s="67"/>
      <c r="C4329" s="66"/>
      <c r="D4329" s="68"/>
      <c r="E4329" s="10"/>
      <c r="F4329" s="69"/>
      <c r="G4329" s="68"/>
      <c r="H4329" s="70"/>
      <c r="BA4329" s="4"/>
      <c r="BB4329" s="4"/>
    </row>
    <row r="4330" spans="1:54" x14ac:dyDescent="0.3">
      <c r="A4330" s="66"/>
      <c r="B4330" s="67"/>
      <c r="C4330" s="66"/>
      <c r="D4330" s="68"/>
      <c r="E4330" s="10"/>
      <c r="F4330" s="69"/>
      <c r="G4330" s="68"/>
      <c r="H4330" s="70"/>
      <c r="BA4330" s="4"/>
      <c r="BB4330" s="4"/>
    </row>
    <row r="4331" spans="1:54" x14ac:dyDescent="0.3">
      <c r="A4331" s="66"/>
      <c r="B4331" s="67"/>
      <c r="C4331" s="66"/>
      <c r="D4331" s="68"/>
      <c r="E4331" s="10"/>
      <c r="F4331" s="69"/>
      <c r="G4331" s="68"/>
      <c r="H4331" s="70"/>
      <c r="BA4331" s="4"/>
      <c r="BB4331" s="4"/>
    </row>
    <row r="4332" spans="1:54" x14ac:dyDescent="0.3">
      <c r="A4332" s="66"/>
      <c r="B4332" s="67"/>
      <c r="C4332" s="66"/>
      <c r="D4332" s="68"/>
      <c r="E4332" s="10"/>
      <c r="F4332" s="69"/>
      <c r="G4332" s="68"/>
      <c r="H4332" s="70"/>
      <c r="BA4332" s="4"/>
      <c r="BB4332" s="4"/>
    </row>
    <row r="4333" spans="1:54" x14ac:dyDescent="0.3">
      <c r="A4333" s="66"/>
      <c r="B4333" s="67"/>
      <c r="C4333" s="66"/>
      <c r="D4333" s="68"/>
      <c r="E4333" s="10"/>
      <c r="F4333" s="69"/>
      <c r="G4333" s="68"/>
      <c r="H4333" s="70"/>
      <c r="BA4333" s="4"/>
      <c r="BB4333" s="4"/>
    </row>
    <row r="4334" spans="1:54" x14ac:dyDescent="0.3">
      <c r="A4334" s="66"/>
      <c r="B4334" s="67"/>
      <c r="C4334" s="66"/>
      <c r="D4334" s="68"/>
      <c r="E4334" s="10"/>
      <c r="F4334" s="69"/>
      <c r="G4334" s="68"/>
      <c r="H4334" s="70"/>
      <c r="BA4334" s="4"/>
      <c r="BB4334" s="4"/>
    </row>
    <row r="4335" spans="1:54" x14ac:dyDescent="0.3">
      <c r="A4335" s="66"/>
      <c r="B4335" s="67"/>
      <c r="C4335" s="66"/>
      <c r="D4335" s="68"/>
      <c r="E4335" s="10"/>
      <c r="F4335" s="69"/>
      <c r="G4335" s="68"/>
      <c r="H4335" s="70"/>
      <c r="BA4335" s="4"/>
      <c r="BB4335" s="4"/>
    </row>
    <row r="4336" spans="1:54" x14ac:dyDescent="0.3">
      <c r="A4336" s="66"/>
      <c r="B4336" s="67"/>
      <c r="C4336" s="66"/>
      <c r="D4336" s="68"/>
      <c r="E4336" s="10"/>
      <c r="F4336" s="69"/>
      <c r="G4336" s="68"/>
      <c r="H4336" s="70"/>
      <c r="BA4336" s="4"/>
      <c r="BB4336" s="4"/>
    </row>
    <row r="4337" spans="1:54" x14ac:dyDescent="0.3">
      <c r="A4337" s="66"/>
      <c r="B4337" s="67"/>
      <c r="C4337" s="66"/>
      <c r="D4337" s="68"/>
      <c r="E4337" s="10"/>
      <c r="F4337" s="69"/>
      <c r="G4337" s="68"/>
      <c r="H4337" s="70"/>
      <c r="BA4337" s="4"/>
      <c r="BB4337" s="4"/>
    </row>
    <row r="4338" spans="1:54" x14ac:dyDescent="0.3">
      <c r="A4338" s="66"/>
      <c r="B4338" s="67"/>
      <c r="C4338" s="66"/>
      <c r="D4338" s="68"/>
      <c r="E4338" s="10"/>
      <c r="F4338" s="69"/>
      <c r="G4338" s="68"/>
      <c r="H4338" s="70"/>
      <c r="BA4338" s="4"/>
      <c r="BB4338" s="4"/>
    </row>
    <row r="4339" spans="1:54" x14ac:dyDescent="0.3">
      <c r="A4339" s="66"/>
      <c r="B4339" s="67"/>
      <c r="C4339" s="66"/>
      <c r="D4339" s="68"/>
      <c r="E4339" s="10"/>
      <c r="F4339" s="69"/>
      <c r="G4339" s="68"/>
      <c r="H4339" s="70"/>
      <c r="BA4339" s="4"/>
      <c r="BB4339" s="4"/>
    </row>
    <row r="4340" spans="1:54" x14ac:dyDescent="0.3">
      <c r="A4340" s="66"/>
      <c r="B4340" s="67"/>
      <c r="C4340" s="66"/>
      <c r="D4340" s="68"/>
      <c r="E4340" s="10"/>
      <c r="F4340" s="69"/>
      <c r="G4340" s="68"/>
      <c r="H4340" s="70"/>
      <c r="BA4340" s="4"/>
      <c r="BB4340" s="4"/>
    </row>
    <row r="4341" spans="1:54" x14ac:dyDescent="0.3">
      <c r="A4341" s="66"/>
      <c r="B4341" s="67"/>
      <c r="C4341" s="66"/>
      <c r="D4341" s="68"/>
      <c r="E4341" s="10"/>
      <c r="F4341" s="69"/>
      <c r="G4341" s="68"/>
      <c r="H4341" s="70"/>
      <c r="BA4341" s="4"/>
      <c r="BB4341" s="4"/>
    </row>
    <row r="4342" spans="1:54" x14ac:dyDescent="0.3">
      <c r="A4342" s="66"/>
      <c r="B4342" s="67"/>
      <c r="C4342" s="66"/>
      <c r="D4342" s="68"/>
      <c r="E4342" s="10"/>
      <c r="F4342" s="69"/>
      <c r="G4342" s="68"/>
      <c r="H4342" s="70"/>
      <c r="BA4342" s="4"/>
      <c r="BB4342" s="4"/>
    </row>
    <row r="4343" spans="1:54" x14ac:dyDescent="0.3">
      <c r="A4343" s="66"/>
      <c r="B4343" s="67"/>
      <c r="C4343" s="66"/>
      <c r="D4343" s="68"/>
      <c r="E4343" s="10"/>
      <c r="F4343" s="69"/>
      <c r="G4343" s="68"/>
      <c r="H4343" s="70"/>
      <c r="BA4343" s="4"/>
      <c r="BB4343" s="4"/>
    </row>
    <row r="4344" spans="1:54" x14ac:dyDescent="0.3">
      <c r="A4344" s="66"/>
      <c r="B4344" s="67"/>
      <c r="C4344" s="66"/>
      <c r="D4344" s="68"/>
      <c r="E4344" s="10"/>
      <c r="F4344" s="69"/>
      <c r="G4344" s="68"/>
      <c r="H4344" s="70"/>
      <c r="BA4344" s="4"/>
      <c r="BB4344" s="4"/>
    </row>
    <row r="4345" spans="1:54" x14ac:dyDescent="0.3">
      <c r="A4345" s="66"/>
      <c r="B4345" s="67"/>
      <c r="C4345" s="66"/>
      <c r="D4345" s="68"/>
      <c r="E4345" s="10"/>
      <c r="F4345" s="69"/>
      <c r="G4345" s="68"/>
      <c r="H4345" s="70"/>
      <c r="BA4345" s="4"/>
      <c r="BB4345" s="4"/>
    </row>
    <row r="4346" spans="1:54" x14ac:dyDescent="0.3">
      <c r="A4346" s="66"/>
      <c r="B4346" s="67"/>
      <c r="C4346" s="66"/>
      <c r="D4346" s="68"/>
      <c r="E4346" s="10"/>
      <c r="F4346" s="69"/>
      <c r="G4346" s="68"/>
      <c r="H4346" s="70"/>
      <c r="BA4346" s="4"/>
      <c r="BB4346" s="4"/>
    </row>
    <row r="4347" spans="1:54" x14ac:dyDescent="0.3">
      <c r="A4347" s="66"/>
      <c r="B4347" s="67"/>
      <c r="C4347" s="66"/>
      <c r="D4347" s="68"/>
      <c r="E4347" s="10"/>
      <c r="F4347" s="69"/>
      <c r="G4347" s="68"/>
      <c r="H4347" s="70"/>
      <c r="BA4347" s="4"/>
      <c r="BB4347" s="4"/>
    </row>
    <row r="4348" spans="1:54" x14ac:dyDescent="0.3">
      <c r="A4348" s="66"/>
      <c r="B4348" s="67"/>
      <c r="C4348" s="66"/>
      <c r="D4348" s="68"/>
      <c r="E4348" s="10"/>
      <c r="F4348" s="69"/>
      <c r="G4348" s="68"/>
      <c r="H4348" s="70"/>
      <c r="BA4348" s="4"/>
      <c r="BB4348" s="4"/>
    </row>
    <row r="4349" spans="1:54" x14ac:dyDescent="0.3">
      <c r="A4349" s="66"/>
      <c r="B4349" s="67"/>
      <c r="C4349" s="66"/>
      <c r="D4349" s="68"/>
      <c r="E4349" s="10"/>
      <c r="F4349" s="69"/>
      <c r="G4349" s="68"/>
      <c r="H4349" s="70"/>
      <c r="BA4349" s="4"/>
      <c r="BB4349" s="4"/>
    </row>
    <row r="4350" spans="1:54" x14ac:dyDescent="0.3">
      <c r="A4350" s="66"/>
      <c r="B4350" s="67"/>
      <c r="C4350" s="66"/>
      <c r="D4350" s="68"/>
      <c r="E4350" s="10"/>
      <c r="F4350" s="69"/>
      <c r="G4350" s="68"/>
      <c r="H4350" s="70"/>
      <c r="BA4350" s="4"/>
      <c r="BB4350" s="4"/>
    </row>
    <row r="4351" spans="1:54" x14ac:dyDescent="0.3">
      <c r="A4351" s="66"/>
      <c r="B4351" s="67"/>
      <c r="C4351" s="66"/>
      <c r="D4351" s="68"/>
      <c r="E4351" s="10"/>
      <c r="F4351" s="69"/>
      <c r="G4351" s="68"/>
      <c r="H4351" s="70"/>
      <c r="BA4351" s="4"/>
      <c r="BB4351" s="4"/>
    </row>
    <row r="4352" spans="1:54" x14ac:dyDescent="0.3">
      <c r="A4352" s="66"/>
      <c r="B4352" s="67"/>
      <c r="C4352" s="66"/>
      <c r="D4352" s="68"/>
      <c r="E4352" s="10"/>
      <c r="F4352" s="69"/>
      <c r="G4352" s="68"/>
      <c r="H4352" s="70"/>
      <c r="BA4352" s="4"/>
      <c r="BB4352" s="4"/>
    </row>
    <row r="4353" spans="1:54" x14ac:dyDescent="0.3">
      <c r="A4353" s="66"/>
      <c r="B4353" s="67"/>
      <c r="C4353" s="66"/>
      <c r="D4353" s="68"/>
      <c r="E4353" s="10"/>
      <c r="F4353" s="69"/>
      <c r="G4353" s="68"/>
      <c r="H4353" s="70"/>
      <c r="BA4353" s="4"/>
      <c r="BB4353" s="4"/>
    </row>
    <row r="4354" spans="1:54" x14ac:dyDescent="0.3">
      <c r="A4354" s="66"/>
      <c r="B4354" s="67"/>
      <c r="C4354" s="66"/>
      <c r="D4354" s="68"/>
      <c r="E4354" s="10"/>
      <c r="F4354" s="69"/>
      <c r="G4354" s="68"/>
      <c r="H4354" s="70"/>
      <c r="BA4354" s="4"/>
      <c r="BB4354" s="4"/>
    </row>
    <row r="4355" spans="1:54" x14ac:dyDescent="0.3">
      <c r="A4355" s="66"/>
      <c r="B4355" s="67"/>
      <c r="C4355" s="66"/>
      <c r="D4355" s="68"/>
      <c r="E4355" s="10"/>
      <c r="F4355" s="69"/>
      <c r="G4355" s="68"/>
      <c r="H4355" s="70"/>
      <c r="BA4355" s="4"/>
      <c r="BB4355" s="4"/>
    </row>
    <row r="4356" spans="1:54" x14ac:dyDescent="0.3">
      <c r="A4356" s="66"/>
      <c r="B4356" s="67"/>
      <c r="C4356" s="66"/>
      <c r="D4356" s="68"/>
      <c r="E4356" s="10"/>
      <c r="F4356" s="69"/>
      <c r="G4356" s="68"/>
      <c r="H4356" s="70"/>
      <c r="BA4356" s="4"/>
      <c r="BB4356" s="4"/>
    </row>
    <row r="4357" spans="1:54" x14ac:dyDescent="0.3">
      <c r="A4357" s="66"/>
      <c r="B4357" s="67"/>
      <c r="C4357" s="66"/>
      <c r="D4357" s="68"/>
      <c r="E4357" s="10"/>
      <c r="F4357" s="69"/>
      <c r="G4357" s="68"/>
      <c r="H4357" s="70"/>
      <c r="BA4357" s="4"/>
      <c r="BB4357" s="4"/>
    </row>
    <row r="4358" spans="1:54" x14ac:dyDescent="0.3">
      <c r="A4358" s="66"/>
      <c r="B4358" s="67"/>
      <c r="C4358" s="66"/>
      <c r="D4358" s="68"/>
      <c r="E4358" s="10"/>
      <c r="F4358" s="69"/>
      <c r="G4358" s="68"/>
      <c r="H4358" s="70"/>
      <c r="BA4358" s="4"/>
      <c r="BB4358" s="4"/>
    </row>
    <row r="4359" spans="1:54" x14ac:dyDescent="0.3">
      <c r="A4359" s="66"/>
      <c r="B4359" s="67"/>
      <c r="C4359" s="66"/>
      <c r="D4359" s="68"/>
      <c r="E4359" s="10"/>
      <c r="F4359" s="69"/>
      <c r="G4359" s="68"/>
      <c r="H4359" s="70"/>
      <c r="BA4359" s="4"/>
      <c r="BB4359" s="4"/>
    </row>
    <row r="4360" spans="1:54" x14ac:dyDescent="0.3">
      <c r="A4360" s="66"/>
      <c r="B4360" s="67"/>
      <c r="C4360" s="66"/>
      <c r="D4360" s="68"/>
      <c r="E4360" s="10"/>
      <c r="F4360" s="69"/>
      <c r="G4360" s="68"/>
      <c r="H4360" s="70"/>
      <c r="BA4360" s="4"/>
      <c r="BB4360" s="4"/>
    </row>
    <row r="4361" spans="1:54" x14ac:dyDescent="0.3">
      <c r="A4361" s="66"/>
      <c r="B4361" s="67"/>
      <c r="C4361" s="66"/>
      <c r="D4361" s="68"/>
      <c r="E4361" s="10"/>
      <c r="F4361" s="69"/>
      <c r="G4361" s="68"/>
      <c r="H4361" s="70"/>
      <c r="BA4361" s="4"/>
      <c r="BB4361" s="4"/>
    </row>
    <row r="4362" spans="1:54" x14ac:dyDescent="0.3">
      <c r="A4362" s="66"/>
      <c r="B4362" s="67"/>
      <c r="C4362" s="66"/>
      <c r="D4362" s="68"/>
      <c r="E4362" s="10"/>
      <c r="F4362" s="69"/>
      <c r="G4362" s="68"/>
      <c r="H4362" s="70"/>
      <c r="BA4362" s="4"/>
      <c r="BB4362" s="4"/>
    </row>
    <row r="4363" spans="1:54" x14ac:dyDescent="0.3">
      <c r="A4363" s="66"/>
      <c r="B4363" s="67"/>
      <c r="C4363" s="66"/>
      <c r="D4363" s="68"/>
      <c r="E4363" s="10"/>
      <c r="F4363" s="69"/>
      <c r="G4363" s="68"/>
      <c r="H4363" s="70"/>
      <c r="BA4363" s="4"/>
      <c r="BB4363" s="4"/>
    </row>
    <row r="4364" spans="1:54" x14ac:dyDescent="0.3">
      <c r="A4364" s="66"/>
      <c r="B4364" s="67"/>
      <c r="C4364" s="66"/>
      <c r="D4364" s="68"/>
      <c r="E4364" s="10"/>
      <c r="F4364" s="69"/>
      <c r="G4364" s="68"/>
      <c r="H4364" s="70"/>
      <c r="BA4364" s="4"/>
      <c r="BB4364" s="4"/>
    </row>
    <row r="4365" spans="1:54" x14ac:dyDescent="0.3">
      <c r="A4365" s="66"/>
      <c r="B4365" s="67"/>
      <c r="C4365" s="66"/>
      <c r="D4365" s="68"/>
      <c r="E4365" s="10"/>
      <c r="F4365" s="69"/>
      <c r="G4365" s="68"/>
      <c r="H4365" s="70"/>
      <c r="BA4365" s="4"/>
      <c r="BB4365" s="4"/>
    </row>
    <row r="4366" spans="1:54" x14ac:dyDescent="0.3">
      <c r="A4366" s="66"/>
      <c r="B4366" s="67"/>
      <c r="C4366" s="66"/>
      <c r="D4366" s="68"/>
      <c r="E4366" s="10"/>
      <c r="F4366" s="69"/>
      <c r="G4366" s="68"/>
      <c r="H4366" s="70"/>
      <c r="BA4366" s="4"/>
      <c r="BB4366" s="4"/>
    </row>
    <row r="4367" spans="1:54" x14ac:dyDescent="0.3">
      <c r="A4367" s="66"/>
      <c r="B4367" s="67"/>
      <c r="C4367" s="66"/>
      <c r="D4367" s="68"/>
      <c r="E4367" s="10"/>
      <c r="F4367" s="69"/>
      <c r="G4367" s="68"/>
      <c r="H4367" s="70"/>
      <c r="BA4367" s="4"/>
      <c r="BB4367" s="4"/>
    </row>
    <row r="4368" spans="1:54" x14ac:dyDescent="0.3">
      <c r="A4368" s="66"/>
      <c r="B4368" s="67"/>
      <c r="C4368" s="66"/>
      <c r="D4368" s="68"/>
      <c r="E4368" s="10"/>
      <c r="F4368" s="69"/>
      <c r="G4368" s="68"/>
      <c r="H4368" s="70"/>
      <c r="BA4368" s="4"/>
      <c r="BB4368" s="4"/>
    </row>
    <row r="4369" spans="1:54" x14ac:dyDescent="0.3">
      <c r="A4369" s="66"/>
      <c r="B4369" s="67"/>
      <c r="C4369" s="66"/>
      <c r="D4369" s="68"/>
      <c r="E4369" s="10"/>
      <c r="F4369" s="69"/>
      <c r="G4369" s="68"/>
      <c r="H4369" s="70"/>
      <c r="BA4369" s="4"/>
      <c r="BB4369" s="4"/>
    </row>
    <row r="4370" spans="1:54" x14ac:dyDescent="0.3">
      <c r="A4370" s="66"/>
      <c r="B4370" s="67"/>
      <c r="C4370" s="66"/>
      <c r="D4370" s="68"/>
      <c r="E4370" s="10"/>
      <c r="F4370" s="69"/>
      <c r="G4370" s="68"/>
      <c r="H4370" s="70"/>
      <c r="BA4370" s="4"/>
      <c r="BB4370" s="4"/>
    </row>
    <row r="4371" spans="1:54" x14ac:dyDescent="0.3">
      <c r="A4371" s="66"/>
      <c r="B4371" s="67"/>
      <c r="C4371" s="66"/>
      <c r="D4371" s="68"/>
      <c r="E4371" s="10"/>
      <c r="F4371" s="69"/>
      <c r="G4371" s="68"/>
      <c r="H4371" s="70"/>
      <c r="BA4371" s="4"/>
      <c r="BB4371" s="4"/>
    </row>
    <row r="4372" spans="1:54" x14ac:dyDescent="0.3">
      <c r="A4372" s="66"/>
      <c r="B4372" s="67"/>
      <c r="C4372" s="66"/>
      <c r="D4372" s="68"/>
      <c r="E4372" s="10"/>
      <c r="F4372" s="69"/>
      <c r="G4372" s="68"/>
      <c r="H4372" s="70"/>
      <c r="BA4372" s="4"/>
      <c r="BB4372" s="4"/>
    </row>
    <row r="4373" spans="1:54" x14ac:dyDescent="0.3">
      <c r="A4373" s="66"/>
      <c r="B4373" s="67"/>
      <c r="C4373" s="66"/>
      <c r="D4373" s="68"/>
      <c r="E4373" s="10"/>
      <c r="F4373" s="69"/>
      <c r="G4373" s="68"/>
      <c r="H4373" s="70"/>
      <c r="BA4373" s="4"/>
      <c r="BB4373" s="4"/>
    </row>
    <row r="4374" spans="1:54" x14ac:dyDescent="0.3">
      <c r="A4374" s="66"/>
      <c r="B4374" s="67"/>
      <c r="C4374" s="66"/>
      <c r="D4374" s="68"/>
      <c r="E4374" s="10"/>
      <c r="F4374" s="69"/>
      <c r="G4374" s="68"/>
      <c r="H4374" s="70"/>
      <c r="BA4374" s="4"/>
      <c r="BB4374" s="4"/>
    </row>
    <row r="4375" spans="1:54" x14ac:dyDescent="0.3">
      <c r="A4375" s="66"/>
      <c r="B4375" s="67"/>
      <c r="C4375" s="66"/>
      <c r="D4375" s="68"/>
      <c r="E4375" s="10"/>
      <c r="F4375" s="69"/>
      <c r="G4375" s="68"/>
      <c r="H4375" s="70"/>
      <c r="BA4375" s="4"/>
      <c r="BB4375" s="4"/>
    </row>
    <row r="4376" spans="1:54" x14ac:dyDescent="0.3">
      <c r="A4376" s="66"/>
      <c r="B4376" s="67"/>
      <c r="C4376" s="66"/>
      <c r="D4376" s="68"/>
      <c r="E4376" s="10"/>
      <c r="F4376" s="69"/>
      <c r="G4376" s="68"/>
      <c r="H4376" s="70"/>
      <c r="BA4376" s="4"/>
      <c r="BB4376" s="4"/>
    </row>
    <row r="4377" spans="1:54" x14ac:dyDescent="0.3">
      <c r="A4377" s="66"/>
      <c r="B4377" s="67"/>
      <c r="C4377" s="66"/>
      <c r="D4377" s="68"/>
      <c r="E4377" s="10"/>
      <c r="F4377" s="69"/>
      <c r="G4377" s="68"/>
      <c r="H4377" s="70"/>
      <c r="BA4377" s="4"/>
      <c r="BB4377" s="4"/>
    </row>
    <row r="4378" spans="1:54" x14ac:dyDescent="0.3">
      <c r="A4378" s="66"/>
      <c r="B4378" s="67"/>
      <c r="C4378" s="66"/>
      <c r="D4378" s="68"/>
      <c r="E4378" s="10"/>
      <c r="F4378" s="69"/>
      <c r="G4378" s="68"/>
      <c r="H4378" s="70"/>
      <c r="BA4378" s="4"/>
      <c r="BB4378" s="4"/>
    </row>
    <row r="4379" spans="1:54" x14ac:dyDescent="0.3">
      <c r="A4379" s="66"/>
      <c r="B4379" s="67"/>
      <c r="C4379" s="66"/>
      <c r="D4379" s="68"/>
      <c r="E4379" s="10"/>
      <c r="F4379" s="69"/>
      <c r="G4379" s="68"/>
      <c r="H4379" s="70"/>
      <c r="BA4379" s="4"/>
      <c r="BB4379" s="4"/>
    </row>
    <row r="4380" spans="1:54" x14ac:dyDescent="0.3">
      <c r="A4380" s="66"/>
      <c r="B4380" s="67"/>
      <c r="C4380" s="66"/>
      <c r="D4380" s="68"/>
      <c r="E4380" s="10"/>
      <c r="F4380" s="69"/>
      <c r="G4380" s="68"/>
      <c r="H4380" s="70"/>
      <c r="BA4380" s="4"/>
      <c r="BB4380" s="4"/>
    </row>
    <row r="4381" spans="1:54" x14ac:dyDescent="0.3">
      <c r="A4381" s="66"/>
      <c r="B4381" s="67"/>
      <c r="C4381" s="66"/>
      <c r="D4381" s="68"/>
      <c r="E4381" s="10"/>
      <c r="F4381" s="69"/>
      <c r="G4381" s="68"/>
      <c r="H4381" s="70"/>
      <c r="BA4381" s="4"/>
      <c r="BB4381" s="4"/>
    </row>
    <row r="4382" spans="1:54" x14ac:dyDescent="0.3">
      <c r="A4382" s="66"/>
      <c r="B4382" s="67"/>
      <c r="C4382" s="66"/>
      <c r="D4382" s="68"/>
      <c r="E4382" s="10"/>
      <c r="F4382" s="69"/>
      <c r="G4382" s="68"/>
      <c r="H4382" s="70"/>
      <c r="BA4382" s="4"/>
      <c r="BB4382" s="4"/>
    </row>
    <row r="4383" spans="1:54" x14ac:dyDescent="0.3">
      <c r="A4383" s="66"/>
      <c r="B4383" s="67"/>
      <c r="C4383" s="66"/>
      <c r="D4383" s="68"/>
      <c r="E4383" s="10"/>
      <c r="F4383" s="69"/>
      <c r="G4383" s="68"/>
      <c r="H4383" s="70"/>
      <c r="BA4383" s="4"/>
      <c r="BB4383" s="4"/>
    </row>
    <row r="4384" spans="1:54" x14ac:dyDescent="0.3">
      <c r="A4384" s="66"/>
      <c r="B4384" s="67"/>
      <c r="C4384" s="66"/>
      <c r="D4384" s="68"/>
      <c r="E4384" s="10"/>
      <c r="F4384" s="69"/>
      <c r="G4384" s="68"/>
      <c r="H4384" s="70"/>
      <c r="BA4384" s="4"/>
      <c r="BB4384" s="4"/>
    </row>
    <row r="4385" spans="1:54" x14ac:dyDescent="0.3">
      <c r="A4385" s="66"/>
      <c r="B4385" s="67"/>
      <c r="C4385" s="66"/>
      <c r="D4385" s="68"/>
      <c r="E4385" s="10"/>
      <c r="F4385" s="69"/>
      <c r="G4385" s="68"/>
      <c r="H4385" s="70"/>
      <c r="BA4385" s="4"/>
      <c r="BB4385" s="4"/>
    </row>
    <row r="4386" spans="1:54" x14ac:dyDescent="0.3">
      <c r="A4386" s="66"/>
      <c r="B4386" s="67"/>
      <c r="C4386" s="66"/>
      <c r="D4386" s="68"/>
      <c r="E4386" s="10"/>
      <c r="F4386" s="69"/>
      <c r="G4386" s="68"/>
      <c r="H4386" s="70"/>
      <c r="BA4386" s="4"/>
      <c r="BB4386" s="4"/>
    </row>
    <row r="4387" spans="1:54" x14ac:dyDescent="0.3">
      <c r="A4387" s="66"/>
      <c r="B4387" s="67"/>
      <c r="C4387" s="66"/>
      <c r="D4387" s="68"/>
      <c r="E4387" s="10"/>
      <c r="F4387" s="69"/>
      <c r="G4387" s="68"/>
      <c r="H4387" s="70"/>
      <c r="BA4387" s="4"/>
      <c r="BB4387" s="4"/>
    </row>
    <row r="4388" spans="1:54" x14ac:dyDescent="0.3">
      <c r="A4388" s="66"/>
      <c r="B4388" s="67"/>
      <c r="C4388" s="66"/>
      <c r="D4388" s="68"/>
      <c r="E4388" s="10"/>
      <c r="F4388" s="69"/>
      <c r="G4388" s="68"/>
      <c r="H4388" s="70"/>
      <c r="BA4388" s="4"/>
      <c r="BB4388" s="4"/>
    </row>
    <row r="4389" spans="1:54" x14ac:dyDescent="0.3">
      <c r="A4389" s="66"/>
      <c r="B4389" s="67"/>
      <c r="C4389" s="66"/>
      <c r="D4389" s="68"/>
      <c r="E4389" s="10"/>
      <c r="F4389" s="69"/>
      <c r="G4389" s="68"/>
      <c r="H4389" s="70"/>
      <c r="BA4389" s="4"/>
      <c r="BB4389" s="4"/>
    </row>
    <row r="4390" spans="1:54" x14ac:dyDescent="0.3">
      <c r="A4390" s="66"/>
      <c r="B4390" s="67"/>
      <c r="C4390" s="66"/>
      <c r="D4390" s="68"/>
      <c r="E4390" s="10"/>
      <c r="F4390" s="69"/>
      <c r="G4390" s="68"/>
      <c r="H4390" s="70"/>
      <c r="BA4390" s="4"/>
      <c r="BB4390" s="4"/>
    </row>
    <row r="4391" spans="1:54" x14ac:dyDescent="0.3">
      <c r="A4391" s="66"/>
      <c r="B4391" s="67"/>
      <c r="C4391" s="66"/>
      <c r="D4391" s="68"/>
      <c r="E4391" s="10"/>
      <c r="F4391" s="69"/>
      <c r="G4391" s="68"/>
      <c r="H4391" s="70"/>
      <c r="BA4391" s="4"/>
      <c r="BB4391" s="4"/>
    </row>
    <row r="4392" spans="1:54" x14ac:dyDescent="0.3">
      <c r="A4392" s="66"/>
      <c r="B4392" s="67"/>
      <c r="C4392" s="66"/>
      <c r="D4392" s="68"/>
      <c r="E4392" s="10"/>
      <c r="F4392" s="69"/>
      <c r="G4392" s="68"/>
      <c r="H4392" s="70"/>
      <c r="BA4392" s="4"/>
      <c r="BB4392" s="4"/>
    </row>
    <row r="4393" spans="1:54" x14ac:dyDescent="0.3">
      <c r="A4393" s="66"/>
      <c r="B4393" s="67"/>
      <c r="C4393" s="66"/>
      <c r="D4393" s="68"/>
      <c r="E4393" s="10"/>
      <c r="F4393" s="69"/>
      <c r="G4393" s="68"/>
      <c r="H4393" s="70"/>
      <c r="BA4393" s="4"/>
      <c r="BB4393" s="4"/>
    </row>
    <row r="4394" spans="1:54" x14ac:dyDescent="0.3">
      <c r="A4394" s="66"/>
      <c r="B4394" s="67"/>
      <c r="C4394" s="66"/>
      <c r="D4394" s="68"/>
      <c r="E4394" s="10"/>
      <c r="F4394" s="69"/>
      <c r="G4394" s="68"/>
      <c r="H4394" s="70"/>
      <c r="BA4394" s="4"/>
      <c r="BB4394" s="4"/>
    </row>
    <row r="4395" spans="1:54" x14ac:dyDescent="0.3">
      <c r="A4395" s="66"/>
      <c r="B4395" s="67"/>
      <c r="C4395" s="66"/>
      <c r="D4395" s="68"/>
      <c r="E4395" s="10"/>
      <c r="F4395" s="69"/>
      <c r="G4395" s="68"/>
      <c r="H4395" s="70"/>
      <c r="BA4395" s="4"/>
      <c r="BB4395" s="4"/>
    </row>
    <row r="4396" spans="1:54" x14ac:dyDescent="0.3">
      <c r="A4396" s="66"/>
      <c r="B4396" s="67"/>
      <c r="C4396" s="66"/>
      <c r="D4396" s="68"/>
      <c r="E4396" s="10"/>
      <c r="F4396" s="69"/>
      <c r="G4396" s="68"/>
      <c r="H4396" s="70"/>
      <c r="BA4396" s="4"/>
      <c r="BB4396" s="4"/>
    </row>
    <row r="4397" spans="1:54" x14ac:dyDescent="0.3">
      <c r="A4397" s="66"/>
      <c r="B4397" s="67"/>
      <c r="C4397" s="66"/>
      <c r="D4397" s="68"/>
      <c r="E4397" s="10"/>
      <c r="F4397" s="69"/>
      <c r="G4397" s="68"/>
      <c r="H4397" s="70"/>
      <c r="BA4397" s="4"/>
      <c r="BB4397" s="4"/>
    </row>
    <row r="4398" spans="1:54" x14ac:dyDescent="0.3">
      <c r="A4398" s="66"/>
      <c r="B4398" s="67"/>
      <c r="C4398" s="66"/>
      <c r="D4398" s="68"/>
      <c r="E4398" s="10"/>
      <c r="F4398" s="69"/>
      <c r="G4398" s="68"/>
      <c r="H4398" s="70"/>
      <c r="BA4398" s="4"/>
      <c r="BB4398" s="4"/>
    </row>
    <row r="4399" spans="1:54" x14ac:dyDescent="0.3">
      <c r="A4399" s="66"/>
      <c r="B4399" s="67"/>
      <c r="C4399" s="66"/>
      <c r="D4399" s="68"/>
      <c r="E4399" s="10"/>
      <c r="F4399" s="69"/>
      <c r="G4399" s="68"/>
      <c r="H4399" s="70"/>
      <c r="BA4399" s="4"/>
      <c r="BB4399" s="4"/>
    </row>
    <row r="4400" spans="1:54" x14ac:dyDescent="0.3">
      <c r="A4400" s="66"/>
      <c r="B4400" s="67"/>
      <c r="C4400" s="66"/>
      <c r="D4400" s="68"/>
      <c r="E4400" s="10"/>
      <c r="F4400" s="69"/>
      <c r="G4400" s="68"/>
      <c r="H4400" s="70"/>
      <c r="BA4400" s="4"/>
      <c r="BB4400" s="4"/>
    </row>
    <row r="4401" spans="1:54" x14ac:dyDescent="0.3">
      <c r="A4401" s="66"/>
      <c r="B4401" s="67"/>
      <c r="C4401" s="66"/>
      <c r="D4401" s="68"/>
      <c r="E4401" s="10"/>
      <c r="F4401" s="69"/>
      <c r="G4401" s="68"/>
      <c r="H4401" s="70"/>
      <c r="BA4401" s="4"/>
      <c r="BB4401" s="4"/>
    </row>
    <row r="4402" spans="1:54" x14ac:dyDescent="0.3">
      <c r="A4402" s="66"/>
      <c r="B4402" s="67"/>
      <c r="C4402" s="66"/>
      <c r="D4402" s="68"/>
      <c r="E4402" s="10"/>
      <c r="F4402" s="69"/>
      <c r="G4402" s="68"/>
      <c r="H4402" s="70"/>
      <c r="BA4402" s="4"/>
      <c r="BB4402" s="4"/>
    </row>
    <row r="4403" spans="1:54" x14ac:dyDescent="0.3">
      <c r="A4403" s="66"/>
      <c r="B4403" s="67"/>
      <c r="C4403" s="66"/>
      <c r="D4403" s="68"/>
      <c r="E4403" s="10"/>
      <c r="F4403" s="69"/>
      <c r="G4403" s="68"/>
      <c r="H4403" s="70"/>
      <c r="BA4403" s="4"/>
      <c r="BB4403" s="4"/>
    </row>
    <row r="4404" spans="1:54" x14ac:dyDescent="0.3">
      <c r="A4404" s="66"/>
      <c r="B4404" s="67"/>
      <c r="C4404" s="66"/>
      <c r="D4404" s="68"/>
      <c r="E4404" s="10"/>
      <c r="F4404" s="69"/>
      <c r="G4404" s="68"/>
      <c r="H4404" s="70"/>
      <c r="BA4404" s="4"/>
      <c r="BB4404" s="4"/>
    </row>
    <row r="4405" spans="1:54" x14ac:dyDescent="0.3">
      <c r="A4405" s="66"/>
      <c r="B4405" s="67"/>
      <c r="C4405" s="66"/>
      <c r="D4405" s="68"/>
      <c r="E4405" s="10"/>
      <c r="F4405" s="69"/>
      <c r="G4405" s="68"/>
      <c r="H4405" s="70"/>
      <c r="BA4405" s="4"/>
      <c r="BB4405" s="4"/>
    </row>
    <row r="4406" spans="1:54" x14ac:dyDescent="0.3">
      <c r="A4406" s="66"/>
      <c r="B4406" s="67"/>
      <c r="C4406" s="66"/>
      <c r="D4406" s="68"/>
      <c r="E4406" s="10"/>
      <c r="F4406" s="69"/>
      <c r="G4406" s="68"/>
      <c r="H4406" s="70"/>
      <c r="BA4406" s="4"/>
      <c r="BB4406" s="4"/>
    </row>
    <row r="4407" spans="1:54" x14ac:dyDescent="0.3">
      <c r="A4407" s="66"/>
      <c r="B4407" s="67"/>
      <c r="C4407" s="66"/>
      <c r="D4407" s="68"/>
      <c r="E4407" s="10"/>
      <c r="F4407" s="69"/>
      <c r="G4407" s="68"/>
      <c r="H4407" s="70"/>
      <c r="BA4407" s="4"/>
      <c r="BB4407" s="4"/>
    </row>
    <row r="4408" spans="1:54" x14ac:dyDescent="0.3">
      <c r="A4408" s="66"/>
      <c r="B4408" s="67"/>
      <c r="C4408" s="66"/>
      <c r="D4408" s="68"/>
      <c r="E4408" s="10"/>
      <c r="F4408" s="69"/>
      <c r="G4408" s="68"/>
      <c r="H4408" s="70"/>
      <c r="BA4408" s="4"/>
      <c r="BB4408" s="4"/>
    </row>
    <row r="4409" spans="1:54" x14ac:dyDescent="0.3">
      <c r="A4409" s="66"/>
      <c r="B4409" s="67"/>
      <c r="C4409" s="66"/>
      <c r="D4409" s="68"/>
      <c r="E4409" s="10"/>
      <c r="F4409" s="69"/>
      <c r="G4409" s="68"/>
      <c r="H4409" s="70"/>
      <c r="BA4409" s="4"/>
      <c r="BB4409" s="4"/>
    </row>
    <row r="4410" spans="1:54" x14ac:dyDescent="0.3">
      <c r="A4410" s="66"/>
      <c r="B4410" s="67"/>
      <c r="C4410" s="66"/>
      <c r="D4410" s="68"/>
      <c r="E4410" s="10"/>
      <c r="F4410" s="69"/>
      <c r="G4410" s="68"/>
      <c r="H4410" s="70"/>
      <c r="BA4410" s="4"/>
      <c r="BB4410" s="4"/>
    </row>
    <row r="4411" spans="1:54" x14ac:dyDescent="0.3">
      <c r="A4411" s="66"/>
      <c r="B4411" s="67"/>
      <c r="C4411" s="66"/>
      <c r="D4411" s="68"/>
      <c r="E4411" s="10"/>
      <c r="F4411" s="69"/>
      <c r="G4411" s="68"/>
      <c r="H4411" s="70"/>
      <c r="BA4411" s="4"/>
      <c r="BB4411" s="4"/>
    </row>
    <row r="4412" spans="1:54" x14ac:dyDescent="0.3">
      <c r="A4412" s="66"/>
      <c r="B4412" s="67"/>
      <c r="C4412" s="66"/>
      <c r="D4412" s="68"/>
      <c r="E4412" s="10"/>
      <c r="F4412" s="69"/>
      <c r="G4412" s="68"/>
      <c r="H4412" s="70"/>
      <c r="BA4412" s="4"/>
      <c r="BB4412" s="4"/>
    </row>
    <row r="4413" spans="1:54" x14ac:dyDescent="0.3">
      <c r="A4413" s="66"/>
      <c r="B4413" s="67"/>
      <c r="C4413" s="66"/>
      <c r="D4413" s="68"/>
      <c r="E4413" s="10"/>
      <c r="F4413" s="69"/>
      <c r="G4413" s="68"/>
      <c r="H4413" s="70"/>
      <c r="BA4413" s="4"/>
      <c r="BB4413" s="4"/>
    </row>
    <row r="4414" spans="1:54" x14ac:dyDescent="0.3">
      <c r="A4414" s="66"/>
      <c r="B4414" s="67"/>
      <c r="C4414" s="66"/>
      <c r="D4414" s="68"/>
      <c r="E4414" s="10"/>
      <c r="F4414" s="69"/>
      <c r="G4414" s="68"/>
      <c r="H4414" s="70"/>
      <c r="BA4414" s="4"/>
      <c r="BB4414" s="4"/>
    </row>
    <row r="4415" spans="1:54" x14ac:dyDescent="0.3">
      <c r="A4415" s="66"/>
      <c r="B4415" s="67"/>
      <c r="C4415" s="66"/>
      <c r="D4415" s="68"/>
      <c r="E4415" s="10"/>
      <c r="F4415" s="69"/>
      <c r="G4415" s="68"/>
      <c r="H4415" s="70"/>
      <c r="BA4415" s="4"/>
      <c r="BB4415" s="4"/>
    </row>
    <row r="4416" spans="1:54" x14ac:dyDescent="0.3">
      <c r="A4416" s="66"/>
      <c r="B4416" s="67"/>
      <c r="C4416" s="66"/>
      <c r="D4416" s="68"/>
      <c r="E4416" s="10"/>
      <c r="F4416" s="69"/>
      <c r="G4416" s="68"/>
      <c r="H4416" s="70"/>
      <c r="BA4416" s="4"/>
      <c r="BB4416" s="4"/>
    </row>
    <row r="4417" spans="1:54" x14ac:dyDescent="0.3">
      <c r="A4417" s="66"/>
      <c r="B4417" s="67"/>
      <c r="C4417" s="66"/>
      <c r="D4417" s="68"/>
      <c r="E4417" s="10"/>
      <c r="F4417" s="69"/>
      <c r="G4417" s="68"/>
      <c r="H4417" s="70"/>
      <c r="BA4417" s="4"/>
      <c r="BB4417" s="4"/>
    </row>
    <row r="4418" spans="1:54" x14ac:dyDescent="0.3">
      <c r="A4418" s="66"/>
      <c r="B4418" s="67"/>
      <c r="C4418" s="66"/>
      <c r="D4418" s="68"/>
      <c r="E4418" s="10"/>
      <c r="F4418" s="69"/>
      <c r="G4418" s="68"/>
      <c r="H4418" s="70"/>
      <c r="BA4418" s="4"/>
      <c r="BB4418" s="4"/>
    </row>
    <row r="4419" spans="1:54" x14ac:dyDescent="0.3">
      <c r="A4419" s="66"/>
      <c r="B4419" s="67"/>
      <c r="C4419" s="66"/>
      <c r="D4419" s="68"/>
      <c r="E4419" s="10"/>
      <c r="F4419" s="69"/>
      <c r="G4419" s="68"/>
      <c r="H4419" s="70"/>
      <c r="BA4419" s="4"/>
      <c r="BB4419" s="4"/>
    </row>
    <row r="4420" spans="1:54" x14ac:dyDescent="0.3">
      <c r="A4420" s="66"/>
      <c r="B4420" s="67"/>
      <c r="C4420" s="66"/>
      <c r="D4420" s="68"/>
      <c r="E4420" s="10"/>
      <c r="F4420" s="69"/>
      <c r="G4420" s="68"/>
      <c r="H4420" s="70"/>
      <c r="BA4420" s="4"/>
      <c r="BB4420" s="4"/>
    </row>
    <row r="4421" spans="1:54" x14ac:dyDescent="0.3">
      <c r="A4421" s="66"/>
      <c r="B4421" s="67"/>
      <c r="C4421" s="66"/>
      <c r="D4421" s="68"/>
      <c r="E4421" s="10"/>
      <c r="F4421" s="69"/>
      <c r="G4421" s="68"/>
      <c r="H4421" s="70"/>
      <c r="BA4421" s="4"/>
      <c r="BB4421" s="4"/>
    </row>
    <row r="4422" spans="1:54" x14ac:dyDescent="0.3">
      <c r="A4422" s="66"/>
      <c r="B4422" s="67"/>
      <c r="C4422" s="66"/>
      <c r="D4422" s="68"/>
      <c r="E4422" s="10"/>
      <c r="F4422" s="69"/>
      <c r="G4422" s="68"/>
      <c r="H4422" s="70"/>
      <c r="BA4422" s="4"/>
      <c r="BB4422" s="4"/>
    </row>
    <row r="4423" spans="1:54" x14ac:dyDescent="0.3">
      <c r="A4423" s="66"/>
      <c r="B4423" s="67"/>
      <c r="C4423" s="66"/>
      <c r="D4423" s="68"/>
      <c r="E4423" s="10"/>
      <c r="F4423" s="69"/>
      <c r="G4423" s="68"/>
      <c r="H4423" s="70"/>
      <c r="BA4423" s="4"/>
      <c r="BB4423" s="4"/>
    </row>
    <row r="4424" spans="1:54" x14ac:dyDescent="0.3">
      <c r="A4424" s="66"/>
      <c r="B4424" s="67"/>
      <c r="C4424" s="66"/>
      <c r="D4424" s="68"/>
      <c r="E4424" s="10"/>
      <c r="F4424" s="69"/>
      <c r="G4424" s="68"/>
      <c r="H4424" s="70"/>
      <c r="BA4424" s="4"/>
      <c r="BB4424" s="4"/>
    </row>
    <row r="4425" spans="1:54" x14ac:dyDescent="0.3">
      <c r="A4425" s="66"/>
      <c r="B4425" s="67"/>
      <c r="C4425" s="66"/>
      <c r="D4425" s="68"/>
      <c r="E4425" s="10"/>
      <c r="F4425" s="69"/>
      <c r="G4425" s="68"/>
      <c r="H4425" s="70"/>
      <c r="BA4425" s="4"/>
      <c r="BB4425" s="4"/>
    </row>
    <row r="4426" spans="1:54" x14ac:dyDescent="0.3">
      <c r="A4426" s="66"/>
      <c r="B4426" s="67"/>
      <c r="C4426" s="66"/>
      <c r="D4426" s="68"/>
      <c r="E4426" s="10"/>
      <c r="F4426" s="69"/>
      <c r="G4426" s="68"/>
      <c r="H4426" s="70"/>
      <c r="BA4426" s="4"/>
      <c r="BB4426" s="4"/>
    </row>
    <row r="4427" spans="1:54" x14ac:dyDescent="0.3">
      <c r="A4427" s="66"/>
      <c r="B4427" s="67"/>
      <c r="C4427" s="66"/>
      <c r="D4427" s="68"/>
      <c r="E4427" s="10"/>
      <c r="F4427" s="69"/>
      <c r="G4427" s="68"/>
      <c r="H4427" s="70"/>
      <c r="BA4427" s="4"/>
      <c r="BB4427" s="4"/>
    </row>
    <row r="4428" spans="1:54" x14ac:dyDescent="0.3">
      <c r="A4428" s="66"/>
      <c r="B4428" s="67"/>
      <c r="C4428" s="66"/>
      <c r="D4428" s="68"/>
      <c r="E4428" s="10"/>
      <c r="F4428" s="69"/>
      <c r="G4428" s="68"/>
      <c r="H4428" s="70"/>
      <c r="BA4428" s="4"/>
      <c r="BB4428" s="4"/>
    </row>
    <row r="4429" spans="1:54" x14ac:dyDescent="0.3">
      <c r="A4429" s="66"/>
      <c r="B4429" s="67"/>
      <c r="C4429" s="66"/>
      <c r="D4429" s="68"/>
      <c r="E4429" s="10"/>
      <c r="F4429" s="69"/>
      <c r="G4429" s="68"/>
      <c r="H4429" s="70"/>
      <c r="BA4429" s="4"/>
      <c r="BB4429" s="4"/>
    </row>
    <row r="4430" spans="1:54" x14ac:dyDescent="0.3">
      <c r="A4430" s="66"/>
      <c r="B4430" s="67"/>
      <c r="C4430" s="66"/>
      <c r="D4430" s="68"/>
      <c r="E4430" s="10"/>
      <c r="F4430" s="69"/>
      <c r="G4430" s="68"/>
      <c r="H4430" s="70"/>
      <c r="BA4430" s="4"/>
      <c r="BB4430" s="4"/>
    </row>
    <row r="4431" spans="1:54" x14ac:dyDescent="0.3">
      <c r="A4431" s="66"/>
      <c r="B4431" s="67"/>
      <c r="C4431" s="66"/>
      <c r="D4431" s="68"/>
      <c r="E4431" s="10"/>
      <c r="F4431" s="69"/>
      <c r="G4431" s="68"/>
      <c r="H4431" s="70"/>
      <c r="BA4431" s="4"/>
      <c r="BB4431" s="4"/>
    </row>
    <row r="4432" spans="1:54" x14ac:dyDescent="0.3">
      <c r="A4432" s="66"/>
      <c r="B4432" s="67"/>
      <c r="C4432" s="66"/>
      <c r="D4432" s="68"/>
      <c r="E4432" s="10"/>
      <c r="F4432" s="69"/>
      <c r="G4432" s="68"/>
      <c r="H4432" s="70"/>
      <c r="BA4432" s="4"/>
      <c r="BB4432" s="4"/>
    </row>
    <row r="4433" spans="1:54" x14ac:dyDescent="0.3">
      <c r="A4433" s="66"/>
      <c r="B4433" s="67"/>
      <c r="C4433" s="66"/>
      <c r="D4433" s="68"/>
      <c r="E4433" s="10"/>
      <c r="F4433" s="69"/>
      <c r="G4433" s="68"/>
      <c r="H4433" s="70"/>
      <c r="BA4433" s="4"/>
      <c r="BB4433" s="4"/>
    </row>
    <row r="4434" spans="1:54" x14ac:dyDescent="0.3">
      <c r="A4434" s="66"/>
      <c r="B4434" s="67"/>
      <c r="C4434" s="66"/>
      <c r="D4434" s="68"/>
      <c r="E4434" s="10"/>
      <c r="F4434" s="69"/>
      <c r="G4434" s="68"/>
      <c r="H4434" s="70"/>
      <c r="BA4434" s="4"/>
      <c r="BB4434" s="4"/>
    </row>
    <row r="4435" spans="1:54" x14ac:dyDescent="0.3">
      <c r="A4435" s="66"/>
      <c r="B4435" s="67"/>
      <c r="C4435" s="66"/>
      <c r="D4435" s="68"/>
      <c r="E4435" s="10"/>
      <c r="F4435" s="69"/>
      <c r="G4435" s="68"/>
      <c r="H4435" s="70"/>
      <c r="BA4435" s="4"/>
      <c r="BB4435" s="4"/>
    </row>
    <row r="4436" spans="1:54" x14ac:dyDescent="0.3">
      <c r="A4436" s="66"/>
      <c r="B4436" s="67"/>
      <c r="C4436" s="66"/>
      <c r="D4436" s="68"/>
      <c r="E4436" s="10"/>
      <c r="F4436" s="69"/>
      <c r="G4436" s="68"/>
      <c r="H4436" s="70"/>
      <c r="BA4436" s="4"/>
      <c r="BB4436" s="4"/>
    </row>
    <row r="4437" spans="1:54" x14ac:dyDescent="0.3">
      <c r="A4437" s="66"/>
      <c r="B4437" s="67"/>
      <c r="C4437" s="66"/>
      <c r="D4437" s="68"/>
      <c r="E4437" s="10"/>
      <c r="F4437" s="69"/>
      <c r="G4437" s="68"/>
      <c r="H4437" s="70"/>
      <c r="BA4437" s="4"/>
      <c r="BB4437" s="4"/>
    </row>
    <row r="4438" spans="1:54" x14ac:dyDescent="0.3">
      <c r="A4438" s="66"/>
      <c r="B4438" s="67"/>
      <c r="C4438" s="66"/>
      <c r="D4438" s="68"/>
      <c r="E4438" s="10"/>
      <c r="F4438" s="69"/>
      <c r="G4438" s="68"/>
      <c r="H4438" s="70"/>
      <c r="BA4438" s="4"/>
      <c r="BB4438" s="4"/>
    </row>
    <row r="4439" spans="1:54" x14ac:dyDescent="0.3">
      <c r="A4439" s="66"/>
      <c r="B4439" s="67"/>
      <c r="C4439" s="66"/>
      <c r="D4439" s="68"/>
      <c r="E4439" s="10"/>
      <c r="F4439" s="69"/>
      <c r="G4439" s="68"/>
      <c r="H4439" s="70"/>
      <c r="BA4439" s="4"/>
      <c r="BB4439" s="4"/>
    </row>
    <row r="4440" spans="1:54" x14ac:dyDescent="0.3">
      <c r="A4440" s="66"/>
      <c r="B4440" s="67"/>
      <c r="C4440" s="66"/>
      <c r="D4440" s="68"/>
      <c r="E4440" s="10"/>
      <c r="F4440" s="69"/>
      <c r="G4440" s="68"/>
      <c r="H4440" s="70"/>
      <c r="BA4440" s="4"/>
      <c r="BB4440" s="4"/>
    </row>
    <row r="4441" spans="1:54" x14ac:dyDescent="0.3">
      <c r="A4441" s="66"/>
      <c r="B4441" s="67"/>
      <c r="C4441" s="66"/>
      <c r="D4441" s="68"/>
      <c r="E4441" s="10"/>
      <c r="F4441" s="69"/>
      <c r="G4441" s="68"/>
      <c r="H4441" s="70"/>
      <c r="BA4441" s="4"/>
      <c r="BB4441" s="4"/>
    </row>
    <row r="4442" spans="1:54" x14ac:dyDescent="0.3">
      <c r="A4442" s="66"/>
      <c r="B4442" s="67"/>
      <c r="C4442" s="66"/>
      <c r="D4442" s="68"/>
      <c r="E4442" s="10"/>
      <c r="F4442" s="69"/>
      <c r="G4442" s="68"/>
      <c r="H4442" s="70"/>
      <c r="BA4442" s="4"/>
      <c r="BB4442" s="4"/>
    </row>
    <row r="4443" spans="1:54" x14ac:dyDescent="0.3">
      <c r="A4443" s="66"/>
      <c r="B4443" s="67"/>
      <c r="C4443" s="66"/>
      <c r="D4443" s="68"/>
      <c r="E4443" s="10"/>
      <c r="F4443" s="69"/>
      <c r="G4443" s="68"/>
      <c r="H4443" s="70"/>
      <c r="BA4443" s="4"/>
      <c r="BB4443" s="4"/>
    </row>
    <row r="4444" spans="1:54" x14ac:dyDescent="0.3">
      <c r="A4444" s="66"/>
      <c r="B4444" s="67"/>
      <c r="C4444" s="66"/>
      <c r="D4444" s="68"/>
      <c r="E4444" s="10"/>
      <c r="F4444" s="69"/>
      <c r="G4444" s="68"/>
      <c r="H4444" s="70"/>
      <c r="BA4444" s="4"/>
      <c r="BB4444" s="4"/>
    </row>
    <row r="4445" spans="1:54" x14ac:dyDescent="0.3">
      <c r="A4445" s="66"/>
      <c r="B4445" s="67"/>
      <c r="C4445" s="66"/>
      <c r="D4445" s="68"/>
      <c r="E4445" s="10"/>
      <c r="F4445" s="69"/>
      <c r="G4445" s="68"/>
      <c r="H4445" s="70"/>
      <c r="BA4445" s="4"/>
      <c r="BB4445" s="4"/>
    </row>
    <row r="4446" spans="1:54" x14ac:dyDescent="0.3">
      <c r="A4446" s="66"/>
      <c r="B4446" s="67"/>
      <c r="C4446" s="66"/>
      <c r="D4446" s="68"/>
      <c r="E4446" s="10"/>
      <c r="F4446" s="69"/>
      <c r="G4446" s="68"/>
      <c r="H4446" s="70"/>
      <c r="BA4446" s="4"/>
      <c r="BB4446" s="4"/>
    </row>
    <row r="4447" spans="1:54" x14ac:dyDescent="0.3">
      <c r="A4447" s="66"/>
      <c r="B4447" s="67"/>
      <c r="C4447" s="66"/>
      <c r="D4447" s="68"/>
      <c r="E4447" s="10"/>
      <c r="F4447" s="69"/>
      <c r="G4447" s="68"/>
      <c r="H4447" s="70"/>
      <c r="BA4447" s="4"/>
      <c r="BB4447" s="4"/>
    </row>
    <row r="4448" spans="1:54" x14ac:dyDescent="0.3">
      <c r="A4448" s="66"/>
      <c r="B4448" s="67"/>
      <c r="C4448" s="66"/>
      <c r="D4448" s="68"/>
      <c r="E4448" s="10"/>
      <c r="F4448" s="69"/>
      <c r="G4448" s="68"/>
      <c r="H4448" s="70"/>
      <c r="BA4448" s="4"/>
      <c r="BB4448" s="4"/>
    </row>
    <row r="4449" spans="1:54" x14ac:dyDescent="0.3">
      <c r="A4449" s="66"/>
      <c r="B4449" s="67"/>
      <c r="C4449" s="66"/>
      <c r="D4449" s="68"/>
      <c r="E4449" s="10"/>
      <c r="F4449" s="69"/>
      <c r="G4449" s="68"/>
      <c r="H4449" s="70"/>
      <c r="BA4449" s="4"/>
      <c r="BB4449" s="4"/>
    </row>
    <row r="4450" spans="1:54" x14ac:dyDescent="0.3">
      <c r="A4450" s="66"/>
      <c r="B4450" s="67"/>
      <c r="C4450" s="66"/>
      <c r="D4450" s="68"/>
      <c r="E4450" s="10"/>
      <c r="F4450" s="69"/>
      <c r="G4450" s="68"/>
      <c r="H4450" s="70"/>
      <c r="BA4450" s="4"/>
      <c r="BB4450" s="4"/>
    </row>
    <row r="4451" spans="1:54" x14ac:dyDescent="0.3">
      <c r="A4451" s="66"/>
      <c r="B4451" s="67"/>
      <c r="C4451" s="66"/>
      <c r="D4451" s="68"/>
      <c r="E4451" s="10"/>
      <c r="F4451" s="69"/>
      <c r="G4451" s="68"/>
      <c r="H4451" s="70"/>
      <c r="BA4451" s="4"/>
      <c r="BB4451" s="4"/>
    </row>
    <row r="4452" spans="1:54" x14ac:dyDescent="0.3">
      <c r="A4452" s="66"/>
      <c r="B4452" s="67"/>
      <c r="C4452" s="66"/>
      <c r="D4452" s="68"/>
      <c r="E4452" s="10"/>
      <c r="F4452" s="69"/>
      <c r="G4452" s="68"/>
      <c r="H4452" s="70"/>
      <c r="BA4452" s="4"/>
      <c r="BB4452" s="4"/>
    </row>
    <row r="4453" spans="1:54" x14ac:dyDescent="0.3">
      <c r="A4453" s="66"/>
      <c r="B4453" s="67"/>
      <c r="C4453" s="66"/>
      <c r="D4453" s="68"/>
      <c r="E4453" s="10"/>
      <c r="F4453" s="69"/>
      <c r="G4453" s="68"/>
      <c r="H4453" s="70"/>
      <c r="BA4453" s="4"/>
      <c r="BB4453" s="4"/>
    </row>
    <row r="4454" spans="1:54" x14ac:dyDescent="0.3">
      <c r="A4454" s="66"/>
      <c r="B4454" s="67"/>
      <c r="C4454" s="66"/>
      <c r="D4454" s="68"/>
      <c r="E4454" s="10"/>
      <c r="F4454" s="69"/>
      <c r="G4454" s="68"/>
      <c r="H4454" s="70"/>
      <c r="BA4454" s="4"/>
      <c r="BB4454" s="4"/>
    </row>
    <row r="4455" spans="1:54" x14ac:dyDescent="0.3">
      <c r="A4455" s="66"/>
      <c r="B4455" s="67"/>
      <c r="C4455" s="66"/>
      <c r="D4455" s="68"/>
      <c r="E4455" s="10"/>
      <c r="F4455" s="69"/>
      <c r="G4455" s="68"/>
      <c r="H4455" s="70"/>
      <c r="BA4455" s="4"/>
      <c r="BB4455" s="4"/>
    </row>
    <row r="4456" spans="1:54" x14ac:dyDescent="0.3">
      <c r="A4456" s="66"/>
      <c r="B4456" s="67"/>
      <c r="C4456" s="66"/>
      <c r="D4456" s="68"/>
      <c r="E4456" s="10"/>
      <c r="F4456" s="69"/>
      <c r="G4456" s="68"/>
      <c r="H4456" s="70"/>
      <c r="BA4456" s="4"/>
      <c r="BB4456" s="4"/>
    </row>
    <row r="4457" spans="1:54" x14ac:dyDescent="0.3">
      <c r="A4457" s="66"/>
      <c r="B4457" s="67"/>
      <c r="C4457" s="66"/>
      <c r="D4457" s="68"/>
      <c r="E4457" s="10"/>
      <c r="F4457" s="69"/>
      <c r="G4457" s="68"/>
      <c r="H4457" s="70"/>
      <c r="BA4457" s="4"/>
      <c r="BB4457" s="4"/>
    </row>
    <row r="4458" spans="1:54" x14ac:dyDescent="0.3">
      <c r="A4458" s="66"/>
      <c r="B4458" s="67"/>
      <c r="C4458" s="66"/>
      <c r="D4458" s="68"/>
      <c r="E4458" s="10"/>
      <c r="F4458" s="69"/>
      <c r="G4458" s="68"/>
      <c r="H4458" s="70"/>
      <c r="BA4458" s="4"/>
      <c r="BB4458" s="4"/>
    </row>
    <row r="4459" spans="1:54" x14ac:dyDescent="0.3">
      <c r="A4459" s="66"/>
      <c r="B4459" s="67"/>
      <c r="C4459" s="66"/>
      <c r="D4459" s="68"/>
      <c r="E4459" s="10"/>
      <c r="F4459" s="69"/>
      <c r="G4459" s="68"/>
      <c r="H4459" s="70"/>
      <c r="BA4459" s="4"/>
      <c r="BB4459" s="4"/>
    </row>
    <row r="4460" spans="1:54" x14ac:dyDescent="0.3">
      <c r="A4460" s="66"/>
      <c r="B4460" s="67"/>
      <c r="C4460" s="66"/>
      <c r="D4460" s="68"/>
      <c r="E4460" s="10"/>
      <c r="F4460" s="69"/>
      <c r="G4460" s="68"/>
      <c r="H4460" s="70"/>
      <c r="BA4460" s="4"/>
      <c r="BB4460" s="4"/>
    </row>
    <row r="4461" spans="1:54" x14ac:dyDescent="0.3">
      <c r="A4461" s="66"/>
      <c r="B4461" s="67"/>
      <c r="C4461" s="66"/>
      <c r="D4461" s="68"/>
      <c r="E4461" s="10"/>
      <c r="F4461" s="69"/>
      <c r="G4461" s="68"/>
      <c r="H4461" s="70"/>
      <c r="BA4461" s="4"/>
      <c r="BB4461" s="4"/>
    </row>
    <row r="4462" spans="1:54" x14ac:dyDescent="0.3">
      <c r="A4462" s="66"/>
      <c r="B4462" s="67"/>
      <c r="C4462" s="66"/>
      <c r="D4462" s="68"/>
      <c r="E4462" s="10"/>
      <c r="F4462" s="69"/>
      <c r="G4462" s="68"/>
      <c r="H4462" s="70"/>
      <c r="BA4462" s="4"/>
      <c r="BB4462" s="4"/>
    </row>
    <row r="4463" spans="1:54" x14ac:dyDescent="0.3">
      <c r="A4463" s="66"/>
      <c r="B4463" s="67"/>
      <c r="C4463" s="66"/>
      <c r="D4463" s="68"/>
      <c r="E4463" s="10"/>
      <c r="F4463" s="69"/>
      <c r="G4463" s="68"/>
      <c r="H4463" s="70"/>
      <c r="BA4463" s="4"/>
      <c r="BB4463" s="4"/>
    </row>
    <row r="4464" spans="1:54" x14ac:dyDescent="0.3">
      <c r="A4464" s="66"/>
      <c r="B4464" s="67"/>
      <c r="C4464" s="66"/>
      <c r="D4464" s="68"/>
      <c r="E4464" s="10"/>
      <c r="F4464" s="69"/>
      <c r="G4464" s="68"/>
      <c r="H4464" s="70"/>
      <c r="BA4464" s="4"/>
      <c r="BB4464" s="4"/>
    </row>
    <row r="4465" spans="1:54" x14ac:dyDescent="0.3">
      <c r="A4465" s="66"/>
      <c r="B4465" s="67"/>
      <c r="C4465" s="66"/>
      <c r="D4465" s="68"/>
      <c r="E4465" s="10"/>
      <c r="F4465" s="69"/>
      <c r="G4465" s="68"/>
      <c r="H4465" s="70"/>
      <c r="BA4465" s="4"/>
      <c r="BB4465" s="4"/>
    </row>
    <row r="4466" spans="1:54" x14ac:dyDescent="0.3">
      <c r="A4466" s="66"/>
      <c r="B4466" s="67"/>
      <c r="C4466" s="66"/>
      <c r="D4466" s="68"/>
      <c r="E4466" s="10"/>
      <c r="F4466" s="69"/>
      <c r="G4466" s="68"/>
      <c r="H4466" s="70"/>
      <c r="BA4466" s="4"/>
      <c r="BB4466" s="4"/>
    </row>
    <row r="4467" spans="1:54" x14ac:dyDescent="0.3">
      <c r="A4467" s="66"/>
      <c r="B4467" s="67"/>
      <c r="C4467" s="66"/>
      <c r="D4467" s="68"/>
      <c r="E4467" s="10"/>
      <c r="F4467" s="69"/>
      <c r="G4467" s="68"/>
      <c r="H4467" s="70"/>
      <c r="BA4467" s="4"/>
      <c r="BB4467" s="4"/>
    </row>
    <row r="4468" spans="1:54" x14ac:dyDescent="0.3">
      <c r="A4468" s="66"/>
      <c r="B4468" s="67"/>
      <c r="C4468" s="66"/>
      <c r="D4468" s="68"/>
      <c r="E4468" s="10"/>
      <c r="F4468" s="69"/>
      <c r="G4468" s="68"/>
      <c r="H4468" s="70"/>
      <c r="BA4468" s="4"/>
      <c r="BB4468" s="4"/>
    </row>
    <row r="4469" spans="1:54" x14ac:dyDescent="0.3">
      <c r="A4469" s="66"/>
      <c r="B4469" s="67"/>
      <c r="C4469" s="66"/>
      <c r="D4469" s="68"/>
      <c r="E4469" s="10"/>
      <c r="F4469" s="69"/>
      <c r="G4469" s="68"/>
      <c r="H4469" s="70"/>
      <c r="BA4469" s="4"/>
      <c r="BB4469" s="4"/>
    </row>
    <row r="4470" spans="1:54" x14ac:dyDescent="0.3">
      <c r="A4470" s="66"/>
      <c r="B4470" s="67"/>
      <c r="C4470" s="66"/>
      <c r="D4470" s="68"/>
      <c r="E4470" s="10"/>
      <c r="F4470" s="69"/>
      <c r="G4470" s="68"/>
      <c r="H4470" s="70"/>
      <c r="BA4470" s="4"/>
      <c r="BB4470" s="4"/>
    </row>
    <row r="4471" spans="1:54" x14ac:dyDescent="0.3">
      <c r="A4471" s="66"/>
      <c r="B4471" s="67"/>
      <c r="C4471" s="66"/>
      <c r="D4471" s="68"/>
      <c r="E4471" s="10"/>
      <c r="F4471" s="69"/>
      <c r="G4471" s="68"/>
      <c r="H4471" s="70"/>
      <c r="BA4471" s="4"/>
      <c r="BB4471" s="4"/>
    </row>
    <row r="4472" spans="1:54" x14ac:dyDescent="0.3">
      <c r="A4472" s="66"/>
      <c r="B4472" s="67"/>
      <c r="C4472" s="66"/>
      <c r="D4472" s="68"/>
      <c r="E4472" s="10"/>
      <c r="F4472" s="69"/>
      <c r="G4472" s="68"/>
      <c r="H4472" s="70"/>
      <c r="BA4472" s="4"/>
      <c r="BB4472" s="4"/>
    </row>
    <row r="4473" spans="1:54" x14ac:dyDescent="0.3">
      <c r="A4473" s="66"/>
      <c r="B4473" s="67"/>
      <c r="C4473" s="66"/>
      <c r="D4473" s="68"/>
      <c r="E4473" s="10"/>
      <c r="F4473" s="69"/>
      <c r="G4473" s="68"/>
      <c r="H4473" s="70"/>
      <c r="BA4473" s="4"/>
      <c r="BB4473" s="4"/>
    </row>
    <row r="4474" spans="1:54" x14ac:dyDescent="0.3">
      <c r="A4474" s="66"/>
      <c r="B4474" s="67"/>
      <c r="C4474" s="66"/>
      <c r="D4474" s="68"/>
      <c r="E4474" s="10"/>
      <c r="F4474" s="69"/>
      <c r="G4474" s="68"/>
      <c r="H4474" s="70"/>
      <c r="BA4474" s="4"/>
      <c r="BB4474" s="4"/>
    </row>
    <row r="4475" spans="1:54" x14ac:dyDescent="0.3">
      <c r="A4475" s="66"/>
      <c r="B4475" s="67"/>
      <c r="C4475" s="66"/>
      <c r="D4475" s="68"/>
      <c r="E4475" s="10"/>
      <c r="F4475" s="69"/>
      <c r="G4475" s="68"/>
      <c r="H4475" s="70"/>
      <c r="BA4475" s="4"/>
      <c r="BB4475" s="4"/>
    </row>
    <row r="4476" spans="1:54" x14ac:dyDescent="0.3">
      <c r="A4476" s="66"/>
      <c r="B4476" s="67"/>
      <c r="C4476" s="66"/>
      <c r="D4476" s="68"/>
      <c r="E4476" s="10"/>
      <c r="F4476" s="69"/>
      <c r="G4476" s="68"/>
      <c r="H4476" s="70"/>
      <c r="BA4476" s="4"/>
      <c r="BB4476" s="4"/>
    </row>
    <row r="4477" spans="1:54" x14ac:dyDescent="0.3">
      <c r="A4477" s="66"/>
      <c r="B4477" s="67"/>
      <c r="C4477" s="66"/>
      <c r="D4477" s="68"/>
      <c r="E4477" s="10"/>
      <c r="F4477" s="69"/>
      <c r="G4477" s="68"/>
      <c r="H4477" s="70"/>
      <c r="BA4477" s="4"/>
      <c r="BB4477" s="4"/>
    </row>
    <row r="4478" spans="1:54" x14ac:dyDescent="0.3">
      <c r="A4478" s="66"/>
      <c r="B4478" s="67"/>
      <c r="C4478" s="66"/>
      <c r="D4478" s="68"/>
      <c r="E4478" s="10"/>
      <c r="F4478" s="69"/>
      <c r="G4478" s="68"/>
      <c r="H4478" s="70"/>
      <c r="BA4478" s="4"/>
      <c r="BB4478" s="4"/>
    </row>
    <row r="4479" spans="1:54" x14ac:dyDescent="0.3">
      <c r="A4479" s="66"/>
      <c r="B4479" s="67"/>
      <c r="C4479" s="66"/>
      <c r="D4479" s="68"/>
      <c r="E4479" s="10"/>
      <c r="F4479" s="69"/>
      <c r="G4479" s="68"/>
      <c r="H4479" s="70"/>
      <c r="BA4479" s="4"/>
      <c r="BB4479" s="4"/>
    </row>
    <row r="4480" spans="1:54" x14ac:dyDescent="0.3">
      <c r="A4480" s="66"/>
      <c r="B4480" s="67"/>
      <c r="C4480" s="66"/>
      <c r="D4480" s="68"/>
      <c r="E4480" s="10"/>
      <c r="F4480" s="69"/>
      <c r="G4480" s="68"/>
      <c r="H4480" s="70"/>
      <c r="BA4480" s="4"/>
      <c r="BB4480" s="4"/>
    </row>
    <row r="4481" spans="1:54" x14ac:dyDescent="0.3">
      <c r="A4481" s="66"/>
      <c r="B4481" s="67"/>
      <c r="C4481" s="66"/>
      <c r="D4481" s="68"/>
      <c r="E4481" s="10"/>
      <c r="F4481" s="69"/>
      <c r="G4481" s="68"/>
      <c r="H4481" s="70"/>
      <c r="BA4481" s="4"/>
      <c r="BB4481" s="4"/>
    </row>
    <row r="4482" spans="1:54" x14ac:dyDescent="0.3">
      <c r="A4482" s="66"/>
      <c r="B4482" s="67"/>
      <c r="C4482" s="66"/>
      <c r="D4482" s="68"/>
      <c r="E4482" s="10"/>
      <c r="F4482" s="69"/>
      <c r="G4482" s="68"/>
      <c r="H4482" s="70"/>
      <c r="BA4482" s="4"/>
      <c r="BB4482" s="4"/>
    </row>
    <row r="4483" spans="1:54" x14ac:dyDescent="0.3">
      <c r="A4483" s="66"/>
      <c r="B4483" s="67"/>
      <c r="C4483" s="66"/>
      <c r="D4483" s="68"/>
      <c r="E4483" s="10"/>
      <c r="F4483" s="69"/>
      <c r="G4483" s="68"/>
      <c r="H4483" s="70"/>
      <c r="BA4483" s="4"/>
      <c r="BB4483" s="4"/>
    </row>
    <row r="4484" spans="1:54" x14ac:dyDescent="0.3">
      <c r="A4484" s="66"/>
      <c r="B4484" s="67"/>
      <c r="C4484" s="66"/>
      <c r="D4484" s="68"/>
      <c r="E4484" s="10"/>
      <c r="F4484" s="69"/>
      <c r="G4484" s="68"/>
      <c r="H4484" s="70"/>
      <c r="BA4484" s="4"/>
      <c r="BB4484" s="4"/>
    </row>
    <row r="4485" spans="1:54" x14ac:dyDescent="0.3">
      <c r="A4485" s="66"/>
      <c r="B4485" s="67"/>
      <c r="C4485" s="66"/>
      <c r="D4485" s="68"/>
      <c r="E4485" s="10"/>
      <c r="F4485" s="69"/>
      <c r="G4485" s="68"/>
      <c r="H4485" s="70"/>
      <c r="BA4485" s="4"/>
      <c r="BB4485" s="4"/>
    </row>
    <row r="4486" spans="1:54" x14ac:dyDescent="0.3">
      <c r="A4486" s="66"/>
      <c r="B4486" s="67"/>
      <c r="C4486" s="66"/>
      <c r="D4486" s="68"/>
      <c r="E4486" s="10"/>
      <c r="F4486" s="69"/>
      <c r="G4486" s="68"/>
      <c r="H4486" s="70"/>
      <c r="BA4486" s="4"/>
      <c r="BB4486" s="4"/>
    </row>
    <row r="4487" spans="1:54" x14ac:dyDescent="0.3">
      <c r="A4487" s="66"/>
      <c r="B4487" s="67"/>
      <c r="C4487" s="66"/>
      <c r="D4487" s="68"/>
      <c r="E4487" s="10"/>
      <c r="F4487" s="69"/>
      <c r="G4487" s="68"/>
      <c r="H4487" s="70"/>
      <c r="BA4487" s="4"/>
      <c r="BB4487" s="4"/>
    </row>
    <row r="4488" spans="1:54" x14ac:dyDescent="0.3">
      <c r="A4488" s="66"/>
      <c r="B4488" s="67"/>
      <c r="C4488" s="66"/>
      <c r="D4488" s="68"/>
      <c r="E4488" s="10"/>
      <c r="F4488" s="69"/>
      <c r="G4488" s="68"/>
      <c r="H4488" s="70"/>
      <c r="BA4488" s="4"/>
      <c r="BB4488" s="4"/>
    </row>
    <row r="4489" spans="1:54" x14ac:dyDescent="0.3">
      <c r="A4489" s="66"/>
      <c r="B4489" s="67"/>
      <c r="C4489" s="66"/>
      <c r="D4489" s="68"/>
      <c r="E4489" s="10"/>
      <c r="F4489" s="69"/>
      <c r="G4489" s="68"/>
      <c r="H4489" s="70"/>
      <c r="BA4489" s="4"/>
      <c r="BB4489" s="4"/>
    </row>
    <row r="4490" spans="1:54" x14ac:dyDescent="0.3">
      <c r="A4490" s="66"/>
      <c r="B4490" s="67"/>
      <c r="C4490" s="66"/>
      <c r="D4490" s="68"/>
      <c r="E4490" s="10"/>
      <c r="F4490" s="69"/>
      <c r="G4490" s="68"/>
      <c r="H4490" s="70"/>
      <c r="BA4490" s="4"/>
      <c r="BB4490" s="4"/>
    </row>
    <row r="4491" spans="1:54" x14ac:dyDescent="0.3">
      <c r="A4491" s="66"/>
      <c r="B4491" s="67"/>
      <c r="C4491" s="66"/>
      <c r="D4491" s="68"/>
      <c r="E4491" s="10"/>
      <c r="F4491" s="69"/>
      <c r="G4491" s="68"/>
      <c r="H4491" s="70"/>
      <c r="BA4491" s="4"/>
      <c r="BB4491" s="4"/>
    </row>
    <row r="4492" spans="1:54" x14ac:dyDescent="0.3">
      <c r="A4492" s="66"/>
      <c r="B4492" s="67"/>
      <c r="C4492" s="66"/>
      <c r="D4492" s="68"/>
      <c r="E4492" s="10"/>
      <c r="F4492" s="69"/>
      <c r="G4492" s="68"/>
      <c r="H4492" s="70"/>
      <c r="BA4492" s="4"/>
      <c r="BB4492" s="4"/>
    </row>
    <row r="4493" spans="1:54" x14ac:dyDescent="0.3">
      <c r="A4493" s="66"/>
      <c r="B4493" s="67"/>
      <c r="C4493" s="66"/>
      <c r="D4493" s="68"/>
      <c r="E4493" s="10"/>
      <c r="F4493" s="69"/>
      <c r="G4493" s="68"/>
      <c r="H4493" s="70"/>
      <c r="BA4493" s="4"/>
      <c r="BB4493" s="4"/>
    </row>
    <row r="4494" spans="1:54" x14ac:dyDescent="0.3">
      <c r="A4494" s="66"/>
      <c r="B4494" s="67"/>
      <c r="C4494" s="66"/>
      <c r="D4494" s="68"/>
      <c r="E4494" s="10"/>
      <c r="F4494" s="69"/>
      <c r="G4494" s="68"/>
      <c r="H4494" s="70"/>
      <c r="BA4494" s="4"/>
      <c r="BB4494" s="4"/>
    </row>
    <row r="4495" spans="1:54" x14ac:dyDescent="0.3">
      <c r="A4495" s="66"/>
      <c r="B4495" s="67"/>
      <c r="C4495" s="66"/>
      <c r="D4495" s="68"/>
      <c r="E4495" s="10"/>
      <c r="F4495" s="69"/>
      <c r="G4495" s="68"/>
      <c r="H4495" s="70"/>
      <c r="BA4495" s="4"/>
      <c r="BB4495" s="4"/>
    </row>
    <row r="4496" spans="1:54" x14ac:dyDescent="0.3">
      <c r="A4496" s="66"/>
      <c r="B4496" s="67"/>
      <c r="C4496" s="66"/>
      <c r="D4496" s="68"/>
      <c r="E4496" s="10"/>
      <c r="F4496" s="69"/>
      <c r="G4496" s="68"/>
      <c r="H4496" s="70"/>
      <c r="BA4496" s="4"/>
      <c r="BB4496" s="4"/>
    </row>
    <row r="4497" spans="1:54" x14ac:dyDescent="0.3">
      <c r="A4497" s="66"/>
      <c r="B4497" s="67"/>
      <c r="C4497" s="66"/>
      <c r="D4497" s="68"/>
      <c r="E4497" s="10"/>
      <c r="F4497" s="69"/>
      <c r="G4497" s="68"/>
      <c r="H4497" s="70"/>
      <c r="BA4497" s="4"/>
      <c r="BB4497" s="4"/>
    </row>
    <row r="4498" spans="1:54" x14ac:dyDescent="0.3">
      <c r="A4498" s="66"/>
      <c r="B4498" s="67"/>
      <c r="C4498" s="66"/>
      <c r="D4498" s="68"/>
      <c r="E4498" s="10"/>
      <c r="F4498" s="69"/>
      <c r="G4498" s="68"/>
      <c r="H4498" s="70"/>
      <c r="BA4498" s="4"/>
      <c r="BB4498" s="4"/>
    </row>
    <row r="4499" spans="1:54" x14ac:dyDescent="0.3">
      <c r="A4499" s="66"/>
      <c r="B4499" s="67"/>
      <c r="C4499" s="66"/>
      <c r="D4499" s="68"/>
      <c r="E4499" s="10"/>
      <c r="F4499" s="69"/>
      <c r="G4499" s="68"/>
      <c r="H4499" s="70"/>
      <c r="BA4499" s="4"/>
      <c r="BB4499" s="4"/>
    </row>
    <row r="4500" spans="1:54" x14ac:dyDescent="0.3">
      <c r="A4500" s="66"/>
      <c r="B4500" s="67"/>
      <c r="C4500" s="66"/>
      <c r="D4500" s="68"/>
      <c r="E4500" s="10"/>
      <c r="F4500" s="69"/>
      <c r="G4500" s="68"/>
      <c r="H4500" s="70"/>
      <c r="BA4500" s="4"/>
      <c r="BB4500" s="4"/>
    </row>
    <row r="4501" spans="1:54" x14ac:dyDescent="0.3">
      <c r="A4501" s="66"/>
      <c r="B4501" s="67"/>
      <c r="C4501" s="66"/>
      <c r="D4501" s="68"/>
      <c r="E4501" s="10"/>
      <c r="F4501" s="69"/>
      <c r="G4501" s="68"/>
      <c r="H4501" s="70"/>
      <c r="BA4501" s="4"/>
      <c r="BB4501" s="4"/>
    </row>
    <row r="4502" spans="1:54" x14ac:dyDescent="0.3">
      <c r="A4502" s="66"/>
      <c r="B4502" s="67"/>
      <c r="C4502" s="66"/>
      <c r="D4502" s="68"/>
      <c r="E4502" s="10"/>
      <c r="F4502" s="69"/>
      <c r="G4502" s="68"/>
      <c r="H4502" s="70"/>
      <c r="BA4502" s="4"/>
      <c r="BB4502" s="4"/>
    </row>
    <row r="4503" spans="1:54" x14ac:dyDescent="0.3">
      <c r="A4503" s="66"/>
      <c r="B4503" s="67"/>
      <c r="C4503" s="66"/>
      <c r="D4503" s="68"/>
      <c r="E4503" s="10"/>
      <c r="F4503" s="69"/>
      <c r="G4503" s="68"/>
      <c r="H4503" s="70"/>
      <c r="BA4503" s="4"/>
      <c r="BB4503" s="4"/>
    </row>
    <row r="4504" spans="1:54" x14ac:dyDescent="0.3">
      <c r="A4504" s="66"/>
      <c r="B4504" s="67"/>
      <c r="C4504" s="66"/>
      <c r="D4504" s="68"/>
      <c r="E4504" s="10"/>
      <c r="F4504" s="69"/>
      <c r="G4504" s="68"/>
      <c r="H4504" s="70"/>
      <c r="BA4504" s="4"/>
      <c r="BB4504" s="4"/>
    </row>
    <row r="4505" spans="1:54" x14ac:dyDescent="0.3">
      <c r="A4505" s="66"/>
      <c r="B4505" s="67"/>
      <c r="C4505" s="66"/>
      <c r="D4505" s="68"/>
      <c r="E4505" s="10"/>
      <c r="F4505" s="69"/>
      <c r="G4505" s="68"/>
      <c r="H4505" s="70"/>
      <c r="BA4505" s="4"/>
      <c r="BB4505" s="4"/>
    </row>
    <row r="4506" spans="1:54" x14ac:dyDescent="0.3">
      <c r="A4506" s="66"/>
      <c r="B4506" s="67"/>
      <c r="C4506" s="66"/>
      <c r="D4506" s="68"/>
      <c r="E4506" s="10"/>
      <c r="F4506" s="69"/>
      <c r="G4506" s="68"/>
      <c r="H4506" s="70"/>
      <c r="BA4506" s="4"/>
      <c r="BB4506" s="4"/>
    </row>
    <row r="4507" spans="1:54" x14ac:dyDescent="0.3">
      <c r="A4507" s="66"/>
      <c r="B4507" s="67"/>
      <c r="C4507" s="66"/>
      <c r="D4507" s="68"/>
      <c r="E4507" s="10"/>
      <c r="F4507" s="69"/>
      <c r="G4507" s="68"/>
      <c r="H4507" s="70"/>
      <c r="BA4507" s="4"/>
      <c r="BB4507" s="4"/>
    </row>
    <row r="4508" spans="1:54" x14ac:dyDescent="0.3">
      <c r="A4508" s="66"/>
      <c r="B4508" s="67"/>
      <c r="C4508" s="66"/>
      <c r="D4508" s="68"/>
      <c r="E4508" s="10"/>
      <c r="F4508" s="69"/>
      <c r="G4508" s="68"/>
      <c r="H4508" s="70"/>
      <c r="BA4508" s="4"/>
      <c r="BB4508" s="4"/>
    </row>
    <row r="4509" spans="1:54" x14ac:dyDescent="0.3">
      <c r="A4509" s="66"/>
      <c r="B4509" s="67"/>
      <c r="C4509" s="66"/>
      <c r="D4509" s="68"/>
      <c r="E4509" s="10"/>
      <c r="F4509" s="69"/>
      <c r="G4509" s="68"/>
      <c r="H4509" s="70"/>
      <c r="BA4509" s="4"/>
      <c r="BB4509" s="4"/>
    </row>
    <row r="4510" spans="1:54" x14ac:dyDescent="0.3">
      <c r="A4510" s="66"/>
      <c r="B4510" s="67"/>
      <c r="C4510" s="66"/>
      <c r="D4510" s="68"/>
      <c r="E4510" s="10"/>
      <c r="F4510" s="69"/>
      <c r="G4510" s="68"/>
      <c r="H4510" s="70"/>
      <c r="BA4510" s="4"/>
      <c r="BB4510" s="4"/>
    </row>
    <row r="4511" spans="1:54" x14ac:dyDescent="0.3">
      <c r="A4511" s="66"/>
      <c r="B4511" s="67"/>
      <c r="C4511" s="66"/>
      <c r="D4511" s="68"/>
      <c r="E4511" s="10"/>
      <c r="F4511" s="69"/>
      <c r="G4511" s="68"/>
      <c r="H4511" s="70"/>
      <c r="BA4511" s="4"/>
      <c r="BB4511" s="4"/>
    </row>
    <row r="4512" spans="1:54" x14ac:dyDescent="0.3">
      <c r="A4512" s="66"/>
      <c r="B4512" s="67"/>
      <c r="C4512" s="66"/>
      <c r="D4512" s="68"/>
      <c r="E4512" s="10"/>
      <c r="F4512" s="69"/>
      <c r="G4512" s="68"/>
      <c r="H4512" s="70"/>
      <c r="BA4512" s="4"/>
      <c r="BB4512" s="4"/>
    </row>
    <row r="4513" spans="1:54" x14ac:dyDescent="0.3">
      <c r="A4513" s="66"/>
      <c r="B4513" s="67"/>
      <c r="C4513" s="66"/>
      <c r="D4513" s="68"/>
      <c r="E4513" s="10"/>
      <c r="F4513" s="69"/>
      <c r="G4513" s="68"/>
      <c r="H4513" s="70"/>
      <c r="BA4513" s="4"/>
      <c r="BB4513" s="4"/>
    </row>
    <row r="4514" spans="1:54" x14ac:dyDescent="0.3">
      <c r="A4514" s="66"/>
      <c r="B4514" s="67"/>
      <c r="C4514" s="66"/>
      <c r="D4514" s="68"/>
      <c r="E4514" s="10"/>
      <c r="F4514" s="69"/>
      <c r="G4514" s="68"/>
      <c r="H4514" s="70"/>
      <c r="BA4514" s="4"/>
      <c r="BB4514" s="4"/>
    </row>
    <row r="4515" spans="1:54" x14ac:dyDescent="0.3">
      <c r="A4515" s="66"/>
      <c r="B4515" s="67"/>
      <c r="C4515" s="66"/>
      <c r="D4515" s="68"/>
      <c r="E4515" s="10"/>
      <c r="F4515" s="69"/>
      <c r="G4515" s="68"/>
      <c r="H4515" s="70"/>
      <c r="BA4515" s="4"/>
      <c r="BB4515" s="4"/>
    </row>
    <row r="4516" spans="1:54" x14ac:dyDescent="0.3">
      <c r="A4516" s="66"/>
      <c r="B4516" s="67"/>
      <c r="C4516" s="66"/>
      <c r="D4516" s="68"/>
      <c r="E4516" s="10"/>
      <c r="F4516" s="69"/>
      <c r="G4516" s="68"/>
      <c r="H4516" s="70"/>
      <c r="BA4516" s="4"/>
      <c r="BB4516" s="4"/>
    </row>
    <row r="4517" spans="1:54" x14ac:dyDescent="0.3">
      <c r="A4517" s="66"/>
      <c r="B4517" s="67"/>
      <c r="C4517" s="66"/>
      <c r="D4517" s="68"/>
      <c r="E4517" s="10"/>
      <c r="F4517" s="69"/>
      <c r="G4517" s="68"/>
      <c r="H4517" s="70"/>
      <c r="BA4517" s="4"/>
      <c r="BB4517" s="4"/>
    </row>
    <row r="4518" spans="1:54" x14ac:dyDescent="0.3">
      <c r="A4518" s="66"/>
      <c r="B4518" s="67"/>
      <c r="C4518" s="66"/>
      <c r="D4518" s="68"/>
      <c r="E4518" s="10"/>
      <c r="F4518" s="69"/>
      <c r="G4518" s="68"/>
      <c r="H4518" s="70"/>
      <c r="BA4518" s="4"/>
      <c r="BB4518" s="4"/>
    </row>
    <row r="4519" spans="1:54" x14ac:dyDescent="0.3">
      <c r="A4519" s="66"/>
      <c r="B4519" s="67"/>
      <c r="C4519" s="66"/>
      <c r="D4519" s="68"/>
      <c r="E4519" s="10"/>
      <c r="F4519" s="69"/>
      <c r="G4519" s="68"/>
      <c r="H4519" s="70"/>
      <c r="BA4519" s="4"/>
      <c r="BB4519" s="4"/>
    </row>
    <row r="4520" spans="1:54" x14ac:dyDescent="0.3">
      <c r="A4520" s="66"/>
      <c r="B4520" s="67"/>
      <c r="C4520" s="66"/>
      <c r="D4520" s="68"/>
      <c r="E4520" s="10"/>
      <c r="F4520" s="69"/>
      <c r="G4520" s="68"/>
      <c r="H4520" s="70"/>
      <c r="BA4520" s="4"/>
      <c r="BB4520" s="4"/>
    </row>
    <row r="4521" spans="1:54" x14ac:dyDescent="0.3">
      <c r="A4521" s="66"/>
      <c r="B4521" s="67"/>
      <c r="C4521" s="66"/>
      <c r="D4521" s="68"/>
      <c r="E4521" s="10"/>
      <c r="F4521" s="69"/>
      <c r="G4521" s="68"/>
      <c r="H4521" s="70"/>
      <c r="BA4521" s="4"/>
      <c r="BB4521" s="4"/>
    </row>
    <row r="4522" spans="1:54" x14ac:dyDescent="0.3">
      <c r="A4522" s="66"/>
      <c r="B4522" s="67"/>
      <c r="C4522" s="66"/>
      <c r="D4522" s="68"/>
      <c r="E4522" s="10"/>
      <c r="F4522" s="69"/>
      <c r="G4522" s="68"/>
      <c r="H4522" s="70"/>
      <c r="BA4522" s="4"/>
      <c r="BB4522" s="4"/>
    </row>
    <row r="4523" spans="1:54" x14ac:dyDescent="0.3">
      <c r="A4523" s="66"/>
      <c r="B4523" s="67"/>
      <c r="C4523" s="66"/>
      <c r="D4523" s="68"/>
      <c r="E4523" s="10"/>
      <c r="F4523" s="69"/>
      <c r="G4523" s="68"/>
      <c r="H4523" s="70"/>
      <c r="BA4523" s="4"/>
      <c r="BB4523" s="4"/>
    </row>
    <row r="4524" spans="1:54" x14ac:dyDescent="0.3">
      <c r="A4524" s="66"/>
      <c r="B4524" s="67"/>
      <c r="C4524" s="66"/>
      <c r="D4524" s="68"/>
      <c r="E4524" s="10"/>
      <c r="F4524" s="69"/>
      <c r="G4524" s="68"/>
      <c r="H4524" s="70"/>
      <c r="BA4524" s="4"/>
      <c r="BB4524" s="4"/>
    </row>
    <row r="4525" spans="1:54" x14ac:dyDescent="0.3">
      <c r="A4525" s="66"/>
      <c r="B4525" s="67"/>
      <c r="C4525" s="66"/>
      <c r="D4525" s="68"/>
      <c r="E4525" s="10"/>
      <c r="F4525" s="69"/>
      <c r="G4525" s="68"/>
      <c r="H4525" s="70"/>
      <c r="BA4525" s="4"/>
      <c r="BB4525" s="4"/>
    </row>
    <row r="4526" spans="1:54" x14ac:dyDescent="0.3">
      <c r="A4526" s="66"/>
      <c r="B4526" s="67"/>
      <c r="C4526" s="66"/>
      <c r="D4526" s="68"/>
      <c r="E4526" s="10"/>
      <c r="F4526" s="69"/>
      <c r="G4526" s="68"/>
      <c r="H4526" s="70"/>
      <c r="BA4526" s="4"/>
      <c r="BB4526" s="4"/>
    </row>
    <row r="4527" spans="1:54" x14ac:dyDescent="0.3">
      <c r="A4527" s="66"/>
      <c r="B4527" s="67"/>
      <c r="C4527" s="66"/>
      <c r="D4527" s="68"/>
      <c r="E4527" s="10"/>
      <c r="F4527" s="69"/>
      <c r="G4527" s="68"/>
      <c r="H4527" s="70"/>
      <c r="BA4527" s="4"/>
      <c r="BB4527" s="4"/>
    </row>
    <row r="4528" spans="1:54" x14ac:dyDescent="0.3">
      <c r="A4528" s="66"/>
      <c r="B4528" s="67"/>
      <c r="C4528" s="66"/>
      <c r="D4528" s="68"/>
      <c r="E4528" s="10"/>
      <c r="F4528" s="69"/>
      <c r="G4528" s="68"/>
      <c r="H4528" s="70"/>
      <c r="BA4528" s="4"/>
      <c r="BB4528" s="4"/>
    </row>
    <row r="4529" spans="1:54" x14ac:dyDescent="0.3">
      <c r="A4529" s="66"/>
      <c r="B4529" s="67"/>
      <c r="C4529" s="66"/>
      <c r="D4529" s="68"/>
      <c r="E4529" s="10"/>
      <c r="F4529" s="69"/>
      <c r="G4529" s="68"/>
      <c r="H4529" s="70"/>
      <c r="BA4529" s="4"/>
      <c r="BB4529" s="4"/>
    </row>
    <row r="4530" spans="1:54" x14ac:dyDescent="0.3">
      <c r="A4530" s="66"/>
      <c r="B4530" s="67"/>
      <c r="C4530" s="66"/>
      <c r="D4530" s="68"/>
      <c r="E4530" s="10"/>
      <c r="F4530" s="69"/>
      <c r="G4530" s="68"/>
      <c r="H4530" s="70"/>
      <c r="BA4530" s="4"/>
      <c r="BB4530" s="4"/>
    </row>
    <row r="4531" spans="1:54" x14ac:dyDescent="0.3">
      <c r="A4531" s="66"/>
      <c r="B4531" s="67"/>
      <c r="C4531" s="66"/>
      <c r="D4531" s="68"/>
      <c r="E4531" s="10"/>
      <c r="F4531" s="69"/>
      <c r="G4531" s="68"/>
      <c r="H4531" s="70"/>
      <c r="BA4531" s="4"/>
      <c r="BB4531" s="4"/>
    </row>
    <row r="4532" spans="1:54" x14ac:dyDescent="0.3">
      <c r="A4532" s="66"/>
      <c r="B4532" s="67"/>
      <c r="C4532" s="66"/>
      <c r="D4532" s="68"/>
      <c r="E4532" s="10"/>
      <c r="F4532" s="69"/>
      <c r="G4532" s="68"/>
      <c r="H4532" s="70"/>
      <c r="BA4532" s="4"/>
      <c r="BB4532" s="4"/>
    </row>
    <row r="4533" spans="1:54" x14ac:dyDescent="0.3">
      <c r="A4533" s="66"/>
      <c r="B4533" s="67"/>
      <c r="C4533" s="66"/>
      <c r="D4533" s="68"/>
      <c r="E4533" s="10"/>
      <c r="F4533" s="69"/>
      <c r="G4533" s="68"/>
      <c r="H4533" s="70"/>
      <c r="BA4533" s="4"/>
      <c r="BB4533" s="4"/>
    </row>
    <row r="4534" spans="1:54" x14ac:dyDescent="0.3">
      <c r="A4534" s="66"/>
      <c r="B4534" s="67"/>
      <c r="C4534" s="66"/>
      <c r="D4534" s="68"/>
      <c r="E4534" s="10"/>
      <c r="F4534" s="69"/>
      <c r="G4534" s="68"/>
      <c r="H4534" s="70"/>
      <c r="BA4534" s="4"/>
      <c r="BB4534" s="4"/>
    </row>
    <row r="4535" spans="1:54" x14ac:dyDescent="0.3">
      <c r="A4535" s="66"/>
      <c r="B4535" s="67"/>
      <c r="C4535" s="66"/>
      <c r="D4535" s="68"/>
      <c r="E4535" s="10"/>
      <c r="F4535" s="69"/>
      <c r="G4535" s="68"/>
      <c r="H4535" s="70"/>
      <c r="BA4535" s="4"/>
      <c r="BB4535" s="4"/>
    </row>
    <row r="4536" spans="1:54" x14ac:dyDescent="0.3">
      <c r="A4536" s="66"/>
      <c r="B4536" s="67"/>
      <c r="C4536" s="66"/>
      <c r="D4536" s="68"/>
      <c r="E4536" s="10"/>
      <c r="F4536" s="69"/>
      <c r="G4536" s="68"/>
      <c r="H4536" s="70"/>
      <c r="BA4536" s="4"/>
      <c r="BB4536" s="4"/>
    </row>
    <row r="4537" spans="1:54" x14ac:dyDescent="0.3">
      <c r="A4537" s="66"/>
      <c r="B4537" s="67"/>
      <c r="C4537" s="66"/>
      <c r="D4537" s="68"/>
      <c r="E4537" s="10"/>
      <c r="F4537" s="69"/>
      <c r="G4537" s="68"/>
      <c r="H4537" s="70"/>
      <c r="BA4537" s="4"/>
      <c r="BB4537" s="4"/>
    </row>
    <row r="4538" spans="1:54" x14ac:dyDescent="0.3">
      <c r="A4538" s="66"/>
      <c r="B4538" s="67"/>
      <c r="C4538" s="66"/>
      <c r="D4538" s="68"/>
      <c r="E4538" s="10"/>
      <c r="F4538" s="69"/>
      <c r="G4538" s="68"/>
      <c r="H4538" s="70"/>
      <c r="BA4538" s="4"/>
      <c r="BB4538" s="4"/>
    </row>
    <row r="4539" spans="1:54" x14ac:dyDescent="0.3">
      <c r="A4539" s="66"/>
      <c r="B4539" s="67"/>
      <c r="C4539" s="66"/>
      <c r="D4539" s="68"/>
      <c r="E4539" s="10"/>
      <c r="F4539" s="69"/>
      <c r="G4539" s="68"/>
      <c r="H4539" s="70"/>
      <c r="BA4539" s="4"/>
      <c r="BB4539" s="4"/>
    </row>
    <row r="4540" spans="1:54" x14ac:dyDescent="0.3">
      <c r="A4540" s="66"/>
      <c r="B4540" s="67"/>
      <c r="C4540" s="66"/>
      <c r="D4540" s="68"/>
      <c r="E4540" s="10"/>
      <c r="F4540" s="69"/>
      <c r="G4540" s="68"/>
      <c r="H4540" s="70"/>
      <c r="BA4540" s="4"/>
      <c r="BB4540" s="4"/>
    </row>
    <row r="4541" spans="1:54" x14ac:dyDescent="0.3">
      <c r="A4541" s="66"/>
      <c r="B4541" s="67"/>
      <c r="C4541" s="66"/>
      <c r="D4541" s="68"/>
      <c r="E4541" s="10"/>
      <c r="F4541" s="69"/>
      <c r="G4541" s="68"/>
      <c r="H4541" s="70"/>
      <c r="BA4541" s="4"/>
      <c r="BB4541" s="4"/>
    </row>
    <row r="4542" spans="1:54" x14ac:dyDescent="0.3">
      <c r="A4542" s="66"/>
      <c r="B4542" s="67"/>
      <c r="C4542" s="66"/>
      <c r="D4542" s="68"/>
      <c r="E4542" s="10"/>
      <c r="F4542" s="69"/>
      <c r="G4542" s="68"/>
      <c r="H4542" s="70"/>
      <c r="BA4542" s="4"/>
      <c r="BB4542" s="4"/>
    </row>
    <row r="4543" spans="1:54" x14ac:dyDescent="0.3">
      <c r="A4543" s="66"/>
      <c r="B4543" s="67"/>
      <c r="C4543" s="66"/>
      <c r="D4543" s="68"/>
      <c r="E4543" s="10"/>
      <c r="F4543" s="69"/>
      <c r="G4543" s="68"/>
      <c r="H4543" s="70"/>
      <c r="BA4543" s="4"/>
      <c r="BB4543" s="4"/>
    </row>
    <row r="4544" spans="1:54" x14ac:dyDescent="0.3">
      <c r="A4544" s="66"/>
      <c r="B4544" s="67"/>
      <c r="C4544" s="66"/>
      <c r="D4544" s="68"/>
      <c r="E4544" s="10"/>
      <c r="F4544" s="69"/>
      <c r="G4544" s="68"/>
      <c r="H4544" s="70"/>
      <c r="BA4544" s="4"/>
      <c r="BB4544" s="4"/>
    </row>
    <row r="4545" spans="1:54" x14ac:dyDescent="0.3">
      <c r="A4545" s="66"/>
      <c r="B4545" s="67"/>
      <c r="C4545" s="66"/>
      <c r="D4545" s="68"/>
      <c r="E4545" s="10"/>
      <c r="F4545" s="69"/>
      <c r="G4545" s="68"/>
      <c r="H4545" s="70"/>
      <c r="BA4545" s="4"/>
      <c r="BB4545" s="4"/>
    </row>
    <row r="4546" spans="1:54" x14ac:dyDescent="0.3">
      <c r="A4546" s="66"/>
      <c r="B4546" s="67"/>
      <c r="C4546" s="66"/>
      <c r="D4546" s="68"/>
      <c r="E4546" s="10"/>
      <c r="F4546" s="69"/>
      <c r="G4546" s="68"/>
      <c r="H4546" s="70"/>
      <c r="BA4546" s="4"/>
      <c r="BB4546" s="4"/>
    </row>
    <row r="4547" spans="1:54" x14ac:dyDescent="0.3">
      <c r="A4547" s="66"/>
      <c r="B4547" s="67"/>
      <c r="C4547" s="66"/>
      <c r="D4547" s="68"/>
      <c r="E4547" s="10"/>
      <c r="F4547" s="69"/>
      <c r="G4547" s="68"/>
      <c r="H4547" s="70"/>
      <c r="BA4547" s="4"/>
      <c r="BB4547" s="4"/>
    </row>
    <row r="4548" spans="1:54" x14ac:dyDescent="0.3">
      <c r="A4548" s="66"/>
      <c r="B4548" s="67"/>
      <c r="C4548" s="66"/>
      <c r="D4548" s="68"/>
      <c r="E4548" s="10"/>
      <c r="F4548" s="69"/>
      <c r="G4548" s="68"/>
      <c r="H4548" s="70"/>
      <c r="BA4548" s="4"/>
      <c r="BB4548" s="4"/>
    </row>
    <row r="4549" spans="1:54" x14ac:dyDescent="0.3">
      <c r="A4549" s="66"/>
      <c r="B4549" s="67"/>
      <c r="C4549" s="66"/>
      <c r="D4549" s="68"/>
      <c r="E4549" s="10"/>
      <c r="F4549" s="69"/>
      <c r="G4549" s="68"/>
      <c r="H4549" s="70"/>
      <c r="BA4549" s="4"/>
      <c r="BB4549" s="4"/>
    </row>
    <row r="4550" spans="1:54" x14ac:dyDescent="0.3">
      <c r="A4550" s="66"/>
      <c r="B4550" s="67"/>
      <c r="C4550" s="66"/>
      <c r="D4550" s="68"/>
      <c r="E4550" s="10"/>
      <c r="F4550" s="69"/>
      <c r="G4550" s="68"/>
      <c r="H4550" s="70"/>
      <c r="BA4550" s="4"/>
      <c r="BB4550" s="4"/>
    </row>
    <row r="4551" spans="1:54" x14ac:dyDescent="0.3">
      <c r="A4551" s="66"/>
      <c r="B4551" s="67"/>
      <c r="C4551" s="66"/>
      <c r="D4551" s="68"/>
      <c r="E4551" s="10"/>
      <c r="F4551" s="69"/>
      <c r="G4551" s="68"/>
      <c r="H4551" s="70"/>
      <c r="BA4551" s="4"/>
      <c r="BB4551" s="4"/>
    </row>
    <row r="4552" spans="1:54" x14ac:dyDescent="0.3">
      <c r="A4552" s="66"/>
      <c r="B4552" s="67"/>
      <c r="C4552" s="66"/>
      <c r="D4552" s="68"/>
      <c r="E4552" s="10"/>
      <c r="F4552" s="69"/>
      <c r="G4552" s="68"/>
      <c r="H4552" s="70"/>
      <c r="BA4552" s="4"/>
      <c r="BB4552" s="4"/>
    </row>
    <row r="4553" spans="1:54" x14ac:dyDescent="0.3">
      <c r="A4553" s="66"/>
      <c r="B4553" s="67"/>
      <c r="C4553" s="66"/>
      <c r="D4553" s="68"/>
      <c r="E4553" s="10"/>
      <c r="F4553" s="69"/>
      <c r="G4553" s="68"/>
      <c r="H4553" s="70"/>
      <c r="BA4553" s="4"/>
      <c r="BB4553" s="4"/>
    </row>
    <row r="4554" spans="1:54" x14ac:dyDescent="0.3">
      <c r="A4554" s="66"/>
      <c r="B4554" s="67"/>
      <c r="C4554" s="66"/>
      <c r="D4554" s="68"/>
      <c r="E4554" s="10"/>
      <c r="F4554" s="69"/>
      <c r="G4554" s="68"/>
      <c r="H4554" s="70"/>
      <c r="BA4554" s="4"/>
      <c r="BB4554" s="4"/>
    </row>
    <row r="4555" spans="1:54" x14ac:dyDescent="0.3">
      <c r="A4555" s="66"/>
      <c r="B4555" s="67"/>
      <c r="C4555" s="66"/>
      <c r="D4555" s="68"/>
      <c r="E4555" s="10"/>
      <c r="F4555" s="69"/>
      <c r="G4555" s="68"/>
      <c r="H4555" s="70"/>
      <c r="BA4555" s="4"/>
      <c r="BB4555" s="4"/>
    </row>
    <row r="4556" spans="1:54" x14ac:dyDescent="0.3">
      <c r="A4556" s="66"/>
      <c r="B4556" s="67"/>
      <c r="C4556" s="66"/>
      <c r="D4556" s="68"/>
      <c r="E4556" s="10"/>
      <c r="F4556" s="69"/>
      <c r="G4556" s="68"/>
      <c r="H4556" s="70"/>
      <c r="BA4556" s="4"/>
      <c r="BB4556" s="4"/>
    </row>
    <row r="4557" spans="1:54" x14ac:dyDescent="0.3">
      <c r="A4557" s="66"/>
      <c r="B4557" s="67"/>
      <c r="C4557" s="66"/>
      <c r="D4557" s="68"/>
      <c r="E4557" s="10"/>
      <c r="F4557" s="69"/>
      <c r="G4557" s="68"/>
      <c r="H4557" s="70"/>
      <c r="BA4557" s="4"/>
      <c r="BB4557" s="4"/>
    </row>
    <row r="4558" spans="1:54" x14ac:dyDescent="0.3">
      <c r="A4558" s="66"/>
      <c r="B4558" s="67"/>
      <c r="C4558" s="66"/>
      <c r="D4558" s="68"/>
      <c r="E4558" s="10"/>
      <c r="F4558" s="69"/>
      <c r="G4558" s="68"/>
      <c r="H4558" s="70"/>
      <c r="BA4558" s="4"/>
      <c r="BB4558" s="4"/>
    </row>
    <row r="4559" spans="1:54" x14ac:dyDescent="0.3">
      <c r="A4559" s="66"/>
      <c r="B4559" s="67"/>
      <c r="C4559" s="66"/>
      <c r="D4559" s="68"/>
      <c r="E4559" s="10"/>
      <c r="F4559" s="69"/>
      <c r="G4559" s="68"/>
      <c r="H4559" s="70"/>
      <c r="BA4559" s="4"/>
      <c r="BB4559" s="4"/>
    </row>
    <row r="4560" spans="1:54" x14ac:dyDescent="0.3">
      <c r="A4560" s="66"/>
      <c r="B4560" s="67"/>
      <c r="C4560" s="66"/>
      <c r="D4560" s="68"/>
      <c r="E4560" s="10"/>
      <c r="F4560" s="69"/>
      <c r="G4560" s="68"/>
      <c r="H4560" s="70"/>
      <c r="BA4560" s="4"/>
      <c r="BB4560" s="4"/>
    </row>
    <row r="4561" spans="1:54" x14ac:dyDescent="0.3">
      <c r="A4561" s="66"/>
      <c r="B4561" s="67"/>
      <c r="C4561" s="66"/>
      <c r="D4561" s="68"/>
      <c r="E4561" s="10"/>
      <c r="F4561" s="69"/>
      <c r="G4561" s="68"/>
      <c r="H4561" s="70"/>
      <c r="BA4561" s="4"/>
      <c r="BB4561" s="4"/>
    </row>
    <row r="4562" spans="1:54" x14ac:dyDescent="0.3">
      <c r="A4562" s="66"/>
      <c r="B4562" s="67"/>
      <c r="C4562" s="66"/>
      <c r="D4562" s="68"/>
      <c r="E4562" s="10"/>
      <c r="F4562" s="69"/>
      <c r="G4562" s="68"/>
      <c r="H4562" s="70"/>
      <c r="BA4562" s="4"/>
      <c r="BB4562" s="4"/>
    </row>
    <row r="4563" spans="1:54" x14ac:dyDescent="0.3">
      <c r="A4563" s="66"/>
      <c r="B4563" s="67"/>
      <c r="C4563" s="66"/>
      <c r="D4563" s="68"/>
      <c r="E4563" s="10"/>
      <c r="F4563" s="69"/>
      <c r="G4563" s="68"/>
      <c r="H4563" s="70"/>
      <c r="BA4563" s="4"/>
      <c r="BB4563" s="4"/>
    </row>
    <row r="4564" spans="1:54" x14ac:dyDescent="0.3">
      <c r="A4564" s="66"/>
      <c r="B4564" s="67"/>
      <c r="C4564" s="66"/>
      <c r="D4564" s="68"/>
      <c r="E4564" s="10"/>
      <c r="F4564" s="69"/>
      <c r="G4564" s="68"/>
      <c r="H4564" s="70"/>
      <c r="BA4564" s="4"/>
      <c r="BB4564" s="4"/>
    </row>
    <row r="4565" spans="1:54" x14ac:dyDescent="0.3">
      <c r="A4565" s="66"/>
      <c r="B4565" s="67"/>
      <c r="C4565" s="66"/>
      <c r="D4565" s="68"/>
      <c r="E4565" s="10"/>
      <c r="F4565" s="69"/>
      <c r="G4565" s="68"/>
      <c r="H4565" s="70"/>
      <c r="BA4565" s="4"/>
      <c r="BB4565" s="4"/>
    </row>
    <row r="4566" spans="1:54" x14ac:dyDescent="0.3">
      <c r="A4566" s="66"/>
      <c r="B4566" s="67"/>
      <c r="C4566" s="66"/>
      <c r="D4566" s="68"/>
      <c r="E4566" s="10"/>
      <c r="F4566" s="69"/>
      <c r="G4566" s="68"/>
      <c r="H4566" s="70"/>
      <c r="BA4566" s="4"/>
      <c r="BB4566" s="4"/>
    </row>
    <row r="4567" spans="1:54" x14ac:dyDescent="0.3">
      <c r="A4567" s="66"/>
      <c r="B4567" s="67"/>
      <c r="C4567" s="66"/>
      <c r="D4567" s="68"/>
      <c r="E4567" s="10"/>
      <c r="F4567" s="69"/>
      <c r="G4567" s="68"/>
      <c r="H4567" s="70"/>
      <c r="BA4567" s="4"/>
      <c r="BB4567" s="4"/>
    </row>
    <row r="4568" spans="1:54" x14ac:dyDescent="0.3">
      <c r="A4568" s="66"/>
      <c r="B4568" s="67"/>
      <c r="C4568" s="66"/>
      <c r="D4568" s="68"/>
      <c r="E4568" s="10"/>
      <c r="F4568" s="69"/>
      <c r="G4568" s="68"/>
      <c r="H4568" s="70"/>
      <c r="BA4568" s="4"/>
      <c r="BB4568" s="4"/>
    </row>
    <row r="4569" spans="1:54" x14ac:dyDescent="0.3">
      <c r="A4569" s="66"/>
      <c r="B4569" s="67"/>
      <c r="C4569" s="66"/>
      <c r="D4569" s="68"/>
      <c r="E4569" s="10"/>
      <c r="F4569" s="69"/>
      <c r="G4569" s="68"/>
      <c r="H4569" s="70"/>
      <c r="BA4569" s="4"/>
      <c r="BB4569" s="4"/>
    </row>
    <row r="4570" spans="1:54" x14ac:dyDescent="0.3">
      <c r="A4570" s="66"/>
      <c r="B4570" s="67"/>
      <c r="C4570" s="66"/>
      <c r="D4570" s="68"/>
      <c r="E4570" s="10"/>
      <c r="F4570" s="69"/>
      <c r="G4570" s="68"/>
      <c r="H4570" s="70"/>
      <c r="BA4570" s="4"/>
      <c r="BB4570" s="4"/>
    </row>
    <row r="4571" spans="1:54" x14ac:dyDescent="0.3">
      <c r="A4571" s="66"/>
      <c r="B4571" s="67"/>
      <c r="C4571" s="66"/>
      <c r="D4571" s="68"/>
      <c r="E4571" s="10"/>
      <c r="F4571" s="69"/>
      <c r="G4571" s="68"/>
      <c r="H4571" s="70"/>
      <c r="BA4571" s="4"/>
      <c r="BB4571" s="4"/>
    </row>
    <row r="4572" spans="1:54" x14ac:dyDescent="0.3">
      <c r="A4572" s="66"/>
      <c r="B4572" s="67"/>
      <c r="C4572" s="66"/>
      <c r="D4572" s="68"/>
      <c r="E4572" s="10"/>
      <c r="F4572" s="69"/>
      <c r="G4572" s="68"/>
      <c r="H4572" s="70"/>
      <c r="BA4572" s="4"/>
      <c r="BB4572" s="4"/>
    </row>
    <row r="4573" spans="1:54" x14ac:dyDescent="0.3">
      <c r="A4573" s="66"/>
      <c r="B4573" s="67"/>
      <c r="C4573" s="66"/>
      <c r="D4573" s="68"/>
      <c r="E4573" s="10"/>
      <c r="F4573" s="69"/>
      <c r="G4573" s="68"/>
      <c r="H4573" s="70"/>
      <c r="BA4573" s="4"/>
      <c r="BB4573" s="4"/>
    </row>
    <row r="4574" spans="1:54" x14ac:dyDescent="0.3">
      <c r="A4574" s="66"/>
      <c r="B4574" s="67"/>
      <c r="C4574" s="66"/>
      <c r="D4574" s="68"/>
      <c r="E4574" s="10"/>
      <c r="F4574" s="69"/>
      <c r="G4574" s="68"/>
      <c r="H4574" s="70"/>
      <c r="BA4574" s="4"/>
      <c r="BB4574" s="4"/>
    </row>
    <row r="4575" spans="1:54" x14ac:dyDescent="0.3">
      <c r="A4575" s="66"/>
      <c r="B4575" s="67"/>
      <c r="C4575" s="66"/>
      <c r="D4575" s="68"/>
      <c r="E4575" s="10"/>
      <c r="F4575" s="69"/>
      <c r="G4575" s="68"/>
      <c r="H4575" s="70"/>
      <c r="BA4575" s="4"/>
      <c r="BB4575" s="4"/>
    </row>
    <row r="4576" spans="1:54" x14ac:dyDescent="0.3">
      <c r="A4576" s="66"/>
      <c r="B4576" s="67"/>
      <c r="C4576" s="66"/>
      <c r="D4576" s="68"/>
      <c r="E4576" s="10"/>
      <c r="F4576" s="69"/>
      <c r="G4576" s="68"/>
      <c r="H4576" s="70"/>
      <c r="BA4576" s="4"/>
      <c r="BB4576" s="4"/>
    </row>
    <row r="4577" spans="1:54" x14ac:dyDescent="0.3">
      <c r="A4577" s="66"/>
      <c r="B4577" s="67"/>
      <c r="C4577" s="66"/>
      <c r="D4577" s="68"/>
      <c r="E4577" s="10"/>
      <c r="F4577" s="69"/>
      <c r="G4577" s="68"/>
      <c r="H4577" s="70"/>
      <c r="BA4577" s="4"/>
      <c r="BB4577" s="4"/>
    </row>
    <row r="4578" spans="1:54" x14ac:dyDescent="0.3">
      <c r="A4578" s="66"/>
      <c r="B4578" s="67"/>
      <c r="C4578" s="66"/>
      <c r="D4578" s="68"/>
      <c r="E4578" s="10"/>
      <c r="F4578" s="69"/>
      <c r="G4578" s="68"/>
      <c r="H4578" s="70"/>
      <c r="BA4578" s="4"/>
      <c r="BB4578" s="4"/>
    </row>
    <row r="4579" spans="1:54" x14ac:dyDescent="0.3">
      <c r="A4579" s="66"/>
      <c r="B4579" s="67"/>
      <c r="C4579" s="66"/>
      <c r="D4579" s="68"/>
      <c r="E4579" s="10"/>
      <c r="F4579" s="69"/>
      <c r="G4579" s="68"/>
      <c r="H4579" s="70"/>
      <c r="BA4579" s="4"/>
      <c r="BB4579" s="4"/>
    </row>
    <row r="4580" spans="1:54" x14ac:dyDescent="0.3">
      <c r="A4580" s="66"/>
      <c r="B4580" s="67"/>
      <c r="C4580" s="66"/>
      <c r="D4580" s="68"/>
      <c r="E4580" s="10"/>
      <c r="F4580" s="69"/>
      <c r="G4580" s="68"/>
      <c r="H4580" s="70"/>
      <c r="BA4580" s="4"/>
      <c r="BB4580" s="4"/>
    </row>
    <row r="4581" spans="1:54" x14ac:dyDescent="0.3">
      <c r="A4581" s="66"/>
      <c r="B4581" s="67"/>
      <c r="C4581" s="66"/>
      <c r="D4581" s="68"/>
      <c r="E4581" s="10"/>
      <c r="F4581" s="69"/>
      <c r="G4581" s="68"/>
      <c r="H4581" s="70"/>
      <c r="BA4581" s="4"/>
      <c r="BB4581" s="4"/>
    </row>
    <row r="4582" spans="1:54" x14ac:dyDescent="0.3">
      <c r="A4582" s="66"/>
      <c r="B4582" s="67"/>
      <c r="C4582" s="66"/>
      <c r="D4582" s="68"/>
      <c r="E4582" s="10"/>
      <c r="F4582" s="69"/>
      <c r="G4582" s="68"/>
      <c r="H4582" s="70"/>
      <c r="BA4582" s="4"/>
      <c r="BB4582" s="4"/>
    </row>
    <row r="4583" spans="1:54" x14ac:dyDescent="0.3">
      <c r="A4583" s="66"/>
      <c r="B4583" s="67"/>
      <c r="C4583" s="66"/>
      <c r="D4583" s="68"/>
      <c r="E4583" s="10"/>
      <c r="F4583" s="69"/>
      <c r="G4583" s="68"/>
      <c r="H4583" s="70"/>
      <c r="BA4583" s="4"/>
      <c r="BB4583" s="4"/>
    </row>
    <row r="4584" spans="1:54" x14ac:dyDescent="0.3">
      <c r="A4584" s="66"/>
      <c r="B4584" s="67"/>
      <c r="C4584" s="66"/>
      <c r="D4584" s="68"/>
      <c r="E4584" s="10"/>
      <c r="F4584" s="69"/>
      <c r="G4584" s="68"/>
      <c r="H4584" s="70"/>
      <c r="BA4584" s="4"/>
      <c r="BB4584" s="4"/>
    </row>
    <row r="4585" spans="1:54" x14ac:dyDescent="0.3">
      <c r="A4585" s="66"/>
      <c r="B4585" s="67"/>
      <c r="C4585" s="66"/>
      <c r="D4585" s="68"/>
      <c r="E4585" s="10"/>
      <c r="F4585" s="69"/>
      <c r="G4585" s="68"/>
      <c r="H4585" s="70"/>
      <c r="BA4585" s="4"/>
      <c r="BB4585" s="4"/>
    </row>
    <row r="4586" spans="1:54" x14ac:dyDescent="0.3">
      <c r="A4586" s="66"/>
      <c r="B4586" s="67"/>
      <c r="C4586" s="66"/>
      <c r="D4586" s="68"/>
      <c r="E4586" s="10"/>
      <c r="F4586" s="69"/>
      <c r="G4586" s="68"/>
      <c r="H4586" s="70"/>
      <c r="BA4586" s="4"/>
      <c r="BB4586" s="4"/>
    </row>
    <row r="4587" spans="1:54" x14ac:dyDescent="0.3">
      <c r="A4587" s="66"/>
      <c r="B4587" s="67"/>
      <c r="C4587" s="66"/>
      <c r="D4587" s="68"/>
      <c r="E4587" s="10"/>
      <c r="F4587" s="69"/>
      <c r="G4587" s="68"/>
      <c r="H4587" s="70"/>
      <c r="BA4587" s="4"/>
      <c r="BB4587" s="4"/>
    </row>
    <row r="4588" spans="1:54" x14ac:dyDescent="0.3">
      <c r="A4588" s="66"/>
      <c r="B4588" s="67"/>
      <c r="C4588" s="66"/>
      <c r="D4588" s="68"/>
      <c r="E4588" s="10"/>
      <c r="F4588" s="69"/>
      <c r="G4588" s="68"/>
      <c r="H4588" s="70"/>
      <c r="BA4588" s="4"/>
      <c r="BB4588" s="4"/>
    </row>
    <row r="4589" spans="1:54" x14ac:dyDescent="0.3">
      <c r="A4589" s="66"/>
      <c r="B4589" s="67"/>
      <c r="C4589" s="66"/>
      <c r="D4589" s="68"/>
      <c r="E4589" s="10"/>
      <c r="F4589" s="69"/>
      <c r="G4589" s="68"/>
      <c r="H4589" s="70"/>
      <c r="BA4589" s="4"/>
      <c r="BB4589" s="4"/>
    </row>
    <row r="4590" spans="1:54" x14ac:dyDescent="0.3">
      <c r="A4590" s="66"/>
      <c r="B4590" s="67"/>
      <c r="C4590" s="66"/>
      <c r="D4590" s="68"/>
      <c r="E4590" s="10"/>
      <c r="F4590" s="69"/>
      <c r="G4590" s="68"/>
      <c r="H4590" s="70"/>
      <c r="BA4590" s="4"/>
      <c r="BB4590" s="4"/>
    </row>
    <row r="4591" spans="1:54" x14ac:dyDescent="0.3">
      <c r="A4591" s="66"/>
      <c r="B4591" s="67"/>
      <c r="C4591" s="66"/>
      <c r="D4591" s="68"/>
      <c r="E4591" s="10"/>
      <c r="F4591" s="69"/>
      <c r="G4591" s="68"/>
      <c r="H4591" s="70"/>
      <c r="BA4591" s="4"/>
      <c r="BB4591" s="4"/>
    </row>
    <row r="4592" spans="1:54" x14ac:dyDescent="0.3">
      <c r="A4592" s="66"/>
      <c r="B4592" s="67"/>
      <c r="C4592" s="66"/>
      <c r="D4592" s="68"/>
      <c r="E4592" s="10"/>
      <c r="F4592" s="69"/>
      <c r="G4592" s="68"/>
      <c r="H4592" s="70"/>
      <c r="BA4592" s="4"/>
      <c r="BB4592" s="4"/>
    </row>
    <row r="4593" spans="1:54" x14ac:dyDescent="0.3">
      <c r="A4593" s="66"/>
      <c r="B4593" s="67"/>
      <c r="C4593" s="66"/>
      <c r="D4593" s="68"/>
      <c r="E4593" s="10"/>
      <c r="F4593" s="69"/>
      <c r="G4593" s="68"/>
      <c r="H4593" s="70"/>
      <c r="BA4593" s="4"/>
      <c r="BB4593" s="4"/>
    </row>
    <row r="4594" spans="1:54" x14ac:dyDescent="0.3">
      <c r="A4594" s="66"/>
      <c r="B4594" s="67"/>
      <c r="C4594" s="66"/>
      <c r="D4594" s="68"/>
      <c r="E4594" s="10"/>
      <c r="F4594" s="69"/>
      <c r="G4594" s="68"/>
      <c r="H4594" s="70"/>
      <c r="BA4594" s="4"/>
      <c r="BB4594" s="4"/>
    </row>
    <row r="4595" spans="1:54" x14ac:dyDescent="0.3">
      <c r="A4595" s="66"/>
      <c r="B4595" s="67"/>
      <c r="C4595" s="66"/>
      <c r="D4595" s="68"/>
      <c r="E4595" s="10"/>
      <c r="F4595" s="69"/>
      <c r="G4595" s="68"/>
      <c r="H4595" s="70"/>
      <c r="BA4595" s="4"/>
      <c r="BB4595" s="4"/>
    </row>
    <row r="4596" spans="1:54" x14ac:dyDescent="0.3">
      <c r="A4596" s="66"/>
      <c r="B4596" s="67"/>
      <c r="C4596" s="66"/>
      <c r="D4596" s="68"/>
      <c r="E4596" s="10"/>
      <c r="F4596" s="69"/>
      <c r="G4596" s="68"/>
      <c r="H4596" s="70"/>
      <c r="BA4596" s="4"/>
      <c r="BB4596" s="4"/>
    </row>
    <row r="4597" spans="1:54" x14ac:dyDescent="0.3">
      <c r="A4597" s="66"/>
      <c r="B4597" s="67"/>
      <c r="C4597" s="66"/>
      <c r="D4597" s="68"/>
      <c r="E4597" s="10"/>
      <c r="F4597" s="69"/>
      <c r="G4597" s="68"/>
      <c r="H4597" s="70"/>
      <c r="BA4597" s="4"/>
      <c r="BB4597" s="4"/>
    </row>
    <row r="4598" spans="1:54" x14ac:dyDescent="0.3">
      <c r="A4598" s="66"/>
      <c r="B4598" s="67"/>
      <c r="C4598" s="66"/>
      <c r="D4598" s="68"/>
      <c r="E4598" s="10"/>
      <c r="F4598" s="69"/>
      <c r="G4598" s="68"/>
      <c r="H4598" s="70"/>
      <c r="BA4598" s="4"/>
      <c r="BB4598" s="4"/>
    </row>
    <row r="4599" spans="1:54" x14ac:dyDescent="0.3">
      <c r="A4599" s="66"/>
      <c r="B4599" s="67"/>
      <c r="C4599" s="66"/>
      <c r="D4599" s="68"/>
      <c r="E4599" s="10"/>
      <c r="F4599" s="69"/>
      <c r="G4599" s="68"/>
      <c r="H4599" s="70"/>
      <c r="BA4599" s="4"/>
      <c r="BB4599" s="4"/>
    </row>
    <row r="4600" spans="1:54" x14ac:dyDescent="0.3">
      <c r="A4600" s="66"/>
      <c r="B4600" s="67"/>
      <c r="C4600" s="66"/>
      <c r="D4600" s="68"/>
      <c r="E4600" s="10"/>
      <c r="F4600" s="69"/>
      <c r="G4600" s="68"/>
      <c r="H4600" s="70"/>
      <c r="BA4600" s="4"/>
      <c r="BB4600" s="4"/>
    </row>
    <row r="4601" spans="1:54" x14ac:dyDescent="0.3">
      <c r="A4601" s="66"/>
      <c r="B4601" s="67"/>
      <c r="C4601" s="66"/>
      <c r="D4601" s="68"/>
      <c r="E4601" s="10"/>
      <c r="F4601" s="69"/>
      <c r="G4601" s="68"/>
      <c r="H4601" s="70"/>
      <c r="BA4601" s="4"/>
      <c r="BB4601" s="4"/>
    </row>
    <row r="4602" spans="1:54" x14ac:dyDescent="0.3">
      <c r="A4602" s="66"/>
      <c r="B4602" s="67"/>
      <c r="C4602" s="66"/>
      <c r="D4602" s="68"/>
      <c r="E4602" s="10"/>
      <c r="F4602" s="69"/>
      <c r="G4602" s="68"/>
      <c r="H4602" s="70"/>
      <c r="BA4602" s="4"/>
      <c r="BB4602" s="4"/>
    </row>
    <row r="4603" spans="1:54" x14ac:dyDescent="0.3">
      <c r="A4603" s="66"/>
      <c r="B4603" s="67"/>
      <c r="C4603" s="66"/>
      <c r="D4603" s="68"/>
      <c r="E4603" s="10"/>
      <c r="F4603" s="69"/>
      <c r="G4603" s="68"/>
      <c r="H4603" s="70"/>
      <c r="BA4603" s="4"/>
      <c r="BB4603" s="4"/>
    </row>
    <row r="4604" spans="1:54" x14ac:dyDescent="0.3">
      <c r="A4604" s="66"/>
      <c r="B4604" s="67"/>
      <c r="C4604" s="66"/>
      <c r="D4604" s="68"/>
      <c r="E4604" s="10"/>
      <c r="F4604" s="69"/>
      <c r="G4604" s="68"/>
      <c r="H4604" s="70"/>
      <c r="BA4604" s="4"/>
      <c r="BB4604" s="4"/>
    </row>
    <row r="4605" spans="1:54" x14ac:dyDescent="0.3">
      <c r="A4605" s="66"/>
      <c r="B4605" s="67"/>
      <c r="C4605" s="66"/>
      <c r="D4605" s="68"/>
      <c r="E4605" s="10"/>
      <c r="F4605" s="69"/>
      <c r="G4605" s="68"/>
      <c r="H4605" s="70"/>
      <c r="BA4605" s="4"/>
      <c r="BB4605" s="4"/>
    </row>
    <row r="4606" spans="1:54" x14ac:dyDescent="0.3">
      <c r="A4606" s="66"/>
      <c r="B4606" s="67"/>
      <c r="C4606" s="66"/>
      <c r="D4606" s="68"/>
      <c r="E4606" s="10"/>
      <c r="F4606" s="69"/>
      <c r="G4606" s="68"/>
      <c r="H4606" s="70"/>
      <c r="BA4606" s="4"/>
      <c r="BB4606" s="4"/>
    </row>
    <row r="4607" spans="1:54" x14ac:dyDescent="0.3">
      <c r="A4607" s="66"/>
      <c r="B4607" s="67"/>
      <c r="C4607" s="66"/>
      <c r="D4607" s="68"/>
      <c r="E4607" s="10"/>
      <c r="F4607" s="69"/>
      <c r="G4607" s="68"/>
      <c r="H4607" s="70"/>
      <c r="BA4607" s="4"/>
      <c r="BB4607" s="4"/>
    </row>
    <row r="4608" spans="1:54" x14ac:dyDescent="0.3">
      <c r="A4608" s="66"/>
      <c r="B4608" s="67"/>
      <c r="C4608" s="66"/>
      <c r="D4608" s="68"/>
      <c r="E4608" s="10"/>
      <c r="F4608" s="69"/>
      <c r="G4608" s="68"/>
      <c r="H4608" s="70"/>
      <c r="BA4608" s="4"/>
      <c r="BB4608" s="4"/>
    </row>
    <row r="4609" spans="1:54" x14ac:dyDescent="0.3">
      <c r="A4609" s="66"/>
      <c r="B4609" s="67"/>
      <c r="C4609" s="66"/>
      <c r="D4609" s="68"/>
      <c r="E4609" s="10"/>
      <c r="F4609" s="69"/>
      <c r="G4609" s="68"/>
      <c r="H4609" s="70"/>
      <c r="BA4609" s="4"/>
      <c r="BB4609" s="4"/>
    </row>
    <row r="4610" spans="1:54" x14ac:dyDescent="0.3">
      <c r="A4610" s="66"/>
      <c r="B4610" s="67"/>
      <c r="C4610" s="66"/>
      <c r="D4610" s="68"/>
      <c r="E4610" s="10"/>
      <c r="F4610" s="69"/>
      <c r="G4610" s="68"/>
      <c r="H4610" s="70"/>
      <c r="BA4610" s="4"/>
      <c r="BB4610" s="4"/>
    </row>
    <row r="4611" spans="1:54" x14ac:dyDescent="0.3">
      <c r="A4611" s="66"/>
      <c r="B4611" s="67"/>
      <c r="C4611" s="66"/>
      <c r="D4611" s="68"/>
      <c r="E4611" s="10"/>
      <c r="F4611" s="69"/>
      <c r="G4611" s="68"/>
      <c r="H4611" s="70"/>
      <c r="BA4611" s="4"/>
      <c r="BB4611" s="4"/>
    </row>
    <row r="4612" spans="1:54" x14ac:dyDescent="0.3">
      <c r="A4612" s="66"/>
      <c r="B4612" s="67"/>
      <c r="C4612" s="66"/>
      <c r="D4612" s="68"/>
      <c r="E4612" s="10"/>
      <c r="F4612" s="69"/>
      <c r="G4612" s="68"/>
      <c r="H4612" s="70"/>
      <c r="BA4612" s="4"/>
      <c r="BB4612" s="4"/>
    </row>
    <row r="4613" spans="1:54" x14ac:dyDescent="0.3">
      <c r="A4613" s="66"/>
      <c r="B4613" s="67"/>
      <c r="C4613" s="66"/>
      <c r="D4613" s="68"/>
      <c r="E4613" s="10"/>
      <c r="F4613" s="69"/>
      <c r="G4613" s="68"/>
      <c r="H4613" s="70"/>
      <c r="BA4613" s="4"/>
      <c r="BB4613" s="4"/>
    </row>
    <row r="4614" spans="1:54" x14ac:dyDescent="0.3">
      <c r="A4614" s="66"/>
      <c r="B4614" s="67"/>
      <c r="C4614" s="66"/>
      <c r="D4614" s="68"/>
      <c r="E4614" s="10"/>
      <c r="F4614" s="69"/>
      <c r="G4614" s="68"/>
      <c r="H4614" s="70"/>
      <c r="BA4614" s="4"/>
      <c r="BB4614" s="4"/>
    </row>
    <row r="4615" spans="1:54" x14ac:dyDescent="0.3">
      <c r="A4615" s="66"/>
      <c r="B4615" s="67"/>
      <c r="C4615" s="66"/>
      <c r="D4615" s="68"/>
      <c r="E4615" s="10"/>
      <c r="F4615" s="69"/>
      <c r="G4615" s="68"/>
      <c r="H4615" s="70"/>
      <c r="BA4615" s="4"/>
      <c r="BB4615" s="4"/>
    </row>
    <row r="4616" spans="1:54" x14ac:dyDescent="0.3">
      <c r="A4616" s="66"/>
      <c r="B4616" s="67"/>
      <c r="C4616" s="66"/>
      <c r="D4616" s="68"/>
      <c r="E4616" s="10"/>
      <c r="F4616" s="69"/>
      <c r="G4616" s="68"/>
      <c r="H4616" s="70"/>
      <c r="BA4616" s="4"/>
      <c r="BB4616" s="4"/>
    </row>
    <row r="4617" spans="1:54" x14ac:dyDescent="0.3">
      <c r="A4617" s="66"/>
      <c r="B4617" s="67"/>
      <c r="C4617" s="66"/>
      <c r="D4617" s="68"/>
      <c r="E4617" s="10"/>
      <c r="F4617" s="69"/>
      <c r="G4617" s="68"/>
      <c r="H4617" s="70"/>
      <c r="BA4617" s="4"/>
      <c r="BB4617" s="4"/>
    </row>
    <row r="4618" spans="1:54" x14ac:dyDescent="0.3">
      <c r="A4618" s="66"/>
      <c r="B4618" s="67"/>
      <c r="C4618" s="66"/>
      <c r="D4618" s="68"/>
      <c r="E4618" s="10"/>
      <c r="F4618" s="69"/>
      <c r="G4618" s="68"/>
      <c r="H4618" s="70"/>
      <c r="BA4618" s="4"/>
      <c r="BB4618" s="4"/>
    </row>
    <row r="4619" spans="1:54" x14ac:dyDescent="0.3">
      <c r="A4619" s="66"/>
      <c r="B4619" s="67"/>
      <c r="C4619" s="66"/>
      <c r="D4619" s="68"/>
      <c r="E4619" s="10"/>
      <c r="F4619" s="69"/>
      <c r="G4619" s="68"/>
      <c r="H4619" s="70"/>
      <c r="BA4619" s="4"/>
      <c r="BB4619" s="4"/>
    </row>
    <row r="4620" spans="1:54" x14ac:dyDescent="0.3">
      <c r="A4620" s="66"/>
      <c r="B4620" s="67"/>
      <c r="C4620" s="66"/>
      <c r="D4620" s="68"/>
      <c r="E4620" s="10"/>
      <c r="F4620" s="69"/>
      <c r="G4620" s="68"/>
      <c r="H4620" s="70"/>
      <c r="BA4620" s="4"/>
      <c r="BB4620" s="4"/>
    </row>
    <row r="4621" spans="1:54" x14ac:dyDescent="0.3">
      <c r="A4621" s="66"/>
      <c r="B4621" s="67"/>
      <c r="C4621" s="66"/>
      <c r="D4621" s="68"/>
      <c r="E4621" s="10"/>
      <c r="F4621" s="69"/>
      <c r="G4621" s="68"/>
      <c r="H4621" s="70"/>
      <c r="BA4621" s="4"/>
      <c r="BB4621" s="4"/>
    </row>
    <row r="4622" spans="1:54" x14ac:dyDescent="0.3">
      <c r="A4622" s="66"/>
      <c r="B4622" s="67"/>
      <c r="C4622" s="66"/>
      <c r="D4622" s="68"/>
      <c r="E4622" s="10"/>
      <c r="F4622" s="69"/>
      <c r="G4622" s="68"/>
      <c r="H4622" s="70"/>
      <c r="BA4622" s="4"/>
      <c r="BB4622" s="4"/>
    </row>
    <row r="4623" spans="1:54" x14ac:dyDescent="0.3">
      <c r="A4623" s="66"/>
      <c r="B4623" s="67"/>
      <c r="C4623" s="66"/>
      <c r="D4623" s="68"/>
      <c r="E4623" s="10"/>
      <c r="F4623" s="69"/>
      <c r="G4623" s="68"/>
      <c r="H4623" s="70"/>
      <c r="BA4623" s="4"/>
      <c r="BB4623" s="4"/>
    </row>
    <row r="4624" spans="1:54" x14ac:dyDescent="0.3">
      <c r="A4624" s="66"/>
      <c r="B4624" s="67"/>
      <c r="C4624" s="66"/>
      <c r="D4624" s="68"/>
      <c r="E4624" s="10"/>
      <c r="F4624" s="69"/>
      <c r="G4624" s="68"/>
      <c r="H4624" s="70"/>
      <c r="BA4624" s="4"/>
      <c r="BB4624" s="4"/>
    </row>
    <row r="4625" spans="1:54" x14ac:dyDescent="0.3">
      <c r="A4625" s="66"/>
      <c r="B4625" s="67"/>
      <c r="C4625" s="66"/>
      <c r="D4625" s="68"/>
      <c r="E4625" s="10"/>
      <c r="F4625" s="69"/>
      <c r="G4625" s="68"/>
      <c r="H4625" s="70"/>
      <c r="BA4625" s="4"/>
      <c r="BB4625" s="4"/>
    </row>
    <row r="4626" spans="1:54" x14ac:dyDescent="0.3">
      <c r="A4626" s="66"/>
      <c r="B4626" s="67"/>
      <c r="C4626" s="66"/>
      <c r="D4626" s="68"/>
      <c r="E4626" s="10"/>
      <c r="F4626" s="69"/>
      <c r="G4626" s="68"/>
      <c r="H4626" s="70"/>
      <c r="BA4626" s="4"/>
      <c r="BB4626" s="4"/>
    </row>
    <row r="4627" spans="1:54" x14ac:dyDescent="0.3">
      <c r="A4627" s="66"/>
      <c r="B4627" s="67"/>
      <c r="C4627" s="66"/>
      <c r="D4627" s="68"/>
      <c r="E4627" s="10"/>
      <c r="F4627" s="69"/>
      <c r="G4627" s="68"/>
      <c r="H4627" s="70"/>
      <c r="BA4627" s="4"/>
      <c r="BB4627" s="4"/>
    </row>
    <row r="4628" spans="1:54" x14ac:dyDescent="0.3">
      <c r="A4628" s="66"/>
      <c r="B4628" s="67"/>
      <c r="C4628" s="66"/>
      <c r="D4628" s="68"/>
      <c r="E4628" s="10"/>
      <c r="F4628" s="69"/>
      <c r="G4628" s="68"/>
      <c r="H4628" s="70"/>
      <c r="BA4628" s="4"/>
      <c r="BB4628" s="4"/>
    </row>
    <row r="4629" spans="1:54" x14ac:dyDescent="0.3">
      <c r="A4629" s="66"/>
      <c r="B4629" s="67"/>
      <c r="C4629" s="66"/>
      <c r="D4629" s="68"/>
      <c r="E4629" s="10"/>
      <c r="F4629" s="69"/>
      <c r="G4629" s="68"/>
      <c r="H4629" s="70"/>
      <c r="BA4629" s="4"/>
      <c r="BB4629" s="4"/>
    </row>
    <row r="4630" spans="1:54" x14ac:dyDescent="0.3">
      <c r="A4630" s="66"/>
      <c r="B4630" s="67"/>
      <c r="C4630" s="66"/>
      <c r="D4630" s="68"/>
      <c r="E4630" s="10"/>
      <c r="F4630" s="69"/>
      <c r="G4630" s="68"/>
      <c r="H4630" s="70"/>
      <c r="BA4630" s="4"/>
      <c r="BB4630" s="4"/>
    </row>
    <row r="4631" spans="1:54" x14ac:dyDescent="0.3">
      <c r="A4631" s="66"/>
      <c r="B4631" s="67"/>
      <c r="C4631" s="66"/>
      <c r="D4631" s="68"/>
      <c r="E4631" s="10"/>
      <c r="F4631" s="69"/>
      <c r="G4631" s="68"/>
      <c r="H4631" s="70"/>
      <c r="BA4631" s="4"/>
      <c r="BB4631" s="4"/>
    </row>
    <row r="4632" spans="1:54" x14ac:dyDescent="0.3">
      <c r="A4632" s="66"/>
      <c r="B4632" s="67"/>
      <c r="C4632" s="66"/>
      <c r="D4632" s="68"/>
      <c r="E4632" s="10"/>
      <c r="F4632" s="69"/>
      <c r="G4632" s="68"/>
      <c r="H4632" s="70"/>
      <c r="BA4632" s="4"/>
      <c r="BB4632" s="4"/>
    </row>
    <row r="4633" spans="1:54" x14ac:dyDescent="0.3">
      <c r="A4633" s="66"/>
      <c r="B4633" s="67"/>
      <c r="C4633" s="66"/>
      <c r="D4633" s="68"/>
      <c r="E4633" s="10"/>
      <c r="F4633" s="69"/>
      <c r="G4633" s="68"/>
      <c r="H4633" s="70"/>
      <c r="BA4633" s="4"/>
      <c r="BB4633" s="4"/>
    </row>
    <row r="4634" spans="1:54" x14ac:dyDescent="0.3">
      <c r="A4634" s="66"/>
      <c r="B4634" s="67"/>
      <c r="C4634" s="66"/>
      <c r="D4634" s="68"/>
      <c r="E4634" s="10"/>
      <c r="F4634" s="69"/>
      <c r="G4634" s="68"/>
      <c r="H4634" s="70"/>
      <c r="BA4634" s="4"/>
      <c r="BB4634" s="4"/>
    </row>
    <row r="4635" spans="1:54" x14ac:dyDescent="0.3">
      <c r="A4635" s="66"/>
      <c r="B4635" s="67"/>
      <c r="C4635" s="66"/>
      <c r="D4635" s="68"/>
      <c r="E4635" s="10"/>
      <c r="F4635" s="69"/>
      <c r="G4635" s="68"/>
      <c r="H4635" s="70"/>
      <c r="BA4635" s="4"/>
      <c r="BB4635" s="4"/>
    </row>
    <row r="4636" spans="1:54" x14ac:dyDescent="0.3">
      <c r="A4636" s="66"/>
      <c r="B4636" s="67"/>
      <c r="C4636" s="66"/>
      <c r="D4636" s="68"/>
      <c r="E4636" s="10"/>
      <c r="F4636" s="69"/>
      <c r="G4636" s="68"/>
      <c r="H4636" s="70"/>
      <c r="BA4636" s="4"/>
      <c r="BB4636" s="4"/>
    </row>
    <row r="4637" spans="1:54" x14ac:dyDescent="0.3">
      <c r="A4637" s="66"/>
      <c r="B4637" s="67"/>
      <c r="C4637" s="66"/>
      <c r="D4637" s="68"/>
      <c r="E4637" s="10"/>
      <c r="F4637" s="69"/>
      <c r="G4637" s="68"/>
      <c r="H4637" s="70"/>
      <c r="BA4637" s="4"/>
      <c r="BB4637" s="4"/>
    </row>
    <row r="4638" spans="1:54" x14ac:dyDescent="0.3">
      <c r="A4638" s="66"/>
      <c r="B4638" s="67"/>
      <c r="C4638" s="66"/>
      <c r="D4638" s="68"/>
      <c r="E4638" s="10"/>
      <c r="F4638" s="69"/>
      <c r="G4638" s="68"/>
      <c r="H4638" s="70"/>
      <c r="BA4638" s="4"/>
      <c r="BB4638" s="4"/>
    </row>
    <row r="4639" spans="1:54" x14ac:dyDescent="0.3">
      <c r="A4639" s="66"/>
      <c r="B4639" s="67"/>
      <c r="C4639" s="66"/>
      <c r="D4639" s="68"/>
      <c r="E4639" s="10"/>
      <c r="F4639" s="69"/>
      <c r="G4639" s="68"/>
      <c r="H4639" s="70"/>
      <c r="BA4639" s="4"/>
      <c r="BB4639" s="4"/>
    </row>
    <row r="4640" spans="1:54" x14ac:dyDescent="0.3">
      <c r="A4640" s="66"/>
      <c r="B4640" s="67"/>
      <c r="C4640" s="66"/>
      <c r="D4640" s="68"/>
      <c r="E4640" s="10"/>
      <c r="F4640" s="69"/>
      <c r="G4640" s="68"/>
      <c r="H4640" s="70"/>
      <c r="BA4640" s="4"/>
      <c r="BB4640" s="4"/>
    </row>
    <row r="4641" spans="1:54" x14ac:dyDescent="0.3">
      <c r="A4641" s="66"/>
      <c r="B4641" s="67"/>
      <c r="C4641" s="66"/>
      <c r="D4641" s="68"/>
      <c r="E4641" s="10"/>
      <c r="F4641" s="69"/>
      <c r="G4641" s="68"/>
      <c r="H4641" s="70"/>
      <c r="BA4641" s="4"/>
      <c r="BB4641" s="4"/>
    </row>
    <row r="4642" spans="1:54" x14ac:dyDescent="0.3">
      <c r="A4642" s="66"/>
      <c r="B4642" s="67"/>
      <c r="C4642" s="66"/>
      <c r="D4642" s="68"/>
      <c r="E4642" s="10"/>
      <c r="F4642" s="69"/>
      <c r="G4642" s="68"/>
      <c r="H4642" s="70"/>
      <c r="BA4642" s="4"/>
      <c r="BB4642" s="4"/>
    </row>
    <row r="4643" spans="1:54" x14ac:dyDescent="0.3">
      <c r="A4643" s="66"/>
      <c r="B4643" s="67"/>
      <c r="C4643" s="66"/>
      <c r="D4643" s="68"/>
      <c r="E4643" s="10"/>
      <c r="F4643" s="69"/>
      <c r="G4643" s="68"/>
      <c r="H4643" s="70"/>
      <c r="BA4643" s="4"/>
      <c r="BB4643" s="4"/>
    </row>
    <row r="4644" spans="1:54" x14ac:dyDescent="0.3">
      <c r="A4644" s="66"/>
      <c r="B4644" s="67"/>
      <c r="C4644" s="66"/>
      <c r="D4644" s="68"/>
      <c r="E4644" s="10"/>
      <c r="F4644" s="69"/>
      <c r="G4644" s="68"/>
      <c r="H4644" s="70"/>
      <c r="BA4644" s="4"/>
      <c r="BB4644" s="4"/>
    </row>
    <row r="4645" spans="1:54" x14ac:dyDescent="0.3">
      <c r="A4645" s="66"/>
      <c r="B4645" s="67"/>
      <c r="C4645" s="66"/>
      <c r="D4645" s="68"/>
      <c r="E4645" s="10"/>
      <c r="F4645" s="69"/>
      <c r="G4645" s="68"/>
      <c r="H4645" s="70"/>
      <c r="BA4645" s="4"/>
      <c r="BB4645" s="4"/>
    </row>
    <row r="4646" spans="1:54" x14ac:dyDescent="0.3">
      <c r="A4646" s="66"/>
      <c r="B4646" s="67"/>
      <c r="C4646" s="66"/>
      <c r="D4646" s="68"/>
      <c r="E4646" s="10"/>
      <c r="F4646" s="69"/>
      <c r="G4646" s="68"/>
      <c r="H4646" s="70"/>
      <c r="BA4646" s="4"/>
      <c r="BB4646" s="4"/>
    </row>
    <row r="4647" spans="1:54" x14ac:dyDescent="0.3">
      <c r="A4647" s="66"/>
      <c r="B4647" s="67"/>
      <c r="C4647" s="66"/>
      <c r="D4647" s="68"/>
      <c r="E4647" s="10"/>
      <c r="F4647" s="69"/>
      <c r="G4647" s="68"/>
      <c r="H4647" s="70"/>
      <c r="BA4647" s="4"/>
      <c r="BB4647" s="4"/>
    </row>
    <row r="4648" spans="1:54" x14ac:dyDescent="0.3">
      <c r="A4648" s="66"/>
      <c r="B4648" s="67"/>
      <c r="C4648" s="66"/>
      <c r="D4648" s="68"/>
      <c r="E4648" s="10"/>
      <c r="F4648" s="69"/>
      <c r="G4648" s="68"/>
      <c r="H4648" s="70"/>
      <c r="BA4648" s="4"/>
      <c r="BB4648" s="4"/>
    </row>
    <row r="4649" spans="1:54" x14ac:dyDescent="0.3">
      <c r="A4649" s="66"/>
      <c r="B4649" s="67"/>
      <c r="C4649" s="66"/>
      <c r="D4649" s="68"/>
      <c r="E4649" s="10"/>
      <c r="F4649" s="69"/>
      <c r="G4649" s="68"/>
      <c r="H4649" s="70"/>
      <c r="BA4649" s="4"/>
      <c r="BB4649" s="4"/>
    </row>
    <row r="4650" spans="1:54" x14ac:dyDescent="0.3">
      <c r="A4650" s="66"/>
      <c r="B4650" s="67"/>
      <c r="C4650" s="66"/>
      <c r="D4650" s="68"/>
      <c r="E4650" s="10"/>
      <c r="F4650" s="69"/>
      <c r="G4650" s="68"/>
      <c r="H4650" s="70"/>
      <c r="BA4650" s="4"/>
      <c r="BB4650" s="4"/>
    </row>
    <row r="4651" spans="1:54" x14ac:dyDescent="0.3">
      <c r="A4651" s="66"/>
      <c r="B4651" s="67"/>
      <c r="C4651" s="66"/>
      <c r="D4651" s="68"/>
      <c r="E4651" s="10"/>
      <c r="F4651" s="69"/>
      <c r="G4651" s="68"/>
      <c r="H4651" s="70"/>
      <c r="BA4651" s="4"/>
      <c r="BB4651" s="4"/>
    </row>
    <row r="4652" spans="1:54" x14ac:dyDescent="0.3">
      <c r="A4652" s="66"/>
      <c r="B4652" s="67"/>
      <c r="C4652" s="66"/>
      <c r="D4652" s="68"/>
      <c r="E4652" s="10"/>
      <c r="F4652" s="69"/>
      <c r="G4652" s="68"/>
      <c r="H4652" s="70"/>
      <c r="BA4652" s="4"/>
      <c r="BB4652" s="4"/>
    </row>
    <row r="4653" spans="1:54" x14ac:dyDescent="0.3">
      <c r="A4653" s="66"/>
      <c r="B4653" s="67"/>
      <c r="C4653" s="66"/>
      <c r="D4653" s="68"/>
      <c r="E4653" s="10"/>
      <c r="F4653" s="69"/>
      <c r="G4653" s="68"/>
      <c r="H4653" s="70"/>
      <c r="BA4653" s="4"/>
      <c r="BB4653" s="4"/>
    </row>
    <row r="4654" spans="1:54" x14ac:dyDescent="0.3">
      <c r="A4654" s="66"/>
      <c r="B4654" s="67"/>
      <c r="C4654" s="66"/>
      <c r="D4654" s="68"/>
      <c r="E4654" s="10"/>
      <c r="F4654" s="69"/>
      <c r="G4654" s="68"/>
      <c r="H4654" s="70"/>
      <c r="BA4654" s="4"/>
      <c r="BB4654" s="4"/>
    </row>
    <row r="4655" spans="1:54" x14ac:dyDescent="0.3">
      <c r="A4655" s="66"/>
      <c r="B4655" s="67"/>
      <c r="C4655" s="66"/>
      <c r="D4655" s="68"/>
      <c r="E4655" s="10"/>
      <c r="F4655" s="69"/>
      <c r="G4655" s="68"/>
      <c r="H4655" s="70"/>
      <c r="BA4655" s="4"/>
      <c r="BB4655" s="4"/>
    </row>
    <row r="4656" spans="1:54" x14ac:dyDescent="0.3">
      <c r="A4656" s="66"/>
      <c r="B4656" s="67"/>
      <c r="C4656" s="66"/>
      <c r="D4656" s="68"/>
      <c r="E4656" s="10"/>
      <c r="F4656" s="69"/>
      <c r="G4656" s="68"/>
      <c r="H4656" s="70"/>
      <c r="BA4656" s="4"/>
      <c r="BB4656" s="4"/>
    </row>
    <row r="4657" spans="1:54" x14ac:dyDescent="0.3">
      <c r="A4657" s="66"/>
      <c r="B4657" s="67"/>
      <c r="C4657" s="66"/>
      <c r="D4657" s="68"/>
      <c r="E4657" s="10"/>
      <c r="F4657" s="69"/>
      <c r="G4657" s="68"/>
      <c r="H4657" s="70"/>
      <c r="BA4657" s="4"/>
      <c r="BB4657" s="4"/>
    </row>
    <row r="4658" spans="1:54" x14ac:dyDescent="0.3">
      <c r="A4658" s="66"/>
      <c r="B4658" s="67"/>
      <c r="C4658" s="66"/>
      <c r="D4658" s="68"/>
      <c r="E4658" s="10"/>
      <c r="F4658" s="69"/>
      <c r="G4658" s="68"/>
      <c r="H4658" s="70"/>
      <c r="BA4658" s="4"/>
      <c r="BB4658" s="4"/>
    </row>
    <row r="4659" spans="1:54" x14ac:dyDescent="0.3">
      <c r="A4659" s="66"/>
      <c r="B4659" s="67"/>
      <c r="C4659" s="66"/>
      <c r="D4659" s="68"/>
      <c r="E4659" s="10"/>
      <c r="F4659" s="69"/>
      <c r="G4659" s="68"/>
      <c r="H4659" s="70"/>
      <c r="BA4659" s="4"/>
      <c r="BB4659" s="4"/>
    </row>
    <row r="4660" spans="1:54" x14ac:dyDescent="0.3">
      <c r="A4660" s="66"/>
      <c r="B4660" s="67"/>
      <c r="C4660" s="66"/>
      <c r="D4660" s="68"/>
      <c r="E4660" s="10"/>
      <c r="F4660" s="69"/>
      <c r="G4660" s="68"/>
      <c r="H4660" s="70"/>
      <c r="BA4660" s="4"/>
      <c r="BB4660" s="4"/>
    </row>
    <row r="4661" spans="1:54" x14ac:dyDescent="0.3">
      <c r="A4661" s="66"/>
      <c r="B4661" s="67"/>
      <c r="C4661" s="66"/>
      <c r="D4661" s="68"/>
      <c r="E4661" s="10"/>
      <c r="F4661" s="69"/>
      <c r="G4661" s="68"/>
      <c r="H4661" s="70"/>
      <c r="BA4661" s="4"/>
      <c r="BB4661" s="4"/>
    </row>
    <row r="4662" spans="1:54" x14ac:dyDescent="0.3">
      <c r="A4662" s="66"/>
      <c r="B4662" s="67"/>
      <c r="C4662" s="66"/>
      <c r="D4662" s="68"/>
      <c r="E4662" s="10"/>
      <c r="F4662" s="69"/>
      <c r="G4662" s="68"/>
      <c r="H4662" s="70"/>
      <c r="BA4662" s="4"/>
      <c r="BB4662" s="4"/>
    </row>
    <row r="4663" spans="1:54" x14ac:dyDescent="0.3">
      <c r="A4663" s="66"/>
      <c r="B4663" s="67"/>
      <c r="C4663" s="66"/>
      <c r="D4663" s="68"/>
      <c r="E4663" s="10"/>
      <c r="F4663" s="69"/>
      <c r="G4663" s="68"/>
      <c r="H4663" s="70"/>
      <c r="BA4663" s="4"/>
      <c r="BB4663" s="4"/>
    </row>
    <row r="4664" spans="1:54" x14ac:dyDescent="0.3">
      <c r="A4664" s="66"/>
      <c r="B4664" s="67"/>
      <c r="C4664" s="66"/>
      <c r="D4664" s="68"/>
      <c r="E4664" s="10"/>
      <c r="F4664" s="69"/>
      <c r="G4664" s="68"/>
      <c r="H4664" s="70"/>
      <c r="BA4664" s="4"/>
      <c r="BB4664" s="4"/>
    </row>
    <row r="4665" spans="1:54" x14ac:dyDescent="0.3">
      <c r="A4665" s="66"/>
      <c r="B4665" s="67"/>
      <c r="C4665" s="66"/>
      <c r="D4665" s="68"/>
      <c r="E4665" s="10"/>
      <c r="F4665" s="69"/>
      <c r="G4665" s="68"/>
      <c r="H4665" s="70"/>
      <c r="BA4665" s="4"/>
      <c r="BB4665" s="4"/>
    </row>
    <row r="4666" spans="1:54" x14ac:dyDescent="0.3">
      <c r="A4666" s="66"/>
      <c r="B4666" s="67"/>
      <c r="C4666" s="66"/>
      <c r="D4666" s="68"/>
      <c r="E4666" s="10"/>
      <c r="F4666" s="69"/>
      <c r="G4666" s="68"/>
      <c r="H4666" s="70"/>
      <c r="BA4666" s="4"/>
      <c r="BB4666" s="4"/>
    </row>
    <row r="4667" spans="1:54" x14ac:dyDescent="0.3">
      <c r="A4667" s="66"/>
      <c r="B4667" s="67"/>
      <c r="C4667" s="66"/>
      <c r="D4667" s="68"/>
      <c r="E4667" s="10"/>
      <c r="F4667" s="69"/>
      <c r="G4667" s="68"/>
      <c r="H4667" s="70"/>
      <c r="BA4667" s="4"/>
      <c r="BB4667" s="4"/>
    </row>
    <row r="4668" spans="1:54" x14ac:dyDescent="0.3">
      <c r="A4668" s="66"/>
      <c r="B4668" s="67"/>
      <c r="C4668" s="66"/>
      <c r="D4668" s="68"/>
      <c r="E4668" s="10"/>
      <c r="F4668" s="69"/>
      <c r="G4668" s="68"/>
      <c r="H4668" s="70"/>
      <c r="BA4668" s="4"/>
      <c r="BB4668" s="4"/>
    </row>
    <row r="4669" spans="1:54" x14ac:dyDescent="0.3">
      <c r="A4669" s="66"/>
      <c r="B4669" s="67"/>
      <c r="C4669" s="66"/>
      <c r="D4669" s="68"/>
      <c r="E4669" s="10"/>
      <c r="F4669" s="69"/>
      <c r="G4669" s="68"/>
      <c r="H4669" s="70"/>
      <c r="BA4669" s="4"/>
      <c r="BB4669" s="4"/>
    </row>
    <row r="4670" spans="1:54" x14ac:dyDescent="0.3">
      <c r="A4670" s="66"/>
      <c r="B4670" s="67"/>
      <c r="C4670" s="66"/>
      <c r="D4670" s="68"/>
      <c r="E4670" s="10"/>
      <c r="F4670" s="69"/>
      <c r="G4670" s="68"/>
      <c r="H4670" s="70"/>
      <c r="BA4670" s="4"/>
      <c r="BB4670" s="4"/>
    </row>
    <row r="4671" spans="1:54" x14ac:dyDescent="0.3">
      <c r="A4671" s="66"/>
      <c r="B4671" s="67"/>
      <c r="C4671" s="66"/>
      <c r="D4671" s="68"/>
      <c r="E4671" s="10"/>
      <c r="F4671" s="69"/>
      <c r="G4671" s="68"/>
      <c r="H4671" s="70"/>
      <c r="BA4671" s="4"/>
      <c r="BB4671" s="4"/>
    </row>
    <row r="4672" spans="1:54" x14ac:dyDescent="0.3">
      <c r="A4672" s="66"/>
      <c r="B4672" s="67"/>
      <c r="C4672" s="66"/>
      <c r="D4672" s="68"/>
      <c r="E4672" s="10"/>
      <c r="F4672" s="69"/>
      <c r="G4672" s="68"/>
      <c r="H4672" s="70"/>
      <c r="BA4672" s="4"/>
      <c r="BB4672" s="4"/>
    </row>
    <row r="4673" spans="1:54" x14ac:dyDescent="0.3">
      <c r="A4673" s="66"/>
      <c r="B4673" s="67"/>
      <c r="C4673" s="66"/>
      <c r="D4673" s="68"/>
      <c r="E4673" s="10"/>
      <c r="F4673" s="69"/>
      <c r="G4673" s="68"/>
      <c r="H4673" s="70"/>
      <c r="BA4673" s="4"/>
      <c r="BB4673" s="4"/>
    </row>
    <row r="4674" spans="1:54" x14ac:dyDescent="0.3">
      <c r="A4674" s="66"/>
      <c r="B4674" s="67"/>
      <c r="C4674" s="66"/>
      <c r="D4674" s="68"/>
      <c r="E4674" s="10"/>
      <c r="F4674" s="69"/>
      <c r="G4674" s="68"/>
      <c r="H4674" s="70"/>
      <c r="BA4674" s="4"/>
      <c r="BB4674" s="4"/>
    </row>
    <row r="4675" spans="1:54" x14ac:dyDescent="0.3">
      <c r="A4675" s="66"/>
      <c r="B4675" s="67"/>
      <c r="C4675" s="66"/>
      <c r="D4675" s="68"/>
      <c r="E4675" s="10"/>
      <c r="F4675" s="69"/>
      <c r="G4675" s="68"/>
      <c r="H4675" s="70"/>
      <c r="BA4675" s="4"/>
      <c r="BB4675" s="4"/>
    </row>
    <row r="4676" spans="1:54" x14ac:dyDescent="0.3">
      <c r="A4676" s="66"/>
      <c r="B4676" s="67"/>
      <c r="C4676" s="66"/>
      <c r="D4676" s="68"/>
      <c r="E4676" s="10"/>
      <c r="F4676" s="69"/>
      <c r="G4676" s="68"/>
      <c r="H4676" s="70"/>
      <c r="BA4676" s="4"/>
      <c r="BB4676" s="4"/>
    </row>
    <row r="4677" spans="1:54" x14ac:dyDescent="0.3">
      <c r="A4677" s="66"/>
      <c r="B4677" s="67"/>
      <c r="C4677" s="66"/>
      <c r="D4677" s="68"/>
      <c r="E4677" s="10"/>
      <c r="F4677" s="69"/>
      <c r="G4677" s="68"/>
      <c r="H4677" s="70"/>
      <c r="BA4677" s="4"/>
      <c r="BB4677" s="4"/>
    </row>
    <row r="4678" spans="1:54" x14ac:dyDescent="0.3">
      <c r="A4678" s="66"/>
      <c r="B4678" s="67"/>
      <c r="C4678" s="66"/>
      <c r="D4678" s="68"/>
      <c r="E4678" s="10"/>
      <c r="F4678" s="69"/>
      <c r="G4678" s="68"/>
      <c r="H4678" s="70"/>
      <c r="BA4678" s="4"/>
      <c r="BB4678" s="4"/>
    </row>
    <row r="4679" spans="1:54" x14ac:dyDescent="0.3">
      <c r="A4679" s="66"/>
      <c r="B4679" s="67"/>
      <c r="C4679" s="66"/>
      <c r="D4679" s="68"/>
      <c r="E4679" s="10"/>
      <c r="F4679" s="69"/>
      <c r="G4679" s="68"/>
      <c r="H4679" s="70"/>
      <c r="BA4679" s="4"/>
      <c r="BB4679" s="4"/>
    </row>
    <row r="4680" spans="1:54" x14ac:dyDescent="0.3">
      <c r="A4680" s="66"/>
      <c r="B4680" s="67"/>
      <c r="C4680" s="66"/>
      <c r="D4680" s="68"/>
      <c r="E4680" s="10"/>
      <c r="F4680" s="69"/>
      <c r="G4680" s="68"/>
      <c r="H4680" s="70"/>
      <c r="BA4680" s="4"/>
      <c r="BB4680" s="4"/>
    </row>
    <row r="4681" spans="1:54" x14ac:dyDescent="0.3">
      <c r="A4681" s="66"/>
      <c r="B4681" s="67"/>
      <c r="C4681" s="66"/>
      <c r="D4681" s="68"/>
      <c r="E4681" s="10"/>
      <c r="F4681" s="69"/>
      <c r="G4681" s="68"/>
      <c r="H4681" s="70"/>
      <c r="BA4681" s="4"/>
      <c r="BB4681" s="4"/>
    </row>
    <row r="4682" spans="1:54" x14ac:dyDescent="0.3">
      <c r="A4682" s="66"/>
      <c r="B4682" s="67"/>
      <c r="C4682" s="66"/>
      <c r="D4682" s="68"/>
      <c r="E4682" s="10"/>
      <c r="F4682" s="69"/>
      <c r="G4682" s="68"/>
      <c r="H4682" s="70"/>
      <c r="BA4682" s="4"/>
      <c r="BB4682" s="4"/>
    </row>
    <row r="4683" spans="1:54" x14ac:dyDescent="0.3">
      <c r="A4683" s="66"/>
      <c r="B4683" s="67"/>
      <c r="C4683" s="66"/>
      <c r="D4683" s="68"/>
      <c r="E4683" s="10"/>
      <c r="F4683" s="69"/>
      <c r="G4683" s="68"/>
      <c r="H4683" s="70"/>
      <c r="BA4683" s="4"/>
      <c r="BB4683" s="4"/>
    </row>
    <row r="4684" spans="1:54" x14ac:dyDescent="0.3">
      <c r="A4684" s="66"/>
      <c r="B4684" s="67"/>
      <c r="C4684" s="66"/>
      <c r="D4684" s="68"/>
      <c r="E4684" s="10"/>
      <c r="F4684" s="69"/>
      <c r="G4684" s="68"/>
      <c r="H4684" s="70"/>
      <c r="BA4684" s="4"/>
      <c r="BB4684" s="4"/>
    </row>
    <row r="4685" spans="1:54" x14ac:dyDescent="0.3">
      <c r="A4685" s="66"/>
      <c r="B4685" s="67"/>
      <c r="C4685" s="66"/>
      <c r="D4685" s="68"/>
      <c r="E4685" s="10"/>
      <c r="F4685" s="69"/>
      <c r="G4685" s="68"/>
      <c r="H4685" s="70"/>
      <c r="BA4685" s="4"/>
      <c r="BB4685" s="4"/>
    </row>
    <row r="4686" spans="1:54" x14ac:dyDescent="0.3">
      <c r="A4686" s="66"/>
      <c r="B4686" s="67"/>
      <c r="C4686" s="66"/>
      <c r="D4686" s="68"/>
      <c r="E4686" s="10"/>
      <c r="F4686" s="69"/>
      <c r="G4686" s="68"/>
      <c r="H4686" s="70"/>
      <c r="BA4686" s="4"/>
      <c r="BB4686" s="4"/>
    </row>
    <row r="4687" spans="1:54" x14ac:dyDescent="0.3">
      <c r="A4687" s="66"/>
      <c r="B4687" s="67"/>
      <c r="C4687" s="66"/>
      <c r="D4687" s="68"/>
      <c r="E4687" s="10"/>
      <c r="F4687" s="69"/>
      <c r="G4687" s="68"/>
      <c r="H4687" s="70"/>
      <c r="BA4687" s="4"/>
      <c r="BB4687" s="4"/>
    </row>
    <row r="4688" spans="1:54" x14ac:dyDescent="0.3">
      <c r="A4688" s="66"/>
      <c r="B4688" s="67"/>
      <c r="C4688" s="66"/>
      <c r="D4688" s="68"/>
      <c r="E4688" s="10"/>
      <c r="F4688" s="69"/>
      <c r="G4688" s="68"/>
      <c r="H4688" s="70"/>
      <c r="BA4688" s="4"/>
      <c r="BB4688" s="4"/>
    </row>
    <row r="4689" spans="1:54" x14ac:dyDescent="0.3">
      <c r="A4689" s="66"/>
      <c r="B4689" s="67"/>
      <c r="C4689" s="66"/>
      <c r="D4689" s="68"/>
      <c r="E4689" s="10"/>
      <c r="F4689" s="69"/>
      <c r="G4689" s="68"/>
      <c r="H4689" s="70"/>
      <c r="BA4689" s="4"/>
      <c r="BB4689" s="4"/>
    </row>
    <row r="4690" spans="1:54" x14ac:dyDescent="0.3">
      <c r="A4690" s="66"/>
      <c r="B4690" s="67"/>
      <c r="C4690" s="66"/>
      <c r="D4690" s="68"/>
      <c r="E4690" s="10"/>
      <c r="F4690" s="69"/>
      <c r="G4690" s="68"/>
      <c r="H4690" s="70"/>
      <c r="BA4690" s="4"/>
      <c r="BB4690" s="4"/>
    </row>
    <row r="4691" spans="1:54" x14ac:dyDescent="0.3">
      <c r="A4691" s="66"/>
      <c r="B4691" s="67"/>
      <c r="C4691" s="66"/>
      <c r="D4691" s="68"/>
      <c r="E4691" s="10"/>
      <c r="F4691" s="69"/>
      <c r="G4691" s="68"/>
      <c r="H4691" s="70"/>
      <c r="BA4691" s="4"/>
      <c r="BB4691" s="4"/>
    </row>
    <row r="4692" spans="1:54" x14ac:dyDescent="0.3">
      <c r="A4692" s="66"/>
      <c r="B4692" s="67"/>
      <c r="C4692" s="66"/>
      <c r="D4692" s="68"/>
      <c r="E4692" s="10"/>
      <c r="F4692" s="69"/>
      <c r="G4692" s="68"/>
      <c r="H4692" s="70"/>
      <c r="BA4692" s="4"/>
      <c r="BB4692" s="4"/>
    </row>
    <row r="4693" spans="1:54" x14ac:dyDescent="0.3">
      <c r="A4693" s="66"/>
      <c r="B4693" s="67"/>
      <c r="C4693" s="66"/>
      <c r="D4693" s="68"/>
      <c r="E4693" s="10"/>
      <c r="F4693" s="69"/>
      <c r="G4693" s="68"/>
      <c r="H4693" s="70"/>
      <c r="BA4693" s="4"/>
      <c r="BB4693" s="4"/>
    </row>
    <row r="4694" spans="1:54" x14ac:dyDescent="0.3">
      <c r="A4694" s="66"/>
      <c r="B4694" s="67"/>
      <c r="C4694" s="66"/>
      <c r="D4694" s="68"/>
      <c r="E4694" s="10"/>
      <c r="F4694" s="69"/>
      <c r="G4694" s="68"/>
      <c r="H4694" s="70"/>
      <c r="BA4694" s="4"/>
      <c r="BB4694" s="4"/>
    </row>
    <row r="4695" spans="1:54" x14ac:dyDescent="0.3">
      <c r="A4695" s="66"/>
      <c r="B4695" s="67"/>
      <c r="C4695" s="66"/>
      <c r="D4695" s="68"/>
      <c r="E4695" s="10"/>
      <c r="F4695" s="69"/>
      <c r="G4695" s="68"/>
      <c r="H4695" s="70"/>
      <c r="BA4695" s="4"/>
      <c r="BB4695" s="4"/>
    </row>
    <row r="4696" spans="1:54" x14ac:dyDescent="0.3">
      <c r="A4696" s="66"/>
      <c r="B4696" s="67"/>
      <c r="C4696" s="66"/>
      <c r="D4696" s="68"/>
      <c r="E4696" s="10"/>
      <c r="F4696" s="69"/>
      <c r="G4696" s="68"/>
      <c r="H4696" s="70"/>
      <c r="BA4696" s="4"/>
      <c r="BB4696" s="4"/>
    </row>
    <row r="4697" spans="1:54" x14ac:dyDescent="0.3">
      <c r="A4697" s="66"/>
      <c r="B4697" s="67"/>
      <c r="C4697" s="66"/>
      <c r="D4697" s="68"/>
      <c r="E4697" s="10"/>
      <c r="F4697" s="69"/>
      <c r="G4697" s="68"/>
      <c r="H4697" s="70"/>
      <c r="BA4697" s="4"/>
      <c r="BB4697" s="4"/>
    </row>
    <row r="4698" spans="1:54" x14ac:dyDescent="0.3">
      <c r="A4698" s="66"/>
      <c r="B4698" s="67"/>
      <c r="C4698" s="66"/>
      <c r="D4698" s="68"/>
      <c r="E4698" s="10"/>
      <c r="F4698" s="69"/>
      <c r="G4698" s="68"/>
      <c r="H4698" s="70"/>
      <c r="BA4698" s="4"/>
      <c r="BB4698" s="4"/>
    </row>
    <row r="4699" spans="1:54" x14ac:dyDescent="0.3">
      <c r="A4699" s="66"/>
      <c r="B4699" s="67"/>
      <c r="C4699" s="66"/>
      <c r="D4699" s="68"/>
      <c r="E4699" s="10"/>
      <c r="F4699" s="69"/>
      <c r="G4699" s="68"/>
      <c r="H4699" s="70"/>
      <c r="BA4699" s="4"/>
      <c r="BB4699" s="4"/>
    </row>
    <row r="4700" spans="1:54" x14ac:dyDescent="0.3">
      <c r="A4700" s="66"/>
      <c r="B4700" s="67"/>
      <c r="C4700" s="66"/>
      <c r="D4700" s="68"/>
      <c r="E4700" s="10"/>
      <c r="F4700" s="69"/>
      <c r="G4700" s="68"/>
      <c r="H4700" s="70"/>
      <c r="BA4700" s="4"/>
      <c r="BB4700" s="4"/>
    </row>
    <row r="4701" spans="1:54" x14ac:dyDescent="0.3">
      <c r="A4701" s="66"/>
      <c r="B4701" s="67"/>
      <c r="C4701" s="66"/>
      <c r="D4701" s="68"/>
      <c r="E4701" s="10"/>
      <c r="F4701" s="69"/>
      <c r="G4701" s="68"/>
      <c r="H4701" s="70"/>
      <c r="BA4701" s="4"/>
      <c r="BB4701" s="4"/>
    </row>
    <row r="4702" spans="1:54" x14ac:dyDescent="0.3">
      <c r="A4702" s="66"/>
      <c r="B4702" s="67"/>
      <c r="C4702" s="66"/>
      <c r="D4702" s="68"/>
      <c r="E4702" s="10"/>
      <c r="F4702" s="69"/>
      <c r="G4702" s="68"/>
      <c r="H4702" s="70"/>
      <c r="BA4702" s="4"/>
      <c r="BB4702" s="4"/>
    </row>
    <row r="4703" spans="1:54" x14ac:dyDescent="0.3">
      <c r="A4703" s="66"/>
      <c r="B4703" s="67"/>
      <c r="C4703" s="66"/>
      <c r="D4703" s="68"/>
      <c r="E4703" s="10"/>
      <c r="F4703" s="69"/>
      <c r="G4703" s="68"/>
      <c r="H4703" s="70"/>
      <c r="BA4703" s="4"/>
      <c r="BB4703" s="4"/>
    </row>
    <row r="4704" spans="1:54" x14ac:dyDescent="0.3">
      <c r="A4704" s="66"/>
      <c r="B4704" s="67"/>
      <c r="C4704" s="66"/>
      <c r="D4704" s="68"/>
      <c r="E4704" s="10"/>
      <c r="F4704" s="69"/>
      <c r="G4704" s="68"/>
      <c r="H4704" s="70"/>
      <c r="BA4704" s="4"/>
      <c r="BB4704" s="4"/>
    </row>
    <row r="4705" spans="1:54" x14ac:dyDescent="0.3">
      <c r="A4705" s="66"/>
      <c r="B4705" s="67"/>
      <c r="C4705" s="66"/>
      <c r="D4705" s="68"/>
      <c r="E4705" s="10"/>
      <c r="F4705" s="69"/>
      <c r="G4705" s="68"/>
      <c r="H4705" s="70"/>
      <c r="BA4705" s="4"/>
      <c r="BB4705" s="4"/>
    </row>
    <row r="4706" spans="1:54" x14ac:dyDescent="0.3">
      <c r="A4706" s="66"/>
      <c r="B4706" s="67"/>
      <c r="C4706" s="66"/>
      <c r="D4706" s="68"/>
      <c r="E4706" s="10"/>
      <c r="F4706" s="69"/>
      <c r="G4706" s="68"/>
      <c r="H4706" s="70"/>
      <c r="BA4706" s="4"/>
      <c r="BB4706" s="4"/>
    </row>
    <row r="4707" spans="1:54" x14ac:dyDescent="0.3">
      <c r="A4707" s="66"/>
      <c r="B4707" s="67"/>
      <c r="C4707" s="66"/>
      <c r="D4707" s="68"/>
      <c r="E4707" s="10"/>
      <c r="F4707" s="69"/>
      <c r="G4707" s="68"/>
      <c r="H4707" s="70"/>
      <c r="BA4707" s="4"/>
      <c r="BB4707" s="4"/>
    </row>
    <row r="4708" spans="1:54" x14ac:dyDescent="0.3">
      <c r="A4708" s="66"/>
      <c r="B4708" s="67"/>
      <c r="C4708" s="66"/>
      <c r="D4708" s="68"/>
      <c r="E4708" s="10"/>
      <c r="F4708" s="69"/>
      <c r="G4708" s="68"/>
      <c r="H4708" s="70"/>
      <c r="BA4708" s="4"/>
      <c r="BB4708" s="4"/>
    </row>
    <row r="4709" spans="1:54" x14ac:dyDescent="0.3">
      <c r="A4709" s="66"/>
      <c r="B4709" s="67"/>
      <c r="C4709" s="66"/>
      <c r="D4709" s="68"/>
      <c r="E4709" s="10"/>
      <c r="F4709" s="69"/>
      <c r="G4709" s="68"/>
      <c r="H4709" s="70"/>
      <c r="BA4709" s="4"/>
      <c r="BB4709" s="4"/>
    </row>
    <row r="4710" spans="1:54" x14ac:dyDescent="0.3">
      <c r="A4710" s="66"/>
      <c r="B4710" s="67"/>
      <c r="C4710" s="66"/>
      <c r="D4710" s="68"/>
      <c r="E4710" s="10"/>
      <c r="F4710" s="69"/>
      <c r="G4710" s="68"/>
      <c r="H4710" s="70"/>
      <c r="BA4710" s="4"/>
      <c r="BB4710" s="4"/>
    </row>
    <row r="4711" spans="1:54" x14ac:dyDescent="0.3">
      <c r="A4711" s="66"/>
      <c r="B4711" s="67"/>
      <c r="C4711" s="66"/>
      <c r="D4711" s="68"/>
      <c r="E4711" s="10"/>
      <c r="F4711" s="69"/>
      <c r="G4711" s="68"/>
      <c r="H4711" s="70"/>
      <c r="BA4711" s="4"/>
      <c r="BB4711" s="4"/>
    </row>
    <row r="4712" spans="1:54" x14ac:dyDescent="0.3">
      <c r="A4712" s="66"/>
      <c r="B4712" s="67"/>
      <c r="C4712" s="66"/>
      <c r="D4712" s="68"/>
      <c r="E4712" s="10"/>
      <c r="F4712" s="69"/>
      <c r="G4712" s="68"/>
      <c r="H4712" s="70"/>
      <c r="BA4712" s="4"/>
      <c r="BB4712" s="4"/>
    </row>
    <row r="4713" spans="1:54" x14ac:dyDescent="0.3">
      <c r="A4713" s="66"/>
      <c r="B4713" s="67"/>
      <c r="C4713" s="66"/>
      <c r="D4713" s="68"/>
      <c r="E4713" s="10"/>
      <c r="F4713" s="69"/>
      <c r="G4713" s="68"/>
      <c r="H4713" s="70"/>
      <c r="BA4713" s="4"/>
      <c r="BB4713" s="4"/>
    </row>
    <row r="4714" spans="1:54" x14ac:dyDescent="0.3">
      <c r="A4714" s="66"/>
      <c r="B4714" s="67"/>
      <c r="C4714" s="66"/>
      <c r="D4714" s="68"/>
      <c r="E4714" s="10"/>
      <c r="F4714" s="69"/>
      <c r="G4714" s="68"/>
      <c r="H4714" s="70"/>
      <c r="BA4714" s="4"/>
      <c r="BB4714" s="4"/>
    </row>
    <row r="4715" spans="1:54" x14ac:dyDescent="0.3">
      <c r="A4715" s="66"/>
      <c r="B4715" s="67"/>
      <c r="C4715" s="66"/>
      <c r="D4715" s="68"/>
      <c r="E4715" s="10"/>
      <c r="F4715" s="69"/>
      <c r="G4715" s="68"/>
      <c r="H4715" s="70"/>
      <c r="BA4715" s="4"/>
      <c r="BB4715" s="4"/>
    </row>
    <row r="4716" spans="1:54" x14ac:dyDescent="0.3">
      <c r="A4716" s="66"/>
      <c r="B4716" s="67"/>
      <c r="C4716" s="66"/>
      <c r="D4716" s="68"/>
      <c r="E4716" s="10"/>
      <c r="F4716" s="69"/>
      <c r="G4716" s="68"/>
      <c r="H4716" s="70"/>
      <c r="BA4716" s="4"/>
      <c r="BB4716" s="4"/>
    </row>
    <row r="4717" spans="1:54" x14ac:dyDescent="0.3">
      <c r="A4717" s="66"/>
      <c r="B4717" s="67"/>
      <c r="C4717" s="66"/>
      <c r="D4717" s="68"/>
      <c r="E4717" s="10"/>
      <c r="F4717" s="69"/>
      <c r="G4717" s="68"/>
      <c r="H4717" s="70"/>
      <c r="BA4717" s="4"/>
      <c r="BB4717" s="4"/>
    </row>
    <row r="4718" spans="1:54" x14ac:dyDescent="0.3">
      <c r="A4718" s="66"/>
      <c r="B4718" s="67"/>
      <c r="C4718" s="66"/>
      <c r="D4718" s="68"/>
      <c r="E4718" s="10"/>
      <c r="F4718" s="69"/>
      <c r="G4718" s="68"/>
      <c r="H4718" s="70"/>
      <c r="BA4718" s="4"/>
      <c r="BB4718" s="4"/>
    </row>
    <row r="4719" spans="1:54" x14ac:dyDescent="0.3">
      <c r="A4719" s="66"/>
      <c r="B4719" s="67"/>
      <c r="C4719" s="66"/>
      <c r="D4719" s="68"/>
      <c r="E4719" s="10"/>
      <c r="F4719" s="69"/>
      <c r="G4719" s="68"/>
      <c r="H4719" s="70"/>
      <c r="BA4719" s="4"/>
      <c r="BB4719" s="4"/>
    </row>
    <row r="4720" spans="1:54" x14ac:dyDescent="0.3">
      <c r="A4720" s="66"/>
      <c r="B4720" s="67"/>
      <c r="C4720" s="66"/>
      <c r="D4720" s="68"/>
      <c r="E4720" s="10"/>
      <c r="F4720" s="69"/>
      <c r="G4720" s="68"/>
      <c r="H4720" s="70"/>
      <c r="BA4720" s="4"/>
      <c r="BB4720" s="4"/>
    </row>
    <row r="4721" spans="1:54" x14ac:dyDescent="0.3">
      <c r="A4721" s="66"/>
      <c r="B4721" s="67"/>
      <c r="C4721" s="66"/>
      <c r="D4721" s="68"/>
      <c r="E4721" s="10"/>
      <c r="F4721" s="69"/>
      <c r="G4721" s="68"/>
      <c r="H4721" s="70"/>
      <c r="BA4721" s="4"/>
      <c r="BB4721" s="4"/>
    </row>
    <row r="4722" spans="1:54" x14ac:dyDescent="0.3">
      <c r="A4722" s="66"/>
      <c r="B4722" s="67"/>
      <c r="C4722" s="66"/>
      <c r="D4722" s="68"/>
      <c r="E4722" s="10"/>
      <c r="F4722" s="69"/>
      <c r="G4722" s="68"/>
      <c r="H4722" s="70"/>
      <c r="BA4722" s="4"/>
      <c r="BB4722" s="4"/>
    </row>
    <row r="4723" spans="1:54" x14ac:dyDescent="0.3">
      <c r="A4723" s="66"/>
      <c r="B4723" s="67"/>
      <c r="C4723" s="66"/>
      <c r="D4723" s="68"/>
      <c r="E4723" s="10"/>
      <c r="F4723" s="69"/>
      <c r="G4723" s="68"/>
      <c r="H4723" s="70"/>
      <c r="BA4723" s="4"/>
      <c r="BB4723" s="4"/>
    </row>
    <row r="4724" spans="1:54" x14ac:dyDescent="0.3">
      <c r="A4724" s="66"/>
      <c r="B4724" s="67"/>
      <c r="C4724" s="66"/>
      <c r="D4724" s="68"/>
      <c r="E4724" s="10"/>
      <c r="F4724" s="69"/>
      <c r="G4724" s="68"/>
      <c r="H4724" s="70"/>
      <c r="BA4724" s="4"/>
      <c r="BB4724" s="4"/>
    </row>
    <row r="4725" spans="1:54" x14ac:dyDescent="0.3">
      <c r="A4725" s="66"/>
      <c r="B4725" s="67"/>
      <c r="C4725" s="66"/>
      <c r="D4725" s="68"/>
      <c r="E4725" s="10"/>
      <c r="F4725" s="69"/>
      <c r="G4725" s="68"/>
      <c r="H4725" s="70"/>
      <c r="BA4725" s="4"/>
      <c r="BB4725" s="4"/>
    </row>
    <row r="4726" spans="1:54" x14ac:dyDescent="0.3">
      <c r="A4726" s="66"/>
      <c r="B4726" s="67"/>
      <c r="C4726" s="66"/>
      <c r="D4726" s="68"/>
      <c r="E4726" s="10"/>
      <c r="F4726" s="69"/>
      <c r="G4726" s="68"/>
      <c r="H4726" s="70"/>
      <c r="BA4726" s="4"/>
      <c r="BB4726" s="4"/>
    </row>
    <row r="4727" spans="1:54" x14ac:dyDescent="0.3">
      <c r="A4727" s="66"/>
      <c r="B4727" s="67"/>
      <c r="C4727" s="66"/>
      <c r="D4727" s="68"/>
      <c r="E4727" s="10"/>
      <c r="F4727" s="69"/>
      <c r="G4727" s="68"/>
      <c r="H4727" s="70"/>
      <c r="BA4727" s="4"/>
      <c r="BB4727" s="4"/>
    </row>
    <row r="4728" spans="1:54" x14ac:dyDescent="0.3">
      <c r="A4728" s="66"/>
      <c r="B4728" s="67"/>
      <c r="C4728" s="66"/>
      <c r="D4728" s="68"/>
      <c r="E4728" s="10"/>
      <c r="F4728" s="69"/>
      <c r="G4728" s="68"/>
      <c r="H4728" s="70"/>
      <c r="BA4728" s="4"/>
      <c r="BB4728" s="4"/>
    </row>
    <row r="4729" spans="1:54" x14ac:dyDescent="0.3">
      <c r="A4729" s="66"/>
      <c r="B4729" s="67"/>
      <c r="C4729" s="66"/>
      <c r="D4729" s="68"/>
      <c r="E4729" s="10"/>
      <c r="F4729" s="69"/>
      <c r="G4729" s="68"/>
      <c r="H4729" s="70"/>
      <c r="BA4729" s="4"/>
      <c r="BB4729" s="4"/>
    </row>
    <row r="4730" spans="1:54" x14ac:dyDescent="0.3">
      <c r="A4730" s="66"/>
      <c r="B4730" s="67"/>
      <c r="C4730" s="66"/>
      <c r="D4730" s="68"/>
      <c r="E4730" s="10"/>
      <c r="F4730" s="69"/>
      <c r="G4730" s="68"/>
      <c r="H4730" s="70"/>
      <c r="BA4730" s="4"/>
      <c r="BB4730" s="4"/>
    </row>
    <row r="4731" spans="1:54" x14ac:dyDescent="0.3">
      <c r="A4731" s="66"/>
      <c r="B4731" s="67"/>
      <c r="C4731" s="66"/>
      <c r="D4731" s="68"/>
      <c r="E4731" s="10"/>
      <c r="F4731" s="69"/>
      <c r="G4731" s="68"/>
      <c r="H4731" s="70"/>
      <c r="BA4731" s="4"/>
      <c r="BB4731" s="4"/>
    </row>
    <row r="4732" spans="1:54" x14ac:dyDescent="0.3">
      <c r="A4732" s="66"/>
      <c r="B4732" s="67"/>
      <c r="C4732" s="66"/>
      <c r="D4732" s="68"/>
      <c r="E4732" s="10"/>
      <c r="F4732" s="69"/>
      <c r="G4732" s="68"/>
      <c r="H4732" s="70"/>
      <c r="BA4732" s="4"/>
      <c r="BB4732" s="4"/>
    </row>
    <row r="4733" spans="1:54" x14ac:dyDescent="0.3">
      <c r="A4733" s="66"/>
      <c r="B4733" s="67"/>
      <c r="C4733" s="66"/>
      <c r="D4733" s="68"/>
      <c r="E4733" s="10"/>
      <c r="F4733" s="69"/>
      <c r="G4733" s="68"/>
      <c r="H4733" s="70"/>
      <c r="BA4733" s="4"/>
      <c r="BB4733" s="4"/>
    </row>
    <row r="4734" spans="1:54" x14ac:dyDescent="0.3">
      <c r="A4734" s="66"/>
      <c r="B4734" s="67"/>
      <c r="C4734" s="66"/>
      <c r="D4734" s="68"/>
      <c r="E4734" s="10"/>
      <c r="F4734" s="69"/>
      <c r="G4734" s="68"/>
      <c r="H4734" s="70"/>
      <c r="BA4734" s="4"/>
      <c r="BB4734" s="4"/>
    </row>
    <row r="4735" spans="1:54" x14ac:dyDescent="0.3">
      <c r="A4735" s="66"/>
      <c r="B4735" s="67"/>
      <c r="C4735" s="66"/>
      <c r="D4735" s="68"/>
      <c r="E4735" s="10"/>
      <c r="F4735" s="69"/>
      <c r="G4735" s="68"/>
      <c r="H4735" s="70"/>
      <c r="BA4735" s="4"/>
      <c r="BB4735" s="4"/>
    </row>
    <row r="4736" spans="1:54" x14ac:dyDescent="0.3">
      <c r="A4736" s="66"/>
      <c r="B4736" s="67"/>
      <c r="C4736" s="66"/>
      <c r="D4736" s="68"/>
      <c r="E4736" s="10"/>
      <c r="F4736" s="69"/>
      <c r="G4736" s="68"/>
      <c r="H4736" s="70"/>
      <c r="BA4736" s="4"/>
      <c r="BB4736" s="4"/>
    </row>
    <row r="4737" spans="1:54" x14ac:dyDescent="0.3">
      <c r="A4737" s="66"/>
      <c r="B4737" s="67"/>
      <c r="C4737" s="66"/>
      <c r="D4737" s="68"/>
      <c r="E4737" s="10"/>
      <c r="F4737" s="69"/>
      <c r="G4737" s="68"/>
      <c r="H4737" s="70"/>
      <c r="BA4737" s="4"/>
      <c r="BB4737" s="4"/>
    </row>
    <row r="4738" spans="1:54" x14ac:dyDescent="0.3">
      <c r="A4738" s="66"/>
      <c r="B4738" s="67"/>
      <c r="C4738" s="66"/>
      <c r="D4738" s="68"/>
      <c r="E4738" s="10"/>
      <c r="F4738" s="69"/>
      <c r="G4738" s="68"/>
      <c r="H4738" s="70"/>
      <c r="BA4738" s="4"/>
      <c r="BB4738" s="4"/>
    </row>
    <row r="4739" spans="1:54" x14ac:dyDescent="0.3">
      <c r="A4739" s="66"/>
      <c r="B4739" s="67"/>
      <c r="C4739" s="66"/>
      <c r="D4739" s="68"/>
      <c r="E4739" s="10"/>
      <c r="F4739" s="69"/>
      <c r="G4739" s="68"/>
      <c r="H4739" s="70"/>
      <c r="BA4739" s="4"/>
      <c r="BB4739" s="4"/>
    </row>
    <row r="4740" spans="1:54" x14ac:dyDescent="0.3">
      <c r="A4740" s="66"/>
      <c r="B4740" s="67"/>
      <c r="C4740" s="66"/>
      <c r="D4740" s="68"/>
      <c r="E4740" s="10"/>
      <c r="F4740" s="69"/>
      <c r="G4740" s="68"/>
      <c r="H4740" s="70"/>
      <c r="BA4740" s="4"/>
      <c r="BB4740" s="4"/>
    </row>
    <row r="4741" spans="1:54" x14ac:dyDescent="0.3">
      <c r="A4741" s="66"/>
      <c r="B4741" s="67"/>
      <c r="C4741" s="66"/>
      <c r="D4741" s="68"/>
      <c r="E4741" s="10"/>
      <c r="F4741" s="69"/>
      <c r="G4741" s="68"/>
      <c r="H4741" s="70"/>
      <c r="BA4741" s="4"/>
      <c r="BB4741" s="4"/>
    </row>
    <row r="4742" spans="1:54" x14ac:dyDescent="0.3">
      <c r="A4742" s="66"/>
      <c r="B4742" s="67"/>
      <c r="C4742" s="66"/>
      <c r="D4742" s="68"/>
      <c r="E4742" s="10"/>
      <c r="F4742" s="69"/>
      <c r="G4742" s="68"/>
      <c r="H4742" s="70"/>
      <c r="BA4742" s="4"/>
      <c r="BB4742" s="4"/>
    </row>
    <row r="4743" spans="1:54" x14ac:dyDescent="0.3">
      <c r="A4743" s="66"/>
      <c r="B4743" s="67"/>
      <c r="C4743" s="66"/>
      <c r="D4743" s="68"/>
      <c r="E4743" s="10"/>
      <c r="F4743" s="69"/>
      <c r="G4743" s="68"/>
      <c r="H4743" s="70"/>
      <c r="BA4743" s="4"/>
      <c r="BB4743" s="4"/>
    </row>
    <row r="4744" spans="1:54" x14ac:dyDescent="0.3">
      <c r="A4744" s="66"/>
      <c r="B4744" s="67"/>
      <c r="C4744" s="66"/>
      <c r="D4744" s="68"/>
      <c r="E4744" s="10"/>
      <c r="F4744" s="69"/>
      <c r="G4744" s="68"/>
      <c r="H4744" s="70"/>
      <c r="BA4744" s="4"/>
      <c r="BB4744" s="4"/>
    </row>
    <row r="4745" spans="1:54" x14ac:dyDescent="0.3">
      <c r="A4745" s="66"/>
      <c r="B4745" s="67"/>
      <c r="C4745" s="66"/>
      <c r="D4745" s="68"/>
      <c r="E4745" s="10"/>
      <c r="F4745" s="69"/>
      <c r="G4745" s="68"/>
      <c r="H4745" s="70"/>
      <c r="BA4745" s="4"/>
      <c r="BB4745" s="4"/>
    </row>
    <row r="4746" spans="1:54" x14ac:dyDescent="0.3">
      <c r="A4746" s="66"/>
      <c r="B4746" s="67"/>
      <c r="C4746" s="66"/>
      <c r="D4746" s="68"/>
      <c r="E4746" s="10"/>
      <c r="F4746" s="69"/>
      <c r="G4746" s="68"/>
      <c r="H4746" s="70"/>
      <c r="BA4746" s="4"/>
      <c r="BB4746" s="4"/>
    </row>
    <row r="4747" spans="1:54" x14ac:dyDescent="0.3">
      <c r="A4747" s="66"/>
      <c r="B4747" s="67"/>
      <c r="C4747" s="66"/>
      <c r="D4747" s="68"/>
      <c r="E4747" s="10"/>
      <c r="F4747" s="69"/>
      <c r="G4747" s="68"/>
      <c r="H4747" s="70"/>
      <c r="BA4747" s="4"/>
      <c r="BB4747" s="4"/>
    </row>
    <row r="4748" spans="1:54" x14ac:dyDescent="0.3">
      <c r="A4748" s="66"/>
      <c r="B4748" s="67"/>
      <c r="C4748" s="66"/>
      <c r="D4748" s="68"/>
      <c r="E4748" s="10"/>
      <c r="F4748" s="69"/>
      <c r="G4748" s="68"/>
      <c r="H4748" s="70"/>
      <c r="BA4748" s="4"/>
      <c r="BB4748" s="4"/>
    </row>
    <row r="4749" spans="1:54" x14ac:dyDescent="0.3">
      <c r="A4749" s="66"/>
      <c r="B4749" s="67"/>
      <c r="C4749" s="66"/>
      <c r="D4749" s="68"/>
      <c r="E4749" s="10"/>
      <c r="F4749" s="69"/>
      <c r="G4749" s="68"/>
      <c r="H4749" s="70"/>
      <c r="BA4749" s="4"/>
      <c r="BB4749" s="4"/>
    </row>
    <row r="4750" spans="1:54" x14ac:dyDescent="0.3">
      <c r="A4750" s="66"/>
      <c r="B4750" s="67"/>
      <c r="C4750" s="66"/>
      <c r="D4750" s="68"/>
      <c r="E4750" s="10"/>
      <c r="F4750" s="69"/>
      <c r="G4750" s="68"/>
      <c r="H4750" s="70"/>
      <c r="BA4750" s="4"/>
      <c r="BB4750" s="4"/>
    </row>
    <row r="4751" spans="1:54" x14ac:dyDescent="0.3">
      <c r="A4751" s="66"/>
      <c r="B4751" s="67"/>
      <c r="C4751" s="66"/>
      <c r="D4751" s="68"/>
      <c r="E4751" s="10"/>
      <c r="F4751" s="69"/>
      <c r="G4751" s="68"/>
      <c r="H4751" s="70"/>
      <c r="BA4751" s="4"/>
      <c r="BB4751" s="4"/>
    </row>
    <row r="4752" spans="1:54" x14ac:dyDescent="0.3">
      <c r="A4752" s="66"/>
      <c r="B4752" s="67"/>
      <c r="C4752" s="66"/>
      <c r="D4752" s="68"/>
      <c r="E4752" s="10"/>
      <c r="F4752" s="69"/>
      <c r="G4752" s="68"/>
      <c r="H4752" s="70"/>
      <c r="BA4752" s="4"/>
      <c r="BB4752" s="4"/>
    </row>
    <row r="4753" spans="1:54" x14ac:dyDescent="0.3">
      <c r="A4753" s="66"/>
      <c r="B4753" s="67"/>
      <c r="C4753" s="66"/>
      <c r="D4753" s="68"/>
      <c r="E4753" s="10"/>
      <c r="F4753" s="69"/>
      <c r="G4753" s="68"/>
      <c r="H4753" s="70"/>
      <c r="BA4753" s="4"/>
      <c r="BB4753" s="4"/>
    </row>
    <row r="4754" spans="1:54" x14ac:dyDescent="0.3">
      <c r="A4754" s="66"/>
      <c r="B4754" s="67"/>
      <c r="C4754" s="66"/>
      <c r="D4754" s="68"/>
      <c r="E4754" s="10"/>
      <c r="F4754" s="69"/>
      <c r="G4754" s="68"/>
      <c r="H4754" s="70"/>
      <c r="BA4754" s="4"/>
      <c r="BB4754" s="4"/>
    </row>
    <row r="4755" spans="1:54" x14ac:dyDescent="0.3">
      <c r="A4755" s="66"/>
      <c r="B4755" s="67"/>
      <c r="C4755" s="66"/>
      <c r="D4755" s="68"/>
      <c r="E4755" s="10"/>
      <c r="F4755" s="69"/>
      <c r="G4755" s="68"/>
      <c r="H4755" s="70"/>
      <c r="BA4755" s="4"/>
      <c r="BB4755" s="4"/>
    </row>
    <row r="4756" spans="1:54" x14ac:dyDescent="0.3">
      <c r="A4756" s="66"/>
      <c r="B4756" s="67"/>
      <c r="C4756" s="66"/>
      <c r="D4756" s="68"/>
      <c r="E4756" s="10"/>
      <c r="F4756" s="69"/>
      <c r="G4756" s="68"/>
      <c r="H4756" s="70"/>
      <c r="BA4756" s="4"/>
      <c r="BB4756" s="4"/>
    </row>
    <row r="4757" spans="1:54" x14ac:dyDescent="0.3">
      <c r="A4757" s="66"/>
      <c r="B4757" s="67"/>
      <c r="C4757" s="66"/>
      <c r="D4757" s="68"/>
      <c r="E4757" s="10"/>
      <c r="F4757" s="69"/>
      <c r="G4757" s="68"/>
      <c r="H4757" s="70"/>
      <c r="BA4757" s="4"/>
      <c r="BB4757" s="4"/>
    </row>
    <row r="4758" spans="1:54" x14ac:dyDescent="0.3">
      <c r="A4758" s="66"/>
      <c r="B4758" s="67"/>
      <c r="C4758" s="66"/>
      <c r="D4758" s="68"/>
      <c r="E4758" s="10"/>
      <c r="F4758" s="69"/>
      <c r="G4758" s="68"/>
      <c r="H4758" s="70"/>
      <c r="BA4758" s="4"/>
      <c r="BB4758" s="4"/>
    </row>
    <row r="4759" spans="1:54" x14ac:dyDescent="0.3">
      <c r="A4759" s="66"/>
      <c r="B4759" s="67"/>
      <c r="C4759" s="66"/>
      <c r="D4759" s="68"/>
      <c r="E4759" s="10"/>
      <c r="F4759" s="69"/>
      <c r="G4759" s="68"/>
      <c r="H4759" s="70"/>
      <c r="BA4759" s="4"/>
      <c r="BB4759" s="4"/>
    </row>
    <row r="4760" spans="1:54" x14ac:dyDescent="0.3">
      <c r="A4760" s="66"/>
      <c r="B4760" s="67"/>
      <c r="C4760" s="66"/>
      <c r="D4760" s="68"/>
      <c r="E4760" s="10"/>
      <c r="F4760" s="69"/>
      <c r="G4760" s="68"/>
      <c r="H4760" s="70"/>
      <c r="BA4760" s="4"/>
      <c r="BB4760" s="4"/>
    </row>
    <row r="4761" spans="1:54" x14ac:dyDescent="0.3">
      <c r="A4761" s="66"/>
      <c r="B4761" s="67"/>
      <c r="C4761" s="66"/>
      <c r="D4761" s="68"/>
      <c r="E4761" s="10"/>
      <c r="F4761" s="69"/>
      <c r="G4761" s="68"/>
      <c r="H4761" s="70"/>
      <c r="BA4761" s="4"/>
      <c r="BB4761" s="4"/>
    </row>
    <row r="4762" spans="1:54" x14ac:dyDescent="0.3">
      <c r="A4762" s="66"/>
      <c r="B4762" s="67"/>
      <c r="C4762" s="66"/>
      <c r="D4762" s="68"/>
      <c r="E4762" s="10"/>
      <c r="F4762" s="69"/>
      <c r="G4762" s="68"/>
      <c r="H4762" s="70"/>
      <c r="BA4762" s="4"/>
      <c r="BB4762" s="4"/>
    </row>
    <row r="4763" spans="1:54" x14ac:dyDescent="0.3">
      <c r="A4763" s="66"/>
      <c r="B4763" s="67"/>
      <c r="C4763" s="66"/>
      <c r="D4763" s="68"/>
      <c r="E4763" s="10"/>
      <c r="F4763" s="69"/>
      <c r="G4763" s="68"/>
      <c r="H4763" s="70"/>
      <c r="BA4763" s="4"/>
      <c r="BB4763" s="4"/>
    </row>
    <row r="4764" spans="1:54" x14ac:dyDescent="0.3">
      <c r="A4764" s="66"/>
      <c r="B4764" s="67"/>
      <c r="C4764" s="66"/>
      <c r="D4764" s="68"/>
      <c r="E4764" s="10"/>
      <c r="F4764" s="69"/>
      <c r="G4764" s="68"/>
      <c r="H4764" s="70"/>
      <c r="BA4764" s="4"/>
      <c r="BB4764" s="4"/>
    </row>
    <row r="4765" spans="1:54" x14ac:dyDescent="0.3">
      <c r="A4765" s="66"/>
      <c r="B4765" s="67"/>
      <c r="C4765" s="66"/>
      <c r="D4765" s="68"/>
      <c r="E4765" s="10"/>
      <c r="F4765" s="69"/>
      <c r="G4765" s="68"/>
      <c r="H4765" s="70"/>
      <c r="BA4765" s="4"/>
      <c r="BB4765" s="4"/>
    </row>
    <row r="4766" spans="1:54" x14ac:dyDescent="0.3">
      <c r="A4766" s="66"/>
      <c r="B4766" s="67"/>
      <c r="C4766" s="66"/>
      <c r="D4766" s="68"/>
      <c r="E4766" s="10"/>
      <c r="F4766" s="69"/>
      <c r="G4766" s="68"/>
      <c r="H4766" s="70"/>
      <c r="BA4766" s="4"/>
      <c r="BB4766" s="4"/>
    </row>
    <row r="4767" spans="1:54" x14ac:dyDescent="0.3">
      <c r="A4767" s="66"/>
      <c r="B4767" s="67"/>
      <c r="C4767" s="66"/>
      <c r="D4767" s="68"/>
      <c r="E4767" s="10"/>
      <c r="F4767" s="69"/>
      <c r="G4767" s="68"/>
      <c r="H4767" s="70"/>
      <c r="BA4767" s="4"/>
      <c r="BB4767" s="4"/>
    </row>
    <row r="4768" spans="1:54" x14ac:dyDescent="0.3">
      <c r="A4768" s="66"/>
      <c r="B4768" s="67"/>
      <c r="C4768" s="66"/>
      <c r="D4768" s="68"/>
      <c r="E4768" s="10"/>
      <c r="F4768" s="69"/>
      <c r="G4768" s="68"/>
      <c r="H4768" s="70"/>
      <c r="BA4768" s="4"/>
      <c r="BB4768" s="4"/>
    </row>
    <row r="4769" spans="1:54" x14ac:dyDescent="0.3">
      <c r="A4769" s="66"/>
      <c r="B4769" s="67"/>
      <c r="C4769" s="66"/>
      <c r="D4769" s="68"/>
      <c r="E4769" s="10"/>
      <c r="F4769" s="69"/>
      <c r="G4769" s="68"/>
      <c r="H4769" s="70"/>
      <c r="BA4769" s="4"/>
      <c r="BB4769" s="4"/>
    </row>
    <row r="4770" spans="1:54" x14ac:dyDescent="0.3">
      <c r="A4770" s="66"/>
      <c r="B4770" s="67"/>
      <c r="C4770" s="66"/>
      <c r="D4770" s="68"/>
      <c r="E4770" s="10"/>
      <c r="F4770" s="69"/>
      <c r="G4770" s="68"/>
      <c r="H4770" s="70"/>
      <c r="BA4770" s="4"/>
      <c r="BB4770" s="4"/>
    </row>
    <row r="4771" spans="1:54" x14ac:dyDescent="0.3">
      <c r="A4771" s="66"/>
      <c r="B4771" s="67"/>
      <c r="C4771" s="66"/>
      <c r="D4771" s="68"/>
      <c r="E4771" s="10"/>
      <c r="F4771" s="69"/>
      <c r="G4771" s="68"/>
      <c r="H4771" s="70"/>
      <c r="BA4771" s="4"/>
      <c r="BB4771" s="4"/>
    </row>
    <row r="4772" spans="1:54" x14ac:dyDescent="0.3">
      <c r="A4772" s="66"/>
      <c r="B4772" s="67"/>
      <c r="C4772" s="66"/>
      <c r="D4772" s="68"/>
      <c r="E4772" s="10"/>
      <c r="F4772" s="69"/>
      <c r="G4772" s="68"/>
      <c r="H4772" s="70"/>
      <c r="BA4772" s="4"/>
      <c r="BB4772" s="4"/>
    </row>
    <row r="4773" spans="1:54" x14ac:dyDescent="0.3">
      <c r="A4773" s="66"/>
      <c r="B4773" s="67"/>
      <c r="C4773" s="66"/>
      <c r="D4773" s="68"/>
      <c r="E4773" s="10"/>
      <c r="F4773" s="69"/>
      <c r="G4773" s="68"/>
      <c r="H4773" s="70"/>
      <c r="BA4773" s="4"/>
      <c r="BB4773" s="4"/>
    </row>
    <row r="4774" spans="1:54" x14ac:dyDescent="0.3">
      <c r="A4774" s="66"/>
      <c r="B4774" s="67"/>
      <c r="C4774" s="66"/>
      <c r="D4774" s="68"/>
      <c r="E4774" s="10"/>
      <c r="F4774" s="69"/>
      <c r="G4774" s="68"/>
      <c r="H4774" s="70"/>
      <c r="BA4774" s="4"/>
      <c r="BB4774" s="4"/>
    </row>
    <row r="4775" spans="1:54" x14ac:dyDescent="0.3">
      <c r="A4775" s="66"/>
      <c r="B4775" s="67"/>
      <c r="C4775" s="66"/>
      <c r="D4775" s="68"/>
      <c r="E4775" s="10"/>
      <c r="F4775" s="69"/>
      <c r="G4775" s="68"/>
      <c r="H4775" s="70"/>
      <c r="BA4775" s="4"/>
      <c r="BB4775" s="4"/>
    </row>
    <row r="4776" spans="1:54" x14ac:dyDescent="0.3">
      <c r="A4776" s="66"/>
      <c r="B4776" s="67"/>
      <c r="C4776" s="66"/>
      <c r="D4776" s="68"/>
      <c r="E4776" s="10"/>
      <c r="F4776" s="69"/>
      <c r="G4776" s="68"/>
      <c r="H4776" s="70"/>
      <c r="BA4776" s="4"/>
      <c r="BB4776" s="4"/>
    </row>
    <row r="4777" spans="1:54" x14ac:dyDescent="0.3">
      <c r="A4777" s="66"/>
      <c r="B4777" s="67"/>
      <c r="C4777" s="66"/>
      <c r="D4777" s="68"/>
      <c r="E4777" s="10"/>
      <c r="F4777" s="69"/>
      <c r="G4777" s="68"/>
      <c r="H4777" s="70"/>
      <c r="BA4777" s="4"/>
      <c r="BB4777" s="4"/>
    </row>
    <row r="4778" spans="1:54" x14ac:dyDescent="0.3">
      <c r="A4778" s="66"/>
      <c r="B4778" s="67"/>
      <c r="C4778" s="66"/>
      <c r="D4778" s="68"/>
      <c r="E4778" s="10"/>
      <c r="F4778" s="69"/>
      <c r="G4778" s="68"/>
      <c r="H4778" s="70"/>
      <c r="BA4778" s="4"/>
      <c r="BB4778" s="4"/>
    </row>
    <row r="4779" spans="1:54" x14ac:dyDescent="0.3">
      <c r="A4779" s="66"/>
      <c r="B4779" s="67"/>
      <c r="C4779" s="66"/>
      <c r="D4779" s="68"/>
      <c r="E4779" s="10"/>
      <c r="F4779" s="69"/>
      <c r="G4779" s="68"/>
      <c r="H4779" s="70"/>
      <c r="BA4779" s="4"/>
      <c r="BB4779" s="4"/>
    </row>
    <row r="4780" spans="1:54" x14ac:dyDescent="0.3">
      <c r="A4780" s="66"/>
      <c r="B4780" s="67"/>
      <c r="C4780" s="66"/>
      <c r="D4780" s="68"/>
      <c r="E4780" s="10"/>
      <c r="F4780" s="69"/>
      <c r="G4780" s="68"/>
      <c r="H4780" s="70"/>
      <c r="BA4780" s="4"/>
      <c r="BB4780" s="4"/>
    </row>
    <row r="4781" spans="1:54" x14ac:dyDescent="0.3">
      <c r="A4781" s="66"/>
      <c r="B4781" s="67"/>
      <c r="C4781" s="66"/>
      <c r="D4781" s="68"/>
      <c r="E4781" s="10"/>
      <c r="F4781" s="69"/>
      <c r="G4781" s="68"/>
      <c r="H4781" s="70"/>
      <c r="BA4781" s="4"/>
      <c r="BB4781" s="4"/>
    </row>
    <row r="4782" spans="1:54" x14ac:dyDescent="0.3">
      <c r="A4782" s="66"/>
      <c r="B4782" s="67"/>
      <c r="C4782" s="66"/>
      <c r="D4782" s="68"/>
      <c r="E4782" s="10"/>
      <c r="F4782" s="69"/>
      <c r="G4782" s="68"/>
      <c r="H4782" s="70"/>
      <c r="BA4782" s="4"/>
      <c r="BB4782" s="4"/>
    </row>
    <row r="4783" spans="1:54" x14ac:dyDescent="0.3">
      <c r="A4783" s="66"/>
      <c r="B4783" s="67"/>
      <c r="C4783" s="66"/>
      <c r="D4783" s="68"/>
      <c r="E4783" s="10"/>
      <c r="F4783" s="69"/>
      <c r="G4783" s="68"/>
      <c r="H4783" s="70"/>
      <c r="BA4783" s="4"/>
      <c r="BB4783" s="4"/>
    </row>
    <row r="4784" spans="1:54" x14ac:dyDescent="0.3">
      <c r="A4784" s="66"/>
      <c r="B4784" s="67"/>
      <c r="C4784" s="66"/>
      <c r="D4784" s="68"/>
      <c r="E4784" s="10"/>
      <c r="F4784" s="69"/>
      <c r="G4784" s="68"/>
      <c r="H4784" s="70"/>
      <c r="BA4784" s="4"/>
      <c r="BB4784" s="4"/>
    </row>
    <row r="4785" spans="1:54" x14ac:dyDescent="0.3">
      <c r="A4785" s="66"/>
      <c r="B4785" s="67"/>
      <c r="C4785" s="66"/>
      <c r="D4785" s="68"/>
      <c r="E4785" s="10"/>
      <c r="F4785" s="69"/>
      <c r="G4785" s="68"/>
      <c r="H4785" s="70"/>
      <c r="BA4785" s="4"/>
      <c r="BB4785" s="4"/>
    </row>
    <row r="4786" spans="1:54" x14ac:dyDescent="0.3">
      <c r="A4786" s="66"/>
      <c r="B4786" s="67"/>
      <c r="C4786" s="66"/>
      <c r="D4786" s="68"/>
      <c r="E4786" s="10"/>
      <c r="F4786" s="69"/>
      <c r="G4786" s="68"/>
      <c r="H4786" s="70"/>
      <c r="BA4786" s="4"/>
      <c r="BB4786" s="4"/>
    </row>
    <row r="4787" spans="1:54" x14ac:dyDescent="0.3">
      <c r="A4787" s="66"/>
      <c r="B4787" s="67"/>
      <c r="C4787" s="66"/>
      <c r="D4787" s="68"/>
      <c r="E4787" s="10"/>
      <c r="F4787" s="69"/>
      <c r="G4787" s="68"/>
      <c r="H4787" s="70"/>
      <c r="BA4787" s="4"/>
      <c r="BB4787" s="4"/>
    </row>
    <row r="4788" spans="1:54" x14ac:dyDescent="0.3">
      <c r="A4788" s="66"/>
      <c r="B4788" s="67"/>
      <c r="C4788" s="66"/>
      <c r="D4788" s="68"/>
      <c r="E4788" s="10"/>
      <c r="F4788" s="69"/>
      <c r="G4788" s="68"/>
      <c r="H4788" s="70"/>
      <c r="BA4788" s="4"/>
      <c r="BB4788" s="4"/>
    </row>
    <row r="4789" spans="1:54" x14ac:dyDescent="0.3">
      <c r="A4789" s="66"/>
      <c r="B4789" s="67"/>
      <c r="C4789" s="66"/>
      <c r="D4789" s="68"/>
      <c r="E4789" s="10"/>
      <c r="F4789" s="69"/>
      <c r="G4789" s="68"/>
      <c r="H4789" s="70"/>
      <c r="BA4789" s="4"/>
      <c r="BB4789" s="4"/>
    </row>
    <row r="4790" spans="1:54" x14ac:dyDescent="0.3">
      <c r="A4790" s="66"/>
      <c r="B4790" s="67"/>
      <c r="C4790" s="66"/>
      <c r="D4790" s="68"/>
      <c r="E4790" s="10"/>
      <c r="F4790" s="69"/>
      <c r="G4790" s="68"/>
      <c r="H4790" s="70"/>
      <c r="BA4790" s="4"/>
      <c r="BB4790" s="4"/>
    </row>
    <row r="4791" spans="1:54" x14ac:dyDescent="0.3">
      <c r="A4791" s="66"/>
      <c r="B4791" s="67"/>
      <c r="C4791" s="66"/>
      <c r="D4791" s="68"/>
      <c r="E4791" s="10"/>
      <c r="F4791" s="69"/>
      <c r="G4791" s="68"/>
      <c r="H4791" s="70"/>
      <c r="BA4791" s="4"/>
      <c r="BB4791" s="4"/>
    </row>
    <row r="4792" spans="1:54" x14ac:dyDescent="0.3">
      <c r="A4792" s="66"/>
      <c r="B4792" s="67"/>
      <c r="C4792" s="66"/>
      <c r="D4792" s="68"/>
      <c r="E4792" s="10"/>
      <c r="F4792" s="69"/>
      <c r="G4792" s="68"/>
      <c r="H4792" s="70"/>
      <c r="BA4792" s="4"/>
      <c r="BB4792" s="4"/>
    </row>
    <row r="4793" spans="1:54" x14ac:dyDescent="0.3">
      <c r="A4793" s="66"/>
      <c r="B4793" s="67"/>
      <c r="C4793" s="66"/>
      <c r="D4793" s="68"/>
      <c r="E4793" s="10"/>
      <c r="F4793" s="69"/>
      <c r="G4793" s="68"/>
      <c r="H4793" s="70"/>
      <c r="BA4793" s="4"/>
      <c r="BB4793" s="4"/>
    </row>
    <row r="4794" spans="1:54" x14ac:dyDescent="0.3">
      <c r="A4794" s="66"/>
      <c r="B4794" s="67"/>
      <c r="C4794" s="66"/>
      <c r="D4794" s="68"/>
      <c r="E4794" s="10"/>
      <c r="F4794" s="69"/>
      <c r="G4794" s="68"/>
      <c r="H4794" s="70"/>
      <c r="BA4794" s="4"/>
      <c r="BB4794" s="4"/>
    </row>
    <row r="4795" spans="1:54" x14ac:dyDescent="0.3">
      <c r="A4795" s="66"/>
      <c r="B4795" s="67"/>
      <c r="C4795" s="66"/>
      <c r="D4795" s="68"/>
      <c r="E4795" s="10"/>
      <c r="F4795" s="69"/>
      <c r="G4795" s="68"/>
      <c r="H4795" s="70"/>
      <c r="BA4795" s="4"/>
      <c r="BB4795" s="4"/>
    </row>
    <row r="4796" spans="1:54" x14ac:dyDescent="0.3">
      <c r="A4796" s="66"/>
      <c r="B4796" s="67"/>
      <c r="C4796" s="66"/>
      <c r="D4796" s="68"/>
      <c r="E4796" s="10"/>
      <c r="F4796" s="69"/>
      <c r="G4796" s="68"/>
      <c r="H4796" s="70"/>
      <c r="BA4796" s="4"/>
      <c r="BB4796" s="4"/>
    </row>
    <row r="4797" spans="1:54" x14ac:dyDescent="0.3">
      <c r="A4797" s="66"/>
      <c r="B4797" s="67"/>
      <c r="C4797" s="66"/>
      <c r="D4797" s="68"/>
      <c r="E4797" s="10"/>
      <c r="F4797" s="69"/>
      <c r="G4797" s="68"/>
      <c r="H4797" s="70"/>
      <c r="BA4797" s="4"/>
      <c r="BB4797" s="4"/>
    </row>
    <row r="4798" spans="1:54" x14ac:dyDescent="0.3">
      <c r="A4798" s="66"/>
      <c r="B4798" s="67"/>
      <c r="C4798" s="66"/>
      <c r="D4798" s="68"/>
      <c r="E4798" s="10"/>
      <c r="F4798" s="69"/>
      <c r="G4798" s="68"/>
      <c r="H4798" s="70"/>
      <c r="BA4798" s="4"/>
      <c r="BB4798" s="4"/>
    </row>
    <row r="4799" spans="1:54" x14ac:dyDescent="0.3">
      <c r="A4799" s="66"/>
      <c r="B4799" s="67"/>
      <c r="C4799" s="66"/>
      <c r="D4799" s="68"/>
      <c r="E4799" s="10"/>
      <c r="F4799" s="69"/>
      <c r="G4799" s="68"/>
      <c r="H4799" s="70"/>
      <c r="BA4799" s="4"/>
      <c r="BB4799" s="4"/>
    </row>
    <row r="4800" spans="1:54" x14ac:dyDescent="0.3">
      <c r="A4800" s="66"/>
      <c r="B4800" s="67"/>
      <c r="C4800" s="66"/>
      <c r="D4800" s="68"/>
      <c r="E4800" s="10"/>
      <c r="F4800" s="69"/>
      <c r="G4800" s="68"/>
      <c r="H4800" s="70"/>
      <c r="BA4800" s="4"/>
      <c r="BB4800" s="4"/>
    </row>
    <row r="4801" spans="1:54" x14ac:dyDescent="0.3">
      <c r="A4801" s="66"/>
      <c r="B4801" s="67"/>
      <c r="C4801" s="66"/>
      <c r="D4801" s="68"/>
      <c r="E4801" s="10"/>
      <c r="F4801" s="69"/>
      <c r="G4801" s="68"/>
      <c r="H4801" s="70"/>
      <c r="BA4801" s="4"/>
      <c r="BB4801" s="4"/>
    </row>
    <row r="4802" spans="1:54" x14ac:dyDescent="0.3">
      <c r="A4802" s="66"/>
      <c r="B4802" s="67"/>
      <c r="C4802" s="66"/>
      <c r="D4802" s="68"/>
      <c r="E4802" s="10"/>
      <c r="F4802" s="69"/>
      <c r="G4802" s="68"/>
      <c r="H4802" s="70"/>
      <c r="BA4802" s="4"/>
      <c r="BB4802" s="4"/>
    </row>
    <row r="4803" spans="1:54" x14ac:dyDescent="0.3">
      <c r="A4803" s="66"/>
      <c r="B4803" s="67"/>
      <c r="C4803" s="66"/>
      <c r="D4803" s="68"/>
      <c r="E4803" s="10"/>
      <c r="F4803" s="69"/>
      <c r="G4803" s="68"/>
      <c r="H4803" s="70"/>
      <c r="BA4803" s="4"/>
      <c r="BB4803" s="4"/>
    </row>
    <row r="4804" spans="1:54" x14ac:dyDescent="0.3">
      <c r="A4804" s="66"/>
      <c r="B4804" s="67"/>
      <c r="C4804" s="66"/>
      <c r="D4804" s="68"/>
      <c r="E4804" s="10"/>
      <c r="F4804" s="69"/>
      <c r="G4804" s="68"/>
      <c r="H4804" s="70"/>
      <c r="BA4804" s="4"/>
      <c r="BB4804" s="4"/>
    </row>
    <row r="4805" spans="1:54" x14ac:dyDescent="0.3">
      <c r="A4805" s="66"/>
      <c r="B4805" s="67"/>
      <c r="C4805" s="66"/>
      <c r="D4805" s="68"/>
      <c r="E4805" s="10"/>
      <c r="F4805" s="69"/>
      <c r="G4805" s="68"/>
      <c r="H4805" s="70"/>
      <c r="BA4805" s="4"/>
      <c r="BB4805" s="4"/>
    </row>
    <row r="4806" spans="1:54" x14ac:dyDescent="0.3">
      <c r="A4806" s="66"/>
      <c r="B4806" s="67"/>
      <c r="C4806" s="66"/>
      <c r="D4806" s="68"/>
      <c r="E4806" s="10"/>
      <c r="F4806" s="69"/>
      <c r="G4806" s="68"/>
      <c r="H4806" s="70"/>
      <c r="BA4806" s="4"/>
      <c r="BB4806" s="4"/>
    </row>
    <row r="4807" spans="1:54" x14ac:dyDescent="0.3">
      <c r="A4807" s="66"/>
      <c r="B4807" s="67"/>
      <c r="C4807" s="66"/>
      <c r="D4807" s="68"/>
      <c r="E4807" s="10"/>
      <c r="F4807" s="69"/>
      <c r="G4807" s="68"/>
      <c r="H4807" s="70"/>
      <c r="BA4807" s="4"/>
      <c r="BB4807" s="4"/>
    </row>
    <row r="4808" spans="1:54" x14ac:dyDescent="0.3">
      <c r="A4808" s="66"/>
      <c r="B4808" s="67"/>
      <c r="C4808" s="66"/>
      <c r="D4808" s="68"/>
      <c r="E4808" s="10"/>
      <c r="F4808" s="69"/>
      <c r="G4808" s="68"/>
      <c r="H4808" s="70"/>
      <c r="BA4808" s="4"/>
      <c r="BB4808" s="4"/>
    </row>
    <row r="4809" spans="1:54" x14ac:dyDescent="0.3">
      <c r="A4809" s="66"/>
      <c r="B4809" s="67"/>
      <c r="C4809" s="66"/>
      <c r="D4809" s="68"/>
      <c r="E4809" s="10"/>
      <c r="F4809" s="69"/>
      <c r="G4809" s="68"/>
      <c r="H4809" s="70"/>
      <c r="BA4809" s="4"/>
      <c r="BB4809" s="4"/>
    </row>
    <row r="4810" spans="1:54" x14ac:dyDescent="0.3">
      <c r="A4810" s="66"/>
      <c r="B4810" s="67"/>
      <c r="C4810" s="66"/>
      <c r="D4810" s="68"/>
      <c r="E4810" s="10"/>
      <c r="F4810" s="69"/>
      <c r="G4810" s="68"/>
      <c r="H4810" s="70"/>
      <c r="BA4810" s="4"/>
      <c r="BB4810" s="4"/>
    </row>
    <row r="4811" spans="1:54" x14ac:dyDescent="0.3">
      <c r="A4811" s="66"/>
      <c r="B4811" s="67"/>
      <c r="C4811" s="66"/>
      <c r="D4811" s="68"/>
      <c r="E4811" s="10"/>
      <c r="F4811" s="69"/>
      <c r="G4811" s="68"/>
      <c r="H4811" s="70"/>
      <c r="BA4811" s="4"/>
      <c r="BB4811" s="4"/>
    </row>
    <row r="4812" spans="1:54" x14ac:dyDescent="0.3">
      <c r="A4812" s="66"/>
      <c r="B4812" s="67"/>
      <c r="C4812" s="66"/>
      <c r="D4812" s="68"/>
      <c r="E4812" s="10"/>
      <c r="F4812" s="69"/>
      <c r="G4812" s="68"/>
      <c r="H4812" s="70"/>
      <c r="BA4812" s="4"/>
      <c r="BB4812" s="4"/>
    </row>
    <row r="4813" spans="1:54" x14ac:dyDescent="0.3">
      <c r="A4813" s="66"/>
      <c r="B4813" s="67"/>
      <c r="C4813" s="66"/>
      <c r="D4813" s="68"/>
      <c r="E4813" s="10"/>
      <c r="F4813" s="69"/>
      <c r="G4813" s="68"/>
      <c r="H4813" s="70"/>
      <c r="BA4813" s="4"/>
      <c r="BB4813" s="4"/>
    </row>
    <row r="4814" spans="1:54" x14ac:dyDescent="0.3">
      <c r="A4814" s="66"/>
      <c r="B4814" s="67"/>
      <c r="C4814" s="66"/>
      <c r="D4814" s="68"/>
      <c r="E4814" s="10"/>
      <c r="F4814" s="69"/>
      <c r="G4814" s="68"/>
      <c r="H4814" s="70"/>
      <c r="BA4814" s="4"/>
      <c r="BB4814" s="4"/>
    </row>
    <row r="4815" spans="1:54" x14ac:dyDescent="0.3">
      <c r="A4815" s="66"/>
      <c r="B4815" s="67"/>
      <c r="C4815" s="66"/>
      <c r="D4815" s="68"/>
      <c r="E4815" s="10"/>
      <c r="F4815" s="69"/>
      <c r="G4815" s="68"/>
      <c r="H4815" s="70"/>
      <c r="BA4815" s="4"/>
      <c r="BB4815" s="4"/>
    </row>
    <row r="4816" spans="1:54" x14ac:dyDescent="0.3">
      <c r="A4816" s="66"/>
      <c r="B4816" s="67"/>
      <c r="C4816" s="66"/>
      <c r="D4816" s="68"/>
      <c r="E4816" s="10"/>
      <c r="F4816" s="69"/>
      <c r="G4816" s="68"/>
      <c r="H4816" s="70"/>
      <c r="BA4816" s="4"/>
      <c r="BB4816" s="4"/>
    </row>
    <row r="4817" spans="1:54" x14ac:dyDescent="0.3">
      <c r="A4817" s="66"/>
      <c r="B4817" s="67"/>
      <c r="C4817" s="66"/>
      <c r="D4817" s="68"/>
      <c r="E4817" s="10"/>
      <c r="F4817" s="69"/>
      <c r="G4817" s="68"/>
      <c r="H4817" s="70"/>
      <c r="BA4817" s="4"/>
      <c r="BB4817" s="4"/>
    </row>
    <row r="4818" spans="1:54" x14ac:dyDescent="0.3">
      <c r="A4818" s="66"/>
      <c r="B4818" s="67"/>
      <c r="C4818" s="66"/>
      <c r="D4818" s="68"/>
      <c r="E4818" s="10"/>
      <c r="F4818" s="69"/>
      <c r="G4818" s="68"/>
      <c r="H4818" s="70"/>
      <c r="BA4818" s="4"/>
      <c r="BB4818" s="4"/>
    </row>
    <row r="4819" spans="1:54" x14ac:dyDescent="0.3">
      <c r="A4819" s="66"/>
      <c r="B4819" s="67"/>
      <c r="C4819" s="66"/>
      <c r="D4819" s="68"/>
      <c r="E4819" s="10"/>
      <c r="F4819" s="69"/>
      <c r="G4819" s="68"/>
      <c r="H4819" s="70"/>
      <c r="BA4819" s="4"/>
      <c r="BB4819" s="4"/>
    </row>
    <row r="4820" spans="1:54" x14ac:dyDescent="0.3">
      <c r="A4820" s="66"/>
      <c r="B4820" s="67"/>
      <c r="C4820" s="66"/>
      <c r="D4820" s="68"/>
      <c r="E4820" s="10"/>
      <c r="F4820" s="69"/>
      <c r="G4820" s="68"/>
      <c r="H4820" s="70"/>
      <c r="BA4820" s="4"/>
      <c r="BB4820" s="4"/>
    </row>
    <row r="4821" spans="1:54" x14ac:dyDescent="0.3">
      <c r="A4821" s="66"/>
      <c r="B4821" s="67"/>
      <c r="C4821" s="66"/>
      <c r="D4821" s="68"/>
      <c r="E4821" s="10"/>
      <c r="F4821" s="69"/>
      <c r="G4821" s="68"/>
      <c r="H4821" s="70"/>
      <c r="BA4821" s="4"/>
      <c r="BB4821" s="4"/>
    </row>
    <row r="4822" spans="1:54" x14ac:dyDescent="0.3">
      <c r="A4822" s="66"/>
      <c r="B4822" s="67"/>
      <c r="C4822" s="66"/>
      <c r="D4822" s="68"/>
      <c r="E4822" s="10"/>
      <c r="F4822" s="69"/>
      <c r="G4822" s="68"/>
      <c r="H4822" s="70"/>
      <c r="BA4822" s="4"/>
      <c r="BB4822" s="4"/>
    </row>
    <row r="4823" spans="1:54" x14ac:dyDescent="0.3">
      <c r="A4823" s="66"/>
      <c r="B4823" s="67"/>
      <c r="C4823" s="66"/>
      <c r="D4823" s="68"/>
      <c r="E4823" s="10"/>
      <c r="F4823" s="69"/>
      <c r="G4823" s="68"/>
      <c r="H4823" s="70"/>
      <c r="BA4823" s="4"/>
      <c r="BB4823" s="4"/>
    </row>
    <row r="4824" spans="1:54" x14ac:dyDescent="0.3">
      <c r="A4824" s="66"/>
      <c r="B4824" s="67"/>
      <c r="C4824" s="66"/>
      <c r="D4824" s="68"/>
      <c r="E4824" s="10"/>
      <c r="F4824" s="69"/>
      <c r="G4824" s="68"/>
      <c r="H4824" s="70"/>
      <c r="BA4824" s="4"/>
      <c r="BB4824" s="4"/>
    </row>
    <row r="4825" spans="1:54" x14ac:dyDescent="0.3">
      <c r="A4825" s="66"/>
      <c r="B4825" s="67"/>
      <c r="C4825" s="66"/>
      <c r="D4825" s="68"/>
      <c r="E4825" s="10"/>
      <c r="F4825" s="69"/>
      <c r="G4825" s="68"/>
      <c r="H4825" s="70"/>
      <c r="BA4825" s="4"/>
      <c r="BB4825" s="4"/>
    </row>
    <row r="4826" spans="1:54" x14ac:dyDescent="0.3">
      <c r="A4826" s="66"/>
      <c r="B4826" s="67"/>
      <c r="C4826" s="66"/>
      <c r="D4826" s="68"/>
      <c r="E4826" s="10"/>
      <c r="F4826" s="69"/>
      <c r="G4826" s="68"/>
      <c r="H4826" s="70"/>
      <c r="BA4826" s="4"/>
      <c r="BB4826" s="4"/>
    </row>
    <row r="4827" spans="1:54" x14ac:dyDescent="0.3">
      <c r="A4827" s="66"/>
      <c r="B4827" s="67"/>
      <c r="C4827" s="66"/>
      <c r="D4827" s="68"/>
      <c r="E4827" s="10"/>
      <c r="F4827" s="69"/>
      <c r="G4827" s="68"/>
      <c r="H4827" s="70"/>
      <c r="BA4827" s="4"/>
      <c r="BB4827" s="4"/>
    </row>
    <row r="4828" spans="1:54" x14ac:dyDescent="0.3">
      <c r="A4828" s="66"/>
      <c r="B4828" s="67"/>
      <c r="C4828" s="66"/>
      <c r="D4828" s="68"/>
      <c r="E4828" s="10"/>
      <c r="F4828" s="69"/>
      <c r="G4828" s="68"/>
      <c r="H4828" s="70"/>
      <c r="BA4828" s="4"/>
      <c r="BB4828" s="4"/>
    </row>
    <row r="4829" spans="1:54" x14ac:dyDescent="0.3">
      <c r="A4829" s="66"/>
      <c r="B4829" s="67"/>
      <c r="C4829" s="66"/>
      <c r="D4829" s="68"/>
      <c r="E4829" s="10"/>
      <c r="F4829" s="69"/>
      <c r="G4829" s="68"/>
      <c r="H4829" s="70"/>
      <c r="BA4829" s="4"/>
      <c r="BB4829" s="4"/>
    </row>
    <row r="4830" spans="1:54" x14ac:dyDescent="0.3">
      <c r="A4830" s="66"/>
      <c r="B4830" s="67"/>
      <c r="C4830" s="66"/>
      <c r="D4830" s="68"/>
      <c r="E4830" s="10"/>
      <c r="F4830" s="69"/>
      <c r="G4830" s="68"/>
      <c r="H4830" s="70"/>
      <c r="BA4830" s="4"/>
      <c r="BB4830" s="4"/>
    </row>
    <row r="4831" spans="1:54" x14ac:dyDescent="0.3">
      <c r="A4831" s="66"/>
      <c r="B4831" s="67"/>
      <c r="C4831" s="66"/>
      <c r="D4831" s="68"/>
      <c r="E4831" s="10"/>
      <c r="F4831" s="69"/>
      <c r="G4831" s="68"/>
      <c r="H4831" s="70"/>
      <c r="BA4831" s="4"/>
      <c r="BB4831" s="4"/>
    </row>
    <row r="4832" spans="1:54" x14ac:dyDescent="0.3">
      <c r="A4832" s="66"/>
      <c r="B4832" s="67"/>
      <c r="C4832" s="66"/>
      <c r="D4832" s="68"/>
      <c r="E4832" s="10"/>
      <c r="F4832" s="69"/>
      <c r="G4832" s="68"/>
      <c r="H4832" s="70"/>
      <c r="BA4832" s="4"/>
      <c r="BB4832" s="4"/>
    </row>
    <row r="4833" spans="1:54" x14ac:dyDescent="0.3">
      <c r="A4833" s="66"/>
      <c r="B4833" s="67"/>
      <c r="C4833" s="66"/>
      <c r="D4833" s="68"/>
      <c r="E4833" s="10"/>
      <c r="F4833" s="69"/>
      <c r="G4833" s="68"/>
      <c r="H4833" s="70"/>
      <c r="BA4833" s="4"/>
      <c r="BB4833" s="4"/>
    </row>
    <row r="4834" spans="1:54" x14ac:dyDescent="0.3">
      <c r="A4834" s="66"/>
      <c r="B4834" s="67"/>
      <c r="C4834" s="66"/>
      <c r="D4834" s="68"/>
      <c r="E4834" s="10"/>
      <c r="F4834" s="69"/>
      <c r="G4834" s="68"/>
      <c r="H4834" s="70"/>
      <c r="BA4834" s="4"/>
      <c r="BB4834" s="4"/>
    </row>
    <row r="4835" spans="1:54" x14ac:dyDescent="0.3">
      <c r="A4835" s="66"/>
      <c r="B4835" s="67"/>
      <c r="C4835" s="66"/>
      <c r="D4835" s="68"/>
      <c r="E4835" s="10"/>
      <c r="F4835" s="69"/>
      <c r="G4835" s="68"/>
      <c r="H4835" s="70"/>
      <c r="BA4835" s="4"/>
      <c r="BB4835" s="4"/>
    </row>
    <row r="4836" spans="1:54" x14ac:dyDescent="0.3">
      <c r="A4836" s="66"/>
      <c r="B4836" s="67"/>
      <c r="C4836" s="66"/>
      <c r="D4836" s="68"/>
      <c r="E4836" s="10"/>
      <c r="F4836" s="69"/>
      <c r="G4836" s="68"/>
      <c r="H4836" s="70"/>
      <c r="BA4836" s="4"/>
      <c r="BB4836" s="4"/>
    </row>
    <row r="4837" spans="1:54" x14ac:dyDescent="0.3">
      <c r="A4837" s="66"/>
      <c r="B4837" s="67"/>
      <c r="C4837" s="66"/>
      <c r="D4837" s="68"/>
      <c r="E4837" s="10"/>
      <c r="F4837" s="69"/>
      <c r="G4837" s="68"/>
      <c r="H4837" s="70"/>
      <c r="BA4837" s="4"/>
      <c r="BB4837" s="4"/>
    </row>
    <row r="4838" spans="1:54" x14ac:dyDescent="0.3">
      <c r="A4838" s="66"/>
      <c r="B4838" s="67"/>
      <c r="C4838" s="66"/>
      <c r="D4838" s="68"/>
      <c r="E4838" s="10"/>
      <c r="F4838" s="69"/>
      <c r="G4838" s="68"/>
      <c r="H4838" s="70"/>
      <c r="BA4838" s="4"/>
      <c r="BB4838" s="4"/>
    </row>
    <row r="4839" spans="1:54" x14ac:dyDescent="0.3">
      <c r="A4839" s="66"/>
      <c r="B4839" s="67"/>
      <c r="C4839" s="66"/>
      <c r="D4839" s="68"/>
      <c r="E4839" s="10"/>
      <c r="F4839" s="69"/>
      <c r="G4839" s="68"/>
      <c r="H4839" s="70"/>
      <c r="BA4839" s="4"/>
      <c r="BB4839" s="4"/>
    </row>
    <row r="4840" spans="1:54" x14ac:dyDescent="0.3">
      <c r="A4840" s="66"/>
      <c r="B4840" s="67"/>
      <c r="C4840" s="66"/>
      <c r="D4840" s="68"/>
      <c r="E4840" s="10"/>
      <c r="F4840" s="69"/>
      <c r="G4840" s="68"/>
      <c r="H4840" s="70"/>
      <c r="BA4840" s="4"/>
      <c r="BB4840" s="4"/>
    </row>
    <row r="4841" spans="1:54" x14ac:dyDescent="0.3">
      <c r="A4841" s="66"/>
      <c r="B4841" s="67"/>
      <c r="C4841" s="66"/>
      <c r="D4841" s="68"/>
      <c r="E4841" s="10"/>
      <c r="F4841" s="69"/>
      <c r="G4841" s="68"/>
      <c r="H4841" s="70"/>
      <c r="BA4841" s="4"/>
      <c r="BB4841" s="4"/>
    </row>
    <row r="4842" spans="1:54" x14ac:dyDescent="0.3">
      <c r="A4842" s="66"/>
      <c r="B4842" s="67"/>
      <c r="C4842" s="66"/>
      <c r="D4842" s="68"/>
      <c r="E4842" s="10"/>
      <c r="F4842" s="69"/>
      <c r="G4842" s="68"/>
      <c r="H4842" s="70"/>
      <c r="BA4842" s="4"/>
      <c r="BB4842" s="4"/>
    </row>
    <row r="4843" spans="1:54" x14ac:dyDescent="0.3">
      <c r="A4843" s="66"/>
      <c r="B4843" s="67"/>
      <c r="C4843" s="66"/>
      <c r="D4843" s="68"/>
      <c r="E4843" s="10"/>
      <c r="F4843" s="69"/>
      <c r="G4843" s="68"/>
      <c r="H4843" s="70"/>
      <c r="BA4843" s="4"/>
      <c r="BB4843" s="4"/>
    </row>
    <row r="4844" spans="1:54" x14ac:dyDescent="0.3">
      <c r="A4844" s="66"/>
      <c r="B4844" s="67"/>
      <c r="C4844" s="66"/>
      <c r="D4844" s="68"/>
      <c r="E4844" s="10"/>
      <c r="F4844" s="69"/>
      <c r="G4844" s="68"/>
      <c r="H4844" s="70"/>
      <c r="BA4844" s="4"/>
      <c r="BB4844" s="4"/>
    </row>
    <row r="4845" spans="1:54" x14ac:dyDescent="0.3">
      <c r="A4845" s="66"/>
      <c r="B4845" s="67"/>
      <c r="C4845" s="66"/>
      <c r="D4845" s="68"/>
      <c r="E4845" s="10"/>
      <c r="F4845" s="69"/>
      <c r="G4845" s="68"/>
      <c r="H4845" s="70"/>
      <c r="BA4845" s="4"/>
      <c r="BB4845" s="4"/>
    </row>
    <row r="4846" spans="1:54" x14ac:dyDescent="0.3">
      <c r="A4846" s="66"/>
      <c r="B4846" s="67"/>
      <c r="C4846" s="66"/>
      <c r="D4846" s="68"/>
      <c r="E4846" s="10"/>
      <c r="F4846" s="69"/>
      <c r="G4846" s="68"/>
      <c r="H4846" s="70"/>
      <c r="BA4846" s="4"/>
      <c r="BB4846" s="4"/>
    </row>
    <row r="4847" spans="1:54" x14ac:dyDescent="0.3">
      <c r="A4847" s="66"/>
      <c r="B4847" s="67"/>
      <c r="C4847" s="66"/>
      <c r="D4847" s="68"/>
      <c r="E4847" s="10"/>
      <c r="F4847" s="69"/>
      <c r="G4847" s="68"/>
      <c r="H4847" s="70"/>
      <c r="BA4847" s="4"/>
      <c r="BB4847" s="4"/>
    </row>
    <row r="4848" spans="1:54" x14ac:dyDescent="0.3">
      <c r="A4848" s="66"/>
      <c r="B4848" s="67"/>
      <c r="C4848" s="66"/>
      <c r="D4848" s="68"/>
      <c r="E4848" s="10"/>
      <c r="F4848" s="69"/>
      <c r="G4848" s="68"/>
      <c r="H4848" s="70"/>
      <c r="BA4848" s="4"/>
      <c r="BB4848" s="4"/>
    </row>
    <row r="4849" spans="1:54" x14ac:dyDescent="0.3">
      <c r="A4849" s="66"/>
      <c r="B4849" s="67"/>
      <c r="C4849" s="66"/>
      <c r="D4849" s="68"/>
      <c r="E4849" s="10"/>
      <c r="F4849" s="69"/>
      <c r="G4849" s="68"/>
      <c r="H4849" s="70"/>
      <c r="BA4849" s="4"/>
      <c r="BB4849" s="4"/>
    </row>
    <row r="4850" spans="1:54" x14ac:dyDescent="0.3">
      <c r="A4850" s="66"/>
      <c r="B4850" s="67"/>
      <c r="C4850" s="66"/>
      <c r="D4850" s="68"/>
      <c r="E4850" s="10"/>
      <c r="F4850" s="69"/>
      <c r="G4850" s="68"/>
      <c r="H4850" s="70"/>
      <c r="BA4850" s="4"/>
      <c r="BB4850" s="4"/>
    </row>
    <row r="4851" spans="1:54" x14ac:dyDescent="0.3">
      <c r="A4851" s="66"/>
      <c r="B4851" s="67"/>
      <c r="C4851" s="66"/>
      <c r="D4851" s="68"/>
      <c r="E4851" s="10"/>
      <c r="F4851" s="69"/>
      <c r="G4851" s="68"/>
      <c r="H4851" s="70"/>
      <c r="BA4851" s="4"/>
      <c r="BB4851" s="4"/>
    </row>
    <row r="4852" spans="1:54" x14ac:dyDescent="0.3">
      <c r="A4852" s="66"/>
      <c r="B4852" s="67"/>
      <c r="C4852" s="66"/>
      <c r="D4852" s="68"/>
      <c r="E4852" s="10"/>
      <c r="F4852" s="69"/>
      <c r="G4852" s="68"/>
      <c r="H4852" s="70"/>
      <c r="BA4852" s="4"/>
      <c r="BB4852" s="4"/>
    </row>
    <row r="4853" spans="1:54" x14ac:dyDescent="0.3">
      <c r="A4853" s="66"/>
      <c r="B4853" s="67"/>
      <c r="C4853" s="66"/>
      <c r="D4853" s="68"/>
      <c r="E4853" s="10"/>
      <c r="F4853" s="69"/>
      <c r="G4853" s="68"/>
      <c r="H4853" s="70"/>
      <c r="BA4853" s="4"/>
      <c r="BB4853" s="4"/>
    </row>
    <row r="4854" spans="1:54" x14ac:dyDescent="0.3">
      <c r="A4854" s="66"/>
      <c r="B4854" s="67"/>
      <c r="C4854" s="66"/>
      <c r="D4854" s="68"/>
      <c r="E4854" s="10"/>
      <c r="F4854" s="69"/>
      <c r="G4854" s="68"/>
      <c r="H4854" s="70"/>
      <c r="BA4854" s="4"/>
      <c r="BB4854" s="4"/>
    </row>
    <row r="4855" spans="1:54" x14ac:dyDescent="0.3">
      <c r="A4855" s="66"/>
      <c r="B4855" s="67"/>
      <c r="C4855" s="66"/>
      <c r="D4855" s="68"/>
      <c r="E4855" s="10"/>
      <c r="F4855" s="69"/>
      <c r="G4855" s="68"/>
      <c r="H4855" s="70"/>
      <c r="BA4855" s="4"/>
      <c r="BB4855" s="4"/>
    </row>
    <row r="4856" spans="1:54" x14ac:dyDescent="0.3">
      <c r="A4856" s="66"/>
      <c r="B4856" s="67"/>
      <c r="C4856" s="66"/>
      <c r="D4856" s="68"/>
      <c r="E4856" s="10"/>
      <c r="F4856" s="69"/>
      <c r="G4856" s="68"/>
      <c r="H4856" s="70"/>
      <c r="BA4856" s="4"/>
      <c r="BB4856" s="4"/>
    </row>
    <row r="4857" spans="1:54" x14ac:dyDescent="0.3">
      <c r="A4857" s="66"/>
      <c r="B4857" s="67"/>
      <c r="C4857" s="66"/>
      <c r="D4857" s="68"/>
      <c r="E4857" s="10"/>
      <c r="F4857" s="69"/>
      <c r="G4857" s="68"/>
      <c r="H4857" s="70"/>
      <c r="BA4857" s="4"/>
      <c r="BB4857" s="4"/>
    </row>
    <row r="4858" spans="1:54" x14ac:dyDescent="0.3">
      <c r="A4858" s="66"/>
      <c r="B4858" s="67"/>
      <c r="C4858" s="66"/>
      <c r="D4858" s="68"/>
      <c r="E4858" s="10"/>
      <c r="F4858" s="69"/>
      <c r="G4858" s="68"/>
      <c r="H4858" s="70"/>
      <c r="BA4858" s="4"/>
      <c r="BB4858" s="4"/>
    </row>
    <row r="4859" spans="1:54" x14ac:dyDescent="0.3">
      <c r="A4859" s="66"/>
      <c r="B4859" s="67"/>
      <c r="C4859" s="66"/>
      <c r="D4859" s="68"/>
      <c r="E4859" s="10"/>
      <c r="F4859" s="69"/>
      <c r="G4859" s="68"/>
      <c r="H4859" s="70"/>
      <c r="BA4859" s="4"/>
      <c r="BB4859" s="4"/>
    </row>
    <row r="4860" spans="1:54" x14ac:dyDescent="0.3">
      <c r="A4860" s="66"/>
      <c r="B4860" s="67"/>
      <c r="C4860" s="66"/>
      <c r="D4860" s="68"/>
      <c r="E4860" s="10"/>
      <c r="F4860" s="69"/>
      <c r="G4860" s="68"/>
      <c r="H4860" s="70"/>
      <c r="BA4860" s="4"/>
      <c r="BB4860" s="4"/>
    </row>
    <row r="4861" spans="1:54" x14ac:dyDescent="0.3">
      <c r="A4861" s="66"/>
      <c r="B4861" s="67"/>
      <c r="C4861" s="66"/>
      <c r="D4861" s="68"/>
      <c r="E4861" s="10"/>
      <c r="F4861" s="69"/>
      <c r="G4861" s="68"/>
      <c r="H4861" s="70"/>
      <c r="BA4861" s="4"/>
      <c r="BB4861" s="4"/>
    </row>
    <row r="4862" spans="1:54" x14ac:dyDescent="0.3">
      <c r="A4862" s="66"/>
      <c r="B4862" s="67"/>
      <c r="C4862" s="66"/>
      <c r="D4862" s="68"/>
      <c r="E4862" s="10"/>
      <c r="F4862" s="69"/>
      <c r="G4862" s="68"/>
      <c r="H4862" s="70"/>
      <c r="BA4862" s="4"/>
      <c r="BB4862" s="4"/>
    </row>
    <row r="4863" spans="1:54" x14ac:dyDescent="0.3">
      <c r="A4863" s="66"/>
      <c r="B4863" s="67"/>
      <c r="C4863" s="66"/>
      <c r="D4863" s="68"/>
      <c r="E4863" s="10"/>
      <c r="F4863" s="69"/>
      <c r="G4863" s="68"/>
      <c r="H4863" s="70"/>
      <c r="BA4863" s="4"/>
      <c r="BB4863" s="4"/>
    </row>
    <row r="4864" spans="1:54" x14ac:dyDescent="0.3">
      <c r="A4864" s="66"/>
      <c r="B4864" s="67"/>
      <c r="C4864" s="66"/>
      <c r="D4864" s="68"/>
      <c r="E4864" s="10"/>
      <c r="F4864" s="69"/>
      <c r="G4864" s="68"/>
      <c r="H4864" s="70"/>
      <c r="BA4864" s="4"/>
      <c r="BB4864" s="4"/>
    </row>
    <row r="4865" spans="1:54" x14ac:dyDescent="0.3">
      <c r="A4865" s="66"/>
      <c r="B4865" s="67"/>
      <c r="C4865" s="66"/>
      <c r="D4865" s="68"/>
      <c r="E4865" s="10"/>
      <c r="F4865" s="69"/>
      <c r="G4865" s="68"/>
      <c r="H4865" s="70"/>
      <c r="BA4865" s="4"/>
      <c r="BB4865" s="4"/>
    </row>
    <row r="4866" spans="1:54" x14ac:dyDescent="0.3">
      <c r="A4866" s="66"/>
      <c r="B4866" s="67"/>
      <c r="C4866" s="66"/>
      <c r="D4866" s="68"/>
      <c r="E4866" s="10"/>
      <c r="F4866" s="69"/>
      <c r="G4866" s="68"/>
      <c r="H4866" s="70"/>
      <c r="BA4866" s="4"/>
      <c r="BB4866" s="4"/>
    </row>
    <row r="4867" spans="1:54" x14ac:dyDescent="0.3">
      <c r="A4867" s="66"/>
      <c r="B4867" s="67"/>
      <c r="C4867" s="66"/>
      <c r="D4867" s="68"/>
      <c r="E4867" s="10"/>
      <c r="F4867" s="69"/>
      <c r="G4867" s="68"/>
      <c r="H4867" s="70"/>
      <c r="BA4867" s="4"/>
      <c r="BB4867" s="4"/>
    </row>
    <row r="4868" spans="1:54" x14ac:dyDescent="0.3">
      <c r="A4868" s="66"/>
      <c r="B4868" s="67"/>
      <c r="C4868" s="66"/>
      <c r="D4868" s="68"/>
      <c r="E4868" s="10"/>
      <c r="F4868" s="69"/>
      <c r="G4868" s="68"/>
      <c r="H4868" s="70"/>
      <c r="BA4868" s="4"/>
      <c r="BB4868" s="4"/>
    </row>
    <row r="4869" spans="1:54" x14ac:dyDescent="0.3">
      <c r="A4869" s="66"/>
      <c r="B4869" s="67"/>
      <c r="C4869" s="66"/>
      <c r="D4869" s="68"/>
      <c r="E4869" s="10"/>
      <c r="F4869" s="69"/>
      <c r="G4869" s="68"/>
      <c r="H4869" s="70"/>
      <c r="BA4869" s="4"/>
      <c r="BB4869" s="4"/>
    </row>
    <row r="4870" spans="1:54" x14ac:dyDescent="0.3">
      <c r="A4870" s="66"/>
      <c r="B4870" s="67"/>
      <c r="C4870" s="66"/>
      <c r="D4870" s="68"/>
      <c r="E4870" s="10"/>
      <c r="F4870" s="69"/>
      <c r="G4870" s="68"/>
      <c r="H4870" s="70"/>
      <c r="BA4870" s="4"/>
      <c r="BB4870" s="4"/>
    </row>
    <row r="4871" spans="1:54" x14ac:dyDescent="0.3">
      <c r="A4871" s="66"/>
      <c r="B4871" s="67"/>
      <c r="C4871" s="66"/>
      <c r="D4871" s="68"/>
      <c r="E4871" s="10"/>
      <c r="F4871" s="69"/>
      <c r="G4871" s="68"/>
      <c r="H4871" s="70"/>
      <c r="BA4871" s="4"/>
      <c r="BB4871" s="4"/>
    </row>
    <row r="4872" spans="1:54" x14ac:dyDescent="0.3">
      <c r="A4872" s="66"/>
      <c r="B4872" s="67"/>
      <c r="C4872" s="66"/>
      <c r="D4872" s="68"/>
      <c r="E4872" s="10"/>
      <c r="F4872" s="69"/>
      <c r="G4872" s="68"/>
      <c r="H4872" s="70"/>
      <c r="BA4872" s="4"/>
      <c r="BB4872" s="4"/>
    </row>
    <row r="4873" spans="1:54" x14ac:dyDescent="0.3">
      <c r="A4873" s="66"/>
      <c r="B4873" s="67"/>
      <c r="C4873" s="66"/>
      <c r="D4873" s="68"/>
      <c r="E4873" s="10"/>
      <c r="F4873" s="69"/>
      <c r="G4873" s="68"/>
      <c r="H4873" s="70"/>
      <c r="BA4873" s="4"/>
      <c r="BB4873" s="4"/>
    </row>
    <row r="4874" spans="1:54" x14ac:dyDescent="0.3">
      <c r="A4874" s="66"/>
      <c r="B4874" s="67"/>
      <c r="C4874" s="66"/>
      <c r="D4874" s="68"/>
      <c r="E4874" s="10"/>
      <c r="F4874" s="69"/>
      <c r="G4874" s="68"/>
      <c r="H4874" s="70"/>
      <c r="BA4874" s="4"/>
      <c r="BB4874" s="4"/>
    </row>
    <row r="4875" spans="1:54" x14ac:dyDescent="0.3">
      <c r="A4875" s="66"/>
      <c r="B4875" s="67"/>
      <c r="C4875" s="66"/>
      <c r="D4875" s="68"/>
      <c r="E4875" s="10"/>
      <c r="F4875" s="69"/>
      <c r="G4875" s="68"/>
      <c r="H4875" s="70"/>
      <c r="BA4875" s="4"/>
      <c r="BB4875" s="4"/>
    </row>
    <row r="4876" spans="1:54" x14ac:dyDescent="0.3">
      <c r="A4876" s="66"/>
      <c r="B4876" s="67"/>
      <c r="C4876" s="66"/>
      <c r="D4876" s="68"/>
      <c r="E4876" s="10"/>
      <c r="F4876" s="69"/>
      <c r="G4876" s="68"/>
      <c r="H4876" s="70"/>
      <c r="BA4876" s="4"/>
      <c r="BB4876" s="4"/>
    </row>
    <row r="4877" spans="1:54" x14ac:dyDescent="0.3">
      <c r="A4877" s="66"/>
      <c r="B4877" s="67"/>
      <c r="C4877" s="66"/>
      <c r="D4877" s="68"/>
      <c r="E4877" s="10"/>
      <c r="F4877" s="69"/>
      <c r="G4877" s="68"/>
      <c r="H4877" s="70"/>
      <c r="BA4877" s="4"/>
      <c r="BB4877" s="4"/>
    </row>
    <row r="4878" spans="1:54" x14ac:dyDescent="0.3">
      <c r="A4878" s="66"/>
      <c r="B4878" s="67"/>
      <c r="C4878" s="66"/>
      <c r="D4878" s="68"/>
      <c r="E4878" s="10"/>
      <c r="F4878" s="69"/>
      <c r="G4878" s="68"/>
      <c r="H4878" s="70"/>
      <c r="BA4878" s="4"/>
      <c r="BB4878" s="4"/>
    </row>
    <row r="4879" spans="1:54" x14ac:dyDescent="0.3">
      <c r="A4879" s="66"/>
      <c r="B4879" s="67"/>
      <c r="C4879" s="66"/>
      <c r="D4879" s="68"/>
      <c r="E4879" s="10"/>
      <c r="F4879" s="69"/>
      <c r="G4879" s="68"/>
      <c r="H4879" s="70"/>
      <c r="BA4879" s="4"/>
      <c r="BB4879" s="4"/>
    </row>
    <row r="4880" spans="1:54" x14ac:dyDescent="0.3">
      <c r="A4880" s="66"/>
      <c r="B4880" s="67"/>
      <c r="C4880" s="66"/>
      <c r="D4880" s="68"/>
      <c r="E4880" s="10"/>
      <c r="F4880" s="69"/>
      <c r="G4880" s="68"/>
      <c r="H4880" s="70"/>
      <c r="BA4880" s="4"/>
      <c r="BB4880" s="4"/>
    </row>
    <row r="4881" spans="1:54" x14ac:dyDescent="0.3">
      <c r="A4881" s="66"/>
      <c r="B4881" s="67"/>
      <c r="C4881" s="66"/>
      <c r="D4881" s="68"/>
      <c r="E4881" s="10"/>
      <c r="F4881" s="69"/>
      <c r="G4881" s="68"/>
      <c r="H4881" s="70"/>
      <c r="BA4881" s="4"/>
      <c r="BB4881" s="4"/>
    </row>
    <row r="4882" spans="1:54" x14ac:dyDescent="0.3">
      <c r="A4882" s="66"/>
      <c r="B4882" s="67"/>
      <c r="C4882" s="66"/>
      <c r="D4882" s="68"/>
      <c r="E4882" s="10"/>
      <c r="F4882" s="69"/>
      <c r="G4882" s="68"/>
      <c r="H4882" s="70"/>
      <c r="BA4882" s="4"/>
      <c r="BB4882" s="4"/>
    </row>
    <row r="4883" spans="1:54" x14ac:dyDescent="0.3">
      <c r="A4883" s="66"/>
      <c r="B4883" s="67"/>
      <c r="C4883" s="66"/>
      <c r="D4883" s="68"/>
      <c r="E4883" s="10"/>
      <c r="F4883" s="69"/>
      <c r="G4883" s="68"/>
      <c r="H4883" s="70"/>
      <c r="BA4883" s="4"/>
      <c r="BB4883" s="4"/>
    </row>
    <row r="4884" spans="1:54" x14ac:dyDescent="0.3">
      <c r="A4884" s="66"/>
      <c r="B4884" s="67"/>
      <c r="C4884" s="66"/>
      <c r="D4884" s="68"/>
      <c r="E4884" s="10"/>
      <c r="F4884" s="69"/>
      <c r="G4884" s="68"/>
      <c r="H4884" s="70"/>
      <c r="BA4884" s="4"/>
      <c r="BB4884" s="4"/>
    </row>
    <row r="4885" spans="1:54" x14ac:dyDescent="0.3">
      <c r="A4885" s="66"/>
      <c r="B4885" s="67"/>
      <c r="C4885" s="66"/>
      <c r="D4885" s="68"/>
      <c r="E4885" s="10"/>
      <c r="F4885" s="69"/>
      <c r="G4885" s="68"/>
      <c r="H4885" s="70"/>
      <c r="BA4885" s="4"/>
      <c r="BB4885" s="4"/>
    </row>
    <row r="4886" spans="1:54" x14ac:dyDescent="0.3">
      <c r="A4886" s="66"/>
      <c r="B4886" s="67"/>
      <c r="C4886" s="66"/>
      <c r="D4886" s="68"/>
      <c r="E4886" s="10"/>
      <c r="F4886" s="69"/>
      <c r="G4886" s="68"/>
      <c r="H4886" s="70"/>
      <c r="BA4886" s="4"/>
      <c r="BB4886" s="4"/>
    </row>
    <row r="4887" spans="1:54" x14ac:dyDescent="0.3">
      <c r="A4887" s="66"/>
      <c r="B4887" s="67"/>
      <c r="C4887" s="66"/>
      <c r="D4887" s="68"/>
      <c r="E4887" s="10"/>
      <c r="F4887" s="69"/>
      <c r="G4887" s="68"/>
      <c r="H4887" s="70"/>
      <c r="BA4887" s="4"/>
      <c r="BB4887" s="4"/>
    </row>
    <row r="4888" spans="1:54" x14ac:dyDescent="0.3">
      <c r="A4888" s="66"/>
      <c r="B4888" s="67"/>
      <c r="C4888" s="66"/>
      <c r="D4888" s="68"/>
      <c r="E4888" s="10"/>
      <c r="F4888" s="69"/>
      <c r="G4888" s="68"/>
      <c r="H4888" s="70"/>
      <c r="BA4888" s="4"/>
      <c r="BB4888" s="4"/>
    </row>
    <row r="4889" spans="1:54" x14ac:dyDescent="0.3">
      <c r="A4889" s="66"/>
      <c r="B4889" s="67"/>
      <c r="C4889" s="66"/>
      <c r="D4889" s="68"/>
      <c r="E4889" s="10"/>
      <c r="F4889" s="69"/>
      <c r="G4889" s="68"/>
      <c r="H4889" s="70"/>
      <c r="BA4889" s="4"/>
      <c r="BB4889" s="4"/>
    </row>
    <row r="4890" spans="1:54" x14ac:dyDescent="0.3">
      <c r="A4890" s="66"/>
      <c r="B4890" s="67"/>
      <c r="C4890" s="66"/>
      <c r="D4890" s="68"/>
      <c r="E4890" s="10"/>
      <c r="F4890" s="69"/>
      <c r="G4890" s="68"/>
      <c r="H4890" s="70"/>
      <c r="BA4890" s="4"/>
      <c r="BB4890" s="4"/>
    </row>
    <row r="4891" spans="1:54" x14ac:dyDescent="0.3">
      <c r="A4891" s="66"/>
      <c r="B4891" s="67"/>
      <c r="C4891" s="66"/>
      <c r="D4891" s="68"/>
      <c r="E4891" s="10"/>
      <c r="F4891" s="69"/>
      <c r="G4891" s="68"/>
      <c r="H4891" s="70"/>
      <c r="BA4891" s="4"/>
      <c r="BB4891" s="4"/>
    </row>
    <row r="4892" spans="1:54" x14ac:dyDescent="0.3">
      <c r="A4892" s="66"/>
      <c r="B4892" s="67"/>
      <c r="C4892" s="66"/>
      <c r="D4892" s="68"/>
      <c r="E4892" s="10"/>
      <c r="F4892" s="69"/>
      <c r="G4892" s="68"/>
      <c r="H4892" s="70"/>
      <c r="BA4892" s="4"/>
      <c r="BB4892" s="4"/>
    </row>
    <row r="4893" spans="1:54" x14ac:dyDescent="0.3">
      <c r="A4893" s="66"/>
      <c r="B4893" s="67"/>
      <c r="C4893" s="66"/>
      <c r="D4893" s="68"/>
      <c r="E4893" s="10"/>
      <c r="F4893" s="69"/>
      <c r="G4893" s="68"/>
      <c r="H4893" s="70"/>
      <c r="BA4893" s="4"/>
      <c r="BB4893" s="4"/>
    </row>
    <row r="4894" spans="1:54" x14ac:dyDescent="0.3">
      <c r="A4894" s="66"/>
      <c r="B4894" s="67"/>
      <c r="C4894" s="66"/>
      <c r="D4894" s="68"/>
      <c r="E4894" s="10"/>
      <c r="F4894" s="69"/>
      <c r="G4894" s="68"/>
      <c r="H4894" s="70"/>
      <c r="BA4894" s="4"/>
      <c r="BB4894" s="4"/>
    </row>
    <row r="4895" spans="1:54" x14ac:dyDescent="0.3">
      <c r="A4895" s="66"/>
      <c r="B4895" s="67"/>
      <c r="C4895" s="66"/>
      <c r="D4895" s="68"/>
      <c r="E4895" s="10"/>
      <c r="F4895" s="69"/>
      <c r="G4895" s="68"/>
      <c r="H4895" s="70"/>
      <c r="BA4895" s="4"/>
      <c r="BB4895" s="4"/>
    </row>
    <row r="4896" spans="1:54" x14ac:dyDescent="0.3">
      <c r="A4896" s="66"/>
      <c r="B4896" s="67"/>
      <c r="C4896" s="66"/>
      <c r="D4896" s="68"/>
      <c r="E4896" s="10"/>
      <c r="F4896" s="69"/>
      <c r="G4896" s="68"/>
      <c r="H4896" s="70"/>
      <c r="BA4896" s="4"/>
      <c r="BB4896" s="4"/>
    </row>
    <row r="4897" spans="1:54" x14ac:dyDescent="0.3">
      <c r="A4897" s="66"/>
      <c r="B4897" s="67"/>
      <c r="C4897" s="66"/>
      <c r="D4897" s="68"/>
      <c r="E4897" s="10"/>
      <c r="F4897" s="69"/>
      <c r="G4897" s="68"/>
      <c r="H4897" s="70"/>
      <c r="BA4897" s="4"/>
      <c r="BB4897" s="4"/>
    </row>
    <row r="4898" spans="1:54" x14ac:dyDescent="0.3">
      <c r="A4898" s="66"/>
      <c r="B4898" s="67"/>
      <c r="C4898" s="66"/>
      <c r="D4898" s="68"/>
      <c r="E4898" s="10"/>
      <c r="F4898" s="69"/>
      <c r="G4898" s="68"/>
      <c r="H4898" s="70"/>
      <c r="BA4898" s="4"/>
      <c r="BB4898" s="4"/>
    </row>
    <row r="4899" spans="1:54" x14ac:dyDescent="0.3">
      <c r="A4899" s="66"/>
      <c r="B4899" s="67"/>
      <c r="C4899" s="66"/>
      <c r="D4899" s="68"/>
      <c r="E4899" s="10"/>
      <c r="F4899" s="69"/>
      <c r="G4899" s="68"/>
      <c r="H4899" s="70"/>
      <c r="BA4899" s="4"/>
      <c r="BB4899" s="4"/>
    </row>
    <row r="4900" spans="1:54" x14ac:dyDescent="0.3">
      <c r="A4900" s="66"/>
      <c r="B4900" s="67"/>
      <c r="C4900" s="66"/>
      <c r="D4900" s="68"/>
      <c r="E4900" s="10"/>
      <c r="F4900" s="69"/>
      <c r="G4900" s="68"/>
      <c r="H4900" s="70"/>
      <c r="BA4900" s="4"/>
      <c r="BB4900" s="4"/>
    </row>
    <row r="4901" spans="1:54" x14ac:dyDescent="0.3">
      <c r="A4901" s="66"/>
      <c r="B4901" s="67"/>
      <c r="C4901" s="66"/>
      <c r="D4901" s="68"/>
      <c r="E4901" s="10"/>
      <c r="F4901" s="69"/>
      <c r="G4901" s="68"/>
      <c r="H4901" s="70"/>
      <c r="BA4901" s="4"/>
      <c r="BB4901" s="4"/>
    </row>
    <row r="4902" spans="1:54" x14ac:dyDescent="0.3">
      <c r="A4902" s="66"/>
      <c r="B4902" s="67"/>
      <c r="C4902" s="66"/>
      <c r="D4902" s="68"/>
      <c r="E4902" s="10"/>
      <c r="F4902" s="69"/>
      <c r="G4902" s="68"/>
      <c r="H4902" s="70"/>
      <c r="BA4902" s="4"/>
      <c r="BB4902" s="4"/>
    </row>
    <row r="4903" spans="1:54" x14ac:dyDescent="0.3">
      <c r="A4903" s="66"/>
      <c r="B4903" s="67"/>
      <c r="C4903" s="66"/>
      <c r="D4903" s="68"/>
      <c r="E4903" s="10"/>
      <c r="F4903" s="69"/>
      <c r="G4903" s="68"/>
      <c r="H4903" s="70"/>
      <c r="BA4903" s="4"/>
      <c r="BB4903" s="4"/>
    </row>
    <row r="4904" spans="1:54" x14ac:dyDescent="0.3">
      <c r="A4904" s="66"/>
      <c r="B4904" s="67"/>
      <c r="C4904" s="66"/>
      <c r="D4904" s="68"/>
      <c r="E4904" s="10"/>
      <c r="F4904" s="69"/>
      <c r="G4904" s="68"/>
      <c r="H4904" s="70"/>
      <c r="BA4904" s="4"/>
      <c r="BB4904" s="4"/>
    </row>
    <row r="4905" spans="1:54" x14ac:dyDescent="0.3">
      <c r="A4905" s="66"/>
      <c r="B4905" s="67"/>
      <c r="C4905" s="66"/>
      <c r="D4905" s="68"/>
      <c r="E4905" s="10"/>
      <c r="F4905" s="69"/>
      <c r="G4905" s="68"/>
      <c r="H4905" s="70"/>
      <c r="BA4905" s="4"/>
      <c r="BB4905" s="4"/>
    </row>
    <row r="4906" spans="1:54" x14ac:dyDescent="0.3">
      <c r="A4906" s="66"/>
      <c r="B4906" s="67"/>
      <c r="C4906" s="66"/>
      <c r="D4906" s="68"/>
      <c r="E4906" s="10"/>
      <c r="F4906" s="69"/>
      <c r="G4906" s="68"/>
      <c r="H4906" s="70"/>
      <c r="BA4906" s="4"/>
      <c r="BB4906" s="4"/>
    </row>
    <row r="4907" spans="1:54" x14ac:dyDescent="0.3">
      <c r="A4907" s="66"/>
      <c r="B4907" s="67"/>
      <c r="C4907" s="66"/>
      <c r="D4907" s="68"/>
      <c r="E4907" s="10"/>
      <c r="F4907" s="69"/>
      <c r="G4907" s="68"/>
      <c r="H4907" s="70"/>
      <c r="BA4907" s="4"/>
      <c r="BB4907" s="4"/>
    </row>
    <row r="4908" spans="1:54" x14ac:dyDescent="0.3">
      <c r="A4908" s="66"/>
      <c r="B4908" s="67"/>
      <c r="C4908" s="66"/>
      <c r="D4908" s="68"/>
      <c r="E4908" s="10"/>
      <c r="F4908" s="69"/>
      <c r="G4908" s="68"/>
      <c r="H4908" s="70"/>
      <c r="BA4908" s="4"/>
      <c r="BB4908" s="4"/>
    </row>
    <row r="4909" spans="1:54" x14ac:dyDescent="0.3">
      <c r="A4909" s="66"/>
      <c r="B4909" s="67"/>
      <c r="C4909" s="66"/>
      <c r="D4909" s="68"/>
      <c r="E4909" s="10"/>
      <c r="F4909" s="69"/>
      <c r="G4909" s="68"/>
      <c r="H4909" s="70"/>
      <c r="BA4909" s="4"/>
      <c r="BB4909" s="4"/>
    </row>
    <row r="4910" spans="1:54" x14ac:dyDescent="0.3">
      <c r="A4910" s="66"/>
      <c r="B4910" s="67"/>
      <c r="C4910" s="66"/>
      <c r="D4910" s="68"/>
      <c r="E4910" s="10"/>
      <c r="F4910" s="69"/>
      <c r="G4910" s="68"/>
      <c r="H4910" s="70"/>
      <c r="BA4910" s="4"/>
      <c r="BB4910" s="4"/>
    </row>
    <row r="4911" spans="1:54" x14ac:dyDescent="0.3">
      <c r="A4911" s="66"/>
      <c r="B4911" s="67"/>
      <c r="C4911" s="66"/>
      <c r="D4911" s="68"/>
      <c r="E4911" s="10"/>
      <c r="F4911" s="69"/>
      <c r="G4911" s="68"/>
      <c r="H4911" s="70"/>
      <c r="BA4911" s="4"/>
      <c r="BB4911" s="4"/>
    </row>
    <row r="4912" spans="1:54" x14ac:dyDescent="0.3">
      <c r="A4912" s="66"/>
      <c r="B4912" s="67"/>
      <c r="C4912" s="66"/>
      <c r="D4912" s="68"/>
      <c r="E4912" s="10"/>
      <c r="F4912" s="69"/>
      <c r="G4912" s="68"/>
      <c r="H4912" s="70"/>
      <c r="BA4912" s="4"/>
      <c r="BB4912" s="4"/>
    </row>
    <row r="4913" spans="1:54" x14ac:dyDescent="0.3">
      <c r="A4913" s="66"/>
      <c r="B4913" s="67"/>
      <c r="C4913" s="66"/>
      <c r="D4913" s="68"/>
      <c r="E4913" s="10"/>
      <c r="F4913" s="69"/>
      <c r="G4913" s="68"/>
      <c r="H4913" s="70"/>
      <c r="BA4913" s="4"/>
      <c r="BB4913" s="4"/>
    </row>
    <row r="4914" spans="1:54" x14ac:dyDescent="0.3">
      <c r="A4914" s="66"/>
      <c r="B4914" s="67"/>
      <c r="C4914" s="66"/>
      <c r="D4914" s="68"/>
      <c r="E4914" s="10"/>
      <c r="F4914" s="69"/>
      <c r="G4914" s="68"/>
      <c r="H4914" s="70"/>
      <c r="BA4914" s="4"/>
      <c r="BB4914" s="4"/>
    </row>
    <row r="4915" spans="1:54" x14ac:dyDescent="0.3">
      <c r="A4915" s="66"/>
      <c r="B4915" s="67"/>
      <c r="C4915" s="66"/>
      <c r="D4915" s="68"/>
      <c r="E4915" s="10"/>
      <c r="F4915" s="69"/>
      <c r="G4915" s="68"/>
      <c r="H4915" s="70"/>
      <c r="BA4915" s="4"/>
      <c r="BB4915" s="4"/>
    </row>
    <row r="4916" spans="1:54" x14ac:dyDescent="0.3">
      <c r="A4916" s="66"/>
      <c r="B4916" s="67"/>
      <c r="C4916" s="66"/>
      <c r="D4916" s="68"/>
      <c r="E4916" s="10"/>
      <c r="F4916" s="69"/>
      <c r="G4916" s="68"/>
      <c r="H4916" s="70"/>
      <c r="BA4916" s="4"/>
      <c r="BB4916" s="4"/>
    </row>
    <row r="4917" spans="1:54" x14ac:dyDescent="0.3">
      <c r="A4917" s="66"/>
      <c r="B4917" s="67"/>
      <c r="C4917" s="66"/>
      <c r="D4917" s="68"/>
      <c r="E4917" s="10"/>
      <c r="F4917" s="69"/>
      <c r="G4917" s="68"/>
      <c r="H4917" s="70"/>
      <c r="BA4917" s="4"/>
      <c r="BB4917" s="4"/>
    </row>
    <row r="4918" spans="1:54" x14ac:dyDescent="0.3">
      <c r="A4918" s="66"/>
      <c r="B4918" s="67"/>
      <c r="C4918" s="66"/>
      <c r="D4918" s="68"/>
      <c r="E4918" s="10"/>
      <c r="F4918" s="69"/>
      <c r="G4918" s="68"/>
      <c r="H4918" s="70"/>
      <c r="BA4918" s="4"/>
      <c r="BB4918" s="4"/>
    </row>
    <row r="4919" spans="1:54" x14ac:dyDescent="0.3">
      <c r="A4919" s="66"/>
      <c r="B4919" s="67"/>
      <c r="C4919" s="66"/>
      <c r="D4919" s="68"/>
      <c r="E4919" s="10"/>
      <c r="F4919" s="69"/>
      <c r="G4919" s="68"/>
      <c r="H4919" s="70"/>
      <c r="BA4919" s="4"/>
      <c r="BB4919" s="4"/>
    </row>
    <row r="4920" spans="1:54" x14ac:dyDescent="0.3">
      <c r="A4920" s="66"/>
      <c r="B4920" s="67"/>
      <c r="C4920" s="66"/>
      <c r="D4920" s="68"/>
      <c r="E4920" s="10"/>
      <c r="F4920" s="69"/>
      <c r="G4920" s="68"/>
      <c r="H4920" s="70"/>
      <c r="BA4920" s="4"/>
      <c r="BB4920" s="4"/>
    </row>
    <row r="4921" spans="1:54" x14ac:dyDescent="0.3">
      <c r="A4921" s="66"/>
      <c r="B4921" s="67"/>
      <c r="C4921" s="66"/>
      <c r="D4921" s="68"/>
      <c r="E4921" s="10"/>
      <c r="F4921" s="69"/>
      <c r="G4921" s="68"/>
      <c r="H4921" s="70"/>
      <c r="BA4921" s="4"/>
      <c r="BB4921" s="4"/>
    </row>
    <row r="4922" spans="1:54" x14ac:dyDescent="0.3">
      <c r="A4922" s="66"/>
      <c r="B4922" s="67"/>
      <c r="C4922" s="66"/>
      <c r="D4922" s="68"/>
      <c r="E4922" s="10"/>
      <c r="F4922" s="69"/>
      <c r="G4922" s="68"/>
      <c r="H4922" s="70"/>
      <c r="BA4922" s="4"/>
      <c r="BB4922" s="4"/>
    </row>
    <row r="4923" spans="1:54" x14ac:dyDescent="0.3">
      <c r="A4923" s="66"/>
      <c r="B4923" s="67"/>
      <c r="C4923" s="66"/>
      <c r="D4923" s="68"/>
      <c r="E4923" s="10"/>
      <c r="F4923" s="69"/>
      <c r="G4923" s="68"/>
      <c r="H4923" s="70"/>
      <c r="BA4923" s="4"/>
      <c r="BB4923" s="4"/>
    </row>
    <row r="4924" spans="1:54" x14ac:dyDescent="0.3">
      <c r="A4924" s="66"/>
      <c r="B4924" s="67"/>
      <c r="C4924" s="66"/>
      <c r="D4924" s="68"/>
      <c r="E4924" s="10"/>
      <c r="F4924" s="69"/>
      <c r="G4924" s="68"/>
      <c r="H4924" s="70"/>
      <c r="BA4924" s="4"/>
      <c r="BB4924" s="4"/>
    </row>
    <row r="4925" spans="1:54" x14ac:dyDescent="0.3">
      <c r="A4925" s="66"/>
      <c r="B4925" s="67"/>
      <c r="C4925" s="66"/>
      <c r="D4925" s="68"/>
      <c r="E4925" s="10"/>
      <c r="F4925" s="69"/>
      <c r="G4925" s="68"/>
      <c r="H4925" s="70"/>
      <c r="BA4925" s="4"/>
      <c r="BB4925" s="4"/>
    </row>
    <row r="4926" spans="1:54" x14ac:dyDescent="0.3">
      <c r="A4926" s="66"/>
      <c r="B4926" s="67"/>
      <c r="C4926" s="66"/>
      <c r="D4926" s="68"/>
      <c r="E4926" s="10"/>
      <c r="F4926" s="69"/>
      <c r="G4926" s="68"/>
      <c r="H4926" s="70"/>
      <c r="BA4926" s="4"/>
      <c r="BB4926" s="4"/>
    </row>
    <row r="4927" spans="1:54" x14ac:dyDescent="0.3">
      <c r="A4927" s="66"/>
      <c r="B4927" s="67"/>
      <c r="C4927" s="66"/>
      <c r="D4927" s="68"/>
      <c r="E4927" s="10"/>
      <c r="F4927" s="69"/>
      <c r="G4927" s="68"/>
      <c r="H4927" s="70"/>
      <c r="BA4927" s="4"/>
      <c r="BB4927" s="4"/>
    </row>
    <row r="4928" spans="1:54" x14ac:dyDescent="0.3">
      <c r="A4928" s="66"/>
      <c r="B4928" s="67"/>
      <c r="C4928" s="66"/>
      <c r="D4928" s="68"/>
      <c r="E4928" s="10"/>
      <c r="F4928" s="69"/>
      <c r="G4928" s="68"/>
      <c r="H4928" s="70"/>
      <c r="BA4928" s="4"/>
      <c r="BB4928" s="4"/>
    </row>
    <row r="4929" spans="1:54" x14ac:dyDescent="0.3">
      <c r="A4929" s="66"/>
      <c r="B4929" s="67"/>
      <c r="C4929" s="66"/>
      <c r="D4929" s="68"/>
      <c r="E4929" s="10"/>
      <c r="F4929" s="69"/>
      <c r="G4929" s="68"/>
      <c r="H4929" s="70"/>
      <c r="BA4929" s="4"/>
      <c r="BB4929" s="4"/>
    </row>
    <row r="4930" spans="1:54" x14ac:dyDescent="0.3">
      <c r="A4930" s="66"/>
      <c r="B4930" s="67"/>
      <c r="C4930" s="66"/>
      <c r="D4930" s="68"/>
      <c r="E4930" s="10"/>
      <c r="F4930" s="69"/>
      <c r="G4930" s="68"/>
      <c r="H4930" s="70"/>
      <c r="BA4930" s="4"/>
      <c r="BB4930" s="4"/>
    </row>
    <row r="4931" spans="1:54" x14ac:dyDescent="0.3">
      <c r="A4931" s="66"/>
      <c r="B4931" s="67"/>
      <c r="C4931" s="66"/>
      <c r="D4931" s="68"/>
      <c r="E4931" s="10"/>
      <c r="F4931" s="69"/>
      <c r="G4931" s="68"/>
      <c r="H4931" s="70"/>
      <c r="BA4931" s="4"/>
      <c r="BB4931" s="4"/>
    </row>
    <row r="4932" spans="1:54" x14ac:dyDescent="0.3">
      <c r="A4932" s="66"/>
      <c r="B4932" s="67"/>
      <c r="C4932" s="66"/>
      <c r="D4932" s="68"/>
      <c r="E4932" s="10"/>
      <c r="F4932" s="69"/>
      <c r="G4932" s="68"/>
      <c r="H4932" s="70"/>
      <c r="BA4932" s="4"/>
      <c r="BB4932" s="4"/>
    </row>
    <row r="4933" spans="1:54" x14ac:dyDescent="0.3">
      <c r="A4933" s="66"/>
      <c r="B4933" s="67"/>
      <c r="C4933" s="66"/>
      <c r="D4933" s="68"/>
      <c r="E4933" s="10"/>
      <c r="F4933" s="69"/>
      <c r="G4933" s="68"/>
      <c r="H4933" s="70"/>
      <c r="BA4933" s="4"/>
      <c r="BB4933" s="4"/>
    </row>
    <row r="4934" spans="1:54" x14ac:dyDescent="0.3">
      <c r="A4934" s="66"/>
      <c r="B4934" s="67"/>
      <c r="C4934" s="66"/>
      <c r="D4934" s="68"/>
      <c r="E4934" s="10"/>
      <c r="F4934" s="69"/>
      <c r="G4934" s="68"/>
      <c r="H4934" s="70"/>
      <c r="BA4934" s="4"/>
      <c r="BB4934" s="4"/>
    </row>
    <row r="4935" spans="1:54" x14ac:dyDescent="0.3">
      <c r="A4935" s="66"/>
      <c r="B4935" s="67"/>
      <c r="C4935" s="66"/>
      <c r="D4935" s="68"/>
      <c r="E4935" s="10"/>
      <c r="F4935" s="69"/>
      <c r="G4935" s="68"/>
      <c r="H4935" s="70"/>
      <c r="BA4935" s="4"/>
      <c r="BB4935" s="4"/>
    </row>
    <row r="4936" spans="1:54" x14ac:dyDescent="0.3">
      <c r="A4936" s="66"/>
      <c r="B4936" s="67"/>
      <c r="C4936" s="66"/>
      <c r="D4936" s="68"/>
      <c r="E4936" s="10"/>
      <c r="F4936" s="69"/>
      <c r="G4936" s="68"/>
      <c r="H4936" s="70"/>
      <c r="BA4936" s="4"/>
      <c r="BB4936" s="4"/>
    </row>
    <row r="4937" spans="1:54" x14ac:dyDescent="0.3">
      <c r="A4937" s="66"/>
      <c r="B4937" s="67"/>
      <c r="C4937" s="66"/>
      <c r="D4937" s="68"/>
      <c r="E4937" s="10"/>
      <c r="F4937" s="69"/>
      <c r="G4937" s="68"/>
      <c r="H4937" s="70"/>
      <c r="BA4937" s="4"/>
      <c r="BB4937" s="4"/>
    </row>
    <row r="4938" spans="1:54" x14ac:dyDescent="0.3">
      <c r="A4938" s="66"/>
      <c r="B4938" s="67"/>
      <c r="C4938" s="66"/>
      <c r="D4938" s="68"/>
      <c r="E4938" s="10"/>
      <c r="F4938" s="69"/>
      <c r="G4938" s="68"/>
      <c r="H4938" s="70"/>
      <c r="BA4938" s="4"/>
      <c r="BB4938" s="4"/>
    </row>
    <row r="4939" spans="1:54" x14ac:dyDescent="0.3">
      <c r="A4939" s="66"/>
      <c r="B4939" s="67"/>
      <c r="C4939" s="66"/>
      <c r="D4939" s="68"/>
      <c r="E4939" s="10"/>
      <c r="F4939" s="69"/>
      <c r="G4939" s="68"/>
      <c r="H4939" s="70"/>
      <c r="BA4939" s="4"/>
      <c r="BB4939" s="4"/>
    </row>
    <row r="4940" spans="1:54" x14ac:dyDescent="0.3">
      <c r="A4940" s="66"/>
      <c r="B4940" s="67"/>
      <c r="C4940" s="66"/>
      <c r="D4940" s="68"/>
      <c r="E4940" s="10"/>
      <c r="F4940" s="69"/>
      <c r="G4940" s="68"/>
      <c r="H4940" s="70"/>
      <c r="BA4940" s="4"/>
      <c r="BB4940" s="4"/>
    </row>
    <row r="4941" spans="1:54" x14ac:dyDescent="0.3">
      <c r="A4941" s="66"/>
      <c r="B4941" s="67"/>
      <c r="C4941" s="66"/>
      <c r="D4941" s="68"/>
      <c r="E4941" s="10"/>
      <c r="F4941" s="69"/>
      <c r="G4941" s="68"/>
      <c r="H4941" s="70"/>
      <c r="BA4941" s="4"/>
      <c r="BB4941" s="4"/>
    </row>
    <row r="4942" spans="1:54" x14ac:dyDescent="0.3">
      <c r="A4942" s="66"/>
      <c r="B4942" s="67"/>
      <c r="C4942" s="66"/>
      <c r="D4942" s="68"/>
      <c r="E4942" s="10"/>
      <c r="F4942" s="69"/>
      <c r="G4942" s="68"/>
      <c r="H4942" s="70"/>
      <c r="BA4942" s="4"/>
      <c r="BB4942" s="4"/>
    </row>
    <row r="4943" spans="1:54" x14ac:dyDescent="0.3">
      <c r="A4943" s="66"/>
      <c r="B4943" s="67"/>
      <c r="C4943" s="66"/>
      <c r="D4943" s="68"/>
      <c r="E4943" s="10"/>
      <c r="F4943" s="69"/>
      <c r="G4943" s="68"/>
      <c r="H4943" s="70"/>
      <c r="BA4943" s="4"/>
      <c r="BB4943" s="4"/>
    </row>
    <row r="4944" spans="1:54" x14ac:dyDescent="0.3">
      <c r="A4944" s="66"/>
      <c r="B4944" s="67"/>
      <c r="C4944" s="66"/>
      <c r="D4944" s="68"/>
      <c r="E4944" s="10"/>
      <c r="F4944" s="69"/>
      <c r="G4944" s="68"/>
      <c r="H4944" s="70"/>
      <c r="BA4944" s="4"/>
      <c r="BB4944" s="4"/>
    </row>
    <row r="4945" spans="1:54" x14ac:dyDescent="0.3">
      <c r="A4945" s="66"/>
      <c r="B4945" s="67"/>
      <c r="C4945" s="66"/>
      <c r="D4945" s="68"/>
      <c r="E4945" s="10"/>
      <c r="F4945" s="69"/>
      <c r="G4945" s="68"/>
      <c r="H4945" s="70"/>
      <c r="BA4945" s="4"/>
      <c r="BB4945" s="4"/>
    </row>
    <row r="4946" spans="1:54" x14ac:dyDescent="0.3">
      <c r="A4946" s="66"/>
      <c r="B4946" s="67"/>
      <c r="C4946" s="66"/>
      <c r="D4946" s="68"/>
      <c r="E4946" s="10"/>
      <c r="F4946" s="69"/>
      <c r="G4946" s="68"/>
      <c r="H4946" s="70"/>
      <c r="BA4946" s="4"/>
      <c r="BB4946" s="4"/>
    </row>
    <row r="4947" spans="1:54" x14ac:dyDescent="0.3">
      <c r="A4947" s="66"/>
      <c r="B4947" s="67"/>
      <c r="C4947" s="66"/>
      <c r="D4947" s="68"/>
      <c r="E4947" s="10"/>
      <c r="F4947" s="69"/>
      <c r="G4947" s="68"/>
      <c r="H4947" s="70"/>
      <c r="BA4947" s="4"/>
      <c r="BB4947" s="4"/>
    </row>
    <row r="4948" spans="1:54" x14ac:dyDescent="0.3">
      <c r="A4948" s="66"/>
      <c r="B4948" s="67"/>
      <c r="C4948" s="66"/>
      <c r="D4948" s="68"/>
      <c r="E4948" s="10"/>
      <c r="F4948" s="69"/>
      <c r="G4948" s="68"/>
      <c r="H4948" s="70"/>
      <c r="BA4948" s="4"/>
      <c r="BB4948" s="4"/>
    </row>
    <row r="4949" spans="1:54" x14ac:dyDescent="0.3">
      <c r="A4949" s="66"/>
      <c r="B4949" s="67"/>
      <c r="C4949" s="66"/>
      <c r="D4949" s="68"/>
      <c r="E4949" s="10"/>
      <c r="F4949" s="69"/>
      <c r="G4949" s="68"/>
      <c r="H4949" s="70"/>
      <c r="BA4949" s="4"/>
      <c r="BB4949" s="4"/>
    </row>
    <row r="4950" spans="1:54" x14ac:dyDescent="0.3">
      <c r="A4950" s="66"/>
      <c r="B4950" s="67"/>
      <c r="C4950" s="66"/>
      <c r="D4950" s="68"/>
      <c r="E4950" s="10"/>
      <c r="F4950" s="69"/>
      <c r="G4950" s="68"/>
      <c r="H4950" s="70"/>
      <c r="BA4950" s="4"/>
      <c r="BB4950" s="4"/>
    </row>
    <row r="4951" spans="1:54" x14ac:dyDescent="0.3">
      <c r="A4951" s="66"/>
      <c r="B4951" s="67"/>
      <c r="C4951" s="66"/>
      <c r="D4951" s="68"/>
      <c r="E4951" s="10"/>
      <c r="F4951" s="69"/>
      <c r="G4951" s="68"/>
      <c r="H4951" s="70"/>
      <c r="BA4951" s="4"/>
      <c r="BB4951" s="4"/>
    </row>
    <row r="4952" spans="1:54" x14ac:dyDescent="0.3">
      <c r="A4952" s="66"/>
      <c r="B4952" s="67"/>
      <c r="C4952" s="66"/>
      <c r="D4952" s="68"/>
      <c r="E4952" s="10"/>
      <c r="F4952" s="69"/>
      <c r="G4952" s="68"/>
      <c r="H4952" s="70"/>
      <c r="BA4952" s="4"/>
      <c r="BB4952" s="4"/>
    </row>
    <row r="4953" spans="1:54" x14ac:dyDescent="0.3">
      <c r="A4953" s="66"/>
      <c r="B4953" s="67"/>
      <c r="C4953" s="66"/>
      <c r="D4953" s="68"/>
      <c r="E4953" s="10"/>
      <c r="F4953" s="69"/>
      <c r="G4953" s="68"/>
      <c r="H4953" s="70"/>
      <c r="BA4953" s="4"/>
      <c r="BB4953" s="4"/>
    </row>
    <row r="4954" spans="1:54" x14ac:dyDescent="0.3">
      <c r="A4954" s="66"/>
      <c r="B4954" s="67"/>
      <c r="C4954" s="66"/>
      <c r="D4954" s="68"/>
      <c r="E4954" s="10"/>
      <c r="F4954" s="69"/>
      <c r="G4954" s="68"/>
      <c r="H4954" s="70"/>
      <c r="BA4954" s="4"/>
      <c r="BB4954" s="4"/>
    </row>
    <row r="4955" spans="1:54" x14ac:dyDescent="0.3">
      <c r="A4955" s="66"/>
      <c r="B4955" s="67"/>
      <c r="C4955" s="66"/>
      <c r="D4955" s="68"/>
      <c r="E4955" s="10"/>
      <c r="F4955" s="69"/>
      <c r="G4955" s="68"/>
      <c r="H4955" s="70"/>
      <c r="BA4955" s="4"/>
      <c r="BB4955" s="4"/>
    </row>
    <row r="4956" spans="1:54" x14ac:dyDescent="0.3">
      <c r="A4956" s="66"/>
      <c r="B4956" s="67"/>
      <c r="C4956" s="66"/>
      <c r="D4956" s="68"/>
      <c r="E4956" s="10"/>
      <c r="F4956" s="69"/>
      <c r="G4956" s="68"/>
      <c r="H4956" s="70"/>
      <c r="BA4956" s="4"/>
      <c r="BB4956" s="4"/>
    </row>
    <row r="4957" spans="1:54" x14ac:dyDescent="0.3">
      <c r="A4957" s="66"/>
      <c r="B4957" s="67"/>
      <c r="C4957" s="66"/>
      <c r="D4957" s="68"/>
      <c r="E4957" s="10"/>
      <c r="F4957" s="69"/>
      <c r="G4957" s="68"/>
      <c r="H4957" s="70"/>
      <c r="BA4957" s="4"/>
      <c r="BB4957" s="4"/>
    </row>
    <row r="4958" spans="1:54" x14ac:dyDescent="0.3">
      <c r="A4958" s="66"/>
      <c r="B4958" s="67"/>
      <c r="C4958" s="66"/>
      <c r="D4958" s="68"/>
      <c r="E4958" s="10"/>
      <c r="F4958" s="69"/>
      <c r="G4958" s="68"/>
      <c r="H4958" s="70"/>
      <c r="BA4958" s="4"/>
      <c r="BB4958" s="4"/>
    </row>
    <row r="4959" spans="1:54" x14ac:dyDescent="0.3">
      <c r="A4959" s="66"/>
      <c r="B4959" s="67"/>
      <c r="C4959" s="66"/>
      <c r="D4959" s="68"/>
      <c r="E4959" s="10"/>
      <c r="F4959" s="69"/>
      <c r="G4959" s="68"/>
      <c r="H4959" s="70"/>
      <c r="BA4959" s="4"/>
      <c r="BB4959" s="4"/>
    </row>
    <row r="4960" spans="1:54" x14ac:dyDescent="0.3">
      <c r="A4960" s="66"/>
      <c r="B4960" s="67"/>
      <c r="C4960" s="66"/>
      <c r="D4960" s="68"/>
      <c r="E4960" s="10"/>
      <c r="F4960" s="69"/>
      <c r="G4960" s="68"/>
      <c r="H4960" s="70"/>
      <c r="BA4960" s="4"/>
      <c r="BB4960" s="4"/>
    </row>
    <row r="4961" spans="1:54" x14ac:dyDescent="0.3">
      <c r="A4961" s="66"/>
      <c r="B4961" s="67"/>
      <c r="C4961" s="66"/>
      <c r="D4961" s="68"/>
      <c r="E4961" s="10"/>
      <c r="F4961" s="69"/>
      <c r="G4961" s="68"/>
      <c r="H4961" s="70"/>
      <c r="BA4961" s="4"/>
      <c r="BB4961" s="4"/>
    </row>
    <row r="4962" spans="1:54" x14ac:dyDescent="0.3">
      <c r="A4962" s="66"/>
      <c r="B4962" s="67"/>
      <c r="C4962" s="66"/>
      <c r="D4962" s="68"/>
      <c r="E4962" s="10"/>
      <c r="F4962" s="69"/>
      <c r="G4962" s="68"/>
      <c r="H4962" s="70"/>
      <c r="BA4962" s="4"/>
      <c r="BB4962" s="4"/>
    </row>
    <row r="4963" spans="1:54" x14ac:dyDescent="0.3">
      <c r="A4963" s="66"/>
      <c r="B4963" s="67"/>
      <c r="C4963" s="66"/>
      <c r="D4963" s="68"/>
      <c r="E4963" s="10"/>
      <c r="F4963" s="69"/>
      <c r="G4963" s="68"/>
      <c r="H4963" s="70"/>
      <c r="BA4963" s="4"/>
      <c r="BB4963" s="4"/>
    </row>
    <row r="4964" spans="1:54" x14ac:dyDescent="0.3">
      <c r="A4964" s="66"/>
      <c r="B4964" s="67"/>
      <c r="C4964" s="66"/>
      <c r="D4964" s="68"/>
      <c r="E4964" s="10"/>
      <c r="F4964" s="69"/>
      <c r="G4964" s="68"/>
      <c r="H4964" s="70"/>
      <c r="BA4964" s="4"/>
      <c r="BB4964" s="4"/>
    </row>
    <row r="4965" spans="1:54" x14ac:dyDescent="0.3">
      <c r="A4965" s="66"/>
      <c r="B4965" s="67"/>
      <c r="C4965" s="66"/>
      <c r="D4965" s="68"/>
      <c r="E4965" s="10"/>
      <c r="F4965" s="69"/>
      <c r="G4965" s="68"/>
      <c r="H4965" s="70"/>
      <c r="BA4965" s="4"/>
      <c r="BB4965" s="4"/>
    </row>
    <row r="4966" spans="1:54" x14ac:dyDescent="0.3">
      <c r="A4966" s="66"/>
      <c r="B4966" s="67"/>
      <c r="C4966" s="66"/>
      <c r="D4966" s="68"/>
      <c r="E4966" s="10"/>
      <c r="F4966" s="69"/>
      <c r="G4966" s="68"/>
      <c r="H4966" s="70"/>
      <c r="BA4966" s="4"/>
      <c r="BB4966" s="4"/>
    </row>
    <row r="4967" spans="1:54" x14ac:dyDescent="0.3">
      <c r="A4967" s="66"/>
      <c r="B4967" s="67"/>
      <c r="C4967" s="66"/>
      <c r="D4967" s="68"/>
      <c r="E4967" s="10"/>
      <c r="F4967" s="69"/>
      <c r="G4967" s="68"/>
      <c r="H4967" s="70"/>
      <c r="BA4967" s="4"/>
      <c r="BB4967" s="4"/>
    </row>
    <row r="4968" spans="1:54" x14ac:dyDescent="0.3">
      <c r="A4968" s="66"/>
      <c r="B4968" s="67"/>
      <c r="C4968" s="66"/>
      <c r="D4968" s="68"/>
      <c r="E4968" s="10"/>
      <c r="F4968" s="69"/>
      <c r="G4968" s="68"/>
      <c r="H4968" s="70"/>
      <c r="BA4968" s="4"/>
      <c r="BB4968" s="4"/>
    </row>
    <row r="4969" spans="1:54" x14ac:dyDescent="0.3">
      <c r="A4969" s="66"/>
      <c r="B4969" s="67"/>
      <c r="C4969" s="66"/>
      <c r="D4969" s="68"/>
      <c r="E4969" s="10"/>
      <c r="F4969" s="69"/>
      <c r="G4969" s="68"/>
      <c r="H4969" s="70"/>
      <c r="BA4969" s="4"/>
      <c r="BB4969" s="4"/>
    </row>
    <row r="4970" spans="1:54" x14ac:dyDescent="0.3">
      <c r="A4970" s="66"/>
      <c r="B4970" s="67"/>
      <c r="C4970" s="66"/>
      <c r="D4970" s="68"/>
      <c r="E4970" s="10"/>
      <c r="F4970" s="69"/>
      <c r="G4970" s="68"/>
      <c r="H4970" s="70"/>
      <c r="BA4970" s="4"/>
      <c r="BB4970" s="4"/>
    </row>
    <row r="4971" spans="1:54" x14ac:dyDescent="0.3">
      <c r="A4971" s="66"/>
      <c r="B4971" s="67"/>
      <c r="C4971" s="66"/>
      <c r="D4971" s="68"/>
      <c r="E4971" s="10"/>
      <c r="F4971" s="69"/>
      <c r="G4971" s="68"/>
      <c r="H4971" s="70"/>
      <c r="BA4971" s="4"/>
      <c r="BB4971" s="4"/>
    </row>
    <row r="4972" spans="1:54" x14ac:dyDescent="0.3">
      <c r="A4972" s="66"/>
      <c r="B4972" s="67"/>
      <c r="C4972" s="66"/>
      <c r="D4972" s="68"/>
      <c r="E4972" s="10"/>
      <c r="F4972" s="69"/>
      <c r="G4972" s="68"/>
      <c r="H4972" s="70"/>
      <c r="BA4972" s="4"/>
      <c r="BB4972" s="4"/>
    </row>
    <row r="4973" spans="1:54" x14ac:dyDescent="0.3">
      <c r="A4973" s="66"/>
      <c r="B4973" s="67"/>
      <c r="C4973" s="66"/>
      <c r="D4973" s="68"/>
      <c r="E4973" s="10"/>
      <c r="F4973" s="69"/>
      <c r="G4973" s="68"/>
      <c r="H4973" s="70"/>
      <c r="BA4973" s="4"/>
      <c r="BB4973" s="4"/>
    </row>
    <row r="4974" spans="1:54" x14ac:dyDescent="0.3">
      <c r="A4974" s="66"/>
      <c r="B4974" s="67"/>
      <c r="C4974" s="66"/>
      <c r="D4974" s="68"/>
      <c r="E4974" s="10"/>
      <c r="F4974" s="69"/>
      <c r="G4974" s="68"/>
      <c r="H4974" s="70"/>
      <c r="BA4974" s="4"/>
      <c r="BB4974" s="4"/>
    </row>
    <row r="4975" spans="1:54" x14ac:dyDescent="0.3">
      <c r="A4975" s="66"/>
      <c r="B4975" s="67"/>
      <c r="C4975" s="66"/>
      <c r="D4975" s="68"/>
      <c r="E4975" s="10"/>
      <c r="F4975" s="69"/>
      <c r="G4975" s="68"/>
      <c r="H4975" s="70"/>
      <c r="BA4975" s="4"/>
      <c r="BB4975" s="4"/>
    </row>
    <row r="4976" spans="1:54" x14ac:dyDescent="0.3">
      <c r="A4976" s="66"/>
      <c r="B4976" s="67"/>
      <c r="C4976" s="66"/>
      <c r="D4976" s="68"/>
      <c r="E4976" s="10"/>
      <c r="F4976" s="69"/>
      <c r="G4976" s="68"/>
      <c r="H4976" s="70"/>
      <c r="BA4976" s="4"/>
      <c r="BB4976" s="4"/>
    </row>
    <row r="4977" spans="1:54" x14ac:dyDescent="0.3">
      <c r="A4977" s="66"/>
      <c r="B4977" s="67"/>
      <c r="C4977" s="66"/>
      <c r="D4977" s="68"/>
      <c r="E4977" s="10"/>
      <c r="F4977" s="69"/>
      <c r="G4977" s="68"/>
      <c r="H4977" s="70"/>
      <c r="BA4977" s="4"/>
      <c r="BB4977" s="4"/>
    </row>
    <row r="4978" spans="1:54" x14ac:dyDescent="0.3">
      <c r="A4978" s="66"/>
      <c r="B4978" s="67"/>
      <c r="C4978" s="66"/>
      <c r="D4978" s="68"/>
      <c r="E4978" s="10"/>
      <c r="F4978" s="69"/>
      <c r="G4978" s="68"/>
      <c r="H4978" s="70"/>
      <c r="BA4978" s="4"/>
      <c r="BB4978" s="4"/>
    </row>
    <row r="4979" spans="1:54" x14ac:dyDescent="0.3">
      <c r="A4979" s="66"/>
      <c r="B4979" s="67"/>
      <c r="C4979" s="66"/>
      <c r="D4979" s="68"/>
      <c r="E4979" s="10"/>
      <c r="F4979" s="69"/>
      <c r="G4979" s="68"/>
      <c r="H4979" s="70"/>
      <c r="BA4979" s="4"/>
      <c r="BB4979" s="4"/>
    </row>
    <row r="4980" spans="1:54" x14ac:dyDescent="0.3">
      <c r="A4980" s="66"/>
      <c r="B4980" s="67"/>
      <c r="C4980" s="66"/>
      <c r="D4980" s="68"/>
      <c r="E4980" s="10"/>
      <c r="F4980" s="69"/>
      <c r="G4980" s="68"/>
      <c r="H4980" s="70"/>
      <c r="BA4980" s="4"/>
      <c r="BB4980" s="4"/>
    </row>
    <row r="4981" spans="1:54" x14ac:dyDescent="0.3">
      <c r="A4981" s="66"/>
      <c r="B4981" s="67"/>
      <c r="C4981" s="66"/>
      <c r="D4981" s="68"/>
      <c r="E4981" s="10"/>
      <c r="F4981" s="69"/>
      <c r="G4981" s="68"/>
      <c r="H4981" s="70"/>
      <c r="BA4981" s="4"/>
      <c r="BB4981" s="4"/>
    </row>
    <row r="4982" spans="1:54" x14ac:dyDescent="0.3">
      <c r="A4982" s="66"/>
      <c r="B4982" s="67"/>
      <c r="C4982" s="66"/>
      <c r="D4982" s="68"/>
      <c r="E4982" s="10"/>
      <c r="F4982" s="69"/>
      <c r="G4982" s="68"/>
      <c r="H4982" s="70"/>
      <c r="BA4982" s="4"/>
      <c r="BB4982" s="4"/>
    </row>
    <row r="4983" spans="1:54" x14ac:dyDescent="0.3">
      <c r="A4983" s="66"/>
      <c r="B4983" s="67"/>
      <c r="C4983" s="66"/>
      <c r="D4983" s="68"/>
      <c r="E4983" s="10"/>
      <c r="F4983" s="69"/>
      <c r="G4983" s="68"/>
      <c r="H4983" s="70"/>
      <c r="BA4983" s="4"/>
      <c r="BB4983" s="4"/>
    </row>
    <row r="4984" spans="1:54" x14ac:dyDescent="0.3">
      <c r="A4984" s="66"/>
      <c r="B4984" s="67"/>
      <c r="C4984" s="66"/>
      <c r="D4984" s="68"/>
      <c r="E4984" s="10"/>
      <c r="F4984" s="69"/>
      <c r="G4984" s="68"/>
      <c r="H4984" s="70"/>
      <c r="BA4984" s="4"/>
      <c r="BB4984" s="4"/>
    </row>
    <row r="4985" spans="1:54" x14ac:dyDescent="0.3">
      <c r="A4985" s="66"/>
      <c r="B4985" s="67"/>
      <c r="C4985" s="66"/>
      <c r="D4985" s="68"/>
      <c r="E4985" s="10"/>
      <c r="F4985" s="69"/>
      <c r="G4985" s="68"/>
      <c r="H4985" s="70"/>
      <c r="BA4985" s="4"/>
      <c r="BB4985" s="4"/>
    </row>
    <row r="4986" spans="1:54" x14ac:dyDescent="0.3">
      <c r="A4986" s="66"/>
      <c r="B4986" s="67"/>
      <c r="C4986" s="66"/>
      <c r="D4986" s="68"/>
      <c r="E4986" s="10"/>
      <c r="F4986" s="69"/>
      <c r="G4986" s="68"/>
      <c r="H4986" s="70"/>
      <c r="BA4986" s="4"/>
      <c r="BB4986" s="4"/>
    </row>
    <row r="4987" spans="1:54" x14ac:dyDescent="0.3">
      <c r="A4987" s="66"/>
      <c r="B4987" s="67"/>
      <c r="C4987" s="66"/>
      <c r="D4987" s="68"/>
      <c r="E4987" s="10"/>
      <c r="F4987" s="69"/>
      <c r="G4987" s="68"/>
      <c r="H4987" s="70"/>
      <c r="BA4987" s="4"/>
      <c r="BB4987" s="4"/>
    </row>
    <row r="4988" spans="1:54" x14ac:dyDescent="0.3">
      <c r="A4988" s="66"/>
      <c r="B4988" s="67"/>
      <c r="C4988" s="66"/>
      <c r="D4988" s="68"/>
      <c r="E4988" s="10"/>
      <c r="F4988" s="69"/>
      <c r="G4988" s="68"/>
      <c r="H4988" s="70"/>
      <c r="BA4988" s="4"/>
      <c r="BB4988" s="4"/>
    </row>
    <row r="4989" spans="1:54" x14ac:dyDescent="0.3">
      <c r="A4989" s="66"/>
      <c r="B4989" s="67"/>
      <c r="C4989" s="66"/>
      <c r="D4989" s="68"/>
      <c r="E4989" s="10"/>
      <c r="F4989" s="69"/>
      <c r="G4989" s="68"/>
      <c r="H4989" s="70"/>
      <c r="BA4989" s="4"/>
      <c r="BB4989" s="4"/>
    </row>
    <row r="4990" spans="1:54" x14ac:dyDescent="0.3">
      <c r="A4990" s="66"/>
      <c r="B4990" s="67"/>
      <c r="C4990" s="66"/>
      <c r="D4990" s="68"/>
      <c r="E4990" s="10"/>
      <c r="F4990" s="69"/>
      <c r="G4990" s="68"/>
      <c r="H4990" s="70"/>
      <c r="BA4990" s="4"/>
      <c r="BB4990" s="4"/>
    </row>
    <row r="4991" spans="1:54" x14ac:dyDescent="0.3">
      <c r="A4991" s="66"/>
      <c r="B4991" s="67"/>
      <c r="C4991" s="66"/>
      <c r="D4991" s="68"/>
      <c r="E4991" s="10"/>
      <c r="F4991" s="69"/>
      <c r="G4991" s="68"/>
      <c r="H4991" s="70"/>
      <c r="BA4991" s="4"/>
      <c r="BB4991" s="4"/>
    </row>
    <row r="4992" spans="1:54" x14ac:dyDescent="0.3">
      <c r="A4992" s="66"/>
      <c r="B4992" s="67"/>
      <c r="C4992" s="66"/>
      <c r="D4992" s="68"/>
      <c r="E4992" s="10"/>
      <c r="F4992" s="69"/>
      <c r="G4992" s="68"/>
      <c r="H4992" s="70"/>
      <c r="BA4992" s="4"/>
      <c r="BB4992" s="4"/>
    </row>
    <row r="4993" spans="1:54" x14ac:dyDescent="0.3">
      <c r="A4993" s="66"/>
      <c r="B4993" s="67"/>
      <c r="C4993" s="66"/>
      <c r="D4993" s="68"/>
      <c r="E4993" s="10"/>
      <c r="F4993" s="69"/>
      <c r="G4993" s="68"/>
      <c r="H4993" s="70"/>
      <c r="BA4993" s="4"/>
      <c r="BB4993" s="4"/>
    </row>
    <row r="4994" spans="1:54" x14ac:dyDescent="0.3">
      <c r="A4994" s="66"/>
      <c r="B4994" s="67"/>
      <c r="C4994" s="66"/>
      <c r="D4994" s="68"/>
      <c r="E4994" s="10"/>
      <c r="F4994" s="69"/>
      <c r="G4994" s="68"/>
      <c r="H4994" s="70"/>
      <c r="BA4994" s="4"/>
      <c r="BB4994" s="4"/>
    </row>
    <row r="4995" spans="1:54" x14ac:dyDescent="0.3">
      <c r="A4995" s="66"/>
      <c r="B4995" s="67"/>
      <c r="C4995" s="66"/>
      <c r="D4995" s="68"/>
      <c r="E4995" s="10"/>
      <c r="F4995" s="69"/>
      <c r="G4995" s="68"/>
      <c r="H4995" s="70"/>
      <c r="BA4995" s="4"/>
      <c r="BB4995" s="4"/>
    </row>
    <row r="4996" spans="1:54" x14ac:dyDescent="0.3">
      <c r="A4996" s="66"/>
      <c r="B4996" s="67"/>
      <c r="C4996" s="66"/>
      <c r="D4996" s="68"/>
      <c r="E4996" s="10"/>
      <c r="F4996" s="69"/>
      <c r="G4996" s="68"/>
      <c r="H4996" s="70"/>
      <c r="BA4996" s="4"/>
      <c r="BB4996" s="4"/>
    </row>
    <row r="4997" spans="1:54" x14ac:dyDescent="0.3">
      <c r="A4997" s="66"/>
      <c r="B4997" s="67"/>
      <c r="C4997" s="66"/>
      <c r="D4997" s="68"/>
      <c r="E4997" s="10"/>
      <c r="F4997" s="69"/>
      <c r="G4997" s="68"/>
      <c r="H4997" s="70"/>
      <c r="BA4997" s="4"/>
      <c r="BB4997" s="4"/>
    </row>
    <row r="4998" spans="1:54" x14ac:dyDescent="0.3">
      <c r="A4998" s="66"/>
      <c r="B4998" s="67"/>
      <c r="C4998" s="66"/>
      <c r="D4998" s="68"/>
      <c r="E4998" s="10"/>
      <c r="F4998" s="69"/>
      <c r="G4998" s="68"/>
      <c r="H4998" s="70"/>
      <c r="BA4998" s="4"/>
      <c r="BB4998" s="4"/>
    </row>
    <row r="4999" spans="1:54" x14ac:dyDescent="0.3">
      <c r="A4999" s="66"/>
      <c r="B4999" s="67"/>
      <c r="C4999" s="66"/>
      <c r="D4999" s="68"/>
      <c r="E4999" s="10"/>
      <c r="F4999" s="69"/>
      <c r="G4999" s="68"/>
      <c r="H4999" s="70"/>
      <c r="BA4999" s="4"/>
      <c r="BB4999" s="4"/>
    </row>
    <row r="5000" spans="1:54" x14ac:dyDescent="0.3">
      <c r="A5000" s="66"/>
      <c r="B5000" s="67"/>
      <c r="C5000" s="66"/>
      <c r="D5000" s="68"/>
      <c r="E5000" s="10"/>
      <c r="F5000" s="69"/>
      <c r="G5000" s="68"/>
      <c r="H5000" s="70"/>
      <c r="BA5000" s="4"/>
      <c r="BB5000" s="4"/>
    </row>
    <row r="5001" spans="1:54" x14ac:dyDescent="0.3">
      <c r="A5001" s="66"/>
      <c r="B5001" s="67"/>
      <c r="C5001" s="66"/>
      <c r="D5001" s="68"/>
      <c r="E5001" s="10"/>
      <c r="F5001" s="69"/>
      <c r="G5001" s="68"/>
      <c r="H5001" s="70"/>
      <c r="BA5001" s="4"/>
      <c r="BB5001" s="4"/>
    </row>
    <row r="5002" spans="1:54" x14ac:dyDescent="0.3">
      <c r="A5002" s="66"/>
      <c r="B5002" s="67"/>
      <c r="C5002" s="66"/>
      <c r="D5002" s="68"/>
      <c r="E5002" s="10"/>
      <c r="F5002" s="69"/>
      <c r="G5002" s="68"/>
      <c r="H5002" s="70"/>
      <c r="BA5002" s="4"/>
      <c r="BB5002" s="4"/>
    </row>
    <row r="5003" spans="1:54" x14ac:dyDescent="0.3">
      <c r="A5003" s="66"/>
      <c r="B5003" s="67"/>
      <c r="C5003" s="66"/>
      <c r="D5003" s="68"/>
      <c r="E5003" s="10"/>
      <c r="F5003" s="69"/>
      <c r="G5003" s="68"/>
      <c r="H5003" s="70"/>
      <c r="BA5003" s="4"/>
      <c r="BB5003" s="4"/>
    </row>
    <row r="5004" spans="1:54" x14ac:dyDescent="0.3">
      <c r="A5004" s="66"/>
      <c r="B5004" s="67"/>
      <c r="C5004" s="66"/>
      <c r="D5004" s="68"/>
      <c r="E5004" s="10"/>
      <c r="F5004" s="69"/>
      <c r="G5004" s="68"/>
      <c r="H5004" s="70"/>
      <c r="BA5004" s="4"/>
      <c r="BB5004" s="4"/>
    </row>
    <row r="5005" spans="1:54" x14ac:dyDescent="0.3">
      <c r="A5005" s="66"/>
      <c r="B5005" s="67"/>
      <c r="C5005" s="66"/>
      <c r="D5005" s="68"/>
      <c r="E5005" s="10"/>
      <c r="F5005" s="69"/>
      <c r="G5005" s="68"/>
      <c r="H5005" s="70"/>
      <c r="BA5005" s="4"/>
      <c r="BB5005" s="4"/>
    </row>
    <row r="5006" spans="1:54" x14ac:dyDescent="0.3">
      <c r="A5006" s="66"/>
      <c r="B5006" s="67"/>
      <c r="C5006" s="66"/>
      <c r="D5006" s="68"/>
      <c r="E5006" s="10"/>
      <c r="F5006" s="69"/>
      <c r="G5006" s="68"/>
      <c r="H5006" s="70"/>
      <c r="BA5006" s="4"/>
      <c r="BB5006" s="4"/>
    </row>
    <row r="5007" spans="1:54" x14ac:dyDescent="0.3">
      <c r="A5007" s="66"/>
      <c r="B5007" s="67"/>
      <c r="C5007" s="66"/>
      <c r="D5007" s="68"/>
      <c r="E5007" s="10"/>
      <c r="F5007" s="69"/>
      <c r="G5007" s="68"/>
      <c r="H5007" s="70"/>
      <c r="BA5007" s="4"/>
      <c r="BB5007" s="4"/>
    </row>
    <row r="5008" spans="1:54" x14ac:dyDescent="0.3">
      <c r="A5008" s="66"/>
      <c r="B5008" s="67"/>
      <c r="C5008" s="66"/>
      <c r="D5008" s="68"/>
      <c r="E5008" s="10"/>
      <c r="F5008" s="69"/>
      <c r="G5008" s="68"/>
      <c r="H5008" s="70"/>
      <c r="BA5008" s="4"/>
      <c r="BB5008" s="4"/>
    </row>
    <row r="5009" spans="1:54" x14ac:dyDescent="0.3">
      <c r="A5009" s="66"/>
      <c r="B5009" s="67"/>
      <c r="C5009" s="66"/>
      <c r="D5009" s="68"/>
      <c r="E5009" s="10"/>
      <c r="F5009" s="69"/>
      <c r="G5009" s="68"/>
      <c r="H5009" s="70"/>
      <c r="BA5009" s="4"/>
      <c r="BB5009" s="4"/>
    </row>
    <row r="5010" spans="1:54" x14ac:dyDescent="0.3">
      <c r="A5010" s="66"/>
      <c r="B5010" s="67"/>
      <c r="C5010" s="66"/>
      <c r="D5010" s="68"/>
      <c r="E5010" s="10"/>
      <c r="F5010" s="69"/>
      <c r="G5010" s="68"/>
      <c r="H5010" s="70"/>
      <c r="BA5010" s="4"/>
      <c r="BB5010" s="4"/>
    </row>
    <row r="5011" spans="1:54" x14ac:dyDescent="0.3">
      <c r="A5011" s="66"/>
      <c r="B5011" s="67"/>
      <c r="C5011" s="66"/>
      <c r="D5011" s="68"/>
      <c r="E5011" s="10"/>
      <c r="F5011" s="69"/>
      <c r="G5011" s="68"/>
      <c r="H5011" s="70"/>
      <c r="BA5011" s="4"/>
      <c r="BB5011" s="4"/>
    </row>
    <row r="5012" spans="1:54" x14ac:dyDescent="0.3">
      <c r="A5012" s="66"/>
      <c r="B5012" s="67"/>
      <c r="C5012" s="66"/>
      <c r="D5012" s="68"/>
      <c r="E5012" s="10"/>
      <c r="F5012" s="69"/>
      <c r="G5012" s="68"/>
      <c r="H5012" s="70"/>
      <c r="BA5012" s="4"/>
      <c r="BB5012" s="4"/>
    </row>
    <row r="5013" spans="1:54" x14ac:dyDescent="0.3">
      <c r="A5013" s="66"/>
      <c r="B5013" s="67"/>
      <c r="C5013" s="66"/>
      <c r="D5013" s="68"/>
      <c r="E5013" s="10"/>
      <c r="F5013" s="69"/>
      <c r="G5013" s="68"/>
      <c r="H5013" s="70"/>
      <c r="BA5013" s="4"/>
      <c r="BB5013" s="4"/>
    </row>
    <row r="5014" spans="1:54" x14ac:dyDescent="0.3">
      <c r="A5014" s="66"/>
      <c r="B5014" s="67"/>
      <c r="C5014" s="66"/>
      <c r="D5014" s="68"/>
      <c r="E5014" s="10"/>
      <c r="F5014" s="69"/>
      <c r="G5014" s="68"/>
      <c r="H5014" s="70"/>
      <c r="BA5014" s="4"/>
      <c r="BB5014" s="4"/>
    </row>
    <row r="5015" spans="1:54" x14ac:dyDescent="0.3">
      <c r="A5015" s="66"/>
      <c r="B5015" s="67"/>
      <c r="C5015" s="66"/>
      <c r="D5015" s="68"/>
      <c r="E5015" s="10"/>
      <c r="F5015" s="69"/>
      <c r="G5015" s="68"/>
      <c r="H5015" s="70"/>
      <c r="BA5015" s="4"/>
      <c r="BB5015" s="4"/>
    </row>
    <row r="5016" spans="1:54" x14ac:dyDescent="0.3">
      <c r="A5016" s="66"/>
      <c r="B5016" s="67"/>
      <c r="C5016" s="66"/>
      <c r="D5016" s="68"/>
      <c r="E5016" s="10"/>
      <c r="F5016" s="69"/>
      <c r="G5016" s="68"/>
      <c r="H5016" s="70"/>
      <c r="BA5016" s="4"/>
      <c r="BB5016" s="4"/>
    </row>
    <row r="5017" spans="1:54" x14ac:dyDescent="0.3">
      <c r="A5017" s="66"/>
      <c r="B5017" s="67"/>
      <c r="C5017" s="66"/>
      <c r="D5017" s="68"/>
      <c r="E5017" s="10"/>
      <c r="F5017" s="69"/>
      <c r="G5017" s="68"/>
      <c r="H5017" s="70"/>
      <c r="BA5017" s="4"/>
      <c r="BB5017" s="4"/>
    </row>
    <row r="5018" spans="1:54" x14ac:dyDescent="0.3">
      <c r="A5018" s="66"/>
      <c r="B5018" s="67"/>
      <c r="C5018" s="66"/>
      <c r="D5018" s="68"/>
      <c r="E5018" s="10"/>
      <c r="F5018" s="69"/>
      <c r="G5018" s="68"/>
      <c r="H5018" s="70"/>
      <c r="BA5018" s="4"/>
      <c r="BB5018" s="4"/>
    </row>
    <row r="5019" spans="1:54" x14ac:dyDescent="0.3">
      <c r="A5019" s="66"/>
      <c r="B5019" s="67"/>
      <c r="C5019" s="66"/>
      <c r="D5019" s="68"/>
      <c r="E5019" s="10"/>
      <c r="F5019" s="69"/>
      <c r="G5019" s="68"/>
      <c r="H5019" s="70"/>
      <c r="BA5019" s="4"/>
      <c r="BB5019" s="4"/>
    </row>
    <row r="5020" spans="1:54" x14ac:dyDescent="0.3">
      <c r="A5020" s="66"/>
      <c r="B5020" s="67"/>
      <c r="C5020" s="66"/>
      <c r="D5020" s="68"/>
      <c r="E5020" s="10"/>
      <c r="F5020" s="69"/>
      <c r="G5020" s="68"/>
      <c r="H5020" s="70"/>
      <c r="BA5020" s="4"/>
      <c r="BB5020" s="4"/>
    </row>
    <row r="5021" spans="1:54" x14ac:dyDescent="0.3">
      <c r="A5021" s="66"/>
      <c r="B5021" s="67"/>
      <c r="C5021" s="66"/>
      <c r="D5021" s="68"/>
      <c r="E5021" s="10"/>
      <c r="F5021" s="69"/>
      <c r="G5021" s="68"/>
      <c r="H5021" s="70"/>
      <c r="BA5021" s="4"/>
      <c r="BB5021" s="4"/>
    </row>
    <row r="5022" spans="1:54" x14ac:dyDescent="0.3">
      <c r="A5022" s="66"/>
      <c r="B5022" s="67"/>
      <c r="C5022" s="66"/>
      <c r="D5022" s="68"/>
      <c r="E5022" s="10"/>
      <c r="F5022" s="69"/>
      <c r="G5022" s="68"/>
      <c r="H5022" s="70"/>
      <c r="BA5022" s="4"/>
      <c r="BB5022" s="4"/>
    </row>
    <row r="5023" spans="1:54" x14ac:dyDescent="0.3">
      <c r="A5023" s="66"/>
      <c r="B5023" s="67"/>
      <c r="C5023" s="66"/>
      <c r="D5023" s="68"/>
      <c r="E5023" s="10"/>
      <c r="F5023" s="69"/>
      <c r="G5023" s="68"/>
      <c r="H5023" s="70"/>
      <c r="BA5023" s="4"/>
      <c r="BB5023" s="4"/>
    </row>
    <row r="5024" spans="1:54" x14ac:dyDescent="0.3">
      <c r="A5024" s="66"/>
      <c r="B5024" s="67"/>
      <c r="C5024" s="66"/>
      <c r="D5024" s="68"/>
      <c r="E5024" s="10"/>
      <c r="F5024" s="69"/>
      <c r="G5024" s="68"/>
      <c r="H5024" s="70"/>
      <c r="BA5024" s="4"/>
      <c r="BB5024" s="4"/>
    </row>
    <row r="5025" spans="1:54" x14ac:dyDescent="0.3">
      <c r="A5025" s="66"/>
      <c r="B5025" s="67"/>
      <c r="C5025" s="66"/>
      <c r="D5025" s="68"/>
      <c r="E5025" s="10"/>
      <c r="F5025" s="69"/>
      <c r="G5025" s="68"/>
      <c r="H5025" s="70"/>
      <c r="BA5025" s="4"/>
      <c r="BB5025" s="4"/>
    </row>
    <row r="5026" spans="1:54" x14ac:dyDescent="0.3">
      <c r="A5026" s="66"/>
      <c r="B5026" s="67"/>
      <c r="C5026" s="66"/>
      <c r="D5026" s="68"/>
      <c r="E5026" s="10"/>
      <c r="F5026" s="69"/>
      <c r="G5026" s="68"/>
      <c r="H5026" s="70"/>
      <c r="BA5026" s="4"/>
      <c r="BB5026" s="4"/>
    </row>
    <row r="5027" spans="1:54" x14ac:dyDescent="0.3">
      <c r="A5027" s="66"/>
      <c r="B5027" s="67"/>
      <c r="C5027" s="66"/>
      <c r="D5027" s="68"/>
      <c r="E5027" s="10"/>
      <c r="F5027" s="69"/>
      <c r="G5027" s="68"/>
      <c r="H5027" s="70"/>
      <c r="BA5027" s="4"/>
      <c r="BB5027" s="4"/>
    </row>
    <row r="5028" spans="1:54" x14ac:dyDescent="0.3">
      <c r="A5028" s="66"/>
      <c r="B5028" s="67"/>
      <c r="C5028" s="66"/>
      <c r="D5028" s="68"/>
      <c r="E5028" s="10"/>
      <c r="F5028" s="69"/>
      <c r="G5028" s="68"/>
      <c r="H5028" s="70"/>
      <c r="BA5028" s="4"/>
      <c r="BB5028" s="4"/>
    </row>
    <row r="5029" spans="1:54" x14ac:dyDescent="0.3">
      <c r="A5029" s="66"/>
      <c r="B5029" s="67"/>
      <c r="C5029" s="66"/>
      <c r="D5029" s="68"/>
      <c r="E5029" s="10"/>
      <c r="F5029" s="69"/>
      <c r="G5029" s="68"/>
      <c r="H5029" s="70"/>
      <c r="BA5029" s="4"/>
      <c r="BB5029" s="4"/>
    </row>
    <row r="5030" spans="1:54" x14ac:dyDescent="0.3">
      <c r="A5030" s="66"/>
      <c r="B5030" s="67"/>
      <c r="C5030" s="66"/>
      <c r="D5030" s="68"/>
      <c r="E5030" s="10"/>
      <c r="F5030" s="69"/>
      <c r="G5030" s="68"/>
      <c r="H5030" s="70"/>
      <c r="BA5030" s="4"/>
      <c r="BB5030" s="4"/>
    </row>
    <row r="5031" spans="1:54" x14ac:dyDescent="0.3">
      <c r="A5031" s="66"/>
      <c r="B5031" s="67"/>
      <c r="C5031" s="66"/>
      <c r="D5031" s="68"/>
      <c r="E5031" s="10"/>
      <c r="F5031" s="69"/>
      <c r="G5031" s="68"/>
      <c r="H5031" s="70"/>
      <c r="BA5031" s="4"/>
      <c r="BB5031" s="4"/>
    </row>
    <row r="5032" spans="1:54" x14ac:dyDescent="0.3">
      <c r="A5032" s="66"/>
      <c r="B5032" s="67"/>
      <c r="C5032" s="66"/>
      <c r="D5032" s="68"/>
      <c r="E5032" s="10"/>
      <c r="F5032" s="69"/>
      <c r="G5032" s="68"/>
      <c r="H5032" s="70"/>
      <c r="BA5032" s="4"/>
      <c r="BB5032" s="4"/>
    </row>
    <row r="5033" spans="1:54" x14ac:dyDescent="0.3">
      <c r="A5033" s="66"/>
      <c r="B5033" s="67"/>
      <c r="C5033" s="66"/>
      <c r="D5033" s="68"/>
      <c r="E5033" s="10"/>
      <c r="F5033" s="69"/>
      <c r="G5033" s="68"/>
      <c r="H5033" s="70"/>
      <c r="BA5033" s="4"/>
      <c r="BB5033" s="4"/>
    </row>
    <row r="5034" spans="1:54" x14ac:dyDescent="0.3">
      <c r="A5034" s="66"/>
      <c r="B5034" s="67"/>
      <c r="C5034" s="66"/>
      <c r="D5034" s="68"/>
      <c r="E5034" s="10"/>
      <c r="F5034" s="69"/>
      <c r="G5034" s="68"/>
      <c r="H5034" s="70"/>
      <c r="BA5034" s="4"/>
      <c r="BB5034" s="4"/>
    </row>
    <row r="5035" spans="1:54" x14ac:dyDescent="0.3">
      <c r="A5035" s="66"/>
      <c r="B5035" s="67"/>
      <c r="C5035" s="66"/>
      <c r="D5035" s="68"/>
      <c r="E5035" s="10"/>
      <c r="F5035" s="69"/>
      <c r="G5035" s="68"/>
      <c r="H5035" s="70"/>
      <c r="BA5035" s="4"/>
      <c r="BB5035" s="4"/>
    </row>
    <row r="5036" spans="1:54" x14ac:dyDescent="0.3">
      <c r="A5036" s="66"/>
      <c r="B5036" s="67"/>
      <c r="C5036" s="66"/>
      <c r="D5036" s="68"/>
      <c r="E5036" s="10"/>
      <c r="F5036" s="69"/>
      <c r="G5036" s="68"/>
      <c r="H5036" s="70"/>
      <c r="BA5036" s="4"/>
      <c r="BB5036" s="4"/>
    </row>
    <row r="5037" spans="1:54" x14ac:dyDescent="0.3">
      <c r="A5037" s="66"/>
      <c r="B5037" s="67"/>
      <c r="C5037" s="66"/>
      <c r="D5037" s="68"/>
      <c r="E5037" s="10"/>
      <c r="F5037" s="69"/>
      <c r="G5037" s="68"/>
      <c r="H5037" s="70"/>
      <c r="BA5037" s="4"/>
      <c r="BB5037" s="4"/>
    </row>
    <row r="5038" spans="1:54" x14ac:dyDescent="0.3">
      <c r="A5038" s="66"/>
      <c r="B5038" s="67"/>
      <c r="C5038" s="66"/>
      <c r="D5038" s="68"/>
      <c r="E5038" s="10"/>
      <c r="F5038" s="69"/>
      <c r="G5038" s="68"/>
      <c r="H5038" s="70"/>
      <c r="BA5038" s="4"/>
      <c r="BB5038" s="4"/>
    </row>
    <row r="5039" spans="1:54" x14ac:dyDescent="0.3">
      <c r="A5039" s="66"/>
      <c r="B5039" s="67"/>
      <c r="C5039" s="66"/>
      <c r="D5039" s="68"/>
      <c r="E5039" s="10"/>
      <c r="F5039" s="69"/>
      <c r="G5039" s="68"/>
      <c r="H5039" s="70"/>
      <c r="BA5039" s="4"/>
      <c r="BB5039" s="4"/>
    </row>
    <row r="5040" spans="1:54" x14ac:dyDescent="0.3">
      <c r="A5040" s="66"/>
      <c r="B5040" s="67"/>
      <c r="C5040" s="66"/>
      <c r="D5040" s="68"/>
      <c r="E5040" s="10"/>
      <c r="F5040" s="69"/>
      <c r="G5040" s="68"/>
      <c r="H5040" s="70"/>
      <c r="BA5040" s="4"/>
      <c r="BB5040" s="4"/>
    </row>
    <row r="5041" spans="1:54" x14ac:dyDescent="0.3">
      <c r="A5041" s="66"/>
      <c r="B5041" s="67"/>
      <c r="C5041" s="66"/>
      <c r="D5041" s="68"/>
      <c r="E5041" s="10"/>
      <c r="F5041" s="69"/>
      <c r="G5041" s="68"/>
      <c r="H5041" s="70"/>
      <c r="BA5041" s="4"/>
      <c r="BB5041" s="4"/>
    </row>
    <row r="5042" spans="1:54" x14ac:dyDescent="0.3">
      <c r="A5042" s="66"/>
      <c r="B5042" s="67"/>
      <c r="C5042" s="66"/>
      <c r="D5042" s="68"/>
      <c r="E5042" s="10"/>
      <c r="F5042" s="69"/>
      <c r="G5042" s="68"/>
      <c r="H5042" s="70"/>
      <c r="BA5042" s="4"/>
      <c r="BB5042" s="4"/>
    </row>
    <row r="5043" spans="1:54" x14ac:dyDescent="0.3">
      <c r="A5043" s="66"/>
      <c r="B5043" s="67"/>
      <c r="C5043" s="66"/>
      <c r="D5043" s="68"/>
      <c r="E5043" s="10"/>
      <c r="F5043" s="69"/>
      <c r="G5043" s="68"/>
      <c r="H5043" s="70"/>
      <c r="BA5043" s="4"/>
      <c r="BB5043" s="4"/>
    </row>
    <row r="5044" spans="1:54" x14ac:dyDescent="0.3">
      <c r="A5044" s="66"/>
      <c r="B5044" s="67"/>
      <c r="C5044" s="66"/>
      <c r="D5044" s="68"/>
      <c r="E5044" s="10"/>
      <c r="F5044" s="69"/>
      <c r="G5044" s="68"/>
      <c r="H5044" s="70"/>
      <c r="BA5044" s="4"/>
      <c r="BB5044" s="4"/>
    </row>
    <row r="5045" spans="1:54" x14ac:dyDescent="0.3">
      <c r="A5045" s="66"/>
      <c r="B5045" s="67"/>
      <c r="C5045" s="66"/>
      <c r="D5045" s="68"/>
      <c r="E5045" s="10"/>
      <c r="F5045" s="69"/>
      <c r="G5045" s="68"/>
      <c r="H5045" s="70"/>
      <c r="BA5045" s="4"/>
      <c r="BB5045" s="4"/>
    </row>
    <row r="5046" spans="1:54" x14ac:dyDescent="0.3">
      <c r="A5046" s="66"/>
      <c r="B5046" s="67"/>
      <c r="C5046" s="66"/>
      <c r="D5046" s="68"/>
      <c r="E5046" s="10"/>
      <c r="F5046" s="69"/>
      <c r="G5046" s="68"/>
      <c r="H5046" s="70"/>
      <c r="BA5046" s="4"/>
      <c r="BB5046" s="4"/>
    </row>
    <row r="5047" spans="1:54" x14ac:dyDescent="0.3">
      <c r="A5047" s="66"/>
      <c r="B5047" s="67"/>
      <c r="C5047" s="66"/>
      <c r="D5047" s="68"/>
      <c r="E5047" s="10"/>
      <c r="F5047" s="69"/>
      <c r="G5047" s="68"/>
      <c r="H5047" s="70"/>
      <c r="BA5047" s="4"/>
      <c r="BB5047" s="4"/>
    </row>
    <row r="5048" spans="1:54" x14ac:dyDescent="0.3">
      <c r="A5048" s="66"/>
      <c r="B5048" s="67"/>
      <c r="C5048" s="66"/>
      <c r="D5048" s="68"/>
      <c r="E5048" s="10"/>
      <c r="F5048" s="69"/>
      <c r="G5048" s="68"/>
      <c r="H5048" s="70"/>
      <c r="BA5048" s="4"/>
      <c r="BB5048" s="4"/>
    </row>
    <row r="5049" spans="1:54" x14ac:dyDescent="0.3">
      <c r="A5049" s="66"/>
      <c r="B5049" s="67"/>
      <c r="C5049" s="66"/>
      <c r="D5049" s="68"/>
      <c r="E5049" s="10"/>
      <c r="F5049" s="69"/>
      <c r="G5049" s="68"/>
      <c r="H5049" s="70"/>
      <c r="BA5049" s="4"/>
      <c r="BB5049" s="4"/>
    </row>
    <row r="5050" spans="1:54" x14ac:dyDescent="0.3">
      <c r="A5050" s="66"/>
      <c r="B5050" s="67"/>
      <c r="C5050" s="66"/>
      <c r="D5050" s="68"/>
      <c r="E5050" s="10"/>
      <c r="F5050" s="69"/>
      <c r="G5050" s="68"/>
      <c r="H5050" s="70"/>
      <c r="BA5050" s="4"/>
      <c r="BB5050" s="4"/>
    </row>
    <row r="5051" spans="1:54" x14ac:dyDescent="0.3">
      <c r="A5051" s="66"/>
      <c r="B5051" s="67"/>
      <c r="C5051" s="66"/>
      <c r="D5051" s="68"/>
      <c r="E5051" s="10"/>
      <c r="F5051" s="69"/>
      <c r="G5051" s="68"/>
      <c r="H5051" s="70"/>
      <c r="BA5051" s="4"/>
      <c r="BB5051" s="4"/>
    </row>
    <row r="5052" spans="1:54" x14ac:dyDescent="0.3">
      <c r="A5052" s="66"/>
      <c r="B5052" s="67"/>
      <c r="C5052" s="66"/>
      <c r="D5052" s="68"/>
      <c r="E5052" s="10"/>
      <c r="F5052" s="69"/>
      <c r="G5052" s="68"/>
      <c r="H5052" s="70"/>
      <c r="BA5052" s="4"/>
      <c r="BB5052" s="4"/>
    </row>
    <row r="5053" spans="1:54" x14ac:dyDescent="0.3">
      <c r="A5053" s="66"/>
      <c r="B5053" s="67"/>
      <c r="C5053" s="66"/>
      <c r="D5053" s="68"/>
      <c r="E5053" s="10"/>
      <c r="F5053" s="69"/>
      <c r="G5053" s="68"/>
      <c r="H5053" s="70"/>
      <c r="BA5053" s="4"/>
      <c r="BB5053" s="4"/>
    </row>
    <row r="5054" spans="1:54" x14ac:dyDescent="0.3">
      <c r="A5054" s="66"/>
      <c r="B5054" s="67"/>
      <c r="C5054" s="66"/>
      <c r="D5054" s="68"/>
      <c r="E5054" s="10"/>
      <c r="F5054" s="69"/>
      <c r="G5054" s="68"/>
      <c r="H5054" s="70"/>
      <c r="BA5054" s="4"/>
      <c r="BB5054" s="4"/>
    </row>
    <row r="5055" spans="1:54" x14ac:dyDescent="0.3">
      <c r="A5055" s="66"/>
      <c r="B5055" s="67"/>
      <c r="C5055" s="66"/>
      <c r="D5055" s="68"/>
      <c r="E5055" s="10"/>
      <c r="F5055" s="69"/>
      <c r="G5055" s="68"/>
      <c r="H5055" s="70"/>
      <c r="BA5055" s="4"/>
      <c r="BB5055" s="4"/>
    </row>
    <row r="5056" spans="1:54" x14ac:dyDescent="0.3">
      <c r="A5056" s="66"/>
      <c r="B5056" s="67"/>
      <c r="C5056" s="66"/>
      <c r="D5056" s="68"/>
      <c r="E5056" s="10"/>
      <c r="F5056" s="69"/>
      <c r="G5056" s="68"/>
      <c r="H5056" s="70"/>
      <c r="BA5056" s="4"/>
      <c r="BB5056" s="4"/>
    </row>
    <row r="5057" spans="1:54" x14ac:dyDescent="0.3">
      <c r="A5057" s="66"/>
      <c r="B5057" s="67"/>
      <c r="C5057" s="66"/>
      <c r="D5057" s="68"/>
      <c r="E5057" s="10"/>
      <c r="F5057" s="69"/>
      <c r="G5057" s="68"/>
      <c r="H5057" s="70"/>
      <c r="BA5057" s="4"/>
      <c r="BB5057" s="4"/>
    </row>
    <row r="5058" spans="1:54" x14ac:dyDescent="0.3">
      <c r="A5058" s="66"/>
      <c r="B5058" s="67"/>
      <c r="C5058" s="66"/>
      <c r="D5058" s="68"/>
      <c r="E5058" s="10"/>
      <c r="F5058" s="69"/>
      <c r="G5058" s="68"/>
      <c r="H5058" s="70"/>
      <c r="BA5058" s="4"/>
      <c r="BB5058" s="4"/>
    </row>
    <row r="5059" spans="1:54" x14ac:dyDescent="0.3">
      <c r="A5059" s="66"/>
      <c r="B5059" s="67"/>
      <c r="C5059" s="66"/>
      <c r="D5059" s="68"/>
      <c r="E5059" s="10"/>
      <c r="F5059" s="69"/>
      <c r="G5059" s="68"/>
      <c r="H5059" s="70"/>
      <c r="BA5059" s="4"/>
      <c r="BB5059" s="4"/>
    </row>
    <row r="5060" spans="1:54" x14ac:dyDescent="0.3">
      <c r="A5060" s="66"/>
      <c r="B5060" s="67"/>
      <c r="C5060" s="66"/>
      <c r="D5060" s="68"/>
      <c r="E5060" s="10"/>
      <c r="F5060" s="69"/>
      <c r="G5060" s="68"/>
      <c r="H5060" s="70"/>
      <c r="BA5060" s="4"/>
      <c r="BB5060" s="4"/>
    </row>
    <row r="5061" spans="1:54" x14ac:dyDescent="0.3">
      <c r="A5061" s="66"/>
      <c r="B5061" s="67"/>
      <c r="C5061" s="66"/>
      <c r="D5061" s="68"/>
      <c r="E5061" s="10"/>
      <c r="F5061" s="69"/>
      <c r="G5061" s="68"/>
      <c r="H5061" s="70"/>
      <c r="BA5061" s="4"/>
      <c r="BB5061" s="4"/>
    </row>
    <row r="5062" spans="1:54" x14ac:dyDescent="0.3">
      <c r="A5062" s="66"/>
      <c r="B5062" s="67"/>
      <c r="C5062" s="66"/>
      <c r="D5062" s="68"/>
      <c r="E5062" s="10"/>
      <c r="F5062" s="69"/>
      <c r="G5062" s="68"/>
      <c r="H5062" s="70"/>
      <c r="BA5062" s="4"/>
      <c r="BB5062" s="4"/>
    </row>
    <row r="5063" spans="1:54" x14ac:dyDescent="0.3">
      <c r="A5063" s="66"/>
      <c r="B5063" s="67"/>
      <c r="C5063" s="66"/>
      <c r="D5063" s="68"/>
      <c r="E5063" s="10"/>
      <c r="F5063" s="69"/>
      <c r="G5063" s="68"/>
      <c r="H5063" s="70"/>
      <c r="BA5063" s="4"/>
      <c r="BB5063" s="4"/>
    </row>
    <row r="5064" spans="1:54" x14ac:dyDescent="0.3">
      <c r="A5064" s="66"/>
      <c r="B5064" s="67"/>
      <c r="C5064" s="66"/>
      <c r="D5064" s="68"/>
      <c r="E5064" s="10"/>
      <c r="F5064" s="69"/>
      <c r="G5064" s="68"/>
      <c r="H5064" s="70"/>
      <c r="BA5064" s="4"/>
      <c r="BB5064" s="4"/>
    </row>
    <row r="5065" spans="1:54" x14ac:dyDescent="0.3">
      <c r="A5065" s="66"/>
      <c r="B5065" s="67"/>
      <c r="C5065" s="66"/>
      <c r="D5065" s="68"/>
      <c r="E5065" s="10"/>
      <c r="F5065" s="69"/>
      <c r="G5065" s="68"/>
      <c r="H5065" s="70"/>
      <c r="BA5065" s="4"/>
      <c r="BB5065" s="4"/>
    </row>
    <row r="5066" spans="1:54" x14ac:dyDescent="0.3">
      <c r="A5066" s="66"/>
      <c r="B5066" s="67"/>
      <c r="C5066" s="66"/>
      <c r="D5066" s="68"/>
      <c r="E5066" s="10"/>
      <c r="F5066" s="69"/>
      <c r="G5066" s="68"/>
      <c r="H5066" s="70"/>
      <c r="BA5066" s="4"/>
      <c r="BB5066" s="4"/>
    </row>
    <row r="5067" spans="1:54" x14ac:dyDescent="0.3">
      <c r="A5067" s="66"/>
      <c r="B5067" s="67"/>
      <c r="C5067" s="66"/>
      <c r="D5067" s="68"/>
      <c r="E5067" s="10"/>
      <c r="F5067" s="69"/>
      <c r="G5067" s="68"/>
      <c r="H5067" s="70"/>
      <c r="BA5067" s="4"/>
      <c r="BB5067" s="4"/>
    </row>
    <row r="5068" spans="1:54" x14ac:dyDescent="0.3">
      <c r="A5068" s="66"/>
      <c r="B5068" s="67"/>
      <c r="C5068" s="66"/>
      <c r="D5068" s="68"/>
      <c r="E5068" s="10"/>
      <c r="F5068" s="69"/>
      <c r="G5068" s="68"/>
      <c r="H5068" s="70"/>
      <c r="BA5068" s="4"/>
      <c r="BB5068" s="4"/>
    </row>
    <row r="5069" spans="1:54" x14ac:dyDescent="0.3">
      <c r="A5069" s="66"/>
      <c r="B5069" s="67"/>
      <c r="C5069" s="66"/>
      <c r="D5069" s="68"/>
      <c r="E5069" s="10"/>
      <c r="F5069" s="69"/>
      <c r="G5069" s="68"/>
      <c r="H5069" s="70"/>
      <c r="BA5069" s="4"/>
      <c r="BB5069" s="4"/>
    </row>
    <row r="5070" spans="1:54" x14ac:dyDescent="0.3">
      <c r="A5070" s="66"/>
      <c r="B5070" s="67"/>
      <c r="C5070" s="66"/>
      <c r="D5070" s="68"/>
      <c r="E5070" s="10"/>
      <c r="F5070" s="69"/>
      <c r="G5070" s="68"/>
      <c r="H5070" s="70"/>
      <c r="BA5070" s="4"/>
      <c r="BB5070" s="4"/>
    </row>
    <row r="5071" spans="1:54" x14ac:dyDescent="0.3">
      <c r="A5071" s="66"/>
      <c r="B5071" s="67"/>
      <c r="C5071" s="66"/>
      <c r="D5071" s="68"/>
      <c r="E5071" s="10"/>
      <c r="F5071" s="69"/>
      <c r="G5071" s="68"/>
      <c r="H5071" s="70"/>
      <c r="BA5071" s="4"/>
      <c r="BB5071" s="4"/>
    </row>
    <row r="5072" spans="1:54" x14ac:dyDescent="0.3">
      <c r="A5072" s="66"/>
      <c r="B5072" s="67"/>
      <c r="C5072" s="66"/>
      <c r="D5072" s="68"/>
      <c r="E5072" s="10"/>
      <c r="F5072" s="69"/>
      <c r="G5072" s="68"/>
      <c r="H5072" s="70"/>
      <c r="BA5072" s="4"/>
      <c r="BB5072" s="4"/>
    </row>
    <row r="5073" spans="1:54" x14ac:dyDescent="0.3">
      <c r="A5073" s="66"/>
      <c r="B5073" s="67"/>
      <c r="C5073" s="66"/>
      <c r="D5073" s="68"/>
      <c r="E5073" s="10"/>
      <c r="F5073" s="69"/>
      <c r="G5073" s="68"/>
      <c r="H5073" s="70"/>
      <c r="BA5073" s="4"/>
      <c r="BB5073" s="4"/>
    </row>
    <row r="5074" spans="1:54" x14ac:dyDescent="0.3">
      <c r="A5074" s="66"/>
      <c r="B5074" s="67"/>
      <c r="C5074" s="66"/>
      <c r="D5074" s="68"/>
      <c r="E5074" s="10"/>
      <c r="F5074" s="69"/>
      <c r="G5074" s="68"/>
      <c r="H5074" s="70"/>
      <c r="BA5074" s="4"/>
      <c r="BB5074" s="4"/>
    </row>
    <row r="5075" spans="1:54" x14ac:dyDescent="0.3">
      <c r="A5075" s="66"/>
      <c r="B5075" s="67"/>
      <c r="C5075" s="66"/>
      <c r="D5075" s="68"/>
      <c r="E5075" s="10"/>
      <c r="F5075" s="69"/>
      <c r="G5075" s="68"/>
      <c r="H5075" s="70"/>
      <c r="BA5075" s="4"/>
      <c r="BB5075" s="4"/>
    </row>
    <row r="5076" spans="1:54" x14ac:dyDescent="0.3">
      <c r="A5076" s="66"/>
      <c r="B5076" s="67"/>
      <c r="C5076" s="66"/>
      <c r="D5076" s="68"/>
      <c r="E5076" s="10"/>
      <c r="F5076" s="69"/>
      <c r="G5076" s="68"/>
      <c r="H5076" s="70"/>
      <c r="BA5076" s="4"/>
      <c r="BB5076" s="4"/>
    </row>
    <row r="5077" spans="1:54" x14ac:dyDescent="0.3">
      <c r="A5077" s="66"/>
      <c r="B5077" s="67"/>
      <c r="C5077" s="66"/>
      <c r="D5077" s="68"/>
      <c r="E5077" s="10"/>
      <c r="F5077" s="69"/>
      <c r="G5077" s="68"/>
      <c r="H5077" s="70"/>
      <c r="BA5077" s="4"/>
      <c r="BB5077" s="4"/>
    </row>
    <row r="5078" spans="1:54" x14ac:dyDescent="0.3">
      <c r="A5078" s="66"/>
      <c r="B5078" s="67"/>
      <c r="C5078" s="66"/>
      <c r="D5078" s="68"/>
      <c r="E5078" s="10"/>
      <c r="F5078" s="69"/>
      <c r="G5078" s="68"/>
      <c r="H5078" s="70"/>
      <c r="BA5078" s="4"/>
      <c r="BB5078" s="4"/>
    </row>
    <row r="5079" spans="1:54" x14ac:dyDescent="0.3">
      <c r="A5079" s="66"/>
      <c r="B5079" s="67"/>
      <c r="C5079" s="66"/>
      <c r="D5079" s="68"/>
      <c r="E5079" s="10"/>
      <c r="F5079" s="69"/>
      <c r="G5079" s="68"/>
      <c r="H5079" s="70"/>
      <c r="BA5079" s="4"/>
      <c r="BB5079" s="4"/>
    </row>
    <row r="5080" spans="1:54" x14ac:dyDescent="0.3">
      <c r="A5080" s="66"/>
      <c r="B5080" s="67"/>
      <c r="C5080" s="66"/>
      <c r="D5080" s="68"/>
      <c r="E5080" s="10"/>
      <c r="F5080" s="69"/>
      <c r="G5080" s="68"/>
      <c r="H5080" s="70"/>
      <c r="BA5080" s="4"/>
      <c r="BB5080" s="4"/>
    </row>
    <row r="5081" spans="1:54" x14ac:dyDescent="0.3">
      <c r="A5081" s="66"/>
      <c r="B5081" s="67"/>
      <c r="C5081" s="66"/>
      <c r="D5081" s="68"/>
      <c r="E5081" s="10"/>
      <c r="F5081" s="69"/>
      <c r="G5081" s="68"/>
      <c r="H5081" s="70"/>
      <c r="BA5081" s="4"/>
      <c r="BB5081" s="4"/>
    </row>
    <row r="5082" spans="1:54" x14ac:dyDescent="0.3">
      <c r="A5082" s="66"/>
      <c r="B5082" s="67"/>
      <c r="C5082" s="66"/>
      <c r="D5082" s="68"/>
      <c r="E5082" s="10"/>
      <c r="F5082" s="69"/>
      <c r="G5082" s="68"/>
      <c r="H5082" s="70"/>
      <c r="BA5082" s="4"/>
      <c r="BB5082" s="4"/>
    </row>
    <row r="5083" spans="1:54" x14ac:dyDescent="0.3">
      <c r="A5083" s="66"/>
      <c r="B5083" s="67"/>
      <c r="C5083" s="66"/>
      <c r="D5083" s="68"/>
      <c r="E5083" s="10"/>
      <c r="F5083" s="69"/>
      <c r="G5083" s="68"/>
      <c r="H5083" s="70"/>
      <c r="BA5083" s="4"/>
      <c r="BB5083" s="4"/>
    </row>
    <row r="5084" spans="1:54" x14ac:dyDescent="0.3">
      <c r="A5084" s="66"/>
      <c r="B5084" s="67"/>
      <c r="C5084" s="66"/>
      <c r="D5084" s="68"/>
      <c r="E5084" s="10"/>
      <c r="F5084" s="69"/>
      <c r="G5084" s="68"/>
      <c r="H5084" s="70"/>
      <c r="BA5084" s="4"/>
      <c r="BB5084" s="4"/>
    </row>
    <row r="5085" spans="1:54" x14ac:dyDescent="0.3">
      <c r="A5085" s="66"/>
      <c r="B5085" s="67"/>
      <c r="C5085" s="66"/>
      <c r="D5085" s="68"/>
      <c r="E5085" s="10"/>
      <c r="F5085" s="69"/>
      <c r="G5085" s="68"/>
      <c r="H5085" s="70"/>
      <c r="BA5085" s="4"/>
      <c r="BB5085" s="4"/>
    </row>
    <row r="5086" spans="1:54" x14ac:dyDescent="0.3">
      <c r="A5086" s="66"/>
      <c r="B5086" s="67"/>
      <c r="C5086" s="66"/>
      <c r="D5086" s="68"/>
      <c r="E5086" s="10"/>
      <c r="F5086" s="69"/>
      <c r="G5086" s="68"/>
      <c r="H5086" s="70"/>
      <c r="BA5086" s="4"/>
      <c r="BB5086" s="4"/>
    </row>
    <row r="5087" spans="1:54" x14ac:dyDescent="0.3">
      <c r="A5087" s="66"/>
      <c r="B5087" s="67"/>
      <c r="C5087" s="66"/>
      <c r="D5087" s="68"/>
      <c r="E5087" s="10"/>
      <c r="F5087" s="69"/>
      <c r="G5087" s="68"/>
      <c r="H5087" s="70"/>
      <c r="BA5087" s="4"/>
      <c r="BB5087" s="4"/>
    </row>
    <row r="5088" spans="1:54" x14ac:dyDescent="0.3">
      <c r="A5088" s="66"/>
      <c r="B5088" s="67"/>
      <c r="C5088" s="66"/>
      <c r="D5088" s="68"/>
      <c r="E5088" s="10"/>
      <c r="F5088" s="69"/>
      <c r="G5088" s="68"/>
      <c r="H5088" s="70"/>
      <c r="BA5088" s="4"/>
      <c r="BB5088" s="4"/>
    </row>
    <row r="5089" spans="1:54" x14ac:dyDescent="0.3">
      <c r="A5089" s="66"/>
      <c r="B5089" s="67"/>
      <c r="C5089" s="66"/>
      <c r="D5089" s="68"/>
      <c r="E5089" s="10"/>
      <c r="F5089" s="69"/>
      <c r="G5089" s="68"/>
      <c r="H5089" s="70"/>
      <c r="BA5089" s="4"/>
      <c r="BB5089" s="4"/>
    </row>
    <row r="5090" spans="1:54" x14ac:dyDescent="0.3">
      <c r="A5090" s="66"/>
      <c r="B5090" s="67"/>
      <c r="C5090" s="66"/>
      <c r="D5090" s="68"/>
      <c r="E5090" s="10"/>
      <c r="F5090" s="69"/>
      <c r="G5090" s="68"/>
      <c r="H5090" s="70"/>
      <c r="BA5090" s="4"/>
      <c r="BB5090" s="4"/>
    </row>
    <row r="5091" spans="1:54" x14ac:dyDescent="0.3">
      <c r="A5091" s="66"/>
      <c r="B5091" s="67"/>
      <c r="C5091" s="66"/>
      <c r="D5091" s="68"/>
      <c r="E5091" s="10"/>
      <c r="F5091" s="69"/>
      <c r="G5091" s="68"/>
      <c r="H5091" s="70"/>
      <c r="BA5091" s="4"/>
      <c r="BB5091" s="4"/>
    </row>
    <row r="5092" spans="1:54" x14ac:dyDescent="0.3">
      <c r="A5092" s="66"/>
      <c r="B5092" s="67"/>
      <c r="C5092" s="66"/>
      <c r="D5092" s="68"/>
      <c r="E5092" s="10"/>
      <c r="F5092" s="69"/>
      <c r="G5092" s="68"/>
      <c r="H5092" s="70"/>
      <c r="BA5092" s="4"/>
      <c r="BB5092" s="4"/>
    </row>
    <row r="5093" spans="1:54" x14ac:dyDescent="0.3">
      <c r="A5093" s="66"/>
      <c r="B5093" s="67"/>
      <c r="C5093" s="66"/>
      <c r="D5093" s="68"/>
      <c r="E5093" s="10"/>
      <c r="F5093" s="69"/>
      <c r="G5093" s="68"/>
      <c r="H5093" s="70"/>
      <c r="BA5093" s="4"/>
      <c r="BB5093" s="4"/>
    </row>
    <row r="5094" spans="1:54" x14ac:dyDescent="0.3">
      <c r="A5094" s="66"/>
      <c r="B5094" s="67"/>
      <c r="C5094" s="66"/>
      <c r="D5094" s="68"/>
      <c r="E5094" s="10"/>
      <c r="F5094" s="69"/>
      <c r="G5094" s="68"/>
      <c r="H5094" s="70"/>
      <c r="BA5094" s="4"/>
      <c r="BB5094" s="4"/>
    </row>
    <row r="5095" spans="1:54" x14ac:dyDescent="0.3">
      <c r="A5095" s="66"/>
      <c r="B5095" s="67"/>
      <c r="C5095" s="66"/>
      <c r="D5095" s="68"/>
      <c r="E5095" s="10"/>
      <c r="F5095" s="69"/>
      <c r="G5095" s="68"/>
      <c r="H5095" s="70"/>
      <c r="BA5095" s="4"/>
      <c r="BB5095" s="4"/>
    </row>
    <row r="5096" spans="1:54" x14ac:dyDescent="0.3">
      <c r="A5096" s="66"/>
      <c r="B5096" s="67"/>
      <c r="C5096" s="66"/>
      <c r="D5096" s="68"/>
      <c r="E5096" s="10"/>
      <c r="F5096" s="69"/>
      <c r="G5096" s="68"/>
      <c r="H5096" s="70"/>
      <c r="BA5096" s="4"/>
      <c r="BB5096" s="4"/>
    </row>
    <row r="5097" spans="1:54" x14ac:dyDescent="0.3">
      <c r="A5097" s="66"/>
      <c r="B5097" s="67"/>
      <c r="C5097" s="66"/>
      <c r="D5097" s="68"/>
      <c r="E5097" s="10"/>
      <c r="F5097" s="69"/>
      <c r="G5097" s="68"/>
      <c r="H5097" s="70"/>
      <c r="BA5097" s="4"/>
      <c r="BB5097" s="4"/>
    </row>
    <row r="5098" spans="1:54" x14ac:dyDescent="0.3">
      <c r="A5098" s="66"/>
      <c r="B5098" s="67"/>
      <c r="C5098" s="66"/>
      <c r="D5098" s="68"/>
      <c r="E5098" s="10"/>
      <c r="F5098" s="69"/>
      <c r="G5098" s="68"/>
      <c r="H5098" s="70"/>
      <c r="BA5098" s="4"/>
      <c r="BB5098" s="4"/>
    </row>
    <row r="5099" spans="1:54" x14ac:dyDescent="0.3">
      <c r="A5099" s="66"/>
      <c r="B5099" s="67"/>
      <c r="C5099" s="66"/>
      <c r="D5099" s="68"/>
      <c r="E5099" s="10"/>
      <c r="F5099" s="69"/>
      <c r="G5099" s="68"/>
      <c r="H5099" s="70"/>
      <c r="BA5099" s="4"/>
      <c r="BB5099" s="4"/>
    </row>
    <row r="5100" spans="1:54" x14ac:dyDescent="0.3">
      <c r="A5100" s="66"/>
      <c r="B5100" s="67"/>
      <c r="C5100" s="66"/>
      <c r="D5100" s="68"/>
      <c r="E5100" s="10"/>
      <c r="F5100" s="69"/>
      <c r="G5100" s="68"/>
      <c r="H5100" s="70"/>
      <c r="BA5100" s="4"/>
      <c r="BB5100" s="4"/>
    </row>
    <row r="5101" spans="1:54" x14ac:dyDescent="0.3">
      <c r="A5101" s="66"/>
      <c r="B5101" s="67"/>
      <c r="C5101" s="66"/>
      <c r="D5101" s="68"/>
      <c r="E5101" s="10"/>
      <c r="F5101" s="69"/>
      <c r="G5101" s="68"/>
      <c r="H5101" s="70"/>
      <c r="BA5101" s="4"/>
      <c r="BB5101" s="4"/>
    </row>
    <row r="5102" spans="1:54" x14ac:dyDescent="0.3">
      <c r="A5102" s="66"/>
      <c r="B5102" s="67"/>
      <c r="C5102" s="66"/>
      <c r="D5102" s="68"/>
      <c r="E5102" s="10"/>
      <c r="F5102" s="69"/>
      <c r="G5102" s="68"/>
      <c r="H5102" s="70"/>
      <c r="BA5102" s="4"/>
      <c r="BB5102" s="4"/>
    </row>
    <row r="5103" spans="1:54" x14ac:dyDescent="0.3">
      <c r="A5103" s="66"/>
      <c r="B5103" s="67"/>
      <c r="C5103" s="66"/>
      <c r="D5103" s="68"/>
      <c r="E5103" s="10"/>
      <c r="F5103" s="69"/>
      <c r="G5103" s="68"/>
      <c r="H5103" s="70"/>
      <c r="BA5103" s="4"/>
      <c r="BB5103" s="4"/>
    </row>
    <row r="5104" spans="1:54" x14ac:dyDescent="0.3">
      <c r="A5104" s="66"/>
      <c r="B5104" s="67"/>
      <c r="C5104" s="66"/>
      <c r="D5104" s="68"/>
      <c r="E5104" s="10"/>
      <c r="F5104" s="69"/>
      <c r="G5104" s="68"/>
      <c r="H5104" s="70"/>
      <c r="BA5104" s="4"/>
      <c r="BB5104" s="4"/>
    </row>
    <row r="5105" spans="1:54" x14ac:dyDescent="0.3">
      <c r="A5105" s="66"/>
      <c r="B5105" s="67"/>
      <c r="C5105" s="66"/>
      <c r="D5105" s="68"/>
      <c r="E5105" s="10"/>
      <c r="F5105" s="69"/>
      <c r="G5105" s="68"/>
      <c r="H5105" s="70"/>
      <c r="BA5105" s="4"/>
      <c r="BB5105" s="4"/>
    </row>
    <row r="5106" spans="1:54" x14ac:dyDescent="0.3">
      <c r="A5106" s="66"/>
      <c r="B5106" s="67"/>
      <c r="C5106" s="66"/>
      <c r="D5106" s="68"/>
      <c r="E5106" s="10"/>
      <c r="F5106" s="69"/>
      <c r="G5106" s="68"/>
      <c r="H5106" s="70"/>
      <c r="BA5106" s="4"/>
      <c r="BB5106" s="4"/>
    </row>
    <row r="5107" spans="1:54" x14ac:dyDescent="0.3">
      <c r="A5107" s="66"/>
      <c r="B5107" s="67"/>
      <c r="C5107" s="66"/>
      <c r="D5107" s="68"/>
      <c r="E5107" s="10"/>
      <c r="F5107" s="69"/>
      <c r="G5107" s="68"/>
      <c r="H5107" s="70"/>
      <c r="BA5107" s="4"/>
      <c r="BB5107" s="4"/>
    </row>
    <row r="5108" spans="1:54" x14ac:dyDescent="0.3">
      <c r="A5108" s="66"/>
      <c r="B5108" s="67"/>
      <c r="C5108" s="66"/>
      <c r="D5108" s="68"/>
      <c r="E5108" s="10"/>
      <c r="F5108" s="69"/>
      <c r="G5108" s="68"/>
      <c r="H5108" s="70"/>
      <c r="BA5108" s="4"/>
      <c r="BB5108" s="4"/>
    </row>
    <row r="5109" spans="1:54" x14ac:dyDescent="0.3">
      <c r="A5109" s="66"/>
      <c r="B5109" s="67"/>
      <c r="C5109" s="66"/>
      <c r="D5109" s="68"/>
      <c r="E5109" s="10"/>
      <c r="F5109" s="69"/>
      <c r="G5109" s="68"/>
      <c r="H5109" s="70"/>
      <c r="BA5109" s="4"/>
      <c r="BB5109" s="4"/>
    </row>
    <row r="5110" spans="1:54" x14ac:dyDescent="0.3">
      <c r="A5110" s="66"/>
      <c r="B5110" s="67"/>
      <c r="C5110" s="66"/>
      <c r="D5110" s="68"/>
      <c r="E5110" s="10"/>
      <c r="F5110" s="69"/>
      <c r="G5110" s="68"/>
      <c r="H5110" s="70"/>
      <c r="BA5110" s="4"/>
      <c r="BB5110" s="4"/>
    </row>
    <row r="5111" spans="1:54" x14ac:dyDescent="0.3">
      <c r="A5111" s="66"/>
      <c r="B5111" s="67"/>
      <c r="C5111" s="66"/>
      <c r="D5111" s="68"/>
      <c r="E5111" s="10"/>
      <c r="F5111" s="69"/>
      <c r="G5111" s="68"/>
      <c r="H5111" s="70"/>
      <c r="BA5111" s="4"/>
      <c r="BB5111" s="4"/>
    </row>
    <row r="5112" spans="1:54" x14ac:dyDescent="0.3">
      <c r="A5112" s="66"/>
      <c r="B5112" s="67"/>
      <c r="C5112" s="66"/>
      <c r="D5112" s="68"/>
      <c r="E5112" s="10"/>
      <c r="F5112" s="69"/>
      <c r="G5112" s="68"/>
      <c r="H5112" s="70"/>
      <c r="BA5112" s="4"/>
      <c r="BB5112" s="4"/>
    </row>
    <row r="5113" spans="1:54" x14ac:dyDescent="0.3">
      <c r="A5113" s="66"/>
      <c r="B5113" s="67"/>
      <c r="C5113" s="66"/>
      <c r="D5113" s="68"/>
      <c r="E5113" s="10"/>
      <c r="F5113" s="69"/>
      <c r="G5113" s="68"/>
      <c r="H5113" s="70"/>
      <c r="BA5113" s="4"/>
      <c r="BB5113" s="4"/>
    </row>
    <row r="5114" spans="1:54" x14ac:dyDescent="0.3">
      <c r="A5114" s="66"/>
      <c r="B5114" s="67"/>
      <c r="C5114" s="66"/>
      <c r="D5114" s="68"/>
      <c r="E5114" s="10"/>
      <c r="F5114" s="69"/>
      <c r="G5114" s="68"/>
      <c r="H5114" s="70"/>
      <c r="BA5114" s="4"/>
      <c r="BB5114" s="4"/>
    </row>
    <row r="5115" spans="1:54" x14ac:dyDescent="0.3">
      <c r="A5115" s="66"/>
      <c r="B5115" s="67"/>
      <c r="C5115" s="66"/>
      <c r="D5115" s="68"/>
      <c r="E5115" s="10"/>
      <c r="F5115" s="69"/>
      <c r="G5115" s="68"/>
      <c r="H5115" s="70"/>
      <c r="BA5115" s="4"/>
      <c r="BB5115" s="4"/>
    </row>
    <row r="5116" spans="1:54" x14ac:dyDescent="0.3">
      <c r="A5116" s="66"/>
      <c r="B5116" s="67"/>
      <c r="C5116" s="66"/>
      <c r="D5116" s="68"/>
      <c r="E5116" s="10"/>
      <c r="F5116" s="69"/>
      <c r="G5116" s="68"/>
      <c r="H5116" s="70"/>
      <c r="BA5116" s="4"/>
      <c r="BB5116" s="4"/>
    </row>
    <row r="5117" spans="1:54" x14ac:dyDescent="0.3">
      <c r="A5117" s="66"/>
      <c r="B5117" s="67"/>
      <c r="C5117" s="66"/>
      <c r="D5117" s="68"/>
      <c r="E5117" s="10"/>
      <c r="F5117" s="69"/>
      <c r="G5117" s="68"/>
      <c r="H5117" s="70"/>
      <c r="BA5117" s="4"/>
      <c r="BB5117" s="4"/>
    </row>
    <row r="5118" spans="1:54" x14ac:dyDescent="0.3">
      <c r="A5118" s="66"/>
      <c r="B5118" s="67"/>
      <c r="C5118" s="66"/>
      <c r="D5118" s="68"/>
      <c r="E5118" s="10"/>
      <c r="F5118" s="69"/>
      <c r="G5118" s="68"/>
      <c r="H5118" s="70"/>
      <c r="BA5118" s="4"/>
      <c r="BB5118" s="4"/>
    </row>
    <row r="5119" spans="1:54" x14ac:dyDescent="0.3">
      <c r="A5119" s="66"/>
      <c r="B5119" s="67"/>
      <c r="C5119" s="66"/>
      <c r="D5119" s="68"/>
      <c r="E5119" s="10"/>
      <c r="F5119" s="69"/>
      <c r="G5119" s="68"/>
      <c r="H5119" s="70"/>
      <c r="BA5119" s="4"/>
      <c r="BB5119" s="4"/>
    </row>
    <row r="5120" spans="1:54" x14ac:dyDescent="0.3">
      <c r="A5120" s="66"/>
      <c r="B5120" s="67"/>
      <c r="C5120" s="66"/>
      <c r="D5120" s="68"/>
      <c r="E5120" s="10"/>
      <c r="F5120" s="69"/>
      <c r="G5120" s="68"/>
      <c r="H5120" s="70"/>
      <c r="BA5120" s="4"/>
      <c r="BB5120" s="4"/>
    </row>
    <row r="5121" spans="1:54" x14ac:dyDescent="0.3">
      <c r="A5121" s="66"/>
      <c r="B5121" s="67"/>
      <c r="C5121" s="66"/>
      <c r="D5121" s="68"/>
      <c r="E5121" s="10"/>
      <c r="F5121" s="69"/>
      <c r="G5121" s="68"/>
      <c r="H5121" s="70"/>
      <c r="BA5121" s="4"/>
      <c r="BB5121" s="4"/>
    </row>
    <row r="5122" spans="1:54" x14ac:dyDescent="0.3">
      <c r="A5122" s="66"/>
      <c r="B5122" s="67"/>
      <c r="C5122" s="66"/>
      <c r="D5122" s="68"/>
      <c r="E5122" s="10"/>
      <c r="F5122" s="69"/>
      <c r="G5122" s="68"/>
      <c r="H5122" s="70"/>
      <c r="BA5122" s="4"/>
      <c r="BB5122" s="4"/>
    </row>
    <row r="5123" spans="1:54" x14ac:dyDescent="0.3">
      <c r="A5123" s="66"/>
      <c r="B5123" s="67"/>
      <c r="C5123" s="66"/>
      <c r="D5123" s="68"/>
      <c r="E5123" s="10"/>
      <c r="F5123" s="69"/>
      <c r="G5123" s="68"/>
      <c r="H5123" s="70"/>
      <c r="BA5123" s="4"/>
      <c r="BB5123" s="4"/>
    </row>
    <row r="5124" spans="1:54" x14ac:dyDescent="0.3">
      <c r="A5124" s="66"/>
      <c r="B5124" s="67"/>
      <c r="C5124" s="66"/>
      <c r="D5124" s="68"/>
      <c r="E5124" s="10"/>
      <c r="F5124" s="69"/>
      <c r="G5124" s="68"/>
      <c r="H5124" s="70"/>
      <c r="BA5124" s="4"/>
      <c r="BB5124" s="4"/>
    </row>
    <row r="5125" spans="1:54" x14ac:dyDescent="0.3">
      <c r="A5125" s="66"/>
      <c r="B5125" s="67"/>
      <c r="C5125" s="66"/>
      <c r="D5125" s="68"/>
      <c r="E5125" s="10"/>
      <c r="F5125" s="69"/>
      <c r="G5125" s="68"/>
      <c r="H5125" s="70"/>
      <c r="BA5125" s="4"/>
      <c r="BB5125" s="4"/>
    </row>
    <row r="5126" spans="1:54" x14ac:dyDescent="0.3">
      <c r="A5126" s="66"/>
      <c r="B5126" s="67"/>
      <c r="C5126" s="66"/>
      <c r="D5126" s="68"/>
      <c r="E5126" s="10"/>
      <c r="F5126" s="69"/>
      <c r="G5126" s="68"/>
      <c r="H5126" s="70"/>
      <c r="BA5126" s="4"/>
      <c r="BB5126" s="4"/>
    </row>
    <row r="5127" spans="1:54" x14ac:dyDescent="0.3">
      <c r="A5127" s="66"/>
      <c r="B5127" s="67"/>
      <c r="C5127" s="66"/>
      <c r="D5127" s="68"/>
      <c r="E5127" s="10"/>
      <c r="F5127" s="69"/>
      <c r="G5127" s="68"/>
      <c r="H5127" s="70"/>
      <c r="BA5127" s="4"/>
      <c r="BB5127" s="4"/>
    </row>
    <row r="5128" spans="1:54" x14ac:dyDescent="0.3">
      <c r="A5128" s="66"/>
      <c r="B5128" s="67"/>
      <c r="C5128" s="66"/>
      <c r="D5128" s="68"/>
      <c r="E5128" s="10"/>
      <c r="F5128" s="69"/>
      <c r="G5128" s="68"/>
      <c r="H5128" s="70"/>
      <c r="BA5128" s="4"/>
      <c r="BB5128" s="4"/>
    </row>
    <row r="5129" spans="1:54" x14ac:dyDescent="0.3">
      <c r="A5129" s="66"/>
      <c r="B5129" s="67"/>
      <c r="C5129" s="66"/>
      <c r="D5129" s="68"/>
      <c r="E5129" s="10"/>
      <c r="F5129" s="69"/>
      <c r="G5129" s="68"/>
      <c r="H5129" s="70"/>
      <c r="BA5129" s="4"/>
      <c r="BB5129" s="4"/>
    </row>
    <row r="5130" spans="1:54" x14ac:dyDescent="0.3">
      <c r="A5130" s="66"/>
      <c r="B5130" s="67"/>
      <c r="C5130" s="66"/>
      <c r="D5130" s="68"/>
      <c r="E5130" s="10"/>
      <c r="F5130" s="69"/>
      <c r="G5130" s="68"/>
      <c r="H5130" s="70"/>
      <c r="BA5130" s="4"/>
      <c r="BB5130" s="4"/>
    </row>
    <row r="5131" spans="1:54" x14ac:dyDescent="0.3">
      <c r="A5131" s="66"/>
      <c r="B5131" s="67"/>
      <c r="C5131" s="66"/>
      <c r="D5131" s="68"/>
      <c r="E5131" s="10"/>
      <c r="F5131" s="69"/>
      <c r="G5131" s="68"/>
      <c r="H5131" s="70"/>
      <c r="BA5131" s="4"/>
      <c r="BB5131" s="4"/>
    </row>
    <row r="5132" spans="1:54" x14ac:dyDescent="0.3">
      <c r="A5132" s="66"/>
      <c r="B5132" s="67"/>
      <c r="C5132" s="66"/>
      <c r="D5132" s="68"/>
      <c r="E5132" s="10"/>
      <c r="F5132" s="69"/>
      <c r="G5132" s="68"/>
      <c r="H5132" s="70"/>
      <c r="BA5132" s="4"/>
      <c r="BB5132" s="4"/>
    </row>
    <row r="5133" spans="1:54" x14ac:dyDescent="0.3">
      <c r="A5133" s="66"/>
      <c r="B5133" s="67"/>
      <c r="C5133" s="66"/>
      <c r="D5133" s="68"/>
      <c r="E5133" s="10"/>
      <c r="F5133" s="69"/>
      <c r="G5133" s="68"/>
      <c r="H5133" s="70"/>
      <c r="BA5133" s="4"/>
      <c r="BB5133" s="4"/>
    </row>
    <row r="5134" spans="1:54" x14ac:dyDescent="0.3">
      <c r="A5134" s="66"/>
      <c r="B5134" s="67"/>
      <c r="C5134" s="66"/>
      <c r="D5134" s="68"/>
      <c r="E5134" s="10"/>
      <c r="F5134" s="69"/>
      <c r="G5134" s="68"/>
      <c r="H5134" s="70"/>
      <c r="BA5134" s="4"/>
      <c r="BB5134" s="4"/>
    </row>
    <row r="5135" spans="1:54" x14ac:dyDescent="0.3">
      <c r="A5135" s="66"/>
      <c r="B5135" s="67"/>
      <c r="C5135" s="66"/>
      <c r="D5135" s="68"/>
      <c r="E5135" s="10"/>
      <c r="F5135" s="69"/>
      <c r="G5135" s="68"/>
      <c r="H5135" s="70"/>
      <c r="BA5135" s="4"/>
      <c r="BB5135" s="4"/>
    </row>
    <row r="5136" spans="1:54" x14ac:dyDescent="0.3">
      <c r="A5136" s="66"/>
      <c r="B5136" s="67"/>
      <c r="C5136" s="66"/>
      <c r="D5136" s="68"/>
      <c r="E5136" s="10"/>
      <c r="F5136" s="69"/>
      <c r="G5136" s="68"/>
      <c r="H5136" s="70"/>
      <c r="BA5136" s="4"/>
      <c r="BB5136" s="4"/>
    </row>
    <row r="5137" spans="1:54" x14ac:dyDescent="0.3">
      <c r="A5137" s="66"/>
      <c r="B5137" s="67"/>
      <c r="C5137" s="66"/>
      <c r="D5137" s="68"/>
      <c r="E5137" s="10"/>
      <c r="F5137" s="69"/>
      <c r="G5137" s="68"/>
      <c r="H5137" s="70"/>
      <c r="BA5137" s="4"/>
      <c r="BB5137" s="4"/>
    </row>
    <row r="5138" spans="1:54" x14ac:dyDescent="0.3">
      <c r="A5138" s="66"/>
      <c r="B5138" s="67"/>
      <c r="C5138" s="66"/>
      <c r="D5138" s="68"/>
      <c r="E5138" s="10"/>
      <c r="F5138" s="69"/>
      <c r="G5138" s="68"/>
      <c r="H5138" s="70"/>
      <c r="BA5138" s="4"/>
      <c r="BB5138" s="4"/>
    </row>
    <row r="5139" spans="1:54" x14ac:dyDescent="0.3">
      <c r="A5139" s="66"/>
      <c r="B5139" s="67"/>
      <c r="C5139" s="66"/>
      <c r="D5139" s="68"/>
      <c r="E5139" s="10"/>
      <c r="F5139" s="69"/>
      <c r="G5139" s="68"/>
      <c r="H5139" s="70"/>
      <c r="BA5139" s="4"/>
      <c r="BB5139" s="4"/>
    </row>
    <row r="5140" spans="1:54" x14ac:dyDescent="0.3">
      <c r="A5140" s="66"/>
      <c r="B5140" s="67"/>
      <c r="C5140" s="66"/>
      <c r="D5140" s="68"/>
      <c r="E5140" s="10"/>
      <c r="F5140" s="69"/>
      <c r="G5140" s="68"/>
      <c r="H5140" s="70"/>
      <c r="BA5140" s="4"/>
      <c r="BB5140" s="4"/>
    </row>
    <row r="5141" spans="1:54" x14ac:dyDescent="0.3">
      <c r="A5141" s="66"/>
      <c r="B5141" s="67"/>
      <c r="C5141" s="66"/>
      <c r="D5141" s="68"/>
      <c r="E5141" s="10"/>
      <c r="F5141" s="69"/>
      <c r="G5141" s="68"/>
      <c r="H5141" s="70"/>
      <c r="BA5141" s="4"/>
      <c r="BB5141" s="4"/>
    </row>
    <row r="5142" spans="1:54" x14ac:dyDescent="0.3">
      <c r="A5142" s="66"/>
      <c r="B5142" s="67"/>
      <c r="C5142" s="66"/>
      <c r="D5142" s="68"/>
      <c r="E5142" s="10"/>
      <c r="F5142" s="69"/>
      <c r="G5142" s="68"/>
      <c r="H5142" s="70"/>
      <c r="BA5142" s="4"/>
      <c r="BB5142" s="4"/>
    </row>
    <row r="5143" spans="1:54" x14ac:dyDescent="0.3">
      <c r="A5143" s="66"/>
      <c r="B5143" s="67"/>
      <c r="C5143" s="66"/>
      <c r="D5143" s="68"/>
      <c r="E5143" s="10"/>
      <c r="F5143" s="69"/>
      <c r="G5143" s="68"/>
      <c r="H5143" s="70"/>
      <c r="BA5143" s="4"/>
      <c r="BB5143" s="4"/>
    </row>
    <row r="5144" spans="1:54" x14ac:dyDescent="0.3">
      <c r="A5144" s="66"/>
      <c r="B5144" s="67"/>
      <c r="C5144" s="66"/>
      <c r="D5144" s="68"/>
      <c r="E5144" s="10"/>
      <c r="F5144" s="69"/>
      <c r="G5144" s="68"/>
      <c r="H5144" s="70"/>
      <c r="BA5144" s="4"/>
      <c r="BB5144" s="4"/>
    </row>
    <row r="5145" spans="1:54" x14ac:dyDescent="0.3">
      <c r="A5145" s="66"/>
      <c r="B5145" s="67"/>
      <c r="C5145" s="66"/>
      <c r="D5145" s="68"/>
      <c r="E5145" s="10"/>
      <c r="F5145" s="69"/>
      <c r="G5145" s="68"/>
      <c r="H5145" s="70"/>
      <c r="BA5145" s="4"/>
      <c r="BB5145" s="4"/>
    </row>
    <row r="5146" spans="1:54" x14ac:dyDescent="0.3">
      <c r="A5146" s="66"/>
      <c r="B5146" s="67"/>
      <c r="C5146" s="66"/>
      <c r="D5146" s="68"/>
      <c r="E5146" s="10"/>
      <c r="F5146" s="69"/>
      <c r="G5146" s="68"/>
      <c r="H5146" s="70"/>
      <c r="BA5146" s="4"/>
      <c r="BB5146" s="4"/>
    </row>
    <row r="5147" spans="1:54" x14ac:dyDescent="0.3">
      <c r="A5147" s="66"/>
      <c r="B5147" s="67"/>
      <c r="C5147" s="66"/>
      <c r="D5147" s="68"/>
      <c r="E5147" s="10"/>
      <c r="F5147" s="69"/>
      <c r="G5147" s="68"/>
      <c r="H5147" s="70"/>
      <c r="BA5147" s="4"/>
      <c r="BB5147" s="4"/>
    </row>
    <row r="5148" spans="1:54" x14ac:dyDescent="0.3">
      <c r="A5148" s="66"/>
      <c r="B5148" s="67"/>
      <c r="C5148" s="66"/>
      <c r="D5148" s="68"/>
      <c r="E5148" s="10"/>
      <c r="F5148" s="69"/>
      <c r="G5148" s="68"/>
      <c r="H5148" s="70"/>
      <c r="BA5148" s="4"/>
      <c r="BB5148" s="4"/>
    </row>
    <row r="5149" spans="1:54" x14ac:dyDescent="0.3">
      <c r="A5149" s="66"/>
      <c r="B5149" s="67"/>
      <c r="C5149" s="66"/>
      <c r="D5149" s="68"/>
      <c r="E5149" s="10"/>
      <c r="F5149" s="69"/>
      <c r="G5149" s="68"/>
      <c r="H5149" s="70"/>
      <c r="BA5149" s="4"/>
      <c r="BB5149" s="4"/>
    </row>
    <row r="5150" spans="1:54" x14ac:dyDescent="0.3">
      <c r="A5150" s="66"/>
      <c r="B5150" s="67"/>
      <c r="C5150" s="66"/>
      <c r="D5150" s="68"/>
      <c r="E5150" s="10"/>
      <c r="F5150" s="69"/>
      <c r="G5150" s="68"/>
      <c r="H5150" s="70"/>
      <c r="BA5150" s="4"/>
      <c r="BB5150" s="4"/>
    </row>
    <row r="5151" spans="1:54" x14ac:dyDescent="0.3">
      <c r="A5151" s="66"/>
      <c r="B5151" s="67"/>
      <c r="C5151" s="66"/>
      <c r="D5151" s="68"/>
      <c r="E5151" s="10"/>
      <c r="F5151" s="69"/>
      <c r="G5151" s="68"/>
      <c r="H5151" s="70"/>
      <c r="BA5151" s="4"/>
      <c r="BB5151" s="4"/>
    </row>
    <row r="5152" spans="1:54" x14ac:dyDescent="0.3">
      <c r="A5152" s="66"/>
      <c r="B5152" s="67"/>
      <c r="C5152" s="66"/>
      <c r="D5152" s="68"/>
      <c r="E5152" s="10"/>
      <c r="F5152" s="69"/>
      <c r="G5152" s="68"/>
      <c r="H5152" s="70"/>
      <c r="BA5152" s="4"/>
      <c r="BB5152" s="4"/>
    </row>
    <row r="5153" spans="1:54" x14ac:dyDescent="0.3">
      <c r="A5153" s="66"/>
      <c r="B5153" s="67"/>
      <c r="C5153" s="66"/>
      <c r="D5153" s="68"/>
      <c r="E5153" s="10"/>
      <c r="F5153" s="69"/>
      <c r="G5153" s="68"/>
      <c r="H5153" s="70"/>
      <c r="BA5153" s="4"/>
      <c r="BB5153" s="4"/>
    </row>
    <row r="5154" spans="1:54" x14ac:dyDescent="0.3">
      <c r="A5154" s="66"/>
      <c r="B5154" s="67"/>
      <c r="C5154" s="66"/>
      <c r="D5154" s="68"/>
      <c r="E5154" s="10"/>
      <c r="F5154" s="69"/>
      <c r="G5154" s="68"/>
      <c r="H5154" s="70"/>
      <c r="BA5154" s="4"/>
      <c r="BB5154" s="4"/>
    </row>
    <row r="5155" spans="1:54" x14ac:dyDescent="0.3">
      <c r="A5155" s="66"/>
      <c r="B5155" s="67"/>
      <c r="C5155" s="66"/>
      <c r="D5155" s="68"/>
      <c r="E5155" s="10"/>
      <c r="F5155" s="69"/>
      <c r="G5155" s="68"/>
      <c r="H5155" s="70"/>
      <c r="BA5155" s="4"/>
      <c r="BB5155" s="4"/>
    </row>
    <row r="5156" spans="1:54" x14ac:dyDescent="0.3">
      <c r="A5156" s="66"/>
      <c r="B5156" s="67"/>
      <c r="C5156" s="66"/>
      <c r="D5156" s="68"/>
      <c r="E5156" s="10"/>
      <c r="F5156" s="69"/>
      <c r="G5156" s="68"/>
      <c r="H5156" s="70"/>
      <c r="BA5156" s="4"/>
      <c r="BB5156" s="4"/>
    </row>
    <row r="5157" spans="1:54" x14ac:dyDescent="0.3">
      <c r="A5157" s="66"/>
      <c r="B5157" s="67"/>
      <c r="C5157" s="66"/>
      <c r="D5157" s="68"/>
      <c r="E5157" s="10"/>
      <c r="F5157" s="69"/>
      <c r="G5157" s="68"/>
      <c r="H5157" s="70"/>
      <c r="BA5157" s="4"/>
      <c r="BB5157" s="4"/>
    </row>
    <row r="5158" spans="1:54" x14ac:dyDescent="0.3">
      <c r="A5158" s="66"/>
      <c r="B5158" s="67"/>
      <c r="C5158" s="66"/>
      <c r="D5158" s="68"/>
      <c r="E5158" s="10"/>
      <c r="F5158" s="69"/>
      <c r="G5158" s="68"/>
      <c r="H5158" s="70"/>
      <c r="BA5158" s="4"/>
      <c r="BB5158" s="4"/>
    </row>
    <row r="5159" spans="1:54" x14ac:dyDescent="0.3">
      <c r="A5159" s="66"/>
      <c r="B5159" s="67"/>
      <c r="C5159" s="66"/>
      <c r="D5159" s="68"/>
      <c r="E5159" s="10"/>
      <c r="F5159" s="69"/>
      <c r="G5159" s="68"/>
      <c r="H5159" s="70"/>
      <c r="BA5159" s="4"/>
      <c r="BB5159" s="4"/>
    </row>
    <row r="5160" spans="1:54" x14ac:dyDescent="0.3">
      <c r="A5160" s="66"/>
      <c r="B5160" s="67"/>
      <c r="C5160" s="66"/>
      <c r="D5160" s="68"/>
      <c r="E5160" s="10"/>
      <c r="F5160" s="69"/>
      <c r="G5160" s="68"/>
      <c r="H5160" s="70"/>
      <c r="BA5160" s="4"/>
      <c r="BB5160" s="4"/>
    </row>
    <row r="5161" spans="1:54" x14ac:dyDescent="0.3">
      <c r="A5161" s="66"/>
      <c r="B5161" s="67"/>
      <c r="C5161" s="66"/>
      <c r="D5161" s="68"/>
      <c r="E5161" s="10"/>
      <c r="F5161" s="69"/>
      <c r="G5161" s="68"/>
      <c r="H5161" s="70"/>
      <c r="BA5161" s="4"/>
      <c r="BB5161" s="4"/>
    </row>
    <row r="5162" spans="1:54" x14ac:dyDescent="0.3">
      <c r="A5162" s="66"/>
      <c r="B5162" s="67"/>
      <c r="C5162" s="66"/>
      <c r="D5162" s="68"/>
      <c r="E5162" s="10"/>
      <c r="F5162" s="69"/>
      <c r="G5162" s="68"/>
      <c r="H5162" s="70"/>
      <c r="BA5162" s="4"/>
      <c r="BB5162" s="4"/>
    </row>
    <row r="5163" spans="1:54" x14ac:dyDescent="0.3">
      <c r="A5163" s="66"/>
      <c r="B5163" s="67"/>
      <c r="C5163" s="66"/>
      <c r="D5163" s="68"/>
      <c r="E5163" s="10"/>
      <c r="F5163" s="69"/>
      <c r="G5163" s="68"/>
      <c r="H5163" s="70"/>
      <c r="BA5163" s="4"/>
      <c r="BB5163" s="4"/>
    </row>
    <row r="5164" spans="1:54" x14ac:dyDescent="0.3">
      <c r="A5164" s="66"/>
      <c r="B5164" s="67"/>
      <c r="C5164" s="66"/>
      <c r="D5164" s="68"/>
      <c r="E5164" s="10"/>
      <c r="F5164" s="69"/>
      <c r="G5164" s="68"/>
      <c r="H5164" s="70"/>
      <c r="BA5164" s="4"/>
      <c r="BB5164" s="4"/>
    </row>
    <row r="5165" spans="1:54" x14ac:dyDescent="0.3">
      <c r="A5165" s="66"/>
      <c r="B5165" s="67"/>
      <c r="C5165" s="66"/>
      <c r="D5165" s="68"/>
      <c r="E5165" s="10"/>
      <c r="F5165" s="69"/>
      <c r="G5165" s="68"/>
      <c r="H5165" s="70"/>
      <c r="BA5165" s="4"/>
      <c r="BB5165" s="4"/>
    </row>
    <row r="5166" spans="1:54" x14ac:dyDescent="0.3">
      <c r="A5166" s="66"/>
      <c r="B5166" s="67"/>
      <c r="C5166" s="66"/>
      <c r="D5166" s="68"/>
      <c r="E5166" s="10"/>
      <c r="F5166" s="69"/>
      <c r="G5166" s="68"/>
      <c r="H5166" s="70"/>
      <c r="BA5166" s="4"/>
      <c r="BB5166" s="4"/>
    </row>
    <row r="5167" spans="1:54" x14ac:dyDescent="0.3">
      <c r="A5167" s="66"/>
      <c r="B5167" s="67"/>
      <c r="C5167" s="66"/>
      <c r="D5167" s="68"/>
      <c r="E5167" s="10"/>
      <c r="F5167" s="69"/>
      <c r="G5167" s="68"/>
      <c r="H5167" s="70"/>
      <c r="BA5167" s="4"/>
      <c r="BB5167" s="4"/>
    </row>
    <row r="5168" spans="1:54" x14ac:dyDescent="0.3">
      <c r="A5168" s="66"/>
      <c r="B5168" s="67"/>
      <c r="C5168" s="66"/>
      <c r="D5168" s="68"/>
      <c r="E5168" s="10"/>
      <c r="F5168" s="69"/>
      <c r="G5168" s="68"/>
      <c r="H5168" s="70"/>
      <c r="BA5168" s="4"/>
      <c r="BB5168" s="4"/>
    </row>
    <row r="5169" spans="1:54" x14ac:dyDescent="0.3">
      <c r="A5169" s="66"/>
      <c r="B5169" s="67"/>
      <c r="C5169" s="66"/>
      <c r="D5169" s="68"/>
      <c r="E5169" s="10"/>
      <c r="F5169" s="69"/>
      <c r="G5169" s="68"/>
      <c r="H5169" s="70"/>
      <c r="BA5169" s="4"/>
      <c r="BB5169" s="4"/>
    </row>
    <row r="5170" spans="1:54" x14ac:dyDescent="0.3">
      <c r="A5170" s="66"/>
      <c r="B5170" s="67"/>
      <c r="C5170" s="66"/>
      <c r="D5170" s="68"/>
      <c r="E5170" s="10"/>
      <c r="F5170" s="69"/>
      <c r="G5170" s="68"/>
      <c r="H5170" s="70"/>
      <c r="BA5170" s="4"/>
      <c r="BB5170" s="4"/>
    </row>
    <row r="5171" spans="1:54" x14ac:dyDescent="0.3">
      <c r="A5171" s="66"/>
      <c r="B5171" s="67"/>
      <c r="C5171" s="66"/>
      <c r="D5171" s="68"/>
      <c r="E5171" s="10"/>
      <c r="F5171" s="69"/>
      <c r="G5171" s="68"/>
      <c r="H5171" s="70"/>
      <c r="BA5171" s="4"/>
      <c r="BB5171" s="4"/>
    </row>
    <row r="5172" spans="1:54" x14ac:dyDescent="0.3">
      <c r="A5172" s="66"/>
      <c r="B5172" s="67"/>
      <c r="C5172" s="66"/>
      <c r="D5172" s="68"/>
      <c r="E5172" s="10"/>
      <c r="F5172" s="69"/>
      <c r="G5172" s="68"/>
      <c r="H5172" s="70"/>
      <c r="BA5172" s="4"/>
      <c r="BB5172" s="4"/>
    </row>
    <row r="5173" spans="1:54" x14ac:dyDescent="0.3">
      <c r="A5173" s="66"/>
      <c r="B5173" s="67"/>
      <c r="C5173" s="66"/>
      <c r="D5173" s="68"/>
      <c r="E5173" s="10"/>
      <c r="F5173" s="69"/>
      <c r="G5173" s="68"/>
      <c r="H5173" s="70"/>
      <c r="BA5173" s="4"/>
      <c r="BB5173" s="4"/>
    </row>
    <row r="5174" spans="1:54" x14ac:dyDescent="0.3">
      <c r="A5174" s="66"/>
      <c r="B5174" s="67"/>
      <c r="C5174" s="66"/>
      <c r="D5174" s="68"/>
      <c r="E5174" s="10"/>
      <c r="F5174" s="69"/>
      <c r="G5174" s="68"/>
      <c r="H5174" s="70"/>
      <c r="BA5174" s="4"/>
      <c r="BB5174" s="4"/>
    </row>
    <row r="5175" spans="1:54" x14ac:dyDescent="0.3">
      <c r="A5175" s="66"/>
      <c r="B5175" s="67"/>
      <c r="C5175" s="66"/>
      <c r="D5175" s="68"/>
      <c r="E5175" s="10"/>
      <c r="F5175" s="69"/>
      <c r="G5175" s="68"/>
      <c r="H5175" s="70"/>
      <c r="BA5175" s="4"/>
      <c r="BB5175" s="4"/>
    </row>
    <row r="5176" spans="1:54" x14ac:dyDescent="0.3">
      <c r="A5176" s="66"/>
      <c r="B5176" s="67"/>
      <c r="C5176" s="66"/>
      <c r="D5176" s="68"/>
      <c r="E5176" s="10"/>
      <c r="F5176" s="69"/>
      <c r="G5176" s="68"/>
      <c r="H5176" s="70"/>
      <c r="BA5176" s="4"/>
      <c r="BB5176" s="4"/>
    </row>
    <row r="5177" spans="1:54" x14ac:dyDescent="0.3">
      <c r="A5177" s="66"/>
      <c r="B5177" s="67"/>
      <c r="C5177" s="66"/>
      <c r="D5177" s="68"/>
      <c r="E5177" s="10"/>
      <c r="F5177" s="69"/>
      <c r="G5177" s="68"/>
      <c r="H5177" s="70"/>
      <c r="BA5177" s="4"/>
      <c r="BB5177" s="4"/>
    </row>
    <row r="5178" spans="1:54" x14ac:dyDescent="0.3">
      <c r="A5178" s="66"/>
      <c r="B5178" s="67"/>
      <c r="C5178" s="66"/>
      <c r="D5178" s="68"/>
      <c r="E5178" s="10"/>
      <c r="F5178" s="69"/>
      <c r="G5178" s="68"/>
      <c r="H5178" s="70"/>
      <c r="BA5178" s="4"/>
      <c r="BB5178" s="4"/>
    </row>
    <row r="5179" spans="1:54" x14ac:dyDescent="0.3">
      <c r="A5179" s="66"/>
      <c r="B5179" s="67"/>
      <c r="C5179" s="66"/>
      <c r="D5179" s="68"/>
      <c r="E5179" s="10"/>
      <c r="F5179" s="69"/>
      <c r="G5179" s="68"/>
      <c r="H5179" s="70"/>
      <c r="BA5179" s="4"/>
      <c r="BB5179" s="4"/>
    </row>
    <row r="5180" spans="1:54" x14ac:dyDescent="0.3">
      <c r="A5180" s="66"/>
      <c r="B5180" s="67"/>
      <c r="C5180" s="66"/>
      <c r="D5180" s="68"/>
      <c r="E5180" s="10"/>
      <c r="F5180" s="69"/>
      <c r="G5180" s="68"/>
      <c r="H5180" s="70"/>
      <c r="BA5180" s="4"/>
      <c r="BB5180" s="4"/>
    </row>
    <row r="5181" spans="1:54" x14ac:dyDescent="0.3">
      <c r="A5181" s="66"/>
      <c r="B5181" s="67"/>
      <c r="C5181" s="66"/>
      <c r="D5181" s="68"/>
      <c r="E5181" s="10"/>
      <c r="F5181" s="69"/>
      <c r="G5181" s="68"/>
      <c r="H5181" s="70"/>
      <c r="BA5181" s="4"/>
      <c r="BB5181" s="4"/>
    </row>
    <row r="5182" spans="1:54" x14ac:dyDescent="0.3">
      <c r="A5182" s="66"/>
      <c r="B5182" s="67"/>
      <c r="C5182" s="66"/>
      <c r="D5182" s="68"/>
      <c r="E5182" s="10"/>
      <c r="F5182" s="69"/>
      <c r="G5182" s="68"/>
      <c r="H5182" s="70"/>
      <c r="BA5182" s="4"/>
      <c r="BB5182" s="4"/>
    </row>
    <row r="5183" spans="1:54" x14ac:dyDescent="0.3">
      <c r="A5183" s="66"/>
      <c r="B5183" s="67"/>
      <c r="C5183" s="66"/>
      <c r="D5183" s="68"/>
      <c r="E5183" s="10"/>
      <c r="F5183" s="69"/>
      <c r="G5183" s="68"/>
      <c r="H5183" s="70"/>
      <c r="BA5183" s="4"/>
      <c r="BB5183" s="4"/>
    </row>
    <row r="5184" spans="1:54" x14ac:dyDescent="0.3">
      <c r="A5184" s="66"/>
      <c r="B5184" s="67"/>
      <c r="C5184" s="66"/>
      <c r="D5184" s="68"/>
      <c r="E5184" s="10"/>
      <c r="F5184" s="69"/>
      <c r="G5184" s="68"/>
      <c r="H5184" s="70"/>
      <c r="BA5184" s="4"/>
      <c r="BB5184" s="4"/>
    </row>
    <row r="5185" spans="1:54" x14ac:dyDescent="0.3">
      <c r="A5185" s="66"/>
      <c r="B5185" s="67"/>
      <c r="C5185" s="66"/>
      <c r="D5185" s="68"/>
      <c r="E5185" s="10"/>
      <c r="F5185" s="69"/>
      <c r="G5185" s="68"/>
      <c r="H5185" s="70"/>
      <c r="BA5185" s="4"/>
      <c r="BB5185" s="4"/>
    </row>
    <row r="5186" spans="1:54" x14ac:dyDescent="0.3">
      <c r="A5186" s="66"/>
      <c r="B5186" s="67"/>
      <c r="C5186" s="66"/>
      <c r="D5186" s="68"/>
      <c r="E5186" s="10"/>
      <c r="F5186" s="69"/>
      <c r="G5186" s="68"/>
      <c r="H5186" s="70"/>
      <c r="BA5186" s="4"/>
      <c r="BB5186" s="4"/>
    </row>
    <row r="5187" spans="1:54" x14ac:dyDescent="0.3">
      <c r="A5187" s="66"/>
      <c r="B5187" s="67"/>
      <c r="C5187" s="66"/>
      <c r="D5187" s="68"/>
      <c r="E5187" s="10"/>
      <c r="F5187" s="69"/>
      <c r="G5187" s="68"/>
      <c r="H5187" s="70"/>
      <c r="BA5187" s="4"/>
      <c r="BB5187" s="4"/>
    </row>
    <row r="5188" spans="1:54" x14ac:dyDescent="0.3">
      <c r="A5188" s="66"/>
      <c r="B5188" s="67"/>
      <c r="C5188" s="66"/>
      <c r="D5188" s="68"/>
      <c r="E5188" s="10"/>
      <c r="F5188" s="69"/>
      <c r="G5188" s="68"/>
      <c r="H5188" s="70"/>
      <c r="BA5188" s="4"/>
      <c r="BB5188" s="4"/>
    </row>
    <row r="5189" spans="1:54" x14ac:dyDescent="0.3">
      <c r="A5189" s="66"/>
      <c r="B5189" s="67"/>
      <c r="C5189" s="66"/>
      <c r="D5189" s="68"/>
      <c r="E5189" s="10"/>
      <c r="F5189" s="69"/>
      <c r="G5189" s="68"/>
      <c r="H5189" s="70"/>
      <c r="BA5189" s="4"/>
      <c r="BB5189" s="4"/>
    </row>
    <row r="5190" spans="1:54" x14ac:dyDescent="0.3">
      <c r="A5190" s="66"/>
      <c r="B5190" s="67"/>
      <c r="C5190" s="66"/>
      <c r="D5190" s="68"/>
      <c r="E5190" s="10"/>
      <c r="F5190" s="69"/>
      <c r="G5190" s="68"/>
      <c r="H5190" s="70"/>
      <c r="BA5190" s="4"/>
      <c r="BB5190" s="4"/>
    </row>
    <row r="5191" spans="1:54" x14ac:dyDescent="0.3">
      <c r="A5191" s="66"/>
      <c r="B5191" s="67"/>
      <c r="C5191" s="66"/>
      <c r="D5191" s="68"/>
      <c r="E5191" s="10"/>
      <c r="F5191" s="69"/>
      <c r="G5191" s="68"/>
      <c r="H5191" s="70"/>
      <c r="BA5191" s="4"/>
      <c r="BB5191" s="4"/>
    </row>
    <row r="5192" spans="1:54" x14ac:dyDescent="0.3">
      <c r="A5192" s="66"/>
      <c r="B5192" s="67"/>
      <c r="C5192" s="66"/>
      <c r="D5192" s="68"/>
      <c r="E5192" s="10"/>
      <c r="F5192" s="69"/>
      <c r="G5192" s="68"/>
      <c r="H5192" s="70"/>
      <c r="BA5192" s="4"/>
      <c r="BB5192" s="4"/>
    </row>
    <row r="5193" spans="1:54" x14ac:dyDescent="0.3">
      <c r="A5193" s="66"/>
      <c r="B5193" s="67"/>
      <c r="C5193" s="66"/>
      <c r="D5193" s="68"/>
      <c r="E5193" s="10"/>
      <c r="F5193" s="69"/>
      <c r="G5193" s="68"/>
      <c r="H5193" s="70"/>
      <c r="BA5193" s="4"/>
      <c r="BB5193" s="4"/>
    </row>
    <row r="5194" spans="1:54" x14ac:dyDescent="0.3">
      <c r="A5194" s="66"/>
      <c r="B5194" s="67"/>
      <c r="C5194" s="66"/>
      <c r="D5194" s="68"/>
      <c r="E5194" s="10"/>
      <c r="F5194" s="69"/>
      <c r="G5194" s="68"/>
      <c r="H5194" s="70"/>
      <c r="BA5194" s="4"/>
      <c r="BB5194" s="4"/>
    </row>
    <row r="5195" spans="1:54" x14ac:dyDescent="0.3">
      <c r="A5195" s="66"/>
      <c r="B5195" s="67"/>
      <c r="C5195" s="66"/>
      <c r="D5195" s="68"/>
      <c r="E5195" s="10"/>
      <c r="F5195" s="69"/>
      <c r="G5195" s="68"/>
      <c r="H5195" s="70"/>
      <c r="BA5195" s="4"/>
      <c r="BB5195" s="4"/>
    </row>
    <row r="5196" spans="1:54" x14ac:dyDescent="0.3">
      <c r="A5196" s="66"/>
      <c r="B5196" s="67"/>
      <c r="C5196" s="66"/>
      <c r="D5196" s="68"/>
      <c r="E5196" s="10"/>
      <c r="F5196" s="69"/>
      <c r="G5196" s="68"/>
      <c r="H5196" s="70"/>
      <c r="BA5196" s="4"/>
      <c r="BB5196" s="4"/>
    </row>
    <row r="5197" spans="1:54" x14ac:dyDescent="0.3">
      <c r="A5197" s="66"/>
      <c r="B5197" s="67"/>
      <c r="C5197" s="66"/>
      <c r="D5197" s="68"/>
      <c r="E5197" s="10"/>
      <c r="F5197" s="69"/>
      <c r="G5197" s="68"/>
      <c r="H5197" s="70"/>
      <c r="BA5197" s="4"/>
      <c r="BB5197" s="4"/>
    </row>
    <row r="5198" spans="1:54" x14ac:dyDescent="0.3">
      <c r="A5198" s="66"/>
      <c r="B5198" s="67"/>
      <c r="C5198" s="66"/>
      <c r="D5198" s="68"/>
      <c r="E5198" s="10"/>
      <c r="F5198" s="69"/>
      <c r="G5198" s="68"/>
      <c r="H5198" s="70"/>
      <c r="BA5198" s="4"/>
      <c r="BB5198" s="4"/>
    </row>
    <row r="5199" spans="1:54" x14ac:dyDescent="0.3">
      <c r="A5199" s="66"/>
      <c r="B5199" s="67"/>
      <c r="C5199" s="66"/>
      <c r="D5199" s="68"/>
      <c r="E5199" s="10"/>
      <c r="F5199" s="69"/>
      <c r="G5199" s="68"/>
      <c r="H5199" s="70"/>
      <c r="BA5199" s="4"/>
      <c r="BB5199" s="4"/>
    </row>
    <row r="5200" spans="1:54" x14ac:dyDescent="0.3">
      <c r="A5200" s="66"/>
      <c r="B5200" s="67"/>
      <c r="C5200" s="66"/>
      <c r="D5200" s="68"/>
      <c r="E5200" s="10"/>
      <c r="F5200" s="69"/>
      <c r="G5200" s="68"/>
      <c r="H5200" s="70"/>
      <c r="BA5200" s="4"/>
      <c r="BB5200" s="4"/>
    </row>
    <row r="5201" spans="1:54" x14ac:dyDescent="0.3">
      <c r="A5201" s="66"/>
      <c r="B5201" s="67"/>
      <c r="C5201" s="66"/>
      <c r="D5201" s="68"/>
      <c r="E5201" s="10"/>
      <c r="F5201" s="69"/>
      <c r="G5201" s="68"/>
      <c r="H5201" s="70"/>
      <c r="BA5201" s="4"/>
      <c r="BB5201" s="4"/>
    </row>
    <row r="5202" spans="1:54" x14ac:dyDescent="0.3">
      <c r="A5202" s="66"/>
      <c r="B5202" s="67"/>
      <c r="C5202" s="66"/>
      <c r="D5202" s="68"/>
      <c r="E5202" s="10"/>
      <c r="F5202" s="69"/>
      <c r="G5202" s="68"/>
      <c r="H5202" s="70"/>
      <c r="BA5202" s="4"/>
      <c r="BB5202" s="4"/>
    </row>
    <row r="5203" spans="1:54" x14ac:dyDescent="0.3">
      <c r="A5203" s="66"/>
      <c r="B5203" s="67"/>
      <c r="C5203" s="66"/>
      <c r="D5203" s="68"/>
      <c r="E5203" s="10"/>
      <c r="F5203" s="69"/>
      <c r="G5203" s="68"/>
      <c r="H5203" s="70"/>
      <c r="BA5203" s="4"/>
      <c r="BB5203" s="4"/>
    </row>
    <row r="5204" spans="1:54" x14ac:dyDescent="0.3">
      <c r="A5204" s="66"/>
      <c r="B5204" s="67"/>
      <c r="C5204" s="66"/>
      <c r="D5204" s="68"/>
      <c r="E5204" s="10"/>
      <c r="F5204" s="69"/>
      <c r="G5204" s="68"/>
      <c r="H5204" s="70"/>
      <c r="BA5204" s="4"/>
      <c r="BB5204" s="4"/>
    </row>
    <row r="5205" spans="1:54" x14ac:dyDescent="0.3">
      <c r="A5205" s="66"/>
      <c r="B5205" s="67"/>
      <c r="C5205" s="66"/>
      <c r="D5205" s="68"/>
      <c r="E5205" s="10"/>
      <c r="F5205" s="69"/>
      <c r="G5205" s="68"/>
      <c r="H5205" s="70"/>
      <c r="BA5205" s="4"/>
      <c r="BB5205" s="4"/>
    </row>
    <row r="5206" spans="1:54" x14ac:dyDescent="0.3">
      <c r="A5206" s="66"/>
      <c r="B5206" s="67"/>
      <c r="C5206" s="66"/>
      <c r="D5206" s="68"/>
      <c r="E5206" s="10"/>
      <c r="F5206" s="69"/>
      <c r="G5206" s="68"/>
      <c r="H5206" s="70"/>
      <c r="BA5206" s="4"/>
      <c r="BB5206" s="4"/>
    </row>
    <row r="5207" spans="1:54" x14ac:dyDescent="0.3">
      <c r="A5207" s="66"/>
      <c r="B5207" s="67"/>
      <c r="C5207" s="66"/>
      <c r="D5207" s="68"/>
      <c r="E5207" s="10"/>
      <c r="F5207" s="69"/>
      <c r="G5207" s="68"/>
      <c r="H5207" s="70"/>
      <c r="BA5207" s="4"/>
      <c r="BB5207" s="4"/>
    </row>
    <row r="5208" spans="1:54" x14ac:dyDescent="0.3">
      <c r="A5208" s="66"/>
      <c r="B5208" s="67"/>
      <c r="C5208" s="66"/>
      <c r="D5208" s="68"/>
      <c r="E5208" s="10"/>
      <c r="F5208" s="69"/>
      <c r="G5208" s="68"/>
      <c r="H5208" s="70"/>
      <c r="BA5208" s="4"/>
      <c r="BB5208" s="4"/>
    </row>
    <row r="5209" spans="1:54" x14ac:dyDescent="0.3">
      <c r="A5209" s="66"/>
      <c r="B5209" s="67"/>
      <c r="C5209" s="66"/>
      <c r="D5209" s="68"/>
      <c r="E5209" s="10"/>
      <c r="F5209" s="69"/>
      <c r="G5209" s="68"/>
      <c r="H5209" s="70"/>
      <c r="BA5209" s="4"/>
      <c r="BB5209" s="4"/>
    </row>
    <row r="5210" spans="1:54" x14ac:dyDescent="0.3">
      <c r="A5210" s="66"/>
      <c r="B5210" s="67"/>
      <c r="C5210" s="66"/>
      <c r="D5210" s="68"/>
      <c r="E5210" s="10"/>
      <c r="F5210" s="69"/>
      <c r="G5210" s="68"/>
      <c r="H5210" s="70"/>
      <c r="BA5210" s="4"/>
      <c r="BB5210" s="4"/>
    </row>
    <row r="5211" spans="1:54" x14ac:dyDescent="0.3">
      <c r="A5211" s="66"/>
      <c r="B5211" s="67"/>
      <c r="C5211" s="66"/>
      <c r="D5211" s="68"/>
      <c r="E5211" s="10"/>
      <c r="F5211" s="69"/>
      <c r="G5211" s="68"/>
      <c r="H5211" s="70"/>
      <c r="BA5211" s="4"/>
      <c r="BB5211" s="4"/>
    </row>
    <row r="5212" spans="1:54" x14ac:dyDescent="0.3">
      <c r="A5212" s="66"/>
      <c r="B5212" s="67"/>
      <c r="C5212" s="66"/>
      <c r="D5212" s="68"/>
      <c r="E5212" s="10"/>
      <c r="F5212" s="69"/>
      <c r="G5212" s="68"/>
      <c r="H5212" s="70"/>
      <c r="BA5212" s="4"/>
      <c r="BB5212" s="4"/>
    </row>
    <row r="5213" spans="1:54" x14ac:dyDescent="0.3">
      <c r="A5213" s="66"/>
      <c r="B5213" s="67"/>
      <c r="C5213" s="66"/>
      <c r="D5213" s="68"/>
      <c r="E5213" s="10"/>
      <c r="F5213" s="69"/>
      <c r="G5213" s="68"/>
      <c r="H5213" s="70"/>
      <c r="BA5213" s="4"/>
      <c r="BB5213" s="4"/>
    </row>
    <row r="5214" spans="1:54" x14ac:dyDescent="0.3">
      <c r="A5214" s="66"/>
      <c r="B5214" s="67"/>
      <c r="C5214" s="66"/>
      <c r="D5214" s="68"/>
      <c r="E5214" s="10"/>
      <c r="F5214" s="69"/>
      <c r="G5214" s="68"/>
      <c r="H5214" s="70"/>
      <c r="BA5214" s="4"/>
      <c r="BB5214" s="4"/>
    </row>
    <row r="5215" spans="1:54" x14ac:dyDescent="0.3">
      <c r="A5215" s="66"/>
      <c r="B5215" s="67"/>
      <c r="C5215" s="66"/>
      <c r="D5215" s="68"/>
      <c r="E5215" s="10"/>
      <c r="F5215" s="69"/>
      <c r="G5215" s="68"/>
      <c r="H5215" s="70"/>
      <c r="BA5215" s="4"/>
      <c r="BB5215" s="4"/>
    </row>
    <row r="5216" spans="1:54" x14ac:dyDescent="0.3">
      <c r="A5216" s="66"/>
      <c r="B5216" s="67"/>
      <c r="C5216" s="66"/>
      <c r="D5216" s="68"/>
      <c r="E5216" s="10"/>
      <c r="F5216" s="69"/>
      <c r="G5216" s="68"/>
      <c r="H5216" s="70"/>
      <c r="BA5216" s="4"/>
      <c r="BB5216" s="4"/>
    </row>
    <row r="5217" spans="1:54" x14ac:dyDescent="0.3">
      <c r="A5217" s="66"/>
      <c r="B5217" s="67"/>
      <c r="C5217" s="66"/>
      <c r="D5217" s="68"/>
      <c r="E5217" s="10"/>
      <c r="F5217" s="69"/>
      <c r="G5217" s="68"/>
      <c r="H5217" s="70"/>
      <c r="BA5217" s="4"/>
      <c r="BB5217" s="4"/>
    </row>
    <row r="5218" spans="1:54" x14ac:dyDescent="0.3">
      <c r="A5218" s="66"/>
      <c r="B5218" s="67"/>
      <c r="C5218" s="66"/>
      <c r="D5218" s="68"/>
      <c r="E5218" s="10"/>
      <c r="F5218" s="69"/>
      <c r="G5218" s="68"/>
      <c r="H5218" s="70"/>
      <c r="BA5218" s="4"/>
      <c r="BB5218" s="4"/>
    </row>
    <row r="5219" spans="1:54" x14ac:dyDescent="0.3">
      <c r="A5219" s="66"/>
      <c r="B5219" s="67"/>
      <c r="C5219" s="66"/>
      <c r="D5219" s="68"/>
      <c r="E5219" s="10"/>
      <c r="F5219" s="69"/>
      <c r="G5219" s="68"/>
      <c r="H5219" s="70"/>
      <c r="BA5219" s="4"/>
      <c r="BB5219" s="4"/>
    </row>
    <row r="5220" spans="1:54" x14ac:dyDescent="0.3">
      <c r="A5220" s="66"/>
      <c r="B5220" s="67"/>
      <c r="C5220" s="66"/>
      <c r="D5220" s="68"/>
      <c r="E5220" s="10"/>
      <c r="F5220" s="69"/>
      <c r="G5220" s="68"/>
      <c r="H5220" s="70"/>
      <c r="BA5220" s="4"/>
      <c r="BB5220" s="4"/>
    </row>
    <row r="5221" spans="1:54" x14ac:dyDescent="0.3">
      <c r="A5221" s="66"/>
      <c r="B5221" s="67"/>
      <c r="C5221" s="66"/>
      <c r="D5221" s="68"/>
      <c r="E5221" s="10"/>
      <c r="F5221" s="69"/>
      <c r="G5221" s="68"/>
      <c r="H5221" s="70"/>
      <c r="BA5221" s="4"/>
      <c r="BB5221" s="4"/>
    </row>
    <row r="5222" spans="1:54" x14ac:dyDescent="0.3">
      <c r="A5222" s="66"/>
      <c r="B5222" s="67"/>
      <c r="C5222" s="66"/>
      <c r="D5222" s="68"/>
      <c r="E5222" s="10"/>
      <c r="F5222" s="69"/>
      <c r="G5222" s="68"/>
      <c r="H5222" s="70"/>
      <c r="BA5222" s="4"/>
      <c r="BB5222" s="4"/>
    </row>
    <row r="5223" spans="1:54" x14ac:dyDescent="0.3">
      <c r="A5223" s="66"/>
      <c r="B5223" s="67"/>
      <c r="C5223" s="66"/>
      <c r="D5223" s="68"/>
      <c r="E5223" s="10"/>
      <c r="F5223" s="69"/>
      <c r="G5223" s="68"/>
      <c r="H5223" s="70"/>
      <c r="BA5223" s="4"/>
      <c r="BB5223" s="4"/>
    </row>
    <row r="5224" spans="1:54" x14ac:dyDescent="0.3">
      <c r="A5224" s="66"/>
      <c r="B5224" s="67"/>
      <c r="C5224" s="66"/>
      <c r="D5224" s="68"/>
      <c r="E5224" s="10"/>
      <c r="F5224" s="69"/>
      <c r="G5224" s="68"/>
      <c r="H5224" s="70"/>
      <c r="BA5224" s="4"/>
      <c r="BB5224" s="4"/>
    </row>
    <row r="5225" spans="1:54" x14ac:dyDescent="0.3">
      <c r="A5225" s="66"/>
      <c r="B5225" s="67"/>
      <c r="C5225" s="66"/>
      <c r="D5225" s="68"/>
      <c r="E5225" s="10"/>
      <c r="F5225" s="69"/>
      <c r="G5225" s="68"/>
      <c r="H5225" s="70"/>
      <c r="BA5225" s="4"/>
      <c r="BB5225" s="4"/>
    </row>
    <row r="5226" spans="1:54" x14ac:dyDescent="0.3">
      <c r="A5226" s="66"/>
      <c r="B5226" s="67"/>
      <c r="C5226" s="66"/>
      <c r="D5226" s="68"/>
      <c r="E5226" s="10"/>
      <c r="F5226" s="69"/>
      <c r="G5226" s="68"/>
      <c r="H5226" s="70"/>
      <c r="BA5226" s="4"/>
      <c r="BB5226" s="4"/>
    </row>
    <row r="5227" spans="1:54" x14ac:dyDescent="0.3">
      <c r="A5227" s="66"/>
      <c r="B5227" s="67"/>
      <c r="C5227" s="66"/>
      <c r="D5227" s="68"/>
      <c r="E5227" s="10"/>
      <c r="F5227" s="69"/>
      <c r="G5227" s="68"/>
      <c r="H5227" s="70"/>
      <c r="BA5227" s="4"/>
      <c r="BB5227" s="4"/>
    </row>
    <row r="5228" spans="1:54" x14ac:dyDescent="0.3">
      <c r="A5228" s="66"/>
      <c r="B5228" s="67"/>
      <c r="C5228" s="66"/>
      <c r="D5228" s="68"/>
      <c r="E5228" s="10"/>
      <c r="F5228" s="69"/>
      <c r="G5228" s="68"/>
      <c r="H5228" s="70"/>
      <c r="BA5228" s="4"/>
      <c r="BB5228" s="4"/>
    </row>
    <row r="5229" spans="1:54" x14ac:dyDescent="0.3">
      <c r="A5229" s="66"/>
      <c r="B5229" s="67"/>
      <c r="C5229" s="66"/>
      <c r="D5229" s="68"/>
      <c r="E5229" s="10"/>
      <c r="F5229" s="69"/>
      <c r="G5229" s="68"/>
      <c r="H5229" s="70"/>
      <c r="BA5229" s="4"/>
      <c r="BB5229" s="4"/>
    </row>
    <row r="5230" spans="1:54" x14ac:dyDescent="0.3">
      <c r="A5230" s="66"/>
      <c r="B5230" s="67"/>
      <c r="C5230" s="66"/>
      <c r="D5230" s="68"/>
      <c r="E5230" s="10"/>
      <c r="F5230" s="69"/>
      <c r="G5230" s="68"/>
      <c r="H5230" s="70"/>
      <c r="BA5230" s="4"/>
      <c r="BB5230" s="4"/>
    </row>
    <row r="5231" spans="1:54" x14ac:dyDescent="0.3">
      <c r="A5231" s="66"/>
      <c r="B5231" s="67"/>
      <c r="C5231" s="66"/>
      <c r="D5231" s="68"/>
      <c r="E5231" s="10"/>
      <c r="F5231" s="69"/>
      <c r="G5231" s="68"/>
      <c r="H5231" s="70"/>
      <c r="BA5231" s="4"/>
      <c r="BB5231" s="4"/>
    </row>
    <row r="5232" spans="1:54" x14ac:dyDescent="0.3">
      <c r="A5232" s="66"/>
      <c r="B5232" s="67"/>
      <c r="C5232" s="66"/>
      <c r="D5232" s="68"/>
      <c r="E5232" s="10"/>
      <c r="F5232" s="69"/>
      <c r="G5232" s="68"/>
      <c r="H5232" s="70"/>
      <c r="BA5232" s="4"/>
      <c r="BB5232" s="4"/>
    </row>
    <row r="5233" spans="1:54" x14ac:dyDescent="0.3">
      <c r="A5233" s="66"/>
      <c r="B5233" s="67"/>
      <c r="C5233" s="66"/>
      <c r="D5233" s="68"/>
      <c r="E5233" s="10"/>
      <c r="F5233" s="69"/>
      <c r="G5233" s="68"/>
      <c r="H5233" s="70"/>
      <c r="BA5233" s="4"/>
      <c r="BB5233" s="4"/>
    </row>
    <row r="5234" spans="1:54" x14ac:dyDescent="0.3">
      <c r="A5234" s="66"/>
      <c r="B5234" s="67"/>
      <c r="C5234" s="66"/>
      <c r="D5234" s="68"/>
      <c r="E5234" s="10"/>
      <c r="F5234" s="69"/>
      <c r="G5234" s="68"/>
      <c r="H5234" s="70"/>
      <c r="BA5234" s="4"/>
      <c r="BB5234" s="4"/>
    </row>
    <row r="5235" spans="1:54" x14ac:dyDescent="0.3">
      <c r="A5235" s="66"/>
      <c r="B5235" s="67"/>
      <c r="C5235" s="66"/>
      <c r="D5235" s="68"/>
      <c r="E5235" s="10"/>
      <c r="F5235" s="69"/>
      <c r="G5235" s="68"/>
      <c r="H5235" s="70"/>
      <c r="BA5235" s="4"/>
      <c r="BB5235" s="4"/>
    </row>
    <row r="5236" spans="1:54" x14ac:dyDescent="0.3">
      <c r="A5236" s="66"/>
      <c r="B5236" s="67"/>
      <c r="C5236" s="66"/>
      <c r="D5236" s="68"/>
      <c r="E5236" s="10"/>
      <c r="F5236" s="69"/>
      <c r="G5236" s="68"/>
      <c r="H5236" s="70"/>
      <c r="BA5236" s="4"/>
      <c r="BB5236" s="4"/>
    </row>
    <row r="5237" spans="1:54" x14ac:dyDescent="0.3">
      <c r="A5237" s="66"/>
      <c r="B5237" s="67"/>
      <c r="C5237" s="66"/>
      <c r="D5237" s="68"/>
      <c r="E5237" s="10"/>
      <c r="F5237" s="69"/>
      <c r="G5237" s="68"/>
      <c r="H5237" s="70"/>
      <c r="BA5237" s="4"/>
      <c r="BB5237" s="4"/>
    </row>
    <row r="5238" spans="1:54" x14ac:dyDescent="0.3">
      <c r="A5238" s="66"/>
      <c r="B5238" s="67"/>
      <c r="C5238" s="66"/>
      <c r="D5238" s="68"/>
      <c r="E5238" s="10"/>
      <c r="F5238" s="69"/>
      <c r="G5238" s="68"/>
      <c r="H5238" s="70"/>
      <c r="BA5238" s="4"/>
      <c r="BB5238" s="4"/>
    </row>
    <row r="5239" spans="1:54" x14ac:dyDescent="0.3">
      <c r="A5239" s="66"/>
      <c r="B5239" s="67"/>
      <c r="C5239" s="66"/>
      <c r="D5239" s="68"/>
      <c r="E5239" s="10"/>
      <c r="F5239" s="69"/>
      <c r="G5239" s="68"/>
      <c r="H5239" s="70"/>
      <c r="BA5239" s="4"/>
      <c r="BB5239" s="4"/>
    </row>
    <row r="5240" spans="1:54" x14ac:dyDescent="0.3">
      <c r="A5240" s="66"/>
      <c r="B5240" s="67"/>
      <c r="C5240" s="66"/>
      <c r="D5240" s="68"/>
      <c r="E5240" s="10"/>
      <c r="F5240" s="69"/>
      <c r="G5240" s="68"/>
      <c r="H5240" s="70"/>
      <c r="BA5240" s="4"/>
      <c r="BB5240" s="4"/>
    </row>
    <row r="5241" spans="1:54" x14ac:dyDescent="0.3">
      <c r="A5241" s="66"/>
      <c r="B5241" s="67"/>
      <c r="C5241" s="66"/>
      <c r="D5241" s="68"/>
      <c r="E5241" s="10"/>
      <c r="F5241" s="69"/>
      <c r="G5241" s="68"/>
      <c r="H5241" s="70"/>
      <c r="BA5241" s="4"/>
      <c r="BB5241" s="4"/>
    </row>
    <row r="5242" spans="1:54" x14ac:dyDescent="0.3">
      <c r="A5242" s="66"/>
      <c r="B5242" s="67"/>
      <c r="C5242" s="66"/>
      <c r="D5242" s="68"/>
      <c r="E5242" s="10"/>
      <c r="F5242" s="69"/>
      <c r="G5242" s="68"/>
      <c r="H5242" s="70"/>
      <c r="BA5242" s="4"/>
      <c r="BB5242" s="4"/>
    </row>
    <row r="5243" spans="1:54" x14ac:dyDescent="0.3">
      <c r="A5243" s="66"/>
      <c r="B5243" s="67"/>
      <c r="C5243" s="66"/>
      <c r="D5243" s="68"/>
      <c r="E5243" s="10"/>
      <c r="F5243" s="69"/>
      <c r="G5243" s="68"/>
      <c r="H5243" s="70"/>
      <c r="BA5243" s="4"/>
      <c r="BB5243" s="4"/>
    </row>
    <row r="5244" spans="1:54" x14ac:dyDescent="0.3">
      <c r="A5244" s="66"/>
      <c r="B5244" s="67"/>
      <c r="C5244" s="66"/>
      <c r="D5244" s="68"/>
      <c r="E5244" s="10"/>
      <c r="F5244" s="69"/>
      <c r="G5244" s="68"/>
      <c r="H5244" s="70"/>
      <c r="BA5244" s="4"/>
      <c r="BB5244" s="4"/>
    </row>
    <row r="5245" spans="1:54" x14ac:dyDescent="0.3">
      <c r="A5245" s="66"/>
      <c r="B5245" s="67"/>
      <c r="C5245" s="66"/>
      <c r="D5245" s="68"/>
      <c r="E5245" s="10"/>
      <c r="F5245" s="69"/>
      <c r="G5245" s="68"/>
      <c r="H5245" s="70"/>
      <c r="BA5245" s="4"/>
      <c r="BB5245" s="4"/>
    </row>
    <row r="5246" spans="1:54" x14ac:dyDescent="0.3">
      <c r="A5246" s="66"/>
      <c r="B5246" s="67"/>
      <c r="C5246" s="66"/>
      <c r="D5246" s="68"/>
      <c r="E5246" s="10"/>
      <c r="F5246" s="69"/>
      <c r="G5246" s="68"/>
      <c r="H5246" s="70"/>
      <c r="BA5246" s="4"/>
      <c r="BB5246" s="4"/>
    </row>
    <row r="5247" spans="1:54" x14ac:dyDescent="0.3">
      <c r="A5247" s="66"/>
      <c r="B5247" s="67"/>
      <c r="C5247" s="66"/>
      <c r="D5247" s="68"/>
      <c r="E5247" s="10"/>
      <c r="F5247" s="69"/>
      <c r="G5247" s="68"/>
      <c r="H5247" s="70"/>
      <c r="BA5247" s="4"/>
      <c r="BB5247" s="4"/>
    </row>
    <row r="5248" spans="1:54" x14ac:dyDescent="0.3">
      <c r="A5248" s="66"/>
      <c r="B5248" s="67"/>
      <c r="C5248" s="66"/>
      <c r="D5248" s="68"/>
      <c r="E5248" s="10"/>
      <c r="F5248" s="69"/>
      <c r="G5248" s="68"/>
      <c r="H5248" s="70"/>
      <c r="BA5248" s="4"/>
      <c r="BB5248" s="4"/>
    </row>
    <row r="5249" spans="1:54" x14ac:dyDescent="0.3">
      <c r="A5249" s="66"/>
      <c r="B5249" s="67"/>
      <c r="C5249" s="66"/>
      <c r="D5249" s="68"/>
      <c r="E5249" s="10"/>
      <c r="F5249" s="69"/>
      <c r="G5249" s="68"/>
      <c r="H5249" s="70"/>
      <c r="BA5249" s="4"/>
      <c r="BB5249" s="4"/>
    </row>
    <row r="5250" spans="1:54" x14ac:dyDescent="0.3">
      <c r="A5250" s="66"/>
      <c r="B5250" s="67"/>
      <c r="C5250" s="66"/>
      <c r="D5250" s="68"/>
      <c r="E5250" s="10"/>
      <c r="F5250" s="69"/>
      <c r="G5250" s="68"/>
      <c r="H5250" s="70"/>
      <c r="BA5250" s="4"/>
      <c r="BB5250" s="4"/>
    </row>
    <row r="5251" spans="1:54" x14ac:dyDescent="0.3">
      <c r="A5251" s="66"/>
      <c r="B5251" s="67"/>
      <c r="C5251" s="66"/>
      <c r="D5251" s="68"/>
      <c r="E5251" s="10"/>
      <c r="F5251" s="69"/>
      <c r="G5251" s="68"/>
      <c r="H5251" s="70"/>
      <c r="BA5251" s="4"/>
      <c r="BB5251" s="4"/>
    </row>
    <row r="5252" spans="1:54" x14ac:dyDescent="0.3">
      <c r="A5252" s="66"/>
      <c r="B5252" s="67"/>
      <c r="C5252" s="66"/>
      <c r="D5252" s="68"/>
      <c r="E5252" s="10"/>
      <c r="F5252" s="69"/>
      <c r="G5252" s="68"/>
      <c r="H5252" s="70"/>
      <c r="BA5252" s="4"/>
      <c r="BB5252" s="4"/>
    </row>
    <row r="5253" spans="1:54" x14ac:dyDescent="0.3">
      <c r="A5253" s="66"/>
      <c r="B5253" s="67"/>
      <c r="C5253" s="66"/>
      <c r="D5253" s="68"/>
      <c r="E5253" s="10"/>
      <c r="F5253" s="69"/>
      <c r="G5253" s="68"/>
      <c r="H5253" s="70"/>
      <c r="BA5253" s="4"/>
      <c r="BB5253" s="4"/>
    </row>
    <row r="5254" spans="1:54" x14ac:dyDescent="0.3">
      <c r="A5254" s="66"/>
      <c r="B5254" s="67"/>
      <c r="C5254" s="66"/>
      <c r="D5254" s="68"/>
      <c r="E5254" s="10"/>
      <c r="F5254" s="69"/>
      <c r="G5254" s="68"/>
      <c r="H5254" s="70"/>
      <c r="BA5254" s="4"/>
      <c r="BB5254" s="4"/>
    </row>
    <row r="5255" spans="1:54" x14ac:dyDescent="0.3">
      <c r="A5255" s="66"/>
      <c r="B5255" s="67"/>
      <c r="C5255" s="66"/>
      <c r="D5255" s="68"/>
      <c r="E5255" s="10"/>
      <c r="F5255" s="69"/>
      <c r="G5255" s="68"/>
      <c r="H5255" s="70"/>
      <c r="BA5255" s="4"/>
      <c r="BB5255" s="4"/>
    </row>
    <row r="5256" spans="1:54" x14ac:dyDescent="0.3">
      <c r="A5256" s="66"/>
      <c r="B5256" s="67"/>
      <c r="C5256" s="66"/>
      <c r="D5256" s="68"/>
      <c r="E5256" s="10"/>
      <c r="F5256" s="69"/>
      <c r="G5256" s="68"/>
      <c r="H5256" s="70"/>
      <c r="BA5256" s="4"/>
      <c r="BB5256" s="4"/>
    </row>
    <row r="5257" spans="1:54" x14ac:dyDescent="0.3">
      <c r="A5257" s="66"/>
      <c r="B5257" s="67"/>
      <c r="C5257" s="66"/>
      <c r="D5257" s="68"/>
      <c r="E5257" s="10"/>
      <c r="F5257" s="69"/>
      <c r="G5257" s="68"/>
      <c r="H5257" s="70"/>
      <c r="BA5257" s="4"/>
      <c r="BB5257" s="4"/>
    </row>
    <row r="5258" spans="1:54" x14ac:dyDescent="0.3">
      <c r="A5258" s="66"/>
      <c r="B5258" s="67"/>
      <c r="C5258" s="66"/>
      <c r="D5258" s="68"/>
      <c r="E5258" s="10"/>
      <c r="F5258" s="69"/>
      <c r="G5258" s="68"/>
      <c r="H5258" s="70"/>
      <c r="BA5258" s="4"/>
      <c r="BB5258" s="4"/>
    </row>
    <row r="5259" spans="1:54" x14ac:dyDescent="0.3">
      <c r="A5259" s="66"/>
      <c r="B5259" s="67"/>
      <c r="C5259" s="66"/>
      <c r="D5259" s="68"/>
      <c r="E5259" s="10"/>
      <c r="F5259" s="69"/>
      <c r="G5259" s="68"/>
      <c r="H5259" s="70"/>
      <c r="BA5259" s="4"/>
      <c r="BB5259" s="4"/>
    </row>
    <row r="5260" spans="1:54" x14ac:dyDescent="0.3">
      <c r="A5260" s="66"/>
      <c r="B5260" s="67"/>
      <c r="C5260" s="66"/>
      <c r="D5260" s="68"/>
      <c r="E5260" s="10"/>
      <c r="F5260" s="69"/>
      <c r="G5260" s="68"/>
      <c r="H5260" s="70"/>
      <c r="BA5260" s="4"/>
      <c r="BB5260" s="4"/>
    </row>
    <row r="5261" spans="1:54" x14ac:dyDescent="0.3">
      <c r="A5261" s="66"/>
      <c r="B5261" s="67"/>
      <c r="C5261" s="66"/>
      <c r="D5261" s="68"/>
      <c r="E5261" s="10"/>
      <c r="F5261" s="69"/>
      <c r="G5261" s="68"/>
      <c r="H5261" s="70"/>
      <c r="BA5261" s="4"/>
      <c r="BB5261" s="4"/>
    </row>
    <row r="5262" spans="1:54" x14ac:dyDescent="0.3">
      <c r="A5262" s="66"/>
      <c r="B5262" s="67"/>
      <c r="C5262" s="66"/>
      <c r="D5262" s="68"/>
      <c r="E5262" s="10"/>
      <c r="F5262" s="69"/>
      <c r="G5262" s="68"/>
      <c r="H5262" s="70"/>
      <c r="BA5262" s="4"/>
      <c r="BB5262" s="4"/>
    </row>
    <row r="5263" spans="1:54" x14ac:dyDescent="0.3">
      <c r="A5263" s="66"/>
      <c r="B5263" s="67"/>
      <c r="C5263" s="66"/>
      <c r="D5263" s="68"/>
      <c r="E5263" s="10"/>
      <c r="F5263" s="69"/>
      <c r="G5263" s="68"/>
      <c r="H5263" s="70"/>
      <c r="BA5263" s="4"/>
      <c r="BB5263" s="4"/>
    </row>
    <row r="5264" spans="1:54" x14ac:dyDescent="0.3">
      <c r="A5264" s="66"/>
      <c r="B5264" s="67"/>
      <c r="C5264" s="66"/>
      <c r="D5264" s="68"/>
      <c r="E5264" s="10"/>
      <c r="F5264" s="69"/>
      <c r="G5264" s="68"/>
      <c r="H5264" s="70"/>
      <c r="BA5264" s="4"/>
      <c r="BB5264" s="4"/>
    </row>
    <row r="5265" spans="1:54" x14ac:dyDescent="0.3">
      <c r="A5265" s="66"/>
      <c r="B5265" s="67"/>
      <c r="C5265" s="66"/>
      <c r="D5265" s="68"/>
      <c r="E5265" s="10"/>
      <c r="F5265" s="69"/>
      <c r="G5265" s="68"/>
      <c r="H5265" s="70"/>
      <c r="BA5265" s="4"/>
      <c r="BB5265" s="4"/>
    </row>
    <row r="5266" spans="1:54" x14ac:dyDescent="0.3">
      <c r="A5266" s="66"/>
      <c r="B5266" s="67"/>
      <c r="C5266" s="66"/>
      <c r="D5266" s="68"/>
      <c r="E5266" s="10"/>
      <c r="F5266" s="69"/>
      <c r="G5266" s="68"/>
      <c r="H5266" s="70"/>
      <c r="BA5266" s="4"/>
      <c r="BB5266" s="4"/>
    </row>
    <row r="5267" spans="1:54" x14ac:dyDescent="0.3">
      <c r="A5267" s="66"/>
      <c r="B5267" s="67"/>
      <c r="C5267" s="66"/>
      <c r="D5267" s="68"/>
      <c r="E5267" s="10"/>
      <c r="F5267" s="69"/>
      <c r="G5267" s="68"/>
      <c r="H5267" s="70"/>
      <c r="BA5267" s="4"/>
      <c r="BB5267" s="4"/>
    </row>
    <row r="5268" spans="1:54" x14ac:dyDescent="0.3">
      <c r="A5268" s="66"/>
      <c r="B5268" s="67"/>
      <c r="C5268" s="66"/>
      <c r="D5268" s="68"/>
      <c r="E5268" s="10"/>
      <c r="F5268" s="69"/>
      <c r="G5268" s="68"/>
      <c r="H5268" s="70"/>
      <c r="BA5268" s="4"/>
      <c r="BB5268" s="4"/>
    </row>
    <row r="5269" spans="1:54" x14ac:dyDescent="0.3">
      <c r="A5269" s="66"/>
      <c r="B5269" s="67"/>
      <c r="C5269" s="66"/>
      <c r="D5269" s="68"/>
      <c r="E5269" s="10"/>
      <c r="F5269" s="69"/>
      <c r="G5269" s="68"/>
      <c r="H5269" s="70"/>
      <c r="BA5269" s="4"/>
      <c r="BB5269" s="4"/>
    </row>
    <row r="5270" spans="1:54" x14ac:dyDescent="0.3">
      <c r="A5270" s="66"/>
      <c r="B5270" s="67"/>
      <c r="C5270" s="66"/>
      <c r="D5270" s="68"/>
      <c r="E5270" s="10"/>
      <c r="F5270" s="69"/>
      <c r="G5270" s="68"/>
      <c r="H5270" s="70"/>
      <c r="BA5270" s="4"/>
      <c r="BB5270" s="4"/>
    </row>
    <row r="5271" spans="1:54" x14ac:dyDescent="0.3">
      <c r="A5271" s="66"/>
      <c r="B5271" s="67"/>
      <c r="C5271" s="66"/>
      <c r="D5271" s="68"/>
      <c r="E5271" s="10"/>
      <c r="F5271" s="69"/>
      <c r="G5271" s="68"/>
      <c r="H5271" s="70"/>
      <c r="BA5271" s="4"/>
      <c r="BB5271" s="4"/>
    </row>
    <row r="5272" spans="1:54" x14ac:dyDescent="0.3">
      <c r="A5272" s="66"/>
      <c r="B5272" s="67"/>
      <c r="C5272" s="66"/>
      <c r="D5272" s="68"/>
      <c r="E5272" s="10"/>
      <c r="F5272" s="69"/>
      <c r="G5272" s="68"/>
      <c r="H5272" s="70"/>
      <c r="BA5272" s="4"/>
      <c r="BB5272" s="4"/>
    </row>
    <row r="5273" spans="1:54" x14ac:dyDescent="0.3">
      <c r="A5273" s="66"/>
      <c r="B5273" s="67"/>
      <c r="C5273" s="66"/>
      <c r="D5273" s="68"/>
      <c r="E5273" s="10"/>
      <c r="F5273" s="69"/>
      <c r="G5273" s="68"/>
      <c r="H5273" s="70"/>
      <c r="BA5273" s="4"/>
      <c r="BB5273" s="4"/>
    </row>
    <row r="5274" spans="1:54" x14ac:dyDescent="0.3">
      <c r="A5274" s="66"/>
      <c r="B5274" s="67"/>
      <c r="C5274" s="66"/>
      <c r="D5274" s="68"/>
      <c r="E5274" s="10"/>
      <c r="F5274" s="69"/>
      <c r="G5274" s="68"/>
      <c r="H5274" s="70"/>
      <c r="BA5274" s="4"/>
      <c r="BB5274" s="4"/>
    </row>
    <row r="5275" spans="1:54" x14ac:dyDescent="0.3">
      <c r="A5275" s="66"/>
      <c r="B5275" s="67"/>
      <c r="C5275" s="66"/>
      <c r="D5275" s="68"/>
      <c r="E5275" s="10"/>
      <c r="F5275" s="69"/>
      <c r="G5275" s="68"/>
      <c r="H5275" s="70"/>
      <c r="BA5275" s="4"/>
      <c r="BB5275" s="4"/>
    </row>
    <row r="5276" spans="1:54" x14ac:dyDescent="0.3">
      <c r="A5276" s="66"/>
      <c r="B5276" s="67"/>
      <c r="C5276" s="66"/>
      <c r="D5276" s="68"/>
      <c r="E5276" s="10"/>
      <c r="F5276" s="69"/>
      <c r="G5276" s="68"/>
      <c r="H5276" s="70"/>
      <c r="BA5276" s="4"/>
      <c r="BB5276" s="4"/>
    </row>
    <row r="5277" spans="1:54" x14ac:dyDescent="0.3">
      <c r="A5277" s="66"/>
      <c r="B5277" s="67"/>
      <c r="C5277" s="66"/>
      <c r="D5277" s="68"/>
      <c r="E5277" s="10"/>
      <c r="F5277" s="69"/>
      <c r="G5277" s="68"/>
      <c r="H5277" s="70"/>
      <c r="BA5277" s="4"/>
      <c r="BB5277" s="4"/>
    </row>
    <row r="5278" spans="1:54" x14ac:dyDescent="0.3">
      <c r="A5278" s="66"/>
      <c r="B5278" s="67"/>
      <c r="C5278" s="66"/>
      <c r="D5278" s="68"/>
      <c r="E5278" s="10"/>
      <c r="F5278" s="69"/>
      <c r="G5278" s="68"/>
      <c r="H5278" s="70"/>
      <c r="BA5278" s="4"/>
      <c r="BB5278" s="4"/>
    </row>
    <row r="5279" spans="1:54" x14ac:dyDescent="0.3">
      <c r="A5279" s="66"/>
      <c r="B5279" s="67"/>
      <c r="C5279" s="66"/>
      <c r="D5279" s="68"/>
      <c r="E5279" s="10"/>
      <c r="F5279" s="69"/>
      <c r="G5279" s="68"/>
      <c r="H5279" s="70"/>
      <c r="BA5279" s="4"/>
      <c r="BB5279" s="4"/>
    </row>
    <row r="5280" spans="1:54" x14ac:dyDescent="0.3">
      <c r="A5280" s="66"/>
      <c r="B5280" s="67"/>
      <c r="C5280" s="66"/>
      <c r="D5280" s="68"/>
      <c r="E5280" s="10"/>
      <c r="F5280" s="69"/>
      <c r="G5280" s="68"/>
      <c r="H5280" s="70"/>
      <c r="BA5280" s="4"/>
      <c r="BB5280" s="4"/>
    </row>
    <row r="5281" spans="1:54" x14ac:dyDescent="0.3">
      <c r="A5281" s="66"/>
      <c r="B5281" s="67"/>
      <c r="C5281" s="66"/>
      <c r="D5281" s="68"/>
      <c r="E5281" s="10"/>
      <c r="F5281" s="69"/>
      <c r="G5281" s="68"/>
      <c r="H5281" s="70"/>
      <c r="BA5281" s="4"/>
      <c r="BB5281" s="4"/>
    </row>
    <row r="5282" spans="1:54" x14ac:dyDescent="0.3">
      <c r="A5282" s="66"/>
      <c r="B5282" s="67"/>
      <c r="C5282" s="66"/>
      <c r="D5282" s="68"/>
      <c r="E5282" s="10"/>
      <c r="F5282" s="69"/>
      <c r="G5282" s="68"/>
      <c r="H5282" s="70"/>
      <c r="BA5282" s="4"/>
      <c r="BB5282" s="4"/>
    </row>
    <row r="5283" spans="1:54" x14ac:dyDescent="0.3">
      <c r="A5283" s="66"/>
      <c r="B5283" s="67"/>
      <c r="C5283" s="66"/>
      <c r="D5283" s="68"/>
      <c r="E5283" s="10"/>
      <c r="F5283" s="69"/>
      <c r="G5283" s="68"/>
      <c r="H5283" s="70"/>
      <c r="BA5283" s="4"/>
      <c r="BB5283" s="4"/>
    </row>
    <row r="5284" spans="1:54" x14ac:dyDescent="0.3">
      <c r="A5284" s="66"/>
      <c r="B5284" s="67"/>
      <c r="C5284" s="66"/>
      <c r="D5284" s="68"/>
      <c r="E5284" s="10"/>
      <c r="F5284" s="69"/>
      <c r="G5284" s="68"/>
      <c r="H5284" s="70"/>
      <c r="BA5284" s="4"/>
      <c r="BB5284" s="4"/>
    </row>
    <row r="5285" spans="1:54" x14ac:dyDescent="0.3">
      <c r="A5285" s="66"/>
      <c r="B5285" s="67"/>
      <c r="C5285" s="66"/>
      <c r="D5285" s="68"/>
      <c r="E5285" s="10"/>
      <c r="F5285" s="69"/>
      <c r="G5285" s="68"/>
      <c r="H5285" s="70"/>
      <c r="BA5285" s="4"/>
      <c r="BB5285" s="4"/>
    </row>
    <row r="5286" spans="1:54" x14ac:dyDescent="0.3">
      <c r="A5286" s="66"/>
      <c r="B5286" s="67"/>
      <c r="C5286" s="66"/>
      <c r="D5286" s="68"/>
      <c r="E5286" s="10"/>
      <c r="F5286" s="69"/>
      <c r="G5286" s="68"/>
      <c r="H5286" s="70"/>
      <c r="BA5286" s="4"/>
      <c r="BB5286" s="4"/>
    </row>
    <row r="5287" spans="1:54" x14ac:dyDescent="0.3">
      <c r="A5287" s="66"/>
      <c r="B5287" s="67"/>
      <c r="C5287" s="66"/>
      <c r="D5287" s="68"/>
      <c r="E5287" s="10"/>
      <c r="F5287" s="69"/>
      <c r="G5287" s="68"/>
      <c r="H5287" s="70"/>
      <c r="BA5287" s="4"/>
      <c r="BB5287" s="4"/>
    </row>
    <row r="5288" spans="1:54" x14ac:dyDescent="0.3">
      <c r="A5288" s="66"/>
      <c r="B5288" s="67"/>
      <c r="C5288" s="66"/>
      <c r="D5288" s="68"/>
      <c r="E5288" s="10"/>
      <c r="F5288" s="69"/>
      <c r="G5288" s="68"/>
      <c r="H5288" s="70"/>
      <c r="BA5288" s="4"/>
      <c r="BB5288" s="4"/>
    </row>
    <row r="5289" spans="1:54" x14ac:dyDescent="0.3">
      <c r="A5289" s="66"/>
      <c r="B5289" s="67"/>
      <c r="C5289" s="66"/>
      <c r="D5289" s="68"/>
      <c r="E5289" s="10"/>
      <c r="F5289" s="69"/>
      <c r="G5289" s="68"/>
      <c r="H5289" s="70"/>
      <c r="BA5289" s="4"/>
      <c r="BB5289" s="4"/>
    </row>
    <row r="5290" spans="1:54" x14ac:dyDescent="0.3">
      <c r="A5290" s="66"/>
      <c r="B5290" s="67"/>
      <c r="C5290" s="66"/>
      <c r="D5290" s="68"/>
      <c r="E5290" s="10"/>
      <c r="F5290" s="69"/>
      <c r="G5290" s="68"/>
      <c r="H5290" s="70"/>
      <c r="BA5290" s="4"/>
      <c r="BB5290" s="4"/>
    </row>
    <row r="5291" spans="1:54" x14ac:dyDescent="0.3">
      <c r="A5291" s="66"/>
      <c r="B5291" s="67"/>
      <c r="C5291" s="66"/>
      <c r="D5291" s="68"/>
      <c r="E5291" s="10"/>
      <c r="F5291" s="69"/>
      <c r="G5291" s="68"/>
      <c r="H5291" s="70"/>
      <c r="BA5291" s="4"/>
      <c r="BB5291" s="4"/>
    </row>
    <row r="5292" spans="1:54" x14ac:dyDescent="0.3">
      <c r="A5292" s="66"/>
      <c r="B5292" s="67"/>
      <c r="C5292" s="66"/>
      <c r="D5292" s="68"/>
      <c r="E5292" s="10"/>
      <c r="F5292" s="69"/>
      <c r="G5292" s="68"/>
      <c r="H5292" s="70"/>
      <c r="BA5292" s="4"/>
      <c r="BB5292" s="4"/>
    </row>
    <row r="5293" spans="1:54" x14ac:dyDescent="0.3">
      <c r="A5293" s="66"/>
      <c r="B5293" s="67"/>
      <c r="C5293" s="66"/>
      <c r="D5293" s="68"/>
      <c r="E5293" s="10"/>
      <c r="F5293" s="69"/>
      <c r="G5293" s="68"/>
      <c r="H5293" s="70"/>
      <c r="BA5293" s="4"/>
      <c r="BB5293" s="4"/>
    </row>
    <row r="5294" spans="1:54" x14ac:dyDescent="0.3">
      <c r="A5294" s="66"/>
      <c r="B5294" s="67"/>
      <c r="C5294" s="66"/>
      <c r="D5294" s="68"/>
      <c r="E5294" s="10"/>
      <c r="F5294" s="69"/>
      <c r="G5294" s="68"/>
      <c r="H5294" s="70"/>
      <c r="BA5294" s="4"/>
      <c r="BB5294" s="4"/>
    </row>
    <row r="5295" spans="1:54" x14ac:dyDescent="0.3">
      <c r="A5295" s="66"/>
      <c r="B5295" s="67"/>
      <c r="C5295" s="66"/>
      <c r="D5295" s="68"/>
      <c r="E5295" s="10"/>
      <c r="F5295" s="69"/>
      <c r="G5295" s="68"/>
      <c r="H5295" s="70"/>
      <c r="BA5295" s="4"/>
      <c r="BB5295" s="4"/>
    </row>
    <row r="5296" spans="1:54" x14ac:dyDescent="0.3">
      <c r="A5296" s="66"/>
      <c r="B5296" s="67"/>
      <c r="C5296" s="66"/>
      <c r="D5296" s="68"/>
      <c r="E5296" s="10"/>
      <c r="F5296" s="69"/>
      <c r="G5296" s="68"/>
      <c r="H5296" s="70"/>
      <c r="BA5296" s="4"/>
      <c r="BB5296" s="4"/>
    </row>
    <row r="5297" spans="1:54" x14ac:dyDescent="0.3">
      <c r="A5297" s="66"/>
      <c r="B5297" s="67"/>
      <c r="C5297" s="66"/>
      <c r="D5297" s="68"/>
      <c r="E5297" s="10"/>
      <c r="F5297" s="69"/>
      <c r="G5297" s="68"/>
      <c r="H5297" s="70"/>
      <c r="BA5297" s="4"/>
      <c r="BB5297" s="4"/>
    </row>
    <row r="5298" spans="1:54" x14ac:dyDescent="0.3">
      <c r="A5298" s="66"/>
      <c r="B5298" s="67"/>
      <c r="C5298" s="66"/>
      <c r="D5298" s="68"/>
      <c r="E5298" s="10"/>
      <c r="F5298" s="69"/>
      <c r="G5298" s="68"/>
      <c r="H5298" s="70"/>
      <c r="BA5298" s="4"/>
      <c r="BB5298" s="4"/>
    </row>
    <row r="5299" spans="1:54" x14ac:dyDescent="0.3">
      <c r="A5299" s="66"/>
      <c r="B5299" s="67"/>
      <c r="C5299" s="66"/>
      <c r="D5299" s="68"/>
      <c r="E5299" s="10"/>
      <c r="F5299" s="69"/>
      <c r="G5299" s="68"/>
      <c r="H5299" s="70"/>
      <c r="BA5299" s="4"/>
      <c r="BB5299" s="4"/>
    </row>
    <row r="5300" spans="1:54" x14ac:dyDescent="0.3">
      <c r="A5300" s="66"/>
      <c r="B5300" s="67"/>
      <c r="C5300" s="66"/>
      <c r="D5300" s="68"/>
      <c r="E5300" s="10"/>
      <c r="F5300" s="69"/>
      <c r="G5300" s="68"/>
      <c r="H5300" s="70"/>
      <c r="BA5300" s="4"/>
      <c r="BB5300" s="4"/>
    </row>
    <row r="5301" spans="1:54" x14ac:dyDescent="0.3">
      <c r="A5301" s="66"/>
      <c r="B5301" s="67"/>
      <c r="C5301" s="66"/>
      <c r="D5301" s="68"/>
      <c r="E5301" s="10"/>
      <c r="F5301" s="69"/>
      <c r="G5301" s="68"/>
      <c r="H5301" s="70"/>
      <c r="BA5301" s="4"/>
      <c r="BB5301" s="4"/>
    </row>
    <row r="5302" spans="1:54" x14ac:dyDescent="0.3">
      <c r="A5302" s="66"/>
      <c r="B5302" s="67"/>
      <c r="C5302" s="66"/>
      <c r="D5302" s="68"/>
      <c r="E5302" s="10"/>
      <c r="F5302" s="69"/>
      <c r="G5302" s="68"/>
      <c r="H5302" s="70"/>
      <c r="BA5302" s="4"/>
      <c r="BB5302" s="4"/>
    </row>
    <row r="5303" spans="1:54" x14ac:dyDescent="0.3">
      <c r="A5303" s="66"/>
      <c r="B5303" s="67"/>
      <c r="C5303" s="66"/>
      <c r="D5303" s="68"/>
      <c r="E5303" s="10"/>
      <c r="F5303" s="69"/>
      <c r="G5303" s="68"/>
      <c r="H5303" s="70"/>
      <c r="BA5303" s="4"/>
      <c r="BB5303" s="4"/>
    </row>
    <row r="5304" spans="1:54" x14ac:dyDescent="0.3">
      <c r="A5304" s="66"/>
      <c r="B5304" s="67"/>
      <c r="C5304" s="66"/>
      <c r="D5304" s="68"/>
      <c r="E5304" s="10"/>
      <c r="F5304" s="69"/>
      <c r="G5304" s="68"/>
      <c r="H5304" s="70"/>
      <c r="BA5304" s="4"/>
      <c r="BB5304" s="4"/>
    </row>
    <row r="5305" spans="1:54" x14ac:dyDescent="0.3">
      <c r="A5305" s="66"/>
      <c r="B5305" s="67"/>
      <c r="C5305" s="66"/>
      <c r="D5305" s="68"/>
      <c r="E5305" s="10"/>
      <c r="F5305" s="69"/>
      <c r="G5305" s="68"/>
      <c r="H5305" s="70"/>
      <c r="BA5305" s="4"/>
      <c r="BB5305" s="4"/>
    </row>
    <row r="5306" spans="1:54" x14ac:dyDescent="0.3">
      <c r="A5306" s="66"/>
      <c r="B5306" s="67"/>
      <c r="C5306" s="66"/>
      <c r="D5306" s="68"/>
      <c r="E5306" s="10"/>
      <c r="F5306" s="69"/>
      <c r="G5306" s="68"/>
      <c r="H5306" s="70"/>
      <c r="BA5306" s="4"/>
      <c r="BB5306" s="4"/>
    </row>
    <row r="5307" spans="1:54" x14ac:dyDescent="0.3">
      <c r="A5307" s="66"/>
      <c r="B5307" s="67"/>
      <c r="C5307" s="66"/>
      <c r="D5307" s="68"/>
      <c r="E5307" s="10"/>
      <c r="F5307" s="69"/>
      <c r="G5307" s="68"/>
      <c r="H5307" s="70"/>
      <c r="BA5307" s="4"/>
      <c r="BB5307" s="4"/>
    </row>
    <row r="5308" spans="1:54" x14ac:dyDescent="0.3">
      <c r="A5308" s="66"/>
      <c r="B5308" s="67"/>
      <c r="C5308" s="66"/>
      <c r="D5308" s="68"/>
      <c r="E5308" s="10"/>
      <c r="F5308" s="69"/>
      <c r="G5308" s="68"/>
      <c r="H5308" s="70"/>
      <c r="BA5308" s="4"/>
      <c r="BB5308" s="4"/>
    </row>
    <row r="5309" spans="1:54" x14ac:dyDescent="0.3">
      <c r="A5309" s="66"/>
      <c r="B5309" s="67"/>
      <c r="C5309" s="66"/>
      <c r="D5309" s="68"/>
      <c r="E5309" s="10"/>
      <c r="F5309" s="69"/>
      <c r="G5309" s="68"/>
      <c r="H5309" s="70"/>
      <c r="BA5309" s="4"/>
      <c r="BB5309" s="4"/>
    </row>
    <row r="5310" spans="1:54" x14ac:dyDescent="0.3">
      <c r="A5310" s="66"/>
      <c r="B5310" s="67"/>
      <c r="C5310" s="66"/>
      <c r="D5310" s="68"/>
      <c r="E5310" s="10"/>
      <c r="F5310" s="69"/>
      <c r="G5310" s="68"/>
      <c r="H5310" s="70"/>
      <c r="BA5310" s="4"/>
      <c r="BB5310" s="4"/>
    </row>
    <row r="5311" spans="1:54" x14ac:dyDescent="0.3">
      <c r="A5311" s="66"/>
      <c r="B5311" s="67"/>
      <c r="C5311" s="66"/>
      <c r="D5311" s="68"/>
      <c r="E5311" s="10"/>
      <c r="F5311" s="69"/>
      <c r="G5311" s="68"/>
      <c r="H5311" s="70"/>
      <c r="BA5311" s="4"/>
      <c r="BB5311" s="4"/>
    </row>
    <row r="5312" spans="1:54" x14ac:dyDescent="0.3">
      <c r="A5312" s="66"/>
      <c r="B5312" s="67"/>
      <c r="C5312" s="66"/>
      <c r="D5312" s="68"/>
      <c r="E5312" s="10"/>
      <c r="F5312" s="69"/>
      <c r="G5312" s="68"/>
      <c r="H5312" s="70"/>
      <c r="BA5312" s="4"/>
      <c r="BB5312" s="4"/>
    </row>
    <row r="5313" spans="1:54" x14ac:dyDescent="0.3">
      <c r="A5313" s="66"/>
      <c r="B5313" s="67"/>
      <c r="C5313" s="66"/>
      <c r="D5313" s="68"/>
      <c r="E5313" s="10"/>
      <c r="F5313" s="69"/>
      <c r="G5313" s="68"/>
      <c r="H5313" s="70"/>
      <c r="BA5313" s="4"/>
      <c r="BB5313" s="4"/>
    </row>
    <row r="5314" spans="1:54" x14ac:dyDescent="0.3">
      <c r="A5314" s="66"/>
      <c r="B5314" s="67"/>
      <c r="C5314" s="66"/>
      <c r="D5314" s="68"/>
      <c r="E5314" s="10"/>
      <c r="F5314" s="69"/>
      <c r="G5314" s="68"/>
      <c r="H5314" s="70"/>
      <c r="BA5314" s="4"/>
      <c r="BB5314" s="4"/>
    </row>
    <row r="5315" spans="1:54" x14ac:dyDescent="0.3">
      <c r="A5315" s="66"/>
      <c r="B5315" s="67"/>
      <c r="C5315" s="66"/>
      <c r="D5315" s="68"/>
      <c r="E5315" s="10"/>
      <c r="F5315" s="69"/>
      <c r="G5315" s="68"/>
      <c r="H5315" s="70"/>
      <c r="BA5315" s="4"/>
      <c r="BB5315" s="4"/>
    </row>
    <row r="5316" spans="1:54" x14ac:dyDescent="0.3">
      <c r="A5316" s="66"/>
      <c r="B5316" s="67"/>
      <c r="C5316" s="66"/>
      <c r="D5316" s="68"/>
      <c r="E5316" s="10"/>
      <c r="F5316" s="69"/>
      <c r="G5316" s="68"/>
      <c r="H5316" s="70"/>
      <c r="BA5316" s="4"/>
      <c r="BB5316" s="4"/>
    </row>
    <row r="5317" spans="1:54" x14ac:dyDescent="0.3">
      <c r="A5317" s="66"/>
      <c r="B5317" s="67"/>
      <c r="C5317" s="66"/>
      <c r="D5317" s="68"/>
      <c r="E5317" s="10"/>
      <c r="F5317" s="69"/>
      <c r="G5317" s="68"/>
      <c r="H5317" s="70"/>
      <c r="BA5317" s="4"/>
      <c r="BB5317" s="4"/>
    </row>
    <row r="5318" spans="1:54" x14ac:dyDescent="0.3">
      <c r="A5318" s="66"/>
      <c r="B5318" s="67"/>
      <c r="C5318" s="66"/>
      <c r="D5318" s="68"/>
      <c r="E5318" s="10"/>
      <c r="F5318" s="69"/>
      <c r="G5318" s="68"/>
      <c r="H5318" s="70"/>
      <c r="BA5318" s="4"/>
      <c r="BB5318" s="4"/>
    </row>
    <row r="5319" spans="1:54" x14ac:dyDescent="0.3">
      <c r="A5319" s="66"/>
      <c r="B5319" s="67"/>
      <c r="C5319" s="66"/>
      <c r="D5319" s="68"/>
      <c r="E5319" s="10"/>
      <c r="F5319" s="69"/>
      <c r="G5319" s="68"/>
      <c r="H5319" s="70"/>
      <c r="BA5319" s="4"/>
      <c r="BB5319" s="4"/>
    </row>
    <row r="5320" spans="1:54" x14ac:dyDescent="0.3">
      <c r="A5320" s="66"/>
      <c r="B5320" s="67"/>
      <c r="C5320" s="66"/>
      <c r="D5320" s="68"/>
      <c r="E5320" s="10"/>
      <c r="F5320" s="69"/>
      <c r="G5320" s="68"/>
      <c r="H5320" s="70"/>
      <c r="BA5320" s="4"/>
      <c r="BB5320" s="4"/>
    </row>
    <row r="5321" spans="1:54" x14ac:dyDescent="0.3">
      <c r="A5321" s="66"/>
      <c r="B5321" s="67"/>
      <c r="C5321" s="66"/>
      <c r="D5321" s="68"/>
      <c r="E5321" s="10"/>
      <c r="F5321" s="69"/>
      <c r="G5321" s="68"/>
      <c r="H5321" s="70"/>
      <c r="BA5321" s="4"/>
      <c r="BB5321" s="4"/>
    </row>
    <row r="5322" spans="1:54" x14ac:dyDescent="0.3">
      <c r="A5322" s="66"/>
      <c r="B5322" s="67"/>
      <c r="C5322" s="66"/>
      <c r="D5322" s="68"/>
      <c r="E5322" s="10"/>
      <c r="F5322" s="69"/>
      <c r="G5322" s="68"/>
      <c r="H5322" s="70"/>
      <c r="BA5322" s="4"/>
      <c r="BB5322" s="4"/>
    </row>
    <row r="5323" spans="1:54" x14ac:dyDescent="0.3">
      <c r="A5323" s="66"/>
      <c r="B5323" s="67"/>
      <c r="C5323" s="66"/>
      <c r="D5323" s="68"/>
      <c r="E5323" s="10"/>
      <c r="F5323" s="69"/>
      <c r="G5323" s="68"/>
      <c r="H5323" s="70"/>
      <c r="BA5323" s="4"/>
      <c r="BB5323" s="4"/>
    </row>
    <row r="5324" spans="1:54" x14ac:dyDescent="0.3">
      <c r="A5324" s="66"/>
      <c r="B5324" s="67"/>
      <c r="C5324" s="66"/>
      <c r="D5324" s="68"/>
      <c r="E5324" s="10"/>
      <c r="F5324" s="69"/>
      <c r="G5324" s="68"/>
      <c r="H5324" s="70"/>
      <c r="BA5324" s="4"/>
      <c r="BB5324" s="4"/>
    </row>
    <row r="5325" spans="1:54" x14ac:dyDescent="0.3">
      <c r="A5325" s="66"/>
      <c r="B5325" s="67"/>
      <c r="C5325" s="66"/>
      <c r="D5325" s="68"/>
      <c r="E5325" s="10"/>
      <c r="F5325" s="69"/>
      <c r="G5325" s="68"/>
      <c r="H5325" s="70"/>
      <c r="BA5325" s="4"/>
      <c r="BB5325" s="4"/>
    </row>
    <row r="5326" spans="1:54" x14ac:dyDescent="0.3">
      <c r="A5326" s="66"/>
      <c r="B5326" s="67"/>
      <c r="C5326" s="66"/>
      <c r="D5326" s="68"/>
      <c r="E5326" s="10"/>
      <c r="F5326" s="69"/>
      <c r="G5326" s="68"/>
      <c r="H5326" s="70"/>
      <c r="BA5326" s="4"/>
      <c r="BB5326" s="4"/>
    </row>
    <row r="5327" spans="1:54" x14ac:dyDescent="0.3">
      <c r="A5327" s="66"/>
      <c r="B5327" s="67"/>
      <c r="C5327" s="66"/>
      <c r="D5327" s="68"/>
      <c r="E5327" s="10"/>
      <c r="F5327" s="69"/>
      <c r="G5327" s="68"/>
      <c r="H5327" s="70"/>
      <c r="BA5327" s="4"/>
      <c r="BB5327" s="4"/>
    </row>
    <row r="5328" spans="1:54" x14ac:dyDescent="0.3">
      <c r="A5328" s="66"/>
      <c r="B5328" s="67"/>
      <c r="C5328" s="66"/>
      <c r="D5328" s="68"/>
      <c r="E5328" s="10"/>
      <c r="F5328" s="69"/>
      <c r="G5328" s="68"/>
      <c r="H5328" s="70"/>
      <c r="BA5328" s="4"/>
      <c r="BB5328" s="4"/>
    </row>
    <row r="5329" spans="1:54" x14ac:dyDescent="0.3">
      <c r="A5329" s="66"/>
      <c r="B5329" s="67"/>
      <c r="C5329" s="66"/>
      <c r="D5329" s="68"/>
      <c r="E5329" s="10"/>
      <c r="F5329" s="69"/>
      <c r="G5329" s="68"/>
      <c r="H5329" s="70"/>
      <c r="BA5329" s="4"/>
      <c r="BB5329" s="4"/>
    </row>
    <row r="5330" spans="1:54" x14ac:dyDescent="0.3">
      <c r="A5330" s="66"/>
      <c r="B5330" s="67"/>
      <c r="C5330" s="66"/>
      <c r="D5330" s="68"/>
      <c r="E5330" s="10"/>
      <c r="F5330" s="69"/>
      <c r="G5330" s="68"/>
      <c r="H5330" s="70"/>
      <c r="BA5330" s="4"/>
      <c r="BB5330" s="4"/>
    </row>
    <row r="5331" spans="1:54" x14ac:dyDescent="0.3">
      <c r="A5331" s="66"/>
      <c r="B5331" s="67"/>
      <c r="C5331" s="66"/>
      <c r="D5331" s="68"/>
      <c r="E5331" s="10"/>
      <c r="F5331" s="69"/>
      <c r="G5331" s="68"/>
      <c r="H5331" s="70"/>
      <c r="BA5331" s="4"/>
      <c r="BB5331" s="4"/>
    </row>
    <row r="5332" spans="1:54" x14ac:dyDescent="0.3">
      <c r="A5332" s="66"/>
      <c r="B5332" s="67"/>
      <c r="C5332" s="66"/>
      <c r="D5332" s="68"/>
      <c r="E5332" s="10"/>
      <c r="F5332" s="69"/>
      <c r="G5332" s="68"/>
      <c r="H5332" s="70"/>
      <c r="BA5332" s="4"/>
      <c r="BB5332" s="4"/>
    </row>
    <row r="5333" spans="1:54" x14ac:dyDescent="0.3">
      <c r="A5333" s="66"/>
      <c r="B5333" s="67"/>
      <c r="C5333" s="66"/>
      <c r="D5333" s="68"/>
      <c r="E5333" s="10"/>
      <c r="F5333" s="69"/>
      <c r="G5333" s="68"/>
      <c r="H5333" s="70"/>
      <c r="BA5333" s="4"/>
      <c r="BB5333" s="4"/>
    </row>
    <row r="5334" spans="1:54" x14ac:dyDescent="0.3">
      <c r="A5334" s="66"/>
      <c r="B5334" s="67"/>
      <c r="C5334" s="66"/>
      <c r="D5334" s="68"/>
      <c r="E5334" s="10"/>
      <c r="F5334" s="69"/>
      <c r="G5334" s="68"/>
      <c r="H5334" s="70"/>
      <c r="BA5334" s="4"/>
      <c r="BB5334" s="4"/>
    </row>
    <row r="5335" spans="1:54" x14ac:dyDescent="0.3">
      <c r="A5335" s="66"/>
      <c r="B5335" s="67"/>
      <c r="C5335" s="66"/>
      <c r="D5335" s="68"/>
      <c r="E5335" s="10"/>
      <c r="F5335" s="69"/>
      <c r="G5335" s="68"/>
      <c r="H5335" s="70"/>
      <c r="BA5335" s="4"/>
      <c r="BB5335" s="4"/>
    </row>
    <row r="5336" spans="1:54" x14ac:dyDescent="0.3">
      <c r="A5336" s="66"/>
      <c r="B5336" s="67"/>
      <c r="C5336" s="66"/>
      <c r="D5336" s="68"/>
      <c r="E5336" s="10"/>
      <c r="F5336" s="69"/>
      <c r="G5336" s="68"/>
      <c r="H5336" s="70"/>
      <c r="BA5336" s="4"/>
      <c r="BB5336" s="4"/>
    </row>
    <row r="5337" spans="1:54" x14ac:dyDescent="0.3">
      <c r="A5337" s="66"/>
      <c r="B5337" s="67"/>
      <c r="C5337" s="66"/>
      <c r="D5337" s="68"/>
      <c r="E5337" s="10"/>
      <c r="F5337" s="69"/>
      <c r="G5337" s="68"/>
      <c r="H5337" s="70"/>
      <c r="BA5337" s="4"/>
      <c r="BB5337" s="4"/>
    </row>
    <row r="5338" spans="1:54" x14ac:dyDescent="0.3">
      <c r="A5338" s="66"/>
      <c r="B5338" s="67"/>
      <c r="C5338" s="66"/>
      <c r="D5338" s="68"/>
      <c r="E5338" s="10"/>
      <c r="F5338" s="69"/>
      <c r="G5338" s="68"/>
      <c r="H5338" s="70"/>
      <c r="BA5338" s="4"/>
      <c r="BB5338" s="4"/>
    </row>
    <row r="5339" spans="1:54" x14ac:dyDescent="0.3">
      <c r="A5339" s="66"/>
      <c r="B5339" s="67"/>
      <c r="C5339" s="66"/>
      <c r="D5339" s="68"/>
      <c r="E5339" s="10"/>
      <c r="F5339" s="69"/>
      <c r="G5339" s="68"/>
      <c r="H5339" s="70"/>
      <c r="BA5339" s="4"/>
      <c r="BB5339" s="4"/>
    </row>
    <row r="5340" spans="1:54" x14ac:dyDescent="0.3">
      <c r="A5340" s="66"/>
      <c r="B5340" s="67"/>
      <c r="C5340" s="66"/>
      <c r="D5340" s="68"/>
      <c r="E5340" s="10"/>
      <c r="F5340" s="69"/>
      <c r="G5340" s="68"/>
      <c r="H5340" s="70"/>
      <c r="BA5340" s="4"/>
      <c r="BB5340" s="4"/>
    </row>
    <row r="5341" spans="1:54" x14ac:dyDescent="0.3">
      <c r="A5341" s="66"/>
      <c r="B5341" s="67"/>
      <c r="C5341" s="66"/>
      <c r="D5341" s="68"/>
      <c r="E5341" s="10"/>
      <c r="F5341" s="69"/>
      <c r="G5341" s="68"/>
      <c r="H5341" s="70"/>
      <c r="BA5341" s="4"/>
      <c r="BB5341" s="4"/>
    </row>
    <row r="5342" spans="1:54" x14ac:dyDescent="0.3">
      <c r="A5342" s="66"/>
      <c r="B5342" s="67"/>
      <c r="C5342" s="66"/>
      <c r="D5342" s="68"/>
      <c r="E5342" s="10"/>
      <c r="F5342" s="69"/>
      <c r="G5342" s="68"/>
      <c r="H5342" s="70"/>
      <c r="BA5342" s="4"/>
      <c r="BB5342" s="4"/>
    </row>
    <row r="5343" spans="1:54" x14ac:dyDescent="0.3">
      <c r="A5343" s="66"/>
      <c r="B5343" s="67"/>
      <c r="C5343" s="66"/>
      <c r="D5343" s="68"/>
      <c r="E5343" s="10"/>
      <c r="F5343" s="69"/>
      <c r="G5343" s="68"/>
      <c r="H5343" s="70"/>
      <c r="BA5343" s="4"/>
      <c r="BB5343" s="4"/>
    </row>
    <row r="5344" spans="1:54" x14ac:dyDescent="0.3">
      <c r="A5344" s="66"/>
      <c r="B5344" s="67"/>
      <c r="C5344" s="66"/>
      <c r="D5344" s="68"/>
      <c r="E5344" s="10"/>
      <c r="F5344" s="69"/>
      <c r="G5344" s="68"/>
      <c r="H5344" s="70"/>
      <c r="BA5344" s="4"/>
      <c r="BB5344" s="4"/>
    </row>
    <row r="5345" spans="1:54" x14ac:dyDescent="0.3">
      <c r="A5345" s="66"/>
      <c r="B5345" s="67"/>
      <c r="C5345" s="66"/>
      <c r="D5345" s="68"/>
      <c r="E5345" s="10"/>
      <c r="F5345" s="69"/>
      <c r="G5345" s="68"/>
      <c r="H5345" s="70"/>
      <c r="BA5345" s="4"/>
      <c r="BB5345" s="4"/>
    </row>
    <row r="5346" spans="1:54" x14ac:dyDescent="0.3">
      <c r="A5346" s="66"/>
      <c r="B5346" s="67"/>
      <c r="C5346" s="66"/>
      <c r="D5346" s="68"/>
      <c r="E5346" s="10"/>
      <c r="F5346" s="69"/>
      <c r="G5346" s="68"/>
      <c r="H5346" s="70"/>
      <c r="BA5346" s="4"/>
      <c r="BB5346" s="4"/>
    </row>
    <row r="5347" spans="1:54" x14ac:dyDescent="0.3">
      <c r="A5347" s="66"/>
      <c r="B5347" s="67"/>
      <c r="C5347" s="66"/>
      <c r="D5347" s="68"/>
      <c r="E5347" s="10"/>
      <c r="F5347" s="69"/>
      <c r="G5347" s="68"/>
      <c r="H5347" s="70"/>
      <c r="BA5347" s="4"/>
      <c r="BB5347" s="4"/>
    </row>
    <row r="5348" spans="1:54" x14ac:dyDescent="0.3">
      <c r="A5348" s="66"/>
      <c r="B5348" s="67"/>
      <c r="C5348" s="66"/>
      <c r="D5348" s="68"/>
      <c r="E5348" s="10"/>
      <c r="F5348" s="69"/>
      <c r="G5348" s="68"/>
      <c r="H5348" s="70"/>
      <c r="BA5348" s="4"/>
      <c r="BB5348" s="4"/>
    </row>
    <row r="5349" spans="1:54" x14ac:dyDescent="0.3">
      <c r="A5349" s="66"/>
      <c r="B5349" s="67"/>
      <c r="C5349" s="66"/>
      <c r="D5349" s="68"/>
      <c r="E5349" s="10"/>
      <c r="F5349" s="69"/>
      <c r="G5349" s="68"/>
      <c r="H5349" s="70"/>
      <c r="BA5349" s="4"/>
      <c r="BB5349" s="4"/>
    </row>
    <row r="5350" spans="1:54" x14ac:dyDescent="0.3">
      <c r="A5350" s="66"/>
      <c r="B5350" s="67"/>
      <c r="C5350" s="66"/>
      <c r="D5350" s="68"/>
      <c r="E5350" s="10"/>
      <c r="F5350" s="69"/>
      <c r="G5350" s="68"/>
      <c r="H5350" s="70"/>
      <c r="BA5350" s="4"/>
      <c r="BB5350" s="4"/>
    </row>
    <row r="5351" spans="1:54" x14ac:dyDescent="0.3">
      <c r="A5351" s="66"/>
      <c r="B5351" s="67"/>
      <c r="C5351" s="66"/>
      <c r="D5351" s="68"/>
      <c r="E5351" s="10"/>
      <c r="F5351" s="69"/>
      <c r="G5351" s="68"/>
      <c r="H5351" s="70"/>
      <c r="BA5351" s="4"/>
      <c r="BB5351" s="4"/>
    </row>
    <row r="5352" spans="1:54" x14ac:dyDescent="0.3">
      <c r="A5352" s="66"/>
      <c r="B5352" s="67"/>
      <c r="C5352" s="66"/>
      <c r="D5352" s="68"/>
      <c r="E5352" s="10"/>
      <c r="F5352" s="69"/>
      <c r="G5352" s="68"/>
      <c r="H5352" s="70"/>
      <c r="BA5352" s="4"/>
      <c r="BB5352" s="4"/>
    </row>
    <row r="5353" spans="1:54" x14ac:dyDescent="0.3">
      <c r="A5353" s="66"/>
      <c r="B5353" s="67"/>
      <c r="C5353" s="66"/>
      <c r="D5353" s="68"/>
      <c r="E5353" s="10"/>
      <c r="F5353" s="69"/>
      <c r="G5353" s="68"/>
      <c r="H5353" s="70"/>
      <c r="BA5353" s="4"/>
      <c r="BB5353" s="4"/>
    </row>
    <row r="5354" spans="1:54" x14ac:dyDescent="0.3">
      <c r="A5354" s="66"/>
      <c r="B5354" s="67"/>
      <c r="C5354" s="66"/>
      <c r="D5354" s="68"/>
      <c r="E5354" s="10"/>
      <c r="F5354" s="69"/>
      <c r="G5354" s="68"/>
      <c r="H5354" s="70"/>
      <c r="BA5354" s="4"/>
      <c r="BB5354" s="4"/>
    </row>
    <row r="5355" spans="1:54" x14ac:dyDescent="0.3">
      <c r="A5355" s="66"/>
      <c r="B5355" s="67"/>
      <c r="C5355" s="66"/>
      <c r="D5355" s="68"/>
      <c r="E5355" s="10"/>
      <c r="F5355" s="69"/>
      <c r="G5355" s="68"/>
      <c r="H5355" s="70"/>
      <c r="BA5355" s="4"/>
      <c r="BB5355" s="4"/>
    </row>
    <row r="5356" spans="1:54" x14ac:dyDescent="0.3">
      <c r="A5356" s="66"/>
      <c r="B5356" s="67"/>
      <c r="C5356" s="66"/>
      <c r="D5356" s="68"/>
      <c r="E5356" s="10"/>
      <c r="F5356" s="69"/>
      <c r="G5356" s="68"/>
      <c r="H5356" s="70"/>
      <c r="BA5356" s="4"/>
      <c r="BB5356" s="4"/>
    </row>
    <row r="5357" spans="1:54" x14ac:dyDescent="0.3">
      <c r="A5357" s="66"/>
      <c r="B5357" s="67"/>
      <c r="C5357" s="66"/>
      <c r="D5357" s="68"/>
      <c r="E5357" s="10"/>
      <c r="F5357" s="69"/>
      <c r="G5357" s="68"/>
      <c r="H5357" s="70"/>
      <c r="BA5357" s="4"/>
      <c r="BB5357" s="4"/>
    </row>
    <row r="5358" spans="1:54" x14ac:dyDescent="0.3">
      <c r="A5358" s="66"/>
      <c r="B5358" s="67"/>
      <c r="C5358" s="66"/>
      <c r="D5358" s="68"/>
      <c r="E5358" s="10"/>
      <c r="F5358" s="69"/>
      <c r="G5358" s="68"/>
      <c r="H5358" s="70"/>
      <c r="BA5358" s="4"/>
      <c r="BB5358" s="4"/>
    </row>
    <row r="5359" spans="1:54" x14ac:dyDescent="0.3">
      <c r="A5359" s="66"/>
      <c r="B5359" s="67"/>
      <c r="C5359" s="66"/>
      <c r="D5359" s="68"/>
      <c r="E5359" s="10"/>
      <c r="F5359" s="69"/>
      <c r="G5359" s="68"/>
      <c r="H5359" s="70"/>
      <c r="BA5359" s="4"/>
      <c r="BB5359" s="4"/>
    </row>
    <row r="5360" spans="1:54" x14ac:dyDescent="0.3">
      <c r="A5360" s="66"/>
      <c r="B5360" s="67"/>
      <c r="C5360" s="66"/>
      <c r="D5360" s="68"/>
      <c r="E5360" s="10"/>
      <c r="F5360" s="69"/>
      <c r="G5360" s="68"/>
      <c r="H5360" s="70"/>
      <c r="BA5360" s="4"/>
      <c r="BB5360" s="4"/>
    </row>
    <row r="5361" spans="1:54" x14ac:dyDescent="0.3">
      <c r="A5361" s="66"/>
      <c r="B5361" s="67"/>
      <c r="C5361" s="66"/>
      <c r="D5361" s="68"/>
      <c r="E5361" s="10"/>
      <c r="F5361" s="69"/>
      <c r="G5361" s="68"/>
      <c r="H5361" s="70"/>
      <c r="BA5361" s="4"/>
      <c r="BB5361" s="4"/>
    </row>
    <row r="5362" spans="1:54" x14ac:dyDescent="0.3">
      <c r="A5362" s="66"/>
      <c r="B5362" s="67"/>
      <c r="C5362" s="66"/>
      <c r="D5362" s="68"/>
      <c r="E5362" s="10"/>
      <c r="F5362" s="69"/>
      <c r="G5362" s="68"/>
      <c r="H5362" s="70"/>
      <c r="BA5362" s="4"/>
      <c r="BB5362" s="4"/>
    </row>
    <row r="5363" spans="1:54" x14ac:dyDescent="0.3">
      <c r="A5363" s="66"/>
      <c r="B5363" s="67"/>
      <c r="C5363" s="66"/>
      <c r="D5363" s="68"/>
      <c r="E5363" s="10"/>
      <c r="F5363" s="69"/>
      <c r="G5363" s="68"/>
      <c r="H5363" s="70"/>
      <c r="BA5363" s="4"/>
      <c r="BB5363" s="4"/>
    </row>
    <row r="5364" spans="1:54" x14ac:dyDescent="0.3">
      <c r="A5364" s="66"/>
      <c r="B5364" s="67"/>
      <c r="C5364" s="66"/>
      <c r="D5364" s="68"/>
      <c r="E5364" s="10"/>
      <c r="F5364" s="69"/>
      <c r="G5364" s="68"/>
      <c r="H5364" s="70"/>
      <c r="BA5364" s="4"/>
      <c r="BB5364" s="4"/>
    </row>
    <row r="5365" spans="1:54" x14ac:dyDescent="0.3">
      <c r="A5365" s="66"/>
      <c r="B5365" s="67"/>
      <c r="C5365" s="66"/>
      <c r="D5365" s="68"/>
      <c r="E5365" s="10"/>
      <c r="F5365" s="69"/>
      <c r="G5365" s="68"/>
      <c r="H5365" s="70"/>
      <c r="BA5365" s="4"/>
      <c r="BB5365" s="4"/>
    </row>
    <row r="5366" spans="1:54" x14ac:dyDescent="0.3">
      <c r="A5366" s="66"/>
      <c r="B5366" s="67"/>
      <c r="C5366" s="66"/>
      <c r="D5366" s="68"/>
      <c r="E5366" s="10"/>
      <c r="F5366" s="69"/>
      <c r="G5366" s="68"/>
      <c r="H5366" s="70"/>
      <c r="BA5366" s="4"/>
      <c r="BB5366" s="4"/>
    </row>
    <row r="5367" spans="1:54" x14ac:dyDescent="0.3">
      <c r="A5367" s="66"/>
      <c r="B5367" s="67"/>
      <c r="C5367" s="66"/>
      <c r="D5367" s="68"/>
      <c r="E5367" s="10"/>
      <c r="F5367" s="69"/>
      <c r="G5367" s="68"/>
      <c r="H5367" s="70"/>
      <c r="BA5367" s="4"/>
      <c r="BB5367" s="4"/>
    </row>
    <row r="5368" spans="1:54" x14ac:dyDescent="0.3">
      <c r="A5368" s="66"/>
      <c r="B5368" s="67"/>
      <c r="C5368" s="66"/>
      <c r="D5368" s="68"/>
      <c r="E5368" s="10"/>
      <c r="F5368" s="69"/>
      <c r="G5368" s="68"/>
      <c r="H5368" s="70"/>
      <c r="BA5368" s="4"/>
      <c r="BB5368" s="4"/>
    </row>
    <row r="5369" spans="1:54" x14ac:dyDescent="0.3">
      <c r="A5369" s="66"/>
      <c r="B5369" s="67"/>
      <c r="C5369" s="66"/>
      <c r="D5369" s="68"/>
      <c r="E5369" s="10"/>
      <c r="F5369" s="69"/>
      <c r="G5369" s="68"/>
      <c r="H5369" s="70"/>
      <c r="BA5369" s="4"/>
      <c r="BB5369" s="4"/>
    </row>
    <row r="5370" spans="1:54" x14ac:dyDescent="0.3">
      <c r="A5370" s="66"/>
      <c r="B5370" s="67"/>
      <c r="C5370" s="66"/>
      <c r="D5370" s="68"/>
      <c r="E5370" s="10"/>
      <c r="F5370" s="69"/>
      <c r="G5370" s="68"/>
      <c r="H5370" s="70"/>
      <c r="BA5370" s="4"/>
      <c r="BB5370" s="4"/>
    </row>
    <row r="5371" spans="1:54" x14ac:dyDescent="0.3">
      <c r="A5371" s="66"/>
      <c r="B5371" s="67"/>
      <c r="C5371" s="66"/>
      <c r="D5371" s="68"/>
      <c r="E5371" s="10"/>
      <c r="F5371" s="69"/>
      <c r="G5371" s="68"/>
      <c r="H5371" s="70"/>
      <c r="BA5371" s="4"/>
      <c r="BB5371" s="4"/>
    </row>
    <row r="5372" spans="1:54" x14ac:dyDescent="0.3">
      <c r="A5372" s="66"/>
      <c r="B5372" s="67"/>
      <c r="C5372" s="66"/>
      <c r="D5372" s="68"/>
      <c r="E5372" s="10"/>
      <c r="F5372" s="69"/>
      <c r="G5372" s="68"/>
      <c r="H5372" s="70"/>
      <c r="BA5372" s="4"/>
      <c r="BB5372" s="4"/>
    </row>
    <row r="5373" spans="1:54" x14ac:dyDescent="0.3">
      <c r="A5373" s="66"/>
      <c r="B5373" s="67"/>
      <c r="C5373" s="66"/>
      <c r="D5373" s="68"/>
      <c r="E5373" s="10"/>
      <c r="F5373" s="69"/>
      <c r="G5373" s="68"/>
      <c r="H5373" s="70"/>
      <c r="BA5373" s="4"/>
      <c r="BB5373" s="4"/>
    </row>
    <row r="5374" spans="1:54" x14ac:dyDescent="0.3">
      <c r="A5374" s="66"/>
      <c r="B5374" s="67"/>
      <c r="C5374" s="66"/>
      <c r="D5374" s="68"/>
      <c r="E5374" s="10"/>
      <c r="F5374" s="69"/>
      <c r="G5374" s="68"/>
      <c r="H5374" s="70"/>
      <c r="BA5374" s="4"/>
      <c r="BB5374" s="4"/>
    </row>
    <row r="5375" spans="1:54" x14ac:dyDescent="0.3">
      <c r="A5375" s="66"/>
      <c r="B5375" s="67"/>
      <c r="C5375" s="66"/>
      <c r="D5375" s="68"/>
      <c r="E5375" s="10"/>
      <c r="F5375" s="69"/>
      <c r="G5375" s="68"/>
      <c r="H5375" s="70"/>
      <c r="BA5375" s="4"/>
      <c r="BB5375" s="4"/>
    </row>
    <row r="5376" spans="1:54" x14ac:dyDescent="0.3">
      <c r="A5376" s="66"/>
      <c r="B5376" s="67"/>
      <c r="C5376" s="66"/>
      <c r="D5376" s="68"/>
      <c r="E5376" s="10"/>
      <c r="F5376" s="69"/>
      <c r="G5376" s="68"/>
      <c r="H5376" s="70"/>
      <c r="BA5376" s="4"/>
      <c r="BB5376" s="4"/>
    </row>
    <row r="5377" spans="1:54" x14ac:dyDescent="0.3">
      <c r="A5377" s="66"/>
      <c r="B5377" s="67"/>
      <c r="C5377" s="66"/>
      <c r="D5377" s="68"/>
      <c r="E5377" s="10"/>
      <c r="F5377" s="69"/>
      <c r="G5377" s="68"/>
      <c r="H5377" s="70"/>
      <c r="BA5377" s="4"/>
      <c r="BB5377" s="4"/>
    </row>
    <row r="5378" spans="1:54" x14ac:dyDescent="0.3">
      <c r="A5378" s="66"/>
      <c r="B5378" s="67"/>
      <c r="C5378" s="66"/>
      <c r="D5378" s="68"/>
      <c r="E5378" s="10"/>
      <c r="F5378" s="69"/>
      <c r="G5378" s="68"/>
      <c r="H5378" s="70"/>
      <c r="BA5378" s="4"/>
      <c r="BB5378" s="4"/>
    </row>
    <row r="5379" spans="1:54" x14ac:dyDescent="0.3">
      <c r="A5379" s="66"/>
      <c r="B5379" s="67"/>
      <c r="C5379" s="66"/>
      <c r="D5379" s="68"/>
      <c r="E5379" s="10"/>
      <c r="F5379" s="69"/>
      <c r="G5379" s="68"/>
      <c r="H5379" s="70"/>
      <c r="BA5379" s="4"/>
      <c r="BB5379" s="4"/>
    </row>
    <row r="5380" spans="1:54" x14ac:dyDescent="0.3">
      <c r="A5380" s="66"/>
      <c r="B5380" s="67"/>
      <c r="C5380" s="66"/>
      <c r="D5380" s="68"/>
      <c r="E5380" s="10"/>
      <c r="F5380" s="69"/>
      <c r="G5380" s="68"/>
      <c r="H5380" s="70"/>
      <c r="BA5380" s="4"/>
      <c r="BB5380" s="4"/>
    </row>
    <row r="5381" spans="1:54" x14ac:dyDescent="0.3">
      <c r="A5381" s="66"/>
      <c r="B5381" s="67"/>
      <c r="C5381" s="66"/>
      <c r="D5381" s="68"/>
      <c r="E5381" s="10"/>
      <c r="F5381" s="69"/>
      <c r="G5381" s="68"/>
      <c r="H5381" s="70"/>
      <c r="BA5381" s="4"/>
      <c r="BB5381" s="4"/>
    </row>
    <row r="5382" spans="1:54" x14ac:dyDescent="0.3">
      <c r="A5382" s="66"/>
      <c r="B5382" s="67"/>
      <c r="C5382" s="66"/>
      <c r="D5382" s="68"/>
      <c r="E5382" s="10"/>
      <c r="F5382" s="69"/>
      <c r="G5382" s="68"/>
      <c r="H5382" s="70"/>
      <c r="BA5382" s="4"/>
      <c r="BB5382" s="4"/>
    </row>
    <row r="5383" spans="1:54" x14ac:dyDescent="0.3">
      <c r="A5383" s="66"/>
      <c r="B5383" s="67"/>
      <c r="C5383" s="66"/>
      <c r="D5383" s="68"/>
      <c r="E5383" s="10"/>
      <c r="F5383" s="69"/>
      <c r="G5383" s="68"/>
      <c r="H5383" s="70"/>
      <c r="BA5383" s="4"/>
      <c r="BB5383" s="4"/>
    </row>
    <row r="5384" spans="1:54" x14ac:dyDescent="0.3">
      <c r="A5384" s="66"/>
      <c r="B5384" s="67"/>
      <c r="C5384" s="66"/>
      <c r="D5384" s="68"/>
      <c r="E5384" s="10"/>
      <c r="F5384" s="69"/>
      <c r="G5384" s="68"/>
      <c r="H5384" s="70"/>
      <c r="BA5384" s="4"/>
      <c r="BB5384" s="4"/>
    </row>
    <row r="5385" spans="1:54" x14ac:dyDescent="0.3">
      <c r="A5385" s="66"/>
      <c r="B5385" s="67"/>
      <c r="C5385" s="66"/>
      <c r="D5385" s="68"/>
      <c r="E5385" s="10"/>
      <c r="F5385" s="69"/>
      <c r="G5385" s="68"/>
      <c r="H5385" s="70"/>
      <c r="BA5385" s="4"/>
      <c r="BB5385" s="4"/>
    </row>
    <row r="5386" spans="1:54" x14ac:dyDescent="0.3">
      <c r="A5386" s="66"/>
      <c r="B5386" s="67"/>
      <c r="C5386" s="66"/>
      <c r="D5386" s="68"/>
      <c r="E5386" s="10"/>
      <c r="F5386" s="69"/>
      <c r="G5386" s="68"/>
      <c r="H5386" s="70"/>
      <c r="BA5386" s="4"/>
      <c r="BB5386" s="4"/>
    </row>
    <row r="5387" spans="1:54" x14ac:dyDescent="0.3">
      <c r="A5387" s="66"/>
      <c r="B5387" s="67"/>
      <c r="C5387" s="66"/>
      <c r="D5387" s="68"/>
      <c r="E5387" s="10"/>
      <c r="F5387" s="69"/>
      <c r="G5387" s="68"/>
      <c r="H5387" s="70"/>
      <c r="BA5387" s="4"/>
      <c r="BB5387" s="4"/>
    </row>
    <row r="5388" spans="1:54" x14ac:dyDescent="0.3">
      <c r="A5388" s="66"/>
      <c r="B5388" s="67"/>
      <c r="C5388" s="66"/>
      <c r="D5388" s="68"/>
      <c r="E5388" s="10"/>
      <c r="F5388" s="69"/>
      <c r="G5388" s="68"/>
      <c r="H5388" s="70"/>
      <c r="BA5388" s="4"/>
      <c r="BB5388" s="4"/>
    </row>
    <row r="5389" spans="1:54" x14ac:dyDescent="0.3">
      <c r="A5389" s="66"/>
      <c r="B5389" s="67"/>
      <c r="C5389" s="66"/>
      <c r="D5389" s="68"/>
      <c r="E5389" s="10"/>
      <c r="F5389" s="69"/>
      <c r="G5389" s="68"/>
      <c r="H5389" s="70"/>
      <c r="BA5389" s="4"/>
      <c r="BB5389" s="4"/>
    </row>
    <row r="5390" spans="1:54" x14ac:dyDescent="0.3">
      <c r="A5390" s="66"/>
      <c r="B5390" s="67"/>
      <c r="C5390" s="66"/>
      <c r="D5390" s="68"/>
      <c r="E5390" s="10"/>
      <c r="F5390" s="69"/>
      <c r="G5390" s="68"/>
      <c r="H5390" s="70"/>
      <c r="BA5390" s="4"/>
      <c r="BB5390" s="4"/>
    </row>
    <row r="5391" spans="1:54" x14ac:dyDescent="0.3">
      <c r="A5391" s="66"/>
      <c r="B5391" s="67"/>
      <c r="C5391" s="66"/>
      <c r="D5391" s="68"/>
      <c r="E5391" s="10"/>
      <c r="F5391" s="69"/>
      <c r="G5391" s="68"/>
      <c r="H5391" s="70"/>
      <c r="BA5391" s="4"/>
      <c r="BB5391" s="4"/>
    </row>
    <row r="5392" spans="1:54" x14ac:dyDescent="0.3">
      <c r="A5392" s="66"/>
      <c r="B5392" s="67"/>
      <c r="C5392" s="66"/>
      <c r="D5392" s="68"/>
      <c r="E5392" s="10"/>
      <c r="F5392" s="69"/>
      <c r="G5392" s="68"/>
      <c r="H5392" s="70"/>
      <c r="BA5392" s="4"/>
      <c r="BB5392" s="4"/>
    </row>
    <row r="5393" spans="1:54" x14ac:dyDescent="0.3">
      <c r="A5393" s="66"/>
      <c r="B5393" s="67"/>
      <c r="C5393" s="66"/>
      <c r="D5393" s="68"/>
      <c r="E5393" s="10"/>
      <c r="F5393" s="69"/>
      <c r="G5393" s="68"/>
      <c r="H5393" s="70"/>
      <c r="BA5393" s="4"/>
      <c r="BB5393" s="4"/>
    </row>
    <row r="5394" spans="1:54" x14ac:dyDescent="0.3">
      <c r="A5394" s="66"/>
      <c r="B5394" s="67"/>
      <c r="C5394" s="66"/>
      <c r="D5394" s="68"/>
      <c r="E5394" s="10"/>
      <c r="F5394" s="69"/>
      <c r="G5394" s="68"/>
      <c r="H5394" s="70"/>
      <c r="BA5394" s="4"/>
      <c r="BB5394" s="4"/>
    </row>
    <row r="5395" spans="1:54" x14ac:dyDescent="0.3">
      <c r="A5395" s="66"/>
      <c r="B5395" s="67"/>
      <c r="C5395" s="66"/>
      <c r="D5395" s="68"/>
      <c r="E5395" s="10"/>
      <c r="F5395" s="69"/>
      <c r="G5395" s="68"/>
      <c r="H5395" s="70"/>
      <c r="BA5395" s="4"/>
      <c r="BB5395" s="4"/>
    </row>
    <row r="5396" spans="1:54" x14ac:dyDescent="0.3">
      <c r="A5396" s="66"/>
      <c r="B5396" s="67"/>
      <c r="C5396" s="66"/>
      <c r="D5396" s="68"/>
      <c r="E5396" s="10"/>
      <c r="F5396" s="69"/>
      <c r="G5396" s="68"/>
      <c r="H5396" s="70"/>
      <c r="BA5396" s="4"/>
      <c r="BB5396" s="4"/>
    </row>
    <row r="5397" spans="1:54" x14ac:dyDescent="0.3">
      <c r="A5397" s="66"/>
      <c r="B5397" s="67"/>
      <c r="C5397" s="66"/>
      <c r="D5397" s="68"/>
      <c r="E5397" s="10"/>
      <c r="F5397" s="69"/>
      <c r="G5397" s="68"/>
      <c r="H5397" s="70"/>
      <c r="BA5397" s="4"/>
      <c r="BB5397" s="4"/>
    </row>
    <row r="5398" spans="1:54" x14ac:dyDescent="0.3">
      <c r="A5398" s="66"/>
      <c r="B5398" s="67"/>
      <c r="C5398" s="66"/>
      <c r="D5398" s="68"/>
      <c r="E5398" s="10"/>
      <c r="F5398" s="69"/>
      <c r="G5398" s="68"/>
      <c r="H5398" s="70"/>
      <c r="BA5398" s="4"/>
      <c r="BB5398" s="4"/>
    </row>
    <row r="5399" spans="1:54" x14ac:dyDescent="0.3">
      <c r="A5399" s="66"/>
      <c r="B5399" s="67"/>
      <c r="C5399" s="66"/>
      <c r="D5399" s="68"/>
      <c r="E5399" s="10"/>
      <c r="F5399" s="69"/>
      <c r="G5399" s="68"/>
      <c r="H5399" s="70"/>
      <c r="BA5399" s="4"/>
      <c r="BB5399" s="4"/>
    </row>
    <row r="5400" spans="1:54" x14ac:dyDescent="0.3">
      <c r="A5400" s="66"/>
      <c r="B5400" s="67"/>
      <c r="C5400" s="66"/>
      <c r="D5400" s="68"/>
      <c r="E5400" s="10"/>
      <c r="F5400" s="69"/>
      <c r="G5400" s="68"/>
      <c r="H5400" s="70"/>
      <c r="BA5400" s="4"/>
      <c r="BB5400" s="4"/>
    </row>
    <row r="5401" spans="1:54" x14ac:dyDescent="0.3">
      <c r="A5401" s="66"/>
      <c r="B5401" s="67"/>
      <c r="C5401" s="66"/>
      <c r="D5401" s="68"/>
      <c r="E5401" s="10"/>
      <c r="F5401" s="69"/>
      <c r="G5401" s="68"/>
      <c r="H5401" s="70"/>
      <c r="BA5401" s="4"/>
      <c r="BB5401" s="4"/>
    </row>
    <row r="5402" spans="1:54" x14ac:dyDescent="0.3">
      <c r="A5402" s="66"/>
      <c r="B5402" s="67"/>
      <c r="C5402" s="66"/>
      <c r="D5402" s="68"/>
      <c r="E5402" s="10"/>
      <c r="F5402" s="69"/>
      <c r="G5402" s="68"/>
      <c r="H5402" s="70"/>
      <c r="BA5402" s="4"/>
      <c r="BB5402" s="4"/>
    </row>
    <row r="5403" spans="1:54" x14ac:dyDescent="0.3">
      <c r="A5403" s="66"/>
      <c r="B5403" s="67"/>
      <c r="C5403" s="66"/>
      <c r="D5403" s="68"/>
      <c r="E5403" s="10"/>
      <c r="F5403" s="69"/>
      <c r="G5403" s="68"/>
      <c r="H5403" s="70"/>
      <c r="BA5403" s="4"/>
      <c r="BB5403" s="4"/>
    </row>
    <row r="5404" spans="1:54" x14ac:dyDescent="0.3">
      <c r="A5404" s="66"/>
      <c r="B5404" s="67"/>
      <c r="C5404" s="66"/>
      <c r="D5404" s="68"/>
      <c r="E5404" s="10"/>
      <c r="F5404" s="69"/>
      <c r="G5404" s="68"/>
      <c r="H5404" s="70"/>
      <c r="BA5404" s="4"/>
      <c r="BB5404" s="4"/>
    </row>
    <row r="5405" spans="1:54" x14ac:dyDescent="0.3">
      <c r="A5405" s="66"/>
      <c r="B5405" s="67"/>
      <c r="C5405" s="66"/>
      <c r="D5405" s="68"/>
      <c r="E5405" s="10"/>
      <c r="F5405" s="69"/>
      <c r="G5405" s="68"/>
      <c r="H5405" s="70"/>
      <c r="BA5405" s="4"/>
      <c r="BB5405" s="4"/>
    </row>
    <row r="5406" spans="1:54" x14ac:dyDescent="0.3">
      <c r="A5406" s="66"/>
      <c r="B5406" s="67"/>
      <c r="C5406" s="66"/>
      <c r="D5406" s="68"/>
      <c r="E5406" s="10"/>
      <c r="F5406" s="69"/>
      <c r="G5406" s="68"/>
      <c r="H5406" s="70"/>
      <c r="BA5406" s="4"/>
      <c r="BB5406" s="4"/>
    </row>
    <row r="5407" spans="1:54" x14ac:dyDescent="0.3">
      <c r="A5407" s="66"/>
      <c r="B5407" s="67"/>
      <c r="C5407" s="66"/>
      <c r="D5407" s="68"/>
      <c r="E5407" s="10"/>
      <c r="F5407" s="69"/>
      <c r="G5407" s="68"/>
      <c r="H5407" s="70"/>
      <c r="BA5407" s="4"/>
      <c r="BB5407" s="4"/>
    </row>
    <row r="5408" spans="1:54" x14ac:dyDescent="0.3">
      <c r="A5408" s="66"/>
      <c r="B5408" s="67"/>
      <c r="C5408" s="66"/>
      <c r="D5408" s="68"/>
      <c r="E5408" s="10"/>
      <c r="F5408" s="69"/>
      <c r="G5408" s="68"/>
      <c r="H5408" s="70"/>
      <c r="BA5408" s="4"/>
      <c r="BB5408" s="4"/>
    </row>
    <row r="5409" spans="1:54" x14ac:dyDescent="0.3">
      <c r="A5409" s="66"/>
      <c r="B5409" s="67"/>
      <c r="C5409" s="66"/>
      <c r="D5409" s="68"/>
      <c r="E5409" s="10"/>
      <c r="F5409" s="69"/>
      <c r="G5409" s="68"/>
      <c r="H5409" s="70"/>
      <c r="BA5409" s="4"/>
      <c r="BB5409" s="4"/>
    </row>
    <row r="5410" spans="1:54" x14ac:dyDescent="0.3">
      <c r="A5410" s="66"/>
      <c r="B5410" s="67"/>
      <c r="C5410" s="66"/>
      <c r="D5410" s="68"/>
      <c r="E5410" s="10"/>
      <c r="F5410" s="69"/>
      <c r="G5410" s="68"/>
      <c r="H5410" s="70"/>
      <c r="BA5410" s="4"/>
      <c r="BB5410" s="4"/>
    </row>
    <row r="5411" spans="1:54" x14ac:dyDescent="0.3">
      <c r="A5411" s="66"/>
      <c r="B5411" s="67"/>
      <c r="C5411" s="66"/>
      <c r="D5411" s="68"/>
      <c r="E5411" s="10"/>
      <c r="F5411" s="69"/>
      <c r="G5411" s="68"/>
      <c r="H5411" s="70"/>
      <c r="BA5411" s="4"/>
      <c r="BB5411" s="4"/>
    </row>
    <row r="5412" spans="1:54" x14ac:dyDescent="0.3">
      <c r="A5412" s="66"/>
      <c r="B5412" s="67"/>
      <c r="C5412" s="66"/>
      <c r="D5412" s="68"/>
      <c r="E5412" s="10"/>
      <c r="F5412" s="69"/>
      <c r="G5412" s="68"/>
      <c r="H5412" s="70"/>
      <c r="BA5412" s="4"/>
      <c r="BB5412" s="4"/>
    </row>
    <row r="5413" spans="1:54" x14ac:dyDescent="0.3">
      <c r="A5413" s="66"/>
      <c r="B5413" s="67"/>
      <c r="C5413" s="66"/>
      <c r="D5413" s="68"/>
      <c r="E5413" s="10"/>
      <c r="F5413" s="69"/>
      <c r="G5413" s="68"/>
      <c r="H5413" s="70"/>
      <c r="BA5413" s="4"/>
      <c r="BB5413" s="4"/>
    </row>
    <row r="5414" spans="1:54" x14ac:dyDescent="0.3">
      <c r="A5414" s="66"/>
      <c r="B5414" s="67"/>
      <c r="C5414" s="66"/>
      <c r="D5414" s="68"/>
      <c r="E5414" s="10"/>
      <c r="F5414" s="69"/>
      <c r="G5414" s="68"/>
      <c r="H5414" s="70"/>
      <c r="BA5414" s="4"/>
      <c r="BB5414" s="4"/>
    </row>
    <row r="5415" spans="1:54" x14ac:dyDescent="0.3">
      <c r="A5415" s="66"/>
      <c r="B5415" s="67"/>
      <c r="C5415" s="66"/>
      <c r="D5415" s="68"/>
      <c r="E5415" s="10"/>
      <c r="F5415" s="69"/>
      <c r="G5415" s="68"/>
      <c r="H5415" s="70"/>
      <c r="BA5415" s="4"/>
      <c r="BB5415" s="4"/>
    </row>
    <row r="5416" spans="1:54" x14ac:dyDescent="0.3">
      <c r="A5416" s="66"/>
      <c r="B5416" s="67"/>
      <c r="C5416" s="66"/>
      <c r="D5416" s="68"/>
      <c r="E5416" s="10"/>
      <c r="F5416" s="69"/>
      <c r="G5416" s="68"/>
      <c r="H5416" s="70"/>
      <c r="BA5416" s="4"/>
      <c r="BB5416" s="4"/>
    </row>
    <row r="5417" spans="1:54" x14ac:dyDescent="0.3">
      <c r="A5417" s="66"/>
      <c r="B5417" s="67"/>
      <c r="C5417" s="66"/>
      <c r="D5417" s="68"/>
      <c r="E5417" s="10"/>
      <c r="F5417" s="69"/>
      <c r="G5417" s="68"/>
      <c r="H5417" s="70"/>
      <c r="BA5417" s="4"/>
      <c r="BB5417" s="4"/>
    </row>
    <row r="5418" spans="1:54" x14ac:dyDescent="0.3">
      <c r="A5418" s="66"/>
      <c r="B5418" s="67"/>
      <c r="C5418" s="66"/>
      <c r="D5418" s="68"/>
      <c r="E5418" s="10"/>
      <c r="F5418" s="69"/>
      <c r="G5418" s="68"/>
      <c r="H5418" s="70"/>
      <c r="BA5418" s="4"/>
      <c r="BB5418" s="4"/>
    </row>
    <row r="5419" spans="1:54" x14ac:dyDescent="0.3">
      <c r="A5419" s="66"/>
      <c r="B5419" s="67"/>
      <c r="C5419" s="66"/>
      <c r="D5419" s="68"/>
      <c r="E5419" s="10"/>
      <c r="F5419" s="69"/>
      <c r="G5419" s="68"/>
      <c r="H5419" s="70"/>
      <c r="BA5419" s="4"/>
      <c r="BB5419" s="4"/>
    </row>
    <row r="5420" spans="1:54" x14ac:dyDescent="0.3">
      <c r="A5420" s="66"/>
      <c r="B5420" s="67"/>
      <c r="C5420" s="66"/>
      <c r="D5420" s="68"/>
      <c r="E5420" s="10"/>
      <c r="F5420" s="69"/>
      <c r="G5420" s="68"/>
      <c r="H5420" s="70"/>
      <c r="BA5420" s="4"/>
      <c r="BB5420" s="4"/>
    </row>
    <row r="5421" spans="1:54" x14ac:dyDescent="0.3">
      <c r="A5421" s="66"/>
      <c r="B5421" s="67"/>
      <c r="C5421" s="66"/>
      <c r="D5421" s="68"/>
      <c r="E5421" s="10"/>
      <c r="F5421" s="69"/>
      <c r="G5421" s="68"/>
      <c r="H5421" s="70"/>
      <c r="BA5421" s="4"/>
      <c r="BB5421" s="4"/>
    </row>
    <row r="5422" spans="1:54" x14ac:dyDescent="0.3">
      <c r="A5422" s="66"/>
      <c r="B5422" s="67"/>
      <c r="C5422" s="66"/>
      <c r="D5422" s="68"/>
      <c r="E5422" s="10"/>
      <c r="F5422" s="69"/>
      <c r="G5422" s="68"/>
      <c r="H5422" s="70"/>
      <c r="BA5422" s="4"/>
      <c r="BB5422" s="4"/>
    </row>
    <row r="5423" spans="1:54" x14ac:dyDescent="0.3">
      <c r="A5423" s="66"/>
      <c r="B5423" s="67"/>
      <c r="C5423" s="66"/>
      <c r="D5423" s="68"/>
      <c r="E5423" s="10"/>
      <c r="F5423" s="69"/>
      <c r="G5423" s="68"/>
      <c r="H5423" s="70"/>
      <c r="BA5423" s="4"/>
      <c r="BB5423" s="4"/>
    </row>
    <row r="5424" spans="1:54" x14ac:dyDescent="0.3">
      <c r="A5424" s="66"/>
      <c r="B5424" s="67"/>
      <c r="C5424" s="66"/>
      <c r="D5424" s="68"/>
      <c r="E5424" s="10"/>
      <c r="F5424" s="69"/>
      <c r="G5424" s="68"/>
      <c r="H5424" s="70"/>
      <c r="BA5424" s="4"/>
      <c r="BB5424" s="4"/>
    </row>
    <row r="5425" spans="1:54" x14ac:dyDescent="0.3">
      <c r="A5425" s="66"/>
      <c r="B5425" s="67"/>
      <c r="C5425" s="66"/>
      <c r="D5425" s="68"/>
      <c r="E5425" s="10"/>
      <c r="F5425" s="69"/>
      <c r="G5425" s="68"/>
      <c r="H5425" s="70"/>
      <c r="BA5425" s="4"/>
      <c r="BB5425" s="4"/>
    </row>
    <row r="5426" spans="1:54" x14ac:dyDescent="0.3">
      <c r="A5426" s="66"/>
      <c r="B5426" s="67"/>
      <c r="C5426" s="66"/>
      <c r="D5426" s="68"/>
      <c r="E5426" s="10"/>
      <c r="F5426" s="69"/>
      <c r="G5426" s="68"/>
      <c r="H5426" s="70"/>
      <c r="BA5426" s="4"/>
      <c r="BB5426" s="4"/>
    </row>
    <row r="5427" spans="1:54" x14ac:dyDescent="0.3">
      <c r="A5427" s="66"/>
      <c r="B5427" s="67"/>
      <c r="C5427" s="66"/>
      <c r="D5427" s="68"/>
      <c r="E5427" s="10"/>
      <c r="F5427" s="69"/>
      <c r="G5427" s="68"/>
      <c r="H5427" s="70"/>
      <c r="BA5427" s="4"/>
      <c r="BB5427" s="4"/>
    </row>
    <row r="5428" spans="1:54" x14ac:dyDescent="0.3">
      <c r="A5428" s="66"/>
      <c r="B5428" s="67"/>
      <c r="C5428" s="66"/>
      <c r="D5428" s="68"/>
      <c r="E5428" s="10"/>
      <c r="F5428" s="69"/>
      <c r="G5428" s="68"/>
      <c r="H5428" s="70"/>
      <c r="BA5428" s="4"/>
      <c r="BB5428" s="4"/>
    </row>
    <row r="5429" spans="1:54" x14ac:dyDescent="0.3">
      <c r="A5429" s="66"/>
      <c r="B5429" s="67"/>
      <c r="C5429" s="66"/>
      <c r="D5429" s="68"/>
      <c r="E5429" s="10"/>
      <c r="F5429" s="69"/>
      <c r="G5429" s="68"/>
      <c r="H5429" s="70"/>
      <c r="BA5429" s="4"/>
      <c r="BB5429" s="4"/>
    </row>
    <row r="5430" spans="1:54" x14ac:dyDescent="0.3">
      <c r="A5430" s="66"/>
      <c r="B5430" s="67"/>
      <c r="C5430" s="66"/>
      <c r="D5430" s="68"/>
      <c r="E5430" s="10"/>
      <c r="F5430" s="69"/>
      <c r="G5430" s="68"/>
      <c r="H5430" s="70"/>
      <c r="BA5430" s="4"/>
      <c r="BB5430" s="4"/>
    </row>
    <row r="5431" spans="1:54" x14ac:dyDescent="0.3">
      <c r="A5431" s="66"/>
      <c r="B5431" s="67"/>
      <c r="C5431" s="66"/>
      <c r="D5431" s="68"/>
      <c r="E5431" s="10"/>
      <c r="F5431" s="69"/>
      <c r="G5431" s="68"/>
      <c r="H5431" s="70"/>
      <c r="BA5431" s="4"/>
      <c r="BB5431" s="4"/>
    </row>
    <row r="5432" spans="1:54" x14ac:dyDescent="0.3">
      <c r="A5432" s="66"/>
      <c r="B5432" s="67"/>
      <c r="C5432" s="66"/>
      <c r="D5432" s="68"/>
      <c r="E5432" s="10"/>
      <c r="F5432" s="69"/>
      <c r="G5432" s="68"/>
      <c r="H5432" s="70"/>
      <c r="BA5432" s="4"/>
      <c r="BB5432" s="4"/>
    </row>
    <row r="5433" spans="1:54" x14ac:dyDescent="0.3">
      <c r="A5433" s="66"/>
      <c r="B5433" s="67"/>
      <c r="C5433" s="66"/>
      <c r="D5433" s="68"/>
      <c r="E5433" s="10"/>
      <c r="F5433" s="69"/>
      <c r="G5433" s="68"/>
      <c r="H5433" s="70"/>
      <c r="BA5433" s="4"/>
      <c r="BB5433" s="4"/>
    </row>
    <row r="5434" spans="1:54" x14ac:dyDescent="0.3">
      <c r="A5434" s="66"/>
      <c r="B5434" s="67"/>
      <c r="C5434" s="66"/>
      <c r="D5434" s="68"/>
      <c r="E5434" s="10"/>
      <c r="F5434" s="69"/>
      <c r="G5434" s="68"/>
      <c r="H5434" s="70"/>
      <c r="BA5434" s="4"/>
      <c r="BB5434" s="4"/>
    </row>
    <row r="5435" spans="1:54" x14ac:dyDescent="0.3">
      <c r="A5435" s="66"/>
      <c r="B5435" s="67"/>
      <c r="C5435" s="66"/>
      <c r="D5435" s="68"/>
      <c r="E5435" s="10"/>
      <c r="F5435" s="69"/>
      <c r="G5435" s="68"/>
      <c r="H5435" s="70"/>
      <c r="BA5435" s="4"/>
      <c r="BB5435" s="4"/>
    </row>
    <row r="5436" spans="1:54" x14ac:dyDescent="0.3">
      <c r="A5436" s="66"/>
      <c r="B5436" s="67"/>
      <c r="C5436" s="66"/>
      <c r="D5436" s="68"/>
      <c r="E5436" s="10"/>
      <c r="F5436" s="69"/>
      <c r="G5436" s="68"/>
      <c r="H5436" s="70"/>
      <c r="BA5436" s="4"/>
      <c r="BB5436" s="4"/>
    </row>
    <row r="5437" spans="1:54" x14ac:dyDescent="0.3">
      <c r="A5437" s="66"/>
      <c r="B5437" s="67"/>
      <c r="C5437" s="66"/>
      <c r="D5437" s="68"/>
      <c r="E5437" s="10"/>
      <c r="F5437" s="69"/>
      <c r="G5437" s="68"/>
      <c r="H5437" s="70"/>
      <c r="BA5437" s="4"/>
      <c r="BB5437" s="4"/>
    </row>
    <row r="5438" spans="1:54" x14ac:dyDescent="0.3">
      <c r="A5438" s="66"/>
      <c r="B5438" s="67"/>
      <c r="C5438" s="66"/>
      <c r="D5438" s="68"/>
      <c r="E5438" s="10"/>
      <c r="F5438" s="69"/>
      <c r="G5438" s="68"/>
      <c r="H5438" s="70"/>
      <c r="BA5438" s="4"/>
      <c r="BB5438" s="4"/>
    </row>
    <row r="5439" spans="1:54" x14ac:dyDescent="0.3">
      <c r="A5439" s="66"/>
      <c r="B5439" s="67"/>
      <c r="C5439" s="66"/>
      <c r="D5439" s="68"/>
      <c r="E5439" s="10"/>
      <c r="F5439" s="69"/>
      <c r="G5439" s="68"/>
      <c r="H5439" s="70"/>
      <c r="BA5439" s="4"/>
      <c r="BB5439" s="4"/>
    </row>
    <row r="5440" spans="1:54" x14ac:dyDescent="0.3">
      <c r="A5440" s="66"/>
      <c r="B5440" s="67"/>
      <c r="C5440" s="66"/>
      <c r="D5440" s="68"/>
      <c r="E5440" s="10"/>
      <c r="F5440" s="69"/>
      <c r="G5440" s="68"/>
      <c r="H5440" s="70"/>
      <c r="BA5440" s="4"/>
      <c r="BB5440" s="4"/>
    </row>
    <row r="5441" spans="1:54" x14ac:dyDescent="0.3">
      <c r="A5441" s="66"/>
      <c r="B5441" s="67"/>
      <c r="C5441" s="66"/>
      <c r="D5441" s="68"/>
      <c r="E5441" s="10"/>
      <c r="F5441" s="69"/>
      <c r="G5441" s="68"/>
      <c r="H5441" s="70"/>
      <c r="BA5441" s="4"/>
      <c r="BB5441" s="4"/>
    </row>
    <row r="5442" spans="1:54" x14ac:dyDescent="0.3">
      <c r="A5442" s="66"/>
      <c r="B5442" s="67"/>
      <c r="C5442" s="66"/>
      <c r="D5442" s="68"/>
      <c r="E5442" s="10"/>
      <c r="F5442" s="69"/>
      <c r="G5442" s="68"/>
      <c r="H5442" s="70"/>
      <c r="BA5442" s="4"/>
      <c r="BB5442" s="4"/>
    </row>
    <row r="5443" spans="1:54" x14ac:dyDescent="0.3">
      <c r="A5443" s="66"/>
      <c r="B5443" s="67"/>
      <c r="C5443" s="66"/>
      <c r="D5443" s="68"/>
      <c r="E5443" s="10"/>
      <c r="F5443" s="69"/>
      <c r="G5443" s="68"/>
      <c r="H5443" s="70"/>
      <c r="BA5443" s="4"/>
      <c r="BB5443" s="4"/>
    </row>
    <row r="5444" spans="1:54" x14ac:dyDescent="0.3">
      <c r="A5444" s="66"/>
      <c r="B5444" s="67"/>
      <c r="C5444" s="66"/>
      <c r="D5444" s="68"/>
      <c r="E5444" s="10"/>
      <c r="F5444" s="69"/>
      <c r="G5444" s="68"/>
      <c r="H5444" s="70"/>
      <c r="BA5444" s="4"/>
      <c r="BB5444" s="4"/>
    </row>
    <row r="5445" spans="1:54" x14ac:dyDescent="0.3">
      <c r="A5445" s="66"/>
      <c r="B5445" s="67"/>
      <c r="C5445" s="66"/>
      <c r="D5445" s="68"/>
      <c r="E5445" s="10"/>
      <c r="F5445" s="69"/>
      <c r="G5445" s="68"/>
      <c r="H5445" s="70"/>
      <c r="BA5445" s="4"/>
      <c r="BB5445" s="4"/>
    </row>
    <row r="5446" spans="1:54" x14ac:dyDescent="0.3">
      <c r="A5446" s="66"/>
      <c r="B5446" s="67"/>
      <c r="C5446" s="66"/>
      <c r="D5446" s="68"/>
      <c r="E5446" s="10"/>
      <c r="F5446" s="69"/>
      <c r="G5446" s="68"/>
      <c r="H5446" s="70"/>
      <c r="BA5446" s="4"/>
      <c r="BB5446" s="4"/>
    </row>
    <row r="5447" spans="1:54" x14ac:dyDescent="0.3">
      <c r="A5447" s="66"/>
      <c r="B5447" s="67"/>
      <c r="C5447" s="66"/>
      <c r="D5447" s="68"/>
      <c r="E5447" s="10"/>
      <c r="F5447" s="69"/>
      <c r="G5447" s="68"/>
      <c r="H5447" s="70"/>
      <c r="BA5447" s="4"/>
      <c r="BB5447" s="4"/>
    </row>
    <row r="5448" spans="1:54" x14ac:dyDescent="0.3">
      <c r="A5448" s="66"/>
      <c r="B5448" s="67"/>
      <c r="C5448" s="66"/>
      <c r="D5448" s="68"/>
      <c r="E5448" s="10"/>
      <c r="F5448" s="69"/>
      <c r="G5448" s="68"/>
      <c r="H5448" s="70"/>
      <c r="BA5448" s="4"/>
      <c r="BB5448" s="4"/>
    </row>
    <row r="5449" spans="1:54" x14ac:dyDescent="0.3">
      <c r="A5449" s="66"/>
      <c r="B5449" s="67"/>
      <c r="C5449" s="66"/>
      <c r="D5449" s="68"/>
      <c r="E5449" s="10"/>
      <c r="F5449" s="69"/>
      <c r="G5449" s="68"/>
      <c r="H5449" s="70"/>
      <c r="BA5449" s="4"/>
      <c r="BB5449" s="4"/>
    </row>
    <row r="5450" spans="1:54" x14ac:dyDescent="0.3">
      <c r="A5450" s="66"/>
      <c r="B5450" s="67"/>
      <c r="C5450" s="66"/>
      <c r="D5450" s="68"/>
      <c r="E5450" s="10"/>
      <c r="F5450" s="69"/>
      <c r="G5450" s="68"/>
      <c r="H5450" s="70"/>
      <c r="BA5450" s="4"/>
      <c r="BB5450" s="4"/>
    </row>
    <row r="5451" spans="1:54" x14ac:dyDescent="0.3">
      <c r="A5451" s="66"/>
      <c r="B5451" s="67"/>
      <c r="C5451" s="66"/>
      <c r="D5451" s="68"/>
      <c r="E5451" s="10"/>
      <c r="F5451" s="69"/>
      <c r="G5451" s="68"/>
      <c r="H5451" s="70"/>
      <c r="BA5451" s="4"/>
      <c r="BB5451" s="4"/>
    </row>
    <row r="5452" spans="1:54" x14ac:dyDescent="0.3">
      <c r="A5452" s="66"/>
      <c r="B5452" s="67"/>
      <c r="C5452" s="66"/>
      <c r="D5452" s="68"/>
      <c r="E5452" s="10"/>
      <c r="F5452" s="69"/>
      <c r="G5452" s="68"/>
      <c r="H5452" s="70"/>
      <c r="BA5452" s="4"/>
      <c r="BB5452" s="4"/>
    </row>
    <row r="5453" spans="1:54" x14ac:dyDescent="0.3">
      <c r="A5453" s="66"/>
      <c r="B5453" s="67"/>
      <c r="C5453" s="66"/>
      <c r="D5453" s="68"/>
      <c r="E5453" s="10"/>
      <c r="F5453" s="69"/>
      <c r="G5453" s="68"/>
      <c r="H5453" s="70"/>
      <c r="BA5453" s="4"/>
      <c r="BB5453" s="4"/>
    </row>
    <row r="5454" spans="1:54" x14ac:dyDescent="0.3">
      <c r="A5454" s="66"/>
      <c r="B5454" s="67"/>
      <c r="C5454" s="66"/>
      <c r="D5454" s="68"/>
      <c r="E5454" s="10"/>
      <c r="F5454" s="69"/>
      <c r="G5454" s="68"/>
      <c r="H5454" s="70"/>
      <c r="BA5454" s="4"/>
      <c r="BB5454" s="4"/>
    </row>
    <row r="5455" spans="1:54" x14ac:dyDescent="0.3">
      <c r="A5455" s="66"/>
      <c r="B5455" s="67"/>
      <c r="C5455" s="66"/>
      <c r="D5455" s="68"/>
      <c r="E5455" s="10"/>
      <c r="F5455" s="69"/>
      <c r="G5455" s="68"/>
      <c r="H5455" s="70"/>
      <c r="BA5455" s="4"/>
      <c r="BB5455" s="4"/>
    </row>
    <row r="5456" spans="1:54" x14ac:dyDescent="0.3">
      <c r="A5456" s="66"/>
      <c r="B5456" s="67"/>
      <c r="C5456" s="66"/>
      <c r="D5456" s="68"/>
      <c r="E5456" s="10"/>
      <c r="F5456" s="69"/>
      <c r="G5456" s="68"/>
      <c r="H5456" s="70"/>
      <c r="BA5456" s="4"/>
      <c r="BB5456" s="4"/>
    </row>
    <row r="5457" spans="1:54" x14ac:dyDescent="0.3">
      <c r="A5457" s="66"/>
      <c r="B5457" s="67"/>
      <c r="C5457" s="66"/>
      <c r="D5457" s="68"/>
      <c r="E5457" s="10"/>
      <c r="F5457" s="69"/>
      <c r="G5457" s="68"/>
      <c r="H5457" s="70"/>
      <c r="BA5457" s="4"/>
      <c r="BB5457" s="4"/>
    </row>
    <row r="5458" spans="1:54" x14ac:dyDescent="0.3">
      <c r="A5458" s="66"/>
      <c r="B5458" s="67"/>
      <c r="C5458" s="66"/>
      <c r="D5458" s="68"/>
      <c r="E5458" s="10"/>
      <c r="F5458" s="69"/>
      <c r="G5458" s="68"/>
      <c r="H5458" s="70"/>
      <c r="BA5458" s="4"/>
      <c r="BB5458" s="4"/>
    </row>
    <row r="5459" spans="1:54" x14ac:dyDescent="0.3">
      <c r="A5459" s="66"/>
      <c r="B5459" s="67"/>
      <c r="C5459" s="66"/>
      <c r="D5459" s="68"/>
      <c r="E5459" s="10"/>
      <c r="F5459" s="69"/>
      <c r="G5459" s="68"/>
      <c r="H5459" s="70"/>
      <c r="BA5459" s="4"/>
      <c r="BB5459" s="4"/>
    </row>
    <row r="5460" spans="1:54" x14ac:dyDescent="0.3">
      <c r="A5460" s="66"/>
      <c r="B5460" s="67"/>
      <c r="C5460" s="66"/>
      <c r="D5460" s="68"/>
      <c r="E5460" s="10"/>
      <c r="F5460" s="69"/>
      <c r="G5460" s="68"/>
      <c r="H5460" s="70"/>
      <c r="BA5460" s="4"/>
      <c r="BB5460" s="4"/>
    </row>
    <row r="5461" spans="1:54" x14ac:dyDescent="0.3">
      <c r="A5461" s="66"/>
      <c r="B5461" s="67"/>
      <c r="C5461" s="66"/>
      <c r="D5461" s="68"/>
      <c r="E5461" s="10"/>
      <c r="F5461" s="69"/>
      <c r="G5461" s="68"/>
      <c r="H5461" s="70"/>
      <c r="BA5461" s="4"/>
      <c r="BB5461" s="4"/>
    </row>
    <row r="5462" spans="1:54" x14ac:dyDescent="0.3">
      <c r="A5462" s="66"/>
      <c r="B5462" s="67"/>
      <c r="C5462" s="66"/>
      <c r="D5462" s="68"/>
      <c r="E5462" s="10"/>
      <c r="F5462" s="69"/>
      <c r="G5462" s="68"/>
      <c r="H5462" s="70"/>
      <c r="BA5462" s="4"/>
      <c r="BB5462" s="4"/>
    </row>
    <row r="5463" spans="1:54" x14ac:dyDescent="0.3">
      <c r="A5463" s="66"/>
      <c r="B5463" s="67"/>
      <c r="C5463" s="66"/>
      <c r="D5463" s="68"/>
      <c r="E5463" s="10"/>
      <c r="F5463" s="69"/>
      <c r="G5463" s="68"/>
      <c r="H5463" s="70"/>
      <c r="BA5463" s="4"/>
      <c r="BB5463" s="4"/>
    </row>
    <row r="5464" spans="1:54" x14ac:dyDescent="0.3">
      <c r="A5464" s="66"/>
      <c r="B5464" s="67"/>
      <c r="C5464" s="66"/>
      <c r="D5464" s="68"/>
      <c r="E5464" s="10"/>
      <c r="F5464" s="69"/>
      <c r="G5464" s="68"/>
      <c r="H5464" s="70"/>
      <c r="BA5464" s="4"/>
      <c r="BB5464" s="4"/>
    </row>
    <row r="5465" spans="1:54" x14ac:dyDescent="0.3">
      <c r="A5465" s="66"/>
      <c r="B5465" s="67"/>
      <c r="C5465" s="66"/>
      <c r="D5465" s="68"/>
      <c r="E5465" s="10"/>
      <c r="F5465" s="69"/>
      <c r="G5465" s="68"/>
      <c r="H5465" s="70"/>
      <c r="BA5465" s="4"/>
      <c r="BB5465" s="4"/>
    </row>
    <row r="5466" spans="1:54" x14ac:dyDescent="0.3">
      <c r="A5466" s="66"/>
      <c r="B5466" s="67"/>
      <c r="C5466" s="66"/>
      <c r="D5466" s="68"/>
      <c r="E5466" s="10"/>
      <c r="F5466" s="69"/>
      <c r="G5466" s="68"/>
      <c r="H5466" s="70"/>
      <c r="BA5466" s="4"/>
      <c r="BB5466" s="4"/>
    </row>
    <row r="5467" spans="1:54" x14ac:dyDescent="0.3">
      <c r="A5467" s="66"/>
      <c r="B5467" s="67"/>
      <c r="C5467" s="66"/>
      <c r="D5467" s="68"/>
      <c r="E5467" s="10"/>
      <c r="F5467" s="69"/>
      <c r="G5467" s="68"/>
      <c r="H5467" s="70"/>
      <c r="BA5467" s="4"/>
      <c r="BB5467" s="4"/>
    </row>
    <row r="5468" spans="1:54" x14ac:dyDescent="0.3">
      <c r="A5468" s="66"/>
      <c r="B5468" s="67"/>
      <c r="C5468" s="66"/>
      <c r="D5468" s="68"/>
      <c r="E5468" s="10"/>
      <c r="F5468" s="69"/>
      <c r="G5468" s="68"/>
      <c r="H5468" s="70"/>
      <c r="BA5468" s="4"/>
      <c r="BB5468" s="4"/>
    </row>
    <row r="5469" spans="1:54" x14ac:dyDescent="0.3">
      <c r="A5469" s="66"/>
      <c r="B5469" s="67"/>
      <c r="C5469" s="66"/>
      <c r="D5469" s="68"/>
      <c r="E5469" s="10"/>
      <c r="F5469" s="69"/>
      <c r="G5469" s="68"/>
      <c r="H5469" s="70"/>
      <c r="BA5469" s="4"/>
      <c r="BB5469" s="4"/>
    </row>
    <row r="5470" spans="1:54" x14ac:dyDescent="0.3">
      <c r="A5470" s="66"/>
      <c r="B5470" s="67"/>
      <c r="C5470" s="66"/>
      <c r="D5470" s="68"/>
      <c r="E5470" s="10"/>
      <c r="F5470" s="69"/>
      <c r="G5470" s="68"/>
      <c r="H5470" s="70"/>
      <c r="BA5470" s="4"/>
      <c r="BB5470" s="4"/>
    </row>
    <row r="5471" spans="1:54" x14ac:dyDescent="0.3">
      <c r="A5471" s="66"/>
      <c r="B5471" s="67"/>
      <c r="C5471" s="66"/>
      <c r="D5471" s="68"/>
      <c r="E5471" s="10"/>
      <c r="F5471" s="69"/>
      <c r="G5471" s="68"/>
      <c r="H5471" s="70"/>
      <c r="BA5471" s="4"/>
      <c r="BB5471" s="4"/>
    </row>
    <row r="5472" spans="1:54" x14ac:dyDescent="0.3">
      <c r="A5472" s="66"/>
      <c r="B5472" s="67"/>
      <c r="C5472" s="66"/>
      <c r="D5472" s="68"/>
      <c r="E5472" s="10"/>
      <c r="F5472" s="69"/>
      <c r="G5472" s="68"/>
      <c r="H5472" s="70"/>
      <c r="BA5472" s="4"/>
      <c r="BB5472" s="4"/>
    </row>
    <row r="5473" spans="1:54" x14ac:dyDescent="0.3">
      <c r="A5473" s="66"/>
      <c r="B5473" s="67"/>
      <c r="C5473" s="66"/>
      <c r="D5473" s="68"/>
      <c r="E5473" s="10"/>
      <c r="F5473" s="69"/>
      <c r="G5473" s="68"/>
      <c r="H5473" s="70"/>
      <c r="BA5473" s="4"/>
      <c r="BB5473" s="4"/>
    </row>
    <row r="5474" spans="1:54" x14ac:dyDescent="0.3">
      <c r="A5474" s="66"/>
      <c r="B5474" s="67"/>
      <c r="C5474" s="66"/>
      <c r="D5474" s="68"/>
      <c r="E5474" s="10"/>
      <c r="F5474" s="69"/>
      <c r="G5474" s="68"/>
      <c r="H5474" s="70"/>
      <c r="BA5474" s="4"/>
      <c r="BB5474" s="4"/>
    </row>
    <row r="5475" spans="1:54" x14ac:dyDescent="0.3">
      <c r="A5475" s="66"/>
      <c r="B5475" s="67"/>
      <c r="C5475" s="66"/>
      <c r="D5475" s="68"/>
      <c r="E5475" s="10"/>
      <c r="F5475" s="69"/>
      <c r="G5475" s="68"/>
      <c r="H5475" s="70"/>
      <c r="BA5475" s="4"/>
      <c r="BB5475" s="4"/>
    </row>
    <row r="5476" spans="1:54" x14ac:dyDescent="0.3">
      <c r="A5476" s="66"/>
      <c r="B5476" s="67"/>
      <c r="C5476" s="66"/>
      <c r="D5476" s="68"/>
      <c r="E5476" s="10"/>
      <c r="F5476" s="69"/>
      <c r="G5476" s="68"/>
      <c r="H5476" s="70"/>
      <c r="BA5476" s="4"/>
      <c r="BB5476" s="4"/>
    </row>
    <row r="5477" spans="1:54" x14ac:dyDescent="0.3">
      <c r="A5477" s="66"/>
      <c r="B5477" s="67"/>
      <c r="C5477" s="66"/>
      <c r="D5477" s="68"/>
      <c r="E5477" s="10"/>
      <c r="F5477" s="69"/>
      <c r="G5477" s="68"/>
      <c r="H5477" s="70"/>
      <c r="BA5477" s="4"/>
      <c r="BB5477" s="4"/>
    </row>
    <row r="5478" spans="1:54" x14ac:dyDescent="0.3">
      <c r="A5478" s="66"/>
      <c r="B5478" s="67"/>
      <c r="C5478" s="66"/>
      <c r="D5478" s="68"/>
      <c r="E5478" s="10"/>
      <c r="F5478" s="69"/>
      <c r="G5478" s="68"/>
      <c r="H5478" s="70"/>
      <c r="BA5478" s="4"/>
      <c r="BB5478" s="4"/>
    </row>
    <row r="5479" spans="1:54" x14ac:dyDescent="0.3">
      <c r="A5479" s="66"/>
      <c r="B5479" s="67"/>
      <c r="C5479" s="66"/>
      <c r="D5479" s="68"/>
      <c r="E5479" s="10"/>
      <c r="F5479" s="69"/>
      <c r="G5479" s="68"/>
      <c r="H5479" s="70"/>
      <c r="BA5479" s="4"/>
      <c r="BB5479" s="4"/>
    </row>
    <row r="5480" spans="1:54" x14ac:dyDescent="0.3">
      <c r="A5480" s="66"/>
      <c r="B5480" s="67"/>
      <c r="C5480" s="66"/>
      <c r="D5480" s="68"/>
      <c r="E5480" s="10"/>
      <c r="F5480" s="69"/>
      <c r="G5480" s="68"/>
      <c r="H5480" s="70"/>
      <c r="BA5480" s="4"/>
      <c r="BB5480" s="4"/>
    </row>
    <row r="5481" spans="1:54" x14ac:dyDescent="0.3">
      <c r="A5481" s="66"/>
      <c r="B5481" s="67"/>
      <c r="C5481" s="66"/>
      <c r="D5481" s="68"/>
      <c r="E5481" s="10"/>
      <c r="F5481" s="69"/>
      <c r="G5481" s="68"/>
      <c r="H5481" s="70"/>
      <c r="BA5481" s="4"/>
      <c r="BB5481" s="4"/>
    </row>
    <row r="5482" spans="1:54" x14ac:dyDescent="0.3">
      <c r="A5482" s="66"/>
      <c r="B5482" s="67"/>
      <c r="C5482" s="66"/>
      <c r="D5482" s="68"/>
      <c r="E5482" s="10"/>
      <c r="F5482" s="69"/>
      <c r="G5482" s="68"/>
      <c r="H5482" s="70"/>
      <c r="BA5482" s="4"/>
      <c r="BB5482" s="4"/>
    </row>
    <row r="5483" spans="1:54" x14ac:dyDescent="0.3">
      <c r="A5483" s="66"/>
      <c r="B5483" s="67"/>
      <c r="C5483" s="66"/>
      <c r="D5483" s="68"/>
      <c r="E5483" s="10"/>
      <c r="F5483" s="69"/>
      <c r="G5483" s="68"/>
      <c r="H5483" s="70"/>
      <c r="BA5483" s="4"/>
      <c r="BB5483" s="4"/>
    </row>
    <row r="5484" spans="1:54" x14ac:dyDescent="0.3">
      <c r="A5484" s="66"/>
      <c r="B5484" s="67"/>
      <c r="C5484" s="66"/>
      <c r="D5484" s="68"/>
      <c r="E5484" s="10"/>
      <c r="F5484" s="69"/>
      <c r="G5484" s="68"/>
      <c r="H5484" s="70"/>
      <c r="BA5484" s="4"/>
      <c r="BB5484" s="4"/>
    </row>
    <row r="5485" spans="1:54" x14ac:dyDescent="0.3">
      <c r="A5485" s="66"/>
      <c r="B5485" s="67"/>
      <c r="C5485" s="66"/>
      <c r="D5485" s="68"/>
      <c r="E5485" s="10"/>
      <c r="F5485" s="69"/>
      <c r="G5485" s="68"/>
      <c r="H5485" s="70"/>
      <c r="BA5485" s="4"/>
      <c r="BB5485" s="4"/>
    </row>
    <row r="5486" spans="1:54" x14ac:dyDescent="0.3">
      <c r="A5486" s="66"/>
      <c r="B5486" s="67"/>
      <c r="C5486" s="66"/>
      <c r="D5486" s="68"/>
      <c r="E5486" s="10"/>
      <c r="F5486" s="69"/>
      <c r="G5486" s="68"/>
      <c r="H5486" s="70"/>
      <c r="BA5486" s="4"/>
      <c r="BB5486" s="4"/>
    </row>
    <row r="5487" spans="1:54" x14ac:dyDescent="0.3">
      <c r="A5487" s="66"/>
      <c r="B5487" s="67"/>
      <c r="C5487" s="66"/>
      <c r="D5487" s="68"/>
      <c r="E5487" s="10"/>
      <c r="F5487" s="69"/>
      <c r="G5487" s="68"/>
      <c r="H5487" s="70"/>
      <c r="BA5487" s="4"/>
      <c r="BB5487" s="4"/>
    </row>
    <row r="5488" spans="1:54" x14ac:dyDescent="0.3">
      <c r="A5488" s="66"/>
      <c r="B5488" s="67"/>
      <c r="C5488" s="66"/>
      <c r="D5488" s="68"/>
      <c r="E5488" s="10"/>
      <c r="F5488" s="69"/>
      <c r="G5488" s="68"/>
      <c r="H5488" s="70"/>
      <c r="BA5488" s="4"/>
      <c r="BB5488" s="4"/>
    </row>
    <row r="5489" spans="1:54" x14ac:dyDescent="0.3">
      <c r="A5489" s="66"/>
      <c r="B5489" s="67"/>
      <c r="C5489" s="66"/>
      <c r="D5489" s="68"/>
      <c r="E5489" s="10"/>
      <c r="F5489" s="69"/>
      <c r="G5489" s="68"/>
      <c r="H5489" s="70"/>
      <c r="BA5489" s="4"/>
      <c r="BB5489" s="4"/>
    </row>
    <row r="5490" spans="1:54" x14ac:dyDescent="0.3">
      <c r="A5490" s="66"/>
      <c r="B5490" s="67"/>
      <c r="C5490" s="66"/>
      <c r="D5490" s="68"/>
      <c r="E5490" s="10"/>
      <c r="F5490" s="69"/>
      <c r="G5490" s="68"/>
      <c r="H5490" s="70"/>
      <c r="BA5490" s="4"/>
      <c r="BB5490" s="4"/>
    </row>
    <row r="5491" spans="1:54" x14ac:dyDescent="0.3">
      <c r="A5491" s="66"/>
      <c r="B5491" s="67"/>
      <c r="C5491" s="66"/>
      <c r="D5491" s="68"/>
      <c r="E5491" s="10"/>
      <c r="F5491" s="69"/>
      <c r="G5491" s="68"/>
      <c r="H5491" s="70"/>
      <c r="BA5491" s="4"/>
      <c r="BB5491" s="4"/>
    </row>
    <row r="5492" spans="1:54" x14ac:dyDescent="0.3">
      <c r="A5492" s="66"/>
      <c r="B5492" s="67"/>
      <c r="C5492" s="66"/>
      <c r="D5492" s="68"/>
      <c r="E5492" s="10"/>
      <c r="F5492" s="69"/>
      <c r="G5492" s="68"/>
      <c r="H5492" s="70"/>
      <c r="BA5492" s="4"/>
      <c r="BB5492" s="4"/>
    </row>
    <row r="5493" spans="1:54" x14ac:dyDescent="0.3">
      <c r="A5493" s="66"/>
      <c r="B5493" s="67"/>
      <c r="C5493" s="66"/>
      <c r="D5493" s="68"/>
      <c r="E5493" s="10"/>
      <c r="F5493" s="69"/>
      <c r="G5493" s="68"/>
      <c r="H5493" s="70"/>
      <c r="BA5493" s="4"/>
      <c r="BB5493" s="4"/>
    </row>
    <row r="5494" spans="1:54" x14ac:dyDescent="0.3">
      <c r="A5494" s="66"/>
      <c r="B5494" s="67"/>
      <c r="C5494" s="66"/>
      <c r="D5494" s="68"/>
      <c r="E5494" s="10"/>
      <c r="F5494" s="69"/>
      <c r="G5494" s="68"/>
      <c r="H5494" s="70"/>
      <c r="BA5494" s="4"/>
      <c r="BB5494" s="4"/>
    </row>
    <row r="5495" spans="1:54" x14ac:dyDescent="0.3">
      <c r="A5495" s="66"/>
      <c r="B5495" s="67"/>
      <c r="C5495" s="66"/>
      <c r="D5495" s="68"/>
      <c r="E5495" s="10"/>
      <c r="F5495" s="69"/>
      <c r="G5495" s="68"/>
      <c r="H5495" s="70"/>
      <c r="BA5495" s="4"/>
      <c r="BB5495" s="4"/>
    </row>
    <row r="5496" spans="1:54" x14ac:dyDescent="0.3">
      <c r="A5496" s="66"/>
      <c r="B5496" s="67"/>
      <c r="C5496" s="66"/>
      <c r="D5496" s="68"/>
      <c r="E5496" s="10"/>
      <c r="F5496" s="69"/>
      <c r="G5496" s="68"/>
      <c r="H5496" s="70"/>
      <c r="BA5496" s="4"/>
      <c r="BB5496" s="4"/>
    </row>
    <row r="5497" spans="1:54" x14ac:dyDescent="0.3">
      <c r="A5497" s="66"/>
      <c r="B5497" s="67"/>
      <c r="C5497" s="66"/>
      <c r="D5497" s="68"/>
      <c r="E5497" s="10"/>
      <c r="F5497" s="69"/>
      <c r="G5497" s="68"/>
      <c r="H5497" s="70"/>
      <c r="BA5497" s="4"/>
      <c r="BB5497" s="4"/>
    </row>
    <row r="5498" spans="1:54" x14ac:dyDescent="0.3">
      <c r="A5498" s="66"/>
      <c r="B5498" s="67"/>
      <c r="C5498" s="66"/>
      <c r="D5498" s="68"/>
      <c r="E5498" s="10"/>
      <c r="F5498" s="69"/>
      <c r="G5498" s="68"/>
      <c r="H5498" s="70"/>
      <c r="BA5498" s="4"/>
      <c r="BB5498" s="4"/>
    </row>
    <row r="5499" spans="1:54" x14ac:dyDescent="0.3">
      <c r="A5499" s="66"/>
      <c r="B5499" s="67"/>
      <c r="C5499" s="66"/>
      <c r="D5499" s="68"/>
      <c r="E5499" s="10"/>
      <c r="F5499" s="69"/>
      <c r="G5499" s="68"/>
      <c r="H5499" s="70"/>
      <c r="BA5499" s="4"/>
      <c r="BB5499" s="4"/>
    </row>
    <row r="5500" spans="1:54" x14ac:dyDescent="0.3">
      <c r="A5500" s="66"/>
      <c r="B5500" s="67"/>
      <c r="C5500" s="66"/>
      <c r="D5500" s="68"/>
      <c r="E5500" s="10"/>
      <c r="F5500" s="69"/>
      <c r="G5500" s="68"/>
      <c r="H5500" s="70"/>
      <c r="BA5500" s="4"/>
      <c r="BB5500" s="4"/>
    </row>
    <row r="5501" spans="1:54" x14ac:dyDescent="0.3">
      <c r="A5501" s="66"/>
      <c r="B5501" s="67"/>
      <c r="C5501" s="66"/>
      <c r="D5501" s="68"/>
      <c r="E5501" s="10"/>
      <c r="F5501" s="69"/>
      <c r="G5501" s="68"/>
      <c r="H5501" s="70"/>
      <c r="BA5501" s="4"/>
      <c r="BB5501" s="4"/>
    </row>
    <row r="5502" spans="1:54" x14ac:dyDescent="0.3">
      <c r="A5502" s="66"/>
      <c r="B5502" s="67"/>
      <c r="C5502" s="66"/>
      <c r="D5502" s="68"/>
      <c r="E5502" s="10"/>
      <c r="F5502" s="69"/>
      <c r="G5502" s="68"/>
      <c r="H5502" s="70"/>
      <c r="BA5502" s="4"/>
      <c r="BB5502" s="4"/>
    </row>
    <row r="5503" spans="1:54" x14ac:dyDescent="0.3">
      <c r="A5503" s="66"/>
      <c r="B5503" s="67"/>
      <c r="C5503" s="66"/>
      <c r="D5503" s="68"/>
      <c r="E5503" s="10"/>
      <c r="F5503" s="69"/>
      <c r="G5503" s="68"/>
      <c r="H5503" s="70"/>
      <c r="BA5503" s="4"/>
      <c r="BB5503" s="4"/>
    </row>
    <row r="5504" spans="1:54" x14ac:dyDescent="0.3">
      <c r="A5504" s="66"/>
      <c r="B5504" s="67"/>
      <c r="C5504" s="66"/>
      <c r="D5504" s="68"/>
      <c r="E5504" s="10"/>
      <c r="F5504" s="69"/>
      <c r="G5504" s="68"/>
      <c r="H5504" s="70"/>
      <c r="BA5504" s="4"/>
      <c r="BB5504" s="4"/>
    </row>
    <row r="5505" spans="1:54" x14ac:dyDescent="0.3">
      <c r="A5505" s="66"/>
      <c r="B5505" s="67"/>
      <c r="C5505" s="66"/>
      <c r="D5505" s="68"/>
      <c r="E5505" s="10"/>
      <c r="F5505" s="69"/>
      <c r="G5505" s="68"/>
      <c r="H5505" s="70"/>
      <c r="BA5505" s="4"/>
      <c r="BB5505" s="4"/>
    </row>
    <row r="5506" spans="1:54" x14ac:dyDescent="0.3">
      <c r="A5506" s="66"/>
      <c r="B5506" s="67"/>
      <c r="C5506" s="66"/>
      <c r="D5506" s="68"/>
      <c r="E5506" s="10"/>
      <c r="F5506" s="69"/>
      <c r="G5506" s="68"/>
      <c r="H5506" s="70"/>
      <c r="BA5506" s="4"/>
      <c r="BB5506" s="4"/>
    </row>
    <row r="5507" spans="1:54" x14ac:dyDescent="0.3">
      <c r="A5507" s="66"/>
      <c r="B5507" s="67"/>
      <c r="C5507" s="66"/>
      <c r="D5507" s="68"/>
      <c r="E5507" s="10"/>
      <c r="F5507" s="69"/>
      <c r="G5507" s="68"/>
      <c r="H5507" s="70"/>
      <c r="BA5507" s="4"/>
      <c r="BB5507" s="4"/>
    </row>
    <row r="5508" spans="1:54" x14ac:dyDescent="0.3">
      <c r="A5508" s="66"/>
      <c r="B5508" s="67"/>
      <c r="C5508" s="66"/>
      <c r="D5508" s="68"/>
      <c r="E5508" s="10"/>
      <c r="F5508" s="69"/>
      <c r="G5508" s="68"/>
      <c r="H5508" s="70"/>
      <c r="BA5508" s="4"/>
      <c r="BB5508" s="4"/>
    </row>
    <row r="5509" spans="1:54" x14ac:dyDescent="0.3">
      <c r="A5509" s="66"/>
      <c r="B5509" s="67"/>
      <c r="C5509" s="66"/>
      <c r="D5509" s="68"/>
      <c r="E5509" s="10"/>
      <c r="F5509" s="69"/>
      <c r="G5509" s="68"/>
      <c r="H5509" s="70"/>
      <c r="BA5509" s="4"/>
      <c r="BB5509" s="4"/>
    </row>
    <row r="5510" spans="1:54" x14ac:dyDescent="0.3">
      <c r="A5510" s="66"/>
      <c r="B5510" s="67"/>
      <c r="C5510" s="66"/>
      <c r="D5510" s="68"/>
      <c r="E5510" s="10"/>
      <c r="F5510" s="69"/>
      <c r="G5510" s="68"/>
      <c r="H5510" s="70"/>
      <c r="BA5510" s="4"/>
      <c r="BB5510" s="4"/>
    </row>
    <row r="5511" spans="1:54" x14ac:dyDescent="0.3">
      <c r="A5511" s="66"/>
      <c r="B5511" s="67"/>
      <c r="C5511" s="66"/>
      <c r="D5511" s="68"/>
      <c r="E5511" s="10"/>
      <c r="F5511" s="69"/>
      <c r="G5511" s="68"/>
      <c r="H5511" s="70"/>
      <c r="BA5511" s="4"/>
      <c r="BB5511" s="4"/>
    </row>
    <row r="5512" spans="1:54" x14ac:dyDescent="0.3">
      <c r="A5512" s="66"/>
      <c r="B5512" s="67"/>
      <c r="C5512" s="66"/>
      <c r="D5512" s="68"/>
      <c r="E5512" s="10"/>
      <c r="F5512" s="69"/>
      <c r="G5512" s="68"/>
      <c r="H5512" s="70"/>
      <c r="BA5512" s="4"/>
      <c r="BB5512" s="4"/>
    </row>
    <row r="5513" spans="1:54" x14ac:dyDescent="0.3">
      <c r="A5513" s="66"/>
      <c r="B5513" s="67"/>
      <c r="C5513" s="66"/>
      <c r="D5513" s="68"/>
      <c r="E5513" s="10"/>
      <c r="F5513" s="69"/>
      <c r="G5513" s="68"/>
      <c r="H5513" s="70"/>
      <c r="BA5513" s="4"/>
      <c r="BB5513" s="4"/>
    </row>
    <row r="5514" spans="1:54" x14ac:dyDescent="0.3">
      <c r="A5514" s="66"/>
      <c r="B5514" s="67"/>
      <c r="C5514" s="66"/>
      <c r="D5514" s="68"/>
      <c r="E5514" s="10"/>
      <c r="F5514" s="69"/>
      <c r="G5514" s="68"/>
      <c r="H5514" s="70"/>
      <c r="BA5514" s="4"/>
      <c r="BB5514" s="4"/>
    </row>
    <row r="5515" spans="1:54" x14ac:dyDescent="0.3">
      <c r="A5515" s="66"/>
      <c r="B5515" s="67"/>
      <c r="C5515" s="66"/>
      <c r="D5515" s="68"/>
      <c r="E5515" s="10"/>
      <c r="F5515" s="69"/>
      <c r="G5515" s="68"/>
      <c r="H5515" s="70"/>
      <c r="BA5515" s="4"/>
      <c r="BB5515" s="4"/>
    </row>
    <row r="5516" spans="1:54" x14ac:dyDescent="0.3">
      <c r="A5516" s="66"/>
      <c r="B5516" s="67"/>
      <c r="C5516" s="66"/>
      <c r="D5516" s="68"/>
      <c r="E5516" s="10"/>
      <c r="F5516" s="69"/>
      <c r="G5516" s="68"/>
      <c r="H5516" s="70"/>
      <c r="BA5516" s="4"/>
      <c r="BB5516" s="4"/>
    </row>
    <row r="5517" spans="1:54" x14ac:dyDescent="0.3">
      <c r="A5517" s="66"/>
      <c r="B5517" s="67"/>
      <c r="C5517" s="66"/>
      <c r="D5517" s="68"/>
      <c r="E5517" s="10"/>
      <c r="F5517" s="69"/>
      <c r="G5517" s="68"/>
      <c r="H5517" s="70"/>
      <c r="BA5517" s="4"/>
      <c r="BB5517" s="4"/>
    </row>
    <row r="5518" spans="1:54" x14ac:dyDescent="0.3">
      <c r="A5518" s="66"/>
      <c r="B5518" s="67"/>
      <c r="C5518" s="66"/>
      <c r="D5518" s="68"/>
      <c r="E5518" s="10"/>
      <c r="F5518" s="69"/>
      <c r="G5518" s="68"/>
      <c r="H5518" s="70"/>
      <c r="BA5518" s="4"/>
      <c r="BB5518" s="4"/>
    </row>
    <row r="5519" spans="1:54" x14ac:dyDescent="0.3">
      <c r="A5519" s="66"/>
      <c r="B5519" s="67"/>
      <c r="C5519" s="66"/>
      <c r="D5519" s="68"/>
      <c r="E5519" s="10"/>
      <c r="F5519" s="69"/>
      <c r="G5519" s="68"/>
      <c r="H5519" s="70"/>
      <c r="BA5519" s="4"/>
      <c r="BB5519" s="4"/>
    </row>
    <row r="5520" spans="1:54" x14ac:dyDescent="0.3">
      <c r="A5520" s="66"/>
      <c r="B5520" s="67"/>
      <c r="C5520" s="66"/>
      <c r="D5520" s="68"/>
      <c r="E5520" s="10"/>
      <c r="F5520" s="69"/>
      <c r="G5520" s="68"/>
      <c r="H5520" s="70"/>
      <c r="BA5520" s="4"/>
      <c r="BB5520" s="4"/>
    </row>
    <row r="5521" spans="1:54" x14ac:dyDescent="0.3">
      <c r="A5521" s="66"/>
      <c r="B5521" s="67"/>
      <c r="C5521" s="66"/>
      <c r="D5521" s="68"/>
      <c r="E5521" s="10"/>
      <c r="F5521" s="69"/>
      <c r="G5521" s="68"/>
      <c r="H5521" s="70"/>
      <c r="BA5521" s="4"/>
      <c r="BB5521" s="4"/>
    </row>
    <row r="5522" spans="1:54" x14ac:dyDescent="0.3">
      <c r="A5522" s="66"/>
      <c r="B5522" s="67"/>
      <c r="C5522" s="66"/>
      <c r="D5522" s="68"/>
      <c r="E5522" s="10"/>
      <c r="F5522" s="69"/>
      <c r="G5522" s="68"/>
      <c r="H5522" s="70"/>
      <c r="BA5522" s="4"/>
      <c r="BB5522" s="4"/>
    </row>
    <row r="5523" spans="1:54" x14ac:dyDescent="0.3">
      <c r="A5523" s="66"/>
      <c r="B5523" s="67"/>
      <c r="C5523" s="66"/>
      <c r="D5523" s="68"/>
      <c r="E5523" s="10"/>
      <c r="F5523" s="69"/>
      <c r="G5523" s="68"/>
      <c r="H5523" s="70"/>
      <c r="BA5523" s="4"/>
      <c r="BB5523" s="4"/>
    </row>
    <row r="5524" spans="1:54" x14ac:dyDescent="0.3">
      <c r="A5524" s="66"/>
      <c r="B5524" s="67"/>
      <c r="C5524" s="66"/>
      <c r="D5524" s="68"/>
      <c r="E5524" s="10"/>
      <c r="F5524" s="69"/>
      <c r="G5524" s="68"/>
      <c r="H5524" s="70"/>
      <c r="BA5524" s="4"/>
      <c r="BB5524" s="4"/>
    </row>
    <row r="5525" spans="1:54" x14ac:dyDescent="0.3">
      <c r="A5525" s="66"/>
      <c r="B5525" s="67"/>
      <c r="C5525" s="66"/>
      <c r="D5525" s="68"/>
      <c r="E5525" s="10"/>
      <c r="F5525" s="69"/>
      <c r="G5525" s="68"/>
      <c r="H5525" s="70"/>
      <c r="BA5525" s="4"/>
      <c r="BB5525" s="4"/>
    </row>
    <row r="5526" spans="1:54" x14ac:dyDescent="0.3">
      <c r="A5526" s="66"/>
      <c r="B5526" s="67"/>
      <c r="C5526" s="66"/>
      <c r="D5526" s="68"/>
      <c r="E5526" s="10"/>
      <c r="F5526" s="69"/>
      <c r="G5526" s="68"/>
      <c r="H5526" s="70"/>
      <c r="BA5526" s="4"/>
      <c r="BB5526" s="4"/>
    </row>
    <row r="5527" spans="1:54" x14ac:dyDescent="0.3">
      <c r="A5527" s="66"/>
      <c r="B5527" s="67"/>
      <c r="C5527" s="66"/>
      <c r="D5527" s="68"/>
      <c r="E5527" s="10"/>
      <c r="F5527" s="69"/>
      <c r="G5527" s="68"/>
      <c r="H5527" s="70"/>
      <c r="BA5527" s="4"/>
      <c r="BB5527" s="4"/>
    </row>
    <row r="5528" spans="1:54" x14ac:dyDescent="0.3">
      <c r="A5528" s="66"/>
      <c r="B5528" s="67"/>
      <c r="C5528" s="66"/>
      <c r="D5528" s="68"/>
      <c r="E5528" s="10"/>
      <c r="F5528" s="69"/>
      <c r="G5528" s="68"/>
      <c r="H5528" s="70"/>
      <c r="BA5528" s="4"/>
      <c r="BB5528" s="4"/>
    </row>
    <row r="5529" spans="1:54" x14ac:dyDescent="0.3">
      <c r="A5529" s="66"/>
      <c r="B5529" s="67"/>
      <c r="C5529" s="66"/>
      <c r="D5529" s="68"/>
      <c r="E5529" s="10"/>
      <c r="F5529" s="69"/>
      <c r="G5529" s="68"/>
      <c r="H5529" s="70"/>
      <c r="BA5529" s="4"/>
      <c r="BB5529" s="4"/>
    </row>
    <row r="5530" spans="1:54" x14ac:dyDescent="0.3">
      <c r="A5530" s="66"/>
      <c r="B5530" s="67"/>
      <c r="C5530" s="66"/>
      <c r="D5530" s="68"/>
      <c r="E5530" s="10"/>
      <c r="F5530" s="69"/>
      <c r="G5530" s="68"/>
      <c r="H5530" s="70"/>
      <c r="BA5530" s="4"/>
      <c r="BB5530" s="4"/>
    </row>
    <row r="5531" spans="1:54" x14ac:dyDescent="0.3">
      <c r="A5531" s="66"/>
      <c r="B5531" s="67"/>
      <c r="C5531" s="66"/>
      <c r="D5531" s="68"/>
      <c r="E5531" s="10"/>
      <c r="F5531" s="69"/>
      <c r="G5531" s="68"/>
      <c r="H5531" s="70"/>
      <c r="BA5531" s="4"/>
      <c r="BB5531" s="4"/>
    </row>
    <row r="5532" spans="1:54" x14ac:dyDescent="0.3">
      <c r="A5532" s="66"/>
      <c r="B5532" s="67"/>
      <c r="C5532" s="66"/>
      <c r="D5532" s="68"/>
      <c r="E5532" s="10"/>
      <c r="F5532" s="69"/>
      <c r="G5532" s="68"/>
      <c r="H5532" s="70"/>
      <c r="BA5532" s="4"/>
      <c r="BB5532" s="4"/>
    </row>
    <row r="5533" spans="1:54" x14ac:dyDescent="0.3">
      <c r="A5533" s="66"/>
      <c r="B5533" s="67"/>
      <c r="C5533" s="66"/>
      <c r="D5533" s="68"/>
      <c r="E5533" s="10"/>
      <c r="F5533" s="69"/>
      <c r="G5533" s="68"/>
      <c r="H5533" s="70"/>
      <c r="BA5533" s="4"/>
      <c r="BB5533" s="4"/>
    </row>
    <row r="5534" spans="1:54" x14ac:dyDescent="0.3">
      <c r="A5534" s="66"/>
      <c r="B5534" s="67"/>
      <c r="C5534" s="66"/>
      <c r="D5534" s="68"/>
      <c r="E5534" s="10"/>
      <c r="F5534" s="69"/>
      <c r="G5534" s="68"/>
      <c r="H5534" s="70"/>
      <c r="BA5534" s="4"/>
      <c r="BB5534" s="4"/>
    </row>
    <row r="5535" spans="1:54" x14ac:dyDescent="0.3">
      <c r="A5535" s="66"/>
      <c r="B5535" s="67"/>
      <c r="C5535" s="66"/>
      <c r="D5535" s="68"/>
      <c r="E5535" s="10"/>
      <c r="F5535" s="69"/>
      <c r="G5535" s="68"/>
      <c r="H5535" s="70"/>
      <c r="BA5535" s="4"/>
      <c r="BB5535" s="4"/>
    </row>
    <row r="5536" spans="1:54" x14ac:dyDescent="0.3">
      <c r="A5536" s="66"/>
      <c r="B5536" s="67"/>
      <c r="C5536" s="66"/>
      <c r="D5536" s="68"/>
      <c r="E5536" s="10"/>
      <c r="F5536" s="69"/>
      <c r="G5536" s="68"/>
      <c r="H5536" s="70"/>
      <c r="BA5536" s="4"/>
      <c r="BB5536" s="4"/>
    </row>
    <row r="5537" spans="1:54" x14ac:dyDescent="0.3">
      <c r="A5537" s="66"/>
      <c r="B5537" s="67"/>
      <c r="C5537" s="66"/>
      <c r="D5537" s="68"/>
      <c r="E5537" s="10"/>
      <c r="F5537" s="69"/>
      <c r="G5537" s="68"/>
      <c r="H5537" s="70"/>
      <c r="BA5537" s="4"/>
      <c r="BB5537" s="4"/>
    </row>
    <row r="5538" spans="1:54" x14ac:dyDescent="0.3">
      <c r="A5538" s="66"/>
      <c r="B5538" s="67"/>
      <c r="C5538" s="66"/>
      <c r="D5538" s="68"/>
      <c r="E5538" s="10"/>
      <c r="F5538" s="69"/>
      <c r="G5538" s="68"/>
      <c r="H5538" s="70"/>
      <c r="BA5538" s="4"/>
      <c r="BB5538" s="4"/>
    </row>
    <row r="5539" spans="1:54" x14ac:dyDescent="0.3">
      <c r="A5539" s="66"/>
      <c r="B5539" s="67"/>
      <c r="C5539" s="66"/>
      <c r="D5539" s="68"/>
      <c r="E5539" s="10"/>
      <c r="F5539" s="69"/>
      <c r="G5539" s="68"/>
      <c r="H5539" s="70"/>
      <c r="BA5539" s="4"/>
      <c r="BB5539" s="4"/>
    </row>
    <row r="5540" spans="1:54" x14ac:dyDescent="0.3">
      <c r="A5540" s="66"/>
      <c r="B5540" s="67"/>
      <c r="C5540" s="66"/>
      <c r="D5540" s="68"/>
      <c r="E5540" s="10"/>
      <c r="F5540" s="69"/>
      <c r="G5540" s="68"/>
      <c r="H5540" s="70"/>
      <c r="BA5540" s="4"/>
      <c r="BB5540" s="4"/>
    </row>
    <row r="5541" spans="1:54" x14ac:dyDescent="0.3">
      <c r="A5541" s="66"/>
      <c r="B5541" s="67"/>
      <c r="C5541" s="66"/>
      <c r="D5541" s="68"/>
      <c r="E5541" s="10"/>
      <c r="F5541" s="69"/>
      <c r="G5541" s="68"/>
      <c r="H5541" s="70"/>
      <c r="BA5541" s="4"/>
      <c r="BB5541" s="4"/>
    </row>
    <row r="5542" spans="1:54" x14ac:dyDescent="0.3">
      <c r="A5542" s="66"/>
      <c r="B5542" s="67"/>
      <c r="C5542" s="66"/>
      <c r="D5542" s="68"/>
      <c r="E5542" s="10"/>
      <c r="F5542" s="69"/>
      <c r="G5542" s="68"/>
      <c r="H5542" s="70"/>
      <c r="BA5542" s="4"/>
      <c r="BB5542" s="4"/>
    </row>
    <row r="5543" spans="1:54" x14ac:dyDescent="0.3">
      <c r="A5543" s="66"/>
      <c r="B5543" s="67"/>
      <c r="C5543" s="66"/>
      <c r="D5543" s="68"/>
      <c r="E5543" s="10"/>
      <c r="F5543" s="69"/>
      <c r="G5543" s="68"/>
      <c r="H5543" s="70"/>
      <c r="BA5543" s="4"/>
      <c r="BB5543" s="4"/>
    </row>
    <row r="5544" spans="1:54" x14ac:dyDescent="0.3">
      <c r="A5544" s="66"/>
      <c r="B5544" s="67"/>
      <c r="C5544" s="66"/>
      <c r="D5544" s="68"/>
      <c r="E5544" s="10"/>
      <c r="F5544" s="69"/>
      <c r="G5544" s="68"/>
      <c r="H5544" s="70"/>
      <c r="BA5544" s="4"/>
      <c r="BB5544" s="4"/>
    </row>
    <row r="5545" spans="1:54" x14ac:dyDescent="0.3">
      <c r="A5545" s="66"/>
      <c r="B5545" s="67"/>
      <c r="C5545" s="66"/>
      <c r="D5545" s="68"/>
      <c r="E5545" s="10"/>
      <c r="F5545" s="69"/>
      <c r="G5545" s="68"/>
      <c r="H5545" s="70"/>
      <c r="BA5545" s="4"/>
      <c r="BB5545" s="4"/>
    </row>
    <row r="5546" spans="1:54" x14ac:dyDescent="0.3">
      <c r="A5546" s="66"/>
      <c r="B5546" s="67"/>
      <c r="C5546" s="66"/>
      <c r="D5546" s="68"/>
      <c r="E5546" s="10"/>
      <c r="F5546" s="69"/>
      <c r="G5546" s="68"/>
      <c r="H5546" s="70"/>
      <c r="BA5546" s="4"/>
      <c r="BB5546" s="4"/>
    </row>
    <row r="5547" spans="1:54" x14ac:dyDescent="0.3">
      <c r="A5547" s="66"/>
      <c r="B5547" s="67"/>
      <c r="C5547" s="66"/>
      <c r="D5547" s="68"/>
      <c r="E5547" s="10"/>
      <c r="F5547" s="69"/>
      <c r="G5547" s="68"/>
      <c r="H5547" s="70"/>
      <c r="BA5547" s="4"/>
      <c r="BB5547" s="4"/>
    </row>
    <row r="5548" spans="1:54" x14ac:dyDescent="0.3">
      <c r="A5548" s="66"/>
      <c r="B5548" s="67"/>
      <c r="C5548" s="66"/>
      <c r="D5548" s="68"/>
      <c r="E5548" s="10"/>
      <c r="F5548" s="69"/>
      <c r="G5548" s="68"/>
      <c r="H5548" s="70"/>
      <c r="BA5548" s="4"/>
      <c r="BB5548" s="4"/>
    </row>
    <row r="5549" spans="1:54" x14ac:dyDescent="0.3">
      <c r="A5549" s="66"/>
      <c r="B5549" s="67"/>
      <c r="C5549" s="66"/>
      <c r="D5549" s="68"/>
      <c r="E5549" s="10"/>
      <c r="F5549" s="69"/>
      <c r="G5549" s="68"/>
      <c r="H5549" s="70"/>
      <c r="BA5549" s="4"/>
      <c r="BB5549" s="4"/>
    </row>
    <row r="5550" spans="1:54" x14ac:dyDescent="0.3">
      <c r="A5550" s="66"/>
      <c r="B5550" s="67"/>
      <c r="C5550" s="66"/>
      <c r="D5550" s="68"/>
      <c r="E5550" s="10"/>
      <c r="F5550" s="69"/>
      <c r="G5550" s="68"/>
      <c r="H5550" s="70"/>
      <c r="BA5550" s="4"/>
      <c r="BB5550" s="4"/>
    </row>
    <row r="5551" spans="1:54" x14ac:dyDescent="0.3">
      <c r="A5551" s="66"/>
      <c r="B5551" s="67"/>
      <c r="C5551" s="66"/>
      <c r="D5551" s="68"/>
      <c r="E5551" s="10"/>
      <c r="F5551" s="69"/>
      <c r="G5551" s="68"/>
      <c r="H5551" s="70"/>
      <c r="BA5551" s="4"/>
      <c r="BB5551" s="4"/>
    </row>
    <row r="5552" spans="1:54" x14ac:dyDescent="0.3">
      <c r="A5552" s="66"/>
      <c r="B5552" s="67"/>
      <c r="C5552" s="66"/>
      <c r="D5552" s="68"/>
      <c r="E5552" s="10"/>
      <c r="F5552" s="69"/>
      <c r="G5552" s="68"/>
      <c r="H5552" s="70"/>
      <c r="BA5552" s="4"/>
      <c r="BB5552" s="4"/>
    </row>
    <row r="5553" spans="1:54" x14ac:dyDescent="0.3">
      <c r="A5553" s="66"/>
      <c r="B5553" s="67"/>
      <c r="C5553" s="66"/>
      <c r="D5553" s="68"/>
      <c r="E5553" s="10"/>
      <c r="F5553" s="69"/>
      <c r="G5553" s="68"/>
      <c r="H5553" s="70"/>
      <c r="BA5553" s="4"/>
      <c r="BB5553" s="4"/>
    </row>
    <row r="5554" spans="1:54" x14ac:dyDescent="0.3">
      <c r="A5554" s="66"/>
      <c r="B5554" s="67"/>
      <c r="C5554" s="66"/>
      <c r="D5554" s="68"/>
      <c r="E5554" s="10"/>
      <c r="F5554" s="69"/>
      <c r="G5554" s="68"/>
      <c r="H5554" s="70"/>
      <c r="BA5554" s="4"/>
      <c r="BB5554" s="4"/>
    </row>
    <row r="5555" spans="1:54" x14ac:dyDescent="0.3">
      <c r="A5555" s="66"/>
      <c r="B5555" s="67"/>
      <c r="C5555" s="66"/>
      <c r="D5555" s="68"/>
      <c r="E5555" s="10"/>
      <c r="F5555" s="69"/>
      <c r="G5555" s="68"/>
      <c r="H5555" s="70"/>
      <c r="BA5555" s="4"/>
      <c r="BB5555" s="4"/>
    </row>
    <row r="5556" spans="1:54" x14ac:dyDescent="0.3">
      <c r="A5556" s="66"/>
      <c r="B5556" s="67"/>
      <c r="C5556" s="66"/>
      <c r="D5556" s="68"/>
      <c r="E5556" s="10"/>
      <c r="F5556" s="69"/>
      <c r="G5556" s="68"/>
      <c r="H5556" s="70"/>
      <c r="BA5556" s="4"/>
      <c r="BB5556" s="4"/>
    </row>
    <row r="5557" spans="1:54" x14ac:dyDescent="0.3">
      <c r="A5557" s="66"/>
      <c r="B5557" s="67"/>
      <c r="C5557" s="66"/>
      <c r="D5557" s="68"/>
      <c r="E5557" s="10"/>
      <c r="F5557" s="69"/>
      <c r="G5557" s="68"/>
      <c r="H5557" s="70"/>
      <c r="BA5557" s="4"/>
      <c r="BB5557" s="4"/>
    </row>
    <row r="5558" spans="1:54" x14ac:dyDescent="0.3">
      <c r="A5558" s="66"/>
      <c r="B5558" s="67"/>
      <c r="C5558" s="66"/>
      <c r="D5558" s="68"/>
      <c r="E5558" s="10"/>
      <c r="F5558" s="69"/>
      <c r="G5558" s="68"/>
      <c r="H5558" s="70"/>
      <c r="BA5558" s="4"/>
      <c r="BB5558" s="4"/>
    </row>
    <row r="5559" spans="1:54" x14ac:dyDescent="0.3">
      <c r="A5559" s="66"/>
      <c r="B5559" s="67"/>
      <c r="C5559" s="66"/>
      <c r="D5559" s="68"/>
      <c r="E5559" s="10"/>
      <c r="F5559" s="69"/>
      <c r="G5559" s="68"/>
      <c r="H5559" s="70"/>
      <c r="BA5559" s="4"/>
      <c r="BB5559" s="4"/>
    </row>
    <row r="5560" spans="1:54" x14ac:dyDescent="0.3">
      <c r="A5560" s="66"/>
      <c r="B5560" s="67"/>
      <c r="C5560" s="66"/>
      <c r="D5560" s="68"/>
      <c r="E5560" s="10"/>
      <c r="F5560" s="69"/>
      <c r="G5560" s="68"/>
      <c r="H5560" s="70"/>
      <c r="BA5560" s="4"/>
      <c r="BB5560" s="4"/>
    </row>
    <row r="5561" spans="1:54" x14ac:dyDescent="0.3">
      <c r="A5561" s="66"/>
      <c r="B5561" s="67"/>
      <c r="C5561" s="66"/>
      <c r="D5561" s="68"/>
      <c r="E5561" s="10"/>
      <c r="F5561" s="69"/>
      <c r="G5561" s="68"/>
      <c r="H5561" s="70"/>
      <c r="BA5561" s="4"/>
      <c r="BB5561" s="4"/>
    </row>
    <row r="5562" spans="1:54" x14ac:dyDescent="0.3">
      <c r="A5562" s="66"/>
      <c r="B5562" s="67"/>
      <c r="C5562" s="66"/>
      <c r="D5562" s="68"/>
      <c r="E5562" s="10"/>
      <c r="F5562" s="69"/>
      <c r="G5562" s="68"/>
      <c r="H5562" s="70"/>
      <c r="BA5562" s="4"/>
      <c r="BB5562" s="4"/>
    </row>
    <row r="5563" spans="1:54" x14ac:dyDescent="0.3">
      <c r="A5563" s="66"/>
      <c r="B5563" s="67"/>
      <c r="C5563" s="66"/>
      <c r="D5563" s="68"/>
      <c r="E5563" s="10"/>
      <c r="F5563" s="69"/>
      <c r="G5563" s="68"/>
      <c r="H5563" s="70"/>
      <c r="BA5563" s="4"/>
      <c r="BB5563" s="4"/>
    </row>
    <row r="5564" spans="1:54" x14ac:dyDescent="0.3">
      <c r="A5564" s="66"/>
      <c r="B5564" s="67"/>
      <c r="C5564" s="66"/>
      <c r="D5564" s="68"/>
      <c r="E5564" s="10"/>
      <c r="F5564" s="69"/>
      <c r="G5564" s="68"/>
      <c r="H5564" s="70"/>
      <c r="BA5564" s="4"/>
      <c r="BB5564" s="4"/>
    </row>
    <row r="5565" spans="1:54" x14ac:dyDescent="0.3">
      <c r="A5565" s="66"/>
      <c r="B5565" s="67"/>
      <c r="C5565" s="66"/>
      <c r="D5565" s="68"/>
      <c r="E5565" s="10"/>
      <c r="F5565" s="69"/>
      <c r="G5565" s="68"/>
      <c r="H5565" s="70"/>
      <c r="BA5565" s="4"/>
      <c r="BB5565" s="4"/>
    </row>
    <row r="5566" spans="1:54" x14ac:dyDescent="0.3">
      <c r="A5566" s="66"/>
      <c r="B5566" s="67"/>
      <c r="C5566" s="66"/>
      <c r="D5566" s="68"/>
      <c r="E5566" s="10"/>
      <c r="F5566" s="69"/>
      <c r="G5566" s="68"/>
      <c r="H5566" s="70"/>
      <c r="BA5566" s="4"/>
      <c r="BB5566" s="4"/>
    </row>
    <row r="5567" spans="1:54" x14ac:dyDescent="0.3">
      <c r="A5567" s="66"/>
      <c r="B5567" s="67"/>
      <c r="C5567" s="66"/>
      <c r="D5567" s="68"/>
      <c r="E5567" s="10"/>
      <c r="F5567" s="69"/>
      <c r="G5567" s="68"/>
      <c r="H5567" s="70"/>
      <c r="BA5567" s="4"/>
      <c r="BB5567" s="4"/>
    </row>
    <row r="5568" spans="1:54" x14ac:dyDescent="0.3">
      <c r="A5568" s="66"/>
      <c r="B5568" s="67"/>
      <c r="C5568" s="66"/>
      <c r="D5568" s="68"/>
      <c r="E5568" s="10"/>
      <c r="F5568" s="69"/>
      <c r="G5568" s="68"/>
      <c r="H5568" s="70"/>
      <c r="BA5568" s="4"/>
      <c r="BB5568" s="4"/>
    </row>
    <row r="5569" spans="1:54" x14ac:dyDescent="0.3">
      <c r="A5569" s="66"/>
      <c r="B5569" s="67"/>
      <c r="C5569" s="66"/>
      <c r="D5569" s="68"/>
      <c r="E5569" s="10"/>
      <c r="F5569" s="69"/>
      <c r="G5569" s="68"/>
      <c r="H5569" s="70"/>
      <c r="BA5569" s="4"/>
      <c r="BB5569" s="4"/>
    </row>
    <row r="5570" spans="1:54" x14ac:dyDescent="0.3">
      <c r="A5570" s="66"/>
      <c r="B5570" s="67"/>
      <c r="C5570" s="66"/>
      <c r="D5570" s="68"/>
      <c r="E5570" s="10"/>
      <c r="F5570" s="69"/>
      <c r="G5570" s="68"/>
      <c r="H5570" s="70"/>
      <c r="BA5570" s="4"/>
      <c r="BB5570" s="4"/>
    </row>
    <row r="5571" spans="1:54" x14ac:dyDescent="0.3">
      <c r="A5571" s="66"/>
      <c r="B5571" s="67"/>
      <c r="C5571" s="66"/>
      <c r="D5571" s="68"/>
      <c r="E5571" s="10"/>
      <c r="F5571" s="69"/>
      <c r="G5571" s="68"/>
      <c r="H5571" s="70"/>
      <c r="BA5571" s="4"/>
      <c r="BB5571" s="4"/>
    </row>
    <row r="5572" spans="1:54" x14ac:dyDescent="0.3">
      <c r="A5572" s="66"/>
      <c r="B5572" s="67"/>
      <c r="C5572" s="66"/>
      <c r="D5572" s="68"/>
      <c r="E5572" s="10"/>
      <c r="F5572" s="69"/>
      <c r="G5572" s="68"/>
      <c r="H5572" s="70"/>
      <c r="BA5572" s="4"/>
      <c r="BB5572" s="4"/>
    </row>
    <row r="5573" spans="1:54" x14ac:dyDescent="0.3">
      <c r="A5573" s="66"/>
      <c r="B5573" s="67"/>
      <c r="C5573" s="66"/>
      <c r="D5573" s="68"/>
      <c r="E5573" s="10"/>
      <c r="F5573" s="69"/>
      <c r="G5573" s="68"/>
      <c r="H5573" s="70"/>
      <c r="BA5573" s="4"/>
      <c r="BB5573" s="4"/>
    </row>
    <row r="5574" spans="1:54" x14ac:dyDescent="0.3">
      <c r="A5574" s="66"/>
      <c r="B5574" s="67"/>
      <c r="C5574" s="66"/>
      <c r="D5574" s="68"/>
      <c r="E5574" s="10"/>
      <c r="F5574" s="69"/>
      <c r="G5574" s="68"/>
      <c r="H5574" s="70"/>
      <c r="BA5574" s="4"/>
      <c r="BB5574" s="4"/>
    </row>
    <row r="5575" spans="1:54" x14ac:dyDescent="0.3">
      <c r="A5575" s="66"/>
      <c r="B5575" s="67"/>
      <c r="C5575" s="66"/>
      <c r="D5575" s="68"/>
      <c r="E5575" s="10"/>
      <c r="F5575" s="69"/>
      <c r="G5575" s="68"/>
      <c r="H5575" s="70"/>
      <c r="BA5575" s="4"/>
      <c r="BB5575" s="4"/>
    </row>
    <row r="5576" spans="1:54" x14ac:dyDescent="0.3">
      <c r="A5576" s="66"/>
      <c r="B5576" s="67"/>
      <c r="C5576" s="66"/>
      <c r="D5576" s="68"/>
      <c r="E5576" s="10"/>
      <c r="F5576" s="69"/>
      <c r="G5576" s="68"/>
      <c r="H5576" s="70"/>
      <c r="BA5576" s="4"/>
      <c r="BB5576" s="4"/>
    </row>
    <row r="5577" spans="1:54" x14ac:dyDescent="0.3">
      <c r="A5577" s="66"/>
      <c r="B5577" s="67"/>
      <c r="C5577" s="66"/>
      <c r="D5577" s="68"/>
      <c r="E5577" s="10"/>
      <c r="F5577" s="69"/>
      <c r="G5577" s="68"/>
      <c r="H5577" s="70"/>
      <c r="BA5577" s="4"/>
      <c r="BB5577" s="4"/>
    </row>
    <row r="5578" spans="1:54" x14ac:dyDescent="0.3">
      <c r="A5578" s="66"/>
      <c r="B5578" s="67"/>
      <c r="C5578" s="66"/>
      <c r="D5578" s="68"/>
      <c r="E5578" s="10"/>
      <c r="F5578" s="69"/>
      <c r="G5578" s="68"/>
      <c r="H5578" s="70"/>
      <c r="BA5578" s="4"/>
      <c r="BB5578" s="4"/>
    </row>
    <row r="5579" spans="1:54" x14ac:dyDescent="0.3">
      <c r="A5579" s="66"/>
      <c r="B5579" s="67"/>
      <c r="C5579" s="66"/>
      <c r="D5579" s="68"/>
      <c r="E5579" s="10"/>
      <c r="F5579" s="69"/>
      <c r="G5579" s="68"/>
      <c r="H5579" s="70"/>
      <c r="BA5579" s="4"/>
      <c r="BB5579" s="4"/>
    </row>
    <row r="5580" spans="1:54" x14ac:dyDescent="0.3">
      <c r="A5580" s="66"/>
      <c r="B5580" s="67"/>
      <c r="C5580" s="66"/>
      <c r="D5580" s="68"/>
      <c r="E5580" s="10"/>
      <c r="F5580" s="69"/>
      <c r="G5580" s="68"/>
      <c r="H5580" s="70"/>
      <c r="BA5580" s="4"/>
      <c r="BB5580" s="4"/>
    </row>
    <row r="5581" spans="1:54" x14ac:dyDescent="0.3">
      <c r="A5581" s="66"/>
      <c r="B5581" s="67"/>
      <c r="C5581" s="66"/>
      <c r="D5581" s="68"/>
      <c r="E5581" s="10"/>
      <c r="F5581" s="69"/>
      <c r="G5581" s="68"/>
      <c r="H5581" s="70"/>
      <c r="BA5581" s="4"/>
      <c r="BB5581" s="4"/>
    </row>
    <row r="5582" spans="1:54" x14ac:dyDescent="0.3">
      <c r="A5582" s="66"/>
      <c r="B5582" s="67"/>
      <c r="C5582" s="66"/>
      <c r="D5582" s="68"/>
      <c r="E5582" s="10"/>
      <c r="F5582" s="69"/>
      <c r="G5582" s="68"/>
      <c r="H5582" s="70"/>
      <c r="BA5582" s="4"/>
      <c r="BB5582" s="4"/>
    </row>
    <row r="5583" spans="1:54" x14ac:dyDescent="0.3">
      <c r="A5583" s="66"/>
      <c r="B5583" s="67"/>
      <c r="C5583" s="66"/>
      <c r="D5583" s="68"/>
      <c r="E5583" s="10"/>
      <c r="F5583" s="69"/>
      <c r="G5583" s="68"/>
      <c r="H5583" s="70"/>
      <c r="BA5583" s="4"/>
      <c r="BB5583" s="4"/>
    </row>
    <row r="5584" spans="1:54" x14ac:dyDescent="0.3">
      <c r="A5584" s="66"/>
      <c r="B5584" s="67"/>
      <c r="C5584" s="66"/>
      <c r="D5584" s="68"/>
      <c r="E5584" s="10"/>
      <c r="F5584" s="69"/>
      <c r="G5584" s="68"/>
      <c r="H5584" s="70"/>
      <c r="BA5584" s="4"/>
      <c r="BB5584" s="4"/>
    </row>
    <row r="5585" spans="1:54" x14ac:dyDescent="0.3">
      <c r="A5585" s="66"/>
      <c r="B5585" s="67"/>
      <c r="C5585" s="66"/>
      <c r="D5585" s="68"/>
      <c r="E5585" s="10"/>
      <c r="F5585" s="69"/>
      <c r="G5585" s="68"/>
      <c r="H5585" s="70"/>
      <c r="BA5585" s="4"/>
      <c r="BB5585" s="4"/>
    </row>
    <row r="5586" spans="1:54" x14ac:dyDescent="0.3">
      <c r="A5586" s="66"/>
      <c r="B5586" s="67"/>
      <c r="C5586" s="66"/>
      <c r="D5586" s="68"/>
      <c r="E5586" s="10"/>
      <c r="F5586" s="69"/>
      <c r="G5586" s="68"/>
      <c r="H5586" s="70"/>
      <c r="BA5586" s="4"/>
      <c r="BB5586" s="4"/>
    </row>
    <row r="5587" spans="1:54" x14ac:dyDescent="0.3">
      <c r="A5587" s="66"/>
      <c r="B5587" s="67"/>
      <c r="C5587" s="66"/>
      <c r="D5587" s="68"/>
      <c r="E5587" s="10"/>
      <c r="F5587" s="69"/>
      <c r="G5587" s="68"/>
      <c r="H5587" s="70"/>
      <c r="BA5587" s="4"/>
      <c r="BB5587" s="4"/>
    </row>
    <row r="5588" spans="1:54" x14ac:dyDescent="0.3">
      <c r="A5588" s="66"/>
      <c r="B5588" s="67"/>
      <c r="C5588" s="66"/>
      <c r="D5588" s="68"/>
      <c r="E5588" s="10"/>
      <c r="F5588" s="69"/>
      <c r="G5588" s="68"/>
      <c r="H5588" s="70"/>
      <c r="BA5588" s="4"/>
      <c r="BB5588" s="4"/>
    </row>
    <row r="5589" spans="1:54" x14ac:dyDescent="0.3">
      <c r="A5589" s="66"/>
      <c r="B5589" s="67"/>
      <c r="C5589" s="66"/>
      <c r="D5589" s="68"/>
      <c r="E5589" s="10"/>
      <c r="F5589" s="69"/>
      <c r="G5589" s="68"/>
      <c r="H5589" s="70"/>
      <c r="BA5589" s="4"/>
      <c r="BB5589" s="4"/>
    </row>
    <row r="5590" spans="1:54" x14ac:dyDescent="0.3">
      <c r="A5590" s="66"/>
      <c r="B5590" s="67"/>
      <c r="C5590" s="66"/>
      <c r="D5590" s="68"/>
      <c r="E5590" s="10"/>
      <c r="F5590" s="69"/>
      <c r="G5590" s="68"/>
      <c r="H5590" s="70"/>
      <c r="BA5590" s="4"/>
      <c r="BB5590" s="4"/>
    </row>
    <row r="5591" spans="1:54" x14ac:dyDescent="0.3">
      <c r="A5591" s="66"/>
      <c r="B5591" s="67"/>
      <c r="C5591" s="66"/>
      <c r="D5591" s="68"/>
      <c r="E5591" s="10"/>
      <c r="F5591" s="69"/>
      <c r="G5591" s="68"/>
      <c r="H5591" s="70"/>
      <c r="BA5591" s="4"/>
      <c r="BB5591" s="4"/>
    </row>
    <row r="5592" spans="1:54" x14ac:dyDescent="0.3">
      <c r="A5592" s="66"/>
      <c r="B5592" s="67"/>
      <c r="C5592" s="66"/>
      <c r="D5592" s="68"/>
      <c r="E5592" s="10"/>
      <c r="F5592" s="69"/>
      <c r="G5592" s="68"/>
      <c r="H5592" s="70"/>
      <c r="BA5592" s="4"/>
      <c r="BB5592" s="4"/>
    </row>
    <row r="5593" spans="1:54" x14ac:dyDescent="0.3">
      <c r="A5593" s="66"/>
      <c r="B5593" s="67"/>
      <c r="C5593" s="66"/>
      <c r="D5593" s="68"/>
      <c r="E5593" s="10"/>
      <c r="F5593" s="69"/>
      <c r="G5593" s="68"/>
      <c r="H5593" s="70"/>
      <c r="BA5593" s="4"/>
      <c r="BB5593" s="4"/>
    </row>
    <row r="5594" spans="1:54" x14ac:dyDescent="0.3">
      <c r="A5594" s="66"/>
      <c r="B5594" s="67"/>
      <c r="C5594" s="66"/>
      <c r="D5594" s="68"/>
      <c r="E5594" s="10"/>
      <c r="F5594" s="69"/>
      <c r="G5594" s="68"/>
      <c r="H5594" s="70"/>
      <c r="BA5594" s="4"/>
      <c r="BB5594" s="4"/>
    </row>
    <row r="5595" spans="1:54" x14ac:dyDescent="0.3">
      <c r="A5595" s="66"/>
      <c r="B5595" s="67"/>
      <c r="C5595" s="66"/>
      <c r="D5595" s="68"/>
      <c r="E5595" s="10"/>
      <c r="F5595" s="69"/>
      <c r="G5595" s="68"/>
      <c r="H5595" s="70"/>
      <c r="BA5595" s="4"/>
      <c r="BB5595" s="4"/>
    </row>
    <row r="5596" spans="1:54" x14ac:dyDescent="0.3">
      <c r="A5596" s="66"/>
      <c r="B5596" s="67"/>
      <c r="C5596" s="66"/>
      <c r="D5596" s="68"/>
      <c r="E5596" s="10"/>
      <c r="F5596" s="69"/>
      <c r="G5596" s="68"/>
      <c r="H5596" s="70"/>
      <c r="BA5596" s="4"/>
      <c r="BB5596" s="4"/>
    </row>
    <row r="5597" spans="1:54" x14ac:dyDescent="0.3">
      <c r="A5597" s="66"/>
      <c r="B5597" s="67"/>
      <c r="C5597" s="66"/>
      <c r="D5597" s="68"/>
      <c r="E5597" s="10"/>
      <c r="F5597" s="69"/>
      <c r="G5597" s="68"/>
      <c r="H5597" s="70"/>
      <c r="BA5597" s="4"/>
      <c r="BB5597" s="4"/>
    </row>
    <row r="5598" spans="1:54" x14ac:dyDescent="0.3">
      <c r="A5598" s="66"/>
      <c r="B5598" s="67"/>
      <c r="C5598" s="66"/>
      <c r="D5598" s="68"/>
      <c r="E5598" s="10"/>
      <c r="F5598" s="69"/>
      <c r="G5598" s="68"/>
      <c r="H5598" s="70"/>
      <c r="BA5598" s="4"/>
      <c r="BB5598" s="4"/>
    </row>
    <row r="5599" spans="1:54" x14ac:dyDescent="0.3">
      <c r="A5599" s="66"/>
      <c r="B5599" s="67"/>
      <c r="C5599" s="66"/>
      <c r="D5599" s="68"/>
      <c r="E5599" s="10"/>
      <c r="F5599" s="69"/>
      <c r="G5599" s="68"/>
      <c r="H5599" s="70"/>
      <c r="BA5599" s="4"/>
      <c r="BB5599" s="4"/>
    </row>
    <row r="5600" spans="1:54" x14ac:dyDescent="0.3">
      <c r="A5600" s="66"/>
      <c r="B5600" s="67"/>
      <c r="C5600" s="66"/>
      <c r="D5600" s="68"/>
      <c r="E5600" s="10"/>
      <c r="F5600" s="69"/>
      <c r="G5600" s="68"/>
      <c r="H5600" s="70"/>
      <c r="BA5600" s="4"/>
      <c r="BB5600" s="4"/>
    </row>
    <row r="5601" spans="1:54" x14ac:dyDescent="0.3">
      <c r="A5601" s="66"/>
      <c r="B5601" s="67"/>
      <c r="C5601" s="66"/>
      <c r="D5601" s="68"/>
      <c r="E5601" s="10"/>
      <c r="F5601" s="69"/>
      <c r="G5601" s="68"/>
      <c r="H5601" s="70"/>
      <c r="BA5601" s="4"/>
      <c r="BB5601" s="4"/>
    </row>
    <row r="5602" spans="1:54" x14ac:dyDescent="0.3">
      <c r="A5602" s="66"/>
      <c r="B5602" s="67"/>
      <c r="C5602" s="66"/>
      <c r="D5602" s="68"/>
      <c r="E5602" s="10"/>
      <c r="F5602" s="69"/>
      <c r="G5602" s="68"/>
      <c r="H5602" s="70"/>
      <c r="BA5602" s="4"/>
      <c r="BB5602" s="4"/>
    </row>
    <row r="5603" spans="1:54" x14ac:dyDescent="0.3">
      <c r="A5603" s="66"/>
      <c r="B5603" s="67"/>
      <c r="C5603" s="66"/>
      <c r="D5603" s="68"/>
      <c r="E5603" s="10"/>
      <c r="F5603" s="69"/>
      <c r="G5603" s="68"/>
      <c r="H5603" s="70"/>
      <c r="BA5603" s="4"/>
      <c r="BB5603" s="4"/>
    </row>
    <row r="5604" spans="1:54" x14ac:dyDescent="0.3">
      <c r="A5604" s="66"/>
      <c r="B5604" s="67"/>
      <c r="C5604" s="66"/>
      <c r="D5604" s="68"/>
      <c r="E5604" s="10"/>
      <c r="F5604" s="69"/>
      <c r="G5604" s="68"/>
      <c r="H5604" s="70"/>
      <c r="BA5604" s="4"/>
      <c r="BB5604" s="4"/>
    </row>
    <row r="5605" spans="1:54" x14ac:dyDescent="0.3">
      <c r="A5605" s="66"/>
      <c r="B5605" s="67"/>
      <c r="C5605" s="66"/>
      <c r="D5605" s="68"/>
      <c r="E5605" s="10"/>
      <c r="F5605" s="69"/>
      <c r="G5605" s="68"/>
      <c r="H5605" s="70"/>
      <c r="BA5605" s="4"/>
      <c r="BB5605" s="4"/>
    </row>
    <row r="5606" spans="1:54" x14ac:dyDescent="0.3">
      <c r="A5606" s="66"/>
      <c r="B5606" s="67"/>
      <c r="C5606" s="66"/>
      <c r="D5606" s="68"/>
      <c r="E5606" s="10"/>
      <c r="F5606" s="69"/>
      <c r="G5606" s="68"/>
      <c r="H5606" s="70"/>
      <c r="BA5606" s="4"/>
      <c r="BB5606" s="4"/>
    </row>
    <row r="5607" spans="1:54" x14ac:dyDescent="0.3">
      <c r="A5607" s="66"/>
      <c r="B5607" s="67"/>
      <c r="C5607" s="66"/>
      <c r="D5607" s="68"/>
      <c r="E5607" s="10"/>
      <c r="F5607" s="69"/>
      <c r="G5607" s="68"/>
      <c r="H5607" s="70"/>
      <c r="BA5607" s="4"/>
      <c r="BB5607" s="4"/>
    </row>
    <row r="5608" spans="1:54" x14ac:dyDescent="0.3">
      <c r="A5608" s="66"/>
      <c r="B5608" s="67"/>
      <c r="C5608" s="66"/>
      <c r="D5608" s="68"/>
      <c r="E5608" s="10"/>
      <c r="F5608" s="69"/>
      <c r="G5608" s="68"/>
      <c r="H5608" s="70"/>
      <c r="BA5608" s="4"/>
      <c r="BB5608" s="4"/>
    </row>
    <row r="5609" spans="1:54" x14ac:dyDescent="0.3">
      <c r="A5609" s="66"/>
      <c r="B5609" s="67"/>
      <c r="C5609" s="66"/>
      <c r="D5609" s="68"/>
      <c r="E5609" s="10"/>
      <c r="F5609" s="69"/>
      <c r="G5609" s="68"/>
      <c r="H5609" s="70"/>
      <c r="BA5609" s="4"/>
      <c r="BB5609" s="4"/>
    </row>
    <row r="5610" spans="1:54" x14ac:dyDescent="0.3">
      <c r="A5610" s="66"/>
      <c r="B5610" s="67"/>
      <c r="C5610" s="66"/>
      <c r="D5610" s="68"/>
      <c r="E5610" s="10"/>
      <c r="F5610" s="69"/>
      <c r="G5610" s="68"/>
      <c r="H5610" s="70"/>
      <c r="BA5610" s="4"/>
      <c r="BB5610" s="4"/>
    </row>
    <row r="5611" spans="1:54" x14ac:dyDescent="0.3">
      <c r="A5611" s="66"/>
      <c r="B5611" s="67"/>
      <c r="C5611" s="66"/>
      <c r="D5611" s="68"/>
      <c r="E5611" s="10"/>
      <c r="F5611" s="69"/>
      <c r="G5611" s="68"/>
      <c r="H5611" s="70"/>
      <c r="BA5611" s="4"/>
      <c r="BB5611" s="4"/>
    </row>
    <row r="5612" spans="1:54" x14ac:dyDescent="0.3">
      <c r="A5612" s="66"/>
      <c r="B5612" s="67"/>
      <c r="C5612" s="66"/>
      <c r="D5612" s="68"/>
      <c r="E5612" s="10"/>
      <c r="F5612" s="69"/>
      <c r="G5612" s="68"/>
      <c r="H5612" s="70"/>
      <c r="BA5612" s="4"/>
      <c r="BB5612" s="4"/>
    </row>
    <row r="5613" spans="1:54" x14ac:dyDescent="0.3">
      <c r="A5613" s="66"/>
      <c r="B5613" s="67"/>
      <c r="C5613" s="66"/>
      <c r="D5613" s="68"/>
      <c r="E5613" s="10"/>
      <c r="F5613" s="69"/>
      <c r="G5613" s="68"/>
      <c r="H5613" s="70"/>
      <c r="BA5613" s="4"/>
      <c r="BB5613" s="4"/>
    </row>
    <row r="5614" spans="1:54" x14ac:dyDescent="0.3">
      <c r="A5614" s="66"/>
      <c r="B5614" s="67"/>
      <c r="C5614" s="66"/>
      <c r="D5614" s="68"/>
      <c r="E5614" s="10"/>
      <c r="F5614" s="69"/>
      <c r="G5614" s="68"/>
      <c r="H5614" s="70"/>
      <c r="BA5614" s="4"/>
      <c r="BB5614" s="4"/>
    </row>
    <row r="5615" spans="1:54" x14ac:dyDescent="0.3">
      <c r="A5615" s="66"/>
      <c r="B5615" s="67"/>
      <c r="C5615" s="66"/>
      <c r="D5615" s="68"/>
      <c r="E5615" s="10"/>
      <c r="F5615" s="69"/>
      <c r="G5615" s="68"/>
      <c r="H5615" s="70"/>
      <c r="BA5615" s="4"/>
      <c r="BB5615" s="4"/>
    </row>
    <row r="5616" spans="1:54" x14ac:dyDescent="0.3">
      <c r="A5616" s="66"/>
      <c r="B5616" s="67"/>
      <c r="C5616" s="66"/>
      <c r="D5616" s="68"/>
      <c r="E5616" s="10"/>
      <c r="F5616" s="69"/>
      <c r="G5616" s="68"/>
      <c r="H5616" s="70"/>
      <c r="BA5616" s="4"/>
      <c r="BB5616" s="4"/>
    </row>
    <row r="5617" spans="1:54" x14ac:dyDescent="0.3">
      <c r="A5617" s="66"/>
      <c r="B5617" s="67"/>
      <c r="C5617" s="66"/>
      <c r="D5617" s="68"/>
      <c r="E5617" s="10"/>
      <c r="F5617" s="69"/>
      <c r="G5617" s="68"/>
      <c r="H5617" s="70"/>
      <c r="BA5617" s="4"/>
      <c r="BB5617" s="4"/>
    </row>
    <row r="5618" spans="1:54" x14ac:dyDescent="0.3">
      <c r="A5618" s="66"/>
      <c r="B5618" s="67"/>
      <c r="C5618" s="66"/>
      <c r="D5618" s="68"/>
      <c r="E5618" s="10"/>
      <c r="F5618" s="69"/>
      <c r="G5618" s="68"/>
      <c r="H5618" s="70"/>
      <c r="BA5618" s="4"/>
      <c r="BB5618" s="4"/>
    </row>
    <row r="5619" spans="1:54" x14ac:dyDescent="0.3">
      <c r="A5619" s="66"/>
      <c r="B5619" s="67"/>
      <c r="C5619" s="66"/>
      <c r="D5619" s="68"/>
      <c r="E5619" s="10"/>
      <c r="F5619" s="69"/>
      <c r="G5619" s="68"/>
      <c r="H5619" s="70"/>
      <c r="BA5619" s="4"/>
      <c r="BB5619" s="4"/>
    </row>
    <row r="5620" spans="1:54" x14ac:dyDescent="0.3">
      <c r="A5620" s="66"/>
      <c r="B5620" s="67"/>
      <c r="C5620" s="66"/>
      <c r="D5620" s="68"/>
      <c r="E5620" s="10"/>
      <c r="F5620" s="69"/>
      <c r="G5620" s="68"/>
      <c r="H5620" s="70"/>
      <c r="BA5620" s="4"/>
      <c r="BB5620" s="4"/>
    </row>
    <row r="5621" spans="1:54" x14ac:dyDescent="0.3">
      <c r="A5621" s="66"/>
      <c r="B5621" s="67"/>
      <c r="C5621" s="66"/>
      <c r="D5621" s="68"/>
      <c r="E5621" s="10"/>
      <c r="F5621" s="69"/>
      <c r="G5621" s="68"/>
      <c r="H5621" s="70"/>
      <c r="BA5621" s="4"/>
      <c r="BB5621" s="4"/>
    </row>
    <row r="5622" spans="1:54" x14ac:dyDescent="0.3">
      <c r="A5622" s="66"/>
      <c r="B5622" s="67"/>
      <c r="C5622" s="66"/>
      <c r="D5622" s="68"/>
      <c r="E5622" s="10"/>
      <c r="F5622" s="69"/>
      <c r="G5622" s="68"/>
      <c r="H5622" s="70"/>
      <c r="BA5622" s="4"/>
      <c r="BB5622" s="4"/>
    </row>
    <row r="5623" spans="1:54" x14ac:dyDescent="0.3">
      <c r="A5623" s="66"/>
      <c r="B5623" s="67"/>
      <c r="C5623" s="66"/>
      <c r="D5623" s="68"/>
      <c r="E5623" s="10"/>
      <c r="F5623" s="69"/>
      <c r="G5623" s="68"/>
      <c r="H5623" s="70"/>
      <c r="BA5623" s="4"/>
      <c r="BB5623" s="4"/>
    </row>
    <row r="5624" spans="1:54" x14ac:dyDescent="0.3">
      <c r="A5624" s="66"/>
      <c r="B5624" s="67"/>
      <c r="C5624" s="66"/>
      <c r="D5624" s="68"/>
      <c r="E5624" s="10"/>
      <c r="F5624" s="69"/>
      <c r="G5624" s="68"/>
      <c r="H5624" s="70"/>
      <c r="BA5624" s="4"/>
      <c r="BB5624" s="4"/>
    </row>
    <row r="5625" spans="1:54" x14ac:dyDescent="0.3">
      <c r="A5625" s="66"/>
      <c r="B5625" s="67"/>
      <c r="C5625" s="66"/>
      <c r="D5625" s="68"/>
      <c r="E5625" s="10"/>
      <c r="F5625" s="69"/>
      <c r="G5625" s="68"/>
      <c r="H5625" s="70"/>
      <c r="BA5625" s="4"/>
      <c r="BB5625" s="4"/>
    </row>
    <row r="5626" spans="1:54" x14ac:dyDescent="0.3">
      <c r="A5626" s="66"/>
      <c r="B5626" s="67"/>
      <c r="C5626" s="66"/>
      <c r="D5626" s="68"/>
      <c r="E5626" s="10"/>
      <c r="F5626" s="69"/>
      <c r="G5626" s="68"/>
      <c r="H5626" s="70"/>
      <c r="BA5626" s="4"/>
      <c r="BB5626" s="4"/>
    </row>
    <row r="5627" spans="1:54" x14ac:dyDescent="0.3">
      <c r="A5627" s="66"/>
      <c r="B5627" s="67"/>
      <c r="C5627" s="66"/>
      <c r="D5627" s="68"/>
      <c r="E5627" s="10"/>
      <c r="F5627" s="69"/>
      <c r="G5627" s="68"/>
      <c r="H5627" s="70"/>
      <c r="BA5627" s="4"/>
      <c r="BB5627" s="4"/>
    </row>
    <row r="5628" spans="1:54" x14ac:dyDescent="0.3">
      <c r="A5628" s="66"/>
      <c r="B5628" s="67"/>
      <c r="C5628" s="66"/>
      <c r="D5628" s="68"/>
      <c r="E5628" s="10"/>
      <c r="F5628" s="69"/>
      <c r="G5628" s="68"/>
      <c r="H5628" s="70"/>
      <c r="BA5628" s="4"/>
      <c r="BB5628" s="4"/>
    </row>
    <row r="5629" spans="1:54" x14ac:dyDescent="0.3">
      <c r="A5629" s="66"/>
      <c r="B5629" s="67"/>
      <c r="C5629" s="66"/>
      <c r="D5629" s="68"/>
      <c r="E5629" s="10"/>
      <c r="F5629" s="69"/>
      <c r="G5629" s="68"/>
      <c r="H5629" s="70"/>
      <c r="BA5629" s="4"/>
      <c r="BB5629" s="4"/>
    </row>
    <row r="5630" spans="1:54" x14ac:dyDescent="0.3">
      <c r="A5630" s="66"/>
      <c r="B5630" s="67"/>
      <c r="C5630" s="66"/>
      <c r="D5630" s="68"/>
      <c r="E5630" s="10"/>
      <c r="F5630" s="69"/>
      <c r="G5630" s="68"/>
      <c r="H5630" s="70"/>
      <c r="BA5630" s="4"/>
      <c r="BB5630" s="4"/>
    </row>
    <row r="5631" spans="1:54" x14ac:dyDescent="0.3">
      <c r="A5631" s="66"/>
      <c r="B5631" s="67"/>
      <c r="C5631" s="66"/>
      <c r="D5631" s="68"/>
      <c r="E5631" s="10"/>
      <c r="F5631" s="69"/>
      <c r="G5631" s="68"/>
      <c r="H5631" s="70"/>
      <c r="BA5631" s="4"/>
      <c r="BB5631" s="4"/>
    </row>
    <row r="5632" spans="1:54" x14ac:dyDescent="0.3">
      <c r="A5632" s="66"/>
      <c r="B5632" s="67"/>
      <c r="C5632" s="66"/>
      <c r="D5632" s="68"/>
      <c r="E5632" s="10"/>
      <c r="F5632" s="69"/>
      <c r="G5632" s="68"/>
      <c r="H5632" s="70"/>
      <c r="BA5632" s="4"/>
      <c r="BB5632" s="4"/>
    </row>
    <row r="5633" spans="1:54" x14ac:dyDescent="0.3">
      <c r="A5633" s="66"/>
      <c r="B5633" s="67"/>
      <c r="C5633" s="66"/>
      <c r="D5633" s="68"/>
      <c r="E5633" s="10"/>
      <c r="F5633" s="69"/>
      <c r="G5633" s="68"/>
      <c r="H5633" s="70"/>
      <c r="BA5633" s="4"/>
      <c r="BB5633" s="4"/>
    </row>
    <row r="5634" spans="1:54" x14ac:dyDescent="0.3">
      <c r="A5634" s="66"/>
      <c r="B5634" s="67"/>
      <c r="C5634" s="66"/>
      <c r="D5634" s="68"/>
      <c r="E5634" s="10"/>
      <c r="F5634" s="69"/>
      <c r="G5634" s="68"/>
      <c r="H5634" s="70"/>
      <c r="BA5634" s="4"/>
      <c r="BB5634" s="4"/>
    </row>
    <row r="5635" spans="1:54" x14ac:dyDescent="0.3">
      <c r="A5635" s="66"/>
      <c r="B5635" s="67"/>
      <c r="C5635" s="66"/>
      <c r="D5635" s="68"/>
      <c r="E5635" s="10"/>
      <c r="F5635" s="69"/>
      <c r="G5635" s="68"/>
      <c r="H5635" s="70"/>
      <c r="BA5635" s="4"/>
      <c r="BB5635" s="4"/>
    </row>
    <row r="5636" spans="1:54" x14ac:dyDescent="0.3">
      <c r="A5636" s="66"/>
      <c r="B5636" s="67"/>
      <c r="C5636" s="66"/>
      <c r="D5636" s="68"/>
      <c r="E5636" s="10"/>
      <c r="F5636" s="69"/>
      <c r="G5636" s="68"/>
      <c r="H5636" s="70"/>
      <c r="BA5636" s="4"/>
      <c r="BB5636" s="4"/>
    </row>
    <row r="5637" spans="1:54" x14ac:dyDescent="0.3">
      <c r="A5637" s="66"/>
      <c r="B5637" s="67"/>
      <c r="C5637" s="66"/>
      <c r="D5637" s="68"/>
      <c r="E5637" s="10"/>
      <c r="F5637" s="69"/>
      <c r="G5637" s="68"/>
      <c r="H5637" s="70"/>
      <c r="BA5637" s="4"/>
      <c r="BB5637" s="4"/>
    </row>
    <row r="5638" spans="1:54" x14ac:dyDescent="0.3">
      <c r="A5638" s="66"/>
      <c r="B5638" s="67"/>
      <c r="C5638" s="66"/>
      <c r="D5638" s="68"/>
      <c r="E5638" s="10"/>
      <c r="F5638" s="69"/>
      <c r="G5638" s="68"/>
      <c r="H5638" s="70"/>
      <c r="BA5638" s="4"/>
      <c r="BB5638" s="4"/>
    </row>
    <row r="5639" spans="1:54" x14ac:dyDescent="0.3">
      <c r="A5639" s="66"/>
      <c r="B5639" s="67"/>
      <c r="C5639" s="66"/>
      <c r="D5639" s="68"/>
      <c r="E5639" s="10"/>
      <c r="F5639" s="69"/>
      <c r="G5639" s="68"/>
      <c r="H5639" s="70"/>
      <c r="BA5639" s="4"/>
      <c r="BB5639" s="4"/>
    </row>
    <row r="5640" spans="1:54" x14ac:dyDescent="0.3">
      <c r="A5640" s="66"/>
      <c r="B5640" s="67"/>
      <c r="C5640" s="66"/>
      <c r="D5640" s="68"/>
      <c r="E5640" s="10"/>
      <c r="F5640" s="69"/>
      <c r="G5640" s="68"/>
      <c r="H5640" s="70"/>
      <c r="BA5640" s="4"/>
      <c r="BB5640" s="4"/>
    </row>
    <row r="5641" spans="1:54" x14ac:dyDescent="0.3">
      <c r="A5641" s="66"/>
      <c r="B5641" s="67"/>
      <c r="C5641" s="66"/>
      <c r="D5641" s="68"/>
      <c r="E5641" s="10"/>
      <c r="F5641" s="69"/>
      <c r="G5641" s="68"/>
      <c r="H5641" s="70"/>
      <c r="BA5641" s="4"/>
      <c r="BB5641" s="4"/>
    </row>
    <row r="5642" spans="1:54" x14ac:dyDescent="0.3">
      <c r="A5642" s="66"/>
      <c r="B5642" s="67"/>
      <c r="C5642" s="66"/>
      <c r="D5642" s="68"/>
      <c r="E5642" s="10"/>
      <c r="F5642" s="69"/>
      <c r="G5642" s="68"/>
      <c r="H5642" s="70"/>
      <c r="BA5642" s="4"/>
      <c r="BB5642" s="4"/>
    </row>
    <row r="5643" spans="1:54" x14ac:dyDescent="0.3">
      <c r="A5643" s="66"/>
      <c r="B5643" s="67"/>
      <c r="C5643" s="66"/>
      <c r="D5643" s="68"/>
      <c r="E5643" s="10"/>
      <c r="F5643" s="69"/>
      <c r="G5643" s="68"/>
      <c r="H5643" s="70"/>
      <c r="BA5643" s="4"/>
      <c r="BB5643" s="4"/>
    </row>
    <row r="5644" spans="1:54" x14ac:dyDescent="0.3">
      <c r="A5644" s="66"/>
      <c r="B5644" s="67"/>
      <c r="C5644" s="66"/>
      <c r="D5644" s="68"/>
      <c r="E5644" s="10"/>
      <c r="F5644" s="69"/>
      <c r="G5644" s="68"/>
      <c r="H5644" s="70"/>
      <c r="BA5644" s="4"/>
      <c r="BB5644" s="4"/>
    </row>
    <row r="5645" spans="1:54" x14ac:dyDescent="0.3">
      <c r="A5645" s="66"/>
      <c r="B5645" s="67"/>
      <c r="C5645" s="66"/>
      <c r="D5645" s="68"/>
      <c r="E5645" s="10"/>
      <c r="F5645" s="69"/>
      <c r="G5645" s="68"/>
      <c r="H5645" s="70"/>
      <c r="BA5645" s="4"/>
      <c r="BB5645" s="4"/>
    </row>
    <row r="5646" spans="1:54" x14ac:dyDescent="0.3">
      <c r="A5646" s="66"/>
      <c r="B5646" s="67"/>
      <c r="C5646" s="66"/>
      <c r="D5646" s="68"/>
      <c r="E5646" s="10"/>
      <c r="F5646" s="69"/>
      <c r="G5646" s="68"/>
      <c r="H5646" s="70"/>
      <c r="BA5646" s="4"/>
      <c r="BB5646" s="4"/>
    </row>
    <row r="5647" spans="1:54" x14ac:dyDescent="0.3">
      <c r="A5647" s="66"/>
      <c r="B5647" s="67"/>
      <c r="C5647" s="66"/>
      <c r="D5647" s="68"/>
      <c r="E5647" s="10"/>
      <c r="F5647" s="69"/>
      <c r="G5647" s="68"/>
      <c r="H5647" s="70"/>
      <c r="BA5647" s="4"/>
      <c r="BB5647" s="4"/>
    </row>
    <row r="5648" spans="1:54" x14ac:dyDescent="0.3">
      <c r="A5648" s="66"/>
      <c r="B5648" s="67"/>
      <c r="C5648" s="66"/>
      <c r="D5648" s="68"/>
      <c r="E5648" s="10"/>
      <c r="F5648" s="69"/>
      <c r="G5648" s="68"/>
      <c r="H5648" s="70"/>
      <c r="BA5648" s="4"/>
      <c r="BB5648" s="4"/>
    </row>
    <row r="5649" spans="1:54" x14ac:dyDescent="0.3">
      <c r="A5649" s="66"/>
      <c r="B5649" s="67"/>
      <c r="C5649" s="66"/>
      <c r="D5649" s="68"/>
      <c r="E5649" s="10"/>
      <c r="F5649" s="69"/>
      <c r="G5649" s="68"/>
      <c r="H5649" s="70"/>
      <c r="BA5649" s="4"/>
      <c r="BB5649" s="4"/>
    </row>
    <row r="5650" spans="1:54" x14ac:dyDescent="0.3">
      <c r="A5650" s="66"/>
      <c r="B5650" s="67"/>
      <c r="C5650" s="66"/>
      <c r="D5650" s="68"/>
      <c r="E5650" s="10"/>
      <c r="F5650" s="69"/>
      <c r="G5650" s="68"/>
      <c r="H5650" s="70"/>
      <c r="BA5650" s="4"/>
      <c r="BB5650" s="4"/>
    </row>
    <row r="5651" spans="1:54" x14ac:dyDescent="0.3">
      <c r="A5651" s="66"/>
      <c r="B5651" s="67"/>
      <c r="C5651" s="66"/>
      <c r="D5651" s="68"/>
      <c r="E5651" s="10"/>
      <c r="F5651" s="69"/>
      <c r="G5651" s="68"/>
      <c r="H5651" s="70"/>
      <c r="BA5651" s="4"/>
      <c r="BB5651" s="4"/>
    </row>
    <row r="5652" spans="1:54" x14ac:dyDescent="0.3">
      <c r="A5652" s="66"/>
      <c r="B5652" s="67"/>
      <c r="C5652" s="66"/>
      <c r="D5652" s="68"/>
      <c r="E5652" s="10"/>
      <c r="F5652" s="69"/>
      <c r="G5652" s="68"/>
      <c r="H5652" s="70"/>
      <c r="BA5652" s="4"/>
      <c r="BB5652" s="4"/>
    </row>
    <row r="5653" spans="1:54" x14ac:dyDescent="0.3">
      <c r="A5653" s="66"/>
      <c r="B5653" s="67"/>
      <c r="C5653" s="66"/>
      <c r="D5653" s="68"/>
      <c r="E5653" s="10"/>
      <c r="F5653" s="69"/>
      <c r="G5653" s="68"/>
      <c r="H5653" s="70"/>
      <c r="BA5653" s="4"/>
      <c r="BB5653" s="4"/>
    </row>
    <row r="5654" spans="1:54" x14ac:dyDescent="0.3">
      <c r="A5654" s="66"/>
      <c r="B5654" s="67"/>
      <c r="C5654" s="66"/>
      <c r="D5654" s="68"/>
      <c r="E5654" s="10"/>
      <c r="F5654" s="69"/>
      <c r="G5654" s="68"/>
      <c r="H5654" s="70"/>
      <c r="BA5654" s="4"/>
      <c r="BB5654" s="4"/>
    </row>
    <row r="5655" spans="1:54" x14ac:dyDescent="0.3">
      <c r="A5655" s="66"/>
      <c r="B5655" s="67"/>
      <c r="C5655" s="66"/>
      <c r="D5655" s="68"/>
      <c r="E5655" s="10"/>
      <c r="F5655" s="69"/>
      <c r="G5655" s="68"/>
      <c r="H5655" s="70"/>
      <c r="BA5655" s="4"/>
      <c r="BB5655" s="4"/>
    </row>
    <row r="5656" spans="1:54" x14ac:dyDescent="0.3">
      <c r="A5656" s="66"/>
      <c r="B5656" s="67"/>
      <c r="C5656" s="66"/>
      <c r="D5656" s="68"/>
      <c r="E5656" s="10"/>
      <c r="F5656" s="69"/>
      <c r="G5656" s="68"/>
      <c r="H5656" s="70"/>
      <c r="BA5656" s="4"/>
      <c r="BB5656" s="4"/>
    </row>
    <row r="5657" spans="1:54" x14ac:dyDescent="0.3">
      <c r="A5657" s="66"/>
      <c r="B5657" s="67"/>
      <c r="C5657" s="66"/>
      <c r="D5657" s="68"/>
      <c r="E5657" s="10"/>
      <c r="F5657" s="69"/>
      <c r="G5657" s="68"/>
      <c r="H5657" s="70"/>
      <c r="BA5657" s="4"/>
      <c r="BB5657" s="4"/>
    </row>
    <row r="5658" spans="1:54" x14ac:dyDescent="0.3">
      <c r="A5658" s="66"/>
      <c r="B5658" s="67"/>
      <c r="C5658" s="66"/>
      <c r="D5658" s="68"/>
      <c r="E5658" s="10"/>
      <c r="F5658" s="69"/>
      <c r="G5658" s="68"/>
      <c r="H5658" s="70"/>
      <c r="BA5658" s="4"/>
      <c r="BB5658" s="4"/>
    </row>
    <row r="5659" spans="1:54" x14ac:dyDescent="0.3">
      <c r="A5659" s="66"/>
      <c r="B5659" s="67"/>
      <c r="C5659" s="66"/>
      <c r="D5659" s="68"/>
      <c r="E5659" s="10"/>
      <c r="F5659" s="69"/>
      <c r="G5659" s="68"/>
      <c r="H5659" s="70"/>
      <c r="BA5659" s="4"/>
      <c r="BB5659" s="4"/>
    </row>
    <row r="5660" spans="1:54" x14ac:dyDescent="0.3">
      <c r="A5660" s="66"/>
      <c r="B5660" s="67"/>
      <c r="C5660" s="66"/>
      <c r="D5660" s="68"/>
      <c r="E5660" s="10"/>
      <c r="F5660" s="69"/>
      <c r="G5660" s="68"/>
      <c r="H5660" s="70"/>
      <c r="BA5660" s="4"/>
      <c r="BB5660" s="4"/>
    </row>
    <row r="5661" spans="1:54" x14ac:dyDescent="0.3">
      <c r="A5661" s="66"/>
      <c r="B5661" s="67"/>
      <c r="C5661" s="66"/>
      <c r="D5661" s="68"/>
      <c r="E5661" s="10"/>
      <c r="F5661" s="69"/>
      <c r="G5661" s="68"/>
      <c r="H5661" s="70"/>
      <c r="BA5661" s="4"/>
      <c r="BB5661" s="4"/>
    </row>
    <row r="5662" spans="1:54" x14ac:dyDescent="0.3">
      <c r="A5662" s="66"/>
      <c r="B5662" s="67"/>
      <c r="C5662" s="66"/>
      <c r="D5662" s="68"/>
      <c r="E5662" s="10"/>
      <c r="F5662" s="69"/>
      <c r="G5662" s="68"/>
      <c r="H5662" s="70"/>
      <c r="BA5662" s="4"/>
      <c r="BB5662" s="4"/>
    </row>
    <row r="5663" spans="1:54" x14ac:dyDescent="0.3">
      <c r="A5663" s="66"/>
      <c r="B5663" s="67"/>
      <c r="C5663" s="66"/>
      <c r="D5663" s="68"/>
      <c r="E5663" s="10"/>
      <c r="F5663" s="69"/>
      <c r="G5663" s="68"/>
      <c r="H5663" s="70"/>
      <c r="BA5663" s="4"/>
      <c r="BB5663" s="4"/>
    </row>
    <row r="5664" spans="1:54" x14ac:dyDescent="0.3">
      <c r="A5664" s="66"/>
      <c r="B5664" s="67"/>
      <c r="C5664" s="66"/>
      <c r="D5664" s="68"/>
      <c r="E5664" s="10"/>
      <c r="F5664" s="69"/>
      <c r="G5664" s="68"/>
      <c r="H5664" s="70"/>
      <c r="BA5664" s="4"/>
      <c r="BB5664" s="4"/>
    </row>
    <row r="5665" spans="1:54" x14ac:dyDescent="0.3">
      <c r="A5665" s="66"/>
      <c r="B5665" s="67"/>
      <c r="C5665" s="66"/>
      <c r="D5665" s="68"/>
      <c r="E5665" s="10"/>
      <c r="F5665" s="69"/>
      <c r="G5665" s="68"/>
      <c r="H5665" s="70"/>
      <c r="BA5665" s="4"/>
      <c r="BB5665" s="4"/>
    </row>
    <row r="5666" spans="1:54" x14ac:dyDescent="0.3">
      <c r="A5666" s="66"/>
      <c r="B5666" s="67"/>
      <c r="C5666" s="66"/>
      <c r="D5666" s="68"/>
      <c r="E5666" s="10"/>
      <c r="F5666" s="69"/>
      <c r="G5666" s="68"/>
      <c r="H5666" s="70"/>
      <c r="BA5666" s="4"/>
      <c r="BB5666" s="4"/>
    </row>
    <row r="5667" spans="1:54" x14ac:dyDescent="0.3">
      <c r="A5667" s="66"/>
      <c r="B5667" s="67"/>
      <c r="C5667" s="66"/>
      <c r="D5667" s="68"/>
      <c r="E5667" s="10"/>
      <c r="F5667" s="69"/>
      <c r="G5667" s="68"/>
      <c r="H5667" s="70"/>
      <c r="BA5667" s="4"/>
      <c r="BB5667" s="4"/>
    </row>
    <row r="5668" spans="1:54" x14ac:dyDescent="0.3">
      <c r="A5668" s="66"/>
      <c r="B5668" s="67"/>
      <c r="C5668" s="66"/>
      <c r="D5668" s="68"/>
      <c r="E5668" s="10"/>
      <c r="F5668" s="69"/>
      <c r="G5668" s="68"/>
      <c r="H5668" s="70"/>
      <c r="BA5668" s="4"/>
      <c r="BB5668" s="4"/>
    </row>
    <row r="5669" spans="1:54" x14ac:dyDescent="0.3">
      <c r="A5669" s="66"/>
      <c r="B5669" s="67"/>
      <c r="C5669" s="66"/>
      <c r="D5669" s="68"/>
      <c r="E5669" s="10"/>
      <c r="F5669" s="69"/>
      <c r="G5669" s="68"/>
      <c r="H5669" s="70"/>
      <c r="BA5669" s="4"/>
      <c r="BB5669" s="4"/>
    </row>
    <row r="5670" spans="1:54" x14ac:dyDescent="0.3">
      <c r="A5670" s="66"/>
      <c r="B5670" s="67"/>
      <c r="C5670" s="66"/>
      <c r="D5670" s="68"/>
      <c r="E5670" s="10"/>
      <c r="F5670" s="69"/>
      <c r="G5670" s="68"/>
      <c r="H5670" s="70"/>
      <c r="BA5670" s="4"/>
      <c r="BB5670" s="4"/>
    </row>
    <row r="5671" spans="1:54" x14ac:dyDescent="0.3">
      <c r="A5671" s="66"/>
      <c r="B5671" s="67"/>
      <c r="C5671" s="66"/>
      <c r="D5671" s="68"/>
      <c r="E5671" s="10"/>
      <c r="F5671" s="69"/>
      <c r="G5671" s="68"/>
      <c r="H5671" s="70"/>
      <c r="BA5671" s="4"/>
      <c r="BB5671" s="4"/>
    </row>
    <row r="5672" spans="1:54" x14ac:dyDescent="0.3">
      <c r="A5672" s="66"/>
      <c r="B5672" s="67"/>
      <c r="C5672" s="66"/>
      <c r="D5672" s="68"/>
      <c r="E5672" s="10"/>
      <c r="F5672" s="69"/>
      <c r="G5672" s="68"/>
      <c r="H5672" s="70"/>
      <c r="BA5672" s="4"/>
      <c r="BB5672" s="4"/>
    </row>
    <row r="5673" spans="1:54" x14ac:dyDescent="0.3">
      <c r="A5673" s="66"/>
      <c r="B5673" s="67"/>
      <c r="C5673" s="66"/>
      <c r="D5673" s="68"/>
      <c r="E5673" s="10"/>
      <c r="F5673" s="69"/>
      <c r="G5673" s="68"/>
      <c r="H5673" s="70"/>
      <c r="BA5673" s="4"/>
      <c r="BB5673" s="4"/>
    </row>
    <row r="5674" spans="1:54" x14ac:dyDescent="0.3">
      <c r="A5674" s="66"/>
      <c r="B5674" s="67"/>
      <c r="C5674" s="66"/>
      <c r="D5674" s="68"/>
      <c r="E5674" s="10"/>
      <c r="F5674" s="69"/>
      <c r="G5674" s="68"/>
      <c r="H5674" s="70"/>
      <c r="BA5674" s="4"/>
      <c r="BB5674" s="4"/>
    </row>
    <row r="5675" spans="1:54" x14ac:dyDescent="0.3">
      <c r="A5675" s="66"/>
      <c r="B5675" s="67"/>
      <c r="C5675" s="66"/>
      <c r="D5675" s="68"/>
      <c r="E5675" s="10"/>
      <c r="F5675" s="69"/>
      <c r="G5675" s="68"/>
      <c r="H5675" s="70"/>
      <c r="BA5675" s="4"/>
      <c r="BB5675" s="4"/>
    </row>
    <row r="5676" spans="1:54" x14ac:dyDescent="0.3">
      <c r="A5676" s="66"/>
      <c r="B5676" s="67"/>
      <c r="C5676" s="66"/>
      <c r="D5676" s="68"/>
      <c r="E5676" s="10"/>
      <c r="F5676" s="69"/>
      <c r="G5676" s="68"/>
      <c r="H5676" s="70"/>
      <c r="BA5676" s="4"/>
      <c r="BB5676" s="4"/>
    </row>
    <row r="5677" spans="1:54" x14ac:dyDescent="0.3">
      <c r="A5677" s="66"/>
      <c r="B5677" s="67"/>
      <c r="C5677" s="66"/>
      <c r="D5677" s="68"/>
      <c r="E5677" s="10"/>
      <c r="F5677" s="69"/>
      <c r="G5677" s="68"/>
      <c r="H5677" s="70"/>
      <c r="BA5677" s="4"/>
      <c r="BB5677" s="4"/>
    </row>
    <row r="5678" spans="1:54" x14ac:dyDescent="0.3">
      <c r="A5678" s="66"/>
      <c r="B5678" s="67"/>
      <c r="C5678" s="66"/>
      <c r="D5678" s="68"/>
      <c r="E5678" s="10"/>
      <c r="F5678" s="69"/>
      <c r="G5678" s="68"/>
      <c r="H5678" s="70"/>
      <c r="BA5678" s="4"/>
      <c r="BB5678" s="4"/>
    </row>
    <row r="5679" spans="1:54" x14ac:dyDescent="0.3">
      <c r="A5679" s="66"/>
      <c r="B5679" s="67"/>
      <c r="C5679" s="66"/>
      <c r="D5679" s="68"/>
      <c r="E5679" s="10"/>
      <c r="F5679" s="69"/>
      <c r="G5679" s="68"/>
      <c r="H5679" s="70"/>
      <c r="BA5679" s="4"/>
      <c r="BB5679" s="4"/>
    </row>
    <row r="5680" spans="1:54" x14ac:dyDescent="0.3">
      <c r="A5680" s="66"/>
      <c r="B5680" s="67"/>
      <c r="C5680" s="66"/>
      <c r="D5680" s="68"/>
      <c r="E5680" s="10"/>
      <c r="F5680" s="69"/>
      <c r="G5680" s="68"/>
      <c r="H5680" s="70"/>
      <c r="BA5680" s="4"/>
      <c r="BB5680" s="4"/>
    </row>
    <row r="5681" spans="1:54" x14ac:dyDescent="0.3">
      <c r="A5681" s="66"/>
      <c r="B5681" s="67"/>
      <c r="C5681" s="66"/>
      <c r="D5681" s="68"/>
      <c r="E5681" s="10"/>
      <c r="F5681" s="69"/>
      <c r="G5681" s="68"/>
      <c r="H5681" s="70"/>
      <c r="BA5681" s="4"/>
      <c r="BB5681" s="4"/>
    </row>
    <row r="5682" spans="1:54" x14ac:dyDescent="0.3">
      <c r="A5682" s="66"/>
      <c r="B5682" s="67"/>
      <c r="C5682" s="66"/>
      <c r="D5682" s="68"/>
      <c r="E5682" s="10"/>
      <c r="F5682" s="69"/>
      <c r="G5682" s="68"/>
      <c r="H5682" s="70"/>
      <c r="BA5682" s="4"/>
      <c r="BB5682" s="4"/>
    </row>
    <row r="5683" spans="1:54" x14ac:dyDescent="0.3">
      <c r="A5683" s="66"/>
      <c r="B5683" s="67"/>
      <c r="C5683" s="66"/>
      <c r="D5683" s="68"/>
      <c r="E5683" s="10"/>
      <c r="F5683" s="69"/>
      <c r="G5683" s="68"/>
      <c r="H5683" s="70"/>
      <c r="BA5683" s="4"/>
      <c r="BB5683" s="4"/>
    </row>
    <row r="5684" spans="1:54" x14ac:dyDescent="0.3">
      <c r="A5684" s="66"/>
      <c r="B5684" s="67"/>
      <c r="C5684" s="66"/>
      <c r="D5684" s="68"/>
      <c r="E5684" s="10"/>
      <c r="F5684" s="69"/>
      <c r="G5684" s="68"/>
      <c r="H5684" s="70"/>
      <c r="BA5684" s="4"/>
      <c r="BB5684" s="4"/>
    </row>
    <row r="5685" spans="1:54" x14ac:dyDescent="0.3">
      <c r="A5685" s="66"/>
      <c r="B5685" s="67"/>
      <c r="C5685" s="66"/>
      <c r="D5685" s="68"/>
      <c r="E5685" s="10"/>
      <c r="F5685" s="69"/>
      <c r="G5685" s="68"/>
      <c r="H5685" s="70"/>
      <c r="BA5685" s="4"/>
      <c r="BB5685" s="4"/>
    </row>
    <row r="5686" spans="1:54" x14ac:dyDescent="0.3">
      <c r="A5686" s="66"/>
      <c r="B5686" s="67"/>
      <c r="C5686" s="66"/>
      <c r="D5686" s="68"/>
      <c r="E5686" s="10"/>
      <c r="F5686" s="69"/>
      <c r="G5686" s="68"/>
      <c r="H5686" s="70"/>
      <c r="BA5686" s="4"/>
      <c r="BB5686" s="4"/>
    </row>
    <row r="5687" spans="1:54" x14ac:dyDescent="0.3">
      <c r="A5687" s="66"/>
      <c r="B5687" s="67"/>
      <c r="C5687" s="66"/>
      <c r="D5687" s="68"/>
      <c r="E5687" s="10"/>
      <c r="F5687" s="69"/>
      <c r="G5687" s="68"/>
      <c r="H5687" s="70"/>
      <c r="BA5687" s="4"/>
      <c r="BB5687" s="4"/>
    </row>
    <row r="5688" spans="1:54" x14ac:dyDescent="0.3">
      <c r="A5688" s="66"/>
      <c r="B5688" s="67"/>
      <c r="C5688" s="66"/>
      <c r="D5688" s="68"/>
      <c r="E5688" s="10"/>
      <c r="F5688" s="69"/>
      <c r="G5688" s="68"/>
      <c r="H5688" s="70"/>
      <c r="BA5688" s="4"/>
      <c r="BB5688" s="4"/>
    </row>
    <row r="5689" spans="1:54" x14ac:dyDescent="0.3">
      <c r="A5689" s="66"/>
      <c r="B5689" s="67"/>
      <c r="C5689" s="66"/>
      <c r="D5689" s="68"/>
      <c r="E5689" s="10"/>
      <c r="F5689" s="69"/>
      <c r="G5689" s="68"/>
      <c r="H5689" s="70"/>
      <c r="BA5689" s="4"/>
      <c r="BB5689" s="4"/>
    </row>
    <row r="5690" spans="1:54" x14ac:dyDescent="0.3">
      <c r="A5690" s="66"/>
      <c r="B5690" s="67"/>
      <c r="C5690" s="66"/>
      <c r="D5690" s="68"/>
      <c r="E5690" s="10"/>
      <c r="F5690" s="69"/>
      <c r="G5690" s="68"/>
      <c r="H5690" s="70"/>
      <c r="BA5690" s="4"/>
      <c r="BB5690" s="4"/>
    </row>
    <row r="5691" spans="1:54" x14ac:dyDescent="0.3">
      <c r="A5691" s="66"/>
      <c r="B5691" s="67"/>
      <c r="C5691" s="66"/>
      <c r="D5691" s="68"/>
      <c r="E5691" s="10"/>
      <c r="F5691" s="69"/>
      <c r="G5691" s="68"/>
      <c r="H5691" s="70"/>
      <c r="BA5691" s="4"/>
      <c r="BB5691" s="4"/>
    </row>
    <row r="5692" spans="1:54" x14ac:dyDescent="0.3">
      <c r="A5692" s="66"/>
      <c r="B5692" s="67"/>
      <c r="C5692" s="66"/>
      <c r="D5692" s="68"/>
      <c r="E5692" s="10"/>
      <c r="F5692" s="69"/>
      <c r="G5692" s="68"/>
      <c r="H5692" s="70"/>
      <c r="BA5692" s="4"/>
      <c r="BB5692" s="4"/>
    </row>
    <row r="5693" spans="1:54" x14ac:dyDescent="0.3">
      <c r="A5693" s="66"/>
      <c r="B5693" s="67"/>
      <c r="C5693" s="66"/>
      <c r="D5693" s="68"/>
      <c r="E5693" s="10"/>
      <c r="F5693" s="69"/>
      <c r="G5693" s="68"/>
      <c r="H5693" s="70"/>
      <c r="BA5693" s="4"/>
      <c r="BB5693" s="4"/>
    </row>
    <row r="5694" spans="1:54" x14ac:dyDescent="0.3">
      <c r="A5694" s="66"/>
      <c r="B5694" s="67"/>
      <c r="C5694" s="66"/>
      <c r="D5694" s="68"/>
      <c r="E5694" s="10"/>
      <c r="F5694" s="69"/>
      <c r="G5694" s="68"/>
      <c r="H5694" s="70"/>
      <c r="BA5694" s="4"/>
      <c r="BB5694" s="4"/>
    </row>
    <row r="5695" spans="1:54" x14ac:dyDescent="0.3">
      <c r="A5695" s="66"/>
      <c r="B5695" s="67"/>
      <c r="C5695" s="66"/>
      <c r="D5695" s="68"/>
      <c r="E5695" s="10"/>
      <c r="F5695" s="69"/>
      <c r="G5695" s="68"/>
      <c r="H5695" s="70"/>
      <c r="BA5695" s="4"/>
      <c r="BB5695" s="4"/>
    </row>
    <row r="5696" spans="1:54" x14ac:dyDescent="0.3">
      <c r="A5696" s="66"/>
      <c r="B5696" s="67"/>
      <c r="C5696" s="66"/>
      <c r="D5696" s="68"/>
      <c r="E5696" s="10"/>
      <c r="F5696" s="69"/>
      <c r="G5696" s="68"/>
      <c r="H5696" s="70"/>
      <c r="BA5696" s="4"/>
      <c r="BB5696" s="4"/>
    </row>
    <row r="5697" spans="1:54" x14ac:dyDescent="0.3">
      <c r="A5697" s="66"/>
      <c r="B5697" s="67"/>
      <c r="C5697" s="66"/>
      <c r="D5697" s="68"/>
      <c r="E5697" s="10"/>
      <c r="F5697" s="69"/>
      <c r="G5697" s="68"/>
      <c r="H5697" s="70"/>
      <c r="BA5697" s="4"/>
      <c r="BB5697" s="4"/>
    </row>
    <row r="5698" spans="1:54" x14ac:dyDescent="0.3">
      <c r="A5698" s="66"/>
      <c r="B5698" s="67"/>
      <c r="C5698" s="66"/>
      <c r="D5698" s="68"/>
      <c r="E5698" s="10"/>
      <c r="F5698" s="69"/>
      <c r="G5698" s="68"/>
      <c r="H5698" s="70"/>
      <c r="BA5698" s="4"/>
      <c r="BB5698" s="4"/>
    </row>
    <row r="5699" spans="1:54" x14ac:dyDescent="0.3">
      <c r="A5699" s="66"/>
      <c r="B5699" s="67"/>
      <c r="C5699" s="66"/>
      <c r="D5699" s="68"/>
      <c r="E5699" s="10"/>
      <c r="F5699" s="69"/>
      <c r="G5699" s="68"/>
      <c r="H5699" s="70"/>
      <c r="BA5699" s="4"/>
      <c r="BB5699" s="4"/>
    </row>
    <row r="5700" spans="1:54" x14ac:dyDescent="0.3">
      <c r="A5700" s="66"/>
      <c r="B5700" s="67"/>
      <c r="C5700" s="66"/>
      <c r="D5700" s="68"/>
      <c r="E5700" s="10"/>
      <c r="F5700" s="69"/>
      <c r="G5700" s="68"/>
      <c r="H5700" s="70"/>
      <c r="BA5700" s="4"/>
      <c r="BB5700" s="4"/>
    </row>
    <row r="5701" spans="1:54" x14ac:dyDescent="0.3">
      <c r="A5701" s="66"/>
      <c r="B5701" s="67"/>
      <c r="C5701" s="66"/>
      <c r="D5701" s="68"/>
      <c r="E5701" s="10"/>
      <c r="F5701" s="69"/>
      <c r="G5701" s="68"/>
      <c r="H5701" s="70"/>
      <c r="BA5701" s="4"/>
      <c r="BB5701" s="4"/>
    </row>
    <row r="5702" spans="1:54" x14ac:dyDescent="0.3">
      <c r="A5702" s="66"/>
      <c r="B5702" s="67"/>
      <c r="C5702" s="66"/>
      <c r="D5702" s="68"/>
      <c r="E5702" s="10"/>
      <c r="F5702" s="69"/>
      <c r="G5702" s="68"/>
      <c r="H5702" s="70"/>
      <c r="BA5702" s="4"/>
      <c r="BB5702" s="4"/>
    </row>
    <row r="5703" spans="1:54" x14ac:dyDescent="0.3">
      <c r="A5703" s="66"/>
      <c r="B5703" s="67"/>
      <c r="C5703" s="66"/>
      <c r="D5703" s="68"/>
      <c r="E5703" s="10"/>
      <c r="F5703" s="69"/>
      <c r="G5703" s="68"/>
      <c r="H5703" s="70"/>
      <c r="BA5703" s="4"/>
      <c r="BB5703" s="4"/>
    </row>
    <row r="5704" spans="1:54" x14ac:dyDescent="0.3">
      <c r="A5704" s="66"/>
      <c r="B5704" s="67"/>
      <c r="C5704" s="66"/>
      <c r="D5704" s="68"/>
      <c r="E5704" s="10"/>
      <c r="F5704" s="69"/>
      <c r="G5704" s="68"/>
      <c r="H5704" s="70"/>
      <c r="BA5704" s="4"/>
      <c r="BB5704" s="4"/>
    </row>
    <row r="5705" spans="1:54" x14ac:dyDescent="0.3">
      <c r="A5705" s="66"/>
      <c r="B5705" s="67"/>
      <c r="C5705" s="66"/>
      <c r="D5705" s="68"/>
      <c r="E5705" s="10"/>
      <c r="F5705" s="69"/>
      <c r="G5705" s="68"/>
      <c r="H5705" s="70"/>
      <c r="BA5705" s="4"/>
      <c r="BB5705" s="4"/>
    </row>
    <row r="5706" spans="1:54" x14ac:dyDescent="0.3">
      <c r="A5706" s="66"/>
      <c r="B5706" s="67"/>
      <c r="C5706" s="66"/>
      <c r="D5706" s="68"/>
      <c r="E5706" s="10"/>
      <c r="F5706" s="69"/>
      <c r="G5706" s="68"/>
      <c r="H5706" s="70"/>
      <c r="BA5706" s="4"/>
      <c r="BB5706" s="4"/>
    </row>
    <row r="5707" spans="1:54" x14ac:dyDescent="0.3">
      <c r="A5707" s="66"/>
      <c r="B5707" s="67"/>
      <c r="C5707" s="66"/>
      <c r="D5707" s="68"/>
      <c r="E5707" s="10"/>
      <c r="F5707" s="69"/>
      <c r="G5707" s="68"/>
      <c r="H5707" s="70"/>
      <c r="BA5707" s="4"/>
      <c r="BB5707" s="4"/>
    </row>
    <row r="5708" spans="1:54" x14ac:dyDescent="0.3">
      <c r="A5708" s="66"/>
      <c r="B5708" s="67"/>
      <c r="C5708" s="66"/>
      <c r="D5708" s="68"/>
      <c r="E5708" s="10"/>
      <c r="F5708" s="69"/>
      <c r="G5708" s="68"/>
      <c r="H5708" s="70"/>
      <c r="BA5708" s="4"/>
      <c r="BB5708" s="4"/>
    </row>
    <row r="5709" spans="1:54" x14ac:dyDescent="0.3">
      <c r="A5709" s="66"/>
      <c r="B5709" s="67"/>
      <c r="C5709" s="66"/>
      <c r="D5709" s="68"/>
      <c r="E5709" s="10"/>
      <c r="F5709" s="69"/>
      <c r="G5709" s="68"/>
      <c r="H5709" s="70"/>
      <c r="BA5709" s="4"/>
      <c r="BB5709" s="4"/>
    </row>
    <row r="5710" spans="1:54" x14ac:dyDescent="0.3">
      <c r="A5710" s="66"/>
      <c r="B5710" s="67"/>
      <c r="C5710" s="66"/>
      <c r="D5710" s="68"/>
      <c r="E5710" s="10"/>
      <c r="F5710" s="69"/>
      <c r="G5710" s="68"/>
      <c r="H5710" s="70"/>
      <c r="BA5710" s="4"/>
      <c r="BB5710" s="4"/>
    </row>
    <row r="5711" spans="1:54" x14ac:dyDescent="0.3">
      <c r="A5711" s="66"/>
      <c r="B5711" s="67"/>
      <c r="C5711" s="66"/>
      <c r="D5711" s="68"/>
      <c r="E5711" s="10"/>
      <c r="F5711" s="69"/>
      <c r="G5711" s="68"/>
      <c r="H5711" s="70"/>
      <c r="BA5711" s="4"/>
      <c r="BB5711" s="4"/>
    </row>
    <row r="5712" spans="1:54" x14ac:dyDescent="0.3">
      <c r="A5712" s="66"/>
      <c r="B5712" s="67"/>
      <c r="C5712" s="66"/>
      <c r="D5712" s="68"/>
      <c r="E5712" s="10"/>
      <c r="F5712" s="69"/>
      <c r="G5712" s="68"/>
      <c r="H5712" s="70"/>
      <c r="BA5712" s="4"/>
      <c r="BB5712" s="4"/>
    </row>
    <row r="5713" spans="1:54" x14ac:dyDescent="0.3">
      <c r="A5713" s="66"/>
      <c r="B5713" s="67"/>
      <c r="C5713" s="66"/>
      <c r="D5713" s="68"/>
      <c r="E5713" s="10"/>
      <c r="F5713" s="69"/>
      <c r="G5713" s="68"/>
      <c r="H5713" s="70"/>
      <c r="BA5713" s="4"/>
      <c r="BB5713" s="4"/>
    </row>
    <row r="5714" spans="1:54" x14ac:dyDescent="0.3">
      <c r="A5714" s="66"/>
      <c r="B5714" s="67"/>
      <c r="C5714" s="66"/>
      <c r="D5714" s="68"/>
      <c r="E5714" s="10"/>
      <c r="F5714" s="69"/>
      <c r="G5714" s="68"/>
      <c r="H5714" s="70"/>
      <c r="BA5714" s="4"/>
      <c r="BB5714" s="4"/>
    </row>
    <row r="5715" spans="1:54" x14ac:dyDescent="0.3">
      <c r="A5715" s="66"/>
      <c r="B5715" s="67"/>
      <c r="C5715" s="66"/>
      <c r="D5715" s="68"/>
      <c r="E5715" s="10"/>
      <c r="F5715" s="69"/>
      <c r="G5715" s="68"/>
      <c r="H5715" s="70"/>
      <c r="BA5715" s="4"/>
      <c r="BB5715" s="4"/>
    </row>
    <row r="5716" spans="1:54" x14ac:dyDescent="0.3">
      <c r="A5716" s="66"/>
      <c r="B5716" s="67"/>
      <c r="C5716" s="66"/>
      <c r="D5716" s="68"/>
      <c r="E5716" s="10"/>
      <c r="F5716" s="69"/>
      <c r="G5716" s="68"/>
      <c r="H5716" s="70"/>
      <c r="BA5716" s="4"/>
      <c r="BB5716" s="4"/>
    </row>
    <row r="5717" spans="1:54" x14ac:dyDescent="0.3">
      <c r="A5717" s="66"/>
      <c r="B5717" s="67"/>
      <c r="C5717" s="66"/>
      <c r="D5717" s="68"/>
      <c r="E5717" s="10"/>
      <c r="F5717" s="69"/>
      <c r="G5717" s="68"/>
      <c r="H5717" s="70"/>
      <c r="BA5717" s="4"/>
      <c r="BB5717" s="4"/>
    </row>
    <row r="5718" spans="1:54" x14ac:dyDescent="0.3">
      <c r="A5718" s="66"/>
      <c r="B5718" s="67"/>
      <c r="C5718" s="66"/>
      <c r="D5718" s="68"/>
      <c r="E5718" s="10"/>
      <c r="F5718" s="69"/>
      <c r="G5718" s="68"/>
      <c r="H5718" s="70"/>
      <c r="BA5718" s="4"/>
      <c r="BB5718" s="4"/>
    </row>
    <row r="5719" spans="1:54" x14ac:dyDescent="0.3">
      <c r="A5719" s="66"/>
      <c r="B5719" s="67"/>
      <c r="C5719" s="66"/>
      <c r="D5719" s="68"/>
      <c r="E5719" s="10"/>
      <c r="F5719" s="69"/>
      <c r="G5719" s="68"/>
      <c r="H5719" s="70"/>
      <c r="BA5719" s="4"/>
      <c r="BB5719" s="4"/>
    </row>
    <row r="5720" spans="1:54" x14ac:dyDescent="0.3">
      <c r="A5720" s="66"/>
      <c r="B5720" s="67"/>
      <c r="C5720" s="66"/>
      <c r="D5720" s="68"/>
      <c r="E5720" s="10"/>
      <c r="F5720" s="69"/>
      <c r="G5720" s="68"/>
      <c r="H5720" s="70"/>
      <c r="BA5720" s="4"/>
      <c r="BB5720" s="4"/>
    </row>
    <row r="5721" spans="1:54" x14ac:dyDescent="0.3">
      <c r="A5721" s="66"/>
      <c r="B5721" s="67"/>
      <c r="C5721" s="66"/>
      <c r="D5721" s="68"/>
      <c r="E5721" s="10"/>
      <c r="F5721" s="69"/>
      <c r="G5721" s="68"/>
      <c r="H5721" s="70"/>
      <c r="BA5721" s="4"/>
      <c r="BB5721" s="4"/>
    </row>
    <row r="5722" spans="1:54" x14ac:dyDescent="0.3">
      <c r="A5722" s="66"/>
      <c r="B5722" s="67"/>
      <c r="C5722" s="66"/>
      <c r="D5722" s="68"/>
      <c r="E5722" s="10"/>
      <c r="F5722" s="69"/>
      <c r="G5722" s="68"/>
      <c r="H5722" s="70"/>
      <c r="BA5722" s="4"/>
      <c r="BB5722" s="4"/>
    </row>
    <row r="5723" spans="1:54" x14ac:dyDescent="0.3">
      <c r="A5723" s="66"/>
      <c r="B5723" s="67"/>
      <c r="C5723" s="66"/>
      <c r="D5723" s="68"/>
      <c r="E5723" s="10"/>
      <c r="F5723" s="69"/>
      <c r="G5723" s="68"/>
      <c r="H5723" s="70"/>
      <c r="BA5723" s="4"/>
      <c r="BB5723" s="4"/>
    </row>
    <row r="5724" spans="1:54" x14ac:dyDescent="0.3">
      <c r="A5724" s="66"/>
      <c r="B5724" s="67"/>
      <c r="C5724" s="66"/>
      <c r="D5724" s="68"/>
      <c r="E5724" s="10"/>
      <c r="F5724" s="69"/>
      <c r="G5724" s="68"/>
      <c r="H5724" s="70"/>
      <c r="BA5724" s="4"/>
      <c r="BB5724" s="4"/>
    </row>
    <row r="5725" spans="1:54" x14ac:dyDescent="0.3">
      <c r="A5725" s="66"/>
      <c r="B5725" s="67"/>
      <c r="C5725" s="66"/>
      <c r="D5725" s="68"/>
      <c r="E5725" s="10"/>
      <c r="F5725" s="69"/>
      <c r="G5725" s="68"/>
      <c r="H5725" s="70"/>
      <c r="BA5725" s="4"/>
      <c r="BB5725" s="4"/>
    </row>
    <row r="5726" spans="1:54" x14ac:dyDescent="0.3">
      <c r="A5726" s="66"/>
      <c r="B5726" s="67"/>
      <c r="C5726" s="66"/>
      <c r="D5726" s="68"/>
      <c r="E5726" s="10"/>
      <c r="F5726" s="69"/>
      <c r="G5726" s="68"/>
      <c r="H5726" s="70"/>
      <c r="BA5726" s="4"/>
      <c r="BB5726" s="4"/>
    </row>
    <row r="5727" spans="1:54" x14ac:dyDescent="0.3">
      <c r="A5727" s="66"/>
      <c r="B5727" s="67"/>
      <c r="C5727" s="66"/>
      <c r="D5727" s="68"/>
      <c r="E5727" s="10"/>
      <c r="F5727" s="69"/>
      <c r="G5727" s="68"/>
      <c r="H5727" s="70"/>
      <c r="BA5727" s="4"/>
      <c r="BB5727" s="4"/>
    </row>
    <row r="5728" spans="1:54" x14ac:dyDescent="0.3">
      <c r="A5728" s="66"/>
      <c r="B5728" s="67"/>
      <c r="C5728" s="66"/>
      <c r="D5728" s="68"/>
      <c r="E5728" s="10"/>
      <c r="F5728" s="69"/>
      <c r="G5728" s="68"/>
      <c r="H5728" s="70"/>
      <c r="BA5728" s="4"/>
      <c r="BB5728" s="4"/>
    </row>
    <row r="5729" spans="1:54" x14ac:dyDescent="0.3">
      <c r="A5729" s="66"/>
      <c r="B5729" s="67"/>
      <c r="C5729" s="66"/>
      <c r="D5729" s="68"/>
      <c r="E5729" s="10"/>
      <c r="F5729" s="69"/>
      <c r="G5729" s="68"/>
      <c r="H5729" s="70"/>
      <c r="BA5729" s="4"/>
      <c r="BB5729" s="4"/>
    </row>
    <row r="5730" spans="1:54" x14ac:dyDescent="0.3">
      <c r="A5730" s="66"/>
      <c r="B5730" s="67"/>
      <c r="C5730" s="66"/>
      <c r="D5730" s="68"/>
      <c r="E5730" s="10"/>
      <c r="F5730" s="69"/>
      <c r="G5730" s="68"/>
      <c r="H5730" s="70"/>
      <c r="BA5730" s="4"/>
      <c r="BB5730" s="4"/>
    </row>
    <row r="5731" spans="1:54" x14ac:dyDescent="0.3">
      <c r="A5731" s="66"/>
      <c r="B5731" s="67"/>
      <c r="C5731" s="66"/>
      <c r="D5731" s="68"/>
      <c r="E5731" s="10"/>
      <c r="F5731" s="69"/>
      <c r="G5731" s="68"/>
      <c r="H5731" s="70"/>
      <c r="BA5731" s="4"/>
      <c r="BB5731" s="4"/>
    </row>
    <row r="5732" spans="1:54" x14ac:dyDescent="0.3">
      <c r="A5732" s="66"/>
      <c r="B5732" s="67"/>
      <c r="C5732" s="66"/>
      <c r="D5732" s="68"/>
      <c r="E5732" s="10"/>
      <c r="F5732" s="69"/>
      <c r="G5732" s="68"/>
      <c r="H5732" s="70"/>
      <c r="BA5732" s="4"/>
      <c r="BB5732" s="4"/>
    </row>
    <row r="5733" spans="1:54" x14ac:dyDescent="0.3">
      <c r="A5733" s="66"/>
      <c r="B5733" s="67"/>
      <c r="C5733" s="66"/>
      <c r="D5733" s="68"/>
      <c r="E5733" s="10"/>
      <c r="F5733" s="69"/>
      <c r="G5733" s="68"/>
      <c r="H5733" s="70"/>
      <c r="BA5733" s="4"/>
      <c r="BB5733" s="4"/>
    </row>
    <row r="5734" spans="1:54" x14ac:dyDescent="0.3">
      <c r="A5734" s="66"/>
      <c r="B5734" s="67"/>
      <c r="C5734" s="66"/>
      <c r="D5734" s="68"/>
      <c r="E5734" s="10"/>
      <c r="F5734" s="69"/>
      <c r="G5734" s="68"/>
      <c r="H5734" s="70"/>
      <c r="BA5734" s="4"/>
      <c r="BB5734" s="4"/>
    </row>
    <row r="5735" spans="1:54" x14ac:dyDescent="0.3">
      <c r="A5735" s="66"/>
      <c r="B5735" s="67"/>
      <c r="C5735" s="66"/>
      <c r="D5735" s="68"/>
      <c r="E5735" s="10"/>
      <c r="F5735" s="69"/>
      <c r="G5735" s="68"/>
      <c r="H5735" s="70"/>
      <c r="BA5735" s="4"/>
      <c r="BB5735" s="4"/>
    </row>
    <row r="5736" spans="1:54" x14ac:dyDescent="0.3">
      <c r="A5736" s="66"/>
      <c r="B5736" s="67"/>
      <c r="C5736" s="66"/>
      <c r="D5736" s="68"/>
      <c r="E5736" s="10"/>
      <c r="F5736" s="69"/>
      <c r="G5736" s="68"/>
      <c r="H5736" s="70"/>
      <c r="BA5736" s="4"/>
      <c r="BB5736" s="4"/>
    </row>
    <row r="5737" spans="1:54" x14ac:dyDescent="0.3">
      <c r="A5737" s="66"/>
      <c r="B5737" s="67"/>
      <c r="C5737" s="66"/>
      <c r="D5737" s="68"/>
      <c r="E5737" s="10"/>
      <c r="F5737" s="69"/>
      <c r="G5737" s="68"/>
      <c r="H5737" s="70"/>
      <c r="BA5737" s="4"/>
      <c r="BB5737" s="4"/>
    </row>
    <row r="5738" spans="1:54" x14ac:dyDescent="0.3">
      <c r="A5738" s="66"/>
      <c r="B5738" s="67"/>
      <c r="C5738" s="66"/>
      <c r="D5738" s="68"/>
      <c r="E5738" s="10"/>
      <c r="F5738" s="69"/>
      <c r="G5738" s="68"/>
      <c r="H5738" s="70"/>
      <c r="BA5738" s="4"/>
      <c r="BB5738" s="4"/>
    </row>
    <row r="5739" spans="1:54" x14ac:dyDescent="0.3">
      <c r="A5739" s="66"/>
      <c r="B5739" s="67"/>
      <c r="C5739" s="66"/>
      <c r="D5739" s="68"/>
      <c r="E5739" s="10"/>
      <c r="F5739" s="69"/>
      <c r="G5739" s="68"/>
      <c r="H5739" s="70"/>
      <c r="BA5739" s="4"/>
      <c r="BB5739" s="4"/>
    </row>
    <row r="5740" spans="1:54" x14ac:dyDescent="0.3">
      <c r="A5740" s="66"/>
      <c r="B5740" s="67"/>
      <c r="C5740" s="66"/>
      <c r="D5740" s="68"/>
      <c r="E5740" s="10"/>
      <c r="F5740" s="69"/>
      <c r="G5740" s="68"/>
      <c r="H5740" s="70"/>
      <c r="BA5740" s="4"/>
      <c r="BB5740" s="4"/>
    </row>
    <row r="5741" spans="1:54" x14ac:dyDescent="0.3">
      <c r="A5741" s="66"/>
      <c r="B5741" s="67"/>
      <c r="C5741" s="66"/>
      <c r="D5741" s="68"/>
      <c r="E5741" s="10"/>
      <c r="F5741" s="69"/>
      <c r="G5741" s="68"/>
      <c r="H5741" s="70"/>
      <c r="BA5741" s="4"/>
      <c r="BB5741" s="4"/>
    </row>
    <row r="5742" spans="1:54" x14ac:dyDescent="0.3">
      <c r="A5742" s="66"/>
      <c r="B5742" s="67"/>
      <c r="C5742" s="66"/>
      <c r="D5742" s="68"/>
      <c r="E5742" s="10"/>
      <c r="F5742" s="69"/>
      <c r="G5742" s="68"/>
      <c r="H5742" s="70"/>
      <c r="BA5742" s="4"/>
      <c r="BB5742" s="4"/>
    </row>
    <row r="5743" spans="1:54" x14ac:dyDescent="0.3">
      <c r="A5743" s="66"/>
      <c r="B5743" s="67"/>
      <c r="C5743" s="66"/>
      <c r="D5743" s="68"/>
      <c r="E5743" s="10"/>
      <c r="F5743" s="69"/>
      <c r="G5743" s="68"/>
      <c r="H5743" s="70"/>
      <c r="BA5743" s="4"/>
      <c r="BB5743" s="4"/>
    </row>
    <row r="5744" spans="1:54" x14ac:dyDescent="0.3">
      <c r="A5744" s="66"/>
      <c r="B5744" s="67"/>
      <c r="C5744" s="66"/>
      <c r="D5744" s="68"/>
      <c r="E5744" s="10"/>
      <c r="F5744" s="69"/>
      <c r="G5744" s="68"/>
      <c r="H5744" s="70"/>
      <c r="BA5744" s="4"/>
      <c r="BB5744" s="4"/>
    </row>
    <row r="5745" spans="1:54" x14ac:dyDescent="0.3">
      <c r="A5745" s="66"/>
      <c r="B5745" s="67"/>
      <c r="C5745" s="66"/>
      <c r="D5745" s="68"/>
      <c r="E5745" s="10"/>
      <c r="F5745" s="69"/>
      <c r="G5745" s="68"/>
      <c r="H5745" s="70"/>
      <c r="BA5745" s="4"/>
      <c r="BB5745" s="4"/>
    </row>
    <row r="5746" spans="1:54" x14ac:dyDescent="0.3">
      <c r="A5746" s="66"/>
      <c r="B5746" s="67"/>
      <c r="C5746" s="66"/>
      <c r="D5746" s="68"/>
      <c r="E5746" s="10"/>
      <c r="F5746" s="69"/>
      <c r="G5746" s="68"/>
      <c r="H5746" s="70"/>
      <c r="BA5746" s="4"/>
      <c r="BB5746" s="4"/>
    </row>
    <row r="5747" spans="1:54" x14ac:dyDescent="0.3">
      <c r="A5747" s="66"/>
      <c r="B5747" s="67"/>
      <c r="C5747" s="66"/>
      <c r="D5747" s="68"/>
      <c r="E5747" s="10"/>
      <c r="F5747" s="69"/>
      <c r="G5747" s="68"/>
      <c r="H5747" s="70"/>
      <c r="BA5747" s="4"/>
      <c r="BB5747" s="4"/>
    </row>
    <row r="5748" spans="1:54" x14ac:dyDescent="0.3">
      <c r="A5748" s="66"/>
      <c r="B5748" s="67"/>
      <c r="C5748" s="66"/>
      <c r="D5748" s="68"/>
      <c r="E5748" s="10"/>
      <c r="F5748" s="69"/>
      <c r="G5748" s="68"/>
      <c r="H5748" s="70"/>
      <c r="BA5748" s="4"/>
      <c r="BB5748" s="4"/>
    </row>
    <row r="5749" spans="1:54" x14ac:dyDescent="0.3">
      <c r="A5749" s="66"/>
      <c r="B5749" s="67"/>
      <c r="C5749" s="66"/>
      <c r="D5749" s="68"/>
      <c r="E5749" s="10"/>
      <c r="F5749" s="69"/>
      <c r="G5749" s="68"/>
      <c r="H5749" s="70"/>
      <c r="BA5749" s="4"/>
      <c r="BB5749" s="4"/>
    </row>
    <row r="5750" spans="1:54" x14ac:dyDescent="0.3">
      <c r="A5750" s="66"/>
      <c r="B5750" s="67"/>
      <c r="C5750" s="66"/>
      <c r="D5750" s="68"/>
      <c r="E5750" s="10"/>
      <c r="F5750" s="69"/>
      <c r="G5750" s="68"/>
      <c r="H5750" s="70"/>
      <c r="BA5750" s="4"/>
      <c r="BB5750" s="4"/>
    </row>
    <row r="5751" spans="1:54" x14ac:dyDescent="0.3">
      <c r="A5751" s="66"/>
      <c r="B5751" s="67"/>
      <c r="C5751" s="66"/>
      <c r="D5751" s="68"/>
      <c r="E5751" s="10"/>
      <c r="F5751" s="69"/>
      <c r="G5751" s="68"/>
      <c r="H5751" s="70"/>
      <c r="BA5751" s="4"/>
      <c r="BB5751" s="4"/>
    </row>
    <row r="5752" spans="1:54" x14ac:dyDescent="0.3">
      <c r="A5752" s="66"/>
      <c r="B5752" s="67"/>
      <c r="C5752" s="66"/>
      <c r="D5752" s="68"/>
      <c r="E5752" s="10"/>
      <c r="F5752" s="69"/>
      <c r="G5752" s="68"/>
      <c r="H5752" s="70"/>
      <c r="BA5752" s="4"/>
      <c r="BB5752" s="4"/>
    </row>
    <row r="5753" spans="1:54" x14ac:dyDescent="0.3">
      <c r="A5753" s="66"/>
      <c r="B5753" s="67"/>
      <c r="C5753" s="66"/>
      <c r="D5753" s="68"/>
      <c r="E5753" s="10"/>
      <c r="F5753" s="69"/>
      <c r="G5753" s="68"/>
      <c r="H5753" s="70"/>
      <c r="BA5753" s="4"/>
      <c r="BB5753" s="4"/>
    </row>
    <row r="5754" spans="1:54" x14ac:dyDescent="0.3">
      <c r="A5754" s="66"/>
      <c r="B5754" s="67"/>
      <c r="C5754" s="66"/>
      <c r="D5754" s="68"/>
      <c r="E5754" s="10"/>
      <c r="F5754" s="69"/>
      <c r="G5754" s="68"/>
      <c r="H5754" s="70"/>
      <c r="BA5754" s="4"/>
      <c r="BB5754" s="4"/>
    </row>
    <row r="5755" spans="1:54" x14ac:dyDescent="0.3">
      <c r="A5755" s="66"/>
      <c r="B5755" s="67"/>
      <c r="C5755" s="66"/>
      <c r="D5755" s="68"/>
      <c r="E5755" s="10"/>
      <c r="F5755" s="69"/>
      <c r="G5755" s="68"/>
      <c r="H5755" s="70"/>
      <c r="BA5755" s="4"/>
      <c r="BB5755" s="4"/>
    </row>
    <row r="5756" spans="1:54" x14ac:dyDescent="0.3">
      <c r="A5756" s="66"/>
      <c r="B5756" s="67"/>
      <c r="C5756" s="66"/>
      <c r="D5756" s="68"/>
      <c r="E5756" s="10"/>
      <c r="F5756" s="69"/>
      <c r="G5756" s="68"/>
      <c r="H5756" s="70"/>
      <c r="BA5756" s="4"/>
      <c r="BB5756" s="4"/>
    </row>
    <row r="5757" spans="1:54" x14ac:dyDescent="0.3">
      <c r="A5757" s="66"/>
      <c r="B5757" s="67"/>
      <c r="C5757" s="66"/>
      <c r="D5757" s="68"/>
      <c r="E5757" s="10"/>
      <c r="F5757" s="69"/>
      <c r="G5757" s="68"/>
      <c r="H5757" s="70"/>
      <c r="BA5757" s="4"/>
      <c r="BB5757" s="4"/>
    </row>
    <row r="5758" spans="1:54" x14ac:dyDescent="0.3">
      <c r="A5758" s="66"/>
      <c r="B5758" s="67"/>
      <c r="C5758" s="66"/>
      <c r="D5758" s="68"/>
      <c r="E5758" s="10"/>
      <c r="F5758" s="69"/>
      <c r="G5758" s="68"/>
      <c r="H5758" s="70"/>
      <c r="BA5758" s="4"/>
      <c r="BB5758" s="4"/>
    </row>
    <row r="5759" spans="1:54" x14ac:dyDescent="0.3">
      <c r="A5759" s="66"/>
      <c r="B5759" s="67"/>
      <c r="C5759" s="66"/>
      <c r="D5759" s="68"/>
      <c r="E5759" s="10"/>
      <c r="F5759" s="69"/>
      <c r="G5759" s="68"/>
      <c r="H5759" s="70"/>
      <c r="BA5759" s="4"/>
      <c r="BB5759" s="4"/>
    </row>
    <row r="5760" spans="1:54" x14ac:dyDescent="0.3">
      <c r="A5760" s="66"/>
      <c r="B5760" s="67"/>
      <c r="C5760" s="66"/>
      <c r="D5760" s="68"/>
      <c r="E5760" s="10"/>
      <c r="F5760" s="69"/>
      <c r="G5760" s="68"/>
      <c r="H5760" s="70"/>
      <c r="BA5760" s="4"/>
      <c r="BB5760" s="4"/>
    </row>
    <row r="5761" spans="1:54" x14ac:dyDescent="0.3">
      <c r="A5761" s="66"/>
      <c r="B5761" s="67"/>
      <c r="C5761" s="66"/>
      <c r="D5761" s="68"/>
      <c r="E5761" s="10"/>
      <c r="F5761" s="69"/>
      <c r="G5761" s="68"/>
      <c r="H5761" s="70"/>
      <c r="BA5761" s="4"/>
      <c r="BB5761" s="4"/>
    </row>
    <row r="5762" spans="1:54" x14ac:dyDescent="0.3">
      <c r="A5762" s="66"/>
      <c r="B5762" s="67"/>
      <c r="C5762" s="66"/>
      <c r="D5762" s="68"/>
      <c r="E5762" s="10"/>
      <c r="F5762" s="69"/>
      <c r="G5762" s="68"/>
      <c r="H5762" s="70"/>
      <c r="BA5762" s="4"/>
      <c r="BB5762" s="4"/>
    </row>
    <row r="5763" spans="1:54" x14ac:dyDescent="0.3">
      <c r="A5763" s="66"/>
      <c r="B5763" s="67"/>
      <c r="C5763" s="66"/>
      <c r="D5763" s="68"/>
      <c r="E5763" s="10"/>
      <c r="F5763" s="69"/>
      <c r="G5763" s="68"/>
      <c r="H5763" s="70"/>
      <c r="BA5763" s="4"/>
      <c r="BB5763" s="4"/>
    </row>
    <row r="5764" spans="1:54" x14ac:dyDescent="0.3">
      <c r="A5764" s="66"/>
      <c r="B5764" s="67"/>
      <c r="C5764" s="66"/>
      <c r="D5764" s="68"/>
      <c r="E5764" s="10"/>
      <c r="F5764" s="69"/>
      <c r="G5764" s="68"/>
      <c r="H5764" s="70"/>
      <c r="BA5764" s="4"/>
      <c r="BB5764" s="4"/>
    </row>
    <row r="5765" spans="1:54" x14ac:dyDescent="0.3">
      <c r="A5765" s="66"/>
      <c r="B5765" s="67"/>
      <c r="C5765" s="66"/>
      <c r="D5765" s="68"/>
      <c r="E5765" s="10"/>
      <c r="F5765" s="69"/>
      <c r="G5765" s="68"/>
      <c r="H5765" s="70"/>
      <c r="BA5765" s="4"/>
      <c r="BB5765" s="4"/>
    </row>
    <row r="5766" spans="1:54" x14ac:dyDescent="0.3">
      <c r="A5766" s="66"/>
      <c r="B5766" s="67"/>
      <c r="C5766" s="66"/>
      <c r="D5766" s="68"/>
      <c r="E5766" s="10"/>
      <c r="F5766" s="69"/>
      <c r="G5766" s="68"/>
      <c r="H5766" s="70"/>
      <c r="BA5766" s="4"/>
      <c r="BB5766" s="4"/>
    </row>
    <row r="5767" spans="1:54" x14ac:dyDescent="0.3">
      <c r="A5767" s="66"/>
      <c r="B5767" s="67"/>
      <c r="C5767" s="66"/>
      <c r="D5767" s="68"/>
      <c r="E5767" s="10"/>
      <c r="F5767" s="69"/>
      <c r="G5767" s="68"/>
      <c r="H5767" s="70"/>
      <c r="BA5767" s="4"/>
      <c r="BB5767" s="4"/>
    </row>
    <row r="5768" spans="1:54" x14ac:dyDescent="0.3">
      <c r="A5768" s="66"/>
      <c r="B5768" s="67"/>
      <c r="C5768" s="66"/>
      <c r="D5768" s="68"/>
      <c r="E5768" s="10"/>
      <c r="F5768" s="69"/>
      <c r="G5768" s="68"/>
      <c r="H5768" s="70"/>
      <c r="BA5768" s="4"/>
      <c r="BB5768" s="4"/>
    </row>
    <row r="5769" spans="1:54" x14ac:dyDescent="0.3">
      <c r="A5769" s="66"/>
      <c r="B5769" s="67"/>
      <c r="C5769" s="66"/>
      <c r="D5769" s="68"/>
      <c r="E5769" s="10"/>
      <c r="F5769" s="69"/>
      <c r="G5769" s="68"/>
      <c r="H5769" s="70"/>
      <c r="BA5769" s="4"/>
      <c r="BB5769" s="4"/>
    </row>
    <row r="5770" spans="1:54" x14ac:dyDescent="0.3">
      <c r="A5770" s="66"/>
      <c r="B5770" s="67"/>
      <c r="C5770" s="66"/>
      <c r="D5770" s="68"/>
      <c r="E5770" s="10"/>
      <c r="F5770" s="69"/>
      <c r="G5770" s="68"/>
      <c r="H5770" s="70"/>
      <c r="BA5770" s="4"/>
      <c r="BB5770" s="4"/>
    </row>
    <row r="5771" spans="1:54" x14ac:dyDescent="0.3">
      <c r="A5771" s="66"/>
      <c r="B5771" s="67"/>
      <c r="C5771" s="66"/>
      <c r="D5771" s="68"/>
      <c r="E5771" s="10"/>
      <c r="F5771" s="69"/>
      <c r="G5771" s="68"/>
      <c r="H5771" s="70"/>
      <c r="BA5771" s="4"/>
      <c r="BB5771" s="4"/>
    </row>
    <row r="5772" spans="1:54" x14ac:dyDescent="0.3">
      <c r="A5772" s="66"/>
      <c r="B5772" s="67"/>
      <c r="C5772" s="66"/>
      <c r="D5772" s="68"/>
      <c r="E5772" s="10"/>
      <c r="F5772" s="69"/>
      <c r="G5772" s="68"/>
      <c r="H5772" s="70"/>
      <c r="BA5772" s="4"/>
      <c r="BB5772" s="4"/>
    </row>
    <row r="5773" spans="1:54" x14ac:dyDescent="0.3">
      <c r="A5773" s="66"/>
      <c r="B5773" s="67"/>
      <c r="C5773" s="66"/>
      <c r="D5773" s="68"/>
      <c r="E5773" s="10"/>
      <c r="F5773" s="69"/>
      <c r="G5773" s="68"/>
      <c r="H5773" s="70"/>
      <c r="BA5773" s="4"/>
      <c r="BB5773" s="4"/>
    </row>
    <row r="5774" spans="1:54" x14ac:dyDescent="0.3">
      <c r="A5774" s="66"/>
      <c r="B5774" s="67"/>
      <c r="C5774" s="66"/>
      <c r="D5774" s="68"/>
      <c r="E5774" s="10"/>
      <c r="F5774" s="69"/>
      <c r="G5774" s="68"/>
      <c r="H5774" s="70"/>
      <c r="BA5774" s="4"/>
      <c r="BB5774" s="4"/>
    </row>
    <row r="5775" spans="1:54" x14ac:dyDescent="0.3">
      <c r="A5775" s="66"/>
      <c r="B5775" s="67"/>
      <c r="C5775" s="66"/>
      <c r="D5775" s="68"/>
      <c r="E5775" s="10"/>
      <c r="F5775" s="69"/>
      <c r="G5775" s="68"/>
      <c r="H5775" s="70"/>
      <c r="BA5775" s="4"/>
      <c r="BB5775" s="4"/>
    </row>
    <row r="5776" spans="1:54" x14ac:dyDescent="0.3">
      <c r="A5776" s="66"/>
      <c r="B5776" s="67"/>
      <c r="C5776" s="66"/>
      <c r="D5776" s="68"/>
      <c r="E5776" s="10"/>
      <c r="F5776" s="69"/>
      <c r="G5776" s="68"/>
      <c r="H5776" s="70"/>
      <c r="BA5776" s="4"/>
      <c r="BB5776" s="4"/>
    </row>
    <row r="5777" spans="1:54" x14ac:dyDescent="0.3">
      <c r="A5777" s="66"/>
      <c r="B5777" s="67"/>
      <c r="C5777" s="66"/>
      <c r="D5777" s="68"/>
      <c r="E5777" s="10"/>
      <c r="F5777" s="69"/>
      <c r="G5777" s="68"/>
      <c r="H5777" s="70"/>
      <c r="BA5777" s="4"/>
      <c r="BB5777" s="4"/>
    </row>
    <row r="5778" spans="1:54" x14ac:dyDescent="0.3">
      <c r="A5778" s="66"/>
      <c r="B5778" s="67"/>
      <c r="C5778" s="66"/>
      <c r="D5778" s="68"/>
      <c r="E5778" s="10"/>
      <c r="F5778" s="69"/>
      <c r="G5778" s="68"/>
      <c r="H5778" s="70"/>
      <c r="BA5778" s="4"/>
      <c r="BB5778" s="4"/>
    </row>
    <row r="5779" spans="1:54" x14ac:dyDescent="0.3">
      <c r="A5779" s="66"/>
      <c r="B5779" s="67"/>
      <c r="C5779" s="66"/>
      <c r="D5779" s="68"/>
      <c r="E5779" s="10"/>
      <c r="F5779" s="69"/>
      <c r="G5779" s="68"/>
      <c r="H5779" s="70"/>
      <c r="BA5779" s="4"/>
      <c r="BB5779" s="4"/>
    </row>
    <row r="5780" spans="1:54" x14ac:dyDescent="0.3">
      <c r="A5780" s="66"/>
      <c r="B5780" s="67"/>
      <c r="C5780" s="66"/>
      <c r="D5780" s="68"/>
      <c r="E5780" s="10"/>
      <c r="F5780" s="69"/>
      <c r="G5780" s="68"/>
      <c r="H5780" s="70"/>
      <c r="BA5780" s="4"/>
      <c r="BB5780" s="4"/>
    </row>
    <row r="5781" spans="1:54" x14ac:dyDescent="0.3">
      <c r="A5781" s="66"/>
      <c r="B5781" s="67"/>
      <c r="C5781" s="66"/>
      <c r="D5781" s="68"/>
      <c r="E5781" s="10"/>
      <c r="F5781" s="69"/>
      <c r="G5781" s="68"/>
      <c r="H5781" s="70"/>
      <c r="BA5781" s="4"/>
      <c r="BB5781" s="4"/>
    </row>
    <row r="5782" spans="1:54" x14ac:dyDescent="0.3">
      <c r="A5782" s="66"/>
      <c r="B5782" s="67"/>
      <c r="C5782" s="66"/>
      <c r="D5782" s="68"/>
      <c r="E5782" s="10"/>
      <c r="F5782" s="69"/>
      <c r="G5782" s="68"/>
      <c r="H5782" s="70"/>
      <c r="BA5782" s="4"/>
      <c r="BB5782" s="4"/>
    </row>
    <row r="5783" spans="1:54" x14ac:dyDescent="0.3">
      <c r="A5783" s="66"/>
      <c r="B5783" s="67"/>
      <c r="C5783" s="66"/>
      <c r="D5783" s="68"/>
      <c r="E5783" s="10"/>
      <c r="F5783" s="69"/>
      <c r="G5783" s="68"/>
      <c r="H5783" s="70"/>
      <c r="BA5783" s="4"/>
      <c r="BB5783" s="4"/>
    </row>
    <row r="5784" spans="1:54" x14ac:dyDescent="0.3">
      <c r="A5784" s="66"/>
      <c r="B5784" s="67"/>
      <c r="C5784" s="66"/>
      <c r="D5784" s="68"/>
      <c r="E5784" s="10"/>
      <c r="F5784" s="69"/>
      <c r="G5784" s="68"/>
      <c r="H5784" s="70"/>
      <c r="BA5784" s="4"/>
      <c r="BB5784" s="4"/>
    </row>
    <row r="5785" spans="1:54" x14ac:dyDescent="0.3">
      <c r="A5785" s="66"/>
      <c r="B5785" s="67"/>
      <c r="C5785" s="66"/>
      <c r="D5785" s="68"/>
      <c r="E5785" s="10"/>
      <c r="F5785" s="69"/>
      <c r="G5785" s="68"/>
      <c r="H5785" s="70"/>
      <c r="BA5785" s="4"/>
      <c r="BB5785" s="4"/>
    </row>
    <row r="5786" spans="1:54" x14ac:dyDescent="0.3">
      <c r="A5786" s="66"/>
      <c r="B5786" s="67"/>
      <c r="C5786" s="66"/>
      <c r="D5786" s="68"/>
      <c r="E5786" s="10"/>
      <c r="F5786" s="69"/>
      <c r="G5786" s="68"/>
      <c r="H5786" s="70"/>
      <c r="BA5786" s="4"/>
      <c r="BB5786" s="4"/>
    </row>
    <row r="5787" spans="1:54" x14ac:dyDescent="0.3">
      <c r="A5787" s="66"/>
      <c r="B5787" s="67"/>
      <c r="C5787" s="66"/>
      <c r="D5787" s="68"/>
      <c r="E5787" s="10"/>
      <c r="F5787" s="69"/>
      <c r="G5787" s="68"/>
      <c r="H5787" s="70"/>
      <c r="BA5787" s="4"/>
      <c r="BB5787" s="4"/>
    </row>
    <row r="5788" spans="1:54" x14ac:dyDescent="0.3">
      <c r="A5788" s="66"/>
      <c r="B5788" s="67"/>
      <c r="C5788" s="66"/>
      <c r="D5788" s="68"/>
      <c r="E5788" s="10"/>
      <c r="F5788" s="69"/>
      <c r="G5788" s="68"/>
      <c r="H5788" s="70"/>
      <c r="BA5788" s="4"/>
      <c r="BB5788" s="4"/>
    </row>
    <row r="5789" spans="1:54" x14ac:dyDescent="0.3">
      <c r="A5789" s="66"/>
      <c r="B5789" s="67"/>
      <c r="C5789" s="66"/>
      <c r="D5789" s="68"/>
      <c r="E5789" s="10"/>
      <c r="F5789" s="69"/>
      <c r="G5789" s="68"/>
      <c r="H5789" s="70"/>
      <c r="BA5789" s="4"/>
      <c r="BB5789" s="4"/>
    </row>
    <row r="5790" spans="1:54" x14ac:dyDescent="0.3">
      <c r="A5790" s="66"/>
      <c r="B5790" s="67"/>
      <c r="C5790" s="66"/>
      <c r="D5790" s="68"/>
      <c r="E5790" s="10"/>
      <c r="F5790" s="69"/>
      <c r="G5790" s="68"/>
      <c r="H5790" s="70"/>
      <c r="BA5790" s="4"/>
      <c r="BB5790" s="4"/>
    </row>
    <row r="5791" spans="1:54" x14ac:dyDescent="0.3">
      <c r="A5791" s="66"/>
      <c r="B5791" s="67"/>
      <c r="C5791" s="66"/>
      <c r="D5791" s="68"/>
      <c r="E5791" s="10"/>
      <c r="F5791" s="69"/>
      <c r="G5791" s="68"/>
      <c r="H5791" s="70"/>
      <c r="BA5791" s="4"/>
      <c r="BB5791" s="4"/>
    </row>
    <row r="5792" spans="1:54" x14ac:dyDescent="0.3">
      <c r="A5792" s="66"/>
      <c r="B5792" s="67"/>
      <c r="C5792" s="66"/>
      <c r="D5792" s="68"/>
      <c r="E5792" s="10"/>
      <c r="F5792" s="69"/>
      <c r="G5792" s="68"/>
      <c r="H5792" s="70"/>
      <c r="BA5792" s="4"/>
      <c r="BB5792" s="4"/>
    </row>
    <row r="5793" spans="1:54" x14ac:dyDescent="0.3">
      <c r="A5793" s="66"/>
      <c r="B5793" s="67"/>
      <c r="C5793" s="66"/>
      <c r="D5793" s="68"/>
      <c r="E5793" s="10"/>
      <c r="F5793" s="69"/>
      <c r="G5793" s="68"/>
      <c r="H5793" s="70"/>
      <c r="BA5793" s="4"/>
      <c r="BB5793" s="4"/>
    </row>
    <row r="5794" spans="1:54" x14ac:dyDescent="0.3">
      <c r="A5794" s="66"/>
      <c r="B5794" s="67"/>
      <c r="C5794" s="66"/>
      <c r="D5794" s="68"/>
      <c r="E5794" s="10"/>
      <c r="F5794" s="69"/>
      <c r="G5794" s="68"/>
      <c r="H5794" s="70"/>
      <c r="BA5794" s="4"/>
      <c r="BB5794" s="4"/>
    </row>
    <row r="5795" spans="1:54" x14ac:dyDescent="0.3">
      <c r="A5795" s="66"/>
      <c r="B5795" s="67"/>
      <c r="C5795" s="66"/>
      <c r="D5795" s="68"/>
      <c r="E5795" s="10"/>
      <c r="F5795" s="69"/>
      <c r="G5795" s="68"/>
      <c r="H5795" s="70"/>
      <c r="BA5795" s="4"/>
      <c r="BB5795" s="4"/>
    </row>
    <row r="5796" spans="1:54" x14ac:dyDescent="0.3">
      <c r="A5796" s="66"/>
      <c r="B5796" s="67"/>
      <c r="C5796" s="66"/>
      <c r="D5796" s="68"/>
      <c r="E5796" s="10"/>
      <c r="F5796" s="69"/>
      <c r="G5796" s="68"/>
      <c r="H5796" s="70"/>
      <c r="BA5796" s="4"/>
      <c r="BB5796" s="4"/>
    </row>
    <row r="5797" spans="1:54" x14ac:dyDescent="0.3">
      <c r="A5797" s="66"/>
      <c r="B5797" s="67"/>
      <c r="C5797" s="66"/>
      <c r="D5797" s="68"/>
      <c r="E5797" s="10"/>
      <c r="F5797" s="69"/>
      <c r="G5797" s="68"/>
      <c r="H5797" s="70"/>
      <c r="BA5797" s="4"/>
      <c r="BB5797" s="4"/>
    </row>
    <row r="5798" spans="1:54" x14ac:dyDescent="0.3">
      <c r="A5798" s="66"/>
      <c r="B5798" s="67"/>
      <c r="C5798" s="66"/>
      <c r="D5798" s="68"/>
      <c r="E5798" s="10"/>
      <c r="F5798" s="69"/>
      <c r="G5798" s="68"/>
      <c r="H5798" s="70"/>
      <c r="BA5798" s="4"/>
      <c r="BB5798" s="4"/>
    </row>
    <row r="5799" spans="1:54" x14ac:dyDescent="0.3">
      <c r="A5799" s="66"/>
      <c r="B5799" s="67"/>
      <c r="C5799" s="66"/>
      <c r="D5799" s="68"/>
      <c r="E5799" s="10"/>
      <c r="F5799" s="69"/>
      <c r="G5799" s="68"/>
      <c r="H5799" s="70"/>
      <c r="BA5799" s="4"/>
      <c r="BB5799" s="4"/>
    </row>
    <row r="5800" spans="1:54" x14ac:dyDescent="0.3">
      <c r="A5800" s="66"/>
      <c r="B5800" s="67"/>
      <c r="C5800" s="66"/>
      <c r="D5800" s="68"/>
      <c r="E5800" s="10"/>
      <c r="F5800" s="69"/>
      <c r="G5800" s="68"/>
      <c r="H5800" s="70"/>
      <c r="BA5800" s="4"/>
      <c r="BB5800" s="4"/>
    </row>
    <row r="5801" spans="1:54" x14ac:dyDescent="0.3">
      <c r="A5801" s="66"/>
      <c r="B5801" s="67"/>
      <c r="C5801" s="66"/>
      <c r="D5801" s="68"/>
      <c r="E5801" s="10"/>
      <c r="F5801" s="69"/>
      <c r="G5801" s="68"/>
      <c r="H5801" s="70"/>
      <c r="BA5801" s="4"/>
      <c r="BB5801" s="4"/>
    </row>
    <row r="5802" spans="1:54" x14ac:dyDescent="0.3">
      <c r="A5802" s="66"/>
      <c r="B5802" s="67"/>
      <c r="C5802" s="66"/>
      <c r="D5802" s="68"/>
      <c r="E5802" s="10"/>
      <c r="F5802" s="69"/>
      <c r="G5802" s="68"/>
      <c r="H5802" s="70"/>
      <c r="BA5802" s="4"/>
      <c r="BB5802" s="4"/>
    </row>
    <row r="5803" spans="1:54" x14ac:dyDescent="0.3">
      <c r="A5803" s="66"/>
      <c r="B5803" s="67"/>
      <c r="C5803" s="66"/>
      <c r="D5803" s="68"/>
      <c r="E5803" s="10"/>
      <c r="F5803" s="69"/>
      <c r="G5803" s="68"/>
      <c r="H5803" s="70"/>
      <c r="BA5803" s="4"/>
      <c r="BB5803" s="4"/>
    </row>
    <row r="5804" spans="1:54" x14ac:dyDescent="0.3">
      <c r="A5804" s="66"/>
      <c r="B5804" s="67"/>
      <c r="C5804" s="66"/>
      <c r="D5804" s="68"/>
      <c r="E5804" s="10"/>
      <c r="F5804" s="69"/>
      <c r="G5804" s="68"/>
      <c r="H5804" s="70"/>
      <c r="BA5804" s="4"/>
      <c r="BB5804" s="4"/>
    </row>
    <row r="5805" spans="1:54" x14ac:dyDescent="0.3">
      <c r="A5805" s="66"/>
      <c r="B5805" s="67"/>
      <c r="C5805" s="66"/>
      <c r="D5805" s="68"/>
      <c r="E5805" s="10"/>
      <c r="F5805" s="69"/>
      <c r="G5805" s="68"/>
      <c r="H5805" s="70"/>
      <c r="BA5805" s="4"/>
      <c r="BB5805" s="4"/>
    </row>
    <row r="5806" spans="1:54" x14ac:dyDescent="0.3">
      <c r="A5806" s="66"/>
      <c r="B5806" s="67"/>
      <c r="C5806" s="66"/>
      <c r="D5806" s="68"/>
      <c r="E5806" s="10"/>
      <c r="F5806" s="69"/>
      <c r="G5806" s="68"/>
      <c r="H5806" s="70"/>
      <c r="BA5806" s="4"/>
      <c r="BB5806" s="4"/>
    </row>
    <row r="5807" spans="1:54" x14ac:dyDescent="0.3">
      <c r="A5807" s="66"/>
      <c r="B5807" s="67"/>
      <c r="C5807" s="66"/>
      <c r="D5807" s="68"/>
      <c r="E5807" s="10"/>
      <c r="F5807" s="69"/>
      <c r="G5807" s="68"/>
      <c r="H5807" s="70"/>
      <c r="BA5807" s="4"/>
      <c r="BB5807" s="4"/>
    </row>
    <row r="5808" spans="1:54" x14ac:dyDescent="0.3">
      <c r="A5808" s="66"/>
      <c r="B5808" s="67"/>
      <c r="C5808" s="66"/>
      <c r="D5808" s="68"/>
      <c r="E5808" s="10"/>
      <c r="F5808" s="69"/>
      <c r="G5808" s="68"/>
      <c r="H5808" s="70"/>
      <c r="BA5808" s="4"/>
      <c r="BB5808" s="4"/>
    </row>
    <row r="5809" spans="1:54" x14ac:dyDescent="0.3">
      <c r="A5809" s="66"/>
      <c r="B5809" s="67"/>
      <c r="C5809" s="66"/>
      <c r="D5809" s="68"/>
      <c r="E5809" s="10"/>
      <c r="F5809" s="69"/>
      <c r="G5809" s="68"/>
      <c r="H5809" s="70"/>
      <c r="BA5809" s="4"/>
      <c r="BB5809" s="4"/>
    </row>
    <row r="5810" spans="1:54" x14ac:dyDescent="0.3">
      <c r="A5810" s="66"/>
      <c r="B5810" s="67"/>
      <c r="C5810" s="66"/>
      <c r="D5810" s="68"/>
      <c r="E5810" s="10"/>
      <c r="F5810" s="69"/>
      <c r="G5810" s="68"/>
      <c r="H5810" s="70"/>
      <c r="BA5810" s="4"/>
      <c r="BB5810" s="4"/>
    </row>
    <row r="5811" spans="1:54" x14ac:dyDescent="0.3">
      <c r="A5811" s="66"/>
      <c r="B5811" s="67"/>
      <c r="C5811" s="66"/>
      <c r="D5811" s="68"/>
      <c r="E5811" s="10"/>
      <c r="F5811" s="69"/>
      <c r="G5811" s="68"/>
      <c r="H5811" s="70"/>
      <c r="BA5811" s="4"/>
      <c r="BB5811" s="4"/>
    </row>
    <row r="5812" spans="1:54" x14ac:dyDescent="0.3">
      <c r="A5812" s="66"/>
      <c r="B5812" s="67"/>
      <c r="C5812" s="66"/>
      <c r="D5812" s="68"/>
      <c r="E5812" s="10"/>
      <c r="F5812" s="69"/>
      <c r="G5812" s="68"/>
      <c r="H5812" s="70"/>
      <c r="BA5812" s="4"/>
      <c r="BB5812" s="4"/>
    </row>
    <row r="5813" spans="1:54" x14ac:dyDescent="0.3">
      <c r="A5813" s="66"/>
      <c r="B5813" s="67"/>
      <c r="C5813" s="66"/>
      <c r="D5813" s="68"/>
      <c r="E5813" s="10"/>
      <c r="F5813" s="69"/>
      <c r="G5813" s="68"/>
      <c r="H5813" s="70"/>
      <c r="BA5813" s="4"/>
      <c r="BB5813" s="4"/>
    </row>
    <row r="5814" spans="1:54" x14ac:dyDescent="0.3">
      <c r="A5814" s="66"/>
      <c r="B5814" s="67"/>
      <c r="C5814" s="66"/>
      <c r="D5814" s="68"/>
      <c r="E5814" s="10"/>
      <c r="F5814" s="69"/>
      <c r="G5814" s="68"/>
      <c r="H5814" s="70"/>
      <c r="BA5814" s="4"/>
      <c r="BB5814" s="4"/>
    </row>
    <row r="5815" spans="1:54" x14ac:dyDescent="0.3">
      <c r="A5815" s="66"/>
      <c r="B5815" s="67"/>
      <c r="C5815" s="66"/>
      <c r="D5815" s="68"/>
      <c r="E5815" s="10"/>
      <c r="F5815" s="69"/>
      <c r="G5815" s="68"/>
      <c r="H5815" s="70"/>
      <c r="BA5815" s="4"/>
      <c r="BB5815" s="4"/>
    </row>
    <row r="5816" spans="1:54" x14ac:dyDescent="0.3">
      <c r="A5816" s="66"/>
      <c r="B5816" s="67"/>
      <c r="C5816" s="66"/>
      <c r="D5816" s="68"/>
      <c r="E5816" s="10"/>
      <c r="F5816" s="69"/>
      <c r="G5816" s="68"/>
      <c r="H5816" s="70"/>
      <c r="BA5816" s="4"/>
      <c r="BB5816" s="4"/>
    </row>
    <row r="5817" spans="1:54" x14ac:dyDescent="0.3">
      <c r="A5817" s="66"/>
      <c r="B5817" s="67"/>
      <c r="C5817" s="66"/>
      <c r="D5817" s="68"/>
      <c r="E5817" s="10"/>
      <c r="F5817" s="69"/>
      <c r="G5817" s="68"/>
      <c r="H5817" s="70"/>
      <c r="BA5817" s="4"/>
      <c r="BB5817" s="4"/>
    </row>
    <row r="5818" spans="1:54" x14ac:dyDescent="0.3">
      <c r="A5818" s="66"/>
      <c r="B5818" s="67"/>
      <c r="C5818" s="66"/>
      <c r="D5818" s="68"/>
      <c r="E5818" s="10"/>
      <c r="F5818" s="69"/>
      <c r="G5818" s="68"/>
      <c r="H5818" s="70"/>
      <c r="BA5818" s="4"/>
      <c r="BB5818" s="4"/>
    </row>
    <row r="5819" spans="1:54" x14ac:dyDescent="0.3">
      <c r="A5819" s="66"/>
      <c r="B5819" s="67"/>
      <c r="C5819" s="66"/>
      <c r="D5819" s="68"/>
      <c r="E5819" s="10"/>
      <c r="F5819" s="69"/>
      <c r="G5819" s="68"/>
      <c r="H5819" s="70"/>
      <c r="BA5819" s="4"/>
      <c r="BB5819" s="4"/>
    </row>
    <row r="5820" spans="1:54" x14ac:dyDescent="0.3">
      <c r="A5820" s="66"/>
      <c r="B5820" s="67"/>
      <c r="C5820" s="66"/>
      <c r="D5820" s="68"/>
      <c r="E5820" s="10"/>
      <c r="F5820" s="69"/>
      <c r="G5820" s="68"/>
      <c r="H5820" s="70"/>
      <c r="BA5820" s="4"/>
      <c r="BB5820" s="4"/>
    </row>
    <row r="5821" spans="1:54" x14ac:dyDescent="0.3">
      <c r="A5821" s="66"/>
      <c r="B5821" s="67"/>
      <c r="C5821" s="66"/>
      <c r="D5821" s="68"/>
      <c r="E5821" s="10"/>
      <c r="F5821" s="69"/>
      <c r="G5821" s="68"/>
      <c r="H5821" s="70"/>
      <c r="BA5821" s="4"/>
      <c r="BB5821" s="4"/>
    </row>
    <row r="5822" spans="1:54" x14ac:dyDescent="0.3">
      <c r="A5822" s="66"/>
      <c r="B5822" s="67"/>
      <c r="C5822" s="66"/>
      <c r="D5822" s="68"/>
      <c r="E5822" s="10"/>
      <c r="F5822" s="69"/>
      <c r="G5822" s="68"/>
      <c r="H5822" s="70"/>
      <c r="BA5822" s="4"/>
      <c r="BB5822" s="4"/>
    </row>
    <row r="5823" spans="1:54" x14ac:dyDescent="0.3">
      <c r="A5823" s="66"/>
      <c r="B5823" s="67"/>
      <c r="C5823" s="66"/>
      <c r="D5823" s="68"/>
      <c r="E5823" s="10"/>
      <c r="F5823" s="69"/>
      <c r="G5823" s="68"/>
      <c r="H5823" s="70"/>
      <c r="BA5823" s="4"/>
      <c r="BB5823" s="4"/>
    </row>
    <row r="5824" spans="1:54" x14ac:dyDescent="0.3">
      <c r="A5824" s="66"/>
      <c r="B5824" s="67"/>
      <c r="C5824" s="66"/>
      <c r="D5824" s="68"/>
      <c r="E5824" s="10"/>
      <c r="F5824" s="69"/>
      <c r="G5824" s="68"/>
      <c r="H5824" s="70"/>
      <c r="BA5824" s="4"/>
      <c r="BB5824" s="4"/>
    </row>
    <row r="5825" spans="1:54" x14ac:dyDescent="0.3">
      <c r="A5825" s="66"/>
      <c r="B5825" s="67"/>
      <c r="C5825" s="66"/>
      <c r="D5825" s="68"/>
      <c r="E5825" s="10"/>
      <c r="F5825" s="69"/>
      <c r="G5825" s="68"/>
      <c r="H5825" s="70"/>
      <c r="BA5825" s="4"/>
      <c r="BB5825" s="4"/>
    </row>
    <row r="5826" spans="1:54" x14ac:dyDescent="0.3">
      <c r="A5826" s="66"/>
      <c r="B5826" s="67"/>
      <c r="C5826" s="66"/>
      <c r="D5826" s="68"/>
      <c r="E5826" s="10"/>
      <c r="F5826" s="69"/>
      <c r="G5826" s="68"/>
      <c r="H5826" s="70"/>
      <c r="BA5826" s="4"/>
      <c r="BB5826" s="4"/>
    </row>
    <row r="5827" spans="1:54" x14ac:dyDescent="0.3">
      <c r="A5827" s="66"/>
      <c r="B5827" s="67"/>
      <c r="C5827" s="66"/>
      <c r="D5827" s="68"/>
      <c r="E5827" s="10"/>
      <c r="F5827" s="69"/>
      <c r="G5827" s="68"/>
      <c r="H5827" s="70"/>
      <c r="BA5827" s="4"/>
      <c r="BB5827" s="4"/>
    </row>
    <row r="5828" spans="1:54" x14ac:dyDescent="0.3">
      <c r="A5828" s="66"/>
      <c r="B5828" s="67"/>
      <c r="C5828" s="66"/>
      <c r="D5828" s="68"/>
      <c r="E5828" s="10"/>
      <c r="F5828" s="69"/>
      <c r="G5828" s="68"/>
      <c r="H5828" s="70"/>
      <c r="BA5828" s="4"/>
      <c r="BB5828" s="4"/>
    </row>
    <row r="5829" spans="1:54" x14ac:dyDescent="0.3">
      <c r="A5829" s="66"/>
      <c r="B5829" s="67"/>
      <c r="C5829" s="66"/>
      <c r="D5829" s="68"/>
      <c r="E5829" s="10"/>
      <c r="F5829" s="69"/>
      <c r="G5829" s="68"/>
      <c r="H5829" s="70"/>
      <c r="BA5829" s="4"/>
      <c r="BB5829" s="4"/>
    </row>
    <row r="5830" spans="1:54" x14ac:dyDescent="0.3">
      <c r="A5830" s="66"/>
      <c r="B5830" s="67"/>
      <c r="C5830" s="66"/>
      <c r="D5830" s="68"/>
      <c r="E5830" s="10"/>
      <c r="F5830" s="69"/>
      <c r="G5830" s="68"/>
      <c r="H5830" s="70"/>
      <c r="BA5830" s="4"/>
      <c r="BB5830" s="4"/>
    </row>
    <row r="5831" spans="1:54" x14ac:dyDescent="0.3">
      <c r="A5831" s="66"/>
      <c r="B5831" s="67"/>
      <c r="C5831" s="66"/>
      <c r="D5831" s="68"/>
      <c r="E5831" s="10"/>
      <c r="F5831" s="69"/>
      <c r="G5831" s="68"/>
      <c r="H5831" s="70"/>
      <c r="BA5831" s="4"/>
      <c r="BB5831" s="4"/>
    </row>
    <row r="5832" spans="1:54" x14ac:dyDescent="0.3">
      <c r="A5832" s="66"/>
      <c r="B5832" s="67"/>
      <c r="C5832" s="66"/>
      <c r="D5832" s="68"/>
      <c r="E5832" s="10"/>
      <c r="F5832" s="69"/>
      <c r="G5832" s="68"/>
      <c r="H5832" s="70"/>
      <c r="BA5832" s="4"/>
      <c r="BB5832" s="4"/>
    </row>
    <row r="5833" spans="1:54" x14ac:dyDescent="0.3">
      <c r="A5833" s="66"/>
      <c r="B5833" s="67"/>
      <c r="C5833" s="66"/>
      <c r="D5833" s="68"/>
      <c r="E5833" s="10"/>
      <c r="F5833" s="69"/>
      <c r="G5833" s="68"/>
      <c r="H5833" s="70"/>
      <c r="BA5833" s="4"/>
      <c r="BB5833" s="4"/>
    </row>
    <row r="5834" spans="1:54" x14ac:dyDescent="0.3">
      <c r="A5834" s="66"/>
      <c r="B5834" s="67"/>
      <c r="C5834" s="66"/>
      <c r="D5834" s="68"/>
      <c r="E5834" s="10"/>
      <c r="F5834" s="69"/>
      <c r="G5834" s="68"/>
      <c r="H5834" s="70"/>
      <c r="BA5834" s="4"/>
      <c r="BB5834" s="4"/>
    </row>
    <row r="5835" spans="1:54" x14ac:dyDescent="0.3">
      <c r="A5835" s="66"/>
      <c r="B5835" s="67"/>
      <c r="C5835" s="66"/>
      <c r="D5835" s="68"/>
      <c r="E5835" s="10"/>
      <c r="F5835" s="69"/>
      <c r="G5835" s="68"/>
      <c r="H5835" s="70"/>
      <c r="BA5835" s="4"/>
      <c r="BB5835" s="4"/>
    </row>
    <row r="5836" spans="1:54" x14ac:dyDescent="0.3">
      <c r="A5836" s="66"/>
      <c r="B5836" s="67"/>
      <c r="C5836" s="66"/>
      <c r="D5836" s="68"/>
      <c r="E5836" s="10"/>
      <c r="F5836" s="69"/>
      <c r="G5836" s="68"/>
      <c r="H5836" s="70"/>
      <c r="BA5836" s="4"/>
      <c r="BB5836" s="4"/>
    </row>
    <row r="5837" spans="1:54" x14ac:dyDescent="0.3">
      <c r="A5837" s="66"/>
      <c r="B5837" s="67"/>
      <c r="C5837" s="66"/>
      <c r="D5837" s="68"/>
      <c r="E5837" s="10"/>
      <c r="F5837" s="69"/>
      <c r="G5837" s="68"/>
      <c r="H5837" s="70"/>
      <c r="BA5837" s="4"/>
      <c r="BB5837" s="4"/>
    </row>
    <row r="5838" spans="1:54" x14ac:dyDescent="0.3">
      <c r="A5838" s="66"/>
      <c r="B5838" s="67"/>
      <c r="C5838" s="66"/>
      <c r="D5838" s="68"/>
      <c r="E5838" s="10"/>
      <c r="F5838" s="69"/>
      <c r="G5838" s="68"/>
      <c r="H5838" s="70"/>
      <c r="BA5838" s="4"/>
      <c r="BB5838" s="4"/>
    </row>
    <row r="5839" spans="1:54" x14ac:dyDescent="0.3">
      <c r="A5839" s="66"/>
      <c r="B5839" s="67"/>
      <c r="C5839" s="66"/>
      <c r="D5839" s="68"/>
      <c r="E5839" s="10"/>
      <c r="F5839" s="69"/>
      <c r="G5839" s="68"/>
      <c r="H5839" s="70"/>
      <c r="BA5839" s="4"/>
      <c r="BB5839" s="4"/>
    </row>
    <row r="5840" spans="1:54" x14ac:dyDescent="0.3">
      <c r="A5840" s="66"/>
      <c r="B5840" s="67"/>
      <c r="C5840" s="66"/>
      <c r="D5840" s="68"/>
      <c r="E5840" s="10"/>
      <c r="F5840" s="69"/>
      <c r="G5840" s="68"/>
      <c r="H5840" s="70"/>
      <c r="BA5840" s="4"/>
      <c r="BB5840" s="4"/>
    </row>
    <row r="5841" spans="1:54" x14ac:dyDescent="0.3">
      <c r="A5841" s="66"/>
      <c r="B5841" s="67"/>
      <c r="C5841" s="66"/>
      <c r="D5841" s="68"/>
      <c r="E5841" s="10"/>
      <c r="F5841" s="69"/>
      <c r="G5841" s="68"/>
      <c r="H5841" s="70"/>
      <c r="BA5841" s="4"/>
      <c r="BB5841" s="4"/>
    </row>
    <row r="5842" spans="1:54" x14ac:dyDescent="0.3">
      <c r="A5842" s="66"/>
      <c r="B5842" s="67"/>
      <c r="C5842" s="66"/>
      <c r="D5842" s="68"/>
      <c r="E5842" s="10"/>
      <c r="F5842" s="69"/>
      <c r="G5842" s="68"/>
      <c r="H5842" s="70"/>
      <c r="BA5842" s="4"/>
      <c r="BB5842" s="4"/>
    </row>
    <row r="5843" spans="1:54" x14ac:dyDescent="0.3">
      <c r="A5843" s="66"/>
      <c r="B5843" s="67"/>
      <c r="C5843" s="66"/>
      <c r="D5843" s="68"/>
      <c r="E5843" s="10"/>
      <c r="F5843" s="69"/>
      <c r="G5843" s="68"/>
      <c r="H5843" s="70"/>
      <c r="BA5843" s="4"/>
      <c r="BB5843" s="4"/>
    </row>
    <row r="5844" spans="1:54" x14ac:dyDescent="0.3">
      <c r="A5844" s="66"/>
      <c r="B5844" s="67"/>
      <c r="C5844" s="66"/>
      <c r="D5844" s="68"/>
      <c r="E5844" s="10"/>
      <c r="F5844" s="69"/>
      <c r="G5844" s="68"/>
      <c r="H5844" s="70"/>
      <c r="BA5844" s="4"/>
      <c r="BB5844" s="4"/>
    </row>
    <row r="5845" spans="1:54" x14ac:dyDescent="0.3">
      <c r="A5845" s="66"/>
      <c r="B5845" s="67"/>
      <c r="C5845" s="66"/>
      <c r="D5845" s="68"/>
      <c r="E5845" s="10"/>
      <c r="F5845" s="69"/>
      <c r="G5845" s="68"/>
      <c r="H5845" s="70"/>
      <c r="BA5845" s="4"/>
      <c r="BB5845" s="4"/>
    </row>
    <row r="5846" spans="1:54" x14ac:dyDescent="0.3">
      <c r="A5846" s="66"/>
      <c r="B5846" s="67"/>
      <c r="C5846" s="66"/>
      <c r="D5846" s="68"/>
      <c r="E5846" s="10"/>
      <c r="F5846" s="69"/>
      <c r="G5846" s="68"/>
      <c r="H5846" s="70"/>
      <c r="BA5846" s="4"/>
      <c r="BB5846" s="4"/>
    </row>
    <row r="5847" spans="1:54" x14ac:dyDescent="0.3">
      <c r="A5847" s="66"/>
      <c r="B5847" s="67"/>
      <c r="C5847" s="66"/>
      <c r="D5847" s="68"/>
      <c r="E5847" s="10"/>
      <c r="F5847" s="69"/>
      <c r="G5847" s="68"/>
      <c r="H5847" s="70"/>
      <c r="BA5847" s="4"/>
      <c r="BB5847" s="4"/>
    </row>
    <row r="5848" spans="1:54" x14ac:dyDescent="0.3">
      <c r="A5848" s="66"/>
      <c r="B5848" s="67"/>
      <c r="C5848" s="66"/>
      <c r="D5848" s="68"/>
      <c r="E5848" s="10"/>
      <c r="F5848" s="69"/>
      <c r="G5848" s="68"/>
      <c r="H5848" s="70"/>
      <c r="BA5848" s="4"/>
      <c r="BB5848" s="4"/>
    </row>
    <row r="5849" spans="1:54" x14ac:dyDescent="0.3">
      <c r="A5849" s="66"/>
      <c r="B5849" s="67"/>
      <c r="C5849" s="66"/>
      <c r="D5849" s="68"/>
      <c r="E5849" s="10"/>
      <c r="F5849" s="69"/>
      <c r="G5849" s="68"/>
      <c r="H5849" s="70"/>
      <c r="BA5849" s="4"/>
      <c r="BB5849" s="4"/>
    </row>
    <row r="5850" spans="1:54" x14ac:dyDescent="0.3">
      <c r="A5850" s="66"/>
      <c r="B5850" s="67"/>
      <c r="C5850" s="66"/>
      <c r="D5850" s="68"/>
      <c r="E5850" s="10"/>
      <c r="F5850" s="69"/>
      <c r="G5850" s="68"/>
      <c r="H5850" s="70"/>
      <c r="BA5850" s="4"/>
      <c r="BB5850" s="4"/>
    </row>
    <row r="5851" spans="1:54" x14ac:dyDescent="0.3">
      <c r="A5851" s="66"/>
      <c r="B5851" s="67"/>
      <c r="C5851" s="66"/>
      <c r="D5851" s="68"/>
      <c r="E5851" s="10"/>
      <c r="F5851" s="69"/>
      <c r="G5851" s="68"/>
      <c r="H5851" s="70"/>
      <c r="BA5851" s="4"/>
      <c r="BB5851" s="4"/>
    </row>
    <row r="5852" spans="1:54" x14ac:dyDescent="0.3">
      <c r="A5852" s="66"/>
      <c r="B5852" s="67"/>
      <c r="C5852" s="66"/>
      <c r="D5852" s="68"/>
      <c r="E5852" s="10"/>
      <c r="F5852" s="69"/>
      <c r="G5852" s="68"/>
      <c r="H5852" s="70"/>
      <c r="BA5852" s="4"/>
      <c r="BB5852" s="4"/>
    </row>
    <row r="5853" spans="1:54" x14ac:dyDescent="0.3">
      <c r="A5853" s="66"/>
      <c r="B5853" s="67"/>
      <c r="C5853" s="66"/>
      <c r="D5853" s="68"/>
      <c r="E5853" s="10"/>
      <c r="F5853" s="69"/>
      <c r="G5853" s="68"/>
      <c r="H5853" s="70"/>
      <c r="BA5853" s="4"/>
      <c r="BB5853" s="4"/>
    </row>
    <row r="5854" spans="1:54" x14ac:dyDescent="0.3">
      <c r="A5854" s="66"/>
      <c r="B5854" s="67"/>
      <c r="C5854" s="66"/>
      <c r="D5854" s="68"/>
      <c r="E5854" s="10"/>
      <c r="F5854" s="69"/>
      <c r="G5854" s="68"/>
      <c r="H5854" s="70"/>
      <c r="BA5854" s="4"/>
      <c r="BB5854" s="4"/>
    </row>
    <row r="5855" spans="1:54" x14ac:dyDescent="0.3">
      <c r="A5855" s="66"/>
      <c r="B5855" s="67"/>
      <c r="C5855" s="66"/>
      <c r="D5855" s="68"/>
      <c r="E5855" s="10"/>
      <c r="F5855" s="69"/>
      <c r="G5855" s="68"/>
      <c r="H5855" s="70"/>
      <c r="BA5855" s="4"/>
      <c r="BB5855" s="4"/>
    </row>
    <row r="5856" spans="1:54" x14ac:dyDescent="0.3">
      <c r="A5856" s="66"/>
      <c r="B5856" s="67"/>
      <c r="C5856" s="66"/>
      <c r="D5856" s="68"/>
      <c r="E5856" s="10"/>
      <c r="F5856" s="69"/>
      <c r="G5856" s="68"/>
      <c r="H5856" s="70"/>
      <c r="BA5856" s="4"/>
      <c r="BB5856" s="4"/>
    </row>
    <row r="5857" spans="1:54" x14ac:dyDescent="0.3">
      <c r="A5857" s="66"/>
      <c r="B5857" s="67"/>
      <c r="C5857" s="66"/>
      <c r="D5857" s="68"/>
      <c r="E5857" s="10"/>
      <c r="F5857" s="69"/>
      <c r="G5857" s="68"/>
      <c r="H5857" s="70"/>
      <c r="BA5857" s="4"/>
      <c r="BB5857" s="4"/>
    </row>
    <row r="5858" spans="1:54" x14ac:dyDescent="0.3">
      <c r="A5858" s="66"/>
      <c r="B5858" s="67"/>
      <c r="C5858" s="66"/>
      <c r="D5858" s="68"/>
      <c r="E5858" s="10"/>
      <c r="F5858" s="69"/>
      <c r="G5858" s="68"/>
      <c r="H5858" s="70"/>
      <c r="BA5858" s="4"/>
      <c r="BB5858" s="4"/>
    </row>
    <row r="5859" spans="1:54" x14ac:dyDescent="0.3">
      <c r="A5859" s="66"/>
      <c r="B5859" s="67"/>
      <c r="C5859" s="66"/>
      <c r="D5859" s="68"/>
      <c r="E5859" s="10"/>
      <c r="F5859" s="69"/>
      <c r="G5859" s="68"/>
      <c r="H5859" s="70"/>
      <c r="BA5859" s="4"/>
      <c r="BB5859" s="4"/>
    </row>
    <row r="5860" spans="1:54" x14ac:dyDescent="0.3">
      <c r="A5860" s="66"/>
      <c r="B5860" s="67"/>
      <c r="C5860" s="66"/>
      <c r="D5860" s="68"/>
      <c r="E5860" s="10"/>
      <c r="F5860" s="69"/>
      <c r="G5860" s="68"/>
      <c r="H5860" s="70"/>
      <c r="BA5860" s="4"/>
      <c r="BB5860" s="4"/>
    </row>
    <row r="5861" spans="1:54" x14ac:dyDescent="0.3">
      <c r="A5861" s="66"/>
      <c r="B5861" s="67"/>
      <c r="C5861" s="66"/>
      <c r="D5861" s="68"/>
      <c r="E5861" s="10"/>
      <c r="F5861" s="69"/>
      <c r="G5861" s="68"/>
      <c r="H5861" s="70"/>
      <c r="BA5861" s="4"/>
      <c r="BB5861" s="4"/>
    </row>
    <row r="5862" spans="1:54" x14ac:dyDescent="0.3">
      <c r="A5862" s="66"/>
      <c r="B5862" s="67"/>
      <c r="C5862" s="66"/>
      <c r="D5862" s="68"/>
      <c r="E5862" s="10"/>
      <c r="F5862" s="69"/>
      <c r="G5862" s="68"/>
      <c r="H5862" s="70"/>
      <c r="BA5862" s="4"/>
      <c r="BB5862" s="4"/>
    </row>
    <row r="5863" spans="1:54" x14ac:dyDescent="0.3">
      <c r="A5863" s="66"/>
      <c r="B5863" s="67"/>
      <c r="C5863" s="66"/>
      <c r="D5863" s="68"/>
      <c r="E5863" s="10"/>
      <c r="F5863" s="69"/>
      <c r="G5863" s="68"/>
      <c r="H5863" s="70"/>
      <c r="BA5863" s="4"/>
      <c r="BB5863" s="4"/>
    </row>
    <row r="5864" spans="1:54" x14ac:dyDescent="0.3">
      <c r="A5864" s="66"/>
      <c r="B5864" s="67"/>
      <c r="C5864" s="66"/>
      <c r="D5864" s="68"/>
      <c r="E5864" s="10"/>
      <c r="F5864" s="69"/>
      <c r="G5864" s="68"/>
      <c r="H5864" s="70"/>
      <c r="BA5864" s="4"/>
      <c r="BB5864" s="4"/>
    </row>
    <row r="5865" spans="1:54" x14ac:dyDescent="0.3">
      <c r="A5865" s="66"/>
      <c r="B5865" s="67"/>
      <c r="C5865" s="66"/>
      <c r="D5865" s="68"/>
      <c r="E5865" s="10"/>
      <c r="F5865" s="69"/>
      <c r="G5865" s="68"/>
      <c r="H5865" s="70"/>
      <c r="BA5865" s="4"/>
      <c r="BB5865" s="4"/>
    </row>
    <row r="5866" spans="1:54" x14ac:dyDescent="0.3">
      <c r="A5866" s="66"/>
      <c r="B5866" s="67"/>
      <c r="C5866" s="66"/>
      <c r="D5866" s="68"/>
      <c r="E5866" s="10"/>
      <c r="F5866" s="69"/>
      <c r="G5866" s="68"/>
      <c r="H5866" s="70"/>
      <c r="BA5866" s="4"/>
      <c r="BB5866" s="4"/>
    </row>
    <row r="5867" spans="1:54" x14ac:dyDescent="0.3">
      <c r="A5867" s="66"/>
      <c r="B5867" s="67"/>
      <c r="C5867" s="66"/>
      <c r="D5867" s="68"/>
      <c r="E5867" s="10"/>
      <c r="F5867" s="69"/>
      <c r="G5867" s="68"/>
      <c r="H5867" s="70"/>
      <c r="BA5867" s="4"/>
      <c r="BB5867" s="4"/>
    </row>
    <row r="5868" spans="1:54" x14ac:dyDescent="0.3">
      <c r="A5868" s="66"/>
      <c r="B5868" s="67"/>
      <c r="C5868" s="66"/>
      <c r="D5868" s="68"/>
      <c r="E5868" s="10"/>
      <c r="F5868" s="69"/>
      <c r="G5868" s="68"/>
      <c r="H5868" s="70"/>
      <c r="BA5868" s="4"/>
      <c r="BB5868" s="4"/>
    </row>
    <row r="5869" spans="1:54" x14ac:dyDescent="0.3">
      <c r="A5869" s="66"/>
      <c r="B5869" s="67"/>
      <c r="C5869" s="66"/>
      <c r="D5869" s="68"/>
      <c r="E5869" s="10"/>
      <c r="F5869" s="69"/>
      <c r="G5869" s="68"/>
      <c r="H5869" s="70"/>
      <c r="BA5869" s="4"/>
      <c r="BB5869" s="4"/>
    </row>
    <row r="5870" spans="1:54" x14ac:dyDescent="0.3">
      <c r="A5870" s="66"/>
      <c r="B5870" s="67"/>
      <c r="C5870" s="66"/>
      <c r="D5870" s="68"/>
      <c r="E5870" s="10"/>
      <c r="F5870" s="69"/>
      <c r="G5870" s="68"/>
      <c r="H5870" s="70"/>
      <c r="BA5870" s="4"/>
      <c r="BB5870" s="4"/>
    </row>
    <row r="5871" spans="1:54" x14ac:dyDescent="0.3">
      <c r="A5871" s="66"/>
      <c r="B5871" s="67"/>
      <c r="C5871" s="66"/>
      <c r="D5871" s="68"/>
      <c r="E5871" s="10"/>
      <c r="F5871" s="69"/>
      <c r="G5871" s="68"/>
      <c r="H5871" s="70"/>
      <c r="BA5871" s="4"/>
      <c r="BB5871" s="4"/>
    </row>
    <row r="5872" spans="1:54" x14ac:dyDescent="0.3">
      <c r="A5872" s="66"/>
      <c r="B5872" s="67"/>
      <c r="C5872" s="66"/>
      <c r="D5872" s="68"/>
      <c r="E5872" s="10"/>
      <c r="F5872" s="69"/>
      <c r="G5872" s="68"/>
      <c r="H5872" s="70"/>
      <c r="BA5872" s="4"/>
      <c r="BB5872" s="4"/>
    </row>
    <row r="5873" spans="1:54" x14ac:dyDescent="0.3">
      <c r="A5873" s="66"/>
      <c r="B5873" s="67"/>
      <c r="C5873" s="66"/>
      <c r="D5873" s="68"/>
      <c r="E5873" s="10"/>
      <c r="F5873" s="69"/>
      <c r="G5873" s="68"/>
      <c r="H5873" s="70"/>
      <c r="BA5873" s="4"/>
      <c r="BB5873" s="4"/>
    </row>
    <row r="5874" spans="1:54" x14ac:dyDescent="0.3">
      <c r="A5874" s="66"/>
      <c r="B5874" s="67"/>
      <c r="C5874" s="66"/>
      <c r="D5874" s="68"/>
      <c r="E5874" s="10"/>
      <c r="F5874" s="69"/>
      <c r="G5874" s="68"/>
      <c r="H5874" s="70"/>
      <c r="BA5874" s="4"/>
      <c r="BB5874" s="4"/>
    </row>
    <row r="5875" spans="1:54" x14ac:dyDescent="0.3">
      <c r="A5875" s="66"/>
      <c r="B5875" s="67"/>
      <c r="C5875" s="66"/>
      <c r="D5875" s="68"/>
      <c r="E5875" s="10"/>
      <c r="F5875" s="69"/>
      <c r="G5875" s="68"/>
      <c r="H5875" s="70"/>
      <c r="BA5875" s="4"/>
      <c r="BB5875" s="4"/>
    </row>
    <row r="5876" spans="1:54" x14ac:dyDescent="0.3">
      <c r="A5876" s="66"/>
      <c r="B5876" s="67"/>
      <c r="C5876" s="66"/>
      <c r="D5876" s="68"/>
      <c r="E5876" s="10"/>
      <c r="F5876" s="69"/>
      <c r="G5876" s="68"/>
      <c r="H5876" s="70"/>
      <c r="BA5876" s="4"/>
      <c r="BB5876" s="4"/>
    </row>
    <row r="5877" spans="1:54" x14ac:dyDescent="0.3">
      <c r="A5877" s="66"/>
      <c r="B5877" s="67"/>
      <c r="C5877" s="66"/>
      <c r="D5877" s="68"/>
      <c r="E5877" s="10"/>
      <c r="F5877" s="69"/>
      <c r="G5877" s="68"/>
      <c r="H5877" s="70"/>
      <c r="BA5877" s="4"/>
      <c r="BB5877" s="4"/>
    </row>
    <row r="5878" spans="1:54" x14ac:dyDescent="0.3">
      <c r="A5878" s="66"/>
      <c r="B5878" s="67"/>
      <c r="C5878" s="66"/>
      <c r="D5878" s="68"/>
      <c r="E5878" s="10"/>
      <c r="F5878" s="69"/>
      <c r="G5878" s="68"/>
      <c r="H5878" s="70"/>
      <c r="BA5878" s="4"/>
      <c r="BB5878" s="4"/>
    </row>
    <row r="5879" spans="1:54" x14ac:dyDescent="0.3">
      <c r="A5879" s="66"/>
      <c r="B5879" s="67"/>
      <c r="C5879" s="66"/>
      <c r="D5879" s="68"/>
      <c r="E5879" s="10"/>
      <c r="F5879" s="69"/>
      <c r="G5879" s="68"/>
      <c r="H5879" s="70"/>
      <c r="BA5879" s="4"/>
      <c r="BB5879" s="4"/>
    </row>
    <row r="5880" spans="1:54" x14ac:dyDescent="0.3">
      <c r="A5880" s="66"/>
      <c r="B5880" s="67"/>
      <c r="C5880" s="66"/>
      <c r="D5880" s="68"/>
      <c r="E5880" s="10"/>
      <c r="F5880" s="69"/>
      <c r="G5880" s="68"/>
      <c r="H5880" s="70"/>
      <c r="BA5880" s="4"/>
      <c r="BB5880" s="4"/>
    </row>
    <row r="5881" spans="1:54" x14ac:dyDescent="0.3">
      <c r="A5881" s="66"/>
      <c r="B5881" s="67"/>
      <c r="C5881" s="66"/>
      <c r="D5881" s="68"/>
      <c r="E5881" s="10"/>
      <c r="F5881" s="69"/>
      <c r="G5881" s="68"/>
      <c r="H5881" s="70"/>
      <c r="BA5881" s="4"/>
      <c r="BB5881" s="4"/>
    </row>
    <row r="5882" spans="1:54" x14ac:dyDescent="0.3">
      <c r="A5882" s="66"/>
      <c r="B5882" s="67"/>
      <c r="C5882" s="66"/>
      <c r="D5882" s="68"/>
      <c r="E5882" s="10"/>
      <c r="F5882" s="69"/>
      <c r="G5882" s="68"/>
      <c r="H5882" s="70"/>
      <c r="BA5882" s="4"/>
      <c r="BB5882" s="4"/>
    </row>
    <row r="5883" spans="1:54" x14ac:dyDescent="0.3">
      <c r="A5883" s="66"/>
      <c r="B5883" s="67"/>
      <c r="C5883" s="66"/>
      <c r="D5883" s="68"/>
      <c r="E5883" s="10"/>
      <c r="F5883" s="69"/>
      <c r="G5883" s="68"/>
      <c r="H5883" s="70"/>
      <c r="BA5883" s="4"/>
      <c r="BB5883" s="4"/>
    </row>
    <row r="5884" spans="1:54" x14ac:dyDescent="0.3">
      <c r="A5884" s="66"/>
      <c r="B5884" s="67"/>
      <c r="C5884" s="66"/>
      <c r="D5884" s="68"/>
      <c r="E5884" s="10"/>
      <c r="F5884" s="69"/>
      <c r="G5884" s="68"/>
      <c r="H5884" s="70"/>
      <c r="BA5884" s="4"/>
      <c r="BB5884" s="4"/>
    </row>
    <row r="5885" spans="1:54" x14ac:dyDescent="0.3">
      <c r="A5885" s="66"/>
      <c r="B5885" s="67"/>
      <c r="C5885" s="66"/>
      <c r="D5885" s="68"/>
      <c r="E5885" s="10"/>
      <c r="F5885" s="69"/>
      <c r="G5885" s="68"/>
      <c r="H5885" s="70"/>
      <c r="BA5885" s="4"/>
      <c r="BB5885" s="4"/>
    </row>
    <row r="5886" spans="1:54" x14ac:dyDescent="0.3">
      <c r="A5886" s="66"/>
      <c r="B5886" s="67"/>
      <c r="C5886" s="66"/>
      <c r="D5886" s="68"/>
      <c r="E5886" s="10"/>
      <c r="F5886" s="69"/>
      <c r="G5886" s="68"/>
      <c r="H5886" s="70"/>
      <c r="BA5886" s="4"/>
      <c r="BB5886" s="4"/>
    </row>
    <row r="5887" spans="1:54" x14ac:dyDescent="0.3">
      <c r="A5887" s="66"/>
      <c r="B5887" s="67"/>
      <c r="C5887" s="66"/>
      <c r="D5887" s="68"/>
      <c r="E5887" s="10"/>
      <c r="F5887" s="69"/>
      <c r="G5887" s="68"/>
      <c r="H5887" s="70"/>
      <c r="BA5887" s="4"/>
      <c r="BB5887" s="4"/>
    </row>
    <row r="5888" spans="1:54" x14ac:dyDescent="0.3">
      <c r="A5888" s="66"/>
      <c r="B5888" s="67"/>
      <c r="C5888" s="66"/>
      <c r="D5888" s="68"/>
      <c r="E5888" s="10"/>
      <c r="F5888" s="69"/>
      <c r="G5888" s="68"/>
      <c r="H5888" s="70"/>
      <c r="BA5888" s="4"/>
      <c r="BB5888" s="4"/>
    </row>
    <row r="5889" spans="1:54" x14ac:dyDescent="0.3">
      <c r="A5889" s="66"/>
      <c r="B5889" s="67"/>
      <c r="C5889" s="66"/>
      <c r="D5889" s="68"/>
      <c r="E5889" s="10"/>
      <c r="F5889" s="69"/>
      <c r="G5889" s="68"/>
      <c r="H5889" s="70"/>
      <c r="BA5889" s="4"/>
      <c r="BB5889" s="4"/>
    </row>
    <row r="5890" spans="1:54" x14ac:dyDescent="0.3">
      <c r="A5890" s="66"/>
      <c r="B5890" s="67"/>
      <c r="C5890" s="66"/>
      <c r="D5890" s="68"/>
      <c r="E5890" s="10"/>
      <c r="F5890" s="69"/>
      <c r="G5890" s="68"/>
      <c r="H5890" s="70"/>
      <c r="BA5890" s="4"/>
      <c r="BB5890" s="4"/>
    </row>
    <row r="5891" spans="1:54" x14ac:dyDescent="0.3">
      <c r="A5891" s="66"/>
      <c r="B5891" s="67"/>
      <c r="C5891" s="66"/>
      <c r="D5891" s="68"/>
      <c r="E5891" s="10"/>
      <c r="F5891" s="69"/>
      <c r="G5891" s="68"/>
      <c r="H5891" s="70"/>
      <c r="BA5891" s="4"/>
      <c r="BB5891" s="4"/>
    </row>
    <row r="5892" spans="1:54" x14ac:dyDescent="0.3">
      <c r="A5892" s="66"/>
      <c r="B5892" s="67"/>
      <c r="C5892" s="66"/>
      <c r="D5892" s="68"/>
      <c r="E5892" s="10"/>
      <c r="F5892" s="69"/>
      <c r="G5892" s="68"/>
      <c r="H5892" s="70"/>
      <c r="BA5892" s="4"/>
      <c r="BB5892" s="4"/>
    </row>
    <row r="5893" spans="1:54" x14ac:dyDescent="0.3">
      <c r="A5893" s="66"/>
      <c r="B5893" s="67"/>
      <c r="C5893" s="66"/>
      <c r="D5893" s="68"/>
      <c r="E5893" s="10"/>
      <c r="F5893" s="69"/>
      <c r="G5893" s="68"/>
      <c r="H5893" s="70"/>
      <c r="BA5893" s="4"/>
      <c r="BB5893" s="4"/>
    </row>
    <row r="5894" spans="1:54" x14ac:dyDescent="0.3">
      <c r="A5894" s="66"/>
      <c r="B5894" s="67"/>
      <c r="C5894" s="66"/>
      <c r="D5894" s="68"/>
      <c r="E5894" s="10"/>
      <c r="F5894" s="69"/>
      <c r="G5894" s="68"/>
      <c r="H5894" s="70"/>
      <c r="BA5894" s="4"/>
      <c r="BB5894" s="4"/>
    </row>
    <row r="5895" spans="1:54" x14ac:dyDescent="0.3">
      <c r="A5895" s="66"/>
      <c r="B5895" s="67"/>
      <c r="C5895" s="66"/>
      <c r="D5895" s="68"/>
      <c r="E5895" s="10"/>
      <c r="F5895" s="69"/>
      <c r="G5895" s="68"/>
      <c r="H5895" s="70"/>
      <c r="BA5895" s="4"/>
      <c r="BB5895" s="4"/>
    </row>
    <row r="5896" spans="1:54" x14ac:dyDescent="0.3">
      <c r="A5896" s="66"/>
      <c r="B5896" s="67"/>
      <c r="C5896" s="66"/>
      <c r="D5896" s="68"/>
      <c r="E5896" s="10"/>
      <c r="F5896" s="69"/>
      <c r="G5896" s="68"/>
      <c r="H5896" s="70"/>
      <c r="BA5896" s="4"/>
      <c r="BB5896" s="4"/>
    </row>
    <row r="5897" spans="1:54" x14ac:dyDescent="0.3">
      <c r="A5897" s="66"/>
      <c r="B5897" s="67"/>
      <c r="C5897" s="66"/>
      <c r="D5897" s="68"/>
      <c r="E5897" s="10"/>
      <c r="F5897" s="69"/>
      <c r="G5897" s="68"/>
      <c r="H5897" s="70"/>
      <c r="BA5897" s="4"/>
      <c r="BB5897" s="4"/>
    </row>
    <row r="5898" spans="1:54" x14ac:dyDescent="0.3">
      <c r="A5898" s="66"/>
      <c r="B5898" s="67"/>
      <c r="C5898" s="66"/>
      <c r="D5898" s="68"/>
      <c r="E5898" s="10"/>
      <c r="F5898" s="69"/>
      <c r="G5898" s="68"/>
      <c r="H5898" s="70"/>
      <c r="BA5898" s="4"/>
      <c r="BB5898" s="4"/>
    </row>
    <row r="5899" spans="1:54" x14ac:dyDescent="0.3">
      <c r="A5899" s="66"/>
      <c r="B5899" s="67"/>
      <c r="C5899" s="66"/>
      <c r="D5899" s="68"/>
      <c r="E5899" s="10"/>
      <c r="F5899" s="69"/>
      <c r="G5899" s="68"/>
      <c r="H5899" s="70"/>
      <c r="BA5899" s="4"/>
      <c r="BB5899" s="4"/>
    </row>
    <row r="5900" spans="1:54" x14ac:dyDescent="0.3">
      <c r="A5900" s="66"/>
      <c r="B5900" s="67"/>
      <c r="C5900" s="66"/>
      <c r="D5900" s="68"/>
      <c r="E5900" s="10"/>
      <c r="F5900" s="69"/>
      <c r="G5900" s="68"/>
      <c r="H5900" s="70"/>
      <c r="BA5900" s="4"/>
      <c r="BB5900" s="4"/>
    </row>
    <row r="5901" spans="1:54" x14ac:dyDescent="0.3">
      <c r="A5901" s="66"/>
      <c r="B5901" s="67"/>
      <c r="C5901" s="66"/>
      <c r="D5901" s="68"/>
      <c r="E5901" s="10"/>
      <c r="F5901" s="69"/>
      <c r="G5901" s="68"/>
      <c r="H5901" s="70"/>
      <c r="BA5901" s="4"/>
      <c r="BB5901" s="4"/>
    </row>
    <row r="5902" spans="1:54" x14ac:dyDescent="0.3">
      <c r="A5902" s="66"/>
      <c r="B5902" s="67"/>
      <c r="C5902" s="66"/>
      <c r="D5902" s="68"/>
      <c r="E5902" s="10"/>
      <c r="F5902" s="69"/>
      <c r="G5902" s="68"/>
      <c r="H5902" s="70"/>
      <c r="BA5902" s="4"/>
      <c r="BB5902" s="4"/>
    </row>
    <row r="5903" spans="1:54" x14ac:dyDescent="0.3">
      <c r="A5903" s="66"/>
      <c r="B5903" s="67"/>
      <c r="C5903" s="66"/>
      <c r="D5903" s="68"/>
      <c r="E5903" s="10"/>
      <c r="F5903" s="69"/>
      <c r="G5903" s="68"/>
      <c r="H5903" s="70"/>
      <c r="BA5903" s="4"/>
      <c r="BB5903" s="4"/>
    </row>
    <row r="5904" spans="1:54" x14ac:dyDescent="0.3">
      <c r="A5904" s="66"/>
      <c r="B5904" s="67"/>
      <c r="C5904" s="66"/>
      <c r="D5904" s="68"/>
      <c r="E5904" s="10"/>
      <c r="F5904" s="69"/>
      <c r="G5904" s="68"/>
      <c r="H5904" s="70"/>
      <c r="BA5904" s="4"/>
      <c r="BB5904" s="4"/>
    </row>
    <row r="5905" spans="1:54" x14ac:dyDescent="0.3">
      <c r="A5905" s="66"/>
      <c r="B5905" s="67"/>
      <c r="C5905" s="66"/>
      <c r="D5905" s="68"/>
      <c r="E5905" s="10"/>
      <c r="F5905" s="69"/>
      <c r="G5905" s="68"/>
      <c r="H5905" s="70"/>
      <c r="BA5905" s="4"/>
      <c r="BB5905" s="4"/>
    </row>
    <row r="5906" spans="1:54" x14ac:dyDescent="0.3">
      <c r="A5906" s="66"/>
      <c r="B5906" s="67"/>
      <c r="C5906" s="66"/>
      <c r="D5906" s="68"/>
      <c r="E5906" s="10"/>
      <c r="F5906" s="69"/>
      <c r="G5906" s="68"/>
      <c r="H5906" s="70"/>
      <c r="BA5906" s="4"/>
      <c r="BB5906" s="4"/>
    </row>
    <row r="5907" spans="1:54" x14ac:dyDescent="0.3">
      <c r="A5907" s="66"/>
      <c r="B5907" s="67"/>
      <c r="C5907" s="66"/>
      <c r="D5907" s="68"/>
      <c r="E5907" s="10"/>
      <c r="F5907" s="69"/>
      <c r="G5907" s="68"/>
      <c r="H5907" s="70"/>
      <c r="BA5907" s="4"/>
      <c r="BB5907" s="4"/>
    </row>
    <row r="5908" spans="1:54" x14ac:dyDescent="0.3">
      <c r="A5908" s="66"/>
      <c r="B5908" s="67"/>
      <c r="C5908" s="66"/>
      <c r="D5908" s="68"/>
      <c r="E5908" s="10"/>
      <c r="F5908" s="69"/>
      <c r="G5908" s="68"/>
      <c r="H5908" s="70"/>
      <c r="BA5908" s="4"/>
      <c r="BB5908" s="4"/>
    </row>
    <row r="5909" spans="1:54" x14ac:dyDescent="0.3">
      <c r="A5909" s="66"/>
      <c r="B5909" s="67"/>
      <c r="C5909" s="66"/>
      <c r="D5909" s="68"/>
      <c r="E5909" s="10"/>
      <c r="F5909" s="69"/>
      <c r="G5909" s="68"/>
      <c r="H5909" s="70"/>
      <c r="BA5909" s="4"/>
      <c r="BB5909" s="4"/>
    </row>
    <row r="5910" spans="1:54" x14ac:dyDescent="0.3">
      <c r="A5910" s="66"/>
      <c r="B5910" s="67"/>
      <c r="C5910" s="66"/>
      <c r="D5910" s="68"/>
      <c r="E5910" s="10"/>
      <c r="F5910" s="69"/>
      <c r="G5910" s="68"/>
      <c r="H5910" s="70"/>
      <c r="BA5910" s="4"/>
      <c r="BB5910" s="4"/>
    </row>
    <row r="5911" spans="1:54" x14ac:dyDescent="0.3">
      <c r="A5911" s="66"/>
      <c r="B5911" s="67"/>
      <c r="C5911" s="66"/>
      <c r="D5911" s="68"/>
      <c r="E5911" s="10"/>
      <c r="F5911" s="69"/>
      <c r="G5911" s="68"/>
      <c r="H5911" s="70"/>
      <c r="BA5911" s="4"/>
      <c r="BB5911" s="4"/>
    </row>
    <row r="5912" spans="1:54" x14ac:dyDescent="0.3">
      <c r="A5912" s="66"/>
      <c r="B5912" s="67"/>
      <c r="C5912" s="66"/>
      <c r="D5912" s="68"/>
      <c r="E5912" s="10"/>
      <c r="F5912" s="69"/>
      <c r="G5912" s="68"/>
      <c r="H5912" s="70"/>
      <c r="BA5912" s="4"/>
      <c r="BB5912" s="4"/>
    </row>
    <row r="5913" spans="1:54" x14ac:dyDescent="0.3">
      <c r="A5913" s="66"/>
      <c r="B5913" s="67"/>
      <c r="C5913" s="66"/>
      <c r="D5913" s="68"/>
      <c r="E5913" s="10"/>
      <c r="F5913" s="69"/>
      <c r="G5913" s="68"/>
      <c r="H5913" s="70"/>
      <c r="BA5913" s="4"/>
      <c r="BB5913" s="4"/>
    </row>
    <row r="5914" spans="1:54" x14ac:dyDescent="0.3">
      <c r="A5914" s="66"/>
      <c r="B5914" s="67"/>
      <c r="C5914" s="66"/>
      <c r="D5914" s="68"/>
      <c r="E5914" s="10"/>
      <c r="F5914" s="69"/>
      <c r="G5914" s="68"/>
      <c r="H5914" s="70"/>
      <c r="BA5914" s="4"/>
      <c r="BB5914" s="4"/>
    </row>
    <row r="5915" spans="1:54" x14ac:dyDescent="0.3">
      <c r="A5915" s="66"/>
      <c r="B5915" s="67"/>
      <c r="C5915" s="66"/>
      <c r="D5915" s="68"/>
      <c r="E5915" s="10"/>
      <c r="F5915" s="69"/>
      <c r="G5915" s="68"/>
      <c r="H5915" s="70"/>
      <c r="BA5915" s="4"/>
      <c r="BB5915" s="4"/>
    </row>
    <row r="5916" spans="1:54" x14ac:dyDescent="0.3">
      <c r="A5916" s="66"/>
      <c r="B5916" s="67"/>
      <c r="C5916" s="66"/>
      <c r="D5916" s="68"/>
      <c r="E5916" s="10"/>
      <c r="F5916" s="69"/>
      <c r="G5916" s="68"/>
      <c r="H5916" s="70"/>
      <c r="BA5916" s="4"/>
      <c r="BB5916" s="4"/>
    </row>
    <row r="5917" spans="1:54" x14ac:dyDescent="0.3">
      <c r="A5917" s="66"/>
      <c r="B5917" s="67"/>
      <c r="C5917" s="66"/>
      <c r="D5917" s="68"/>
      <c r="E5917" s="10"/>
      <c r="F5917" s="69"/>
      <c r="G5917" s="68"/>
      <c r="H5917" s="70"/>
      <c r="BA5917" s="4"/>
      <c r="BB5917" s="4"/>
    </row>
    <row r="5918" spans="1:54" x14ac:dyDescent="0.3">
      <c r="A5918" s="66"/>
      <c r="B5918" s="67"/>
      <c r="C5918" s="66"/>
      <c r="D5918" s="68"/>
      <c r="E5918" s="10"/>
      <c r="F5918" s="69"/>
      <c r="G5918" s="68"/>
      <c r="H5918" s="70"/>
      <c r="BA5918" s="4"/>
      <c r="BB5918" s="4"/>
    </row>
    <row r="5919" spans="1:54" x14ac:dyDescent="0.3">
      <c r="A5919" s="66"/>
      <c r="B5919" s="67"/>
      <c r="C5919" s="66"/>
      <c r="D5919" s="68"/>
      <c r="E5919" s="10"/>
      <c r="F5919" s="69"/>
      <c r="G5919" s="68"/>
      <c r="H5919" s="70"/>
      <c r="BA5919" s="4"/>
      <c r="BB5919" s="4"/>
    </row>
    <row r="5920" spans="1:54" x14ac:dyDescent="0.3">
      <c r="A5920" s="66"/>
      <c r="B5920" s="67"/>
      <c r="C5920" s="66"/>
      <c r="D5920" s="68"/>
      <c r="E5920" s="10"/>
      <c r="F5920" s="69"/>
      <c r="G5920" s="68"/>
      <c r="H5920" s="70"/>
      <c r="BA5920" s="4"/>
      <c r="BB5920" s="4"/>
    </row>
    <row r="5921" spans="1:54" x14ac:dyDescent="0.3">
      <c r="A5921" s="66"/>
      <c r="B5921" s="67"/>
      <c r="C5921" s="66"/>
      <c r="D5921" s="68"/>
      <c r="E5921" s="10"/>
      <c r="F5921" s="69"/>
      <c r="G5921" s="68"/>
      <c r="H5921" s="70"/>
      <c r="BA5921" s="4"/>
      <c r="BB5921" s="4"/>
    </row>
    <row r="5922" spans="1:54" x14ac:dyDescent="0.3">
      <c r="A5922" s="66"/>
      <c r="B5922" s="67"/>
      <c r="C5922" s="66"/>
      <c r="D5922" s="68"/>
      <c r="E5922" s="10"/>
      <c r="F5922" s="69"/>
      <c r="G5922" s="68"/>
      <c r="H5922" s="70"/>
      <c r="BA5922" s="4"/>
      <c r="BB5922" s="4"/>
    </row>
    <row r="5923" spans="1:54" x14ac:dyDescent="0.3">
      <c r="A5923" s="66"/>
      <c r="B5923" s="67"/>
      <c r="C5923" s="66"/>
      <c r="D5923" s="68"/>
      <c r="E5923" s="10"/>
      <c r="F5923" s="69"/>
      <c r="G5923" s="68"/>
      <c r="H5923" s="70"/>
      <c r="BA5923" s="4"/>
      <c r="BB5923" s="4"/>
    </row>
    <row r="5924" spans="1:54" x14ac:dyDescent="0.3">
      <c r="A5924" s="66"/>
      <c r="B5924" s="67"/>
      <c r="C5924" s="66"/>
      <c r="D5924" s="68"/>
      <c r="E5924" s="10"/>
      <c r="F5924" s="69"/>
      <c r="G5924" s="68"/>
      <c r="H5924" s="70"/>
      <c r="BA5924" s="4"/>
      <c r="BB5924" s="4"/>
    </row>
    <row r="5925" spans="1:54" x14ac:dyDescent="0.3">
      <c r="A5925" s="66"/>
      <c r="B5925" s="67"/>
      <c r="C5925" s="66"/>
      <c r="D5925" s="68"/>
      <c r="E5925" s="10"/>
      <c r="F5925" s="69"/>
      <c r="G5925" s="68"/>
      <c r="H5925" s="70"/>
      <c r="BA5925" s="4"/>
      <c r="BB5925" s="4"/>
    </row>
    <row r="5926" spans="1:54" x14ac:dyDescent="0.3">
      <c r="A5926" s="66"/>
      <c r="B5926" s="67"/>
      <c r="C5926" s="66"/>
      <c r="D5926" s="68"/>
      <c r="E5926" s="10"/>
      <c r="F5926" s="69"/>
      <c r="G5926" s="68"/>
      <c r="H5926" s="70"/>
      <c r="BA5926" s="4"/>
      <c r="BB5926" s="4"/>
    </row>
    <row r="5927" spans="1:54" x14ac:dyDescent="0.3">
      <c r="A5927" s="66"/>
      <c r="B5927" s="67"/>
      <c r="C5927" s="66"/>
      <c r="D5927" s="68"/>
      <c r="E5927" s="10"/>
      <c r="F5927" s="69"/>
      <c r="G5927" s="68"/>
      <c r="H5927" s="70"/>
      <c r="BA5927" s="4"/>
      <c r="BB5927" s="4"/>
    </row>
    <row r="5928" spans="1:54" x14ac:dyDescent="0.3">
      <c r="A5928" s="66"/>
      <c r="B5928" s="67"/>
      <c r="C5928" s="66"/>
      <c r="D5928" s="68"/>
      <c r="E5928" s="10"/>
      <c r="F5928" s="69"/>
      <c r="G5928" s="68"/>
      <c r="H5928" s="70"/>
      <c r="BA5928" s="4"/>
      <c r="BB5928" s="4"/>
    </row>
    <row r="5929" spans="1:54" x14ac:dyDescent="0.3">
      <c r="A5929" s="66"/>
      <c r="B5929" s="67"/>
      <c r="C5929" s="66"/>
      <c r="D5929" s="68"/>
      <c r="E5929" s="10"/>
      <c r="F5929" s="69"/>
      <c r="G5929" s="68"/>
      <c r="H5929" s="70"/>
      <c r="BA5929" s="4"/>
      <c r="BB5929" s="4"/>
    </row>
    <row r="5930" spans="1:54" x14ac:dyDescent="0.3">
      <c r="A5930" s="66"/>
      <c r="B5930" s="67"/>
      <c r="C5930" s="66"/>
      <c r="D5930" s="68"/>
      <c r="E5930" s="10"/>
      <c r="F5930" s="69"/>
      <c r="G5930" s="68"/>
      <c r="H5930" s="70"/>
      <c r="BA5930" s="4"/>
      <c r="BB5930" s="4"/>
    </row>
    <row r="5931" spans="1:54" x14ac:dyDescent="0.3">
      <c r="A5931" s="66"/>
      <c r="B5931" s="67"/>
      <c r="C5931" s="66"/>
      <c r="D5931" s="68"/>
      <c r="E5931" s="10"/>
      <c r="F5931" s="69"/>
      <c r="G5931" s="68"/>
      <c r="H5931" s="70"/>
      <c r="BA5931" s="4"/>
      <c r="BB5931" s="4"/>
    </row>
    <row r="5932" spans="1:54" x14ac:dyDescent="0.3">
      <c r="A5932" s="66"/>
      <c r="B5932" s="67"/>
      <c r="C5932" s="66"/>
      <c r="D5932" s="68"/>
      <c r="E5932" s="10"/>
      <c r="F5932" s="69"/>
      <c r="G5932" s="68"/>
      <c r="H5932" s="70"/>
      <c r="BA5932" s="4"/>
      <c r="BB5932" s="4"/>
    </row>
    <row r="5933" spans="1:54" x14ac:dyDescent="0.3">
      <c r="A5933" s="66"/>
      <c r="B5933" s="67"/>
      <c r="C5933" s="66"/>
      <c r="D5933" s="68"/>
      <c r="E5933" s="10"/>
      <c r="F5933" s="69"/>
      <c r="G5933" s="68"/>
      <c r="H5933" s="70"/>
      <c r="BA5933" s="4"/>
      <c r="BB5933" s="4"/>
    </row>
    <row r="5934" spans="1:54" x14ac:dyDescent="0.3">
      <c r="A5934" s="66"/>
      <c r="B5934" s="67"/>
      <c r="C5934" s="66"/>
      <c r="D5934" s="68"/>
      <c r="E5934" s="10"/>
      <c r="F5934" s="69"/>
      <c r="G5934" s="68"/>
      <c r="H5934" s="70"/>
      <c r="BA5934" s="4"/>
      <c r="BB5934" s="4"/>
    </row>
    <row r="5935" spans="1:54" x14ac:dyDescent="0.3">
      <c r="A5935" s="66"/>
      <c r="B5935" s="67"/>
      <c r="C5935" s="66"/>
      <c r="D5935" s="68"/>
      <c r="E5935" s="10"/>
      <c r="F5935" s="69"/>
      <c r="G5935" s="68"/>
      <c r="H5935" s="70"/>
      <c r="BA5935" s="4"/>
      <c r="BB5935" s="4"/>
    </row>
    <row r="5936" spans="1:54" x14ac:dyDescent="0.3">
      <c r="A5936" s="66"/>
      <c r="B5936" s="67"/>
      <c r="C5936" s="66"/>
      <c r="D5936" s="68"/>
      <c r="E5936" s="10"/>
      <c r="F5936" s="69"/>
      <c r="G5936" s="68"/>
      <c r="H5936" s="70"/>
      <c r="BA5936" s="4"/>
      <c r="BB5936" s="4"/>
    </row>
    <row r="5937" spans="1:54" x14ac:dyDescent="0.3">
      <c r="A5937" s="66"/>
      <c r="B5937" s="67"/>
      <c r="C5937" s="66"/>
      <c r="D5937" s="68"/>
      <c r="E5937" s="10"/>
      <c r="F5937" s="69"/>
      <c r="G5937" s="68"/>
      <c r="H5937" s="70"/>
      <c r="BA5937" s="4"/>
      <c r="BB5937" s="4"/>
    </row>
    <row r="5938" spans="1:54" x14ac:dyDescent="0.3">
      <c r="A5938" s="66"/>
      <c r="B5938" s="67"/>
      <c r="C5938" s="66"/>
      <c r="D5938" s="68"/>
      <c r="E5938" s="10"/>
      <c r="F5938" s="69"/>
      <c r="G5938" s="68"/>
      <c r="H5938" s="70"/>
      <c r="BA5938" s="4"/>
      <c r="BB5938" s="4"/>
    </row>
    <row r="5939" spans="1:54" x14ac:dyDescent="0.3">
      <c r="A5939" s="66"/>
      <c r="B5939" s="67"/>
      <c r="C5939" s="66"/>
      <c r="D5939" s="68"/>
      <c r="E5939" s="10"/>
      <c r="F5939" s="69"/>
      <c r="G5939" s="68"/>
      <c r="H5939" s="70"/>
      <c r="BA5939" s="4"/>
      <c r="BB5939" s="4"/>
    </row>
    <row r="5940" spans="1:54" x14ac:dyDescent="0.3">
      <c r="A5940" s="66"/>
      <c r="B5940" s="67"/>
      <c r="C5940" s="66"/>
      <c r="D5940" s="68"/>
      <c r="E5940" s="10"/>
      <c r="F5940" s="69"/>
      <c r="G5940" s="68"/>
      <c r="H5940" s="70"/>
      <c r="BA5940" s="4"/>
      <c r="BB5940" s="4"/>
    </row>
    <row r="5941" spans="1:54" x14ac:dyDescent="0.3">
      <c r="A5941" s="66"/>
      <c r="B5941" s="67"/>
      <c r="C5941" s="66"/>
      <c r="D5941" s="68"/>
      <c r="E5941" s="10"/>
      <c r="F5941" s="69"/>
      <c r="G5941" s="68"/>
      <c r="H5941" s="70"/>
      <c r="BA5941" s="4"/>
      <c r="BB5941" s="4"/>
    </row>
    <row r="5942" spans="1:54" x14ac:dyDescent="0.3">
      <c r="A5942" s="66"/>
      <c r="B5942" s="67"/>
      <c r="C5942" s="66"/>
      <c r="D5942" s="68"/>
      <c r="E5942" s="10"/>
      <c r="F5942" s="69"/>
      <c r="G5942" s="68"/>
      <c r="H5942" s="70"/>
      <c r="BA5942" s="4"/>
      <c r="BB5942" s="4"/>
    </row>
    <row r="5943" spans="1:54" x14ac:dyDescent="0.3">
      <c r="A5943" s="66"/>
      <c r="B5943" s="67"/>
      <c r="C5943" s="66"/>
      <c r="D5943" s="68"/>
      <c r="E5943" s="10"/>
      <c r="F5943" s="69"/>
      <c r="G5943" s="68"/>
      <c r="H5943" s="70"/>
      <c r="BA5943" s="4"/>
      <c r="BB5943" s="4"/>
    </row>
    <row r="5944" spans="1:54" x14ac:dyDescent="0.3">
      <c r="A5944" s="66"/>
      <c r="B5944" s="67"/>
      <c r="C5944" s="66"/>
      <c r="D5944" s="68"/>
      <c r="E5944" s="10"/>
      <c r="F5944" s="69"/>
      <c r="G5944" s="68"/>
      <c r="H5944" s="70"/>
      <c r="BA5944" s="4"/>
      <c r="BB5944" s="4"/>
    </row>
    <row r="5945" spans="1:54" x14ac:dyDescent="0.3">
      <c r="A5945" s="66"/>
      <c r="B5945" s="67"/>
      <c r="C5945" s="66"/>
      <c r="D5945" s="68"/>
      <c r="E5945" s="10"/>
      <c r="F5945" s="69"/>
      <c r="G5945" s="68"/>
      <c r="H5945" s="70"/>
      <c r="BA5945" s="4"/>
      <c r="BB5945" s="4"/>
    </row>
    <row r="5946" spans="1:54" x14ac:dyDescent="0.3">
      <c r="A5946" s="66"/>
      <c r="B5946" s="67"/>
      <c r="C5946" s="66"/>
      <c r="D5946" s="68"/>
      <c r="E5946" s="10"/>
      <c r="F5946" s="69"/>
      <c r="G5946" s="68"/>
      <c r="H5946" s="70"/>
      <c r="BA5946" s="4"/>
      <c r="BB5946" s="4"/>
    </row>
    <row r="5947" spans="1:54" x14ac:dyDescent="0.3">
      <c r="A5947" s="66"/>
      <c r="B5947" s="67"/>
      <c r="C5947" s="66"/>
      <c r="D5947" s="68"/>
      <c r="E5947" s="10"/>
      <c r="F5947" s="69"/>
      <c r="G5947" s="68"/>
      <c r="H5947" s="70"/>
      <c r="BA5947" s="4"/>
      <c r="BB5947" s="4"/>
    </row>
    <row r="5948" spans="1:54" x14ac:dyDescent="0.3">
      <c r="A5948" s="66"/>
      <c r="B5948" s="67"/>
      <c r="C5948" s="66"/>
      <c r="D5948" s="68"/>
      <c r="E5948" s="10"/>
      <c r="F5948" s="69"/>
      <c r="G5948" s="68"/>
      <c r="H5948" s="70"/>
      <c r="BA5948" s="4"/>
      <c r="BB5948" s="4"/>
    </row>
    <row r="5949" spans="1:54" x14ac:dyDescent="0.3">
      <c r="A5949" s="66"/>
      <c r="B5949" s="67"/>
      <c r="C5949" s="66"/>
      <c r="D5949" s="68"/>
      <c r="E5949" s="10"/>
      <c r="F5949" s="69"/>
      <c r="G5949" s="68"/>
      <c r="H5949" s="70"/>
      <c r="BA5949" s="4"/>
      <c r="BB5949" s="4"/>
    </row>
    <row r="5950" spans="1:54" x14ac:dyDescent="0.3">
      <c r="A5950" s="66"/>
      <c r="B5950" s="67"/>
      <c r="C5950" s="66"/>
      <c r="D5950" s="68"/>
      <c r="E5950" s="10"/>
      <c r="F5950" s="69"/>
      <c r="G5950" s="68"/>
      <c r="H5950" s="70"/>
      <c r="BA5950" s="4"/>
      <c r="BB5950" s="4"/>
    </row>
    <row r="5951" spans="1:54" x14ac:dyDescent="0.3">
      <c r="A5951" s="66"/>
      <c r="B5951" s="67"/>
      <c r="C5951" s="66"/>
      <c r="D5951" s="68"/>
      <c r="E5951" s="10"/>
      <c r="F5951" s="69"/>
      <c r="G5951" s="68"/>
      <c r="H5951" s="70"/>
      <c r="BA5951" s="4"/>
      <c r="BB5951" s="4"/>
    </row>
    <row r="5952" spans="1:54" x14ac:dyDescent="0.3">
      <c r="A5952" s="66"/>
      <c r="B5952" s="67"/>
      <c r="C5952" s="66"/>
      <c r="D5952" s="68"/>
      <c r="E5952" s="10"/>
      <c r="F5952" s="69"/>
      <c r="G5952" s="68"/>
      <c r="H5952" s="70"/>
      <c r="BA5952" s="4"/>
      <c r="BB5952" s="4"/>
    </row>
    <row r="5953" spans="1:54" x14ac:dyDescent="0.3">
      <c r="A5953" s="66"/>
      <c r="B5953" s="67"/>
      <c r="C5953" s="66"/>
      <c r="D5953" s="68"/>
      <c r="E5953" s="10"/>
      <c r="F5953" s="69"/>
      <c r="G5953" s="68"/>
      <c r="H5953" s="70"/>
      <c r="BA5953" s="4"/>
      <c r="BB5953" s="4"/>
    </row>
    <row r="5954" spans="1:54" x14ac:dyDescent="0.3">
      <c r="A5954" s="66"/>
      <c r="B5954" s="67"/>
      <c r="C5954" s="66"/>
      <c r="D5954" s="68"/>
      <c r="E5954" s="10"/>
      <c r="F5954" s="69"/>
      <c r="G5954" s="68"/>
      <c r="H5954" s="70"/>
      <c r="BA5954" s="4"/>
      <c r="BB5954" s="4"/>
    </row>
    <row r="5955" spans="1:54" x14ac:dyDescent="0.3">
      <c r="A5955" s="66"/>
      <c r="B5955" s="67"/>
      <c r="C5955" s="66"/>
      <c r="D5955" s="68"/>
      <c r="E5955" s="10"/>
      <c r="F5955" s="69"/>
      <c r="G5955" s="68"/>
      <c r="H5955" s="70"/>
      <c r="BA5955" s="4"/>
      <c r="BB5955" s="4"/>
    </row>
    <row r="5956" spans="1:54" x14ac:dyDescent="0.3">
      <c r="A5956" s="66"/>
      <c r="B5956" s="67"/>
      <c r="C5956" s="66"/>
      <c r="D5956" s="68"/>
      <c r="E5956" s="10"/>
      <c r="F5956" s="69"/>
      <c r="G5956" s="68"/>
      <c r="H5956" s="70"/>
      <c r="BA5956" s="4"/>
      <c r="BB5956" s="4"/>
    </row>
    <row r="5957" spans="1:54" x14ac:dyDescent="0.3">
      <c r="A5957" s="66"/>
      <c r="B5957" s="67"/>
      <c r="C5957" s="66"/>
      <c r="D5957" s="68"/>
      <c r="E5957" s="10"/>
      <c r="F5957" s="69"/>
      <c r="G5957" s="68"/>
      <c r="H5957" s="70"/>
      <c r="BA5957" s="4"/>
      <c r="BB5957" s="4"/>
    </row>
    <row r="5958" spans="1:54" x14ac:dyDescent="0.3">
      <c r="A5958" s="66"/>
      <c r="B5958" s="67"/>
      <c r="C5958" s="66"/>
      <c r="D5958" s="68"/>
      <c r="E5958" s="10"/>
      <c r="F5958" s="69"/>
      <c r="G5958" s="68"/>
      <c r="H5958" s="70"/>
      <c r="BA5958" s="4"/>
      <c r="BB5958" s="4"/>
    </row>
    <row r="5959" spans="1:54" x14ac:dyDescent="0.3">
      <c r="A5959" s="66"/>
      <c r="B5959" s="67"/>
      <c r="C5959" s="66"/>
      <c r="D5959" s="68"/>
      <c r="E5959" s="10"/>
      <c r="F5959" s="69"/>
      <c r="G5959" s="68"/>
      <c r="H5959" s="70"/>
      <c r="BA5959" s="4"/>
      <c r="BB5959" s="4"/>
    </row>
    <row r="5960" spans="1:54" x14ac:dyDescent="0.3">
      <c r="A5960" s="66"/>
      <c r="B5960" s="67"/>
      <c r="C5960" s="66"/>
      <c r="D5960" s="68"/>
      <c r="E5960" s="10"/>
      <c r="F5960" s="69"/>
      <c r="G5960" s="68"/>
      <c r="H5960" s="70"/>
      <c r="BA5960" s="4"/>
      <c r="BB5960" s="4"/>
    </row>
    <row r="5961" spans="1:54" x14ac:dyDescent="0.3">
      <c r="A5961" s="66"/>
      <c r="B5961" s="67"/>
      <c r="C5961" s="66"/>
      <c r="D5961" s="68"/>
      <c r="E5961" s="10"/>
      <c r="F5961" s="69"/>
      <c r="G5961" s="68"/>
      <c r="H5961" s="70"/>
      <c r="BA5961" s="4"/>
      <c r="BB5961" s="4"/>
    </row>
    <row r="5962" spans="1:54" x14ac:dyDescent="0.3">
      <c r="A5962" s="66"/>
      <c r="B5962" s="67"/>
      <c r="C5962" s="66"/>
      <c r="D5962" s="68"/>
      <c r="E5962" s="10"/>
      <c r="F5962" s="69"/>
      <c r="G5962" s="68"/>
      <c r="H5962" s="70"/>
      <c r="BA5962" s="4"/>
      <c r="BB5962" s="4"/>
    </row>
    <row r="5963" spans="1:54" x14ac:dyDescent="0.3">
      <c r="A5963" s="66"/>
      <c r="B5963" s="67"/>
      <c r="C5963" s="66"/>
      <c r="D5963" s="68"/>
      <c r="E5963" s="10"/>
      <c r="F5963" s="69"/>
      <c r="G5963" s="68"/>
      <c r="H5963" s="70"/>
      <c r="BA5963" s="4"/>
      <c r="BB5963" s="4"/>
    </row>
    <row r="5964" spans="1:54" x14ac:dyDescent="0.3">
      <c r="A5964" s="66"/>
      <c r="B5964" s="67"/>
      <c r="C5964" s="66"/>
      <c r="D5964" s="68"/>
      <c r="E5964" s="10"/>
      <c r="F5964" s="69"/>
      <c r="G5964" s="68"/>
      <c r="H5964" s="70"/>
      <c r="BA5964" s="4"/>
      <c r="BB5964" s="4"/>
    </row>
    <row r="5965" spans="1:54" x14ac:dyDescent="0.3">
      <c r="A5965" s="66"/>
      <c r="B5965" s="67"/>
      <c r="C5965" s="66"/>
      <c r="D5965" s="68"/>
      <c r="E5965" s="10"/>
      <c r="F5965" s="69"/>
      <c r="G5965" s="68"/>
      <c r="H5965" s="70"/>
      <c r="BA5965" s="4"/>
      <c r="BB5965" s="4"/>
    </row>
    <row r="5966" spans="1:54" x14ac:dyDescent="0.3">
      <c r="A5966" s="66"/>
      <c r="B5966" s="67"/>
      <c r="C5966" s="66"/>
      <c r="D5966" s="68"/>
      <c r="E5966" s="10"/>
      <c r="F5966" s="69"/>
      <c r="G5966" s="68"/>
      <c r="H5966" s="70"/>
      <c r="BA5966" s="4"/>
      <c r="BB5966" s="4"/>
    </row>
    <row r="5967" spans="1:54" x14ac:dyDescent="0.3">
      <c r="A5967" s="66"/>
      <c r="B5967" s="67"/>
      <c r="C5967" s="66"/>
      <c r="D5967" s="68"/>
      <c r="E5967" s="10"/>
      <c r="F5967" s="69"/>
      <c r="G5967" s="68"/>
      <c r="H5967" s="70"/>
      <c r="BA5967" s="4"/>
      <c r="BB5967" s="4"/>
    </row>
    <row r="5968" spans="1:54" x14ac:dyDescent="0.3">
      <c r="A5968" s="66"/>
      <c r="B5968" s="67"/>
      <c r="C5968" s="66"/>
      <c r="D5968" s="68"/>
      <c r="E5968" s="10"/>
      <c r="F5968" s="69"/>
      <c r="G5968" s="68"/>
      <c r="H5968" s="70"/>
      <c r="BA5968" s="4"/>
      <c r="BB5968" s="4"/>
    </row>
    <row r="5969" spans="1:54" x14ac:dyDescent="0.3">
      <c r="A5969" s="66"/>
      <c r="B5969" s="67"/>
      <c r="C5969" s="66"/>
      <c r="D5969" s="68"/>
      <c r="E5969" s="10"/>
      <c r="F5969" s="69"/>
      <c r="G5969" s="68"/>
      <c r="H5969" s="70"/>
      <c r="BA5969" s="4"/>
      <c r="BB5969" s="4"/>
    </row>
    <row r="5970" spans="1:54" x14ac:dyDescent="0.3">
      <c r="A5970" s="66"/>
      <c r="B5970" s="67"/>
      <c r="C5970" s="66"/>
      <c r="D5970" s="68"/>
      <c r="E5970" s="10"/>
      <c r="F5970" s="69"/>
      <c r="G5970" s="68"/>
      <c r="H5970" s="70"/>
      <c r="BA5970" s="4"/>
      <c r="BB5970" s="4"/>
    </row>
    <row r="5971" spans="1:54" x14ac:dyDescent="0.3">
      <c r="A5971" s="66"/>
      <c r="B5971" s="67"/>
      <c r="C5971" s="66"/>
      <c r="D5971" s="68"/>
      <c r="E5971" s="10"/>
      <c r="F5971" s="69"/>
      <c r="G5971" s="68"/>
      <c r="H5971" s="70"/>
      <c r="BA5971" s="4"/>
      <c r="BB5971" s="4"/>
    </row>
    <row r="5972" spans="1:54" x14ac:dyDescent="0.3">
      <c r="A5972" s="66"/>
      <c r="B5972" s="67"/>
      <c r="C5972" s="66"/>
      <c r="D5972" s="68"/>
      <c r="E5972" s="10"/>
      <c r="F5972" s="69"/>
      <c r="G5972" s="68"/>
      <c r="H5972" s="70"/>
      <c r="BA5972" s="4"/>
      <c r="BB5972" s="4"/>
    </row>
    <row r="5973" spans="1:54" x14ac:dyDescent="0.3">
      <c r="A5973" s="66"/>
      <c r="B5973" s="67"/>
      <c r="C5973" s="66"/>
      <c r="D5973" s="68"/>
      <c r="E5973" s="10"/>
      <c r="F5973" s="69"/>
      <c r="G5973" s="68"/>
      <c r="H5973" s="70"/>
      <c r="BA5973" s="4"/>
      <c r="BB5973" s="4"/>
    </row>
    <row r="5974" spans="1:54" x14ac:dyDescent="0.3">
      <c r="A5974" s="66"/>
      <c r="B5974" s="67"/>
      <c r="C5974" s="66"/>
      <c r="D5974" s="68"/>
      <c r="E5974" s="10"/>
      <c r="F5974" s="69"/>
      <c r="G5974" s="68"/>
      <c r="H5974" s="70"/>
      <c r="BA5974" s="4"/>
      <c r="BB5974" s="4"/>
    </row>
    <row r="5975" spans="1:54" x14ac:dyDescent="0.3">
      <c r="A5975" s="66"/>
      <c r="B5975" s="67"/>
      <c r="C5975" s="66"/>
      <c r="D5975" s="68"/>
      <c r="E5975" s="10"/>
      <c r="F5975" s="69"/>
      <c r="G5975" s="68"/>
      <c r="H5975" s="70"/>
      <c r="BA5975" s="4"/>
      <c r="BB5975" s="4"/>
    </row>
    <row r="5976" spans="1:54" x14ac:dyDescent="0.3">
      <c r="A5976" s="66"/>
      <c r="B5976" s="67"/>
      <c r="C5976" s="66"/>
      <c r="D5976" s="68"/>
      <c r="E5976" s="10"/>
      <c r="F5976" s="69"/>
      <c r="G5976" s="68"/>
      <c r="H5976" s="70"/>
      <c r="BA5976" s="4"/>
      <c r="BB5976" s="4"/>
    </row>
    <row r="5977" spans="1:54" x14ac:dyDescent="0.3">
      <c r="A5977" s="66"/>
      <c r="B5977" s="67"/>
      <c r="C5977" s="66"/>
      <c r="D5977" s="68"/>
      <c r="E5977" s="10"/>
      <c r="F5977" s="69"/>
      <c r="G5977" s="68"/>
      <c r="H5977" s="70"/>
      <c r="BA5977" s="4"/>
      <c r="BB5977" s="4"/>
    </row>
    <row r="5978" spans="1:54" x14ac:dyDescent="0.3">
      <c r="A5978" s="66"/>
      <c r="B5978" s="67"/>
      <c r="C5978" s="66"/>
      <c r="D5978" s="68"/>
      <c r="E5978" s="10"/>
      <c r="F5978" s="69"/>
      <c r="G5978" s="68"/>
      <c r="H5978" s="70"/>
      <c r="BA5978" s="4"/>
      <c r="BB5978" s="4"/>
    </row>
    <row r="5979" spans="1:54" x14ac:dyDescent="0.3">
      <c r="A5979" s="66"/>
      <c r="B5979" s="67"/>
      <c r="C5979" s="66"/>
      <c r="D5979" s="68"/>
      <c r="E5979" s="10"/>
      <c r="F5979" s="69"/>
      <c r="G5979" s="68"/>
      <c r="H5979" s="70"/>
      <c r="BA5979" s="4"/>
      <c r="BB5979" s="4"/>
    </row>
    <row r="5980" spans="1:54" x14ac:dyDescent="0.3">
      <c r="A5980" s="66"/>
      <c r="B5980" s="67"/>
      <c r="C5980" s="66"/>
      <c r="D5980" s="68"/>
      <c r="E5980" s="10"/>
      <c r="F5980" s="69"/>
      <c r="G5980" s="68"/>
      <c r="H5980" s="70"/>
      <c r="BA5980" s="4"/>
      <c r="BB5980" s="4"/>
    </row>
    <row r="5981" spans="1:54" x14ac:dyDescent="0.3">
      <c r="A5981" s="66"/>
      <c r="B5981" s="67"/>
      <c r="C5981" s="66"/>
      <c r="D5981" s="68"/>
      <c r="E5981" s="10"/>
      <c r="F5981" s="69"/>
      <c r="G5981" s="68"/>
      <c r="H5981" s="70"/>
      <c r="BA5981" s="4"/>
      <c r="BB5981" s="4"/>
    </row>
    <row r="5982" spans="1:54" x14ac:dyDescent="0.3">
      <c r="A5982" s="66"/>
      <c r="B5982" s="67"/>
      <c r="C5982" s="66"/>
      <c r="D5982" s="68"/>
      <c r="E5982" s="10"/>
      <c r="F5982" s="69"/>
      <c r="G5982" s="68"/>
      <c r="H5982" s="70"/>
      <c r="BA5982" s="4"/>
      <c r="BB5982" s="4"/>
    </row>
    <row r="5983" spans="1:54" x14ac:dyDescent="0.3">
      <c r="A5983" s="66"/>
      <c r="B5983" s="67"/>
      <c r="C5983" s="66"/>
      <c r="D5983" s="68"/>
      <c r="E5983" s="10"/>
      <c r="F5983" s="69"/>
      <c r="G5983" s="68"/>
      <c r="H5983" s="70"/>
      <c r="BA5983" s="4"/>
      <c r="BB5983" s="4"/>
    </row>
    <row r="5984" spans="1:54" x14ac:dyDescent="0.3">
      <c r="A5984" s="66"/>
      <c r="B5984" s="67"/>
      <c r="C5984" s="66"/>
      <c r="D5984" s="68"/>
      <c r="E5984" s="10"/>
      <c r="F5984" s="69"/>
      <c r="G5984" s="68"/>
      <c r="H5984" s="70"/>
      <c r="BA5984" s="4"/>
      <c r="BB5984" s="4"/>
    </row>
    <row r="5985" spans="1:54" x14ac:dyDescent="0.3">
      <c r="A5985" s="66"/>
      <c r="B5985" s="67"/>
      <c r="C5985" s="66"/>
      <c r="D5985" s="68"/>
      <c r="E5985" s="10"/>
      <c r="F5985" s="69"/>
      <c r="G5985" s="68"/>
      <c r="H5985" s="70"/>
      <c r="BA5985" s="4"/>
      <c r="BB5985" s="4"/>
    </row>
    <row r="5986" spans="1:54" x14ac:dyDescent="0.3">
      <c r="A5986" s="66"/>
      <c r="B5986" s="67"/>
      <c r="C5986" s="66"/>
      <c r="D5986" s="68"/>
      <c r="E5986" s="10"/>
      <c r="F5986" s="69"/>
      <c r="G5986" s="68"/>
      <c r="H5986" s="70"/>
      <c r="BA5986" s="4"/>
      <c r="BB5986" s="4"/>
    </row>
    <row r="5987" spans="1:54" x14ac:dyDescent="0.3">
      <c r="A5987" s="66"/>
      <c r="B5987" s="67"/>
      <c r="C5987" s="66"/>
      <c r="D5987" s="68"/>
      <c r="E5987" s="10"/>
      <c r="F5987" s="69"/>
      <c r="G5987" s="68"/>
      <c r="H5987" s="70"/>
      <c r="BA5987" s="4"/>
      <c r="BB5987" s="4"/>
    </row>
    <row r="5988" spans="1:54" x14ac:dyDescent="0.3">
      <c r="A5988" s="66"/>
      <c r="B5988" s="67"/>
      <c r="C5988" s="66"/>
      <c r="D5988" s="68"/>
      <c r="E5988" s="10"/>
      <c r="F5988" s="69"/>
      <c r="G5988" s="68"/>
      <c r="H5988" s="70"/>
      <c r="BA5988" s="4"/>
      <c r="BB5988" s="4"/>
    </row>
    <row r="5989" spans="1:54" x14ac:dyDescent="0.3">
      <c r="A5989" s="66"/>
      <c r="B5989" s="67"/>
      <c r="C5989" s="66"/>
      <c r="D5989" s="68"/>
      <c r="E5989" s="10"/>
      <c r="F5989" s="69"/>
      <c r="G5989" s="68"/>
      <c r="H5989" s="70"/>
      <c r="BA5989" s="4"/>
      <c r="BB5989" s="4"/>
    </row>
    <row r="5990" spans="1:54" x14ac:dyDescent="0.3">
      <c r="A5990" s="66"/>
      <c r="B5990" s="67"/>
      <c r="C5990" s="66"/>
      <c r="D5990" s="68"/>
      <c r="E5990" s="10"/>
      <c r="F5990" s="69"/>
      <c r="G5990" s="68"/>
      <c r="H5990" s="70"/>
      <c r="BA5990" s="4"/>
      <c r="BB5990" s="4"/>
    </row>
    <row r="5991" spans="1:54" x14ac:dyDescent="0.3">
      <c r="A5991" s="66"/>
      <c r="B5991" s="67"/>
      <c r="C5991" s="66"/>
      <c r="D5991" s="68"/>
      <c r="E5991" s="10"/>
      <c r="F5991" s="69"/>
      <c r="G5991" s="68"/>
      <c r="H5991" s="70"/>
      <c r="BA5991" s="4"/>
      <c r="BB5991" s="4"/>
    </row>
    <row r="5992" spans="1:54" x14ac:dyDescent="0.3">
      <c r="A5992" s="66"/>
      <c r="B5992" s="67"/>
      <c r="C5992" s="66"/>
      <c r="D5992" s="68"/>
      <c r="E5992" s="10"/>
      <c r="F5992" s="69"/>
      <c r="G5992" s="68"/>
      <c r="H5992" s="70"/>
      <c r="BA5992" s="4"/>
      <c r="BB5992" s="4"/>
    </row>
    <row r="5993" spans="1:54" x14ac:dyDescent="0.3">
      <c r="A5993" s="66"/>
      <c r="B5993" s="67"/>
      <c r="C5993" s="66"/>
      <c r="D5993" s="68"/>
      <c r="E5993" s="10"/>
      <c r="F5993" s="69"/>
      <c r="G5993" s="68"/>
      <c r="H5993" s="70"/>
      <c r="BA5993" s="4"/>
      <c r="BB5993" s="4"/>
    </row>
    <row r="5994" spans="1:54" x14ac:dyDescent="0.3">
      <c r="A5994" s="66"/>
      <c r="B5994" s="67"/>
      <c r="C5994" s="66"/>
      <c r="D5994" s="68"/>
      <c r="E5994" s="10"/>
      <c r="F5994" s="69"/>
      <c r="G5994" s="68"/>
      <c r="H5994" s="70"/>
      <c r="BA5994" s="4"/>
      <c r="BB5994" s="4"/>
    </row>
    <row r="5995" spans="1:54" x14ac:dyDescent="0.3">
      <c r="A5995" s="66"/>
      <c r="B5995" s="67"/>
      <c r="C5995" s="66"/>
      <c r="D5995" s="68"/>
      <c r="E5995" s="10"/>
      <c r="F5995" s="69"/>
      <c r="G5995" s="68"/>
      <c r="H5995" s="70"/>
      <c r="BA5995" s="4"/>
      <c r="BB5995" s="4"/>
    </row>
    <row r="5996" spans="1:54" x14ac:dyDescent="0.3">
      <c r="A5996" s="66"/>
      <c r="B5996" s="67"/>
      <c r="C5996" s="66"/>
      <c r="D5996" s="68"/>
      <c r="E5996" s="10"/>
      <c r="F5996" s="69"/>
      <c r="G5996" s="68"/>
      <c r="H5996" s="70"/>
      <c r="BA5996" s="4"/>
      <c r="BB5996" s="4"/>
    </row>
    <row r="5997" spans="1:54" x14ac:dyDescent="0.3">
      <c r="A5997" s="66"/>
      <c r="B5997" s="67"/>
      <c r="C5997" s="66"/>
      <c r="D5997" s="68"/>
      <c r="E5997" s="10"/>
      <c r="F5997" s="69"/>
      <c r="G5997" s="68"/>
      <c r="H5997" s="70"/>
      <c r="BA5997" s="4"/>
      <c r="BB5997" s="4"/>
    </row>
    <row r="5998" spans="1:54" x14ac:dyDescent="0.3">
      <c r="A5998" s="66"/>
      <c r="B5998" s="67"/>
      <c r="C5998" s="66"/>
      <c r="D5998" s="68"/>
      <c r="E5998" s="10"/>
      <c r="F5998" s="69"/>
      <c r="G5998" s="68"/>
      <c r="H5998" s="70"/>
      <c r="BA5998" s="4"/>
      <c r="BB5998" s="4"/>
    </row>
    <row r="5999" spans="1:54" x14ac:dyDescent="0.3">
      <c r="A5999" s="66"/>
      <c r="B5999" s="67"/>
      <c r="C5999" s="66"/>
      <c r="D5999" s="68"/>
      <c r="E5999" s="10"/>
      <c r="F5999" s="69"/>
      <c r="G5999" s="68"/>
      <c r="H5999" s="70"/>
      <c r="BA5999" s="4"/>
      <c r="BB5999" s="4"/>
    </row>
    <row r="6000" spans="1:54" x14ac:dyDescent="0.3">
      <c r="A6000" s="66"/>
      <c r="B6000" s="67"/>
      <c r="C6000" s="66"/>
      <c r="D6000" s="68"/>
      <c r="E6000" s="10"/>
      <c r="F6000" s="69"/>
      <c r="G6000" s="68"/>
      <c r="H6000" s="70"/>
      <c r="BA6000" s="4"/>
      <c r="BB6000" s="4"/>
    </row>
    <row r="6001" spans="1:54" x14ac:dyDescent="0.3">
      <c r="A6001" s="66"/>
      <c r="B6001" s="67"/>
      <c r="C6001" s="66"/>
      <c r="D6001" s="68"/>
      <c r="E6001" s="10"/>
      <c r="F6001" s="69"/>
      <c r="G6001" s="68"/>
      <c r="H6001" s="70"/>
      <c r="BA6001" s="4"/>
      <c r="BB6001" s="4"/>
    </row>
    <row r="6002" spans="1:54" x14ac:dyDescent="0.3">
      <c r="A6002" s="66"/>
      <c r="B6002" s="67"/>
      <c r="C6002" s="66"/>
      <c r="D6002" s="68"/>
      <c r="E6002" s="10"/>
      <c r="F6002" s="69"/>
      <c r="G6002" s="68"/>
      <c r="H6002" s="70"/>
      <c r="BA6002" s="4"/>
      <c r="BB6002" s="4"/>
    </row>
    <row r="6003" spans="1:54" x14ac:dyDescent="0.3">
      <c r="A6003" s="66"/>
      <c r="B6003" s="67"/>
      <c r="C6003" s="66"/>
      <c r="D6003" s="68"/>
      <c r="E6003" s="10"/>
      <c r="F6003" s="69"/>
      <c r="G6003" s="68"/>
      <c r="H6003" s="70"/>
      <c r="BA6003" s="4"/>
      <c r="BB6003" s="4"/>
    </row>
    <row r="6004" spans="1:54" x14ac:dyDescent="0.3">
      <c r="A6004" s="66"/>
      <c r="B6004" s="67"/>
      <c r="C6004" s="66"/>
      <c r="D6004" s="68"/>
      <c r="E6004" s="10"/>
      <c r="F6004" s="69"/>
      <c r="G6004" s="68"/>
      <c r="H6004" s="70"/>
      <c r="BA6004" s="4"/>
      <c r="BB6004" s="4"/>
    </row>
    <row r="6005" spans="1:54" x14ac:dyDescent="0.3">
      <c r="A6005" s="66"/>
      <c r="B6005" s="67"/>
      <c r="C6005" s="66"/>
      <c r="D6005" s="68"/>
      <c r="E6005" s="10"/>
      <c r="F6005" s="69"/>
      <c r="G6005" s="68"/>
      <c r="H6005" s="70"/>
      <c r="BA6005" s="4"/>
      <c r="BB6005" s="4"/>
    </row>
    <row r="6006" spans="1:54" x14ac:dyDescent="0.3">
      <c r="A6006" s="66"/>
      <c r="B6006" s="67"/>
      <c r="C6006" s="66"/>
      <c r="D6006" s="68"/>
      <c r="E6006" s="10"/>
      <c r="F6006" s="69"/>
      <c r="G6006" s="68"/>
      <c r="H6006" s="70"/>
      <c r="BA6006" s="4"/>
      <c r="BB6006" s="4"/>
    </row>
    <row r="6007" spans="1:54" x14ac:dyDescent="0.3">
      <c r="A6007" s="66"/>
      <c r="B6007" s="67"/>
      <c r="C6007" s="66"/>
      <c r="D6007" s="68"/>
      <c r="E6007" s="10"/>
      <c r="F6007" s="69"/>
      <c r="G6007" s="68"/>
      <c r="H6007" s="70"/>
      <c r="BA6007" s="4"/>
      <c r="BB6007" s="4"/>
    </row>
    <row r="6008" spans="1:54" x14ac:dyDescent="0.3">
      <c r="A6008" s="66"/>
      <c r="B6008" s="67"/>
      <c r="C6008" s="66"/>
      <c r="D6008" s="68"/>
      <c r="E6008" s="10"/>
      <c r="F6008" s="69"/>
      <c r="G6008" s="68"/>
      <c r="H6008" s="70"/>
      <c r="BA6008" s="4"/>
      <c r="BB6008" s="4"/>
    </row>
    <row r="6009" spans="1:54" x14ac:dyDescent="0.3">
      <c r="A6009" s="66"/>
      <c r="B6009" s="67"/>
      <c r="C6009" s="66"/>
      <c r="D6009" s="68"/>
      <c r="E6009" s="10"/>
      <c r="F6009" s="69"/>
      <c r="G6009" s="68"/>
      <c r="H6009" s="70"/>
      <c r="BA6009" s="4"/>
      <c r="BB6009" s="4"/>
    </row>
    <row r="6010" spans="1:54" x14ac:dyDescent="0.3">
      <c r="A6010" s="66"/>
      <c r="B6010" s="67"/>
      <c r="C6010" s="66"/>
      <c r="D6010" s="68"/>
      <c r="E6010" s="10"/>
      <c r="F6010" s="69"/>
      <c r="G6010" s="68"/>
      <c r="H6010" s="70"/>
      <c r="BA6010" s="4"/>
      <c r="BB6010" s="4"/>
    </row>
    <row r="6011" spans="1:54" x14ac:dyDescent="0.3">
      <c r="A6011" s="66"/>
      <c r="B6011" s="67"/>
      <c r="C6011" s="66"/>
      <c r="D6011" s="68"/>
      <c r="E6011" s="10"/>
      <c r="F6011" s="69"/>
      <c r="G6011" s="68"/>
      <c r="H6011" s="70"/>
      <c r="BA6011" s="4"/>
      <c r="BB6011" s="4"/>
    </row>
    <row r="6012" spans="1:54" x14ac:dyDescent="0.3">
      <c r="A6012" s="66"/>
      <c r="B6012" s="67"/>
      <c r="C6012" s="66"/>
      <c r="D6012" s="68"/>
      <c r="E6012" s="10"/>
      <c r="F6012" s="69"/>
      <c r="G6012" s="68"/>
      <c r="H6012" s="70"/>
      <c r="BA6012" s="4"/>
      <c r="BB6012" s="4"/>
    </row>
    <row r="6013" spans="1:54" x14ac:dyDescent="0.3">
      <c r="A6013" s="66"/>
      <c r="B6013" s="67"/>
      <c r="C6013" s="66"/>
      <c r="D6013" s="68"/>
      <c r="E6013" s="10"/>
      <c r="F6013" s="69"/>
      <c r="G6013" s="68"/>
      <c r="H6013" s="70"/>
      <c r="BA6013" s="4"/>
      <c r="BB6013" s="4"/>
    </row>
    <row r="6014" spans="1:54" x14ac:dyDescent="0.3">
      <c r="A6014" s="66"/>
      <c r="B6014" s="67"/>
      <c r="C6014" s="66"/>
      <c r="D6014" s="68"/>
      <c r="E6014" s="10"/>
      <c r="F6014" s="69"/>
      <c r="G6014" s="68"/>
      <c r="H6014" s="70"/>
      <c r="BA6014" s="4"/>
      <c r="BB6014" s="4"/>
    </row>
    <row r="6015" spans="1:54" x14ac:dyDescent="0.3">
      <c r="A6015" s="66"/>
      <c r="B6015" s="67"/>
      <c r="C6015" s="66"/>
      <c r="D6015" s="68"/>
      <c r="E6015" s="10"/>
      <c r="F6015" s="69"/>
      <c r="G6015" s="68"/>
      <c r="H6015" s="70"/>
      <c r="BA6015" s="4"/>
      <c r="BB6015" s="4"/>
    </row>
    <row r="6016" spans="1:54" x14ac:dyDescent="0.3">
      <c r="A6016" s="66"/>
      <c r="B6016" s="67"/>
      <c r="C6016" s="66"/>
      <c r="D6016" s="68"/>
      <c r="E6016" s="10"/>
      <c r="F6016" s="69"/>
      <c r="G6016" s="68"/>
      <c r="H6016" s="70"/>
      <c r="BA6016" s="4"/>
      <c r="BB6016" s="4"/>
    </row>
    <row r="6017" spans="1:54" x14ac:dyDescent="0.3">
      <c r="A6017" s="66"/>
      <c r="B6017" s="67"/>
      <c r="C6017" s="66"/>
      <c r="D6017" s="68"/>
      <c r="E6017" s="10"/>
      <c r="F6017" s="69"/>
      <c r="G6017" s="68"/>
      <c r="H6017" s="70"/>
      <c r="BA6017" s="4"/>
      <c r="BB6017" s="4"/>
    </row>
    <row r="6018" spans="1:54" x14ac:dyDescent="0.3">
      <c r="A6018" s="66"/>
      <c r="B6018" s="67"/>
      <c r="C6018" s="66"/>
      <c r="D6018" s="68"/>
      <c r="E6018" s="10"/>
      <c r="F6018" s="69"/>
      <c r="G6018" s="68"/>
      <c r="H6018" s="70"/>
      <c r="BA6018" s="4"/>
      <c r="BB6018" s="4"/>
    </row>
    <row r="6019" spans="1:54" x14ac:dyDescent="0.3">
      <c r="A6019" s="66"/>
      <c r="B6019" s="67"/>
      <c r="C6019" s="66"/>
      <c r="D6019" s="68"/>
      <c r="E6019" s="10"/>
      <c r="F6019" s="69"/>
      <c r="G6019" s="68"/>
      <c r="H6019" s="70"/>
      <c r="BA6019" s="4"/>
      <c r="BB6019" s="4"/>
    </row>
    <row r="6020" spans="1:54" x14ac:dyDescent="0.3">
      <c r="A6020" s="66"/>
      <c r="B6020" s="67"/>
      <c r="C6020" s="66"/>
      <c r="D6020" s="68"/>
      <c r="E6020" s="10"/>
      <c r="F6020" s="69"/>
      <c r="G6020" s="68"/>
      <c r="H6020" s="70"/>
      <c r="BA6020" s="4"/>
      <c r="BB6020" s="4"/>
    </row>
    <row r="6021" spans="1:54" x14ac:dyDescent="0.3">
      <c r="A6021" s="66"/>
      <c r="B6021" s="67"/>
      <c r="C6021" s="66"/>
      <c r="D6021" s="68"/>
      <c r="E6021" s="10"/>
      <c r="F6021" s="69"/>
      <c r="G6021" s="68"/>
      <c r="H6021" s="70"/>
      <c r="BA6021" s="4"/>
      <c r="BB6021" s="4"/>
    </row>
    <row r="6022" spans="1:54" x14ac:dyDescent="0.3">
      <c r="A6022" s="66"/>
      <c r="B6022" s="67"/>
      <c r="C6022" s="66"/>
      <c r="D6022" s="68"/>
      <c r="E6022" s="10"/>
      <c r="F6022" s="69"/>
      <c r="G6022" s="68"/>
      <c r="H6022" s="70"/>
      <c r="BA6022" s="4"/>
      <c r="BB6022" s="4"/>
    </row>
    <row r="6023" spans="1:54" x14ac:dyDescent="0.3">
      <c r="A6023" s="66"/>
      <c r="B6023" s="67"/>
      <c r="C6023" s="66"/>
      <c r="D6023" s="68"/>
      <c r="E6023" s="10"/>
      <c r="F6023" s="69"/>
      <c r="G6023" s="68"/>
      <c r="H6023" s="70"/>
      <c r="BA6023" s="4"/>
      <c r="BB6023" s="4"/>
    </row>
    <row r="6024" spans="1:54" x14ac:dyDescent="0.3">
      <c r="A6024" s="66"/>
      <c r="B6024" s="67"/>
      <c r="C6024" s="66"/>
      <c r="D6024" s="68"/>
      <c r="E6024" s="10"/>
      <c r="F6024" s="69"/>
      <c r="G6024" s="68"/>
      <c r="H6024" s="70"/>
      <c r="BA6024" s="4"/>
      <c r="BB6024" s="4"/>
    </row>
    <row r="6025" spans="1:54" x14ac:dyDescent="0.3">
      <c r="A6025" s="66"/>
      <c r="B6025" s="67"/>
      <c r="C6025" s="66"/>
      <c r="D6025" s="68"/>
      <c r="E6025" s="10"/>
      <c r="F6025" s="69"/>
      <c r="G6025" s="68"/>
      <c r="H6025" s="70"/>
      <c r="BA6025" s="4"/>
      <c r="BB6025" s="4"/>
    </row>
    <row r="6026" spans="1:54" x14ac:dyDescent="0.3">
      <c r="A6026" s="66"/>
      <c r="B6026" s="67"/>
      <c r="C6026" s="66"/>
      <c r="D6026" s="68"/>
      <c r="E6026" s="10"/>
      <c r="F6026" s="69"/>
      <c r="G6026" s="68"/>
      <c r="H6026" s="70"/>
      <c r="BA6026" s="4"/>
      <c r="BB6026" s="4"/>
    </row>
    <row r="6027" spans="1:54" x14ac:dyDescent="0.3">
      <c r="A6027" s="66"/>
      <c r="B6027" s="67"/>
      <c r="C6027" s="66"/>
      <c r="D6027" s="68"/>
      <c r="E6027" s="10"/>
      <c r="F6027" s="69"/>
      <c r="G6027" s="68"/>
      <c r="H6027" s="70"/>
      <c r="BA6027" s="4"/>
      <c r="BB6027" s="4"/>
    </row>
    <row r="6028" spans="1:54" x14ac:dyDescent="0.3">
      <c r="A6028" s="66"/>
      <c r="B6028" s="67"/>
      <c r="C6028" s="66"/>
      <c r="D6028" s="68"/>
      <c r="E6028" s="10"/>
      <c r="F6028" s="69"/>
      <c r="G6028" s="68"/>
      <c r="H6028" s="70"/>
      <c r="BA6028" s="4"/>
      <c r="BB6028" s="4"/>
    </row>
    <row r="6029" spans="1:54" x14ac:dyDescent="0.3">
      <c r="A6029" s="66"/>
      <c r="B6029" s="67"/>
      <c r="C6029" s="66"/>
      <c r="D6029" s="68"/>
      <c r="E6029" s="10"/>
      <c r="F6029" s="69"/>
      <c r="G6029" s="68"/>
      <c r="H6029" s="70"/>
      <c r="BA6029" s="4"/>
      <c r="BB6029" s="4"/>
    </row>
    <row r="6030" spans="1:54" x14ac:dyDescent="0.3">
      <c r="A6030" s="66"/>
      <c r="B6030" s="67"/>
      <c r="C6030" s="66"/>
      <c r="D6030" s="68"/>
      <c r="E6030" s="10"/>
      <c r="F6030" s="69"/>
      <c r="G6030" s="68"/>
      <c r="H6030" s="70"/>
      <c r="BA6030" s="4"/>
      <c r="BB6030" s="4"/>
    </row>
    <row r="6031" spans="1:54" x14ac:dyDescent="0.3">
      <c r="A6031" s="66"/>
      <c r="B6031" s="67"/>
      <c r="C6031" s="66"/>
      <c r="D6031" s="68"/>
      <c r="E6031" s="10"/>
      <c r="F6031" s="69"/>
      <c r="G6031" s="68"/>
      <c r="H6031" s="70"/>
      <c r="BA6031" s="4"/>
      <c r="BB6031" s="4"/>
    </row>
    <row r="6032" spans="1:54" x14ac:dyDescent="0.3">
      <c r="A6032" s="66"/>
      <c r="B6032" s="67"/>
      <c r="C6032" s="66"/>
      <c r="D6032" s="68"/>
      <c r="E6032" s="10"/>
      <c r="F6032" s="69"/>
      <c r="G6032" s="68"/>
      <c r="H6032" s="70"/>
      <c r="BA6032" s="4"/>
      <c r="BB6032" s="4"/>
    </row>
    <row r="6033" spans="1:54" x14ac:dyDescent="0.3">
      <c r="A6033" s="66"/>
      <c r="B6033" s="67"/>
      <c r="C6033" s="66"/>
      <c r="D6033" s="68"/>
      <c r="E6033" s="10"/>
      <c r="F6033" s="69"/>
      <c r="G6033" s="68"/>
      <c r="H6033" s="70"/>
      <c r="BA6033" s="4"/>
      <c r="BB6033" s="4"/>
    </row>
    <row r="6034" spans="1:54" x14ac:dyDescent="0.3">
      <c r="A6034" s="66"/>
      <c r="B6034" s="67"/>
      <c r="C6034" s="66"/>
      <c r="D6034" s="68"/>
      <c r="E6034" s="10"/>
      <c r="F6034" s="69"/>
      <c r="G6034" s="68"/>
      <c r="H6034" s="70"/>
      <c r="BA6034" s="4"/>
      <c r="BB6034" s="4"/>
    </row>
    <row r="6035" spans="1:54" x14ac:dyDescent="0.3">
      <c r="A6035" s="66"/>
      <c r="B6035" s="67"/>
      <c r="C6035" s="66"/>
      <c r="D6035" s="68"/>
      <c r="E6035" s="10"/>
      <c r="F6035" s="69"/>
      <c r="G6035" s="68"/>
      <c r="H6035" s="70"/>
      <c r="BA6035" s="4"/>
      <c r="BB6035" s="4"/>
    </row>
    <row r="6036" spans="1:54" x14ac:dyDescent="0.3">
      <c r="A6036" s="66"/>
      <c r="B6036" s="67"/>
      <c r="C6036" s="66"/>
      <c r="D6036" s="68"/>
      <c r="E6036" s="10"/>
      <c r="F6036" s="69"/>
      <c r="G6036" s="68"/>
      <c r="H6036" s="70"/>
      <c r="BA6036" s="4"/>
      <c r="BB6036" s="4"/>
    </row>
    <row r="6037" spans="1:54" x14ac:dyDescent="0.3">
      <c r="A6037" s="66"/>
      <c r="B6037" s="67"/>
      <c r="C6037" s="66"/>
      <c r="D6037" s="68"/>
      <c r="E6037" s="10"/>
      <c r="F6037" s="69"/>
      <c r="G6037" s="68"/>
      <c r="H6037" s="70"/>
      <c r="BA6037" s="4"/>
      <c r="BB6037" s="4"/>
    </row>
    <row r="6038" spans="1:54" x14ac:dyDescent="0.3">
      <c r="A6038" s="66"/>
      <c r="B6038" s="67"/>
      <c r="C6038" s="66"/>
      <c r="D6038" s="68"/>
      <c r="E6038" s="10"/>
      <c r="F6038" s="69"/>
      <c r="G6038" s="68"/>
      <c r="H6038" s="70"/>
      <c r="BA6038" s="4"/>
      <c r="BB6038" s="4"/>
    </row>
    <row r="6039" spans="1:54" x14ac:dyDescent="0.3">
      <c r="A6039" s="66"/>
      <c r="B6039" s="67"/>
      <c r="C6039" s="66"/>
      <c r="D6039" s="68"/>
      <c r="E6039" s="10"/>
      <c r="F6039" s="69"/>
      <c r="G6039" s="68"/>
      <c r="H6039" s="70"/>
      <c r="BA6039" s="4"/>
      <c r="BB6039" s="4"/>
    </row>
    <row r="6040" spans="1:54" x14ac:dyDescent="0.3">
      <c r="A6040" s="66"/>
      <c r="B6040" s="67"/>
      <c r="C6040" s="66"/>
      <c r="D6040" s="68"/>
      <c r="E6040" s="10"/>
      <c r="F6040" s="69"/>
      <c r="G6040" s="68"/>
      <c r="H6040" s="70"/>
      <c r="BA6040" s="4"/>
      <c r="BB6040" s="4"/>
    </row>
    <row r="6041" spans="1:54" x14ac:dyDescent="0.3">
      <c r="A6041" s="66"/>
      <c r="B6041" s="67"/>
      <c r="C6041" s="66"/>
      <c r="D6041" s="68"/>
      <c r="E6041" s="10"/>
      <c r="F6041" s="69"/>
      <c r="G6041" s="68"/>
      <c r="H6041" s="70"/>
      <c r="BA6041" s="4"/>
      <c r="BB6041" s="4"/>
    </row>
    <row r="6042" spans="1:54" x14ac:dyDescent="0.3">
      <c r="A6042" s="66"/>
      <c r="B6042" s="67"/>
      <c r="C6042" s="66"/>
      <c r="D6042" s="68"/>
      <c r="E6042" s="10"/>
      <c r="F6042" s="69"/>
      <c r="G6042" s="68"/>
      <c r="H6042" s="70"/>
      <c r="BA6042" s="4"/>
      <c r="BB6042" s="4"/>
    </row>
    <row r="6043" spans="1:54" x14ac:dyDescent="0.3">
      <c r="A6043" s="66"/>
      <c r="B6043" s="67"/>
      <c r="C6043" s="66"/>
      <c r="D6043" s="68"/>
      <c r="E6043" s="10"/>
      <c r="F6043" s="69"/>
      <c r="G6043" s="68"/>
      <c r="H6043" s="70"/>
      <c r="BA6043" s="4"/>
      <c r="BB6043" s="4"/>
    </row>
    <row r="6044" spans="1:54" x14ac:dyDescent="0.3">
      <c r="A6044" s="66"/>
      <c r="B6044" s="67"/>
      <c r="C6044" s="66"/>
      <c r="D6044" s="68"/>
      <c r="E6044" s="10"/>
      <c r="F6044" s="69"/>
      <c r="G6044" s="68"/>
      <c r="H6044" s="70"/>
      <c r="BA6044" s="4"/>
      <c r="BB6044" s="4"/>
    </row>
    <row r="6045" spans="1:54" x14ac:dyDescent="0.3">
      <c r="A6045" s="66"/>
      <c r="B6045" s="67"/>
      <c r="C6045" s="66"/>
      <c r="D6045" s="68"/>
      <c r="E6045" s="10"/>
      <c r="F6045" s="69"/>
      <c r="G6045" s="68"/>
      <c r="H6045" s="70"/>
      <c r="BA6045" s="4"/>
      <c r="BB6045" s="4"/>
    </row>
    <row r="6046" spans="1:54" x14ac:dyDescent="0.3">
      <c r="A6046" s="66"/>
      <c r="B6046" s="67"/>
      <c r="C6046" s="66"/>
      <c r="D6046" s="68"/>
      <c r="E6046" s="10"/>
      <c r="F6046" s="69"/>
      <c r="G6046" s="68"/>
      <c r="H6046" s="70"/>
      <c r="BA6046" s="4"/>
      <c r="BB6046" s="4"/>
    </row>
    <row r="6047" spans="1:54" x14ac:dyDescent="0.3">
      <c r="A6047" s="66"/>
      <c r="B6047" s="67"/>
      <c r="C6047" s="66"/>
      <c r="D6047" s="68"/>
      <c r="E6047" s="10"/>
      <c r="F6047" s="69"/>
      <c r="G6047" s="68"/>
      <c r="H6047" s="70"/>
      <c r="BA6047" s="4"/>
      <c r="BB6047" s="4"/>
    </row>
    <row r="6048" spans="1:54" x14ac:dyDescent="0.3">
      <c r="A6048" s="66"/>
      <c r="B6048" s="67"/>
      <c r="C6048" s="66"/>
      <c r="D6048" s="68"/>
      <c r="E6048" s="10"/>
      <c r="F6048" s="69"/>
      <c r="G6048" s="68"/>
      <c r="H6048" s="70"/>
      <c r="BA6048" s="4"/>
      <c r="BB6048" s="4"/>
    </row>
    <row r="6049" spans="1:54" x14ac:dyDescent="0.3">
      <c r="A6049" s="66"/>
      <c r="B6049" s="67"/>
      <c r="C6049" s="66"/>
      <c r="D6049" s="68"/>
      <c r="E6049" s="10"/>
      <c r="F6049" s="69"/>
      <c r="G6049" s="68"/>
      <c r="H6049" s="70"/>
      <c r="BA6049" s="4"/>
      <c r="BB6049" s="4"/>
    </row>
    <row r="6050" spans="1:54" x14ac:dyDescent="0.3">
      <c r="A6050" s="66"/>
      <c r="B6050" s="67"/>
      <c r="C6050" s="66"/>
      <c r="D6050" s="68"/>
      <c r="E6050" s="10"/>
      <c r="F6050" s="69"/>
      <c r="G6050" s="68"/>
      <c r="H6050" s="70"/>
      <c r="BA6050" s="4"/>
      <c r="BB6050" s="4"/>
    </row>
    <row r="6051" spans="1:54" x14ac:dyDescent="0.3">
      <c r="A6051" s="66"/>
      <c r="B6051" s="67"/>
      <c r="C6051" s="66"/>
      <c r="D6051" s="68"/>
      <c r="E6051" s="10"/>
      <c r="F6051" s="69"/>
      <c r="G6051" s="68"/>
      <c r="H6051" s="70"/>
      <c r="BA6051" s="4"/>
      <c r="BB6051" s="4"/>
    </row>
    <row r="6052" spans="1:54" x14ac:dyDescent="0.3">
      <c r="A6052" s="66"/>
      <c r="B6052" s="67"/>
      <c r="C6052" s="66"/>
      <c r="D6052" s="68"/>
      <c r="E6052" s="10"/>
      <c r="F6052" s="69"/>
      <c r="G6052" s="68"/>
      <c r="H6052" s="70"/>
      <c r="BA6052" s="4"/>
      <c r="BB6052" s="4"/>
    </row>
    <row r="6053" spans="1:54" x14ac:dyDescent="0.3">
      <c r="A6053" s="66"/>
      <c r="B6053" s="67"/>
      <c r="C6053" s="66"/>
      <c r="D6053" s="68"/>
      <c r="E6053" s="10"/>
      <c r="F6053" s="69"/>
      <c r="G6053" s="68"/>
      <c r="H6053" s="70"/>
      <c r="BA6053" s="4"/>
      <c r="BB6053" s="4"/>
    </row>
    <row r="6054" spans="1:54" x14ac:dyDescent="0.3">
      <c r="A6054" s="66"/>
      <c r="B6054" s="67"/>
      <c r="C6054" s="66"/>
      <c r="D6054" s="68"/>
      <c r="E6054" s="10"/>
      <c r="F6054" s="69"/>
      <c r="G6054" s="68"/>
      <c r="H6054" s="70"/>
      <c r="BA6054" s="4"/>
      <c r="BB6054" s="4"/>
    </row>
    <row r="6055" spans="1:54" x14ac:dyDescent="0.3">
      <c r="A6055" s="66"/>
      <c r="B6055" s="67"/>
      <c r="C6055" s="66"/>
      <c r="D6055" s="68"/>
      <c r="E6055" s="10"/>
      <c r="F6055" s="69"/>
      <c r="G6055" s="68"/>
      <c r="H6055" s="70"/>
      <c r="BA6055" s="4"/>
      <c r="BB6055" s="4"/>
    </row>
    <row r="6056" spans="1:54" x14ac:dyDescent="0.3">
      <c r="A6056" s="66"/>
      <c r="B6056" s="67"/>
      <c r="C6056" s="66"/>
      <c r="D6056" s="68"/>
      <c r="E6056" s="10"/>
      <c r="F6056" s="69"/>
      <c r="G6056" s="68"/>
      <c r="H6056" s="70"/>
      <c r="BA6056" s="4"/>
      <c r="BB6056" s="4"/>
    </row>
    <row r="6057" spans="1:54" x14ac:dyDescent="0.3">
      <c r="A6057" s="66"/>
      <c r="B6057" s="67"/>
      <c r="C6057" s="66"/>
      <c r="D6057" s="68"/>
      <c r="E6057" s="10"/>
      <c r="F6057" s="69"/>
      <c r="G6057" s="68"/>
      <c r="H6057" s="70"/>
      <c r="BA6057" s="4"/>
      <c r="BB6057" s="4"/>
    </row>
    <row r="6058" spans="1:54" x14ac:dyDescent="0.3">
      <c r="A6058" s="66"/>
      <c r="B6058" s="67"/>
      <c r="C6058" s="66"/>
      <c r="D6058" s="68"/>
      <c r="E6058" s="10"/>
      <c r="F6058" s="69"/>
      <c r="G6058" s="68"/>
      <c r="H6058" s="70"/>
      <c r="BA6058" s="4"/>
      <c r="BB6058" s="4"/>
    </row>
    <row r="6059" spans="1:54" x14ac:dyDescent="0.3">
      <c r="A6059" s="66"/>
      <c r="B6059" s="67"/>
      <c r="C6059" s="66"/>
      <c r="D6059" s="68"/>
      <c r="E6059" s="10"/>
      <c r="F6059" s="69"/>
      <c r="G6059" s="68"/>
      <c r="H6059" s="70"/>
      <c r="BA6059" s="4"/>
      <c r="BB6059" s="4"/>
    </row>
    <row r="6060" spans="1:54" x14ac:dyDescent="0.3">
      <c r="A6060" s="66"/>
      <c r="B6060" s="67"/>
      <c r="C6060" s="66"/>
      <c r="D6060" s="68"/>
      <c r="E6060" s="10"/>
      <c r="F6060" s="69"/>
      <c r="G6060" s="68"/>
      <c r="H6060" s="70"/>
      <c r="BA6060" s="4"/>
      <c r="BB6060" s="4"/>
    </row>
    <row r="6061" spans="1:54" x14ac:dyDescent="0.3">
      <c r="A6061" s="66"/>
      <c r="B6061" s="67"/>
      <c r="C6061" s="66"/>
      <c r="D6061" s="68"/>
      <c r="E6061" s="10"/>
      <c r="F6061" s="69"/>
      <c r="G6061" s="68"/>
      <c r="H6061" s="70"/>
      <c r="BA6061" s="4"/>
      <c r="BB6061" s="4"/>
    </row>
    <row r="6062" spans="1:54" x14ac:dyDescent="0.3">
      <c r="A6062" s="66"/>
      <c r="B6062" s="67"/>
      <c r="C6062" s="66"/>
      <c r="D6062" s="68"/>
      <c r="E6062" s="10"/>
      <c r="F6062" s="69"/>
      <c r="G6062" s="68"/>
      <c r="H6062" s="70"/>
      <c r="BA6062" s="4"/>
      <c r="BB6062" s="4"/>
    </row>
    <row r="6063" spans="1:54" x14ac:dyDescent="0.3">
      <c r="A6063" s="66"/>
      <c r="B6063" s="67"/>
      <c r="C6063" s="66"/>
      <c r="D6063" s="68"/>
      <c r="E6063" s="10"/>
      <c r="F6063" s="69"/>
      <c r="G6063" s="68"/>
      <c r="H6063" s="70"/>
      <c r="BA6063" s="4"/>
      <c r="BB6063" s="4"/>
    </row>
    <row r="6064" spans="1:54" x14ac:dyDescent="0.3">
      <c r="A6064" s="66"/>
      <c r="B6064" s="67"/>
      <c r="C6064" s="66"/>
      <c r="D6064" s="68"/>
      <c r="E6064" s="10"/>
      <c r="F6064" s="69"/>
      <c r="G6064" s="68"/>
      <c r="H6064" s="70"/>
      <c r="BA6064" s="4"/>
      <c r="BB6064" s="4"/>
    </row>
    <row r="6065" spans="1:54" x14ac:dyDescent="0.3">
      <c r="A6065" s="66"/>
      <c r="B6065" s="67"/>
      <c r="C6065" s="66"/>
      <c r="D6065" s="68"/>
      <c r="E6065" s="10"/>
      <c r="F6065" s="69"/>
      <c r="G6065" s="68"/>
      <c r="H6065" s="70"/>
      <c r="BA6065" s="4"/>
      <c r="BB6065" s="4"/>
    </row>
    <row r="6066" spans="1:54" x14ac:dyDescent="0.3">
      <c r="A6066" s="66"/>
      <c r="B6066" s="67"/>
      <c r="C6066" s="66"/>
      <c r="D6066" s="68"/>
      <c r="E6066" s="10"/>
      <c r="F6066" s="69"/>
      <c r="G6066" s="68"/>
      <c r="H6066" s="70"/>
      <c r="BA6066" s="4"/>
      <c r="BB6066" s="4"/>
    </row>
    <row r="6067" spans="1:54" x14ac:dyDescent="0.3">
      <c r="A6067" s="66"/>
      <c r="B6067" s="67"/>
      <c r="C6067" s="66"/>
      <c r="D6067" s="68"/>
      <c r="E6067" s="10"/>
      <c r="F6067" s="69"/>
      <c r="G6067" s="68"/>
      <c r="H6067" s="70"/>
      <c r="BA6067" s="4"/>
      <c r="BB6067" s="4"/>
    </row>
    <row r="6068" spans="1:54" x14ac:dyDescent="0.3">
      <c r="A6068" s="66"/>
      <c r="B6068" s="67"/>
      <c r="C6068" s="66"/>
      <c r="D6068" s="68"/>
      <c r="E6068" s="10"/>
      <c r="F6068" s="69"/>
      <c r="G6068" s="68"/>
      <c r="H6068" s="70"/>
      <c r="BA6068" s="4"/>
      <c r="BB6068" s="4"/>
    </row>
    <row r="6069" spans="1:54" x14ac:dyDescent="0.3">
      <c r="A6069" s="66"/>
      <c r="B6069" s="67"/>
      <c r="C6069" s="66"/>
      <c r="D6069" s="68"/>
      <c r="E6069" s="10"/>
      <c r="F6069" s="69"/>
      <c r="G6069" s="68"/>
      <c r="H6069" s="70"/>
      <c r="BA6069" s="4"/>
      <c r="BB6069" s="4"/>
    </row>
    <row r="6070" spans="1:54" x14ac:dyDescent="0.3">
      <c r="A6070" s="66"/>
      <c r="B6070" s="67"/>
      <c r="C6070" s="66"/>
      <c r="D6070" s="68"/>
      <c r="E6070" s="10"/>
      <c r="F6070" s="69"/>
      <c r="G6070" s="68"/>
      <c r="H6070" s="70"/>
      <c r="BA6070" s="4"/>
      <c r="BB6070" s="4"/>
    </row>
    <row r="6071" spans="1:54" x14ac:dyDescent="0.3">
      <c r="A6071" s="66"/>
      <c r="B6071" s="67"/>
      <c r="C6071" s="66"/>
      <c r="D6071" s="68"/>
      <c r="E6071" s="10"/>
      <c r="F6071" s="69"/>
      <c r="G6071" s="68"/>
      <c r="H6071" s="70"/>
      <c r="BA6071" s="4"/>
      <c r="BB6071" s="4"/>
    </row>
    <row r="6072" spans="1:54" x14ac:dyDescent="0.3">
      <c r="A6072" s="66"/>
      <c r="B6072" s="67"/>
      <c r="C6072" s="66"/>
      <c r="D6072" s="68"/>
      <c r="E6072" s="10"/>
      <c r="F6072" s="69"/>
      <c r="G6072" s="68"/>
      <c r="H6072" s="70"/>
      <c r="BA6072" s="4"/>
      <c r="BB6072" s="4"/>
    </row>
    <row r="6073" spans="1:54" x14ac:dyDescent="0.3">
      <c r="A6073" s="66"/>
      <c r="B6073" s="67"/>
      <c r="C6073" s="66"/>
      <c r="D6073" s="68"/>
      <c r="E6073" s="10"/>
      <c r="F6073" s="69"/>
      <c r="G6073" s="68"/>
      <c r="H6073" s="70"/>
      <c r="BA6073" s="4"/>
      <c r="BB6073" s="4"/>
    </row>
    <row r="6074" spans="1:54" x14ac:dyDescent="0.3">
      <c r="A6074" s="66"/>
      <c r="B6074" s="67"/>
      <c r="C6074" s="66"/>
      <c r="D6074" s="68"/>
      <c r="E6074" s="10"/>
      <c r="F6074" s="69"/>
      <c r="G6074" s="68"/>
      <c r="H6074" s="70"/>
      <c r="BA6074" s="4"/>
      <c r="BB6074" s="4"/>
    </row>
    <row r="6075" spans="1:54" x14ac:dyDescent="0.3">
      <c r="A6075" s="66"/>
      <c r="B6075" s="67"/>
      <c r="C6075" s="66"/>
      <c r="D6075" s="68"/>
      <c r="E6075" s="10"/>
      <c r="F6075" s="69"/>
      <c r="G6075" s="68"/>
      <c r="H6075" s="70"/>
      <c r="BA6075" s="4"/>
      <c r="BB6075" s="4"/>
    </row>
    <row r="6076" spans="1:54" x14ac:dyDescent="0.3">
      <c r="A6076" s="66"/>
      <c r="B6076" s="67"/>
      <c r="C6076" s="66"/>
      <c r="D6076" s="68"/>
      <c r="E6076" s="10"/>
      <c r="F6076" s="69"/>
      <c r="G6076" s="68"/>
      <c r="H6076" s="70"/>
      <c r="BA6076" s="4"/>
      <c r="BB6076" s="4"/>
    </row>
    <row r="6077" spans="1:54" x14ac:dyDescent="0.3">
      <c r="A6077" s="66"/>
      <c r="B6077" s="67"/>
      <c r="C6077" s="66"/>
      <c r="D6077" s="68"/>
      <c r="E6077" s="10"/>
      <c r="F6077" s="69"/>
      <c r="G6077" s="68"/>
      <c r="H6077" s="70"/>
      <c r="BA6077" s="4"/>
      <c r="BB6077" s="4"/>
    </row>
    <row r="6078" spans="1:54" x14ac:dyDescent="0.3">
      <c r="A6078" s="66"/>
      <c r="B6078" s="67"/>
      <c r="C6078" s="66"/>
      <c r="D6078" s="68"/>
      <c r="E6078" s="10"/>
      <c r="F6078" s="69"/>
      <c r="G6078" s="68"/>
      <c r="H6078" s="70"/>
      <c r="BA6078" s="4"/>
      <c r="BB6078" s="4"/>
    </row>
    <row r="6079" spans="1:54" x14ac:dyDescent="0.3">
      <c r="A6079" s="66"/>
      <c r="B6079" s="67"/>
      <c r="C6079" s="66"/>
      <c r="D6079" s="68"/>
      <c r="E6079" s="10"/>
      <c r="F6079" s="69"/>
      <c r="G6079" s="68"/>
      <c r="H6079" s="70"/>
      <c r="BA6079" s="4"/>
      <c r="BB6079" s="4"/>
    </row>
    <row r="6080" spans="1:54" x14ac:dyDescent="0.3">
      <c r="A6080" s="66"/>
      <c r="B6080" s="67"/>
      <c r="C6080" s="66"/>
      <c r="D6080" s="68"/>
      <c r="E6080" s="10"/>
      <c r="F6080" s="69"/>
      <c r="G6080" s="68"/>
      <c r="H6080" s="70"/>
      <c r="BA6080" s="4"/>
      <c r="BB6080" s="4"/>
    </row>
    <row r="6081" spans="1:54" x14ac:dyDescent="0.3">
      <c r="A6081" s="66"/>
      <c r="B6081" s="67"/>
      <c r="C6081" s="66"/>
      <c r="D6081" s="68"/>
      <c r="E6081" s="10"/>
      <c r="F6081" s="69"/>
      <c r="G6081" s="68"/>
      <c r="H6081" s="70"/>
      <c r="BA6081" s="4"/>
      <c r="BB6081" s="4"/>
    </row>
    <row r="6082" spans="1:54" x14ac:dyDescent="0.3">
      <c r="A6082" s="66"/>
      <c r="B6082" s="67"/>
      <c r="C6082" s="66"/>
      <c r="D6082" s="68"/>
      <c r="E6082" s="10"/>
      <c r="F6082" s="69"/>
      <c r="G6082" s="68"/>
      <c r="H6082" s="70"/>
      <c r="BA6082" s="4"/>
      <c r="BB6082" s="4"/>
    </row>
    <row r="6083" spans="1:54" x14ac:dyDescent="0.3">
      <c r="A6083" s="66"/>
      <c r="B6083" s="67"/>
      <c r="C6083" s="66"/>
      <c r="D6083" s="68"/>
      <c r="E6083" s="10"/>
      <c r="F6083" s="69"/>
      <c r="G6083" s="68"/>
      <c r="H6083" s="70"/>
      <c r="BA6083" s="4"/>
      <c r="BB6083" s="4"/>
    </row>
    <row r="6084" spans="1:54" x14ac:dyDescent="0.3">
      <c r="A6084" s="66"/>
      <c r="B6084" s="67"/>
      <c r="C6084" s="66"/>
      <c r="D6084" s="68"/>
      <c r="E6084" s="10"/>
      <c r="F6084" s="69"/>
      <c r="G6084" s="68"/>
      <c r="H6084" s="70"/>
      <c r="BA6084" s="4"/>
      <c r="BB6084" s="4"/>
    </row>
    <row r="6085" spans="1:54" x14ac:dyDescent="0.3">
      <c r="A6085" s="66"/>
      <c r="B6085" s="67"/>
      <c r="C6085" s="66"/>
      <c r="D6085" s="68"/>
      <c r="E6085" s="10"/>
      <c r="F6085" s="69"/>
      <c r="G6085" s="68"/>
      <c r="H6085" s="70"/>
      <c r="BA6085" s="4"/>
      <c r="BB6085" s="4"/>
    </row>
    <row r="6086" spans="1:54" x14ac:dyDescent="0.3">
      <c r="A6086" s="66"/>
      <c r="B6086" s="67"/>
      <c r="C6086" s="66"/>
      <c r="D6086" s="68"/>
      <c r="E6086" s="10"/>
      <c r="F6086" s="69"/>
      <c r="G6086" s="68"/>
      <c r="H6086" s="70"/>
      <c r="BA6086" s="4"/>
      <c r="BB6086" s="4"/>
    </row>
    <row r="6087" spans="1:54" x14ac:dyDescent="0.3">
      <c r="A6087" s="66"/>
      <c r="B6087" s="67"/>
      <c r="C6087" s="66"/>
      <c r="D6087" s="68"/>
      <c r="E6087" s="10"/>
      <c r="F6087" s="69"/>
      <c r="G6087" s="68"/>
      <c r="H6087" s="70"/>
      <c r="BA6087" s="4"/>
      <c r="BB6087" s="4"/>
    </row>
    <row r="6088" spans="1:54" x14ac:dyDescent="0.3">
      <c r="A6088" s="66"/>
      <c r="B6088" s="67"/>
      <c r="C6088" s="66"/>
      <c r="D6088" s="68"/>
      <c r="E6088" s="10"/>
      <c r="F6088" s="69"/>
      <c r="G6088" s="68"/>
      <c r="H6088" s="70"/>
      <c r="BA6088" s="4"/>
      <c r="BB6088" s="4"/>
    </row>
    <row r="6089" spans="1:54" x14ac:dyDescent="0.3">
      <c r="A6089" s="66"/>
      <c r="B6089" s="67"/>
      <c r="C6089" s="66"/>
      <c r="D6089" s="68"/>
      <c r="E6089" s="10"/>
      <c r="F6089" s="69"/>
      <c r="G6089" s="68"/>
      <c r="H6089" s="70"/>
      <c r="BA6089" s="4"/>
      <c r="BB6089" s="4"/>
    </row>
    <row r="6090" spans="1:54" x14ac:dyDescent="0.3">
      <c r="A6090" s="66"/>
      <c r="B6090" s="67"/>
      <c r="C6090" s="66"/>
      <c r="D6090" s="68"/>
      <c r="E6090" s="10"/>
      <c r="F6090" s="69"/>
      <c r="G6090" s="68"/>
      <c r="H6090" s="70"/>
      <c r="BA6090" s="4"/>
      <c r="BB6090" s="4"/>
    </row>
    <row r="6091" spans="1:54" x14ac:dyDescent="0.3">
      <c r="A6091" s="66"/>
      <c r="B6091" s="67"/>
      <c r="C6091" s="66"/>
      <c r="D6091" s="68"/>
      <c r="E6091" s="10"/>
      <c r="F6091" s="69"/>
      <c r="G6091" s="68"/>
      <c r="H6091" s="70"/>
      <c r="BA6091" s="4"/>
      <c r="BB6091" s="4"/>
    </row>
    <row r="6092" spans="1:54" x14ac:dyDescent="0.3">
      <c r="A6092" s="66"/>
      <c r="B6092" s="67"/>
      <c r="C6092" s="66"/>
      <c r="D6092" s="68"/>
      <c r="E6092" s="10"/>
      <c r="F6092" s="69"/>
      <c r="G6092" s="68"/>
      <c r="H6092" s="70"/>
      <c r="BA6092" s="4"/>
      <c r="BB6092" s="4"/>
    </row>
    <row r="6093" spans="1:54" x14ac:dyDescent="0.3">
      <c r="A6093" s="66"/>
      <c r="B6093" s="67"/>
      <c r="C6093" s="66"/>
      <c r="D6093" s="68"/>
      <c r="E6093" s="10"/>
      <c r="F6093" s="69"/>
      <c r="G6093" s="68"/>
      <c r="H6093" s="70"/>
      <c r="BA6093" s="4"/>
      <c r="BB6093" s="4"/>
    </row>
    <row r="6094" spans="1:54" x14ac:dyDescent="0.3">
      <c r="A6094" s="66"/>
      <c r="B6094" s="67"/>
      <c r="C6094" s="66"/>
      <c r="D6094" s="68"/>
      <c r="E6094" s="10"/>
      <c r="F6094" s="69"/>
      <c r="G6094" s="68"/>
      <c r="H6094" s="70"/>
      <c r="BA6094" s="4"/>
      <c r="BB6094" s="4"/>
    </row>
    <row r="6095" spans="1:54" x14ac:dyDescent="0.3">
      <c r="A6095" s="66"/>
      <c r="B6095" s="67"/>
      <c r="C6095" s="66"/>
      <c r="D6095" s="68"/>
      <c r="E6095" s="10"/>
      <c r="F6095" s="69"/>
      <c r="G6095" s="68"/>
      <c r="H6095" s="70"/>
      <c r="BA6095" s="4"/>
      <c r="BB6095" s="4"/>
    </row>
    <row r="6096" spans="1:54" x14ac:dyDescent="0.3">
      <c r="A6096" s="66"/>
      <c r="B6096" s="67"/>
      <c r="C6096" s="66"/>
      <c r="D6096" s="68"/>
      <c r="E6096" s="10"/>
      <c r="F6096" s="69"/>
      <c r="G6096" s="68"/>
      <c r="H6096" s="70"/>
      <c r="BA6096" s="4"/>
      <c r="BB6096" s="4"/>
    </row>
    <row r="6097" spans="1:54" x14ac:dyDescent="0.3">
      <c r="A6097" s="66"/>
      <c r="B6097" s="67"/>
      <c r="C6097" s="66"/>
      <c r="D6097" s="68"/>
      <c r="E6097" s="10"/>
      <c r="F6097" s="69"/>
      <c r="G6097" s="68"/>
      <c r="H6097" s="70"/>
      <c r="BA6097" s="4"/>
      <c r="BB6097" s="4"/>
    </row>
    <row r="6098" spans="1:54" x14ac:dyDescent="0.3">
      <c r="A6098" s="66"/>
      <c r="B6098" s="67"/>
      <c r="C6098" s="66"/>
      <c r="D6098" s="68"/>
      <c r="E6098" s="10"/>
      <c r="F6098" s="69"/>
      <c r="G6098" s="68"/>
      <c r="H6098" s="70"/>
      <c r="BA6098" s="4"/>
      <c r="BB6098" s="4"/>
    </row>
    <row r="6099" spans="1:54" x14ac:dyDescent="0.3">
      <c r="A6099" s="66"/>
      <c r="B6099" s="67"/>
      <c r="C6099" s="66"/>
      <c r="D6099" s="68"/>
      <c r="E6099" s="10"/>
      <c r="F6099" s="69"/>
      <c r="G6099" s="68"/>
      <c r="H6099" s="70"/>
      <c r="BA6099" s="4"/>
      <c r="BB6099" s="4"/>
    </row>
    <row r="6100" spans="1:54" x14ac:dyDescent="0.3">
      <c r="A6100" s="66"/>
      <c r="B6100" s="67"/>
      <c r="C6100" s="66"/>
      <c r="D6100" s="68"/>
      <c r="E6100" s="10"/>
      <c r="F6100" s="69"/>
      <c r="G6100" s="68"/>
      <c r="H6100" s="70"/>
      <c r="BA6100" s="4"/>
      <c r="BB6100" s="4"/>
    </row>
    <row r="6101" spans="1:54" x14ac:dyDescent="0.3">
      <c r="A6101" s="66"/>
      <c r="B6101" s="67"/>
      <c r="C6101" s="66"/>
      <c r="D6101" s="68"/>
      <c r="E6101" s="10"/>
      <c r="F6101" s="69"/>
      <c r="G6101" s="68"/>
      <c r="H6101" s="70"/>
      <c r="BA6101" s="4"/>
      <c r="BB6101" s="4"/>
    </row>
    <row r="6102" spans="1:54" x14ac:dyDescent="0.3">
      <c r="A6102" s="66"/>
      <c r="B6102" s="67"/>
      <c r="C6102" s="66"/>
      <c r="D6102" s="68"/>
      <c r="E6102" s="10"/>
      <c r="F6102" s="69"/>
      <c r="G6102" s="68"/>
      <c r="H6102" s="70"/>
      <c r="BA6102" s="4"/>
      <c r="BB6102" s="4"/>
    </row>
    <row r="6103" spans="1:54" x14ac:dyDescent="0.3">
      <c r="A6103" s="66"/>
      <c r="B6103" s="67"/>
      <c r="C6103" s="66"/>
      <c r="D6103" s="68"/>
      <c r="E6103" s="10"/>
      <c r="F6103" s="69"/>
      <c r="G6103" s="68"/>
      <c r="H6103" s="70"/>
      <c r="BA6103" s="4"/>
      <c r="BB6103" s="4"/>
    </row>
    <row r="6104" spans="1:54" x14ac:dyDescent="0.3">
      <c r="A6104" s="66"/>
      <c r="B6104" s="67"/>
      <c r="C6104" s="66"/>
      <c r="D6104" s="68"/>
      <c r="E6104" s="10"/>
      <c r="F6104" s="69"/>
      <c r="G6104" s="68"/>
      <c r="H6104" s="70"/>
      <c r="BA6104" s="4"/>
      <c r="BB6104" s="4"/>
    </row>
    <row r="6105" spans="1:54" x14ac:dyDescent="0.3">
      <c r="A6105" s="66"/>
      <c r="B6105" s="67"/>
      <c r="C6105" s="66"/>
      <c r="D6105" s="68"/>
      <c r="E6105" s="10"/>
      <c r="F6105" s="69"/>
      <c r="G6105" s="68"/>
      <c r="H6105" s="70"/>
      <c r="BA6105" s="4"/>
      <c r="BB6105" s="4"/>
    </row>
    <row r="6106" spans="1:54" x14ac:dyDescent="0.3">
      <c r="A6106" s="66"/>
      <c r="B6106" s="67"/>
      <c r="C6106" s="66"/>
      <c r="D6106" s="68"/>
      <c r="E6106" s="10"/>
      <c r="F6106" s="69"/>
      <c r="G6106" s="68"/>
      <c r="H6106" s="70"/>
      <c r="BA6106" s="4"/>
      <c r="BB6106" s="4"/>
    </row>
    <row r="6107" spans="1:54" x14ac:dyDescent="0.3">
      <c r="A6107" s="66"/>
      <c r="B6107" s="67"/>
      <c r="C6107" s="66"/>
      <c r="D6107" s="68"/>
      <c r="E6107" s="10"/>
      <c r="F6107" s="69"/>
      <c r="G6107" s="68"/>
      <c r="H6107" s="70"/>
      <c r="BA6107" s="4"/>
      <c r="BB6107" s="4"/>
    </row>
    <row r="6108" spans="1:54" x14ac:dyDescent="0.3">
      <c r="A6108" s="66"/>
      <c r="B6108" s="67"/>
      <c r="C6108" s="66"/>
      <c r="D6108" s="68"/>
      <c r="E6108" s="10"/>
      <c r="F6108" s="69"/>
      <c r="G6108" s="68"/>
      <c r="H6108" s="70"/>
      <c r="BA6108" s="4"/>
      <c r="BB6108" s="4"/>
    </row>
    <row r="6109" spans="1:54" x14ac:dyDescent="0.3">
      <c r="A6109" s="66"/>
      <c r="B6109" s="67"/>
      <c r="C6109" s="66"/>
      <c r="D6109" s="68"/>
      <c r="E6109" s="10"/>
      <c r="F6109" s="69"/>
      <c r="G6109" s="68"/>
      <c r="H6109" s="70"/>
      <c r="BA6109" s="4"/>
      <c r="BB6109" s="4"/>
    </row>
    <row r="6110" spans="1:54" x14ac:dyDescent="0.3">
      <c r="A6110" s="66"/>
      <c r="B6110" s="67"/>
      <c r="C6110" s="66"/>
      <c r="D6110" s="68"/>
      <c r="E6110" s="10"/>
      <c r="F6110" s="69"/>
      <c r="G6110" s="68"/>
      <c r="H6110" s="70"/>
      <c r="BA6110" s="4"/>
      <c r="BB6110" s="4"/>
    </row>
    <row r="6111" spans="1:54" x14ac:dyDescent="0.3">
      <c r="A6111" s="66"/>
      <c r="B6111" s="67"/>
      <c r="C6111" s="66"/>
      <c r="D6111" s="68"/>
      <c r="E6111" s="10"/>
      <c r="F6111" s="69"/>
      <c r="G6111" s="68"/>
      <c r="H6111" s="70"/>
      <c r="BA6111" s="4"/>
      <c r="BB6111" s="4"/>
    </row>
    <row r="6112" spans="1:54" x14ac:dyDescent="0.3">
      <c r="A6112" s="66"/>
      <c r="B6112" s="67"/>
      <c r="C6112" s="66"/>
      <c r="D6112" s="68"/>
      <c r="E6112" s="10"/>
      <c r="F6112" s="69"/>
      <c r="G6112" s="68"/>
      <c r="H6112" s="70"/>
      <c r="BA6112" s="4"/>
      <c r="BB6112" s="4"/>
    </row>
    <row r="6113" spans="1:54" x14ac:dyDescent="0.3">
      <c r="A6113" s="66"/>
      <c r="B6113" s="67"/>
      <c r="C6113" s="66"/>
      <c r="D6113" s="68"/>
      <c r="E6113" s="10"/>
      <c r="F6113" s="69"/>
      <c r="G6113" s="68"/>
      <c r="H6113" s="70"/>
      <c r="BA6113" s="4"/>
      <c r="BB6113" s="4"/>
    </row>
    <row r="6114" spans="1:54" x14ac:dyDescent="0.3">
      <c r="A6114" s="66"/>
      <c r="B6114" s="67"/>
      <c r="C6114" s="66"/>
      <c r="D6114" s="68"/>
      <c r="E6114" s="10"/>
      <c r="F6114" s="69"/>
      <c r="G6114" s="68"/>
      <c r="H6114" s="70"/>
      <c r="BA6114" s="4"/>
      <c r="BB6114" s="4"/>
    </row>
    <row r="6115" spans="1:54" x14ac:dyDescent="0.3">
      <c r="A6115" s="66"/>
      <c r="B6115" s="67"/>
      <c r="C6115" s="66"/>
      <c r="D6115" s="68"/>
      <c r="E6115" s="10"/>
      <c r="F6115" s="69"/>
      <c r="G6115" s="68"/>
      <c r="H6115" s="70"/>
      <c r="BA6115" s="4"/>
      <c r="BB6115" s="4"/>
    </row>
    <row r="6116" spans="1:54" x14ac:dyDescent="0.3">
      <c r="A6116" s="66"/>
      <c r="B6116" s="67"/>
      <c r="C6116" s="66"/>
      <c r="D6116" s="68"/>
      <c r="E6116" s="10"/>
      <c r="F6116" s="69"/>
      <c r="G6116" s="68"/>
      <c r="H6116" s="70"/>
      <c r="BA6116" s="4"/>
      <c r="BB6116" s="4"/>
    </row>
    <row r="6117" spans="1:54" x14ac:dyDescent="0.3">
      <c r="A6117" s="66"/>
      <c r="B6117" s="67"/>
      <c r="C6117" s="66"/>
      <c r="D6117" s="68"/>
      <c r="E6117" s="10"/>
      <c r="F6117" s="69"/>
      <c r="G6117" s="68"/>
      <c r="H6117" s="70"/>
      <c r="BA6117" s="4"/>
      <c r="BB6117" s="4"/>
    </row>
    <row r="6118" spans="1:54" x14ac:dyDescent="0.3">
      <c r="A6118" s="66"/>
      <c r="B6118" s="67"/>
      <c r="C6118" s="66"/>
      <c r="D6118" s="68"/>
      <c r="E6118" s="10"/>
      <c r="F6118" s="69"/>
      <c r="G6118" s="68"/>
      <c r="H6118" s="70"/>
      <c r="BA6118" s="4"/>
      <c r="BB6118" s="4"/>
    </row>
    <row r="6119" spans="1:54" x14ac:dyDescent="0.3">
      <c r="A6119" s="66"/>
      <c r="B6119" s="67"/>
      <c r="C6119" s="66"/>
      <c r="D6119" s="68"/>
      <c r="E6119" s="10"/>
      <c r="F6119" s="69"/>
      <c r="G6119" s="68"/>
      <c r="H6119" s="70"/>
      <c r="BA6119" s="4"/>
      <c r="BB6119" s="4"/>
    </row>
    <row r="6120" spans="1:54" x14ac:dyDescent="0.3">
      <c r="A6120" s="66"/>
      <c r="B6120" s="67"/>
      <c r="C6120" s="66"/>
      <c r="D6120" s="68"/>
      <c r="E6120" s="10"/>
      <c r="F6120" s="69"/>
      <c r="G6120" s="68"/>
      <c r="H6120" s="70"/>
      <c r="BA6120" s="4"/>
      <c r="BB6120" s="4"/>
    </row>
    <row r="6121" spans="1:54" x14ac:dyDescent="0.3">
      <c r="A6121" s="66"/>
      <c r="B6121" s="67"/>
      <c r="C6121" s="66"/>
      <c r="D6121" s="68"/>
      <c r="E6121" s="10"/>
      <c r="F6121" s="69"/>
      <c r="G6121" s="68"/>
      <c r="H6121" s="70"/>
      <c r="BA6121" s="4"/>
      <c r="BB6121" s="4"/>
    </row>
    <row r="6122" spans="1:54" x14ac:dyDescent="0.3">
      <c r="A6122" s="66"/>
      <c r="B6122" s="67"/>
      <c r="C6122" s="66"/>
      <c r="D6122" s="68"/>
      <c r="E6122" s="10"/>
      <c r="F6122" s="69"/>
      <c r="G6122" s="68"/>
      <c r="H6122" s="70"/>
      <c r="BA6122" s="4"/>
      <c r="BB6122" s="4"/>
    </row>
    <row r="6123" spans="1:54" x14ac:dyDescent="0.3">
      <c r="A6123" s="66"/>
      <c r="B6123" s="67"/>
      <c r="C6123" s="66"/>
      <c r="D6123" s="68"/>
      <c r="E6123" s="10"/>
      <c r="F6123" s="69"/>
      <c r="G6123" s="68"/>
      <c r="H6123" s="70"/>
      <c r="BA6123" s="4"/>
      <c r="BB6123" s="4"/>
    </row>
    <row r="6124" spans="1:54" x14ac:dyDescent="0.3">
      <c r="A6124" s="66"/>
      <c r="B6124" s="67"/>
      <c r="C6124" s="66"/>
      <c r="D6124" s="68"/>
      <c r="E6124" s="10"/>
      <c r="F6124" s="69"/>
      <c r="G6124" s="68"/>
      <c r="H6124" s="70"/>
      <c r="BA6124" s="4"/>
      <c r="BB6124" s="4"/>
    </row>
    <row r="6125" spans="1:54" x14ac:dyDescent="0.3">
      <c r="A6125" s="66"/>
      <c r="B6125" s="67"/>
      <c r="C6125" s="66"/>
      <c r="D6125" s="68"/>
      <c r="E6125" s="10"/>
      <c r="F6125" s="69"/>
      <c r="G6125" s="68"/>
      <c r="H6125" s="70"/>
      <c r="BA6125" s="4"/>
      <c r="BB6125" s="4"/>
    </row>
    <row r="6126" spans="1:54" x14ac:dyDescent="0.3">
      <c r="A6126" s="66"/>
      <c r="B6126" s="67"/>
      <c r="C6126" s="66"/>
      <c r="D6126" s="68"/>
      <c r="E6126" s="10"/>
      <c r="F6126" s="69"/>
      <c r="G6126" s="68"/>
      <c r="H6126" s="70"/>
      <c r="BA6126" s="4"/>
      <c r="BB6126" s="4"/>
    </row>
    <row r="6127" spans="1:54" x14ac:dyDescent="0.3">
      <c r="A6127" s="66"/>
      <c r="B6127" s="67"/>
      <c r="C6127" s="66"/>
      <c r="D6127" s="68"/>
      <c r="E6127" s="10"/>
      <c r="F6127" s="69"/>
      <c r="G6127" s="68"/>
      <c r="H6127" s="70"/>
      <c r="BA6127" s="4"/>
      <c r="BB6127" s="4"/>
    </row>
    <row r="6128" spans="1:54" x14ac:dyDescent="0.3">
      <c r="A6128" s="66"/>
      <c r="B6128" s="67"/>
      <c r="C6128" s="66"/>
      <c r="D6128" s="68"/>
      <c r="E6128" s="10"/>
      <c r="F6128" s="69"/>
      <c r="G6128" s="68"/>
      <c r="H6128" s="70"/>
      <c r="BA6128" s="4"/>
      <c r="BB6128" s="4"/>
    </row>
    <row r="6129" spans="1:54" x14ac:dyDescent="0.3">
      <c r="A6129" s="66"/>
      <c r="B6129" s="67"/>
      <c r="C6129" s="66"/>
      <c r="D6129" s="68"/>
      <c r="E6129" s="10"/>
      <c r="F6129" s="69"/>
      <c r="G6129" s="68"/>
      <c r="H6129" s="70"/>
      <c r="BA6129" s="4"/>
      <c r="BB6129" s="4"/>
    </row>
    <row r="6130" spans="1:54" x14ac:dyDescent="0.3">
      <c r="A6130" s="66"/>
      <c r="B6130" s="67"/>
      <c r="C6130" s="66"/>
      <c r="D6130" s="68"/>
      <c r="E6130" s="10"/>
      <c r="F6130" s="69"/>
      <c r="G6130" s="68"/>
      <c r="H6130" s="70"/>
      <c r="BA6130" s="4"/>
      <c r="BB6130" s="4"/>
    </row>
    <row r="6131" spans="1:54" x14ac:dyDescent="0.3">
      <c r="A6131" s="66"/>
      <c r="B6131" s="67"/>
      <c r="C6131" s="66"/>
      <c r="D6131" s="68"/>
      <c r="E6131" s="10"/>
      <c r="F6131" s="69"/>
      <c r="G6131" s="68"/>
      <c r="H6131" s="70"/>
      <c r="BA6131" s="4"/>
      <c r="BB6131" s="4"/>
    </row>
    <row r="6132" spans="1:54" x14ac:dyDescent="0.3">
      <c r="A6132" s="66"/>
      <c r="B6132" s="67"/>
      <c r="C6132" s="66"/>
      <c r="D6132" s="68"/>
      <c r="E6132" s="10"/>
      <c r="F6132" s="69"/>
      <c r="G6132" s="68"/>
      <c r="H6132" s="70"/>
      <c r="BA6132" s="4"/>
      <c r="BB6132" s="4"/>
    </row>
    <row r="6133" spans="1:54" x14ac:dyDescent="0.3">
      <c r="A6133" s="66"/>
      <c r="B6133" s="67"/>
      <c r="C6133" s="66"/>
      <c r="D6133" s="68"/>
      <c r="E6133" s="10"/>
      <c r="F6133" s="69"/>
      <c r="G6133" s="68"/>
      <c r="H6133" s="70"/>
      <c r="BA6133" s="4"/>
      <c r="BB6133" s="4"/>
    </row>
    <row r="6134" spans="1:54" x14ac:dyDescent="0.3">
      <c r="A6134" s="66"/>
      <c r="B6134" s="67"/>
      <c r="C6134" s="66"/>
      <c r="D6134" s="68"/>
      <c r="E6134" s="10"/>
      <c r="F6134" s="69"/>
      <c r="G6134" s="68"/>
      <c r="H6134" s="70"/>
      <c r="BA6134" s="4"/>
      <c r="BB6134" s="4"/>
    </row>
    <row r="6135" spans="1:54" x14ac:dyDescent="0.3">
      <c r="A6135" s="66"/>
      <c r="B6135" s="67"/>
      <c r="C6135" s="66"/>
      <c r="D6135" s="68"/>
      <c r="E6135" s="10"/>
      <c r="F6135" s="69"/>
      <c r="G6135" s="68"/>
      <c r="H6135" s="70"/>
      <c r="BA6135" s="4"/>
      <c r="BB6135" s="4"/>
    </row>
    <row r="6136" spans="1:54" x14ac:dyDescent="0.3">
      <c r="A6136" s="66"/>
      <c r="B6136" s="67"/>
      <c r="C6136" s="66"/>
      <c r="D6136" s="68"/>
      <c r="E6136" s="10"/>
      <c r="F6136" s="69"/>
      <c r="G6136" s="68"/>
      <c r="H6136" s="70"/>
      <c r="BA6136" s="4"/>
      <c r="BB6136" s="4"/>
    </row>
    <row r="6137" spans="1:54" x14ac:dyDescent="0.3">
      <c r="A6137" s="66"/>
      <c r="B6137" s="67"/>
      <c r="C6137" s="66"/>
      <c r="D6137" s="68"/>
      <c r="E6137" s="10"/>
      <c r="F6137" s="69"/>
      <c r="G6137" s="68"/>
      <c r="H6137" s="70"/>
      <c r="BA6137" s="4"/>
      <c r="BB6137" s="4"/>
    </row>
    <row r="6138" spans="1:54" x14ac:dyDescent="0.3">
      <c r="A6138" s="66"/>
      <c r="B6138" s="67"/>
      <c r="C6138" s="66"/>
      <c r="D6138" s="68"/>
      <c r="E6138" s="10"/>
      <c r="F6138" s="69"/>
      <c r="G6138" s="68"/>
      <c r="H6138" s="70"/>
      <c r="BA6138" s="4"/>
      <c r="BB6138" s="4"/>
    </row>
    <row r="6139" spans="1:54" x14ac:dyDescent="0.3">
      <c r="A6139" s="66"/>
      <c r="B6139" s="67"/>
      <c r="C6139" s="66"/>
      <c r="D6139" s="68"/>
      <c r="E6139" s="10"/>
      <c r="F6139" s="69"/>
      <c r="G6139" s="68"/>
      <c r="H6139" s="70"/>
      <c r="BA6139" s="4"/>
      <c r="BB6139" s="4"/>
    </row>
    <row r="6140" spans="1:54" x14ac:dyDescent="0.3">
      <c r="A6140" s="66"/>
      <c r="B6140" s="67"/>
      <c r="C6140" s="66"/>
      <c r="D6140" s="68"/>
      <c r="E6140" s="10"/>
      <c r="F6140" s="69"/>
      <c r="G6140" s="68"/>
      <c r="H6140" s="70"/>
      <c r="BA6140" s="4"/>
      <c r="BB6140" s="4"/>
    </row>
    <row r="6141" spans="1:54" x14ac:dyDescent="0.3">
      <c r="A6141" s="66"/>
      <c r="B6141" s="67"/>
      <c r="C6141" s="66"/>
      <c r="D6141" s="68"/>
      <c r="E6141" s="10"/>
      <c r="F6141" s="69"/>
      <c r="G6141" s="68"/>
      <c r="H6141" s="70"/>
      <c r="BA6141" s="4"/>
      <c r="BB6141" s="4"/>
    </row>
    <row r="6142" spans="1:54" x14ac:dyDescent="0.3">
      <c r="A6142" s="66"/>
      <c r="B6142" s="67"/>
      <c r="C6142" s="66"/>
      <c r="D6142" s="68"/>
      <c r="E6142" s="10"/>
      <c r="F6142" s="69"/>
      <c r="G6142" s="68"/>
      <c r="H6142" s="70"/>
      <c r="BA6142" s="4"/>
      <c r="BB6142" s="4"/>
    </row>
    <row r="6143" spans="1:54" x14ac:dyDescent="0.3">
      <c r="A6143" s="66"/>
      <c r="B6143" s="67"/>
      <c r="C6143" s="66"/>
      <c r="D6143" s="68"/>
      <c r="E6143" s="10"/>
      <c r="F6143" s="69"/>
      <c r="G6143" s="68"/>
      <c r="H6143" s="70"/>
      <c r="BA6143" s="4"/>
      <c r="BB6143" s="4"/>
    </row>
    <row r="6144" spans="1:54" x14ac:dyDescent="0.3">
      <c r="A6144" s="66"/>
      <c r="B6144" s="67"/>
      <c r="C6144" s="66"/>
      <c r="D6144" s="68"/>
      <c r="E6144" s="10"/>
      <c r="F6144" s="69"/>
      <c r="G6144" s="68"/>
      <c r="H6144" s="70"/>
      <c r="BA6144" s="4"/>
      <c r="BB6144" s="4"/>
    </row>
    <row r="6145" spans="1:54" x14ac:dyDescent="0.3">
      <c r="A6145" s="66"/>
      <c r="B6145" s="67"/>
      <c r="C6145" s="66"/>
      <c r="D6145" s="68"/>
      <c r="E6145" s="10"/>
      <c r="F6145" s="69"/>
      <c r="G6145" s="68"/>
      <c r="H6145" s="70"/>
      <c r="BA6145" s="4"/>
      <c r="BB6145" s="4"/>
    </row>
    <row r="6146" spans="1:54" x14ac:dyDescent="0.3">
      <c r="A6146" s="66"/>
      <c r="B6146" s="67"/>
      <c r="C6146" s="66"/>
      <c r="D6146" s="68"/>
      <c r="E6146" s="10"/>
      <c r="F6146" s="69"/>
      <c r="G6146" s="68"/>
      <c r="H6146" s="70"/>
      <c r="BA6146" s="4"/>
      <c r="BB6146" s="4"/>
    </row>
    <row r="6147" spans="1:54" x14ac:dyDescent="0.3">
      <c r="A6147" s="66"/>
      <c r="B6147" s="67"/>
      <c r="C6147" s="66"/>
      <c r="D6147" s="68"/>
      <c r="E6147" s="10"/>
      <c r="F6147" s="69"/>
      <c r="G6147" s="68"/>
      <c r="H6147" s="70"/>
      <c r="BA6147" s="4"/>
      <c r="BB6147" s="4"/>
    </row>
    <row r="6148" spans="1:54" x14ac:dyDescent="0.3">
      <c r="A6148" s="66"/>
      <c r="B6148" s="67"/>
      <c r="C6148" s="66"/>
      <c r="D6148" s="68"/>
      <c r="E6148" s="10"/>
      <c r="F6148" s="69"/>
      <c r="G6148" s="68"/>
      <c r="H6148" s="70"/>
      <c r="BA6148" s="4"/>
      <c r="BB6148" s="4"/>
    </row>
    <row r="6149" spans="1:54" x14ac:dyDescent="0.3">
      <c r="A6149" s="66"/>
      <c r="B6149" s="67"/>
      <c r="C6149" s="66"/>
      <c r="D6149" s="68"/>
      <c r="E6149" s="10"/>
      <c r="F6149" s="69"/>
      <c r="G6149" s="68"/>
      <c r="H6149" s="70"/>
      <c r="BA6149" s="4"/>
      <c r="BB6149" s="4"/>
    </row>
    <row r="6150" spans="1:54" x14ac:dyDescent="0.3">
      <c r="A6150" s="66"/>
      <c r="B6150" s="67"/>
      <c r="C6150" s="66"/>
      <c r="D6150" s="68"/>
      <c r="E6150" s="10"/>
      <c r="F6150" s="69"/>
      <c r="G6150" s="68"/>
      <c r="H6150" s="70"/>
      <c r="BA6150" s="4"/>
      <c r="BB6150" s="4"/>
    </row>
    <row r="6151" spans="1:54" x14ac:dyDescent="0.3">
      <c r="A6151" s="66"/>
      <c r="B6151" s="67"/>
      <c r="C6151" s="66"/>
      <c r="D6151" s="68"/>
      <c r="E6151" s="10"/>
      <c r="F6151" s="69"/>
      <c r="G6151" s="68"/>
      <c r="H6151" s="70"/>
      <c r="BA6151" s="4"/>
      <c r="BB6151" s="4"/>
    </row>
    <row r="6152" spans="1:54" x14ac:dyDescent="0.3">
      <c r="A6152" s="66"/>
      <c r="B6152" s="67"/>
      <c r="C6152" s="66"/>
      <c r="D6152" s="68"/>
      <c r="E6152" s="10"/>
      <c r="F6152" s="69"/>
      <c r="G6152" s="68"/>
      <c r="H6152" s="70"/>
      <c r="BA6152" s="4"/>
      <c r="BB6152" s="4"/>
    </row>
    <row r="6153" spans="1:54" x14ac:dyDescent="0.3">
      <c r="A6153" s="66"/>
      <c r="B6153" s="67"/>
      <c r="C6153" s="66"/>
      <c r="D6153" s="68"/>
      <c r="E6153" s="10"/>
      <c r="F6153" s="69"/>
      <c r="G6153" s="68"/>
      <c r="H6153" s="70"/>
      <c r="BA6153" s="4"/>
      <c r="BB6153" s="4"/>
    </row>
    <row r="6154" spans="1:54" x14ac:dyDescent="0.3">
      <c r="A6154" s="66"/>
      <c r="B6154" s="67"/>
      <c r="C6154" s="66"/>
      <c r="D6154" s="68"/>
      <c r="E6154" s="10"/>
      <c r="F6154" s="69"/>
      <c r="G6154" s="68"/>
      <c r="H6154" s="70"/>
      <c r="BA6154" s="4"/>
      <c r="BB6154" s="4"/>
    </row>
    <row r="6155" spans="1:54" x14ac:dyDescent="0.3">
      <c r="A6155" s="66"/>
      <c r="B6155" s="67"/>
      <c r="C6155" s="66"/>
      <c r="D6155" s="68"/>
      <c r="E6155" s="10"/>
      <c r="F6155" s="69"/>
      <c r="G6155" s="68"/>
      <c r="H6155" s="70"/>
      <c r="BA6155" s="4"/>
      <c r="BB6155" s="4"/>
    </row>
    <row r="6156" spans="1:54" x14ac:dyDescent="0.3">
      <c r="A6156" s="66"/>
      <c r="B6156" s="67"/>
      <c r="C6156" s="66"/>
      <c r="D6156" s="68"/>
      <c r="E6156" s="10"/>
      <c r="F6156" s="69"/>
      <c r="G6156" s="68"/>
      <c r="H6156" s="70"/>
      <c r="BA6156" s="4"/>
      <c r="BB6156" s="4"/>
    </row>
    <row r="6157" spans="1:54" x14ac:dyDescent="0.3">
      <c r="A6157" s="66"/>
      <c r="B6157" s="67"/>
      <c r="C6157" s="66"/>
      <c r="D6157" s="68"/>
      <c r="E6157" s="10"/>
      <c r="F6157" s="69"/>
      <c r="G6157" s="68"/>
      <c r="H6157" s="70"/>
      <c r="BA6157" s="4"/>
      <c r="BB6157" s="4"/>
    </row>
    <row r="6158" spans="1:54" x14ac:dyDescent="0.3">
      <c r="A6158" s="66"/>
      <c r="B6158" s="67"/>
      <c r="C6158" s="66"/>
      <c r="D6158" s="68"/>
      <c r="E6158" s="10"/>
      <c r="F6158" s="69"/>
      <c r="G6158" s="68"/>
      <c r="H6158" s="70"/>
      <c r="BA6158" s="4"/>
      <c r="BB6158" s="4"/>
    </row>
    <row r="6159" spans="1:54" x14ac:dyDescent="0.3">
      <c r="A6159" s="66"/>
      <c r="B6159" s="67"/>
      <c r="C6159" s="66"/>
      <c r="D6159" s="68"/>
      <c r="E6159" s="10"/>
      <c r="F6159" s="69"/>
      <c r="G6159" s="68"/>
      <c r="H6159" s="70"/>
      <c r="BA6159" s="4"/>
      <c r="BB6159" s="4"/>
    </row>
    <row r="6160" spans="1:54" x14ac:dyDescent="0.3">
      <c r="A6160" s="66"/>
      <c r="B6160" s="67"/>
      <c r="C6160" s="66"/>
      <c r="D6160" s="68"/>
      <c r="E6160" s="10"/>
      <c r="F6160" s="69"/>
      <c r="G6160" s="68"/>
      <c r="H6160" s="70"/>
      <c r="BA6160" s="4"/>
      <c r="BB6160" s="4"/>
    </row>
    <row r="6161" spans="1:54" x14ac:dyDescent="0.3">
      <c r="A6161" s="66"/>
      <c r="B6161" s="67"/>
      <c r="C6161" s="66"/>
      <c r="D6161" s="68"/>
      <c r="E6161" s="10"/>
      <c r="F6161" s="69"/>
      <c r="G6161" s="68"/>
      <c r="H6161" s="70"/>
      <c r="BA6161" s="4"/>
      <c r="BB6161" s="4"/>
    </row>
    <row r="6162" spans="1:54" x14ac:dyDescent="0.3">
      <c r="A6162" s="66"/>
      <c r="B6162" s="67"/>
      <c r="C6162" s="66"/>
      <c r="D6162" s="68"/>
      <c r="E6162" s="10"/>
      <c r="F6162" s="69"/>
      <c r="G6162" s="68"/>
      <c r="H6162" s="70"/>
      <c r="BA6162" s="4"/>
      <c r="BB6162" s="4"/>
    </row>
    <row r="6163" spans="1:54" x14ac:dyDescent="0.3">
      <c r="A6163" s="66"/>
      <c r="B6163" s="67"/>
      <c r="C6163" s="66"/>
      <c r="D6163" s="68"/>
      <c r="E6163" s="10"/>
      <c r="F6163" s="69"/>
      <c r="G6163" s="68"/>
      <c r="H6163" s="70"/>
      <c r="BA6163" s="4"/>
      <c r="BB6163" s="4"/>
    </row>
    <row r="6164" spans="1:54" x14ac:dyDescent="0.3">
      <c r="A6164" s="66"/>
      <c r="B6164" s="67"/>
      <c r="C6164" s="66"/>
      <c r="D6164" s="68"/>
      <c r="E6164" s="10"/>
      <c r="F6164" s="69"/>
      <c r="G6164" s="68"/>
      <c r="H6164" s="70"/>
      <c r="BA6164" s="4"/>
      <c r="BB6164" s="4"/>
    </row>
    <row r="6165" spans="1:54" x14ac:dyDescent="0.3">
      <c r="A6165" s="66"/>
      <c r="B6165" s="67"/>
      <c r="C6165" s="66"/>
      <c r="D6165" s="68"/>
      <c r="E6165" s="10"/>
      <c r="F6165" s="69"/>
      <c r="G6165" s="68"/>
      <c r="H6165" s="70"/>
      <c r="BA6165" s="4"/>
      <c r="BB6165" s="4"/>
    </row>
    <row r="6166" spans="1:54" x14ac:dyDescent="0.3">
      <c r="A6166" s="66"/>
      <c r="B6166" s="67"/>
      <c r="C6166" s="66"/>
      <c r="D6166" s="68"/>
      <c r="E6166" s="10"/>
      <c r="F6166" s="69"/>
      <c r="G6166" s="68"/>
      <c r="H6166" s="70"/>
      <c r="BA6166" s="4"/>
      <c r="BB6166" s="4"/>
    </row>
    <row r="6167" spans="1:54" x14ac:dyDescent="0.3">
      <c r="A6167" s="66"/>
      <c r="B6167" s="67"/>
      <c r="C6167" s="66"/>
      <c r="D6167" s="68"/>
      <c r="E6167" s="10"/>
      <c r="F6167" s="69"/>
      <c r="G6167" s="68"/>
      <c r="H6167" s="70"/>
      <c r="BA6167" s="4"/>
      <c r="BB6167" s="4"/>
    </row>
    <row r="6168" spans="1:54" x14ac:dyDescent="0.3">
      <c r="A6168" s="66"/>
      <c r="B6168" s="67"/>
      <c r="C6168" s="66"/>
      <c r="D6168" s="68"/>
      <c r="E6168" s="10"/>
      <c r="F6168" s="69"/>
      <c r="G6168" s="68"/>
      <c r="H6168" s="70"/>
      <c r="BA6168" s="4"/>
      <c r="BB6168" s="4"/>
    </row>
    <row r="6169" spans="1:54" x14ac:dyDescent="0.3">
      <c r="A6169" s="66"/>
      <c r="B6169" s="67"/>
      <c r="C6169" s="66"/>
      <c r="D6169" s="68"/>
      <c r="E6169" s="10"/>
      <c r="F6169" s="69"/>
      <c r="G6169" s="68"/>
      <c r="H6169" s="70"/>
      <c r="BA6169" s="4"/>
      <c r="BB6169" s="4"/>
    </row>
    <row r="6170" spans="1:54" x14ac:dyDescent="0.3">
      <c r="A6170" s="66"/>
      <c r="B6170" s="67"/>
      <c r="C6170" s="66"/>
      <c r="D6170" s="68"/>
      <c r="E6170" s="10"/>
      <c r="F6170" s="69"/>
      <c r="G6170" s="68"/>
      <c r="H6170" s="70"/>
      <c r="BA6170" s="4"/>
      <c r="BB6170" s="4"/>
    </row>
    <row r="6171" spans="1:54" x14ac:dyDescent="0.3">
      <c r="A6171" s="66"/>
      <c r="B6171" s="67"/>
      <c r="C6171" s="66"/>
      <c r="D6171" s="68"/>
      <c r="E6171" s="10"/>
      <c r="F6171" s="69"/>
      <c r="G6171" s="68"/>
      <c r="H6171" s="70"/>
      <c r="BA6171" s="4"/>
      <c r="BB6171" s="4"/>
    </row>
    <row r="6172" spans="1:54" x14ac:dyDescent="0.3">
      <c r="A6172" s="66"/>
      <c r="B6172" s="67"/>
      <c r="C6172" s="66"/>
      <c r="D6172" s="68"/>
      <c r="E6172" s="10"/>
      <c r="F6172" s="69"/>
      <c r="G6172" s="68"/>
      <c r="H6172" s="70"/>
      <c r="BA6172" s="4"/>
      <c r="BB6172" s="4"/>
    </row>
    <row r="6173" spans="1:54" x14ac:dyDescent="0.3">
      <c r="A6173" s="66"/>
      <c r="B6173" s="67"/>
      <c r="C6173" s="66"/>
      <c r="D6173" s="68"/>
      <c r="E6173" s="10"/>
      <c r="F6173" s="69"/>
      <c r="G6173" s="68"/>
      <c r="H6173" s="70"/>
      <c r="BA6173" s="4"/>
      <c r="BB6173" s="4"/>
    </row>
    <row r="6174" spans="1:54" x14ac:dyDescent="0.3">
      <c r="A6174" s="66"/>
      <c r="B6174" s="67"/>
      <c r="C6174" s="66"/>
      <c r="D6174" s="68"/>
      <c r="E6174" s="10"/>
      <c r="F6174" s="69"/>
      <c r="G6174" s="68"/>
      <c r="H6174" s="70"/>
      <c r="BA6174" s="4"/>
      <c r="BB6174" s="4"/>
    </row>
    <row r="6175" spans="1:54" x14ac:dyDescent="0.3">
      <c r="A6175" s="66"/>
      <c r="B6175" s="67"/>
      <c r="C6175" s="66"/>
      <c r="D6175" s="68"/>
      <c r="E6175" s="10"/>
      <c r="F6175" s="69"/>
      <c r="G6175" s="68"/>
      <c r="H6175" s="70"/>
      <c r="BA6175" s="4"/>
      <c r="BB6175" s="4"/>
    </row>
    <row r="6176" spans="1:54" x14ac:dyDescent="0.3">
      <c r="A6176" s="66"/>
      <c r="B6176" s="67"/>
      <c r="C6176" s="66"/>
      <c r="D6176" s="68"/>
      <c r="E6176" s="10"/>
      <c r="F6176" s="69"/>
      <c r="G6176" s="68"/>
      <c r="H6176" s="70"/>
      <c r="BA6176" s="4"/>
      <c r="BB6176" s="4"/>
    </row>
    <row r="6177" spans="1:54" x14ac:dyDescent="0.3">
      <c r="A6177" s="66"/>
      <c r="B6177" s="67"/>
      <c r="C6177" s="66"/>
      <c r="D6177" s="68"/>
      <c r="E6177" s="10"/>
      <c r="F6177" s="69"/>
      <c r="G6177" s="68"/>
      <c r="H6177" s="70"/>
      <c r="BA6177" s="4"/>
      <c r="BB6177" s="4"/>
    </row>
    <row r="6178" spans="1:54" x14ac:dyDescent="0.3">
      <c r="A6178" s="66"/>
      <c r="B6178" s="67"/>
      <c r="C6178" s="66"/>
      <c r="D6178" s="68"/>
      <c r="E6178" s="10"/>
      <c r="F6178" s="69"/>
      <c r="G6178" s="68"/>
      <c r="H6178" s="70"/>
      <c r="BA6178" s="4"/>
      <c r="BB6178" s="4"/>
    </row>
    <row r="6179" spans="1:54" x14ac:dyDescent="0.3">
      <c r="A6179" s="66"/>
      <c r="B6179" s="67"/>
      <c r="C6179" s="66"/>
      <c r="D6179" s="68"/>
      <c r="E6179" s="10"/>
      <c r="F6179" s="69"/>
      <c r="G6179" s="68"/>
      <c r="H6179" s="70"/>
      <c r="BA6179" s="4"/>
      <c r="BB6179" s="4"/>
    </row>
    <row r="6180" spans="1:54" x14ac:dyDescent="0.3">
      <c r="A6180" s="66"/>
      <c r="B6180" s="67"/>
      <c r="C6180" s="66"/>
      <c r="D6180" s="68"/>
      <c r="E6180" s="10"/>
      <c r="F6180" s="69"/>
      <c r="G6180" s="68"/>
      <c r="H6180" s="70"/>
      <c r="BA6180" s="4"/>
      <c r="BB6180" s="4"/>
    </row>
    <row r="6181" spans="1:54" x14ac:dyDescent="0.3">
      <c r="A6181" s="66"/>
      <c r="B6181" s="67"/>
      <c r="C6181" s="66"/>
      <c r="D6181" s="68"/>
      <c r="E6181" s="10"/>
      <c r="F6181" s="69"/>
      <c r="G6181" s="68"/>
      <c r="H6181" s="70"/>
      <c r="BA6181" s="4"/>
      <c r="BB6181" s="4"/>
    </row>
    <row r="6182" spans="1:54" x14ac:dyDescent="0.3">
      <c r="A6182" s="66"/>
      <c r="B6182" s="67"/>
      <c r="C6182" s="66"/>
      <c r="D6182" s="68"/>
      <c r="E6182" s="10"/>
      <c r="F6182" s="69"/>
      <c r="G6182" s="68"/>
      <c r="H6182" s="70"/>
      <c r="BA6182" s="4"/>
      <c r="BB6182" s="4"/>
    </row>
    <row r="6183" spans="1:54" x14ac:dyDescent="0.3">
      <c r="A6183" s="66"/>
      <c r="B6183" s="67"/>
      <c r="C6183" s="66"/>
      <c r="D6183" s="68"/>
      <c r="E6183" s="10"/>
      <c r="F6183" s="69"/>
      <c r="G6183" s="68"/>
      <c r="H6183" s="70"/>
      <c r="BA6183" s="4"/>
      <c r="BB6183" s="4"/>
    </row>
    <row r="6184" spans="1:54" x14ac:dyDescent="0.3">
      <c r="A6184" s="66"/>
      <c r="B6184" s="67"/>
      <c r="C6184" s="66"/>
      <c r="D6184" s="68"/>
      <c r="E6184" s="10"/>
      <c r="F6184" s="69"/>
      <c r="G6184" s="68"/>
      <c r="H6184" s="70"/>
      <c r="BA6184" s="4"/>
      <c r="BB6184" s="4"/>
    </row>
    <row r="6185" spans="1:54" x14ac:dyDescent="0.3">
      <c r="A6185" s="66"/>
      <c r="B6185" s="67"/>
      <c r="C6185" s="66"/>
      <c r="D6185" s="68"/>
      <c r="E6185" s="10"/>
      <c r="F6185" s="69"/>
      <c r="G6185" s="68"/>
      <c r="H6185" s="70"/>
      <c r="BA6185" s="4"/>
      <c r="BB6185" s="4"/>
    </row>
    <row r="6186" spans="1:54" x14ac:dyDescent="0.3">
      <c r="A6186" s="66"/>
      <c r="B6186" s="67"/>
      <c r="C6186" s="66"/>
      <c r="D6186" s="68"/>
      <c r="E6186" s="10"/>
      <c r="F6186" s="69"/>
      <c r="G6186" s="68"/>
      <c r="H6186" s="70"/>
      <c r="BA6186" s="4"/>
      <c r="BB6186" s="4"/>
    </row>
    <row r="6187" spans="1:54" x14ac:dyDescent="0.3">
      <c r="A6187" s="66"/>
      <c r="B6187" s="67"/>
      <c r="C6187" s="66"/>
      <c r="D6187" s="68"/>
      <c r="E6187" s="10"/>
      <c r="F6187" s="69"/>
      <c r="G6187" s="68"/>
      <c r="H6187" s="70"/>
      <c r="BA6187" s="4"/>
      <c r="BB6187" s="4"/>
    </row>
    <row r="6188" spans="1:54" x14ac:dyDescent="0.3">
      <c r="A6188" s="66"/>
      <c r="B6188" s="67"/>
      <c r="C6188" s="66"/>
      <c r="D6188" s="68"/>
      <c r="E6188" s="10"/>
      <c r="F6188" s="69"/>
      <c r="G6188" s="68"/>
      <c r="H6188" s="70"/>
      <c r="BA6188" s="4"/>
      <c r="BB6188" s="4"/>
    </row>
    <row r="6189" spans="1:54" x14ac:dyDescent="0.3">
      <c r="A6189" s="66"/>
      <c r="B6189" s="67"/>
      <c r="C6189" s="66"/>
      <c r="D6189" s="68"/>
      <c r="E6189" s="10"/>
      <c r="F6189" s="69"/>
      <c r="G6189" s="68"/>
      <c r="H6189" s="70"/>
      <c r="BA6189" s="4"/>
      <c r="BB6189" s="4"/>
    </row>
    <row r="6190" spans="1:54" x14ac:dyDescent="0.3">
      <c r="A6190" s="66"/>
      <c r="B6190" s="67"/>
      <c r="C6190" s="66"/>
      <c r="D6190" s="68"/>
      <c r="E6190" s="10"/>
      <c r="F6190" s="69"/>
      <c r="G6190" s="68"/>
      <c r="H6190" s="70"/>
      <c r="BA6190" s="4"/>
      <c r="BB6190" s="4"/>
    </row>
    <row r="6191" spans="1:54" x14ac:dyDescent="0.3">
      <c r="A6191" s="66"/>
      <c r="B6191" s="67"/>
      <c r="C6191" s="66"/>
      <c r="D6191" s="68"/>
      <c r="E6191" s="10"/>
      <c r="F6191" s="69"/>
      <c r="G6191" s="68"/>
      <c r="H6191" s="70"/>
      <c r="BA6191" s="4"/>
      <c r="BB6191" s="4"/>
    </row>
    <row r="6192" spans="1:54" x14ac:dyDescent="0.3">
      <c r="A6192" s="66"/>
      <c r="B6192" s="67"/>
      <c r="C6192" s="66"/>
      <c r="D6192" s="68"/>
      <c r="E6192" s="10"/>
      <c r="F6192" s="69"/>
      <c r="G6192" s="68"/>
      <c r="H6192" s="70"/>
      <c r="BA6192" s="4"/>
      <c r="BB6192" s="4"/>
    </row>
    <row r="6193" spans="1:54" x14ac:dyDescent="0.3">
      <c r="A6193" s="66"/>
      <c r="B6193" s="67"/>
      <c r="C6193" s="66"/>
      <c r="D6193" s="68"/>
      <c r="E6193" s="10"/>
      <c r="F6193" s="69"/>
      <c r="G6193" s="68"/>
      <c r="H6193" s="70"/>
      <c r="BA6193" s="4"/>
      <c r="BB6193" s="4"/>
    </row>
    <row r="6194" spans="1:54" x14ac:dyDescent="0.3">
      <c r="A6194" s="66"/>
      <c r="B6194" s="67"/>
      <c r="C6194" s="66"/>
      <c r="D6194" s="68"/>
      <c r="E6194" s="10"/>
      <c r="F6194" s="69"/>
      <c r="G6194" s="68"/>
      <c r="H6194" s="70"/>
      <c r="BA6194" s="4"/>
      <c r="BB6194" s="4"/>
    </row>
    <row r="6195" spans="1:54" x14ac:dyDescent="0.3">
      <c r="A6195" s="66"/>
      <c r="B6195" s="67"/>
      <c r="C6195" s="66"/>
      <c r="D6195" s="68"/>
      <c r="E6195" s="10"/>
      <c r="F6195" s="69"/>
      <c r="G6195" s="68"/>
      <c r="H6195" s="70"/>
      <c r="BA6195" s="4"/>
      <c r="BB6195" s="4"/>
    </row>
    <row r="6196" spans="1:54" x14ac:dyDescent="0.3">
      <c r="A6196" s="66"/>
      <c r="B6196" s="67"/>
      <c r="C6196" s="66"/>
      <c r="D6196" s="68"/>
      <c r="E6196" s="10"/>
      <c r="F6196" s="69"/>
      <c r="G6196" s="68"/>
      <c r="H6196" s="70"/>
      <c r="BA6196" s="4"/>
      <c r="BB6196" s="4"/>
    </row>
    <row r="6197" spans="1:54" x14ac:dyDescent="0.3">
      <c r="A6197" s="66"/>
      <c r="B6197" s="67"/>
      <c r="C6197" s="66"/>
      <c r="D6197" s="68"/>
      <c r="E6197" s="10"/>
      <c r="F6197" s="69"/>
      <c r="G6197" s="68"/>
      <c r="H6197" s="70"/>
      <c r="BA6197" s="4"/>
      <c r="BB6197" s="4"/>
    </row>
    <row r="6198" spans="1:54" x14ac:dyDescent="0.3">
      <c r="A6198" s="66"/>
      <c r="B6198" s="67"/>
      <c r="C6198" s="66"/>
      <c r="D6198" s="68"/>
      <c r="E6198" s="10"/>
      <c r="F6198" s="69"/>
      <c r="G6198" s="68"/>
      <c r="H6198" s="70"/>
      <c r="BA6198" s="4"/>
      <c r="BB6198" s="4"/>
    </row>
    <row r="6199" spans="1:54" x14ac:dyDescent="0.3">
      <c r="A6199" s="66"/>
      <c r="B6199" s="67"/>
      <c r="C6199" s="66"/>
      <c r="D6199" s="68"/>
      <c r="E6199" s="10"/>
      <c r="F6199" s="69"/>
      <c r="G6199" s="68"/>
      <c r="H6199" s="70"/>
      <c r="BA6199" s="4"/>
      <c r="BB6199" s="4"/>
    </row>
    <row r="6200" spans="1:54" x14ac:dyDescent="0.3">
      <c r="A6200" s="66"/>
      <c r="B6200" s="67"/>
      <c r="C6200" s="66"/>
      <c r="D6200" s="68"/>
      <c r="E6200" s="10"/>
      <c r="F6200" s="69"/>
      <c r="G6200" s="68"/>
      <c r="H6200" s="70"/>
      <c r="BA6200" s="4"/>
      <c r="BB6200" s="4"/>
    </row>
    <row r="6201" spans="1:54" x14ac:dyDescent="0.3">
      <c r="A6201" s="66"/>
      <c r="B6201" s="67"/>
      <c r="C6201" s="66"/>
      <c r="D6201" s="68"/>
      <c r="E6201" s="10"/>
      <c r="F6201" s="69"/>
      <c r="G6201" s="68"/>
      <c r="H6201" s="70"/>
      <c r="BA6201" s="4"/>
      <c r="BB6201" s="4"/>
    </row>
    <row r="6202" spans="1:54" x14ac:dyDescent="0.3">
      <c r="A6202" s="66"/>
      <c r="B6202" s="67"/>
      <c r="C6202" s="66"/>
      <c r="D6202" s="68"/>
      <c r="E6202" s="10"/>
      <c r="F6202" s="69"/>
      <c r="G6202" s="68"/>
      <c r="H6202" s="70"/>
      <c r="BA6202" s="4"/>
      <c r="BB6202" s="4"/>
    </row>
    <row r="6203" spans="1:54" x14ac:dyDescent="0.3">
      <c r="A6203" s="66"/>
      <c r="B6203" s="67"/>
      <c r="C6203" s="66"/>
      <c r="D6203" s="68"/>
      <c r="E6203" s="10"/>
      <c r="F6203" s="69"/>
      <c r="G6203" s="68"/>
      <c r="H6203" s="70"/>
      <c r="BA6203" s="4"/>
      <c r="BB6203" s="4"/>
    </row>
    <row r="6204" spans="1:54" x14ac:dyDescent="0.3">
      <c r="A6204" s="66"/>
      <c r="B6204" s="67"/>
      <c r="C6204" s="66"/>
      <c r="D6204" s="68"/>
      <c r="E6204" s="10"/>
      <c r="F6204" s="69"/>
      <c r="G6204" s="68"/>
      <c r="H6204" s="70"/>
      <c r="BA6204" s="4"/>
      <c r="BB6204" s="4"/>
    </row>
    <row r="6205" spans="1:54" x14ac:dyDescent="0.3">
      <c r="A6205" s="66"/>
      <c r="B6205" s="67"/>
      <c r="C6205" s="66"/>
      <c r="D6205" s="68"/>
      <c r="E6205" s="10"/>
      <c r="F6205" s="69"/>
      <c r="G6205" s="68"/>
      <c r="H6205" s="70"/>
      <c r="BA6205" s="4"/>
      <c r="BB6205" s="4"/>
    </row>
    <row r="6206" spans="1:54" x14ac:dyDescent="0.3">
      <c r="A6206" s="66"/>
      <c r="B6206" s="67"/>
      <c r="C6206" s="66"/>
      <c r="D6206" s="68"/>
      <c r="E6206" s="10"/>
      <c r="F6206" s="69"/>
      <c r="G6206" s="68"/>
      <c r="H6206" s="70"/>
      <c r="BA6206" s="4"/>
      <c r="BB6206" s="4"/>
    </row>
    <row r="6207" spans="1:54" x14ac:dyDescent="0.3">
      <c r="A6207" s="66"/>
      <c r="B6207" s="67"/>
      <c r="C6207" s="66"/>
      <c r="D6207" s="68"/>
      <c r="E6207" s="10"/>
      <c r="F6207" s="69"/>
      <c r="G6207" s="68"/>
      <c r="H6207" s="70"/>
      <c r="BA6207" s="4"/>
      <c r="BB6207" s="4"/>
    </row>
    <row r="6208" spans="1:54" x14ac:dyDescent="0.3">
      <c r="A6208" s="66"/>
      <c r="B6208" s="67"/>
      <c r="C6208" s="66"/>
      <c r="D6208" s="68"/>
      <c r="E6208" s="10"/>
      <c r="F6208" s="69"/>
      <c r="G6208" s="68"/>
      <c r="H6208" s="70"/>
      <c r="BA6208" s="4"/>
      <c r="BB6208" s="4"/>
    </row>
    <row r="6209" spans="1:54" x14ac:dyDescent="0.3">
      <c r="A6209" s="66"/>
      <c r="B6209" s="67"/>
      <c r="C6209" s="66"/>
      <c r="D6209" s="68"/>
      <c r="E6209" s="10"/>
      <c r="F6209" s="69"/>
      <c r="G6209" s="68"/>
      <c r="H6209" s="70"/>
      <c r="BA6209" s="4"/>
      <c r="BB6209" s="4"/>
    </row>
    <row r="6210" spans="1:54" x14ac:dyDescent="0.3">
      <c r="A6210" s="66"/>
      <c r="B6210" s="67"/>
      <c r="C6210" s="66"/>
      <c r="D6210" s="68"/>
      <c r="E6210" s="10"/>
      <c r="F6210" s="69"/>
      <c r="G6210" s="68"/>
      <c r="H6210" s="70"/>
      <c r="BA6210" s="4"/>
      <c r="BB6210" s="4"/>
    </row>
    <row r="6211" spans="1:54" x14ac:dyDescent="0.3">
      <c r="A6211" s="66"/>
      <c r="B6211" s="67"/>
      <c r="C6211" s="66"/>
      <c r="D6211" s="68"/>
      <c r="E6211" s="10"/>
      <c r="F6211" s="69"/>
      <c r="G6211" s="68"/>
      <c r="H6211" s="70"/>
      <c r="BA6211" s="4"/>
      <c r="BB6211" s="4"/>
    </row>
    <row r="6212" spans="1:54" x14ac:dyDescent="0.3">
      <c r="A6212" s="66"/>
      <c r="B6212" s="67"/>
      <c r="C6212" s="66"/>
      <c r="D6212" s="68"/>
      <c r="E6212" s="10"/>
      <c r="F6212" s="69"/>
      <c r="G6212" s="68"/>
      <c r="H6212" s="70"/>
      <c r="BA6212" s="4"/>
      <c r="BB6212" s="4"/>
    </row>
    <row r="6213" spans="1:54" x14ac:dyDescent="0.3">
      <c r="A6213" s="66"/>
      <c r="B6213" s="67"/>
      <c r="C6213" s="66"/>
      <c r="D6213" s="68"/>
      <c r="E6213" s="10"/>
      <c r="F6213" s="69"/>
      <c r="G6213" s="68"/>
      <c r="H6213" s="70"/>
      <c r="BA6213" s="4"/>
      <c r="BB6213" s="4"/>
    </row>
    <row r="6214" spans="1:54" x14ac:dyDescent="0.3">
      <c r="A6214" s="66"/>
      <c r="B6214" s="67"/>
      <c r="C6214" s="66"/>
      <c r="D6214" s="68"/>
      <c r="E6214" s="10"/>
      <c r="F6214" s="69"/>
      <c r="G6214" s="68"/>
      <c r="H6214" s="70"/>
      <c r="BA6214" s="4"/>
      <c r="BB6214" s="4"/>
    </row>
    <row r="6215" spans="1:54" x14ac:dyDescent="0.3">
      <c r="A6215" s="66"/>
      <c r="B6215" s="67"/>
      <c r="C6215" s="66"/>
      <c r="D6215" s="68"/>
      <c r="E6215" s="10"/>
      <c r="F6215" s="69"/>
      <c r="G6215" s="68"/>
      <c r="H6215" s="70"/>
      <c r="BA6215" s="4"/>
      <c r="BB6215" s="4"/>
    </row>
    <row r="6216" spans="1:54" x14ac:dyDescent="0.3">
      <c r="A6216" s="66"/>
      <c r="B6216" s="67"/>
      <c r="C6216" s="66"/>
      <c r="D6216" s="68"/>
      <c r="E6216" s="10"/>
      <c r="F6216" s="69"/>
      <c r="G6216" s="68"/>
      <c r="H6216" s="70"/>
      <c r="BA6216" s="4"/>
      <c r="BB6216" s="4"/>
    </row>
    <row r="6217" spans="1:54" x14ac:dyDescent="0.3">
      <c r="A6217" s="66"/>
      <c r="B6217" s="67"/>
      <c r="C6217" s="66"/>
      <c r="D6217" s="68"/>
      <c r="E6217" s="10"/>
      <c r="F6217" s="69"/>
      <c r="G6217" s="68"/>
      <c r="H6217" s="70"/>
      <c r="BA6217" s="4"/>
      <c r="BB6217" s="4"/>
    </row>
    <row r="6218" spans="1:54" x14ac:dyDescent="0.3">
      <c r="A6218" s="66"/>
      <c r="B6218" s="67"/>
      <c r="C6218" s="66"/>
      <c r="D6218" s="68"/>
      <c r="E6218" s="10"/>
      <c r="F6218" s="69"/>
      <c r="G6218" s="68"/>
      <c r="H6218" s="70"/>
      <c r="BA6218" s="4"/>
      <c r="BB6218" s="4"/>
    </row>
    <row r="6219" spans="1:54" x14ac:dyDescent="0.3">
      <c r="A6219" s="66"/>
      <c r="B6219" s="67"/>
      <c r="C6219" s="66"/>
      <c r="D6219" s="68"/>
      <c r="E6219" s="10"/>
      <c r="F6219" s="69"/>
      <c r="G6219" s="68"/>
      <c r="H6219" s="70"/>
      <c r="BA6219" s="4"/>
      <c r="BB6219" s="4"/>
    </row>
    <row r="6220" spans="1:54" x14ac:dyDescent="0.3">
      <c r="A6220" s="66"/>
      <c r="B6220" s="67"/>
      <c r="C6220" s="66"/>
      <c r="D6220" s="68"/>
      <c r="E6220" s="10"/>
      <c r="F6220" s="69"/>
      <c r="G6220" s="68"/>
      <c r="H6220" s="70"/>
      <c r="BA6220" s="4"/>
      <c r="BB6220" s="4"/>
    </row>
    <row r="6221" spans="1:54" x14ac:dyDescent="0.3">
      <c r="A6221" s="66"/>
      <c r="B6221" s="67"/>
      <c r="C6221" s="66"/>
      <c r="D6221" s="68"/>
      <c r="E6221" s="10"/>
      <c r="F6221" s="69"/>
      <c r="G6221" s="68"/>
      <c r="H6221" s="70"/>
      <c r="BA6221" s="4"/>
      <c r="BB6221" s="4"/>
    </row>
    <row r="6222" spans="1:54" x14ac:dyDescent="0.3">
      <c r="A6222" s="66"/>
      <c r="B6222" s="67"/>
      <c r="C6222" s="66"/>
      <c r="D6222" s="68"/>
      <c r="E6222" s="10"/>
      <c r="F6222" s="69"/>
      <c r="G6222" s="68"/>
      <c r="H6222" s="70"/>
      <c r="BA6222" s="4"/>
      <c r="BB6222" s="4"/>
    </row>
    <row r="6223" spans="1:54" x14ac:dyDescent="0.3">
      <c r="A6223" s="66"/>
      <c r="B6223" s="67"/>
      <c r="C6223" s="66"/>
      <c r="D6223" s="68"/>
      <c r="E6223" s="10"/>
      <c r="F6223" s="69"/>
      <c r="G6223" s="68"/>
      <c r="H6223" s="70"/>
      <c r="BA6223" s="4"/>
      <c r="BB6223" s="4"/>
    </row>
    <row r="6224" spans="1:54" x14ac:dyDescent="0.3">
      <c r="A6224" s="66"/>
      <c r="B6224" s="67"/>
      <c r="C6224" s="66"/>
      <c r="D6224" s="68"/>
      <c r="E6224" s="10"/>
      <c r="F6224" s="69"/>
      <c r="G6224" s="68"/>
      <c r="H6224" s="70"/>
      <c r="BA6224" s="4"/>
      <c r="BB6224" s="4"/>
    </row>
    <row r="6225" spans="1:54" x14ac:dyDescent="0.3">
      <c r="A6225" s="66"/>
      <c r="B6225" s="67"/>
      <c r="C6225" s="66"/>
      <c r="D6225" s="68"/>
      <c r="E6225" s="10"/>
      <c r="F6225" s="69"/>
      <c r="G6225" s="68"/>
      <c r="H6225" s="70"/>
      <c r="BA6225" s="4"/>
      <c r="BB6225" s="4"/>
    </row>
    <row r="6226" spans="1:54" x14ac:dyDescent="0.3">
      <c r="A6226" s="66"/>
      <c r="B6226" s="67"/>
      <c r="C6226" s="66"/>
      <c r="D6226" s="68"/>
      <c r="E6226" s="10"/>
      <c r="F6226" s="69"/>
      <c r="G6226" s="68"/>
      <c r="H6226" s="70"/>
      <c r="BA6226" s="4"/>
      <c r="BB6226" s="4"/>
    </row>
    <row r="6227" spans="1:54" x14ac:dyDescent="0.3">
      <c r="A6227" s="66"/>
      <c r="B6227" s="67"/>
      <c r="C6227" s="66"/>
      <c r="D6227" s="68"/>
      <c r="E6227" s="10"/>
      <c r="F6227" s="69"/>
      <c r="G6227" s="68"/>
      <c r="H6227" s="70"/>
      <c r="BA6227" s="4"/>
      <c r="BB6227" s="4"/>
    </row>
    <row r="6228" spans="1:54" x14ac:dyDescent="0.3">
      <c r="A6228" s="66"/>
      <c r="B6228" s="67"/>
      <c r="C6228" s="66"/>
      <c r="D6228" s="68"/>
      <c r="E6228" s="10"/>
      <c r="F6228" s="69"/>
      <c r="G6228" s="68"/>
      <c r="H6228" s="70"/>
      <c r="BA6228" s="4"/>
      <c r="BB6228" s="4"/>
    </row>
    <row r="6229" spans="1:54" x14ac:dyDescent="0.3">
      <c r="A6229" s="66"/>
      <c r="B6229" s="67"/>
      <c r="C6229" s="66"/>
      <c r="D6229" s="68"/>
      <c r="E6229" s="10"/>
      <c r="F6229" s="69"/>
      <c r="G6229" s="68"/>
      <c r="H6229" s="70"/>
      <c r="BA6229" s="4"/>
      <c r="BB6229" s="4"/>
    </row>
    <row r="6230" spans="1:54" x14ac:dyDescent="0.3">
      <c r="A6230" s="66"/>
      <c r="B6230" s="67"/>
      <c r="C6230" s="66"/>
      <c r="D6230" s="68"/>
      <c r="E6230" s="10"/>
      <c r="F6230" s="69"/>
      <c r="G6230" s="68"/>
      <c r="H6230" s="70"/>
      <c r="BA6230" s="4"/>
      <c r="BB6230" s="4"/>
    </row>
    <row r="6231" spans="1:54" x14ac:dyDescent="0.3">
      <c r="A6231" s="66"/>
      <c r="B6231" s="67"/>
      <c r="C6231" s="66"/>
      <c r="D6231" s="68"/>
      <c r="E6231" s="10"/>
      <c r="F6231" s="69"/>
      <c r="G6231" s="68"/>
      <c r="H6231" s="70"/>
      <c r="BA6231" s="4"/>
      <c r="BB6231" s="4"/>
    </row>
    <row r="6232" spans="1:54" x14ac:dyDescent="0.3">
      <c r="A6232" s="66"/>
      <c r="B6232" s="67"/>
      <c r="C6232" s="66"/>
      <c r="D6232" s="68"/>
      <c r="E6232" s="10"/>
      <c r="F6232" s="69"/>
      <c r="G6232" s="68"/>
      <c r="H6232" s="70"/>
      <c r="BA6232" s="4"/>
      <c r="BB6232" s="4"/>
    </row>
    <row r="6233" spans="1:54" x14ac:dyDescent="0.3">
      <c r="A6233" s="66"/>
      <c r="B6233" s="67"/>
      <c r="C6233" s="66"/>
      <c r="D6233" s="68"/>
      <c r="E6233" s="10"/>
      <c r="F6233" s="69"/>
      <c r="G6233" s="68"/>
      <c r="H6233" s="70"/>
      <c r="BA6233" s="4"/>
      <c r="BB6233" s="4"/>
    </row>
    <row r="6234" spans="1:54" x14ac:dyDescent="0.3">
      <c r="A6234" s="66"/>
      <c r="B6234" s="67"/>
      <c r="C6234" s="66"/>
      <c r="D6234" s="68"/>
      <c r="E6234" s="10"/>
      <c r="F6234" s="69"/>
      <c r="G6234" s="68"/>
      <c r="H6234" s="70"/>
      <c r="BA6234" s="4"/>
      <c r="BB6234" s="4"/>
    </row>
    <row r="6235" spans="1:54" x14ac:dyDescent="0.3">
      <c r="A6235" s="66"/>
      <c r="B6235" s="67"/>
      <c r="C6235" s="66"/>
      <c r="D6235" s="68"/>
      <c r="E6235" s="10"/>
      <c r="F6235" s="69"/>
      <c r="G6235" s="68"/>
      <c r="H6235" s="70"/>
      <c r="BA6235" s="4"/>
      <c r="BB6235" s="4"/>
    </row>
    <row r="6236" spans="1:54" x14ac:dyDescent="0.3">
      <c r="A6236" s="66"/>
      <c r="B6236" s="67"/>
      <c r="C6236" s="66"/>
      <c r="D6236" s="68"/>
      <c r="E6236" s="10"/>
      <c r="F6236" s="69"/>
      <c r="G6236" s="68"/>
      <c r="H6236" s="70"/>
      <c r="BA6236" s="4"/>
      <c r="BB6236" s="4"/>
    </row>
    <row r="6237" spans="1:54" x14ac:dyDescent="0.3">
      <c r="A6237" s="66"/>
      <c r="B6237" s="67"/>
      <c r="C6237" s="66"/>
      <c r="D6237" s="68"/>
      <c r="E6237" s="10"/>
      <c r="F6237" s="69"/>
      <c r="G6237" s="68"/>
      <c r="H6237" s="70"/>
      <c r="BA6237" s="4"/>
      <c r="BB6237" s="4"/>
    </row>
    <row r="6238" spans="1:54" x14ac:dyDescent="0.3">
      <c r="A6238" s="66"/>
      <c r="B6238" s="67"/>
      <c r="C6238" s="66"/>
      <c r="D6238" s="68"/>
      <c r="E6238" s="10"/>
      <c r="F6238" s="69"/>
      <c r="G6238" s="68"/>
      <c r="H6238" s="70"/>
      <c r="BA6238" s="4"/>
      <c r="BB6238" s="4"/>
    </row>
    <row r="6239" spans="1:54" x14ac:dyDescent="0.3">
      <c r="A6239" s="66"/>
      <c r="B6239" s="67"/>
      <c r="C6239" s="66"/>
      <c r="D6239" s="68"/>
      <c r="E6239" s="10"/>
      <c r="F6239" s="69"/>
      <c r="G6239" s="68"/>
      <c r="H6239" s="70"/>
      <c r="BA6239" s="4"/>
      <c r="BB6239" s="4"/>
    </row>
    <row r="6240" spans="1:54" x14ac:dyDescent="0.3">
      <c r="A6240" s="66"/>
      <c r="B6240" s="67"/>
      <c r="C6240" s="66"/>
      <c r="D6240" s="68"/>
      <c r="E6240" s="10"/>
      <c r="F6240" s="69"/>
      <c r="G6240" s="68"/>
      <c r="H6240" s="70"/>
      <c r="BA6240" s="4"/>
      <c r="BB6240" s="4"/>
    </row>
    <row r="6241" spans="1:54" x14ac:dyDescent="0.3">
      <c r="A6241" s="66"/>
      <c r="B6241" s="67"/>
      <c r="C6241" s="66"/>
      <c r="D6241" s="68"/>
      <c r="E6241" s="10"/>
      <c r="F6241" s="69"/>
      <c r="G6241" s="68"/>
      <c r="H6241" s="70"/>
      <c r="BA6241" s="4"/>
      <c r="BB6241" s="4"/>
    </row>
    <row r="6242" spans="1:54" x14ac:dyDescent="0.3">
      <c r="A6242" s="66"/>
      <c r="B6242" s="67"/>
      <c r="C6242" s="66"/>
      <c r="D6242" s="68"/>
      <c r="E6242" s="10"/>
      <c r="F6242" s="69"/>
      <c r="G6242" s="68"/>
      <c r="H6242" s="70"/>
      <c r="BA6242" s="4"/>
      <c r="BB6242" s="4"/>
    </row>
    <row r="6243" spans="1:54" x14ac:dyDescent="0.3">
      <c r="A6243" s="66"/>
      <c r="B6243" s="67"/>
      <c r="C6243" s="66"/>
      <c r="D6243" s="68"/>
      <c r="E6243" s="10"/>
      <c r="F6243" s="69"/>
      <c r="G6243" s="68"/>
      <c r="H6243" s="70"/>
      <c r="BA6243" s="4"/>
      <c r="BB6243" s="4"/>
    </row>
    <row r="6244" spans="1:54" x14ac:dyDescent="0.3">
      <c r="A6244" s="66"/>
      <c r="B6244" s="67"/>
      <c r="C6244" s="66"/>
      <c r="D6244" s="68"/>
      <c r="E6244" s="10"/>
      <c r="F6244" s="69"/>
      <c r="G6244" s="68"/>
      <c r="H6244" s="70"/>
      <c r="BA6244" s="4"/>
      <c r="BB6244" s="4"/>
    </row>
    <row r="6245" spans="1:54" x14ac:dyDescent="0.3">
      <c r="A6245" s="66"/>
      <c r="B6245" s="67"/>
      <c r="C6245" s="66"/>
      <c r="D6245" s="68"/>
      <c r="E6245" s="10"/>
      <c r="F6245" s="69"/>
      <c r="G6245" s="68"/>
      <c r="H6245" s="70"/>
      <c r="BA6245" s="4"/>
      <c r="BB6245" s="4"/>
    </row>
    <row r="6246" spans="1:54" x14ac:dyDescent="0.3">
      <c r="A6246" s="66"/>
      <c r="B6246" s="67"/>
      <c r="C6246" s="66"/>
      <c r="D6246" s="68"/>
      <c r="E6246" s="10"/>
      <c r="F6246" s="69"/>
      <c r="G6246" s="68"/>
      <c r="H6246" s="70"/>
      <c r="BA6246" s="4"/>
      <c r="BB6246" s="4"/>
    </row>
    <row r="6247" spans="1:54" x14ac:dyDescent="0.3">
      <c r="A6247" s="66"/>
      <c r="B6247" s="67"/>
      <c r="C6247" s="66"/>
      <c r="D6247" s="68"/>
      <c r="E6247" s="10"/>
      <c r="F6247" s="69"/>
      <c r="G6247" s="68"/>
      <c r="H6247" s="70"/>
      <c r="BA6247" s="4"/>
      <c r="BB6247" s="4"/>
    </row>
    <row r="6248" spans="1:54" x14ac:dyDescent="0.3">
      <c r="A6248" s="66"/>
      <c r="B6248" s="67"/>
      <c r="C6248" s="66"/>
      <c r="D6248" s="68"/>
      <c r="E6248" s="10"/>
      <c r="F6248" s="69"/>
      <c r="G6248" s="68"/>
      <c r="H6248" s="70"/>
      <c r="BA6248" s="4"/>
      <c r="BB6248" s="4"/>
    </row>
    <row r="6249" spans="1:54" x14ac:dyDescent="0.3">
      <c r="A6249" s="66"/>
      <c r="B6249" s="67"/>
      <c r="C6249" s="66"/>
      <c r="D6249" s="68"/>
      <c r="E6249" s="10"/>
      <c r="F6249" s="69"/>
      <c r="G6249" s="68"/>
      <c r="H6249" s="70"/>
      <c r="BA6249" s="4"/>
      <c r="BB6249" s="4"/>
    </row>
    <row r="6250" spans="1:54" x14ac:dyDescent="0.3">
      <c r="A6250" s="66"/>
      <c r="B6250" s="67"/>
      <c r="C6250" s="66"/>
      <c r="D6250" s="68"/>
      <c r="E6250" s="10"/>
      <c r="F6250" s="69"/>
      <c r="G6250" s="68"/>
      <c r="H6250" s="70"/>
      <c r="BA6250" s="4"/>
      <c r="BB6250" s="4"/>
    </row>
    <row r="6251" spans="1:54" x14ac:dyDescent="0.3">
      <c r="A6251" s="66"/>
      <c r="B6251" s="67"/>
      <c r="C6251" s="66"/>
      <c r="D6251" s="68"/>
      <c r="E6251" s="10"/>
      <c r="F6251" s="69"/>
      <c r="G6251" s="68"/>
      <c r="H6251" s="70"/>
      <c r="BA6251" s="4"/>
      <c r="BB6251" s="4"/>
    </row>
    <row r="6252" spans="1:54" x14ac:dyDescent="0.3">
      <c r="A6252" s="66"/>
      <c r="B6252" s="67"/>
      <c r="C6252" s="66"/>
      <c r="D6252" s="68"/>
      <c r="E6252" s="10"/>
      <c r="F6252" s="69"/>
      <c r="G6252" s="68"/>
      <c r="H6252" s="70"/>
      <c r="BA6252" s="4"/>
      <c r="BB6252" s="4"/>
    </row>
    <row r="6253" spans="1:54" x14ac:dyDescent="0.3">
      <c r="A6253" s="66"/>
      <c r="B6253" s="67"/>
      <c r="C6253" s="66"/>
      <c r="D6253" s="68"/>
      <c r="E6253" s="10"/>
      <c r="F6253" s="69"/>
      <c r="G6253" s="68"/>
      <c r="H6253" s="70"/>
      <c r="BA6253" s="4"/>
      <c r="BB6253" s="4"/>
    </row>
    <row r="6254" spans="1:54" x14ac:dyDescent="0.3">
      <c r="A6254" s="66"/>
      <c r="B6254" s="67"/>
      <c r="C6254" s="66"/>
      <c r="D6254" s="68"/>
      <c r="E6254" s="10"/>
      <c r="F6254" s="69"/>
      <c r="G6254" s="68"/>
      <c r="H6254" s="70"/>
      <c r="BA6254" s="4"/>
      <c r="BB6254" s="4"/>
    </row>
    <row r="6255" spans="1:54" x14ac:dyDescent="0.3">
      <c r="A6255" s="66"/>
      <c r="B6255" s="67"/>
      <c r="C6255" s="66"/>
      <c r="D6255" s="68"/>
      <c r="E6255" s="10"/>
      <c r="F6255" s="69"/>
      <c r="G6255" s="68"/>
      <c r="H6255" s="70"/>
      <c r="BA6255" s="4"/>
      <c r="BB6255" s="4"/>
    </row>
    <row r="6256" spans="1:54" x14ac:dyDescent="0.3">
      <c r="A6256" s="66"/>
      <c r="B6256" s="67"/>
      <c r="C6256" s="66"/>
      <c r="D6256" s="68"/>
      <c r="E6256" s="10"/>
      <c r="F6256" s="69"/>
      <c r="G6256" s="68"/>
      <c r="H6256" s="70"/>
      <c r="BA6256" s="4"/>
      <c r="BB6256" s="4"/>
    </row>
    <row r="6257" spans="1:54" x14ac:dyDescent="0.3">
      <c r="A6257" s="66"/>
      <c r="B6257" s="67"/>
      <c r="C6257" s="66"/>
      <c r="D6257" s="68"/>
      <c r="E6257" s="10"/>
      <c r="F6257" s="69"/>
      <c r="G6257" s="68"/>
      <c r="H6257" s="70"/>
      <c r="BA6257" s="4"/>
      <c r="BB6257" s="4"/>
    </row>
    <row r="6258" spans="1:54" x14ac:dyDescent="0.3">
      <c r="A6258" s="66"/>
      <c r="B6258" s="67"/>
      <c r="C6258" s="66"/>
      <c r="D6258" s="68"/>
      <c r="E6258" s="10"/>
      <c r="F6258" s="69"/>
      <c r="G6258" s="68"/>
      <c r="H6258" s="70"/>
      <c r="BA6258" s="4"/>
      <c r="BB6258" s="4"/>
    </row>
    <row r="6259" spans="1:54" x14ac:dyDescent="0.3">
      <c r="A6259" s="66"/>
      <c r="B6259" s="67"/>
      <c r="C6259" s="66"/>
      <c r="D6259" s="68"/>
      <c r="E6259" s="10"/>
      <c r="F6259" s="69"/>
      <c r="G6259" s="68"/>
      <c r="H6259" s="70"/>
      <c r="BA6259" s="4"/>
      <c r="BB6259" s="4"/>
    </row>
    <row r="6260" spans="1:54" x14ac:dyDescent="0.3">
      <c r="A6260" s="66"/>
      <c r="B6260" s="67"/>
      <c r="C6260" s="66"/>
      <c r="D6260" s="68"/>
      <c r="E6260" s="10"/>
      <c r="F6260" s="69"/>
      <c r="G6260" s="68"/>
      <c r="H6260" s="70"/>
      <c r="BA6260" s="4"/>
      <c r="BB6260" s="4"/>
    </row>
    <row r="6261" spans="1:54" x14ac:dyDescent="0.3">
      <c r="A6261" s="66"/>
      <c r="B6261" s="67"/>
      <c r="C6261" s="66"/>
      <c r="D6261" s="68"/>
      <c r="E6261" s="10"/>
      <c r="F6261" s="69"/>
      <c r="G6261" s="68"/>
      <c r="H6261" s="70"/>
      <c r="BA6261" s="4"/>
      <c r="BB6261" s="4"/>
    </row>
    <row r="6262" spans="1:54" x14ac:dyDescent="0.3">
      <c r="A6262" s="66"/>
      <c r="B6262" s="67"/>
      <c r="C6262" s="66"/>
      <c r="D6262" s="68"/>
      <c r="E6262" s="10"/>
      <c r="F6262" s="69"/>
      <c r="G6262" s="68"/>
      <c r="H6262" s="70"/>
      <c r="BA6262" s="4"/>
      <c r="BB6262" s="4"/>
    </row>
    <row r="6263" spans="1:54" x14ac:dyDescent="0.3">
      <c r="A6263" s="66"/>
      <c r="B6263" s="67"/>
      <c r="C6263" s="66"/>
      <c r="D6263" s="68"/>
      <c r="E6263" s="10"/>
      <c r="F6263" s="69"/>
      <c r="G6263" s="68"/>
      <c r="H6263" s="70"/>
      <c r="BA6263" s="4"/>
      <c r="BB6263" s="4"/>
    </row>
    <row r="6264" spans="1:54" x14ac:dyDescent="0.3">
      <c r="A6264" s="66"/>
      <c r="B6264" s="67"/>
      <c r="C6264" s="66"/>
      <c r="D6264" s="68"/>
      <c r="E6264" s="10"/>
      <c r="F6264" s="69"/>
      <c r="G6264" s="68"/>
      <c r="H6264" s="70"/>
      <c r="BA6264" s="4"/>
      <c r="BB6264" s="4"/>
    </row>
    <row r="6265" spans="1:54" x14ac:dyDescent="0.3">
      <c r="A6265" s="66"/>
      <c r="B6265" s="67"/>
      <c r="C6265" s="66"/>
      <c r="D6265" s="68"/>
      <c r="E6265" s="10"/>
      <c r="F6265" s="69"/>
      <c r="G6265" s="68"/>
      <c r="H6265" s="70"/>
      <c r="BA6265" s="4"/>
      <c r="BB6265" s="4"/>
    </row>
    <row r="6266" spans="1:54" x14ac:dyDescent="0.3">
      <c r="A6266" s="66"/>
      <c r="B6266" s="67"/>
      <c r="C6266" s="66"/>
      <c r="D6266" s="68"/>
      <c r="E6266" s="10"/>
      <c r="F6266" s="69"/>
      <c r="G6266" s="68"/>
      <c r="H6266" s="70"/>
      <c r="BA6266" s="4"/>
      <c r="BB6266" s="4"/>
    </row>
    <row r="6267" spans="1:54" x14ac:dyDescent="0.3">
      <c r="A6267" s="66"/>
      <c r="B6267" s="67"/>
      <c r="C6267" s="66"/>
      <c r="D6267" s="68"/>
      <c r="E6267" s="10"/>
      <c r="F6267" s="69"/>
      <c r="G6267" s="68"/>
      <c r="H6267" s="70"/>
      <c r="BA6267" s="4"/>
      <c r="BB6267" s="4"/>
    </row>
    <row r="6268" spans="1:54" x14ac:dyDescent="0.3">
      <c r="A6268" s="66"/>
      <c r="B6268" s="67"/>
      <c r="C6268" s="66"/>
      <c r="D6268" s="68"/>
      <c r="E6268" s="10"/>
      <c r="F6268" s="69"/>
      <c r="G6268" s="68"/>
      <c r="H6268" s="70"/>
      <c r="BA6268" s="4"/>
      <c r="BB6268" s="4"/>
    </row>
    <row r="6269" spans="1:54" x14ac:dyDescent="0.3">
      <c r="A6269" s="66"/>
      <c r="B6269" s="67"/>
      <c r="C6269" s="66"/>
      <c r="D6269" s="68"/>
      <c r="E6269" s="10"/>
      <c r="F6269" s="69"/>
      <c r="G6269" s="68"/>
      <c r="H6269" s="70"/>
      <c r="BA6269" s="4"/>
      <c r="BB6269" s="4"/>
    </row>
    <row r="6270" spans="1:54" x14ac:dyDescent="0.3">
      <c r="A6270" s="66"/>
      <c r="B6270" s="67"/>
      <c r="C6270" s="66"/>
      <c r="D6270" s="68"/>
      <c r="E6270" s="10"/>
      <c r="F6270" s="69"/>
      <c r="G6270" s="68"/>
      <c r="H6270" s="70"/>
      <c r="BA6270" s="4"/>
      <c r="BB6270" s="4"/>
    </row>
    <row r="6271" spans="1:54" x14ac:dyDescent="0.3">
      <c r="A6271" s="66"/>
      <c r="B6271" s="67"/>
      <c r="C6271" s="66"/>
      <c r="D6271" s="68"/>
      <c r="E6271" s="10"/>
      <c r="F6271" s="69"/>
      <c r="G6271" s="68"/>
      <c r="H6271" s="70"/>
      <c r="BA6271" s="4"/>
      <c r="BB6271" s="4"/>
    </row>
    <row r="6272" spans="1:54" x14ac:dyDescent="0.3">
      <c r="A6272" s="66"/>
      <c r="B6272" s="67"/>
      <c r="C6272" s="66"/>
      <c r="D6272" s="68"/>
      <c r="E6272" s="10"/>
      <c r="F6272" s="69"/>
      <c r="G6272" s="68"/>
      <c r="H6272" s="70"/>
      <c r="BA6272" s="4"/>
      <c r="BB6272" s="4"/>
    </row>
    <row r="6273" spans="1:54" x14ac:dyDescent="0.3">
      <c r="A6273" s="66"/>
      <c r="B6273" s="67"/>
      <c r="C6273" s="66"/>
      <c r="D6273" s="68"/>
      <c r="E6273" s="10"/>
      <c r="F6273" s="69"/>
      <c r="G6273" s="68"/>
      <c r="H6273" s="70"/>
      <c r="BA6273" s="4"/>
      <c r="BB6273" s="4"/>
    </row>
    <row r="6274" spans="1:54" x14ac:dyDescent="0.3">
      <c r="A6274" s="66"/>
      <c r="B6274" s="67"/>
      <c r="C6274" s="66"/>
      <c r="D6274" s="68"/>
      <c r="E6274" s="10"/>
      <c r="F6274" s="69"/>
      <c r="G6274" s="68"/>
      <c r="H6274" s="70"/>
      <c r="BA6274" s="4"/>
      <c r="BB6274" s="4"/>
    </row>
    <row r="6275" spans="1:54" x14ac:dyDescent="0.3">
      <c r="A6275" s="66"/>
      <c r="B6275" s="67"/>
      <c r="C6275" s="66"/>
      <c r="D6275" s="68"/>
      <c r="E6275" s="10"/>
      <c r="F6275" s="69"/>
      <c r="G6275" s="68"/>
      <c r="H6275" s="70"/>
      <c r="BA6275" s="4"/>
      <c r="BB6275" s="4"/>
    </row>
    <row r="6276" spans="1:54" x14ac:dyDescent="0.3">
      <c r="A6276" s="66"/>
      <c r="B6276" s="67"/>
      <c r="C6276" s="66"/>
      <c r="D6276" s="68"/>
      <c r="E6276" s="10"/>
      <c r="F6276" s="69"/>
      <c r="G6276" s="68"/>
      <c r="H6276" s="70"/>
      <c r="BA6276" s="4"/>
      <c r="BB6276" s="4"/>
    </row>
    <row r="6277" spans="1:54" x14ac:dyDescent="0.3">
      <c r="A6277" s="66"/>
      <c r="B6277" s="67"/>
      <c r="C6277" s="66"/>
      <c r="D6277" s="68"/>
      <c r="E6277" s="10"/>
      <c r="F6277" s="69"/>
      <c r="G6277" s="68"/>
      <c r="H6277" s="70"/>
      <c r="BA6277" s="4"/>
      <c r="BB6277" s="4"/>
    </row>
    <row r="6278" spans="1:54" x14ac:dyDescent="0.3">
      <c r="A6278" s="66"/>
      <c r="B6278" s="67"/>
      <c r="C6278" s="66"/>
      <c r="D6278" s="68"/>
      <c r="E6278" s="10"/>
      <c r="F6278" s="69"/>
      <c r="G6278" s="68"/>
      <c r="H6278" s="70"/>
      <c r="BA6278" s="4"/>
      <c r="BB6278" s="4"/>
    </row>
    <row r="6279" spans="1:54" x14ac:dyDescent="0.3">
      <c r="A6279" s="66"/>
      <c r="B6279" s="67"/>
      <c r="C6279" s="66"/>
      <c r="D6279" s="68"/>
      <c r="E6279" s="10"/>
      <c r="F6279" s="69"/>
      <c r="G6279" s="68"/>
      <c r="H6279" s="70"/>
      <c r="BA6279" s="4"/>
      <c r="BB6279" s="4"/>
    </row>
    <row r="6280" spans="1:54" x14ac:dyDescent="0.3">
      <c r="A6280" s="66"/>
      <c r="B6280" s="67"/>
      <c r="C6280" s="66"/>
      <c r="D6280" s="68"/>
      <c r="E6280" s="10"/>
      <c r="F6280" s="69"/>
      <c r="G6280" s="68"/>
      <c r="H6280" s="70"/>
      <c r="BA6280" s="4"/>
      <c r="BB6280" s="4"/>
    </row>
    <row r="6281" spans="1:54" x14ac:dyDescent="0.3">
      <c r="A6281" s="66"/>
      <c r="B6281" s="67"/>
      <c r="C6281" s="66"/>
      <c r="D6281" s="68"/>
      <c r="E6281" s="10"/>
      <c r="F6281" s="69"/>
      <c r="G6281" s="68"/>
      <c r="H6281" s="70"/>
      <c r="BA6281" s="4"/>
      <c r="BB6281" s="4"/>
    </row>
    <row r="6282" spans="1:54" x14ac:dyDescent="0.3">
      <c r="A6282" s="66"/>
      <c r="B6282" s="67"/>
      <c r="C6282" s="66"/>
      <c r="D6282" s="68"/>
      <c r="E6282" s="10"/>
      <c r="F6282" s="69"/>
      <c r="G6282" s="68"/>
      <c r="H6282" s="70"/>
      <c r="BA6282" s="4"/>
      <c r="BB6282" s="4"/>
    </row>
    <row r="6283" spans="1:54" x14ac:dyDescent="0.3">
      <c r="A6283" s="66"/>
      <c r="B6283" s="67"/>
      <c r="C6283" s="66"/>
      <c r="D6283" s="68"/>
      <c r="E6283" s="10"/>
      <c r="F6283" s="69"/>
      <c r="G6283" s="68"/>
      <c r="H6283" s="70"/>
      <c r="BA6283" s="4"/>
      <c r="BB6283" s="4"/>
    </row>
    <row r="6284" spans="1:54" x14ac:dyDescent="0.3">
      <c r="A6284" s="66"/>
      <c r="B6284" s="67"/>
      <c r="C6284" s="66"/>
      <c r="D6284" s="68"/>
      <c r="E6284" s="10"/>
      <c r="F6284" s="69"/>
      <c r="G6284" s="68"/>
      <c r="H6284" s="70"/>
      <c r="BA6284" s="4"/>
      <c r="BB6284" s="4"/>
    </row>
    <row r="6285" spans="1:54" x14ac:dyDescent="0.3">
      <c r="A6285" s="66"/>
      <c r="B6285" s="67"/>
      <c r="C6285" s="66"/>
      <c r="D6285" s="68"/>
      <c r="E6285" s="10"/>
      <c r="F6285" s="69"/>
      <c r="G6285" s="68"/>
      <c r="H6285" s="70"/>
      <c r="BA6285" s="4"/>
      <c r="BB6285" s="4"/>
    </row>
    <row r="6286" spans="1:54" x14ac:dyDescent="0.3">
      <c r="A6286" s="66"/>
      <c r="B6286" s="67"/>
      <c r="C6286" s="66"/>
      <c r="D6286" s="68"/>
      <c r="E6286" s="10"/>
      <c r="F6286" s="69"/>
      <c r="G6286" s="68"/>
      <c r="H6286" s="70"/>
      <c r="BA6286" s="4"/>
      <c r="BB6286" s="4"/>
    </row>
    <row r="6287" spans="1:54" x14ac:dyDescent="0.3">
      <c r="A6287" s="66"/>
      <c r="B6287" s="67"/>
      <c r="C6287" s="66"/>
      <c r="D6287" s="68"/>
      <c r="E6287" s="10"/>
      <c r="F6287" s="69"/>
      <c r="G6287" s="68"/>
      <c r="H6287" s="70"/>
      <c r="BA6287" s="4"/>
      <c r="BB6287" s="4"/>
    </row>
    <row r="6288" spans="1:54" x14ac:dyDescent="0.3">
      <c r="A6288" s="66"/>
      <c r="B6288" s="67"/>
      <c r="C6288" s="66"/>
      <c r="D6288" s="68"/>
      <c r="E6288" s="10"/>
      <c r="F6288" s="69"/>
      <c r="G6288" s="68"/>
      <c r="H6288" s="70"/>
      <c r="BA6288" s="4"/>
      <c r="BB6288" s="4"/>
    </row>
    <row r="6289" spans="1:54" x14ac:dyDescent="0.3">
      <c r="A6289" s="66"/>
      <c r="B6289" s="67"/>
      <c r="C6289" s="66"/>
      <c r="D6289" s="68"/>
      <c r="E6289" s="10"/>
      <c r="F6289" s="69"/>
      <c r="G6289" s="68"/>
      <c r="H6289" s="70"/>
      <c r="BA6289" s="4"/>
      <c r="BB6289" s="4"/>
    </row>
    <row r="6290" spans="1:54" x14ac:dyDescent="0.3">
      <c r="A6290" s="66"/>
      <c r="B6290" s="67"/>
      <c r="C6290" s="66"/>
      <c r="D6290" s="68"/>
      <c r="E6290" s="10"/>
      <c r="F6290" s="69"/>
      <c r="G6290" s="68"/>
      <c r="H6290" s="70"/>
      <c r="BA6290" s="4"/>
      <c r="BB6290" s="4"/>
    </row>
    <row r="6291" spans="1:54" x14ac:dyDescent="0.3">
      <c r="A6291" s="66"/>
      <c r="B6291" s="67"/>
      <c r="C6291" s="66"/>
      <c r="D6291" s="68"/>
      <c r="E6291" s="10"/>
      <c r="F6291" s="69"/>
      <c r="G6291" s="68"/>
      <c r="H6291" s="70"/>
      <c r="BA6291" s="4"/>
      <c r="BB6291" s="4"/>
    </row>
    <row r="6292" spans="1:54" x14ac:dyDescent="0.3">
      <c r="A6292" s="66"/>
      <c r="B6292" s="67"/>
      <c r="C6292" s="66"/>
      <c r="D6292" s="68"/>
      <c r="E6292" s="10"/>
      <c r="F6292" s="69"/>
      <c r="G6292" s="68"/>
      <c r="H6292" s="70"/>
      <c r="BA6292" s="4"/>
      <c r="BB6292" s="4"/>
    </row>
    <row r="6293" spans="1:54" x14ac:dyDescent="0.3">
      <c r="A6293" s="66"/>
      <c r="B6293" s="67"/>
      <c r="C6293" s="66"/>
      <c r="D6293" s="68"/>
      <c r="E6293" s="10"/>
      <c r="F6293" s="69"/>
      <c r="G6293" s="68"/>
      <c r="H6293" s="70"/>
      <c r="BA6293" s="4"/>
      <c r="BB6293" s="4"/>
    </row>
    <row r="6294" spans="1:54" x14ac:dyDescent="0.3">
      <c r="A6294" s="66"/>
      <c r="B6294" s="67"/>
      <c r="C6294" s="66"/>
      <c r="D6294" s="68"/>
      <c r="E6294" s="10"/>
      <c r="F6294" s="69"/>
      <c r="G6294" s="68"/>
      <c r="H6294" s="70"/>
      <c r="BA6294" s="4"/>
      <c r="BB6294" s="4"/>
    </row>
    <row r="6295" spans="1:54" x14ac:dyDescent="0.3">
      <c r="A6295" s="66"/>
      <c r="B6295" s="67"/>
      <c r="C6295" s="66"/>
      <c r="D6295" s="68"/>
      <c r="E6295" s="10"/>
      <c r="F6295" s="69"/>
      <c r="G6295" s="68"/>
      <c r="H6295" s="70"/>
      <c r="BA6295" s="4"/>
      <c r="BB6295" s="4"/>
    </row>
    <row r="6296" spans="1:54" x14ac:dyDescent="0.3">
      <c r="A6296" s="66"/>
      <c r="B6296" s="67"/>
      <c r="C6296" s="66"/>
      <c r="D6296" s="68"/>
      <c r="E6296" s="10"/>
      <c r="F6296" s="69"/>
      <c r="G6296" s="68"/>
      <c r="H6296" s="70"/>
      <c r="BA6296" s="4"/>
      <c r="BB6296" s="4"/>
    </row>
    <row r="6297" spans="1:54" x14ac:dyDescent="0.3">
      <c r="A6297" s="66"/>
      <c r="B6297" s="67"/>
      <c r="C6297" s="66"/>
      <c r="D6297" s="68"/>
      <c r="E6297" s="10"/>
      <c r="F6297" s="69"/>
      <c r="G6297" s="68"/>
      <c r="H6297" s="70"/>
      <c r="BA6297" s="4"/>
      <c r="BB6297" s="4"/>
    </row>
    <row r="6298" spans="1:54" x14ac:dyDescent="0.3">
      <c r="A6298" s="66"/>
      <c r="B6298" s="67"/>
      <c r="C6298" s="66"/>
      <c r="D6298" s="68"/>
      <c r="E6298" s="10"/>
      <c r="F6298" s="69"/>
      <c r="G6298" s="68"/>
      <c r="H6298" s="70"/>
      <c r="BA6298" s="4"/>
      <c r="BB6298" s="4"/>
    </row>
    <row r="6299" spans="1:54" x14ac:dyDescent="0.3">
      <c r="A6299" s="66"/>
      <c r="B6299" s="67"/>
      <c r="C6299" s="66"/>
      <c r="D6299" s="68"/>
      <c r="E6299" s="10"/>
      <c r="F6299" s="69"/>
      <c r="G6299" s="68"/>
      <c r="H6299" s="70"/>
      <c r="BA6299" s="4"/>
      <c r="BB6299" s="4"/>
    </row>
    <row r="6300" spans="1:54" x14ac:dyDescent="0.3">
      <c r="A6300" s="66"/>
      <c r="B6300" s="67"/>
      <c r="C6300" s="66"/>
      <c r="D6300" s="68"/>
      <c r="E6300" s="10"/>
      <c r="F6300" s="69"/>
      <c r="G6300" s="68"/>
      <c r="H6300" s="70"/>
      <c r="BA6300" s="4"/>
      <c r="BB6300" s="4"/>
    </row>
    <row r="6301" spans="1:54" x14ac:dyDescent="0.3">
      <c r="A6301" s="66"/>
      <c r="B6301" s="67"/>
      <c r="C6301" s="66"/>
      <c r="D6301" s="68"/>
      <c r="E6301" s="10"/>
      <c r="F6301" s="69"/>
      <c r="G6301" s="68"/>
      <c r="H6301" s="70"/>
      <c r="BA6301" s="4"/>
      <c r="BB6301" s="4"/>
    </row>
    <row r="6302" spans="1:54" x14ac:dyDescent="0.3">
      <c r="A6302" s="66"/>
      <c r="B6302" s="67"/>
      <c r="C6302" s="66"/>
      <c r="D6302" s="68"/>
      <c r="E6302" s="10"/>
      <c r="F6302" s="69"/>
      <c r="G6302" s="68"/>
      <c r="H6302" s="70"/>
      <c r="BA6302" s="4"/>
      <c r="BB6302" s="4"/>
    </row>
    <row r="6303" spans="1:54" x14ac:dyDescent="0.3">
      <c r="A6303" s="66"/>
      <c r="B6303" s="67"/>
      <c r="C6303" s="66"/>
      <c r="D6303" s="68"/>
      <c r="E6303" s="10"/>
      <c r="F6303" s="69"/>
      <c r="G6303" s="68"/>
      <c r="H6303" s="70"/>
      <c r="BA6303" s="4"/>
      <c r="BB6303" s="4"/>
    </row>
    <row r="6304" spans="1:54" x14ac:dyDescent="0.3">
      <c r="A6304" s="66"/>
      <c r="B6304" s="67"/>
      <c r="C6304" s="66"/>
      <c r="D6304" s="68"/>
      <c r="E6304" s="10"/>
      <c r="F6304" s="69"/>
      <c r="G6304" s="68"/>
      <c r="H6304" s="70"/>
      <c r="BA6304" s="4"/>
      <c r="BB6304" s="4"/>
    </row>
    <row r="6305" spans="1:54" x14ac:dyDescent="0.3">
      <c r="A6305" s="66"/>
      <c r="B6305" s="67"/>
      <c r="C6305" s="66"/>
      <c r="D6305" s="68"/>
      <c r="E6305" s="10"/>
      <c r="F6305" s="69"/>
      <c r="G6305" s="68"/>
      <c r="H6305" s="70"/>
      <c r="BA6305" s="4"/>
      <c r="BB6305" s="4"/>
    </row>
    <row r="6306" spans="1:54" x14ac:dyDescent="0.3">
      <c r="A6306" s="66"/>
      <c r="B6306" s="67"/>
      <c r="C6306" s="66"/>
      <c r="D6306" s="68"/>
      <c r="E6306" s="10"/>
      <c r="F6306" s="69"/>
      <c r="G6306" s="68"/>
      <c r="H6306" s="70"/>
      <c r="BA6306" s="4"/>
      <c r="BB6306" s="4"/>
    </row>
    <row r="6307" spans="1:54" x14ac:dyDescent="0.3">
      <c r="A6307" s="66"/>
      <c r="B6307" s="67"/>
      <c r="C6307" s="66"/>
      <c r="D6307" s="68"/>
      <c r="E6307" s="10"/>
      <c r="F6307" s="69"/>
      <c r="G6307" s="68"/>
      <c r="H6307" s="70"/>
      <c r="BA6307" s="4"/>
      <c r="BB6307" s="4"/>
    </row>
    <row r="6308" spans="1:54" x14ac:dyDescent="0.3">
      <c r="A6308" s="66"/>
      <c r="B6308" s="67"/>
      <c r="C6308" s="66"/>
      <c r="D6308" s="68"/>
      <c r="E6308" s="10"/>
      <c r="F6308" s="69"/>
      <c r="G6308" s="68"/>
      <c r="H6308" s="70"/>
      <c r="BA6308" s="4"/>
      <c r="BB6308" s="4"/>
    </row>
    <row r="6309" spans="1:54" x14ac:dyDescent="0.3">
      <c r="A6309" s="66"/>
      <c r="B6309" s="67"/>
      <c r="C6309" s="66"/>
      <c r="D6309" s="68"/>
      <c r="E6309" s="10"/>
      <c r="F6309" s="69"/>
      <c r="G6309" s="68"/>
      <c r="H6309" s="70"/>
      <c r="BA6309" s="4"/>
      <c r="BB6309" s="4"/>
    </row>
    <row r="6310" spans="1:54" x14ac:dyDescent="0.3">
      <c r="A6310" s="66"/>
      <c r="B6310" s="67"/>
      <c r="C6310" s="66"/>
      <c r="D6310" s="68"/>
      <c r="E6310" s="10"/>
      <c r="F6310" s="69"/>
      <c r="G6310" s="68"/>
      <c r="H6310" s="70"/>
      <c r="BA6310" s="4"/>
      <c r="BB6310" s="4"/>
    </row>
    <row r="6311" spans="1:54" x14ac:dyDescent="0.3">
      <c r="A6311" s="66"/>
      <c r="B6311" s="67"/>
      <c r="C6311" s="66"/>
      <c r="D6311" s="68"/>
      <c r="E6311" s="10"/>
      <c r="F6311" s="69"/>
      <c r="G6311" s="68"/>
      <c r="H6311" s="70"/>
      <c r="BA6311" s="4"/>
      <c r="BB6311" s="4"/>
    </row>
    <row r="6312" spans="1:54" x14ac:dyDescent="0.3">
      <c r="A6312" s="66"/>
      <c r="B6312" s="67"/>
      <c r="C6312" s="66"/>
      <c r="D6312" s="68"/>
      <c r="E6312" s="10"/>
      <c r="F6312" s="69"/>
      <c r="G6312" s="68"/>
      <c r="H6312" s="70"/>
      <c r="BA6312" s="4"/>
      <c r="BB6312" s="4"/>
    </row>
    <row r="6313" spans="1:54" x14ac:dyDescent="0.3">
      <c r="A6313" s="66"/>
      <c r="B6313" s="67"/>
      <c r="C6313" s="66"/>
      <c r="D6313" s="68"/>
      <c r="E6313" s="10"/>
      <c r="F6313" s="69"/>
      <c r="G6313" s="68"/>
      <c r="H6313" s="70"/>
      <c r="BA6313" s="4"/>
      <c r="BB6313" s="4"/>
    </row>
    <row r="6314" spans="1:54" x14ac:dyDescent="0.3">
      <c r="A6314" s="66"/>
      <c r="B6314" s="67"/>
      <c r="C6314" s="66"/>
      <c r="D6314" s="68"/>
      <c r="E6314" s="10"/>
      <c r="F6314" s="69"/>
      <c r="G6314" s="68"/>
      <c r="H6314" s="70"/>
      <c r="BA6314" s="4"/>
      <c r="BB6314" s="4"/>
    </row>
    <row r="6315" spans="1:54" x14ac:dyDescent="0.3">
      <c r="A6315" s="66"/>
      <c r="B6315" s="67"/>
      <c r="C6315" s="66"/>
      <c r="D6315" s="68"/>
      <c r="E6315" s="10"/>
      <c r="F6315" s="69"/>
      <c r="G6315" s="68"/>
      <c r="H6315" s="70"/>
      <c r="BA6315" s="4"/>
      <c r="BB6315" s="4"/>
    </row>
    <row r="6316" spans="1:54" x14ac:dyDescent="0.3">
      <c r="A6316" s="66"/>
      <c r="B6316" s="67"/>
      <c r="C6316" s="66"/>
      <c r="D6316" s="68"/>
      <c r="E6316" s="10"/>
      <c r="F6316" s="69"/>
      <c r="G6316" s="68"/>
      <c r="H6316" s="70"/>
      <c r="BA6316" s="4"/>
      <c r="BB6316" s="4"/>
    </row>
    <row r="6317" spans="1:54" x14ac:dyDescent="0.3">
      <c r="A6317" s="66"/>
      <c r="B6317" s="67"/>
      <c r="C6317" s="66"/>
      <c r="D6317" s="68"/>
      <c r="E6317" s="10"/>
      <c r="F6317" s="69"/>
      <c r="G6317" s="68"/>
      <c r="H6317" s="70"/>
      <c r="BA6317" s="4"/>
      <c r="BB6317" s="4"/>
    </row>
    <row r="6318" spans="1:54" x14ac:dyDescent="0.3">
      <c r="A6318" s="66"/>
      <c r="B6318" s="67"/>
      <c r="C6318" s="66"/>
      <c r="D6318" s="68"/>
      <c r="E6318" s="10"/>
      <c r="F6318" s="69"/>
      <c r="G6318" s="68"/>
      <c r="H6318" s="70"/>
      <c r="BA6318" s="4"/>
      <c r="BB6318" s="4"/>
    </row>
    <row r="6319" spans="1:54" x14ac:dyDescent="0.3">
      <c r="A6319" s="66"/>
      <c r="B6319" s="67"/>
      <c r="C6319" s="66"/>
      <c r="D6319" s="68"/>
      <c r="E6319" s="10"/>
      <c r="F6319" s="69"/>
      <c r="G6319" s="68"/>
      <c r="H6319" s="70"/>
      <c r="BA6319" s="4"/>
      <c r="BB6319" s="4"/>
    </row>
    <row r="6320" spans="1:54" x14ac:dyDescent="0.3">
      <c r="A6320" s="66"/>
      <c r="B6320" s="67"/>
      <c r="C6320" s="66"/>
      <c r="D6320" s="68"/>
      <c r="E6320" s="10"/>
      <c r="F6320" s="69"/>
      <c r="G6320" s="68"/>
      <c r="H6320" s="70"/>
      <c r="BA6320" s="4"/>
      <c r="BB6320" s="4"/>
    </row>
    <row r="6321" spans="1:54" x14ac:dyDescent="0.3">
      <c r="A6321" s="66"/>
      <c r="B6321" s="67"/>
      <c r="C6321" s="66"/>
      <c r="D6321" s="68"/>
      <c r="E6321" s="10"/>
      <c r="F6321" s="69"/>
      <c r="G6321" s="68"/>
      <c r="H6321" s="70"/>
      <c r="BA6321" s="4"/>
      <c r="BB6321" s="4"/>
    </row>
    <row r="6322" spans="1:54" x14ac:dyDescent="0.3">
      <c r="A6322" s="66"/>
      <c r="B6322" s="67"/>
      <c r="C6322" s="66"/>
      <c r="D6322" s="68"/>
      <c r="E6322" s="10"/>
      <c r="F6322" s="69"/>
      <c r="G6322" s="68"/>
      <c r="H6322" s="70"/>
      <c r="BA6322" s="4"/>
      <c r="BB6322" s="4"/>
    </row>
    <row r="6323" spans="1:54" x14ac:dyDescent="0.3">
      <c r="A6323" s="66"/>
      <c r="B6323" s="67"/>
      <c r="C6323" s="66"/>
      <c r="D6323" s="68"/>
      <c r="E6323" s="10"/>
      <c r="F6323" s="69"/>
      <c r="G6323" s="68"/>
      <c r="H6323" s="70"/>
      <c r="BA6323" s="4"/>
      <c r="BB6323" s="4"/>
    </row>
    <row r="6324" spans="1:54" x14ac:dyDescent="0.3">
      <c r="A6324" s="66"/>
      <c r="B6324" s="67"/>
      <c r="C6324" s="66"/>
      <c r="D6324" s="68"/>
      <c r="E6324" s="10"/>
      <c r="F6324" s="69"/>
      <c r="G6324" s="68"/>
      <c r="H6324" s="70"/>
      <c r="BA6324" s="4"/>
      <c r="BB6324" s="4"/>
    </row>
    <row r="6325" spans="1:54" x14ac:dyDescent="0.3">
      <c r="A6325" s="66"/>
      <c r="B6325" s="67"/>
      <c r="C6325" s="66"/>
      <c r="D6325" s="68"/>
      <c r="E6325" s="10"/>
      <c r="F6325" s="69"/>
      <c r="G6325" s="68"/>
      <c r="H6325" s="70"/>
      <c r="BA6325" s="4"/>
      <c r="BB6325" s="4"/>
    </row>
    <row r="6326" spans="1:54" x14ac:dyDescent="0.3">
      <c r="A6326" s="66"/>
      <c r="B6326" s="67"/>
      <c r="C6326" s="66"/>
      <c r="D6326" s="68"/>
      <c r="E6326" s="10"/>
      <c r="F6326" s="69"/>
      <c r="G6326" s="68"/>
      <c r="H6326" s="70"/>
      <c r="BA6326" s="4"/>
      <c r="BB6326" s="4"/>
    </row>
    <row r="6327" spans="1:54" x14ac:dyDescent="0.3">
      <c r="A6327" s="66"/>
      <c r="B6327" s="67"/>
      <c r="C6327" s="66"/>
      <c r="D6327" s="68"/>
      <c r="E6327" s="10"/>
      <c r="F6327" s="69"/>
      <c r="G6327" s="68"/>
      <c r="H6327" s="70"/>
      <c r="BA6327" s="4"/>
      <c r="BB6327" s="4"/>
    </row>
    <row r="6328" spans="1:54" x14ac:dyDescent="0.3">
      <c r="A6328" s="66"/>
      <c r="B6328" s="67"/>
      <c r="C6328" s="66"/>
      <c r="D6328" s="68"/>
      <c r="E6328" s="10"/>
      <c r="F6328" s="69"/>
      <c r="G6328" s="68"/>
      <c r="H6328" s="70"/>
      <c r="BA6328" s="4"/>
      <c r="BB6328" s="4"/>
    </row>
    <row r="6329" spans="1:54" x14ac:dyDescent="0.3">
      <c r="A6329" s="66"/>
      <c r="B6329" s="67"/>
      <c r="C6329" s="66"/>
      <c r="D6329" s="68"/>
      <c r="E6329" s="10"/>
      <c r="F6329" s="69"/>
      <c r="G6329" s="68"/>
      <c r="H6329" s="70"/>
      <c r="BA6329" s="4"/>
      <c r="BB6329" s="4"/>
    </row>
    <row r="6330" spans="1:54" x14ac:dyDescent="0.3">
      <c r="A6330" s="66"/>
      <c r="B6330" s="67"/>
      <c r="C6330" s="66"/>
      <c r="D6330" s="68"/>
      <c r="E6330" s="10"/>
      <c r="F6330" s="69"/>
      <c r="G6330" s="68"/>
      <c r="H6330" s="70"/>
      <c r="BA6330" s="4"/>
      <c r="BB6330" s="4"/>
    </row>
    <row r="6331" spans="1:54" x14ac:dyDescent="0.3">
      <c r="A6331" s="66"/>
      <c r="B6331" s="67"/>
      <c r="C6331" s="66"/>
      <c r="D6331" s="68"/>
      <c r="E6331" s="10"/>
      <c r="F6331" s="69"/>
      <c r="G6331" s="68"/>
      <c r="H6331" s="70"/>
      <c r="BA6331" s="4"/>
      <c r="BB6331" s="4"/>
    </row>
    <row r="6332" spans="1:54" x14ac:dyDescent="0.3">
      <c r="A6332" s="66"/>
      <c r="B6332" s="67"/>
      <c r="C6332" s="66"/>
      <c r="D6332" s="68"/>
      <c r="E6332" s="10"/>
      <c r="F6332" s="69"/>
      <c r="G6332" s="68"/>
      <c r="H6332" s="70"/>
      <c r="BA6332" s="4"/>
      <c r="BB6332" s="4"/>
    </row>
    <row r="6333" spans="1:54" x14ac:dyDescent="0.3">
      <c r="A6333" s="66"/>
      <c r="B6333" s="67"/>
      <c r="C6333" s="66"/>
      <c r="D6333" s="68"/>
      <c r="E6333" s="10"/>
      <c r="F6333" s="69"/>
      <c r="G6333" s="68"/>
      <c r="H6333" s="70"/>
      <c r="BA6333" s="4"/>
      <c r="BB6333" s="4"/>
    </row>
    <row r="6334" spans="1:54" x14ac:dyDescent="0.3">
      <c r="A6334" s="66"/>
      <c r="B6334" s="67"/>
      <c r="C6334" s="66"/>
      <c r="D6334" s="68"/>
      <c r="E6334" s="10"/>
      <c r="F6334" s="69"/>
      <c r="G6334" s="68"/>
      <c r="H6334" s="70"/>
      <c r="BA6334" s="4"/>
      <c r="BB6334" s="4"/>
    </row>
    <row r="6335" spans="1:54" x14ac:dyDescent="0.3">
      <c r="A6335" s="66"/>
      <c r="B6335" s="67"/>
      <c r="C6335" s="66"/>
      <c r="D6335" s="68"/>
      <c r="E6335" s="10"/>
      <c r="F6335" s="69"/>
      <c r="G6335" s="68"/>
      <c r="H6335" s="70"/>
      <c r="BA6335" s="4"/>
      <c r="BB6335" s="4"/>
    </row>
    <row r="6336" spans="1:54" x14ac:dyDescent="0.3">
      <c r="A6336" s="66"/>
      <c r="B6336" s="67"/>
      <c r="C6336" s="66"/>
      <c r="D6336" s="68"/>
      <c r="E6336" s="10"/>
      <c r="F6336" s="69"/>
      <c r="G6336" s="68"/>
      <c r="H6336" s="70"/>
      <c r="BA6336" s="4"/>
      <c r="BB6336" s="4"/>
    </row>
    <row r="6337" spans="1:54" x14ac:dyDescent="0.3">
      <c r="A6337" s="66"/>
      <c r="B6337" s="67"/>
      <c r="C6337" s="66"/>
      <c r="D6337" s="68"/>
      <c r="E6337" s="10"/>
      <c r="F6337" s="69"/>
      <c r="G6337" s="68"/>
      <c r="H6337" s="70"/>
      <c r="BA6337" s="4"/>
      <c r="BB6337" s="4"/>
    </row>
    <row r="6338" spans="1:54" x14ac:dyDescent="0.3">
      <c r="A6338" s="66"/>
      <c r="B6338" s="67"/>
      <c r="C6338" s="66"/>
      <c r="D6338" s="68"/>
      <c r="E6338" s="10"/>
      <c r="F6338" s="69"/>
      <c r="G6338" s="68"/>
      <c r="H6338" s="70"/>
      <c r="BA6338" s="4"/>
      <c r="BB6338" s="4"/>
    </row>
    <row r="6339" spans="1:54" x14ac:dyDescent="0.3">
      <c r="A6339" s="66"/>
      <c r="B6339" s="67"/>
      <c r="C6339" s="66"/>
      <c r="D6339" s="68"/>
      <c r="E6339" s="10"/>
      <c r="F6339" s="69"/>
      <c r="G6339" s="68"/>
      <c r="H6339" s="70"/>
      <c r="BA6339" s="4"/>
      <c r="BB6339" s="4"/>
    </row>
    <row r="6340" spans="1:54" x14ac:dyDescent="0.3">
      <c r="A6340" s="66"/>
      <c r="B6340" s="67"/>
      <c r="C6340" s="66"/>
      <c r="D6340" s="68"/>
      <c r="E6340" s="10"/>
      <c r="F6340" s="69"/>
      <c r="G6340" s="68"/>
      <c r="H6340" s="70"/>
      <c r="BA6340" s="4"/>
      <c r="BB6340" s="4"/>
    </row>
    <row r="6341" spans="1:54" x14ac:dyDescent="0.3">
      <c r="A6341" s="66"/>
      <c r="B6341" s="67"/>
      <c r="C6341" s="66"/>
      <c r="D6341" s="68"/>
      <c r="E6341" s="10"/>
      <c r="F6341" s="69"/>
      <c r="G6341" s="68"/>
      <c r="H6341" s="70"/>
      <c r="BA6341" s="4"/>
      <c r="BB6341" s="4"/>
    </row>
    <row r="6342" spans="1:54" x14ac:dyDescent="0.3">
      <c r="A6342" s="66"/>
      <c r="B6342" s="67"/>
      <c r="C6342" s="66"/>
      <c r="D6342" s="68"/>
      <c r="E6342" s="10"/>
      <c r="F6342" s="69"/>
      <c r="G6342" s="68"/>
      <c r="H6342" s="70"/>
      <c r="BA6342" s="4"/>
      <c r="BB6342" s="4"/>
    </row>
    <row r="6343" spans="1:54" x14ac:dyDescent="0.3">
      <c r="A6343" s="66"/>
      <c r="B6343" s="67"/>
      <c r="C6343" s="66"/>
      <c r="D6343" s="68"/>
      <c r="E6343" s="10"/>
      <c r="F6343" s="69"/>
      <c r="G6343" s="68"/>
      <c r="H6343" s="70"/>
      <c r="BA6343" s="4"/>
      <c r="BB6343" s="4"/>
    </row>
    <row r="6344" spans="1:54" x14ac:dyDescent="0.3">
      <c r="A6344" s="66"/>
      <c r="B6344" s="67"/>
      <c r="C6344" s="66"/>
      <c r="D6344" s="68"/>
      <c r="E6344" s="10"/>
      <c r="F6344" s="69"/>
      <c r="G6344" s="68"/>
      <c r="H6344" s="70"/>
      <c r="BA6344" s="4"/>
      <c r="BB6344" s="4"/>
    </row>
    <row r="6345" spans="1:54" x14ac:dyDescent="0.3">
      <c r="A6345" s="66"/>
      <c r="B6345" s="67"/>
      <c r="C6345" s="66"/>
      <c r="D6345" s="68"/>
      <c r="E6345" s="10"/>
      <c r="F6345" s="69"/>
      <c r="G6345" s="68"/>
      <c r="H6345" s="70"/>
      <c r="BA6345" s="4"/>
      <c r="BB6345" s="4"/>
    </row>
    <row r="6346" spans="1:54" x14ac:dyDescent="0.3">
      <c r="A6346" s="66"/>
      <c r="B6346" s="67"/>
      <c r="C6346" s="66"/>
      <c r="D6346" s="68"/>
      <c r="E6346" s="10"/>
      <c r="F6346" s="69"/>
      <c r="G6346" s="68"/>
      <c r="H6346" s="70"/>
      <c r="BA6346" s="4"/>
      <c r="BB6346" s="4"/>
    </row>
    <row r="6347" spans="1:54" x14ac:dyDescent="0.3">
      <c r="A6347" s="66"/>
      <c r="B6347" s="67"/>
      <c r="C6347" s="66"/>
      <c r="D6347" s="68"/>
      <c r="E6347" s="10"/>
      <c r="F6347" s="69"/>
      <c r="G6347" s="68"/>
      <c r="H6347" s="70"/>
      <c r="BA6347" s="4"/>
      <c r="BB6347" s="4"/>
    </row>
    <row r="6348" spans="1:54" x14ac:dyDescent="0.3">
      <c r="A6348" s="66"/>
      <c r="B6348" s="67"/>
      <c r="C6348" s="66"/>
      <c r="D6348" s="68"/>
      <c r="E6348" s="10"/>
      <c r="F6348" s="69"/>
      <c r="G6348" s="68"/>
      <c r="H6348" s="70"/>
      <c r="BA6348" s="4"/>
      <c r="BB6348" s="4"/>
    </row>
    <row r="6349" spans="1:54" x14ac:dyDescent="0.3">
      <c r="A6349" s="66"/>
      <c r="B6349" s="67"/>
      <c r="C6349" s="66"/>
      <c r="D6349" s="68"/>
      <c r="E6349" s="10"/>
      <c r="F6349" s="69"/>
      <c r="G6349" s="68"/>
      <c r="H6349" s="70"/>
      <c r="BA6349" s="4"/>
      <c r="BB6349" s="4"/>
    </row>
    <row r="6350" spans="1:54" x14ac:dyDescent="0.3">
      <c r="A6350" s="66"/>
      <c r="B6350" s="67"/>
      <c r="C6350" s="66"/>
      <c r="D6350" s="68"/>
      <c r="E6350" s="10"/>
      <c r="F6350" s="69"/>
      <c r="G6350" s="68"/>
      <c r="H6350" s="70"/>
      <c r="BA6350" s="4"/>
      <c r="BB6350" s="4"/>
    </row>
    <row r="6351" spans="1:54" x14ac:dyDescent="0.3">
      <c r="A6351" s="66"/>
      <c r="B6351" s="67"/>
      <c r="C6351" s="66"/>
      <c r="D6351" s="68"/>
      <c r="E6351" s="10"/>
      <c r="F6351" s="69"/>
      <c r="G6351" s="68"/>
      <c r="H6351" s="70"/>
      <c r="BA6351" s="4"/>
      <c r="BB6351" s="4"/>
    </row>
    <row r="6352" spans="1:54" x14ac:dyDescent="0.3">
      <c r="A6352" s="66"/>
      <c r="B6352" s="67"/>
      <c r="C6352" s="66"/>
      <c r="D6352" s="68"/>
      <c r="E6352" s="10"/>
      <c r="F6352" s="69"/>
      <c r="G6352" s="68"/>
      <c r="H6352" s="70"/>
      <c r="BA6352" s="4"/>
      <c r="BB6352" s="4"/>
    </row>
    <row r="6353" spans="1:54" x14ac:dyDescent="0.3">
      <c r="A6353" s="66"/>
      <c r="B6353" s="67"/>
      <c r="C6353" s="66"/>
      <c r="D6353" s="68"/>
      <c r="E6353" s="10"/>
      <c r="F6353" s="69"/>
      <c r="G6353" s="68"/>
      <c r="H6353" s="70"/>
      <c r="BA6353" s="4"/>
      <c r="BB6353" s="4"/>
    </row>
    <row r="6354" spans="1:54" x14ac:dyDescent="0.3">
      <c r="A6354" s="66"/>
      <c r="B6354" s="67"/>
      <c r="C6354" s="66"/>
      <c r="D6354" s="68"/>
      <c r="E6354" s="10"/>
      <c r="F6354" s="69"/>
      <c r="G6354" s="68"/>
      <c r="H6354" s="70"/>
      <c r="BA6354" s="4"/>
      <c r="BB6354" s="4"/>
    </row>
    <row r="6355" spans="1:54" x14ac:dyDescent="0.3">
      <c r="A6355" s="66"/>
      <c r="B6355" s="67"/>
      <c r="C6355" s="66"/>
      <c r="D6355" s="68"/>
      <c r="E6355" s="10"/>
      <c r="F6355" s="69"/>
      <c r="G6355" s="68"/>
      <c r="H6355" s="70"/>
      <c r="BA6355" s="4"/>
      <c r="BB6355" s="4"/>
    </row>
    <row r="6356" spans="1:54" x14ac:dyDescent="0.3">
      <c r="A6356" s="66"/>
      <c r="B6356" s="67"/>
      <c r="C6356" s="66"/>
      <c r="D6356" s="68"/>
      <c r="E6356" s="10"/>
      <c r="F6356" s="69"/>
      <c r="G6356" s="68"/>
      <c r="H6356" s="70"/>
      <c r="BA6356" s="4"/>
      <c r="BB6356" s="4"/>
    </row>
    <row r="6357" spans="1:54" x14ac:dyDescent="0.3">
      <c r="A6357" s="66"/>
      <c r="B6357" s="67"/>
      <c r="C6357" s="66"/>
      <c r="D6357" s="68"/>
      <c r="E6357" s="10"/>
      <c r="F6357" s="69"/>
      <c r="G6357" s="68"/>
      <c r="H6357" s="70"/>
      <c r="BA6357" s="4"/>
      <c r="BB6357" s="4"/>
    </row>
    <row r="6358" spans="1:54" x14ac:dyDescent="0.3">
      <c r="A6358" s="66"/>
      <c r="B6358" s="67"/>
      <c r="C6358" s="66"/>
      <c r="D6358" s="68"/>
      <c r="E6358" s="10"/>
      <c r="F6358" s="69"/>
      <c r="G6358" s="68"/>
      <c r="H6358" s="70"/>
      <c r="BA6358" s="4"/>
      <c r="BB6358" s="4"/>
    </row>
    <row r="6359" spans="1:54" x14ac:dyDescent="0.3">
      <c r="A6359" s="66"/>
      <c r="B6359" s="67"/>
      <c r="C6359" s="66"/>
      <c r="D6359" s="68"/>
      <c r="E6359" s="10"/>
      <c r="F6359" s="69"/>
      <c r="G6359" s="68"/>
      <c r="H6359" s="70"/>
      <c r="BA6359" s="4"/>
      <c r="BB6359" s="4"/>
    </row>
    <row r="6360" spans="1:54" x14ac:dyDescent="0.3">
      <c r="A6360" s="66"/>
      <c r="B6360" s="67"/>
      <c r="C6360" s="66"/>
      <c r="D6360" s="68"/>
      <c r="E6360" s="10"/>
      <c r="F6360" s="69"/>
      <c r="G6360" s="68"/>
      <c r="H6360" s="70"/>
      <c r="BA6360" s="4"/>
      <c r="BB6360" s="4"/>
    </row>
    <row r="6361" spans="1:54" x14ac:dyDescent="0.3">
      <c r="A6361" s="66"/>
      <c r="B6361" s="67"/>
      <c r="C6361" s="66"/>
      <c r="D6361" s="68"/>
      <c r="E6361" s="10"/>
      <c r="F6361" s="69"/>
      <c r="G6361" s="68"/>
      <c r="H6361" s="70"/>
      <c r="BA6361" s="4"/>
      <c r="BB6361" s="4"/>
    </row>
    <row r="6362" spans="1:54" x14ac:dyDescent="0.3">
      <c r="A6362" s="66"/>
      <c r="B6362" s="67"/>
      <c r="C6362" s="66"/>
      <c r="D6362" s="68"/>
      <c r="E6362" s="10"/>
      <c r="F6362" s="69"/>
      <c r="G6362" s="68"/>
      <c r="H6362" s="70"/>
      <c r="BA6362" s="4"/>
      <c r="BB6362" s="4"/>
    </row>
    <row r="6363" spans="1:54" x14ac:dyDescent="0.3">
      <c r="A6363" s="66"/>
      <c r="B6363" s="67"/>
      <c r="C6363" s="66"/>
      <c r="D6363" s="68"/>
      <c r="E6363" s="10"/>
      <c r="F6363" s="69"/>
      <c r="G6363" s="68"/>
      <c r="H6363" s="70"/>
      <c r="BA6363" s="4"/>
      <c r="BB6363" s="4"/>
    </row>
    <row r="6364" spans="1:54" x14ac:dyDescent="0.3">
      <c r="A6364" s="66"/>
      <c r="B6364" s="67"/>
      <c r="C6364" s="66"/>
      <c r="D6364" s="68"/>
      <c r="E6364" s="10"/>
      <c r="F6364" s="69"/>
      <c r="G6364" s="68"/>
      <c r="H6364" s="70"/>
      <c r="BA6364" s="4"/>
      <c r="BB6364" s="4"/>
    </row>
    <row r="6365" spans="1:54" x14ac:dyDescent="0.3">
      <c r="A6365" s="66"/>
      <c r="B6365" s="67"/>
      <c r="C6365" s="66"/>
      <c r="D6365" s="68"/>
      <c r="E6365" s="10"/>
      <c r="F6365" s="69"/>
      <c r="G6365" s="68"/>
      <c r="H6365" s="70"/>
      <c r="BA6365" s="4"/>
      <c r="BB6365" s="4"/>
    </row>
    <row r="6366" spans="1:54" x14ac:dyDescent="0.3">
      <c r="A6366" s="66"/>
      <c r="B6366" s="67"/>
      <c r="C6366" s="66"/>
      <c r="D6366" s="68"/>
      <c r="E6366" s="10"/>
      <c r="F6366" s="69"/>
      <c r="G6366" s="68"/>
      <c r="H6366" s="70"/>
      <c r="BA6366" s="4"/>
      <c r="BB6366" s="4"/>
    </row>
    <row r="6367" spans="1:54" x14ac:dyDescent="0.3">
      <c r="A6367" s="66"/>
      <c r="B6367" s="67"/>
      <c r="C6367" s="66"/>
      <c r="D6367" s="68"/>
      <c r="E6367" s="10"/>
      <c r="F6367" s="69"/>
      <c r="G6367" s="68"/>
      <c r="H6367" s="70"/>
      <c r="BA6367" s="4"/>
      <c r="BB6367" s="4"/>
    </row>
    <row r="6368" spans="1:54" x14ac:dyDescent="0.3">
      <c r="A6368" s="66"/>
      <c r="B6368" s="67"/>
      <c r="C6368" s="66"/>
      <c r="D6368" s="68"/>
      <c r="E6368" s="10"/>
      <c r="F6368" s="69"/>
      <c r="G6368" s="68"/>
      <c r="H6368" s="70"/>
      <c r="BA6368" s="4"/>
      <c r="BB6368" s="4"/>
    </row>
    <row r="6369" spans="1:54" x14ac:dyDescent="0.3">
      <c r="A6369" s="66"/>
      <c r="B6369" s="67"/>
      <c r="C6369" s="66"/>
      <c r="D6369" s="68"/>
      <c r="E6369" s="10"/>
      <c r="F6369" s="69"/>
      <c r="G6369" s="68"/>
      <c r="H6369" s="70"/>
      <c r="BA6369" s="4"/>
      <c r="BB6369" s="4"/>
    </row>
    <row r="6370" spans="1:54" x14ac:dyDescent="0.3">
      <c r="A6370" s="66"/>
      <c r="B6370" s="67"/>
      <c r="C6370" s="66"/>
      <c r="D6370" s="68"/>
      <c r="E6370" s="10"/>
      <c r="F6370" s="69"/>
      <c r="G6370" s="68"/>
      <c r="H6370" s="70"/>
      <c r="BA6370" s="4"/>
      <c r="BB6370" s="4"/>
    </row>
    <row r="6371" spans="1:54" x14ac:dyDescent="0.3">
      <c r="A6371" s="66"/>
      <c r="B6371" s="67"/>
      <c r="C6371" s="66"/>
      <c r="D6371" s="68"/>
      <c r="E6371" s="10"/>
      <c r="F6371" s="69"/>
      <c r="G6371" s="68"/>
      <c r="H6371" s="70"/>
      <c r="BA6371" s="4"/>
      <c r="BB6371" s="4"/>
    </row>
    <row r="6372" spans="1:54" x14ac:dyDescent="0.3">
      <c r="A6372" s="66"/>
      <c r="B6372" s="67"/>
      <c r="C6372" s="66"/>
      <c r="D6372" s="68"/>
      <c r="E6372" s="10"/>
      <c r="F6372" s="69"/>
      <c r="G6372" s="68"/>
      <c r="H6372" s="70"/>
      <c r="BA6372" s="4"/>
      <c r="BB6372" s="4"/>
    </row>
    <row r="6373" spans="1:54" x14ac:dyDescent="0.3">
      <c r="A6373" s="66"/>
      <c r="B6373" s="67"/>
      <c r="C6373" s="66"/>
      <c r="D6373" s="68"/>
      <c r="E6373" s="10"/>
      <c r="F6373" s="69"/>
      <c r="G6373" s="68"/>
      <c r="H6373" s="70"/>
      <c r="BA6373" s="4"/>
      <c r="BB6373" s="4"/>
    </row>
    <row r="6374" spans="1:54" x14ac:dyDescent="0.3">
      <c r="A6374" s="66"/>
      <c r="B6374" s="67"/>
      <c r="C6374" s="66"/>
      <c r="D6374" s="68"/>
      <c r="E6374" s="10"/>
      <c r="F6374" s="69"/>
      <c r="G6374" s="68"/>
      <c r="H6374" s="70"/>
      <c r="BA6374" s="4"/>
      <c r="BB6374" s="4"/>
    </row>
    <row r="6375" spans="1:54" x14ac:dyDescent="0.3">
      <c r="A6375" s="66"/>
      <c r="B6375" s="67"/>
      <c r="C6375" s="66"/>
      <c r="D6375" s="68"/>
      <c r="E6375" s="10"/>
      <c r="F6375" s="69"/>
      <c r="G6375" s="68"/>
      <c r="H6375" s="70"/>
      <c r="BA6375" s="4"/>
      <c r="BB6375" s="4"/>
    </row>
    <row r="6376" spans="1:54" x14ac:dyDescent="0.3">
      <c r="A6376" s="66"/>
      <c r="B6376" s="67"/>
      <c r="C6376" s="66"/>
      <c r="D6376" s="68"/>
      <c r="E6376" s="10"/>
      <c r="F6376" s="69"/>
      <c r="G6376" s="68"/>
      <c r="H6376" s="70"/>
      <c r="BA6376" s="4"/>
      <c r="BB6376" s="4"/>
    </row>
    <row r="6377" spans="1:54" x14ac:dyDescent="0.3">
      <c r="A6377" s="66"/>
      <c r="B6377" s="67"/>
      <c r="C6377" s="66"/>
      <c r="D6377" s="68"/>
      <c r="E6377" s="10"/>
      <c r="F6377" s="69"/>
      <c r="G6377" s="68"/>
      <c r="H6377" s="70"/>
      <c r="BA6377" s="4"/>
      <c r="BB6377" s="4"/>
    </row>
    <row r="6378" spans="1:54" x14ac:dyDescent="0.3">
      <c r="A6378" s="66"/>
      <c r="B6378" s="67"/>
      <c r="C6378" s="66"/>
      <c r="D6378" s="68"/>
      <c r="E6378" s="10"/>
      <c r="F6378" s="69"/>
      <c r="G6378" s="68"/>
      <c r="H6378" s="70"/>
      <c r="BA6378" s="4"/>
      <c r="BB6378" s="4"/>
    </row>
    <row r="6379" spans="1:54" x14ac:dyDescent="0.3">
      <c r="A6379" s="66"/>
      <c r="B6379" s="67"/>
      <c r="C6379" s="66"/>
      <c r="D6379" s="68"/>
      <c r="E6379" s="10"/>
      <c r="F6379" s="69"/>
      <c r="G6379" s="68"/>
      <c r="H6379" s="70"/>
      <c r="BA6379" s="4"/>
      <c r="BB6379" s="4"/>
    </row>
    <row r="6380" spans="1:54" x14ac:dyDescent="0.3">
      <c r="A6380" s="66"/>
      <c r="B6380" s="67"/>
      <c r="C6380" s="66"/>
      <c r="D6380" s="68"/>
      <c r="E6380" s="10"/>
      <c r="F6380" s="69"/>
      <c r="G6380" s="68"/>
      <c r="H6380" s="70"/>
      <c r="BA6380" s="4"/>
      <c r="BB6380" s="4"/>
    </row>
    <row r="6381" spans="1:54" x14ac:dyDescent="0.3">
      <c r="A6381" s="66"/>
      <c r="B6381" s="67"/>
      <c r="C6381" s="66"/>
      <c r="D6381" s="68"/>
      <c r="E6381" s="10"/>
      <c r="F6381" s="69"/>
      <c r="G6381" s="68"/>
      <c r="H6381" s="70"/>
      <c r="BA6381" s="4"/>
      <c r="BB6381" s="4"/>
    </row>
    <row r="6382" spans="1:54" x14ac:dyDescent="0.3">
      <c r="A6382" s="66"/>
      <c r="B6382" s="67"/>
      <c r="C6382" s="66"/>
      <c r="D6382" s="68"/>
      <c r="E6382" s="10"/>
      <c r="F6382" s="69"/>
      <c r="G6382" s="68"/>
      <c r="H6382" s="70"/>
      <c r="BA6382" s="4"/>
      <c r="BB6382" s="4"/>
    </row>
    <row r="6383" spans="1:54" x14ac:dyDescent="0.3">
      <c r="A6383" s="66"/>
      <c r="B6383" s="67"/>
      <c r="C6383" s="66"/>
      <c r="D6383" s="68"/>
      <c r="E6383" s="10"/>
      <c r="F6383" s="69"/>
      <c r="G6383" s="68"/>
      <c r="H6383" s="70"/>
      <c r="BA6383" s="4"/>
      <c r="BB6383" s="4"/>
    </row>
    <row r="6384" spans="1:54" x14ac:dyDescent="0.3">
      <c r="A6384" s="66"/>
      <c r="B6384" s="67"/>
      <c r="C6384" s="66"/>
      <c r="D6384" s="68"/>
      <c r="E6384" s="10"/>
      <c r="F6384" s="69"/>
      <c r="G6384" s="68"/>
      <c r="H6384" s="70"/>
      <c r="BA6384" s="4"/>
      <c r="BB6384" s="4"/>
    </row>
    <row r="6385" spans="1:54" x14ac:dyDescent="0.3">
      <c r="A6385" s="66"/>
      <c r="B6385" s="67"/>
      <c r="C6385" s="66"/>
      <c r="D6385" s="68"/>
      <c r="E6385" s="10"/>
      <c r="F6385" s="69"/>
      <c r="G6385" s="68"/>
      <c r="H6385" s="70"/>
      <c r="BA6385" s="4"/>
      <c r="BB6385" s="4"/>
    </row>
    <row r="6386" spans="1:54" x14ac:dyDescent="0.3">
      <c r="A6386" s="66"/>
      <c r="B6386" s="67"/>
      <c r="C6386" s="66"/>
      <c r="D6386" s="68"/>
      <c r="E6386" s="10"/>
      <c r="F6386" s="69"/>
      <c r="G6386" s="68"/>
      <c r="H6386" s="70"/>
      <c r="BA6386" s="4"/>
      <c r="BB6386" s="4"/>
    </row>
    <row r="6387" spans="1:54" x14ac:dyDescent="0.3">
      <c r="A6387" s="66"/>
      <c r="B6387" s="67"/>
      <c r="C6387" s="66"/>
      <c r="D6387" s="68"/>
      <c r="E6387" s="10"/>
      <c r="F6387" s="69"/>
      <c r="G6387" s="68"/>
      <c r="H6387" s="70"/>
      <c r="BA6387" s="4"/>
      <c r="BB6387" s="4"/>
    </row>
    <row r="6388" spans="1:54" x14ac:dyDescent="0.3">
      <c r="A6388" s="66"/>
      <c r="B6388" s="67"/>
      <c r="C6388" s="66"/>
      <c r="D6388" s="68"/>
      <c r="E6388" s="10"/>
      <c r="F6388" s="69"/>
      <c r="G6388" s="68"/>
      <c r="H6388" s="70"/>
      <c r="BA6388" s="4"/>
      <c r="BB6388" s="4"/>
    </row>
    <row r="6389" spans="1:54" x14ac:dyDescent="0.3">
      <c r="A6389" s="66"/>
      <c r="B6389" s="67"/>
      <c r="C6389" s="66"/>
      <c r="D6389" s="68"/>
      <c r="E6389" s="10"/>
      <c r="F6389" s="69"/>
      <c r="G6389" s="68"/>
      <c r="H6389" s="70"/>
      <c r="BA6389" s="4"/>
      <c r="BB6389" s="4"/>
    </row>
    <row r="6390" spans="1:54" x14ac:dyDescent="0.3">
      <c r="A6390" s="66"/>
      <c r="B6390" s="67"/>
      <c r="C6390" s="66"/>
      <c r="D6390" s="68"/>
      <c r="E6390" s="10"/>
      <c r="F6390" s="69"/>
      <c r="G6390" s="68"/>
      <c r="H6390" s="70"/>
      <c r="BA6390" s="4"/>
      <c r="BB6390" s="4"/>
    </row>
    <row r="6391" spans="1:54" x14ac:dyDescent="0.3">
      <c r="A6391" s="66"/>
      <c r="B6391" s="67"/>
      <c r="C6391" s="66"/>
      <c r="D6391" s="68"/>
      <c r="E6391" s="10"/>
      <c r="F6391" s="69"/>
      <c r="G6391" s="68"/>
      <c r="H6391" s="70"/>
      <c r="BA6391" s="4"/>
      <c r="BB6391" s="4"/>
    </row>
    <row r="6392" spans="1:54" x14ac:dyDescent="0.3">
      <c r="A6392" s="66"/>
      <c r="B6392" s="67"/>
      <c r="C6392" s="66"/>
      <c r="D6392" s="68"/>
      <c r="E6392" s="10"/>
      <c r="F6392" s="69"/>
      <c r="G6392" s="68"/>
      <c r="H6392" s="70"/>
      <c r="BA6392" s="4"/>
      <c r="BB6392" s="4"/>
    </row>
    <row r="6393" spans="1:54" x14ac:dyDescent="0.3">
      <c r="A6393" s="66"/>
      <c r="B6393" s="67"/>
      <c r="C6393" s="66"/>
      <c r="D6393" s="68"/>
      <c r="E6393" s="10"/>
      <c r="F6393" s="69"/>
      <c r="G6393" s="68"/>
      <c r="H6393" s="70"/>
      <c r="BA6393" s="4"/>
      <c r="BB6393" s="4"/>
    </row>
    <row r="6394" spans="1:54" x14ac:dyDescent="0.3">
      <c r="A6394" s="66"/>
      <c r="B6394" s="67"/>
      <c r="C6394" s="66"/>
      <c r="D6394" s="68"/>
      <c r="E6394" s="10"/>
      <c r="F6394" s="69"/>
      <c r="G6394" s="68"/>
      <c r="H6394" s="70"/>
      <c r="BA6394" s="4"/>
      <c r="BB6394" s="4"/>
    </row>
    <row r="6395" spans="1:54" x14ac:dyDescent="0.3">
      <c r="A6395" s="66"/>
      <c r="B6395" s="67"/>
      <c r="C6395" s="66"/>
      <c r="D6395" s="68"/>
      <c r="E6395" s="10"/>
      <c r="F6395" s="69"/>
      <c r="G6395" s="68"/>
      <c r="H6395" s="70"/>
      <c r="BA6395" s="4"/>
      <c r="BB6395" s="4"/>
    </row>
    <row r="6396" spans="1:54" x14ac:dyDescent="0.3">
      <c r="A6396" s="66"/>
      <c r="B6396" s="67"/>
      <c r="C6396" s="66"/>
      <c r="D6396" s="68"/>
      <c r="E6396" s="10"/>
      <c r="F6396" s="69"/>
      <c r="G6396" s="68"/>
      <c r="H6396" s="70"/>
      <c r="BA6396" s="4"/>
      <c r="BB6396" s="4"/>
    </row>
    <row r="6397" spans="1:54" x14ac:dyDescent="0.3">
      <c r="A6397" s="66"/>
      <c r="B6397" s="67"/>
      <c r="C6397" s="66"/>
      <c r="D6397" s="68"/>
      <c r="E6397" s="10"/>
      <c r="F6397" s="69"/>
      <c r="G6397" s="68"/>
      <c r="H6397" s="70"/>
      <c r="BA6397" s="4"/>
      <c r="BB6397" s="4"/>
    </row>
    <row r="6398" spans="1:54" x14ac:dyDescent="0.3">
      <c r="A6398" s="66"/>
      <c r="B6398" s="67"/>
      <c r="C6398" s="66"/>
      <c r="D6398" s="68"/>
      <c r="E6398" s="10"/>
      <c r="F6398" s="69"/>
      <c r="G6398" s="68"/>
      <c r="H6398" s="70"/>
      <c r="BA6398" s="4"/>
      <c r="BB6398" s="4"/>
    </row>
    <row r="6399" spans="1:54" x14ac:dyDescent="0.3">
      <c r="A6399" s="66"/>
      <c r="B6399" s="67"/>
      <c r="C6399" s="66"/>
      <c r="D6399" s="68"/>
      <c r="E6399" s="10"/>
      <c r="F6399" s="69"/>
      <c r="G6399" s="68"/>
      <c r="H6399" s="70"/>
      <c r="BA6399" s="4"/>
      <c r="BB6399" s="4"/>
    </row>
    <row r="6400" spans="1:54" x14ac:dyDescent="0.3">
      <c r="A6400" s="66"/>
      <c r="B6400" s="67"/>
      <c r="C6400" s="66"/>
      <c r="D6400" s="68"/>
      <c r="E6400" s="10"/>
      <c r="F6400" s="69"/>
      <c r="G6400" s="68"/>
      <c r="H6400" s="70"/>
      <c r="BA6400" s="4"/>
      <c r="BB6400" s="4"/>
    </row>
    <row r="6401" spans="1:54" x14ac:dyDescent="0.3">
      <c r="A6401" s="66"/>
      <c r="B6401" s="67"/>
      <c r="C6401" s="66"/>
      <c r="D6401" s="68"/>
      <c r="E6401" s="10"/>
      <c r="F6401" s="69"/>
      <c r="G6401" s="68"/>
      <c r="H6401" s="70"/>
      <c r="BA6401" s="4"/>
      <c r="BB6401" s="4"/>
    </row>
    <row r="6402" spans="1:54" x14ac:dyDescent="0.3">
      <c r="A6402" s="66"/>
      <c r="B6402" s="67"/>
      <c r="C6402" s="66"/>
      <c r="D6402" s="68"/>
      <c r="E6402" s="10"/>
      <c r="F6402" s="69"/>
      <c r="G6402" s="68"/>
      <c r="H6402" s="70"/>
      <c r="BA6402" s="4"/>
      <c r="BB6402" s="4"/>
    </row>
    <row r="6403" spans="1:54" x14ac:dyDescent="0.3">
      <c r="A6403" s="66"/>
      <c r="B6403" s="67"/>
      <c r="C6403" s="66"/>
      <c r="D6403" s="68"/>
      <c r="E6403" s="10"/>
      <c r="F6403" s="69"/>
      <c r="G6403" s="68"/>
      <c r="H6403" s="70"/>
      <c r="BA6403" s="4"/>
      <c r="BB6403" s="4"/>
    </row>
    <row r="6404" spans="1:54" x14ac:dyDescent="0.3">
      <c r="A6404" s="66"/>
      <c r="B6404" s="67"/>
      <c r="C6404" s="66"/>
      <c r="D6404" s="68"/>
      <c r="E6404" s="10"/>
      <c r="F6404" s="69"/>
      <c r="G6404" s="68"/>
      <c r="H6404" s="70"/>
      <c r="BA6404" s="4"/>
      <c r="BB6404" s="4"/>
    </row>
    <row r="6405" spans="1:54" x14ac:dyDescent="0.3">
      <c r="A6405" s="66"/>
      <c r="B6405" s="67"/>
      <c r="C6405" s="66"/>
      <c r="D6405" s="68"/>
      <c r="E6405" s="10"/>
      <c r="F6405" s="69"/>
      <c r="G6405" s="68"/>
      <c r="H6405" s="70"/>
      <c r="BA6405" s="4"/>
      <c r="BB6405" s="4"/>
    </row>
    <row r="6406" spans="1:54" x14ac:dyDescent="0.3">
      <c r="A6406" s="66"/>
      <c r="B6406" s="67"/>
      <c r="C6406" s="66"/>
      <c r="D6406" s="68"/>
      <c r="E6406" s="10"/>
      <c r="F6406" s="69"/>
      <c r="G6406" s="68"/>
      <c r="H6406" s="70"/>
      <c r="BA6406" s="4"/>
      <c r="BB6406" s="4"/>
    </row>
    <row r="6407" spans="1:54" x14ac:dyDescent="0.3">
      <c r="A6407" s="66"/>
      <c r="B6407" s="67"/>
      <c r="C6407" s="66"/>
      <c r="D6407" s="68"/>
      <c r="E6407" s="10"/>
      <c r="F6407" s="69"/>
      <c r="G6407" s="68"/>
      <c r="H6407" s="70"/>
      <c r="BA6407" s="4"/>
      <c r="BB6407" s="4"/>
    </row>
    <row r="6408" spans="1:54" x14ac:dyDescent="0.3">
      <c r="A6408" s="66"/>
      <c r="B6408" s="67"/>
      <c r="C6408" s="66"/>
      <c r="D6408" s="68"/>
      <c r="E6408" s="10"/>
      <c r="F6408" s="69"/>
      <c r="G6408" s="68"/>
      <c r="H6408" s="70"/>
      <c r="BA6408" s="4"/>
      <c r="BB6408" s="4"/>
    </row>
    <row r="6409" spans="1:54" x14ac:dyDescent="0.3">
      <c r="A6409" s="66"/>
      <c r="B6409" s="67"/>
      <c r="C6409" s="66"/>
      <c r="D6409" s="68"/>
      <c r="E6409" s="10"/>
      <c r="F6409" s="69"/>
      <c r="G6409" s="68"/>
      <c r="H6409" s="70"/>
      <c r="BA6409" s="4"/>
      <c r="BB6409" s="4"/>
    </row>
    <row r="6410" spans="1:54" x14ac:dyDescent="0.3">
      <c r="A6410" s="66"/>
      <c r="B6410" s="67"/>
      <c r="C6410" s="66"/>
      <c r="D6410" s="68"/>
      <c r="E6410" s="10"/>
      <c r="F6410" s="69"/>
      <c r="G6410" s="68"/>
      <c r="H6410" s="70"/>
      <c r="BA6410" s="4"/>
      <c r="BB6410" s="4"/>
    </row>
    <row r="6411" spans="1:54" x14ac:dyDescent="0.3">
      <c r="A6411" s="66"/>
      <c r="B6411" s="67"/>
      <c r="C6411" s="66"/>
      <c r="D6411" s="68"/>
      <c r="E6411" s="10"/>
      <c r="F6411" s="69"/>
      <c r="G6411" s="68"/>
      <c r="H6411" s="70"/>
      <c r="BA6411" s="4"/>
      <c r="BB6411" s="4"/>
    </row>
    <row r="6412" spans="1:54" x14ac:dyDescent="0.3">
      <c r="A6412" s="66"/>
      <c r="B6412" s="67"/>
      <c r="C6412" s="66"/>
      <c r="D6412" s="68"/>
      <c r="E6412" s="10"/>
      <c r="F6412" s="69"/>
      <c r="G6412" s="68"/>
      <c r="H6412" s="70"/>
      <c r="BA6412" s="4"/>
      <c r="BB6412" s="4"/>
    </row>
    <row r="6413" spans="1:54" x14ac:dyDescent="0.3">
      <c r="A6413" s="66"/>
      <c r="B6413" s="67"/>
      <c r="C6413" s="66"/>
      <c r="D6413" s="68"/>
      <c r="E6413" s="10"/>
      <c r="F6413" s="69"/>
      <c r="G6413" s="68"/>
      <c r="H6413" s="70"/>
      <c r="BA6413" s="4"/>
      <c r="BB6413" s="4"/>
    </row>
    <row r="6414" spans="1:54" x14ac:dyDescent="0.3">
      <c r="A6414" s="66"/>
      <c r="B6414" s="67"/>
      <c r="C6414" s="66"/>
      <c r="D6414" s="68"/>
      <c r="E6414" s="10"/>
      <c r="F6414" s="69"/>
      <c r="G6414" s="68"/>
      <c r="H6414" s="70"/>
      <c r="BA6414" s="4"/>
      <c r="BB6414" s="4"/>
    </row>
    <row r="6415" spans="1:54" x14ac:dyDescent="0.3">
      <c r="A6415" s="66"/>
      <c r="B6415" s="67"/>
      <c r="C6415" s="66"/>
      <c r="D6415" s="68"/>
      <c r="E6415" s="10"/>
      <c r="F6415" s="69"/>
      <c r="G6415" s="68"/>
      <c r="H6415" s="70"/>
      <c r="BA6415" s="4"/>
      <c r="BB6415" s="4"/>
    </row>
    <row r="6416" spans="1:54" x14ac:dyDescent="0.3">
      <c r="A6416" s="66"/>
      <c r="B6416" s="67"/>
      <c r="C6416" s="66"/>
      <c r="D6416" s="68"/>
      <c r="E6416" s="10"/>
      <c r="F6416" s="69"/>
      <c r="G6416" s="68"/>
      <c r="H6416" s="70"/>
      <c r="BA6416" s="4"/>
      <c r="BB6416" s="4"/>
    </row>
    <row r="6417" spans="1:54" x14ac:dyDescent="0.3">
      <c r="A6417" s="66"/>
      <c r="B6417" s="67"/>
      <c r="C6417" s="66"/>
      <c r="D6417" s="68"/>
      <c r="E6417" s="10"/>
      <c r="F6417" s="69"/>
      <c r="G6417" s="68"/>
      <c r="H6417" s="70"/>
      <c r="BA6417" s="4"/>
      <c r="BB6417" s="4"/>
    </row>
    <row r="6418" spans="1:54" x14ac:dyDescent="0.3">
      <c r="A6418" s="66"/>
      <c r="B6418" s="67"/>
      <c r="C6418" s="66"/>
      <c r="D6418" s="68"/>
      <c r="E6418" s="10"/>
      <c r="F6418" s="69"/>
      <c r="G6418" s="68"/>
      <c r="H6418" s="70"/>
      <c r="BA6418" s="4"/>
      <c r="BB6418" s="4"/>
    </row>
    <row r="6419" spans="1:54" x14ac:dyDescent="0.3">
      <c r="A6419" s="66"/>
      <c r="B6419" s="67"/>
      <c r="C6419" s="66"/>
      <c r="D6419" s="68"/>
      <c r="E6419" s="10"/>
      <c r="F6419" s="69"/>
      <c r="G6419" s="68"/>
      <c r="H6419" s="70"/>
      <c r="BA6419" s="4"/>
      <c r="BB6419" s="4"/>
    </row>
    <row r="6420" spans="1:54" x14ac:dyDescent="0.3">
      <c r="A6420" s="66"/>
      <c r="B6420" s="67"/>
      <c r="C6420" s="66"/>
      <c r="D6420" s="68"/>
      <c r="E6420" s="10"/>
      <c r="F6420" s="69"/>
      <c r="G6420" s="68"/>
      <c r="H6420" s="70"/>
      <c r="BA6420" s="4"/>
      <c r="BB6420" s="4"/>
    </row>
    <row r="6421" spans="1:54" x14ac:dyDescent="0.3">
      <c r="A6421" s="66"/>
      <c r="B6421" s="67"/>
      <c r="C6421" s="66"/>
      <c r="D6421" s="68"/>
      <c r="E6421" s="10"/>
      <c r="F6421" s="69"/>
      <c r="G6421" s="68"/>
      <c r="H6421" s="70"/>
      <c r="BA6421" s="4"/>
      <c r="BB6421" s="4"/>
    </row>
    <row r="6422" spans="1:54" x14ac:dyDescent="0.3">
      <c r="A6422" s="66"/>
      <c r="B6422" s="67"/>
      <c r="C6422" s="66"/>
      <c r="D6422" s="68"/>
      <c r="E6422" s="10"/>
      <c r="F6422" s="69"/>
      <c r="G6422" s="68"/>
      <c r="H6422" s="70"/>
      <c r="BA6422" s="4"/>
      <c r="BB6422" s="4"/>
    </row>
    <row r="6423" spans="1:54" x14ac:dyDescent="0.3">
      <c r="A6423" s="66"/>
      <c r="B6423" s="67"/>
      <c r="C6423" s="66"/>
      <c r="D6423" s="68"/>
      <c r="E6423" s="10"/>
      <c r="F6423" s="69"/>
      <c r="G6423" s="68"/>
      <c r="H6423" s="70"/>
      <c r="BA6423" s="4"/>
      <c r="BB6423" s="4"/>
    </row>
    <row r="6424" spans="1:54" x14ac:dyDescent="0.3">
      <c r="A6424" s="66"/>
      <c r="B6424" s="67"/>
      <c r="C6424" s="66"/>
      <c r="D6424" s="68"/>
      <c r="E6424" s="10"/>
      <c r="F6424" s="69"/>
      <c r="G6424" s="68"/>
      <c r="H6424" s="70"/>
      <c r="BA6424" s="4"/>
      <c r="BB6424" s="4"/>
    </row>
    <row r="6425" spans="1:54" x14ac:dyDescent="0.3">
      <c r="A6425" s="66"/>
      <c r="B6425" s="67"/>
      <c r="C6425" s="66"/>
      <c r="D6425" s="68"/>
      <c r="E6425" s="10"/>
      <c r="F6425" s="69"/>
      <c r="G6425" s="68"/>
      <c r="H6425" s="70"/>
      <c r="BA6425" s="4"/>
      <c r="BB6425" s="4"/>
    </row>
    <row r="6426" spans="1:54" x14ac:dyDescent="0.3">
      <c r="A6426" s="66"/>
      <c r="B6426" s="67"/>
      <c r="C6426" s="66"/>
      <c r="D6426" s="68"/>
      <c r="E6426" s="10"/>
      <c r="F6426" s="69"/>
      <c r="G6426" s="68"/>
      <c r="H6426" s="70"/>
      <c r="BA6426" s="4"/>
      <c r="BB6426" s="4"/>
    </row>
    <row r="6427" spans="1:54" x14ac:dyDescent="0.3">
      <c r="A6427" s="66"/>
      <c r="B6427" s="67"/>
      <c r="C6427" s="66"/>
      <c r="D6427" s="68"/>
      <c r="E6427" s="10"/>
      <c r="F6427" s="69"/>
      <c r="G6427" s="68"/>
      <c r="H6427" s="70"/>
      <c r="BA6427" s="4"/>
      <c r="BB6427" s="4"/>
    </row>
    <row r="6428" spans="1:54" x14ac:dyDescent="0.3">
      <c r="A6428" s="66"/>
      <c r="B6428" s="67"/>
      <c r="C6428" s="66"/>
      <c r="D6428" s="68"/>
      <c r="E6428" s="10"/>
      <c r="F6428" s="69"/>
      <c r="G6428" s="68"/>
      <c r="H6428" s="70"/>
      <c r="BA6428" s="4"/>
      <c r="BB6428" s="4"/>
    </row>
    <row r="6429" spans="1:54" x14ac:dyDescent="0.3">
      <c r="A6429" s="66"/>
      <c r="B6429" s="67"/>
      <c r="C6429" s="66"/>
      <c r="D6429" s="68"/>
      <c r="E6429" s="10"/>
      <c r="F6429" s="69"/>
      <c r="G6429" s="68"/>
      <c r="H6429" s="70"/>
      <c r="BA6429" s="4"/>
      <c r="BB6429" s="4"/>
    </row>
    <row r="6430" spans="1:54" x14ac:dyDescent="0.3">
      <c r="A6430" s="66"/>
      <c r="B6430" s="67"/>
      <c r="C6430" s="66"/>
      <c r="D6430" s="68"/>
      <c r="E6430" s="10"/>
      <c r="F6430" s="69"/>
      <c r="G6430" s="68"/>
      <c r="H6430" s="70"/>
      <c r="BA6430" s="4"/>
      <c r="BB6430" s="4"/>
    </row>
    <row r="6431" spans="1:54" x14ac:dyDescent="0.3">
      <c r="A6431" s="66"/>
      <c r="B6431" s="67"/>
      <c r="C6431" s="66"/>
      <c r="D6431" s="68"/>
      <c r="E6431" s="10"/>
      <c r="F6431" s="69"/>
      <c r="G6431" s="68"/>
      <c r="H6431" s="70"/>
      <c r="BA6431" s="4"/>
      <c r="BB6431" s="4"/>
    </row>
    <row r="6432" spans="1:54" x14ac:dyDescent="0.3">
      <c r="A6432" s="66"/>
      <c r="B6432" s="67"/>
      <c r="C6432" s="66"/>
      <c r="D6432" s="68"/>
      <c r="E6432" s="10"/>
      <c r="F6432" s="69"/>
      <c r="G6432" s="68"/>
      <c r="H6432" s="70"/>
      <c r="BA6432" s="4"/>
      <c r="BB6432" s="4"/>
    </row>
    <row r="6433" spans="1:54" x14ac:dyDescent="0.3">
      <c r="A6433" s="66"/>
      <c r="B6433" s="67"/>
      <c r="C6433" s="66"/>
      <c r="D6433" s="68"/>
      <c r="E6433" s="10"/>
      <c r="F6433" s="69"/>
      <c r="G6433" s="68"/>
      <c r="H6433" s="70"/>
      <c r="BA6433" s="4"/>
      <c r="BB6433" s="4"/>
    </row>
    <row r="6434" spans="1:54" x14ac:dyDescent="0.3">
      <c r="A6434" s="66"/>
      <c r="B6434" s="67"/>
      <c r="C6434" s="66"/>
      <c r="D6434" s="68"/>
      <c r="E6434" s="10"/>
      <c r="F6434" s="69"/>
      <c r="G6434" s="68"/>
      <c r="H6434" s="70"/>
      <c r="BA6434" s="4"/>
      <c r="BB6434" s="4"/>
    </row>
    <row r="6435" spans="1:54" x14ac:dyDescent="0.3">
      <c r="A6435" s="66"/>
      <c r="B6435" s="67"/>
      <c r="C6435" s="66"/>
      <c r="D6435" s="68"/>
      <c r="E6435" s="10"/>
      <c r="F6435" s="69"/>
      <c r="G6435" s="68"/>
      <c r="H6435" s="70"/>
      <c r="BA6435" s="4"/>
      <c r="BB6435" s="4"/>
    </row>
    <row r="6436" spans="1:54" x14ac:dyDescent="0.3">
      <c r="A6436" s="66"/>
      <c r="B6436" s="67"/>
      <c r="C6436" s="66"/>
      <c r="D6436" s="68"/>
      <c r="E6436" s="10"/>
      <c r="F6436" s="69"/>
      <c r="G6436" s="68"/>
      <c r="H6436" s="70"/>
      <c r="BA6436" s="4"/>
      <c r="BB6436" s="4"/>
    </row>
    <row r="6437" spans="1:54" x14ac:dyDescent="0.3">
      <c r="A6437" s="66"/>
      <c r="B6437" s="67"/>
      <c r="C6437" s="66"/>
      <c r="D6437" s="68"/>
      <c r="E6437" s="10"/>
      <c r="F6437" s="69"/>
      <c r="G6437" s="68"/>
      <c r="H6437" s="70"/>
      <c r="BA6437" s="4"/>
      <c r="BB6437" s="4"/>
    </row>
    <row r="6438" spans="1:54" x14ac:dyDescent="0.3">
      <c r="A6438" s="66"/>
      <c r="B6438" s="67"/>
      <c r="C6438" s="66"/>
      <c r="D6438" s="68"/>
      <c r="E6438" s="10"/>
      <c r="F6438" s="69"/>
      <c r="G6438" s="68"/>
      <c r="H6438" s="70"/>
      <c r="BA6438" s="4"/>
      <c r="BB6438" s="4"/>
    </row>
    <row r="6439" spans="1:54" x14ac:dyDescent="0.3">
      <c r="A6439" s="66"/>
      <c r="B6439" s="67"/>
      <c r="C6439" s="66"/>
      <c r="D6439" s="68"/>
      <c r="E6439" s="10"/>
      <c r="F6439" s="69"/>
      <c r="G6439" s="68"/>
      <c r="H6439" s="70"/>
      <c r="BA6439" s="4"/>
      <c r="BB6439" s="4"/>
    </row>
    <row r="6440" spans="1:54" x14ac:dyDescent="0.3">
      <c r="A6440" s="66"/>
      <c r="B6440" s="67"/>
      <c r="C6440" s="66"/>
      <c r="D6440" s="68"/>
      <c r="E6440" s="10"/>
      <c r="F6440" s="69"/>
      <c r="G6440" s="68"/>
      <c r="H6440" s="70"/>
      <c r="BA6440" s="4"/>
      <c r="BB6440" s="4"/>
    </row>
    <row r="6441" spans="1:54" x14ac:dyDescent="0.3">
      <c r="A6441" s="66"/>
      <c r="B6441" s="67"/>
      <c r="C6441" s="66"/>
      <c r="D6441" s="68"/>
      <c r="E6441" s="10"/>
      <c r="F6441" s="69"/>
      <c r="G6441" s="68"/>
      <c r="H6441" s="70"/>
      <c r="BA6441" s="4"/>
      <c r="BB6441" s="4"/>
    </row>
    <row r="6442" spans="1:54" x14ac:dyDescent="0.3">
      <c r="A6442" s="66"/>
      <c r="B6442" s="67"/>
      <c r="C6442" s="66"/>
      <c r="D6442" s="68"/>
      <c r="E6442" s="10"/>
      <c r="F6442" s="69"/>
      <c r="G6442" s="68"/>
      <c r="H6442" s="70"/>
      <c r="BA6442" s="4"/>
      <c r="BB6442" s="4"/>
    </row>
    <row r="6443" spans="1:54" x14ac:dyDescent="0.3">
      <c r="A6443" s="66"/>
      <c r="B6443" s="67"/>
      <c r="C6443" s="66"/>
      <c r="D6443" s="68"/>
      <c r="E6443" s="10"/>
      <c r="F6443" s="69"/>
      <c r="G6443" s="68"/>
      <c r="H6443" s="70"/>
      <c r="BA6443" s="4"/>
      <c r="BB6443" s="4"/>
    </row>
    <row r="6444" spans="1:54" x14ac:dyDescent="0.3">
      <c r="A6444" s="66"/>
      <c r="B6444" s="67"/>
      <c r="C6444" s="66"/>
      <c r="D6444" s="68"/>
      <c r="E6444" s="10"/>
      <c r="F6444" s="69"/>
      <c r="G6444" s="68"/>
      <c r="H6444" s="70"/>
      <c r="BA6444" s="4"/>
      <c r="BB6444" s="4"/>
    </row>
    <row r="6445" spans="1:54" x14ac:dyDescent="0.3">
      <c r="A6445" s="66"/>
      <c r="B6445" s="67"/>
      <c r="C6445" s="66"/>
      <c r="D6445" s="68"/>
      <c r="E6445" s="10"/>
      <c r="F6445" s="69"/>
      <c r="G6445" s="68"/>
      <c r="H6445" s="70"/>
      <c r="BA6445" s="4"/>
      <c r="BB6445" s="4"/>
    </row>
    <row r="6446" spans="1:54" x14ac:dyDescent="0.3">
      <c r="A6446" s="66"/>
      <c r="B6446" s="67"/>
      <c r="C6446" s="66"/>
      <c r="D6446" s="68"/>
      <c r="E6446" s="10"/>
      <c r="F6446" s="69"/>
      <c r="G6446" s="68"/>
      <c r="H6446" s="70"/>
      <c r="BA6446" s="4"/>
      <c r="BB6446" s="4"/>
    </row>
    <row r="6447" spans="1:54" x14ac:dyDescent="0.3">
      <c r="A6447" s="66"/>
      <c r="B6447" s="67"/>
      <c r="C6447" s="66"/>
      <c r="D6447" s="68"/>
      <c r="E6447" s="10"/>
      <c r="F6447" s="69"/>
      <c r="G6447" s="68"/>
      <c r="H6447" s="70"/>
      <c r="BA6447" s="4"/>
      <c r="BB6447" s="4"/>
    </row>
    <row r="6448" spans="1:54" x14ac:dyDescent="0.3">
      <c r="A6448" s="66"/>
      <c r="B6448" s="67"/>
      <c r="C6448" s="66"/>
      <c r="D6448" s="68"/>
      <c r="E6448" s="10"/>
      <c r="F6448" s="69"/>
      <c r="G6448" s="68"/>
      <c r="H6448" s="70"/>
      <c r="BA6448" s="4"/>
      <c r="BB6448" s="4"/>
    </row>
    <row r="6449" spans="1:54" x14ac:dyDescent="0.3">
      <c r="A6449" s="66"/>
      <c r="B6449" s="67"/>
      <c r="C6449" s="66"/>
      <c r="D6449" s="68"/>
      <c r="E6449" s="10"/>
      <c r="F6449" s="69"/>
      <c r="G6449" s="68"/>
      <c r="H6449" s="70"/>
      <c r="BA6449" s="4"/>
      <c r="BB6449" s="4"/>
    </row>
    <row r="6450" spans="1:54" x14ac:dyDescent="0.3">
      <c r="A6450" s="66"/>
      <c r="B6450" s="67"/>
      <c r="C6450" s="66"/>
      <c r="D6450" s="68"/>
      <c r="E6450" s="10"/>
      <c r="F6450" s="69"/>
      <c r="G6450" s="68"/>
      <c r="H6450" s="70"/>
      <c r="BA6450" s="4"/>
      <c r="BB6450" s="4"/>
    </row>
    <row r="6451" spans="1:54" x14ac:dyDescent="0.3">
      <c r="A6451" s="66"/>
      <c r="B6451" s="67"/>
      <c r="C6451" s="66"/>
      <c r="D6451" s="68"/>
      <c r="E6451" s="10"/>
      <c r="F6451" s="69"/>
      <c r="G6451" s="68"/>
      <c r="H6451" s="70"/>
      <c r="BA6451" s="4"/>
      <c r="BB6451" s="4"/>
    </row>
    <row r="6452" spans="1:54" x14ac:dyDescent="0.3">
      <c r="A6452" s="66"/>
      <c r="B6452" s="67"/>
      <c r="C6452" s="66"/>
      <c r="D6452" s="68"/>
      <c r="E6452" s="10"/>
      <c r="F6452" s="69"/>
      <c r="G6452" s="68"/>
      <c r="H6452" s="70"/>
      <c r="BA6452" s="4"/>
      <c r="BB6452" s="4"/>
    </row>
    <row r="6453" spans="1:54" x14ac:dyDescent="0.3">
      <c r="A6453" s="66"/>
      <c r="B6453" s="67"/>
      <c r="C6453" s="66"/>
      <c r="D6453" s="68"/>
      <c r="E6453" s="10"/>
      <c r="F6453" s="69"/>
      <c r="G6453" s="68"/>
      <c r="H6453" s="70"/>
      <c r="BA6453" s="4"/>
      <c r="BB6453" s="4"/>
    </row>
    <row r="6454" spans="1:54" x14ac:dyDescent="0.3">
      <c r="A6454" s="66"/>
      <c r="B6454" s="67"/>
      <c r="C6454" s="66"/>
      <c r="D6454" s="68"/>
      <c r="E6454" s="10"/>
      <c r="F6454" s="69"/>
      <c r="G6454" s="68"/>
      <c r="H6454" s="70"/>
      <c r="BA6454" s="4"/>
      <c r="BB6454" s="4"/>
    </row>
    <row r="6455" spans="1:54" x14ac:dyDescent="0.3">
      <c r="A6455" s="66"/>
      <c r="B6455" s="67"/>
      <c r="C6455" s="66"/>
      <c r="D6455" s="68"/>
      <c r="E6455" s="10"/>
      <c r="F6455" s="69"/>
      <c r="G6455" s="68"/>
      <c r="H6455" s="70"/>
      <c r="BA6455" s="4"/>
      <c r="BB6455" s="4"/>
    </row>
    <row r="6456" spans="1:54" x14ac:dyDescent="0.3">
      <c r="A6456" s="66"/>
      <c r="B6456" s="67"/>
      <c r="C6456" s="66"/>
      <c r="D6456" s="68"/>
      <c r="E6456" s="10"/>
      <c r="F6456" s="69"/>
      <c r="G6456" s="68"/>
      <c r="H6456" s="70"/>
      <c r="BA6456" s="4"/>
      <c r="BB6456" s="4"/>
    </row>
    <row r="6457" spans="1:54" x14ac:dyDescent="0.3">
      <c r="A6457" s="66"/>
      <c r="B6457" s="67"/>
      <c r="C6457" s="66"/>
      <c r="D6457" s="68"/>
      <c r="E6457" s="10"/>
      <c r="F6457" s="69"/>
      <c r="G6457" s="68"/>
      <c r="H6457" s="70"/>
      <c r="BA6457" s="4"/>
      <c r="BB6457" s="4"/>
    </row>
    <row r="6458" spans="1:54" x14ac:dyDescent="0.3">
      <c r="A6458" s="66"/>
      <c r="B6458" s="67"/>
      <c r="C6458" s="66"/>
      <c r="D6458" s="68"/>
      <c r="E6458" s="10"/>
      <c r="F6458" s="69"/>
      <c r="G6458" s="68"/>
      <c r="H6458" s="70"/>
      <c r="BA6458" s="4"/>
      <c r="BB6458" s="4"/>
    </row>
    <row r="6459" spans="1:54" x14ac:dyDescent="0.3">
      <c r="A6459" s="66"/>
      <c r="B6459" s="67"/>
      <c r="C6459" s="66"/>
      <c r="D6459" s="68"/>
      <c r="E6459" s="10"/>
      <c r="F6459" s="69"/>
      <c r="G6459" s="68"/>
      <c r="H6459" s="70"/>
      <c r="BA6459" s="4"/>
      <c r="BB6459" s="4"/>
    </row>
    <row r="6460" spans="1:54" x14ac:dyDescent="0.3">
      <c r="A6460" s="66"/>
      <c r="B6460" s="67"/>
      <c r="C6460" s="66"/>
      <c r="D6460" s="68"/>
      <c r="E6460" s="10"/>
      <c r="F6460" s="69"/>
      <c r="G6460" s="68"/>
      <c r="H6460" s="70"/>
      <c r="BA6460" s="4"/>
      <c r="BB6460" s="4"/>
    </row>
    <row r="6461" spans="1:54" x14ac:dyDescent="0.3">
      <c r="A6461" s="66"/>
      <c r="B6461" s="67"/>
      <c r="C6461" s="66"/>
      <c r="D6461" s="68"/>
      <c r="E6461" s="10"/>
      <c r="F6461" s="69"/>
      <c r="G6461" s="68"/>
      <c r="H6461" s="70"/>
      <c r="BA6461" s="4"/>
      <c r="BB6461" s="4"/>
    </row>
    <row r="6462" spans="1:54" x14ac:dyDescent="0.3">
      <c r="A6462" s="66"/>
      <c r="B6462" s="67"/>
      <c r="C6462" s="66"/>
      <c r="D6462" s="68"/>
      <c r="E6462" s="10"/>
      <c r="F6462" s="69"/>
      <c r="G6462" s="68"/>
      <c r="H6462" s="70"/>
      <c r="BA6462" s="4"/>
      <c r="BB6462" s="4"/>
    </row>
    <row r="6463" spans="1:54" x14ac:dyDescent="0.3">
      <c r="A6463" s="66"/>
      <c r="B6463" s="67"/>
      <c r="C6463" s="66"/>
      <c r="D6463" s="68"/>
      <c r="E6463" s="10"/>
      <c r="F6463" s="69"/>
      <c r="G6463" s="68"/>
      <c r="H6463" s="70"/>
      <c r="BA6463" s="4"/>
      <c r="BB6463" s="4"/>
    </row>
    <row r="6464" spans="1:54" x14ac:dyDescent="0.3">
      <c r="A6464" s="66"/>
      <c r="B6464" s="67"/>
      <c r="C6464" s="66"/>
      <c r="D6464" s="68"/>
      <c r="E6464" s="10"/>
      <c r="F6464" s="69"/>
      <c r="G6464" s="68"/>
      <c r="H6464" s="70"/>
      <c r="BA6464" s="4"/>
      <c r="BB6464" s="4"/>
    </row>
    <row r="6465" spans="1:54" x14ac:dyDescent="0.3">
      <c r="A6465" s="66"/>
      <c r="B6465" s="67"/>
      <c r="C6465" s="66"/>
      <c r="D6465" s="68"/>
      <c r="E6465" s="10"/>
      <c r="F6465" s="69"/>
      <c r="G6465" s="68"/>
      <c r="H6465" s="70"/>
      <c r="BA6465" s="4"/>
      <c r="BB6465" s="4"/>
    </row>
    <row r="6466" spans="1:54" x14ac:dyDescent="0.3">
      <c r="A6466" s="66"/>
      <c r="B6466" s="67"/>
      <c r="C6466" s="66"/>
      <c r="D6466" s="68"/>
      <c r="E6466" s="10"/>
      <c r="F6466" s="69"/>
      <c r="G6466" s="68"/>
      <c r="H6466" s="70"/>
      <c r="BA6466" s="4"/>
      <c r="BB6466" s="4"/>
    </row>
    <row r="6467" spans="1:54" x14ac:dyDescent="0.3">
      <c r="A6467" s="66"/>
      <c r="B6467" s="67"/>
      <c r="C6467" s="66"/>
      <c r="D6467" s="68"/>
      <c r="E6467" s="10"/>
      <c r="F6467" s="69"/>
      <c r="G6467" s="68"/>
      <c r="H6467" s="70"/>
      <c r="BA6467" s="4"/>
      <c r="BB6467" s="4"/>
    </row>
    <row r="6468" spans="1:54" x14ac:dyDescent="0.3">
      <c r="A6468" s="66"/>
      <c r="B6468" s="67"/>
      <c r="C6468" s="66"/>
      <c r="D6468" s="68"/>
      <c r="E6468" s="10"/>
      <c r="F6468" s="69"/>
      <c r="G6468" s="68"/>
      <c r="H6468" s="70"/>
      <c r="BA6468" s="4"/>
      <c r="BB6468" s="4"/>
    </row>
    <row r="6469" spans="1:54" x14ac:dyDescent="0.3">
      <c r="A6469" s="66"/>
      <c r="B6469" s="67"/>
      <c r="C6469" s="66"/>
      <c r="D6469" s="68"/>
      <c r="E6469" s="10"/>
      <c r="F6469" s="69"/>
      <c r="G6469" s="68"/>
      <c r="H6469" s="70"/>
      <c r="BA6469" s="4"/>
      <c r="BB6469" s="4"/>
    </row>
    <row r="6470" spans="1:54" x14ac:dyDescent="0.3">
      <c r="A6470" s="66"/>
      <c r="B6470" s="67"/>
      <c r="C6470" s="66"/>
      <c r="D6470" s="68"/>
      <c r="E6470" s="10"/>
      <c r="F6470" s="69"/>
      <c r="G6470" s="68"/>
      <c r="H6470" s="70"/>
      <c r="BA6470" s="4"/>
      <c r="BB6470" s="4"/>
    </row>
    <row r="6471" spans="1:54" x14ac:dyDescent="0.3">
      <c r="A6471" s="66"/>
      <c r="B6471" s="67"/>
      <c r="C6471" s="66"/>
      <c r="D6471" s="68"/>
      <c r="E6471" s="10"/>
      <c r="F6471" s="69"/>
      <c r="G6471" s="68"/>
      <c r="H6471" s="70"/>
      <c r="BA6471" s="4"/>
      <c r="BB6471" s="4"/>
    </row>
    <row r="6472" spans="1:54" x14ac:dyDescent="0.3">
      <c r="A6472" s="66"/>
      <c r="B6472" s="67"/>
      <c r="C6472" s="66"/>
      <c r="D6472" s="68"/>
      <c r="E6472" s="10"/>
      <c r="F6472" s="69"/>
      <c r="G6472" s="68"/>
      <c r="H6472" s="70"/>
      <c r="BA6472" s="4"/>
      <c r="BB6472" s="4"/>
    </row>
    <row r="6473" spans="1:54" x14ac:dyDescent="0.3">
      <c r="A6473" s="66"/>
      <c r="B6473" s="67"/>
      <c r="C6473" s="66"/>
      <c r="D6473" s="68"/>
      <c r="E6473" s="10"/>
      <c r="F6473" s="69"/>
      <c r="G6473" s="68"/>
      <c r="H6473" s="70"/>
      <c r="BA6473" s="4"/>
      <c r="BB6473" s="4"/>
    </row>
    <row r="6474" spans="1:54" x14ac:dyDescent="0.3">
      <c r="A6474" s="66"/>
      <c r="B6474" s="67"/>
      <c r="C6474" s="66"/>
      <c r="D6474" s="68"/>
      <c r="E6474" s="10"/>
      <c r="F6474" s="69"/>
      <c r="G6474" s="68"/>
      <c r="H6474" s="70"/>
      <c r="BA6474" s="4"/>
      <c r="BB6474" s="4"/>
    </row>
    <row r="6475" spans="1:54" x14ac:dyDescent="0.3">
      <c r="A6475" s="66"/>
      <c r="B6475" s="67"/>
      <c r="C6475" s="66"/>
      <c r="D6475" s="68"/>
      <c r="E6475" s="10"/>
      <c r="F6475" s="69"/>
      <c r="G6475" s="68"/>
      <c r="H6475" s="70"/>
      <c r="BA6475" s="4"/>
      <c r="BB6475" s="4"/>
    </row>
    <row r="6476" spans="1:54" x14ac:dyDescent="0.3">
      <c r="A6476" s="66"/>
      <c r="B6476" s="67"/>
      <c r="C6476" s="66"/>
      <c r="D6476" s="68"/>
      <c r="E6476" s="10"/>
      <c r="F6476" s="69"/>
      <c r="G6476" s="68"/>
      <c r="H6476" s="70"/>
      <c r="BA6476" s="4"/>
      <c r="BB6476" s="4"/>
    </row>
    <row r="6477" spans="1:54" x14ac:dyDescent="0.3">
      <c r="A6477" s="66"/>
      <c r="B6477" s="67"/>
      <c r="C6477" s="66"/>
      <c r="D6477" s="68"/>
      <c r="E6477" s="10"/>
      <c r="F6477" s="69"/>
      <c r="G6477" s="68"/>
      <c r="H6477" s="70"/>
      <c r="BA6477" s="4"/>
      <c r="BB6477" s="4"/>
    </row>
    <row r="6478" spans="1:54" x14ac:dyDescent="0.3">
      <c r="A6478" s="66"/>
      <c r="B6478" s="67"/>
      <c r="C6478" s="66"/>
      <c r="D6478" s="68"/>
      <c r="E6478" s="10"/>
      <c r="F6478" s="69"/>
      <c r="G6478" s="68"/>
      <c r="H6478" s="70"/>
      <c r="BA6478" s="4"/>
      <c r="BB6478" s="4"/>
    </row>
    <row r="6479" spans="1:54" x14ac:dyDescent="0.3">
      <c r="A6479" s="66"/>
      <c r="B6479" s="67"/>
      <c r="C6479" s="66"/>
      <c r="D6479" s="68"/>
      <c r="E6479" s="10"/>
      <c r="F6479" s="69"/>
      <c r="G6479" s="68"/>
      <c r="H6479" s="70"/>
      <c r="BA6479" s="4"/>
      <c r="BB6479" s="4"/>
    </row>
    <row r="6480" spans="1:54" x14ac:dyDescent="0.3">
      <c r="A6480" s="66"/>
      <c r="B6480" s="67"/>
      <c r="C6480" s="66"/>
      <c r="D6480" s="68"/>
      <c r="E6480" s="10"/>
      <c r="F6480" s="69"/>
      <c r="G6480" s="68"/>
      <c r="H6480" s="70"/>
      <c r="BA6480" s="4"/>
      <c r="BB6480" s="4"/>
    </row>
    <row r="6481" spans="1:54" x14ac:dyDescent="0.3">
      <c r="A6481" s="66"/>
      <c r="B6481" s="67"/>
      <c r="C6481" s="66"/>
      <c r="D6481" s="68"/>
      <c r="E6481" s="10"/>
      <c r="F6481" s="69"/>
      <c r="G6481" s="68"/>
      <c r="H6481" s="70"/>
      <c r="BA6481" s="4"/>
      <c r="BB6481" s="4"/>
    </row>
    <row r="6482" spans="1:54" x14ac:dyDescent="0.3">
      <c r="A6482" s="66"/>
      <c r="B6482" s="67"/>
      <c r="C6482" s="66"/>
      <c r="D6482" s="68"/>
      <c r="E6482" s="10"/>
      <c r="F6482" s="69"/>
      <c r="G6482" s="68"/>
      <c r="H6482" s="70"/>
      <c r="BA6482" s="4"/>
      <c r="BB6482" s="4"/>
    </row>
    <row r="6483" spans="1:54" x14ac:dyDescent="0.3">
      <c r="A6483" s="66"/>
      <c r="B6483" s="67"/>
      <c r="C6483" s="66"/>
      <c r="D6483" s="68"/>
      <c r="E6483" s="10"/>
      <c r="F6483" s="69"/>
      <c r="G6483" s="68"/>
      <c r="H6483" s="70"/>
      <c r="BA6483" s="4"/>
      <c r="BB6483" s="4"/>
    </row>
    <row r="6484" spans="1:54" x14ac:dyDescent="0.3">
      <c r="A6484" s="66"/>
      <c r="B6484" s="67"/>
      <c r="C6484" s="66"/>
      <c r="D6484" s="68"/>
      <c r="E6484" s="10"/>
      <c r="F6484" s="69"/>
      <c r="G6484" s="68"/>
      <c r="H6484" s="70"/>
      <c r="BA6484" s="4"/>
      <c r="BB6484" s="4"/>
    </row>
    <row r="6485" spans="1:54" x14ac:dyDescent="0.3">
      <c r="A6485" s="66"/>
      <c r="B6485" s="67"/>
      <c r="C6485" s="66"/>
      <c r="D6485" s="68"/>
      <c r="E6485" s="10"/>
      <c r="F6485" s="69"/>
      <c r="G6485" s="68"/>
      <c r="H6485" s="70"/>
      <c r="BA6485" s="4"/>
      <c r="BB6485" s="4"/>
    </row>
    <row r="6486" spans="1:54" x14ac:dyDescent="0.3">
      <c r="A6486" s="66"/>
      <c r="B6486" s="67"/>
      <c r="C6486" s="66"/>
      <c r="D6486" s="68"/>
      <c r="E6486" s="10"/>
      <c r="F6486" s="69"/>
      <c r="G6486" s="68"/>
      <c r="H6486" s="70"/>
      <c r="BA6486" s="4"/>
      <c r="BB6486" s="4"/>
    </row>
    <row r="6487" spans="1:54" x14ac:dyDescent="0.3">
      <c r="A6487" s="66"/>
      <c r="B6487" s="67"/>
      <c r="C6487" s="66"/>
      <c r="D6487" s="68"/>
      <c r="E6487" s="10"/>
      <c r="F6487" s="69"/>
      <c r="G6487" s="68"/>
      <c r="H6487" s="70"/>
      <c r="BA6487" s="4"/>
      <c r="BB6487" s="4"/>
    </row>
    <row r="6488" spans="1:54" x14ac:dyDescent="0.3">
      <c r="A6488" s="66"/>
      <c r="B6488" s="67"/>
      <c r="C6488" s="66"/>
      <c r="D6488" s="68"/>
      <c r="E6488" s="10"/>
      <c r="F6488" s="69"/>
      <c r="G6488" s="68"/>
      <c r="H6488" s="70"/>
      <c r="BA6488" s="4"/>
      <c r="BB6488" s="4"/>
    </row>
    <row r="6489" spans="1:54" x14ac:dyDescent="0.3">
      <c r="A6489" s="66"/>
      <c r="B6489" s="67"/>
      <c r="C6489" s="66"/>
      <c r="D6489" s="68"/>
      <c r="E6489" s="10"/>
      <c r="F6489" s="69"/>
      <c r="G6489" s="68"/>
      <c r="H6489" s="70"/>
      <c r="BA6489" s="4"/>
      <c r="BB6489" s="4"/>
    </row>
    <row r="6490" spans="1:54" x14ac:dyDescent="0.3">
      <c r="A6490" s="66"/>
      <c r="B6490" s="67"/>
      <c r="C6490" s="66"/>
      <c r="D6490" s="68"/>
      <c r="E6490" s="10"/>
      <c r="F6490" s="69"/>
      <c r="G6490" s="68"/>
      <c r="H6490" s="70"/>
      <c r="BA6490" s="4"/>
      <c r="BB6490" s="4"/>
    </row>
    <row r="6491" spans="1:54" x14ac:dyDescent="0.3">
      <c r="A6491" s="66"/>
      <c r="B6491" s="67"/>
      <c r="C6491" s="66"/>
      <c r="D6491" s="68"/>
      <c r="E6491" s="10"/>
      <c r="F6491" s="69"/>
      <c r="G6491" s="68"/>
      <c r="H6491" s="70"/>
      <c r="BA6491" s="4"/>
      <c r="BB6491" s="4"/>
    </row>
    <row r="6492" spans="1:54" x14ac:dyDescent="0.3">
      <c r="A6492" s="66"/>
      <c r="B6492" s="67"/>
      <c r="C6492" s="66"/>
      <c r="D6492" s="68"/>
      <c r="E6492" s="10"/>
      <c r="F6492" s="69"/>
      <c r="G6492" s="68"/>
      <c r="H6492" s="70"/>
      <c r="BA6492" s="4"/>
      <c r="BB6492" s="4"/>
    </row>
    <row r="6493" spans="1:54" x14ac:dyDescent="0.3">
      <c r="A6493" s="66"/>
      <c r="B6493" s="67"/>
      <c r="C6493" s="66"/>
      <c r="D6493" s="68"/>
      <c r="E6493" s="10"/>
      <c r="F6493" s="69"/>
      <c r="G6493" s="68"/>
      <c r="H6493" s="70"/>
      <c r="BA6493" s="4"/>
      <c r="BB6493" s="4"/>
    </row>
    <row r="6494" spans="1:54" x14ac:dyDescent="0.3">
      <c r="A6494" s="66"/>
      <c r="B6494" s="67"/>
      <c r="C6494" s="66"/>
      <c r="D6494" s="68"/>
      <c r="E6494" s="10"/>
      <c r="F6494" s="69"/>
      <c r="G6494" s="68"/>
      <c r="H6494" s="70"/>
      <c r="BA6494" s="4"/>
      <c r="BB6494" s="4"/>
    </row>
    <row r="6495" spans="1:54" x14ac:dyDescent="0.3">
      <c r="A6495" s="66"/>
      <c r="B6495" s="67"/>
      <c r="C6495" s="66"/>
      <c r="D6495" s="68"/>
      <c r="E6495" s="10"/>
      <c r="F6495" s="69"/>
      <c r="G6495" s="68"/>
      <c r="H6495" s="70"/>
      <c r="BA6495" s="4"/>
      <c r="BB6495" s="4"/>
    </row>
    <row r="6496" spans="1:54" x14ac:dyDescent="0.3">
      <c r="A6496" s="66"/>
      <c r="B6496" s="67"/>
      <c r="C6496" s="66"/>
      <c r="D6496" s="68"/>
      <c r="E6496" s="10"/>
      <c r="F6496" s="69"/>
      <c r="G6496" s="68"/>
      <c r="H6496" s="70"/>
      <c r="BA6496" s="4"/>
      <c r="BB6496" s="4"/>
    </row>
    <row r="6497" spans="1:54" x14ac:dyDescent="0.3">
      <c r="A6497" s="66"/>
      <c r="B6497" s="67"/>
      <c r="C6497" s="66"/>
      <c r="D6497" s="68"/>
      <c r="E6497" s="10"/>
      <c r="F6497" s="69"/>
      <c r="G6497" s="68"/>
      <c r="H6497" s="70"/>
      <c r="BA6497" s="4"/>
      <c r="BB6497" s="4"/>
    </row>
    <row r="6498" spans="1:54" x14ac:dyDescent="0.3">
      <c r="A6498" s="66"/>
      <c r="B6498" s="67"/>
      <c r="C6498" s="66"/>
      <c r="D6498" s="68"/>
      <c r="E6498" s="10"/>
      <c r="F6498" s="69"/>
      <c r="G6498" s="68"/>
      <c r="H6498" s="70"/>
      <c r="BA6498" s="4"/>
      <c r="BB6498" s="4"/>
    </row>
    <row r="6499" spans="1:54" x14ac:dyDescent="0.3">
      <c r="A6499" s="66"/>
      <c r="B6499" s="67"/>
      <c r="C6499" s="66"/>
      <c r="D6499" s="68"/>
      <c r="E6499" s="10"/>
      <c r="F6499" s="69"/>
      <c r="G6499" s="68"/>
      <c r="H6499" s="70"/>
      <c r="BA6499" s="4"/>
      <c r="BB6499" s="4"/>
    </row>
    <row r="6500" spans="1:54" x14ac:dyDescent="0.3">
      <c r="A6500" s="66"/>
      <c r="B6500" s="67"/>
      <c r="C6500" s="66"/>
      <c r="D6500" s="68"/>
      <c r="E6500" s="10"/>
      <c r="F6500" s="69"/>
      <c r="G6500" s="68"/>
      <c r="H6500" s="70"/>
      <c r="BA6500" s="4"/>
      <c r="BB6500" s="4"/>
    </row>
    <row r="6501" spans="1:54" x14ac:dyDescent="0.3">
      <c r="A6501" s="66"/>
      <c r="B6501" s="67"/>
      <c r="C6501" s="66"/>
      <c r="D6501" s="68"/>
      <c r="E6501" s="10"/>
      <c r="F6501" s="69"/>
      <c r="G6501" s="68"/>
      <c r="H6501" s="70"/>
      <c r="BA6501" s="4"/>
      <c r="BB6501" s="4"/>
    </row>
    <row r="6502" spans="1:54" x14ac:dyDescent="0.3">
      <c r="A6502" s="66"/>
      <c r="B6502" s="67"/>
      <c r="C6502" s="66"/>
      <c r="D6502" s="68"/>
      <c r="E6502" s="10"/>
      <c r="F6502" s="69"/>
      <c r="G6502" s="68"/>
      <c r="H6502" s="70"/>
      <c r="BA6502" s="4"/>
      <c r="BB6502" s="4"/>
    </row>
    <row r="6503" spans="1:54" x14ac:dyDescent="0.3">
      <c r="A6503" s="66"/>
      <c r="B6503" s="67"/>
      <c r="C6503" s="66"/>
      <c r="D6503" s="68"/>
      <c r="E6503" s="10"/>
      <c r="F6503" s="69"/>
      <c r="G6503" s="68"/>
      <c r="H6503" s="70"/>
      <c r="BA6503" s="4"/>
      <c r="BB6503" s="4"/>
    </row>
    <row r="6504" spans="1:54" x14ac:dyDescent="0.3">
      <c r="A6504" s="66"/>
      <c r="B6504" s="67"/>
      <c r="C6504" s="66"/>
      <c r="D6504" s="68"/>
      <c r="E6504" s="10"/>
      <c r="F6504" s="69"/>
      <c r="G6504" s="68"/>
      <c r="H6504" s="70"/>
      <c r="BA6504" s="4"/>
      <c r="BB6504" s="4"/>
    </row>
    <row r="6505" spans="1:54" x14ac:dyDescent="0.3">
      <c r="A6505" s="66"/>
      <c r="B6505" s="67"/>
      <c r="C6505" s="66"/>
      <c r="D6505" s="68"/>
      <c r="E6505" s="10"/>
      <c r="F6505" s="69"/>
      <c r="G6505" s="68"/>
      <c r="H6505" s="70"/>
      <c r="BA6505" s="4"/>
      <c r="BB6505" s="4"/>
    </row>
    <row r="6506" spans="1:54" x14ac:dyDescent="0.3">
      <c r="A6506" s="66"/>
      <c r="B6506" s="67"/>
      <c r="C6506" s="66"/>
      <c r="D6506" s="68"/>
      <c r="E6506" s="10"/>
      <c r="F6506" s="69"/>
      <c r="G6506" s="68"/>
      <c r="H6506" s="70"/>
      <c r="BA6506" s="4"/>
      <c r="BB6506" s="4"/>
    </row>
    <row r="6507" spans="1:54" x14ac:dyDescent="0.3">
      <c r="A6507" s="66"/>
      <c r="B6507" s="67"/>
      <c r="C6507" s="66"/>
      <c r="D6507" s="68"/>
      <c r="E6507" s="10"/>
      <c r="F6507" s="69"/>
      <c r="G6507" s="68"/>
      <c r="H6507" s="70"/>
      <c r="BA6507" s="4"/>
      <c r="BB6507" s="4"/>
    </row>
    <row r="6508" spans="1:54" x14ac:dyDescent="0.3">
      <c r="A6508" s="66"/>
      <c r="B6508" s="67"/>
      <c r="C6508" s="66"/>
      <c r="D6508" s="68"/>
      <c r="E6508" s="10"/>
      <c r="F6508" s="69"/>
      <c r="G6508" s="68"/>
      <c r="H6508" s="70"/>
      <c r="BA6508" s="4"/>
      <c r="BB6508" s="4"/>
    </row>
    <row r="6509" spans="1:54" x14ac:dyDescent="0.3">
      <c r="A6509" s="66"/>
      <c r="B6509" s="67"/>
      <c r="C6509" s="66"/>
      <c r="D6509" s="68"/>
      <c r="E6509" s="10"/>
      <c r="F6509" s="69"/>
      <c r="G6509" s="68"/>
      <c r="H6509" s="70"/>
      <c r="BA6509" s="4"/>
      <c r="BB6509" s="4"/>
    </row>
    <row r="6510" spans="1:54" x14ac:dyDescent="0.3">
      <c r="A6510" s="66"/>
      <c r="B6510" s="67"/>
      <c r="C6510" s="66"/>
      <c r="D6510" s="68"/>
      <c r="E6510" s="10"/>
      <c r="F6510" s="69"/>
      <c r="G6510" s="68"/>
      <c r="H6510" s="70"/>
      <c r="BA6510" s="4"/>
      <c r="BB6510" s="4"/>
    </row>
    <row r="6511" spans="1:54" x14ac:dyDescent="0.3">
      <c r="A6511" s="66"/>
      <c r="B6511" s="67"/>
      <c r="C6511" s="66"/>
      <c r="D6511" s="68"/>
      <c r="E6511" s="10"/>
      <c r="F6511" s="69"/>
      <c r="G6511" s="68"/>
      <c r="H6511" s="70"/>
      <c r="BA6511" s="4"/>
      <c r="BB6511" s="4"/>
    </row>
    <row r="6512" spans="1:54" x14ac:dyDescent="0.3">
      <c r="A6512" s="66"/>
      <c r="B6512" s="67"/>
      <c r="C6512" s="66"/>
      <c r="D6512" s="68"/>
      <c r="E6512" s="10"/>
      <c r="F6512" s="69"/>
      <c r="G6512" s="68"/>
      <c r="H6512" s="70"/>
      <c r="BA6512" s="4"/>
      <c r="BB6512" s="4"/>
    </row>
    <row r="6513" spans="1:54" x14ac:dyDescent="0.3">
      <c r="A6513" s="66"/>
      <c r="B6513" s="67"/>
      <c r="C6513" s="66"/>
      <c r="D6513" s="68"/>
      <c r="E6513" s="10"/>
      <c r="F6513" s="69"/>
      <c r="G6513" s="68"/>
      <c r="H6513" s="70"/>
      <c r="BA6513" s="4"/>
      <c r="BB6513" s="4"/>
    </row>
    <row r="6514" spans="1:54" x14ac:dyDescent="0.3">
      <c r="A6514" s="66"/>
      <c r="B6514" s="67"/>
      <c r="C6514" s="66"/>
      <c r="D6514" s="68"/>
      <c r="E6514" s="10"/>
      <c r="F6514" s="69"/>
      <c r="G6514" s="68"/>
      <c r="H6514" s="70"/>
      <c r="BA6514" s="4"/>
      <c r="BB6514" s="4"/>
    </row>
    <row r="6515" spans="1:54" x14ac:dyDescent="0.3">
      <c r="A6515" s="66"/>
      <c r="B6515" s="67"/>
      <c r="C6515" s="66"/>
      <c r="D6515" s="68"/>
      <c r="E6515" s="10"/>
      <c r="F6515" s="69"/>
      <c r="G6515" s="68"/>
      <c r="H6515" s="70"/>
      <c r="BA6515" s="4"/>
      <c r="BB6515" s="4"/>
    </row>
    <row r="6516" spans="1:54" x14ac:dyDescent="0.3">
      <c r="A6516" s="66"/>
      <c r="B6516" s="67"/>
      <c r="C6516" s="66"/>
      <c r="D6516" s="68"/>
      <c r="E6516" s="10"/>
      <c r="F6516" s="69"/>
      <c r="G6516" s="68"/>
      <c r="H6516" s="70"/>
      <c r="BA6516" s="4"/>
      <c r="BB6516" s="4"/>
    </row>
    <row r="6517" spans="1:54" x14ac:dyDescent="0.3">
      <c r="A6517" s="66"/>
      <c r="B6517" s="67"/>
      <c r="C6517" s="66"/>
      <c r="D6517" s="68"/>
      <c r="E6517" s="10"/>
      <c r="F6517" s="69"/>
      <c r="G6517" s="68"/>
      <c r="H6517" s="70"/>
      <c r="BA6517" s="4"/>
      <c r="BB6517" s="4"/>
    </row>
    <row r="6518" spans="1:54" x14ac:dyDescent="0.3">
      <c r="A6518" s="66"/>
      <c r="B6518" s="67"/>
      <c r="C6518" s="66"/>
      <c r="D6518" s="68"/>
      <c r="E6518" s="10"/>
      <c r="F6518" s="69"/>
      <c r="G6518" s="68"/>
      <c r="H6518" s="70"/>
      <c r="BA6518" s="4"/>
      <c r="BB6518" s="4"/>
    </row>
    <row r="6519" spans="1:54" x14ac:dyDescent="0.3">
      <c r="A6519" s="66"/>
      <c r="B6519" s="67"/>
      <c r="C6519" s="66"/>
      <c r="D6519" s="68"/>
      <c r="E6519" s="10"/>
      <c r="F6519" s="69"/>
      <c r="G6519" s="68"/>
      <c r="H6519" s="70"/>
      <c r="BA6519" s="4"/>
      <c r="BB6519" s="4"/>
    </row>
    <row r="6520" spans="1:54" x14ac:dyDescent="0.3">
      <c r="A6520" s="66"/>
      <c r="B6520" s="67"/>
      <c r="C6520" s="66"/>
      <c r="D6520" s="68"/>
      <c r="E6520" s="10"/>
      <c r="F6520" s="69"/>
      <c r="G6520" s="68"/>
      <c r="H6520" s="70"/>
      <c r="BA6520" s="4"/>
      <c r="BB6520" s="4"/>
    </row>
    <row r="6521" spans="1:54" x14ac:dyDescent="0.3">
      <c r="A6521" s="66"/>
      <c r="B6521" s="67"/>
      <c r="C6521" s="66"/>
      <c r="D6521" s="68"/>
      <c r="E6521" s="10"/>
      <c r="F6521" s="69"/>
      <c r="G6521" s="68"/>
      <c r="H6521" s="70"/>
      <c r="BA6521" s="4"/>
      <c r="BB6521" s="4"/>
    </row>
    <row r="6522" spans="1:54" x14ac:dyDescent="0.3">
      <c r="A6522" s="66"/>
      <c r="B6522" s="67"/>
      <c r="C6522" s="66"/>
      <c r="D6522" s="68"/>
      <c r="E6522" s="10"/>
      <c r="F6522" s="69"/>
      <c r="G6522" s="68"/>
      <c r="H6522" s="70"/>
      <c r="BA6522" s="4"/>
      <c r="BB6522" s="4"/>
    </row>
    <row r="6523" spans="1:54" x14ac:dyDescent="0.3">
      <c r="A6523" s="66"/>
      <c r="B6523" s="67"/>
      <c r="C6523" s="66"/>
      <c r="D6523" s="68"/>
      <c r="E6523" s="10"/>
      <c r="F6523" s="69"/>
      <c r="G6523" s="68"/>
      <c r="H6523" s="70"/>
      <c r="BA6523" s="4"/>
      <c r="BB6523" s="4"/>
    </row>
    <row r="6524" spans="1:54" x14ac:dyDescent="0.3">
      <c r="A6524" s="66"/>
      <c r="B6524" s="67"/>
      <c r="C6524" s="66"/>
      <c r="D6524" s="68"/>
      <c r="E6524" s="10"/>
      <c r="F6524" s="69"/>
      <c r="G6524" s="68"/>
      <c r="H6524" s="70"/>
      <c r="BA6524" s="4"/>
      <c r="BB6524" s="4"/>
    </row>
    <row r="6525" spans="1:54" x14ac:dyDescent="0.3">
      <c r="A6525" s="66"/>
      <c r="B6525" s="67"/>
      <c r="C6525" s="66"/>
      <c r="D6525" s="68"/>
      <c r="E6525" s="10"/>
      <c r="F6525" s="69"/>
      <c r="G6525" s="68"/>
      <c r="H6525" s="70"/>
      <c r="BA6525" s="4"/>
      <c r="BB6525" s="4"/>
    </row>
    <row r="6526" spans="1:54" x14ac:dyDescent="0.3">
      <c r="A6526" s="66"/>
      <c r="B6526" s="67"/>
      <c r="C6526" s="66"/>
      <c r="D6526" s="68"/>
      <c r="E6526" s="10"/>
      <c r="F6526" s="69"/>
      <c r="G6526" s="68"/>
      <c r="H6526" s="70"/>
      <c r="BA6526" s="4"/>
      <c r="BB6526" s="4"/>
    </row>
    <row r="6527" spans="1:54" x14ac:dyDescent="0.3">
      <c r="A6527" s="66"/>
      <c r="B6527" s="67"/>
      <c r="C6527" s="66"/>
      <c r="D6527" s="68"/>
      <c r="E6527" s="10"/>
      <c r="F6527" s="69"/>
      <c r="G6527" s="68"/>
      <c r="H6527" s="70"/>
      <c r="BA6527" s="4"/>
      <c r="BB6527" s="4"/>
    </row>
    <row r="6528" spans="1:54" x14ac:dyDescent="0.3">
      <c r="A6528" s="66"/>
      <c r="B6528" s="67"/>
      <c r="C6528" s="66"/>
      <c r="D6528" s="68"/>
      <c r="E6528" s="10"/>
      <c r="F6528" s="69"/>
      <c r="G6528" s="68"/>
      <c r="H6528" s="70"/>
      <c r="BA6528" s="4"/>
      <c r="BB6528" s="4"/>
    </row>
    <row r="6529" spans="1:54" x14ac:dyDescent="0.3">
      <c r="A6529" s="66"/>
      <c r="B6529" s="67"/>
      <c r="C6529" s="66"/>
      <c r="D6529" s="68"/>
      <c r="E6529" s="10"/>
      <c r="F6529" s="69"/>
      <c r="G6529" s="68"/>
      <c r="H6529" s="70"/>
      <c r="BA6529" s="4"/>
      <c r="BB6529" s="4"/>
    </row>
    <row r="6530" spans="1:54" x14ac:dyDescent="0.3">
      <c r="A6530" s="66"/>
      <c r="B6530" s="67"/>
      <c r="C6530" s="66"/>
      <c r="D6530" s="68"/>
      <c r="E6530" s="10"/>
      <c r="F6530" s="69"/>
      <c r="G6530" s="68"/>
      <c r="H6530" s="70"/>
      <c r="BA6530" s="4"/>
      <c r="BB6530" s="4"/>
    </row>
    <row r="6531" spans="1:54" x14ac:dyDescent="0.3">
      <c r="A6531" s="66"/>
      <c r="B6531" s="67"/>
      <c r="C6531" s="66"/>
      <c r="D6531" s="68"/>
      <c r="E6531" s="10"/>
      <c r="F6531" s="69"/>
      <c r="G6531" s="68"/>
      <c r="H6531" s="70"/>
      <c r="BA6531" s="4"/>
      <c r="BB6531" s="4"/>
    </row>
    <row r="6532" spans="1:54" x14ac:dyDescent="0.3">
      <c r="A6532" s="66"/>
      <c r="B6532" s="67"/>
      <c r="C6532" s="66"/>
      <c r="D6532" s="68"/>
      <c r="E6532" s="10"/>
      <c r="F6532" s="69"/>
      <c r="G6532" s="68"/>
      <c r="H6532" s="70"/>
      <c r="BA6532" s="4"/>
      <c r="BB6532" s="4"/>
    </row>
    <row r="6533" spans="1:54" x14ac:dyDescent="0.3">
      <c r="A6533" s="66"/>
      <c r="B6533" s="67"/>
      <c r="C6533" s="66"/>
      <c r="D6533" s="68"/>
      <c r="E6533" s="10"/>
      <c r="F6533" s="69"/>
      <c r="G6533" s="68"/>
      <c r="H6533" s="70"/>
      <c r="BA6533" s="4"/>
      <c r="BB6533" s="4"/>
    </row>
    <row r="6534" spans="1:54" x14ac:dyDescent="0.3">
      <c r="A6534" s="66"/>
      <c r="B6534" s="67"/>
      <c r="C6534" s="66"/>
      <c r="D6534" s="68"/>
      <c r="E6534" s="10"/>
      <c r="F6534" s="69"/>
      <c r="G6534" s="68"/>
      <c r="H6534" s="70"/>
      <c r="BA6534" s="4"/>
      <c r="BB6534" s="4"/>
    </row>
    <row r="6535" spans="1:54" x14ac:dyDescent="0.3">
      <c r="A6535" s="66"/>
      <c r="B6535" s="67"/>
      <c r="C6535" s="66"/>
      <c r="D6535" s="68"/>
      <c r="E6535" s="10"/>
      <c r="F6535" s="69"/>
      <c r="G6535" s="68"/>
      <c r="H6535" s="70"/>
      <c r="BA6535" s="4"/>
      <c r="BB6535" s="4"/>
    </row>
    <row r="6536" spans="1:54" x14ac:dyDescent="0.3">
      <c r="A6536" s="66"/>
      <c r="B6536" s="67"/>
      <c r="C6536" s="66"/>
      <c r="D6536" s="68"/>
      <c r="E6536" s="10"/>
      <c r="F6536" s="69"/>
      <c r="G6536" s="68"/>
      <c r="H6536" s="70"/>
      <c r="BA6536" s="4"/>
      <c r="BB6536" s="4"/>
    </row>
    <row r="6537" spans="1:54" x14ac:dyDescent="0.3">
      <c r="A6537" s="66"/>
      <c r="B6537" s="67"/>
      <c r="C6537" s="66"/>
      <c r="D6537" s="68"/>
      <c r="E6537" s="10"/>
      <c r="F6537" s="69"/>
      <c r="G6537" s="68"/>
      <c r="H6537" s="70"/>
      <c r="BA6537" s="4"/>
      <c r="BB6537" s="4"/>
    </row>
    <row r="6538" spans="1:54" x14ac:dyDescent="0.3">
      <c r="A6538" s="66"/>
      <c r="B6538" s="67"/>
      <c r="C6538" s="66"/>
      <c r="D6538" s="68"/>
      <c r="E6538" s="10"/>
      <c r="F6538" s="69"/>
      <c r="G6538" s="68"/>
      <c r="H6538" s="70"/>
      <c r="BA6538" s="4"/>
      <c r="BB6538" s="4"/>
    </row>
    <row r="6539" spans="1:54" x14ac:dyDescent="0.3">
      <c r="A6539" s="66"/>
      <c r="B6539" s="67"/>
      <c r="C6539" s="66"/>
      <c r="D6539" s="68"/>
      <c r="E6539" s="10"/>
      <c r="F6539" s="69"/>
      <c r="G6539" s="68"/>
      <c r="H6539" s="70"/>
      <c r="BA6539" s="4"/>
      <c r="BB6539" s="4"/>
    </row>
    <row r="6540" spans="1:54" x14ac:dyDescent="0.3">
      <c r="A6540" s="66"/>
      <c r="B6540" s="67"/>
      <c r="C6540" s="66"/>
      <c r="D6540" s="68"/>
      <c r="E6540" s="10"/>
      <c r="F6540" s="69"/>
      <c r="G6540" s="68"/>
      <c r="H6540" s="70"/>
      <c r="BA6540" s="4"/>
      <c r="BB6540" s="4"/>
    </row>
    <row r="6541" spans="1:54" x14ac:dyDescent="0.3">
      <c r="A6541" s="66"/>
      <c r="B6541" s="67"/>
      <c r="C6541" s="66"/>
      <c r="D6541" s="68"/>
      <c r="E6541" s="10"/>
      <c r="F6541" s="69"/>
      <c r="G6541" s="68"/>
      <c r="H6541" s="70"/>
      <c r="BA6541" s="4"/>
      <c r="BB6541" s="4"/>
    </row>
    <row r="6542" spans="1:54" x14ac:dyDescent="0.3">
      <c r="A6542" s="66"/>
      <c r="B6542" s="67"/>
      <c r="C6542" s="66"/>
      <c r="D6542" s="68"/>
      <c r="E6542" s="10"/>
      <c r="F6542" s="69"/>
      <c r="G6542" s="68"/>
      <c r="H6542" s="70"/>
      <c r="BA6542" s="4"/>
      <c r="BB6542" s="4"/>
    </row>
    <row r="6543" spans="1:54" x14ac:dyDescent="0.3">
      <c r="A6543" s="66"/>
      <c r="B6543" s="67"/>
      <c r="C6543" s="66"/>
      <c r="D6543" s="68"/>
      <c r="E6543" s="10"/>
      <c r="F6543" s="69"/>
      <c r="G6543" s="68"/>
      <c r="H6543" s="70"/>
      <c r="BA6543" s="4"/>
      <c r="BB6543" s="4"/>
    </row>
    <row r="6544" spans="1:54" x14ac:dyDescent="0.3">
      <c r="A6544" s="66"/>
      <c r="B6544" s="67"/>
      <c r="C6544" s="66"/>
      <c r="D6544" s="68"/>
      <c r="E6544" s="10"/>
      <c r="F6544" s="69"/>
      <c r="G6544" s="68"/>
      <c r="H6544" s="70"/>
      <c r="BA6544" s="4"/>
      <c r="BB6544" s="4"/>
    </row>
    <row r="6545" spans="1:54" x14ac:dyDescent="0.3">
      <c r="A6545" s="66"/>
      <c r="B6545" s="67"/>
      <c r="C6545" s="66"/>
      <c r="D6545" s="68"/>
      <c r="E6545" s="10"/>
      <c r="F6545" s="69"/>
      <c r="G6545" s="68"/>
      <c r="H6545" s="70"/>
      <c r="BA6545" s="4"/>
      <c r="BB6545" s="4"/>
    </row>
    <row r="6546" spans="1:54" x14ac:dyDescent="0.3">
      <c r="A6546" s="66"/>
      <c r="B6546" s="67"/>
      <c r="C6546" s="66"/>
      <c r="D6546" s="68"/>
      <c r="E6546" s="10"/>
      <c r="F6546" s="69"/>
      <c r="G6546" s="68"/>
      <c r="H6546" s="70"/>
      <c r="BA6546" s="4"/>
      <c r="BB6546" s="4"/>
    </row>
    <row r="6547" spans="1:54" x14ac:dyDescent="0.3">
      <c r="A6547" s="66"/>
      <c r="B6547" s="67"/>
      <c r="C6547" s="66"/>
      <c r="D6547" s="68"/>
      <c r="E6547" s="10"/>
      <c r="F6547" s="69"/>
      <c r="G6547" s="68"/>
      <c r="H6547" s="70"/>
      <c r="BA6547" s="4"/>
      <c r="BB6547" s="4"/>
    </row>
    <row r="6548" spans="1:54" x14ac:dyDescent="0.3">
      <c r="A6548" s="66"/>
      <c r="B6548" s="67"/>
      <c r="C6548" s="66"/>
      <c r="D6548" s="68"/>
      <c r="E6548" s="10"/>
      <c r="F6548" s="69"/>
      <c r="G6548" s="68"/>
      <c r="H6548" s="70"/>
      <c r="BA6548" s="4"/>
      <c r="BB6548" s="4"/>
    </row>
    <row r="6549" spans="1:54" x14ac:dyDescent="0.3">
      <c r="A6549" s="66"/>
      <c r="B6549" s="67"/>
      <c r="C6549" s="66"/>
      <c r="D6549" s="68"/>
      <c r="E6549" s="10"/>
      <c r="F6549" s="69"/>
      <c r="G6549" s="68"/>
      <c r="H6549" s="70"/>
      <c r="BA6549" s="4"/>
      <c r="BB6549" s="4"/>
    </row>
    <row r="6550" spans="1:54" x14ac:dyDescent="0.3">
      <c r="A6550" s="66"/>
      <c r="B6550" s="67"/>
      <c r="C6550" s="66"/>
      <c r="D6550" s="68"/>
      <c r="E6550" s="10"/>
      <c r="F6550" s="69"/>
      <c r="G6550" s="68"/>
      <c r="H6550" s="70"/>
      <c r="BA6550" s="4"/>
      <c r="BB6550" s="4"/>
    </row>
    <row r="6551" spans="1:54" x14ac:dyDescent="0.3">
      <c r="A6551" s="66"/>
      <c r="B6551" s="67"/>
      <c r="C6551" s="66"/>
      <c r="D6551" s="68"/>
      <c r="E6551" s="10"/>
      <c r="F6551" s="69"/>
      <c r="G6551" s="68"/>
      <c r="H6551" s="70"/>
      <c r="BA6551" s="4"/>
      <c r="BB6551" s="4"/>
    </row>
    <row r="6552" spans="1:54" x14ac:dyDescent="0.3">
      <c r="A6552" s="66"/>
      <c r="B6552" s="67"/>
      <c r="C6552" s="66"/>
      <c r="D6552" s="68"/>
      <c r="E6552" s="10"/>
      <c r="F6552" s="69"/>
      <c r="G6552" s="68"/>
      <c r="H6552" s="70"/>
      <c r="BA6552" s="4"/>
      <c r="BB6552" s="4"/>
    </row>
    <row r="6553" spans="1:54" x14ac:dyDescent="0.3">
      <c r="A6553" s="66"/>
      <c r="B6553" s="67"/>
      <c r="C6553" s="66"/>
      <c r="D6553" s="68"/>
      <c r="E6553" s="10"/>
      <c r="F6553" s="69"/>
      <c r="G6553" s="68"/>
      <c r="H6553" s="70"/>
      <c r="BA6553" s="4"/>
      <c r="BB6553" s="4"/>
    </row>
    <row r="6554" spans="1:54" x14ac:dyDescent="0.3">
      <c r="A6554" s="66"/>
      <c r="B6554" s="67"/>
      <c r="C6554" s="66"/>
      <c r="D6554" s="68"/>
      <c r="E6554" s="10"/>
      <c r="F6554" s="69"/>
      <c r="G6554" s="68"/>
      <c r="H6554" s="70"/>
      <c r="BA6554" s="4"/>
      <c r="BB6554" s="4"/>
    </row>
    <row r="6555" spans="1:54" x14ac:dyDescent="0.3">
      <c r="A6555" s="66"/>
      <c r="B6555" s="67"/>
      <c r="C6555" s="66"/>
      <c r="D6555" s="68"/>
      <c r="E6555" s="10"/>
      <c r="F6555" s="69"/>
      <c r="G6555" s="68"/>
      <c r="H6555" s="70"/>
      <c r="BA6555" s="4"/>
      <c r="BB6555" s="4"/>
    </row>
    <row r="6556" spans="1:54" x14ac:dyDescent="0.3">
      <c r="A6556" s="66"/>
      <c r="B6556" s="67"/>
      <c r="C6556" s="66"/>
      <c r="D6556" s="68"/>
      <c r="E6556" s="10"/>
      <c r="F6556" s="69"/>
      <c r="G6556" s="68"/>
      <c r="H6556" s="70"/>
      <c r="BA6556" s="4"/>
      <c r="BB6556" s="4"/>
    </row>
    <row r="6557" spans="1:54" x14ac:dyDescent="0.3">
      <c r="A6557" s="66"/>
      <c r="B6557" s="67"/>
      <c r="C6557" s="66"/>
      <c r="D6557" s="68"/>
      <c r="E6557" s="10"/>
      <c r="F6557" s="69"/>
      <c r="G6557" s="68"/>
      <c r="H6557" s="70"/>
      <c r="BA6557" s="4"/>
      <c r="BB6557" s="4"/>
    </row>
    <row r="6558" spans="1:54" x14ac:dyDescent="0.3">
      <c r="A6558" s="66"/>
      <c r="B6558" s="67"/>
      <c r="C6558" s="66"/>
      <c r="D6558" s="68"/>
      <c r="E6558" s="10"/>
      <c r="F6558" s="69"/>
      <c r="G6558" s="68"/>
      <c r="H6558" s="70"/>
      <c r="BA6558" s="4"/>
      <c r="BB6558" s="4"/>
    </row>
    <row r="6559" spans="1:54" x14ac:dyDescent="0.3">
      <c r="A6559" s="66"/>
      <c r="B6559" s="67"/>
      <c r="C6559" s="66"/>
      <c r="D6559" s="68"/>
      <c r="E6559" s="10"/>
      <c r="F6559" s="69"/>
      <c r="G6559" s="68"/>
      <c r="H6559" s="70"/>
      <c r="BA6559" s="4"/>
      <c r="BB6559" s="4"/>
    </row>
    <row r="6560" spans="1:54" x14ac:dyDescent="0.3">
      <c r="A6560" s="66"/>
      <c r="B6560" s="67"/>
      <c r="C6560" s="66"/>
      <c r="D6560" s="68"/>
      <c r="E6560" s="10"/>
      <c r="F6560" s="69"/>
      <c r="G6560" s="68"/>
      <c r="H6560" s="70"/>
      <c r="BA6560" s="4"/>
      <c r="BB6560" s="4"/>
    </row>
    <row r="6561" spans="1:54" x14ac:dyDescent="0.3">
      <c r="A6561" s="66"/>
      <c r="B6561" s="67"/>
      <c r="C6561" s="66"/>
      <c r="D6561" s="68"/>
      <c r="E6561" s="10"/>
      <c r="F6561" s="69"/>
      <c r="G6561" s="68"/>
      <c r="H6561" s="70"/>
      <c r="BA6561" s="4"/>
      <c r="BB6561" s="4"/>
    </row>
    <row r="6562" spans="1:54" x14ac:dyDescent="0.3">
      <c r="A6562" s="66"/>
      <c r="B6562" s="67"/>
      <c r="C6562" s="66"/>
      <c r="D6562" s="68"/>
      <c r="E6562" s="10"/>
      <c r="F6562" s="69"/>
      <c r="G6562" s="68"/>
      <c r="H6562" s="70"/>
      <c r="BA6562" s="4"/>
      <c r="BB6562" s="4"/>
    </row>
    <row r="6563" spans="1:54" x14ac:dyDescent="0.3">
      <c r="A6563" s="66"/>
      <c r="B6563" s="67"/>
      <c r="C6563" s="66"/>
      <c r="D6563" s="68"/>
      <c r="E6563" s="10"/>
      <c r="F6563" s="69"/>
      <c r="G6563" s="68"/>
      <c r="H6563" s="70"/>
      <c r="BA6563" s="4"/>
      <c r="BB6563" s="4"/>
    </row>
    <row r="6564" spans="1:54" x14ac:dyDescent="0.3">
      <c r="A6564" s="66"/>
      <c r="B6564" s="67"/>
      <c r="C6564" s="66"/>
      <c r="D6564" s="68"/>
      <c r="E6564" s="10"/>
      <c r="F6564" s="69"/>
      <c r="G6564" s="68"/>
      <c r="H6564" s="70"/>
      <c r="BA6564" s="4"/>
      <c r="BB6564" s="4"/>
    </row>
    <row r="6565" spans="1:54" x14ac:dyDescent="0.3">
      <c r="A6565" s="66"/>
      <c r="B6565" s="67"/>
      <c r="C6565" s="66"/>
      <c r="D6565" s="68"/>
      <c r="E6565" s="10"/>
      <c r="F6565" s="69"/>
      <c r="G6565" s="68"/>
      <c r="H6565" s="70"/>
      <c r="BA6565" s="4"/>
      <c r="BB6565" s="4"/>
    </row>
    <row r="6566" spans="1:54" x14ac:dyDescent="0.3">
      <c r="A6566" s="66"/>
      <c r="B6566" s="67"/>
      <c r="C6566" s="66"/>
      <c r="D6566" s="68"/>
      <c r="E6566" s="10"/>
      <c r="F6566" s="69"/>
      <c r="G6566" s="68"/>
      <c r="H6566" s="70"/>
      <c r="BA6566" s="4"/>
      <c r="BB6566" s="4"/>
    </row>
    <row r="6567" spans="1:54" x14ac:dyDescent="0.3">
      <c r="A6567" s="66"/>
      <c r="B6567" s="67"/>
      <c r="C6567" s="66"/>
      <c r="D6567" s="68"/>
      <c r="E6567" s="10"/>
      <c r="F6567" s="69"/>
      <c r="G6567" s="68"/>
      <c r="H6567" s="70"/>
      <c r="BA6567" s="4"/>
      <c r="BB6567" s="4"/>
    </row>
    <row r="6568" spans="1:54" x14ac:dyDescent="0.3">
      <c r="A6568" s="66"/>
      <c r="B6568" s="67"/>
      <c r="C6568" s="66"/>
      <c r="D6568" s="68"/>
      <c r="E6568" s="10"/>
      <c r="F6568" s="69"/>
      <c r="G6568" s="68"/>
      <c r="H6568" s="70"/>
      <c r="BA6568" s="4"/>
      <c r="BB6568" s="4"/>
    </row>
    <row r="6569" spans="1:54" x14ac:dyDescent="0.3">
      <c r="A6569" s="66"/>
      <c r="B6569" s="67"/>
      <c r="C6569" s="66"/>
      <c r="D6569" s="68"/>
      <c r="E6569" s="10"/>
      <c r="F6569" s="69"/>
      <c r="G6569" s="68"/>
      <c r="H6569" s="70"/>
      <c r="BA6569" s="4"/>
      <c r="BB6569" s="4"/>
    </row>
    <row r="6570" spans="1:54" x14ac:dyDescent="0.3">
      <c r="A6570" s="66"/>
      <c r="B6570" s="67"/>
      <c r="C6570" s="66"/>
      <c r="D6570" s="68"/>
      <c r="E6570" s="10"/>
      <c r="F6570" s="69"/>
      <c r="G6570" s="68"/>
      <c r="H6570" s="70"/>
      <c r="BA6570" s="4"/>
      <c r="BB6570" s="4"/>
    </row>
    <row r="6571" spans="1:54" x14ac:dyDescent="0.3">
      <c r="A6571" s="66"/>
      <c r="B6571" s="67"/>
      <c r="C6571" s="66"/>
      <c r="D6571" s="68"/>
      <c r="E6571" s="10"/>
      <c r="F6571" s="69"/>
      <c r="G6571" s="68"/>
      <c r="H6571" s="70"/>
      <c r="BA6571" s="4"/>
      <c r="BB6571" s="4"/>
    </row>
    <row r="6572" spans="1:54" x14ac:dyDescent="0.3">
      <c r="A6572" s="66"/>
      <c r="B6572" s="67"/>
      <c r="C6572" s="66"/>
      <c r="D6572" s="68"/>
      <c r="E6572" s="10"/>
      <c r="F6572" s="69"/>
      <c r="G6572" s="68"/>
      <c r="H6572" s="70"/>
      <c r="BA6572" s="4"/>
      <c r="BB6572" s="4"/>
    </row>
    <row r="6573" spans="1:54" x14ac:dyDescent="0.3">
      <c r="A6573" s="66"/>
      <c r="B6573" s="67"/>
      <c r="C6573" s="66"/>
      <c r="D6573" s="68"/>
      <c r="E6573" s="10"/>
      <c r="F6573" s="69"/>
      <c r="G6573" s="68"/>
      <c r="H6573" s="70"/>
      <c r="BA6573" s="4"/>
      <c r="BB6573" s="4"/>
    </row>
    <row r="6574" spans="1:54" x14ac:dyDescent="0.3">
      <c r="A6574" s="66"/>
      <c r="B6574" s="67"/>
      <c r="C6574" s="66"/>
      <c r="D6574" s="68"/>
      <c r="E6574" s="10"/>
      <c r="F6574" s="69"/>
      <c r="G6574" s="68"/>
      <c r="H6574" s="70"/>
      <c r="BA6574" s="4"/>
      <c r="BB6574" s="4"/>
    </row>
    <row r="6575" spans="1:54" x14ac:dyDescent="0.3">
      <c r="A6575" s="66"/>
      <c r="B6575" s="67"/>
      <c r="C6575" s="66"/>
      <c r="D6575" s="68"/>
      <c r="E6575" s="10"/>
      <c r="F6575" s="69"/>
      <c r="G6575" s="68"/>
      <c r="H6575" s="70"/>
      <c r="BA6575" s="4"/>
      <c r="BB6575" s="4"/>
    </row>
    <row r="6576" spans="1:54" x14ac:dyDescent="0.3">
      <c r="A6576" s="66"/>
      <c r="B6576" s="67"/>
      <c r="C6576" s="66"/>
      <c r="D6576" s="68"/>
      <c r="E6576" s="10"/>
      <c r="F6576" s="69"/>
      <c r="G6576" s="68"/>
      <c r="H6576" s="70"/>
      <c r="BA6576" s="4"/>
      <c r="BB6576" s="4"/>
    </row>
    <row r="6577" spans="1:54" x14ac:dyDescent="0.3">
      <c r="A6577" s="66"/>
      <c r="B6577" s="67"/>
      <c r="C6577" s="66"/>
      <c r="D6577" s="68"/>
      <c r="E6577" s="10"/>
      <c r="F6577" s="69"/>
      <c r="G6577" s="68"/>
      <c r="H6577" s="70"/>
      <c r="BA6577" s="4"/>
      <c r="BB6577" s="4"/>
    </row>
    <row r="6578" spans="1:54" x14ac:dyDescent="0.3">
      <c r="A6578" s="66"/>
      <c r="B6578" s="67"/>
      <c r="C6578" s="66"/>
      <c r="D6578" s="68"/>
      <c r="E6578" s="10"/>
      <c r="F6578" s="69"/>
      <c r="G6578" s="68"/>
      <c r="H6578" s="70"/>
      <c r="BA6578" s="4"/>
      <c r="BB6578" s="4"/>
    </row>
    <row r="6579" spans="1:54" x14ac:dyDescent="0.3">
      <c r="A6579" s="66"/>
      <c r="B6579" s="67"/>
      <c r="C6579" s="66"/>
      <c r="D6579" s="68"/>
      <c r="E6579" s="10"/>
      <c r="F6579" s="69"/>
      <c r="G6579" s="68"/>
      <c r="H6579" s="70"/>
      <c r="BA6579" s="4"/>
      <c r="BB6579" s="4"/>
    </row>
    <row r="6580" spans="1:54" x14ac:dyDescent="0.3">
      <c r="A6580" s="66"/>
      <c r="B6580" s="67"/>
      <c r="C6580" s="66"/>
      <c r="D6580" s="68"/>
      <c r="E6580" s="10"/>
      <c r="F6580" s="69"/>
      <c r="G6580" s="68"/>
      <c r="H6580" s="70"/>
      <c r="BA6580" s="4"/>
      <c r="BB6580" s="4"/>
    </row>
    <row r="6581" spans="1:54" x14ac:dyDescent="0.3">
      <c r="A6581" s="66"/>
      <c r="B6581" s="67"/>
      <c r="C6581" s="66"/>
      <c r="D6581" s="68"/>
      <c r="E6581" s="10"/>
      <c r="F6581" s="69"/>
      <c r="G6581" s="68"/>
      <c r="H6581" s="70"/>
      <c r="BA6581" s="4"/>
      <c r="BB6581" s="4"/>
    </row>
    <row r="6582" spans="1:54" x14ac:dyDescent="0.3">
      <c r="A6582" s="66"/>
      <c r="B6582" s="67"/>
      <c r="C6582" s="66"/>
      <c r="D6582" s="68"/>
      <c r="E6582" s="10"/>
      <c r="F6582" s="69"/>
      <c r="G6582" s="68"/>
      <c r="H6582" s="70"/>
      <c r="BA6582" s="4"/>
      <c r="BB6582" s="4"/>
    </row>
    <row r="6583" spans="1:54" x14ac:dyDescent="0.3">
      <c r="A6583" s="66"/>
      <c r="B6583" s="67"/>
      <c r="C6583" s="66"/>
      <c r="D6583" s="68"/>
      <c r="E6583" s="10"/>
      <c r="F6583" s="69"/>
      <c r="G6583" s="68"/>
      <c r="H6583" s="70"/>
      <c r="BA6583" s="4"/>
      <c r="BB6583" s="4"/>
    </row>
    <row r="6584" spans="1:54" x14ac:dyDescent="0.3">
      <c r="A6584" s="66"/>
      <c r="B6584" s="67"/>
      <c r="C6584" s="66"/>
      <c r="D6584" s="68"/>
      <c r="E6584" s="10"/>
      <c r="F6584" s="69"/>
      <c r="G6584" s="68"/>
      <c r="H6584" s="70"/>
      <c r="BA6584" s="4"/>
      <c r="BB6584" s="4"/>
    </row>
    <row r="6585" spans="1:54" x14ac:dyDescent="0.3">
      <c r="A6585" s="66"/>
      <c r="B6585" s="67"/>
      <c r="C6585" s="66"/>
      <c r="D6585" s="68"/>
      <c r="E6585" s="10"/>
      <c r="F6585" s="69"/>
      <c r="G6585" s="68"/>
      <c r="H6585" s="70"/>
      <c r="BA6585" s="4"/>
      <c r="BB6585" s="4"/>
    </row>
    <row r="6586" spans="1:54" x14ac:dyDescent="0.3">
      <c r="A6586" s="66"/>
      <c r="B6586" s="67"/>
      <c r="C6586" s="66"/>
      <c r="D6586" s="68"/>
      <c r="E6586" s="10"/>
      <c r="F6586" s="69"/>
      <c r="G6586" s="68"/>
      <c r="H6586" s="70"/>
      <c r="BA6586" s="4"/>
      <c r="BB6586" s="4"/>
    </row>
    <row r="6587" spans="1:54" x14ac:dyDescent="0.3">
      <c r="A6587" s="66"/>
      <c r="B6587" s="67"/>
      <c r="C6587" s="66"/>
      <c r="D6587" s="68"/>
      <c r="E6587" s="10"/>
      <c r="F6587" s="69"/>
      <c r="G6587" s="68"/>
      <c r="H6587" s="70"/>
      <c r="BA6587" s="4"/>
      <c r="BB6587" s="4"/>
    </row>
    <row r="6588" spans="1:54" x14ac:dyDescent="0.3">
      <c r="A6588" s="66"/>
      <c r="B6588" s="67"/>
      <c r="C6588" s="66"/>
      <c r="D6588" s="68"/>
      <c r="E6588" s="10"/>
      <c r="F6588" s="69"/>
      <c r="G6588" s="68"/>
      <c r="H6588" s="70"/>
      <c r="BA6588" s="4"/>
      <c r="BB6588" s="4"/>
    </row>
    <row r="6589" spans="1:54" x14ac:dyDescent="0.3">
      <c r="A6589" s="66"/>
      <c r="B6589" s="67"/>
      <c r="C6589" s="66"/>
      <c r="D6589" s="68"/>
      <c r="E6589" s="10"/>
      <c r="F6589" s="69"/>
      <c r="G6589" s="68"/>
      <c r="H6589" s="70"/>
      <c r="BA6589" s="4"/>
      <c r="BB6589" s="4"/>
    </row>
    <row r="6590" spans="1:54" x14ac:dyDescent="0.3">
      <c r="A6590" s="66"/>
      <c r="B6590" s="67"/>
      <c r="C6590" s="66"/>
      <c r="D6590" s="68"/>
      <c r="E6590" s="10"/>
      <c r="F6590" s="69"/>
      <c r="G6590" s="68"/>
      <c r="H6590" s="70"/>
      <c r="BA6590" s="4"/>
      <c r="BB6590" s="4"/>
    </row>
    <row r="6591" spans="1:54" x14ac:dyDescent="0.3">
      <c r="A6591" s="66"/>
      <c r="B6591" s="67"/>
      <c r="C6591" s="66"/>
      <c r="D6591" s="68"/>
      <c r="E6591" s="10"/>
      <c r="F6591" s="69"/>
      <c r="G6591" s="68"/>
      <c r="H6591" s="70"/>
      <c r="BA6591" s="4"/>
      <c r="BB6591" s="4"/>
    </row>
    <row r="6592" spans="1:54" x14ac:dyDescent="0.3">
      <c r="A6592" s="66"/>
      <c r="B6592" s="67"/>
      <c r="C6592" s="66"/>
      <c r="D6592" s="68"/>
      <c r="E6592" s="10"/>
      <c r="F6592" s="69"/>
      <c r="G6592" s="68"/>
      <c r="H6592" s="70"/>
      <c r="BA6592" s="4"/>
      <c r="BB6592" s="4"/>
    </row>
    <row r="6593" spans="1:54" x14ac:dyDescent="0.3">
      <c r="A6593" s="66"/>
      <c r="B6593" s="67"/>
      <c r="C6593" s="66"/>
      <c r="D6593" s="68"/>
      <c r="E6593" s="10"/>
      <c r="F6593" s="69"/>
      <c r="G6593" s="68"/>
      <c r="H6593" s="70"/>
      <c r="BA6593" s="4"/>
      <c r="BB6593" s="4"/>
    </row>
    <row r="6594" spans="1:54" x14ac:dyDescent="0.3">
      <c r="A6594" s="66"/>
      <c r="B6594" s="67"/>
      <c r="C6594" s="66"/>
      <c r="D6594" s="68"/>
      <c r="E6594" s="10"/>
      <c r="F6594" s="69"/>
      <c r="G6594" s="68"/>
      <c r="H6594" s="70"/>
      <c r="BA6594" s="4"/>
      <c r="BB6594" s="4"/>
    </row>
    <row r="6595" spans="1:54" x14ac:dyDescent="0.3">
      <c r="A6595" s="66"/>
      <c r="B6595" s="67"/>
      <c r="C6595" s="66"/>
      <c r="D6595" s="68"/>
      <c r="E6595" s="10"/>
      <c r="F6595" s="69"/>
      <c r="G6595" s="68"/>
      <c r="H6595" s="70"/>
      <c r="BA6595" s="4"/>
      <c r="BB6595" s="4"/>
    </row>
    <row r="6596" spans="1:54" x14ac:dyDescent="0.3">
      <c r="A6596" s="66"/>
      <c r="B6596" s="67"/>
      <c r="C6596" s="66"/>
      <c r="D6596" s="68"/>
      <c r="E6596" s="10"/>
      <c r="F6596" s="69"/>
      <c r="G6596" s="68"/>
      <c r="H6596" s="70"/>
      <c r="BA6596" s="4"/>
      <c r="BB6596" s="4"/>
    </row>
    <row r="6597" spans="1:54" x14ac:dyDescent="0.3">
      <c r="A6597" s="66"/>
      <c r="B6597" s="67"/>
      <c r="C6597" s="66"/>
      <c r="D6597" s="68"/>
      <c r="E6597" s="10"/>
      <c r="F6597" s="69"/>
      <c r="G6597" s="68"/>
      <c r="H6597" s="70"/>
      <c r="BA6597" s="4"/>
      <c r="BB6597" s="4"/>
    </row>
    <row r="6598" spans="1:54" x14ac:dyDescent="0.3">
      <c r="A6598" s="66"/>
      <c r="B6598" s="67"/>
      <c r="C6598" s="66"/>
      <c r="D6598" s="68"/>
      <c r="E6598" s="10"/>
      <c r="F6598" s="69"/>
      <c r="G6598" s="68"/>
      <c r="H6598" s="70"/>
      <c r="BA6598" s="4"/>
      <c r="BB6598" s="4"/>
    </row>
    <row r="6599" spans="1:54" x14ac:dyDescent="0.3">
      <c r="A6599" s="66"/>
      <c r="B6599" s="67"/>
      <c r="C6599" s="66"/>
      <c r="D6599" s="68"/>
      <c r="E6599" s="10"/>
      <c r="F6599" s="69"/>
      <c r="G6599" s="68"/>
      <c r="H6599" s="70"/>
      <c r="BA6599" s="4"/>
      <c r="BB6599" s="4"/>
    </row>
    <row r="6600" spans="1:54" x14ac:dyDescent="0.3">
      <c r="A6600" s="66"/>
      <c r="B6600" s="67"/>
      <c r="C6600" s="66"/>
      <c r="D6600" s="68"/>
      <c r="E6600" s="10"/>
      <c r="F6600" s="69"/>
      <c r="G6600" s="68"/>
      <c r="H6600" s="70"/>
      <c r="BA6600" s="4"/>
      <c r="BB6600" s="4"/>
    </row>
    <row r="6601" spans="1:54" x14ac:dyDescent="0.3">
      <c r="A6601" s="66"/>
      <c r="B6601" s="67"/>
      <c r="C6601" s="66"/>
      <c r="D6601" s="68"/>
      <c r="E6601" s="10"/>
      <c r="F6601" s="69"/>
      <c r="G6601" s="68"/>
      <c r="H6601" s="70"/>
      <c r="BA6601" s="4"/>
      <c r="BB6601" s="4"/>
    </row>
    <row r="6602" spans="1:54" x14ac:dyDescent="0.3">
      <c r="A6602" s="66"/>
      <c r="B6602" s="67"/>
      <c r="C6602" s="66"/>
      <c r="D6602" s="68"/>
      <c r="E6602" s="10"/>
      <c r="F6602" s="69"/>
      <c r="G6602" s="68"/>
      <c r="H6602" s="70"/>
      <c r="BA6602" s="4"/>
      <c r="BB6602" s="4"/>
    </row>
    <row r="6603" spans="1:54" x14ac:dyDescent="0.3">
      <c r="A6603" s="66"/>
      <c r="B6603" s="67"/>
      <c r="C6603" s="66"/>
      <c r="D6603" s="68"/>
      <c r="E6603" s="10"/>
      <c r="F6603" s="69"/>
      <c r="G6603" s="68"/>
      <c r="H6603" s="70"/>
      <c r="BA6603" s="4"/>
      <c r="BB6603" s="4"/>
    </row>
    <row r="6604" spans="1:54" x14ac:dyDescent="0.3">
      <c r="A6604" s="66"/>
      <c r="B6604" s="67"/>
      <c r="C6604" s="66"/>
      <c r="D6604" s="68"/>
      <c r="E6604" s="10"/>
      <c r="F6604" s="69"/>
      <c r="G6604" s="68"/>
      <c r="H6604" s="70"/>
      <c r="BA6604" s="4"/>
      <c r="BB6604" s="4"/>
    </row>
    <row r="6605" spans="1:54" x14ac:dyDescent="0.3">
      <c r="A6605" s="66"/>
      <c r="B6605" s="67"/>
      <c r="C6605" s="66"/>
      <c r="D6605" s="68"/>
      <c r="E6605" s="10"/>
      <c r="F6605" s="69"/>
      <c r="G6605" s="68"/>
      <c r="H6605" s="70"/>
      <c r="BA6605" s="4"/>
      <c r="BB6605" s="4"/>
    </row>
    <row r="6606" spans="1:54" x14ac:dyDescent="0.3">
      <c r="A6606" s="66"/>
      <c r="B6606" s="67"/>
      <c r="C6606" s="66"/>
      <c r="D6606" s="68"/>
      <c r="E6606" s="10"/>
      <c r="F6606" s="69"/>
      <c r="G6606" s="68"/>
      <c r="H6606" s="70"/>
      <c r="BA6606" s="4"/>
      <c r="BB6606" s="4"/>
    </row>
    <row r="6607" spans="1:54" x14ac:dyDescent="0.3">
      <c r="A6607" s="66"/>
      <c r="B6607" s="67"/>
      <c r="C6607" s="66"/>
      <c r="D6607" s="68"/>
      <c r="E6607" s="10"/>
      <c r="F6607" s="69"/>
      <c r="G6607" s="68"/>
      <c r="H6607" s="70"/>
      <c r="BA6607" s="4"/>
      <c r="BB6607" s="4"/>
    </row>
    <row r="6608" spans="1:54" x14ac:dyDescent="0.3">
      <c r="A6608" s="66"/>
      <c r="B6608" s="67"/>
      <c r="C6608" s="66"/>
      <c r="D6608" s="68"/>
      <c r="E6608" s="10"/>
      <c r="F6608" s="69"/>
      <c r="G6608" s="68"/>
      <c r="H6608" s="70"/>
      <c r="BA6608" s="4"/>
      <c r="BB6608" s="4"/>
    </row>
    <row r="6609" spans="1:54" x14ac:dyDescent="0.3">
      <c r="A6609" s="66"/>
      <c r="B6609" s="67"/>
      <c r="C6609" s="66"/>
      <c r="D6609" s="68"/>
      <c r="E6609" s="10"/>
      <c r="F6609" s="69"/>
      <c r="G6609" s="68"/>
      <c r="H6609" s="70"/>
      <c r="BA6609" s="4"/>
      <c r="BB6609" s="4"/>
    </row>
    <row r="6610" spans="1:54" x14ac:dyDescent="0.3">
      <c r="A6610" s="66"/>
      <c r="B6610" s="67"/>
      <c r="C6610" s="66"/>
      <c r="D6610" s="68"/>
      <c r="E6610" s="10"/>
      <c r="F6610" s="69"/>
      <c r="G6610" s="68"/>
      <c r="H6610" s="70"/>
      <c r="BA6610" s="4"/>
      <c r="BB6610" s="4"/>
    </row>
    <row r="6611" spans="1:54" x14ac:dyDescent="0.3">
      <c r="A6611" s="66"/>
      <c r="B6611" s="67"/>
      <c r="C6611" s="66"/>
      <c r="D6611" s="68"/>
      <c r="E6611" s="10"/>
      <c r="F6611" s="69"/>
      <c r="G6611" s="68"/>
      <c r="H6611" s="70"/>
      <c r="BA6611" s="4"/>
      <c r="BB6611" s="4"/>
    </row>
    <row r="6612" spans="1:54" x14ac:dyDescent="0.3">
      <c r="A6612" s="66"/>
      <c r="B6612" s="67"/>
      <c r="C6612" s="66"/>
      <c r="D6612" s="68"/>
      <c r="E6612" s="10"/>
      <c r="F6612" s="69"/>
      <c r="G6612" s="68"/>
      <c r="H6612" s="70"/>
      <c r="BA6612" s="4"/>
      <c r="BB6612" s="4"/>
    </row>
    <row r="6613" spans="1:54" x14ac:dyDescent="0.3">
      <c r="A6613" s="66"/>
      <c r="B6613" s="67"/>
      <c r="C6613" s="66"/>
      <c r="D6613" s="68"/>
      <c r="E6613" s="10"/>
      <c r="F6613" s="69"/>
      <c r="G6613" s="68"/>
      <c r="H6613" s="70"/>
      <c r="BA6613" s="4"/>
      <c r="BB6613" s="4"/>
    </row>
    <row r="6614" spans="1:54" x14ac:dyDescent="0.3">
      <c r="A6614" s="66"/>
      <c r="B6614" s="67"/>
      <c r="C6614" s="66"/>
      <c r="D6614" s="68"/>
      <c r="E6614" s="10"/>
      <c r="F6614" s="69"/>
      <c r="G6614" s="68"/>
      <c r="H6614" s="70"/>
      <c r="BA6614" s="4"/>
      <c r="BB6614" s="4"/>
    </row>
    <row r="6615" spans="1:54" x14ac:dyDescent="0.3">
      <c r="A6615" s="66"/>
      <c r="B6615" s="67"/>
      <c r="C6615" s="66"/>
      <c r="D6615" s="68"/>
      <c r="E6615" s="10"/>
      <c r="F6615" s="69"/>
      <c r="G6615" s="68"/>
      <c r="H6615" s="70"/>
      <c r="BA6615" s="4"/>
      <c r="BB6615" s="4"/>
    </row>
    <row r="6616" spans="1:54" x14ac:dyDescent="0.3">
      <c r="A6616" s="66"/>
      <c r="B6616" s="67"/>
      <c r="C6616" s="66"/>
      <c r="D6616" s="68"/>
      <c r="E6616" s="10"/>
      <c r="F6616" s="69"/>
      <c r="G6616" s="68"/>
      <c r="H6616" s="70"/>
      <c r="BA6616" s="4"/>
      <c r="BB6616" s="4"/>
    </row>
    <row r="6617" spans="1:54" x14ac:dyDescent="0.3">
      <c r="A6617" s="66"/>
      <c r="B6617" s="67"/>
      <c r="C6617" s="66"/>
      <c r="D6617" s="68"/>
      <c r="E6617" s="10"/>
      <c r="F6617" s="69"/>
      <c r="G6617" s="68"/>
      <c r="H6617" s="70"/>
      <c r="BA6617" s="4"/>
      <c r="BB6617" s="4"/>
    </row>
    <row r="6618" spans="1:54" x14ac:dyDescent="0.3">
      <c r="A6618" s="66"/>
      <c r="B6618" s="67"/>
      <c r="C6618" s="66"/>
      <c r="D6618" s="68"/>
      <c r="E6618" s="10"/>
      <c r="F6618" s="69"/>
      <c r="G6618" s="68"/>
      <c r="H6618" s="70"/>
      <c r="BA6618" s="4"/>
      <c r="BB6618" s="4"/>
    </row>
    <row r="6619" spans="1:54" x14ac:dyDescent="0.3">
      <c r="A6619" s="66"/>
      <c r="B6619" s="67"/>
      <c r="C6619" s="66"/>
      <c r="D6619" s="68"/>
      <c r="E6619" s="10"/>
      <c r="F6619" s="69"/>
      <c r="G6619" s="68"/>
      <c r="H6619" s="70"/>
      <c r="BA6619" s="4"/>
      <c r="BB6619" s="4"/>
    </row>
    <row r="6620" spans="1:54" x14ac:dyDescent="0.3">
      <c r="A6620" s="66"/>
      <c r="B6620" s="67"/>
      <c r="C6620" s="66"/>
      <c r="D6620" s="68"/>
      <c r="E6620" s="10"/>
      <c r="F6620" s="69"/>
      <c r="G6620" s="68"/>
      <c r="H6620" s="70"/>
      <c r="BA6620" s="4"/>
      <c r="BB6620" s="4"/>
    </row>
    <row r="6621" spans="1:54" x14ac:dyDescent="0.3">
      <c r="A6621" s="66"/>
      <c r="B6621" s="67"/>
      <c r="C6621" s="66"/>
      <c r="D6621" s="68"/>
      <c r="E6621" s="10"/>
      <c r="F6621" s="69"/>
      <c r="G6621" s="68"/>
      <c r="H6621" s="70"/>
      <c r="BA6621" s="4"/>
      <c r="BB6621" s="4"/>
    </row>
    <row r="6622" spans="1:54" x14ac:dyDescent="0.3">
      <c r="A6622" s="66"/>
      <c r="B6622" s="67"/>
      <c r="C6622" s="66"/>
      <c r="D6622" s="68"/>
      <c r="E6622" s="10"/>
      <c r="F6622" s="69"/>
      <c r="G6622" s="68"/>
      <c r="H6622" s="70"/>
      <c r="BA6622" s="4"/>
      <c r="BB6622" s="4"/>
    </row>
    <row r="6623" spans="1:54" x14ac:dyDescent="0.3">
      <c r="A6623" s="66"/>
      <c r="B6623" s="67"/>
      <c r="C6623" s="66"/>
      <c r="D6623" s="68"/>
      <c r="E6623" s="10"/>
      <c r="F6623" s="69"/>
      <c r="G6623" s="68"/>
      <c r="H6623" s="70"/>
      <c r="BA6623" s="4"/>
      <c r="BB6623" s="4"/>
    </row>
    <row r="6624" spans="1:54" x14ac:dyDescent="0.3">
      <c r="A6624" s="66"/>
      <c r="B6624" s="67"/>
      <c r="C6624" s="66"/>
      <c r="D6624" s="68"/>
      <c r="E6624" s="10"/>
      <c r="F6624" s="69"/>
      <c r="G6624" s="68"/>
      <c r="H6624" s="70"/>
      <c r="BA6624" s="4"/>
      <c r="BB6624" s="4"/>
    </row>
    <row r="6625" spans="1:54" x14ac:dyDescent="0.3">
      <c r="A6625" s="66"/>
      <c r="B6625" s="67"/>
      <c r="C6625" s="66"/>
      <c r="D6625" s="68"/>
      <c r="E6625" s="10"/>
      <c r="F6625" s="69"/>
      <c r="G6625" s="68"/>
      <c r="H6625" s="70"/>
      <c r="BA6625" s="4"/>
      <c r="BB6625" s="4"/>
    </row>
    <row r="6626" spans="1:54" x14ac:dyDescent="0.3">
      <c r="A6626" s="66"/>
      <c r="B6626" s="67"/>
      <c r="C6626" s="66"/>
      <c r="D6626" s="68"/>
      <c r="E6626" s="10"/>
      <c r="F6626" s="69"/>
      <c r="G6626" s="68"/>
      <c r="H6626" s="70"/>
      <c r="BA6626" s="4"/>
      <c r="BB6626" s="4"/>
    </row>
    <row r="6627" spans="1:54" x14ac:dyDescent="0.3">
      <c r="A6627" s="66"/>
      <c r="B6627" s="67"/>
      <c r="C6627" s="66"/>
      <c r="D6627" s="68"/>
      <c r="E6627" s="10"/>
      <c r="F6627" s="69"/>
      <c r="G6627" s="68"/>
      <c r="H6627" s="70"/>
      <c r="BA6627" s="4"/>
      <c r="BB6627" s="4"/>
    </row>
    <row r="6628" spans="1:54" x14ac:dyDescent="0.3">
      <c r="A6628" s="66"/>
      <c r="B6628" s="67"/>
      <c r="C6628" s="66"/>
      <c r="D6628" s="68"/>
      <c r="E6628" s="10"/>
      <c r="F6628" s="69"/>
      <c r="G6628" s="68"/>
      <c r="H6628" s="70"/>
      <c r="BA6628" s="4"/>
      <c r="BB6628" s="4"/>
    </row>
    <row r="6629" spans="1:54" x14ac:dyDescent="0.3">
      <c r="A6629" s="66"/>
      <c r="B6629" s="67"/>
      <c r="C6629" s="66"/>
      <c r="D6629" s="68"/>
      <c r="E6629" s="10"/>
      <c r="F6629" s="69"/>
      <c r="G6629" s="68"/>
      <c r="H6629" s="70"/>
      <c r="BA6629" s="4"/>
      <c r="BB6629" s="4"/>
    </row>
    <row r="6630" spans="1:54" x14ac:dyDescent="0.3">
      <c r="A6630" s="66"/>
      <c r="B6630" s="67"/>
      <c r="C6630" s="66"/>
      <c r="D6630" s="68"/>
      <c r="E6630" s="10"/>
      <c r="F6630" s="69"/>
      <c r="G6630" s="68"/>
      <c r="H6630" s="70"/>
      <c r="BA6630" s="4"/>
      <c r="BB6630" s="4"/>
    </row>
    <row r="6631" spans="1:54" x14ac:dyDescent="0.3">
      <c r="A6631" s="66"/>
      <c r="B6631" s="67"/>
      <c r="C6631" s="66"/>
      <c r="D6631" s="68"/>
      <c r="E6631" s="10"/>
      <c r="F6631" s="69"/>
      <c r="G6631" s="68"/>
      <c r="H6631" s="70"/>
      <c r="BA6631" s="4"/>
      <c r="BB6631" s="4"/>
    </row>
    <row r="6632" spans="1:54" x14ac:dyDescent="0.3">
      <c r="A6632" s="66"/>
      <c r="B6632" s="67"/>
      <c r="C6632" s="66"/>
      <c r="D6632" s="68"/>
      <c r="E6632" s="10"/>
      <c r="F6632" s="69"/>
      <c r="G6632" s="68"/>
      <c r="H6632" s="70"/>
      <c r="BA6632" s="4"/>
      <c r="BB6632" s="4"/>
    </row>
    <row r="6633" spans="1:54" x14ac:dyDescent="0.3">
      <c r="A6633" s="66"/>
      <c r="B6633" s="67"/>
      <c r="C6633" s="66"/>
      <c r="D6633" s="68"/>
      <c r="E6633" s="10"/>
      <c r="F6633" s="69"/>
      <c r="G6633" s="68"/>
      <c r="H6633" s="70"/>
      <c r="BA6633" s="4"/>
      <c r="BB6633" s="4"/>
    </row>
    <row r="6634" spans="1:54" x14ac:dyDescent="0.3">
      <c r="A6634" s="66"/>
      <c r="B6634" s="67"/>
      <c r="C6634" s="66"/>
      <c r="D6634" s="68"/>
      <c r="E6634" s="10"/>
      <c r="F6634" s="69"/>
      <c r="G6634" s="68"/>
      <c r="H6634" s="70"/>
      <c r="BA6634" s="4"/>
      <c r="BB6634" s="4"/>
    </row>
    <row r="6635" spans="1:54" x14ac:dyDescent="0.3">
      <c r="A6635" s="66"/>
      <c r="B6635" s="67"/>
      <c r="C6635" s="66"/>
      <c r="D6635" s="68"/>
      <c r="E6635" s="10"/>
      <c r="F6635" s="69"/>
      <c r="G6635" s="68"/>
      <c r="H6635" s="70"/>
      <c r="BA6635" s="4"/>
      <c r="BB6635" s="4"/>
    </row>
    <row r="6636" spans="1:54" x14ac:dyDescent="0.3">
      <c r="A6636" s="66"/>
      <c r="B6636" s="67"/>
      <c r="C6636" s="66"/>
      <c r="D6636" s="68"/>
      <c r="E6636" s="10"/>
      <c r="F6636" s="69"/>
      <c r="G6636" s="68"/>
      <c r="H6636" s="70"/>
      <c r="BA6636" s="4"/>
      <c r="BB6636" s="4"/>
    </row>
    <row r="6637" spans="1:54" x14ac:dyDescent="0.3">
      <c r="A6637" s="66"/>
      <c r="B6637" s="67"/>
      <c r="C6637" s="66"/>
      <c r="D6637" s="68"/>
      <c r="E6637" s="10"/>
      <c r="F6637" s="69"/>
      <c r="G6637" s="68"/>
      <c r="H6637" s="70"/>
      <c r="BA6637" s="4"/>
      <c r="BB6637" s="4"/>
    </row>
    <row r="6638" spans="1:54" x14ac:dyDescent="0.3">
      <c r="A6638" s="66"/>
      <c r="B6638" s="67"/>
      <c r="C6638" s="66"/>
      <c r="D6638" s="68"/>
      <c r="E6638" s="10"/>
      <c r="F6638" s="69"/>
      <c r="G6638" s="68"/>
      <c r="H6638" s="70"/>
      <c r="BA6638" s="4"/>
      <c r="BB6638" s="4"/>
    </row>
    <row r="6639" spans="1:54" x14ac:dyDescent="0.3">
      <c r="A6639" s="66"/>
      <c r="B6639" s="67"/>
      <c r="C6639" s="66"/>
      <c r="D6639" s="68"/>
      <c r="E6639" s="10"/>
      <c r="F6639" s="69"/>
      <c r="G6639" s="68"/>
      <c r="H6639" s="70"/>
      <c r="BA6639" s="4"/>
      <c r="BB6639" s="4"/>
    </row>
    <row r="6640" spans="1:54" x14ac:dyDescent="0.3">
      <c r="A6640" s="66"/>
      <c r="B6640" s="67"/>
      <c r="C6640" s="66"/>
      <c r="D6640" s="68"/>
      <c r="E6640" s="10"/>
      <c r="F6640" s="69"/>
      <c r="G6640" s="68"/>
      <c r="H6640" s="70"/>
      <c r="BA6640" s="4"/>
      <c r="BB6640" s="4"/>
    </row>
    <row r="6641" spans="1:54" x14ac:dyDescent="0.3">
      <c r="A6641" s="66"/>
      <c r="B6641" s="67"/>
      <c r="C6641" s="66"/>
      <c r="D6641" s="68"/>
      <c r="E6641" s="10"/>
      <c r="F6641" s="69"/>
      <c r="G6641" s="68"/>
      <c r="H6641" s="70"/>
      <c r="BA6641" s="4"/>
      <c r="BB6641" s="4"/>
    </row>
    <row r="6642" spans="1:54" x14ac:dyDescent="0.3">
      <c r="A6642" s="66"/>
      <c r="B6642" s="67"/>
      <c r="C6642" s="66"/>
      <c r="D6642" s="68"/>
      <c r="E6642" s="10"/>
      <c r="F6642" s="69"/>
      <c r="G6642" s="68"/>
      <c r="H6642" s="70"/>
      <c r="BA6642" s="4"/>
      <c r="BB6642" s="4"/>
    </row>
    <row r="6643" spans="1:54" x14ac:dyDescent="0.3">
      <c r="A6643" s="66"/>
      <c r="B6643" s="67"/>
      <c r="C6643" s="66"/>
      <c r="D6643" s="68"/>
      <c r="E6643" s="10"/>
      <c r="F6643" s="69"/>
      <c r="G6643" s="68"/>
      <c r="H6643" s="70"/>
      <c r="BA6643" s="4"/>
      <c r="BB6643" s="4"/>
    </row>
    <row r="6644" spans="1:54" x14ac:dyDescent="0.3">
      <c r="A6644" s="66"/>
      <c r="B6644" s="67"/>
      <c r="C6644" s="66"/>
      <c r="D6644" s="68"/>
      <c r="E6644" s="10"/>
      <c r="F6644" s="69"/>
      <c r="G6644" s="68"/>
      <c r="H6644" s="70"/>
      <c r="BA6644" s="4"/>
      <c r="BB6644" s="4"/>
    </row>
    <row r="6645" spans="1:54" x14ac:dyDescent="0.3">
      <c r="A6645" s="66"/>
      <c r="B6645" s="67"/>
      <c r="C6645" s="66"/>
      <c r="D6645" s="68"/>
      <c r="E6645" s="10"/>
      <c r="F6645" s="69"/>
      <c r="G6645" s="68"/>
      <c r="H6645" s="70"/>
      <c r="BA6645" s="4"/>
      <c r="BB6645" s="4"/>
    </row>
    <row r="6646" spans="1:54" x14ac:dyDescent="0.3">
      <c r="A6646" s="66"/>
      <c r="B6646" s="67"/>
      <c r="C6646" s="66"/>
      <c r="D6646" s="68"/>
      <c r="E6646" s="10"/>
      <c r="F6646" s="69"/>
      <c r="G6646" s="68"/>
      <c r="H6646" s="70"/>
      <c r="BA6646" s="4"/>
      <c r="BB6646" s="4"/>
    </row>
    <row r="6647" spans="1:54" x14ac:dyDescent="0.3">
      <c r="A6647" s="66"/>
      <c r="B6647" s="67"/>
      <c r="C6647" s="66"/>
      <c r="D6647" s="68"/>
      <c r="E6647" s="10"/>
      <c r="F6647" s="69"/>
      <c r="G6647" s="68"/>
      <c r="H6647" s="70"/>
      <c r="BA6647" s="4"/>
      <c r="BB6647" s="4"/>
    </row>
    <row r="6648" spans="1:54" x14ac:dyDescent="0.3">
      <c r="A6648" s="66"/>
      <c r="B6648" s="67"/>
      <c r="C6648" s="66"/>
      <c r="D6648" s="68"/>
      <c r="E6648" s="10"/>
      <c r="F6648" s="69"/>
      <c r="G6648" s="68"/>
      <c r="H6648" s="70"/>
      <c r="BA6648" s="4"/>
      <c r="BB6648" s="4"/>
    </row>
    <row r="6649" spans="1:54" x14ac:dyDescent="0.3">
      <c r="A6649" s="66"/>
      <c r="B6649" s="67"/>
      <c r="C6649" s="66"/>
      <c r="D6649" s="68"/>
      <c r="E6649" s="10"/>
      <c r="F6649" s="69"/>
      <c r="G6649" s="68"/>
      <c r="H6649" s="70"/>
      <c r="BA6649" s="4"/>
      <c r="BB6649" s="4"/>
    </row>
    <row r="6650" spans="1:54" x14ac:dyDescent="0.3">
      <c r="A6650" s="66"/>
      <c r="B6650" s="67"/>
      <c r="C6650" s="66"/>
      <c r="D6650" s="68"/>
      <c r="E6650" s="10"/>
      <c r="F6650" s="69"/>
      <c r="G6650" s="68"/>
      <c r="H6650" s="70"/>
      <c r="BA6650" s="4"/>
      <c r="BB6650" s="4"/>
    </row>
    <row r="6651" spans="1:54" x14ac:dyDescent="0.3">
      <c r="A6651" s="66"/>
      <c r="B6651" s="67"/>
      <c r="C6651" s="66"/>
      <c r="D6651" s="68"/>
      <c r="E6651" s="10"/>
      <c r="F6651" s="69"/>
      <c r="G6651" s="68"/>
      <c r="H6651" s="70"/>
      <c r="BA6651" s="4"/>
      <c r="BB6651" s="4"/>
    </row>
    <row r="6652" spans="1:54" x14ac:dyDescent="0.3">
      <c r="A6652" s="66"/>
      <c r="B6652" s="67"/>
      <c r="C6652" s="66"/>
      <c r="D6652" s="68"/>
      <c r="E6652" s="10"/>
      <c r="F6652" s="69"/>
      <c r="G6652" s="68"/>
      <c r="H6652" s="70"/>
      <c r="BA6652" s="4"/>
      <c r="BB6652" s="4"/>
    </row>
    <row r="6653" spans="1:54" x14ac:dyDescent="0.3">
      <c r="A6653" s="66"/>
      <c r="B6653" s="67"/>
      <c r="C6653" s="66"/>
      <c r="D6653" s="68"/>
      <c r="E6653" s="10"/>
      <c r="F6653" s="69"/>
      <c r="G6653" s="68"/>
      <c r="H6653" s="70"/>
      <c r="BA6653" s="4"/>
      <c r="BB6653" s="4"/>
    </row>
    <row r="6654" spans="1:54" x14ac:dyDescent="0.3">
      <c r="A6654" s="66"/>
      <c r="B6654" s="67"/>
      <c r="C6654" s="66"/>
      <c r="D6654" s="68"/>
      <c r="E6654" s="10"/>
      <c r="F6654" s="69"/>
      <c r="G6654" s="68"/>
      <c r="H6654" s="70"/>
      <c r="BA6654" s="4"/>
      <c r="BB6654" s="4"/>
    </row>
    <row r="6655" spans="1:54" x14ac:dyDescent="0.3">
      <c r="A6655" s="66"/>
      <c r="B6655" s="67"/>
      <c r="C6655" s="66"/>
      <c r="D6655" s="68"/>
      <c r="E6655" s="10"/>
      <c r="F6655" s="69"/>
      <c r="G6655" s="68"/>
      <c r="H6655" s="70"/>
      <c r="BA6655" s="4"/>
      <c r="BB6655" s="4"/>
    </row>
    <row r="6656" spans="1:54" x14ac:dyDescent="0.3">
      <c r="A6656" s="66"/>
      <c r="B6656" s="67"/>
      <c r="C6656" s="66"/>
      <c r="D6656" s="68"/>
      <c r="E6656" s="10"/>
      <c r="F6656" s="69"/>
      <c r="G6656" s="68"/>
      <c r="H6656" s="70"/>
      <c r="BA6656" s="4"/>
      <c r="BB6656" s="4"/>
    </row>
    <row r="6657" spans="1:54" x14ac:dyDescent="0.3">
      <c r="A6657" s="66"/>
      <c r="B6657" s="67"/>
      <c r="C6657" s="66"/>
      <c r="D6657" s="68"/>
      <c r="E6657" s="10"/>
      <c r="F6657" s="69"/>
      <c r="G6657" s="68"/>
      <c r="H6657" s="70"/>
      <c r="BA6657" s="4"/>
      <c r="BB6657" s="4"/>
    </row>
    <row r="6658" spans="1:54" x14ac:dyDescent="0.3">
      <c r="A6658" s="66"/>
      <c r="B6658" s="67"/>
      <c r="C6658" s="66"/>
      <c r="D6658" s="68"/>
      <c r="E6658" s="10"/>
      <c r="F6658" s="69"/>
      <c r="G6658" s="68"/>
      <c r="H6658" s="70"/>
      <c r="BA6658" s="4"/>
      <c r="BB6658" s="4"/>
    </row>
    <row r="6659" spans="1:54" x14ac:dyDescent="0.3">
      <c r="A6659" s="66"/>
      <c r="B6659" s="67"/>
      <c r="C6659" s="66"/>
      <c r="D6659" s="68"/>
      <c r="E6659" s="10"/>
      <c r="F6659" s="69"/>
      <c r="G6659" s="68"/>
      <c r="H6659" s="70"/>
      <c r="BA6659" s="4"/>
      <c r="BB6659" s="4"/>
    </row>
    <row r="6660" spans="1:54" x14ac:dyDescent="0.3">
      <c r="A6660" s="66"/>
      <c r="B6660" s="67"/>
      <c r="C6660" s="66"/>
      <c r="D6660" s="68"/>
      <c r="E6660" s="10"/>
      <c r="F6660" s="69"/>
      <c r="G6660" s="68"/>
      <c r="H6660" s="70"/>
      <c r="BA6660" s="4"/>
      <c r="BB6660" s="4"/>
    </row>
    <row r="6661" spans="1:54" x14ac:dyDescent="0.3">
      <c r="A6661" s="66"/>
      <c r="B6661" s="67"/>
      <c r="C6661" s="66"/>
      <c r="D6661" s="68"/>
      <c r="E6661" s="10"/>
      <c r="F6661" s="69"/>
      <c r="G6661" s="68"/>
      <c r="H6661" s="70"/>
      <c r="BA6661" s="4"/>
      <c r="BB6661" s="4"/>
    </row>
    <row r="6662" spans="1:54" x14ac:dyDescent="0.3">
      <c r="A6662" s="66"/>
      <c r="B6662" s="67"/>
      <c r="C6662" s="66"/>
      <c r="D6662" s="68"/>
      <c r="E6662" s="10"/>
      <c r="F6662" s="69"/>
      <c r="G6662" s="68"/>
      <c r="H6662" s="70"/>
      <c r="BA6662" s="4"/>
      <c r="BB6662" s="4"/>
    </row>
    <row r="6663" spans="1:54" x14ac:dyDescent="0.3">
      <c r="A6663" s="66"/>
      <c r="B6663" s="67"/>
      <c r="C6663" s="66"/>
      <c r="D6663" s="68"/>
      <c r="E6663" s="10"/>
      <c r="F6663" s="69"/>
      <c r="G6663" s="68"/>
      <c r="H6663" s="70"/>
      <c r="BA6663" s="4"/>
      <c r="BB6663" s="4"/>
    </row>
    <row r="6664" spans="1:54" x14ac:dyDescent="0.3">
      <c r="A6664" s="66"/>
      <c r="B6664" s="67"/>
      <c r="C6664" s="66"/>
      <c r="D6664" s="68"/>
      <c r="E6664" s="10"/>
      <c r="F6664" s="69"/>
      <c r="G6664" s="68"/>
      <c r="H6664" s="70"/>
      <c r="BA6664" s="4"/>
      <c r="BB6664" s="4"/>
    </row>
    <row r="6665" spans="1:54" x14ac:dyDescent="0.3">
      <c r="A6665" s="66"/>
      <c r="B6665" s="67"/>
      <c r="C6665" s="66"/>
      <c r="D6665" s="68"/>
      <c r="E6665" s="10"/>
      <c r="F6665" s="69"/>
      <c r="G6665" s="68"/>
      <c r="H6665" s="70"/>
      <c r="BA6665" s="4"/>
      <c r="BB6665" s="4"/>
    </row>
    <row r="6666" spans="1:54" x14ac:dyDescent="0.3">
      <c r="A6666" s="66"/>
      <c r="B6666" s="67"/>
      <c r="C6666" s="66"/>
      <c r="D6666" s="68"/>
      <c r="E6666" s="10"/>
      <c r="F6666" s="69"/>
      <c r="G6666" s="68"/>
      <c r="H6666" s="70"/>
      <c r="BA6666" s="4"/>
      <c r="BB6666" s="4"/>
    </row>
    <row r="6667" spans="1:54" x14ac:dyDescent="0.3">
      <c r="A6667" s="66"/>
      <c r="B6667" s="67"/>
      <c r="C6667" s="66"/>
      <c r="D6667" s="68"/>
      <c r="E6667" s="10"/>
      <c r="F6667" s="69"/>
      <c r="G6667" s="68"/>
      <c r="H6667" s="70"/>
      <c r="BA6667" s="4"/>
      <c r="BB6667" s="4"/>
    </row>
    <row r="6668" spans="1:54" x14ac:dyDescent="0.3">
      <c r="A6668" s="66"/>
      <c r="B6668" s="67"/>
      <c r="C6668" s="66"/>
      <c r="D6668" s="68"/>
      <c r="E6668" s="10"/>
      <c r="F6668" s="69"/>
      <c r="G6668" s="68"/>
      <c r="H6668" s="70"/>
      <c r="BA6668" s="4"/>
      <c r="BB6668" s="4"/>
    </row>
    <row r="6669" spans="1:54" x14ac:dyDescent="0.3">
      <c r="A6669" s="66"/>
      <c r="B6669" s="67"/>
      <c r="C6669" s="66"/>
      <c r="D6669" s="68"/>
      <c r="E6669" s="10"/>
      <c r="F6669" s="69"/>
      <c r="G6669" s="68"/>
      <c r="H6669" s="70"/>
      <c r="BA6669" s="4"/>
      <c r="BB6669" s="4"/>
    </row>
    <row r="6670" spans="1:54" x14ac:dyDescent="0.3">
      <c r="A6670" s="66"/>
      <c r="B6670" s="67"/>
      <c r="C6670" s="66"/>
      <c r="D6670" s="68"/>
      <c r="E6670" s="10"/>
      <c r="F6670" s="69"/>
      <c r="G6670" s="68"/>
      <c r="H6670" s="70"/>
      <c r="BA6670" s="4"/>
      <c r="BB6670" s="4"/>
    </row>
    <row r="6671" spans="1:54" x14ac:dyDescent="0.3">
      <c r="A6671" s="66"/>
      <c r="B6671" s="67"/>
      <c r="C6671" s="66"/>
      <c r="D6671" s="68"/>
      <c r="E6671" s="10"/>
      <c r="F6671" s="69"/>
      <c r="G6671" s="68"/>
      <c r="H6671" s="70"/>
      <c r="BA6671" s="4"/>
      <c r="BB6671" s="4"/>
    </row>
    <row r="6672" spans="1:54" x14ac:dyDescent="0.3">
      <c r="A6672" s="66"/>
      <c r="B6672" s="67"/>
      <c r="C6672" s="66"/>
      <c r="D6672" s="68"/>
      <c r="E6672" s="10"/>
      <c r="F6672" s="69"/>
      <c r="G6672" s="68"/>
      <c r="H6672" s="70"/>
      <c r="BA6672" s="4"/>
      <c r="BB6672" s="4"/>
    </row>
    <row r="6673" spans="1:54" x14ac:dyDescent="0.3">
      <c r="A6673" s="66"/>
      <c r="B6673" s="67"/>
      <c r="C6673" s="66"/>
      <c r="D6673" s="68"/>
      <c r="E6673" s="10"/>
      <c r="F6673" s="69"/>
      <c r="G6673" s="68"/>
      <c r="H6673" s="70"/>
      <c r="BA6673" s="4"/>
      <c r="BB6673" s="4"/>
    </row>
    <row r="6674" spans="1:54" x14ac:dyDescent="0.3">
      <c r="A6674" s="66"/>
      <c r="B6674" s="67"/>
      <c r="C6674" s="66"/>
      <c r="D6674" s="68"/>
      <c r="E6674" s="10"/>
      <c r="F6674" s="69"/>
      <c r="G6674" s="68"/>
      <c r="H6674" s="70"/>
      <c r="BA6674" s="4"/>
      <c r="BB6674" s="4"/>
    </row>
    <row r="6675" spans="1:54" x14ac:dyDescent="0.3">
      <c r="A6675" s="66"/>
      <c r="B6675" s="67"/>
      <c r="C6675" s="66"/>
      <c r="D6675" s="68"/>
      <c r="E6675" s="10"/>
      <c r="F6675" s="69"/>
      <c r="G6675" s="68"/>
      <c r="H6675" s="70"/>
      <c r="BA6675" s="4"/>
      <c r="BB6675" s="4"/>
    </row>
    <row r="6676" spans="1:54" x14ac:dyDescent="0.3">
      <c r="A6676" s="66"/>
      <c r="B6676" s="67"/>
      <c r="C6676" s="66"/>
      <c r="D6676" s="68"/>
      <c r="E6676" s="10"/>
      <c r="F6676" s="69"/>
      <c r="G6676" s="68"/>
      <c r="H6676" s="70"/>
      <c r="BA6676" s="4"/>
      <c r="BB6676" s="4"/>
    </row>
    <row r="6677" spans="1:54" x14ac:dyDescent="0.3">
      <c r="A6677" s="66"/>
      <c r="B6677" s="67"/>
      <c r="C6677" s="66"/>
      <c r="D6677" s="68"/>
      <c r="E6677" s="10"/>
      <c r="F6677" s="69"/>
      <c r="G6677" s="68"/>
      <c r="H6677" s="70"/>
      <c r="BA6677" s="4"/>
      <c r="BB6677" s="4"/>
    </row>
    <row r="6678" spans="1:54" x14ac:dyDescent="0.3">
      <c r="A6678" s="66"/>
      <c r="B6678" s="67"/>
      <c r="C6678" s="66"/>
      <c r="D6678" s="68"/>
      <c r="E6678" s="10"/>
      <c r="F6678" s="69"/>
      <c r="G6678" s="68"/>
      <c r="H6678" s="70"/>
      <c r="BA6678" s="4"/>
      <c r="BB6678" s="4"/>
    </row>
    <row r="6679" spans="1:54" x14ac:dyDescent="0.3">
      <c r="A6679" s="66"/>
      <c r="B6679" s="67"/>
      <c r="C6679" s="66"/>
      <c r="D6679" s="68"/>
      <c r="E6679" s="10"/>
      <c r="F6679" s="69"/>
      <c r="G6679" s="68"/>
      <c r="H6679" s="70"/>
      <c r="BA6679" s="4"/>
      <c r="BB6679" s="4"/>
    </row>
    <row r="6680" spans="1:54" x14ac:dyDescent="0.3">
      <c r="A6680" s="66"/>
      <c r="B6680" s="67"/>
      <c r="C6680" s="66"/>
      <c r="D6680" s="68"/>
      <c r="E6680" s="10"/>
      <c r="F6680" s="69"/>
      <c r="G6680" s="68"/>
      <c r="H6680" s="70"/>
      <c r="BA6680" s="4"/>
      <c r="BB6680" s="4"/>
    </row>
    <row r="6681" spans="1:54" x14ac:dyDescent="0.3">
      <c r="A6681" s="66"/>
      <c r="B6681" s="67"/>
      <c r="C6681" s="66"/>
      <c r="D6681" s="68"/>
      <c r="E6681" s="10"/>
      <c r="F6681" s="69"/>
      <c r="G6681" s="68"/>
      <c r="H6681" s="70"/>
      <c r="BA6681" s="4"/>
      <c r="BB6681" s="4"/>
    </row>
    <row r="6682" spans="1:54" x14ac:dyDescent="0.3">
      <c r="A6682" s="66"/>
      <c r="B6682" s="67"/>
      <c r="C6682" s="66"/>
      <c r="D6682" s="68"/>
      <c r="E6682" s="10"/>
      <c r="F6682" s="69"/>
      <c r="G6682" s="68"/>
      <c r="H6682" s="70"/>
      <c r="BA6682" s="4"/>
      <c r="BB6682" s="4"/>
    </row>
    <row r="6683" spans="1:54" x14ac:dyDescent="0.3">
      <c r="A6683" s="66"/>
      <c r="B6683" s="67"/>
      <c r="C6683" s="66"/>
      <c r="D6683" s="68"/>
      <c r="E6683" s="10"/>
      <c r="F6683" s="69"/>
      <c r="G6683" s="68"/>
      <c r="H6683" s="70"/>
      <c r="BA6683" s="4"/>
      <c r="BB6683" s="4"/>
    </row>
    <row r="6684" spans="1:54" x14ac:dyDescent="0.3">
      <c r="A6684" s="66"/>
      <c r="B6684" s="67"/>
      <c r="C6684" s="66"/>
      <c r="D6684" s="68"/>
      <c r="E6684" s="10"/>
      <c r="F6684" s="69"/>
      <c r="G6684" s="68"/>
      <c r="H6684" s="70"/>
      <c r="BA6684" s="4"/>
      <c r="BB6684" s="4"/>
    </row>
    <row r="6685" spans="1:54" x14ac:dyDescent="0.3">
      <c r="A6685" s="66"/>
      <c r="B6685" s="67"/>
      <c r="C6685" s="66"/>
      <c r="D6685" s="68"/>
      <c r="E6685" s="10"/>
      <c r="F6685" s="69"/>
      <c r="G6685" s="68"/>
      <c r="H6685" s="70"/>
      <c r="BA6685" s="4"/>
      <c r="BB6685" s="4"/>
    </row>
    <row r="6686" spans="1:54" x14ac:dyDescent="0.3">
      <c r="A6686" s="66"/>
      <c r="B6686" s="67"/>
      <c r="C6686" s="66"/>
      <c r="D6686" s="68"/>
      <c r="E6686" s="10"/>
      <c r="F6686" s="69"/>
      <c r="G6686" s="68"/>
      <c r="H6686" s="70"/>
      <c r="BA6686" s="4"/>
      <c r="BB6686" s="4"/>
    </row>
    <row r="6687" spans="1:54" x14ac:dyDescent="0.3">
      <c r="A6687" s="66"/>
      <c r="B6687" s="67"/>
      <c r="C6687" s="66"/>
      <c r="D6687" s="68"/>
      <c r="E6687" s="10"/>
      <c r="F6687" s="69"/>
      <c r="G6687" s="68"/>
      <c r="H6687" s="70"/>
      <c r="BA6687" s="4"/>
      <c r="BB6687" s="4"/>
    </row>
    <row r="6688" spans="1:54" x14ac:dyDescent="0.3">
      <c r="A6688" s="66"/>
      <c r="B6688" s="67"/>
      <c r="C6688" s="66"/>
      <c r="D6688" s="68"/>
      <c r="E6688" s="10"/>
      <c r="F6688" s="69"/>
      <c r="G6688" s="68"/>
      <c r="H6688" s="70"/>
      <c r="BA6688" s="4"/>
      <c r="BB6688" s="4"/>
    </row>
    <row r="6689" spans="1:54" x14ac:dyDescent="0.3">
      <c r="A6689" s="66"/>
      <c r="B6689" s="67"/>
      <c r="C6689" s="66"/>
      <c r="D6689" s="68"/>
      <c r="E6689" s="10"/>
      <c r="F6689" s="69"/>
      <c r="G6689" s="68"/>
      <c r="H6689" s="70"/>
      <c r="BA6689" s="4"/>
      <c r="BB6689" s="4"/>
    </row>
    <row r="6690" spans="1:54" x14ac:dyDescent="0.3">
      <c r="A6690" s="66"/>
      <c r="B6690" s="67"/>
      <c r="C6690" s="66"/>
      <c r="D6690" s="68"/>
      <c r="E6690" s="10"/>
      <c r="F6690" s="69"/>
      <c r="G6690" s="68"/>
      <c r="H6690" s="70"/>
      <c r="BA6690" s="4"/>
      <c r="BB6690" s="4"/>
    </row>
    <row r="6691" spans="1:54" x14ac:dyDescent="0.3">
      <c r="A6691" s="66"/>
      <c r="B6691" s="67"/>
      <c r="C6691" s="66"/>
      <c r="D6691" s="68"/>
      <c r="E6691" s="10"/>
      <c r="F6691" s="69"/>
      <c r="G6691" s="68"/>
      <c r="H6691" s="70"/>
      <c r="BA6691" s="4"/>
      <c r="BB6691" s="4"/>
    </row>
    <row r="6692" spans="1:54" x14ac:dyDescent="0.3">
      <c r="A6692" s="66"/>
      <c r="B6692" s="67"/>
      <c r="C6692" s="66"/>
      <c r="D6692" s="68"/>
      <c r="E6692" s="10"/>
      <c r="F6692" s="69"/>
      <c r="G6692" s="68"/>
      <c r="H6692" s="70"/>
      <c r="BA6692" s="4"/>
      <c r="BB6692" s="4"/>
    </row>
    <row r="6693" spans="1:54" x14ac:dyDescent="0.3">
      <c r="A6693" s="66"/>
      <c r="B6693" s="67"/>
      <c r="C6693" s="66"/>
      <c r="D6693" s="68"/>
      <c r="E6693" s="10"/>
      <c r="F6693" s="69"/>
      <c r="G6693" s="68"/>
      <c r="H6693" s="70"/>
      <c r="BA6693" s="4"/>
      <c r="BB6693" s="4"/>
    </row>
    <row r="6694" spans="1:54" x14ac:dyDescent="0.3">
      <c r="A6694" s="66"/>
      <c r="B6694" s="67"/>
      <c r="C6694" s="66"/>
      <c r="D6694" s="68"/>
      <c r="E6694" s="10"/>
      <c r="F6694" s="69"/>
      <c r="G6694" s="68"/>
      <c r="H6694" s="70"/>
      <c r="BA6694" s="4"/>
      <c r="BB6694" s="4"/>
    </row>
    <row r="6695" spans="1:54" x14ac:dyDescent="0.3">
      <c r="A6695" s="66"/>
      <c r="B6695" s="67"/>
      <c r="C6695" s="66"/>
      <c r="D6695" s="68"/>
      <c r="E6695" s="10"/>
      <c r="F6695" s="69"/>
      <c r="G6695" s="68"/>
      <c r="H6695" s="70"/>
      <c r="BA6695" s="4"/>
      <c r="BB6695" s="4"/>
    </row>
    <row r="6696" spans="1:54" x14ac:dyDescent="0.3">
      <c r="A6696" s="66"/>
      <c r="B6696" s="67"/>
      <c r="C6696" s="66"/>
      <c r="D6696" s="68"/>
      <c r="E6696" s="10"/>
      <c r="F6696" s="69"/>
      <c r="G6696" s="68"/>
      <c r="H6696" s="70"/>
      <c r="BA6696" s="4"/>
      <c r="BB6696" s="4"/>
    </row>
    <row r="6697" spans="1:54" x14ac:dyDescent="0.3">
      <c r="A6697" s="66"/>
      <c r="B6697" s="67"/>
      <c r="C6697" s="66"/>
      <c r="D6697" s="68"/>
      <c r="E6697" s="10"/>
      <c r="F6697" s="69"/>
      <c r="G6697" s="68"/>
      <c r="H6697" s="70"/>
      <c r="BA6697" s="4"/>
      <c r="BB6697" s="4"/>
    </row>
    <row r="6698" spans="1:54" x14ac:dyDescent="0.3">
      <c r="A6698" s="66"/>
      <c r="B6698" s="67"/>
      <c r="C6698" s="66"/>
      <c r="D6698" s="68"/>
      <c r="E6698" s="10"/>
      <c r="F6698" s="69"/>
      <c r="G6698" s="68"/>
      <c r="H6698" s="70"/>
      <c r="BA6698" s="4"/>
      <c r="BB6698" s="4"/>
    </row>
    <row r="6699" spans="1:54" x14ac:dyDescent="0.3">
      <c r="A6699" s="66"/>
      <c r="B6699" s="67"/>
      <c r="C6699" s="66"/>
      <c r="D6699" s="68"/>
      <c r="E6699" s="10"/>
      <c r="F6699" s="69"/>
      <c r="G6699" s="68"/>
      <c r="H6699" s="70"/>
      <c r="BA6699" s="4"/>
      <c r="BB6699" s="4"/>
    </row>
    <row r="6700" spans="1:54" x14ac:dyDescent="0.3">
      <c r="A6700" s="66"/>
      <c r="B6700" s="67"/>
      <c r="C6700" s="66"/>
      <c r="D6700" s="68"/>
      <c r="E6700" s="10"/>
      <c r="F6700" s="69"/>
      <c r="G6700" s="68"/>
      <c r="H6700" s="70"/>
      <c r="BA6700" s="4"/>
      <c r="BB6700" s="4"/>
    </row>
    <row r="6701" spans="1:54" x14ac:dyDescent="0.3">
      <c r="A6701" s="66"/>
      <c r="B6701" s="67"/>
      <c r="C6701" s="66"/>
      <c r="D6701" s="68"/>
      <c r="E6701" s="10"/>
      <c r="F6701" s="69"/>
      <c r="G6701" s="68"/>
      <c r="H6701" s="70"/>
      <c r="BA6701" s="4"/>
      <c r="BB6701" s="4"/>
    </row>
    <row r="6702" spans="1:54" x14ac:dyDescent="0.3">
      <c r="A6702" s="66"/>
      <c r="B6702" s="67"/>
      <c r="C6702" s="66"/>
      <c r="D6702" s="68"/>
      <c r="E6702" s="10"/>
      <c r="F6702" s="69"/>
      <c r="G6702" s="68"/>
      <c r="H6702" s="70"/>
      <c r="BA6702" s="4"/>
      <c r="BB6702" s="4"/>
    </row>
    <row r="6703" spans="1:54" x14ac:dyDescent="0.3">
      <c r="A6703" s="66"/>
      <c r="B6703" s="67"/>
      <c r="C6703" s="66"/>
      <c r="D6703" s="68"/>
      <c r="E6703" s="10"/>
      <c r="F6703" s="69"/>
      <c r="G6703" s="68"/>
      <c r="H6703" s="70"/>
      <c r="BA6703" s="4"/>
      <c r="BB6703" s="4"/>
    </row>
    <row r="6704" spans="1:54" x14ac:dyDescent="0.3">
      <c r="A6704" s="66"/>
      <c r="B6704" s="67"/>
      <c r="C6704" s="66"/>
      <c r="D6704" s="68"/>
      <c r="E6704" s="10"/>
      <c r="F6704" s="69"/>
      <c r="G6704" s="68"/>
      <c r="H6704" s="70"/>
      <c r="BA6704" s="4"/>
      <c r="BB6704" s="4"/>
    </row>
    <row r="6705" spans="1:54" x14ac:dyDescent="0.3">
      <c r="A6705" s="66"/>
      <c r="B6705" s="67"/>
      <c r="C6705" s="66"/>
      <c r="D6705" s="68"/>
      <c r="E6705" s="10"/>
      <c r="F6705" s="69"/>
      <c r="G6705" s="68"/>
      <c r="H6705" s="70"/>
      <c r="BA6705" s="4"/>
      <c r="BB6705" s="4"/>
    </row>
    <row r="6706" spans="1:54" x14ac:dyDescent="0.3">
      <c r="A6706" s="66"/>
      <c r="B6706" s="67"/>
      <c r="C6706" s="66"/>
      <c r="D6706" s="68"/>
      <c r="E6706" s="10"/>
      <c r="F6706" s="69"/>
      <c r="G6706" s="68"/>
      <c r="H6706" s="70"/>
      <c r="BA6706" s="4"/>
      <c r="BB6706" s="4"/>
    </row>
    <row r="6707" spans="1:54" x14ac:dyDescent="0.3">
      <c r="A6707" s="66"/>
      <c r="B6707" s="67"/>
      <c r="C6707" s="66"/>
      <c r="D6707" s="68"/>
      <c r="E6707" s="10"/>
      <c r="F6707" s="69"/>
      <c r="G6707" s="68"/>
      <c r="H6707" s="70"/>
      <c r="BA6707" s="4"/>
      <c r="BB6707" s="4"/>
    </row>
    <row r="6708" spans="1:54" x14ac:dyDescent="0.3">
      <c r="A6708" s="66"/>
      <c r="B6708" s="67"/>
      <c r="C6708" s="66"/>
      <c r="D6708" s="68"/>
      <c r="E6708" s="10"/>
      <c r="F6708" s="69"/>
      <c r="G6708" s="68"/>
      <c r="H6708" s="70"/>
      <c r="BA6708" s="4"/>
      <c r="BB6708" s="4"/>
    </row>
    <row r="6709" spans="1:54" x14ac:dyDescent="0.3">
      <c r="A6709" s="66"/>
      <c r="B6709" s="67"/>
      <c r="C6709" s="66"/>
      <c r="D6709" s="68"/>
      <c r="E6709" s="10"/>
      <c r="F6709" s="69"/>
      <c r="G6709" s="68"/>
      <c r="H6709" s="70"/>
      <c r="BA6709" s="4"/>
      <c r="BB6709" s="4"/>
    </row>
    <row r="6710" spans="1:54" x14ac:dyDescent="0.3">
      <c r="A6710" s="66"/>
      <c r="B6710" s="67"/>
      <c r="C6710" s="66"/>
      <c r="D6710" s="68"/>
      <c r="E6710" s="10"/>
      <c r="F6710" s="69"/>
      <c r="G6710" s="68"/>
      <c r="H6710" s="70"/>
      <c r="BA6710" s="4"/>
      <c r="BB6710" s="4"/>
    </row>
    <row r="6711" spans="1:54" x14ac:dyDescent="0.3">
      <c r="A6711" s="66"/>
      <c r="B6711" s="67"/>
      <c r="C6711" s="66"/>
      <c r="D6711" s="68"/>
      <c r="E6711" s="10"/>
      <c r="F6711" s="69"/>
      <c r="G6711" s="68"/>
      <c r="H6711" s="70"/>
      <c r="BA6711" s="4"/>
      <c r="BB6711" s="4"/>
    </row>
    <row r="6712" spans="1:54" x14ac:dyDescent="0.3">
      <c r="A6712" s="66"/>
      <c r="B6712" s="67"/>
      <c r="C6712" s="66"/>
      <c r="D6712" s="68"/>
      <c r="E6712" s="10"/>
      <c r="F6712" s="69"/>
      <c r="G6712" s="68"/>
      <c r="H6712" s="70"/>
      <c r="BA6712" s="4"/>
      <c r="BB6712" s="4"/>
    </row>
    <row r="6713" spans="1:54" x14ac:dyDescent="0.3">
      <c r="A6713" s="66"/>
      <c r="B6713" s="67"/>
      <c r="C6713" s="66"/>
      <c r="D6713" s="68"/>
      <c r="E6713" s="10"/>
      <c r="F6713" s="69"/>
      <c r="G6713" s="68"/>
      <c r="H6713" s="70"/>
      <c r="BA6713" s="4"/>
      <c r="BB6713" s="4"/>
    </row>
    <row r="6714" spans="1:54" x14ac:dyDescent="0.3">
      <c r="A6714" s="66"/>
      <c r="B6714" s="67"/>
      <c r="C6714" s="66"/>
      <c r="D6714" s="68"/>
      <c r="E6714" s="10"/>
      <c r="F6714" s="69"/>
      <c r="G6714" s="68"/>
      <c r="H6714" s="70"/>
      <c r="BA6714" s="4"/>
      <c r="BB6714" s="4"/>
    </row>
    <row r="6715" spans="1:54" x14ac:dyDescent="0.3">
      <c r="A6715" s="66"/>
      <c r="B6715" s="67"/>
      <c r="C6715" s="66"/>
      <c r="D6715" s="68"/>
      <c r="E6715" s="10"/>
      <c r="F6715" s="69"/>
      <c r="G6715" s="68"/>
      <c r="H6715" s="70"/>
      <c r="BA6715" s="4"/>
      <c r="BB6715" s="4"/>
    </row>
    <row r="6716" spans="1:54" x14ac:dyDescent="0.3">
      <c r="A6716" s="66"/>
      <c r="B6716" s="67"/>
      <c r="C6716" s="66"/>
      <c r="D6716" s="68"/>
      <c r="E6716" s="10"/>
      <c r="F6716" s="69"/>
      <c r="G6716" s="68"/>
      <c r="H6716" s="70"/>
      <c r="BA6716" s="4"/>
      <c r="BB6716" s="4"/>
    </row>
    <row r="6717" spans="1:54" x14ac:dyDescent="0.3">
      <c r="A6717" s="66"/>
      <c r="B6717" s="67"/>
      <c r="C6717" s="66"/>
      <c r="D6717" s="68"/>
      <c r="E6717" s="10"/>
      <c r="F6717" s="69"/>
      <c r="G6717" s="68"/>
      <c r="H6717" s="70"/>
      <c r="BA6717" s="4"/>
      <c r="BB6717" s="4"/>
    </row>
    <row r="6718" spans="1:54" x14ac:dyDescent="0.3">
      <c r="A6718" s="66"/>
      <c r="B6718" s="67"/>
      <c r="C6718" s="66"/>
      <c r="D6718" s="68"/>
      <c r="E6718" s="10"/>
      <c r="F6718" s="69"/>
      <c r="G6718" s="68"/>
      <c r="H6718" s="70"/>
      <c r="BA6718" s="4"/>
      <c r="BB6718" s="4"/>
    </row>
    <row r="6719" spans="1:54" x14ac:dyDescent="0.3">
      <c r="A6719" s="66"/>
      <c r="B6719" s="67"/>
      <c r="C6719" s="66"/>
      <c r="D6719" s="68"/>
      <c r="E6719" s="10"/>
      <c r="F6719" s="69"/>
      <c r="G6719" s="68"/>
      <c r="H6719" s="70"/>
      <c r="BA6719" s="4"/>
      <c r="BB6719" s="4"/>
    </row>
    <row r="6720" spans="1:54" x14ac:dyDescent="0.3">
      <c r="A6720" s="66"/>
      <c r="B6720" s="67"/>
      <c r="C6720" s="66"/>
      <c r="D6720" s="68"/>
      <c r="E6720" s="10"/>
      <c r="F6720" s="69"/>
      <c r="G6720" s="68"/>
      <c r="H6720" s="70"/>
      <c r="BA6720" s="4"/>
      <c r="BB6720" s="4"/>
    </row>
    <row r="6721" spans="1:54" x14ac:dyDescent="0.3">
      <c r="A6721" s="66"/>
      <c r="B6721" s="67"/>
      <c r="C6721" s="66"/>
      <c r="D6721" s="68"/>
      <c r="E6721" s="10"/>
      <c r="F6721" s="69"/>
      <c r="G6721" s="68"/>
      <c r="H6721" s="70"/>
      <c r="BA6721" s="4"/>
      <c r="BB6721" s="4"/>
    </row>
    <row r="6722" spans="1:54" x14ac:dyDescent="0.3">
      <c r="A6722" s="66"/>
      <c r="B6722" s="67"/>
      <c r="C6722" s="66"/>
      <c r="D6722" s="68"/>
      <c r="E6722" s="10"/>
      <c r="F6722" s="69"/>
      <c r="G6722" s="68"/>
      <c r="H6722" s="70"/>
      <c r="BA6722" s="4"/>
      <c r="BB6722" s="4"/>
    </row>
    <row r="6723" spans="1:54" x14ac:dyDescent="0.3">
      <c r="A6723" s="66"/>
      <c r="B6723" s="67"/>
      <c r="C6723" s="66"/>
      <c r="D6723" s="68"/>
      <c r="E6723" s="10"/>
      <c r="F6723" s="69"/>
      <c r="G6723" s="68"/>
      <c r="H6723" s="70"/>
      <c r="BA6723" s="4"/>
      <c r="BB6723" s="4"/>
    </row>
    <row r="6724" spans="1:54" x14ac:dyDescent="0.3">
      <c r="A6724" s="66"/>
      <c r="B6724" s="67"/>
      <c r="C6724" s="66"/>
      <c r="D6724" s="68"/>
      <c r="E6724" s="10"/>
      <c r="F6724" s="69"/>
      <c r="G6724" s="68"/>
      <c r="H6724" s="70"/>
      <c r="BA6724" s="4"/>
      <c r="BB6724" s="4"/>
    </row>
    <row r="6725" spans="1:54" x14ac:dyDescent="0.3">
      <c r="A6725" s="66"/>
      <c r="B6725" s="67"/>
      <c r="C6725" s="66"/>
      <c r="D6725" s="68"/>
      <c r="E6725" s="10"/>
      <c r="F6725" s="69"/>
      <c r="G6725" s="68"/>
      <c r="H6725" s="70"/>
      <c r="BA6725" s="4"/>
      <c r="BB6725" s="4"/>
    </row>
    <row r="6726" spans="1:54" x14ac:dyDescent="0.3">
      <c r="A6726" s="66"/>
      <c r="B6726" s="67"/>
      <c r="C6726" s="66"/>
      <c r="D6726" s="68"/>
      <c r="E6726" s="10"/>
      <c r="F6726" s="69"/>
      <c r="G6726" s="68"/>
      <c r="H6726" s="70"/>
      <c r="BA6726" s="4"/>
      <c r="BB6726" s="4"/>
    </row>
    <row r="6727" spans="1:54" x14ac:dyDescent="0.3">
      <c r="A6727" s="66"/>
      <c r="B6727" s="67"/>
      <c r="C6727" s="66"/>
      <c r="D6727" s="68"/>
      <c r="E6727" s="10"/>
      <c r="F6727" s="69"/>
      <c r="G6727" s="68"/>
      <c r="H6727" s="70"/>
      <c r="BA6727" s="4"/>
      <c r="BB6727" s="4"/>
    </row>
    <row r="6728" spans="1:54" x14ac:dyDescent="0.3">
      <c r="A6728" s="66"/>
      <c r="B6728" s="67"/>
      <c r="C6728" s="66"/>
      <c r="D6728" s="68"/>
      <c r="E6728" s="10"/>
      <c r="F6728" s="69"/>
      <c r="G6728" s="68"/>
      <c r="H6728" s="70"/>
      <c r="BA6728" s="4"/>
      <c r="BB6728" s="4"/>
    </row>
    <row r="6729" spans="1:54" x14ac:dyDescent="0.3">
      <c r="A6729" s="66"/>
      <c r="B6729" s="67"/>
      <c r="C6729" s="66"/>
      <c r="D6729" s="68"/>
      <c r="E6729" s="10"/>
      <c r="F6729" s="69"/>
      <c r="G6729" s="68"/>
      <c r="H6729" s="70"/>
      <c r="BA6729" s="4"/>
      <c r="BB6729" s="4"/>
    </row>
    <row r="6730" spans="1:54" x14ac:dyDescent="0.3">
      <c r="A6730" s="66"/>
      <c r="B6730" s="67"/>
      <c r="C6730" s="66"/>
      <c r="D6730" s="68"/>
      <c r="E6730" s="10"/>
      <c r="F6730" s="69"/>
      <c r="G6730" s="68"/>
      <c r="H6730" s="70"/>
      <c r="BA6730" s="4"/>
      <c r="BB6730" s="4"/>
    </row>
    <row r="6731" spans="1:54" x14ac:dyDescent="0.3">
      <c r="A6731" s="66"/>
      <c r="B6731" s="67"/>
      <c r="C6731" s="66"/>
      <c r="D6731" s="68"/>
      <c r="E6731" s="10"/>
      <c r="F6731" s="69"/>
      <c r="G6731" s="68"/>
      <c r="H6731" s="70"/>
      <c r="BA6731" s="4"/>
      <c r="BB6731" s="4"/>
    </row>
    <row r="6732" spans="1:54" x14ac:dyDescent="0.3">
      <c r="A6732" s="66"/>
      <c r="B6732" s="67"/>
      <c r="C6732" s="66"/>
      <c r="D6732" s="68"/>
      <c r="E6732" s="10"/>
      <c r="F6732" s="69"/>
      <c r="G6732" s="68"/>
      <c r="H6732" s="70"/>
      <c r="BA6732" s="4"/>
      <c r="BB6732" s="4"/>
    </row>
    <row r="6733" spans="1:54" x14ac:dyDescent="0.3">
      <c r="A6733" s="66"/>
      <c r="B6733" s="67"/>
      <c r="C6733" s="66"/>
      <c r="D6733" s="68"/>
      <c r="E6733" s="10"/>
      <c r="F6733" s="69"/>
      <c r="G6733" s="68"/>
      <c r="H6733" s="70"/>
      <c r="BA6733" s="4"/>
      <c r="BB6733" s="4"/>
    </row>
    <row r="6734" spans="1:54" x14ac:dyDescent="0.3">
      <c r="A6734" s="66"/>
      <c r="B6734" s="67"/>
      <c r="C6734" s="66"/>
      <c r="D6734" s="68"/>
      <c r="E6734" s="10"/>
      <c r="F6734" s="69"/>
      <c r="G6734" s="68"/>
      <c r="H6734" s="70"/>
      <c r="BA6734" s="4"/>
      <c r="BB6734" s="4"/>
    </row>
    <row r="6735" spans="1:54" x14ac:dyDescent="0.3">
      <c r="A6735" s="66"/>
      <c r="B6735" s="67"/>
      <c r="C6735" s="66"/>
      <c r="D6735" s="68"/>
      <c r="E6735" s="10"/>
      <c r="F6735" s="69"/>
      <c r="G6735" s="68"/>
      <c r="H6735" s="70"/>
      <c r="BA6735" s="4"/>
      <c r="BB6735" s="4"/>
    </row>
    <row r="6736" spans="1:54" x14ac:dyDescent="0.3">
      <c r="A6736" s="66"/>
      <c r="B6736" s="67"/>
      <c r="C6736" s="66"/>
      <c r="D6736" s="68"/>
      <c r="E6736" s="10"/>
      <c r="F6736" s="69"/>
      <c r="G6736" s="68"/>
      <c r="H6736" s="70"/>
      <c r="BA6736" s="4"/>
      <c r="BB6736" s="4"/>
    </row>
    <row r="6737" spans="1:54" x14ac:dyDescent="0.3">
      <c r="A6737" s="66"/>
      <c r="B6737" s="67"/>
      <c r="C6737" s="66"/>
      <c r="D6737" s="68"/>
      <c r="E6737" s="10"/>
      <c r="F6737" s="69"/>
      <c r="G6737" s="68"/>
      <c r="H6737" s="70"/>
      <c r="BA6737" s="4"/>
      <c r="BB6737" s="4"/>
    </row>
    <row r="6738" spans="1:54" x14ac:dyDescent="0.3">
      <c r="A6738" s="66"/>
      <c r="B6738" s="67"/>
      <c r="C6738" s="66"/>
      <c r="D6738" s="68"/>
      <c r="E6738" s="10"/>
      <c r="F6738" s="69"/>
      <c r="G6738" s="68"/>
      <c r="H6738" s="70"/>
      <c r="BA6738" s="4"/>
      <c r="BB6738" s="4"/>
    </row>
    <row r="6739" spans="1:54" x14ac:dyDescent="0.3">
      <c r="A6739" s="66"/>
      <c r="B6739" s="67"/>
      <c r="C6739" s="66"/>
      <c r="D6739" s="68"/>
      <c r="E6739" s="10"/>
      <c r="F6739" s="69"/>
      <c r="G6739" s="68"/>
      <c r="H6739" s="70"/>
      <c r="BA6739" s="4"/>
      <c r="BB6739" s="4"/>
    </row>
    <row r="6740" spans="1:54" x14ac:dyDescent="0.3">
      <c r="A6740" s="66"/>
      <c r="B6740" s="67"/>
      <c r="C6740" s="66"/>
      <c r="D6740" s="68"/>
      <c r="E6740" s="10"/>
      <c r="F6740" s="69"/>
      <c r="G6740" s="68"/>
      <c r="H6740" s="70"/>
      <c r="BA6740" s="4"/>
      <c r="BB6740" s="4"/>
    </row>
    <row r="6741" spans="1:54" x14ac:dyDescent="0.3">
      <c r="A6741" s="66"/>
      <c r="B6741" s="67"/>
      <c r="C6741" s="66"/>
      <c r="D6741" s="68"/>
      <c r="E6741" s="10"/>
      <c r="F6741" s="69"/>
      <c r="G6741" s="68"/>
      <c r="H6741" s="70"/>
      <c r="BA6741" s="4"/>
      <c r="BB6741" s="4"/>
    </row>
    <row r="6742" spans="1:54" x14ac:dyDescent="0.3">
      <c r="A6742" s="66"/>
      <c r="B6742" s="67"/>
      <c r="C6742" s="66"/>
      <c r="D6742" s="68"/>
      <c r="E6742" s="10"/>
      <c r="F6742" s="69"/>
      <c r="G6742" s="68"/>
      <c r="H6742" s="70"/>
      <c r="BA6742" s="4"/>
      <c r="BB6742" s="4"/>
    </row>
    <row r="6743" spans="1:54" x14ac:dyDescent="0.3">
      <c r="A6743" s="66"/>
      <c r="B6743" s="67"/>
      <c r="C6743" s="66"/>
      <c r="D6743" s="68"/>
      <c r="E6743" s="10"/>
      <c r="F6743" s="69"/>
      <c r="G6743" s="68"/>
      <c r="H6743" s="70"/>
      <c r="BA6743" s="4"/>
      <c r="BB6743" s="4"/>
    </row>
    <row r="6744" spans="1:54" x14ac:dyDescent="0.3">
      <c r="A6744" s="66"/>
      <c r="B6744" s="67"/>
      <c r="C6744" s="66"/>
      <c r="D6744" s="68"/>
      <c r="E6744" s="10"/>
      <c r="F6744" s="69"/>
      <c r="G6744" s="68"/>
      <c r="H6744" s="70"/>
      <c r="BA6744" s="4"/>
      <c r="BB6744" s="4"/>
    </row>
    <row r="6745" spans="1:54" x14ac:dyDescent="0.3">
      <c r="A6745" s="66"/>
      <c r="B6745" s="67"/>
      <c r="C6745" s="66"/>
      <c r="D6745" s="68"/>
      <c r="E6745" s="10"/>
      <c r="F6745" s="69"/>
      <c r="G6745" s="68"/>
      <c r="H6745" s="70"/>
      <c r="BA6745" s="4"/>
      <c r="BB6745" s="4"/>
    </row>
    <row r="6746" spans="1:54" x14ac:dyDescent="0.3">
      <c r="A6746" s="66"/>
      <c r="B6746" s="67"/>
      <c r="C6746" s="66"/>
      <c r="D6746" s="68"/>
      <c r="E6746" s="10"/>
      <c r="F6746" s="69"/>
      <c r="G6746" s="68"/>
      <c r="H6746" s="70"/>
      <c r="BA6746" s="4"/>
      <c r="BB6746" s="4"/>
    </row>
    <row r="6747" spans="1:54" x14ac:dyDescent="0.3">
      <c r="A6747" s="66"/>
      <c r="B6747" s="67"/>
      <c r="C6747" s="66"/>
      <c r="D6747" s="68"/>
      <c r="E6747" s="10"/>
      <c r="F6747" s="69"/>
      <c r="G6747" s="68"/>
      <c r="H6747" s="70"/>
      <c r="BA6747" s="4"/>
      <c r="BB6747" s="4"/>
    </row>
    <row r="6748" spans="1:54" x14ac:dyDescent="0.3">
      <c r="A6748" s="66"/>
      <c r="B6748" s="67"/>
      <c r="C6748" s="66"/>
      <c r="D6748" s="68"/>
      <c r="E6748" s="10"/>
      <c r="F6748" s="69"/>
      <c r="G6748" s="68"/>
      <c r="H6748" s="70"/>
      <c r="BA6748" s="4"/>
      <c r="BB6748" s="4"/>
    </row>
    <row r="6749" spans="1:54" x14ac:dyDescent="0.3">
      <c r="A6749" s="66"/>
      <c r="B6749" s="67"/>
      <c r="C6749" s="66"/>
      <c r="D6749" s="68"/>
      <c r="E6749" s="10"/>
      <c r="F6749" s="69"/>
      <c r="G6749" s="68"/>
      <c r="H6749" s="70"/>
      <c r="BA6749" s="4"/>
      <c r="BB6749" s="4"/>
    </row>
    <row r="6750" spans="1:54" x14ac:dyDescent="0.3">
      <c r="A6750" s="66"/>
      <c r="B6750" s="67"/>
      <c r="C6750" s="66"/>
      <c r="D6750" s="68"/>
      <c r="E6750" s="10"/>
      <c r="F6750" s="69"/>
      <c r="G6750" s="68"/>
      <c r="H6750" s="70"/>
      <c r="BA6750" s="4"/>
      <c r="BB6750" s="4"/>
    </row>
    <row r="6751" spans="1:54" x14ac:dyDescent="0.3">
      <c r="A6751" s="66"/>
      <c r="B6751" s="67"/>
      <c r="C6751" s="66"/>
      <c r="D6751" s="68"/>
      <c r="E6751" s="10"/>
      <c r="F6751" s="69"/>
      <c r="G6751" s="68"/>
      <c r="H6751" s="70"/>
      <c r="BA6751" s="4"/>
      <c r="BB6751" s="4"/>
    </row>
    <row r="6752" spans="1:54" x14ac:dyDescent="0.3">
      <c r="A6752" s="66"/>
      <c r="B6752" s="67"/>
      <c r="C6752" s="66"/>
      <c r="D6752" s="68"/>
      <c r="E6752" s="10"/>
      <c r="F6752" s="69"/>
      <c r="G6752" s="68"/>
      <c r="H6752" s="70"/>
      <c r="BA6752" s="4"/>
      <c r="BB6752" s="4"/>
    </row>
    <row r="6753" spans="1:54" x14ac:dyDescent="0.3">
      <c r="A6753" s="66"/>
      <c r="B6753" s="67"/>
      <c r="C6753" s="66"/>
      <c r="D6753" s="68"/>
      <c r="E6753" s="10"/>
      <c r="F6753" s="69"/>
      <c r="G6753" s="68"/>
      <c r="H6753" s="70"/>
      <c r="BA6753" s="4"/>
      <c r="BB6753" s="4"/>
    </row>
    <row r="6754" spans="1:54" x14ac:dyDescent="0.3">
      <c r="A6754" s="66"/>
      <c r="B6754" s="67"/>
      <c r="C6754" s="66"/>
      <c r="D6754" s="68"/>
      <c r="E6754" s="10"/>
      <c r="F6754" s="69"/>
      <c r="G6754" s="68"/>
      <c r="H6754" s="70"/>
      <c r="BA6754" s="4"/>
      <c r="BB6754" s="4"/>
    </row>
    <row r="6755" spans="1:54" x14ac:dyDescent="0.3">
      <c r="A6755" s="66"/>
      <c r="B6755" s="67"/>
      <c r="C6755" s="66"/>
      <c r="D6755" s="68"/>
      <c r="E6755" s="10"/>
      <c r="F6755" s="69"/>
      <c r="G6755" s="68"/>
      <c r="H6755" s="70"/>
      <c r="BA6755" s="4"/>
      <c r="BB6755" s="4"/>
    </row>
    <row r="6756" spans="1:54" x14ac:dyDescent="0.3">
      <c r="A6756" s="66"/>
      <c r="B6756" s="67"/>
      <c r="C6756" s="66"/>
      <c r="D6756" s="68"/>
      <c r="E6756" s="10"/>
      <c r="F6756" s="69"/>
      <c r="G6756" s="68"/>
      <c r="H6756" s="70"/>
      <c r="BA6756" s="4"/>
      <c r="BB6756" s="4"/>
    </row>
    <row r="6757" spans="1:54" x14ac:dyDescent="0.3">
      <c r="A6757" s="66"/>
      <c r="B6757" s="67"/>
      <c r="C6757" s="66"/>
      <c r="D6757" s="68"/>
      <c r="E6757" s="10"/>
      <c r="F6757" s="69"/>
      <c r="G6757" s="68"/>
      <c r="H6757" s="70"/>
      <c r="BA6757" s="4"/>
      <c r="BB6757" s="4"/>
    </row>
    <row r="6758" spans="1:54" x14ac:dyDescent="0.3">
      <c r="A6758" s="66"/>
      <c r="B6758" s="67"/>
      <c r="C6758" s="66"/>
      <c r="D6758" s="68"/>
      <c r="E6758" s="10"/>
      <c r="F6758" s="69"/>
      <c r="G6758" s="68"/>
      <c r="H6758" s="70"/>
      <c r="BA6758" s="4"/>
      <c r="BB6758" s="4"/>
    </row>
    <row r="6759" spans="1:54" x14ac:dyDescent="0.3">
      <c r="A6759" s="66"/>
      <c r="B6759" s="67"/>
      <c r="C6759" s="66"/>
      <c r="D6759" s="68"/>
      <c r="E6759" s="10"/>
      <c r="F6759" s="69"/>
      <c r="G6759" s="68"/>
      <c r="H6759" s="70"/>
      <c r="BA6759" s="4"/>
      <c r="BB6759" s="4"/>
    </row>
    <row r="6760" spans="1:54" x14ac:dyDescent="0.3">
      <c r="A6760" s="66"/>
      <c r="B6760" s="67"/>
      <c r="C6760" s="66"/>
      <c r="D6760" s="68"/>
      <c r="E6760" s="10"/>
      <c r="F6760" s="69"/>
      <c r="G6760" s="68"/>
      <c r="H6760" s="70"/>
      <c r="BA6760" s="4"/>
      <c r="BB6760" s="4"/>
    </row>
    <row r="6761" spans="1:54" x14ac:dyDescent="0.3">
      <c r="A6761" s="66"/>
      <c r="B6761" s="67"/>
      <c r="C6761" s="66"/>
      <c r="D6761" s="68"/>
      <c r="E6761" s="10"/>
      <c r="F6761" s="69"/>
      <c r="G6761" s="68"/>
      <c r="H6761" s="70"/>
      <c r="BA6761" s="4"/>
      <c r="BB6761" s="4"/>
    </row>
    <row r="6762" spans="1:54" x14ac:dyDescent="0.3">
      <c r="A6762" s="66"/>
      <c r="B6762" s="67"/>
      <c r="C6762" s="66"/>
      <c r="D6762" s="68"/>
      <c r="E6762" s="10"/>
      <c r="F6762" s="69"/>
      <c r="G6762" s="68"/>
      <c r="H6762" s="70"/>
      <c r="BA6762" s="4"/>
      <c r="BB6762" s="4"/>
    </row>
    <row r="6763" spans="1:54" x14ac:dyDescent="0.3">
      <c r="A6763" s="66"/>
      <c r="B6763" s="67"/>
      <c r="C6763" s="66"/>
      <c r="D6763" s="68"/>
      <c r="E6763" s="10"/>
      <c r="F6763" s="69"/>
      <c r="G6763" s="68"/>
      <c r="H6763" s="70"/>
      <c r="BA6763" s="4"/>
      <c r="BB6763" s="4"/>
    </row>
    <row r="6764" spans="1:54" x14ac:dyDescent="0.3">
      <c r="A6764" s="66"/>
      <c r="B6764" s="67"/>
      <c r="C6764" s="66"/>
      <c r="D6764" s="68"/>
      <c r="E6764" s="10"/>
      <c r="F6764" s="69"/>
      <c r="G6764" s="68"/>
      <c r="H6764" s="70"/>
      <c r="BA6764" s="4"/>
      <c r="BB6764" s="4"/>
    </row>
    <row r="6765" spans="1:54" x14ac:dyDescent="0.3">
      <c r="A6765" s="66"/>
      <c r="B6765" s="67"/>
      <c r="C6765" s="66"/>
      <c r="D6765" s="68"/>
      <c r="E6765" s="10"/>
      <c r="F6765" s="69"/>
      <c r="G6765" s="68"/>
      <c r="H6765" s="70"/>
      <c r="BA6765" s="4"/>
      <c r="BB6765" s="4"/>
    </row>
    <row r="6766" spans="1:54" x14ac:dyDescent="0.3">
      <c r="A6766" s="66"/>
      <c r="B6766" s="67"/>
      <c r="C6766" s="66"/>
      <c r="D6766" s="68"/>
      <c r="E6766" s="10"/>
      <c r="F6766" s="69"/>
      <c r="G6766" s="68"/>
      <c r="H6766" s="70"/>
      <c r="BA6766" s="4"/>
      <c r="BB6766" s="4"/>
    </row>
    <row r="6767" spans="1:54" x14ac:dyDescent="0.3">
      <c r="A6767" s="66"/>
      <c r="B6767" s="67"/>
      <c r="C6767" s="66"/>
      <c r="D6767" s="68"/>
      <c r="E6767" s="10"/>
      <c r="F6767" s="69"/>
      <c r="G6767" s="68"/>
      <c r="H6767" s="70"/>
      <c r="BA6767" s="4"/>
      <c r="BB6767" s="4"/>
    </row>
    <row r="6768" spans="1:54" x14ac:dyDescent="0.3">
      <c r="A6768" s="66"/>
      <c r="B6768" s="67"/>
      <c r="C6768" s="66"/>
      <c r="D6768" s="68"/>
      <c r="E6768" s="10"/>
      <c r="F6768" s="69"/>
      <c r="G6768" s="68"/>
      <c r="H6768" s="70"/>
      <c r="BA6768" s="4"/>
      <c r="BB6768" s="4"/>
    </row>
    <row r="6769" spans="1:54" x14ac:dyDescent="0.3">
      <c r="A6769" s="66"/>
      <c r="B6769" s="67"/>
      <c r="C6769" s="66"/>
      <c r="D6769" s="68"/>
      <c r="E6769" s="10"/>
      <c r="F6769" s="69"/>
      <c r="G6769" s="68"/>
      <c r="H6769" s="70"/>
      <c r="BA6769" s="4"/>
      <c r="BB6769" s="4"/>
    </row>
    <row r="6770" spans="1:54" x14ac:dyDescent="0.3">
      <c r="A6770" s="66"/>
      <c r="B6770" s="67"/>
      <c r="C6770" s="66"/>
      <c r="D6770" s="68"/>
      <c r="E6770" s="10"/>
      <c r="F6770" s="69"/>
      <c r="G6770" s="68"/>
      <c r="H6770" s="70"/>
      <c r="BA6770" s="4"/>
      <c r="BB6770" s="4"/>
    </row>
    <row r="6771" spans="1:54" x14ac:dyDescent="0.3">
      <c r="A6771" s="66"/>
      <c r="B6771" s="67"/>
      <c r="C6771" s="66"/>
      <c r="D6771" s="68"/>
      <c r="E6771" s="10"/>
      <c r="F6771" s="69"/>
      <c r="G6771" s="68"/>
      <c r="H6771" s="70"/>
      <c r="BA6771" s="4"/>
      <c r="BB6771" s="4"/>
    </row>
    <row r="6772" spans="1:54" x14ac:dyDescent="0.3">
      <c r="A6772" s="66"/>
      <c r="B6772" s="67"/>
      <c r="C6772" s="66"/>
      <c r="D6772" s="68"/>
      <c r="E6772" s="10"/>
      <c r="F6772" s="69"/>
      <c r="G6772" s="68"/>
      <c r="H6772" s="70"/>
      <c r="BA6772" s="4"/>
      <c r="BB6772" s="4"/>
    </row>
    <row r="6773" spans="1:54" x14ac:dyDescent="0.3">
      <c r="A6773" s="66"/>
      <c r="B6773" s="67"/>
      <c r="C6773" s="66"/>
      <c r="D6773" s="68"/>
      <c r="E6773" s="10"/>
      <c r="F6773" s="69"/>
      <c r="G6773" s="68"/>
      <c r="H6773" s="70"/>
      <c r="BA6773" s="4"/>
      <c r="BB6773" s="4"/>
    </row>
    <row r="6774" spans="1:54" x14ac:dyDescent="0.3">
      <c r="A6774" s="66"/>
      <c r="B6774" s="67"/>
      <c r="C6774" s="66"/>
      <c r="D6774" s="68"/>
      <c r="E6774" s="10"/>
      <c r="F6774" s="69"/>
      <c r="G6774" s="68"/>
      <c r="H6774" s="70"/>
      <c r="BA6774" s="4"/>
      <c r="BB6774" s="4"/>
    </row>
    <row r="6775" spans="1:54" x14ac:dyDescent="0.3">
      <c r="A6775" s="66"/>
      <c r="B6775" s="67"/>
      <c r="C6775" s="66"/>
      <c r="D6775" s="68"/>
      <c r="E6775" s="10"/>
      <c r="F6775" s="69"/>
      <c r="G6775" s="68"/>
      <c r="H6775" s="70"/>
      <c r="BA6775" s="4"/>
      <c r="BB6775" s="4"/>
    </row>
    <row r="6776" spans="1:54" x14ac:dyDescent="0.3">
      <c r="A6776" s="66"/>
      <c r="B6776" s="67"/>
      <c r="C6776" s="66"/>
      <c r="D6776" s="68"/>
      <c r="E6776" s="10"/>
      <c r="F6776" s="69"/>
      <c r="G6776" s="68"/>
      <c r="H6776" s="70"/>
      <c r="BA6776" s="4"/>
      <c r="BB6776" s="4"/>
    </row>
    <row r="6777" spans="1:54" x14ac:dyDescent="0.3">
      <c r="A6777" s="66"/>
      <c r="B6777" s="67"/>
      <c r="C6777" s="66"/>
      <c r="D6777" s="68"/>
      <c r="E6777" s="10"/>
      <c r="F6777" s="69"/>
      <c r="G6777" s="68"/>
      <c r="H6777" s="70"/>
      <c r="BA6777" s="4"/>
      <c r="BB6777" s="4"/>
    </row>
    <row r="6778" spans="1:54" x14ac:dyDescent="0.3">
      <c r="A6778" s="66"/>
      <c r="B6778" s="67"/>
      <c r="C6778" s="66"/>
      <c r="D6778" s="68"/>
      <c r="E6778" s="10"/>
      <c r="F6778" s="69"/>
      <c r="G6778" s="68"/>
      <c r="H6778" s="70"/>
      <c r="BA6778" s="4"/>
      <c r="BB6778" s="4"/>
    </row>
    <row r="6779" spans="1:54" x14ac:dyDescent="0.3">
      <c r="A6779" s="66"/>
      <c r="B6779" s="67"/>
      <c r="C6779" s="66"/>
      <c r="D6779" s="68"/>
      <c r="E6779" s="10"/>
      <c r="F6779" s="69"/>
      <c r="G6779" s="68"/>
      <c r="H6779" s="70"/>
      <c r="BA6779" s="4"/>
      <c r="BB6779" s="4"/>
    </row>
    <row r="6780" spans="1:54" x14ac:dyDescent="0.3">
      <c r="A6780" s="66"/>
      <c r="B6780" s="67"/>
      <c r="C6780" s="66"/>
      <c r="D6780" s="68"/>
      <c r="E6780" s="10"/>
      <c r="F6780" s="69"/>
      <c r="G6780" s="68"/>
      <c r="H6780" s="70"/>
      <c r="BA6780" s="4"/>
      <c r="BB6780" s="4"/>
    </row>
    <row r="6781" spans="1:54" x14ac:dyDescent="0.3">
      <c r="A6781" s="66"/>
      <c r="B6781" s="67"/>
      <c r="C6781" s="66"/>
      <c r="D6781" s="68"/>
      <c r="E6781" s="10"/>
      <c r="F6781" s="69"/>
      <c r="G6781" s="68"/>
      <c r="H6781" s="70"/>
      <c r="BA6781" s="4"/>
      <c r="BB6781" s="4"/>
    </row>
    <row r="6782" spans="1:54" x14ac:dyDescent="0.3">
      <c r="A6782" s="66"/>
      <c r="B6782" s="67"/>
      <c r="C6782" s="66"/>
      <c r="D6782" s="68"/>
      <c r="E6782" s="10"/>
      <c r="F6782" s="69"/>
      <c r="G6782" s="68"/>
      <c r="H6782" s="70"/>
      <c r="BA6782" s="4"/>
      <c r="BB6782" s="4"/>
    </row>
    <row r="6783" spans="1:54" x14ac:dyDescent="0.3">
      <c r="A6783" s="66"/>
      <c r="B6783" s="67"/>
      <c r="C6783" s="66"/>
      <c r="D6783" s="68"/>
      <c r="E6783" s="10"/>
      <c r="F6783" s="69"/>
      <c r="G6783" s="68"/>
      <c r="H6783" s="70"/>
      <c r="BA6783" s="4"/>
      <c r="BB6783" s="4"/>
    </row>
    <row r="6784" spans="1:54" x14ac:dyDescent="0.3">
      <c r="A6784" s="66"/>
      <c r="B6784" s="67"/>
      <c r="C6784" s="66"/>
      <c r="D6784" s="68"/>
      <c r="E6784" s="10"/>
      <c r="F6784" s="69"/>
      <c r="G6784" s="68"/>
      <c r="H6784" s="70"/>
      <c r="BA6784" s="4"/>
      <c r="BB6784" s="4"/>
    </row>
    <row r="6785" spans="1:54" x14ac:dyDescent="0.3">
      <c r="A6785" s="66"/>
      <c r="B6785" s="67"/>
      <c r="C6785" s="66"/>
      <c r="D6785" s="68"/>
      <c r="E6785" s="10"/>
      <c r="F6785" s="69"/>
      <c r="G6785" s="68"/>
      <c r="H6785" s="70"/>
      <c r="BA6785" s="4"/>
      <c r="BB6785" s="4"/>
    </row>
    <row r="6786" spans="1:54" x14ac:dyDescent="0.3">
      <c r="A6786" s="66"/>
      <c r="B6786" s="67"/>
      <c r="C6786" s="66"/>
      <c r="D6786" s="68"/>
      <c r="E6786" s="10"/>
      <c r="F6786" s="69"/>
      <c r="G6786" s="68"/>
      <c r="H6786" s="70"/>
      <c r="BA6786" s="4"/>
      <c r="BB6786" s="4"/>
    </row>
    <row r="6787" spans="1:54" x14ac:dyDescent="0.3">
      <c r="A6787" s="66"/>
      <c r="B6787" s="67"/>
      <c r="C6787" s="66"/>
      <c r="D6787" s="68"/>
      <c r="E6787" s="10"/>
      <c r="F6787" s="69"/>
      <c r="G6787" s="68"/>
      <c r="H6787" s="70"/>
      <c r="BA6787" s="4"/>
      <c r="BB6787" s="4"/>
    </row>
    <row r="6788" spans="1:54" x14ac:dyDescent="0.3">
      <c r="A6788" s="66"/>
      <c r="B6788" s="67"/>
      <c r="C6788" s="66"/>
      <c r="D6788" s="68"/>
      <c r="E6788" s="10"/>
      <c r="F6788" s="69"/>
      <c r="G6788" s="68"/>
      <c r="H6788" s="70"/>
      <c r="BA6788" s="4"/>
      <c r="BB6788" s="4"/>
    </row>
    <row r="6789" spans="1:54" x14ac:dyDescent="0.3">
      <c r="A6789" s="66"/>
      <c r="B6789" s="67"/>
      <c r="C6789" s="66"/>
      <c r="D6789" s="68"/>
      <c r="E6789" s="10"/>
      <c r="F6789" s="69"/>
      <c r="G6789" s="68"/>
      <c r="H6789" s="70"/>
      <c r="BA6789" s="4"/>
      <c r="BB6789" s="4"/>
    </row>
    <row r="6790" spans="1:54" x14ac:dyDescent="0.3">
      <c r="A6790" s="66"/>
      <c r="B6790" s="67"/>
      <c r="C6790" s="66"/>
      <c r="D6790" s="68"/>
      <c r="E6790" s="10"/>
      <c r="F6790" s="69"/>
      <c r="G6790" s="68"/>
      <c r="H6790" s="70"/>
      <c r="BA6790" s="4"/>
      <c r="BB6790" s="4"/>
    </row>
    <row r="6791" spans="1:54" x14ac:dyDescent="0.3">
      <c r="A6791" s="66"/>
      <c r="B6791" s="67"/>
      <c r="C6791" s="66"/>
      <c r="D6791" s="68"/>
      <c r="E6791" s="10"/>
      <c r="F6791" s="69"/>
      <c r="G6791" s="68"/>
      <c r="H6791" s="70"/>
      <c r="BA6791" s="4"/>
      <c r="BB6791" s="4"/>
    </row>
    <row r="6792" spans="1:54" x14ac:dyDescent="0.3">
      <c r="A6792" s="66"/>
      <c r="B6792" s="67"/>
      <c r="C6792" s="66"/>
      <c r="D6792" s="68"/>
      <c r="E6792" s="10"/>
      <c r="F6792" s="69"/>
      <c r="G6792" s="68"/>
      <c r="H6792" s="70"/>
      <c r="BA6792" s="4"/>
      <c r="BB6792" s="4"/>
    </row>
    <row r="6793" spans="1:54" x14ac:dyDescent="0.3">
      <c r="A6793" s="66"/>
      <c r="B6793" s="67"/>
      <c r="C6793" s="66"/>
      <c r="D6793" s="68"/>
      <c r="E6793" s="10"/>
      <c r="F6793" s="69"/>
      <c r="G6793" s="68"/>
      <c r="H6793" s="70"/>
      <c r="BA6793" s="4"/>
      <c r="BB6793" s="4"/>
    </row>
    <row r="6794" spans="1:54" x14ac:dyDescent="0.3">
      <c r="A6794" s="66"/>
      <c r="B6794" s="67"/>
      <c r="C6794" s="66"/>
      <c r="D6794" s="68"/>
      <c r="E6794" s="10"/>
      <c r="F6794" s="69"/>
      <c r="G6794" s="68"/>
      <c r="H6794" s="70"/>
      <c r="BA6794" s="4"/>
      <c r="BB6794" s="4"/>
    </row>
    <row r="6795" spans="1:54" x14ac:dyDescent="0.3">
      <c r="A6795" s="66"/>
      <c r="B6795" s="67"/>
      <c r="C6795" s="66"/>
      <c r="D6795" s="68"/>
      <c r="E6795" s="10"/>
      <c r="F6795" s="69"/>
      <c r="G6795" s="68"/>
      <c r="H6795" s="70"/>
      <c r="BA6795" s="4"/>
      <c r="BB6795" s="4"/>
    </row>
    <row r="6796" spans="1:54" x14ac:dyDescent="0.3">
      <c r="A6796" s="66"/>
      <c r="B6796" s="67"/>
      <c r="C6796" s="66"/>
      <c r="D6796" s="68"/>
      <c r="E6796" s="10"/>
      <c r="F6796" s="69"/>
      <c r="G6796" s="68"/>
      <c r="H6796" s="70"/>
      <c r="BA6796" s="4"/>
      <c r="BB6796" s="4"/>
    </row>
    <row r="6797" spans="1:54" x14ac:dyDescent="0.3">
      <c r="A6797" s="66"/>
      <c r="B6797" s="67"/>
      <c r="C6797" s="66"/>
      <c r="D6797" s="68"/>
      <c r="E6797" s="10"/>
      <c r="F6797" s="69"/>
      <c r="G6797" s="68"/>
      <c r="H6797" s="70"/>
      <c r="BA6797" s="4"/>
      <c r="BB6797" s="4"/>
    </row>
    <row r="6798" spans="1:54" x14ac:dyDescent="0.3">
      <c r="A6798" s="66"/>
      <c r="B6798" s="67"/>
      <c r="C6798" s="66"/>
      <c r="D6798" s="68"/>
      <c r="E6798" s="10"/>
      <c r="F6798" s="69"/>
      <c r="G6798" s="68"/>
      <c r="H6798" s="70"/>
      <c r="BA6798" s="4"/>
      <c r="BB6798" s="4"/>
    </row>
    <row r="6799" spans="1:54" x14ac:dyDescent="0.3">
      <c r="A6799" s="66"/>
      <c r="B6799" s="67"/>
      <c r="C6799" s="66"/>
      <c r="D6799" s="68"/>
      <c r="E6799" s="10"/>
      <c r="F6799" s="69"/>
      <c r="G6799" s="68"/>
      <c r="H6799" s="70"/>
      <c r="BA6799" s="4"/>
      <c r="BB6799" s="4"/>
    </row>
    <row r="6800" spans="1:54" x14ac:dyDescent="0.3">
      <c r="A6800" s="66"/>
      <c r="B6800" s="67"/>
      <c r="C6800" s="66"/>
      <c r="D6800" s="68"/>
      <c r="E6800" s="10"/>
      <c r="F6800" s="69"/>
      <c r="G6800" s="68"/>
      <c r="H6800" s="70"/>
      <c r="BA6800" s="4"/>
      <c r="BB6800" s="4"/>
    </row>
    <row r="6801" spans="1:54" x14ac:dyDescent="0.3">
      <c r="A6801" s="66"/>
      <c r="B6801" s="67"/>
      <c r="C6801" s="66"/>
      <c r="D6801" s="68"/>
      <c r="E6801" s="10"/>
      <c r="F6801" s="69"/>
      <c r="G6801" s="68"/>
      <c r="H6801" s="70"/>
      <c r="BA6801" s="4"/>
      <c r="BB6801" s="4"/>
    </row>
    <row r="6802" spans="1:54" x14ac:dyDescent="0.3">
      <c r="A6802" s="66"/>
      <c r="B6802" s="67"/>
      <c r="C6802" s="66"/>
      <c r="D6802" s="68"/>
      <c r="E6802" s="10"/>
      <c r="F6802" s="69"/>
      <c r="G6802" s="68"/>
      <c r="H6802" s="70"/>
      <c r="BA6802" s="4"/>
      <c r="BB6802" s="4"/>
    </row>
    <row r="6803" spans="1:54" x14ac:dyDescent="0.3">
      <c r="A6803" s="66"/>
      <c r="B6803" s="67"/>
      <c r="C6803" s="66"/>
      <c r="D6803" s="68"/>
      <c r="E6803" s="10"/>
      <c r="F6803" s="69"/>
      <c r="G6803" s="68"/>
      <c r="H6803" s="70"/>
      <c r="BA6803" s="4"/>
      <c r="BB6803" s="4"/>
    </row>
    <row r="6804" spans="1:54" x14ac:dyDescent="0.3">
      <c r="A6804" s="66"/>
      <c r="B6804" s="67"/>
      <c r="C6804" s="66"/>
      <c r="D6804" s="68"/>
      <c r="E6804" s="10"/>
      <c r="F6804" s="69"/>
      <c r="G6804" s="68"/>
      <c r="H6804" s="70"/>
      <c r="BA6804" s="4"/>
      <c r="BB6804" s="4"/>
    </row>
    <row r="6805" spans="1:54" x14ac:dyDescent="0.3">
      <c r="A6805" s="66"/>
      <c r="B6805" s="67"/>
      <c r="C6805" s="66"/>
      <c r="D6805" s="68"/>
      <c r="E6805" s="10"/>
      <c r="F6805" s="69"/>
      <c r="G6805" s="68"/>
      <c r="H6805" s="70"/>
      <c r="BA6805" s="4"/>
      <c r="BB6805" s="4"/>
    </row>
    <row r="6806" spans="1:54" x14ac:dyDescent="0.3">
      <c r="A6806" s="66"/>
      <c r="B6806" s="67"/>
      <c r="C6806" s="66"/>
      <c r="D6806" s="68"/>
      <c r="E6806" s="10"/>
      <c r="F6806" s="69"/>
      <c r="G6806" s="68"/>
      <c r="H6806" s="70"/>
      <c r="BA6806" s="4"/>
      <c r="BB6806" s="4"/>
    </row>
    <row r="6807" spans="1:54" x14ac:dyDescent="0.3">
      <c r="A6807" s="66"/>
      <c r="B6807" s="67"/>
      <c r="C6807" s="66"/>
      <c r="D6807" s="68"/>
      <c r="E6807" s="10"/>
      <c r="F6807" s="69"/>
      <c r="G6807" s="68"/>
      <c r="H6807" s="70"/>
      <c r="BA6807" s="4"/>
      <c r="BB6807" s="4"/>
    </row>
    <row r="6808" spans="1:54" x14ac:dyDescent="0.3">
      <c r="A6808" s="66"/>
      <c r="B6808" s="67"/>
      <c r="C6808" s="66"/>
      <c r="D6808" s="68"/>
      <c r="E6808" s="10"/>
      <c r="F6808" s="69"/>
      <c r="G6808" s="68"/>
      <c r="H6808" s="70"/>
      <c r="BA6808" s="4"/>
      <c r="BB6808" s="4"/>
    </row>
    <row r="6809" spans="1:54" x14ac:dyDescent="0.3">
      <c r="A6809" s="66"/>
      <c r="B6809" s="67"/>
      <c r="C6809" s="66"/>
      <c r="D6809" s="68"/>
      <c r="E6809" s="10"/>
      <c r="F6809" s="69"/>
      <c r="G6809" s="68"/>
      <c r="H6809" s="70"/>
      <c r="BA6809" s="4"/>
      <c r="BB6809" s="4"/>
    </row>
    <row r="6810" spans="1:54" x14ac:dyDescent="0.3">
      <c r="A6810" s="66"/>
      <c r="B6810" s="67"/>
      <c r="C6810" s="66"/>
      <c r="D6810" s="68"/>
      <c r="E6810" s="10"/>
      <c r="F6810" s="69"/>
      <c r="G6810" s="68"/>
      <c r="H6810" s="70"/>
      <c r="BA6810" s="4"/>
      <c r="BB6810" s="4"/>
    </row>
    <row r="6811" spans="1:54" x14ac:dyDescent="0.3">
      <c r="A6811" s="66"/>
      <c r="B6811" s="67"/>
      <c r="C6811" s="66"/>
      <c r="D6811" s="68"/>
      <c r="E6811" s="10"/>
      <c r="F6811" s="69"/>
      <c r="G6811" s="68"/>
      <c r="H6811" s="70"/>
      <c r="BA6811" s="4"/>
      <c r="BB6811" s="4"/>
    </row>
    <row r="6812" spans="1:54" x14ac:dyDescent="0.3">
      <c r="A6812" s="66"/>
      <c r="B6812" s="67"/>
      <c r="C6812" s="66"/>
      <c r="D6812" s="68"/>
      <c r="E6812" s="10"/>
      <c r="F6812" s="69"/>
      <c r="G6812" s="68"/>
      <c r="H6812" s="70"/>
      <c r="BA6812" s="4"/>
      <c r="BB6812" s="4"/>
    </row>
    <row r="6813" spans="1:54" x14ac:dyDescent="0.3">
      <c r="A6813" s="66"/>
      <c r="B6813" s="67"/>
      <c r="C6813" s="66"/>
      <c r="D6813" s="68"/>
      <c r="E6813" s="10"/>
      <c r="F6813" s="69"/>
      <c r="G6813" s="68"/>
      <c r="H6813" s="70"/>
      <c r="BA6813" s="4"/>
      <c r="BB6813" s="4"/>
    </row>
    <row r="6814" spans="1:54" x14ac:dyDescent="0.3">
      <c r="A6814" s="66"/>
      <c r="B6814" s="67"/>
      <c r="C6814" s="66"/>
      <c r="D6814" s="68"/>
      <c r="E6814" s="10"/>
      <c r="F6814" s="69"/>
      <c r="G6814" s="68"/>
      <c r="H6814" s="70"/>
      <c r="BA6814" s="4"/>
      <c r="BB6814" s="4"/>
    </row>
    <row r="6815" spans="1:54" x14ac:dyDescent="0.3">
      <c r="A6815" s="66"/>
      <c r="B6815" s="67"/>
      <c r="C6815" s="66"/>
      <c r="D6815" s="68"/>
      <c r="E6815" s="10"/>
      <c r="F6815" s="69"/>
      <c r="G6815" s="68"/>
      <c r="H6815" s="70"/>
      <c r="BA6815" s="4"/>
      <c r="BB6815" s="4"/>
    </row>
    <row r="6816" spans="1:54" x14ac:dyDescent="0.3">
      <c r="A6816" s="66"/>
      <c r="B6816" s="67"/>
      <c r="C6816" s="66"/>
      <c r="D6816" s="68"/>
      <c r="E6816" s="10"/>
      <c r="F6816" s="69"/>
      <c r="G6816" s="68"/>
      <c r="H6816" s="70"/>
      <c r="BA6816" s="4"/>
      <c r="BB6816" s="4"/>
    </row>
    <row r="6817" spans="1:54" x14ac:dyDescent="0.3">
      <c r="A6817" s="66"/>
      <c r="B6817" s="67"/>
      <c r="C6817" s="66"/>
      <c r="D6817" s="68"/>
      <c r="E6817" s="10"/>
      <c r="F6817" s="69"/>
      <c r="G6817" s="68"/>
      <c r="H6817" s="70"/>
      <c r="BA6817" s="4"/>
      <c r="BB6817" s="4"/>
    </row>
    <row r="6818" spans="1:54" x14ac:dyDescent="0.3">
      <c r="A6818" s="66"/>
      <c r="B6818" s="67"/>
      <c r="C6818" s="66"/>
      <c r="D6818" s="68"/>
      <c r="E6818" s="10"/>
      <c r="F6818" s="69"/>
      <c r="G6818" s="68"/>
      <c r="H6818" s="70"/>
      <c r="BA6818" s="4"/>
      <c r="BB6818" s="4"/>
    </row>
    <row r="6819" spans="1:54" x14ac:dyDescent="0.3">
      <c r="A6819" s="66"/>
      <c r="B6819" s="67"/>
      <c r="C6819" s="66"/>
      <c r="D6819" s="68"/>
      <c r="E6819" s="10"/>
      <c r="F6819" s="69"/>
      <c r="G6819" s="68"/>
      <c r="H6819" s="70"/>
      <c r="BA6819" s="4"/>
      <c r="BB6819" s="4"/>
    </row>
    <row r="6820" spans="1:54" x14ac:dyDescent="0.3">
      <c r="A6820" s="66"/>
      <c r="B6820" s="67"/>
      <c r="C6820" s="66"/>
      <c r="D6820" s="68"/>
      <c r="E6820" s="10"/>
      <c r="F6820" s="69"/>
      <c r="G6820" s="68"/>
      <c r="H6820" s="70"/>
      <c r="BA6820" s="4"/>
      <c r="BB6820" s="4"/>
    </row>
    <row r="6821" spans="1:54" x14ac:dyDescent="0.3">
      <c r="A6821" s="66"/>
      <c r="B6821" s="67"/>
      <c r="C6821" s="66"/>
      <c r="D6821" s="68"/>
      <c r="E6821" s="10"/>
      <c r="F6821" s="69"/>
      <c r="G6821" s="68"/>
      <c r="H6821" s="70"/>
      <c r="BA6821" s="4"/>
      <c r="BB6821" s="4"/>
    </row>
    <row r="6822" spans="1:54" x14ac:dyDescent="0.3">
      <c r="A6822" s="66"/>
      <c r="B6822" s="67"/>
      <c r="C6822" s="66"/>
      <c r="D6822" s="68"/>
      <c r="E6822" s="10"/>
      <c r="F6822" s="69"/>
      <c r="G6822" s="68"/>
      <c r="H6822" s="70"/>
      <c r="BA6822" s="4"/>
      <c r="BB6822" s="4"/>
    </row>
    <row r="6823" spans="1:54" x14ac:dyDescent="0.3">
      <c r="A6823" s="66"/>
      <c r="B6823" s="67"/>
      <c r="C6823" s="66"/>
      <c r="D6823" s="68"/>
      <c r="E6823" s="10"/>
      <c r="F6823" s="69"/>
      <c r="G6823" s="68"/>
      <c r="H6823" s="70"/>
      <c r="BA6823" s="4"/>
      <c r="BB6823" s="4"/>
    </row>
    <row r="6824" spans="1:54" x14ac:dyDescent="0.3">
      <c r="A6824" s="66"/>
      <c r="B6824" s="67"/>
      <c r="C6824" s="66"/>
      <c r="D6824" s="68"/>
      <c r="E6824" s="10"/>
      <c r="F6824" s="69"/>
      <c r="G6824" s="68"/>
      <c r="H6824" s="70"/>
      <c r="BA6824" s="4"/>
      <c r="BB6824" s="4"/>
    </row>
    <row r="6825" spans="1:54" x14ac:dyDescent="0.3">
      <c r="A6825" s="66"/>
      <c r="B6825" s="67"/>
      <c r="C6825" s="66"/>
      <c r="D6825" s="68"/>
      <c r="E6825" s="10"/>
      <c r="F6825" s="69"/>
      <c r="G6825" s="68"/>
      <c r="H6825" s="70"/>
      <c r="BA6825" s="4"/>
      <c r="BB6825" s="4"/>
    </row>
    <row r="6826" spans="1:54" x14ac:dyDescent="0.3">
      <c r="A6826" s="66"/>
      <c r="B6826" s="67"/>
      <c r="C6826" s="66"/>
      <c r="D6826" s="68"/>
      <c r="E6826" s="10"/>
      <c r="F6826" s="69"/>
      <c r="G6826" s="68"/>
      <c r="H6826" s="70"/>
      <c r="BA6826" s="4"/>
      <c r="BB6826" s="4"/>
    </row>
    <row r="6827" spans="1:54" x14ac:dyDescent="0.3">
      <c r="A6827" s="66"/>
      <c r="B6827" s="67"/>
      <c r="C6827" s="66"/>
      <c r="D6827" s="68"/>
      <c r="E6827" s="10"/>
      <c r="F6827" s="69"/>
      <c r="G6827" s="68"/>
      <c r="H6827" s="70"/>
      <c r="BA6827" s="4"/>
      <c r="BB6827" s="4"/>
    </row>
    <row r="6828" spans="1:54" x14ac:dyDescent="0.3">
      <c r="A6828" s="66"/>
      <c r="B6828" s="67"/>
      <c r="C6828" s="66"/>
      <c r="D6828" s="68"/>
      <c r="E6828" s="10"/>
      <c r="F6828" s="69"/>
      <c r="G6828" s="68"/>
      <c r="H6828" s="70"/>
      <c r="BA6828" s="4"/>
      <c r="BB6828" s="4"/>
    </row>
    <row r="6829" spans="1:54" x14ac:dyDescent="0.3">
      <c r="A6829" s="66"/>
      <c r="B6829" s="67"/>
      <c r="C6829" s="66"/>
      <c r="D6829" s="68"/>
      <c r="E6829" s="10"/>
      <c r="F6829" s="69"/>
      <c r="G6829" s="68"/>
      <c r="H6829" s="70"/>
      <c r="BA6829" s="4"/>
      <c r="BB6829" s="4"/>
    </row>
    <row r="6830" spans="1:54" x14ac:dyDescent="0.3">
      <c r="A6830" s="66"/>
      <c r="B6830" s="67"/>
      <c r="C6830" s="66"/>
      <c r="D6830" s="68"/>
      <c r="E6830" s="10"/>
      <c r="F6830" s="69"/>
      <c r="G6830" s="68"/>
      <c r="H6830" s="70"/>
      <c r="BA6830" s="4"/>
      <c r="BB6830" s="4"/>
    </row>
    <row r="6831" spans="1:54" x14ac:dyDescent="0.3">
      <c r="A6831" s="66"/>
      <c r="B6831" s="67"/>
      <c r="C6831" s="66"/>
      <c r="D6831" s="68"/>
      <c r="E6831" s="10"/>
      <c r="F6831" s="69"/>
      <c r="G6831" s="68"/>
      <c r="H6831" s="70"/>
      <c r="BA6831" s="4"/>
      <c r="BB6831" s="4"/>
    </row>
    <row r="6832" spans="1:54" x14ac:dyDescent="0.3">
      <c r="A6832" s="66"/>
      <c r="B6832" s="67"/>
      <c r="C6832" s="66"/>
      <c r="D6832" s="68"/>
      <c r="E6832" s="10"/>
      <c r="F6832" s="69"/>
      <c r="G6832" s="68"/>
      <c r="H6832" s="70"/>
      <c r="BA6832" s="4"/>
      <c r="BB6832" s="4"/>
    </row>
    <row r="6833" spans="1:54" x14ac:dyDescent="0.3">
      <c r="A6833" s="66"/>
      <c r="B6833" s="67"/>
      <c r="C6833" s="66"/>
      <c r="D6833" s="68"/>
      <c r="E6833" s="10"/>
      <c r="F6833" s="69"/>
      <c r="G6833" s="68"/>
      <c r="H6833" s="70"/>
      <c r="BA6833" s="4"/>
      <c r="BB6833" s="4"/>
    </row>
    <row r="6834" spans="1:54" x14ac:dyDescent="0.3">
      <c r="A6834" s="66"/>
      <c r="B6834" s="67"/>
      <c r="C6834" s="66"/>
      <c r="D6834" s="68"/>
      <c r="E6834" s="10"/>
      <c r="F6834" s="69"/>
      <c r="G6834" s="68"/>
      <c r="H6834" s="70"/>
      <c r="BA6834" s="4"/>
      <c r="BB6834" s="4"/>
    </row>
    <row r="6835" spans="1:54" x14ac:dyDescent="0.3">
      <c r="A6835" s="66"/>
      <c r="B6835" s="67"/>
      <c r="C6835" s="66"/>
      <c r="D6835" s="68"/>
      <c r="E6835" s="10"/>
      <c r="F6835" s="69"/>
      <c r="G6835" s="68"/>
      <c r="H6835" s="70"/>
      <c r="BA6835" s="4"/>
      <c r="BB6835" s="4"/>
    </row>
    <row r="6836" spans="1:54" x14ac:dyDescent="0.3">
      <c r="A6836" s="66"/>
      <c r="B6836" s="67"/>
      <c r="C6836" s="66"/>
      <c r="D6836" s="68"/>
      <c r="E6836" s="10"/>
      <c r="F6836" s="69"/>
      <c r="G6836" s="68"/>
      <c r="H6836" s="70"/>
      <c r="BA6836" s="4"/>
      <c r="BB6836" s="4"/>
    </row>
    <row r="6837" spans="1:54" x14ac:dyDescent="0.3">
      <c r="A6837" s="66"/>
      <c r="B6837" s="67"/>
      <c r="C6837" s="66"/>
      <c r="D6837" s="68"/>
      <c r="E6837" s="10"/>
      <c r="F6837" s="69"/>
      <c r="G6837" s="68"/>
      <c r="H6837" s="70"/>
      <c r="BA6837" s="4"/>
      <c r="BB6837" s="4"/>
    </row>
    <row r="6838" spans="1:54" x14ac:dyDescent="0.3">
      <c r="A6838" s="66"/>
      <c r="B6838" s="67"/>
      <c r="C6838" s="66"/>
      <c r="D6838" s="68"/>
      <c r="E6838" s="10"/>
      <c r="F6838" s="69"/>
      <c r="G6838" s="68"/>
      <c r="H6838" s="70"/>
      <c r="BA6838" s="4"/>
      <c r="BB6838" s="4"/>
    </row>
    <row r="6839" spans="1:54" x14ac:dyDescent="0.3">
      <c r="A6839" s="66"/>
      <c r="B6839" s="67"/>
      <c r="C6839" s="66"/>
      <c r="D6839" s="68"/>
      <c r="E6839" s="10"/>
      <c r="F6839" s="69"/>
      <c r="G6839" s="68"/>
      <c r="H6839" s="70"/>
      <c r="BA6839" s="4"/>
      <c r="BB6839" s="4"/>
    </row>
    <row r="6840" spans="1:54" x14ac:dyDescent="0.3">
      <c r="A6840" s="66"/>
      <c r="B6840" s="67"/>
      <c r="C6840" s="66"/>
      <c r="D6840" s="68"/>
      <c r="E6840" s="10"/>
      <c r="F6840" s="69"/>
      <c r="G6840" s="68"/>
      <c r="H6840" s="70"/>
      <c r="BA6840" s="4"/>
      <c r="BB6840" s="4"/>
    </row>
    <row r="6841" spans="1:54" x14ac:dyDescent="0.3">
      <c r="A6841" s="66"/>
      <c r="B6841" s="67"/>
      <c r="C6841" s="66"/>
      <c r="D6841" s="68"/>
      <c r="E6841" s="10"/>
      <c r="F6841" s="69"/>
      <c r="G6841" s="68"/>
      <c r="H6841" s="70"/>
      <c r="BA6841" s="4"/>
      <c r="BB6841" s="4"/>
    </row>
    <row r="6842" spans="1:54" x14ac:dyDescent="0.3">
      <c r="A6842" s="66"/>
      <c r="B6842" s="67"/>
      <c r="C6842" s="66"/>
      <c r="D6842" s="68"/>
      <c r="E6842" s="10"/>
      <c r="F6842" s="69"/>
      <c r="G6842" s="68"/>
      <c r="H6842" s="70"/>
      <c r="BA6842" s="4"/>
      <c r="BB6842" s="4"/>
    </row>
    <row r="6843" spans="1:54" x14ac:dyDescent="0.3">
      <c r="A6843" s="66"/>
      <c r="B6843" s="67"/>
      <c r="C6843" s="66"/>
      <c r="D6843" s="68"/>
      <c r="E6843" s="10"/>
      <c r="F6843" s="69"/>
      <c r="G6843" s="68"/>
      <c r="H6843" s="70"/>
      <c r="BA6843" s="4"/>
      <c r="BB6843" s="4"/>
    </row>
    <row r="6844" spans="1:54" x14ac:dyDescent="0.3">
      <c r="A6844" s="66"/>
      <c r="B6844" s="67"/>
      <c r="C6844" s="66"/>
      <c r="D6844" s="68"/>
      <c r="E6844" s="10"/>
      <c r="F6844" s="69"/>
      <c r="G6844" s="68"/>
      <c r="H6844" s="70"/>
      <c r="BA6844" s="4"/>
      <c r="BB6844" s="4"/>
    </row>
    <row r="6845" spans="1:54" x14ac:dyDescent="0.3">
      <c r="A6845" s="66"/>
      <c r="B6845" s="67"/>
      <c r="C6845" s="66"/>
      <c r="D6845" s="68"/>
      <c r="E6845" s="10"/>
      <c r="F6845" s="69"/>
      <c r="G6845" s="68"/>
      <c r="H6845" s="70"/>
      <c r="BA6845" s="4"/>
      <c r="BB6845" s="4"/>
    </row>
    <row r="6846" spans="1:54" x14ac:dyDescent="0.3">
      <c r="A6846" s="66"/>
      <c r="B6846" s="67"/>
      <c r="C6846" s="66"/>
      <c r="D6846" s="68"/>
      <c r="E6846" s="10"/>
      <c r="F6846" s="69"/>
      <c r="G6846" s="68"/>
      <c r="H6846" s="70"/>
      <c r="BA6846" s="4"/>
      <c r="BB6846" s="4"/>
    </row>
    <row r="6847" spans="1:54" x14ac:dyDescent="0.3">
      <c r="A6847" s="66"/>
      <c r="B6847" s="67"/>
      <c r="C6847" s="66"/>
      <c r="D6847" s="68"/>
      <c r="E6847" s="10"/>
      <c r="F6847" s="69"/>
      <c r="G6847" s="68"/>
      <c r="H6847" s="70"/>
      <c r="BA6847" s="4"/>
      <c r="BB6847" s="4"/>
    </row>
    <row r="6848" spans="1:54" x14ac:dyDescent="0.3">
      <c r="A6848" s="66"/>
      <c r="B6848" s="67"/>
      <c r="C6848" s="66"/>
      <c r="D6848" s="68"/>
      <c r="E6848" s="10"/>
      <c r="F6848" s="69"/>
      <c r="G6848" s="68"/>
      <c r="H6848" s="70"/>
      <c r="BA6848" s="4"/>
      <c r="BB6848" s="4"/>
    </row>
    <row r="6849" spans="1:54" x14ac:dyDescent="0.3">
      <c r="A6849" s="66"/>
      <c r="B6849" s="67"/>
      <c r="C6849" s="66"/>
      <c r="D6849" s="68"/>
      <c r="E6849" s="10"/>
      <c r="F6849" s="69"/>
      <c r="G6849" s="68"/>
      <c r="H6849" s="70"/>
      <c r="BA6849" s="4"/>
      <c r="BB6849" s="4"/>
    </row>
    <row r="6850" spans="1:54" x14ac:dyDescent="0.3">
      <c r="A6850" s="66"/>
      <c r="B6850" s="67"/>
      <c r="C6850" s="66"/>
      <c r="D6850" s="68"/>
      <c r="E6850" s="10"/>
      <c r="F6850" s="69"/>
      <c r="G6850" s="68"/>
      <c r="H6850" s="70"/>
      <c r="BA6850" s="4"/>
      <c r="BB6850" s="4"/>
    </row>
    <row r="6851" spans="1:54" x14ac:dyDescent="0.3">
      <c r="A6851" s="66"/>
      <c r="B6851" s="67"/>
      <c r="C6851" s="66"/>
      <c r="D6851" s="68"/>
      <c r="E6851" s="10"/>
      <c r="F6851" s="69"/>
      <c r="G6851" s="68"/>
      <c r="H6851" s="70"/>
      <c r="BA6851" s="4"/>
      <c r="BB6851" s="4"/>
    </row>
    <row r="6852" spans="1:54" x14ac:dyDescent="0.3">
      <c r="A6852" s="66"/>
      <c r="B6852" s="67"/>
      <c r="C6852" s="66"/>
      <c r="D6852" s="68"/>
      <c r="E6852" s="10"/>
      <c r="F6852" s="69"/>
      <c r="G6852" s="68"/>
      <c r="H6852" s="70"/>
      <c r="BA6852" s="4"/>
      <c r="BB6852" s="4"/>
    </row>
    <row r="6853" spans="1:54" x14ac:dyDescent="0.3">
      <c r="A6853" s="66"/>
      <c r="B6853" s="67"/>
      <c r="C6853" s="66"/>
      <c r="D6853" s="68"/>
      <c r="E6853" s="10"/>
      <c r="F6853" s="69"/>
      <c r="G6853" s="68"/>
      <c r="H6853" s="70"/>
      <c r="BA6853" s="4"/>
      <c r="BB6853" s="4"/>
    </row>
    <row r="6854" spans="1:54" x14ac:dyDescent="0.3">
      <c r="A6854" s="66"/>
      <c r="B6854" s="67"/>
      <c r="C6854" s="66"/>
      <c r="D6854" s="68"/>
      <c r="E6854" s="10"/>
      <c r="F6854" s="69"/>
      <c r="G6854" s="68"/>
      <c r="H6854" s="70"/>
      <c r="BA6854" s="4"/>
      <c r="BB6854" s="4"/>
    </row>
    <row r="6855" spans="1:54" x14ac:dyDescent="0.3">
      <c r="A6855" s="66"/>
      <c r="B6855" s="67"/>
      <c r="C6855" s="66"/>
      <c r="D6855" s="68"/>
      <c r="E6855" s="10"/>
      <c r="F6855" s="69"/>
      <c r="G6855" s="68"/>
      <c r="H6855" s="70"/>
      <c r="BA6855" s="4"/>
      <c r="BB6855" s="4"/>
    </row>
    <row r="6856" spans="1:54" x14ac:dyDescent="0.3">
      <c r="A6856" s="66"/>
      <c r="B6856" s="67"/>
      <c r="C6856" s="66"/>
      <c r="D6856" s="68"/>
      <c r="E6856" s="10"/>
      <c r="F6856" s="69"/>
      <c r="G6856" s="68"/>
      <c r="H6856" s="70"/>
      <c r="BA6856" s="4"/>
      <c r="BB6856" s="4"/>
    </row>
    <row r="6857" spans="1:54" x14ac:dyDescent="0.3">
      <c r="A6857" s="66"/>
      <c r="B6857" s="67"/>
      <c r="C6857" s="66"/>
      <c r="D6857" s="68"/>
      <c r="E6857" s="10"/>
      <c r="F6857" s="69"/>
      <c r="G6857" s="68"/>
      <c r="H6857" s="70"/>
      <c r="BA6857" s="4"/>
      <c r="BB6857" s="4"/>
    </row>
    <row r="6858" spans="1:54" x14ac:dyDescent="0.3">
      <c r="A6858" s="66"/>
      <c r="B6858" s="67"/>
      <c r="C6858" s="66"/>
      <c r="D6858" s="68"/>
      <c r="E6858" s="10"/>
      <c r="F6858" s="69"/>
      <c r="G6858" s="68"/>
      <c r="H6858" s="70"/>
      <c r="BA6858" s="4"/>
      <c r="BB6858" s="4"/>
    </row>
    <row r="6859" spans="1:54" x14ac:dyDescent="0.3">
      <c r="A6859" s="66"/>
      <c r="B6859" s="67"/>
      <c r="C6859" s="66"/>
      <c r="D6859" s="68"/>
      <c r="E6859" s="10"/>
      <c r="F6859" s="69"/>
      <c r="G6859" s="68"/>
      <c r="H6859" s="70"/>
      <c r="BA6859" s="4"/>
      <c r="BB6859" s="4"/>
    </row>
    <row r="6860" spans="1:54" x14ac:dyDescent="0.3">
      <c r="A6860" s="66"/>
      <c r="B6860" s="67"/>
      <c r="C6860" s="66"/>
      <c r="D6860" s="68"/>
      <c r="E6860" s="10"/>
      <c r="F6860" s="69"/>
      <c r="G6860" s="68"/>
      <c r="H6860" s="70"/>
      <c r="BA6860" s="4"/>
      <c r="BB6860" s="4"/>
    </row>
    <row r="6861" spans="1:54" x14ac:dyDescent="0.3">
      <c r="A6861" s="66"/>
      <c r="B6861" s="67"/>
      <c r="C6861" s="66"/>
      <c r="D6861" s="68"/>
      <c r="E6861" s="10"/>
      <c r="F6861" s="69"/>
      <c r="G6861" s="68"/>
      <c r="H6861" s="70"/>
      <c r="BA6861" s="4"/>
      <c r="BB6861" s="4"/>
    </row>
    <row r="6862" spans="1:54" x14ac:dyDescent="0.3">
      <c r="A6862" s="66"/>
      <c r="B6862" s="67"/>
      <c r="C6862" s="66"/>
      <c r="D6862" s="68"/>
      <c r="E6862" s="10"/>
      <c r="F6862" s="69"/>
      <c r="G6862" s="68"/>
      <c r="H6862" s="70"/>
      <c r="BA6862" s="4"/>
      <c r="BB6862" s="4"/>
    </row>
    <row r="6863" spans="1:54" x14ac:dyDescent="0.3">
      <c r="A6863" s="66"/>
      <c r="B6863" s="67"/>
      <c r="C6863" s="66"/>
      <c r="D6863" s="68"/>
      <c r="E6863" s="10"/>
      <c r="F6863" s="69"/>
      <c r="G6863" s="68"/>
      <c r="H6863" s="70"/>
      <c r="BA6863" s="4"/>
      <c r="BB6863" s="4"/>
    </row>
    <row r="6864" spans="1:54" x14ac:dyDescent="0.3">
      <c r="A6864" s="66"/>
      <c r="B6864" s="67"/>
      <c r="C6864" s="66"/>
      <c r="D6864" s="68"/>
      <c r="E6864" s="10"/>
      <c r="F6864" s="69"/>
      <c r="G6864" s="68"/>
      <c r="H6864" s="70"/>
      <c r="BA6864" s="4"/>
      <c r="BB6864" s="4"/>
    </row>
    <row r="6865" spans="1:54" x14ac:dyDescent="0.3">
      <c r="A6865" s="66"/>
      <c r="B6865" s="67"/>
      <c r="C6865" s="66"/>
      <c r="D6865" s="68"/>
      <c r="E6865" s="10"/>
      <c r="F6865" s="69"/>
      <c r="G6865" s="68"/>
      <c r="H6865" s="70"/>
      <c r="BA6865" s="4"/>
      <c r="BB6865" s="4"/>
    </row>
    <row r="6866" spans="1:54" x14ac:dyDescent="0.3">
      <c r="A6866" s="66"/>
      <c r="B6866" s="67"/>
      <c r="C6866" s="66"/>
      <c r="D6866" s="68"/>
      <c r="E6866" s="10"/>
      <c r="F6866" s="69"/>
      <c r="G6866" s="68"/>
      <c r="H6866" s="70"/>
      <c r="BA6866" s="4"/>
      <c r="BB6866" s="4"/>
    </row>
    <row r="6867" spans="1:54" x14ac:dyDescent="0.3">
      <c r="A6867" s="66"/>
      <c r="B6867" s="67"/>
      <c r="C6867" s="66"/>
      <c r="D6867" s="68"/>
      <c r="E6867" s="10"/>
      <c r="F6867" s="69"/>
      <c r="G6867" s="68"/>
      <c r="H6867" s="70"/>
      <c r="BA6867" s="4"/>
      <c r="BB6867" s="4"/>
    </row>
    <row r="6868" spans="1:54" x14ac:dyDescent="0.3">
      <c r="A6868" s="66"/>
      <c r="B6868" s="67"/>
      <c r="C6868" s="66"/>
      <c r="D6868" s="68"/>
      <c r="E6868" s="10"/>
      <c r="F6868" s="69"/>
      <c r="G6868" s="68"/>
      <c r="H6868" s="70"/>
      <c r="BA6868" s="4"/>
      <c r="BB6868" s="4"/>
    </row>
    <row r="6869" spans="1:54" x14ac:dyDescent="0.3">
      <c r="A6869" s="66"/>
      <c r="B6869" s="67"/>
      <c r="C6869" s="66"/>
      <c r="D6869" s="68"/>
      <c r="E6869" s="10"/>
      <c r="F6869" s="69"/>
      <c r="G6869" s="68"/>
      <c r="H6869" s="70"/>
      <c r="BA6869" s="4"/>
      <c r="BB6869" s="4"/>
    </row>
    <row r="6870" spans="1:54" x14ac:dyDescent="0.3">
      <c r="A6870" s="66"/>
      <c r="B6870" s="67"/>
      <c r="C6870" s="66"/>
      <c r="D6870" s="68"/>
      <c r="E6870" s="10"/>
      <c r="F6870" s="69"/>
      <c r="G6870" s="68"/>
      <c r="H6870" s="70"/>
      <c r="BA6870" s="4"/>
      <c r="BB6870" s="4"/>
    </row>
    <row r="6871" spans="1:54" x14ac:dyDescent="0.3">
      <c r="A6871" s="66"/>
      <c r="B6871" s="67"/>
      <c r="C6871" s="66"/>
      <c r="D6871" s="68"/>
      <c r="E6871" s="10"/>
      <c r="F6871" s="69"/>
      <c r="G6871" s="68"/>
      <c r="H6871" s="70"/>
      <c r="BA6871" s="4"/>
      <c r="BB6871" s="4"/>
    </row>
    <row r="6872" spans="1:54" x14ac:dyDescent="0.3">
      <c r="A6872" s="66"/>
      <c r="B6872" s="67"/>
      <c r="C6872" s="66"/>
      <c r="D6872" s="68"/>
      <c r="E6872" s="10"/>
      <c r="F6872" s="69"/>
      <c r="G6872" s="68"/>
      <c r="H6872" s="70"/>
      <c r="BA6872" s="4"/>
      <c r="BB6872" s="4"/>
    </row>
    <row r="6873" spans="1:54" x14ac:dyDescent="0.3">
      <c r="A6873" s="66"/>
      <c r="B6873" s="67"/>
      <c r="C6873" s="66"/>
      <c r="D6873" s="68"/>
      <c r="E6873" s="10"/>
      <c r="F6873" s="69"/>
      <c r="G6873" s="68"/>
      <c r="H6873" s="70"/>
      <c r="BA6873" s="4"/>
      <c r="BB6873" s="4"/>
    </row>
    <row r="6874" spans="1:54" x14ac:dyDescent="0.3">
      <c r="A6874" s="66"/>
      <c r="B6874" s="67"/>
      <c r="C6874" s="66"/>
      <c r="D6874" s="68"/>
      <c r="E6874" s="10"/>
      <c r="F6874" s="69"/>
      <c r="G6874" s="68"/>
      <c r="H6874" s="70"/>
      <c r="BA6874" s="4"/>
      <c r="BB6874" s="4"/>
    </row>
    <row r="6875" spans="1:54" x14ac:dyDescent="0.3">
      <c r="A6875" s="66"/>
      <c r="B6875" s="67"/>
      <c r="C6875" s="66"/>
      <c r="D6875" s="68"/>
      <c r="E6875" s="10"/>
      <c r="F6875" s="69"/>
      <c r="G6875" s="68"/>
      <c r="H6875" s="70"/>
      <c r="BA6875" s="4"/>
      <c r="BB6875" s="4"/>
    </row>
    <row r="6876" spans="1:54" x14ac:dyDescent="0.3">
      <c r="A6876" s="66"/>
      <c r="B6876" s="67"/>
      <c r="C6876" s="66"/>
      <c r="D6876" s="68"/>
      <c r="E6876" s="10"/>
      <c r="F6876" s="69"/>
      <c r="G6876" s="68"/>
      <c r="H6876" s="70"/>
      <c r="BA6876" s="4"/>
      <c r="BB6876" s="4"/>
    </row>
    <row r="6877" spans="1:54" x14ac:dyDescent="0.3">
      <c r="A6877" s="66"/>
      <c r="B6877" s="67"/>
      <c r="C6877" s="66"/>
      <c r="D6877" s="68"/>
      <c r="E6877" s="10"/>
      <c r="F6877" s="69"/>
      <c r="G6877" s="68"/>
      <c r="H6877" s="70"/>
      <c r="BA6877" s="4"/>
      <c r="BB6877" s="4"/>
    </row>
    <row r="6878" spans="1:54" x14ac:dyDescent="0.3">
      <c r="A6878" s="66"/>
      <c r="B6878" s="67"/>
      <c r="C6878" s="66"/>
      <c r="D6878" s="68"/>
      <c r="E6878" s="10"/>
      <c r="F6878" s="69"/>
      <c r="G6878" s="68"/>
      <c r="H6878" s="70"/>
      <c r="BA6878" s="4"/>
      <c r="BB6878" s="4"/>
    </row>
    <row r="6879" spans="1:54" x14ac:dyDescent="0.3">
      <c r="A6879" s="66"/>
      <c r="B6879" s="67"/>
      <c r="C6879" s="66"/>
      <c r="D6879" s="68"/>
      <c r="E6879" s="10"/>
      <c r="F6879" s="69"/>
      <c r="G6879" s="68"/>
      <c r="H6879" s="70"/>
      <c r="BA6879" s="4"/>
      <c r="BB6879" s="4"/>
    </row>
    <row r="6880" spans="1:54" x14ac:dyDescent="0.3">
      <c r="A6880" s="66"/>
      <c r="B6880" s="67"/>
      <c r="C6880" s="66"/>
      <c r="D6880" s="68"/>
      <c r="E6880" s="10"/>
      <c r="F6880" s="69"/>
      <c r="G6880" s="68"/>
      <c r="H6880" s="70"/>
      <c r="BA6880" s="4"/>
      <c r="BB6880" s="4"/>
    </row>
    <row r="6881" spans="1:54" x14ac:dyDescent="0.3">
      <c r="A6881" s="66"/>
      <c r="B6881" s="67"/>
      <c r="C6881" s="66"/>
      <c r="D6881" s="68"/>
      <c r="E6881" s="10"/>
      <c r="F6881" s="69"/>
      <c r="G6881" s="68"/>
      <c r="H6881" s="70"/>
      <c r="BA6881" s="4"/>
      <c r="BB6881" s="4"/>
    </row>
    <row r="6882" spans="1:54" x14ac:dyDescent="0.3">
      <c r="A6882" s="66"/>
      <c r="B6882" s="67"/>
      <c r="C6882" s="66"/>
      <c r="D6882" s="68"/>
      <c r="E6882" s="10"/>
      <c r="F6882" s="69"/>
      <c r="G6882" s="68"/>
      <c r="H6882" s="70"/>
      <c r="BA6882" s="4"/>
      <c r="BB6882" s="4"/>
    </row>
    <row r="6883" spans="1:54" x14ac:dyDescent="0.3">
      <c r="A6883" s="66"/>
      <c r="B6883" s="67"/>
      <c r="C6883" s="66"/>
      <c r="D6883" s="68"/>
      <c r="E6883" s="10"/>
      <c r="F6883" s="69"/>
      <c r="G6883" s="68"/>
      <c r="H6883" s="70"/>
      <c r="BA6883" s="4"/>
      <c r="BB6883" s="4"/>
    </row>
    <row r="6884" spans="1:54" x14ac:dyDescent="0.3">
      <c r="A6884" s="66"/>
      <c r="B6884" s="67"/>
      <c r="C6884" s="66"/>
      <c r="D6884" s="68"/>
      <c r="E6884" s="10"/>
      <c r="F6884" s="69"/>
      <c r="G6884" s="68"/>
      <c r="H6884" s="70"/>
      <c r="BA6884" s="4"/>
      <c r="BB6884" s="4"/>
    </row>
    <row r="6885" spans="1:54" x14ac:dyDescent="0.3">
      <c r="A6885" s="66"/>
      <c r="B6885" s="67"/>
      <c r="C6885" s="66"/>
      <c r="D6885" s="68"/>
      <c r="E6885" s="10"/>
      <c r="F6885" s="69"/>
      <c r="G6885" s="68"/>
      <c r="H6885" s="70"/>
      <c r="BA6885" s="4"/>
      <c r="BB6885" s="4"/>
    </row>
    <row r="6886" spans="1:54" x14ac:dyDescent="0.3">
      <c r="A6886" s="66"/>
      <c r="B6886" s="67"/>
      <c r="C6886" s="66"/>
      <c r="D6886" s="68"/>
      <c r="E6886" s="10"/>
      <c r="F6886" s="69"/>
      <c r="G6886" s="68"/>
      <c r="H6886" s="70"/>
      <c r="BA6886" s="4"/>
      <c r="BB6886" s="4"/>
    </row>
    <row r="6887" spans="1:54" x14ac:dyDescent="0.3">
      <c r="A6887" s="66"/>
      <c r="B6887" s="67"/>
      <c r="C6887" s="66"/>
      <c r="D6887" s="68"/>
      <c r="E6887" s="10"/>
      <c r="F6887" s="69"/>
      <c r="G6887" s="68"/>
      <c r="H6887" s="70"/>
      <c r="BA6887" s="4"/>
      <c r="BB6887" s="4"/>
    </row>
    <row r="6888" spans="1:54" x14ac:dyDescent="0.3">
      <c r="A6888" s="66"/>
      <c r="B6888" s="67"/>
      <c r="C6888" s="66"/>
      <c r="D6888" s="68"/>
      <c r="E6888" s="10"/>
      <c r="F6888" s="69"/>
      <c r="G6888" s="68"/>
      <c r="H6888" s="70"/>
      <c r="BA6888" s="4"/>
      <c r="BB6888" s="4"/>
    </row>
    <row r="6889" spans="1:54" x14ac:dyDescent="0.3">
      <c r="A6889" s="66"/>
      <c r="B6889" s="67"/>
      <c r="C6889" s="66"/>
      <c r="D6889" s="68"/>
      <c r="E6889" s="10"/>
      <c r="F6889" s="69"/>
      <c r="G6889" s="68"/>
      <c r="H6889" s="70"/>
      <c r="BA6889" s="4"/>
      <c r="BB6889" s="4"/>
    </row>
    <row r="6890" spans="1:54" x14ac:dyDescent="0.3">
      <c r="A6890" s="66"/>
      <c r="B6890" s="67"/>
      <c r="C6890" s="66"/>
      <c r="D6890" s="68"/>
      <c r="E6890" s="10"/>
      <c r="F6890" s="69"/>
      <c r="G6890" s="68"/>
      <c r="H6890" s="70"/>
      <c r="BA6890" s="4"/>
      <c r="BB6890" s="4"/>
    </row>
    <row r="6891" spans="1:54" x14ac:dyDescent="0.3">
      <c r="A6891" s="66"/>
      <c r="B6891" s="67"/>
      <c r="C6891" s="66"/>
      <c r="D6891" s="68"/>
      <c r="E6891" s="10"/>
      <c r="F6891" s="69"/>
      <c r="G6891" s="68"/>
      <c r="H6891" s="70"/>
      <c r="BA6891" s="4"/>
      <c r="BB6891" s="4"/>
    </row>
    <row r="6892" spans="1:54" x14ac:dyDescent="0.3">
      <c r="A6892" s="66"/>
      <c r="B6892" s="67"/>
      <c r="C6892" s="66"/>
      <c r="D6892" s="68"/>
      <c r="E6892" s="10"/>
      <c r="F6892" s="69"/>
      <c r="G6892" s="68"/>
      <c r="H6892" s="70"/>
      <c r="BA6892" s="4"/>
      <c r="BB6892" s="4"/>
    </row>
    <row r="6893" spans="1:54" x14ac:dyDescent="0.3">
      <c r="A6893" s="66"/>
      <c r="B6893" s="67"/>
      <c r="C6893" s="66"/>
      <c r="D6893" s="68"/>
      <c r="E6893" s="10"/>
      <c r="F6893" s="69"/>
      <c r="G6893" s="68"/>
      <c r="H6893" s="70"/>
      <c r="BA6893" s="4"/>
      <c r="BB6893" s="4"/>
    </row>
    <row r="6894" spans="1:54" x14ac:dyDescent="0.3">
      <c r="A6894" s="66"/>
      <c r="B6894" s="67"/>
      <c r="C6894" s="66"/>
      <c r="D6894" s="68"/>
      <c r="E6894" s="10"/>
      <c r="F6894" s="69"/>
      <c r="G6894" s="68"/>
      <c r="H6894" s="70"/>
      <c r="BA6894" s="4"/>
      <c r="BB6894" s="4"/>
    </row>
    <row r="6895" spans="1:54" x14ac:dyDescent="0.3">
      <c r="A6895" s="66"/>
      <c r="B6895" s="67"/>
      <c r="C6895" s="66"/>
      <c r="D6895" s="68"/>
      <c r="E6895" s="10"/>
      <c r="F6895" s="69"/>
      <c r="G6895" s="68"/>
      <c r="H6895" s="70"/>
      <c r="BA6895" s="4"/>
      <c r="BB6895" s="4"/>
    </row>
    <row r="6896" spans="1:54" x14ac:dyDescent="0.3">
      <c r="A6896" s="66"/>
      <c r="B6896" s="67"/>
      <c r="C6896" s="66"/>
      <c r="D6896" s="68"/>
      <c r="E6896" s="10"/>
      <c r="F6896" s="69"/>
      <c r="G6896" s="68"/>
      <c r="H6896" s="70"/>
      <c r="BA6896" s="4"/>
      <c r="BB6896" s="4"/>
    </row>
    <row r="6897" spans="1:54" x14ac:dyDescent="0.3">
      <c r="A6897" s="66"/>
      <c r="B6897" s="67"/>
      <c r="C6897" s="66"/>
      <c r="D6897" s="68"/>
      <c r="E6897" s="10"/>
      <c r="F6897" s="69"/>
      <c r="G6897" s="68"/>
      <c r="H6897" s="70"/>
      <c r="BA6897" s="4"/>
      <c r="BB6897" s="4"/>
    </row>
    <row r="6898" spans="1:54" x14ac:dyDescent="0.3">
      <c r="A6898" s="66"/>
      <c r="B6898" s="67"/>
      <c r="C6898" s="66"/>
      <c r="D6898" s="68"/>
      <c r="E6898" s="10"/>
      <c r="F6898" s="69"/>
      <c r="G6898" s="68"/>
      <c r="H6898" s="70"/>
      <c r="BA6898" s="4"/>
      <c r="BB6898" s="4"/>
    </row>
    <row r="6899" spans="1:54" x14ac:dyDescent="0.3">
      <c r="A6899" s="66"/>
      <c r="B6899" s="67"/>
      <c r="C6899" s="66"/>
      <c r="D6899" s="68"/>
      <c r="E6899" s="10"/>
      <c r="F6899" s="69"/>
      <c r="G6899" s="68"/>
      <c r="H6899" s="70"/>
      <c r="BA6899" s="4"/>
      <c r="BB6899" s="4"/>
    </row>
    <row r="6900" spans="1:54" x14ac:dyDescent="0.3">
      <c r="A6900" s="66"/>
      <c r="B6900" s="67"/>
      <c r="C6900" s="66"/>
      <c r="D6900" s="68"/>
      <c r="E6900" s="10"/>
      <c r="F6900" s="69"/>
      <c r="G6900" s="68"/>
      <c r="H6900" s="70"/>
      <c r="BA6900" s="4"/>
      <c r="BB6900" s="4"/>
    </row>
    <row r="6901" spans="1:54" x14ac:dyDescent="0.3">
      <c r="A6901" s="66"/>
      <c r="B6901" s="67"/>
      <c r="C6901" s="66"/>
      <c r="D6901" s="68"/>
      <c r="E6901" s="10"/>
      <c r="F6901" s="69"/>
      <c r="G6901" s="68"/>
      <c r="H6901" s="70"/>
      <c r="BA6901" s="4"/>
      <c r="BB6901" s="4"/>
    </row>
    <row r="6902" spans="1:54" x14ac:dyDescent="0.3">
      <c r="A6902" s="66"/>
      <c r="B6902" s="67"/>
      <c r="C6902" s="66"/>
      <c r="D6902" s="68"/>
      <c r="E6902" s="10"/>
      <c r="F6902" s="69"/>
      <c r="G6902" s="68"/>
      <c r="H6902" s="70"/>
      <c r="BA6902" s="4"/>
      <c r="BB6902" s="4"/>
    </row>
    <row r="6903" spans="1:54" x14ac:dyDescent="0.3">
      <c r="A6903" s="66"/>
      <c r="B6903" s="67"/>
      <c r="C6903" s="66"/>
      <c r="D6903" s="68"/>
      <c r="E6903" s="10"/>
      <c r="F6903" s="69"/>
      <c r="G6903" s="68"/>
      <c r="H6903" s="70"/>
      <c r="BA6903" s="4"/>
      <c r="BB6903" s="4"/>
    </row>
    <row r="6904" spans="1:54" x14ac:dyDescent="0.3">
      <c r="A6904" s="66"/>
      <c r="B6904" s="67"/>
      <c r="C6904" s="66"/>
      <c r="D6904" s="68"/>
      <c r="E6904" s="10"/>
      <c r="F6904" s="69"/>
      <c r="G6904" s="68"/>
      <c r="H6904" s="70"/>
      <c r="BA6904" s="4"/>
      <c r="BB6904" s="4"/>
    </row>
    <row r="6905" spans="1:54" x14ac:dyDescent="0.3">
      <c r="A6905" s="66"/>
      <c r="B6905" s="67"/>
      <c r="C6905" s="66"/>
      <c r="D6905" s="68"/>
      <c r="E6905" s="10"/>
      <c r="F6905" s="69"/>
      <c r="G6905" s="68"/>
      <c r="H6905" s="70"/>
      <c r="BA6905" s="4"/>
      <c r="BB6905" s="4"/>
    </row>
    <row r="6906" spans="1:54" x14ac:dyDescent="0.3">
      <c r="A6906" s="66"/>
      <c r="B6906" s="67"/>
      <c r="C6906" s="66"/>
      <c r="D6906" s="68"/>
      <c r="E6906" s="10"/>
      <c r="F6906" s="69"/>
      <c r="G6906" s="68"/>
      <c r="H6906" s="70"/>
      <c r="BA6906" s="4"/>
      <c r="BB6906" s="4"/>
    </row>
    <row r="6907" spans="1:54" x14ac:dyDescent="0.3">
      <c r="A6907" s="66"/>
      <c r="B6907" s="67"/>
      <c r="C6907" s="66"/>
      <c r="D6907" s="68"/>
      <c r="E6907" s="10"/>
      <c r="F6907" s="69"/>
      <c r="G6907" s="68"/>
      <c r="H6907" s="70"/>
      <c r="BA6907" s="4"/>
      <c r="BB6907" s="4"/>
    </row>
    <row r="6908" spans="1:54" x14ac:dyDescent="0.3">
      <c r="A6908" s="66"/>
      <c r="B6908" s="67"/>
      <c r="C6908" s="66"/>
      <c r="D6908" s="68"/>
      <c r="E6908" s="10"/>
      <c r="F6908" s="69"/>
      <c r="G6908" s="68"/>
      <c r="H6908" s="70"/>
      <c r="BA6908" s="4"/>
      <c r="BB6908" s="4"/>
    </row>
    <row r="6909" spans="1:54" x14ac:dyDescent="0.3">
      <c r="A6909" s="66"/>
      <c r="B6909" s="67"/>
      <c r="C6909" s="66"/>
      <c r="D6909" s="68"/>
      <c r="E6909" s="10"/>
      <c r="F6909" s="69"/>
      <c r="G6909" s="68"/>
      <c r="H6909" s="70"/>
      <c r="BA6909" s="4"/>
      <c r="BB6909" s="4"/>
    </row>
    <row r="6910" spans="1:54" x14ac:dyDescent="0.3">
      <c r="A6910" s="66"/>
      <c r="B6910" s="67"/>
      <c r="C6910" s="66"/>
      <c r="D6910" s="68"/>
      <c r="E6910" s="10"/>
      <c r="F6910" s="69"/>
      <c r="G6910" s="68"/>
      <c r="H6910" s="70"/>
      <c r="BA6910" s="4"/>
      <c r="BB6910" s="4"/>
    </row>
    <row r="6911" spans="1:54" x14ac:dyDescent="0.3">
      <c r="A6911" s="66"/>
      <c r="B6911" s="67"/>
      <c r="C6911" s="66"/>
      <c r="D6911" s="68"/>
      <c r="E6911" s="10"/>
      <c r="F6911" s="69"/>
      <c r="G6911" s="68"/>
      <c r="H6911" s="70"/>
      <c r="BA6911" s="4"/>
      <c r="BB6911" s="4"/>
    </row>
    <row r="6912" spans="1:54" x14ac:dyDescent="0.3">
      <c r="A6912" s="66"/>
      <c r="B6912" s="67"/>
      <c r="C6912" s="66"/>
      <c r="D6912" s="68"/>
      <c r="E6912" s="10"/>
      <c r="F6912" s="69"/>
      <c r="G6912" s="68"/>
      <c r="H6912" s="70"/>
      <c r="BA6912" s="4"/>
      <c r="BB6912" s="4"/>
    </row>
    <row r="6913" spans="1:54" x14ac:dyDescent="0.3">
      <c r="A6913" s="66"/>
      <c r="B6913" s="67"/>
      <c r="C6913" s="66"/>
      <c r="D6913" s="68"/>
      <c r="E6913" s="10"/>
      <c r="F6913" s="69"/>
      <c r="G6913" s="68"/>
      <c r="H6913" s="70"/>
      <c r="BA6913" s="4"/>
      <c r="BB6913" s="4"/>
    </row>
    <row r="6914" spans="1:54" x14ac:dyDescent="0.3">
      <c r="A6914" s="66"/>
      <c r="B6914" s="67"/>
      <c r="C6914" s="66"/>
      <c r="D6914" s="68"/>
      <c r="E6914" s="10"/>
      <c r="F6914" s="69"/>
      <c r="G6914" s="68"/>
      <c r="H6914" s="70"/>
      <c r="BA6914" s="4"/>
      <c r="BB6914" s="4"/>
    </row>
    <row r="6915" spans="1:54" x14ac:dyDescent="0.3">
      <c r="A6915" s="66"/>
      <c r="B6915" s="67"/>
      <c r="C6915" s="66"/>
      <c r="D6915" s="68"/>
      <c r="E6915" s="10"/>
      <c r="F6915" s="69"/>
      <c r="G6915" s="68"/>
      <c r="H6915" s="70"/>
      <c r="BA6915" s="4"/>
      <c r="BB6915" s="4"/>
    </row>
    <row r="6916" spans="1:54" x14ac:dyDescent="0.3">
      <c r="A6916" s="66"/>
      <c r="B6916" s="67"/>
      <c r="C6916" s="66"/>
      <c r="D6916" s="68"/>
      <c r="E6916" s="10"/>
      <c r="F6916" s="69"/>
      <c r="G6916" s="68"/>
      <c r="H6916" s="70"/>
      <c r="BA6916" s="4"/>
      <c r="BB6916" s="4"/>
    </row>
    <row r="6917" spans="1:54" x14ac:dyDescent="0.3">
      <c r="A6917" s="66"/>
      <c r="B6917" s="67"/>
      <c r="C6917" s="66"/>
      <c r="D6917" s="68"/>
      <c r="E6917" s="10"/>
      <c r="F6917" s="69"/>
      <c r="G6917" s="68"/>
      <c r="H6917" s="70"/>
      <c r="BA6917" s="4"/>
      <c r="BB6917" s="4"/>
    </row>
    <row r="6918" spans="1:54" x14ac:dyDescent="0.3">
      <c r="A6918" s="66"/>
      <c r="B6918" s="67"/>
      <c r="C6918" s="66"/>
      <c r="D6918" s="68"/>
      <c r="E6918" s="10"/>
      <c r="F6918" s="69"/>
      <c r="G6918" s="68"/>
      <c r="H6918" s="70"/>
      <c r="BA6918" s="4"/>
      <c r="BB6918" s="4"/>
    </row>
    <row r="6919" spans="1:54" x14ac:dyDescent="0.3">
      <c r="A6919" s="66"/>
      <c r="B6919" s="67"/>
      <c r="C6919" s="66"/>
      <c r="D6919" s="68"/>
      <c r="E6919" s="10"/>
      <c r="F6919" s="69"/>
      <c r="G6919" s="68"/>
      <c r="H6919" s="70"/>
      <c r="BA6919" s="4"/>
      <c r="BB6919" s="4"/>
    </row>
    <row r="6920" spans="1:54" x14ac:dyDescent="0.3">
      <c r="A6920" s="66"/>
      <c r="B6920" s="67"/>
      <c r="C6920" s="66"/>
      <c r="D6920" s="68"/>
      <c r="E6920" s="10"/>
      <c r="F6920" s="69"/>
      <c r="G6920" s="68"/>
      <c r="H6920" s="70"/>
      <c r="BA6920" s="4"/>
      <c r="BB6920" s="4"/>
    </row>
    <row r="6921" spans="1:54" x14ac:dyDescent="0.3">
      <c r="A6921" s="66"/>
      <c r="B6921" s="67"/>
      <c r="C6921" s="66"/>
      <c r="D6921" s="68"/>
      <c r="E6921" s="10"/>
      <c r="F6921" s="69"/>
      <c r="G6921" s="68"/>
      <c r="H6921" s="70"/>
      <c r="BA6921" s="4"/>
      <c r="BB6921" s="4"/>
    </row>
    <row r="6922" spans="1:54" x14ac:dyDescent="0.3">
      <c r="A6922" s="66"/>
      <c r="B6922" s="67"/>
      <c r="C6922" s="66"/>
      <c r="D6922" s="68"/>
      <c r="E6922" s="10"/>
      <c r="F6922" s="69"/>
      <c r="G6922" s="68"/>
      <c r="H6922" s="70"/>
      <c r="BA6922" s="4"/>
      <c r="BB6922" s="4"/>
    </row>
    <row r="6923" spans="1:54" x14ac:dyDescent="0.3">
      <c r="A6923" s="66"/>
      <c r="B6923" s="67"/>
      <c r="C6923" s="66"/>
      <c r="D6923" s="68"/>
      <c r="E6923" s="10"/>
      <c r="F6923" s="69"/>
      <c r="G6923" s="68"/>
      <c r="H6923" s="70"/>
      <c r="BA6923" s="4"/>
      <c r="BB6923" s="4"/>
    </row>
    <row r="6924" spans="1:54" x14ac:dyDescent="0.3">
      <c r="A6924" s="66"/>
      <c r="B6924" s="67"/>
      <c r="C6924" s="66"/>
      <c r="D6924" s="68"/>
      <c r="E6924" s="10"/>
      <c r="F6924" s="69"/>
      <c r="G6924" s="68"/>
      <c r="H6924" s="70"/>
      <c r="BA6924" s="4"/>
      <c r="BB6924" s="4"/>
    </row>
    <row r="6925" spans="1:54" x14ac:dyDescent="0.3">
      <c r="A6925" s="66"/>
      <c r="B6925" s="67"/>
      <c r="C6925" s="66"/>
      <c r="D6925" s="68"/>
      <c r="E6925" s="10"/>
      <c r="F6925" s="69"/>
      <c r="G6925" s="68"/>
      <c r="H6925" s="70"/>
      <c r="BA6925" s="4"/>
      <c r="BB6925" s="4"/>
    </row>
    <row r="6926" spans="1:54" x14ac:dyDescent="0.3">
      <c r="A6926" s="66"/>
      <c r="B6926" s="67"/>
      <c r="C6926" s="66"/>
      <c r="D6926" s="68"/>
      <c r="E6926" s="10"/>
      <c r="F6926" s="69"/>
      <c r="G6926" s="68"/>
      <c r="H6926" s="70"/>
      <c r="BA6926" s="4"/>
      <c r="BB6926" s="4"/>
    </row>
    <row r="6927" spans="1:54" x14ac:dyDescent="0.3">
      <c r="A6927" s="66"/>
      <c r="B6927" s="67"/>
      <c r="C6927" s="66"/>
      <c r="D6927" s="68"/>
      <c r="E6927" s="10"/>
      <c r="F6927" s="69"/>
      <c r="G6927" s="68"/>
      <c r="H6927" s="70"/>
      <c r="BA6927" s="4"/>
      <c r="BB6927" s="4"/>
    </row>
    <row r="6928" spans="1:54" x14ac:dyDescent="0.3">
      <c r="A6928" s="66"/>
      <c r="B6928" s="67"/>
      <c r="C6928" s="66"/>
      <c r="D6928" s="68"/>
      <c r="E6928" s="10"/>
      <c r="F6928" s="69"/>
      <c r="G6928" s="68"/>
      <c r="H6928" s="70"/>
      <c r="BA6928" s="4"/>
      <c r="BB6928" s="4"/>
    </row>
    <row r="6929" spans="1:54" x14ac:dyDescent="0.3">
      <c r="A6929" s="66"/>
      <c r="B6929" s="67"/>
      <c r="C6929" s="66"/>
      <c r="D6929" s="68"/>
      <c r="E6929" s="10"/>
      <c r="F6929" s="69"/>
      <c r="G6929" s="68"/>
      <c r="H6929" s="70"/>
      <c r="BA6929" s="4"/>
      <c r="BB6929" s="4"/>
    </row>
    <row r="6930" spans="1:54" x14ac:dyDescent="0.3">
      <c r="A6930" s="66"/>
      <c r="B6930" s="67"/>
      <c r="C6930" s="66"/>
      <c r="D6930" s="68"/>
      <c r="E6930" s="10"/>
      <c r="F6930" s="69"/>
      <c r="G6930" s="68"/>
      <c r="H6930" s="70"/>
      <c r="BA6930" s="4"/>
      <c r="BB6930" s="4"/>
    </row>
    <row r="6931" spans="1:54" x14ac:dyDescent="0.3">
      <c r="A6931" s="66"/>
      <c r="B6931" s="67"/>
      <c r="C6931" s="66"/>
      <c r="D6931" s="68"/>
      <c r="E6931" s="10"/>
      <c r="F6931" s="69"/>
      <c r="G6931" s="68"/>
      <c r="H6931" s="70"/>
      <c r="BA6931" s="4"/>
      <c r="BB6931" s="4"/>
    </row>
    <row r="6932" spans="1:54" x14ac:dyDescent="0.3">
      <c r="A6932" s="66"/>
      <c r="B6932" s="67"/>
      <c r="C6932" s="66"/>
      <c r="D6932" s="68"/>
      <c r="E6932" s="10"/>
      <c r="F6932" s="69"/>
      <c r="G6932" s="68"/>
      <c r="H6932" s="70"/>
      <c r="BA6932" s="4"/>
      <c r="BB6932" s="4"/>
    </row>
    <row r="6933" spans="1:54" x14ac:dyDescent="0.3">
      <c r="A6933" s="66"/>
      <c r="B6933" s="67"/>
      <c r="C6933" s="66"/>
      <c r="D6933" s="68"/>
      <c r="E6933" s="10"/>
      <c r="F6933" s="69"/>
      <c r="G6933" s="68"/>
      <c r="H6933" s="70"/>
      <c r="BA6933" s="4"/>
      <c r="BB6933" s="4"/>
    </row>
    <row r="6934" spans="1:54" x14ac:dyDescent="0.3">
      <c r="A6934" s="66"/>
      <c r="B6934" s="67"/>
      <c r="C6934" s="66"/>
      <c r="D6934" s="68"/>
      <c r="E6934" s="10"/>
      <c r="F6934" s="69"/>
      <c r="G6934" s="68"/>
      <c r="H6934" s="70"/>
      <c r="BA6934" s="4"/>
      <c r="BB6934" s="4"/>
    </row>
    <row r="6935" spans="1:54" x14ac:dyDescent="0.3">
      <c r="A6935" s="66"/>
      <c r="B6935" s="67"/>
      <c r="C6935" s="66"/>
      <c r="D6935" s="68"/>
      <c r="E6935" s="10"/>
      <c r="F6935" s="69"/>
      <c r="G6935" s="68"/>
      <c r="H6935" s="70"/>
      <c r="BA6935" s="4"/>
      <c r="BB6935" s="4"/>
    </row>
    <row r="6936" spans="1:54" x14ac:dyDescent="0.3">
      <c r="A6936" s="66"/>
      <c r="B6936" s="67"/>
      <c r="C6936" s="66"/>
      <c r="D6936" s="68"/>
      <c r="E6936" s="10"/>
      <c r="F6936" s="69"/>
      <c r="G6936" s="68"/>
      <c r="H6936" s="70"/>
      <c r="BA6936" s="4"/>
      <c r="BB6936" s="4"/>
    </row>
    <row r="6937" spans="1:54" x14ac:dyDescent="0.3">
      <c r="A6937" s="66"/>
      <c r="B6937" s="67"/>
      <c r="C6937" s="66"/>
      <c r="D6937" s="68"/>
      <c r="E6937" s="10"/>
      <c r="F6937" s="69"/>
      <c r="G6937" s="68"/>
      <c r="H6937" s="70"/>
      <c r="BA6937" s="4"/>
      <c r="BB6937" s="4"/>
    </row>
    <row r="6938" spans="1:54" x14ac:dyDescent="0.3">
      <c r="A6938" s="66"/>
      <c r="B6938" s="67"/>
      <c r="C6938" s="66"/>
      <c r="D6938" s="68"/>
      <c r="E6938" s="10"/>
      <c r="F6938" s="69"/>
      <c r="G6938" s="68"/>
      <c r="H6938" s="70"/>
      <c r="BA6938" s="4"/>
      <c r="BB6938" s="4"/>
    </row>
    <row r="6939" spans="1:54" x14ac:dyDescent="0.3">
      <c r="A6939" s="66"/>
      <c r="B6939" s="67"/>
      <c r="C6939" s="66"/>
      <c r="D6939" s="68"/>
      <c r="E6939" s="10"/>
      <c r="F6939" s="69"/>
      <c r="G6939" s="68"/>
      <c r="H6939" s="70"/>
      <c r="BA6939" s="4"/>
      <c r="BB6939" s="4"/>
    </row>
    <row r="6940" spans="1:54" x14ac:dyDescent="0.3">
      <c r="A6940" s="66"/>
      <c r="B6940" s="67"/>
      <c r="C6940" s="66"/>
      <c r="D6940" s="68"/>
      <c r="E6940" s="10"/>
      <c r="F6940" s="69"/>
      <c r="G6940" s="68"/>
      <c r="H6940" s="70"/>
      <c r="BA6940" s="4"/>
      <c r="BB6940" s="4"/>
    </row>
    <row r="6941" spans="1:54" x14ac:dyDescent="0.3">
      <c r="A6941" s="66"/>
      <c r="B6941" s="67"/>
      <c r="C6941" s="66"/>
      <c r="D6941" s="68"/>
      <c r="E6941" s="10"/>
      <c r="F6941" s="69"/>
      <c r="G6941" s="68"/>
      <c r="H6941" s="70"/>
      <c r="BA6941" s="4"/>
      <c r="BB6941" s="4"/>
    </row>
    <row r="6942" spans="1:54" x14ac:dyDescent="0.3">
      <c r="A6942" s="66"/>
      <c r="B6942" s="67"/>
      <c r="C6942" s="66"/>
      <c r="D6942" s="68"/>
      <c r="E6942" s="10"/>
      <c r="F6942" s="69"/>
      <c r="G6942" s="68"/>
      <c r="H6942" s="70"/>
      <c r="BA6942" s="4"/>
      <c r="BB6942" s="4"/>
    </row>
    <row r="6943" spans="1:54" x14ac:dyDescent="0.3">
      <c r="A6943" s="66"/>
      <c r="B6943" s="67"/>
      <c r="C6943" s="66"/>
      <c r="D6943" s="68"/>
      <c r="E6943" s="10"/>
      <c r="F6943" s="69"/>
      <c r="G6943" s="68"/>
      <c r="H6943" s="70"/>
      <c r="BA6943" s="4"/>
      <c r="BB6943" s="4"/>
    </row>
    <row r="6944" spans="1:54" x14ac:dyDescent="0.3">
      <c r="A6944" s="66"/>
      <c r="B6944" s="67"/>
      <c r="C6944" s="66"/>
      <c r="D6944" s="68"/>
      <c r="E6944" s="10"/>
      <c r="F6944" s="69"/>
      <c r="G6944" s="68"/>
      <c r="H6944" s="70"/>
      <c r="BA6944" s="4"/>
      <c r="BB6944" s="4"/>
    </row>
    <row r="6945" spans="1:54" x14ac:dyDescent="0.3">
      <c r="A6945" s="66"/>
      <c r="B6945" s="67"/>
      <c r="C6945" s="66"/>
      <c r="D6945" s="68"/>
      <c r="E6945" s="10"/>
      <c r="F6945" s="69"/>
      <c r="G6945" s="68"/>
      <c r="H6945" s="70"/>
      <c r="BA6945" s="4"/>
      <c r="BB6945" s="4"/>
    </row>
    <row r="6946" spans="1:54" x14ac:dyDescent="0.3">
      <c r="A6946" s="66"/>
      <c r="B6946" s="67"/>
      <c r="C6946" s="66"/>
      <c r="D6946" s="68"/>
      <c r="E6946" s="10"/>
      <c r="F6946" s="69"/>
      <c r="G6946" s="68"/>
      <c r="H6946" s="70"/>
      <c r="BA6946" s="4"/>
      <c r="BB6946" s="4"/>
    </row>
    <row r="6947" spans="1:54" x14ac:dyDescent="0.3">
      <c r="A6947" s="66"/>
      <c r="B6947" s="67"/>
      <c r="C6947" s="66"/>
      <c r="D6947" s="68"/>
      <c r="E6947" s="10"/>
      <c r="F6947" s="69"/>
      <c r="G6947" s="68"/>
      <c r="H6947" s="70"/>
      <c r="BA6947" s="4"/>
      <c r="BB6947" s="4"/>
    </row>
    <row r="6948" spans="1:54" x14ac:dyDescent="0.3">
      <c r="A6948" s="66"/>
      <c r="B6948" s="67"/>
      <c r="C6948" s="66"/>
      <c r="D6948" s="68"/>
      <c r="E6948" s="10"/>
      <c r="F6948" s="69"/>
      <c r="G6948" s="68"/>
      <c r="H6948" s="70"/>
      <c r="BA6948" s="4"/>
      <c r="BB6948" s="4"/>
    </row>
    <row r="6949" spans="1:54" x14ac:dyDescent="0.3">
      <c r="A6949" s="66"/>
      <c r="B6949" s="67"/>
      <c r="C6949" s="66"/>
      <c r="D6949" s="68"/>
      <c r="E6949" s="10"/>
      <c r="F6949" s="69"/>
      <c r="G6949" s="68"/>
      <c r="H6949" s="70"/>
      <c r="BA6949" s="4"/>
      <c r="BB6949" s="4"/>
    </row>
    <row r="6950" spans="1:54" x14ac:dyDescent="0.3">
      <c r="A6950" s="66"/>
      <c r="B6950" s="67"/>
      <c r="C6950" s="66"/>
      <c r="D6950" s="68"/>
      <c r="E6950" s="10"/>
      <c r="F6950" s="69"/>
      <c r="G6950" s="68"/>
      <c r="H6950" s="70"/>
      <c r="BA6950" s="4"/>
      <c r="BB6950" s="4"/>
    </row>
    <row r="6951" spans="1:54" x14ac:dyDescent="0.3">
      <c r="A6951" s="66"/>
      <c r="B6951" s="67"/>
      <c r="C6951" s="66"/>
      <c r="D6951" s="68"/>
      <c r="E6951" s="10"/>
      <c r="F6951" s="69"/>
      <c r="G6951" s="68"/>
      <c r="H6951" s="70"/>
      <c r="BA6951" s="4"/>
      <c r="BB6951" s="4"/>
    </row>
    <row r="6952" spans="1:54" x14ac:dyDescent="0.3">
      <c r="A6952" s="66"/>
      <c r="B6952" s="67"/>
      <c r="C6952" s="66"/>
      <c r="D6952" s="68"/>
      <c r="E6952" s="10"/>
      <c r="F6952" s="69"/>
      <c r="G6952" s="68"/>
      <c r="H6952" s="70"/>
      <c r="BA6952" s="4"/>
      <c r="BB6952" s="4"/>
    </row>
    <row r="6953" spans="1:54" x14ac:dyDescent="0.3">
      <c r="A6953" s="66"/>
      <c r="B6953" s="67"/>
      <c r="C6953" s="66"/>
      <c r="D6953" s="68"/>
      <c r="E6953" s="10"/>
      <c r="F6953" s="69"/>
      <c r="G6953" s="68"/>
      <c r="H6953" s="70"/>
      <c r="BA6953" s="4"/>
      <c r="BB6953" s="4"/>
    </row>
    <row r="6954" spans="1:54" x14ac:dyDescent="0.3">
      <c r="A6954" s="66"/>
      <c r="B6954" s="67"/>
      <c r="C6954" s="66"/>
      <c r="D6954" s="68"/>
      <c r="E6954" s="10"/>
      <c r="F6954" s="69"/>
      <c r="G6954" s="68"/>
      <c r="H6954" s="70"/>
      <c r="BA6954" s="4"/>
      <c r="BB6954" s="4"/>
    </row>
    <row r="6955" spans="1:54" x14ac:dyDescent="0.3">
      <c r="A6955" s="66"/>
      <c r="B6955" s="67"/>
      <c r="C6955" s="66"/>
      <c r="D6955" s="68"/>
      <c r="E6955" s="10"/>
      <c r="F6955" s="69"/>
      <c r="G6955" s="68"/>
      <c r="H6955" s="70"/>
      <c r="BA6955" s="4"/>
      <c r="BB6955" s="4"/>
    </row>
    <row r="6956" spans="1:54" x14ac:dyDescent="0.3">
      <c r="A6956" s="66"/>
      <c r="B6956" s="67"/>
      <c r="C6956" s="66"/>
      <c r="D6956" s="68"/>
      <c r="E6956" s="10"/>
      <c r="F6956" s="69"/>
      <c r="G6956" s="68"/>
      <c r="H6956" s="70"/>
      <c r="BA6956" s="4"/>
      <c r="BB6956" s="4"/>
    </row>
    <row r="6957" spans="1:54" x14ac:dyDescent="0.3">
      <c r="A6957" s="66"/>
      <c r="B6957" s="67"/>
      <c r="C6957" s="66"/>
      <c r="D6957" s="68"/>
      <c r="E6957" s="10"/>
      <c r="F6957" s="69"/>
      <c r="G6957" s="68"/>
      <c r="H6957" s="70"/>
      <c r="BA6957" s="4"/>
      <c r="BB6957" s="4"/>
    </row>
    <row r="6958" spans="1:54" x14ac:dyDescent="0.3">
      <c r="A6958" s="66"/>
      <c r="B6958" s="67"/>
      <c r="C6958" s="66"/>
      <c r="D6958" s="68"/>
      <c r="E6958" s="10"/>
      <c r="F6958" s="69"/>
      <c r="G6958" s="68"/>
      <c r="H6958" s="70"/>
      <c r="BA6958" s="4"/>
      <c r="BB6958" s="4"/>
    </row>
    <row r="6959" spans="1:54" x14ac:dyDescent="0.3">
      <c r="A6959" s="66"/>
      <c r="B6959" s="67"/>
      <c r="C6959" s="66"/>
      <c r="D6959" s="68"/>
      <c r="E6959" s="10"/>
      <c r="F6959" s="69"/>
      <c r="G6959" s="68"/>
      <c r="H6959" s="70"/>
      <c r="BA6959" s="4"/>
      <c r="BB6959" s="4"/>
    </row>
    <row r="6960" spans="1:54" x14ac:dyDescent="0.3">
      <c r="A6960" s="66"/>
      <c r="B6960" s="67"/>
      <c r="C6960" s="66"/>
      <c r="D6960" s="68"/>
      <c r="E6960" s="10"/>
      <c r="F6960" s="69"/>
      <c r="G6960" s="68"/>
      <c r="H6960" s="70"/>
      <c r="BA6960" s="4"/>
      <c r="BB6960" s="4"/>
    </row>
    <row r="6961" spans="1:54" x14ac:dyDescent="0.3">
      <c r="A6961" s="66"/>
      <c r="B6961" s="67"/>
      <c r="C6961" s="66"/>
      <c r="D6961" s="68"/>
      <c r="E6961" s="10"/>
      <c r="F6961" s="69"/>
      <c r="G6961" s="68"/>
      <c r="H6961" s="70"/>
      <c r="BA6961" s="4"/>
      <c r="BB6961" s="4"/>
    </row>
    <row r="6962" spans="1:54" x14ac:dyDescent="0.3">
      <c r="A6962" s="66"/>
      <c r="B6962" s="67"/>
      <c r="C6962" s="66"/>
      <c r="D6962" s="68"/>
      <c r="E6962" s="10"/>
      <c r="F6962" s="69"/>
      <c r="G6962" s="68"/>
      <c r="H6962" s="70"/>
      <c r="BA6962" s="4"/>
      <c r="BB6962" s="4"/>
    </row>
    <row r="6963" spans="1:54" x14ac:dyDescent="0.3">
      <c r="A6963" s="66"/>
      <c r="B6963" s="67"/>
      <c r="C6963" s="66"/>
      <c r="D6963" s="68"/>
      <c r="E6963" s="10"/>
      <c r="F6963" s="69"/>
      <c r="G6963" s="68"/>
      <c r="H6963" s="70"/>
      <c r="BA6963" s="4"/>
      <c r="BB6963" s="4"/>
    </row>
    <row r="6964" spans="1:54" x14ac:dyDescent="0.3">
      <c r="A6964" s="66"/>
      <c r="B6964" s="67"/>
      <c r="C6964" s="66"/>
      <c r="D6964" s="68"/>
      <c r="E6964" s="10"/>
      <c r="F6964" s="69"/>
      <c r="G6964" s="68"/>
      <c r="H6964" s="70"/>
      <c r="BA6964" s="4"/>
      <c r="BB6964" s="4"/>
    </row>
    <row r="6965" spans="1:54" x14ac:dyDescent="0.3">
      <c r="A6965" s="66"/>
      <c r="B6965" s="67"/>
      <c r="C6965" s="66"/>
      <c r="D6965" s="68"/>
      <c r="E6965" s="10"/>
      <c r="F6965" s="69"/>
      <c r="G6965" s="68"/>
      <c r="H6965" s="70"/>
      <c r="BA6965" s="4"/>
      <c r="BB6965" s="4"/>
    </row>
    <row r="6966" spans="1:54" x14ac:dyDescent="0.3">
      <c r="A6966" s="66"/>
      <c r="B6966" s="67"/>
      <c r="C6966" s="66"/>
      <c r="D6966" s="68"/>
      <c r="E6966" s="10"/>
      <c r="F6966" s="69"/>
      <c r="G6966" s="68"/>
      <c r="H6966" s="70"/>
      <c r="BA6966" s="4"/>
      <c r="BB6966" s="4"/>
    </row>
    <row r="6967" spans="1:54" x14ac:dyDescent="0.3">
      <c r="A6967" s="66"/>
      <c r="B6967" s="67"/>
      <c r="C6967" s="66"/>
      <c r="D6967" s="68"/>
      <c r="E6967" s="10"/>
      <c r="F6967" s="69"/>
      <c r="G6967" s="68"/>
      <c r="H6967" s="70"/>
      <c r="BA6967" s="4"/>
      <c r="BB6967" s="4"/>
    </row>
    <row r="6968" spans="1:54" x14ac:dyDescent="0.3">
      <c r="A6968" s="66"/>
      <c r="B6968" s="67"/>
      <c r="C6968" s="66"/>
      <c r="D6968" s="68"/>
      <c r="E6968" s="10"/>
      <c r="F6968" s="69"/>
      <c r="G6968" s="68"/>
      <c r="H6968" s="70"/>
      <c r="BA6968" s="4"/>
      <c r="BB6968" s="4"/>
    </row>
    <row r="6969" spans="1:54" x14ac:dyDescent="0.3">
      <c r="A6969" s="66"/>
      <c r="B6969" s="67"/>
      <c r="C6969" s="66"/>
      <c r="D6969" s="68"/>
      <c r="E6969" s="10"/>
      <c r="F6969" s="69"/>
      <c r="G6969" s="68"/>
      <c r="H6969" s="70"/>
      <c r="BA6969" s="4"/>
      <c r="BB6969" s="4"/>
    </row>
    <row r="6970" spans="1:54" x14ac:dyDescent="0.3">
      <c r="A6970" s="66"/>
      <c r="B6970" s="67"/>
      <c r="C6970" s="66"/>
      <c r="D6970" s="68"/>
      <c r="E6970" s="10"/>
      <c r="F6970" s="69"/>
      <c r="G6970" s="68"/>
      <c r="H6970" s="70"/>
      <c r="BA6970" s="4"/>
      <c r="BB6970" s="4"/>
    </row>
    <row r="6971" spans="1:54" x14ac:dyDescent="0.3">
      <c r="A6971" s="66"/>
      <c r="B6971" s="67"/>
      <c r="C6971" s="66"/>
      <c r="D6971" s="68"/>
      <c r="E6971" s="10"/>
      <c r="F6971" s="69"/>
      <c r="G6971" s="68"/>
      <c r="H6971" s="70"/>
      <c r="BA6971" s="4"/>
      <c r="BB6971" s="4"/>
    </row>
    <row r="6972" spans="1:54" x14ac:dyDescent="0.3">
      <c r="A6972" s="66"/>
      <c r="B6972" s="67"/>
      <c r="C6972" s="66"/>
      <c r="D6972" s="68"/>
      <c r="E6972" s="10"/>
      <c r="F6972" s="69"/>
      <c r="G6972" s="68"/>
      <c r="H6972" s="70"/>
      <c r="BA6972" s="4"/>
      <c r="BB6972" s="4"/>
    </row>
    <row r="6973" spans="1:54" x14ac:dyDescent="0.3">
      <c r="A6973" s="66"/>
      <c r="B6973" s="67"/>
      <c r="C6973" s="66"/>
      <c r="D6973" s="68"/>
      <c r="E6973" s="10"/>
      <c r="F6973" s="69"/>
      <c r="G6973" s="68"/>
      <c r="H6973" s="70"/>
      <c r="BA6973" s="4"/>
      <c r="BB6973" s="4"/>
    </row>
    <row r="6974" spans="1:54" x14ac:dyDescent="0.3">
      <c r="A6974" s="66"/>
      <c r="B6974" s="67"/>
      <c r="C6974" s="66"/>
      <c r="D6974" s="68"/>
      <c r="E6974" s="10"/>
      <c r="F6974" s="69"/>
      <c r="G6974" s="68"/>
      <c r="H6974" s="70"/>
      <c r="BA6974" s="4"/>
      <c r="BB6974" s="4"/>
    </row>
    <row r="6975" spans="1:54" x14ac:dyDescent="0.3">
      <c r="A6975" s="66"/>
      <c r="B6975" s="67"/>
      <c r="C6975" s="66"/>
      <c r="D6975" s="68"/>
      <c r="E6975" s="10"/>
      <c r="F6975" s="69"/>
      <c r="G6975" s="68"/>
      <c r="H6975" s="70"/>
      <c r="BA6975" s="4"/>
      <c r="BB6975" s="4"/>
    </row>
    <row r="6976" spans="1:54" x14ac:dyDescent="0.3">
      <c r="A6976" s="66"/>
      <c r="B6976" s="67"/>
      <c r="C6976" s="66"/>
      <c r="D6976" s="68"/>
      <c r="E6976" s="10"/>
      <c r="F6976" s="69"/>
      <c r="G6976" s="68"/>
      <c r="H6976" s="70"/>
      <c r="BA6976" s="4"/>
      <c r="BB6976" s="4"/>
    </row>
    <row r="6977" spans="1:54" x14ac:dyDescent="0.3">
      <c r="A6977" s="66"/>
      <c r="B6977" s="67"/>
      <c r="C6977" s="66"/>
      <c r="D6977" s="68"/>
      <c r="E6977" s="10"/>
      <c r="F6977" s="69"/>
      <c r="G6977" s="68"/>
      <c r="H6977" s="70"/>
      <c r="BA6977" s="4"/>
      <c r="BB6977" s="4"/>
    </row>
    <row r="6978" spans="1:54" x14ac:dyDescent="0.3">
      <c r="A6978" s="66"/>
      <c r="B6978" s="67"/>
      <c r="C6978" s="66"/>
      <c r="D6978" s="68"/>
      <c r="E6978" s="10"/>
      <c r="F6978" s="69"/>
      <c r="G6978" s="68"/>
      <c r="H6978" s="70"/>
      <c r="BA6978" s="4"/>
      <c r="BB6978" s="4"/>
    </row>
    <row r="6979" spans="1:54" x14ac:dyDescent="0.3">
      <c r="A6979" s="66"/>
      <c r="B6979" s="67"/>
      <c r="C6979" s="66"/>
      <c r="D6979" s="68"/>
      <c r="E6979" s="10"/>
      <c r="F6979" s="69"/>
      <c r="G6979" s="68"/>
      <c r="H6979" s="70"/>
      <c r="BA6979" s="4"/>
      <c r="BB6979" s="4"/>
    </row>
    <row r="6980" spans="1:54" x14ac:dyDescent="0.3">
      <c r="A6980" s="66"/>
      <c r="B6980" s="67"/>
      <c r="C6980" s="66"/>
      <c r="D6980" s="68"/>
      <c r="E6980" s="10"/>
      <c r="F6980" s="69"/>
      <c r="G6980" s="68"/>
      <c r="H6980" s="70"/>
      <c r="BA6980" s="4"/>
      <c r="BB6980" s="4"/>
    </row>
    <row r="6981" spans="1:54" x14ac:dyDescent="0.3">
      <c r="A6981" s="66"/>
      <c r="B6981" s="67"/>
      <c r="C6981" s="66"/>
      <c r="D6981" s="68"/>
      <c r="E6981" s="10"/>
      <c r="F6981" s="69"/>
      <c r="G6981" s="68"/>
      <c r="H6981" s="70"/>
      <c r="BA6981" s="4"/>
      <c r="BB6981" s="4"/>
    </row>
    <row r="6982" spans="1:54" x14ac:dyDescent="0.3">
      <c r="A6982" s="66"/>
      <c r="B6982" s="67"/>
      <c r="C6982" s="66"/>
      <c r="D6982" s="68"/>
      <c r="E6982" s="10"/>
      <c r="F6982" s="69"/>
      <c r="G6982" s="68"/>
      <c r="H6982" s="70"/>
      <c r="BA6982" s="4"/>
      <c r="BB6982" s="4"/>
    </row>
    <row r="6983" spans="1:54" x14ac:dyDescent="0.3">
      <c r="A6983" s="66"/>
      <c r="B6983" s="67"/>
      <c r="C6983" s="66"/>
      <c r="D6983" s="68"/>
      <c r="E6983" s="10"/>
      <c r="F6983" s="69"/>
      <c r="G6983" s="68"/>
      <c r="H6983" s="70"/>
      <c r="BA6983" s="4"/>
      <c r="BB6983" s="4"/>
    </row>
    <row r="6984" spans="1:54" x14ac:dyDescent="0.3">
      <c r="A6984" s="66"/>
      <c r="B6984" s="67"/>
      <c r="C6984" s="66"/>
      <c r="D6984" s="68"/>
      <c r="E6984" s="10"/>
      <c r="F6984" s="69"/>
      <c r="G6984" s="68"/>
      <c r="H6984" s="70"/>
      <c r="BA6984" s="4"/>
      <c r="BB6984" s="4"/>
    </row>
    <row r="6985" spans="1:54" x14ac:dyDescent="0.3">
      <c r="A6985" s="66"/>
      <c r="B6985" s="67"/>
      <c r="C6985" s="66"/>
      <c r="D6985" s="68"/>
      <c r="E6985" s="10"/>
      <c r="F6985" s="69"/>
      <c r="G6985" s="68"/>
      <c r="H6985" s="70"/>
      <c r="BA6985" s="4"/>
      <c r="BB6985" s="4"/>
    </row>
    <row r="6986" spans="1:54" x14ac:dyDescent="0.3">
      <c r="A6986" s="66"/>
      <c r="B6986" s="67"/>
      <c r="C6986" s="66"/>
      <c r="D6986" s="68"/>
      <c r="E6986" s="10"/>
      <c r="F6986" s="69"/>
      <c r="G6986" s="68"/>
      <c r="H6986" s="70"/>
      <c r="BA6986" s="4"/>
      <c r="BB6986" s="4"/>
    </row>
    <row r="6987" spans="1:54" x14ac:dyDescent="0.3">
      <c r="A6987" s="66"/>
      <c r="B6987" s="67"/>
      <c r="C6987" s="66"/>
      <c r="D6987" s="68"/>
      <c r="E6987" s="10"/>
      <c r="F6987" s="69"/>
      <c r="G6987" s="68"/>
      <c r="H6987" s="70"/>
      <c r="BA6987" s="4"/>
      <c r="BB6987" s="4"/>
    </row>
    <row r="6988" spans="1:54" x14ac:dyDescent="0.3">
      <c r="A6988" s="66"/>
      <c r="B6988" s="67"/>
      <c r="C6988" s="66"/>
      <c r="D6988" s="68"/>
      <c r="E6988" s="10"/>
      <c r="F6988" s="69"/>
      <c r="G6988" s="68"/>
      <c r="H6988" s="70"/>
      <c r="BA6988" s="4"/>
      <c r="BB6988" s="4"/>
    </row>
    <row r="6989" spans="1:54" x14ac:dyDescent="0.3">
      <c r="A6989" s="66"/>
      <c r="B6989" s="67"/>
      <c r="C6989" s="66"/>
      <c r="D6989" s="68"/>
      <c r="E6989" s="10"/>
      <c r="F6989" s="69"/>
      <c r="G6989" s="68"/>
      <c r="H6989" s="70"/>
      <c r="BA6989" s="4"/>
      <c r="BB6989" s="4"/>
    </row>
    <row r="6990" spans="1:54" x14ac:dyDescent="0.3">
      <c r="A6990" s="66"/>
      <c r="B6990" s="67"/>
      <c r="C6990" s="66"/>
      <c r="D6990" s="68"/>
      <c r="E6990" s="10"/>
      <c r="F6990" s="69"/>
      <c r="G6990" s="68"/>
      <c r="H6990" s="70"/>
      <c r="BA6990" s="4"/>
      <c r="BB6990" s="4"/>
    </row>
    <row r="6991" spans="1:54" x14ac:dyDescent="0.3">
      <c r="A6991" s="66"/>
      <c r="B6991" s="67"/>
      <c r="C6991" s="66"/>
      <c r="D6991" s="68"/>
      <c r="E6991" s="10"/>
      <c r="F6991" s="69"/>
      <c r="G6991" s="68"/>
      <c r="H6991" s="70"/>
      <c r="BA6991" s="4"/>
      <c r="BB6991" s="4"/>
    </row>
    <row r="6992" spans="1:54" x14ac:dyDescent="0.3">
      <c r="A6992" s="66"/>
      <c r="B6992" s="67"/>
      <c r="C6992" s="66"/>
      <c r="D6992" s="68"/>
      <c r="E6992" s="10"/>
      <c r="F6992" s="69"/>
      <c r="G6992" s="68"/>
      <c r="H6992" s="70"/>
      <c r="BA6992" s="4"/>
      <c r="BB6992" s="4"/>
    </row>
    <row r="6993" spans="1:54" x14ac:dyDescent="0.3">
      <c r="A6993" s="66"/>
      <c r="B6993" s="67"/>
      <c r="C6993" s="66"/>
      <c r="D6993" s="68"/>
      <c r="E6993" s="10"/>
      <c r="F6993" s="69"/>
      <c r="G6993" s="68"/>
      <c r="H6993" s="70"/>
      <c r="BA6993" s="4"/>
      <c r="BB6993" s="4"/>
    </row>
    <row r="6994" spans="1:54" x14ac:dyDescent="0.3">
      <c r="A6994" s="66"/>
      <c r="B6994" s="67"/>
      <c r="C6994" s="66"/>
      <c r="D6994" s="68"/>
      <c r="E6994" s="10"/>
      <c r="F6994" s="69"/>
      <c r="G6994" s="68"/>
      <c r="H6994" s="70"/>
      <c r="BA6994" s="4"/>
      <c r="BB6994" s="4"/>
    </row>
    <row r="6995" spans="1:54" x14ac:dyDescent="0.3">
      <c r="A6995" s="66"/>
      <c r="B6995" s="67"/>
      <c r="C6995" s="66"/>
      <c r="D6995" s="68"/>
      <c r="E6995" s="10"/>
      <c r="F6995" s="69"/>
      <c r="G6995" s="68"/>
      <c r="H6995" s="70"/>
      <c r="BA6995" s="4"/>
      <c r="BB6995" s="4"/>
    </row>
    <row r="6996" spans="1:54" x14ac:dyDescent="0.3">
      <c r="A6996" s="66"/>
      <c r="B6996" s="67"/>
      <c r="C6996" s="66"/>
      <c r="D6996" s="68"/>
      <c r="E6996" s="10"/>
      <c r="F6996" s="69"/>
      <c r="G6996" s="68"/>
      <c r="H6996" s="70"/>
      <c r="BA6996" s="4"/>
      <c r="BB6996" s="4"/>
    </row>
    <row r="6997" spans="1:54" x14ac:dyDescent="0.3">
      <c r="A6997" s="66"/>
      <c r="B6997" s="67"/>
      <c r="C6997" s="66"/>
      <c r="D6997" s="68"/>
      <c r="E6997" s="10"/>
      <c r="F6997" s="69"/>
      <c r="G6997" s="68"/>
      <c r="H6997" s="70"/>
      <c r="BA6997" s="4"/>
      <c r="BB6997" s="4"/>
    </row>
    <row r="6998" spans="1:54" x14ac:dyDescent="0.3">
      <c r="A6998" s="66"/>
      <c r="B6998" s="67"/>
      <c r="C6998" s="66"/>
      <c r="D6998" s="68"/>
      <c r="E6998" s="10"/>
      <c r="F6998" s="69"/>
      <c r="G6998" s="68"/>
      <c r="H6998" s="70"/>
      <c r="BA6998" s="4"/>
      <c r="BB6998" s="4"/>
    </row>
    <row r="6999" spans="1:54" x14ac:dyDescent="0.3">
      <c r="A6999" s="66"/>
      <c r="B6999" s="67"/>
      <c r="C6999" s="66"/>
      <c r="D6999" s="68"/>
      <c r="E6999" s="10"/>
      <c r="F6999" s="69"/>
      <c r="G6999" s="68"/>
      <c r="H6999" s="70"/>
      <c r="BA6999" s="4"/>
      <c r="BB6999" s="4"/>
    </row>
    <row r="7000" spans="1:54" x14ac:dyDescent="0.3">
      <c r="A7000" s="66"/>
      <c r="B7000" s="67"/>
      <c r="C7000" s="66"/>
      <c r="D7000" s="68"/>
      <c r="E7000" s="10"/>
      <c r="F7000" s="69"/>
      <c r="G7000" s="68"/>
      <c r="H7000" s="70"/>
      <c r="BA7000" s="4"/>
      <c r="BB7000" s="4"/>
    </row>
    <row r="7001" spans="1:54" x14ac:dyDescent="0.3">
      <c r="A7001" s="66"/>
      <c r="B7001" s="67"/>
      <c r="C7001" s="66"/>
      <c r="D7001" s="68"/>
      <c r="E7001" s="10"/>
      <c r="F7001" s="69"/>
      <c r="G7001" s="68"/>
      <c r="H7001" s="70"/>
      <c r="BA7001" s="4"/>
      <c r="BB7001" s="4"/>
    </row>
    <row r="7002" spans="1:54" x14ac:dyDescent="0.3">
      <c r="A7002" s="66"/>
      <c r="B7002" s="67"/>
      <c r="C7002" s="66"/>
      <c r="D7002" s="68"/>
      <c r="E7002" s="10"/>
      <c r="F7002" s="69"/>
      <c r="G7002" s="68"/>
      <c r="H7002" s="70"/>
      <c r="BA7002" s="4"/>
      <c r="BB7002" s="4"/>
    </row>
    <row r="7003" spans="1:54" x14ac:dyDescent="0.3">
      <c r="A7003" s="66"/>
      <c r="B7003" s="67"/>
      <c r="C7003" s="66"/>
      <c r="D7003" s="68"/>
      <c r="E7003" s="10"/>
      <c r="F7003" s="69"/>
      <c r="G7003" s="68"/>
      <c r="H7003" s="70"/>
      <c r="BA7003" s="4"/>
      <c r="BB7003" s="4"/>
    </row>
    <row r="7004" spans="1:54" x14ac:dyDescent="0.3">
      <c r="A7004" s="66"/>
      <c r="B7004" s="67"/>
      <c r="C7004" s="66"/>
      <c r="D7004" s="68"/>
      <c r="E7004" s="10"/>
      <c r="F7004" s="69"/>
      <c r="G7004" s="68"/>
      <c r="H7004" s="70"/>
      <c r="BA7004" s="4"/>
      <c r="BB7004" s="4"/>
    </row>
    <row r="7005" spans="1:54" x14ac:dyDescent="0.3">
      <c r="A7005" s="66"/>
      <c r="B7005" s="67"/>
      <c r="C7005" s="66"/>
      <c r="D7005" s="68"/>
      <c r="E7005" s="10"/>
      <c r="F7005" s="69"/>
      <c r="G7005" s="68"/>
      <c r="H7005" s="70"/>
      <c r="BA7005" s="4"/>
      <c r="BB7005" s="4"/>
    </row>
    <row r="7006" spans="1:54" x14ac:dyDescent="0.3">
      <c r="A7006" s="66"/>
      <c r="B7006" s="67"/>
      <c r="C7006" s="66"/>
      <c r="D7006" s="68"/>
      <c r="E7006" s="10"/>
      <c r="F7006" s="69"/>
      <c r="G7006" s="68"/>
      <c r="H7006" s="70"/>
      <c r="BA7006" s="4"/>
      <c r="BB7006" s="4"/>
    </row>
    <row r="7007" spans="1:54" x14ac:dyDescent="0.3">
      <c r="A7007" s="66"/>
      <c r="B7007" s="67"/>
      <c r="C7007" s="66"/>
      <c r="D7007" s="68"/>
      <c r="E7007" s="10"/>
      <c r="F7007" s="69"/>
      <c r="G7007" s="68"/>
      <c r="H7007" s="70"/>
      <c r="BA7007" s="4"/>
      <c r="BB7007" s="4"/>
    </row>
    <row r="7008" spans="1:54" x14ac:dyDescent="0.3">
      <c r="A7008" s="66"/>
      <c r="B7008" s="67"/>
      <c r="C7008" s="66"/>
      <c r="D7008" s="68"/>
      <c r="E7008" s="10"/>
      <c r="F7008" s="69"/>
      <c r="G7008" s="68"/>
      <c r="H7008" s="70"/>
      <c r="BA7008" s="4"/>
      <c r="BB7008" s="4"/>
    </row>
    <row r="7009" spans="1:54" x14ac:dyDescent="0.3">
      <c r="A7009" s="66"/>
      <c r="B7009" s="67"/>
      <c r="C7009" s="66"/>
      <c r="D7009" s="68"/>
      <c r="E7009" s="10"/>
      <c r="F7009" s="69"/>
      <c r="G7009" s="68"/>
      <c r="H7009" s="70"/>
      <c r="BA7009" s="4"/>
      <c r="BB7009" s="4"/>
    </row>
    <row r="7010" spans="1:54" x14ac:dyDescent="0.3">
      <c r="A7010" s="66"/>
      <c r="B7010" s="67"/>
      <c r="C7010" s="66"/>
      <c r="D7010" s="68"/>
      <c r="E7010" s="10"/>
      <c r="F7010" s="69"/>
      <c r="G7010" s="68"/>
      <c r="H7010" s="70"/>
      <c r="BA7010" s="4"/>
      <c r="BB7010" s="4"/>
    </row>
    <row r="7011" spans="1:54" x14ac:dyDescent="0.3">
      <c r="A7011" s="66"/>
      <c r="B7011" s="67"/>
      <c r="C7011" s="66"/>
      <c r="D7011" s="68"/>
      <c r="E7011" s="10"/>
      <c r="F7011" s="69"/>
      <c r="G7011" s="68"/>
      <c r="H7011" s="70"/>
      <c r="BA7011" s="4"/>
      <c r="BB7011" s="4"/>
    </row>
    <row r="7012" spans="1:54" x14ac:dyDescent="0.3">
      <c r="A7012" s="66"/>
      <c r="B7012" s="67"/>
      <c r="C7012" s="66"/>
      <c r="D7012" s="68"/>
      <c r="E7012" s="10"/>
      <c r="F7012" s="69"/>
      <c r="G7012" s="68"/>
      <c r="H7012" s="70"/>
      <c r="BA7012" s="4"/>
      <c r="BB7012" s="4"/>
    </row>
    <row r="7013" spans="1:54" x14ac:dyDescent="0.3">
      <c r="A7013" s="66"/>
      <c r="B7013" s="67"/>
      <c r="C7013" s="66"/>
      <c r="D7013" s="68"/>
      <c r="E7013" s="10"/>
      <c r="F7013" s="69"/>
      <c r="G7013" s="68"/>
      <c r="H7013" s="70"/>
      <c r="BA7013" s="4"/>
      <c r="BB7013" s="4"/>
    </row>
    <row r="7014" spans="1:54" x14ac:dyDescent="0.3">
      <c r="A7014" s="66"/>
      <c r="B7014" s="67"/>
      <c r="C7014" s="66"/>
      <c r="D7014" s="68"/>
      <c r="E7014" s="10"/>
      <c r="F7014" s="69"/>
      <c r="G7014" s="68"/>
      <c r="H7014" s="70"/>
      <c r="BA7014" s="4"/>
      <c r="BB7014" s="4"/>
    </row>
    <row r="7015" spans="1:54" x14ac:dyDescent="0.3">
      <c r="A7015" s="66"/>
      <c r="B7015" s="67"/>
      <c r="C7015" s="66"/>
      <c r="D7015" s="68"/>
      <c r="E7015" s="10"/>
      <c r="F7015" s="69"/>
      <c r="G7015" s="68"/>
      <c r="H7015" s="70"/>
      <c r="BA7015" s="4"/>
      <c r="BB7015" s="4"/>
    </row>
    <row r="7016" spans="1:54" x14ac:dyDescent="0.3">
      <c r="A7016" s="66"/>
      <c r="B7016" s="67"/>
      <c r="C7016" s="66"/>
      <c r="D7016" s="68"/>
      <c r="E7016" s="10"/>
      <c r="F7016" s="69"/>
      <c r="G7016" s="68"/>
      <c r="H7016" s="70"/>
      <c r="BA7016" s="4"/>
      <c r="BB7016" s="4"/>
    </row>
    <row r="7017" spans="1:54" x14ac:dyDescent="0.3">
      <c r="A7017" s="66"/>
      <c r="B7017" s="67"/>
      <c r="C7017" s="66"/>
      <c r="D7017" s="68"/>
      <c r="E7017" s="10"/>
      <c r="F7017" s="69"/>
      <c r="G7017" s="68"/>
      <c r="H7017" s="70"/>
      <c r="BA7017" s="4"/>
      <c r="BB7017" s="4"/>
    </row>
    <row r="7018" spans="1:54" x14ac:dyDescent="0.3">
      <c r="A7018" s="66"/>
      <c r="B7018" s="67"/>
      <c r="C7018" s="66"/>
      <c r="D7018" s="68"/>
      <c r="E7018" s="10"/>
      <c r="F7018" s="69"/>
      <c r="G7018" s="68"/>
      <c r="H7018" s="70"/>
      <c r="BA7018" s="4"/>
      <c r="BB7018" s="4"/>
    </row>
    <row r="7019" spans="1:54" x14ac:dyDescent="0.3">
      <c r="A7019" s="66"/>
      <c r="B7019" s="67"/>
      <c r="C7019" s="66"/>
      <c r="D7019" s="68"/>
      <c r="E7019" s="10"/>
      <c r="F7019" s="69"/>
      <c r="G7019" s="68"/>
      <c r="H7019" s="70"/>
      <c r="BA7019" s="4"/>
      <c r="BB7019" s="4"/>
    </row>
    <row r="7020" spans="1:54" x14ac:dyDescent="0.3">
      <c r="A7020" s="66"/>
      <c r="B7020" s="67"/>
      <c r="C7020" s="66"/>
      <c r="D7020" s="68"/>
      <c r="E7020" s="10"/>
      <c r="F7020" s="69"/>
      <c r="G7020" s="68"/>
      <c r="H7020" s="70"/>
      <c r="BA7020" s="4"/>
      <c r="BB7020" s="4"/>
    </row>
    <row r="7021" spans="1:54" x14ac:dyDescent="0.3">
      <c r="A7021" s="66"/>
      <c r="B7021" s="67"/>
      <c r="C7021" s="66"/>
      <c r="D7021" s="68"/>
      <c r="E7021" s="10"/>
      <c r="F7021" s="69"/>
      <c r="G7021" s="68"/>
      <c r="H7021" s="70"/>
      <c r="BA7021" s="4"/>
      <c r="BB7021" s="4"/>
    </row>
    <row r="7022" spans="1:54" x14ac:dyDescent="0.3">
      <c r="A7022" s="66"/>
      <c r="B7022" s="67"/>
      <c r="C7022" s="66"/>
      <c r="D7022" s="68"/>
      <c r="E7022" s="10"/>
      <c r="F7022" s="69"/>
      <c r="G7022" s="68"/>
      <c r="H7022" s="70"/>
      <c r="BA7022" s="4"/>
      <c r="BB7022" s="4"/>
    </row>
    <row r="7023" spans="1:54" x14ac:dyDescent="0.3">
      <c r="A7023" s="66"/>
      <c r="B7023" s="67"/>
      <c r="C7023" s="66"/>
      <c r="D7023" s="68"/>
      <c r="E7023" s="10"/>
      <c r="F7023" s="69"/>
      <c r="G7023" s="68"/>
      <c r="H7023" s="70"/>
      <c r="BA7023" s="4"/>
      <c r="BB7023" s="4"/>
    </row>
    <row r="7024" spans="1:54" x14ac:dyDescent="0.3">
      <c r="A7024" s="66"/>
      <c r="B7024" s="67"/>
      <c r="C7024" s="66"/>
      <c r="D7024" s="68"/>
      <c r="E7024" s="10"/>
      <c r="F7024" s="69"/>
      <c r="G7024" s="68"/>
      <c r="H7024" s="70"/>
      <c r="BA7024" s="4"/>
      <c r="BB7024" s="4"/>
    </row>
    <row r="7025" spans="1:54" x14ac:dyDescent="0.3">
      <c r="A7025" s="66"/>
      <c r="B7025" s="67"/>
      <c r="C7025" s="66"/>
      <c r="D7025" s="68"/>
      <c r="E7025" s="10"/>
      <c r="F7025" s="69"/>
      <c r="G7025" s="68"/>
      <c r="H7025" s="70"/>
      <c r="BA7025" s="4"/>
      <c r="BB7025" s="4"/>
    </row>
    <row r="7026" spans="1:54" x14ac:dyDescent="0.3">
      <c r="A7026" s="66"/>
      <c r="B7026" s="67"/>
      <c r="C7026" s="66"/>
      <c r="D7026" s="68"/>
      <c r="E7026" s="10"/>
      <c r="F7026" s="69"/>
      <c r="G7026" s="68"/>
      <c r="H7026" s="70"/>
      <c r="BA7026" s="4"/>
      <c r="BB7026" s="4"/>
    </row>
    <row r="7027" spans="1:54" x14ac:dyDescent="0.3">
      <c r="A7027" s="66"/>
      <c r="B7027" s="67"/>
      <c r="C7027" s="66"/>
      <c r="D7027" s="68"/>
      <c r="E7027" s="10"/>
      <c r="F7027" s="69"/>
      <c r="G7027" s="68"/>
      <c r="H7027" s="70"/>
      <c r="BA7027" s="4"/>
      <c r="BB7027" s="4"/>
    </row>
    <row r="7028" spans="1:54" x14ac:dyDescent="0.3">
      <c r="A7028" s="66"/>
      <c r="B7028" s="67"/>
      <c r="C7028" s="66"/>
      <c r="D7028" s="68"/>
      <c r="E7028" s="10"/>
      <c r="F7028" s="69"/>
      <c r="G7028" s="68"/>
      <c r="H7028" s="70"/>
      <c r="BA7028" s="4"/>
      <c r="BB7028" s="4"/>
    </row>
    <row r="7029" spans="1:54" x14ac:dyDescent="0.3">
      <c r="A7029" s="66"/>
      <c r="B7029" s="67"/>
      <c r="C7029" s="66"/>
      <c r="D7029" s="68"/>
      <c r="E7029" s="10"/>
      <c r="F7029" s="69"/>
      <c r="G7029" s="68"/>
      <c r="H7029" s="70"/>
      <c r="BA7029" s="4"/>
      <c r="BB7029" s="4"/>
    </row>
    <row r="7030" spans="1:54" x14ac:dyDescent="0.3">
      <c r="A7030" s="66"/>
      <c r="B7030" s="67"/>
      <c r="C7030" s="66"/>
      <c r="D7030" s="68"/>
      <c r="E7030" s="10"/>
      <c r="F7030" s="69"/>
      <c r="G7030" s="68"/>
      <c r="H7030" s="70"/>
      <c r="BA7030" s="4"/>
      <c r="BB7030" s="4"/>
    </row>
    <row r="7031" spans="1:54" x14ac:dyDescent="0.3">
      <c r="A7031" s="66"/>
      <c r="B7031" s="67"/>
      <c r="C7031" s="66"/>
      <c r="D7031" s="68"/>
      <c r="E7031" s="10"/>
      <c r="F7031" s="69"/>
      <c r="G7031" s="68"/>
      <c r="H7031" s="70"/>
      <c r="BA7031" s="4"/>
      <c r="BB7031" s="4"/>
    </row>
    <row r="7032" spans="1:54" x14ac:dyDescent="0.3">
      <c r="A7032" s="66"/>
      <c r="B7032" s="67"/>
      <c r="C7032" s="66"/>
      <c r="D7032" s="68"/>
      <c r="E7032" s="10"/>
      <c r="F7032" s="69"/>
      <c r="G7032" s="68"/>
      <c r="H7032" s="70"/>
      <c r="BA7032" s="4"/>
      <c r="BB7032" s="4"/>
    </row>
    <row r="7033" spans="1:54" x14ac:dyDescent="0.3">
      <c r="A7033" s="66"/>
      <c r="B7033" s="67"/>
      <c r="C7033" s="66"/>
      <c r="D7033" s="68"/>
      <c r="E7033" s="10"/>
      <c r="F7033" s="69"/>
      <c r="G7033" s="68"/>
      <c r="H7033" s="70"/>
      <c r="BA7033" s="4"/>
      <c r="BB7033" s="4"/>
    </row>
    <row r="7034" spans="1:54" x14ac:dyDescent="0.3">
      <c r="A7034" s="66"/>
      <c r="B7034" s="67"/>
      <c r="C7034" s="66"/>
      <c r="D7034" s="68"/>
      <c r="E7034" s="10"/>
      <c r="F7034" s="69"/>
      <c r="G7034" s="68"/>
      <c r="H7034" s="70"/>
      <c r="BA7034" s="4"/>
      <c r="BB7034" s="4"/>
    </row>
    <row r="7035" spans="1:54" x14ac:dyDescent="0.3">
      <c r="A7035" s="66"/>
      <c r="B7035" s="67"/>
      <c r="C7035" s="66"/>
      <c r="D7035" s="68"/>
      <c r="E7035" s="10"/>
      <c r="F7035" s="69"/>
      <c r="G7035" s="68"/>
      <c r="H7035" s="70"/>
      <c r="BA7035" s="4"/>
      <c r="BB7035" s="4"/>
    </row>
    <row r="7036" spans="1:54" x14ac:dyDescent="0.3">
      <c r="A7036" s="66"/>
      <c r="B7036" s="67"/>
      <c r="C7036" s="66"/>
      <c r="D7036" s="68"/>
      <c r="E7036" s="10"/>
      <c r="F7036" s="69"/>
      <c r="G7036" s="68"/>
      <c r="H7036" s="70"/>
      <c r="BA7036" s="4"/>
      <c r="BB7036" s="4"/>
    </row>
    <row r="7037" spans="1:54" x14ac:dyDescent="0.3">
      <c r="A7037" s="66"/>
      <c r="B7037" s="67"/>
      <c r="C7037" s="66"/>
      <c r="D7037" s="68"/>
      <c r="E7037" s="10"/>
      <c r="F7037" s="69"/>
      <c r="G7037" s="68"/>
      <c r="H7037" s="70"/>
      <c r="BA7037" s="4"/>
      <c r="BB7037" s="4"/>
    </row>
    <row r="7038" spans="1:54" x14ac:dyDescent="0.3">
      <c r="A7038" s="66"/>
      <c r="B7038" s="67"/>
      <c r="C7038" s="66"/>
      <c r="D7038" s="68"/>
      <c r="E7038" s="10"/>
      <c r="F7038" s="69"/>
      <c r="G7038" s="68"/>
      <c r="H7038" s="70"/>
      <c r="BA7038" s="4"/>
      <c r="BB7038" s="4"/>
    </row>
    <row r="7039" spans="1:54" x14ac:dyDescent="0.3">
      <c r="A7039" s="66"/>
      <c r="B7039" s="67"/>
      <c r="C7039" s="66"/>
      <c r="D7039" s="68"/>
      <c r="E7039" s="10"/>
      <c r="F7039" s="69"/>
      <c r="G7039" s="68"/>
      <c r="H7039" s="70"/>
      <c r="BA7039" s="4"/>
      <c r="BB7039" s="4"/>
    </row>
    <row r="7040" spans="1:54" x14ac:dyDescent="0.3">
      <c r="A7040" s="66"/>
      <c r="B7040" s="67"/>
      <c r="C7040" s="66"/>
      <c r="D7040" s="68"/>
      <c r="E7040" s="10"/>
      <c r="F7040" s="69"/>
      <c r="G7040" s="68"/>
      <c r="H7040" s="70"/>
      <c r="BA7040" s="4"/>
      <c r="BB7040" s="4"/>
    </row>
    <row r="7041" spans="1:54" x14ac:dyDescent="0.3">
      <c r="A7041" s="66"/>
      <c r="B7041" s="67"/>
      <c r="C7041" s="66"/>
      <c r="D7041" s="68"/>
      <c r="E7041" s="10"/>
      <c r="F7041" s="69"/>
      <c r="G7041" s="68"/>
      <c r="H7041" s="70"/>
      <c r="BA7041" s="4"/>
      <c r="BB7041" s="4"/>
    </row>
    <row r="7042" spans="1:54" x14ac:dyDescent="0.3">
      <c r="A7042" s="66"/>
      <c r="B7042" s="67"/>
      <c r="C7042" s="66"/>
      <c r="D7042" s="68"/>
      <c r="E7042" s="10"/>
      <c r="F7042" s="69"/>
      <c r="G7042" s="68"/>
      <c r="H7042" s="70"/>
      <c r="BA7042" s="4"/>
      <c r="BB7042" s="4"/>
    </row>
    <row r="7043" spans="1:54" x14ac:dyDescent="0.3">
      <c r="A7043" s="66"/>
      <c r="B7043" s="67"/>
      <c r="C7043" s="66"/>
      <c r="D7043" s="68"/>
      <c r="E7043" s="10"/>
      <c r="F7043" s="69"/>
      <c r="G7043" s="68"/>
      <c r="H7043" s="70"/>
      <c r="BA7043" s="4"/>
      <c r="BB7043" s="4"/>
    </row>
    <row r="7044" spans="1:54" x14ac:dyDescent="0.3">
      <c r="A7044" s="66"/>
      <c r="B7044" s="67"/>
      <c r="C7044" s="66"/>
      <c r="D7044" s="68"/>
      <c r="E7044" s="10"/>
      <c r="F7044" s="69"/>
      <c r="G7044" s="68"/>
      <c r="H7044" s="70"/>
      <c r="BA7044" s="4"/>
      <c r="BB7044" s="4"/>
    </row>
    <row r="7045" spans="1:54" x14ac:dyDescent="0.3">
      <c r="A7045" s="66"/>
      <c r="B7045" s="67"/>
      <c r="C7045" s="66"/>
      <c r="D7045" s="68"/>
      <c r="E7045" s="10"/>
      <c r="F7045" s="69"/>
      <c r="G7045" s="68"/>
      <c r="H7045" s="70"/>
      <c r="BA7045" s="4"/>
      <c r="BB7045" s="4"/>
    </row>
    <row r="7046" spans="1:54" x14ac:dyDescent="0.3">
      <c r="A7046" s="66"/>
      <c r="B7046" s="67"/>
      <c r="C7046" s="66"/>
      <c r="D7046" s="68"/>
      <c r="E7046" s="10"/>
      <c r="F7046" s="69"/>
      <c r="G7046" s="68"/>
      <c r="H7046" s="70"/>
      <c r="BA7046" s="4"/>
      <c r="BB7046" s="4"/>
    </row>
    <row r="7047" spans="1:54" x14ac:dyDescent="0.3">
      <c r="A7047" s="66"/>
      <c r="B7047" s="67"/>
      <c r="C7047" s="66"/>
      <c r="D7047" s="68"/>
      <c r="E7047" s="10"/>
      <c r="F7047" s="69"/>
      <c r="G7047" s="68"/>
      <c r="H7047" s="70"/>
      <c r="BA7047" s="4"/>
      <c r="BB7047" s="4"/>
    </row>
    <row r="7048" spans="1:54" x14ac:dyDescent="0.3">
      <c r="A7048" s="66"/>
      <c r="B7048" s="67"/>
      <c r="C7048" s="66"/>
      <c r="D7048" s="68"/>
      <c r="E7048" s="10"/>
      <c r="F7048" s="69"/>
      <c r="G7048" s="68"/>
      <c r="H7048" s="70"/>
      <c r="BA7048" s="4"/>
      <c r="BB7048" s="4"/>
    </row>
    <row r="7049" spans="1:54" x14ac:dyDescent="0.3">
      <c r="A7049" s="66"/>
      <c r="B7049" s="67"/>
      <c r="C7049" s="66"/>
      <c r="D7049" s="68"/>
      <c r="E7049" s="10"/>
      <c r="F7049" s="69"/>
      <c r="G7049" s="68"/>
      <c r="H7049" s="70"/>
      <c r="BA7049" s="4"/>
      <c r="BB7049" s="4"/>
    </row>
    <row r="7050" spans="1:54" x14ac:dyDescent="0.3">
      <c r="A7050" s="66"/>
      <c r="B7050" s="67"/>
      <c r="C7050" s="66"/>
      <c r="D7050" s="68"/>
      <c r="E7050" s="10"/>
      <c r="F7050" s="69"/>
      <c r="G7050" s="68"/>
      <c r="H7050" s="70"/>
      <c r="BA7050" s="4"/>
      <c r="BB7050" s="4"/>
    </row>
    <row r="7051" spans="1:54" x14ac:dyDescent="0.3">
      <c r="A7051" s="66"/>
      <c r="B7051" s="67"/>
      <c r="C7051" s="66"/>
      <c r="D7051" s="68"/>
      <c r="E7051" s="10"/>
      <c r="F7051" s="69"/>
      <c r="G7051" s="68"/>
      <c r="H7051" s="70"/>
      <c r="BA7051" s="4"/>
      <c r="BB7051" s="4"/>
    </row>
    <row r="7052" spans="1:54" x14ac:dyDescent="0.3">
      <c r="A7052" s="66"/>
      <c r="B7052" s="67"/>
      <c r="C7052" s="66"/>
      <c r="D7052" s="68"/>
      <c r="E7052" s="10"/>
      <c r="F7052" s="69"/>
      <c r="G7052" s="68"/>
      <c r="H7052" s="70"/>
      <c r="BA7052" s="4"/>
      <c r="BB7052" s="4"/>
    </row>
    <row r="7053" spans="1:54" x14ac:dyDescent="0.3">
      <c r="A7053" s="66"/>
      <c r="B7053" s="67"/>
      <c r="C7053" s="66"/>
      <c r="D7053" s="68"/>
      <c r="E7053" s="10"/>
      <c r="F7053" s="69"/>
      <c r="G7053" s="68"/>
      <c r="H7053" s="70"/>
      <c r="BA7053" s="4"/>
      <c r="BB7053" s="4"/>
    </row>
    <row r="7054" spans="1:54" x14ac:dyDescent="0.3">
      <c r="A7054" s="66"/>
      <c r="B7054" s="67"/>
      <c r="C7054" s="66"/>
      <c r="D7054" s="68"/>
      <c r="E7054" s="10"/>
      <c r="F7054" s="69"/>
      <c r="G7054" s="68"/>
      <c r="H7054" s="70"/>
      <c r="BA7054" s="4"/>
      <c r="BB7054" s="4"/>
    </row>
    <row r="7055" spans="1:54" x14ac:dyDescent="0.3">
      <c r="A7055" s="66"/>
      <c r="B7055" s="67"/>
      <c r="C7055" s="66"/>
      <c r="D7055" s="68"/>
      <c r="E7055" s="10"/>
      <c r="F7055" s="69"/>
      <c r="G7055" s="68"/>
      <c r="H7055" s="70"/>
      <c r="BA7055" s="4"/>
      <c r="BB7055" s="4"/>
    </row>
    <row r="7056" spans="1:54" x14ac:dyDescent="0.3">
      <c r="A7056" s="66"/>
      <c r="B7056" s="67"/>
      <c r="C7056" s="66"/>
      <c r="D7056" s="68"/>
      <c r="E7056" s="10"/>
      <c r="F7056" s="69"/>
      <c r="G7056" s="68"/>
      <c r="H7056" s="70"/>
      <c r="BA7056" s="4"/>
      <c r="BB7056" s="4"/>
    </row>
    <row r="7057" spans="1:54" x14ac:dyDescent="0.3">
      <c r="A7057" s="66"/>
      <c r="B7057" s="67"/>
      <c r="C7057" s="66"/>
      <c r="D7057" s="68"/>
      <c r="E7057" s="10"/>
      <c r="F7057" s="69"/>
      <c r="G7057" s="68"/>
      <c r="H7057" s="70"/>
      <c r="BA7057" s="4"/>
      <c r="BB7057" s="4"/>
    </row>
    <row r="7058" spans="1:54" x14ac:dyDescent="0.3">
      <c r="A7058" s="66"/>
      <c r="B7058" s="67"/>
      <c r="C7058" s="66"/>
      <c r="D7058" s="68"/>
      <c r="E7058" s="10"/>
      <c r="F7058" s="69"/>
      <c r="G7058" s="68"/>
      <c r="H7058" s="70"/>
      <c r="BA7058" s="4"/>
      <c r="BB7058" s="4"/>
    </row>
    <row r="7059" spans="1:54" x14ac:dyDescent="0.3">
      <c r="A7059" s="66"/>
      <c r="B7059" s="67"/>
      <c r="C7059" s="66"/>
      <c r="D7059" s="68"/>
      <c r="E7059" s="10"/>
      <c r="F7059" s="69"/>
      <c r="G7059" s="68"/>
      <c r="H7059" s="70"/>
      <c r="BA7059" s="4"/>
      <c r="BB7059" s="4"/>
    </row>
    <row r="7060" spans="1:54" x14ac:dyDescent="0.3">
      <c r="A7060" s="66"/>
      <c r="B7060" s="67"/>
      <c r="C7060" s="66"/>
      <c r="D7060" s="68"/>
      <c r="E7060" s="10"/>
      <c r="F7060" s="69"/>
      <c r="G7060" s="68"/>
      <c r="H7060" s="70"/>
      <c r="BA7060" s="4"/>
      <c r="BB7060" s="4"/>
    </row>
    <row r="7061" spans="1:54" x14ac:dyDescent="0.3">
      <c r="A7061" s="66"/>
      <c r="B7061" s="67"/>
      <c r="C7061" s="66"/>
      <c r="D7061" s="68"/>
      <c r="E7061" s="10"/>
      <c r="F7061" s="69"/>
      <c r="G7061" s="68"/>
      <c r="H7061" s="70"/>
      <c r="BA7061" s="4"/>
      <c r="BB7061" s="4"/>
    </row>
    <row r="7062" spans="1:54" x14ac:dyDescent="0.3">
      <c r="A7062" s="66"/>
      <c r="B7062" s="67"/>
      <c r="C7062" s="66"/>
      <c r="D7062" s="68"/>
      <c r="E7062" s="10"/>
      <c r="F7062" s="69"/>
      <c r="G7062" s="68"/>
      <c r="H7062" s="70"/>
      <c r="BA7062" s="4"/>
      <c r="BB7062" s="4"/>
    </row>
    <row r="7063" spans="1:54" x14ac:dyDescent="0.3">
      <c r="A7063" s="66"/>
      <c r="B7063" s="67"/>
      <c r="C7063" s="66"/>
      <c r="D7063" s="68"/>
      <c r="E7063" s="10"/>
      <c r="F7063" s="69"/>
      <c r="G7063" s="68"/>
      <c r="H7063" s="70"/>
      <c r="BA7063" s="4"/>
      <c r="BB7063" s="4"/>
    </row>
    <row r="7064" spans="1:54" x14ac:dyDescent="0.3">
      <c r="A7064" s="66"/>
      <c r="B7064" s="67"/>
      <c r="C7064" s="66"/>
      <c r="D7064" s="68"/>
      <c r="E7064" s="10"/>
      <c r="F7064" s="69"/>
      <c r="G7064" s="68"/>
      <c r="H7064" s="70"/>
      <c r="BA7064" s="4"/>
      <c r="BB7064" s="4"/>
    </row>
    <row r="7065" spans="1:54" x14ac:dyDescent="0.3">
      <c r="A7065" s="66"/>
      <c r="B7065" s="67"/>
      <c r="C7065" s="66"/>
      <c r="D7065" s="68"/>
      <c r="E7065" s="10"/>
      <c r="F7065" s="69"/>
      <c r="G7065" s="68"/>
      <c r="H7065" s="70"/>
      <c r="BA7065" s="4"/>
      <c r="BB7065" s="4"/>
    </row>
    <row r="7066" spans="1:54" x14ac:dyDescent="0.3">
      <c r="A7066" s="66"/>
      <c r="B7066" s="67"/>
      <c r="C7066" s="66"/>
      <c r="D7066" s="68"/>
      <c r="E7066" s="10"/>
      <c r="F7066" s="69"/>
      <c r="G7066" s="68"/>
      <c r="H7066" s="70"/>
      <c r="BA7066" s="4"/>
      <c r="BB7066" s="4"/>
    </row>
    <row r="7067" spans="1:54" x14ac:dyDescent="0.3">
      <c r="A7067" s="66"/>
      <c r="B7067" s="67"/>
      <c r="C7067" s="66"/>
      <c r="D7067" s="68"/>
      <c r="E7067" s="10"/>
      <c r="F7067" s="69"/>
      <c r="G7067" s="68"/>
      <c r="H7067" s="70"/>
      <c r="BA7067" s="4"/>
      <c r="BB7067" s="4"/>
    </row>
    <row r="7068" spans="1:54" x14ac:dyDescent="0.3">
      <c r="A7068" s="66"/>
      <c r="B7068" s="67"/>
      <c r="C7068" s="66"/>
      <c r="D7068" s="68"/>
      <c r="E7068" s="10"/>
      <c r="F7068" s="69"/>
      <c r="G7068" s="68"/>
      <c r="H7068" s="70"/>
      <c r="BA7068" s="4"/>
      <c r="BB7068" s="4"/>
    </row>
    <row r="7069" spans="1:54" x14ac:dyDescent="0.3">
      <c r="A7069" s="66"/>
      <c r="B7069" s="67"/>
      <c r="C7069" s="66"/>
      <c r="D7069" s="68"/>
      <c r="E7069" s="10"/>
      <c r="F7069" s="69"/>
      <c r="G7069" s="68"/>
      <c r="H7069" s="70"/>
      <c r="BA7069" s="4"/>
      <c r="BB7069" s="4"/>
    </row>
    <row r="7070" spans="1:54" x14ac:dyDescent="0.3">
      <c r="A7070" s="66"/>
      <c r="B7070" s="67"/>
      <c r="C7070" s="66"/>
      <c r="D7070" s="68"/>
      <c r="E7070" s="10"/>
      <c r="F7070" s="69"/>
      <c r="G7070" s="68"/>
      <c r="H7070" s="70"/>
      <c r="BA7070" s="4"/>
      <c r="BB7070" s="4"/>
    </row>
    <row r="7071" spans="1:54" x14ac:dyDescent="0.3">
      <c r="A7071" s="66"/>
      <c r="B7071" s="67"/>
      <c r="C7071" s="66"/>
      <c r="D7071" s="68"/>
      <c r="E7071" s="10"/>
      <c r="F7071" s="69"/>
      <c r="G7071" s="68"/>
      <c r="H7071" s="70"/>
      <c r="BA7071" s="4"/>
      <c r="BB7071" s="4"/>
    </row>
    <row r="7072" spans="1:54" x14ac:dyDescent="0.3">
      <c r="A7072" s="66"/>
      <c r="B7072" s="67"/>
      <c r="C7072" s="66"/>
      <c r="D7072" s="68"/>
      <c r="E7072" s="10"/>
      <c r="F7072" s="69"/>
      <c r="G7072" s="68"/>
      <c r="H7072" s="70"/>
      <c r="BA7072" s="4"/>
      <c r="BB7072" s="4"/>
    </row>
    <row r="7073" spans="1:54" x14ac:dyDescent="0.3">
      <c r="A7073" s="66"/>
      <c r="B7073" s="67"/>
      <c r="C7073" s="66"/>
      <c r="D7073" s="68"/>
      <c r="E7073" s="10"/>
      <c r="F7073" s="69"/>
      <c r="G7073" s="68"/>
      <c r="H7073" s="70"/>
      <c r="BA7073" s="4"/>
      <c r="BB7073" s="4"/>
    </row>
    <row r="7074" spans="1:54" x14ac:dyDescent="0.3">
      <c r="A7074" s="66"/>
      <c r="B7074" s="67"/>
      <c r="C7074" s="66"/>
      <c r="D7074" s="68"/>
      <c r="E7074" s="10"/>
      <c r="F7074" s="69"/>
      <c r="G7074" s="68"/>
      <c r="H7074" s="70"/>
      <c r="BA7074" s="4"/>
      <c r="BB7074" s="4"/>
    </row>
    <row r="7075" spans="1:54" x14ac:dyDescent="0.3">
      <c r="A7075" s="66"/>
      <c r="B7075" s="67"/>
      <c r="C7075" s="66"/>
      <c r="D7075" s="68"/>
      <c r="E7075" s="10"/>
      <c r="F7075" s="69"/>
      <c r="G7075" s="68"/>
      <c r="H7075" s="70"/>
      <c r="BA7075" s="4"/>
      <c r="BB7075" s="4"/>
    </row>
    <row r="7076" spans="1:54" x14ac:dyDescent="0.3">
      <c r="A7076" s="66"/>
      <c r="B7076" s="67"/>
      <c r="C7076" s="66"/>
      <c r="D7076" s="68"/>
      <c r="E7076" s="10"/>
      <c r="F7076" s="69"/>
      <c r="G7076" s="68"/>
      <c r="H7076" s="70"/>
      <c r="BA7076" s="4"/>
      <c r="BB7076" s="4"/>
    </row>
    <row r="7077" spans="1:54" x14ac:dyDescent="0.3">
      <c r="A7077" s="66"/>
      <c r="B7077" s="67"/>
      <c r="C7077" s="66"/>
      <c r="D7077" s="68"/>
      <c r="E7077" s="10"/>
      <c r="F7077" s="69"/>
      <c r="G7077" s="68"/>
      <c r="H7077" s="70"/>
      <c r="BA7077" s="4"/>
      <c r="BB7077" s="4"/>
    </row>
    <row r="7078" spans="1:54" x14ac:dyDescent="0.3">
      <c r="A7078" s="66"/>
      <c r="B7078" s="67"/>
      <c r="C7078" s="66"/>
      <c r="D7078" s="68"/>
      <c r="E7078" s="10"/>
      <c r="F7078" s="69"/>
      <c r="G7078" s="68"/>
      <c r="H7078" s="70"/>
      <c r="BA7078" s="4"/>
      <c r="BB7078" s="4"/>
    </row>
    <row r="7079" spans="1:54" x14ac:dyDescent="0.3">
      <c r="A7079" s="66"/>
      <c r="B7079" s="67"/>
      <c r="C7079" s="66"/>
      <c r="D7079" s="68"/>
      <c r="E7079" s="10"/>
      <c r="F7079" s="69"/>
      <c r="G7079" s="68"/>
      <c r="H7079" s="70"/>
      <c r="BA7079" s="4"/>
      <c r="BB7079" s="4"/>
    </row>
    <row r="7080" spans="1:54" x14ac:dyDescent="0.3">
      <c r="A7080" s="66"/>
      <c r="B7080" s="67"/>
      <c r="C7080" s="66"/>
      <c r="D7080" s="68"/>
      <c r="E7080" s="10"/>
      <c r="F7080" s="69"/>
      <c r="G7080" s="68"/>
      <c r="H7080" s="70"/>
      <c r="BA7080" s="4"/>
      <c r="BB7080" s="4"/>
    </row>
    <row r="7081" spans="1:54" x14ac:dyDescent="0.3">
      <c r="A7081" s="66"/>
      <c r="B7081" s="67"/>
      <c r="C7081" s="66"/>
      <c r="D7081" s="68"/>
      <c r="E7081" s="10"/>
      <c r="F7081" s="69"/>
      <c r="G7081" s="68"/>
      <c r="H7081" s="70"/>
      <c r="BA7081" s="4"/>
      <c r="BB7081" s="4"/>
    </row>
    <row r="7082" spans="1:54" x14ac:dyDescent="0.3">
      <c r="A7082" s="66"/>
      <c r="B7082" s="67"/>
      <c r="C7082" s="66"/>
      <c r="D7082" s="68"/>
      <c r="E7082" s="10"/>
      <c r="F7082" s="69"/>
      <c r="G7082" s="68"/>
      <c r="H7082" s="70"/>
      <c r="BA7082" s="4"/>
      <c r="BB7082" s="4"/>
    </row>
    <row r="7083" spans="1:54" x14ac:dyDescent="0.3">
      <c r="A7083" s="66"/>
      <c r="B7083" s="67"/>
      <c r="C7083" s="66"/>
      <c r="D7083" s="68"/>
      <c r="E7083" s="10"/>
      <c r="F7083" s="69"/>
      <c r="G7083" s="68"/>
      <c r="H7083" s="70"/>
      <c r="BA7083" s="4"/>
      <c r="BB7083" s="4"/>
    </row>
    <row r="7084" spans="1:54" x14ac:dyDescent="0.3">
      <c r="A7084" s="66"/>
      <c r="B7084" s="67"/>
      <c r="C7084" s="66"/>
      <c r="D7084" s="68"/>
      <c r="E7084" s="10"/>
      <c r="F7084" s="69"/>
      <c r="G7084" s="68"/>
      <c r="H7084" s="70"/>
      <c r="BA7084" s="4"/>
      <c r="BB7084" s="4"/>
    </row>
    <row r="7085" spans="1:54" x14ac:dyDescent="0.3">
      <c r="A7085" s="66"/>
      <c r="B7085" s="67"/>
      <c r="C7085" s="66"/>
      <c r="D7085" s="68"/>
      <c r="E7085" s="10"/>
      <c r="F7085" s="69"/>
      <c r="G7085" s="68"/>
      <c r="H7085" s="70"/>
      <c r="BA7085" s="4"/>
      <c r="BB7085" s="4"/>
    </row>
    <row r="7086" spans="1:54" x14ac:dyDescent="0.3">
      <c r="A7086" s="66"/>
      <c r="B7086" s="67"/>
      <c r="C7086" s="66"/>
      <c r="D7086" s="68"/>
      <c r="E7086" s="10"/>
      <c r="F7086" s="69"/>
      <c r="G7086" s="68"/>
      <c r="H7086" s="70"/>
      <c r="BA7086" s="4"/>
      <c r="BB7086" s="4"/>
    </row>
    <row r="7087" spans="1:54" x14ac:dyDescent="0.3">
      <c r="A7087" s="66"/>
      <c r="B7087" s="67"/>
      <c r="C7087" s="66"/>
      <c r="D7087" s="68"/>
      <c r="E7087" s="10"/>
      <c r="F7087" s="69"/>
      <c r="G7087" s="68"/>
      <c r="H7087" s="70"/>
      <c r="BA7087" s="4"/>
      <c r="BB7087" s="4"/>
    </row>
    <row r="7088" spans="1:54" x14ac:dyDescent="0.3">
      <c r="A7088" s="66"/>
      <c r="B7088" s="67"/>
      <c r="C7088" s="66"/>
      <c r="D7088" s="68"/>
      <c r="E7088" s="10"/>
      <c r="F7088" s="69"/>
      <c r="G7088" s="68"/>
      <c r="H7088" s="70"/>
      <c r="BA7088" s="4"/>
      <c r="BB7088" s="4"/>
    </row>
    <row r="7089" spans="1:54" x14ac:dyDescent="0.3">
      <c r="A7089" s="66"/>
      <c r="B7089" s="67"/>
      <c r="C7089" s="66"/>
      <c r="D7089" s="68"/>
      <c r="E7089" s="10"/>
      <c r="F7089" s="69"/>
      <c r="G7089" s="68"/>
      <c r="H7089" s="70"/>
      <c r="BA7089" s="4"/>
      <c r="BB7089" s="4"/>
    </row>
    <row r="7090" spans="1:54" x14ac:dyDescent="0.3">
      <c r="A7090" s="66"/>
      <c r="B7090" s="67"/>
      <c r="C7090" s="66"/>
      <c r="D7090" s="68"/>
      <c r="E7090" s="10"/>
      <c r="F7090" s="69"/>
      <c r="G7090" s="68"/>
      <c r="H7090" s="70"/>
      <c r="BA7090" s="4"/>
      <c r="BB7090" s="4"/>
    </row>
    <row r="7091" spans="1:54" x14ac:dyDescent="0.3">
      <c r="A7091" s="66"/>
      <c r="B7091" s="67"/>
      <c r="C7091" s="66"/>
      <c r="D7091" s="68"/>
      <c r="E7091" s="10"/>
      <c r="F7091" s="69"/>
      <c r="G7091" s="68"/>
      <c r="H7091" s="70"/>
      <c r="BA7091" s="4"/>
      <c r="BB7091" s="4"/>
    </row>
    <row r="7092" spans="1:54" x14ac:dyDescent="0.3">
      <c r="A7092" s="66"/>
      <c r="B7092" s="67"/>
      <c r="C7092" s="66"/>
      <c r="D7092" s="68"/>
      <c r="E7092" s="10"/>
      <c r="F7092" s="69"/>
      <c r="G7092" s="68"/>
      <c r="H7092" s="70"/>
      <c r="BA7092" s="4"/>
      <c r="BB7092" s="4"/>
    </row>
    <row r="7093" spans="1:54" x14ac:dyDescent="0.3">
      <c r="A7093" s="66"/>
      <c r="B7093" s="67"/>
      <c r="C7093" s="66"/>
      <c r="D7093" s="68"/>
      <c r="E7093" s="10"/>
      <c r="F7093" s="69"/>
      <c r="G7093" s="68"/>
      <c r="H7093" s="70"/>
      <c r="BA7093" s="4"/>
      <c r="BB7093" s="4"/>
    </row>
    <row r="7094" spans="1:54" x14ac:dyDescent="0.3">
      <c r="A7094" s="66"/>
      <c r="B7094" s="67"/>
      <c r="C7094" s="66"/>
      <c r="D7094" s="68"/>
      <c r="E7094" s="10"/>
      <c r="F7094" s="69"/>
      <c r="G7094" s="68"/>
      <c r="H7094" s="70"/>
      <c r="BA7094" s="4"/>
      <c r="BB7094" s="4"/>
    </row>
    <row r="7095" spans="1:54" x14ac:dyDescent="0.3">
      <c r="A7095" s="66"/>
      <c r="B7095" s="67"/>
      <c r="C7095" s="66"/>
      <c r="D7095" s="68"/>
      <c r="E7095" s="10"/>
      <c r="F7095" s="69"/>
      <c r="G7095" s="68"/>
      <c r="H7095" s="70"/>
      <c r="BA7095" s="4"/>
      <c r="BB7095" s="4"/>
    </row>
    <row r="7096" spans="1:54" x14ac:dyDescent="0.3">
      <c r="A7096" s="66"/>
      <c r="B7096" s="67"/>
      <c r="C7096" s="66"/>
      <c r="D7096" s="68"/>
      <c r="E7096" s="10"/>
      <c r="F7096" s="69"/>
      <c r="G7096" s="68"/>
      <c r="H7096" s="70"/>
      <c r="BA7096" s="4"/>
      <c r="BB7096" s="4"/>
    </row>
    <row r="7097" spans="1:54" x14ac:dyDescent="0.3">
      <c r="A7097" s="66"/>
      <c r="B7097" s="67"/>
      <c r="C7097" s="66"/>
      <c r="D7097" s="68"/>
      <c r="E7097" s="10"/>
      <c r="F7097" s="69"/>
      <c r="G7097" s="68"/>
      <c r="H7097" s="70"/>
      <c r="BA7097" s="4"/>
      <c r="BB7097" s="4"/>
    </row>
    <row r="7098" spans="1:54" x14ac:dyDescent="0.3">
      <c r="A7098" s="66"/>
      <c r="B7098" s="67"/>
      <c r="C7098" s="66"/>
      <c r="D7098" s="68"/>
      <c r="E7098" s="10"/>
      <c r="F7098" s="69"/>
      <c r="G7098" s="68"/>
      <c r="H7098" s="70"/>
      <c r="BA7098" s="4"/>
      <c r="BB7098" s="4"/>
    </row>
    <row r="7099" spans="1:54" x14ac:dyDescent="0.3">
      <c r="A7099" s="66"/>
      <c r="B7099" s="67"/>
      <c r="C7099" s="66"/>
      <c r="D7099" s="68"/>
      <c r="E7099" s="10"/>
      <c r="F7099" s="69"/>
      <c r="G7099" s="68"/>
      <c r="H7099" s="70"/>
      <c r="BA7099" s="4"/>
      <c r="BB7099" s="4"/>
    </row>
    <row r="7100" spans="1:54" x14ac:dyDescent="0.3">
      <c r="A7100" s="66"/>
      <c r="B7100" s="67"/>
      <c r="C7100" s="66"/>
      <c r="D7100" s="68"/>
      <c r="E7100" s="10"/>
      <c r="F7100" s="69"/>
      <c r="G7100" s="68"/>
      <c r="H7100" s="70"/>
      <c r="BA7100" s="4"/>
      <c r="BB7100" s="4"/>
    </row>
    <row r="7101" spans="1:54" x14ac:dyDescent="0.3">
      <c r="A7101" s="66"/>
      <c r="B7101" s="67"/>
      <c r="C7101" s="66"/>
      <c r="D7101" s="68"/>
      <c r="E7101" s="10"/>
      <c r="F7101" s="69"/>
      <c r="G7101" s="68"/>
      <c r="H7101" s="70"/>
      <c r="BA7101" s="4"/>
      <c r="BB7101" s="4"/>
    </row>
    <row r="7102" spans="1:54" x14ac:dyDescent="0.3">
      <c r="A7102" s="66"/>
      <c r="B7102" s="67"/>
      <c r="C7102" s="66"/>
      <c r="D7102" s="68"/>
      <c r="E7102" s="10"/>
      <c r="F7102" s="69"/>
      <c r="G7102" s="68"/>
      <c r="H7102" s="70"/>
      <c r="BA7102" s="4"/>
      <c r="BB7102" s="4"/>
    </row>
    <row r="7103" spans="1:54" x14ac:dyDescent="0.3">
      <c r="A7103" s="66"/>
      <c r="B7103" s="67"/>
      <c r="C7103" s="66"/>
      <c r="D7103" s="68"/>
      <c r="E7103" s="10"/>
      <c r="F7103" s="69"/>
      <c r="G7103" s="68"/>
      <c r="H7103" s="70"/>
      <c r="BA7103" s="4"/>
      <c r="BB7103" s="4"/>
    </row>
    <row r="7104" spans="1:54" x14ac:dyDescent="0.3">
      <c r="A7104" s="66"/>
      <c r="B7104" s="67"/>
      <c r="C7104" s="66"/>
      <c r="D7104" s="68"/>
      <c r="E7104" s="10"/>
      <c r="F7104" s="69"/>
      <c r="G7104" s="68"/>
      <c r="H7104" s="70"/>
      <c r="BA7104" s="4"/>
      <c r="BB7104" s="4"/>
    </row>
    <row r="7105" spans="1:54" x14ac:dyDescent="0.3">
      <c r="A7105" s="66"/>
      <c r="B7105" s="67"/>
      <c r="C7105" s="66"/>
      <c r="D7105" s="68"/>
      <c r="E7105" s="10"/>
      <c r="F7105" s="69"/>
      <c r="G7105" s="68"/>
      <c r="H7105" s="70"/>
      <c r="BA7105" s="4"/>
      <c r="BB7105" s="4"/>
    </row>
    <row r="7106" spans="1:54" x14ac:dyDescent="0.3">
      <c r="A7106" s="66"/>
      <c r="B7106" s="67"/>
      <c r="C7106" s="66"/>
      <c r="D7106" s="68"/>
      <c r="E7106" s="10"/>
      <c r="F7106" s="69"/>
      <c r="G7106" s="68"/>
      <c r="H7106" s="70"/>
      <c r="BA7106" s="4"/>
      <c r="BB7106" s="4"/>
    </row>
    <row r="7107" spans="1:54" x14ac:dyDescent="0.3">
      <c r="A7107" s="66"/>
      <c r="B7107" s="67"/>
      <c r="C7107" s="66"/>
      <c r="D7107" s="68"/>
      <c r="E7107" s="10"/>
      <c r="F7107" s="69"/>
      <c r="G7107" s="68"/>
      <c r="H7107" s="70"/>
      <c r="BA7107" s="4"/>
      <c r="BB7107" s="4"/>
    </row>
    <row r="7108" spans="1:54" x14ac:dyDescent="0.3">
      <c r="A7108" s="66"/>
      <c r="B7108" s="67"/>
      <c r="C7108" s="66"/>
      <c r="D7108" s="68"/>
      <c r="E7108" s="10"/>
      <c r="F7108" s="69"/>
      <c r="G7108" s="68"/>
      <c r="H7108" s="70"/>
      <c r="BA7108" s="4"/>
      <c r="BB7108" s="4"/>
    </row>
    <row r="7109" spans="1:54" x14ac:dyDescent="0.3">
      <c r="A7109" s="66"/>
      <c r="B7109" s="67"/>
      <c r="C7109" s="66"/>
      <c r="D7109" s="68"/>
      <c r="E7109" s="10"/>
      <c r="F7109" s="69"/>
      <c r="G7109" s="68"/>
      <c r="H7109" s="70"/>
      <c r="BA7109" s="4"/>
      <c r="BB7109" s="4"/>
    </row>
    <row r="7110" spans="1:54" x14ac:dyDescent="0.3">
      <c r="A7110" s="66"/>
      <c r="B7110" s="67"/>
      <c r="C7110" s="66"/>
      <c r="D7110" s="68"/>
      <c r="E7110" s="10"/>
      <c r="F7110" s="69"/>
      <c r="G7110" s="68"/>
      <c r="H7110" s="70"/>
      <c r="BA7110" s="4"/>
      <c r="BB7110" s="4"/>
    </row>
    <row r="7111" spans="1:54" x14ac:dyDescent="0.3">
      <c r="A7111" s="66"/>
      <c r="B7111" s="67"/>
      <c r="C7111" s="66"/>
      <c r="D7111" s="68"/>
      <c r="E7111" s="10"/>
      <c r="F7111" s="69"/>
      <c r="G7111" s="68"/>
      <c r="H7111" s="70"/>
      <c r="BA7111" s="4"/>
      <c r="BB7111" s="4"/>
    </row>
    <row r="7112" spans="1:54" x14ac:dyDescent="0.3">
      <c r="A7112" s="66"/>
      <c r="B7112" s="67"/>
      <c r="C7112" s="66"/>
      <c r="D7112" s="68"/>
      <c r="E7112" s="10"/>
      <c r="F7112" s="69"/>
      <c r="G7112" s="68"/>
      <c r="H7112" s="70"/>
      <c r="BA7112" s="4"/>
      <c r="BB7112" s="4"/>
    </row>
    <row r="7113" spans="1:54" x14ac:dyDescent="0.3">
      <c r="A7113" s="66"/>
      <c r="B7113" s="67"/>
      <c r="C7113" s="66"/>
      <c r="D7113" s="68"/>
      <c r="E7113" s="10"/>
      <c r="F7113" s="69"/>
      <c r="G7113" s="68"/>
      <c r="H7113" s="70"/>
      <c r="BA7113" s="4"/>
      <c r="BB7113" s="4"/>
    </row>
    <row r="7114" spans="1:54" x14ac:dyDescent="0.3">
      <c r="A7114" s="66"/>
      <c r="B7114" s="67"/>
      <c r="C7114" s="66"/>
      <c r="D7114" s="68"/>
      <c r="E7114" s="10"/>
      <c r="F7114" s="69"/>
      <c r="G7114" s="68"/>
      <c r="H7114" s="70"/>
      <c r="BA7114" s="4"/>
      <c r="BB7114" s="4"/>
    </row>
    <row r="7115" spans="1:54" x14ac:dyDescent="0.3">
      <c r="A7115" s="66"/>
      <c r="B7115" s="67"/>
      <c r="C7115" s="66"/>
      <c r="D7115" s="68"/>
      <c r="E7115" s="10"/>
      <c r="F7115" s="69"/>
      <c r="G7115" s="68"/>
      <c r="H7115" s="70"/>
      <c r="BA7115" s="4"/>
      <c r="BB7115" s="4"/>
    </row>
    <row r="7116" spans="1:54" x14ac:dyDescent="0.3">
      <c r="A7116" s="66"/>
      <c r="B7116" s="67"/>
      <c r="C7116" s="66"/>
      <c r="D7116" s="68"/>
      <c r="E7116" s="10"/>
      <c r="F7116" s="69"/>
      <c r="G7116" s="68"/>
      <c r="H7116" s="70"/>
      <c r="BA7116" s="4"/>
      <c r="BB7116" s="4"/>
    </row>
    <row r="7117" spans="1:54" x14ac:dyDescent="0.3">
      <c r="A7117" s="66"/>
      <c r="B7117" s="67"/>
      <c r="C7117" s="66"/>
      <c r="D7117" s="68"/>
      <c r="E7117" s="10"/>
      <c r="F7117" s="69"/>
      <c r="G7117" s="68"/>
      <c r="H7117" s="70"/>
      <c r="BA7117" s="4"/>
      <c r="BB7117" s="4"/>
    </row>
    <row r="7118" spans="1:54" x14ac:dyDescent="0.3">
      <c r="A7118" s="66"/>
      <c r="B7118" s="67"/>
      <c r="C7118" s="66"/>
      <c r="D7118" s="68"/>
      <c r="E7118" s="10"/>
      <c r="F7118" s="69"/>
      <c r="G7118" s="68"/>
      <c r="H7118" s="70"/>
      <c r="BA7118" s="4"/>
      <c r="BB7118" s="4"/>
    </row>
    <row r="7119" spans="1:54" x14ac:dyDescent="0.3">
      <c r="A7119" s="66"/>
      <c r="B7119" s="67"/>
      <c r="C7119" s="66"/>
      <c r="D7119" s="68"/>
      <c r="E7119" s="10"/>
      <c r="F7119" s="69"/>
      <c r="G7119" s="68"/>
      <c r="H7119" s="70"/>
      <c r="BA7119" s="4"/>
      <c r="BB7119" s="4"/>
    </row>
    <row r="7120" spans="1:54" x14ac:dyDescent="0.3">
      <c r="A7120" s="66"/>
      <c r="B7120" s="67"/>
      <c r="C7120" s="66"/>
      <c r="D7120" s="68"/>
      <c r="E7120" s="10"/>
      <c r="F7120" s="69"/>
      <c r="G7120" s="68"/>
      <c r="H7120" s="70"/>
      <c r="BA7120" s="4"/>
      <c r="BB7120" s="4"/>
    </row>
    <row r="7121" spans="1:54" x14ac:dyDescent="0.3">
      <c r="A7121" s="66"/>
      <c r="B7121" s="67"/>
      <c r="C7121" s="66"/>
      <c r="D7121" s="68"/>
      <c r="E7121" s="10"/>
      <c r="F7121" s="69"/>
      <c r="G7121" s="68"/>
      <c r="H7121" s="70"/>
      <c r="BA7121" s="4"/>
      <c r="BB7121" s="4"/>
    </row>
    <row r="7122" spans="1:54" x14ac:dyDescent="0.3">
      <c r="A7122" s="66"/>
      <c r="B7122" s="67"/>
      <c r="C7122" s="66"/>
      <c r="D7122" s="68"/>
      <c r="E7122" s="10"/>
      <c r="F7122" s="69"/>
      <c r="G7122" s="68"/>
      <c r="H7122" s="70"/>
      <c r="BA7122" s="4"/>
      <c r="BB7122" s="4"/>
    </row>
    <row r="7123" spans="1:54" x14ac:dyDescent="0.3">
      <c r="A7123" s="66"/>
      <c r="B7123" s="67"/>
      <c r="C7123" s="66"/>
      <c r="D7123" s="68"/>
      <c r="E7123" s="10"/>
      <c r="F7123" s="69"/>
      <c r="G7123" s="68"/>
      <c r="H7123" s="70"/>
      <c r="BA7123" s="4"/>
      <c r="BB7123" s="4"/>
    </row>
    <row r="7124" spans="1:54" x14ac:dyDescent="0.3">
      <c r="A7124" s="66"/>
      <c r="B7124" s="67"/>
      <c r="C7124" s="66"/>
      <c r="D7124" s="68"/>
      <c r="E7124" s="10"/>
      <c r="F7124" s="69"/>
      <c r="G7124" s="68"/>
      <c r="H7124" s="70"/>
      <c r="BA7124" s="4"/>
      <c r="BB7124" s="4"/>
    </row>
    <row r="7125" spans="1:54" x14ac:dyDescent="0.3">
      <c r="A7125" s="66"/>
      <c r="B7125" s="67"/>
      <c r="C7125" s="66"/>
      <c r="D7125" s="68"/>
      <c r="E7125" s="10"/>
      <c r="F7125" s="69"/>
      <c r="G7125" s="68"/>
      <c r="H7125" s="70"/>
      <c r="BA7125" s="4"/>
      <c r="BB7125" s="4"/>
    </row>
    <row r="7126" spans="1:54" x14ac:dyDescent="0.3">
      <c r="A7126" s="66"/>
      <c r="B7126" s="67"/>
      <c r="C7126" s="66"/>
      <c r="D7126" s="68"/>
      <c r="E7126" s="10"/>
      <c r="F7126" s="69"/>
      <c r="G7126" s="68"/>
      <c r="H7126" s="70"/>
      <c r="BA7126" s="4"/>
      <c r="BB7126" s="4"/>
    </row>
    <row r="7127" spans="1:54" x14ac:dyDescent="0.3">
      <c r="A7127" s="66"/>
      <c r="B7127" s="67"/>
      <c r="C7127" s="66"/>
      <c r="D7127" s="68"/>
      <c r="E7127" s="10"/>
      <c r="F7127" s="69"/>
      <c r="G7127" s="68"/>
      <c r="H7127" s="70"/>
      <c r="BA7127" s="4"/>
      <c r="BB7127" s="4"/>
    </row>
    <row r="7128" spans="1:54" x14ac:dyDescent="0.3">
      <c r="A7128" s="66"/>
      <c r="B7128" s="67"/>
      <c r="C7128" s="66"/>
      <c r="D7128" s="68"/>
      <c r="E7128" s="10"/>
      <c r="F7128" s="69"/>
      <c r="G7128" s="68"/>
      <c r="H7128" s="70"/>
      <c r="BA7128" s="4"/>
      <c r="BB7128" s="4"/>
    </row>
    <row r="7129" spans="1:54" x14ac:dyDescent="0.3">
      <c r="A7129" s="66"/>
      <c r="B7129" s="67"/>
      <c r="C7129" s="66"/>
      <c r="D7129" s="68"/>
      <c r="E7129" s="10"/>
      <c r="F7129" s="69"/>
      <c r="G7129" s="68"/>
      <c r="H7129" s="70"/>
      <c r="BA7129" s="4"/>
      <c r="BB7129" s="4"/>
    </row>
    <row r="7130" spans="1:54" x14ac:dyDescent="0.3">
      <c r="A7130" s="66"/>
      <c r="B7130" s="67"/>
      <c r="C7130" s="66"/>
      <c r="D7130" s="68"/>
      <c r="E7130" s="10"/>
      <c r="F7130" s="69"/>
      <c r="G7130" s="68"/>
      <c r="H7130" s="70"/>
      <c r="BA7130" s="4"/>
      <c r="BB7130" s="4"/>
    </row>
    <row r="7131" spans="1:54" x14ac:dyDescent="0.3">
      <c r="A7131" s="66"/>
      <c r="B7131" s="67"/>
      <c r="C7131" s="66"/>
      <c r="D7131" s="68"/>
      <c r="E7131" s="10"/>
      <c r="F7131" s="69"/>
      <c r="G7131" s="68"/>
      <c r="H7131" s="70"/>
      <c r="BA7131" s="4"/>
      <c r="BB7131" s="4"/>
    </row>
    <row r="7132" spans="1:54" x14ac:dyDescent="0.3">
      <c r="A7132" s="66"/>
      <c r="B7132" s="67"/>
      <c r="C7132" s="66"/>
      <c r="D7132" s="68"/>
      <c r="E7132" s="10"/>
      <c r="F7132" s="69"/>
      <c r="G7132" s="68"/>
      <c r="H7132" s="70"/>
      <c r="BA7132" s="4"/>
      <c r="BB7132" s="4"/>
    </row>
    <row r="7133" spans="1:54" x14ac:dyDescent="0.3">
      <c r="A7133" s="66"/>
      <c r="B7133" s="67"/>
      <c r="C7133" s="66"/>
      <c r="D7133" s="68"/>
      <c r="E7133" s="10"/>
      <c r="F7133" s="69"/>
      <c r="G7133" s="68"/>
      <c r="H7133" s="70"/>
      <c r="BA7133" s="4"/>
      <c r="BB7133" s="4"/>
    </row>
    <row r="7134" spans="1:54" x14ac:dyDescent="0.3">
      <c r="A7134" s="66"/>
      <c r="B7134" s="67"/>
      <c r="C7134" s="66"/>
      <c r="D7134" s="68"/>
      <c r="E7134" s="10"/>
      <c r="F7134" s="69"/>
      <c r="G7134" s="68"/>
      <c r="H7134" s="70"/>
      <c r="BA7134" s="4"/>
      <c r="BB7134" s="4"/>
    </row>
    <row r="7135" spans="1:54" x14ac:dyDescent="0.3">
      <c r="A7135" s="66"/>
      <c r="B7135" s="67"/>
      <c r="C7135" s="66"/>
      <c r="D7135" s="68"/>
      <c r="E7135" s="10"/>
      <c r="F7135" s="69"/>
      <c r="G7135" s="68"/>
      <c r="H7135" s="70"/>
      <c r="BA7135" s="4"/>
      <c r="BB7135" s="4"/>
    </row>
    <row r="7136" spans="1:54" x14ac:dyDescent="0.3">
      <c r="A7136" s="66"/>
      <c r="B7136" s="67"/>
      <c r="C7136" s="66"/>
      <c r="D7136" s="68"/>
      <c r="E7136" s="10"/>
      <c r="F7136" s="69"/>
      <c r="G7136" s="68"/>
      <c r="H7136" s="70"/>
      <c r="BA7136" s="4"/>
      <c r="BB7136" s="4"/>
    </row>
    <row r="7137" spans="1:54" x14ac:dyDescent="0.3">
      <c r="A7137" s="66"/>
      <c r="B7137" s="67"/>
      <c r="C7137" s="66"/>
      <c r="D7137" s="68"/>
      <c r="E7137" s="10"/>
      <c r="F7137" s="69"/>
      <c r="G7137" s="68"/>
      <c r="H7137" s="70"/>
      <c r="BA7137" s="4"/>
      <c r="BB7137" s="4"/>
    </row>
    <row r="7138" spans="1:54" x14ac:dyDescent="0.3">
      <c r="A7138" s="66"/>
      <c r="B7138" s="67"/>
      <c r="C7138" s="66"/>
      <c r="D7138" s="68"/>
      <c r="E7138" s="10"/>
      <c r="F7138" s="69"/>
      <c r="G7138" s="68"/>
      <c r="H7138" s="70"/>
      <c r="BA7138" s="4"/>
      <c r="BB7138" s="4"/>
    </row>
    <row r="7139" spans="1:54" x14ac:dyDescent="0.3">
      <c r="A7139" s="66"/>
      <c r="B7139" s="67"/>
      <c r="C7139" s="66"/>
      <c r="D7139" s="68"/>
      <c r="E7139" s="10"/>
      <c r="F7139" s="69"/>
      <c r="G7139" s="68"/>
      <c r="H7139" s="70"/>
      <c r="BA7139" s="4"/>
      <c r="BB7139" s="4"/>
    </row>
    <row r="7140" spans="1:54" x14ac:dyDescent="0.3">
      <c r="A7140" s="66"/>
      <c r="B7140" s="67"/>
      <c r="C7140" s="66"/>
      <c r="D7140" s="68"/>
      <c r="E7140" s="10"/>
      <c r="F7140" s="69"/>
      <c r="G7140" s="68"/>
      <c r="H7140" s="70"/>
      <c r="BA7140" s="4"/>
      <c r="BB7140" s="4"/>
    </row>
    <row r="7141" spans="1:54" x14ac:dyDescent="0.3">
      <c r="A7141" s="66"/>
      <c r="B7141" s="67"/>
      <c r="C7141" s="66"/>
      <c r="D7141" s="68"/>
      <c r="E7141" s="10"/>
      <c r="F7141" s="69"/>
      <c r="G7141" s="68"/>
      <c r="H7141" s="70"/>
      <c r="BA7141" s="4"/>
      <c r="BB7141" s="4"/>
    </row>
    <row r="7142" spans="1:54" x14ac:dyDescent="0.3">
      <c r="A7142" s="66"/>
      <c r="B7142" s="67"/>
      <c r="C7142" s="66"/>
      <c r="D7142" s="68"/>
      <c r="E7142" s="10"/>
      <c r="F7142" s="69"/>
      <c r="G7142" s="68"/>
      <c r="H7142" s="70"/>
      <c r="BA7142" s="4"/>
      <c r="BB7142" s="4"/>
    </row>
    <row r="7143" spans="1:54" x14ac:dyDescent="0.3">
      <c r="A7143" s="66"/>
      <c r="B7143" s="67"/>
      <c r="C7143" s="66"/>
      <c r="D7143" s="68"/>
      <c r="E7143" s="10"/>
      <c r="F7143" s="69"/>
      <c r="G7143" s="68"/>
      <c r="H7143" s="70"/>
      <c r="BA7143" s="4"/>
      <c r="BB7143" s="4"/>
    </row>
    <row r="7144" spans="1:54" x14ac:dyDescent="0.3">
      <c r="A7144" s="66"/>
      <c r="B7144" s="67"/>
      <c r="C7144" s="66"/>
      <c r="D7144" s="68"/>
      <c r="E7144" s="10"/>
      <c r="F7144" s="69"/>
      <c r="G7144" s="68"/>
      <c r="H7144" s="70"/>
      <c r="BA7144" s="4"/>
      <c r="BB7144" s="4"/>
    </row>
    <row r="7145" spans="1:54" x14ac:dyDescent="0.3">
      <c r="A7145" s="66"/>
      <c r="B7145" s="67"/>
      <c r="C7145" s="66"/>
      <c r="D7145" s="68"/>
      <c r="E7145" s="10"/>
      <c r="F7145" s="69"/>
      <c r="G7145" s="68"/>
      <c r="H7145" s="70"/>
      <c r="BA7145" s="4"/>
      <c r="BB7145" s="4"/>
    </row>
    <row r="7146" spans="1:54" x14ac:dyDescent="0.3">
      <c r="A7146" s="66"/>
      <c r="B7146" s="67"/>
      <c r="C7146" s="66"/>
      <c r="D7146" s="68"/>
      <c r="E7146" s="10"/>
      <c r="F7146" s="69"/>
      <c r="G7146" s="68"/>
      <c r="H7146" s="70"/>
      <c r="BA7146" s="4"/>
      <c r="BB7146" s="4"/>
    </row>
    <row r="7147" spans="1:54" x14ac:dyDescent="0.3">
      <c r="A7147" s="66"/>
      <c r="B7147" s="67"/>
      <c r="C7147" s="66"/>
      <c r="D7147" s="68"/>
      <c r="E7147" s="10"/>
      <c r="F7147" s="69"/>
      <c r="G7147" s="68"/>
      <c r="H7147" s="70"/>
      <c r="BA7147" s="4"/>
      <c r="BB7147" s="4"/>
    </row>
    <row r="7148" spans="1:54" x14ac:dyDescent="0.3">
      <c r="A7148" s="66"/>
      <c r="B7148" s="67"/>
      <c r="C7148" s="66"/>
      <c r="D7148" s="68"/>
      <c r="E7148" s="10"/>
      <c r="F7148" s="69"/>
      <c r="G7148" s="68"/>
      <c r="H7148" s="70"/>
      <c r="BA7148" s="4"/>
      <c r="BB7148" s="4"/>
    </row>
    <row r="7149" spans="1:54" x14ac:dyDescent="0.3">
      <c r="A7149" s="66"/>
      <c r="B7149" s="67"/>
      <c r="C7149" s="66"/>
      <c r="D7149" s="68"/>
      <c r="E7149" s="10"/>
      <c r="F7149" s="69"/>
      <c r="G7149" s="68"/>
      <c r="H7149" s="70"/>
      <c r="BA7149" s="4"/>
      <c r="BB7149" s="4"/>
    </row>
    <row r="7150" spans="1:54" x14ac:dyDescent="0.3">
      <c r="A7150" s="66"/>
      <c r="B7150" s="67"/>
      <c r="C7150" s="66"/>
      <c r="D7150" s="68"/>
      <c r="E7150" s="10"/>
      <c r="F7150" s="69"/>
      <c r="G7150" s="68"/>
      <c r="H7150" s="70"/>
      <c r="BA7150" s="4"/>
      <c r="BB7150" s="4"/>
    </row>
    <row r="7151" spans="1:54" x14ac:dyDescent="0.3">
      <c r="A7151" s="66"/>
      <c r="B7151" s="67"/>
      <c r="C7151" s="66"/>
      <c r="D7151" s="68"/>
      <c r="E7151" s="10"/>
      <c r="F7151" s="69"/>
      <c r="G7151" s="68"/>
      <c r="H7151" s="70"/>
      <c r="BA7151" s="4"/>
      <c r="BB7151" s="4"/>
    </row>
    <row r="7152" spans="1:54" x14ac:dyDescent="0.3">
      <c r="A7152" s="66"/>
      <c r="B7152" s="67"/>
      <c r="C7152" s="66"/>
      <c r="D7152" s="68"/>
      <c r="E7152" s="10"/>
      <c r="F7152" s="69"/>
      <c r="G7152" s="68"/>
      <c r="H7152" s="70"/>
      <c r="BA7152" s="4"/>
      <c r="BB7152" s="4"/>
    </row>
    <row r="7153" spans="1:54" x14ac:dyDescent="0.3">
      <c r="A7153" s="66"/>
      <c r="B7153" s="67"/>
      <c r="C7153" s="66"/>
      <c r="D7153" s="68"/>
      <c r="E7153" s="10"/>
      <c r="F7153" s="69"/>
      <c r="G7153" s="68"/>
      <c r="H7153" s="70"/>
      <c r="BA7153" s="4"/>
      <c r="BB7153" s="4"/>
    </row>
    <row r="7154" spans="1:54" x14ac:dyDescent="0.3">
      <c r="A7154" s="66"/>
      <c r="B7154" s="67"/>
      <c r="C7154" s="66"/>
      <c r="D7154" s="68"/>
      <c r="E7154" s="10"/>
      <c r="F7154" s="69"/>
      <c r="G7154" s="68"/>
      <c r="H7154" s="70"/>
      <c r="BA7154" s="4"/>
      <c r="BB7154" s="4"/>
    </row>
    <row r="7155" spans="1:54" x14ac:dyDescent="0.3">
      <c r="A7155" s="66"/>
      <c r="B7155" s="67"/>
      <c r="C7155" s="66"/>
      <c r="D7155" s="68"/>
      <c r="E7155" s="10"/>
      <c r="F7155" s="69"/>
      <c r="G7155" s="68"/>
      <c r="H7155" s="70"/>
      <c r="BA7155" s="4"/>
      <c r="BB7155" s="4"/>
    </row>
    <row r="7156" spans="1:54" x14ac:dyDescent="0.3">
      <c r="A7156" s="66"/>
      <c r="B7156" s="67"/>
      <c r="C7156" s="66"/>
      <c r="D7156" s="68"/>
      <c r="E7156" s="10"/>
      <c r="F7156" s="69"/>
      <c r="G7156" s="68"/>
      <c r="H7156" s="70"/>
      <c r="BA7156" s="4"/>
      <c r="BB7156" s="4"/>
    </row>
    <row r="7157" spans="1:54" x14ac:dyDescent="0.3">
      <c r="A7157" s="66"/>
      <c r="B7157" s="67"/>
      <c r="C7157" s="66"/>
      <c r="D7157" s="68"/>
      <c r="E7157" s="10"/>
      <c r="F7157" s="69"/>
      <c r="G7157" s="68"/>
      <c r="H7157" s="70"/>
      <c r="BA7157" s="4"/>
      <c r="BB7157" s="4"/>
    </row>
    <row r="7158" spans="1:54" x14ac:dyDescent="0.3">
      <c r="A7158" s="66"/>
      <c r="B7158" s="67"/>
      <c r="C7158" s="66"/>
      <c r="D7158" s="68"/>
      <c r="E7158" s="10"/>
      <c r="F7158" s="69"/>
      <c r="G7158" s="68"/>
      <c r="H7158" s="70"/>
      <c r="BA7158" s="4"/>
      <c r="BB7158" s="4"/>
    </row>
    <row r="7159" spans="1:54" x14ac:dyDescent="0.3">
      <c r="A7159" s="66"/>
      <c r="B7159" s="67"/>
      <c r="C7159" s="66"/>
      <c r="D7159" s="68"/>
      <c r="E7159" s="10"/>
      <c r="F7159" s="69"/>
      <c r="G7159" s="68"/>
      <c r="H7159" s="70"/>
      <c r="BA7159" s="4"/>
      <c r="BB7159" s="4"/>
    </row>
    <row r="7160" spans="1:54" x14ac:dyDescent="0.3">
      <c r="A7160" s="66"/>
      <c r="B7160" s="67"/>
      <c r="C7160" s="66"/>
      <c r="D7160" s="68"/>
      <c r="E7160" s="10"/>
      <c r="F7160" s="69"/>
      <c r="G7160" s="68"/>
      <c r="H7160" s="70"/>
      <c r="BA7160" s="4"/>
      <c r="BB7160" s="4"/>
    </row>
    <row r="7161" spans="1:54" x14ac:dyDescent="0.3">
      <c r="A7161" s="66"/>
      <c r="B7161" s="67"/>
      <c r="C7161" s="66"/>
      <c r="D7161" s="68"/>
      <c r="E7161" s="10"/>
      <c r="F7161" s="69"/>
      <c r="G7161" s="68"/>
      <c r="H7161" s="70"/>
      <c r="BA7161" s="4"/>
      <c r="BB7161" s="4"/>
    </row>
    <row r="7162" spans="1:54" x14ac:dyDescent="0.3">
      <c r="A7162" s="66"/>
      <c r="B7162" s="67"/>
      <c r="C7162" s="66"/>
      <c r="D7162" s="68"/>
      <c r="E7162" s="10"/>
      <c r="F7162" s="69"/>
      <c r="G7162" s="68"/>
      <c r="H7162" s="70"/>
      <c r="BA7162" s="4"/>
      <c r="BB7162" s="4"/>
    </row>
    <row r="7163" spans="1:54" x14ac:dyDescent="0.3">
      <c r="A7163" s="66"/>
      <c r="B7163" s="67"/>
      <c r="C7163" s="66"/>
      <c r="D7163" s="68"/>
      <c r="E7163" s="10"/>
      <c r="F7163" s="69"/>
      <c r="G7163" s="68"/>
      <c r="H7163" s="70"/>
      <c r="BA7163" s="4"/>
      <c r="BB7163" s="4"/>
    </row>
    <row r="7164" spans="1:54" x14ac:dyDescent="0.3">
      <c r="A7164" s="66"/>
      <c r="B7164" s="67"/>
      <c r="C7164" s="66"/>
      <c r="D7164" s="68"/>
      <c r="E7164" s="10"/>
      <c r="F7164" s="69"/>
      <c r="G7164" s="68"/>
      <c r="H7164" s="70"/>
      <c r="BA7164" s="4"/>
      <c r="BB7164" s="4"/>
    </row>
    <row r="7165" spans="1:54" x14ac:dyDescent="0.3">
      <c r="A7165" s="66"/>
      <c r="B7165" s="67"/>
      <c r="C7165" s="66"/>
      <c r="D7165" s="68"/>
      <c r="E7165" s="10"/>
      <c r="F7165" s="69"/>
      <c r="G7165" s="68"/>
      <c r="H7165" s="70"/>
      <c r="BA7165" s="4"/>
      <c r="BB7165" s="4"/>
    </row>
    <row r="7166" spans="1:54" x14ac:dyDescent="0.3">
      <c r="A7166" s="66"/>
      <c r="B7166" s="67"/>
      <c r="C7166" s="66"/>
      <c r="D7166" s="68"/>
      <c r="E7166" s="10"/>
      <c r="F7166" s="69"/>
      <c r="G7166" s="68"/>
      <c r="H7166" s="70"/>
      <c r="BA7166" s="4"/>
      <c r="BB7166" s="4"/>
    </row>
    <row r="7167" spans="1:54" x14ac:dyDescent="0.3">
      <c r="A7167" s="66"/>
      <c r="B7167" s="67"/>
      <c r="C7167" s="66"/>
      <c r="D7167" s="68"/>
      <c r="E7167" s="10"/>
      <c r="F7167" s="69"/>
      <c r="G7167" s="68"/>
      <c r="H7167" s="70"/>
      <c r="BA7167" s="4"/>
      <c r="BB7167" s="4"/>
    </row>
    <row r="7168" spans="1:54" x14ac:dyDescent="0.3">
      <c r="A7168" s="66"/>
      <c r="B7168" s="67"/>
      <c r="C7168" s="66"/>
      <c r="D7168" s="68"/>
      <c r="E7168" s="10"/>
      <c r="F7168" s="69"/>
      <c r="G7168" s="68"/>
      <c r="H7168" s="70"/>
      <c r="BA7168" s="4"/>
      <c r="BB7168" s="4"/>
    </row>
    <row r="7169" spans="1:54" x14ac:dyDescent="0.3">
      <c r="A7169" s="66"/>
      <c r="B7169" s="67"/>
      <c r="C7169" s="66"/>
      <c r="D7169" s="68"/>
      <c r="E7169" s="10"/>
      <c r="F7169" s="69"/>
      <c r="G7169" s="68"/>
      <c r="H7169" s="70"/>
      <c r="BA7169" s="4"/>
      <c r="BB7169" s="4"/>
    </row>
    <row r="7170" spans="1:54" x14ac:dyDescent="0.3">
      <c r="A7170" s="66"/>
      <c r="B7170" s="67"/>
      <c r="C7170" s="66"/>
      <c r="D7170" s="68"/>
      <c r="E7170" s="10"/>
      <c r="F7170" s="69"/>
      <c r="G7170" s="68"/>
      <c r="H7170" s="70"/>
      <c r="BA7170" s="4"/>
      <c r="BB7170" s="4"/>
    </row>
    <row r="7171" spans="1:54" x14ac:dyDescent="0.3">
      <c r="A7171" s="66"/>
      <c r="B7171" s="67"/>
      <c r="C7171" s="66"/>
      <c r="D7171" s="68"/>
      <c r="E7171" s="10"/>
      <c r="F7171" s="69"/>
      <c r="G7171" s="68"/>
      <c r="H7171" s="70"/>
      <c r="BA7171" s="4"/>
      <c r="BB7171" s="4"/>
    </row>
    <row r="7172" spans="1:54" x14ac:dyDescent="0.3">
      <c r="A7172" s="66"/>
      <c r="B7172" s="67"/>
      <c r="C7172" s="66"/>
      <c r="D7172" s="68"/>
      <c r="E7172" s="10"/>
      <c r="F7172" s="69"/>
      <c r="G7172" s="68"/>
      <c r="H7172" s="70"/>
      <c r="BA7172" s="4"/>
      <c r="BB7172" s="4"/>
    </row>
    <row r="7173" spans="1:54" x14ac:dyDescent="0.3">
      <c r="A7173" s="66"/>
      <c r="B7173" s="67"/>
      <c r="C7173" s="66"/>
      <c r="D7173" s="68"/>
      <c r="E7173" s="10"/>
      <c r="F7173" s="69"/>
      <c r="G7173" s="68"/>
      <c r="H7173" s="70"/>
      <c r="BA7173" s="4"/>
      <c r="BB7173" s="4"/>
    </row>
    <row r="7174" spans="1:54" x14ac:dyDescent="0.3">
      <c r="A7174" s="66"/>
      <c r="B7174" s="67"/>
      <c r="C7174" s="66"/>
      <c r="D7174" s="68"/>
      <c r="E7174" s="10"/>
      <c r="F7174" s="69"/>
      <c r="G7174" s="68"/>
      <c r="H7174" s="70"/>
      <c r="BA7174" s="4"/>
      <c r="BB7174" s="4"/>
    </row>
    <row r="7175" spans="1:54" x14ac:dyDescent="0.3">
      <c r="A7175" s="66"/>
      <c r="B7175" s="67"/>
      <c r="C7175" s="66"/>
      <c r="D7175" s="68"/>
      <c r="E7175" s="10"/>
      <c r="F7175" s="69"/>
      <c r="G7175" s="68"/>
      <c r="H7175" s="70"/>
      <c r="BA7175" s="4"/>
      <c r="BB7175" s="4"/>
    </row>
    <row r="7176" spans="1:54" x14ac:dyDescent="0.3">
      <c r="A7176" s="66"/>
      <c r="B7176" s="67"/>
      <c r="C7176" s="66"/>
      <c r="D7176" s="68"/>
      <c r="E7176" s="10"/>
      <c r="F7176" s="69"/>
      <c r="G7176" s="68"/>
      <c r="H7176" s="70"/>
      <c r="BA7176" s="4"/>
      <c r="BB7176" s="4"/>
    </row>
    <row r="7177" spans="1:54" x14ac:dyDescent="0.3">
      <c r="A7177" s="66"/>
      <c r="B7177" s="67"/>
      <c r="C7177" s="66"/>
      <c r="D7177" s="68"/>
      <c r="E7177" s="10"/>
      <c r="F7177" s="69"/>
      <c r="G7177" s="68"/>
      <c r="H7177" s="70"/>
      <c r="BA7177" s="4"/>
      <c r="BB7177" s="4"/>
    </row>
    <row r="7178" spans="1:54" x14ac:dyDescent="0.3">
      <c r="A7178" s="66"/>
      <c r="B7178" s="67"/>
      <c r="C7178" s="66"/>
      <c r="D7178" s="68"/>
      <c r="E7178" s="10"/>
      <c r="F7178" s="69"/>
      <c r="G7178" s="68"/>
      <c r="H7178" s="70"/>
      <c r="BA7178" s="4"/>
      <c r="BB7178" s="4"/>
    </row>
    <row r="7179" spans="1:54" x14ac:dyDescent="0.3">
      <c r="A7179" s="66"/>
      <c r="B7179" s="67"/>
      <c r="C7179" s="66"/>
      <c r="D7179" s="68"/>
      <c r="E7179" s="10"/>
      <c r="F7179" s="69"/>
      <c r="G7179" s="68"/>
      <c r="H7179" s="70"/>
      <c r="BA7179" s="4"/>
      <c r="BB7179" s="4"/>
    </row>
    <row r="7180" spans="1:54" x14ac:dyDescent="0.3">
      <c r="A7180" s="66"/>
      <c r="B7180" s="67"/>
      <c r="C7180" s="66"/>
      <c r="D7180" s="68"/>
      <c r="E7180" s="10"/>
      <c r="F7180" s="69"/>
      <c r="G7180" s="68"/>
      <c r="H7180" s="70"/>
      <c r="BA7180" s="4"/>
      <c r="BB7180" s="4"/>
    </row>
    <row r="7181" spans="1:54" x14ac:dyDescent="0.3">
      <c r="A7181" s="66"/>
      <c r="B7181" s="67"/>
      <c r="C7181" s="66"/>
      <c r="D7181" s="68"/>
      <c r="E7181" s="10"/>
      <c r="F7181" s="69"/>
      <c r="G7181" s="68"/>
      <c r="H7181" s="70"/>
      <c r="BA7181" s="4"/>
      <c r="BB7181" s="4"/>
    </row>
    <row r="7182" spans="1:54" x14ac:dyDescent="0.3">
      <c r="A7182" s="66"/>
      <c r="B7182" s="67"/>
      <c r="C7182" s="66"/>
      <c r="D7182" s="68"/>
      <c r="E7182" s="10"/>
      <c r="F7182" s="69"/>
      <c r="G7182" s="68"/>
      <c r="H7182" s="70"/>
      <c r="BA7182" s="4"/>
      <c r="BB7182" s="4"/>
    </row>
    <row r="7183" spans="1:54" x14ac:dyDescent="0.3">
      <c r="A7183" s="66"/>
      <c r="B7183" s="67"/>
      <c r="C7183" s="66"/>
      <c r="D7183" s="68"/>
      <c r="E7183" s="10"/>
      <c r="F7183" s="69"/>
      <c r="G7183" s="68"/>
      <c r="H7183" s="70"/>
      <c r="BA7183" s="4"/>
      <c r="BB7183" s="4"/>
    </row>
    <row r="7184" spans="1:54" x14ac:dyDescent="0.3">
      <c r="A7184" s="66"/>
      <c r="B7184" s="67"/>
      <c r="C7184" s="66"/>
      <c r="D7184" s="68"/>
      <c r="E7184" s="10"/>
      <c r="F7184" s="69"/>
      <c r="G7184" s="68"/>
      <c r="H7184" s="70"/>
      <c r="BA7184" s="4"/>
      <c r="BB7184" s="4"/>
    </row>
    <row r="7185" spans="1:54" x14ac:dyDescent="0.3">
      <c r="A7185" s="66"/>
      <c r="B7185" s="67"/>
      <c r="C7185" s="66"/>
      <c r="D7185" s="68"/>
      <c r="E7185" s="10"/>
      <c r="F7185" s="69"/>
      <c r="G7185" s="68"/>
      <c r="H7185" s="70"/>
      <c r="BA7185" s="4"/>
      <c r="BB7185" s="4"/>
    </row>
    <row r="7186" spans="1:54" x14ac:dyDescent="0.3">
      <c r="A7186" s="66"/>
      <c r="B7186" s="67"/>
      <c r="C7186" s="66"/>
      <c r="D7186" s="68"/>
      <c r="E7186" s="10"/>
      <c r="F7186" s="69"/>
      <c r="G7186" s="68"/>
      <c r="H7186" s="70"/>
      <c r="BA7186" s="4"/>
      <c r="BB7186" s="4"/>
    </row>
    <row r="7187" spans="1:54" x14ac:dyDescent="0.3">
      <c r="A7187" s="66"/>
      <c r="B7187" s="67"/>
      <c r="C7187" s="66"/>
      <c r="D7187" s="68"/>
      <c r="E7187" s="10"/>
      <c r="F7187" s="69"/>
      <c r="G7187" s="68"/>
      <c r="H7187" s="70"/>
      <c r="BA7187" s="4"/>
      <c r="BB7187" s="4"/>
    </row>
    <row r="7188" spans="1:54" x14ac:dyDescent="0.3">
      <c r="A7188" s="66"/>
      <c r="B7188" s="67"/>
      <c r="C7188" s="66"/>
      <c r="D7188" s="68"/>
      <c r="E7188" s="10"/>
      <c r="F7188" s="69"/>
      <c r="G7188" s="68"/>
      <c r="H7188" s="70"/>
      <c r="BA7188" s="4"/>
      <c r="BB7188" s="4"/>
    </row>
    <row r="7189" spans="1:54" x14ac:dyDescent="0.3">
      <c r="A7189" s="66"/>
      <c r="B7189" s="67"/>
      <c r="C7189" s="66"/>
      <c r="D7189" s="68"/>
      <c r="E7189" s="10"/>
      <c r="F7189" s="69"/>
      <c r="G7189" s="68"/>
      <c r="H7189" s="70"/>
      <c r="BA7189" s="4"/>
      <c r="BB7189" s="4"/>
    </row>
    <row r="7190" spans="1:54" x14ac:dyDescent="0.3">
      <c r="A7190" s="66"/>
      <c r="B7190" s="67"/>
      <c r="C7190" s="66"/>
      <c r="D7190" s="68"/>
      <c r="E7190" s="10"/>
      <c r="F7190" s="69"/>
      <c r="G7190" s="68"/>
      <c r="H7190" s="70"/>
      <c r="BA7190" s="4"/>
      <c r="BB7190" s="4"/>
    </row>
    <row r="7191" spans="1:54" x14ac:dyDescent="0.3">
      <c r="A7191" s="66"/>
      <c r="B7191" s="67"/>
      <c r="C7191" s="66"/>
      <c r="D7191" s="68"/>
      <c r="E7191" s="10"/>
      <c r="F7191" s="69"/>
      <c r="G7191" s="68"/>
      <c r="H7191" s="70"/>
      <c r="BA7191" s="4"/>
      <c r="BB7191" s="4"/>
    </row>
    <row r="7192" spans="1:54" x14ac:dyDescent="0.3">
      <c r="A7192" s="66"/>
      <c r="B7192" s="67"/>
      <c r="C7192" s="66"/>
      <c r="D7192" s="68"/>
      <c r="E7192" s="10"/>
      <c r="F7192" s="69"/>
      <c r="G7192" s="68"/>
      <c r="H7192" s="70"/>
      <c r="BA7192" s="4"/>
      <c r="BB7192" s="4"/>
    </row>
    <row r="7193" spans="1:54" x14ac:dyDescent="0.3">
      <c r="A7193" s="66"/>
      <c r="B7193" s="67"/>
      <c r="C7193" s="66"/>
      <c r="D7193" s="68"/>
      <c r="E7193" s="10"/>
      <c r="F7193" s="69"/>
      <c r="G7193" s="68"/>
      <c r="H7193" s="70"/>
      <c r="BA7193" s="4"/>
      <c r="BB7193" s="4"/>
    </row>
    <row r="7194" spans="1:54" x14ac:dyDescent="0.3">
      <c r="A7194" s="66"/>
      <c r="B7194" s="67"/>
      <c r="C7194" s="66"/>
      <c r="D7194" s="68"/>
      <c r="E7194" s="10"/>
      <c r="F7194" s="69"/>
      <c r="G7194" s="68"/>
      <c r="H7194" s="70"/>
      <c r="BA7194" s="4"/>
      <c r="BB7194" s="4"/>
    </row>
    <row r="7195" spans="1:54" x14ac:dyDescent="0.3">
      <c r="A7195" s="66"/>
      <c r="B7195" s="67"/>
      <c r="C7195" s="66"/>
      <c r="D7195" s="68"/>
      <c r="E7195" s="10"/>
      <c r="F7195" s="69"/>
      <c r="G7195" s="68"/>
      <c r="H7195" s="70"/>
      <c r="BA7195" s="4"/>
      <c r="BB7195" s="4"/>
    </row>
    <row r="7196" spans="1:54" x14ac:dyDescent="0.3">
      <c r="A7196" s="66"/>
      <c r="B7196" s="67"/>
      <c r="C7196" s="66"/>
      <c r="D7196" s="68"/>
      <c r="E7196" s="10"/>
      <c r="F7196" s="69"/>
      <c r="G7196" s="68"/>
      <c r="H7196" s="70"/>
      <c r="BA7196" s="4"/>
      <c r="BB7196" s="4"/>
    </row>
    <row r="7197" spans="1:54" x14ac:dyDescent="0.3">
      <c r="A7197" s="66"/>
      <c r="B7197" s="67"/>
      <c r="C7197" s="66"/>
      <c r="D7197" s="68"/>
      <c r="E7197" s="10"/>
      <c r="F7197" s="69"/>
      <c r="G7197" s="68"/>
      <c r="H7197" s="70"/>
      <c r="BA7197" s="4"/>
      <c r="BB7197" s="4"/>
    </row>
    <row r="7198" spans="1:54" x14ac:dyDescent="0.3">
      <c r="A7198" s="66"/>
      <c r="B7198" s="67"/>
      <c r="C7198" s="66"/>
      <c r="D7198" s="68"/>
      <c r="E7198" s="10"/>
      <c r="F7198" s="69"/>
      <c r="G7198" s="68"/>
      <c r="H7198" s="70"/>
      <c r="BA7198" s="4"/>
      <c r="BB7198" s="4"/>
    </row>
    <row r="7199" spans="1:54" x14ac:dyDescent="0.3">
      <c r="A7199" s="66"/>
      <c r="B7199" s="67"/>
      <c r="C7199" s="66"/>
      <c r="D7199" s="68"/>
      <c r="E7199" s="10"/>
      <c r="F7199" s="69"/>
      <c r="G7199" s="68"/>
      <c r="H7199" s="70"/>
      <c r="BA7199" s="4"/>
      <c r="BB7199" s="4"/>
    </row>
    <row r="7200" spans="1:54" x14ac:dyDescent="0.3">
      <c r="A7200" s="66"/>
      <c r="B7200" s="67"/>
      <c r="C7200" s="66"/>
      <c r="D7200" s="68"/>
      <c r="E7200" s="10"/>
      <c r="F7200" s="69"/>
      <c r="G7200" s="68"/>
      <c r="H7200" s="70"/>
      <c r="BA7200" s="4"/>
      <c r="BB7200" s="4"/>
    </row>
    <row r="7201" spans="1:54" x14ac:dyDescent="0.3">
      <c r="A7201" s="66"/>
      <c r="B7201" s="67"/>
      <c r="C7201" s="66"/>
      <c r="D7201" s="68"/>
      <c r="E7201" s="10"/>
      <c r="F7201" s="69"/>
      <c r="G7201" s="68"/>
      <c r="H7201" s="70"/>
      <c r="BA7201" s="4"/>
      <c r="BB7201" s="4"/>
    </row>
    <row r="7202" spans="1:54" x14ac:dyDescent="0.3">
      <c r="A7202" s="66"/>
      <c r="B7202" s="67"/>
      <c r="C7202" s="66"/>
      <c r="D7202" s="68"/>
      <c r="E7202" s="10"/>
      <c r="F7202" s="69"/>
      <c r="G7202" s="68"/>
      <c r="H7202" s="70"/>
      <c r="BA7202" s="4"/>
      <c r="BB7202" s="4"/>
    </row>
    <row r="7203" spans="1:54" x14ac:dyDescent="0.3">
      <c r="A7203" s="66"/>
      <c r="B7203" s="67"/>
      <c r="C7203" s="66"/>
      <c r="D7203" s="68"/>
      <c r="E7203" s="10"/>
      <c r="F7203" s="69"/>
      <c r="G7203" s="68"/>
      <c r="H7203" s="70"/>
      <c r="BA7203" s="4"/>
      <c r="BB7203" s="4"/>
    </row>
    <row r="7204" spans="1:54" x14ac:dyDescent="0.3">
      <c r="A7204" s="66"/>
      <c r="B7204" s="67"/>
      <c r="C7204" s="66"/>
      <c r="D7204" s="68"/>
      <c r="E7204" s="10"/>
      <c r="F7204" s="69"/>
      <c r="G7204" s="68"/>
      <c r="H7204" s="70"/>
      <c r="BA7204" s="4"/>
      <c r="BB7204" s="4"/>
    </row>
    <row r="7205" spans="1:54" x14ac:dyDescent="0.3">
      <c r="A7205" s="66"/>
      <c r="B7205" s="67"/>
      <c r="C7205" s="66"/>
      <c r="D7205" s="68"/>
      <c r="E7205" s="10"/>
      <c r="F7205" s="69"/>
      <c r="G7205" s="68"/>
      <c r="H7205" s="70"/>
      <c r="BA7205" s="4"/>
      <c r="BB7205" s="4"/>
    </row>
    <row r="7206" spans="1:54" x14ac:dyDescent="0.3">
      <c r="A7206" s="66"/>
      <c r="B7206" s="67"/>
      <c r="C7206" s="66"/>
      <c r="D7206" s="68"/>
      <c r="E7206" s="10"/>
      <c r="F7206" s="69"/>
      <c r="G7206" s="68"/>
      <c r="H7206" s="70"/>
      <c r="BA7206" s="4"/>
      <c r="BB7206" s="4"/>
    </row>
    <row r="7207" spans="1:54" x14ac:dyDescent="0.3">
      <c r="A7207" s="66"/>
      <c r="B7207" s="67"/>
      <c r="C7207" s="66"/>
      <c r="D7207" s="68"/>
      <c r="E7207" s="10"/>
      <c r="F7207" s="69"/>
      <c r="G7207" s="68"/>
      <c r="H7207" s="70"/>
      <c r="BA7207" s="4"/>
      <c r="BB7207" s="4"/>
    </row>
    <row r="7208" spans="1:54" x14ac:dyDescent="0.3">
      <c r="A7208" s="66"/>
      <c r="B7208" s="67"/>
      <c r="C7208" s="66"/>
      <c r="D7208" s="68"/>
      <c r="E7208" s="10"/>
      <c r="F7208" s="69"/>
      <c r="G7208" s="68"/>
      <c r="H7208" s="70"/>
      <c r="BA7208" s="4"/>
      <c r="BB7208" s="4"/>
    </row>
    <row r="7209" spans="1:54" x14ac:dyDescent="0.3">
      <c r="A7209" s="66"/>
      <c r="B7209" s="67"/>
      <c r="C7209" s="66"/>
      <c r="D7209" s="68"/>
      <c r="E7209" s="10"/>
      <c r="F7209" s="69"/>
      <c r="G7209" s="68"/>
      <c r="H7209" s="70"/>
      <c r="BA7209" s="4"/>
      <c r="BB7209" s="4"/>
    </row>
    <row r="7210" spans="1:54" x14ac:dyDescent="0.3">
      <c r="A7210" s="66"/>
      <c r="B7210" s="67"/>
      <c r="C7210" s="66"/>
      <c r="D7210" s="68"/>
      <c r="E7210" s="10"/>
      <c r="F7210" s="69"/>
      <c r="G7210" s="68"/>
      <c r="H7210" s="70"/>
      <c r="BA7210" s="4"/>
      <c r="BB7210" s="4"/>
    </row>
    <row r="7211" spans="1:54" x14ac:dyDescent="0.3">
      <c r="A7211" s="66"/>
      <c r="B7211" s="67"/>
      <c r="C7211" s="66"/>
      <c r="D7211" s="68"/>
      <c r="E7211" s="10"/>
      <c r="F7211" s="69"/>
      <c r="G7211" s="68"/>
      <c r="H7211" s="70"/>
      <c r="BA7211" s="4"/>
      <c r="BB7211" s="4"/>
    </row>
    <row r="7212" spans="1:54" x14ac:dyDescent="0.3">
      <c r="A7212" s="66"/>
      <c r="B7212" s="67"/>
      <c r="C7212" s="66"/>
      <c r="D7212" s="68"/>
      <c r="E7212" s="10"/>
      <c r="F7212" s="69"/>
      <c r="G7212" s="68"/>
      <c r="H7212" s="70"/>
      <c r="BA7212" s="4"/>
      <c r="BB7212" s="4"/>
    </row>
    <row r="7213" spans="1:54" x14ac:dyDescent="0.3">
      <c r="A7213" s="66"/>
      <c r="B7213" s="67"/>
      <c r="C7213" s="66"/>
      <c r="D7213" s="68"/>
      <c r="E7213" s="10"/>
      <c r="F7213" s="69"/>
      <c r="G7213" s="68"/>
      <c r="H7213" s="70"/>
      <c r="BA7213" s="4"/>
      <c r="BB7213" s="4"/>
    </row>
    <row r="7214" spans="1:54" x14ac:dyDescent="0.3">
      <c r="A7214" s="66"/>
      <c r="B7214" s="67"/>
      <c r="C7214" s="66"/>
      <c r="D7214" s="68"/>
      <c r="E7214" s="10"/>
      <c r="F7214" s="69"/>
      <c r="G7214" s="68"/>
      <c r="H7214" s="70"/>
      <c r="BA7214" s="4"/>
      <c r="BB7214" s="4"/>
    </row>
    <row r="7215" spans="1:54" x14ac:dyDescent="0.3">
      <c r="A7215" s="66"/>
      <c r="B7215" s="67"/>
      <c r="C7215" s="66"/>
      <c r="D7215" s="68"/>
      <c r="E7215" s="10"/>
      <c r="F7215" s="69"/>
      <c r="G7215" s="68"/>
      <c r="H7215" s="70"/>
      <c r="BA7215" s="4"/>
      <c r="BB7215" s="4"/>
    </row>
    <row r="7216" spans="1:54" x14ac:dyDescent="0.3">
      <c r="A7216" s="66"/>
      <c r="B7216" s="67"/>
      <c r="C7216" s="66"/>
      <c r="D7216" s="68"/>
      <c r="E7216" s="10"/>
      <c r="F7216" s="69"/>
      <c r="G7216" s="68"/>
      <c r="H7216" s="70"/>
      <c r="BA7216" s="4"/>
      <c r="BB7216" s="4"/>
    </row>
    <row r="7217" spans="1:54" x14ac:dyDescent="0.3">
      <c r="A7217" s="66"/>
      <c r="B7217" s="67"/>
      <c r="C7217" s="66"/>
      <c r="D7217" s="68"/>
      <c r="E7217" s="10"/>
      <c r="F7217" s="69"/>
      <c r="G7217" s="68"/>
      <c r="H7217" s="70"/>
      <c r="BA7217" s="4"/>
      <c r="BB7217" s="4"/>
    </row>
    <row r="7218" spans="1:54" x14ac:dyDescent="0.3">
      <c r="A7218" s="66"/>
      <c r="B7218" s="67"/>
      <c r="C7218" s="66"/>
      <c r="D7218" s="68"/>
      <c r="E7218" s="10"/>
      <c r="F7218" s="69"/>
      <c r="G7218" s="68"/>
      <c r="H7218" s="70"/>
      <c r="BA7218" s="4"/>
      <c r="BB7218" s="4"/>
    </row>
    <row r="7219" spans="1:54" x14ac:dyDescent="0.3">
      <c r="A7219" s="66"/>
      <c r="B7219" s="67"/>
      <c r="C7219" s="66"/>
      <c r="D7219" s="68"/>
      <c r="E7219" s="10"/>
      <c r="F7219" s="69"/>
      <c r="G7219" s="68"/>
      <c r="H7219" s="70"/>
      <c r="BA7219" s="4"/>
      <c r="BB7219" s="4"/>
    </row>
    <row r="7220" spans="1:54" x14ac:dyDescent="0.3">
      <c r="A7220" s="66"/>
      <c r="B7220" s="67"/>
      <c r="C7220" s="66"/>
      <c r="D7220" s="68"/>
      <c r="E7220" s="10"/>
      <c r="F7220" s="69"/>
      <c r="G7220" s="68"/>
      <c r="H7220" s="70"/>
      <c r="BA7220" s="4"/>
      <c r="BB7220" s="4"/>
    </row>
    <row r="7221" spans="1:54" x14ac:dyDescent="0.3">
      <c r="A7221" s="66"/>
      <c r="B7221" s="67"/>
      <c r="C7221" s="66"/>
      <c r="D7221" s="68"/>
      <c r="E7221" s="10"/>
      <c r="F7221" s="69"/>
      <c r="G7221" s="68"/>
      <c r="H7221" s="70"/>
      <c r="BA7221" s="4"/>
      <c r="BB7221" s="4"/>
    </row>
    <row r="7222" spans="1:54" x14ac:dyDescent="0.3">
      <c r="A7222" s="66"/>
      <c r="B7222" s="67"/>
      <c r="C7222" s="66"/>
      <c r="D7222" s="68"/>
      <c r="E7222" s="10"/>
      <c r="F7222" s="69"/>
      <c r="G7222" s="68"/>
      <c r="H7222" s="70"/>
      <c r="BA7222" s="4"/>
      <c r="BB7222" s="4"/>
    </row>
    <row r="7223" spans="1:54" x14ac:dyDescent="0.3">
      <c r="A7223" s="66"/>
      <c r="B7223" s="67"/>
      <c r="C7223" s="66"/>
      <c r="D7223" s="68"/>
      <c r="E7223" s="10"/>
      <c r="F7223" s="69"/>
      <c r="G7223" s="68"/>
      <c r="H7223" s="70"/>
      <c r="BA7223" s="4"/>
      <c r="BB7223" s="4"/>
    </row>
    <row r="7224" spans="1:54" x14ac:dyDescent="0.3">
      <c r="A7224" s="66"/>
      <c r="B7224" s="67"/>
      <c r="C7224" s="66"/>
      <c r="D7224" s="68"/>
      <c r="E7224" s="10"/>
      <c r="F7224" s="69"/>
      <c r="G7224" s="68"/>
      <c r="H7224" s="70"/>
      <c r="BA7224" s="4"/>
      <c r="BB7224" s="4"/>
    </row>
    <row r="7225" spans="1:54" x14ac:dyDescent="0.3">
      <c r="A7225" s="66"/>
      <c r="B7225" s="67"/>
      <c r="C7225" s="66"/>
      <c r="D7225" s="68"/>
      <c r="E7225" s="10"/>
      <c r="F7225" s="69"/>
      <c r="G7225" s="68"/>
      <c r="H7225" s="70"/>
      <c r="BA7225" s="4"/>
      <c r="BB7225" s="4"/>
    </row>
    <row r="7226" spans="1:54" x14ac:dyDescent="0.3">
      <c r="A7226" s="66"/>
      <c r="B7226" s="67"/>
      <c r="C7226" s="66"/>
      <c r="D7226" s="68"/>
      <c r="E7226" s="10"/>
      <c r="F7226" s="69"/>
      <c r="G7226" s="68"/>
      <c r="H7226" s="70"/>
      <c r="BA7226" s="4"/>
      <c r="BB7226" s="4"/>
    </row>
    <row r="7227" spans="1:54" x14ac:dyDescent="0.3">
      <c r="A7227" s="66"/>
      <c r="B7227" s="67"/>
      <c r="C7227" s="66"/>
      <c r="D7227" s="68"/>
      <c r="E7227" s="10"/>
      <c r="F7227" s="69"/>
      <c r="G7227" s="68"/>
      <c r="H7227" s="70"/>
      <c r="BA7227" s="4"/>
      <c r="BB7227" s="4"/>
    </row>
    <row r="7228" spans="1:54" x14ac:dyDescent="0.3">
      <c r="A7228" s="66"/>
      <c r="B7228" s="67"/>
      <c r="C7228" s="66"/>
      <c r="D7228" s="68"/>
      <c r="E7228" s="10"/>
      <c r="F7228" s="69"/>
      <c r="G7228" s="68"/>
      <c r="H7228" s="70"/>
      <c r="BA7228" s="4"/>
      <c r="BB7228" s="4"/>
    </row>
    <row r="7229" spans="1:54" x14ac:dyDescent="0.3">
      <c r="A7229" s="66"/>
      <c r="B7229" s="67"/>
      <c r="C7229" s="66"/>
      <c r="D7229" s="68"/>
      <c r="E7229" s="10"/>
      <c r="F7229" s="69"/>
      <c r="G7229" s="68"/>
      <c r="H7229" s="70"/>
      <c r="BA7229" s="4"/>
      <c r="BB7229" s="4"/>
    </row>
    <row r="7230" spans="1:54" x14ac:dyDescent="0.3">
      <c r="A7230" s="66"/>
      <c r="B7230" s="67"/>
      <c r="C7230" s="66"/>
      <c r="D7230" s="68"/>
      <c r="E7230" s="10"/>
      <c r="F7230" s="69"/>
      <c r="G7230" s="68"/>
      <c r="H7230" s="70"/>
      <c r="BA7230" s="4"/>
      <c r="BB7230" s="4"/>
    </row>
    <row r="7231" spans="1:54" x14ac:dyDescent="0.3">
      <c r="A7231" s="66"/>
      <c r="B7231" s="67"/>
      <c r="C7231" s="66"/>
      <c r="D7231" s="68"/>
      <c r="E7231" s="10"/>
      <c r="F7231" s="69"/>
      <c r="G7231" s="68"/>
      <c r="H7231" s="70"/>
      <c r="BA7231" s="4"/>
      <c r="BB7231" s="4"/>
    </row>
    <row r="7232" spans="1:54" x14ac:dyDescent="0.3">
      <c r="A7232" s="66"/>
      <c r="B7232" s="67"/>
      <c r="C7232" s="66"/>
      <c r="D7232" s="68"/>
      <c r="E7232" s="10"/>
      <c r="F7232" s="69"/>
      <c r="G7232" s="68"/>
      <c r="H7232" s="70"/>
      <c r="BA7232" s="4"/>
      <c r="BB7232" s="4"/>
    </row>
    <row r="7233" spans="1:54" x14ac:dyDescent="0.3">
      <c r="A7233" s="66"/>
      <c r="B7233" s="67"/>
      <c r="C7233" s="66"/>
      <c r="D7233" s="68"/>
      <c r="E7233" s="10"/>
      <c r="F7233" s="69"/>
      <c r="G7233" s="68"/>
      <c r="H7233" s="70"/>
      <c r="BA7233" s="4"/>
      <c r="BB7233" s="4"/>
    </row>
    <row r="7234" spans="1:54" x14ac:dyDescent="0.3">
      <c r="A7234" s="66"/>
      <c r="B7234" s="67"/>
      <c r="C7234" s="66"/>
      <c r="D7234" s="68"/>
      <c r="E7234" s="10"/>
      <c r="F7234" s="69"/>
      <c r="G7234" s="68"/>
      <c r="H7234" s="70"/>
      <c r="BA7234" s="4"/>
      <c r="BB7234" s="4"/>
    </row>
    <row r="7235" spans="1:54" x14ac:dyDescent="0.3">
      <c r="A7235" s="66"/>
      <c r="B7235" s="67"/>
      <c r="C7235" s="66"/>
      <c r="D7235" s="68"/>
      <c r="E7235" s="10"/>
      <c r="F7235" s="69"/>
      <c r="G7235" s="68"/>
      <c r="H7235" s="70"/>
      <c r="BA7235" s="4"/>
      <c r="BB7235" s="4"/>
    </row>
    <row r="7236" spans="1:54" x14ac:dyDescent="0.3">
      <c r="A7236" s="66"/>
      <c r="B7236" s="67"/>
      <c r="C7236" s="66"/>
      <c r="D7236" s="68"/>
      <c r="E7236" s="10"/>
      <c r="F7236" s="69"/>
      <c r="G7236" s="68"/>
      <c r="H7236" s="70"/>
      <c r="BA7236" s="4"/>
      <c r="BB7236" s="4"/>
    </row>
    <row r="7237" spans="1:54" x14ac:dyDescent="0.3">
      <c r="A7237" s="66"/>
      <c r="B7237" s="67"/>
      <c r="C7237" s="66"/>
      <c r="D7237" s="68"/>
      <c r="E7237" s="10"/>
      <c r="F7237" s="69"/>
      <c r="G7237" s="68"/>
      <c r="H7237" s="70"/>
      <c r="BA7237" s="4"/>
      <c r="BB7237" s="4"/>
    </row>
    <row r="7238" spans="1:54" x14ac:dyDescent="0.3">
      <c r="A7238" s="66"/>
      <c r="B7238" s="67"/>
      <c r="C7238" s="66"/>
      <c r="D7238" s="68"/>
      <c r="E7238" s="10"/>
      <c r="F7238" s="69"/>
      <c r="G7238" s="68"/>
      <c r="H7238" s="70"/>
      <c r="BA7238" s="4"/>
      <c r="BB7238" s="4"/>
    </row>
    <row r="7239" spans="1:54" x14ac:dyDescent="0.3">
      <c r="A7239" s="66"/>
      <c r="B7239" s="67"/>
      <c r="C7239" s="66"/>
      <c r="D7239" s="68"/>
      <c r="E7239" s="10"/>
      <c r="F7239" s="69"/>
      <c r="G7239" s="68"/>
      <c r="H7239" s="70"/>
      <c r="BA7239" s="4"/>
      <c r="BB7239" s="4"/>
    </row>
    <row r="7240" spans="1:54" x14ac:dyDescent="0.3">
      <c r="A7240" s="66"/>
      <c r="B7240" s="67"/>
      <c r="C7240" s="66"/>
      <c r="D7240" s="68"/>
      <c r="E7240" s="10"/>
      <c r="F7240" s="69"/>
      <c r="G7240" s="68"/>
      <c r="H7240" s="70"/>
      <c r="BA7240" s="4"/>
      <c r="BB7240" s="4"/>
    </row>
    <row r="7241" spans="1:54" x14ac:dyDescent="0.3">
      <c r="A7241" s="66"/>
      <c r="B7241" s="67"/>
      <c r="C7241" s="66"/>
      <c r="D7241" s="68"/>
      <c r="E7241" s="10"/>
      <c r="F7241" s="69"/>
      <c r="G7241" s="68"/>
      <c r="H7241" s="70"/>
      <c r="BA7241" s="4"/>
      <c r="BB7241" s="4"/>
    </row>
    <row r="7242" spans="1:54" x14ac:dyDescent="0.3">
      <c r="A7242" s="66"/>
      <c r="B7242" s="67"/>
      <c r="C7242" s="66"/>
      <c r="D7242" s="68"/>
      <c r="E7242" s="10"/>
      <c r="F7242" s="69"/>
      <c r="G7242" s="68"/>
      <c r="H7242" s="70"/>
      <c r="BA7242" s="4"/>
      <c r="BB7242" s="4"/>
    </row>
    <row r="7243" spans="1:54" x14ac:dyDescent="0.3">
      <c r="A7243" s="66"/>
      <c r="B7243" s="67"/>
      <c r="C7243" s="66"/>
      <c r="D7243" s="68"/>
      <c r="E7243" s="10"/>
      <c r="F7243" s="69"/>
      <c r="G7243" s="68"/>
      <c r="H7243" s="70"/>
      <c r="BA7243" s="4"/>
      <c r="BB7243" s="4"/>
    </row>
    <row r="7244" spans="1:54" x14ac:dyDescent="0.3">
      <c r="A7244" s="66"/>
      <c r="B7244" s="67"/>
      <c r="C7244" s="66"/>
      <c r="D7244" s="68"/>
      <c r="E7244" s="10"/>
      <c r="F7244" s="69"/>
      <c r="G7244" s="68"/>
      <c r="H7244" s="70"/>
      <c r="BA7244" s="4"/>
      <c r="BB7244" s="4"/>
    </row>
    <row r="7245" spans="1:54" x14ac:dyDescent="0.3">
      <c r="A7245" s="66"/>
      <c r="B7245" s="67"/>
      <c r="C7245" s="66"/>
      <c r="D7245" s="68"/>
      <c r="E7245" s="10"/>
      <c r="F7245" s="69"/>
      <c r="G7245" s="68"/>
      <c r="H7245" s="70"/>
      <c r="BA7245" s="4"/>
      <c r="BB7245" s="4"/>
    </row>
    <row r="7246" spans="1:54" x14ac:dyDescent="0.3">
      <c r="A7246" s="66"/>
      <c r="B7246" s="67"/>
      <c r="C7246" s="66"/>
      <c r="D7246" s="68"/>
      <c r="E7246" s="10"/>
      <c r="F7246" s="69"/>
      <c r="G7246" s="68"/>
      <c r="H7246" s="70"/>
      <c r="BA7246" s="4"/>
      <c r="BB7246" s="4"/>
    </row>
    <row r="7247" spans="1:54" x14ac:dyDescent="0.3">
      <c r="A7247" s="66"/>
      <c r="B7247" s="67"/>
      <c r="C7247" s="66"/>
      <c r="D7247" s="68"/>
      <c r="E7247" s="10"/>
      <c r="F7247" s="69"/>
      <c r="G7247" s="68"/>
      <c r="H7247" s="70"/>
      <c r="BA7247" s="4"/>
      <c r="BB7247" s="4"/>
    </row>
    <row r="7248" spans="1:54" x14ac:dyDescent="0.3">
      <c r="A7248" s="66"/>
      <c r="B7248" s="67"/>
      <c r="C7248" s="66"/>
      <c r="D7248" s="68"/>
      <c r="E7248" s="10"/>
      <c r="F7248" s="69"/>
      <c r="G7248" s="68"/>
      <c r="H7248" s="70"/>
      <c r="BA7248" s="4"/>
      <c r="BB7248" s="4"/>
    </row>
    <row r="7249" spans="1:54" x14ac:dyDescent="0.3">
      <c r="A7249" s="66"/>
      <c r="B7249" s="67"/>
      <c r="C7249" s="66"/>
      <c r="D7249" s="68"/>
      <c r="E7249" s="10"/>
      <c r="F7249" s="69"/>
      <c r="G7249" s="68"/>
      <c r="H7249" s="70"/>
      <c r="BA7249" s="4"/>
      <c r="BB7249" s="4"/>
    </row>
    <row r="7250" spans="1:54" x14ac:dyDescent="0.3">
      <c r="A7250" s="66"/>
      <c r="B7250" s="67"/>
      <c r="C7250" s="66"/>
      <c r="D7250" s="68"/>
      <c r="E7250" s="10"/>
      <c r="F7250" s="69"/>
      <c r="G7250" s="68"/>
      <c r="H7250" s="70"/>
      <c r="BA7250" s="4"/>
      <c r="BB7250" s="4"/>
    </row>
    <row r="7251" spans="1:54" x14ac:dyDescent="0.3">
      <c r="A7251" s="66"/>
      <c r="B7251" s="67"/>
      <c r="C7251" s="66"/>
      <c r="D7251" s="68"/>
      <c r="E7251" s="10"/>
      <c r="F7251" s="69"/>
      <c r="G7251" s="68"/>
      <c r="H7251" s="70"/>
      <c r="BA7251" s="4"/>
      <c r="BB7251" s="4"/>
    </row>
    <row r="7252" spans="1:54" x14ac:dyDescent="0.3">
      <c r="A7252" s="66"/>
      <c r="B7252" s="67"/>
      <c r="C7252" s="66"/>
      <c r="D7252" s="68"/>
      <c r="E7252" s="10"/>
      <c r="F7252" s="69"/>
      <c r="G7252" s="68"/>
      <c r="H7252" s="70"/>
      <c r="BA7252" s="4"/>
      <c r="BB7252" s="4"/>
    </row>
    <row r="7253" spans="1:54" x14ac:dyDescent="0.3">
      <c r="A7253" s="66"/>
      <c r="B7253" s="67"/>
      <c r="C7253" s="66"/>
      <c r="D7253" s="68"/>
      <c r="E7253" s="10"/>
      <c r="F7253" s="69"/>
      <c r="G7253" s="68"/>
      <c r="H7253" s="70"/>
      <c r="BA7253" s="4"/>
      <c r="BB7253" s="4"/>
    </row>
    <row r="7254" spans="1:54" x14ac:dyDescent="0.3">
      <c r="A7254" s="66"/>
      <c r="B7254" s="67"/>
      <c r="C7254" s="66"/>
      <c r="D7254" s="68"/>
      <c r="E7254" s="10"/>
      <c r="F7254" s="69"/>
      <c r="G7254" s="68"/>
      <c r="H7254" s="70"/>
      <c r="BA7254" s="4"/>
      <c r="BB7254" s="4"/>
    </row>
    <row r="7255" spans="1:54" x14ac:dyDescent="0.3">
      <c r="A7255" s="66"/>
      <c r="B7255" s="67"/>
      <c r="C7255" s="66"/>
      <c r="D7255" s="68"/>
      <c r="E7255" s="10"/>
      <c r="F7255" s="69"/>
      <c r="G7255" s="68"/>
      <c r="H7255" s="70"/>
      <c r="BA7255" s="4"/>
      <c r="BB7255" s="4"/>
    </row>
    <row r="7256" spans="1:54" x14ac:dyDescent="0.3">
      <c r="A7256" s="66"/>
      <c r="B7256" s="67"/>
      <c r="C7256" s="66"/>
      <c r="D7256" s="68"/>
      <c r="E7256" s="10"/>
      <c r="F7256" s="69"/>
      <c r="G7256" s="68"/>
      <c r="H7256" s="70"/>
      <c r="BA7256" s="4"/>
      <c r="BB7256" s="4"/>
    </row>
    <row r="7257" spans="1:54" x14ac:dyDescent="0.3">
      <c r="A7257" s="66"/>
      <c r="B7257" s="67"/>
      <c r="C7257" s="66"/>
      <c r="D7257" s="68"/>
      <c r="E7257" s="10"/>
      <c r="F7257" s="69"/>
      <c r="G7257" s="68"/>
      <c r="H7257" s="70"/>
      <c r="BA7257" s="4"/>
      <c r="BB7257" s="4"/>
    </row>
    <row r="7258" spans="1:54" x14ac:dyDescent="0.3">
      <c r="A7258" s="66"/>
      <c r="B7258" s="67"/>
      <c r="C7258" s="66"/>
      <c r="D7258" s="68"/>
      <c r="E7258" s="10"/>
      <c r="F7258" s="69"/>
      <c r="G7258" s="68"/>
      <c r="H7258" s="70"/>
      <c r="BA7258" s="4"/>
      <c r="BB7258" s="4"/>
    </row>
    <row r="7259" spans="1:54" x14ac:dyDescent="0.3">
      <c r="A7259" s="66"/>
      <c r="B7259" s="67"/>
      <c r="C7259" s="66"/>
      <c r="D7259" s="68"/>
      <c r="E7259" s="10"/>
      <c r="F7259" s="69"/>
      <c r="G7259" s="68"/>
      <c r="H7259" s="70"/>
      <c r="BA7259" s="4"/>
      <c r="BB7259" s="4"/>
    </row>
    <row r="7260" spans="1:54" x14ac:dyDescent="0.3">
      <c r="A7260" s="66"/>
      <c r="B7260" s="67"/>
      <c r="C7260" s="66"/>
      <c r="D7260" s="68"/>
      <c r="E7260" s="10"/>
      <c r="F7260" s="69"/>
      <c r="G7260" s="68"/>
      <c r="H7260" s="70"/>
      <c r="BA7260" s="4"/>
      <c r="BB7260" s="4"/>
    </row>
    <row r="7261" spans="1:54" x14ac:dyDescent="0.3">
      <c r="A7261" s="66"/>
      <c r="B7261" s="67"/>
      <c r="C7261" s="66"/>
      <c r="D7261" s="68"/>
      <c r="E7261" s="10"/>
      <c r="F7261" s="69"/>
      <c r="G7261" s="68"/>
      <c r="H7261" s="70"/>
      <c r="BA7261" s="4"/>
      <c r="BB7261" s="4"/>
    </row>
    <row r="7262" spans="1:54" x14ac:dyDescent="0.3">
      <c r="A7262" s="66"/>
      <c r="B7262" s="67"/>
      <c r="C7262" s="66"/>
      <c r="D7262" s="68"/>
      <c r="E7262" s="10"/>
      <c r="F7262" s="69"/>
      <c r="G7262" s="68"/>
      <c r="H7262" s="70"/>
      <c r="BA7262" s="4"/>
      <c r="BB7262" s="4"/>
    </row>
    <row r="7263" spans="1:54" x14ac:dyDescent="0.3">
      <c r="A7263" s="66"/>
      <c r="B7263" s="67"/>
      <c r="C7263" s="66"/>
      <c r="D7263" s="68"/>
      <c r="E7263" s="10"/>
      <c r="F7263" s="69"/>
      <c r="G7263" s="68"/>
      <c r="H7263" s="70"/>
      <c r="BA7263" s="4"/>
      <c r="BB7263" s="4"/>
    </row>
    <row r="7264" spans="1:54" x14ac:dyDescent="0.3">
      <c r="A7264" s="66"/>
      <c r="B7264" s="67"/>
      <c r="C7264" s="66"/>
      <c r="D7264" s="68"/>
      <c r="E7264" s="10"/>
      <c r="F7264" s="69"/>
      <c r="G7264" s="68"/>
      <c r="H7264" s="70"/>
      <c r="BA7264" s="4"/>
      <c r="BB7264" s="4"/>
    </row>
    <row r="7265" spans="1:54" x14ac:dyDescent="0.3">
      <c r="A7265" s="66"/>
      <c r="B7265" s="67"/>
      <c r="C7265" s="66"/>
      <c r="D7265" s="68"/>
      <c r="E7265" s="10"/>
      <c r="F7265" s="69"/>
      <c r="G7265" s="68"/>
      <c r="H7265" s="70"/>
      <c r="BA7265" s="4"/>
      <c r="BB7265" s="4"/>
    </row>
    <row r="7266" spans="1:54" x14ac:dyDescent="0.3">
      <c r="A7266" s="66"/>
      <c r="B7266" s="67"/>
      <c r="C7266" s="66"/>
      <c r="D7266" s="68"/>
      <c r="E7266" s="10"/>
      <c r="F7266" s="69"/>
      <c r="G7266" s="68"/>
      <c r="H7266" s="70"/>
      <c r="BA7266" s="4"/>
      <c r="BB7266" s="4"/>
    </row>
    <row r="7267" spans="1:54" x14ac:dyDescent="0.3">
      <c r="A7267" s="66"/>
      <c r="B7267" s="67"/>
      <c r="C7267" s="66"/>
      <c r="D7267" s="68"/>
      <c r="E7267" s="10"/>
      <c r="F7267" s="69"/>
      <c r="G7267" s="68"/>
      <c r="H7267" s="70"/>
      <c r="BA7267" s="4"/>
      <c r="BB7267" s="4"/>
    </row>
    <row r="7268" spans="1:54" x14ac:dyDescent="0.3">
      <c r="A7268" s="66"/>
      <c r="B7268" s="67"/>
      <c r="C7268" s="66"/>
      <c r="D7268" s="68"/>
      <c r="E7268" s="10"/>
      <c r="F7268" s="69"/>
      <c r="G7268" s="68"/>
      <c r="H7268" s="70"/>
      <c r="BA7268" s="4"/>
      <c r="BB7268" s="4"/>
    </row>
    <row r="7269" spans="1:54" x14ac:dyDescent="0.3">
      <c r="A7269" s="66"/>
      <c r="B7269" s="67"/>
      <c r="C7269" s="66"/>
      <c r="D7269" s="68"/>
      <c r="E7269" s="10"/>
      <c r="F7269" s="69"/>
      <c r="G7269" s="68"/>
      <c r="H7269" s="70"/>
      <c r="BA7269" s="4"/>
      <c r="BB7269" s="4"/>
    </row>
    <row r="7270" spans="1:54" x14ac:dyDescent="0.3">
      <c r="A7270" s="66"/>
      <c r="B7270" s="67"/>
      <c r="C7270" s="66"/>
      <c r="D7270" s="68"/>
      <c r="E7270" s="10"/>
      <c r="F7270" s="69"/>
      <c r="G7270" s="68"/>
      <c r="H7270" s="70"/>
      <c r="BA7270" s="4"/>
      <c r="BB7270" s="4"/>
    </row>
    <row r="7271" spans="1:54" x14ac:dyDescent="0.3">
      <c r="A7271" s="66"/>
      <c r="B7271" s="67"/>
      <c r="C7271" s="66"/>
      <c r="D7271" s="68"/>
      <c r="E7271" s="10"/>
      <c r="F7271" s="69"/>
      <c r="G7271" s="68"/>
      <c r="H7271" s="70"/>
      <c r="BA7271" s="4"/>
      <c r="BB7271" s="4"/>
    </row>
    <row r="7272" spans="1:54" x14ac:dyDescent="0.3">
      <c r="A7272" s="66"/>
      <c r="B7272" s="67"/>
      <c r="C7272" s="66"/>
      <c r="D7272" s="68"/>
      <c r="E7272" s="10"/>
      <c r="F7272" s="69"/>
      <c r="G7272" s="68"/>
      <c r="H7272" s="70"/>
      <c r="BA7272" s="4"/>
      <c r="BB7272" s="4"/>
    </row>
    <row r="7273" spans="1:54" x14ac:dyDescent="0.3">
      <c r="A7273" s="66"/>
      <c r="B7273" s="67"/>
      <c r="C7273" s="66"/>
      <c r="D7273" s="68"/>
      <c r="E7273" s="10"/>
      <c r="F7273" s="69"/>
      <c r="G7273" s="68"/>
      <c r="H7273" s="70"/>
      <c r="BA7273" s="4"/>
      <c r="BB7273" s="4"/>
    </row>
    <row r="7274" spans="1:54" x14ac:dyDescent="0.3">
      <c r="A7274" s="66"/>
      <c r="B7274" s="67"/>
      <c r="C7274" s="66"/>
      <c r="D7274" s="68"/>
      <c r="E7274" s="10"/>
      <c r="F7274" s="69"/>
      <c r="G7274" s="68"/>
      <c r="H7274" s="70"/>
      <c r="BA7274" s="4"/>
      <c r="BB7274" s="4"/>
    </row>
    <row r="7275" spans="1:54" x14ac:dyDescent="0.3">
      <c r="A7275" s="66"/>
      <c r="B7275" s="67"/>
      <c r="C7275" s="66"/>
      <c r="D7275" s="68"/>
      <c r="E7275" s="10"/>
      <c r="F7275" s="69"/>
      <c r="G7275" s="68"/>
      <c r="H7275" s="70"/>
      <c r="BA7275" s="4"/>
      <c r="BB7275" s="4"/>
    </row>
    <row r="7276" spans="1:54" x14ac:dyDescent="0.3">
      <c r="A7276" s="66"/>
      <c r="B7276" s="67"/>
      <c r="C7276" s="66"/>
      <c r="D7276" s="68"/>
      <c r="E7276" s="10"/>
      <c r="F7276" s="69"/>
      <c r="G7276" s="68"/>
      <c r="H7276" s="70"/>
      <c r="BA7276" s="4"/>
      <c r="BB7276" s="4"/>
    </row>
    <row r="7277" spans="1:54" x14ac:dyDescent="0.3">
      <c r="A7277" s="66"/>
      <c r="B7277" s="67"/>
      <c r="C7277" s="66"/>
      <c r="D7277" s="68"/>
      <c r="E7277" s="10"/>
      <c r="F7277" s="69"/>
      <c r="G7277" s="68"/>
      <c r="H7277" s="70"/>
      <c r="BA7277" s="4"/>
      <c r="BB7277" s="4"/>
    </row>
    <row r="7278" spans="1:54" x14ac:dyDescent="0.3">
      <c r="A7278" s="66"/>
      <c r="B7278" s="67"/>
      <c r="C7278" s="66"/>
      <c r="D7278" s="68"/>
      <c r="E7278" s="10"/>
      <c r="F7278" s="69"/>
      <c r="G7278" s="68"/>
      <c r="H7278" s="70"/>
      <c r="BA7278" s="4"/>
      <c r="BB7278" s="4"/>
    </row>
    <row r="7279" spans="1:54" x14ac:dyDescent="0.3">
      <c r="A7279" s="66"/>
      <c r="B7279" s="67"/>
      <c r="C7279" s="66"/>
      <c r="D7279" s="68"/>
      <c r="E7279" s="10"/>
      <c r="F7279" s="69"/>
      <c r="G7279" s="68"/>
      <c r="H7279" s="70"/>
      <c r="BA7279" s="4"/>
      <c r="BB7279" s="4"/>
    </row>
    <row r="7280" spans="1:54" x14ac:dyDescent="0.3">
      <c r="A7280" s="66"/>
      <c r="B7280" s="67"/>
      <c r="C7280" s="66"/>
      <c r="D7280" s="68"/>
      <c r="E7280" s="10"/>
      <c r="F7280" s="69"/>
      <c r="G7280" s="68"/>
      <c r="H7280" s="70"/>
      <c r="BA7280" s="4"/>
      <c r="BB7280" s="4"/>
    </row>
    <row r="7281" spans="1:54" x14ac:dyDescent="0.3">
      <c r="A7281" s="66"/>
      <c r="B7281" s="67"/>
      <c r="C7281" s="66"/>
      <c r="D7281" s="68"/>
      <c r="E7281" s="10"/>
      <c r="F7281" s="69"/>
      <c r="G7281" s="68"/>
      <c r="H7281" s="70"/>
      <c r="BA7281" s="4"/>
      <c r="BB7281" s="4"/>
    </row>
    <row r="7282" spans="1:54" x14ac:dyDescent="0.3">
      <c r="A7282" s="66"/>
      <c r="B7282" s="67"/>
      <c r="C7282" s="66"/>
      <c r="D7282" s="68"/>
      <c r="E7282" s="10"/>
      <c r="F7282" s="69"/>
      <c r="G7282" s="68"/>
      <c r="H7282" s="70"/>
      <c r="BA7282" s="4"/>
      <c r="BB7282" s="4"/>
    </row>
    <row r="7283" spans="1:54" x14ac:dyDescent="0.3">
      <c r="A7283" s="66"/>
      <c r="B7283" s="67"/>
      <c r="C7283" s="66"/>
      <c r="D7283" s="68"/>
      <c r="E7283" s="10"/>
      <c r="F7283" s="69"/>
      <c r="G7283" s="68"/>
      <c r="H7283" s="70"/>
      <c r="BA7283" s="4"/>
      <c r="BB7283" s="4"/>
    </row>
    <row r="7284" spans="1:54" x14ac:dyDescent="0.3">
      <c r="A7284" s="66"/>
      <c r="B7284" s="67"/>
      <c r="C7284" s="66"/>
      <c r="D7284" s="68"/>
      <c r="E7284" s="10"/>
      <c r="F7284" s="69"/>
      <c r="G7284" s="68"/>
      <c r="H7284" s="70"/>
      <c r="BA7284" s="4"/>
      <c r="BB7284" s="4"/>
    </row>
    <row r="7285" spans="1:54" x14ac:dyDescent="0.3">
      <c r="A7285" s="66"/>
      <c r="B7285" s="67"/>
      <c r="C7285" s="66"/>
      <c r="D7285" s="68"/>
      <c r="E7285" s="10"/>
      <c r="F7285" s="69"/>
      <c r="G7285" s="68"/>
      <c r="H7285" s="70"/>
      <c r="BA7285" s="4"/>
      <c r="BB7285" s="4"/>
    </row>
    <row r="7286" spans="1:54" x14ac:dyDescent="0.3">
      <c r="A7286" s="66"/>
      <c r="B7286" s="67"/>
      <c r="C7286" s="66"/>
      <c r="D7286" s="68"/>
      <c r="E7286" s="10"/>
      <c r="F7286" s="69"/>
      <c r="G7286" s="68"/>
      <c r="H7286" s="70"/>
      <c r="BA7286" s="4"/>
      <c r="BB7286" s="4"/>
    </row>
    <row r="7287" spans="1:54" x14ac:dyDescent="0.3">
      <c r="A7287" s="66"/>
      <c r="B7287" s="67"/>
      <c r="C7287" s="66"/>
      <c r="D7287" s="68"/>
      <c r="E7287" s="10"/>
      <c r="F7287" s="69"/>
      <c r="G7287" s="68"/>
      <c r="H7287" s="70"/>
      <c r="BA7287" s="4"/>
      <c r="BB7287" s="4"/>
    </row>
    <row r="7288" spans="1:54" x14ac:dyDescent="0.3">
      <c r="A7288" s="66"/>
      <c r="B7288" s="67"/>
      <c r="C7288" s="66"/>
      <c r="D7288" s="68"/>
      <c r="E7288" s="10"/>
      <c r="F7288" s="69"/>
      <c r="G7288" s="68"/>
      <c r="H7288" s="70"/>
      <c r="BA7288" s="4"/>
      <c r="BB7288" s="4"/>
    </row>
    <row r="7289" spans="1:54" x14ac:dyDescent="0.3">
      <c r="A7289" s="66"/>
      <c r="B7289" s="67"/>
      <c r="C7289" s="66"/>
      <c r="D7289" s="68"/>
      <c r="E7289" s="10"/>
      <c r="F7289" s="69"/>
      <c r="G7289" s="68"/>
      <c r="H7289" s="70"/>
      <c r="BA7289" s="4"/>
      <c r="BB7289" s="4"/>
    </row>
    <row r="7290" spans="1:54" x14ac:dyDescent="0.3">
      <c r="A7290" s="66"/>
      <c r="B7290" s="67"/>
      <c r="C7290" s="66"/>
      <c r="D7290" s="68"/>
      <c r="E7290" s="10"/>
      <c r="F7290" s="69"/>
      <c r="G7290" s="68"/>
      <c r="H7290" s="70"/>
      <c r="BA7290" s="4"/>
      <c r="BB7290" s="4"/>
    </row>
    <row r="7291" spans="1:54" x14ac:dyDescent="0.3">
      <c r="A7291" s="66"/>
      <c r="B7291" s="67"/>
      <c r="C7291" s="66"/>
      <c r="D7291" s="68"/>
      <c r="E7291" s="10"/>
      <c r="F7291" s="69"/>
      <c r="G7291" s="68"/>
      <c r="H7291" s="70"/>
      <c r="BA7291" s="4"/>
      <c r="BB7291" s="4"/>
    </row>
    <row r="7292" spans="1:54" x14ac:dyDescent="0.3">
      <c r="A7292" s="66"/>
      <c r="B7292" s="67"/>
      <c r="C7292" s="66"/>
      <c r="D7292" s="68"/>
      <c r="E7292" s="10"/>
      <c r="F7292" s="69"/>
      <c r="G7292" s="68"/>
      <c r="H7292" s="70"/>
      <c r="BA7292" s="4"/>
      <c r="BB7292" s="4"/>
    </row>
    <row r="7293" spans="1:54" x14ac:dyDescent="0.3">
      <c r="A7293" s="66"/>
      <c r="B7293" s="67"/>
      <c r="C7293" s="66"/>
      <c r="D7293" s="68"/>
      <c r="E7293" s="10"/>
      <c r="F7293" s="69"/>
      <c r="G7293" s="68"/>
      <c r="H7293" s="70"/>
      <c r="BA7293" s="4"/>
      <c r="BB7293" s="4"/>
    </row>
    <row r="7294" spans="1:54" x14ac:dyDescent="0.3">
      <c r="A7294" s="66"/>
      <c r="B7294" s="67"/>
      <c r="C7294" s="66"/>
      <c r="D7294" s="68"/>
      <c r="E7294" s="10"/>
      <c r="F7294" s="69"/>
      <c r="G7294" s="68"/>
      <c r="H7294" s="70"/>
      <c r="BA7294" s="4"/>
      <c r="BB7294" s="4"/>
    </row>
    <row r="7295" spans="1:54" x14ac:dyDescent="0.3">
      <c r="A7295" s="66"/>
      <c r="B7295" s="67"/>
      <c r="C7295" s="66"/>
      <c r="D7295" s="68"/>
      <c r="E7295" s="10"/>
      <c r="F7295" s="69"/>
      <c r="G7295" s="68"/>
      <c r="H7295" s="70"/>
      <c r="BA7295" s="4"/>
      <c r="BB7295" s="4"/>
    </row>
    <row r="7296" spans="1:54" x14ac:dyDescent="0.3">
      <c r="A7296" s="66"/>
      <c r="B7296" s="67"/>
      <c r="C7296" s="66"/>
      <c r="D7296" s="68"/>
      <c r="E7296" s="10"/>
      <c r="F7296" s="69"/>
      <c r="G7296" s="68"/>
      <c r="H7296" s="70"/>
      <c r="BA7296" s="4"/>
      <c r="BB7296" s="4"/>
    </row>
    <row r="7297" spans="1:54" x14ac:dyDescent="0.3">
      <c r="A7297" s="66"/>
      <c r="B7297" s="67"/>
      <c r="C7297" s="66"/>
      <c r="D7297" s="68"/>
      <c r="E7297" s="10"/>
      <c r="F7297" s="69"/>
      <c r="G7297" s="68"/>
      <c r="H7297" s="70"/>
      <c r="BA7297" s="4"/>
      <c r="BB7297" s="4"/>
    </row>
    <row r="7298" spans="1:54" x14ac:dyDescent="0.3">
      <c r="A7298" s="66"/>
      <c r="B7298" s="67"/>
      <c r="C7298" s="66"/>
      <c r="D7298" s="68"/>
      <c r="E7298" s="10"/>
      <c r="F7298" s="69"/>
      <c r="G7298" s="68"/>
      <c r="H7298" s="70"/>
      <c r="BA7298" s="4"/>
      <c r="BB7298" s="4"/>
    </row>
    <row r="7299" spans="1:54" x14ac:dyDescent="0.3">
      <c r="A7299" s="66"/>
      <c r="B7299" s="67"/>
      <c r="C7299" s="66"/>
      <c r="D7299" s="68"/>
      <c r="E7299" s="10"/>
      <c r="F7299" s="69"/>
      <c r="G7299" s="68"/>
      <c r="H7299" s="70"/>
      <c r="BA7299" s="4"/>
      <c r="BB7299" s="4"/>
    </row>
    <row r="7300" spans="1:54" x14ac:dyDescent="0.3">
      <c r="A7300" s="66"/>
      <c r="B7300" s="67"/>
      <c r="C7300" s="66"/>
      <c r="D7300" s="68"/>
      <c r="E7300" s="10"/>
      <c r="F7300" s="69"/>
      <c r="G7300" s="68"/>
      <c r="H7300" s="70"/>
      <c r="BA7300" s="4"/>
      <c r="BB7300" s="4"/>
    </row>
    <row r="7301" spans="1:54" x14ac:dyDescent="0.3">
      <c r="A7301" s="66"/>
      <c r="B7301" s="67"/>
      <c r="C7301" s="66"/>
      <c r="D7301" s="68"/>
      <c r="E7301" s="10"/>
      <c r="F7301" s="69"/>
      <c r="G7301" s="68"/>
      <c r="H7301" s="70"/>
      <c r="BA7301" s="4"/>
      <c r="BB7301" s="4"/>
    </row>
    <row r="7302" spans="1:54" x14ac:dyDescent="0.3">
      <c r="A7302" s="66"/>
      <c r="B7302" s="67"/>
      <c r="C7302" s="66"/>
      <c r="D7302" s="68"/>
      <c r="E7302" s="10"/>
      <c r="F7302" s="69"/>
      <c r="G7302" s="68"/>
      <c r="H7302" s="70"/>
      <c r="BA7302" s="4"/>
      <c r="BB7302" s="4"/>
    </row>
    <row r="7303" spans="1:54" x14ac:dyDescent="0.3">
      <c r="A7303" s="66"/>
      <c r="B7303" s="67"/>
      <c r="C7303" s="66"/>
      <c r="D7303" s="68"/>
      <c r="E7303" s="10"/>
      <c r="F7303" s="69"/>
      <c r="G7303" s="68"/>
      <c r="H7303" s="70"/>
      <c r="BA7303" s="4"/>
      <c r="BB7303" s="4"/>
    </row>
    <row r="7304" spans="1:54" x14ac:dyDescent="0.3">
      <c r="A7304" s="66"/>
      <c r="B7304" s="67"/>
      <c r="C7304" s="66"/>
      <c r="D7304" s="68"/>
      <c r="E7304" s="10"/>
      <c r="F7304" s="69"/>
      <c r="G7304" s="68"/>
      <c r="H7304" s="70"/>
      <c r="BA7304" s="4"/>
      <c r="BB7304" s="4"/>
    </row>
    <row r="7305" spans="1:54" x14ac:dyDescent="0.3">
      <c r="A7305" s="66"/>
      <c r="B7305" s="67"/>
      <c r="C7305" s="66"/>
      <c r="D7305" s="68"/>
      <c r="E7305" s="10"/>
      <c r="F7305" s="69"/>
      <c r="G7305" s="68"/>
      <c r="H7305" s="70"/>
      <c r="BA7305" s="4"/>
      <c r="BB7305" s="4"/>
    </row>
    <row r="7306" spans="1:54" x14ac:dyDescent="0.3">
      <c r="A7306" s="66"/>
      <c r="B7306" s="67"/>
      <c r="C7306" s="66"/>
      <c r="D7306" s="68"/>
      <c r="E7306" s="10"/>
      <c r="F7306" s="69"/>
      <c r="G7306" s="68"/>
      <c r="H7306" s="70"/>
      <c r="BA7306" s="4"/>
      <c r="BB7306" s="4"/>
    </row>
    <row r="7307" spans="1:54" x14ac:dyDescent="0.3">
      <c r="A7307" s="66"/>
      <c r="B7307" s="67"/>
      <c r="C7307" s="66"/>
      <c r="D7307" s="68"/>
      <c r="E7307" s="10"/>
      <c r="F7307" s="69"/>
      <c r="G7307" s="68"/>
      <c r="H7307" s="70"/>
      <c r="BA7307" s="4"/>
      <c r="BB7307" s="4"/>
    </row>
    <row r="7308" spans="1:54" x14ac:dyDescent="0.3">
      <c r="A7308" s="66"/>
      <c r="B7308" s="67"/>
      <c r="C7308" s="66"/>
      <c r="D7308" s="68"/>
      <c r="E7308" s="10"/>
      <c r="F7308" s="69"/>
      <c r="G7308" s="68"/>
      <c r="H7308" s="70"/>
      <c r="BA7308" s="4"/>
      <c r="BB7308" s="4"/>
    </row>
    <row r="7309" spans="1:54" x14ac:dyDescent="0.3">
      <c r="A7309" s="66"/>
      <c r="B7309" s="67"/>
      <c r="C7309" s="66"/>
      <c r="D7309" s="68"/>
      <c r="E7309" s="10"/>
      <c r="F7309" s="69"/>
      <c r="G7309" s="68"/>
      <c r="H7309" s="70"/>
      <c r="BA7309" s="4"/>
      <c r="BB7309" s="4"/>
    </row>
    <row r="7310" spans="1:54" x14ac:dyDescent="0.3">
      <c r="A7310" s="66"/>
      <c r="B7310" s="67"/>
      <c r="C7310" s="66"/>
      <c r="D7310" s="68"/>
      <c r="E7310" s="10"/>
      <c r="F7310" s="69"/>
      <c r="G7310" s="68"/>
      <c r="H7310" s="70"/>
      <c r="BA7310" s="4"/>
      <c r="BB7310" s="4"/>
    </row>
    <row r="7311" spans="1:54" x14ac:dyDescent="0.3">
      <c r="A7311" s="66"/>
      <c r="B7311" s="67"/>
      <c r="C7311" s="66"/>
      <c r="D7311" s="68"/>
      <c r="E7311" s="10"/>
      <c r="F7311" s="69"/>
      <c r="G7311" s="68"/>
      <c r="H7311" s="70"/>
      <c r="BA7311" s="4"/>
      <c r="BB7311" s="4"/>
    </row>
    <row r="7312" spans="1:54" x14ac:dyDescent="0.3">
      <c r="A7312" s="66"/>
      <c r="B7312" s="67"/>
      <c r="C7312" s="66"/>
      <c r="D7312" s="68"/>
      <c r="E7312" s="10"/>
      <c r="F7312" s="69"/>
      <c r="G7312" s="68"/>
      <c r="H7312" s="70"/>
      <c r="BA7312" s="4"/>
      <c r="BB7312" s="4"/>
    </row>
    <row r="7313" spans="1:54" x14ac:dyDescent="0.3">
      <c r="A7313" s="66"/>
      <c r="B7313" s="67"/>
      <c r="C7313" s="66"/>
      <c r="D7313" s="68"/>
      <c r="E7313" s="10"/>
      <c r="F7313" s="69"/>
      <c r="G7313" s="68"/>
      <c r="H7313" s="70"/>
      <c r="BA7313" s="4"/>
      <c r="BB7313" s="4"/>
    </row>
    <row r="7314" spans="1:54" x14ac:dyDescent="0.3">
      <c r="A7314" s="66"/>
      <c r="B7314" s="67"/>
      <c r="C7314" s="66"/>
      <c r="D7314" s="68"/>
      <c r="E7314" s="10"/>
      <c r="F7314" s="69"/>
      <c r="G7314" s="68"/>
      <c r="H7314" s="70"/>
      <c r="BA7314" s="4"/>
      <c r="BB7314" s="4"/>
    </row>
    <row r="7315" spans="1:54" x14ac:dyDescent="0.3">
      <c r="A7315" s="66"/>
      <c r="B7315" s="67"/>
      <c r="C7315" s="66"/>
      <c r="D7315" s="68"/>
      <c r="E7315" s="10"/>
      <c r="F7315" s="69"/>
      <c r="G7315" s="68"/>
      <c r="H7315" s="70"/>
      <c r="BA7315" s="4"/>
      <c r="BB7315" s="4"/>
    </row>
    <row r="7316" spans="1:54" x14ac:dyDescent="0.3">
      <c r="A7316" s="66"/>
      <c r="B7316" s="67"/>
      <c r="C7316" s="66"/>
      <c r="D7316" s="68"/>
      <c r="E7316" s="10"/>
      <c r="F7316" s="69"/>
      <c r="G7316" s="68"/>
      <c r="H7316" s="70"/>
      <c r="BA7316" s="4"/>
      <c r="BB7316" s="4"/>
    </row>
    <row r="7317" spans="1:54" x14ac:dyDescent="0.3">
      <c r="A7317" s="66"/>
      <c r="B7317" s="67"/>
      <c r="C7317" s="66"/>
      <c r="D7317" s="68"/>
      <c r="E7317" s="10"/>
      <c r="F7317" s="69"/>
      <c r="G7317" s="68"/>
      <c r="H7317" s="70"/>
      <c r="BA7317" s="4"/>
      <c r="BB7317" s="4"/>
    </row>
    <row r="7318" spans="1:54" x14ac:dyDescent="0.3">
      <c r="A7318" s="66"/>
      <c r="B7318" s="67"/>
      <c r="C7318" s="66"/>
      <c r="D7318" s="68"/>
      <c r="E7318" s="10"/>
      <c r="F7318" s="69"/>
      <c r="G7318" s="68"/>
      <c r="H7318" s="70"/>
      <c r="BA7318" s="4"/>
      <c r="BB7318" s="4"/>
    </row>
    <row r="7319" spans="1:54" x14ac:dyDescent="0.3">
      <c r="A7319" s="66"/>
      <c r="B7319" s="67"/>
      <c r="C7319" s="66"/>
      <c r="D7319" s="68"/>
      <c r="E7319" s="10"/>
      <c r="F7319" s="69"/>
      <c r="G7319" s="68"/>
      <c r="H7319" s="70"/>
      <c r="BA7319" s="4"/>
      <c r="BB7319" s="4"/>
    </row>
    <row r="7320" spans="1:54" x14ac:dyDescent="0.3">
      <c r="A7320" s="66"/>
      <c r="B7320" s="67"/>
      <c r="C7320" s="66"/>
      <c r="D7320" s="68"/>
      <c r="E7320" s="10"/>
      <c r="F7320" s="69"/>
      <c r="G7320" s="68"/>
      <c r="H7320" s="70"/>
      <c r="BA7320" s="4"/>
      <c r="BB7320" s="4"/>
    </row>
    <row r="7321" spans="1:54" x14ac:dyDescent="0.3">
      <c r="A7321" s="66"/>
      <c r="B7321" s="67"/>
      <c r="C7321" s="66"/>
      <c r="D7321" s="68"/>
      <c r="E7321" s="10"/>
      <c r="F7321" s="69"/>
      <c r="G7321" s="68"/>
      <c r="H7321" s="70"/>
      <c r="BA7321" s="4"/>
      <c r="BB7321" s="4"/>
    </row>
    <row r="7322" spans="1:54" x14ac:dyDescent="0.3">
      <c r="A7322" s="66"/>
      <c r="B7322" s="67"/>
      <c r="C7322" s="66"/>
      <c r="D7322" s="68"/>
      <c r="E7322" s="10"/>
      <c r="F7322" s="69"/>
      <c r="G7322" s="68"/>
      <c r="H7322" s="70"/>
      <c r="BA7322" s="4"/>
      <c r="BB7322" s="4"/>
    </row>
    <row r="7323" spans="1:54" x14ac:dyDescent="0.3">
      <c r="A7323" s="66"/>
      <c r="B7323" s="67"/>
      <c r="C7323" s="66"/>
      <c r="D7323" s="68"/>
      <c r="E7323" s="10"/>
      <c r="F7323" s="69"/>
      <c r="G7323" s="68"/>
      <c r="H7323" s="70"/>
      <c r="BA7323" s="4"/>
      <c r="BB7323" s="4"/>
    </row>
    <row r="7324" spans="1:54" x14ac:dyDescent="0.3">
      <c r="A7324" s="66"/>
      <c r="B7324" s="67"/>
      <c r="C7324" s="66"/>
      <c r="D7324" s="68"/>
      <c r="E7324" s="10"/>
      <c r="F7324" s="69"/>
      <c r="G7324" s="68"/>
      <c r="H7324" s="70"/>
      <c r="BA7324" s="4"/>
      <c r="BB7324" s="4"/>
    </row>
    <row r="7325" spans="1:54" x14ac:dyDescent="0.3">
      <c r="A7325" s="66"/>
      <c r="B7325" s="67"/>
      <c r="C7325" s="66"/>
      <c r="D7325" s="68"/>
      <c r="E7325" s="10"/>
      <c r="F7325" s="69"/>
      <c r="G7325" s="68"/>
      <c r="H7325" s="70"/>
      <c r="BA7325" s="4"/>
      <c r="BB7325" s="4"/>
    </row>
    <row r="7326" spans="1:54" x14ac:dyDescent="0.3">
      <c r="A7326" s="66"/>
      <c r="B7326" s="67"/>
      <c r="C7326" s="66"/>
      <c r="D7326" s="68"/>
      <c r="E7326" s="10"/>
      <c r="F7326" s="69"/>
      <c r="G7326" s="68"/>
      <c r="H7326" s="70"/>
      <c r="BA7326" s="4"/>
      <c r="BB7326" s="4"/>
    </row>
    <row r="7327" spans="1:54" x14ac:dyDescent="0.3">
      <c r="A7327" s="66"/>
      <c r="B7327" s="67"/>
      <c r="C7327" s="66"/>
      <c r="D7327" s="68"/>
      <c r="E7327" s="10"/>
      <c r="F7327" s="69"/>
      <c r="G7327" s="68"/>
      <c r="H7327" s="70"/>
      <c r="BA7327" s="4"/>
      <c r="BB7327" s="4"/>
    </row>
    <row r="7328" spans="1:54" x14ac:dyDescent="0.3">
      <c r="A7328" s="66"/>
      <c r="B7328" s="67"/>
      <c r="C7328" s="66"/>
      <c r="D7328" s="68"/>
      <c r="E7328" s="10"/>
      <c r="F7328" s="69"/>
      <c r="G7328" s="68"/>
      <c r="H7328" s="70"/>
      <c r="BA7328" s="4"/>
      <c r="BB7328" s="4"/>
    </row>
    <row r="7329" spans="1:54" x14ac:dyDescent="0.3">
      <c r="A7329" s="66"/>
      <c r="B7329" s="67"/>
      <c r="C7329" s="66"/>
      <c r="D7329" s="68"/>
      <c r="E7329" s="10"/>
      <c r="F7329" s="69"/>
      <c r="G7329" s="68"/>
      <c r="H7329" s="70"/>
      <c r="BA7329" s="4"/>
      <c r="BB7329" s="4"/>
    </row>
    <row r="7330" spans="1:54" x14ac:dyDescent="0.3">
      <c r="A7330" s="66"/>
      <c r="B7330" s="67"/>
      <c r="C7330" s="66"/>
      <c r="D7330" s="68"/>
      <c r="E7330" s="10"/>
      <c r="F7330" s="69"/>
      <c r="G7330" s="68"/>
      <c r="H7330" s="70"/>
      <c r="BA7330" s="4"/>
      <c r="BB7330" s="4"/>
    </row>
    <row r="7331" spans="1:54" x14ac:dyDescent="0.3">
      <c r="A7331" s="66"/>
      <c r="B7331" s="67"/>
      <c r="C7331" s="66"/>
      <c r="D7331" s="68"/>
      <c r="E7331" s="10"/>
      <c r="F7331" s="69"/>
      <c r="G7331" s="68"/>
      <c r="H7331" s="70"/>
      <c r="BA7331" s="4"/>
      <c r="BB7331" s="4"/>
    </row>
    <row r="7332" spans="1:54" x14ac:dyDescent="0.3">
      <c r="A7332" s="66"/>
      <c r="B7332" s="67"/>
      <c r="C7332" s="66"/>
      <c r="D7332" s="68"/>
      <c r="E7332" s="10"/>
      <c r="F7332" s="69"/>
      <c r="G7332" s="68"/>
      <c r="H7332" s="70"/>
      <c r="BA7332" s="4"/>
      <c r="BB7332" s="4"/>
    </row>
    <row r="7333" spans="1:54" x14ac:dyDescent="0.3">
      <c r="A7333" s="66"/>
      <c r="B7333" s="67"/>
      <c r="C7333" s="66"/>
      <c r="D7333" s="68"/>
      <c r="E7333" s="10"/>
      <c r="F7333" s="69"/>
      <c r="G7333" s="68"/>
      <c r="H7333" s="70"/>
      <c r="BA7333" s="4"/>
      <c r="BB7333" s="4"/>
    </row>
    <row r="7334" spans="1:54" x14ac:dyDescent="0.3">
      <c r="A7334" s="66"/>
      <c r="B7334" s="67"/>
      <c r="C7334" s="66"/>
      <c r="D7334" s="68"/>
      <c r="E7334" s="10"/>
      <c r="F7334" s="69"/>
      <c r="G7334" s="68"/>
      <c r="H7334" s="70"/>
      <c r="BA7334" s="4"/>
      <c r="BB7334" s="4"/>
    </row>
    <row r="7335" spans="1:54" x14ac:dyDescent="0.3">
      <c r="A7335" s="66"/>
      <c r="B7335" s="67"/>
      <c r="C7335" s="66"/>
      <c r="D7335" s="68"/>
      <c r="E7335" s="10"/>
      <c r="F7335" s="69"/>
      <c r="G7335" s="68"/>
      <c r="H7335" s="70"/>
      <c r="BA7335" s="4"/>
      <c r="BB7335" s="4"/>
    </row>
    <row r="7336" spans="1:54" x14ac:dyDescent="0.3">
      <c r="A7336" s="66"/>
      <c r="B7336" s="67"/>
      <c r="C7336" s="66"/>
      <c r="D7336" s="68"/>
      <c r="E7336" s="10"/>
      <c r="F7336" s="69"/>
      <c r="G7336" s="68"/>
      <c r="H7336" s="70"/>
      <c r="BA7336" s="4"/>
      <c r="BB7336" s="4"/>
    </row>
    <row r="7337" spans="1:54" x14ac:dyDescent="0.3">
      <c r="A7337" s="66"/>
      <c r="B7337" s="67"/>
      <c r="C7337" s="66"/>
      <c r="D7337" s="68"/>
      <c r="E7337" s="10"/>
      <c r="F7337" s="69"/>
      <c r="G7337" s="68"/>
      <c r="H7337" s="70"/>
      <c r="BA7337" s="4"/>
      <c r="BB7337" s="4"/>
    </row>
    <row r="7338" spans="1:54" x14ac:dyDescent="0.3">
      <c r="A7338" s="66"/>
      <c r="B7338" s="67"/>
      <c r="C7338" s="66"/>
      <c r="D7338" s="68"/>
      <c r="E7338" s="10"/>
      <c r="F7338" s="69"/>
      <c r="G7338" s="68"/>
      <c r="H7338" s="70"/>
      <c r="BA7338" s="4"/>
      <c r="BB7338" s="4"/>
    </row>
    <row r="7339" spans="1:54" x14ac:dyDescent="0.3">
      <c r="A7339" s="66"/>
      <c r="B7339" s="67"/>
      <c r="C7339" s="66"/>
      <c r="D7339" s="68"/>
      <c r="E7339" s="10"/>
      <c r="F7339" s="69"/>
      <c r="G7339" s="68"/>
      <c r="H7339" s="70"/>
      <c r="BA7339" s="4"/>
      <c r="BB7339" s="4"/>
    </row>
    <row r="7340" spans="1:54" x14ac:dyDescent="0.3">
      <c r="A7340" s="66"/>
      <c r="B7340" s="67"/>
      <c r="C7340" s="66"/>
      <c r="D7340" s="68"/>
      <c r="E7340" s="10"/>
      <c r="F7340" s="69"/>
      <c r="G7340" s="68"/>
      <c r="H7340" s="70"/>
      <c r="BA7340" s="4"/>
      <c r="BB7340" s="4"/>
    </row>
    <row r="7341" spans="1:54" x14ac:dyDescent="0.3">
      <c r="A7341" s="66"/>
      <c r="B7341" s="67"/>
      <c r="C7341" s="66"/>
      <c r="D7341" s="68"/>
      <c r="E7341" s="10"/>
      <c r="F7341" s="69"/>
      <c r="G7341" s="68"/>
      <c r="H7341" s="70"/>
      <c r="BA7341" s="4"/>
      <c r="BB7341" s="4"/>
    </row>
    <row r="7342" spans="1:54" x14ac:dyDescent="0.3">
      <c r="A7342" s="66"/>
      <c r="B7342" s="67"/>
      <c r="C7342" s="66"/>
      <c r="D7342" s="68"/>
      <c r="E7342" s="10"/>
      <c r="F7342" s="69"/>
      <c r="G7342" s="68"/>
      <c r="H7342" s="70"/>
      <c r="BA7342" s="4"/>
      <c r="BB7342" s="4"/>
    </row>
    <row r="7343" spans="1:54" x14ac:dyDescent="0.3">
      <c r="A7343" s="66"/>
      <c r="B7343" s="67"/>
      <c r="C7343" s="66"/>
      <c r="D7343" s="68"/>
      <c r="E7343" s="10"/>
      <c r="F7343" s="69"/>
      <c r="G7343" s="68"/>
      <c r="H7343" s="70"/>
      <c r="BA7343" s="4"/>
      <c r="BB7343" s="4"/>
    </row>
    <row r="7344" spans="1:54" x14ac:dyDescent="0.3">
      <c r="A7344" s="66"/>
      <c r="B7344" s="67"/>
      <c r="C7344" s="66"/>
      <c r="D7344" s="68"/>
      <c r="E7344" s="10"/>
      <c r="F7344" s="69"/>
      <c r="G7344" s="68"/>
      <c r="H7344" s="70"/>
      <c r="BA7344" s="4"/>
      <c r="BB7344" s="4"/>
    </row>
    <row r="7345" spans="1:54" x14ac:dyDescent="0.3">
      <c r="A7345" s="66"/>
      <c r="B7345" s="67"/>
      <c r="C7345" s="66"/>
      <c r="D7345" s="68"/>
      <c r="E7345" s="10"/>
      <c r="F7345" s="69"/>
      <c r="G7345" s="68"/>
      <c r="H7345" s="70"/>
      <c r="BA7345" s="4"/>
      <c r="BB7345" s="4"/>
    </row>
    <row r="7346" spans="1:54" x14ac:dyDescent="0.3">
      <c r="A7346" s="66"/>
      <c r="B7346" s="67"/>
      <c r="C7346" s="66"/>
      <c r="D7346" s="68"/>
      <c r="E7346" s="10"/>
      <c r="F7346" s="69"/>
      <c r="G7346" s="68"/>
      <c r="H7346" s="70"/>
      <c r="BA7346" s="4"/>
      <c r="BB7346" s="4"/>
    </row>
    <row r="7347" spans="1:54" x14ac:dyDescent="0.3">
      <c r="A7347" s="66"/>
      <c r="B7347" s="67"/>
      <c r="C7347" s="66"/>
      <c r="D7347" s="68"/>
      <c r="E7347" s="10"/>
      <c r="F7347" s="69"/>
      <c r="G7347" s="68"/>
      <c r="H7347" s="70"/>
      <c r="BA7347" s="4"/>
      <c r="BB7347" s="4"/>
    </row>
    <row r="7348" spans="1:54" x14ac:dyDescent="0.3">
      <c r="A7348" s="66"/>
      <c r="B7348" s="67"/>
      <c r="C7348" s="66"/>
      <c r="D7348" s="68"/>
      <c r="E7348" s="10"/>
      <c r="F7348" s="69"/>
      <c r="G7348" s="68"/>
      <c r="H7348" s="70"/>
      <c r="BA7348" s="4"/>
      <c r="BB7348" s="4"/>
    </row>
    <row r="7349" spans="1:54" x14ac:dyDescent="0.3">
      <c r="A7349" s="66"/>
      <c r="B7349" s="67"/>
      <c r="C7349" s="66"/>
      <c r="D7349" s="68"/>
      <c r="E7349" s="10"/>
      <c r="F7349" s="69"/>
      <c r="G7349" s="68"/>
      <c r="H7349" s="70"/>
      <c r="BA7349" s="4"/>
      <c r="BB7349" s="4"/>
    </row>
    <row r="7350" spans="1:54" x14ac:dyDescent="0.3">
      <c r="A7350" s="66"/>
      <c r="B7350" s="67"/>
      <c r="C7350" s="66"/>
      <c r="D7350" s="68"/>
      <c r="E7350" s="10"/>
      <c r="F7350" s="69"/>
      <c r="G7350" s="68"/>
      <c r="H7350" s="70"/>
      <c r="BA7350" s="4"/>
      <c r="BB7350" s="4"/>
    </row>
    <row r="7351" spans="1:54" x14ac:dyDescent="0.3">
      <c r="A7351" s="66"/>
      <c r="B7351" s="67"/>
      <c r="C7351" s="66"/>
      <c r="D7351" s="68"/>
      <c r="E7351" s="10"/>
      <c r="F7351" s="69"/>
      <c r="G7351" s="68"/>
      <c r="H7351" s="70"/>
      <c r="BA7351" s="4"/>
      <c r="BB7351" s="4"/>
    </row>
    <row r="7352" spans="1:54" x14ac:dyDescent="0.3">
      <c r="A7352" s="66"/>
      <c r="B7352" s="67"/>
      <c r="C7352" s="66"/>
      <c r="D7352" s="68"/>
      <c r="E7352" s="10"/>
      <c r="F7352" s="69"/>
      <c r="G7352" s="68"/>
      <c r="H7352" s="70"/>
      <c r="BA7352" s="4"/>
      <c r="BB7352" s="4"/>
    </row>
    <row r="7353" spans="1:54" x14ac:dyDescent="0.3">
      <c r="A7353" s="66"/>
      <c r="B7353" s="67"/>
      <c r="C7353" s="66"/>
      <c r="D7353" s="68"/>
      <c r="E7353" s="10"/>
      <c r="F7353" s="69"/>
      <c r="G7353" s="68"/>
      <c r="H7353" s="70"/>
      <c r="BA7353" s="4"/>
      <c r="BB7353" s="4"/>
    </row>
    <row r="7354" spans="1:54" x14ac:dyDescent="0.3">
      <c r="A7354" s="66"/>
      <c r="B7354" s="67"/>
      <c r="C7354" s="66"/>
      <c r="D7354" s="68"/>
      <c r="E7354" s="10"/>
      <c r="F7354" s="69"/>
      <c r="G7354" s="68"/>
      <c r="H7354" s="70"/>
      <c r="BA7354" s="4"/>
      <c r="BB7354" s="4"/>
    </row>
    <row r="7355" spans="1:54" x14ac:dyDescent="0.3">
      <c r="A7355" s="66"/>
      <c r="B7355" s="67"/>
      <c r="C7355" s="66"/>
      <c r="D7355" s="68"/>
      <c r="E7355" s="10"/>
      <c r="F7355" s="69"/>
      <c r="G7355" s="68"/>
      <c r="H7355" s="70"/>
      <c r="BA7355" s="4"/>
      <c r="BB7355" s="4"/>
    </row>
    <row r="7356" spans="1:54" x14ac:dyDescent="0.3">
      <c r="A7356" s="66"/>
      <c r="B7356" s="67"/>
      <c r="C7356" s="66"/>
      <c r="D7356" s="68"/>
      <c r="E7356" s="10"/>
      <c r="F7356" s="69"/>
      <c r="G7356" s="68"/>
      <c r="H7356" s="70"/>
      <c r="BA7356" s="4"/>
      <c r="BB7356" s="4"/>
    </row>
    <row r="7357" spans="1:54" x14ac:dyDescent="0.3">
      <c r="A7357" s="66"/>
      <c r="B7357" s="67"/>
      <c r="C7357" s="66"/>
      <c r="D7357" s="68"/>
      <c r="E7357" s="10"/>
      <c r="F7357" s="69"/>
      <c r="G7357" s="68"/>
      <c r="H7357" s="70"/>
      <c r="BA7357" s="4"/>
      <c r="BB7357" s="4"/>
    </row>
    <row r="7358" spans="1:54" x14ac:dyDescent="0.3">
      <c r="A7358" s="66"/>
      <c r="B7358" s="67"/>
      <c r="C7358" s="66"/>
      <c r="D7358" s="68"/>
      <c r="E7358" s="10"/>
      <c r="F7358" s="69"/>
      <c r="G7358" s="68"/>
      <c r="H7358" s="70"/>
      <c r="BA7358" s="4"/>
      <c r="BB7358" s="4"/>
    </row>
    <row r="7359" spans="1:54" x14ac:dyDescent="0.3">
      <c r="A7359" s="66"/>
      <c r="B7359" s="67"/>
      <c r="C7359" s="66"/>
      <c r="D7359" s="68"/>
      <c r="E7359" s="10"/>
      <c r="F7359" s="69"/>
      <c r="G7359" s="68"/>
      <c r="H7359" s="70"/>
      <c r="BA7359" s="4"/>
      <c r="BB7359" s="4"/>
    </row>
    <row r="7360" spans="1:54" x14ac:dyDescent="0.3">
      <c r="A7360" s="66"/>
      <c r="B7360" s="67"/>
      <c r="C7360" s="66"/>
      <c r="D7360" s="68"/>
      <c r="E7360" s="10"/>
      <c r="F7360" s="69"/>
      <c r="G7360" s="68"/>
      <c r="H7360" s="70"/>
      <c r="BA7360" s="4"/>
      <c r="BB7360" s="4"/>
    </row>
    <row r="7361" spans="1:54" x14ac:dyDescent="0.3">
      <c r="A7361" s="66"/>
      <c r="B7361" s="67"/>
      <c r="C7361" s="66"/>
      <c r="D7361" s="68"/>
      <c r="E7361" s="10"/>
      <c r="F7361" s="69"/>
      <c r="G7361" s="68"/>
      <c r="H7361" s="70"/>
      <c r="BA7361" s="4"/>
      <c r="BB7361" s="4"/>
    </row>
    <row r="7362" spans="1:54" x14ac:dyDescent="0.3">
      <c r="A7362" s="66"/>
      <c r="B7362" s="67"/>
      <c r="C7362" s="66"/>
      <c r="D7362" s="68"/>
      <c r="E7362" s="10"/>
      <c r="F7362" s="69"/>
      <c r="G7362" s="68"/>
      <c r="H7362" s="70"/>
      <c r="BA7362" s="4"/>
      <c r="BB7362" s="4"/>
    </row>
    <row r="7363" spans="1:54" x14ac:dyDescent="0.3">
      <c r="A7363" s="66"/>
      <c r="B7363" s="67"/>
      <c r="C7363" s="66"/>
      <c r="D7363" s="68"/>
      <c r="E7363" s="10"/>
      <c r="F7363" s="69"/>
      <c r="G7363" s="68"/>
      <c r="H7363" s="70"/>
      <c r="BA7363" s="4"/>
      <c r="BB7363" s="4"/>
    </row>
    <row r="7364" spans="1:54" x14ac:dyDescent="0.3">
      <c r="A7364" s="66"/>
      <c r="B7364" s="67"/>
      <c r="C7364" s="66"/>
      <c r="D7364" s="68"/>
      <c r="E7364" s="10"/>
      <c r="F7364" s="69"/>
      <c r="G7364" s="68"/>
      <c r="H7364" s="70"/>
      <c r="BA7364" s="4"/>
      <c r="BB7364" s="4"/>
    </row>
    <row r="7365" spans="1:54" x14ac:dyDescent="0.3">
      <c r="A7365" s="66"/>
      <c r="B7365" s="67"/>
      <c r="C7365" s="66"/>
      <c r="D7365" s="68"/>
      <c r="E7365" s="10"/>
      <c r="F7365" s="69"/>
      <c r="G7365" s="68"/>
      <c r="H7365" s="70"/>
      <c r="BA7365" s="4"/>
      <c r="BB7365" s="4"/>
    </row>
    <row r="7366" spans="1:54" x14ac:dyDescent="0.3">
      <c r="A7366" s="66"/>
      <c r="B7366" s="67"/>
      <c r="C7366" s="66"/>
      <c r="D7366" s="68"/>
      <c r="E7366" s="10"/>
      <c r="F7366" s="69"/>
      <c r="G7366" s="68"/>
      <c r="H7366" s="70"/>
      <c r="BA7366" s="4"/>
      <c r="BB7366" s="4"/>
    </row>
    <row r="7367" spans="1:54" x14ac:dyDescent="0.3">
      <c r="A7367" s="66"/>
      <c r="B7367" s="67"/>
      <c r="C7367" s="66"/>
      <c r="D7367" s="68"/>
      <c r="E7367" s="10"/>
      <c r="F7367" s="69"/>
      <c r="G7367" s="68"/>
      <c r="H7367" s="70"/>
      <c r="BA7367" s="4"/>
      <c r="BB7367" s="4"/>
    </row>
    <row r="7368" spans="1:54" x14ac:dyDescent="0.3">
      <c r="A7368" s="66"/>
      <c r="B7368" s="67"/>
      <c r="C7368" s="66"/>
      <c r="D7368" s="68"/>
      <c r="E7368" s="10"/>
      <c r="F7368" s="69"/>
      <c r="G7368" s="68"/>
      <c r="H7368" s="70"/>
      <c r="BA7368" s="4"/>
      <c r="BB7368" s="4"/>
    </row>
    <row r="7369" spans="1:54" x14ac:dyDescent="0.3">
      <c r="A7369" s="66"/>
      <c r="B7369" s="67"/>
      <c r="C7369" s="66"/>
      <c r="D7369" s="68"/>
      <c r="E7369" s="10"/>
      <c r="F7369" s="69"/>
      <c r="G7369" s="68"/>
      <c r="H7369" s="70"/>
      <c r="BA7369" s="4"/>
      <c r="BB7369" s="4"/>
    </row>
    <row r="7370" spans="1:54" x14ac:dyDescent="0.3">
      <c r="A7370" s="66"/>
      <c r="B7370" s="67"/>
      <c r="C7370" s="66"/>
      <c r="D7370" s="68"/>
      <c r="E7370" s="10"/>
      <c r="F7370" s="69"/>
      <c r="G7370" s="68"/>
      <c r="H7370" s="70"/>
      <c r="BA7370" s="4"/>
      <c r="BB7370" s="4"/>
    </row>
    <row r="7371" spans="1:54" x14ac:dyDescent="0.3">
      <c r="A7371" s="66"/>
      <c r="B7371" s="67"/>
      <c r="C7371" s="66"/>
      <c r="D7371" s="68"/>
      <c r="E7371" s="10"/>
      <c r="F7371" s="69"/>
      <c r="G7371" s="68"/>
      <c r="H7371" s="70"/>
      <c r="BA7371" s="4"/>
      <c r="BB7371" s="4"/>
    </row>
    <row r="7372" spans="1:54" x14ac:dyDescent="0.3">
      <c r="A7372" s="66"/>
      <c r="B7372" s="67"/>
      <c r="C7372" s="66"/>
      <c r="D7372" s="68"/>
      <c r="E7372" s="10"/>
      <c r="F7372" s="69"/>
      <c r="G7372" s="68"/>
      <c r="H7372" s="70"/>
      <c r="BA7372" s="4"/>
      <c r="BB7372" s="4"/>
    </row>
    <row r="7373" spans="1:54" x14ac:dyDescent="0.3">
      <c r="A7373" s="66"/>
      <c r="B7373" s="67"/>
      <c r="C7373" s="66"/>
      <c r="D7373" s="68"/>
      <c r="E7373" s="10"/>
      <c r="F7373" s="69"/>
      <c r="G7373" s="68"/>
      <c r="H7373" s="70"/>
      <c r="BA7373" s="4"/>
      <c r="BB7373" s="4"/>
    </row>
    <row r="7374" spans="1:54" x14ac:dyDescent="0.3">
      <c r="A7374" s="66"/>
      <c r="B7374" s="67"/>
      <c r="C7374" s="66"/>
      <c r="D7374" s="68"/>
      <c r="E7374" s="10"/>
      <c r="F7374" s="69"/>
      <c r="G7374" s="68"/>
      <c r="H7374" s="70"/>
      <c r="BA7374" s="4"/>
      <c r="BB7374" s="4"/>
    </row>
    <row r="7375" spans="1:54" x14ac:dyDescent="0.3">
      <c r="A7375" s="66"/>
      <c r="B7375" s="67"/>
      <c r="C7375" s="66"/>
      <c r="D7375" s="68"/>
      <c r="E7375" s="10"/>
      <c r="F7375" s="69"/>
      <c r="G7375" s="68"/>
      <c r="H7375" s="70"/>
      <c r="BA7375" s="4"/>
      <c r="BB7375" s="4"/>
    </row>
    <row r="7376" spans="1:54" x14ac:dyDescent="0.3">
      <c r="A7376" s="66"/>
      <c r="B7376" s="67"/>
      <c r="C7376" s="66"/>
      <c r="D7376" s="68"/>
      <c r="E7376" s="10"/>
      <c r="F7376" s="69"/>
      <c r="G7376" s="68"/>
      <c r="H7376" s="70"/>
      <c r="BA7376" s="4"/>
      <c r="BB7376" s="4"/>
    </row>
    <row r="7377" spans="1:54" x14ac:dyDescent="0.3">
      <c r="A7377" s="66"/>
      <c r="B7377" s="67"/>
      <c r="C7377" s="66"/>
      <c r="D7377" s="68"/>
      <c r="E7377" s="10"/>
      <c r="F7377" s="69"/>
      <c r="G7377" s="68"/>
      <c r="H7377" s="70"/>
      <c r="BA7377" s="4"/>
      <c r="BB7377" s="4"/>
    </row>
    <row r="7378" spans="1:54" x14ac:dyDescent="0.3">
      <c r="A7378" s="66"/>
      <c r="B7378" s="67"/>
      <c r="C7378" s="66"/>
      <c r="D7378" s="68"/>
      <c r="E7378" s="10"/>
      <c r="F7378" s="69"/>
      <c r="G7378" s="68"/>
      <c r="H7378" s="70"/>
      <c r="BA7378" s="4"/>
      <c r="BB7378" s="4"/>
    </row>
    <row r="7379" spans="1:54" x14ac:dyDescent="0.3">
      <c r="A7379" s="66"/>
      <c r="B7379" s="67"/>
      <c r="C7379" s="66"/>
      <c r="D7379" s="68"/>
      <c r="E7379" s="10"/>
      <c r="F7379" s="69"/>
      <c r="G7379" s="68"/>
      <c r="H7379" s="70"/>
      <c r="BA7379" s="4"/>
      <c r="BB7379" s="4"/>
    </row>
    <row r="7380" spans="1:54" x14ac:dyDescent="0.3">
      <c r="A7380" s="66"/>
      <c r="B7380" s="67"/>
      <c r="C7380" s="66"/>
      <c r="D7380" s="68"/>
      <c r="E7380" s="10"/>
      <c r="F7380" s="69"/>
      <c r="G7380" s="68"/>
      <c r="H7380" s="70"/>
      <c r="BA7380" s="4"/>
      <c r="BB7380" s="4"/>
    </row>
    <row r="7381" spans="1:54" x14ac:dyDescent="0.3">
      <c r="A7381" s="66"/>
      <c r="B7381" s="67"/>
      <c r="C7381" s="66"/>
      <c r="D7381" s="68"/>
      <c r="E7381" s="10"/>
      <c r="F7381" s="69"/>
      <c r="G7381" s="68"/>
      <c r="H7381" s="70"/>
      <c r="BA7381" s="4"/>
      <c r="BB7381" s="4"/>
    </row>
    <row r="7382" spans="1:54" x14ac:dyDescent="0.3">
      <c r="A7382" s="66"/>
      <c r="B7382" s="67"/>
      <c r="C7382" s="66"/>
      <c r="D7382" s="68"/>
      <c r="E7382" s="10"/>
      <c r="F7382" s="69"/>
      <c r="G7382" s="68"/>
      <c r="H7382" s="70"/>
      <c r="BA7382" s="4"/>
      <c r="BB7382" s="4"/>
    </row>
    <row r="7383" spans="1:54" x14ac:dyDescent="0.3">
      <c r="A7383" s="66"/>
      <c r="B7383" s="67"/>
      <c r="C7383" s="66"/>
      <c r="D7383" s="68"/>
      <c r="E7383" s="10"/>
      <c r="F7383" s="69"/>
      <c r="G7383" s="68"/>
      <c r="H7383" s="70"/>
      <c r="BA7383" s="4"/>
      <c r="BB7383" s="4"/>
    </row>
    <row r="7384" spans="1:54" x14ac:dyDescent="0.3">
      <c r="A7384" s="66"/>
      <c r="B7384" s="67"/>
      <c r="C7384" s="66"/>
      <c r="D7384" s="68"/>
      <c r="E7384" s="10"/>
      <c r="F7384" s="69"/>
      <c r="G7384" s="68"/>
      <c r="H7384" s="70"/>
      <c r="BA7384" s="4"/>
      <c r="BB7384" s="4"/>
    </row>
    <row r="7385" spans="1:54" x14ac:dyDescent="0.3">
      <c r="A7385" s="66"/>
      <c r="B7385" s="67"/>
      <c r="C7385" s="66"/>
      <c r="D7385" s="68"/>
      <c r="E7385" s="10"/>
      <c r="F7385" s="69"/>
      <c r="G7385" s="68"/>
      <c r="H7385" s="70"/>
      <c r="BA7385" s="4"/>
      <c r="BB7385" s="4"/>
    </row>
    <row r="7386" spans="1:54" x14ac:dyDescent="0.3">
      <c r="A7386" s="66"/>
      <c r="B7386" s="67"/>
      <c r="C7386" s="66"/>
      <c r="D7386" s="68"/>
      <c r="E7386" s="10"/>
      <c r="F7386" s="69"/>
      <c r="G7386" s="68"/>
      <c r="H7386" s="70"/>
      <c r="BA7386" s="4"/>
      <c r="BB7386" s="4"/>
    </row>
    <row r="7387" spans="1:54" x14ac:dyDescent="0.3">
      <c r="A7387" s="66"/>
      <c r="B7387" s="67"/>
      <c r="C7387" s="66"/>
      <c r="D7387" s="68"/>
      <c r="E7387" s="10"/>
      <c r="F7387" s="69"/>
      <c r="G7387" s="68"/>
      <c r="H7387" s="70"/>
      <c r="BA7387" s="4"/>
      <c r="BB7387" s="4"/>
    </row>
    <row r="7388" spans="1:54" x14ac:dyDescent="0.3">
      <c r="A7388" s="66"/>
      <c r="B7388" s="67"/>
      <c r="C7388" s="66"/>
      <c r="D7388" s="68"/>
      <c r="E7388" s="10"/>
      <c r="F7388" s="69"/>
      <c r="G7388" s="68"/>
      <c r="H7388" s="70"/>
      <c r="BA7388" s="4"/>
      <c r="BB7388" s="4"/>
    </row>
    <row r="7389" spans="1:54" x14ac:dyDescent="0.3">
      <c r="A7389" s="66"/>
      <c r="B7389" s="67"/>
      <c r="C7389" s="66"/>
      <c r="D7389" s="68"/>
      <c r="E7389" s="10"/>
      <c r="F7389" s="69"/>
      <c r="G7389" s="68"/>
      <c r="H7389" s="70"/>
      <c r="BA7389" s="4"/>
      <c r="BB7389" s="4"/>
    </row>
    <row r="7390" spans="1:54" x14ac:dyDescent="0.3">
      <c r="A7390" s="66"/>
      <c r="B7390" s="67"/>
      <c r="C7390" s="66"/>
      <c r="D7390" s="68"/>
      <c r="E7390" s="10"/>
      <c r="F7390" s="69"/>
      <c r="G7390" s="68"/>
      <c r="H7390" s="70"/>
      <c r="BA7390" s="4"/>
      <c r="BB7390" s="4"/>
    </row>
    <row r="7391" spans="1:54" x14ac:dyDescent="0.3">
      <c r="A7391" s="66"/>
      <c r="B7391" s="67"/>
      <c r="C7391" s="66"/>
      <c r="D7391" s="68"/>
      <c r="E7391" s="10"/>
      <c r="F7391" s="69"/>
      <c r="G7391" s="68"/>
      <c r="H7391" s="70"/>
      <c r="BA7391" s="4"/>
      <c r="BB7391" s="4"/>
    </row>
    <row r="7392" spans="1:54" x14ac:dyDescent="0.3">
      <c r="A7392" s="66"/>
      <c r="B7392" s="67"/>
      <c r="C7392" s="66"/>
      <c r="D7392" s="68"/>
      <c r="E7392" s="10"/>
      <c r="F7392" s="69"/>
      <c r="G7392" s="68"/>
      <c r="H7392" s="70"/>
      <c r="BA7392" s="4"/>
      <c r="BB7392" s="4"/>
    </row>
    <row r="7393" spans="1:54" x14ac:dyDescent="0.3">
      <c r="A7393" s="66"/>
      <c r="B7393" s="67"/>
      <c r="C7393" s="66"/>
      <c r="D7393" s="68"/>
      <c r="E7393" s="10"/>
      <c r="F7393" s="69"/>
      <c r="G7393" s="68"/>
      <c r="H7393" s="70"/>
      <c r="BA7393" s="4"/>
      <c r="BB7393" s="4"/>
    </row>
    <row r="7394" spans="1:54" x14ac:dyDescent="0.3">
      <c r="A7394" s="66"/>
      <c r="B7394" s="67"/>
      <c r="C7394" s="66"/>
      <c r="D7394" s="68"/>
      <c r="E7394" s="10"/>
      <c r="F7394" s="69"/>
      <c r="G7394" s="68"/>
      <c r="H7394" s="70"/>
      <c r="BA7394" s="4"/>
      <c r="BB7394" s="4"/>
    </row>
    <row r="7395" spans="1:54" x14ac:dyDescent="0.3">
      <c r="A7395" s="66"/>
      <c r="B7395" s="67"/>
      <c r="C7395" s="66"/>
      <c r="D7395" s="68"/>
      <c r="E7395" s="10"/>
      <c r="F7395" s="69"/>
      <c r="G7395" s="68"/>
      <c r="H7395" s="70"/>
      <c r="BA7395" s="4"/>
      <c r="BB7395" s="4"/>
    </row>
    <row r="7396" spans="1:54" x14ac:dyDescent="0.3">
      <c r="A7396" s="66"/>
      <c r="B7396" s="67"/>
      <c r="C7396" s="66"/>
      <c r="D7396" s="68"/>
      <c r="E7396" s="10"/>
      <c r="F7396" s="69"/>
      <c r="G7396" s="68"/>
      <c r="H7396" s="70"/>
      <c r="BA7396" s="4"/>
      <c r="BB7396" s="4"/>
    </row>
    <row r="7397" spans="1:54" x14ac:dyDescent="0.3">
      <c r="A7397" s="66"/>
      <c r="B7397" s="67"/>
      <c r="C7397" s="66"/>
      <c r="D7397" s="68"/>
      <c r="E7397" s="10"/>
      <c r="F7397" s="69"/>
      <c r="G7397" s="68"/>
      <c r="H7397" s="70"/>
      <c r="BA7397" s="4"/>
      <c r="BB7397" s="4"/>
    </row>
    <row r="7398" spans="1:54" x14ac:dyDescent="0.3">
      <c r="A7398" s="66"/>
      <c r="B7398" s="67"/>
      <c r="C7398" s="66"/>
      <c r="D7398" s="68"/>
      <c r="E7398" s="10"/>
      <c r="F7398" s="69"/>
      <c r="G7398" s="68"/>
      <c r="H7398" s="70"/>
      <c r="BA7398" s="4"/>
      <c r="BB7398" s="4"/>
    </row>
    <row r="7399" spans="1:54" x14ac:dyDescent="0.3">
      <c r="A7399" s="66"/>
      <c r="B7399" s="67"/>
      <c r="C7399" s="66"/>
      <c r="D7399" s="68"/>
      <c r="E7399" s="10"/>
      <c r="F7399" s="69"/>
      <c r="G7399" s="68"/>
      <c r="H7399" s="70"/>
      <c r="BA7399" s="4"/>
      <c r="BB7399" s="4"/>
    </row>
    <row r="7400" spans="1:54" x14ac:dyDescent="0.3">
      <c r="A7400" s="66"/>
      <c r="B7400" s="67"/>
      <c r="C7400" s="66"/>
      <c r="D7400" s="68"/>
      <c r="E7400" s="10"/>
      <c r="F7400" s="69"/>
      <c r="G7400" s="68"/>
      <c r="H7400" s="70"/>
      <c r="BA7400" s="4"/>
      <c r="BB7400" s="4"/>
    </row>
    <row r="7401" spans="1:54" x14ac:dyDescent="0.3">
      <c r="A7401" s="66"/>
      <c r="B7401" s="67"/>
      <c r="C7401" s="66"/>
      <c r="D7401" s="68"/>
      <c r="E7401" s="10"/>
      <c r="F7401" s="69"/>
      <c r="G7401" s="68"/>
      <c r="H7401" s="70"/>
      <c r="BA7401" s="4"/>
      <c r="BB7401" s="4"/>
    </row>
    <row r="7402" spans="1:54" x14ac:dyDescent="0.3">
      <c r="A7402" s="66"/>
      <c r="B7402" s="67"/>
      <c r="C7402" s="66"/>
      <c r="D7402" s="68"/>
      <c r="E7402" s="10"/>
      <c r="F7402" s="69"/>
      <c r="G7402" s="68"/>
      <c r="H7402" s="70"/>
      <c r="BA7402" s="4"/>
      <c r="BB7402" s="4"/>
    </row>
    <row r="7403" spans="1:54" x14ac:dyDescent="0.3">
      <c r="A7403" s="66"/>
      <c r="B7403" s="67"/>
      <c r="C7403" s="66"/>
      <c r="D7403" s="68"/>
      <c r="E7403" s="10"/>
      <c r="F7403" s="69"/>
      <c r="G7403" s="68"/>
      <c r="H7403" s="70"/>
      <c r="BA7403" s="4"/>
      <c r="BB7403" s="4"/>
    </row>
    <row r="7404" spans="1:54" x14ac:dyDescent="0.3">
      <c r="A7404" s="66"/>
      <c r="B7404" s="67"/>
      <c r="C7404" s="66"/>
      <c r="D7404" s="68"/>
      <c r="E7404" s="10"/>
      <c r="F7404" s="69"/>
      <c r="G7404" s="68"/>
      <c r="H7404" s="70"/>
      <c r="BA7404" s="4"/>
      <c r="BB7404" s="4"/>
    </row>
    <row r="7405" spans="1:54" x14ac:dyDescent="0.3">
      <c r="A7405" s="66"/>
      <c r="B7405" s="67"/>
      <c r="C7405" s="66"/>
      <c r="D7405" s="68"/>
      <c r="E7405" s="10"/>
      <c r="F7405" s="69"/>
      <c r="G7405" s="68"/>
      <c r="H7405" s="70"/>
      <c r="BA7405" s="4"/>
      <c r="BB7405" s="4"/>
    </row>
    <row r="7406" spans="1:54" x14ac:dyDescent="0.3">
      <c r="A7406" s="66"/>
      <c r="B7406" s="67"/>
      <c r="C7406" s="66"/>
      <c r="D7406" s="68"/>
      <c r="E7406" s="10"/>
      <c r="F7406" s="69"/>
      <c r="G7406" s="68"/>
      <c r="H7406" s="70"/>
      <c r="BA7406" s="4"/>
      <c r="BB7406" s="4"/>
    </row>
    <row r="7407" spans="1:54" x14ac:dyDescent="0.3">
      <c r="A7407" s="66"/>
      <c r="B7407" s="67"/>
      <c r="C7407" s="66"/>
      <c r="D7407" s="68"/>
      <c r="E7407" s="10"/>
      <c r="F7407" s="69"/>
      <c r="G7407" s="68"/>
      <c r="H7407" s="70"/>
      <c r="BA7407" s="4"/>
      <c r="BB7407" s="4"/>
    </row>
    <row r="7408" spans="1:54" x14ac:dyDescent="0.3">
      <c r="A7408" s="66"/>
      <c r="B7408" s="67"/>
      <c r="C7408" s="66"/>
      <c r="D7408" s="68"/>
      <c r="E7408" s="10"/>
      <c r="F7408" s="69"/>
      <c r="G7408" s="68"/>
      <c r="H7408" s="70"/>
      <c r="BA7408" s="4"/>
      <c r="BB7408" s="4"/>
    </row>
    <row r="7409" spans="1:54" x14ac:dyDescent="0.3">
      <c r="A7409" s="66"/>
      <c r="B7409" s="67"/>
      <c r="C7409" s="66"/>
      <c r="D7409" s="68"/>
      <c r="E7409" s="10"/>
      <c r="F7409" s="69"/>
      <c r="G7409" s="68"/>
      <c r="H7409" s="70"/>
      <c r="BA7409" s="4"/>
      <c r="BB7409" s="4"/>
    </row>
    <row r="7410" spans="1:54" x14ac:dyDescent="0.3">
      <c r="A7410" s="66"/>
      <c r="B7410" s="67"/>
      <c r="C7410" s="66"/>
      <c r="D7410" s="68"/>
      <c r="E7410" s="10"/>
      <c r="F7410" s="69"/>
      <c r="G7410" s="68"/>
      <c r="H7410" s="70"/>
      <c r="BA7410" s="4"/>
      <c r="BB7410" s="4"/>
    </row>
    <row r="7411" spans="1:54" x14ac:dyDescent="0.3">
      <c r="A7411" s="66"/>
      <c r="B7411" s="67"/>
      <c r="C7411" s="66"/>
      <c r="D7411" s="68"/>
      <c r="E7411" s="10"/>
      <c r="F7411" s="69"/>
      <c r="G7411" s="68"/>
      <c r="H7411" s="70"/>
      <c r="BA7411" s="4"/>
      <c r="BB7411" s="4"/>
    </row>
    <row r="7412" spans="1:54" x14ac:dyDescent="0.3">
      <c r="A7412" s="66"/>
      <c r="B7412" s="67"/>
      <c r="C7412" s="66"/>
      <c r="D7412" s="68"/>
      <c r="E7412" s="10"/>
      <c r="F7412" s="69"/>
      <c r="G7412" s="68"/>
      <c r="H7412" s="70"/>
      <c r="BA7412" s="4"/>
      <c r="BB7412" s="4"/>
    </row>
    <row r="7413" spans="1:54" x14ac:dyDescent="0.3">
      <c r="A7413" s="66"/>
      <c r="B7413" s="67"/>
      <c r="C7413" s="66"/>
      <c r="D7413" s="68"/>
      <c r="E7413" s="10"/>
      <c r="F7413" s="69"/>
      <c r="G7413" s="68"/>
      <c r="H7413" s="70"/>
      <c r="BA7413" s="4"/>
      <c r="BB7413" s="4"/>
    </row>
    <row r="7414" spans="1:54" x14ac:dyDescent="0.3">
      <c r="A7414" s="66"/>
      <c r="B7414" s="67"/>
      <c r="C7414" s="66"/>
      <c r="D7414" s="68"/>
      <c r="E7414" s="10"/>
      <c r="F7414" s="69"/>
      <c r="G7414" s="68"/>
      <c r="H7414" s="70"/>
      <c r="BA7414" s="4"/>
      <c r="BB7414" s="4"/>
    </row>
    <row r="7415" spans="1:54" x14ac:dyDescent="0.3">
      <c r="A7415" s="66"/>
      <c r="B7415" s="67"/>
      <c r="C7415" s="66"/>
      <c r="D7415" s="68"/>
      <c r="E7415" s="10"/>
      <c r="F7415" s="69"/>
      <c r="G7415" s="68"/>
      <c r="H7415" s="70"/>
      <c r="BA7415" s="4"/>
      <c r="BB7415" s="4"/>
    </row>
    <row r="7416" spans="1:54" x14ac:dyDescent="0.3">
      <c r="A7416" s="66"/>
      <c r="B7416" s="67"/>
      <c r="C7416" s="66"/>
      <c r="D7416" s="68"/>
      <c r="E7416" s="10"/>
      <c r="F7416" s="69"/>
      <c r="G7416" s="68"/>
      <c r="H7416" s="70"/>
      <c r="BA7416" s="4"/>
      <c r="BB7416" s="4"/>
    </row>
    <row r="7417" spans="1:54" x14ac:dyDescent="0.3">
      <c r="A7417" s="66"/>
      <c r="B7417" s="67"/>
      <c r="C7417" s="66"/>
      <c r="D7417" s="68"/>
      <c r="E7417" s="10"/>
      <c r="F7417" s="69"/>
      <c r="G7417" s="68"/>
      <c r="H7417" s="70"/>
      <c r="BA7417" s="4"/>
      <c r="BB7417" s="4"/>
    </row>
    <row r="7418" spans="1:54" x14ac:dyDescent="0.3">
      <c r="A7418" s="66"/>
      <c r="B7418" s="67"/>
      <c r="C7418" s="66"/>
      <c r="D7418" s="68"/>
      <c r="E7418" s="10"/>
      <c r="F7418" s="69"/>
      <c r="G7418" s="68"/>
      <c r="H7418" s="70"/>
      <c r="BA7418" s="4"/>
      <c r="BB7418" s="4"/>
    </row>
    <row r="7419" spans="1:54" x14ac:dyDescent="0.3">
      <c r="A7419" s="66"/>
      <c r="B7419" s="67"/>
      <c r="C7419" s="66"/>
      <c r="D7419" s="68"/>
      <c r="E7419" s="10"/>
      <c r="F7419" s="69"/>
      <c r="G7419" s="68"/>
      <c r="H7419" s="70"/>
      <c r="BA7419" s="4"/>
      <c r="BB7419" s="4"/>
    </row>
    <row r="7420" spans="1:54" x14ac:dyDescent="0.3">
      <c r="A7420" s="66"/>
      <c r="B7420" s="67"/>
      <c r="C7420" s="66"/>
      <c r="D7420" s="68"/>
      <c r="E7420" s="10"/>
      <c r="F7420" s="69"/>
      <c r="G7420" s="68"/>
      <c r="H7420" s="70"/>
      <c r="BA7420" s="4"/>
      <c r="BB7420" s="4"/>
    </row>
    <row r="7421" spans="1:54" x14ac:dyDescent="0.3">
      <c r="A7421" s="66"/>
      <c r="B7421" s="67"/>
      <c r="C7421" s="66"/>
      <c r="D7421" s="68"/>
      <c r="E7421" s="10"/>
      <c r="F7421" s="69"/>
      <c r="G7421" s="68"/>
      <c r="H7421" s="70"/>
      <c r="BA7421" s="4"/>
      <c r="BB7421" s="4"/>
    </row>
    <row r="7422" spans="1:54" x14ac:dyDescent="0.3">
      <c r="A7422" s="66"/>
      <c r="B7422" s="67"/>
      <c r="C7422" s="66"/>
      <c r="D7422" s="68"/>
      <c r="E7422" s="10"/>
      <c r="F7422" s="69"/>
      <c r="G7422" s="68"/>
      <c r="H7422" s="70"/>
      <c r="BA7422" s="4"/>
      <c r="BB7422" s="4"/>
    </row>
    <row r="7423" spans="1:54" x14ac:dyDescent="0.3">
      <c r="A7423" s="66"/>
      <c r="B7423" s="67"/>
      <c r="C7423" s="66"/>
      <c r="D7423" s="68"/>
      <c r="E7423" s="10"/>
      <c r="F7423" s="69"/>
      <c r="G7423" s="68"/>
      <c r="H7423" s="70"/>
      <c r="BA7423" s="4"/>
      <c r="BB7423" s="4"/>
    </row>
    <row r="7424" spans="1:54" x14ac:dyDescent="0.3">
      <c r="A7424" s="66"/>
      <c r="B7424" s="67"/>
      <c r="C7424" s="66"/>
      <c r="D7424" s="68"/>
      <c r="E7424" s="10"/>
      <c r="F7424" s="69"/>
      <c r="G7424" s="68"/>
      <c r="H7424" s="70"/>
      <c r="BA7424" s="4"/>
      <c r="BB7424" s="4"/>
    </row>
    <row r="7425" spans="1:54" x14ac:dyDescent="0.3">
      <c r="A7425" s="66"/>
      <c r="B7425" s="67"/>
      <c r="C7425" s="66"/>
      <c r="D7425" s="68"/>
      <c r="E7425" s="10"/>
      <c r="F7425" s="69"/>
      <c r="G7425" s="68"/>
      <c r="H7425" s="70"/>
      <c r="BA7425" s="4"/>
      <c r="BB7425" s="4"/>
    </row>
    <row r="7426" spans="1:54" x14ac:dyDescent="0.3">
      <c r="A7426" s="66"/>
      <c r="B7426" s="67"/>
      <c r="C7426" s="66"/>
      <c r="D7426" s="68"/>
      <c r="E7426" s="10"/>
      <c r="F7426" s="69"/>
      <c r="G7426" s="68"/>
      <c r="H7426" s="70"/>
      <c r="BA7426" s="4"/>
      <c r="BB7426" s="4"/>
    </row>
    <row r="7427" spans="1:54" x14ac:dyDescent="0.3">
      <c r="A7427" s="66"/>
      <c r="B7427" s="67"/>
      <c r="C7427" s="66"/>
      <c r="D7427" s="68"/>
      <c r="E7427" s="10"/>
      <c r="F7427" s="69"/>
      <c r="G7427" s="68"/>
      <c r="H7427" s="70"/>
      <c r="BA7427" s="4"/>
      <c r="BB7427" s="4"/>
    </row>
    <row r="7428" spans="1:54" x14ac:dyDescent="0.3">
      <c r="A7428" s="66"/>
      <c r="B7428" s="67"/>
      <c r="C7428" s="66"/>
      <c r="D7428" s="68"/>
      <c r="E7428" s="10"/>
      <c r="F7428" s="69"/>
      <c r="G7428" s="68"/>
      <c r="H7428" s="70"/>
      <c r="BA7428" s="4"/>
      <c r="BB7428" s="4"/>
    </row>
    <row r="7429" spans="1:54" x14ac:dyDescent="0.3">
      <c r="A7429" s="66"/>
      <c r="B7429" s="67"/>
      <c r="C7429" s="66"/>
      <c r="D7429" s="68"/>
      <c r="E7429" s="10"/>
      <c r="F7429" s="69"/>
      <c r="G7429" s="68"/>
      <c r="H7429" s="70"/>
      <c r="BA7429" s="4"/>
      <c r="BB7429" s="4"/>
    </row>
    <row r="7430" spans="1:54" x14ac:dyDescent="0.3">
      <c r="A7430" s="66"/>
      <c r="B7430" s="67"/>
      <c r="C7430" s="66"/>
      <c r="D7430" s="68"/>
      <c r="E7430" s="10"/>
      <c r="F7430" s="69"/>
      <c r="G7430" s="68"/>
      <c r="H7430" s="70"/>
      <c r="BA7430" s="4"/>
      <c r="BB7430" s="4"/>
    </row>
    <row r="7431" spans="1:54" x14ac:dyDescent="0.3">
      <c r="A7431" s="66"/>
      <c r="B7431" s="67"/>
      <c r="C7431" s="66"/>
      <c r="D7431" s="68"/>
      <c r="E7431" s="10"/>
      <c r="F7431" s="69"/>
      <c r="G7431" s="68"/>
      <c r="H7431" s="70"/>
      <c r="BA7431" s="4"/>
      <c r="BB7431" s="4"/>
    </row>
    <row r="7432" spans="1:54" x14ac:dyDescent="0.3">
      <c r="A7432" s="66"/>
      <c r="B7432" s="67"/>
      <c r="C7432" s="66"/>
      <c r="D7432" s="68"/>
      <c r="E7432" s="10"/>
      <c r="F7432" s="69"/>
      <c r="G7432" s="68"/>
      <c r="H7432" s="70"/>
      <c r="BA7432" s="4"/>
      <c r="BB7432" s="4"/>
    </row>
    <row r="7433" spans="1:54" x14ac:dyDescent="0.3">
      <c r="A7433" s="66"/>
      <c r="B7433" s="67"/>
      <c r="C7433" s="66"/>
      <c r="D7433" s="68"/>
      <c r="E7433" s="10"/>
      <c r="F7433" s="69"/>
      <c r="G7433" s="68"/>
      <c r="H7433" s="70"/>
      <c r="BA7433" s="4"/>
      <c r="BB7433" s="4"/>
    </row>
    <row r="7434" spans="1:54" x14ac:dyDescent="0.3">
      <c r="A7434" s="66"/>
      <c r="B7434" s="67"/>
      <c r="C7434" s="66"/>
      <c r="D7434" s="68"/>
      <c r="E7434" s="10"/>
      <c r="F7434" s="69"/>
      <c r="G7434" s="68"/>
      <c r="H7434" s="70"/>
      <c r="BA7434" s="4"/>
      <c r="BB7434" s="4"/>
    </row>
    <row r="7435" spans="1:54" x14ac:dyDescent="0.3">
      <c r="A7435" s="66"/>
      <c r="B7435" s="67"/>
      <c r="C7435" s="66"/>
      <c r="D7435" s="68"/>
      <c r="E7435" s="10"/>
      <c r="F7435" s="69"/>
      <c r="G7435" s="68"/>
      <c r="H7435" s="70"/>
      <c r="BA7435" s="4"/>
      <c r="BB7435" s="4"/>
    </row>
    <row r="7436" spans="1:54" x14ac:dyDescent="0.3">
      <c r="A7436" s="66"/>
      <c r="B7436" s="67"/>
      <c r="C7436" s="66"/>
      <c r="D7436" s="68"/>
      <c r="E7436" s="10"/>
      <c r="F7436" s="69"/>
      <c r="G7436" s="68"/>
      <c r="H7436" s="70"/>
      <c r="BA7436" s="4"/>
      <c r="BB7436" s="4"/>
    </row>
    <row r="7437" spans="1:54" x14ac:dyDescent="0.3">
      <c r="A7437" s="66"/>
      <c r="B7437" s="67"/>
      <c r="C7437" s="66"/>
      <c r="D7437" s="68"/>
      <c r="E7437" s="10"/>
      <c r="F7437" s="69"/>
      <c r="G7437" s="68"/>
      <c r="H7437" s="70"/>
      <c r="BA7437" s="4"/>
      <c r="BB7437" s="4"/>
    </row>
    <row r="7438" spans="1:54" x14ac:dyDescent="0.3">
      <c r="A7438" s="66"/>
      <c r="B7438" s="67"/>
      <c r="C7438" s="66"/>
      <c r="D7438" s="68"/>
      <c r="E7438" s="10"/>
      <c r="F7438" s="69"/>
      <c r="G7438" s="68"/>
      <c r="H7438" s="70"/>
      <c r="BA7438" s="4"/>
      <c r="BB7438" s="4"/>
    </row>
    <row r="7439" spans="1:54" x14ac:dyDescent="0.3">
      <c r="A7439" s="66"/>
      <c r="B7439" s="67"/>
      <c r="C7439" s="66"/>
      <c r="D7439" s="68"/>
      <c r="E7439" s="10"/>
      <c r="F7439" s="69"/>
      <c r="G7439" s="68"/>
      <c r="H7439" s="70"/>
      <c r="BA7439" s="4"/>
      <c r="BB7439" s="4"/>
    </row>
    <row r="7440" spans="1:54" x14ac:dyDescent="0.3">
      <c r="A7440" s="66"/>
      <c r="B7440" s="67"/>
      <c r="C7440" s="66"/>
      <c r="D7440" s="68"/>
      <c r="E7440" s="10"/>
      <c r="F7440" s="69"/>
      <c r="G7440" s="68"/>
      <c r="H7440" s="70"/>
      <c r="BA7440" s="4"/>
      <c r="BB7440" s="4"/>
    </row>
    <row r="7441" spans="1:54" x14ac:dyDescent="0.3">
      <c r="A7441" s="66"/>
      <c r="B7441" s="67"/>
      <c r="C7441" s="66"/>
      <c r="D7441" s="68"/>
      <c r="E7441" s="10"/>
      <c r="F7441" s="69"/>
      <c r="G7441" s="68"/>
      <c r="H7441" s="70"/>
      <c r="BA7441" s="4"/>
      <c r="BB7441" s="4"/>
    </row>
    <row r="7442" spans="1:54" x14ac:dyDescent="0.3">
      <c r="A7442" s="66"/>
      <c r="B7442" s="67"/>
      <c r="C7442" s="66"/>
      <c r="D7442" s="68"/>
      <c r="E7442" s="10"/>
      <c r="F7442" s="69"/>
      <c r="G7442" s="68"/>
      <c r="H7442" s="70"/>
      <c r="BA7442" s="4"/>
      <c r="BB7442" s="4"/>
    </row>
    <row r="7443" spans="1:54" x14ac:dyDescent="0.3">
      <c r="A7443" s="66"/>
      <c r="B7443" s="67"/>
      <c r="C7443" s="66"/>
      <c r="D7443" s="68"/>
      <c r="E7443" s="10"/>
      <c r="F7443" s="69"/>
      <c r="G7443" s="68"/>
      <c r="H7443" s="70"/>
      <c r="BA7443" s="4"/>
      <c r="BB7443" s="4"/>
    </row>
    <row r="7444" spans="1:54" x14ac:dyDescent="0.3">
      <c r="A7444" s="66"/>
      <c r="B7444" s="67"/>
      <c r="C7444" s="66"/>
      <c r="D7444" s="68"/>
      <c r="E7444" s="10"/>
      <c r="F7444" s="69"/>
      <c r="G7444" s="68"/>
      <c r="H7444" s="70"/>
      <c r="BA7444" s="4"/>
      <c r="BB7444" s="4"/>
    </row>
    <row r="7445" spans="1:54" x14ac:dyDescent="0.3">
      <c r="A7445" s="66"/>
      <c r="B7445" s="67"/>
      <c r="C7445" s="66"/>
      <c r="D7445" s="68"/>
      <c r="E7445" s="10"/>
      <c r="F7445" s="69"/>
      <c r="G7445" s="68"/>
      <c r="H7445" s="70"/>
      <c r="BA7445" s="4"/>
      <c r="BB7445" s="4"/>
    </row>
    <row r="7446" spans="1:54" x14ac:dyDescent="0.3">
      <c r="A7446" s="66"/>
      <c r="B7446" s="67"/>
      <c r="C7446" s="66"/>
      <c r="D7446" s="68"/>
      <c r="E7446" s="10"/>
      <c r="F7446" s="69"/>
      <c r="G7446" s="68"/>
      <c r="H7446" s="70"/>
      <c r="BA7446" s="4"/>
      <c r="BB7446" s="4"/>
    </row>
    <row r="7447" spans="1:54" x14ac:dyDescent="0.3">
      <c r="A7447" s="66"/>
      <c r="B7447" s="67"/>
      <c r="C7447" s="66"/>
      <c r="D7447" s="68"/>
      <c r="E7447" s="10"/>
      <c r="F7447" s="69"/>
      <c r="G7447" s="68"/>
      <c r="H7447" s="70"/>
      <c r="BA7447" s="4"/>
      <c r="BB7447" s="4"/>
    </row>
    <row r="7448" spans="1:54" x14ac:dyDescent="0.3">
      <c r="A7448" s="66"/>
      <c r="B7448" s="67"/>
      <c r="C7448" s="66"/>
      <c r="D7448" s="68"/>
      <c r="E7448" s="10"/>
      <c r="F7448" s="69"/>
      <c r="G7448" s="68"/>
      <c r="H7448" s="70"/>
      <c r="BA7448" s="4"/>
      <c r="BB7448" s="4"/>
    </row>
    <row r="7449" spans="1:54" x14ac:dyDescent="0.3">
      <c r="A7449" s="66"/>
      <c r="B7449" s="67"/>
      <c r="C7449" s="66"/>
      <c r="D7449" s="68"/>
      <c r="E7449" s="10"/>
      <c r="F7449" s="69"/>
      <c r="G7449" s="68"/>
      <c r="H7449" s="70"/>
      <c r="BA7449" s="4"/>
      <c r="BB7449" s="4"/>
    </row>
    <row r="7450" spans="1:54" x14ac:dyDescent="0.3">
      <c r="A7450" s="66"/>
      <c r="B7450" s="67"/>
      <c r="C7450" s="66"/>
      <c r="D7450" s="68"/>
      <c r="E7450" s="10"/>
      <c r="F7450" s="69"/>
      <c r="G7450" s="68"/>
      <c r="H7450" s="70"/>
      <c r="BA7450" s="4"/>
      <c r="BB7450" s="4"/>
    </row>
    <row r="7451" spans="1:54" x14ac:dyDescent="0.3">
      <c r="A7451" s="66"/>
      <c r="B7451" s="67"/>
      <c r="C7451" s="66"/>
      <c r="D7451" s="68"/>
      <c r="E7451" s="10"/>
      <c r="F7451" s="69"/>
      <c r="G7451" s="68"/>
      <c r="H7451" s="70"/>
      <c r="BA7451" s="4"/>
      <c r="BB7451" s="4"/>
    </row>
    <row r="7452" spans="1:54" x14ac:dyDescent="0.3">
      <c r="A7452" s="66"/>
      <c r="B7452" s="67"/>
      <c r="C7452" s="66"/>
      <c r="D7452" s="68"/>
      <c r="E7452" s="10"/>
      <c r="F7452" s="69"/>
      <c r="G7452" s="68"/>
      <c r="H7452" s="70"/>
      <c r="BA7452" s="4"/>
      <c r="BB7452" s="4"/>
    </row>
    <row r="7453" spans="1:54" x14ac:dyDescent="0.3">
      <c r="A7453" s="66"/>
      <c r="B7453" s="67"/>
      <c r="C7453" s="66"/>
      <c r="D7453" s="68"/>
      <c r="E7453" s="10"/>
      <c r="F7453" s="69"/>
      <c r="G7453" s="68"/>
      <c r="H7453" s="70"/>
      <c r="BA7453" s="4"/>
      <c r="BB7453" s="4"/>
    </row>
    <row r="7454" spans="1:54" x14ac:dyDescent="0.3">
      <c r="A7454" s="66"/>
      <c r="B7454" s="67"/>
      <c r="C7454" s="66"/>
      <c r="D7454" s="68"/>
      <c r="E7454" s="10"/>
      <c r="F7454" s="69"/>
      <c r="G7454" s="68"/>
      <c r="H7454" s="70"/>
      <c r="BA7454" s="4"/>
      <c r="BB7454" s="4"/>
    </row>
    <row r="7455" spans="1:54" x14ac:dyDescent="0.3">
      <c r="A7455" s="66"/>
      <c r="B7455" s="67"/>
      <c r="C7455" s="66"/>
      <c r="D7455" s="68"/>
      <c r="E7455" s="10"/>
      <c r="F7455" s="69"/>
      <c r="G7455" s="68"/>
      <c r="H7455" s="70"/>
      <c r="BA7455" s="4"/>
      <c r="BB7455" s="4"/>
    </row>
    <row r="7456" spans="1:54" x14ac:dyDescent="0.3">
      <c r="A7456" s="66"/>
      <c r="B7456" s="67"/>
      <c r="C7456" s="66"/>
      <c r="D7456" s="68"/>
      <c r="E7456" s="10"/>
      <c r="F7456" s="69"/>
      <c r="G7456" s="68"/>
      <c r="H7456" s="70"/>
      <c r="BA7456" s="4"/>
      <c r="BB7456" s="4"/>
    </row>
    <row r="7457" spans="1:54" x14ac:dyDescent="0.3">
      <c r="A7457" s="66"/>
      <c r="B7457" s="67"/>
      <c r="C7457" s="66"/>
      <c r="D7457" s="68"/>
      <c r="E7457" s="10"/>
      <c r="F7457" s="69"/>
      <c r="G7457" s="68"/>
      <c r="H7457" s="70"/>
      <c r="BA7457" s="4"/>
      <c r="BB7457" s="4"/>
    </row>
    <row r="7458" spans="1:54" x14ac:dyDescent="0.3">
      <c r="A7458" s="66"/>
      <c r="B7458" s="67"/>
      <c r="C7458" s="66"/>
      <c r="D7458" s="68"/>
      <c r="E7458" s="10"/>
      <c r="F7458" s="69"/>
      <c r="G7458" s="68"/>
      <c r="H7458" s="70"/>
      <c r="BA7458" s="4"/>
      <c r="BB7458" s="4"/>
    </row>
    <row r="7459" spans="1:54" x14ac:dyDescent="0.3">
      <c r="A7459" s="66"/>
      <c r="B7459" s="67"/>
      <c r="C7459" s="66"/>
      <c r="D7459" s="68"/>
      <c r="E7459" s="10"/>
      <c r="F7459" s="69"/>
      <c r="G7459" s="68"/>
      <c r="H7459" s="70"/>
      <c r="BA7459" s="4"/>
      <c r="BB7459" s="4"/>
    </row>
    <row r="7460" spans="1:54" x14ac:dyDescent="0.3">
      <c r="A7460" s="66"/>
      <c r="B7460" s="67"/>
      <c r="C7460" s="66"/>
      <c r="D7460" s="68"/>
      <c r="E7460" s="10"/>
      <c r="F7460" s="69"/>
      <c r="G7460" s="68"/>
      <c r="H7460" s="70"/>
      <c r="BA7460" s="4"/>
      <c r="BB7460" s="4"/>
    </row>
    <row r="7461" spans="1:54" x14ac:dyDescent="0.3">
      <c r="A7461" s="66"/>
      <c r="B7461" s="67"/>
      <c r="C7461" s="66"/>
      <c r="D7461" s="68"/>
      <c r="E7461" s="10"/>
      <c r="F7461" s="69"/>
      <c r="G7461" s="68"/>
      <c r="H7461" s="70"/>
      <c r="BA7461" s="4"/>
      <c r="BB7461" s="4"/>
    </row>
    <row r="7462" spans="1:54" x14ac:dyDescent="0.3">
      <c r="A7462" s="66"/>
      <c r="B7462" s="67"/>
      <c r="C7462" s="66"/>
      <c r="D7462" s="68"/>
      <c r="E7462" s="10"/>
      <c r="F7462" s="69"/>
      <c r="G7462" s="68"/>
      <c r="H7462" s="70"/>
      <c r="BA7462" s="4"/>
      <c r="BB7462" s="4"/>
    </row>
    <row r="7463" spans="1:54" x14ac:dyDescent="0.3">
      <c r="A7463" s="66"/>
      <c r="B7463" s="67"/>
      <c r="C7463" s="66"/>
      <c r="D7463" s="68"/>
      <c r="E7463" s="10"/>
      <c r="F7463" s="69"/>
      <c r="G7463" s="68"/>
      <c r="H7463" s="70"/>
      <c r="BA7463" s="4"/>
      <c r="BB7463" s="4"/>
    </row>
    <row r="7464" spans="1:54" x14ac:dyDescent="0.3">
      <c r="A7464" s="66"/>
      <c r="B7464" s="67"/>
      <c r="C7464" s="66"/>
      <c r="D7464" s="68"/>
      <c r="E7464" s="10"/>
      <c r="F7464" s="69"/>
      <c r="G7464" s="68"/>
      <c r="H7464" s="70"/>
      <c r="BA7464" s="4"/>
      <c r="BB7464" s="4"/>
    </row>
    <row r="7465" spans="1:54" x14ac:dyDescent="0.3">
      <c r="A7465" s="66"/>
      <c r="B7465" s="67"/>
      <c r="C7465" s="66"/>
      <c r="D7465" s="68"/>
      <c r="E7465" s="10"/>
      <c r="F7465" s="69"/>
      <c r="G7465" s="68"/>
      <c r="H7465" s="70"/>
      <c r="BA7465" s="4"/>
      <c r="BB7465" s="4"/>
    </row>
    <row r="7466" spans="1:54" x14ac:dyDescent="0.3">
      <c r="A7466" s="66"/>
      <c r="B7466" s="67"/>
      <c r="C7466" s="66"/>
      <c r="D7466" s="68"/>
      <c r="E7466" s="10"/>
      <c r="F7466" s="69"/>
      <c r="G7466" s="68"/>
      <c r="H7466" s="70"/>
      <c r="BA7466" s="4"/>
      <c r="BB7466" s="4"/>
    </row>
    <row r="7467" spans="1:54" x14ac:dyDescent="0.3">
      <c r="A7467" s="66"/>
      <c r="B7467" s="67"/>
      <c r="C7467" s="66"/>
      <c r="D7467" s="68"/>
      <c r="E7467" s="10"/>
      <c r="F7467" s="69"/>
      <c r="G7467" s="68"/>
      <c r="H7467" s="70"/>
      <c r="BA7467" s="4"/>
      <c r="BB7467" s="4"/>
    </row>
    <row r="7468" spans="1:54" x14ac:dyDescent="0.3">
      <c r="A7468" s="66"/>
      <c r="B7468" s="67"/>
      <c r="C7468" s="66"/>
      <c r="D7468" s="68"/>
      <c r="E7468" s="10"/>
      <c r="F7468" s="69"/>
      <c r="G7468" s="68"/>
      <c r="H7468" s="70"/>
      <c r="BA7468" s="4"/>
      <c r="BB7468" s="4"/>
    </row>
    <row r="7469" spans="1:54" x14ac:dyDescent="0.3">
      <c r="A7469" s="66"/>
      <c r="B7469" s="67"/>
      <c r="C7469" s="66"/>
      <c r="D7469" s="68"/>
      <c r="E7469" s="10"/>
      <c r="F7469" s="69"/>
      <c r="G7469" s="68"/>
      <c r="H7469" s="70"/>
      <c r="BA7469" s="4"/>
      <c r="BB7469" s="4"/>
    </row>
    <row r="7470" spans="1:54" x14ac:dyDescent="0.3">
      <c r="A7470" s="66"/>
      <c r="B7470" s="67"/>
      <c r="C7470" s="66"/>
      <c r="D7470" s="68"/>
      <c r="E7470" s="10"/>
      <c r="F7470" s="69"/>
      <c r="G7470" s="68"/>
      <c r="H7470" s="70"/>
      <c r="BA7470" s="4"/>
      <c r="BB7470" s="4"/>
    </row>
    <row r="7471" spans="1:54" x14ac:dyDescent="0.3">
      <c r="A7471" s="66"/>
      <c r="B7471" s="67"/>
      <c r="C7471" s="66"/>
      <c r="D7471" s="68"/>
      <c r="E7471" s="10"/>
      <c r="F7471" s="69"/>
      <c r="G7471" s="68"/>
      <c r="H7471" s="70"/>
      <c r="BA7471" s="4"/>
      <c r="BB7471" s="4"/>
    </row>
    <row r="7472" spans="1:54" x14ac:dyDescent="0.3">
      <c r="A7472" s="66"/>
      <c r="B7472" s="67"/>
      <c r="C7472" s="66"/>
      <c r="D7472" s="68"/>
      <c r="E7472" s="10"/>
      <c r="F7472" s="69"/>
      <c r="G7472" s="68"/>
      <c r="H7472" s="70"/>
      <c r="BA7472" s="4"/>
      <c r="BB7472" s="4"/>
    </row>
    <row r="7473" spans="1:54" x14ac:dyDescent="0.3">
      <c r="A7473" s="66"/>
      <c r="B7473" s="67"/>
      <c r="C7473" s="66"/>
      <c r="D7473" s="68"/>
      <c r="E7473" s="10"/>
      <c r="F7473" s="69"/>
      <c r="G7473" s="68"/>
      <c r="H7473" s="70"/>
      <c r="BA7473" s="4"/>
      <c r="BB7473" s="4"/>
    </row>
    <row r="7474" spans="1:54" x14ac:dyDescent="0.3">
      <c r="A7474" s="66"/>
      <c r="B7474" s="67"/>
      <c r="C7474" s="66"/>
      <c r="D7474" s="68"/>
      <c r="E7474" s="10"/>
      <c r="F7474" s="69"/>
      <c r="G7474" s="68"/>
      <c r="H7474" s="70"/>
      <c r="BA7474" s="4"/>
      <c r="BB7474" s="4"/>
    </row>
    <row r="7475" spans="1:54" x14ac:dyDescent="0.3">
      <c r="A7475" s="66"/>
      <c r="B7475" s="67"/>
      <c r="C7475" s="66"/>
      <c r="D7475" s="68"/>
      <c r="E7475" s="10"/>
      <c r="F7475" s="69"/>
      <c r="G7475" s="68"/>
      <c r="H7475" s="70"/>
      <c r="BA7475" s="4"/>
      <c r="BB7475" s="4"/>
    </row>
    <row r="7476" spans="1:54" x14ac:dyDescent="0.3">
      <c r="A7476" s="66"/>
      <c r="B7476" s="67"/>
      <c r="C7476" s="66"/>
      <c r="D7476" s="68"/>
      <c r="E7476" s="10"/>
      <c r="F7476" s="69"/>
      <c r="G7476" s="68"/>
      <c r="H7476" s="70"/>
      <c r="BA7476" s="4"/>
      <c r="BB7476" s="4"/>
    </row>
    <row r="7477" spans="1:54" x14ac:dyDescent="0.3">
      <c r="A7477" s="66"/>
      <c r="B7477" s="67"/>
      <c r="C7477" s="66"/>
      <c r="D7477" s="68"/>
      <c r="E7477" s="10"/>
      <c r="F7477" s="69"/>
      <c r="G7477" s="68"/>
      <c r="H7477" s="70"/>
      <c r="BA7477" s="4"/>
      <c r="BB7477" s="4"/>
    </row>
    <row r="7478" spans="1:54" x14ac:dyDescent="0.3">
      <c r="A7478" s="66"/>
      <c r="B7478" s="67"/>
      <c r="C7478" s="66"/>
      <c r="D7478" s="68"/>
      <c r="E7478" s="10"/>
      <c r="F7478" s="69"/>
      <c r="G7478" s="68"/>
      <c r="H7478" s="70"/>
      <c r="BA7478" s="4"/>
      <c r="BB7478" s="4"/>
    </row>
    <row r="7479" spans="1:54" x14ac:dyDescent="0.3">
      <c r="A7479" s="66"/>
      <c r="B7479" s="67"/>
      <c r="C7479" s="66"/>
      <c r="D7479" s="68"/>
      <c r="E7479" s="10"/>
      <c r="F7479" s="69"/>
      <c r="G7479" s="68"/>
      <c r="H7479" s="70"/>
      <c r="BA7479" s="4"/>
      <c r="BB7479" s="4"/>
    </row>
    <row r="7480" spans="1:54" x14ac:dyDescent="0.3">
      <c r="A7480" s="66"/>
      <c r="B7480" s="67"/>
      <c r="C7480" s="66"/>
      <c r="D7480" s="68"/>
      <c r="E7480" s="10"/>
      <c r="F7480" s="69"/>
      <c r="G7480" s="68"/>
      <c r="H7480" s="70"/>
      <c r="BA7480" s="4"/>
      <c r="BB7480" s="4"/>
    </row>
    <row r="7481" spans="1:54" x14ac:dyDescent="0.3">
      <c r="A7481" s="66"/>
      <c r="B7481" s="67"/>
      <c r="C7481" s="66"/>
      <c r="D7481" s="68"/>
      <c r="E7481" s="10"/>
      <c r="F7481" s="69"/>
      <c r="G7481" s="68"/>
      <c r="H7481" s="70"/>
      <c r="BA7481" s="4"/>
      <c r="BB7481" s="4"/>
    </row>
    <row r="7482" spans="1:54" x14ac:dyDescent="0.3">
      <c r="A7482" s="66"/>
      <c r="B7482" s="67"/>
      <c r="C7482" s="66"/>
      <c r="D7482" s="68"/>
      <c r="E7482" s="10"/>
      <c r="F7482" s="69"/>
      <c r="G7482" s="68"/>
      <c r="H7482" s="70"/>
      <c r="BA7482" s="4"/>
      <c r="BB7482" s="4"/>
    </row>
    <row r="7483" spans="1:54" x14ac:dyDescent="0.3">
      <c r="A7483" s="66"/>
      <c r="B7483" s="67"/>
      <c r="C7483" s="66"/>
      <c r="D7483" s="68"/>
      <c r="E7483" s="10"/>
      <c r="F7483" s="69"/>
      <c r="G7483" s="68"/>
      <c r="H7483" s="70"/>
      <c r="BA7483" s="4"/>
      <c r="BB7483" s="4"/>
    </row>
    <row r="7484" spans="1:54" x14ac:dyDescent="0.3">
      <c r="A7484" s="66"/>
      <c r="B7484" s="67"/>
      <c r="C7484" s="66"/>
      <c r="D7484" s="68"/>
      <c r="E7484" s="10"/>
      <c r="F7484" s="69"/>
      <c r="G7484" s="68"/>
      <c r="H7484" s="70"/>
      <c r="BA7484" s="4"/>
      <c r="BB7484" s="4"/>
    </row>
    <row r="7485" spans="1:54" x14ac:dyDescent="0.3">
      <c r="A7485" s="66"/>
      <c r="B7485" s="67"/>
      <c r="C7485" s="66"/>
      <c r="D7485" s="68"/>
      <c r="E7485" s="10"/>
      <c r="F7485" s="69"/>
      <c r="G7485" s="68"/>
      <c r="H7485" s="70"/>
      <c r="BA7485" s="4"/>
      <c r="BB7485" s="4"/>
    </row>
    <row r="7486" spans="1:54" x14ac:dyDescent="0.3">
      <c r="A7486" s="66"/>
      <c r="B7486" s="67"/>
      <c r="C7486" s="66"/>
      <c r="D7486" s="68"/>
      <c r="E7486" s="10"/>
      <c r="F7486" s="69"/>
      <c r="G7486" s="68"/>
      <c r="H7486" s="70"/>
      <c r="BA7486" s="4"/>
      <c r="BB7486" s="4"/>
    </row>
    <row r="7487" spans="1:54" x14ac:dyDescent="0.3">
      <c r="A7487" s="66"/>
      <c r="B7487" s="67"/>
      <c r="C7487" s="66"/>
      <c r="D7487" s="68"/>
      <c r="E7487" s="10"/>
      <c r="F7487" s="69"/>
      <c r="G7487" s="68"/>
      <c r="H7487" s="70"/>
      <c r="BA7487" s="4"/>
      <c r="BB7487" s="4"/>
    </row>
    <row r="7488" spans="1:54" x14ac:dyDescent="0.3">
      <c r="A7488" s="66"/>
      <c r="B7488" s="67"/>
      <c r="C7488" s="66"/>
      <c r="D7488" s="68"/>
      <c r="E7488" s="10"/>
      <c r="F7488" s="69"/>
      <c r="G7488" s="68"/>
      <c r="H7488" s="70"/>
      <c r="BA7488" s="4"/>
      <c r="BB7488" s="4"/>
    </row>
    <row r="7489" spans="1:54" x14ac:dyDescent="0.3">
      <c r="A7489" s="66"/>
      <c r="B7489" s="67"/>
      <c r="C7489" s="66"/>
      <c r="D7489" s="68"/>
      <c r="E7489" s="10"/>
      <c r="F7489" s="69"/>
      <c r="G7489" s="68"/>
      <c r="H7489" s="70"/>
      <c r="BA7489" s="4"/>
      <c r="BB7489" s="4"/>
    </row>
    <row r="7490" spans="1:54" x14ac:dyDescent="0.3">
      <c r="A7490" s="66"/>
      <c r="B7490" s="67"/>
      <c r="C7490" s="66"/>
      <c r="D7490" s="68"/>
      <c r="E7490" s="10"/>
      <c r="F7490" s="69"/>
      <c r="G7490" s="68"/>
      <c r="H7490" s="70"/>
      <c r="BA7490" s="4"/>
      <c r="BB7490" s="4"/>
    </row>
    <row r="7491" spans="1:54" x14ac:dyDescent="0.3">
      <c r="A7491" s="66"/>
      <c r="B7491" s="67"/>
      <c r="C7491" s="66"/>
      <c r="D7491" s="68"/>
      <c r="E7491" s="10"/>
      <c r="F7491" s="69"/>
      <c r="G7491" s="68"/>
      <c r="H7491" s="70"/>
      <c r="BA7491" s="4"/>
      <c r="BB7491" s="4"/>
    </row>
    <row r="7492" spans="1:54" x14ac:dyDescent="0.3">
      <c r="A7492" s="66"/>
      <c r="B7492" s="67"/>
      <c r="C7492" s="66"/>
      <c r="D7492" s="68"/>
      <c r="E7492" s="10"/>
      <c r="F7492" s="69"/>
      <c r="G7492" s="68"/>
      <c r="H7492" s="70"/>
      <c r="BA7492" s="4"/>
      <c r="BB7492" s="4"/>
    </row>
    <row r="7493" spans="1:54" x14ac:dyDescent="0.3">
      <c r="A7493" s="66"/>
      <c r="B7493" s="67"/>
      <c r="C7493" s="66"/>
      <c r="D7493" s="68"/>
      <c r="E7493" s="10"/>
      <c r="F7493" s="69"/>
      <c r="G7493" s="68"/>
      <c r="H7493" s="70"/>
      <c r="BA7493" s="4"/>
      <c r="BB7493" s="4"/>
    </row>
    <row r="7494" spans="1:54" x14ac:dyDescent="0.3">
      <c r="A7494" s="66"/>
      <c r="B7494" s="67"/>
      <c r="C7494" s="66"/>
      <c r="D7494" s="68"/>
      <c r="E7494" s="10"/>
      <c r="F7494" s="69"/>
      <c r="G7494" s="68"/>
      <c r="H7494" s="70"/>
      <c r="BA7494" s="4"/>
      <c r="BB7494" s="4"/>
    </row>
    <row r="7495" spans="1:54" x14ac:dyDescent="0.3">
      <c r="A7495" s="66"/>
      <c r="B7495" s="67"/>
      <c r="C7495" s="66"/>
      <c r="D7495" s="68"/>
      <c r="E7495" s="10"/>
      <c r="F7495" s="69"/>
      <c r="G7495" s="68"/>
      <c r="H7495" s="70"/>
      <c r="BA7495" s="4"/>
      <c r="BB7495" s="4"/>
    </row>
    <row r="7496" spans="1:54" x14ac:dyDescent="0.3">
      <c r="A7496" s="66"/>
      <c r="B7496" s="67"/>
      <c r="C7496" s="66"/>
      <c r="D7496" s="68"/>
      <c r="E7496" s="10"/>
      <c r="F7496" s="69"/>
      <c r="G7496" s="68"/>
      <c r="H7496" s="70"/>
      <c r="BA7496" s="4"/>
      <c r="BB7496" s="4"/>
    </row>
    <row r="7497" spans="1:54" x14ac:dyDescent="0.3">
      <c r="A7497" s="66"/>
      <c r="B7497" s="67"/>
      <c r="C7497" s="66"/>
      <c r="D7497" s="68"/>
      <c r="E7497" s="10"/>
      <c r="F7497" s="69"/>
      <c r="G7497" s="68"/>
      <c r="H7497" s="70"/>
      <c r="BA7497" s="4"/>
      <c r="BB7497" s="4"/>
    </row>
    <row r="7498" spans="1:54" x14ac:dyDescent="0.3">
      <c r="A7498" s="66"/>
      <c r="B7498" s="67"/>
      <c r="C7498" s="66"/>
      <c r="D7498" s="68"/>
      <c r="E7498" s="10"/>
      <c r="F7498" s="69"/>
      <c r="G7498" s="68"/>
      <c r="H7498" s="70"/>
      <c r="BA7498" s="4"/>
      <c r="BB7498" s="4"/>
    </row>
    <row r="7499" spans="1:54" x14ac:dyDescent="0.3">
      <c r="A7499" s="66"/>
      <c r="B7499" s="67"/>
      <c r="C7499" s="66"/>
      <c r="D7499" s="68"/>
      <c r="E7499" s="10"/>
      <c r="F7499" s="69"/>
      <c r="G7499" s="68"/>
      <c r="H7499" s="70"/>
      <c r="BA7499" s="4"/>
      <c r="BB7499" s="4"/>
    </row>
    <row r="7500" spans="1:54" x14ac:dyDescent="0.3">
      <c r="A7500" s="66"/>
      <c r="B7500" s="67"/>
      <c r="C7500" s="66"/>
      <c r="D7500" s="68"/>
      <c r="E7500" s="10"/>
      <c r="F7500" s="69"/>
      <c r="G7500" s="68"/>
      <c r="H7500" s="70"/>
      <c r="BA7500" s="4"/>
      <c r="BB7500" s="4"/>
    </row>
    <row r="7501" spans="1:54" x14ac:dyDescent="0.3">
      <c r="A7501" s="66"/>
      <c r="B7501" s="67"/>
      <c r="C7501" s="66"/>
      <c r="D7501" s="68"/>
      <c r="E7501" s="10"/>
      <c r="F7501" s="69"/>
      <c r="G7501" s="68"/>
      <c r="H7501" s="70"/>
      <c r="BA7501" s="4"/>
      <c r="BB7501" s="4"/>
    </row>
    <row r="7502" spans="1:54" x14ac:dyDescent="0.3">
      <c r="A7502" s="66"/>
      <c r="B7502" s="67"/>
      <c r="C7502" s="66"/>
      <c r="D7502" s="68"/>
      <c r="E7502" s="10"/>
      <c r="F7502" s="69"/>
      <c r="G7502" s="68"/>
      <c r="H7502" s="70"/>
      <c r="BA7502" s="4"/>
      <c r="BB7502" s="4"/>
    </row>
    <row r="7503" spans="1:54" x14ac:dyDescent="0.3">
      <c r="A7503" s="66"/>
      <c r="B7503" s="67"/>
      <c r="C7503" s="66"/>
      <c r="D7503" s="68"/>
      <c r="E7503" s="10"/>
      <c r="F7503" s="69"/>
      <c r="G7503" s="68"/>
      <c r="H7503" s="70"/>
      <c r="BA7503" s="4"/>
      <c r="BB7503" s="4"/>
    </row>
    <row r="7504" spans="1:54" x14ac:dyDescent="0.3">
      <c r="A7504" s="66"/>
      <c r="B7504" s="67"/>
      <c r="C7504" s="66"/>
      <c r="D7504" s="68"/>
      <c r="E7504" s="10"/>
      <c r="F7504" s="69"/>
      <c r="G7504" s="68"/>
      <c r="H7504" s="70"/>
      <c r="BA7504" s="4"/>
      <c r="BB7504" s="4"/>
    </row>
    <row r="7505" spans="1:54" x14ac:dyDescent="0.3">
      <c r="A7505" s="66"/>
      <c r="B7505" s="67"/>
      <c r="C7505" s="66"/>
      <c r="D7505" s="68"/>
      <c r="E7505" s="10"/>
      <c r="F7505" s="69"/>
      <c r="G7505" s="68"/>
      <c r="H7505" s="70"/>
      <c r="BA7505" s="4"/>
      <c r="BB7505" s="4"/>
    </row>
    <row r="7506" spans="1:54" x14ac:dyDescent="0.3">
      <c r="A7506" s="66"/>
      <c r="B7506" s="67"/>
      <c r="C7506" s="66"/>
      <c r="D7506" s="68"/>
      <c r="E7506" s="10"/>
      <c r="F7506" s="69"/>
      <c r="G7506" s="68"/>
      <c r="H7506" s="70"/>
      <c r="BA7506" s="4"/>
      <c r="BB7506" s="4"/>
    </row>
    <row r="7507" spans="1:54" x14ac:dyDescent="0.3">
      <c r="A7507" s="66"/>
      <c r="B7507" s="67"/>
      <c r="C7507" s="66"/>
      <c r="D7507" s="68"/>
      <c r="E7507" s="10"/>
      <c r="F7507" s="69"/>
      <c r="G7507" s="68"/>
      <c r="H7507" s="70"/>
      <c r="BA7507" s="4"/>
      <c r="BB7507" s="4"/>
    </row>
    <row r="7508" spans="1:54" x14ac:dyDescent="0.3">
      <c r="A7508" s="66"/>
      <c r="B7508" s="67"/>
      <c r="C7508" s="66"/>
      <c r="D7508" s="68"/>
      <c r="E7508" s="10"/>
      <c r="F7508" s="69"/>
      <c r="G7508" s="68"/>
      <c r="H7508" s="70"/>
      <c r="BA7508" s="4"/>
      <c r="BB7508" s="4"/>
    </row>
    <row r="7509" spans="1:54" x14ac:dyDescent="0.3">
      <c r="A7509" s="66"/>
      <c r="B7509" s="67"/>
      <c r="C7509" s="66"/>
      <c r="D7509" s="68"/>
      <c r="E7509" s="10"/>
      <c r="F7509" s="69"/>
      <c r="G7509" s="68"/>
      <c r="H7509" s="70"/>
      <c r="BA7509" s="4"/>
      <c r="BB7509" s="4"/>
    </row>
    <row r="7510" spans="1:54" x14ac:dyDescent="0.3">
      <c r="A7510" s="66"/>
      <c r="B7510" s="67"/>
      <c r="C7510" s="66"/>
      <c r="D7510" s="68"/>
      <c r="E7510" s="10"/>
      <c r="F7510" s="69"/>
      <c r="G7510" s="68"/>
      <c r="H7510" s="70"/>
      <c r="BA7510" s="4"/>
      <c r="BB7510" s="4"/>
    </row>
    <row r="7511" spans="1:54" x14ac:dyDescent="0.3">
      <c r="A7511" s="66"/>
      <c r="B7511" s="67"/>
      <c r="C7511" s="66"/>
      <c r="D7511" s="68"/>
      <c r="E7511" s="10"/>
      <c r="F7511" s="69"/>
      <c r="G7511" s="68"/>
      <c r="H7511" s="70"/>
      <c r="BA7511" s="4"/>
      <c r="BB7511" s="4"/>
    </row>
    <row r="7512" spans="1:54" x14ac:dyDescent="0.3">
      <c r="A7512" s="66"/>
      <c r="B7512" s="67"/>
      <c r="C7512" s="66"/>
      <c r="D7512" s="68"/>
      <c r="E7512" s="10"/>
      <c r="F7512" s="69"/>
      <c r="G7512" s="68"/>
      <c r="H7512" s="70"/>
      <c r="BA7512" s="4"/>
      <c r="BB7512" s="4"/>
    </row>
    <row r="7513" spans="1:54" x14ac:dyDescent="0.3">
      <c r="A7513" s="66"/>
      <c r="B7513" s="67"/>
      <c r="C7513" s="66"/>
      <c r="D7513" s="68"/>
      <c r="E7513" s="10"/>
      <c r="F7513" s="69"/>
      <c r="G7513" s="68"/>
      <c r="H7513" s="70"/>
      <c r="BA7513" s="4"/>
      <c r="BB7513" s="4"/>
    </row>
    <row r="7514" spans="1:54" x14ac:dyDescent="0.3">
      <c r="A7514" s="66"/>
      <c r="B7514" s="67"/>
      <c r="C7514" s="66"/>
      <c r="D7514" s="68"/>
      <c r="E7514" s="10"/>
      <c r="F7514" s="69"/>
      <c r="G7514" s="68"/>
      <c r="H7514" s="70"/>
      <c r="BA7514" s="4"/>
      <c r="BB7514" s="4"/>
    </row>
    <row r="7515" spans="1:54" x14ac:dyDescent="0.3">
      <c r="A7515" s="66"/>
      <c r="B7515" s="67"/>
      <c r="C7515" s="66"/>
      <c r="D7515" s="68"/>
      <c r="E7515" s="10"/>
      <c r="F7515" s="69"/>
      <c r="G7515" s="68"/>
      <c r="H7515" s="70"/>
      <c r="BA7515" s="4"/>
      <c r="BB7515" s="4"/>
    </row>
    <row r="7516" spans="1:54" x14ac:dyDescent="0.3">
      <c r="A7516" s="66"/>
      <c r="B7516" s="67"/>
      <c r="C7516" s="66"/>
      <c r="D7516" s="68"/>
      <c r="E7516" s="10"/>
      <c r="F7516" s="69"/>
      <c r="G7516" s="68"/>
      <c r="H7516" s="70"/>
      <c r="BA7516" s="4"/>
      <c r="BB7516" s="4"/>
    </row>
    <row r="7517" spans="1:54" x14ac:dyDescent="0.3">
      <c r="A7517" s="66"/>
      <c r="B7517" s="67"/>
      <c r="C7517" s="66"/>
      <c r="D7517" s="68"/>
      <c r="E7517" s="10"/>
      <c r="F7517" s="69"/>
      <c r="G7517" s="68"/>
      <c r="H7517" s="70"/>
      <c r="BA7517" s="4"/>
      <c r="BB7517" s="4"/>
    </row>
    <row r="7518" spans="1:54" x14ac:dyDescent="0.3">
      <c r="A7518" s="66"/>
      <c r="B7518" s="67"/>
      <c r="C7518" s="66"/>
      <c r="D7518" s="68"/>
      <c r="E7518" s="10"/>
      <c r="F7518" s="69"/>
      <c r="G7518" s="68"/>
      <c r="H7518" s="70"/>
      <c r="BA7518" s="4"/>
      <c r="BB7518" s="4"/>
    </row>
    <row r="7519" spans="1:54" x14ac:dyDescent="0.3">
      <c r="A7519" s="66"/>
      <c r="B7519" s="67"/>
      <c r="C7519" s="66"/>
      <c r="D7519" s="68"/>
      <c r="E7519" s="10"/>
      <c r="F7519" s="69"/>
      <c r="G7519" s="68"/>
      <c r="H7519" s="70"/>
      <c r="BA7519" s="4"/>
      <c r="BB7519" s="4"/>
    </row>
    <row r="7520" spans="1:54" x14ac:dyDescent="0.3">
      <c r="A7520" s="66"/>
      <c r="B7520" s="67"/>
      <c r="C7520" s="66"/>
      <c r="D7520" s="68"/>
      <c r="E7520" s="10"/>
      <c r="F7520" s="69"/>
      <c r="G7520" s="68"/>
      <c r="H7520" s="70"/>
      <c r="BA7520" s="4"/>
      <c r="BB7520" s="4"/>
    </row>
    <row r="7521" spans="1:54" x14ac:dyDescent="0.3">
      <c r="A7521" s="66"/>
      <c r="B7521" s="67"/>
      <c r="C7521" s="66"/>
      <c r="D7521" s="68"/>
      <c r="E7521" s="10"/>
      <c r="F7521" s="69"/>
      <c r="G7521" s="68"/>
      <c r="H7521" s="70"/>
      <c r="BA7521" s="4"/>
      <c r="BB7521" s="4"/>
    </row>
    <row r="7522" spans="1:54" x14ac:dyDescent="0.3">
      <c r="A7522" s="66"/>
      <c r="B7522" s="67"/>
      <c r="C7522" s="66"/>
      <c r="D7522" s="68"/>
      <c r="E7522" s="10"/>
      <c r="F7522" s="69"/>
      <c r="G7522" s="68"/>
      <c r="H7522" s="70"/>
      <c r="BA7522" s="4"/>
      <c r="BB7522" s="4"/>
    </row>
    <row r="7523" spans="1:54" x14ac:dyDescent="0.3">
      <c r="A7523" s="66"/>
      <c r="B7523" s="67"/>
      <c r="C7523" s="66"/>
      <c r="D7523" s="68"/>
      <c r="E7523" s="10"/>
      <c r="F7523" s="69"/>
      <c r="G7523" s="68"/>
      <c r="H7523" s="70"/>
      <c r="BA7523" s="4"/>
      <c r="BB7523" s="4"/>
    </row>
    <row r="7524" spans="1:54" x14ac:dyDescent="0.3">
      <c r="A7524" s="66"/>
      <c r="B7524" s="67"/>
      <c r="C7524" s="66"/>
      <c r="D7524" s="68"/>
      <c r="E7524" s="10"/>
      <c r="F7524" s="69"/>
      <c r="G7524" s="68"/>
      <c r="H7524" s="70"/>
      <c r="BA7524" s="4"/>
      <c r="BB7524" s="4"/>
    </row>
    <row r="7525" spans="1:54" x14ac:dyDescent="0.3">
      <c r="A7525" s="66"/>
      <c r="B7525" s="67"/>
      <c r="C7525" s="66"/>
      <c r="D7525" s="68"/>
      <c r="E7525" s="10"/>
      <c r="F7525" s="69"/>
      <c r="G7525" s="68"/>
      <c r="H7525" s="70"/>
      <c r="BA7525" s="4"/>
      <c r="BB7525" s="4"/>
    </row>
    <row r="7526" spans="1:54" x14ac:dyDescent="0.3">
      <c r="A7526" s="66"/>
      <c r="B7526" s="67"/>
      <c r="C7526" s="66"/>
      <c r="D7526" s="68"/>
      <c r="E7526" s="10"/>
      <c r="F7526" s="69"/>
      <c r="G7526" s="68"/>
      <c r="H7526" s="70"/>
      <c r="BA7526" s="4"/>
      <c r="BB7526" s="4"/>
    </row>
    <row r="7527" spans="1:54" x14ac:dyDescent="0.3">
      <c r="A7527" s="66"/>
      <c r="B7527" s="67"/>
      <c r="C7527" s="66"/>
      <c r="D7527" s="68"/>
      <c r="E7527" s="10"/>
      <c r="F7527" s="69"/>
      <c r="G7527" s="68"/>
      <c r="H7527" s="70"/>
      <c r="BA7527" s="4"/>
      <c r="BB7527" s="4"/>
    </row>
    <row r="7528" spans="1:54" x14ac:dyDescent="0.3">
      <c r="A7528" s="66"/>
      <c r="B7528" s="67"/>
      <c r="C7528" s="66"/>
      <c r="D7528" s="68"/>
      <c r="E7528" s="10"/>
      <c r="F7528" s="69"/>
      <c r="G7528" s="68"/>
      <c r="H7528" s="70"/>
      <c r="BA7528" s="4"/>
      <c r="BB7528" s="4"/>
    </row>
    <row r="7529" spans="1:54" x14ac:dyDescent="0.3">
      <c r="A7529" s="66"/>
      <c r="B7529" s="67"/>
      <c r="C7529" s="66"/>
      <c r="D7529" s="68"/>
      <c r="E7529" s="10"/>
      <c r="F7529" s="69"/>
      <c r="G7529" s="68"/>
      <c r="H7529" s="70"/>
      <c r="BA7529" s="4"/>
      <c r="BB7529" s="4"/>
    </row>
    <row r="7530" spans="1:54" x14ac:dyDescent="0.3">
      <c r="A7530" s="66"/>
      <c r="B7530" s="67"/>
      <c r="C7530" s="66"/>
      <c r="D7530" s="68"/>
      <c r="E7530" s="10"/>
      <c r="F7530" s="69"/>
      <c r="G7530" s="68"/>
      <c r="H7530" s="70"/>
      <c r="BA7530" s="4"/>
      <c r="BB7530" s="4"/>
    </row>
    <row r="7531" spans="1:54" x14ac:dyDescent="0.3">
      <c r="A7531" s="66"/>
      <c r="B7531" s="67"/>
      <c r="C7531" s="66"/>
      <c r="D7531" s="68"/>
      <c r="E7531" s="10"/>
      <c r="F7531" s="69"/>
      <c r="G7531" s="68"/>
      <c r="H7531" s="70"/>
      <c r="BA7531" s="4"/>
      <c r="BB7531" s="4"/>
    </row>
    <row r="7532" spans="1:54" x14ac:dyDescent="0.3">
      <c r="A7532" s="66"/>
      <c r="B7532" s="67"/>
      <c r="C7532" s="66"/>
      <c r="D7532" s="68"/>
      <c r="E7532" s="10"/>
      <c r="F7532" s="69"/>
      <c r="G7532" s="68"/>
      <c r="H7532" s="70"/>
      <c r="BA7532" s="4"/>
      <c r="BB7532" s="4"/>
    </row>
    <row r="7533" spans="1:54" x14ac:dyDescent="0.3">
      <c r="A7533" s="66"/>
      <c r="B7533" s="67"/>
      <c r="C7533" s="66"/>
      <c r="D7533" s="68"/>
      <c r="E7533" s="10"/>
      <c r="F7533" s="69"/>
      <c r="G7533" s="68"/>
      <c r="H7533" s="70"/>
      <c r="BA7533" s="4"/>
      <c r="BB7533" s="4"/>
    </row>
    <row r="7534" spans="1:54" x14ac:dyDescent="0.3">
      <c r="A7534" s="66"/>
      <c r="B7534" s="67"/>
      <c r="C7534" s="66"/>
      <c r="D7534" s="68"/>
      <c r="E7534" s="10"/>
      <c r="F7534" s="69"/>
      <c r="G7534" s="68"/>
      <c r="H7534" s="70"/>
      <c r="BA7534" s="4"/>
      <c r="BB7534" s="4"/>
    </row>
    <row r="7535" spans="1:54" x14ac:dyDescent="0.3">
      <c r="A7535" s="66"/>
      <c r="B7535" s="67"/>
      <c r="C7535" s="66"/>
      <c r="D7535" s="68"/>
      <c r="E7535" s="10"/>
      <c r="F7535" s="69"/>
      <c r="G7535" s="68"/>
      <c r="H7535" s="70"/>
      <c r="BA7535" s="4"/>
      <c r="BB7535" s="4"/>
    </row>
    <row r="7536" spans="1:54" x14ac:dyDescent="0.3">
      <c r="A7536" s="66"/>
      <c r="B7536" s="67"/>
      <c r="C7536" s="66"/>
      <c r="D7536" s="68"/>
      <c r="E7536" s="10"/>
      <c r="F7536" s="69"/>
      <c r="G7536" s="68"/>
      <c r="H7536" s="70"/>
      <c r="BA7536" s="4"/>
      <c r="BB7536" s="4"/>
    </row>
    <row r="7537" spans="1:54" x14ac:dyDescent="0.3">
      <c r="A7537" s="66"/>
      <c r="B7537" s="67"/>
      <c r="C7537" s="66"/>
      <c r="D7537" s="68"/>
      <c r="E7537" s="10"/>
      <c r="F7537" s="69"/>
      <c r="G7537" s="68"/>
      <c r="H7537" s="70"/>
      <c r="BA7537" s="4"/>
      <c r="BB7537" s="4"/>
    </row>
    <row r="7538" spans="1:54" x14ac:dyDescent="0.3">
      <c r="A7538" s="66"/>
      <c r="B7538" s="67"/>
      <c r="C7538" s="66"/>
      <c r="D7538" s="68"/>
      <c r="E7538" s="10"/>
      <c r="F7538" s="69"/>
      <c r="G7538" s="68"/>
      <c r="H7538" s="70"/>
      <c r="BA7538" s="4"/>
      <c r="BB7538" s="4"/>
    </row>
    <row r="7539" spans="1:54" x14ac:dyDescent="0.3">
      <c r="A7539" s="66"/>
      <c r="B7539" s="67"/>
      <c r="C7539" s="66"/>
      <c r="D7539" s="68"/>
      <c r="E7539" s="10"/>
      <c r="F7539" s="69"/>
      <c r="G7539" s="68"/>
      <c r="H7539" s="70"/>
      <c r="BA7539" s="4"/>
      <c r="BB7539" s="4"/>
    </row>
    <row r="7540" spans="1:54" x14ac:dyDescent="0.3">
      <c r="A7540" s="66"/>
      <c r="B7540" s="67"/>
      <c r="C7540" s="66"/>
      <c r="D7540" s="68"/>
      <c r="E7540" s="10"/>
      <c r="F7540" s="69"/>
      <c r="G7540" s="68"/>
      <c r="H7540" s="70"/>
      <c r="BA7540" s="4"/>
      <c r="BB7540" s="4"/>
    </row>
    <row r="7541" spans="1:54" x14ac:dyDescent="0.3">
      <c r="A7541" s="66"/>
      <c r="B7541" s="67"/>
      <c r="C7541" s="66"/>
      <c r="D7541" s="68"/>
      <c r="E7541" s="10"/>
      <c r="F7541" s="69"/>
      <c r="G7541" s="68"/>
      <c r="H7541" s="70"/>
      <c r="BA7541" s="4"/>
      <c r="BB7541" s="4"/>
    </row>
    <row r="7542" spans="1:54" x14ac:dyDescent="0.3">
      <c r="A7542" s="66"/>
      <c r="B7542" s="67"/>
      <c r="C7542" s="66"/>
      <c r="D7542" s="68"/>
      <c r="E7542" s="10"/>
      <c r="F7542" s="69"/>
      <c r="G7542" s="68"/>
      <c r="H7542" s="70"/>
      <c r="BA7542" s="4"/>
      <c r="BB7542" s="4"/>
    </row>
    <row r="7543" spans="1:54" x14ac:dyDescent="0.3">
      <c r="A7543" s="66"/>
      <c r="B7543" s="67"/>
      <c r="C7543" s="66"/>
      <c r="D7543" s="68"/>
      <c r="E7543" s="10"/>
      <c r="F7543" s="69"/>
      <c r="G7543" s="68"/>
      <c r="H7543" s="70"/>
      <c r="BA7543" s="4"/>
      <c r="BB7543" s="4"/>
    </row>
    <row r="7544" spans="1:54" x14ac:dyDescent="0.3">
      <c r="A7544" s="66"/>
      <c r="B7544" s="67"/>
      <c r="C7544" s="66"/>
      <c r="D7544" s="68"/>
      <c r="E7544" s="10"/>
      <c r="F7544" s="69"/>
      <c r="G7544" s="68"/>
      <c r="H7544" s="70"/>
      <c r="BA7544" s="4"/>
      <c r="BB7544" s="4"/>
    </row>
    <row r="7545" spans="1:54" x14ac:dyDescent="0.3">
      <c r="A7545" s="66"/>
      <c r="B7545" s="67"/>
      <c r="C7545" s="66"/>
      <c r="D7545" s="68"/>
      <c r="E7545" s="10"/>
      <c r="F7545" s="69"/>
      <c r="G7545" s="68"/>
      <c r="H7545" s="70"/>
      <c r="BA7545" s="4"/>
      <c r="BB7545" s="4"/>
    </row>
    <row r="7546" spans="1:54" x14ac:dyDescent="0.3">
      <c r="A7546" s="66"/>
      <c r="B7546" s="67"/>
      <c r="C7546" s="66"/>
      <c r="D7546" s="68"/>
      <c r="E7546" s="10"/>
      <c r="F7546" s="69"/>
      <c r="G7546" s="68"/>
      <c r="H7546" s="70"/>
      <c r="BA7546" s="4"/>
      <c r="BB7546" s="4"/>
    </row>
    <row r="7547" spans="1:54" x14ac:dyDescent="0.3">
      <c r="A7547" s="66"/>
      <c r="B7547" s="67"/>
      <c r="C7547" s="66"/>
      <c r="D7547" s="68"/>
      <c r="E7547" s="10"/>
      <c r="F7547" s="69"/>
      <c r="G7547" s="68"/>
      <c r="H7547" s="70"/>
      <c r="BA7547" s="4"/>
      <c r="BB7547" s="4"/>
    </row>
    <row r="7548" spans="1:54" x14ac:dyDescent="0.3">
      <c r="A7548" s="66"/>
      <c r="B7548" s="67"/>
      <c r="C7548" s="66"/>
      <c r="D7548" s="68"/>
      <c r="E7548" s="10"/>
      <c r="F7548" s="69"/>
      <c r="G7548" s="68"/>
      <c r="H7548" s="70"/>
      <c r="BA7548" s="4"/>
      <c r="BB7548" s="4"/>
    </row>
    <row r="7549" spans="1:54" x14ac:dyDescent="0.3">
      <c r="A7549" s="66"/>
      <c r="B7549" s="67"/>
      <c r="C7549" s="66"/>
      <c r="D7549" s="68"/>
      <c r="E7549" s="10"/>
      <c r="F7549" s="69"/>
      <c r="G7549" s="68"/>
      <c r="H7549" s="70"/>
      <c r="BA7549" s="4"/>
      <c r="BB7549" s="4"/>
    </row>
    <row r="7550" spans="1:54" x14ac:dyDescent="0.3">
      <c r="A7550" s="66"/>
      <c r="B7550" s="67"/>
      <c r="C7550" s="66"/>
      <c r="D7550" s="68"/>
      <c r="E7550" s="10"/>
      <c r="F7550" s="69"/>
      <c r="G7550" s="68"/>
      <c r="H7550" s="70"/>
      <c r="BA7550" s="4"/>
      <c r="BB7550" s="4"/>
    </row>
    <row r="7551" spans="1:54" x14ac:dyDescent="0.3">
      <c r="A7551" s="66"/>
      <c r="B7551" s="67"/>
      <c r="C7551" s="66"/>
      <c r="D7551" s="68"/>
      <c r="E7551" s="10"/>
      <c r="F7551" s="69"/>
      <c r="G7551" s="68"/>
      <c r="H7551" s="70"/>
      <c r="BA7551" s="4"/>
      <c r="BB7551" s="4"/>
    </row>
    <row r="7552" spans="1:54" x14ac:dyDescent="0.3">
      <c r="A7552" s="66"/>
      <c r="B7552" s="67"/>
      <c r="C7552" s="66"/>
      <c r="D7552" s="68"/>
      <c r="E7552" s="10"/>
      <c r="F7552" s="69"/>
      <c r="G7552" s="68"/>
      <c r="H7552" s="70"/>
      <c r="BA7552" s="4"/>
      <c r="BB7552" s="4"/>
    </row>
    <row r="7553" spans="1:54" x14ac:dyDescent="0.3">
      <c r="A7553" s="66"/>
      <c r="B7553" s="67"/>
      <c r="C7553" s="66"/>
      <c r="D7553" s="68"/>
      <c r="E7553" s="10"/>
      <c r="F7553" s="69"/>
      <c r="G7553" s="68"/>
      <c r="H7553" s="70"/>
      <c r="BA7553" s="4"/>
      <c r="BB7553" s="4"/>
    </row>
    <row r="7554" spans="1:54" x14ac:dyDescent="0.3">
      <c r="A7554" s="66"/>
      <c r="B7554" s="67"/>
      <c r="C7554" s="66"/>
      <c r="D7554" s="68"/>
      <c r="E7554" s="10"/>
      <c r="F7554" s="69"/>
      <c r="G7554" s="68"/>
      <c r="H7554" s="70"/>
      <c r="BA7554" s="4"/>
      <c r="BB7554" s="4"/>
    </row>
    <row r="7555" spans="1:54" x14ac:dyDescent="0.3">
      <c r="A7555" s="66"/>
      <c r="B7555" s="67"/>
      <c r="C7555" s="66"/>
      <c r="D7555" s="68"/>
      <c r="E7555" s="10"/>
      <c r="F7555" s="69"/>
      <c r="G7555" s="68"/>
      <c r="H7555" s="70"/>
      <c r="BA7555" s="4"/>
      <c r="BB7555" s="4"/>
    </row>
    <row r="7556" spans="1:54" x14ac:dyDescent="0.3">
      <c r="A7556" s="66"/>
      <c r="B7556" s="67"/>
      <c r="C7556" s="66"/>
      <c r="D7556" s="68"/>
      <c r="E7556" s="10"/>
      <c r="F7556" s="69"/>
      <c r="G7556" s="68"/>
      <c r="H7556" s="70"/>
      <c r="BA7556" s="4"/>
      <c r="BB7556" s="4"/>
    </row>
    <row r="7557" spans="1:54" x14ac:dyDescent="0.3">
      <c r="A7557" s="66"/>
      <c r="B7557" s="67"/>
      <c r="C7557" s="66"/>
      <c r="D7557" s="68"/>
      <c r="E7557" s="10"/>
      <c r="F7557" s="69"/>
      <c r="G7557" s="68"/>
      <c r="H7557" s="70"/>
      <c r="BA7557" s="4"/>
      <c r="BB7557" s="4"/>
    </row>
    <row r="7558" spans="1:54" x14ac:dyDescent="0.3">
      <c r="A7558" s="66"/>
      <c r="B7558" s="67"/>
      <c r="C7558" s="66"/>
      <c r="D7558" s="68"/>
      <c r="E7558" s="10"/>
      <c r="F7558" s="69"/>
      <c r="G7558" s="68"/>
      <c r="H7558" s="70"/>
      <c r="BA7558" s="4"/>
      <c r="BB7558" s="4"/>
    </row>
    <row r="7559" spans="1:54" x14ac:dyDescent="0.3">
      <c r="A7559" s="66"/>
      <c r="B7559" s="67"/>
      <c r="C7559" s="66"/>
      <c r="D7559" s="68"/>
      <c r="E7559" s="10"/>
      <c r="F7559" s="69"/>
      <c r="G7559" s="68"/>
      <c r="H7559" s="70"/>
      <c r="BA7559" s="4"/>
      <c r="BB7559" s="4"/>
    </row>
    <row r="7560" spans="1:54" x14ac:dyDescent="0.3">
      <c r="A7560" s="66"/>
      <c r="B7560" s="67"/>
      <c r="C7560" s="66"/>
      <c r="D7560" s="68"/>
      <c r="E7560" s="10"/>
      <c r="F7560" s="69"/>
      <c r="G7560" s="68"/>
      <c r="H7560" s="70"/>
      <c r="BA7560" s="4"/>
      <c r="BB7560" s="4"/>
    </row>
    <row r="7561" spans="1:54" x14ac:dyDescent="0.3">
      <c r="A7561" s="66"/>
      <c r="B7561" s="67"/>
      <c r="C7561" s="66"/>
      <c r="D7561" s="68"/>
      <c r="E7561" s="10"/>
      <c r="F7561" s="69"/>
      <c r="G7561" s="68"/>
      <c r="H7561" s="70"/>
      <c r="BA7561" s="4"/>
      <c r="BB7561" s="4"/>
    </row>
    <row r="7562" spans="1:54" x14ac:dyDescent="0.3">
      <c r="A7562" s="66"/>
      <c r="B7562" s="67"/>
      <c r="C7562" s="66"/>
      <c r="D7562" s="68"/>
      <c r="E7562" s="10"/>
      <c r="F7562" s="69"/>
      <c r="G7562" s="68"/>
      <c r="H7562" s="70"/>
      <c r="BA7562" s="4"/>
      <c r="BB7562" s="4"/>
    </row>
    <row r="7563" spans="1:54" x14ac:dyDescent="0.3">
      <c r="A7563" s="66"/>
      <c r="B7563" s="67"/>
      <c r="C7563" s="66"/>
      <c r="D7563" s="68"/>
      <c r="E7563" s="10"/>
      <c r="F7563" s="69"/>
      <c r="G7563" s="68"/>
      <c r="H7563" s="70"/>
      <c r="BA7563" s="4"/>
      <c r="BB7563" s="4"/>
    </row>
    <row r="7564" spans="1:54" x14ac:dyDescent="0.3">
      <c r="A7564" s="66"/>
      <c r="B7564" s="67"/>
      <c r="C7564" s="66"/>
      <c r="D7564" s="68"/>
      <c r="E7564" s="10"/>
      <c r="F7564" s="69"/>
      <c r="G7564" s="68"/>
      <c r="H7564" s="70"/>
      <c r="BA7564" s="4"/>
      <c r="BB7564" s="4"/>
    </row>
    <row r="7565" spans="1:54" x14ac:dyDescent="0.3">
      <c r="A7565" s="66"/>
      <c r="B7565" s="67"/>
      <c r="C7565" s="66"/>
      <c r="D7565" s="68"/>
      <c r="E7565" s="10"/>
      <c r="F7565" s="69"/>
      <c r="G7565" s="68"/>
      <c r="H7565" s="70"/>
      <c r="BA7565" s="4"/>
      <c r="BB7565" s="4"/>
    </row>
    <row r="7566" spans="1:54" x14ac:dyDescent="0.3">
      <c r="A7566" s="66"/>
      <c r="B7566" s="67"/>
      <c r="C7566" s="66"/>
      <c r="D7566" s="68"/>
      <c r="E7566" s="10"/>
      <c r="F7566" s="69"/>
      <c r="G7566" s="68"/>
      <c r="H7566" s="70"/>
      <c r="BA7566" s="4"/>
      <c r="BB7566" s="4"/>
    </row>
    <row r="7567" spans="1:54" x14ac:dyDescent="0.3">
      <c r="A7567" s="66"/>
      <c r="B7567" s="67"/>
      <c r="C7567" s="66"/>
      <c r="D7567" s="68"/>
      <c r="E7567" s="10"/>
      <c r="F7567" s="69"/>
      <c r="G7567" s="68"/>
      <c r="H7567" s="70"/>
      <c r="BA7567" s="4"/>
      <c r="BB7567" s="4"/>
    </row>
    <row r="7568" spans="1:54" x14ac:dyDescent="0.3">
      <c r="A7568" s="66"/>
      <c r="B7568" s="67"/>
      <c r="C7568" s="66"/>
      <c r="D7568" s="68"/>
      <c r="E7568" s="10"/>
      <c r="F7568" s="69"/>
      <c r="G7568" s="68"/>
      <c r="H7568" s="70"/>
      <c r="BA7568" s="4"/>
      <c r="BB7568" s="4"/>
    </row>
    <row r="7569" spans="1:54" x14ac:dyDescent="0.3">
      <c r="A7569" s="66"/>
      <c r="B7569" s="67"/>
      <c r="C7569" s="66"/>
      <c r="D7569" s="68"/>
      <c r="E7569" s="10"/>
      <c r="F7569" s="69"/>
      <c r="G7569" s="68"/>
      <c r="H7569" s="70"/>
      <c r="BA7569" s="4"/>
      <c r="BB7569" s="4"/>
    </row>
    <row r="7570" spans="1:54" x14ac:dyDescent="0.3">
      <c r="A7570" s="66"/>
      <c r="B7570" s="67"/>
      <c r="C7570" s="66"/>
      <c r="D7570" s="68"/>
      <c r="E7570" s="10"/>
      <c r="F7570" s="69"/>
      <c r="G7570" s="68"/>
      <c r="H7570" s="70"/>
      <c r="BA7570" s="4"/>
      <c r="BB7570" s="4"/>
    </row>
    <row r="7571" spans="1:54" x14ac:dyDescent="0.3">
      <c r="A7571" s="66"/>
      <c r="B7571" s="67"/>
      <c r="C7571" s="66"/>
      <c r="D7571" s="68"/>
      <c r="E7571" s="10"/>
      <c r="F7571" s="69"/>
      <c r="G7571" s="68"/>
      <c r="H7571" s="70"/>
      <c r="BA7571" s="4"/>
      <c r="BB7571" s="4"/>
    </row>
    <row r="7572" spans="1:54" x14ac:dyDescent="0.3">
      <c r="A7572" s="66"/>
      <c r="B7572" s="67"/>
      <c r="C7572" s="66"/>
      <c r="D7572" s="68"/>
      <c r="E7572" s="10"/>
      <c r="F7572" s="69"/>
      <c r="G7572" s="68"/>
      <c r="H7572" s="70"/>
      <c r="BA7572" s="4"/>
      <c r="BB7572" s="4"/>
    </row>
    <row r="7573" spans="1:54" x14ac:dyDescent="0.3">
      <c r="A7573" s="66"/>
      <c r="B7573" s="67"/>
      <c r="C7573" s="66"/>
      <c r="D7573" s="68"/>
      <c r="E7573" s="10"/>
      <c r="F7573" s="69"/>
      <c r="G7573" s="68"/>
      <c r="H7573" s="70"/>
      <c r="BA7573" s="4"/>
      <c r="BB7573" s="4"/>
    </row>
    <row r="7574" spans="1:54" x14ac:dyDescent="0.3">
      <c r="A7574" s="66"/>
      <c r="B7574" s="67"/>
      <c r="C7574" s="66"/>
      <c r="D7574" s="68"/>
      <c r="E7574" s="10"/>
      <c r="F7574" s="69"/>
      <c r="G7574" s="68"/>
      <c r="H7574" s="70"/>
      <c r="BA7574" s="4"/>
      <c r="BB7574" s="4"/>
    </row>
    <row r="7575" spans="1:54" x14ac:dyDescent="0.3">
      <c r="A7575" s="66"/>
      <c r="B7575" s="67"/>
      <c r="C7575" s="66"/>
      <c r="D7575" s="68"/>
      <c r="E7575" s="10"/>
      <c r="F7575" s="69"/>
      <c r="G7575" s="68"/>
      <c r="H7575" s="70"/>
      <c r="BA7575" s="4"/>
      <c r="BB7575" s="4"/>
    </row>
    <row r="7576" spans="1:54" x14ac:dyDescent="0.3">
      <c r="A7576" s="66"/>
      <c r="B7576" s="67"/>
      <c r="C7576" s="66"/>
      <c r="D7576" s="68"/>
      <c r="E7576" s="10"/>
      <c r="F7576" s="69"/>
      <c r="G7576" s="68"/>
      <c r="H7576" s="70"/>
      <c r="BA7576" s="4"/>
      <c r="BB7576" s="4"/>
    </row>
    <row r="7577" spans="1:54" x14ac:dyDescent="0.3">
      <c r="A7577" s="66"/>
      <c r="B7577" s="67"/>
      <c r="C7577" s="66"/>
      <c r="D7577" s="68"/>
      <c r="E7577" s="10"/>
      <c r="F7577" s="69"/>
      <c r="G7577" s="68"/>
      <c r="H7577" s="70"/>
      <c r="BA7577" s="4"/>
      <c r="BB7577" s="4"/>
    </row>
    <row r="7578" spans="1:54" x14ac:dyDescent="0.3">
      <c r="A7578" s="66"/>
      <c r="B7578" s="67"/>
      <c r="C7578" s="66"/>
      <c r="D7578" s="68"/>
      <c r="E7578" s="10"/>
      <c r="F7578" s="69"/>
      <c r="G7578" s="68"/>
      <c r="H7578" s="70"/>
      <c r="BA7578" s="4"/>
      <c r="BB7578" s="4"/>
    </row>
    <row r="7579" spans="1:54" x14ac:dyDescent="0.3">
      <c r="A7579" s="66"/>
      <c r="B7579" s="67"/>
      <c r="C7579" s="66"/>
      <c r="D7579" s="68"/>
      <c r="E7579" s="10"/>
      <c r="F7579" s="69"/>
      <c r="G7579" s="68"/>
      <c r="H7579" s="70"/>
      <c r="BA7579" s="4"/>
      <c r="BB7579" s="4"/>
    </row>
    <row r="7580" spans="1:54" x14ac:dyDescent="0.3">
      <c r="A7580" s="66"/>
      <c r="B7580" s="67"/>
      <c r="C7580" s="66"/>
      <c r="D7580" s="68"/>
      <c r="E7580" s="10"/>
      <c r="F7580" s="69"/>
      <c r="G7580" s="68"/>
      <c r="H7580" s="70"/>
      <c r="BA7580" s="4"/>
      <c r="BB7580" s="4"/>
    </row>
    <row r="7581" spans="1:54" x14ac:dyDescent="0.3">
      <c r="A7581" s="66"/>
      <c r="B7581" s="67"/>
      <c r="C7581" s="66"/>
      <c r="D7581" s="68"/>
      <c r="E7581" s="10"/>
      <c r="F7581" s="69"/>
      <c r="G7581" s="68"/>
      <c r="H7581" s="70"/>
      <c r="BA7581" s="4"/>
      <c r="BB7581" s="4"/>
    </row>
    <row r="7582" spans="1:54" x14ac:dyDescent="0.3">
      <c r="A7582" s="66"/>
      <c r="B7582" s="67"/>
      <c r="C7582" s="66"/>
      <c r="D7582" s="68"/>
      <c r="E7582" s="10"/>
      <c r="F7582" s="69"/>
      <c r="G7582" s="68"/>
      <c r="H7582" s="70"/>
      <c r="BA7582" s="4"/>
      <c r="BB7582" s="4"/>
    </row>
    <row r="7583" spans="1:54" x14ac:dyDescent="0.3">
      <c r="A7583" s="66"/>
      <c r="B7583" s="67"/>
      <c r="C7583" s="66"/>
      <c r="D7583" s="68"/>
      <c r="E7583" s="10"/>
      <c r="F7583" s="69"/>
      <c r="G7583" s="68"/>
      <c r="H7583" s="70"/>
      <c r="BA7583" s="4"/>
      <c r="BB7583" s="4"/>
    </row>
    <row r="7584" spans="1:54" x14ac:dyDescent="0.3">
      <c r="A7584" s="66"/>
      <c r="B7584" s="67"/>
      <c r="C7584" s="66"/>
      <c r="D7584" s="68"/>
      <c r="E7584" s="10"/>
      <c r="F7584" s="69"/>
      <c r="G7584" s="68"/>
      <c r="H7584" s="70"/>
      <c r="BA7584" s="4"/>
      <c r="BB7584" s="4"/>
    </row>
    <row r="7585" spans="1:54" x14ac:dyDescent="0.3">
      <c r="A7585" s="66"/>
      <c r="B7585" s="67"/>
      <c r="C7585" s="66"/>
      <c r="D7585" s="68"/>
      <c r="E7585" s="10"/>
      <c r="F7585" s="69"/>
      <c r="G7585" s="68"/>
      <c r="H7585" s="70"/>
      <c r="BA7585" s="4"/>
      <c r="BB7585" s="4"/>
    </row>
    <row r="7586" spans="1:54" x14ac:dyDescent="0.3">
      <c r="A7586" s="66"/>
      <c r="B7586" s="67"/>
      <c r="C7586" s="66"/>
      <c r="D7586" s="68"/>
      <c r="E7586" s="10"/>
      <c r="F7586" s="69"/>
      <c r="G7586" s="68"/>
      <c r="H7586" s="70"/>
      <c r="BA7586" s="4"/>
      <c r="BB7586" s="4"/>
    </row>
    <row r="7587" spans="1:54" x14ac:dyDescent="0.3">
      <c r="A7587" s="66"/>
      <c r="B7587" s="67"/>
      <c r="C7587" s="66"/>
      <c r="D7587" s="68"/>
      <c r="E7587" s="10"/>
      <c r="F7587" s="69"/>
      <c r="G7587" s="68"/>
      <c r="H7587" s="70"/>
      <c r="BA7587" s="4"/>
      <c r="BB7587" s="4"/>
    </row>
    <row r="7588" spans="1:54" x14ac:dyDescent="0.3">
      <c r="A7588" s="66"/>
      <c r="B7588" s="67"/>
      <c r="C7588" s="66"/>
      <c r="D7588" s="68"/>
      <c r="E7588" s="10"/>
      <c r="F7588" s="69"/>
      <c r="G7588" s="68"/>
      <c r="H7588" s="70"/>
      <c r="BA7588" s="4"/>
      <c r="BB7588" s="4"/>
    </row>
    <row r="7589" spans="1:54" x14ac:dyDescent="0.3">
      <c r="A7589" s="66"/>
      <c r="B7589" s="67"/>
      <c r="C7589" s="66"/>
      <c r="D7589" s="68"/>
      <c r="E7589" s="10"/>
      <c r="F7589" s="69"/>
      <c r="G7589" s="68"/>
      <c r="H7589" s="70"/>
      <c r="BA7589" s="4"/>
      <c r="BB7589" s="4"/>
    </row>
    <row r="7590" spans="1:54" x14ac:dyDescent="0.3">
      <c r="A7590" s="66"/>
      <c r="B7590" s="67"/>
      <c r="C7590" s="66"/>
      <c r="D7590" s="68"/>
      <c r="E7590" s="10"/>
      <c r="F7590" s="69"/>
      <c r="G7590" s="68"/>
      <c r="H7590" s="70"/>
      <c r="BA7590" s="4"/>
      <c r="BB7590" s="4"/>
    </row>
    <row r="7591" spans="1:54" x14ac:dyDescent="0.3">
      <c r="A7591" s="66"/>
      <c r="B7591" s="67"/>
      <c r="C7591" s="66"/>
      <c r="D7591" s="68"/>
      <c r="E7591" s="10"/>
      <c r="F7591" s="69"/>
      <c r="G7591" s="68"/>
      <c r="H7591" s="70"/>
      <c r="BA7591" s="4"/>
      <c r="BB7591" s="4"/>
    </row>
    <row r="7592" spans="1:54" x14ac:dyDescent="0.3">
      <c r="A7592" s="66"/>
      <c r="B7592" s="67"/>
      <c r="C7592" s="66"/>
      <c r="D7592" s="68"/>
      <c r="E7592" s="10"/>
      <c r="F7592" s="69"/>
      <c r="G7592" s="68"/>
      <c r="H7592" s="70"/>
      <c r="BA7592" s="4"/>
      <c r="BB7592" s="4"/>
    </row>
    <row r="7593" spans="1:54" x14ac:dyDescent="0.3">
      <c r="A7593" s="66"/>
      <c r="B7593" s="67"/>
      <c r="C7593" s="66"/>
      <c r="D7593" s="68"/>
      <c r="E7593" s="10"/>
      <c r="F7593" s="69"/>
      <c r="G7593" s="68"/>
      <c r="H7593" s="70"/>
      <c r="BA7593" s="4"/>
      <c r="BB7593" s="4"/>
    </row>
    <row r="7594" spans="1:54" x14ac:dyDescent="0.3">
      <c r="A7594" s="66"/>
      <c r="B7594" s="67"/>
      <c r="C7594" s="66"/>
      <c r="D7594" s="68"/>
      <c r="E7594" s="10"/>
      <c r="F7594" s="69"/>
      <c r="G7594" s="68"/>
      <c r="H7594" s="70"/>
      <c r="BA7594" s="4"/>
      <c r="BB7594" s="4"/>
    </row>
    <row r="7595" spans="1:54" x14ac:dyDescent="0.3">
      <c r="A7595" s="66"/>
      <c r="B7595" s="67"/>
      <c r="C7595" s="66"/>
      <c r="D7595" s="68"/>
      <c r="E7595" s="10"/>
      <c r="F7595" s="69"/>
      <c r="G7595" s="68"/>
      <c r="H7595" s="70"/>
      <c r="BA7595" s="4"/>
      <c r="BB7595" s="4"/>
    </row>
    <row r="7596" spans="1:54" x14ac:dyDescent="0.3">
      <c r="A7596" s="66"/>
      <c r="B7596" s="67"/>
      <c r="C7596" s="66"/>
      <c r="D7596" s="68"/>
      <c r="E7596" s="10"/>
      <c r="F7596" s="69"/>
      <c r="G7596" s="68"/>
      <c r="H7596" s="70"/>
      <c r="BA7596" s="4"/>
      <c r="BB7596" s="4"/>
    </row>
    <row r="7597" spans="1:54" x14ac:dyDescent="0.3">
      <c r="A7597" s="66"/>
      <c r="B7597" s="67"/>
      <c r="C7597" s="66"/>
      <c r="D7597" s="68"/>
      <c r="E7597" s="10"/>
      <c r="F7597" s="69"/>
      <c r="G7597" s="68"/>
      <c r="H7597" s="70"/>
      <c r="BA7597" s="4"/>
      <c r="BB7597" s="4"/>
    </row>
    <row r="7598" spans="1:54" x14ac:dyDescent="0.3">
      <c r="A7598" s="66"/>
      <c r="B7598" s="67"/>
      <c r="C7598" s="66"/>
      <c r="D7598" s="68"/>
      <c r="E7598" s="10"/>
      <c r="F7598" s="69"/>
      <c r="G7598" s="68"/>
      <c r="H7598" s="70"/>
      <c r="BA7598" s="4"/>
      <c r="BB7598" s="4"/>
    </row>
    <row r="7599" spans="1:54" x14ac:dyDescent="0.3">
      <c r="A7599" s="66"/>
      <c r="B7599" s="67"/>
      <c r="C7599" s="66"/>
      <c r="D7599" s="68"/>
      <c r="E7599" s="10"/>
      <c r="F7599" s="69"/>
      <c r="G7599" s="68"/>
      <c r="H7599" s="70"/>
      <c r="BA7599" s="4"/>
      <c r="BB7599" s="4"/>
    </row>
    <row r="7600" spans="1:54" x14ac:dyDescent="0.3">
      <c r="A7600" s="66"/>
      <c r="B7600" s="67"/>
      <c r="C7600" s="66"/>
      <c r="D7600" s="68"/>
      <c r="E7600" s="10"/>
      <c r="F7600" s="69"/>
      <c r="G7600" s="68"/>
      <c r="H7600" s="70"/>
      <c r="BA7600" s="4"/>
      <c r="BB7600" s="4"/>
    </row>
    <row r="7601" spans="1:54" x14ac:dyDescent="0.3">
      <c r="A7601" s="66"/>
      <c r="B7601" s="67"/>
      <c r="C7601" s="66"/>
      <c r="D7601" s="68"/>
      <c r="E7601" s="10"/>
      <c r="F7601" s="69"/>
      <c r="G7601" s="68"/>
      <c r="H7601" s="70"/>
      <c r="BA7601" s="4"/>
      <c r="BB7601" s="4"/>
    </row>
    <row r="7602" spans="1:54" x14ac:dyDescent="0.3">
      <c r="A7602" s="66"/>
      <c r="B7602" s="67"/>
      <c r="C7602" s="66"/>
      <c r="D7602" s="68"/>
      <c r="E7602" s="10"/>
      <c r="F7602" s="69"/>
      <c r="G7602" s="68"/>
      <c r="H7602" s="70"/>
      <c r="BA7602" s="4"/>
      <c r="BB7602" s="4"/>
    </row>
    <row r="7603" spans="1:54" x14ac:dyDescent="0.3">
      <c r="A7603" s="66"/>
      <c r="B7603" s="67"/>
      <c r="C7603" s="66"/>
      <c r="D7603" s="68"/>
      <c r="E7603" s="10"/>
      <c r="F7603" s="69"/>
      <c r="G7603" s="68"/>
      <c r="H7603" s="70"/>
      <c r="BA7603" s="4"/>
      <c r="BB7603" s="4"/>
    </row>
    <row r="7604" spans="1:54" x14ac:dyDescent="0.3">
      <c r="A7604" s="66"/>
      <c r="B7604" s="67"/>
      <c r="C7604" s="66"/>
      <c r="D7604" s="68"/>
      <c r="E7604" s="10"/>
      <c r="F7604" s="69"/>
      <c r="G7604" s="68"/>
      <c r="H7604" s="70"/>
      <c r="BA7604" s="4"/>
      <c r="BB7604" s="4"/>
    </row>
    <row r="7605" spans="1:54" x14ac:dyDescent="0.3">
      <c r="A7605" s="66"/>
      <c r="B7605" s="67"/>
      <c r="C7605" s="66"/>
      <c r="D7605" s="68"/>
      <c r="E7605" s="10"/>
      <c r="F7605" s="69"/>
      <c r="G7605" s="68"/>
      <c r="H7605" s="70"/>
      <c r="BA7605" s="4"/>
      <c r="BB7605" s="4"/>
    </row>
    <row r="7606" spans="1:54" x14ac:dyDescent="0.3">
      <c r="A7606" s="66"/>
      <c r="B7606" s="67"/>
      <c r="C7606" s="66"/>
      <c r="D7606" s="68"/>
      <c r="E7606" s="10"/>
      <c r="F7606" s="69"/>
      <c r="G7606" s="68"/>
      <c r="H7606" s="70"/>
      <c r="BA7606" s="4"/>
      <c r="BB7606" s="4"/>
    </row>
    <row r="7607" spans="1:54" x14ac:dyDescent="0.3">
      <c r="A7607" s="66"/>
      <c r="B7607" s="67"/>
      <c r="C7607" s="66"/>
      <c r="D7607" s="68"/>
      <c r="E7607" s="10"/>
      <c r="F7607" s="69"/>
      <c r="G7607" s="68"/>
      <c r="H7607" s="70"/>
      <c r="BA7607" s="4"/>
      <c r="BB7607" s="4"/>
    </row>
    <row r="7608" spans="1:54" x14ac:dyDescent="0.3">
      <c r="A7608" s="66"/>
      <c r="B7608" s="67"/>
      <c r="C7608" s="66"/>
      <c r="D7608" s="68"/>
      <c r="E7608" s="10"/>
      <c r="F7608" s="69"/>
      <c r="G7608" s="68"/>
      <c r="H7608" s="70"/>
      <c r="BA7608" s="4"/>
      <c r="BB7608" s="4"/>
    </row>
    <row r="7609" spans="1:54" x14ac:dyDescent="0.3">
      <c r="A7609" s="66"/>
      <c r="B7609" s="67"/>
      <c r="C7609" s="66"/>
      <c r="D7609" s="68"/>
      <c r="E7609" s="10"/>
      <c r="F7609" s="69"/>
      <c r="G7609" s="68"/>
      <c r="H7609" s="70"/>
      <c r="BA7609" s="4"/>
      <c r="BB7609" s="4"/>
    </row>
    <row r="7610" spans="1:54" x14ac:dyDescent="0.3">
      <c r="A7610" s="66"/>
      <c r="B7610" s="67"/>
      <c r="C7610" s="66"/>
      <c r="D7610" s="68"/>
      <c r="E7610" s="10"/>
      <c r="F7610" s="69"/>
      <c r="G7610" s="68"/>
      <c r="H7610" s="70"/>
      <c r="BA7610" s="4"/>
      <c r="BB7610" s="4"/>
    </row>
    <row r="7611" spans="1:54" x14ac:dyDescent="0.3">
      <c r="A7611" s="66"/>
      <c r="B7611" s="67"/>
      <c r="C7611" s="66"/>
      <c r="D7611" s="68"/>
      <c r="E7611" s="10"/>
      <c r="F7611" s="69"/>
      <c r="G7611" s="68"/>
      <c r="H7611" s="70"/>
      <c r="BA7611" s="4"/>
      <c r="BB7611" s="4"/>
    </row>
    <row r="7612" spans="1:54" x14ac:dyDescent="0.3">
      <c r="A7612" s="66"/>
      <c r="B7612" s="67"/>
      <c r="C7612" s="66"/>
      <c r="D7612" s="68"/>
      <c r="E7612" s="10"/>
      <c r="F7612" s="69"/>
      <c r="G7612" s="68"/>
      <c r="H7612" s="70"/>
      <c r="BA7612" s="4"/>
      <c r="BB7612" s="4"/>
    </row>
    <row r="7613" spans="1:54" x14ac:dyDescent="0.3">
      <c r="A7613" s="66"/>
      <c r="B7613" s="67"/>
      <c r="C7613" s="66"/>
      <c r="D7613" s="68"/>
      <c r="E7613" s="10"/>
      <c r="F7613" s="69"/>
      <c r="G7613" s="68"/>
      <c r="H7613" s="70"/>
      <c r="BA7613" s="4"/>
      <c r="BB7613" s="4"/>
    </row>
    <row r="7614" spans="1:54" x14ac:dyDescent="0.3">
      <c r="A7614" s="66"/>
      <c r="B7614" s="67"/>
      <c r="C7614" s="66"/>
      <c r="D7614" s="68"/>
      <c r="E7614" s="10"/>
      <c r="F7614" s="69"/>
      <c r="G7614" s="68"/>
      <c r="H7614" s="70"/>
      <c r="BA7614" s="4"/>
      <c r="BB7614" s="4"/>
    </row>
    <row r="7615" spans="1:54" x14ac:dyDescent="0.3">
      <c r="A7615" s="66"/>
      <c r="B7615" s="67"/>
      <c r="C7615" s="66"/>
      <c r="D7615" s="68"/>
      <c r="E7615" s="10"/>
      <c r="F7615" s="69"/>
      <c r="G7615" s="68"/>
      <c r="H7615" s="70"/>
      <c r="BA7615" s="4"/>
      <c r="BB7615" s="4"/>
    </row>
    <row r="7616" spans="1:54" x14ac:dyDescent="0.3">
      <c r="A7616" s="66"/>
      <c r="B7616" s="67"/>
      <c r="C7616" s="66"/>
      <c r="D7616" s="68"/>
      <c r="E7616" s="10"/>
      <c r="F7616" s="69"/>
      <c r="G7616" s="68"/>
      <c r="H7616" s="70"/>
      <c r="BA7616" s="4"/>
      <c r="BB7616" s="4"/>
    </row>
    <row r="7617" spans="1:54" x14ac:dyDescent="0.3">
      <c r="A7617" s="66"/>
      <c r="B7617" s="67"/>
      <c r="C7617" s="66"/>
      <c r="D7617" s="68"/>
      <c r="E7617" s="10"/>
      <c r="F7617" s="69"/>
      <c r="G7617" s="68"/>
      <c r="H7617" s="70"/>
      <c r="BA7617" s="4"/>
      <c r="BB7617" s="4"/>
    </row>
    <row r="7618" spans="1:54" x14ac:dyDescent="0.3">
      <c r="A7618" s="66"/>
      <c r="B7618" s="67"/>
      <c r="C7618" s="66"/>
      <c r="D7618" s="68"/>
      <c r="E7618" s="10"/>
      <c r="F7618" s="69"/>
      <c r="G7618" s="68"/>
      <c r="H7618" s="70"/>
      <c r="BA7618" s="4"/>
      <c r="BB7618" s="4"/>
    </row>
    <row r="7619" spans="1:54" x14ac:dyDescent="0.3">
      <c r="A7619" s="66"/>
      <c r="B7619" s="67"/>
      <c r="C7619" s="66"/>
      <c r="D7619" s="68"/>
      <c r="E7619" s="10"/>
      <c r="F7619" s="69"/>
      <c r="G7619" s="68"/>
      <c r="H7619" s="70"/>
      <c r="BA7619" s="4"/>
      <c r="BB7619" s="4"/>
    </row>
    <row r="7620" spans="1:54" x14ac:dyDescent="0.3">
      <c r="A7620" s="66"/>
      <c r="B7620" s="67"/>
      <c r="C7620" s="66"/>
      <c r="D7620" s="68"/>
      <c r="E7620" s="10"/>
      <c r="F7620" s="69"/>
      <c r="G7620" s="68"/>
      <c r="H7620" s="70"/>
      <c r="BA7620" s="4"/>
      <c r="BB7620" s="4"/>
    </row>
    <row r="7621" spans="1:54" x14ac:dyDescent="0.3">
      <c r="A7621" s="66"/>
      <c r="B7621" s="67"/>
      <c r="C7621" s="66"/>
      <c r="D7621" s="68"/>
      <c r="E7621" s="10"/>
      <c r="F7621" s="69"/>
      <c r="G7621" s="68"/>
      <c r="H7621" s="70"/>
      <c r="BA7621" s="4"/>
      <c r="BB7621" s="4"/>
    </row>
    <row r="7622" spans="1:54" x14ac:dyDescent="0.3">
      <c r="A7622" s="66"/>
      <c r="B7622" s="67"/>
      <c r="C7622" s="66"/>
      <c r="D7622" s="68"/>
      <c r="E7622" s="10"/>
      <c r="F7622" s="69"/>
      <c r="G7622" s="68"/>
      <c r="H7622" s="70"/>
      <c r="BA7622" s="4"/>
      <c r="BB7622" s="4"/>
    </row>
    <row r="7623" spans="1:54" x14ac:dyDescent="0.3">
      <c r="A7623" s="66"/>
      <c r="B7623" s="67"/>
      <c r="C7623" s="66"/>
      <c r="D7623" s="68"/>
      <c r="E7623" s="10"/>
      <c r="F7623" s="69"/>
      <c r="G7623" s="68"/>
      <c r="H7623" s="70"/>
      <c r="BA7623" s="4"/>
      <c r="BB7623" s="4"/>
    </row>
    <row r="7624" spans="1:54" x14ac:dyDescent="0.3">
      <c r="A7624" s="66"/>
      <c r="B7624" s="67"/>
      <c r="C7624" s="66"/>
      <c r="D7624" s="68"/>
      <c r="E7624" s="10"/>
      <c r="F7624" s="69"/>
      <c r="G7624" s="68"/>
      <c r="H7624" s="70"/>
      <c r="BA7624" s="4"/>
      <c r="BB7624" s="4"/>
    </row>
    <row r="7625" spans="1:54" x14ac:dyDescent="0.3">
      <c r="A7625" s="66"/>
      <c r="B7625" s="67"/>
      <c r="C7625" s="66"/>
      <c r="D7625" s="68"/>
      <c r="E7625" s="10"/>
      <c r="F7625" s="69"/>
      <c r="G7625" s="68"/>
      <c r="H7625" s="70"/>
      <c r="BA7625" s="4"/>
      <c r="BB7625" s="4"/>
    </row>
    <row r="7626" spans="1:54" x14ac:dyDescent="0.3">
      <c r="A7626" s="66"/>
      <c r="B7626" s="67"/>
      <c r="C7626" s="66"/>
      <c r="D7626" s="68"/>
      <c r="E7626" s="10"/>
      <c r="F7626" s="69"/>
      <c r="G7626" s="68"/>
      <c r="H7626" s="70"/>
      <c r="BA7626" s="4"/>
      <c r="BB7626" s="4"/>
    </row>
    <row r="7627" spans="1:54" x14ac:dyDescent="0.3">
      <c r="A7627" s="66"/>
      <c r="B7627" s="67"/>
      <c r="C7627" s="66"/>
      <c r="D7627" s="68"/>
      <c r="E7627" s="10"/>
      <c r="F7627" s="69"/>
      <c r="G7627" s="68"/>
      <c r="H7627" s="70"/>
      <c r="BA7627" s="4"/>
      <c r="BB7627" s="4"/>
    </row>
    <row r="7628" spans="1:54" x14ac:dyDescent="0.3">
      <c r="A7628" s="66"/>
      <c r="B7628" s="67"/>
      <c r="C7628" s="66"/>
      <c r="D7628" s="68"/>
      <c r="E7628" s="10"/>
      <c r="F7628" s="69"/>
      <c r="G7628" s="68"/>
      <c r="H7628" s="70"/>
      <c r="BA7628" s="4"/>
      <c r="BB7628" s="4"/>
    </row>
    <row r="7629" spans="1:54" x14ac:dyDescent="0.3">
      <c r="A7629" s="66"/>
      <c r="B7629" s="67"/>
      <c r="C7629" s="66"/>
      <c r="D7629" s="68"/>
      <c r="E7629" s="10"/>
      <c r="F7629" s="69"/>
      <c r="G7629" s="68"/>
      <c r="H7629" s="70"/>
      <c r="BA7629" s="4"/>
      <c r="BB7629" s="4"/>
    </row>
    <row r="7630" spans="1:54" x14ac:dyDescent="0.3">
      <c r="A7630" s="66"/>
      <c r="B7630" s="67"/>
      <c r="C7630" s="66"/>
      <c r="D7630" s="68"/>
      <c r="E7630" s="10"/>
      <c r="F7630" s="69"/>
      <c r="G7630" s="68"/>
      <c r="H7630" s="70"/>
      <c r="BA7630" s="4"/>
      <c r="BB7630" s="4"/>
    </row>
    <row r="7631" spans="1:54" x14ac:dyDescent="0.3">
      <c r="A7631" s="66"/>
      <c r="B7631" s="67"/>
      <c r="C7631" s="66"/>
      <c r="D7631" s="68"/>
      <c r="E7631" s="10"/>
      <c r="F7631" s="69"/>
      <c r="G7631" s="68"/>
      <c r="H7631" s="70"/>
      <c r="BA7631" s="4"/>
      <c r="BB7631" s="4"/>
    </row>
    <row r="7632" spans="1:54" x14ac:dyDescent="0.3">
      <c r="A7632" s="66"/>
      <c r="B7632" s="67"/>
      <c r="C7632" s="66"/>
      <c r="D7632" s="68"/>
      <c r="E7632" s="10"/>
      <c r="F7632" s="69"/>
      <c r="G7632" s="68"/>
      <c r="H7632" s="70"/>
      <c r="BA7632" s="4"/>
      <c r="BB7632" s="4"/>
    </row>
    <row r="7633" spans="1:54" x14ac:dyDescent="0.3">
      <c r="A7633" s="66"/>
      <c r="B7633" s="67"/>
      <c r="C7633" s="66"/>
      <c r="D7633" s="68"/>
      <c r="E7633" s="10"/>
      <c r="F7633" s="69"/>
      <c r="G7633" s="68"/>
      <c r="H7633" s="70"/>
      <c r="BA7633" s="4"/>
      <c r="BB7633" s="4"/>
    </row>
    <row r="7634" spans="1:54" x14ac:dyDescent="0.3">
      <c r="A7634" s="66"/>
      <c r="B7634" s="67"/>
      <c r="C7634" s="66"/>
      <c r="D7634" s="68"/>
      <c r="E7634" s="10"/>
      <c r="F7634" s="69"/>
      <c r="G7634" s="68"/>
      <c r="H7634" s="70"/>
      <c r="BA7634" s="4"/>
      <c r="BB7634" s="4"/>
    </row>
    <row r="7635" spans="1:54" x14ac:dyDescent="0.3">
      <c r="A7635" s="66"/>
      <c r="B7635" s="67"/>
      <c r="C7635" s="66"/>
      <c r="D7635" s="68"/>
      <c r="E7635" s="10"/>
      <c r="F7635" s="69"/>
      <c r="G7635" s="68"/>
      <c r="H7635" s="70"/>
      <c r="BA7635" s="4"/>
      <c r="BB7635" s="4"/>
    </row>
    <row r="7636" spans="1:54" x14ac:dyDescent="0.3">
      <c r="A7636" s="66"/>
      <c r="B7636" s="67"/>
      <c r="C7636" s="66"/>
      <c r="D7636" s="68"/>
      <c r="E7636" s="10"/>
      <c r="F7636" s="69"/>
      <c r="G7636" s="68"/>
      <c r="H7636" s="70"/>
      <c r="BA7636" s="4"/>
      <c r="BB7636" s="4"/>
    </row>
    <row r="7637" spans="1:54" x14ac:dyDescent="0.3">
      <c r="A7637" s="66"/>
      <c r="B7637" s="67"/>
      <c r="C7637" s="66"/>
      <c r="D7637" s="68"/>
      <c r="E7637" s="10"/>
      <c r="F7637" s="69"/>
      <c r="G7637" s="68"/>
      <c r="H7637" s="70"/>
      <c r="BA7637" s="4"/>
      <c r="BB7637" s="4"/>
    </row>
    <row r="7638" spans="1:54" x14ac:dyDescent="0.3">
      <c r="A7638" s="66"/>
      <c r="B7638" s="67"/>
      <c r="C7638" s="66"/>
      <c r="D7638" s="68"/>
      <c r="E7638" s="10"/>
      <c r="F7638" s="69"/>
      <c r="G7638" s="68"/>
      <c r="H7638" s="70"/>
      <c r="BA7638" s="4"/>
      <c r="BB7638" s="4"/>
    </row>
    <row r="7639" spans="1:54" x14ac:dyDescent="0.3">
      <c r="A7639" s="66"/>
      <c r="B7639" s="67"/>
      <c r="C7639" s="66"/>
      <c r="D7639" s="68"/>
      <c r="E7639" s="10"/>
      <c r="F7639" s="69"/>
      <c r="G7639" s="68"/>
      <c r="H7639" s="70"/>
      <c r="BA7639" s="4"/>
      <c r="BB7639" s="4"/>
    </row>
    <row r="7640" spans="1:54" x14ac:dyDescent="0.3">
      <c r="A7640" s="66"/>
      <c r="B7640" s="67"/>
      <c r="C7640" s="66"/>
      <c r="D7640" s="68"/>
      <c r="E7640" s="10"/>
      <c r="F7640" s="69"/>
      <c r="G7640" s="68"/>
      <c r="H7640" s="70"/>
      <c r="BA7640" s="4"/>
      <c r="BB7640" s="4"/>
    </row>
    <row r="7641" spans="1:54" x14ac:dyDescent="0.3">
      <c r="A7641" s="66"/>
      <c r="B7641" s="67"/>
      <c r="C7641" s="66"/>
      <c r="D7641" s="68"/>
      <c r="E7641" s="10"/>
      <c r="F7641" s="69"/>
      <c r="G7641" s="68"/>
      <c r="H7641" s="70"/>
      <c r="BA7641" s="4"/>
      <c r="BB7641" s="4"/>
    </row>
    <row r="7642" spans="1:54" x14ac:dyDescent="0.3">
      <c r="A7642" s="66"/>
      <c r="B7642" s="67"/>
      <c r="C7642" s="66"/>
      <c r="D7642" s="68"/>
      <c r="E7642" s="10"/>
      <c r="F7642" s="69"/>
      <c r="G7642" s="68"/>
      <c r="H7642" s="70"/>
      <c r="BA7642" s="4"/>
      <c r="BB7642" s="4"/>
    </row>
    <row r="7643" spans="1:54" x14ac:dyDescent="0.3">
      <c r="A7643" s="66"/>
      <c r="B7643" s="67"/>
      <c r="C7643" s="66"/>
      <c r="D7643" s="68"/>
      <c r="E7643" s="10"/>
      <c r="F7643" s="69"/>
      <c r="G7643" s="68"/>
      <c r="H7643" s="70"/>
      <c r="BA7643" s="4"/>
      <c r="BB7643" s="4"/>
    </row>
    <row r="7644" spans="1:54" x14ac:dyDescent="0.3">
      <c r="A7644" s="66"/>
      <c r="B7644" s="67"/>
      <c r="C7644" s="66"/>
      <c r="D7644" s="68"/>
      <c r="E7644" s="10"/>
      <c r="F7644" s="69"/>
      <c r="G7644" s="68"/>
      <c r="H7644" s="70"/>
      <c r="BA7644" s="4"/>
      <c r="BB7644" s="4"/>
    </row>
    <row r="7645" spans="1:54" x14ac:dyDescent="0.3">
      <c r="A7645" s="66"/>
      <c r="B7645" s="67"/>
      <c r="C7645" s="66"/>
      <c r="D7645" s="68"/>
      <c r="E7645" s="10"/>
      <c r="F7645" s="69"/>
      <c r="G7645" s="68"/>
      <c r="H7645" s="70"/>
      <c r="BA7645" s="4"/>
      <c r="BB7645" s="4"/>
    </row>
    <row r="7646" spans="1:54" x14ac:dyDescent="0.3">
      <c r="A7646" s="66"/>
      <c r="B7646" s="67"/>
      <c r="C7646" s="66"/>
      <c r="D7646" s="68"/>
      <c r="E7646" s="10"/>
      <c r="F7646" s="69"/>
      <c r="G7646" s="68"/>
      <c r="H7646" s="70"/>
      <c r="BA7646" s="4"/>
      <c r="BB7646" s="4"/>
    </row>
    <row r="7647" spans="1:54" x14ac:dyDescent="0.3">
      <c r="A7647" s="66"/>
      <c r="B7647" s="67"/>
      <c r="C7647" s="66"/>
      <c r="D7647" s="68"/>
      <c r="E7647" s="10"/>
      <c r="F7647" s="69"/>
      <c r="G7647" s="68"/>
      <c r="H7647" s="70"/>
      <c r="BA7647" s="4"/>
      <c r="BB7647" s="4"/>
    </row>
    <row r="7648" spans="1:54" x14ac:dyDescent="0.3">
      <c r="A7648" s="66"/>
      <c r="B7648" s="67"/>
      <c r="C7648" s="66"/>
      <c r="D7648" s="68"/>
      <c r="E7648" s="10"/>
      <c r="F7648" s="69"/>
      <c r="G7648" s="68"/>
      <c r="H7648" s="70"/>
      <c r="BA7648" s="4"/>
      <c r="BB7648" s="4"/>
    </row>
    <row r="7649" spans="1:54" x14ac:dyDescent="0.3">
      <c r="A7649" s="66"/>
      <c r="B7649" s="67"/>
      <c r="C7649" s="66"/>
      <c r="D7649" s="68"/>
      <c r="E7649" s="10"/>
      <c r="F7649" s="69"/>
      <c r="G7649" s="68"/>
      <c r="H7649" s="70"/>
      <c r="BA7649" s="4"/>
      <c r="BB7649" s="4"/>
    </row>
    <row r="7650" spans="1:54" x14ac:dyDescent="0.3">
      <c r="A7650" s="66"/>
      <c r="B7650" s="67"/>
      <c r="C7650" s="66"/>
      <c r="D7650" s="68"/>
      <c r="E7650" s="10"/>
      <c r="F7650" s="69"/>
      <c r="G7650" s="68"/>
      <c r="H7650" s="70"/>
      <c r="BA7650" s="4"/>
      <c r="BB7650" s="4"/>
    </row>
    <row r="7651" spans="1:54" x14ac:dyDescent="0.3">
      <c r="A7651" s="66"/>
      <c r="B7651" s="67"/>
      <c r="C7651" s="66"/>
      <c r="D7651" s="68"/>
      <c r="E7651" s="10"/>
      <c r="F7651" s="69"/>
      <c r="G7651" s="68"/>
      <c r="H7651" s="70"/>
      <c r="BA7651" s="4"/>
      <c r="BB7651" s="4"/>
    </row>
    <row r="7652" spans="1:54" x14ac:dyDescent="0.3">
      <c r="A7652" s="66"/>
      <c r="B7652" s="67"/>
      <c r="C7652" s="66"/>
      <c r="D7652" s="68"/>
      <c r="E7652" s="10"/>
      <c r="F7652" s="69"/>
      <c r="G7652" s="68"/>
      <c r="H7652" s="70"/>
      <c r="BA7652" s="4"/>
      <c r="BB7652" s="4"/>
    </row>
    <row r="7653" spans="1:54" x14ac:dyDescent="0.3">
      <c r="A7653" s="66"/>
      <c r="B7653" s="67"/>
      <c r="C7653" s="66"/>
      <c r="D7653" s="68"/>
      <c r="E7653" s="10"/>
      <c r="F7653" s="69"/>
      <c r="G7653" s="68"/>
      <c r="H7653" s="70"/>
      <c r="BA7653" s="4"/>
      <c r="BB7653" s="4"/>
    </row>
    <row r="7654" spans="1:54" x14ac:dyDescent="0.3">
      <c r="A7654" s="66"/>
      <c r="B7654" s="67"/>
      <c r="C7654" s="66"/>
      <c r="D7654" s="68"/>
      <c r="E7654" s="10"/>
      <c r="F7654" s="69"/>
      <c r="G7654" s="68"/>
      <c r="H7654" s="70"/>
      <c r="BA7654" s="4"/>
      <c r="BB7654" s="4"/>
    </row>
    <row r="7655" spans="1:54" x14ac:dyDescent="0.3">
      <c r="A7655" s="66"/>
      <c r="B7655" s="67"/>
      <c r="C7655" s="66"/>
      <c r="D7655" s="68"/>
      <c r="E7655" s="10"/>
      <c r="F7655" s="69"/>
      <c r="G7655" s="68"/>
      <c r="H7655" s="70"/>
      <c r="BA7655" s="4"/>
      <c r="BB7655" s="4"/>
    </row>
    <row r="7656" spans="1:54" x14ac:dyDescent="0.3">
      <c r="A7656" s="66"/>
      <c r="B7656" s="67"/>
      <c r="C7656" s="66"/>
      <c r="D7656" s="68"/>
      <c r="E7656" s="10"/>
      <c r="F7656" s="69"/>
      <c r="G7656" s="68"/>
      <c r="H7656" s="70"/>
      <c r="BA7656" s="4"/>
      <c r="BB7656" s="4"/>
    </row>
    <row r="7657" spans="1:54" x14ac:dyDescent="0.3">
      <c r="A7657" s="66"/>
      <c r="B7657" s="67"/>
      <c r="C7657" s="66"/>
      <c r="D7657" s="68"/>
      <c r="E7657" s="10"/>
      <c r="F7657" s="69"/>
      <c r="G7657" s="68"/>
      <c r="H7657" s="70"/>
      <c r="BA7657" s="4"/>
      <c r="BB7657" s="4"/>
    </row>
    <row r="7658" spans="1:54" x14ac:dyDescent="0.3">
      <c r="A7658" s="66"/>
      <c r="B7658" s="67"/>
      <c r="C7658" s="66"/>
      <c r="D7658" s="68"/>
      <c r="E7658" s="10"/>
      <c r="F7658" s="69"/>
      <c r="G7658" s="68"/>
      <c r="H7658" s="70"/>
      <c r="BA7658" s="4"/>
      <c r="BB7658" s="4"/>
    </row>
    <row r="7659" spans="1:54" x14ac:dyDescent="0.3">
      <c r="A7659" s="66"/>
      <c r="B7659" s="67"/>
      <c r="C7659" s="66"/>
      <c r="D7659" s="68"/>
      <c r="E7659" s="10"/>
      <c r="F7659" s="69"/>
      <c r="G7659" s="68"/>
      <c r="H7659" s="70"/>
      <c r="BA7659" s="4"/>
      <c r="BB7659" s="4"/>
    </row>
    <row r="7660" spans="1:54" x14ac:dyDescent="0.3">
      <c r="A7660" s="66"/>
      <c r="B7660" s="67"/>
      <c r="C7660" s="66"/>
      <c r="D7660" s="68"/>
      <c r="E7660" s="10"/>
      <c r="F7660" s="69"/>
      <c r="G7660" s="68"/>
      <c r="H7660" s="70"/>
      <c r="BA7660" s="4"/>
      <c r="BB7660" s="4"/>
    </row>
    <row r="7661" spans="1:54" x14ac:dyDescent="0.3">
      <c r="A7661" s="66"/>
      <c r="B7661" s="67"/>
      <c r="C7661" s="66"/>
      <c r="D7661" s="68"/>
      <c r="E7661" s="10"/>
      <c r="F7661" s="69"/>
      <c r="G7661" s="68"/>
      <c r="H7661" s="70"/>
      <c r="BA7661" s="4"/>
      <c r="BB7661" s="4"/>
    </row>
    <row r="7662" spans="1:54" x14ac:dyDescent="0.3">
      <c r="A7662" s="66"/>
      <c r="B7662" s="67"/>
      <c r="C7662" s="66"/>
      <c r="D7662" s="68"/>
      <c r="E7662" s="10"/>
      <c r="F7662" s="69"/>
      <c r="G7662" s="68"/>
      <c r="H7662" s="70"/>
      <c r="BA7662" s="4"/>
      <c r="BB7662" s="4"/>
    </row>
    <row r="7663" spans="1:54" x14ac:dyDescent="0.3">
      <c r="A7663" s="66"/>
      <c r="B7663" s="67"/>
      <c r="C7663" s="66"/>
      <c r="D7663" s="68"/>
      <c r="E7663" s="10"/>
      <c r="F7663" s="69"/>
      <c r="G7663" s="68"/>
      <c r="H7663" s="70"/>
      <c r="BA7663" s="4"/>
      <c r="BB7663" s="4"/>
    </row>
    <row r="7664" spans="1:54" x14ac:dyDescent="0.3">
      <c r="A7664" s="66"/>
      <c r="B7664" s="67"/>
      <c r="C7664" s="66"/>
      <c r="D7664" s="68"/>
      <c r="E7664" s="10"/>
      <c r="F7664" s="69"/>
      <c r="G7664" s="68"/>
      <c r="H7664" s="70"/>
      <c r="BA7664" s="4"/>
      <c r="BB7664" s="4"/>
    </row>
    <row r="7665" spans="1:54" x14ac:dyDescent="0.3">
      <c r="A7665" s="66"/>
      <c r="B7665" s="67"/>
      <c r="C7665" s="66"/>
      <c r="D7665" s="68"/>
      <c r="E7665" s="10"/>
      <c r="F7665" s="69"/>
      <c r="G7665" s="68"/>
      <c r="H7665" s="70"/>
      <c r="BA7665" s="4"/>
      <c r="BB7665" s="4"/>
    </row>
    <row r="7666" spans="1:54" x14ac:dyDescent="0.3">
      <c r="A7666" s="66"/>
      <c r="B7666" s="67"/>
      <c r="C7666" s="66"/>
      <c r="D7666" s="68"/>
      <c r="E7666" s="10"/>
      <c r="F7666" s="69"/>
      <c r="G7666" s="68"/>
      <c r="H7666" s="70"/>
      <c r="BA7666" s="4"/>
      <c r="BB7666" s="4"/>
    </row>
    <row r="7667" spans="1:54" x14ac:dyDescent="0.3">
      <c r="A7667" s="66"/>
      <c r="B7667" s="67"/>
      <c r="C7667" s="66"/>
      <c r="D7667" s="68"/>
      <c r="E7667" s="10"/>
      <c r="F7667" s="69"/>
      <c r="G7667" s="68"/>
      <c r="H7667" s="70"/>
      <c r="BA7667" s="4"/>
      <c r="BB7667" s="4"/>
    </row>
    <row r="7668" spans="1:54" x14ac:dyDescent="0.3">
      <c r="A7668" s="66"/>
      <c r="B7668" s="67"/>
      <c r="C7668" s="66"/>
      <c r="D7668" s="68"/>
      <c r="E7668" s="10"/>
      <c r="F7668" s="69"/>
      <c r="G7668" s="68"/>
      <c r="H7668" s="70"/>
      <c r="BA7668" s="4"/>
      <c r="BB7668" s="4"/>
    </row>
    <row r="7669" spans="1:54" x14ac:dyDescent="0.3">
      <c r="A7669" s="66"/>
      <c r="B7669" s="67"/>
      <c r="C7669" s="66"/>
      <c r="D7669" s="68"/>
      <c r="E7669" s="10"/>
      <c r="F7669" s="69"/>
      <c r="G7669" s="68"/>
      <c r="H7669" s="70"/>
      <c r="BA7669" s="4"/>
      <c r="BB7669" s="4"/>
    </row>
    <row r="7670" spans="1:54" x14ac:dyDescent="0.3">
      <c r="A7670" s="66"/>
      <c r="B7670" s="67"/>
      <c r="C7670" s="66"/>
      <c r="D7670" s="68"/>
      <c r="E7670" s="10"/>
      <c r="F7670" s="69"/>
      <c r="G7670" s="68"/>
      <c r="H7670" s="70"/>
      <c r="BA7670" s="4"/>
      <c r="BB7670" s="4"/>
    </row>
    <row r="7671" spans="1:54" x14ac:dyDescent="0.3">
      <c r="A7671" s="66"/>
      <c r="B7671" s="67"/>
      <c r="C7671" s="66"/>
      <c r="D7671" s="68"/>
      <c r="E7671" s="10"/>
      <c r="F7671" s="69"/>
      <c r="G7671" s="68"/>
      <c r="H7671" s="70"/>
      <c r="BA7671" s="4"/>
      <c r="BB7671" s="4"/>
    </row>
    <row r="7672" spans="1:54" x14ac:dyDescent="0.3">
      <c r="A7672" s="66"/>
      <c r="B7672" s="67"/>
      <c r="C7672" s="66"/>
      <c r="D7672" s="68"/>
      <c r="E7672" s="10"/>
      <c r="F7672" s="69"/>
      <c r="G7672" s="68"/>
      <c r="H7672" s="70"/>
      <c r="BA7672" s="4"/>
      <c r="BB7672" s="4"/>
    </row>
    <row r="7673" spans="1:54" x14ac:dyDescent="0.3">
      <c r="A7673" s="66"/>
      <c r="B7673" s="67"/>
      <c r="C7673" s="66"/>
      <c r="D7673" s="68"/>
      <c r="E7673" s="10"/>
      <c r="F7673" s="69"/>
      <c r="G7673" s="68"/>
      <c r="H7673" s="70"/>
      <c r="BA7673" s="4"/>
      <c r="BB7673" s="4"/>
    </row>
    <row r="7674" spans="1:54" x14ac:dyDescent="0.3">
      <c r="A7674" s="66"/>
      <c r="B7674" s="67"/>
      <c r="C7674" s="66"/>
      <c r="D7674" s="68"/>
      <c r="E7674" s="10"/>
      <c r="F7674" s="69"/>
      <c r="G7674" s="68"/>
      <c r="H7674" s="70"/>
      <c r="BA7674" s="4"/>
      <c r="BB7674" s="4"/>
    </row>
    <row r="7675" spans="1:54" x14ac:dyDescent="0.3">
      <c r="A7675" s="66"/>
      <c r="B7675" s="67"/>
      <c r="C7675" s="66"/>
      <c r="D7675" s="68"/>
      <c r="E7675" s="10"/>
      <c r="F7675" s="69"/>
      <c r="G7675" s="68"/>
      <c r="H7675" s="70"/>
      <c r="BA7675" s="4"/>
      <c r="BB7675" s="4"/>
    </row>
    <row r="7676" spans="1:54" x14ac:dyDescent="0.3">
      <c r="A7676" s="66"/>
      <c r="B7676" s="67"/>
      <c r="C7676" s="66"/>
      <c r="D7676" s="68"/>
      <c r="E7676" s="10"/>
      <c r="F7676" s="69"/>
      <c r="G7676" s="68"/>
      <c r="H7676" s="70"/>
      <c r="BA7676" s="4"/>
      <c r="BB7676" s="4"/>
    </row>
    <row r="7677" spans="1:54" x14ac:dyDescent="0.3">
      <c r="A7677" s="66"/>
      <c r="B7677" s="67"/>
      <c r="C7677" s="66"/>
      <c r="D7677" s="68"/>
      <c r="E7677" s="10"/>
      <c r="F7677" s="69"/>
      <c r="G7677" s="68"/>
      <c r="H7677" s="70"/>
      <c r="BA7677" s="4"/>
      <c r="BB7677" s="4"/>
    </row>
    <row r="7678" spans="1:54" x14ac:dyDescent="0.3">
      <c r="A7678" s="66"/>
      <c r="B7678" s="67"/>
      <c r="C7678" s="66"/>
      <c r="D7678" s="68"/>
      <c r="E7678" s="10"/>
      <c r="F7678" s="69"/>
      <c r="G7678" s="68"/>
      <c r="H7678" s="70"/>
      <c r="BA7678" s="4"/>
      <c r="BB7678" s="4"/>
    </row>
    <row r="7679" spans="1:54" x14ac:dyDescent="0.3">
      <c r="A7679" s="66"/>
      <c r="B7679" s="67"/>
      <c r="C7679" s="66"/>
      <c r="D7679" s="68"/>
      <c r="E7679" s="10"/>
      <c r="F7679" s="69"/>
      <c r="G7679" s="68"/>
      <c r="H7679" s="70"/>
      <c r="BA7679" s="4"/>
      <c r="BB7679" s="4"/>
    </row>
    <row r="7680" spans="1:54" x14ac:dyDescent="0.3">
      <c r="A7680" s="66"/>
      <c r="B7680" s="67"/>
      <c r="C7680" s="66"/>
      <c r="D7680" s="68"/>
      <c r="E7680" s="10"/>
      <c r="F7680" s="69"/>
      <c r="G7680" s="68"/>
      <c r="H7680" s="70"/>
      <c r="BA7680" s="4"/>
      <c r="BB7680" s="4"/>
    </row>
    <row r="7681" spans="1:54" x14ac:dyDescent="0.3">
      <c r="A7681" s="66"/>
      <c r="B7681" s="67"/>
      <c r="C7681" s="66"/>
      <c r="D7681" s="68"/>
      <c r="E7681" s="10"/>
      <c r="F7681" s="69"/>
      <c r="G7681" s="68"/>
      <c r="H7681" s="70"/>
      <c r="BA7681" s="4"/>
      <c r="BB7681" s="4"/>
    </row>
    <row r="7682" spans="1:54" x14ac:dyDescent="0.3">
      <c r="A7682" s="66"/>
      <c r="B7682" s="67"/>
      <c r="C7682" s="66"/>
      <c r="D7682" s="68"/>
      <c r="E7682" s="10"/>
      <c r="F7682" s="69"/>
      <c r="G7682" s="68"/>
      <c r="H7682" s="70"/>
      <c r="BA7682" s="4"/>
      <c r="BB7682" s="4"/>
    </row>
    <row r="7683" spans="1:54" x14ac:dyDescent="0.3">
      <c r="A7683" s="66"/>
      <c r="B7683" s="67"/>
      <c r="C7683" s="66"/>
      <c r="D7683" s="68"/>
      <c r="E7683" s="10"/>
      <c r="F7683" s="69"/>
      <c r="G7683" s="68"/>
      <c r="H7683" s="70"/>
      <c r="BA7683" s="4"/>
      <c r="BB7683" s="4"/>
    </row>
    <row r="7684" spans="1:54" x14ac:dyDescent="0.3">
      <c r="A7684" s="66"/>
      <c r="B7684" s="67"/>
      <c r="C7684" s="66"/>
      <c r="D7684" s="68"/>
      <c r="E7684" s="10"/>
      <c r="F7684" s="69"/>
      <c r="G7684" s="68"/>
      <c r="H7684" s="70"/>
      <c r="BA7684" s="4"/>
      <c r="BB7684" s="4"/>
    </row>
    <row r="7685" spans="1:54" x14ac:dyDescent="0.3">
      <c r="A7685" s="66"/>
      <c r="B7685" s="67"/>
      <c r="C7685" s="66"/>
      <c r="D7685" s="68"/>
      <c r="E7685" s="10"/>
      <c r="F7685" s="69"/>
      <c r="G7685" s="68"/>
      <c r="H7685" s="70"/>
      <c r="BA7685" s="4"/>
      <c r="BB7685" s="4"/>
    </row>
    <row r="7686" spans="1:54" x14ac:dyDescent="0.3">
      <c r="A7686" s="66"/>
      <c r="B7686" s="67"/>
      <c r="C7686" s="66"/>
      <c r="D7686" s="68"/>
      <c r="E7686" s="10"/>
      <c r="F7686" s="69"/>
      <c r="G7686" s="68"/>
      <c r="H7686" s="70"/>
      <c r="BA7686" s="4"/>
      <c r="BB7686" s="4"/>
    </row>
    <row r="7687" spans="1:54" x14ac:dyDescent="0.3">
      <c r="A7687" s="66"/>
      <c r="B7687" s="67"/>
      <c r="C7687" s="66"/>
      <c r="D7687" s="68"/>
      <c r="E7687" s="10"/>
      <c r="F7687" s="69"/>
      <c r="G7687" s="68"/>
      <c r="H7687" s="70"/>
      <c r="BA7687" s="4"/>
      <c r="BB7687" s="4"/>
    </row>
    <row r="7688" spans="1:54" x14ac:dyDescent="0.3">
      <c r="A7688" s="66"/>
      <c r="B7688" s="67"/>
      <c r="C7688" s="66"/>
      <c r="D7688" s="68"/>
      <c r="E7688" s="10"/>
      <c r="F7688" s="69"/>
      <c r="G7688" s="68"/>
      <c r="H7688" s="70"/>
      <c r="BA7688" s="4"/>
      <c r="BB7688" s="4"/>
    </row>
    <row r="7689" spans="1:54" x14ac:dyDescent="0.3">
      <c r="A7689" s="66"/>
      <c r="B7689" s="67"/>
      <c r="C7689" s="66"/>
      <c r="D7689" s="68"/>
      <c r="E7689" s="10"/>
      <c r="F7689" s="69"/>
      <c r="G7689" s="68"/>
      <c r="H7689" s="70"/>
      <c r="BA7689" s="4"/>
      <c r="BB7689" s="4"/>
    </row>
    <row r="7690" spans="1:54" x14ac:dyDescent="0.3">
      <c r="A7690" s="66"/>
      <c r="B7690" s="67"/>
      <c r="C7690" s="66"/>
      <c r="D7690" s="68"/>
      <c r="E7690" s="10"/>
      <c r="F7690" s="69"/>
      <c r="G7690" s="68"/>
      <c r="H7690" s="70"/>
      <c r="BA7690" s="4"/>
      <c r="BB7690" s="4"/>
    </row>
    <row r="7691" spans="1:54" x14ac:dyDescent="0.3">
      <c r="A7691" s="66"/>
      <c r="B7691" s="67"/>
      <c r="C7691" s="66"/>
      <c r="D7691" s="68"/>
      <c r="E7691" s="10"/>
      <c r="F7691" s="69"/>
      <c r="G7691" s="68"/>
      <c r="H7691" s="70"/>
      <c r="BA7691" s="4"/>
      <c r="BB7691" s="4"/>
    </row>
    <row r="7692" spans="1:54" x14ac:dyDescent="0.3">
      <c r="A7692" s="66"/>
      <c r="B7692" s="67"/>
      <c r="C7692" s="66"/>
      <c r="D7692" s="68"/>
      <c r="E7692" s="10"/>
      <c r="F7692" s="69"/>
      <c r="G7692" s="68"/>
      <c r="H7692" s="70"/>
      <c r="BA7692" s="4"/>
      <c r="BB7692" s="4"/>
    </row>
    <row r="7693" spans="1:54" x14ac:dyDescent="0.3">
      <c r="A7693" s="66"/>
      <c r="B7693" s="67"/>
      <c r="C7693" s="66"/>
      <c r="D7693" s="68"/>
      <c r="E7693" s="10"/>
      <c r="F7693" s="69"/>
      <c r="G7693" s="68"/>
      <c r="H7693" s="70"/>
      <c r="BA7693" s="4"/>
      <c r="BB7693" s="4"/>
    </row>
    <row r="7694" spans="1:54" x14ac:dyDescent="0.3">
      <c r="A7694" s="66"/>
      <c r="B7694" s="67"/>
      <c r="C7694" s="66"/>
      <c r="D7694" s="68"/>
      <c r="E7694" s="10"/>
      <c r="F7694" s="69"/>
      <c r="G7694" s="68"/>
      <c r="H7694" s="70"/>
      <c r="BA7694" s="4"/>
      <c r="BB7694" s="4"/>
    </row>
    <row r="7695" spans="1:54" x14ac:dyDescent="0.3">
      <c r="A7695" s="66"/>
      <c r="B7695" s="67"/>
      <c r="C7695" s="66"/>
      <c r="D7695" s="68"/>
      <c r="E7695" s="10"/>
      <c r="F7695" s="69"/>
      <c r="G7695" s="68"/>
      <c r="H7695" s="70"/>
      <c r="BA7695" s="4"/>
      <c r="BB7695" s="4"/>
    </row>
    <row r="7696" spans="1:54" x14ac:dyDescent="0.3">
      <c r="A7696" s="66"/>
      <c r="B7696" s="67"/>
      <c r="C7696" s="66"/>
      <c r="D7696" s="68"/>
      <c r="E7696" s="10"/>
      <c r="F7696" s="69"/>
      <c r="G7696" s="68"/>
      <c r="H7696" s="70"/>
      <c r="BA7696" s="4"/>
      <c r="BB7696" s="4"/>
    </row>
    <row r="7697" spans="1:54" x14ac:dyDescent="0.3">
      <c r="A7697" s="66"/>
      <c r="B7697" s="67"/>
      <c r="C7697" s="66"/>
      <c r="D7697" s="68"/>
      <c r="E7697" s="10"/>
      <c r="F7697" s="69"/>
      <c r="G7697" s="68"/>
      <c r="H7697" s="70"/>
      <c r="BA7697" s="4"/>
      <c r="BB7697" s="4"/>
    </row>
    <row r="7698" spans="1:54" x14ac:dyDescent="0.3">
      <c r="A7698" s="66"/>
      <c r="B7698" s="67"/>
      <c r="C7698" s="66"/>
      <c r="D7698" s="68"/>
      <c r="E7698" s="10"/>
      <c r="F7698" s="69"/>
      <c r="G7698" s="68"/>
      <c r="H7698" s="70"/>
      <c r="BA7698" s="4"/>
      <c r="BB7698" s="4"/>
    </row>
    <row r="7699" spans="1:54" x14ac:dyDescent="0.3">
      <c r="A7699" s="66"/>
      <c r="B7699" s="67"/>
      <c r="C7699" s="66"/>
      <c r="D7699" s="68"/>
      <c r="E7699" s="10"/>
      <c r="F7699" s="69"/>
      <c r="G7699" s="68"/>
      <c r="H7699" s="70"/>
      <c r="BA7699" s="4"/>
      <c r="BB7699" s="4"/>
    </row>
    <row r="7700" spans="1:54" x14ac:dyDescent="0.3">
      <c r="A7700" s="66"/>
      <c r="B7700" s="67"/>
      <c r="C7700" s="66"/>
      <c r="D7700" s="68"/>
      <c r="E7700" s="10"/>
      <c r="F7700" s="69"/>
      <c r="G7700" s="68"/>
      <c r="H7700" s="70"/>
      <c r="BA7700" s="4"/>
      <c r="BB7700" s="4"/>
    </row>
    <row r="7701" spans="1:54" x14ac:dyDescent="0.3">
      <c r="A7701" s="66"/>
      <c r="B7701" s="67"/>
      <c r="C7701" s="66"/>
      <c r="D7701" s="68"/>
      <c r="E7701" s="10"/>
      <c r="F7701" s="69"/>
      <c r="G7701" s="68"/>
      <c r="H7701" s="70"/>
      <c r="BA7701" s="4"/>
      <c r="BB7701" s="4"/>
    </row>
    <row r="7702" spans="1:54" x14ac:dyDescent="0.3">
      <c r="A7702" s="66"/>
      <c r="B7702" s="67"/>
      <c r="C7702" s="66"/>
      <c r="D7702" s="68"/>
      <c r="E7702" s="10"/>
      <c r="F7702" s="69"/>
      <c r="G7702" s="68"/>
      <c r="H7702" s="70"/>
      <c r="BA7702" s="4"/>
      <c r="BB7702" s="4"/>
    </row>
    <row r="7703" spans="1:54" x14ac:dyDescent="0.3">
      <c r="A7703" s="66"/>
      <c r="B7703" s="67"/>
      <c r="C7703" s="66"/>
      <c r="D7703" s="68"/>
      <c r="E7703" s="10"/>
      <c r="F7703" s="69"/>
      <c r="G7703" s="68"/>
      <c r="H7703" s="70"/>
      <c r="BA7703" s="4"/>
      <c r="BB7703" s="4"/>
    </row>
    <row r="7704" spans="1:54" x14ac:dyDescent="0.3">
      <c r="A7704" s="66"/>
      <c r="B7704" s="67"/>
      <c r="C7704" s="66"/>
      <c r="D7704" s="68"/>
      <c r="E7704" s="10"/>
      <c r="F7704" s="69"/>
      <c r="G7704" s="68"/>
      <c r="H7704" s="70"/>
      <c r="BA7704" s="4"/>
      <c r="BB7704" s="4"/>
    </row>
    <row r="7705" spans="1:54" x14ac:dyDescent="0.3">
      <c r="A7705" s="66"/>
      <c r="B7705" s="67"/>
      <c r="C7705" s="66"/>
      <c r="D7705" s="68"/>
      <c r="E7705" s="10"/>
      <c r="F7705" s="69"/>
      <c r="G7705" s="68"/>
      <c r="H7705" s="70"/>
      <c r="BA7705" s="4"/>
      <c r="BB7705" s="4"/>
    </row>
    <row r="7706" spans="1:54" x14ac:dyDescent="0.3">
      <c r="A7706" s="66"/>
      <c r="B7706" s="67"/>
      <c r="C7706" s="66"/>
      <c r="D7706" s="68"/>
      <c r="E7706" s="10"/>
      <c r="F7706" s="69"/>
      <c r="G7706" s="68"/>
      <c r="H7706" s="70"/>
      <c r="BA7706" s="4"/>
      <c r="BB7706" s="4"/>
    </row>
    <row r="7707" spans="1:54" x14ac:dyDescent="0.3">
      <c r="A7707" s="66"/>
      <c r="B7707" s="67"/>
      <c r="C7707" s="66"/>
      <c r="D7707" s="68"/>
      <c r="E7707" s="10"/>
      <c r="F7707" s="69"/>
      <c r="G7707" s="68"/>
      <c r="H7707" s="70"/>
      <c r="BA7707" s="4"/>
      <c r="BB7707" s="4"/>
    </row>
    <row r="7708" spans="1:54" x14ac:dyDescent="0.3">
      <c r="A7708" s="66"/>
      <c r="B7708" s="67"/>
      <c r="C7708" s="66"/>
      <c r="D7708" s="68"/>
      <c r="E7708" s="10"/>
      <c r="F7708" s="69"/>
      <c r="G7708" s="68"/>
      <c r="H7708" s="70"/>
      <c r="BA7708" s="4"/>
      <c r="BB7708" s="4"/>
    </row>
    <row r="7709" spans="1:54" x14ac:dyDescent="0.3">
      <c r="A7709" s="66"/>
      <c r="B7709" s="67"/>
      <c r="C7709" s="66"/>
      <c r="D7709" s="68"/>
      <c r="E7709" s="10"/>
      <c r="F7709" s="69"/>
      <c r="G7709" s="68"/>
      <c r="H7709" s="70"/>
      <c r="BA7709" s="4"/>
      <c r="BB7709" s="4"/>
    </row>
    <row r="7710" spans="1:54" x14ac:dyDescent="0.3">
      <c r="A7710" s="66"/>
      <c r="B7710" s="67"/>
      <c r="C7710" s="66"/>
      <c r="D7710" s="68"/>
      <c r="E7710" s="10"/>
      <c r="F7710" s="69"/>
      <c r="G7710" s="68"/>
      <c r="H7710" s="70"/>
      <c r="BA7710" s="4"/>
      <c r="BB7710" s="4"/>
    </row>
    <row r="7711" spans="1:54" x14ac:dyDescent="0.3">
      <c r="A7711" s="66"/>
      <c r="B7711" s="67"/>
      <c r="C7711" s="66"/>
      <c r="D7711" s="68"/>
      <c r="E7711" s="10"/>
      <c r="F7711" s="69"/>
      <c r="G7711" s="68"/>
      <c r="H7711" s="70"/>
      <c r="BA7711" s="4"/>
      <c r="BB7711" s="4"/>
    </row>
    <row r="7712" spans="1:54" x14ac:dyDescent="0.3">
      <c r="A7712" s="66"/>
      <c r="B7712" s="67"/>
      <c r="C7712" s="66"/>
      <c r="D7712" s="68"/>
      <c r="E7712" s="10"/>
      <c r="F7712" s="69"/>
      <c r="G7712" s="68"/>
      <c r="H7712" s="70"/>
      <c r="BA7712" s="4"/>
      <c r="BB7712" s="4"/>
    </row>
    <row r="7713" spans="1:54" x14ac:dyDescent="0.3">
      <c r="A7713" s="66"/>
      <c r="B7713" s="67"/>
      <c r="C7713" s="66"/>
      <c r="D7713" s="68"/>
      <c r="E7713" s="10"/>
      <c r="F7713" s="69"/>
      <c r="G7713" s="68"/>
      <c r="H7713" s="70"/>
      <c r="BA7713" s="4"/>
      <c r="BB7713" s="4"/>
    </row>
    <row r="7714" spans="1:54" x14ac:dyDescent="0.3">
      <c r="A7714" s="66"/>
      <c r="B7714" s="67"/>
      <c r="C7714" s="66"/>
      <c r="D7714" s="68"/>
      <c r="E7714" s="10"/>
      <c r="F7714" s="69"/>
      <c r="G7714" s="68"/>
      <c r="H7714" s="70"/>
      <c r="BA7714" s="4"/>
      <c r="BB7714" s="4"/>
    </row>
    <row r="7715" spans="1:54" x14ac:dyDescent="0.3">
      <c r="A7715" s="66"/>
      <c r="B7715" s="67"/>
      <c r="C7715" s="66"/>
      <c r="D7715" s="68"/>
      <c r="E7715" s="10"/>
      <c r="F7715" s="69"/>
      <c r="G7715" s="68"/>
      <c r="H7715" s="70"/>
      <c r="BA7715" s="4"/>
      <c r="BB7715" s="4"/>
    </row>
    <row r="7716" spans="1:54" x14ac:dyDescent="0.3">
      <c r="A7716" s="66"/>
      <c r="B7716" s="67"/>
      <c r="C7716" s="66"/>
      <c r="D7716" s="68"/>
      <c r="E7716" s="10"/>
      <c r="F7716" s="69"/>
      <c r="G7716" s="68"/>
      <c r="H7716" s="70"/>
      <c r="BA7716" s="4"/>
      <c r="BB7716" s="4"/>
    </row>
    <row r="7717" spans="1:54" x14ac:dyDescent="0.3">
      <c r="A7717" s="66"/>
      <c r="B7717" s="67"/>
      <c r="C7717" s="66"/>
      <c r="D7717" s="68"/>
      <c r="E7717" s="10"/>
      <c r="F7717" s="69"/>
      <c r="G7717" s="68"/>
      <c r="H7717" s="70"/>
      <c r="BA7717" s="4"/>
      <c r="BB7717" s="4"/>
    </row>
    <row r="7718" spans="1:54" x14ac:dyDescent="0.3">
      <c r="A7718" s="66"/>
      <c r="B7718" s="67"/>
      <c r="C7718" s="66"/>
      <c r="D7718" s="68"/>
      <c r="E7718" s="10"/>
      <c r="F7718" s="69"/>
      <c r="G7718" s="68"/>
      <c r="H7718" s="70"/>
      <c r="BA7718" s="4"/>
      <c r="BB7718" s="4"/>
    </row>
    <row r="7719" spans="1:54" x14ac:dyDescent="0.3">
      <c r="A7719" s="66"/>
      <c r="B7719" s="67"/>
      <c r="C7719" s="66"/>
      <c r="D7719" s="68"/>
      <c r="E7719" s="10"/>
      <c r="F7719" s="69"/>
      <c r="G7719" s="68"/>
      <c r="H7719" s="70"/>
      <c r="BA7719" s="4"/>
      <c r="BB7719" s="4"/>
    </row>
    <row r="7720" spans="1:54" x14ac:dyDescent="0.3">
      <c r="A7720" s="66"/>
      <c r="B7720" s="67"/>
      <c r="C7720" s="66"/>
      <c r="D7720" s="68"/>
      <c r="E7720" s="10"/>
      <c r="F7720" s="69"/>
      <c r="G7720" s="68"/>
      <c r="H7720" s="70"/>
      <c r="BA7720" s="4"/>
      <c r="BB7720" s="4"/>
    </row>
    <row r="7721" spans="1:54" x14ac:dyDescent="0.3">
      <c r="A7721" s="66"/>
      <c r="B7721" s="67"/>
      <c r="C7721" s="66"/>
      <c r="D7721" s="68"/>
      <c r="E7721" s="10"/>
      <c r="F7721" s="69"/>
      <c r="G7721" s="68"/>
      <c r="H7721" s="70"/>
      <c r="BA7721" s="4"/>
      <c r="BB7721" s="4"/>
    </row>
    <row r="7722" spans="1:54" x14ac:dyDescent="0.3">
      <c r="A7722" s="66"/>
      <c r="B7722" s="67"/>
      <c r="C7722" s="66"/>
      <c r="D7722" s="68"/>
      <c r="E7722" s="10"/>
      <c r="F7722" s="69"/>
      <c r="G7722" s="68"/>
      <c r="H7722" s="70"/>
      <c r="BA7722" s="4"/>
      <c r="BB7722" s="4"/>
    </row>
    <row r="7723" spans="1:54" x14ac:dyDescent="0.3">
      <c r="A7723" s="66"/>
      <c r="B7723" s="67"/>
      <c r="C7723" s="66"/>
      <c r="D7723" s="68"/>
      <c r="E7723" s="10"/>
      <c r="F7723" s="69"/>
      <c r="G7723" s="68"/>
      <c r="H7723" s="70"/>
      <c r="BA7723" s="4"/>
      <c r="BB7723" s="4"/>
    </row>
    <row r="7724" spans="1:54" x14ac:dyDescent="0.3">
      <c r="A7724" s="66"/>
      <c r="B7724" s="67"/>
      <c r="C7724" s="66"/>
      <c r="D7724" s="68"/>
      <c r="E7724" s="10"/>
      <c r="F7724" s="69"/>
      <c r="G7724" s="68"/>
      <c r="H7724" s="70"/>
      <c r="BA7724" s="4"/>
      <c r="BB7724" s="4"/>
    </row>
    <row r="7725" spans="1:54" x14ac:dyDescent="0.3">
      <c r="A7725" s="66"/>
      <c r="B7725" s="67"/>
      <c r="C7725" s="66"/>
      <c r="D7725" s="68"/>
      <c r="E7725" s="10"/>
      <c r="F7725" s="69"/>
      <c r="G7725" s="68"/>
      <c r="H7725" s="70"/>
      <c r="BA7725" s="4"/>
      <c r="BB7725" s="4"/>
    </row>
    <row r="7726" spans="1:54" x14ac:dyDescent="0.3">
      <c r="A7726" s="66"/>
      <c r="B7726" s="67"/>
      <c r="C7726" s="66"/>
      <c r="D7726" s="68"/>
      <c r="E7726" s="10"/>
      <c r="F7726" s="69"/>
      <c r="G7726" s="68"/>
      <c r="H7726" s="70"/>
      <c r="BA7726" s="4"/>
      <c r="BB7726" s="4"/>
    </row>
    <row r="7727" spans="1:54" x14ac:dyDescent="0.3">
      <c r="A7727" s="66"/>
      <c r="B7727" s="67"/>
      <c r="C7727" s="66"/>
      <c r="D7727" s="68"/>
      <c r="E7727" s="10"/>
      <c r="F7727" s="69"/>
      <c r="G7727" s="68"/>
      <c r="H7727" s="70"/>
      <c r="BA7727" s="4"/>
      <c r="BB7727" s="4"/>
    </row>
    <row r="7728" spans="1:54" x14ac:dyDescent="0.3">
      <c r="A7728" s="66"/>
      <c r="B7728" s="67"/>
      <c r="C7728" s="66"/>
      <c r="D7728" s="68"/>
      <c r="E7728" s="10"/>
      <c r="F7728" s="69"/>
      <c r="G7728" s="68"/>
      <c r="H7728" s="70"/>
      <c r="BA7728" s="4"/>
      <c r="BB7728" s="4"/>
    </row>
    <row r="7729" spans="1:54" x14ac:dyDescent="0.3">
      <c r="A7729" s="66"/>
      <c r="B7729" s="67"/>
      <c r="C7729" s="66"/>
      <c r="D7729" s="68"/>
      <c r="E7729" s="10"/>
      <c r="F7729" s="69"/>
      <c r="G7729" s="68"/>
      <c r="H7729" s="70"/>
      <c r="BA7729" s="4"/>
      <c r="BB7729" s="4"/>
    </row>
    <row r="7730" spans="1:54" x14ac:dyDescent="0.3">
      <c r="A7730" s="66"/>
      <c r="B7730" s="67"/>
      <c r="C7730" s="66"/>
      <c r="D7730" s="68"/>
      <c r="E7730" s="10"/>
      <c r="F7730" s="69"/>
      <c r="G7730" s="68"/>
      <c r="H7730" s="70"/>
      <c r="BA7730" s="4"/>
      <c r="BB7730" s="4"/>
    </row>
    <row r="7731" spans="1:54" x14ac:dyDescent="0.3">
      <c r="A7731" s="66"/>
      <c r="B7731" s="67"/>
      <c r="C7731" s="66"/>
      <c r="D7731" s="68"/>
      <c r="E7731" s="10"/>
      <c r="F7731" s="69"/>
      <c r="G7731" s="68"/>
      <c r="H7731" s="70"/>
      <c r="BA7731" s="4"/>
      <c r="BB7731" s="4"/>
    </row>
    <row r="7732" spans="1:54" x14ac:dyDescent="0.3">
      <c r="A7732" s="66"/>
      <c r="B7732" s="67"/>
      <c r="C7732" s="66"/>
      <c r="D7732" s="68"/>
      <c r="E7732" s="10"/>
      <c r="F7732" s="69"/>
      <c r="G7732" s="68"/>
      <c r="H7732" s="70"/>
      <c r="BA7732" s="4"/>
      <c r="BB7732" s="4"/>
    </row>
    <row r="7733" spans="1:54" x14ac:dyDescent="0.3">
      <c r="A7733" s="66"/>
      <c r="B7733" s="67"/>
      <c r="C7733" s="66"/>
      <c r="D7733" s="68"/>
      <c r="E7733" s="10"/>
      <c r="F7733" s="69"/>
      <c r="G7733" s="68"/>
      <c r="H7733" s="70"/>
      <c r="BA7733" s="4"/>
      <c r="BB7733" s="4"/>
    </row>
    <row r="7734" spans="1:54" x14ac:dyDescent="0.3">
      <c r="A7734" s="66"/>
      <c r="B7734" s="67"/>
      <c r="C7734" s="66"/>
      <c r="D7734" s="68"/>
      <c r="E7734" s="10"/>
      <c r="F7734" s="69"/>
      <c r="G7734" s="68"/>
      <c r="H7734" s="70"/>
      <c r="BA7734" s="4"/>
      <c r="BB7734" s="4"/>
    </row>
    <row r="7735" spans="1:54" x14ac:dyDescent="0.3">
      <c r="A7735" s="66"/>
      <c r="B7735" s="67"/>
      <c r="C7735" s="66"/>
      <c r="D7735" s="68"/>
      <c r="E7735" s="10"/>
      <c r="F7735" s="69"/>
      <c r="G7735" s="68"/>
      <c r="H7735" s="70"/>
      <c r="BA7735" s="4"/>
      <c r="BB7735" s="4"/>
    </row>
    <row r="7736" spans="1:54" x14ac:dyDescent="0.3">
      <c r="A7736" s="66"/>
      <c r="B7736" s="67"/>
      <c r="C7736" s="66"/>
      <c r="D7736" s="68"/>
      <c r="E7736" s="10"/>
      <c r="F7736" s="69"/>
      <c r="G7736" s="68"/>
      <c r="H7736" s="70"/>
      <c r="BA7736" s="4"/>
      <c r="BB7736" s="4"/>
    </row>
    <row r="7737" spans="1:54" x14ac:dyDescent="0.3">
      <c r="A7737" s="66"/>
      <c r="B7737" s="67"/>
      <c r="C7737" s="66"/>
      <c r="D7737" s="68"/>
      <c r="E7737" s="10"/>
      <c r="F7737" s="69"/>
      <c r="G7737" s="68"/>
      <c r="H7737" s="70"/>
      <c r="BA7737" s="4"/>
      <c r="BB7737" s="4"/>
    </row>
    <row r="7738" spans="1:54" x14ac:dyDescent="0.3">
      <c r="A7738" s="66"/>
      <c r="B7738" s="67"/>
      <c r="C7738" s="66"/>
      <c r="D7738" s="68"/>
      <c r="E7738" s="10"/>
      <c r="F7738" s="69"/>
      <c r="G7738" s="68"/>
      <c r="H7738" s="70"/>
      <c r="BA7738" s="4"/>
      <c r="BB7738" s="4"/>
    </row>
    <row r="7739" spans="1:54" x14ac:dyDescent="0.3">
      <c r="A7739" s="66"/>
      <c r="B7739" s="67"/>
      <c r="C7739" s="66"/>
      <c r="D7739" s="68"/>
      <c r="E7739" s="10"/>
      <c r="F7739" s="69"/>
      <c r="G7739" s="68"/>
      <c r="H7739" s="70"/>
      <c r="BA7739" s="4"/>
      <c r="BB7739" s="4"/>
    </row>
    <row r="7740" spans="1:54" x14ac:dyDescent="0.3">
      <c r="A7740" s="66"/>
      <c r="B7740" s="67"/>
      <c r="C7740" s="66"/>
      <c r="D7740" s="68"/>
      <c r="E7740" s="10"/>
      <c r="F7740" s="69"/>
      <c r="G7740" s="68"/>
      <c r="H7740" s="70"/>
      <c r="BA7740" s="4"/>
      <c r="BB7740" s="4"/>
    </row>
    <row r="7741" spans="1:54" x14ac:dyDescent="0.3">
      <c r="A7741" s="66"/>
      <c r="B7741" s="67"/>
      <c r="C7741" s="66"/>
      <c r="D7741" s="68"/>
      <c r="E7741" s="10"/>
      <c r="F7741" s="69"/>
      <c r="G7741" s="68"/>
      <c r="H7741" s="70"/>
      <c r="BA7741" s="4"/>
      <c r="BB7741" s="4"/>
    </row>
    <row r="7742" spans="1:54" x14ac:dyDescent="0.3">
      <c r="A7742" s="66"/>
      <c r="B7742" s="67"/>
      <c r="C7742" s="66"/>
      <c r="D7742" s="68"/>
      <c r="E7742" s="10"/>
      <c r="F7742" s="69"/>
      <c r="G7742" s="68"/>
      <c r="H7742" s="70"/>
      <c r="BA7742" s="4"/>
      <c r="BB7742" s="4"/>
    </row>
    <row r="7743" spans="1:54" x14ac:dyDescent="0.3">
      <c r="A7743" s="66"/>
      <c r="B7743" s="67"/>
      <c r="C7743" s="66"/>
      <c r="D7743" s="68"/>
      <c r="E7743" s="10"/>
      <c r="F7743" s="69"/>
      <c r="G7743" s="68"/>
      <c r="H7743" s="70"/>
      <c r="BA7743" s="4"/>
      <c r="BB7743" s="4"/>
    </row>
    <row r="7744" spans="1:54" x14ac:dyDescent="0.3">
      <c r="A7744" s="66"/>
      <c r="B7744" s="67"/>
      <c r="C7744" s="66"/>
      <c r="D7744" s="68"/>
      <c r="E7744" s="10"/>
      <c r="F7744" s="69"/>
      <c r="G7744" s="68"/>
      <c r="H7744" s="70"/>
      <c r="BA7744" s="4"/>
      <c r="BB7744" s="4"/>
    </row>
    <row r="7745" spans="1:54" x14ac:dyDescent="0.3">
      <c r="A7745" s="66"/>
      <c r="B7745" s="67"/>
      <c r="C7745" s="66"/>
      <c r="D7745" s="68"/>
      <c r="E7745" s="10"/>
      <c r="F7745" s="69"/>
      <c r="G7745" s="68"/>
      <c r="H7745" s="70"/>
      <c r="BA7745" s="4"/>
      <c r="BB7745" s="4"/>
    </row>
    <row r="7746" spans="1:54" x14ac:dyDescent="0.3">
      <c r="A7746" s="66"/>
      <c r="B7746" s="67"/>
      <c r="C7746" s="66"/>
      <c r="D7746" s="68"/>
      <c r="E7746" s="10"/>
      <c r="F7746" s="69"/>
      <c r="G7746" s="68"/>
      <c r="H7746" s="70"/>
      <c r="BA7746" s="4"/>
      <c r="BB7746" s="4"/>
    </row>
    <row r="7747" spans="1:54" x14ac:dyDescent="0.3">
      <c r="A7747" s="66"/>
      <c r="B7747" s="67"/>
      <c r="C7747" s="66"/>
      <c r="D7747" s="68"/>
      <c r="E7747" s="10"/>
      <c r="F7747" s="69"/>
      <c r="G7747" s="68"/>
      <c r="H7747" s="70"/>
      <c r="BA7747" s="4"/>
      <c r="BB7747" s="4"/>
    </row>
    <row r="7748" spans="1:54" x14ac:dyDescent="0.3">
      <c r="A7748" s="66"/>
      <c r="B7748" s="67"/>
      <c r="C7748" s="66"/>
      <c r="D7748" s="68"/>
      <c r="E7748" s="10"/>
      <c r="F7748" s="69"/>
      <c r="G7748" s="68"/>
      <c r="H7748" s="70"/>
      <c r="BA7748" s="4"/>
      <c r="BB7748" s="4"/>
    </row>
    <row r="7749" spans="1:54" x14ac:dyDescent="0.3">
      <c r="A7749" s="66"/>
      <c r="B7749" s="67"/>
      <c r="C7749" s="66"/>
      <c r="D7749" s="68"/>
      <c r="E7749" s="10"/>
      <c r="F7749" s="69"/>
      <c r="G7749" s="68"/>
      <c r="H7749" s="70"/>
      <c r="BA7749" s="4"/>
      <c r="BB7749" s="4"/>
    </row>
    <row r="7750" spans="1:54" x14ac:dyDescent="0.3">
      <c r="A7750" s="66"/>
      <c r="B7750" s="67"/>
      <c r="C7750" s="66"/>
      <c r="D7750" s="68"/>
      <c r="E7750" s="10"/>
      <c r="F7750" s="69"/>
      <c r="G7750" s="68"/>
      <c r="H7750" s="70"/>
      <c r="BA7750" s="4"/>
      <c r="BB7750" s="4"/>
    </row>
    <row r="7751" spans="1:54" x14ac:dyDescent="0.3">
      <c r="A7751" s="66"/>
      <c r="B7751" s="67"/>
      <c r="C7751" s="66"/>
      <c r="D7751" s="68"/>
      <c r="E7751" s="10"/>
      <c r="F7751" s="69"/>
      <c r="G7751" s="68"/>
      <c r="H7751" s="70"/>
      <c r="BA7751" s="4"/>
      <c r="BB7751" s="4"/>
    </row>
    <row r="7752" spans="1:54" x14ac:dyDescent="0.3">
      <c r="A7752" s="66"/>
      <c r="B7752" s="67"/>
      <c r="C7752" s="66"/>
      <c r="D7752" s="68"/>
      <c r="E7752" s="10"/>
      <c r="F7752" s="69"/>
      <c r="G7752" s="68"/>
      <c r="H7752" s="70"/>
      <c r="BA7752" s="4"/>
      <c r="BB7752" s="4"/>
    </row>
    <row r="7753" spans="1:54" x14ac:dyDescent="0.3">
      <c r="A7753" s="66"/>
      <c r="B7753" s="67"/>
      <c r="C7753" s="66"/>
      <c r="D7753" s="68"/>
      <c r="E7753" s="10"/>
      <c r="F7753" s="69"/>
      <c r="G7753" s="68"/>
      <c r="H7753" s="70"/>
      <c r="BA7753" s="4"/>
      <c r="BB7753" s="4"/>
    </row>
    <row r="7754" spans="1:54" x14ac:dyDescent="0.3">
      <c r="A7754" s="66"/>
      <c r="B7754" s="67"/>
      <c r="C7754" s="66"/>
      <c r="D7754" s="68"/>
      <c r="E7754" s="10"/>
      <c r="F7754" s="69"/>
      <c r="G7754" s="68"/>
      <c r="H7754" s="70"/>
      <c r="BA7754" s="4"/>
      <c r="BB7754" s="4"/>
    </row>
    <row r="7755" spans="1:54" x14ac:dyDescent="0.3">
      <c r="A7755" s="66"/>
      <c r="B7755" s="67"/>
      <c r="C7755" s="66"/>
      <c r="D7755" s="68"/>
      <c r="E7755" s="10"/>
      <c r="F7755" s="69"/>
      <c r="G7755" s="68"/>
      <c r="H7755" s="70"/>
      <c r="BA7755" s="4"/>
      <c r="BB7755" s="4"/>
    </row>
    <row r="7756" spans="1:54" x14ac:dyDescent="0.3">
      <c r="A7756" s="66"/>
      <c r="B7756" s="67"/>
      <c r="C7756" s="66"/>
      <c r="D7756" s="68"/>
      <c r="E7756" s="10"/>
      <c r="F7756" s="69"/>
      <c r="G7756" s="68"/>
      <c r="H7756" s="70"/>
      <c r="BA7756" s="4"/>
      <c r="BB7756" s="4"/>
    </row>
    <row r="7757" spans="1:54" x14ac:dyDescent="0.3">
      <c r="A7757" s="66"/>
      <c r="B7757" s="67"/>
      <c r="C7757" s="66"/>
      <c r="D7757" s="68"/>
      <c r="E7757" s="10"/>
      <c r="F7757" s="69"/>
      <c r="G7757" s="68"/>
      <c r="H7757" s="70"/>
      <c r="BA7757" s="4"/>
      <c r="BB7757" s="4"/>
    </row>
    <row r="7758" spans="1:54" x14ac:dyDescent="0.3">
      <c r="A7758" s="66"/>
      <c r="B7758" s="67"/>
      <c r="C7758" s="66"/>
      <c r="D7758" s="68"/>
      <c r="E7758" s="10"/>
      <c r="F7758" s="69"/>
      <c r="G7758" s="68"/>
      <c r="H7758" s="70"/>
      <c r="BA7758" s="4"/>
      <c r="BB7758" s="4"/>
    </row>
    <row r="7759" spans="1:54" x14ac:dyDescent="0.3">
      <c r="A7759" s="66"/>
      <c r="B7759" s="67"/>
      <c r="C7759" s="66"/>
      <c r="D7759" s="68"/>
      <c r="E7759" s="10"/>
      <c r="F7759" s="69"/>
      <c r="G7759" s="68"/>
      <c r="H7759" s="70"/>
      <c r="BA7759" s="4"/>
      <c r="BB7759" s="4"/>
    </row>
    <row r="7760" spans="1:54" x14ac:dyDescent="0.3">
      <c r="A7760" s="66"/>
      <c r="B7760" s="67"/>
      <c r="C7760" s="66"/>
      <c r="D7760" s="68"/>
      <c r="E7760" s="10"/>
      <c r="F7760" s="69"/>
      <c r="G7760" s="68"/>
      <c r="H7760" s="70"/>
      <c r="BA7760" s="4"/>
      <c r="BB7760" s="4"/>
    </row>
    <row r="7761" spans="1:54" x14ac:dyDescent="0.3">
      <c r="A7761" s="66"/>
      <c r="B7761" s="67"/>
      <c r="C7761" s="66"/>
      <c r="D7761" s="68"/>
      <c r="E7761" s="10"/>
      <c r="F7761" s="69"/>
      <c r="G7761" s="68"/>
      <c r="H7761" s="70"/>
      <c r="BA7761" s="4"/>
      <c r="BB7761" s="4"/>
    </row>
    <row r="7762" spans="1:54" x14ac:dyDescent="0.3">
      <c r="A7762" s="66"/>
      <c r="B7762" s="67"/>
      <c r="C7762" s="66"/>
      <c r="D7762" s="68"/>
      <c r="E7762" s="10"/>
      <c r="F7762" s="69"/>
      <c r="G7762" s="68"/>
      <c r="H7762" s="70"/>
      <c r="BA7762" s="4"/>
      <c r="BB7762" s="4"/>
    </row>
    <row r="7763" spans="1:54" x14ac:dyDescent="0.3">
      <c r="A7763" s="66"/>
      <c r="B7763" s="67"/>
      <c r="C7763" s="66"/>
      <c r="D7763" s="68"/>
      <c r="E7763" s="10"/>
      <c r="F7763" s="69"/>
      <c r="G7763" s="68"/>
      <c r="H7763" s="70"/>
      <c r="BA7763" s="4"/>
      <c r="BB7763" s="4"/>
    </row>
    <row r="7764" spans="1:54" x14ac:dyDescent="0.3">
      <c r="A7764" s="66"/>
      <c r="B7764" s="67"/>
      <c r="C7764" s="66"/>
      <c r="D7764" s="68"/>
      <c r="E7764" s="10"/>
      <c r="F7764" s="69"/>
      <c r="G7764" s="68"/>
      <c r="H7764" s="70"/>
      <c r="BA7764" s="4"/>
      <c r="BB7764" s="4"/>
    </row>
    <row r="7765" spans="1:54" x14ac:dyDescent="0.3">
      <c r="A7765" s="66"/>
      <c r="B7765" s="67"/>
      <c r="C7765" s="66"/>
      <c r="D7765" s="68"/>
      <c r="E7765" s="10"/>
      <c r="F7765" s="69"/>
      <c r="G7765" s="68"/>
      <c r="H7765" s="70"/>
      <c r="BA7765" s="4"/>
      <c r="BB7765" s="4"/>
    </row>
    <row r="7766" spans="1:54" x14ac:dyDescent="0.3">
      <c r="A7766" s="66"/>
      <c r="B7766" s="67"/>
      <c r="C7766" s="66"/>
      <c r="D7766" s="68"/>
      <c r="E7766" s="10"/>
      <c r="F7766" s="69"/>
      <c r="G7766" s="68"/>
      <c r="H7766" s="70"/>
      <c r="BA7766" s="4"/>
      <c r="BB7766" s="4"/>
    </row>
    <row r="7767" spans="1:54" x14ac:dyDescent="0.3">
      <c r="A7767" s="66"/>
      <c r="B7767" s="67"/>
      <c r="C7767" s="66"/>
      <c r="D7767" s="68"/>
      <c r="E7767" s="10"/>
      <c r="F7767" s="69"/>
      <c r="G7767" s="68"/>
      <c r="H7767" s="70"/>
      <c r="BA7767" s="4"/>
      <c r="BB7767" s="4"/>
    </row>
    <row r="7768" spans="1:54" x14ac:dyDescent="0.3">
      <c r="A7768" s="66"/>
      <c r="B7768" s="67"/>
      <c r="C7768" s="66"/>
      <c r="D7768" s="68"/>
      <c r="E7768" s="10"/>
      <c r="F7768" s="69"/>
      <c r="G7768" s="68"/>
      <c r="H7768" s="70"/>
      <c r="BA7768" s="4"/>
      <c r="BB7768" s="4"/>
    </row>
    <row r="7769" spans="1:54" x14ac:dyDescent="0.3">
      <c r="A7769" s="66"/>
      <c r="B7769" s="67"/>
      <c r="C7769" s="66"/>
      <c r="D7769" s="68"/>
      <c r="E7769" s="10"/>
      <c r="F7769" s="69"/>
      <c r="G7769" s="68"/>
      <c r="H7769" s="70"/>
      <c r="BA7769" s="4"/>
      <c r="BB7769" s="4"/>
    </row>
    <row r="7770" spans="1:54" x14ac:dyDescent="0.3">
      <c r="A7770" s="66"/>
      <c r="B7770" s="67"/>
      <c r="C7770" s="66"/>
      <c r="D7770" s="68"/>
      <c r="E7770" s="10"/>
      <c r="F7770" s="69"/>
      <c r="G7770" s="68"/>
      <c r="H7770" s="70"/>
      <c r="BA7770" s="4"/>
      <c r="BB7770" s="4"/>
    </row>
    <row r="7771" spans="1:54" x14ac:dyDescent="0.3">
      <c r="A7771" s="66"/>
      <c r="B7771" s="67"/>
      <c r="C7771" s="66"/>
      <c r="D7771" s="68"/>
      <c r="E7771" s="10"/>
      <c r="F7771" s="69"/>
      <c r="G7771" s="68"/>
      <c r="H7771" s="70"/>
      <c r="BA7771" s="4"/>
      <c r="BB7771" s="4"/>
    </row>
    <row r="7772" spans="1:54" x14ac:dyDescent="0.3">
      <c r="A7772" s="66"/>
      <c r="B7772" s="67"/>
      <c r="C7772" s="66"/>
      <c r="D7772" s="68"/>
      <c r="E7772" s="10"/>
      <c r="F7772" s="69"/>
      <c r="G7772" s="68"/>
      <c r="H7772" s="70"/>
      <c r="BA7772" s="4"/>
      <c r="BB7772" s="4"/>
    </row>
    <row r="7773" spans="1:54" x14ac:dyDescent="0.3">
      <c r="A7773" s="66"/>
      <c r="B7773" s="67"/>
      <c r="C7773" s="66"/>
      <c r="D7773" s="68"/>
      <c r="E7773" s="10"/>
      <c r="F7773" s="69"/>
      <c r="G7773" s="68"/>
      <c r="H7773" s="70"/>
      <c r="BA7773" s="4"/>
      <c r="BB7773" s="4"/>
    </row>
    <row r="7774" spans="1:54" x14ac:dyDescent="0.3">
      <c r="A7774" s="66"/>
      <c r="B7774" s="67"/>
      <c r="C7774" s="66"/>
      <c r="D7774" s="68"/>
      <c r="E7774" s="10"/>
      <c r="F7774" s="69"/>
      <c r="G7774" s="68"/>
      <c r="H7774" s="70"/>
      <c r="BA7774" s="4"/>
      <c r="BB7774" s="4"/>
    </row>
    <row r="7775" spans="1:54" x14ac:dyDescent="0.3">
      <c r="A7775" s="66"/>
      <c r="B7775" s="67"/>
      <c r="C7775" s="66"/>
      <c r="D7775" s="68"/>
      <c r="E7775" s="10"/>
      <c r="F7775" s="69"/>
      <c r="G7775" s="68"/>
      <c r="H7775" s="70"/>
      <c r="BA7775" s="4"/>
      <c r="BB7775" s="4"/>
    </row>
    <row r="7776" spans="1:54" x14ac:dyDescent="0.3">
      <c r="A7776" s="66"/>
      <c r="B7776" s="67"/>
      <c r="C7776" s="66"/>
      <c r="D7776" s="68"/>
      <c r="E7776" s="10"/>
      <c r="F7776" s="69"/>
      <c r="G7776" s="68"/>
      <c r="H7776" s="70"/>
      <c r="BA7776" s="4"/>
      <c r="BB7776" s="4"/>
    </row>
    <row r="7777" spans="1:54" x14ac:dyDescent="0.3">
      <c r="A7777" s="66"/>
      <c r="B7777" s="67"/>
      <c r="C7777" s="66"/>
      <c r="D7777" s="68"/>
      <c r="E7777" s="10"/>
      <c r="F7777" s="69"/>
      <c r="G7777" s="68"/>
      <c r="H7777" s="70"/>
      <c r="BA7777" s="4"/>
      <c r="BB7777" s="4"/>
    </row>
    <row r="7778" spans="1:54" x14ac:dyDescent="0.3">
      <c r="A7778" s="66"/>
      <c r="B7778" s="67"/>
      <c r="C7778" s="66"/>
      <c r="D7778" s="68"/>
      <c r="E7778" s="10"/>
      <c r="F7778" s="69"/>
      <c r="G7778" s="68"/>
      <c r="H7778" s="70"/>
      <c r="BA7778" s="4"/>
      <c r="BB7778" s="4"/>
    </row>
    <row r="7779" spans="1:54" x14ac:dyDescent="0.3">
      <c r="A7779" s="66"/>
      <c r="B7779" s="67"/>
      <c r="C7779" s="66"/>
      <c r="D7779" s="68"/>
      <c r="E7779" s="10"/>
      <c r="F7779" s="69"/>
      <c r="G7779" s="68"/>
      <c r="H7779" s="70"/>
      <c r="BA7779" s="4"/>
      <c r="BB7779" s="4"/>
    </row>
    <row r="7780" spans="1:54" x14ac:dyDescent="0.3">
      <c r="A7780" s="66"/>
      <c r="B7780" s="67"/>
      <c r="C7780" s="66"/>
      <c r="D7780" s="68"/>
      <c r="E7780" s="10"/>
      <c r="F7780" s="69"/>
      <c r="G7780" s="68"/>
      <c r="H7780" s="70"/>
      <c r="BA7780" s="4"/>
      <c r="BB7780" s="4"/>
    </row>
    <row r="7781" spans="1:54" x14ac:dyDescent="0.3">
      <c r="A7781" s="66"/>
      <c r="B7781" s="67"/>
      <c r="C7781" s="66"/>
      <c r="D7781" s="68"/>
      <c r="E7781" s="10"/>
      <c r="F7781" s="69"/>
      <c r="G7781" s="68"/>
      <c r="H7781" s="70"/>
      <c r="BA7781" s="4"/>
      <c r="BB7781" s="4"/>
    </row>
    <row r="7782" spans="1:54" x14ac:dyDescent="0.3">
      <c r="A7782" s="66"/>
      <c r="B7782" s="67"/>
      <c r="C7782" s="66"/>
      <c r="D7782" s="68"/>
      <c r="E7782" s="10"/>
      <c r="F7782" s="69"/>
      <c r="G7782" s="68"/>
      <c r="H7782" s="70"/>
      <c r="BA7782" s="4"/>
      <c r="BB7782" s="4"/>
    </row>
    <row r="7783" spans="1:54" x14ac:dyDescent="0.3">
      <c r="A7783" s="66"/>
      <c r="B7783" s="67"/>
      <c r="C7783" s="66"/>
      <c r="D7783" s="68"/>
      <c r="E7783" s="10"/>
      <c r="F7783" s="69"/>
      <c r="G7783" s="68"/>
      <c r="H7783" s="70"/>
      <c r="BA7783" s="4"/>
      <c r="BB7783" s="4"/>
    </row>
    <row r="7784" spans="1:54" x14ac:dyDescent="0.3">
      <c r="A7784" s="66"/>
      <c r="B7784" s="67"/>
      <c r="C7784" s="66"/>
      <c r="D7784" s="68"/>
      <c r="E7784" s="10"/>
      <c r="F7784" s="69"/>
      <c r="G7784" s="68"/>
      <c r="H7784" s="70"/>
      <c r="BA7784" s="4"/>
      <c r="BB7784" s="4"/>
    </row>
    <row r="7785" spans="1:54" x14ac:dyDescent="0.3">
      <c r="A7785" s="66"/>
      <c r="B7785" s="67"/>
      <c r="C7785" s="66"/>
      <c r="D7785" s="68"/>
      <c r="E7785" s="10"/>
      <c r="F7785" s="69"/>
      <c r="G7785" s="68"/>
      <c r="H7785" s="70"/>
      <c r="BA7785" s="4"/>
      <c r="BB7785" s="4"/>
    </row>
    <row r="7786" spans="1:54" x14ac:dyDescent="0.3">
      <c r="A7786" s="66"/>
      <c r="B7786" s="67"/>
      <c r="C7786" s="66"/>
      <c r="D7786" s="68"/>
      <c r="E7786" s="10"/>
      <c r="F7786" s="69"/>
      <c r="G7786" s="68"/>
      <c r="H7786" s="70"/>
      <c r="BA7786" s="4"/>
      <c r="BB7786" s="4"/>
    </row>
    <row r="7787" spans="1:54" x14ac:dyDescent="0.3">
      <c r="A7787" s="66"/>
      <c r="B7787" s="67"/>
      <c r="C7787" s="66"/>
      <c r="D7787" s="68"/>
      <c r="E7787" s="10"/>
      <c r="F7787" s="69"/>
      <c r="G7787" s="68"/>
      <c r="H7787" s="70"/>
      <c r="BA7787" s="4"/>
      <c r="BB7787" s="4"/>
    </row>
    <row r="7788" spans="1:54" x14ac:dyDescent="0.3">
      <c r="A7788" s="66"/>
      <c r="B7788" s="67"/>
      <c r="C7788" s="66"/>
      <c r="D7788" s="68"/>
      <c r="E7788" s="10"/>
      <c r="F7788" s="69"/>
      <c r="G7788" s="68"/>
      <c r="H7788" s="70"/>
      <c r="BA7788" s="4"/>
      <c r="BB7788" s="4"/>
    </row>
    <row r="7789" spans="1:54" x14ac:dyDescent="0.3">
      <c r="A7789" s="66"/>
      <c r="B7789" s="67"/>
      <c r="C7789" s="66"/>
      <c r="D7789" s="68"/>
      <c r="E7789" s="10"/>
      <c r="F7789" s="69"/>
      <c r="G7789" s="68"/>
      <c r="H7789" s="70"/>
      <c r="BA7789" s="4"/>
      <c r="BB7789" s="4"/>
    </row>
    <row r="7790" spans="1:54" x14ac:dyDescent="0.3">
      <c r="A7790" s="66"/>
      <c r="B7790" s="67"/>
      <c r="C7790" s="66"/>
      <c r="D7790" s="68"/>
      <c r="E7790" s="10"/>
      <c r="F7790" s="69"/>
      <c r="G7790" s="68"/>
      <c r="H7790" s="70"/>
      <c r="BA7790" s="4"/>
      <c r="BB7790" s="4"/>
    </row>
    <row r="7791" spans="1:54" x14ac:dyDescent="0.3">
      <c r="A7791" s="66"/>
      <c r="B7791" s="67"/>
      <c r="C7791" s="66"/>
      <c r="D7791" s="68"/>
      <c r="E7791" s="10"/>
      <c r="F7791" s="69"/>
      <c r="G7791" s="68"/>
      <c r="H7791" s="70"/>
      <c r="BA7791" s="4"/>
      <c r="BB7791" s="4"/>
    </row>
    <row r="7792" spans="1:54" x14ac:dyDescent="0.3">
      <c r="A7792" s="66"/>
      <c r="B7792" s="67"/>
      <c r="C7792" s="66"/>
      <c r="D7792" s="68"/>
      <c r="E7792" s="10"/>
      <c r="F7792" s="69"/>
      <c r="G7792" s="68"/>
      <c r="H7792" s="70"/>
      <c r="BA7792" s="4"/>
      <c r="BB7792" s="4"/>
    </row>
    <row r="7793" spans="1:54" x14ac:dyDescent="0.3">
      <c r="A7793" s="66"/>
      <c r="B7793" s="67"/>
      <c r="C7793" s="66"/>
      <c r="D7793" s="68"/>
      <c r="E7793" s="10"/>
      <c r="F7793" s="69"/>
      <c r="G7793" s="68"/>
      <c r="H7793" s="70"/>
      <c r="BA7793" s="4"/>
      <c r="BB7793" s="4"/>
    </row>
    <row r="7794" spans="1:54" x14ac:dyDescent="0.3">
      <c r="A7794" s="66"/>
      <c r="B7794" s="67"/>
      <c r="C7794" s="66"/>
      <c r="D7794" s="68"/>
      <c r="E7794" s="10"/>
      <c r="F7794" s="69"/>
      <c r="G7794" s="68"/>
      <c r="H7794" s="70"/>
      <c r="BA7794" s="4"/>
      <c r="BB7794" s="4"/>
    </row>
    <row r="7795" spans="1:54" x14ac:dyDescent="0.3">
      <c r="A7795" s="66"/>
      <c r="B7795" s="67"/>
      <c r="C7795" s="66"/>
      <c r="D7795" s="68"/>
      <c r="E7795" s="10"/>
      <c r="F7795" s="69"/>
      <c r="G7795" s="68"/>
      <c r="H7795" s="70"/>
      <c r="BA7795" s="4"/>
      <c r="BB7795" s="4"/>
    </row>
    <row r="7796" spans="1:54" x14ac:dyDescent="0.3">
      <c r="A7796" s="66"/>
      <c r="B7796" s="67"/>
      <c r="C7796" s="66"/>
      <c r="D7796" s="68"/>
      <c r="E7796" s="10"/>
      <c r="F7796" s="69"/>
      <c r="G7796" s="68"/>
      <c r="H7796" s="70"/>
      <c r="BA7796" s="4"/>
      <c r="BB7796" s="4"/>
    </row>
    <row r="7797" spans="1:54" x14ac:dyDescent="0.3">
      <c r="A7797" s="66"/>
      <c r="B7797" s="67"/>
      <c r="C7797" s="66"/>
      <c r="D7797" s="68"/>
      <c r="E7797" s="10"/>
      <c r="F7797" s="69"/>
      <c r="G7797" s="68"/>
      <c r="H7797" s="70"/>
      <c r="BA7797" s="4"/>
      <c r="BB7797" s="4"/>
    </row>
    <row r="7798" spans="1:54" x14ac:dyDescent="0.3">
      <c r="A7798" s="66"/>
      <c r="B7798" s="67"/>
      <c r="C7798" s="66"/>
      <c r="D7798" s="68"/>
      <c r="E7798" s="10"/>
      <c r="F7798" s="69"/>
      <c r="G7798" s="68"/>
      <c r="H7798" s="70"/>
      <c r="BA7798" s="4"/>
      <c r="BB7798" s="4"/>
    </row>
    <row r="7799" spans="1:54" x14ac:dyDescent="0.3">
      <c r="A7799" s="66"/>
      <c r="B7799" s="67"/>
      <c r="C7799" s="66"/>
      <c r="D7799" s="68"/>
      <c r="E7799" s="10"/>
      <c r="F7799" s="69"/>
      <c r="G7799" s="68"/>
      <c r="H7799" s="70"/>
      <c r="BA7799" s="4"/>
      <c r="BB7799" s="4"/>
    </row>
    <row r="7800" spans="1:54" x14ac:dyDescent="0.3">
      <c r="A7800" s="66"/>
      <c r="B7800" s="67"/>
      <c r="C7800" s="66"/>
      <c r="D7800" s="68"/>
      <c r="E7800" s="10"/>
      <c r="F7800" s="69"/>
      <c r="G7800" s="68"/>
      <c r="H7800" s="70"/>
      <c r="BA7800" s="4"/>
      <c r="BB7800" s="4"/>
    </row>
    <row r="7801" spans="1:54" x14ac:dyDescent="0.3">
      <c r="A7801" s="66"/>
      <c r="B7801" s="67"/>
      <c r="C7801" s="66"/>
      <c r="D7801" s="68"/>
      <c r="E7801" s="10"/>
      <c r="F7801" s="69"/>
      <c r="G7801" s="68"/>
      <c r="H7801" s="70"/>
      <c r="BA7801" s="4"/>
      <c r="BB7801" s="4"/>
    </row>
    <row r="7802" spans="1:54" x14ac:dyDescent="0.3">
      <c r="A7802" s="66"/>
      <c r="B7802" s="67"/>
      <c r="C7802" s="66"/>
      <c r="D7802" s="68"/>
      <c r="E7802" s="10"/>
      <c r="F7802" s="69"/>
      <c r="G7802" s="68"/>
      <c r="H7802" s="70"/>
      <c r="BA7802" s="4"/>
      <c r="BB7802" s="4"/>
    </row>
    <row r="7803" spans="1:54" x14ac:dyDescent="0.3">
      <c r="A7803" s="66"/>
      <c r="B7803" s="67"/>
      <c r="C7803" s="66"/>
      <c r="D7803" s="68"/>
      <c r="E7803" s="10"/>
      <c r="F7803" s="69"/>
      <c r="G7803" s="68"/>
      <c r="H7803" s="70"/>
      <c r="BA7803" s="4"/>
      <c r="BB7803" s="4"/>
    </row>
    <row r="7804" spans="1:54" x14ac:dyDescent="0.3">
      <c r="A7804" s="66"/>
      <c r="B7804" s="67"/>
      <c r="C7804" s="66"/>
      <c r="D7804" s="68"/>
      <c r="E7804" s="10"/>
      <c r="F7804" s="69"/>
      <c r="G7804" s="68"/>
      <c r="H7804" s="70"/>
      <c r="BA7804" s="4"/>
      <c r="BB7804" s="4"/>
    </row>
    <row r="7805" spans="1:54" x14ac:dyDescent="0.3">
      <c r="A7805" s="66"/>
      <c r="B7805" s="67"/>
      <c r="C7805" s="66"/>
      <c r="D7805" s="68"/>
      <c r="E7805" s="10"/>
      <c r="F7805" s="69"/>
      <c r="G7805" s="68"/>
      <c r="H7805" s="70"/>
      <c r="BA7805" s="4"/>
      <c r="BB7805" s="4"/>
    </row>
    <row r="7806" spans="1:54" x14ac:dyDescent="0.3">
      <c r="A7806" s="66"/>
      <c r="B7806" s="67"/>
      <c r="C7806" s="66"/>
      <c r="D7806" s="68"/>
      <c r="E7806" s="10"/>
      <c r="F7806" s="69"/>
      <c r="G7806" s="68"/>
      <c r="H7806" s="70"/>
      <c r="BA7806" s="4"/>
      <c r="BB7806" s="4"/>
    </row>
    <row r="7807" spans="1:54" x14ac:dyDescent="0.3">
      <c r="A7807" s="66"/>
      <c r="B7807" s="67"/>
      <c r="C7807" s="66"/>
      <c r="D7807" s="68"/>
      <c r="E7807" s="10"/>
      <c r="F7807" s="69"/>
      <c r="G7807" s="68"/>
      <c r="H7807" s="70"/>
      <c r="BA7807" s="4"/>
      <c r="BB7807" s="4"/>
    </row>
    <row r="7808" spans="1:54" x14ac:dyDescent="0.3">
      <c r="A7808" s="66"/>
      <c r="B7808" s="67"/>
      <c r="C7808" s="66"/>
      <c r="D7808" s="68"/>
      <c r="E7808" s="10"/>
      <c r="F7808" s="69"/>
      <c r="G7808" s="68"/>
      <c r="H7808" s="70"/>
      <c r="BA7808" s="4"/>
      <c r="BB7808" s="4"/>
    </row>
    <row r="7809" spans="1:54" x14ac:dyDescent="0.3">
      <c r="A7809" s="66"/>
      <c r="B7809" s="67"/>
      <c r="C7809" s="66"/>
      <c r="D7809" s="68"/>
      <c r="E7809" s="10"/>
      <c r="F7809" s="69"/>
      <c r="G7809" s="68"/>
      <c r="H7809" s="70"/>
      <c r="BA7809" s="4"/>
      <c r="BB7809" s="4"/>
    </row>
    <row r="7810" spans="1:54" x14ac:dyDescent="0.3">
      <c r="A7810" s="66"/>
      <c r="B7810" s="67"/>
      <c r="C7810" s="66"/>
      <c r="D7810" s="68"/>
      <c r="E7810" s="10"/>
      <c r="F7810" s="69"/>
      <c r="G7810" s="68"/>
      <c r="H7810" s="70"/>
      <c r="BA7810" s="4"/>
      <c r="BB7810" s="4"/>
    </row>
    <row r="7811" spans="1:54" x14ac:dyDescent="0.3">
      <c r="A7811" s="66"/>
      <c r="B7811" s="67"/>
      <c r="C7811" s="66"/>
      <c r="D7811" s="68"/>
      <c r="E7811" s="10"/>
      <c r="F7811" s="69"/>
      <c r="G7811" s="68"/>
      <c r="H7811" s="70"/>
      <c r="BA7811" s="4"/>
      <c r="BB7811" s="4"/>
    </row>
    <row r="7812" spans="1:54" x14ac:dyDescent="0.3">
      <c r="A7812" s="66"/>
      <c r="B7812" s="67"/>
      <c r="C7812" s="66"/>
      <c r="D7812" s="68"/>
      <c r="E7812" s="10"/>
      <c r="F7812" s="69"/>
      <c r="G7812" s="68"/>
      <c r="H7812" s="70"/>
      <c r="BA7812" s="4"/>
      <c r="BB7812" s="4"/>
    </row>
    <row r="7813" spans="1:54" x14ac:dyDescent="0.3">
      <c r="A7813" s="66"/>
      <c r="B7813" s="67"/>
      <c r="C7813" s="66"/>
      <c r="D7813" s="68"/>
      <c r="E7813" s="10"/>
      <c r="F7813" s="69"/>
      <c r="G7813" s="68"/>
      <c r="H7813" s="70"/>
      <c r="BA7813" s="4"/>
      <c r="BB7813" s="4"/>
    </row>
    <row r="7814" spans="1:54" x14ac:dyDescent="0.3">
      <c r="A7814" s="66"/>
      <c r="B7814" s="67"/>
      <c r="C7814" s="66"/>
      <c r="D7814" s="68"/>
      <c r="E7814" s="10"/>
      <c r="F7814" s="69"/>
      <c r="G7814" s="68"/>
      <c r="H7814" s="70"/>
      <c r="BA7814" s="4"/>
      <c r="BB7814" s="4"/>
    </row>
    <row r="7815" spans="1:54" x14ac:dyDescent="0.3">
      <c r="A7815" s="66"/>
      <c r="B7815" s="67"/>
      <c r="C7815" s="66"/>
      <c r="D7815" s="68"/>
      <c r="E7815" s="10"/>
      <c r="F7815" s="69"/>
      <c r="G7815" s="68"/>
      <c r="H7815" s="70"/>
      <c r="BA7815" s="4"/>
      <c r="BB7815" s="4"/>
    </row>
    <row r="7816" spans="1:54" x14ac:dyDescent="0.3">
      <c r="A7816" s="66"/>
      <c r="B7816" s="67"/>
      <c r="C7816" s="66"/>
      <c r="D7816" s="68"/>
      <c r="E7816" s="10"/>
      <c r="F7816" s="69"/>
      <c r="G7816" s="68"/>
      <c r="H7816" s="70"/>
      <c r="BA7816" s="4"/>
      <c r="BB7816" s="4"/>
    </row>
    <row r="7817" spans="1:54" x14ac:dyDescent="0.3">
      <c r="A7817" s="66"/>
      <c r="B7817" s="67"/>
      <c r="C7817" s="66"/>
      <c r="D7817" s="68"/>
      <c r="E7817" s="10"/>
      <c r="F7817" s="69"/>
      <c r="G7817" s="68"/>
      <c r="H7817" s="70"/>
      <c r="BA7817" s="4"/>
      <c r="BB7817" s="4"/>
    </row>
    <row r="7818" spans="1:54" x14ac:dyDescent="0.3">
      <c r="A7818" s="66"/>
      <c r="B7818" s="67"/>
      <c r="C7818" s="66"/>
      <c r="D7818" s="68"/>
      <c r="E7818" s="10"/>
      <c r="F7818" s="69"/>
      <c r="G7818" s="68"/>
      <c r="H7818" s="70"/>
      <c r="BA7818" s="4"/>
      <c r="BB7818" s="4"/>
    </row>
    <row r="7819" spans="1:54" x14ac:dyDescent="0.3">
      <c r="A7819" s="66"/>
      <c r="B7819" s="67"/>
      <c r="C7819" s="66"/>
      <c r="D7819" s="68"/>
      <c r="E7819" s="10"/>
      <c r="F7819" s="69"/>
      <c r="G7819" s="68"/>
      <c r="H7819" s="70"/>
      <c r="BA7819" s="4"/>
      <c r="BB7819" s="4"/>
    </row>
    <row r="7820" spans="1:54" x14ac:dyDescent="0.3">
      <c r="A7820" s="66"/>
      <c r="B7820" s="67"/>
      <c r="C7820" s="66"/>
      <c r="D7820" s="68"/>
      <c r="E7820" s="10"/>
      <c r="F7820" s="69"/>
      <c r="G7820" s="68"/>
      <c r="H7820" s="70"/>
      <c r="BA7820" s="4"/>
      <c r="BB7820" s="4"/>
    </row>
    <row r="7821" spans="1:54" x14ac:dyDescent="0.3">
      <c r="A7821" s="66"/>
      <c r="B7821" s="67"/>
      <c r="C7821" s="66"/>
      <c r="D7821" s="68"/>
      <c r="E7821" s="10"/>
      <c r="F7821" s="69"/>
      <c r="G7821" s="68"/>
      <c r="H7821" s="70"/>
      <c r="BA7821" s="4"/>
      <c r="BB7821" s="4"/>
    </row>
    <row r="7822" spans="1:54" x14ac:dyDescent="0.3">
      <c r="A7822" s="66"/>
      <c r="B7822" s="67"/>
      <c r="C7822" s="66"/>
      <c r="D7822" s="68"/>
      <c r="E7822" s="10"/>
      <c r="F7822" s="69"/>
      <c r="G7822" s="68"/>
      <c r="H7822" s="70"/>
      <c r="BA7822" s="4"/>
      <c r="BB7822" s="4"/>
    </row>
    <row r="7823" spans="1:54" x14ac:dyDescent="0.3">
      <c r="A7823" s="66"/>
      <c r="B7823" s="67"/>
      <c r="C7823" s="66"/>
      <c r="D7823" s="68"/>
      <c r="E7823" s="10"/>
      <c r="F7823" s="69"/>
      <c r="G7823" s="68"/>
      <c r="H7823" s="70"/>
      <c r="BA7823" s="4"/>
      <c r="BB7823" s="4"/>
    </row>
    <row r="7824" spans="1:54" x14ac:dyDescent="0.3">
      <c r="A7824" s="66"/>
      <c r="B7824" s="67"/>
      <c r="C7824" s="66"/>
      <c r="D7824" s="68"/>
      <c r="E7824" s="10"/>
      <c r="F7824" s="69"/>
      <c r="G7824" s="68"/>
      <c r="H7824" s="70"/>
      <c r="BA7824" s="4"/>
      <c r="BB7824" s="4"/>
    </row>
    <row r="7825" spans="1:54" x14ac:dyDescent="0.3">
      <c r="A7825" s="66"/>
      <c r="B7825" s="67"/>
      <c r="C7825" s="66"/>
      <c r="D7825" s="68"/>
      <c r="E7825" s="10"/>
      <c r="F7825" s="69"/>
      <c r="G7825" s="68"/>
      <c r="H7825" s="70"/>
      <c r="BA7825" s="4"/>
      <c r="BB7825" s="4"/>
    </row>
    <row r="7826" spans="1:54" x14ac:dyDescent="0.3">
      <c r="A7826" s="66"/>
      <c r="B7826" s="67"/>
      <c r="C7826" s="66"/>
      <c r="D7826" s="68"/>
      <c r="E7826" s="10"/>
      <c r="F7826" s="69"/>
      <c r="G7826" s="68"/>
      <c r="H7826" s="70"/>
      <c r="BA7826" s="4"/>
      <c r="BB7826" s="4"/>
    </row>
    <row r="7827" spans="1:54" x14ac:dyDescent="0.3">
      <c r="A7827" s="66"/>
      <c r="B7827" s="67"/>
      <c r="C7827" s="66"/>
      <c r="D7827" s="68"/>
      <c r="E7827" s="10"/>
      <c r="F7827" s="69"/>
      <c r="G7827" s="68"/>
      <c r="H7827" s="70"/>
      <c r="BA7827" s="4"/>
      <c r="BB7827" s="4"/>
    </row>
    <row r="7828" spans="1:54" x14ac:dyDescent="0.3">
      <c r="A7828" s="66"/>
      <c r="B7828" s="67"/>
      <c r="C7828" s="66"/>
      <c r="D7828" s="68"/>
      <c r="E7828" s="10"/>
      <c r="F7828" s="69"/>
      <c r="G7828" s="68"/>
      <c r="H7828" s="70"/>
      <c r="BA7828" s="4"/>
      <c r="BB7828" s="4"/>
    </row>
    <row r="7829" spans="1:54" x14ac:dyDescent="0.3">
      <c r="A7829" s="66"/>
      <c r="B7829" s="67"/>
      <c r="C7829" s="66"/>
      <c r="D7829" s="68"/>
      <c r="E7829" s="10"/>
      <c r="F7829" s="69"/>
      <c r="G7829" s="68"/>
      <c r="H7829" s="70"/>
      <c r="BA7829" s="4"/>
      <c r="BB7829" s="4"/>
    </row>
    <row r="7830" spans="1:54" x14ac:dyDescent="0.3">
      <c r="A7830" s="66"/>
      <c r="B7830" s="67"/>
      <c r="C7830" s="66"/>
      <c r="D7830" s="68"/>
      <c r="E7830" s="10"/>
      <c r="F7830" s="69"/>
      <c r="G7830" s="68"/>
      <c r="H7830" s="70"/>
      <c r="BA7830" s="4"/>
      <c r="BB7830" s="4"/>
    </row>
    <row r="7831" spans="1:54" x14ac:dyDescent="0.3">
      <c r="A7831" s="66"/>
      <c r="B7831" s="67"/>
      <c r="C7831" s="66"/>
      <c r="D7831" s="68"/>
      <c r="E7831" s="10"/>
      <c r="F7831" s="69"/>
      <c r="G7831" s="68"/>
      <c r="H7831" s="70"/>
      <c r="BA7831" s="4"/>
      <c r="BB7831" s="4"/>
    </row>
    <row r="7832" spans="1:54" x14ac:dyDescent="0.3">
      <c r="A7832" s="66"/>
      <c r="B7832" s="67"/>
      <c r="C7832" s="66"/>
      <c r="D7832" s="68"/>
      <c r="E7832" s="10"/>
      <c r="F7832" s="69"/>
      <c r="G7832" s="68"/>
      <c r="H7832" s="70"/>
      <c r="BA7832" s="4"/>
      <c r="BB7832" s="4"/>
    </row>
    <row r="7833" spans="1:54" x14ac:dyDescent="0.3">
      <c r="A7833" s="66"/>
      <c r="B7833" s="67"/>
      <c r="C7833" s="66"/>
      <c r="D7833" s="68"/>
      <c r="E7833" s="10"/>
      <c r="F7833" s="69"/>
      <c r="G7833" s="68"/>
      <c r="H7833" s="70"/>
      <c r="BA7833" s="4"/>
      <c r="BB7833" s="4"/>
    </row>
    <row r="7834" spans="1:54" x14ac:dyDescent="0.3">
      <c r="A7834" s="66"/>
      <c r="B7834" s="67"/>
      <c r="C7834" s="66"/>
      <c r="D7834" s="68"/>
      <c r="E7834" s="10"/>
      <c r="F7834" s="69"/>
      <c r="G7834" s="68"/>
      <c r="H7834" s="70"/>
      <c r="BA7834" s="4"/>
      <c r="BB7834" s="4"/>
    </row>
    <row r="7835" spans="1:54" x14ac:dyDescent="0.3">
      <c r="A7835" s="66"/>
      <c r="B7835" s="67"/>
      <c r="C7835" s="66"/>
      <c r="D7835" s="68"/>
      <c r="E7835" s="10"/>
      <c r="F7835" s="69"/>
      <c r="G7835" s="68"/>
      <c r="H7835" s="70"/>
      <c r="BA7835" s="4"/>
      <c r="BB7835" s="4"/>
    </row>
    <row r="7836" spans="1:54" x14ac:dyDescent="0.3">
      <c r="A7836" s="66"/>
      <c r="B7836" s="67"/>
      <c r="C7836" s="66"/>
      <c r="D7836" s="68"/>
      <c r="E7836" s="10"/>
      <c r="F7836" s="69"/>
      <c r="G7836" s="68"/>
      <c r="H7836" s="70"/>
      <c r="BA7836" s="4"/>
      <c r="BB7836" s="4"/>
    </row>
    <row r="7837" spans="1:54" x14ac:dyDescent="0.3">
      <c r="A7837" s="66"/>
      <c r="B7837" s="67"/>
      <c r="C7837" s="66"/>
      <c r="D7837" s="68"/>
      <c r="E7837" s="10"/>
      <c r="F7837" s="69"/>
      <c r="G7837" s="68"/>
      <c r="H7837" s="70"/>
      <c r="BA7837" s="4"/>
      <c r="BB7837" s="4"/>
    </row>
    <row r="7838" spans="1:54" x14ac:dyDescent="0.3">
      <c r="A7838" s="66"/>
      <c r="B7838" s="67"/>
      <c r="C7838" s="66"/>
      <c r="D7838" s="68"/>
      <c r="E7838" s="10"/>
      <c r="F7838" s="69"/>
      <c r="G7838" s="68"/>
      <c r="H7838" s="70"/>
      <c r="BA7838" s="4"/>
      <c r="BB7838" s="4"/>
    </row>
    <row r="7839" spans="1:54" x14ac:dyDescent="0.3">
      <c r="A7839" s="66"/>
      <c r="B7839" s="67"/>
      <c r="C7839" s="66"/>
      <c r="D7839" s="68"/>
      <c r="E7839" s="10"/>
      <c r="F7839" s="69"/>
      <c r="G7839" s="68"/>
      <c r="H7839" s="70"/>
      <c r="BA7839" s="4"/>
      <c r="BB7839" s="4"/>
    </row>
    <row r="7840" spans="1:54" x14ac:dyDescent="0.3">
      <c r="A7840" s="66"/>
      <c r="B7840" s="67"/>
      <c r="C7840" s="66"/>
      <c r="D7840" s="68"/>
      <c r="E7840" s="10"/>
      <c r="F7840" s="69"/>
      <c r="G7840" s="68"/>
      <c r="H7840" s="70"/>
      <c r="BA7840" s="4"/>
      <c r="BB7840" s="4"/>
    </row>
    <row r="7841" spans="1:54" x14ac:dyDescent="0.3">
      <c r="A7841" s="66"/>
      <c r="B7841" s="67"/>
      <c r="C7841" s="66"/>
      <c r="D7841" s="68"/>
      <c r="E7841" s="10"/>
      <c r="F7841" s="69"/>
      <c r="G7841" s="68"/>
      <c r="H7841" s="70"/>
      <c r="BA7841" s="4"/>
      <c r="BB7841" s="4"/>
    </row>
    <row r="7842" spans="1:54" x14ac:dyDescent="0.3">
      <c r="A7842" s="66"/>
      <c r="B7842" s="67"/>
      <c r="C7842" s="66"/>
      <c r="D7842" s="68"/>
      <c r="E7842" s="10"/>
      <c r="F7842" s="69"/>
      <c r="G7842" s="68"/>
      <c r="H7842" s="70"/>
      <c r="BA7842" s="4"/>
      <c r="BB7842" s="4"/>
    </row>
    <row r="7843" spans="1:54" x14ac:dyDescent="0.3">
      <c r="A7843" s="66"/>
      <c r="B7843" s="67"/>
      <c r="C7843" s="66"/>
      <c r="D7843" s="68"/>
      <c r="E7843" s="10"/>
      <c r="F7843" s="69"/>
      <c r="G7843" s="68"/>
      <c r="H7843" s="70"/>
      <c r="BA7843" s="4"/>
      <c r="BB7843" s="4"/>
    </row>
    <row r="7844" spans="1:54" x14ac:dyDescent="0.3">
      <c r="A7844" s="66"/>
      <c r="B7844" s="67"/>
      <c r="C7844" s="66"/>
      <c r="D7844" s="68"/>
      <c r="E7844" s="10"/>
      <c r="F7844" s="69"/>
      <c r="G7844" s="68"/>
      <c r="H7844" s="70"/>
      <c r="BA7844" s="4"/>
      <c r="BB7844" s="4"/>
    </row>
    <row r="7845" spans="1:54" x14ac:dyDescent="0.3">
      <c r="A7845" s="66"/>
      <c r="B7845" s="67"/>
      <c r="C7845" s="66"/>
      <c r="D7845" s="68"/>
      <c r="E7845" s="10"/>
      <c r="F7845" s="69"/>
      <c r="G7845" s="68"/>
      <c r="H7845" s="70"/>
      <c r="BA7845" s="4"/>
      <c r="BB7845" s="4"/>
    </row>
    <row r="7846" spans="1:54" x14ac:dyDescent="0.3">
      <c r="A7846" s="66"/>
      <c r="B7846" s="67"/>
      <c r="C7846" s="66"/>
      <c r="D7846" s="68"/>
      <c r="E7846" s="10"/>
      <c r="F7846" s="69"/>
      <c r="G7846" s="68"/>
      <c r="H7846" s="70"/>
      <c r="BA7846" s="4"/>
      <c r="BB7846" s="4"/>
    </row>
    <row r="7847" spans="1:54" x14ac:dyDescent="0.3">
      <c r="A7847" s="66"/>
      <c r="B7847" s="67"/>
      <c r="C7847" s="66"/>
      <c r="D7847" s="68"/>
      <c r="E7847" s="10"/>
      <c r="F7847" s="69"/>
      <c r="G7847" s="68"/>
      <c r="H7847" s="70"/>
      <c r="BA7847" s="4"/>
      <c r="BB7847" s="4"/>
    </row>
    <row r="7848" spans="1:54" x14ac:dyDescent="0.3">
      <c r="A7848" s="66"/>
      <c r="B7848" s="67"/>
      <c r="C7848" s="66"/>
      <c r="D7848" s="68"/>
      <c r="E7848" s="10"/>
      <c r="F7848" s="69"/>
      <c r="G7848" s="68"/>
      <c r="H7848" s="70"/>
      <c r="BA7848" s="4"/>
      <c r="BB7848" s="4"/>
    </row>
    <row r="7849" spans="1:54" x14ac:dyDescent="0.3">
      <c r="A7849" s="66"/>
      <c r="B7849" s="67"/>
      <c r="C7849" s="66"/>
      <c r="D7849" s="68"/>
      <c r="E7849" s="10"/>
      <c r="F7849" s="69"/>
      <c r="G7849" s="68"/>
      <c r="H7849" s="70"/>
      <c r="BA7849" s="4"/>
      <c r="BB7849" s="4"/>
    </row>
    <row r="7850" spans="1:54" x14ac:dyDescent="0.3">
      <c r="A7850" s="66"/>
      <c r="B7850" s="67"/>
      <c r="C7850" s="66"/>
      <c r="D7850" s="68"/>
      <c r="E7850" s="10"/>
      <c r="F7850" s="69"/>
      <c r="G7850" s="68"/>
      <c r="H7850" s="70"/>
      <c r="BA7850" s="4"/>
      <c r="BB7850" s="4"/>
    </row>
    <row r="7851" spans="1:54" x14ac:dyDescent="0.3">
      <c r="A7851" s="66"/>
      <c r="B7851" s="67"/>
      <c r="C7851" s="66"/>
      <c r="D7851" s="68"/>
      <c r="E7851" s="10"/>
      <c r="F7851" s="69"/>
      <c r="G7851" s="68"/>
      <c r="H7851" s="70"/>
      <c r="BA7851" s="4"/>
      <c r="BB7851" s="4"/>
    </row>
    <row r="7852" spans="1:54" x14ac:dyDescent="0.3">
      <c r="A7852" s="66"/>
      <c r="B7852" s="67"/>
      <c r="C7852" s="66"/>
      <c r="D7852" s="68"/>
      <c r="E7852" s="10"/>
      <c r="F7852" s="69"/>
      <c r="G7852" s="68"/>
      <c r="H7852" s="70"/>
      <c r="BA7852" s="4"/>
      <c r="BB7852" s="4"/>
    </row>
    <row r="7853" spans="1:54" x14ac:dyDescent="0.3">
      <c r="A7853" s="66"/>
      <c r="B7853" s="67"/>
      <c r="C7853" s="66"/>
      <c r="D7853" s="68"/>
      <c r="E7853" s="10"/>
      <c r="F7853" s="69"/>
      <c r="G7853" s="68"/>
      <c r="H7853" s="70"/>
      <c r="BA7853" s="4"/>
      <c r="BB7853" s="4"/>
    </row>
    <row r="7854" spans="1:54" x14ac:dyDescent="0.3">
      <c r="A7854" s="66"/>
      <c r="B7854" s="67"/>
      <c r="C7854" s="66"/>
      <c r="D7854" s="68"/>
      <c r="E7854" s="10"/>
      <c r="F7854" s="69"/>
      <c r="G7854" s="68"/>
      <c r="H7854" s="70"/>
      <c r="BA7854" s="4"/>
      <c r="BB7854" s="4"/>
    </row>
    <row r="7855" spans="1:54" x14ac:dyDescent="0.3">
      <c r="A7855" s="66"/>
      <c r="B7855" s="67"/>
      <c r="C7855" s="66"/>
      <c r="D7855" s="68"/>
      <c r="E7855" s="10"/>
      <c r="F7855" s="69"/>
      <c r="G7855" s="68"/>
      <c r="H7855" s="70"/>
      <c r="BA7855" s="4"/>
      <c r="BB7855" s="4"/>
    </row>
    <row r="7856" spans="1:54" x14ac:dyDescent="0.3">
      <c r="A7856" s="66"/>
      <c r="B7856" s="67"/>
      <c r="C7856" s="66"/>
      <c r="D7856" s="68"/>
      <c r="E7856" s="10"/>
      <c r="F7856" s="69"/>
      <c r="G7856" s="68"/>
      <c r="H7856" s="70"/>
      <c r="BA7856" s="4"/>
      <c r="BB7856" s="4"/>
    </row>
    <row r="7857" spans="1:54" x14ac:dyDescent="0.3">
      <c r="A7857" s="66"/>
      <c r="B7857" s="67"/>
      <c r="C7857" s="66"/>
      <c r="D7857" s="68"/>
      <c r="E7857" s="10"/>
      <c r="F7857" s="69"/>
      <c r="G7857" s="68"/>
      <c r="H7857" s="70"/>
      <c r="BA7857" s="4"/>
      <c r="BB7857" s="4"/>
    </row>
    <row r="7858" spans="1:54" x14ac:dyDescent="0.3">
      <c r="A7858" s="66"/>
      <c r="B7858" s="67"/>
      <c r="C7858" s="66"/>
      <c r="D7858" s="68"/>
      <c r="E7858" s="10"/>
      <c r="F7858" s="69"/>
      <c r="G7858" s="68"/>
      <c r="H7858" s="70"/>
      <c r="BA7858" s="4"/>
      <c r="BB7858" s="4"/>
    </row>
    <row r="7859" spans="1:54" x14ac:dyDescent="0.3">
      <c r="A7859" s="66"/>
      <c r="B7859" s="67"/>
      <c r="C7859" s="66"/>
      <c r="D7859" s="68"/>
      <c r="E7859" s="10"/>
      <c r="F7859" s="69"/>
      <c r="G7859" s="68"/>
      <c r="H7859" s="70"/>
      <c r="BA7859" s="4"/>
      <c r="BB7859" s="4"/>
    </row>
    <row r="7860" spans="1:54" x14ac:dyDescent="0.3">
      <c r="A7860" s="66"/>
      <c r="B7860" s="67"/>
      <c r="C7860" s="66"/>
      <c r="D7860" s="68"/>
      <c r="E7860" s="10"/>
      <c r="F7860" s="69"/>
      <c r="G7860" s="68"/>
      <c r="H7860" s="70"/>
      <c r="BA7860" s="4"/>
      <c r="BB7860" s="4"/>
    </row>
    <row r="7861" spans="1:54" x14ac:dyDescent="0.3">
      <c r="A7861" s="66"/>
      <c r="B7861" s="67"/>
      <c r="C7861" s="66"/>
      <c r="D7861" s="68"/>
      <c r="E7861" s="10"/>
      <c r="F7861" s="69"/>
      <c r="G7861" s="68"/>
      <c r="H7861" s="70"/>
      <c r="BA7861" s="4"/>
      <c r="BB7861" s="4"/>
    </row>
    <row r="7862" spans="1:54" x14ac:dyDescent="0.3">
      <c r="A7862" s="66"/>
      <c r="B7862" s="67"/>
      <c r="C7862" s="66"/>
      <c r="D7862" s="68"/>
      <c r="E7862" s="10"/>
      <c r="F7862" s="69"/>
      <c r="G7862" s="68"/>
      <c r="H7862" s="70"/>
      <c r="BA7862" s="4"/>
      <c r="BB7862" s="4"/>
    </row>
    <row r="7863" spans="1:54" x14ac:dyDescent="0.3">
      <c r="A7863" s="66"/>
      <c r="B7863" s="67"/>
      <c r="C7863" s="66"/>
      <c r="D7863" s="68"/>
      <c r="E7863" s="10"/>
      <c r="F7863" s="69"/>
      <c r="G7863" s="68"/>
      <c r="H7863" s="70"/>
      <c r="BA7863" s="4"/>
      <c r="BB7863" s="4"/>
    </row>
    <row r="7864" spans="1:54" x14ac:dyDescent="0.3">
      <c r="A7864" s="66"/>
      <c r="B7864" s="67"/>
      <c r="C7864" s="66"/>
      <c r="D7864" s="68"/>
      <c r="E7864" s="10"/>
      <c r="F7864" s="69"/>
      <c r="G7864" s="68"/>
      <c r="H7864" s="70"/>
      <c r="BA7864" s="4"/>
      <c r="BB7864" s="4"/>
    </row>
    <row r="7865" spans="1:54" x14ac:dyDescent="0.3">
      <c r="A7865" s="66"/>
      <c r="B7865" s="67"/>
      <c r="C7865" s="66"/>
      <c r="D7865" s="68"/>
      <c r="E7865" s="10"/>
      <c r="F7865" s="69"/>
      <c r="G7865" s="68"/>
      <c r="H7865" s="70"/>
      <c r="BA7865" s="4"/>
      <c r="BB7865" s="4"/>
    </row>
    <row r="7866" spans="1:54" x14ac:dyDescent="0.3">
      <c r="A7866" s="66"/>
      <c r="B7866" s="67"/>
      <c r="C7866" s="66"/>
      <c r="D7866" s="68"/>
      <c r="E7866" s="10"/>
      <c r="F7866" s="69"/>
      <c r="G7866" s="68"/>
      <c r="H7866" s="70"/>
      <c r="BA7866" s="4"/>
      <c r="BB7866" s="4"/>
    </row>
    <row r="7867" spans="1:54" x14ac:dyDescent="0.3">
      <c r="A7867" s="66"/>
      <c r="B7867" s="67"/>
      <c r="C7867" s="66"/>
      <c r="D7867" s="68"/>
      <c r="E7867" s="10"/>
      <c r="F7867" s="69"/>
      <c r="G7867" s="68"/>
      <c r="H7867" s="70"/>
      <c r="BA7867" s="4"/>
      <c r="BB7867" s="4"/>
    </row>
    <row r="7868" spans="1:54" x14ac:dyDescent="0.3">
      <c r="A7868" s="66"/>
      <c r="B7868" s="67"/>
      <c r="C7868" s="66"/>
      <c r="D7868" s="68"/>
      <c r="E7868" s="10"/>
      <c r="F7868" s="69"/>
      <c r="G7868" s="68"/>
      <c r="H7868" s="70"/>
      <c r="BA7868" s="4"/>
      <c r="BB7868" s="4"/>
    </row>
    <row r="7869" spans="1:54" x14ac:dyDescent="0.3">
      <c r="A7869" s="66"/>
      <c r="B7869" s="67"/>
      <c r="C7869" s="66"/>
      <c r="D7869" s="68"/>
      <c r="E7869" s="10"/>
      <c r="F7869" s="69"/>
      <c r="G7869" s="68"/>
      <c r="H7869" s="70"/>
      <c r="BA7869" s="4"/>
      <c r="BB7869" s="4"/>
    </row>
    <row r="7870" spans="1:54" x14ac:dyDescent="0.3">
      <c r="A7870" s="66"/>
      <c r="B7870" s="67"/>
      <c r="C7870" s="66"/>
      <c r="D7870" s="68"/>
      <c r="E7870" s="10"/>
      <c r="F7870" s="69"/>
      <c r="G7870" s="68"/>
      <c r="H7870" s="70"/>
      <c r="BA7870" s="4"/>
      <c r="BB7870" s="4"/>
    </row>
    <row r="7871" spans="1:54" x14ac:dyDescent="0.3">
      <c r="A7871" s="66"/>
      <c r="B7871" s="67"/>
      <c r="C7871" s="66"/>
      <c r="D7871" s="68"/>
      <c r="E7871" s="10"/>
      <c r="F7871" s="69"/>
      <c r="G7871" s="68"/>
      <c r="H7871" s="70"/>
      <c r="BA7871" s="4"/>
      <c r="BB7871" s="4"/>
    </row>
    <row r="7872" spans="1:54" x14ac:dyDescent="0.3">
      <c r="A7872" s="66"/>
      <c r="B7872" s="67"/>
      <c r="C7872" s="66"/>
      <c r="D7872" s="68"/>
      <c r="E7872" s="10"/>
      <c r="F7872" s="69"/>
      <c r="G7872" s="68"/>
      <c r="H7872" s="70"/>
      <c r="BA7872" s="4"/>
      <c r="BB7872" s="4"/>
    </row>
    <row r="7873" spans="1:54" x14ac:dyDescent="0.3">
      <c r="A7873" s="66"/>
      <c r="B7873" s="67"/>
      <c r="C7873" s="66"/>
      <c r="D7873" s="68"/>
      <c r="E7873" s="10"/>
      <c r="F7873" s="69"/>
      <c r="G7873" s="68"/>
      <c r="H7873" s="70"/>
      <c r="BA7873" s="4"/>
      <c r="BB7873" s="4"/>
    </row>
    <row r="7874" spans="1:54" x14ac:dyDescent="0.3">
      <c r="A7874" s="66"/>
      <c r="B7874" s="67"/>
      <c r="C7874" s="66"/>
      <c r="D7874" s="68"/>
      <c r="E7874" s="10"/>
      <c r="F7874" s="69"/>
      <c r="G7874" s="68"/>
      <c r="H7874" s="70"/>
      <c r="BA7874" s="4"/>
      <c r="BB7874" s="4"/>
    </row>
    <row r="7875" spans="1:54" x14ac:dyDescent="0.3">
      <c r="A7875" s="66"/>
      <c r="B7875" s="67"/>
      <c r="C7875" s="66"/>
      <c r="D7875" s="68"/>
      <c r="E7875" s="10"/>
      <c r="F7875" s="69"/>
      <c r="G7875" s="68"/>
      <c r="H7875" s="70"/>
      <c r="BA7875" s="4"/>
      <c r="BB7875" s="4"/>
    </row>
    <row r="7876" spans="1:54" x14ac:dyDescent="0.3">
      <c r="A7876" s="66"/>
      <c r="B7876" s="67"/>
      <c r="C7876" s="66"/>
      <c r="D7876" s="68"/>
      <c r="E7876" s="10"/>
      <c r="F7876" s="69"/>
      <c r="G7876" s="68"/>
      <c r="H7876" s="70"/>
      <c r="BA7876" s="4"/>
      <c r="BB7876" s="4"/>
    </row>
    <row r="7877" spans="1:54" x14ac:dyDescent="0.3">
      <c r="A7877" s="66"/>
      <c r="B7877" s="67"/>
      <c r="C7877" s="66"/>
      <c r="D7877" s="68"/>
      <c r="E7877" s="10"/>
      <c r="F7877" s="69"/>
      <c r="G7877" s="68"/>
      <c r="H7877" s="70"/>
      <c r="BA7877" s="4"/>
      <c r="BB7877" s="4"/>
    </row>
    <row r="7878" spans="1:54" x14ac:dyDescent="0.3">
      <c r="A7878" s="66"/>
      <c r="B7878" s="67"/>
      <c r="C7878" s="66"/>
      <c r="D7878" s="68"/>
      <c r="E7878" s="10"/>
      <c r="F7878" s="69"/>
      <c r="G7878" s="68"/>
      <c r="H7878" s="70"/>
      <c r="BA7878" s="4"/>
      <c r="BB7878" s="4"/>
    </row>
    <row r="7879" spans="1:54" x14ac:dyDescent="0.3">
      <c r="A7879" s="66"/>
      <c r="B7879" s="67"/>
      <c r="C7879" s="66"/>
      <c r="D7879" s="68"/>
      <c r="E7879" s="10"/>
      <c r="F7879" s="69"/>
      <c r="G7879" s="68"/>
      <c r="H7879" s="70"/>
      <c r="BA7879" s="4"/>
      <c r="BB7879" s="4"/>
    </row>
    <row r="7880" spans="1:54" x14ac:dyDescent="0.3">
      <c r="A7880" s="66"/>
      <c r="B7880" s="67"/>
      <c r="C7880" s="66"/>
      <c r="D7880" s="68"/>
      <c r="E7880" s="10"/>
      <c r="F7880" s="69"/>
      <c r="G7880" s="68"/>
      <c r="H7880" s="70"/>
      <c r="BA7880" s="4"/>
      <c r="BB7880" s="4"/>
    </row>
    <row r="7881" spans="1:54" x14ac:dyDescent="0.3">
      <c r="A7881" s="66"/>
      <c r="B7881" s="67"/>
      <c r="C7881" s="66"/>
      <c r="D7881" s="68"/>
      <c r="E7881" s="10"/>
      <c r="F7881" s="69"/>
      <c r="G7881" s="68"/>
      <c r="H7881" s="70"/>
      <c r="BA7881" s="4"/>
      <c r="BB7881" s="4"/>
    </row>
    <row r="7882" spans="1:54" x14ac:dyDescent="0.3">
      <c r="A7882" s="66"/>
      <c r="B7882" s="67"/>
      <c r="C7882" s="66"/>
      <c r="D7882" s="68"/>
      <c r="E7882" s="10"/>
      <c r="F7882" s="69"/>
      <c r="G7882" s="68"/>
      <c r="H7882" s="70"/>
      <c r="BA7882" s="4"/>
      <c r="BB7882" s="4"/>
    </row>
    <row r="7883" spans="1:54" x14ac:dyDescent="0.3">
      <c r="A7883" s="66"/>
      <c r="B7883" s="67"/>
      <c r="C7883" s="66"/>
      <c r="D7883" s="68"/>
      <c r="E7883" s="10"/>
      <c r="F7883" s="69"/>
      <c r="G7883" s="68"/>
      <c r="H7883" s="70"/>
      <c r="BA7883" s="4"/>
      <c r="BB7883" s="4"/>
    </row>
    <row r="7884" spans="1:54" x14ac:dyDescent="0.3">
      <c r="A7884" s="66"/>
      <c r="B7884" s="67"/>
      <c r="C7884" s="66"/>
      <c r="D7884" s="68"/>
      <c r="E7884" s="10"/>
      <c r="F7884" s="69"/>
      <c r="G7884" s="68"/>
      <c r="H7884" s="70"/>
      <c r="BA7884" s="4"/>
      <c r="BB7884" s="4"/>
    </row>
    <row r="7885" spans="1:54" x14ac:dyDescent="0.3">
      <c r="A7885" s="66"/>
      <c r="B7885" s="67"/>
      <c r="C7885" s="66"/>
      <c r="D7885" s="68"/>
      <c r="E7885" s="10"/>
      <c r="F7885" s="69"/>
      <c r="G7885" s="68"/>
      <c r="H7885" s="70"/>
      <c r="BA7885" s="4"/>
      <c r="BB7885" s="4"/>
    </row>
    <row r="7886" spans="1:54" x14ac:dyDescent="0.3">
      <c r="A7886" s="66"/>
      <c r="B7886" s="67"/>
      <c r="C7886" s="66"/>
      <c r="D7886" s="68"/>
      <c r="E7886" s="10"/>
      <c r="F7886" s="69"/>
      <c r="G7886" s="68"/>
      <c r="H7886" s="70"/>
      <c r="BA7886" s="4"/>
      <c r="BB7886" s="4"/>
    </row>
    <row r="7887" spans="1:54" x14ac:dyDescent="0.3">
      <c r="A7887" s="66"/>
      <c r="B7887" s="67"/>
      <c r="C7887" s="66"/>
      <c r="D7887" s="68"/>
      <c r="E7887" s="10"/>
      <c r="F7887" s="69"/>
      <c r="G7887" s="68"/>
      <c r="H7887" s="70"/>
      <c r="BA7887" s="4"/>
      <c r="BB7887" s="4"/>
    </row>
    <row r="7888" spans="1:54" x14ac:dyDescent="0.3">
      <c r="A7888" s="66"/>
      <c r="B7888" s="67"/>
      <c r="C7888" s="66"/>
      <c r="D7888" s="68"/>
      <c r="E7888" s="10"/>
      <c r="F7888" s="69"/>
      <c r="G7888" s="68"/>
      <c r="H7888" s="70"/>
      <c r="BA7888" s="4"/>
      <c r="BB7888" s="4"/>
    </row>
    <row r="7889" spans="1:54" x14ac:dyDescent="0.3">
      <c r="A7889" s="66"/>
      <c r="B7889" s="67"/>
      <c r="C7889" s="66"/>
      <c r="D7889" s="68"/>
      <c r="E7889" s="10"/>
      <c r="F7889" s="69"/>
      <c r="G7889" s="68"/>
      <c r="H7889" s="70"/>
      <c r="BA7889" s="4"/>
      <c r="BB7889" s="4"/>
    </row>
    <row r="7890" spans="1:54" x14ac:dyDescent="0.3">
      <c r="A7890" s="66"/>
      <c r="B7890" s="67"/>
      <c r="C7890" s="66"/>
      <c r="D7890" s="68"/>
      <c r="E7890" s="10"/>
      <c r="F7890" s="69"/>
      <c r="G7890" s="68"/>
      <c r="H7890" s="70"/>
      <c r="BA7890" s="4"/>
      <c r="BB7890" s="4"/>
    </row>
    <row r="7891" spans="1:54" x14ac:dyDescent="0.3">
      <c r="A7891" s="66"/>
      <c r="B7891" s="67"/>
      <c r="C7891" s="66"/>
      <c r="D7891" s="68"/>
      <c r="E7891" s="10"/>
      <c r="F7891" s="69"/>
      <c r="G7891" s="68"/>
      <c r="H7891" s="70"/>
      <c r="BA7891" s="4"/>
      <c r="BB7891" s="4"/>
    </row>
    <row r="7892" spans="1:54" x14ac:dyDescent="0.3">
      <c r="A7892" s="66"/>
      <c r="B7892" s="67"/>
      <c r="C7892" s="66"/>
      <c r="D7892" s="68"/>
      <c r="E7892" s="10"/>
      <c r="F7892" s="69"/>
      <c r="G7892" s="68"/>
      <c r="H7892" s="70"/>
      <c r="BA7892" s="4"/>
      <c r="BB7892" s="4"/>
    </row>
    <row r="7893" spans="1:54" x14ac:dyDescent="0.3">
      <c r="A7893" s="66"/>
      <c r="B7893" s="67"/>
      <c r="C7893" s="66"/>
      <c r="D7893" s="68"/>
      <c r="E7893" s="10"/>
      <c r="F7893" s="69"/>
      <c r="G7893" s="68"/>
      <c r="H7893" s="70"/>
      <c r="BA7893" s="4"/>
      <c r="BB7893" s="4"/>
    </row>
    <row r="7894" spans="1:54" x14ac:dyDescent="0.3">
      <c r="A7894" s="66"/>
      <c r="B7894" s="67"/>
      <c r="C7894" s="66"/>
      <c r="D7894" s="68"/>
      <c r="E7894" s="10"/>
      <c r="F7894" s="69"/>
      <c r="G7894" s="68"/>
      <c r="H7894" s="70"/>
      <c r="BA7894" s="4"/>
      <c r="BB7894" s="4"/>
    </row>
    <row r="7895" spans="1:54" x14ac:dyDescent="0.3">
      <c r="A7895" s="66"/>
      <c r="B7895" s="67"/>
      <c r="C7895" s="66"/>
      <c r="D7895" s="68"/>
      <c r="E7895" s="10"/>
      <c r="F7895" s="69"/>
      <c r="G7895" s="68"/>
      <c r="H7895" s="70"/>
      <c r="BA7895" s="4"/>
      <c r="BB7895" s="4"/>
    </row>
    <row r="7896" spans="1:54" x14ac:dyDescent="0.3">
      <c r="A7896" s="66"/>
      <c r="B7896" s="67"/>
      <c r="C7896" s="66"/>
      <c r="D7896" s="68"/>
      <c r="E7896" s="10"/>
      <c r="F7896" s="69"/>
      <c r="G7896" s="68"/>
      <c r="H7896" s="70"/>
      <c r="BA7896" s="4"/>
      <c r="BB7896" s="4"/>
    </row>
    <row r="7897" spans="1:54" x14ac:dyDescent="0.3">
      <c r="A7897" s="66"/>
      <c r="B7897" s="67"/>
      <c r="C7897" s="66"/>
      <c r="D7897" s="68"/>
      <c r="E7897" s="10"/>
      <c r="F7897" s="69"/>
      <c r="G7897" s="68"/>
      <c r="H7897" s="70"/>
      <c r="BA7897" s="4"/>
      <c r="BB7897" s="4"/>
    </row>
    <row r="7898" spans="1:54" x14ac:dyDescent="0.3">
      <c r="A7898" s="66"/>
      <c r="B7898" s="67"/>
      <c r="C7898" s="66"/>
      <c r="D7898" s="68"/>
      <c r="E7898" s="10"/>
      <c r="F7898" s="69"/>
      <c r="G7898" s="68"/>
      <c r="H7898" s="70"/>
      <c r="BA7898" s="4"/>
      <c r="BB7898" s="4"/>
    </row>
    <row r="7899" spans="1:54" x14ac:dyDescent="0.3">
      <c r="A7899" s="66"/>
      <c r="B7899" s="67"/>
      <c r="C7899" s="66"/>
      <c r="D7899" s="68"/>
      <c r="E7899" s="10"/>
      <c r="F7899" s="69"/>
      <c r="G7899" s="68"/>
      <c r="H7899" s="70"/>
      <c r="BA7899" s="4"/>
      <c r="BB7899" s="4"/>
    </row>
    <row r="7900" spans="1:54" x14ac:dyDescent="0.3">
      <c r="A7900" s="66"/>
      <c r="B7900" s="67"/>
      <c r="C7900" s="66"/>
      <c r="D7900" s="68"/>
      <c r="E7900" s="10"/>
      <c r="F7900" s="69"/>
      <c r="G7900" s="68"/>
      <c r="H7900" s="70"/>
      <c r="BA7900" s="4"/>
      <c r="BB7900" s="4"/>
    </row>
    <row r="7901" spans="1:54" x14ac:dyDescent="0.3">
      <c r="A7901" s="66"/>
      <c r="B7901" s="67"/>
      <c r="C7901" s="66"/>
      <c r="D7901" s="68"/>
      <c r="E7901" s="10"/>
      <c r="F7901" s="69"/>
      <c r="G7901" s="68"/>
      <c r="H7901" s="70"/>
      <c r="BA7901" s="4"/>
      <c r="BB7901" s="4"/>
    </row>
    <row r="7902" spans="1:54" x14ac:dyDescent="0.3">
      <c r="A7902" s="66"/>
      <c r="B7902" s="67"/>
      <c r="C7902" s="66"/>
      <c r="D7902" s="68"/>
      <c r="E7902" s="10"/>
      <c r="F7902" s="69"/>
      <c r="G7902" s="68"/>
      <c r="H7902" s="70"/>
      <c r="BA7902" s="4"/>
      <c r="BB7902" s="4"/>
    </row>
    <row r="7903" spans="1:54" x14ac:dyDescent="0.3">
      <c r="A7903" s="66"/>
      <c r="B7903" s="67"/>
      <c r="C7903" s="66"/>
      <c r="D7903" s="68"/>
      <c r="E7903" s="10"/>
      <c r="F7903" s="69"/>
      <c r="G7903" s="68"/>
      <c r="H7903" s="70"/>
      <c r="BA7903" s="4"/>
      <c r="BB7903" s="4"/>
    </row>
    <row r="7904" spans="1:54" x14ac:dyDescent="0.3">
      <c r="A7904" s="66"/>
      <c r="B7904" s="67"/>
      <c r="C7904" s="66"/>
      <c r="D7904" s="68"/>
      <c r="E7904" s="10"/>
      <c r="F7904" s="69"/>
      <c r="G7904" s="68"/>
      <c r="H7904" s="70"/>
      <c r="BA7904" s="4"/>
      <c r="BB7904" s="4"/>
    </row>
    <row r="7905" spans="1:54" x14ac:dyDescent="0.3">
      <c r="A7905" s="66"/>
      <c r="B7905" s="67"/>
      <c r="C7905" s="66"/>
      <c r="D7905" s="68"/>
      <c r="E7905" s="10"/>
      <c r="F7905" s="69"/>
      <c r="G7905" s="68"/>
      <c r="H7905" s="70"/>
      <c r="BA7905" s="4"/>
      <c r="BB7905" s="4"/>
    </row>
    <row r="7906" spans="1:54" x14ac:dyDescent="0.3">
      <c r="A7906" s="66"/>
      <c r="B7906" s="67"/>
      <c r="C7906" s="66"/>
      <c r="D7906" s="68"/>
      <c r="E7906" s="10"/>
      <c r="F7906" s="69"/>
      <c r="G7906" s="68"/>
      <c r="H7906" s="70"/>
      <c r="BA7906" s="4"/>
      <c r="BB7906" s="4"/>
    </row>
    <row r="7907" spans="1:54" x14ac:dyDescent="0.3">
      <c r="A7907" s="66"/>
      <c r="B7907" s="67"/>
      <c r="C7907" s="66"/>
      <c r="D7907" s="68"/>
      <c r="E7907" s="10"/>
      <c r="F7907" s="69"/>
      <c r="G7907" s="68"/>
      <c r="H7907" s="70"/>
      <c r="BA7907" s="4"/>
      <c r="BB7907" s="4"/>
    </row>
    <row r="7908" spans="1:54" x14ac:dyDescent="0.3">
      <c r="A7908" s="66"/>
      <c r="B7908" s="67"/>
      <c r="C7908" s="66"/>
      <c r="D7908" s="68"/>
      <c r="E7908" s="10"/>
      <c r="F7908" s="69"/>
      <c r="G7908" s="68"/>
      <c r="H7908" s="70"/>
      <c r="BA7908" s="4"/>
      <c r="BB7908" s="4"/>
    </row>
    <row r="7909" spans="1:54" x14ac:dyDescent="0.3">
      <c r="A7909" s="66"/>
      <c r="B7909" s="67"/>
      <c r="C7909" s="66"/>
      <c r="D7909" s="68"/>
      <c r="E7909" s="10"/>
      <c r="F7909" s="69"/>
      <c r="G7909" s="68"/>
      <c r="H7909" s="70"/>
      <c r="BA7909" s="4"/>
      <c r="BB7909" s="4"/>
    </row>
    <row r="7910" spans="1:54" x14ac:dyDescent="0.3">
      <c r="A7910" s="66"/>
      <c r="B7910" s="67"/>
      <c r="C7910" s="66"/>
      <c r="D7910" s="68"/>
      <c r="E7910" s="10"/>
      <c r="F7910" s="69"/>
      <c r="G7910" s="68"/>
      <c r="H7910" s="70"/>
      <c r="BA7910" s="4"/>
      <c r="BB7910" s="4"/>
    </row>
    <row r="7911" spans="1:54" x14ac:dyDescent="0.3">
      <c r="A7911" s="66"/>
      <c r="B7911" s="67"/>
      <c r="C7911" s="66"/>
      <c r="D7911" s="68"/>
      <c r="E7911" s="10"/>
      <c r="F7911" s="69"/>
      <c r="G7911" s="68"/>
      <c r="H7911" s="70"/>
      <c r="BA7911" s="4"/>
      <c r="BB7911" s="4"/>
    </row>
    <row r="7912" spans="1:54" x14ac:dyDescent="0.3">
      <c r="A7912" s="66"/>
      <c r="B7912" s="67"/>
      <c r="C7912" s="66"/>
      <c r="D7912" s="68"/>
      <c r="E7912" s="10"/>
      <c r="F7912" s="69"/>
      <c r="G7912" s="68"/>
      <c r="H7912" s="70"/>
      <c r="BA7912" s="4"/>
      <c r="BB7912" s="4"/>
    </row>
    <row r="7913" spans="1:54" x14ac:dyDescent="0.3">
      <c r="A7913" s="66"/>
      <c r="B7913" s="67"/>
      <c r="C7913" s="66"/>
      <c r="D7913" s="68"/>
      <c r="E7913" s="10"/>
      <c r="F7913" s="69"/>
      <c r="G7913" s="68"/>
      <c r="H7913" s="70"/>
      <c r="BA7913" s="4"/>
      <c r="BB7913" s="4"/>
    </row>
    <row r="7914" spans="1:54" x14ac:dyDescent="0.3">
      <c r="A7914" s="66"/>
      <c r="B7914" s="67"/>
      <c r="C7914" s="66"/>
      <c r="D7914" s="68"/>
      <c r="E7914" s="10"/>
      <c r="F7914" s="69"/>
      <c r="G7914" s="68"/>
      <c r="H7914" s="70"/>
      <c r="BA7914" s="4"/>
      <c r="BB7914" s="4"/>
    </row>
    <row r="7915" spans="1:54" x14ac:dyDescent="0.3">
      <c r="A7915" s="66"/>
      <c r="B7915" s="67"/>
      <c r="C7915" s="66"/>
      <c r="D7915" s="68"/>
      <c r="E7915" s="10"/>
      <c r="F7915" s="69"/>
      <c r="G7915" s="68"/>
      <c r="H7915" s="70"/>
      <c r="BA7915" s="4"/>
      <c r="BB7915" s="4"/>
    </row>
    <row r="7916" spans="1:54" x14ac:dyDescent="0.3">
      <c r="A7916" s="66"/>
      <c r="B7916" s="67"/>
      <c r="C7916" s="66"/>
      <c r="D7916" s="68"/>
      <c r="E7916" s="10"/>
      <c r="F7916" s="69"/>
      <c r="G7916" s="68"/>
      <c r="H7916" s="70"/>
      <c r="BA7916" s="4"/>
      <c r="BB7916" s="4"/>
    </row>
    <row r="7917" spans="1:54" x14ac:dyDescent="0.3">
      <c r="A7917" s="66"/>
      <c r="B7917" s="67"/>
      <c r="C7917" s="66"/>
      <c r="D7917" s="68"/>
      <c r="E7917" s="10"/>
      <c r="F7917" s="69"/>
      <c r="G7917" s="68"/>
      <c r="H7917" s="70"/>
      <c r="BA7917" s="4"/>
      <c r="BB7917" s="4"/>
    </row>
    <row r="7918" spans="1:54" x14ac:dyDescent="0.3">
      <c r="A7918" s="66"/>
      <c r="B7918" s="67"/>
      <c r="C7918" s="66"/>
      <c r="D7918" s="68"/>
      <c r="E7918" s="10"/>
      <c r="F7918" s="69"/>
      <c r="G7918" s="68"/>
      <c r="H7918" s="70"/>
      <c r="BA7918" s="4"/>
      <c r="BB7918" s="4"/>
    </row>
    <row r="7919" spans="1:54" x14ac:dyDescent="0.3">
      <c r="A7919" s="66"/>
      <c r="B7919" s="67"/>
      <c r="C7919" s="66"/>
      <c r="D7919" s="68"/>
      <c r="E7919" s="10"/>
      <c r="F7919" s="69"/>
      <c r="G7919" s="68"/>
      <c r="H7919" s="70"/>
      <c r="BA7919" s="4"/>
      <c r="BB7919" s="4"/>
    </row>
    <row r="7920" spans="1:54" x14ac:dyDescent="0.3">
      <c r="A7920" s="66"/>
      <c r="B7920" s="67"/>
      <c r="C7920" s="66"/>
      <c r="D7920" s="68"/>
      <c r="E7920" s="10"/>
      <c r="F7920" s="69"/>
      <c r="G7920" s="68"/>
      <c r="H7920" s="70"/>
      <c r="BA7920" s="4"/>
      <c r="BB7920" s="4"/>
    </row>
    <row r="7921" spans="1:54" x14ac:dyDescent="0.3">
      <c r="A7921" s="66"/>
      <c r="B7921" s="67"/>
      <c r="C7921" s="66"/>
      <c r="D7921" s="68"/>
      <c r="E7921" s="10"/>
      <c r="F7921" s="69"/>
      <c r="G7921" s="68"/>
      <c r="H7921" s="70"/>
      <c r="BA7921" s="4"/>
      <c r="BB7921" s="4"/>
    </row>
    <row r="7922" spans="1:54" x14ac:dyDescent="0.3">
      <c r="A7922" s="66"/>
      <c r="B7922" s="67"/>
      <c r="C7922" s="66"/>
      <c r="D7922" s="68"/>
      <c r="E7922" s="10"/>
      <c r="F7922" s="69"/>
      <c r="G7922" s="68"/>
      <c r="H7922" s="70"/>
      <c r="BA7922" s="4"/>
      <c r="BB7922" s="4"/>
    </row>
    <row r="7923" spans="1:54" x14ac:dyDescent="0.3">
      <c r="A7923" s="66"/>
      <c r="B7923" s="67"/>
      <c r="C7923" s="66"/>
      <c r="D7923" s="68"/>
      <c r="E7923" s="10"/>
      <c r="F7923" s="69"/>
      <c r="G7923" s="68"/>
      <c r="H7923" s="70"/>
      <c r="BA7923" s="4"/>
      <c r="BB7923" s="4"/>
    </row>
    <row r="7924" spans="1:54" x14ac:dyDescent="0.3">
      <c r="A7924" s="66"/>
      <c r="B7924" s="67"/>
      <c r="C7924" s="66"/>
      <c r="D7924" s="68"/>
      <c r="E7924" s="10"/>
      <c r="F7924" s="69"/>
      <c r="G7924" s="68"/>
      <c r="H7924" s="70"/>
      <c r="BA7924" s="4"/>
      <c r="BB7924" s="4"/>
    </row>
    <row r="7925" spans="1:54" x14ac:dyDescent="0.3">
      <c r="A7925" s="66"/>
      <c r="B7925" s="67"/>
      <c r="C7925" s="66"/>
      <c r="D7925" s="68"/>
      <c r="E7925" s="10"/>
      <c r="F7925" s="69"/>
      <c r="G7925" s="68"/>
      <c r="H7925" s="70"/>
      <c r="BA7925" s="4"/>
      <c r="BB7925" s="4"/>
    </row>
    <row r="7926" spans="1:54" x14ac:dyDescent="0.3">
      <c r="A7926" s="66"/>
      <c r="B7926" s="67"/>
      <c r="C7926" s="66"/>
      <c r="D7926" s="68"/>
      <c r="E7926" s="10"/>
      <c r="F7926" s="69"/>
      <c r="G7926" s="68"/>
      <c r="H7926" s="70"/>
      <c r="BA7926" s="4"/>
      <c r="BB7926" s="4"/>
    </row>
    <row r="7927" spans="1:54" x14ac:dyDescent="0.3">
      <c r="A7927" s="66"/>
      <c r="B7927" s="67"/>
      <c r="C7927" s="66"/>
      <c r="D7927" s="68"/>
      <c r="E7927" s="10"/>
      <c r="F7927" s="69"/>
      <c r="G7927" s="68"/>
      <c r="H7927" s="70"/>
      <c r="BA7927" s="4"/>
      <c r="BB7927" s="4"/>
    </row>
    <row r="7928" spans="1:54" x14ac:dyDescent="0.3">
      <c r="A7928" s="66"/>
      <c r="B7928" s="67"/>
      <c r="C7928" s="66"/>
      <c r="D7928" s="68"/>
      <c r="E7928" s="10"/>
      <c r="F7928" s="69"/>
      <c r="G7928" s="68"/>
      <c r="H7928" s="70"/>
      <c r="BA7928" s="4"/>
      <c r="BB7928" s="4"/>
    </row>
    <row r="7929" spans="1:54" x14ac:dyDescent="0.3">
      <c r="A7929" s="66"/>
      <c r="B7929" s="67"/>
      <c r="C7929" s="66"/>
      <c r="D7929" s="68"/>
      <c r="E7929" s="10"/>
      <c r="F7929" s="69"/>
      <c r="G7929" s="68"/>
      <c r="H7929" s="70"/>
      <c r="BA7929" s="4"/>
      <c r="BB7929" s="4"/>
    </row>
    <row r="7930" spans="1:54" x14ac:dyDescent="0.3">
      <c r="A7930" s="66"/>
      <c r="B7930" s="67"/>
      <c r="C7930" s="66"/>
      <c r="D7930" s="68"/>
      <c r="E7930" s="10"/>
      <c r="F7930" s="69"/>
      <c r="G7930" s="68"/>
      <c r="H7930" s="70"/>
      <c r="BA7930" s="4"/>
      <c r="BB7930" s="4"/>
    </row>
    <row r="7931" spans="1:54" x14ac:dyDescent="0.3">
      <c r="A7931" s="66"/>
      <c r="B7931" s="67"/>
      <c r="C7931" s="66"/>
      <c r="D7931" s="68"/>
      <c r="E7931" s="10"/>
      <c r="F7931" s="69"/>
      <c r="G7931" s="68"/>
      <c r="H7931" s="70"/>
      <c r="BA7931" s="4"/>
      <c r="BB7931" s="4"/>
    </row>
    <row r="7932" spans="1:54" x14ac:dyDescent="0.3">
      <c r="A7932" s="66"/>
      <c r="B7932" s="67"/>
      <c r="C7932" s="66"/>
      <c r="D7932" s="68"/>
      <c r="E7932" s="10"/>
      <c r="F7932" s="69"/>
      <c r="G7932" s="68"/>
      <c r="H7932" s="70"/>
      <c r="BA7932" s="4"/>
      <c r="BB7932" s="4"/>
    </row>
    <row r="7933" spans="1:54" x14ac:dyDescent="0.3">
      <c r="A7933" s="66"/>
      <c r="B7933" s="67"/>
      <c r="C7933" s="66"/>
      <c r="D7933" s="68"/>
      <c r="E7933" s="10"/>
      <c r="F7933" s="69"/>
      <c r="G7933" s="68"/>
      <c r="H7933" s="70"/>
      <c r="BA7933" s="4"/>
      <c r="BB7933" s="4"/>
    </row>
    <row r="7934" spans="1:54" x14ac:dyDescent="0.3">
      <c r="A7934" s="66"/>
      <c r="B7934" s="67"/>
      <c r="C7934" s="66"/>
      <c r="D7934" s="68"/>
      <c r="E7934" s="10"/>
      <c r="F7934" s="69"/>
      <c r="G7934" s="68"/>
      <c r="H7934" s="70"/>
      <c r="BA7934" s="4"/>
      <c r="BB7934" s="4"/>
    </row>
    <row r="7935" spans="1:54" x14ac:dyDescent="0.3">
      <c r="A7935" s="66"/>
      <c r="B7935" s="67"/>
      <c r="C7935" s="66"/>
      <c r="D7935" s="68"/>
      <c r="E7935" s="10"/>
      <c r="F7935" s="69"/>
      <c r="G7935" s="68"/>
      <c r="H7935" s="70"/>
      <c r="BA7935" s="4"/>
      <c r="BB7935" s="4"/>
    </row>
    <row r="7936" spans="1:54" x14ac:dyDescent="0.3">
      <c r="A7936" s="66"/>
      <c r="B7936" s="67"/>
      <c r="C7936" s="66"/>
      <c r="D7936" s="68"/>
      <c r="E7936" s="10"/>
      <c r="F7936" s="69"/>
      <c r="G7936" s="68"/>
      <c r="H7936" s="70"/>
      <c r="BA7936" s="4"/>
      <c r="BB7936" s="4"/>
    </row>
    <row r="7937" spans="1:54" x14ac:dyDescent="0.3">
      <c r="A7937" s="66"/>
      <c r="B7937" s="67"/>
      <c r="C7937" s="66"/>
      <c r="D7937" s="68"/>
      <c r="E7937" s="10"/>
      <c r="F7937" s="69"/>
      <c r="G7937" s="68"/>
      <c r="H7937" s="70"/>
      <c r="BA7937" s="4"/>
      <c r="BB7937" s="4"/>
    </row>
    <row r="7938" spans="1:54" x14ac:dyDescent="0.3">
      <c r="A7938" s="66"/>
      <c r="B7938" s="67"/>
      <c r="C7938" s="66"/>
      <c r="D7938" s="68"/>
      <c r="E7938" s="10"/>
      <c r="F7938" s="69"/>
      <c r="G7938" s="68"/>
      <c r="H7938" s="70"/>
      <c r="BA7938" s="4"/>
      <c r="BB7938" s="4"/>
    </row>
    <row r="7939" spans="1:54" x14ac:dyDescent="0.3">
      <c r="A7939" s="66"/>
      <c r="B7939" s="67"/>
      <c r="C7939" s="66"/>
      <c r="D7939" s="68"/>
      <c r="E7939" s="10"/>
      <c r="F7939" s="69"/>
      <c r="G7939" s="68"/>
      <c r="H7939" s="70"/>
      <c r="BA7939" s="4"/>
      <c r="BB7939" s="4"/>
    </row>
    <row r="7940" spans="1:54" x14ac:dyDescent="0.3">
      <c r="A7940" s="66"/>
      <c r="B7940" s="67"/>
      <c r="C7940" s="66"/>
      <c r="D7940" s="68"/>
      <c r="E7940" s="10"/>
      <c r="F7940" s="69"/>
      <c r="G7940" s="68"/>
      <c r="H7940" s="70"/>
      <c r="BA7940" s="4"/>
      <c r="BB7940" s="4"/>
    </row>
    <row r="7941" spans="1:54" x14ac:dyDescent="0.3">
      <c r="A7941" s="66"/>
      <c r="B7941" s="67"/>
      <c r="C7941" s="66"/>
      <c r="D7941" s="68"/>
      <c r="E7941" s="10"/>
      <c r="F7941" s="69"/>
      <c r="G7941" s="68"/>
      <c r="H7941" s="70"/>
      <c r="BA7941" s="4"/>
      <c r="BB7941" s="4"/>
    </row>
    <row r="7942" spans="1:54" x14ac:dyDescent="0.3">
      <c r="A7942" s="66"/>
      <c r="B7942" s="67"/>
      <c r="C7942" s="66"/>
      <c r="D7942" s="68"/>
      <c r="E7942" s="10"/>
      <c r="F7942" s="69"/>
      <c r="G7942" s="68"/>
      <c r="H7942" s="70"/>
      <c r="BA7942" s="4"/>
      <c r="BB7942" s="4"/>
    </row>
    <row r="7943" spans="1:54" x14ac:dyDescent="0.3">
      <c r="A7943" s="66"/>
      <c r="B7943" s="67"/>
      <c r="C7943" s="66"/>
      <c r="D7943" s="68"/>
      <c r="E7943" s="10"/>
      <c r="F7943" s="69"/>
      <c r="G7943" s="68"/>
      <c r="H7943" s="70"/>
      <c r="BA7943" s="4"/>
      <c r="BB7943" s="4"/>
    </row>
    <row r="7944" spans="1:54" x14ac:dyDescent="0.3">
      <c r="A7944" s="66"/>
      <c r="B7944" s="67"/>
      <c r="C7944" s="66"/>
      <c r="D7944" s="68"/>
      <c r="E7944" s="10"/>
      <c r="F7944" s="69"/>
      <c r="G7944" s="68"/>
      <c r="H7944" s="70"/>
      <c r="BA7944" s="4"/>
      <c r="BB7944" s="4"/>
    </row>
    <row r="7945" spans="1:54" x14ac:dyDescent="0.3">
      <c r="A7945" s="66"/>
      <c r="B7945" s="67"/>
      <c r="C7945" s="66"/>
      <c r="D7945" s="68"/>
      <c r="E7945" s="10"/>
      <c r="F7945" s="69"/>
      <c r="G7945" s="68"/>
      <c r="H7945" s="70"/>
      <c r="BA7945" s="4"/>
      <c r="BB7945" s="4"/>
    </row>
    <row r="7946" spans="1:54" x14ac:dyDescent="0.3">
      <c r="A7946" s="66"/>
      <c r="B7946" s="67"/>
      <c r="C7946" s="66"/>
      <c r="D7946" s="68"/>
      <c r="E7946" s="10"/>
      <c r="F7946" s="69"/>
      <c r="G7946" s="68"/>
      <c r="H7946" s="70"/>
      <c r="BA7946" s="4"/>
      <c r="BB7946" s="4"/>
    </row>
    <row r="7947" spans="1:54" x14ac:dyDescent="0.3">
      <c r="A7947" s="66"/>
      <c r="B7947" s="67"/>
      <c r="C7947" s="66"/>
      <c r="D7947" s="68"/>
      <c r="E7947" s="10"/>
      <c r="F7947" s="69"/>
      <c r="G7947" s="68"/>
      <c r="H7947" s="70"/>
      <c r="BA7947" s="4"/>
      <c r="BB7947" s="4"/>
    </row>
    <row r="7948" spans="1:54" x14ac:dyDescent="0.3">
      <c r="A7948" s="66"/>
      <c r="B7948" s="67"/>
      <c r="C7948" s="66"/>
      <c r="D7948" s="68"/>
      <c r="E7948" s="10"/>
      <c r="F7948" s="69"/>
      <c r="G7948" s="68"/>
      <c r="H7948" s="70"/>
      <c r="BA7948" s="4"/>
      <c r="BB7948" s="4"/>
    </row>
    <row r="7949" spans="1:54" x14ac:dyDescent="0.3">
      <c r="A7949" s="66"/>
      <c r="B7949" s="67"/>
      <c r="C7949" s="66"/>
      <c r="D7949" s="68"/>
      <c r="E7949" s="10"/>
      <c r="F7949" s="69"/>
      <c r="G7949" s="68"/>
      <c r="H7949" s="70"/>
      <c r="BA7949" s="4"/>
      <c r="BB7949" s="4"/>
    </row>
    <row r="7950" spans="1:54" x14ac:dyDescent="0.3">
      <c r="A7950" s="66"/>
      <c r="B7950" s="67"/>
      <c r="C7950" s="66"/>
      <c r="D7950" s="68"/>
      <c r="E7950" s="10"/>
      <c r="F7950" s="69"/>
      <c r="G7950" s="68"/>
      <c r="H7950" s="70"/>
      <c r="BA7950" s="4"/>
      <c r="BB7950" s="4"/>
    </row>
    <row r="7951" spans="1:54" x14ac:dyDescent="0.3">
      <c r="A7951" s="66"/>
      <c r="B7951" s="67"/>
      <c r="C7951" s="66"/>
      <c r="D7951" s="68"/>
      <c r="E7951" s="10"/>
      <c r="F7951" s="69"/>
      <c r="G7951" s="68"/>
      <c r="H7951" s="70"/>
      <c r="BA7951" s="4"/>
      <c r="BB7951" s="4"/>
    </row>
    <row r="7952" spans="1:54" x14ac:dyDescent="0.3">
      <c r="A7952" s="66"/>
      <c r="B7952" s="67"/>
      <c r="C7952" s="66"/>
      <c r="D7952" s="68"/>
      <c r="E7952" s="10"/>
      <c r="F7952" s="69"/>
      <c r="G7952" s="68"/>
      <c r="H7952" s="70"/>
      <c r="BA7952" s="4"/>
      <c r="BB7952" s="4"/>
    </row>
    <row r="7953" spans="1:54" x14ac:dyDescent="0.3">
      <c r="A7953" s="66"/>
      <c r="B7953" s="67"/>
      <c r="C7953" s="66"/>
      <c r="D7953" s="68"/>
      <c r="E7953" s="10"/>
      <c r="F7953" s="69"/>
      <c r="G7953" s="68"/>
      <c r="H7953" s="70"/>
      <c r="BA7953" s="4"/>
      <c r="BB7953" s="4"/>
    </row>
    <row r="7954" spans="1:54" x14ac:dyDescent="0.3">
      <c r="A7954" s="66"/>
      <c r="B7954" s="67"/>
      <c r="C7954" s="66"/>
      <c r="D7954" s="68"/>
      <c r="E7954" s="10"/>
      <c r="F7954" s="69"/>
      <c r="G7954" s="68"/>
      <c r="H7954" s="70"/>
      <c r="BA7954" s="4"/>
      <c r="BB7954" s="4"/>
    </row>
    <row r="7955" spans="1:54" x14ac:dyDescent="0.3">
      <c r="A7955" s="66"/>
      <c r="B7955" s="67"/>
      <c r="C7955" s="66"/>
      <c r="D7955" s="68"/>
      <c r="E7955" s="10"/>
      <c r="F7955" s="69"/>
      <c r="G7955" s="68"/>
      <c r="H7955" s="70"/>
      <c r="BA7955" s="4"/>
      <c r="BB7955" s="4"/>
    </row>
    <row r="7956" spans="1:54" x14ac:dyDescent="0.3">
      <c r="A7956" s="66"/>
      <c r="B7956" s="67"/>
      <c r="C7956" s="66"/>
      <c r="D7956" s="68"/>
      <c r="E7956" s="10"/>
      <c r="F7956" s="69"/>
      <c r="G7956" s="68"/>
      <c r="H7956" s="70"/>
      <c r="BA7956" s="4"/>
      <c r="BB7956" s="4"/>
    </row>
    <row r="7957" spans="1:54" x14ac:dyDescent="0.3">
      <c r="A7957" s="66"/>
      <c r="B7957" s="67"/>
      <c r="C7957" s="66"/>
      <c r="D7957" s="68"/>
      <c r="E7957" s="10"/>
      <c r="F7957" s="69"/>
      <c r="G7957" s="68"/>
      <c r="H7957" s="70"/>
      <c r="BA7957" s="4"/>
      <c r="BB7957" s="4"/>
    </row>
    <row r="7958" spans="1:54" x14ac:dyDescent="0.3">
      <c r="A7958" s="66"/>
      <c r="B7958" s="67"/>
      <c r="C7958" s="66"/>
      <c r="D7958" s="68"/>
      <c r="E7958" s="10"/>
      <c r="F7958" s="69"/>
      <c r="G7958" s="68"/>
      <c r="H7958" s="70"/>
      <c r="BA7958" s="4"/>
      <c r="BB7958" s="4"/>
    </row>
    <row r="7959" spans="1:54" x14ac:dyDescent="0.3">
      <c r="A7959" s="66"/>
      <c r="B7959" s="67"/>
      <c r="C7959" s="66"/>
      <c r="D7959" s="68"/>
      <c r="E7959" s="10"/>
      <c r="F7959" s="69"/>
      <c r="G7959" s="68"/>
      <c r="H7959" s="70"/>
      <c r="BA7959" s="4"/>
      <c r="BB7959" s="4"/>
    </row>
    <row r="7960" spans="1:54" x14ac:dyDescent="0.3">
      <c r="A7960" s="66"/>
      <c r="B7960" s="67"/>
      <c r="C7960" s="66"/>
      <c r="D7960" s="68"/>
      <c r="E7960" s="10"/>
      <c r="F7960" s="69"/>
      <c r="G7960" s="68"/>
      <c r="H7960" s="70"/>
      <c r="BA7960" s="4"/>
      <c r="BB7960" s="4"/>
    </row>
    <row r="7961" spans="1:54" x14ac:dyDescent="0.3">
      <c r="A7961" s="66"/>
      <c r="B7961" s="67"/>
      <c r="C7961" s="66"/>
      <c r="D7961" s="68"/>
      <c r="E7961" s="10"/>
      <c r="F7961" s="69"/>
      <c r="G7961" s="68"/>
      <c r="H7961" s="70"/>
      <c r="BA7961" s="4"/>
      <c r="BB7961" s="4"/>
    </row>
    <row r="7962" spans="1:54" x14ac:dyDescent="0.3">
      <c r="A7962" s="66"/>
      <c r="B7962" s="67"/>
      <c r="C7962" s="66"/>
      <c r="D7962" s="68"/>
      <c r="E7962" s="10"/>
      <c r="F7962" s="69"/>
      <c r="G7962" s="68"/>
      <c r="H7962" s="70"/>
      <c r="BA7962" s="4"/>
      <c r="BB7962" s="4"/>
    </row>
    <row r="7963" spans="1:54" x14ac:dyDescent="0.3">
      <c r="A7963" s="66"/>
      <c r="B7963" s="67"/>
      <c r="C7963" s="66"/>
      <c r="D7963" s="68"/>
      <c r="E7963" s="10"/>
      <c r="F7963" s="69"/>
      <c r="G7963" s="68"/>
      <c r="H7963" s="70"/>
      <c r="BA7963" s="4"/>
      <c r="BB7963" s="4"/>
    </row>
    <row r="7964" spans="1:54" x14ac:dyDescent="0.3">
      <c r="A7964" s="66"/>
      <c r="B7964" s="67"/>
      <c r="C7964" s="66"/>
      <c r="D7964" s="68"/>
      <c r="E7964" s="10"/>
      <c r="F7964" s="69"/>
      <c r="G7964" s="68"/>
      <c r="H7964" s="70"/>
      <c r="BA7964" s="4"/>
      <c r="BB7964" s="4"/>
    </row>
    <row r="7965" spans="1:54" x14ac:dyDescent="0.3">
      <c r="A7965" s="66"/>
      <c r="B7965" s="67"/>
      <c r="C7965" s="66"/>
      <c r="D7965" s="68"/>
      <c r="E7965" s="10"/>
      <c r="F7965" s="69"/>
      <c r="G7965" s="68"/>
      <c r="H7965" s="70"/>
      <c r="BA7965" s="4"/>
      <c r="BB7965" s="4"/>
    </row>
    <row r="7966" spans="1:54" x14ac:dyDescent="0.3">
      <c r="A7966" s="66"/>
      <c r="B7966" s="67"/>
      <c r="C7966" s="66"/>
      <c r="D7966" s="68"/>
      <c r="E7966" s="10"/>
      <c r="F7966" s="69"/>
      <c r="G7966" s="68"/>
      <c r="H7966" s="70"/>
      <c r="BA7966" s="4"/>
      <c r="BB7966" s="4"/>
    </row>
    <row r="7967" spans="1:54" x14ac:dyDescent="0.3">
      <c r="A7967" s="66"/>
      <c r="B7967" s="67"/>
      <c r="C7967" s="66"/>
      <c r="D7967" s="68"/>
      <c r="E7967" s="10"/>
      <c r="F7967" s="69"/>
      <c r="G7967" s="68"/>
      <c r="H7967" s="70"/>
      <c r="BA7967" s="4"/>
      <c r="BB7967" s="4"/>
    </row>
    <row r="7968" spans="1:54" x14ac:dyDescent="0.3">
      <c r="A7968" s="66"/>
      <c r="B7968" s="67"/>
      <c r="C7968" s="66"/>
      <c r="D7968" s="68"/>
      <c r="E7968" s="10"/>
      <c r="F7968" s="69"/>
      <c r="G7968" s="68"/>
      <c r="H7968" s="70"/>
      <c r="BA7968" s="4"/>
      <c r="BB7968" s="4"/>
    </row>
    <row r="7969" spans="1:54" x14ac:dyDescent="0.3">
      <c r="A7969" s="66"/>
      <c r="B7969" s="67"/>
      <c r="C7969" s="66"/>
      <c r="D7969" s="68"/>
      <c r="E7969" s="10"/>
      <c r="F7969" s="69"/>
      <c r="G7969" s="68"/>
      <c r="H7969" s="70"/>
      <c r="BA7969" s="4"/>
      <c r="BB7969" s="4"/>
    </row>
    <row r="7970" spans="1:54" x14ac:dyDescent="0.3">
      <c r="A7970" s="66"/>
      <c r="B7970" s="67"/>
      <c r="C7970" s="66"/>
      <c r="D7970" s="68"/>
      <c r="E7970" s="10"/>
      <c r="F7970" s="69"/>
      <c r="G7970" s="68"/>
      <c r="H7970" s="70"/>
      <c r="BA7970" s="4"/>
      <c r="BB7970" s="4"/>
    </row>
    <row r="7971" spans="1:54" x14ac:dyDescent="0.3">
      <c r="A7971" s="66"/>
      <c r="B7971" s="67"/>
      <c r="C7971" s="66"/>
      <c r="D7971" s="68"/>
      <c r="E7971" s="10"/>
      <c r="F7971" s="69"/>
      <c r="G7971" s="68"/>
      <c r="H7971" s="70"/>
      <c r="BA7971" s="4"/>
      <c r="BB7971" s="4"/>
    </row>
    <row r="7972" spans="1:54" x14ac:dyDescent="0.3">
      <c r="A7972" s="66"/>
      <c r="B7972" s="67"/>
      <c r="C7972" s="66"/>
      <c r="D7972" s="68"/>
      <c r="E7972" s="10"/>
      <c r="F7972" s="69"/>
      <c r="G7972" s="68"/>
      <c r="H7972" s="70"/>
      <c r="BA7972" s="4"/>
      <c r="BB7972" s="4"/>
    </row>
    <row r="7973" spans="1:54" x14ac:dyDescent="0.3">
      <c r="A7973" s="66"/>
      <c r="B7973" s="67"/>
      <c r="C7973" s="66"/>
      <c r="D7973" s="68"/>
      <c r="E7973" s="10"/>
      <c r="F7973" s="69"/>
      <c r="G7973" s="68"/>
      <c r="H7973" s="70"/>
      <c r="BA7973" s="4"/>
      <c r="BB7973" s="4"/>
    </row>
    <row r="7974" spans="1:54" x14ac:dyDescent="0.3">
      <c r="A7974" s="66"/>
      <c r="B7974" s="67"/>
      <c r="C7974" s="66"/>
      <c r="D7974" s="68"/>
      <c r="E7974" s="10"/>
      <c r="F7974" s="69"/>
      <c r="G7974" s="68"/>
      <c r="H7974" s="70"/>
      <c r="BA7974" s="4"/>
      <c r="BB7974" s="4"/>
    </row>
    <row r="7975" spans="1:54" x14ac:dyDescent="0.3">
      <c r="A7975" s="66"/>
      <c r="B7975" s="67"/>
      <c r="C7975" s="66"/>
      <c r="D7975" s="68"/>
      <c r="E7975" s="10"/>
      <c r="F7975" s="69"/>
      <c r="G7975" s="68"/>
      <c r="H7975" s="70"/>
      <c r="BA7975" s="4"/>
      <c r="BB7975" s="4"/>
    </row>
    <row r="7976" spans="1:54" x14ac:dyDescent="0.3">
      <c r="A7976" s="66"/>
      <c r="B7976" s="67"/>
      <c r="C7976" s="66"/>
      <c r="D7976" s="68"/>
      <c r="E7976" s="10"/>
      <c r="F7976" s="69"/>
      <c r="G7976" s="68"/>
      <c r="H7976" s="70"/>
      <c r="BA7976" s="4"/>
      <c r="BB7976" s="4"/>
    </row>
    <row r="7977" spans="1:54" x14ac:dyDescent="0.3">
      <c r="A7977" s="66"/>
      <c r="B7977" s="67"/>
      <c r="C7977" s="66"/>
      <c r="D7977" s="68"/>
      <c r="E7977" s="10"/>
      <c r="F7977" s="69"/>
      <c r="G7977" s="68"/>
      <c r="H7977" s="70"/>
      <c r="BA7977" s="4"/>
      <c r="BB7977" s="4"/>
    </row>
    <row r="7978" spans="1:54" x14ac:dyDescent="0.3">
      <c r="A7978" s="66"/>
      <c r="B7978" s="67"/>
      <c r="C7978" s="66"/>
      <c r="D7978" s="68"/>
      <c r="E7978" s="10"/>
      <c r="F7978" s="69"/>
      <c r="G7978" s="68"/>
      <c r="H7978" s="70"/>
      <c r="BA7978" s="4"/>
      <c r="BB7978" s="4"/>
    </row>
    <row r="7979" spans="1:54" x14ac:dyDescent="0.3">
      <c r="A7979" s="66"/>
      <c r="B7979" s="67"/>
      <c r="C7979" s="66"/>
      <c r="D7979" s="68"/>
      <c r="E7979" s="10"/>
      <c r="F7979" s="69"/>
      <c r="G7979" s="68"/>
      <c r="H7979" s="70"/>
      <c r="BA7979" s="4"/>
      <c r="BB7979" s="4"/>
    </row>
    <row r="7980" spans="1:54" x14ac:dyDescent="0.3">
      <c r="A7980" s="66"/>
      <c r="B7980" s="67"/>
      <c r="C7980" s="66"/>
      <c r="D7980" s="68"/>
      <c r="E7980" s="10"/>
      <c r="F7980" s="69"/>
      <c r="G7980" s="68"/>
      <c r="H7980" s="70"/>
      <c r="BA7980" s="4"/>
      <c r="BB7980" s="4"/>
    </row>
    <row r="7981" spans="1:54" x14ac:dyDescent="0.3">
      <c r="A7981" s="66"/>
      <c r="B7981" s="67"/>
      <c r="C7981" s="66"/>
      <c r="D7981" s="68"/>
      <c r="E7981" s="10"/>
      <c r="F7981" s="69"/>
      <c r="G7981" s="68"/>
      <c r="H7981" s="70"/>
      <c r="BA7981" s="4"/>
      <c r="BB7981" s="4"/>
    </row>
    <row r="7982" spans="1:54" x14ac:dyDescent="0.3">
      <c r="A7982" s="66"/>
      <c r="B7982" s="67"/>
      <c r="C7982" s="66"/>
      <c r="D7982" s="68"/>
      <c r="E7982" s="10"/>
      <c r="F7982" s="69"/>
      <c r="G7982" s="68"/>
      <c r="H7982" s="70"/>
      <c r="BA7982" s="4"/>
      <c r="BB7982" s="4"/>
    </row>
    <row r="7983" spans="1:54" x14ac:dyDescent="0.3">
      <c r="A7983" s="66"/>
      <c r="B7983" s="67"/>
      <c r="C7983" s="66"/>
      <c r="D7983" s="68"/>
      <c r="E7983" s="10"/>
      <c r="F7983" s="69"/>
      <c r="G7983" s="68"/>
      <c r="H7983" s="70"/>
      <c r="BA7983" s="4"/>
      <c r="BB7983" s="4"/>
    </row>
    <row r="7984" spans="1:54" x14ac:dyDescent="0.3">
      <c r="A7984" s="66"/>
      <c r="B7984" s="67"/>
      <c r="C7984" s="66"/>
      <c r="D7984" s="68"/>
      <c r="E7984" s="10"/>
      <c r="F7984" s="69"/>
      <c r="G7984" s="68"/>
      <c r="H7984" s="70"/>
      <c r="BA7984" s="4"/>
      <c r="BB7984" s="4"/>
    </row>
    <row r="7985" spans="1:54" x14ac:dyDescent="0.3">
      <c r="A7985" s="66"/>
      <c r="B7985" s="67"/>
      <c r="C7985" s="66"/>
      <c r="D7985" s="68"/>
      <c r="E7985" s="10"/>
      <c r="F7985" s="69"/>
      <c r="G7985" s="68"/>
      <c r="H7985" s="70"/>
      <c r="BA7985" s="4"/>
      <c r="BB7985" s="4"/>
    </row>
    <row r="7986" spans="1:54" x14ac:dyDescent="0.3">
      <c r="A7986" s="66"/>
      <c r="B7986" s="67"/>
      <c r="C7986" s="66"/>
      <c r="D7986" s="68"/>
      <c r="E7986" s="10"/>
      <c r="F7986" s="69"/>
      <c r="G7986" s="68"/>
      <c r="H7986" s="70"/>
      <c r="BA7986" s="4"/>
      <c r="BB7986" s="4"/>
    </row>
    <row r="7987" spans="1:54" x14ac:dyDescent="0.3">
      <c r="A7987" s="66"/>
      <c r="B7987" s="67"/>
      <c r="C7987" s="66"/>
      <c r="D7987" s="68"/>
      <c r="E7987" s="10"/>
      <c r="F7987" s="69"/>
      <c r="G7987" s="68"/>
      <c r="H7987" s="70"/>
      <c r="BA7987" s="4"/>
      <c r="BB7987" s="4"/>
    </row>
    <row r="7988" spans="1:54" x14ac:dyDescent="0.3">
      <c r="A7988" s="66"/>
      <c r="B7988" s="67"/>
      <c r="C7988" s="66"/>
      <c r="D7988" s="68"/>
      <c r="E7988" s="10"/>
      <c r="F7988" s="69"/>
      <c r="G7988" s="68"/>
      <c r="H7988" s="70"/>
      <c r="BA7988" s="4"/>
      <c r="BB7988" s="4"/>
    </row>
    <row r="7989" spans="1:54" x14ac:dyDescent="0.3">
      <c r="A7989" s="66"/>
      <c r="B7989" s="67"/>
      <c r="C7989" s="66"/>
      <c r="D7989" s="68"/>
      <c r="E7989" s="10"/>
      <c r="F7989" s="69"/>
      <c r="G7989" s="68"/>
      <c r="H7989" s="70"/>
      <c r="BA7989" s="4"/>
      <c r="BB7989" s="4"/>
    </row>
    <row r="7990" spans="1:54" x14ac:dyDescent="0.3">
      <c r="A7990" s="66"/>
      <c r="B7990" s="67"/>
      <c r="C7990" s="66"/>
      <c r="D7990" s="68"/>
      <c r="E7990" s="10"/>
      <c r="F7990" s="69"/>
      <c r="G7990" s="68"/>
      <c r="H7990" s="70"/>
      <c r="BA7990" s="4"/>
      <c r="BB7990" s="4"/>
    </row>
    <row r="7991" spans="1:54" x14ac:dyDescent="0.3">
      <c r="A7991" s="66"/>
      <c r="B7991" s="67"/>
      <c r="C7991" s="66"/>
      <c r="D7991" s="68"/>
      <c r="E7991" s="10"/>
      <c r="F7991" s="69"/>
      <c r="G7991" s="68"/>
      <c r="H7991" s="70"/>
      <c r="BA7991" s="4"/>
      <c r="BB7991" s="4"/>
    </row>
    <row r="7992" spans="1:54" x14ac:dyDescent="0.3">
      <c r="A7992" s="66"/>
      <c r="B7992" s="67"/>
      <c r="C7992" s="66"/>
      <c r="D7992" s="68"/>
      <c r="E7992" s="10"/>
      <c r="F7992" s="69"/>
      <c r="G7992" s="68"/>
      <c r="H7992" s="70"/>
      <c r="BA7992" s="4"/>
      <c r="BB7992" s="4"/>
    </row>
    <row r="7993" spans="1:54" x14ac:dyDescent="0.3">
      <c r="A7993" s="66"/>
      <c r="B7993" s="67"/>
      <c r="C7993" s="66"/>
      <c r="D7993" s="68"/>
      <c r="E7993" s="10"/>
      <c r="F7993" s="69"/>
      <c r="G7993" s="68"/>
      <c r="H7993" s="70"/>
      <c r="BA7993" s="4"/>
      <c r="BB7993" s="4"/>
    </row>
    <row r="7994" spans="1:54" x14ac:dyDescent="0.3">
      <c r="A7994" s="66"/>
      <c r="B7994" s="67"/>
      <c r="C7994" s="66"/>
      <c r="D7994" s="68"/>
      <c r="E7994" s="10"/>
      <c r="F7994" s="69"/>
      <c r="G7994" s="68"/>
      <c r="H7994" s="70"/>
      <c r="BA7994" s="4"/>
      <c r="BB7994" s="4"/>
    </row>
    <row r="7995" spans="1:54" x14ac:dyDescent="0.3">
      <c r="A7995" s="66"/>
      <c r="B7995" s="67"/>
      <c r="C7995" s="66"/>
      <c r="D7995" s="68"/>
      <c r="E7995" s="10"/>
      <c r="F7995" s="69"/>
      <c r="G7995" s="68"/>
      <c r="H7995" s="70"/>
      <c r="BA7995" s="4"/>
      <c r="BB7995" s="4"/>
    </row>
    <row r="7996" spans="1:54" x14ac:dyDescent="0.3">
      <c r="A7996" s="66"/>
      <c r="B7996" s="67"/>
      <c r="C7996" s="66"/>
      <c r="D7996" s="68"/>
      <c r="E7996" s="10"/>
      <c r="F7996" s="69"/>
      <c r="G7996" s="68"/>
      <c r="H7996" s="70"/>
      <c r="BA7996" s="4"/>
      <c r="BB7996" s="4"/>
    </row>
    <row r="7997" spans="1:54" x14ac:dyDescent="0.3">
      <c r="A7997" s="66"/>
      <c r="B7997" s="67"/>
      <c r="C7997" s="66"/>
      <c r="D7997" s="68"/>
      <c r="E7997" s="10"/>
      <c r="F7997" s="69"/>
      <c r="G7997" s="68"/>
      <c r="H7997" s="70"/>
      <c r="BA7997" s="4"/>
      <c r="BB7997" s="4"/>
    </row>
    <row r="7998" spans="1:54" x14ac:dyDescent="0.3">
      <c r="A7998" s="66"/>
      <c r="B7998" s="67"/>
      <c r="C7998" s="66"/>
      <c r="D7998" s="68"/>
      <c r="E7998" s="10"/>
      <c r="F7998" s="69"/>
      <c r="G7998" s="68"/>
      <c r="H7998" s="70"/>
      <c r="BA7998" s="4"/>
      <c r="BB7998" s="4"/>
    </row>
    <row r="7999" spans="1:54" x14ac:dyDescent="0.3">
      <c r="A7999" s="66"/>
      <c r="B7999" s="67"/>
      <c r="C7999" s="66"/>
      <c r="D7999" s="68"/>
      <c r="E7999" s="10"/>
      <c r="F7999" s="69"/>
      <c r="G7999" s="68"/>
      <c r="H7999" s="70"/>
      <c r="BA7999" s="4"/>
      <c r="BB7999" s="4"/>
    </row>
    <row r="8000" spans="1:54" x14ac:dyDescent="0.3">
      <c r="A8000" s="66"/>
      <c r="B8000" s="67"/>
      <c r="C8000" s="66"/>
      <c r="D8000" s="68"/>
      <c r="E8000" s="10"/>
      <c r="F8000" s="69"/>
      <c r="G8000" s="68"/>
      <c r="H8000" s="70"/>
      <c r="BA8000" s="4"/>
      <c r="BB8000" s="4"/>
    </row>
    <row r="8001" spans="1:54" x14ac:dyDescent="0.3">
      <c r="A8001" s="66"/>
      <c r="B8001" s="67"/>
      <c r="C8001" s="66"/>
      <c r="D8001" s="68"/>
      <c r="E8001" s="10"/>
      <c r="F8001" s="69"/>
      <c r="G8001" s="68"/>
      <c r="H8001" s="70"/>
      <c r="BA8001" s="4"/>
      <c r="BB8001" s="4"/>
    </row>
    <row r="8002" spans="1:54" x14ac:dyDescent="0.3">
      <c r="A8002" s="66"/>
      <c r="B8002" s="67"/>
      <c r="C8002" s="66"/>
      <c r="D8002" s="68"/>
      <c r="E8002" s="10"/>
      <c r="F8002" s="69"/>
      <c r="G8002" s="68"/>
      <c r="H8002" s="70"/>
      <c r="BA8002" s="4"/>
      <c r="BB8002" s="4"/>
    </row>
    <row r="8003" spans="1:54" x14ac:dyDescent="0.3">
      <c r="A8003" s="66"/>
      <c r="B8003" s="67"/>
      <c r="C8003" s="66"/>
      <c r="D8003" s="68"/>
      <c r="E8003" s="10"/>
      <c r="F8003" s="69"/>
      <c r="G8003" s="68"/>
      <c r="H8003" s="70"/>
      <c r="BA8003" s="4"/>
      <c r="BB8003" s="4"/>
    </row>
    <row r="8004" spans="1:54" x14ac:dyDescent="0.3">
      <c r="A8004" s="66"/>
      <c r="B8004" s="67"/>
      <c r="C8004" s="66"/>
      <c r="D8004" s="68"/>
      <c r="E8004" s="10"/>
      <c r="F8004" s="69"/>
      <c r="G8004" s="68"/>
      <c r="H8004" s="70"/>
      <c r="BA8004" s="4"/>
      <c r="BB8004" s="4"/>
    </row>
    <row r="8005" spans="1:54" x14ac:dyDescent="0.3">
      <c r="A8005" s="66"/>
      <c r="B8005" s="67"/>
      <c r="C8005" s="66"/>
      <c r="D8005" s="68"/>
      <c r="E8005" s="10"/>
      <c r="F8005" s="69"/>
      <c r="G8005" s="68"/>
      <c r="H8005" s="70"/>
      <c r="BA8005" s="4"/>
      <c r="BB8005" s="4"/>
    </row>
    <row r="8006" spans="1:54" x14ac:dyDescent="0.3">
      <c r="A8006" s="66"/>
      <c r="B8006" s="67"/>
      <c r="C8006" s="66"/>
      <c r="D8006" s="68"/>
      <c r="E8006" s="10"/>
      <c r="F8006" s="69"/>
      <c r="G8006" s="68"/>
      <c r="H8006" s="70"/>
      <c r="BA8006" s="4"/>
      <c r="BB8006" s="4"/>
    </row>
    <row r="8007" spans="1:54" x14ac:dyDescent="0.3">
      <c r="A8007" s="66"/>
      <c r="B8007" s="67"/>
      <c r="C8007" s="66"/>
      <c r="D8007" s="68"/>
      <c r="E8007" s="10"/>
      <c r="F8007" s="69"/>
      <c r="G8007" s="68"/>
      <c r="H8007" s="70"/>
      <c r="BA8007" s="4"/>
      <c r="BB8007" s="4"/>
    </row>
    <row r="8008" spans="1:54" x14ac:dyDescent="0.3">
      <c r="A8008" s="66"/>
      <c r="B8008" s="67"/>
      <c r="C8008" s="66"/>
      <c r="D8008" s="68"/>
      <c r="E8008" s="10"/>
      <c r="F8008" s="69"/>
      <c r="G8008" s="68"/>
      <c r="H8008" s="70"/>
      <c r="BA8008" s="4"/>
      <c r="BB8008" s="4"/>
    </row>
    <row r="8009" spans="1:54" x14ac:dyDescent="0.3">
      <c r="A8009" s="66"/>
      <c r="B8009" s="67"/>
      <c r="C8009" s="66"/>
      <c r="D8009" s="68"/>
      <c r="E8009" s="10"/>
      <c r="F8009" s="69"/>
      <c r="G8009" s="68"/>
      <c r="H8009" s="70"/>
      <c r="BA8009" s="4"/>
      <c r="BB8009" s="4"/>
    </row>
    <row r="8010" spans="1:54" x14ac:dyDescent="0.3">
      <c r="A8010" s="66"/>
      <c r="B8010" s="67"/>
      <c r="C8010" s="66"/>
      <c r="D8010" s="68"/>
      <c r="E8010" s="10"/>
      <c r="F8010" s="69"/>
      <c r="G8010" s="68"/>
      <c r="H8010" s="70"/>
      <c r="BA8010" s="4"/>
      <c r="BB8010" s="4"/>
    </row>
    <row r="8011" spans="1:54" x14ac:dyDescent="0.3">
      <c r="A8011" s="66"/>
      <c r="B8011" s="67"/>
      <c r="C8011" s="66"/>
      <c r="D8011" s="68"/>
      <c r="E8011" s="10"/>
      <c r="F8011" s="69"/>
      <c r="G8011" s="68"/>
      <c r="H8011" s="70"/>
      <c r="BA8011" s="4"/>
      <c r="BB8011" s="4"/>
    </row>
    <row r="8012" spans="1:54" x14ac:dyDescent="0.3">
      <c r="A8012" s="66"/>
      <c r="B8012" s="67"/>
      <c r="C8012" s="66"/>
      <c r="D8012" s="68"/>
      <c r="E8012" s="10"/>
      <c r="F8012" s="69"/>
      <c r="G8012" s="68"/>
      <c r="H8012" s="70"/>
      <c r="BA8012" s="4"/>
      <c r="BB8012" s="4"/>
    </row>
    <row r="8013" spans="1:54" x14ac:dyDescent="0.3">
      <c r="A8013" s="66"/>
      <c r="B8013" s="67"/>
      <c r="C8013" s="66"/>
      <c r="D8013" s="68"/>
      <c r="E8013" s="10"/>
      <c r="F8013" s="69"/>
      <c r="G8013" s="68"/>
      <c r="H8013" s="70"/>
      <c r="BA8013" s="4"/>
      <c r="BB8013" s="4"/>
    </row>
    <row r="8014" spans="1:54" x14ac:dyDescent="0.3">
      <c r="A8014" s="66"/>
      <c r="B8014" s="67"/>
      <c r="C8014" s="66"/>
      <c r="D8014" s="68"/>
      <c r="E8014" s="10"/>
      <c r="F8014" s="69"/>
      <c r="G8014" s="68"/>
      <c r="H8014" s="70"/>
      <c r="BA8014" s="4"/>
      <c r="BB8014" s="4"/>
    </row>
    <row r="8015" spans="1:54" x14ac:dyDescent="0.3">
      <c r="A8015" s="66"/>
      <c r="B8015" s="67"/>
      <c r="C8015" s="66"/>
      <c r="D8015" s="68"/>
      <c r="E8015" s="10"/>
      <c r="F8015" s="69"/>
      <c r="G8015" s="68"/>
      <c r="H8015" s="70"/>
      <c r="BA8015" s="4"/>
      <c r="BB8015" s="4"/>
    </row>
    <row r="8016" spans="1:54" x14ac:dyDescent="0.3">
      <c r="A8016" s="66"/>
      <c r="B8016" s="67"/>
      <c r="C8016" s="66"/>
      <c r="D8016" s="68"/>
      <c r="E8016" s="10"/>
      <c r="F8016" s="69"/>
      <c r="G8016" s="68"/>
      <c r="H8016" s="70"/>
      <c r="BA8016" s="4"/>
      <c r="BB8016" s="4"/>
    </row>
    <row r="8017" spans="1:54" x14ac:dyDescent="0.3">
      <c r="A8017" s="66"/>
      <c r="B8017" s="67"/>
      <c r="C8017" s="66"/>
      <c r="D8017" s="68"/>
      <c r="E8017" s="10"/>
      <c r="F8017" s="69"/>
      <c r="G8017" s="68"/>
      <c r="H8017" s="70"/>
      <c r="BA8017" s="4"/>
      <c r="BB8017" s="4"/>
    </row>
    <row r="8018" spans="1:54" x14ac:dyDescent="0.3">
      <c r="A8018" s="66"/>
      <c r="B8018" s="67"/>
      <c r="C8018" s="66"/>
      <c r="D8018" s="68"/>
      <c r="E8018" s="10"/>
      <c r="F8018" s="69"/>
      <c r="G8018" s="68"/>
      <c r="H8018" s="70"/>
      <c r="BA8018" s="4"/>
      <c r="BB8018" s="4"/>
    </row>
    <row r="8019" spans="1:54" x14ac:dyDescent="0.3">
      <c r="A8019" s="66"/>
      <c r="B8019" s="67"/>
      <c r="C8019" s="66"/>
      <c r="D8019" s="68"/>
      <c r="E8019" s="10"/>
      <c r="F8019" s="69"/>
      <c r="G8019" s="68"/>
      <c r="H8019" s="70"/>
      <c r="BA8019" s="4"/>
      <c r="BB8019" s="4"/>
    </row>
    <row r="8020" spans="1:54" x14ac:dyDescent="0.3">
      <c r="A8020" s="66"/>
      <c r="B8020" s="67"/>
      <c r="C8020" s="66"/>
      <c r="D8020" s="68"/>
      <c r="E8020" s="10"/>
      <c r="F8020" s="69"/>
      <c r="G8020" s="68"/>
      <c r="H8020" s="70"/>
      <c r="BA8020" s="4"/>
      <c r="BB8020" s="4"/>
    </row>
    <row r="8021" spans="1:54" x14ac:dyDescent="0.3">
      <c r="A8021" s="66"/>
      <c r="B8021" s="67"/>
      <c r="C8021" s="66"/>
      <c r="D8021" s="68"/>
      <c r="E8021" s="10"/>
      <c r="F8021" s="69"/>
      <c r="G8021" s="68"/>
      <c r="H8021" s="70"/>
      <c r="BA8021" s="4"/>
      <c r="BB8021" s="4"/>
    </row>
    <row r="8022" spans="1:54" x14ac:dyDescent="0.3">
      <c r="A8022" s="66"/>
      <c r="B8022" s="67"/>
      <c r="C8022" s="66"/>
      <c r="D8022" s="68"/>
      <c r="E8022" s="10"/>
      <c r="F8022" s="69"/>
      <c r="G8022" s="68"/>
      <c r="H8022" s="70"/>
      <c r="BA8022" s="4"/>
      <c r="BB8022" s="4"/>
    </row>
    <row r="8023" spans="1:54" x14ac:dyDescent="0.3">
      <c r="A8023" s="66"/>
      <c r="B8023" s="67"/>
      <c r="C8023" s="66"/>
      <c r="D8023" s="68"/>
      <c r="E8023" s="10"/>
      <c r="F8023" s="69"/>
      <c r="G8023" s="68"/>
      <c r="H8023" s="70"/>
      <c r="BA8023" s="4"/>
      <c r="BB8023" s="4"/>
    </row>
    <row r="8024" spans="1:54" x14ac:dyDescent="0.3">
      <c r="A8024" s="66"/>
      <c r="B8024" s="67"/>
      <c r="C8024" s="66"/>
      <c r="D8024" s="68"/>
      <c r="E8024" s="10"/>
      <c r="F8024" s="69"/>
      <c r="G8024" s="68"/>
      <c r="H8024" s="70"/>
      <c r="BA8024" s="4"/>
      <c r="BB8024" s="4"/>
    </row>
    <row r="8025" spans="1:54" x14ac:dyDescent="0.3">
      <c r="A8025" s="66"/>
      <c r="B8025" s="67"/>
      <c r="C8025" s="66"/>
      <c r="D8025" s="68"/>
      <c r="E8025" s="10"/>
      <c r="F8025" s="69"/>
      <c r="G8025" s="68"/>
      <c r="H8025" s="70"/>
      <c r="BA8025" s="4"/>
      <c r="BB8025" s="4"/>
    </row>
    <row r="8026" spans="1:54" x14ac:dyDescent="0.3">
      <c r="A8026" s="66"/>
      <c r="B8026" s="67"/>
      <c r="C8026" s="66"/>
      <c r="D8026" s="68"/>
      <c r="E8026" s="10"/>
      <c r="F8026" s="69"/>
      <c r="G8026" s="68"/>
      <c r="H8026" s="70"/>
      <c r="BA8026" s="4"/>
      <c r="BB8026" s="4"/>
    </row>
    <row r="8027" spans="1:54" x14ac:dyDescent="0.3">
      <c r="A8027" s="66"/>
      <c r="B8027" s="67"/>
      <c r="C8027" s="66"/>
      <c r="D8027" s="68"/>
      <c r="E8027" s="10"/>
      <c r="F8027" s="69"/>
      <c r="G8027" s="68"/>
      <c r="H8027" s="70"/>
      <c r="BA8027" s="4"/>
      <c r="BB8027" s="4"/>
    </row>
    <row r="8028" spans="1:54" x14ac:dyDescent="0.3">
      <c r="A8028" s="66"/>
      <c r="B8028" s="67"/>
      <c r="C8028" s="66"/>
      <c r="D8028" s="68"/>
      <c r="E8028" s="10"/>
      <c r="F8028" s="69"/>
      <c r="G8028" s="68"/>
      <c r="H8028" s="70"/>
      <c r="BA8028" s="4"/>
      <c r="BB8028" s="4"/>
    </row>
    <row r="8029" spans="1:54" x14ac:dyDescent="0.3">
      <c r="A8029" s="66"/>
      <c r="B8029" s="67"/>
      <c r="C8029" s="66"/>
      <c r="D8029" s="68"/>
      <c r="E8029" s="10"/>
      <c r="F8029" s="69"/>
      <c r="G8029" s="68"/>
      <c r="H8029" s="70"/>
      <c r="BA8029" s="4"/>
      <c r="BB8029" s="4"/>
    </row>
    <row r="8030" spans="1:54" x14ac:dyDescent="0.3">
      <c r="A8030" s="66"/>
      <c r="B8030" s="67"/>
      <c r="C8030" s="66"/>
      <c r="D8030" s="68"/>
      <c r="E8030" s="10"/>
      <c r="F8030" s="69"/>
      <c r="G8030" s="68"/>
      <c r="H8030" s="70"/>
      <c r="BA8030" s="4"/>
      <c r="BB8030" s="4"/>
    </row>
    <row r="8031" spans="1:54" x14ac:dyDescent="0.3">
      <c r="A8031" s="66"/>
      <c r="B8031" s="67"/>
      <c r="C8031" s="66"/>
      <c r="D8031" s="68"/>
      <c r="E8031" s="10"/>
      <c r="F8031" s="69"/>
      <c r="G8031" s="68"/>
      <c r="H8031" s="70"/>
      <c r="BA8031" s="4"/>
      <c r="BB8031" s="4"/>
    </row>
    <row r="8032" spans="1:54" x14ac:dyDescent="0.3">
      <c r="A8032" s="66"/>
      <c r="B8032" s="67"/>
      <c r="C8032" s="66"/>
      <c r="D8032" s="68"/>
      <c r="E8032" s="10"/>
      <c r="F8032" s="69"/>
      <c r="G8032" s="68"/>
      <c r="H8032" s="70"/>
      <c r="BA8032" s="4"/>
      <c r="BB8032" s="4"/>
    </row>
    <row r="8033" spans="1:54" x14ac:dyDescent="0.3">
      <c r="A8033" s="66"/>
      <c r="B8033" s="67"/>
      <c r="C8033" s="66"/>
      <c r="D8033" s="68"/>
      <c r="E8033" s="10"/>
      <c r="F8033" s="69"/>
      <c r="G8033" s="68"/>
      <c r="H8033" s="70"/>
      <c r="BA8033" s="4"/>
      <c r="BB8033" s="4"/>
    </row>
    <row r="8034" spans="1:54" x14ac:dyDescent="0.3">
      <c r="A8034" s="66"/>
      <c r="B8034" s="67"/>
      <c r="C8034" s="66"/>
      <c r="D8034" s="68"/>
      <c r="E8034" s="10"/>
      <c r="F8034" s="69"/>
      <c r="G8034" s="68"/>
      <c r="H8034" s="70"/>
      <c r="BA8034" s="4"/>
      <c r="BB8034" s="4"/>
    </row>
    <row r="8035" spans="1:54" x14ac:dyDescent="0.3">
      <c r="A8035" s="66"/>
      <c r="B8035" s="67"/>
      <c r="C8035" s="66"/>
      <c r="D8035" s="68"/>
      <c r="E8035" s="10"/>
      <c r="F8035" s="69"/>
      <c r="G8035" s="68"/>
      <c r="H8035" s="70"/>
      <c r="BA8035" s="4"/>
      <c r="BB8035" s="4"/>
    </row>
    <row r="8036" spans="1:54" x14ac:dyDescent="0.3">
      <c r="A8036" s="66"/>
      <c r="B8036" s="67"/>
      <c r="C8036" s="66"/>
      <c r="D8036" s="68"/>
      <c r="E8036" s="10"/>
      <c r="F8036" s="69"/>
      <c r="G8036" s="68"/>
      <c r="H8036" s="70"/>
      <c r="BA8036" s="4"/>
      <c r="BB8036" s="4"/>
    </row>
    <row r="8037" spans="1:54" x14ac:dyDescent="0.3">
      <c r="A8037" s="66"/>
      <c r="B8037" s="67"/>
      <c r="C8037" s="66"/>
      <c r="D8037" s="68"/>
      <c r="E8037" s="10"/>
      <c r="F8037" s="69"/>
      <c r="G8037" s="68"/>
      <c r="H8037" s="70"/>
      <c r="BA8037" s="4"/>
      <c r="BB8037" s="4"/>
    </row>
    <row r="8038" spans="1:54" x14ac:dyDescent="0.3">
      <c r="A8038" s="66"/>
      <c r="B8038" s="67"/>
      <c r="C8038" s="66"/>
      <c r="D8038" s="68"/>
      <c r="E8038" s="10"/>
      <c r="F8038" s="69"/>
      <c r="G8038" s="68"/>
      <c r="H8038" s="70"/>
      <c r="BA8038" s="4"/>
      <c r="BB8038" s="4"/>
    </row>
    <row r="8039" spans="1:54" x14ac:dyDescent="0.3">
      <c r="A8039" s="66"/>
      <c r="B8039" s="67"/>
      <c r="C8039" s="66"/>
      <c r="D8039" s="68"/>
      <c r="E8039" s="10"/>
      <c r="F8039" s="69"/>
      <c r="G8039" s="68"/>
      <c r="H8039" s="70"/>
      <c r="BA8039" s="4"/>
      <c r="BB8039" s="4"/>
    </row>
    <row r="8040" spans="1:54" x14ac:dyDescent="0.3">
      <c r="A8040" s="66"/>
      <c r="B8040" s="67"/>
      <c r="C8040" s="66"/>
      <c r="D8040" s="68"/>
      <c r="E8040" s="10"/>
      <c r="F8040" s="69"/>
      <c r="G8040" s="68"/>
      <c r="H8040" s="70"/>
      <c r="BA8040" s="4"/>
      <c r="BB8040" s="4"/>
    </row>
    <row r="8041" spans="1:54" x14ac:dyDescent="0.3">
      <c r="A8041" s="66"/>
      <c r="B8041" s="67"/>
      <c r="C8041" s="66"/>
      <c r="D8041" s="68"/>
      <c r="E8041" s="10"/>
      <c r="F8041" s="69"/>
      <c r="G8041" s="68"/>
      <c r="H8041" s="70"/>
      <c r="BA8041" s="4"/>
      <c r="BB8041" s="4"/>
    </row>
    <row r="8042" spans="1:54" x14ac:dyDescent="0.3">
      <c r="A8042" s="66"/>
      <c r="B8042" s="67"/>
      <c r="C8042" s="66"/>
      <c r="D8042" s="68"/>
      <c r="E8042" s="10"/>
      <c r="F8042" s="69"/>
      <c r="G8042" s="68"/>
      <c r="H8042" s="70"/>
      <c r="BA8042" s="4"/>
      <c r="BB8042" s="4"/>
    </row>
    <row r="8043" spans="1:54" x14ac:dyDescent="0.3">
      <c r="A8043" s="66"/>
      <c r="B8043" s="67"/>
      <c r="C8043" s="66"/>
      <c r="D8043" s="68"/>
      <c r="E8043" s="10"/>
      <c r="F8043" s="69"/>
      <c r="G8043" s="68"/>
      <c r="H8043" s="70"/>
      <c r="BA8043" s="4"/>
      <c r="BB8043" s="4"/>
    </row>
    <row r="8044" spans="1:54" x14ac:dyDescent="0.3">
      <c r="A8044" s="66"/>
      <c r="B8044" s="67"/>
      <c r="C8044" s="66"/>
      <c r="D8044" s="68"/>
      <c r="E8044" s="10"/>
      <c r="F8044" s="69"/>
      <c r="G8044" s="68"/>
      <c r="H8044" s="70"/>
      <c r="BA8044" s="4"/>
      <c r="BB8044" s="4"/>
    </row>
    <row r="8045" spans="1:54" x14ac:dyDescent="0.3">
      <c r="A8045" s="66"/>
      <c r="B8045" s="67"/>
      <c r="C8045" s="66"/>
      <c r="D8045" s="68"/>
      <c r="E8045" s="10"/>
      <c r="F8045" s="69"/>
      <c r="G8045" s="68"/>
      <c r="H8045" s="70"/>
      <c r="BA8045" s="4"/>
      <c r="BB8045" s="4"/>
    </row>
    <row r="8046" spans="1:54" x14ac:dyDescent="0.3">
      <c r="A8046" s="66"/>
      <c r="B8046" s="67"/>
      <c r="C8046" s="66"/>
      <c r="D8046" s="68"/>
      <c r="E8046" s="10"/>
      <c r="F8046" s="69"/>
      <c r="G8046" s="68"/>
      <c r="H8046" s="70"/>
      <c r="BA8046" s="4"/>
      <c r="BB8046" s="4"/>
    </row>
    <row r="8047" spans="1:54" x14ac:dyDescent="0.3">
      <c r="A8047" s="66"/>
      <c r="B8047" s="67"/>
      <c r="C8047" s="66"/>
      <c r="D8047" s="68"/>
      <c r="E8047" s="10"/>
      <c r="F8047" s="69"/>
      <c r="G8047" s="68"/>
      <c r="H8047" s="70"/>
      <c r="BA8047" s="4"/>
      <c r="BB8047" s="4"/>
    </row>
    <row r="8048" spans="1:54" x14ac:dyDescent="0.3">
      <c r="A8048" s="66"/>
      <c r="B8048" s="67"/>
      <c r="C8048" s="66"/>
      <c r="D8048" s="68"/>
      <c r="E8048" s="10"/>
      <c r="F8048" s="69"/>
      <c r="G8048" s="68"/>
      <c r="H8048" s="70"/>
      <c r="BA8048" s="4"/>
      <c r="BB8048" s="4"/>
    </row>
    <row r="8049" spans="1:54" x14ac:dyDescent="0.3">
      <c r="A8049" s="66"/>
      <c r="B8049" s="67"/>
      <c r="C8049" s="66"/>
      <c r="D8049" s="68"/>
      <c r="E8049" s="10"/>
      <c r="F8049" s="69"/>
      <c r="G8049" s="68"/>
      <c r="H8049" s="70"/>
      <c r="BA8049" s="4"/>
      <c r="BB8049" s="4"/>
    </row>
    <row r="8050" spans="1:54" x14ac:dyDescent="0.3">
      <c r="A8050" s="66"/>
      <c r="B8050" s="67"/>
      <c r="C8050" s="66"/>
      <c r="D8050" s="68"/>
      <c r="E8050" s="10"/>
      <c r="F8050" s="69"/>
      <c r="G8050" s="68"/>
      <c r="H8050" s="70"/>
      <c r="BA8050" s="4"/>
      <c r="BB8050" s="4"/>
    </row>
    <row r="8051" spans="1:54" x14ac:dyDescent="0.3">
      <c r="A8051" s="66"/>
      <c r="B8051" s="67"/>
      <c r="C8051" s="66"/>
      <c r="D8051" s="68"/>
      <c r="E8051" s="10"/>
      <c r="F8051" s="69"/>
      <c r="G8051" s="68"/>
      <c r="H8051" s="70"/>
      <c r="BA8051" s="4"/>
      <c r="BB8051" s="4"/>
    </row>
    <row r="8052" spans="1:54" x14ac:dyDescent="0.3">
      <c r="A8052" s="66"/>
      <c r="B8052" s="67"/>
      <c r="C8052" s="66"/>
      <c r="D8052" s="68"/>
      <c r="E8052" s="10"/>
      <c r="F8052" s="69"/>
      <c r="G8052" s="68"/>
      <c r="H8052" s="70"/>
      <c r="BA8052" s="4"/>
      <c r="BB8052" s="4"/>
    </row>
    <row r="8053" spans="1:54" x14ac:dyDescent="0.3">
      <c r="A8053" s="66"/>
      <c r="B8053" s="67"/>
      <c r="C8053" s="66"/>
      <c r="D8053" s="68"/>
      <c r="E8053" s="10"/>
      <c r="F8053" s="69"/>
      <c r="G8053" s="68"/>
      <c r="H8053" s="70"/>
      <c r="BA8053" s="4"/>
      <c r="BB8053" s="4"/>
    </row>
    <row r="8054" spans="1:54" x14ac:dyDescent="0.3">
      <c r="A8054" s="66"/>
      <c r="B8054" s="67"/>
      <c r="C8054" s="66"/>
      <c r="D8054" s="68"/>
      <c r="E8054" s="10"/>
      <c r="F8054" s="69"/>
      <c r="G8054" s="68"/>
      <c r="H8054" s="70"/>
      <c r="BA8054" s="4"/>
      <c r="BB8054" s="4"/>
    </row>
    <row r="8055" spans="1:54" x14ac:dyDescent="0.3">
      <c r="A8055" s="66"/>
      <c r="B8055" s="67"/>
      <c r="C8055" s="66"/>
      <c r="D8055" s="68"/>
      <c r="E8055" s="10"/>
      <c r="F8055" s="69"/>
      <c r="G8055" s="68"/>
      <c r="H8055" s="70"/>
      <c r="BA8055" s="4"/>
      <c r="BB8055" s="4"/>
    </row>
    <row r="8056" spans="1:54" x14ac:dyDescent="0.3">
      <c r="A8056" s="66"/>
      <c r="B8056" s="67"/>
      <c r="C8056" s="66"/>
      <c r="D8056" s="68"/>
      <c r="E8056" s="10"/>
      <c r="F8056" s="69"/>
      <c r="G8056" s="68"/>
      <c r="H8056" s="70"/>
      <c r="BA8056" s="4"/>
      <c r="BB8056" s="4"/>
    </row>
    <row r="8057" spans="1:54" x14ac:dyDescent="0.3">
      <c r="A8057" s="66"/>
      <c r="B8057" s="67"/>
      <c r="C8057" s="66"/>
      <c r="D8057" s="68"/>
      <c r="E8057" s="10"/>
      <c r="F8057" s="69"/>
      <c r="G8057" s="68"/>
      <c r="H8057" s="70"/>
      <c r="BA8057" s="4"/>
      <c r="BB8057" s="4"/>
    </row>
    <row r="8058" spans="1:54" x14ac:dyDescent="0.3">
      <c r="A8058" s="66"/>
      <c r="B8058" s="67"/>
      <c r="C8058" s="66"/>
      <c r="D8058" s="68"/>
      <c r="E8058" s="10"/>
      <c r="F8058" s="69"/>
      <c r="G8058" s="68"/>
      <c r="H8058" s="70"/>
      <c r="BA8058" s="4"/>
      <c r="BB8058" s="4"/>
    </row>
    <row r="8059" spans="1:54" x14ac:dyDescent="0.3">
      <c r="A8059" s="66"/>
      <c r="B8059" s="67"/>
      <c r="C8059" s="66"/>
      <c r="D8059" s="68"/>
      <c r="E8059" s="10"/>
      <c r="F8059" s="69"/>
      <c r="G8059" s="68"/>
      <c r="H8059" s="70"/>
      <c r="BA8059" s="4"/>
      <c r="BB8059" s="4"/>
    </row>
    <row r="8060" spans="1:54" x14ac:dyDescent="0.3">
      <c r="A8060" s="66"/>
      <c r="B8060" s="67"/>
      <c r="C8060" s="66"/>
      <c r="D8060" s="68"/>
      <c r="E8060" s="10"/>
      <c r="F8060" s="69"/>
      <c r="G8060" s="68"/>
      <c r="H8060" s="70"/>
      <c r="BA8060" s="4"/>
      <c r="BB8060" s="4"/>
    </row>
    <row r="8061" spans="1:54" x14ac:dyDescent="0.3">
      <c r="A8061" s="66"/>
      <c r="B8061" s="67"/>
      <c r="C8061" s="66"/>
      <c r="D8061" s="68"/>
      <c r="E8061" s="10"/>
      <c r="F8061" s="69"/>
      <c r="G8061" s="68"/>
      <c r="H8061" s="70"/>
      <c r="BA8061" s="4"/>
      <c r="BB8061" s="4"/>
    </row>
    <row r="8062" spans="1:54" x14ac:dyDescent="0.3">
      <c r="A8062" s="66"/>
      <c r="B8062" s="67"/>
      <c r="C8062" s="66"/>
      <c r="D8062" s="68"/>
      <c r="E8062" s="10"/>
      <c r="F8062" s="69"/>
      <c r="G8062" s="68"/>
      <c r="H8062" s="70"/>
      <c r="BA8062" s="4"/>
      <c r="BB8062" s="4"/>
    </row>
    <row r="8063" spans="1:54" x14ac:dyDescent="0.3">
      <c r="A8063" s="66"/>
      <c r="B8063" s="67"/>
      <c r="C8063" s="66"/>
      <c r="D8063" s="68"/>
      <c r="E8063" s="10"/>
      <c r="F8063" s="69"/>
      <c r="G8063" s="68"/>
      <c r="H8063" s="70"/>
      <c r="BA8063" s="4"/>
      <c r="BB8063" s="4"/>
    </row>
    <row r="8064" spans="1:54" x14ac:dyDescent="0.3">
      <c r="A8064" s="66"/>
      <c r="B8064" s="67"/>
      <c r="C8064" s="66"/>
      <c r="D8064" s="68"/>
      <c r="E8064" s="10"/>
      <c r="F8064" s="69"/>
      <c r="G8064" s="68"/>
      <c r="H8064" s="70"/>
      <c r="BA8064" s="4"/>
      <c r="BB8064" s="4"/>
    </row>
    <row r="8065" spans="1:54" x14ac:dyDescent="0.3">
      <c r="A8065" s="66"/>
      <c r="B8065" s="67"/>
      <c r="C8065" s="66"/>
      <c r="D8065" s="68"/>
      <c r="E8065" s="10"/>
      <c r="F8065" s="69"/>
      <c r="G8065" s="68"/>
      <c r="H8065" s="70"/>
      <c r="BA8065" s="4"/>
      <c r="BB8065" s="4"/>
    </row>
    <row r="8066" spans="1:54" x14ac:dyDescent="0.3">
      <c r="A8066" s="66"/>
      <c r="B8066" s="67"/>
      <c r="C8066" s="66"/>
      <c r="D8066" s="68"/>
      <c r="E8066" s="10"/>
      <c r="F8066" s="69"/>
      <c r="G8066" s="68"/>
      <c r="H8066" s="70"/>
      <c r="BA8066" s="4"/>
      <c r="BB8066" s="4"/>
    </row>
    <row r="8067" spans="1:54" x14ac:dyDescent="0.3">
      <c r="A8067" s="66"/>
      <c r="B8067" s="67"/>
      <c r="C8067" s="66"/>
      <c r="D8067" s="68"/>
      <c r="E8067" s="10"/>
      <c r="F8067" s="69"/>
      <c r="G8067" s="68"/>
      <c r="H8067" s="70"/>
      <c r="BA8067" s="4"/>
      <c r="BB8067" s="4"/>
    </row>
    <row r="8068" spans="1:54" x14ac:dyDescent="0.3">
      <c r="A8068" s="66"/>
      <c r="B8068" s="67"/>
      <c r="C8068" s="66"/>
      <c r="D8068" s="68"/>
      <c r="E8068" s="10"/>
      <c r="F8068" s="69"/>
      <c r="G8068" s="68"/>
      <c r="H8068" s="70"/>
      <c r="BA8068" s="4"/>
      <c r="BB8068" s="4"/>
    </row>
    <row r="8069" spans="1:54" x14ac:dyDescent="0.3">
      <c r="A8069" s="66"/>
      <c r="B8069" s="67"/>
      <c r="C8069" s="66"/>
      <c r="D8069" s="68"/>
      <c r="E8069" s="10"/>
      <c r="F8069" s="69"/>
      <c r="G8069" s="68"/>
      <c r="H8069" s="70"/>
      <c r="BA8069" s="4"/>
      <c r="BB8069" s="4"/>
    </row>
    <row r="8070" spans="1:54" x14ac:dyDescent="0.3">
      <c r="A8070" s="66"/>
      <c r="B8070" s="67"/>
      <c r="C8070" s="66"/>
      <c r="D8070" s="68"/>
      <c r="E8070" s="10"/>
      <c r="F8070" s="69"/>
      <c r="G8070" s="68"/>
      <c r="H8070" s="70"/>
      <c r="BA8070" s="4"/>
      <c r="BB8070" s="4"/>
    </row>
    <row r="8071" spans="1:54" x14ac:dyDescent="0.3">
      <c r="A8071" s="66"/>
      <c r="B8071" s="67"/>
      <c r="C8071" s="66"/>
      <c r="D8071" s="68"/>
      <c r="E8071" s="10"/>
      <c r="F8071" s="69"/>
      <c r="G8071" s="68"/>
      <c r="H8071" s="70"/>
      <c r="BA8071" s="4"/>
      <c r="BB8071" s="4"/>
    </row>
    <row r="8072" spans="1:54" x14ac:dyDescent="0.3">
      <c r="A8072" s="66"/>
      <c r="B8072" s="67"/>
      <c r="C8072" s="66"/>
      <c r="D8072" s="68"/>
      <c r="E8072" s="10"/>
      <c r="F8072" s="69"/>
      <c r="G8072" s="68"/>
      <c r="H8072" s="70"/>
      <c r="BA8072" s="4"/>
      <c r="BB8072" s="4"/>
    </row>
    <row r="8073" spans="1:54" x14ac:dyDescent="0.3">
      <c r="A8073" s="66"/>
      <c r="B8073" s="67"/>
      <c r="C8073" s="66"/>
      <c r="D8073" s="68"/>
      <c r="E8073" s="10"/>
      <c r="F8073" s="69"/>
      <c r="G8073" s="68"/>
      <c r="H8073" s="70"/>
      <c r="BA8073" s="4"/>
      <c r="BB8073" s="4"/>
    </row>
    <row r="8074" spans="1:54" x14ac:dyDescent="0.3">
      <c r="A8074" s="66"/>
      <c r="B8074" s="67"/>
      <c r="C8074" s="66"/>
      <c r="D8074" s="68"/>
      <c r="E8074" s="10"/>
      <c r="F8074" s="69"/>
      <c r="G8074" s="68"/>
      <c r="H8074" s="70"/>
      <c r="BA8074" s="4"/>
      <c r="BB8074" s="4"/>
    </row>
    <row r="8075" spans="1:54" x14ac:dyDescent="0.3">
      <c r="A8075" s="66"/>
      <c r="B8075" s="67"/>
      <c r="C8075" s="66"/>
      <c r="D8075" s="68"/>
      <c r="E8075" s="10"/>
      <c r="F8075" s="69"/>
      <c r="G8075" s="68"/>
      <c r="H8075" s="70"/>
      <c r="BA8075" s="4"/>
      <c r="BB8075" s="4"/>
    </row>
    <row r="8076" spans="1:54" x14ac:dyDescent="0.3">
      <c r="A8076" s="66"/>
      <c r="B8076" s="67"/>
      <c r="C8076" s="66"/>
      <c r="D8076" s="68"/>
      <c r="E8076" s="10"/>
      <c r="F8076" s="69"/>
      <c r="G8076" s="68"/>
      <c r="H8076" s="70"/>
      <c r="BA8076" s="4"/>
      <c r="BB8076" s="4"/>
    </row>
    <row r="8077" spans="1:54" x14ac:dyDescent="0.3">
      <c r="A8077" s="66"/>
      <c r="B8077" s="67"/>
      <c r="C8077" s="66"/>
      <c r="D8077" s="68"/>
      <c r="E8077" s="10"/>
      <c r="F8077" s="69"/>
      <c r="G8077" s="68"/>
      <c r="H8077" s="70"/>
      <c r="BA8077" s="4"/>
      <c r="BB8077" s="4"/>
    </row>
    <row r="8078" spans="1:54" x14ac:dyDescent="0.3">
      <c r="A8078" s="66"/>
      <c r="B8078" s="67"/>
      <c r="C8078" s="66"/>
      <c r="D8078" s="68"/>
      <c r="E8078" s="10"/>
      <c r="F8078" s="69"/>
      <c r="G8078" s="68"/>
      <c r="H8078" s="70"/>
      <c r="BA8078" s="4"/>
      <c r="BB8078" s="4"/>
    </row>
    <row r="8079" spans="1:54" x14ac:dyDescent="0.3">
      <c r="A8079" s="66"/>
      <c r="B8079" s="67"/>
      <c r="C8079" s="66"/>
      <c r="D8079" s="68"/>
      <c r="E8079" s="10"/>
      <c r="F8079" s="69"/>
      <c r="G8079" s="68"/>
      <c r="H8079" s="70"/>
      <c r="BA8079" s="4"/>
      <c r="BB8079" s="4"/>
    </row>
    <row r="8080" spans="1:54" x14ac:dyDescent="0.3">
      <c r="A8080" s="66"/>
      <c r="B8080" s="67"/>
      <c r="C8080" s="66"/>
      <c r="D8080" s="68"/>
      <c r="E8080" s="10"/>
      <c r="F8080" s="69"/>
      <c r="G8080" s="68"/>
      <c r="H8080" s="70"/>
      <c r="BA8080" s="4"/>
      <c r="BB8080" s="4"/>
    </row>
    <row r="8081" spans="1:54" x14ac:dyDescent="0.3">
      <c r="A8081" s="66"/>
      <c r="B8081" s="67"/>
      <c r="C8081" s="66"/>
      <c r="D8081" s="68"/>
      <c r="E8081" s="10"/>
      <c r="F8081" s="69"/>
      <c r="G8081" s="68"/>
      <c r="H8081" s="70"/>
      <c r="BA8081" s="4"/>
      <c r="BB8081" s="4"/>
    </row>
    <row r="8082" spans="1:54" x14ac:dyDescent="0.3">
      <c r="A8082" s="66"/>
      <c r="B8082" s="67"/>
      <c r="C8082" s="66"/>
      <c r="D8082" s="68"/>
      <c r="E8082" s="10"/>
      <c r="F8082" s="69"/>
      <c r="G8082" s="68"/>
      <c r="H8082" s="70"/>
      <c r="BA8082" s="4"/>
      <c r="BB8082" s="4"/>
    </row>
    <row r="8083" spans="1:54" x14ac:dyDescent="0.3">
      <c r="A8083" s="66"/>
      <c r="B8083" s="67"/>
      <c r="C8083" s="66"/>
      <c r="D8083" s="68"/>
      <c r="E8083" s="10"/>
      <c r="F8083" s="69"/>
      <c r="G8083" s="68"/>
      <c r="H8083" s="70"/>
      <c r="BA8083" s="4"/>
      <c r="BB8083" s="4"/>
    </row>
    <row r="8084" spans="1:54" x14ac:dyDescent="0.3">
      <c r="A8084" s="66"/>
      <c r="B8084" s="67"/>
      <c r="C8084" s="66"/>
      <c r="D8084" s="68"/>
      <c r="E8084" s="10"/>
      <c r="F8084" s="69"/>
      <c r="G8084" s="68"/>
      <c r="H8084" s="70"/>
      <c r="BA8084" s="4"/>
      <c r="BB8084" s="4"/>
    </row>
    <row r="8085" spans="1:54" x14ac:dyDescent="0.3">
      <c r="A8085" s="66"/>
      <c r="B8085" s="67"/>
      <c r="C8085" s="66"/>
      <c r="D8085" s="68"/>
      <c r="E8085" s="10"/>
      <c r="F8085" s="69"/>
      <c r="G8085" s="68"/>
      <c r="H8085" s="70"/>
      <c r="BA8085" s="4"/>
      <c r="BB8085" s="4"/>
    </row>
    <row r="8086" spans="1:54" x14ac:dyDescent="0.3">
      <c r="A8086" s="66"/>
      <c r="B8086" s="67"/>
      <c r="C8086" s="66"/>
      <c r="D8086" s="68"/>
      <c r="E8086" s="10"/>
      <c r="F8086" s="69"/>
      <c r="G8086" s="68"/>
      <c r="H8086" s="70"/>
      <c r="BA8086" s="4"/>
      <c r="BB8086" s="4"/>
    </row>
    <row r="8087" spans="1:54" x14ac:dyDescent="0.3">
      <c r="A8087" s="66"/>
      <c r="B8087" s="67"/>
      <c r="C8087" s="66"/>
      <c r="D8087" s="68"/>
      <c r="E8087" s="10"/>
      <c r="F8087" s="69"/>
      <c r="G8087" s="68"/>
      <c r="H8087" s="70"/>
      <c r="BA8087" s="4"/>
      <c r="BB8087" s="4"/>
    </row>
    <row r="8088" spans="1:54" x14ac:dyDescent="0.3">
      <c r="A8088" s="66"/>
      <c r="B8088" s="67"/>
      <c r="C8088" s="66"/>
      <c r="D8088" s="68"/>
      <c r="E8088" s="10"/>
      <c r="F8088" s="69"/>
      <c r="G8088" s="68"/>
      <c r="H8088" s="70"/>
      <c r="BA8088" s="4"/>
      <c r="BB8088" s="4"/>
    </row>
    <row r="8089" spans="1:54" x14ac:dyDescent="0.3">
      <c r="A8089" s="66"/>
      <c r="B8089" s="67"/>
      <c r="C8089" s="66"/>
      <c r="D8089" s="68"/>
      <c r="E8089" s="10"/>
      <c r="F8089" s="69"/>
      <c r="G8089" s="68"/>
      <c r="H8089" s="70"/>
      <c r="BA8089" s="4"/>
      <c r="BB8089" s="4"/>
    </row>
    <row r="8090" spans="1:54" x14ac:dyDescent="0.3">
      <c r="A8090" s="66"/>
      <c r="B8090" s="67"/>
      <c r="C8090" s="66"/>
      <c r="D8090" s="68"/>
      <c r="E8090" s="10"/>
      <c r="F8090" s="69"/>
      <c r="G8090" s="68"/>
      <c r="H8090" s="70"/>
      <c r="BA8090" s="4"/>
      <c r="BB8090" s="4"/>
    </row>
    <row r="8091" spans="1:54" x14ac:dyDescent="0.3">
      <c r="A8091" s="66"/>
      <c r="B8091" s="67"/>
      <c r="C8091" s="66"/>
      <c r="D8091" s="68"/>
      <c r="E8091" s="10"/>
      <c r="F8091" s="69"/>
      <c r="G8091" s="68"/>
      <c r="H8091" s="70"/>
      <c r="BA8091" s="4"/>
      <c r="BB8091" s="4"/>
    </row>
    <row r="8092" spans="1:54" x14ac:dyDescent="0.3">
      <c r="A8092" s="66"/>
      <c r="B8092" s="67"/>
      <c r="C8092" s="66"/>
      <c r="D8092" s="68"/>
      <c r="E8092" s="10"/>
      <c r="F8092" s="69"/>
      <c r="G8092" s="68"/>
      <c r="H8092" s="70"/>
      <c r="BA8092" s="4"/>
      <c r="BB8092" s="4"/>
    </row>
    <row r="8093" spans="1:54" x14ac:dyDescent="0.3">
      <c r="A8093" s="66"/>
      <c r="B8093" s="67"/>
      <c r="C8093" s="66"/>
      <c r="D8093" s="68"/>
      <c r="E8093" s="10"/>
      <c r="F8093" s="69"/>
      <c r="G8093" s="68"/>
      <c r="H8093" s="70"/>
      <c r="BA8093" s="4"/>
      <c r="BB8093" s="4"/>
    </row>
    <row r="8094" spans="1:54" x14ac:dyDescent="0.3">
      <c r="A8094" s="66"/>
      <c r="B8094" s="67"/>
      <c r="C8094" s="66"/>
      <c r="D8094" s="68"/>
      <c r="E8094" s="10"/>
      <c r="F8094" s="69"/>
      <c r="G8094" s="68"/>
      <c r="H8094" s="70"/>
      <c r="BA8094" s="4"/>
      <c r="BB8094" s="4"/>
    </row>
    <row r="8095" spans="1:54" x14ac:dyDescent="0.3">
      <c r="A8095" s="66"/>
      <c r="B8095" s="67"/>
      <c r="C8095" s="66"/>
      <c r="D8095" s="68"/>
      <c r="E8095" s="10"/>
      <c r="F8095" s="69"/>
      <c r="G8095" s="68"/>
      <c r="H8095" s="70"/>
      <c r="BA8095" s="4"/>
      <c r="BB8095" s="4"/>
    </row>
    <row r="8096" spans="1:54" x14ac:dyDescent="0.3">
      <c r="A8096" s="66"/>
      <c r="B8096" s="67"/>
      <c r="C8096" s="66"/>
      <c r="D8096" s="68"/>
      <c r="E8096" s="10"/>
      <c r="F8096" s="69"/>
      <c r="G8096" s="68"/>
      <c r="H8096" s="70"/>
      <c r="BA8096" s="4"/>
      <c r="BB8096" s="4"/>
    </row>
    <row r="8097" spans="1:54" x14ac:dyDescent="0.3">
      <c r="A8097" s="66"/>
      <c r="B8097" s="67"/>
      <c r="C8097" s="66"/>
      <c r="D8097" s="68"/>
      <c r="E8097" s="10"/>
      <c r="F8097" s="69"/>
      <c r="G8097" s="68"/>
      <c r="H8097" s="70"/>
      <c r="BA8097" s="4"/>
      <c r="BB8097" s="4"/>
    </row>
    <row r="8098" spans="1:54" x14ac:dyDescent="0.3">
      <c r="A8098" s="66"/>
      <c r="B8098" s="67"/>
      <c r="C8098" s="66"/>
      <c r="D8098" s="68"/>
      <c r="E8098" s="10"/>
      <c r="F8098" s="69"/>
      <c r="G8098" s="68"/>
      <c r="H8098" s="70"/>
      <c r="BA8098" s="4"/>
      <c r="BB8098" s="4"/>
    </row>
    <row r="8099" spans="1:54" x14ac:dyDescent="0.3">
      <c r="A8099" s="66"/>
      <c r="B8099" s="67"/>
      <c r="C8099" s="66"/>
      <c r="D8099" s="68"/>
      <c r="E8099" s="10"/>
      <c r="F8099" s="69"/>
      <c r="G8099" s="68"/>
      <c r="H8099" s="70"/>
      <c r="BA8099" s="4"/>
      <c r="BB8099" s="4"/>
    </row>
    <row r="8100" spans="1:54" x14ac:dyDescent="0.3">
      <c r="A8100" s="66"/>
      <c r="B8100" s="67"/>
      <c r="C8100" s="66"/>
      <c r="D8100" s="68"/>
      <c r="E8100" s="10"/>
      <c r="F8100" s="69"/>
      <c r="G8100" s="68"/>
      <c r="H8100" s="70"/>
      <c r="BA8100" s="4"/>
      <c r="BB8100" s="4"/>
    </row>
    <row r="8101" spans="1:54" x14ac:dyDescent="0.3">
      <c r="A8101" s="66"/>
      <c r="B8101" s="67"/>
      <c r="C8101" s="66"/>
      <c r="D8101" s="68"/>
      <c r="E8101" s="10"/>
      <c r="F8101" s="69"/>
      <c r="G8101" s="68"/>
      <c r="H8101" s="70"/>
      <c r="BA8101" s="4"/>
      <c r="BB8101" s="4"/>
    </row>
    <row r="8102" spans="1:54" x14ac:dyDescent="0.3">
      <c r="A8102" s="66"/>
      <c r="B8102" s="67"/>
      <c r="C8102" s="66"/>
      <c r="D8102" s="68"/>
      <c r="E8102" s="10"/>
      <c r="F8102" s="69"/>
      <c r="G8102" s="68"/>
      <c r="H8102" s="70"/>
      <c r="BA8102" s="4"/>
      <c r="BB8102" s="4"/>
    </row>
    <row r="8103" spans="1:54" x14ac:dyDescent="0.3">
      <c r="A8103" s="66"/>
      <c r="B8103" s="67"/>
      <c r="C8103" s="66"/>
      <c r="D8103" s="68"/>
      <c r="E8103" s="10"/>
      <c r="F8103" s="69"/>
      <c r="G8103" s="68"/>
      <c r="H8103" s="70"/>
      <c r="BA8103" s="4"/>
      <c r="BB8103" s="4"/>
    </row>
    <row r="8104" spans="1:54" x14ac:dyDescent="0.3">
      <c r="A8104" s="66"/>
      <c r="B8104" s="67"/>
      <c r="C8104" s="66"/>
      <c r="D8104" s="68"/>
      <c r="E8104" s="10"/>
      <c r="F8104" s="69"/>
      <c r="G8104" s="68"/>
      <c r="H8104" s="70"/>
      <c r="BA8104" s="4"/>
      <c r="BB8104" s="4"/>
    </row>
    <row r="8105" spans="1:54" x14ac:dyDescent="0.3">
      <c r="A8105" s="66"/>
      <c r="B8105" s="67"/>
      <c r="C8105" s="66"/>
      <c r="D8105" s="68"/>
      <c r="E8105" s="10"/>
      <c r="F8105" s="69"/>
      <c r="G8105" s="68"/>
      <c r="H8105" s="70"/>
      <c r="BA8105" s="4"/>
      <c r="BB8105" s="4"/>
    </row>
    <row r="8106" spans="1:54" x14ac:dyDescent="0.3">
      <c r="A8106" s="66"/>
      <c r="B8106" s="67"/>
      <c r="C8106" s="66"/>
      <c r="D8106" s="68"/>
      <c r="E8106" s="10"/>
      <c r="F8106" s="69"/>
      <c r="G8106" s="68"/>
      <c r="H8106" s="70"/>
      <c r="BA8106" s="4"/>
      <c r="BB8106" s="4"/>
    </row>
    <row r="8107" spans="1:54" x14ac:dyDescent="0.3">
      <c r="A8107" s="66"/>
      <c r="B8107" s="67"/>
      <c r="C8107" s="66"/>
      <c r="D8107" s="68"/>
      <c r="E8107" s="10"/>
      <c r="F8107" s="69"/>
      <c r="G8107" s="68"/>
      <c r="H8107" s="70"/>
      <c r="BA8107" s="4"/>
      <c r="BB8107" s="4"/>
    </row>
    <row r="8108" spans="1:54" x14ac:dyDescent="0.3">
      <c r="A8108" s="66"/>
      <c r="B8108" s="67"/>
      <c r="C8108" s="66"/>
      <c r="D8108" s="68"/>
      <c r="E8108" s="10"/>
      <c r="F8108" s="69"/>
      <c r="G8108" s="68"/>
      <c r="H8108" s="70"/>
      <c r="BA8108" s="4"/>
      <c r="BB8108" s="4"/>
    </row>
    <row r="8109" spans="1:54" x14ac:dyDescent="0.3">
      <c r="A8109" s="66"/>
      <c r="B8109" s="67"/>
      <c r="C8109" s="66"/>
      <c r="D8109" s="68"/>
      <c r="E8109" s="10"/>
      <c r="F8109" s="69"/>
      <c r="G8109" s="68"/>
      <c r="H8109" s="70"/>
      <c r="BA8109" s="4"/>
      <c r="BB8109" s="4"/>
    </row>
    <row r="8110" spans="1:54" x14ac:dyDescent="0.3">
      <c r="A8110" s="66"/>
      <c r="B8110" s="67"/>
      <c r="C8110" s="66"/>
      <c r="D8110" s="68"/>
      <c r="E8110" s="10"/>
      <c r="F8110" s="69"/>
      <c r="G8110" s="68"/>
      <c r="H8110" s="70"/>
      <c r="BA8110" s="4"/>
      <c r="BB8110" s="4"/>
    </row>
    <row r="8111" spans="1:54" x14ac:dyDescent="0.3">
      <c r="A8111" s="66"/>
      <c r="B8111" s="67"/>
      <c r="C8111" s="66"/>
      <c r="D8111" s="68"/>
      <c r="E8111" s="10"/>
      <c r="F8111" s="69"/>
      <c r="G8111" s="68"/>
      <c r="H8111" s="70"/>
      <c r="BA8111" s="4"/>
      <c r="BB8111" s="4"/>
    </row>
    <row r="8112" spans="1:54" x14ac:dyDescent="0.3">
      <c r="A8112" s="66"/>
      <c r="B8112" s="67"/>
      <c r="C8112" s="66"/>
      <c r="D8112" s="68"/>
      <c r="E8112" s="10"/>
      <c r="F8112" s="69"/>
      <c r="G8112" s="68"/>
      <c r="H8112" s="70"/>
      <c r="BA8112" s="4"/>
      <c r="BB8112" s="4"/>
    </row>
    <row r="8113" spans="1:54" x14ac:dyDescent="0.3">
      <c r="A8113" s="66"/>
      <c r="B8113" s="67"/>
      <c r="C8113" s="66"/>
      <c r="D8113" s="68"/>
      <c r="E8113" s="10"/>
      <c r="F8113" s="69"/>
      <c r="G8113" s="68"/>
      <c r="H8113" s="70"/>
      <c r="BA8113" s="4"/>
      <c r="BB8113" s="4"/>
    </row>
    <row r="8114" spans="1:54" x14ac:dyDescent="0.3">
      <c r="A8114" s="66"/>
      <c r="B8114" s="67"/>
      <c r="C8114" s="66"/>
      <c r="D8114" s="68"/>
      <c r="E8114" s="10"/>
      <c r="F8114" s="69"/>
      <c r="G8114" s="68"/>
      <c r="H8114" s="70"/>
      <c r="BA8114" s="4"/>
      <c r="BB8114" s="4"/>
    </row>
    <row r="8115" spans="1:54" x14ac:dyDescent="0.3">
      <c r="A8115" s="66"/>
      <c r="B8115" s="67"/>
      <c r="C8115" s="66"/>
      <c r="D8115" s="68"/>
      <c r="E8115" s="10"/>
      <c r="F8115" s="69"/>
      <c r="G8115" s="68"/>
      <c r="H8115" s="70"/>
      <c r="BA8115" s="4"/>
      <c r="BB8115" s="4"/>
    </row>
    <row r="8116" spans="1:54" x14ac:dyDescent="0.3">
      <c r="A8116" s="66"/>
      <c r="B8116" s="67"/>
      <c r="C8116" s="66"/>
      <c r="D8116" s="68"/>
      <c r="E8116" s="10"/>
      <c r="F8116" s="69"/>
      <c r="G8116" s="68"/>
      <c r="H8116" s="70"/>
      <c r="BA8116" s="4"/>
      <c r="BB8116" s="4"/>
    </row>
    <row r="8117" spans="1:54" x14ac:dyDescent="0.3">
      <c r="A8117" s="66"/>
      <c r="B8117" s="67"/>
      <c r="C8117" s="66"/>
      <c r="D8117" s="68"/>
      <c r="E8117" s="10"/>
      <c r="F8117" s="69"/>
      <c r="G8117" s="68"/>
      <c r="H8117" s="70"/>
      <c r="BA8117" s="4"/>
      <c r="BB8117" s="4"/>
    </row>
    <row r="8118" spans="1:54" x14ac:dyDescent="0.3">
      <c r="A8118" s="66"/>
      <c r="B8118" s="67"/>
      <c r="C8118" s="66"/>
      <c r="D8118" s="68"/>
      <c r="E8118" s="10"/>
      <c r="F8118" s="69"/>
      <c r="G8118" s="68"/>
      <c r="H8118" s="70"/>
      <c r="BA8118" s="4"/>
      <c r="BB8118" s="4"/>
    </row>
    <row r="8119" spans="1:54" x14ac:dyDescent="0.3">
      <c r="A8119" s="66"/>
      <c r="B8119" s="67"/>
      <c r="C8119" s="66"/>
      <c r="D8119" s="68"/>
      <c r="E8119" s="10"/>
      <c r="F8119" s="69"/>
      <c r="G8119" s="68"/>
      <c r="H8119" s="70"/>
      <c r="BA8119" s="4"/>
      <c r="BB8119" s="4"/>
    </row>
    <row r="8120" spans="1:54" x14ac:dyDescent="0.3">
      <c r="A8120" s="66"/>
      <c r="B8120" s="67"/>
      <c r="C8120" s="66"/>
      <c r="D8120" s="68"/>
      <c r="E8120" s="10"/>
      <c r="F8120" s="69"/>
      <c r="G8120" s="68"/>
      <c r="H8120" s="70"/>
      <c r="BA8120" s="4"/>
      <c r="BB8120" s="4"/>
    </row>
    <row r="8121" spans="1:54" x14ac:dyDescent="0.3">
      <c r="A8121" s="66"/>
      <c r="B8121" s="67"/>
      <c r="C8121" s="66"/>
      <c r="D8121" s="68"/>
      <c r="E8121" s="10"/>
      <c r="F8121" s="69"/>
      <c r="G8121" s="68"/>
      <c r="H8121" s="70"/>
      <c r="BA8121" s="4"/>
      <c r="BB8121" s="4"/>
    </row>
    <row r="8122" spans="1:54" x14ac:dyDescent="0.3">
      <c r="A8122" s="66"/>
      <c r="B8122" s="67"/>
      <c r="C8122" s="66"/>
      <c r="D8122" s="68"/>
      <c r="E8122" s="10"/>
      <c r="F8122" s="69"/>
      <c r="G8122" s="68"/>
      <c r="H8122" s="70"/>
      <c r="BA8122" s="4"/>
      <c r="BB8122" s="4"/>
    </row>
    <row r="8123" spans="1:54" x14ac:dyDescent="0.3">
      <c r="A8123" s="66"/>
      <c r="B8123" s="67"/>
      <c r="C8123" s="66"/>
      <c r="D8123" s="68"/>
      <c r="E8123" s="10"/>
      <c r="F8123" s="69"/>
      <c r="G8123" s="68"/>
      <c r="H8123" s="70"/>
      <c r="BA8123" s="4"/>
      <c r="BB8123" s="4"/>
    </row>
    <row r="8124" spans="1:54" x14ac:dyDescent="0.3">
      <c r="A8124" s="66"/>
      <c r="B8124" s="67"/>
      <c r="C8124" s="66"/>
      <c r="D8124" s="68"/>
      <c r="E8124" s="10"/>
      <c r="F8124" s="69"/>
      <c r="G8124" s="68"/>
      <c r="H8124" s="70"/>
      <c r="BA8124" s="4"/>
      <c r="BB8124" s="4"/>
    </row>
    <row r="8125" spans="1:54" x14ac:dyDescent="0.3">
      <c r="A8125" s="66"/>
      <c r="B8125" s="67"/>
      <c r="C8125" s="66"/>
      <c r="D8125" s="68"/>
      <c r="E8125" s="10"/>
      <c r="F8125" s="69"/>
      <c r="G8125" s="68"/>
      <c r="H8125" s="70"/>
      <c r="BA8125" s="4"/>
      <c r="BB8125" s="4"/>
    </row>
    <row r="8126" spans="1:54" x14ac:dyDescent="0.3">
      <c r="A8126" s="66"/>
      <c r="B8126" s="67"/>
      <c r="C8126" s="66"/>
      <c r="D8126" s="68"/>
      <c r="E8126" s="10"/>
      <c r="F8126" s="69"/>
      <c r="G8126" s="68"/>
      <c r="H8126" s="70"/>
      <c r="BA8126" s="4"/>
      <c r="BB8126" s="4"/>
    </row>
    <row r="8127" spans="1:54" x14ac:dyDescent="0.3">
      <c r="A8127" s="66"/>
      <c r="B8127" s="67"/>
      <c r="C8127" s="66"/>
      <c r="D8127" s="68"/>
      <c r="E8127" s="10"/>
      <c r="F8127" s="69"/>
      <c r="G8127" s="68"/>
      <c r="H8127" s="70"/>
      <c r="BA8127" s="4"/>
      <c r="BB8127" s="4"/>
    </row>
    <row r="8128" spans="1:54" x14ac:dyDescent="0.3">
      <c r="A8128" s="66"/>
      <c r="B8128" s="67"/>
      <c r="C8128" s="66"/>
      <c r="D8128" s="68"/>
      <c r="E8128" s="10"/>
      <c r="F8128" s="69"/>
      <c r="G8128" s="68"/>
      <c r="H8128" s="70"/>
      <c r="BA8128" s="4"/>
      <c r="BB8128" s="4"/>
    </row>
    <row r="8129" spans="1:54" x14ac:dyDescent="0.3">
      <c r="A8129" s="66"/>
      <c r="B8129" s="67"/>
      <c r="C8129" s="66"/>
      <c r="D8129" s="68"/>
      <c r="E8129" s="10"/>
      <c r="F8129" s="69"/>
      <c r="G8129" s="68"/>
      <c r="H8129" s="70"/>
      <c r="BA8129" s="4"/>
      <c r="BB8129" s="4"/>
    </row>
    <row r="8130" spans="1:54" x14ac:dyDescent="0.3">
      <c r="A8130" s="66"/>
      <c r="B8130" s="67"/>
      <c r="C8130" s="66"/>
      <c r="D8130" s="68"/>
      <c r="E8130" s="10"/>
      <c r="F8130" s="69"/>
      <c r="G8130" s="68"/>
      <c r="H8130" s="70"/>
      <c r="BA8130" s="4"/>
      <c r="BB8130" s="4"/>
    </row>
    <row r="8131" spans="1:54" x14ac:dyDescent="0.3">
      <c r="A8131" s="66"/>
      <c r="B8131" s="67"/>
      <c r="C8131" s="66"/>
      <c r="D8131" s="68"/>
      <c r="E8131" s="10"/>
      <c r="F8131" s="69"/>
      <c r="G8131" s="68"/>
      <c r="H8131" s="70"/>
      <c r="BA8131" s="4"/>
      <c r="BB8131" s="4"/>
    </row>
    <row r="8132" spans="1:54" x14ac:dyDescent="0.3">
      <c r="A8132" s="66"/>
      <c r="B8132" s="67"/>
      <c r="C8132" s="66"/>
      <c r="D8132" s="68"/>
      <c r="E8132" s="10"/>
      <c r="F8132" s="69"/>
      <c r="G8132" s="68"/>
      <c r="H8132" s="70"/>
      <c r="BA8132" s="4"/>
      <c r="BB8132" s="4"/>
    </row>
    <row r="8133" spans="1:54" x14ac:dyDescent="0.3">
      <c r="A8133" s="66"/>
      <c r="B8133" s="67"/>
      <c r="C8133" s="66"/>
      <c r="D8133" s="68"/>
      <c r="E8133" s="10"/>
      <c r="F8133" s="69"/>
      <c r="G8133" s="68"/>
      <c r="H8133" s="70"/>
      <c r="BA8133" s="4"/>
      <c r="BB8133" s="4"/>
    </row>
    <row r="8134" spans="1:54" x14ac:dyDescent="0.3">
      <c r="A8134" s="66"/>
      <c r="B8134" s="67"/>
      <c r="C8134" s="66"/>
      <c r="D8134" s="68"/>
      <c r="E8134" s="10"/>
      <c r="F8134" s="69"/>
      <c r="G8134" s="68"/>
      <c r="H8134" s="70"/>
      <c r="BA8134" s="4"/>
      <c r="BB8134" s="4"/>
    </row>
    <row r="8135" spans="1:54" x14ac:dyDescent="0.3">
      <c r="A8135" s="66"/>
      <c r="B8135" s="67"/>
      <c r="C8135" s="66"/>
      <c r="D8135" s="68"/>
      <c r="E8135" s="10"/>
      <c r="F8135" s="69"/>
      <c r="G8135" s="68"/>
      <c r="H8135" s="70"/>
      <c r="BA8135" s="4"/>
      <c r="BB8135" s="4"/>
    </row>
    <row r="8136" spans="1:54" x14ac:dyDescent="0.3">
      <c r="A8136" s="66"/>
      <c r="B8136" s="67"/>
      <c r="C8136" s="66"/>
      <c r="D8136" s="68"/>
      <c r="E8136" s="10"/>
      <c r="F8136" s="69"/>
      <c r="G8136" s="68"/>
      <c r="H8136" s="70"/>
      <c r="BA8136" s="4"/>
      <c r="BB8136" s="4"/>
    </row>
    <row r="8137" spans="1:54" x14ac:dyDescent="0.3">
      <c r="A8137" s="66"/>
      <c r="B8137" s="67"/>
      <c r="C8137" s="66"/>
      <c r="D8137" s="68"/>
      <c r="E8137" s="10"/>
      <c r="F8137" s="69"/>
      <c r="G8137" s="68"/>
      <c r="H8137" s="70"/>
      <c r="BA8137" s="4"/>
      <c r="BB8137" s="4"/>
    </row>
    <row r="8138" spans="1:54" x14ac:dyDescent="0.3">
      <c r="A8138" s="66"/>
      <c r="B8138" s="67"/>
      <c r="C8138" s="66"/>
      <c r="D8138" s="68"/>
      <c r="E8138" s="10"/>
      <c r="F8138" s="69"/>
      <c r="G8138" s="68"/>
      <c r="H8138" s="70"/>
      <c r="BA8138" s="4"/>
      <c r="BB8138" s="4"/>
    </row>
    <row r="8139" spans="1:54" x14ac:dyDescent="0.3">
      <c r="A8139" s="66"/>
      <c r="B8139" s="67"/>
      <c r="C8139" s="66"/>
      <c r="D8139" s="68"/>
      <c r="E8139" s="10"/>
      <c r="F8139" s="69"/>
      <c r="G8139" s="68"/>
      <c r="H8139" s="70"/>
      <c r="BA8139" s="4"/>
      <c r="BB8139" s="4"/>
    </row>
    <row r="8140" spans="1:54" x14ac:dyDescent="0.3">
      <c r="A8140" s="66"/>
      <c r="B8140" s="67"/>
      <c r="C8140" s="66"/>
      <c r="D8140" s="68"/>
      <c r="E8140" s="10"/>
      <c r="F8140" s="69"/>
      <c r="G8140" s="68"/>
      <c r="H8140" s="70"/>
      <c r="BA8140" s="4"/>
      <c r="BB8140" s="4"/>
    </row>
    <row r="8141" spans="1:54" x14ac:dyDescent="0.3">
      <c r="A8141" s="66"/>
      <c r="B8141" s="67"/>
      <c r="C8141" s="66"/>
      <c r="D8141" s="68"/>
      <c r="E8141" s="10"/>
      <c r="F8141" s="69"/>
      <c r="G8141" s="68"/>
      <c r="H8141" s="70"/>
      <c r="BA8141" s="4"/>
      <c r="BB8141" s="4"/>
    </row>
    <row r="8142" spans="1:54" x14ac:dyDescent="0.3">
      <c r="A8142" s="66"/>
      <c r="B8142" s="67"/>
      <c r="C8142" s="66"/>
      <c r="D8142" s="68"/>
      <c r="E8142" s="10"/>
      <c r="F8142" s="69"/>
      <c r="G8142" s="68"/>
      <c r="H8142" s="70"/>
      <c r="BA8142" s="4"/>
      <c r="BB8142" s="4"/>
    </row>
    <row r="8143" spans="1:54" x14ac:dyDescent="0.3">
      <c r="A8143" s="66"/>
      <c r="B8143" s="67"/>
      <c r="C8143" s="66"/>
      <c r="D8143" s="68"/>
      <c r="E8143" s="10"/>
      <c r="F8143" s="69"/>
      <c r="G8143" s="68"/>
      <c r="H8143" s="70"/>
      <c r="BA8143" s="4"/>
      <c r="BB8143" s="4"/>
    </row>
    <row r="8144" spans="1:54" x14ac:dyDescent="0.3">
      <c r="A8144" s="66"/>
      <c r="B8144" s="67"/>
      <c r="C8144" s="66"/>
      <c r="D8144" s="68"/>
      <c r="E8144" s="10"/>
      <c r="F8144" s="69"/>
      <c r="G8144" s="68"/>
      <c r="H8144" s="70"/>
      <c r="BA8144" s="4"/>
      <c r="BB8144" s="4"/>
    </row>
    <row r="8145" spans="1:54" x14ac:dyDescent="0.3">
      <c r="A8145" s="66"/>
      <c r="B8145" s="67"/>
      <c r="C8145" s="66"/>
      <c r="D8145" s="68"/>
      <c r="E8145" s="10"/>
      <c r="F8145" s="69"/>
      <c r="G8145" s="68"/>
      <c r="H8145" s="70"/>
      <c r="BA8145" s="4"/>
      <c r="BB8145" s="4"/>
    </row>
    <row r="8146" spans="1:54" x14ac:dyDescent="0.3">
      <c r="A8146" s="66"/>
      <c r="B8146" s="67"/>
      <c r="C8146" s="66"/>
      <c r="D8146" s="68"/>
      <c r="E8146" s="10"/>
      <c r="F8146" s="69"/>
      <c r="G8146" s="68"/>
      <c r="H8146" s="70"/>
      <c r="BA8146" s="4"/>
      <c r="BB8146" s="4"/>
    </row>
    <row r="8147" spans="1:54" x14ac:dyDescent="0.3">
      <c r="A8147" s="66"/>
      <c r="B8147" s="67"/>
      <c r="C8147" s="66"/>
      <c r="D8147" s="68"/>
      <c r="E8147" s="10"/>
      <c r="F8147" s="69"/>
      <c r="G8147" s="68"/>
      <c r="H8147" s="70"/>
      <c r="BA8147" s="4"/>
      <c r="BB8147" s="4"/>
    </row>
    <row r="8148" spans="1:54" x14ac:dyDescent="0.3">
      <c r="A8148" s="66"/>
      <c r="B8148" s="67"/>
      <c r="C8148" s="66"/>
      <c r="D8148" s="68"/>
      <c r="E8148" s="10"/>
      <c r="F8148" s="69"/>
      <c r="G8148" s="68"/>
      <c r="H8148" s="70"/>
      <c r="BA8148" s="4"/>
      <c r="BB8148" s="4"/>
    </row>
    <row r="8149" spans="1:54" x14ac:dyDescent="0.3">
      <c r="A8149" s="66"/>
      <c r="B8149" s="67"/>
      <c r="C8149" s="66"/>
      <c r="D8149" s="68"/>
      <c r="E8149" s="10"/>
      <c r="F8149" s="69"/>
      <c r="G8149" s="68"/>
      <c r="H8149" s="70"/>
      <c r="BA8149" s="4"/>
      <c r="BB8149" s="4"/>
    </row>
    <row r="8150" spans="1:54" x14ac:dyDescent="0.3">
      <c r="A8150" s="66"/>
      <c r="B8150" s="67"/>
      <c r="C8150" s="66"/>
      <c r="D8150" s="68"/>
      <c r="E8150" s="10"/>
      <c r="F8150" s="69"/>
      <c r="G8150" s="68"/>
      <c r="H8150" s="70"/>
      <c r="BA8150" s="4"/>
      <c r="BB8150" s="4"/>
    </row>
    <row r="8151" spans="1:54" x14ac:dyDescent="0.3">
      <c r="A8151" s="66"/>
      <c r="B8151" s="67"/>
      <c r="C8151" s="66"/>
      <c r="D8151" s="68"/>
      <c r="E8151" s="10"/>
      <c r="F8151" s="69"/>
      <c r="G8151" s="68"/>
      <c r="H8151" s="70"/>
      <c r="BA8151" s="4"/>
      <c r="BB8151" s="4"/>
    </row>
    <row r="8152" spans="1:54" x14ac:dyDescent="0.3">
      <c r="A8152" s="66"/>
      <c r="B8152" s="67"/>
      <c r="C8152" s="66"/>
      <c r="D8152" s="68"/>
      <c r="E8152" s="10"/>
      <c r="F8152" s="69"/>
      <c r="G8152" s="68"/>
      <c r="H8152" s="70"/>
      <c r="BA8152" s="4"/>
      <c r="BB8152" s="4"/>
    </row>
    <row r="8153" spans="1:54" x14ac:dyDescent="0.3">
      <c r="A8153" s="66"/>
      <c r="B8153" s="67"/>
      <c r="C8153" s="66"/>
      <c r="D8153" s="68"/>
      <c r="E8153" s="10"/>
      <c r="F8153" s="69"/>
      <c r="G8153" s="68"/>
      <c r="H8153" s="70"/>
      <c r="BA8153" s="4"/>
      <c r="BB8153" s="4"/>
    </row>
    <row r="8154" spans="1:54" x14ac:dyDescent="0.3">
      <c r="A8154" s="66"/>
      <c r="B8154" s="67"/>
      <c r="C8154" s="66"/>
      <c r="D8154" s="68"/>
      <c r="E8154" s="10"/>
      <c r="F8154" s="69"/>
      <c r="G8154" s="68"/>
      <c r="H8154" s="70"/>
      <c r="BA8154" s="4"/>
      <c r="BB8154" s="4"/>
    </row>
    <row r="8155" spans="1:54" x14ac:dyDescent="0.3">
      <c r="A8155" s="66"/>
      <c r="B8155" s="67"/>
      <c r="C8155" s="66"/>
      <c r="D8155" s="68"/>
      <c r="E8155" s="10"/>
      <c r="F8155" s="69"/>
      <c r="G8155" s="68"/>
      <c r="H8155" s="70"/>
      <c r="BA8155" s="4"/>
      <c r="BB8155" s="4"/>
    </row>
    <row r="8156" spans="1:54" x14ac:dyDescent="0.3">
      <c r="A8156" s="66"/>
      <c r="B8156" s="67"/>
      <c r="C8156" s="66"/>
      <c r="D8156" s="68"/>
      <c r="E8156" s="10"/>
      <c r="F8156" s="69"/>
      <c r="G8156" s="68"/>
      <c r="H8156" s="70"/>
      <c r="BA8156" s="4"/>
      <c r="BB8156" s="4"/>
    </row>
    <row r="8157" spans="1:54" x14ac:dyDescent="0.3">
      <c r="A8157" s="66"/>
      <c r="B8157" s="67"/>
      <c r="C8157" s="66"/>
      <c r="D8157" s="68"/>
      <c r="E8157" s="10"/>
      <c r="F8157" s="69"/>
      <c r="G8157" s="68"/>
      <c r="H8157" s="70"/>
      <c r="BA8157" s="4"/>
      <c r="BB8157" s="4"/>
    </row>
    <row r="8158" spans="1:54" x14ac:dyDescent="0.3">
      <c r="A8158" s="66"/>
      <c r="B8158" s="67"/>
      <c r="C8158" s="66"/>
      <c r="D8158" s="68"/>
      <c r="E8158" s="10"/>
      <c r="F8158" s="69"/>
      <c r="G8158" s="68"/>
      <c r="H8158" s="70"/>
      <c r="BA8158" s="4"/>
      <c r="BB8158" s="4"/>
    </row>
    <row r="8159" spans="1:54" x14ac:dyDescent="0.3">
      <c r="A8159" s="66"/>
      <c r="B8159" s="67"/>
      <c r="C8159" s="66"/>
      <c r="D8159" s="68"/>
      <c r="E8159" s="10"/>
      <c r="F8159" s="69"/>
      <c r="G8159" s="68"/>
      <c r="H8159" s="70"/>
      <c r="BA8159" s="4"/>
      <c r="BB8159" s="4"/>
    </row>
    <row r="8160" spans="1:54" x14ac:dyDescent="0.3">
      <c r="A8160" s="66"/>
      <c r="B8160" s="67"/>
      <c r="C8160" s="66"/>
      <c r="D8160" s="68"/>
      <c r="E8160" s="10"/>
      <c r="F8160" s="69"/>
      <c r="G8160" s="68"/>
      <c r="H8160" s="70"/>
      <c r="BA8160" s="4"/>
      <c r="BB8160" s="4"/>
    </row>
    <row r="8161" spans="1:54" x14ac:dyDescent="0.3">
      <c r="A8161" s="66"/>
      <c r="B8161" s="67"/>
      <c r="C8161" s="66"/>
      <c r="D8161" s="68"/>
      <c r="E8161" s="10"/>
      <c r="F8161" s="69"/>
      <c r="G8161" s="68"/>
      <c r="H8161" s="70"/>
      <c r="BA8161" s="4"/>
      <c r="BB8161" s="4"/>
    </row>
    <row r="8162" spans="1:54" x14ac:dyDescent="0.3">
      <c r="A8162" s="66"/>
      <c r="B8162" s="67"/>
      <c r="C8162" s="66"/>
      <c r="D8162" s="68"/>
      <c r="E8162" s="10"/>
      <c r="F8162" s="69"/>
      <c r="G8162" s="68"/>
      <c r="H8162" s="70"/>
      <c r="BA8162" s="4"/>
      <c r="BB8162" s="4"/>
    </row>
    <row r="8163" spans="1:54" x14ac:dyDescent="0.3">
      <c r="A8163" s="66"/>
      <c r="B8163" s="67"/>
      <c r="C8163" s="66"/>
      <c r="D8163" s="68"/>
      <c r="E8163" s="10"/>
      <c r="F8163" s="69"/>
      <c r="G8163" s="68"/>
      <c r="H8163" s="70"/>
      <c r="BA8163" s="4"/>
      <c r="BB8163" s="4"/>
    </row>
    <row r="8164" spans="1:54" x14ac:dyDescent="0.3">
      <c r="A8164" s="66"/>
      <c r="B8164" s="67"/>
      <c r="C8164" s="66"/>
      <c r="D8164" s="68"/>
      <c r="E8164" s="10"/>
      <c r="F8164" s="69"/>
      <c r="G8164" s="68"/>
      <c r="H8164" s="70"/>
      <c r="BA8164" s="4"/>
      <c r="BB8164" s="4"/>
    </row>
    <row r="8165" spans="1:54" x14ac:dyDescent="0.3">
      <c r="A8165" s="66"/>
      <c r="B8165" s="67"/>
      <c r="C8165" s="66"/>
      <c r="D8165" s="68"/>
      <c r="E8165" s="10"/>
      <c r="F8165" s="69"/>
      <c r="G8165" s="68"/>
      <c r="H8165" s="70"/>
      <c r="BA8165" s="4"/>
      <c r="BB8165" s="4"/>
    </row>
    <row r="8166" spans="1:54" x14ac:dyDescent="0.3">
      <c r="A8166" s="66"/>
      <c r="B8166" s="67"/>
      <c r="C8166" s="66"/>
      <c r="D8166" s="68"/>
      <c r="E8166" s="10"/>
      <c r="F8166" s="69"/>
      <c r="G8166" s="68"/>
      <c r="H8166" s="70"/>
      <c r="BA8166" s="4"/>
      <c r="BB8166" s="4"/>
    </row>
    <row r="8167" spans="1:54" x14ac:dyDescent="0.3">
      <c r="A8167" s="66"/>
      <c r="B8167" s="67"/>
      <c r="C8167" s="66"/>
      <c r="D8167" s="68"/>
      <c r="E8167" s="10"/>
      <c r="F8167" s="69"/>
      <c r="G8167" s="68"/>
      <c r="H8167" s="70"/>
      <c r="BA8167" s="4"/>
      <c r="BB8167" s="4"/>
    </row>
    <row r="8168" spans="1:54" x14ac:dyDescent="0.3">
      <c r="A8168" s="66"/>
      <c r="B8168" s="67"/>
      <c r="C8168" s="66"/>
      <c r="D8168" s="68"/>
      <c r="E8168" s="10"/>
      <c r="F8168" s="69"/>
      <c r="G8168" s="68"/>
      <c r="H8168" s="70"/>
      <c r="BA8168" s="4"/>
      <c r="BB8168" s="4"/>
    </row>
    <row r="8169" spans="1:54" x14ac:dyDescent="0.3">
      <c r="A8169" s="66"/>
      <c r="B8169" s="67"/>
      <c r="C8169" s="66"/>
      <c r="D8169" s="68"/>
      <c r="E8169" s="10"/>
      <c r="F8169" s="69"/>
      <c r="G8169" s="68"/>
      <c r="H8169" s="70"/>
      <c r="BA8169" s="4"/>
      <c r="BB8169" s="4"/>
    </row>
    <row r="8170" spans="1:54" x14ac:dyDescent="0.3">
      <c r="A8170" s="66"/>
      <c r="B8170" s="67"/>
      <c r="C8170" s="66"/>
      <c r="D8170" s="68"/>
      <c r="E8170" s="10"/>
      <c r="F8170" s="69"/>
      <c r="G8170" s="68"/>
      <c r="H8170" s="70"/>
      <c r="BA8170" s="4"/>
      <c r="BB8170" s="4"/>
    </row>
    <row r="8171" spans="1:54" x14ac:dyDescent="0.3">
      <c r="A8171" s="66"/>
      <c r="B8171" s="67"/>
      <c r="C8171" s="66"/>
      <c r="D8171" s="68"/>
      <c r="E8171" s="10"/>
      <c r="F8171" s="69"/>
      <c r="G8171" s="68"/>
      <c r="H8171" s="70"/>
      <c r="BA8171" s="4"/>
      <c r="BB8171" s="4"/>
    </row>
    <row r="8172" spans="1:54" x14ac:dyDescent="0.3">
      <c r="A8172" s="66"/>
      <c r="B8172" s="67"/>
      <c r="C8172" s="66"/>
      <c r="D8172" s="68"/>
      <c r="E8172" s="10"/>
      <c r="F8172" s="69"/>
      <c r="G8172" s="68"/>
      <c r="H8172" s="70"/>
      <c r="BA8172" s="4"/>
      <c r="BB8172" s="4"/>
    </row>
    <row r="8173" spans="1:54" x14ac:dyDescent="0.3">
      <c r="A8173" s="66"/>
      <c r="B8173" s="67"/>
      <c r="C8173" s="66"/>
      <c r="D8173" s="68"/>
      <c r="E8173" s="10"/>
      <c r="F8173" s="69"/>
      <c r="G8173" s="68"/>
      <c r="H8173" s="70"/>
      <c r="BA8173" s="4"/>
      <c r="BB8173" s="4"/>
    </row>
    <row r="8174" spans="1:54" x14ac:dyDescent="0.3">
      <c r="A8174" s="66"/>
      <c r="B8174" s="67"/>
      <c r="C8174" s="66"/>
      <c r="D8174" s="68"/>
      <c r="E8174" s="10"/>
      <c r="F8174" s="69"/>
      <c r="G8174" s="68"/>
      <c r="H8174" s="70"/>
      <c r="BA8174" s="4"/>
      <c r="BB8174" s="4"/>
    </row>
    <row r="8175" spans="1:54" x14ac:dyDescent="0.3">
      <c r="A8175" s="66"/>
      <c r="B8175" s="67"/>
      <c r="C8175" s="66"/>
      <c r="D8175" s="68"/>
      <c r="E8175" s="10"/>
      <c r="F8175" s="69"/>
      <c r="G8175" s="68"/>
      <c r="H8175" s="70"/>
      <c r="BA8175" s="4"/>
      <c r="BB8175" s="4"/>
    </row>
    <row r="8176" spans="1:54" x14ac:dyDescent="0.3">
      <c r="A8176" s="66"/>
      <c r="B8176" s="67"/>
      <c r="C8176" s="66"/>
      <c r="D8176" s="68"/>
      <c r="E8176" s="10"/>
      <c r="F8176" s="69"/>
      <c r="G8176" s="68"/>
      <c r="H8176" s="70"/>
      <c r="BA8176" s="4"/>
      <c r="BB8176" s="4"/>
    </row>
    <row r="8177" spans="1:54" x14ac:dyDescent="0.3">
      <c r="A8177" s="66"/>
      <c r="B8177" s="67"/>
      <c r="C8177" s="66"/>
      <c r="D8177" s="68"/>
      <c r="E8177" s="10"/>
      <c r="F8177" s="69"/>
      <c r="G8177" s="68"/>
      <c r="H8177" s="70"/>
      <c r="BA8177" s="4"/>
      <c r="BB8177" s="4"/>
    </row>
    <row r="8178" spans="1:54" x14ac:dyDescent="0.3">
      <c r="A8178" s="66"/>
      <c r="B8178" s="67"/>
      <c r="C8178" s="66"/>
      <c r="D8178" s="68"/>
      <c r="E8178" s="10"/>
      <c r="F8178" s="69"/>
      <c r="G8178" s="68"/>
      <c r="H8178" s="70"/>
      <c r="BA8178" s="4"/>
      <c r="BB8178" s="4"/>
    </row>
    <row r="8179" spans="1:54" x14ac:dyDescent="0.3">
      <c r="A8179" s="66"/>
      <c r="B8179" s="67"/>
      <c r="C8179" s="66"/>
      <c r="D8179" s="68"/>
      <c r="E8179" s="10"/>
      <c r="F8179" s="69"/>
      <c r="G8179" s="68"/>
      <c r="H8179" s="70"/>
      <c r="BA8179" s="4"/>
      <c r="BB8179" s="4"/>
    </row>
    <row r="8180" spans="1:54" x14ac:dyDescent="0.3">
      <c r="A8180" s="66"/>
      <c r="B8180" s="67"/>
      <c r="C8180" s="66"/>
      <c r="D8180" s="68"/>
      <c r="E8180" s="10"/>
      <c r="F8180" s="69"/>
      <c r="G8180" s="68"/>
      <c r="H8180" s="70"/>
      <c r="BA8180" s="4"/>
      <c r="BB8180" s="4"/>
    </row>
    <row r="8181" spans="1:54" x14ac:dyDescent="0.3">
      <c r="A8181" s="66"/>
      <c r="B8181" s="67"/>
      <c r="C8181" s="66"/>
      <c r="D8181" s="68"/>
      <c r="E8181" s="10"/>
      <c r="F8181" s="69"/>
      <c r="G8181" s="68"/>
      <c r="H8181" s="70"/>
      <c r="BA8181" s="4"/>
      <c r="BB8181" s="4"/>
    </row>
    <row r="8182" spans="1:54" x14ac:dyDescent="0.3">
      <c r="A8182" s="66"/>
      <c r="B8182" s="67"/>
      <c r="C8182" s="66"/>
      <c r="D8182" s="68"/>
      <c r="E8182" s="10"/>
      <c r="F8182" s="69"/>
      <c r="G8182" s="68"/>
      <c r="H8182" s="70"/>
      <c r="BA8182" s="4"/>
      <c r="BB8182" s="4"/>
    </row>
    <row r="8183" spans="1:54" x14ac:dyDescent="0.3">
      <c r="A8183" s="66"/>
      <c r="B8183" s="67"/>
      <c r="C8183" s="66"/>
      <c r="D8183" s="68"/>
      <c r="E8183" s="10"/>
      <c r="F8183" s="69"/>
      <c r="G8183" s="68"/>
      <c r="H8183" s="70"/>
      <c r="BA8183" s="4"/>
      <c r="BB8183" s="4"/>
    </row>
    <row r="8184" spans="1:54" x14ac:dyDescent="0.3">
      <c r="A8184" s="66"/>
      <c r="B8184" s="67"/>
      <c r="C8184" s="66"/>
      <c r="D8184" s="68"/>
      <c r="E8184" s="10"/>
      <c r="F8184" s="69"/>
      <c r="G8184" s="68"/>
      <c r="H8184" s="70"/>
      <c r="BA8184" s="4"/>
      <c r="BB8184" s="4"/>
    </row>
    <row r="8185" spans="1:54" x14ac:dyDescent="0.3">
      <c r="A8185" s="66"/>
      <c r="B8185" s="67"/>
      <c r="C8185" s="66"/>
      <c r="D8185" s="68"/>
      <c r="E8185" s="10"/>
      <c r="F8185" s="69"/>
      <c r="G8185" s="68"/>
      <c r="H8185" s="70"/>
      <c r="BA8185" s="4"/>
      <c r="BB8185" s="4"/>
    </row>
    <row r="8186" spans="1:54" x14ac:dyDescent="0.3">
      <c r="A8186" s="66"/>
      <c r="B8186" s="67"/>
      <c r="C8186" s="66"/>
      <c r="D8186" s="68"/>
      <c r="E8186" s="10"/>
      <c r="F8186" s="69"/>
      <c r="G8186" s="68"/>
      <c r="H8186" s="70"/>
      <c r="BA8186" s="4"/>
      <c r="BB8186" s="4"/>
    </row>
    <row r="8187" spans="1:54" x14ac:dyDescent="0.3">
      <c r="A8187" s="66"/>
      <c r="B8187" s="67"/>
      <c r="C8187" s="66"/>
      <c r="D8187" s="68"/>
      <c r="E8187" s="10"/>
      <c r="F8187" s="69"/>
      <c r="G8187" s="68"/>
      <c r="H8187" s="70"/>
      <c r="BA8187" s="4"/>
      <c r="BB8187" s="4"/>
    </row>
    <row r="8188" spans="1:54" x14ac:dyDescent="0.3">
      <c r="A8188" s="66"/>
      <c r="B8188" s="67"/>
      <c r="C8188" s="66"/>
      <c r="D8188" s="68"/>
      <c r="E8188" s="10"/>
      <c r="F8188" s="69"/>
      <c r="G8188" s="68"/>
      <c r="H8188" s="70"/>
      <c r="BA8188" s="4"/>
      <c r="BB8188" s="4"/>
    </row>
    <row r="8189" spans="1:54" x14ac:dyDescent="0.3">
      <c r="A8189" s="66"/>
      <c r="B8189" s="67"/>
      <c r="C8189" s="66"/>
      <c r="D8189" s="68"/>
      <c r="E8189" s="10"/>
      <c r="F8189" s="69"/>
      <c r="G8189" s="68"/>
      <c r="H8189" s="70"/>
      <c r="BA8189" s="4"/>
      <c r="BB8189" s="4"/>
    </row>
    <row r="8190" spans="1:54" x14ac:dyDescent="0.3">
      <c r="A8190" s="66"/>
      <c r="B8190" s="67"/>
      <c r="C8190" s="66"/>
      <c r="D8190" s="68"/>
      <c r="E8190" s="10"/>
      <c r="F8190" s="69"/>
      <c r="G8190" s="68"/>
      <c r="H8190" s="70"/>
      <c r="BA8190" s="4"/>
      <c r="BB8190" s="4"/>
    </row>
    <row r="8191" spans="1:54" x14ac:dyDescent="0.3">
      <c r="A8191" s="66"/>
      <c r="B8191" s="67"/>
      <c r="C8191" s="66"/>
      <c r="D8191" s="68"/>
      <c r="E8191" s="10"/>
      <c r="F8191" s="69"/>
      <c r="G8191" s="68"/>
      <c r="H8191" s="70"/>
      <c r="BA8191" s="4"/>
      <c r="BB8191" s="4"/>
    </row>
    <row r="8192" spans="1:54" x14ac:dyDescent="0.3">
      <c r="A8192" s="66"/>
      <c r="B8192" s="67"/>
      <c r="C8192" s="66"/>
      <c r="D8192" s="68"/>
      <c r="E8192" s="10"/>
      <c r="F8192" s="69"/>
      <c r="G8192" s="68"/>
      <c r="H8192" s="70"/>
      <c r="BA8192" s="4"/>
      <c r="BB8192" s="4"/>
    </row>
    <row r="8193" spans="1:54" x14ac:dyDescent="0.3">
      <c r="A8193" s="66"/>
      <c r="B8193" s="67"/>
      <c r="C8193" s="66"/>
      <c r="D8193" s="68"/>
      <c r="E8193" s="10"/>
      <c r="F8193" s="69"/>
      <c r="G8193" s="68"/>
      <c r="H8193" s="70"/>
      <c r="BA8193" s="4"/>
      <c r="BB8193" s="4"/>
    </row>
    <row r="8194" spans="1:54" x14ac:dyDescent="0.3">
      <c r="A8194" s="66"/>
      <c r="B8194" s="67"/>
      <c r="C8194" s="66"/>
      <c r="D8194" s="68"/>
      <c r="E8194" s="10"/>
      <c r="F8194" s="69"/>
      <c r="G8194" s="68"/>
      <c r="H8194" s="70"/>
      <c r="BA8194" s="4"/>
      <c r="BB8194" s="4"/>
    </row>
    <row r="8195" spans="1:54" x14ac:dyDescent="0.3">
      <c r="A8195" s="66"/>
      <c r="B8195" s="67"/>
      <c r="C8195" s="66"/>
      <c r="D8195" s="68"/>
      <c r="E8195" s="10"/>
      <c r="F8195" s="69"/>
      <c r="G8195" s="68"/>
      <c r="H8195" s="70"/>
      <c r="BA8195" s="4"/>
      <c r="BB8195" s="4"/>
    </row>
    <row r="8196" spans="1:54" x14ac:dyDescent="0.3">
      <c r="A8196" s="66"/>
      <c r="B8196" s="67"/>
      <c r="C8196" s="66"/>
      <c r="D8196" s="68"/>
      <c r="E8196" s="10"/>
      <c r="F8196" s="69"/>
      <c r="G8196" s="68"/>
      <c r="H8196" s="70"/>
      <c r="BA8196" s="4"/>
      <c r="BB8196" s="4"/>
    </row>
    <row r="8197" spans="1:54" x14ac:dyDescent="0.3">
      <c r="A8197" s="66"/>
      <c r="B8197" s="67"/>
      <c r="C8197" s="66"/>
      <c r="D8197" s="68"/>
      <c r="E8197" s="10"/>
      <c r="F8197" s="69"/>
      <c r="G8197" s="68"/>
      <c r="H8197" s="70"/>
      <c r="BA8197" s="4"/>
      <c r="BB8197" s="4"/>
    </row>
    <row r="8198" spans="1:54" x14ac:dyDescent="0.3">
      <c r="A8198" s="66"/>
      <c r="B8198" s="67"/>
      <c r="C8198" s="66"/>
      <c r="D8198" s="68"/>
      <c r="E8198" s="10"/>
      <c r="F8198" s="69"/>
      <c r="G8198" s="68"/>
      <c r="H8198" s="70"/>
      <c r="BA8198" s="4"/>
      <c r="BB8198" s="4"/>
    </row>
    <row r="8199" spans="1:54" x14ac:dyDescent="0.3">
      <c r="A8199" s="66"/>
      <c r="B8199" s="67"/>
      <c r="C8199" s="66"/>
      <c r="D8199" s="68"/>
      <c r="E8199" s="10"/>
      <c r="F8199" s="69"/>
      <c r="G8199" s="68"/>
      <c r="H8199" s="70"/>
      <c r="BA8199" s="4"/>
      <c r="BB8199" s="4"/>
    </row>
    <row r="8200" spans="1:54" x14ac:dyDescent="0.3">
      <c r="A8200" s="66"/>
      <c r="B8200" s="67"/>
      <c r="C8200" s="66"/>
      <c r="D8200" s="68"/>
      <c r="E8200" s="10"/>
      <c r="F8200" s="69"/>
      <c r="G8200" s="68"/>
      <c r="H8200" s="70"/>
      <c r="BA8200" s="4"/>
      <c r="BB8200" s="4"/>
    </row>
    <row r="8201" spans="1:54" x14ac:dyDescent="0.3">
      <c r="A8201" s="66"/>
      <c r="B8201" s="67"/>
      <c r="C8201" s="66"/>
      <c r="D8201" s="68"/>
      <c r="E8201" s="10"/>
      <c r="F8201" s="69"/>
      <c r="G8201" s="68"/>
      <c r="H8201" s="70"/>
      <c r="BA8201" s="4"/>
      <c r="BB8201" s="4"/>
    </row>
    <row r="8202" spans="1:54" x14ac:dyDescent="0.3">
      <c r="A8202" s="66"/>
      <c r="B8202" s="67"/>
      <c r="C8202" s="66"/>
      <c r="D8202" s="68"/>
      <c r="E8202" s="10"/>
      <c r="F8202" s="69"/>
      <c r="G8202" s="68"/>
      <c r="H8202" s="70"/>
      <c r="BA8202" s="4"/>
      <c r="BB8202" s="4"/>
    </row>
    <row r="8203" spans="1:54" x14ac:dyDescent="0.3">
      <c r="A8203" s="66"/>
      <c r="B8203" s="67"/>
      <c r="C8203" s="66"/>
      <c r="D8203" s="68"/>
      <c r="E8203" s="10"/>
      <c r="F8203" s="69"/>
      <c r="G8203" s="68"/>
      <c r="H8203" s="70"/>
      <c r="BA8203" s="4"/>
      <c r="BB8203" s="4"/>
    </row>
    <row r="8204" spans="1:54" x14ac:dyDescent="0.3">
      <c r="A8204" s="66"/>
      <c r="B8204" s="67"/>
      <c r="C8204" s="66"/>
      <c r="D8204" s="68"/>
      <c r="E8204" s="10"/>
      <c r="F8204" s="69"/>
      <c r="G8204" s="68"/>
      <c r="H8204" s="70"/>
      <c r="BA8204" s="4"/>
      <c r="BB8204" s="4"/>
    </row>
    <row r="8205" spans="1:54" x14ac:dyDescent="0.3">
      <c r="A8205" s="66"/>
      <c r="B8205" s="67"/>
      <c r="C8205" s="66"/>
      <c r="D8205" s="68"/>
      <c r="E8205" s="10"/>
      <c r="F8205" s="69"/>
      <c r="G8205" s="68"/>
      <c r="H8205" s="70"/>
      <c r="BA8205" s="4"/>
      <c r="BB8205" s="4"/>
    </row>
    <row r="8206" spans="1:54" x14ac:dyDescent="0.3">
      <c r="A8206" s="66"/>
      <c r="B8206" s="67"/>
      <c r="C8206" s="66"/>
      <c r="D8206" s="68"/>
      <c r="E8206" s="10"/>
      <c r="F8206" s="69"/>
      <c r="G8206" s="68"/>
      <c r="H8206" s="70"/>
      <c r="BA8206" s="4"/>
      <c r="BB8206" s="4"/>
    </row>
    <row r="8207" spans="1:54" x14ac:dyDescent="0.3">
      <c r="A8207" s="66"/>
      <c r="B8207" s="67"/>
      <c r="C8207" s="66"/>
      <c r="D8207" s="68"/>
      <c r="E8207" s="10"/>
      <c r="F8207" s="69"/>
      <c r="G8207" s="68"/>
      <c r="H8207" s="70"/>
      <c r="BA8207" s="4"/>
      <c r="BB8207" s="4"/>
    </row>
    <row r="8208" spans="1:54" x14ac:dyDescent="0.3">
      <c r="A8208" s="66"/>
      <c r="B8208" s="67"/>
      <c r="C8208" s="66"/>
      <c r="D8208" s="68"/>
      <c r="E8208" s="10"/>
      <c r="F8208" s="69"/>
      <c r="G8208" s="68"/>
      <c r="H8208" s="70"/>
      <c r="BA8208" s="4"/>
      <c r="BB8208" s="4"/>
    </row>
    <row r="8209" spans="1:54" x14ac:dyDescent="0.3">
      <c r="A8209" s="66"/>
      <c r="B8209" s="67"/>
      <c r="C8209" s="66"/>
      <c r="D8209" s="68"/>
      <c r="E8209" s="10"/>
      <c r="F8209" s="69"/>
      <c r="G8209" s="68"/>
      <c r="H8209" s="70"/>
      <c r="BA8209" s="4"/>
      <c r="BB8209" s="4"/>
    </row>
    <row r="8210" spans="1:54" x14ac:dyDescent="0.3">
      <c r="A8210" s="66"/>
      <c r="B8210" s="67"/>
      <c r="C8210" s="66"/>
      <c r="D8210" s="68"/>
      <c r="E8210" s="10"/>
      <c r="F8210" s="69"/>
      <c r="G8210" s="68"/>
      <c r="H8210" s="70"/>
      <c r="BA8210" s="4"/>
      <c r="BB8210" s="4"/>
    </row>
    <row r="8211" spans="1:54" x14ac:dyDescent="0.3">
      <c r="A8211" s="66"/>
      <c r="B8211" s="67"/>
      <c r="C8211" s="66"/>
      <c r="D8211" s="68"/>
      <c r="E8211" s="10"/>
      <c r="F8211" s="69"/>
      <c r="G8211" s="68"/>
      <c r="H8211" s="70"/>
      <c r="BA8211" s="4"/>
      <c r="BB8211" s="4"/>
    </row>
    <row r="8212" spans="1:54" x14ac:dyDescent="0.3">
      <c r="A8212" s="66"/>
      <c r="B8212" s="67"/>
      <c r="C8212" s="66"/>
      <c r="D8212" s="68"/>
      <c r="E8212" s="10"/>
      <c r="F8212" s="69"/>
      <c r="G8212" s="68"/>
      <c r="H8212" s="70"/>
      <c r="BA8212" s="4"/>
      <c r="BB8212" s="4"/>
    </row>
    <row r="8213" spans="1:54" x14ac:dyDescent="0.3">
      <c r="A8213" s="66"/>
      <c r="B8213" s="67"/>
      <c r="C8213" s="66"/>
      <c r="D8213" s="68"/>
      <c r="E8213" s="10"/>
      <c r="F8213" s="69"/>
      <c r="G8213" s="68"/>
      <c r="H8213" s="70"/>
      <c r="BA8213" s="4"/>
      <c r="BB8213" s="4"/>
    </row>
    <row r="8214" spans="1:54" x14ac:dyDescent="0.3">
      <c r="A8214" s="66"/>
      <c r="B8214" s="67"/>
      <c r="C8214" s="66"/>
      <c r="D8214" s="68"/>
      <c r="E8214" s="10"/>
      <c r="F8214" s="69"/>
      <c r="G8214" s="68"/>
      <c r="H8214" s="70"/>
      <c r="BA8214" s="4"/>
      <c r="BB8214" s="4"/>
    </row>
    <row r="8215" spans="1:54" x14ac:dyDescent="0.3">
      <c r="A8215" s="66"/>
      <c r="B8215" s="67"/>
      <c r="C8215" s="66"/>
      <c r="D8215" s="68"/>
      <c r="E8215" s="10"/>
      <c r="F8215" s="69"/>
      <c r="G8215" s="68"/>
      <c r="H8215" s="70"/>
      <c r="BA8215" s="4"/>
      <c r="BB8215" s="4"/>
    </row>
    <row r="8216" spans="1:54" x14ac:dyDescent="0.3">
      <c r="A8216" s="66"/>
      <c r="B8216" s="67"/>
      <c r="C8216" s="66"/>
      <c r="D8216" s="68"/>
      <c r="E8216" s="10"/>
      <c r="F8216" s="69"/>
      <c r="G8216" s="68"/>
      <c r="H8216" s="70"/>
      <c r="BA8216" s="4"/>
      <c r="BB8216" s="4"/>
    </row>
    <row r="8217" spans="1:54" x14ac:dyDescent="0.3">
      <c r="A8217" s="66"/>
      <c r="B8217" s="67"/>
      <c r="C8217" s="66"/>
      <c r="D8217" s="68"/>
      <c r="E8217" s="10"/>
      <c r="F8217" s="69"/>
      <c r="G8217" s="68"/>
      <c r="H8217" s="70"/>
      <c r="BA8217" s="4"/>
      <c r="BB8217" s="4"/>
    </row>
    <row r="8218" spans="1:54" x14ac:dyDescent="0.3">
      <c r="A8218" s="66"/>
      <c r="B8218" s="67"/>
      <c r="C8218" s="66"/>
      <c r="D8218" s="68"/>
      <c r="E8218" s="10"/>
      <c r="F8218" s="69"/>
      <c r="G8218" s="68"/>
      <c r="H8218" s="70"/>
      <c r="BA8218" s="4"/>
      <c r="BB8218" s="4"/>
    </row>
    <row r="8219" spans="1:54" x14ac:dyDescent="0.3">
      <c r="A8219" s="66"/>
      <c r="B8219" s="67"/>
      <c r="C8219" s="66"/>
      <c r="D8219" s="68"/>
      <c r="E8219" s="10"/>
      <c r="F8219" s="69"/>
      <c r="G8219" s="68"/>
      <c r="H8219" s="70"/>
      <c r="BA8219" s="4"/>
      <c r="BB8219" s="4"/>
    </row>
    <row r="8220" spans="1:54" x14ac:dyDescent="0.3">
      <c r="A8220" s="66"/>
      <c r="B8220" s="67"/>
      <c r="C8220" s="66"/>
      <c r="D8220" s="68"/>
      <c r="E8220" s="10"/>
      <c r="F8220" s="69"/>
      <c r="G8220" s="68"/>
      <c r="H8220" s="70"/>
      <c r="BA8220" s="4"/>
      <c r="BB8220" s="4"/>
    </row>
    <row r="8221" spans="1:54" x14ac:dyDescent="0.3">
      <c r="A8221" s="66"/>
      <c r="B8221" s="67"/>
      <c r="C8221" s="66"/>
      <c r="D8221" s="68"/>
      <c r="E8221" s="10"/>
      <c r="F8221" s="69"/>
      <c r="G8221" s="68"/>
      <c r="H8221" s="70"/>
      <c r="BA8221" s="4"/>
      <c r="BB8221" s="4"/>
    </row>
    <row r="8222" spans="1:54" x14ac:dyDescent="0.3">
      <c r="A8222" s="66"/>
      <c r="B8222" s="67"/>
      <c r="C8222" s="66"/>
      <c r="D8222" s="68"/>
      <c r="E8222" s="10"/>
      <c r="F8222" s="69"/>
      <c r="G8222" s="68"/>
      <c r="H8222" s="70"/>
      <c r="BA8222" s="4"/>
      <c r="BB8222" s="4"/>
    </row>
    <row r="8223" spans="1:54" x14ac:dyDescent="0.3">
      <c r="A8223" s="66"/>
      <c r="B8223" s="67"/>
      <c r="C8223" s="66"/>
      <c r="D8223" s="68"/>
      <c r="E8223" s="10"/>
      <c r="F8223" s="69"/>
      <c r="G8223" s="68"/>
      <c r="H8223" s="70"/>
      <c r="BA8223" s="4"/>
      <c r="BB8223" s="4"/>
    </row>
    <row r="8224" spans="1:54" x14ac:dyDescent="0.3">
      <c r="A8224" s="66"/>
      <c r="B8224" s="67"/>
      <c r="C8224" s="66"/>
      <c r="D8224" s="68"/>
      <c r="E8224" s="10"/>
      <c r="F8224" s="69"/>
      <c r="G8224" s="68"/>
      <c r="H8224" s="70"/>
      <c r="BA8224" s="4"/>
      <c r="BB8224" s="4"/>
    </row>
    <row r="8225" spans="1:54" x14ac:dyDescent="0.3">
      <c r="A8225" s="66"/>
      <c r="B8225" s="67"/>
      <c r="C8225" s="66"/>
      <c r="D8225" s="68"/>
      <c r="E8225" s="10"/>
      <c r="F8225" s="69"/>
      <c r="G8225" s="68"/>
      <c r="H8225" s="70"/>
      <c r="BA8225" s="4"/>
      <c r="BB8225" s="4"/>
    </row>
    <row r="8226" spans="1:54" x14ac:dyDescent="0.3">
      <c r="A8226" s="66"/>
      <c r="B8226" s="67"/>
      <c r="C8226" s="66"/>
      <c r="D8226" s="68"/>
      <c r="E8226" s="10"/>
      <c r="F8226" s="69"/>
      <c r="G8226" s="68"/>
      <c r="H8226" s="70"/>
      <c r="BA8226" s="4"/>
      <c r="BB8226" s="4"/>
    </row>
    <row r="8227" spans="1:54" x14ac:dyDescent="0.3">
      <c r="A8227" s="66"/>
      <c r="B8227" s="67"/>
      <c r="C8227" s="66"/>
      <c r="D8227" s="68"/>
      <c r="E8227" s="10"/>
      <c r="F8227" s="69"/>
      <c r="G8227" s="68"/>
      <c r="H8227" s="70"/>
      <c r="BA8227" s="4"/>
      <c r="BB8227" s="4"/>
    </row>
    <row r="8228" spans="1:54" x14ac:dyDescent="0.3">
      <c r="A8228" s="66"/>
      <c r="B8228" s="67"/>
      <c r="C8228" s="66"/>
      <c r="D8228" s="68"/>
      <c r="E8228" s="10"/>
      <c r="F8228" s="69"/>
      <c r="G8228" s="68"/>
      <c r="H8228" s="70"/>
      <c r="BA8228" s="4"/>
      <c r="BB8228" s="4"/>
    </row>
    <row r="8229" spans="1:54" x14ac:dyDescent="0.3">
      <c r="A8229" s="66"/>
      <c r="B8229" s="67"/>
      <c r="C8229" s="66"/>
      <c r="D8229" s="68"/>
      <c r="E8229" s="10"/>
      <c r="F8229" s="69"/>
      <c r="G8229" s="68"/>
      <c r="H8229" s="70"/>
      <c r="BA8229" s="4"/>
      <c r="BB8229" s="4"/>
    </row>
    <row r="8230" spans="1:54" x14ac:dyDescent="0.3">
      <c r="A8230" s="66"/>
      <c r="B8230" s="67"/>
      <c r="C8230" s="66"/>
      <c r="D8230" s="68"/>
      <c r="E8230" s="10"/>
      <c r="F8230" s="69"/>
      <c r="G8230" s="68"/>
      <c r="H8230" s="70"/>
      <c r="BA8230" s="4"/>
      <c r="BB8230" s="4"/>
    </row>
    <row r="8231" spans="1:54" x14ac:dyDescent="0.3">
      <c r="A8231" s="66"/>
      <c r="B8231" s="67"/>
      <c r="C8231" s="66"/>
      <c r="D8231" s="68"/>
      <c r="E8231" s="10"/>
      <c r="F8231" s="69"/>
      <c r="G8231" s="68"/>
      <c r="H8231" s="70"/>
      <c r="BA8231" s="4"/>
      <c r="BB8231" s="4"/>
    </row>
    <row r="8232" spans="1:54" x14ac:dyDescent="0.3">
      <c r="A8232" s="66"/>
      <c r="B8232" s="67"/>
      <c r="C8232" s="66"/>
      <c r="D8232" s="68"/>
      <c r="E8232" s="10"/>
      <c r="F8232" s="69"/>
      <c r="G8232" s="68"/>
      <c r="H8232" s="70"/>
      <c r="BA8232" s="4"/>
      <c r="BB8232" s="4"/>
    </row>
    <row r="8233" spans="1:54" x14ac:dyDescent="0.3">
      <c r="A8233" s="66"/>
      <c r="B8233" s="67"/>
      <c r="C8233" s="66"/>
      <c r="D8233" s="68"/>
      <c r="E8233" s="10"/>
      <c r="F8233" s="69"/>
      <c r="G8233" s="68"/>
      <c r="H8233" s="70"/>
      <c r="BA8233" s="4"/>
      <c r="BB8233" s="4"/>
    </row>
    <row r="8234" spans="1:54" x14ac:dyDescent="0.3">
      <c r="A8234" s="66"/>
      <c r="B8234" s="67"/>
      <c r="C8234" s="66"/>
      <c r="D8234" s="68"/>
      <c r="E8234" s="10"/>
      <c r="F8234" s="69"/>
      <c r="G8234" s="68"/>
      <c r="H8234" s="70"/>
      <c r="BA8234" s="4"/>
      <c r="BB8234" s="4"/>
    </row>
    <row r="8235" spans="1:54" x14ac:dyDescent="0.3">
      <c r="A8235" s="66"/>
      <c r="B8235" s="67"/>
      <c r="C8235" s="66"/>
      <c r="D8235" s="68"/>
      <c r="E8235" s="10"/>
      <c r="F8235" s="69"/>
      <c r="G8235" s="68"/>
      <c r="H8235" s="70"/>
      <c r="BA8235" s="4"/>
      <c r="BB8235" s="4"/>
    </row>
    <row r="8236" spans="1:54" x14ac:dyDescent="0.3">
      <c r="A8236" s="66"/>
      <c r="B8236" s="67"/>
      <c r="C8236" s="66"/>
      <c r="D8236" s="68"/>
      <c r="E8236" s="10"/>
      <c r="F8236" s="69"/>
      <c r="G8236" s="68"/>
      <c r="H8236" s="70"/>
      <c r="BA8236" s="4"/>
      <c r="BB8236" s="4"/>
    </row>
    <row r="8237" spans="1:54" x14ac:dyDescent="0.3">
      <c r="A8237" s="66"/>
      <c r="B8237" s="67"/>
      <c r="C8237" s="66"/>
      <c r="D8237" s="68"/>
      <c r="E8237" s="10"/>
      <c r="F8237" s="69"/>
      <c r="G8237" s="68"/>
      <c r="H8237" s="70"/>
      <c r="BA8237" s="4"/>
      <c r="BB8237" s="4"/>
    </row>
    <row r="8238" spans="1:54" x14ac:dyDescent="0.3">
      <c r="A8238" s="66"/>
      <c r="B8238" s="67"/>
      <c r="C8238" s="66"/>
      <c r="D8238" s="68"/>
      <c r="E8238" s="10"/>
      <c r="F8238" s="69"/>
      <c r="G8238" s="68"/>
      <c r="H8238" s="70"/>
      <c r="BA8238" s="4"/>
      <c r="BB8238" s="4"/>
    </row>
    <row r="8239" spans="1:54" x14ac:dyDescent="0.3">
      <c r="A8239" s="66"/>
      <c r="B8239" s="67"/>
      <c r="C8239" s="66"/>
      <c r="D8239" s="68"/>
      <c r="E8239" s="10"/>
      <c r="F8239" s="69"/>
      <c r="G8239" s="68"/>
      <c r="H8239" s="70"/>
      <c r="BA8239" s="4"/>
      <c r="BB8239" s="4"/>
    </row>
    <row r="8240" spans="1:54" x14ac:dyDescent="0.3">
      <c r="A8240" s="66"/>
      <c r="B8240" s="67"/>
      <c r="C8240" s="66"/>
      <c r="D8240" s="68"/>
      <c r="E8240" s="10"/>
      <c r="F8240" s="69"/>
      <c r="G8240" s="68"/>
      <c r="H8240" s="70"/>
      <c r="BA8240" s="4"/>
      <c r="BB8240" s="4"/>
    </row>
    <row r="8241" spans="1:54" x14ac:dyDescent="0.3">
      <c r="A8241" s="66"/>
      <c r="B8241" s="67"/>
      <c r="C8241" s="66"/>
      <c r="D8241" s="68"/>
      <c r="E8241" s="10"/>
      <c r="F8241" s="69"/>
      <c r="G8241" s="68"/>
      <c r="H8241" s="70"/>
      <c r="BA8241" s="4"/>
      <c r="BB8241" s="4"/>
    </row>
    <row r="8242" spans="1:54" x14ac:dyDescent="0.3">
      <c r="A8242" s="66"/>
      <c r="B8242" s="67"/>
      <c r="C8242" s="66"/>
      <c r="D8242" s="68"/>
      <c r="E8242" s="10"/>
      <c r="F8242" s="69"/>
      <c r="G8242" s="68"/>
      <c r="H8242" s="70"/>
      <c r="BA8242" s="4"/>
      <c r="BB8242" s="4"/>
    </row>
    <row r="8243" spans="1:54" x14ac:dyDescent="0.3">
      <c r="A8243" s="66"/>
      <c r="B8243" s="67"/>
      <c r="C8243" s="66"/>
      <c r="D8243" s="68"/>
      <c r="E8243" s="10"/>
      <c r="F8243" s="69"/>
      <c r="G8243" s="68"/>
      <c r="H8243" s="70"/>
      <c r="BA8243" s="4"/>
      <c r="BB8243" s="4"/>
    </row>
    <row r="8244" spans="1:54" x14ac:dyDescent="0.3">
      <c r="A8244" s="66"/>
      <c r="B8244" s="67"/>
      <c r="C8244" s="66"/>
      <c r="D8244" s="68"/>
      <c r="E8244" s="10"/>
      <c r="F8244" s="69"/>
      <c r="G8244" s="68"/>
      <c r="H8244" s="70"/>
      <c r="BA8244" s="4"/>
      <c r="BB8244" s="4"/>
    </row>
    <row r="8245" spans="1:54" x14ac:dyDescent="0.3">
      <c r="A8245" s="66"/>
      <c r="B8245" s="67"/>
      <c r="C8245" s="66"/>
      <c r="D8245" s="68"/>
      <c r="E8245" s="10"/>
      <c r="F8245" s="69"/>
      <c r="G8245" s="68"/>
      <c r="H8245" s="70"/>
      <c r="BA8245" s="4"/>
      <c r="BB8245" s="4"/>
    </row>
    <row r="8246" spans="1:54" x14ac:dyDescent="0.3">
      <c r="A8246" s="66"/>
      <c r="B8246" s="67"/>
      <c r="C8246" s="66"/>
      <c r="D8246" s="68"/>
      <c r="E8246" s="10"/>
      <c r="F8246" s="69"/>
      <c r="G8246" s="68"/>
      <c r="H8246" s="70"/>
      <c r="BA8246" s="4"/>
      <c r="BB8246" s="4"/>
    </row>
    <row r="8247" spans="1:54" x14ac:dyDescent="0.3">
      <c r="A8247" s="66"/>
      <c r="B8247" s="67"/>
      <c r="C8247" s="66"/>
      <c r="D8247" s="68"/>
      <c r="E8247" s="10"/>
      <c r="F8247" s="69"/>
      <c r="G8247" s="68"/>
      <c r="H8247" s="70"/>
      <c r="BA8247" s="4"/>
      <c r="BB8247" s="4"/>
    </row>
    <row r="8248" spans="1:54" x14ac:dyDescent="0.3">
      <c r="A8248" s="66"/>
      <c r="B8248" s="67"/>
      <c r="C8248" s="66"/>
      <c r="D8248" s="68"/>
      <c r="E8248" s="10"/>
      <c r="F8248" s="69"/>
      <c r="G8248" s="68"/>
      <c r="H8248" s="70"/>
      <c r="BA8248" s="4"/>
      <c r="BB8248" s="4"/>
    </row>
    <row r="8249" spans="1:54" x14ac:dyDescent="0.3">
      <c r="A8249" s="66"/>
      <c r="B8249" s="67"/>
      <c r="C8249" s="66"/>
      <c r="D8249" s="68"/>
      <c r="E8249" s="10"/>
      <c r="F8249" s="69"/>
      <c r="G8249" s="68"/>
      <c r="H8249" s="70"/>
      <c r="BA8249" s="4"/>
      <c r="BB8249" s="4"/>
    </row>
    <row r="8250" spans="1:54" x14ac:dyDescent="0.3">
      <c r="A8250" s="66"/>
      <c r="B8250" s="67"/>
      <c r="C8250" s="66"/>
      <c r="D8250" s="68"/>
      <c r="E8250" s="10"/>
      <c r="F8250" s="69"/>
      <c r="G8250" s="68"/>
      <c r="H8250" s="70"/>
      <c r="BA8250" s="4"/>
      <c r="BB8250" s="4"/>
    </row>
    <row r="8251" spans="1:54" x14ac:dyDescent="0.3">
      <c r="A8251" s="66"/>
      <c r="B8251" s="67"/>
      <c r="C8251" s="66"/>
      <c r="D8251" s="68"/>
      <c r="E8251" s="10"/>
      <c r="F8251" s="69"/>
      <c r="G8251" s="68"/>
      <c r="H8251" s="70"/>
      <c r="BA8251" s="4"/>
      <c r="BB8251" s="4"/>
    </row>
    <row r="8252" spans="1:54" x14ac:dyDescent="0.3">
      <c r="A8252" s="66"/>
      <c r="B8252" s="67"/>
      <c r="C8252" s="66"/>
      <c r="D8252" s="68"/>
      <c r="E8252" s="10"/>
      <c r="F8252" s="69"/>
      <c r="G8252" s="68"/>
      <c r="H8252" s="70"/>
      <c r="BA8252" s="4"/>
      <c r="BB8252" s="4"/>
    </row>
    <row r="8253" spans="1:54" x14ac:dyDescent="0.3">
      <c r="A8253" s="66"/>
      <c r="B8253" s="67"/>
      <c r="C8253" s="66"/>
      <c r="D8253" s="68"/>
      <c r="E8253" s="10"/>
      <c r="F8253" s="69"/>
      <c r="G8253" s="68"/>
      <c r="H8253" s="70"/>
      <c r="BA8253" s="4"/>
      <c r="BB8253" s="4"/>
    </row>
    <row r="8254" spans="1:54" x14ac:dyDescent="0.3">
      <c r="A8254" s="66"/>
      <c r="B8254" s="67"/>
      <c r="C8254" s="66"/>
      <c r="D8254" s="68"/>
      <c r="E8254" s="10"/>
      <c r="F8254" s="69"/>
      <c r="G8254" s="68"/>
      <c r="H8254" s="70"/>
      <c r="BA8254" s="4"/>
      <c r="BB8254" s="4"/>
    </row>
    <row r="8255" spans="1:54" x14ac:dyDescent="0.3">
      <c r="A8255" s="66"/>
      <c r="B8255" s="67"/>
      <c r="C8255" s="66"/>
      <c r="D8255" s="68"/>
      <c r="E8255" s="10"/>
      <c r="F8255" s="69"/>
      <c r="G8255" s="68"/>
      <c r="H8255" s="70"/>
      <c r="BA8255" s="4"/>
      <c r="BB8255" s="4"/>
    </row>
    <row r="8256" spans="1:54" x14ac:dyDescent="0.3">
      <c r="A8256" s="66"/>
      <c r="B8256" s="67"/>
      <c r="C8256" s="66"/>
      <c r="D8256" s="68"/>
      <c r="E8256" s="10"/>
      <c r="F8256" s="69"/>
      <c r="G8256" s="68"/>
      <c r="H8256" s="70"/>
      <c r="BA8256" s="4"/>
      <c r="BB8256" s="4"/>
    </row>
    <row r="8257" spans="1:54" x14ac:dyDescent="0.3">
      <c r="A8257" s="66"/>
      <c r="B8257" s="67"/>
      <c r="C8257" s="66"/>
      <c r="D8257" s="68"/>
      <c r="E8257" s="10"/>
      <c r="F8257" s="69"/>
      <c r="G8257" s="68"/>
      <c r="H8257" s="70"/>
      <c r="BA8257" s="4"/>
      <c r="BB8257" s="4"/>
    </row>
    <row r="8258" spans="1:54" x14ac:dyDescent="0.3">
      <c r="A8258" s="66"/>
      <c r="B8258" s="67"/>
      <c r="C8258" s="66"/>
      <c r="D8258" s="68"/>
      <c r="E8258" s="10"/>
      <c r="F8258" s="69"/>
      <c r="G8258" s="68"/>
      <c r="H8258" s="70"/>
      <c r="BA8258" s="4"/>
      <c r="BB8258" s="4"/>
    </row>
    <row r="8259" spans="1:54" x14ac:dyDescent="0.3">
      <c r="A8259" s="66"/>
      <c r="B8259" s="67"/>
      <c r="C8259" s="66"/>
      <c r="D8259" s="68"/>
      <c r="E8259" s="10"/>
      <c r="F8259" s="69"/>
      <c r="G8259" s="68"/>
      <c r="H8259" s="70"/>
      <c r="BA8259" s="4"/>
      <c r="BB8259" s="4"/>
    </row>
    <row r="8260" spans="1:54" x14ac:dyDescent="0.3">
      <c r="A8260" s="66"/>
      <c r="B8260" s="67"/>
      <c r="C8260" s="66"/>
      <c r="D8260" s="68"/>
      <c r="E8260" s="10"/>
      <c r="F8260" s="69"/>
      <c r="G8260" s="68"/>
      <c r="H8260" s="70"/>
      <c r="BA8260" s="4"/>
      <c r="BB8260" s="4"/>
    </row>
    <row r="8261" spans="1:54" x14ac:dyDescent="0.3">
      <c r="A8261" s="66"/>
      <c r="B8261" s="67"/>
      <c r="C8261" s="66"/>
      <c r="D8261" s="68"/>
      <c r="E8261" s="10"/>
      <c r="F8261" s="69"/>
      <c r="G8261" s="68"/>
      <c r="H8261" s="70"/>
      <c r="BA8261" s="4"/>
      <c r="BB8261" s="4"/>
    </row>
    <row r="8262" spans="1:54" x14ac:dyDescent="0.3">
      <c r="A8262" s="66"/>
      <c r="B8262" s="67"/>
      <c r="C8262" s="66"/>
      <c r="D8262" s="68"/>
      <c r="E8262" s="10"/>
      <c r="F8262" s="69"/>
      <c r="G8262" s="68"/>
      <c r="H8262" s="70"/>
      <c r="BA8262" s="4"/>
      <c r="BB8262" s="4"/>
    </row>
    <row r="8263" spans="1:54" x14ac:dyDescent="0.3">
      <c r="A8263" s="66"/>
      <c r="B8263" s="67"/>
      <c r="C8263" s="66"/>
      <c r="D8263" s="68"/>
      <c r="E8263" s="10"/>
      <c r="F8263" s="69"/>
      <c r="G8263" s="68"/>
      <c r="H8263" s="70"/>
      <c r="BA8263" s="4"/>
      <c r="BB8263" s="4"/>
    </row>
    <row r="8264" spans="1:54" x14ac:dyDescent="0.3">
      <c r="A8264" s="66"/>
      <c r="B8264" s="67"/>
      <c r="C8264" s="66"/>
      <c r="D8264" s="68"/>
      <c r="E8264" s="10"/>
      <c r="F8264" s="69"/>
      <c r="G8264" s="68"/>
      <c r="H8264" s="70"/>
      <c r="BA8264" s="4"/>
      <c r="BB8264" s="4"/>
    </row>
    <row r="8265" spans="1:54" x14ac:dyDescent="0.3">
      <c r="A8265" s="66"/>
      <c r="B8265" s="67"/>
      <c r="C8265" s="66"/>
      <c r="D8265" s="68"/>
      <c r="E8265" s="10"/>
      <c r="F8265" s="69"/>
      <c r="G8265" s="68"/>
      <c r="H8265" s="70"/>
      <c r="BA8265" s="4"/>
      <c r="BB8265" s="4"/>
    </row>
    <row r="8266" spans="1:54" x14ac:dyDescent="0.3">
      <c r="A8266" s="66"/>
      <c r="B8266" s="67"/>
      <c r="C8266" s="66"/>
      <c r="D8266" s="68"/>
      <c r="E8266" s="10"/>
      <c r="F8266" s="69"/>
      <c r="G8266" s="68"/>
      <c r="H8266" s="70"/>
      <c r="BA8266" s="4"/>
      <c r="BB8266" s="4"/>
    </row>
    <row r="8267" spans="1:54" x14ac:dyDescent="0.3">
      <c r="A8267" s="66"/>
      <c r="B8267" s="67"/>
      <c r="C8267" s="66"/>
      <c r="D8267" s="68"/>
      <c r="E8267" s="10"/>
      <c r="F8267" s="69"/>
      <c r="G8267" s="68"/>
      <c r="H8267" s="70"/>
      <c r="BA8267" s="4"/>
      <c r="BB8267" s="4"/>
    </row>
    <row r="8268" spans="1:54" x14ac:dyDescent="0.3">
      <c r="A8268" s="66"/>
      <c r="B8268" s="67"/>
      <c r="C8268" s="66"/>
      <c r="D8268" s="68"/>
      <c r="E8268" s="10"/>
      <c r="F8268" s="69"/>
      <c r="G8268" s="68"/>
      <c r="H8268" s="70"/>
      <c r="BA8268" s="4"/>
      <c r="BB8268" s="4"/>
    </row>
    <row r="8269" spans="1:54" x14ac:dyDescent="0.3">
      <c r="A8269" s="66"/>
      <c r="B8269" s="67"/>
      <c r="C8269" s="66"/>
      <c r="D8269" s="68"/>
      <c r="E8269" s="10"/>
      <c r="F8269" s="69"/>
      <c r="G8269" s="68"/>
      <c r="H8269" s="70"/>
      <c r="BA8269" s="4"/>
      <c r="BB8269" s="4"/>
    </row>
    <row r="8270" spans="1:54" x14ac:dyDescent="0.3">
      <c r="A8270" s="66"/>
      <c r="B8270" s="67"/>
      <c r="C8270" s="66"/>
      <c r="D8270" s="68"/>
      <c r="E8270" s="10"/>
      <c r="F8270" s="69"/>
      <c r="G8270" s="68"/>
      <c r="H8270" s="70"/>
      <c r="BA8270" s="4"/>
      <c r="BB8270" s="4"/>
    </row>
    <row r="8271" spans="1:54" x14ac:dyDescent="0.3">
      <c r="A8271" s="66"/>
      <c r="B8271" s="67"/>
      <c r="C8271" s="66"/>
      <c r="D8271" s="68"/>
      <c r="E8271" s="10"/>
      <c r="F8271" s="69"/>
      <c r="G8271" s="68"/>
      <c r="H8271" s="70"/>
      <c r="BA8271" s="4"/>
      <c r="BB8271" s="4"/>
    </row>
    <row r="8272" spans="1:54" x14ac:dyDescent="0.3">
      <c r="A8272" s="66"/>
      <c r="B8272" s="67"/>
      <c r="C8272" s="66"/>
      <c r="D8272" s="68"/>
      <c r="E8272" s="10"/>
      <c r="F8272" s="69"/>
      <c r="G8272" s="68"/>
      <c r="H8272" s="70"/>
      <c r="BA8272" s="4"/>
      <c r="BB8272" s="4"/>
    </row>
    <row r="8273" spans="1:54" x14ac:dyDescent="0.3">
      <c r="A8273" s="66"/>
      <c r="B8273" s="67"/>
      <c r="C8273" s="66"/>
      <c r="D8273" s="68"/>
      <c r="E8273" s="10"/>
      <c r="F8273" s="69"/>
      <c r="G8273" s="68"/>
      <c r="H8273" s="70"/>
      <c r="BA8273" s="4"/>
      <c r="BB8273" s="4"/>
    </row>
    <row r="8274" spans="1:54" x14ac:dyDescent="0.3">
      <c r="A8274" s="66"/>
      <c r="B8274" s="67"/>
      <c r="C8274" s="66"/>
      <c r="D8274" s="68"/>
      <c r="E8274" s="10"/>
      <c r="F8274" s="69"/>
      <c r="G8274" s="68"/>
      <c r="H8274" s="70"/>
      <c r="BA8274" s="4"/>
      <c r="BB8274" s="4"/>
    </row>
    <row r="8275" spans="1:54" x14ac:dyDescent="0.3">
      <c r="A8275" s="66"/>
      <c r="B8275" s="67"/>
      <c r="C8275" s="66"/>
      <c r="D8275" s="68"/>
      <c r="E8275" s="10"/>
      <c r="F8275" s="69"/>
      <c r="G8275" s="68"/>
      <c r="H8275" s="70"/>
      <c r="BA8275" s="4"/>
      <c r="BB8275" s="4"/>
    </row>
    <row r="8276" spans="1:54" x14ac:dyDescent="0.3">
      <c r="A8276" s="66"/>
      <c r="B8276" s="67"/>
      <c r="C8276" s="66"/>
      <c r="D8276" s="68"/>
      <c r="E8276" s="10"/>
      <c r="F8276" s="69"/>
      <c r="G8276" s="68"/>
      <c r="H8276" s="70"/>
      <c r="BA8276" s="4"/>
      <c r="BB8276" s="4"/>
    </row>
    <row r="8277" spans="1:54" x14ac:dyDescent="0.3">
      <c r="A8277" s="66"/>
      <c r="B8277" s="67"/>
      <c r="C8277" s="66"/>
      <c r="D8277" s="68"/>
      <c r="E8277" s="10"/>
      <c r="F8277" s="69"/>
      <c r="G8277" s="68"/>
      <c r="H8277" s="70"/>
      <c r="BA8277" s="4"/>
      <c r="BB8277" s="4"/>
    </row>
    <row r="8278" spans="1:54" x14ac:dyDescent="0.3">
      <c r="A8278" s="66"/>
      <c r="B8278" s="67"/>
      <c r="C8278" s="66"/>
      <c r="D8278" s="68"/>
      <c r="E8278" s="10"/>
      <c r="F8278" s="69"/>
      <c r="G8278" s="68"/>
      <c r="H8278" s="70"/>
      <c r="BA8278" s="4"/>
      <c r="BB8278" s="4"/>
    </row>
    <row r="8279" spans="1:54" x14ac:dyDescent="0.3">
      <c r="A8279" s="66"/>
      <c r="B8279" s="67"/>
      <c r="C8279" s="66"/>
      <c r="D8279" s="68"/>
      <c r="E8279" s="10"/>
      <c r="F8279" s="69"/>
      <c r="G8279" s="68"/>
      <c r="H8279" s="70"/>
      <c r="BA8279" s="4"/>
      <c r="BB8279" s="4"/>
    </row>
    <row r="8280" spans="1:54" x14ac:dyDescent="0.3">
      <c r="A8280" s="66"/>
      <c r="B8280" s="67"/>
      <c r="C8280" s="66"/>
      <c r="D8280" s="68"/>
      <c r="E8280" s="10"/>
      <c r="F8280" s="69"/>
      <c r="G8280" s="68"/>
      <c r="H8280" s="70"/>
      <c r="BA8280" s="4"/>
      <c r="BB8280" s="4"/>
    </row>
    <row r="8281" spans="1:54" x14ac:dyDescent="0.3">
      <c r="A8281" s="66"/>
      <c r="B8281" s="67"/>
      <c r="C8281" s="66"/>
      <c r="D8281" s="68"/>
      <c r="E8281" s="10"/>
      <c r="F8281" s="69"/>
      <c r="G8281" s="68"/>
      <c r="H8281" s="70"/>
      <c r="BA8281" s="4"/>
      <c r="BB8281" s="4"/>
    </row>
    <row r="8282" spans="1:54" x14ac:dyDescent="0.3">
      <c r="A8282" s="66"/>
      <c r="B8282" s="67"/>
      <c r="C8282" s="66"/>
      <c r="D8282" s="68"/>
      <c r="E8282" s="10"/>
      <c r="F8282" s="69"/>
      <c r="G8282" s="68"/>
      <c r="H8282" s="70"/>
      <c r="BA8282" s="4"/>
      <c r="BB8282" s="4"/>
    </row>
    <row r="8283" spans="1:54" x14ac:dyDescent="0.3">
      <c r="A8283" s="66"/>
      <c r="B8283" s="67"/>
      <c r="C8283" s="66"/>
      <c r="D8283" s="68"/>
      <c r="E8283" s="10"/>
      <c r="F8283" s="69"/>
      <c r="G8283" s="68"/>
      <c r="H8283" s="70"/>
      <c r="BA8283" s="4"/>
      <c r="BB8283" s="4"/>
    </row>
    <row r="8284" spans="1:54" x14ac:dyDescent="0.3">
      <c r="A8284" s="66"/>
      <c r="B8284" s="67"/>
      <c r="C8284" s="66"/>
      <c r="D8284" s="68"/>
      <c r="E8284" s="10"/>
      <c r="F8284" s="69"/>
      <c r="G8284" s="68"/>
      <c r="H8284" s="70"/>
      <c r="BA8284" s="4"/>
      <c r="BB8284" s="4"/>
    </row>
    <row r="8285" spans="1:54" x14ac:dyDescent="0.3">
      <c r="A8285" s="66"/>
      <c r="B8285" s="67"/>
      <c r="C8285" s="66"/>
      <c r="D8285" s="68"/>
      <c r="E8285" s="10"/>
      <c r="F8285" s="69"/>
      <c r="G8285" s="68"/>
      <c r="H8285" s="70"/>
      <c r="BA8285" s="4"/>
      <c r="BB8285" s="4"/>
    </row>
    <row r="8286" spans="1:54" x14ac:dyDescent="0.3">
      <c r="A8286" s="66"/>
      <c r="B8286" s="67"/>
      <c r="C8286" s="66"/>
      <c r="D8286" s="68"/>
      <c r="E8286" s="10"/>
      <c r="F8286" s="69"/>
      <c r="G8286" s="68"/>
      <c r="H8286" s="70"/>
      <c r="BA8286" s="4"/>
      <c r="BB8286" s="4"/>
    </row>
    <row r="8287" spans="1:54" x14ac:dyDescent="0.3">
      <c r="A8287" s="66"/>
      <c r="B8287" s="67"/>
      <c r="C8287" s="66"/>
      <c r="D8287" s="68"/>
      <c r="E8287" s="10"/>
      <c r="F8287" s="69"/>
      <c r="G8287" s="68"/>
      <c r="H8287" s="70"/>
      <c r="BA8287" s="4"/>
      <c r="BB8287" s="4"/>
    </row>
    <row r="8288" spans="1:54" x14ac:dyDescent="0.3">
      <c r="A8288" s="66"/>
      <c r="B8288" s="67"/>
      <c r="C8288" s="66"/>
      <c r="D8288" s="68"/>
      <c r="E8288" s="10"/>
      <c r="F8288" s="69"/>
      <c r="G8288" s="68"/>
      <c r="H8288" s="70"/>
      <c r="BA8288" s="4"/>
      <c r="BB8288" s="4"/>
    </row>
    <row r="8289" spans="1:54" x14ac:dyDescent="0.3">
      <c r="A8289" s="66"/>
      <c r="B8289" s="67"/>
      <c r="C8289" s="66"/>
      <c r="D8289" s="68"/>
      <c r="E8289" s="10"/>
      <c r="F8289" s="69"/>
      <c r="G8289" s="68"/>
      <c r="H8289" s="70"/>
      <c r="BA8289" s="4"/>
      <c r="BB8289" s="4"/>
    </row>
    <row r="8290" spans="1:54" x14ac:dyDescent="0.3">
      <c r="A8290" s="66"/>
      <c r="B8290" s="67"/>
      <c r="C8290" s="66"/>
      <c r="D8290" s="68"/>
      <c r="E8290" s="10"/>
      <c r="F8290" s="69"/>
      <c r="G8290" s="68"/>
      <c r="H8290" s="70"/>
      <c r="BA8290" s="4"/>
      <c r="BB8290" s="4"/>
    </row>
    <row r="8291" spans="1:54" x14ac:dyDescent="0.3">
      <c r="A8291" s="66"/>
      <c r="B8291" s="67"/>
      <c r="C8291" s="66"/>
      <c r="D8291" s="68"/>
      <c r="E8291" s="10"/>
      <c r="F8291" s="69"/>
      <c r="G8291" s="68"/>
      <c r="H8291" s="70"/>
      <c r="BA8291" s="4"/>
      <c r="BB8291" s="4"/>
    </row>
    <row r="8292" spans="1:54" x14ac:dyDescent="0.3">
      <c r="A8292" s="66"/>
      <c r="B8292" s="67"/>
      <c r="C8292" s="66"/>
      <c r="D8292" s="68"/>
      <c r="E8292" s="10"/>
      <c r="F8292" s="69"/>
      <c r="G8292" s="68"/>
      <c r="H8292" s="70"/>
      <c r="BA8292" s="4"/>
      <c r="BB8292" s="4"/>
    </row>
    <row r="8293" spans="1:54" x14ac:dyDescent="0.3">
      <c r="A8293" s="66"/>
      <c r="B8293" s="67"/>
      <c r="C8293" s="66"/>
      <c r="D8293" s="68"/>
      <c r="E8293" s="10"/>
      <c r="F8293" s="69"/>
      <c r="G8293" s="68"/>
      <c r="H8293" s="70"/>
      <c r="BA8293" s="4"/>
      <c r="BB8293" s="4"/>
    </row>
    <row r="8294" spans="1:54" x14ac:dyDescent="0.3">
      <c r="A8294" s="66"/>
      <c r="B8294" s="67"/>
      <c r="C8294" s="66"/>
      <c r="D8294" s="68"/>
      <c r="E8294" s="10"/>
      <c r="F8294" s="69"/>
      <c r="G8294" s="68"/>
      <c r="H8294" s="70"/>
      <c r="BA8294" s="4"/>
      <c r="BB8294" s="4"/>
    </row>
    <row r="8295" spans="1:54" x14ac:dyDescent="0.3">
      <c r="A8295" s="66"/>
      <c r="B8295" s="67"/>
      <c r="C8295" s="66"/>
      <c r="D8295" s="68"/>
      <c r="E8295" s="10"/>
      <c r="F8295" s="69"/>
      <c r="G8295" s="68"/>
      <c r="H8295" s="70"/>
      <c r="BA8295" s="4"/>
      <c r="BB8295" s="4"/>
    </row>
    <row r="8296" spans="1:54" x14ac:dyDescent="0.3">
      <c r="A8296" s="66"/>
      <c r="B8296" s="67"/>
      <c r="C8296" s="66"/>
      <c r="D8296" s="68"/>
      <c r="E8296" s="10"/>
      <c r="F8296" s="69"/>
      <c r="G8296" s="68"/>
      <c r="H8296" s="70"/>
      <c r="BA8296" s="4"/>
      <c r="BB8296" s="4"/>
    </row>
    <row r="8297" spans="1:54" x14ac:dyDescent="0.3">
      <c r="A8297" s="66"/>
      <c r="B8297" s="67"/>
      <c r="C8297" s="66"/>
      <c r="D8297" s="68"/>
      <c r="E8297" s="10"/>
      <c r="F8297" s="69"/>
      <c r="G8297" s="68"/>
      <c r="H8297" s="70"/>
      <c r="BA8297" s="4"/>
      <c r="BB8297" s="4"/>
    </row>
    <row r="8298" spans="1:54" x14ac:dyDescent="0.3">
      <c r="A8298" s="66"/>
      <c r="B8298" s="67"/>
      <c r="C8298" s="66"/>
      <c r="D8298" s="68"/>
      <c r="E8298" s="10"/>
      <c r="F8298" s="69"/>
      <c r="G8298" s="68"/>
      <c r="H8298" s="70"/>
      <c r="BA8298" s="4"/>
      <c r="BB8298" s="4"/>
    </row>
    <row r="8299" spans="1:54" x14ac:dyDescent="0.3">
      <c r="A8299" s="66"/>
      <c r="B8299" s="67"/>
      <c r="C8299" s="66"/>
      <c r="D8299" s="68"/>
      <c r="E8299" s="10"/>
      <c r="F8299" s="69"/>
      <c r="G8299" s="68"/>
      <c r="H8299" s="70"/>
      <c r="BA8299" s="4"/>
      <c r="BB8299" s="4"/>
    </row>
    <row r="8300" spans="1:54" x14ac:dyDescent="0.3">
      <c r="A8300" s="66"/>
      <c r="B8300" s="67"/>
      <c r="C8300" s="66"/>
      <c r="D8300" s="68"/>
      <c r="E8300" s="10"/>
      <c r="F8300" s="69"/>
      <c r="G8300" s="68"/>
      <c r="H8300" s="70"/>
      <c r="BA8300" s="4"/>
      <c r="BB8300" s="4"/>
    </row>
    <row r="8301" spans="1:54" x14ac:dyDescent="0.3">
      <c r="A8301" s="66"/>
      <c r="B8301" s="67"/>
      <c r="C8301" s="66"/>
      <c r="D8301" s="68"/>
      <c r="E8301" s="10"/>
      <c r="F8301" s="69"/>
      <c r="G8301" s="68"/>
      <c r="H8301" s="70"/>
      <c r="BA8301" s="4"/>
      <c r="BB8301" s="4"/>
    </row>
    <row r="8302" spans="1:54" x14ac:dyDescent="0.3">
      <c r="A8302" s="66"/>
      <c r="B8302" s="67"/>
      <c r="C8302" s="66"/>
      <c r="D8302" s="68"/>
      <c r="E8302" s="10"/>
      <c r="F8302" s="69"/>
      <c r="G8302" s="68"/>
      <c r="H8302" s="70"/>
      <c r="BA8302" s="4"/>
      <c r="BB8302" s="4"/>
    </row>
    <row r="8303" spans="1:54" x14ac:dyDescent="0.3">
      <c r="A8303" s="66"/>
      <c r="B8303" s="67"/>
      <c r="C8303" s="66"/>
      <c r="D8303" s="68"/>
      <c r="E8303" s="10"/>
      <c r="F8303" s="69"/>
      <c r="G8303" s="68"/>
      <c r="H8303" s="70"/>
      <c r="BA8303" s="4"/>
      <c r="BB8303" s="4"/>
    </row>
    <row r="8304" spans="1:54" x14ac:dyDescent="0.3">
      <c r="A8304" s="66"/>
      <c r="B8304" s="67"/>
      <c r="C8304" s="66"/>
      <c r="D8304" s="68"/>
      <c r="E8304" s="10"/>
      <c r="F8304" s="69"/>
      <c r="G8304" s="68"/>
      <c r="H8304" s="70"/>
      <c r="BA8304" s="4"/>
      <c r="BB8304" s="4"/>
    </row>
    <row r="8305" spans="1:54" x14ac:dyDescent="0.3">
      <c r="A8305" s="66"/>
      <c r="B8305" s="67"/>
      <c r="C8305" s="66"/>
      <c r="D8305" s="68"/>
      <c r="E8305" s="10"/>
      <c r="F8305" s="69"/>
      <c r="G8305" s="68"/>
      <c r="H8305" s="70"/>
      <c r="BA8305" s="4"/>
      <c r="BB8305" s="4"/>
    </row>
    <row r="8306" spans="1:54" x14ac:dyDescent="0.3">
      <c r="A8306" s="66"/>
      <c r="B8306" s="67"/>
      <c r="C8306" s="66"/>
      <c r="D8306" s="68"/>
      <c r="E8306" s="10"/>
      <c r="F8306" s="69"/>
      <c r="G8306" s="68"/>
      <c r="H8306" s="70"/>
      <c r="BA8306" s="4"/>
      <c r="BB8306" s="4"/>
    </row>
    <row r="8307" spans="1:54" x14ac:dyDescent="0.3">
      <c r="A8307" s="66"/>
      <c r="B8307" s="67"/>
      <c r="C8307" s="66"/>
      <c r="D8307" s="68"/>
      <c r="E8307" s="10"/>
      <c r="F8307" s="69"/>
      <c r="G8307" s="68"/>
      <c r="H8307" s="70"/>
      <c r="BA8307" s="4"/>
      <c r="BB8307" s="4"/>
    </row>
    <row r="8308" spans="1:54" x14ac:dyDescent="0.3">
      <c r="A8308" s="66"/>
      <c r="B8308" s="67"/>
      <c r="C8308" s="66"/>
      <c r="D8308" s="68"/>
      <c r="E8308" s="10"/>
      <c r="F8308" s="69"/>
      <c r="G8308" s="68"/>
      <c r="H8308" s="70"/>
      <c r="BA8308" s="4"/>
      <c r="BB8308" s="4"/>
    </row>
    <row r="8309" spans="1:54" x14ac:dyDescent="0.3">
      <c r="A8309" s="66"/>
      <c r="B8309" s="67"/>
      <c r="C8309" s="66"/>
      <c r="D8309" s="68"/>
      <c r="E8309" s="10"/>
      <c r="F8309" s="69"/>
      <c r="G8309" s="68"/>
      <c r="H8309" s="70"/>
      <c r="BA8309" s="4"/>
      <c r="BB8309" s="4"/>
    </row>
    <row r="8310" spans="1:54" x14ac:dyDescent="0.3">
      <c r="A8310" s="66"/>
      <c r="B8310" s="67"/>
      <c r="C8310" s="66"/>
      <c r="D8310" s="68"/>
      <c r="E8310" s="10"/>
      <c r="F8310" s="69"/>
      <c r="G8310" s="68"/>
      <c r="H8310" s="70"/>
      <c r="BA8310" s="4"/>
      <c r="BB8310" s="4"/>
    </row>
    <row r="8311" spans="1:54" x14ac:dyDescent="0.3">
      <c r="A8311" s="66"/>
      <c r="B8311" s="67"/>
      <c r="C8311" s="66"/>
      <c r="D8311" s="68"/>
      <c r="E8311" s="10"/>
      <c r="F8311" s="69"/>
      <c r="G8311" s="68"/>
      <c r="H8311" s="70"/>
      <c r="BA8311" s="4"/>
      <c r="BB8311" s="4"/>
    </row>
    <row r="8312" spans="1:54" x14ac:dyDescent="0.3">
      <c r="A8312" s="66"/>
      <c r="B8312" s="67"/>
      <c r="C8312" s="66"/>
      <c r="D8312" s="68"/>
      <c r="E8312" s="10"/>
      <c r="F8312" s="69"/>
      <c r="G8312" s="68"/>
      <c r="H8312" s="70"/>
      <c r="BA8312" s="4"/>
      <c r="BB8312" s="4"/>
    </row>
    <row r="8313" spans="1:54" x14ac:dyDescent="0.3">
      <c r="A8313" s="66"/>
      <c r="B8313" s="67"/>
      <c r="C8313" s="66"/>
      <c r="D8313" s="68"/>
      <c r="E8313" s="10"/>
      <c r="F8313" s="69"/>
      <c r="G8313" s="68"/>
      <c r="H8313" s="70"/>
      <c r="BA8313" s="4"/>
      <c r="BB8313" s="4"/>
    </row>
    <row r="8314" spans="1:54" x14ac:dyDescent="0.3">
      <c r="A8314" s="66"/>
      <c r="B8314" s="67"/>
      <c r="C8314" s="66"/>
      <c r="D8314" s="68"/>
      <c r="E8314" s="10"/>
      <c r="F8314" s="69"/>
      <c r="G8314" s="68"/>
      <c r="H8314" s="70"/>
      <c r="BA8314" s="4"/>
      <c r="BB8314" s="4"/>
    </row>
    <row r="8315" spans="1:54" x14ac:dyDescent="0.3">
      <c r="A8315" s="66"/>
      <c r="B8315" s="67"/>
      <c r="C8315" s="66"/>
      <c r="D8315" s="68"/>
      <c r="E8315" s="10"/>
      <c r="F8315" s="69"/>
      <c r="G8315" s="68"/>
      <c r="H8315" s="70"/>
      <c r="BA8315" s="4"/>
      <c r="BB8315" s="4"/>
    </row>
    <row r="8316" spans="1:54" x14ac:dyDescent="0.3">
      <c r="A8316" s="66"/>
      <c r="B8316" s="67"/>
      <c r="C8316" s="66"/>
      <c r="D8316" s="68"/>
      <c r="E8316" s="10"/>
      <c r="F8316" s="69"/>
      <c r="G8316" s="68"/>
      <c r="H8316" s="70"/>
      <c r="BA8316" s="4"/>
      <c r="BB8316" s="4"/>
    </row>
    <row r="8317" spans="1:54" x14ac:dyDescent="0.3">
      <c r="A8317" s="66"/>
      <c r="B8317" s="67"/>
      <c r="C8317" s="66"/>
      <c r="D8317" s="68"/>
      <c r="E8317" s="10"/>
      <c r="F8317" s="69"/>
      <c r="G8317" s="68"/>
      <c r="H8317" s="70"/>
      <c r="BA8317" s="4"/>
      <c r="BB8317" s="4"/>
    </row>
    <row r="8318" spans="1:54" x14ac:dyDescent="0.3">
      <c r="A8318" s="66"/>
      <c r="B8318" s="67"/>
      <c r="C8318" s="66"/>
      <c r="D8318" s="68"/>
      <c r="E8318" s="10"/>
      <c r="F8318" s="69"/>
      <c r="G8318" s="68"/>
      <c r="H8318" s="70"/>
      <c r="BA8318" s="4"/>
      <c r="BB8318" s="4"/>
    </row>
    <row r="8319" spans="1:54" x14ac:dyDescent="0.3">
      <c r="A8319" s="66"/>
      <c r="B8319" s="67"/>
      <c r="C8319" s="66"/>
      <c r="D8319" s="68"/>
      <c r="E8319" s="10"/>
      <c r="F8319" s="69"/>
      <c r="G8319" s="68"/>
      <c r="H8319" s="70"/>
      <c r="BA8319" s="4"/>
      <c r="BB8319" s="4"/>
    </row>
    <row r="8320" spans="1:54" x14ac:dyDescent="0.3">
      <c r="A8320" s="66"/>
      <c r="B8320" s="67"/>
      <c r="C8320" s="66"/>
      <c r="D8320" s="68"/>
      <c r="E8320" s="10"/>
      <c r="F8320" s="69"/>
      <c r="G8320" s="68"/>
      <c r="H8320" s="70"/>
      <c r="BA8320" s="4"/>
      <c r="BB8320" s="4"/>
    </row>
    <row r="8321" spans="1:54" x14ac:dyDescent="0.3">
      <c r="A8321" s="66"/>
      <c r="B8321" s="67"/>
      <c r="C8321" s="66"/>
      <c r="D8321" s="68"/>
      <c r="E8321" s="10"/>
      <c r="F8321" s="69"/>
      <c r="G8321" s="68"/>
      <c r="H8321" s="70"/>
      <c r="BA8321" s="4"/>
      <c r="BB8321" s="4"/>
    </row>
    <row r="8322" spans="1:54" x14ac:dyDescent="0.3">
      <c r="A8322" s="66"/>
      <c r="B8322" s="67"/>
      <c r="C8322" s="66"/>
      <c r="D8322" s="68"/>
      <c r="E8322" s="10"/>
      <c r="F8322" s="69"/>
      <c r="G8322" s="68"/>
      <c r="H8322" s="70"/>
      <c r="BA8322" s="4"/>
      <c r="BB8322" s="4"/>
    </row>
    <row r="8323" spans="1:54" x14ac:dyDescent="0.3">
      <c r="A8323" s="66"/>
      <c r="B8323" s="67"/>
      <c r="C8323" s="66"/>
      <c r="D8323" s="68"/>
      <c r="E8323" s="10"/>
      <c r="F8323" s="69"/>
      <c r="G8323" s="68"/>
      <c r="H8323" s="70"/>
      <c r="BA8323" s="4"/>
      <c r="BB8323" s="4"/>
    </row>
    <row r="8324" spans="1:54" x14ac:dyDescent="0.3">
      <c r="A8324" s="66"/>
      <c r="B8324" s="67"/>
      <c r="C8324" s="66"/>
      <c r="D8324" s="68"/>
      <c r="E8324" s="10"/>
      <c r="F8324" s="69"/>
      <c r="G8324" s="68"/>
      <c r="H8324" s="70"/>
      <c r="BA8324" s="4"/>
      <c r="BB8324" s="4"/>
    </row>
    <row r="8325" spans="1:54" x14ac:dyDescent="0.3">
      <c r="A8325" s="66"/>
      <c r="B8325" s="67"/>
      <c r="C8325" s="66"/>
      <c r="D8325" s="68"/>
      <c r="E8325" s="10"/>
      <c r="F8325" s="69"/>
      <c r="G8325" s="68"/>
      <c r="H8325" s="70"/>
      <c r="BA8325" s="4"/>
      <c r="BB8325" s="4"/>
    </row>
    <row r="8326" spans="1:54" x14ac:dyDescent="0.3">
      <c r="A8326" s="66"/>
      <c r="B8326" s="67"/>
      <c r="C8326" s="66"/>
      <c r="D8326" s="68"/>
      <c r="E8326" s="10"/>
      <c r="F8326" s="69"/>
      <c r="G8326" s="68"/>
      <c r="H8326" s="70"/>
      <c r="BA8326" s="4"/>
      <c r="BB8326" s="4"/>
    </row>
    <row r="8327" spans="1:54" x14ac:dyDescent="0.3">
      <c r="A8327" s="66"/>
      <c r="B8327" s="67"/>
      <c r="C8327" s="66"/>
      <c r="D8327" s="68"/>
      <c r="E8327" s="10"/>
      <c r="F8327" s="69"/>
      <c r="G8327" s="68"/>
      <c r="H8327" s="70"/>
      <c r="BA8327" s="4"/>
      <c r="BB8327" s="4"/>
    </row>
    <row r="8328" spans="1:54" x14ac:dyDescent="0.3">
      <c r="A8328" s="66"/>
      <c r="B8328" s="67"/>
      <c r="C8328" s="66"/>
      <c r="D8328" s="68"/>
      <c r="E8328" s="10"/>
      <c r="F8328" s="69"/>
      <c r="G8328" s="68"/>
      <c r="H8328" s="70"/>
      <c r="BA8328" s="4"/>
      <c r="BB8328" s="4"/>
    </row>
    <row r="8329" spans="1:54" x14ac:dyDescent="0.3">
      <c r="A8329" s="66"/>
      <c r="B8329" s="67"/>
      <c r="C8329" s="66"/>
      <c r="D8329" s="68"/>
      <c r="E8329" s="10"/>
      <c r="F8329" s="69"/>
      <c r="G8329" s="68"/>
      <c r="H8329" s="70"/>
      <c r="BA8329" s="4"/>
      <c r="BB8329" s="4"/>
    </row>
    <row r="8330" spans="1:54" x14ac:dyDescent="0.3">
      <c r="A8330" s="66"/>
      <c r="B8330" s="67"/>
      <c r="C8330" s="66"/>
      <c r="D8330" s="68"/>
      <c r="E8330" s="10"/>
      <c r="F8330" s="69"/>
      <c r="G8330" s="68"/>
      <c r="H8330" s="70"/>
      <c r="BA8330" s="4"/>
      <c r="BB8330" s="4"/>
    </row>
    <row r="8331" spans="1:54" x14ac:dyDescent="0.3">
      <c r="A8331" s="66"/>
      <c r="B8331" s="67"/>
      <c r="C8331" s="66"/>
      <c r="D8331" s="68"/>
      <c r="E8331" s="10"/>
      <c r="F8331" s="69"/>
      <c r="G8331" s="68"/>
      <c r="H8331" s="70"/>
      <c r="BA8331" s="4"/>
      <c r="BB8331" s="4"/>
    </row>
    <row r="8332" spans="1:54" x14ac:dyDescent="0.3">
      <c r="A8332" s="66"/>
      <c r="B8332" s="67"/>
      <c r="C8332" s="66"/>
      <c r="D8332" s="68"/>
      <c r="E8332" s="10"/>
      <c r="F8332" s="69"/>
      <c r="G8332" s="68"/>
      <c r="H8332" s="70"/>
      <c r="BA8332" s="4"/>
      <c r="BB8332" s="4"/>
    </row>
    <row r="8333" spans="1:54" x14ac:dyDescent="0.3">
      <c r="A8333" s="66"/>
      <c r="B8333" s="67"/>
      <c r="C8333" s="66"/>
      <c r="D8333" s="68"/>
      <c r="E8333" s="10"/>
      <c r="F8333" s="69"/>
      <c r="G8333" s="68"/>
      <c r="H8333" s="70"/>
      <c r="BA8333" s="4"/>
      <c r="BB8333" s="4"/>
    </row>
    <row r="8334" spans="1:54" x14ac:dyDescent="0.3">
      <c r="A8334" s="66"/>
      <c r="B8334" s="67"/>
      <c r="C8334" s="66"/>
      <c r="D8334" s="68"/>
      <c r="E8334" s="10"/>
      <c r="F8334" s="69"/>
      <c r="G8334" s="68"/>
      <c r="H8334" s="70"/>
      <c r="BA8334" s="4"/>
      <c r="BB8334" s="4"/>
    </row>
    <row r="8335" spans="1:54" x14ac:dyDescent="0.3">
      <c r="A8335" s="66"/>
      <c r="B8335" s="67"/>
      <c r="C8335" s="66"/>
      <c r="D8335" s="68"/>
      <c r="E8335" s="10"/>
      <c r="F8335" s="69"/>
      <c r="G8335" s="68"/>
      <c r="H8335" s="70"/>
      <c r="BA8335" s="4"/>
      <c r="BB8335" s="4"/>
    </row>
    <row r="8336" spans="1:54" x14ac:dyDescent="0.3">
      <c r="A8336" s="66"/>
      <c r="B8336" s="67"/>
      <c r="C8336" s="66"/>
      <c r="D8336" s="68"/>
      <c r="E8336" s="10"/>
      <c r="F8336" s="69"/>
      <c r="G8336" s="68"/>
      <c r="H8336" s="70"/>
      <c r="BA8336" s="4"/>
      <c r="BB8336" s="4"/>
    </row>
    <row r="8337" spans="1:54" x14ac:dyDescent="0.3">
      <c r="A8337" s="66"/>
      <c r="B8337" s="67"/>
      <c r="C8337" s="66"/>
      <c r="D8337" s="68"/>
      <c r="E8337" s="10"/>
      <c r="F8337" s="69"/>
      <c r="G8337" s="68"/>
      <c r="H8337" s="70"/>
      <c r="BA8337" s="4"/>
      <c r="BB8337" s="4"/>
    </row>
    <row r="8338" spans="1:54" x14ac:dyDescent="0.3">
      <c r="A8338" s="66"/>
      <c r="B8338" s="67"/>
      <c r="C8338" s="66"/>
      <c r="D8338" s="68"/>
      <c r="E8338" s="10"/>
      <c r="F8338" s="69"/>
      <c r="G8338" s="68"/>
      <c r="H8338" s="70"/>
      <c r="BA8338" s="4"/>
      <c r="BB8338" s="4"/>
    </row>
    <row r="8339" spans="1:54" x14ac:dyDescent="0.3">
      <c r="A8339" s="66"/>
      <c r="B8339" s="67"/>
      <c r="C8339" s="66"/>
      <c r="D8339" s="68"/>
      <c r="E8339" s="10"/>
      <c r="F8339" s="69"/>
      <c r="G8339" s="68"/>
      <c r="H8339" s="70"/>
      <c r="BA8339" s="4"/>
      <c r="BB8339" s="4"/>
    </row>
    <row r="8340" spans="1:54" x14ac:dyDescent="0.3">
      <c r="A8340" s="66"/>
      <c r="B8340" s="67"/>
      <c r="C8340" s="66"/>
      <c r="D8340" s="68"/>
      <c r="E8340" s="10"/>
      <c r="F8340" s="69"/>
      <c r="G8340" s="68"/>
      <c r="H8340" s="70"/>
      <c r="BA8340" s="4"/>
      <c r="BB8340" s="4"/>
    </row>
    <row r="8341" spans="1:54" x14ac:dyDescent="0.3">
      <c r="A8341" s="66"/>
      <c r="B8341" s="67"/>
      <c r="C8341" s="66"/>
      <c r="D8341" s="68"/>
      <c r="E8341" s="10"/>
      <c r="F8341" s="69"/>
      <c r="G8341" s="68"/>
      <c r="H8341" s="70"/>
      <c r="BA8341" s="4"/>
      <c r="BB8341" s="4"/>
    </row>
    <row r="8342" spans="1:54" x14ac:dyDescent="0.3">
      <c r="A8342" s="66"/>
      <c r="B8342" s="67"/>
      <c r="C8342" s="66"/>
      <c r="D8342" s="68"/>
      <c r="E8342" s="10"/>
      <c r="F8342" s="69"/>
      <c r="G8342" s="68"/>
      <c r="H8342" s="70"/>
      <c r="BA8342" s="4"/>
      <c r="BB8342" s="4"/>
    </row>
    <row r="8343" spans="1:54" x14ac:dyDescent="0.3">
      <c r="A8343" s="66"/>
      <c r="B8343" s="67"/>
      <c r="C8343" s="66"/>
      <c r="D8343" s="68"/>
      <c r="E8343" s="10"/>
      <c r="F8343" s="69"/>
      <c r="G8343" s="68"/>
      <c r="H8343" s="70"/>
      <c r="BA8343" s="4"/>
      <c r="BB8343" s="4"/>
    </row>
    <row r="8344" spans="1:54" x14ac:dyDescent="0.3">
      <c r="A8344" s="66"/>
      <c r="B8344" s="67"/>
      <c r="C8344" s="66"/>
      <c r="D8344" s="68"/>
      <c r="E8344" s="10"/>
      <c r="F8344" s="69"/>
      <c r="G8344" s="68"/>
      <c r="H8344" s="70"/>
      <c r="BA8344" s="4"/>
      <c r="BB8344" s="4"/>
    </row>
    <row r="8345" spans="1:54" x14ac:dyDescent="0.3">
      <c r="A8345" s="66"/>
      <c r="B8345" s="67"/>
      <c r="C8345" s="66"/>
      <c r="D8345" s="68"/>
      <c r="E8345" s="10"/>
      <c r="F8345" s="69"/>
      <c r="G8345" s="68"/>
      <c r="H8345" s="70"/>
      <c r="BA8345" s="4"/>
      <c r="BB8345" s="4"/>
    </row>
    <row r="8346" spans="1:54" x14ac:dyDescent="0.3">
      <c r="A8346" s="66"/>
      <c r="B8346" s="67"/>
      <c r="C8346" s="66"/>
      <c r="D8346" s="68"/>
      <c r="E8346" s="10"/>
      <c r="F8346" s="69"/>
      <c r="G8346" s="68"/>
      <c r="H8346" s="70"/>
      <c r="BA8346" s="4"/>
      <c r="BB8346" s="4"/>
    </row>
    <row r="8347" spans="1:54" x14ac:dyDescent="0.3">
      <c r="A8347" s="66"/>
      <c r="B8347" s="67"/>
      <c r="C8347" s="66"/>
      <c r="D8347" s="68"/>
      <c r="E8347" s="10"/>
      <c r="F8347" s="69"/>
      <c r="G8347" s="68"/>
      <c r="H8347" s="70"/>
      <c r="BA8347" s="4"/>
      <c r="BB8347" s="4"/>
    </row>
    <row r="8348" spans="1:54" x14ac:dyDescent="0.3">
      <c r="A8348" s="66"/>
      <c r="B8348" s="67"/>
      <c r="C8348" s="66"/>
      <c r="D8348" s="68"/>
      <c r="E8348" s="10"/>
      <c r="F8348" s="69"/>
      <c r="G8348" s="68"/>
      <c r="H8348" s="70"/>
      <c r="BA8348" s="4"/>
      <c r="BB8348" s="4"/>
    </row>
    <row r="8349" spans="1:54" x14ac:dyDescent="0.3">
      <c r="A8349" s="66"/>
      <c r="B8349" s="67"/>
      <c r="C8349" s="66"/>
      <c r="D8349" s="68"/>
      <c r="E8349" s="10"/>
      <c r="F8349" s="69"/>
      <c r="G8349" s="68"/>
      <c r="H8349" s="70"/>
      <c r="BA8349" s="4"/>
      <c r="BB8349" s="4"/>
    </row>
    <row r="8350" spans="1:54" x14ac:dyDescent="0.3">
      <c r="A8350" s="66"/>
      <c r="B8350" s="67"/>
      <c r="C8350" s="66"/>
      <c r="D8350" s="68"/>
      <c r="E8350" s="10"/>
      <c r="F8350" s="69"/>
      <c r="G8350" s="68"/>
      <c r="H8350" s="70"/>
      <c r="BA8350" s="4"/>
      <c r="BB8350" s="4"/>
    </row>
    <row r="8351" spans="1:54" x14ac:dyDescent="0.3">
      <c r="A8351" s="66"/>
      <c r="B8351" s="67"/>
      <c r="C8351" s="66"/>
      <c r="D8351" s="68"/>
      <c r="E8351" s="10"/>
      <c r="F8351" s="69"/>
      <c r="G8351" s="68"/>
      <c r="H8351" s="70"/>
      <c r="BA8351" s="4"/>
      <c r="BB8351" s="4"/>
    </row>
    <row r="8352" spans="1:54" x14ac:dyDescent="0.3">
      <c r="A8352" s="66"/>
      <c r="B8352" s="67"/>
      <c r="C8352" s="66"/>
      <c r="D8352" s="68"/>
      <c r="E8352" s="10"/>
      <c r="F8352" s="69"/>
      <c r="G8352" s="68"/>
      <c r="H8352" s="70"/>
      <c r="BA8352" s="4"/>
      <c r="BB8352" s="4"/>
    </row>
    <row r="8353" spans="1:54" x14ac:dyDescent="0.3">
      <c r="A8353" s="66"/>
      <c r="B8353" s="67"/>
      <c r="C8353" s="66"/>
      <c r="D8353" s="68"/>
      <c r="E8353" s="10"/>
      <c r="F8353" s="69"/>
      <c r="G8353" s="68"/>
      <c r="H8353" s="70"/>
      <c r="BA8353" s="4"/>
      <c r="BB8353" s="4"/>
    </row>
    <row r="8354" spans="1:54" x14ac:dyDescent="0.3">
      <c r="A8354" s="66"/>
      <c r="B8354" s="67"/>
      <c r="C8354" s="66"/>
      <c r="D8354" s="68"/>
      <c r="E8354" s="10"/>
      <c r="F8354" s="69"/>
      <c r="G8354" s="68"/>
      <c r="H8354" s="70"/>
      <c r="BA8354" s="4"/>
      <c r="BB8354" s="4"/>
    </row>
    <row r="8355" spans="1:54" x14ac:dyDescent="0.3">
      <c r="A8355" s="66"/>
      <c r="B8355" s="67"/>
      <c r="C8355" s="66"/>
      <c r="D8355" s="68"/>
      <c r="E8355" s="10"/>
      <c r="F8355" s="69"/>
      <c r="G8355" s="68"/>
      <c r="H8355" s="70"/>
      <c r="BA8355" s="4"/>
      <c r="BB8355" s="4"/>
    </row>
    <row r="8356" spans="1:54" x14ac:dyDescent="0.3">
      <c r="A8356" s="66"/>
      <c r="B8356" s="67"/>
      <c r="C8356" s="66"/>
      <c r="D8356" s="68"/>
      <c r="E8356" s="10"/>
      <c r="F8356" s="69"/>
      <c r="G8356" s="68"/>
      <c r="H8356" s="70"/>
      <c r="BA8356" s="4"/>
      <c r="BB8356" s="4"/>
    </row>
    <row r="8357" spans="1:54" x14ac:dyDescent="0.3">
      <c r="A8357" s="66"/>
      <c r="B8357" s="67"/>
      <c r="C8357" s="66"/>
      <c r="D8357" s="68"/>
      <c r="E8357" s="10"/>
      <c r="F8357" s="69"/>
      <c r="G8357" s="68"/>
      <c r="H8357" s="70"/>
      <c r="BA8357" s="4"/>
      <c r="BB8357" s="4"/>
    </row>
    <row r="8358" spans="1:54" x14ac:dyDescent="0.3">
      <c r="A8358" s="66"/>
      <c r="B8358" s="67"/>
      <c r="C8358" s="66"/>
      <c r="D8358" s="68"/>
      <c r="E8358" s="10"/>
      <c r="F8358" s="69"/>
      <c r="G8358" s="68"/>
      <c r="H8358" s="70"/>
      <c r="BA8358" s="4"/>
      <c r="BB8358" s="4"/>
    </row>
    <row r="8359" spans="1:54" x14ac:dyDescent="0.3">
      <c r="A8359" s="66"/>
      <c r="B8359" s="67"/>
      <c r="C8359" s="66"/>
      <c r="D8359" s="68"/>
      <c r="E8359" s="10"/>
      <c r="F8359" s="69"/>
      <c r="G8359" s="68"/>
      <c r="H8359" s="70"/>
      <c r="BA8359" s="4"/>
      <c r="BB8359" s="4"/>
    </row>
    <row r="8360" spans="1:54" x14ac:dyDescent="0.3">
      <c r="A8360" s="66"/>
      <c r="B8360" s="67"/>
      <c r="C8360" s="66"/>
      <c r="D8360" s="68"/>
      <c r="E8360" s="10"/>
      <c r="F8360" s="69"/>
      <c r="G8360" s="68"/>
      <c r="H8360" s="70"/>
      <c r="BA8360" s="4"/>
      <c r="BB8360" s="4"/>
    </row>
    <row r="8361" spans="1:54" x14ac:dyDescent="0.3">
      <c r="A8361" s="66"/>
      <c r="B8361" s="67"/>
      <c r="C8361" s="66"/>
      <c r="D8361" s="68"/>
      <c r="E8361" s="10"/>
      <c r="F8361" s="69"/>
      <c r="G8361" s="68"/>
      <c r="H8361" s="70"/>
      <c r="BA8361" s="4"/>
      <c r="BB8361" s="4"/>
    </row>
    <row r="8362" spans="1:54" x14ac:dyDescent="0.3">
      <c r="A8362" s="66"/>
      <c r="B8362" s="67"/>
      <c r="C8362" s="66"/>
      <c r="D8362" s="68"/>
      <c r="E8362" s="10"/>
      <c r="F8362" s="69"/>
      <c r="G8362" s="68"/>
      <c r="H8362" s="70"/>
      <c r="BA8362" s="4"/>
      <c r="BB8362" s="4"/>
    </row>
    <row r="8363" spans="1:54" x14ac:dyDescent="0.3">
      <c r="A8363" s="66"/>
      <c r="B8363" s="67"/>
      <c r="C8363" s="66"/>
      <c r="D8363" s="68"/>
      <c r="E8363" s="10"/>
      <c r="F8363" s="69"/>
      <c r="G8363" s="68"/>
      <c r="H8363" s="70"/>
      <c r="BA8363" s="4"/>
      <c r="BB8363" s="4"/>
    </row>
    <row r="8364" spans="1:54" x14ac:dyDescent="0.3">
      <c r="A8364" s="66"/>
      <c r="B8364" s="67"/>
      <c r="C8364" s="66"/>
      <c r="D8364" s="68"/>
      <c r="E8364" s="10"/>
      <c r="F8364" s="69"/>
      <c r="G8364" s="68"/>
      <c r="H8364" s="70"/>
      <c r="BA8364" s="4"/>
      <c r="BB8364" s="4"/>
    </row>
    <row r="8365" spans="1:54" x14ac:dyDescent="0.3">
      <c r="A8365" s="66"/>
      <c r="B8365" s="67"/>
      <c r="C8365" s="66"/>
      <c r="D8365" s="68"/>
      <c r="E8365" s="10"/>
      <c r="F8365" s="69"/>
      <c r="G8365" s="68"/>
      <c r="H8365" s="70"/>
      <c r="BA8365" s="4"/>
      <c r="BB8365" s="4"/>
    </row>
    <row r="8366" spans="1:54" x14ac:dyDescent="0.3">
      <c r="A8366" s="66"/>
      <c r="B8366" s="67"/>
      <c r="C8366" s="66"/>
      <c r="D8366" s="68"/>
      <c r="E8366" s="10"/>
      <c r="F8366" s="69"/>
      <c r="G8366" s="68"/>
      <c r="H8366" s="70"/>
      <c r="BA8366" s="4"/>
      <c r="BB8366" s="4"/>
    </row>
    <row r="8367" spans="1:54" x14ac:dyDescent="0.3">
      <c r="A8367" s="66"/>
      <c r="B8367" s="67"/>
      <c r="C8367" s="66"/>
      <c r="D8367" s="68"/>
      <c r="E8367" s="10"/>
      <c r="F8367" s="69"/>
      <c r="G8367" s="68"/>
      <c r="H8367" s="70"/>
      <c r="BA8367" s="4"/>
      <c r="BB8367" s="4"/>
    </row>
    <row r="8368" spans="1:54" x14ac:dyDescent="0.3">
      <c r="A8368" s="66"/>
      <c r="B8368" s="67"/>
      <c r="C8368" s="66"/>
      <c r="D8368" s="68"/>
      <c r="E8368" s="10"/>
      <c r="F8368" s="69"/>
      <c r="G8368" s="68"/>
      <c r="H8368" s="70"/>
      <c r="BA8368" s="4"/>
      <c r="BB8368" s="4"/>
    </row>
    <row r="8369" spans="1:54" x14ac:dyDescent="0.3">
      <c r="A8369" s="66"/>
      <c r="B8369" s="67"/>
      <c r="C8369" s="66"/>
      <c r="D8369" s="68"/>
      <c r="E8369" s="10"/>
      <c r="F8369" s="69"/>
      <c r="G8369" s="68"/>
      <c r="H8369" s="70"/>
      <c r="BA8369" s="4"/>
      <c r="BB8369" s="4"/>
    </row>
    <row r="8370" spans="1:54" x14ac:dyDescent="0.3">
      <c r="A8370" s="66"/>
      <c r="B8370" s="67"/>
      <c r="C8370" s="66"/>
      <c r="D8370" s="68"/>
      <c r="E8370" s="10"/>
      <c r="F8370" s="69"/>
      <c r="G8370" s="68"/>
      <c r="H8370" s="70"/>
      <c r="BA8370" s="4"/>
      <c r="BB8370" s="4"/>
    </row>
    <row r="8371" spans="1:54" x14ac:dyDescent="0.3">
      <c r="A8371" s="66"/>
      <c r="B8371" s="67"/>
      <c r="C8371" s="66"/>
      <c r="D8371" s="68"/>
      <c r="E8371" s="10"/>
      <c r="F8371" s="69"/>
      <c r="G8371" s="68"/>
      <c r="H8371" s="70"/>
      <c r="BA8371" s="4"/>
      <c r="BB8371" s="4"/>
    </row>
    <row r="8372" spans="1:54" x14ac:dyDescent="0.3">
      <c r="A8372" s="66"/>
      <c r="B8372" s="67"/>
      <c r="C8372" s="66"/>
      <c r="D8372" s="68"/>
      <c r="E8372" s="10"/>
      <c r="F8372" s="69"/>
      <c r="G8372" s="68"/>
      <c r="H8372" s="70"/>
      <c r="BA8372" s="4"/>
      <c r="BB8372" s="4"/>
    </row>
    <row r="8373" spans="1:54" x14ac:dyDescent="0.3">
      <c r="A8373" s="66"/>
      <c r="B8373" s="67"/>
      <c r="C8373" s="66"/>
      <c r="D8373" s="68"/>
      <c r="E8373" s="10"/>
      <c r="F8373" s="69"/>
      <c r="G8373" s="68"/>
      <c r="H8373" s="70"/>
      <c r="BA8373" s="4"/>
      <c r="BB8373" s="4"/>
    </row>
    <row r="8374" spans="1:54" x14ac:dyDescent="0.3">
      <c r="A8374" s="66"/>
      <c r="B8374" s="67"/>
      <c r="C8374" s="66"/>
      <c r="D8374" s="68"/>
      <c r="E8374" s="10"/>
      <c r="F8374" s="69"/>
      <c r="G8374" s="68"/>
      <c r="H8374" s="70"/>
      <c r="BA8374" s="4"/>
      <c r="BB8374" s="4"/>
    </row>
    <row r="8375" spans="1:54" x14ac:dyDescent="0.3">
      <c r="A8375" s="66"/>
      <c r="B8375" s="67"/>
      <c r="C8375" s="66"/>
      <c r="D8375" s="68"/>
      <c r="E8375" s="10"/>
      <c r="F8375" s="69"/>
      <c r="G8375" s="68"/>
      <c r="H8375" s="70"/>
      <c r="BA8375" s="4"/>
      <c r="BB8375" s="4"/>
    </row>
    <row r="8376" spans="1:54" x14ac:dyDescent="0.3">
      <c r="A8376" s="66"/>
      <c r="B8376" s="67"/>
      <c r="C8376" s="66"/>
      <c r="D8376" s="68"/>
      <c r="E8376" s="10"/>
      <c r="F8376" s="69"/>
      <c r="G8376" s="68"/>
      <c r="H8376" s="70"/>
      <c r="BA8376" s="4"/>
      <c r="BB8376" s="4"/>
    </row>
    <row r="8377" spans="1:54" x14ac:dyDescent="0.3">
      <c r="A8377" s="66"/>
      <c r="B8377" s="67"/>
      <c r="C8377" s="66"/>
      <c r="D8377" s="68"/>
      <c r="E8377" s="10"/>
      <c r="F8377" s="69"/>
      <c r="G8377" s="68"/>
      <c r="H8377" s="70"/>
      <c r="BA8377" s="4"/>
      <c r="BB8377" s="4"/>
    </row>
    <row r="8378" spans="1:54" x14ac:dyDescent="0.3">
      <c r="A8378" s="66"/>
      <c r="B8378" s="67"/>
      <c r="C8378" s="66"/>
      <c r="D8378" s="68"/>
      <c r="E8378" s="10"/>
      <c r="F8378" s="69"/>
      <c r="G8378" s="68"/>
      <c r="H8378" s="70"/>
      <c r="BA8378" s="4"/>
      <c r="BB8378" s="4"/>
    </row>
    <row r="8379" spans="1:54" x14ac:dyDescent="0.3">
      <c r="A8379" s="66"/>
      <c r="B8379" s="67"/>
      <c r="C8379" s="66"/>
      <c r="D8379" s="68"/>
      <c r="E8379" s="10"/>
      <c r="F8379" s="69"/>
      <c r="G8379" s="68"/>
      <c r="H8379" s="70"/>
      <c r="BA8379" s="4"/>
      <c r="BB8379" s="4"/>
    </row>
    <row r="8380" spans="1:54" x14ac:dyDescent="0.3">
      <c r="A8380" s="66"/>
      <c r="B8380" s="67"/>
      <c r="C8380" s="66"/>
      <c r="D8380" s="68"/>
      <c r="E8380" s="10"/>
      <c r="F8380" s="69"/>
      <c r="G8380" s="68"/>
      <c r="H8380" s="70"/>
      <c r="BA8380" s="4"/>
      <c r="BB8380" s="4"/>
    </row>
    <row r="8381" spans="1:54" x14ac:dyDescent="0.3">
      <c r="A8381" s="66"/>
      <c r="B8381" s="67"/>
      <c r="C8381" s="66"/>
      <c r="D8381" s="68"/>
      <c r="E8381" s="10"/>
      <c r="F8381" s="69"/>
      <c r="G8381" s="68"/>
      <c r="H8381" s="70"/>
      <c r="BA8381" s="4"/>
      <c r="BB8381" s="4"/>
    </row>
    <row r="8382" spans="1:54" x14ac:dyDescent="0.3">
      <c r="A8382" s="66"/>
      <c r="B8382" s="67"/>
      <c r="C8382" s="66"/>
      <c r="D8382" s="68"/>
      <c r="E8382" s="10"/>
      <c r="F8382" s="69"/>
      <c r="G8382" s="68"/>
      <c r="H8382" s="70"/>
      <c r="BA8382" s="4"/>
      <c r="BB8382" s="4"/>
    </row>
    <row r="8383" spans="1:54" x14ac:dyDescent="0.3">
      <c r="A8383" s="66"/>
      <c r="B8383" s="67"/>
      <c r="C8383" s="66"/>
      <c r="D8383" s="68"/>
      <c r="E8383" s="10"/>
      <c r="F8383" s="69"/>
      <c r="G8383" s="68"/>
      <c r="H8383" s="70"/>
      <c r="BA8383" s="4"/>
      <c r="BB8383" s="4"/>
    </row>
    <row r="8384" spans="1:54" x14ac:dyDescent="0.3">
      <c r="A8384" s="66"/>
      <c r="B8384" s="67"/>
      <c r="C8384" s="66"/>
      <c r="D8384" s="68"/>
      <c r="E8384" s="10"/>
      <c r="F8384" s="69"/>
      <c r="G8384" s="68"/>
      <c r="H8384" s="70"/>
      <c r="BA8384" s="4"/>
      <c r="BB8384" s="4"/>
    </row>
    <row r="8385" spans="1:54" x14ac:dyDescent="0.3">
      <c r="A8385" s="66"/>
      <c r="B8385" s="67"/>
      <c r="C8385" s="66"/>
      <c r="D8385" s="68"/>
      <c r="E8385" s="10"/>
      <c r="F8385" s="69"/>
      <c r="G8385" s="68"/>
      <c r="H8385" s="70"/>
      <c r="BA8385" s="4"/>
      <c r="BB8385" s="4"/>
    </row>
    <row r="8386" spans="1:54" x14ac:dyDescent="0.3">
      <c r="A8386" s="66"/>
      <c r="B8386" s="67"/>
      <c r="C8386" s="66"/>
      <c r="D8386" s="68"/>
      <c r="E8386" s="10"/>
      <c r="F8386" s="69"/>
      <c r="G8386" s="68"/>
      <c r="H8386" s="70"/>
      <c r="BA8386" s="4"/>
      <c r="BB8386" s="4"/>
    </row>
    <row r="8387" spans="1:54" x14ac:dyDescent="0.3">
      <c r="A8387" s="66"/>
      <c r="B8387" s="67"/>
      <c r="C8387" s="66"/>
      <c r="D8387" s="68"/>
      <c r="E8387" s="10"/>
      <c r="F8387" s="69"/>
      <c r="G8387" s="68"/>
      <c r="H8387" s="70"/>
      <c r="BA8387" s="4"/>
      <c r="BB8387" s="4"/>
    </row>
    <row r="8388" spans="1:54" x14ac:dyDescent="0.3">
      <c r="A8388" s="66"/>
      <c r="B8388" s="67"/>
      <c r="C8388" s="66"/>
      <c r="D8388" s="68"/>
      <c r="E8388" s="10"/>
      <c r="F8388" s="69"/>
      <c r="G8388" s="68"/>
      <c r="H8388" s="70"/>
      <c r="BA8388" s="4"/>
      <c r="BB8388" s="4"/>
    </row>
    <row r="8389" spans="1:54" x14ac:dyDescent="0.3">
      <c r="A8389" s="66"/>
      <c r="B8389" s="67"/>
      <c r="C8389" s="66"/>
      <c r="D8389" s="68"/>
      <c r="E8389" s="10"/>
      <c r="F8389" s="69"/>
      <c r="G8389" s="68"/>
      <c r="H8389" s="70"/>
      <c r="BA8389" s="4"/>
      <c r="BB8389" s="4"/>
    </row>
    <row r="8390" spans="1:54" x14ac:dyDescent="0.3">
      <c r="A8390" s="66"/>
      <c r="B8390" s="67"/>
      <c r="C8390" s="66"/>
      <c r="D8390" s="68"/>
      <c r="E8390" s="10"/>
      <c r="F8390" s="69"/>
      <c r="G8390" s="68"/>
      <c r="H8390" s="70"/>
      <c r="BA8390" s="4"/>
      <c r="BB8390" s="4"/>
    </row>
    <row r="8391" spans="1:54" x14ac:dyDescent="0.3">
      <c r="A8391" s="66"/>
      <c r="B8391" s="67"/>
      <c r="C8391" s="66"/>
      <c r="D8391" s="68"/>
      <c r="E8391" s="10"/>
      <c r="F8391" s="69"/>
      <c r="G8391" s="68"/>
      <c r="H8391" s="70"/>
      <c r="BA8391" s="4"/>
      <c r="BB8391" s="4"/>
    </row>
    <row r="8392" spans="1:54" x14ac:dyDescent="0.3">
      <c r="A8392" s="66"/>
      <c r="B8392" s="67"/>
      <c r="C8392" s="66"/>
      <c r="D8392" s="68"/>
      <c r="E8392" s="10"/>
      <c r="F8392" s="69"/>
      <c r="G8392" s="68"/>
      <c r="H8392" s="70"/>
      <c r="BA8392" s="4"/>
      <c r="BB8392" s="4"/>
    </row>
    <row r="8393" spans="1:54" x14ac:dyDescent="0.3">
      <c r="A8393" s="66"/>
      <c r="B8393" s="67"/>
      <c r="C8393" s="66"/>
      <c r="D8393" s="68"/>
      <c r="E8393" s="10"/>
      <c r="F8393" s="69"/>
      <c r="G8393" s="68"/>
      <c r="H8393" s="70"/>
      <c r="BA8393" s="4"/>
      <c r="BB8393" s="4"/>
    </row>
    <row r="8394" spans="1:54" x14ac:dyDescent="0.3">
      <c r="A8394" s="66"/>
      <c r="B8394" s="67"/>
      <c r="C8394" s="66"/>
      <c r="D8394" s="68"/>
      <c r="E8394" s="10"/>
      <c r="F8394" s="69"/>
      <c r="G8394" s="68"/>
      <c r="H8394" s="70"/>
      <c r="BA8394" s="4"/>
      <c r="BB8394" s="4"/>
    </row>
    <row r="8395" spans="1:54" x14ac:dyDescent="0.3">
      <c r="A8395" s="66"/>
      <c r="B8395" s="67"/>
      <c r="C8395" s="66"/>
      <c r="D8395" s="68"/>
      <c r="E8395" s="10"/>
      <c r="F8395" s="69"/>
      <c r="G8395" s="68"/>
      <c r="H8395" s="70"/>
      <c r="BA8395" s="4"/>
      <c r="BB8395" s="4"/>
    </row>
    <row r="8396" spans="1:54" x14ac:dyDescent="0.3">
      <c r="A8396" s="66"/>
      <c r="B8396" s="67"/>
      <c r="C8396" s="66"/>
      <c r="D8396" s="68"/>
      <c r="E8396" s="10"/>
      <c r="F8396" s="69"/>
      <c r="G8396" s="68"/>
      <c r="H8396" s="70"/>
      <c r="BA8396" s="4"/>
      <c r="BB8396" s="4"/>
    </row>
    <row r="8397" spans="1:54" x14ac:dyDescent="0.3">
      <c r="A8397" s="66"/>
      <c r="B8397" s="67"/>
      <c r="C8397" s="66"/>
      <c r="D8397" s="68"/>
      <c r="E8397" s="10"/>
      <c r="F8397" s="69"/>
      <c r="G8397" s="68"/>
      <c r="H8397" s="70"/>
      <c r="BA8397" s="4"/>
      <c r="BB8397" s="4"/>
    </row>
    <row r="8398" spans="1:54" x14ac:dyDescent="0.3">
      <c r="A8398" s="66"/>
      <c r="B8398" s="67"/>
      <c r="C8398" s="66"/>
      <c r="D8398" s="68"/>
      <c r="E8398" s="10"/>
      <c r="F8398" s="69"/>
      <c r="G8398" s="68"/>
      <c r="H8398" s="70"/>
      <c r="BA8398" s="4"/>
      <c r="BB8398" s="4"/>
    </row>
    <row r="8399" spans="1:54" x14ac:dyDescent="0.3">
      <c r="A8399" s="66"/>
      <c r="B8399" s="67"/>
      <c r="C8399" s="66"/>
      <c r="D8399" s="68"/>
      <c r="E8399" s="10"/>
      <c r="F8399" s="69"/>
      <c r="G8399" s="68"/>
      <c r="H8399" s="70"/>
      <c r="BA8399" s="4"/>
      <c r="BB8399" s="4"/>
    </row>
    <row r="8400" spans="1:54" x14ac:dyDescent="0.3">
      <c r="A8400" s="66"/>
      <c r="B8400" s="67"/>
      <c r="C8400" s="66"/>
      <c r="D8400" s="68"/>
      <c r="E8400" s="10"/>
      <c r="F8400" s="69"/>
      <c r="G8400" s="68"/>
      <c r="H8400" s="70"/>
      <c r="BA8400" s="4"/>
      <c r="BB8400" s="4"/>
    </row>
    <row r="8401" spans="1:54" x14ac:dyDescent="0.3">
      <c r="A8401" s="66"/>
      <c r="B8401" s="67"/>
      <c r="C8401" s="66"/>
      <c r="D8401" s="68"/>
      <c r="E8401" s="10"/>
      <c r="F8401" s="69"/>
      <c r="G8401" s="68"/>
      <c r="H8401" s="70"/>
      <c r="BA8401" s="4"/>
      <c r="BB8401" s="4"/>
    </row>
    <row r="8402" spans="1:54" x14ac:dyDescent="0.3">
      <c r="A8402" s="66"/>
      <c r="B8402" s="67"/>
      <c r="C8402" s="66"/>
      <c r="D8402" s="68"/>
      <c r="E8402" s="10"/>
      <c r="F8402" s="69"/>
      <c r="G8402" s="68"/>
      <c r="H8402" s="70"/>
      <c r="BA8402" s="4"/>
      <c r="BB8402" s="4"/>
    </row>
    <row r="8403" spans="1:54" x14ac:dyDescent="0.3">
      <c r="A8403" s="66"/>
      <c r="B8403" s="67"/>
      <c r="C8403" s="66"/>
      <c r="D8403" s="68"/>
      <c r="E8403" s="10"/>
      <c r="F8403" s="69"/>
      <c r="G8403" s="68"/>
      <c r="H8403" s="70"/>
      <c r="BA8403" s="4"/>
      <c r="BB8403" s="4"/>
    </row>
    <row r="8404" spans="1:54" x14ac:dyDescent="0.3">
      <c r="A8404" s="66"/>
      <c r="B8404" s="67"/>
      <c r="C8404" s="66"/>
      <c r="D8404" s="68"/>
      <c r="E8404" s="10"/>
      <c r="F8404" s="69"/>
      <c r="G8404" s="68"/>
      <c r="H8404" s="70"/>
      <c r="BA8404" s="4"/>
      <c r="BB8404" s="4"/>
    </row>
    <row r="8405" spans="1:54" x14ac:dyDescent="0.3">
      <c r="A8405" s="66"/>
      <c r="B8405" s="67"/>
      <c r="C8405" s="66"/>
      <c r="D8405" s="68"/>
      <c r="E8405" s="10"/>
      <c r="F8405" s="69"/>
      <c r="G8405" s="68"/>
      <c r="H8405" s="70"/>
      <c r="BA8405" s="4"/>
      <c r="BB8405" s="4"/>
    </row>
    <row r="8406" spans="1:54" x14ac:dyDescent="0.3">
      <c r="A8406" s="66"/>
      <c r="B8406" s="67"/>
      <c r="C8406" s="66"/>
      <c r="D8406" s="68"/>
      <c r="E8406" s="10"/>
      <c r="F8406" s="69"/>
      <c r="G8406" s="68"/>
      <c r="H8406" s="70"/>
      <c r="BA8406" s="4"/>
      <c r="BB8406" s="4"/>
    </row>
    <row r="8407" spans="1:54" x14ac:dyDescent="0.3">
      <c r="A8407" s="66"/>
      <c r="B8407" s="67"/>
      <c r="C8407" s="66"/>
      <c r="D8407" s="68"/>
      <c r="E8407" s="10"/>
      <c r="F8407" s="69"/>
      <c r="G8407" s="68"/>
      <c r="H8407" s="70"/>
      <c r="BA8407" s="4"/>
      <c r="BB8407" s="4"/>
    </row>
    <row r="8408" spans="1:54" x14ac:dyDescent="0.3">
      <c r="A8408" s="66"/>
      <c r="B8408" s="67"/>
      <c r="C8408" s="66"/>
      <c r="D8408" s="68"/>
      <c r="E8408" s="10"/>
      <c r="F8408" s="69"/>
      <c r="G8408" s="68"/>
      <c r="H8408" s="70"/>
      <c r="BA8408" s="4"/>
      <c r="BB8408" s="4"/>
    </row>
    <row r="8409" spans="1:54" x14ac:dyDescent="0.3">
      <c r="A8409" s="66"/>
      <c r="B8409" s="67"/>
      <c r="C8409" s="66"/>
      <c r="D8409" s="68"/>
      <c r="E8409" s="10"/>
      <c r="F8409" s="69"/>
      <c r="G8409" s="68"/>
      <c r="H8409" s="70"/>
      <c r="BA8409" s="4"/>
      <c r="BB8409" s="4"/>
    </row>
    <row r="8410" spans="1:54" x14ac:dyDescent="0.3">
      <c r="A8410" s="66"/>
      <c r="B8410" s="67"/>
      <c r="C8410" s="66"/>
      <c r="D8410" s="68"/>
      <c r="E8410" s="10"/>
      <c r="F8410" s="69"/>
      <c r="G8410" s="68"/>
      <c r="H8410" s="70"/>
      <c r="BA8410" s="4"/>
      <c r="BB8410" s="4"/>
    </row>
    <row r="8411" spans="1:54" x14ac:dyDescent="0.3">
      <c r="A8411" s="66"/>
      <c r="B8411" s="67"/>
      <c r="C8411" s="66"/>
      <c r="D8411" s="68"/>
      <c r="E8411" s="10"/>
      <c r="F8411" s="69"/>
      <c r="G8411" s="68"/>
      <c r="H8411" s="70"/>
      <c r="BA8411" s="4"/>
      <c r="BB8411" s="4"/>
    </row>
    <row r="8412" spans="1:54" x14ac:dyDescent="0.3">
      <c r="A8412" s="66"/>
      <c r="B8412" s="67"/>
      <c r="C8412" s="66"/>
      <c r="D8412" s="68"/>
      <c r="E8412" s="10"/>
      <c r="F8412" s="69"/>
      <c r="G8412" s="68"/>
      <c r="H8412" s="70"/>
      <c r="BA8412" s="4"/>
      <c r="BB8412" s="4"/>
    </row>
    <row r="8413" spans="1:54" x14ac:dyDescent="0.3">
      <c r="A8413" s="66"/>
      <c r="B8413" s="67"/>
      <c r="C8413" s="66"/>
      <c r="D8413" s="68"/>
      <c r="E8413" s="10"/>
      <c r="F8413" s="69"/>
      <c r="G8413" s="68"/>
      <c r="H8413" s="70"/>
      <c r="BA8413" s="4"/>
      <c r="BB8413" s="4"/>
    </row>
    <row r="8414" spans="1:54" x14ac:dyDescent="0.3">
      <c r="A8414" s="66"/>
      <c r="B8414" s="67"/>
      <c r="C8414" s="66"/>
      <c r="D8414" s="68"/>
      <c r="E8414" s="10"/>
      <c r="F8414" s="69"/>
      <c r="G8414" s="68"/>
      <c r="H8414" s="70"/>
      <c r="BA8414" s="4"/>
      <c r="BB8414" s="4"/>
    </row>
    <row r="8415" spans="1:54" x14ac:dyDescent="0.3">
      <c r="A8415" s="66"/>
      <c r="B8415" s="67"/>
      <c r="C8415" s="66"/>
      <c r="D8415" s="68"/>
      <c r="E8415" s="10"/>
      <c r="F8415" s="69"/>
      <c r="G8415" s="68"/>
      <c r="H8415" s="70"/>
      <c r="BA8415" s="4"/>
      <c r="BB8415" s="4"/>
    </row>
    <row r="8416" spans="1:54" x14ac:dyDescent="0.3">
      <c r="A8416" s="66"/>
      <c r="B8416" s="67"/>
      <c r="C8416" s="66"/>
      <c r="D8416" s="68"/>
      <c r="E8416" s="10"/>
      <c r="F8416" s="69"/>
      <c r="G8416" s="68"/>
      <c r="H8416" s="70"/>
      <c r="BA8416" s="4"/>
      <c r="BB8416" s="4"/>
    </row>
    <row r="8417" spans="1:54" x14ac:dyDescent="0.3">
      <c r="A8417" s="66"/>
      <c r="B8417" s="67"/>
      <c r="C8417" s="66"/>
      <c r="D8417" s="68"/>
      <c r="E8417" s="10"/>
      <c r="F8417" s="69"/>
      <c r="G8417" s="68"/>
      <c r="H8417" s="70"/>
      <c r="BA8417" s="4"/>
      <c r="BB8417" s="4"/>
    </row>
    <row r="8418" spans="1:54" x14ac:dyDescent="0.3">
      <c r="A8418" s="66"/>
      <c r="B8418" s="67"/>
      <c r="C8418" s="66"/>
      <c r="D8418" s="68"/>
      <c r="E8418" s="10"/>
      <c r="F8418" s="69"/>
      <c r="G8418" s="68"/>
      <c r="H8418" s="70"/>
      <c r="BA8418" s="4"/>
      <c r="BB8418" s="4"/>
    </row>
    <row r="8419" spans="1:54" x14ac:dyDescent="0.3">
      <c r="A8419" s="66"/>
      <c r="B8419" s="67"/>
      <c r="C8419" s="66"/>
      <c r="D8419" s="68"/>
      <c r="E8419" s="10"/>
      <c r="F8419" s="69"/>
      <c r="G8419" s="68"/>
      <c r="H8419" s="70"/>
      <c r="BA8419" s="4"/>
      <c r="BB8419" s="4"/>
    </row>
    <row r="8420" spans="1:54" x14ac:dyDescent="0.3">
      <c r="A8420" s="66"/>
      <c r="B8420" s="67"/>
      <c r="C8420" s="66"/>
      <c r="D8420" s="68"/>
      <c r="E8420" s="10"/>
      <c r="F8420" s="69"/>
      <c r="G8420" s="68"/>
      <c r="H8420" s="70"/>
      <c r="BA8420" s="4"/>
      <c r="BB8420" s="4"/>
    </row>
    <row r="8421" spans="1:54" x14ac:dyDescent="0.3">
      <c r="A8421" s="66"/>
      <c r="B8421" s="67"/>
      <c r="C8421" s="66"/>
      <c r="D8421" s="68"/>
      <c r="E8421" s="10"/>
      <c r="F8421" s="69"/>
      <c r="G8421" s="68"/>
      <c r="H8421" s="70"/>
      <c r="BA8421" s="4"/>
      <c r="BB8421" s="4"/>
    </row>
    <row r="8422" spans="1:54" x14ac:dyDescent="0.3">
      <c r="A8422" s="66"/>
      <c r="B8422" s="67"/>
      <c r="C8422" s="66"/>
      <c r="D8422" s="68"/>
      <c r="E8422" s="10"/>
      <c r="F8422" s="69"/>
      <c r="G8422" s="68"/>
      <c r="H8422" s="70"/>
      <c r="BA8422" s="4"/>
      <c r="BB8422" s="4"/>
    </row>
    <row r="8423" spans="1:54" x14ac:dyDescent="0.3">
      <c r="A8423" s="66"/>
      <c r="B8423" s="67"/>
      <c r="C8423" s="66"/>
      <c r="D8423" s="68"/>
      <c r="E8423" s="10"/>
      <c r="F8423" s="69"/>
      <c r="G8423" s="68"/>
      <c r="H8423" s="70"/>
      <c r="BA8423" s="4"/>
      <c r="BB8423" s="4"/>
    </row>
    <row r="8424" spans="1:54" x14ac:dyDescent="0.3">
      <c r="A8424" s="66"/>
      <c r="B8424" s="67"/>
      <c r="C8424" s="66"/>
      <c r="D8424" s="68"/>
      <c r="E8424" s="10"/>
      <c r="F8424" s="69"/>
      <c r="G8424" s="68"/>
      <c r="H8424" s="70"/>
      <c r="BA8424" s="4"/>
      <c r="BB8424" s="4"/>
    </row>
    <row r="8425" spans="1:54" x14ac:dyDescent="0.3">
      <c r="A8425" s="66"/>
      <c r="B8425" s="67"/>
      <c r="C8425" s="66"/>
      <c r="D8425" s="68"/>
      <c r="E8425" s="10"/>
      <c r="F8425" s="69"/>
      <c r="G8425" s="68"/>
      <c r="H8425" s="70"/>
      <c r="BA8425" s="4"/>
      <c r="BB8425" s="4"/>
    </row>
    <row r="8426" spans="1:54" x14ac:dyDescent="0.3">
      <c r="A8426" s="66"/>
      <c r="B8426" s="67"/>
      <c r="C8426" s="66"/>
      <c r="D8426" s="68"/>
      <c r="E8426" s="10"/>
      <c r="F8426" s="69"/>
      <c r="G8426" s="68"/>
      <c r="H8426" s="70"/>
      <c r="BA8426" s="4"/>
      <c r="BB8426" s="4"/>
    </row>
    <row r="8427" spans="1:54" x14ac:dyDescent="0.3">
      <c r="A8427" s="66"/>
      <c r="B8427" s="67"/>
      <c r="C8427" s="66"/>
      <c r="D8427" s="68"/>
      <c r="E8427" s="10"/>
      <c r="F8427" s="69"/>
      <c r="G8427" s="68"/>
      <c r="H8427" s="70"/>
      <c r="BA8427" s="4"/>
      <c r="BB8427" s="4"/>
    </row>
    <row r="8428" spans="1:54" x14ac:dyDescent="0.3">
      <c r="A8428" s="66"/>
      <c r="B8428" s="67"/>
      <c r="C8428" s="66"/>
      <c r="D8428" s="68"/>
      <c r="E8428" s="10"/>
      <c r="F8428" s="69"/>
      <c r="G8428" s="68"/>
      <c r="H8428" s="70"/>
      <c r="BA8428" s="4"/>
      <c r="BB8428" s="4"/>
    </row>
    <row r="8429" spans="1:54" x14ac:dyDescent="0.3">
      <c r="A8429" s="66"/>
      <c r="B8429" s="67"/>
      <c r="C8429" s="66"/>
      <c r="D8429" s="68"/>
      <c r="E8429" s="10"/>
      <c r="F8429" s="69"/>
      <c r="G8429" s="68"/>
      <c r="H8429" s="70"/>
      <c r="BA8429" s="4"/>
      <c r="BB8429" s="4"/>
    </row>
    <row r="8430" spans="1:54" x14ac:dyDescent="0.3">
      <c r="A8430" s="66"/>
      <c r="B8430" s="67"/>
      <c r="C8430" s="66"/>
      <c r="D8430" s="68"/>
      <c r="E8430" s="10"/>
      <c r="F8430" s="69"/>
      <c r="G8430" s="68"/>
      <c r="H8430" s="70"/>
      <c r="BA8430" s="4"/>
      <c r="BB8430" s="4"/>
    </row>
    <row r="8431" spans="1:54" x14ac:dyDescent="0.3">
      <c r="A8431" s="66"/>
      <c r="B8431" s="67"/>
      <c r="C8431" s="66"/>
      <c r="D8431" s="68"/>
      <c r="E8431" s="10"/>
      <c r="F8431" s="69"/>
      <c r="G8431" s="68"/>
      <c r="H8431" s="70"/>
      <c r="BA8431" s="4"/>
      <c r="BB8431" s="4"/>
    </row>
    <row r="8432" spans="1:54" x14ac:dyDescent="0.3">
      <c r="A8432" s="66"/>
      <c r="B8432" s="67"/>
      <c r="C8432" s="66"/>
      <c r="D8432" s="68"/>
      <c r="E8432" s="10"/>
      <c r="F8432" s="69"/>
      <c r="G8432" s="68"/>
      <c r="H8432" s="70"/>
      <c r="BA8432" s="4"/>
      <c r="BB8432" s="4"/>
    </row>
    <row r="8433" spans="1:54" x14ac:dyDescent="0.3">
      <c r="A8433" s="66"/>
      <c r="B8433" s="67"/>
      <c r="C8433" s="66"/>
      <c r="D8433" s="68"/>
      <c r="E8433" s="10"/>
      <c r="F8433" s="69"/>
      <c r="G8433" s="68"/>
      <c r="H8433" s="70"/>
      <c r="BA8433" s="4"/>
      <c r="BB8433" s="4"/>
    </row>
    <row r="8434" spans="1:54" x14ac:dyDescent="0.3">
      <c r="A8434" s="66"/>
      <c r="B8434" s="67"/>
      <c r="C8434" s="66"/>
      <c r="D8434" s="68"/>
      <c r="E8434" s="10"/>
      <c r="F8434" s="69"/>
      <c r="G8434" s="68"/>
      <c r="H8434" s="70"/>
      <c r="BA8434" s="4"/>
      <c r="BB8434" s="4"/>
    </row>
    <row r="8435" spans="1:54" x14ac:dyDescent="0.3">
      <c r="A8435" s="66"/>
      <c r="B8435" s="67"/>
      <c r="C8435" s="66"/>
      <c r="D8435" s="68"/>
      <c r="E8435" s="10"/>
      <c r="F8435" s="69"/>
      <c r="G8435" s="68"/>
      <c r="H8435" s="70"/>
      <c r="BA8435" s="4"/>
      <c r="BB8435" s="4"/>
    </row>
    <row r="8436" spans="1:54" x14ac:dyDescent="0.3">
      <c r="A8436" s="66"/>
      <c r="B8436" s="67"/>
      <c r="C8436" s="66"/>
      <c r="D8436" s="68"/>
      <c r="E8436" s="10"/>
      <c r="F8436" s="69"/>
      <c r="G8436" s="68"/>
      <c r="H8436" s="70"/>
      <c r="BA8436" s="4"/>
      <c r="BB8436" s="4"/>
    </row>
    <row r="8437" spans="1:54" x14ac:dyDescent="0.3">
      <c r="A8437" s="66"/>
      <c r="B8437" s="67"/>
      <c r="C8437" s="66"/>
      <c r="D8437" s="68"/>
      <c r="E8437" s="10"/>
      <c r="F8437" s="69"/>
      <c r="G8437" s="68"/>
      <c r="H8437" s="70"/>
      <c r="BA8437" s="4"/>
      <c r="BB8437" s="4"/>
    </row>
    <row r="8438" spans="1:54" x14ac:dyDescent="0.3">
      <c r="A8438" s="66"/>
      <c r="B8438" s="67"/>
      <c r="C8438" s="66"/>
      <c r="D8438" s="68"/>
      <c r="E8438" s="10"/>
      <c r="F8438" s="69"/>
      <c r="G8438" s="68"/>
      <c r="H8438" s="70"/>
      <c r="BA8438" s="4"/>
      <c r="BB8438" s="4"/>
    </row>
    <row r="8439" spans="1:54" x14ac:dyDescent="0.3">
      <c r="A8439" s="66"/>
      <c r="B8439" s="67"/>
      <c r="C8439" s="66"/>
      <c r="D8439" s="68"/>
      <c r="E8439" s="10"/>
      <c r="F8439" s="69"/>
      <c r="G8439" s="68"/>
      <c r="H8439" s="70"/>
      <c r="BA8439" s="4"/>
      <c r="BB8439" s="4"/>
    </row>
    <row r="8440" spans="1:54" x14ac:dyDescent="0.3">
      <c r="A8440" s="66"/>
      <c r="B8440" s="67"/>
      <c r="C8440" s="66"/>
      <c r="D8440" s="68"/>
      <c r="E8440" s="10"/>
      <c r="F8440" s="69"/>
      <c r="G8440" s="68"/>
      <c r="H8440" s="70"/>
      <c r="BA8440" s="4"/>
      <c r="BB8440" s="4"/>
    </row>
    <row r="8441" spans="1:54" x14ac:dyDescent="0.3">
      <c r="A8441" s="66"/>
      <c r="B8441" s="67"/>
      <c r="C8441" s="66"/>
      <c r="D8441" s="68"/>
      <c r="E8441" s="10"/>
      <c r="F8441" s="69"/>
      <c r="G8441" s="68"/>
      <c r="H8441" s="70"/>
      <c r="BA8441" s="4"/>
      <c r="BB8441" s="4"/>
    </row>
    <row r="8442" spans="1:54" x14ac:dyDescent="0.3">
      <c r="A8442" s="66"/>
      <c r="B8442" s="67"/>
      <c r="C8442" s="66"/>
      <c r="D8442" s="68"/>
      <c r="E8442" s="10"/>
      <c r="F8442" s="69"/>
      <c r="G8442" s="68"/>
      <c r="H8442" s="70"/>
      <c r="BA8442" s="4"/>
      <c r="BB8442" s="4"/>
    </row>
    <row r="8443" spans="1:54" x14ac:dyDescent="0.3">
      <c r="A8443" s="66"/>
      <c r="B8443" s="67"/>
      <c r="C8443" s="66"/>
      <c r="D8443" s="68"/>
      <c r="E8443" s="10"/>
      <c r="F8443" s="69"/>
      <c r="G8443" s="68"/>
      <c r="H8443" s="70"/>
      <c r="BA8443" s="4"/>
      <c r="BB8443" s="4"/>
    </row>
    <row r="8444" spans="1:54" x14ac:dyDescent="0.3">
      <c r="A8444" s="66"/>
      <c r="B8444" s="67"/>
      <c r="C8444" s="66"/>
      <c r="D8444" s="68"/>
      <c r="E8444" s="10"/>
      <c r="F8444" s="69"/>
      <c r="G8444" s="68"/>
      <c r="H8444" s="70"/>
      <c r="BA8444" s="4"/>
      <c r="BB8444" s="4"/>
    </row>
    <row r="8445" spans="1:54" x14ac:dyDescent="0.3">
      <c r="A8445" s="66"/>
      <c r="B8445" s="67"/>
      <c r="C8445" s="66"/>
      <c r="D8445" s="68"/>
      <c r="E8445" s="10"/>
      <c r="F8445" s="69"/>
      <c r="G8445" s="68"/>
      <c r="H8445" s="70"/>
      <c r="BA8445" s="4"/>
      <c r="BB8445" s="4"/>
    </row>
    <row r="8446" spans="1:54" x14ac:dyDescent="0.3">
      <c r="A8446" s="66"/>
      <c r="B8446" s="67"/>
      <c r="C8446" s="66"/>
      <c r="D8446" s="68"/>
      <c r="E8446" s="10"/>
      <c r="F8446" s="69"/>
      <c r="G8446" s="68"/>
      <c r="H8446" s="70"/>
      <c r="BA8446" s="4"/>
      <c r="BB8446" s="4"/>
    </row>
    <row r="8447" spans="1:54" x14ac:dyDescent="0.3">
      <c r="A8447" s="66"/>
      <c r="B8447" s="67"/>
      <c r="C8447" s="66"/>
      <c r="D8447" s="68"/>
      <c r="E8447" s="10"/>
      <c r="F8447" s="69"/>
      <c r="G8447" s="68"/>
      <c r="H8447" s="70"/>
      <c r="BA8447" s="4"/>
      <c r="BB8447" s="4"/>
    </row>
    <row r="8448" spans="1:54" x14ac:dyDescent="0.3">
      <c r="A8448" s="66"/>
      <c r="B8448" s="67"/>
      <c r="C8448" s="66"/>
      <c r="D8448" s="68"/>
      <c r="E8448" s="10"/>
      <c r="F8448" s="69"/>
      <c r="G8448" s="68"/>
      <c r="H8448" s="70"/>
      <c r="BA8448" s="4"/>
      <c r="BB8448" s="4"/>
    </row>
    <row r="8449" spans="1:54" x14ac:dyDescent="0.3">
      <c r="A8449" s="66"/>
      <c r="B8449" s="67"/>
      <c r="C8449" s="66"/>
      <c r="D8449" s="68"/>
      <c r="E8449" s="10"/>
      <c r="F8449" s="69"/>
      <c r="G8449" s="68"/>
      <c r="H8449" s="70"/>
      <c r="BA8449" s="4"/>
      <c r="BB8449" s="4"/>
    </row>
    <row r="8450" spans="1:54" x14ac:dyDescent="0.3">
      <c r="A8450" s="66"/>
      <c r="B8450" s="67"/>
      <c r="C8450" s="66"/>
      <c r="D8450" s="68"/>
      <c r="E8450" s="10"/>
      <c r="F8450" s="69"/>
      <c r="G8450" s="68"/>
      <c r="H8450" s="70"/>
      <c r="BA8450" s="4"/>
      <c r="BB8450" s="4"/>
    </row>
    <row r="8451" spans="1:54" x14ac:dyDescent="0.3">
      <c r="A8451" s="66"/>
      <c r="B8451" s="67"/>
      <c r="C8451" s="66"/>
      <c r="D8451" s="68"/>
      <c r="E8451" s="10"/>
      <c r="F8451" s="69"/>
      <c r="G8451" s="68"/>
      <c r="H8451" s="70"/>
      <c r="BA8451" s="4"/>
      <c r="BB8451" s="4"/>
    </row>
    <row r="8452" spans="1:54" x14ac:dyDescent="0.3">
      <c r="A8452" s="66"/>
      <c r="B8452" s="67"/>
      <c r="C8452" s="66"/>
      <c r="D8452" s="68"/>
      <c r="E8452" s="10"/>
      <c r="F8452" s="69"/>
      <c r="G8452" s="68"/>
      <c r="H8452" s="70"/>
      <c r="BA8452" s="4"/>
      <c r="BB8452" s="4"/>
    </row>
    <row r="8453" spans="1:54" x14ac:dyDescent="0.3">
      <c r="A8453" s="66"/>
      <c r="B8453" s="67"/>
      <c r="C8453" s="66"/>
      <c r="D8453" s="68"/>
      <c r="E8453" s="10"/>
      <c r="F8453" s="69"/>
      <c r="G8453" s="68"/>
      <c r="H8453" s="70"/>
      <c r="BA8453" s="4"/>
      <c r="BB8453" s="4"/>
    </row>
    <row r="8454" spans="1:54" x14ac:dyDescent="0.3">
      <c r="A8454" s="66"/>
      <c r="B8454" s="67"/>
      <c r="C8454" s="66"/>
      <c r="D8454" s="68"/>
      <c r="E8454" s="10"/>
      <c r="F8454" s="69"/>
      <c r="G8454" s="68"/>
      <c r="H8454" s="70"/>
      <c r="BA8454" s="4"/>
      <c r="BB8454" s="4"/>
    </row>
    <row r="8455" spans="1:54" x14ac:dyDescent="0.3">
      <c r="A8455" s="66"/>
      <c r="B8455" s="67"/>
      <c r="C8455" s="66"/>
      <c r="D8455" s="68"/>
      <c r="E8455" s="10"/>
      <c r="F8455" s="69"/>
      <c r="G8455" s="68"/>
      <c r="H8455" s="70"/>
      <c r="BA8455" s="4"/>
      <c r="BB8455" s="4"/>
    </row>
    <row r="8456" spans="1:54" x14ac:dyDescent="0.3">
      <c r="A8456" s="66"/>
      <c r="B8456" s="67"/>
      <c r="C8456" s="66"/>
      <c r="D8456" s="68"/>
      <c r="E8456" s="10"/>
      <c r="F8456" s="69"/>
      <c r="G8456" s="68"/>
      <c r="H8456" s="70"/>
      <c r="BA8456" s="4"/>
      <c r="BB8456" s="4"/>
    </row>
    <row r="8457" spans="1:54" x14ac:dyDescent="0.3">
      <c r="A8457" s="66"/>
      <c r="B8457" s="67"/>
      <c r="C8457" s="66"/>
      <c r="D8457" s="68"/>
      <c r="E8457" s="10"/>
      <c r="F8457" s="69"/>
      <c r="G8457" s="68"/>
      <c r="H8457" s="70"/>
      <c r="BA8457" s="4"/>
      <c r="BB8457" s="4"/>
    </row>
    <row r="8458" spans="1:54" x14ac:dyDescent="0.3">
      <c r="A8458" s="66"/>
      <c r="B8458" s="67"/>
      <c r="C8458" s="66"/>
      <c r="D8458" s="68"/>
      <c r="E8458" s="10"/>
      <c r="F8458" s="69"/>
      <c r="G8458" s="68"/>
      <c r="H8458" s="70"/>
      <c r="BA8458" s="4"/>
      <c r="BB8458" s="4"/>
    </row>
    <row r="8459" spans="1:54" x14ac:dyDescent="0.3">
      <c r="A8459" s="66"/>
      <c r="B8459" s="67"/>
      <c r="C8459" s="66"/>
      <c r="D8459" s="68"/>
      <c r="E8459" s="10"/>
      <c r="F8459" s="69"/>
      <c r="G8459" s="68"/>
      <c r="H8459" s="70"/>
      <c r="BA8459" s="4"/>
      <c r="BB8459" s="4"/>
    </row>
    <row r="8460" spans="1:54" x14ac:dyDescent="0.3">
      <c r="A8460" s="66"/>
      <c r="B8460" s="67"/>
      <c r="C8460" s="66"/>
      <c r="D8460" s="68"/>
      <c r="E8460" s="10"/>
      <c r="F8460" s="69"/>
      <c r="G8460" s="68"/>
      <c r="H8460" s="70"/>
      <c r="BA8460" s="4"/>
      <c r="BB8460" s="4"/>
    </row>
    <row r="8461" spans="1:54" x14ac:dyDescent="0.3">
      <c r="A8461" s="66"/>
      <c r="B8461" s="67"/>
      <c r="C8461" s="66"/>
      <c r="D8461" s="68"/>
      <c r="E8461" s="10"/>
      <c r="F8461" s="69"/>
      <c r="G8461" s="68"/>
      <c r="H8461" s="70"/>
      <c r="BA8461" s="4"/>
      <c r="BB8461" s="4"/>
    </row>
    <row r="8462" spans="1:54" x14ac:dyDescent="0.3">
      <c r="A8462" s="66"/>
      <c r="B8462" s="67"/>
      <c r="C8462" s="66"/>
      <c r="D8462" s="68"/>
      <c r="E8462" s="10"/>
      <c r="F8462" s="69"/>
      <c r="G8462" s="68"/>
      <c r="H8462" s="70"/>
      <c r="BA8462" s="4"/>
      <c r="BB8462" s="4"/>
    </row>
    <row r="8463" spans="1:54" x14ac:dyDescent="0.3">
      <c r="A8463" s="66"/>
      <c r="B8463" s="67"/>
      <c r="C8463" s="66"/>
      <c r="D8463" s="68"/>
      <c r="E8463" s="10"/>
      <c r="F8463" s="69"/>
      <c r="G8463" s="68"/>
      <c r="H8463" s="70"/>
      <c r="BA8463" s="4"/>
      <c r="BB8463" s="4"/>
    </row>
    <row r="8464" spans="1:54" x14ac:dyDescent="0.3">
      <c r="A8464" s="66"/>
      <c r="B8464" s="67"/>
      <c r="C8464" s="66"/>
      <c r="D8464" s="68"/>
      <c r="E8464" s="10"/>
      <c r="F8464" s="69"/>
      <c r="G8464" s="68"/>
      <c r="H8464" s="70"/>
      <c r="BA8464" s="4"/>
      <c r="BB8464" s="4"/>
    </row>
    <row r="8465" spans="1:54" x14ac:dyDescent="0.3">
      <c r="A8465" s="66"/>
      <c r="B8465" s="67"/>
      <c r="C8465" s="66"/>
      <c r="D8465" s="68"/>
      <c r="E8465" s="10"/>
      <c r="F8465" s="69"/>
      <c r="G8465" s="68"/>
      <c r="H8465" s="70"/>
      <c r="BA8465" s="4"/>
      <c r="BB8465" s="4"/>
    </row>
    <row r="8466" spans="1:54" x14ac:dyDescent="0.3">
      <c r="A8466" s="66"/>
      <c r="B8466" s="67"/>
      <c r="C8466" s="66"/>
      <c r="D8466" s="68"/>
      <c r="E8466" s="10"/>
      <c r="F8466" s="69"/>
      <c r="G8466" s="68"/>
      <c r="H8466" s="70"/>
      <c r="BA8466" s="4"/>
      <c r="BB8466" s="4"/>
    </row>
    <row r="8467" spans="1:54" x14ac:dyDescent="0.3">
      <c r="A8467" s="66"/>
      <c r="B8467" s="67"/>
      <c r="C8467" s="66"/>
      <c r="D8467" s="68"/>
      <c r="E8467" s="10"/>
      <c r="F8467" s="69"/>
      <c r="G8467" s="68"/>
      <c r="H8467" s="70"/>
      <c r="BA8467" s="4"/>
      <c r="BB8467" s="4"/>
    </row>
    <row r="8468" spans="1:54" x14ac:dyDescent="0.3">
      <c r="A8468" s="66"/>
      <c r="B8468" s="67"/>
      <c r="C8468" s="66"/>
      <c r="D8468" s="68"/>
      <c r="E8468" s="10"/>
      <c r="F8468" s="69"/>
      <c r="G8468" s="68"/>
      <c r="H8468" s="70"/>
      <c r="BA8468" s="4"/>
      <c r="BB8468" s="4"/>
    </row>
    <row r="8469" spans="1:54" x14ac:dyDescent="0.3">
      <c r="A8469" s="66"/>
      <c r="B8469" s="67"/>
      <c r="C8469" s="66"/>
      <c r="D8469" s="68"/>
      <c r="E8469" s="10"/>
      <c r="F8469" s="69"/>
      <c r="G8469" s="68"/>
      <c r="H8469" s="70"/>
      <c r="BA8469" s="4"/>
      <c r="BB8469" s="4"/>
    </row>
    <row r="8470" spans="1:54" x14ac:dyDescent="0.3">
      <c r="A8470" s="66"/>
      <c r="B8470" s="67"/>
      <c r="C8470" s="66"/>
      <c r="D8470" s="68"/>
      <c r="E8470" s="10"/>
      <c r="F8470" s="69"/>
      <c r="G8470" s="68"/>
      <c r="H8470" s="70"/>
      <c r="BA8470" s="4"/>
      <c r="BB8470" s="4"/>
    </row>
    <row r="8471" spans="1:54" x14ac:dyDescent="0.3">
      <c r="A8471" s="66"/>
      <c r="B8471" s="67"/>
      <c r="C8471" s="66"/>
      <c r="D8471" s="68"/>
      <c r="E8471" s="10"/>
      <c r="F8471" s="69"/>
      <c r="G8471" s="68"/>
      <c r="H8471" s="70"/>
      <c r="BA8471" s="4"/>
      <c r="BB8471" s="4"/>
    </row>
    <row r="8472" spans="1:54" x14ac:dyDescent="0.3">
      <c r="A8472" s="66"/>
      <c r="B8472" s="67"/>
      <c r="C8472" s="66"/>
      <c r="D8472" s="68"/>
      <c r="E8472" s="10"/>
      <c r="F8472" s="69"/>
      <c r="G8472" s="68"/>
      <c r="H8472" s="70"/>
      <c r="BA8472" s="4"/>
      <c r="BB8472" s="4"/>
    </row>
    <row r="8473" spans="1:54" x14ac:dyDescent="0.3">
      <c r="A8473" s="66"/>
      <c r="B8473" s="67"/>
      <c r="C8473" s="66"/>
      <c r="D8473" s="68"/>
      <c r="E8473" s="10"/>
      <c r="F8473" s="69"/>
      <c r="G8473" s="68"/>
      <c r="H8473" s="70"/>
      <c r="BA8473" s="4"/>
      <c r="BB8473" s="4"/>
    </row>
    <row r="8474" spans="1:54" x14ac:dyDescent="0.3">
      <c r="A8474" s="66"/>
      <c r="B8474" s="67"/>
      <c r="C8474" s="66"/>
      <c r="D8474" s="68"/>
      <c r="E8474" s="10"/>
      <c r="F8474" s="69"/>
      <c r="G8474" s="68"/>
      <c r="H8474" s="70"/>
      <c r="BA8474" s="4"/>
      <c r="BB8474" s="4"/>
    </row>
    <row r="8475" spans="1:54" x14ac:dyDescent="0.3">
      <c r="A8475" s="66"/>
      <c r="B8475" s="67"/>
      <c r="C8475" s="66"/>
      <c r="D8475" s="68"/>
      <c r="E8475" s="10"/>
      <c r="F8475" s="69"/>
      <c r="G8475" s="68"/>
      <c r="H8475" s="70"/>
      <c r="BA8475" s="4"/>
      <c r="BB8475" s="4"/>
    </row>
    <row r="8476" spans="1:54" x14ac:dyDescent="0.3">
      <c r="A8476" s="66"/>
      <c r="B8476" s="67"/>
      <c r="C8476" s="66"/>
      <c r="D8476" s="68"/>
      <c r="E8476" s="10"/>
      <c r="F8476" s="69"/>
      <c r="G8476" s="68"/>
      <c r="H8476" s="70"/>
      <c r="BA8476" s="4"/>
      <c r="BB8476" s="4"/>
    </row>
    <row r="8477" spans="1:54" x14ac:dyDescent="0.3">
      <c r="A8477" s="66"/>
      <c r="B8477" s="67"/>
      <c r="C8477" s="66"/>
      <c r="D8477" s="68"/>
      <c r="E8477" s="10"/>
      <c r="F8477" s="69"/>
      <c r="G8477" s="68"/>
      <c r="H8477" s="70"/>
      <c r="BA8477" s="4"/>
      <c r="BB8477" s="4"/>
    </row>
    <row r="8478" spans="1:54" x14ac:dyDescent="0.3">
      <c r="A8478" s="66"/>
      <c r="B8478" s="67"/>
      <c r="C8478" s="66"/>
      <c r="D8478" s="68"/>
      <c r="E8478" s="10"/>
      <c r="F8478" s="69"/>
      <c r="G8478" s="68"/>
      <c r="H8478" s="70"/>
      <c r="BA8478" s="4"/>
      <c r="BB8478" s="4"/>
    </row>
    <row r="8479" spans="1:54" x14ac:dyDescent="0.3">
      <c r="A8479" s="66"/>
      <c r="B8479" s="67"/>
      <c r="C8479" s="66"/>
      <c r="D8479" s="68"/>
      <c r="E8479" s="10"/>
      <c r="F8479" s="69"/>
      <c r="G8479" s="68"/>
      <c r="H8479" s="70"/>
      <c r="BA8479" s="4"/>
      <c r="BB8479" s="4"/>
    </row>
    <row r="8480" spans="1:54" x14ac:dyDescent="0.3">
      <c r="A8480" s="66"/>
      <c r="B8480" s="67"/>
      <c r="C8480" s="66"/>
      <c r="D8480" s="68"/>
      <c r="E8480" s="10"/>
      <c r="F8480" s="69"/>
      <c r="G8480" s="68"/>
      <c r="H8480" s="70"/>
      <c r="BA8480" s="4"/>
      <c r="BB8480" s="4"/>
    </row>
    <row r="8481" spans="1:54" x14ac:dyDescent="0.3">
      <c r="A8481" s="66"/>
      <c r="B8481" s="67"/>
      <c r="C8481" s="66"/>
      <c r="D8481" s="68"/>
      <c r="E8481" s="10"/>
      <c r="F8481" s="69"/>
      <c r="G8481" s="68"/>
      <c r="H8481" s="70"/>
      <c r="BA8481" s="4"/>
      <c r="BB8481" s="4"/>
    </row>
    <row r="8482" spans="1:54" x14ac:dyDescent="0.3">
      <c r="A8482" s="66"/>
      <c r="B8482" s="67"/>
      <c r="C8482" s="66"/>
      <c r="D8482" s="68"/>
      <c r="E8482" s="10"/>
      <c r="F8482" s="69"/>
      <c r="G8482" s="68"/>
      <c r="H8482" s="70"/>
      <c r="BA8482" s="4"/>
      <c r="BB8482" s="4"/>
    </row>
    <row r="8483" spans="1:54" x14ac:dyDescent="0.3">
      <c r="A8483" s="66"/>
      <c r="B8483" s="67"/>
      <c r="C8483" s="66"/>
      <c r="D8483" s="68"/>
      <c r="E8483" s="10"/>
      <c r="F8483" s="69"/>
      <c r="G8483" s="68"/>
      <c r="H8483" s="70"/>
      <c r="BA8483" s="4"/>
      <c r="BB8483" s="4"/>
    </row>
    <row r="8484" spans="1:54" x14ac:dyDescent="0.3">
      <c r="A8484" s="66"/>
      <c r="B8484" s="67"/>
      <c r="C8484" s="66"/>
      <c r="D8484" s="68"/>
      <c r="E8484" s="10"/>
      <c r="F8484" s="69"/>
      <c r="G8484" s="68"/>
      <c r="H8484" s="70"/>
      <c r="BA8484" s="4"/>
      <c r="BB8484" s="4"/>
    </row>
    <row r="8485" spans="1:54" x14ac:dyDescent="0.3">
      <c r="A8485" s="66"/>
      <c r="B8485" s="67"/>
      <c r="C8485" s="66"/>
      <c r="D8485" s="68"/>
      <c r="E8485" s="10"/>
      <c r="F8485" s="69"/>
      <c r="G8485" s="68"/>
      <c r="H8485" s="70"/>
      <c r="BA8485" s="4"/>
      <c r="BB8485" s="4"/>
    </row>
    <row r="8486" spans="1:54" x14ac:dyDescent="0.3">
      <c r="A8486" s="66"/>
      <c r="B8486" s="67"/>
      <c r="C8486" s="66"/>
      <c r="D8486" s="68"/>
      <c r="E8486" s="10"/>
      <c r="F8486" s="69"/>
      <c r="G8486" s="68"/>
      <c r="H8486" s="70"/>
      <c r="BA8486" s="4"/>
      <c r="BB8486" s="4"/>
    </row>
    <row r="8487" spans="1:54" x14ac:dyDescent="0.3">
      <c r="A8487" s="66"/>
      <c r="B8487" s="67"/>
      <c r="C8487" s="66"/>
      <c r="D8487" s="68"/>
      <c r="E8487" s="10"/>
      <c r="F8487" s="69"/>
      <c r="G8487" s="68"/>
      <c r="H8487" s="70"/>
      <c r="BA8487" s="4"/>
      <c r="BB8487" s="4"/>
    </row>
    <row r="8488" spans="1:54" x14ac:dyDescent="0.3">
      <c r="A8488" s="66"/>
      <c r="B8488" s="67"/>
      <c r="C8488" s="66"/>
      <c r="D8488" s="68"/>
      <c r="E8488" s="10"/>
      <c r="F8488" s="69"/>
      <c r="G8488" s="68"/>
      <c r="H8488" s="70"/>
      <c r="BA8488" s="4"/>
      <c r="BB8488" s="4"/>
    </row>
    <row r="8489" spans="1:54" x14ac:dyDescent="0.3">
      <c r="A8489" s="66"/>
      <c r="B8489" s="67"/>
      <c r="C8489" s="66"/>
      <c r="D8489" s="68"/>
      <c r="E8489" s="10"/>
      <c r="F8489" s="69"/>
      <c r="G8489" s="68"/>
      <c r="H8489" s="70"/>
      <c r="BA8489" s="4"/>
      <c r="BB8489" s="4"/>
    </row>
    <row r="8490" spans="1:54" x14ac:dyDescent="0.3">
      <c r="A8490" s="66"/>
      <c r="B8490" s="67"/>
      <c r="C8490" s="66"/>
      <c r="D8490" s="68"/>
      <c r="E8490" s="10"/>
      <c r="F8490" s="69"/>
      <c r="G8490" s="68"/>
      <c r="H8490" s="70"/>
      <c r="BA8490" s="4"/>
      <c r="BB8490" s="4"/>
    </row>
    <row r="8491" spans="1:54" x14ac:dyDescent="0.3">
      <c r="A8491" s="66"/>
      <c r="B8491" s="67"/>
      <c r="C8491" s="66"/>
      <c r="D8491" s="68"/>
      <c r="E8491" s="10"/>
      <c r="F8491" s="69"/>
      <c r="G8491" s="68"/>
      <c r="H8491" s="70"/>
      <c r="BA8491" s="4"/>
      <c r="BB8491" s="4"/>
    </row>
    <row r="8492" spans="1:54" x14ac:dyDescent="0.3">
      <c r="A8492" s="66"/>
      <c r="B8492" s="67"/>
      <c r="C8492" s="66"/>
      <c r="D8492" s="68"/>
      <c r="E8492" s="10"/>
      <c r="F8492" s="69"/>
      <c r="G8492" s="68"/>
      <c r="H8492" s="70"/>
      <c r="BA8492" s="4"/>
      <c r="BB8492" s="4"/>
    </row>
    <row r="8493" spans="1:54" x14ac:dyDescent="0.3">
      <c r="A8493" s="66"/>
      <c r="B8493" s="67"/>
      <c r="C8493" s="66"/>
      <c r="D8493" s="68"/>
      <c r="E8493" s="10"/>
      <c r="F8493" s="69"/>
      <c r="G8493" s="68"/>
      <c r="H8493" s="70"/>
      <c r="BA8493" s="4"/>
      <c r="BB8493" s="4"/>
    </row>
    <row r="8494" spans="1:54" x14ac:dyDescent="0.3">
      <c r="A8494" s="66"/>
      <c r="B8494" s="67"/>
      <c r="C8494" s="66"/>
      <c r="D8494" s="68"/>
      <c r="E8494" s="10"/>
      <c r="F8494" s="69"/>
      <c r="G8494" s="68"/>
      <c r="H8494" s="70"/>
      <c r="BA8494" s="4"/>
      <c r="BB8494" s="4"/>
    </row>
    <row r="8495" spans="1:54" x14ac:dyDescent="0.3">
      <c r="A8495" s="66"/>
      <c r="B8495" s="67"/>
      <c r="C8495" s="66"/>
      <c r="D8495" s="68"/>
      <c r="E8495" s="10"/>
      <c r="F8495" s="69"/>
      <c r="G8495" s="68"/>
      <c r="H8495" s="70"/>
      <c r="BA8495" s="4"/>
      <c r="BB8495" s="4"/>
    </row>
    <row r="8496" spans="1:54" x14ac:dyDescent="0.3">
      <c r="A8496" s="66"/>
      <c r="B8496" s="67"/>
      <c r="C8496" s="66"/>
      <c r="D8496" s="68"/>
      <c r="E8496" s="10"/>
      <c r="F8496" s="69"/>
      <c r="G8496" s="68"/>
      <c r="H8496" s="70"/>
      <c r="BA8496" s="4"/>
      <c r="BB8496" s="4"/>
    </row>
    <row r="8497" spans="1:54" x14ac:dyDescent="0.3">
      <c r="A8497" s="66"/>
      <c r="B8497" s="67"/>
      <c r="C8497" s="66"/>
      <c r="D8497" s="68"/>
      <c r="E8497" s="10"/>
      <c r="F8497" s="69"/>
      <c r="G8497" s="68"/>
      <c r="H8497" s="70"/>
      <c r="BA8497" s="4"/>
      <c r="BB8497" s="4"/>
    </row>
    <row r="8498" spans="1:54" x14ac:dyDescent="0.3">
      <c r="A8498" s="66"/>
      <c r="B8498" s="67"/>
      <c r="C8498" s="66"/>
      <c r="D8498" s="68"/>
      <c r="E8498" s="10"/>
      <c r="F8498" s="69"/>
      <c r="G8498" s="68"/>
      <c r="H8498" s="70"/>
      <c r="BA8498" s="4"/>
      <c r="BB8498" s="4"/>
    </row>
    <row r="8499" spans="1:54" x14ac:dyDescent="0.3">
      <c r="A8499" s="66"/>
      <c r="B8499" s="67"/>
      <c r="C8499" s="66"/>
      <c r="D8499" s="68"/>
      <c r="E8499" s="10"/>
      <c r="F8499" s="69"/>
      <c r="G8499" s="68"/>
      <c r="H8499" s="70"/>
      <c r="BA8499" s="4"/>
      <c r="BB8499" s="4"/>
    </row>
    <row r="8500" spans="1:54" x14ac:dyDescent="0.3">
      <c r="A8500" s="66"/>
      <c r="B8500" s="67"/>
      <c r="C8500" s="66"/>
      <c r="D8500" s="68"/>
      <c r="E8500" s="10"/>
      <c r="F8500" s="69"/>
      <c r="G8500" s="68"/>
      <c r="H8500" s="70"/>
      <c r="BA8500" s="4"/>
      <c r="BB8500" s="4"/>
    </row>
    <row r="8501" spans="1:54" x14ac:dyDescent="0.3">
      <c r="A8501" s="66"/>
      <c r="B8501" s="67"/>
      <c r="C8501" s="66"/>
      <c r="D8501" s="68"/>
      <c r="E8501" s="10"/>
      <c r="F8501" s="69"/>
      <c r="G8501" s="68"/>
      <c r="H8501" s="70"/>
      <c r="BA8501" s="4"/>
      <c r="BB8501" s="4"/>
    </row>
    <row r="8502" spans="1:54" x14ac:dyDescent="0.3">
      <c r="A8502" s="66"/>
      <c r="B8502" s="67"/>
      <c r="C8502" s="66"/>
      <c r="D8502" s="68"/>
      <c r="E8502" s="10"/>
      <c r="F8502" s="69"/>
      <c r="G8502" s="68"/>
      <c r="H8502" s="70"/>
      <c r="BA8502" s="4"/>
      <c r="BB8502" s="4"/>
    </row>
    <row r="8503" spans="1:54" x14ac:dyDescent="0.3">
      <c r="A8503" s="66"/>
      <c r="B8503" s="67"/>
      <c r="C8503" s="66"/>
      <c r="D8503" s="68"/>
      <c r="E8503" s="10"/>
      <c r="F8503" s="69"/>
      <c r="G8503" s="68"/>
      <c r="H8503" s="70"/>
      <c r="BA8503" s="4"/>
      <c r="BB8503" s="4"/>
    </row>
    <row r="8504" spans="1:54" x14ac:dyDescent="0.3">
      <c r="A8504" s="66"/>
      <c r="B8504" s="67"/>
      <c r="C8504" s="66"/>
      <c r="D8504" s="68"/>
      <c r="E8504" s="10"/>
      <c r="F8504" s="69"/>
      <c r="G8504" s="68"/>
      <c r="H8504" s="70"/>
      <c r="BA8504" s="4"/>
      <c r="BB8504" s="4"/>
    </row>
    <row r="8505" spans="1:54" x14ac:dyDescent="0.3">
      <c r="A8505" s="66"/>
      <c r="B8505" s="67"/>
      <c r="C8505" s="66"/>
      <c r="D8505" s="68"/>
      <c r="E8505" s="10"/>
      <c r="F8505" s="69"/>
      <c r="G8505" s="68"/>
      <c r="H8505" s="70"/>
      <c r="BA8505" s="4"/>
      <c r="BB8505" s="4"/>
    </row>
    <row r="8506" spans="1:54" x14ac:dyDescent="0.3">
      <c r="A8506" s="66"/>
      <c r="B8506" s="67"/>
      <c r="C8506" s="66"/>
      <c r="D8506" s="68"/>
      <c r="E8506" s="10"/>
      <c r="F8506" s="69"/>
      <c r="G8506" s="68"/>
      <c r="H8506" s="70"/>
      <c r="BA8506" s="4"/>
      <c r="BB8506" s="4"/>
    </row>
    <row r="8507" spans="1:54" x14ac:dyDescent="0.3">
      <c r="A8507" s="66"/>
      <c r="B8507" s="67"/>
      <c r="C8507" s="66"/>
      <c r="D8507" s="68"/>
      <c r="E8507" s="10"/>
      <c r="F8507" s="69"/>
      <c r="G8507" s="68"/>
      <c r="H8507" s="70"/>
      <c r="BA8507" s="4"/>
      <c r="BB8507" s="4"/>
    </row>
    <row r="8508" spans="1:54" x14ac:dyDescent="0.3">
      <c r="A8508" s="66"/>
      <c r="B8508" s="67"/>
      <c r="C8508" s="66"/>
      <c r="D8508" s="68"/>
      <c r="E8508" s="10"/>
      <c r="F8508" s="69"/>
      <c r="G8508" s="68"/>
      <c r="H8508" s="70"/>
      <c r="BA8508" s="4"/>
      <c r="BB8508" s="4"/>
    </row>
    <row r="8509" spans="1:54" x14ac:dyDescent="0.3">
      <c r="A8509" s="66"/>
      <c r="B8509" s="67"/>
      <c r="C8509" s="66"/>
      <c r="D8509" s="68"/>
      <c r="E8509" s="10"/>
      <c r="F8509" s="69"/>
      <c r="G8509" s="68"/>
      <c r="H8509" s="70"/>
      <c r="BA8509" s="4"/>
      <c r="BB8509" s="4"/>
    </row>
    <row r="8510" spans="1:54" x14ac:dyDescent="0.3">
      <c r="A8510" s="66"/>
      <c r="B8510" s="67"/>
      <c r="C8510" s="66"/>
      <c r="D8510" s="68"/>
      <c r="E8510" s="10"/>
      <c r="F8510" s="69"/>
      <c r="G8510" s="68"/>
      <c r="H8510" s="70"/>
      <c r="BA8510" s="4"/>
      <c r="BB8510" s="4"/>
    </row>
    <row r="8511" spans="1:54" x14ac:dyDescent="0.3">
      <c r="A8511" s="66"/>
      <c r="B8511" s="67"/>
      <c r="C8511" s="66"/>
      <c r="D8511" s="68"/>
      <c r="E8511" s="10"/>
      <c r="F8511" s="69"/>
      <c r="G8511" s="68"/>
      <c r="H8511" s="70"/>
      <c r="BA8511" s="4"/>
      <c r="BB8511" s="4"/>
    </row>
    <row r="8512" spans="1:54" x14ac:dyDescent="0.3">
      <c r="A8512" s="66"/>
      <c r="B8512" s="67"/>
      <c r="C8512" s="66"/>
      <c r="D8512" s="68"/>
      <c r="E8512" s="10"/>
      <c r="F8512" s="69"/>
      <c r="G8512" s="68"/>
      <c r="H8512" s="70"/>
      <c r="BA8512" s="4"/>
      <c r="BB8512" s="4"/>
    </row>
    <row r="8513" spans="1:54" x14ac:dyDescent="0.3">
      <c r="A8513" s="66"/>
      <c r="B8513" s="67"/>
      <c r="C8513" s="66"/>
      <c r="D8513" s="68"/>
      <c r="E8513" s="10"/>
      <c r="F8513" s="69"/>
      <c r="G8513" s="68"/>
      <c r="H8513" s="70"/>
      <c r="BA8513" s="4"/>
      <c r="BB8513" s="4"/>
    </row>
    <row r="8514" spans="1:54" x14ac:dyDescent="0.3">
      <c r="A8514" s="66"/>
      <c r="B8514" s="67"/>
      <c r="C8514" s="66"/>
      <c r="D8514" s="68"/>
      <c r="E8514" s="10"/>
      <c r="F8514" s="69"/>
      <c r="G8514" s="68"/>
      <c r="H8514" s="70"/>
      <c r="BA8514" s="4"/>
      <c r="BB8514" s="4"/>
    </row>
    <row r="8515" spans="1:54" x14ac:dyDescent="0.3">
      <c r="A8515" s="66"/>
      <c r="B8515" s="67"/>
      <c r="C8515" s="66"/>
      <c r="D8515" s="68"/>
      <c r="E8515" s="10"/>
      <c r="F8515" s="69"/>
      <c r="G8515" s="68"/>
      <c r="H8515" s="70"/>
      <c r="BA8515" s="4"/>
      <c r="BB8515" s="4"/>
    </row>
    <row r="8516" spans="1:54" x14ac:dyDescent="0.3">
      <c r="A8516" s="66"/>
      <c r="B8516" s="67"/>
      <c r="C8516" s="66"/>
      <c r="D8516" s="68"/>
      <c r="E8516" s="10"/>
      <c r="F8516" s="69"/>
      <c r="G8516" s="68"/>
      <c r="H8516" s="70"/>
      <c r="BA8516" s="4"/>
      <c r="BB8516" s="4"/>
    </row>
    <row r="8517" spans="1:54" x14ac:dyDescent="0.3">
      <c r="A8517" s="66"/>
      <c r="B8517" s="67"/>
      <c r="C8517" s="66"/>
      <c r="D8517" s="68"/>
      <c r="E8517" s="10"/>
      <c r="F8517" s="69"/>
      <c r="G8517" s="68"/>
      <c r="H8517" s="70"/>
      <c r="BA8517" s="4"/>
      <c r="BB8517" s="4"/>
    </row>
    <row r="8518" spans="1:54" x14ac:dyDescent="0.3">
      <c r="A8518" s="66"/>
      <c r="B8518" s="67"/>
      <c r="C8518" s="66"/>
      <c r="D8518" s="68"/>
      <c r="E8518" s="10"/>
      <c r="F8518" s="69"/>
      <c r="G8518" s="68"/>
      <c r="H8518" s="70"/>
      <c r="BA8518" s="4"/>
      <c r="BB8518" s="4"/>
    </row>
    <row r="8519" spans="1:54" x14ac:dyDescent="0.3">
      <c r="A8519" s="66"/>
      <c r="B8519" s="67"/>
      <c r="C8519" s="66"/>
      <c r="D8519" s="68"/>
      <c r="E8519" s="10"/>
      <c r="F8519" s="69"/>
      <c r="G8519" s="68"/>
      <c r="H8519" s="70"/>
      <c r="BA8519" s="4"/>
      <c r="BB8519" s="4"/>
    </row>
    <row r="8520" spans="1:54" x14ac:dyDescent="0.3">
      <c r="A8520" s="66"/>
      <c r="B8520" s="67"/>
      <c r="C8520" s="66"/>
      <c r="D8520" s="68"/>
      <c r="E8520" s="10"/>
      <c r="F8520" s="69"/>
      <c r="G8520" s="68"/>
      <c r="H8520" s="70"/>
      <c r="BA8520" s="4"/>
      <c r="BB8520" s="4"/>
    </row>
    <row r="8521" spans="1:54" x14ac:dyDescent="0.3">
      <c r="A8521" s="66"/>
      <c r="B8521" s="67"/>
      <c r="C8521" s="66"/>
      <c r="D8521" s="68"/>
      <c r="E8521" s="10"/>
      <c r="F8521" s="69"/>
      <c r="G8521" s="68"/>
      <c r="H8521" s="70"/>
      <c r="BA8521" s="4"/>
      <c r="BB8521" s="4"/>
    </row>
    <row r="8522" spans="1:54" x14ac:dyDescent="0.3">
      <c r="A8522" s="66"/>
      <c r="B8522" s="67"/>
      <c r="C8522" s="66"/>
      <c r="D8522" s="68"/>
      <c r="E8522" s="10"/>
      <c r="F8522" s="69"/>
      <c r="G8522" s="68"/>
      <c r="H8522" s="70"/>
      <c r="BA8522" s="4"/>
      <c r="BB8522" s="4"/>
    </row>
    <row r="8523" spans="1:54" x14ac:dyDescent="0.3">
      <c r="A8523" s="66"/>
      <c r="B8523" s="67"/>
      <c r="C8523" s="66"/>
      <c r="D8523" s="68"/>
      <c r="E8523" s="10"/>
      <c r="F8523" s="69"/>
      <c r="G8523" s="68"/>
      <c r="H8523" s="70"/>
      <c r="BA8523" s="4"/>
      <c r="BB8523" s="4"/>
    </row>
    <row r="8524" spans="1:54" x14ac:dyDescent="0.3">
      <c r="A8524" s="66"/>
      <c r="B8524" s="67"/>
      <c r="C8524" s="66"/>
      <c r="D8524" s="68"/>
      <c r="E8524" s="10"/>
      <c r="F8524" s="69"/>
      <c r="G8524" s="68"/>
      <c r="H8524" s="70"/>
      <c r="BA8524" s="4"/>
      <c r="BB8524" s="4"/>
    </row>
    <row r="8525" spans="1:54" x14ac:dyDescent="0.3">
      <c r="A8525" s="66"/>
      <c r="B8525" s="67"/>
      <c r="C8525" s="66"/>
      <c r="D8525" s="68"/>
      <c r="E8525" s="10"/>
      <c r="F8525" s="69"/>
      <c r="G8525" s="68"/>
      <c r="H8525" s="70"/>
      <c r="BA8525" s="4"/>
      <c r="BB8525" s="4"/>
    </row>
    <row r="8526" spans="1:54" x14ac:dyDescent="0.3">
      <c r="A8526" s="66"/>
      <c r="B8526" s="67"/>
      <c r="C8526" s="66"/>
      <c r="D8526" s="68"/>
      <c r="E8526" s="10"/>
      <c r="F8526" s="69"/>
      <c r="G8526" s="68"/>
      <c r="H8526" s="70"/>
      <c r="BA8526" s="4"/>
      <c r="BB8526" s="4"/>
    </row>
    <row r="8527" spans="1:54" x14ac:dyDescent="0.3">
      <c r="A8527" s="66"/>
      <c r="B8527" s="67"/>
      <c r="C8527" s="66"/>
      <c r="D8527" s="68"/>
      <c r="E8527" s="10"/>
      <c r="F8527" s="69"/>
      <c r="G8527" s="68"/>
      <c r="H8527" s="70"/>
      <c r="BA8527" s="4"/>
      <c r="BB8527" s="4"/>
    </row>
    <row r="8528" spans="1:54" x14ac:dyDescent="0.3">
      <c r="A8528" s="66"/>
      <c r="B8528" s="67"/>
      <c r="C8528" s="66"/>
      <c r="D8528" s="68"/>
      <c r="E8528" s="10"/>
      <c r="F8528" s="69"/>
      <c r="G8528" s="68"/>
      <c r="H8528" s="70"/>
      <c r="BA8528" s="4"/>
      <c r="BB8528" s="4"/>
    </row>
    <row r="8529" spans="1:54" x14ac:dyDescent="0.3">
      <c r="A8529" s="66"/>
      <c r="B8529" s="67"/>
      <c r="C8529" s="66"/>
      <c r="D8529" s="68"/>
      <c r="E8529" s="10"/>
      <c r="F8529" s="69"/>
      <c r="G8529" s="68"/>
      <c r="H8529" s="70"/>
      <c r="BA8529" s="4"/>
      <c r="BB8529" s="4"/>
    </row>
    <row r="8530" spans="1:54" x14ac:dyDescent="0.3">
      <c r="A8530" s="66"/>
      <c r="B8530" s="67"/>
      <c r="C8530" s="66"/>
      <c r="D8530" s="68"/>
      <c r="E8530" s="10"/>
      <c r="F8530" s="69"/>
      <c r="G8530" s="68"/>
      <c r="H8530" s="70"/>
      <c r="BA8530" s="4"/>
      <c r="BB8530" s="4"/>
    </row>
    <row r="8531" spans="1:54" x14ac:dyDescent="0.3">
      <c r="A8531" s="66"/>
      <c r="B8531" s="67"/>
      <c r="C8531" s="66"/>
      <c r="D8531" s="68"/>
      <c r="E8531" s="10"/>
      <c r="F8531" s="69"/>
      <c r="G8531" s="68"/>
      <c r="H8531" s="70"/>
      <c r="BA8531" s="4"/>
      <c r="BB8531" s="4"/>
    </row>
    <row r="8532" spans="1:54" x14ac:dyDescent="0.3">
      <c r="A8532" s="66"/>
      <c r="B8532" s="67"/>
      <c r="C8532" s="66"/>
      <c r="D8532" s="68"/>
      <c r="E8532" s="10"/>
      <c r="F8532" s="69"/>
      <c r="G8532" s="68"/>
      <c r="H8532" s="70"/>
      <c r="BA8532" s="4"/>
      <c r="BB8532" s="4"/>
    </row>
    <row r="8533" spans="1:54" x14ac:dyDescent="0.3">
      <c r="A8533" s="66"/>
      <c r="B8533" s="67"/>
      <c r="C8533" s="66"/>
      <c r="D8533" s="68"/>
      <c r="E8533" s="10"/>
      <c r="F8533" s="69"/>
      <c r="G8533" s="68"/>
      <c r="H8533" s="70"/>
      <c r="BA8533" s="4"/>
      <c r="BB8533" s="4"/>
    </row>
    <row r="8534" spans="1:54" x14ac:dyDescent="0.3">
      <c r="A8534" s="66"/>
      <c r="B8534" s="67"/>
      <c r="C8534" s="66"/>
      <c r="D8534" s="68"/>
      <c r="E8534" s="10"/>
      <c r="F8534" s="69"/>
      <c r="G8534" s="68"/>
      <c r="H8534" s="70"/>
      <c r="BA8534" s="4"/>
      <c r="BB8534" s="4"/>
    </row>
    <row r="8535" spans="1:54" x14ac:dyDescent="0.3">
      <c r="A8535" s="66"/>
      <c r="B8535" s="67"/>
      <c r="C8535" s="66"/>
      <c r="D8535" s="68"/>
      <c r="E8535" s="10"/>
      <c r="F8535" s="69"/>
      <c r="G8535" s="68"/>
      <c r="H8535" s="70"/>
      <c r="BA8535" s="4"/>
      <c r="BB8535" s="4"/>
    </row>
    <row r="8536" spans="1:54" x14ac:dyDescent="0.3">
      <c r="A8536" s="66"/>
      <c r="B8536" s="67"/>
      <c r="C8536" s="66"/>
      <c r="D8536" s="68"/>
      <c r="E8536" s="10"/>
      <c r="F8536" s="69"/>
      <c r="G8536" s="68"/>
      <c r="H8536" s="70"/>
      <c r="BA8536" s="4"/>
      <c r="BB8536" s="4"/>
    </row>
    <row r="8537" spans="1:54" x14ac:dyDescent="0.3">
      <c r="A8537" s="66"/>
      <c r="B8537" s="67"/>
      <c r="C8537" s="66"/>
      <c r="D8537" s="68"/>
      <c r="E8537" s="10"/>
      <c r="F8537" s="69"/>
      <c r="G8537" s="68"/>
      <c r="H8537" s="70"/>
      <c r="BA8537" s="4"/>
      <c r="BB8537" s="4"/>
    </row>
    <row r="8538" spans="1:54" x14ac:dyDescent="0.3">
      <c r="A8538" s="66"/>
      <c r="B8538" s="67"/>
      <c r="C8538" s="66"/>
      <c r="D8538" s="68"/>
      <c r="E8538" s="10"/>
      <c r="F8538" s="69"/>
      <c r="G8538" s="68"/>
      <c r="H8538" s="70"/>
      <c r="BA8538" s="4"/>
      <c r="BB8538" s="4"/>
    </row>
    <row r="8539" spans="1:54" x14ac:dyDescent="0.3">
      <c r="A8539" s="66"/>
      <c r="B8539" s="67"/>
      <c r="C8539" s="66"/>
      <c r="D8539" s="68"/>
      <c r="E8539" s="10"/>
      <c r="F8539" s="69"/>
      <c r="G8539" s="68"/>
      <c r="H8539" s="70"/>
      <c r="BA8539" s="4"/>
      <c r="BB8539" s="4"/>
    </row>
    <row r="8540" spans="1:54" x14ac:dyDescent="0.3">
      <c r="A8540" s="66"/>
      <c r="B8540" s="67"/>
      <c r="C8540" s="66"/>
      <c r="D8540" s="68"/>
      <c r="E8540" s="10"/>
      <c r="F8540" s="69"/>
      <c r="G8540" s="68"/>
      <c r="H8540" s="70"/>
      <c r="BA8540" s="4"/>
      <c r="BB8540" s="4"/>
    </row>
    <row r="8541" spans="1:54" x14ac:dyDescent="0.3">
      <c r="A8541" s="66"/>
      <c r="B8541" s="67"/>
      <c r="C8541" s="66"/>
      <c r="D8541" s="68"/>
      <c r="E8541" s="10"/>
      <c r="F8541" s="69"/>
      <c r="G8541" s="68"/>
      <c r="H8541" s="70"/>
      <c r="BA8541" s="4"/>
      <c r="BB8541" s="4"/>
    </row>
    <row r="8542" spans="1:54" x14ac:dyDescent="0.3">
      <c r="A8542" s="66"/>
      <c r="B8542" s="67"/>
      <c r="C8542" s="66"/>
      <c r="D8542" s="68"/>
      <c r="E8542" s="10"/>
      <c r="F8542" s="69"/>
      <c r="G8542" s="68"/>
      <c r="H8542" s="70"/>
      <c r="BA8542" s="4"/>
      <c r="BB8542" s="4"/>
    </row>
    <row r="8543" spans="1:54" x14ac:dyDescent="0.3">
      <c r="A8543" s="66"/>
      <c r="B8543" s="67"/>
      <c r="C8543" s="66"/>
      <c r="D8543" s="68"/>
      <c r="E8543" s="10"/>
      <c r="F8543" s="69"/>
      <c r="G8543" s="68"/>
      <c r="H8543" s="70"/>
      <c r="BA8543" s="4"/>
      <c r="BB8543" s="4"/>
    </row>
    <row r="8544" spans="1:54" x14ac:dyDescent="0.3">
      <c r="A8544" s="66"/>
      <c r="B8544" s="67"/>
      <c r="C8544" s="66"/>
      <c r="D8544" s="68"/>
      <c r="E8544" s="10"/>
      <c r="F8544" s="69"/>
      <c r="G8544" s="68"/>
      <c r="H8544" s="70"/>
      <c r="BA8544" s="4"/>
      <c r="BB8544" s="4"/>
    </row>
    <row r="8545" spans="1:54" x14ac:dyDescent="0.3">
      <c r="A8545" s="66"/>
      <c r="B8545" s="67"/>
      <c r="C8545" s="66"/>
      <c r="D8545" s="68"/>
      <c r="E8545" s="10"/>
      <c r="F8545" s="69"/>
      <c r="G8545" s="68"/>
      <c r="H8545" s="70"/>
      <c r="BA8545" s="4"/>
      <c r="BB8545" s="4"/>
    </row>
    <row r="8546" spans="1:54" x14ac:dyDescent="0.3">
      <c r="A8546" s="66"/>
      <c r="B8546" s="67"/>
      <c r="C8546" s="66"/>
      <c r="D8546" s="68"/>
      <c r="E8546" s="10"/>
      <c r="F8546" s="69"/>
      <c r="G8546" s="68"/>
      <c r="H8546" s="70"/>
      <c r="BA8546" s="4"/>
      <c r="BB8546" s="4"/>
    </row>
    <row r="8547" spans="1:54" x14ac:dyDescent="0.3">
      <c r="A8547" s="66"/>
      <c r="B8547" s="67"/>
      <c r="C8547" s="66"/>
      <c r="D8547" s="68"/>
      <c r="E8547" s="10"/>
      <c r="F8547" s="69"/>
      <c r="G8547" s="68"/>
      <c r="H8547" s="70"/>
      <c r="BA8547" s="4"/>
      <c r="BB8547" s="4"/>
    </row>
    <row r="8548" spans="1:54" x14ac:dyDescent="0.3">
      <c r="A8548" s="66"/>
      <c r="B8548" s="67"/>
      <c r="C8548" s="66"/>
      <c r="D8548" s="68"/>
      <c r="E8548" s="10"/>
      <c r="F8548" s="69"/>
      <c r="G8548" s="68"/>
      <c r="H8548" s="70"/>
      <c r="BA8548" s="4"/>
      <c r="BB8548" s="4"/>
    </row>
    <row r="8549" spans="1:54" x14ac:dyDescent="0.3">
      <c r="A8549" s="66"/>
      <c r="B8549" s="67"/>
      <c r="C8549" s="66"/>
      <c r="D8549" s="68"/>
      <c r="E8549" s="10"/>
      <c r="F8549" s="69"/>
      <c r="G8549" s="68"/>
      <c r="H8549" s="70"/>
      <c r="BA8549" s="4"/>
      <c r="BB8549" s="4"/>
    </row>
    <row r="8550" spans="1:54" x14ac:dyDescent="0.3">
      <c r="A8550" s="66"/>
      <c r="B8550" s="67"/>
      <c r="C8550" s="66"/>
      <c r="D8550" s="68"/>
      <c r="E8550" s="10"/>
      <c r="F8550" s="69"/>
      <c r="G8550" s="68"/>
      <c r="H8550" s="70"/>
      <c r="BA8550" s="4"/>
      <c r="BB8550" s="4"/>
    </row>
    <row r="8551" spans="1:54" x14ac:dyDescent="0.3">
      <c r="A8551" s="66"/>
      <c r="B8551" s="67"/>
      <c r="C8551" s="66"/>
      <c r="D8551" s="68"/>
      <c r="E8551" s="10"/>
      <c r="F8551" s="69"/>
      <c r="G8551" s="68"/>
      <c r="H8551" s="70"/>
      <c r="BA8551" s="4"/>
      <c r="BB8551" s="4"/>
    </row>
    <row r="8552" spans="1:54" x14ac:dyDescent="0.3">
      <c r="A8552" s="66"/>
      <c r="B8552" s="67"/>
      <c r="C8552" s="66"/>
      <c r="D8552" s="68"/>
      <c r="E8552" s="10"/>
      <c r="F8552" s="69"/>
      <c r="G8552" s="68"/>
      <c r="H8552" s="70"/>
      <c r="BA8552" s="4"/>
      <c r="BB8552" s="4"/>
    </row>
    <row r="8553" spans="1:54" x14ac:dyDescent="0.3">
      <c r="A8553" s="66"/>
      <c r="B8553" s="67"/>
      <c r="C8553" s="66"/>
      <c r="D8553" s="68"/>
      <c r="E8553" s="10"/>
      <c r="F8553" s="69"/>
      <c r="G8553" s="68"/>
      <c r="H8553" s="70"/>
      <c r="BA8553" s="4"/>
      <c r="BB8553" s="4"/>
    </row>
    <row r="8554" spans="1:54" x14ac:dyDescent="0.3">
      <c r="A8554" s="66"/>
      <c r="B8554" s="67"/>
      <c r="C8554" s="66"/>
      <c r="D8554" s="68"/>
      <c r="E8554" s="10"/>
      <c r="F8554" s="69"/>
      <c r="G8554" s="68"/>
      <c r="H8554" s="70"/>
      <c r="BA8554" s="4"/>
      <c r="BB8554" s="4"/>
    </row>
    <row r="8555" spans="1:54" x14ac:dyDescent="0.3">
      <c r="A8555" s="66"/>
      <c r="B8555" s="67"/>
      <c r="C8555" s="66"/>
      <c r="D8555" s="68"/>
      <c r="E8555" s="10"/>
      <c r="F8555" s="69"/>
      <c r="G8555" s="68"/>
      <c r="H8555" s="70"/>
      <c r="BA8555" s="4"/>
      <c r="BB8555" s="4"/>
    </row>
    <row r="8556" spans="1:54" x14ac:dyDescent="0.3">
      <c r="A8556" s="66"/>
      <c r="B8556" s="67"/>
      <c r="C8556" s="66"/>
      <c r="D8556" s="68"/>
      <c r="E8556" s="10"/>
      <c r="F8556" s="69"/>
      <c r="G8556" s="68"/>
      <c r="H8556" s="70"/>
      <c r="BA8556" s="4"/>
      <c r="BB8556" s="4"/>
    </row>
    <row r="8557" spans="1:54" x14ac:dyDescent="0.3">
      <c r="A8557" s="66"/>
      <c r="B8557" s="67"/>
      <c r="C8557" s="66"/>
      <c r="D8557" s="68"/>
      <c r="E8557" s="10"/>
      <c r="F8557" s="69"/>
      <c r="G8557" s="68"/>
      <c r="H8557" s="70"/>
      <c r="BA8557" s="4"/>
      <c r="BB8557" s="4"/>
    </row>
    <row r="8558" spans="1:54" x14ac:dyDescent="0.3">
      <c r="A8558" s="66"/>
      <c r="B8558" s="67"/>
      <c r="C8558" s="66"/>
      <c r="D8558" s="68"/>
      <c r="E8558" s="10"/>
      <c r="F8558" s="69"/>
      <c r="G8558" s="68"/>
      <c r="H8558" s="70"/>
      <c r="BA8558" s="4"/>
      <c r="BB8558" s="4"/>
    </row>
    <row r="8559" spans="1:54" x14ac:dyDescent="0.3">
      <c r="A8559" s="66"/>
      <c r="B8559" s="67"/>
      <c r="C8559" s="66"/>
      <c r="D8559" s="68"/>
      <c r="E8559" s="10"/>
      <c r="F8559" s="69"/>
      <c r="G8559" s="68"/>
      <c r="H8559" s="70"/>
      <c r="BA8559" s="4"/>
      <c r="BB8559" s="4"/>
    </row>
    <row r="8560" spans="1:54" x14ac:dyDescent="0.3">
      <c r="A8560" s="66"/>
      <c r="B8560" s="67"/>
      <c r="C8560" s="66"/>
      <c r="D8560" s="68"/>
      <c r="E8560" s="10"/>
      <c r="F8560" s="69"/>
      <c r="G8560" s="68"/>
      <c r="H8560" s="70"/>
      <c r="BA8560" s="4"/>
      <c r="BB8560" s="4"/>
    </row>
    <row r="8561" spans="1:54" x14ac:dyDescent="0.3">
      <c r="A8561" s="66"/>
      <c r="B8561" s="67"/>
      <c r="C8561" s="66"/>
      <c r="D8561" s="68"/>
      <c r="E8561" s="10"/>
      <c r="F8561" s="69"/>
      <c r="G8561" s="68"/>
      <c r="H8561" s="70"/>
      <c r="BA8561" s="4"/>
      <c r="BB8561" s="4"/>
    </row>
    <row r="8562" spans="1:54" x14ac:dyDescent="0.3">
      <c r="A8562" s="66"/>
      <c r="B8562" s="67"/>
      <c r="C8562" s="66"/>
      <c r="D8562" s="68"/>
      <c r="E8562" s="10"/>
      <c r="F8562" s="69"/>
      <c r="G8562" s="68"/>
      <c r="H8562" s="70"/>
      <c r="BA8562" s="4"/>
      <c r="BB8562" s="4"/>
    </row>
    <row r="8563" spans="1:54" x14ac:dyDescent="0.3">
      <c r="A8563" s="66"/>
      <c r="B8563" s="67"/>
      <c r="C8563" s="66"/>
      <c r="D8563" s="68"/>
      <c r="E8563" s="10"/>
      <c r="F8563" s="69"/>
      <c r="G8563" s="68"/>
      <c r="H8563" s="70"/>
      <c r="BA8563" s="4"/>
      <c r="BB8563" s="4"/>
    </row>
    <row r="8564" spans="1:54" x14ac:dyDescent="0.3">
      <c r="A8564" s="66"/>
      <c r="B8564" s="67"/>
      <c r="C8564" s="66"/>
      <c r="D8564" s="68"/>
      <c r="E8564" s="10"/>
      <c r="F8564" s="69"/>
      <c r="G8564" s="68"/>
      <c r="H8564" s="70"/>
      <c r="BA8564" s="4"/>
      <c r="BB8564" s="4"/>
    </row>
    <row r="8565" spans="1:54" x14ac:dyDescent="0.3">
      <c r="A8565" s="66"/>
      <c r="B8565" s="67"/>
      <c r="C8565" s="66"/>
      <c r="D8565" s="68"/>
      <c r="E8565" s="10"/>
      <c r="F8565" s="69"/>
      <c r="G8565" s="68"/>
      <c r="H8565" s="70"/>
      <c r="BA8565" s="4"/>
      <c r="BB8565" s="4"/>
    </row>
    <row r="8566" spans="1:54" x14ac:dyDescent="0.3">
      <c r="A8566" s="66"/>
      <c r="B8566" s="67"/>
      <c r="C8566" s="66"/>
      <c r="D8566" s="68"/>
      <c r="E8566" s="10"/>
      <c r="F8566" s="69"/>
      <c r="G8566" s="68"/>
      <c r="H8566" s="70"/>
      <c r="BA8566" s="4"/>
      <c r="BB8566" s="4"/>
    </row>
    <row r="8567" spans="1:54" x14ac:dyDescent="0.3">
      <c r="A8567" s="66"/>
      <c r="B8567" s="67"/>
      <c r="C8567" s="66"/>
      <c r="D8567" s="68"/>
      <c r="E8567" s="10"/>
      <c r="F8567" s="69"/>
      <c r="G8567" s="68"/>
      <c r="H8567" s="70"/>
      <c r="BA8567" s="4"/>
      <c r="BB8567" s="4"/>
    </row>
    <row r="8568" spans="1:54" x14ac:dyDescent="0.3">
      <c r="A8568" s="66"/>
      <c r="B8568" s="67"/>
      <c r="C8568" s="66"/>
      <c r="D8568" s="68"/>
      <c r="E8568" s="10"/>
      <c r="F8568" s="69"/>
      <c r="G8568" s="68"/>
      <c r="H8568" s="70"/>
      <c r="BA8568" s="4"/>
      <c r="BB8568" s="4"/>
    </row>
    <row r="8569" spans="1:54" x14ac:dyDescent="0.3">
      <c r="A8569" s="66"/>
      <c r="B8569" s="67"/>
      <c r="C8569" s="66"/>
      <c r="D8569" s="68"/>
      <c r="E8569" s="10"/>
      <c r="F8569" s="69"/>
      <c r="G8569" s="68"/>
      <c r="H8569" s="70"/>
      <c r="BA8569" s="4"/>
      <c r="BB8569" s="4"/>
    </row>
    <row r="8570" spans="1:54" x14ac:dyDescent="0.3">
      <c r="A8570" s="66"/>
      <c r="B8570" s="67"/>
      <c r="C8570" s="66"/>
      <c r="D8570" s="68"/>
      <c r="E8570" s="10"/>
      <c r="F8570" s="69"/>
      <c r="G8570" s="68"/>
      <c r="H8570" s="70"/>
      <c r="BA8570" s="4"/>
      <c r="BB8570" s="4"/>
    </row>
    <row r="8571" spans="1:54" x14ac:dyDescent="0.3">
      <c r="A8571" s="66"/>
      <c r="B8571" s="67"/>
      <c r="C8571" s="66"/>
      <c r="D8571" s="68"/>
      <c r="E8571" s="10"/>
      <c r="F8571" s="69"/>
      <c r="G8571" s="68"/>
      <c r="H8571" s="70"/>
      <c r="BA8571" s="4"/>
      <c r="BB8571" s="4"/>
    </row>
    <row r="8572" spans="1:54" x14ac:dyDescent="0.3">
      <c r="A8572" s="66"/>
      <c r="B8572" s="67"/>
      <c r="C8572" s="66"/>
      <c r="D8572" s="68"/>
      <c r="E8572" s="10"/>
      <c r="F8572" s="69"/>
      <c r="G8572" s="68"/>
      <c r="H8572" s="70"/>
      <c r="BA8572" s="4"/>
      <c r="BB8572" s="4"/>
    </row>
    <row r="8573" spans="1:54" x14ac:dyDescent="0.3">
      <c r="A8573" s="66"/>
      <c r="B8573" s="67"/>
      <c r="C8573" s="66"/>
      <c r="D8573" s="68"/>
      <c r="E8573" s="10"/>
      <c r="F8573" s="69"/>
      <c r="G8573" s="68"/>
      <c r="H8573" s="70"/>
      <c r="BA8573" s="4"/>
      <c r="BB8573" s="4"/>
    </row>
    <row r="8574" spans="1:54" x14ac:dyDescent="0.3">
      <c r="A8574" s="66"/>
      <c r="B8574" s="67"/>
      <c r="C8574" s="66"/>
      <c r="D8574" s="68"/>
      <c r="E8574" s="10"/>
      <c r="F8574" s="69"/>
      <c r="G8574" s="68"/>
      <c r="H8574" s="70"/>
      <c r="BA8574" s="4"/>
      <c r="BB8574" s="4"/>
    </row>
    <row r="8575" spans="1:54" x14ac:dyDescent="0.3">
      <c r="A8575" s="66"/>
      <c r="B8575" s="67"/>
      <c r="C8575" s="66"/>
      <c r="D8575" s="68"/>
      <c r="E8575" s="10"/>
      <c r="F8575" s="69"/>
      <c r="G8575" s="68"/>
      <c r="H8575" s="70"/>
      <c r="BA8575" s="4"/>
      <c r="BB8575" s="4"/>
    </row>
    <row r="8576" spans="1:54" x14ac:dyDescent="0.3">
      <c r="A8576" s="66"/>
      <c r="B8576" s="67"/>
      <c r="C8576" s="66"/>
      <c r="D8576" s="68"/>
      <c r="E8576" s="10"/>
      <c r="F8576" s="69"/>
      <c r="G8576" s="68"/>
      <c r="H8576" s="70"/>
      <c r="BA8576" s="4"/>
      <c r="BB8576" s="4"/>
    </row>
    <row r="8577" spans="1:54" x14ac:dyDescent="0.3">
      <c r="A8577" s="66"/>
      <c r="B8577" s="67"/>
      <c r="C8577" s="66"/>
      <c r="D8577" s="68"/>
      <c r="E8577" s="10"/>
      <c r="F8577" s="69"/>
      <c r="G8577" s="68"/>
      <c r="H8577" s="70"/>
      <c r="BA8577" s="4"/>
      <c r="BB8577" s="4"/>
    </row>
    <row r="8578" spans="1:54" x14ac:dyDescent="0.3">
      <c r="A8578" s="66"/>
      <c r="B8578" s="67"/>
      <c r="C8578" s="66"/>
      <c r="D8578" s="68"/>
      <c r="E8578" s="10"/>
      <c r="F8578" s="69"/>
      <c r="G8578" s="68"/>
      <c r="H8578" s="70"/>
      <c r="BA8578" s="4"/>
      <c r="BB8578" s="4"/>
    </row>
    <row r="8579" spans="1:54" x14ac:dyDescent="0.3">
      <c r="A8579" s="66"/>
      <c r="B8579" s="67"/>
      <c r="C8579" s="66"/>
      <c r="D8579" s="68"/>
      <c r="E8579" s="10"/>
      <c r="F8579" s="69"/>
      <c r="G8579" s="68"/>
      <c r="H8579" s="70"/>
      <c r="BA8579" s="4"/>
      <c r="BB8579" s="4"/>
    </row>
    <row r="8580" spans="1:54" x14ac:dyDescent="0.3">
      <c r="A8580" s="66"/>
      <c r="B8580" s="67"/>
      <c r="C8580" s="66"/>
      <c r="D8580" s="68"/>
      <c r="E8580" s="10"/>
      <c r="F8580" s="69"/>
      <c r="G8580" s="68"/>
      <c r="H8580" s="70"/>
      <c r="BA8580" s="4"/>
      <c r="BB8580" s="4"/>
    </row>
    <row r="8581" spans="1:54" x14ac:dyDescent="0.3">
      <c r="A8581" s="66"/>
      <c r="B8581" s="67"/>
      <c r="C8581" s="66"/>
      <c r="D8581" s="68"/>
      <c r="E8581" s="10"/>
      <c r="F8581" s="69"/>
      <c r="G8581" s="68"/>
      <c r="H8581" s="70"/>
      <c r="BA8581" s="4"/>
      <c r="BB8581" s="4"/>
    </row>
    <row r="8582" spans="1:54" x14ac:dyDescent="0.3">
      <c r="A8582" s="66"/>
      <c r="B8582" s="67"/>
      <c r="C8582" s="66"/>
      <c r="D8582" s="68"/>
      <c r="E8582" s="10"/>
      <c r="F8582" s="69"/>
      <c r="G8582" s="68"/>
      <c r="H8582" s="70"/>
      <c r="BA8582" s="4"/>
      <c r="BB8582" s="4"/>
    </row>
    <row r="8583" spans="1:54" x14ac:dyDescent="0.3">
      <c r="A8583" s="66"/>
      <c r="B8583" s="67"/>
      <c r="C8583" s="66"/>
      <c r="D8583" s="68"/>
      <c r="E8583" s="10"/>
      <c r="F8583" s="69"/>
      <c r="G8583" s="68"/>
      <c r="H8583" s="70"/>
      <c r="BA8583" s="4"/>
      <c r="BB8583" s="4"/>
    </row>
    <row r="8584" spans="1:54" x14ac:dyDescent="0.3">
      <c r="A8584" s="66"/>
      <c r="B8584" s="67"/>
      <c r="C8584" s="66"/>
      <c r="D8584" s="68"/>
      <c r="E8584" s="10"/>
      <c r="F8584" s="69"/>
      <c r="G8584" s="68"/>
      <c r="H8584" s="70"/>
      <c r="BA8584" s="4"/>
      <c r="BB8584" s="4"/>
    </row>
    <row r="8585" spans="1:54" x14ac:dyDescent="0.3">
      <c r="A8585" s="66"/>
      <c r="B8585" s="67"/>
      <c r="C8585" s="66"/>
      <c r="D8585" s="68"/>
      <c r="E8585" s="10"/>
      <c r="F8585" s="69"/>
      <c r="G8585" s="68"/>
      <c r="H8585" s="70"/>
      <c r="BA8585" s="4"/>
      <c r="BB8585" s="4"/>
    </row>
    <row r="8586" spans="1:54" x14ac:dyDescent="0.3">
      <c r="A8586" s="66"/>
      <c r="B8586" s="67"/>
      <c r="C8586" s="66"/>
      <c r="D8586" s="68"/>
      <c r="E8586" s="10"/>
      <c r="F8586" s="69"/>
      <c r="G8586" s="68"/>
      <c r="H8586" s="70"/>
      <c r="BA8586" s="4"/>
      <c r="BB8586" s="4"/>
    </row>
    <row r="8587" spans="1:54" x14ac:dyDescent="0.3">
      <c r="A8587" s="66"/>
      <c r="B8587" s="67"/>
      <c r="C8587" s="66"/>
      <c r="D8587" s="68"/>
      <c r="E8587" s="10"/>
      <c r="F8587" s="69"/>
      <c r="G8587" s="68"/>
      <c r="H8587" s="70"/>
      <c r="BA8587" s="4"/>
      <c r="BB8587" s="4"/>
    </row>
    <row r="8588" spans="1:54" x14ac:dyDescent="0.3">
      <c r="A8588" s="66"/>
      <c r="B8588" s="67"/>
      <c r="C8588" s="66"/>
      <c r="D8588" s="68"/>
      <c r="E8588" s="10"/>
      <c r="F8588" s="69"/>
      <c r="G8588" s="68"/>
      <c r="H8588" s="70"/>
      <c r="BA8588" s="4"/>
      <c r="BB8588" s="4"/>
    </row>
    <row r="8589" spans="1:54" x14ac:dyDescent="0.3">
      <c r="A8589" s="66"/>
      <c r="B8589" s="67"/>
      <c r="C8589" s="66"/>
      <c r="D8589" s="68"/>
      <c r="E8589" s="10"/>
      <c r="F8589" s="69"/>
      <c r="G8589" s="68"/>
      <c r="H8589" s="70"/>
      <c r="BA8589" s="4"/>
      <c r="BB8589" s="4"/>
    </row>
    <row r="8590" spans="1:54" x14ac:dyDescent="0.3">
      <c r="A8590" s="66"/>
      <c r="B8590" s="67"/>
      <c r="C8590" s="66"/>
      <c r="D8590" s="68"/>
      <c r="E8590" s="10"/>
      <c r="F8590" s="69"/>
      <c r="G8590" s="68"/>
      <c r="H8590" s="70"/>
      <c r="BA8590" s="4"/>
      <c r="BB8590" s="4"/>
    </row>
    <row r="8591" spans="1:54" x14ac:dyDescent="0.3">
      <c r="A8591" s="66"/>
      <c r="B8591" s="67"/>
      <c r="C8591" s="66"/>
      <c r="D8591" s="68"/>
      <c r="E8591" s="10"/>
      <c r="F8591" s="69"/>
      <c r="G8591" s="68"/>
      <c r="H8591" s="70"/>
      <c r="BA8591" s="4"/>
      <c r="BB8591" s="4"/>
    </row>
    <row r="8592" spans="1:54" x14ac:dyDescent="0.3">
      <c r="A8592" s="66"/>
      <c r="B8592" s="67"/>
      <c r="C8592" s="66"/>
      <c r="D8592" s="68"/>
      <c r="E8592" s="10"/>
      <c r="F8592" s="69"/>
      <c r="G8592" s="68"/>
      <c r="H8592" s="70"/>
      <c r="BA8592" s="4"/>
      <c r="BB8592" s="4"/>
    </row>
    <row r="8593" spans="1:54" x14ac:dyDescent="0.3">
      <c r="A8593" s="66"/>
      <c r="B8593" s="67"/>
      <c r="C8593" s="66"/>
      <c r="D8593" s="68"/>
      <c r="E8593" s="10"/>
      <c r="F8593" s="69"/>
      <c r="G8593" s="68"/>
      <c r="H8593" s="70"/>
      <c r="BA8593" s="4"/>
      <c r="BB8593" s="4"/>
    </row>
    <row r="8594" spans="1:54" x14ac:dyDescent="0.3">
      <c r="A8594" s="66"/>
      <c r="B8594" s="67"/>
      <c r="C8594" s="66"/>
      <c r="D8594" s="68"/>
      <c r="E8594" s="10"/>
      <c r="F8594" s="69"/>
      <c r="G8594" s="68"/>
      <c r="H8594" s="70"/>
      <c r="BA8594" s="4"/>
      <c r="BB8594" s="4"/>
    </row>
    <row r="8595" spans="1:54" x14ac:dyDescent="0.3">
      <c r="A8595" s="66"/>
      <c r="B8595" s="67"/>
      <c r="C8595" s="66"/>
      <c r="D8595" s="68"/>
      <c r="E8595" s="10"/>
      <c r="F8595" s="69"/>
      <c r="G8595" s="68"/>
      <c r="H8595" s="70"/>
      <c r="BA8595" s="4"/>
      <c r="BB8595" s="4"/>
    </row>
    <row r="8596" spans="1:54" x14ac:dyDescent="0.3">
      <c r="A8596" s="66"/>
      <c r="B8596" s="67"/>
      <c r="C8596" s="66"/>
      <c r="D8596" s="68"/>
      <c r="E8596" s="10"/>
      <c r="F8596" s="69"/>
      <c r="G8596" s="68"/>
      <c r="H8596" s="70"/>
      <c r="BA8596" s="4"/>
      <c r="BB8596" s="4"/>
    </row>
    <row r="8597" spans="1:54" x14ac:dyDescent="0.3">
      <c r="A8597" s="66"/>
      <c r="B8597" s="67"/>
      <c r="C8597" s="66"/>
      <c r="D8597" s="68"/>
      <c r="E8597" s="10"/>
      <c r="F8597" s="69"/>
      <c r="G8597" s="68"/>
      <c r="H8597" s="70"/>
      <c r="BA8597" s="4"/>
      <c r="BB8597" s="4"/>
    </row>
    <row r="8598" spans="1:54" x14ac:dyDescent="0.3">
      <c r="A8598" s="66"/>
      <c r="B8598" s="67"/>
      <c r="C8598" s="66"/>
      <c r="D8598" s="68"/>
      <c r="E8598" s="10"/>
      <c r="F8598" s="69"/>
      <c r="G8598" s="68"/>
      <c r="H8598" s="70"/>
      <c r="BA8598" s="4"/>
      <c r="BB8598" s="4"/>
    </row>
    <row r="8599" spans="1:54" x14ac:dyDescent="0.3">
      <c r="A8599" s="66"/>
      <c r="B8599" s="67"/>
      <c r="C8599" s="66"/>
      <c r="D8599" s="68"/>
      <c r="E8599" s="10"/>
      <c r="F8599" s="69"/>
      <c r="G8599" s="68"/>
      <c r="H8599" s="70"/>
      <c r="BA8599" s="4"/>
      <c r="BB8599" s="4"/>
    </row>
    <row r="8600" spans="1:54" x14ac:dyDescent="0.3">
      <c r="A8600" s="66"/>
      <c r="B8600" s="67"/>
      <c r="C8600" s="66"/>
      <c r="D8600" s="68"/>
      <c r="E8600" s="10"/>
      <c r="F8600" s="69"/>
      <c r="G8600" s="68"/>
      <c r="H8600" s="70"/>
      <c r="BA8600" s="4"/>
      <c r="BB8600" s="4"/>
    </row>
    <row r="8601" spans="1:54" x14ac:dyDescent="0.3">
      <c r="A8601" s="66"/>
      <c r="B8601" s="67"/>
      <c r="C8601" s="66"/>
      <c r="D8601" s="68"/>
      <c r="E8601" s="10"/>
      <c r="F8601" s="69"/>
      <c r="G8601" s="68"/>
      <c r="H8601" s="70"/>
      <c r="BA8601" s="4"/>
      <c r="BB8601" s="4"/>
    </row>
    <row r="8602" spans="1:54" x14ac:dyDescent="0.3">
      <c r="A8602" s="66"/>
      <c r="B8602" s="67"/>
      <c r="C8602" s="66"/>
      <c r="D8602" s="68"/>
      <c r="E8602" s="10"/>
      <c r="F8602" s="69"/>
      <c r="G8602" s="68"/>
      <c r="H8602" s="70"/>
      <c r="BA8602" s="4"/>
      <c r="BB8602" s="4"/>
    </row>
    <row r="8603" spans="1:54" x14ac:dyDescent="0.3">
      <c r="A8603" s="66"/>
      <c r="B8603" s="67"/>
      <c r="C8603" s="66"/>
      <c r="D8603" s="68"/>
      <c r="E8603" s="10"/>
      <c r="F8603" s="69"/>
      <c r="G8603" s="68"/>
      <c r="H8603" s="70"/>
      <c r="BA8603" s="4"/>
      <c r="BB8603" s="4"/>
    </row>
    <row r="8604" spans="1:54" x14ac:dyDescent="0.3">
      <c r="A8604" s="66"/>
      <c r="B8604" s="67"/>
      <c r="C8604" s="66"/>
      <c r="D8604" s="68"/>
      <c r="E8604" s="10"/>
      <c r="F8604" s="69"/>
      <c r="G8604" s="68"/>
      <c r="H8604" s="70"/>
      <c r="BA8604" s="4"/>
      <c r="BB8604" s="4"/>
    </row>
    <row r="8605" spans="1:54" x14ac:dyDescent="0.3">
      <c r="A8605" s="66"/>
      <c r="B8605" s="67"/>
      <c r="C8605" s="66"/>
      <c r="D8605" s="68"/>
      <c r="E8605" s="10"/>
      <c r="F8605" s="69"/>
      <c r="G8605" s="68"/>
      <c r="H8605" s="70"/>
      <c r="BA8605" s="4"/>
      <c r="BB8605" s="4"/>
    </row>
    <row r="8606" spans="1:54" x14ac:dyDescent="0.3">
      <c r="A8606" s="66"/>
      <c r="B8606" s="67"/>
      <c r="C8606" s="66"/>
      <c r="D8606" s="68"/>
      <c r="E8606" s="10"/>
      <c r="F8606" s="69"/>
      <c r="G8606" s="68"/>
      <c r="H8606" s="70"/>
      <c r="BA8606" s="4"/>
      <c r="BB8606" s="4"/>
    </row>
    <row r="8607" spans="1:54" x14ac:dyDescent="0.3">
      <c r="A8607" s="66"/>
      <c r="B8607" s="67"/>
      <c r="C8607" s="66"/>
      <c r="D8607" s="68"/>
      <c r="E8607" s="10"/>
      <c r="F8607" s="69"/>
      <c r="G8607" s="68"/>
      <c r="H8607" s="70"/>
      <c r="BA8607" s="4"/>
      <c r="BB8607" s="4"/>
    </row>
    <row r="8608" spans="1:54" x14ac:dyDescent="0.3">
      <c r="A8608" s="66"/>
      <c r="B8608" s="67"/>
      <c r="C8608" s="66"/>
      <c r="D8608" s="68"/>
      <c r="E8608" s="10"/>
      <c r="F8608" s="69"/>
      <c r="G8608" s="68"/>
      <c r="H8608" s="70"/>
      <c r="BA8608" s="4"/>
      <c r="BB8608" s="4"/>
    </row>
    <row r="8609" spans="1:54" x14ac:dyDescent="0.3">
      <c r="A8609" s="66"/>
      <c r="B8609" s="67"/>
      <c r="C8609" s="66"/>
      <c r="D8609" s="68"/>
      <c r="E8609" s="10"/>
      <c r="F8609" s="69"/>
      <c r="G8609" s="68"/>
      <c r="H8609" s="70"/>
      <c r="BA8609" s="4"/>
      <c r="BB8609" s="4"/>
    </row>
    <row r="8610" spans="1:54" x14ac:dyDescent="0.3">
      <c r="A8610" s="66"/>
      <c r="B8610" s="67"/>
      <c r="C8610" s="66"/>
      <c r="D8610" s="68"/>
      <c r="E8610" s="10"/>
      <c r="F8610" s="69"/>
      <c r="G8610" s="68"/>
      <c r="H8610" s="70"/>
      <c r="BA8610" s="4"/>
      <c r="BB8610" s="4"/>
    </row>
    <row r="8611" spans="1:54" x14ac:dyDescent="0.3">
      <c r="A8611" s="66"/>
      <c r="B8611" s="67"/>
      <c r="C8611" s="66"/>
      <c r="D8611" s="68"/>
      <c r="E8611" s="10"/>
      <c r="F8611" s="69"/>
      <c r="G8611" s="68"/>
      <c r="H8611" s="70"/>
      <c r="BA8611" s="4"/>
      <c r="BB8611" s="4"/>
    </row>
    <row r="8612" spans="1:54" x14ac:dyDescent="0.3">
      <c r="A8612" s="66"/>
      <c r="B8612" s="67"/>
      <c r="C8612" s="66"/>
      <c r="D8612" s="68"/>
      <c r="E8612" s="10"/>
      <c r="F8612" s="69"/>
      <c r="G8612" s="68"/>
      <c r="H8612" s="70"/>
      <c r="BA8612" s="4"/>
      <c r="BB8612" s="4"/>
    </row>
    <row r="8613" spans="1:54" x14ac:dyDescent="0.3">
      <c r="A8613" s="66"/>
      <c r="B8613" s="67"/>
      <c r="C8613" s="66"/>
      <c r="D8613" s="68"/>
      <c r="E8613" s="10"/>
      <c r="F8613" s="69"/>
      <c r="G8613" s="68"/>
      <c r="H8613" s="70"/>
      <c r="BA8613" s="4"/>
      <c r="BB8613" s="4"/>
    </row>
    <row r="8614" spans="1:54" x14ac:dyDescent="0.3">
      <c r="A8614" s="66"/>
      <c r="B8614" s="67"/>
      <c r="C8614" s="66"/>
      <c r="D8614" s="68"/>
      <c r="E8614" s="10"/>
      <c r="F8614" s="69"/>
      <c r="G8614" s="68"/>
      <c r="H8614" s="70"/>
      <c r="BA8614" s="4"/>
      <c r="BB8614" s="4"/>
    </row>
    <row r="8615" spans="1:54" x14ac:dyDescent="0.3">
      <c r="A8615" s="66"/>
      <c r="B8615" s="67"/>
      <c r="C8615" s="66"/>
      <c r="D8615" s="68"/>
      <c r="E8615" s="10"/>
      <c r="F8615" s="69"/>
      <c r="G8615" s="68"/>
      <c r="H8615" s="70"/>
      <c r="BA8615" s="4"/>
      <c r="BB8615" s="4"/>
    </row>
    <row r="8616" spans="1:54" x14ac:dyDescent="0.3">
      <c r="A8616" s="66"/>
      <c r="B8616" s="67"/>
      <c r="C8616" s="66"/>
      <c r="D8616" s="68"/>
      <c r="E8616" s="10"/>
      <c r="F8616" s="69"/>
      <c r="G8616" s="68"/>
      <c r="H8616" s="70"/>
      <c r="BA8616" s="4"/>
      <c r="BB8616" s="4"/>
    </row>
    <row r="8617" spans="1:54" x14ac:dyDescent="0.3">
      <c r="A8617" s="66"/>
      <c r="B8617" s="67"/>
      <c r="C8617" s="66"/>
      <c r="D8617" s="68"/>
      <c r="E8617" s="10"/>
      <c r="F8617" s="69"/>
      <c r="G8617" s="68"/>
      <c r="H8617" s="70"/>
      <c r="BA8617" s="4"/>
      <c r="BB8617" s="4"/>
    </row>
    <row r="8618" spans="1:54" x14ac:dyDescent="0.3">
      <c r="A8618" s="66"/>
      <c r="B8618" s="67"/>
      <c r="C8618" s="66"/>
      <c r="D8618" s="68"/>
      <c r="E8618" s="10"/>
      <c r="F8618" s="69"/>
      <c r="G8618" s="68"/>
      <c r="H8618" s="70"/>
      <c r="BA8618" s="4"/>
      <c r="BB8618" s="4"/>
    </row>
    <row r="8619" spans="1:54" x14ac:dyDescent="0.3">
      <c r="A8619" s="66"/>
      <c r="B8619" s="67"/>
      <c r="C8619" s="66"/>
      <c r="D8619" s="68"/>
      <c r="E8619" s="10"/>
      <c r="F8619" s="69"/>
      <c r="G8619" s="68"/>
      <c r="H8619" s="70"/>
      <c r="BA8619" s="4"/>
      <c r="BB8619" s="4"/>
    </row>
    <row r="8620" spans="1:54" x14ac:dyDescent="0.3">
      <c r="A8620" s="66"/>
      <c r="B8620" s="67"/>
      <c r="C8620" s="66"/>
      <c r="D8620" s="68"/>
      <c r="E8620" s="10"/>
      <c r="F8620" s="69"/>
      <c r="G8620" s="68"/>
      <c r="H8620" s="70"/>
      <c r="BA8620" s="4"/>
      <c r="BB8620" s="4"/>
    </row>
    <row r="8621" spans="1:54" x14ac:dyDescent="0.3">
      <c r="A8621" s="66"/>
      <c r="B8621" s="67"/>
      <c r="C8621" s="66"/>
      <c r="D8621" s="68"/>
      <c r="E8621" s="10"/>
      <c r="F8621" s="69"/>
      <c r="G8621" s="68"/>
      <c r="H8621" s="70"/>
      <c r="BA8621" s="4"/>
      <c r="BB8621" s="4"/>
    </row>
    <row r="8622" spans="1:54" x14ac:dyDescent="0.3">
      <c r="A8622" s="66"/>
      <c r="B8622" s="67"/>
      <c r="C8622" s="66"/>
      <c r="D8622" s="68"/>
      <c r="E8622" s="10"/>
      <c r="F8622" s="69"/>
      <c r="G8622" s="68"/>
      <c r="H8622" s="70"/>
      <c r="BA8622" s="4"/>
      <c r="BB8622" s="4"/>
    </row>
    <row r="8623" spans="1:54" x14ac:dyDescent="0.3">
      <c r="A8623" s="66"/>
      <c r="B8623" s="67"/>
      <c r="C8623" s="66"/>
      <c r="D8623" s="68"/>
      <c r="E8623" s="10"/>
      <c r="F8623" s="69"/>
      <c r="G8623" s="68"/>
      <c r="H8623" s="70"/>
      <c r="BA8623" s="4"/>
      <c r="BB8623" s="4"/>
    </row>
    <row r="8624" spans="1:54" x14ac:dyDescent="0.3">
      <c r="A8624" s="66"/>
      <c r="B8624" s="67"/>
      <c r="C8624" s="66"/>
      <c r="D8624" s="68"/>
      <c r="E8624" s="10"/>
      <c r="F8624" s="69"/>
      <c r="G8624" s="68"/>
      <c r="H8624" s="70"/>
      <c r="BA8624" s="4"/>
      <c r="BB8624" s="4"/>
    </row>
    <row r="8625" spans="1:54" x14ac:dyDescent="0.3">
      <c r="A8625" s="66"/>
      <c r="B8625" s="67"/>
      <c r="C8625" s="66"/>
      <c r="D8625" s="68"/>
      <c r="E8625" s="10"/>
      <c r="F8625" s="69"/>
      <c r="G8625" s="68"/>
      <c r="H8625" s="70"/>
      <c r="BA8625" s="4"/>
      <c r="BB8625" s="4"/>
    </row>
    <row r="8626" spans="1:54" x14ac:dyDescent="0.3">
      <c r="A8626" s="66"/>
      <c r="B8626" s="67"/>
      <c r="C8626" s="66"/>
      <c r="D8626" s="68"/>
      <c r="E8626" s="10"/>
      <c r="F8626" s="69"/>
      <c r="G8626" s="68"/>
      <c r="H8626" s="70"/>
      <c r="BA8626" s="4"/>
      <c r="BB8626" s="4"/>
    </row>
    <row r="8627" spans="1:54" x14ac:dyDescent="0.3">
      <c r="A8627" s="66"/>
      <c r="B8627" s="67"/>
      <c r="C8627" s="66"/>
      <c r="D8627" s="68"/>
      <c r="E8627" s="10"/>
      <c r="F8627" s="69"/>
      <c r="G8627" s="68"/>
      <c r="H8627" s="70"/>
      <c r="BA8627" s="4"/>
      <c r="BB8627" s="4"/>
    </row>
    <row r="8628" spans="1:54" x14ac:dyDescent="0.3">
      <c r="A8628" s="66"/>
      <c r="B8628" s="67"/>
      <c r="C8628" s="66"/>
      <c r="D8628" s="68"/>
      <c r="E8628" s="10"/>
      <c r="F8628" s="69"/>
      <c r="G8628" s="68"/>
      <c r="H8628" s="70"/>
      <c r="BA8628" s="4"/>
      <c r="BB8628" s="4"/>
    </row>
    <row r="8629" spans="1:54" x14ac:dyDescent="0.3">
      <c r="A8629" s="66"/>
      <c r="B8629" s="67"/>
      <c r="C8629" s="66"/>
      <c r="D8629" s="68"/>
      <c r="E8629" s="10"/>
      <c r="F8629" s="69"/>
      <c r="G8629" s="68"/>
      <c r="H8629" s="70"/>
      <c r="BA8629" s="4"/>
      <c r="BB8629" s="4"/>
    </row>
    <row r="8630" spans="1:54" x14ac:dyDescent="0.3">
      <c r="A8630" s="66"/>
      <c r="B8630" s="67"/>
      <c r="C8630" s="66"/>
      <c r="D8630" s="68"/>
      <c r="E8630" s="10"/>
      <c r="F8630" s="69"/>
      <c r="G8630" s="68"/>
      <c r="H8630" s="70"/>
      <c r="BA8630" s="4"/>
      <c r="BB8630" s="4"/>
    </row>
    <row r="8631" spans="1:54" x14ac:dyDescent="0.3">
      <c r="A8631" s="66"/>
      <c r="B8631" s="67"/>
      <c r="C8631" s="66"/>
      <c r="D8631" s="68"/>
      <c r="E8631" s="10"/>
      <c r="F8631" s="69"/>
      <c r="G8631" s="68"/>
      <c r="H8631" s="70"/>
      <c r="BA8631" s="4"/>
      <c r="BB8631" s="4"/>
    </row>
    <row r="8632" spans="1:54" x14ac:dyDescent="0.3">
      <c r="A8632" s="66"/>
      <c r="B8632" s="67"/>
      <c r="C8632" s="66"/>
      <c r="D8632" s="68"/>
      <c r="E8632" s="10"/>
      <c r="F8632" s="69"/>
      <c r="G8632" s="68"/>
      <c r="H8632" s="70"/>
      <c r="BA8632" s="4"/>
      <c r="BB8632" s="4"/>
    </row>
    <row r="8633" spans="1:54" x14ac:dyDescent="0.3">
      <c r="A8633" s="66"/>
      <c r="B8633" s="67"/>
      <c r="C8633" s="66"/>
      <c r="D8633" s="68"/>
      <c r="E8633" s="10"/>
      <c r="F8633" s="69"/>
      <c r="G8633" s="68"/>
      <c r="H8633" s="70"/>
      <c r="BA8633" s="4"/>
      <c r="BB8633" s="4"/>
    </row>
    <row r="8634" spans="1:54" x14ac:dyDescent="0.3">
      <c r="A8634" s="66"/>
      <c r="B8634" s="67"/>
      <c r="C8634" s="66"/>
      <c r="D8634" s="68"/>
      <c r="E8634" s="10"/>
      <c r="F8634" s="69"/>
      <c r="G8634" s="68"/>
      <c r="H8634" s="70"/>
      <c r="BA8634" s="4"/>
      <c r="BB8634" s="4"/>
    </row>
    <row r="8635" spans="1:54" x14ac:dyDescent="0.3">
      <c r="A8635" s="66"/>
      <c r="B8635" s="67"/>
      <c r="C8635" s="66"/>
      <c r="D8635" s="68"/>
      <c r="E8635" s="10"/>
      <c r="F8635" s="69"/>
      <c r="G8635" s="68"/>
      <c r="H8635" s="70"/>
      <c r="BA8635" s="4"/>
      <c r="BB8635" s="4"/>
    </row>
    <row r="8636" spans="1:54" x14ac:dyDescent="0.3">
      <c r="A8636" s="66"/>
      <c r="B8636" s="67"/>
      <c r="C8636" s="66"/>
      <c r="D8636" s="68"/>
      <c r="E8636" s="10"/>
      <c r="F8636" s="69"/>
      <c r="G8636" s="68"/>
      <c r="H8636" s="70"/>
      <c r="BA8636" s="4"/>
      <c r="BB8636" s="4"/>
    </row>
    <row r="8637" spans="1:54" x14ac:dyDescent="0.3">
      <c r="A8637" s="66"/>
      <c r="B8637" s="67"/>
      <c r="C8637" s="66"/>
      <c r="D8637" s="68"/>
      <c r="E8637" s="10"/>
      <c r="F8637" s="69"/>
      <c r="G8637" s="68"/>
      <c r="H8637" s="70"/>
      <c r="BA8637" s="4"/>
      <c r="BB8637" s="4"/>
    </row>
    <row r="8638" spans="1:54" x14ac:dyDescent="0.3">
      <c r="A8638" s="66"/>
      <c r="B8638" s="67"/>
      <c r="C8638" s="66"/>
      <c r="D8638" s="68"/>
      <c r="E8638" s="10"/>
      <c r="F8638" s="69"/>
      <c r="G8638" s="68"/>
      <c r="H8638" s="70"/>
      <c r="BA8638" s="4"/>
      <c r="BB8638" s="4"/>
    </row>
    <row r="8639" spans="1:54" x14ac:dyDescent="0.3">
      <c r="A8639" s="66"/>
      <c r="B8639" s="67"/>
      <c r="C8639" s="66"/>
      <c r="D8639" s="68"/>
      <c r="E8639" s="10"/>
      <c r="F8639" s="69"/>
      <c r="G8639" s="68"/>
      <c r="H8639" s="70"/>
      <c r="BA8639" s="4"/>
      <c r="BB8639" s="4"/>
    </row>
    <row r="8640" spans="1:54" x14ac:dyDescent="0.3">
      <c r="A8640" s="66"/>
      <c r="B8640" s="67"/>
      <c r="C8640" s="66"/>
      <c r="D8640" s="68"/>
      <c r="E8640" s="10"/>
      <c r="F8640" s="69"/>
      <c r="G8640" s="68"/>
      <c r="H8640" s="70"/>
      <c r="BA8640" s="4"/>
      <c r="BB8640" s="4"/>
    </row>
    <row r="8641" spans="1:54" x14ac:dyDescent="0.3">
      <c r="A8641" s="66"/>
      <c r="B8641" s="67"/>
      <c r="C8641" s="66"/>
      <c r="D8641" s="68"/>
      <c r="E8641" s="10"/>
      <c r="F8641" s="69"/>
      <c r="G8641" s="68"/>
      <c r="H8641" s="70"/>
      <c r="BA8641" s="4"/>
      <c r="BB8641" s="4"/>
    </row>
    <row r="8642" spans="1:54" x14ac:dyDescent="0.3">
      <c r="A8642" s="66"/>
      <c r="B8642" s="67"/>
      <c r="C8642" s="66"/>
      <c r="D8642" s="68"/>
      <c r="E8642" s="10"/>
      <c r="F8642" s="69"/>
      <c r="G8642" s="68"/>
      <c r="H8642" s="70"/>
      <c r="BA8642" s="4"/>
      <c r="BB8642" s="4"/>
    </row>
    <row r="8643" spans="1:54" x14ac:dyDescent="0.3">
      <c r="A8643" s="66"/>
      <c r="B8643" s="67"/>
      <c r="C8643" s="66"/>
      <c r="D8643" s="68"/>
      <c r="E8643" s="10"/>
      <c r="F8643" s="69"/>
      <c r="G8643" s="68"/>
      <c r="H8643" s="70"/>
      <c r="BA8643" s="4"/>
      <c r="BB8643" s="4"/>
    </row>
    <row r="8644" spans="1:54" x14ac:dyDescent="0.3">
      <c r="A8644" s="66"/>
      <c r="B8644" s="67"/>
      <c r="C8644" s="66"/>
      <c r="D8644" s="68"/>
      <c r="E8644" s="10"/>
      <c r="F8644" s="69"/>
      <c r="G8644" s="68"/>
      <c r="H8644" s="70"/>
      <c r="BA8644" s="4"/>
      <c r="BB8644" s="4"/>
    </row>
    <row r="8645" spans="1:54" x14ac:dyDescent="0.3">
      <c r="A8645" s="66"/>
      <c r="B8645" s="67"/>
      <c r="C8645" s="66"/>
      <c r="D8645" s="68"/>
      <c r="E8645" s="10"/>
      <c r="F8645" s="69"/>
      <c r="G8645" s="68"/>
      <c r="H8645" s="70"/>
      <c r="BA8645" s="4"/>
      <c r="BB8645" s="4"/>
    </row>
    <row r="8646" spans="1:54" x14ac:dyDescent="0.3">
      <c r="A8646" s="66"/>
      <c r="B8646" s="67"/>
      <c r="C8646" s="66"/>
      <c r="D8646" s="68"/>
      <c r="E8646" s="10"/>
      <c r="F8646" s="69"/>
      <c r="G8646" s="68"/>
      <c r="H8646" s="70"/>
      <c r="BA8646" s="4"/>
      <c r="BB8646" s="4"/>
    </row>
    <row r="8647" spans="1:54" x14ac:dyDescent="0.3">
      <c r="A8647" s="66"/>
      <c r="B8647" s="67"/>
      <c r="C8647" s="66"/>
      <c r="D8647" s="68"/>
      <c r="E8647" s="10"/>
      <c r="F8647" s="69"/>
      <c r="G8647" s="68"/>
      <c r="H8647" s="70"/>
      <c r="BA8647" s="4"/>
      <c r="BB8647" s="4"/>
    </row>
    <row r="8648" spans="1:54" x14ac:dyDescent="0.3">
      <c r="A8648" s="66"/>
      <c r="B8648" s="67"/>
      <c r="C8648" s="66"/>
      <c r="D8648" s="68"/>
      <c r="E8648" s="10"/>
      <c r="F8648" s="69"/>
      <c r="G8648" s="68"/>
      <c r="H8648" s="70"/>
      <c r="BA8648" s="4"/>
      <c r="BB8648" s="4"/>
    </row>
    <row r="8649" spans="1:54" x14ac:dyDescent="0.3">
      <c r="A8649" s="66"/>
      <c r="B8649" s="67"/>
      <c r="C8649" s="66"/>
      <c r="D8649" s="68"/>
      <c r="E8649" s="10"/>
      <c r="F8649" s="69"/>
      <c r="G8649" s="68"/>
      <c r="H8649" s="70"/>
      <c r="BA8649" s="4"/>
      <c r="BB8649" s="4"/>
    </row>
    <row r="8650" spans="1:54" x14ac:dyDescent="0.3">
      <c r="A8650" s="66"/>
      <c r="B8650" s="67"/>
      <c r="C8650" s="66"/>
      <c r="D8650" s="68"/>
      <c r="E8650" s="10"/>
      <c r="F8650" s="69"/>
      <c r="G8650" s="68"/>
      <c r="H8650" s="70"/>
      <c r="BA8650" s="4"/>
      <c r="BB8650" s="4"/>
    </row>
    <row r="8651" spans="1:54" x14ac:dyDescent="0.3">
      <c r="A8651" s="66"/>
      <c r="B8651" s="67"/>
      <c r="C8651" s="66"/>
      <c r="D8651" s="68"/>
      <c r="E8651" s="10"/>
      <c r="F8651" s="69"/>
      <c r="G8651" s="68"/>
      <c r="H8651" s="70"/>
      <c r="BA8651" s="4"/>
      <c r="BB8651" s="4"/>
    </row>
    <row r="8652" spans="1:54" x14ac:dyDescent="0.3">
      <c r="A8652" s="66"/>
      <c r="B8652" s="67"/>
      <c r="C8652" s="66"/>
      <c r="D8652" s="68"/>
      <c r="E8652" s="10"/>
      <c r="F8652" s="69"/>
      <c r="G8652" s="68"/>
      <c r="H8652" s="70"/>
      <c r="BA8652" s="4"/>
      <c r="BB8652" s="4"/>
    </row>
    <row r="8653" spans="1:54" x14ac:dyDescent="0.3">
      <c r="A8653" s="66"/>
      <c r="B8653" s="67"/>
      <c r="C8653" s="66"/>
      <c r="D8653" s="68"/>
      <c r="E8653" s="10"/>
      <c r="F8653" s="69"/>
      <c r="G8653" s="68"/>
      <c r="H8653" s="70"/>
      <c r="BA8653" s="4"/>
      <c r="BB8653" s="4"/>
    </row>
    <row r="8654" spans="1:54" x14ac:dyDescent="0.3">
      <c r="A8654" s="66"/>
      <c r="B8654" s="67"/>
      <c r="C8654" s="66"/>
      <c r="D8654" s="68"/>
      <c r="E8654" s="10"/>
      <c r="F8654" s="69"/>
      <c r="G8654" s="68"/>
      <c r="H8654" s="70"/>
      <c r="BA8654" s="4"/>
      <c r="BB8654" s="4"/>
    </row>
    <row r="8655" spans="1:54" x14ac:dyDescent="0.3">
      <c r="A8655" s="66"/>
      <c r="B8655" s="67"/>
      <c r="C8655" s="66"/>
      <c r="D8655" s="68"/>
      <c r="E8655" s="10"/>
      <c r="F8655" s="69"/>
      <c r="G8655" s="68"/>
      <c r="H8655" s="70"/>
      <c r="BA8655" s="4"/>
      <c r="BB8655" s="4"/>
    </row>
    <row r="8656" spans="1:54" x14ac:dyDescent="0.3">
      <c r="A8656" s="66"/>
      <c r="B8656" s="67"/>
      <c r="C8656" s="66"/>
      <c r="D8656" s="68"/>
      <c r="E8656" s="10"/>
      <c r="F8656" s="69"/>
      <c r="G8656" s="68"/>
      <c r="H8656" s="70"/>
      <c r="BA8656" s="4"/>
      <c r="BB8656" s="4"/>
    </row>
    <row r="8657" spans="1:54" x14ac:dyDescent="0.3">
      <c r="A8657" s="66"/>
      <c r="B8657" s="67"/>
      <c r="C8657" s="66"/>
      <c r="D8657" s="68"/>
      <c r="E8657" s="10"/>
      <c r="F8657" s="69"/>
      <c r="G8657" s="68"/>
      <c r="H8657" s="70"/>
      <c r="BA8657" s="4"/>
      <c r="BB8657" s="4"/>
    </row>
    <row r="8658" spans="1:54" x14ac:dyDescent="0.3">
      <c r="A8658" s="66"/>
      <c r="B8658" s="67"/>
      <c r="C8658" s="66"/>
      <c r="D8658" s="68"/>
      <c r="E8658" s="10"/>
      <c r="F8658" s="69"/>
      <c r="G8658" s="68"/>
      <c r="H8658" s="70"/>
      <c r="BA8658" s="4"/>
      <c r="BB8658" s="4"/>
    </row>
    <row r="8659" spans="1:54" x14ac:dyDescent="0.3">
      <c r="A8659" s="66"/>
      <c r="B8659" s="67"/>
      <c r="C8659" s="66"/>
      <c r="D8659" s="68"/>
      <c r="E8659" s="10"/>
      <c r="F8659" s="69"/>
      <c r="G8659" s="68"/>
      <c r="H8659" s="70"/>
      <c r="BA8659" s="4"/>
      <c r="BB8659" s="4"/>
    </row>
    <row r="8660" spans="1:54" x14ac:dyDescent="0.3">
      <c r="A8660" s="66"/>
      <c r="B8660" s="67"/>
      <c r="C8660" s="66"/>
      <c r="D8660" s="68"/>
      <c r="E8660" s="10"/>
      <c r="F8660" s="69"/>
      <c r="G8660" s="68"/>
      <c r="H8660" s="70"/>
      <c r="BA8660" s="4"/>
      <c r="BB8660" s="4"/>
    </row>
    <row r="8661" spans="1:54" x14ac:dyDescent="0.3">
      <c r="A8661" s="66"/>
      <c r="B8661" s="67"/>
      <c r="C8661" s="66"/>
      <c r="D8661" s="68"/>
      <c r="E8661" s="10"/>
      <c r="F8661" s="69"/>
      <c r="G8661" s="68"/>
      <c r="H8661" s="70"/>
      <c r="BA8661" s="4"/>
      <c r="BB8661" s="4"/>
    </row>
    <row r="8662" spans="1:54" x14ac:dyDescent="0.3">
      <c r="A8662" s="66"/>
      <c r="B8662" s="67"/>
      <c r="C8662" s="66"/>
      <c r="D8662" s="68"/>
      <c r="E8662" s="10"/>
      <c r="F8662" s="69"/>
      <c r="G8662" s="68"/>
      <c r="H8662" s="70"/>
      <c r="BA8662" s="4"/>
      <c r="BB8662" s="4"/>
    </row>
    <row r="8663" spans="1:54" x14ac:dyDescent="0.3">
      <c r="A8663" s="66"/>
      <c r="B8663" s="67"/>
      <c r="C8663" s="66"/>
      <c r="D8663" s="68"/>
      <c r="E8663" s="10"/>
      <c r="F8663" s="69"/>
      <c r="G8663" s="68"/>
      <c r="H8663" s="70"/>
      <c r="BA8663" s="4"/>
      <c r="BB8663" s="4"/>
    </row>
    <row r="8664" spans="1:54" x14ac:dyDescent="0.3">
      <c r="A8664" s="66"/>
      <c r="B8664" s="67"/>
      <c r="C8664" s="66"/>
      <c r="D8664" s="68"/>
      <c r="E8664" s="10"/>
      <c r="F8664" s="69"/>
      <c r="G8664" s="68"/>
      <c r="H8664" s="70"/>
      <c r="BA8664" s="4"/>
      <c r="BB8664" s="4"/>
    </row>
    <row r="8665" spans="1:54" x14ac:dyDescent="0.3">
      <c r="A8665" s="66"/>
      <c r="B8665" s="67"/>
      <c r="C8665" s="66"/>
      <c r="D8665" s="68"/>
      <c r="E8665" s="10"/>
      <c r="F8665" s="69"/>
      <c r="G8665" s="68"/>
      <c r="H8665" s="70"/>
      <c r="BA8665" s="4"/>
      <c r="BB8665" s="4"/>
    </row>
    <row r="8666" spans="1:54" x14ac:dyDescent="0.3">
      <c r="A8666" s="66"/>
      <c r="B8666" s="67"/>
      <c r="C8666" s="66"/>
      <c r="D8666" s="68"/>
      <c r="E8666" s="10"/>
      <c r="F8666" s="69"/>
      <c r="G8666" s="68"/>
      <c r="H8666" s="70"/>
      <c r="BA8666" s="4"/>
      <c r="BB8666" s="4"/>
    </row>
    <row r="8667" spans="1:54" x14ac:dyDescent="0.3">
      <c r="A8667" s="66"/>
      <c r="B8667" s="67"/>
      <c r="C8667" s="66"/>
      <c r="D8667" s="68"/>
      <c r="E8667" s="10"/>
      <c r="F8667" s="69"/>
      <c r="G8667" s="68"/>
      <c r="H8667" s="70"/>
      <c r="BA8667" s="4"/>
      <c r="BB8667" s="4"/>
    </row>
    <row r="8668" spans="1:54" x14ac:dyDescent="0.3">
      <c r="A8668" s="66"/>
      <c r="B8668" s="67"/>
      <c r="C8668" s="66"/>
      <c r="D8668" s="68"/>
      <c r="E8668" s="10"/>
      <c r="F8668" s="69"/>
      <c r="G8668" s="68"/>
      <c r="H8668" s="70"/>
      <c r="BA8668" s="4"/>
      <c r="BB8668" s="4"/>
    </row>
    <row r="8669" spans="1:54" x14ac:dyDescent="0.3">
      <c r="A8669" s="66"/>
      <c r="B8669" s="67"/>
      <c r="C8669" s="66"/>
      <c r="D8669" s="68"/>
      <c r="E8669" s="10"/>
      <c r="F8669" s="69"/>
      <c r="G8669" s="68"/>
      <c r="H8669" s="70"/>
      <c r="BA8669" s="4"/>
      <c r="BB8669" s="4"/>
    </row>
    <row r="8670" spans="1:54" x14ac:dyDescent="0.3">
      <c r="A8670" s="66"/>
      <c r="B8670" s="67"/>
      <c r="C8670" s="66"/>
      <c r="D8670" s="68"/>
      <c r="E8670" s="10"/>
      <c r="F8670" s="69"/>
      <c r="G8670" s="68"/>
      <c r="H8670" s="70"/>
      <c r="BA8670" s="4"/>
      <c r="BB8670" s="4"/>
    </row>
    <row r="8671" spans="1:54" x14ac:dyDescent="0.3">
      <c r="A8671" s="66"/>
      <c r="B8671" s="67"/>
      <c r="C8671" s="66"/>
      <c r="D8671" s="68"/>
      <c r="E8671" s="10"/>
      <c r="F8671" s="69"/>
      <c r="G8671" s="68"/>
      <c r="H8671" s="70"/>
      <c r="BA8671" s="4"/>
      <c r="BB8671" s="4"/>
    </row>
    <row r="8672" spans="1:54" x14ac:dyDescent="0.3">
      <c r="A8672" s="66"/>
      <c r="B8672" s="67"/>
      <c r="C8672" s="66"/>
      <c r="D8672" s="68"/>
      <c r="E8672" s="10"/>
      <c r="F8672" s="69"/>
      <c r="G8672" s="68"/>
      <c r="H8672" s="70"/>
      <c r="BA8672" s="4"/>
      <c r="BB8672" s="4"/>
    </row>
    <row r="8673" spans="1:54" x14ac:dyDescent="0.3">
      <c r="A8673" s="66"/>
      <c r="B8673" s="67"/>
      <c r="C8673" s="66"/>
      <c r="D8673" s="68"/>
      <c r="E8673" s="10"/>
      <c r="F8673" s="69"/>
      <c r="G8673" s="68"/>
      <c r="H8673" s="70"/>
      <c r="BA8673" s="4"/>
      <c r="BB8673" s="4"/>
    </row>
    <row r="8674" spans="1:54" x14ac:dyDescent="0.3">
      <c r="A8674" s="66"/>
      <c r="B8674" s="67"/>
      <c r="C8674" s="66"/>
      <c r="D8674" s="68"/>
      <c r="E8674" s="10"/>
      <c r="F8674" s="69"/>
      <c r="G8674" s="68"/>
      <c r="H8674" s="70"/>
      <c r="BA8674" s="4"/>
      <c r="BB8674" s="4"/>
    </row>
    <row r="8675" spans="1:54" x14ac:dyDescent="0.3">
      <c r="A8675" s="66"/>
      <c r="B8675" s="67"/>
      <c r="C8675" s="66"/>
      <c r="D8675" s="68"/>
      <c r="E8675" s="10"/>
      <c r="F8675" s="69"/>
      <c r="G8675" s="68"/>
      <c r="H8675" s="70"/>
      <c r="BA8675" s="4"/>
      <c r="BB8675" s="4"/>
    </row>
    <row r="8676" spans="1:54" x14ac:dyDescent="0.3">
      <c r="A8676" s="66"/>
      <c r="B8676" s="67"/>
      <c r="C8676" s="66"/>
      <c r="D8676" s="68"/>
      <c r="E8676" s="10"/>
      <c r="F8676" s="69"/>
      <c r="G8676" s="68"/>
      <c r="H8676" s="70"/>
      <c r="BA8676" s="4"/>
      <c r="BB8676" s="4"/>
    </row>
    <row r="8677" spans="1:54" x14ac:dyDescent="0.3">
      <c r="A8677" s="66"/>
      <c r="B8677" s="67"/>
      <c r="C8677" s="66"/>
      <c r="D8677" s="68"/>
      <c r="E8677" s="10"/>
      <c r="F8677" s="69"/>
      <c r="G8677" s="68"/>
      <c r="H8677" s="70"/>
      <c r="BA8677" s="4"/>
      <c r="BB8677" s="4"/>
    </row>
    <row r="8678" spans="1:54" x14ac:dyDescent="0.3">
      <c r="A8678" s="66"/>
      <c r="B8678" s="67"/>
      <c r="C8678" s="66"/>
      <c r="D8678" s="68"/>
      <c r="E8678" s="10"/>
      <c r="F8678" s="69"/>
      <c r="G8678" s="68"/>
      <c r="H8678" s="70"/>
      <c r="BA8678" s="4"/>
      <c r="BB8678" s="4"/>
    </row>
    <row r="8679" spans="1:54" x14ac:dyDescent="0.3">
      <c r="A8679" s="66"/>
      <c r="B8679" s="67"/>
      <c r="C8679" s="66"/>
      <c r="D8679" s="68"/>
      <c r="E8679" s="10"/>
      <c r="F8679" s="69"/>
      <c r="G8679" s="68"/>
      <c r="H8679" s="70"/>
      <c r="BA8679" s="4"/>
      <c r="BB8679" s="4"/>
    </row>
    <row r="8680" spans="1:54" x14ac:dyDescent="0.3">
      <c r="A8680" s="66"/>
      <c r="B8680" s="67"/>
      <c r="C8680" s="66"/>
      <c r="D8680" s="68"/>
      <c r="E8680" s="10"/>
      <c r="F8680" s="69"/>
      <c r="G8680" s="68"/>
      <c r="H8680" s="70"/>
      <c r="BA8680" s="4"/>
      <c r="BB8680" s="4"/>
    </row>
    <row r="8681" spans="1:54" x14ac:dyDescent="0.3">
      <c r="A8681" s="66"/>
      <c r="B8681" s="67"/>
      <c r="C8681" s="66"/>
      <c r="D8681" s="68"/>
      <c r="E8681" s="10"/>
      <c r="F8681" s="69"/>
      <c r="G8681" s="68"/>
      <c r="H8681" s="70"/>
      <c r="BA8681" s="4"/>
      <c r="BB8681" s="4"/>
    </row>
    <row r="8682" spans="1:54" x14ac:dyDescent="0.3">
      <c r="A8682" s="66"/>
      <c r="B8682" s="67"/>
      <c r="C8682" s="66"/>
      <c r="D8682" s="68"/>
      <c r="E8682" s="10"/>
      <c r="F8682" s="69"/>
      <c r="G8682" s="68"/>
      <c r="H8682" s="70"/>
      <c r="BA8682" s="4"/>
      <c r="BB8682" s="4"/>
    </row>
    <row r="8683" spans="1:54" x14ac:dyDescent="0.3">
      <c r="A8683" s="66"/>
      <c r="B8683" s="67"/>
      <c r="C8683" s="66"/>
      <c r="D8683" s="68"/>
      <c r="E8683" s="10"/>
      <c r="F8683" s="69"/>
      <c r="G8683" s="68"/>
      <c r="H8683" s="70"/>
      <c r="BA8683" s="4"/>
      <c r="BB8683" s="4"/>
    </row>
    <row r="8684" spans="1:54" x14ac:dyDescent="0.3">
      <c r="A8684" s="66"/>
      <c r="B8684" s="67"/>
      <c r="C8684" s="66"/>
      <c r="D8684" s="68"/>
      <c r="E8684" s="10"/>
      <c r="F8684" s="69"/>
      <c r="G8684" s="68"/>
      <c r="H8684" s="70"/>
      <c r="BA8684" s="4"/>
      <c r="BB8684" s="4"/>
    </row>
    <row r="8685" spans="1:54" x14ac:dyDescent="0.3">
      <c r="A8685" s="66"/>
      <c r="B8685" s="67"/>
      <c r="C8685" s="66"/>
      <c r="D8685" s="68"/>
      <c r="E8685" s="10"/>
      <c r="F8685" s="69"/>
      <c r="G8685" s="68"/>
      <c r="H8685" s="70"/>
      <c r="BA8685" s="4"/>
      <c r="BB8685" s="4"/>
    </row>
    <row r="8686" spans="1:54" x14ac:dyDescent="0.3">
      <c r="A8686" s="66"/>
      <c r="B8686" s="67"/>
      <c r="C8686" s="66"/>
      <c r="D8686" s="68"/>
      <c r="E8686" s="10"/>
      <c r="F8686" s="69"/>
      <c r="G8686" s="68"/>
      <c r="H8686" s="70"/>
      <c r="BA8686" s="4"/>
      <c r="BB8686" s="4"/>
    </row>
    <row r="8687" spans="1:54" x14ac:dyDescent="0.3">
      <c r="A8687" s="66"/>
      <c r="B8687" s="67"/>
      <c r="C8687" s="66"/>
      <c r="D8687" s="68"/>
      <c r="E8687" s="10"/>
      <c r="F8687" s="69"/>
      <c r="G8687" s="68"/>
      <c r="H8687" s="70"/>
      <c r="BA8687" s="4"/>
      <c r="BB8687" s="4"/>
    </row>
    <row r="8688" spans="1:54" x14ac:dyDescent="0.3">
      <c r="A8688" s="66"/>
      <c r="B8688" s="67"/>
      <c r="C8688" s="66"/>
      <c r="D8688" s="68"/>
      <c r="E8688" s="10"/>
      <c r="F8688" s="69"/>
      <c r="G8688" s="68"/>
      <c r="H8688" s="70"/>
      <c r="BA8688" s="4"/>
      <c r="BB8688" s="4"/>
    </row>
    <row r="8689" spans="1:54" x14ac:dyDescent="0.3">
      <c r="A8689" s="66"/>
      <c r="B8689" s="67"/>
      <c r="C8689" s="66"/>
      <c r="D8689" s="68"/>
      <c r="E8689" s="10"/>
      <c r="F8689" s="69"/>
      <c r="G8689" s="68"/>
      <c r="H8689" s="70"/>
      <c r="BA8689" s="4"/>
      <c r="BB8689" s="4"/>
    </row>
    <row r="8690" spans="1:54" x14ac:dyDescent="0.3">
      <c r="A8690" s="66"/>
      <c r="B8690" s="67"/>
      <c r="C8690" s="66"/>
      <c r="D8690" s="68"/>
      <c r="E8690" s="10"/>
      <c r="F8690" s="69"/>
      <c r="G8690" s="68"/>
      <c r="H8690" s="70"/>
      <c r="BA8690" s="4"/>
      <c r="BB8690" s="4"/>
    </row>
    <row r="8691" spans="1:54" x14ac:dyDescent="0.3">
      <c r="A8691" s="66"/>
      <c r="B8691" s="67"/>
      <c r="C8691" s="66"/>
      <c r="D8691" s="68"/>
      <c r="E8691" s="10"/>
      <c r="F8691" s="69"/>
      <c r="G8691" s="68"/>
      <c r="H8691" s="70"/>
      <c r="BA8691" s="4"/>
      <c r="BB8691" s="4"/>
    </row>
    <row r="8692" spans="1:54" x14ac:dyDescent="0.3">
      <c r="A8692" s="66"/>
      <c r="B8692" s="67"/>
      <c r="C8692" s="66"/>
      <c r="D8692" s="68"/>
      <c r="E8692" s="10"/>
      <c r="F8692" s="69"/>
      <c r="G8692" s="68"/>
      <c r="H8692" s="70"/>
      <c r="BA8692" s="4"/>
      <c r="BB8692" s="4"/>
    </row>
    <row r="8693" spans="1:54" x14ac:dyDescent="0.3">
      <c r="A8693" s="66"/>
      <c r="B8693" s="67"/>
      <c r="C8693" s="66"/>
      <c r="D8693" s="68"/>
      <c r="E8693" s="10"/>
      <c r="F8693" s="69"/>
      <c r="G8693" s="68"/>
      <c r="H8693" s="70"/>
      <c r="BA8693" s="4"/>
      <c r="BB8693" s="4"/>
    </row>
    <row r="8694" spans="1:54" x14ac:dyDescent="0.3">
      <c r="A8694" s="66"/>
      <c r="B8694" s="67"/>
      <c r="C8694" s="66"/>
      <c r="D8694" s="68"/>
      <c r="E8694" s="10"/>
      <c r="F8694" s="69"/>
      <c r="G8694" s="68"/>
      <c r="H8694" s="70"/>
      <c r="BA8694" s="4"/>
      <c r="BB8694" s="4"/>
    </row>
    <row r="8695" spans="1:54" x14ac:dyDescent="0.3">
      <c r="A8695" s="66"/>
      <c r="B8695" s="67"/>
      <c r="C8695" s="66"/>
      <c r="D8695" s="68"/>
      <c r="E8695" s="10"/>
      <c r="F8695" s="69"/>
      <c r="G8695" s="68"/>
      <c r="H8695" s="70"/>
      <c r="BA8695" s="4"/>
      <c r="BB8695" s="4"/>
    </row>
    <row r="8696" spans="1:54" x14ac:dyDescent="0.3">
      <c r="A8696" s="66"/>
      <c r="B8696" s="67"/>
      <c r="C8696" s="66"/>
      <c r="D8696" s="68"/>
      <c r="E8696" s="10"/>
      <c r="F8696" s="69"/>
      <c r="G8696" s="68"/>
      <c r="H8696" s="70"/>
      <c r="BA8696" s="4"/>
      <c r="BB8696" s="4"/>
    </row>
    <row r="8697" spans="1:54" x14ac:dyDescent="0.3">
      <c r="A8697" s="66"/>
      <c r="B8697" s="67"/>
      <c r="C8697" s="66"/>
      <c r="D8697" s="68"/>
      <c r="E8697" s="10"/>
      <c r="F8697" s="69"/>
      <c r="G8697" s="68"/>
      <c r="H8697" s="70"/>
      <c r="BA8697" s="4"/>
      <c r="BB8697" s="4"/>
    </row>
    <row r="8698" spans="1:54" x14ac:dyDescent="0.3">
      <c r="A8698" s="66"/>
      <c r="B8698" s="67"/>
      <c r="C8698" s="66"/>
      <c r="D8698" s="68"/>
      <c r="E8698" s="10"/>
      <c r="F8698" s="69"/>
      <c r="G8698" s="68"/>
      <c r="H8698" s="70"/>
      <c r="BA8698" s="4"/>
      <c r="BB8698" s="4"/>
    </row>
    <row r="8699" spans="1:54" x14ac:dyDescent="0.3">
      <c r="A8699" s="66"/>
      <c r="B8699" s="67"/>
      <c r="C8699" s="66"/>
      <c r="D8699" s="68"/>
      <c r="E8699" s="10"/>
      <c r="F8699" s="69"/>
      <c r="G8699" s="68"/>
      <c r="H8699" s="70"/>
      <c r="BA8699" s="4"/>
      <c r="BB8699" s="4"/>
    </row>
    <row r="8700" spans="1:54" x14ac:dyDescent="0.3">
      <c r="A8700" s="66"/>
      <c r="B8700" s="67"/>
      <c r="C8700" s="66"/>
      <c r="D8700" s="68"/>
      <c r="E8700" s="10"/>
      <c r="F8700" s="69"/>
      <c r="G8700" s="68"/>
      <c r="H8700" s="70"/>
      <c r="BA8700" s="4"/>
      <c r="BB8700" s="4"/>
    </row>
    <row r="8701" spans="1:54" x14ac:dyDescent="0.3">
      <c r="A8701" s="66"/>
      <c r="B8701" s="67"/>
      <c r="C8701" s="66"/>
      <c r="D8701" s="68"/>
      <c r="E8701" s="10"/>
      <c r="F8701" s="69"/>
      <c r="G8701" s="68"/>
      <c r="H8701" s="70"/>
      <c r="BA8701" s="4"/>
      <c r="BB8701" s="4"/>
    </row>
    <row r="8702" spans="1:54" x14ac:dyDescent="0.3">
      <c r="A8702" s="66"/>
      <c r="B8702" s="67"/>
      <c r="C8702" s="66"/>
      <c r="D8702" s="68"/>
      <c r="E8702" s="10"/>
      <c r="F8702" s="69"/>
      <c r="G8702" s="68"/>
      <c r="H8702" s="70"/>
      <c r="BA8702" s="4"/>
      <c r="BB8702" s="4"/>
    </row>
    <row r="8703" spans="1:54" x14ac:dyDescent="0.3">
      <c r="A8703" s="66"/>
      <c r="B8703" s="67"/>
      <c r="C8703" s="66"/>
      <c r="D8703" s="68"/>
      <c r="E8703" s="10"/>
      <c r="F8703" s="69"/>
      <c r="G8703" s="68"/>
      <c r="H8703" s="70"/>
      <c r="BA8703" s="4"/>
      <c r="BB8703" s="4"/>
    </row>
    <row r="8704" spans="1:54" x14ac:dyDescent="0.3">
      <c r="A8704" s="66"/>
      <c r="B8704" s="67"/>
      <c r="C8704" s="66"/>
      <c r="D8704" s="68"/>
      <c r="E8704" s="10"/>
      <c r="F8704" s="69"/>
      <c r="G8704" s="68"/>
      <c r="H8704" s="70"/>
      <c r="BA8704" s="4"/>
      <c r="BB8704" s="4"/>
    </row>
    <row r="8705" spans="1:54" x14ac:dyDescent="0.3">
      <c r="A8705" s="66"/>
      <c r="B8705" s="67"/>
      <c r="C8705" s="66"/>
      <c r="D8705" s="68"/>
      <c r="E8705" s="10"/>
      <c r="F8705" s="69"/>
      <c r="G8705" s="68"/>
      <c r="H8705" s="70"/>
      <c r="BA8705" s="4"/>
      <c r="BB8705" s="4"/>
    </row>
    <row r="8706" spans="1:54" x14ac:dyDescent="0.3">
      <c r="A8706" s="66"/>
      <c r="B8706" s="67"/>
      <c r="C8706" s="66"/>
      <c r="D8706" s="68"/>
      <c r="E8706" s="10"/>
      <c r="F8706" s="69"/>
      <c r="G8706" s="68"/>
      <c r="H8706" s="70"/>
      <c r="BA8706" s="4"/>
      <c r="BB8706" s="4"/>
    </row>
    <row r="8707" spans="1:54" x14ac:dyDescent="0.3">
      <c r="A8707" s="66"/>
      <c r="B8707" s="67"/>
      <c r="C8707" s="66"/>
      <c r="D8707" s="68"/>
      <c r="E8707" s="10"/>
      <c r="F8707" s="69"/>
      <c r="G8707" s="68"/>
      <c r="H8707" s="70"/>
      <c r="BA8707" s="4"/>
      <c r="BB8707" s="4"/>
    </row>
    <row r="8708" spans="1:54" x14ac:dyDescent="0.3">
      <c r="A8708" s="66"/>
      <c r="B8708" s="67"/>
      <c r="C8708" s="66"/>
      <c r="D8708" s="68"/>
      <c r="E8708" s="10"/>
      <c r="F8708" s="69"/>
      <c r="G8708" s="68"/>
      <c r="H8708" s="70"/>
      <c r="BA8708" s="4"/>
      <c r="BB8708" s="4"/>
    </row>
    <row r="8709" spans="1:54" x14ac:dyDescent="0.3">
      <c r="A8709" s="66"/>
      <c r="B8709" s="67"/>
      <c r="C8709" s="66"/>
      <c r="D8709" s="68"/>
      <c r="E8709" s="10"/>
      <c r="F8709" s="69"/>
      <c r="G8709" s="68"/>
      <c r="H8709" s="70"/>
      <c r="BA8709" s="4"/>
      <c r="BB8709" s="4"/>
    </row>
    <row r="8710" spans="1:54" x14ac:dyDescent="0.3">
      <c r="A8710" s="66"/>
      <c r="B8710" s="67"/>
      <c r="C8710" s="66"/>
      <c r="D8710" s="68"/>
      <c r="E8710" s="10"/>
      <c r="F8710" s="69"/>
      <c r="G8710" s="68"/>
      <c r="H8710" s="70"/>
      <c r="BA8710" s="4"/>
      <c r="BB8710" s="4"/>
    </row>
    <row r="8711" spans="1:54" x14ac:dyDescent="0.3">
      <c r="A8711" s="66"/>
      <c r="B8711" s="67"/>
      <c r="C8711" s="66"/>
      <c r="D8711" s="68"/>
      <c r="E8711" s="10"/>
      <c r="F8711" s="69"/>
      <c r="G8711" s="68"/>
      <c r="H8711" s="70"/>
      <c r="BA8711" s="4"/>
      <c r="BB8711" s="4"/>
    </row>
    <row r="8712" spans="1:54" x14ac:dyDescent="0.3">
      <c r="A8712" s="66"/>
      <c r="B8712" s="67"/>
      <c r="C8712" s="66"/>
      <c r="D8712" s="68"/>
      <c r="E8712" s="10"/>
      <c r="F8712" s="69"/>
      <c r="G8712" s="68"/>
      <c r="H8712" s="70"/>
      <c r="BA8712" s="4"/>
      <c r="BB8712" s="4"/>
    </row>
    <row r="8713" spans="1:54" x14ac:dyDescent="0.3">
      <c r="A8713" s="66"/>
      <c r="B8713" s="67"/>
      <c r="C8713" s="66"/>
      <c r="D8713" s="68"/>
      <c r="E8713" s="10"/>
      <c r="F8713" s="69"/>
      <c r="G8713" s="68"/>
      <c r="H8713" s="70"/>
      <c r="BA8713" s="4"/>
      <c r="BB8713" s="4"/>
    </row>
    <row r="8714" spans="1:54" x14ac:dyDescent="0.3">
      <c r="A8714" s="66"/>
      <c r="B8714" s="67"/>
      <c r="C8714" s="66"/>
      <c r="D8714" s="68"/>
      <c r="E8714" s="10"/>
      <c r="F8714" s="69"/>
      <c r="G8714" s="68"/>
      <c r="H8714" s="70"/>
      <c r="BA8714" s="4"/>
      <c r="BB8714" s="4"/>
    </row>
    <row r="8715" spans="1:54" x14ac:dyDescent="0.3">
      <c r="A8715" s="66"/>
      <c r="B8715" s="67"/>
      <c r="C8715" s="66"/>
      <c r="D8715" s="68"/>
      <c r="E8715" s="10"/>
      <c r="F8715" s="69"/>
      <c r="G8715" s="68"/>
      <c r="H8715" s="70"/>
      <c r="BA8715" s="4"/>
      <c r="BB8715" s="4"/>
    </row>
    <row r="8716" spans="1:54" x14ac:dyDescent="0.3">
      <c r="A8716" s="66"/>
      <c r="B8716" s="67"/>
      <c r="C8716" s="66"/>
      <c r="D8716" s="68"/>
      <c r="E8716" s="10"/>
      <c r="F8716" s="69"/>
      <c r="G8716" s="68"/>
      <c r="H8716" s="70"/>
      <c r="BA8716" s="4"/>
      <c r="BB8716" s="4"/>
    </row>
    <row r="8717" spans="1:54" x14ac:dyDescent="0.3">
      <c r="A8717" s="66"/>
      <c r="B8717" s="67"/>
      <c r="C8717" s="66"/>
      <c r="D8717" s="68"/>
      <c r="E8717" s="10"/>
      <c r="F8717" s="69"/>
      <c r="G8717" s="68"/>
      <c r="H8717" s="70"/>
      <c r="BA8717" s="4"/>
      <c r="BB8717" s="4"/>
    </row>
    <row r="8718" spans="1:54" x14ac:dyDescent="0.3">
      <c r="A8718" s="66"/>
      <c r="B8718" s="67"/>
      <c r="C8718" s="66"/>
      <c r="D8718" s="68"/>
      <c r="E8718" s="10"/>
      <c r="F8718" s="69"/>
      <c r="G8718" s="68"/>
      <c r="H8718" s="70"/>
      <c r="BA8718" s="4"/>
      <c r="BB8718" s="4"/>
    </row>
    <row r="8719" spans="1:54" x14ac:dyDescent="0.3">
      <c r="A8719" s="66"/>
      <c r="B8719" s="67"/>
      <c r="C8719" s="66"/>
      <c r="D8719" s="68"/>
      <c r="E8719" s="10"/>
      <c r="F8719" s="69"/>
      <c r="G8719" s="68"/>
      <c r="H8719" s="70"/>
      <c r="BA8719" s="4"/>
      <c r="BB8719" s="4"/>
    </row>
    <row r="8720" spans="1:54" x14ac:dyDescent="0.3">
      <c r="A8720" s="66"/>
      <c r="B8720" s="67"/>
      <c r="C8720" s="66"/>
      <c r="D8720" s="68"/>
      <c r="E8720" s="10"/>
      <c r="F8720" s="69"/>
      <c r="G8720" s="68"/>
      <c r="H8720" s="70"/>
      <c r="BA8720" s="4"/>
      <c r="BB8720" s="4"/>
    </row>
    <row r="8721" spans="1:54" x14ac:dyDescent="0.3">
      <c r="A8721" s="66"/>
      <c r="B8721" s="67"/>
      <c r="C8721" s="66"/>
      <c r="D8721" s="68"/>
      <c r="E8721" s="10"/>
      <c r="F8721" s="69"/>
      <c r="G8721" s="68"/>
      <c r="H8721" s="70"/>
      <c r="BA8721" s="4"/>
      <c r="BB8721" s="4"/>
    </row>
    <row r="8722" spans="1:54" x14ac:dyDescent="0.3">
      <c r="A8722" s="66"/>
      <c r="B8722" s="67"/>
      <c r="C8722" s="66"/>
      <c r="D8722" s="68"/>
      <c r="E8722" s="10"/>
      <c r="F8722" s="69"/>
      <c r="G8722" s="68"/>
      <c r="H8722" s="70"/>
      <c r="BA8722" s="4"/>
      <c r="BB8722" s="4"/>
    </row>
    <row r="8723" spans="1:54" x14ac:dyDescent="0.3">
      <c r="A8723" s="66"/>
      <c r="B8723" s="67"/>
      <c r="C8723" s="66"/>
      <c r="D8723" s="68"/>
      <c r="E8723" s="10"/>
      <c r="F8723" s="69"/>
      <c r="G8723" s="68"/>
      <c r="H8723" s="70"/>
      <c r="BA8723" s="4"/>
      <c r="BB8723" s="4"/>
    </row>
    <row r="8724" spans="1:54" x14ac:dyDescent="0.3">
      <c r="A8724" s="66"/>
      <c r="B8724" s="67"/>
      <c r="C8724" s="66"/>
      <c r="D8724" s="68"/>
      <c r="E8724" s="10"/>
      <c r="F8724" s="69"/>
      <c r="G8724" s="68"/>
      <c r="H8724" s="70"/>
      <c r="BA8724" s="4"/>
      <c r="BB8724" s="4"/>
    </row>
    <row r="8725" spans="1:54" x14ac:dyDescent="0.3">
      <c r="A8725" s="66"/>
      <c r="B8725" s="67"/>
      <c r="C8725" s="66"/>
      <c r="D8725" s="68"/>
      <c r="E8725" s="10"/>
      <c r="F8725" s="69"/>
      <c r="G8725" s="68"/>
      <c r="H8725" s="70"/>
      <c r="BA8725" s="4"/>
      <c r="BB8725" s="4"/>
    </row>
    <row r="8726" spans="1:54" x14ac:dyDescent="0.3">
      <c r="A8726" s="66"/>
      <c r="B8726" s="67"/>
      <c r="C8726" s="66"/>
      <c r="D8726" s="68"/>
      <c r="E8726" s="10"/>
      <c r="F8726" s="69"/>
      <c r="G8726" s="68"/>
      <c r="H8726" s="70"/>
      <c r="BA8726" s="4"/>
      <c r="BB8726" s="4"/>
    </row>
    <row r="8727" spans="1:54" x14ac:dyDescent="0.3">
      <c r="A8727" s="66"/>
      <c r="B8727" s="67"/>
      <c r="C8727" s="66"/>
      <c r="D8727" s="68"/>
      <c r="E8727" s="10"/>
      <c r="F8727" s="69"/>
      <c r="G8727" s="68"/>
      <c r="H8727" s="70"/>
      <c r="BA8727" s="4"/>
      <c r="BB8727" s="4"/>
    </row>
    <row r="8728" spans="1:54" x14ac:dyDescent="0.3">
      <c r="A8728" s="66"/>
      <c r="B8728" s="67"/>
      <c r="C8728" s="66"/>
      <c r="D8728" s="68"/>
      <c r="E8728" s="10"/>
      <c r="F8728" s="69"/>
      <c r="G8728" s="68"/>
      <c r="H8728" s="70"/>
      <c r="BA8728" s="4"/>
      <c r="BB8728" s="4"/>
    </row>
    <row r="8729" spans="1:54" x14ac:dyDescent="0.3">
      <c r="A8729" s="66"/>
      <c r="B8729" s="67"/>
      <c r="C8729" s="66"/>
      <c r="D8729" s="68"/>
      <c r="E8729" s="10"/>
      <c r="F8729" s="69"/>
      <c r="G8729" s="68"/>
      <c r="H8729" s="70"/>
      <c r="BA8729" s="4"/>
      <c r="BB8729" s="4"/>
    </row>
    <row r="8730" spans="1:54" x14ac:dyDescent="0.3">
      <c r="A8730" s="66"/>
      <c r="B8730" s="67"/>
      <c r="C8730" s="66"/>
      <c r="D8730" s="68"/>
      <c r="E8730" s="10"/>
      <c r="F8730" s="69"/>
      <c r="G8730" s="68"/>
      <c r="H8730" s="70"/>
      <c r="BA8730" s="4"/>
      <c r="BB8730" s="4"/>
    </row>
    <row r="8731" spans="1:54" x14ac:dyDescent="0.3">
      <c r="A8731" s="66"/>
      <c r="B8731" s="67"/>
      <c r="C8731" s="66"/>
      <c r="D8731" s="68"/>
      <c r="E8731" s="10"/>
      <c r="F8731" s="69"/>
      <c r="G8731" s="68"/>
      <c r="H8731" s="70"/>
      <c r="BA8731" s="4"/>
      <c r="BB8731" s="4"/>
    </row>
    <row r="8732" spans="1:54" x14ac:dyDescent="0.3">
      <c r="A8732" s="66"/>
      <c r="B8732" s="67"/>
      <c r="C8732" s="66"/>
      <c r="D8732" s="68"/>
      <c r="E8732" s="10"/>
      <c r="F8732" s="69"/>
      <c r="G8732" s="68"/>
      <c r="H8732" s="70"/>
      <c r="BA8732" s="4"/>
      <c r="BB8732" s="4"/>
    </row>
    <row r="8733" spans="1:54" x14ac:dyDescent="0.3">
      <c r="A8733" s="66"/>
      <c r="B8733" s="67"/>
      <c r="C8733" s="66"/>
      <c r="D8733" s="68"/>
      <c r="E8733" s="10"/>
      <c r="F8733" s="69"/>
      <c r="G8733" s="68"/>
      <c r="H8733" s="70"/>
      <c r="BA8733" s="4"/>
      <c r="BB8733" s="4"/>
    </row>
    <row r="8734" spans="1:54" x14ac:dyDescent="0.3">
      <c r="A8734" s="66"/>
      <c r="B8734" s="67"/>
      <c r="C8734" s="66"/>
      <c r="D8734" s="68"/>
      <c r="E8734" s="10"/>
      <c r="F8734" s="69"/>
      <c r="G8734" s="68"/>
      <c r="H8734" s="70"/>
      <c r="BA8734" s="4"/>
      <c r="BB8734" s="4"/>
    </row>
    <row r="8735" spans="1:54" x14ac:dyDescent="0.3">
      <c r="A8735" s="66"/>
      <c r="B8735" s="67"/>
      <c r="C8735" s="66"/>
      <c r="D8735" s="68"/>
      <c r="E8735" s="10"/>
      <c r="F8735" s="69"/>
      <c r="G8735" s="68"/>
      <c r="H8735" s="70"/>
      <c r="BA8735" s="4"/>
      <c r="BB8735" s="4"/>
    </row>
    <row r="8736" spans="1:54" x14ac:dyDescent="0.3">
      <c r="A8736" s="66"/>
      <c r="B8736" s="67"/>
      <c r="C8736" s="66"/>
      <c r="D8736" s="68"/>
      <c r="E8736" s="10"/>
      <c r="F8736" s="69"/>
      <c r="G8736" s="68"/>
      <c r="H8736" s="70"/>
      <c r="BA8736" s="4"/>
      <c r="BB8736" s="4"/>
    </row>
    <row r="8737" spans="1:54" x14ac:dyDescent="0.3">
      <c r="A8737" s="66"/>
      <c r="B8737" s="67"/>
      <c r="C8737" s="66"/>
      <c r="D8737" s="68"/>
      <c r="E8737" s="10"/>
      <c r="F8737" s="69"/>
      <c r="G8737" s="68"/>
      <c r="H8737" s="70"/>
      <c r="BA8737" s="4"/>
      <c r="BB8737" s="4"/>
    </row>
    <row r="8738" spans="1:54" x14ac:dyDescent="0.3">
      <c r="A8738" s="66"/>
      <c r="B8738" s="67"/>
      <c r="C8738" s="66"/>
      <c r="D8738" s="68"/>
      <c r="E8738" s="10"/>
      <c r="F8738" s="69"/>
      <c r="G8738" s="68"/>
      <c r="H8738" s="70"/>
      <c r="BA8738" s="4"/>
      <c r="BB8738" s="4"/>
    </row>
    <row r="8739" spans="1:54" x14ac:dyDescent="0.3">
      <c r="A8739" s="66"/>
      <c r="B8739" s="67"/>
      <c r="C8739" s="66"/>
      <c r="D8739" s="68"/>
      <c r="E8739" s="10"/>
      <c r="F8739" s="69"/>
      <c r="G8739" s="68"/>
      <c r="H8739" s="70"/>
      <c r="BA8739" s="4"/>
      <c r="BB8739" s="4"/>
    </row>
    <row r="8740" spans="1:54" x14ac:dyDescent="0.3">
      <c r="A8740" s="66"/>
      <c r="B8740" s="67"/>
      <c r="C8740" s="66"/>
      <c r="D8740" s="68"/>
      <c r="E8740" s="10"/>
      <c r="F8740" s="69"/>
      <c r="G8740" s="68"/>
      <c r="H8740" s="70"/>
      <c r="BA8740" s="4"/>
      <c r="BB8740" s="4"/>
    </row>
    <row r="8741" spans="1:54" x14ac:dyDescent="0.3">
      <c r="A8741" s="66"/>
      <c r="B8741" s="67"/>
      <c r="C8741" s="66"/>
      <c r="D8741" s="68"/>
      <c r="E8741" s="10"/>
      <c r="F8741" s="69"/>
      <c r="G8741" s="68"/>
      <c r="H8741" s="70"/>
      <c r="BA8741" s="4"/>
      <c r="BB8741" s="4"/>
    </row>
    <row r="8742" spans="1:54" x14ac:dyDescent="0.3">
      <c r="A8742" s="66"/>
      <c r="B8742" s="67"/>
      <c r="C8742" s="66"/>
      <c r="D8742" s="68"/>
      <c r="E8742" s="10"/>
      <c r="F8742" s="69"/>
      <c r="G8742" s="68"/>
      <c r="H8742" s="70"/>
      <c r="BA8742" s="4"/>
      <c r="BB8742" s="4"/>
    </row>
    <row r="8743" spans="1:54" x14ac:dyDescent="0.3">
      <c r="A8743" s="66"/>
      <c r="B8743" s="67"/>
      <c r="C8743" s="66"/>
      <c r="D8743" s="68"/>
      <c r="E8743" s="10"/>
      <c r="F8743" s="69"/>
      <c r="G8743" s="68"/>
      <c r="H8743" s="70"/>
      <c r="BA8743" s="4"/>
      <c r="BB8743" s="4"/>
    </row>
    <row r="8744" spans="1:54" x14ac:dyDescent="0.3">
      <c r="A8744" s="66"/>
      <c r="B8744" s="67"/>
      <c r="C8744" s="66"/>
      <c r="D8744" s="68"/>
      <c r="E8744" s="10"/>
      <c r="F8744" s="69"/>
      <c r="G8744" s="68"/>
      <c r="H8744" s="70"/>
      <c r="BA8744" s="4"/>
      <c r="BB8744" s="4"/>
    </row>
    <row r="8745" spans="1:54" x14ac:dyDescent="0.3">
      <c r="A8745" s="66"/>
      <c r="B8745" s="67"/>
      <c r="C8745" s="66"/>
      <c r="D8745" s="68"/>
      <c r="E8745" s="10"/>
      <c r="F8745" s="69"/>
      <c r="G8745" s="68"/>
      <c r="H8745" s="70"/>
      <c r="BA8745" s="4"/>
      <c r="BB8745" s="4"/>
    </row>
    <row r="8746" spans="1:54" x14ac:dyDescent="0.3">
      <c r="A8746" s="66"/>
      <c r="B8746" s="67"/>
      <c r="C8746" s="66"/>
      <c r="D8746" s="68"/>
      <c r="E8746" s="10"/>
      <c r="F8746" s="69"/>
      <c r="G8746" s="68"/>
      <c r="H8746" s="70"/>
      <c r="BA8746" s="4"/>
      <c r="BB8746" s="4"/>
    </row>
    <row r="8747" spans="1:54" x14ac:dyDescent="0.3">
      <c r="A8747" s="66"/>
      <c r="B8747" s="67"/>
      <c r="C8747" s="66"/>
      <c r="D8747" s="68"/>
      <c r="E8747" s="10"/>
      <c r="F8747" s="69"/>
      <c r="G8747" s="68"/>
      <c r="H8747" s="70"/>
      <c r="BA8747" s="4"/>
      <c r="BB8747" s="4"/>
    </row>
    <row r="8748" spans="1:54" x14ac:dyDescent="0.3">
      <c r="A8748" s="66"/>
      <c r="B8748" s="67"/>
      <c r="C8748" s="66"/>
      <c r="D8748" s="68"/>
      <c r="E8748" s="10"/>
      <c r="F8748" s="69"/>
      <c r="G8748" s="68"/>
      <c r="H8748" s="70"/>
      <c r="BA8748" s="4"/>
      <c r="BB8748" s="4"/>
    </row>
    <row r="8749" spans="1:54" x14ac:dyDescent="0.3">
      <c r="A8749" s="66"/>
      <c r="B8749" s="67"/>
      <c r="C8749" s="66"/>
      <c r="D8749" s="68"/>
      <c r="E8749" s="10"/>
      <c r="F8749" s="69"/>
      <c r="G8749" s="68"/>
      <c r="H8749" s="70"/>
      <c r="BA8749" s="4"/>
      <c r="BB8749" s="4"/>
    </row>
    <row r="8750" spans="1:54" x14ac:dyDescent="0.3">
      <c r="A8750" s="66"/>
      <c r="B8750" s="67"/>
      <c r="C8750" s="66"/>
      <c r="D8750" s="68"/>
      <c r="E8750" s="10"/>
      <c r="F8750" s="69"/>
      <c r="G8750" s="68"/>
      <c r="H8750" s="70"/>
      <c r="BA8750" s="4"/>
      <c r="BB8750" s="4"/>
    </row>
    <row r="8751" spans="1:54" x14ac:dyDescent="0.3">
      <c r="A8751" s="66"/>
      <c r="B8751" s="67"/>
      <c r="C8751" s="66"/>
      <c r="D8751" s="68"/>
      <c r="E8751" s="10"/>
      <c r="F8751" s="69"/>
      <c r="G8751" s="68"/>
      <c r="H8751" s="70"/>
      <c r="BA8751" s="4"/>
      <c r="BB8751" s="4"/>
    </row>
    <row r="8752" spans="1:54" x14ac:dyDescent="0.3">
      <c r="A8752" s="66"/>
      <c r="B8752" s="67"/>
      <c r="C8752" s="66"/>
      <c r="D8752" s="68"/>
      <c r="E8752" s="10"/>
      <c r="F8752" s="69"/>
      <c r="G8752" s="68"/>
      <c r="H8752" s="70"/>
      <c r="BA8752" s="4"/>
      <c r="BB8752" s="4"/>
    </row>
    <row r="8753" spans="1:54" x14ac:dyDescent="0.3">
      <c r="A8753" s="66"/>
      <c r="B8753" s="67"/>
      <c r="C8753" s="66"/>
      <c r="D8753" s="68"/>
      <c r="E8753" s="10"/>
      <c r="F8753" s="69"/>
      <c r="G8753" s="68"/>
      <c r="H8753" s="70"/>
      <c r="BA8753" s="4"/>
      <c r="BB8753" s="4"/>
    </row>
    <row r="8754" spans="1:54" x14ac:dyDescent="0.3">
      <c r="A8754" s="66"/>
      <c r="B8754" s="67"/>
      <c r="C8754" s="66"/>
      <c r="D8754" s="68"/>
      <c r="E8754" s="10"/>
      <c r="F8754" s="69"/>
      <c r="G8754" s="68"/>
      <c r="H8754" s="70"/>
      <c r="BA8754" s="4"/>
      <c r="BB8754" s="4"/>
    </row>
    <row r="8755" spans="1:54" x14ac:dyDescent="0.3">
      <c r="A8755" s="66"/>
      <c r="B8755" s="67"/>
      <c r="C8755" s="66"/>
      <c r="D8755" s="68"/>
      <c r="E8755" s="10"/>
      <c r="F8755" s="69"/>
      <c r="G8755" s="68"/>
      <c r="H8755" s="70"/>
      <c r="BA8755" s="4"/>
      <c r="BB8755" s="4"/>
    </row>
    <row r="8756" spans="1:54" x14ac:dyDescent="0.3">
      <c r="A8756" s="66"/>
      <c r="B8756" s="67"/>
      <c r="C8756" s="66"/>
      <c r="D8756" s="68"/>
      <c r="E8756" s="10"/>
      <c r="F8756" s="69"/>
      <c r="G8756" s="68"/>
      <c r="H8756" s="70"/>
      <c r="BA8756" s="4"/>
      <c r="BB8756" s="4"/>
    </row>
    <row r="8757" spans="1:54" x14ac:dyDescent="0.3">
      <c r="A8757" s="66"/>
      <c r="B8757" s="67"/>
      <c r="C8757" s="66"/>
      <c r="D8757" s="68"/>
      <c r="E8757" s="10"/>
      <c r="F8757" s="69"/>
      <c r="G8757" s="68"/>
      <c r="H8757" s="70"/>
      <c r="BA8757" s="4"/>
      <c r="BB8757" s="4"/>
    </row>
    <row r="8758" spans="1:54" x14ac:dyDescent="0.3">
      <c r="A8758" s="66"/>
      <c r="B8758" s="67"/>
      <c r="C8758" s="66"/>
      <c r="D8758" s="68"/>
      <c r="E8758" s="10"/>
      <c r="F8758" s="69"/>
      <c r="G8758" s="68"/>
      <c r="H8758" s="70"/>
      <c r="BA8758" s="4"/>
      <c r="BB8758" s="4"/>
    </row>
    <row r="8759" spans="1:54" x14ac:dyDescent="0.3">
      <c r="A8759" s="66"/>
      <c r="B8759" s="67"/>
      <c r="C8759" s="66"/>
      <c r="D8759" s="68"/>
      <c r="E8759" s="10"/>
      <c r="F8759" s="69"/>
      <c r="G8759" s="68"/>
      <c r="H8759" s="70"/>
      <c r="BA8759" s="4"/>
      <c r="BB8759" s="4"/>
    </row>
    <row r="8760" spans="1:54" x14ac:dyDescent="0.3">
      <c r="A8760" s="66"/>
      <c r="B8760" s="67"/>
      <c r="C8760" s="66"/>
      <c r="D8760" s="68"/>
      <c r="E8760" s="10"/>
      <c r="F8760" s="69"/>
      <c r="G8760" s="68"/>
      <c r="H8760" s="70"/>
      <c r="BA8760" s="4"/>
      <c r="BB8760" s="4"/>
    </row>
    <row r="8761" spans="1:54" x14ac:dyDescent="0.3">
      <c r="A8761" s="66"/>
      <c r="B8761" s="67"/>
      <c r="C8761" s="66"/>
      <c r="D8761" s="68"/>
      <c r="E8761" s="10"/>
      <c r="F8761" s="69"/>
      <c r="G8761" s="68"/>
      <c r="H8761" s="70"/>
      <c r="BA8761" s="4"/>
      <c r="BB8761" s="4"/>
    </row>
    <row r="8762" spans="1:54" x14ac:dyDescent="0.3">
      <c r="A8762" s="66"/>
      <c r="B8762" s="67"/>
      <c r="C8762" s="66"/>
      <c r="D8762" s="68"/>
      <c r="E8762" s="10"/>
      <c r="F8762" s="69"/>
      <c r="G8762" s="68"/>
      <c r="H8762" s="70"/>
      <c r="BA8762" s="4"/>
      <c r="BB8762" s="4"/>
    </row>
    <row r="8763" spans="1:54" x14ac:dyDescent="0.3">
      <c r="A8763" s="66"/>
      <c r="B8763" s="67"/>
      <c r="C8763" s="66"/>
      <c r="D8763" s="68"/>
      <c r="E8763" s="10"/>
      <c r="F8763" s="69"/>
      <c r="G8763" s="68"/>
      <c r="H8763" s="70"/>
      <c r="BA8763" s="4"/>
      <c r="BB8763" s="4"/>
    </row>
    <row r="8764" spans="1:54" x14ac:dyDescent="0.3">
      <c r="A8764" s="66"/>
      <c r="B8764" s="67"/>
      <c r="C8764" s="66"/>
      <c r="D8764" s="68"/>
      <c r="E8764" s="10"/>
      <c r="F8764" s="69"/>
      <c r="G8764" s="68"/>
      <c r="H8764" s="70"/>
      <c r="BA8764" s="4"/>
      <c r="BB8764" s="4"/>
    </row>
    <row r="8765" spans="1:54" x14ac:dyDescent="0.3">
      <c r="A8765" s="66"/>
      <c r="B8765" s="67"/>
      <c r="C8765" s="66"/>
      <c r="D8765" s="68"/>
      <c r="E8765" s="10"/>
      <c r="F8765" s="69"/>
      <c r="G8765" s="68"/>
      <c r="H8765" s="70"/>
      <c r="BA8765" s="4"/>
      <c r="BB8765" s="4"/>
    </row>
    <row r="8766" spans="1:54" x14ac:dyDescent="0.3">
      <c r="A8766" s="66"/>
      <c r="B8766" s="67"/>
      <c r="C8766" s="66"/>
      <c r="D8766" s="68"/>
      <c r="E8766" s="10"/>
      <c r="F8766" s="69"/>
      <c r="G8766" s="68"/>
      <c r="H8766" s="70"/>
      <c r="BA8766" s="4"/>
      <c r="BB8766" s="4"/>
    </row>
    <row r="8767" spans="1:54" x14ac:dyDescent="0.3">
      <c r="A8767" s="66"/>
      <c r="B8767" s="67"/>
      <c r="C8767" s="66"/>
      <c r="D8767" s="68"/>
      <c r="E8767" s="10"/>
      <c r="F8767" s="69"/>
      <c r="G8767" s="68"/>
      <c r="H8767" s="70"/>
      <c r="BA8767" s="4"/>
      <c r="BB8767" s="4"/>
    </row>
    <row r="8768" spans="1:54" x14ac:dyDescent="0.3">
      <c r="A8768" s="66"/>
      <c r="B8768" s="67"/>
      <c r="C8768" s="66"/>
      <c r="D8768" s="68"/>
      <c r="E8768" s="10"/>
      <c r="F8768" s="69"/>
      <c r="G8768" s="68"/>
      <c r="H8768" s="70"/>
      <c r="BA8768" s="4"/>
      <c r="BB8768" s="4"/>
    </row>
    <row r="8769" spans="1:54" x14ac:dyDescent="0.3">
      <c r="A8769" s="66"/>
      <c r="B8769" s="67"/>
      <c r="C8769" s="66"/>
      <c r="D8769" s="68"/>
      <c r="E8769" s="10"/>
      <c r="F8769" s="69"/>
      <c r="G8769" s="68"/>
      <c r="H8769" s="70"/>
      <c r="BA8769" s="4"/>
      <c r="BB8769" s="4"/>
    </row>
    <row r="8770" spans="1:54" x14ac:dyDescent="0.3">
      <c r="A8770" s="66"/>
      <c r="B8770" s="67"/>
      <c r="C8770" s="66"/>
      <c r="D8770" s="68"/>
      <c r="E8770" s="10"/>
      <c r="F8770" s="69"/>
      <c r="G8770" s="68"/>
      <c r="H8770" s="70"/>
      <c r="BA8770" s="4"/>
      <c r="BB8770" s="4"/>
    </row>
    <row r="8771" spans="1:54" x14ac:dyDescent="0.3">
      <c r="A8771" s="66"/>
      <c r="B8771" s="67"/>
      <c r="C8771" s="66"/>
      <c r="D8771" s="68"/>
      <c r="E8771" s="10"/>
      <c r="F8771" s="69"/>
      <c r="G8771" s="68"/>
      <c r="H8771" s="70"/>
      <c r="BA8771" s="4"/>
      <c r="BB8771" s="4"/>
    </row>
    <row r="8772" spans="1:54" x14ac:dyDescent="0.3">
      <c r="A8772" s="66"/>
      <c r="B8772" s="67"/>
      <c r="C8772" s="66"/>
      <c r="D8772" s="68"/>
      <c r="E8772" s="10"/>
      <c r="F8772" s="69"/>
      <c r="G8772" s="68"/>
      <c r="H8772" s="70"/>
      <c r="BA8772" s="4"/>
      <c r="BB8772" s="4"/>
    </row>
    <row r="8773" spans="1:54" x14ac:dyDescent="0.3">
      <c r="A8773" s="66"/>
      <c r="B8773" s="67"/>
      <c r="C8773" s="66"/>
      <c r="D8773" s="68"/>
      <c r="E8773" s="10"/>
      <c r="F8773" s="69"/>
      <c r="G8773" s="68"/>
      <c r="H8773" s="70"/>
      <c r="BA8773" s="4"/>
      <c r="BB8773" s="4"/>
    </row>
    <row r="8774" spans="1:54" x14ac:dyDescent="0.3">
      <c r="A8774" s="66"/>
      <c r="B8774" s="67"/>
      <c r="C8774" s="66"/>
      <c r="D8774" s="68"/>
      <c r="E8774" s="10"/>
      <c r="F8774" s="69"/>
      <c r="G8774" s="68"/>
      <c r="H8774" s="70"/>
      <c r="BA8774" s="4"/>
      <c r="BB8774" s="4"/>
    </row>
    <row r="8775" spans="1:54" x14ac:dyDescent="0.3">
      <c r="A8775" s="66"/>
      <c r="B8775" s="67"/>
      <c r="C8775" s="66"/>
      <c r="D8775" s="68"/>
      <c r="E8775" s="10"/>
      <c r="F8775" s="69"/>
      <c r="G8775" s="68"/>
      <c r="H8775" s="70"/>
      <c r="BA8775" s="4"/>
      <c r="BB8775" s="4"/>
    </row>
    <row r="8776" spans="1:54" x14ac:dyDescent="0.3">
      <c r="A8776" s="66"/>
      <c r="B8776" s="67"/>
      <c r="C8776" s="66"/>
      <c r="D8776" s="68"/>
      <c r="E8776" s="10"/>
      <c r="F8776" s="69"/>
      <c r="G8776" s="68"/>
      <c r="H8776" s="70"/>
      <c r="BA8776" s="4"/>
      <c r="BB8776" s="4"/>
    </row>
    <row r="8777" spans="1:54" x14ac:dyDescent="0.3">
      <c r="A8777" s="66"/>
      <c r="B8777" s="67"/>
      <c r="C8777" s="66"/>
      <c r="D8777" s="68"/>
      <c r="E8777" s="10"/>
      <c r="F8777" s="69"/>
      <c r="G8777" s="68"/>
      <c r="H8777" s="70"/>
      <c r="BA8777" s="4"/>
      <c r="BB8777" s="4"/>
    </row>
    <row r="8778" spans="1:54" x14ac:dyDescent="0.3">
      <c r="A8778" s="66"/>
      <c r="B8778" s="67"/>
      <c r="C8778" s="66"/>
      <c r="D8778" s="68"/>
      <c r="E8778" s="10"/>
      <c r="F8778" s="69"/>
      <c r="G8778" s="68"/>
      <c r="H8778" s="70"/>
      <c r="BA8778" s="4"/>
      <c r="BB8778" s="4"/>
    </row>
    <row r="8779" spans="1:54" x14ac:dyDescent="0.3">
      <c r="A8779" s="66"/>
      <c r="B8779" s="67"/>
      <c r="C8779" s="66"/>
      <c r="D8779" s="68"/>
      <c r="E8779" s="10"/>
      <c r="F8779" s="69"/>
      <c r="G8779" s="68"/>
      <c r="H8779" s="70"/>
      <c r="BA8779" s="4"/>
      <c r="BB8779" s="4"/>
    </row>
    <row r="8780" spans="1:54" x14ac:dyDescent="0.3">
      <c r="A8780" s="66"/>
      <c r="B8780" s="67"/>
      <c r="C8780" s="66"/>
      <c r="D8780" s="68"/>
      <c r="E8780" s="10"/>
      <c r="F8780" s="69"/>
      <c r="G8780" s="68"/>
      <c r="H8780" s="70"/>
      <c r="BA8780" s="4"/>
      <c r="BB8780" s="4"/>
    </row>
    <row r="8781" spans="1:54" x14ac:dyDescent="0.3">
      <c r="A8781" s="66"/>
      <c r="B8781" s="67"/>
      <c r="C8781" s="66"/>
      <c r="D8781" s="68"/>
      <c r="E8781" s="10"/>
      <c r="F8781" s="69"/>
      <c r="G8781" s="68"/>
      <c r="H8781" s="70"/>
      <c r="BA8781" s="4"/>
      <c r="BB8781" s="4"/>
    </row>
    <row r="8782" spans="1:54" x14ac:dyDescent="0.3">
      <c r="A8782" s="66"/>
      <c r="B8782" s="67"/>
      <c r="C8782" s="66"/>
      <c r="D8782" s="68"/>
      <c r="E8782" s="10"/>
      <c r="F8782" s="69"/>
      <c r="G8782" s="68"/>
      <c r="H8782" s="70"/>
      <c r="BA8782" s="4"/>
      <c r="BB8782" s="4"/>
    </row>
    <row r="8783" spans="1:54" x14ac:dyDescent="0.3">
      <c r="A8783" s="66"/>
      <c r="B8783" s="67"/>
      <c r="C8783" s="66"/>
      <c r="D8783" s="68"/>
      <c r="E8783" s="10"/>
      <c r="F8783" s="69"/>
      <c r="G8783" s="68"/>
      <c r="H8783" s="70"/>
      <c r="BA8783" s="4"/>
      <c r="BB8783" s="4"/>
    </row>
    <row r="8784" spans="1:54" x14ac:dyDescent="0.3">
      <c r="A8784" s="66"/>
      <c r="B8784" s="67"/>
      <c r="C8784" s="66"/>
      <c r="D8784" s="68"/>
      <c r="E8784" s="10"/>
      <c r="F8784" s="69"/>
      <c r="G8784" s="68"/>
      <c r="H8784" s="70"/>
      <c r="BA8784" s="4"/>
      <c r="BB8784" s="4"/>
    </row>
    <row r="8785" spans="1:54" x14ac:dyDescent="0.3">
      <c r="A8785" s="66"/>
      <c r="B8785" s="67"/>
      <c r="C8785" s="66"/>
      <c r="D8785" s="68"/>
      <c r="E8785" s="10"/>
      <c r="F8785" s="69"/>
      <c r="G8785" s="68"/>
      <c r="H8785" s="70"/>
      <c r="BA8785" s="4"/>
      <c r="BB8785" s="4"/>
    </row>
    <row r="8786" spans="1:54" x14ac:dyDescent="0.3">
      <c r="A8786" s="66"/>
      <c r="B8786" s="67"/>
      <c r="C8786" s="66"/>
      <c r="D8786" s="68"/>
      <c r="E8786" s="10"/>
      <c r="F8786" s="69"/>
      <c r="G8786" s="68"/>
      <c r="H8786" s="70"/>
      <c r="BA8786" s="4"/>
      <c r="BB8786" s="4"/>
    </row>
    <row r="8787" spans="1:54" x14ac:dyDescent="0.3">
      <c r="A8787" s="66"/>
      <c r="B8787" s="67"/>
      <c r="C8787" s="66"/>
      <c r="D8787" s="68"/>
      <c r="E8787" s="10"/>
      <c r="F8787" s="69"/>
      <c r="G8787" s="68"/>
      <c r="H8787" s="70"/>
      <c r="BA8787" s="4"/>
      <c r="BB8787" s="4"/>
    </row>
    <row r="8788" spans="1:54" x14ac:dyDescent="0.3">
      <c r="A8788" s="66"/>
      <c r="B8788" s="67"/>
      <c r="C8788" s="66"/>
      <c r="D8788" s="68"/>
      <c r="E8788" s="10"/>
      <c r="F8788" s="69"/>
      <c r="G8788" s="68"/>
      <c r="H8788" s="70"/>
      <c r="BA8788" s="4"/>
      <c r="BB8788" s="4"/>
    </row>
    <row r="8789" spans="1:54" x14ac:dyDescent="0.3">
      <c r="A8789" s="66"/>
      <c r="B8789" s="67"/>
      <c r="C8789" s="66"/>
      <c r="D8789" s="68"/>
      <c r="E8789" s="10"/>
      <c r="F8789" s="69"/>
      <c r="G8789" s="68"/>
      <c r="H8789" s="70"/>
      <c r="BA8789" s="4"/>
      <c r="BB8789" s="4"/>
    </row>
    <row r="8790" spans="1:54" x14ac:dyDescent="0.3">
      <c r="A8790" s="66"/>
      <c r="B8790" s="67"/>
      <c r="C8790" s="66"/>
      <c r="D8790" s="68"/>
      <c r="E8790" s="10"/>
      <c r="F8790" s="69"/>
      <c r="G8790" s="68"/>
      <c r="H8790" s="70"/>
      <c r="BA8790" s="4"/>
      <c r="BB8790" s="4"/>
    </row>
    <row r="8791" spans="1:54" x14ac:dyDescent="0.3">
      <c r="A8791" s="66"/>
      <c r="B8791" s="67"/>
      <c r="C8791" s="66"/>
      <c r="D8791" s="68"/>
      <c r="E8791" s="10"/>
      <c r="F8791" s="69"/>
      <c r="G8791" s="68"/>
      <c r="H8791" s="70"/>
      <c r="BA8791" s="4"/>
      <c r="BB8791" s="4"/>
    </row>
    <row r="8792" spans="1:54" x14ac:dyDescent="0.3">
      <c r="A8792" s="66"/>
      <c r="B8792" s="67"/>
      <c r="C8792" s="66"/>
      <c r="D8792" s="68"/>
      <c r="E8792" s="10"/>
      <c r="F8792" s="69"/>
      <c r="G8792" s="68"/>
      <c r="H8792" s="70"/>
      <c r="BA8792" s="4"/>
      <c r="BB8792" s="4"/>
    </row>
    <row r="8793" spans="1:54" x14ac:dyDescent="0.3">
      <c r="A8793" s="66"/>
      <c r="B8793" s="67"/>
      <c r="C8793" s="66"/>
      <c r="D8793" s="68"/>
      <c r="E8793" s="10"/>
      <c r="F8793" s="69"/>
      <c r="G8793" s="68"/>
      <c r="H8793" s="70"/>
      <c r="BA8793" s="4"/>
      <c r="BB8793" s="4"/>
    </row>
    <row r="8794" spans="1:54" x14ac:dyDescent="0.3">
      <c r="A8794" s="66"/>
      <c r="B8794" s="67"/>
      <c r="C8794" s="66"/>
      <c r="D8794" s="68"/>
      <c r="E8794" s="10"/>
      <c r="F8794" s="69"/>
      <c r="G8794" s="68"/>
      <c r="H8794" s="70"/>
      <c r="BA8794" s="4"/>
      <c r="BB8794" s="4"/>
    </row>
    <row r="8795" spans="1:54" x14ac:dyDescent="0.3">
      <c r="A8795" s="66"/>
      <c r="B8795" s="67"/>
      <c r="C8795" s="66"/>
      <c r="D8795" s="68"/>
      <c r="E8795" s="10"/>
      <c r="F8795" s="69"/>
      <c r="G8795" s="68"/>
      <c r="H8795" s="70"/>
      <c r="BA8795" s="4"/>
      <c r="BB8795" s="4"/>
    </row>
    <row r="8796" spans="1:54" x14ac:dyDescent="0.3">
      <c r="A8796" s="66"/>
      <c r="B8796" s="67"/>
      <c r="C8796" s="66"/>
      <c r="D8796" s="68"/>
      <c r="E8796" s="10"/>
      <c r="F8796" s="69"/>
      <c r="G8796" s="68"/>
      <c r="H8796" s="70"/>
      <c r="BA8796" s="4"/>
      <c r="BB8796" s="4"/>
    </row>
    <row r="8797" spans="1:54" x14ac:dyDescent="0.3">
      <c r="A8797" s="66"/>
      <c r="B8797" s="67"/>
      <c r="C8797" s="66"/>
      <c r="D8797" s="68"/>
      <c r="E8797" s="10"/>
      <c r="F8797" s="69"/>
      <c r="G8797" s="68"/>
      <c r="H8797" s="70"/>
      <c r="BA8797" s="4"/>
      <c r="BB8797" s="4"/>
    </row>
    <row r="8798" spans="1:54" x14ac:dyDescent="0.3">
      <c r="A8798" s="66"/>
      <c r="B8798" s="67"/>
      <c r="C8798" s="66"/>
      <c r="D8798" s="68"/>
      <c r="E8798" s="10"/>
      <c r="F8798" s="69"/>
      <c r="G8798" s="68"/>
      <c r="H8798" s="70"/>
      <c r="BA8798" s="4"/>
      <c r="BB8798" s="4"/>
    </row>
    <row r="8799" spans="1:54" x14ac:dyDescent="0.3">
      <c r="A8799" s="66"/>
      <c r="B8799" s="67"/>
      <c r="C8799" s="66"/>
      <c r="D8799" s="68"/>
      <c r="E8799" s="10"/>
      <c r="F8799" s="69"/>
      <c r="G8799" s="68"/>
      <c r="H8799" s="70"/>
      <c r="BA8799" s="4"/>
      <c r="BB8799" s="4"/>
    </row>
    <row r="8800" spans="1:54" x14ac:dyDescent="0.3">
      <c r="A8800" s="66"/>
      <c r="B8800" s="67"/>
      <c r="C8800" s="66"/>
      <c r="D8800" s="68"/>
      <c r="E8800" s="10"/>
      <c r="F8800" s="69"/>
      <c r="G8800" s="68"/>
      <c r="H8800" s="70"/>
      <c r="BA8800" s="4"/>
      <c r="BB8800" s="4"/>
    </row>
    <row r="8801" spans="1:54" x14ac:dyDescent="0.3">
      <c r="A8801" s="66"/>
      <c r="B8801" s="67"/>
      <c r="C8801" s="66"/>
      <c r="D8801" s="68"/>
      <c r="E8801" s="10"/>
      <c r="F8801" s="69"/>
      <c r="G8801" s="68"/>
      <c r="H8801" s="70"/>
      <c r="BA8801" s="4"/>
      <c r="BB8801" s="4"/>
    </row>
    <row r="8802" spans="1:54" x14ac:dyDescent="0.3">
      <c r="A8802" s="66"/>
      <c r="B8802" s="67"/>
      <c r="C8802" s="66"/>
      <c r="D8802" s="68"/>
      <c r="E8802" s="10"/>
      <c r="F8802" s="69"/>
      <c r="G8802" s="68"/>
      <c r="H8802" s="70"/>
      <c r="BA8802" s="4"/>
      <c r="BB8802" s="4"/>
    </row>
    <row r="8803" spans="1:54" x14ac:dyDescent="0.3">
      <c r="A8803" s="66"/>
      <c r="B8803" s="67"/>
      <c r="C8803" s="66"/>
      <c r="D8803" s="68"/>
      <c r="E8803" s="10"/>
      <c r="F8803" s="69"/>
      <c r="G8803" s="68"/>
      <c r="H8803" s="70"/>
      <c r="BA8803" s="4"/>
      <c r="BB8803" s="4"/>
    </row>
    <row r="8804" spans="1:54" x14ac:dyDescent="0.3">
      <c r="A8804" s="66"/>
      <c r="B8804" s="67"/>
      <c r="C8804" s="66"/>
      <c r="D8804" s="68"/>
      <c r="E8804" s="10"/>
      <c r="F8804" s="69"/>
      <c r="G8804" s="68"/>
      <c r="H8804" s="70"/>
      <c r="BA8804" s="4"/>
      <c r="BB8804" s="4"/>
    </row>
    <row r="8805" spans="1:54" x14ac:dyDescent="0.3">
      <c r="A8805" s="66"/>
      <c r="B8805" s="67"/>
      <c r="C8805" s="66"/>
      <c r="D8805" s="68"/>
      <c r="E8805" s="10"/>
      <c r="F8805" s="69"/>
      <c r="G8805" s="68"/>
      <c r="H8805" s="70"/>
      <c r="BA8805" s="4"/>
      <c r="BB8805" s="4"/>
    </row>
    <row r="8806" spans="1:54" x14ac:dyDescent="0.3">
      <c r="A8806" s="66"/>
      <c r="B8806" s="67"/>
      <c r="C8806" s="66"/>
      <c r="D8806" s="68"/>
      <c r="E8806" s="10"/>
      <c r="F8806" s="69"/>
      <c r="G8806" s="68"/>
      <c r="H8806" s="70"/>
      <c r="BA8806" s="4"/>
      <c r="BB8806" s="4"/>
    </row>
    <row r="8807" spans="1:54" x14ac:dyDescent="0.3">
      <c r="A8807" s="66"/>
      <c r="B8807" s="67"/>
      <c r="C8807" s="66"/>
      <c r="D8807" s="68"/>
      <c r="E8807" s="10"/>
      <c r="F8807" s="69"/>
      <c r="G8807" s="68"/>
      <c r="H8807" s="70"/>
      <c r="BA8807" s="4"/>
      <c r="BB8807" s="4"/>
    </row>
    <row r="8808" spans="1:54" x14ac:dyDescent="0.3">
      <c r="A8808" s="66"/>
      <c r="B8808" s="67"/>
      <c r="C8808" s="66"/>
      <c r="D8808" s="68"/>
      <c r="E8808" s="10"/>
      <c r="F8808" s="69"/>
      <c r="G8808" s="68"/>
      <c r="H8808" s="70"/>
      <c r="BA8808" s="4"/>
      <c r="BB8808" s="4"/>
    </row>
    <row r="8809" spans="1:54" x14ac:dyDescent="0.3">
      <c r="A8809" s="66"/>
      <c r="B8809" s="67"/>
      <c r="C8809" s="66"/>
      <c r="D8809" s="68"/>
      <c r="E8809" s="10"/>
      <c r="F8809" s="69"/>
      <c r="G8809" s="68"/>
      <c r="H8809" s="70"/>
      <c r="BA8809" s="4"/>
      <c r="BB8809" s="4"/>
    </row>
    <row r="8810" spans="1:54" x14ac:dyDescent="0.3">
      <c r="A8810" s="66"/>
      <c r="B8810" s="67"/>
      <c r="C8810" s="66"/>
      <c r="D8810" s="68"/>
      <c r="E8810" s="10"/>
      <c r="F8810" s="69"/>
      <c r="G8810" s="68"/>
      <c r="H8810" s="70"/>
      <c r="BA8810" s="4"/>
      <c r="BB8810" s="4"/>
    </row>
    <row r="8811" spans="1:54" x14ac:dyDescent="0.3">
      <c r="A8811" s="66"/>
      <c r="B8811" s="67"/>
      <c r="C8811" s="66"/>
      <c r="D8811" s="68"/>
      <c r="E8811" s="10"/>
      <c r="F8811" s="69"/>
      <c r="G8811" s="68"/>
      <c r="H8811" s="70"/>
      <c r="BA8811" s="4"/>
      <c r="BB8811" s="4"/>
    </row>
    <row r="8812" spans="1:54" x14ac:dyDescent="0.3">
      <c r="A8812" s="66"/>
      <c r="B8812" s="67"/>
      <c r="C8812" s="66"/>
      <c r="D8812" s="68"/>
      <c r="E8812" s="10"/>
      <c r="F8812" s="69"/>
      <c r="G8812" s="68"/>
      <c r="H8812" s="70"/>
      <c r="BA8812" s="4"/>
      <c r="BB8812" s="4"/>
    </row>
    <row r="8813" spans="1:54" x14ac:dyDescent="0.3">
      <c r="A8813" s="66"/>
      <c r="B8813" s="67"/>
      <c r="C8813" s="66"/>
      <c r="D8813" s="68"/>
      <c r="E8813" s="10"/>
      <c r="F8813" s="69"/>
      <c r="G8813" s="68"/>
      <c r="H8813" s="70"/>
      <c r="BA8813" s="4"/>
      <c r="BB8813" s="4"/>
    </row>
    <row r="8814" spans="1:54" x14ac:dyDescent="0.3">
      <c r="A8814" s="66"/>
      <c r="B8814" s="67"/>
      <c r="C8814" s="66"/>
      <c r="D8814" s="68"/>
      <c r="E8814" s="10"/>
      <c r="F8814" s="69"/>
      <c r="G8814" s="68"/>
      <c r="H8814" s="70"/>
      <c r="BA8814" s="4"/>
      <c r="BB8814" s="4"/>
    </row>
    <row r="8815" spans="1:54" x14ac:dyDescent="0.3">
      <c r="A8815" s="66"/>
      <c r="B8815" s="67"/>
      <c r="C8815" s="66"/>
      <c r="D8815" s="68"/>
      <c r="E8815" s="10"/>
      <c r="F8815" s="69"/>
      <c r="G8815" s="68"/>
      <c r="H8815" s="70"/>
      <c r="BA8815" s="4"/>
      <c r="BB8815" s="4"/>
    </row>
    <row r="8816" spans="1:54" x14ac:dyDescent="0.3">
      <c r="A8816" s="66"/>
      <c r="B8816" s="67"/>
      <c r="C8816" s="66"/>
      <c r="D8816" s="68"/>
      <c r="E8816" s="10"/>
      <c r="F8816" s="69"/>
      <c r="G8816" s="68"/>
      <c r="H8816" s="70"/>
      <c r="BA8816" s="4"/>
      <c r="BB8816" s="4"/>
    </row>
    <row r="8817" spans="1:54" x14ac:dyDescent="0.3">
      <c r="A8817" s="66"/>
      <c r="B8817" s="67"/>
      <c r="C8817" s="66"/>
      <c r="D8817" s="68"/>
      <c r="E8817" s="10"/>
      <c r="F8817" s="69"/>
      <c r="G8817" s="68"/>
      <c r="H8817" s="70"/>
      <c r="BA8817" s="4"/>
      <c r="BB8817" s="4"/>
    </row>
    <row r="8818" spans="1:54" x14ac:dyDescent="0.3">
      <c r="A8818" s="66"/>
      <c r="B8818" s="67"/>
      <c r="C8818" s="66"/>
      <c r="D8818" s="68"/>
      <c r="E8818" s="10"/>
      <c r="F8818" s="69"/>
      <c r="G8818" s="68"/>
      <c r="H8818" s="70"/>
      <c r="BA8818" s="4"/>
      <c r="BB8818" s="4"/>
    </row>
    <row r="8819" spans="1:54" x14ac:dyDescent="0.3">
      <c r="A8819" s="66"/>
      <c r="B8819" s="67"/>
      <c r="C8819" s="66"/>
      <c r="D8819" s="68"/>
      <c r="E8819" s="10"/>
      <c r="F8819" s="69"/>
      <c r="G8819" s="68"/>
      <c r="H8819" s="70"/>
      <c r="BA8819" s="4"/>
      <c r="BB8819" s="4"/>
    </row>
    <row r="8820" spans="1:54" x14ac:dyDescent="0.3">
      <c r="A8820" s="66"/>
      <c r="B8820" s="67"/>
      <c r="C8820" s="66"/>
      <c r="D8820" s="68"/>
      <c r="E8820" s="10"/>
      <c r="F8820" s="69"/>
      <c r="G8820" s="68"/>
      <c r="H8820" s="70"/>
      <c r="BA8820" s="4"/>
      <c r="BB8820" s="4"/>
    </row>
    <row r="8821" spans="1:54" x14ac:dyDescent="0.3">
      <c r="A8821" s="66"/>
      <c r="B8821" s="67"/>
      <c r="C8821" s="66"/>
      <c r="D8821" s="68"/>
      <c r="E8821" s="10"/>
      <c r="F8821" s="69"/>
      <c r="G8821" s="68"/>
      <c r="H8821" s="70"/>
      <c r="BA8821" s="4"/>
      <c r="BB8821" s="4"/>
    </row>
    <row r="8822" spans="1:54" x14ac:dyDescent="0.3">
      <c r="A8822" s="66"/>
      <c r="B8822" s="67"/>
      <c r="C8822" s="66"/>
      <c r="D8822" s="68"/>
      <c r="E8822" s="10"/>
      <c r="F8822" s="69"/>
      <c r="G8822" s="68"/>
      <c r="H8822" s="70"/>
      <c r="BA8822" s="4"/>
      <c r="BB8822" s="4"/>
    </row>
    <row r="8823" spans="1:54" x14ac:dyDescent="0.3">
      <c r="A8823" s="66"/>
      <c r="B8823" s="67"/>
      <c r="C8823" s="66"/>
      <c r="D8823" s="68"/>
      <c r="E8823" s="10"/>
      <c r="F8823" s="69"/>
      <c r="G8823" s="68"/>
      <c r="H8823" s="70"/>
      <c r="BA8823" s="4"/>
      <c r="BB8823" s="4"/>
    </row>
    <row r="8824" spans="1:54" x14ac:dyDescent="0.3">
      <c r="A8824" s="66"/>
      <c r="B8824" s="67"/>
      <c r="C8824" s="66"/>
      <c r="D8824" s="68"/>
      <c r="E8824" s="10"/>
      <c r="F8824" s="69"/>
      <c r="G8824" s="68"/>
      <c r="H8824" s="70"/>
      <c r="BA8824" s="4"/>
      <c r="BB8824" s="4"/>
    </row>
    <row r="8825" spans="1:54" x14ac:dyDescent="0.3">
      <c r="A8825" s="66"/>
      <c r="B8825" s="67"/>
      <c r="C8825" s="66"/>
      <c r="D8825" s="68"/>
      <c r="E8825" s="10"/>
      <c r="F8825" s="69"/>
      <c r="G8825" s="68"/>
      <c r="H8825" s="70"/>
      <c r="BA8825" s="4"/>
      <c r="BB8825" s="4"/>
    </row>
    <row r="8826" spans="1:54" x14ac:dyDescent="0.3">
      <c r="A8826" s="66"/>
      <c r="B8826" s="67"/>
      <c r="C8826" s="66"/>
      <c r="D8826" s="68"/>
      <c r="E8826" s="10"/>
      <c r="F8826" s="69"/>
      <c r="G8826" s="68"/>
      <c r="H8826" s="70"/>
      <c r="BA8826" s="4"/>
      <c r="BB8826" s="4"/>
    </row>
    <row r="8827" spans="1:54" x14ac:dyDescent="0.3">
      <c r="A8827" s="66"/>
      <c r="B8827" s="67"/>
      <c r="C8827" s="66"/>
      <c r="D8827" s="68"/>
      <c r="E8827" s="10"/>
      <c r="F8827" s="69"/>
      <c r="G8827" s="68"/>
      <c r="H8827" s="70"/>
      <c r="BA8827" s="4"/>
      <c r="BB8827" s="4"/>
    </row>
    <row r="8828" spans="1:54" x14ac:dyDescent="0.3">
      <c r="A8828" s="66"/>
      <c r="B8828" s="67"/>
      <c r="C8828" s="66"/>
      <c r="D8828" s="68"/>
      <c r="E8828" s="10"/>
      <c r="F8828" s="69"/>
      <c r="G8828" s="68"/>
      <c r="H8828" s="70"/>
      <c r="BA8828" s="4"/>
      <c r="BB8828" s="4"/>
    </row>
    <row r="8829" spans="1:54" x14ac:dyDescent="0.3">
      <c r="A8829" s="66"/>
      <c r="B8829" s="67"/>
      <c r="C8829" s="66"/>
      <c r="D8829" s="68"/>
      <c r="E8829" s="10"/>
      <c r="F8829" s="69"/>
      <c r="G8829" s="68"/>
      <c r="H8829" s="70"/>
      <c r="BA8829" s="4"/>
      <c r="BB8829" s="4"/>
    </row>
    <row r="8830" spans="1:54" x14ac:dyDescent="0.3">
      <c r="A8830" s="66"/>
      <c r="B8830" s="67"/>
      <c r="C8830" s="66"/>
      <c r="D8830" s="68"/>
      <c r="E8830" s="10"/>
      <c r="F8830" s="69"/>
      <c r="G8830" s="68"/>
      <c r="H8830" s="70"/>
      <c r="BA8830" s="4"/>
      <c r="BB8830" s="4"/>
    </row>
    <row r="8831" spans="1:54" x14ac:dyDescent="0.3">
      <c r="A8831" s="66"/>
      <c r="B8831" s="67"/>
      <c r="C8831" s="66"/>
      <c r="D8831" s="68"/>
      <c r="E8831" s="10"/>
      <c r="F8831" s="69"/>
      <c r="G8831" s="68"/>
      <c r="H8831" s="70"/>
      <c r="BA8831" s="4"/>
      <c r="BB8831" s="4"/>
    </row>
    <row r="8832" spans="1:54" x14ac:dyDescent="0.3">
      <c r="A8832" s="66"/>
      <c r="B8832" s="67"/>
      <c r="C8832" s="66"/>
      <c r="D8832" s="68"/>
      <c r="E8832" s="10"/>
      <c r="F8832" s="69"/>
      <c r="G8832" s="68"/>
      <c r="H8832" s="70"/>
      <c r="BA8832" s="4"/>
      <c r="BB8832" s="4"/>
    </row>
    <row r="8833" spans="1:54" x14ac:dyDescent="0.3">
      <c r="A8833" s="66"/>
      <c r="B8833" s="67"/>
      <c r="C8833" s="66"/>
      <c r="D8833" s="68"/>
      <c r="E8833" s="10"/>
      <c r="F8833" s="69"/>
      <c r="G8833" s="68"/>
      <c r="H8833" s="70"/>
      <c r="BA8833" s="4"/>
      <c r="BB8833" s="4"/>
    </row>
    <row r="8834" spans="1:54" x14ac:dyDescent="0.3">
      <c r="A8834" s="66"/>
      <c r="B8834" s="67"/>
      <c r="C8834" s="66"/>
      <c r="D8834" s="68"/>
      <c r="E8834" s="10"/>
      <c r="F8834" s="69"/>
      <c r="G8834" s="68"/>
      <c r="H8834" s="70"/>
      <c r="BA8834" s="4"/>
      <c r="BB8834" s="4"/>
    </row>
    <row r="8835" spans="1:54" x14ac:dyDescent="0.3">
      <c r="A8835" s="66"/>
      <c r="B8835" s="67"/>
      <c r="C8835" s="66"/>
      <c r="D8835" s="68"/>
      <c r="E8835" s="10"/>
      <c r="F8835" s="69"/>
      <c r="G8835" s="68"/>
      <c r="H8835" s="70"/>
      <c r="BA8835" s="4"/>
      <c r="BB8835" s="4"/>
    </row>
    <row r="8836" spans="1:54" x14ac:dyDescent="0.3">
      <c r="A8836" s="66"/>
      <c r="B8836" s="67"/>
      <c r="C8836" s="66"/>
      <c r="D8836" s="68"/>
      <c r="E8836" s="10"/>
      <c r="F8836" s="69"/>
      <c r="G8836" s="68"/>
      <c r="H8836" s="70"/>
      <c r="BA8836" s="4"/>
      <c r="BB8836" s="4"/>
    </row>
    <row r="8837" spans="1:54" x14ac:dyDescent="0.3">
      <c r="A8837" s="66"/>
      <c r="B8837" s="67"/>
      <c r="C8837" s="66"/>
      <c r="D8837" s="68"/>
      <c r="E8837" s="10"/>
      <c r="F8837" s="69"/>
      <c r="G8837" s="68"/>
      <c r="H8837" s="70"/>
      <c r="BA8837" s="4"/>
      <c r="BB8837" s="4"/>
    </row>
    <row r="8838" spans="1:54" x14ac:dyDescent="0.3">
      <c r="A8838" s="66"/>
      <c r="B8838" s="67"/>
      <c r="C8838" s="66"/>
      <c r="D8838" s="68"/>
      <c r="E8838" s="10"/>
      <c r="F8838" s="69"/>
      <c r="G8838" s="68"/>
      <c r="H8838" s="70"/>
      <c r="BA8838" s="4"/>
      <c r="BB8838" s="4"/>
    </row>
    <row r="8839" spans="1:54" x14ac:dyDescent="0.3">
      <c r="A8839" s="66"/>
      <c r="B8839" s="67"/>
      <c r="C8839" s="66"/>
      <c r="D8839" s="68"/>
      <c r="E8839" s="10"/>
      <c r="F8839" s="69"/>
      <c r="G8839" s="68"/>
      <c r="H8839" s="70"/>
      <c r="BA8839" s="4"/>
      <c r="BB8839" s="4"/>
    </row>
    <row r="8840" spans="1:54" x14ac:dyDescent="0.3">
      <c r="A8840" s="66"/>
      <c r="B8840" s="67"/>
      <c r="C8840" s="66"/>
      <c r="D8840" s="68"/>
      <c r="E8840" s="10"/>
      <c r="F8840" s="69"/>
      <c r="G8840" s="68"/>
      <c r="H8840" s="70"/>
      <c r="BA8840" s="4"/>
      <c r="BB8840" s="4"/>
    </row>
    <row r="8841" spans="1:54" x14ac:dyDescent="0.3">
      <c r="A8841" s="66"/>
      <c r="B8841" s="67"/>
      <c r="C8841" s="66"/>
      <c r="D8841" s="68"/>
      <c r="E8841" s="10"/>
      <c r="F8841" s="69"/>
      <c r="G8841" s="68"/>
      <c r="H8841" s="70"/>
      <c r="BA8841" s="4"/>
      <c r="BB8841" s="4"/>
    </row>
    <row r="8842" spans="1:54" x14ac:dyDescent="0.3">
      <c r="A8842" s="66"/>
      <c r="B8842" s="67"/>
      <c r="C8842" s="66"/>
      <c r="D8842" s="68"/>
      <c r="E8842" s="10"/>
      <c r="F8842" s="69"/>
      <c r="G8842" s="68"/>
      <c r="H8842" s="70"/>
      <c r="BA8842" s="4"/>
      <c r="BB8842" s="4"/>
    </row>
    <row r="8843" spans="1:54" x14ac:dyDescent="0.3">
      <c r="A8843" s="66"/>
      <c r="B8843" s="67"/>
      <c r="C8843" s="66"/>
      <c r="D8843" s="68"/>
      <c r="E8843" s="10"/>
      <c r="F8843" s="69"/>
      <c r="G8843" s="68"/>
      <c r="H8843" s="70"/>
      <c r="BA8843" s="4"/>
      <c r="BB8843" s="4"/>
    </row>
    <row r="8844" spans="1:54" x14ac:dyDescent="0.3">
      <c r="A8844" s="66"/>
      <c r="B8844" s="67"/>
      <c r="C8844" s="66"/>
      <c r="D8844" s="68"/>
      <c r="E8844" s="10"/>
      <c r="F8844" s="69"/>
      <c r="G8844" s="68"/>
      <c r="H8844" s="70"/>
      <c r="BA8844" s="4"/>
      <c r="BB8844" s="4"/>
    </row>
    <row r="8845" spans="1:54" x14ac:dyDescent="0.3">
      <c r="A8845" s="66"/>
      <c r="B8845" s="67"/>
      <c r="C8845" s="66"/>
      <c r="D8845" s="68"/>
      <c r="E8845" s="10"/>
      <c r="F8845" s="69"/>
      <c r="G8845" s="68"/>
      <c r="H8845" s="70"/>
      <c r="BA8845" s="4"/>
      <c r="BB8845" s="4"/>
    </row>
    <row r="8846" spans="1:54" x14ac:dyDescent="0.3">
      <c r="A8846" s="66"/>
      <c r="B8846" s="67"/>
      <c r="C8846" s="66"/>
      <c r="D8846" s="68"/>
      <c r="E8846" s="10"/>
      <c r="F8846" s="69"/>
      <c r="G8846" s="68"/>
      <c r="H8846" s="70"/>
      <c r="BA8846" s="4"/>
      <c r="BB8846" s="4"/>
    </row>
    <row r="8847" spans="1:54" x14ac:dyDescent="0.3">
      <c r="A8847" s="66"/>
      <c r="B8847" s="67"/>
      <c r="C8847" s="66"/>
      <c r="D8847" s="68"/>
      <c r="E8847" s="10"/>
      <c r="F8847" s="69"/>
      <c r="G8847" s="68"/>
      <c r="H8847" s="70"/>
      <c r="BA8847" s="4"/>
      <c r="BB8847" s="4"/>
    </row>
    <row r="8848" spans="1:54" x14ac:dyDescent="0.3">
      <c r="A8848" s="66"/>
      <c r="B8848" s="67"/>
      <c r="C8848" s="66"/>
      <c r="D8848" s="68"/>
      <c r="E8848" s="10"/>
      <c r="F8848" s="69"/>
      <c r="G8848" s="68"/>
      <c r="H8848" s="70"/>
      <c r="BA8848" s="4"/>
      <c r="BB8848" s="4"/>
    </row>
    <row r="8849" spans="1:54" x14ac:dyDescent="0.3">
      <c r="A8849" s="66"/>
      <c r="B8849" s="67"/>
      <c r="C8849" s="66"/>
      <c r="D8849" s="68"/>
      <c r="E8849" s="10"/>
      <c r="F8849" s="69"/>
      <c r="G8849" s="68"/>
      <c r="H8849" s="70"/>
      <c r="BA8849" s="4"/>
      <c r="BB8849" s="4"/>
    </row>
    <row r="8850" spans="1:54" x14ac:dyDescent="0.3">
      <c r="A8850" s="66"/>
      <c r="B8850" s="67"/>
      <c r="C8850" s="66"/>
      <c r="D8850" s="68"/>
      <c r="E8850" s="10"/>
      <c r="F8850" s="69"/>
      <c r="G8850" s="68"/>
      <c r="H8850" s="70"/>
      <c r="BA8850" s="4"/>
      <c r="BB8850" s="4"/>
    </row>
    <row r="8851" spans="1:54" x14ac:dyDescent="0.3">
      <c r="A8851" s="66"/>
      <c r="B8851" s="67"/>
      <c r="C8851" s="66"/>
      <c r="D8851" s="68"/>
      <c r="E8851" s="10"/>
      <c r="F8851" s="69"/>
      <c r="G8851" s="68"/>
      <c r="H8851" s="70"/>
      <c r="BA8851" s="4"/>
      <c r="BB8851" s="4"/>
    </row>
    <row r="8852" spans="1:54" x14ac:dyDescent="0.3">
      <c r="A8852" s="66"/>
      <c r="B8852" s="67"/>
      <c r="C8852" s="66"/>
      <c r="D8852" s="68"/>
      <c r="E8852" s="10"/>
      <c r="F8852" s="69"/>
      <c r="G8852" s="68"/>
      <c r="H8852" s="70"/>
      <c r="BA8852" s="4"/>
      <c r="BB8852" s="4"/>
    </row>
    <row r="8853" spans="1:54" x14ac:dyDescent="0.3">
      <c r="A8853" s="66"/>
      <c r="B8853" s="67"/>
      <c r="C8853" s="66"/>
      <c r="D8853" s="68"/>
      <c r="E8853" s="10"/>
      <c r="F8853" s="69"/>
      <c r="G8853" s="68"/>
      <c r="H8853" s="70"/>
      <c r="BA8853" s="4"/>
      <c r="BB8853" s="4"/>
    </row>
    <row r="8854" spans="1:54" x14ac:dyDescent="0.3">
      <c r="A8854" s="66"/>
      <c r="B8854" s="67"/>
      <c r="C8854" s="66"/>
      <c r="D8854" s="68"/>
      <c r="E8854" s="10"/>
      <c r="F8854" s="69"/>
      <c r="G8854" s="68"/>
      <c r="H8854" s="70"/>
      <c r="BA8854" s="4"/>
      <c r="BB8854" s="4"/>
    </row>
    <row r="8855" spans="1:54" x14ac:dyDescent="0.3">
      <c r="A8855" s="66"/>
      <c r="B8855" s="67"/>
      <c r="C8855" s="66"/>
      <c r="D8855" s="68"/>
      <c r="E8855" s="10"/>
      <c r="F8855" s="69"/>
      <c r="G8855" s="68"/>
      <c r="H8855" s="70"/>
      <c r="BA8855" s="4"/>
      <c r="BB8855" s="4"/>
    </row>
    <row r="8856" spans="1:54" x14ac:dyDescent="0.3">
      <c r="A8856" s="66"/>
      <c r="B8856" s="67"/>
      <c r="C8856" s="66"/>
      <c r="D8856" s="68"/>
      <c r="E8856" s="10"/>
      <c r="F8856" s="69"/>
      <c r="G8856" s="68"/>
      <c r="H8856" s="70"/>
      <c r="BA8856" s="4"/>
      <c r="BB8856" s="4"/>
    </row>
    <row r="8857" spans="1:54" x14ac:dyDescent="0.3">
      <c r="A8857" s="66"/>
      <c r="B8857" s="67"/>
      <c r="C8857" s="66"/>
      <c r="D8857" s="68"/>
      <c r="E8857" s="10"/>
      <c r="F8857" s="69"/>
      <c r="G8857" s="68"/>
      <c r="H8857" s="70"/>
      <c r="BA8857" s="4"/>
      <c r="BB8857" s="4"/>
    </row>
    <row r="8858" spans="1:54" x14ac:dyDescent="0.3">
      <c r="A8858" s="66"/>
      <c r="B8858" s="67"/>
      <c r="C8858" s="66"/>
      <c r="D8858" s="68"/>
      <c r="E8858" s="10"/>
      <c r="F8858" s="69"/>
      <c r="G8858" s="68"/>
      <c r="H8858" s="70"/>
      <c r="BA8858" s="4"/>
      <c r="BB8858" s="4"/>
    </row>
    <row r="8859" spans="1:54" x14ac:dyDescent="0.3">
      <c r="A8859" s="66"/>
      <c r="B8859" s="67"/>
      <c r="C8859" s="66"/>
      <c r="D8859" s="68"/>
      <c r="E8859" s="10"/>
      <c r="F8859" s="69"/>
      <c r="G8859" s="68"/>
      <c r="H8859" s="70"/>
      <c r="BA8859" s="4"/>
      <c r="BB8859" s="4"/>
    </row>
    <row r="8860" spans="1:54" x14ac:dyDescent="0.3">
      <c r="A8860" s="66"/>
      <c r="B8860" s="67"/>
      <c r="C8860" s="66"/>
      <c r="D8860" s="68"/>
      <c r="E8860" s="10"/>
      <c r="F8860" s="69"/>
      <c r="G8860" s="68"/>
      <c r="H8860" s="70"/>
      <c r="BA8860" s="4"/>
      <c r="BB8860" s="4"/>
    </row>
    <row r="8861" spans="1:54" x14ac:dyDescent="0.3">
      <c r="A8861" s="66"/>
      <c r="B8861" s="67"/>
      <c r="C8861" s="66"/>
      <c r="D8861" s="68"/>
      <c r="E8861" s="10"/>
      <c r="F8861" s="69"/>
      <c r="G8861" s="68"/>
      <c r="H8861" s="70"/>
      <c r="BA8861" s="4"/>
      <c r="BB8861" s="4"/>
    </row>
    <row r="8862" spans="1:54" x14ac:dyDescent="0.3">
      <c r="A8862" s="66"/>
      <c r="B8862" s="67"/>
      <c r="C8862" s="66"/>
      <c r="D8862" s="68"/>
      <c r="E8862" s="10"/>
      <c r="F8862" s="69"/>
      <c r="G8862" s="68"/>
      <c r="H8862" s="70"/>
      <c r="BA8862" s="4"/>
      <c r="BB8862" s="4"/>
    </row>
    <row r="8863" spans="1:54" x14ac:dyDescent="0.3">
      <c r="A8863" s="66"/>
      <c r="B8863" s="67"/>
      <c r="C8863" s="66"/>
      <c r="D8863" s="68"/>
      <c r="E8863" s="10"/>
      <c r="F8863" s="69"/>
      <c r="G8863" s="68"/>
      <c r="H8863" s="70"/>
      <c r="BA8863" s="4"/>
      <c r="BB8863" s="4"/>
    </row>
    <row r="8864" spans="1:54" x14ac:dyDescent="0.3">
      <c r="A8864" s="66"/>
      <c r="B8864" s="67"/>
      <c r="C8864" s="66"/>
      <c r="D8864" s="68"/>
      <c r="E8864" s="10"/>
      <c r="F8864" s="69"/>
      <c r="G8864" s="68"/>
      <c r="H8864" s="70"/>
      <c r="BA8864" s="4"/>
      <c r="BB8864" s="4"/>
    </row>
    <row r="8865" spans="1:54" x14ac:dyDescent="0.3">
      <c r="A8865" s="66"/>
      <c r="B8865" s="67"/>
      <c r="C8865" s="66"/>
      <c r="D8865" s="68"/>
      <c r="E8865" s="10"/>
      <c r="F8865" s="69"/>
      <c r="G8865" s="68"/>
      <c r="H8865" s="70"/>
      <c r="BA8865" s="4"/>
      <c r="BB8865" s="4"/>
    </row>
    <row r="8866" spans="1:54" x14ac:dyDescent="0.3">
      <c r="A8866" s="66"/>
      <c r="B8866" s="67"/>
      <c r="C8866" s="66"/>
      <c r="D8866" s="68"/>
      <c r="E8866" s="10"/>
      <c r="F8866" s="69"/>
      <c r="G8866" s="68"/>
      <c r="H8866" s="70"/>
      <c r="BA8866" s="4"/>
      <c r="BB8866" s="4"/>
    </row>
    <row r="8867" spans="1:54" x14ac:dyDescent="0.3">
      <c r="A8867" s="66"/>
      <c r="B8867" s="67"/>
      <c r="C8867" s="66"/>
      <c r="D8867" s="68"/>
      <c r="E8867" s="10"/>
      <c r="F8867" s="69"/>
      <c r="G8867" s="68"/>
      <c r="H8867" s="70"/>
      <c r="BA8867" s="4"/>
      <c r="BB8867" s="4"/>
    </row>
    <row r="8868" spans="1:54" x14ac:dyDescent="0.3">
      <c r="A8868" s="66"/>
      <c r="B8868" s="67"/>
      <c r="C8868" s="66"/>
      <c r="D8868" s="68"/>
      <c r="E8868" s="10"/>
      <c r="F8868" s="69"/>
      <c r="G8868" s="68"/>
      <c r="H8868" s="70"/>
      <c r="BA8868" s="4"/>
      <c r="BB8868" s="4"/>
    </row>
    <row r="8869" spans="1:54" x14ac:dyDescent="0.3">
      <c r="A8869" s="66"/>
      <c r="B8869" s="67"/>
      <c r="C8869" s="66"/>
      <c r="D8869" s="68"/>
      <c r="E8869" s="10"/>
      <c r="F8869" s="69"/>
      <c r="G8869" s="68"/>
      <c r="H8869" s="70"/>
      <c r="BA8869" s="4"/>
      <c r="BB8869" s="4"/>
    </row>
    <row r="8870" spans="1:54" x14ac:dyDescent="0.3">
      <c r="A8870" s="66"/>
      <c r="B8870" s="67"/>
      <c r="C8870" s="66"/>
      <c r="D8870" s="68"/>
      <c r="E8870" s="10"/>
      <c r="F8870" s="69"/>
      <c r="G8870" s="68"/>
      <c r="H8870" s="70"/>
      <c r="BA8870" s="4"/>
      <c r="BB8870" s="4"/>
    </row>
    <row r="8871" spans="1:54" x14ac:dyDescent="0.3">
      <c r="A8871" s="66"/>
      <c r="B8871" s="67"/>
      <c r="C8871" s="66"/>
      <c r="D8871" s="68"/>
      <c r="E8871" s="10"/>
      <c r="F8871" s="69"/>
      <c r="G8871" s="68"/>
      <c r="H8871" s="70"/>
      <c r="BA8871" s="4"/>
      <c r="BB8871" s="4"/>
    </row>
    <row r="8872" spans="1:54" x14ac:dyDescent="0.3">
      <c r="A8872" s="66"/>
      <c r="B8872" s="67"/>
      <c r="C8872" s="66"/>
      <c r="D8872" s="68"/>
      <c r="E8872" s="10"/>
      <c r="F8872" s="69"/>
      <c r="G8872" s="68"/>
      <c r="H8872" s="70"/>
      <c r="BA8872" s="4"/>
      <c r="BB8872" s="4"/>
    </row>
    <row r="8873" spans="1:54" x14ac:dyDescent="0.3">
      <c r="A8873" s="66"/>
      <c r="B8873" s="67"/>
      <c r="C8873" s="66"/>
      <c r="D8873" s="68"/>
      <c r="E8873" s="10"/>
      <c r="F8873" s="69"/>
      <c r="G8873" s="68"/>
      <c r="H8873" s="70"/>
      <c r="BA8873" s="4"/>
      <c r="BB8873" s="4"/>
    </row>
    <row r="8874" spans="1:54" x14ac:dyDescent="0.3">
      <c r="A8874" s="66"/>
      <c r="B8874" s="67"/>
      <c r="C8874" s="66"/>
      <c r="D8874" s="68"/>
      <c r="E8874" s="10"/>
      <c r="F8874" s="69"/>
      <c r="G8874" s="68"/>
      <c r="H8874" s="70"/>
      <c r="BA8874" s="4"/>
      <c r="BB8874" s="4"/>
    </row>
    <row r="8875" spans="1:54" x14ac:dyDescent="0.3">
      <c r="A8875" s="66"/>
      <c r="B8875" s="67"/>
      <c r="C8875" s="66"/>
      <c r="D8875" s="68"/>
      <c r="E8875" s="10"/>
      <c r="F8875" s="69"/>
      <c r="G8875" s="68"/>
      <c r="H8875" s="70"/>
      <c r="BA8875" s="4"/>
      <c r="BB8875" s="4"/>
    </row>
    <row r="8876" spans="1:54" x14ac:dyDescent="0.3">
      <c r="A8876" s="66"/>
      <c r="B8876" s="67"/>
      <c r="C8876" s="66"/>
      <c r="D8876" s="68"/>
      <c r="E8876" s="10"/>
      <c r="F8876" s="69"/>
      <c r="G8876" s="68"/>
      <c r="H8876" s="70"/>
      <c r="BA8876" s="4"/>
      <c r="BB8876" s="4"/>
    </row>
    <row r="8877" spans="1:54" x14ac:dyDescent="0.3">
      <c r="A8877" s="66"/>
      <c r="B8877" s="67"/>
      <c r="C8877" s="66"/>
      <c r="D8877" s="68"/>
      <c r="E8877" s="10"/>
      <c r="F8877" s="69"/>
      <c r="G8877" s="68"/>
      <c r="H8877" s="70"/>
      <c r="BA8877" s="4"/>
      <c r="BB8877" s="4"/>
    </row>
    <row r="8878" spans="1:54" x14ac:dyDescent="0.3">
      <c r="A8878" s="66"/>
      <c r="B8878" s="67"/>
      <c r="C8878" s="66"/>
      <c r="D8878" s="68"/>
      <c r="E8878" s="10"/>
      <c r="F8878" s="69"/>
      <c r="G8878" s="68"/>
      <c r="H8878" s="70"/>
      <c r="BA8878" s="4"/>
      <c r="BB8878" s="4"/>
    </row>
    <row r="8879" spans="1:54" x14ac:dyDescent="0.3">
      <c r="A8879" s="66"/>
      <c r="B8879" s="67"/>
      <c r="C8879" s="66"/>
      <c r="D8879" s="68"/>
      <c r="E8879" s="10"/>
      <c r="F8879" s="69"/>
      <c r="G8879" s="68"/>
      <c r="H8879" s="70"/>
      <c r="BA8879" s="4"/>
      <c r="BB8879" s="4"/>
    </row>
    <row r="8880" spans="1:54" x14ac:dyDescent="0.3">
      <c r="A8880" s="66"/>
      <c r="B8880" s="67"/>
      <c r="C8880" s="66"/>
      <c r="D8880" s="68"/>
      <c r="E8880" s="10"/>
      <c r="F8880" s="69"/>
      <c r="G8880" s="68"/>
      <c r="H8880" s="70"/>
      <c r="BA8880" s="4"/>
      <c r="BB8880" s="4"/>
    </row>
    <row r="8881" spans="1:54" x14ac:dyDescent="0.3">
      <c r="A8881" s="66"/>
      <c r="B8881" s="67"/>
      <c r="C8881" s="66"/>
      <c r="D8881" s="68"/>
      <c r="E8881" s="10"/>
      <c r="F8881" s="69"/>
      <c r="G8881" s="68"/>
      <c r="H8881" s="70"/>
      <c r="BA8881" s="4"/>
      <c r="BB8881" s="4"/>
    </row>
    <row r="8882" spans="1:54" x14ac:dyDescent="0.3">
      <c r="A8882" s="66"/>
      <c r="B8882" s="67"/>
      <c r="C8882" s="66"/>
      <c r="D8882" s="68"/>
      <c r="E8882" s="10"/>
      <c r="F8882" s="69"/>
      <c r="G8882" s="68"/>
      <c r="H8882" s="70"/>
      <c r="BA8882" s="4"/>
      <c r="BB8882" s="4"/>
    </row>
    <row r="8883" spans="1:54" x14ac:dyDescent="0.3">
      <c r="A8883" s="66"/>
      <c r="B8883" s="67"/>
      <c r="C8883" s="66"/>
      <c r="D8883" s="68"/>
      <c r="E8883" s="10"/>
      <c r="F8883" s="69"/>
      <c r="G8883" s="68"/>
      <c r="H8883" s="70"/>
      <c r="BA8883" s="4"/>
      <c r="BB8883" s="4"/>
    </row>
    <row r="8884" spans="1:54" x14ac:dyDescent="0.3">
      <c r="A8884" s="66"/>
      <c r="B8884" s="67"/>
      <c r="C8884" s="66"/>
      <c r="D8884" s="68"/>
      <c r="E8884" s="10"/>
      <c r="F8884" s="69"/>
      <c r="G8884" s="68"/>
      <c r="H8884" s="70"/>
      <c r="BA8884" s="4"/>
      <c r="BB8884" s="4"/>
    </row>
    <row r="8885" spans="1:54" x14ac:dyDescent="0.3">
      <c r="A8885" s="66"/>
      <c r="B8885" s="67"/>
      <c r="C8885" s="66"/>
      <c r="D8885" s="68"/>
      <c r="E8885" s="10"/>
      <c r="F8885" s="69"/>
      <c r="G8885" s="68"/>
      <c r="H8885" s="70"/>
      <c r="BA8885" s="4"/>
      <c r="BB8885" s="4"/>
    </row>
    <row r="8886" spans="1:54" x14ac:dyDescent="0.3">
      <c r="A8886" s="66"/>
      <c r="B8886" s="67"/>
      <c r="C8886" s="66"/>
      <c r="D8886" s="68"/>
      <c r="E8886" s="10"/>
      <c r="F8886" s="69"/>
      <c r="G8886" s="68"/>
      <c r="H8886" s="70"/>
      <c r="BA8886" s="4"/>
      <c r="BB8886" s="4"/>
    </row>
    <row r="8887" spans="1:54" x14ac:dyDescent="0.3">
      <c r="A8887" s="66"/>
      <c r="B8887" s="67"/>
      <c r="C8887" s="66"/>
      <c r="D8887" s="68"/>
      <c r="E8887" s="10"/>
      <c r="F8887" s="69"/>
      <c r="G8887" s="68"/>
      <c r="H8887" s="70"/>
      <c r="BA8887" s="4"/>
      <c r="BB8887" s="4"/>
    </row>
    <row r="8888" spans="1:54" x14ac:dyDescent="0.3">
      <c r="A8888" s="66"/>
      <c r="B8888" s="67"/>
      <c r="C8888" s="66"/>
      <c r="D8888" s="68"/>
      <c r="E8888" s="10"/>
      <c r="F8888" s="69"/>
      <c r="G8888" s="68"/>
      <c r="H8888" s="70"/>
      <c r="BA8888" s="4"/>
      <c r="BB8888" s="4"/>
    </row>
    <row r="8889" spans="1:54" x14ac:dyDescent="0.3">
      <c r="A8889" s="66"/>
      <c r="B8889" s="67"/>
      <c r="C8889" s="66"/>
      <c r="D8889" s="68"/>
      <c r="E8889" s="10"/>
      <c r="F8889" s="69"/>
      <c r="G8889" s="68"/>
      <c r="H8889" s="70"/>
      <c r="BA8889" s="4"/>
      <c r="BB8889" s="4"/>
    </row>
    <row r="8890" spans="1:54" x14ac:dyDescent="0.3">
      <c r="A8890" s="66"/>
      <c r="B8890" s="67"/>
      <c r="C8890" s="66"/>
      <c r="D8890" s="68"/>
      <c r="E8890" s="10"/>
      <c r="F8890" s="69"/>
      <c r="G8890" s="68"/>
      <c r="H8890" s="70"/>
      <c r="BA8890" s="4"/>
      <c r="BB8890" s="4"/>
    </row>
    <row r="8891" spans="1:54" x14ac:dyDescent="0.3">
      <c r="A8891" s="66"/>
      <c r="B8891" s="67"/>
      <c r="C8891" s="66"/>
      <c r="D8891" s="68"/>
      <c r="E8891" s="10"/>
      <c r="F8891" s="69"/>
      <c r="G8891" s="68"/>
      <c r="H8891" s="70"/>
      <c r="BA8891" s="4"/>
      <c r="BB8891" s="4"/>
    </row>
    <row r="8892" spans="1:54" x14ac:dyDescent="0.3">
      <c r="A8892" s="66"/>
      <c r="B8892" s="67"/>
      <c r="C8892" s="66"/>
      <c r="D8892" s="68"/>
      <c r="E8892" s="10"/>
      <c r="F8892" s="69"/>
      <c r="G8892" s="68"/>
      <c r="H8892" s="70"/>
      <c r="BA8892" s="4"/>
      <c r="BB8892" s="4"/>
    </row>
    <row r="8893" spans="1:54" x14ac:dyDescent="0.3">
      <c r="A8893" s="66"/>
      <c r="B8893" s="67"/>
      <c r="C8893" s="66"/>
      <c r="D8893" s="68"/>
      <c r="E8893" s="10"/>
      <c r="F8893" s="69"/>
      <c r="G8893" s="68"/>
      <c r="H8893" s="70"/>
      <c r="BA8893" s="4"/>
      <c r="BB8893" s="4"/>
    </row>
    <row r="8894" spans="1:54" x14ac:dyDescent="0.3">
      <c r="A8894" s="66"/>
      <c r="B8894" s="67"/>
      <c r="C8894" s="66"/>
      <c r="D8894" s="68"/>
      <c r="E8894" s="10"/>
      <c r="F8894" s="69"/>
      <c r="G8894" s="68"/>
      <c r="H8894" s="70"/>
      <c r="BA8894" s="4"/>
      <c r="BB8894" s="4"/>
    </row>
    <row r="8895" spans="1:54" x14ac:dyDescent="0.3">
      <c r="A8895" s="66"/>
      <c r="B8895" s="67"/>
      <c r="C8895" s="66"/>
      <c r="D8895" s="68"/>
      <c r="E8895" s="10"/>
      <c r="F8895" s="69"/>
      <c r="G8895" s="68"/>
      <c r="H8895" s="70"/>
      <c r="BA8895" s="4"/>
      <c r="BB8895" s="4"/>
    </row>
    <row r="8896" spans="1:54" x14ac:dyDescent="0.3">
      <c r="A8896" s="66"/>
      <c r="B8896" s="67"/>
      <c r="C8896" s="66"/>
      <c r="D8896" s="68"/>
      <c r="E8896" s="10"/>
      <c r="F8896" s="69"/>
      <c r="G8896" s="68"/>
      <c r="H8896" s="70"/>
      <c r="BA8896" s="4"/>
      <c r="BB8896" s="4"/>
    </row>
    <row r="8897" spans="1:54" x14ac:dyDescent="0.3">
      <c r="A8897" s="66"/>
      <c r="B8897" s="67"/>
      <c r="C8897" s="66"/>
      <c r="D8897" s="68"/>
      <c r="E8897" s="10"/>
      <c r="F8897" s="69"/>
      <c r="G8897" s="68"/>
      <c r="H8897" s="70"/>
      <c r="BA8897" s="4"/>
      <c r="BB8897" s="4"/>
    </row>
    <row r="8898" spans="1:54" x14ac:dyDescent="0.3">
      <c r="A8898" s="66"/>
      <c r="B8898" s="67"/>
      <c r="C8898" s="66"/>
      <c r="D8898" s="68"/>
      <c r="E8898" s="10"/>
      <c r="F8898" s="69"/>
      <c r="G8898" s="68"/>
      <c r="H8898" s="70"/>
      <c r="BA8898" s="4"/>
      <c r="BB8898" s="4"/>
    </row>
    <row r="8899" spans="1:54" x14ac:dyDescent="0.3">
      <c r="A8899" s="66"/>
      <c r="B8899" s="67"/>
      <c r="C8899" s="66"/>
      <c r="D8899" s="68"/>
      <c r="E8899" s="10"/>
      <c r="F8899" s="69"/>
      <c r="G8899" s="68"/>
      <c r="H8899" s="70"/>
      <c r="BA8899" s="4"/>
      <c r="BB8899" s="4"/>
    </row>
    <row r="8900" spans="1:54" x14ac:dyDescent="0.3">
      <c r="A8900" s="66"/>
      <c r="B8900" s="67"/>
      <c r="C8900" s="66"/>
      <c r="D8900" s="68"/>
      <c r="E8900" s="10"/>
      <c r="F8900" s="69"/>
      <c r="G8900" s="68"/>
      <c r="H8900" s="70"/>
      <c r="BA8900" s="4"/>
      <c r="BB8900" s="4"/>
    </row>
    <row r="8901" spans="1:54" x14ac:dyDescent="0.3">
      <c r="A8901" s="66"/>
      <c r="B8901" s="67"/>
      <c r="C8901" s="66"/>
      <c r="D8901" s="68"/>
      <c r="E8901" s="10"/>
      <c r="F8901" s="69"/>
      <c r="G8901" s="68"/>
      <c r="H8901" s="70"/>
      <c r="BA8901" s="4"/>
      <c r="BB8901" s="4"/>
    </row>
    <row r="8902" spans="1:54" x14ac:dyDescent="0.3">
      <c r="A8902" s="66"/>
      <c r="B8902" s="67"/>
      <c r="C8902" s="66"/>
      <c r="D8902" s="68"/>
      <c r="E8902" s="10"/>
      <c r="F8902" s="69"/>
      <c r="G8902" s="68"/>
      <c r="H8902" s="70"/>
      <c r="BA8902" s="4"/>
      <c r="BB8902" s="4"/>
    </row>
    <row r="8903" spans="1:54" x14ac:dyDescent="0.3">
      <c r="A8903" s="66"/>
      <c r="B8903" s="67"/>
      <c r="C8903" s="66"/>
      <c r="D8903" s="68"/>
      <c r="E8903" s="10"/>
      <c r="F8903" s="69"/>
      <c r="G8903" s="68"/>
      <c r="H8903" s="70"/>
      <c r="BA8903" s="4"/>
      <c r="BB8903" s="4"/>
    </row>
    <row r="8904" spans="1:54" x14ac:dyDescent="0.3">
      <c r="A8904" s="66"/>
      <c r="B8904" s="67"/>
      <c r="C8904" s="66"/>
      <c r="D8904" s="68"/>
      <c r="E8904" s="10"/>
      <c r="F8904" s="69"/>
      <c r="G8904" s="68"/>
      <c r="H8904" s="70"/>
      <c r="BA8904" s="4"/>
      <c r="BB8904" s="4"/>
    </row>
    <row r="8905" spans="1:54" x14ac:dyDescent="0.3">
      <c r="A8905" s="66"/>
      <c r="B8905" s="67"/>
      <c r="C8905" s="66"/>
      <c r="D8905" s="68"/>
      <c r="E8905" s="10"/>
      <c r="F8905" s="69"/>
      <c r="G8905" s="68"/>
      <c r="H8905" s="70"/>
      <c r="BA8905" s="4"/>
      <c r="BB8905" s="4"/>
    </row>
    <row r="8906" spans="1:54" x14ac:dyDescent="0.3">
      <c r="A8906" s="66"/>
      <c r="B8906" s="67"/>
      <c r="C8906" s="66"/>
      <c r="D8906" s="68"/>
      <c r="E8906" s="10"/>
      <c r="F8906" s="69"/>
      <c r="G8906" s="68"/>
      <c r="H8906" s="70"/>
      <c r="BA8906" s="4"/>
      <c r="BB8906" s="4"/>
    </row>
    <row r="8907" spans="1:54" x14ac:dyDescent="0.3">
      <c r="A8907" s="66"/>
      <c r="B8907" s="67"/>
      <c r="C8907" s="66"/>
      <c r="D8907" s="68"/>
      <c r="E8907" s="10"/>
      <c r="F8907" s="69"/>
      <c r="G8907" s="68"/>
      <c r="H8907" s="70"/>
      <c r="BA8907" s="4"/>
      <c r="BB8907" s="4"/>
    </row>
    <row r="8908" spans="1:54" x14ac:dyDescent="0.3">
      <c r="A8908" s="66"/>
      <c r="B8908" s="67"/>
      <c r="C8908" s="66"/>
      <c r="D8908" s="68"/>
      <c r="E8908" s="10"/>
      <c r="F8908" s="69"/>
      <c r="G8908" s="68"/>
      <c r="H8908" s="70"/>
      <c r="BA8908" s="4"/>
      <c r="BB8908" s="4"/>
    </row>
    <row r="8909" spans="1:54" x14ac:dyDescent="0.3">
      <c r="A8909" s="66"/>
      <c r="B8909" s="67"/>
      <c r="C8909" s="66"/>
      <c r="D8909" s="68"/>
      <c r="E8909" s="10"/>
      <c r="F8909" s="69"/>
      <c r="G8909" s="68"/>
      <c r="H8909" s="70"/>
      <c r="BA8909" s="4"/>
      <c r="BB8909" s="4"/>
    </row>
    <row r="8910" spans="1:54" x14ac:dyDescent="0.3">
      <c r="A8910" s="66"/>
      <c r="B8910" s="67"/>
      <c r="C8910" s="66"/>
      <c r="D8910" s="68"/>
      <c r="E8910" s="10"/>
      <c r="F8910" s="69"/>
      <c r="G8910" s="68"/>
      <c r="H8910" s="70"/>
      <c r="BA8910" s="4"/>
      <c r="BB8910" s="4"/>
    </row>
    <row r="8911" spans="1:54" x14ac:dyDescent="0.3">
      <c r="A8911" s="66"/>
      <c r="B8911" s="67"/>
      <c r="C8911" s="66"/>
      <c r="D8911" s="68"/>
      <c r="E8911" s="10"/>
      <c r="F8911" s="69"/>
      <c r="G8911" s="68"/>
      <c r="H8911" s="70"/>
      <c r="BA8911" s="4"/>
      <c r="BB8911" s="4"/>
    </row>
    <row r="8912" spans="1:54" x14ac:dyDescent="0.3">
      <c r="A8912" s="66"/>
      <c r="B8912" s="67"/>
      <c r="C8912" s="66"/>
      <c r="D8912" s="68"/>
      <c r="E8912" s="10"/>
      <c r="F8912" s="69"/>
      <c r="G8912" s="68"/>
      <c r="H8912" s="70"/>
      <c r="BA8912" s="4"/>
      <c r="BB8912" s="4"/>
    </row>
    <row r="8913" spans="1:54" x14ac:dyDescent="0.3">
      <c r="A8913" s="66"/>
      <c r="B8913" s="67"/>
      <c r="C8913" s="66"/>
      <c r="D8913" s="68"/>
      <c r="E8913" s="10"/>
      <c r="F8913" s="69"/>
      <c r="G8913" s="68"/>
      <c r="H8913" s="70"/>
      <c r="BA8913" s="4"/>
      <c r="BB8913" s="4"/>
    </row>
    <row r="8914" spans="1:54" x14ac:dyDescent="0.3">
      <c r="A8914" s="66"/>
      <c r="B8914" s="67"/>
      <c r="C8914" s="66"/>
      <c r="D8914" s="68"/>
      <c r="E8914" s="10"/>
      <c r="F8914" s="69"/>
      <c r="G8914" s="68"/>
      <c r="H8914" s="70"/>
      <c r="BA8914" s="4"/>
      <c r="BB8914" s="4"/>
    </row>
    <row r="8915" spans="1:54" x14ac:dyDescent="0.3">
      <c r="A8915" s="66"/>
      <c r="B8915" s="67"/>
      <c r="C8915" s="66"/>
      <c r="D8915" s="68"/>
      <c r="E8915" s="10"/>
      <c r="F8915" s="69"/>
      <c r="G8915" s="68"/>
      <c r="H8915" s="70"/>
      <c r="BA8915" s="4"/>
      <c r="BB8915" s="4"/>
    </row>
    <row r="8916" spans="1:54" x14ac:dyDescent="0.3">
      <c r="A8916" s="66"/>
      <c r="B8916" s="67"/>
      <c r="C8916" s="66"/>
      <c r="D8916" s="68"/>
      <c r="E8916" s="10"/>
      <c r="F8916" s="69"/>
      <c r="G8916" s="68"/>
      <c r="H8916" s="70"/>
      <c r="BA8916" s="4"/>
      <c r="BB8916" s="4"/>
    </row>
    <row r="8917" spans="1:54" x14ac:dyDescent="0.3">
      <c r="A8917" s="66"/>
      <c r="B8917" s="67"/>
      <c r="C8917" s="66"/>
      <c r="D8917" s="68"/>
      <c r="E8917" s="10"/>
      <c r="F8917" s="69"/>
      <c r="G8917" s="68"/>
      <c r="H8917" s="70"/>
      <c r="BA8917" s="4"/>
      <c r="BB8917" s="4"/>
    </row>
    <row r="8918" spans="1:54" x14ac:dyDescent="0.3">
      <c r="A8918" s="66"/>
      <c r="B8918" s="67"/>
      <c r="C8918" s="66"/>
      <c r="D8918" s="68"/>
      <c r="E8918" s="10"/>
      <c r="F8918" s="69"/>
      <c r="G8918" s="68"/>
      <c r="H8918" s="70"/>
      <c r="BA8918" s="4"/>
      <c r="BB8918" s="4"/>
    </row>
    <row r="8919" spans="1:54" x14ac:dyDescent="0.3">
      <c r="A8919" s="66"/>
      <c r="B8919" s="67"/>
      <c r="C8919" s="66"/>
      <c r="D8919" s="68"/>
      <c r="E8919" s="10"/>
      <c r="F8919" s="69"/>
      <c r="G8919" s="68"/>
      <c r="H8919" s="70"/>
      <c r="BA8919" s="4"/>
      <c r="BB8919" s="4"/>
    </row>
    <row r="8920" spans="1:54" x14ac:dyDescent="0.3">
      <c r="A8920" s="66"/>
      <c r="B8920" s="67"/>
      <c r="C8920" s="66"/>
      <c r="D8920" s="68"/>
      <c r="E8920" s="10"/>
      <c r="F8920" s="69"/>
      <c r="G8920" s="68"/>
      <c r="H8920" s="70"/>
      <c r="BA8920" s="4"/>
      <c r="BB8920" s="4"/>
    </row>
    <row r="8921" spans="1:54" x14ac:dyDescent="0.3">
      <c r="A8921" s="66"/>
      <c r="B8921" s="67"/>
      <c r="C8921" s="66"/>
      <c r="D8921" s="68"/>
      <c r="E8921" s="10"/>
      <c r="F8921" s="69"/>
      <c r="G8921" s="68"/>
      <c r="H8921" s="70"/>
      <c r="BA8921" s="4"/>
      <c r="BB8921" s="4"/>
    </row>
    <row r="8922" spans="1:54" x14ac:dyDescent="0.3">
      <c r="A8922" s="66"/>
      <c r="B8922" s="67"/>
      <c r="C8922" s="66"/>
      <c r="D8922" s="68"/>
      <c r="E8922" s="10"/>
      <c r="F8922" s="69"/>
      <c r="G8922" s="68"/>
      <c r="H8922" s="70"/>
      <c r="BA8922" s="4"/>
      <c r="BB8922" s="4"/>
    </row>
    <row r="8923" spans="1:54" x14ac:dyDescent="0.3">
      <c r="A8923" s="66"/>
      <c r="B8923" s="67"/>
      <c r="C8923" s="66"/>
      <c r="D8923" s="68"/>
      <c r="E8923" s="10"/>
      <c r="F8923" s="69"/>
      <c r="G8923" s="68"/>
      <c r="H8923" s="70"/>
      <c r="BA8923" s="4"/>
      <c r="BB8923" s="4"/>
    </row>
    <row r="8924" spans="1:54" x14ac:dyDescent="0.3">
      <c r="A8924" s="66"/>
      <c r="B8924" s="67"/>
      <c r="C8924" s="66"/>
      <c r="D8924" s="68"/>
      <c r="E8924" s="10"/>
      <c r="F8924" s="69"/>
      <c r="G8924" s="68"/>
      <c r="H8924" s="70"/>
      <c r="BA8924" s="4"/>
      <c r="BB8924" s="4"/>
    </row>
    <row r="8925" spans="1:54" x14ac:dyDescent="0.3">
      <c r="A8925" s="66"/>
      <c r="B8925" s="67"/>
      <c r="C8925" s="66"/>
      <c r="D8925" s="68"/>
      <c r="E8925" s="10"/>
      <c r="F8925" s="69"/>
      <c r="G8925" s="68"/>
      <c r="H8925" s="70"/>
      <c r="BA8925" s="4"/>
      <c r="BB8925" s="4"/>
    </row>
    <row r="8926" spans="1:54" x14ac:dyDescent="0.3">
      <c r="A8926" s="66"/>
      <c r="B8926" s="67"/>
      <c r="C8926" s="66"/>
      <c r="D8926" s="68"/>
      <c r="E8926" s="10"/>
      <c r="F8926" s="69"/>
      <c r="G8926" s="68"/>
      <c r="H8926" s="70"/>
      <c r="BA8926" s="4"/>
      <c r="BB8926" s="4"/>
    </row>
    <row r="8927" spans="1:54" x14ac:dyDescent="0.3">
      <c r="A8927" s="66"/>
      <c r="B8927" s="67"/>
      <c r="C8927" s="66"/>
      <c r="D8927" s="68"/>
      <c r="E8927" s="10"/>
      <c r="F8927" s="69"/>
      <c r="G8927" s="68"/>
      <c r="H8927" s="70"/>
      <c r="BA8927" s="4"/>
      <c r="BB8927" s="4"/>
    </row>
    <row r="8928" spans="1:54" x14ac:dyDescent="0.3">
      <c r="A8928" s="66"/>
      <c r="B8928" s="67"/>
      <c r="C8928" s="66"/>
      <c r="D8928" s="68"/>
      <c r="E8928" s="10"/>
      <c r="F8928" s="69"/>
      <c r="G8928" s="68"/>
      <c r="H8928" s="70"/>
      <c r="BA8928" s="4"/>
      <c r="BB8928" s="4"/>
    </row>
    <row r="8929" spans="1:54" x14ac:dyDescent="0.3">
      <c r="A8929" s="66"/>
      <c r="B8929" s="67"/>
      <c r="C8929" s="66"/>
      <c r="D8929" s="68"/>
      <c r="E8929" s="10"/>
      <c r="F8929" s="69"/>
      <c r="G8929" s="68"/>
      <c r="H8929" s="70"/>
      <c r="BA8929" s="4"/>
      <c r="BB8929" s="4"/>
    </row>
    <row r="8930" spans="1:54" x14ac:dyDescent="0.3">
      <c r="A8930" s="66"/>
      <c r="B8930" s="67"/>
      <c r="C8930" s="66"/>
      <c r="D8930" s="68"/>
      <c r="E8930" s="10"/>
      <c r="F8930" s="69"/>
      <c r="G8930" s="68"/>
      <c r="H8930" s="70"/>
      <c r="BA8930" s="4"/>
      <c r="BB8930" s="4"/>
    </row>
    <row r="8931" spans="1:54" x14ac:dyDescent="0.3">
      <c r="A8931" s="66"/>
      <c r="B8931" s="67"/>
      <c r="C8931" s="66"/>
      <c r="D8931" s="68"/>
      <c r="E8931" s="10"/>
      <c r="F8931" s="69"/>
      <c r="G8931" s="68"/>
      <c r="H8931" s="70"/>
      <c r="BA8931" s="4"/>
      <c r="BB8931" s="4"/>
    </row>
    <row r="8932" spans="1:54" x14ac:dyDescent="0.3">
      <c r="A8932" s="66"/>
      <c r="B8932" s="67"/>
      <c r="C8932" s="66"/>
      <c r="D8932" s="68"/>
      <c r="E8932" s="10"/>
      <c r="F8932" s="69"/>
      <c r="G8932" s="68"/>
      <c r="H8932" s="70"/>
      <c r="BA8932" s="4"/>
      <c r="BB8932" s="4"/>
    </row>
    <row r="8933" spans="1:54" x14ac:dyDescent="0.3">
      <c r="A8933" s="66"/>
      <c r="B8933" s="67"/>
      <c r="C8933" s="66"/>
      <c r="D8933" s="68"/>
      <c r="E8933" s="10"/>
      <c r="F8933" s="69"/>
      <c r="G8933" s="68"/>
      <c r="H8933" s="70"/>
      <c r="BA8933" s="4"/>
      <c r="BB8933" s="4"/>
    </row>
    <row r="8934" spans="1:54" x14ac:dyDescent="0.3">
      <c r="A8934" s="66"/>
      <c r="B8934" s="67"/>
      <c r="C8934" s="66"/>
      <c r="D8934" s="68"/>
      <c r="E8934" s="10"/>
      <c r="F8934" s="69"/>
      <c r="G8934" s="68"/>
      <c r="H8934" s="70"/>
      <c r="BA8934" s="4"/>
      <c r="BB8934" s="4"/>
    </row>
    <row r="8935" spans="1:54" x14ac:dyDescent="0.3">
      <c r="A8935" s="66"/>
      <c r="B8935" s="67"/>
      <c r="C8935" s="66"/>
      <c r="D8935" s="68"/>
      <c r="E8935" s="10"/>
      <c r="F8935" s="69"/>
      <c r="G8935" s="68"/>
      <c r="H8935" s="70"/>
      <c r="BA8935" s="4"/>
      <c r="BB8935" s="4"/>
    </row>
    <row r="8936" spans="1:54" x14ac:dyDescent="0.3">
      <c r="A8936" s="66"/>
      <c r="B8936" s="67"/>
      <c r="C8936" s="66"/>
      <c r="D8936" s="68"/>
      <c r="E8936" s="10"/>
      <c r="F8936" s="69"/>
      <c r="G8936" s="68"/>
      <c r="H8936" s="70"/>
      <c r="BA8936" s="4"/>
      <c r="BB8936" s="4"/>
    </row>
    <row r="8937" spans="1:54" x14ac:dyDescent="0.3">
      <c r="A8937" s="66"/>
      <c r="B8937" s="67"/>
      <c r="C8937" s="66"/>
      <c r="D8937" s="68"/>
      <c r="E8937" s="10"/>
      <c r="F8937" s="69"/>
      <c r="G8937" s="68"/>
      <c r="H8937" s="70"/>
      <c r="BA8937" s="4"/>
      <c r="BB8937" s="4"/>
    </row>
    <row r="8938" spans="1:54" x14ac:dyDescent="0.3">
      <c r="A8938" s="66"/>
      <c r="B8938" s="67"/>
      <c r="C8938" s="66"/>
      <c r="D8938" s="68"/>
      <c r="E8938" s="10"/>
      <c r="F8938" s="69"/>
      <c r="G8938" s="68"/>
      <c r="H8938" s="70"/>
      <c r="BA8938" s="4"/>
      <c r="BB8938" s="4"/>
    </row>
    <row r="8939" spans="1:54" x14ac:dyDescent="0.3">
      <c r="A8939" s="66"/>
      <c r="B8939" s="67"/>
      <c r="C8939" s="66"/>
      <c r="D8939" s="68"/>
      <c r="E8939" s="10"/>
      <c r="F8939" s="69"/>
      <c r="G8939" s="68"/>
      <c r="H8939" s="70"/>
      <c r="BA8939" s="4"/>
      <c r="BB8939" s="4"/>
    </row>
    <row r="8940" spans="1:54" x14ac:dyDescent="0.3">
      <c r="A8940" s="66"/>
      <c r="B8940" s="67"/>
      <c r="C8940" s="66"/>
      <c r="D8940" s="68"/>
      <c r="E8940" s="10"/>
      <c r="F8940" s="69"/>
      <c r="G8940" s="68"/>
      <c r="H8940" s="70"/>
      <c r="BA8940" s="4"/>
      <c r="BB8940" s="4"/>
    </row>
    <row r="8941" spans="1:54" x14ac:dyDescent="0.3">
      <c r="A8941" s="66"/>
      <c r="B8941" s="67"/>
      <c r="C8941" s="66"/>
      <c r="D8941" s="68"/>
      <c r="E8941" s="10"/>
      <c r="F8941" s="69"/>
      <c r="G8941" s="68"/>
      <c r="H8941" s="70"/>
      <c r="BA8941" s="4"/>
      <c r="BB8941" s="4"/>
    </row>
    <row r="8942" spans="1:54" x14ac:dyDescent="0.3">
      <c r="A8942" s="66"/>
      <c r="B8942" s="67"/>
      <c r="C8942" s="66"/>
      <c r="D8942" s="68"/>
      <c r="E8942" s="10"/>
      <c r="F8942" s="69"/>
      <c r="G8942" s="68"/>
      <c r="H8942" s="70"/>
      <c r="BA8942" s="4"/>
      <c r="BB8942" s="4"/>
    </row>
    <row r="8943" spans="1:54" x14ac:dyDescent="0.3">
      <c r="A8943" s="66"/>
      <c r="B8943" s="67"/>
      <c r="C8943" s="66"/>
      <c r="D8943" s="68"/>
      <c r="E8943" s="10"/>
      <c r="F8943" s="69"/>
      <c r="G8943" s="68"/>
      <c r="H8943" s="70"/>
      <c r="BA8943" s="4"/>
      <c r="BB8943" s="4"/>
    </row>
    <row r="8944" spans="1:54" x14ac:dyDescent="0.3">
      <c r="A8944" s="66"/>
      <c r="B8944" s="67"/>
      <c r="C8944" s="66"/>
      <c r="D8944" s="68"/>
      <c r="E8944" s="10"/>
      <c r="F8944" s="69"/>
      <c r="G8944" s="68"/>
      <c r="H8944" s="70"/>
      <c r="BA8944" s="4"/>
      <c r="BB8944" s="4"/>
    </row>
    <row r="8945" spans="1:54" x14ac:dyDescent="0.3">
      <c r="A8945" s="66"/>
      <c r="B8945" s="67"/>
      <c r="C8945" s="66"/>
      <c r="D8945" s="68"/>
      <c r="E8945" s="10"/>
      <c r="F8945" s="69"/>
      <c r="G8945" s="68"/>
      <c r="H8945" s="70"/>
      <c r="BA8945" s="4"/>
      <c r="BB8945" s="4"/>
    </row>
    <row r="8946" spans="1:54" x14ac:dyDescent="0.3">
      <c r="A8946" s="66"/>
      <c r="B8946" s="67"/>
      <c r="C8946" s="66"/>
      <c r="D8946" s="68"/>
      <c r="E8946" s="10"/>
      <c r="F8946" s="69"/>
      <c r="G8946" s="68"/>
      <c r="H8946" s="70"/>
      <c r="BA8946" s="4"/>
      <c r="BB8946" s="4"/>
    </row>
    <row r="8947" spans="1:54" x14ac:dyDescent="0.3">
      <c r="A8947" s="66"/>
      <c r="B8947" s="67"/>
      <c r="C8947" s="66"/>
      <c r="D8947" s="68"/>
      <c r="E8947" s="10"/>
      <c r="F8947" s="69"/>
      <c r="G8947" s="68"/>
      <c r="H8947" s="70"/>
      <c r="BA8947" s="4"/>
      <c r="BB8947" s="4"/>
    </row>
    <row r="8948" spans="1:54" x14ac:dyDescent="0.3">
      <c r="A8948" s="66"/>
      <c r="B8948" s="67"/>
      <c r="C8948" s="66"/>
      <c r="D8948" s="68"/>
      <c r="E8948" s="10"/>
      <c r="F8948" s="69"/>
      <c r="G8948" s="68"/>
      <c r="H8948" s="70"/>
      <c r="BA8948" s="4"/>
      <c r="BB8948" s="4"/>
    </row>
    <row r="8949" spans="1:54" x14ac:dyDescent="0.3">
      <c r="A8949" s="66"/>
      <c r="B8949" s="67"/>
      <c r="C8949" s="66"/>
      <c r="D8949" s="68"/>
      <c r="E8949" s="10"/>
      <c r="F8949" s="69"/>
      <c r="G8949" s="68"/>
      <c r="H8949" s="70"/>
      <c r="BA8949" s="4"/>
      <c r="BB8949" s="4"/>
    </row>
    <row r="8950" spans="1:54" x14ac:dyDescent="0.3">
      <c r="A8950" s="66"/>
      <c r="B8950" s="67"/>
      <c r="C8950" s="66"/>
      <c r="D8950" s="68"/>
      <c r="E8950" s="10"/>
      <c r="F8950" s="69"/>
      <c r="G8950" s="68"/>
      <c r="H8950" s="70"/>
      <c r="BA8950" s="4"/>
      <c r="BB8950" s="4"/>
    </row>
    <row r="8951" spans="1:54" x14ac:dyDescent="0.3">
      <c r="A8951" s="66"/>
      <c r="B8951" s="67"/>
      <c r="C8951" s="66"/>
      <c r="D8951" s="68"/>
      <c r="E8951" s="10"/>
      <c r="F8951" s="69"/>
      <c r="G8951" s="68"/>
      <c r="H8951" s="70"/>
      <c r="BA8951" s="4"/>
      <c r="BB8951" s="4"/>
    </row>
    <row r="8952" spans="1:54" x14ac:dyDescent="0.3">
      <c r="A8952" s="66"/>
      <c r="B8952" s="67"/>
      <c r="C8952" s="66"/>
      <c r="D8952" s="68"/>
      <c r="E8952" s="10"/>
      <c r="F8952" s="69"/>
      <c r="G8952" s="68"/>
      <c r="H8952" s="70"/>
      <c r="BA8952" s="4"/>
      <c r="BB8952" s="4"/>
    </row>
    <row r="8953" spans="1:54" x14ac:dyDescent="0.3">
      <c r="A8953" s="66"/>
      <c r="B8953" s="67"/>
      <c r="C8953" s="66"/>
      <c r="D8953" s="68"/>
      <c r="E8953" s="10"/>
      <c r="F8953" s="69"/>
      <c r="G8953" s="68"/>
      <c r="H8953" s="70"/>
      <c r="BA8953" s="4"/>
      <c r="BB8953" s="4"/>
    </row>
    <row r="8954" spans="1:54" x14ac:dyDescent="0.3">
      <c r="A8954" s="66"/>
      <c r="B8954" s="67"/>
      <c r="C8954" s="66"/>
      <c r="D8954" s="68"/>
      <c r="E8954" s="10"/>
      <c r="F8954" s="69"/>
      <c r="G8954" s="68"/>
      <c r="H8954" s="70"/>
      <c r="BA8954" s="4"/>
      <c r="BB8954" s="4"/>
    </row>
    <row r="8955" spans="1:54" x14ac:dyDescent="0.3">
      <c r="A8955" s="66"/>
      <c r="B8955" s="67"/>
      <c r="C8955" s="66"/>
      <c r="D8955" s="68"/>
      <c r="E8955" s="10"/>
      <c r="F8955" s="69"/>
      <c r="G8955" s="68"/>
      <c r="H8955" s="70"/>
      <c r="BA8955" s="4"/>
      <c r="BB8955" s="4"/>
    </row>
    <row r="8956" spans="1:54" x14ac:dyDescent="0.3">
      <c r="A8956" s="66"/>
      <c r="B8956" s="67"/>
      <c r="C8956" s="66"/>
      <c r="D8956" s="68"/>
      <c r="E8956" s="10"/>
      <c r="F8956" s="69"/>
      <c r="G8956" s="68"/>
      <c r="H8956" s="70"/>
      <c r="BA8956" s="4"/>
      <c r="BB8956" s="4"/>
    </row>
    <row r="8957" spans="1:54" x14ac:dyDescent="0.3">
      <c r="A8957" s="66"/>
      <c r="B8957" s="67"/>
      <c r="C8957" s="66"/>
      <c r="D8957" s="68"/>
      <c r="E8957" s="10"/>
      <c r="F8957" s="69"/>
      <c r="G8957" s="68"/>
      <c r="H8957" s="70"/>
      <c r="BA8957" s="4"/>
      <c r="BB8957" s="4"/>
    </row>
    <row r="8958" spans="1:54" x14ac:dyDescent="0.3">
      <c r="A8958" s="66"/>
      <c r="B8958" s="67"/>
      <c r="C8958" s="66"/>
      <c r="D8958" s="68"/>
      <c r="E8958" s="10"/>
      <c r="F8958" s="69"/>
      <c r="G8958" s="68"/>
      <c r="H8958" s="70"/>
      <c r="BA8958" s="4"/>
      <c r="BB8958" s="4"/>
    </row>
    <row r="8959" spans="1:54" x14ac:dyDescent="0.3">
      <c r="A8959" s="66"/>
      <c r="B8959" s="67"/>
      <c r="C8959" s="66"/>
      <c r="D8959" s="68"/>
      <c r="E8959" s="10"/>
      <c r="F8959" s="69"/>
      <c r="G8959" s="68"/>
      <c r="H8959" s="70"/>
      <c r="BA8959" s="4"/>
      <c r="BB8959" s="4"/>
    </row>
    <row r="8960" spans="1:54" x14ac:dyDescent="0.3">
      <c r="A8960" s="66"/>
      <c r="B8960" s="67"/>
      <c r="C8960" s="66"/>
      <c r="D8960" s="68"/>
      <c r="E8960" s="10"/>
      <c r="F8960" s="69"/>
      <c r="G8960" s="68"/>
      <c r="H8960" s="70"/>
      <c r="BA8960" s="4"/>
      <c r="BB8960" s="4"/>
    </row>
    <row r="8961" spans="1:54" x14ac:dyDescent="0.3">
      <c r="A8961" s="66"/>
      <c r="B8961" s="67"/>
      <c r="C8961" s="66"/>
      <c r="D8961" s="68"/>
      <c r="E8961" s="10"/>
      <c r="F8961" s="69"/>
      <c r="G8961" s="68"/>
      <c r="H8961" s="70"/>
      <c r="BA8961" s="4"/>
      <c r="BB8961" s="4"/>
    </row>
    <row r="8962" spans="1:54" x14ac:dyDescent="0.3">
      <c r="A8962" s="66"/>
      <c r="B8962" s="67"/>
      <c r="C8962" s="66"/>
      <c r="D8962" s="68"/>
      <c r="E8962" s="10"/>
      <c r="F8962" s="69"/>
      <c r="G8962" s="68"/>
      <c r="H8962" s="70"/>
      <c r="BA8962" s="4"/>
      <c r="BB8962" s="4"/>
    </row>
    <row r="8963" spans="1:54" x14ac:dyDescent="0.3">
      <c r="A8963" s="66"/>
      <c r="B8963" s="67"/>
      <c r="C8963" s="66"/>
      <c r="D8963" s="68"/>
      <c r="E8963" s="10"/>
      <c r="F8963" s="69"/>
      <c r="G8963" s="68"/>
      <c r="H8963" s="70"/>
      <c r="BA8963" s="4"/>
      <c r="BB8963" s="4"/>
    </row>
    <row r="8964" spans="1:54" x14ac:dyDescent="0.3">
      <c r="A8964" s="66"/>
      <c r="B8964" s="67"/>
      <c r="C8964" s="66"/>
      <c r="D8964" s="68"/>
      <c r="E8964" s="10"/>
      <c r="F8964" s="69"/>
      <c r="G8964" s="68"/>
      <c r="H8964" s="70"/>
      <c r="BA8964" s="4"/>
      <c r="BB8964" s="4"/>
    </row>
    <row r="8965" spans="1:54" x14ac:dyDescent="0.3">
      <c r="A8965" s="66"/>
      <c r="B8965" s="67"/>
      <c r="C8965" s="66"/>
      <c r="D8965" s="68"/>
      <c r="E8965" s="10"/>
      <c r="F8965" s="69"/>
      <c r="G8965" s="68"/>
      <c r="H8965" s="70"/>
      <c r="BA8965" s="4"/>
      <c r="BB8965" s="4"/>
    </row>
    <row r="8966" spans="1:54" x14ac:dyDescent="0.3">
      <c r="A8966" s="66"/>
      <c r="B8966" s="67"/>
      <c r="C8966" s="66"/>
      <c r="D8966" s="68"/>
      <c r="E8966" s="10"/>
      <c r="F8966" s="69"/>
      <c r="G8966" s="68"/>
      <c r="H8966" s="70"/>
      <c r="BA8966" s="4"/>
      <c r="BB8966" s="4"/>
    </row>
    <row r="8967" spans="1:54" x14ac:dyDescent="0.3">
      <c r="A8967" s="66"/>
      <c r="B8967" s="67"/>
      <c r="C8967" s="66"/>
      <c r="D8967" s="68"/>
      <c r="E8967" s="10"/>
      <c r="F8967" s="69"/>
      <c r="G8967" s="68"/>
      <c r="H8967" s="70"/>
      <c r="BA8967" s="4"/>
      <c r="BB8967" s="4"/>
    </row>
    <row r="8968" spans="1:54" x14ac:dyDescent="0.3">
      <c r="A8968" s="66"/>
      <c r="B8968" s="67"/>
      <c r="C8968" s="66"/>
      <c r="D8968" s="68"/>
      <c r="E8968" s="10"/>
      <c r="F8968" s="69"/>
      <c r="G8968" s="68"/>
      <c r="H8968" s="70"/>
      <c r="BA8968" s="4"/>
      <c r="BB8968" s="4"/>
    </row>
    <row r="8969" spans="1:54" x14ac:dyDescent="0.3">
      <c r="A8969" s="66"/>
      <c r="B8969" s="67"/>
      <c r="C8969" s="66"/>
      <c r="D8969" s="68"/>
      <c r="E8969" s="10"/>
      <c r="F8969" s="69"/>
      <c r="G8969" s="68"/>
      <c r="H8969" s="70"/>
      <c r="BA8969" s="4"/>
      <c r="BB8969" s="4"/>
    </row>
    <row r="8970" spans="1:54" x14ac:dyDescent="0.3">
      <c r="A8970" s="66"/>
      <c r="B8970" s="67"/>
      <c r="C8970" s="66"/>
      <c r="D8970" s="68"/>
      <c r="E8970" s="10"/>
      <c r="F8970" s="69"/>
      <c r="G8970" s="68"/>
      <c r="H8970" s="70"/>
      <c r="BA8970" s="4"/>
      <c r="BB8970" s="4"/>
    </row>
    <row r="8971" spans="1:54" x14ac:dyDescent="0.3">
      <c r="A8971" s="66"/>
      <c r="B8971" s="67"/>
      <c r="C8971" s="66"/>
      <c r="D8971" s="68"/>
      <c r="E8971" s="10"/>
      <c r="F8971" s="69"/>
      <c r="G8971" s="68"/>
      <c r="H8971" s="70"/>
      <c r="BA8971" s="4"/>
      <c r="BB8971" s="4"/>
    </row>
    <row r="8972" spans="1:54" x14ac:dyDescent="0.3">
      <c r="A8972" s="66"/>
      <c r="B8972" s="67"/>
      <c r="C8972" s="66"/>
      <c r="D8972" s="68"/>
      <c r="E8972" s="10"/>
      <c r="F8972" s="69"/>
      <c r="G8972" s="68"/>
      <c r="H8972" s="70"/>
      <c r="BA8972" s="4"/>
      <c r="BB8972" s="4"/>
    </row>
    <row r="8973" spans="1:54" x14ac:dyDescent="0.3">
      <c r="A8973" s="66"/>
      <c r="B8973" s="67"/>
      <c r="C8973" s="66"/>
      <c r="D8973" s="68"/>
      <c r="E8973" s="10"/>
      <c r="F8973" s="69"/>
      <c r="G8973" s="68"/>
      <c r="H8973" s="70"/>
      <c r="BA8973" s="4"/>
      <c r="BB8973" s="4"/>
    </row>
    <row r="8974" spans="1:54" x14ac:dyDescent="0.3">
      <c r="A8974" s="66"/>
      <c r="B8974" s="67"/>
      <c r="C8974" s="66"/>
      <c r="D8974" s="68"/>
      <c r="E8974" s="10"/>
      <c r="F8974" s="69"/>
      <c r="G8974" s="68"/>
      <c r="H8974" s="70"/>
      <c r="BA8974" s="4"/>
      <c r="BB8974" s="4"/>
    </row>
    <row r="8975" spans="1:54" x14ac:dyDescent="0.3">
      <c r="A8975" s="66"/>
      <c r="B8975" s="67"/>
      <c r="C8975" s="66"/>
      <c r="D8975" s="68"/>
      <c r="E8975" s="10"/>
      <c r="F8975" s="69"/>
      <c r="G8975" s="68"/>
      <c r="H8975" s="70"/>
      <c r="BA8975" s="4"/>
      <c r="BB8975" s="4"/>
    </row>
    <row r="8976" spans="1:54" x14ac:dyDescent="0.3">
      <c r="A8976" s="66"/>
      <c r="B8976" s="67"/>
      <c r="C8976" s="66"/>
      <c r="D8976" s="68"/>
      <c r="E8976" s="10"/>
      <c r="F8976" s="69"/>
      <c r="G8976" s="68"/>
      <c r="H8976" s="70"/>
      <c r="BA8976" s="4"/>
      <c r="BB8976" s="4"/>
    </row>
    <row r="8977" spans="1:54" x14ac:dyDescent="0.3">
      <c r="A8977" s="66"/>
      <c r="B8977" s="67"/>
      <c r="C8977" s="66"/>
      <c r="D8977" s="68"/>
      <c r="E8977" s="10"/>
      <c r="F8977" s="69"/>
      <c r="G8977" s="68"/>
      <c r="H8977" s="70"/>
      <c r="BA8977" s="4"/>
      <c r="BB8977" s="4"/>
    </row>
    <row r="8978" spans="1:54" x14ac:dyDescent="0.3">
      <c r="A8978" s="66"/>
      <c r="B8978" s="67"/>
      <c r="C8978" s="66"/>
      <c r="D8978" s="68"/>
      <c r="E8978" s="10"/>
      <c r="F8978" s="69"/>
      <c r="G8978" s="68"/>
      <c r="H8978" s="70"/>
      <c r="BA8978" s="4"/>
      <c r="BB8978" s="4"/>
    </row>
    <row r="8979" spans="1:54" x14ac:dyDescent="0.3">
      <c r="A8979" s="66"/>
      <c r="B8979" s="67"/>
      <c r="C8979" s="66"/>
      <c r="D8979" s="68"/>
      <c r="E8979" s="10"/>
      <c r="F8979" s="69"/>
      <c r="G8979" s="68"/>
      <c r="H8979" s="70"/>
      <c r="BA8979" s="4"/>
      <c r="BB8979" s="4"/>
    </row>
    <row r="8980" spans="1:54" x14ac:dyDescent="0.3">
      <c r="A8980" s="66"/>
      <c r="B8980" s="67"/>
      <c r="C8980" s="66"/>
      <c r="D8980" s="68"/>
      <c r="E8980" s="10"/>
      <c r="F8980" s="69"/>
      <c r="G8980" s="68"/>
      <c r="H8980" s="70"/>
      <c r="BA8980" s="4"/>
      <c r="BB8980" s="4"/>
    </row>
    <row r="8981" spans="1:54" x14ac:dyDescent="0.3">
      <c r="A8981" s="66"/>
      <c r="B8981" s="67"/>
      <c r="C8981" s="66"/>
      <c r="D8981" s="68"/>
      <c r="E8981" s="10"/>
      <c r="F8981" s="69"/>
      <c r="G8981" s="68"/>
      <c r="H8981" s="70"/>
      <c r="BA8981" s="4"/>
      <c r="BB8981" s="4"/>
    </row>
    <row r="8982" spans="1:54" x14ac:dyDescent="0.3">
      <c r="A8982" s="66"/>
      <c r="B8982" s="67"/>
      <c r="C8982" s="66"/>
      <c r="D8982" s="68"/>
      <c r="E8982" s="10"/>
      <c r="F8982" s="69"/>
      <c r="G8982" s="68"/>
      <c r="H8982" s="70"/>
      <c r="BA8982" s="4"/>
      <c r="BB8982" s="4"/>
    </row>
    <row r="8983" spans="1:54" x14ac:dyDescent="0.3">
      <c r="A8983" s="66"/>
      <c r="B8983" s="67"/>
      <c r="C8983" s="66"/>
      <c r="D8983" s="68"/>
      <c r="E8983" s="10"/>
      <c r="F8983" s="69"/>
      <c r="G8983" s="68"/>
      <c r="H8983" s="70"/>
      <c r="BA8983" s="4"/>
      <c r="BB8983" s="4"/>
    </row>
    <row r="8984" spans="1:54" x14ac:dyDescent="0.3">
      <c r="A8984" s="66"/>
      <c r="B8984" s="67"/>
      <c r="C8984" s="66"/>
      <c r="D8984" s="68"/>
      <c r="E8984" s="10"/>
      <c r="F8984" s="69"/>
      <c r="G8984" s="68"/>
      <c r="H8984" s="70"/>
      <c r="BA8984" s="4"/>
      <c r="BB8984" s="4"/>
    </row>
    <row r="8985" spans="1:54" x14ac:dyDescent="0.3">
      <c r="A8985" s="66"/>
      <c r="B8985" s="67"/>
      <c r="C8985" s="66"/>
      <c r="D8985" s="68"/>
      <c r="E8985" s="10"/>
      <c r="F8985" s="69"/>
      <c r="G8985" s="68"/>
      <c r="H8985" s="70"/>
      <c r="BA8985" s="4"/>
      <c r="BB8985" s="4"/>
    </row>
    <row r="8986" spans="1:54" x14ac:dyDescent="0.3">
      <c r="A8986" s="66"/>
      <c r="B8986" s="67"/>
      <c r="C8986" s="66"/>
      <c r="D8986" s="68"/>
      <c r="E8986" s="10"/>
      <c r="F8986" s="69"/>
      <c r="G8986" s="68"/>
      <c r="H8986" s="70"/>
      <c r="BA8986" s="4"/>
      <c r="BB8986" s="4"/>
    </row>
    <row r="8987" spans="1:54" x14ac:dyDescent="0.3">
      <c r="A8987" s="66"/>
      <c r="B8987" s="67"/>
      <c r="C8987" s="66"/>
      <c r="D8987" s="68"/>
      <c r="E8987" s="10"/>
      <c r="F8987" s="69"/>
      <c r="G8987" s="68"/>
      <c r="H8987" s="70"/>
      <c r="BA8987" s="4"/>
      <c r="BB8987" s="4"/>
    </row>
    <row r="8988" spans="1:54" x14ac:dyDescent="0.3">
      <c r="A8988" s="66"/>
      <c r="B8988" s="67"/>
      <c r="C8988" s="66"/>
      <c r="D8988" s="68"/>
      <c r="E8988" s="10"/>
      <c r="F8988" s="69"/>
      <c r="G8988" s="68"/>
      <c r="H8988" s="70"/>
      <c r="BA8988" s="4"/>
      <c r="BB8988" s="4"/>
    </row>
    <row r="8989" spans="1:54" x14ac:dyDescent="0.3">
      <c r="A8989" s="66"/>
      <c r="B8989" s="67"/>
      <c r="C8989" s="66"/>
      <c r="D8989" s="68"/>
      <c r="E8989" s="10"/>
      <c r="F8989" s="69"/>
      <c r="G8989" s="68"/>
      <c r="H8989" s="70"/>
      <c r="BA8989" s="4"/>
      <c r="BB8989" s="4"/>
    </row>
    <row r="8990" spans="1:54" x14ac:dyDescent="0.3">
      <c r="A8990" s="66"/>
      <c r="B8990" s="67"/>
      <c r="C8990" s="66"/>
      <c r="D8990" s="68"/>
      <c r="E8990" s="10"/>
      <c r="F8990" s="69"/>
      <c r="G8990" s="68"/>
      <c r="H8990" s="70"/>
      <c r="BA8990" s="4"/>
      <c r="BB8990" s="4"/>
    </row>
    <row r="8991" spans="1:54" x14ac:dyDescent="0.3">
      <c r="A8991" s="66"/>
      <c r="B8991" s="67"/>
      <c r="C8991" s="66"/>
      <c r="D8991" s="68"/>
      <c r="E8991" s="10"/>
      <c r="F8991" s="69"/>
      <c r="G8991" s="68"/>
      <c r="H8991" s="70"/>
      <c r="BA8991" s="4"/>
      <c r="BB8991" s="4"/>
    </row>
    <row r="8992" spans="1:54" x14ac:dyDescent="0.3">
      <c r="A8992" s="66"/>
      <c r="B8992" s="67"/>
      <c r="C8992" s="66"/>
      <c r="D8992" s="68"/>
      <c r="E8992" s="10"/>
      <c r="F8992" s="69"/>
      <c r="G8992" s="68"/>
      <c r="H8992" s="70"/>
      <c r="BA8992" s="4"/>
      <c r="BB8992" s="4"/>
    </row>
    <row r="8993" spans="1:54" x14ac:dyDescent="0.3">
      <c r="A8993" s="66"/>
      <c r="B8993" s="67"/>
      <c r="C8993" s="66"/>
      <c r="D8993" s="68"/>
      <c r="E8993" s="10"/>
      <c r="F8993" s="69"/>
      <c r="G8993" s="68"/>
      <c r="H8993" s="70"/>
      <c r="BA8993" s="4"/>
      <c r="BB8993" s="4"/>
    </row>
    <row r="8994" spans="1:54" x14ac:dyDescent="0.3">
      <c r="A8994" s="66"/>
      <c r="B8994" s="67"/>
      <c r="C8994" s="66"/>
      <c r="D8994" s="68"/>
      <c r="E8994" s="10"/>
      <c r="F8994" s="69"/>
      <c r="G8994" s="68"/>
      <c r="H8994" s="70"/>
      <c r="BA8994" s="4"/>
      <c r="BB8994" s="4"/>
    </row>
    <row r="8995" spans="1:54" x14ac:dyDescent="0.3">
      <c r="A8995" s="66"/>
      <c r="B8995" s="67"/>
      <c r="C8995" s="66"/>
      <c r="D8995" s="68"/>
      <c r="E8995" s="10"/>
      <c r="F8995" s="69"/>
      <c r="G8995" s="68"/>
      <c r="H8995" s="70"/>
      <c r="BA8995" s="4"/>
      <c r="BB8995" s="4"/>
    </row>
    <row r="8996" spans="1:54" x14ac:dyDescent="0.3">
      <c r="A8996" s="66"/>
      <c r="B8996" s="67"/>
      <c r="C8996" s="66"/>
      <c r="D8996" s="68"/>
      <c r="E8996" s="10"/>
      <c r="F8996" s="69"/>
      <c r="G8996" s="68"/>
      <c r="H8996" s="70"/>
      <c r="BA8996" s="4"/>
      <c r="BB8996" s="4"/>
    </row>
    <row r="8997" spans="1:54" x14ac:dyDescent="0.3">
      <c r="A8997" s="66"/>
      <c r="B8997" s="67"/>
      <c r="C8997" s="66"/>
      <c r="D8997" s="68"/>
      <c r="E8997" s="10"/>
      <c r="F8997" s="69"/>
      <c r="G8997" s="68"/>
      <c r="H8997" s="70"/>
      <c r="BA8997" s="4"/>
      <c r="BB8997" s="4"/>
    </row>
    <row r="8998" spans="1:54" x14ac:dyDescent="0.3">
      <c r="A8998" s="66"/>
      <c r="B8998" s="67"/>
      <c r="C8998" s="66"/>
      <c r="D8998" s="68"/>
      <c r="E8998" s="10"/>
      <c r="F8998" s="69"/>
      <c r="G8998" s="68"/>
      <c r="H8998" s="70"/>
      <c r="BA8998" s="4"/>
      <c r="BB8998" s="4"/>
    </row>
    <row r="8999" spans="1:54" x14ac:dyDescent="0.3">
      <c r="A8999" s="66"/>
      <c r="B8999" s="67"/>
      <c r="C8999" s="66"/>
      <c r="D8999" s="68"/>
      <c r="E8999" s="10"/>
      <c r="F8999" s="69"/>
      <c r="G8999" s="68"/>
      <c r="H8999" s="70"/>
      <c r="BA8999" s="4"/>
      <c r="BB8999" s="4"/>
    </row>
    <row r="9000" spans="1:54" x14ac:dyDescent="0.3">
      <c r="A9000" s="66"/>
      <c r="B9000" s="67"/>
      <c r="C9000" s="66"/>
      <c r="D9000" s="68"/>
      <c r="E9000" s="10"/>
      <c r="F9000" s="69"/>
      <c r="G9000" s="68"/>
      <c r="H9000" s="70"/>
      <c r="BA9000" s="4"/>
      <c r="BB9000" s="4"/>
    </row>
    <row r="9001" spans="1:54" x14ac:dyDescent="0.3">
      <c r="A9001" s="66"/>
      <c r="B9001" s="67"/>
      <c r="C9001" s="66"/>
      <c r="D9001" s="68"/>
      <c r="E9001" s="10"/>
      <c r="F9001" s="69"/>
      <c r="G9001" s="68"/>
      <c r="H9001" s="70"/>
      <c r="BA9001" s="4"/>
      <c r="BB9001" s="4"/>
    </row>
    <row r="9002" spans="1:54" x14ac:dyDescent="0.3">
      <c r="A9002" s="66"/>
      <c r="B9002" s="67"/>
      <c r="C9002" s="66"/>
      <c r="D9002" s="68"/>
      <c r="E9002" s="10"/>
      <c r="F9002" s="69"/>
      <c r="G9002" s="68"/>
      <c r="H9002" s="70"/>
      <c r="BA9002" s="4"/>
      <c r="BB9002" s="4"/>
    </row>
    <row r="9003" spans="1:54" x14ac:dyDescent="0.3">
      <c r="A9003" s="66"/>
      <c r="B9003" s="67"/>
      <c r="C9003" s="66"/>
      <c r="D9003" s="68"/>
      <c r="E9003" s="10"/>
      <c r="F9003" s="69"/>
      <c r="G9003" s="68"/>
      <c r="H9003" s="70"/>
      <c r="BA9003" s="4"/>
      <c r="BB9003" s="4"/>
    </row>
    <row r="9004" spans="1:54" x14ac:dyDescent="0.3">
      <c r="A9004" s="66"/>
      <c r="B9004" s="67"/>
      <c r="C9004" s="66"/>
      <c r="D9004" s="68"/>
      <c r="E9004" s="10"/>
      <c r="F9004" s="69"/>
      <c r="G9004" s="68"/>
      <c r="H9004" s="70"/>
      <c r="BA9004" s="4"/>
      <c r="BB9004" s="4"/>
    </row>
    <row r="9005" spans="1:54" x14ac:dyDescent="0.3">
      <c r="A9005" s="66"/>
      <c r="B9005" s="67"/>
      <c r="C9005" s="66"/>
      <c r="D9005" s="68"/>
      <c r="E9005" s="10"/>
      <c r="F9005" s="69"/>
      <c r="G9005" s="68"/>
      <c r="H9005" s="70"/>
      <c r="BA9005" s="4"/>
      <c r="BB9005" s="4"/>
    </row>
    <row r="9006" spans="1:54" x14ac:dyDescent="0.3">
      <c r="A9006" s="66"/>
      <c r="B9006" s="67"/>
      <c r="C9006" s="66"/>
      <c r="D9006" s="68"/>
      <c r="E9006" s="10"/>
      <c r="F9006" s="69"/>
      <c r="G9006" s="68"/>
      <c r="H9006" s="70"/>
      <c r="BA9006" s="4"/>
      <c r="BB9006" s="4"/>
    </row>
    <row r="9007" spans="1:54" x14ac:dyDescent="0.3">
      <c r="A9007" s="66"/>
      <c r="B9007" s="67"/>
      <c r="C9007" s="66"/>
      <c r="D9007" s="68"/>
      <c r="E9007" s="10"/>
      <c r="F9007" s="69"/>
      <c r="G9007" s="68"/>
      <c r="H9007" s="70"/>
      <c r="BA9007" s="4"/>
      <c r="BB9007" s="4"/>
    </row>
    <row r="9008" spans="1:54" x14ac:dyDescent="0.3">
      <c r="A9008" s="66"/>
      <c r="B9008" s="67"/>
      <c r="C9008" s="66"/>
      <c r="D9008" s="68"/>
      <c r="E9008" s="10"/>
      <c r="F9008" s="69"/>
      <c r="G9008" s="68"/>
      <c r="H9008" s="70"/>
      <c r="BA9008" s="4"/>
      <c r="BB9008" s="4"/>
    </row>
    <row r="9009" spans="1:54" x14ac:dyDescent="0.3">
      <c r="A9009" s="66"/>
      <c r="B9009" s="67"/>
      <c r="C9009" s="66"/>
      <c r="D9009" s="68"/>
      <c r="E9009" s="10"/>
      <c r="F9009" s="69"/>
      <c r="G9009" s="68"/>
      <c r="H9009" s="70"/>
      <c r="BA9009" s="4"/>
      <c r="BB9009" s="4"/>
    </row>
    <row r="9010" spans="1:54" x14ac:dyDescent="0.3">
      <c r="A9010" s="66"/>
      <c r="B9010" s="67"/>
      <c r="C9010" s="66"/>
      <c r="D9010" s="68"/>
      <c r="E9010" s="10"/>
      <c r="F9010" s="69"/>
      <c r="G9010" s="68"/>
      <c r="H9010" s="70"/>
      <c r="BA9010" s="4"/>
      <c r="BB9010" s="4"/>
    </row>
    <row r="9011" spans="1:54" x14ac:dyDescent="0.3">
      <c r="A9011" s="66"/>
      <c r="B9011" s="67"/>
      <c r="C9011" s="66"/>
      <c r="D9011" s="68"/>
      <c r="E9011" s="10"/>
      <c r="F9011" s="69"/>
      <c r="G9011" s="68"/>
      <c r="H9011" s="70"/>
      <c r="BA9011" s="4"/>
      <c r="BB9011" s="4"/>
    </row>
    <row r="9012" spans="1:54" x14ac:dyDescent="0.3">
      <c r="A9012" s="66"/>
      <c r="B9012" s="67"/>
      <c r="C9012" s="66"/>
      <c r="D9012" s="68"/>
      <c r="E9012" s="10"/>
      <c r="F9012" s="69"/>
      <c r="G9012" s="68"/>
      <c r="H9012" s="70"/>
      <c r="BA9012" s="4"/>
      <c r="BB9012" s="4"/>
    </row>
    <row r="9013" spans="1:54" x14ac:dyDescent="0.3">
      <c r="A9013" s="66"/>
      <c r="B9013" s="67"/>
      <c r="C9013" s="66"/>
      <c r="D9013" s="68"/>
      <c r="E9013" s="10"/>
      <c r="F9013" s="69"/>
      <c r="G9013" s="68"/>
      <c r="H9013" s="70"/>
      <c r="BA9013" s="4"/>
      <c r="BB9013" s="4"/>
    </row>
    <row r="9014" spans="1:54" x14ac:dyDescent="0.3">
      <c r="A9014" s="66"/>
      <c r="B9014" s="67"/>
      <c r="C9014" s="66"/>
      <c r="D9014" s="68"/>
      <c r="E9014" s="10"/>
      <c r="F9014" s="69"/>
      <c r="G9014" s="68"/>
      <c r="H9014" s="70"/>
      <c r="BA9014" s="4"/>
      <c r="BB9014" s="4"/>
    </row>
    <row r="9015" spans="1:54" x14ac:dyDescent="0.3">
      <c r="A9015" s="66"/>
      <c r="B9015" s="67"/>
      <c r="C9015" s="66"/>
      <c r="D9015" s="68"/>
      <c r="E9015" s="10"/>
      <c r="F9015" s="69"/>
      <c r="G9015" s="68"/>
      <c r="H9015" s="70"/>
      <c r="BA9015" s="4"/>
      <c r="BB9015" s="4"/>
    </row>
    <row r="9016" spans="1:54" x14ac:dyDescent="0.3">
      <c r="A9016" s="66"/>
      <c r="B9016" s="67"/>
      <c r="C9016" s="66"/>
      <c r="D9016" s="68"/>
      <c r="E9016" s="10"/>
      <c r="F9016" s="69"/>
      <c r="G9016" s="68"/>
      <c r="H9016" s="70"/>
      <c r="BA9016" s="4"/>
      <c r="BB9016" s="4"/>
    </row>
    <row r="9017" spans="1:54" x14ac:dyDescent="0.3">
      <c r="A9017" s="66"/>
      <c r="B9017" s="67"/>
      <c r="C9017" s="66"/>
      <c r="D9017" s="68"/>
      <c r="E9017" s="10"/>
      <c r="F9017" s="69"/>
      <c r="G9017" s="68"/>
      <c r="H9017" s="70"/>
      <c r="BA9017" s="4"/>
      <c r="BB9017" s="4"/>
    </row>
    <row r="9018" spans="1:54" x14ac:dyDescent="0.3">
      <c r="A9018" s="66"/>
      <c r="B9018" s="67"/>
      <c r="C9018" s="66"/>
      <c r="D9018" s="68"/>
      <c r="E9018" s="10"/>
      <c r="F9018" s="69"/>
      <c r="G9018" s="68"/>
      <c r="H9018" s="70"/>
      <c r="BA9018" s="4"/>
      <c r="BB9018" s="4"/>
    </row>
    <row r="9019" spans="1:54" x14ac:dyDescent="0.3">
      <c r="A9019" s="66"/>
      <c r="B9019" s="67"/>
      <c r="C9019" s="66"/>
      <c r="D9019" s="68"/>
      <c r="E9019" s="10"/>
      <c r="F9019" s="69"/>
      <c r="G9019" s="68"/>
      <c r="H9019" s="70"/>
      <c r="BA9019" s="4"/>
      <c r="BB9019" s="4"/>
    </row>
    <row r="9020" spans="1:54" x14ac:dyDescent="0.3">
      <c r="A9020" s="66"/>
      <c r="B9020" s="67"/>
      <c r="C9020" s="66"/>
      <c r="D9020" s="68"/>
      <c r="E9020" s="10"/>
      <c r="F9020" s="69"/>
      <c r="G9020" s="68"/>
      <c r="H9020" s="70"/>
      <c r="BA9020" s="4"/>
      <c r="BB9020" s="4"/>
    </row>
    <row r="9021" spans="1:54" x14ac:dyDescent="0.3">
      <c r="A9021" s="66"/>
      <c r="B9021" s="67"/>
      <c r="C9021" s="66"/>
      <c r="D9021" s="68"/>
      <c r="E9021" s="10"/>
      <c r="F9021" s="69"/>
      <c r="G9021" s="68"/>
      <c r="H9021" s="70"/>
      <c r="BA9021" s="4"/>
      <c r="BB9021" s="4"/>
    </row>
    <row r="9022" spans="1:54" x14ac:dyDescent="0.3">
      <c r="A9022" s="66"/>
      <c r="B9022" s="67"/>
      <c r="C9022" s="66"/>
      <c r="D9022" s="68"/>
      <c r="E9022" s="10"/>
      <c r="F9022" s="69"/>
      <c r="G9022" s="68"/>
      <c r="H9022" s="70"/>
      <c r="BA9022" s="4"/>
      <c r="BB9022" s="4"/>
    </row>
    <row r="9023" spans="1:54" x14ac:dyDescent="0.3">
      <c r="A9023" s="66"/>
      <c r="B9023" s="67"/>
      <c r="C9023" s="66"/>
      <c r="D9023" s="68"/>
      <c r="E9023" s="10"/>
      <c r="F9023" s="69"/>
      <c r="G9023" s="68"/>
      <c r="H9023" s="70"/>
      <c r="BA9023" s="4"/>
      <c r="BB9023" s="4"/>
    </row>
    <row r="9024" spans="1:54" x14ac:dyDescent="0.3">
      <c r="A9024" s="66"/>
      <c r="B9024" s="67"/>
      <c r="C9024" s="66"/>
      <c r="D9024" s="68"/>
      <c r="E9024" s="10"/>
      <c r="F9024" s="69"/>
      <c r="G9024" s="68"/>
      <c r="H9024" s="70"/>
      <c r="BA9024" s="4"/>
      <c r="BB9024" s="4"/>
    </row>
    <row r="9025" spans="1:54" x14ac:dyDescent="0.3">
      <c r="A9025" s="66"/>
      <c r="B9025" s="67"/>
      <c r="C9025" s="66"/>
      <c r="D9025" s="68"/>
      <c r="E9025" s="10"/>
      <c r="F9025" s="69"/>
      <c r="G9025" s="68"/>
      <c r="H9025" s="70"/>
      <c r="BA9025" s="4"/>
      <c r="BB9025" s="4"/>
    </row>
    <row r="9026" spans="1:54" x14ac:dyDescent="0.3">
      <c r="A9026" s="66"/>
      <c r="B9026" s="67"/>
      <c r="C9026" s="66"/>
      <c r="D9026" s="68"/>
      <c r="E9026" s="10"/>
      <c r="F9026" s="69"/>
      <c r="G9026" s="68"/>
      <c r="H9026" s="70"/>
      <c r="BA9026" s="4"/>
      <c r="BB9026" s="4"/>
    </row>
    <row r="9027" spans="1:54" x14ac:dyDescent="0.3">
      <c r="A9027" s="66"/>
      <c r="B9027" s="67"/>
      <c r="C9027" s="66"/>
      <c r="D9027" s="68"/>
      <c r="E9027" s="10"/>
      <c r="F9027" s="69"/>
      <c r="G9027" s="68"/>
      <c r="H9027" s="70"/>
      <c r="BA9027" s="4"/>
      <c r="BB9027" s="4"/>
    </row>
    <row r="9028" spans="1:54" x14ac:dyDescent="0.3">
      <c r="A9028" s="66"/>
      <c r="B9028" s="67"/>
      <c r="C9028" s="66"/>
      <c r="D9028" s="68"/>
      <c r="E9028" s="10"/>
      <c r="F9028" s="69"/>
      <c r="G9028" s="68"/>
      <c r="H9028" s="70"/>
      <c r="BA9028" s="4"/>
      <c r="BB9028" s="4"/>
    </row>
    <row r="9029" spans="1:54" x14ac:dyDescent="0.3">
      <c r="A9029" s="66"/>
      <c r="B9029" s="67"/>
      <c r="C9029" s="66"/>
      <c r="D9029" s="68"/>
      <c r="E9029" s="10"/>
      <c r="F9029" s="69"/>
      <c r="G9029" s="68"/>
      <c r="H9029" s="70"/>
      <c r="BA9029" s="4"/>
      <c r="BB9029" s="4"/>
    </row>
    <row r="9030" spans="1:54" x14ac:dyDescent="0.3">
      <c r="A9030" s="66"/>
      <c r="B9030" s="67"/>
      <c r="C9030" s="66"/>
      <c r="D9030" s="68"/>
      <c r="E9030" s="10"/>
      <c r="F9030" s="69"/>
      <c r="G9030" s="68"/>
      <c r="H9030" s="70"/>
      <c r="BA9030" s="4"/>
      <c r="BB9030" s="4"/>
    </row>
    <row r="9031" spans="1:54" x14ac:dyDescent="0.3">
      <c r="A9031" s="66"/>
      <c r="B9031" s="67"/>
      <c r="C9031" s="66"/>
      <c r="D9031" s="68"/>
      <c r="E9031" s="10"/>
      <c r="F9031" s="69"/>
      <c r="G9031" s="68"/>
      <c r="H9031" s="70"/>
      <c r="BA9031" s="4"/>
      <c r="BB9031" s="4"/>
    </row>
    <row r="9032" spans="1:54" x14ac:dyDescent="0.3">
      <c r="A9032" s="66"/>
      <c r="B9032" s="67"/>
      <c r="C9032" s="66"/>
      <c r="D9032" s="68"/>
      <c r="E9032" s="10"/>
      <c r="F9032" s="69"/>
      <c r="G9032" s="68"/>
      <c r="H9032" s="70"/>
      <c r="BA9032" s="4"/>
      <c r="BB9032" s="4"/>
    </row>
    <row r="9033" spans="1:54" x14ac:dyDescent="0.3">
      <c r="A9033" s="66"/>
      <c r="B9033" s="67"/>
      <c r="C9033" s="66"/>
      <c r="D9033" s="68"/>
      <c r="E9033" s="10"/>
      <c r="F9033" s="69"/>
      <c r="G9033" s="68"/>
      <c r="H9033" s="70"/>
      <c r="BA9033" s="4"/>
      <c r="BB9033" s="4"/>
    </row>
    <row r="9034" spans="1:54" x14ac:dyDescent="0.3">
      <c r="A9034" s="66"/>
      <c r="B9034" s="67"/>
      <c r="C9034" s="66"/>
      <c r="D9034" s="68"/>
      <c r="E9034" s="10"/>
      <c r="F9034" s="69"/>
      <c r="G9034" s="68"/>
      <c r="H9034" s="70"/>
      <c r="BA9034" s="4"/>
      <c r="BB9034" s="4"/>
    </row>
    <row r="9035" spans="1:54" x14ac:dyDescent="0.3">
      <c r="A9035" s="66"/>
      <c r="B9035" s="67"/>
      <c r="C9035" s="66"/>
      <c r="D9035" s="68"/>
      <c r="E9035" s="10"/>
      <c r="F9035" s="69"/>
      <c r="G9035" s="68"/>
      <c r="H9035" s="70"/>
      <c r="BA9035" s="4"/>
      <c r="BB9035" s="4"/>
    </row>
    <row r="9036" spans="1:54" x14ac:dyDescent="0.3">
      <c r="A9036" s="66"/>
      <c r="B9036" s="67"/>
      <c r="C9036" s="66"/>
      <c r="D9036" s="68"/>
      <c r="E9036" s="10"/>
      <c r="F9036" s="69"/>
      <c r="G9036" s="68"/>
      <c r="H9036" s="70"/>
      <c r="BA9036" s="4"/>
      <c r="BB9036" s="4"/>
    </row>
    <row r="9037" spans="1:54" x14ac:dyDescent="0.3">
      <c r="A9037" s="66"/>
      <c r="B9037" s="67"/>
      <c r="C9037" s="66"/>
      <c r="D9037" s="68"/>
      <c r="E9037" s="10"/>
      <c r="F9037" s="69"/>
      <c r="G9037" s="68"/>
      <c r="H9037" s="70"/>
      <c r="BA9037" s="4"/>
      <c r="BB9037" s="4"/>
    </row>
    <row r="9038" spans="1:54" x14ac:dyDescent="0.3">
      <c r="A9038" s="66"/>
      <c r="B9038" s="67"/>
      <c r="C9038" s="66"/>
      <c r="D9038" s="68"/>
      <c r="E9038" s="10"/>
      <c r="F9038" s="69"/>
      <c r="G9038" s="68"/>
      <c r="H9038" s="70"/>
      <c r="BA9038" s="4"/>
      <c r="BB9038" s="4"/>
    </row>
    <row r="9039" spans="1:54" x14ac:dyDescent="0.3">
      <c r="A9039" s="66"/>
      <c r="B9039" s="67"/>
      <c r="C9039" s="66"/>
      <c r="D9039" s="68"/>
      <c r="E9039" s="10"/>
      <c r="F9039" s="69"/>
      <c r="G9039" s="68"/>
      <c r="H9039" s="70"/>
      <c r="BA9039" s="4"/>
      <c r="BB9039" s="4"/>
    </row>
    <row r="9040" spans="1:54" x14ac:dyDescent="0.3">
      <c r="A9040" s="66"/>
      <c r="B9040" s="67"/>
      <c r="C9040" s="66"/>
      <c r="D9040" s="68"/>
      <c r="E9040" s="10"/>
      <c r="F9040" s="69"/>
      <c r="G9040" s="68"/>
      <c r="H9040" s="70"/>
      <c r="BA9040" s="4"/>
      <c r="BB9040" s="4"/>
    </row>
    <row r="9041" spans="1:54" x14ac:dyDescent="0.3">
      <c r="A9041" s="66"/>
      <c r="B9041" s="67"/>
      <c r="C9041" s="66"/>
      <c r="D9041" s="68"/>
      <c r="E9041" s="10"/>
      <c r="F9041" s="69"/>
      <c r="G9041" s="68"/>
      <c r="H9041" s="70"/>
      <c r="BA9041" s="4"/>
      <c r="BB9041" s="4"/>
    </row>
    <row r="9042" spans="1:54" x14ac:dyDescent="0.3">
      <c r="A9042" s="66"/>
      <c r="B9042" s="67"/>
      <c r="C9042" s="66"/>
      <c r="D9042" s="68"/>
      <c r="E9042" s="10"/>
      <c r="F9042" s="69"/>
      <c r="G9042" s="68"/>
      <c r="H9042" s="70"/>
      <c r="BA9042" s="4"/>
      <c r="BB9042" s="4"/>
    </row>
    <row r="9043" spans="1:54" x14ac:dyDescent="0.3">
      <c r="A9043" s="66"/>
      <c r="B9043" s="67"/>
      <c r="C9043" s="66"/>
      <c r="D9043" s="68"/>
      <c r="E9043" s="10"/>
      <c r="F9043" s="69"/>
      <c r="G9043" s="68"/>
      <c r="H9043" s="70"/>
      <c r="BA9043" s="4"/>
      <c r="BB9043" s="4"/>
    </row>
    <row r="9044" spans="1:54" x14ac:dyDescent="0.3">
      <c r="A9044" s="66"/>
      <c r="B9044" s="67"/>
      <c r="C9044" s="66"/>
      <c r="D9044" s="68"/>
      <c r="E9044" s="10"/>
      <c r="F9044" s="69"/>
      <c r="G9044" s="68"/>
      <c r="H9044" s="70"/>
      <c r="BA9044" s="4"/>
      <c r="BB9044" s="4"/>
    </row>
    <row r="9045" spans="1:54" x14ac:dyDescent="0.3">
      <c r="A9045" s="66"/>
      <c r="B9045" s="67"/>
      <c r="C9045" s="66"/>
      <c r="D9045" s="68"/>
      <c r="E9045" s="10"/>
      <c r="F9045" s="69"/>
      <c r="G9045" s="68"/>
      <c r="H9045" s="70"/>
      <c r="BA9045" s="4"/>
      <c r="BB9045" s="4"/>
    </row>
    <row r="9046" spans="1:54" x14ac:dyDescent="0.3">
      <c r="A9046" s="66"/>
      <c r="B9046" s="67"/>
      <c r="C9046" s="66"/>
      <c r="D9046" s="68"/>
      <c r="E9046" s="10"/>
      <c r="F9046" s="69"/>
      <c r="G9046" s="68"/>
      <c r="H9046" s="70"/>
      <c r="BA9046" s="4"/>
      <c r="BB9046" s="4"/>
    </row>
    <row r="9047" spans="1:54" x14ac:dyDescent="0.3">
      <c r="A9047" s="66"/>
      <c r="B9047" s="67"/>
      <c r="C9047" s="66"/>
      <c r="D9047" s="68"/>
      <c r="E9047" s="10"/>
      <c r="F9047" s="69"/>
      <c r="G9047" s="68"/>
      <c r="H9047" s="70"/>
      <c r="BA9047" s="4"/>
      <c r="BB9047" s="4"/>
    </row>
    <row r="9048" spans="1:54" x14ac:dyDescent="0.3">
      <c r="A9048" s="66"/>
      <c r="B9048" s="67"/>
      <c r="C9048" s="66"/>
      <c r="D9048" s="68"/>
      <c r="E9048" s="10"/>
      <c r="F9048" s="69"/>
      <c r="G9048" s="68"/>
      <c r="H9048" s="70"/>
      <c r="BA9048" s="4"/>
      <c r="BB9048" s="4"/>
    </row>
    <row r="9049" spans="1:54" x14ac:dyDescent="0.3">
      <c r="A9049" s="66"/>
      <c r="B9049" s="67"/>
      <c r="C9049" s="66"/>
      <c r="D9049" s="68"/>
      <c r="E9049" s="10"/>
      <c r="F9049" s="69"/>
      <c r="G9049" s="68"/>
      <c r="H9049" s="70"/>
      <c r="BA9049" s="4"/>
      <c r="BB9049" s="4"/>
    </row>
    <row r="9050" spans="1:54" x14ac:dyDescent="0.3">
      <c r="A9050" s="66"/>
      <c r="B9050" s="67"/>
      <c r="C9050" s="66"/>
      <c r="D9050" s="68"/>
      <c r="E9050" s="10"/>
      <c r="F9050" s="69"/>
      <c r="G9050" s="68"/>
      <c r="H9050" s="70"/>
      <c r="BA9050" s="4"/>
      <c r="BB9050" s="4"/>
    </row>
    <row r="9051" spans="1:54" x14ac:dyDescent="0.3">
      <c r="A9051" s="66"/>
      <c r="B9051" s="67"/>
      <c r="C9051" s="66"/>
      <c r="D9051" s="68"/>
      <c r="E9051" s="10"/>
      <c r="F9051" s="69"/>
      <c r="G9051" s="68"/>
      <c r="H9051" s="70"/>
      <c r="BA9051" s="4"/>
      <c r="BB9051" s="4"/>
    </row>
    <row r="9052" spans="1:54" x14ac:dyDescent="0.3">
      <c r="A9052" s="66"/>
      <c r="B9052" s="67"/>
      <c r="C9052" s="66"/>
      <c r="D9052" s="68"/>
      <c r="E9052" s="10"/>
      <c r="F9052" s="69"/>
      <c r="G9052" s="68"/>
      <c r="H9052" s="70"/>
      <c r="BA9052" s="4"/>
      <c r="BB9052" s="4"/>
    </row>
    <row r="9053" spans="1:54" x14ac:dyDescent="0.3">
      <c r="A9053" s="66"/>
      <c r="B9053" s="67"/>
      <c r="C9053" s="66"/>
      <c r="D9053" s="68"/>
      <c r="E9053" s="10"/>
      <c r="F9053" s="69"/>
      <c r="G9053" s="68"/>
      <c r="H9053" s="70"/>
      <c r="BA9053" s="4"/>
      <c r="BB9053" s="4"/>
    </row>
    <row r="9054" spans="1:54" x14ac:dyDescent="0.3">
      <c r="A9054" s="66"/>
      <c r="B9054" s="67"/>
      <c r="C9054" s="66"/>
      <c r="D9054" s="68"/>
      <c r="E9054" s="10"/>
      <c r="F9054" s="69"/>
      <c r="G9054" s="68"/>
      <c r="H9054" s="70"/>
      <c r="BA9054" s="4"/>
      <c r="BB9054" s="4"/>
    </row>
    <row r="9055" spans="1:54" x14ac:dyDescent="0.3">
      <c r="A9055" s="66"/>
      <c r="B9055" s="67"/>
      <c r="C9055" s="66"/>
      <c r="D9055" s="68"/>
      <c r="E9055" s="10"/>
      <c r="F9055" s="69"/>
      <c r="G9055" s="68"/>
      <c r="H9055" s="70"/>
      <c r="BA9055" s="4"/>
      <c r="BB9055" s="4"/>
    </row>
    <row r="9056" spans="1:54" x14ac:dyDescent="0.3">
      <c r="A9056" s="66"/>
      <c r="B9056" s="67"/>
      <c r="C9056" s="66"/>
      <c r="D9056" s="68"/>
      <c r="E9056" s="10"/>
      <c r="F9056" s="69"/>
      <c r="G9056" s="68"/>
      <c r="H9056" s="70"/>
      <c r="BA9056" s="4"/>
      <c r="BB9056" s="4"/>
    </row>
    <row r="9057" spans="1:54" x14ac:dyDescent="0.3">
      <c r="A9057" s="66"/>
      <c r="B9057" s="67"/>
      <c r="C9057" s="66"/>
      <c r="D9057" s="68"/>
      <c r="E9057" s="10"/>
      <c r="F9057" s="69"/>
      <c r="G9057" s="68"/>
      <c r="H9057" s="70"/>
      <c r="BA9057" s="4"/>
      <c r="BB9057" s="4"/>
    </row>
    <row r="9058" spans="1:54" x14ac:dyDescent="0.3">
      <c r="A9058" s="66"/>
      <c r="B9058" s="67"/>
      <c r="C9058" s="66"/>
      <c r="D9058" s="68"/>
      <c r="E9058" s="10"/>
      <c r="F9058" s="69"/>
      <c r="G9058" s="68"/>
      <c r="H9058" s="70"/>
      <c r="BA9058" s="4"/>
      <c r="BB9058" s="4"/>
    </row>
    <row r="9059" spans="1:54" x14ac:dyDescent="0.3">
      <c r="A9059" s="66"/>
      <c r="B9059" s="67"/>
      <c r="C9059" s="66"/>
      <c r="D9059" s="68"/>
      <c r="E9059" s="10"/>
      <c r="F9059" s="69"/>
      <c r="G9059" s="68"/>
      <c r="H9059" s="70"/>
      <c r="BA9059" s="4"/>
      <c r="BB9059" s="4"/>
    </row>
    <row r="9060" spans="1:54" x14ac:dyDescent="0.3">
      <c r="A9060" s="66"/>
      <c r="B9060" s="67"/>
      <c r="C9060" s="66"/>
      <c r="D9060" s="68"/>
      <c r="E9060" s="10"/>
      <c r="F9060" s="69"/>
      <c r="G9060" s="68"/>
      <c r="H9060" s="70"/>
      <c r="BA9060" s="4"/>
      <c r="BB9060" s="4"/>
    </row>
    <row r="9061" spans="1:54" x14ac:dyDescent="0.3">
      <c r="A9061" s="66"/>
      <c r="B9061" s="67"/>
      <c r="C9061" s="66"/>
      <c r="D9061" s="68"/>
      <c r="E9061" s="10"/>
      <c r="F9061" s="69"/>
      <c r="G9061" s="68"/>
      <c r="H9061" s="70"/>
      <c r="BA9061" s="4"/>
      <c r="BB9061" s="4"/>
    </row>
    <row r="9062" spans="1:54" x14ac:dyDescent="0.3">
      <c r="A9062" s="66"/>
      <c r="B9062" s="67"/>
      <c r="C9062" s="66"/>
      <c r="D9062" s="68"/>
      <c r="E9062" s="10"/>
      <c r="F9062" s="69"/>
      <c r="G9062" s="68"/>
      <c r="H9062" s="70"/>
      <c r="BA9062" s="4"/>
      <c r="BB9062" s="4"/>
    </row>
    <row r="9063" spans="1:54" x14ac:dyDescent="0.3">
      <c r="A9063" s="66"/>
      <c r="B9063" s="67"/>
      <c r="C9063" s="66"/>
      <c r="D9063" s="68"/>
      <c r="E9063" s="10"/>
      <c r="F9063" s="69"/>
      <c r="G9063" s="68"/>
      <c r="H9063" s="70"/>
      <c r="BA9063" s="4"/>
      <c r="BB9063" s="4"/>
    </row>
    <row r="9064" spans="1:54" x14ac:dyDescent="0.3">
      <c r="A9064" s="66"/>
      <c r="B9064" s="67"/>
      <c r="C9064" s="66"/>
      <c r="D9064" s="68"/>
      <c r="E9064" s="10"/>
      <c r="F9064" s="69"/>
      <c r="G9064" s="68"/>
      <c r="H9064" s="70"/>
      <c r="BA9064" s="4"/>
      <c r="BB9064" s="4"/>
    </row>
    <row r="9065" spans="1:54" x14ac:dyDescent="0.3">
      <c r="A9065" s="66"/>
      <c r="B9065" s="67"/>
      <c r="C9065" s="66"/>
      <c r="D9065" s="68"/>
      <c r="E9065" s="10"/>
      <c r="F9065" s="69"/>
      <c r="G9065" s="68"/>
      <c r="H9065" s="70"/>
      <c r="BA9065" s="4"/>
      <c r="BB9065" s="4"/>
    </row>
    <row r="9066" spans="1:54" x14ac:dyDescent="0.3">
      <c r="A9066" s="66"/>
      <c r="B9066" s="67"/>
      <c r="C9066" s="66"/>
      <c r="D9066" s="68"/>
      <c r="E9066" s="10"/>
      <c r="F9066" s="69"/>
      <c r="G9066" s="68"/>
      <c r="H9066" s="70"/>
      <c r="BA9066" s="4"/>
      <c r="BB9066" s="4"/>
    </row>
    <row r="9067" spans="1:54" x14ac:dyDescent="0.3">
      <c r="A9067" s="66"/>
      <c r="B9067" s="67"/>
      <c r="C9067" s="66"/>
      <c r="D9067" s="68"/>
      <c r="E9067" s="10"/>
      <c r="F9067" s="69"/>
      <c r="G9067" s="68"/>
      <c r="H9067" s="70"/>
      <c r="BA9067" s="4"/>
      <c r="BB9067" s="4"/>
    </row>
    <row r="9068" spans="1:54" x14ac:dyDescent="0.3">
      <c r="A9068" s="66"/>
      <c r="B9068" s="67"/>
      <c r="C9068" s="66"/>
      <c r="D9068" s="68"/>
      <c r="E9068" s="10"/>
      <c r="F9068" s="69"/>
      <c r="G9068" s="68"/>
      <c r="H9068" s="70"/>
      <c r="BA9068" s="4"/>
      <c r="BB9068" s="4"/>
    </row>
    <row r="9069" spans="1:54" x14ac:dyDescent="0.3">
      <c r="A9069" s="66"/>
      <c r="B9069" s="67"/>
      <c r="C9069" s="66"/>
      <c r="D9069" s="68"/>
      <c r="E9069" s="10"/>
      <c r="F9069" s="69"/>
      <c r="G9069" s="68"/>
      <c r="H9069" s="70"/>
      <c r="BA9069" s="4"/>
      <c r="BB9069" s="4"/>
    </row>
    <row r="9070" spans="1:54" x14ac:dyDescent="0.3">
      <c r="A9070" s="66"/>
      <c r="B9070" s="67"/>
      <c r="C9070" s="66"/>
      <c r="D9070" s="68"/>
      <c r="E9070" s="10"/>
      <c r="F9070" s="69"/>
      <c r="G9070" s="68"/>
      <c r="H9070" s="70"/>
      <c r="BA9070" s="4"/>
      <c r="BB9070" s="4"/>
    </row>
    <row r="9071" spans="1:54" x14ac:dyDescent="0.3">
      <c r="A9071" s="66"/>
      <c r="B9071" s="67"/>
      <c r="C9071" s="66"/>
      <c r="D9071" s="68"/>
      <c r="E9071" s="10"/>
      <c r="F9071" s="69"/>
      <c r="G9071" s="68"/>
      <c r="H9071" s="70"/>
      <c r="BA9071" s="4"/>
      <c r="BB9071" s="4"/>
    </row>
    <row r="9072" spans="1:54" x14ac:dyDescent="0.3">
      <c r="A9072" s="66"/>
      <c r="B9072" s="67"/>
      <c r="C9072" s="66"/>
      <c r="D9072" s="68"/>
      <c r="E9072" s="10"/>
      <c r="F9072" s="69"/>
      <c r="G9072" s="68"/>
      <c r="H9072" s="70"/>
      <c r="BA9072" s="4"/>
      <c r="BB9072" s="4"/>
    </row>
    <row r="9073" spans="1:54" x14ac:dyDescent="0.3">
      <c r="A9073" s="66"/>
      <c r="B9073" s="67"/>
      <c r="C9073" s="66"/>
      <c r="D9073" s="68"/>
      <c r="E9073" s="10"/>
      <c r="F9073" s="69"/>
      <c r="G9073" s="68"/>
      <c r="H9073" s="70"/>
      <c r="BA9073" s="4"/>
      <c r="BB9073" s="4"/>
    </row>
    <row r="9074" spans="1:54" x14ac:dyDescent="0.3">
      <c r="A9074" s="66"/>
      <c r="B9074" s="67"/>
      <c r="C9074" s="66"/>
      <c r="D9074" s="68"/>
      <c r="E9074" s="10"/>
      <c r="F9074" s="69"/>
      <c r="G9074" s="68"/>
      <c r="H9074" s="70"/>
      <c r="BA9074" s="4"/>
      <c r="BB9074" s="4"/>
    </row>
    <row r="9075" spans="1:54" x14ac:dyDescent="0.3">
      <c r="A9075" s="66"/>
      <c r="B9075" s="67"/>
      <c r="C9075" s="66"/>
      <c r="D9075" s="68"/>
      <c r="E9075" s="10"/>
      <c r="F9075" s="69"/>
      <c r="G9075" s="68"/>
      <c r="H9075" s="70"/>
      <c r="BA9075" s="4"/>
      <c r="BB9075" s="4"/>
    </row>
    <row r="9076" spans="1:54" x14ac:dyDescent="0.3">
      <c r="A9076" s="66"/>
      <c r="B9076" s="67"/>
      <c r="C9076" s="66"/>
      <c r="D9076" s="68"/>
      <c r="E9076" s="10"/>
      <c r="F9076" s="69"/>
      <c r="G9076" s="68"/>
      <c r="H9076" s="70"/>
      <c r="BA9076" s="4"/>
      <c r="BB9076" s="4"/>
    </row>
    <row r="9077" spans="1:54" x14ac:dyDescent="0.3">
      <c r="A9077" s="66"/>
      <c r="B9077" s="67"/>
      <c r="C9077" s="66"/>
      <c r="D9077" s="68"/>
      <c r="E9077" s="10"/>
      <c r="F9077" s="69"/>
      <c r="G9077" s="68"/>
      <c r="H9077" s="70"/>
      <c r="BA9077" s="4"/>
      <c r="BB9077" s="4"/>
    </row>
    <row r="9078" spans="1:54" x14ac:dyDescent="0.3">
      <c r="A9078" s="66"/>
      <c r="B9078" s="67"/>
      <c r="C9078" s="66"/>
      <c r="D9078" s="68"/>
      <c r="E9078" s="10"/>
      <c r="F9078" s="69"/>
      <c r="G9078" s="68"/>
      <c r="H9078" s="70"/>
      <c r="BA9078" s="4"/>
      <c r="BB9078" s="4"/>
    </row>
    <row r="9079" spans="1:54" x14ac:dyDescent="0.3">
      <c r="A9079" s="66"/>
      <c r="B9079" s="67"/>
      <c r="C9079" s="66"/>
      <c r="D9079" s="68"/>
      <c r="E9079" s="10"/>
      <c r="F9079" s="69"/>
      <c r="G9079" s="68"/>
      <c r="H9079" s="70"/>
      <c r="BA9079" s="4"/>
      <c r="BB9079" s="4"/>
    </row>
    <row r="9080" spans="1:54" x14ac:dyDescent="0.3">
      <c r="A9080" s="66"/>
      <c r="B9080" s="67"/>
      <c r="C9080" s="66"/>
      <c r="D9080" s="68"/>
      <c r="E9080" s="10"/>
      <c r="F9080" s="69"/>
      <c r="G9080" s="68"/>
      <c r="H9080" s="70"/>
      <c r="BA9080" s="4"/>
      <c r="BB9080" s="4"/>
    </row>
    <row r="9081" spans="1:54" x14ac:dyDescent="0.3">
      <c r="A9081" s="66"/>
      <c r="B9081" s="67"/>
      <c r="C9081" s="66"/>
      <c r="D9081" s="68"/>
      <c r="E9081" s="10"/>
      <c r="F9081" s="69"/>
      <c r="G9081" s="68"/>
      <c r="H9081" s="70"/>
      <c r="BA9081" s="4"/>
      <c r="BB9081" s="4"/>
    </row>
    <row r="9082" spans="1:54" x14ac:dyDescent="0.3">
      <c r="A9082" s="66"/>
      <c r="B9082" s="67"/>
      <c r="C9082" s="66"/>
      <c r="D9082" s="68"/>
      <c r="E9082" s="10"/>
      <c r="F9082" s="69"/>
      <c r="G9082" s="68"/>
      <c r="H9082" s="70"/>
      <c r="BA9082" s="4"/>
      <c r="BB9082" s="4"/>
    </row>
    <row r="9083" spans="1:54" x14ac:dyDescent="0.3">
      <c r="A9083" s="66"/>
      <c r="B9083" s="67"/>
      <c r="C9083" s="66"/>
      <c r="D9083" s="68"/>
      <c r="E9083" s="10"/>
      <c r="F9083" s="69"/>
      <c r="G9083" s="68"/>
      <c r="H9083" s="70"/>
      <c r="BA9083" s="4"/>
      <c r="BB9083" s="4"/>
    </row>
    <row r="9084" spans="1:54" x14ac:dyDescent="0.3">
      <c r="A9084" s="66"/>
      <c r="B9084" s="67"/>
      <c r="C9084" s="66"/>
      <c r="D9084" s="68"/>
      <c r="E9084" s="10"/>
      <c r="F9084" s="69"/>
      <c r="G9084" s="68"/>
      <c r="H9084" s="70"/>
      <c r="BA9084" s="4"/>
      <c r="BB9084" s="4"/>
    </row>
    <row r="9085" spans="1:54" x14ac:dyDescent="0.3">
      <c r="A9085" s="66"/>
      <c r="B9085" s="67"/>
      <c r="C9085" s="66"/>
      <c r="D9085" s="68"/>
      <c r="E9085" s="10"/>
      <c r="F9085" s="69"/>
      <c r="G9085" s="68"/>
      <c r="H9085" s="70"/>
      <c r="BA9085" s="4"/>
      <c r="BB9085" s="4"/>
    </row>
    <row r="9086" spans="1:54" x14ac:dyDescent="0.3">
      <c r="A9086" s="66"/>
      <c r="B9086" s="67"/>
      <c r="C9086" s="66"/>
      <c r="D9086" s="68"/>
      <c r="E9086" s="10"/>
      <c r="F9086" s="69"/>
      <c r="G9086" s="68"/>
      <c r="H9086" s="70"/>
      <c r="BA9086" s="4"/>
      <c r="BB9086" s="4"/>
    </row>
    <row r="9087" spans="1:54" x14ac:dyDescent="0.3">
      <c r="A9087" s="66"/>
      <c r="B9087" s="67"/>
      <c r="C9087" s="66"/>
      <c r="D9087" s="68"/>
      <c r="E9087" s="10"/>
      <c r="F9087" s="69"/>
      <c r="G9087" s="68"/>
      <c r="H9087" s="70"/>
      <c r="BA9087" s="4"/>
      <c r="BB9087" s="4"/>
    </row>
    <row r="9088" spans="1:54" x14ac:dyDescent="0.3">
      <c r="A9088" s="66"/>
      <c r="B9088" s="67"/>
      <c r="C9088" s="66"/>
      <c r="D9088" s="68"/>
      <c r="E9088" s="10"/>
      <c r="F9088" s="69"/>
      <c r="G9088" s="68"/>
      <c r="H9088" s="70"/>
      <c r="BA9088" s="4"/>
      <c r="BB9088" s="4"/>
    </row>
    <row r="9089" spans="1:54" x14ac:dyDescent="0.3">
      <c r="A9089" s="66"/>
      <c r="B9089" s="67"/>
      <c r="C9089" s="66"/>
      <c r="D9089" s="68"/>
      <c r="E9089" s="10"/>
      <c r="F9089" s="69"/>
      <c r="G9089" s="68"/>
      <c r="H9089" s="70"/>
      <c r="BA9089" s="4"/>
      <c r="BB9089" s="4"/>
    </row>
    <row r="9090" spans="1:54" x14ac:dyDescent="0.3">
      <c r="A9090" s="66"/>
      <c r="B9090" s="67"/>
      <c r="C9090" s="66"/>
      <c r="D9090" s="68"/>
      <c r="E9090" s="10"/>
      <c r="F9090" s="69"/>
      <c r="G9090" s="68"/>
      <c r="H9090" s="70"/>
      <c r="BA9090" s="4"/>
      <c r="BB9090" s="4"/>
    </row>
    <row r="9091" spans="1:54" x14ac:dyDescent="0.3">
      <c r="A9091" s="66"/>
      <c r="B9091" s="67"/>
      <c r="C9091" s="66"/>
      <c r="D9091" s="68"/>
      <c r="E9091" s="10"/>
      <c r="F9091" s="69"/>
      <c r="G9091" s="68"/>
      <c r="H9091" s="70"/>
      <c r="BA9091" s="4"/>
      <c r="BB9091" s="4"/>
    </row>
    <row r="9092" spans="1:54" x14ac:dyDescent="0.3">
      <c r="A9092" s="66"/>
      <c r="B9092" s="67"/>
      <c r="C9092" s="66"/>
      <c r="D9092" s="68"/>
      <c r="E9092" s="10"/>
      <c r="F9092" s="69"/>
      <c r="G9092" s="68"/>
      <c r="H9092" s="70"/>
      <c r="BA9092" s="4"/>
      <c r="BB9092" s="4"/>
    </row>
    <row r="9093" spans="1:54" x14ac:dyDescent="0.3">
      <c r="A9093" s="66"/>
      <c r="B9093" s="67"/>
      <c r="C9093" s="66"/>
      <c r="D9093" s="68"/>
      <c r="E9093" s="10"/>
      <c r="F9093" s="69"/>
      <c r="G9093" s="68"/>
      <c r="H9093" s="70"/>
      <c r="BA9093" s="4"/>
      <c r="BB9093" s="4"/>
    </row>
    <row r="9094" spans="1:54" x14ac:dyDescent="0.3">
      <c r="A9094" s="66"/>
      <c r="B9094" s="67"/>
      <c r="C9094" s="66"/>
      <c r="D9094" s="68"/>
      <c r="E9094" s="10"/>
      <c r="F9094" s="69"/>
      <c r="G9094" s="68"/>
      <c r="H9094" s="70"/>
      <c r="BA9094" s="4"/>
      <c r="BB9094" s="4"/>
    </row>
    <row r="9095" spans="1:54" x14ac:dyDescent="0.3">
      <c r="A9095" s="66"/>
      <c r="B9095" s="67"/>
      <c r="C9095" s="66"/>
      <c r="D9095" s="68"/>
      <c r="E9095" s="10"/>
      <c r="F9095" s="69"/>
      <c r="G9095" s="68"/>
      <c r="H9095" s="70"/>
      <c r="BA9095" s="4"/>
      <c r="BB9095" s="4"/>
    </row>
    <row r="9096" spans="1:54" x14ac:dyDescent="0.3">
      <c r="A9096" s="66"/>
      <c r="B9096" s="67"/>
      <c r="C9096" s="66"/>
      <c r="D9096" s="68"/>
      <c r="E9096" s="10"/>
      <c r="F9096" s="69"/>
      <c r="G9096" s="68"/>
      <c r="H9096" s="70"/>
      <c r="BA9096" s="4"/>
      <c r="BB9096" s="4"/>
    </row>
    <row r="9097" spans="1:54" x14ac:dyDescent="0.3">
      <c r="A9097" s="66"/>
      <c r="B9097" s="67"/>
      <c r="C9097" s="66"/>
      <c r="D9097" s="68"/>
      <c r="E9097" s="10"/>
      <c r="F9097" s="69"/>
      <c r="G9097" s="68"/>
      <c r="H9097" s="70"/>
      <c r="BA9097" s="4"/>
      <c r="BB9097" s="4"/>
    </row>
    <row r="9098" spans="1:54" x14ac:dyDescent="0.3">
      <c r="A9098" s="66"/>
      <c r="B9098" s="67"/>
      <c r="C9098" s="66"/>
      <c r="D9098" s="68"/>
      <c r="E9098" s="10"/>
      <c r="F9098" s="69"/>
      <c r="G9098" s="68"/>
      <c r="H9098" s="70"/>
      <c r="BA9098" s="4"/>
      <c r="BB9098" s="4"/>
    </row>
    <row r="9099" spans="1:54" x14ac:dyDescent="0.3">
      <c r="A9099" s="66"/>
      <c r="B9099" s="67"/>
      <c r="C9099" s="66"/>
      <c r="D9099" s="68"/>
      <c r="E9099" s="10"/>
      <c r="F9099" s="69"/>
      <c r="G9099" s="68"/>
      <c r="H9099" s="70"/>
      <c r="BA9099" s="4"/>
      <c r="BB9099" s="4"/>
    </row>
    <row r="9100" spans="1:54" x14ac:dyDescent="0.3">
      <c r="A9100" s="66"/>
      <c r="B9100" s="67"/>
      <c r="C9100" s="66"/>
      <c r="D9100" s="68"/>
      <c r="E9100" s="10"/>
      <c r="F9100" s="69"/>
      <c r="G9100" s="68"/>
      <c r="H9100" s="70"/>
      <c r="BA9100" s="4"/>
      <c r="BB9100" s="4"/>
    </row>
    <row r="9101" spans="1:54" x14ac:dyDescent="0.3">
      <c r="A9101" s="66"/>
      <c r="B9101" s="67"/>
      <c r="C9101" s="66"/>
      <c r="D9101" s="68"/>
      <c r="E9101" s="10"/>
      <c r="F9101" s="69"/>
      <c r="G9101" s="68"/>
      <c r="H9101" s="70"/>
      <c r="BA9101" s="4"/>
      <c r="BB9101" s="4"/>
    </row>
    <row r="9102" spans="1:54" x14ac:dyDescent="0.3">
      <c r="A9102" s="66"/>
      <c r="B9102" s="67"/>
      <c r="C9102" s="66"/>
      <c r="D9102" s="68"/>
      <c r="E9102" s="10"/>
      <c r="F9102" s="69"/>
      <c r="G9102" s="68"/>
      <c r="H9102" s="70"/>
      <c r="BA9102" s="4"/>
      <c r="BB9102" s="4"/>
    </row>
    <row r="9103" spans="1:54" x14ac:dyDescent="0.3">
      <c r="A9103" s="66"/>
      <c r="B9103" s="67"/>
      <c r="C9103" s="66"/>
      <c r="D9103" s="68"/>
      <c r="E9103" s="10"/>
      <c r="F9103" s="69"/>
      <c r="G9103" s="68"/>
      <c r="H9103" s="70"/>
      <c r="BA9103" s="4"/>
      <c r="BB9103" s="4"/>
    </row>
    <row r="9104" spans="1:54" x14ac:dyDescent="0.3">
      <c r="A9104" s="66"/>
      <c r="B9104" s="67"/>
      <c r="C9104" s="66"/>
      <c r="D9104" s="68"/>
      <c r="E9104" s="10"/>
      <c r="F9104" s="69"/>
      <c r="G9104" s="68"/>
      <c r="H9104" s="70"/>
      <c r="BA9104" s="4"/>
      <c r="BB9104" s="4"/>
    </row>
    <row r="9105" spans="1:54" x14ac:dyDescent="0.3">
      <c r="A9105" s="66"/>
      <c r="B9105" s="67"/>
      <c r="C9105" s="66"/>
      <c r="D9105" s="68"/>
      <c r="E9105" s="10"/>
      <c r="F9105" s="69"/>
      <c r="G9105" s="68"/>
      <c r="H9105" s="70"/>
      <c r="BA9105" s="4"/>
      <c r="BB9105" s="4"/>
    </row>
    <row r="9106" spans="1:54" x14ac:dyDescent="0.3">
      <c r="A9106" s="66"/>
      <c r="B9106" s="67"/>
      <c r="C9106" s="66"/>
      <c r="D9106" s="68"/>
      <c r="E9106" s="10"/>
      <c r="F9106" s="69"/>
      <c r="G9106" s="68"/>
      <c r="H9106" s="70"/>
      <c r="BA9106" s="4"/>
      <c r="BB9106" s="4"/>
    </row>
    <row r="9107" spans="1:54" x14ac:dyDescent="0.3">
      <c r="A9107" s="66"/>
      <c r="B9107" s="67"/>
      <c r="C9107" s="66"/>
      <c r="D9107" s="68"/>
      <c r="E9107" s="10"/>
      <c r="F9107" s="69"/>
      <c r="G9107" s="68"/>
      <c r="H9107" s="70"/>
      <c r="BA9107" s="4"/>
      <c r="BB9107" s="4"/>
    </row>
    <row r="9108" spans="1:54" x14ac:dyDescent="0.3">
      <c r="A9108" s="66"/>
      <c r="B9108" s="67"/>
      <c r="C9108" s="66"/>
      <c r="D9108" s="68"/>
      <c r="E9108" s="10"/>
      <c r="F9108" s="69"/>
      <c r="G9108" s="68"/>
      <c r="H9108" s="70"/>
      <c r="BA9108" s="4"/>
      <c r="BB9108" s="4"/>
    </row>
    <row r="9109" spans="1:54" x14ac:dyDescent="0.3">
      <c r="A9109" s="66"/>
      <c r="B9109" s="67"/>
      <c r="C9109" s="66"/>
      <c r="D9109" s="68"/>
      <c r="E9109" s="10"/>
      <c r="F9109" s="69"/>
      <c r="G9109" s="68"/>
      <c r="H9109" s="70"/>
      <c r="BA9109" s="4"/>
      <c r="BB9109" s="4"/>
    </row>
    <row r="9110" spans="1:54" x14ac:dyDescent="0.3">
      <c r="A9110" s="66"/>
      <c r="B9110" s="67"/>
      <c r="C9110" s="66"/>
      <c r="D9110" s="68"/>
      <c r="E9110" s="10"/>
      <c r="F9110" s="69"/>
      <c r="G9110" s="68"/>
      <c r="H9110" s="70"/>
      <c r="BA9110" s="4"/>
      <c r="BB9110" s="4"/>
    </row>
    <row r="9111" spans="1:54" x14ac:dyDescent="0.3">
      <c r="A9111" s="66"/>
      <c r="B9111" s="67"/>
      <c r="C9111" s="66"/>
      <c r="D9111" s="68"/>
      <c r="E9111" s="10"/>
      <c r="F9111" s="69"/>
      <c r="G9111" s="68"/>
      <c r="H9111" s="70"/>
      <c r="BA9111" s="4"/>
      <c r="BB9111" s="4"/>
    </row>
    <row r="9112" spans="1:54" x14ac:dyDescent="0.3">
      <c r="A9112" s="66"/>
      <c r="B9112" s="67"/>
      <c r="C9112" s="66"/>
      <c r="D9112" s="68"/>
      <c r="E9112" s="10"/>
      <c r="F9112" s="69"/>
      <c r="G9112" s="68"/>
      <c r="H9112" s="70"/>
      <c r="BA9112" s="4"/>
      <c r="BB9112" s="4"/>
    </row>
    <row r="9113" spans="1:54" x14ac:dyDescent="0.3">
      <c r="A9113" s="66"/>
      <c r="B9113" s="67"/>
      <c r="C9113" s="66"/>
      <c r="D9113" s="68"/>
      <c r="E9113" s="10"/>
      <c r="F9113" s="69"/>
      <c r="G9113" s="68"/>
      <c r="H9113" s="70"/>
      <c r="BA9113" s="4"/>
      <c r="BB9113" s="4"/>
    </row>
    <row r="9114" spans="1:54" x14ac:dyDescent="0.3">
      <c r="A9114" s="66"/>
      <c r="B9114" s="67"/>
      <c r="C9114" s="66"/>
      <c r="D9114" s="68"/>
      <c r="E9114" s="10"/>
      <c r="F9114" s="69"/>
      <c r="G9114" s="68"/>
      <c r="H9114" s="70"/>
      <c r="BA9114" s="4"/>
      <c r="BB9114" s="4"/>
    </row>
    <row r="9115" spans="1:54" x14ac:dyDescent="0.3">
      <c r="A9115" s="66"/>
      <c r="B9115" s="67"/>
      <c r="C9115" s="66"/>
      <c r="D9115" s="68"/>
      <c r="E9115" s="10"/>
      <c r="F9115" s="69"/>
      <c r="G9115" s="68"/>
      <c r="H9115" s="70"/>
      <c r="BA9115" s="4"/>
      <c r="BB9115" s="4"/>
    </row>
    <row r="9116" spans="1:54" x14ac:dyDescent="0.3">
      <c r="A9116" s="66"/>
      <c r="B9116" s="67"/>
      <c r="C9116" s="66"/>
      <c r="D9116" s="68"/>
      <c r="E9116" s="10"/>
      <c r="F9116" s="69"/>
      <c r="G9116" s="68"/>
      <c r="H9116" s="70"/>
      <c r="BA9116" s="4"/>
      <c r="BB9116" s="4"/>
    </row>
    <row r="9117" spans="1:54" x14ac:dyDescent="0.3">
      <c r="A9117" s="66"/>
      <c r="B9117" s="67"/>
      <c r="C9117" s="66"/>
      <c r="D9117" s="68"/>
      <c r="E9117" s="10"/>
      <c r="F9117" s="69"/>
      <c r="G9117" s="68"/>
      <c r="H9117" s="70"/>
      <c r="BA9117" s="4"/>
      <c r="BB9117" s="4"/>
    </row>
    <row r="9118" spans="1:54" x14ac:dyDescent="0.3">
      <c r="A9118" s="66"/>
      <c r="B9118" s="67"/>
      <c r="C9118" s="66"/>
      <c r="D9118" s="68"/>
      <c r="E9118" s="10"/>
      <c r="F9118" s="69"/>
      <c r="G9118" s="68"/>
      <c r="H9118" s="70"/>
      <c r="BA9118" s="4"/>
      <c r="BB9118" s="4"/>
    </row>
    <row r="9119" spans="1:54" x14ac:dyDescent="0.3">
      <c r="A9119" s="66"/>
      <c r="B9119" s="67"/>
      <c r="C9119" s="66"/>
      <c r="D9119" s="68"/>
      <c r="E9119" s="10"/>
      <c r="F9119" s="69"/>
      <c r="G9119" s="68"/>
      <c r="H9119" s="70"/>
      <c r="BA9119" s="4"/>
      <c r="BB9119" s="4"/>
    </row>
    <row r="9120" spans="1:54" x14ac:dyDescent="0.3">
      <c r="A9120" s="66"/>
      <c r="B9120" s="67"/>
      <c r="C9120" s="66"/>
      <c r="D9120" s="68"/>
      <c r="E9120" s="10"/>
      <c r="F9120" s="69"/>
      <c r="G9120" s="68"/>
      <c r="H9120" s="70"/>
      <c r="BA9120" s="4"/>
      <c r="BB9120" s="4"/>
    </row>
    <row r="9121" spans="1:54" x14ac:dyDescent="0.3">
      <c r="A9121" s="66"/>
      <c r="B9121" s="67"/>
      <c r="C9121" s="66"/>
      <c r="D9121" s="68"/>
      <c r="E9121" s="10"/>
      <c r="F9121" s="69"/>
      <c r="G9121" s="68"/>
      <c r="H9121" s="70"/>
      <c r="BA9121" s="4"/>
      <c r="BB9121" s="4"/>
    </row>
    <row r="9122" spans="1:54" x14ac:dyDescent="0.3">
      <c r="A9122" s="66"/>
      <c r="B9122" s="67"/>
      <c r="C9122" s="66"/>
      <c r="D9122" s="68"/>
      <c r="E9122" s="10"/>
      <c r="F9122" s="69"/>
      <c r="G9122" s="68"/>
      <c r="H9122" s="70"/>
      <c r="BA9122" s="4"/>
      <c r="BB9122" s="4"/>
    </row>
    <row r="9123" spans="1:54" x14ac:dyDescent="0.3">
      <c r="A9123" s="66"/>
      <c r="B9123" s="67"/>
      <c r="C9123" s="66"/>
      <c r="D9123" s="68"/>
      <c r="E9123" s="10"/>
      <c r="F9123" s="69"/>
      <c r="G9123" s="68"/>
      <c r="H9123" s="70"/>
      <c r="BA9123" s="4"/>
      <c r="BB9123" s="4"/>
    </row>
    <row r="9124" spans="1:54" x14ac:dyDescent="0.3">
      <c r="A9124" s="66"/>
      <c r="B9124" s="67"/>
      <c r="C9124" s="66"/>
      <c r="D9124" s="68"/>
      <c r="E9124" s="10"/>
      <c r="F9124" s="69"/>
      <c r="G9124" s="68"/>
      <c r="H9124" s="70"/>
      <c r="BA9124" s="4"/>
      <c r="BB9124" s="4"/>
    </row>
    <row r="9125" spans="1:54" x14ac:dyDescent="0.3">
      <c r="A9125" s="66"/>
      <c r="B9125" s="67"/>
      <c r="C9125" s="66"/>
      <c r="D9125" s="68"/>
      <c r="E9125" s="10"/>
      <c r="F9125" s="69"/>
      <c r="G9125" s="68"/>
      <c r="H9125" s="70"/>
      <c r="BA9125" s="4"/>
      <c r="BB9125" s="4"/>
    </row>
    <row r="9126" spans="1:54" x14ac:dyDescent="0.3">
      <c r="A9126" s="66"/>
      <c r="B9126" s="67"/>
      <c r="C9126" s="66"/>
      <c r="D9126" s="68"/>
      <c r="E9126" s="10"/>
      <c r="F9126" s="69"/>
      <c r="G9126" s="68"/>
      <c r="H9126" s="70"/>
      <c r="BA9126" s="4"/>
      <c r="BB9126" s="4"/>
    </row>
    <row r="9127" spans="1:54" x14ac:dyDescent="0.3">
      <c r="A9127" s="66"/>
      <c r="B9127" s="67"/>
      <c r="C9127" s="66"/>
      <c r="D9127" s="68"/>
      <c r="E9127" s="10"/>
      <c r="F9127" s="69"/>
      <c r="G9127" s="68"/>
      <c r="H9127" s="70"/>
      <c r="BA9127" s="4"/>
      <c r="BB9127" s="4"/>
    </row>
    <row r="9128" spans="1:54" x14ac:dyDescent="0.3">
      <c r="A9128" s="66"/>
      <c r="B9128" s="67"/>
      <c r="C9128" s="66"/>
      <c r="D9128" s="68"/>
      <c r="E9128" s="10"/>
      <c r="F9128" s="69"/>
      <c r="G9128" s="68"/>
      <c r="H9128" s="70"/>
      <c r="BA9128" s="4"/>
      <c r="BB9128" s="4"/>
    </row>
    <row r="9129" spans="1:54" x14ac:dyDescent="0.3">
      <c r="A9129" s="66"/>
      <c r="B9129" s="67"/>
      <c r="C9129" s="66"/>
      <c r="D9129" s="68"/>
      <c r="E9129" s="10"/>
      <c r="F9129" s="69"/>
      <c r="G9129" s="68"/>
      <c r="H9129" s="70"/>
      <c r="BA9129" s="4"/>
      <c r="BB9129" s="4"/>
    </row>
    <row r="9130" spans="1:54" x14ac:dyDescent="0.3">
      <c r="A9130" s="66"/>
      <c r="B9130" s="67"/>
      <c r="C9130" s="66"/>
      <c r="D9130" s="68"/>
      <c r="E9130" s="10"/>
      <c r="F9130" s="69"/>
      <c r="G9130" s="68"/>
      <c r="H9130" s="70"/>
      <c r="BA9130" s="4"/>
      <c r="BB9130" s="4"/>
    </row>
    <row r="9131" spans="1:54" x14ac:dyDescent="0.3">
      <c r="A9131" s="66"/>
      <c r="B9131" s="67"/>
      <c r="C9131" s="66"/>
      <c r="D9131" s="68"/>
      <c r="E9131" s="10"/>
      <c r="F9131" s="69"/>
      <c r="G9131" s="68"/>
      <c r="H9131" s="70"/>
      <c r="BA9131" s="4"/>
      <c r="BB9131" s="4"/>
    </row>
    <row r="9132" spans="1:54" x14ac:dyDescent="0.3">
      <c r="A9132" s="66"/>
      <c r="B9132" s="67"/>
      <c r="C9132" s="66"/>
      <c r="D9132" s="68"/>
      <c r="E9132" s="10"/>
      <c r="F9132" s="69"/>
      <c r="G9132" s="68"/>
      <c r="H9132" s="70"/>
      <c r="BA9132" s="4"/>
      <c r="BB9132" s="4"/>
    </row>
    <row r="9133" spans="1:54" x14ac:dyDescent="0.3">
      <c r="A9133" s="66"/>
      <c r="B9133" s="67"/>
      <c r="C9133" s="66"/>
      <c r="D9133" s="68"/>
      <c r="E9133" s="10"/>
      <c r="F9133" s="69"/>
      <c r="G9133" s="68"/>
      <c r="H9133" s="70"/>
      <c r="BA9133" s="4"/>
      <c r="BB9133" s="4"/>
    </row>
    <row r="9134" spans="1:54" x14ac:dyDescent="0.3">
      <c r="A9134" s="66"/>
      <c r="B9134" s="67"/>
      <c r="C9134" s="66"/>
      <c r="D9134" s="68"/>
      <c r="E9134" s="10"/>
      <c r="F9134" s="69"/>
      <c r="G9134" s="68"/>
      <c r="H9134" s="70"/>
      <c r="BA9134" s="4"/>
      <c r="BB9134" s="4"/>
    </row>
    <row r="9135" spans="1:54" x14ac:dyDescent="0.3">
      <c r="A9135" s="66"/>
      <c r="B9135" s="67"/>
      <c r="C9135" s="66"/>
      <c r="D9135" s="68"/>
      <c r="E9135" s="10"/>
      <c r="F9135" s="69"/>
      <c r="G9135" s="68"/>
      <c r="H9135" s="70"/>
      <c r="BA9135" s="4"/>
      <c r="BB9135" s="4"/>
    </row>
    <row r="9136" spans="1:54" x14ac:dyDescent="0.3">
      <c r="A9136" s="66"/>
      <c r="B9136" s="67"/>
      <c r="C9136" s="66"/>
      <c r="D9136" s="68"/>
      <c r="E9136" s="10"/>
      <c r="F9136" s="69"/>
      <c r="G9136" s="68"/>
      <c r="H9136" s="70"/>
      <c r="BA9136" s="4"/>
      <c r="BB9136" s="4"/>
    </row>
    <row r="9137" spans="1:54" x14ac:dyDescent="0.3">
      <c r="A9137" s="66"/>
      <c r="B9137" s="67"/>
      <c r="C9137" s="66"/>
      <c r="D9137" s="68"/>
      <c r="E9137" s="10"/>
      <c r="F9137" s="69"/>
      <c r="G9137" s="68"/>
      <c r="H9137" s="70"/>
      <c r="BA9137" s="4"/>
      <c r="BB9137" s="4"/>
    </row>
    <row r="9138" spans="1:54" x14ac:dyDescent="0.3">
      <c r="A9138" s="66"/>
      <c r="B9138" s="67"/>
      <c r="C9138" s="66"/>
      <c r="D9138" s="68"/>
      <c r="E9138" s="10"/>
      <c r="F9138" s="69"/>
      <c r="G9138" s="68"/>
      <c r="H9138" s="70"/>
      <c r="BA9138" s="4"/>
      <c r="BB9138" s="4"/>
    </row>
    <row r="9139" spans="1:54" x14ac:dyDescent="0.3">
      <c r="A9139" s="66"/>
      <c r="B9139" s="67"/>
      <c r="C9139" s="66"/>
      <c r="D9139" s="68"/>
      <c r="E9139" s="10"/>
      <c r="F9139" s="69"/>
      <c r="G9139" s="68"/>
      <c r="H9139" s="70"/>
      <c r="BA9139" s="4"/>
      <c r="BB9139" s="4"/>
    </row>
    <row r="9140" spans="1:54" x14ac:dyDescent="0.3">
      <c r="A9140" s="66"/>
      <c r="B9140" s="67"/>
      <c r="C9140" s="66"/>
      <c r="D9140" s="68"/>
      <c r="E9140" s="10"/>
      <c r="F9140" s="69"/>
      <c r="G9140" s="68"/>
      <c r="H9140" s="70"/>
      <c r="BA9140" s="4"/>
      <c r="BB9140" s="4"/>
    </row>
    <row r="9141" spans="1:54" x14ac:dyDescent="0.3">
      <c r="A9141" s="66"/>
      <c r="B9141" s="67"/>
      <c r="C9141" s="66"/>
      <c r="D9141" s="68"/>
      <c r="E9141" s="10"/>
      <c r="F9141" s="69"/>
      <c r="G9141" s="68"/>
      <c r="H9141" s="70"/>
      <c r="BA9141" s="4"/>
      <c r="BB9141" s="4"/>
    </row>
    <row r="9142" spans="1:54" x14ac:dyDescent="0.3">
      <c r="A9142" s="66"/>
      <c r="B9142" s="67"/>
      <c r="C9142" s="66"/>
      <c r="D9142" s="68"/>
      <c r="E9142" s="10"/>
      <c r="F9142" s="69"/>
      <c r="G9142" s="68"/>
      <c r="H9142" s="70"/>
      <c r="BA9142" s="4"/>
      <c r="BB9142" s="4"/>
    </row>
    <row r="9143" spans="1:54" x14ac:dyDescent="0.3">
      <c r="A9143" s="66"/>
      <c r="B9143" s="67"/>
      <c r="C9143" s="66"/>
      <c r="D9143" s="68"/>
      <c r="E9143" s="10"/>
      <c r="F9143" s="69"/>
      <c r="G9143" s="68"/>
      <c r="H9143" s="70"/>
      <c r="BA9143" s="4"/>
      <c r="BB9143" s="4"/>
    </row>
    <row r="9144" spans="1:54" x14ac:dyDescent="0.3">
      <c r="A9144" s="66"/>
      <c r="B9144" s="67"/>
      <c r="C9144" s="66"/>
      <c r="D9144" s="68"/>
      <c r="E9144" s="10"/>
      <c r="F9144" s="69"/>
      <c r="G9144" s="68"/>
      <c r="H9144" s="70"/>
      <c r="BA9144" s="4"/>
      <c r="BB9144" s="4"/>
    </row>
    <row r="9145" spans="1:54" x14ac:dyDescent="0.3">
      <c r="A9145" s="66"/>
      <c r="B9145" s="67"/>
      <c r="C9145" s="66"/>
      <c r="D9145" s="68"/>
      <c r="E9145" s="10"/>
      <c r="F9145" s="69"/>
      <c r="G9145" s="68"/>
      <c r="H9145" s="70"/>
      <c r="BA9145" s="4"/>
      <c r="BB9145" s="4"/>
    </row>
    <row r="9146" spans="1:54" x14ac:dyDescent="0.3">
      <c r="A9146" s="66"/>
      <c r="B9146" s="67"/>
      <c r="C9146" s="66"/>
      <c r="D9146" s="68"/>
      <c r="E9146" s="10"/>
      <c r="F9146" s="69"/>
      <c r="G9146" s="68"/>
      <c r="H9146" s="70"/>
      <c r="BA9146" s="4"/>
      <c r="BB9146" s="4"/>
    </row>
    <row r="9147" spans="1:54" x14ac:dyDescent="0.3">
      <c r="A9147" s="66"/>
      <c r="B9147" s="67"/>
      <c r="C9147" s="66"/>
      <c r="D9147" s="68"/>
      <c r="E9147" s="10"/>
      <c r="F9147" s="69"/>
      <c r="G9147" s="68"/>
      <c r="H9147" s="70"/>
      <c r="BA9147" s="4"/>
      <c r="BB9147" s="4"/>
    </row>
    <row r="9148" spans="1:54" x14ac:dyDescent="0.3">
      <c r="A9148" s="66"/>
      <c r="B9148" s="67"/>
      <c r="C9148" s="66"/>
      <c r="D9148" s="68"/>
      <c r="E9148" s="10"/>
      <c r="F9148" s="69"/>
      <c r="G9148" s="68"/>
      <c r="H9148" s="70"/>
      <c r="BA9148" s="4"/>
      <c r="BB9148" s="4"/>
    </row>
    <row r="9149" spans="1:54" x14ac:dyDescent="0.3">
      <c r="A9149" s="66"/>
      <c r="B9149" s="67"/>
      <c r="C9149" s="66"/>
      <c r="D9149" s="68"/>
      <c r="E9149" s="10"/>
      <c r="F9149" s="69"/>
      <c r="G9149" s="68"/>
      <c r="H9149" s="70"/>
      <c r="BA9149" s="4"/>
      <c r="BB9149" s="4"/>
    </row>
    <row r="9150" spans="1:54" x14ac:dyDescent="0.3">
      <c r="A9150" s="66"/>
      <c r="B9150" s="67"/>
      <c r="C9150" s="66"/>
      <c r="D9150" s="68"/>
      <c r="E9150" s="10"/>
      <c r="F9150" s="69"/>
      <c r="G9150" s="68"/>
      <c r="H9150" s="70"/>
      <c r="BA9150" s="4"/>
      <c r="BB9150" s="4"/>
    </row>
    <row r="9151" spans="1:54" x14ac:dyDescent="0.3">
      <c r="A9151" s="66"/>
      <c r="B9151" s="67"/>
      <c r="C9151" s="66"/>
      <c r="D9151" s="68"/>
      <c r="E9151" s="10"/>
      <c r="F9151" s="69"/>
      <c r="G9151" s="68"/>
      <c r="H9151" s="70"/>
      <c r="BA9151" s="4"/>
      <c r="BB9151" s="4"/>
    </row>
    <row r="9152" spans="1:54" x14ac:dyDescent="0.3">
      <c r="A9152" s="66"/>
      <c r="B9152" s="67"/>
      <c r="C9152" s="66"/>
      <c r="D9152" s="68"/>
      <c r="E9152" s="10"/>
      <c r="F9152" s="69"/>
      <c r="G9152" s="68"/>
      <c r="H9152" s="70"/>
      <c r="BA9152" s="4"/>
      <c r="BB9152" s="4"/>
    </row>
    <row r="9153" spans="1:54" x14ac:dyDescent="0.3">
      <c r="A9153" s="66"/>
      <c r="B9153" s="67"/>
      <c r="C9153" s="66"/>
      <c r="D9153" s="68"/>
      <c r="E9153" s="10"/>
      <c r="F9153" s="69"/>
      <c r="G9153" s="68"/>
      <c r="H9153" s="70"/>
      <c r="BA9153" s="4"/>
      <c r="BB9153" s="4"/>
    </row>
    <row r="9154" spans="1:54" x14ac:dyDescent="0.3">
      <c r="A9154" s="66"/>
      <c r="B9154" s="67"/>
      <c r="C9154" s="66"/>
      <c r="D9154" s="68"/>
      <c r="E9154" s="10"/>
      <c r="F9154" s="69"/>
      <c r="G9154" s="68"/>
      <c r="H9154" s="70"/>
      <c r="BA9154" s="4"/>
      <c r="BB9154" s="4"/>
    </row>
    <row r="9155" spans="1:54" x14ac:dyDescent="0.3">
      <c r="A9155" s="66"/>
      <c r="B9155" s="67"/>
      <c r="C9155" s="66"/>
      <c r="D9155" s="68"/>
      <c r="E9155" s="10"/>
      <c r="F9155" s="69"/>
      <c r="G9155" s="68"/>
      <c r="H9155" s="70"/>
      <c r="BA9155" s="4"/>
      <c r="BB9155" s="4"/>
    </row>
    <row r="9156" spans="1:54" x14ac:dyDescent="0.3">
      <c r="A9156" s="66"/>
      <c r="B9156" s="67"/>
      <c r="C9156" s="66"/>
      <c r="D9156" s="68"/>
      <c r="E9156" s="10"/>
      <c r="F9156" s="69"/>
      <c r="G9156" s="68"/>
      <c r="H9156" s="70"/>
      <c r="BA9156" s="4"/>
      <c r="BB9156" s="4"/>
    </row>
    <row r="9157" spans="1:54" x14ac:dyDescent="0.3">
      <c r="A9157" s="66"/>
      <c r="B9157" s="67"/>
      <c r="C9157" s="66"/>
      <c r="D9157" s="68"/>
      <c r="E9157" s="10"/>
      <c r="F9157" s="69"/>
      <c r="G9157" s="68"/>
      <c r="H9157" s="70"/>
      <c r="BA9157" s="4"/>
      <c r="BB9157" s="4"/>
    </row>
    <row r="9158" spans="1:54" x14ac:dyDescent="0.3">
      <c r="A9158" s="66"/>
      <c r="B9158" s="67"/>
      <c r="C9158" s="66"/>
      <c r="D9158" s="68"/>
      <c r="E9158" s="10"/>
      <c r="F9158" s="69"/>
      <c r="G9158" s="68"/>
      <c r="H9158" s="70"/>
      <c r="BA9158" s="4"/>
      <c r="BB9158" s="4"/>
    </row>
    <row r="9159" spans="1:54" x14ac:dyDescent="0.3">
      <c r="A9159" s="66"/>
      <c r="B9159" s="67"/>
      <c r="C9159" s="66"/>
      <c r="D9159" s="68"/>
      <c r="E9159" s="10"/>
      <c r="F9159" s="69"/>
      <c r="G9159" s="68"/>
      <c r="H9159" s="70"/>
      <c r="BA9159" s="4"/>
      <c r="BB9159" s="4"/>
    </row>
    <row r="9160" spans="1:54" x14ac:dyDescent="0.3">
      <c r="A9160" s="66"/>
      <c r="B9160" s="67"/>
      <c r="C9160" s="66"/>
      <c r="D9160" s="68"/>
      <c r="E9160" s="10"/>
      <c r="F9160" s="69"/>
      <c r="G9160" s="68"/>
      <c r="H9160" s="70"/>
      <c r="BA9160" s="4"/>
      <c r="BB9160" s="4"/>
    </row>
    <row r="9161" spans="1:54" x14ac:dyDescent="0.3">
      <c r="A9161" s="66"/>
      <c r="B9161" s="67"/>
      <c r="C9161" s="66"/>
      <c r="D9161" s="68"/>
      <c r="E9161" s="10"/>
      <c r="F9161" s="69"/>
      <c r="G9161" s="68"/>
      <c r="H9161" s="70"/>
      <c r="BA9161" s="4"/>
      <c r="BB9161" s="4"/>
    </row>
    <row r="9162" spans="1:54" x14ac:dyDescent="0.3">
      <c r="A9162" s="66"/>
      <c r="B9162" s="67"/>
      <c r="C9162" s="66"/>
      <c r="D9162" s="68"/>
      <c r="E9162" s="10"/>
      <c r="F9162" s="69"/>
      <c r="G9162" s="68"/>
      <c r="H9162" s="70"/>
      <c r="BA9162" s="4"/>
      <c r="BB9162" s="4"/>
    </row>
    <row r="9163" spans="1:54" x14ac:dyDescent="0.3">
      <c r="A9163" s="66"/>
      <c r="B9163" s="67"/>
      <c r="C9163" s="66"/>
      <c r="D9163" s="68"/>
      <c r="E9163" s="10"/>
      <c r="F9163" s="69"/>
      <c r="G9163" s="68"/>
      <c r="H9163" s="70"/>
      <c r="BA9163" s="4"/>
      <c r="BB9163" s="4"/>
    </row>
    <row r="9164" spans="1:54" x14ac:dyDescent="0.3">
      <c r="A9164" s="66"/>
      <c r="B9164" s="67"/>
      <c r="C9164" s="66"/>
      <c r="D9164" s="68"/>
      <c r="E9164" s="10"/>
      <c r="F9164" s="69"/>
      <c r="G9164" s="68"/>
      <c r="H9164" s="70"/>
      <c r="BA9164" s="4"/>
      <c r="BB9164" s="4"/>
    </row>
    <row r="9165" spans="1:54" x14ac:dyDescent="0.3">
      <c r="A9165" s="66"/>
      <c r="B9165" s="67"/>
      <c r="C9165" s="66"/>
      <c r="D9165" s="68"/>
      <c r="E9165" s="10"/>
      <c r="F9165" s="69"/>
      <c r="G9165" s="68"/>
      <c r="H9165" s="70"/>
      <c r="BA9165" s="4"/>
      <c r="BB9165" s="4"/>
    </row>
    <row r="9166" spans="1:54" x14ac:dyDescent="0.3">
      <c r="A9166" s="66"/>
      <c r="B9166" s="67"/>
      <c r="C9166" s="66"/>
      <c r="D9166" s="68"/>
      <c r="E9166" s="10"/>
      <c r="F9166" s="69"/>
      <c r="G9166" s="68"/>
      <c r="H9166" s="70"/>
      <c r="BA9166" s="4"/>
      <c r="BB9166" s="4"/>
    </row>
    <row r="9167" spans="1:54" x14ac:dyDescent="0.3">
      <c r="A9167" s="66"/>
      <c r="B9167" s="67"/>
      <c r="C9167" s="66"/>
      <c r="D9167" s="68"/>
      <c r="E9167" s="10"/>
      <c r="F9167" s="69"/>
      <c r="G9167" s="68"/>
      <c r="H9167" s="70"/>
      <c r="BA9167" s="4"/>
      <c r="BB9167" s="4"/>
    </row>
    <row r="9168" spans="1:54" x14ac:dyDescent="0.3">
      <c r="A9168" s="66"/>
      <c r="B9168" s="67"/>
      <c r="C9168" s="66"/>
      <c r="D9168" s="68"/>
      <c r="E9168" s="10"/>
      <c r="F9168" s="69"/>
      <c r="G9168" s="68"/>
      <c r="H9168" s="70"/>
      <c r="BA9168" s="4"/>
      <c r="BB9168" s="4"/>
    </row>
    <row r="9169" spans="1:54" x14ac:dyDescent="0.3">
      <c r="A9169" s="66"/>
      <c r="B9169" s="67"/>
      <c r="C9169" s="66"/>
      <c r="D9169" s="68"/>
      <c r="E9169" s="10"/>
      <c r="F9169" s="69"/>
      <c r="G9169" s="68"/>
      <c r="H9169" s="70"/>
      <c r="BA9169" s="4"/>
      <c r="BB9169" s="4"/>
    </row>
    <row r="9170" spans="1:54" x14ac:dyDescent="0.3">
      <c r="A9170" s="66"/>
      <c r="B9170" s="67"/>
      <c r="C9170" s="66"/>
      <c r="D9170" s="68"/>
      <c r="E9170" s="10"/>
      <c r="F9170" s="69"/>
      <c r="G9170" s="68"/>
      <c r="H9170" s="70"/>
      <c r="BA9170" s="4"/>
      <c r="BB9170" s="4"/>
    </row>
    <row r="9171" spans="1:54" x14ac:dyDescent="0.3">
      <c r="A9171" s="66"/>
      <c r="B9171" s="67"/>
      <c r="C9171" s="66"/>
      <c r="D9171" s="68"/>
      <c r="E9171" s="10"/>
      <c r="F9171" s="69"/>
      <c r="G9171" s="68"/>
      <c r="H9171" s="70"/>
      <c r="BA9171" s="4"/>
      <c r="BB9171" s="4"/>
    </row>
    <row r="9172" spans="1:54" x14ac:dyDescent="0.3">
      <c r="A9172" s="66"/>
      <c r="B9172" s="67"/>
      <c r="C9172" s="66"/>
      <c r="D9172" s="68"/>
      <c r="E9172" s="10"/>
      <c r="F9172" s="69"/>
      <c r="G9172" s="68"/>
      <c r="H9172" s="70"/>
      <c r="BA9172" s="4"/>
      <c r="BB9172" s="4"/>
    </row>
    <row r="9173" spans="1:54" x14ac:dyDescent="0.3">
      <c r="A9173" s="66"/>
      <c r="B9173" s="67"/>
      <c r="C9173" s="66"/>
      <c r="D9173" s="68"/>
      <c r="E9173" s="10"/>
      <c r="F9173" s="69"/>
      <c r="G9173" s="68"/>
      <c r="H9173" s="70"/>
      <c r="BA9173" s="4"/>
      <c r="BB9173" s="4"/>
    </row>
    <row r="9174" spans="1:54" x14ac:dyDescent="0.3">
      <c r="A9174" s="66"/>
      <c r="B9174" s="67"/>
      <c r="C9174" s="66"/>
      <c r="D9174" s="68"/>
      <c r="E9174" s="10"/>
      <c r="F9174" s="69"/>
      <c r="G9174" s="68"/>
      <c r="H9174" s="70"/>
      <c r="BA9174" s="4"/>
      <c r="BB9174" s="4"/>
    </row>
    <row r="9175" spans="1:54" x14ac:dyDescent="0.3">
      <c r="A9175" s="66"/>
      <c r="B9175" s="67"/>
      <c r="C9175" s="66"/>
      <c r="D9175" s="68"/>
      <c r="E9175" s="10"/>
      <c r="F9175" s="69"/>
      <c r="G9175" s="68"/>
      <c r="H9175" s="70"/>
      <c r="BA9175" s="4"/>
      <c r="BB9175" s="4"/>
    </row>
    <row r="9176" spans="1:54" x14ac:dyDescent="0.3">
      <c r="A9176" s="66"/>
      <c r="B9176" s="67"/>
      <c r="C9176" s="66"/>
      <c r="D9176" s="68"/>
      <c r="E9176" s="10"/>
      <c r="F9176" s="69"/>
      <c r="G9176" s="68"/>
      <c r="H9176" s="70"/>
      <c r="BA9176" s="4"/>
      <c r="BB9176" s="4"/>
    </row>
    <row r="9177" spans="1:54" x14ac:dyDescent="0.3">
      <c r="A9177" s="66"/>
      <c r="B9177" s="67"/>
      <c r="C9177" s="66"/>
      <c r="D9177" s="68"/>
      <c r="E9177" s="10"/>
      <c r="F9177" s="69"/>
      <c r="G9177" s="68"/>
      <c r="H9177" s="70"/>
      <c r="BA9177" s="4"/>
      <c r="BB9177" s="4"/>
    </row>
    <row r="9178" spans="1:54" x14ac:dyDescent="0.3">
      <c r="A9178" s="66"/>
      <c r="B9178" s="67"/>
      <c r="C9178" s="66"/>
      <c r="D9178" s="68"/>
      <c r="E9178" s="10"/>
      <c r="F9178" s="69"/>
      <c r="G9178" s="68"/>
      <c r="H9178" s="70"/>
      <c r="BA9178" s="4"/>
      <c r="BB9178" s="4"/>
    </row>
    <row r="9179" spans="1:54" x14ac:dyDescent="0.3">
      <c r="A9179" s="66"/>
      <c r="B9179" s="67"/>
      <c r="C9179" s="66"/>
      <c r="D9179" s="68"/>
      <c r="E9179" s="10"/>
      <c r="F9179" s="69"/>
      <c r="G9179" s="68"/>
      <c r="H9179" s="70"/>
      <c r="BA9179" s="4"/>
      <c r="BB9179" s="4"/>
    </row>
    <row r="9180" spans="1:54" x14ac:dyDescent="0.3">
      <c r="A9180" s="66"/>
      <c r="B9180" s="67"/>
      <c r="C9180" s="66"/>
      <c r="D9180" s="68"/>
      <c r="E9180" s="10"/>
      <c r="F9180" s="69"/>
      <c r="G9180" s="68"/>
      <c r="H9180" s="70"/>
      <c r="BA9180" s="4"/>
      <c r="BB9180" s="4"/>
    </row>
    <row r="9181" spans="1:54" x14ac:dyDescent="0.3">
      <c r="A9181" s="66"/>
      <c r="B9181" s="67"/>
      <c r="C9181" s="66"/>
      <c r="D9181" s="68"/>
      <c r="E9181" s="10"/>
      <c r="F9181" s="69"/>
      <c r="G9181" s="68"/>
      <c r="H9181" s="70"/>
      <c r="BA9181" s="4"/>
      <c r="BB9181" s="4"/>
    </row>
    <row r="9182" spans="1:54" x14ac:dyDescent="0.3">
      <c r="A9182" s="66"/>
      <c r="B9182" s="67"/>
      <c r="C9182" s="66"/>
      <c r="D9182" s="68"/>
      <c r="E9182" s="10"/>
      <c r="F9182" s="69"/>
      <c r="G9182" s="68"/>
      <c r="H9182" s="70"/>
      <c r="BA9182" s="4"/>
      <c r="BB9182" s="4"/>
    </row>
    <row r="9183" spans="1:54" x14ac:dyDescent="0.3">
      <c r="A9183" s="66"/>
      <c r="B9183" s="67"/>
      <c r="C9183" s="66"/>
      <c r="D9183" s="68"/>
      <c r="E9183" s="10"/>
      <c r="F9183" s="69"/>
      <c r="G9183" s="68"/>
      <c r="H9183" s="70"/>
      <c r="BA9183" s="4"/>
      <c r="BB9183" s="4"/>
    </row>
    <row r="9184" spans="1:54" x14ac:dyDescent="0.3">
      <c r="A9184" s="66"/>
      <c r="B9184" s="67"/>
      <c r="C9184" s="66"/>
      <c r="D9184" s="68"/>
      <c r="E9184" s="10"/>
      <c r="F9184" s="69"/>
      <c r="G9184" s="68"/>
      <c r="H9184" s="70"/>
      <c r="BA9184" s="4"/>
      <c r="BB9184" s="4"/>
    </row>
    <row r="9185" spans="1:54" x14ac:dyDescent="0.3">
      <c r="A9185" s="66"/>
      <c r="B9185" s="67"/>
      <c r="C9185" s="66"/>
      <c r="D9185" s="68"/>
      <c r="E9185" s="10"/>
      <c r="F9185" s="69"/>
      <c r="G9185" s="68"/>
      <c r="H9185" s="70"/>
      <c r="BA9185" s="4"/>
      <c r="BB9185" s="4"/>
    </row>
    <row r="9186" spans="1:54" x14ac:dyDescent="0.3">
      <c r="A9186" s="66"/>
      <c r="B9186" s="67"/>
      <c r="C9186" s="66"/>
      <c r="D9186" s="68"/>
      <c r="E9186" s="10"/>
      <c r="F9186" s="69"/>
      <c r="G9186" s="68"/>
      <c r="H9186" s="70"/>
      <c r="BA9186" s="4"/>
      <c r="BB9186" s="4"/>
    </row>
    <row r="9187" spans="1:54" x14ac:dyDescent="0.3">
      <c r="A9187" s="66"/>
      <c r="B9187" s="67"/>
      <c r="C9187" s="66"/>
      <c r="D9187" s="68"/>
      <c r="E9187" s="10"/>
      <c r="F9187" s="69"/>
      <c r="G9187" s="68"/>
      <c r="H9187" s="70"/>
      <c r="BA9187" s="4"/>
      <c r="BB9187" s="4"/>
    </row>
    <row r="9188" spans="1:54" x14ac:dyDescent="0.3">
      <c r="A9188" s="66"/>
      <c r="B9188" s="67"/>
      <c r="C9188" s="66"/>
      <c r="D9188" s="68"/>
      <c r="E9188" s="10"/>
      <c r="F9188" s="69"/>
      <c r="G9188" s="68"/>
      <c r="H9188" s="70"/>
      <c r="BA9188" s="4"/>
      <c r="BB9188" s="4"/>
    </row>
    <row r="9189" spans="1:54" x14ac:dyDescent="0.3">
      <c r="A9189" s="66"/>
      <c r="B9189" s="67"/>
      <c r="C9189" s="66"/>
      <c r="D9189" s="68"/>
      <c r="E9189" s="10"/>
      <c r="F9189" s="69"/>
      <c r="G9189" s="68"/>
      <c r="H9189" s="70"/>
      <c r="BA9189" s="4"/>
      <c r="BB9189" s="4"/>
    </row>
    <row r="9190" spans="1:54" x14ac:dyDescent="0.3">
      <c r="A9190" s="66"/>
      <c r="B9190" s="67"/>
      <c r="C9190" s="66"/>
      <c r="D9190" s="68"/>
      <c r="E9190" s="10"/>
      <c r="F9190" s="69"/>
      <c r="G9190" s="68"/>
      <c r="H9190" s="70"/>
      <c r="BA9190" s="4"/>
      <c r="BB9190" s="4"/>
    </row>
    <row r="9191" spans="1:54" x14ac:dyDescent="0.3">
      <c r="A9191" s="66"/>
      <c r="B9191" s="67"/>
      <c r="C9191" s="66"/>
      <c r="D9191" s="68"/>
      <c r="E9191" s="10"/>
      <c r="F9191" s="69"/>
      <c r="G9191" s="68"/>
      <c r="H9191" s="70"/>
      <c r="BA9191" s="4"/>
      <c r="BB9191" s="4"/>
    </row>
    <row r="9192" spans="1:54" x14ac:dyDescent="0.3">
      <c r="A9192" s="66"/>
      <c r="B9192" s="67"/>
      <c r="C9192" s="66"/>
      <c r="D9192" s="68"/>
      <c r="E9192" s="10"/>
      <c r="F9192" s="69"/>
      <c r="G9192" s="68"/>
      <c r="H9192" s="70"/>
      <c r="BA9192" s="4"/>
      <c r="BB9192" s="4"/>
    </row>
    <row r="9193" spans="1:54" x14ac:dyDescent="0.3">
      <c r="A9193" s="66"/>
      <c r="B9193" s="67"/>
      <c r="C9193" s="66"/>
      <c r="D9193" s="68"/>
      <c r="E9193" s="10"/>
      <c r="F9193" s="69"/>
      <c r="G9193" s="68"/>
      <c r="H9193" s="70"/>
      <c r="BA9193" s="4"/>
      <c r="BB9193" s="4"/>
    </row>
    <row r="9194" spans="1:54" x14ac:dyDescent="0.3">
      <c r="A9194" s="66"/>
      <c r="B9194" s="67"/>
      <c r="C9194" s="66"/>
      <c r="D9194" s="68"/>
      <c r="E9194" s="10"/>
      <c r="F9194" s="69"/>
      <c r="G9194" s="68"/>
      <c r="H9194" s="70"/>
      <c r="BA9194" s="4"/>
      <c r="BB9194" s="4"/>
    </row>
    <row r="9195" spans="1:54" x14ac:dyDescent="0.3">
      <c r="A9195" s="66"/>
      <c r="B9195" s="67"/>
      <c r="C9195" s="66"/>
      <c r="D9195" s="68"/>
      <c r="E9195" s="10"/>
      <c r="F9195" s="69"/>
      <c r="G9195" s="68"/>
      <c r="H9195" s="70"/>
      <c r="BA9195" s="4"/>
      <c r="BB9195" s="4"/>
    </row>
    <row r="9196" spans="1:54" x14ac:dyDescent="0.3">
      <c r="A9196" s="66"/>
      <c r="B9196" s="67"/>
      <c r="C9196" s="66"/>
      <c r="D9196" s="68"/>
      <c r="E9196" s="10"/>
      <c r="F9196" s="69"/>
      <c r="G9196" s="68"/>
      <c r="H9196" s="70"/>
      <c r="BA9196" s="4"/>
      <c r="BB9196" s="4"/>
    </row>
    <row r="9197" spans="1:54" x14ac:dyDescent="0.3">
      <c r="A9197" s="66"/>
      <c r="B9197" s="67"/>
      <c r="C9197" s="66"/>
      <c r="D9197" s="68"/>
      <c r="E9197" s="10"/>
      <c r="F9197" s="69"/>
      <c r="G9197" s="68"/>
      <c r="H9197" s="70"/>
      <c r="BA9197" s="4"/>
      <c r="BB9197" s="4"/>
    </row>
    <row r="9198" spans="1:54" x14ac:dyDescent="0.3">
      <c r="A9198" s="66"/>
      <c r="B9198" s="67"/>
      <c r="C9198" s="66"/>
      <c r="D9198" s="68"/>
      <c r="E9198" s="10"/>
      <c r="F9198" s="69"/>
      <c r="G9198" s="68"/>
      <c r="H9198" s="70"/>
      <c r="BA9198" s="4"/>
      <c r="BB9198" s="4"/>
    </row>
    <row r="9199" spans="1:54" x14ac:dyDescent="0.3">
      <c r="A9199" s="66"/>
      <c r="B9199" s="67"/>
      <c r="C9199" s="66"/>
      <c r="D9199" s="68"/>
      <c r="E9199" s="10"/>
      <c r="F9199" s="69"/>
      <c r="G9199" s="68"/>
      <c r="H9199" s="70"/>
      <c r="BA9199" s="4"/>
      <c r="BB9199" s="4"/>
    </row>
    <row r="9200" spans="1:54" x14ac:dyDescent="0.3">
      <c r="A9200" s="66"/>
      <c r="B9200" s="67"/>
      <c r="C9200" s="66"/>
      <c r="D9200" s="68"/>
      <c r="E9200" s="10"/>
      <c r="F9200" s="69"/>
      <c r="G9200" s="68"/>
      <c r="H9200" s="70"/>
      <c r="BA9200" s="4"/>
      <c r="BB9200" s="4"/>
    </row>
    <row r="9201" spans="1:54" x14ac:dyDescent="0.3">
      <c r="A9201" s="66"/>
      <c r="B9201" s="67"/>
      <c r="C9201" s="66"/>
      <c r="D9201" s="68"/>
      <c r="E9201" s="10"/>
      <c r="F9201" s="69"/>
      <c r="G9201" s="68"/>
      <c r="H9201" s="70"/>
      <c r="BA9201" s="4"/>
      <c r="BB9201" s="4"/>
    </row>
    <row r="9202" spans="1:54" x14ac:dyDescent="0.3">
      <c r="A9202" s="66"/>
      <c r="B9202" s="67"/>
      <c r="C9202" s="66"/>
      <c r="D9202" s="68"/>
      <c r="E9202" s="10"/>
      <c r="F9202" s="69"/>
      <c r="G9202" s="68"/>
      <c r="H9202" s="70"/>
      <c r="BA9202" s="4"/>
      <c r="BB9202" s="4"/>
    </row>
    <row r="9203" spans="1:54" x14ac:dyDescent="0.3">
      <c r="A9203" s="66"/>
      <c r="B9203" s="67"/>
      <c r="C9203" s="66"/>
      <c r="D9203" s="68"/>
      <c r="E9203" s="10"/>
      <c r="F9203" s="69"/>
      <c r="G9203" s="68"/>
      <c r="H9203" s="70"/>
      <c r="BA9203" s="4"/>
      <c r="BB9203" s="4"/>
    </row>
    <row r="9204" spans="1:54" x14ac:dyDescent="0.3">
      <c r="A9204" s="66"/>
      <c r="B9204" s="67"/>
      <c r="C9204" s="66"/>
      <c r="D9204" s="68"/>
      <c r="E9204" s="10"/>
      <c r="F9204" s="69"/>
      <c r="G9204" s="68"/>
      <c r="H9204" s="70"/>
      <c r="BA9204" s="4"/>
      <c r="BB9204" s="4"/>
    </row>
    <row r="9205" spans="1:54" x14ac:dyDescent="0.3">
      <c r="A9205" s="66"/>
      <c r="B9205" s="67"/>
      <c r="C9205" s="66"/>
      <c r="D9205" s="68"/>
      <c r="E9205" s="10"/>
      <c r="F9205" s="69"/>
      <c r="G9205" s="68"/>
      <c r="H9205" s="70"/>
      <c r="BA9205" s="4"/>
      <c r="BB9205" s="4"/>
    </row>
    <row r="9206" spans="1:54" x14ac:dyDescent="0.3">
      <c r="A9206" s="66"/>
      <c r="B9206" s="67"/>
      <c r="C9206" s="66"/>
      <c r="D9206" s="68"/>
      <c r="E9206" s="10"/>
      <c r="F9206" s="69"/>
      <c r="G9206" s="68"/>
      <c r="H9206" s="70"/>
      <c r="BA9206" s="4"/>
      <c r="BB9206" s="4"/>
    </row>
    <row r="9207" spans="1:54" x14ac:dyDescent="0.3">
      <c r="A9207" s="66"/>
      <c r="B9207" s="67"/>
      <c r="C9207" s="66"/>
      <c r="D9207" s="68"/>
      <c r="E9207" s="10"/>
      <c r="F9207" s="69"/>
      <c r="G9207" s="68"/>
      <c r="H9207" s="70"/>
      <c r="BA9207" s="4"/>
      <c r="BB9207" s="4"/>
    </row>
    <row r="9208" spans="1:54" x14ac:dyDescent="0.3">
      <c r="A9208" s="66"/>
      <c r="B9208" s="67"/>
      <c r="C9208" s="66"/>
      <c r="D9208" s="68"/>
      <c r="E9208" s="10"/>
      <c r="F9208" s="69"/>
      <c r="G9208" s="68"/>
      <c r="H9208" s="70"/>
      <c r="BA9208" s="4"/>
      <c r="BB9208" s="4"/>
    </row>
    <row r="9209" spans="1:54" x14ac:dyDescent="0.3">
      <c r="A9209" s="66"/>
      <c r="B9209" s="67"/>
      <c r="C9209" s="66"/>
      <c r="D9209" s="68"/>
      <c r="E9209" s="10"/>
      <c r="F9209" s="69"/>
      <c r="G9209" s="68"/>
      <c r="H9209" s="70"/>
      <c r="BA9209" s="4"/>
      <c r="BB9209" s="4"/>
    </row>
    <row r="9210" spans="1:54" x14ac:dyDescent="0.3">
      <c r="A9210" s="66"/>
      <c r="B9210" s="67"/>
      <c r="C9210" s="66"/>
      <c r="D9210" s="68"/>
      <c r="E9210" s="10"/>
      <c r="F9210" s="69"/>
      <c r="G9210" s="68"/>
      <c r="H9210" s="70"/>
      <c r="BA9210" s="4"/>
      <c r="BB9210" s="4"/>
    </row>
    <row r="9211" spans="1:54" x14ac:dyDescent="0.3">
      <c r="A9211" s="66"/>
      <c r="B9211" s="67"/>
      <c r="C9211" s="66"/>
      <c r="D9211" s="68"/>
      <c r="E9211" s="10"/>
      <c r="F9211" s="69"/>
      <c r="G9211" s="68"/>
      <c r="H9211" s="70"/>
      <c r="BA9211" s="4"/>
      <c r="BB9211" s="4"/>
    </row>
    <row r="9212" spans="1:54" x14ac:dyDescent="0.3">
      <c r="A9212" s="66"/>
      <c r="B9212" s="67"/>
      <c r="C9212" s="66"/>
      <c r="D9212" s="68"/>
      <c r="E9212" s="10"/>
      <c r="F9212" s="69"/>
      <c r="G9212" s="68"/>
      <c r="H9212" s="70"/>
      <c r="BA9212" s="4"/>
      <c r="BB9212" s="4"/>
    </row>
    <row r="9213" spans="1:54" x14ac:dyDescent="0.3">
      <c r="A9213" s="66"/>
      <c r="B9213" s="67"/>
      <c r="C9213" s="66"/>
      <c r="D9213" s="68"/>
      <c r="E9213" s="10"/>
      <c r="F9213" s="69"/>
      <c r="G9213" s="68"/>
      <c r="H9213" s="70"/>
      <c r="BA9213" s="4"/>
      <c r="BB9213" s="4"/>
    </row>
    <row r="9214" spans="1:54" x14ac:dyDescent="0.3">
      <c r="A9214" s="66"/>
      <c r="B9214" s="67"/>
      <c r="C9214" s="66"/>
      <c r="D9214" s="68"/>
      <c r="E9214" s="10"/>
      <c r="F9214" s="69"/>
      <c r="G9214" s="68"/>
      <c r="H9214" s="70"/>
      <c r="BA9214" s="4"/>
      <c r="BB9214" s="4"/>
    </row>
    <row r="9215" spans="1:54" x14ac:dyDescent="0.3">
      <c r="A9215" s="66"/>
      <c r="B9215" s="67"/>
      <c r="C9215" s="66"/>
      <c r="D9215" s="68"/>
      <c r="E9215" s="10"/>
      <c r="F9215" s="69"/>
      <c r="G9215" s="68"/>
      <c r="H9215" s="70"/>
      <c r="BA9215" s="4"/>
      <c r="BB9215" s="4"/>
    </row>
    <row r="9216" spans="1:54" x14ac:dyDescent="0.3">
      <c r="A9216" s="66"/>
      <c r="B9216" s="67"/>
      <c r="C9216" s="66"/>
      <c r="D9216" s="68"/>
      <c r="E9216" s="10"/>
      <c r="F9216" s="69"/>
      <c r="G9216" s="68"/>
      <c r="H9216" s="70"/>
      <c r="BA9216" s="4"/>
      <c r="BB9216" s="4"/>
    </row>
    <row r="9217" spans="1:54" x14ac:dyDescent="0.3">
      <c r="A9217" s="66"/>
      <c r="B9217" s="67"/>
      <c r="C9217" s="66"/>
      <c r="D9217" s="68"/>
      <c r="E9217" s="10"/>
      <c r="F9217" s="69"/>
      <c r="G9217" s="68"/>
      <c r="H9217" s="70"/>
      <c r="BA9217" s="4"/>
      <c r="BB9217" s="4"/>
    </row>
    <row r="9218" spans="1:54" x14ac:dyDescent="0.3">
      <c r="A9218" s="66"/>
      <c r="B9218" s="67"/>
      <c r="C9218" s="66"/>
      <c r="D9218" s="68"/>
      <c r="E9218" s="10"/>
      <c r="F9218" s="69"/>
      <c r="G9218" s="68"/>
      <c r="H9218" s="70"/>
      <c r="BA9218" s="4"/>
      <c r="BB9218" s="4"/>
    </row>
    <row r="9219" spans="1:54" x14ac:dyDescent="0.3">
      <c r="A9219" s="66"/>
      <c r="B9219" s="67"/>
      <c r="C9219" s="66"/>
      <c r="D9219" s="68"/>
      <c r="E9219" s="10"/>
      <c r="F9219" s="69"/>
      <c r="G9219" s="68"/>
      <c r="H9219" s="70"/>
      <c r="BA9219" s="4"/>
      <c r="BB9219" s="4"/>
    </row>
    <row r="9220" spans="1:54" x14ac:dyDescent="0.3">
      <c r="A9220" s="66"/>
      <c r="B9220" s="67"/>
      <c r="C9220" s="66"/>
      <c r="D9220" s="68"/>
      <c r="E9220" s="10"/>
      <c r="F9220" s="69"/>
      <c r="G9220" s="68"/>
      <c r="H9220" s="70"/>
      <c r="BA9220" s="4"/>
      <c r="BB9220" s="4"/>
    </row>
    <row r="9221" spans="1:54" x14ac:dyDescent="0.3">
      <c r="A9221" s="66"/>
      <c r="B9221" s="67"/>
      <c r="C9221" s="66"/>
      <c r="D9221" s="68"/>
      <c r="E9221" s="10"/>
      <c r="F9221" s="69"/>
      <c r="G9221" s="68"/>
      <c r="H9221" s="70"/>
      <c r="BA9221" s="4"/>
      <c r="BB9221" s="4"/>
    </row>
    <row r="9222" spans="1:54" x14ac:dyDescent="0.3">
      <c r="A9222" s="66"/>
      <c r="B9222" s="67"/>
      <c r="C9222" s="66"/>
      <c r="D9222" s="68"/>
      <c r="E9222" s="10"/>
      <c r="F9222" s="69"/>
      <c r="G9222" s="68"/>
      <c r="H9222" s="70"/>
      <c r="BA9222" s="4"/>
      <c r="BB9222" s="4"/>
    </row>
    <row r="9223" spans="1:54" x14ac:dyDescent="0.3">
      <c r="A9223" s="66"/>
      <c r="B9223" s="67"/>
      <c r="C9223" s="66"/>
      <c r="D9223" s="68"/>
      <c r="E9223" s="10"/>
      <c r="F9223" s="69"/>
      <c r="G9223" s="68"/>
      <c r="H9223" s="70"/>
      <c r="BA9223" s="4"/>
      <c r="BB9223" s="4"/>
    </row>
    <row r="9224" spans="1:54" x14ac:dyDescent="0.3">
      <c r="A9224" s="66"/>
      <c r="B9224" s="67"/>
      <c r="C9224" s="66"/>
      <c r="D9224" s="68"/>
      <c r="E9224" s="10"/>
      <c r="F9224" s="69"/>
      <c r="G9224" s="68"/>
      <c r="H9224" s="70"/>
      <c r="BA9224" s="4"/>
      <c r="BB9224" s="4"/>
    </row>
    <row r="9225" spans="1:54" x14ac:dyDescent="0.3">
      <c r="A9225" s="66"/>
      <c r="B9225" s="67"/>
      <c r="C9225" s="66"/>
      <c r="D9225" s="68"/>
      <c r="E9225" s="10"/>
      <c r="F9225" s="69"/>
      <c r="G9225" s="68"/>
      <c r="H9225" s="70"/>
      <c r="BA9225" s="4"/>
      <c r="BB9225" s="4"/>
    </row>
    <row r="9226" spans="1:54" x14ac:dyDescent="0.3">
      <c r="A9226" s="66"/>
      <c r="B9226" s="67"/>
      <c r="C9226" s="66"/>
      <c r="D9226" s="68"/>
      <c r="E9226" s="10"/>
      <c r="F9226" s="69"/>
      <c r="G9226" s="68"/>
      <c r="H9226" s="70"/>
      <c r="BA9226" s="4"/>
      <c r="BB9226" s="4"/>
    </row>
    <row r="9227" spans="1:54" x14ac:dyDescent="0.3">
      <c r="A9227" s="66"/>
      <c r="B9227" s="67"/>
      <c r="C9227" s="66"/>
      <c r="D9227" s="68"/>
      <c r="E9227" s="10"/>
      <c r="F9227" s="69"/>
      <c r="G9227" s="68"/>
      <c r="H9227" s="70"/>
      <c r="BA9227" s="4"/>
      <c r="BB9227" s="4"/>
    </row>
    <row r="9228" spans="1:54" x14ac:dyDescent="0.3">
      <c r="A9228" s="66"/>
      <c r="B9228" s="67"/>
      <c r="C9228" s="66"/>
      <c r="D9228" s="68"/>
      <c r="E9228" s="10"/>
      <c r="F9228" s="69"/>
      <c r="G9228" s="68"/>
      <c r="H9228" s="70"/>
      <c r="BA9228" s="4"/>
      <c r="BB9228" s="4"/>
    </row>
    <row r="9229" spans="1:54" x14ac:dyDescent="0.3">
      <c r="A9229" s="66"/>
      <c r="B9229" s="67"/>
      <c r="C9229" s="66"/>
      <c r="D9229" s="68"/>
      <c r="E9229" s="10"/>
      <c r="F9229" s="69"/>
      <c r="G9229" s="68"/>
      <c r="H9229" s="70"/>
      <c r="BA9229" s="4"/>
      <c r="BB9229" s="4"/>
    </row>
    <row r="9230" spans="1:54" x14ac:dyDescent="0.3">
      <c r="A9230" s="66"/>
      <c r="B9230" s="67"/>
      <c r="C9230" s="66"/>
      <c r="D9230" s="68"/>
      <c r="E9230" s="10"/>
      <c r="F9230" s="69"/>
      <c r="G9230" s="68"/>
      <c r="H9230" s="70"/>
      <c r="BA9230" s="4"/>
      <c r="BB9230" s="4"/>
    </row>
    <row r="9231" spans="1:54" x14ac:dyDescent="0.3">
      <c r="A9231" s="66"/>
      <c r="B9231" s="67"/>
      <c r="C9231" s="66"/>
      <c r="D9231" s="68"/>
      <c r="E9231" s="10"/>
      <c r="F9231" s="69"/>
      <c r="G9231" s="68"/>
      <c r="H9231" s="70"/>
      <c r="BA9231" s="4"/>
      <c r="BB9231" s="4"/>
    </row>
    <row r="9232" spans="1:54" x14ac:dyDescent="0.3">
      <c r="A9232" s="66"/>
      <c r="B9232" s="67"/>
      <c r="C9232" s="66"/>
      <c r="D9232" s="68"/>
      <c r="E9232" s="10"/>
      <c r="F9232" s="69"/>
      <c r="G9232" s="68"/>
      <c r="H9232" s="70"/>
      <c r="BA9232" s="4"/>
      <c r="BB9232" s="4"/>
    </row>
    <row r="9233" spans="1:54" x14ac:dyDescent="0.3">
      <c r="A9233" s="66"/>
      <c r="B9233" s="67"/>
      <c r="C9233" s="66"/>
      <c r="D9233" s="68"/>
      <c r="E9233" s="10"/>
      <c r="F9233" s="69"/>
      <c r="G9233" s="68"/>
      <c r="H9233" s="70"/>
      <c r="BA9233" s="4"/>
      <c r="BB9233" s="4"/>
    </row>
    <row r="9234" spans="1:54" x14ac:dyDescent="0.3">
      <c r="A9234" s="66"/>
      <c r="B9234" s="67"/>
      <c r="C9234" s="66"/>
      <c r="D9234" s="68"/>
      <c r="E9234" s="10"/>
      <c r="F9234" s="69"/>
      <c r="G9234" s="68"/>
      <c r="H9234" s="70"/>
      <c r="BA9234" s="4"/>
      <c r="BB9234" s="4"/>
    </row>
    <row r="9235" spans="1:54" x14ac:dyDescent="0.3">
      <c r="A9235" s="66"/>
      <c r="B9235" s="67"/>
      <c r="C9235" s="66"/>
      <c r="D9235" s="68"/>
      <c r="E9235" s="10"/>
      <c r="F9235" s="69"/>
      <c r="G9235" s="68"/>
      <c r="H9235" s="70"/>
      <c r="BA9235" s="4"/>
      <c r="BB9235" s="4"/>
    </row>
    <row r="9236" spans="1:54" x14ac:dyDescent="0.3">
      <c r="A9236" s="66"/>
      <c r="B9236" s="67"/>
      <c r="C9236" s="66"/>
      <c r="D9236" s="68"/>
      <c r="E9236" s="10"/>
      <c r="F9236" s="69"/>
      <c r="G9236" s="68"/>
      <c r="H9236" s="70"/>
      <c r="BA9236" s="4"/>
      <c r="BB9236" s="4"/>
    </row>
    <row r="9237" spans="1:54" x14ac:dyDescent="0.3">
      <c r="A9237" s="66"/>
      <c r="B9237" s="67"/>
      <c r="C9237" s="66"/>
      <c r="D9237" s="68"/>
      <c r="E9237" s="10"/>
      <c r="F9237" s="69"/>
      <c r="G9237" s="68"/>
      <c r="H9237" s="70"/>
      <c r="BA9237" s="4"/>
      <c r="BB9237" s="4"/>
    </row>
    <row r="9238" spans="1:54" x14ac:dyDescent="0.3">
      <c r="A9238" s="66"/>
      <c r="B9238" s="67"/>
      <c r="C9238" s="66"/>
      <c r="D9238" s="68"/>
      <c r="E9238" s="10"/>
      <c r="F9238" s="69"/>
      <c r="G9238" s="68"/>
      <c r="H9238" s="70"/>
      <c r="BA9238" s="4"/>
      <c r="BB9238" s="4"/>
    </row>
    <row r="9239" spans="1:54" x14ac:dyDescent="0.3">
      <c r="A9239" s="66"/>
      <c r="B9239" s="67"/>
      <c r="C9239" s="66"/>
      <c r="D9239" s="68"/>
      <c r="E9239" s="10"/>
      <c r="F9239" s="69"/>
      <c r="G9239" s="68"/>
      <c r="H9239" s="70"/>
      <c r="BA9239" s="4"/>
      <c r="BB9239" s="4"/>
    </row>
    <row r="9240" spans="1:54" x14ac:dyDescent="0.3">
      <c r="A9240" s="66"/>
      <c r="B9240" s="67"/>
      <c r="C9240" s="66"/>
      <c r="D9240" s="68"/>
      <c r="E9240" s="10"/>
      <c r="F9240" s="69"/>
      <c r="G9240" s="68"/>
      <c r="H9240" s="70"/>
      <c r="BA9240" s="4"/>
      <c r="BB9240" s="4"/>
    </row>
    <row r="9241" spans="1:54" x14ac:dyDescent="0.3">
      <c r="A9241" s="66"/>
      <c r="B9241" s="67"/>
      <c r="C9241" s="66"/>
      <c r="D9241" s="68"/>
      <c r="E9241" s="10"/>
      <c r="F9241" s="69"/>
      <c r="G9241" s="68"/>
      <c r="H9241" s="70"/>
      <c r="BA9241" s="4"/>
      <c r="BB9241" s="4"/>
    </row>
    <row r="9242" spans="1:54" x14ac:dyDescent="0.3">
      <c r="A9242" s="66"/>
      <c r="B9242" s="67"/>
      <c r="C9242" s="66"/>
      <c r="D9242" s="68"/>
      <c r="E9242" s="10"/>
      <c r="F9242" s="69"/>
      <c r="G9242" s="68"/>
      <c r="H9242" s="70"/>
      <c r="BA9242" s="4"/>
      <c r="BB9242" s="4"/>
    </row>
    <row r="9243" spans="1:54" x14ac:dyDescent="0.3">
      <c r="A9243" s="66"/>
      <c r="B9243" s="67"/>
      <c r="C9243" s="66"/>
      <c r="D9243" s="68"/>
      <c r="E9243" s="10"/>
      <c r="F9243" s="69"/>
      <c r="G9243" s="68"/>
      <c r="H9243" s="70"/>
      <c r="BA9243" s="4"/>
      <c r="BB9243" s="4"/>
    </row>
    <row r="9244" spans="1:54" x14ac:dyDescent="0.3">
      <c r="A9244" s="66"/>
      <c r="B9244" s="67"/>
      <c r="C9244" s="66"/>
      <c r="D9244" s="68"/>
      <c r="E9244" s="10"/>
      <c r="F9244" s="69"/>
      <c r="G9244" s="68"/>
      <c r="H9244" s="70"/>
      <c r="BA9244" s="4"/>
      <c r="BB9244" s="4"/>
    </row>
    <row r="9245" spans="1:54" x14ac:dyDescent="0.3">
      <c r="A9245" s="66"/>
      <c r="B9245" s="67"/>
      <c r="C9245" s="66"/>
      <c r="D9245" s="68"/>
      <c r="E9245" s="10"/>
      <c r="F9245" s="69"/>
      <c r="G9245" s="68"/>
      <c r="H9245" s="70"/>
      <c r="BA9245" s="4"/>
      <c r="BB9245" s="4"/>
    </row>
    <row r="9246" spans="1:54" x14ac:dyDescent="0.3">
      <c r="A9246" s="66"/>
      <c r="B9246" s="67"/>
      <c r="C9246" s="66"/>
      <c r="D9246" s="68"/>
      <c r="E9246" s="10"/>
      <c r="F9246" s="69"/>
      <c r="G9246" s="68"/>
      <c r="H9246" s="70"/>
      <c r="BA9246" s="4"/>
      <c r="BB9246" s="4"/>
    </row>
    <row r="9247" spans="1:54" x14ac:dyDescent="0.3">
      <c r="A9247" s="66"/>
      <c r="B9247" s="67"/>
      <c r="C9247" s="66"/>
      <c r="D9247" s="68"/>
      <c r="E9247" s="10"/>
      <c r="F9247" s="69"/>
      <c r="G9247" s="68"/>
      <c r="H9247" s="70"/>
      <c r="BA9247" s="4"/>
      <c r="BB9247" s="4"/>
    </row>
    <row r="9248" spans="1:54" x14ac:dyDescent="0.3">
      <c r="A9248" s="66"/>
      <c r="B9248" s="67"/>
      <c r="C9248" s="66"/>
      <c r="D9248" s="68"/>
      <c r="E9248" s="10"/>
      <c r="F9248" s="69"/>
      <c r="G9248" s="68"/>
      <c r="H9248" s="70"/>
      <c r="BA9248" s="4"/>
      <c r="BB9248" s="4"/>
    </row>
    <row r="9249" spans="1:54" x14ac:dyDescent="0.3">
      <c r="A9249" s="66"/>
      <c r="B9249" s="67"/>
      <c r="C9249" s="66"/>
      <c r="D9249" s="68"/>
      <c r="E9249" s="10"/>
      <c r="F9249" s="69"/>
      <c r="G9249" s="68"/>
      <c r="H9249" s="70"/>
      <c r="BA9249" s="4"/>
      <c r="BB9249" s="4"/>
    </row>
    <row r="9250" spans="1:54" x14ac:dyDescent="0.3">
      <c r="A9250" s="66"/>
      <c r="B9250" s="67"/>
      <c r="C9250" s="66"/>
      <c r="D9250" s="68"/>
      <c r="E9250" s="10"/>
      <c r="F9250" s="69"/>
      <c r="G9250" s="68"/>
      <c r="H9250" s="70"/>
      <c r="BA9250" s="4"/>
      <c r="BB9250" s="4"/>
    </row>
    <row r="9251" spans="1:54" x14ac:dyDescent="0.3">
      <c r="A9251" s="66"/>
      <c r="B9251" s="67"/>
      <c r="C9251" s="66"/>
      <c r="D9251" s="68"/>
      <c r="E9251" s="10"/>
      <c r="F9251" s="69"/>
      <c r="G9251" s="68"/>
      <c r="H9251" s="70"/>
      <c r="BA9251" s="4"/>
      <c r="BB9251" s="4"/>
    </row>
    <row r="9252" spans="1:54" x14ac:dyDescent="0.3">
      <c r="A9252" s="66"/>
      <c r="B9252" s="67"/>
      <c r="C9252" s="66"/>
      <c r="D9252" s="68"/>
      <c r="E9252" s="10"/>
      <c r="F9252" s="69"/>
      <c r="G9252" s="68"/>
      <c r="H9252" s="70"/>
      <c r="BA9252" s="4"/>
      <c r="BB9252" s="4"/>
    </row>
    <row r="9253" spans="1:54" x14ac:dyDescent="0.3">
      <c r="A9253" s="66"/>
      <c r="B9253" s="67"/>
      <c r="C9253" s="66"/>
      <c r="D9253" s="68"/>
      <c r="E9253" s="10"/>
      <c r="F9253" s="69"/>
      <c r="G9253" s="68"/>
      <c r="H9253" s="70"/>
      <c r="BA9253" s="4"/>
      <c r="BB9253" s="4"/>
    </row>
    <row r="9254" spans="1:54" x14ac:dyDescent="0.3">
      <c r="A9254" s="66"/>
      <c r="B9254" s="67"/>
      <c r="C9254" s="66"/>
      <c r="D9254" s="68"/>
      <c r="E9254" s="10"/>
      <c r="F9254" s="69"/>
      <c r="G9254" s="68"/>
      <c r="H9254" s="70"/>
      <c r="BA9254" s="4"/>
      <c r="BB9254" s="4"/>
    </row>
    <row r="9255" spans="1:54" x14ac:dyDescent="0.3">
      <c r="A9255" s="66"/>
      <c r="B9255" s="67"/>
      <c r="C9255" s="66"/>
      <c r="D9255" s="68"/>
      <c r="E9255" s="10"/>
      <c r="F9255" s="69"/>
      <c r="G9255" s="68"/>
      <c r="H9255" s="70"/>
      <c r="BA9255" s="4"/>
      <c r="BB9255" s="4"/>
    </row>
    <row r="9256" spans="1:54" x14ac:dyDescent="0.3">
      <c r="A9256" s="66"/>
      <c r="B9256" s="67"/>
      <c r="C9256" s="66"/>
      <c r="D9256" s="68"/>
      <c r="E9256" s="10"/>
      <c r="F9256" s="69"/>
      <c r="G9256" s="68"/>
      <c r="H9256" s="70"/>
      <c r="BA9256" s="4"/>
      <c r="BB9256" s="4"/>
    </row>
    <row r="9257" spans="1:54" x14ac:dyDescent="0.3">
      <c r="A9257" s="66"/>
      <c r="B9257" s="67"/>
      <c r="C9257" s="66"/>
      <c r="D9257" s="68"/>
      <c r="E9257" s="10"/>
      <c r="F9257" s="69"/>
      <c r="G9257" s="68"/>
      <c r="H9257" s="70"/>
      <c r="BA9257" s="4"/>
      <c r="BB9257" s="4"/>
    </row>
    <row r="9258" spans="1:54" x14ac:dyDescent="0.3">
      <c r="A9258" s="66"/>
      <c r="B9258" s="67"/>
      <c r="C9258" s="66"/>
      <c r="D9258" s="68"/>
      <c r="E9258" s="10"/>
      <c r="F9258" s="69"/>
      <c r="G9258" s="68"/>
      <c r="H9258" s="70"/>
      <c r="BA9258" s="4"/>
      <c r="BB9258" s="4"/>
    </row>
    <row r="9259" spans="1:54" x14ac:dyDescent="0.3">
      <c r="A9259" s="66"/>
      <c r="B9259" s="67"/>
      <c r="C9259" s="66"/>
      <c r="D9259" s="68"/>
      <c r="E9259" s="10"/>
      <c r="F9259" s="69"/>
      <c r="G9259" s="68"/>
      <c r="H9259" s="70"/>
      <c r="BA9259" s="4"/>
      <c r="BB9259" s="4"/>
    </row>
    <row r="9260" spans="1:54" x14ac:dyDescent="0.3">
      <c r="A9260" s="66"/>
      <c r="B9260" s="67"/>
      <c r="C9260" s="66"/>
      <c r="D9260" s="68"/>
      <c r="E9260" s="10"/>
      <c r="F9260" s="69"/>
      <c r="G9260" s="68"/>
      <c r="H9260" s="70"/>
      <c r="BA9260" s="4"/>
      <c r="BB9260" s="4"/>
    </row>
    <row r="9261" spans="1:54" x14ac:dyDescent="0.3">
      <c r="A9261" s="66"/>
      <c r="B9261" s="67"/>
      <c r="C9261" s="66"/>
      <c r="D9261" s="68"/>
      <c r="E9261" s="10"/>
      <c r="F9261" s="69"/>
      <c r="G9261" s="68"/>
      <c r="H9261" s="70"/>
      <c r="BA9261" s="4"/>
      <c r="BB9261" s="4"/>
    </row>
    <row r="9262" spans="1:54" x14ac:dyDescent="0.3">
      <c r="A9262" s="66"/>
      <c r="B9262" s="67"/>
      <c r="C9262" s="66"/>
      <c r="D9262" s="68"/>
      <c r="E9262" s="10"/>
      <c r="F9262" s="69"/>
      <c r="G9262" s="68"/>
      <c r="H9262" s="70"/>
      <c r="BA9262" s="4"/>
      <c r="BB9262" s="4"/>
    </row>
    <row r="9263" spans="1:54" x14ac:dyDescent="0.3">
      <c r="A9263" s="66"/>
      <c r="B9263" s="67"/>
      <c r="C9263" s="66"/>
      <c r="D9263" s="68"/>
      <c r="E9263" s="10"/>
      <c r="F9263" s="69"/>
      <c r="G9263" s="68"/>
      <c r="H9263" s="70"/>
      <c r="BA9263" s="4"/>
      <c r="BB9263" s="4"/>
    </row>
    <row r="9264" spans="1:54" x14ac:dyDescent="0.3">
      <c r="A9264" s="66"/>
      <c r="B9264" s="67"/>
      <c r="C9264" s="66"/>
      <c r="D9264" s="68"/>
      <c r="E9264" s="10"/>
      <c r="F9264" s="69"/>
      <c r="G9264" s="68"/>
      <c r="H9264" s="70"/>
      <c r="BA9264" s="4"/>
      <c r="BB9264" s="4"/>
    </row>
    <row r="9265" spans="1:54" x14ac:dyDescent="0.3">
      <c r="A9265" s="66"/>
      <c r="B9265" s="67"/>
      <c r="C9265" s="66"/>
      <c r="D9265" s="68"/>
      <c r="E9265" s="10"/>
      <c r="F9265" s="69"/>
      <c r="G9265" s="68"/>
      <c r="H9265" s="70"/>
      <c r="BA9265" s="4"/>
      <c r="BB9265" s="4"/>
    </row>
    <row r="9266" spans="1:54" x14ac:dyDescent="0.3">
      <c r="A9266" s="66"/>
      <c r="B9266" s="67"/>
      <c r="C9266" s="66"/>
      <c r="D9266" s="68"/>
      <c r="E9266" s="10"/>
      <c r="F9266" s="69"/>
      <c r="G9266" s="68"/>
      <c r="H9266" s="70"/>
      <c r="BA9266" s="4"/>
      <c r="BB9266" s="4"/>
    </row>
    <row r="9267" spans="1:54" x14ac:dyDescent="0.3">
      <c r="A9267" s="66"/>
      <c r="B9267" s="67"/>
      <c r="C9267" s="66"/>
      <c r="D9267" s="68"/>
      <c r="E9267" s="10"/>
      <c r="F9267" s="69"/>
      <c r="G9267" s="68"/>
      <c r="H9267" s="70"/>
      <c r="BA9267" s="4"/>
      <c r="BB9267" s="4"/>
    </row>
    <row r="9268" spans="1:54" x14ac:dyDescent="0.3">
      <c r="A9268" s="66"/>
      <c r="B9268" s="67"/>
      <c r="C9268" s="66"/>
      <c r="D9268" s="68"/>
      <c r="E9268" s="10"/>
      <c r="F9268" s="69"/>
      <c r="G9268" s="68"/>
      <c r="H9268" s="70"/>
      <c r="BA9268" s="4"/>
      <c r="BB9268" s="4"/>
    </row>
    <row r="9269" spans="1:54" x14ac:dyDescent="0.3">
      <c r="A9269" s="66"/>
      <c r="B9269" s="67"/>
      <c r="C9269" s="66"/>
      <c r="D9269" s="68"/>
      <c r="E9269" s="10"/>
      <c r="F9269" s="69"/>
      <c r="G9269" s="68"/>
      <c r="H9269" s="70"/>
      <c r="BA9269" s="4"/>
      <c r="BB9269" s="4"/>
    </row>
    <row r="9270" spans="1:54" x14ac:dyDescent="0.3">
      <c r="A9270" s="66"/>
      <c r="B9270" s="67"/>
      <c r="C9270" s="66"/>
      <c r="D9270" s="68"/>
      <c r="E9270" s="10"/>
      <c r="F9270" s="69"/>
      <c r="G9270" s="68"/>
      <c r="H9270" s="70"/>
      <c r="BA9270" s="4"/>
      <c r="BB9270" s="4"/>
    </row>
    <row r="9271" spans="1:54" x14ac:dyDescent="0.3">
      <c r="A9271" s="66"/>
      <c r="B9271" s="67"/>
      <c r="C9271" s="66"/>
      <c r="D9271" s="68"/>
      <c r="E9271" s="10"/>
      <c r="F9271" s="69"/>
      <c r="G9271" s="68"/>
      <c r="H9271" s="70"/>
      <c r="BA9271" s="4"/>
      <c r="BB9271" s="4"/>
    </row>
    <row r="9272" spans="1:54" x14ac:dyDescent="0.3">
      <c r="A9272" s="66"/>
      <c r="B9272" s="67"/>
      <c r="C9272" s="66"/>
      <c r="D9272" s="68"/>
      <c r="E9272" s="10"/>
      <c r="F9272" s="69"/>
      <c r="G9272" s="68"/>
      <c r="H9272" s="70"/>
      <c r="BA9272" s="4"/>
      <c r="BB9272" s="4"/>
    </row>
    <row r="9273" spans="1:54" x14ac:dyDescent="0.3">
      <c r="A9273" s="66"/>
      <c r="B9273" s="67"/>
      <c r="C9273" s="66"/>
      <c r="D9273" s="68"/>
      <c r="E9273" s="10"/>
      <c r="F9273" s="69"/>
      <c r="G9273" s="68"/>
      <c r="H9273" s="70"/>
      <c r="BA9273" s="4"/>
      <c r="BB9273" s="4"/>
    </row>
    <row r="9274" spans="1:54" x14ac:dyDescent="0.3">
      <c r="A9274" s="66"/>
      <c r="B9274" s="67"/>
      <c r="C9274" s="66"/>
      <c r="D9274" s="68"/>
      <c r="E9274" s="10"/>
      <c r="F9274" s="69"/>
      <c r="G9274" s="68"/>
      <c r="H9274" s="70"/>
      <c r="BA9274" s="4"/>
      <c r="BB9274" s="4"/>
    </row>
    <row r="9275" spans="1:54" x14ac:dyDescent="0.3">
      <c r="A9275" s="66"/>
      <c r="B9275" s="67"/>
      <c r="C9275" s="66"/>
      <c r="D9275" s="68"/>
      <c r="E9275" s="10"/>
      <c r="F9275" s="69"/>
      <c r="G9275" s="68"/>
      <c r="H9275" s="70"/>
      <c r="BA9275" s="4"/>
      <c r="BB9275" s="4"/>
    </row>
    <row r="9276" spans="1:54" x14ac:dyDescent="0.3">
      <c r="A9276" s="66"/>
      <c r="B9276" s="67"/>
      <c r="C9276" s="66"/>
      <c r="D9276" s="68"/>
      <c r="E9276" s="10"/>
      <c r="F9276" s="69"/>
      <c r="G9276" s="68"/>
      <c r="H9276" s="70"/>
      <c r="BA9276" s="4"/>
      <c r="BB9276" s="4"/>
    </row>
    <row r="9277" spans="1:54" x14ac:dyDescent="0.3">
      <c r="A9277" s="66"/>
      <c r="B9277" s="67"/>
      <c r="C9277" s="66"/>
      <c r="D9277" s="68"/>
      <c r="E9277" s="10"/>
      <c r="F9277" s="69"/>
      <c r="G9277" s="68"/>
      <c r="H9277" s="70"/>
      <c r="BA9277" s="4"/>
      <c r="BB9277" s="4"/>
    </row>
    <row r="9278" spans="1:54" x14ac:dyDescent="0.3">
      <c r="A9278" s="66"/>
      <c r="B9278" s="67"/>
      <c r="C9278" s="66"/>
      <c r="D9278" s="68"/>
      <c r="E9278" s="10"/>
      <c r="F9278" s="69"/>
      <c r="G9278" s="68"/>
      <c r="H9278" s="70"/>
      <c r="BA9278" s="4"/>
      <c r="BB9278" s="4"/>
    </row>
    <row r="9279" spans="1:54" x14ac:dyDescent="0.3">
      <c r="A9279" s="66"/>
      <c r="B9279" s="67"/>
      <c r="C9279" s="66"/>
      <c r="D9279" s="68"/>
      <c r="E9279" s="10"/>
      <c r="F9279" s="69"/>
      <c r="G9279" s="68"/>
      <c r="H9279" s="70"/>
      <c r="BA9279" s="4"/>
      <c r="BB9279" s="4"/>
    </row>
    <row r="9280" spans="1:54" x14ac:dyDescent="0.3">
      <c r="A9280" s="66"/>
      <c r="B9280" s="67"/>
      <c r="C9280" s="66"/>
      <c r="D9280" s="68"/>
      <c r="E9280" s="10"/>
      <c r="F9280" s="69"/>
      <c r="G9280" s="68"/>
      <c r="H9280" s="70"/>
      <c r="BA9280" s="4"/>
      <c r="BB9280" s="4"/>
    </row>
    <row r="9281" spans="1:54" x14ac:dyDescent="0.3">
      <c r="A9281" s="66"/>
      <c r="B9281" s="67"/>
      <c r="C9281" s="66"/>
      <c r="D9281" s="68"/>
      <c r="E9281" s="10"/>
      <c r="F9281" s="69"/>
      <c r="G9281" s="68"/>
      <c r="H9281" s="70"/>
      <c r="BA9281" s="4"/>
      <c r="BB9281" s="4"/>
    </row>
    <row r="9282" spans="1:54" x14ac:dyDescent="0.3">
      <c r="A9282" s="66"/>
      <c r="B9282" s="67"/>
      <c r="C9282" s="66"/>
      <c r="D9282" s="68"/>
      <c r="E9282" s="10"/>
      <c r="F9282" s="69"/>
      <c r="G9282" s="68"/>
      <c r="H9282" s="70"/>
      <c r="BA9282" s="4"/>
      <c r="BB9282" s="4"/>
    </row>
    <row r="9283" spans="1:54" x14ac:dyDescent="0.3">
      <c r="A9283" s="66"/>
      <c r="B9283" s="67"/>
      <c r="C9283" s="66"/>
      <c r="D9283" s="68"/>
      <c r="E9283" s="10"/>
      <c r="F9283" s="69"/>
      <c r="G9283" s="68"/>
      <c r="H9283" s="70"/>
      <c r="BA9283" s="4"/>
      <c r="BB9283" s="4"/>
    </row>
    <row r="9284" spans="1:54" x14ac:dyDescent="0.3">
      <c r="A9284" s="66"/>
      <c r="B9284" s="67"/>
      <c r="C9284" s="66"/>
      <c r="D9284" s="68"/>
      <c r="E9284" s="10"/>
      <c r="F9284" s="69"/>
      <c r="G9284" s="68"/>
      <c r="H9284" s="70"/>
      <c r="BA9284" s="4"/>
      <c r="BB9284" s="4"/>
    </row>
    <row r="9285" spans="1:54" x14ac:dyDescent="0.3">
      <c r="A9285" s="66"/>
      <c r="B9285" s="67"/>
      <c r="C9285" s="66"/>
      <c r="D9285" s="68"/>
      <c r="E9285" s="10"/>
      <c r="F9285" s="69"/>
      <c r="G9285" s="68"/>
      <c r="H9285" s="70"/>
      <c r="BA9285" s="4"/>
      <c r="BB9285" s="4"/>
    </row>
    <row r="9286" spans="1:54" x14ac:dyDescent="0.3">
      <c r="A9286" s="66"/>
      <c r="B9286" s="67"/>
      <c r="C9286" s="66"/>
      <c r="D9286" s="68"/>
      <c r="E9286" s="10"/>
      <c r="F9286" s="69"/>
      <c r="G9286" s="68"/>
      <c r="H9286" s="70"/>
      <c r="BA9286" s="4"/>
      <c r="BB9286" s="4"/>
    </row>
    <row r="9287" spans="1:54" x14ac:dyDescent="0.3">
      <c r="A9287" s="66"/>
      <c r="B9287" s="67"/>
      <c r="C9287" s="66"/>
      <c r="D9287" s="68"/>
      <c r="E9287" s="10"/>
      <c r="F9287" s="69"/>
      <c r="G9287" s="68"/>
      <c r="H9287" s="70"/>
      <c r="BA9287" s="4"/>
      <c r="BB9287" s="4"/>
    </row>
    <row r="9288" spans="1:54" x14ac:dyDescent="0.3">
      <c r="A9288" s="66"/>
      <c r="B9288" s="67"/>
      <c r="C9288" s="66"/>
      <c r="D9288" s="68"/>
      <c r="E9288" s="10"/>
      <c r="F9288" s="69"/>
      <c r="G9288" s="68"/>
      <c r="H9288" s="70"/>
      <c r="BA9288" s="4"/>
      <c r="BB9288" s="4"/>
    </row>
    <row r="9289" spans="1:54" x14ac:dyDescent="0.3">
      <c r="A9289" s="66"/>
      <c r="B9289" s="67"/>
      <c r="C9289" s="66"/>
      <c r="D9289" s="68"/>
      <c r="E9289" s="10"/>
      <c r="F9289" s="69"/>
      <c r="G9289" s="68"/>
      <c r="H9289" s="70"/>
      <c r="BA9289" s="4"/>
      <c r="BB9289" s="4"/>
    </row>
    <row r="9290" spans="1:54" x14ac:dyDescent="0.3">
      <c r="A9290" s="66"/>
      <c r="B9290" s="67"/>
      <c r="C9290" s="66"/>
      <c r="D9290" s="68"/>
      <c r="E9290" s="10"/>
      <c r="F9290" s="69"/>
      <c r="G9290" s="68"/>
      <c r="H9290" s="70"/>
      <c r="BA9290" s="4"/>
      <c r="BB9290" s="4"/>
    </row>
    <row r="9291" spans="1:54" x14ac:dyDescent="0.3">
      <c r="A9291" s="66"/>
      <c r="B9291" s="67"/>
      <c r="C9291" s="66"/>
      <c r="D9291" s="68"/>
      <c r="E9291" s="10"/>
      <c r="F9291" s="69"/>
      <c r="G9291" s="68"/>
      <c r="H9291" s="70"/>
      <c r="BA9291" s="4"/>
      <c r="BB9291" s="4"/>
    </row>
    <row r="9292" spans="1:54" x14ac:dyDescent="0.3">
      <c r="A9292" s="66"/>
      <c r="B9292" s="67"/>
      <c r="C9292" s="66"/>
      <c r="D9292" s="68"/>
      <c r="E9292" s="10"/>
      <c r="F9292" s="69"/>
      <c r="G9292" s="68"/>
      <c r="H9292" s="70"/>
      <c r="BA9292" s="4"/>
      <c r="BB9292" s="4"/>
    </row>
    <row r="9293" spans="1:54" x14ac:dyDescent="0.3">
      <c r="A9293" s="66"/>
      <c r="B9293" s="67"/>
      <c r="C9293" s="66"/>
      <c r="D9293" s="68"/>
      <c r="E9293" s="10"/>
      <c r="F9293" s="69"/>
      <c r="G9293" s="68"/>
      <c r="H9293" s="70"/>
      <c r="BA9293" s="4"/>
      <c r="BB9293" s="4"/>
    </row>
    <row r="9294" spans="1:54" x14ac:dyDescent="0.3">
      <c r="A9294" s="66"/>
      <c r="B9294" s="67"/>
      <c r="C9294" s="66"/>
      <c r="D9294" s="68"/>
      <c r="E9294" s="10"/>
      <c r="F9294" s="69"/>
      <c r="G9294" s="68"/>
      <c r="H9294" s="70"/>
      <c r="BA9294" s="4"/>
      <c r="BB9294" s="4"/>
    </row>
    <row r="9295" spans="1:54" x14ac:dyDescent="0.3">
      <c r="A9295" s="66"/>
      <c r="B9295" s="67"/>
      <c r="C9295" s="66"/>
      <c r="D9295" s="68"/>
      <c r="E9295" s="10"/>
      <c r="F9295" s="69"/>
      <c r="G9295" s="68"/>
      <c r="H9295" s="70"/>
      <c r="BA9295" s="4"/>
      <c r="BB9295" s="4"/>
    </row>
    <row r="9296" spans="1:54" x14ac:dyDescent="0.3">
      <c r="A9296" s="66"/>
      <c r="B9296" s="67"/>
      <c r="C9296" s="66"/>
      <c r="D9296" s="68"/>
      <c r="E9296" s="10"/>
      <c r="F9296" s="69"/>
      <c r="G9296" s="68"/>
      <c r="H9296" s="70"/>
      <c r="BA9296" s="4"/>
      <c r="BB9296" s="4"/>
    </row>
    <row r="9297" spans="1:54" x14ac:dyDescent="0.3">
      <c r="A9297" s="66"/>
      <c r="B9297" s="67"/>
      <c r="C9297" s="66"/>
      <c r="D9297" s="68"/>
      <c r="E9297" s="10"/>
      <c r="F9297" s="69"/>
      <c r="G9297" s="68"/>
      <c r="H9297" s="70"/>
      <c r="BA9297" s="4"/>
      <c r="BB9297" s="4"/>
    </row>
    <row r="9298" spans="1:54" x14ac:dyDescent="0.3">
      <c r="A9298" s="66"/>
      <c r="B9298" s="67"/>
      <c r="C9298" s="66"/>
      <c r="D9298" s="68"/>
      <c r="E9298" s="10"/>
      <c r="F9298" s="69"/>
      <c r="G9298" s="68"/>
      <c r="H9298" s="70"/>
      <c r="BA9298" s="4"/>
      <c r="BB9298" s="4"/>
    </row>
    <row r="9299" spans="1:54" x14ac:dyDescent="0.3">
      <c r="A9299" s="66"/>
      <c r="B9299" s="67"/>
      <c r="C9299" s="66"/>
      <c r="D9299" s="68"/>
      <c r="E9299" s="10"/>
      <c r="F9299" s="69"/>
      <c r="G9299" s="68"/>
      <c r="H9299" s="70"/>
      <c r="BA9299" s="4"/>
      <c r="BB9299" s="4"/>
    </row>
    <row r="9300" spans="1:54" x14ac:dyDescent="0.3">
      <c r="A9300" s="66"/>
      <c r="B9300" s="67"/>
      <c r="C9300" s="66"/>
      <c r="D9300" s="68"/>
      <c r="E9300" s="10"/>
      <c r="F9300" s="69"/>
      <c r="G9300" s="68"/>
      <c r="H9300" s="70"/>
      <c r="BA9300" s="4"/>
      <c r="BB9300" s="4"/>
    </row>
    <row r="9301" spans="1:54" x14ac:dyDescent="0.3">
      <c r="A9301" s="66"/>
      <c r="B9301" s="67"/>
      <c r="C9301" s="66"/>
      <c r="D9301" s="68"/>
      <c r="E9301" s="10"/>
      <c r="F9301" s="69"/>
      <c r="G9301" s="68"/>
      <c r="H9301" s="70"/>
      <c r="BA9301" s="4"/>
      <c r="BB9301" s="4"/>
    </row>
    <row r="9302" spans="1:54" x14ac:dyDescent="0.3">
      <c r="A9302" s="66"/>
      <c r="B9302" s="67"/>
      <c r="C9302" s="66"/>
      <c r="D9302" s="68"/>
      <c r="E9302" s="10"/>
      <c r="F9302" s="69"/>
      <c r="G9302" s="68"/>
      <c r="H9302" s="70"/>
      <c r="BA9302" s="4"/>
      <c r="BB9302" s="4"/>
    </row>
    <row r="9303" spans="1:54" x14ac:dyDescent="0.3">
      <c r="A9303" s="66"/>
      <c r="B9303" s="67"/>
      <c r="C9303" s="66"/>
      <c r="D9303" s="68"/>
      <c r="E9303" s="10"/>
      <c r="F9303" s="69"/>
      <c r="G9303" s="68"/>
      <c r="H9303" s="70"/>
      <c r="BA9303" s="4"/>
      <c r="BB9303" s="4"/>
    </row>
    <row r="9304" spans="1:54" x14ac:dyDescent="0.3">
      <c r="A9304" s="66"/>
      <c r="B9304" s="67"/>
      <c r="C9304" s="66"/>
      <c r="D9304" s="68"/>
      <c r="E9304" s="10"/>
      <c r="F9304" s="69"/>
      <c r="G9304" s="68"/>
      <c r="H9304" s="70"/>
      <c r="BA9304" s="4"/>
      <c r="BB9304" s="4"/>
    </row>
    <row r="9305" spans="1:54" x14ac:dyDescent="0.3">
      <c r="A9305" s="66"/>
      <c r="B9305" s="67"/>
      <c r="C9305" s="66"/>
      <c r="D9305" s="68"/>
      <c r="E9305" s="10"/>
      <c r="F9305" s="69"/>
      <c r="G9305" s="68"/>
      <c r="H9305" s="70"/>
      <c r="BA9305" s="4"/>
      <c r="BB9305" s="4"/>
    </row>
    <row r="9306" spans="1:54" x14ac:dyDescent="0.3">
      <c r="A9306" s="66"/>
      <c r="B9306" s="67"/>
      <c r="C9306" s="66"/>
      <c r="D9306" s="68"/>
      <c r="E9306" s="10"/>
      <c r="F9306" s="69"/>
      <c r="G9306" s="68"/>
      <c r="H9306" s="70"/>
      <c r="BA9306" s="4"/>
      <c r="BB9306" s="4"/>
    </row>
    <row r="9307" spans="1:54" x14ac:dyDescent="0.3">
      <c r="A9307" s="66"/>
      <c r="B9307" s="67"/>
      <c r="C9307" s="66"/>
      <c r="D9307" s="68"/>
      <c r="E9307" s="10"/>
      <c r="F9307" s="69"/>
      <c r="G9307" s="68"/>
      <c r="H9307" s="70"/>
      <c r="BA9307" s="4"/>
      <c r="BB9307" s="4"/>
    </row>
    <row r="9308" spans="1:54" x14ac:dyDescent="0.3">
      <c r="A9308" s="66"/>
      <c r="B9308" s="67"/>
      <c r="C9308" s="66"/>
      <c r="D9308" s="68"/>
      <c r="E9308" s="10"/>
      <c r="F9308" s="69"/>
      <c r="G9308" s="68"/>
      <c r="H9308" s="70"/>
      <c r="BA9308" s="4"/>
      <c r="BB9308" s="4"/>
    </row>
    <row r="9309" spans="1:54" x14ac:dyDescent="0.3">
      <c r="A9309" s="66"/>
      <c r="B9309" s="67"/>
      <c r="C9309" s="66"/>
      <c r="D9309" s="68"/>
      <c r="E9309" s="10"/>
      <c r="F9309" s="69"/>
      <c r="G9309" s="68"/>
      <c r="H9309" s="70"/>
      <c r="BA9309" s="4"/>
      <c r="BB9309" s="4"/>
    </row>
    <row r="9310" spans="1:54" x14ac:dyDescent="0.3">
      <c r="A9310" s="66"/>
      <c r="B9310" s="67"/>
      <c r="C9310" s="66"/>
      <c r="D9310" s="68"/>
      <c r="E9310" s="10"/>
      <c r="F9310" s="69"/>
      <c r="G9310" s="68"/>
      <c r="H9310" s="70"/>
      <c r="BA9310" s="4"/>
      <c r="BB9310" s="4"/>
    </row>
    <row r="9311" spans="1:54" x14ac:dyDescent="0.3">
      <c r="A9311" s="66"/>
      <c r="B9311" s="67"/>
      <c r="C9311" s="66"/>
      <c r="D9311" s="68"/>
      <c r="E9311" s="10"/>
      <c r="F9311" s="69"/>
      <c r="G9311" s="68"/>
      <c r="H9311" s="70"/>
      <c r="BA9311" s="4"/>
      <c r="BB9311" s="4"/>
    </row>
    <row r="9312" spans="1:54" x14ac:dyDescent="0.3">
      <c r="A9312" s="66"/>
      <c r="B9312" s="67"/>
      <c r="C9312" s="66"/>
      <c r="D9312" s="68"/>
      <c r="E9312" s="10"/>
      <c r="F9312" s="69"/>
      <c r="G9312" s="68"/>
      <c r="H9312" s="70"/>
      <c r="BA9312" s="4"/>
      <c r="BB9312" s="4"/>
    </row>
    <row r="9313" spans="1:54" x14ac:dyDescent="0.3">
      <c r="A9313" s="66"/>
      <c r="B9313" s="67"/>
      <c r="C9313" s="66"/>
      <c r="D9313" s="68"/>
      <c r="E9313" s="10"/>
      <c r="F9313" s="69"/>
      <c r="G9313" s="68"/>
      <c r="H9313" s="70"/>
      <c r="BA9313" s="4"/>
      <c r="BB9313" s="4"/>
    </row>
    <row r="9314" spans="1:54" x14ac:dyDescent="0.3">
      <c r="A9314" s="66"/>
      <c r="B9314" s="67"/>
      <c r="C9314" s="66"/>
      <c r="D9314" s="68"/>
      <c r="E9314" s="10"/>
      <c r="F9314" s="69"/>
      <c r="G9314" s="68"/>
      <c r="H9314" s="70"/>
      <c r="BA9314" s="4"/>
      <c r="BB9314" s="4"/>
    </row>
    <row r="9315" spans="1:54" x14ac:dyDescent="0.3">
      <c r="A9315" s="66"/>
      <c r="B9315" s="67"/>
      <c r="C9315" s="66"/>
      <c r="D9315" s="68"/>
      <c r="E9315" s="10"/>
      <c r="F9315" s="69"/>
      <c r="G9315" s="68"/>
      <c r="H9315" s="70"/>
      <c r="BA9315" s="4"/>
      <c r="BB9315" s="4"/>
    </row>
    <row r="9316" spans="1:54" x14ac:dyDescent="0.3">
      <c r="A9316" s="66"/>
      <c r="B9316" s="67"/>
      <c r="C9316" s="66"/>
      <c r="D9316" s="68"/>
      <c r="E9316" s="10"/>
      <c r="F9316" s="69"/>
      <c r="G9316" s="68"/>
      <c r="H9316" s="70"/>
      <c r="BA9316" s="4"/>
      <c r="BB9316" s="4"/>
    </row>
    <row r="9317" spans="1:54" x14ac:dyDescent="0.3">
      <c r="A9317" s="66"/>
      <c r="B9317" s="67"/>
      <c r="C9317" s="66"/>
      <c r="D9317" s="68"/>
      <c r="E9317" s="10"/>
      <c r="F9317" s="69"/>
      <c r="G9317" s="68"/>
      <c r="H9317" s="70"/>
      <c r="BA9317" s="4"/>
      <c r="BB9317" s="4"/>
    </row>
    <row r="9318" spans="1:54" x14ac:dyDescent="0.3">
      <c r="A9318" s="66"/>
      <c r="B9318" s="67"/>
      <c r="C9318" s="66"/>
      <c r="D9318" s="68"/>
      <c r="E9318" s="10"/>
      <c r="F9318" s="69"/>
      <c r="G9318" s="68"/>
      <c r="H9318" s="70"/>
      <c r="BA9318" s="4"/>
      <c r="BB9318" s="4"/>
    </row>
    <row r="9319" spans="1:54" x14ac:dyDescent="0.3">
      <c r="A9319" s="66"/>
      <c r="B9319" s="67"/>
      <c r="C9319" s="66"/>
      <c r="D9319" s="68"/>
      <c r="E9319" s="10"/>
      <c r="F9319" s="69"/>
      <c r="G9319" s="68"/>
      <c r="H9319" s="70"/>
      <c r="BA9319" s="4"/>
      <c r="BB9319" s="4"/>
    </row>
    <row r="9320" spans="1:54" x14ac:dyDescent="0.3">
      <c r="A9320" s="66"/>
      <c r="B9320" s="67"/>
      <c r="C9320" s="66"/>
      <c r="D9320" s="68"/>
      <c r="E9320" s="10"/>
      <c r="F9320" s="69"/>
      <c r="G9320" s="68"/>
      <c r="H9320" s="70"/>
      <c r="BA9320" s="4"/>
      <c r="BB9320" s="4"/>
    </row>
    <row r="9321" spans="1:54" x14ac:dyDescent="0.3">
      <c r="A9321" s="66"/>
      <c r="B9321" s="67"/>
      <c r="C9321" s="66"/>
      <c r="D9321" s="68"/>
      <c r="E9321" s="10"/>
      <c r="F9321" s="69"/>
      <c r="G9321" s="68"/>
      <c r="H9321" s="70"/>
      <c r="BA9321" s="4"/>
      <c r="BB9321" s="4"/>
    </row>
    <row r="9322" spans="1:54" x14ac:dyDescent="0.3">
      <c r="A9322" s="66"/>
      <c r="B9322" s="67"/>
      <c r="C9322" s="66"/>
      <c r="D9322" s="68"/>
      <c r="E9322" s="10"/>
      <c r="F9322" s="69"/>
      <c r="G9322" s="68"/>
      <c r="H9322" s="70"/>
      <c r="BA9322" s="4"/>
      <c r="BB9322" s="4"/>
    </row>
    <row r="9323" spans="1:54" x14ac:dyDescent="0.3">
      <c r="A9323" s="66"/>
      <c r="B9323" s="67"/>
      <c r="C9323" s="66"/>
      <c r="D9323" s="68"/>
      <c r="E9323" s="10"/>
      <c r="F9323" s="69"/>
      <c r="G9323" s="68"/>
      <c r="H9323" s="70"/>
      <c r="BA9323" s="4"/>
      <c r="BB9323" s="4"/>
    </row>
    <row r="9324" spans="1:54" x14ac:dyDescent="0.3">
      <c r="A9324" s="66"/>
      <c r="B9324" s="67"/>
      <c r="C9324" s="66"/>
      <c r="D9324" s="68"/>
      <c r="E9324" s="10"/>
      <c r="F9324" s="69"/>
      <c r="G9324" s="68"/>
      <c r="H9324" s="70"/>
      <c r="BA9324" s="4"/>
      <c r="BB9324" s="4"/>
    </row>
    <row r="9325" spans="1:54" x14ac:dyDescent="0.3">
      <c r="A9325" s="66"/>
      <c r="B9325" s="67"/>
      <c r="C9325" s="66"/>
      <c r="D9325" s="68"/>
      <c r="E9325" s="10"/>
      <c r="F9325" s="69"/>
      <c r="G9325" s="68"/>
      <c r="H9325" s="70"/>
      <c r="BA9325" s="4"/>
      <c r="BB9325" s="4"/>
    </row>
    <row r="9326" spans="1:54" x14ac:dyDescent="0.3">
      <c r="A9326" s="66"/>
      <c r="B9326" s="67"/>
      <c r="C9326" s="66"/>
      <c r="D9326" s="68"/>
      <c r="E9326" s="10"/>
      <c r="F9326" s="69"/>
      <c r="G9326" s="68"/>
      <c r="H9326" s="70"/>
      <c r="BA9326" s="4"/>
      <c r="BB9326" s="4"/>
    </row>
    <row r="9327" spans="1:54" x14ac:dyDescent="0.3">
      <c r="A9327" s="66"/>
      <c r="B9327" s="67"/>
      <c r="C9327" s="66"/>
      <c r="D9327" s="68"/>
      <c r="E9327" s="10"/>
      <c r="F9327" s="69"/>
      <c r="G9327" s="68"/>
      <c r="H9327" s="70"/>
      <c r="BA9327" s="4"/>
      <c r="BB9327" s="4"/>
    </row>
    <row r="9328" spans="1:54" x14ac:dyDescent="0.3">
      <c r="A9328" s="66"/>
      <c r="B9328" s="67"/>
      <c r="C9328" s="66"/>
      <c r="D9328" s="68"/>
      <c r="E9328" s="10"/>
      <c r="F9328" s="69"/>
      <c r="G9328" s="68"/>
      <c r="H9328" s="70"/>
      <c r="BA9328" s="4"/>
      <c r="BB9328" s="4"/>
    </row>
    <row r="9329" spans="1:54" x14ac:dyDescent="0.3">
      <c r="A9329" s="66"/>
      <c r="B9329" s="67"/>
      <c r="C9329" s="66"/>
      <c r="D9329" s="68"/>
      <c r="E9329" s="10"/>
      <c r="F9329" s="69"/>
      <c r="G9329" s="68"/>
      <c r="H9329" s="70"/>
      <c r="BA9329" s="4"/>
      <c r="BB9329" s="4"/>
    </row>
    <row r="9330" spans="1:54" x14ac:dyDescent="0.3">
      <c r="A9330" s="66"/>
      <c r="B9330" s="67"/>
      <c r="C9330" s="66"/>
      <c r="D9330" s="68"/>
      <c r="E9330" s="10"/>
      <c r="F9330" s="69"/>
      <c r="G9330" s="68"/>
      <c r="H9330" s="70"/>
      <c r="BA9330" s="4"/>
      <c r="BB9330" s="4"/>
    </row>
    <row r="9331" spans="1:54" x14ac:dyDescent="0.3">
      <c r="A9331" s="66"/>
      <c r="B9331" s="67"/>
      <c r="C9331" s="66"/>
      <c r="D9331" s="68"/>
      <c r="E9331" s="10"/>
      <c r="F9331" s="69"/>
      <c r="G9331" s="68"/>
      <c r="H9331" s="70"/>
      <c r="BA9331" s="4"/>
      <c r="BB9331" s="4"/>
    </row>
    <row r="9332" spans="1:54" x14ac:dyDescent="0.3">
      <c r="A9332" s="66"/>
      <c r="B9332" s="67"/>
      <c r="C9332" s="66"/>
      <c r="D9332" s="68"/>
      <c r="E9332" s="10"/>
      <c r="F9332" s="69"/>
      <c r="G9332" s="68"/>
      <c r="H9332" s="70"/>
      <c r="BA9332" s="4"/>
      <c r="BB9332" s="4"/>
    </row>
    <row r="9333" spans="1:54" x14ac:dyDescent="0.3">
      <c r="A9333" s="66"/>
      <c r="B9333" s="67"/>
      <c r="C9333" s="66"/>
      <c r="D9333" s="68"/>
      <c r="E9333" s="10"/>
      <c r="F9333" s="69"/>
      <c r="G9333" s="68"/>
      <c r="H9333" s="70"/>
      <c r="BA9333" s="4"/>
      <c r="BB9333" s="4"/>
    </row>
    <row r="9334" spans="1:54" x14ac:dyDescent="0.3">
      <c r="A9334" s="66"/>
      <c r="B9334" s="67"/>
      <c r="C9334" s="66"/>
      <c r="D9334" s="68"/>
      <c r="E9334" s="10"/>
      <c r="F9334" s="69"/>
      <c r="G9334" s="68"/>
      <c r="H9334" s="70"/>
      <c r="BA9334" s="4"/>
      <c r="BB9334" s="4"/>
    </row>
    <row r="9335" spans="1:54" x14ac:dyDescent="0.3">
      <c r="A9335" s="66"/>
      <c r="B9335" s="67"/>
      <c r="C9335" s="66"/>
      <c r="D9335" s="68"/>
      <c r="E9335" s="10"/>
      <c r="F9335" s="69"/>
      <c r="G9335" s="68"/>
      <c r="H9335" s="70"/>
      <c r="BA9335" s="4"/>
      <c r="BB9335" s="4"/>
    </row>
    <row r="9336" spans="1:54" x14ac:dyDescent="0.3">
      <c r="A9336" s="66"/>
      <c r="B9336" s="67"/>
      <c r="C9336" s="66"/>
      <c r="D9336" s="68"/>
      <c r="E9336" s="10"/>
      <c r="F9336" s="69"/>
      <c r="G9336" s="68"/>
      <c r="H9336" s="70"/>
      <c r="BA9336" s="4"/>
      <c r="BB9336" s="4"/>
    </row>
    <row r="9337" spans="1:54" x14ac:dyDescent="0.3">
      <c r="A9337" s="66"/>
      <c r="B9337" s="67"/>
      <c r="C9337" s="66"/>
      <c r="D9337" s="68"/>
      <c r="E9337" s="10"/>
      <c r="F9337" s="69"/>
      <c r="G9337" s="68"/>
      <c r="H9337" s="70"/>
      <c r="BA9337" s="4"/>
      <c r="BB9337" s="4"/>
    </row>
    <row r="9338" spans="1:54" x14ac:dyDescent="0.3">
      <c r="A9338" s="66"/>
      <c r="B9338" s="67"/>
      <c r="C9338" s="66"/>
      <c r="D9338" s="68"/>
      <c r="E9338" s="10"/>
      <c r="F9338" s="69"/>
      <c r="G9338" s="68"/>
      <c r="H9338" s="70"/>
      <c r="BA9338" s="4"/>
      <c r="BB9338" s="4"/>
    </row>
    <row r="9339" spans="1:54" x14ac:dyDescent="0.3">
      <c r="A9339" s="66"/>
      <c r="B9339" s="67"/>
      <c r="C9339" s="66"/>
      <c r="D9339" s="68"/>
      <c r="E9339" s="10"/>
      <c r="F9339" s="69"/>
      <c r="G9339" s="68"/>
      <c r="H9339" s="70"/>
      <c r="BA9339" s="4"/>
      <c r="BB9339" s="4"/>
    </row>
    <row r="9340" spans="1:54" x14ac:dyDescent="0.3">
      <c r="A9340" s="66"/>
      <c r="B9340" s="67"/>
      <c r="C9340" s="66"/>
      <c r="D9340" s="68"/>
      <c r="E9340" s="10"/>
      <c r="F9340" s="69"/>
      <c r="G9340" s="68"/>
      <c r="H9340" s="70"/>
      <c r="BA9340" s="4"/>
      <c r="BB9340" s="4"/>
    </row>
    <row r="9341" spans="1:54" x14ac:dyDescent="0.3">
      <c r="A9341" s="66"/>
      <c r="B9341" s="67"/>
      <c r="C9341" s="66"/>
      <c r="D9341" s="68"/>
      <c r="E9341" s="10"/>
      <c r="F9341" s="69"/>
      <c r="G9341" s="68"/>
      <c r="H9341" s="70"/>
      <c r="BA9341" s="4"/>
      <c r="BB9341" s="4"/>
    </row>
    <row r="9342" spans="1:54" x14ac:dyDescent="0.3">
      <c r="A9342" s="66"/>
      <c r="B9342" s="67"/>
      <c r="C9342" s="66"/>
      <c r="D9342" s="68"/>
      <c r="E9342" s="10"/>
      <c r="F9342" s="69"/>
      <c r="G9342" s="68"/>
      <c r="H9342" s="70"/>
      <c r="BA9342" s="4"/>
      <c r="BB9342" s="4"/>
    </row>
    <row r="9343" spans="1:54" x14ac:dyDescent="0.3">
      <c r="A9343" s="66"/>
      <c r="B9343" s="67"/>
      <c r="C9343" s="66"/>
      <c r="D9343" s="68"/>
      <c r="E9343" s="10"/>
      <c r="F9343" s="69"/>
      <c r="G9343" s="68"/>
      <c r="H9343" s="70"/>
      <c r="BA9343" s="4"/>
      <c r="BB9343" s="4"/>
    </row>
    <row r="9344" spans="1:54" x14ac:dyDescent="0.3">
      <c r="A9344" s="66"/>
      <c r="B9344" s="67"/>
      <c r="C9344" s="66"/>
      <c r="D9344" s="68"/>
      <c r="E9344" s="10"/>
      <c r="F9344" s="69"/>
      <c r="G9344" s="68"/>
      <c r="H9344" s="70"/>
      <c r="BA9344" s="4"/>
      <c r="BB9344" s="4"/>
    </row>
    <row r="9345" spans="1:54" x14ac:dyDescent="0.3">
      <c r="A9345" s="66"/>
      <c r="B9345" s="67"/>
      <c r="C9345" s="66"/>
      <c r="D9345" s="68"/>
      <c r="E9345" s="10"/>
      <c r="F9345" s="69"/>
      <c r="G9345" s="68"/>
      <c r="H9345" s="70"/>
      <c r="BA9345" s="4"/>
      <c r="BB9345" s="4"/>
    </row>
    <row r="9346" spans="1:54" x14ac:dyDescent="0.3">
      <c r="A9346" s="66"/>
      <c r="B9346" s="67"/>
      <c r="C9346" s="66"/>
      <c r="D9346" s="68"/>
      <c r="E9346" s="10"/>
      <c r="F9346" s="69"/>
      <c r="G9346" s="68"/>
      <c r="H9346" s="70"/>
      <c r="BA9346" s="4"/>
      <c r="BB9346" s="4"/>
    </row>
    <row r="9347" spans="1:54" x14ac:dyDescent="0.3">
      <c r="A9347" s="66"/>
      <c r="B9347" s="67"/>
      <c r="C9347" s="66"/>
      <c r="D9347" s="68"/>
      <c r="E9347" s="10"/>
      <c r="F9347" s="69"/>
      <c r="G9347" s="68"/>
      <c r="H9347" s="70"/>
      <c r="BA9347" s="4"/>
      <c r="BB9347" s="4"/>
    </row>
    <row r="9348" spans="1:54" x14ac:dyDescent="0.3">
      <c r="A9348" s="66"/>
      <c r="B9348" s="67"/>
      <c r="C9348" s="66"/>
      <c r="D9348" s="68"/>
      <c r="E9348" s="10"/>
      <c r="F9348" s="69"/>
      <c r="G9348" s="68"/>
      <c r="H9348" s="70"/>
      <c r="BA9348" s="4"/>
      <c r="BB9348" s="4"/>
    </row>
    <row r="9349" spans="1:54" x14ac:dyDescent="0.3">
      <c r="A9349" s="66"/>
      <c r="B9349" s="67"/>
      <c r="C9349" s="66"/>
      <c r="D9349" s="68"/>
      <c r="E9349" s="10"/>
      <c r="F9349" s="69"/>
      <c r="G9349" s="68"/>
      <c r="H9349" s="70"/>
      <c r="BA9349" s="4"/>
      <c r="BB9349" s="4"/>
    </row>
    <row r="9350" spans="1:54" x14ac:dyDescent="0.3">
      <c r="A9350" s="66"/>
      <c r="B9350" s="67"/>
      <c r="C9350" s="66"/>
      <c r="D9350" s="68"/>
      <c r="E9350" s="10"/>
      <c r="F9350" s="69"/>
      <c r="G9350" s="68"/>
      <c r="H9350" s="70"/>
      <c r="BA9350" s="4"/>
      <c r="BB9350" s="4"/>
    </row>
    <row r="9351" spans="1:54" x14ac:dyDescent="0.3">
      <c r="A9351" s="66"/>
      <c r="B9351" s="67"/>
      <c r="C9351" s="66"/>
      <c r="D9351" s="68"/>
      <c r="E9351" s="10"/>
      <c r="F9351" s="69"/>
      <c r="G9351" s="68"/>
      <c r="H9351" s="70"/>
      <c r="BA9351" s="4"/>
      <c r="BB9351" s="4"/>
    </row>
    <row r="9352" spans="1:54" x14ac:dyDescent="0.3">
      <c r="A9352" s="66"/>
      <c r="B9352" s="67"/>
      <c r="C9352" s="66"/>
      <c r="D9352" s="68"/>
      <c r="E9352" s="10"/>
      <c r="F9352" s="69"/>
      <c r="G9352" s="68"/>
      <c r="H9352" s="70"/>
      <c r="BA9352" s="4"/>
      <c r="BB9352" s="4"/>
    </row>
    <row r="9353" spans="1:54" x14ac:dyDescent="0.3">
      <c r="A9353" s="66"/>
      <c r="B9353" s="67"/>
      <c r="C9353" s="66"/>
      <c r="D9353" s="68"/>
      <c r="E9353" s="10"/>
      <c r="F9353" s="69"/>
      <c r="G9353" s="68"/>
      <c r="H9353" s="70"/>
      <c r="BA9353" s="4"/>
      <c r="BB9353" s="4"/>
    </row>
    <row r="9354" spans="1:54" x14ac:dyDescent="0.3">
      <c r="A9354" s="66"/>
      <c r="B9354" s="67"/>
      <c r="C9354" s="66"/>
      <c r="D9354" s="68"/>
      <c r="E9354" s="10"/>
      <c r="F9354" s="69"/>
      <c r="G9354" s="68"/>
      <c r="H9354" s="70"/>
      <c r="BA9354" s="4"/>
      <c r="BB9354" s="4"/>
    </row>
    <row r="9355" spans="1:54" x14ac:dyDescent="0.3">
      <c r="A9355" s="66"/>
      <c r="B9355" s="67"/>
      <c r="C9355" s="66"/>
      <c r="D9355" s="68"/>
      <c r="E9355" s="10"/>
      <c r="F9355" s="69"/>
      <c r="G9355" s="68"/>
      <c r="H9355" s="70"/>
      <c r="BA9355" s="4"/>
      <c r="BB9355" s="4"/>
    </row>
    <row r="9356" spans="1:54" x14ac:dyDescent="0.3">
      <c r="A9356" s="66"/>
      <c r="B9356" s="67"/>
      <c r="C9356" s="66"/>
      <c r="D9356" s="68"/>
      <c r="E9356" s="10"/>
      <c r="F9356" s="69"/>
      <c r="G9356" s="68"/>
      <c r="H9356" s="70"/>
      <c r="BA9356" s="4"/>
      <c r="BB9356" s="4"/>
    </row>
    <row r="9357" spans="1:54" x14ac:dyDescent="0.3">
      <c r="A9357" s="66"/>
      <c r="B9357" s="67"/>
      <c r="C9357" s="66"/>
      <c r="D9357" s="68"/>
      <c r="E9357" s="10"/>
      <c r="F9357" s="69"/>
      <c r="G9357" s="68"/>
      <c r="H9357" s="70"/>
      <c r="BA9357" s="4"/>
      <c r="BB9357" s="4"/>
    </row>
    <row r="9358" spans="1:54" x14ac:dyDescent="0.3">
      <c r="A9358" s="66"/>
      <c r="B9358" s="67"/>
      <c r="C9358" s="66"/>
      <c r="D9358" s="68"/>
      <c r="E9358" s="10"/>
      <c r="F9358" s="69"/>
      <c r="G9358" s="68"/>
      <c r="H9358" s="70"/>
      <c r="BA9358" s="4"/>
      <c r="BB9358" s="4"/>
    </row>
    <row r="9359" spans="1:54" x14ac:dyDescent="0.3">
      <c r="A9359" s="66"/>
      <c r="B9359" s="67"/>
      <c r="C9359" s="66"/>
      <c r="D9359" s="68"/>
      <c r="E9359" s="10"/>
      <c r="F9359" s="69"/>
      <c r="G9359" s="68"/>
      <c r="H9359" s="70"/>
      <c r="BA9359" s="4"/>
      <c r="BB9359" s="4"/>
    </row>
    <row r="9360" spans="1:54" x14ac:dyDescent="0.3">
      <c r="A9360" s="66"/>
      <c r="B9360" s="67"/>
      <c r="C9360" s="66"/>
      <c r="D9360" s="68"/>
      <c r="E9360" s="10"/>
      <c r="F9360" s="69"/>
      <c r="G9360" s="68"/>
      <c r="H9360" s="70"/>
      <c r="BA9360" s="4"/>
      <c r="BB9360" s="4"/>
    </row>
    <row r="9361" spans="1:54" x14ac:dyDescent="0.3">
      <c r="A9361" s="66"/>
      <c r="B9361" s="67"/>
      <c r="C9361" s="66"/>
      <c r="D9361" s="68"/>
      <c r="E9361" s="10"/>
      <c r="F9361" s="69"/>
      <c r="G9361" s="68"/>
      <c r="H9361" s="70"/>
      <c r="BA9361" s="4"/>
      <c r="BB9361" s="4"/>
    </row>
    <row r="9362" spans="1:54" x14ac:dyDescent="0.3">
      <c r="A9362" s="66"/>
      <c r="B9362" s="67"/>
      <c r="C9362" s="66"/>
      <c r="D9362" s="68"/>
      <c r="E9362" s="10"/>
      <c r="F9362" s="69"/>
      <c r="G9362" s="68"/>
      <c r="H9362" s="70"/>
      <c r="BA9362" s="4"/>
      <c r="BB9362" s="4"/>
    </row>
    <row r="9363" spans="1:54" x14ac:dyDescent="0.3">
      <c r="A9363" s="66"/>
      <c r="B9363" s="67"/>
      <c r="C9363" s="66"/>
      <c r="D9363" s="68"/>
      <c r="E9363" s="10"/>
      <c r="F9363" s="69"/>
      <c r="G9363" s="68"/>
      <c r="H9363" s="70"/>
      <c r="BA9363" s="4"/>
      <c r="BB9363" s="4"/>
    </row>
    <row r="9364" spans="1:54" x14ac:dyDescent="0.3">
      <c r="A9364" s="66"/>
      <c r="B9364" s="67"/>
      <c r="C9364" s="66"/>
      <c r="D9364" s="68"/>
      <c r="E9364" s="10"/>
      <c r="F9364" s="69"/>
      <c r="G9364" s="68"/>
      <c r="H9364" s="70"/>
      <c r="BA9364" s="4"/>
      <c r="BB9364" s="4"/>
    </row>
    <row r="9365" spans="1:54" x14ac:dyDescent="0.3">
      <c r="A9365" s="66"/>
      <c r="B9365" s="67"/>
      <c r="C9365" s="66"/>
      <c r="D9365" s="68"/>
      <c r="E9365" s="10"/>
      <c r="F9365" s="69"/>
      <c r="G9365" s="68"/>
      <c r="H9365" s="70"/>
      <c r="BA9365" s="4"/>
      <c r="BB9365" s="4"/>
    </row>
    <row r="9366" spans="1:54" x14ac:dyDescent="0.3">
      <c r="A9366" s="66"/>
      <c r="B9366" s="67"/>
      <c r="C9366" s="66"/>
      <c r="D9366" s="68"/>
      <c r="E9366" s="10"/>
      <c r="F9366" s="69"/>
      <c r="G9366" s="68"/>
      <c r="H9366" s="70"/>
      <c r="BA9366" s="4"/>
      <c r="BB9366" s="4"/>
    </row>
    <row r="9367" spans="1:54" x14ac:dyDescent="0.3">
      <c r="A9367" s="66"/>
      <c r="B9367" s="67"/>
      <c r="C9367" s="66"/>
      <c r="D9367" s="68"/>
      <c r="E9367" s="10"/>
      <c r="F9367" s="69"/>
      <c r="G9367" s="68"/>
      <c r="H9367" s="70"/>
      <c r="BA9367" s="4"/>
      <c r="BB9367" s="4"/>
    </row>
    <row r="9368" spans="1:54" x14ac:dyDescent="0.3">
      <c r="A9368" s="66"/>
      <c r="B9368" s="67"/>
      <c r="C9368" s="66"/>
      <c r="D9368" s="68"/>
      <c r="E9368" s="10"/>
      <c r="F9368" s="69"/>
      <c r="G9368" s="68"/>
      <c r="H9368" s="70"/>
      <c r="BA9368" s="4"/>
      <c r="BB9368" s="4"/>
    </row>
    <row r="9369" spans="1:54" x14ac:dyDescent="0.3">
      <c r="A9369" s="66"/>
      <c r="B9369" s="67"/>
      <c r="C9369" s="66"/>
      <c r="D9369" s="68"/>
      <c r="E9369" s="10"/>
      <c r="F9369" s="69"/>
      <c r="G9369" s="68"/>
      <c r="H9369" s="70"/>
      <c r="BA9369" s="4"/>
      <c r="BB9369" s="4"/>
    </row>
    <row r="9370" spans="1:54" x14ac:dyDescent="0.3">
      <c r="A9370" s="66"/>
      <c r="B9370" s="67"/>
      <c r="C9370" s="66"/>
      <c r="D9370" s="68"/>
      <c r="E9370" s="10"/>
      <c r="F9370" s="69"/>
      <c r="G9370" s="68"/>
      <c r="H9370" s="70"/>
      <c r="BA9370" s="4"/>
      <c r="BB9370" s="4"/>
    </row>
    <row r="9371" spans="1:54" x14ac:dyDescent="0.3">
      <c r="A9371" s="66"/>
      <c r="B9371" s="67"/>
      <c r="C9371" s="66"/>
      <c r="D9371" s="68"/>
      <c r="E9371" s="10"/>
      <c r="F9371" s="69"/>
      <c r="G9371" s="68"/>
      <c r="H9371" s="70"/>
      <c r="BA9371" s="4"/>
      <c r="BB9371" s="4"/>
    </row>
    <row r="9372" spans="1:54" x14ac:dyDescent="0.3">
      <c r="A9372" s="66"/>
      <c r="B9372" s="67"/>
      <c r="C9372" s="66"/>
      <c r="D9372" s="68"/>
      <c r="E9372" s="10"/>
      <c r="F9372" s="69"/>
      <c r="G9372" s="68"/>
      <c r="H9372" s="70"/>
      <c r="BA9372" s="4"/>
      <c r="BB9372" s="4"/>
    </row>
    <row r="9373" spans="1:54" x14ac:dyDescent="0.3">
      <c r="A9373" s="66"/>
      <c r="B9373" s="67"/>
      <c r="C9373" s="66"/>
      <c r="D9373" s="68"/>
      <c r="E9373" s="10"/>
      <c r="F9373" s="69"/>
      <c r="G9373" s="68"/>
      <c r="H9373" s="70"/>
      <c r="BA9373" s="4"/>
      <c r="BB9373" s="4"/>
    </row>
    <row r="9374" spans="1:54" x14ac:dyDescent="0.3">
      <c r="A9374" s="66"/>
      <c r="B9374" s="67"/>
      <c r="C9374" s="66"/>
      <c r="D9374" s="68"/>
      <c r="E9374" s="10"/>
      <c r="F9374" s="69"/>
      <c r="G9374" s="68"/>
      <c r="H9374" s="70"/>
      <c r="BA9374" s="4"/>
      <c r="BB9374" s="4"/>
    </row>
    <row r="9375" spans="1:54" x14ac:dyDescent="0.3">
      <c r="A9375" s="66"/>
      <c r="B9375" s="67"/>
      <c r="C9375" s="66"/>
      <c r="D9375" s="68"/>
      <c r="E9375" s="10"/>
      <c r="F9375" s="69"/>
      <c r="G9375" s="68"/>
      <c r="H9375" s="70"/>
      <c r="BA9375" s="4"/>
      <c r="BB9375" s="4"/>
    </row>
    <row r="9376" spans="1:54" x14ac:dyDescent="0.3">
      <c r="A9376" s="66"/>
      <c r="B9376" s="67"/>
      <c r="C9376" s="66"/>
      <c r="D9376" s="68"/>
      <c r="E9376" s="10"/>
      <c r="F9376" s="69"/>
      <c r="G9376" s="68"/>
      <c r="H9376" s="70"/>
      <c r="BA9376" s="4"/>
      <c r="BB9376" s="4"/>
    </row>
    <row r="9377" spans="1:54" x14ac:dyDescent="0.3">
      <c r="A9377" s="66"/>
      <c r="B9377" s="67"/>
      <c r="C9377" s="66"/>
      <c r="D9377" s="68"/>
      <c r="E9377" s="10"/>
      <c r="F9377" s="69"/>
      <c r="G9377" s="68"/>
      <c r="H9377" s="70"/>
      <c r="BA9377" s="4"/>
      <c r="BB9377" s="4"/>
    </row>
    <row r="9378" spans="1:54" x14ac:dyDescent="0.3">
      <c r="A9378" s="66"/>
      <c r="B9378" s="67"/>
      <c r="C9378" s="66"/>
      <c r="D9378" s="68"/>
      <c r="E9378" s="10"/>
      <c r="F9378" s="69"/>
      <c r="G9378" s="68"/>
      <c r="H9378" s="70"/>
      <c r="BA9378" s="4"/>
      <c r="BB9378" s="4"/>
    </row>
    <row r="9379" spans="1:54" x14ac:dyDescent="0.3">
      <c r="A9379" s="66"/>
      <c r="B9379" s="67"/>
      <c r="C9379" s="66"/>
      <c r="D9379" s="68"/>
      <c r="E9379" s="10"/>
      <c r="F9379" s="69"/>
      <c r="G9379" s="68"/>
      <c r="H9379" s="70"/>
      <c r="BA9379" s="4"/>
      <c r="BB9379" s="4"/>
    </row>
    <row r="9380" spans="1:54" x14ac:dyDescent="0.3">
      <c r="A9380" s="66"/>
      <c r="B9380" s="67"/>
      <c r="C9380" s="66"/>
      <c r="D9380" s="68"/>
      <c r="E9380" s="10"/>
      <c r="F9380" s="69"/>
      <c r="G9380" s="68"/>
      <c r="H9380" s="70"/>
      <c r="BA9380" s="4"/>
      <c r="BB9380" s="4"/>
    </row>
    <row r="9381" spans="1:54" x14ac:dyDescent="0.3">
      <c r="A9381" s="66"/>
      <c r="B9381" s="67"/>
      <c r="C9381" s="66"/>
      <c r="D9381" s="68"/>
      <c r="E9381" s="10"/>
      <c r="F9381" s="69"/>
      <c r="G9381" s="68"/>
      <c r="H9381" s="70"/>
      <c r="BA9381" s="4"/>
      <c r="BB9381" s="4"/>
    </row>
    <row r="9382" spans="1:54" x14ac:dyDescent="0.3">
      <c r="A9382" s="66"/>
      <c r="B9382" s="67"/>
      <c r="C9382" s="66"/>
      <c r="D9382" s="68"/>
      <c r="E9382" s="10"/>
      <c r="F9382" s="69"/>
      <c r="G9382" s="68"/>
      <c r="H9382" s="70"/>
      <c r="BA9382" s="4"/>
      <c r="BB9382" s="4"/>
    </row>
    <row r="9383" spans="1:54" x14ac:dyDescent="0.3">
      <c r="A9383" s="66"/>
      <c r="B9383" s="67"/>
      <c r="C9383" s="66"/>
      <c r="D9383" s="68"/>
      <c r="E9383" s="10"/>
      <c r="F9383" s="69"/>
      <c r="G9383" s="68"/>
      <c r="H9383" s="70"/>
      <c r="BA9383" s="4"/>
      <c r="BB9383" s="4"/>
    </row>
    <row r="9384" spans="1:54" x14ac:dyDescent="0.3">
      <c r="A9384" s="66"/>
      <c r="B9384" s="67"/>
      <c r="C9384" s="66"/>
      <c r="D9384" s="68"/>
      <c r="E9384" s="10"/>
      <c r="F9384" s="69"/>
      <c r="G9384" s="68"/>
      <c r="H9384" s="70"/>
      <c r="BA9384" s="4"/>
      <c r="BB9384" s="4"/>
    </row>
    <row r="9385" spans="1:54" x14ac:dyDescent="0.3">
      <c r="A9385" s="66"/>
      <c r="B9385" s="67"/>
      <c r="C9385" s="66"/>
      <c r="D9385" s="68"/>
      <c r="E9385" s="10"/>
      <c r="F9385" s="69"/>
      <c r="G9385" s="68"/>
      <c r="H9385" s="70"/>
      <c r="BA9385" s="4"/>
      <c r="BB9385" s="4"/>
    </row>
    <row r="9386" spans="1:54" x14ac:dyDescent="0.3">
      <c r="A9386" s="66"/>
      <c r="B9386" s="67"/>
      <c r="C9386" s="66"/>
      <c r="D9386" s="68"/>
      <c r="E9386" s="10"/>
      <c r="F9386" s="69"/>
      <c r="G9386" s="68"/>
      <c r="H9386" s="70"/>
      <c r="BA9386" s="4"/>
      <c r="BB9386" s="4"/>
    </row>
    <row r="9387" spans="1:54" x14ac:dyDescent="0.3">
      <c r="A9387" s="66"/>
      <c r="B9387" s="67"/>
      <c r="C9387" s="66"/>
      <c r="D9387" s="68"/>
      <c r="E9387" s="10"/>
      <c r="F9387" s="69"/>
      <c r="G9387" s="68"/>
      <c r="H9387" s="70"/>
      <c r="BA9387" s="4"/>
      <c r="BB9387" s="4"/>
    </row>
    <row r="9388" spans="1:54" x14ac:dyDescent="0.3">
      <c r="A9388" s="66"/>
      <c r="B9388" s="67"/>
      <c r="C9388" s="66"/>
      <c r="D9388" s="68"/>
      <c r="E9388" s="10"/>
      <c r="F9388" s="69"/>
      <c r="G9388" s="68"/>
      <c r="H9388" s="70"/>
      <c r="BA9388" s="4"/>
      <c r="BB9388" s="4"/>
    </row>
    <row r="9389" spans="1:54" x14ac:dyDescent="0.3">
      <c r="A9389" s="66"/>
      <c r="B9389" s="67"/>
      <c r="C9389" s="66"/>
      <c r="D9389" s="68"/>
      <c r="E9389" s="10"/>
      <c r="F9389" s="69"/>
      <c r="G9389" s="68"/>
      <c r="H9389" s="70"/>
      <c r="BA9389" s="4"/>
      <c r="BB9389" s="4"/>
    </row>
    <row r="9390" spans="1:54" x14ac:dyDescent="0.3">
      <c r="A9390" s="66"/>
      <c r="B9390" s="67"/>
      <c r="C9390" s="66"/>
      <c r="D9390" s="68"/>
      <c r="E9390" s="10"/>
      <c r="F9390" s="69"/>
      <c r="G9390" s="68"/>
      <c r="H9390" s="70"/>
      <c r="BA9390" s="4"/>
      <c r="BB9390" s="4"/>
    </row>
    <row r="9391" spans="1:54" x14ac:dyDescent="0.3">
      <c r="A9391" s="66"/>
      <c r="B9391" s="67"/>
      <c r="C9391" s="66"/>
      <c r="D9391" s="68"/>
      <c r="E9391" s="10"/>
      <c r="F9391" s="69"/>
      <c r="G9391" s="68"/>
      <c r="H9391" s="70"/>
      <c r="BA9391" s="4"/>
      <c r="BB9391" s="4"/>
    </row>
    <row r="9392" spans="1:54" x14ac:dyDescent="0.3">
      <c r="A9392" s="66"/>
      <c r="B9392" s="67"/>
      <c r="C9392" s="66"/>
      <c r="D9392" s="68"/>
      <c r="E9392" s="10"/>
      <c r="F9392" s="69"/>
      <c r="G9392" s="68"/>
      <c r="H9392" s="70"/>
      <c r="BA9392" s="4"/>
      <c r="BB9392" s="4"/>
    </row>
    <row r="9393" spans="1:54" x14ac:dyDescent="0.3">
      <c r="A9393" s="66"/>
      <c r="B9393" s="67"/>
      <c r="C9393" s="66"/>
      <c r="D9393" s="68"/>
      <c r="E9393" s="10"/>
      <c r="F9393" s="69"/>
      <c r="G9393" s="68"/>
      <c r="H9393" s="70"/>
      <c r="BA9393" s="4"/>
      <c r="BB9393" s="4"/>
    </row>
    <row r="9394" spans="1:54" x14ac:dyDescent="0.3">
      <c r="A9394" s="66"/>
      <c r="B9394" s="67"/>
      <c r="C9394" s="66"/>
      <c r="D9394" s="68"/>
      <c r="E9394" s="10"/>
      <c r="F9394" s="69"/>
      <c r="G9394" s="68"/>
      <c r="H9394" s="70"/>
      <c r="BA9394" s="4"/>
      <c r="BB9394" s="4"/>
    </row>
    <row r="9395" spans="1:54" x14ac:dyDescent="0.3">
      <c r="A9395" s="66"/>
      <c r="B9395" s="67"/>
      <c r="C9395" s="66"/>
      <c r="D9395" s="68"/>
      <c r="E9395" s="10"/>
      <c r="F9395" s="69"/>
      <c r="G9395" s="68"/>
      <c r="H9395" s="70"/>
      <c r="BA9395" s="4"/>
      <c r="BB9395" s="4"/>
    </row>
    <row r="9396" spans="1:54" x14ac:dyDescent="0.3">
      <c r="A9396" s="66"/>
      <c r="B9396" s="67"/>
      <c r="C9396" s="66"/>
      <c r="D9396" s="68"/>
      <c r="E9396" s="10"/>
      <c r="F9396" s="69"/>
      <c r="G9396" s="68"/>
      <c r="H9396" s="70"/>
      <c r="BA9396" s="4"/>
      <c r="BB9396" s="4"/>
    </row>
    <row r="9397" spans="1:54" x14ac:dyDescent="0.3">
      <c r="A9397" s="66"/>
      <c r="B9397" s="67"/>
      <c r="C9397" s="66"/>
      <c r="D9397" s="68"/>
      <c r="E9397" s="10"/>
      <c r="F9397" s="69"/>
      <c r="G9397" s="68"/>
      <c r="H9397" s="70"/>
      <c r="BA9397" s="4"/>
      <c r="BB9397" s="4"/>
    </row>
    <row r="9398" spans="1:54" x14ac:dyDescent="0.3">
      <c r="A9398" s="66"/>
      <c r="B9398" s="67"/>
      <c r="C9398" s="66"/>
      <c r="D9398" s="68"/>
      <c r="E9398" s="10"/>
      <c r="F9398" s="69"/>
      <c r="G9398" s="68"/>
      <c r="H9398" s="70"/>
      <c r="BA9398" s="4"/>
      <c r="BB9398" s="4"/>
    </row>
    <row r="9399" spans="1:54" x14ac:dyDescent="0.3">
      <c r="A9399" s="66"/>
      <c r="B9399" s="67"/>
      <c r="C9399" s="66"/>
      <c r="D9399" s="68"/>
      <c r="E9399" s="10"/>
      <c r="F9399" s="69"/>
      <c r="G9399" s="68"/>
      <c r="H9399" s="70"/>
      <c r="BA9399" s="4"/>
      <c r="BB9399" s="4"/>
    </row>
    <row r="9400" spans="1:54" x14ac:dyDescent="0.3">
      <c r="A9400" s="66"/>
      <c r="B9400" s="67"/>
      <c r="C9400" s="66"/>
      <c r="D9400" s="68"/>
      <c r="E9400" s="10"/>
      <c r="F9400" s="69"/>
      <c r="G9400" s="68"/>
      <c r="H9400" s="70"/>
      <c r="BA9400" s="4"/>
      <c r="BB9400" s="4"/>
    </row>
    <row r="9401" spans="1:54" x14ac:dyDescent="0.3">
      <c r="A9401" s="66"/>
      <c r="B9401" s="67"/>
      <c r="C9401" s="66"/>
      <c r="D9401" s="68"/>
      <c r="E9401" s="10"/>
      <c r="F9401" s="69"/>
      <c r="G9401" s="68"/>
      <c r="H9401" s="70"/>
      <c r="BA9401" s="4"/>
      <c r="BB9401" s="4"/>
    </row>
    <row r="9402" spans="1:54" x14ac:dyDescent="0.3">
      <c r="A9402" s="66"/>
      <c r="B9402" s="67"/>
      <c r="C9402" s="66"/>
      <c r="D9402" s="68"/>
      <c r="E9402" s="10"/>
      <c r="F9402" s="69"/>
      <c r="G9402" s="68"/>
      <c r="H9402" s="70"/>
      <c r="BA9402" s="4"/>
      <c r="BB9402" s="4"/>
    </row>
    <row r="9403" spans="1:54" x14ac:dyDescent="0.3">
      <c r="A9403" s="66"/>
      <c r="B9403" s="67"/>
      <c r="C9403" s="66"/>
      <c r="D9403" s="68"/>
      <c r="E9403" s="10"/>
      <c r="F9403" s="69"/>
      <c r="G9403" s="68"/>
      <c r="H9403" s="70"/>
      <c r="BA9403" s="4"/>
      <c r="BB9403" s="4"/>
    </row>
    <row r="9404" spans="1:54" x14ac:dyDescent="0.3">
      <c r="A9404" s="66"/>
      <c r="B9404" s="67"/>
      <c r="C9404" s="66"/>
      <c r="D9404" s="68"/>
      <c r="E9404" s="10"/>
      <c r="F9404" s="69"/>
      <c r="G9404" s="68"/>
      <c r="H9404" s="70"/>
      <c r="BA9404" s="4"/>
      <c r="BB9404" s="4"/>
    </row>
    <row r="9405" spans="1:54" x14ac:dyDescent="0.3">
      <c r="A9405" s="66"/>
      <c r="B9405" s="67"/>
      <c r="C9405" s="66"/>
      <c r="D9405" s="68"/>
      <c r="E9405" s="10"/>
      <c r="F9405" s="69"/>
      <c r="G9405" s="68"/>
      <c r="H9405" s="70"/>
      <c r="BA9405" s="4"/>
      <c r="BB9405" s="4"/>
    </row>
    <row r="9406" spans="1:54" x14ac:dyDescent="0.3">
      <c r="A9406" s="66"/>
      <c r="B9406" s="67"/>
      <c r="C9406" s="66"/>
      <c r="D9406" s="68"/>
      <c r="E9406" s="10"/>
      <c r="F9406" s="69"/>
      <c r="G9406" s="68"/>
      <c r="H9406" s="70"/>
      <c r="BA9406" s="4"/>
      <c r="BB9406" s="4"/>
    </row>
    <row r="9407" spans="1:54" x14ac:dyDescent="0.3">
      <c r="A9407" s="66"/>
      <c r="B9407" s="67"/>
      <c r="C9407" s="66"/>
      <c r="D9407" s="68"/>
      <c r="E9407" s="10"/>
      <c r="F9407" s="69"/>
      <c r="G9407" s="68"/>
      <c r="H9407" s="70"/>
      <c r="BA9407" s="4"/>
      <c r="BB9407" s="4"/>
    </row>
    <row r="9408" spans="1:54" x14ac:dyDescent="0.3">
      <c r="A9408" s="66"/>
      <c r="B9408" s="67"/>
      <c r="C9408" s="66"/>
      <c r="D9408" s="68"/>
      <c r="E9408" s="10"/>
      <c r="F9408" s="69"/>
      <c r="G9408" s="68"/>
      <c r="H9408" s="70"/>
      <c r="BA9408" s="4"/>
      <c r="BB9408" s="4"/>
    </row>
    <row r="9409" spans="1:54" x14ac:dyDescent="0.3">
      <c r="A9409" s="66"/>
      <c r="B9409" s="67"/>
      <c r="C9409" s="66"/>
      <c r="D9409" s="68"/>
      <c r="E9409" s="10"/>
      <c r="F9409" s="69"/>
      <c r="G9409" s="68"/>
      <c r="H9409" s="70"/>
      <c r="BA9409" s="4"/>
      <c r="BB9409" s="4"/>
    </row>
    <row r="9410" spans="1:54" x14ac:dyDescent="0.3">
      <c r="A9410" s="66"/>
      <c r="B9410" s="67"/>
      <c r="C9410" s="66"/>
      <c r="D9410" s="68"/>
      <c r="E9410" s="10"/>
      <c r="F9410" s="69"/>
      <c r="G9410" s="68"/>
      <c r="H9410" s="70"/>
      <c r="BA9410" s="4"/>
      <c r="BB9410" s="4"/>
    </row>
    <row r="9411" spans="1:54" x14ac:dyDescent="0.3">
      <c r="A9411" s="66"/>
      <c r="B9411" s="67"/>
      <c r="C9411" s="66"/>
      <c r="D9411" s="68"/>
      <c r="E9411" s="10"/>
      <c r="F9411" s="69"/>
      <c r="G9411" s="68"/>
      <c r="H9411" s="70"/>
      <c r="BA9411" s="4"/>
      <c r="BB9411" s="4"/>
    </row>
    <row r="9412" spans="1:54" x14ac:dyDescent="0.3">
      <c r="A9412" s="66"/>
      <c r="B9412" s="67"/>
      <c r="C9412" s="66"/>
      <c r="D9412" s="68"/>
      <c r="E9412" s="10"/>
      <c r="F9412" s="69"/>
      <c r="G9412" s="68"/>
      <c r="H9412" s="70"/>
      <c r="BA9412" s="4"/>
      <c r="BB9412" s="4"/>
    </row>
    <row r="9413" spans="1:54" x14ac:dyDescent="0.3">
      <c r="A9413" s="66"/>
      <c r="B9413" s="67"/>
      <c r="C9413" s="66"/>
      <c r="D9413" s="68"/>
      <c r="E9413" s="10"/>
      <c r="F9413" s="69"/>
      <c r="G9413" s="68"/>
      <c r="H9413" s="70"/>
      <c r="BA9413" s="4"/>
      <c r="BB9413" s="4"/>
    </row>
    <row r="9414" spans="1:54" x14ac:dyDescent="0.3">
      <c r="A9414" s="66"/>
      <c r="B9414" s="67"/>
      <c r="C9414" s="66"/>
      <c r="D9414" s="68"/>
      <c r="E9414" s="10"/>
      <c r="F9414" s="69"/>
      <c r="G9414" s="68"/>
      <c r="H9414" s="70"/>
      <c r="BA9414" s="4"/>
      <c r="BB9414" s="4"/>
    </row>
    <row r="9415" spans="1:54" x14ac:dyDescent="0.3">
      <c r="A9415" s="66"/>
      <c r="B9415" s="67"/>
      <c r="C9415" s="66"/>
      <c r="D9415" s="68"/>
      <c r="E9415" s="10"/>
      <c r="F9415" s="69"/>
      <c r="G9415" s="68"/>
      <c r="H9415" s="70"/>
      <c r="BA9415" s="4"/>
      <c r="BB9415" s="4"/>
    </row>
    <row r="9416" spans="1:54" x14ac:dyDescent="0.3">
      <c r="A9416" s="66"/>
      <c r="B9416" s="67"/>
      <c r="C9416" s="66"/>
      <c r="D9416" s="68"/>
      <c r="E9416" s="10"/>
      <c r="F9416" s="69"/>
      <c r="G9416" s="68"/>
      <c r="H9416" s="70"/>
      <c r="BA9416" s="4"/>
      <c r="BB9416" s="4"/>
    </row>
    <row r="9417" spans="1:54" x14ac:dyDescent="0.3">
      <c r="A9417" s="66"/>
      <c r="B9417" s="67"/>
      <c r="C9417" s="66"/>
      <c r="D9417" s="68"/>
      <c r="E9417" s="10"/>
      <c r="F9417" s="69"/>
      <c r="G9417" s="68"/>
      <c r="H9417" s="70"/>
      <c r="BA9417" s="4"/>
      <c r="BB9417" s="4"/>
    </row>
    <row r="9418" spans="1:54" x14ac:dyDescent="0.3">
      <c r="A9418" s="66"/>
      <c r="B9418" s="67"/>
      <c r="C9418" s="66"/>
      <c r="D9418" s="68"/>
      <c r="E9418" s="10"/>
      <c r="F9418" s="69"/>
      <c r="G9418" s="68"/>
      <c r="H9418" s="70"/>
      <c r="BA9418" s="4"/>
      <c r="BB9418" s="4"/>
    </row>
    <row r="9419" spans="1:54" x14ac:dyDescent="0.3">
      <c r="A9419" s="66"/>
      <c r="B9419" s="67"/>
      <c r="C9419" s="66"/>
      <c r="D9419" s="68"/>
      <c r="E9419" s="10"/>
      <c r="F9419" s="69"/>
      <c r="G9419" s="68"/>
      <c r="H9419" s="70"/>
      <c r="BA9419" s="4"/>
      <c r="BB9419" s="4"/>
    </row>
    <row r="9420" spans="1:54" x14ac:dyDescent="0.3">
      <c r="A9420" s="66"/>
      <c r="B9420" s="67"/>
      <c r="C9420" s="66"/>
      <c r="D9420" s="68"/>
      <c r="E9420" s="10"/>
      <c r="F9420" s="69"/>
      <c r="G9420" s="68"/>
      <c r="H9420" s="70"/>
      <c r="BA9420" s="4"/>
      <c r="BB9420" s="4"/>
    </row>
    <row r="9421" spans="1:54" x14ac:dyDescent="0.3">
      <c r="A9421" s="66"/>
      <c r="B9421" s="67"/>
      <c r="C9421" s="66"/>
      <c r="D9421" s="68"/>
      <c r="E9421" s="10"/>
      <c r="F9421" s="69"/>
      <c r="G9421" s="68"/>
      <c r="H9421" s="70"/>
      <c r="BA9421" s="4"/>
      <c r="BB9421" s="4"/>
    </row>
    <row r="9422" spans="1:54" x14ac:dyDescent="0.3">
      <c r="A9422" s="66"/>
      <c r="B9422" s="67"/>
      <c r="C9422" s="66"/>
      <c r="D9422" s="68"/>
      <c r="E9422" s="10"/>
      <c r="F9422" s="69"/>
      <c r="G9422" s="68"/>
      <c r="H9422" s="70"/>
      <c r="BA9422" s="4"/>
      <c r="BB9422" s="4"/>
    </row>
    <row r="9423" spans="1:54" x14ac:dyDescent="0.3">
      <c r="A9423" s="66"/>
      <c r="B9423" s="67"/>
      <c r="C9423" s="66"/>
      <c r="D9423" s="68"/>
      <c r="E9423" s="10"/>
      <c r="F9423" s="69"/>
      <c r="G9423" s="68"/>
      <c r="H9423" s="70"/>
      <c r="BA9423" s="4"/>
      <c r="BB9423" s="4"/>
    </row>
    <row r="9424" spans="1:54" x14ac:dyDescent="0.3">
      <c r="A9424" s="66"/>
      <c r="B9424" s="67"/>
      <c r="C9424" s="66"/>
      <c r="D9424" s="68"/>
      <c r="E9424" s="10"/>
      <c r="F9424" s="69"/>
      <c r="G9424" s="68"/>
      <c r="H9424" s="70"/>
      <c r="BA9424" s="4"/>
      <c r="BB9424" s="4"/>
    </row>
    <row r="9425" spans="1:54" x14ac:dyDescent="0.3">
      <c r="A9425" s="66"/>
      <c r="B9425" s="67"/>
      <c r="C9425" s="66"/>
      <c r="D9425" s="68"/>
      <c r="E9425" s="10"/>
      <c r="F9425" s="69"/>
      <c r="G9425" s="68"/>
      <c r="H9425" s="70"/>
      <c r="BA9425" s="4"/>
      <c r="BB9425" s="4"/>
    </row>
    <row r="9426" spans="1:54" x14ac:dyDescent="0.3">
      <c r="A9426" s="66"/>
      <c r="B9426" s="67"/>
      <c r="C9426" s="66"/>
      <c r="D9426" s="68"/>
      <c r="E9426" s="10"/>
      <c r="F9426" s="69"/>
      <c r="G9426" s="68"/>
      <c r="H9426" s="70"/>
      <c r="BA9426" s="4"/>
      <c r="BB9426" s="4"/>
    </row>
    <row r="9427" spans="1:54" x14ac:dyDescent="0.3">
      <c r="A9427" s="66"/>
      <c r="B9427" s="67"/>
      <c r="C9427" s="66"/>
      <c r="D9427" s="68"/>
      <c r="E9427" s="10"/>
      <c r="F9427" s="69"/>
      <c r="G9427" s="68"/>
      <c r="H9427" s="70"/>
      <c r="BA9427" s="4"/>
      <c r="BB9427" s="4"/>
    </row>
    <row r="9428" spans="1:54" x14ac:dyDescent="0.3">
      <c r="A9428" s="66"/>
      <c r="B9428" s="67"/>
      <c r="C9428" s="66"/>
      <c r="D9428" s="68"/>
      <c r="E9428" s="10"/>
      <c r="F9428" s="69"/>
      <c r="G9428" s="68"/>
      <c r="H9428" s="70"/>
      <c r="BA9428" s="4"/>
      <c r="BB9428" s="4"/>
    </row>
    <row r="9429" spans="1:54" x14ac:dyDescent="0.3">
      <c r="A9429" s="66"/>
      <c r="B9429" s="67"/>
      <c r="C9429" s="66"/>
      <c r="D9429" s="68"/>
      <c r="E9429" s="10"/>
      <c r="F9429" s="69"/>
      <c r="G9429" s="68"/>
      <c r="H9429" s="70"/>
      <c r="BA9429" s="4"/>
      <c r="BB9429" s="4"/>
    </row>
    <row r="9430" spans="1:54" x14ac:dyDescent="0.3">
      <c r="A9430" s="66"/>
      <c r="B9430" s="67"/>
      <c r="C9430" s="66"/>
      <c r="D9430" s="68"/>
      <c r="E9430" s="10"/>
      <c r="F9430" s="69"/>
      <c r="G9430" s="68"/>
      <c r="H9430" s="70"/>
      <c r="BA9430" s="4"/>
      <c r="BB9430" s="4"/>
    </row>
    <row r="9431" spans="1:54" x14ac:dyDescent="0.3">
      <c r="A9431" s="66"/>
      <c r="B9431" s="67"/>
      <c r="C9431" s="66"/>
      <c r="D9431" s="68"/>
      <c r="E9431" s="10"/>
      <c r="F9431" s="69"/>
      <c r="G9431" s="68"/>
      <c r="H9431" s="70"/>
      <c r="BA9431" s="4"/>
      <c r="BB9431" s="4"/>
    </row>
    <row r="9432" spans="1:54" x14ac:dyDescent="0.3">
      <c r="A9432" s="66"/>
      <c r="B9432" s="67"/>
      <c r="C9432" s="66"/>
      <c r="D9432" s="68"/>
      <c r="E9432" s="10"/>
      <c r="F9432" s="69"/>
      <c r="G9432" s="68"/>
      <c r="H9432" s="70"/>
      <c r="BA9432" s="4"/>
      <c r="BB9432" s="4"/>
    </row>
    <row r="9433" spans="1:54" x14ac:dyDescent="0.3">
      <c r="A9433" s="66"/>
      <c r="B9433" s="67"/>
      <c r="C9433" s="66"/>
      <c r="D9433" s="68"/>
      <c r="E9433" s="10"/>
      <c r="F9433" s="69"/>
      <c r="G9433" s="68"/>
      <c r="H9433" s="70"/>
      <c r="BA9433" s="4"/>
      <c r="BB9433" s="4"/>
    </row>
    <row r="9434" spans="1:54" x14ac:dyDescent="0.3">
      <c r="A9434" s="66"/>
      <c r="B9434" s="67"/>
      <c r="C9434" s="66"/>
      <c r="D9434" s="68"/>
      <c r="E9434" s="10"/>
      <c r="F9434" s="69"/>
      <c r="G9434" s="68"/>
      <c r="H9434" s="70"/>
      <c r="BA9434" s="4"/>
      <c r="BB9434" s="4"/>
    </row>
    <row r="9435" spans="1:54" x14ac:dyDescent="0.3">
      <c r="A9435" s="66"/>
      <c r="B9435" s="67"/>
      <c r="C9435" s="66"/>
      <c r="D9435" s="68"/>
      <c r="E9435" s="10"/>
      <c r="F9435" s="69"/>
      <c r="G9435" s="68"/>
      <c r="H9435" s="70"/>
      <c r="BA9435" s="4"/>
      <c r="BB9435" s="4"/>
    </row>
    <row r="9436" spans="1:54" x14ac:dyDescent="0.3">
      <c r="A9436" s="66"/>
      <c r="B9436" s="67"/>
      <c r="C9436" s="66"/>
      <c r="D9436" s="68"/>
      <c r="E9436" s="10"/>
      <c r="F9436" s="69"/>
      <c r="G9436" s="68"/>
      <c r="H9436" s="70"/>
      <c r="BA9436" s="4"/>
      <c r="BB9436" s="4"/>
    </row>
    <row r="9437" spans="1:54" x14ac:dyDescent="0.3">
      <c r="A9437" s="66"/>
      <c r="B9437" s="67"/>
      <c r="C9437" s="66"/>
      <c r="D9437" s="68"/>
      <c r="E9437" s="10"/>
      <c r="F9437" s="69"/>
      <c r="G9437" s="68"/>
      <c r="H9437" s="70"/>
      <c r="BA9437" s="4"/>
      <c r="BB9437" s="4"/>
    </row>
    <row r="9438" spans="1:54" x14ac:dyDescent="0.3">
      <c r="A9438" s="66"/>
      <c r="B9438" s="67"/>
      <c r="C9438" s="66"/>
      <c r="D9438" s="68"/>
      <c r="E9438" s="10"/>
      <c r="F9438" s="69"/>
      <c r="G9438" s="68"/>
      <c r="H9438" s="70"/>
      <c r="BA9438" s="4"/>
      <c r="BB9438" s="4"/>
    </row>
    <row r="9439" spans="1:54" x14ac:dyDescent="0.3">
      <c r="A9439" s="66"/>
      <c r="B9439" s="67"/>
      <c r="C9439" s="66"/>
      <c r="D9439" s="68"/>
      <c r="E9439" s="10"/>
      <c r="F9439" s="69"/>
      <c r="G9439" s="68"/>
      <c r="H9439" s="70"/>
      <c r="BA9439" s="4"/>
      <c r="BB9439" s="4"/>
    </row>
    <row r="9440" spans="1:54" x14ac:dyDescent="0.3">
      <c r="A9440" s="66"/>
      <c r="B9440" s="67"/>
      <c r="C9440" s="66"/>
      <c r="D9440" s="68"/>
      <c r="E9440" s="10"/>
      <c r="F9440" s="69"/>
      <c r="G9440" s="68"/>
      <c r="H9440" s="70"/>
      <c r="BA9440" s="4"/>
      <c r="BB9440" s="4"/>
    </row>
    <row r="9441" spans="1:54" x14ac:dyDescent="0.3">
      <c r="A9441" s="66"/>
      <c r="B9441" s="67"/>
      <c r="C9441" s="66"/>
      <c r="D9441" s="68"/>
      <c r="E9441" s="10"/>
      <c r="F9441" s="69"/>
      <c r="G9441" s="68"/>
      <c r="H9441" s="70"/>
      <c r="BA9441" s="4"/>
      <c r="BB9441" s="4"/>
    </row>
    <row r="9442" spans="1:54" x14ac:dyDescent="0.3">
      <c r="A9442" s="66"/>
      <c r="B9442" s="67"/>
      <c r="C9442" s="66"/>
      <c r="D9442" s="68"/>
      <c r="E9442" s="10"/>
      <c r="F9442" s="69"/>
      <c r="G9442" s="68"/>
      <c r="H9442" s="70"/>
      <c r="BA9442" s="4"/>
      <c r="BB9442" s="4"/>
    </row>
    <row r="9443" spans="1:54" x14ac:dyDescent="0.3">
      <c r="A9443" s="66"/>
      <c r="B9443" s="67"/>
      <c r="C9443" s="66"/>
      <c r="D9443" s="68"/>
      <c r="E9443" s="10"/>
      <c r="F9443" s="69"/>
      <c r="G9443" s="68"/>
      <c r="H9443" s="70"/>
      <c r="BA9443" s="4"/>
      <c r="BB9443" s="4"/>
    </row>
    <row r="9444" spans="1:54" x14ac:dyDescent="0.3">
      <c r="A9444" s="66"/>
      <c r="B9444" s="67"/>
      <c r="C9444" s="66"/>
      <c r="D9444" s="68"/>
      <c r="E9444" s="10"/>
      <c r="F9444" s="69"/>
      <c r="G9444" s="68"/>
      <c r="H9444" s="70"/>
      <c r="BA9444" s="4"/>
      <c r="BB9444" s="4"/>
    </row>
    <row r="9445" spans="1:54" x14ac:dyDescent="0.3">
      <c r="A9445" s="66"/>
      <c r="B9445" s="67"/>
      <c r="C9445" s="66"/>
      <c r="D9445" s="68"/>
      <c r="E9445" s="10"/>
      <c r="F9445" s="69"/>
      <c r="G9445" s="68"/>
      <c r="H9445" s="70"/>
      <c r="BA9445" s="4"/>
      <c r="BB9445" s="4"/>
    </row>
    <row r="9446" spans="1:54" x14ac:dyDescent="0.3">
      <c r="A9446" s="66"/>
      <c r="B9446" s="67"/>
      <c r="C9446" s="66"/>
      <c r="D9446" s="68"/>
      <c r="E9446" s="10"/>
      <c r="F9446" s="69"/>
      <c r="G9446" s="68"/>
      <c r="H9446" s="70"/>
      <c r="BA9446" s="4"/>
      <c r="BB9446" s="4"/>
    </row>
    <row r="9447" spans="1:54" x14ac:dyDescent="0.3">
      <c r="A9447" s="66"/>
      <c r="B9447" s="67"/>
      <c r="C9447" s="66"/>
      <c r="D9447" s="68"/>
      <c r="E9447" s="10"/>
      <c r="F9447" s="69"/>
      <c r="G9447" s="68"/>
      <c r="H9447" s="70"/>
      <c r="BA9447" s="4"/>
      <c r="BB9447" s="4"/>
    </row>
    <row r="9448" spans="1:54" x14ac:dyDescent="0.3">
      <c r="A9448" s="66"/>
      <c r="B9448" s="67"/>
      <c r="C9448" s="66"/>
      <c r="D9448" s="68"/>
      <c r="E9448" s="10"/>
      <c r="F9448" s="69"/>
      <c r="G9448" s="68"/>
      <c r="H9448" s="70"/>
      <c r="BA9448" s="4"/>
      <c r="BB9448" s="4"/>
    </row>
    <row r="9449" spans="1:54" x14ac:dyDescent="0.3">
      <c r="A9449" s="66"/>
      <c r="B9449" s="67"/>
      <c r="C9449" s="66"/>
      <c r="D9449" s="68"/>
      <c r="E9449" s="10"/>
      <c r="F9449" s="69"/>
      <c r="G9449" s="68"/>
      <c r="H9449" s="70"/>
      <c r="BA9449" s="4"/>
      <c r="BB9449" s="4"/>
    </row>
    <row r="9450" spans="1:54" x14ac:dyDescent="0.3">
      <c r="A9450" s="66"/>
      <c r="B9450" s="67"/>
      <c r="C9450" s="66"/>
      <c r="D9450" s="68"/>
      <c r="E9450" s="10"/>
      <c r="F9450" s="69"/>
      <c r="G9450" s="68"/>
      <c r="H9450" s="70"/>
      <c r="BA9450" s="4"/>
      <c r="BB9450" s="4"/>
    </row>
    <row r="9451" spans="1:54" x14ac:dyDescent="0.3">
      <c r="A9451" s="66"/>
      <c r="B9451" s="67"/>
      <c r="C9451" s="66"/>
      <c r="D9451" s="68"/>
      <c r="E9451" s="10"/>
      <c r="F9451" s="69"/>
      <c r="G9451" s="68"/>
      <c r="H9451" s="70"/>
      <c r="BA9451" s="4"/>
      <c r="BB9451" s="4"/>
    </row>
    <row r="9452" spans="1:54" x14ac:dyDescent="0.3">
      <c r="A9452" s="66"/>
      <c r="B9452" s="67"/>
      <c r="C9452" s="66"/>
      <c r="D9452" s="68"/>
      <c r="E9452" s="10"/>
      <c r="F9452" s="69"/>
      <c r="G9452" s="68"/>
      <c r="H9452" s="70"/>
      <c r="BA9452" s="4"/>
      <c r="BB9452" s="4"/>
    </row>
    <row r="9453" spans="1:54" x14ac:dyDescent="0.3">
      <c r="A9453" s="66"/>
      <c r="B9453" s="67"/>
      <c r="C9453" s="66"/>
      <c r="D9453" s="68"/>
      <c r="E9453" s="10"/>
      <c r="F9453" s="69"/>
      <c r="G9453" s="68"/>
      <c r="H9453" s="70"/>
      <c r="BA9453" s="4"/>
      <c r="BB9453" s="4"/>
    </row>
    <row r="9454" spans="1:54" x14ac:dyDescent="0.3">
      <c r="A9454" s="66"/>
      <c r="B9454" s="67"/>
      <c r="C9454" s="66"/>
      <c r="D9454" s="68"/>
      <c r="E9454" s="10"/>
      <c r="F9454" s="69"/>
      <c r="G9454" s="68"/>
      <c r="H9454" s="70"/>
      <c r="BA9454" s="4"/>
      <c r="BB9454" s="4"/>
    </row>
    <row r="9455" spans="1:54" x14ac:dyDescent="0.3">
      <c r="A9455" s="66"/>
      <c r="B9455" s="67"/>
      <c r="C9455" s="66"/>
      <c r="D9455" s="68"/>
      <c r="E9455" s="10"/>
      <c r="F9455" s="69"/>
      <c r="G9455" s="68"/>
      <c r="H9455" s="70"/>
      <c r="BA9455" s="4"/>
      <c r="BB9455" s="4"/>
    </row>
    <row r="9456" spans="1:54" x14ac:dyDescent="0.3">
      <c r="A9456" s="66"/>
      <c r="B9456" s="67"/>
      <c r="C9456" s="66"/>
      <c r="D9456" s="68"/>
      <c r="E9456" s="10"/>
      <c r="F9456" s="69"/>
      <c r="G9456" s="68"/>
      <c r="H9456" s="70"/>
      <c r="BA9456" s="4"/>
      <c r="BB9456" s="4"/>
    </row>
    <row r="9457" spans="1:54" x14ac:dyDescent="0.3">
      <c r="A9457" s="66"/>
      <c r="B9457" s="67"/>
      <c r="C9457" s="66"/>
      <c r="D9457" s="68"/>
      <c r="E9457" s="10"/>
      <c r="F9457" s="69"/>
      <c r="G9457" s="68"/>
      <c r="H9457" s="70"/>
      <c r="BA9457" s="4"/>
      <c r="BB9457" s="4"/>
    </row>
    <row r="9458" spans="1:54" x14ac:dyDescent="0.3">
      <c r="A9458" s="66"/>
      <c r="B9458" s="67"/>
      <c r="C9458" s="66"/>
      <c r="D9458" s="68"/>
      <c r="E9458" s="10"/>
      <c r="F9458" s="69"/>
      <c r="G9458" s="68"/>
      <c r="H9458" s="70"/>
      <c r="BA9458" s="4"/>
      <c r="BB9458" s="4"/>
    </row>
    <row r="9459" spans="1:54" x14ac:dyDescent="0.3">
      <c r="A9459" s="66"/>
      <c r="B9459" s="67"/>
      <c r="C9459" s="66"/>
      <c r="D9459" s="68"/>
      <c r="E9459" s="10"/>
      <c r="F9459" s="69"/>
      <c r="G9459" s="68"/>
      <c r="H9459" s="70"/>
      <c r="BA9459" s="4"/>
      <c r="BB9459" s="4"/>
    </row>
    <row r="9460" spans="1:54" x14ac:dyDescent="0.3">
      <c r="A9460" s="66"/>
      <c r="B9460" s="67"/>
      <c r="C9460" s="66"/>
      <c r="D9460" s="68"/>
      <c r="E9460" s="10"/>
      <c r="F9460" s="69"/>
      <c r="G9460" s="68"/>
      <c r="H9460" s="70"/>
      <c r="BA9460" s="4"/>
      <c r="BB9460" s="4"/>
    </row>
    <row r="9461" spans="1:54" x14ac:dyDescent="0.3">
      <c r="A9461" s="66"/>
      <c r="B9461" s="67"/>
      <c r="C9461" s="66"/>
      <c r="D9461" s="68"/>
      <c r="E9461" s="10"/>
      <c r="F9461" s="69"/>
      <c r="G9461" s="68"/>
      <c r="H9461" s="70"/>
      <c r="BA9461" s="4"/>
      <c r="BB9461" s="4"/>
    </row>
    <row r="9462" spans="1:54" x14ac:dyDescent="0.3">
      <c r="A9462" s="66"/>
      <c r="B9462" s="67"/>
      <c r="C9462" s="66"/>
      <c r="D9462" s="68"/>
      <c r="E9462" s="10"/>
      <c r="F9462" s="69"/>
      <c r="G9462" s="68"/>
      <c r="H9462" s="70"/>
      <c r="BA9462" s="4"/>
      <c r="BB9462" s="4"/>
    </row>
    <row r="9463" spans="1:54" x14ac:dyDescent="0.3">
      <c r="A9463" s="66"/>
      <c r="B9463" s="67"/>
      <c r="C9463" s="66"/>
      <c r="D9463" s="68"/>
      <c r="E9463" s="10"/>
      <c r="F9463" s="69"/>
      <c r="G9463" s="68"/>
      <c r="H9463" s="70"/>
      <c r="BA9463" s="4"/>
      <c r="BB9463" s="4"/>
    </row>
    <row r="9464" spans="1:54" x14ac:dyDescent="0.3">
      <c r="A9464" s="66"/>
      <c r="B9464" s="67"/>
      <c r="C9464" s="66"/>
      <c r="D9464" s="68"/>
      <c r="E9464" s="10"/>
      <c r="F9464" s="69"/>
      <c r="G9464" s="68"/>
      <c r="H9464" s="70"/>
      <c r="BA9464" s="4"/>
      <c r="BB9464" s="4"/>
    </row>
    <row r="9465" spans="1:54" x14ac:dyDescent="0.3">
      <c r="A9465" s="66"/>
      <c r="B9465" s="67"/>
      <c r="C9465" s="66"/>
      <c r="D9465" s="68"/>
      <c r="E9465" s="10"/>
      <c r="F9465" s="69"/>
      <c r="G9465" s="68"/>
      <c r="H9465" s="70"/>
      <c r="BA9465" s="4"/>
      <c r="BB9465" s="4"/>
    </row>
    <row r="9466" spans="1:54" x14ac:dyDescent="0.3">
      <c r="A9466" s="66"/>
      <c r="B9466" s="67"/>
      <c r="C9466" s="66"/>
      <c r="D9466" s="68"/>
      <c r="E9466" s="10"/>
      <c r="F9466" s="69"/>
      <c r="G9466" s="68"/>
      <c r="H9466" s="70"/>
      <c r="BA9466" s="4"/>
      <c r="BB9466" s="4"/>
    </row>
    <row r="9467" spans="1:54" x14ac:dyDescent="0.3">
      <c r="A9467" s="66"/>
      <c r="B9467" s="67"/>
      <c r="C9467" s="66"/>
      <c r="D9467" s="68"/>
      <c r="E9467" s="10"/>
      <c r="F9467" s="69"/>
      <c r="G9467" s="68"/>
      <c r="H9467" s="70"/>
      <c r="BA9467" s="4"/>
      <c r="BB9467" s="4"/>
    </row>
    <row r="9468" spans="1:54" x14ac:dyDescent="0.3">
      <c r="A9468" s="66"/>
      <c r="B9468" s="67"/>
      <c r="C9468" s="66"/>
      <c r="D9468" s="68"/>
      <c r="E9468" s="10"/>
      <c r="F9468" s="69"/>
      <c r="G9468" s="68"/>
      <c r="H9468" s="70"/>
      <c r="BA9468" s="4"/>
      <c r="BB9468" s="4"/>
    </row>
    <row r="9469" spans="1:54" x14ac:dyDescent="0.3">
      <c r="A9469" s="66"/>
      <c r="B9469" s="67"/>
      <c r="C9469" s="66"/>
      <c r="D9469" s="68"/>
      <c r="E9469" s="10"/>
      <c r="F9469" s="69"/>
      <c r="G9469" s="68"/>
      <c r="H9469" s="70"/>
      <c r="BA9469" s="4"/>
      <c r="BB9469" s="4"/>
    </row>
    <row r="9470" spans="1:54" x14ac:dyDescent="0.3">
      <c r="A9470" s="66"/>
      <c r="B9470" s="67"/>
      <c r="C9470" s="66"/>
      <c r="D9470" s="68"/>
      <c r="E9470" s="10"/>
      <c r="F9470" s="69"/>
      <c r="G9470" s="68"/>
      <c r="H9470" s="70"/>
      <c r="BA9470" s="4"/>
      <c r="BB9470" s="4"/>
    </row>
    <row r="9471" spans="1:54" x14ac:dyDescent="0.3">
      <c r="A9471" s="66"/>
      <c r="B9471" s="67"/>
      <c r="C9471" s="66"/>
      <c r="D9471" s="68"/>
      <c r="E9471" s="10"/>
      <c r="F9471" s="69"/>
      <c r="G9471" s="68"/>
      <c r="H9471" s="70"/>
      <c r="BA9471" s="4"/>
      <c r="BB9471" s="4"/>
    </row>
    <row r="9472" spans="1:54" x14ac:dyDescent="0.3">
      <c r="A9472" s="66"/>
      <c r="B9472" s="67"/>
      <c r="C9472" s="66"/>
      <c r="D9472" s="68"/>
      <c r="E9472" s="10"/>
      <c r="F9472" s="69"/>
      <c r="G9472" s="68"/>
      <c r="H9472" s="70"/>
      <c r="BA9472" s="4"/>
      <c r="BB9472" s="4"/>
    </row>
    <row r="9473" spans="1:54" x14ac:dyDescent="0.3">
      <c r="A9473" s="66"/>
      <c r="B9473" s="67"/>
      <c r="C9473" s="66"/>
      <c r="D9473" s="68"/>
      <c r="E9473" s="10"/>
      <c r="F9473" s="69"/>
      <c r="G9473" s="68"/>
      <c r="H9473" s="70"/>
      <c r="BA9473" s="4"/>
      <c r="BB9473" s="4"/>
    </row>
    <row r="9474" spans="1:54" x14ac:dyDescent="0.3">
      <c r="A9474" s="66"/>
      <c r="B9474" s="67"/>
      <c r="C9474" s="66"/>
      <c r="D9474" s="68"/>
      <c r="E9474" s="10"/>
      <c r="F9474" s="69"/>
      <c r="G9474" s="68"/>
      <c r="H9474" s="70"/>
      <c r="BA9474" s="4"/>
      <c r="BB9474" s="4"/>
    </row>
    <row r="9475" spans="1:54" x14ac:dyDescent="0.3">
      <c r="A9475" s="66"/>
      <c r="B9475" s="67"/>
      <c r="C9475" s="66"/>
      <c r="D9475" s="68"/>
      <c r="E9475" s="10"/>
      <c r="F9475" s="69"/>
      <c r="G9475" s="68"/>
      <c r="H9475" s="70"/>
      <c r="BA9475" s="4"/>
      <c r="BB9475" s="4"/>
    </row>
    <row r="9476" spans="1:54" x14ac:dyDescent="0.3">
      <c r="A9476" s="66"/>
      <c r="B9476" s="67"/>
      <c r="C9476" s="66"/>
      <c r="D9476" s="68"/>
      <c r="E9476" s="10"/>
      <c r="F9476" s="69"/>
      <c r="G9476" s="68"/>
      <c r="H9476" s="70"/>
      <c r="BA9476" s="4"/>
      <c r="BB9476" s="4"/>
    </row>
    <row r="9477" spans="1:54" x14ac:dyDescent="0.3">
      <c r="A9477" s="66"/>
      <c r="B9477" s="67"/>
      <c r="C9477" s="66"/>
      <c r="D9477" s="68"/>
      <c r="E9477" s="10"/>
      <c r="F9477" s="69"/>
      <c r="G9477" s="68"/>
      <c r="H9477" s="70"/>
      <c r="BA9477" s="4"/>
      <c r="BB9477" s="4"/>
    </row>
    <row r="9478" spans="1:54" x14ac:dyDescent="0.3">
      <c r="A9478" s="66"/>
      <c r="B9478" s="67"/>
      <c r="C9478" s="66"/>
      <c r="D9478" s="68"/>
      <c r="E9478" s="10"/>
      <c r="F9478" s="69"/>
      <c r="G9478" s="68"/>
      <c r="H9478" s="70"/>
      <c r="BA9478" s="4"/>
      <c r="BB9478" s="4"/>
    </row>
    <row r="9479" spans="1:54" x14ac:dyDescent="0.3">
      <c r="A9479" s="66"/>
      <c r="B9479" s="67"/>
      <c r="C9479" s="66"/>
      <c r="D9479" s="68"/>
      <c r="E9479" s="10"/>
      <c r="F9479" s="69"/>
      <c r="G9479" s="68"/>
      <c r="H9479" s="70"/>
      <c r="BA9479" s="4"/>
      <c r="BB9479" s="4"/>
    </row>
    <row r="9480" spans="1:54" x14ac:dyDescent="0.3">
      <c r="A9480" s="66"/>
      <c r="B9480" s="67"/>
      <c r="C9480" s="66"/>
      <c r="D9480" s="68"/>
      <c r="E9480" s="10"/>
      <c r="F9480" s="69"/>
      <c r="G9480" s="68"/>
      <c r="H9480" s="70"/>
      <c r="BA9480" s="4"/>
      <c r="BB9480" s="4"/>
    </row>
    <row r="9481" spans="1:54" x14ac:dyDescent="0.3">
      <c r="A9481" s="66"/>
      <c r="B9481" s="67"/>
      <c r="C9481" s="66"/>
      <c r="D9481" s="68"/>
      <c r="E9481" s="10"/>
      <c r="F9481" s="69"/>
      <c r="G9481" s="68"/>
      <c r="H9481" s="70"/>
      <c r="BA9481" s="4"/>
      <c r="BB9481" s="4"/>
    </row>
    <row r="9482" spans="1:54" x14ac:dyDescent="0.3">
      <c r="A9482" s="66"/>
      <c r="B9482" s="67"/>
      <c r="C9482" s="66"/>
      <c r="D9482" s="68"/>
      <c r="E9482" s="10"/>
      <c r="F9482" s="69"/>
      <c r="G9482" s="68"/>
      <c r="H9482" s="70"/>
      <c r="BA9482" s="4"/>
      <c r="BB9482" s="4"/>
    </row>
    <row r="9483" spans="1:54" x14ac:dyDescent="0.3">
      <c r="A9483" s="66"/>
      <c r="B9483" s="67"/>
      <c r="C9483" s="66"/>
      <c r="D9483" s="68"/>
      <c r="E9483" s="10"/>
      <c r="F9483" s="69"/>
      <c r="G9483" s="68"/>
      <c r="H9483" s="70"/>
      <c r="BA9483" s="4"/>
      <c r="BB9483" s="4"/>
    </row>
    <row r="9484" spans="1:54" x14ac:dyDescent="0.3">
      <c r="A9484" s="66"/>
      <c r="B9484" s="67"/>
      <c r="C9484" s="66"/>
      <c r="D9484" s="68"/>
      <c r="E9484" s="10"/>
      <c r="F9484" s="69"/>
      <c r="G9484" s="68"/>
      <c r="H9484" s="70"/>
      <c r="BA9484" s="4"/>
      <c r="BB9484" s="4"/>
    </row>
    <row r="9485" spans="1:54" x14ac:dyDescent="0.3">
      <c r="A9485" s="66"/>
      <c r="B9485" s="67"/>
      <c r="C9485" s="66"/>
      <c r="D9485" s="68"/>
      <c r="E9485" s="10"/>
      <c r="F9485" s="69"/>
      <c r="G9485" s="68"/>
      <c r="H9485" s="70"/>
      <c r="BA9485" s="4"/>
      <c r="BB9485" s="4"/>
    </row>
    <row r="9486" spans="1:54" x14ac:dyDescent="0.3">
      <c r="A9486" s="66"/>
      <c r="B9486" s="67"/>
      <c r="C9486" s="66"/>
      <c r="D9486" s="68"/>
      <c r="E9486" s="10"/>
      <c r="F9486" s="69"/>
      <c r="G9486" s="68"/>
      <c r="H9486" s="70"/>
      <c r="BA9486" s="4"/>
      <c r="BB9486" s="4"/>
    </row>
    <row r="9487" spans="1:54" x14ac:dyDescent="0.3">
      <c r="A9487" s="66"/>
      <c r="B9487" s="67"/>
      <c r="C9487" s="66"/>
      <c r="D9487" s="68"/>
      <c r="E9487" s="10"/>
      <c r="F9487" s="69"/>
      <c r="G9487" s="68"/>
      <c r="H9487" s="70"/>
      <c r="BA9487" s="4"/>
      <c r="BB9487" s="4"/>
    </row>
    <row r="9488" spans="1:54" x14ac:dyDescent="0.3">
      <c r="A9488" s="66"/>
      <c r="B9488" s="67"/>
      <c r="C9488" s="66"/>
      <c r="D9488" s="68"/>
      <c r="E9488" s="10"/>
      <c r="F9488" s="69"/>
      <c r="G9488" s="68"/>
      <c r="H9488" s="70"/>
      <c r="BA9488" s="4"/>
      <c r="BB9488" s="4"/>
    </row>
    <row r="9489" spans="1:54" x14ac:dyDescent="0.3">
      <c r="A9489" s="66"/>
      <c r="B9489" s="67"/>
      <c r="C9489" s="66"/>
      <c r="D9489" s="68"/>
      <c r="E9489" s="10"/>
      <c r="F9489" s="69"/>
      <c r="G9489" s="68"/>
      <c r="H9489" s="70"/>
      <c r="BA9489" s="4"/>
      <c r="BB9489" s="4"/>
    </row>
    <row r="9490" spans="1:54" x14ac:dyDescent="0.3">
      <c r="A9490" s="66"/>
      <c r="B9490" s="67"/>
      <c r="C9490" s="66"/>
      <c r="D9490" s="68"/>
      <c r="E9490" s="10"/>
      <c r="F9490" s="69"/>
      <c r="G9490" s="68"/>
      <c r="H9490" s="70"/>
      <c r="BA9490" s="4"/>
      <c r="BB9490" s="4"/>
    </row>
    <row r="9491" spans="1:54" x14ac:dyDescent="0.3">
      <c r="A9491" s="66"/>
      <c r="B9491" s="67"/>
      <c r="C9491" s="66"/>
      <c r="D9491" s="68"/>
      <c r="E9491" s="10"/>
      <c r="F9491" s="69"/>
      <c r="G9491" s="68"/>
      <c r="H9491" s="70"/>
      <c r="BA9491" s="4"/>
      <c r="BB9491" s="4"/>
    </row>
    <row r="9492" spans="1:54" x14ac:dyDescent="0.3">
      <c r="A9492" s="66"/>
      <c r="B9492" s="67"/>
      <c r="C9492" s="66"/>
      <c r="D9492" s="68"/>
      <c r="E9492" s="10"/>
      <c r="F9492" s="69"/>
      <c r="G9492" s="68"/>
      <c r="H9492" s="70"/>
      <c r="BA9492" s="4"/>
      <c r="BB9492" s="4"/>
    </row>
    <row r="9493" spans="1:54" x14ac:dyDescent="0.3">
      <c r="A9493" s="66"/>
      <c r="B9493" s="67"/>
      <c r="C9493" s="66"/>
      <c r="D9493" s="68"/>
      <c r="E9493" s="10"/>
      <c r="F9493" s="69"/>
      <c r="G9493" s="68"/>
      <c r="H9493" s="70"/>
      <c r="BA9493" s="4"/>
      <c r="BB9493" s="4"/>
    </row>
    <row r="9494" spans="1:54" x14ac:dyDescent="0.3">
      <c r="A9494" s="66"/>
      <c r="B9494" s="67"/>
      <c r="C9494" s="66"/>
      <c r="D9494" s="68"/>
      <c r="E9494" s="10"/>
      <c r="F9494" s="69"/>
      <c r="G9494" s="68"/>
      <c r="H9494" s="70"/>
      <c r="BA9494" s="4"/>
      <c r="BB9494" s="4"/>
    </row>
    <row r="9495" spans="1:54" x14ac:dyDescent="0.3">
      <c r="A9495" s="66"/>
      <c r="B9495" s="67"/>
      <c r="C9495" s="66"/>
      <c r="D9495" s="68"/>
      <c r="E9495" s="10"/>
      <c r="F9495" s="69"/>
      <c r="G9495" s="68"/>
      <c r="H9495" s="70"/>
      <c r="BA9495" s="4"/>
      <c r="BB9495" s="4"/>
    </row>
    <row r="9496" spans="1:54" x14ac:dyDescent="0.3">
      <c r="A9496" s="66"/>
      <c r="B9496" s="67"/>
      <c r="C9496" s="66"/>
      <c r="D9496" s="68"/>
      <c r="E9496" s="10"/>
      <c r="F9496" s="69"/>
      <c r="G9496" s="68"/>
      <c r="H9496" s="70"/>
      <c r="BA9496" s="4"/>
      <c r="BB9496" s="4"/>
    </row>
    <row r="9497" spans="1:54" x14ac:dyDescent="0.3">
      <c r="A9497" s="66"/>
      <c r="B9497" s="67"/>
      <c r="C9497" s="66"/>
      <c r="D9497" s="68"/>
      <c r="E9497" s="10"/>
      <c r="F9497" s="69"/>
      <c r="G9497" s="68"/>
      <c r="H9497" s="70"/>
      <c r="BA9497" s="4"/>
      <c r="BB9497" s="4"/>
    </row>
    <row r="9498" spans="1:54" x14ac:dyDescent="0.3">
      <c r="A9498" s="66"/>
      <c r="B9498" s="67"/>
      <c r="C9498" s="66"/>
      <c r="D9498" s="68"/>
      <c r="E9498" s="10"/>
      <c r="F9498" s="69"/>
      <c r="G9498" s="68"/>
      <c r="H9498" s="70"/>
      <c r="BA9498" s="4"/>
      <c r="BB9498" s="4"/>
    </row>
    <row r="9499" spans="1:54" x14ac:dyDescent="0.3">
      <c r="A9499" s="66"/>
      <c r="B9499" s="67"/>
      <c r="C9499" s="66"/>
      <c r="D9499" s="68"/>
      <c r="E9499" s="10"/>
      <c r="F9499" s="69"/>
      <c r="G9499" s="68"/>
      <c r="H9499" s="70"/>
      <c r="BA9499" s="4"/>
      <c r="BB9499" s="4"/>
    </row>
    <row r="9500" spans="1:54" x14ac:dyDescent="0.3">
      <c r="A9500" s="66"/>
      <c r="B9500" s="67"/>
      <c r="C9500" s="66"/>
      <c r="D9500" s="68"/>
      <c r="E9500" s="10"/>
      <c r="F9500" s="69"/>
      <c r="G9500" s="68"/>
      <c r="H9500" s="70"/>
      <c r="BA9500" s="4"/>
      <c r="BB9500" s="4"/>
    </row>
    <row r="9501" spans="1:54" x14ac:dyDescent="0.3">
      <c r="A9501" s="66"/>
      <c r="B9501" s="67"/>
      <c r="C9501" s="66"/>
      <c r="D9501" s="68"/>
      <c r="E9501" s="10"/>
      <c r="F9501" s="69"/>
      <c r="G9501" s="68"/>
      <c r="H9501" s="70"/>
      <c r="BA9501" s="4"/>
      <c r="BB9501" s="4"/>
    </row>
    <row r="9502" spans="1:54" x14ac:dyDescent="0.3">
      <c r="A9502" s="66"/>
      <c r="B9502" s="67"/>
      <c r="C9502" s="66"/>
      <c r="D9502" s="68"/>
      <c r="E9502" s="10"/>
      <c r="F9502" s="69"/>
      <c r="G9502" s="68"/>
      <c r="H9502" s="70"/>
      <c r="BA9502" s="4"/>
      <c r="BB9502" s="4"/>
    </row>
    <row r="9503" spans="1:54" x14ac:dyDescent="0.3">
      <c r="A9503" s="66"/>
      <c r="B9503" s="67"/>
      <c r="C9503" s="66"/>
      <c r="D9503" s="68"/>
      <c r="E9503" s="10"/>
      <c r="F9503" s="69"/>
      <c r="G9503" s="68"/>
      <c r="H9503" s="70"/>
      <c r="BA9503" s="4"/>
      <c r="BB9503" s="4"/>
    </row>
    <row r="9504" spans="1:54" x14ac:dyDescent="0.3">
      <c r="A9504" s="66"/>
      <c r="B9504" s="67"/>
      <c r="C9504" s="66"/>
      <c r="D9504" s="68"/>
      <c r="E9504" s="10"/>
      <c r="F9504" s="69"/>
      <c r="G9504" s="68"/>
      <c r="H9504" s="70"/>
      <c r="BA9504" s="4"/>
      <c r="BB9504" s="4"/>
    </row>
    <row r="9505" spans="1:54" x14ac:dyDescent="0.3">
      <c r="A9505" s="66"/>
      <c r="B9505" s="67"/>
      <c r="C9505" s="66"/>
      <c r="D9505" s="68"/>
      <c r="E9505" s="10"/>
      <c r="F9505" s="69"/>
      <c r="G9505" s="68"/>
      <c r="H9505" s="70"/>
      <c r="BA9505" s="4"/>
      <c r="BB9505" s="4"/>
    </row>
    <row r="9506" spans="1:54" x14ac:dyDescent="0.3">
      <c r="A9506" s="66"/>
      <c r="B9506" s="67"/>
      <c r="C9506" s="66"/>
      <c r="D9506" s="68"/>
      <c r="E9506" s="10"/>
      <c r="F9506" s="69"/>
      <c r="G9506" s="68"/>
      <c r="H9506" s="70"/>
      <c r="BA9506" s="4"/>
      <c r="BB9506" s="4"/>
    </row>
    <row r="9507" spans="1:54" x14ac:dyDescent="0.3">
      <c r="A9507" s="66"/>
      <c r="B9507" s="67"/>
      <c r="C9507" s="66"/>
      <c r="D9507" s="68"/>
      <c r="E9507" s="10"/>
      <c r="F9507" s="69"/>
      <c r="G9507" s="68"/>
      <c r="H9507" s="70"/>
      <c r="BA9507" s="4"/>
      <c r="BB9507" s="4"/>
    </row>
    <row r="9508" spans="1:54" x14ac:dyDescent="0.3">
      <c r="A9508" s="66"/>
      <c r="B9508" s="67"/>
      <c r="C9508" s="66"/>
      <c r="D9508" s="68"/>
      <c r="E9508" s="10"/>
      <c r="F9508" s="69"/>
      <c r="G9508" s="68"/>
      <c r="H9508" s="70"/>
      <c r="BA9508" s="4"/>
      <c r="BB9508" s="4"/>
    </row>
    <row r="9509" spans="1:54" x14ac:dyDescent="0.3">
      <c r="A9509" s="66"/>
      <c r="B9509" s="67"/>
      <c r="C9509" s="66"/>
      <c r="D9509" s="68"/>
      <c r="E9509" s="10"/>
      <c r="F9509" s="69"/>
      <c r="G9509" s="68"/>
      <c r="H9509" s="70"/>
      <c r="BA9509" s="4"/>
      <c r="BB9509" s="4"/>
    </row>
    <row r="9510" spans="1:54" x14ac:dyDescent="0.3">
      <c r="A9510" s="66"/>
      <c r="B9510" s="67"/>
      <c r="C9510" s="66"/>
      <c r="D9510" s="68"/>
      <c r="E9510" s="10"/>
      <c r="F9510" s="69"/>
      <c r="G9510" s="68"/>
      <c r="H9510" s="70"/>
      <c r="BA9510" s="4"/>
      <c r="BB9510" s="4"/>
    </row>
    <row r="9511" spans="1:54" x14ac:dyDescent="0.3">
      <c r="A9511" s="66"/>
      <c r="B9511" s="67"/>
      <c r="C9511" s="66"/>
      <c r="D9511" s="68"/>
      <c r="E9511" s="10"/>
      <c r="F9511" s="69"/>
      <c r="G9511" s="68"/>
      <c r="H9511" s="70"/>
      <c r="BA9511" s="4"/>
      <c r="BB9511" s="4"/>
    </row>
    <row r="9512" spans="1:54" x14ac:dyDescent="0.3">
      <c r="A9512" s="66"/>
      <c r="B9512" s="67"/>
      <c r="C9512" s="66"/>
      <c r="D9512" s="68"/>
      <c r="E9512" s="10"/>
      <c r="F9512" s="69"/>
      <c r="G9512" s="68"/>
      <c r="H9512" s="70"/>
      <c r="BA9512" s="4"/>
      <c r="BB9512" s="4"/>
    </row>
    <row r="9513" spans="1:54" x14ac:dyDescent="0.3">
      <c r="A9513" s="66"/>
      <c r="B9513" s="67"/>
      <c r="C9513" s="66"/>
      <c r="D9513" s="68"/>
      <c r="E9513" s="10"/>
      <c r="F9513" s="69"/>
      <c r="G9513" s="68"/>
      <c r="H9513" s="70"/>
      <c r="BA9513" s="4"/>
      <c r="BB9513" s="4"/>
    </row>
    <row r="9514" spans="1:54" x14ac:dyDescent="0.3">
      <c r="A9514" s="66"/>
      <c r="B9514" s="67"/>
      <c r="C9514" s="66"/>
      <c r="D9514" s="68"/>
      <c r="E9514" s="10"/>
      <c r="F9514" s="69"/>
      <c r="G9514" s="68"/>
      <c r="H9514" s="70"/>
      <c r="BA9514" s="4"/>
      <c r="BB9514" s="4"/>
    </row>
    <row r="9515" spans="1:54" x14ac:dyDescent="0.3">
      <c r="A9515" s="66"/>
      <c r="B9515" s="67"/>
      <c r="C9515" s="66"/>
      <c r="D9515" s="68"/>
      <c r="E9515" s="10"/>
      <c r="F9515" s="69"/>
      <c r="G9515" s="68"/>
      <c r="H9515" s="70"/>
      <c r="BA9515" s="4"/>
      <c r="BB9515" s="4"/>
    </row>
    <row r="9516" spans="1:54" x14ac:dyDescent="0.3">
      <c r="A9516" s="66"/>
      <c r="B9516" s="67"/>
      <c r="C9516" s="66"/>
      <c r="D9516" s="68"/>
      <c r="E9516" s="10"/>
      <c r="F9516" s="69"/>
      <c r="G9516" s="68"/>
      <c r="H9516" s="70"/>
      <c r="BA9516" s="4"/>
      <c r="BB9516" s="4"/>
    </row>
    <row r="9517" spans="1:54" x14ac:dyDescent="0.3">
      <c r="A9517" s="66"/>
      <c r="B9517" s="67"/>
      <c r="C9517" s="66"/>
      <c r="D9517" s="68"/>
      <c r="E9517" s="10"/>
      <c r="F9517" s="69"/>
      <c r="G9517" s="68"/>
      <c r="H9517" s="70"/>
      <c r="BA9517" s="4"/>
      <c r="BB9517" s="4"/>
    </row>
    <row r="9518" spans="1:54" x14ac:dyDescent="0.3">
      <c r="A9518" s="66"/>
      <c r="B9518" s="67"/>
      <c r="C9518" s="66"/>
      <c r="D9518" s="68"/>
      <c r="E9518" s="10"/>
      <c r="F9518" s="69"/>
      <c r="G9518" s="68"/>
      <c r="H9518" s="70"/>
      <c r="BA9518" s="4"/>
      <c r="BB9518" s="4"/>
    </row>
    <row r="9519" spans="1:54" x14ac:dyDescent="0.3">
      <c r="A9519" s="66"/>
      <c r="B9519" s="67"/>
      <c r="C9519" s="66"/>
      <c r="D9519" s="68"/>
      <c r="E9519" s="10"/>
      <c r="F9519" s="69"/>
      <c r="G9519" s="68"/>
      <c r="H9519" s="70"/>
      <c r="BA9519" s="4"/>
      <c r="BB9519" s="4"/>
    </row>
    <row r="9520" spans="1:54" x14ac:dyDescent="0.3">
      <c r="A9520" s="66"/>
      <c r="B9520" s="67"/>
      <c r="C9520" s="66"/>
      <c r="D9520" s="68"/>
      <c r="E9520" s="10"/>
      <c r="F9520" s="69"/>
      <c r="G9520" s="68"/>
      <c r="H9520" s="70"/>
      <c r="BA9520" s="4"/>
      <c r="BB9520" s="4"/>
    </row>
    <row r="9521" spans="1:54" x14ac:dyDescent="0.3">
      <c r="A9521" s="66"/>
      <c r="B9521" s="67"/>
      <c r="C9521" s="66"/>
      <c r="D9521" s="68"/>
      <c r="E9521" s="10"/>
      <c r="F9521" s="69"/>
      <c r="G9521" s="68"/>
      <c r="H9521" s="70"/>
      <c r="BA9521" s="4"/>
      <c r="BB9521" s="4"/>
    </row>
    <row r="9522" spans="1:54" x14ac:dyDescent="0.3">
      <c r="A9522" s="66"/>
      <c r="B9522" s="67"/>
      <c r="C9522" s="66"/>
      <c r="D9522" s="68"/>
      <c r="E9522" s="10"/>
      <c r="F9522" s="69"/>
      <c r="G9522" s="68"/>
      <c r="H9522" s="70"/>
      <c r="BA9522" s="4"/>
      <c r="BB9522" s="4"/>
    </row>
    <row r="9523" spans="1:54" x14ac:dyDescent="0.3">
      <c r="A9523" s="66"/>
      <c r="B9523" s="67"/>
      <c r="C9523" s="66"/>
      <c r="D9523" s="68"/>
      <c r="E9523" s="10"/>
      <c r="F9523" s="69"/>
      <c r="G9523" s="68"/>
      <c r="H9523" s="70"/>
      <c r="BA9523" s="4"/>
      <c r="BB9523" s="4"/>
    </row>
    <row r="9524" spans="1:54" x14ac:dyDescent="0.3">
      <c r="A9524" s="66"/>
      <c r="B9524" s="67"/>
      <c r="C9524" s="66"/>
      <c r="D9524" s="68"/>
      <c r="E9524" s="10"/>
      <c r="F9524" s="69"/>
      <c r="G9524" s="68"/>
      <c r="H9524" s="70"/>
      <c r="BA9524" s="4"/>
      <c r="BB9524" s="4"/>
    </row>
    <row r="9525" spans="1:54" x14ac:dyDescent="0.3">
      <c r="A9525" s="66"/>
      <c r="B9525" s="67"/>
      <c r="C9525" s="66"/>
      <c r="D9525" s="68"/>
      <c r="E9525" s="10"/>
      <c r="F9525" s="69"/>
      <c r="G9525" s="68"/>
      <c r="H9525" s="70"/>
      <c r="BA9525" s="4"/>
      <c r="BB9525" s="4"/>
    </row>
    <row r="9526" spans="1:54" x14ac:dyDescent="0.3">
      <c r="A9526" s="66"/>
      <c r="B9526" s="67"/>
      <c r="C9526" s="66"/>
      <c r="D9526" s="68"/>
      <c r="E9526" s="10"/>
      <c r="F9526" s="69"/>
      <c r="G9526" s="68"/>
      <c r="H9526" s="70"/>
      <c r="BA9526" s="4"/>
      <c r="BB9526" s="4"/>
    </row>
    <row r="9527" spans="1:54" x14ac:dyDescent="0.3">
      <c r="A9527" s="66"/>
      <c r="B9527" s="67"/>
      <c r="C9527" s="66"/>
      <c r="D9527" s="68"/>
      <c r="E9527" s="10"/>
      <c r="F9527" s="69"/>
      <c r="G9527" s="68"/>
      <c r="H9527" s="70"/>
      <c r="BA9527" s="4"/>
      <c r="BB9527" s="4"/>
    </row>
    <row r="9528" spans="1:54" x14ac:dyDescent="0.3">
      <c r="A9528" s="66"/>
      <c r="B9528" s="67"/>
      <c r="C9528" s="66"/>
      <c r="D9528" s="68"/>
      <c r="E9528" s="10"/>
      <c r="F9528" s="69"/>
      <c r="G9528" s="68"/>
      <c r="H9528" s="70"/>
      <c r="BA9528" s="4"/>
      <c r="BB9528" s="4"/>
    </row>
    <row r="9529" spans="1:54" x14ac:dyDescent="0.3">
      <c r="A9529" s="66"/>
      <c r="B9529" s="67"/>
      <c r="C9529" s="66"/>
      <c r="D9529" s="68"/>
      <c r="E9529" s="10"/>
      <c r="F9529" s="69"/>
      <c r="G9529" s="68"/>
      <c r="H9529" s="70"/>
      <c r="BA9529" s="4"/>
      <c r="BB9529" s="4"/>
    </row>
    <row r="9530" spans="1:54" x14ac:dyDescent="0.3">
      <c r="A9530" s="66"/>
      <c r="B9530" s="67"/>
      <c r="C9530" s="66"/>
      <c r="D9530" s="68"/>
      <c r="E9530" s="10"/>
      <c r="F9530" s="69"/>
      <c r="G9530" s="68"/>
      <c r="H9530" s="70"/>
      <c r="BA9530" s="4"/>
      <c r="BB9530" s="4"/>
    </row>
    <row r="9531" spans="1:54" x14ac:dyDescent="0.3">
      <c r="A9531" s="66"/>
      <c r="B9531" s="67"/>
      <c r="C9531" s="66"/>
      <c r="D9531" s="68"/>
      <c r="E9531" s="10"/>
      <c r="F9531" s="69"/>
      <c r="G9531" s="68"/>
      <c r="H9531" s="70"/>
      <c r="BA9531" s="4"/>
      <c r="BB9531" s="4"/>
    </row>
    <row r="9532" spans="1:54" x14ac:dyDescent="0.3">
      <c r="A9532" s="66"/>
      <c r="B9532" s="67"/>
      <c r="C9532" s="66"/>
      <c r="D9532" s="68"/>
      <c r="E9532" s="10"/>
      <c r="F9532" s="69"/>
      <c r="G9532" s="68"/>
      <c r="H9532" s="70"/>
      <c r="BA9532" s="4"/>
      <c r="BB9532" s="4"/>
    </row>
    <row r="9533" spans="1:54" x14ac:dyDescent="0.3">
      <c r="A9533" s="66"/>
      <c r="B9533" s="67"/>
      <c r="C9533" s="66"/>
      <c r="D9533" s="68"/>
      <c r="E9533" s="10"/>
      <c r="F9533" s="69"/>
      <c r="G9533" s="68"/>
      <c r="H9533" s="70"/>
      <c r="BA9533" s="4"/>
      <c r="BB9533" s="4"/>
    </row>
    <row r="9534" spans="1:54" x14ac:dyDescent="0.3">
      <c r="A9534" s="66"/>
      <c r="B9534" s="67"/>
      <c r="C9534" s="66"/>
      <c r="D9534" s="68"/>
      <c r="E9534" s="10"/>
      <c r="F9534" s="69"/>
      <c r="G9534" s="68"/>
      <c r="H9534" s="70"/>
      <c r="BA9534" s="4"/>
      <c r="BB9534" s="4"/>
    </row>
    <row r="9535" spans="1:54" x14ac:dyDescent="0.3">
      <c r="A9535" s="66"/>
      <c r="B9535" s="67"/>
      <c r="C9535" s="66"/>
      <c r="D9535" s="68"/>
      <c r="E9535" s="10"/>
      <c r="F9535" s="69"/>
      <c r="G9535" s="68"/>
      <c r="H9535" s="70"/>
      <c r="BA9535" s="4"/>
      <c r="BB9535" s="4"/>
    </row>
    <row r="9536" spans="1:54" x14ac:dyDescent="0.3">
      <c r="A9536" s="66"/>
      <c r="B9536" s="67"/>
      <c r="C9536" s="66"/>
      <c r="D9536" s="68"/>
      <c r="E9536" s="10"/>
      <c r="F9536" s="69"/>
      <c r="G9536" s="68"/>
      <c r="H9536" s="70"/>
      <c r="BA9536" s="4"/>
      <c r="BB9536" s="4"/>
    </row>
    <row r="9537" spans="1:54" x14ac:dyDescent="0.3">
      <c r="A9537" s="66"/>
      <c r="B9537" s="67"/>
      <c r="C9537" s="66"/>
      <c r="D9537" s="68"/>
      <c r="E9537" s="10"/>
      <c r="F9537" s="69"/>
      <c r="G9537" s="68"/>
      <c r="H9537" s="70"/>
      <c r="BA9537" s="4"/>
      <c r="BB9537" s="4"/>
    </row>
    <row r="9538" spans="1:54" x14ac:dyDescent="0.3">
      <c r="A9538" s="66"/>
      <c r="B9538" s="67"/>
      <c r="C9538" s="66"/>
      <c r="D9538" s="68"/>
      <c r="E9538" s="10"/>
      <c r="F9538" s="69"/>
      <c r="G9538" s="68"/>
      <c r="H9538" s="70"/>
      <c r="BA9538" s="4"/>
      <c r="BB9538" s="4"/>
    </row>
    <row r="9539" spans="1:54" x14ac:dyDescent="0.3">
      <c r="A9539" s="66"/>
      <c r="B9539" s="67"/>
      <c r="C9539" s="66"/>
      <c r="D9539" s="68"/>
      <c r="E9539" s="10"/>
      <c r="F9539" s="69"/>
      <c r="G9539" s="68"/>
      <c r="H9539" s="70"/>
      <c r="BA9539" s="4"/>
      <c r="BB9539" s="4"/>
    </row>
    <row r="9540" spans="1:54" x14ac:dyDescent="0.3">
      <c r="A9540" s="66"/>
      <c r="B9540" s="67"/>
      <c r="C9540" s="66"/>
      <c r="D9540" s="68"/>
      <c r="E9540" s="10"/>
      <c r="F9540" s="69"/>
      <c r="G9540" s="68"/>
      <c r="H9540" s="70"/>
      <c r="BA9540" s="4"/>
      <c r="BB9540" s="4"/>
    </row>
    <row r="9541" spans="1:54" x14ac:dyDescent="0.3">
      <c r="A9541" s="66"/>
      <c r="B9541" s="67"/>
      <c r="C9541" s="66"/>
      <c r="D9541" s="68"/>
      <c r="E9541" s="10"/>
      <c r="F9541" s="69"/>
      <c r="G9541" s="68"/>
      <c r="H9541" s="70"/>
      <c r="BA9541" s="4"/>
      <c r="BB9541" s="4"/>
    </row>
    <row r="9542" spans="1:54" x14ac:dyDescent="0.3">
      <c r="A9542" s="66"/>
      <c r="B9542" s="67"/>
      <c r="C9542" s="66"/>
      <c r="D9542" s="68"/>
      <c r="E9542" s="10"/>
      <c r="F9542" s="69"/>
      <c r="G9542" s="68"/>
      <c r="H9542" s="70"/>
      <c r="BA9542" s="4"/>
      <c r="BB9542" s="4"/>
    </row>
    <row r="9543" spans="1:54" x14ac:dyDescent="0.3">
      <c r="A9543" s="66"/>
      <c r="B9543" s="67"/>
      <c r="C9543" s="66"/>
      <c r="D9543" s="68"/>
      <c r="E9543" s="10"/>
      <c r="F9543" s="69"/>
      <c r="G9543" s="68"/>
      <c r="H9543" s="70"/>
      <c r="BA9543" s="4"/>
      <c r="BB9543" s="4"/>
    </row>
    <row r="9544" spans="1:54" x14ac:dyDescent="0.3">
      <c r="A9544" s="66"/>
      <c r="B9544" s="67"/>
      <c r="C9544" s="66"/>
      <c r="D9544" s="68"/>
      <c r="E9544" s="10"/>
      <c r="F9544" s="69"/>
      <c r="G9544" s="68"/>
      <c r="H9544" s="70"/>
      <c r="BA9544" s="4"/>
      <c r="BB9544" s="4"/>
    </row>
    <row r="9545" spans="1:54" x14ac:dyDescent="0.3">
      <c r="A9545" s="66"/>
      <c r="B9545" s="67"/>
      <c r="C9545" s="66"/>
      <c r="D9545" s="68"/>
      <c r="E9545" s="10"/>
      <c r="F9545" s="69"/>
      <c r="G9545" s="68"/>
      <c r="H9545" s="70"/>
      <c r="BA9545" s="4"/>
      <c r="BB9545" s="4"/>
    </row>
    <row r="9546" spans="1:54" x14ac:dyDescent="0.3">
      <c r="A9546" s="66"/>
      <c r="B9546" s="67"/>
      <c r="C9546" s="66"/>
      <c r="D9546" s="68"/>
      <c r="E9546" s="10"/>
      <c r="F9546" s="69"/>
      <c r="G9546" s="68"/>
      <c r="H9546" s="70"/>
      <c r="BA9546" s="4"/>
      <c r="BB9546" s="4"/>
    </row>
    <row r="9547" spans="1:54" x14ac:dyDescent="0.3">
      <c r="A9547" s="66"/>
      <c r="B9547" s="67"/>
      <c r="C9547" s="66"/>
      <c r="D9547" s="68"/>
      <c r="E9547" s="10"/>
      <c r="F9547" s="69"/>
      <c r="G9547" s="68"/>
      <c r="H9547" s="70"/>
      <c r="BA9547" s="4"/>
      <c r="BB9547" s="4"/>
    </row>
    <row r="9548" spans="1:54" x14ac:dyDescent="0.3">
      <c r="A9548" s="66"/>
      <c r="B9548" s="67"/>
      <c r="C9548" s="66"/>
      <c r="D9548" s="68"/>
      <c r="E9548" s="10"/>
      <c r="F9548" s="69"/>
      <c r="G9548" s="68"/>
      <c r="H9548" s="70"/>
      <c r="BA9548" s="4"/>
      <c r="BB9548" s="4"/>
    </row>
    <row r="9549" spans="1:54" x14ac:dyDescent="0.3">
      <c r="A9549" s="66"/>
      <c r="B9549" s="67"/>
      <c r="C9549" s="66"/>
      <c r="D9549" s="68"/>
      <c r="E9549" s="10"/>
      <c r="F9549" s="69"/>
      <c r="G9549" s="68"/>
      <c r="H9549" s="70"/>
      <c r="BA9549" s="4"/>
      <c r="BB9549" s="4"/>
    </row>
    <row r="9550" spans="1:54" x14ac:dyDescent="0.3">
      <c r="A9550" s="66"/>
      <c r="B9550" s="67"/>
      <c r="C9550" s="66"/>
      <c r="D9550" s="68"/>
      <c r="E9550" s="10"/>
      <c r="F9550" s="69"/>
      <c r="G9550" s="68"/>
      <c r="H9550" s="70"/>
      <c r="BA9550" s="4"/>
      <c r="BB9550" s="4"/>
    </row>
    <row r="9551" spans="1:54" x14ac:dyDescent="0.3">
      <c r="A9551" s="66"/>
      <c r="B9551" s="67"/>
      <c r="C9551" s="66"/>
      <c r="D9551" s="68"/>
      <c r="E9551" s="10"/>
      <c r="F9551" s="69"/>
      <c r="G9551" s="68"/>
      <c r="H9551" s="70"/>
      <c r="BA9551" s="4"/>
      <c r="BB9551" s="4"/>
    </row>
    <row r="9552" spans="1:54" x14ac:dyDescent="0.3">
      <c r="A9552" s="66"/>
      <c r="B9552" s="67"/>
      <c r="C9552" s="66"/>
      <c r="D9552" s="68"/>
      <c r="E9552" s="10"/>
      <c r="F9552" s="69"/>
      <c r="G9552" s="68"/>
      <c r="H9552" s="70"/>
      <c r="BA9552" s="4"/>
      <c r="BB9552" s="4"/>
    </row>
    <row r="9553" spans="1:54" x14ac:dyDescent="0.3">
      <c r="A9553" s="66"/>
      <c r="B9553" s="67"/>
      <c r="C9553" s="66"/>
      <c r="D9553" s="68"/>
      <c r="E9553" s="10"/>
      <c r="F9553" s="69"/>
      <c r="G9553" s="68"/>
      <c r="H9553" s="70"/>
      <c r="BA9553" s="4"/>
      <c r="BB9553" s="4"/>
    </row>
    <row r="9554" spans="1:54" x14ac:dyDescent="0.3">
      <c r="A9554" s="66"/>
      <c r="B9554" s="67"/>
      <c r="C9554" s="66"/>
      <c r="D9554" s="68"/>
      <c r="E9554" s="10"/>
      <c r="F9554" s="69"/>
      <c r="G9554" s="68"/>
      <c r="H9554" s="70"/>
      <c r="BA9554" s="4"/>
      <c r="BB9554" s="4"/>
    </row>
    <row r="9555" spans="1:54" x14ac:dyDescent="0.3">
      <c r="A9555" s="66"/>
      <c r="B9555" s="67"/>
      <c r="C9555" s="66"/>
      <c r="D9555" s="68"/>
      <c r="E9555" s="10"/>
      <c r="F9555" s="69"/>
      <c r="G9555" s="68"/>
      <c r="H9555" s="70"/>
      <c r="BA9555" s="4"/>
      <c r="BB9555" s="4"/>
    </row>
    <row r="9556" spans="1:54" x14ac:dyDescent="0.3">
      <c r="A9556" s="66"/>
      <c r="B9556" s="67"/>
      <c r="C9556" s="66"/>
      <c r="D9556" s="68"/>
      <c r="E9556" s="10"/>
      <c r="F9556" s="69"/>
      <c r="G9556" s="68"/>
      <c r="H9556" s="70"/>
      <c r="BA9556" s="4"/>
      <c r="BB9556" s="4"/>
    </row>
    <row r="9557" spans="1:54" x14ac:dyDescent="0.3">
      <c r="A9557" s="66"/>
      <c r="B9557" s="67"/>
      <c r="C9557" s="66"/>
      <c r="D9557" s="68"/>
      <c r="E9557" s="10"/>
      <c r="F9557" s="69"/>
      <c r="G9557" s="68"/>
      <c r="H9557" s="70"/>
      <c r="BA9557" s="4"/>
      <c r="BB9557" s="4"/>
    </row>
    <row r="9558" spans="1:54" x14ac:dyDescent="0.3">
      <c r="A9558" s="66"/>
      <c r="B9558" s="67"/>
      <c r="C9558" s="66"/>
      <c r="D9558" s="68"/>
      <c r="E9558" s="10"/>
      <c r="F9558" s="69"/>
      <c r="G9558" s="68"/>
      <c r="H9558" s="70"/>
      <c r="BA9558" s="4"/>
      <c r="BB9558" s="4"/>
    </row>
    <row r="9559" spans="1:54" x14ac:dyDescent="0.3">
      <c r="A9559" s="66"/>
      <c r="B9559" s="67"/>
      <c r="C9559" s="66"/>
      <c r="D9559" s="68"/>
      <c r="E9559" s="10"/>
      <c r="F9559" s="69"/>
      <c r="G9559" s="68"/>
      <c r="H9559" s="70"/>
      <c r="BA9559" s="4"/>
      <c r="BB9559" s="4"/>
    </row>
    <row r="9560" spans="1:54" x14ac:dyDescent="0.3">
      <c r="A9560" s="66"/>
      <c r="B9560" s="67"/>
      <c r="C9560" s="66"/>
      <c r="D9560" s="68"/>
      <c r="E9560" s="10"/>
      <c r="F9560" s="69"/>
      <c r="G9560" s="68"/>
      <c r="H9560" s="70"/>
      <c r="BA9560" s="4"/>
      <c r="BB9560" s="4"/>
    </row>
    <row r="9561" spans="1:54" x14ac:dyDescent="0.3">
      <c r="A9561" s="66"/>
      <c r="B9561" s="67"/>
      <c r="C9561" s="66"/>
      <c r="D9561" s="68"/>
      <c r="E9561" s="10"/>
      <c r="F9561" s="69"/>
      <c r="G9561" s="68"/>
      <c r="H9561" s="70"/>
      <c r="BA9561" s="4"/>
      <c r="BB9561" s="4"/>
    </row>
    <row r="9562" spans="1:54" x14ac:dyDescent="0.3">
      <c r="A9562" s="66"/>
      <c r="B9562" s="67"/>
      <c r="C9562" s="66"/>
      <c r="D9562" s="68"/>
      <c r="E9562" s="10"/>
      <c r="F9562" s="69"/>
      <c r="G9562" s="68"/>
      <c r="H9562" s="70"/>
      <c r="BA9562" s="4"/>
      <c r="BB9562" s="4"/>
    </row>
    <row r="9563" spans="1:54" x14ac:dyDescent="0.3">
      <c r="A9563" s="66"/>
      <c r="B9563" s="67"/>
      <c r="C9563" s="66"/>
      <c r="D9563" s="68"/>
      <c r="E9563" s="10"/>
      <c r="F9563" s="69"/>
      <c r="G9563" s="68"/>
      <c r="H9563" s="70"/>
      <c r="BA9563" s="4"/>
      <c r="BB9563" s="4"/>
    </row>
    <row r="9564" spans="1:54" x14ac:dyDescent="0.3">
      <c r="A9564" s="66"/>
      <c r="B9564" s="67"/>
      <c r="C9564" s="66"/>
      <c r="D9564" s="68"/>
      <c r="E9564" s="10"/>
      <c r="F9564" s="69"/>
      <c r="G9564" s="68"/>
      <c r="H9564" s="70"/>
      <c r="BA9564" s="4"/>
      <c r="BB9564" s="4"/>
    </row>
    <row r="9565" spans="1:54" x14ac:dyDescent="0.3">
      <c r="A9565" s="66"/>
      <c r="B9565" s="67"/>
      <c r="C9565" s="66"/>
      <c r="D9565" s="68"/>
      <c r="E9565" s="10"/>
      <c r="F9565" s="69"/>
      <c r="G9565" s="68"/>
      <c r="H9565" s="70"/>
      <c r="BA9565" s="4"/>
      <c r="BB9565" s="4"/>
    </row>
    <row r="9566" spans="1:54" x14ac:dyDescent="0.3">
      <c r="A9566" s="66"/>
      <c r="B9566" s="67"/>
      <c r="C9566" s="66"/>
      <c r="D9566" s="68"/>
      <c r="E9566" s="10"/>
      <c r="F9566" s="69"/>
      <c r="G9566" s="68"/>
      <c r="H9566" s="70"/>
      <c r="BA9566" s="4"/>
      <c r="BB9566" s="4"/>
    </row>
    <row r="9567" spans="1:54" x14ac:dyDescent="0.3">
      <c r="A9567" s="66"/>
      <c r="B9567" s="67"/>
      <c r="C9567" s="66"/>
      <c r="D9567" s="68"/>
      <c r="E9567" s="10"/>
      <c r="F9567" s="69"/>
      <c r="G9567" s="68"/>
      <c r="H9567" s="70"/>
      <c r="BA9567" s="4"/>
      <c r="BB9567" s="4"/>
    </row>
    <row r="9568" spans="1:54" x14ac:dyDescent="0.3">
      <c r="A9568" s="66"/>
      <c r="B9568" s="67"/>
      <c r="C9568" s="66"/>
      <c r="D9568" s="68"/>
      <c r="E9568" s="10"/>
      <c r="F9568" s="69"/>
      <c r="G9568" s="68"/>
      <c r="H9568" s="70"/>
      <c r="BA9568" s="4"/>
      <c r="BB9568" s="4"/>
    </row>
    <row r="9569" spans="1:54" x14ac:dyDescent="0.3">
      <c r="A9569" s="66"/>
      <c r="B9569" s="67"/>
      <c r="C9569" s="66"/>
      <c r="D9569" s="68"/>
      <c r="E9569" s="10"/>
      <c r="F9569" s="69"/>
      <c r="G9569" s="68"/>
      <c r="H9569" s="70"/>
      <c r="BA9569" s="4"/>
      <c r="BB9569" s="4"/>
    </row>
    <row r="9570" spans="1:54" x14ac:dyDescent="0.3">
      <c r="A9570" s="66"/>
      <c r="B9570" s="67"/>
      <c r="C9570" s="66"/>
      <c r="D9570" s="68"/>
      <c r="E9570" s="10"/>
      <c r="F9570" s="69"/>
      <c r="G9570" s="68"/>
      <c r="H9570" s="70"/>
      <c r="BA9570" s="4"/>
      <c r="BB9570" s="4"/>
    </row>
    <row r="9571" spans="1:54" x14ac:dyDescent="0.3">
      <c r="A9571" s="66"/>
      <c r="B9571" s="67"/>
      <c r="C9571" s="66"/>
      <c r="D9571" s="68"/>
      <c r="E9571" s="10"/>
      <c r="F9571" s="69"/>
      <c r="G9571" s="68"/>
      <c r="H9571" s="70"/>
      <c r="BA9571" s="4"/>
      <c r="BB9571" s="4"/>
    </row>
    <row r="9572" spans="1:54" x14ac:dyDescent="0.3">
      <c r="A9572" s="66"/>
      <c r="B9572" s="67"/>
      <c r="C9572" s="66"/>
      <c r="D9572" s="68"/>
      <c r="E9572" s="10"/>
      <c r="F9572" s="69"/>
      <c r="G9572" s="68"/>
      <c r="H9572" s="70"/>
      <c r="BA9572" s="4"/>
      <c r="BB9572" s="4"/>
    </row>
    <row r="9573" spans="1:54" x14ac:dyDescent="0.3">
      <c r="A9573" s="66"/>
      <c r="B9573" s="67"/>
      <c r="C9573" s="66"/>
      <c r="D9573" s="68"/>
      <c r="E9573" s="10"/>
      <c r="F9573" s="69"/>
      <c r="G9573" s="68"/>
      <c r="H9573" s="70"/>
      <c r="BA9573" s="4"/>
      <c r="BB9573" s="4"/>
    </row>
    <row r="9574" spans="1:54" x14ac:dyDescent="0.3">
      <c r="A9574" s="66"/>
      <c r="B9574" s="67"/>
      <c r="C9574" s="66"/>
      <c r="D9574" s="68"/>
      <c r="E9574" s="10"/>
      <c r="F9574" s="69"/>
      <c r="G9574" s="68"/>
      <c r="H9574" s="70"/>
      <c r="BA9574" s="4"/>
      <c r="BB9574" s="4"/>
    </row>
    <row r="9575" spans="1:54" x14ac:dyDescent="0.3">
      <c r="A9575" s="66"/>
      <c r="B9575" s="67"/>
      <c r="C9575" s="66"/>
      <c r="D9575" s="68"/>
      <c r="E9575" s="10"/>
      <c r="F9575" s="69"/>
      <c r="G9575" s="68"/>
      <c r="H9575" s="70"/>
      <c r="BA9575" s="4"/>
      <c r="BB9575" s="4"/>
    </row>
    <row r="9576" spans="1:54" x14ac:dyDescent="0.3">
      <c r="A9576" s="66"/>
      <c r="B9576" s="67"/>
      <c r="C9576" s="66"/>
      <c r="D9576" s="68"/>
      <c r="E9576" s="10"/>
      <c r="F9576" s="69"/>
      <c r="G9576" s="68"/>
      <c r="H9576" s="70"/>
      <c r="BA9576" s="4"/>
      <c r="BB9576" s="4"/>
    </row>
    <row r="9577" spans="1:54" x14ac:dyDescent="0.3">
      <c r="A9577" s="66"/>
      <c r="B9577" s="67"/>
      <c r="C9577" s="66"/>
      <c r="D9577" s="68"/>
      <c r="E9577" s="10"/>
      <c r="F9577" s="69"/>
      <c r="G9577" s="68"/>
      <c r="H9577" s="70"/>
      <c r="BA9577" s="4"/>
      <c r="BB9577" s="4"/>
    </row>
    <row r="9578" spans="1:54" x14ac:dyDescent="0.3">
      <c r="A9578" s="66"/>
      <c r="B9578" s="67"/>
      <c r="C9578" s="66"/>
      <c r="D9578" s="68"/>
      <c r="E9578" s="10"/>
      <c r="F9578" s="69"/>
      <c r="G9578" s="68"/>
      <c r="H9578" s="70"/>
      <c r="BA9578" s="4"/>
      <c r="BB9578" s="4"/>
    </row>
    <row r="9579" spans="1:54" x14ac:dyDescent="0.3">
      <c r="A9579" s="66"/>
      <c r="B9579" s="67"/>
      <c r="C9579" s="66"/>
      <c r="D9579" s="68"/>
      <c r="E9579" s="10"/>
      <c r="F9579" s="69"/>
      <c r="G9579" s="68"/>
      <c r="H9579" s="70"/>
      <c r="BA9579" s="4"/>
      <c r="BB9579" s="4"/>
    </row>
    <row r="9580" spans="1:54" x14ac:dyDescent="0.3">
      <c r="A9580" s="66"/>
      <c r="B9580" s="67"/>
      <c r="C9580" s="66"/>
      <c r="D9580" s="68"/>
      <c r="E9580" s="10"/>
      <c r="F9580" s="69"/>
      <c r="G9580" s="68"/>
      <c r="H9580" s="70"/>
      <c r="BA9580" s="4"/>
      <c r="BB9580" s="4"/>
    </row>
    <row r="9581" spans="1:54" x14ac:dyDescent="0.3">
      <c r="A9581" s="66"/>
      <c r="B9581" s="67"/>
      <c r="C9581" s="66"/>
      <c r="D9581" s="68"/>
      <c r="E9581" s="10"/>
      <c r="F9581" s="69"/>
      <c r="G9581" s="68"/>
      <c r="H9581" s="70"/>
      <c r="BA9581" s="4"/>
      <c r="BB9581" s="4"/>
    </row>
    <row r="9582" spans="1:54" x14ac:dyDescent="0.3">
      <c r="A9582" s="66"/>
      <c r="B9582" s="67"/>
      <c r="C9582" s="66"/>
      <c r="D9582" s="68"/>
      <c r="E9582" s="10"/>
      <c r="F9582" s="69"/>
      <c r="G9582" s="68"/>
      <c r="H9582" s="70"/>
      <c r="BA9582" s="4"/>
      <c r="BB9582" s="4"/>
    </row>
    <row r="9583" spans="1:54" x14ac:dyDescent="0.3">
      <c r="A9583" s="66"/>
      <c r="B9583" s="67"/>
      <c r="C9583" s="66"/>
      <c r="D9583" s="68"/>
      <c r="E9583" s="10"/>
      <c r="F9583" s="69"/>
      <c r="G9583" s="68"/>
      <c r="H9583" s="70"/>
      <c r="BA9583" s="4"/>
      <c r="BB9583" s="4"/>
    </row>
    <row r="9584" spans="1:54" x14ac:dyDescent="0.3">
      <c r="A9584" s="66"/>
      <c r="B9584" s="67"/>
      <c r="C9584" s="66"/>
      <c r="D9584" s="68"/>
      <c r="E9584" s="10"/>
      <c r="F9584" s="69"/>
      <c r="G9584" s="68"/>
      <c r="H9584" s="70"/>
      <c r="BA9584" s="4"/>
      <c r="BB9584" s="4"/>
    </row>
    <row r="9585" spans="1:54" x14ac:dyDescent="0.3">
      <c r="A9585" s="66"/>
      <c r="B9585" s="67"/>
      <c r="C9585" s="66"/>
      <c r="D9585" s="68"/>
      <c r="E9585" s="10"/>
      <c r="F9585" s="69"/>
      <c r="G9585" s="68"/>
      <c r="H9585" s="70"/>
      <c r="BA9585" s="4"/>
      <c r="BB9585" s="4"/>
    </row>
    <row r="9586" spans="1:54" x14ac:dyDescent="0.3">
      <c r="A9586" s="66"/>
      <c r="B9586" s="67"/>
      <c r="C9586" s="66"/>
      <c r="D9586" s="68"/>
      <c r="E9586" s="10"/>
      <c r="F9586" s="69"/>
      <c r="G9586" s="68"/>
      <c r="H9586" s="70"/>
      <c r="BA9586" s="4"/>
      <c r="BB9586" s="4"/>
    </row>
    <row r="9587" spans="1:54" x14ac:dyDescent="0.3">
      <c r="A9587" s="66"/>
      <c r="B9587" s="67"/>
      <c r="C9587" s="66"/>
      <c r="D9587" s="68"/>
      <c r="E9587" s="10"/>
      <c r="F9587" s="69"/>
      <c r="G9587" s="68"/>
      <c r="H9587" s="70"/>
      <c r="BA9587" s="4"/>
      <c r="BB9587" s="4"/>
    </row>
    <row r="9588" spans="1:54" x14ac:dyDescent="0.3">
      <c r="A9588" s="66"/>
      <c r="B9588" s="67"/>
      <c r="C9588" s="66"/>
      <c r="D9588" s="68"/>
      <c r="E9588" s="10"/>
      <c r="F9588" s="69"/>
      <c r="G9588" s="68"/>
      <c r="H9588" s="70"/>
      <c r="BA9588" s="4"/>
      <c r="BB9588" s="4"/>
    </row>
    <row r="9589" spans="1:54" x14ac:dyDescent="0.3">
      <c r="A9589" s="66"/>
      <c r="B9589" s="67"/>
      <c r="C9589" s="66"/>
      <c r="D9589" s="68"/>
      <c r="E9589" s="10"/>
      <c r="F9589" s="69"/>
      <c r="G9589" s="68"/>
      <c r="H9589" s="70"/>
      <c r="BA9589" s="4"/>
      <c r="BB9589" s="4"/>
    </row>
    <row r="9590" spans="1:54" x14ac:dyDescent="0.3">
      <c r="A9590" s="66"/>
      <c r="B9590" s="67"/>
      <c r="C9590" s="66"/>
      <c r="D9590" s="68"/>
      <c r="E9590" s="10"/>
      <c r="F9590" s="69"/>
      <c r="G9590" s="68"/>
      <c r="H9590" s="70"/>
      <c r="BA9590" s="4"/>
      <c r="BB9590" s="4"/>
    </row>
    <row r="9591" spans="1:54" x14ac:dyDescent="0.3">
      <c r="A9591" s="66"/>
      <c r="B9591" s="67"/>
      <c r="C9591" s="66"/>
      <c r="D9591" s="68"/>
      <c r="E9591" s="10"/>
      <c r="F9591" s="69"/>
      <c r="G9591" s="68"/>
      <c r="H9591" s="70"/>
      <c r="BA9591" s="4"/>
      <c r="BB9591" s="4"/>
    </row>
    <row r="9592" spans="1:54" x14ac:dyDescent="0.3">
      <c r="A9592" s="66"/>
      <c r="B9592" s="67"/>
      <c r="C9592" s="66"/>
      <c r="D9592" s="68"/>
      <c r="E9592" s="10"/>
      <c r="F9592" s="69"/>
      <c r="G9592" s="68"/>
      <c r="H9592" s="70"/>
      <c r="BA9592" s="4"/>
      <c r="BB9592" s="4"/>
    </row>
    <row r="9593" spans="1:54" x14ac:dyDescent="0.3">
      <c r="A9593" s="66"/>
      <c r="B9593" s="67"/>
      <c r="C9593" s="66"/>
      <c r="D9593" s="68"/>
      <c r="E9593" s="10"/>
      <c r="F9593" s="69"/>
      <c r="G9593" s="68"/>
      <c r="H9593" s="70"/>
      <c r="BA9593" s="4"/>
      <c r="BB9593" s="4"/>
    </row>
    <row r="9594" spans="1:54" x14ac:dyDescent="0.3">
      <c r="A9594" s="66"/>
      <c r="B9594" s="67"/>
      <c r="C9594" s="66"/>
      <c r="D9594" s="68"/>
      <c r="E9594" s="10"/>
      <c r="F9594" s="69"/>
      <c r="G9594" s="68"/>
      <c r="H9594" s="70"/>
      <c r="BA9594" s="4"/>
      <c r="BB9594" s="4"/>
    </row>
    <row r="9595" spans="1:54" x14ac:dyDescent="0.3">
      <c r="A9595" s="66"/>
      <c r="B9595" s="67"/>
      <c r="C9595" s="66"/>
      <c r="D9595" s="68"/>
      <c r="E9595" s="10"/>
      <c r="F9595" s="69"/>
      <c r="G9595" s="68"/>
      <c r="H9595" s="70"/>
      <c r="BA9595" s="4"/>
      <c r="BB9595" s="4"/>
    </row>
    <row r="9596" spans="1:54" x14ac:dyDescent="0.3">
      <c r="A9596" s="66"/>
      <c r="B9596" s="67"/>
      <c r="C9596" s="66"/>
      <c r="D9596" s="68"/>
      <c r="E9596" s="10"/>
      <c r="F9596" s="69"/>
      <c r="G9596" s="68"/>
      <c r="H9596" s="70"/>
      <c r="BA9596" s="4"/>
      <c r="BB9596" s="4"/>
    </row>
    <row r="9597" spans="1:54" x14ac:dyDescent="0.3">
      <c r="A9597" s="66"/>
      <c r="B9597" s="67"/>
      <c r="C9597" s="66"/>
      <c r="D9597" s="68"/>
      <c r="E9597" s="10"/>
      <c r="F9597" s="69"/>
      <c r="G9597" s="68"/>
      <c r="H9597" s="70"/>
      <c r="BA9597" s="4"/>
      <c r="BB9597" s="4"/>
    </row>
    <row r="9598" spans="1:54" x14ac:dyDescent="0.3">
      <c r="A9598" s="66"/>
      <c r="B9598" s="67"/>
      <c r="C9598" s="66"/>
      <c r="D9598" s="68"/>
      <c r="E9598" s="10"/>
      <c r="F9598" s="69"/>
      <c r="G9598" s="68"/>
      <c r="H9598" s="70"/>
      <c r="BA9598" s="4"/>
      <c r="BB9598" s="4"/>
    </row>
    <row r="9599" spans="1:54" x14ac:dyDescent="0.3">
      <c r="A9599" s="66"/>
      <c r="B9599" s="67"/>
      <c r="C9599" s="66"/>
      <c r="D9599" s="68"/>
      <c r="E9599" s="10"/>
      <c r="F9599" s="69"/>
      <c r="G9599" s="68"/>
      <c r="H9599" s="70"/>
      <c r="BA9599" s="4"/>
      <c r="BB9599" s="4"/>
    </row>
    <row r="9600" spans="1:54" x14ac:dyDescent="0.3">
      <c r="A9600" s="66"/>
      <c r="B9600" s="67"/>
      <c r="C9600" s="66"/>
      <c r="D9600" s="68"/>
      <c r="E9600" s="10"/>
      <c r="F9600" s="69"/>
      <c r="G9600" s="68"/>
      <c r="H9600" s="70"/>
      <c r="BA9600" s="4"/>
      <c r="BB9600" s="4"/>
    </row>
    <row r="9601" spans="1:54" x14ac:dyDescent="0.3">
      <c r="A9601" s="66"/>
      <c r="B9601" s="67"/>
      <c r="C9601" s="66"/>
      <c r="D9601" s="68"/>
      <c r="E9601" s="10"/>
      <c r="F9601" s="69"/>
      <c r="G9601" s="68"/>
      <c r="H9601" s="70"/>
      <c r="BA9601" s="4"/>
      <c r="BB9601" s="4"/>
    </row>
    <row r="9602" spans="1:54" x14ac:dyDescent="0.3">
      <c r="A9602" s="66"/>
      <c r="B9602" s="67"/>
      <c r="C9602" s="66"/>
      <c r="D9602" s="68"/>
      <c r="E9602" s="10"/>
      <c r="F9602" s="69"/>
      <c r="G9602" s="68"/>
      <c r="H9602" s="70"/>
      <c r="BA9602" s="4"/>
      <c r="BB9602" s="4"/>
    </row>
    <row r="9603" spans="1:54" x14ac:dyDescent="0.3">
      <c r="A9603" s="66"/>
      <c r="B9603" s="67"/>
      <c r="C9603" s="66"/>
      <c r="D9603" s="68"/>
      <c r="E9603" s="10"/>
      <c r="F9603" s="69"/>
      <c r="G9603" s="68"/>
      <c r="H9603" s="70"/>
      <c r="BA9603" s="4"/>
      <c r="BB9603" s="4"/>
    </row>
    <row r="9604" spans="1:54" x14ac:dyDescent="0.3">
      <c r="A9604" s="66"/>
      <c r="B9604" s="67"/>
      <c r="C9604" s="66"/>
      <c r="D9604" s="68"/>
      <c r="E9604" s="10"/>
      <c r="F9604" s="69"/>
      <c r="G9604" s="68"/>
      <c r="H9604" s="70"/>
      <c r="BA9604" s="4"/>
      <c r="BB9604" s="4"/>
    </row>
    <row r="9605" spans="1:54" x14ac:dyDescent="0.3">
      <c r="A9605" s="66"/>
      <c r="B9605" s="67"/>
      <c r="C9605" s="66"/>
      <c r="D9605" s="68"/>
      <c r="E9605" s="10"/>
      <c r="F9605" s="69"/>
      <c r="G9605" s="68"/>
      <c r="H9605" s="70"/>
      <c r="BA9605" s="4"/>
      <c r="BB9605" s="4"/>
    </row>
    <row r="9606" spans="1:54" x14ac:dyDescent="0.3">
      <c r="A9606" s="66"/>
      <c r="B9606" s="67"/>
      <c r="C9606" s="66"/>
      <c r="D9606" s="68"/>
      <c r="E9606" s="10"/>
      <c r="F9606" s="69"/>
      <c r="G9606" s="68"/>
      <c r="H9606" s="70"/>
      <c r="BA9606" s="4"/>
      <c r="BB9606" s="4"/>
    </row>
    <row r="9607" spans="1:54" x14ac:dyDescent="0.3">
      <c r="A9607" s="66"/>
      <c r="B9607" s="67"/>
      <c r="C9607" s="66"/>
      <c r="D9607" s="68"/>
      <c r="E9607" s="10"/>
      <c r="F9607" s="69"/>
      <c r="G9607" s="68"/>
      <c r="H9607" s="70"/>
      <c r="BA9607" s="4"/>
      <c r="BB9607" s="4"/>
    </row>
    <row r="9608" spans="1:54" x14ac:dyDescent="0.3">
      <c r="A9608" s="66"/>
      <c r="B9608" s="67"/>
      <c r="C9608" s="66"/>
      <c r="D9608" s="68"/>
      <c r="E9608" s="10"/>
      <c r="F9608" s="69"/>
      <c r="G9608" s="68"/>
      <c r="H9608" s="70"/>
      <c r="BA9608" s="4"/>
      <c r="BB9608" s="4"/>
    </row>
    <row r="9609" spans="1:54" x14ac:dyDescent="0.3">
      <c r="A9609" s="66"/>
      <c r="B9609" s="67"/>
      <c r="C9609" s="66"/>
      <c r="D9609" s="68"/>
      <c r="E9609" s="10"/>
      <c r="F9609" s="69"/>
      <c r="G9609" s="68"/>
      <c r="H9609" s="70"/>
      <c r="BA9609" s="4"/>
      <c r="BB9609" s="4"/>
    </row>
    <row r="9610" spans="1:54" x14ac:dyDescent="0.3">
      <c r="A9610" s="66"/>
      <c r="B9610" s="67"/>
      <c r="C9610" s="66"/>
      <c r="D9610" s="68"/>
      <c r="E9610" s="10"/>
      <c r="F9610" s="69"/>
      <c r="G9610" s="68"/>
      <c r="H9610" s="70"/>
      <c r="BA9610" s="4"/>
      <c r="BB9610" s="4"/>
    </row>
    <row r="9611" spans="1:54" x14ac:dyDescent="0.3">
      <c r="A9611" s="66"/>
      <c r="B9611" s="67"/>
      <c r="C9611" s="66"/>
      <c r="D9611" s="68"/>
      <c r="E9611" s="10"/>
      <c r="F9611" s="69"/>
      <c r="G9611" s="68"/>
      <c r="H9611" s="70"/>
      <c r="BA9611" s="4"/>
      <c r="BB9611" s="4"/>
    </row>
    <row r="9612" spans="1:54" x14ac:dyDescent="0.3">
      <c r="A9612" s="66"/>
      <c r="B9612" s="67"/>
      <c r="C9612" s="66"/>
      <c r="D9612" s="68"/>
      <c r="E9612" s="10"/>
      <c r="F9612" s="69"/>
      <c r="G9612" s="68"/>
      <c r="H9612" s="70"/>
      <c r="BA9612" s="4"/>
      <c r="BB9612" s="4"/>
    </row>
    <row r="9613" spans="1:54" x14ac:dyDescent="0.3">
      <c r="A9613" s="66"/>
      <c r="B9613" s="67"/>
      <c r="C9613" s="66"/>
      <c r="D9613" s="68"/>
      <c r="E9613" s="10"/>
      <c r="F9613" s="69"/>
      <c r="G9613" s="68"/>
      <c r="H9613" s="70"/>
      <c r="BA9613" s="4"/>
      <c r="BB9613" s="4"/>
    </row>
    <row r="9614" spans="1:54" x14ac:dyDescent="0.3">
      <c r="A9614" s="66"/>
      <c r="B9614" s="67"/>
      <c r="C9614" s="66"/>
      <c r="D9614" s="68"/>
      <c r="E9614" s="10"/>
      <c r="F9614" s="69"/>
      <c r="G9614" s="68"/>
      <c r="H9614" s="70"/>
      <c r="BA9614" s="4"/>
      <c r="BB9614" s="4"/>
    </row>
    <row r="9615" spans="1:54" x14ac:dyDescent="0.3">
      <c r="A9615" s="66"/>
      <c r="B9615" s="67"/>
      <c r="C9615" s="66"/>
      <c r="D9615" s="68"/>
      <c r="E9615" s="10"/>
      <c r="F9615" s="69"/>
      <c r="G9615" s="68"/>
      <c r="H9615" s="70"/>
      <c r="BA9615" s="4"/>
      <c r="BB9615" s="4"/>
    </row>
    <row r="9616" spans="1:54" x14ac:dyDescent="0.3">
      <c r="A9616" s="66"/>
      <c r="B9616" s="67"/>
      <c r="C9616" s="66"/>
      <c r="D9616" s="68"/>
      <c r="E9616" s="10"/>
      <c r="F9616" s="69"/>
      <c r="G9616" s="68"/>
      <c r="H9616" s="70"/>
      <c r="BA9616" s="4"/>
      <c r="BB9616" s="4"/>
    </row>
    <row r="9617" spans="1:54" x14ac:dyDescent="0.3">
      <c r="A9617" s="66"/>
      <c r="B9617" s="67"/>
      <c r="C9617" s="66"/>
      <c r="D9617" s="68"/>
      <c r="E9617" s="10"/>
      <c r="F9617" s="69"/>
      <c r="G9617" s="68"/>
      <c r="H9617" s="70"/>
      <c r="BA9617" s="4"/>
      <c r="BB9617" s="4"/>
    </row>
    <row r="9618" spans="1:54" x14ac:dyDescent="0.3">
      <c r="A9618" s="66"/>
      <c r="B9618" s="67"/>
      <c r="C9618" s="66"/>
      <c r="D9618" s="68"/>
      <c r="E9618" s="10"/>
      <c r="F9618" s="69"/>
      <c r="G9618" s="68"/>
      <c r="H9618" s="70"/>
      <c r="BA9618" s="4"/>
      <c r="BB9618" s="4"/>
    </row>
    <row r="9619" spans="1:54" x14ac:dyDescent="0.3">
      <c r="A9619" s="66"/>
      <c r="B9619" s="67"/>
      <c r="C9619" s="66"/>
      <c r="D9619" s="68"/>
      <c r="E9619" s="10"/>
      <c r="F9619" s="69"/>
      <c r="G9619" s="68"/>
      <c r="H9619" s="70"/>
      <c r="BA9619" s="4"/>
      <c r="BB9619" s="4"/>
    </row>
    <row r="9620" spans="1:54" x14ac:dyDescent="0.3">
      <c r="A9620" s="66"/>
      <c r="B9620" s="67"/>
      <c r="C9620" s="66"/>
      <c r="D9620" s="68"/>
      <c r="E9620" s="10"/>
      <c r="F9620" s="69"/>
      <c r="G9620" s="68"/>
      <c r="H9620" s="70"/>
      <c r="BA9620" s="4"/>
      <c r="BB9620" s="4"/>
    </row>
    <row r="9621" spans="1:54" x14ac:dyDescent="0.3">
      <c r="A9621" s="66"/>
      <c r="B9621" s="67"/>
      <c r="C9621" s="66"/>
      <c r="D9621" s="68"/>
      <c r="E9621" s="10"/>
      <c r="F9621" s="69"/>
      <c r="G9621" s="68"/>
      <c r="H9621" s="70"/>
      <c r="BA9621" s="4"/>
      <c r="BB9621" s="4"/>
    </row>
    <row r="9622" spans="1:54" x14ac:dyDescent="0.3">
      <c r="A9622" s="66"/>
      <c r="B9622" s="67"/>
      <c r="C9622" s="66"/>
      <c r="D9622" s="68"/>
      <c r="E9622" s="10"/>
      <c r="F9622" s="69"/>
      <c r="G9622" s="68"/>
      <c r="H9622" s="70"/>
      <c r="BA9622" s="4"/>
      <c r="BB9622" s="4"/>
    </row>
    <row r="9623" spans="1:54" x14ac:dyDescent="0.3">
      <c r="A9623" s="66"/>
      <c r="B9623" s="67"/>
      <c r="C9623" s="66"/>
      <c r="D9623" s="68"/>
      <c r="E9623" s="10"/>
      <c r="F9623" s="69"/>
      <c r="G9623" s="68"/>
      <c r="H9623" s="70"/>
      <c r="BA9623" s="4"/>
      <c r="BB9623" s="4"/>
    </row>
    <row r="9624" spans="1:54" x14ac:dyDescent="0.3">
      <c r="A9624" s="66"/>
      <c r="B9624" s="67"/>
      <c r="C9624" s="66"/>
      <c r="D9624" s="68"/>
      <c r="E9624" s="10"/>
      <c r="F9624" s="69"/>
      <c r="G9624" s="68"/>
      <c r="H9624" s="70"/>
      <c r="BA9624" s="4"/>
      <c r="BB9624" s="4"/>
    </row>
    <row r="9625" spans="1:54" x14ac:dyDescent="0.3">
      <c r="A9625" s="66"/>
      <c r="B9625" s="67"/>
      <c r="C9625" s="66"/>
      <c r="D9625" s="68"/>
      <c r="E9625" s="10"/>
      <c r="F9625" s="69"/>
      <c r="G9625" s="68"/>
      <c r="H9625" s="70"/>
      <c r="BA9625" s="4"/>
      <c r="BB9625" s="4"/>
    </row>
    <row r="9626" spans="1:54" x14ac:dyDescent="0.3">
      <c r="A9626" s="66"/>
      <c r="B9626" s="67"/>
      <c r="C9626" s="66"/>
      <c r="D9626" s="68"/>
      <c r="E9626" s="10"/>
      <c r="F9626" s="69"/>
      <c r="G9626" s="68"/>
      <c r="H9626" s="70"/>
      <c r="BA9626" s="4"/>
      <c r="BB9626" s="4"/>
    </row>
    <row r="9627" spans="1:54" x14ac:dyDescent="0.3">
      <c r="A9627" s="66"/>
      <c r="B9627" s="67"/>
      <c r="C9627" s="66"/>
      <c r="D9627" s="68"/>
      <c r="E9627" s="10"/>
      <c r="F9627" s="69"/>
      <c r="G9627" s="68"/>
      <c r="H9627" s="70"/>
      <c r="BA9627" s="4"/>
      <c r="BB9627" s="4"/>
    </row>
    <row r="9628" spans="1:54" x14ac:dyDescent="0.3">
      <c r="A9628" s="66"/>
      <c r="B9628" s="67"/>
      <c r="C9628" s="66"/>
      <c r="D9628" s="68"/>
      <c r="E9628" s="10"/>
      <c r="F9628" s="69"/>
      <c r="G9628" s="68"/>
      <c r="H9628" s="70"/>
      <c r="BA9628" s="4"/>
      <c r="BB9628" s="4"/>
    </row>
    <row r="9629" spans="1:54" x14ac:dyDescent="0.3">
      <c r="A9629" s="66"/>
      <c r="B9629" s="67"/>
      <c r="C9629" s="66"/>
      <c r="D9629" s="68"/>
      <c r="E9629" s="10"/>
      <c r="F9629" s="69"/>
      <c r="G9629" s="68"/>
      <c r="H9629" s="70"/>
      <c r="BA9629" s="4"/>
      <c r="BB9629" s="4"/>
    </row>
    <row r="9630" spans="1:54" x14ac:dyDescent="0.3">
      <c r="A9630" s="66"/>
      <c r="B9630" s="67"/>
      <c r="C9630" s="66"/>
      <c r="D9630" s="68"/>
      <c r="E9630" s="10"/>
      <c r="F9630" s="69"/>
      <c r="G9630" s="68"/>
      <c r="H9630" s="70"/>
      <c r="BA9630" s="4"/>
      <c r="BB9630" s="4"/>
    </row>
    <row r="9631" spans="1:54" x14ac:dyDescent="0.3">
      <c r="A9631" s="66"/>
      <c r="B9631" s="67"/>
      <c r="C9631" s="66"/>
      <c r="D9631" s="68"/>
      <c r="E9631" s="10"/>
      <c r="F9631" s="69"/>
      <c r="G9631" s="68"/>
      <c r="H9631" s="70"/>
      <c r="BA9631" s="4"/>
      <c r="BB9631" s="4"/>
    </row>
    <row r="9632" spans="1:54" x14ac:dyDescent="0.3">
      <c r="A9632" s="66"/>
      <c r="B9632" s="67"/>
      <c r="C9632" s="66"/>
      <c r="D9632" s="68"/>
      <c r="E9632" s="10"/>
      <c r="F9632" s="69"/>
      <c r="G9632" s="68"/>
      <c r="H9632" s="70"/>
      <c r="BA9632" s="4"/>
      <c r="BB9632" s="4"/>
    </row>
    <row r="9633" spans="1:54" x14ac:dyDescent="0.3">
      <c r="A9633" s="66"/>
      <c r="B9633" s="67"/>
      <c r="C9633" s="66"/>
      <c r="D9633" s="68"/>
      <c r="E9633" s="10"/>
      <c r="F9633" s="69"/>
      <c r="G9633" s="68"/>
      <c r="H9633" s="70"/>
      <c r="BA9633" s="4"/>
      <c r="BB9633" s="4"/>
    </row>
    <row r="9634" spans="1:54" x14ac:dyDescent="0.3">
      <c r="A9634" s="66"/>
      <c r="B9634" s="67"/>
      <c r="C9634" s="66"/>
      <c r="D9634" s="68"/>
      <c r="E9634" s="10"/>
      <c r="F9634" s="69"/>
      <c r="G9634" s="68"/>
      <c r="H9634" s="70"/>
      <c r="BA9634" s="4"/>
      <c r="BB9634" s="4"/>
    </row>
    <row r="9635" spans="1:54" x14ac:dyDescent="0.3">
      <c r="A9635" s="66"/>
      <c r="B9635" s="67"/>
      <c r="C9635" s="66"/>
      <c r="D9635" s="68"/>
      <c r="E9635" s="10"/>
      <c r="F9635" s="69"/>
      <c r="G9635" s="68"/>
      <c r="H9635" s="70"/>
      <c r="BA9635" s="4"/>
      <c r="BB9635" s="4"/>
    </row>
    <row r="9636" spans="1:54" x14ac:dyDescent="0.3">
      <c r="A9636" s="66"/>
      <c r="B9636" s="67"/>
      <c r="C9636" s="66"/>
      <c r="D9636" s="68"/>
      <c r="E9636" s="10"/>
      <c r="F9636" s="69"/>
      <c r="G9636" s="68"/>
      <c r="H9636" s="70"/>
      <c r="BA9636" s="4"/>
      <c r="BB9636" s="4"/>
    </row>
    <row r="9637" spans="1:54" x14ac:dyDescent="0.3">
      <c r="A9637" s="66"/>
      <c r="B9637" s="67"/>
      <c r="C9637" s="66"/>
      <c r="D9637" s="68"/>
      <c r="E9637" s="10"/>
      <c r="F9637" s="69"/>
      <c r="G9637" s="68"/>
      <c r="H9637" s="70"/>
      <c r="BA9637" s="4"/>
      <c r="BB9637" s="4"/>
    </row>
    <row r="9638" spans="1:54" x14ac:dyDescent="0.3">
      <c r="A9638" s="66"/>
      <c r="B9638" s="67"/>
      <c r="C9638" s="66"/>
      <c r="D9638" s="68"/>
      <c r="E9638" s="10"/>
      <c r="F9638" s="69"/>
      <c r="G9638" s="68"/>
      <c r="H9638" s="70"/>
      <c r="BA9638" s="4"/>
      <c r="BB9638" s="4"/>
    </row>
    <row r="9639" spans="1:54" x14ac:dyDescent="0.3">
      <c r="A9639" s="66"/>
      <c r="B9639" s="67"/>
      <c r="C9639" s="66"/>
      <c r="D9639" s="68"/>
      <c r="E9639" s="10"/>
      <c r="F9639" s="69"/>
      <c r="G9639" s="68"/>
      <c r="H9639" s="70"/>
      <c r="BA9639" s="4"/>
      <c r="BB9639" s="4"/>
    </row>
    <row r="9640" spans="1:54" x14ac:dyDescent="0.3">
      <c r="A9640" s="66"/>
      <c r="B9640" s="67"/>
      <c r="C9640" s="66"/>
      <c r="D9640" s="68"/>
      <c r="E9640" s="10"/>
      <c r="F9640" s="69"/>
      <c r="G9640" s="68"/>
      <c r="H9640" s="70"/>
      <c r="BA9640" s="4"/>
      <c r="BB9640" s="4"/>
    </row>
    <row r="9641" spans="1:54" x14ac:dyDescent="0.3">
      <c r="A9641" s="66"/>
      <c r="B9641" s="67"/>
      <c r="C9641" s="66"/>
      <c r="D9641" s="68"/>
      <c r="E9641" s="10"/>
      <c r="F9641" s="69"/>
      <c r="G9641" s="68"/>
      <c r="H9641" s="70"/>
      <c r="BA9641" s="4"/>
      <c r="BB9641" s="4"/>
    </row>
    <row r="9642" spans="1:54" x14ac:dyDescent="0.3">
      <c r="A9642" s="66"/>
      <c r="B9642" s="67"/>
      <c r="C9642" s="66"/>
      <c r="D9642" s="68"/>
      <c r="E9642" s="10"/>
      <c r="F9642" s="69"/>
      <c r="G9642" s="68"/>
      <c r="H9642" s="70"/>
      <c r="BA9642" s="4"/>
      <c r="BB9642" s="4"/>
    </row>
    <row r="9643" spans="1:54" x14ac:dyDescent="0.3">
      <c r="A9643" s="66"/>
      <c r="B9643" s="67"/>
      <c r="C9643" s="66"/>
      <c r="D9643" s="68"/>
      <c r="E9643" s="10"/>
      <c r="F9643" s="69"/>
      <c r="G9643" s="68"/>
      <c r="H9643" s="70"/>
      <c r="BA9643" s="4"/>
      <c r="BB9643" s="4"/>
    </row>
    <row r="9644" spans="1:54" x14ac:dyDescent="0.3">
      <c r="A9644" s="66"/>
      <c r="B9644" s="67"/>
      <c r="C9644" s="66"/>
      <c r="D9644" s="68"/>
      <c r="E9644" s="10"/>
      <c r="F9644" s="69"/>
      <c r="G9644" s="68"/>
      <c r="H9644" s="70"/>
      <c r="BA9644" s="4"/>
      <c r="BB9644" s="4"/>
    </row>
    <row r="9645" spans="1:54" x14ac:dyDescent="0.3">
      <c r="A9645" s="66"/>
      <c r="B9645" s="67"/>
      <c r="C9645" s="66"/>
      <c r="D9645" s="68"/>
      <c r="E9645" s="10"/>
      <c r="F9645" s="69"/>
      <c r="G9645" s="68"/>
      <c r="H9645" s="70"/>
      <c r="BA9645" s="4"/>
      <c r="BB9645" s="4"/>
    </row>
    <row r="9646" spans="1:54" x14ac:dyDescent="0.3">
      <c r="A9646" s="66"/>
      <c r="B9646" s="67"/>
      <c r="C9646" s="66"/>
      <c r="D9646" s="68"/>
      <c r="E9646" s="10"/>
      <c r="F9646" s="69"/>
      <c r="G9646" s="68"/>
      <c r="H9646" s="70"/>
      <c r="BA9646" s="4"/>
      <c r="BB9646" s="4"/>
    </row>
    <row r="9647" spans="1:54" x14ac:dyDescent="0.3">
      <c r="A9647" s="66"/>
      <c r="B9647" s="67"/>
      <c r="C9647" s="66"/>
      <c r="D9647" s="68"/>
      <c r="E9647" s="10"/>
      <c r="F9647" s="69"/>
      <c r="G9647" s="68"/>
      <c r="H9647" s="70"/>
      <c r="BA9647" s="4"/>
      <c r="BB9647" s="4"/>
    </row>
    <row r="9648" spans="1:54" x14ac:dyDescent="0.3">
      <c r="A9648" s="66"/>
      <c r="B9648" s="67"/>
      <c r="C9648" s="66"/>
      <c r="D9648" s="68"/>
      <c r="E9648" s="10"/>
      <c r="F9648" s="69"/>
      <c r="G9648" s="68"/>
      <c r="H9648" s="70"/>
      <c r="BA9648" s="4"/>
      <c r="BB9648" s="4"/>
    </row>
    <row r="9649" spans="1:54" x14ac:dyDescent="0.3">
      <c r="A9649" s="66"/>
      <c r="B9649" s="67"/>
      <c r="C9649" s="66"/>
      <c r="D9649" s="68"/>
      <c r="E9649" s="10"/>
      <c r="F9649" s="69"/>
      <c r="G9649" s="68"/>
      <c r="H9649" s="70"/>
      <c r="BA9649" s="4"/>
      <c r="BB9649" s="4"/>
    </row>
    <row r="9650" spans="1:54" x14ac:dyDescent="0.3">
      <c r="A9650" s="66"/>
      <c r="B9650" s="67"/>
      <c r="C9650" s="66"/>
      <c r="D9650" s="68"/>
      <c r="E9650" s="10"/>
      <c r="F9650" s="69"/>
      <c r="G9650" s="68"/>
      <c r="H9650" s="70"/>
      <c r="BA9650" s="4"/>
      <c r="BB9650" s="4"/>
    </row>
    <row r="9651" spans="1:54" x14ac:dyDescent="0.3">
      <c r="A9651" s="66"/>
      <c r="B9651" s="67"/>
      <c r="C9651" s="66"/>
      <c r="D9651" s="68"/>
      <c r="E9651" s="10"/>
      <c r="F9651" s="69"/>
      <c r="G9651" s="68"/>
      <c r="H9651" s="70"/>
      <c r="BA9651" s="4"/>
      <c r="BB9651" s="4"/>
    </row>
    <row r="9652" spans="1:54" x14ac:dyDescent="0.3">
      <c r="A9652" s="66"/>
      <c r="B9652" s="67"/>
      <c r="C9652" s="66"/>
      <c r="D9652" s="68"/>
      <c r="E9652" s="10"/>
      <c r="F9652" s="69"/>
      <c r="G9652" s="68"/>
      <c r="H9652" s="70"/>
      <c r="BA9652" s="4"/>
      <c r="BB9652" s="4"/>
    </row>
    <row r="9653" spans="1:54" x14ac:dyDescent="0.3">
      <c r="A9653" s="66"/>
      <c r="B9653" s="67"/>
      <c r="C9653" s="66"/>
      <c r="D9653" s="68"/>
      <c r="E9653" s="10"/>
      <c r="F9653" s="69"/>
      <c r="G9653" s="68"/>
      <c r="H9653" s="70"/>
      <c r="BA9653" s="4"/>
      <c r="BB9653" s="4"/>
    </row>
    <row r="9654" spans="1:54" x14ac:dyDescent="0.3">
      <c r="A9654" s="66"/>
      <c r="B9654" s="67"/>
      <c r="C9654" s="66"/>
      <c r="D9654" s="68"/>
      <c r="E9654" s="10"/>
      <c r="F9654" s="69"/>
      <c r="G9654" s="68"/>
      <c r="H9654" s="70"/>
      <c r="BA9654" s="4"/>
      <c r="BB9654" s="4"/>
    </row>
    <row r="9655" spans="1:54" x14ac:dyDescent="0.3">
      <c r="A9655" s="66"/>
      <c r="B9655" s="67"/>
      <c r="C9655" s="66"/>
      <c r="D9655" s="68"/>
      <c r="E9655" s="10"/>
      <c r="F9655" s="69"/>
      <c r="G9655" s="68"/>
      <c r="H9655" s="70"/>
      <c r="BA9655" s="4"/>
      <c r="BB9655" s="4"/>
    </row>
    <row r="9656" spans="1:54" x14ac:dyDescent="0.3">
      <c r="A9656" s="66"/>
      <c r="B9656" s="67"/>
      <c r="C9656" s="66"/>
      <c r="D9656" s="68"/>
      <c r="E9656" s="10"/>
      <c r="F9656" s="69"/>
      <c r="G9656" s="68"/>
      <c r="H9656" s="70"/>
      <c r="BA9656" s="4"/>
      <c r="BB9656" s="4"/>
    </row>
    <row r="9657" spans="1:54" x14ac:dyDescent="0.3">
      <c r="A9657" s="66"/>
      <c r="B9657" s="67"/>
      <c r="C9657" s="66"/>
      <c r="D9657" s="68"/>
      <c r="E9657" s="10"/>
      <c r="F9657" s="69"/>
      <c r="G9657" s="68"/>
      <c r="H9657" s="70"/>
      <c r="BA9657" s="4"/>
      <c r="BB9657" s="4"/>
    </row>
    <row r="9658" spans="1:54" x14ac:dyDescent="0.3">
      <c r="A9658" s="66"/>
      <c r="B9658" s="67"/>
      <c r="C9658" s="66"/>
      <c r="D9658" s="68"/>
      <c r="E9658" s="10"/>
      <c r="F9658" s="69"/>
      <c r="G9658" s="68"/>
      <c r="H9658" s="70"/>
      <c r="BA9658" s="4"/>
      <c r="BB9658" s="4"/>
    </row>
    <row r="9659" spans="1:54" x14ac:dyDescent="0.3">
      <c r="A9659" s="66"/>
      <c r="B9659" s="67"/>
      <c r="C9659" s="66"/>
      <c r="D9659" s="68"/>
      <c r="E9659" s="10"/>
      <c r="F9659" s="69"/>
      <c r="G9659" s="68"/>
      <c r="H9659" s="70"/>
      <c r="BA9659" s="4"/>
      <c r="BB9659" s="4"/>
    </row>
    <row r="9660" spans="1:54" x14ac:dyDescent="0.3">
      <c r="A9660" s="66"/>
      <c r="B9660" s="67"/>
      <c r="C9660" s="66"/>
      <c r="D9660" s="68"/>
      <c r="E9660" s="10"/>
      <c r="F9660" s="69"/>
      <c r="G9660" s="68"/>
      <c r="H9660" s="70"/>
      <c r="BA9660" s="4"/>
      <c r="BB9660" s="4"/>
    </row>
    <row r="9661" spans="1:54" x14ac:dyDescent="0.3">
      <c r="A9661" s="66"/>
      <c r="B9661" s="67"/>
      <c r="C9661" s="66"/>
      <c r="D9661" s="68"/>
      <c r="E9661" s="10"/>
      <c r="F9661" s="69"/>
      <c r="G9661" s="68"/>
      <c r="H9661" s="70"/>
      <c r="BA9661" s="4"/>
      <c r="BB9661" s="4"/>
    </row>
    <row r="9662" spans="1:54" x14ac:dyDescent="0.3">
      <c r="A9662" s="66"/>
      <c r="B9662" s="67"/>
      <c r="C9662" s="66"/>
      <c r="D9662" s="68"/>
      <c r="E9662" s="10"/>
      <c r="F9662" s="69"/>
      <c r="G9662" s="68"/>
      <c r="H9662" s="70"/>
      <c r="BA9662" s="4"/>
      <c r="BB9662" s="4"/>
    </row>
    <row r="9663" spans="1:54" x14ac:dyDescent="0.3">
      <c r="A9663" s="66"/>
      <c r="B9663" s="67"/>
      <c r="C9663" s="66"/>
      <c r="D9663" s="68"/>
      <c r="E9663" s="10"/>
      <c r="F9663" s="69"/>
      <c r="G9663" s="68"/>
      <c r="H9663" s="70"/>
      <c r="BA9663" s="4"/>
      <c r="BB9663" s="4"/>
    </row>
    <row r="9664" spans="1:54" x14ac:dyDescent="0.3">
      <c r="A9664" s="66"/>
      <c r="B9664" s="67"/>
      <c r="C9664" s="66"/>
      <c r="D9664" s="68"/>
      <c r="E9664" s="10"/>
      <c r="F9664" s="69"/>
      <c r="G9664" s="68"/>
      <c r="H9664" s="70"/>
      <c r="BA9664" s="4"/>
      <c r="BB9664" s="4"/>
    </row>
    <row r="9665" spans="1:54" x14ac:dyDescent="0.3">
      <c r="A9665" s="66"/>
      <c r="B9665" s="67"/>
      <c r="C9665" s="66"/>
      <c r="D9665" s="68"/>
      <c r="E9665" s="10"/>
      <c r="F9665" s="69"/>
      <c r="G9665" s="68"/>
      <c r="H9665" s="70"/>
      <c r="BA9665" s="4"/>
      <c r="BB9665" s="4"/>
    </row>
    <row r="9666" spans="1:54" x14ac:dyDescent="0.3">
      <c r="A9666" s="66"/>
      <c r="B9666" s="67"/>
      <c r="C9666" s="66"/>
      <c r="D9666" s="68"/>
      <c r="E9666" s="10"/>
      <c r="F9666" s="69"/>
      <c r="G9666" s="68"/>
      <c r="H9666" s="70"/>
      <c r="BA9666" s="4"/>
      <c r="BB9666" s="4"/>
    </row>
    <row r="9667" spans="1:54" x14ac:dyDescent="0.3">
      <c r="A9667" s="66"/>
      <c r="B9667" s="67"/>
      <c r="C9667" s="66"/>
      <c r="D9667" s="68"/>
      <c r="E9667" s="10"/>
      <c r="F9667" s="69"/>
      <c r="G9667" s="68"/>
      <c r="H9667" s="70"/>
      <c r="BA9667" s="4"/>
      <c r="BB9667" s="4"/>
    </row>
    <row r="9668" spans="1:54" x14ac:dyDescent="0.3">
      <c r="A9668" s="66"/>
      <c r="B9668" s="67"/>
      <c r="C9668" s="66"/>
      <c r="D9668" s="68"/>
      <c r="E9668" s="10"/>
      <c r="F9668" s="69"/>
      <c r="G9668" s="68"/>
      <c r="H9668" s="70"/>
      <c r="BA9668" s="4"/>
      <c r="BB9668" s="4"/>
    </row>
    <row r="9669" spans="1:54" x14ac:dyDescent="0.3">
      <c r="A9669" s="66"/>
      <c r="B9669" s="67"/>
      <c r="C9669" s="66"/>
      <c r="D9669" s="68"/>
      <c r="E9669" s="10"/>
      <c r="F9669" s="69"/>
      <c r="G9669" s="68"/>
      <c r="H9669" s="70"/>
      <c r="BA9669" s="4"/>
      <c r="BB9669" s="4"/>
    </row>
    <row r="9670" spans="1:54" x14ac:dyDescent="0.3">
      <c r="A9670" s="66"/>
      <c r="B9670" s="67"/>
      <c r="C9670" s="66"/>
      <c r="D9670" s="68"/>
      <c r="E9670" s="10"/>
      <c r="F9670" s="69"/>
      <c r="G9670" s="68"/>
      <c r="H9670" s="70"/>
      <c r="BA9670" s="4"/>
      <c r="BB9670" s="4"/>
    </row>
    <row r="9671" spans="1:54" x14ac:dyDescent="0.3">
      <c r="A9671" s="66"/>
      <c r="B9671" s="67"/>
      <c r="C9671" s="66"/>
      <c r="D9671" s="68"/>
      <c r="E9671" s="10"/>
      <c r="F9671" s="69"/>
      <c r="G9671" s="68"/>
      <c r="H9671" s="70"/>
      <c r="BA9671" s="4"/>
      <c r="BB9671" s="4"/>
    </row>
    <row r="9672" spans="1:54" x14ac:dyDescent="0.3">
      <c r="A9672" s="66"/>
      <c r="B9672" s="67"/>
      <c r="C9672" s="66"/>
      <c r="D9672" s="68"/>
      <c r="E9672" s="10"/>
      <c r="F9672" s="69"/>
      <c r="G9672" s="68"/>
      <c r="H9672" s="70"/>
      <c r="BA9672" s="4"/>
      <c r="BB9672" s="4"/>
    </row>
    <row r="9673" spans="1:54" x14ac:dyDescent="0.3">
      <c r="A9673" s="66"/>
      <c r="B9673" s="67"/>
      <c r="C9673" s="66"/>
      <c r="D9673" s="68"/>
      <c r="E9673" s="10"/>
      <c r="F9673" s="69"/>
      <c r="G9673" s="68"/>
      <c r="H9673" s="70"/>
      <c r="BA9673" s="4"/>
      <c r="BB9673" s="4"/>
    </row>
    <row r="9674" spans="1:54" x14ac:dyDescent="0.3">
      <c r="A9674" s="66"/>
      <c r="B9674" s="67"/>
      <c r="C9674" s="66"/>
      <c r="D9674" s="68"/>
      <c r="E9674" s="10"/>
      <c r="F9674" s="69"/>
      <c r="G9674" s="68"/>
      <c r="H9674" s="70"/>
      <c r="BA9674" s="4"/>
      <c r="BB9674" s="4"/>
    </row>
    <row r="9675" spans="1:54" x14ac:dyDescent="0.3">
      <c r="A9675" s="66"/>
      <c r="B9675" s="67"/>
      <c r="C9675" s="66"/>
      <c r="D9675" s="68"/>
      <c r="E9675" s="10"/>
      <c r="F9675" s="69"/>
      <c r="G9675" s="68"/>
      <c r="H9675" s="70"/>
      <c r="BA9675" s="4"/>
      <c r="BB9675" s="4"/>
    </row>
    <row r="9676" spans="1:54" x14ac:dyDescent="0.3">
      <c r="A9676" s="66"/>
      <c r="B9676" s="67"/>
      <c r="C9676" s="66"/>
      <c r="D9676" s="68"/>
      <c r="E9676" s="10"/>
      <c r="F9676" s="69"/>
      <c r="G9676" s="68"/>
      <c r="H9676" s="70"/>
      <c r="BA9676" s="4"/>
      <c r="BB9676" s="4"/>
    </row>
    <row r="9677" spans="1:54" x14ac:dyDescent="0.3">
      <c r="A9677" s="66"/>
      <c r="B9677" s="67"/>
      <c r="C9677" s="66"/>
      <c r="D9677" s="68"/>
      <c r="E9677" s="10"/>
      <c r="F9677" s="69"/>
      <c r="G9677" s="68"/>
      <c r="H9677" s="70"/>
      <c r="BA9677" s="4"/>
      <c r="BB9677" s="4"/>
    </row>
    <row r="9678" spans="1:54" x14ac:dyDescent="0.3">
      <c r="A9678" s="66"/>
      <c r="B9678" s="67"/>
      <c r="C9678" s="66"/>
      <c r="D9678" s="68"/>
      <c r="E9678" s="10"/>
      <c r="F9678" s="69"/>
      <c r="G9678" s="68"/>
      <c r="H9678" s="70"/>
      <c r="BA9678" s="4"/>
      <c r="BB9678" s="4"/>
    </row>
    <row r="9679" spans="1:54" x14ac:dyDescent="0.3">
      <c r="A9679" s="66"/>
      <c r="B9679" s="67"/>
      <c r="C9679" s="66"/>
      <c r="D9679" s="68"/>
      <c r="E9679" s="10"/>
      <c r="F9679" s="69"/>
      <c r="G9679" s="68"/>
      <c r="H9679" s="70"/>
      <c r="BA9679" s="4"/>
      <c r="BB9679" s="4"/>
    </row>
    <row r="9680" spans="1:54" x14ac:dyDescent="0.3">
      <c r="A9680" s="66"/>
      <c r="B9680" s="67"/>
      <c r="C9680" s="66"/>
      <c r="D9680" s="68"/>
      <c r="E9680" s="10"/>
      <c r="F9680" s="69"/>
      <c r="G9680" s="68"/>
      <c r="H9680" s="70"/>
      <c r="BA9680" s="4"/>
      <c r="BB9680" s="4"/>
    </row>
    <row r="9681" spans="1:54" x14ac:dyDescent="0.3">
      <c r="A9681" s="66"/>
      <c r="B9681" s="67"/>
      <c r="C9681" s="66"/>
      <c r="D9681" s="68"/>
      <c r="E9681" s="10"/>
      <c r="F9681" s="69"/>
      <c r="G9681" s="68"/>
      <c r="H9681" s="70"/>
      <c r="BA9681" s="4"/>
      <c r="BB9681" s="4"/>
    </row>
    <row r="9682" spans="1:54" x14ac:dyDescent="0.3">
      <c r="A9682" s="66"/>
      <c r="B9682" s="67"/>
      <c r="C9682" s="66"/>
      <c r="D9682" s="68"/>
      <c r="E9682" s="10"/>
      <c r="F9682" s="69"/>
      <c r="G9682" s="68"/>
      <c r="H9682" s="70"/>
      <c r="BA9682" s="4"/>
      <c r="BB9682" s="4"/>
    </row>
    <row r="9683" spans="1:54" x14ac:dyDescent="0.3">
      <c r="A9683" s="66"/>
      <c r="B9683" s="67"/>
      <c r="C9683" s="66"/>
      <c r="D9683" s="68"/>
      <c r="E9683" s="10"/>
      <c r="F9683" s="69"/>
      <c r="G9683" s="68"/>
      <c r="H9683" s="70"/>
      <c r="BA9683" s="4"/>
      <c r="BB9683" s="4"/>
    </row>
    <row r="9684" spans="1:54" x14ac:dyDescent="0.3">
      <c r="A9684" s="66"/>
      <c r="B9684" s="67"/>
      <c r="C9684" s="66"/>
      <c r="D9684" s="68"/>
      <c r="E9684" s="10"/>
      <c r="F9684" s="69"/>
      <c r="G9684" s="68"/>
      <c r="H9684" s="70"/>
      <c r="BA9684" s="4"/>
      <c r="BB9684" s="4"/>
    </row>
    <row r="9685" spans="1:54" x14ac:dyDescent="0.3">
      <c r="A9685" s="66"/>
      <c r="B9685" s="67"/>
      <c r="C9685" s="66"/>
      <c r="D9685" s="68"/>
      <c r="E9685" s="10"/>
      <c r="F9685" s="69"/>
      <c r="G9685" s="68"/>
      <c r="H9685" s="70"/>
      <c r="BA9685" s="4"/>
      <c r="BB9685" s="4"/>
    </row>
    <row r="9686" spans="1:54" x14ac:dyDescent="0.3">
      <c r="A9686" s="66"/>
      <c r="B9686" s="67"/>
      <c r="C9686" s="66"/>
      <c r="D9686" s="68"/>
      <c r="E9686" s="10"/>
      <c r="F9686" s="69"/>
      <c r="G9686" s="68"/>
      <c r="H9686" s="70"/>
      <c r="BA9686" s="4"/>
      <c r="BB9686" s="4"/>
    </row>
    <row r="9687" spans="1:54" x14ac:dyDescent="0.3">
      <c r="A9687" s="66"/>
      <c r="B9687" s="67"/>
      <c r="C9687" s="66"/>
      <c r="D9687" s="68"/>
      <c r="E9687" s="10"/>
      <c r="F9687" s="69"/>
      <c r="G9687" s="68"/>
      <c r="H9687" s="70"/>
      <c r="BA9687" s="4"/>
      <c r="BB9687" s="4"/>
    </row>
    <row r="9688" spans="1:54" x14ac:dyDescent="0.3">
      <c r="A9688" s="66"/>
      <c r="B9688" s="67"/>
      <c r="C9688" s="66"/>
      <c r="D9688" s="68"/>
      <c r="E9688" s="10"/>
      <c r="F9688" s="69"/>
      <c r="G9688" s="68"/>
      <c r="H9688" s="70"/>
      <c r="BA9688" s="4"/>
      <c r="BB9688" s="4"/>
    </row>
    <row r="9689" spans="1:54" x14ac:dyDescent="0.3">
      <c r="A9689" s="66"/>
      <c r="B9689" s="67"/>
      <c r="C9689" s="66"/>
      <c r="D9689" s="68"/>
      <c r="E9689" s="10"/>
      <c r="F9689" s="69"/>
      <c r="G9689" s="68"/>
      <c r="H9689" s="70"/>
      <c r="BA9689" s="4"/>
      <c r="BB9689" s="4"/>
    </row>
    <row r="9690" spans="1:54" x14ac:dyDescent="0.3">
      <c r="A9690" s="66"/>
      <c r="B9690" s="67"/>
      <c r="C9690" s="66"/>
      <c r="D9690" s="68"/>
      <c r="E9690" s="10"/>
      <c r="F9690" s="69"/>
      <c r="G9690" s="68"/>
      <c r="H9690" s="70"/>
      <c r="BA9690" s="4"/>
      <c r="BB9690" s="4"/>
    </row>
    <row r="9691" spans="1:54" x14ac:dyDescent="0.3">
      <c r="A9691" s="66"/>
      <c r="B9691" s="67"/>
      <c r="C9691" s="66"/>
      <c r="D9691" s="68"/>
      <c r="E9691" s="10"/>
      <c r="F9691" s="69"/>
      <c r="G9691" s="68"/>
      <c r="H9691" s="70"/>
      <c r="BA9691" s="4"/>
      <c r="BB9691" s="4"/>
    </row>
    <row r="9692" spans="1:54" x14ac:dyDescent="0.3">
      <c r="A9692" s="66"/>
      <c r="B9692" s="67"/>
      <c r="C9692" s="66"/>
      <c r="D9692" s="68"/>
      <c r="E9692" s="10"/>
      <c r="F9692" s="69"/>
      <c r="G9692" s="68"/>
      <c r="H9692" s="70"/>
      <c r="BA9692" s="4"/>
      <c r="BB9692" s="4"/>
    </row>
    <row r="9693" spans="1:54" x14ac:dyDescent="0.3">
      <c r="A9693" s="66"/>
      <c r="B9693" s="67"/>
      <c r="C9693" s="66"/>
      <c r="D9693" s="68"/>
      <c r="E9693" s="10"/>
      <c r="F9693" s="69"/>
      <c r="G9693" s="68"/>
      <c r="H9693" s="70"/>
      <c r="BA9693" s="4"/>
      <c r="BB9693" s="4"/>
    </row>
    <row r="9694" spans="1:54" x14ac:dyDescent="0.3">
      <c r="A9694" s="66"/>
      <c r="B9694" s="67"/>
      <c r="C9694" s="66"/>
      <c r="D9694" s="68"/>
      <c r="E9694" s="10"/>
      <c r="F9694" s="69"/>
      <c r="G9694" s="68"/>
      <c r="H9694" s="70"/>
      <c r="BA9694" s="4"/>
      <c r="BB9694" s="4"/>
    </row>
    <row r="9695" spans="1:54" x14ac:dyDescent="0.3">
      <c r="A9695" s="66"/>
      <c r="B9695" s="67"/>
      <c r="C9695" s="66"/>
      <c r="D9695" s="68"/>
      <c r="E9695" s="10"/>
      <c r="F9695" s="69"/>
      <c r="G9695" s="68"/>
      <c r="H9695" s="70"/>
      <c r="BA9695" s="4"/>
      <c r="BB9695" s="4"/>
    </row>
    <row r="9696" spans="1:54" x14ac:dyDescent="0.3">
      <c r="A9696" s="66"/>
      <c r="B9696" s="67"/>
      <c r="C9696" s="66"/>
      <c r="D9696" s="68"/>
      <c r="E9696" s="10"/>
      <c r="F9696" s="69"/>
      <c r="G9696" s="68"/>
      <c r="H9696" s="70"/>
      <c r="BA9696" s="4"/>
      <c r="BB9696" s="4"/>
    </row>
    <row r="9697" spans="1:54" x14ac:dyDescent="0.3">
      <c r="A9697" s="66"/>
      <c r="B9697" s="67"/>
      <c r="C9697" s="66"/>
      <c r="D9697" s="68"/>
      <c r="E9697" s="10"/>
      <c r="F9697" s="69"/>
      <c r="G9697" s="68"/>
      <c r="H9697" s="70"/>
      <c r="BA9697" s="4"/>
      <c r="BB9697" s="4"/>
    </row>
    <row r="9698" spans="1:54" x14ac:dyDescent="0.3">
      <c r="A9698" s="66"/>
      <c r="B9698" s="67"/>
      <c r="C9698" s="66"/>
      <c r="D9698" s="68"/>
      <c r="E9698" s="10"/>
      <c r="F9698" s="69"/>
      <c r="G9698" s="68"/>
      <c r="H9698" s="70"/>
      <c r="BA9698" s="4"/>
      <c r="BB9698" s="4"/>
    </row>
    <row r="9699" spans="1:54" x14ac:dyDescent="0.3">
      <c r="A9699" s="66"/>
      <c r="B9699" s="67"/>
      <c r="C9699" s="66"/>
      <c r="D9699" s="68"/>
      <c r="E9699" s="10"/>
      <c r="F9699" s="69"/>
      <c r="G9699" s="68"/>
      <c r="H9699" s="70"/>
      <c r="BA9699" s="4"/>
      <c r="BB9699" s="4"/>
    </row>
    <row r="9700" spans="1:54" x14ac:dyDescent="0.3">
      <c r="A9700" s="66"/>
      <c r="B9700" s="67"/>
      <c r="C9700" s="66"/>
      <c r="D9700" s="68"/>
      <c r="E9700" s="10"/>
      <c r="F9700" s="69"/>
      <c r="G9700" s="68"/>
      <c r="H9700" s="70"/>
      <c r="BA9700" s="4"/>
      <c r="BB9700" s="4"/>
    </row>
    <row r="9701" spans="1:54" x14ac:dyDescent="0.3">
      <c r="A9701" s="66"/>
      <c r="B9701" s="67"/>
      <c r="C9701" s="66"/>
      <c r="D9701" s="68"/>
      <c r="E9701" s="10"/>
      <c r="F9701" s="69"/>
      <c r="G9701" s="68"/>
      <c r="H9701" s="70"/>
      <c r="BA9701" s="4"/>
      <c r="BB9701" s="4"/>
    </row>
    <row r="9702" spans="1:54" x14ac:dyDescent="0.3">
      <c r="A9702" s="66"/>
      <c r="B9702" s="67"/>
      <c r="C9702" s="66"/>
      <c r="D9702" s="68"/>
      <c r="E9702" s="10"/>
      <c r="F9702" s="69"/>
      <c r="G9702" s="68"/>
      <c r="H9702" s="70"/>
      <c r="BA9702" s="4"/>
      <c r="BB9702" s="4"/>
    </row>
    <row r="9703" spans="1:54" x14ac:dyDescent="0.3">
      <c r="A9703" s="66"/>
      <c r="B9703" s="67"/>
      <c r="C9703" s="66"/>
      <c r="D9703" s="68"/>
      <c r="E9703" s="10"/>
      <c r="F9703" s="69"/>
      <c r="G9703" s="68"/>
      <c r="H9703" s="70"/>
      <c r="BA9703" s="4"/>
      <c r="BB9703" s="4"/>
    </row>
    <row r="9704" spans="1:54" x14ac:dyDescent="0.3">
      <c r="A9704" s="66"/>
      <c r="B9704" s="67"/>
      <c r="C9704" s="66"/>
      <c r="D9704" s="68"/>
      <c r="E9704" s="10"/>
      <c r="F9704" s="69"/>
      <c r="G9704" s="68"/>
      <c r="H9704" s="70"/>
      <c r="BA9704" s="4"/>
      <c r="BB9704" s="4"/>
    </row>
    <row r="9705" spans="1:54" x14ac:dyDescent="0.3">
      <c r="A9705" s="66"/>
      <c r="B9705" s="67"/>
      <c r="C9705" s="66"/>
      <c r="D9705" s="68"/>
      <c r="E9705" s="10"/>
      <c r="F9705" s="69"/>
      <c r="G9705" s="68"/>
      <c r="H9705" s="70"/>
      <c r="BA9705" s="4"/>
      <c r="BB9705" s="4"/>
    </row>
    <row r="9706" spans="1:54" x14ac:dyDescent="0.3">
      <c r="A9706" s="66"/>
      <c r="B9706" s="67"/>
      <c r="C9706" s="66"/>
      <c r="D9706" s="68"/>
      <c r="E9706" s="10"/>
      <c r="F9706" s="69"/>
      <c r="G9706" s="68"/>
      <c r="H9706" s="70"/>
      <c r="BA9706" s="4"/>
      <c r="BB9706" s="4"/>
    </row>
    <row r="9707" spans="1:54" x14ac:dyDescent="0.3">
      <c r="A9707" s="66"/>
      <c r="B9707" s="67"/>
      <c r="C9707" s="66"/>
      <c r="D9707" s="68"/>
      <c r="E9707" s="10"/>
      <c r="F9707" s="69"/>
      <c r="G9707" s="68"/>
      <c r="H9707" s="70"/>
      <c r="BA9707" s="4"/>
      <c r="BB9707" s="4"/>
    </row>
    <row r="9708" spans="1:54" x14ac:dyDescent="0.3">
      <c r="A9708" s="66"/>
      <c r="B9708" s="67"/>
      <c r="C9708" s="66"/>
      <c r="D9708" s="68"/>
      <c r="E9708" s="10"/>
      <c r="F9708" s="69"/>
      <c r="G9708" s="68"/>
      <c r="H9708" s="70"/>
      <c r="BA9708" s="4"/>
      <c r="BB9708" s="4"/>
    </row>
    <row r="9709" spans="1:54" x14ac:dyDescent="0.3">
      <c r="A9709" s="66"/>
      <c r="B9709" s="67"/>
      <c r="C9709" s="66"/>
      <c r="D9709" s="68"/>
      <c r="E9709" s="10"/>
      <c r="F9709" s="69"/>
      <c r="G9709" s="68"/>
      <c r="H9709" s="70"/>
      <c r="BA9709" s="4"/>
      <c r="BB9709" s="4"/>
    </row>
    <row r="9710" spans="1:54" x14ac:dyDescent="0.3">
      <c r="A9710" s="66"/>
      <c r="B9710" s="67"/>
      <c r="C9710" s="66"/>
      <c r="D9710" s="68"/>
      <c r="E9710" s="10"/>
      <c r="F9710" s="69"/>
      <c r="G9710" s="68"/>
      <c r="H9710" s="70"/>
      <c r="BA9710" s="4"/>
      <c r="BB9710" s="4"/>
    </row>
    <row r="9711" spans="1:54" x14ac:dyDescent="0.3">
      <c r="A9711" s="66"/>
      <c r="B9711" s="67"/>
      <c r="C9711" s="66"/>
      <c r="D9711" s="68"/>
      <c r="E9711" s="10"/>
      <c r="F9711" s="69"/>
      <c r="G9711" s="68"/>
      <c r="H9711" s="70"/>
      <c r="BA9711" s="4"/>
      <c r="BB9711" s="4"/>
    </row>
    <row r="9712" spans="1:54" x14ac:dyDescent="0.3">
      <c r="A9712" s="66"/>
      <c r="B9712" s="67"/>
      <c r="C9712" s="66"/>
      <c r="D9712" s="68"/>
      <c r="E9712" s="10"/>
      <c r="F9712" s="69"/>
      <c r="G9712" s="68"/>
      <c r="H9712" s="70"/>
      <c r="BA9712" s="4"/>
      <c r="BB9712" s="4"/>
    </row>
    <row r="9713" spans="1:54" x14ac:dyDescent="0.3">
      <c r="A9713" s="66"/>
      <c r="B9713" s="67"/>
      <c r="C9713" s="66"/>
      <c r="D9713" s="68"/>
      <c r="E9713" s="10"/>
      <c r="F9713" s="69"/>
      <c r="G9713" s="68"/>
      <c r="H9713" s="70"/>
      <c r="BA9713" s="4"/>
      <c r="BB9713" s="4"/>
    </row>
    <row r="9714" spans="1:54" x14ac:dyDescent="0.3">
      <c r="A9714" s="66"/>
      <c r="B9714" s="67"/>
      <c r="C9714" s="66"/>
      <c r="D9714" s="68"/>
      <c r="E9714" s="10"/>
      <c r="F9714" s="69"/>
      <c r="G9714" s="68"/>
      <c r="H9714" s="70"/>
      <c r="BA9714" s="4"/>
      <c r="BB9714" s="4"/>
    </row>
    <row r="9715" spans="1:54" x14ac:dyDescent="0.3">
      <c r="A9715" s="66"/>
      <c r="B9715" s="67"/>
      <c r="C9715" s="66"/>
      <c r="D9715" s="68"/>
      <c r="E9715" s="10"/>
      <c r="F9715" s="69"/>
      <c r="G9715" s="68"/>
      <c r="H9715" s="70"/>
      <c r="BA9715" s="4"/>
      <c r="BB9715" s="4"/>
    </row>
    <row r="9716" spans="1:54" x14ac:dyDescent="0.3">
      <c r="A9716" s="66"/>
      <c r="B9716" s="67"/>
      <c r="C9716" s="66"/>
      <c r="D9716" s="68"/>
      <c r="E9716" s="10"/>
      <c r="F9716" s="69"/>
      <c r="G9716" s="68"/>
      <c r="H9716" s="70"/>
      <c r="BA9716" s="4"/>
      <c r="BB9716" s="4"/>
    </row>
    <row r="9717" spans="1:54" x14ac:dyDescent="0.3">
      <c r="A9717" s="66"/>
      <c r="B9717" s="67"/>
      <c r="C9717" s="66"/>
      <c r="D9717" s="68"/>
      <c r="E9717" s="10"/>
      <c r="F9717" s="69"/>
      <c r="G9717" s="68"/>
      <c r="H9717" s="70"/>
      <c r="BA9717" s="4"/>
      <c r="BB9717" s="4"/>
    </row>
    <row r="9718" spans="1:54" x14ac:dyDescent="0.3">
      <c r="A9718" s="66"/>
      <c r="B9718" s="67"/>
      <c r="C9718" s="66"/>
      <c r="D9718" s="68"/>
      <c r="E9718" s="10"/>
      <c r="F9718" s="69"/>
      <c r="G9718" s="68"/>
      <c r="H9718" s="70"/>
      <c r="BA9718" s="4"/>
      <c r="BB9718" s="4"/>
    </row>
    <row r="9719" spans="1:54" x14ac:dyDescent="0.3">
      <c r="A9719" s="66"/>
      <c r="B9719" s="67"/>
      <c r="C9719" s="66"/>
      <c r="D9719" s="68"/>
      <c r="E9719" s="10"/>
      <c r="F9719" s="69"/>
      <c r="G9719" s="68"/>
      <c r="H9719" s="70"/>
      <c r="BA9719" s="4"/>
      <c r="BB9719" s="4"/>
    </row>
    <row r="9720" spans="1:54" x14ac:dyDescent="0.3">
      <c r="A9720" s="66"/>
      <c r="B9720" s="67"/>
      <c r="C9720" s="66"/>
      <c r="D9720" s="68"/>
      <c r="E9720" s="10"/>
      <c r="F9720" s="69"/>
      <c r="G9720" s="68"/>
      <c r="H9720" s="70"/>
      <c r="BA9720" s="4"/>
      <c r="BB9720" s="4"/>
    </row>
    <row r="9721" spans="1:54" x14ac:dyDescent="0.3">
      <c r="A9721" s="66"/>
      <c r="B9721" s="67"/>
      <c r="C9721" s="66"/>
      <c r="D9721" s="68"/>
      <c r="E9721" s="10"/>
      <c r="F9721" s="69"/>
      <c r="G9721" s="68"/>
      <c r="H9721" s="70"/>
      <c r="BA9721" s="4"/>
      <c r="BB9721" s="4"/>
    </row>
    <row r="9722" spans="1:54" x14ac:dyDescent="0.3">
      <c r="A9722" s="66"/>
      <c r="B9722" s="67"/>
      <c r="C9722" s="66"/>
      <c r="D9722" s="68"/>
      <c r="E9722" s="10"/>
      <c r="F9722" s="69"/>
      <c r="G9722" s="68"/>
      <c r="H9722" s="70"/>
      <c r="BA9722" s="4"/>
      <c r="BB9722" s="4"/>
    </row>
    <row r="9723" spans="1:54" x14ac:dyDescent="0.3">
      <c r="A9723" s="66"/>
      <c r="B9723" s="67"/>
      <c r="C9723" s="66"/>
      <c r="D9723" s="68"/>
      <c r="E9723" s="10"/>
      <c r="F9723" s="69"/>
      <c r="G9723" s="68"/>
      <c r="H9723" s="70"/>
      <c r="BA9723" s="4"/>
      <c r="BB9723" s="4"/>
    </row>
    <row r="9724" spans="1:54" x14ac:dyDescent="0.3">
      <c r="A9724" s="66"/>
      <c r="B9724" s="67"/>
      <c r="C9724" s="66"/>
      <c r="D9724" s="68"/>
      <c r="E9724" s="10"/>
      <c r="F9724" s="69"/>
      <c r="G9724" s="68"/>
      <c r="H9724" s="70"/>
      <c r="BA9724" s="4"/>
      <c r="BB9724" s="4"/>
    </row>
    <row r="9725" spans="1:54" x14ac:dyDescent="0.3">
      <c r="A9725" s="66"/>
      <c r="B9725" s="67"/>
      <c r="C9725" s="66"/>
      <c r="D9725" s="68"/>
      <c r="E9725" s="10"/>
      <c r="F9725" s="69"/>
      <c r="G9725" s="68"/>
      <c r="H9725" s="70"/>
      <c r="BA9725" s="4"/>
      <c r="BB9725" s="4"/>
    </row>
    <row r="9726" spans="1:54" x14ac:dyDescent="0.3">
      <c r="A9726" s="66"/>
      <c r="B9726" s="67"/>
      <c r="C9726" s="66"/>
      <c r="D9726" s="68"/>
      <c r="E9726" s="10"/>
      <c r="F9726" s="69"/>
      <c r="G9726" s="68"/>
      <c r="H9726" s="70"/>
      <c r="BA9726" s="4"/>
      <c r="BB9726" s="4"/>
    </row>
    <row r="9727" spans="1:54" x14ac:dyDescent="0.3">
      <c r="A9727" s="66"/>
      <c r="B9727" s="67"/>
      <c r="C9727" s="66"/>
      <c r="D9727" s="68"/>
      <c r="E9727" s="10"/>
      <c r="F9727" s="69"/>
      <c r="G9727" s="68"/>
      <c r="H9727" s="70"/>
      <c r="BA9727" s="4"/>
      <c r="BB9727" s="4"/>
    </row>
    <row r="9728" spans="1:54" x14ac:dyDescent="0.3">
      <c r="A9728" s="66"/>
      <c r="B9728" s="67"/>
      <c r="C9728" s="66"/>
      <c r="D9728" s="68"/>
      <c r="E9728" s="10"/>
      <c r="F9728" s="69"/>
      <c r="G9728" s="68"/>
      <c r="H9728" s="70"/>
      <c r="BA9728" s="4"/>
      <c r="BB9728" s="4"/>
    </row>
    <row r="9729" spans="1:54" x14ac:dyDescent="0.3">
      <c r="A9729" s="66"/>
      <c r="B9729" s="67"/>
      <c r="C9729" s="66"/>
      <c r="D9729" s="68"/>
      <c r="E9729" s="10"/>
      <c r="F9729" s="69"/>
      <c r="G9729" s="68"/>
      <c r="H9729" s="70"/>
      <c r="BA9729" s="4"/>
      <c r="BB9729" s="4"/>
    </row>
    <row r="9730" spans="1:54" x14ac:dyDescent="0.3">
      <c r="A9730" s="66"/>
      <c r="B9730" s="67"/>
      <c r="C9730" s="66"/>
      <c r="D9730" s="68"/>
      <c r="E9730" s="10"/>
      <c r="F9730" s="69"/>
      <c r="G9730" s="68"/>
      <c r="H9730" s="70"/>
      <c r="BA9730" s="4"/>
      <c r="BB9730" s="4"/>
    </row>
    <row r="9731" spans="1:54" x14ac:dyDescent="0.3">
      <c r="A9731" s="66"/>
      <c r="B9731" s="67"/>
      <c r="C9731" s="66"/>
      <c r="D9731" s="68"/>
      <c r="E9731" s="10"/>
      <c r="F9731" s="69"/>
      <c r="G9731" s="68"/>
      <c r="H9731" s="70"/>
      <c r="BA9731" s="4"/>
      <c r="BB9731" s="4"/>
    </row>
    <row r="9732" spans="1:54" x14ac:dyDescent="0.3">
      <c r="A9732" s="66"/>
      <c r="B9732" s="67"/>
      <c r="C9732" s="66"/>
      <c r="D9732" s="68"/>
      <c r="E9732" s="10"/>
      <c r="F9732" s="69"/>
      <c r="G9732" s="68"/>
      <c r="H9732" s="70"/>
      <c r="BA9732" s="4"/>
      <c r="BB9732" s="4"/>
    </row>
    <row r="9733" spans="1:54" x14ac:dyDescent="0.3">
      <c r="A9733" s="66"/>
      <c r="B9733" s="67"/>
      <c r="C9733" s="66"/>
      <c r="D9733" s="68"/>
      <c r="E9733" s="10"/>
      <c r="F9733" s="69"/>
      <c r="G9733" s="68"/>
      <c r="H9733" s="70"/>
      <c r="BA9733" s="4"/>
      <c r="BB9733" s="4"/>
    </row>
    <row r="9734" spans="1:54" x14ac:dyDescent="0.3">
      <c r="A9734" s="66"/>
      <c r="B9734" s="67"/>
      <c r="C9734" s="66"/>
      <c r="D9734" s="68"/>
      <c r="E9734" s="10"/>
      <c r="F9734" s="69"/>
      <c r="G9734" s="68"/>
      <c r="H9734" s="70"/>
      <c r="BA9734" s="4"/>
      <c r="BB9734" s="4"/>
    </row>
    <row r="9735" spans="1:54" x14ac:dyDescent="0.3">
      <c r="A9735" s="66"/>
      <c r="B9735" s="67"/>
      <c r="C9735" s="66"/>
      <c r="D9735" s="68"/>
      <c r="E9735" s="10"/>
      <c r="F9735" s="69"/>
      <c r="G9735" s="68"/>
      <c r="H9735" s="70"/>
      <c r="BA9735" s="4"/>
      <c r="BB9735" s="4"/>
    </row>
    <row r="9736" spans="1:54" x14ac:dyDescent="0.3">
      <c r="A9736" s="66"/>
      <c r="B9736" s="67"/>
      <c r="C9736" s="66"/>
      <c r="D9736" s="68"/>
      <c r="E9736" s="10"/>
      <c r="F9736" s="69"/>
      <c r="G9736" s="68"/>
      <c r="H9736" s="70"/>
      <c r="BA9736" s="4"/>
      <c r="BB9736" s="4"/>
    </row>
    <row r="9737" spans="1:54" x14ac:dyDescent="0.3">
      <c r="A9737" s="66"/>
      <c r="B9737" s="67"/>
      <c r="C9737" s="66"/>
      <c r="D9737" s="68"/>
      <c r="E9737" s="10"/>
      <c r="F9737" s="69"/>
      <c r="G9737" s="68"/>
      <c r="H9737" s="70"/>
      <c r="BA9737" s="4"/>
      <c r="BB9737" s="4"/>
    </row>
    <row r="9738" spans="1:54" x14ac:dyDescent="0.3">
      <c r="A9738" s="66"/>
      <c r="B9738" s="67"/>
      <c r="C9738" s="66"/>
      <c r="D9738" s="68"/>
      <c r="E9738" s="10"/>
      <c r="F9738" s="69"/>
      <c r="G9738" s="68"/>
      <c r="H9738" s="70"/>
      <c r="BA9738" s="4"/>
      <c r="BB9738" s="4"/>
    </row>
    <row r="9739" spans="1:54" x14ac:dyDescent="0.3">
      <c r="A9739" s="66"/>
      <c r="B9739" s="67"/>
      <c r="C9739" s="66"/>
      <c r="D9739" s="68"/>
      <c r="E9739" s="10"/>
      <c r="F9739" s="69"/>
      <c r="G9739" s="68"/>
      <c r="H9739" s="70"/>
      <c r="BA9739" s="4"/>
      <c r="BB9739" s="4"/>
    </row>
    <row r="9740" spans="1:54" x14ac:dyDescent="0.3">
      <c r="A9740" s="66"/>
      <c r="B9740" s="67"/>
      <c r="C9740" s="66"/>
      <c r="D9740" s="68"/>
      <c r="E9740" s="10"/>
      <c r="F9740" s="69"/>
      <c r="G9740" s="68"/>
      <c r="H9740" s="70"/>
      <c r="BA9740" s="4"/>
      <c r="BB9740" s="4"/>
    </row>
    <row r="9741" spans="1:54" x14ac:dyDescent="0.3">
      <c r="A9741" s="66"/>
      <c r="B9741" s="67"/>
      <c r="C9741" s="66"/>
      <c r="D9741" s="68"/>
      <c r="E9741" s="10"/>
      <c r="F9741" s="69"/>
      <c r="G9741" s="68"/>
      <c r="H9741" s="70"/>
      <c r="BA9741" s="4"/>
      <c r="BB9741" s="4"/>
    </row>
    <row r="9742" spans="1:54" x14ac:dyDescent="0.3">
      <c r="A9742" s="66"/>
      <c r="B9742" s="67"/>
      <c r="C9742" s="66"/>
      <c r="D9742" s="68"/>
      <c r="E9742" s="10"/>
      <c r="F9742" s="69"/>
      <c r="G9742" s="68"/>
      <c r="H9742" s="70"/>
      <c r="BA9742" s="4"/>
      <c r="BB9742" s="4"/>
    </row>
    <row r="9743" spans="1:54" x14ac:dyDescent="0.3">
      <c r="A9743" s="66"/>
      <c r="B9743" s="67"/>
      <c r="C9743" s="66"/>
      <c r="D9743" s="68"/>
      <c r="E9743" s="10"/>
      <c r="F9743" s="69"/>
      <c r="G9743" s="68"/>
      <c r="H9743" s="70"/>
      <c r="BA9743" s="4"/>
      <c r="BB9743" s="4"/>
    </row>
    <row r="9744" spans="1:54" x14ac:dyDescent="0.3">
      <c r="A9744" s="66"/>
      <c r="B9744" s="67"/>
      <c r="C9744" s="66"/>
      <c r="D9744" s="68"/>
      <c r="E9744" s="10"/>
      <c r="F9744" s="69"/>
      <c r="G9744" s="68"/>
      <c r="H9744" s="70"/>
      <c r="BA9744" s="4"/>
      <c r="BB9744" s="4"/>
    </row>
    <row r="9745" spans="1:54" x14ac:dyDescent="0.3">
      <c r="A9745" s="66"/>
      <c r="B9745" s="67"/>
      <c r="C9745" s="66"/>
      <c r="D9745" s="68"/>
      <c r="E9745" s="10"/>
      <c r="F9745" s="69"/>
      <c r="G9745" s="68"/>
      <c r="H9745" s="70"/>
      <c r="BA9745" s="4"/>
      <c r="BB9745" s="4"/>
    </row>
    <row r="9746" spans="1:54" x14ac:dyDescent="0.3">
      <c r="A9746" s="66"/>
      <c r="B9746" s="67"/>
      <c r="C9746" s="66"/>
      <c r="D9746" s="68"/>
      <c r="E9746" s="10"/>
      <c r="F9746" s="69"/>
      <c r="G9746" s="68"/>
      <c r="H9746" s="70"/>
      <c r="BA9746" s="4"/>
      <c r="BB9746" s="4"/>
    </row>
    <row r="9747" spans="1:54" x14ac:dyDescent="0.3">
      <c r="A9747" s="66"/>
      <c r="B9747" s="67"/>
      <c r="C9747" s="66"/>
      <c r="D9747" s="68"/>
      <c r="E9747" s="10"/>
      <c r="F9747" s="69"/>
      <c r="G9747" s="68"/>
      <c r="H9747" s="70"/>
      <c r="BA9747" s="4"/>
      <c r="BB9747" s="4"/>
    </row>
    <row r="9748" spans="1:54" x14ac:dyDescent="0.3">
      <c r="A9748" s="66"/>
      <c r="B9748" s="67"/>
      <c r="C9748" s="66"/>
      <c r="D9748" s="68"/>
      <c r="E9748" s="10"/>
      <c r="F9748" s="69"/>
      <c r="G9748" s="68"/>
      <c r="H9748" s="70"/>
      <c r="BA9748" s="4"/>
      <c r="BB9748" s="4"/>
    </row>
    <row r="9749" spans="1:54" x14ac:dyDescent="0.3">
      <c r="A9749" s="66"/>
      <c r="B9749" s="67"/>
      <c r="C9749" s="66"/>
      <c r="D9749" s="68"/>
      <c r="E9749" s="10"/>
      <c r="F9749" s="69"/>
      <c r="G9749" s="68"/>
      <c r="H9749" s="70"/>
      <c r="BA9749" s="4"/>
      <c r="BB9749" s="4"/>
    </row>
    <row r="9750" spans="1:54" x14ac:dyDescent="0.3">
      <c r="A9750" s="66"/>
      <c r="B9750" s="67"/>
      <c r="C9750" s="66"/>
      <c r="D9750" s="68"/>
      <c r="E9750" s="10"/>
      <c r="F9750" s="69"/>
      <c r="G9750" s="68"/>
      <c r="H9750" s="70"/>
      <c r="BA9750" s="4"/>
      <c r="BB9750" s="4"/>
    </row>
    <row r="9751" spans="1:54" x14ac:dyDescent="0.3">
      <c r="A9751" s="66"/>
      <c r="B9751" s="67"/>
      <c r="C9751" s="66"/>
      <c r="D9751" s="68"/>
      <c r="E9751" s="10"/>
      <c r="F9751" s="69"/>
      <c r="G9751" s="68"/>
      <c r="H9751" s="70"/>
      <c r="BA9751" s="4"/>
      <c r="BB9751" s="4"/>
    </row>
    <row r="9752" spans="1:54" x14ac:dyDescent="0.3">
      <c r="A9752" s="66"/>
      <c r="B9752" s="67"/>
      <c r="C9752" s="66"/>
      <c r="D9752" s="68"/>
      <c r="E9752" s="10"/>
      <c r="F9752" s="69"/>
      <c r="G9752" s="68"/>
      <c r="H9752" s="70"/>
      <c r="BA9752" s="4"/>
      <c r="BB9752" s="4"/>
    </row>
    <row r="9753" spans="1:54" x14ac:dyDescent="0.3">
      <c r="A9753" s="66"/>
      <c r="B9753" s="67"/>
      <c r="C9753" s="66"/>
      <c r="D9753" s="68"/>
      <c r="E9753" s="10"/>
      <c r="F9753" s="69"/>
      <c r="G9753" s="68"/>
      <c r="H9753" s="70"/>
      <c r="BA9753" s="4"/>
      <c r="BB9753" s="4"/>
    </row>
    <row r="9754" spans="1:54" x14ac:dyDescent="0.3">
      <c r="A9754" s="66"/>
      <c r="B9754" s="67"/>
      <c r="C9754" s="66"/>
      <c r="D9754" s="68"/>
      <c r="E9754" s="10"/>
      <c r="F9754" s="69"/>
      <c r="G9754" s="68"/>
      <c r="H9754" s="70"/>
      <c r="BA9754" s="4"/>
      <c r="BB9754" s="4"/>
    </row>
    <row r="9755" spans="1:54" x14ac:dyDescent="0.3">
      <c r="A9755" s="66"/>
      <c r="B9755" s="67"/>
      <c r="C9755" s="66"/>
      <c r="D9755" s="68"/>
      <c r="E9755" s="10"/>
      <c r="F9755" s="69"/>
      <c r="G9755" s="68"/>
      <c r="H9755" s="70"/>
      <c r="BA9755" s="4"/>
      <c r="BB9755" s="4"/>
    </row>
    <row r="9756" spans="1:54" x14ac:dyDescent="0.3">
      <c r="A9756" s="66"/>
      <c r="B9756" s="67"/>
      <c r="C9756" s="66"/>
      <c r="D9756" s="68"/>
      <c r="E9756" s="10"/>
      <c r="F9756" s="69"/>
      <c r="G9756" s="68"/>
      <c r="H9756" s="70"/>
      <c r="BA9756" s="4"/>
      <c r="BB9756" s="4"/>
    </row>
    <row r="9757" spans="1:54" x14ac:dyDescent="0.3">
      <c r="A9757" s="66"/>
      <c r="B9757" s="67"/>
      <c r="C9757" s="66"/>
      <c r="D9757" s="68"/>
      <c r="E9757" s="10"/>
      <c r="F9757" s="69"/>
      <c r="G9757" s="68"/>
      <c r="H9757" s="70"/>
      <c r="BA9757" s="4"/>
      <c r="BB9757" s="4"/>
    </row>
    <row r="9758" spans="1:54" x14ac:dyDescent="0.3">
      <c r="A9758" s="66"/>
      <c r="B9758" s="67"/>
      <c r="C9758" s="66"/>
      <c r="D9758" s="68"/>
      <c r="E9758" s="10"/>
      <c r="F9758" s="69"/>
      <c r="G9758" s="68"/>
      <c r="H9758" s="70"/>
      <c r="BA9758" s="4"/>
      <c r="BB9758" s="4"/>
    </row>
    <row r="9759" spans="1:54" x14ac:dyDescent="0.3">
      <c r="A9759" s="66"/>
      <c r="B9759" s="67"/>
      <c r="C9759" s="66"/>
      <c r="D9759" s="68"/>
      <c r="E9759" s="10"/>
      <c r="F9759" s="69"/>
      <c r="G9759" s="68"/>
      <c r="H9759" s="70"/>
      <c r="BA9759" s="4"/>
      <c r="BB9759" s="4"/>
    </row>
    <row r="9760" spans="1:54" x14ac:dyDescent="0.3">
      <c r="A9760" s="66"/>
      <c r="B9760" s="67"/>
      <c r="C9760" s="66"/>
      <c r="D9760" s="68"/>
      <c r="E9760" s="10"/>
      <c r="F9760" s="69"/>
      <c r="G9760" s="68"/>
      <c r="H9760" s="70"/>
      <c r="BA9760" s="4"/>
      <c r="BB9760" s="4"/>
    </row>
    <row r="9761" spans="1:54" x14ac:dyDescent="0.3">
      <c r="A9761" s="66"/>
      <c r="B9761" s="67"/>
      <c r="C9761" s="66"/>
      <c r="D9761" s="68"/>
      <c r="E9761" s="10"/>
      <c r="F9761" s="69"/>
      <c r="G9761" s="68"/>
      <c r="H9761" s="70"/>
      <c r="BA9761" s="4"/>
      <c r="BB9761" s="4"/>
    </row>
    <row r="9762" spans="1:54" x14ac:dyDescent="0.3">
      <c r="A9762" s="66"/>
      <c r="B9762" s="67"/>
      <c r="C9762" s="66"/>
      <c r="D9762" s="68"/>
      <c r="E9762" s="10"/>
      <c r="F9762" s="69"/>
      <c r="G9762" s="68"/>
      <c r="H9762" s="70"/>
      <c r="BA9762" s="4"/>
      <c r="BB9762" s="4"/>
    </row>
    <row r="9763" spans="1:54" x14ac:dyDescent="0.3">
      <c r="A9763" s="66"/>
      <c r="B9763" s="67"/>
      <c r="C9763" s="66"/>
      <c r="D9763" s="68"/>
      <c r="E9763" s="10"/>
      <c r="F9763" s="69"/>
      <c r="G9763" s="68"/>
      <c r="H9763" s="70"/>
      <c r="BA9763" s="4"/>
      <c r="BB9763" s="4"/>
    </row>
    <row r="9764" spans="1:54" x14ac:dyDescent="0.3">
      <c r="A9764" s="66"/>
      <c r="B9764" s="67"/>
      <c r="C9764" s="66"/>
      <c r="D9764" s="68"/>
      <c r="E9764" s="10"/>
      <c r="F9764" s="69"/>
      <c r="G9764" s="68"/>
      <c r="H9764" s="70"/>
      <c r="BA9764" s="4"/>
      <c r="BB9764" s="4"/>
    </row>
    <row r="9765" spans="1:54" x14ac:dyDescent="0.3">
      <c r="A9765" s="66"/>
      <c r="B9765" s="67"/>
      <c r="C9765" s="66"/>
      <c r="D9765" s="68"/>
      <c r="E9765" s="10"/>
      <c r="F9765" s="69"/>
      <c r="G9765" s="68"/>
      <c r="H9765" s="70"/>
      <c r="BA9765" s="4"/>
      <c r="BB9765" s="4"/>
    </row>
    <row r="9766" spans="1:54" x14ac:dyDescent="0.3">
      <c r="A9766" s="66"/>
      <c r="B9766" s="67"/>
      <c r="C9766" s="66"/>
      <c r="D9766" s="68"/>
      <c r="E9766" s="10"/>
      <c r="F9766" s="69"/>
      <c r="G9766" s="68"/>
      <c r="H9766" s="70"/>
      <c r="BA9766" s="4"/>
      <c r="BB9766" s="4"/>
    </row>
    <row r="9767" spans="1:54" x14ac:dyDescent="0.3">
      <c r="A9767" s="66"/>
      <c r="B9767" s="67"/>
      <c r="C9767" s="66"/>
      <c r="D9767" s="68"/>
      <c r="E9767" s="10"/>
      <c r="F9767" s="69"/>
      <c r="G9767" s="68"/>
      <c r="H9767" s="70"/>
      <c r="BA9767" s="4"/>
      <c r="BB9767" s="4"/>
    </row>
    <row r="9768" spans="1:54" x14ac:dyDescent="0.3">
      <c r="A9768" s="66"/>
      <c r="B9768" s="67"/>
      <c r="C9768" s="66"/>
      <c r="D9768" s="68"/>
      <c r="E9768" s="10"/>
      <c r="F9768" s="69"/>
      <c r="G9768" s="68"/>
      <c r="H9768" s="70"/>
      <c r="BA9768" s="4"/>
      <c r="BB9768" s="4"/>
    </row>
    <row r="9769" spans="1:54" x14ac:dyDescent="0.3">
      <c r="A9769" s="66"/>
      <c r="B9769" s="67"/>
      <c r="C9769" s="66"/>
      <c r="D9769" s="68"/>
      <c r="E9769" s="10"/>
      <c r="F9769" s="69"/>
      <c r="G9769" s="68"/>
      <c r="H9769" s="70"/>
      <c r="BA9769" s="4"/>
      <c r="BB9769" s="4"/>
    </row>
    <row r="9770" spans="1:54" x14ac:dyDescent="0.3">
      <c r="A9770" s="66"/>
      <c r="B9770" s="67"/>
      <c r="C9770" s="66"/>
      <c r="D9770" s="68"/>
      <c r="E9770" s="10"/>
      <c r="F9770" s="69"/>
      <c r="G9770" s="68"/>
      <c r="H9770" s="70"/>
      <c r="BA9770" s="4"/>
      <c r="BB9770" s="4"/>
    </row>
    <row r="9771" spans="1:54" x14ac:dyDescent="0.3">
      <c r="A9771" s="66"/>
      <c r="B9771" s="67"/>
      <c r="C9771" s="66"/>
      <c r="D9771" s="68"/>
      <c r="E9771" s="10"/>
      <c r="F9771" s="69"/>
      <c r="G9771" s="68"/>
      <c r="H9771" s="70"/>
      <c r="BA9771" s="4"/>
      <c r="BB9771" s="4"/>
    </row>
    <row r="9772" spans="1:54" x14ac:dyDescent="0.3">
      <c r="A9772" s="66"/>
      <c r="B9772" s="67"/>
      <c r="C9772" s="66"/>
      <c r="D9772" s="68"/>
      <c r="E9772" s="10"/>
      <c r="F9772" s="69"/>
      <c r="G9772" s="68"/>
      <c r="H9772" s="70"/>
      <c r="BA9772" s="4"/>
      <c r="BB9772" s="4"/>
    </row>
    <row r="9773" spans="1:54" x14ac:dyDescent="0.3">
      <c r="A9773" s="66"/>
      <c r="B9773" s="67"/>
      <c r="C9773" s="66"/>
      <c r="D9773" s="68"/>
      <c r="E9773" s="10"/>
      <c r="F9773" s="69"/>
      <c r="G9773" s="68"/>
      <c r="H9773" s="70"/>
      <c r="BA9773" s="4"/>
      <c r="BB9773" s="4"/>
    </row>
    <row r="9774" spans="1:54" x14ac:dyDescent="0.3">
      <c r="A9774" s="66"/>
      <c r="B9774" s="67"/>
      <c r="C9774" s="66"/>
      <c r="D9774" s="68"/>
      <c r="E9774" s="10"/>
      <c r="F9774" s="69"/>
      <c r="G9774" s="68"/>
      <c r="H9774" s="70"/>
      <c r="BA9774" s="4"/>
      <c r="BB9774" s="4"/>
    </row>
    <row r="9775" spans="1:54" x14ac:dyDescent="0.3">
      <c r="A9775" s="66"/>
      <c r="B9775" s="67"/>
      <c r="C9775" s="66"/>
      <c r="D9775" s="68"/>
      <c r="E9775" s="10"/>
      <c r="F9775" s="69"/>
      <c r="G9775" s="68"/>
      <c r="H9775" s="70"/>
      <c r="BA9775" s="4"/>
      <c r="BB9775" s="4"/>
    </row>
    <row r="9776" spans="1:54" x14ac:dyDescent="0.3">
      <c r="A9776" s="66"/>
      <c r="B9776" s="67"/>
      <c r="C9776" s="66"/>
      <c r="D9776" s="68"/>
      <c r="E9776" s="10"/>
      <c r="F9776" s="69"/>
      <c r="G9776" s="68"/>
      <c r="H9776" s="70"/>
      <c r="BA9776" s="4"/>
      <c r="BB9776" s="4"/>
    </row>
    <row r="9777" spans="1:54" x14ac:dyDescent="0.3">
      <c r="A9777" s="66"/>
      <c r="B9777" s="67"/>
      <c r="C9777" s="66"/>
      <c r="D9777" s="68"/>
      <c r="E9777" s="10"/>
      <c r="F9777" s="69"/>
      <c r="G9777" s="68"/>
      <c r="H9777" s="70"/>
      <c r="BA9777" s="4"/>
      <c r="BB9777" s="4"/>
    </row>
    <row r="9778" spans="1:54" x14ac:dyDescent="0.3">
      <c r="A9778" s="66"/>
      <c r="B9778" s="67"/>
      <c r="C9778" s="66"/>
      <c r="D9778" s="68"/>
      <c r="E9778" s="10"/>
      <c r="F9778" s="69"/>
      <c r="G9778" s="68"/>
      <c r="H9778" s="70"/>
      <c r="BA9778" s="4"/>
      <c r="BB9778" s="4"/>
    </row>
    <row r="9779" spans="1:54" x14ac:dyDescent="0.3">
      <c r="A9779" s="66"/>
      <c r="B9779" s="67"/>
      <c r="C9779" s="66"/>
      <c r="D9779" s="68"/>
      <c r="E9779" s="10"/>
      <c r="F9779" s="69"/>
      <c r="G9779" s="68"/>
      <c r="H9779" s="70"/>
      <c r="BA9779" s="4"/>
      <c r="BB9779" s="4"/>
    </row>
    <row r="9780" spans="1:54" x14ac:dyDescent="0.3">
      <c r="A9780" s="66"/>
      <c r="B9780" s="67"/>
      <c r="C9780" s="66"/>
      <c r="D9780" s="68"/>
      <c r="E9780" s="10"/>
      <c r="F9780" s="69"/>
      <c r="G9780" s="68"/>
      <c r="H9780" s="70"/>
      <c r="BA9780" s="4"/>
      <c r="BB9780" s="4"/>
    </row>
    <row r="9781" spans="1:54" x14ac:dyDescent="0.3">
      <c r="A9781" s="66"/>
      <c r="B9781" s="67"/>
      <c r="C9781" s="66"/>
      <c r="D9781" s="68"/>
      <c r="E9781" s="10"/>
      <c r="F9781" s="69"/>
      <c r="G9781" s="68"/>
      <c r="H9781" s="70"/>
      <c r="BA9781" s="4"/>
      <c r="BB9781" s="4"/>
    </row>
    <row r="9782" spans="1:54" x14ac:dyDescent="0.3">
      <c r="A9782" s="66"/>
      <c r="B9782" s="67"/>
      <c r="C9782" s="66"/>
      <c r="D9782" s="68"/>
      <c r="E9782" s="10"/>
      <c r="F9782" s="69"/>
      <c r="G9782" s="68"/>
      <c r="H9782" s="70"/>
      <c r="BA9782" s="4"/>
      <c r="BB9782" s="4"/>
    </row>
    <row r="9783" spans="1:54" x14ac:dyDescent="0.3">
      <c r="A9783" s="66"/>
      <c r="B9783" s="67"/>
      <c r="C9783" s="66"/>
      <c r="D9783" s="68"/>
      <c r="E9783" s="10"/>
      <c r="F9783" s="69"/>
      <c r="G9783" s="68"/>
      <c r="H9783" s="70"/>
      <c r="BA9783" s="4"/>
      <c r="BB9783" s="4"/>
    </row>
    <row r="9784" spans="1:54" x14ac:dyDescent="0.3">
      <c r="A9784" s="66"/>
      <c r="B9784" s="67"/>
      <c r="C9784" s="66"/>
      <c r="D9784" s="68"/>
      <c r="E9784" s="10"/>
      <c r="F9784" s="69"/>
      <c r="G9784" s="68"/>
      <c r="H9784" s="70"/>
      <c r="BA9784" s="4"/>
      <c r="BB9784" s="4"/>
    </row>
    <row r="9785" spans="1:54" x14ac:dyDescent="0.3">
      <c r="A9785" s="66"/>
      <c r="B9785" s="67"/>
      <c r="C9785" s="66"/>
      <c r="D9785" s="68"/>
      <c r="E9785" s="10"/>
      <c r="F9785" s="69"/>
      <c r="G9785" s="68"/>
      <c r="H9785" s="70"/>
      <c r="BA9785" s="4"/>
      <c r="BB9785" s="4"/>
    </row>
    <row r="9786" spans="1:54" x14ac:dyDescent="0.3">
      <c r="A9786" s="66"/>
      <c r="B9786" s="67"/>
      <c r="C9786" s="66"/>
      <c r="D9786" s="68"/>
      <c r="E9786" s="10"/>
      <c r="F9786" s="69"/>
      <c r="G9786" s="68"/>
      <c r="H9786" s="70"/>
      <c r="BA9786" s="4"/>
      <c r="BB9786" s="4"/>
    </row>
    <row r="9787" spans="1:54" x14ac:dyDescent="0.3">
      <c r="A9787" s="66"/>
      <c r="B9787" s="67"/>
      <c r="C9787" s="66"/>
      <c r="D9787" s="68"/>
      <c r="E9787" s="10"/>
      <c r="F9787" s="69"/>
      <c r="G9787" s="68"/>
      <c r="H9787" s="70"/>
      <c r="BA9787" s="4"/>
      <c r="BB9787" s="4"/>
    </row>
    <row r="9788" spans="1:54" x14ac:dyDescent="0.3">
      <c r="A9788" s="66"/>
      <c r="B9788" s="67"/>
      <c r="C9788" s="66"/>
      <c r="D9788" s="68"/>
      <c r="E9788" s="10"/>
      <c r="F9788" s="69"/>
      <c r="G9788" s="68"/>
      <c r="H9788" s="70"/>
      <c r="BA9788" s="4"/>
      <c r="BB9788" s="4"/>
    </row>
    <row r="9789" spans="1:54" x14ac:dyDescent="0.3">
      <c r="A9789" s="66"/>
      <c r="B9789" s="67"/>
      <c r="C9789" s="66"/>
      <c r="D9789" s="68"/>
      <c r="E9789" s="10"/>
      <c r="F9789" s="69"/>
      <c r="G9789" s="68"/>
      <c r="H9789" s="70"/>
      <c r="BA9789" s="4"/>
      <c r="BB9789" s="4"/>
    </row>
    <row r="9790" spans="1:54" x14ac:dyDescent="0.3">
      <c r="A9790" s="66"/>
      <c r="B9790" s="67"/>
      <c r="C9790" s="66"/>
      <c r="D9790" s="68"/>
      <c r="E9790" s="10"/>
      <c r="F9790" s="69"/>
      <c r="G9790" s="68"/>
      <c r="H9790" s="70"/>
      <c r="BA9790" s="4"/>
      <c r="BB9790" s="4"/>
    </row>
    <row r="9791" spans="1:54" x14ac:dyDescent="0.3">
      <c r="A9791" s="66"/>
      <c r="B9791" s="67"/>
      <c r="C9791" s="66"/>
      <c r="D9791" s="68"/>
      <c r="E9791" s="10"/>
      <c r="F9791" s="69"/>
      <c r="G9791" s="68"/>
      <c r="H9791" s="70"/>
      <c r="BA9791" s="4"/>
      <c r="BB9791" s="4"/>
    </row>
    <row r="9792" spans="1:54" x14ac:dyDescent="0.3">
      <c r="A9792" s="66"/>
      <c r="B9792" s="67"/>
      <c r="C9792" s="66"/>
      <c r="D9792" s="68"/>
      <c r="E9792" s="10"/>
      <c r="F9792" s="69"/>
      <c r="G9792" s="68"/>
      <c r="H9792" s="70"/>
      <c r="BA9792" s="4"/>
      <c r="BB9792" s="4"/>
    </row>
    <row r="9793" spans="1:54" x14ac:dyDescent="0.3">
      <c r="A9793" s="66"/>
      <c r="B9793" s="67"/>
      <c r="C9793" s="66"/>
      <c r="D9793" s="68"/>
      <c r="E9793" s="10"/>
      <c r="F9793" s="69"/>
      <c r="G9793" s="68"/>
      <c r="H9793" s="70"/>
      <c r="BA9793" s="4"/>
      <c r="BB9793" s="4"/>
    </row>
    <row r="9794" spans="1:54" x14ac:dyDescent="0.3">
      <c r="A9794" s="66"/>
      <c r="B9794" s="67"/>
      <c r="C9794" s="66"/>
      <c r="D9794" s="68"/>
      <c r="E9794" s="10"/>
      <c r="F9794" s="69"/>
      <c r="G9794" s="68"/>
      <c r="H9794" s="70"/>
      <c r="BA9794" s="4"/>
      <c r="BB9794" s="4"/>
    </row>
    <row r="9795" spans="1:54" x14ac:dyDescent="0.3">
      <c r="A9795" s="66"/>
      <c r="B9795" s="67"/>
      <c r="C9795" s="66"/>
      <c r="D9795" s="68"/>
      <c r="E9795" s="10"/>
      <c r="F9795" s="69"/>
      <c r="G9795" s="68"/>
      <c r="H9795" s="70"/>
      <c r="BA9795" s="4"/>
      <c r="BB9795" s="4"/>
    </row>
    <row r="9796" spans="1:54" x14ac:dyDescent="0.3">
      <c r="A9796" s="66"/>
      <c r="B9796" s="67"/>
      <c r="C9796" s="66"/>
      <c r="D9796" s="68"/>
      <c r="E9796" s="10"/>
      <c r="F9796" s="69"/>
      <c r="G9796" s="68"/>
      <c r="H9796" s="70"/>
      <c r="BA9796" s="4"/>
      <c r="BB9796" s="4"/>
    </row>
    <row r="9797" spans="1:54" x14ac:dyDescent="0.3">
      <c r="A9797" s="66"/>
      <c r="B9797" s="67"/>
      <c r="C9797" s="66"/>
      <c r="D9797" s="68"/>
      <c r="E9797" s="10"/>
      <c r="F9797" s="69"/>
      <c r="G9797" s="68"/>
      <c r="H9797" s="70"/>
      <c r="BA9797" s="4"/>
      <c r="BB9797" s="4"/>
    </row>
    <row r="9798" spans="1:54" x14ac:dyDescent="0.3">
      <c r="A9798" s="66"/>
      <c r="B9798" s="67"/>
      <c r="C9798" s="66"/>
      <c r="D9798" s="68"/>
      <c r="E9798" s="10"/>
      <c r="F9798" s="69"/>
      <c r="G9798" s="68"/>
      <c r="H9798" s="70"/>
      <c r="BA9798" s="4"/>
      <c r="BB9798" s="4"/>
    </row>
    <row r="9799" spans="1:54" x14ac:dyDescent="0.3">
      <c r="A9799" s="66"/>
      <c r="B9799" s="67"/>
      <c r="C9799" s="66"/>
      <c r="D9799" s="68"/>
      <c r="E9799" s="10"/>
      <c r="F9799" s="69"/>
      <c r="G9799" s="68"/>
      <c r="H9799" s="70"/>
      <c r="BA9799" s="4"/>
      <c r="BB9799" s="4"/>
    </row>
    <row r="9800" spans="1:54" x14ac:dyDescent="0.3">
      <c r="A9800" s="66"/>
      <c r="B9800" s="67"/>
      <c r="C9800" s="66"/>
      <c r="D9800" s="68"/>
      <c r="E9800" s="10"/>
      <c r="F9800" s="69"/>
      <c r="G9800" s="68"/>
      <c r="H9800" s="70"/>
      <c r="BA9800" s="4"/>
      <c r="BB9800" s="4"/>
    </row>
    <row r="9801" spans="1:54" x14ac:dyDescent="0.3">
      <c r="A9801" s="66"/>
      <c r="B9801" s="67"/>
      <c r="C9801" s="66"/>
      <c r="D9801" s="68"/>
      <c r="E9801" s="10"/>
      <c r="F9801" s="69"/>
      <c r="G9801" s="68"/>
      <c r="H9801" s="70"/>
      <c r="BA9801" s="4"/>
      <c r="BB9801" s="4"/>
    </row>
    <row r="9802" spans="1:54" x14ac:dyDescent="0.3">
      <c r="A9802" s="66"/>
      <c r="B9802" s="67"/>
      <c r="C9802" s="66"/>
      <c r="D9802" s="68"/>
      <c r="E9802" s="10"/>
      <c r="F9802" s="69"/>
      <c r="G9802" s="68"/>
      <c r="H9802" s="70"/>
      <c r="BA9802" s="4"/>
      <c r="BB9802" s="4"/>
    </row>
    <row r="9803" spans="1:54" x14ac:dyDescent="0.3">
      <c r="A9803" s="66"/>
      <c r="B9803" s="67"/>
      <c r="C9803" s="66"/>
      <c r="D9803" s="68"/>
      <c r="E9803" s="10"/>
      <c r="F9803" s="69"/>
      <c r="G9803" s="68"/>
      <c r="H9803" s="70"/>
      <c r="BA9803" s="4"/>
      <c r="BB9803" s="4"/>
    </row>
    <row r="9804" spans="1:54" x14ac:dyDescent="0.3">
      <c r="A9804" s="66"/>
      <c r="B9804" s="67"/>
      <c r="C9804" s="66"/>
      <c r="D9804" s="68"/>
      <c r="E9804" s="10"/>
      <c r="F9804" s="69"/>
      <c r="G9804" s="68"/>
      <c r="H9804" s="70"/>
      <c r="BA9804" s="4"/>
      <c r="BB9804" s="4"/>
    </row>
    <row r="9805" spans="1:54" x14ac:dyDescent="0.3">
      <c r="A9805" s="66"/>
      <c r="B9805" s="67"/>
      <c r="C9805" s="66"/>
      <c r="D9805" s="68"/>
      <c r="E9805" s="10"/>
      <c r="F9805" s="69"/>
      <c r="G9805" s="68"/>
      <c r="H9805" s="70"/>
      <c r="BA9805" s="4"/>
      <c r="BB9805" s="4"/>
    </row>
    <row r="9806" spans="1:54" x14ac:dyDescent="0.3">
      <c r="A9806" s="66"/>
      <c r="B9806" s="67"/>
      <c r="C9806" s="66"/>
      <c r="D9806" s="68"/>
      <c r="E9806" s="10"/>
      <c r="F9806" s="69"/>
      <c r="G9806" s="68"/>
      <c r="H9806" s="70"/>
      <c r="BA9806" s="4"/>
      <c r="BB9806" s="4"/>
    </row>
    <row r="9807" spans="1:54" x14ac:dyDescent="0.3">
      <c r="A9807" s="66"/>
      <c r="B9807" s="67"/>
      <c r="C9807" s="66"/>
      <c r="D9807" s="68"/>
      <c r="E9807" s="10"/>
      <c r="F9807" s="69"/>
      <c r="G9807" s="68"/>
      <c r="H9807" s="70"/>
      <c r="BA9807" s="4"/>
      <c r="BB9807" s="4"/>
    </row>
    <row r="9808" spans="1:54" x14ac:dyDescent="0.3">
      <c r="A9808" s="66"/>
      <c r="B9808" s="67"/>
      <c r="C9808" s="66"/>
      <c r="D9808" s="68"/>
      <c r="E9808" s="10"/>
      <c r="F9808" s="69"/>
      <c r="G9808" s="68"/>
      <c r="H9808" s="70"/>
      <c r="BA9808" s="4"/>
      <c r="BB9808" s="4"/>
    </row>
    <row r="9809" spans="1:54" x14ac:dyDescent="0.3">
      <c r="A9809" s="66"/>
      <c r="B9809" s="67"/>
      <c r="C9809" s="66"/>
      <c r="D9809" s="68"/>
      <c r="E9809" s="10"/>
      <c r="F9809" s="69"/>
      <c r="G9809" s="68"/>
      <c r="H9809" s="70"/>
      <c r="BA9809" s="4"/>
      <c r="BB9809" s="4"/>
    </row>
    <row r="9810" spans="1:54" x14ac:dyDescent="0.3">
      <c r="A9810" s="66"/>
      <c r="B9810" s="67"/>
      <c r="C9810" s="66"/>
      <c r="D9810" s="68"/>
      <c r="E9810" s="10"/>
      <c r="F9810" s="69"/>
      <c r="G9810" s="68"/>
      <c r="H9810" s="70"/>
      <c r="BA9810" s="4"/>
      <c r="BB9810" s="4"/>
    </row>
    <row r="9811" spans="1:54" x14ac:dyDescent="0.3">
      <c r="A9811" s="66"/>
      <c r="B9811" s="67"/>
      <c r="C9811" s="66"/>
      <c r="D9811" s="68"/>
      <c r="E9811" s="10"/>
      <c r="F9811" s="69"/>
      <c r="G9811" s="68"/>
      <c r="H9811" s="70"/>
      <c r="BA9811" s="4"/>
      <c r="BB9811" s="4"/>
    </row>
    <row r="9812" spans="1:54" x14ac:dyDescent="0.3">
      <c r="A9812" s="66"/>
      <c r="B9812" s="67"/>
      <c r="C9812" s="66"/>
      <c r="D9812" s="68"/>
      <c r="E9812" s="10"/>
      <c r="F9812" s="69"/>
      <c r="G9812" s="68"/>
      <c r="H9812" s="70"/>
      <c r="BA9812" s="4"/>
      <c r="BB9812" s="4"/>
    </row>
    <row r="9813" spans="1:54" x14ac:dyDescent="0.3">
      <c r="A9813" s="66"/>
      <c r="B9813" s="67"/>
      <c r="C9813" s="66"/>
      <c r="D9813" s="68"/>
      <c r="E9813" s="10"/>
      <c r="F9813" s="69"/>
      <c r="G9813" s="68"/>
      <c r="H9813" s="70"/>
      <c r="BA9813" s="4"/>
      <c r="BB9813" s="4"/>
    </row>
    <row r="9814" spans="1:54" x14ac:dyDescent="0.3">
      <c r="A9814" s="66"/>
      <c r="B9814" s="67"/>
      <c r="C9814" s="66"/>
      <c r="D9814" s="68"/>
      <c r="E9814" s="10"/>
      <c r="F9814" s="69"/>
      <c r="G9814" s="68"/>
      <c r="H9814" s="70"/>
      <c r="BA9814" s="4"/>
      <c r="BB9814" s="4"/>
    </row>
    <row r="9815" spans="1:54" x14ac:dyDescent="0.3">
      <c r="A9815" s="66"/>
      <c r="B9815" s="67"/>
      <c r="C9815" s="66"/>
      <c r="D9815" s="68"/>
      <c r="E9815" s="10"/>
      <c r="F9815" s="69"/>
      <c r="G9815" s="68"/>
      <c r="H9815" s="70"/>
      <c r="BA9815" s="4"/>
      <c r="BB9815" s="4"/>
    </row>
    <row r="9816" spans="1:54" x14ac:dyDescent="0.3">
      <c r="A9816" s="66"/>
      <c r="B9816" s="67"/>
      <c r="C9816" s="66"/>
      <c r="D9816" s="68"/>
      <c r="E9816" s="10"/>
      <c r="F9816" s="69"/>
      <c r="G9816" s="68"/>
      <c r="H9816" s="70"/>
      <c r="BA9816" s="4"/>
      <c r="BB9816" s="4"/>
    </row>
    <row r="9817" spans="1:54" x14ac:dyDescent="0.3">
      <c r="A9817" s="66"/>
      <c r="B9817" s="67"/>
      <c r="C9817" s="66"/>
      <c r="D9817" s="68"/>
      <c r="E9817" s="10"/>
      <c r="F9817" s="69"/>
      <c r="G9817" s="68"/>
      <c r="H9817" s="70"/>
      <c r="BA9817" s="4"/>
      <c r="BB9817" s="4"/>
    </row>
    <row r="9818" spans="1:54" x14ac:dyDescent="0.3">
      <c r="A9818" s="66"/>
      <c r="B9818" s="67"/>
      <c r="C9818" s="66"/>
      <c r="D9818" s="68"/>
      <c r="E9818" s="10"/>
      <c r="F9818" s="69"/>
      <c r="G9818" s="68"/>
      <c r="H9818" s="70"/>
      <c r="BA9818" s="4"/>
      <c r="BB9818" s="4"/>
    </row>
    <row r="9819" spans="1:54" x14ac:dyDescent="0.3">
      <c r="A9819" s="66"/>
      <c r="B9819" s="67"/>
      <c r="C9819" s="66"/>
      <c r="D9819" s="68"/>
      <c r="E9819" s="10"/>
      <c r="F9819" s="69"/>
      <c r="G9819" s="68"/>
      <c r="H9819" s="70"/>
      <c r="BA9819" s="4"/>
      <c r="BB9819" s="4"/>
    </row>
    <row r="9820" spans="1:54" x14ac:dyDescent="0.3">
      <c r="A9820" s="66"/>
      <c r="B9820" s="67"/>
      <c r="C9820" s="66"/>
      <c r="D9820" s="68"/>
      <c r="E9820" s="10"/>
      <c r="F9820" s="69"/>
      <c r="G9820" s="68"/>
      <c r="H9820" s="70"/>
      <c r="BA9820" s="4"/>
      <c r="BB9820" s="4"/>
    </row>
    <row r="9821" spans="1:54" x14ac:dyDescent="0.3">
      <c r="A9821" s="66"/>
      <c r="B9821" s="67"/>
      <c r="C9821" s="66"/>
      <c r="D9821" s="68"/>
      <c r="E9821" s="10"/>
      <c r="F9821" s="69"/>
      <c r="G9821" s="68"/>
      <c r="H9821" s="70"/>
      <c r="BA9821" s="4"/>
      <c r="BB9821" s="4"/>
    </row>
    <row r="9822" spans="1:54" x14ac:dyDescent="0.3">
      <c r="A9822" s="66"/>
      <c r="B9822" s="67"/>
      <c r="C9822" s="66"/>
      <c r="D9822" s="68"/>
      <c r="E9822" s="10"/>
      <c r="F9822" s="69"/>
      <c r="G9822" s="68"/>
      <c r="H9822" s="70"/>
      <c r="BA9822" s="4"/>
      <c r="BB9822" s="4"/>
    </row>
    <row r="9823" spans="1:54" x14ac:dyDescent="0.3">
      <c r="A9823" s="66"/>
      <c r="B9823" s="67"/>
      <c r="C9823" s="66"/>
      <c r="D9823" s="68"/>
      <c r="E9823" s="10"/>
      <c r="F9823" s="69"/>
      <c r="G9823" s="68"/>
      <c r="H9823" s="70"/>
      <c r="BA9823" s="4"/>
      <c r="BB9823" s="4"/>
    </row>
    <row r="9824" spans="1:54" x14ac:dyDescent="0.3">
      <c r="A9824" s="66"/>
      <c r="B9824" s="67"/>
      <c r="C9824" s="66"/>
      <c r="D9824" s="68"/>
      <c r="E9824" s="10"/>
      <c r="F9824" s="69"/>
      <c r="G9824" s="68"/>
      <c r="H9824" s="70"/>
      <c r="BA9824" s="4"/>
      <c r="BB9824" s="4"/>
    </row>
    <row r="9825" spans="1:54" x14ac:dyDescent="0.3">
      <c r="A9825" s="66"/>
      <c r="B9825" s="67"/>
      <c r="C9825" s="66"/>
      <c r="D9825" s="68"/>
      <c r="E9825" s="10"/>
      <c r="F9825" s="69"/>
      <c r="G9825" s="68"/>
      <c r="H9825" s="70"/>
      <c r="BA9825" s="4"/>
      <c r="BB9825" s="4"/>
    </row>
    <row r="9826" spans="1:54" x14ac:dyDescent="0.3">
      <c r="A9826" s="66"/>
      <c r="B9826" s="67"/>
      <c r="C9826" s="66"/>
      <c r="D9826" s="68"/>
      <c r="E9826" s="10"/>
      <c r="F9826" s="69"/>
      <c r="G9826" s="68"/>
      <c r="H9826" s="70"/>
      <c r="BA9826" s="4"/>
      <c r="BB9826" s="4"/>
    </row>
    <row r="9827" spans="1:54" x14ac:dyDescent="0.3">
      <c r="A9827" s="66"/>
      <c r="B9827" s="67"/>
      <c r="C9827" s="66"/>
      <c r="D9827" s="68"/>
      <c r="E9827" s="10"/>
      <c r="F9827" s="69"/>
      <c r="G9827" s="68"/>
      <c r="H9827" s="70"/>
      <c r="BA9827" s="4"/>
      <c r="BB9827" s="4"/>
    </row>
    <row r="9828" spans="1:54" x14ac:dyDescent="0.3">
      <c r="A9828" s="66"/>
      <c r="B9828" s="67"/>
      <c r="C9828" s="66"/>
      <c r="D9828" s="68"/>
      <c r="E9828" s="10"/>
      <c r="F9828" s="69"/>
      <c r="G9828" s="68"/>
      <c r="H9828" s="70"/>
      <c r="BA9828" s="4"/>
      <c r="BB9828" s="4"/>
    </row>
    <row r="9829" spans="1:54" x14ac:dyDescent="0.3">
      <c r="A9829" s="66"/>
      <c r="B9829" s="67"/>
      <c r="C9829" s="66"/>
      <c r="D9829" s="68"/>
      <c r="E9829" s="10"/>
      <c r="F9829" s="69"/>
      <c r="G9829" s="68"/>
      <c r="H9829" s="70"/>
      <c r="BA9829" s="4"/>
      <c r="BB9829" s="4"/>
    </row>
    <row r="9830" spans="1:54" x14ac:dyDescent="0.3">
      <c r="A9830" s="66"/>
      <c r="B9830" s="67"/>
      <c r="C9830" s="66"/>
      <c r="D9830" s="68"/>
      <c r="E9830" s="10"/>
      <c r="F9830" s="69"/>
      <c r="G9830" s="68"/>
      <c r="H9830" s="70"/>
      <c r="BA9830" s="4"/>
      <c r="BB9830" s="4"/>
    </row>
    <row r="9831" spans="1:54" x14ac:dyDescent="0.3">
      <c r="A9831" s="66"/>
      <c r="B9831" s="67"/>
      <c r="C9831" s="66"/>
      <c r="D9831" s="68"/>
      <c r="E9831" s="10"/>
      <c r="F9831" s="69"/>
      <c r="G9831" s="68"/>
      <c r="H9831" s="70"/>
      <c r="BA9831" s="4"/>
      <c r="BB9831" s="4"/>
    </row>
    <row r="9832" spans="1:54" x14ac:dyDescent="0.3">
      <c r="A9832" s="66"/>
      <c r="B9832" s="67"/>
      <c r="C9832" s="66"/>
      <c r="D9832" s="68"/>
      <c r="E9832" s="10"/>
      <c r="F9832" s="69"/>
      <c r="G9832" s="68"/>
      <c r="H9832" s="70"/>
      <c r="BA9832" s="4"/>
      <c r="BB9832" s="4"/>
    </row>
    <row r="9833" spans="1:54" x14ac:dyDescent="0.3">
      <c r="A9833" s="66"/>
      <c r="B9833" s="67"/>
      <c r="C9833" s="66"/>
      <c r="D9833" s="68"/>
      <c r="E9833" s="10"/>
      <c r="F9833" s="69"/>
      <c r="G9833" s="68"/>
      <c r="H9833" s="70"/>
      <c r="BA9833" s="4"/>
      <c r="BB9833" s="4"/>
    </row>
    <row r="9834" spans="1:54" x14ac:dyDescent="0.3">
      <c r="A9834" s="66"/>
      <c r="B9834" s="67"/>
      <c r="C9834" s="66"/>
      <c r="D9834" s="68"/>
      <c r="E9834" s="10"/>
      <c r="F9834" s="69"/>
      <c r="G9834" s="68"/>
      <c r="H9834" s="70"/>
      <c r="BA9834" s="4"/>
      <c r="BB9834" s="4"/>
    </row>
    <row r="9835" spans="1:54" x14ac:dyDescent="0.3">
      <c r="A9835" s="66"/>
      <c r="B9835" s="67"/>
      <c r="C9835" s="66"/>
      <c r="D9835" s="68"/>
      <c r="E9835" s="10"/>
      <c r="F9835" s="69"/>
      <c r="G9835" s="68"/>
      <c r="H9835" s="70"/>
      <c r="BA9835" s="4"/>
      <c r="BB9835" s="4"/>
    </row>
    <row r="9836" spans="1:54" x14ac:dyDescent="0.3">
      <c r="A9836" s="66"/>
      <c r="B9836" s="67"/>
      <c r="C9836" s="66"/>
      <c r="D9836" s="68"/>
      <c r="E9836" s="10"/>
      <c r="F9836" s="69"/>
      <c r="G9836" s="68"/>
      <c r="H9836" s="70"/>
      <c r="BA9836" s="4"/>
      <c r="BB9836" s="4"/>
    </row>
    <row r="9837" spans="1:54" x14ac:dyDescent="0.3">
      <c r="A9837" s="66"/>
      <c r="B9837" s="67"/>
      <c r="C9837" s="66"/>
      <c r="D9837" s="68"/>
      <c r="E9837" s="10"/>
      <c r="F9837" s="69"/>
      <c r="G9837" s="68"/>
      <c r="H9837" s="70"/>
      <c r="BA9837" s="4"/>
      <c r="BB9837" s="4"/>
    </row>
    <row r="9838" spans="1:54" x14ac:dyDescent="0.3">
      <c r="A9838" s="66"/>
      <c r="B9838" s="67"/>
      <c r="C9838" s="66"/>
      <c r="D9838" s="68"/>
      <c r="E9838" s="10"/>
      <c r="F9838" s="69"/>
      <c r="G9838" s="68"/>
      <c r="H9838" s="70"/>
      <c r="BA9838" s="4"/>
      <c r="BB9838" s="4"/>
    </row>
    <row r="9839" spans="1:54" x14ac:dyDescent="0.3">
      <c r="A9839" s="66"/>
      <c r="B9839" s="67"/>
      <c r="C9839" s="66"/>
      <c r="D9839" s="68"/>
      <c r="E9839" s="10"/>
      <c r="F9839" s="69"/>
      <c r="G9839" s="68"/>
      <c r="H9839" s="70"/>
      <c r="BA9839" s="4"/>
      <c r="BB9839" s="4"/>
    </row>
    <row r="9840" spans="1:54" x14ac:dyDescent="0.3">
      <c r="A9840" s="66"/>
      <c r="B9840" s="67"/>
      <c r="C9840" s="66"/>
      <c r="D9840" s="68"/>
      <c r="E9840" s="10"/>
      <c r="F9840" s="69"/>
      <c r="G9840" s="68"/>
      <c r="H9840" s="70"/>
      <c r="BA9840" s="4"/>
      <c r="BB9840" s="4"/>
    </row>
    <row r="9841" spans="1:54" x14ac:dyDescent="0.3">
      <c r="A9841" s="66"/>
      <c r="B9841" s="67"/>
      <c r="C9841" s="66"/>
      <c r="D9841" s="68"/>
      <c r="E9841" s="10"/>
      <c r="F9841" s="69"/>
      <c r="G9841" s="68"/>
      <c r="H9841" s="70"/>
      <c r="BA9841" s="4"/>
      <c r="BB9841" s="4"/>
    </row>
    <row r="9842" spans="1:54" x14ac:dyDescent="0.3">
      <c r="A9842" s="66"/>
      <c r="B9842" s="67"/>
      <c r="C9842" s="66"/>
      <c r="D9842" s="68"/>
      <c r="E9842" s="10"/>
      <c r="F9842" s="69"/>
      <c r="G9842" s="68"/>
      <c r="H9842" s="70"/>
      <c r="BA9842" s="4"/>
      <c r="BB9842" s="4"/>
    </row>
    <row r="9843" spans="1:54" x14ac:dyDescent="0.3">
      <c r="A9843" s="66"/>
      <c r="B9843" s="67"/>
      <c r="C9843" s="66"/>
      <c r="D9843" s="68"/>
      <c r="E9843" s="10"/>
      <c r="F9843" s="69"/>
      <c r="G9843" s="68"/>
      <c r="H9843" s="70"/>
      <c r="BA9843" s="4"/>
      <c r="BB9843" s="4"/>
    </row>
    <row r="9844" spans="1:54" x14ac:dyDescent="0.3">
      <c r="A9844" s="66"/>
      <c r="B9844" s="67"/>
      <c r="C9844" s="66"/>
      <c r="D9844" s="68"/>
      <c r="E9844" s="10"/>
      <c r="F9844" s="69"/>
      <c r="G9844" s="68"/>
      <c r="H9844" s="70"/>
      <c r="BA9844" s="4"/>
      <c r="BB9844" s="4"/>
    </row>
    <row r="9845" spans="1:54" x14ac:dyDescent="0.3">
      <c r="A9845" s="66"/>
      <c r="B9845" s="67"/>
      <c r="C9845" s="66"/>
      <c r="D9845" s="68"/>
      <c r="E9845" s="10"/>
      <c r="F9845" s="69"/>
      <c r="G9845" s="68"/>
      <c r="H9845" s="70"/>
      <c r="BA9845" s="4"/>
      <c r="BB9845" s="4"/>
    </row>
    <row r="9846" spans="1:54" x14ac:dyDescent="0.3">
      <c r="A9846" s="66"/>
      <c r="B9846" s="67"/>
      <c r="C9846" s="66"/>
      <c r="D9846" s="68"/>
      <c r="E9846" s="10"/>
      <c r="F9846" s="69"/>
      <c r="G9846" s="68"/>
      <c r="H9846" s="70"/>
      <c r="BA9846" s="4"/>
      <c r="BB9846" s="4"/>
    </row>
    <row r="9847" spans="1:54" x14ac:dyDescent="0.3">
      <c r="A9847" s="66"/>
      <c r="B9847" s="67"/>
      <c r="C9847" s="66"/>
      <c r="D9847" s="68"/>
      <c r="E9847" s="10"/>
      <c r="F9847" s="69"/>
      <c r="G9847" s="68"/>
      <c r="H9847" s="70"/>
      <c r="BA9847" s="4"/>
      <c r="BB9847" s="4"/>
    </row>
    <row r="9848" spans="1:54" x14ac:dyDescent="0.3">
      <c r="A9848" s="66"/>
      <c r="B9848" s="67"/>
      <c r="C9848" s="66"/>
      <c r="D9848" s="68"/>
      <c r="E9848" s="10"/>
      <c r="F9848" s="69"/>
      <c r="G9848" s="68"/>
      <c r="H9848" s="70"/>
      <c r="BA9848" s="4"/>
      <c r="BB9848" s="4"/>
    </row>
    <row r="9849" spans="1:54" x14ac:dyDescent="0.3">
      <c r="A9849" s="66"/>
      <c r="B9849" s="67"/>
      <c r="C9849" s="66"/>
      <c r="D9849" s="68"/>
      <c r="E9849" s="10"/>
      <c r="F9849" s="69"/>
      <c r="G9849" s="68"/>
      <c r="H9849" s="70"/>
      <c r="BA9849" s="4"/>
      <c r="BB9849" s="4"/>
    </row>
    <row r="9850" spans="1:54" x14ac:dyDescent="0.3">
      <c r="A9850" s="66"/>
      <c r="B9850" s="67"/>
      <c r="C9850" s="66"/>
      <c r="D9850" s="68"/>
      <c r="E9850" s="10"/>
      <c r="F9850" s="69"/>
      <c r="G9850" s="68"/>
      <c r="H9850" s="70"/>
      <c r="BA9850" s="4"/>
      <c r="BB9850" s="4"/>
    </row>
    <row r="9851" spans="1:54" x14ac:dyDescent="0.3">
      <c r="A9851" s="66"/>
      <c r="B9851" s="67"/>
      <c r="C9851" s="66"/>
      <c r="D9851" s="68"/>
      <c r="E9851" s="10"/>
      <c r="F9851" s="69"/>
      <c r="G9851" s="68"/>
      <c r="H9851" s="70"/>
      <c r="BA9851" s="4"/>
      <c r="BB9851" s="4"/>
    </row>
    <row r="9852" spans="1:54" x14ac:dyDescent="0.3">
      <c r="A9852" s="66"/>
      <c r="B9852" s="67"/>
      <c r="C9852" s="66"/>
      <c r="D9852" s="68"/>
      <c r="E9852" s="10"/>
      <c r="F9852" s="69"/>
      <c r="G9852" s="68"/>
      <c r="H9852" s="70"/>
      <c r="BA9852" s="4"/>
      <c r="BB9852" s="4"/>
    </row>
    <row r="9853" spans="1:54" x14ac:dyDescent="0.3">
      <c r="A9853" s="66"/>
      <c r="B9853" s="67"/>
      <c r="C9853" s="66"/>
      <c r="D9853" s="68"/>
      <c r="E9853" s="10"/>
      <c r="F9853" s="69"/>
      <c r="G9853" s="68"/>
      <c r="H9853" s="70"/>
      <c r="BA9853" s="4"/>
      <c r="BB9853" s="4"/>
    </row>
    <row r="9854" spans="1:54" x14ac:dyDescent="0.3">
      <c r="A9854" s="66"/>
      <c r="B9854" s="67"/>
      <c r="C9854" s="66"/>
      <c r="D9854" s="68"/>
      <c r="E9854" s="10"/>
      <c r="F9854" s="69"/>
      <c r="G9854" s="68"/>
      <c r="H9854" s="70"/>
      <c r="BA9854" s="4"/>
      <c r="BB9854" s="4"/>
    </row>
    <row r="9855" spans="1:54" x14ac:dyDescent="0.3">
      <c r="A9855" s="66"/>
      <c r="B9855" s="67"/>
      <c r="C9855" s="66"/>
      <c r="D9855" s="68"/>
      <c r="E9855" s="10"/>
      <c r="F9855" s="69"/>
      <c r="G9855" s="68"/>
      <c r="H9855" s="70"/>
      <c r="BA9855" s="4"/>
      <c r="BB9855" s="4"/>
    </row>
    <row r="9856" spans="1:54" x14ac:dyDescent="0.3">
      <c r="A9856" s="66"/>
      <c r="B9856" s="67"/>
      <c r="C9856" s="66"/>
      <c r="D9856" s="68"/>
      <c r="E9856" s="10"/>
      <c r="F9856" s="69"/>
      <c r="G9856" s="68"/>
      <c r="H9856" s="70"/>
      <c r="BA9856" s="4"/>
      <c r="BB9856" s="4"/>
    </row>
    <row r="9857" spans="1:54" x14ac:dyDescent="0.3">
      <c r="A9857" s="66"/>
      <c r="B9857" s="67"/>
      <c r="C9857" s="66"/>
      <c r="D9857" s="68"/>
      <c r="E9857" s="10"/>
      <c r="F9857" s="69"/>
      <c r="G9857" s="68"/>
      <c r="H9857" s="70"/>
      <c r="BA9857" s="4"/>
      <c r="BB9857" s="4"/>
    </row>
    <row r="9858" spans="1:54" x14ac:dyDescent="0.3">
      <c r="A9858" s="66"/>
      <c r="B9858" s="67"/>
      <c r="C9858" s="66"/>
      <c r="D9858" s="68"/>
      <c r="E9858" s="10"/>
      <c r="F9858" s="69"/>
      <c r="G9858" s="68"/>
      <c r="H9858" s="70"/>
      <c r="BA9858" s="4"/>
      <c r="BB9858" s="4"/>
    </row>
    <row r="9859" spans="1:54" x14ac:dyDescent="0.3">
      <c r="A9859" s="66"/>
      <c r="B9859" s="67"/>
      <c r="C9859" s="66"/>
      <c r="D9859" s="68"/>
      <c r="E9859" s="10"/>
      <c r="F9859" s="69"/>
      <c r="G9859" s="68"/>
      <c r="H9859" s="70"/>
      <c r="BA9859" s="4"/>
      <c r="BB9859" s="4"/>
    </row>
    <row r="9860" spans="1:54" x14ac:dyDescent="0.3">
      <c r="A9860" s="66"/>
      <c r="B9860" s="67"/>
      <c r="C9860" s="66"/>
      <c r="D9860" s="68"/>
      <c r="E9860" s="10"/>
      <c r="F9860" s="69"/>
      <c r="G9860" s="68"/>
      <c r="H9860" s="70"/>
      <c r="BA9860" s="4"/>
      <c r="BB9860" s="4"/>
    </row>
    <row r="9861" spans="1:54" x14ac:dyDescent="0.3">
      <c r="A9861" s="66"/>
      <c r="B9861" s="67"/>
      <c r="C9861" s="66"/>
      <c r="D9861" s="68"/>
      <c r="E9861" s="10"/>
      <c r="F9861" s="69"/>
      <c r="G9861" s="68"/>
      <c r="H9861" s="70"/>
      <c r="BA9861" s="4"/>
      <c r="BB9861" s="4"/>
    </row>
    <row r="9862" spans="1:54" x14ac:dyDescent="0.3">
      <c r="A9862" s="66"/>
      <c r="B9862" s="67"/>
      <c r="C9862" s="66"/>
      <c r="D9862" s="68"/>
      <c r="E9862" s="10"/>
      <c r="F9862" s="69"/>
      <c r="G9862" s="68"/>
      <c r="H9862" s="70"/>
      <c r="BA9862" s="4"/>
      <c r="BB9862" s="4"/>
    </row>
    <row r="9863" spans="1:54" x14ac:dyDescent="0.3">
      <c r="A9863" s="66"/>
      <c r="B9863" s="67"/>
      <c r="C9863" s="66"/>
      <c r="D9863" s="68"/>
      <c r="E9863" s="10"/>
      <c r="F9863" s="69"/>
      <c r="G9863" s="68"/>
      <c r="H9863" s="70"/>
      <c r="BA9863" s="4"/>
      <c r="BB9863" s="4"/>
    </row>
    <row r="9864" spans="1:54" x14ac:dyDescent="0.3">
      <c r="A9864" s="66"/>
      <c r="B9864" s="67"/>
      <c r="C9864" s="66"/>
      <c r="D9864" s="68"/>
      <c r="E9864" s="10"/>
      <c r="F9864" s="69"/>
      <c r="G9864" s="68"/>
      <c r="H9864" s="70"/>
      <c r="BA9864" s="4"/>
      <c r="BB9864" s="4"/>
    </row>
    <row r="9865" spans="1:54" x14ac:dyDescent="0.3">
      <c r="A9865" s="66"/>
      <c r="B9865" s="67"/>
      <c r="C9865" s="66"/>
      <c r="D9865" s="68"/>
      <c r="E9865" s="10"/>
      <c r="F9865" s="69"/>
      <c r="G9865" s="68"/>
      <c r="H9865" s="70"/>
      <c r="BA9865" s="4"/>
      <c r="BB9865" s="4"/>
    </row>
    <row r="9866" spans="1:54" x14ac:dyDescent="0.3">
      <c r="A9866" s="66"/>
      <c r="B9866" s="67"/>
      <c r="C9866" s="66"/>
      <c r="D9866" s="68"/>
      <c r="E9866" s="10"/>
      <c r="F9866" s="69"/>
      <c r="G9866" s="68"/>
      <c r="H9866" s="70"/>
      <c r="BA9866" s="4"/>
      <c r="BB9866" s="4"/>
    </row>
    <row r="9867" spans="1:54" x14ac:dyDescent="0.3">
      <c r="A9867" s="66"/>
      <c r="B9867" s="67"/>
      <c r="C9867" s="66"/>
      <c r="D9867" s="68"/>
      <c r="E9867" s="10"/>
      <c r="F9867" s="69"/>
      <c r="G9867" s="68"/>
      <c r="H9867" s="70"/>
      <c r="BA9867" s="4"/>
      <c r="BB9867" s="4"/>
    </row>
    <row r="9868" spans="1:54" x14ac:dyDescent="0.3">
      <c r="A9868" s="66"/>
      <c r="B9868" s="67"/>
      <c r="C9868" s="66"/>
      <c r="D9868" s="68"/>
      <c r="E9868" s="10"/>
      <c r="F9868" s="69"/>
      <c r="G9868" s="68"/>
      <c r="H9868" s="70"/>
      <c r="BA9868" s="4"/>
      <c r="BB9868" s="4"/>
    </row>
    <row r="9869" spans="1:54" x14ac:dyDescent="0.3">
      <c r="A9869" s="66"/>
      <c r="B9869" s="67"/>
      <c r="C9869" s="66"/>
      <c r="D9869" s="68"/>
      <c r="E9869" s="10"/>
      <c r="F9869" s="69"/>
      <c r="G9869" s="68"/>
      <c r="H9869" s="70"/>
      <c r="BA9869" s="4"/>
      <c r="BB9869" s="4"/>
    </row>
    <row r="9870" spans="1:54" x14ac:dyDescent="0.3">
      <c r="A9870" s="66"/>
      <c r="B9870" s="67"/>
      <c r="C9870" s="66"/>
      <c r="D9870" s="68"/>
      <c r="E9870" s="10"/>
      <c r="F9870" s="69"/>
      <c r="G9870" s="68"/>
      <c r="H9870" s="70"/>
      <c r="BA9870" s="4"/>
      <c r="BB9870" s="4"/>
    </row>
    <row r="9871" spans="1:54" x14ac:dyDescent="0.3">
      <c r="A9871" s="66"/>
      <c r="B9871" s="67"/>
      <c r="C9871" s="66"/>
      <c r="D9871" s="68"/>
      <c r="E9871" s="10"/>
      <c r="F9871" s="69"/>
      <c r="G9871" s="68"/>
      <c r="H9871" s="70"/>
      <c r="BA9871" s="4"/>
      <c r="BB9871" s="4"/>
    </row>
    <row r="9872" spans="1:54" x14ac:dyDescent="0.3">
      <c r="A9872" s="66"/>
      <c r="B9872" s="67"/>
      <c r="C9872" s="66"/>
      <c r="D9872" s="68"/>
      <c r="E9872" s="10"/>
      <c r="F9872" s="69"/>
      <c r="G9872" s="68"/>
      <c r="H9872" s="70"/>
      <c r="BA9872" s="4"/>
      <c r="BB9872" s="4"/>
    </row>
    <row r="9873" spans="1:54" x14ac:dyDescent="0.3">
      <c r="A9873" s="66"/>
      <c r="B9873" s="67"/>
      <c r="C9873" s="66"/>
      <c r="D9873" s="68"/>
      <c r="E9873" s="10"/>
      <c r="F9873" s="69"/>
      <c r="G9873" s="68"/>
      <c r="H9873" s="70"/>
      <c r="BA9873" s="4"/>
      <c r="BB9873" s="4"/>
    </row>
    <row r="9874" spans="1:54" x14ac:dyDescent="0.3">
      <c r="A9874" s="66"/>
      <c r="B9874" s="67"/>
      <c r="C9874" s="66"/>
      <c r="D9874" s="68"/>
      <c r="E9874" s="10"/>
      <c r="F9874" s="69"/>
      <c r="G9874" s="68"/>
      <c r="H9874" s="70"/>
      <c r="BA9874" s="4"/>
      <c r="BB9874" s="4"/>
    </row>
    <row r="9875" spans="1:54" x14ac:dyDescent="0.3">
      <c r="A9875" s="66"/>
      <c r="B9875" s="67"/>
      <c r="C9875" s="66"/>
      <c r="D9875" s="68"/>
      <c r="E9875" s="10"/>
      <c r="F9875" s="69"/>
      <c r="G9875" s="68"/>
      <c r="H9875" s="70"/>
      <c r="BA9875" s="4"/>
      <c r="BB9875" s="4"/>
    </row>
    <row r="9876" spans="1:54" x14ac:dyDescent="0.3">
      <c r="A9876" s="66"/>
      <c r="B9876" s="67"/>
      <c r="C9876" s="66"/>
      <c r="D9876" s="68"/>
      <c r="E9876" s="10"/>
      <c r="F9876" s="69"/>
      <c r="G9876" s="68"/>
      <c r="H9876" s="70"/>
      <c r="BA9876" s="4"/>
      <c r="BB9876" s="4"/>
    </row>
    <row r="9877" spans="1:54" x14ac:dyDescent="0.3">
      <c r="A9877" s="66"/>
      <c r="B9877" s="67"/>
      <c r="C9877" s="66"/>
      <c r="D9877" s="68"/>
      <c r="E9877" s="10"/>
      <c r="F9877" s="69"/>
      <c r="G9877" s="68"/>
      <c r="H9877" s="70"/>
      <c r="BA9877" s="4"/>
      <c r="BB9877" s="4"/>
    </row>
    <row r="9878" spans="1:54" x14ac:dyDescent="0.3">
      <c r="A9878" s="66"/>
      <c r="B9878" s="67"/>
      <c r="C9878" s="66"/>
      <c r="D9878" s="68"/>
      <c r="E9878" s="10"/>
      <c r="F9878" s="69"/>
      <c r="G9878" s="68"/>
      <c r="H9878" s="70"/>
      <c r="BA9878" s="4"/>
      <c r="BB9878" s="4"/>
    </row>
    <row r="9879" spans="1:54" x14ac:dyDescent="0.3">
      <c r="A9879" s="66"/>
      <c r="B9879" s="67"/>
      <c r="C9879" s="66"/>
      <c r="D9879" s="68"/>
      <c r="E9879" s="10"/>
      <c r="F9879" s="69"/>
      <c r="G9879" s="68"/>
      <c r="H9879" s="70"/>
      <c r="BA9879" s="4"/>
      <c r="BB9879" s="4"/>
    </row>
    <row r="9880" spans="1:54" x14ac:dyDescent="0.3">
      <c r="A9880" s="66"/>
      <c r="B9880" s="67"/>
      <c r="C9880" s="66"/>
      <c r="D9880" s="68"/>
      <c r="E9880" s="10"/>
      <c r="F9880" s="69"/>
      <c r="G9880" s="68"/>
      <c r="H9880" s="70"/>
      <c r="BA9880" s="4"/>
      <c r="BB9880" s="4"/>
    </row>
    <row r="9881" spans="1:54" x14ac:dyDescent="0.3">
      <c r="A9881" s="66"/>
      <c r="B9881" s="67"/>
      <c r="C9881" s="66"/>
      <c r="D9881" s="68"/>
      <c r="E9881" s="10"/>
      <c r="F9881" s="69"/>
      <c r="G9881" s="68"/>
      <c r="H9881" s="70"/>
      <c r="BA9881" s="4"/>
      <c r="BB9881" s="4"/>
    </row>
    <row r="9882" spans="1:54" x14ac:dyDescent="0.3">
      <c r="A9882" s="66"/>
      <c r="B9882" s="67"/>
      <c r="C9882" s="66"/>
      <c r="D9882" s="68"/>
      <c r="E9882" s="10"/>
      <c r="F9882" s="69"/>
      <c r="G9882" s="68"/>
      <c r="H9882" s="70"/>
      <c r="BA9882" s="4"/>
      <c r="BB9882" s="4"/>
    </row>
    <row r="9883" spans="1:54" x14ac:dyDescent="0.3">
      <c r="A9883" s="66"/>
      <c r="B9883" s="67"/>
      <c r="C9883" s="66"/>
      <c r="D9883" s="68"/>
      <c r="E9883" s="10"/>
      <c r="F9883" s="69"/>
      <c r="G9883" s="68"/>
      <c r="H9883" s="70"/>
      <c r="BA9883" s="4"/>
      <c r="BB9883" s="4"/>
    </row>
    <row r="9884" spans="1:54" x14ac:dyDescent="0.3">
      <c r="A9884" s="66"/>
      <c r="B9884" s="67"/>
      <c r="C9884" s="66"/>
      <c r="D9884" s="68"/>
      <c r="E9884" s="10"/>
      <c r="F9884" s="69"/>
      <c r="G9884" s="68"/>
      <c r="H9884" s="70"/>
      <c r="BA9884" s="4"/>
      <c r="BB9884" s="4"/>
    </row>
    <row r="9885" spans="1:54" x14ac:dyDescent="0.3">
      <c r="A9885" s="66"/>
      <c r="B9885" s="67"/>
      <c r="C9885" s="66"/>
      <c r="D9885" s="68"/>
      <c r="E9885" s="10"/>
      <c r="F9885" s="69"/>
      <c r="G9885" s="68"/>
      <c r="H9885" s="70"/>
      <c r="BA9885" s="4"/>
      <c r="BB9885" s="4"/>
    </row>
    <row r="9886" spans="1:54" x14ac:dyDescent="0.3">
      <c r="A9886" s="66"/>
      <c r="B9886" s="67"/>
      <c r="C9886" s="66"/>
      <c r="D9886" s="68"/>
      <c r="E9886" s="10"/>
      <c r="F9886" s="69"/>
      <c r="G9886" s="68"/>
      <c r="H9886" s="70"/>
      <c r="BA9886" s="4"/>
      <c r="BB9886" s="4"/>
    </row>
    <row r="9887" spans="1:54" x14ac:dyDescent="0.3">
      <c r="A9887" s="66"/>
      <c r="B9887" s="67"/>
      <c r="C9887" s="66"/>
      <c r="D9887" s="68"/>
      <c r="E9887" s="10"/>
      <c r="F9887" s="69"/>
      <c r="G9887" s="68"/>
      <c r="H9887" s="70"/>
      <c r="BA9887" s="4"/>
      <c r="BB9887" s="4"/>
    </row>
    <row r="9888" spans="1:54" x14ac:dyDescent="0.3">
      <c r="A9888" s="66"/>
      <c r="B9888" s="67"/>
      <c r="C9888" s="66"/>
      <c r="D9888" s="68"/>
      <c r="E9888" s="10"/>
      <c r="F9888" s="69"/>
      <c r="G9888" s="68"/>
      <c r="H9888" s="70"/>
      <c r="BA9888" s="4"/>
      <c r="BB9888" s="4"/>
    </row>
    <row r="9889" spans="1:54" x14ac:dyDescent="0.3">
      <c r="A9889" s="66"/>
      <c r="B9889" s="67"/>
      <c r="C9889" s="66"/>
      <c r="D9889" s="68"/>
      <c r="E9889" s="10"/>
      <c r="F9889" s="69"/>
      <c r="G9889" s="68"/>
      <c r="H9889" s="70"/>
      <c r="BA9889" s="4"/>
      <c r="BB9889" s="4"/>
    </row>
    <row r="9890" spans="1:54" x14ac:dyDescent="0.3">
      <c r="A9890" s="66"/>
      <c r="B9890" s="67"/>
      <c r="C9890" s="66"/>
      <c r="D9890" s="68"/>
      <c r="E9890" s="10"/>
      <c r="F9890" s="69"/>
      <c r="G9890" s="68"/>
      <c r="H9890" s="70"/>
      <c r="BA9890" s="4"/>
      <c r="BB9890" s="4"/>
    </row>
    <row r="9891" spans="1:54" x14ac:dyDescent="0.3">
      <c r="A9891" s="66"/>
      <c r="B9891" s="67"/>
      <c r="C9891" s="66"/>
      <c r="D9891" s="68"/>
      <c r="E9891" s="10"/>
      <c r="F9891" s="69"/>
      <c r="G9891" s="68"/>
      <c r="H9891" s="70"/>
      <c r="BA9891" s="4"/>
      <c r="BB9891" s="4"/>
    </row>
    <row r="9892" spans="1:54" x14ac:dyDescent="0.3">
      <c r="A9892" s="66"/>
      <c r="B9892" s="67"/>
      <c r="C9892" s="66"/>
      <c r="D9892" s="68"/>
      <c r="E9892" s="10"/>
      <c r="F9892" s="69"/>
      <c r="G9892" s="68"/>
      <c r="H9892" s="70"/>
      <c r="BA9892" s="4"/>
      <c r="BB9892" s="4"/>
    </row>
    <row r="9893" spans="1:54" x14ac:dyDescent="0.3">
      <c r="A9893" s="66"/>
      <c r="B9893" s="67"/>
      <c r="C9893" s="66"/>
      <c r="D9893" s="68"/>
      <c r="E9893" s="10"/>
      <c r="F9893" s="69"/>
      <c r="G9893" s="68"/>
      <c r="H9893" s="70"/>
      <c r="BA9893" s="4"/>
      <c r="BB9893" s="4"/>
    </row>
    <row r="9894" spans="1:54" x14ac:dyDescent="0.3">
      <c r="A9894" s="66"/>
      <c r="B9894" s="67"/>
      <c r="C9894" s="66"/>
      <c r="D9894" s="68"/>
      <c r="E9894" s="10"/>
      <c r="F9894" s="69"/>
      <c r="G9894" s="68"/>
      <c r="H9894" s="70"/>
      <c r="BA9894" s="4"/>
      <c r="BB9894" s="4"/>
    </row>
    <row r="9895" spans="1:54" x14ac:dyDescent="0.3">
      <c r="A9895" s="66"/>
      <c r="B9895" s="67"/>
      <c r="C9895" s="66"/>
      <c r="D9895" s="68"/>
      <c r="E9895" s="10"/>
      <c r="F9895" s="69"/>
      <c r="G9895" s="68"/>
      <c r="H9895" s="70"/>
      <c r="BA9895" s="4"/>
      <c r="BB9895" s="4"/>
    </row>
    <row r="9896" spans="1:54" x14ac:dyDescent="0.3">
      <c r="A9896" s="66"/>
      <c r="B9896" s="67"/>
      <c r="C9896" s="66"/>
      <c r="D9896" s="68"/>
      <c r="E9896" s="10"/>
      <c r="F9896" s="69"/>
      <c r="G9896" s="68"/>
      <c r="H9896" s="70"/>
      <c r="BA9896" s="4"/>
      <c r="BB9896" s="4"/>
    </row>
    <row r="9897" spans="1:54" x14ac:dyDescent="0.3">
      <c r="A9897" s="66"/>
      <c r="B9897" s="67"/>
      <c r="C9897" s="66"/>
      <c r="D9897" s="68"/>
      <c r="E9897" s="10"/>
      <c r="F9897" s="69"/>
      <c r="G9897" s="68"/>
      <c r="H9897" s="70"/>
      <c r="BA9897" s="4"/>
      <c r="BB9897" s="4"/>
    </row>
    <row r="9898" spans="1:54" x14ac:dyDescent="0.3">
      <c r="A9898" s="66"/>
      <c r="B9898" s="67"/>
      <c r="C9898" s="66"/>
      <c r="D9898" s="68"/>
      <c r="E9898" s="10"/>
      <c r="F9898" s="69"/>
      <c r="G9898" s="68"/>
      <c r="H9898" s="70"/>
      <c r="BA9898" s="4"/>
      <c r="BB9898" s="4"/>
    </row>
    <row r="9899" spans="1:54" x14ac:dyDescent="0.3">
      <c r="A9899" s="66"/>
      <c r="B9899" s="67"/>
      <c r="C9899" s="66"/>
      <c r="D9899" s="68"/>
      <c r="E9899" s="10"/>
      <c r="F9899" s="69"/>
      <c r="G9899" s="68"/>
      <c r="H9899" s="70"/>
      <c r="BA9899" s="4"/>
      <c r="BB9899" s="4"/>
    </row>
    <row r="9900" spans="1:54" x14ac:dyDescent="0.3">
      <c r="A9900" s="66"/>
      <c r="B9900" s="67"/>
      <c r="C9900" s="66"/>
      <c r="D9900" s="68"/>
      <c r="E9900" s="10"/>
      <c r="F9900" s="69"/>
      <c r="G9900" s="68"/>
      <c r="H9900" s="70"/>
      <c r="BA9900" s="4"/>
      <c r="BB9900" s="4"/>
    </row>
    <row r="9901" spans="1:54" x14ac:dyDescent="0.3">
      <c r="A9901" s="66"/>
      <c r="B9901" s="67"/>
      <c r="C9901" s="66"/>
      <c r="D9901" s="68"/>
      <c r="E9901" s="10"/>
      <c r="F9901" s="69"/>
      <c r="G9901" s="68"/>
      <c r="H9901" s="70"/>
      <c r="BA9901" s="4"/>
      <c r="BB9901" s="4"/>
    </row>
    <row r="9902" spans="1:54" x14ac:dyDescent="0.3">
      <c r="A9902" s="66"/>
      <c r="B9902" s="67"/>
      <c r="C9902" s="66"/>
      <c r="D9902" s="68"/>
      <c r="E9902" s="10"/>
      <c r="F9902" s="69"/>
      <c r="G9902" s="68"/>
      <c r="H9902" s="70"/>
      <c r="BA9902" s="4"/>
      <c r="BB9902" s="4"/>
    </row>
    <row r="9903" spans="1:54" x14ac:dyDescent="0.3">
      <c r="A9903" s="66"/>
      <c r="B9903" s="67"/>
      <c r="C9903" s="66"/>
      <c r="D9903" s="68"/>
      <c r="E9903" s="10"/>
      <c r="F9903" s="69"/>
      <c r="G9903" s="68"/>
      <c r="H9903" s="70"/>
      <c r="BA9903" s="4"/>
      <c r="BB9903" s="4"/>
    </row>
    <row r="9904" spans="1:54" x14ac:dyDescent="0.3">
      <c r="A9904" s="66"/>
      <c r="B9904" s="67"/>
      <c r="C9904" s="66"/>
      <c r="D9904" s="68"/>
      <c r="E9904" s="10"/>
      <c r="F9904" s="69"/>
      <c r="G9904" s="68"/>
      <c r="H9904" s="70"/>
      <c r="BA9904" s="4"/>
      <c r="BB9904" s="4"/>
    </row>
    <row r="9905" spans="1:54" x14ac:dyDescent="0.3">
      <c r="A9905" s="66"/>
      <c r="B9905" s="67"/>
      <c r="C9905" s="66"/>
      <c r="D9905" s="68"/>
      <c r="E9905" s="10"/>
      <c r="F9905" s="69"/>
      <c r="G9905" s="68"/>
      <c r="H9905" s="70"/>
      <c r="BA9905" s="4"/>
      <c r="BB9905" s="4"/>
    </row>
    <row r="9906" spans="1:54" x14ac:dyDescent="0.3">
      <c r="A9906" s="66"/>
      <c r="B9906" s="67"/>
      <c r="C9906" s="66"/>
      <c r="D9906" s="68"/>
      <c r="E9906" s="10"/>
      <c r="F9906" s="69"/>
      <c r="G9906" s="68"/>
      <c r="H9906" s="70"/>
      <c r="BA9906" s="4"/>
      <c r="BB9906" s="4"/>
    </row>
    <row r="9907" spans="1:54" x14ac:dyDescent="0.3">
      <c r="A9907" s="66"/>
      <c r="B9907" s="67"/>
      <c r="C9907" s="66"/>
      <c r="D9907" s="68"/>
      <c r="E9907" s="10"/>
      <c r="F9907" s="69"/>
      <c r="G9907" s="68"/>
      <c r="H9907" s="70"/>
      <c r="BA9907" s="4"/>
      <c r="BB9907" s="4"/>
    </row>
    <row r="9908" spans="1:54" x14ac:dyDescent="0.3">
      <c r="A9908" s="66"/>
      <c r="B9908" s="67"/>
      <c r="C9908" s="66"/>
      <c r="D9908" s="68"/>
      <c r="E9908" s="10"/>
      <c r="F9908" s="69"/>
      <c r="G9908" s="68"/>
      <c r="H9908" s="70"/>
      <c r="BA9908" s="4"/>
      <c r="BB9908" s="4"/>
    </row>
    <row r="9909" spans="1:54" x14ac:dyDescent="0.3">
      <c r="A9909" s="66"/>
      <c r="B9909" s="67"/>
      <c r="C9909" s="66"/>
      <c r="D9909" s="68"/>
      <c r="E9909" s="10"/>
      <c r="F9909" s="69"/>
      <c r="G9909" s="68"/>
      <c r="H9909" s="70"/>
      <c r="BA9909" s="4"/>
      <c r="BB9909" s="4"/>
    </row>
    <row r="9910" spans="1:54" x14ac:dyDescent="0.3">
      <c r="A9910" s="66"/>
      <c r="B9910" s="67"/>
      <c r="C9910" s="66"/>
      <c r="D9910" s="68"/>
      <c r="E9910" s="10"/>
      <c r="F9910" s="69"/>
      <c r="G9910" s="68"/>
      <c r="H9910" s="70"/>
      <c r="BA9910" s="4"/>
      <c r="BB9910" s="4"/>
    </row>
    <row r="9911" spans="1:54" x14ac:dyDescent="0.3">
      <c r="A9911" s="66"/>
      <c r="B9911" s="67"/>
      <c r="C9911" s="66"/>
      <c r="D9911" s="68"/>
      <c r="E9911" s="10"/>
      <c r="F9911" s="69"/>
      <c r="G9911" s="68"/>
      <c r="H9911" s="70"/>
      <c r="BA9911" s="4"/>
      <c r="BB9911" s="4"/>
    </row>
    <row r="9912" spans="1:54" x14ac:dyDescent="0.3">
      <c r="A9912" s="66"/>
      <c r="B9912" s="67"/>
      <c r="C9912" s="66"/>
      <c r="D9912" s="68"/>
      <c r="E9912" s="10"/>
      <c r="F9912" s="69"/>
      <c r="G9912" s="68"/>
      <c r="H9912" s="70"/>
      <c r="BA9912" s="4"/>
      <c r="BB9912" s="4"/>
    </row>
    <row r="9913" spans="1:54" x14ac:dyDescent="0.3">
      <c r="A9913" s="66"/>
      <c r="B9913" s="67"/>
      <c r="C9913" s="66"/>
      <c r="D9913" s="68"/>
      <c r="E9913" s="10"/>
      <c r="F9913" s="69"/>
      <c r="G9913" s="68"/>
      <c r="H9913" s="70"/>
      <c r="BA9913" s="4"/>
      <c r="BB9913" s="4"/>
    </row>
    <row r="9914" spans="1:54" x14ac:dyDescent="0.3">
      <c r="A9914" s="66"/>
      <c r="B9914" s="67"/>
      <c r="C9914" s="66"/>
      <c r="D9914" s="68"/>
      <c r="E9914" s="10"/>
      <c r="F9914" s="69"/>
      <c r="G9914" s="68"/>
      <c r="H9914" s="70"/>
      <c r="BA9914" s="4"/>
      <c r="BB9914" s="4"/>
    </row>
    <row r="9915" spans="1:54" x14ac:dyDescent="0.3">
      <c r="A9915" s="66"/>
      <c r="B9915" s="67"/>
      <c r="C9915" s="66"/>
      <c r="D9915" s="68"/>
      <c r="E9915" s="10"/>
      <c r="F9915" s="69"/>
      <c r="G9915" s="68"/>
      <c r="H9915" s="70"/>
      <c r="BA9915" s="4"/>
      <c r="BB9915" s="4"/>
    </row>
    <row r="9916" spans="1:54" x14ac:dyDescent="0.3">
      <c r="A9916" s="66"/>
      <c r="B9916" s="67"/>
      <c r="C9916" s="66"/>
      <c r="D9916" s="68"/>
      <c r="E9916" s="10"/>
      <c r="F9916" s="69"/>
      <c r="G9916" s="68"/>
      <c r="H9916" s="70"/>
      <c r="BA9916" s="4"/>
      <c r="BB9916" s="4"/>
    </row>
    <row r="9917" spans="1:54" x14ac:dyDescent="0.3">
      <c r="A9917" s="66"/>
      <c r="B9917" s="67"/>
      <c r="C9917" s="66"/>
      <c r="D9917" s="68"/>
      <c r="E9917" s="10"/>
      <c r="F9917" s="69"/>
      <c r="G9917" s="68"/>
      <c r="H9917" s="70"/>
      <c r="BA9917" s="4"/>
      <c r="BB9917" s="4"/>
    </row>
    <row r="9918" spans="1:54" x14ac:dyDescent="0.3">
      <c r="A9918" s="66"/>
      <c r="B9918" s="67"/>
      <c r="C9918" s="66"/>
      <c r="D9918" s="68"/>
      <c r="E9918" s="10"/>
      <c r="F9918" s="69"/>
      <c r="G9918" s="68"/>
      <c r="H9918" s="70"/>
      <c r="BA9918" s="4"/>
      <c r="BB9918" s="4"/>
    </row>
    <row r="9919" spans="1:54" x14ac:dyDescent="0.3">
      <c r="A9919" s="66"/>
      <c r="B9919" s="67"/>
      <c r="C9919" s="66"/>
      <c r="D9919" s="68"/>
      <c r="E9919" s="10"/>
      <c r="F9919" s="69"/>
      <c r="G9919" s="68"/>
      <c r="H9919" s="70"/>
      <c r="BA9919" s="4"/>
      <c r="BB9919" s="4"/>
    </row>
    <row r="9920" spans="1:54" x14ac:dyDescent="0.3">
      <c r="A9920" s="66"/>
      <c r="B9920" s="67"/>
      <c r="C9920" s="66"/>
      <c r="D9920" s="68"/>
      <c r="E9920" s="10"/>
      <c r="F9920" s="69"/>
      <c r="G9920" s="68"/>
      <c r="H9920" s="70"/>
      <c r="BA9920" s="4"/>
      <c r="BB9920" s="4"/>
    </row>
    <row r="9921" spans="1:54" x14ac:dyDescent="0.3">
      <c r="A9921" s="66"/>
      <c r="B9921" s="67"/>
      <c r="C9921" s="66"/>
      <c r="D9921" s="68"/>
      <c r="E9921" s="10"/>
      <c r="F9921" s="69"/>
      <c r="G9921" s="68"/>
      <c r="H9921" s="70"/>
      <c r="BA9921" s="4"/>
      <c r="BB9921" s="4"/>
    </row>
    <row r="9922" spans="1:54" x14ac:dyDescent="0.3">
      <c r="A9922" s="66"/>
      <c r="B9922" s="67"/>
      <c r="C9922" s="66"/>
      <c r="D9922" s="68"/>
      <c r="E9922" s="10"/>
      <c r="F9922" s="69"/>
      <c r="G9922" s="68"/>
      <c r="H9922" s="70"/>
      <c r="BA9922" s="4"/>
      <c r="BB9922" s="4"/>
    </row>
    <row r="9923" spans="1:54" x14ac:dyDescent="0.3">
      <c r="A9923" s="66"/>
      <c r="B9923" s="67"/>
      <c r="C9923" s="66"/>
      <c r="D9923" s="68"/>
      <c r="E9923" s="10"/>
      <c r="F9923" s="69"/>
      <c r="G9923" s="68"/>
      <c r="H9923" s="70"/>
      <c r="BA9923" s="4"/>
      <c r="BB9923" s="4"/>
    </row>
    <row r="9924" spans="1:54" x14ac:dyDescent="0.3">
      <c r="A9924" s="66"/>
      <c r="B9924" s="67"/>
      <c r="C9924" s="66"/>
      <c r="D9924" s="68"/>
      <c r="E9924" s="10"/>
      <c r="F9924" s="69"/>
      <c r="G9924" s="68"/>
      <c r="H9924" s="70"/>
      <c r="BA9924" s="4"/>
      <c r="BB9924" s="4"/>
    </row>
    <row r="9925" spans="1:54" x14ac:dyDescent="0.3">
      <c r="A9925" s="66"/>
      <c r="B9925" s="67"/>
      <c r="C9925" s="66"/>
      <c r="D9925" s="68"/>
      <c r="E9925" s="10"/>
      <c r="F9925" s="69"/>
      <c r="G9925" s="68"/>
      <c r="H9925" s="70"/>
      <c r="BA9925" s="4"/>
      <c r="BB9925" s="4"/>
    </row>
    <row r="9926" spans="1:54" x14ac:dyDescent="0.3">
      <c r="A9926" s="66"/>
      <c r="B9926" s="67"/>
      <c r="C9926" s="66"/>
      <c r="D9926" s="68"/>
      <c r="E9926" s="10"/>
      <c r="F9926" s="69"/>
      <c r="G9926" s="68"/>
      <c r="H9926" s="70"/>
      <c r="BA9926" s="4"/>
      <c r="BB9926" s="4"/>
    </row>
    <row r="9927" spans="1:54" x14ac:dyDescent="0.3">
      <c r="A9927" s="66"/>
      <c r="B9927" s="67"/>
      <c r="C9927" s="66"/>
      <c r="D9927" s="68"/>
      <c r="E9927" s="10"/>
      <c r="F9927" s="69"/>
      <c r="G9927" s="68"/>
      <c r="H9927" s="70"/>
      <c r="BA9927" s="4"/>
      <c r="BB9927" s="4"/>
    </row>
    <row r="9928" spans="1:54" x14ac:dyDescent="0.3">
      <c r="A9928" s="66"/>
      <c r="B9928" s="67"/>
      <c r="C9928" s="66"/>
      <c r="D9928" s="68"/>
      <c r="E9928" s="10"/>
      <c r="F9928" s="69"/>
      <c r="G9928" s="68"/>
      <c r="H9928" s="70"/>
      <c r="BA9928" s="4"/>
      <c r="BB9928" s="4"/>
    </row>
    <row r="9929" spans="1:54" x14ac:dyDescent="0.3">
      <c r="A9929" s="66"/>
      <c r="B9929" s="67"/>
      <c r="C9929" s="66"/>
      <c r="D9929" s="68"/>
      <c r="E9929" s="10"/>
      <c r="F9929" s="69"/>
      <c r="G9929" s="68"/>
      <c r="H9929" s="70"/>
      <c r="BA9929" s="4"/>
      <c r="BB9929" s="4"/>
    </row>
    <row r="9930" spans="1:54" x14ac:dyDescent="0.3">
      <c r="A9930" s="66"/>
      <c r="B9930" s="67"/>
      <c r="C9930" s="66"/>
      <c r="D9930" s="68"/>
      <c r="E9930" s="10"/>
      <c r="F9930" s="69"/>
      <c r="G9930" s="68"/>
      <c r="H9930" s="70"/>
      <c r="BA9930" s="4"/>
      <c r="BB9930" s="4"/>
    </row>
    <row r="9931" spans="1:54" x14ac:dyDescent="0.3">
      <c r="A9931" s="66"/>
      <c r="B9931" s="67"/>
      <c r="C9931" s="66"/>
      <c r="D9931" s="68"/>
      <c r="E9931" s="10"/>
      <c r="F9931" s="69"/>
      <c r="G9931" s="68"/>
      <c r="H9931" s="70"/>
      <c r="BA9931" s="4"/>
      <c r="BB9931" s="4"/>
    </row>
    <row r="9932" spans="1:54" x14ac:dyDescent="0.3">
      <c r="A9932" s="66"/>
      <c r="B9932" s="67"/>
      <c r="C9932" s="66"/>
      <c r="D9932" s="68"/>
      <c r="E9932" s="10"/>
      <c r="F9932" s="69"/>
      <c r="G9932" s="68"/>
      <c r="H9932" s="70"/>
      <c r="BA9932" s="4"/>
      <c r="BB9932" s="4"/>
    </row>
    <row r="9933" spans="1:54" x14ac:dyDescent="0.3">
      <c r="A9933" s="66"/>
      <c r="B9933" s="67"/>
      <c r="C9933" s="66"/>
      <c r="D9933" s="68"/>
      <c r="E9933" s="10"/>
      <c r="F9933" s="69"/>
      <c r="G9933" s="68"/>
      <c r="H9933" s="70"/>
      <c r="BA9933" s="4"/>
      <c r="BB9933" s="4"/>
    </row>
    <row r="9934" spans="1:54" x14ac:dyDescent="0.3">
      <c r="A9934" s="66"/>
      <c r="B9934" s="67"/>
      <c r="C9934" s="66"/>
      <c r="D9934" s="68"/>
      <c r="E9934" s="10"/>
      <c r="F9934" s="69"/>
      <c r="G9934" s="68"/>
      <c r="H9934" s="70"/>
      <c r="BA9934" s="4"/>
      <c r="BB9934" s="4"/>
    </row>
    <row r="9935" spans="1:54" x14ac:dyDescent="0.3">
      <c r="A9935" s="66"/>
      <c r="B9935" s="67"/>
      <c r="C9935" s="66"/>
      <c r="D9935" s="68"/>
      <c r="E9935" s="10"/>
      <c r="F9935" s="69"/>
      <c r="G9935" s="68"/>
      <c r="H9935" s="70"/>
      <c r="BA9935" s="4"/>
      <c r="BB9935" s="4"/>
    </row>
    <row r="9936" spans="1:54" x14ac:dyDescent="0.3">
      <c r="A9936" s="66"/>
      <c r="B9936" s="67"/>
      <c r="C9936" s="66"/>
      <c r="D9936" s="68"/>
      <c r="E9936" s="10"/>
      <c r="F9936" s="69"/>
      <c r="G9936" s="68"/>
      <c r="H9936" s="70"/>
      <c r="BA9936" s="4"/>
      <c r="BB9936" s="4"/>
    </row>
    <row r="9937" spans="1:54" x14ac:dyDescent="0.3">
      <c r="A9937" s="66"/>
      <c r="B9937" s="67"/>
      <c r="C9937" s="66"/>
      <c r="D9937" s="68"/>
      <c r="E9937" s="10"/>
      <c r="F9937" s="69"/>
      <c r="G9937" s="68"/>
      <c r="H9937" s="70"/>
      <c r="BA9937" s="4"/>
      <c r="BB9937" s="4"/>
    </row>
    <row r="9938" spans="1:54" x14ac:dyDescent="0.3">
      <c r="A9938" s="66"/>
      <c r="B9938" s="67"/>
      <c r="C9938" s="66"/>
      <c r="D9938" s="68"/>
      <c r="E9938" s="10"/>
      <c r="F9938" s="69"/>
      <c r="G9938" s="68"/>
      <c r="H9938" s="70"/>
      <c r="BA9938" s="4"/>
      <c r="BB9938" s="4"/>
    </row>
    <row r="9939" spans="1:54" x14ac:dyDescent="0.3">
      <c r="A9939" s="66"/>
      <c r="B9939" s="67"/>
      <c r="C9939" s="66"/>
      <c r="D9939" s="68"/>
      <c r="E9939" s="10"/>
      <c r="F9939" s="69"/>
      <c r="G9939" s="68"/>
      <c r="H9939" s="70"/>
      <c r="BA9939" s="4"/>
      <c r="BB9939" s="4"/>
    </row>
    <row r="9940" spans="1:54" x14ac:dyDescent="0.3">
      <c r="A9940" s="66"/>
      <c r="B9940" s="67"/>
      <c r="C9940" s="66"/>
      <c r="D9940" s="68"/>
      <c r="E9940" s="10"/>
      <c r="F9940" s="69"/>
      <c r="G9940" s="68"/>
      <c r="H9940" s="70"/>
      <c r="BA9940" s="4"/>
      <c r="BB9940" s="4"/>
    </row>
    <row r="9941" spans="1:54" x14ac:dyDescent="0.3">
      <c r="A9941" s="66"/>
      <c r="B9941" s="67"/>
      <c r="C9941" s="66"/>
      <c r="D9941" s="68"/>
      <c r="E9941" s="10"/>
      <c r="F9941" s="69"/>
      <c r="G9941" s="68"/>
      <c r="H9941" s="70"/>
      <c r="BA9941" s="4"/>
      <c r="BB9941" s="4"/>
    </row>
    <row r="9942" spans="1:54" x14ac:dyDescent="0.3">
      <c r="A9942" s="66"/>
      <c r="B9942" s="67"/>
      <c r="C9942" s="66"/>
      <c r="D9942" s="68"/>
      <c r="E9942" s="10"/>
      <c r="F9942" s="69"/>
      <c r="G9942" s="68"/>
      <c r="H9942" s="70"/>
      <c r="BA9942" s="4"/>
      <c r="BB9942" s="4"/>
    </row>
    <row r="9943" spans="1:54" x14ac:dyDescent="0.3">
      <c r="A9943" s="66"/>
      <c r="B9943" s="67"/>
      <c r="C9943" s="66"/>
      <c r="D9943" s="68"/>
      <c r="E9943" s="10"/>
      <c r="F9943" s="69"/>
      <c r="G9943" s="68"/>
      <c r="H9943" s="70"/>
      <c r="BA9943" s="4"/>
      <c r="BB9943" s="4"/>
    </row>
    <row r="9944" spans="1:54" x14ac:dyDescent="0.3">
      <c r="A9944" s="66"/>
      <c r="B9944" s="67"/>
      <c r="C9944" s="66"/>
      <c r="D9944" s="68"/>
      <c r="E9944" s="10"/>
      <c r="F9944" s="69"/>
      <c r="G9944" s="68"/>
      <c r="H9944" s="70"/>
      <c r="BA9944" s="4"/>
      <c r="BB9944" s="4"/>
    </row>
    <row r="9945" spans="1:54" x14ac:dyDescent="0.3">
      <c r="A9945" s="66"/>
      <c r="B9945" s="67"/>
      <c r="C9945" s="66"/>
      <c r="D9945" s="68"/>
      <c r="E9945" s="10"/>
      <c r="F9945" s="69"/>
      <c r="G9945" s="68"/>
      <c r="H9945" s="70"/>
      <c r="BA9945" s="4"/>
      <c r="BB9945" s="4"/>
    </row>
    <row r="9946" spans="1:54" x14ac:dyDescent="0.3">
      <c r="A9946" s="66"/>
      <c r="B9946" s="67"/>
      <c r="C9946" s="66"/>
      <c r="D9946" s="68"/>
      <c r="E9946" s="10"/>
      <c r="F9946" s="69"/>
      <c r="G9946" s="68"/>
      <c r="H9946" s="70"/>
      <c r="BA9946" s="4"/>
      <c r="BB9946" s="4"/>
    </row>
    <row r="9947" spans="1:54" x14ac:dyDescent="0.3">
      <c r="A9947" s="66"/>
      <c r="B9947" s="67"/>
      <c r="C9947" s="66"/>
      <c r="D9947" s="68"/>
      <c r="E9947" s="10"/>
      <c r="F9947" s="69"/>
      <c r="G9947" s="68"/>
      <c r="H9947" s="70"/>
      <c r="BA9947" s="4"/>
      <c r="BB9947" s="4"/>
    </row>
    <row r="9948" spans="1:54" x14ac:dyDescent="0.3">
      <c r="A9948" s="66"/>
      <c r="B9948" s="67"/>
      <c r="C9948" s="66"/>
      <c r="D9948" s="68"/>
      <c r="E9948" s="10"/>
      <c r="F9948" s="69"/>
      <c r="G9948" s="68"/>
      <c r="H9948" s="70"/>
      <c r="BA9948" s="4"/>
      <c r="BB9948" s="4"/>
    </row>
    <row r="9949" spans="1:54" x14ac:dyDescent="0.3">
      <c r="A9949" s="66"/>
      <c r="B9949" s="67"/>
      <c r="C9949" s="66"/>
      <c r="D9949" s="68"/>
      <c r="E9949" s="10"/>
      <c r="F9949" s="69"/>
      <c r="G9949" s="68"/>
      <c r="H9949" s="70"/>
      <c r="BA9949" s="4"/>
      <c r="BB9949" s="4"/>
    </row>
    <row r="9950" spans="1:54" x14ac:dyDescent="0.3">
      <c r="A9950" s="66"/>
      <c r="B9950" s="67"/>
      <c r="C9950" s="66"/>
      <c r="D9950" s="68"/>
      <c r="E9950" s="10"/>
      <c r="F9950" s="69"/>
      <c r="G9950" s="68"/>
      <c r="H9950" s="70"/>
      <c r="BA9950" s="4"/>
      <c r="BB9950" s="4"/>
    </row>
    <row r="9951" spans="1:54" x14ac:dyDescent="0.3">
      <c r="A9951" s="66"/>
      <c r="B9951" s="67"/>
      <c r="C9951" s="66"/>
      <c r="D9951" s="68"/>
      <c r="E9951" s="10"/>
      <c r="F9951" s="69"/>
      <c r="G9951" s="68"/>
      <c r="H9951" s="70"/>
      <c r="BA9951" s="4"/>
      <c r="BB9951" s="4"/>
    </row>
    <row r="9952" spans="1:54" x14ac:dyDescent="0.3">
      <c r="A9952" s="66"/>
      <c r="B9952" s="67"/>
      <c r="C9952" s="66"/>
      <c r="D9952" s="68"/>
      <c r="E9952" s="10"/>
      <c r="F9952" s="69"/>
      <c r="G9952" s="68"/>
      <c r="H9952" s="70"/>
      <c r="BA9952" s="4"/>
      <c r="BB9952" s="4"/>
    </row>
    <row r="9953" spans="1:54" x14ac:dyDescent="0.3">
      <c r="A9953" s="66"/>
      <c r="B9953" s="67"/>
      <c r="C9953" s="66"/>
      <c r="D9953" s="68"/>
      <c r="E9953" s="10"/>
      <c r="F9953" s="69"/>
      <c r="G9953" s="68"/>
      <c r="H9953" s="70"/>
      <c r="BA9953" s="4"/>
      <c r="BB9953" s="4"/>
    </row>
    <row r="9954" spans="1:54" x14ac:dyDescent="0.3">
      <c r="A9954" s="66"/>
      <c r="B9954" s="67"/>
      <c r="C9954" s="66"/>
      <c r="D9954" s="68"/>
      <c r="E9954" s="10"/>
      <c r="F9954" s="69"/>
      <c r="G9954" s="68"/>
      <c r="H9954" s="70"/>
      <c r="BA9954" s="4"/>
      <c r="BB9954" s="4"/>
    </row>
    <row r="9955" spans="1:54" x14ac:dyDescent="0.3">
      <c r="A9955" s="66"/>
      <c r="B9955" s="67"/>
      <c r="C9955" s="66"/>
      <c r="D9955" s="68"/>
      <c r="E9955" s="10"/>
      <c r="F9955" s="69"/>
      <c r="G9955" s="68"/>
      <c r="H9955" s="70"/>
      <c r="BA9955" s="4"/>
      <c r="BB9955" s="4"/>
    </row>
    <row r="9956" spans="1:54" x14ac:dyDescent="0.3">
      <c r="A9956" s="66"/>
      <c r="B9956" s="67"/>
      <c r="C9956" s="66"/>
      <c r="D9956" s="68"/>
      <c r="E9956" s="10"/>
      <c r="F9956" s="69"/>
      <c r="G9956" s="68"/>
      <c r="H9956" s="70"/>
      <c r="BA9956" s="4"/>
      <c r="BB9956" s="4"/>
    </row>
    <row r="9957" spans="1:54" x14ac:dyDescent="0.3">
      <c r="A9957" s="66"/>
      <c r="B9957" s="67"/>
      <c r="C9957" s="66"/>
      <c r="D9957" s="68"/>
      <c r="E9957" s="10"/>
      <c r="F9957" s="69"/>
      <c r="G9957" s="68"/>
      <c r="H9957" s="70"/>
      <c r="BA9957" s="4"/>
      <c r="BB9957" s="4"/>
    </row>
    <row r="9958" spans="1:54" x14ac:dyDescent="0.3">
      <c r="A9958" s="66"/>
      <c r="B9958" s="67"/>
      <c r="C9958" s="66"/>
      <c r="D9958" s="68"/>
      <c r="E9958" s="10"/>
      <c r="F9958" s="69"/>
      <c r="G9958" s="68"/>
      <c r="H9958" s="70"/>
      <c r="BA9958" s="4"/>
      <c r="BB9958" s="4"/>
    </row>
    <row r="9959" spans="1:54" x14ac:dyDescent="0.3">
      <c r="A9959" s="66"/>
      <c r="B9959" s="67"/>
      <c r="C9959" s="66"/>
      <c r="D9959" s="68"/>
      <c r="E9959" s="10"/>
      <c r="F9959" s="69"/>
      <c r="G9959" s="68"/>
      <c r="H9959" s="70"/>
      <c r="BA9959" s="4"/>
      <c r="BB9959" s="4"/>
    </row>
    <row r="9960" spans="1:54" x14ac:dyDescent="0.3">
      <c r="A9960" s="66"/>
      <c r="B9960" s="67"/>
      <c r="C9960" s="66"/>
      <c r="D9960" s="68"/>
      <c r="E9960" s="10"/>
      <c r="F9960" s="69"/>
      <c r="G9960" s="68"/>
      <c r="H9960" s="70"/>
      <c r="BA9960" s="4"/>
      <c r="BB9960" s="4"/>
    </row>
    <row r="9961" spans="1:54" x14ac:dyDescent="0.3">
      <c r="A9961" s="66"/>
      <c r="B9961" s="67"/>
      <c r="C9961" s="66"/>
      <c r="D9961" s="68"/>
      <c r="E9961" s="10"/>
      <c r="F9961" s="69"/>
      <c r="G9961" s="68"/>
      <c r="H9961" s="70"/>
      <c r="BA9961" s="4"/>
      <c r="BB9961" s="4"/>
    </row>
    <row r="9962" spans="1:54" x14ac:dyDescent="0.3">
      <c r="A9962" s="66"/>
      <c r="B9962" s="67"/>
      <c r="C9962" s="66"/>
      <c r="D9962" s="68"/>
      <c r="E9962" s="10"/>
      <c r="F9962" s="69"/>
      <c r="G9962" s="68"/>
      <c r="H9962" s="70"/>
      <c r="BA9962" s="4"/>
      <c r="BB9962" s="4"/>
    </row>
    <row r="9963" spans="1:54" x14ac:dyDescent="0.3">
      <c r="A9963" s="66"/>
      <c r="B9963" s="67"/>
      <c r="C9963" s="66"/>
      <c r="D9963" s="68"/>
      <c r="E9963" s="10"/>
      <c r="F9963" s="69"/>
      <c r="G9963" s="68"/>
      <c r="H9963" s="70"/>
      <c r="BA9963" s="4"/>
      <c r="BB9963" s="4"/>
    </row>
    <row r="9964" spans="1:54" x14ac:dyDescent="0.3">
      <c r="A9964" s="66"/>
      <c r="B9964" s="67"/>
      <c r="C9964" s="66"/>
      <c r="D9964" s="68"/>
      <c r="E9964" s="10"/>
      <c r="F9964" s="69"/>
      <c r="G9964" s="68"/>
      <c r="H9964" s="70"/>
      <c r="BA9964" s="4"/>
      <c r="BB9964" s="4"/>
    </row>
    <row r="9965" spans="1:54" x14ac:dyDescent="0.3">
      <c r="A9965" s="66"/>
      <c r="B9965" s="67"/>
      <c r="C9965" s="66"/>
      <c r="D9965" s="68"/>
      <c r="E9965" s="10"/>
      <c r="F9965" s="69"/>
      <c r="G9965" s="68"/>
      <c r="H9965" s="70"/>
      <c r="BA9965" s="4"/>
      <c r="BB9965" s="4"/>
    </row>
    <row r="9966" spans="1:54" x14ac:dyDescent="0.3">
      <c r="A9966" s="66"/>
      <c r="B9966" s="67"/>
      <c r="C9966" s="66"/>
      <c r="D9966" s="68"/>
      <c r="E9966" s="10"/>
      <c r="F9966" s="69"/>
      <c r="G9966" s="68"/>
      <c r="H9966" s="70"/>
      <c r="BA9966" s="4"/>
      <c r="BB9966" s="4"/>
    </row>
    <row r="9967" spans="1:54" x14ac:dyDescent="0.3">
      <c r="A9967" s="66"/>
      <c r="B9967" s="67"/>
      <c r="C9967" s="66"/>
      <c r="D9967" s="68"/>
      <c r="E9967" s="10"/>
      <c r="F9967" s="69"/>
      <c r="G9967" s="68"/>
      <c r="H9967" s="70"/>
      <c r="BA9967" s="4"/>
      <c r="BB9967" s="4"/>
    </row>
    <row r="9968" spans="1:54" x14ac:dyDescent="0.3">
      <c r="A9968" s="66"/>
      <c r="B9968" s="67"/>
      <c r="C9968" s="66"/>
      <c r="D9968" s="68"/>
      <c r="E9968" s="10"/>
      <c r="F9968" s="69"/>
      <c r="G9968" s="68"/>
      <c r="H9968" s="70"/>
      <c r="BA9968" s="4"/>
      <c r="BB9968" s="4"/>
    </row>
    <row r="9969" spans="1:54" x14ac:dyDescent="0.3">
      <c r="A9969" s="66"/>
      <c r="B9969" s="67"/>
      <c r="C9969" s="66"/>
      <c r="D9969" s="68"/>
      <c r="E9969" s="10"/>
      <c r="F9969" s="69"/>
      <c r="G9969" s="68"/>
      <c r="H9969" s="70"/>
      <c r="BA9969" s="4"/>
      <c r="BB9969" s="4"/>
    </row>
    <row r="9970" spans="1:54" x14ac:dyDescent="0.3">
      <c r="A9970" s="66"/>
      <c r="B9970" s="67"/>
      <c r="C9970" s="66"/>
      <c r="D9970" s="68"/>
      <c r="E9970" s="10"/>
      <c r="F9970" s="69"/>
      <c r="G9970" s="68"/>
      <c r="H9970" s="70"/>
      <c r="BA9970" s="4"/>
      <c r="BB9970" s="4"/>
    </row>
    <row r="9971" spans="1:54" x14ac:dyDescent="0.3">
      <c r="A9971" s="66"/>
      <c r="B9971" s="67"/>
      <c r="C9971" s="66"/>
      <c r="D9971" s="68"/>
      <c r="E9971" s="10"/>
      <c r="F9971" s="69"/>
      <c r="G9971" s="68"/>
      <c r="H9971" s="70"/>
      <c r="BA9971" s="4"/>
      <c r="BB9971" s="4"/>
    </row>
    <row r="9972" spans="1:54" x14ac:dyDescent="0.3">
      <c r="A9972" s="66"/>
      <c r="B9972" s="67"/>
      <c r="C9972" s="66"/>
      <c r="D9972" s="68"/>
      <c r="E9972" s="10"/>
      <c r="F9972" s="69"/>
      <c r="G9972" s="68"/>
      <c r="H9972" s="70"/>
      <c r="BA9972" s="4"/>
      <c r="BB9972" s="4"/>
    </row>
    <row r="9973" spans="1:54" x14ac:dyDescent="0.3">
      <c r="A9973" s="66"/>
      <c r="B9973" s="67"/>
      <c r="C9973" s="66"/>
      <c r="D9973" s="68"/>
      <c r="E9973" s="10"/>
      <c r="F9973" s="69"/>
      <c r="G9973" s="68"/>
      <c r="H9973" s="70"/>
      <c r="BA9973" s="4"/>
      <c r="BB9973" s="4"/>
    </row>
    <row r="9974" spans="1:54" x14ac:dyDescent="0.3">
      <c r="A9974" s="66"/>
      <c r="B9974" s="67"/>
      <c r="C9974" s="66"/>
      <c r="D9974" s="68"/>
      <c r="E9974" s="10"/>
      <c r="F9974" s="69"/>
      <c r="G9974" s="68"/>
      <c r="H9974" s="70"/>
      <c r="BA9974" s="4"/>
      <c r="BB9974" s="4"/>
    </row>
    <row r="9975" spans="1:54" x14ac:dyDescent="0.3">
      <c r="A9975" s="66"/>
      <c r="B9975" s="67"/>
      <c r="C9975" s="66"/>
      <c r="D9975" s="68"/>
      <c r="E9975" s="10"/>
      <c r="F9975" s="69"/>
      <c r="G9975" s="68"/>
      <c r="H9975" s="70"/>
      <c r="BA9975" s="4"/>
      <c r="BB9975" s="4"/>
    </row>
    <row r="9976" spans="1:54" x14ac:dyDescent="0.3">
      <c r="A9976" s="66"/>
      <c r="B9976" s="67"/>
      <c r="C9976" s="66"/>
      <c r="D9976" s="68"/>
      <c r="E9976" s="10"/>
      <c r="F9976" s="69"/>
      <c r="G9976" s="68"/>
      <c r="H9976" s="70"/>
      <c r="BA9976" s="4"/>
      <c r="BB9976" s="4"/>
    </row>
    <row r="9977" spans="1:54" x14ac:dyDescent="0.3">
      <c r="A9977" s="66"/>
      <c r="B9977" s="67"/>
      <c r="C9977" s="66"/>
      <c r="D9977" s="68"/>
      <c r="E9977" s="10"/>
      <c r="F9977" s="69"/>
      <c r="G9977" s="68"/>
      <c r="H9977" s="70"/>
      <c r="BA9977" s="4"/>
      <c r="BB9977" s="4"/>
    </row>
    <row r="9978" spans="1:54" x14ac:dyDescent="0.3">
      <c r="A9978" s="66"/>
      <c r="B9978" s="67"/>
      <c r="C9978" s="66"/>
      <c r="D9978" s="68"/>
      <c r="E9978" s="10"/>
      <c r="F9978" s="69"/>
      <c r="G9978" s="68"/>
      <c r="H9978" s="70"/>
      <c r="BA9978" s="4"/>
      <c r="BB9978" s="4"/>
    </row>
    <row r="9979" spans="1:54" x14ac:dyDescent="0.3">
      <c r="A9979" s="66"/>
      <c r="B9979" s="67"/>
      <c r="C9979" s="66"/>
      <c r="D9979" s="68"/>
      <c r="E9979" s="10"/>
      <c r="F9979" s="69"/>
      <c r="G9979" s="68"/>
      <c r="H9979" s="70"/>
      <c r="BA9979" s="4"/>
      <c r="BB9979" s="4"/>
    </row>
    <row r="9980" spans="1:54" x14ac:dyDescent="0.3">
      <c r="A9980" s="66"/>
      <c r="B9980" s="67"/>
      <c r="C9980" s="66"/>
      <c r="D9980" s="68"/>
      <c r="E9980" s="10"/>
      <c r="F9980" s="69"/>
      <c r="G9980" s="68"/>
      <c r="H9980" s="70"/>
      <c r="BA9980" s="4"/>
      <c r="BB9980" s="4"/>
    </row>
    <row r="9981" spans="1:54" x14ac:dyDescent="0.3">
      <c r="A9981" s="66"/>
      <c r="B9981" s="67"/>
      <c r="C9981" s="66"/>
      <c r="D9981" s="68"/>
      <c r="E9981" s="10"/>
      <c r="F9981" s="69"/>
      <c r="G9981" s="68"/>
      <c r="H9981" s="70"/>
      <c r="BA9981" s="4"/>
      <c r="BB9981" s="4"/>
    </row>
    <row r="9982" spans="1:54" x14ac:dyDescent="0.3">
      <c r="A9982" s="66"/>
      <c r="B9982" s="67"/>
      <c r="C9982" s="66"/>
      <c r="D9982" s="68"/>
      <c r="E9982" s="10"/>
      <c r="F9982" s="69"/>
      <c r="G9982" s="68"/>
      <c r="H9982" s="70"/>
      <c r="BA9982" s="4"/>
      <c r="BB9982" s="4"/>
    </row>
    <row r="9983" spans="1:54" x14ac:dyDescent="0.3">
      <c r="A9983" s="66"/>
      <c r="B9983" s="67"/>
      <c r="C9983" s="66"/>
      <c r="D9983" s="68"/>
      <c r="E9983" s="10"/>
      <c r="F9983" s="69"/>
      <c r="G9983" s="68"/>
      <c r="H9983" s="70"/>
      <c r="BA9983" s="4"/>
      <c r="BB9983" s="4"/>
    </row>
    <row r="9984" spans="1:54" x14ac:dyDescent="0.3">
      <c r="A9984" s="66"/>
      <c r="B9984" s="67"/>
      <c r="C9984" s="66"/>
      <c r="D9984" s="68"/>
      <c r="E9984" s="10"/>
      <c r="F9984" s="69"/>
      <c r="G9984" s="68"/>
      <c r="H9984" s="70"/>
      <c r="BA9984" s="4"/>
      <c r="BB9984" s="4"/>
    </row>
    <row r="9985" spans="1:54" x14ac:dyDescent="0.3">
      <c r="A9985" s="66"/>
      <c r="B9985" s="67"/>
      <c r="C9985" s="66"/>
      <c r="D9985" s="68"/>
      <c r="E9985" s="10"/>
      <c r="F9985" s="69"/>
      <c r="G9985" s="68"/>
      <c r="H9985" s="70"/>
      <c r="BA9985" s="4"/>
      <c r="BB9985" s="4"/>
    </row>
    <row r="9986" spans="1:54" x14ac:dyDescent="0.3">
      <c r="A9986" s="66"/>
      <c r="B9986" s="67"/>
      <c r="C9986" s="66"/>
      <c r="D9986" s="68"/>
      <c r="E9986" s="10"/>
      <c r="F9986" s="69"/>
      <c r="G9986" s="68"/>
      <c r="H9986" s="70"/>
      <c r="BA9986" s="4"/>
      <c r="BB9986" s="4"/>
    </row>
    <row r="9987" spans="1:54" x14ac:dyDescent="0.3">
      <c r="A9987" s="66"/>
      <c r="B9987" s="67"/>
      <c r="C9987" s="66"/>
      <c r="D9987" s="68"/>
      <c r="E9987" s="10"/>
      <c r="F9987" s="69"/>
      <c r="G9987" s="68"/>
      <c r="H9987" s="70"/>
      <c r="BA9987" s="4"/>
      <c r="BB9987" s="4"/>
    </row>
    <row r="9988" spans="1:54" x14ac:dyDescent="0.3">
      <c r="A9988" s="66"/>
      <c r="B9988" s="67"/>
      <c r="C9988" s="66"/>
      <c r="D9988" s="68"/>
      <c r="E9988" s="10"/>
      <c r="F9988" s="69"/>
      <c r="G9988" s="68"/>
      <c r="H9988" s="70"/>
      <c r="BA9988" s="4"/>
      <c r="BB9988" s="4"/>
    </row>
    <row r="9989" spans="1:54" x14ac:dyDescent="0.3">
      <c r="A9989" s="66"/>
      <c r="B9989" s="67"/>
      <c r="C9989" s="66"/>
      <c r="D9989" s="68"/>
      <c r="E9989" s="10"/>
      <c r="F9989" s="69"/>
      <c r="G9989" s="68"/>
      <c r="H9989" s="70"/>
      <c r="BA9989" s="4"/>
      <c r="BB9989" s="4"/>
    </row>
    <row r="9990" spans="1:54" x14ac:dyDescent="0.3">
      <c r="A9990" s="66"/>
      <c r="B9990" s="67"/>
      <c r="C9990" s="66"/>
      <c r="D9990" s="68"/>
      <c r="E9990" s="10"/>
      <c r="F9990" s="69"/>
      <c r="G9990" s="68"/>
      <c r="H9990" s="70"/>
      <c r="BA9990" s="4"/>
      <c r="BB9990" s="4"/>
    </row>
    <row r="9991" spans="1:54" x14ac:dyDescent="0.3">
      <c r="A9991" s="66"/>
      <c r="B9991" s="67"/>
      <c r="C9991" s="66"/>
      <c r="D9991" s="68"/>
      <c r="E9991" s="10"/>
      <c r="F9991" s="69"/>
      <c r="G9991" s="68"/>
      <c r="H9991" s="70"/>
      <c r="BA9991" s="4"/>
      <c r="BB9991" s="4"/>
    </row>
    <row r="9992" spans="1:54" x14ac:dyDescent="0.3">
      <c r="A9992" s="66"/>
      <c r="B9992" s="67"/>
      <c r="C9992" s="66"/>
      <c r="D9992" s="68"/>
      <c r="E9992" s="10"/>
      <c r="F9992" s="69"/>
      <c r="G9992" s="68"/>
      <c r="H9992" s="70"/>
      <c r="BA9992" s="4"/>
      <c r="BB9992" s="4"/>
    </row>
    <row r="9993" spans="1:54" x14ac:dyDescent="0.3">
      <c r="A9993" s="66"/>
      <c r="B9993" s="67"/>
      <c r="C9993" s="66"/>
      <c r="D9993" s="68"/>
      <c r="E9993" s="10"/>
      <c r="F9993" s="69"/>
      <c r="G9993" s="68"/>
      <c r="H9993" s="70"/>
      <c r="BA9993" s="4"/>
      <c r="BB9993" s="4"/>
    </row>
    <row r="9994" spans="1:54" x14ac:dyDescent="0.3">
      <c r="A9994" s="66"/>
      <c r="B9994" s="67"/>
      <c r="C9994" s="66"/>
      <c r="D9994" s="68"/>
      <c r="E9994" s="10"/>
      <c r="F9994" s="69"/>
      <c r="G9994" s="68"/>
      <c r="H9994" s="70"/>
      <c r="BA9994" s="4"/>
      <c r="BB9994" s="4"/>
    </row>
    <row r="9995" spans="1:54" x14ac:dyDescent="0.3">
      <c r="A9995" s="66"/>
      <c r="B9995" s="67"/>
      <c r="C9995" s="66"/>
      <c r="D9995" s="68"/>
      <c r="E9995" s="10"/>
      <c r="F9995" s="69"/>
      <c r="G9995" s="68"/>
      <c r="H9995" s="70"/>
      <c r="BA9995" s="4"/>
      <c r="BB9995" s="4"/>
    </row>
    <row r="9996" spans="1:54" x14ac:dyDescent="0.3">
      <c r="A9996" s="66"/>
      <c r="B9996" s="67"/>
      <c r="C9996" s="66"/>
      <c r="D9996" s="68"/>
      <c r="E9996" s="10"/>
      <c r="F9996" s="69"/>
      <c r="G9996" s="68"/>
      <c r="H9996" s="70"/>
      <c r="BA9996" s="4"/>
      <c r="BB9996" s="4"/>
    </row>
    <row r="9997" spans="1:54" x14ac:dyDescent="0.3">
      <c r="A9997" s="66"/>
      <c r="B9997" s="67"/>
      <c r="C9997" s="66"/>
      <c r="D9997" s="68"/>
      <c r="E9997" s="10"/>
      <c r="F9997" s="69"/>
      <c r="G9997" s="68"/>
      <c r="H9997" s="70"/>
      <c r="BA9997" s="4"/>
      <c r="BB9997" s="4"/>
    </row>
    <row r="9998" spans="1:54" x14ac:dyDescent="0.3">
      <c r="A9998" s="66"/>
      <c r="B9998" s="67"/>
      <c r="C9998" s="66"/>
      <c r="D9998" s="68"/>
      <c r="E9998" s="10"/>
      <c r="F9998" s="69"/>
      <c r="G9998" s="68"/>
      <c r="H9998" s="70"/>
      <c r="BA9998" s="4"/>
      <c r="BB9998" s="4"/>
    </row>
    <row r="9999" spans="1:54" x14ac:dyDescent="0.3">
      <c r="A9999" s="66"/>
      <c r="B9999" s="67"/>
      <c r="C9999" s="66"/>
      <c r="D9999" s="68"/>
      <c r="E9999" s="10"/>
      <c r="F9999" s="69"/>
      <c r="G9999" s="68"/>
      <c r="H9999" s="70"/>
      <c r="BA9999" s="4"/>
      <c r="BB9999" s="4"/>
    </row>
    <row r="10000" spans="1:54" x14ac:dyDescent="0.3">
      <c r="A10000" s="66"/>
      <c r="B10000" s="67"/>
      <c r="C10000" s="66"/>
      <c r="D10000" s="68"/>
      <c r="E10000" s="10"/>
      <c r="F10000" s="69"/>
      <c r="G10000" s="68"/>
      <c r="H10000" s="70"/>
      <c r="BA10000" s="4"/>
      <c r="BB10000" s="4"/>
    </row>
    <row r="10001" spans="1:54" x14ac:dyDescent="0.3">
      <c r="A10001" s="66"/>
      <c r="B10001" s="67"/>
      <c r="C10001" s="66"/>
      <c r="D10001" s="68"/>
      <c r="E10001" s="10"/>
      <c r="F10001" s="69"/>
      <c r="G10001" s="68"/>
      <c r="H10001" s="70"/>
      <c r="BA10001" s="4"/>
      <c r="BB10001" s="4"/>
    </row>
    <row r="10002" spans="1:54" x14ac:dyDescent="0.3">
      <c r="A10002" s="66"/>
      <c r="B10002" s="67"/>
      <c r="C10002" s="66"/>
      <c r="D10002" s="68"/>
      <c r="E10002" s="10"/>
      <c r="F10002" s="69"/>
      <c r="G10002" s="68"/>
      <c r="H10002" s="70"/>
      <c r="BA10002" s="4"/>
      <c r="BB10002" s="4"/>
    </row>
    <row r="10003" spans="1:54" x14ac:dyDescent="0.3">
      <c r="A10003" s="66"/>
      <c r="B10003" s="67"/>
      <c r="C10003" s="66"/>
      <c r="D10003" s="68"/>
      <c r="E10003" s="10"/>
      <c r="F10003" s="69"/>
      <c r="G10003" s="68"/>
      <c r="H10003" s="70"/>
      <c r="BA10003" s="4"/>
      <c r="BB10003" s="4"/>
    </row>
    <row r="10004" spans="1:54" x14ac:dyDescent="0.3">
      <c r="A10004" s="66"/>
      <c r="B10004" s="67"/>
      <c r="C10004" s="66"/>
      <c r="D10004" s="68"/>
      <c r="E10004" s="10"/>
      <c r="F10004" s="69"/>
      <c r="G10004" s="68"/>
      <c r="H10004" s="70"/>
      <c r="BA10004" s="4"/>
      <c r="BB10004" s="4"/>
    </row>
    <row r="10005" spans="1:54" x14ac:dyDescent="0.3">
      <c r="A10005" s="66"/>
      <c r="B10005" s="67"/>
      <c r="C10005" s="66"/>
      <c r="D10005" s="68"/>
      <c r="E10005" s="10"/>
      <c r="F10005" s="69"/>
      <c r="G10005" s="68"/>
      <c r="H10005" s="70"/>
      <c r="BA10005" s="4"/>
      <c r="BB10005" s="4"/>
    </row>
    <row r="10006" spans="1:54" x14ac:dyDescent="0.3">
      <c r="A10006" s="66"/>
      <c r="B10006" s="67"/>
      <c r="C10006" s="66"/>
      <c r="D10006" s="68"/>
      <c r="E10006" s="10"/>
      <c r="F10006" s="69"/>
      <c r="G10006" s="68"/>
      <c r="H10006" s="70"/>
      <c r="BA10006" s="4"/>
      <c r="BB10006" s="4"/>
    </row>
    <row r="10007" spans="1:54" x14ac:dyDescent="0.3">
      <c r="A10007" s="66"/>
      <c r="B10007" s="67"/>
      <c r="C10007" s="66"/>
      <c r="D10007" s="68"/>
      <c r="E10007" s="10"/>
      <c r="F10007" s="69"/>
      <c r="G10007" s="68"/>
      <c r="H10007" s="70"/>
      <c r="BA10007" s="4"/>
      <c r="BB10007" s="4"/>
    </row>
    <row r="10008" spans="1:54" x14ac:dyDescent="0.3">
      <c r="A10008" s="66"/>
      <c r="B10008" s="67"/>
      <c r="C10008" s="66"/>
      <c r="D10008" s="68"/>
      <c r="E10008" s="10"/>
      <c r="F10008" s="69"/>
      <c r="G10008" s="68"/>
      <c r="H10008" s="70"/>
      <c r="BA10008" s="4"/>
      <c r="BB10008" s="4"/>
    </row>
    <row r="10009" spans="1:54" x14ac:dyDescent="0.3">
      <c r="A10009" s="66"/>
      <c r="B10009" s="67"/>
      <c r="C10009" s="66"/>
      <c r="D10009" s="68"/>
      <c r="E10009" s="10"/>
      <c r="F10009" s="69"/>
      <c r="G10009" s="68"/>
      <c r="H10009" s="70"/>
      <c r="BA10009" s="4"/>
      <c r="BB10009" s="4"/>
    </row>
    <row r="10010" spans="1:54" x14ac:dyDescent="0.3">
      <c r="A10010" s="66"/>
      <c r="B10010" s="67"/>
      <c r="C10010" s="66"/>
      <c r="D10010" s="68"/>
      <c r="E10010" s="10"/>
      <c r="F10010" s="69"/>
      <c r="G10010" s="68"/>
      <c r="H10010" s="70"/>
      <c r="BA10010" s="4"/>
      <c r="BB10010" s="4"/>
    </row>
    <row r="10011" spans="1:54" x14ac:dyDescent="0.3">
      <c r="A10011" s="66"/>
      <c r="B10011" s="67"/>
      <c r="C10011" s="66"/>
      <c r="D10011" s="68"/>
      <c r="E10011" s="10"/>
      <c r="F10011" s="69"/>
      <c r="G10011" s="68"/>
      <c r="H10011" s="70"/>
      <c r="BA10011" s="4"/>
      <c r="BB10011" s="4"/>
    </row>
    <row r="10012" spans="1:54" x14ac:dyDescent="0.3">
      <c r="A10012" s="66"/>
      <c r="B10012" s="67"/>
      <c r="C10012" s="66"/>
      <c r="D10012" s="68"/>
      <c r="E10012" s="10"/>
      <c r="F10012" s="69"/>
      <c r="G10012" s="68"/>
      <c r="H10012" s="70"/>
      <c r="BA10012" s="4"/>
      <c r="BB10012" s="4"/>
    </row>
    <row r="10013" spans="1:54" x14ac:dyDescent="0.3">
      <c r="A10013" s="66"/>
      <c r="B10013" s="67"/>
      <c r="C10013" s="66"/>
      <c r="D10013" s="68"/>
      <c r="E10013" s="10"/>
      <c r="F10013" s="69"/>
      <c r="G10013" s="68"/>
      <c r="H10013" s="70"/>
      <c r="BA10013" s="4"/>
      <c r="BB10013" s="4"/>
    </row>
    <row r="10014" spans="1:54" x14ac:dyDescent="0.3">
      <c r="A10014" s="66"/>
      <c r="B10014" s="67"/>
      <c r="C10014" s="66"/>
      <c r="D10014" s="68"/>
      <c r="E10014" s="10"/>
      <c r="F10014" s="69"/>
      <c r="G10014" s="68"/>
      <c r="H10014" s="70"/>
      <c r="BA10014" s="4"/>
      <c r="BB10014" s="4"/>
    </row>
    <row r="10015" spans="1:54" x14ac:dyDescent="0.3">
      <c r="A10015" s="66"/>
      <c r="B10015" s="67"/>
      <c r="C10015" s="66"/>
      <c r="D10015" s="68"/>
      <c r="E10015" s="10"/>
      <c r="F10015" s="69"/>
      <c r="G10015" s="68"/>
      <c r="H10015" s="70"/>
      <c r="BA10015" s="4"/>
      <c r="BB10015" s="4"/>
    </row>
    <row r="10016" spans="1:54" x14ac:dyDescent="0.3">
      <c r="A10016" s="66"/>
      <c r="B10016" s="67"/>
      <c r="C10016" s="66"/>
      <c r="D10016" s="68"/>
      <c r="E10016" s="10"/>
      <c r="F10016" s="69"/>
      <c r="G10016" s="68"/>
      <c r="H10016" s="70"/>
      <c r="BA10016" s="4"/>
      <c r="BB10016" s="4"/>
    </row>
    <row r="10017" spans="1:54" x14ac:dyDescent="0.3">
      <c r="A10017" s="66"/>
      <c r="B10017" s="67"/>
      <c r="C10017" s="66"/>
      <c r="D10017" s="68"/>
      <c r="E10017" s="10"/>
      <c r="F10017" s="69"/>
      <c r="G10017" s="68"/>
      <c r="H10017" s="70"/>
      <c r="BA10017" s="4"/>
      <c r="BB10017" s="4"/>
    </row>
    <row r="10018" spans="1:54" x14ac:dyDescent="0.3">
      <c r="A10018" s="66"/>
      <c r="B10018" s="67"/>
      <c r="C10018" s="66"/>
      <c r="D10018" s="68"/>
      <c r="E10018" s="10"/>
      <c r="F10018" s="69"/>
      <c r="G10018" s="68"/>
      <c r="H10018" s="70"/>
      <c r="BA10018" s="4"/>
      <c r="BB10018" s="4"/>
    </row>
    <row r="10019" spans="1:54" x14ac:dyDescent="0.3">
      <c r="A10019" s="66"/>
      <c r="B10019" s="67"/>
      <c r="C10019" s="66"/>
      <c r="D10019" s="68"/>
      <c r="E10019" s="10"/>
      <c r="F10019" s="69"/>
      <c r="G10019" s="68"/>
      <c r="H10019" s="70"/>
      <c r="BA10019" s="4"/>
      <c r="BB10019" s="4"/>
    </row>
    <row r="10020" spans="1:54" x14ac:dyDescent="0.3">
      <c r="A10020" s="66"/>
      <c r="B10020" s="67"/>
      <c r="C10020" s="66"/>
      <c r="D10020" s="68"/>
      <c r="E10020" s="10"/>
      <c r="F10020" s="69"/>
      <c r="G10020" s="68"/>
      <c r="H10020" s="70"/>
      <c r="BA10020" s="4"/>
      <c r="BB10020" s="4"/>
    </row>
    <row r="10021" spans="1:54" x14ac:dyDescent="0.3">
      <c r="A10021" s="66"/>
      <c r="B10021" s="67"/>
      <c r="C10021" s="66"/>
      <c r="D10021" s="68"/>
      <c r="E10021" s="10"/>
      <c r="F10021" s="69"/>
      <c r="G10021" s="68"/>
      <c r="H10021" s="70"/>
      <c r="BA10021" s="4"/>
      <c r="BB10021" s="4"/>
    </row>
    <row r="10022" spans="1:54" x14ac:dyDescent="0.3">
      <c r="A10022" s="66"/>
      <c r="B10022" s="67"/>
      <c r="C10022" s="66"/>
      <c r="D10022" s="68"/>
      <c r="E10022" s="10"/>
      <c r="F10022" s="69"/>
      <c r="G10022" s="68"/>
      <c r="H10022" s="70"/>
      <c r="BA10022" s="4"/>
      <c r="BB10022" s="4"/>
    </row>
    <row r="10023" spans="1:54" x14ac:dyDescent="0.3">
      <c r="A10023" s="66"/>
      <c r="B10023" s="67"/>
      <c r="C10023" s="66"/>
      <c r="D10023" s="68"/>
      <c r="E10023" s="10"/>
      <c r="F10023" s="69"/>
      <c r="G10023" s="68"/>
      <c r="H10023" s="70"/>
      <c r="BA10023" s="4"/>
      <c r="BB10023" s="4"/>
    </row>
    <row r="10024" spans="1:54" x14ac:dyDescent="0.3">
      <c r="A10024" s="66"/>
      <c r="B10024" s="67"/>
      <c r="C10024" s="66"/>
      <c r="D10024" s="68"/>
      <c r="E10024" s="10"/>
      <c r="F10024" s="69"/>
      <c r="G10024" s="68"/>
      <c r="H10024" s="70"/>
      <c r="BA10024" s="4"/>
      <c r="BB10024" s="4"/>
    </row>
    <row r="10025" spans="1:54" x14ac:dyDescent="0.3">
      <c r="A10025" s="66"/>
      <c r="B10025" s="67"/>
      <c r="C10025" s="66"/>
      <c r="D10025" s="68"/>
      <c r="E10025" s="10"/>
      <c r="F10025" s="69"/>
      <c r="G10025" s="68"/>
      <c r="H10025" s="70"/>
      <c r="BA10025" s="4"/>
      <c r="BB10025" s="4"/>
    </row>
    <row r="10026" spans="1:54" x14ac:dyDescent="0.3">
      <c r="A10026" s="66"/>
      <c r="B10026" s="67"/>
      <c r="C10026" s="66"/>
      <c r="D10026" s="68"/>
      <c r="E10026" s="10"/>
      <c r="F10026" s="69"/>
      <c r="G10026" s="68"/>
      <c r="H10026" s="70"/>
      <c r="BA10026" s="4"/>
      <c r="BB10026" s="4"/>
    </row>
    <row r="10027" spans="1:54" x14ac:dyDescent="0.3">
      <c r="A10027" s="66"/>
      <c r="B10027" s="67"/>
      <c r="C10027" s="66"/>
      <c r="D10027" s="68"/>
      <c r="E10027" s="10"/>
      <c r="F10027" s="69"/>
      <c r="G10027" s="68"/>
      <c r="H10027" s="70"/>
      <c r="BA10027" s="4"/>
      <c r="BB10027" s="4"/>
    </row>
    <row r="10028" spans="1:54" x14ac:dyDescent="0.3">
      <c r="A10028" s="66"/>
      <c r="B10028" s="67"/>
      <c r="C10028" s="66"/>
      <c r="D10028" s="68"/>
      <c r="E10028" s="10"/>
      <c r="F10028" s="69"/>
      <c r="G10028" s="68"/>
      <c r="H10028" s="70"/>
      <c r="BA10028" s="4"/>
      <c r="BB10028" s="4"/>
    </row>
    <row r="10029" spans="1:54" x14ac:dyDescent="0.3">
      <c r="A10029" s="66"/>
      <c r="B10029" s="67"/>
      <c r="C10029" s="66"/>
      <c r="D10029" s="68"/>
      <c r="E10029" s="10"/>
      <c r="F10029" s="69"/>
      <c r="G10029" s="68"/>
      <c r="H10029" s="70"/>
      <c r="BA10029" s="4"/>
      <c r="BB10029" s="4"/>
    </row>
    <row r="10030" spans="1:54" x14ac:dyDescent="0.3">
      <c r="A10030" s="66"/>
      <c r="B10030" s="67"/>
      <c r="C10030" s="66"/>
      <c r="D10030" s="68"/>
      <c r="E10030" s="10"/>
      <c r="F10030" s="69"/>
      <c r="G10030" s="68"/>
      <c r="H10030" s="70"/>
      <c r="BA10030" s="4"/>
      <c r="BB10030" s="4"/>
    </row>
    <row r="10031" spans="1:54" x14ac:dyDescent="0.3">
      <c r="A10031" s="66"/>
      <c r="B10031" s="67"/>
      <c r="C10031" s="66"/>
      <c r="D10031" s="68"/>
      <c r="E10031" s="10"/>
      <c r="F10031" s="69"/>
      <c r="G10031" s="68"/>
      <c r="H10031" s="70"/>
      <c r="BA10031" s="4"/>
      <c r="BB10031" s="4"/>
    </row>
    <row r="10032" spans="1:54" x14ac:dyDescent="0.3">
      <c r="A10032" s="66"/>
      <c r="B10032" s="67"/>
      <c r="C10032" s="66"/>
      <c r="D10032" s="68"/>
      <c r="E10032" s="10"/>
      <c r="F10032" s="69"/>
      <c r="G10032" s="68"/>
      <c r="H10032" s="70"/>
      <c r="BA10032" s="4"/>
      <c r="BB10032" s="4"/>
    </row>
    <row r="10033" spans="1:54" x14ac:dyDescent="0.3">
      <c r="A10033" s="66"/>
      <c r="B10033" s="67"/>
      <c r="C10033" s="66"/>
      <c r="D10033" s="68"/>
      <c r="E10033" s="10"/>
      <c r="F10033" s="69"/>
      <c r="G10033" s="68"/>
      <c r="H10033" s="70"/>
      <c r="BA10033" s="4"/>
      <c r="BB10033" s="4"/>
    </row>
    <row r="10034" spans="1:54" x14ac:dyDescent="0.3">
      <c r="A10034" s="66"/>
      <c r="B10034" s="67"/>
      <c r="C10034" s="66"/>
      <c r="D10034" s="68"/>
      <c r="E10034" s="10"/>
      <c r="F10034" s="69"/>
      <c r="G10034" s="68"/>
      <c r="H10034" s="70"/>
      <c r="BA10034" s="4"/>
      <c r="BB10034" s="4"/>
    </row>
    <row r="10035" spans="1:54" x14ac:dyDescent="0.3">
      <c r="A10035" s="66"/>
      <c r="B10035" s="67"/>
      <c r="C10035" s="66"/>
      <c r="D10035" s="68"/>
      <c r="E10035" s="10"/>
      <c r="F10035" s="69"/>
      <c r="G10035" s="68"/>
      <c r="H10035" s="70"/>
      <c r="BA10035" s="4"/>
      <c r="BB10035" s="4"/>
    </row>
    <row r="10036" spans="1:54" x14ac:dyDescent="0.3">
      <c r="A10036" s="66"/>
      <c r="B10036" s="67"/>
      <c r="C10036" s="66"/>
      <c r="D10036" s="68"/>
      <c r="E10036" s="10"/>
      <c r="F10036" s="69"/>
      <c r="G10036" s="68"/>
      <c r="H10036" s="70"/>
      <c r="BA10036" s="4"/>
      <c r="BB10036" s="4"/>
    </row>
    <row r="10037" spans="1:54" x14ac:dyDescent="0.3">
      <c r="A10037" s="66"/>
      <c r="B10037" s="67"/>
      <c r="C10037" s="66"/>
      <c r="D10037" s="68"/>
      <c r="E10037" s="10"/>
      <c r="F10037" s="69"/>
      <c r="G10037" s="68"/>
      <c r="H10037" s="70"/>
      <c r="BA10037" s="4"/>
      <c r="BB10037" s="4"/>
    </row>
    <row r="10038" spans="1:54" x14ac:dyDescent="0.3">
      <c r="A10038" s="66"/>
      <c r="B10038" s="67"/>
      <c r="C10038" s="66"/>
      <c r="D10038" s="68"/>
      <c r="E10038" s="10"/>
      <c r="F10038" s="69"/>
      <c r="G10038" s="68"/>
      <c r="H10038" s="70"/>
      <c r="BA10038" s="4"/>
      <c r="BB10038" s="4"/>
    </row>
    <row r="10039" spans="1:54" x14ac:dyDescent="0.3">
      <c r="A10039" s="66"/>
      <c r="B10039" s="67"/>
      <c r="C10039" s="66"/>
      <c r="D10039" s="68"/>
      <c r="E10039" s="10"/>
      <c r="F10039" s="69"/>
      <c r="G10039" s="68"/>
      <c r="H10039" s="70"/>
      <c r="BA10039" s="4"/>
      <c r="BB10039" s="4"/>
    </row>
    <row r="10040" spans="1:54" x14ac:dyDescent="0.3">
      <c r="A10040" s="66"/>
      <c r="B10040" s="67"/>
      <c r="C10040" s="66"/>
      <c r="D10040" s="68"/>
      <c r="E10040" s="10"/>
      <c r="F10040" s="69"/>
      <c r="G10040" s="68"/>
      <c r="H10040" s="70"/>
      <c r="BA10040" s="4"/>
      <c r="BB10040" s="4"/>
    </row>
    <row r="10041" spans="1:54" x14ac:dyDescent="0.3">
      <c r="A10041" s="66"/>
      <c r="B10041" s="67"/>
      <c r="C10041" s="66"/>
      <c r="D10041" s="68"/>
      <c r="E10041" s="10"/>
      <c r="F10041" s="69"/>
      <c r="G10041" s="68"/>
      <c r="H10041" s="70"/>
      <c r="BA10041" s="4"/>
      <c r="BB10041" s="4"/>
    </row>
    <row r="10042" spans="1:54" x14ac:dyDescent="0.3">
      <c r="A10042" s="66"/>
      <c r="B10042" s="67"/>
      <c r="C10042" s="66"/>
      <c r="D10042" s="68"/>
      <c r="E10042" s="10"/>
      <c r="F10042" s="69"/>
      <c r="G10042" s="68"/>
      <c r="H10042" s="70"/>
      <c r="BA10042" s="4"/>
      <c r="BB10042" s="4"/>
    </row>
    <row r="10043" spans="1:54" x14ac:dyDescent="0.3">
      <c r="A10043" s="66"/>
      <c r="B10043" s="67"/>
      <c r="C10043" s="66"/>
      <c r="D10043" s="68"/>
      <c r="E10043" s="10"/>
      <c r="F10043" s="69"/>
      <c r="G10043" s="68"/>
      <c r="H10043" s="70"/>
      <c r="BA10043" s="4"/>
      <c r="BB10043" s="4"/>
    </row>
    <row r="10044" spans="1:54" x14ac:dyDescent="0.3">
      <c r="A10044" s="66"/>
      <c r="B10044" s="67"/>
      <c r="C10044" s="66"/>
      <c r="D10044" s="68"/>
      <c r="E10044" s="10"/>
      <c r="F10044" s="69"/>
      <c r="G10044" s="68"/>
      <c r="H10044" s="70"/>
      <c r="BA10044" s="4"/>
      <c r="BB10044" s="4"/>
    </row>
    <row r="10045" spans="1:54" x14ac:dyDescent="0.3">
      <c r="A10045" s="66"/>
      <c r="B10045" s="67"/>
      <c r="C10045" s="66"/>
      <c r="D10045" s="68"/>
      <c r="E10045" s="10"/>
      <c r="F10045" s="69"/>
      <c r="G10045" s="68"/>
      <c r="H10045" s="70"/>
      <c r="BA10045" s="4"/>
      <c r="BB10045" s="4"/>
    </row>
    <row r="10046" spans="1:54" x14ac:dyDescent="0.3">
      <c r="A10046" s="66"/>
      <c r="B10046" s="67"/>
      <c r="C10046" s="66"/>
      <c r="D10046" s="68"/>
      <c r="E10046" s="10"/>
      <c r="F10046" s="69"/>
      <c r="G10046" s="68"/>
      <c r="H10046" s="70"/>
      <c r="BA10046" s="4"/>
      <c r="BB10046" s="4"/>
    </row>
    <row r="10047" spans="1:54" x14ac:dyDescent="0.3">
      <c r="A10047" s="66"/>
      <c r="B10047" s="67"/>
      <c r="C10047" s="66"/>
      <c r="D10047" s="68"/>
      <c r="E10047" s="10"/>
      <c r="F10047" s="69"/>
      <c r="G10047" s="68"/>
      <c r="H10047" s="70"/>
      <c r="BA10047" s="4"/>
      <c r="BB10047" s="4"/>
    </row>
    <row r="10048" spans="1:54" x14ac:dyDescent="0.3">
      <c r="A10048" s="66"/>
      <c r="B10048" s="67"/>
      <c r="C10048" s="66"/>
      <c r="D10048" s="68"/>
      <c r="E10048" s="10"/>
      <c r="F10048" s="69"/>
      <c r="G10048" s="68"/>
      <c r="H10048" s="70"/>
      <c r="BA10048" s="4"/>
      <c r="BB10048" s="4"/>
    </row>
    <row r="10049" spans="1:54" x14ac:dyDescent="0.3">
      <c r="A10049" s="66"/>
      <c r="B10049" s="67"/>
      <c r="C10049" s="66"/>
      <c r="D10049" s="68"/>
      <c r="E10049" s="10"/>
      <c r="F10049" s="69"/>
      <c r="G10049" s="68"/>
      <c r="H10049" s="70"/>
      <c r="BA10049" s="4"/>
      <c r="BB10049" s="4"/>
    </row>
    <row r="10050" spans="1:54" x14ac:dyDescent="0.3">
      <c r="A10050" s="66"/>
      <c r="B10050" s="67"/>
      <c r="C10050" s="66"/>
      <c r="D10050" s="68"/>
      <c r="E10050" s="10"/>
      <c r="F10050" s="69"/>
      <c r="G10050" s="68"/>
      <c r="H10050" s="70"/>
      <c r="BA10050" s="4"/>
      <c r="BB10050" s="4"/>
    </row>
    <row r="10051" spans="1:54" x14ac:dyDescent="0.3">
      <c r="A10051" s="66"/>
      <c r="B10051" s="67"/>
      <c r="C10051" s="66"/>
      <c r="D10051" s="68"/>
      <c r="E10051" s="10"/>
      <c r="F10051" s="69"/>
      <c r="G10051" s="68"/>
      <c r="H10051" s="70"/>
      <c r="BA10051" s="4"/>
      <c r="BB10051" s="4"/>
    </row>
    <row r="10052" spans="1:54" x14ac:dyDescent="0.3">
      <c r="A10052" s="66"/>
      <c r="B10052" s="67"/>
      <c r="C10052" s="66"/>
      <c r="D10052" s="68"/>
      <c r="E10052" s="10"/>
      <c r="F10052" s="69"/>
      <c r="G10052" s="68"/>
      <c r="H10052" s="70"/>
      <c r="BA10052" s="4"/>
      <c r="BB10052" s="4"/>
    </row>
    <row r="10053" spans="1:54" x14ac:dyDescent="0.3">
      <c r="A10053" s="66"/>
      <c r="B10053" s="67"/>
      <c r="C10053" s="66"/>
      <c r="D10053" s="68"/>
      <c r="E10053" s="10"/>
      <c r="F10053" s="69"/>
      <c r="G10053" s="68"/>
      <c r="H10053" s="70"/>
      <c r="BA10053" s="4"/>
      <c r="BB10053" s="4"/>
    </row>
    <row r="10054" spans="1:54" x14ac:dyDescent="0.3">
      <c r="A10054" s="66"/>
      <c r="B10054" s="67"/>
      <c r="C10054" s="66"/>
      <c r="D10054" s="68"/>
      <c r="E10054" s="10"/>
      <c r="F10054" s="69"/>
      <c r="G10054" s="68"/>
      <c r="H10054" s="70"/>
      <c r="BA10054" s="4"/>
      <c r="BB10054" s="4"/>
    </row>
    <row r="10055" spans="1:54" x14ac:dyDescent="0.3">
      <c r="A10055" s="66"/>
      <c r="B10055" s="67"/>
      <c r="C10055" s="66"/>
      <c r="D10055" s="68"/>
      <c r="E10055" s="10"/>
      <c r="F10055" s="69"/>
      <c r="G10055" s="68"/>
      <c r="H10055" s="70"/>
      <c r="BA10055" s="4"/>
      <c r="BB10055" s="4"/>
    </row>
    <row r="10056" spans="1:54" x14ac:dyDescent="0.3">
      <c r="A10056" s="66"/>
      <c r="B10056" s="67"/>
      <c r="C10056" s="66"/>
      <c r="D10056" s="68"/>
      <c r="E10056" s="10"/>
      <c r="F10056" s="69"/>
      <c r="G10056" s="68"/>
      <c r="H10056" s="70"/>
      <c r="BA10056" s="4"/>
      <c r="BB10056" s="4"/>
    </row>
    <row r="10057" spans="1:54" x14ac:dyDescent="0.3">
      <c r="A10057" s="66"/>
      <c r="B10057" s="67"/>
      <c r="C10057" s="66"/>
      <c r="D10057" s="68"/>
      <c r="E10057" s="10"/>
      <c r="F10057" s="69"/>
      <c r="G10057" s="68"/>
      <c r="H10057" s="70"/>
      <c r="BA10057" s="4"/>
      <c r="BB10057" s="4"/>
    </row>
    <row r="10058" spans="1:54" x14ac:dyDescent="0.3">
      <c r="A10058" s="66"/>
      <c r="B10058" s="67"/>
      <c r="C10058" s="66"/>
      <c r="D10058" s="68"/>
      <c r="E10058" s="10"/>
      <c r="F10058" s="69"/>
      <c r="G10058" s="68"/>
      <c r="H10058" s="70"/>
      <c r="BA10058" s="4"/>
      <c r="BB10058" s="4"/>
    </row>
    <row r="10059" spans="1:54" x14ac:dyDescent="0.3">
      <c r="A10059" s="66"/>
      <c r="B10059" s="67"/>
      <c r="C10059" s="66"/>
      <c r="D10059" s="68"/>
      <c r="E10059" s="10"/>
      <c r="F10059" s="69"/>
      <c r="G10059" s="68"/>
      <c r="H10059" s="70"/>
      <c r="BA10059" s="4"/>
      <c r="BB10059" s="4"/>
    </row>
    <row r="10060" spans="1:54" x14ac:dyDescent="0.3">
      <c r="A10060" s="66"/>
      <c r="B10060" s="67"/>
      <c r="C10060" s="66"/>
      <c r="D10060" s="68"/>
      <c r="E10060" s="10"/>
      <c r="F10060" s="69"/>
      <c r="G10060" s="68"/>
      <c r="H10060" s="70"/>
      <c r="BA10060" s="4"/>
      <c r="BB10060" s="4"/>
    </row>
    <row r="10061" spans="1:54" x14ac:dyDescent="0.3">
      <c r="A10061" s="66"/>
      <c r="B10061" s="67"/>
      <c r="C10061" s="66"/>
      <c r="D10061" s="68"/>
      <c r="E10061" s="10"/>
      <c r="F10061" s="69"/>
      <c r="G10061" s="68"/>
      <c r="H10061" s="70"/>
      <c r="BA10061" s="4"/>
      <c r="BB10061" s="4"/>
    </row>
    <row r="10062" spans="1:54" x14ac:dyDescent="0.3">
      <c r="A10062" s="66"/>
      <c r="B10062" s="67"/>
      <c r="C10062" s="66"/>
      <c r="D10062" s="68"/>
      <c r="E10062" s="10"/>
      <c r="F10062" s="69"/>
      <c r="G10062" s="68"/>
      <c r="H10062" s="70"/>
      <c r="BA10062" s="4"/>
      <c r="BB10062" s="4"/>
    </row>
    <row r="10063" spans="1:54" x14ac:dyDescent="0.3">
      <c r="A10063" s="66"/>
      <c r="B10063" s="67"/>
      <c r="C10063" s="66"/>
      <c r="D10063" s="68"/>
      <c r="E10063" s="10"/>
      <c r="F10063" s="69"/>
      <c r="G10063" s="68"/>
      <c r="H10063" s="70"/>
      <c r="BA10063" s="4"/>
      <c r="BB10063" s="4"/>
    </row>
    <row r="10064" spans="1:54" x14ac:dyDescent="0.3">
      <c r="A10064" s="66"/>
      <c r="B10064" s="67"/>
      <c r="C10064" s="66"/>
      <c r="D10064" s="68"/>
      <c r="E10064" s="10"/>
      <c r="F10064" s="69"/>
      <c r="G10064" s="68"/>
      <c r="H10064" s="70"/>
      <c r="BA10064" s="4"/>
      <c r="BB10064" s="4"/>
    </row>
    <row r="10065" spans="1:54" x14ac:dyDescent="0.3">
      <c r="A10065" s="66"/>
      <c r="B10065" s="67"/>
      <c r="C10065" s="66"/>
      <c r="D10065" s="68"/>
      <c r="E10065" s="10"/>
      <c r="F10065" s="69"/>
      <c r="G10065" s="68"/>
      <c r="H10065" s="70"/>
      <c r="BA10065" s="4"/>
      <c r="BB10065" s="4"/>
    </row>
    <row r="10066" spans="1:54" x14ac:dyDescent="0.3">
      <c r="A10066" s="66"/>
      <c r="B10066" s="67"/>
      <c r="C10066" s="66"/>
      <c r="D10066" s="68"/>
      <c r="E10066" s="10"/>
      <c r="F10066" s="69"/>
      <c r="G10066" s="68"/>
      <c r="H10066" s="70"/>
      <c r="BA10066" s="4"/>
      <c r="BB10066" s="4"/>
    </row>
    <row r="10067" spans="1:54" x14ac:dyDescent="0.3">
      <c r="A10067" s="66"/>
      <c r="B10067" s="67"/>
      <c r="C10067" s="66"/>
      <c r="D10067" s="68"/>
      <c r="E10067" s="10"/>
      <c r="F10067" s="69"/>
      <c r="G10067" s="68"/>
      <c r="H10067" s="70"/>
      <c r="BA10067" s="4"/>
      <c r="BB10067" s="4"/>
    </row>
    <row r="10068" spans="1:54" x14ac:dyDescent="0.3">
      <c r="A10068" s="66"/>
      <c r="B10068" s="67"/>
      <c r="C10068" s="66"/>
      <c r="D10068" s="68"/>
      <c r="E10068" s="10"/>
      <c r="F10068" s="69"/>
      <c r="G10068" s="68"/>
      <c r="H10068" s="70"/>
      <c r="BA10068" s="4"/>
      <c r="BB10068" s="4"/>
    </row>
    <row r="10069" spans="1:54" x14ac:dyDescent="0.3">
      <c r="A10069" s="66"/>
      <c r="B10069" s="67"/>
      <c r="C10069" s="66"/>
      <c r="D10069" s="68"/>
      <c r="E10069" s="10"/>
      <c r="F10069" s="69"/>
      <c r="G10069" s="68"/>
      <c r="H10069" s="70"/>
      <c r="BA10069" s="4"/>
      <c r="BB10069" s="4"/>
    </row>
    <row r="10070" spans="1:54" x14ac:dyDescent="0.3">
      <c r="A10070" s="66"/>
      <c r="B10070" s="67"/>
      <c r="C10070" s="66"/>
      <c r="D10070" s="68"/>
      <c r="E10070" s="10"/>
      <c r="F10070" s="69"/>
      <c r="G10070" s="68"/>
      <c r="H10070" s="70"/>
      <c r="BA10070" s="4"/>
      <c r="BB10070" s="4"/>
    </row>
    <row r="10071" spans="1:54" x14ac:dyDescent="0.3">
      <c r="A10071" s="66"/>
      <c r="B10071" s="67"/>
      <c r="C10071" s="66"/>
      <c r="D10071" s="68"/>
      <c r="E10071" s="10"/>
      <c r="F10071" s="69"/>
      <c r="G10071" s="68"/>
      <c r="H10071" s="70"/>
      <c r="BA10071" s="4"/>
      <c r="BB10071" s="4"/>
    </row>
    <row r="10072" spans="1:54" x14ac:dyDescent="0.3">
      <c r="A10072" s="66"/>
      <c r="B10072" s="67"/>
      <c r="C10072" s="66"/>
      <c r="D10072" s="68"/>
      <c r="E10072" s="10"/>
      <c r="F10072" s="69"/>
      <c r="G10072" s="68"/>
      <c r="H10072" s="70"/>
      <c r="BA10072" s="4"/>
      <c r="BB10072" s="4"/>
    </row>
    <row r="10073" spans="1:54" x14ac:dyDescent="0.3">
      <c r="A10073" s="66"/>
      <c r="B10073" s="67"/>
      <c r="C10073" s="66"/>
      <c r="D10073" s="68"/>
      <c r="E10073" s="10"/>
      <c r="F10073" s="69"/>
      <c r="G10073" s="68"/>
      <c r="H10073" s="70"/>
      <c r="BA10073" s="4"/>
      <c r="BB10073" s="4"/>
    </row>
    <row r="10074" spans="1:54" x14ac:dyDescent="0.3">
      <c r="A10074" s="66"/>
      <c r="B10074" s="67"/>
      <c r="C10074" s="66"/>
      <c r="D10074" s="68"/>
      <c r="E10074" s="10"/>
      <c r="F10074" s="69"/>
      <c r="G10074" s="68"/>
      <c r="H10074" s="70"/>
      <c r="BA10074" s="4"/>
      <c r="BB10074" s="4"/>
    </row>
    <row r="10075" spans="1:54" x14ac:dyDescent="0.3">
      <c r="A10075" s="66"/>
      <c r="B10075" s="67"/>
      <c r="C10075" s="66"/>
      <c r="D10075" s="68"/>
      <c r="E10075" s="10"/>
      <c r="F10075" s="69"/>
      <c r="G10075" s="68"/>
      <c r="H10075" s="70"/>
      <c r="BA10075" s="4"/>
      <c r="BB10075" s="4"/>
    </row>
    <row r="10076" spans="1:54" x14ac:dyDescent="0.3">
      <c r="A10076" s="66"/>
      <c r="B10076" s="67"/>
      <c r="C10076" s="66"/>
      <c r="D10076" s="68"/>
      <c r="E10076" s="10"/>
      <c r="F10076" s="69"/>
      <c r="G10076" s="68"/>
      <c r="H10076" s="70"/>
      <c r="BA10076" s="4"/>
      <c r="BB10076" s="4"/>
    </row>
    <row r="10077" spans="1:54" x14ac:dyDescent="0.3">
      <c r="A10077" s="66"/>
      <c r="B10077" s="67"/>
      <c r="C10077" s="66"/>
      <c r="D10077" s="68"/>
      <c r="E10077" s="10"/>
      <c r="F10077" s="69"/>
      <c r="G10077" s="68"/>
      <c r="H10077" s="70"/>
      <c r="BA10077" s="4"/>
      <c r="BB10077" s="4"/>
    </row>
    <row r="10078" spans="1:54" x14ac:dyDescent="0.3">
      <c r="A10078" s="66"/>
      <c r="B10078" s="67"/>
      <c r="C10078" s="66"/>
      <c r="D10078" s="68"/>
      <c r="E10078" s="10"/>
      <c r="F10078" s="69"/>
      <c r="G10078" s="68"/>
      <c r="H10078" s="70"/>
      <c r="BA10078" s="4"/>
      <c r="BB10078" s="4"/>
    </row>
    <row r="10079" spans="1:54" x14ac:dyDescent="0.3">
      <c r="A10079" s="66"/>
      <c r="B10079" s="67"/>
      <c r="C10079" s="66"/>
      <c r="D10079" s="68"/>
      <c r="E10079" s="10"/>
      <c r="F10079" s="69"/>
      <c r="G10079" s="68"/>
      <c r="H10079" s="70"/>
      <c r="BA10079" s="4"/>
      <c r="BB10079" s="4"/>
    </row>
    <row r="10080" spans="1:54" x14ac:dyDescent="0.3">
      <c r="A10080" s="66"/>
      <c r="B10080" s="67"/>
      <c r="C10080" s="66"/>
      <c r="D10080" s="68"/>
      <c r="E10080" s="10"/>
      <c r="F10080" s="69"/>
      <c r="G10080" s="68"/>
      <c r="H10080" s="70"/>
      <c r="BA10080" s="4"/>
      <c r="BB10080" s="4"/>
    </row>
    <row r="10081" spans="1:54" x14ac:dyDescent="0.3">
      <c r="A10081" s="66"/>
      <c r="B10081" s="67"/>
      <c r="C10081" s="66"/>
      <c r="D10081" s="68"/>
      <c r="E10081" s="10"/>
      <c r="F10081" s="69"/>
      <c r="G10081" s="68"/>
      <c r="H10081" s="70"/>
      <c r="BA10081" s="4"/>
      <c r="BB10081" s="4"/>
    </row>
    <row r="10082" spans="1:54" x14ac:dyDescent="0.3">
      <c r="A10082" s="66"/>
      <c r="B10082" s="67"/>
      <c r="C10082" s="66"/>
      <c r="D10082" s="68"/>
      <c r="E10082" s="10"/>
      <c r="F10082" s="69"/>
      <c r="G10082" s="68"/>
      <c r="H10082" s="70"/>
      <c r="BA10082" s="4"/>
      <c r="BB10082" s="4"/>
    </row>
    <row r="10083" spans="1:54" x14ac:dyDescent="0.3">
      <c r="A10083" s="66"/>
      <c r="B10083" s="67"/>
      <c r="C10083" s="66"/>
      <c r="D10083" s="68"/>
      <c r="E10083" s="10"/>
      <c r="F10083" s="69"/>
      <c r="G10083" s="68"/>
      <c r="H10083" s="70"/>
      <c r="BA10083" s="4"/>
      <c r="BB10083" s="4"/>
    </row>
    <row r="10084" spans="1:54" x14ac:dyDescent="0.3">
      <c r="A10084" s="66"/>
      <c r="B10084" s="67"/>
      <c r="C10084" s="66"/>
      <c r="D10084" s="68"/>
      <c r="E10084" s="10"/>
      <c r="F10084" s="69"/>
      <c r="G10084" s="68"/>
      <c r="H10084" s="70"/>
      <c r="BA10084" s="4"/>
      <c r="BB10084" s="4"/>
    </row>
    <row r="10085" spans="1:54" x14ac:dyDescent="0.3">
      <c r="A10085" s="66"/>
      <c r="B10085" s="67"/>
      <c r="C10085" s="66"/>
      <c r="D10085" s="68"/>
      <c r="E10085" s="10"/>
      <c r="F10085" s="69"/>
      <c r="G10085" s="68"/>
      <c r="H10085" s="70"/>
      <c r="BA10085" s="4"/>
      <c r="BB10085" s="4"/>
    </row>
    <row r="10086" spans="1:54" x14ac:dyDescent="0.3">
      <c r="A10086" s="66"/>
      <c r="B10086" s="67"/>
      <c r="C10086" s="66"/>
      <c r="D10086" s="68"/>
      <c r="E10086" s="10"/>
      <c r="F10086" s="69"/>
      <c r="G10086" s="68"/>
      <c r="H10086" s="70"/>
      <c r="BA10086" s="4"/>
      <c r="BB10086" s="4"/>
    </row>
    <row r="10087" spans="1:54" x14ac:dyDescent="0.3">
      <c r="A10087" s="66"/>
      <c r="B10087" s="67"/>
      <c r="C10087" s="66"/>
      <c r="D10087" s="68"/>
      <c r="E10087" s="10"/>
      <c r="F10087" s="69"/>
      <c r="G10087" s="68"/>
      <c r="H10087" s="70"/>
      <c r="BA10087" s="4"/>
      <c r="BB10087" s="4"/>
    </row>
    <row r="10088" spans="1:54" x14ac:dyDescent="0.3">
      <c r="A10088" s="66"/>
      <c r="B10088" s="67"/>
      <c r="C10088" s="66"/>
      <c r="D10088" s="68"/>
      <c r="E10088" s="10"/>
      <c r="F10088" s="69"/>
      <c r="G10088" s="68"/>
      <c r="H10088" s="70"/>
      <c r="BA10088" s="4"/>
      <c r="BB10088" s="4"/>
    </row>
    <row r="10089" spans="1:54" x14ac:dyDescent="0.3">
      <c r="A10089" s="66"/>
      <c r="B10089" s="67"/>
      <c r="C10089" s="66"/>
      <c r="D10089" s="68"/>
      <c r="E10089" s="10"/>
      <c r="F10089" s="69"/>
      <c r="G10089" s="68"/>
      <c r="H10089" s="70"/>
      <c r="BA10089" s="4"/>
      <c r="BB10089" s="4"/>
    </row>
    <row r="10090" spans="1:54" x14ac:dyDescent="0.3">
      <c r="A10090" s="66"/>
      <c r="B10090" s="67"/>
      <c r="C10090" s="66"/>
      <c r="D10090" s="68"/>
      <c r="E10090" s="10"/>
      <c r="F10090" s="69"/>
      <c r="G10090" s="68"/>
      <c r="H10090" s="70"/>
      <c r="BA10090" s="4"/>
      <c r="BB10090" s="4"/>
    </row>
    <row r="10091" spans="1:54" x14ac:dyDescent="0.3">
      <c r="A10091" s="66"/>
      <c r="B10091" s="67"/>
      <c r="C10091" s="66"/>
      <c r="D10091" s="68"/>
      <c r="E10091" s="10"/>
      <c r="F10091" s="69"/>
      <c r="G10091" s="68"/>
      <c r="H10091" s="70"/>
      <c r="BA10091" s="4"/>
      <c r="BB10091" s="4"/>
    </row>
    <row r="10092" spans="1:54" x14ac:dyDescent="0.3">
      <c r="A10092" s="66"/>
      <c r="B10092" s="67"/>
      <c r="C10092" s="66"/>
      <c r="D10092" s="68"/>
      <c r="E10092" s="10"/>
      <c r="F10092" s="69"/>
      <c r="G10092" s="68"/>
      <c r="H10092" s="70"/>
      <c r="BA10092" s="4"/>
      <c r="BB10092" s="4"/>
    </row>
    <row r="10093" spans="1:54" x14ac:dyDescent="0.3">
      <c r="A10093" s="66"/>
      <c r="B10093" s="67"/>
      <c r="C10093" s="66"/>
      <c r="D10093" s="68"/>
      <c r="E10093" s="10"/>
      <c r="F10093" s="69"/>
      <c r="G10093" s="68"/>
      <c r="H10093" s="70"/>
      <c r="BA10093" s="4"/>
      <c r="BB10093" s="4"/>
    </row>
    <row r="10094" spans="1:54" x14ac:dyDescent="0.3">
      <c r="A10094" s="66"/>
      <c r="B10094" s="67"/>
      <c r="C10094" s="66"/>
      <c r="D10094" s="68"/>
      <c r="E10094" s="10"/>
      <c r="F10094" s="69"/>
      <c r="G10094" s="68"/>
      <c r="H10094" s="70"/>
      <c r="BA10094" s="4"/>
      <c r="BB10094" s="4"/>
    </row>
    <row r="10095" spans="1:54" x14ac:dyDescent="0.3">
      <c r="A10095" s="66"/>
      <c r="B10095" s="67"/>
      <c r="C10095" s="66"/>
      <c r="D10095" s="68"/>
      <c r="E10095" s="10"/>
      <c r="F10095" s="69"/>
      <c r="G10095" s="68"/>
      <c r="H10095" s="70"/>
      <c r="BA10095" s="4"/>
      <c r="BB10095" s="4"/>
    </row>
    <row r="10096" spans="1:54" x14ac:dyDescent="0.3">
      <c r="A10096" s="66"/>
      <c r="B10096" s="67"/>
      <c r="C10096" s="66"/>
      <c r="D10096" s="68"/>
      <c r="E10096" s="10"/>
      <c r="F10096" s="69"/>
      <c r="G10096" s="68"/>
      <c r="H10096" s="70"/>
      <c r="BA10096" s="4"/>
      <c r="BB10096" s="4"/>
    </row>
    <row r="10097" spans="1:54" x14ac:dyDescent="0.3">
      <c r="A10097" s="66"/>
      <c r="B10097" s="67"/>
      <c r="C10097" s="66"/>
      <c r="D10097" s="68"/>
      <c r="E10097" s="10"/>
      <c r="F10097" s="69"/>
      <c r="G10097" s="68"/>
      <c r="H10097" s="70"/>
      <c r="BA10097" s="4"/>
      <c r="BB10097" s="4"/>
    </row>
    <row r="10098" spans="1:54" x14ac:dyDescent="0.3">
      <c r="A10098" s="66"/>
      <c r="B10098" s="67"/>
      <c r="C10098" s="66"/>
      <c r="D10098" s="68"/>
      <c r="E10098" s="10"/>
      <c r="F10098" s="69"/>
      <c r="G10098" s="68"/>
      <c r="H10098" s="70"/>
      <c r="BA10098" s="4"/>
      <c r="BB10098" s="4"/>
    </row>
    <row r="10099" spans="1:54" x14ac:dyDescent="0.3">
      <c r="A10099" s="66"/>
      <c r="B10099" s="67"/>
      <c r="C10099" s="66"/>
      <c r="D10099" s="68"/>
      <c r="E10099" s="10"/>
      <c r="F10099" s="69"/>
      <c r="G10099" s="68"/>
      <c r="H10099" s="70"/>
      <c r="BA10099" s="4"/>
      <c r="BB10099" s="4"/>
    </row>
    <row r="10100" spans="1:54" x14ac:dyDescent="0.3">
      <c r="A10100" s="66"/>
      <c r="B10100" s="67"/>
      <c r="C10100" s="66"/>
      <c r="D10100" s="68"/>
      <c r="E10100" s="10"/>
      <c r="F10100" s="69"/>
      <c r="G10100" s="68"/>
      <c r="H10100" s="70"/>
      <c r="BA10100" s="4"/>
      <c r="BB10100" s="4"/>
    </row>
    <row r="10101" spans="1:54" x14ac:dyDescent="0.3">
      <c r="A10101" s="66"/>
      <c r="B10101" s="67"/>
      <c r="C10101" s="66"/>
      <c r="D10101" s="68"/>
      <c r="E10101" s="10"/>
      <c r="F10101" s="69"/>
      <c r="G10101" s="68"/>
      <c r="H10101" s="70"/>
      <c r="BA10101" s="4"/>
      <c r="BB10101" s="4"/>
    </row>
    <row r="10102" spans="1:54" x14ac:dyDescent="0.3">
      <c r="A10102" s="66"/>
      <c r="B10102" s="67"/>
      <c r="C10102" s="66"/>
      <c r="D10102" s="68"/>
      <c r="E10102" s="10"/>
      <c r="F10102" s="69"/>
      <c r="G10102" s="68"/>
      <c r="H10102" s="70"/>
      <c r="BA10102" s="4"/>
      <c r="BB10102" s="4"/>
    </row>
    <row r="10103" spans="1:54" x14ac:dyDescent="0.3">
      <c r="A10103" s="66"/>
      <c r="B10103" s="67"/>
      <c r="C10103" s="66"/>
      <c r="D10103" s="68"/>
      <c r="E10103" s="10"/>
      <c r="F10103" s="69"/>
      <c r="G10103" s="68"/>
      <c r="H10103" s="70"/>
      <c r="BA10103" s="4"/>
      <c r="BB10103" s="4"/>
    </row>
    <row r="10104" spans="1:54" x14ac:dyDescent="0.3">
      <c r="A10104" s="66"/>
      <c r="B10104" s="67"/>
      <c r="C10104" s="66"/>
      <c r="D10104" s="68"/>
      <c r="E10104" s="10"/>
      <c r="F10104" s="69"/>
      <c r="G10104" s="68"/>
      <c r="H10104" s="70"/>
      <c r="BA10104" s="4"/>
      <c r="BB10104" s="4"/>
    </row>
    <row r="10105" spans="1:54" x14ac:dyDescent="0.3">
      <c r="A10105" s="66"/>
      <c r="B10105" s="67"/>
      <c r="C10105" s="66"/>
      <c r="D10105" s="68"/>
      <c r="E10105" s="10"/>
      <c r="F10105" s="69"/>
      <c r="G10105" s="68"/>
      <c r="H10105" s="70"/>
      <c r="BA10105" s="4"/>
      <c r="BB10105" s="4"/>
    </row>
    <row r="10106" spans="1:54" x14ac:dyDescent="0.3">
      <c r="A10106" s="66"/>
      <c r="B10106" s="67"/>
      <c r="C10106" s="66"/>
      <c r="D10106" s="68"/>
      <c r="E10106" s="10"/>
      <c r="F10106" s="69"/>
      <c r="G10106" s="68"/>
      <c r="H10106" s="70"/>
      <c r="BA10106" s="4"/>
      <c r="BB10106" s="4"/>
    </row>
    <row r="10107" spans="1:54" x14ac:dyDescent="0.3">
      <c r="A10107" s="66"/>
      <c r="B10107" s="67"/>
      <c r="C10107" s="66"/>
      <c r="D10107" s="68"/>
      <c r="E10107" s="10"/>
      <c r="F10107" s="69"/>
      <c r="G10107" s="68"/>
      <c r="H10107" s="70"/>
      <c r="BA10107" s="4"/>
      <c r="BB10107" s="4"/>
    </row>
    <row r="10108" spans="1:54" x14ac:dyDescent="0.3">
      <c r="A10108" s="66"/>
      <c r="B10108" s="67"/>
      <c r="C10108" s="66"/>
      <c r="D10108" s="68"/>
      <c r="E10108" s="10"/>
      <c r="F10108" s="69"/>
      <c r="G10108" s="68"/>
      <c r="H10108" s="70"/>
      <c r="BA10108" s="4"/>
      <c r="BB10108" s="4"/>
    </row>
    <row r="10109" spans="1:54" x14ac:dyDescent="0.3">
      <c r="A10109" s="66"/>
      <c r="B10109" s="67"/>
      <c r="C10109" s="66"/>
      <c r="D10109" s="68"/>
      <c r="E10109" s="10"/>
      <c r="F10109" s="69"/>
      <c r="G10109" s="68"/>
      <c r="H10109" s="70"/>
      <c r="BA10109" s="4"/>
      <c r="BB10109" s="4"/>
    </row>
    <row r="10110" spans="1:54" x14ac:dyDescent="0.3">
      <c r="A10110" s="66"/>
      <c r="B10110" s="67"/>
      <c r="C10110" s="66"/>
      <c r="D10110" s="68"/>
      <c r="E10110" s="10"/>
      <c r="F10110" s="69"/>
      <c r="G10110" s="68"/>
      <c r="H10110" s="70"/>
      <c r="BA10110" s="4"/>
      <c r="BB10110" s="4"/>
    </row>
    <row r="10111" spans="1:54" x14ac:dyDescent="0.3">
      <c r="A10111" s="66"/>
      <c r="B10111" s="67"/>
      <c r="C10111" s="66"/>
      <c r="D10111" s="68"/>
      <c r="E10111" s="10"/>
      <c r="F10111" s="69"/>
      <c r="G10111" s="68"/>
      <c r="H10111" s="70"/>
      <c r="BA10111" s="4"/>
      <c r="BB10111" s="4"/>
    </row>
    <row r="10112" spans="1:54" x14ac:dyDescent="0.3">
      <c r="A10112" s="66"/>
      <c r="B10112" s="67"/>
      <c r="C10112" s="66"/>
      <c r="D10112" s="68"/>
      <c r="E10112" s="10"/>
      <c r="F10112" s="69"/>
      <c r="G10112" s="68"/>
      <c r="H10112" s="70"/>
      <c r="BA10112" s="4"/>
      <c r="BB10112" s="4"/>
    </row>
    <row r="10113" spans="1:54" x14ac:dyDescent="0.3">
      <c r="A10113" s="66"/>
      <c r="B10113" s="67"/>
      <c r="C10113" s="66"/>
      <c r="D10113" s="68"/>
      <c r="E10113" s="10"/>
      <c r="F10113" s="69"/>
      <c r="G10113" s="68"/>
      <c r="H10113" s="70"/>
      <c r="BA10113" s="4"/>
      <c r="BB10113" s="4"/>
    </row>
    <row r="10114" spans="1:54" x14ac:dyDescent="0.3">
      <c r="A10114" s="66"/>
      <c r="B10114" s="67"/>
      <c r="C10114" s="66"/>
      <c r="D10114" s="68"/>
      <c r="E10114" s="10"/>
      <c r="F10114" s="69"/>
      <c r="G10114" s="68"/>
      <c r="H10114" s="70"/>
      <c r="BA10114" s="4"/>
      <c r="BB10114" s="4"/>
    </row>
    <row r="10115" spans="1:54" x14ac:dyDescent="0.3">
      <c r="A10115" s="66"/>
      <c r="B10115" s="67"/>
      <c r="C10115" s="66"/>
      <c r="D10115" s="68"/>
      <c r="E10115" s="10"/>
      <c r="F10115" s="69"/>
      <c r="G10115" s="68"/>
      <c r="H10115" s="70"/>
      <c r="BA10115" s="4"/>
      <c r="BB10115" s="4"/>
    </row>
    <row r="10116" spans="1:54" x14ac:dyDescent="0.3">
      <c r="A10116" s="66"/>
      <c r="B10116" s="67"/>
      <c r="C10116" s="66"/>
      <c r="D10116" s="68"/>
      <c r="E10116" s="10"/>
      <c r="F10116" s="69"/>
      <c r="G10116" s="68"/>
      <c r="H10116" s="70"/>
      <c r="BA10116" s="4"/>
      <c r="BB10116" s="4"/>
    </row>
    <row r="10117" spans="1:54" x14ac:dyDescent="0.3">
      <c r="A10117" s="66"/>
      <c r="B10117" s="67"/>
      <c r="C10117" s="66"/>
      <c r="D10117" s="68"/>
      <c r="E10117" s="10"/>
      <c r="F10117" s="69"/>
      <c r="G10117" s="68"/>
      <c r="H10117" s="70"/>
      <c r="BA10117" s="4"/>
      <c r="BB10117" s="4"/>
    </row>
    <row r="10118" spans="1:54" x14ac:dyDescent="0.3">
      <c r="A10118" s="66"/>
      <c r="B10118" s="67"/>
      <c r="C10118" s="66"/>
      <c r="D10118" s="68"/>
      <c r="E10118" s="10"/>
      <c r="F10118" s="69"/>
      <c r="G10118" s="68"/>
      <c r="H10118" s="70"/>
      <c r="BA10118" s="4"/>
      <c r="BB10118" s="4"/>
    </row>
    <row r="10119" spans="1:54" x14ac:dyDescent="0.3">
      <c r="A10119" s="66"/>
      <c r="B10119" s="67"/>
      <c r="C10119" s="66"/>
      <c r="D10119" s="68"/>
      <c r="E10119" s="10"/>
      <c r="F10119" s="69"/>
      <c r="G10119" s="68"/>
      <c r="H10119" s="70"/>
      <c r="BA10119" s="4"/>
      <c r="BB10119" s="4"/>
    </row>
    <row r="10120" spans="1:54" x14ac:dyDescent="0.3">
      <c r="A10120" s="66"/>
      <c r="B10120" s="67"/>
      <c r="C10120" s="66"/>
      <c r="D10120" s="68"/>
      <c r="E10120" s="10"/>
      <c r="F10120" s="69"/>
      <c r="G10120" s="68"/>
      <c r="H10120" s="70"/>
      <c r="BA10120" s="4"/>
      <c r="BB10120" s="4"/>
    </row>
    <row r="10121" spans="1:54" x14ac:dyDescent="0.3">
      <c r="A10121" s="66"/>
      <c r="B10121" s="67"/>
      <c r="C10121" s="66"/>
      <c r="D10121" s="68"/>
      <c r="E10121" s="10"/>
      <c r="F10121" s="69"/>
      <c r="G10121" s="68"/>
      <c r="H10121" s="70"/>
      <c r="BA10121" s="4"/>
      <c r="BB10121" s="4"/>
    </row>
    <row r="10122" spans="1:54" x14ac:dyDescent="0.3">
      <c r="A10122" s="66"/>
      <c r="B10122" s="67"/>
      <c r="C10122" s="66"/>
      <c r="D10122" s="68"/>
      <c r="E10122" s="10"/>
      <c r="F10122" s="69"/>
      <c r="G10122" s="68"/>
      <c r="H10122" s="70"/>
      <c r="BA10122" s="4"/>
      <c r="BB10122" s="4"/>
    </row>
    <row r="10123" spans="1:54" x14ac:dyDescent="0.3">
      <c r="A10123" s="66"/>
      <c r="B10123" s="67"/>
      <c r="C10123" s="66"/>
      <c r="D10123" s="68"/>
      <c r="E10123" s="10"/>
      <c r="F10123" s="69"/>
      <c r="G10123" s="68"/>
      <c r="H10123" s="70"/>
      <c r="BA10123" s="4"/>
      <c r="BB10123" s="4"/>
    </row>
    <row r="10124" spans="1:54" x14ac:dyDescent="0.3">
      <c r="A10124" s="66"/>
      <c r="B10124" s="67"/>
      <c r="C10124" s="66"/>
      <c r="D10124" s="68"/>
      <c r="E10124" s="10"/>
      <c r="F10124" s="69"/>
      <c r="G10124" s="68"/>
      <c r="H10124" s="70"/>
      <c r="BA10124" s="4"/>
      <c r="BB10124" s="4"/>
    </row>
    <row r="10125" spans="1:54" x14ac:dyDescent="0.3">
      <c r="A10125" s="66"/>
      <c r="B10125" s="67"/>
      <c r="C10125" s="66"/>
      <c r="D10125" s="68"/>
      <c r="E10125" s="10"/>
      <c r="F10125" s="69"/>
      <c r="G10125" s="68"/>
      <c r="H10125" s="70"/>
      <c r="BA10125" s="4"/>
      <c r="BB10125" s="4"/>
    </row>
    <row r="10126" spans="1:54" x14ac:dyDescent="0.3">
      <c r="A10126" s="66"/>
      <c r="B10126" s="67"/>
      <c r="C10126" s="66"/>
      <c r="D10126" s="68"/>
      <c r="E10126" s="10"/>
      <c r="F10126" s="69"/>
      <c r="G10126" s="68"/>
      <c r="H10126" s="70"/>
      <c r="BA10126" s="4"/>
      <c r="BB10126" s="4"/>
    </row>
    <row r="10127" spans="1:54" x14ac:dyDescent="0.3">
      <c r="A10127" s="66"/>
      <c r="B10127" s="67"/>
      <c r="C10127" s="66"/>
      <c r="D10127" s="68"/>
      <c r="E10127" s="10"/>
      <c r="F10127" s="69"/>
      <c r="G10127" s="68"/>
      <c r="H10127" s="70"/>
      <c r="BA10127" s="4"/>
      <c r="BB10127" s="4"/>
    </row>
    <row r="10128" spans="1:54" x14ac:dyDescent="0.3">
      <c r="A10128" s="66"/>
      <c r="B10128" s="67"/>
      <c r="C10128" s="66"/>
      <c r="D10128" s="68"/>
      <c r="E10128" s="10"/>
      <c r="F10128" s="69"/>
      <c r="G10128" s="68"/>
      <c r="H10128" s="70"/>
      <c r="BA10128" s="4"/>
      <c r="BB10128" s="4"/>
    </row>
    <row r="10129" spans="1:54" x14ac:dyDescent="0.3">
      <c r="A10129" s="66"/>
      <c r="B10129" s="67"/>
      <c r="C10129" s="66"/>
      <c r="D10129" s="68"/>
      <c r="E10129" s="10"/>
      <c r="F10129" s="69"/>
      <c r="G10129" s="68"/>
      <c r="H10129" s="70"/>
      <c r="BA10129" s="4"/>
      <c r="BB10129" s="4"/>
    </row>
    <row r="10130" spans="1:54" x14ac:dyDescent="0.3">
      <c r="A10130" s="66"/>
      <c r="B10130" s="67"/>
      <c r="C10130" s="66"/>
      <c r="D10130" s="68"/>
      <c r="E10130" s="10"/>
      <c r="F10130" s="69"/>
      <c r="G10130" s="68"/>
      <c r="H10130" s="70"/>
      <c r="BA10130" s="4"/>
      <c r="BB10130" s="4"/>
    </row>
    <row r="10131" spans="1:54" x14ac:dyDescent="0.3">
      <c r="A10131" s="66"/>
      <c r="B10131" s="67"/>
      <c r="C10131" s="66"/>
      <c r="D10131" s="68"/>
      <c r="E10131" s="10"/>
      <c r="F10131" s="69"/>
      <c r="G10131" s="68"/>
      <c r="H10131" s="70"/>
      <c r="BA10131" s="4"/>
      <c r="BB10131" s="4"/>
    </row>
    <row r="10132" spans="1:54" x14ac:dyDescent="0.3">
      <c r="A10132" s="66"/>
      <c r="B10132" s="67"/>
      <c r="C10132" s="66"/>
      <c r="D10132" s="68"/>
      <c r="E10132" s="10"/>
      <c r="F10132" s="69"/>
      <c r="G10132" s="68"/>
      <c r="H10132" s="70"/>
      <c r="BA10132" s="4"/>
      <c r="BB10132" s="4"/>
    </row>
    <row r="10133" spans="1:54" x14ac:dyDescent="0.3">
      <c r="A10133" s="66"/>
      <c r="B10133" s="67"/>
      <c r="C10133" s="66"/>
      <c r="D10133" s="68"/>
      <c r="E10133" s="10"/>
      <c r="F10133" s="69"/>
      <c r="G10133" s="68"/>
      <c r="H10133" s="70"/>
      <c r="BA10133" s="4"/>
      <c r="BB10133" s="4"/>
    </row>
    <row r="10134" spans="1:54" x14ac:dyDescent="0.3">
      <c r="A10134" s="66"/>
      <c r="B10134" s="67"/>
      <c r="C10134" s="66"/>
      <c r="D10134" s="68"/>
      <c r="E10134" s="10"/>
      <c r="F10134" s="69"/>
      <c r="G10134" s="68"/>
      <c r="H10134" s="70"/>
      <c r="BA10134" s="4"/>
      <c r="BB10134" s="4"/>
    </row>
    <row r="10135" spans="1:54" x14ac:dyDescent="0.3">
      <c r="A10135" s="66"/>
      <c r="B10135" s="67"/>
      <c r="C10135" s="66"/>
      <c r="D10135" s="68"/>
      <c r="E10135" s="10"/>
      <c r="F10135" s="69"/>
      <c r="G10135" s="68"/>
      <c r="H10135" s="70"/>
      <c r="BA10135" s="4"/>
      <c r="BB10135" s="4"/>
    </row>
    <row r="10136" spans="1:54" x14ac:dyDescent="0.3">
      <c r="A10136" s="66"/>
      <c r="B10136" s="67"/>
      <c r="C10136" s="66"/>
      <c r="D10136" s="68"/>
      <c r="E10136" s="10"/>
      <c r="F10136" s="69"/>
      <c r="G10136" s="68"/>
      <c r="H10136" s="70"/>
      <c r="BA10136" s="4"/>
      <c r="BB10136" s="4"/>
    </row>
    <row r="10137" spans="1:54" x14ac:dyDescent="0.3">
      <c r="A10137" s="66"/>
      <c r="B10137" s="67"/>
      <c r="C10137" s="66"/>
      <c r="D10137" s="68"/>
      <c r="E10137" s="10"/>
      <c r="F10137" s="69"/>
      <c r="G10137" s="68"/>
      <c r="H10137" s="70"/>
      <c r="BA10137" s="4"/>
      <c r="BB10137" s="4"/>
    </row>
    <row r="10138" spans="1:54" x14ac:dyDescent="0.3">
      <c r="A10138" s="66"/>
      <c r="B10138" s="67"/>
      <c r="C10138" s="66"/>
      <c r="D10138" s="68"/>
      <c r="E10138" s="10"/>
      <c r="F10138" s="69"/>
      <c r="G10138" s="68"/>
      <c r="H10138" s="70"/>
      <c r="BA10138" s="4"/>
      <c r="BB10138" s="4"/>
    </row>
    <row r="10139" spans="1:54" x14ac:dyDescent="0.3">
      <c r="A10139" s="66"/>
      <c r="B10139" s="67"/>
      <c r="C10139" s="66"/>
      <c r="D10139" s="68"/>
      <c r="E10139" s="10"/>
      <c r="F10139" s="69"/>
      <c r="G10139" s="68"/>
      <c r="H10139" s="70"/>
      <c r="BA10139" s="4"/>
      <c r="BB10139" s="4"/>
    </row>
    <row r="10140" spans="1:54" x14ac:dyDescent="0.3">
      <c r="A10140" s="66"/>
      <c r="B10140" s="67"/>
      <c r="C10140" s="66"/>
      <c r="D10140" s="68"/>
      <c r="E10140" s="10"/>
      <c r="F10140" s="69"/>
      <c r="G10140" s="68"/>
      <c r="H10140" s="70"/>
      <c r="BA10140" s="4"/>
      <c r="BB10140" s="4"/>
    </row>
    <row r="10141" spans="1:54" x14ac:dyDescent="0.3">
      <c r="A10141" s="66"/>
      <c r="B10141" s="67"/>
      <c r="C10141" s="66"/>
      <c r="D10141" s="68"/>
      <c r="E10141" s="10"/>
      <c r="F10141" s="69"/>
      <c r="G10141" s="68"/>
      <c r="H10141" s="70"/>
      <c r="BA10141" s="4"/>
      <c r="BB10141" s="4"/>
    </row>
    <row r="10142" spans="1:54" x14ac:dyDescent="0.3">
      <c r="A10142" s="66"/>
      <c r="B10142" s="67"/>
      <c r="C10142" s="66"/>
      <c r="D10142" s="68"/>
      <c r="E10142" s="10"/>
      <c r="F10142" s="69"/>
      <c r="G10142" s="68"/>
      <c r="H10142" s="70"/>
      <c r="BA10142" s="4"/>
      <c r="BB10142" s="4"/>
    </row>
    <row r="10143" spans="1:54" x14ac:dyDescent="0.3">
      <c r="A10143" s="66"/>
      <c r="B10143" s="67"/>
      <c r="C10143" s="66"/>
      <c r="D10143" s="68"/>
      <c r="E10143" s="10"/>
      <c r="F10143" s="69"/>
      <c r="G10143" s="68"/>
      <c r="H10143" s="70"/>
      <c r="BA10143" s="4"/>
      <c r="BB10143" s="4"/>
    </row>
    <row r="10144" spans="1:54" x14ac:dyDescent="0.3">
      <c r="A10144" s="66"/>
      <c r="B10144" s="67"/>
      <c r="C10144" s="66"/>
      <c r="D10144" s="68"/>
      <c r="E10144" s="10"/>
      <c r="F10144" s="69"/>
      <c r="G10144" s="68"/>
      <c r="H10144" s="70"/>
      <c r="BA10144" s="4"/>
      <c r="BB10144" s="4"/>
    </row>
    <row r="10145" spans="1:54" x14ac:dyDescent="0.3">
      <c r="A10145" s="66"/>
      <c r="B10145" s="67"/>
      <c r="C10145" s="66"/>
      <c r="D10145" s="68"/>
      <c r="E10145" s="10"/>
      <c r="F10145" s="69"/>
      <c r="G10145" s="68"/>
      <c r="H10145" s="70"/>
      <c r="BA10145" s="4"/>
      <c r="BB10145" s="4"/>
    </row>
    <row r="10146" spans="1:54" x14ac:dyDescent="0.3">
      <c r="A10146" s="66"/>
      <c r="B10146" s="67"/>
      <c r="C10146" s="66"/>
      <c r="D10146" s="68"/>
      <c r="E10146" s="10"/>
      <c r="F10146" s="69"/>
      <c r="G10146" s="68"/>
      <c r="H10146" s="70"/>
      <c r="BA10146" s="4"/>
      <c r="BB10146" s="4"/>
    </row>
    <row r="10147" spans="1:54" x14ac:dyDescent="0.3">
      <c r="A10147" s="66"/>
      <c r="B10147" s="67"/>
      <c r="C10147" s="66"/>
      <c r="D10147" s="68"/>
      <c r="E10147" s="10"/>
      <c r="F10147" s="69"/>
      <c r="G10147" s="68"/>
      <c r="H10147" s="70"/>
      <c r="BA10147" s="4"/>
      <c r="BB10147" s="4"/>
    </row>
    <row r="10148" spans="1:54" x14ac:dyDescent="0.3">
      <c r="A10148" s="66"/>
      <c r="B10148" s="67"/>
      <c r="C10148" s="66"/>
      <c r="D10148" s="68"/>
      <c r="E10148" s="10"/>
      <c r="F10148" s="69"/>
      <c r="G10148" s="68"/>
      <c r="H10148" s="70"/>
      <c r="BA10148" s="4"/>
      <c r="BB10148" s="4"/>
    </row>
    <row r="10149" spans="1:54" x14ac:dyDescent="0.3">
      <c r="A10149" s="66"/>
      <c r="B10149" s="67"/>
      <c r="C10149" s="66"/>
      <c r="D10149" s="68"/>
      <c r="E10149" s="10"/>
      <c r="F10149" s="69"/>
      <c r="G10149" s="68"/>
      <c r="H10149" s="70"/>
      <c r="BA10149" s="4"/>
      <c r="BB10149" s="4"/>
    </row>
    <row r="10150" spans="1:54" x14ac:dyDescent="0.3">
      <c r="A10150" s="66"/>
      <c r="B10150" s="67"/>
      <c r="C10150" s="66"/>
      <c r="D10150" s="68"/>
      <c r="E10150" s="10"/>
      <c r="F10150" s="69"/>
      <c r="G10150" s="68"/>
      <c r="H10150" s="70"/>
      <c r="BA10150" s="4"/>
      <c r="BB10150" s="4"/>
    </row>
    <row r="10151" spans="1:54" x14ac:dyDescent="0.3">
      <c r="A10151" s="66"/>
      <c r="B10151" s="67"/>
      <c r="C10151" s="66"/>
      <c r="D10151" s="68"/>
      <c r="E10151" s="10"/>
      <c r="F10151" s="69"/>
      <c r="G10151" s="68"/>
      <c r="H10151" s="70"/>
      <c r="BA10151" s="4"/>
      <c r="BB10151" s="4"/>
    </row>
    <row r="10152" spans="1:54" x14ac:dyDescent="0.3">
      <c r="A10152" s="66"/>
      <c r="B10152" s="67"/>
      <c r="C10152" s="66"/>
      <c r="D10152" s="68"/>
      <c r="E10152" s="10"/>
      <c r="F10152" s="69"/>
      <c r="G10152" s="68"/>
      <c r="H10152" s="70"/>
      <c r="BA10152" s="4"/>
      <c r="BB10152" s="4"/>
    </row>
    <row r="10153" spans="1:54" x14ac:dyDescent="0.3">
      <c r="A10153" s="66"/>
      <c r="B10153" s="67"/>
      <c r="C10153" s="66"/>
      <c r="D10153" s="68"/>
      <c r="E10153" s="10"/>
      <c r="F10153" s="69"/>
      <c r="G10153" s="68"/>
      <c r="H10153" s="70"/>
      <c r="BA10153" s="4"/>
      <c r="BB10153" s="4"/>
    </row>
    <row r="10154" spans="1:54" x14ac:dyDescent="0.3">
      <c r="A10154" s="66"/>
      <c r="B10154" s="67"/>
      <c r="C10154" s="66"/>
      <c r="D10154" s="68"/>
      <c r="E10154" s="10"/>
      <c r="F10154" s="69"/>
      <c r="G10154" s="68"/>
      <c r="H10154" s="70"/>
      <c r="BA10154" s="4"/>
      <c r="BB10154" s="4"/>
    </row>
    <row r="10155" spans="1:54" x14ac:dyDescent="0.3">
      <c r="A10155" s="66"/>
      <c r="B10155" s="67"/>
      <c r="C10155" s="66"/>
      <c r="D10155" s="68"/>
      <c r="E10155" s="10"/>
      <c r="F10155" s="69"/>
      <c r="G10155" s="68"/>
      <c r="H10155" s="70"/>
      <c r="BA10155" s="4"/>
      <c r="BB10155" s="4"/>
    </row>
    <row r="10156" spans="1:54" x14ac:dyDescent="0.3">
      <c r="A10156" s="66"/>
      <c r="B10156" s="67"/>
      <c r="C10156" s="66"/>
      <c r="D10156" s="68"/>
      <c r="E10156" s="10"/>
      <c r="F10156" s="69"/>
      <c r="G10156" s="68"/>
      <c r="H10156" s="70"/>
      <c r="BA10156" s="4"/>
      <c r="BB10156" s="4"/>
    </row>
    <row r="10157" spans="1:54" x14ac:dyDescent="0.3">
      <c r="A10157" s="66"/>
      <c r="B10157" s="67"/>
      <c r="C10157" s="66"/>
      <c r="D10157" s="68"/>
      <c r="E10157" s="10"/>
      <c r="F10157" s="69"/>
      <c r="G10157" s="68"/>
      <c r="H10157" s="70"/>
      <c r="BA10157" s="4"/>
      <c r="BB10157" s="4"/>
    </row>
    <row r="10158" spans="1:54" x14ac:dyDescent="0.3">
      <c r="A10158" s="66"/>
      <c r="B10158" s="67"/>
      <c r="C10158" s="66"/>
      <c r="D10158" s="68"/>
      <c r="E10158" s="10"/>
      <c r="F10158" s="69"/>
      <c r="G10158" s="68"/>
      <c r="H10158" s="70"/>
      <c r="BA10158" s="4"/>
      <c r="BB10158" s="4"/>
    </row>
    <row r="10159" spans="1:54" x14ac:dyDescent="0.3">
      <c r="A10159" s="66"/>
      <c r="B10159" s="67"/>
      <c r="C10159" s="66"/>
      <c r="D10159" s="68"/>
      <c r="E10159" s="10"/>
      <c r="F10159" s="69"/>
      <c r="G10159" s="68"/>
      <c r="H10159" s="70"/>
      <c r="BA10159" s="4"/>
      <c r="BB10159" s="4"/>
    </row>
    <row r="10160" spans="1:54" x14ac:dyDescent="0.3">
      <c r="A10160" s="66"/>
      <c r="B10160" s="67"/>
      <c r="C10160" s="66"/>
      <c r="D10160" s="68"/>
      <c r="E10160" s="10"/>
      <c r="F10160" s="69"/>
      <c r="G10160" s="68"/>
      <c r="H10160" s="70"/>
      <c r="BA10160" s="4"/>
      <c r="BB10160" s="4"/>
    </row>
    <row r="10161" spans="1:54" x14ac:dyDescent="0.3">
      <c r="A10161" s="66"/>
      <c r="B10161" s="67"/>
      <c r="C10161" s="66"/>
      <c r="D10161" s="68"/>
      <c r="E10161" s="10"/>
      <c r="F10161" s="69"/>
      <c r="G10161" s="68"/>
      <c r="H10161" s="70"/>
      <c r="BA10161" s="4"/>
      <c r="BB10161" s="4"/>
    </row>
    <row r="10162" spans="1:54" x14ac:dyDescent="0.3">
      <c r="A10162" s="66"/>
      <c r="B10162" s="67"/>
      <c r="C10162" s="66"/>
      <c r="D10162" s="68"/>
      <c r="E10162" s="10"/>
      <c r="F10162" s="69"/>
      <c r="G10162" s="68"/>
      <c r="H10162" s="70"/>
      <c r="BA10162" s="4"/>
      <c r="BB10162" s="4"/>
    </row>
    <row r="10163" spans="1:54" x14ac:dyDescent="0.3">
      <c r="A10163" s="66"/>
      <c r="B10163" s="67"/>
      <c r="C10163" s="66"/>
      <c r="D10163" s="68"/>
      <c r="E10163" s="10"/>
      <c r="F10163" s="69"/>
      <c r="G10163" s="68"/>
      <c r="H10163" s="70"/>
      <c r="BA10163" s="4"/>
      <c r="BB10163" s="4"/>
    </row>
    <row r="10164" spans="1:54" x14ac:dyDescent="0.3">
      <c r="A10164" s="66"/>
      <c r="B10164" s="67"/>
      <c r="C10164" s="66"/>
      <c r="D10164" s="68"/>
      <c r="E10164" s="10"/>
      <c r="F10164" s="69"/>
      <c r="G10164" s="68"/>
      <c r="H10164" s="70"/>
      <c r="BA10164" s="4"/>
      <c r="BB10164" s="4"/>
    </row>
    <row r="10165" spans="1:54" x14ac:dyDescent="0.3">
      <c r="A10165" s="66"/>
      <c r="B10165" s="67"/>
      <c r="C10165" s="66"/>
      <c r="D10165" s="68"/>
      <c r="E10165" s="10"/>
      <c r="F10165" s="69"/>
      <c r="G10165" s="68"/>
      <c r="H10165" s="70"/>
      <c r="BA10165" s="4"/>
      <c r="BB10165" s="4"/>
    </row>
    <row r="10166" spans="1:54" x14ac:dyDescent="0.3">
      <c r="A10166" s="66"/>
      <c r="B10166" s="67"/>
      <c r="C10166" s="66"/>
      <c r="D10166" s="68"/>
      <c r="E10166" s="10"/>
      <c r="F10166" s="69"/>
      <c r="G10166" s="68"/>
      <c r="H10166" s="70"/>
      <c r="BA10166" s="4"/>
      <c r="BB10166" s="4"/>
    </row>
    <row r="10167" spans="1:54" x14ac:dyDescent="0.3">
      <c r="A10167" s="66"/>
      <c r="B10167" s="67"/>
      <c r="C10167" s="66"/>
      <c r="D10167" s="68"/>
      <c r="E10167" s="10"/>
      <c r="F10167" s="69"/>
      <c r="G10167" s="68"/>
      <c r="H10167" s="70"/>
      <c r="BA10167" s="4"/>
      <c r="BB10167" s="4"/>
    </row>
    <row r="10168" spans="1:54" x14ac:dyDescent="0.3">
      <c r="A10168" s="66"/>
      <c r="B10168" s="67"/>
      <c r="C10168" s="66"/>
      <c r="D10168" s="68"/>
      <c r="E10168" s="10"/>
      <c r="F10168" s="69"/>
      <c r="G10168" s="68"/>
      <c r="H10168" s="70"/>
      <c r="BA10168" s="4"/>
      <c r="BB10168" s="4"/>
    </row>
    <row r="10169" spans="1:54" x14ac:dyDescent="0.3">
      <c r="A10169" s="66"/>
      <c r="B10169" s="67"/>
      <c r="C10169" s="66"/>
      <c r="D10169" s="68"/>
      <c r="E10169" s="10"/>
      <c r="F10169" s="69"/>
      <c r="G10169" s="68"/>
      <c r="H10169" s="70"/>
      <c r="BA10169" s="4"/>
      <c r="BB10169" s="4"/>
    </row>
    <row r="10170" spans="1:54" x14ac:dyDescent="0.3">
      <c r="A10170" s="66"/>
      <c r="B10170" s="67"/>
      <c r="C10170" s="66"/>
      <c r="D10170" s="68"/>
      <c r="E10170" s="10"/>
      <c r="F10170" s="69"/>
      <c r="G10170" s="68"/>
      <c r="H10170" s="70"/>
      <c r="BA10170" s="4"/>
      <c r="BB10170" s="4"/>
    </row>
    <row r="10171" spans="1:54" x14ac:dyDescent="0.3">
      <c r="A10171" s="66"/>
      <c r="B10171" s="67"/>
      <c r="C10171" s="66"/>
      <c r="D10171" s="68"/>
      <c r="E10171" s="10"/>
      <c r="F10171" s="69"/>
      <c r="G10171" s="68"/>
      <c r="H10171" s="70"/>
      <c r="BA10171" s="4"/>
      <c r="BB10171" s="4"/>
    </row>
    <row r="10172" spans="1:54" x14ac:dyDescent="0.3">
      <c r="A10172" s="66"/>
      <c r="B10172" s="67"/>
      <c r="C10172" s="66"/>
      <c r="D10172" s="68"/>
      <c r="E10172" s="10"/>
      <c r="F10172" s="69"/>
      <c r="G10172" s="68"/>
      <c r="H10172" s="70"/>
      <c r="BA10172" s="4"/>
      <c r="BB10172" s="4"/>
    </row>
    <row r="10173" spans="1:54" x14ac:dyDescent="0.3">
      <c r="A10173" s="66"/>
      <c r="B10173" s="67"/>
      <c r="C10173" s="66"/>
      <c r="D10173" s="68"/>
      <c r="E10173" s="10"/>
      <c r="F10173" s="69"/>
      <c r="G10173" s="68"/>
      <c r="H10173" s="70"/>
      <c r="BA10173" s="4"/>
      <c r="BB10173" s="4"/>
    </row>
    <row r="10174" spans="1:54" x14ac:dyDescent="0.3">
      <c r="A10174" s="66"/>
      <c r="B10174" s="67"/>
      <c r="C10174" s="66"/>
      <c r="D10174" s="68"/>
      <c r="E10174" s="10"/>
      <c r="F10174" s="69"/>
      <c r="G10174" s="68"/>
      <c r="H10174" s="70"/>
      <c r="BA10174" s="4"/>
      <c r="BB10174" s="4"/>
    </row>
    <row r="10175" spans="1:54" x14ac:dyDescent="0.3">
      <c r="A10175" s="66"/>
      <c r="B10175" s="67"/>
      <c r="C10175" s="66"/>
      <c r="D10175" s="68"/>
      <c r="E10175" s="10"/>
      <c r="F10175" s="69"/>
      <c r="G10175" s="68"/>
      <c r="H10175" s="70"/>
      <c r="BA10175" s="4"/>
      <c r="BB10175" s="4"/>
    </row>
    <row r="10176" spans="1:54" x14ac:dyDescent="0.3">
      <c r="A10176" s="66"/>
      <c r="B10176" s="67"/>
      <c r="C10176" s="66"/>
      <c r="D10176" s="68"/>
      <c r="E10176" s="10"/>
      <c r="F10176" s="69"/>
      <c r="G10176" s="68"/>
      <c r="H10176" s="70"/>
      <c r="BA10176" s="4"/>
      <c r="BB10176" s="4"/>
    </row>
    <row r="10177" spans="1:54" x14ac:dyDescent="0.3">
      <c r="A10177" s="66"/>
      <c r="B10177" s="67"/>
      <c r="C10177" s="66"/>
      <c r="D10177" s="68"/>
      <c r="E10177" s="10"/>
      <c r="F10177" s="69"/>
      <c r="G10177" s="68"/>
      <c r="H10177" s="70"/>
      <c r="BA10177" s="4"/>
      <c r="BB10177" s="4"/>
    </row>
    <row r="10178" spans="1:54" x14ac:dyDescent="0.3">
      <c r="A10178" s="66"/>
      <c r="B10178" s="67"/>
      <c r="C10178" s="66"/>
      <c r="D10178" s="68"/>
      <c r="E10178" s="10"/>
      <c r="F10178" s="69"/>
      <c r="G10178" s="68"/>
      <c r="H10178" s="70"/>
      <c r="BA10178" s="4"/>
      <c r="BB10178" s="4"/>
    </row>
    <row r="10179" spans="1:54" x14ac:dyDescent="0.3">
      <c r="A10179" s="66"/>
      <c r="B10179" s="67"/>
      <c r="C10179" s="66"/>
      <c r="D10179" s="68"/>
      <c r="E10179" s="10"/>
      <c r="F10179" s="69"/>
      <c r="G10179" s="68"/>
      <c r="H10179" s="70"/>
      <c r="BA10179" s="4"/>
      <c r="BB10179" s="4"/>
    </row>
    <row r="10180" spans="1:54" x14ac:dyDescent="0.3">
      <c r="A10180" s="66"/>
      <c r="B10180" s="67"/>
      <c r="C10180" s="66"/>
      <c r="D10180" s="68"/>
      <c r="E10180" s="10"/>
      <c r="F10180" s="69"/>
      <c r="G10180" s="68"/>
      <c r="H10180" s="70"/>
      <c r="BA10180" s="4"/>
      <c r="BB10180" s="4"/>
    </row>
    <row r="10181" spans="1:54" x14ac:dyDescent="0.3">
      <c r="A10181" s="66"/>
      <c r="B10181" s="67"/>
      <c r="C10181" s="66"/>
      <c r="D10181" s="68"/>
      <c r="E10181" s="10"/>
      <c r="F10181" s="69"/>
      <c r="G10181" s="68"/>
      <c r="H10181" s="70"/>
      <c r="BA10181" s="4"/>
      <c r="BB10181" s="4"/>
    </row>
    <row r="10182" spans="1:54" x14ac:dyDescent="0.3">
      <c r="A10182" s="66"/>
      <c r="B10182" s="67"/>
      <c r="C10182" s="66"/>
      <c r="D10182" s="68"/>
      <c r="E10182" s="10"/>
      <c r="F10182" s="69"/>
      <c r="G10182" s="68"/>
      <c r="H10182" s="70"/>
      <c r="BA10182" s="4"/>
      <c r="BB10182" s="4"/>
    </row>
    <row r="10183" spans="1:54" x14ac:dyDescent="0.3">
      <c r="A10183" s="66"/>
      <c r="B10183" s="67"/>
      <c r="C10183" s="66"/>
      <c r="D10183" s="68"/>
      <c r="E10183" s="10"/>
      <c r="F10183" s="69"/>
      <c r="G10183" s="68"/>
      <c r="H10183" s="70"/>
      <c r="BA10183" s="4"/>
      <c r="BB10183" s="4"/>
    </row>
    <row r="10184" spans="1:54" x14ac:dyDescent="0.3">
      <c r="A10184" s="66"/>
      <c r="B10184" s="67"/>
      <c r="C10184" s="66"/>
      <c r="D10184" s="68"/>
      <c r="E10184" s="10"/>
      <c r="F10184" s="69"/>
      <c r="G10184" s="68"/>
      <c r="H10184" s="70"/>
      <c r="BA10184" s="4"/>
      <c r="BB10184" s="4"/>
    </row>
    <row r="10185" spans="1:54" x14ac:dyDescent="0.3">
      <c r="A10185" s="66"/>
      <c r="B10185" s="67"/>
      <c r="C10185" s="66"/>
      <c r="D10185" s="68"/>
      <c r="E10185" s="10"/>
      <c r="F10185" s="69"/>
      <c r="G10185" s="68"/>
      <c r="H10185" s="70"/>
      <c r="BA10185" s="4"/>
      <c r="BB10185" s="4"/>
    </row>
    <row r="10186" spans="1:54" x14ac:dyDescent="0.3">
      <c r="A10186" s="66"/>
      <c r="B10186" s="67"/>
      <c r="C10186" s="66"/>
      <c r="D10186" s="68"/>
      <c r="E10186" s="10"/>
      <c r="F10186" s="69"/>
      <c r="G10186" s="68"/>
      <c r="H10186" s="70"/>
      <c r="BA10186" s="4"/>
      <c r="BB10186" s="4"/>
    </row>
    <row r="10187" spans="1:54" x14ac:dyDescent="0.3">
      <c r="A10187" s="66"/>
      <c r="B10187" s="67"/>
      <c r="C10187" s="66"/>
      <c r="D10187" s="68"/>
      <c r="E10187" s="10"/>
      <c r="F10187" s="69"/>
      <c r="G10187" s="68"/>
      <c r="H10187" s="70"/>
      <c r="BA10187" s="4"/>
      <c r="BB10187" s="4"/>
    </row>
    <row r="10188" spans="1:54" x14ac:dyDescent="0.3">
      <c r="A10188" s="66"/>
      <c r="B10188" s="67"/>
      <c r="C10188" s="66"/>
      <c r="D10188" s="68"/>
      <c r="E10188" s="10"/>
      <c r="F10188" s="69"/>
      <c r="G10188" s="68"/>
      <c r="H10188" s="70"/>
      <c r="BA10188" s="4"/>
      <c r="BB10188" s="4"/>
    </row>
    <row r="10189" spans="1:54" x14ac:dyDescent="0.3">
      <c r="A10189" s="66"/>
      <c r="B10189" s="67"/>
      <c r="C10189" s="66"/>
      <c r="D10189" s="68"/>
      <c r="E10189" s="10"/>
      <c r="F10189" s="69"/>
      <c r="G10189" s="68"/>
      <c r="H10189" s="70"/>
      <c r="BA10189" s="4"/>
      <c r="BB10189" s="4"/>
    </row>
    <row r="10190" spans="1:54" x14ac:dyDescent="0.3">
      <c r="A10190" s="66"/>
      <c r="B10190" s="67"/>
      <c r="C10190" s="66"/>
      <c r="D10190" s="68"/>
      <c r="E10190" s="10"/>
      <c r="F10190" s="69"/>
      <c r="G10190" s="68"/>
      <c r="H10190" s="70"/>
      <c r="BA10190" s="4"/>
      <c r="BB10190" s="4"/>
    </row>
    <row r="10191" spans="1:54" x14ac:dyDescent="0.3">
      <c r="A10191" s="66"/>
      <c r="B10191" s="67"/>
      <c r="C10191" s="66"/>
      <c r="D10191" s="68"/>
      <c r="E10191" s="10"/>
      <c r="F10191" s="69"/>
      <c r="G10191" s="68"/>
      <c r="H10191" s="70"/>
      <c r="BA10191" s="4"/>
      <c r="BB10191" s="4"/>
    </row>
    <row r="10192" spans="1:54" x14ac:dyDescent="0.3">
      <c r="A10192" s="66"/>
      <c r="B10192" s="67"/>
      <c r="C10192" s="66"/>
      <c r="D10192" s="68"/>
      <c r="E10192" s="10"/>
      <c r="F10192" s="69"/>
      <c r="G10192" s="68"/>
      <c r="H10192" s="70"/>
      <c r="BA10192" s="4"/>
      <c r="BB10192" s="4"/>
    </row>
    <row r="10193" spans="1:54" x14ac:dyDescent="0.3">
      <c r="A10193" s="66"/>
      <c r="B10193" s="67"/>
      <c r="C10193" s="66"/>
      <c r="D10193" s="68"/>
      <c r="E10193" s="10"/>
      <c r="F10193" s="69"/>
      <c r="G10193" s="68"/>
      <c r="H10193" s="70"/>
      <c r="BA10193" s="4"/>
      <c r="BB10193" s="4"/>
    </row>
    <row r="10194" spans="1:54" x14ac:dyDescent="0.3">
      <c r="A10194" s="66"/>
      <c r="B10194" s="67"/>
      <c r="C10194" s="66"/>
      <c r="D10194" s="68"/>
      <c r="E10194" s="10"/>
      <c r="F10194" s="69"/>
      <c r="G10194" s="68"/>
      <c r="H10194" s="70"/>
      <c r="BA10194" s="4"/>
      <c r="BB10194" s="4"/>
    </row>
    <row r="10195" spans="1:54" x14ac:dyDescent="0.3">
      <c r="A10195" s="66"/>
      <c r="B10195" s="67"/>
      <c r="C10195" s="66"/>
      <c r="D10195" s="68"/>
      <c r="E10195" s="10"/>
      <c r="F10195" s="69"/>
      <c r="G10195" s="68"/>
      <c r="H10195" s="70"/>
      <c r="BA10195" s="4"/>
      <c r="BB10195" s="4"/>
    </row>
    <row r="10196" spans="1:54" x14ac:dyDescent="0.3">
      <c r="A10196" s="66"/>
      <c r="B10196" s="67"/>
      <c r="C10196" s="66"/>
      <c r="D10196" s="68"/>
      <c r="E10196" s="10"/>
      <c r="F10196" s="69"/>
      <c r="G10196" s="68"/>
      <c r="H10196" s="70"/>
      <c r="BA10196" s="4"/>
      <c r="BB10196" s="4"/>
    </row>
    <row r="10197" spans="1:54" x14ac:dyDescent="0.3">
      <c r="A10197" s="66"/>
      <c r="B10197" s="67"/>
      <c r="C10197" s="66"/>
      <c r="D10197" s="68"/>
      <c r="E10197" s="10"/>
      <c r="F10197" s="69"/>
      <c r="G10197" s="68"/>
      <c r="H10197" s="70"/>
      <c r="BA10197" s="4"/>
      <c r="BB10197" s="4"/>
    </row>
    <row r="10198" spans="1:54" x14ac:dyDescent="0.3">
      <c r="A10198" s="66"/>
      <c r="B10198" s="67"/>
      <c r="C10198" s="66"/>
      <c r="D10198" s="68"/>
      <c r="E10198" s="10"/>
      <c r="F10198" s="69"/>
      <c r="G10198" s="68"/>
      <c r="H10198" s="70"/>
      <c r="BA10198" s="4"/>
      <c r="BB10198" s="4"/>
    </row>
    <row r="10199" spans="1:54" x14ac:dyDescent="0.3">
      <c r="A10199" s="66"/>
      <c r="B10199" s="67"/>
      <c r="C10199" s="66"/>
      <c r="D10199" s="68"/>
      <c r="E10199" s="10"/>
      <c r="F10199" s="69"/>
      <c r="G10199" s="68"/>
      <c r="H10199" s="70"/>
      <c r="BA10199" s="4"/>
      <c r="BB10199" s="4"/>
    </row>
    <row r="10200" spans="1:54" x14ac:dyDescent="0.3">
      <c r="A10200" s="66"/>
      <c r="B10200" s="67"/>
      <c r="C10200" s="66"/>
      <c r="D10200" s="68"/>
      <c r="E10200" s="10"/>
      <c r="F10200" s="69"/>
      <c r="G10200" s="68"/>
      <c r="H10200" s="70"/>
      <c r="BA10200" s="4"/>
      <c r="BB10200" s="4"/>
    </row>
    <row r="10201" spans="1:54" x14ac:dyDescent="0.3">
      <c r="A10201" s="66"/>
      <c r="B10201" s="67"/>
      <c r="C10201" s="66"/>
      <c r="D10201" s="68"/>
      <c r="E10201" s="10"/>
      <c r="F10201" s="69"/>
      <c r="G10201" s="68"/>
      <c r="H10201" s="70"/>
      <c r="BA10201" s="4"/>
      <c r="BB10201" s="4"/>
    </row>
    <row r="10202" spans="1:54" x14ac:dyDescent="0.3">
      <c r="A10202" s="66"/>
      <c r="B10202" s="67"/>
      <c r="C10202" s="66"/>
      <c r="D10202" s="68"/>
      <c r="E10202" s="10"/>
      <c r="F10202" s="69"/>
      <c r="G10202" s="68"/>
      <c r="H10202" s="70"/>
      <c r="BA10202" s="4"/>
      <c r="BB10202" s="4"/>
    </row>
    <row r="10203" spans="1:54" x14ac:dyDescent="0.3">
      <c r="A10203" s="66"/>
      <c r="B10203" s="67"/>
      <c r="C10203" s="66"/>
      <c r="D10203" s="68"/>
      <c r="E10203" s="10"/>
      <c r="F10203" s="69"/>
      <c r="G10203" s="68"/>
      <c r="H10203" s="70"/>
      <c r="BA10203" s="4"/>
      <c r="BB10203" s="4"/>
    </row>
    <row r="10204" spans="1:54" x14ac:dyDescent="0.3">
      <c r="A10204" s="66"/>
      <c r="B10204" s="67"/>
      <c r="C10204" s="66"/>
      <c r="D10204" s="68"/>
      <c r="E10204" s="10"/>
      <c r="F10204" s="69"/>
      <c r="G10204" s="68"/>
      <c r="H10204" s="70"/>
      <c r="BA10204" s="4"/>
      <c r="BB10204" s="4"/>
    </row>
    <row r="10205" spans="1:54" x14ac:dyDescent="0.3">
      <c r="A10205" s="66"/>
      <c r="B10205" s="67"/>
      <c r="C10205" s="66"/>
      <c r="D10205" s="68"/>
      <c r="E10205" s="10"/>
      <c r="F10205" s="69"/>
      <c r="G10205" s="68"/>
      <c r="H10205" s="70"/>
      <c r="BA10205" s="4"/>
      <c r="BB10205" s="4"/>
    </row>
    <row r="10206" spans="1:54" x14ac:dyDescent="0.3">
      <c r="A10206" s="66"/>
      <c r="B10206" s="67"/>
      <c r="C10206" s="66"/>
      <c r="D10206" s="68"/>
      <c r="E10206" s="10"/>
      <c r="F10206" s="69"/>
      <c r="G10206" s="68"/>
      <c r="H10206" s="70"/>
      <c r="BA10206" s="4"/>
      <c r="BB10206" s="4"/>
    </row>
    <row r="10207" spans="1:54" x14ac:dyDescent="0.3">
      <c r="A10207" s="66"/>
      <c r="B10207" s="67"/>
      <c r="C10207" s="66"/>
      <c r="D10207" s="68"/>
      <c r="E10207" s="10"/>
      <c r="F10207" s="69"/>
      <c r="G10207" s="68"/>
      <c r="H10207" s="70"/>
      <c r="BA10207" s="4"/>
      <c r="BB10207" s="4"/>
    </row>
    <row r="10208" spans="1:54" x14ac:dyDescent="0.3">
      <c r="A10208" s="66"/>
      <c r="B10208" s="67"/>
      <c r="C10208" s="66"/>
      <c r="D10208" s="68"/>
      <c r="E10208" s="10"/>
      <c r="F10208" s="69"/>
      <c r="G10208" s="68"/>
      <c r="H10208" s="70"/>
      <c r="BA10208" s="4"/>
      <c r="BB10208" s="4"/>
    </row>
    <row r="10209" spans="1:54" x14ac:dyDescent="0.3">
      <c r="A10209" s="66"/>
      <c r="B10209" s="67"/>
      <c r="C10209" s="66"/>
      <c r="D10209" s="68"/>
      <c r="E10209" s="10"/>
      <c r="F10209" s="69"/>
      <c r="G10209" s="68"/>
      <c r="H10209" s="70"/>
      <c r="BA10209" s="4"/>
      <c r="BB10209" s="4"/>
    </row>
    <row r="10210" spans="1:54" x14ac:dyDescent="0.3">
      <c r="A10210" s="66"/>
      <c r="B10210" s="67"/>
      <c r="C10210" s="66"/>
      <c r="D10210" s="68"/>
      <c r="E10210" s="10"/>
      <c r="F10210" s="69"/>
      <c r="G10210" s="68"/>
      <c r="H10210" s="70"/>
      <c r="BA10210" s="4"/>
      <c r="BB10210" s="4"/>
    </row>
    <row r="10211" spans="1:54" x14ac:dyDescent="0.3">
      <c r="A10211" s="66"/>
      <c r="B10211" s="67"/>
      <c r="C10211" s="66"/>
      <c r="D10211" s="68"/>
      <c r="E10211" s="10"/>
      <c r="F10211" s="69"/>
      <c r="G10211" s="68"/>
      <c r="H10211" s="70"/>
      <c r="BA10211" s="4"/>
      <c r="BB10211" s="4"/>
    </row>
    <row r="10212" spans="1:54" x14ac:dyDescent="0.3">
      <c r="A10212" s="66"/>
      <c r="B10212" s="67"/>
      <c r="C10212" s="66"/>
      <c r="D10212" s="68"/>
      <c r="E10212" s="10"/>
      <c r="F10212" s="69"/>
      <c r="G10212" s="68"/>
      <c r="H10212" s="70"/>
      <c r="BA10212" s="4"/>
      <c r="BB10212" s="4"/>
    </row>
    <row r="10213" spans="1:54" x14ac:dyDescent="0.3">
      <c r="A10213" s="66"/>
      <c r="B10213" s="67"/>
      <c r="C10213" s="66"/>
      <c r="D10213" s="68"/>
      <c r="E10213" s="10"/>
      <c r="F10213" s="69"/>
      <c r="G10213" s="68"/>
      <c r="H10213" s="70"/>
      <c r="BA10213" s="4"/>
      <c r="BB10213" s="4"/>
    </row>
    <row r="10214" spans="1:54" x14ac:dyDescent="0.3">
      <c r="A10214" s="66"/>
      <c r="B10214" s="67"/>
      <c r="C10214" s="66"/>
      <c r="D10214" s="68"/>
      <c r="E10214" s="10"/>
      <c r="F10214" s="69"/>
      <c r="G10214" s="68"/>
      <c r="H10214" s="70"/>
      <c r="BA10214" s="4"/>
      <c r="BB10214" s="4"/>
    </row>
    <row r="10215" spans="1:54" x14ac:dyDescent="0.3">
      <c r="A10215" s="66"/>
      <c r="B10215" s="67"/>
      <c r="C10215" s="66"/>
      <c r="D10215" s="68"/>
      <c r="E10215" s="10"/>
      <c r="F10215" s="69"/>
      <c r="G10215" s="68"/>
      <c r="H10215" s="70"/>
      <c r="BA10215" s="4"/>
      <c r="BB10215" s="4"/>
    </row>
    <row r="10216" spans="1:54" x14ac:dyDescent="0.3">
      <c r="A10216" s="66"/>
      <c r="B10216" s="67"/>
      <c r="C10216" s="66"/>
      <c r="D10216" s="68"/>
      <c r="E10216" s="10"/>
      <c r="F10216" s="69"/>
      <c r="G10216" s="68"/>
      <c r="H10216" s="70"/>
      <c r="BA10216" s="4"/>
      <c r="BB10216" s="4"/>
    </row>
    <row r="10217" spans="1:54" x14ac:dyDescent="0.3">
      <c r="A10217" s="66"/>
      <c r="B10217" s="67"/>
      <c r="C10217" s="66"/>
      <c r="D10217" s="68"/>
      <c r="E10217" s="10"/>
      <c r="F10217" s="69"/>
      <c r="G10217" s="68"/>
      <c r="H10217" s="70"/>
      <c r="BA10217" s="4"/>
      <c r="BB10217" s="4"/>
    </row>
    <row r="10218" spans="1:54" x14ac:dyDescent="0.3">
      <c r="A10218" s="66"/>
      <c r="B10218" s="67"/>
      <c r="C10218" s="66"/>
      <c r="D10218" s="68"/>
      <c r="E10218" s="10"/>
      <c r="F10218" s="69"/>
      <c r="G10218" s="68"/>
      <c r="H10218" s="70"/>
      <c r="BA10218" s="4"/>
      <c r="BB10218" s="4"/>
    </row>
    <row r="10219" spans="1:54" x14ac:dyDescent="0.3">
      <c r="A10219" s="66"/>
      <c r="B10219" s="67"/>
      <c r="C10219" s="66"/>
      <c r="D10219" s="68"/>
      <c r="E10219" s="10"/>
      <c r="F10219" s="69"/>
      <c r="G10219" s="68"/>
      <c r="H10219" s="70"/>
      <c r="BA10219" s="4"/>
      <c r="BB10219" s="4"/>
    </row>
    <row r="10220" spans="1:54" x14ac:dyDescent="0.3">
      <c r="A10220" s="66"/>
      <c r="B10220" s="67"/>
      <c r="C10220" s="66"/>
      <c r="D10220" s="68"/>
      <c r="E10220" s="10"/>
      <c r="F10220" s="69"/>
      <c r="G10220" s="68"/>
      <c r="H10220" s="70"/>
      <c r="BA10220" s="4"/>
      <c r="BB10220" s="4"/>
    </row>
    <row r="10221" spans="1:54" x14ac:dyDescent="0.3">
      <c r="A10221" s="66"/>
      <c r="B10221" s="67"/>
      <c r="C10221" s="66"/>
      <c r="D10221" s="68"/>
      <c r="E10221" s="10"/>
      <c r="F10221" s="69"/>
      <c r="G10221" s="68"/>
      <c r="H10221" s="70"/>
      <c r="BA10221" s="4"/>
      <c r="BB10221" s="4"/>
    </row>
    <row r="10222" spans="1:54" x14ac:dyDescent="0.3">
      <c r="A10222" s="66"/>
      <c r="B10222" s="67"/>
      <c r="C10222" s="66"/>
      <c r="D10222" s="68"/>
      <c r="E10222" s="10"/>
      <c r="F10222" s="69"/>
      <c r="G10222" s="68"/>
      <c r="H10222" s="70"/>
      <c r="BA10222" s="4"/>
      <c r="BB10222" s="4"/>
    </row>
    <row r="10223" spans="1:54" x14ac:dyDescent="0.3">
      <c r="A10223" s="66"/>
      <c r="B10223" s="67"/>
      <c r="C10223" s="66"/>
      <c r="D10223" s="68"/>
      <c r="E10223" s="10"/>
      <c r="F10223" s="69"/>
      <c r="G10223" s="68"/>
      <c r="H10223" s="70"/>
      <c r="BA10223" s="4"/>
      <c r="BB10223" s="4"/>
    </row>
    <row r="10224" spans="1:54" x14ac:dyDescent="0.3">
      <c r="A10224" s="66"/>
      <c r="B10224" s="67"/>
      <c r="C10224" s="66"/>
      <c r="D10224" s="68"/>
      <c r="E10224" s="10"/>
      <c r="F10224" s="69"/>
      <c r="G10224" s="68"/>
      <c r="H10224" s="70"/>
      <c r="BA10224" s="4"/>
      <c r="BB10224" s="4"/>
    </row>
    <row r="10225" spans="1:54" x14ac:dyDescent="0.3">
      <c r="A10225" s="66"/>
      <c r="B10225" s="67"/>
      <c r="C10225" s="66"/>
      <c r="D10225" s="68"/>
      <c r="E10225" s="10"/>
      <c r="F10225" s="69"/>
      <c r="G10225" s="68"/>
      <c r="H10225" s="70"/>
      <c r="BA10225" s="4"/>
      <c r="BB10225" s="4"/>
    </row>
    <row r="10226" spans="1:54" x14ac:dyDescent="0.3">
      <c r="A10226" s="66"/>
      <c r="B10226" s="67"/>
      <c r="C10226" s="66"/>
      <c r="D10226" s="68"/>
      <c r="E10226" s="10"/>
      <c r="F10226" s="69"/>
      <c r="G10226" s="68"/>
      <c r="H10226" s="70"/>
      <c r="BA10226" s="4"/>
      <c r="BB10226" s="4"/>
    </row>
    <row r="10227" spans="1:54" x14ac:dyDescent="0.3">
      <c r="A10227" s="66"/>
      <c r="B10227" s="67"/>
      <c r="C10227" s="66"/>
      <c r="D10227" s="68"/>
      <c r="E10227" s="10"/>
      <c r="F10227" s="69"/>
      <c r="G10227" s="68"/>
      <c r="H10227" s="70"/>
      <c r="BA10227" s="4"/>
      <c r="BB10227" s="4"/>
    </row>
    <row r="10228" spans="1:54" x14ac:dyDescent="0.3">
      <c r="A10228" s="66"/>
      <c r="B10228" s="67"/>
      <c r="C10228" s="66"/>
      <c r="D10228" s="68"/>
      <c r="E10228" s="10"/>
      <c r="F10228" s="69"/>
      <c r="G10228" s="68"/>
      <c r="H10228" s="70"/>
      <c r="BA10228" s="4"/>
      <c r="BB10228" s="4"/>
    </row>
    <row r="10229" spans="1:54" x14ac:dyDescent="0.3">
      <c r="A10229" s="66"/>
      <c r="B10229" s="67"/>
      <c r="C10229" s="66"/>
      <c r="D10229" s="68"/>
      <c r="E10229" s="10"/>
      <c r="F10229" s="69"/>
      <c r="G10229" s="68"/>
      <c r="H10229" s="70"/>
      <c r="BA10229" s="4"/>
      <c r="BB10229" s="4"/>
    </row>
    <row r="10230" spans="1:54" x14ac:dyDescent="0.3">
      <c r="A10230" s="66"/>
      <c r="B10230" s="67"/>
      <c r="C10230" s="66"/>
      <c r="D10230" s="68"/>
      <c r="E10230" s="10"/>
      <c r="F10230" s="69"/>
      <c r="G10230" s="68"/>
      <c r="H10230" s="70"/>
      <c r="BA10230" s="4"/>
      <c r="BB10230" s="4"/>
    </row>
    <row r="10231" spans="1:54" x14ac:dyDescent="0.3">
      <c r="A10231" s="66"/>
      <c r="B10231" s="67"/>
      <c r="C10231" s="66"/>
      <c r="D10231" s="68"/>
      <c r="E10231" s="10"/>
      <c r="F10231" s="69"/>
      <c r="G10231" s="68"/>
      <c r="H10231" s="70"/>
      <c r="BA10231" s="4"/>
      <c r="BB10231" s="4"/>
    </row>
    <row r="10232" spans="1:54" x14ac:dyDescent="0.3">
      <c r="A10232" s="66"/>
      <c r="B10232" s="67"/>
      <c r="C10232" s="66"/>
      <c r="D10232" s="68"/>
      <c r="E10232" s="10"/>
      <c r="F10232" s="69"/>
      <c r="G10232" s="68"/>
      <c r="H10232" s="70"/>
      <c r="BA10232" s="4"/>
      <c r="BB10232" s="4"/>
    </row>
    <row r="10233" spans="1:54" x14ac:dyDescent="0.3">
      <c r="A10233" s="66"/>
      <c r="B10233" s="67"/>
      <c r="C10233" s="66"/>
      <c r="D10233" s="68"/>
      <c r="E10233" s="10"/>
      <c r="F10233" s="69"/>
      <c r="G10233" s="68"/>
      <c r="H10233" s="70"/>
      <c r="BA10233" s="4"/>
      <c r="BB10233" s="4"/>
    </row>
    <row r="10234" spans="1:54" x14ac:dyDescent="0.3">
      <c r="A10234" s="66"/>
      <c r="B10234" s="67"/>
      <c r="C10234" s="66"/>
      <c r="D10234" s="68"/>
      <c r="E10234" s="10"/>
      <c r="F10234" s="69"/>
      <c r="G10234" s="68"/>
      <c r="H10234" s="70"/>
      <c r="BA10234" s="4"/>
      <c r="BB10234" s="4"/>
    </row>
    <row r="10235" spans="1:54" x14ac:dyDescent="0.3">
      <c r="A10235" s="66"/>
      <c r="B10235" s="67"/>
      <c r="C10235" s="66"/>
      <c r="D10235" s="68"/>
      <c r="E10235" s="10"/>
      <c r="F10235" s="69"/>
      <c r="G10235" s="68"/>
      <c r="H10235" s="70"/>
      <c r="BA10235" s="4"/>
      <c r="BB10235" s="4"/>
    </row>
    <row r="10236" spans="1:54" x14ac:dyDescent="0.3">
      <c r="A10236" s="66"/>
      <c r="B10236" s="67"/>
      <c r="C10236" s="66"/>
      <c r="D10236" s="68"/>
      <c r="E10236" s="10"/>
      <c r="F10236" s="69"/>
      <c r="G10236" s="68"/>
      <c r="H10236" s="70"/>
      <c r="BA10236" s="4"/>
      <c r="BB10236" s="4"/>
    </row>
    <row r="10237" spans="1:54" x14ac:dyDescent="0.3">
      <c r="A10237" s="66"/>
      <c r="B10237" s="67"/>
      <c r="C10237" s="66"/>
      <c r="D10237" s="68"/>
      <c r="E10237" s="10"/>
      <c r="F10237" s="69"/>
      <c r="G10237" s="68"/>
      <c r="H10237" s="70"/>
      <c r="BA10237" s="4"/>
      <c r="BB10237" s="4"/>
    </row>
    <row r="10238" spans="1:54" x14ac:dyDescent="0.3">
      <c r="A10238" s="66"/>
      <c r="B10238" s="67"/>
      <c r="C10238" s="66"/>
      <c r="D10238" s="68"/>
      <c r="E10238" s="10"/>
      <c r="F10238" s="69"/>
      <c r="G10238" s="68"/>
      <c r="H10238" s="70"/>
      <c r="BA10238" s="4"/>
      <c r="BB10238" s="4"/>
    </row>
    <row r="10239" spans="1:54" x14ac:dyDescent="0.3">
      <c r="A10239" s="66"/>
      <c r="B10239" s="67"/>
      <c r="C10239" s="66"/>
      <c r="D10239" s="68"/>
      <c r="E10239" s="10"/>
      <c r="F10239" s="69"/>
      <c r="G10239" s="68"/>
      <c r="H10239" s="70"/>
      <c r="BA10239" s="4"/>
      <c r="BB10239" s="4"/>
    </row>
    <row r="10240" spans="1:54" x14ac:dyDescent="0.3">
      <c r="A10240" s="66"/>
      <c r="B10240" s="67"/>
      <c r="C10240" s="66"/>
      <c r="D10240" s="68"/>
      <c r="E10240" s="10"/>
      <c r="F10240" s="69"/>
      <c r="G10240" s="68"/>
      <c r="H10240" s="70"/>
      <c r="BA10240" s="4"/>
      <c r="BB10240" s="4"/>
    </row>
    <row r="10241" spans="1:54" x14ac:dyDescent="0.3">
      <c r="A10241" s="66"/>
      <c r="B10241" s="67"/>
      <c r="C10241" s="66"/>
      <c r="D10241" s="68"/>
      <c r="E10241" s="10"/>
      <c r="F10241" s="69"/>
      <c r="G10241" s="68"/>
      <c r="H10241" s="70"/>
      <c r="BA10241" s="4"/>
      <c r="BB10241" s="4"/>
    </row>
    <row r="10242" spans="1:54" x14ac:dyDescent="0.3">
      <c r="A10242" s="66"/>
      <c r="B10242" s="67"/>
      <c r="C10242" s="66"/>
      <c r="D10242" s="68"/>
      <c r="E10242" s="10"/>
      <c r="F10242" s="69"/>
      <c r="G10242" s="68"/>
      <c r="H10242" s="70"/>
      <c r="BA10242" s="4"/>
      <c r="BB10242" s="4"/>
    </row>
    <row r="10243" spans="1:54" x14ac:dyDescent="0.3">
      <c r="A10243" s="66"/>
      <c r="B10243" s="67"/>
      <c r="C10243" s="66"/>
      <c r="D10243" s="68"/>
      <c r="E10243" s="10"/>
      <c r="F10243" s="69"/>
      <c r="G10243" s="68"/>
      <c r="H10243" s="70"/>
      <c r="BA10243" s="4"/>
      <c r="BB10243" s="4"/>
    </row>
    <row r="10244" spans="1:54" x14ac:dyDescent="0.3">
      <c r="A10244" s="66"/>
      <c r="B10244" s="67"/>
      <c r="C10244" s="66"/>
      <c r="D10244" s="68"/>
      <c r="E10244" s="10"/>
      <c r="F10244" s="69"/>
      <c r="G10244" s="68"/>
      <c r="H10244" s="70"/>
      <c r="BA10244" s="4"/>
      <c r="BB10244" s="4"/>
    </row>
    <row r="10245" spans="1:54" x14ac:dyDescent="0.3">
      <c r="A10245" s="66"/>
      <c r="B10245" s="67"/>
      <c r="C10245" s="66"/>
      <c r="D10245" s="68"/>
      <c r="E10245" s="10"/>
      <c r="F10245" s="69"/>
      <c r="G10245" s="68"/>
      <c r="H10245" s="70"/>
      <c r="BA10245" s="4"/>
      <c r="BB10245" s="4"/>
    </row>
    <row r="10246" spans="1:54" x14ac:dyDescent="0.3">
      <c r="A10246" s="66"/>
      <c r="B10246" s="67"/>
      <c r="C10246" s="66"/>
      <c r="D10246" s="68"/>
      <c r="E10246" s="10"/>
      <c r="F10246" s="69"/>
      <c r="G10246" s="68"/>
      <c r="H10246" s="70"/>
      <c r="BA10246" s="4"/>
      <c r="BB10246" s="4"/>
    </row>
    <row r="10247" spans="1:54" x14ac:dyDescent="0.3">
      <c r="A10247" s="66"/>
      <c r="B10247" s="67"/>
      <c r="C10247" s="66"/>
      <c r="D10247" s="68"/>
      <c r="E10247" s="10"/>
      <c r="F10247" s="69"/>
      <c r="G10247" s="68"/>
      <c r="H10247" s="70"/>
      <c r="BA10247" s="4"/>
      <c r="BB10247" s="4"/>
    </row>
    <row r="10248" spans="1:54" x14ac:dyDescent="0.3">
      <c r="A10248" s="66"/>
      <c r="B10248" s="67"/>
      <c r="C10248" s="66"/>
      <c r="D10248" s="68"/>
      <c r="E10248" s="10"/>
      <c r="F10248" s="69"/>
      <c r="G10248" s="68"/>
      <c r="H10248" s="70"/>
      <c r="BA10248" s="4"/>
      <c r="BB10248" s="4"/>
    </row>
    <row r="10249" spans="1:54" x14ac:dyDescent="0.3">
      <c r="A10249" s="66"/>
      <c r="B10249" s="67"/>
      <c r="C10249" s="66"/>
      <c r="D10249" s="68"/>
      <c r="E10249" s="10"/>
      <c r="F10249" s="69"/>
      <c r="G10249" s="68"/>
      <c r="H10249" s="70"/>
      <c r="BA10249" s="4"/>
      <c r="BB10249" s="4"/>
    </row>
    <row r="10250" spans="1:54" x14ac:dyDescent="0.3">
      <c r="A10250" s="66"/>
      <c r="B10250" s="67"/>
      <c r="C10250" s="66"/>
      <c r="D10250" s="68"/>
      <c r="E10250" s="10"/>
      <c r="F10250" s="69"/>
      <c r="G10250" s="68"/>
      <c r="H10250" s="70"/>
      <c r="BA10250" s="4"/>
      <c r="BB10250" s="4"/>
    </row>
    <row r="10251" spans="1:54" x14ac:dyDescent="0.3">
      <c r="A10251" s="66"/>
      <c r="B10251" s="67"/>
      <c r="C10251" s="66"/>
      <c r="D10251" s="68"/>
      <c r="E10251" s="10"/>
      <c r="F10251" s="69"/>
      <c r="G10251" s="68"/>
      <c r="H10251" s="70"/>
      <c r="BA10251" s="4"/>
      <c r="BB10251" s="4"/>
    </row>
    <row r="10252" spans="1:54" x14ac:dyDescent="0.3">
      <c r="A10252" s="66"/>
      <c r="B10252" s="67"/>
      <c r="C10252" s="66"/>
      <c r="D10252" s="68"/>
      <c r="E10252" s="10"/>
      <c r="F10252" s="69"/>
      <c r="G10252" s="68"/>
      <c r="H10252" s="70"/>
      <c r="BA10252" s="4"/>
      <c r="BB10252" s="4"/>
    </row>
    <row r="10253" spans="1:54" x14ac:dyDescent="0.3">
      <c r="A10253" s="66"/>
      <c r="B10253" s="67"/>
      <c r="C10253" s="66"/>
      <c r="D10253" s="68"/>
      <c r="E10253" s="10"/>
      <c r="F10253" s="69"/>
      <c r="G10253" s="68"/>
      <c r="H10253" s="70"/>
      <c r="BA10253" s="4"/>
      <c r="BB10253" s="4"/>
    </row>
    <row r="10254" spans="1:54" x14ac:dyDescent="0.3">
      <c r="A10254" s="66"/>
      <c r="B10254" s="67"/>
      <c r="C10254" s="66"/>
      <c r="D10254" s="68"/>
      <c r="E10254" s="10"/>
      <c r="F10254" s="69"/>
      <c r="G10254" s="68"/>
      <c r="H10254" s="70"/>
      <c r="BA10254" s="4"/>
      <c r="BB10254" s="4"/>
    </row>
    <row r="10255" spans="1:54" x14ac:dyDescent="0.3">
      <c r="A10255" s="66"/>
      <c r="B10255" s="67"/>
      <c r="C10255" s="66"/>
      <c r="D10255" s="68"/>
      <c r="E10255" s="10"/>
      <c r="F10255" s="69"/>
      <c r="G10255" s="68"/>
      <c r="H10255" s="70"/>
      <c r="BA10255" s="4"/>
      <c r="BB10255" s="4"/>
    </row>
    <row r="10256" spans="1:54" x14ac:dyDescent="0.3">
      <c r="A10256" s="66"/>
      <c r="B10256" s="67"/>
      <c r="C10256" s="66"/>
      <c r="D10256" s="68"/>
      <c r="E10256" s="10"/>
      <c r="F10256" s="69"/>
      <c r="G10256" s="68"/>
      <c r="H10256" s="70"/>
      <c r="BA10256" s="4"/>
      <c r="BB10256" s="4"/>
    </row>
    <row r="10257" spans="1:54" x14ac:dyDescent="0.3">
      <c r="A10257" s="66"/>
      <c r="B10257" s="67"/>
      <c r="C10257" s="66"/>
      <c r="D10257" s="68"/>
      <c r="E10257" s="10"/>
      <c r="F10257" s="69"/>
      <c r="G10257" s="68"/>
      <c r="H10257" s="70"/>
      <c r="BA10257" s="4"/>
      <c r="BB10257" s="4"/>
    </row>
    <row r="10258" spans="1:54" x14ac:dyDescent="0.3">
      <c r="A10258" s="66"/>
      <c r="B10258" s="67"/>
      <c r="C10258" s="66"/>
      <c r="D10258" s="68"/>
      <c r="E10258" s="10"/>
      <c r="F10258" s="69"/>
      <c r="G10258" s="68"/>
      <c r="H10258" s="70"/>
      <c r="BA10258" s="4"/>
      <c r="BB10258" s="4"/>
    </row>
    <row r="10259" spans="1:54" x14ac:dyDescent="0.3">
      <c r="A10259" s="66"/>
      <c r="B10259" s="67"/>
      <c r="C10259" s="66"/>
      <c r="D10259" s="68"/>
      <c r="E10259" s="10"/>
      <c r="F10259" s="69"/>
      <c r="G10259" s="68"/>
      <c r="H10259" s="70"/>
      <c r="BA10259" s="4"/>
      <c r="BB10259" s="4"/>
    </row>
    <row r="10260" spans="1:54" x14ac:dyDescent="0.3">
      <c r="A10260" s="66"/>
      <c r="B10260" s="67"/>
      <c r="C10260" s="66"/>
      <c r="D10260" s="68"/>
      <c r="E10260" s="10"/>
      <c r="F10260" s="69"/>
      <c r="G10260" s="68"/>
      <c r="H10260" s="70"/>
      <c r="BA10260" s="4"/>
      <c r="BB10260" s="4"/>
    </row>
    <row r="10261" spans="1:54" x14ac:dyDescent="0.3">
      <c r="A10261" s="66"/>
      <c r="B10261" s="67"/>
      <c r="C10261" s="66"/>
      <c r="D10261" s="68"/>
      <c r="E10261" s="10"/>
      <c r="F10261" s="69"/>
      <c r="G10261" s="68"/>
      <c r="H10261" s="70"/>
      <c r="BA10261" s="4"/>
      <c r="BB10261" s="4"/>
    </row>
    <row r="10262" spans="1:54" x14ac:dyDescent="0.3">
      <c r="A10262" s="66"/>
      <c r="B10262" s="67"/>
      <c r="C10262" s="66"/>
      <c r="D10262" s="68"/>
      <c r="E10262" s="10"/>
      <c r="F10262" s="69"/>
      <c r="G10262" s="68"/>
      <c r="H10262" s="70"/>
      <c r="BA10262" s="4"/>
      <c r="BB10262" s="4"/>
    </row>
    <row r="10263" spans="1:54" x14ac:dyDescent="0.3">
      <c r="A10263" s="66"/>
      <c r="B10263" s="67"/>
      <c r="C10263" s="66"/>
      <c r="D10263" s="68"/>
      <c r="E10263" s="10"/>
      <c r="F10263" s="69"/>
      <c r="G10263" s="68"/>
      <c r="H10263" s="70"/>
      <c r="BA10263" s="4"/>
      <c r="BB10263" s="4"/>
    </row>
    <row r="10264" spans="1:54" x14ac:dyDescent="0.3">
      <c r="A10264" s="66"/>
      <c r="B10264" s="67"/>
      <c r="C10264" s="66"/>
      <c r="D10264" s="68"/>
      <c r="E10264" s="10"/>
      <c r="F10264" s="69"/>
      <c r="G10264" s="68"/>
      <c r="H10264" s="70"/>
      <c r="BA10264" s="4"/>
      <c r="BB10264" s="4"/>
    </row>
    <row r="10265" spans="1:54" x14ac:dyDescent="0.3">
      <c r="A10265" s="66"/>
      <c r="B10265" s="67"/>
      <c r="C10265" s="66"/>
      <c r="D10265" s="68"/>
      <c r="E10265" s="10"/>
      <c r="F10265" s="69"/>
      <c r="G10265" s="68"/>
      <c r="H10265" s="70"/>
      <c r="BA10265" s="4"/>
      <c r="BB10265" s="4"/>
    </row>
    <row r="10266" spans="1:54" x14ac:dyDescent="0.3">
      <c r="A10266" s="66"/>
      <c r="B10266" s="67"/>
      <c r="C10266" s="66"/>
      <c r="D10266" s="68"/>
      <c r="E10266" s="10"/>
      <c r="F10266" s="69"/>
      <c r="G10266" s="68"/>
      <c r="H10266" s="70"/>
      <c r="BA10266" s="4"/>
      <c r="BB10266" s="4"/>
    </row>
    <row r="10267" spans="1:54" x14ac:dyDescent="0.3">
      <c r="A10267" s="66"/>
      <c r="B10267" s="67"/>
      <c r="C10267" s="66"/>
      <c r="D10267" s="68"/>
      <c r="E10267" s="10"/>
      <c r="F10267" s="69"/>
      <c r="G10267" s="68"/>
      <c r="H10267" s="70"/>
      <c r="BA10267" s="4"/>
      <c r="BB10267" s="4"/>
    </row>
    <row r="10268" spans="1:54" x14ac:dyDescent="0.3">
      <c r="A10268" s="66"/>
      <c r="B10268" s="67"/>
      <c r="C10268" s="66"/>
      <c r="D10268" s="68"/>
      <c r="E10268" s="10"/>
      <c r="F10268" s="69"/>
      <c r="G10268" s="68"/>
      <c r="H10268" s="70"/>
      <c r="BA10268" s="4"/>
      <c r="BB10268" s="4"/>
    </row>
    <row r="10269" spans="1:54" x14ac:dyDescent="0.3">
      <c r="A10269" s="66"/>
      <c r="B10269" s="67"/>
      <c r="C10269" s="66"/>
      <c r="D10269" s="68"/>
      <c r="E10269" s="10"/>
      <c r="F10269" s="69"/>
      <c r="G10269" s="68"/>
      <c r="H10269" s="70"/>
      <c r="BA10269" s="4"/>
      <c r="BB10269" s="4"/>
    </row>
    <row r="10270" spans="1:54" x14ac:dyDescent="0.3">
      <c r="A10270" s="66"/>
      <c r="B10270" s="67"/>
      <c r="C10270" s="66"/>
      <c r="D10270" s="68"/>
      <c r="E10270" s="10"/>
      <c r="F10270" s="69"/>
      <c r="G10270" s="68"/>
      <c r="H10270" s="70"/>
      <c r="BA10270" s="4"/>
      <c r="BB10270" s="4"/>
    </row>
    <row r="10271" spans="1:54" x14ac:dyDescent="0.3">
      <c r="A10271" s="66"/>
      <c r="B10271" s="67"/>
      <c r="C10271" s="66"/>
      <c r="D10271" s="68"/>
      <c r="E10271" s="10"/>
      <c r="F10271" s="69"/>
      <c r="G10271" s="68"/>
      <c r="H10271" s="70"/>
      <c r="BA10271" s="4"/>
      <c r="BB10271" s="4"/>
    </row>
    <row r="10272" spans="1:54" x14ac:dyDescent="0.3">
      <c r="A10272" s="66"/>
      <c r="B10272" s="67"/>
      <c r="C10272" s="66"/>
      <c r="D10272" s="68"/>
      <c r="E10272" s="10"/>
      <c r="F10272" s="69"/>
      <c r="G10272" s="68"/>
      <c r="H10272" s="70"/>
      <c r="BA10272" s="4"/>
      <c r="BB10272" s="4"/>
    </row>
    <row r="10273" spans="1:54" x14ac:dyDescent="0.3">
      <c r="A10273" s="66"/>
      <c r="B10273" s="67"/>
      <c r="C10273" s="66"/>
      <c r="D10273" s="68"/>
      <c r="E10273" s="10"/>
      <c r="F10273" s="69"/>
      <c r="G10273" s="68"/>
      <c r="H10273" s="70"/>
      <c r="BA10273" s="4"/>
      <c r="BB10273" s="4"/>
    </row>
    <row r="10274" spans="1:54" x14ac:dyDescent="0.3">
      <c r="A10274" s="66"/>
      <c r="B10274" s="67"/>
      <c r="C10274" s="66"/>
      <c r="D10274" s="68"/>
      <c r="E10274" s="10"/>
      <c r="F10274" s="69"/>
      <c r="G10274" s="68"/>
      <c r="H10274" s="70"/>
      <c r="BA10274" s="4"/>
      <c r="BB10274" s="4"/>
    </row>
    <row r="10275" spans="1:54" x14ac:dyDescent="0.3">
      <c r="A10275" s="66"/>
      <c r="B10275" s="67"/>
      <c r="C10275" s="66"/>
      <c r="D10275" s="68"/>
      <c r="E10275" s="10"/>
      <c r="F10275" s="69"/>
      <c r="G10275" s="68"/>
      <c r="H10275" s="70"/>
      <c r="BA10275" s="4"/>
      <c r="BB10275" s="4"/>
    </row>
    <row r="10276" spans="1:54" x14ac:dyDescent="0.3">
      <c r="A10276" s="66"/>
      <c r="B10276" s="67"/>
      <c r="C10276" s="66"/>
      <c r="D10276" s="68"/>
      <c r="E10276" s="10"/>
      <c r="F10276" s="69"/>
      <c r="G10276" s="68"/>
      <c r="H10276" s="70"/>
      <c r="BA10276" s="4"/>
      <c r="BB10276" s="4"/>
    </row>
    <row r="10277" spans="1:54" x14ac:dyDescent="0.3">
      <c r="A10277" s="66"/>
      <c r="B10277" s="67"/>
      <c r="C10277" s="66"/>
      <c r="D10277" s="68"/>
      <c r="E10277" s="10"/>
      <c r="F10277" s="69"/>
      <c r="G10277" s="68"/>
      <c r="H10277" s="70"/>
      <c r="BA10277" s="4"/>
      <c r="BB10277" s="4"/>
    </row>
    <row r="10278" spans="1:54" x14ac:dyDescent="0.3">
      <c r="A10278" s="66"/>
      <c r="B10278" s="67"/>
      <c r="C10278" s="66"/>
      <c r="D10278" s="68"/>
      <c r="E10278" s="10"/>
      <c r="F10278" s="69"/>
      <c r="G10278" s="68"/>
      <c r="H10278" s="70"/>
      <c r="BA10278" s="4"/>
      <c r="BB10278" s="4"/>
    </row>
    <row r="10279" spans="1:54" x14ac:dyDescent="0.3">
      <c r="A10279" s="66"/>
      <c r="B10279" s="67"/>
      <c r="C10279" s="66"/>
      <c r="D10279" s="68"/>
      <c r="E10279" s="10"/>
      <c r="F10279" s="69"/>
      <c r="G10279" s="68"/>
      <c r="H10279" s="70"/>
      <c r="BA10279" s="4"/>
      <c r="BB10279" s="4"/>
    </row>
    <row r="10280" spans="1:54" x14ac:dyDescent="0.3">
      <c r="A10280" s="66"/>
      <c r="B10280" s="67"/>
      <c r="C10280" s="66"/>
      <c r="D10280" s="68"/>
      <c r="E10280" s="10"/>
      <c r="F10280" s="69"/>
      <c r="G10280" s="68"/>
      <c r="H10280" s="70"/>
      <c r="BA10280" s="4"/>
      <c r="BB10280" s="4"/>
    </row>
    <row r="10281" spans="1:54" x14ac:dyDescent="0.3">
      <c r="A10281" s="66"/>
      <c r="B10281" s="67"/>
      <c r="C10281" s="66"/>
      <c r="D10281" s="68"/>
      <c r="E10281" s="10"/>
      <c r="F10281" s="69"/>
      <c r="G10281" s="68"/>
      <c r="H10281" s="70"/>
      <c r="BA10281" s="4"/>
      <c r="BB10281" s="4"/>
    </row>
    <row r="10282" spans="1:54" x14ac:dyDescent="0.3">
      <c r="A10282" s="66"/>
      <c r="B10282" s="67"/>
      <c r="C10282" s="66"/>
      <c r="D10282" s="68"/>
      <c r="E10282" s="10"/>
      <c r="F10282" s="69"/>
      <c r="G10282" s="68"/>
      <c r="H10282" s="70"/>
      <c r="BA10282" s="4"/>
      <c r="BB10282" s="4"/>
    </row>
    <row r="10283" spans="1:54" x14ac:dyDescent="0.3">
      <c r="A10283" s="66"/>
      <c r="B10283" s="67"/>
      <c r="C10283" s="66"/>
      <c r="D10283" s="68"/>
      <c r="E10283" s="10"/>
      <c r="F10283" s="69"/>
      <c r="G10283" s="68"/>
      <c r="H10283" s="70"/>
      <c r="BA10283" s="4"/>
      <c r="BB10283" s="4"/>
    </row>
    <row r="10284" spans="1:54" x14ac:dyDescent="0.3">
      <c r="A10284" s="66"/>
      <c r="B10284" s="67"/>
      <c r="C10284" s="66"/>
      <c r="D10284" s="68"/>
      <c r="E10284" s="10"/>
      <c r="F10284" s="69"/>
      <c r="G10284" s="68"/>
      <c r="H10284" s="70"/>
      <c r="BA10284" s="4"/>
      <c r="BB10284" s="4"/>
    </row>
    <row r="10285" spans="1:54" x14ac:dyDescent="0.3">
      <c r="A10285" s="66"/>
      <c r="B10285" s="67"/>
      <c r="C10285" s="66"/>
      <c r="D10285" s="68"/>
      <c r="E10285" s="10"/>
      <c r="F10285" s="69"/>
      <c r="G10285" s="68"/>
      <c r="H10285" s="70"/>
      <c r="BA10285" s="4"/>
      <c r="BB10285" s="4"/>
    </row>
    <row r="10286" spans="1:54" x14ac:dyDescent="0.3">
      <c r="A10286" s="66"/>
      <c r="B10286" s="67"/>
      <c r="C10286" s="66"/>
      <c r="D10286" s="68"/>
      <c r="E10286" s="10"/>
      <c r="F10286" s="69"/>
      <c r="G10286" s="68"/>
      <c r="H10286" s="70"/>
      <c r="BA10286" s="4"/>
      <c r="BB10286" s="4"/>
    </row>
    <row r="10287" spans="1:54" x14ac:dyDescent="0.3">
      <c r="A10287" s="66"/>
      <c r="B10287" s="67"/>
      <c r="C10287" s="66"/>
      <c r="D10287" s="68"/>
      <c r="E10287" s="10"/>
      <c r="F10287" s="69"/>
      <c r="G10287" s="68"/>
      <c r="H10287" s="70"/>
      <c r="BA10287" s="4"/>
      <c r="BB10287" s="4"/>
    </row>
    <row r="10288" spans="1:54" x14ac:dyDescent="0.3">
      <c r="A10288" s="66"/>
      <c r="B10288" s="67"/>
      <c r="C10288" s="66"/>
      <c r="D10288" s="68"/>
      <c r="E10288" s="10"/>
      <c r="F10288" s="69"/>
      <c r="G10288" s="68"/>
      <c r="H10288" s="70"/>
      <c r="BA10288" s="4"/>
      <c r="BB10288" s="4"/>
    </row>
    <row r="10289" spans="1:54" x14ac:dyDescent="0.3">
      <c r="A10289" s="66"/>
      <c r="B10289" s="67"/>
      <c r="C10289" s="66"/>
      <c r="D10289" s="68"/>
      <c r="E10289" s="10"/>
      <c r="F10289" s="69"/>
      <c r="G10289" s="68"/>
      <c r="H10289" s="70"/>
      <c r="BA10289" s="4"/>
      <c r="BB10289" s="4"/>
    </row>
    <row r="10290" spans="1:54" x14ac:dyDescent="0.3">
      <c r="A10290" s="66"/>
      <c r="B10290" s="67"/>
      <c r="C10290" s="66"/>
      <c r="D10290" s="68"/>
      <c r="E10290" s="10"/>
      <c r="F10290" s="69"/>
      <c r="G10290" s="68"/>
      <c r="H10290" s="70"/>
      <c r="BA10290" s="4"/>
      <c r="BB10290" s="4"/>
    </row>
    <row r="10291" spans="1:54" x14ac:dyDescent="0.3">
      <c r="A10291" s="66"/>
      <c r="B10291" s="67"/>
      <c r="C10291" s="66"/>
      <c r="D10291" s="68"/>
      <c r="E10291" s="10"/>
      <c r="F10291" s="69"/>
      <c r="G10291" s="68"/>
      <c r="H10291" s="70"/>
      <c r="BA10291" s="4"/>
      <c r="BB10291" s="4"/>
    </row>
    <row r="10292" spans="1:54" x14ac:dyDescent="0.3">
      <c r="A10292" s="66"/>
      <c r="B10292" s="67"/>
      <c r="C10292" s="66"/>
      <c r="D10292" s="68"/>
      <c r="E10292" s="10"/>
      <c r="F10292" s="69"/>
      <c r="G10292" s="68"/>
      <c r="H10292" s="70"/>
      <c r="BA10292" s="4"/>
      <c r="BB10292" s="4"/>
    </row>
    <row r="10293" spans="1:54" x14ac:dyDescent="0.3">
      <c r="A10293" s="66"/>
      <c r="B10293" s="67"/>
      <c r="C10293" s="66"/>
      <c r="D10293" s="68"/>
      <c r="E10293" s="10"/>
      <c r="F10293" s="69"/>
      <c r="G10293" s="68"/>
      <c r="H10293" s="70"/>
      <c r="BA10293" s="4"/>
      <c r="BB10293" s="4"/>
    </row>
    <row r="10294" spans="1:54" x14ac:dyDescent="0.3">
      <c r="A10294" s="66"/>
      <c r="B10294" s="67"/>
      <c r="C10294" s="66"/>
      <c r="D10294" s="68"/>
      <c r="E10294" s="10"/>
      <c r="F10294" s="69"/>
      <c r="G10294" s="68"/>
      <c r="H10294" s="70"/>
      <c r="BA10294" s="4"/>
      <c r="BB10294" s="4"/>
    </row>
    <row r="10295" spans="1:54" x14ac:dyDescent="0.3">
      <c r="A10295" s="66"/>
      <c r="B10295" s="67"/>
      <c r="C10295" s="66"/>
      <c r="D10295" s="68"/>
      <c r="E10295" s="10"/>
      <c r="F10295" s="69"/>
      <c r="G10295" s="68"/>
      <c r="H10295" s="70"/>
      <c r="BA10295" s="4"/>
      <c r="BB10295" s="4"/>
    </row>
    <row r="10296" spans="1:54" x14ac:dyDescent="0.3">
      <c r="A10296" s="66"/>
      <c r="B10296" s="67"/>
      <c r="C10296" s="66"/>
      <c r="D10296" s="68"/>
      <c r="E10296" s="10"/>
      <c r="F10296" s="69"/>
      <c r="G10296" s="68"/>
      <c r="H10296" s="70"/>
      <c r="BA10296" s="4"/>
      <c r="BB10296" s="4"/>
    </row>
    <row r="10297" spans="1:54" x14ac:dyDescent="0.3">
      <c r="A10297" s="66"/>
      <c r="B10297" s="67"/>
      <c r="C10297" s="66"/>
      <c r="D10297" s="68"/>
      <c r="E10297" s="10"/>
      <c r="F10297" s="69"/>
      <c r="G10297" s="68"/>
      <c r="H10297" s="70"/>
      <c r="BA10297" s="4"/>
      <c r="BB10297" s="4"/>
    </row>
    <row r="10298" spans="1:54" x14ac:dyDescent="0.3">
      <c r="A10298" s="66"/>
      <c r="B10298" s="67"/>
      <c r="C10298" s="66"/>
      <c r="D10298" s="68"/>
      <c r="E10298" s="10"/>
      <c r="F10298" s="69"/>
      <c r="G10298" s="68"/>
      <c r="H10298" s="70"/>
      <c r="BA10298" s="4"/>
      <c r="BB10298" s="4"/>
    </row>
    <row r="10299" spans="1:54" x14ac:dyDescent="0.3">
      <c r="A10299" s="66"/>
      <c r="B10299" s="67"/>
      <c r="C10299" s="66"/>
      <c r="D10299" s="68"/>
      <c r="E10299" s="10"/>
      <c r="F10299" s="69"/>
      <c r="G10299" s="68"/>
      <c r="H10299" s="70"/>
      <c r="BA10299" s="4"/>
      <c r="BB10299" s="4"/>
    </row>
    <row r="10300" spans="1:54" x14ac:dyDescent="0.3">
      <c r="A10300" s="66"/>
      <c r="B10300" s="67"/>
      <c r="C10300" s="66"/>
      <c r="D10300" s="68"/>
      <c r="E10300" s="10"/>
      <c r="F10300" s="69"/>
      <c r="G10300" s="68"/>
      <c r="H10300" s="70"/>
      <c r="BA10300" s="4"/>
      <c r="BB10300" s="4"/>
    </row>
    <row r="10301" spans="1:54" x14ac:dyDescent="0.3">
      <c r="A10301" s="66"/>
      <c r="B10301" s="67"/>
      <c r="C10301" s="66"/>
      <c r="D10301" s="68"/>
      <c r="E10301" s="10"/>
      <c r="F10301" s="69"/>
      <c r="G10301" s="68"/>
      <c r="H10301" s="70"/>
      <c r="BA10301" s="4"/>
      <c r="BB10301" s="4"/>
    </row>
    <row r="10302" spans="1:54" x14ac:dyDescent="0.3">
      <c r="A10302" s="66"/>
      <c r="B10302" s="67"/>
      <c r="C10302" s="66"/>
      <c r="D10302" s="68"/>
      <c r="E10302" s="10"/>
      <c r="F10302" s="69"/>
      <c r="G10302" s="68"/>
      <c r="H10302" s="70"/>
      <c r="BA10302" s="4"/>
      <c r="BB10302" s="4"/>
    </row>
    <row r="10303" spans="1:54" x14ac:dyDescent="0.3">
      <c r="A10303" s="66"/>
      <c r="B10303" s="67"/>
      <c r="C10303" s="66"/>
      <c r="D10303" s="68"/>
      <c r="E10303" s="10"/>
      <c r="F10303" s="69"/>
      <c r="G10303" s="68"/>
      <c r="H10303" s="70"/>
      <c r="BA10303" s="4"/>
      <c r="BB10303" s="4"/>
    </row>
    <row r="10304" spans="1:54" x14ac:dyDescent="0.3">
      <c r="A10304" s="66"/>
      <c r="B10304" s="67"/>
      <c r="C10304" s="66"/>
      <c r="D10304" s="68"/>
      <c r="E10304" s="10"/>
      <c r="F10304" s="69"/>
      <c r="G10304" s="68"/>
      <c r="H10304" s="70"/>
      <c r="BA10304" s="4"/>
      <c r="BB10304" s="4"/>
    </row>
    <row r="10305" spans="1:54" x14ac:dyDescent="0.3">
      <c r="A10305" s="66"/>
      <c r="B10305" s="67"/>
      <c r="C10305" s="66"/>
      <c r="D10305" s="68"/>
      <c r="E10305" s="10"/>
      <c r="F10305" s="69"/>
      <c r="G10305" s="68"/>
      <c r="H10305" s="70"/>
      <c r="BA10305" s="4"/>
      <c r="BB10305" s="4"/>
    </row>
    <row r="10306" spans="1:54" x14ac:dyDescent="0.3">
      <c r="A10306" s="66"/>
      <c r="B10306" s="67"/>
      <c r="C10306" s="66"/>
      <c r="D10306" s="68"/>
      <c r="E10306" s="10"/>
      <c r="F10306" s="69"/>
      <c r="G10306" s="68"/>
      <c r="H10306" s="70"/>
      <c r="BA10306" s="4"/>
      <c r="BB10306" s="4"/>
    </row>
    <row r="10307" spans="1:54" x14ac:dyDescent="0.3">
      <c r="A10307" s="66"/>
      <c r="B10307" s="67"/>
      <c r="C10307" s="66"/>
      <c r="D10307" s="68"/>
      <c r="E10307" s="10"/>
      <c r="F10307" s="69"/>
      <c r="G10307" s="68"/>
      <c r="H10307" s="70"/>
      <c r="BA10307" s="4"/>
      <c r="BB10307" s="4"/>
    </row>
    <row r="10308" spans="1:54" x14ac:dyDescent="0.3">
      <c r="A10308" s="66"/>
      <c r="B10308" s="67"/>
      <c r="C10308" s="66"/>
      <c r="D10308" s="68"/>
      <c r="E10308" s="10"/>
      <c r="F10308" s="69"/>
      <c r="G10308" s="68"/>
      <c r="H10308" s="70"/>
      <c r="BA10308" s="4"/>
      <c r="BB10308" s="4"/>
    </row>
    <row r="10309" spans="1:54" x14ac:dyDescent="0.3">
      <c r="A10309" s="66"/>
      <c r="B10309" s="67"/>
      <c r="C10309" s="66"/>
      <c r="D10309" s="68"/>
      <c r="E10309" s="10"/>
      <c r="F10309" s="69"/>
      <c r="G10309" s="68"/>
      <c r="H10309" s="70"/>
      <c r="BA10309" s="4"/>
      <c r="BB10309" s="4"/>
    </row>
    <row r="10310" spans="1:54" x14ac:dyDescent="0.3">
      <c r="A10310" s="66"/>
      <c r="B10310" s="67"/>
      <c r="C10310" s="66"/>
      <c r="D10310" s="68"/>
      <c r="E10310" s="10"/>
      <c r="F10310" s="69"/>
      <c r="G10310" s="68"/>
      <c r="H10310" s="70"/>
      <c r="BA10310" s="4"/>
      <c r="BB10310" s="4"/>
    </row>
    <row r="10311" spans="1:54" x14ac:dyDescent="0.3">
      <c r="A10311" s="66"/>
      <c r="B10311" s="67"/>
      <c r="C10311" s="66"/>
      <c r="D10311" s="68"/>
      <c r="E10311" s="10"/>
      <c r="F10311" s="69"/>
      <c r="G10311" s="68"/>
      <c r="H10311" s="70"/>
      <c r="BA10311" s="4"/>
      <c r="BB10311" s="4"/>
    </row>
    <row r="10312" spans="1:54" x14ac:dyDescent="0.3">
      <c r="A10312" s="66"/>
      <c r="B10312" s="67"/>
      <c r="C10312" s="66"/>
      <c r="D10312" s="68"/>
      <c r="E10312" s="10"/>
      <c r="F10312" s="69"/>
      <c r="G10312" s="68"/>
      <c r="H10312" s="70"/>
      <c r="BA10312" s="4"/>
      <c r="BB10312" s="4"/>
    </row>
    <row r="10313" spans="1:54" x14ac:dyDescent="0.3">
      <c r="A10313" s="66"/>
      <c r="B10313" s="67"/>
      <c r="C10313" s="66"/>
      <c r="D10313" s="68"/>
      <c r="E10313" s="10"/>
      <c r="F10313" s="69"/>
      <c r="G10313" s="68"/>
      <c r="H10313" s="70"/>
      <c r="BA10313" s="4"/>
      <c r="BB10313" s="4"/>
    </row>
    <row r="10314" spans="1:54" x14ac:dyDescent="0.3">
      <c r="A10314" s="66"/>
      <c r="B10314" s="67"/>
      <c r="C10314" s="66"/>
      <c r="D10314" s="68"/>
      <c r="E10314" s="10"/>
      <c r="F10314" s="69"/>
      <c r="G10314" s="68"/>
      <c r="H10314" s="70"/>
      <c r="BA10314" s="4"/>
      <c r="BB10314" s="4"/>
    </row>
    <row r="10315" spans="1:54" x14ac:dyDescent="0.3">
      <c r="A10315" s="66"/>
      <c r="B10315" s="67"/>
      <c r="C10315" s="66"/>
      <c r="D10315" s="68"/>
      <c r="E10315" s="10"/>
      <c r="F10315" s="69"/>
      <c r="G10315" s="68"/>
      <c r="H10315" s="70"/>
      <c r="BA10315" s="4"/>
      <c r="BB10315" s="4"/>
    </row>
    <row r="10316" spans="1:54" x14ac:dyDescent="0.3">
      <c r="A10316" s="66"/>
      <c r="B10316" s="67"/>
      <c r="C10316" s="66"/>
      <c r="D10316" s="68"/>
      <c r="E10316" s="10"/>
      <c r="F10316" s="69"/>
      <c r="G10316" s="68"/>
      <c r="H10316" s="70"/>
      <c r="BA10316" s="4"/>
      <c r="BB10316" s="4"/>
    </row>
    <row r="10317" spans="1:54" x14ac:dyDescent="0.3">
      <c r="A10317" s="66"/>
      <c r="B10317" s="67"/>
      <c r="C10317" s="66"/>
      <c r="D10317" s="68"/>
      <c r="E10317" s="10"/>
      <c r="F10317" s="69"/>
      <c r="G10317" s="68"/>
      <c r="H10317" s="70"/>
      <c r="BA10317" s="4"/>
      <c r="BB10317" s="4"/>
    </row>
    <row r="10318" spans="1:54" x14ac:dyDescent="0.3">
      <c r="A10318" s="66"/>
      <c r="B10318" s="67"/>
      <c r="C10318" s="66"/>
      <c r="D10318" s="68"/>
      <c r="E10318" s="10"/>
      <c r="F10318" s="69"/>
      <c r="G10318" s="68"/>
      <c r="H10318" s="70"/>
      <c r="BA10318" s="4"/>
      <c r="BB10318" s="4"/>
    </row>
    <row r="10319" spans="1:54" x14ac:dyDescent="0.3">
      <c r="A10319" s="66"/>
      <c r="B10319" s="67"/>
      <c r="C10319" s="66"/>
      <c r="D10319" s="68"/>
      <c r="E10319" s="10"/>
      <c r="F10319" s="69"/>
      <c r="G10319" s="68"/>
      <c r="H10319" s="70"/>
      <c r="BA10319" s="4"/>
      <c r="BB10319" s="4"/>
    </row>
    <row r="10320" spans="1:54" x14ac:dyDescent="0.3">
      <c r="A10320" s="66"/>
      <c r="B10320" s="67"/>
      <c r="C10320" s="66"/>
      <c r="D10320" s="68"/>
      <c r="E10320" s="10"/>
      <c r="F10320" s="69"/>
      <c r="G10320" s="68"/>
      <c r="H10320" s="70"/>
      <c r="BA10320" s="4"/>
      <c r="BB10320" s="4"/>
    </row>
    <row r="10321" spans="1:54" x14ac:dyDescent="0.3">
      <c r="A10321" s="66"/>
      <c r="B10321" s="67"/>
      <c r="C10321" s="66"/>
      <c r="D10321" s="68"/>
      <c r="E10321" s="10"/>
      <c r="F10321" s="69"/>
      <c r="G10321" s="68"/>
      <c r="H10321" s="70"/>
      <c r="BA10321" s="4"/>
      <c r="BB10321" s="4"/>
    </row>
    <row r="10322" spans="1:54" x14ac:dyDescent="0.3">
      <c r="A10322" s="66"/>
      <c r="B10322" s="67"/>
      <c r="C10322" s="66"/>
      <c r="D10322" s="68"/>
      <c r="E10322" s="10"/>
      <c r="F10322" s="69"/>
      <c r="G10322" s="68"/>
      <c r="H10322" s="70"/>
      <c r="BA10322" s="4"/>
      <c r="BB10322" s="4"/>
    </row>
    <row r="10323" spans="1:54" x14ac:dyDescent="0.3">
      <c r="A10323" s="66"/>
      <c r="B10323" s="67"/>
      <c r="C10323" s="66"/>
      <c r="D10323" s="68"/>
      <c r="E10323" s="10"/>
      <c r="F10323" s="69"/>
      <c r="G10323" s="68"/>
      <c r="H10323" s="70"/>
      <c r="BA10323" s="4"/>
      <c r="BB10323" s="4"/>
    </row>
    <row r="10324" spans="1:54" x14ac:dyDescent="0.3">
      <c r="A10324" s="66"/>
      <c r="B10324" s="67"/>
      <c r="C10324" s="66"/>
      <c r="D10324" s="68"/>
      <c r="E10324" s="10"/>
      <c r="F10324" s="69"/>
      <c r="G10324" s="68"/>
      <c r="H10324" s="70"/>
      <c r="BA10324" s="4"/>
      <c r="BB10324" s="4"/>
    </row>
    <row r="10325" spans="1:54" x14ac:dyDescent="0.3">
      <c r="A10325" s="66"/>
      <c r="B10325" s="67"/>
      <c r="C10325" s="66"/>
      <c r="D10325" s="68"/>
      <c r="E10325" s="10"/>
      <c r="F10325" s="69"/>
      <c r="G10325" s="68"/>
      <c r="H10325" s="70"/>
      <c r="BA10325" s="4"/>
      <c r="BB10325" s="4"/>
    </row>
    <row r="10326" spans="1:54" x14ac:dyDescent="0.3">
      <c r="A10326" s="66"/>
      <c r="B10326" s="67"/>
      <c r="C10326" s="66"/>
      <c r="D10326" s="68"/>
      <c r="E10326" s="10"/>
      <c r="F10326" s="69"/>
      <c r="G10326" s="68"/>
      <c r="H10326" s="70"/>
      <c r="BA10326" s="4"/>
      <c r="BB10326" s="4"/>
    </row>
    <row r="10327" spans="1:54" x14ac:dyDescent="0.3">
      <c r="A10327" s="66"/>
      <c r="B10327" s="67"/>
      <c r="C10327" s="66"/>
      <c r="D10327" s="68"/>
      <c r="E10327" s="10"/>
      <c r="F10327" s="69"/>
      <c r="G10327" s="68"/>
      <c r="H10327" s="70"/>
      <c r="BA10327" s="4"/>
      <c r="BB10327" s="4"/>
    </row>
    <row r="10328" spans="1:54" x14ac:dyDescent="0.3">
      <c r="A10328" s="66"/>
      <c r="B10328" s="67"/>
      <c r="C10328" s="66"/>
      <c r="D10328" s="68"/>
      <c r="E10328" s="10"/>
      <c r="F10328" s="69"/>
      <c r="G10328" s="68"/>
      <c r="H10328" s="70"/>
      <c r="BA10328" s="4"/>
      <c r="BB10328" s="4"/>
    </row>
    <row r="10329" spans="1:54" x14ac:dyDescent="0.3">
      <c r="A10329" s="66"/>
      <c r="B10329" s="67"/>
      <c r="C10329" s="66"/>
      <c r="D10329" s="68"/>
      <c r="E10329" s="10"/>
      <c r="F10329" s="69"/>
      <c r="G10329" s="68"/>
      <c r="H10329" s="70"/>
      <c r="BA10329" s="4"/>
      <c r="BB10329" s="4"/>
    </row>
    <row r="10330" spans="1:54" x14ac:dyDescent="0.3">
      <c r="A10330" s="66"/>
      <c r="B10330" s="67"/>
      <c r="C10330" s="66"/>
      <c r="D10330" s="68"/>
      <c r="E10330" s="10"/>
      <c r="F10330" s="69"/>
      <c r="G10330" s="68"/>
      <c r="H10330" s="70"/>
      <c r="BA10330" s="4"/>
      <c r="BB10330" s="4"/>
    </row>
    <row r="10331" spans="1:54" x14ac:dyDescent="0.3">
      <c r="A10331" s="66"/>
      <c r="B10331" s="67"/>
      <c r="C10331" s="66"/>
      <c r="D10331" s="68"/>
      <c r="E10331" s="10"/>
      <c r="F10331" s="69"/>
      <c r="G10331" s="68"/>
      <c r="H10331" s="70"/>
      <c r="BA10331" s="4"/>
      <c r="BB10331" s="4"/>
    </row>
    <row r="10332" spans="1:54" x14ac:dyDescent="0.3">
      <c r="A10332" s="66"/>
      <c r="B10332" s="67"/>
      <c r="C10332" s="66"/>
      <c r="D10332" s="68"/>
      <c r="E10332" s="10"/>
      <c r="F10332" s="69"/>
      <c r="G10332" s="68"/>
      <c r="H10332" s="70"/>
      <c r="BA10332" s="4"/>
      <c r="BB10332" s="4"/>
    </row>
    <row r="10333" spans="1:54" x14ac:dyDescent="0.3">
      <c r="A10333" s="66"/>
      <c r="B10333" s="67"/>
      <c r="C10333" s="66"/>
      <c r="D10333" s="68"/>
      <c r="E10333" s="10"/>
      <c r="F10333" s="69"/>
      <c r="G10333" s="68"/>
      <c r="H10333" s="70"/>
      <c r="BA10333" s="4"/>
      <c r="BB10333" s="4"/>
    </row>
    <row r="10334" spans="1:54" x14ac:dyDescent="0.3">
      <c r="A10334" s="66"/>
      <c r="B10334" s="67"/>
      <c r="C10334" s="66"/>
      <c r="D10334" s="68"/>
      <c r="E10334" s="10"/>
      <c r="F10334" s="69"/>
      <c r="G10334" s="68"/>
      <c r="H10334" s="70"/>
      <c r="BA10334" s="4"/>
      <c r="BB10334" s="4"/>
    </row>
    <row r="10335" spans="1:54" x14ac:dyDescent="0.3">
      <c r="A10335" s="66"/>
      <c r="B10335" s="67"/>
      <c r="C10335" s="66"/>
      <c r="D10335" s="68"/>
      <c r="E10335" s="10"/>
      <c r="F10335" s="69"/>
      <c r="G10335" s="68"/>
      <c r="H10335" s="70"/>
      <c r="BA10335" s="4"/>
      <c r="BB10335" s="4"/>
    </row>
    <row r="10336" spans="1:54" x14ac:dyDescent="0.3">
      <c r="A10336" s="66"/>
      <c r="B10336" s="67"/>
      <c r="C10336" s="66"/>
      <c r="D10336" s="68"/>
      <c r="E10336" s="10"/>
      <c r="F10336" s="69"/>
      <c r="G10336" s="68"/>
      <c r="H10336" s="70"/>
      <c r="BA10336" s="4"/>
      <c r="BB10336" s="4"/>
    </row>
    <row r="10337" spans="1:54" x14ac:dyDescent="0.3">
      <c r="A10337" s="66"/>
      <c r="B10337" s="67"/>
      <c r="C10337" s="66"/>
      <c r="D10337" s="68"/>
      <c r="E10337" s="10"/>
      <c r="F10337" s="69"/>
      <c r="G10337" s="68"/>
      <c r="H10337" s="70"/>
      <c r="BA10337" s="4"/>
      <c r="BB10337" s="4"/>
    </row>
    <row r="10338" spans="1:54" x14ac:dyDescent="0.3">
      <c r="A10338" s="66"/>
      <c r="B10338" s="67"/>
      <c r="C10338" s="66"/>
      <c r="D10338" s="68"/>
      <c r="E10338" s="10"/>
      <c r="F10338" s="69"/>
      <c r="G10338" s="68"/>
      <c r="H10338" s="70"/>
      <c r="BA10338" s="4"/>
      <c r="BB10338" s="4"/>
    </row>
    <row r="10339" spans="1:54" x14ac:dyDescent="0.3">
      <c r="A10339" s="66"/>
      <c r="B10339" s="67"/>
      <c r="C10339" s="66"/>
      <c r="D10339" s="68"/>
      <c r="E10339" s="10"/>
      <c r="F10339" s="69"/>
      <c r="G10339" s="68"/>
      <c r="H10339" s="70"/>
      <c r="BA10339" s="4"/>
      <c r="BB10339" s="4"/>
    </row>
    <row r="10340" spans="1:54" x14ac:dyDescent="0.3">
      <c r="A10340" s="66"/>
      <c r="B10340" s="67"/>
      <c r="C10340" s="66"/>
      <c r="D10340" s="68"/>
      <c r="E10340" s="10"/>
      <c r="F10340" s="69"/>
      <c r="G10340" s="68"/>
      <c r="H10340" s="70"/>
      <c r="BA10340" s="4"/>
      <c r="BB10340" s="4"/>
    </row>
    <row r="10341" spans="1:54" x14ac:dyDescent="0.3">
      <c r="A10341" s="66"/>
      <c r="B10341" s="67"/>
      <c r="C10341" s="66"/>
      <c r="D10341" s="68"/>
      <c r="E10341" s="10"/>
      <c r="F10341" s="69"/>
      <c r="G10341" s="68"/>
      <c r="H10341" s="70"/>
      <c r="BA10341" s="4"/>
      <c r="BB10341" s="4"/>
    </row>
    <row r="10342" spans="1:54" x14ac:dyDescent="0.3">
      <c r="A10342" s="66"/>
      <c r="B10342" s="67"/>
      <c r="C10342" s="66"/>
      <c r="D10342" s="68"/>
      <c r="E10342" s="10"/>
      <c r="F10342" s="69"/>
      <c r="G10342" s="68"/>
      <c r="H10342" s="70"/>
      <c r="BA10342" s="4"/>
      <c r="BB10342" s="4"/>
    </row>
    <row r="10343" spans="1:54" x14ac:dyDescent="0.3">
      <c r="A10343" s="66"/>
      <c r="B10343" s="67"/>
      <c r="C10343" s="66"/>
      <c r="D10343" s="68"/>
      <c r="E10343" s="10"/>
      <c r="F10343" s="69"/>
      <c r="G10343" s="68"/>
      <c r="H10343" s="70"/>
      <c r="BA10343" s="4"/>
      <c r="BB10343" s="4"/>
    </row>
    <row r="10344" spans="1:54" x14ac:dyDescent="0.3">
      <c r="A10344" s="66"/>
      <c r="B10344" s="67"/>
      <c r="C10344" s="66"/>
      <c r="D10344" s="68"/>
      <c r="E10344" s="10"/>
      <c r="F10344" s="69"/>
      <c r="G10344" s="68"/>
      <c r="H10344" s="70"/>
      <c r="BA10344" s="4"/>
      <c r="BB10344" s="4"/>
    </row>
    <row r="10345" spans="1:54" x14ac:dyDescent="0.3">
      <c r="A10345" s="66"/>
      <c r="B10345" s="67"/>
      <c r="C10345" s="66"/>
      <c r="D10345" s="68"/>
      <c r="E10345" s="10"/>
      <c r="F10345" s="69"/>
      <c r="G10345" s="68"/>
      <c r="H10345" s="70"/>
      <c r="BA10345" s="4"/>
      <c r="BB10345" s="4"/>
    </row>
    <row r="10346" spans="1:54" x14ac:dyDescent="0.3">
      <c r="A10346" s="66"/>
      <c r="B10346" s="67"/>
      <c r="C10346" s="66"/>
      <c r="D10346" s="68"/>
      <c r="E10346" s="10"/>
      <c r="F10346" s="69"/>
      <c r="G10346" s="68"/>
      <c r="H10346" s="70"/>
      <c r="BA10346" s="4"/>
      <c r="BB10346" s="4"/>
    </row>
    <row r="10347" spans="1:54" x14ac:dyDescent="0.3">
      <c r="A10347" s="66"/>
      <c r="B10347" s="67"/>
      <c r="C10347" s="66"/>
      <c r="D10347" s="68"/>
      <c r="E10347" s="10"/>
      <c r="F10347" s="69"/>
      <c r="G10347" s="68"/>
      <c r="H10347" s="70"/>
      <c r="BA10347" s="4"/>
      <c r="BB10347" s="4"/>
    </row>
    <row r="10348" spans="1:54" x14ac:dyDescent="0.3">
      <c r="A10348" s="66"/>
      <c r="B10348" s="67"/>
      <c r="C10348" s="66"/>
      <c r="D10348" s="68"/>
      <c r="E10348" s="10"/>
      <c r="F10348" s="69"/>
      <c r="G10348" s="68"/>
      <c r="H10348" s="70"/>
      <c r="BA10348" s="4"/>
      <c r="BB10348" s="4"/>
    </row>
    <row r="10349" spans="1:54" x14ac:dyDescent="0.3">
      <c r="A10349" s="66"/>
      <c r="B10349" s="67"/>
      <c r="C10349" s="66"/>
      <c r="D10349" s="68"/>
      <c r="E10349" s="10"/>
      <c r="F10349" s="69"/>
      <c r="G10349" s="68"/>
      <c r="H10349" s="70"/>
      <c r="BA10349" s="4"/>
      <c r="BB10349" s="4"/>
    </row>
    <row r="10350" spans="1:54" x14ac:dyDescent="0.3">
      <c r="A10350" s="66"/>
      <c r="B10350" s="67"/>
      <c r="C10350" s="66"/>
      <c r="D10350" s="68"/>
      <c r="E10350" s="10"/>
      <c r="F10350" s="69"/>
      <c r="G10350" s="68"/>
      <c r="H10350" s="70"/>
      <c r="BA10350" s="4"/>
      <c r="BB10350" s="4"/>
    </row>
    <row r="10351" spans="1:54" x14ac:dyDescent="0.3">
      <c r="A10351" s="66"/>
      <c r="B10351" s="67"/>
      <c r="C10351" s="66"/>
      <c r="D10351" s="68"/>
      <c r="E10351" s="10"/>
      <c r="F10351" s="69"/>
      <c r="G10351" s="68"/>
      <c r="H10351" s="70"/>
      <c r="BA10351" s="4"/>
      <c r="BB10351" s="4"/>
    </row>
    <row r="10352" spans="1:54" x14ac:dyDescent="0.3">
      <c r="A10352" s="66"/>
      <c r="B10352" s="67"/>
      <c r="C10352" s="66"/>
      <c r="D10352" s="68"/>
      <c r="E10352" s="10"/>
      <c r="F10352" s="69"/>
      <c r="G10352" s="68"/>
      <c r="H10352" s="70"/>
      <c r="BA10352" s="4"/>
      <c r="BB10352" s="4"/>
    </row>
    <row r="10353" spans="1:54" x14ac:dyDescent="0.3">
      <c r="A10353" s="66"/>
      <c r="B10353" s="67"/>
      <c r="C10353" s="66"/>
      <c r="D10353" s="68"/>
      <c r="E10353" s="10"/>
      <c r="F10353" s="69"/>
      <c r="G10353" s="68"/>
      <c r="H10353" s="70"/>
      <c r="BA10353" s="4"/>
      <c r="BB10353" s="4"/>
    </row>
    <row r="10354" spans="1:54" x14ac:dyDescent="0.3">
      <c r="A10354" s="66"/>
      <c r="B10354" s="67"/>
      <c r="C10354" s="66"/>
      <c r="D10354" s="68"/>
      <c r="E10354" s="10"/>
      <c r="F10354" s="69"/>
      <c r="G10354" s="68"/>
      <c r="H10354" s="70"/>
      <c r="BA10354" s="4"/>
      <c r="BB10354" s="4"/>
    </row>
    <row r="10355" spans="1:54" x14ac:dyDescent="0.3">
      <c r="A10355" s="66"/>
      <c r="B10355" s="67"/>
      <c r="C10355" s="66"/>
      <c r="D10355" s="68"/>
      <c r="E10355" s="10"/>
      <c r="F10355" s="69"/>
      <c r="G10355" s="68"/>
      <c r="H10355" s="70"/>
      <c r="BA10355" s="4"/>
      <c r="BB10355" s="4"/>
    </row>
    <row r="10356" spans="1:54" x14ac:dyDescent="0.3">
      <c r="A10356" s="66"/>
      <c r="B10356" s="67"/>
      <c r="C10356" s="66"/>
      <c r="D10356" s="68"/>
      <c r="E10356" s="10"/>
      <c r="F10356" s="69"/>
      <c r="G10356" s="68"/>
      <c r="H10356" s="70"/>
      <c r="BA10356" s="4"/>
      <c r="BB10356" s="4"/>
    </row>
    <row r="10357" spans="1:54" x14ac:dyDescent="0.3">
      <c r="A10357" s="66"/>
      <c r="B10357" s="67"/>
      <c r="C10357" s="66"/>
      <c r="D10357" s="68"/>
      <c r="E10357" s="10"/>
      <c r="F10357" s="69"/>
      <c r="G10357" s="68"/>
      <c r="H10357" s="70"/>
      <c r="BA10357" s="4"/>
      <c r="BB10357" s="4"/>
    </row>
    <row r="10358" spans="1:54" x14ac:dyDescent="0.3">
      <c r="A10358" s="66"/>
      <c r="B10358" s="67"/>
      <c r="C10358" s="66"/>
      <c r="D10358" s="68"/>
      <c r="E10358" s="10"/>
      <c r="F10358" s="69"/>
      <c r="G10358" s="68"/>
      <c r="H10358" s="70"/>
      <c r="BA10358" s="4"/>
      <c r="BB10358" s="4"/>
    </row>
    <row r="10359" spans="1:54" x14ac:dyDescent="0.3">
      <c r="A10359" s="66"/>
      <c r="B10359" s="67"/>
      <c r="C10359" s="66"/>
      <c r="D10359" s="68"/>
      <c r="E10359" s="10"/>
      <c r="F10359" s="69"/>
      <c r="G10359" s="68"/>
      <c r="H10359" s="70"/>
      <c r="BA10359" s="4"/>
      <c r="BB10359" s="4"/>
    </row>
    <row r="10360" spans="1:54" x14ac:dyDescent="0.3">
      <c r="A10360" s="66"/>
      <c r="B10360" s="67"/>
      <c r="C10360" s="66"/>
      <c r="D10360" s="68"/>
      <c r="E10360" s="10"/>
      <c r="F10360" s="69"/>
      <c r="G10360" s="68"/>
      <c r="H10360" s="70"/>
      <c r="BA10360" s="4"/>
      <c r="BB10360" s="4"/>
    </row>
    <row r="10361" spans="1:54" x14ac:dyDescent="0.3">
      <c r="A10361" s="66"/>
      <c r="B10361" s="67"/>
      <c r="C10361" s="66"/>
      <c r="D10361" s="68"/>
      <c r="E10361" s="10"/>
      <c r="F10361" s="69"/>
      <c r="G10361" s="68"/>
      <c r="H10361" s="70"/>
      <c r="BA10361" s="4"/>
      <c r="BB10361" s="4"/>
    </row>
    <row r="10362" spans="1:54" x14ac:dyDescent="0.3">
      <c r="A10362" s="66"/>
      <c r="B10362" s="67"/>
      <c r="C10362" s="66"/>
      <c r="D10362" s="68"/>
      <c r="E10362" s="10"/>
      <c r="F10362" s="69"/>
      <c r="G10362" s="68"/>
      <c r="H10362" s="70"/>
      <c r="BA10362" s="4"/>
      <c r="BB10362" s="4"/>
    </row>
    <row r="10363" spans="1:54" x14ac:dyDescent="0.3">
      <c r="A10363" s="66"/>
      <c r="B10363" s="67"/>
      <c r="C10363" s="66"/>
      <c r="D10363" s="68"/>
      <c r="E10363" s="10"/>
      <c r="F10363" s="69"/>
      <c r="G10363" s="68"/>
      <c r="H10363" s="70"/>
      <c r="BA10363" s="4"/>
      <c r="BB10363" s="4"/>
    </row>
    <row r="10364" spans="1:54" x14ac:dyDescent="0.3">
      <c r="A10364" s="66"/>
      <c r="B10364" s="67"/>
      <c r="C10364" s="66"/>
      <c r="D10364" s="68"/>
      <c r="E10364" s="10"/>
      <c r="F10364" s="69"/>
      <c r="G10364" s="68"/>
      <c r="H10364" s="70"/>
      <c r="BA10364" s="4"/>
      <c r="BB10364" s="4"/>
    </row>
    <row r="10365" spans="1:54" x14ac:dyDescent="0.3">
      <c r="A10365" s="66"/>
      <c r="B10365" s="67"/>
      <c r="C10365" s="66"/>
      <c r="D10365" s="68"/>
      <c r="E10365" s="10"/>
      <c r="F10365" s="69"/>
      <c r="G10365" s="68"/>
      <c r="H10365" s="70"/>
      <c r="BA10365" s="4"/>
      <c r="BB10365" s="4"/>
    </row>
    <row r="10366" spans="1:54" x14ac:dyDescent="0.3">
      <c r="A10366" s="66"/>
      <c r="B10366" s="67"/>
      <c r="C10366" s="66"/>
      <c r="D10366" s="68"/>
      <c r="E10366" s="10"/>
      <c r="F10366" s="69"/>
      <c r="G10366" s="68"/>
      <c r="H10366" s="70"/>
      <c r="BA10366" s="4"/>
      <c r="BB10366" s="4"/>
    </row>
    <row r="10367" spans="1:54" x14ac:dyDescent="0.3">
      <c r="A10367" s="66"/>
      <c r="B10367" s="67"/>
      <c r="C10367" s="66"/>
      <c r="D10367" s="68"/>
      <c r="E10367" s="10"/>
      <c r="F10367" s="69"/>
      <c r="G10367" s="68"/>
      <c r="H10367" s="70"/>
      <c r="BA10367" s="4"/>
      <c r="BB10367" s="4"/>
    </row>
    <row r="10368" spans="1:54" x14ac:dyDescent="0.3">
      <c r="A10368" s="66"/>
      <c r="B10368" s="67"/>
      <c r="C10368" s="66"/>
      <c r="D10368" s="68"/>
      <c r="E10368" s="10"/>
      <c r="F10368" s="69"/>
      <c r="G10368" s="68"/>
      <c r="H10368" s="70"/>
      <c r="BA10368" s="4"/>
      <c r="BB10368" s="4"/>
    </row>
    <row r="10369" spans="1:54" x14ac:dyDescent="0.3">
      <c r="A10369" s="66"/>
      <c r="B10369" s="67"/>
      <c r="C10369" s="66"/>
      <c r="D10369" s="68"/>
      <c r="E10369" s="10"/>
      <c r="F10369" s="69"/>
      <c r="G10369" s="68"/>
      <c r="H10369" s="70"/>
      <c r="BA10369" s="4"/>
      <c r="BB10369" s="4"/>
    </row>
    <row r="10370" spans="1:54" x14ac:dyDescent="0.3">
      <c r="A10370" s="66"/>
      <c r="B10370" s="67"/>
      <c r="C10370" s="66"/>
      <c r="D10370" s="68"/>
      <c r="E10370" s="10"/>
      <c r="F10370" s="69"/>
      <c r="G10370" s="68"/>
      <c r="H10370" s="70"/>
      <c r="BA10370" s="4"/>
      <c r="BB10370" s="4"/>
    </row>
    <row r="10371" spans="1:54" x14ac:dyDescent="0.3">
      <c r="A10371" s="66"/>
      <c r="B10371" s="67"/>
      <c r="C10371" s="66"/>
      <c r="D10371" s="68"/>
      <c r="E10371" s="10"/>
      <c r="F10371" s="69"/>
      <c r="G10371" s="68"/>
      <c r="H10371" s="70"/>
      <c r="BA10371" s="4"/>
      <c r="BB10371" s="4"/>
    </row>
    <row r="10372" spans="1:54" x14ac:dyDescent="0.3">
      <c r="A10372" s="66"/>
      <c r="B10372" s="67"/>
      <c r="C10372" s="66"/>
      <c r="D10372" s="68"/>
      <c r="E10372" s="10"/>
      <c r="F10372" s="69"/>
      <c r="G10372" s="68"/>
      <c r="H10372" s="70"/>
      <c r="BA10372" s="4"/>
      <c r="BB10372" s="4"/>
    </row>
    <row r="10373" spans="1:54" x14ac:dyDescent="0.3">
      <c r="A10373" s="66"/>
      <c r="B10373" s="67"/>
      <c r="C10373" s="66"/>
      <c r="D10373" s="68"/>
      <c r="E10373" s="10"/>
      <c r="F10373" s="69"/>
      <c r="G10373" s="68"/>
      <c r="H10373" s="70"/>
      <c r="BA10373" s="4"/>
      <c r="BB10373" s="4"/>
    </row>
    <row r="10374" spans="1:54" x14ac:dyDescent="0.3">
      <c r="A10374" s="66"/>
      <c r="B10374" s="67"/>
      <c r="C10374" s="66"/>
      <c r="D10374" s="68"/>
      <c r="E10374" s="10"/>
      <c r="F10374" s="69"/>
      <c r="G10374" s="68"/>
      <c r="H10374" s="70"/>
      <c r="BA10374" s="4"/>
      <c r="BB10374" s="4"/>
    </row>
    <row r="10375" spans="1:54" x14ac:dyDescent="0.3">
      <c r="A10375" s="66"/>
      <c r="B10375" s="67"/>
      <c r="C10375" s="66"/>
      <c r="D10375" s="68"/>
      <c r="E10375" s="10"/>
      <c r="F10375" s="69"/>
      <c r="G10375" s="68"/>
      <c r="H10375" s="70"/>
      <c r="BA10375" s="4"/>
      <c r="BB10375" s="4"/>
    </row>
    <row r="10376" spans="1:54" x14ac:dyDescent="0.3">
      <c r="A10376" s="66"/>
      <c r="B10376" s="67"/>
      <c r="C10376" s="66"/>
      <c r="D10376" s="68"/>
      <c r="E10376" s="10"/>
      <c r="F10376" s="69"/>
      <c r="G10376" s="68"/>
      <c r="H10376" s="70"/>
      <c r="BA10376" s="4"/>
      <c r="BB10376" s="4"/>
    </row>
    <row r="10377" spans="1:54" x14ac:dyDescent="0.3">
      <c r="A10377" s="66"/>
      <c r="B10377" s="67"/>
      <c r="C10377" s="66"/>
      <c r="D10377" s="68"/>
      <c r="E10377" s="10"/>
      <c r="F10377" s="69"/>
      <c r="G10377" s="68"/>
      <c r="H10377" s="70"/>
      <c r="BA10377" s="4"/>
      <c r="BB10377" s="4"/>
    </row>
    <row r="10378" spans="1:54" x14ac:dyDescent="0.3">
      <c r="A10378" s="66"/>
      <c r="B10378" s="67"/>
      <c r="C10378" s="66"/>
      <c r="D10378" s="68"/>
      <c r="E10378" s="10"/>
      <c r="F10378" s="69"/>
      <c r="G10378" s="68"/>
      <c r="H10378" s="70"/>
      <c r="BA10378" s="4"/>
      <c r="BB10378" s="4"/>
    </row>
    <row r="10379" spans="1:54" x14ac:dyDescent="0.3">
      <c r="A10379" s="66"/>
      <c r="B10379" s="67"/>
      <c r="C10379" s="66"/>
      <c r="D10379" s="68"/>
      <c r="E10379" s="10"/>
      <c r="F10379" s="69"/>
      <c r="G10379" s="68"/>
      <c r="H10379" s="70"/>
      <c r="BA10379" s="4"/>
      <c r="BB10379" s="4"/>
    </row>
    <row r="10380" spans="1:54" x14ac:dyDescent="0.3">
      <c r="A10380" s="66"/>
      <c r="B10380" s="67"/>
      <c r="C10380" s="66"/>
      <c r="D10380" s="68"/>
      <c r="E10380" s="10"/>
      <c r="F10380" s="69"/>
      <c r="G10380" s="68"/>
      <c r="H10380" s="70"/>
      <c r="BA10380" s="4"/>
      <c r="BB10380" s="4"/>
    </row>
    <row r="10381" spans="1:54" x14ac:dyDescent="0.3">
      <c r="A10381" s="66"/>
      <c r="B10381" s="67"/>
      <c r="C10381" s="66"/>
      <c r="D10381" s="68"/>
      <c r="E10381" s="10"/>
      <c r="F10381" s="69"/>
      <c r="G10381" s="68"/>
      <c r="H10381" s="70"/>
      <c r="BA10381" s="4"/>
      <c r="BB10381" s="4"/>
    </row>
    <row r="10382" spans="1:54" x14ac:dyDescent="0.3">
      <c r="A10382" s="66"/>
      <c r="B10382" s="67"/>
      <c r="C10382" s="66"/>
      <c r="D10382" s="68"/>
      <c r="E10382" s="10"/>
      <c r="F10382" s="69"/>
      <c r="G10382" s="68"/>
      <c r="H10382" s="70"/>
      <c r="BA10382" s="4"/>
      <c r="BB10382" s="4"/>
    </row>
    <row r="10383" spans="1:54" x14ac:dyDescent="0.3">
      <c r="A10383" s="66"/>
      <c r="B10383" s="67"/>
      <c r="C10383" s="66"/>
      <c r="D10383" s="68"/>
      <c r="E10383" s="10"/>
      <c r="F10383" s="69"/>
      <c r="G10383" s="68"/>
      <c r="H10383" s="70"/>
      <c r="BA10383" s="4"/>
      <c r="BB10383" s="4"/>
    </row>
    <row r="10384" spans="1:54" x14ac:dyDescent="0.3">
      <c r="A10384" s="66"/>
      <c r="B10384" s="67"/>
      <c r="C10384" s="66"/>
      <c r="D10384" s="68"/>
      <c r="E10384" s="10"/>
      <c r="F10384" s="69"/>
      <c r="G10384" s="68"/>
      <c r="H10384" s="70"/>
      <c r="BA10384" s="4"/>
      <c r="BB10384" s="4"/>
    </row>
    <row r="10385" spans="1:54" x14ac:dyDescent="0.3">
      <c r="A10385" s="66"/>
      <c r="B10385" s="67"/>
      <c r="C10385" s="66"/>
      <c r="D10385" s="68"/>
      <c r="E10385" s="10"/>
      <c r="F10385" s="69"/>
      <c r="G10385" s="68"/>
      <c r="H10385" s="70"/>
      <c r="BA10385" s="4"/>
      <c r="BB10385" s="4"/>
    </row>
    <row r="10386" spans="1:54" x14ac:dyDescent="0.3">
      <c r="A10386" s="66"/>
      <c r="B10386" s="67"/>
      <c r="C10386" s="66"/>
      <c r="D10386" s="68"/>
      <c r="E10386" s="10"/>
      <c r="F10386" s="69"/>
      <c r="G10386" s="68"/>
      <c r="H10386" s="70"/>
      <c r="BA10386" s="4"/>
      <c r="BB10386" s="4"/>
    </row>
    <row r="10387" spans="1:54" x14ac:dyDescent="0.3">
      <c r="A10387" s="66"/>
      <c r="B10387" s="67"/>
      <c r="C10387" s="66"/>
      <c r="D10387" s="68"/>
      <c r="E10387" s="10"/>
      <c r="F10387" s="69"/>
      <c r="G10387" s="68"/>
      <c r="H10387" s="70"/>
      <c r="BA10387" s="4"/>
      <c r="BB10387" s="4"/>
    </row>
    <row r="10388" spans="1:54" x14ac:dyDescent="0.3">
      <c r="A10388" s="66"/>
      <c r="B10388" s="67"/>
      <c r="C10388" s="66"/>
      <c r="D10388" s="68"/>
      <c r="E10388" s="10"/>
      <c r="F10388" s="69"/>
      <c r="G10388" s="68"/>
      <c r="H10388" s="70"/>
      <c r="BA10388" s="4"/>
      <c r="BB10388" s="4"/>
    </row>
    <row r="10389" spans="1:54" x14ac:dyDescent="0.3">
      <c r="A10389" s="66"/>
      <c r="B10389" s="67"/>
      <c r="C10389" s="66"/>
      <c r="D10389" s="68"/>
      <c r="E10389" s="10"/>
      <c r="F10389" s="69"/>
      <c r="G10389" s="68"/>
      <c r="H10389" s="70"/>
      <c r="BA10389" s="4"/>
      <c r="BB10389" s="4"/>
    </row>
    <row r="10390" spans="1:54" x14ac:dyDescent="0.3">
      <c r="A10390" s="66"/>
      <c r="B10390" s="67"/>
      <c r="C10390" s="66"/>
      <c r="D10390" s="68"/>
      <c r="E10390" s="10"/>
      <c r="F10390" s="69"/>
      <c r="G10390" s="68"/>
      <c r="H10390" s="70"/>
      <c r="BA10390" s="4"/>
      <c r="BB10390" s="4"/>
    </row>
    <row r="10391" spans="1:54" x14ac:dyDescent="0.3">
      <c r="A10391" s="66"/>
      <c r="B10391" s="67"/>
      <c r="C10391" s="66"/>
      <c r="D10391" s="68"/>
      <c r="E10391" s="10"/>
      <c r="F10391" s="69"/>
      <c r="G10391" s="68"/>
      <c r="H10391" s="70"/>
      <c r="BA10391" s="4"/>
      <c r="BB10391" s="4"/>
    </row>
    <row r="10392" spans="1:54" x14ac:dyDescent="0.3">
      <c r="A10392" s="66"/>
      <c r="B10392" s="67"/>
      <c r="C10392" s="66"/>
      <c r="D10392" s="68"/>
      <c r="E10392" s="10"/>
      <c r="F10392" s="69"/>
      <c r="G10392" s="68"/>
      <c r="H10392" s="70"/>
      <c r="BA10392" s="4"/>
      <c r="BB10392" s="4"/>
    </row>
    <row r="10393" spans="1:54" x14ac:dyDescent="0.3">
      <c r="A10393" s="66"/>
      <c r="B10393" s="67"/>
      <c r="C10393" s="66"/>
      <c r="D10393" s="68"/>
      <c r="E10393" s="10"/>
      <c r="F10393" s="69"/>
      <c r="G10393" s="68"/>
      <c r="H10393" s="70"/>
      <c r="BA10393" s="4"/>
      <c r="BB10393" s="4"/>
    </row>
    <row r="10394" spans="1:54" x14ac:dyDescent="0.3">
      <c r="A10394" s="66"/>
      <c r="B10394" s="67"/>
      <c r="C10394" s="66"/>
      <c r="D10394" s="68"/>
      <c r="E10394" s="10"/>
      <c r="F10394" s="69"/>
      <c r="G10394" s="68"/>
      <c r="H10394" s="70"/>
      <c r="BA10394" s="4"/>
      <c r="BB10394" s="4"/>
    </row>
    <row r="10395" spans="1:54" x14ac:dyDescent="0.3">
      <c r="A10395" s="66"/>
      <c r="B10395" s="67"/>
      <c r="C10395" s="66"/>
      <c r="D10395" s="68"/>
      <c r="E10395" s="10"/>
      <c r="F10395" s="69"/>
      <c r="G10395" s="68"/>
      <c r="H10395" s="70"/>
      <c r="BA10395" s="4"/>
      <c r="BB10395" s="4"/>
    </row>
    <row r="10396" spans="1:54" x14ac:dyDescent="0.3">
      <c r="A10396" s="66"/>
      <c r="B10396" s="67"/>
      <c r="C10396" s="66"/>
      <c r="D10396" s="68"/>
      <c r="E10396" s="10"/>
      <c r="F10396" s="69"/>
      <c r="G10396" s="68"/>
      <c r="H10396" s="70"/>
      <c r="BA10396" s="4"/>
      <c r="BB10396" s="4"/>
    </row>
    <row r="10397" spans="1:54" x14ac:dyDescent="0.3">
      <c r="A10397" s="66"/>
      <c r="B10397" s="67"/>
      <c r="C10397" s="66"/>
      <c r="D10397" s="68"/>
      <c r="E10397" s="10"/>
      <c r="F10397" s="69"/>
      <c r="G10397" s="68"/>
      <c r="H10397" s="70"/>
      <c r="BA10397" s="4"/>
      <c r="BB10397" s="4"/>
    </row>
    <row r="10398" spans="1:54" x14ac:dyDescent="0.3">
      <c r="A10398" s="66"/>
      <c r="B10398" s="67"/>
      <c r="C10398" s="66"/>
      <c r="D10398" s="68"/>
      <c r="E10398" s="10"/>
      <c r="F10398" s="69"/>
      <c r="G10398" s="68"/>
      <c r="H10398" s="70"/>
      <c r="BA10398" s="4"/>
      <c r="BB10398" s="4"/>
    </row>
    <row r="10399" spans="1:54" x14ac:dyDescent="0.3">
      <c r="A10399" s="66"/>
      <c r="B10399" s="67"/>
      <c r="C10399" s="66"/>
      <c r="D10399" s="68"/>
      <c r="E10399" s="10"/>
      <c r="F10399" s="69"/>
      <c r="G10399" s="68"/>
      <c r="H10399" s="70"/>
      <c r="BA10399" s="4"/>
      <c r="BB10399" s="4"/>
    </row>
    <row r="10400" spans="1:54" x14ac:dyDescent="0.3">
      <c r="A10400" s="66"/>
      <c r="B10400" s="67"/>
      <c r="C10400" s="66"/>
      <c r="D10400" s="68"/>
      <c r="E10400" s="10"/>
      <c r="F10400" s="69"/>
      <c r="G10400" s="68"/>
      <c r="H10400" s="70"/>
      <c r="BA10400" s="4"/>
      <c r="BB10400" s="4"/>
    </row>
    <row r="10401" spans="1:54" x14ac:dyDescent="0.3">
      <c r="A10401" s="66"/>
      <c r="B10401" s="67"/>
      <c r="C10401" s="66"/>
      <c r="D10401" s="68"/>
      <c r="E10401" s="10"/>
      <c r="F10401" s="69"/>
      <c r="G10401" s="68"/>
      <c r="H10401" s="70"/>
      <c r="BA10401" s="4"/>
      <c r="BB10401" s="4"/>
    </row>
    <row r="10402" spans="1:54" x14ac:dyDescent="0.3">
      <c r="A10402" s="66"/>
      <c r="B10402" s="67"/>
      <c r="C10402" s="66"/>
      <c r="D10402" s="68"/>
      <c r="E10402" s="10"/>
      <c r="F10402" s="69"/>
      <c r="G10402" s="68"/>
      <c r="H10402" s="70"/>
      <c r="BA10402" s="4"/>
      <c r="BB10402" s="4"/>
    </row>
    <row r="10403" spans="1:54" x14ac:dyDescent="0.3">
      <c r="A10403" s="66"/>
      <c r="B10403" s="67"/>
      <c r="C10403" s="66"/>
      <c r="D10403" s="68"/>
      <c r="E10403" s="10"/>
      <c r="F10403" s="69"/>
      <c r="G10403" s="68"/>
      <c r="H10403" s="70"/>
      <c r="BA10403" s="4"/>
      <c r="BB10403" s="4"/>
    </row>
    <row r="10404" spans="1:54" x14ac:dyDescent="0.3">
      <c r="A10404" s="66"/>
      <c r="B10404" s="67"/>
      <c r="C10404" s="66"/>
      <c r="D10404" s="68"/>
      <c r="E10404" s="10"/>
      <c r="F10404" s="69"/>
      <c r="G10404" s="68"/>
      <c r="H10404" s="70"/>
      <c r="BA10404" s="4"/>
      <c r="BB10404" s="4"/>
    </row>
    <row r="10405" spans="1:54" x14ac:dyDescent="0.3">
      <c r="A10405" s="66"/>
      <c r="B10405" s="67"/>
      <c r="C10405" s="66"/>
      <c r="D10405" s="68"/>
      <c r="E10405" s="10"/>
      <c r="F10405" s="69"/>
      <c r="G10405" s="68"/>
      <c r="H10405" s="70"/>
      <c r="BA10405" s="4"/>
      <c r="BB10405" s="4"/>
    </row>
    <row r="10406" spans="1:54" x14ac:dyDescent="0.3">
      <c r="A10406" s="66"/>
      <c r="B10406" s="67"/>
      <c r="C10406" s="66"/>
      <c r="D10406" s="68"/>
      <c r="E10406" s="10"/>
      <c r="F10406" s="69"/>
      <c r="G10406" s="68"/>
      <c r="H10406" s="70"/>
      <c r="BA10406" s="4"/>
      <c r="BB10406" s="4"/>
    </row>
    <row r="10407" spans="1:54" x14ac:dyDescent="0.3">
      <c r="A10407" s="66"/>
      <c r="B10407" s="67"/>
      <c r="C10407" s="66"/>
      <c r="D10407" s="68"/>
      <c r="E10407" s="10"/>
      <c r="F10407" s="69"/>
      <c r="G10407" s="68"/>
      <c r="H10407" s="70"/>
      <c r="BA10407" s="4"/>
      <c r="BB10407" s="4"/>
    </row>
    <row r="10408" spans="1:54" x14ac:dyDescent="0.3">
      <c r="A10408" s="66"/>
      <c r="B10408" s="67"/>
      <c r="C10408" s="66"/>
      <c r="D10408" s="68"/>
      <c r="E10408" s="10"/>
      <c r="F10408" s="69"/>
      <c r="G10408" s="68"/>
      <c r="H10408" s="70"/>
      <c r="BA10408" s="4"/>
      <c r="BB10408" s="4"/>
    </row>
    <row r="10409" spans="1:54" x14ac:dyDescent="0.3">
      <c r="A10409" s="66"/>
      <c r="B10409" s="67"/>
      <c r="C10409" s="66"/>
      <c r="D10409" s="68"/>
      <c r="E10409" s="10"/>
      <c r="F10409" s="69"/>
      <c r="G10409" s="68"/>
      <c r="H10409" s="70"/>
      <c r="BA10409" s="4"/>
      <c r="BB10409" s="4"/>
    </row>
    <row r="10410" spans="1:54" x14ac:dyDescent="0.3">
      <c r="A10410" s="66"/>
      <c r="B10410" s="67"/>
      <c r="C10410" s="66"/>
      <c r="D10410" s="68"/>
      <c r="E10410" s="10"/>
      <c r="F10410" s="69"/>
      <c r="G10410" s="68"/>
      <c r="H10410" s="70"/>
      <c r="BA10410" s="4"/>
      <c r="BB10410" s="4"/>
    </row>
    <row r="10411" spans="1:54" x14ac:dyDescent="0.3">
      <c r="A10411" s="66"/>
      <c r="B10411" s="67"/>
      <c r="C10411" s="66"/>
      <c r="D10411" s="68"/>
      <c r="E10411" s="10"/>
      <c r="F10411" s="69"/>
      <c r="G10411" s="68"/>
      <c r="H10411" s="70"/>
      <c r="BA10411" s="4"/>
      <c r="BB10411" s="4"/>
    </row>
    <row r="10412" spans="1:54" x14ac:dyDescent="0.3">
      <c r="A10412" s="66"/>
      <c r="B10412" s="67"/>
      <c r="C10412" s="66"/>
      <c r="D10412" s="68"/>
      <c r="E10412" s="10"/>
      <c r="F10412" s="69"/>
      <c r="G10412" s="68"/>
      <c r="H10412" s="70"/>
      <c r="BA10412" s="4"/>
      <c r="BB10412" s="4"/>
    </row>
    <row r="10413" spans="1:54" x14ac:dyDescent="0.3">
      <c r="A10413" s="66"/>
      <c r="B10413" s="67"/>
      <c r="C10413" s="66"/>
      <c r="D10413" s="68"/>
      <c r="E10413" s="10"/>
      <c r="F10413" s="69"/>
      <c r="G10413" s="68"/>
      <c r="H10413" s="70"/>
      <c r="BA10413" s="4"/>
      <c r="BB10413" s="4"/>
    </row>
    <row r="10414" spans="1:54" x14ac:dyDescent="0.3">
      <c r="A10414" s="66"/>
      <c r="B10414" s="67"/>
      <c r="C10414" s="66"/>
      <c r="D10414" s="68"/>
      <c r="E10414" s="10"/>
      <c r="F10414" s="69"/>
      <c r="G10414" s="68"/>
      <c r="H10414" s="70"/>
      <c r="BA10414" s="4"/>
      <c r="BB10414" s="4"/>
    </row>
    <row r="10415" spans="1:54" x14ac:dyDescent="0.3">
      <c r="A10415" s="66"/>
      <c r="B10415" s="67"/>
      <c r="C10415" s="66"/>
      <c r="D10415" s="68"/>
      <c r="E10415" s="10"/>
      <c r="F10415" s="69"/>
      <c r="G10415" s="68"/>
      <c r="H10415" s="70"/>
      <c r="BA10415" s="4"/>
      <c r="BB10415" s="4"/>
    </row>
    <row r="10416" spans="1:54" x14ac:dyDescent="0.3">
      <c r="A10416" s="66"/>
      <c r="B10416" s="67"/>
      <c r="C10416" s="66"/>
      <c r="D10416" s="68"/>
      <c r="E10416" s="10"/>
      <c r="F10416" s="69"/>
      <c r="G10416" s="68"/>
      <c r="H10416" s="70"/>
      <c r="BA10416" s="4"/>
      <c r="BB10416" s="4"/>
    </row>
    <row r="10417" spans="1:54" x14ac:dyDescent="0.3">
      <c r="A10417" s="66"/>
      <c r="B10417" s="67"/>
      <c r="C10417" s="66"/>
      <c r="D10417" s="68"/>
      <c r="E10417" s="10"/>
      <c r="F10417" s="69"/>
      <c r="G10417" s="68"/>
      <c r="H10417" s="70"/>
      <c r="BA10417" s="4"/>
      <c r="BB10417" s="4"/>
    </row>
    <row r="10418" spans="1:54" x14ac:dyDescent="0.3">
      <c r="A10418" s="66"/>
      <c r="B10418" s="67"/>
      <c r="C10418" s="66"/>
      <c r="D10418" s="68"/>
      <c r="E10418" s="10"/>
      <c r="F10418" s="69"/>
      <c r="G10418" s="68"/>
      <c r="H10418" s="70"/>
      <c r="BA10418" s="4"/>
      <c r="BB10418" s="4"/>
    </row>
    <row r="10419" spans="1:54" x14ac:dyDescent="0.3">
      <c r="A10419" s="66"/>
      <c r="B10419" s="67"/>
      <c r="C10419" s="66"/>
      <c r="D10419" s="68"/>
      <c r="E10419" s="10"/>
      <c r="F10419" s="69"/>
      <c r="G10419" s="68"/>
      <c r="H10419" s="70"/>
      <c r="BA10419" s="4"/>
      <c r="BB10419" s="4"/>
    </row>
    <row r="10420" spans="1:54" x14ac:dyDescent="0.3">
      <c r="A10420" s="66"/>
      <c r="B10420" s="67"/>
      <c r="C10420" s="66"/>
      <c r="D10420" s="68"/>
      <c r="E10420" s="10"/>
      <c r="F10420" s="69"/>
      <c r="G10420" s="68"/>
      <c r="H10420" s="70"/>
      <c r="BA10420" s="4"/>
      <c r="BB10420" s="4"/>
    </row>
    <row r="10421" spans="1:54" x14ac:dyDescent="0.3">
      <c r="A10421" s="66"/>
      <c r="B10421" s="67"/>
      <c r="C10421" s="66"/>
      <c r="D10421" s="68"/>
      <c r="E10421" s="10"/>
      <c r="F10421" s="69"/>
      <c r="G10421" s="68"/>
      <c r="H10421" s="70"/>
      <c r="BA10421" s="4"/>
      <c r="BB10421" s="4"/>
    </row>
    <row r="10422" spans="1:54" x14ac:dyDescent="0.3">
      <c r="A10422" s="66"/>
      <c r="B10422" s="67"/>
      <c r="C10422" s="66"/>
      <c r="D10422" s="68"/>
      <c r="E10422" s="10"/>
      <c r="F10422" s="69"/>
      <c r="G10422" s="68"/>
      <c r="H10422" s="70"/>
      <c r="BA10422" s="4"/>
      <c r="BB10422" s="4"/>
    </row>
    <row r="10423" spans="1:54" x14ac:dyDescent="0.3">
      <c r="A10423" s="66"/>
      <c r="B10423" s="67"/>
      <c r="C10423" s="66"/>
      <c r="D10423" s="68"/>
      <c r="E10423" s="10"/>
      <c r="F10423" s="69"/>
      <c r="G10423" s="68"/>
      <c r="H10423" s="70"/>
      <c r="BA10423" s="4"/>
      <c r="BB10423" s="4"/>
    </row>
    <row r="10424" spans="1:54" x14ac:dyDescent="0.3">
      <c r="A10424" s="66"/>
      <c r="B10424" s="67"/>
      <c r="C10424" s="66"/>
      <c r="D10424" s="68"/>
      <c r="E10424" s="10"/>
      <c r="F10424" s="69"/>
      <c r="G10424" s="68"/>
      <c r="H10424" s="70"/>
      <c r="BA10424" s="4"/>
      <c r="BB10424" s="4"/>
    </row>
    <row r="10425" spans="1:54" x14ac:dyDescent="0.3">
      <c r="A10425" s="66"/>
      <c r="B10425" s="67"/>
      <c r="C10425" s="66"/>
      <c r="D10425" s="68"/>
      <c r="E10425" s="10"/>
      <c r="F10425" s="69"/>
      <c r="G10425" s="68"/>
      <c r="H10425" s="70"/>
      <c r="BA10425" s="4"/>
      <c r="BB10425" s="4"/>
    </row>
    <row r="10426" spans="1:54" x14ac:dyDescent="0.3">
      <c r="A10426" s="66"/>
      <c r="B10426" s="67"/>
      <c r="C10426" s="66"/>
      <c r="D10426" s="68"/>
      <c r="E10426" s="10"/>
      <c r="F10426" s="69"/>
      <c r="G10426" s="68"/>
      <c r="H10426" s="70"/>
      <c r="BA10426" s="4"/>
      <c r="BB10426" s="4"/>
    </row>
    <row r="10427" spans="1:54" x14ac:dyDescent="0.3">
      <c r="A10427" s="66"/>
      <c r="B10427" s="67"/>
      <c r="C10427" s="66"/>
      <c r="D10427" s="68"/>
      <c r="E10427" s="10"/>
      <c r="F10427" s="69"/>
      <c r="G10427" s="68"/>
      <c r="H10427" s="70"/>
      <c r="BA10427" s="4"/>
      <c r="BB10427" s="4"/>
    </row>
    <row r="10428" spans="1:54" x14ac:dyDescent="0.3">
      <c r="A10428" s="66"/>
      <c r="B10428" s="67"/>
      <c r="C10428" s="66"/>
      <c r="D10428" s="68"/>
      <c r="E10428" s="10"/>
      <c r="F10428" s="69"/>
      <c r="G10428" s="68"/>
      <c r="H10428" s="70"/>
      <c r="BA10428" s="4"/>
      <c r="BB10428" s="4"/>
    </row>
    <row r="10429" spans="1:54" x14ac:dyDescent="0.3">
      <c r="A10429" s="66"/>
      <c r="B10429" s="67"/>
      <c r="C10429" s="66"/>
      <c r="D10429" s="68"/>
      <c r="E10429" s="10"/>
      <c r="F10429" s="69"/>
      <c r="G10429" s="68"/>
      <c r="H10429" s="70"/>
      <c r="BA10429" s="4"/>
      <c r="BB10429" s="4"/>
    </row>
    <row r="10430" spans="1:54" x14ac:dyDescent="0.3">
      <c r="A10430" s="66"/>
      <c r="B10430" s="67"/>
      <c r="C10430" s="66"/>
      <c r="D10430" s="68"/>
      <c r="E10430" s="10"/>
      <c r="F10430" s="69"/>
      <c r="G10430" s="68"/>
      <c r="H10430" s="70"/>
      <c r="BA10430" s="4"/>
      <c r="BB10430" s="4"/>
    </row>
    <row r="10431" spans="1:54" x14ac:dyDescent="0.3">
      <c r="A10431" s="66"/>
      <c r="B10431" s="67"/>
      <c r="C10431" s="66"/>
      <c r="D10431" s="68"/>
      <c r="E10431" s="10"/>
      <c r="F10431" s="69"/>
      <c r="G10431" s="68"/>
      <c r="H10431" s="70"/>
      <c r="BA10431" s="4"/>
      <c r="BB10431" s="4"/>
    </row>
    <row r="10432" spans="1:54" x14ac:dyDescent="0.3">
      <c r="A10432" s="66"/>
      <c r="B10432" s="67"/>
      <c r="C10432" s="66"/>
      <c r="D10432" s="68"/>
      <c r="E10432" s="10"/>
      <c r="F10432" s="69"/>
      <c r="G10432" s="68"/>
      <c r="H10432" s="70"/>
      <c r="BA10432" s="4"/>
      <c r="BB10432" s="4"/>
    </row>
    <row r="10433" spans="1:54" x14ac:dyDescent="0.3">
      <c r="A10433" s="66"/>
      <c r="B10433" s="67"/>
      <c r="C10433" s="66"/>
      <c r="D10433" s="68"/>
      <c r="E10433" s="10"/>
      <c r="F10433" s="69"/>
      <c r="G10433" s="68"/>
      <c r="H10433" s="70"/>
      <c r="BA10433" s="4"/>
      <c r="BB10433" s="4"/>
    </row>
    <row r="10434" spans="1:54" x14ac:dyDescent="0.3">
      <c r="A10434" s="66"/>
      <c r="B10434" s="67"/>
      <c r="C10434" s="66"/>
      <c r="D10434" s="68"/>
      <c r="E10434" s="10"/>
      <c r="F10434" s="69"/>
      <c r="G10434" s="68"/>
      <c r="H10434" s="70"/>
      <c r="BA10434" s="4"/>
      <c r="BB10434" s="4"/>
    </row>
    <row r="10435" spans="1:54" x14ac:dyDescent="0.3">
      <c r="A10435" s="66"/>
      <c r="B10435" s="67"/>
      <c r="C10435" s="66"/>
      <c r="D10435" s="68"/>
      <c r="E10435" s="10"/>
      <c r="F10435" s="69"/>
      <c r="G10435" s="68"/>
      <c r="H10435" s="70"/>
      <c r="BA10435" s="4"/>
      <c r="BB10435" s="4"/>
    </row>
    <row r="10436" spans="1:54" x14ac:dyDescent="0.3">
      <c r="A10436" s="66"/>
      <c r="B10436" s="67"/>
      <c r="C10436" s="66"/>
      <c r="D10436" s="68"/>
      <c r="E10436" s="10"/>
      <c r="F10436" s="69"/>
      <c r="G10436" s="68"/>
      <c r="H10436" s="70"/>
      <c r="BA10436" s="4"/>
      <c r="BB10436" s="4"/>
    </row>
    <row r="10437" spans="1:54" x14ac:dyDescent="0.3">
      <c r="A10437" s="66"/>
      <c r="B10437" s="67"/>
      <c r="C10437" s="66"/>
      <c r="D10437" s="68"/>
      <c r="E10437" s="10"/>
      <c r="F10437" s="69"/>
      <c r="G10437" s="68"/>
      <c r="H10437" s="70"/>
      <c r="BA10437" s="4"/>
      <c r="BB10437" s="4"/>
    </row>
    <row r="10438" spans="1:54" x14ac:dyDescent="0.3">
      <c r="A10438" s="66"/>
      <c r="B10438" s="67"/>
      <c r="C10438" s="66"/>
      <c r="D10438" s="68"/>
      <c r="E10438" s="10"/>
      <c r="F10438" s="69"/>
      <c r="G10438" s="68"/>
      <c r="H10438" s="70"/>
      <c r="BA10438" s="4"/>
      <c r="BB10438" s="4"/>
    </row>
    <row r="10439" spans="1:54" x14ac:dyDescent="0.3">
      <c r="A10439" s="66"/>
      <c r="B10439" s="67"/>
      <c r="C10439" s="66"/>
      <c r="D10439" s="68"/>
      <c r="E10439" s="10"/>
      <c r="F10439" s="69"/>
      <c r="G10439" s="68"/>
      <c r="H10439" s="70"/>
      <c r="BA10439" s="4"/>
      <c r="BB10439" s="4"/>
    </row>
    <row r="10440" spans="1:54" x14ac:dyDescent="0.3">
      <c r="A10440" s="66"/>
      <c r="B10440" s="67"/>
      <c r="C10440" s="66"/>
      <c r="D10440" s="68"/>
      <c r="E10440" s="10"/>
      <c r="F10440" s="69"/>
      <c r="G10440" s="68"/>
      <c r="H10440" s="70"/>
      <c r="BA10440" s="4"/>
      <c r="BB10440" s="4"/>
    </row>
    <row r="10441" spans="1:54" x14ac:dyDescent="0.3">
      <c r="A10441" s="66"/>
      <c r="B10441" s="67"/>
      <c r="C10441" s="66"/>
      <c r="D10441" s="68"/>
      <c r="E10441" s="10"/>
      <c r="F10441" s="69"/>
      <c r="G10441" s="68"/>
      <c r="H10441" s="70"/>
      <c r="BA10441" s="4"/>
      <c r="BB10441" s="4"/>
    </row>
    <row r="10442" spans="1:54" x14ac:dyDescent="0.3">
      <c r="A10442" s="66"/>
      <c r="B10442" s="67"/>
      <c r="C10442" s="66"/>
      <c r="D10442" s="68"/>
      <c r="E10442" s="10"/>
      <c r="F10442" s="69"/>
      <c r="G10442" s="68"/>
      <c r="H10442" s="70"/>
      <c r="BA10442" s="4"/>
      <c r="BB10442" s="4"/>
    </row>
    <row r="10443" spans="1:54" x14ac:dyDescent="0.3">
      <c r="A10443" s="66"/>
      <c r="B10443" s="67"/>
      <c r="C10443" s="66"/>
      <c r="D10443" s="68"/>
      <c r="E10443" s="10"/>
      <c r="F10443" s="69"/>
      <c r="G10443" s="68"/>
      <c r="H10443" s="70"/>
      <c r="BA10443" s="4"/>
      <c r="BB10443" s="4"/>
    </row>
    <row r="10444" spans="1:54" x14ac:dyDescent="0.3">
      <c r="A10444" s="66"/>
      <c r="B10444" s="67"/>
      <c r="C10444" s="66"/>
      <c r="D10444" s="68"/>
      <c r="E10444" s="10"/>
      <c r="F10444" s="69"/>
      <c r="G10444" s="68"/>
      <c r="H10444" s="70"/>
      <c r="BA10444" s="4"/>
      <c r="BB10444" s="4"/>
    </row>
    <row r="10445" spans="1:54" x14ac:dyDescent="0.3">
      <c r="A10445" s="66"/>
      <c r="B10445" s="67"/>
      <c r="C10445" s="66"/>
      <c r="D10445" s="68"/>
      <c r="E10445" s="10"/>
      <c r="F10445" s="69"/>
      <c r="G10445" s="68"/>
      <c r="H10445" s="70"/>
      <c r="BA10445" s="4"/>
      <c r="BB10445" s="4"/>
    </row>
    <row r="10446" spans="1:54" x14ac:dyDescent="0.3">
      <c r="A10446" s="66"/>
      <c r="B10446" s="67"/>
      <c r="C10446" s="66"/>
      <c r="D10446" s="68"/>
      <c r="E10446" s="10"/>
      <c r="F10446" s="69"/>
      <c r="G10446" s="68"/>
      <c r="H10446" s="70"/>
      <c r="BA10446" s="4"/>
      <c r="BB10446" s="4"/>
    </row>
    <row r="10447" spans="1:54" x14ac:dyDescent="0.3">
      <c r="A10447" s="66"/>
      <c r="B10447" s="67"/>
      <c r="C10447" s="66"/>
      <c r="D10447" s="68"/>
      <c r="E10447" s="10"/>
      <c r="F10447" s="69"/>
      <c r="G10447" s="68"/>
      <c r="H10447" s="70"/>
      <c r="BA10447" s="4"/>
      <c r="BB10447" s="4"/>
    </row>
    <row r="10448" spans="1:54" x14ac:dyDescent="0.3">
      <c r="A10448" s="66"/>
      <c r="B10448" s="67"/>
      <c r="C10448" s="66"/>
      <c r="D10448" s="68"/>
      <c r="E10448" s="10"/>
      <c r="F10448" s="69"/>
      <c r="G10448" s="68"/>
      <c r="H10448" s="70"/>
      <c r="BA10448" s="4"/>
      <c r="BB10448" s="4"/>
    </row>
    <row r="10449" spans="1:54" x14ac:dyDescent="0.3">
      <c r="A10449" s="66"/>
      <c r="B10449" s="67"/>
      <c r="C10449" s="66"/>
      <c r="D10449" s="68"/>
      <c r="E10449" s="10"/>
      <c r="F10449" s="69"/>
      <c r="G10449" s="68"/>
      <c r="H10449" s="70"/>
      <c r="BA10449" s="4"/>
      <c r="BB10449" s="4"/>
    </row>
    <row r="10450" spans="1:54" x14ac:dyDescent="0.3">
      <c r="A10450" s="66"/>
      <c r="B10450" s="67"/>
      <c r="C10450" s="66"/>
      <c r="D10450" s="68"/>
      <c r="E10450" s="10"/>
      <c r="F10450" s="69"/>
      <c r="G10450" s="68"/>
      <c r="H10450" s="70"/>
      <c r="BA10450" s="4"/>
      <c r="BB10450" s="4"/>
    </row>
    <row r="10451" spans="1:54" x14ac:dyDescent="0.3">
      <c r="A10451" s="66"/>
      <c r="B10451" s="67"/>
      <c r="C10451" s="66"/>
      <c r="D10451" s="68"/>
      <c r="E10451" s="10"/>
      <c r="F10451" s="69"/>
      <c r="G10451" s="68"/>
      <c r="H10451" s="70"/>
      <c r="BA10451" s="4"/>
      <c r="BB10451" s="4"/>
    </row>
    <row r="10452" spans="1:54" x14ac:dyDescent="0.3">
      <c r="A10452" s="66"/>
      <c r="B10452" s="67"/>
      <c r="C10452" s="66"/>
      <c r="D10452" s="68"/>
      <c r="E10452" s="10"/>
      <c r="F10452" s="69"/>
      <c r="G10452" s="68"/>
      <c r="H10452" s="70"/>
      <c r="BA10452" s="4"/>
      <c r="BB10452" s="4"/>
    </row>
    <row r="10453" spans="1:54" x14ac:dyDescent="0.3">
      <c r="A10453" s="66"/>
      <c r="B10453" s="67"/>
      <c r="C10453" s="66"/>
      <c r="D10453" s="68"/>
      <c r="E10453" s="10"/>
      <c r="F10453" s="69"/>
      <c r="G10453" s="68"/>
      <c r="H10453" s="70"/>
      <c r="BA10453" s="4"/>
      <c r="BB10453" s="4"/>
    </row>
    <row r="10454" spans="1:54" x14ac:dyDescent="0.3">
      <c r="A10454" s="66"/>
      <c r="B10454" s="67"/>
      <c r="C10454" s="66"/>
      <c r="D10454" s="68"/>
      <c r="E10454" s="10"/>
      <c r="F10454" s="69"/>
      <c r="G10454" s="68"/>
      <c r="H10454" s="70"/>
      <c r="BA10454" s="4"/>
      <c r="BB10454" s="4"/>
    </row>
    <row r="10455" spans="1:54" x14ac:dyDescent="0.3">
      <c r="A10455" s="66"/>
      <c r="B10455" s="67"/>
      <c r="C10455" s="66"/>
      <c r="D10455" s="68"/>
      <c r="E10455" s="10"/>
      <c r="F10455" s="69"/>
      <c r="G10455" s="68"/>
      <c r="H10455" s="70"/>
      <c r="BA10455" s="4"/>
      <c r="BB10455" s="4"/>
    </row>
    <row r="10456" spans="1:54" x14ac:dyDescent="0.3">
      <c r="A10456" s="66"/>
      <c r="B10456" s="67"/>
      <c r="C10456" s="66"/>
      <c r="D10456" s="68"/>
      <c r="E10456" s="10"/>
      <c r="F10456" s="69"/>
      <c r="G10456" s="68"/>
      <c r="H10456" s="70"/>
      <c r="BA10456" s="4"/>
      <c r="BB10456" s="4"/>
    </row>
    <row r="10457" spans="1:54" x14ac:dyDescent="0.3">
      <c r="A10457" s="66"/>
      <c r="B10457" s="67"/>
      <c r="C10457" s="66"/>
      <c r="D10457" s="68"/>
      <c r="E10457" s="10"/>
      <c r="F10457" s="69"/>
      <c r="G10457" s="68"/>
      <c r="H10457" s="70"/>
      <c r="BA10457" s="4"/>
      <c r="BB10457" s="4"/>
    </row>
    <row r="10458" spans="1:54" x14ac:dyDescent="0.3">
      <c r="A10458" s="66"/>
      <c r="B10458" s="67"/>
      <c r="C10458" s="66"/>
      <c r="D10458" s="68"/>
      <c r="E10458" s="10"/>
      <c r="F10458" s="69"/>
      <c r="G10458" s="68"/>
      <c r="H10458" s="70"/>
      <c r="BA10458" s="4"/>
      <c r="BB10458" s="4"/>
    </row>
    <row r="10459" spans="1:54" x14ac:dyDescent="0.3">
      <c r="A10459" s="66"/>
      <c r="B10459" s="67"/>
      <c r="C10459" s="66"/>
      <c r="D10459" s="68"/>
      <c r="E10459" s="10"/>
      <c r="F10459" s="69"/>
      <c r="G10459" s="68"/>
      <c r="H10459" s="70"/>
      <c r="BA10459" s="4"/>
      <c r="BB10459" s="4"/>
    </row>
    <row r="10460" spans="1:54" x14ac:dyDescent="0.3">
      <c r="A10460" s="66"/>
      <c r="B10460" s="67"/>
      <c r="C10460" s="66"/>
      <c r="D10460" s="68"/>
      <c r="E10460" s="10"/>
      <c r="F10460" s="69"/>
      <c r="G10460" s="68"/>
      <c r="H10460" s="70"/>
      <c r="BA10460" s="4"/>
      <c r="BB10460" s="4"/>
    </row>
    <row r="10461" spans="1:54" x14ac:dyDescent="0.3">
      <c r="A10461" s="66"/>
      <c r="B10461" s="67"/>
      <c r="C10461" s="66"/>
      <c r="D10461" s="68"/>
      <c r="E10461" s="10"/>
      <c r="F10461" s="69"/>
      <c r="G10461" s="68"/>
      <c r="H10461" s="70"/>
      <c r="BA10461" s="4"/>
      <c r="BB10461" s="4"/>
    </row>
    <row r="10462" spans="1:54" x14ac:dyDescent="0.3">
      <c r="A10462" s="66"/>
      <c r="B10462" s="67"/>
      <c r="C10462" s="66"/>
      <c r="D10462" s="68"/>
      <c r="E10462" s="10"/>
      <c r="F10462" s="69"/>
      <c r="G10462" s="68"/>
      <c r="H10462" s="70"/>
      <c r="BA10462" s="4"/>
      <c r="BB10462" s="4"/>
    </row>
    <row r="10463" spans="1:54" x14ac:dyDescent="0.3">
      <c r="A10463" s="66"/>
      <c r="B10463" s="67"/>
      <c r="C10463" s="66"/>
      <c r="D10463" s="68"/>
      <c r="E10463" s="10"/>
      <c r="F10463" s="69"/>
      <c r="G10463" s="68"/>
      <c r="H10463" s="70"/>
      <c r="BA10463" s="4"/>
      <c r="BB10463" s="4"/>
    </row>
    <row r="10464" spans="1:54" x14ac:dyDescent="0.3">
      <c r="A10464" s="66"/>
      <c r="B10464" s="67"/>
      <c r="C10464" s="66"/>
      <c r="D10464" s="68"/>
      <c r="E10464" s="10"/>
      <c r="F10464" s="69"/>
      <c r="G10464" s="68"/>
      <c r="H10464" s="70"/>
      <c r="BA10464" s="4"/>
      <c r="BB10464" s="4"/>
    </row>
    <row r="10465" spans="1:54" x14ac:dyDescent="0.3">
      <c r="A10465" s="66"/>
      <c r="B10465" s="67"/>
      <c r="C10465" s="66"/>
      <c r="D10465" s="68"/>
      <c r="E10465" s="10"/>
      <c r="F10465" s="69"/>
      <c r="G10465" s="68"/>
      <c r="H10465" s="70"/>
      <c r="BA10465" s="4"/>
      <c r="BB10465" s="4"/>
    </row>
    <row r="10466" spans="1:54" x14ac:dyDescent="0.3">
      <c r="A10466" s="66"/>
      <c r="B10466" s="67"/>
      <c r="C10466" s="66"/>
      <c r="D10466" s="68"/>
      <c r="E10466" s="10"/>
      <c r="F10466" s="69"/>
      <c r="G10466" s="68"/>
      <c r="H10466" s="70"/>
      <c r="BA10466" s="4"/>
      <c r="BB10466" s="4"/>
    </row>
    <row r="10467" spans="1:54" x14ac:dyDescent="0.3">
      <c r="A10467" s="66"/>
      <c r="B10467" s="67"/>
      <c r="C10467" s="66"/>
      <c r="D10467" s="68"/>
      <c r="E10467" s="10"/>
      <c r="F10467" s="69"/>
      <c r="G10467" s="68"/>
      <c r="H10467" s="70"/>
      <c r="BA10467" s="4"/>
      <c r="BB10467" s="4"/>
    </row>
    <row r="10468" spans="1:54" x14ac:dyDescent="0.3">
      <c r="A10468" s="66"/>
      <c r="B10468" s="67"/>
      <c r="C10468" s="66"/>
      <c r="D10468" s="68"/>
      <c r="E10468" s="10"/>
      <c r="F10468" s="69"/>
      <c r="G10468" s="68"/>
      <c r="H10468" s="70"/>
      <c r="BA10468" s="4"/>
      <c r="BB10468" s="4"/>
    </row>
    <row r="10469" spans="1:54" x14ac:dyDescent="0.3">
      <c r="A10469" s="66"/>
      <c r="B10469" s="67"/>
      <c r="C10469" s="66"/>
      <c r="D10469" s="68"/>
      <c r="E10469" s="10"/>
      <c r="F10469" s="69"/>
      <c r="G10469" s="68"/>
      <c r="H10469" s="70"/>
      <c r="BA10469" s="4"/>
      <c r="BB10469" s="4"/>
    </row>
    <row r="10470" spans="1:54" x14ac:dyDescent="0.3">
      <c r="A10470" s="66"/>
      <c r="B10470" s="67"/>
      <c r="C10470" s="66"/>
      <c r="D10470" s="68"/>
      <c r="E10470" s="10"/>
      <c r="F10470" s="69"/>
      <c r="G10470" s="68"/>
      <c r="H10470" s="70"/>
      <c r="BA10470" s="4"/>
      <c r="BB10470" s="4"/>
    </row>
    <row r="10471" spans="1:54" x14ac:dyDescent="0.3">
      <c r="A10471" s="66"/>
      <c r="B10471" s="67"/>
      <c r="C10471" s="66"/>
      <c r="D10471" s="68"/>
      <c r="E10471" s="10"/>
      <c r="F10471" s="69"/>
      <c r="G10471" s="68"/>
      <c r="H10471" s="70"/>
      <c r="BA10471" s="4"/>
      <c r="BB10471" s="4"/>
    </row>
    <row r="10472" spans="1:54" x14ac:dyDescent="0.3">
      <c r="A10472" s="66"/>
      <c r="B10472" s="67"/>
      <c r="C10472" s="66"/>
      <c r="D10472" s="68"/>
      <c r="E10472" s="10"/>
      <c r="F10472" s="69"/>
      <c r="G10472" s="68"/>
      <c r="H10472" s="70"/>
      <c r="BA10472" s="4"/>
      <c r="BB10472" s="4"/>
    </row>
    <row r="10473" spans="1:54" x14ac:dyDescent="0.3">
      <c r="A10473" s="66"/>
      <c r="B10473" s="67"/>
      <c r="C10473" s="66"/>
      <c r="D10473" s="68"/>
      <c r="E10473" s="10"/>
      <c r="F10473" s="69"/>
      <c r="G10473" s="68"/>
      <c r="H10473" s="70"/>
      <c r="BA10473" s="4"/>
      <c r="BB10473" s="4"/>
    </row>
    <row r="10474" spans="1:54" x14ac:dyDescent="0.3">
      <c r="A10474" s="66"/>
      <c r="B10474" s="67"/>
      <c r="C10474" s="66"/>
      <c r="D10474" s="68"/>
      <c r="E10474" s="10"/>
      <c r="F10474" s="69"/>
      <c r="G10474" s="68"/>
      <c r="H10474" s="70"/>
      <c r="BA10474" s="4"/>
      <c r="BB10474" s="4"/>
    </row>
    <row r="10475" spans="1:54" x14ac:dyDescent="0.3">
      <c r="A10475" s="66"/>
      <c r="B10475" s="67"/>
      <c r="C10475" s="66"/>
      <c r="D10475" s="68"/>
      <c r="E10475" s="10"/>
      <c r="F10475" s="69"/>
      <c r="G10475" s="68"/>
      <c r="H10475" s="70"/>
      <c r="BA10475" s="4"/>
      <c r="BB10475" s="4"/>
    </row>
    <row r="10476" spans="1:54" x14ac:dyDescent="0.3">
      <c r="A10476" s="66"/>
      <c r="B10476" s="67"/>
      <c r="C10476" s="66"/>
      <c r="D10476" s="68"/>
      <c r="E10476" s="10"/>
      <c r="F10476" s="69"/>
      <c r="G10476" s="68"/>
      <c r="H10476" s="70"/>
      <c r="BA10476" s="4"/>
      <c r="BB10476" s="4"/>
    </row>
    <row r="10477" spans="1:54" x14ac:dyDescent="0.3">
      <c r="A10477" s="66"/>
      <c r="B10477" s="67"/>
      <c r="C10477" s="66"/>
      <c r="D10477" s="68"/>
      <c r="E10477" s="10"/>
      <c r="F10477" s="69"/>
      <c r="G10477" s="68"/>
      <c r="H10477" s="70"/>
      <c r="BA10477" s="4"/>
      <c r="BB10477" s="4"/>
    </row>
    <row r="10478" spans="1:54" x14ac:dyDescent="0.3">
      <c r="A10478" s="66"/>
      <c r="B10478" s="67"/>
      <c r="C10478" s="66"/>
      <c r="D10478" s="68"/>
      <c r="E10478" s="10"/>
      <c r="F10478" s="69"/>
      <c r="G10478" s="68"/>
      <c r="H10478" s="70"/>
      <c r="BA10478" s="4"/>
      <c r="BB10478" s="4"/>
    </row>
    <row r="10479" spans="1:54" x14ac:dyDescent="0.3">
      <c r="A10479" s="66"/>
      <c r="B10479" s="67"/>
      <c r="C10479" s="66"/>
      <c r="D10479" s="68"/>
      <c r="E10479" s="10"/>
      <c r="F10479" s="69"/>
      <c r="G10479" s="68"/>
      <c r="H10479" s="70"/>
      <c r="BA10479" s="4"/>
      <c r="BB10479" s="4"/>
    </row>
    <row r="10480" spans="1:54" x14ac:dyDescent="0.3">
      <c r="A10480" s="66"/>
      <c r="B10480" s="67"/>
      <c r="C10480" s="66"/>
      <c r="D10480" s="68"/>
      <c r="E10480" s="10"/>
      <c r="F10480" s="69"/>
      <c r="G10480" s="68"/>
      <c r="H10480" s="70"/>
      <c r="BA10480" s="4"/>
      <c r="BB10480" s="4"/>
    </row>
    <row r="10481" spans="1:54" x14ac:dyDescent="0.3">
      <c r="A10481" s="66"/>
      <c r="B10481" s="67"/>
      <c r="C10481" s="66"/>
      <c r="D10481" s="68"/>
      <c r="E10481" s="10"/>
      <c r="F10481" s="69"/>
      <c r="G10481" s="68"/>
      <c r="H10481" s="70"/>
      <c r="BA10481" s="4"/>
      <c r="BB10481" s="4"/>
    </row>
    <row r="10482" spans="1:54" x14ac:dyDescent="0.3">
      <c r="A10482" s="66"/>
      <c r="B10482" s="67"/>
      <c r="C10482" s="66"/>
      <c r="D10482" s="68"/>
      <c r="E10482" s="10"/>
      <c r="F10482" s="69"/>
      <c r="G10482" s="68"/>
      <c r="H10482" s="70"/>
      <c r="BA10482" s="4"/>
      <c r="BB10482" s="4"/>
    </row>
    <row r="10483" spans="1:54" x14ac:dyDescent="0.3">
      <c r="A10483" s="66"/>
      <c r="B10483" s="67"/>
      <c r="C10483" s="66"/>
      <c r="D10483" s="68"/>
      <c r="E10483" s="10"/>
      <c r="F10483" s="69"/>
      <c r="G10483" s="68"/>
      <c r="H10483" s="70"/>
      <c r="BA10483" s="4"/>
      <c r="BB10483" s="4"/>
    </row>
    <row r="10484" spans="1:54" x14ac:dyDescent="0.3">
      <c r="A10484" s="66"/>
      <c r="B10484" s="67"/>
      <c r="C10484" s="66"/>
      <c r="D10484" s="68"/>
      <c r="E10484" s="10"/>
      <c r="F10484" s="69"/>
      <c r="G10484" s="68"/>
      <c r="H10484" s="70"/>
      <c r="BA10484" s="4"/>
      <c r="BB10484" s="4"/>
    </row>
    <row r="10485" spans="1:54" x14ac:dyDescent="0.3">
      <c r="A10485" s="66"/>
      <c r="B10485" s="67"/>
      <c r="C10485" s="66"/>
      <c r="D10485" s="68"/>
      <c r="E10485" s="10"/>
      <c r="F10485" s="69"/>
      <c r="G10485" s="68"/>
      <c r="H10485" s="70"/>
      <c r="BA10485" s="4"/>
      <c r="BB10485" s="4"/>
    </row>
    <row r="10486" spans="1:54" x14ac:dyDescent="0.3">
      <c r="A10486" s="66"/>
      <c r="B10486" s="67"/>
      <c r="C10486" s="66"/>
      <c r="D10486" s="68"/>
      <c r="E10486" s="10"/>
      <c r="F10486" s="69"/>
      <c r="G10486" s="68"/>
      <c r="H10486" s="70"/>
      <c r="BA10486" s="4"/>
      <c r="BB10486" s="4"/>
    </row>
    <row r="10487" spans="1:54" x14ac:dyDescent="0.3">
      <c r="A10487" s="66"/>
      <c r="B10487" s="67"/>
      <c r="C10487" s="66"/>
      <c r="D10487" s="68"/>
      <c r="E10487" s="10"/>
      <c r="F10487" s="69"/>
      <c r="G10487" s="68"/>
      <c r="H10487" s="70"/>
      <c r="BA10487" s="4"/>
      <c r="BB10487" s="4"/>
    </row>
    <row r="10488" spans="1:54" x14ac:dyDescent="0.3">
      <c r="A10488" s="66"/>
      <c r="B10488" s="67"/>
      <c r="C10488" s="66"/>
      <c r="D10488" s="68"/>
      <c r="E10488" s="10"/>
      <c r="F10488" s="69"/>
      <c r="G10488" s="68"/>
      <c r="H10488" s="70"/>
      <c r="BA10488" s="4"/>
      <c r="BB10488" s="4"/>
    </row>
    <row r="10489" spans="1:54" x14ac:dyDescent="0.3">
      <c r="A10489" s="66"/>
      <c r="B10489" s="67"/>
      <c r="C10489" s="66"/>
      <c r="D10489" s="68"/>
      <c r="E10489" s="10"/>
      <c r="F10489" s="69"/>
      <c r="G10489" s="68"/>
      <c r="H10489" s="70"/>
      <c r="BA10489" s="4"/>
      <c r="BB10489" s="4"/>
    </row>
    <row r="10490" spans="1:54" x14ac:dyDescent="0.3">
      <c r="A10490" s="66"/>
      <c r="B10490" s="67"/>
      <c r="C10490" s="66"/>
      <c r="D10490" s="68"/>
      <c r="E10490" s="10"/>
      <c r="F10490" s="69"/>
      <c r="G10490" s="68"/>
      <c r="H10490" s="70"/>
      <c r="BA10490" s="4"/>
      <c r="BB10490" s="4"/>
    </row>
    <row r="10491" spans="1:54" x14ac:dyDescent="0.3">
      <c r="A10491" s="66"/>
      <c r="B10491" s="67"/>
      <c r="C10491" s="66"/>
      <c r="D10491" s="68"/>
      <c r="E10491" s="10"/>
      <c r="F10491" s="69"/>
      <c r="G10491" s="68"/>
      <c r="H10491" s="70"/>
      <c r="BA10491" s="4"/>
      <c r="BB10491" s="4"/>
    </row>
    <row r="10492" spans="1:54" x14ac:dyDescent="0.3">
      <c r="A10492" s="66"/>
      <c r="B10492" s="67"/>
      <c r="C10492" s="66"/>
      <c r="D10492" s="68"/>
      <c r="E10492" s="10"/>
      <c r="F10492" s="69"/>
      <c r="G10492" s="68"/>
      <c r="H10492" s="70"/>
      <c r="BA10492" s="4"/>
      <c r="BB10492" s="4"/>
    </row>
    <row r="10493" spans="1:54" x14ac:dyDescent="0.3">
      <c r="A10493" s="66"/>
      <c r="B10493" s="67"/>
      <c r="C10493" s="66"/>
      <c r="D10493" s="68"/>
      <c r="E10493" s="10"/>
      <c r="F10493" s="69"/>
      <c r="G10493" s="68"/>
      <c r="H10493" s="70"/>
      <c r="BA10493" s="4"/>
      <c r="BB10493" s="4"/>
    </row>
    <row r="10494" spans="1:54" x14ac:dyDescent="0.3">
      <c r="A10494" s="66"/>
      <c r="B10494" s="67"/>
      <c r="C10494" s="66"/>
      <c r="D10494" s="68"/>
      <c r="E10494" s="10"/>
      <c r="F10494" s="69"/>
      <c r="G10494" s="68"/>
      <c r="H10494" s="70"/>
      <c r="BA10494" s="4"/>
      <c r="BB10494" s="4"/>
    </row>
    <row r="10495" spans="1:54" x14ac:dyDescent="0.3">
      <c r="A10495" s="66"/>
      <c r="B10495" s="67"/>
      <c r="C10495" s="66"/>
      <c r="D10495" s="68"/>
      <c r="E10495" s="10"/>
      <c r="F10495" s="69"/>
      <c r="G10495" s="68"/>
      <c r="H10495" s="70"/>
      <c r="BA10495" s="4"/>
      <c r="BB10495" s="4"/>
    </row>
    <row r="10496" spans="1:54" x14ac:dyDescent="0.3">
      <c r="A10496" s="66"/>
      <c r="B10496" s="67"/>
      <c r="C10496" s="66"/>
      <c r="D10496" s="68"/>
      <c r="E10496" s="10"/>
      <c r="F10496" s="69"/>
      <c r="G10496" s="68"/>
      <c r="H10496" s="70"/>
      <c r="BA10496" s="4"/>
      <c r="BB10496" s="4"/>
    </row>
    <row r="10497" spans="1:54" x14ac:dyDescent="0.3">
      <c r="A10497" s="66"/>
      <c r="B10497" s="67"/>
      <c r="C10497" s="66"/>
      <c r="D10497" s="68"/>
      <c r="E10497" s="10"/>
      <c r="F10497" s="69"/>
      <c r="G10497" s="68"/>
      <c r="H10497" s="70"/>
      <c r="BA10497" s="4"/>
      <c r="BB10497" s="4"/>
    </row>
    <row r="10498" spans="1:54" x14ac:dyDescent="0.3">
      <c r="A10498" s="66"/>
      <c r="B10498" s="67"/>
      <c r="C10498" s="66"/>
      <c r="D10498" s="68"/>
      <c r="E10498" s="10"/>
      <c r="F10498" s="69"/>
      <c r="G10498" s="68"/>
      <c r="H10498" s="70"/>
      <c r="BA10498" s="4"/>
      <c r="BB10498" s="4"/>
    </row>
    <row r="10499" spans="1:54" x14ac:dyDescent="0.3">
      <c r="A10499" s="66"/>
      <c r="B10499" s="67"/>
      <c r="C10499" s="66"/>
      <c r="D10499" s="68"/>
      <c r="E10499" s="10"/>
      <c r="F10499" s="69"/>
      <c r="G10499" s="68"/>
      <c r="H10499" s="70"/>
      <c r="BA10499" s="4"/>
      <c r="BB10499" s="4"/>
    </row>
    <row r="10500" spans="1:54" x14ac:dyDescent="0.3">
      <c r="A10500" s="66"/>
      <c r="B10500" s="67"/>
      <c r="C10500" s="66"/>
      <c r="D10500" s="68"/>
      <c r="E10500" s="10"/>
      <c r="F10500" s="69"/>
      <c r="G10500" s="68"/>
      <c r="H10500" s="70"/>
      <c r="BA10500" s="4"/>
      <c r="BB10500" s="4"/>
    </row>
    <row r="10501" spans="1:54" x14ac:dyDescent="0.3">
      <c r="A10501" s="66"/>
      <c r="B10501" s="67"/>
      <c r="C10501" s="66"/>
      <c r="D10501" s="68"/>
      <c r="E10501" s="10"/>
      <c r="F10501" s="69"/>
      <c r="G10501" s="68"/>
      <c r="H10501" s="70"/>
      <c r="BA10501" s="4"/>
      <c r="BB10501" s="4"/>
    </row>
    <row r="10502" spans="1:54" x14ac:dyDescent="0.3">
      <c r="A10502" s="66"/>
      <c r="B10502" s="67"/>
      <c r="C10502" s="66"/>
      <c r="D10502" s="68"/>
      <c r="E10502" s="10"/>
      <c r="F10502" s="69"/>
      <c r="G10502" s="68"/>
      <c r="H10502" s="70"/>
      <c r="BA10502" s="4"/>
      <c r="BB10502" s="4"/>
    </row>
    <row r="10503" spans="1:54" x14ac:dyDescent="0.3">
      <c r="A10503" s="66"/>
      <c r="B10503" s="67"/>
      <c r="C10503" s="66"/>
      <c r="D10503" s="68"/>
      <c r="E10503" s="10"/>
      <c r="F10503" s="69"/>
      <c r="G10503" s="68"/>
      <c r="H10503" s="70"/>
      <c r="BA10503" s="4"/>
      <c r="BB10503" s="4"/>
    </row>
    <row r="10504" spans="1:54" x14ac:dyDescent="0.3">
      <c r="A10504" s="66"/>
      <c r="B10504" s="67"/>
      <c r="C10504" s="66"/>
      <c r="D10504" s="68"/>
      <c r="E10504" s="10"/>
      <c r="F10504" s="69"/>
      <c r="G10504" s="68"/>
      <c r="H10504" s="70"/>
      <c r="BA10504" s="4"/>
      <c r="BB10504" s="4"/>
    </row>
    <row r="10505" spans="1:54" x14ac:dyDescent="0.3">
      <c r="A10505" s="66"/>
      <c r="B10505" s="67"/>
      <c r="C10505" s="66"/>
      <c r="D10505" s="68"/>
      <c r="E10505" s="10"/>
      <c r="F10505" s="69"/>
      <c r="G10505" s="68"/>
      <c r="H10505" s="70"/>
      <c r="BA10505" s="4"/>
      <c r="BB10505" s="4"/>
    </row>
    <row r="10506" spans="1:54" x14ac:dyDescent="0.3">
      <c r="A10506" s="66"/>
      <c r="B10506" s="67"/>
      <c r="C10506" s="66"/>
      <c r="D10506" s="68"/>
      <c r="E10506" s="10"/>
      <c r="F10506" s="69"/>
      <c r="G10506" s="68"/>
      <c r="H10506" s="70"/>
      <c r="BA10506" s="4"/>
      <c r="BB10506" s="4"/>
    </row>
    <row r="10507" spans="1:54" x14ac:dyDescent="0.3">
      <c r="A10507" s="66"/>
      <c r="B10507" s="67"/>
      <c r="C10507" s="66"/>
      <c r="D10507" s="68"/>
      <c r="E10507" s="10"/>
      <c r="F10507" s="69"/>
      <c r="G10507" s="68"/>
      <c r="H10507" s="70"/>
      <c r="BA10507" s="4"/>
      <c r="BB10507" s="4"/>
    </row>
    <row r="10508" spans="1:54" x14ac:dyDescent="0.3">
      <c r="A10508" s="66"/>
      <c r="B10508" s="67"/>
      <c r="C10508" s="66"/>
      <c r="D10508" s="68"/>
      <c r="E10508" s="10"/>
      <c r="F10508" s="69"/>
      <c r="G10508" s="68"/>
      <c r="H10508" s="70"/>
      <c r="BA10508" s="4"/>
      <c r="BB10508" s="4"/>
    </row>
    <row r="10509" spans="1:54" x14ac:dyDescent="0.3">
      <c r="A10509" s="66"/>
      <c r="B10509" s="67"/>
      <c r="C10509" s="66"/>
      <c r="D10509" s="68"/>
      <c r="E10509" s="10"/>
      <c r="F10509" s="69"/>
      <c r="G10509" s="68"/>
      <c r="H10509" s="70"/>
      <c r="BA10509" s="4"/>
      <c r="BB10509" s="4"/>
    </row>
    <row r="10510" spans="1:54" x14ac:dyDescent="0.3">
      <c r="A10510" s="66"/>
      <c r="B10510" s="67"/>
      <c r="C10510" s="66"/>
      <c r="D10510" s="68"/>
      <c r="E10510" s="10"/>
      <c r="F10510" s="69"/>
      <c r="G10510" s="68"/>
      <c r="H10510" s="70"/>
      <c r="BA10510" s="4"/>
      <c r="BB10510" s="4"/>
    </row>
    <row r="10511" spans="1:54" x14ac:dyDescent="0.3">
      <c r="A10511" s="66"/>
      <c r="B10511" s="67"/>
      <c r="C10511" s="66"/>
      <c r="D10511" s="68"/>
      <c r="E10511" s="10"/>
      <c r="F10511" s="69"/>
      <c r="G10511" s="68"/>
      <c r="H10511" s="70"/>
      <c r="BA10511" s="4"/>
      <c r="BB10511" s="4"/>
    </row>
    <row r="10512" spans="1:54" x14ac:dyDescent="0.3">
      <c r="A10512" s="66"/>
      <c r="B10512" s="67"/>
      <c r="C10512" s="66"/>
      <c r="D10512" s="68"/>
      <c r="E10512" s="10"/>
      <c r="F10512" s="69"/>
      <c r="G10512" s="68"/>
      <c r="H10512" s="70"/>
      <c r="BA10512" s="4"/>
      <c r="BB10512" s="4"/>
    </row>
    <row r="10513" spans="1:54" x14ac:dyDescent="0.3">
      <c r="A10513" s="66"/>
      <c r="B10513" s="67"/>
      <c r="C10513" s="66"/>
      <c r="D10513" s="68"/>
      <c r="E10513" s="10"/>
      <c r="F10513" s="69"/>
      <c r="G10513" s="68"/>
      <c r="H10513" s="70"/>
      <c r="BA10513" s="4"/>
      <c r="BB10513" s="4"/>
    </row>
    <row r="10514" spans="1:54" x14ac:dyDescent="0.3">
      <c r="A10514" s="66"/>
      <c r="B10514" s="67"/>
      <c r="C10514" s="66"/>
      <c r="D10514" s="68"/>
      <c r="E10514" s="10"/>
      <c r="F10514" s="69"/>
      <c r="G10514" s="68"/>
      <c r="H10514" s="70"/>
      <c r="BA10514" s="4"/>
      <c r="BB10514" s="4"/>
    </row>
    <row r="10515" spans="1:54" x14ac:dyDescent="0.3">
      <c r="A10515" s="66"/>
      <c r="B10515" s="67"/>
      <c r="C10515" s="66"/>
      <c r="D10515" s="68"/>
      <c r="E10515" s="10"/>
      <c r="F10515" s="69"/>
      <c r="G10515" s="68"/>
      <c r="H10515" s="70"/>
      <c r="BA10515" s="4"/>
      <c r="BB10515" s="4"/>
    </row>
    <row r="10516" spans="1:54" x14ac:dyDescent="0.3">
      <c r="A10516" s="66"/>
      <c r="B10516" s="67"/>
      <c r="C10516" s="66"/>
      <c r="D10516" s="68"/>
      <c r="E10516" s="10"/>
      <c r="F10516" s="69"/>
      <c r="G10516" s="68"/>
      <c r="H10516" s="70"/>
      <c r="BA10516" s="4"/>
      <c r="BB10516" s="4"/>
    </row>
    <row r="10517" spans="1:54" x14ac:dyDescent="0.3">
      <c r="A10517" s="66"/>
      <c r="B10517" s="67"/>
      <c r="C10517" s="66"/>
      <c r="D10517" s="68"/>
      <c r="E10517" s="10"/>
      <c r="F10517" s="69"/>
      <c r="G10517" s="68"/>
      <c r="H10517" s="70"/>
      <c r="BA10517" s="4"/>
      <c r="BB10517" s="4"/>
    </row>
    <row r="10518" spans="1:54" x14ac:dyDescent="0.3">
      <c r="A10518" s="66"/>
      <c r="B10518" s="67"/>
      <c r="C10518" s="66"/>
      <c r="D10518" s="68"/>
      <c r="E10518" s="10"/>
      <c r="F10518" s="69"/>
      <c r="G10518" s="68"/>
      <c r="H10518" s="70"/>
      <c r="BA10518" s="4"/>
      <c r="BB10518" s="4"/>
    </row>
    <row r="10519" spans="1:54" x14ac:dyDescent="0.3">
      <c r="A10519" s="66"/>
      <c r="B10519" s="67"/>
      <c r="C10519" s="66"/>
      <c r="D10519" s="68"/>
      <c r="E10519" s="10"/>
      <c r="F10519" s="69"/>
      <c r="G10519" s="68"/>
      <c r="H10519" s="70"/>
      <c r="BA10519" s="4"/>
      <c r="BB10519" s="4"/>
    </row>
    <row r="10520" spans="1:54" x14ac:dyDescent="0.3">
      <c r="A10520" s="66"/>
      <c r="B10520" s="67"/>
      <c r="C10520" s="66"/>
      <c r="D10520" s="68"/>
      <c r="E10520" s="10"/>
      <c r="F10520" s="69"/>
      <c r="G10520" s="68"/>
      <c r="H10520" s="70"/>
      <c r="BA10520" s="4"/>
      <c r="BB10520" s="4"/>
    </row>
    <row r="10521" spans="1:54" x14ac:dyDescent="0.3">
      <c r="A10521" s="66"/>
      <c r="B10521" s="67"/>
      <c r="C10521" s="66"/>
      <c r="D10521" s="68"/>
      <c r="E10521" s="10"/>
      <c r="F10521" s="69"/>
      <c r="G10521" s="68"/>
      <c r="H10521" s="70"/>
      <c r="BA10521" s="4"/>
      <c r="BB10521" s="4"/>
    </row>
    <row r="10522" spans="1:54" x14ac:dyDescent="0.3">
      <c r="A10522" s="66"/>
      <c r="B10522" s="67"/>
      <c r="C10522" s="66"/>
      <c r="D10522" s="68"/>
      <c r="E10522" s="10"/>
      <c r="F10522" s="69"/>
      <c r="G10522" s="68"/>
      <c r="H10522" s="70"/>
      <c r="BA10522" s="4"/>
      <c r="BB10522" s="4"/>
    </row>
    <row r="10523" spans="1:54" x14ac:dyDescent="0.3">
      <c r="A10523" s="66"/>
      <c r="B10523" s="67"/>
      <c r="C10523" s="66"/>
      <c r="D10523" s="68"/>
      <c r="E10523" s="10"/>
      <c r="F10523" s="69"/>
      <c r="G10523" s="68"/>
      <c r="H10523" s="70"/>
      <c r="BA10523" s="4"/>
      <c r="BB10523" s="4"/>
    </row>
    <row r="10524" spans="1:54" x14ac:dyDescent="0.3">
      <c r="A10524" s="66"/>
      <c r="B10524" s="67"/>
      <c r="C10524" s="66"/>
      <c r="D10524" s="68"/>
      <c r="E10524" s="10"/>
      <c r="F10524" s="69"/>
      <c r="G10524" s="68"/>
      <c r="H10524" s="70"/>
      <c r="BA10524" s="4"/>
      <c r="BB10524" s="4"/>
    </row>
    <row r="10525" spans="1:54" x14ac:dyDescent="0.3">
      <c r="A10525" s="66"/>
      <c r="B10525" s="67"/>
      <c r="C10525" s="66"/>
      <c r="D10525" s="68"/>
      <c r="E10525" s="10"/>
      <c r="F10525" s="69"/>
      <c r="G10525" s="68"/>
      <c r="H10525" s="70"/>
      <c r="BA10525" s="4"/>
      <c r="BB10525" s="4"/>
    </row>
    <row r="10526" spans="1:54" x14ac:dyDescent="0.3">
      <c r="A10526" s="66"/>
      <c r="B10526" s="67"/>
      <c r="C10526" s="66"/>
      <c r="D10526" s="68"/>
      <c r="E10526" s="10"/>
      <c r="F10526" s="69"/>
      <c r="G10526" s="68"/>
      <c r="H10526" s="70"/>
      <c r="BA10526" s="4"/>
      <c r="BB10526" s="4"/>
    </row>
    <row r="10527" spans="1:54" x14ac:dyDescent="0.3">
      <c r="A10527" s="66"/>
      <c r="B10527" s="67"/>
      <c r="C10527" s="66"/>
      <c r="D10527" s="68"/>
      <c r="E10527" s="10"/>
      <c r="F10527" s="69"/>
      <c r="G10527" s="68"/>
      <c r="H10527" s="70"/>
      <c r="BA10527" s="4"/>
      <c r="BB10527" s="4"/>
    </row>
    <row r="10528" spans="1:54" x14ac:dyDescent="0.3">
      <c r="A10528" s="66"/>
      <c r="B10528" s="67"/>
      <c r="C10528" s="66"/>
      <c r="D10528" s="68"/>
      <c r="E10528" s="10"/>
      <c r="F10528" s="69"/>
      <c r="G10528" s="68"/>
      <c r="H10528" s="70"/>
      <c r="BA10528" s="4"/>
      <c r="BB10528" s="4"/>
    </row>
    <row r="10529" spans="1:54" x14ac:dyDescent="0.3">
      <c r="A10529" s="66"/>
      <c r="B10529" s="67"/>
      <c r="C10529" s="66"/>
      <c r="D10529" s="68"/>
      <c r="E10529" s="10"/>
      <c r="F10529" s="69"/>
      <c r="G10529" s="68"/>
      <c r="H10529" s="70"/>
      <c r="BA10529" s="4"/>
      <c r="BB10529" s="4"/>
    </row>
    <row r="10530" spans="1:54" x14ac:dyDescent="0.3">
      <c r="A10530" s="66"/>
      <c r="B10530" s="67"/>
      <c r="C10530" s="66"/>
      <c r="D10530" s="68"/>
      <c r="E10530" s="10"/>
      <c r="F10530" s="69"/>
      <c r="G10530" s="68"/>
      <c r="H10530" s="70"/>
      <c r="BA10530" s="4"/>
      <c r="BB10530" s="4"/>
    </row>
    <row r="10531" spans="1:54" x14ac:dyDescent="0.3">
      <c r="A10531" s="66"/>
      <c r="B10531" s="67"/>
      <c r="C10531" s="66"/>
      <c r="D10531" s="68"/>
      <c r="E10531" s="10"/>
      <c r="F10531" s="69"/>
      <c r="G10531" s="68"/>
      <c r="H10531" s="70"/>
      <c r="BA10531" s="4"/>
      <c r="BB10531" s="4"/>
    </row>
    <row r="10532" spans="1:54" x14ac:dyDescent="0.3">
      <c r="A10532" s="66"/>
      <c r="B10532" s="67"/>
      <c r="C10532" s="66"/>
      <c r="D10532" s="68"/>
      <c r="E10532" s="10"/>
      <c r="F10532" s="69"/>
      <c r="G10532" s="68"/>
      <c r="H10532" s="70"/>
      <c r="BA10532" s="4"/>
      <c r="BB10532" s="4"/>
    </row>
    <row r="10533" spans="1:54" x14ac:dyDescent="0.3">
      <c r="A10533" s="66"/>
      <c r="B10533" s="67"/>
      <c r="C10533" s="66"/>
      <c r="D10533" s="68"/>
      <c r="E10533" s="10"/>
      <c r="F10533" s="69"/>
      <c r="G10533" s="68"/>
      <c r="H10533" s="70"/>
      <c r="BA10533" s="4"/>
      <c r="BB10533" s="4"/>
    </row>
    <row r="10534" spans="1:54" x14ac:dyDescent="0.3">
      <c r="A10534" s="66"/>
      <c r="B10534" s="67"/>
      <c r="C10534" s="66"/>
      <c r="D10534" s="68"/>
      <c r="E10534" s="10"/>
      <c r="F10534" s="69"/>
      <c r="G10534" s="68"/>
      <c r="H10534" s="70"/>
      <c r="BA10534" s="4"/>
      <c r="BB10534" s="4"/>
    </row>
    <row r="10535" spans="1:54" x14ac:dyDescent="0.3">
      <c r="A10535" s="66"/>
      <c r="B10535" s="67"/>
      <c r="C10535" s="66"/>
      <c r="D10535" s="68"/>
      <c r="E10535" s="10"/>
      <c r="F10535" s="69"/>
      <c r="G10535" s="68"/>
      <c r="H10535" s="70"/>
      <c r="BA10535" s="4"/>
      <c r="BB10535" s="4"/>
    </row>
    <row r="10536" spans="1:54" x14ac:dyDescent="0.3">
      <c r="A10536" s="66"/>
      <c r="B10536" s="67"/>
      <c r="C10536" s="66"/>
      <c r="D10536" s="68"/>
      <c r="E10536" s="10"/>
      <c r="F10536" s="69"/>
      <c r="G10536" s="68"/>
      <c r="H10536" s="70"/>
      <c r="BA10536" s="4"/>
      <c r="BB10536" s="4"/>
    </row>
    <row r="10537" spans="1:54" x14ac:dyDescent="0.3">
      <c r="A10537" s="66"/>
      <c r="B10537" s="67"/>
      <c r="C10537" s="66"/>
      <c r="D10537" s="68"/>
      <c r="E10537" s="10"/>
      <c r="F10537" s="69"/>
      <c r="G10537" s="68"/>
      <c r="H10537" s="70"/>
      <c r="BA10537" s="4"/>
      <c r="BB10537" s="4"/>
    </row>
    <row r="10538" spans="1:54" x14ac:dyDescent="0.3">
      <c r="A10538" s="66"/>
      <c r="B10538" s="67"/>
      <c r="C10538" s="66"/>
      <c r="D10538" s="68"/>
      <c r="E10538" s="10"/>
      <c r="F10538" s="69"/>
      <c r="G10538" s="68"/>
      <c r="H10538" s="70"/>
      <c r="BA10538" s="4"/>
      <c r="BB10538" s="4"/>
    </row>
    <row r="10539" spans="1:54" x14ac:dyDescent="0.3">
      <c r="A10539" s="66"/>
      <c r="B10539" s="67"/>
      <c r="C10539" s="66"/>
      <c r="D10539" s="68"/>
      <c r="E10539" s="10"/>
      <c r="F10539" s="69"/>
      <c r="G10539" s="68"/>
      <c r="H10539" s="70"/>
      <c r="BA10539" s="4"/>
      <c r="BB10539" s="4"/>
    </row>
    <row r="10540" spans="1:54" x14ac:dyDescent="0.3">
      <c r="A10540" s="66"/>
      <c r="B10540" s="67"/>
      <c r="C10540" s="66"/>
      <c r="D10540" s="68"/>
      <c r="E10540" s="10"/>
      <c r="F10540" s="69"/>
      <c r="G10540" s="68"/>
      <c r="H10540" s="70"/>
      <c r="BA10540" s="4"/>
      <c r="BB10540" s="4"/>
    </row>
    <row r="10541" spans="1:54" x14ac:dyDescent="0.3">
      <c r="A10541" s="66"/>
      <c r="B10541" s="67"/>
      <c r="C10541" s="66"/>
      <c r="D10541" s="68"/>
      <c r="E10541" s="10"/>
      <c r="F10541" s="69"/>
      <c r="G10541" s="68"/>
      <c r="H10541" s="70"/>
      <c r="BA10541" s="4"/>
      <c r="BB10541" s="4"/>
    </row>
    <row r="10542" spans="1:54" x14ac:dyDescent="0.3">
      <c r="A10542" s="66"/>
      <c r="B10542" s="67"/>
      <c r="C10542" s="66"/>
      <c r="D10542" s="68"/>
      <c r="E10542" s="10"/>
      <c r="F10542" s="69"/>
      <c r="G10542" s="68"/>
      <c r="H10542" s="70"/>
      <c r="BA10542" s="4"/>
      <c r="BB10542" s="4"/>
    </row>
    <row r="10543" spans="1:54" x14ac:dyDescent="0.3">
      <c r="A10543" s="66"/>
      <c r="B10543" s="67"/>
      <c r="C10543" s="66"/>
      <c r="D10543" s="68"/>
      <c r="E10543" s="10"/>
      <c r="F10543" s="69"/>
      <c r="G10543" s="68"/>
      <c r="H10543" s="70"/>
      <c r="BA10543" s="4"/>
      <c r="BB10543" s="4"/>
    </row>
    <row r="10544" spans="1:54" x14ac:dyDescent="0.3">
      <c r="A10544" s="66"/>
      <c r="B10544" s="67"/>
      <c r="C10544" s="66"/>
      <c r="D10544" s="68"/>
      <c r="E10544" s="10"/>
      <c r="F10544" s="69"/>
      <c r="G10544" s="68"/>
      <c r="H10544" s="70"/>
      <c r="BA10544" s="4"/>
      <c r="BB10544" s="4"/>
    </row>
    <row r="10545" spans="1:54" x14ac:dyDescent="0.3">
      <c r="A10545" s="66"/>
      <c r="B10545" s="67"/>
      <c r="C10545" s="66"/>
      <c r="D10545" s="68"/>
      <c r="E10545" s="10"/>
      <c r="F10545" s="69"/>
      <c r="G10545" s="68"/>
      <c r="H10545" s="70"/>
      <c r="BA10545" s="4"/>
      <c r="BB10545" s="4"/>
    </row>
    <row r="10546" spans="1:54" x14ac:dyDescent="0.3">
      <c r="A10546" s="66"/>
      <c r="B10546" s="67"/>
      <c r="C10546" s="66"/>
      <c r="D10546" s="68"/>
      <c r="E10546" s="10"/>
      <c r="F10546" s="69"/>
      <c r="G10546" s="68"/>
      <c r="H10546" s="70"/>
      <c r="BA10546" s="4"/>
      <c r="BB10546" s="4"/>
    </row>
    <row r="10547" spans="1:54" x14ac:dyDescent="0.3">
      <c r="A10547" s="66"/>
      <c r="B10547" s="67"/>
      <c r="C10547" s="66"/>
      <c r="D10547" s="68"/>
      <c r="E10547" s="10"/>
      <c r="F10547" s="69"/>
      <c r="G10547" s="68"/>
      <c r="H10547" s="70"/>
      <c r="BA10547" s="4"/>
      <c r="BB10547" s="4"/>
    </row>
    <row r="10548" spans="1:54" x14ac:dyDescent="0.3">
      <c r="A10548" s="66"/>
      <c r="B10548" s="67"/>
      <c r="C10548" s="66"/>
      <c r="D10548" s="68"/>
      <c r="E10548" s="10"/>
      <c r="F10548" s="69"/>
      <c r="G10548" s="68"/>
      <c r="H10548" s="70"/>
      <c r="BA10548" s="4"/>
      <c r="BB10548" s="4"/>
    </row>
    <row r="10549" spans="1:54" x14ac:dyDescent="0.3">
      <c r="A10549" s="66"/>
      <c r="B10549" s="67"/>
      <c r="C10549" s="66"/>
      <c r="D10549" s="68"/>
      <c r="E10549" s="10"/>
      <c r="F10549" s="69"/>
      <c r="G10549" s="68"/>
      <c r="H10549" s="70"/>
      <c r="BA10549" s="4"/>
      <c r="BB10549" s="4"/>
    </row>
    <row r="10550" spans="1:54" x14ac:dyDescent="0.3">
      <c r="A10550" s="66"/>
      <c r="B10550" s="67"/>
      <c r="C10550" s="66"/>
      <c r="D10550" s="68"/>
      <c r="E10550" s="10"/>
      <c r="F10550" s="69"/>
      <c r="G10550" s="68"/>
      <c r="H10550" s="70"/>
      <c r="BA10550" s="4"/>
      <c r="BB10550" s="4"/>
    </row>
    <row r="10551" spans="1:54" x14ac:dyDescent="0.3">
      <c r="A10551" s="66"/>
      <c r="B10551" s="67"/>
      <c r="C10551" s="66"/>
      <c r="D10551" s="68"/>
      <c r="E10551" s="10"/>
      <c r="F10551" s="69"/>
      <c r="G10551" s="68"/>
      <c r="H10551" s="70"/>
      <c r="BA10551" s="4"/>
      <c r="BB10551" s="4"/>
    </row>
    <row r="10552" spans="1:54" x14ac:dyDescent="0.3">
      <c r="A10552" s="66"/>
      <c r="B10552" s="67"/>
      <c r="C10552" s="66"/>
      <c r="D10552" s="68"/>
      <c r="E10552" s="10"/>
      <c r="F10552" s="69"/>
      <c r="G10552" s="68"/>
      <c r="H10552" s="70"/>
      <c r="BA10552" s="4"/>
      <c r="BB10552" s="4"/>
    </row>
    <row r="10553" spans="1:54" x14ac:dyDescent="0.3">
      <c r="A10553" s="66"/>
      <c r="B10553" s="67"/>
      <c r="C10553" s="66"/>
      <c r="D10553" s="68"/>
      <c r="E10553" s="10"/>
      <c r="F10553" s="69"/>
      <c r="G10553" s="68"/>
      <c r="H10553" s="70"/>
      <c r="BA10553" s="4"/>
      <c r="BB10553" s="4"/>
    </row>
    <row r="10554" spans="1:54" x14ac:dyDescent="0.3">
      <c r="A10554" s="66"/>
      <c r="B10554" s="67"/>
      <c r="C10554" s="66"/>
      <c r="D10554" s="68"/>
      <c r="E10554" s="10"/>
      <c r="F10554" s="69"/>
      <c r="G10554" s="68"/>
      <c r="H10554" s="70"/>
      <c r="BA10554" s="4"/>
      <c r="BB10554" s="4"/>
    </row>
    <row r="10555" spans="1:54" x14ac:dyDescent="0.3">
      <c r="A10555" s="66"/>
      <c r="B10555" s="67"/>
      <c r="C10555" s="66"/>
      <c r="D10555" s="68"/>
      <c r="E10555" s="10"/>
      <c r="F10555" s="69"/>
      <c r="G10555" s="68"/>
      <c r="H10555" s="70"/>
      <c r="BA10555" s="4"/>
      <c r="BB10555" s="4"/>
    </row>
    <row r="10556" spans="1:54" x14ac:dyDescent="0.3">
      <c r="A10556" s="66"/>
      <c r="B10556" s="67"/>
      <c r="C10556" s="66"/>
      <c r="D10556" s="68"/>
      <c r="E10556" s="10"/>
      <c r="F10556" s="69"/>
      <c r="G10556" s="68"/>
      <c r="H10556" s="70"/>
      <c r="BA10556" s="4"/>
      <c r="BB10556" s="4"/>
    </row>
    <row r="10557" spans="1:54" x14ac:dyDescent="0.3">
      <c r="A10557" s="66"/>
      <c r="B10557" s="67"/>
      <c r="C10557" s="66"/>
      <c r="D10557" s="68"/>
      <c r="E10557" s="10"/>
      <c r="F10557" s="69"/>
      <c r="G10557" s="68"/>
      <c r="H10557" s="70"/>
      <c r="BA10557" s="4"/>
      <c r="BB10557" s="4"/>
    </row>
    <row r="10558" spans="1:54" x14ac:dyDescent="0.3">
      <c r="A10558" s="66"/>
      <c r="B10558" s="67"/>
      <c r="C10558" s="66"/>
      <c r="D10558" s="68"/>
      <c r="E10558" s="10"/>
      <c r="F10558" s="69"/>
      <c r="G10558" s="68"/>
      <c r="H10558" s="70"/>
      <c r="BA10558" s="4"/>
      <c r="BB10558" s="4"/>
    </row>
    <row r="10559" spans="1:54" x14ac:dyDescent="0.3">
      <c r="A10559" s="66"/>
      <c r="B10559" s="67"/>
      <c r="C10559" s="66"/>
      <c r="D10559" s="68"/>
      <c r="E10559" s="10"/>
      <c r="F10559" s="69"/>
      <c r="G10559" s="68"/>
      <c r="H10559" s="70"/>
      <c r="BA10559" s="4"/>
      <c r="BB10559" s="4"/>
    </row>
    <row r="10560" spans="1:54" x14ac:dyDescent="0.3">
      <c r="A10560" s="66"/>
      <c r="B10560" s="67"/>
      <c r="C10560" s="66"/>
      <c r="D10560" s="68"/>
      <c r="E10560" s="10"/>
      <c r="F10560" s="69"/>
      <c r="G10560" s="68"/>
      <c r="H10560" s="70"/>
      <c r="BA10560" s="4"/>
      <c r="BB10560" s="4"/>
    </row>
    <row r="10561" spans="1:54" x14ac:dyDescent="0.3">
      <c r="A10561" s="66"/>
      <c r="B10561" s="67"/>
      <c r="C10561" s="66"/>
      <c r="D10561" s="68"/>
      <c r="E10561" s="10"/>
      <c r="F10561" s="69"/>
      <c r="G10561" s="68"/>
      <c r="H10561" s="70"/>
      <c r="BA10561" s="4"/>
      <c r="BB10561" s="4"/>
    </row>
    <row r="10562" spans="1:54" x14ac:dyDescent="0.3">
      <c r="A10562" s="66"/>
      <c r="B10562" s="67"/>
      <c r="C10562" s="66"/>
      <c r="D10562" s="68"/>
      <c r="E10562" s="10"/>
      <c r="F10562" s="69"/>
      <c r="G10562" s="68"/>
      <c r="H10562" s="70"/>
      <c r="BA10562" s="4"/>
      <c r="BB10562" s="4"/>
    </row>
    <row r="10563" spans="1:54" x14ac:dyDescent="0.3">
      <c r="A10563" s="66"/>
      <c r="B10563" s="67"/>
      <c r="C10563" s="66"/>
      <c r="D10563" s="68"/>
      <c r="E10563" s="10"/>
      <c r="F10563" s="69"/>
      <c r="G10563" s="68"/>
      <c r="H10563" s="70"/>
      <c r="BA10563" s="4"/>
      <c r="BB10563" s="4"/>
    </row>
    <row r="10564" spans="1:54" x14ac:dyDescent="0.3">
      <c r="A10564" s="66"/>
      <c r="B10564" s="67"/>
      <c r="C10564" s="66"/>
      <c r="D10564" s="68"/>
      <c r="E10564" s="10"/>
      <c r="F10564" s="69"/>
      <c r="G10564" s="68"/>
      <c r="H10564" s="70"/>
      <c r="BA10564" s="4"/>
      <c r="BB10564" s="4"/>
    </row>
    <row r="10565" spans="1:54" x14ac:dyDescent="0.3">
      <c r="A10565" s="66"/>
      <c r="B10565" s="67"/>
      <c r="C10565" s="66"/>
      <c r="D10565" s="68"/>
      <c r="E10565" s="10"/>
      <c r="F10565" s="69"/>
      <c r="G10565" s="68"/>
      <c r="H10565" s="70"/>
      <c r="BA10565" s="4"/>
      <c r="BB10565" s="4"/>
    </row>
    <row r="10566" spans="1:54" x14ac:dyDescent="0.3">
      <c r="A10566" s="66"/>
      <c r="B10566" s="67"/>
      <c r="C10566" s="66"/>
      <c r="D10566" s="68"/>
      <c r="E10566" s="10"/>
      <c r="F10566" s="69"/>
      <c r="G10566" s="68"/>
      <c r="H10566" s="70"/>
      <c r="BA10566" s="4"/>
      <c r="BB10566" s="4"/>
    </row>
    <row r="10567" spans="1:54" x14ac:dyDescent="0.3">
      <c r="A10567" s="66"/>
      <c r="B10567" s="67"/>
      <c r="C10567" s="66"/>
      <c r="D10567" s="68"/>
      <c r="E10567" s="10"/>
      <c r="F10567" s="69"/>
      <c r="G10567" s="68"/>
      <c r="H10567" s="70"/>
      <c r="BA10567" s="4"/>
      <c r="BB10567" s="4"/>
    </row>
    <row r="10568" spans="1:54" x14ac:dyDescent="0.3">
      <c r="A10568" s="66"/>
      <c r="B10568" s="67"/>
      <c r="C10568" s="66"/>
      <c r="D10568" s="68"/>
      <c r="E10568" s="10"/>
      <c r="F10568" s="69"/>
      <c r="G10568" s="68"/>
      <c r="H10568" s="70"/>
      <c r="BA10568" s="4"/>
      <c r="BB10568" s="4"/>
    </row>
    <row r="10569" spans="1:54" x14ac:dyDescent="0.3">
      <c r="A10569" s="66"/>
      <c r="B10569" s="67"/>
      <c r="C10569" s="66"/>
      <c r="D10569" s="68"/>
      <c r="E10569" s="10"/>
      <c r="F10569" s="69"/>
      <c r="G10569" s="68"/>
      <c r="H10569" s="70"/>
      <c r="BA10569" s="4"/>
      <c r="BB10569" s="4"/>
    </row>
    <row r="10570" spans="1:54" x14ac:dyDescent="0.3">
      <c r="A10570" s="66"/>
      <c r="B10570" s="67"/>
      <c r="C10570" s="66"/>
      <c r="D10570" s="68"/>
      <c r="E10570" s="10"/>
      <c r="F10570" s="69"/>
      <c r="G10570" s="68"/>
      <c r="H10570" s="70"/>
      <c r="BA10570" s="4"/>
      <c r="BB10570" s="4"/>
    </row>
    <row r="10571" spans="1:54" x14ac:dyDescent="0.3">
      <c r="A10571" s="66"/>
      <c r="B10571" s="67"/>
      <c r="C10571" s="66"/>
      <c r="D10571" s="68"/>
      <c r="E10571" s="10"/>
      <c r="F10571" s="69"/>
      <c r="G10571" s="68"/>
      <c r="H10571" s="70"/>
      <c r="BA10571" s="4"/>
      <c r="BB10571" s="4"/>
    </row>
    <row r="10572" spans="1:54" x14ac:dyDescent="0.3">
      <c r="A10572" s="66"/>
      <c r="B10572" s="67"/>
      <c r="C10572" s="66"/>
      <c r="D10572" s="68"/>
      <c r="E10572" s="10"/>
      <c r="F10572" s="69"/>
      <c r="G10572" s="68"/>
      <c r="H10572" s="70"/>
      <c r="BA10572" s="4"/>
      <c r="BB10572" s="4"/>
    </row>
    <row r="10573" spans="1:54" x14ac:dyDescent="0.3">
      <c r="A10573" s="66"/>
      <c r="B10573" s="67"/>
      <c r="C10573" s="66"/>
      <c r="D10573" s="68"/>
      <c r="E10573" s="10"/>
      <c r="F10573" s="69"/>
      <c r="G10573" s="68"/>
      <c r="H10573" s="70"/>
      <c r="BA10573" s="4"/>
      <c r="BB10573" s="4"/>
    </row>
    <row r="10574" spans="1:54" x14ac:dyDescent="0.3">
      <c r="A10574" s="66"/>
      <c r="B10574" s="67"/>
      <c r="C10574" s="66"/>
      <c r="D10574" s="68"/>
      <c r="E10574" s="10"/>
      <c r="F10574" s="69"/>
      <c r="G10574" s="68"/>
      <c r="H10574" s="70"/>
      <c r="BA10574" s="4"/>
      <c r="BB10574" s="4"/>
    </row>
    <row r="10575" spans="1:54" x14ac:dyDescent="0.3">
      <c r="A10575" s="66"/>
      <c r="B10575" s="67"/>
      <c r="C10575" s="66"/>
      <c r="D10575" s="68"/>
      <c r="E10575" s="10"/>
      <c r="F10575" s="69"/>
      <c r="G10575" s="68"/>
      <c r="H10575" s="70"/>
      <c r="BA10575" s="4"/>
      <c r="BB10575" s="4"/>
    </row>
    <row r="10576" spans="1:54" x14ac:dyDescent="0.3">
      <c r="A10576" s="66"/>
      <c r="B10576" s="67"/>
      <c r="C10576" s="66"/>
      <c r="D10576" s="68"/>
      <c r="E10576" s="10"/>
      <c r="F10576" s="69"/>
      <c r="G10576" s="68"/>
      <c r="H10576" s="70"/>
      <c r="BA10576" s="4"/>
      <c r="BB10576" s="4"/>
    </row>
    <row r="10577" spans="1:54" x14ac:dyDescent="0.3">
      <c r="A10577" s="66"/>
      <c r="B10577" s="67"/>
      <c r="C10577" s="66"/>
      <c r="D10577" s="68"/>
      <c r="E10577" s="10"/>
      <c r="F10577" s="69"/>
      <c r="G10577" s="68"/>
      <c r="H10577" s="70"/>
      <c r="BA10577" s="4"/>
      <c r="BB10577" s="4"/>
    </row>
    <row r="10578" spans="1:54" x14ac:dyDescent="0.3">
      <c r="A10578" s="66"/>
      <c r="B10578" s="67"/>
      <c r="C10578" s="66"/>
      <c r="D10578" s="68"/>
      <c r="E10578" s="10"/>
      <c r="F10578" s="69"/>
      <c r="G10578" s="68"/>
      <c r="H10578" s="70"/>
      <c r="BA10578" s="4"/>
      <c r="BB10578" s="4"/>
    </row>
    <row r="10579" spans="1:54" x14ac:dyDescent="0.3">
      <c r="A10579" s="66"/>
      <c r="B10579" s="67"/>
      <c r="C10579" s="66"/>
      <c r="D10579" s="68"/>
      <c r="E10579" s="10"/>
      <c r="F10579" s="69"/>
      <c r="G10579" s="68"/>
      <c r="H10579" s="70"/>
      <c r="BA10579" s="4"/>
      <c r="BB10579" s="4"/>
    </row>
    <row r="10580" spans="1:54" x14ac:dyDescent="0.3">
      <c r="A10580" s="66"/>
      <c r="B10580" s="67"/>
      <c r="C10580" s="66"/>
      <c r="D10580" s="68"/>
      <c r="E10580" s="10"/>
      <c r="F10580" s="69"/>
      <c r="G10580" s="68"/>
      <c r="H10580" s="70"/>
      <c r="BA10580" s="4"/>
      <c r="BB10580" s="4"/>
    </row>
    <row r="10581" spans="1:54" x14ac:dyDescent="0.3">
      <c r="A10581" s="66"/>
      <c r="B10581" s="67"/>
      <c r="C10581" s="66"/>
      <c r="D10581" s="68"/>
      <c r="E10581" s="10"/>
      <c r="F10581" s="69"/>
      <c r="G10581" s="68"/>
      <c r="H10581" s="70"/>
      <c r="BA10581" s="4"/>
      <c r="BB10581" s="4"/>
    </row>
    <row r="10582" spans="1:54" x14ac:dyDescent="0.3">
      <c r="A10582" s="66"/>
      <c r="B10582" s="67"/>
      <c r="C10582" s="66"/>
      <c r="D10582" s="68"/>
      <c r="E10582" s="10"/>
      <c r="F10582" s="69"/>
      <c r="G10582" s="68"/>
      <c r="H10582" s="70"/>
      <c r="BA10582" s="4"/>
      <c r="BB10582" s="4"/>
    </row>
    <row r="10583" spans="1:54" x14ac:dyDescent="0.3">
      <c r="A10583" s="66"/>
      <c r="B10583" s="67"/>
      <c r="C10583" s="66"/>
      <c r="D10583" s="68"/>
      <c r="E10583" s="10"/>
      <c r="F10583" s="69"/>
      <c r="G10583" s="68"/>
      <c r="H10583" s="70"/>
      <c r="BA10583" s="4"/>
      <c r="BB10583" s="4"/>
    </row>
    <row r="10584" spans="1:54" x14ac:dyDescent="0.3">
      <c r="A10584" s="66"/>
      <c r="B10584" s="67"/>
      <c r="C10584" s="66"/>
      <c r="D10584" s="68"/>
      <c r="E10584" s="10"/>
      <c r="F10584" s="69"/>
      <c r="G10584" s="68"/>
      <c r="H10584" s="70"/>
      <c r="BA10584" s="4"/>
      <c r="BB10584" s="4"/>
    </row>
    <row r="10585" spans="1:54" x14ac:dyDescent="0.3">
      <c r="A10585" s="66"/>
      <c r="B10585" s="67"/>
      <c r="C10585" s="66"/>
      <c r="D10585" s="68"/>
      <c r="E10585" s="10"/>
      <c r="F10585" s="69"/>
      <c r="G10585" s="68"/>
      <c r="H10585" s="70"/>
      <c r="BA10585" s="4"/>
      <c r="BB10585" s="4"/>
    </row>
    <row r="10586" spans="1:54" x14ac:dyDescent="0.3">
      <c r="A10586" s="66"/>
      <c r="B10586" s="67"/>
      <c r="C10586" s="66"/>
      <c r="D10586" s="68"/>
      <c r="E10586" s="10"/>
      <c r="F10586" s="69"/>
      <c r="G10586" s="68"/>
      <c r="H10586" s="70"/>
      <c r="BA10586" s="4"/>
      <c r="BB10586" s="4"/>
    </row>
    <row r="10587" spans="1:54" x14ac:dyDescent="0.3">
      <c r="A10587" s="66"/>
      <c r="B10587" s="67"/>
      <c r="C10587" s="66"/>
      <c r="D10587" s="68"/>
      <c r="E10587" s="10"/>
      <c r="F10587" s="69"/>
      <c r="G10587" s="68"/>
      <c r="H10587" s="70"/>
      <c r="BA10587" s="4"/>
      <c r="BB10587" s="4"/>
    </row>
    <row r="10588" spans="1:54" x14ac:dyDescent="0.3">
      <c r="A10588" s="66"/>
      <c r="B10588" s="67"/>
      <c r="C10588" s="66"/>
      <c r="D10588" s="68"/>
      <c r="E10588" s="10"/>
      <c r="F10588" s="69"/>
      <c r="G10588" s="68"/>
      <c r="H10588" s="70"/>
      <c r="BA10588" s="4"/>
      <c r="BB10588" s="4"/>
    </row>
    <row r="10589" spans="1:54" x14ac:dyDescent="0.3">
      <c r="A10589" s="66"/>
      <c r="B10589" s="67"/>
      <c r="C10589" s="66"/>
      <c r="D10589" s="68"/>
      <c r="E10589" s="10"/>
      <c r="F10589" s="69"/>
      <c r="G10589" s="68"/>
      <c r="H10589" s="70"/>
      <c r="BA10589" s="4"/>
      <c r="BB10589" s="4"/>
    </row>
    <row r="10590" spans="1:54" x14ac:dyDescent="0.3">
      <c r="A10590" s="66"/>
      <c r="B10590" s="67"/>
      <c r="C10590" s="66"/>
      <c r="D10590" s="68"/>
      <c r="E10590" s="10"/>
      <c r="F10590" s="69"/>
      <c r="G10590" s="68"/>
      <c r="H10590" s="70"/>
      <c r="BA10590" s="4"/>
      <c r="BB10590" s="4"/>
    </row>
    <row r="10591" spans="1:54" x14ac:dyDescent="0.3">
      <c r="A10591" s="66"/>
      <c r="B10591" s="67"/>
      <c r="C10591" s="66"/>
      <c r="D10591" s="68"/>
      <c r="E10591" s="10"/>
      <c r="F10591" s="69"/>
      <c r="G10591" s="68"/>
      <c r="H10591" s="70"/>
      <c r="BA10591" s="4"/>
      <c r="BB10591" s="4"/>
    </row>
    <row r="10592" spans="1:54" x14ac:dyDescent="0.3">
      <c r="A10592" s="66"/>
      <c r="B10592" s="67"/>
      <c r="C10592" s="66"/>
      <c r="D10592" s="68"/>
      <c r="E10592" s="10"/>
      <c r="F10592" s="69"/>
      <c r="G10592" s="68"/>
      <c r="H10592" s="70"/>
      <c r="BA10592" s="4"/>
      <c r="BB10592" s="4"/>
    </row>
    <row r="10593" spans="1:54" x14ac:dyDescent="0.3">
      <c r="A10593" s="66"/>
      <c r="B10593" s="67"/>
      <c r="C10593" s="66"/>
      <c r="D10593" s="68"/>
      <c r="E10593" s="10"/>
      <c r="F10593" s="69"/>
      <c r="G10593" s="68"/>
      <c r="H10593" s="70"/>
      <c r="BA10593" s="4"/>
      <c r="BB10593" s="4"/>
    </row>
    <row r="10594" spans="1:54" x14ac:dyDescent="0.3">
      <c r="A10594" s="66"/>
      <c r="B10594" s="67"/>
      <c r="C10594" s="66"/>
      <c r="D10594" s="68"/>
      <c r="E10594" s="10"/>
      <c r="F10594" s="69"/>
      <c r="G10594" s="68"/>
      <c r="H10594" s="70"/>
      <c r="BA10594" s="4"/>
      <c r="BB10594" s="4"/>
    </row>
    <row r="10595" spans="1:54" x14ac:dyDescent="0.3">
      <c r="A10595" s="66"/>
      <c r="B10595" s="67"/>
      <c r="C10595" s="66"/>
      <c r="D10595" s="68"/>
      <c r="E10595" s="10"/>
      <c r="F10595" s="69"/>
      <c r="G10595" s="68"/>
      <c r="H10595" s="70"/>
      <c r="BA10595" s="4"/>
      <c r="BB10595" s="4"/>
    </row>
    <row r="10596" spans="1:54" x14ac:dyDescent="0.3">
      <c r="A10596" s="66"/>
      <c r="B10596" s="67"/>
      <c r="C10596" s="66"/>
      <c r="D10596" s="68"/>
      <c r="E10596" s="10"/>
      <c r="F10596" s="69"/>
      <c r="G10596" s="68"/>
      <c r="H10596" s="70"/>
      <c r="BA10596" s="4"/>
      <c r="BB10596" s="4"/>
    </row>
    <row r="10597" spans="1:54" x14ac:dyDescent="0.3">
      <c r="A10597" s="66"/>
      <c r="B10597" s="67"/>
      <c r="C10597" s="66"/>
      <c r="D10597" s="68"/>
      <c r="E10597" s="10"/>
      <c r="F10597" s="69"/>
      <c r="G10597" s="68"/>
      <c r="H10597" s="70"/>
      <c r="BA10597" s="4"/>
      <c r="BB10597" s="4"/>
    </row>
    <row r="10598" spans="1:54" x14ac:dyDescent="0.3">
      <c r="A10598" s="66"/>
      <c r="B10598" s="67"/>
      <c r="C10598" s="66"/>
      <c r="D10598" s="68"/>
      <c r="E10598" s="10"/>
      <c r="F10598" s="69"/>
      <c r="G10598" s="68"/>
      <c r="H10598" s="70"/>
      <c r="BA10598" s="4"/>
      <c r="BB10598" s="4"/>
    </row>
    <row r="10599" spans="1:54" x14ac:dyDescent="0.3">
      <c r="A10599" s="66"/>
      <c r="B10599" s="67"/>
      <c r="C10599" s="66"/>
      <c r="D10599" s="68"/>
      <c r="E10599" s="10"/>
      <c r="F10599" s="69"/>
      <c r="G10599" s="68"/>
      <c r="H10599" s="70"/>
      <c r="BA10599" s="4"/>
      <c r="BB10599" s="4"/>
    </row>
    <row r="10600" spans="1:54" x14ac:dyDescent="0.3">
      <c r="A10600" s="66"/>
      <c r="B10600" s="67"/>
      <c r="C10600" s="66"/>
      <c r="D10600" s="68"/>
      <c r="E10600" s="10"/>
      <c r="F10600" s="69"/>
      <c r="G10600" s="68"/>
      <c r="H10600" s="70"/>
      <c r="BA10600" s="4"/>
      <c r="BB10600" s="4"/>
    </row>
    <row r="10601" spans="1:54" x14ac:dyDescent="0.3">
      <c r="A10601" s="66"/>
      <c r="B10601" s="67"/>
      <c r="C10601" s="66"/>
      <c r="D10601" s="68"/>
      <c r="E10601" s="10"/>
      <c r="F10601" s="69"/>
      <c r="G10601" s="68"/>
      <c r="H10601" s="70"/>
      <c r="BA10601" s="4"/>
      <c r="BB10601" s="4"/>
    </row>
    <row r="10602" spans="1:54" x14ac:dyDescent="0.3">
      <c r="A10602" s="66"/>
      <c r="B10602" s="67"/>
      <c r="C10602" s="66"/>
      <c r="D10602" s="68"/>
      <c r="E10602" s="10"/>
      <c r="F10602" s="69"/>
      <c r="G10602" s="68"/>
      <c r="H10602" s="70"/>
      <c r="BA10602" s="4"/>
      <c r="BB10602" s="4"/>
    </row>
    <row r="10603" spans="1:54" x14ac:dyDescent="0.3">
      <c r="A10603" s="66"/>
      <c r="B10603" s="67"/>
      <c r="C10603" s="66"/>
      <c r="D10603" s="68"/>
      <c r="E10603" s="10"/>
      <c r="F10603" s="69"/>
      <c r="G10603" s="68"/>
      <c r="H10603" s="70"/>
      <c r="BA10603" s="4"/>
      <c r="BB10603" s="4"/>
    </row>
    <row r="10604" spans="1:54" x14ac:dyDescent="0.3">
      <c r="A10604" s="66"/>
      <c r="B10604" s="67"/>
      <c r="C10604" s="66"/>
      <c r="D10604" s="68"/>
      <c r="E10604" s="10"/>
      <c r="F10604" s="69"/>
      <c r="G10604" s="68"/>
      <c r="H10604" s="70"/>
      <c r="BA10604" s="4"/>
      <c r="BB10604" s="4"/>
    </row>
    <row r="10605" spans="1:54" x14ac:dyDescent="0.3">
      <c r="A10605" s="66"/>
      <c r="B10605" s="67"/>
      <c r="C10605" s="66"/>
      <c r="D10605" s="68"/>
      <c r="E10605" s="10"/>
      <c r="F10605" s="69"/>
      <c r="G10605" s="68"/>
      <c r="H10605" s="70"/>
      <c r="BA10605" s="4"/>
      <c r="BB10605" s="4"/>
    </row>
    <row r="10606" spans="1:54" x14ac:dyDescent="0.3">
      <c r="A10606" s="66"/>
      <c r="B10606" s="67"/>
      <c r="C10606" s="66"/>
      <c r="D10606" s="68"/>
      <c r="E10606" s="10"/>
      <c r="F10606" s="69"/>
      <c r="G10606" s="68"/>
      <c r="H10606" s="70"/>
      <c r="BA10606" s="4"/>
      <c r="BB10606" s="4"/>
    </row>
    <row r="10607" spans="1:54" x14ac:dyDescent="0.3">
      <c r="A10607" s="66"/>
      <c r="B10607" s="67"/>
      <c r="C10607" s="66"/>
      <c r="D10607" s="68"/>
      <c r="E10607" s="10"/>
      <c r="F10607" s="69"/>
      <c r="G10607" s="68"/>
      <c r="H10607" s="70"/>
      <c r="BA10607" s="4"/>
      <c r="BB10607" s="4"/>
    </row>
    <row r="10608" spans="1:54" x14ac:dyDescent="0.3">
      <c r="A10608" s="66"/>
      <c r="B10608" s="67"/>
      <c r="C10608" s="66"/>
      <c r="D10608" s="68"/>
      <c r="E10608" s="10"/>
      <c r="F10608" s="69"/>
      <c r="G10608" s="68"/>
      <c r="H10608" s="70"/>
      <c r="BA10608" s="4"/>
      <c r="BB10608" s="4"/>
    </row>
    <row r="10609" spans="1:54" x14ac:dyDescent="0.3">
      <c r="A10609" s="66"/>
      <c r="B10609" s="67"/>
      <c r="C10609" s="66"/>
      <c r="D10609" s="68"/>
      <c r="E10609" s="10"/>
      <c r="F10609" s="69"/>
      <c r="G10609" s="68"/>
      <c r="H10609" s="70"/>
      <c r="BA10609" s="4"/>
      <c r="BB10609" s="4"/>
    </row>
    <row r="10610" spans="1:54" x14ac:dyDescent="0.3">
      <c r="A10610" s="66"/>
      <c r="B10610" s="67"/>
      <c r="C10610" s="66"/>
      <c r="D10610" s="68"/>
      <c r="E10610" s="10"/>
      <c r="F10610" s="69"/>
      <c r="G10610" s="68"/>
      <c r="H10610" s="70"/>
      <c r="BA10610" s="4"/>
      <c r="BB10610" s="4"/>
    </row>
    <row r="10611" spans="1:54" x14ac:dyDescent="0.3">
      <c r="A10611" s="66"/>
      <c r="B10611" s="67"/>
      <c r="C10611" s="66"/>
      <c r="D10611" s="68"/>
      <c r="E10611" s="10"/>
      <c r="F10611" s="69"/>
      <c r="G10611" s="68"/>
      <c r="H10611" s="70"/>
      <c r="BA10611" s="4"/>
      <c r="BB10611" s="4"/>
    </row>
    <row r="10612" spans="1:54" x14ac:dyDescent="0.3">
      <c r="A10612" s="66"/>
      <c r="B10612" s="67"/>
      <c r="C10612" s="66"/>
      <c r="D10612" s="68"/>
      <c r="E10612" s="10"/>
      <c r="F10612" s="69"/>
      <c r="G10612" s="68"/>
      <c r="H10612" s="70"/>
      <c r="BA10612" s="4"/>
      <c r="BB10612" s="4"/>
    </row>
    <row r="10613" spans="1:54" x14ac:dyDescent="0.3">
      <c r="A10613" s="66"/>
      <c r="B10613" s="67"/>
      <c r="C10613" s="66"/>
      <c r="D10613" s="68"/>
      <c r="E10613" s="10"/>
      <c r="F10613" s="69"/>
      <c r="G10613" s="68"/>
      <c r="H10613" s="70"/>
      <c r="BA10613" s="4"/>
      <c r="BB10613" s="4"/>
    </row>
    <row r="10614" spans="1:54" x14ac:dyDescent="0.3">
      <c r="A10614" s="66"/>
      <c r="B10614" s="67"/>
      <c r="C10614" s="66"/>
      <c r="D10614" s="68"/>
      <c r="E10614" s="10"/>
      <c r="F10614" s="69"/>
      <c r="G10614" s="68"/>
      <c r="H10614" s="70"/>
      <c r="BA10614" s="4"/>
      <c r="BB10614" s="4"/>
    </row>
    <row r="10615" spans="1:54" x14ac:dyDescent="0.3">
      <c r="A10615" s="66"/>
      <c r="B10615" s="67"/>
      <c r="C10615" s="66"/>
      <c r="D10615" s="68"/>
      <c r="E10615" s="10"/>
      <c r="F10615" s="69"/>
      <c r="G10615" s="68"/>
      <c r="H10615" s="70"/>
      <c r="BA10615" s="4"/>
      <c r="BB10615" s="4"/>
    </row>
    <row r="10616" spans="1:54" x14ac:dyDescent="0.3">
      <c r="A10616" s="66"/>
      <c r="B10616" s="67"/>
      <c r="C10616" s="66"/>
      <c r="D10616" s="68"/>
      <c r="E10616" s="10"/>
      <c r="F10616" s="69"/>
      <c r="G10616" s="68"/>
      <c r="H10616" s="70"/>
      <c r="BA10616" s="4"/>
      <c r="BB10616" s="4"/>
    </row>
    <row r="10617" spans="1:54" x14ac:dyDescent="0.3">
      <c r="A10617" s="66"/>
      <c r="B10617" s="67"/>
      <c r="C10617" s="66"/>
      <c r="D10617" s="68"/>
      <c r="E10617" s="10"/>
      <c r="F10617" s="69"/>
      <c r="G10617" s="68"/>
      <c r="H10617" s="70"/>
      <c r="BA10617" s="4"/>
      <c r="BB10617" s="4"/>
    </row>
    <row r="10618" spans="1:54" x14ac:dyDescent="0.3">
      <c r="A10618" s="66"/>
      <c r="B10618" s="67"/>
      <c r="C10618" s="66"/>
      <c r="D10618" s="68"/>
      <c r="E10618" s="10"/>
      <c r="F10618" s="69"/>
      <c r="G10618" s="68"/>
      <c r="H10618" s="70"/>
      <c r="BA10618" s="4"/>
      <c r="BB10618" s="4"/>
    </row>
    <row r="10619" spans="1:54" x14ac:dyDescent="0.3">
      <c r="A10619" s="66"/>
      <c r="B10619" s="67"/>
      <c r="C10619" s="66"/>
      <c r="D10619" s="68"/>
      <c r="E10619" s="10"/>
      <c r="F10619" s="69"/>
      <c r="G10619" s="68"/>
      <c r="H10619" s="70"/>
      <c r="BA10619" s="4"/>
      <c r="BB10619" s="4"/>
    </row>
    <row r="10620" spans="1:54" x14ac:dyDescent="0.3">
      <c r="A10620" s="66"/>
      <c r="B10620" s="67"/>
      <c r="C10620" s="66"/>
      <c r="D10620" s="68"/>
      <c r="E10620" s="10"/>
      <c r="F10620" s="69"/>
      <c r="G10620" s="68"/>
      <c r="H10620" s="70"/>
      <c r="BA10620" s="4"/>
      <c r="BB10620" s="4"/>
    </row>
    <row r="10621" spans="1:54" x14ac:dyDescent="0.3">
      <c r="A10621" s="66"/>
      <c r="B10621" s="67"/>
      <c r="C10621" s="66"/>
      <c r="D10621" s="68"/>
      <c r="E10621" s="10"/>
      <c r="F10621" s="69"/>
      <c r="G10621" s="68"/>
      <c r="H10621" s="70"/>
      <c r="BA10621" s="4"/>
      <c r="BB10621" s="4"/>
    </row>
    <row r="10622" spans="1:54" x14ac:dyDescent="0.3">
      <c r="A10622" s="66"/>
      <c r="B10622" s="67"/>
      <c r="C10622" s="66"/>
      <c r="D10622" s="68"/>
      <c r="E10622" s="10"/>
      <c r="F10622" s="69"/>
      <c r="G10622" s="68"/>
      <c r="H10622" s="70"/>
      <c r="BA10622" s="4"/>
      <c r="BB10622" s="4"/>
    </row>
    <row r="10623" spans="1:54" x14ac:dyDescent="0.3">
      <c r="A10623" s="66"/>
      <c r="B10623" s="67"/>
      <c r="C10623" s="66"/>
      <c r="D10623" s="68"/>
      <c r="E10623" s="10"/>
      <c r="F10623" s="69"/>
      <c r="G10623" s="68"/>
      <c r="H10623" s="70"/>
      <c r="BA10623" s="4"/>
      <c r="BB10623" s="4"/>
    </row>
    <row r="10624" spans="1:54" x14ac:dyDescent="0.3">
      <c r="A10624" s="66"/>
      <c r="B10624" s="67"/>
      <c r="C10624" s="66"/>
      <c r="D10624" s="68"/>
      <c r="E10624" s="10"/>
      <c r="F10624" s="69"/>
      <c r="G10624" s="68"/>
      <c r="H10624" s="70"/>
      <c r="BA10624" s="4"/>
      <c r="BB10624" s="4"/>
    </row>
    <row r="10625" spans="1:54" x14ac:dyDescent="0.3">
      <c r="A10625" s="66"/>
      <c r="B10625" s="67"/>
      <c r="C10625" s="66"/>
      <c r="D10625" s="68"/>
      <c r="E10625" s="10"/>
      <c r="F10625" s="69"/>
      <c r="G10625" s="68"/>
      <c r="H10625" s="70"/>
      <c r="BA10625" s="4"/>
      <c r="BB10625" s="4"/>
    </row>
    <row r="10626" spans="1:54" x14ac:dyDescent="0.3">
      <c r="A10626" s="66"/>
      <c r="B10626" s="67"/>
      <c r="C10626" s="66"/>
      <c r="D10626" s="68"/>
      <c r="E10626" s="10"/>
      <c r="F10626" s="69"/>
      <c r="G10626" s="68"/>
      <c r="H10626" s="70"/>
      <c r="BA10626" s="4"/>
      <c r="BB10626" s="4"/>
    </row>
    <row r="10627" spans="1:54" x14ac:dyDescent="0.3">
      <c r="A10627" s="66"/>
      <c r="B10627" s="67"/>
      <c r="C10627" s="66"/>
      <c r="D10627" s="68"/>
      <c r="E10627" s="10"/>
      <c r="F10627" s="69"/>
      <c r="G10627" s="68"/>
      <c r="H10627" s="70"/>
      <c r="BA10627" s="4"/>
      <c r="BB10627" s="4"/>
    </row>
    <row r="10628" spans="1:54" x14ac:dyDescent="0.3">
      <c r="A10628" s="66"/>
      <c r="B10628" s="67"/>
      <c r="C10628" s="66"/>
      <c r="D10628" s="68"/>
      <c r="E10628" s="10"/>
      <c r="F10628" s="69"/>
      <c r="G10628" s="68"/>
      <c r="H10628" s="70"/>
      <c r="BA10628" s="4"/>
      <c r="BB10628" s="4"/>
    </row>
    <row r="10629" spans="1:54" x14ac:dyDescent="0.3">
      <c r="A10629" s="66"/>
      <c r="B10629" s="67"/>
      <c r="C10629" s="66"/>
      <c r="D10629" s="68"/>
      <c r="E10629" s="10"/>
      <c r="F10629" s="69"/>
      <c r="G10629" s="68"/>
      <c r="H10629" s="70"/>
      <c r="BA10629" s="4"/>
      <c r="BB10629" s="4"/>
    </row>
    <row r="10630" spans="1:54" x14ac:dyDescent="0.3">
      <c r="A10630" s="66"/>
      <c r="B10630" s="67"/>
      <c r="C10630" s="66"/>
      <c r="D10630" s="68"/>
      <c r="E10630" s="10"/>
      <c r="F10630" s="69"/>
      <c r="G10630" s="68"/>
      <c r="H10630" s="70"/>
      <c r="BA10630" s="4"/>
      <c r="BB10630" s="4"/>
    </row>
    <row r="10631" spans="1:54" x14ac:dyDescent="0.3">
      <c r="A10631" s="66"/>
      <c r="B10631" s="67"/>
      <c r="C10631" s="66"/>
      <c r="D10631" s="68"/>
      <c r="E10631" s="10"/>
      <c r="F10631" s="69"/>
      <c r="G10631" s="68"/>
      <c r="H10631" s="70"/>
      <c r="BA10631" s="4"/>
      <c r="BB10631" s="4"/>
    </row>
    <row r="10632" spans="1:54" x14ac:dyDescent="0.3">
      <c r="A10632" s="66"/>
      <c r="B10632" s="67"/>
      <c r="C10632" s="66"/>
      <c r="D10632" s="68"/>
      <c r="E10632" s="10"/>
      <c r="F10632" s="69"/>
      <c r="G10632" s="68"/>
      <c r="H10632" s="70"/>
      <c r="BA10632" s="4"/>
      <c r="BB10632" s="4"/>
    </row>
    <row r="10633" spans="1:54" x14ac:dyDescent="0.3">
      <c r="A10633" s="66"/>
      <c r="B10633" s="67"/>
      <c r="C10633" s="66"/>
      <c r="D10633" s="68"/>
      <c r="E10633" s="10"/>
      <c r="F10633" s="69"/>
      <c r="G10633" s="68"/>
      <c r="H10633" s="70"/>
      <c r="BA10633" s="4"/>
      <c r="BB10633" s="4"/>
    </row>
    <row r="10634" spans="1:54" x14ac:dyDescent="0.3">
      <c r="A10634" s="66"/>
      <c r="B10634" s="67"/>
      <c r="C10634" s="66"/>
      <c r="D10634" s="68"/>
      <c r="E10634" s="10"/>
      <c r="F10634" s="69"/>
      <c r="G10634" s="68"/>
      <c r="H10634" s="70"/>
      <c r="BA10634" s="4"/>
      <c r="BB10634" s="4"/>
    </row>
    <row r="10635" spans="1:54" x14ac:dyDescent="0.3">
      <c r="A10635" s="66"/>
      <c r="B10635" s="67"/>
      <c r="C10635" s="66"/>
      <c r="D10635" s="68"/>
      <c r="E10635" s="10"/>
      <c r="F10635" s="69"/>
      <c r="G10635" s="68"/>
      <c r="H10635" s="70"/>
      <c r="BA10635" s="4"/>
      <c r="BB10635" s="4"/>
    </row>
    <row r="10636" spans="1:54" x14ac:dyDescent="0.3">
      <c r="A10636" s="66"/>
      <c r="B10636" s="67"/>
      <c r="C10636" s="66"/>
      <c r="D10636" s="68"/>
      <c r="E10636" s="10"/>
      <c r="F10636" s="69"/>
      <c r="G10636" s="68"/>
      <c r="H10636" s="70"/>
      <c r="BA10636" s="4"/>
      <c r="BB10636" s="4"/>
    </row>
    <row r="10637" spans="1:54" x14ac:dyDescent="0.3">
      <c r="A10637" s="66"/>
      <c r="B10637" s="67"/>
      <c r="C10637" s="66"/>
      <c r="D10637" s="68"/>
      <c r="E10637" s="10"/>
      <c r="F10637" s="69"/>
      <c r="G10637" s="68"/>
      <c r="H10637" s="70"/>
      <c r="BA10637" s="4"/>
      <c r="BB10637" s="4"/>
    </row>
    <row r="10638" spans="1:54" x14ac:dyDescent="0.3">
      <c r="A10638" s="66"/>
      <c r="B10638" s="67"/>
      <c r="C10638" s="66"/>
      <c r="D10638" s="68"/>
      <c r="E10638" s="10"/>
      <c r="F10638" s="69"/>
      <c r="G10638" s="68"/>
      <c r="H10638" s="70"/>
      <c r="BA10638" s="4"/>
      <c r="BB10638" s="4"/>
    </row>
    <row r="10639" spans="1:54" x14ac:dyDescent="0.3">
      <c r="A10639" s="66"/>
      <c r="B10639" s="67"/>
      <c r="C10639" s="66"/>
      <c r="D10639" s="68"/>
      <c r="E10639" s="10"/>
      <c r="F10639" s="69"/>
      <c r="G10639" s="68"/>
      <c r="H10639" s="70"/>
      <c r="BA10639" s="4"/>
      <c r="BB10639" s="4"/>
    </row>
    <row r="10640" spans="1:54" x14ac:dyDescent="0.3">
      <c r="A10640" s="66"/>
      <c r="B10640" s="67"/>
      <c r="C10640" s="66"/>
      <c r="D10640" s="68"/>
      <c r="E10640" s="10"/>
      <c r="F10640" s="69"/>
      <c r="G10640" s="68"/>
      <c r="H10640" s="70"/>
      <c r="BA10640" s="4"/>
      <c r="BB10640" s="4"/>
    </row>
    <row r="10641" spans="1:54" x14ac:dyDescent="0.3">
      <c r="A10641" s="66"/>
      <c r="B10641" s="67"/>
      <c r="C10641" s="66"/>
      <c r="D10641" s="68"/>
      <c r="E10641" s="10"/>
      <c r="F10641" s="69"/>
      <c r="G10641" s="68"/>
      <c r="H10641" s="70"/>
      <c r="BA10641" s="4"/>
      <c r="BB10641" s="4"/>
    </row>
    <row r="10642" spans="1:54" x14ac:dyDescent="0.3">
      <c r="A10642" s="66"/>
      <c r="B10642" s="67"/>
      <c r="C10642" s="66"/>
      <c r="D10642" s="68"/>
      <c r="E10642" s="10"/>
      <c r="F10642" s="69"/>
      <c r="G10642" s="68"/>
      <c r="H10642" s="70"/>
      <c r="BA10642" s="4"/>
      <c r="BB10642" s="4"/>
    </row>
    <row r="10643" spans="1:54" x14ac:dyDescent="0.3">
      <c r="A10643" s="66"/>
      <c r="B10643" s="67"/>
      <c r="C10643" s="66"/>
      <c r="D10643" s="68"/>
      <c r="E10643" s="10"/>
      <c r="F10643" s="69"/>
      <c r="G10643" s="68"/>
      <c r="H10643" s="70"/>
      <c r="BA10643" s="4"/>
      <c r="BB10643" s="4"/>
    </row>
    <row r="10644" spans="1:54" x14ac:dyDescent="0.3">
      <c r="A10644" s="66"/>
      <c r="B10644" s="67"/>
      <c r="C10644" s="66"/>
      <c r="D10644" s="68"/>
      <c r="E10644" s="10"/>
      <c r="F10644" s="69"/>
      <c r="G10644" s="68"/>
      <c r="H10644" s="70"/>
      <c r="BA10644" s="4"/>
      <c r="BB10644" s="4"/>
    </row>
    <row r="10645" spans="1:54" x14ac:dyDescent="0.3">
      <c r="A10645" s="66"/>
      <c r="B10645" s="67"/>
      <c r="C10645" s="66"/>
      <c r="D10645" s="68"/>
      <c r="E10645" s="10"/>
      <c r="F10645" s="69"/>
      <c r="G10645" s="68"/>
      <c r="H10645" s="70"/>
      <c r="BA10645" s="4"/>
      <c r="BB10645" s="4"/>
    </row>
    <row r="10646" spans="1:54" x14ac:dyDescent="0.3">
      <c r="A10646" s="66"/>
      <c r="B10646" s="67"/>
      <c r="C10646" s="66"/>
      <c r="D10646" s="68"/>
      <c r="E10646" s="10"/>
      <c r="F10646" s="69"/>
      <c r="G10646" s="68"/>
      <c r="H10646" s="70"/>
      <c r="BA10646" s="4"/>
      <c r="BB10646" s="4"/>
    </row>
    <row r="10647" spans="1:54" x14ac:dyDescent="0.3">
      <c r="A10647" s="66"/>
      <c r="B10647" s="67"/>
      <c r="C10647" s="66"/>
      <c r="D10647" s="68"/>
      <c r="E10647" s="10"/>
      <c r="F10647" s="69"/>
      <c r="G10647" s="68"/>
      <c r="H10647" s="70"/>
      <c r="BA10647" s="4"/>
      <c r="BB10647" s="4"/>
    </row>
    <row r="10648" spans="1:54" x14ac:dyDescent="0.3">
      <c r="A10648" s="66"/>
      <c r="B10648" s="67"/>
      <c r="C10648" s="66"/>
      <c r="D10648" s="68"/>
      <c r="E10648" s="10"/>
      <c r="F10648" s="69"/>
      <c r="G10648" s="68"/>
      <c r="H10648" s="70"/>
      <c r="BA10648" s="4"/>
      <c r="BB10648" s="4"/>
    </row>
    <row r="10649" spans="1:54" x14ac:dyDescent="0.3">
      <c r="A10649" s="66"/>
      <c r="B10649" s="67"/>
      <c r="C10649" s="66"/>
      <c r="D10649" s="68"/>
      <c r="E10649" s="10"/>
      <c r="F10649" s="69"/>
      <c r="G10649" s="68"/>
      <c r="H10649" s="70"/>
      <c r="BA10649" s="4"/>
      <c r="BB10649" s="4"/>
    </row>
    <row r="10650" spans="1:54" x14ac:dyDescent="0.3">
      <c r="A10650" s="66"/>
      <c r="B10650" s="67"/>
      <c r="C10650" s="66"/>
      <c r="D10650" s="68"/>
      <c r="E10650" s="10"/>
      <c r="F10650" s="69"/>
      <c r="G10650" s="68"/>
      <c r="H10650" s="70"/>
      <c r="BA10650" s="4"/>
      <c r="BB10650" s="4"/>
    </row>
    <row r="10651" spans="1:54" x14ac:dyDescent="0.3">
      <c r="A10651" s="66"/>
      <c r="B10651" s="67"/>
      <c r="C10651" s="66"/>
      <c r="D10651" s="68"/>
      <c r="E10651" s="10"/>
      <c r="F10651" s="69"/>
      <c r="G10651" s="68"/>
      <c r="H10651" s="70"/>
      <c r="BA10651" s="4"/>
      <c r="BB10651" s="4"/>
    </row>
    <row r="10652" spans="1:54" x14ac:dyDescent="0.3">
      <c r="A10652" s="66"/>
      <c r="B10652" s="67"/>
      <c r="C10652" s="66"/>
      <c r="D10652" s="68"/>
      <c r="E10652" s="10"/>
      <c r="F10652" s="69"/>
      <c r="G10652" s="68"/>
      <c r="H10652" s="70"/>
      <c r="BA10652" s="4"/>
      <c r="BB10652" s="4"/>
    </row>
    <row r="10653" spans="1:54" x14ac:dyDescent="0.3">
      <c r="A10653" s="66"/>
      <c r="B10653" s="67"/>
      <c r="C10653" s="66"/>
      <c r="D10653" s="68"/>
      <c r="E10653" s="10"/>
      <c r="F10653" s="69"/>
      <c r="G10653" s="68"/>
      <c r="H10653" s="70"/>
      <c r="BA10653" s="4"/>
      <c r="BB10653" s="4"/>
    </row>
    <row r="10654" spans="1:54" x14ac:dyDescent="0.3">
      <c r="A10654" s="66"/>
      <c r="B10654" s="67"/>
      <c r="C10654" s="66"/>
      <c r="D10654" s="68"/>
      <c r="E10654" s="10"/>
      <c r="F10654" s="69"/>
      <c r="G10654" s="68"/>
      <c r="H10654" s="70"/>
      <c r="BA10654" s="4"/>
      <c r="BB10654" s="4"/>
    </row>
    <row r="10655" spans="1:54" x14ac:dyDescent="0.3">
      <c r="A10655" s="66"/>
      <c r="B10655" s="67"/>
      <c r="C10655" s="66"/>
      <c r="D10655" s="68"/>
      <c r="E10655" s="10"/>
      <c r="F10655" s="69"/>
      <c r="G10655" s="68"/>
      <c r="H10655" s="70"/>
      <c r="BA10655" s="4"/>
      <c r="BB10655" s="4"/>
    </row>
    <row r="10656" spans="1:54" x14ac:dyDescent="0.3">
      <c r="A10656" s="66"/>
      <c r="B10656" s="67"/>
      <c r="C10656" s="66"/>
      <c r="D10656" s="68"/>
      <c r="E10656" s="10"/>
      <c r="F10656" s="69"/>
      <c r="G10656" s="68"/>
      <c r="H10656" s="70"/>
      <c r="BA10656" s="4"/>
      <c r="BB10656" s="4"/>
    </row>
    <row r="10657" spans="1:54" x14ac:dyDescent="0.3">
      <c r="A10657" s="66"/>
      <c r="B10657" s="67"/>
      <c r="C10657" s="66"/>
      <c r="D10657" s="68"/>
      <c r="E10657" s="10"/>
      <c r="F10657" s="69"/>
      <c r="G10657" s="68"/>
      <c r="H10657" s="70"/>
      <c r="BA10657" s="4"/>
      <c r="BB10657" s="4"/>
    </row>
    <row r="10658" spans="1:54" x14ac:dyDescent="0.3">
      <c r="A10658" s="66"/>
      <c r="B10658" s="67"/>
      <c r="C10658" s="66"/>
      <c r="D10658" s="68"/>
      <c r="E10658" s="10"/>
      <c r="F10658" s="69"/>
      <c r="G10658" s="68"/>
      <c r="H10658" s="70"/>
      <c r="BA10658" s="4"/>
      <c r="BB10658" s="4"/>
    </row>
    <row r="10659" spans="1:54" x14ac:dyDescent="0.3">
      <c r="A10659" s="66"/>
      <c r="B10659" s="67"/>
      <c r="C10659" s="66"/>
      <c r="D10659" s="68"/>
      <c r="E10659" s="10"/>
      <c r="F10659" s="69"/>
      <c r="G10659" s="68"/>
      <c r="H10659" s="70"/>
      <c r="BA10659" s="4"/>
      <c r="BB10659" s="4"/>
    </row>
    <row r="10660" spans="1:54" x14ac:dyDescent="0.3">
      <c r="A10660" s="66"/>
      <c r="B10660" s="67"/>
      <c r="C10660" s="66"/>
      <c r="D10660" s="68"/>
      <c r="E10660" s="10"/>
      <c r="F10660" s="69"/>
      <c r="G10660" s="68"/>
      <c r="H10660" s="70"/>
      <c r="BA10660" s="4"/>
      <c r="BB10660" s="4"/>
    </row>
    <row r="10661" spans="1:54" x14ac:dyDescent="0.3">
      <c r="A10661" s="66"/>
      <c r="B10661" s="67"/>
      <c r="C10661" s="66"/>
      <c r="D10661" s="68"/>
      <c r="E10661" s="10"/>
      <c r="F10661" s="69"/>
      <c r="G10661" s="68"/>
      <c r="H10661" s="70"/>
      <c r="BA10661" s="4"/>
      <c r="BB10661" s="4"/>
    </row>
    <row r="10662" spans="1:54" x14ac:dyDescent="0.3">
      <c r="A10662" s="66"/>
      <c r="B10662" s="67"/>
      <c r="C10662" s="66"/>
      <c r="D10662" s="68"/>
      <c r="E10662" s="10"/>
      <c r="F10662" s="69"/>
      <c r="G10662" s="68"/>
      <c r="H10662" s="70"/>
      <c r="BA10662" s="4"/>
      <c r="BB10662" s="4"/>
    </row>
    <row r="10663" spans="1:54" x14ac:dyDescent="0.3">
      <c r="A10663" s="66"/>
      <c r="B10663" s="67"/>
      <c r="C10663" s="66"/>
      <c r="D10663" s="68"/>
      <c r="E10663" s="10"/>
      <c r="F10663" s="69"/>
      <c r="G10663" s="68"/>
      <c r="H10663" s="70"/>
      <c r="BA10663" s="4"/>
      <c r="BB10663" s="4"/>
    </row>
    <row r="10664" spans="1:54" x14ac:dyDescent="0.3">
      <c r="A10664" s="66"/>
      <c r="B10664" s="67"/>
      <c r="C10664" s="66"/>
      <c r="D10664" s="68"/>
      <c r="E10664" s="10"/>
      <c r="F10664" s="69"/>
      <c r="G10664" s="68"/>
      <c r="H10664" s="70"/>
      <c r="BA10664" s="4"/>
      <c r="BB10664" s="4"/>
    </row>
    <row r="10665" spans="1:54" x14ac:dyDescent="0.3">
      <c r="A10665" s="66"/>
      <c r="B10665" s="67"/>
      <c r="C10665" s="66"/>
      <c r="D10665" s="68"/>
      <c r="E10665" s="10"/>
      <c r="F10665" s="69"/>
      <c r="G10665" s="68"/>
      <c r="H10665" s="70"/>
      <c r="BA10665" s="4"/>
      <c r="BB10665" s="4"/>
    </row>
    <row r="10666" spans="1:54" x14ac:dyDescent="0.3">
      <c r="A10666" s="66"/>
      <c r="B10666" s="67"/>
      <c r="C10666" s="66"/>
      <c r="D10666" s="68"/>
      <c r="E10666" s="10"/>
      <c r="F10666" s="69"/>
      <c r="G10666" s="68"/>
      <c r="H10666" s="70"/>
      <c r="BA10666" s="4"/>
      <c r="BB10666" s="4"/>
    </row>
    <row r="10667" spans="1:54" x14ac:dyDescent="0.3">
      <c r="A10667" s="66"/>
      <c r="B10667" s="67"/>
      <c r="C10667" s="66"/>
      <c r="D10667" s="68"/>
      <c r="E10667" s="10"/>
      <c r="F10667" s="69"/>
      <c r="G10667" s="68"/>
      <c r="H10667" s="70"/>
      <c r="BA10667" s="4"/>
      <c r="BB10667" s="4"/>
    </row>
    <row r="10668" spans="1:54" x14ac:dyDescent="0.3">
      <c r="A10668" s="66"/>
      <c r="B10668" s="67"/>
      <c r="C10668" s="66"/>
      <c r="D10668" s="68"/>
      <c r="E10668" s="10"/>
      <c r="F10668" s="69"/>
      <c r="G10668" s="68"/>
      <c r="H10668" s="70"/>
      <c r="BA10668" s="4"/>
      <c r="BB10668" s="4"/>
    </row>
    <row r="10669" spans="1:54" x14ac:dyDescent="0.3">
      <c r="A10669" s="66"/>
      <c r="B10669" s="67"/>
      <c r="C10669" s="66"/>
      <c r="D10669" s="68"/>
      <c r="E10669" s="10"/>
      <c r="F10669" s="69"/>
      <c r="G10669" s="68"/>
      <c r="H10669" s="70"/>
      <c r="BA10669" s="4"/>
      <c r="BB10669" s="4"/>
    </row>
    <row r="10670" spans="1:54" x14ac:dyDescent="0.3">
      <c r="A10670" s="66"/>
      <c r="B10670" s="67"/>
      <c r="C10670" s="66"/>
      <c r="D10670" s="68"/>
      <c r="E10670" s="10"/>
      <c r="F10670" s="69"/>
      <c r="G10670" s="68"/>
      <c r="H10670" s="70"/>
      <c r="BA10670" s="4"/>
      <c r="BB10670" s="4"/>
    </row>
    <row r="10671" spans="1:54" x14ac:dyDescent="0.3">
      <c r="A10671" s="66"/>
      <c r="B10671" s="67"/>
      <c r="C10671" s="66"/>
      <c r="D10671" s="68"/>
      <c r="E10671" s="10"/>
      <c r="F10671" s="69"/>
      <c r="G10671" s="68"/>
      <c r="H10671" s="70"/>
      <c r="BA10671" s="4"/>
      <c r="BB10671" s="4"/>
    </row>
    <row r="10672" spans="1:54" x14ac:dyDescent="0.3">
      <c r="A10672" s="66"/>
      <c r="B10672" s="67"/>
      <c r="C10672" s="66"/>
      <c r="D10672" s="68"/>
      <c r="E10672" s="10"/>
      <c r="F10672" s="69"/>
      <c r="G10672" s="68"/>
      <c r="H10672" s="70"/>
      <c r="BA10672" s="4"/>
      <c r="BB10672" s="4"/>
    </row>
    <row r="10673" spans="1:54" x14ac:dyDescent="0.3">
      <c r="A10673" s="66"/>
      <c r="B10673" s="67"/>
      <c r="C10673" s="66"/>
      <c r="D10673" s="68"/>
      <c r="E10673" s="10"/>
      <c r="F10673" s="69"/>
      <c r="G10673" s="68"/>
      <c r="H10673" s="70"/>
      <c r="BA10673" s="4"/>
      <c r="BB10673" s="4"/>
    </row>
    <row r="10674" spans="1:54" x14ac:dyDescent="0.3">
      <c r="A10674" s="66"/>
      <c r="B10674" s="67"/>
      <c r="C10674" s="66"/>
      <c r="D10674" s="68"/>
      <c r="E10674" s="10"/>
      <c r="F10674" s="69"/>
      <c r="G10674" s="68"/>
      <c r="H10674" s="70"/>
      <c r="BA10674" s="4"/>
      <c r="BB10674" s="4"/>
    </row>
    <row r="10675" spans="1:54" x14ac:dyDescent="0.3">
      <c r="A10675" s="66"/>
      <c r="B10675" s="67"/>
      <c r="C10675" s="66"/>
      <c r="D10675" s="68"/>
      <c r="E10675" s="10"/>
      <c r="F10675" s="69"/>
      <c r="G10675" s="68"/>
      <c r="H10675" s="70"/>
      <c r="BA10675" s="4"/>
      <c r="BB10675" s="4"/>
    </row>
    <row r="10676" spans="1:54" x14ac:dyDescent="0.3">
      <c r="A10676" s="66"/>
      <c r="B10676" s="67"/>
      <c r="C10676" s="66"/>
      <c r="D10676" s="68"/>
      <c r="E10676" s="10"/>
      <c r="F10676" s="69"/>
      <c r="G10676" s="68"/>
      <c r="H10676" s="70"/>
      <c r="BA10676" s="4"/>
      <c r="BB10676" s="4"/>
    </row>
    <row r="10677" spans="1:54" x14ac:dyDescent="0.3">
      <c r="A10677" s="66"/>
      <c r="B10677" s="67"/>
      <c r="C10677" s="66"/>
      <c r="D10677" s="68"/>
      <c r="E10677" s="10"/>
      <c r="F10677" s="69"/>
      <c r="G10677" s="68"/>
      <c r="H10677" s="70"/>
      <c r="BA10677" s="4"/>
      <c r="BB10677" s="4"/>
    </row>
    <row r="10678" spans="1:54" x14ac:dyDescent="0.3">
      <c r="A10678" s="66"/>
      <c r="B10678" s="67"/>
      <c r="C10678" s="66"/>
      <c r="D10678" s="68"/>
      <c r="E10678" s="10"/>
      <c r="F10678" s="69"/>
      <c r="G10678" s="68"/>
      <c r="H10678" s="70"/>
      <c r="BA10678" s="4"/>
      <c r="BB10678" s="4"/>
    </row>
    <row r="10679" spans="1:54" x14ac:dyDescent="0.3">
      <c r="A10679" s="66"/>
      <c r="B10679" s="67"/>
      <c r="C10679" s="66"/>
      <c r="D10679" s="68"/>
      <c r="E10679" s="10"/>
      <c r="F10679" s="69"/>
      <c r="G10679" s="68"/>
      <c r="H10679" s="70"/>
      <c r="BA10679" s="4"/>
      <c r="BB10679" s="4"/>
    </row>
    <row r="10680" spans="1:54" x14ac:dyDescent="0.3">
      <c r="A10680" s="66"/>
      <c r="B10680" s="67"/>
      <c r="C10680" s="66"/>
      <c r="D10680" s="68"/>
      <c r="E10680" s="10"/>
      <c r="F10680" s="69"/>
      <c r="G10680" s="68"/>
      <c r="H10680" s="70"/>
      <c r="BA10680" s="4"/>
      <c r="BB10680" s="4"/>
    </row>
    <row r="10681" spans="1:54" x14ac:dyDescent="0.3">
      <c r="A10681" s="66"/>
      <c r="B10681" s="67"/>
      <c r="C10681" s="66"/>
      <c r="D10681" s="68"/>
      <c r="E10681" s="10"/>
      <c r="F10681" s="69"/>
      <c r="G10681" s="68"/>
      <c r="H10681" s="70"/>
      <c r="BA10681" s="4"/>
      <c r="BB10681" s="4"/>
    </row>
    <row r="10682" spans="1:54" x14ac:dyDescent="0.3">
      <c r="A10682" s="66"/>
      <c r="B10682" s="67"/>
      <c r="C10682" s="66"/>
      <c r="D10682" s="68"/>
      <c r="E10682" s="10"/>
      <c r="F10682" s="69"/>
      <c r="G10682" s="68"/>
      <c r="H10682" s="70"/>
      <c r="BA10682" s="4"/>
      <c r="BB10682" s="4"/>
    </row>
    <row r="10683" spans="1:54" x14ac:dyDescent="0.3">
      <c r="A10683" s="66"/>
      <c r="B10683" s="67"/>
      <c r="C10683" s="66"/>
      <c r="D10683" s="68"/>
      <c r="E10683" s="10"/>
      <c r="F10683" s="69"/>
      <c r="G10683" s="68"/>
      <c r="H10683" s="70"/>
      <c r="BA10683" s="4"/>
      <c r="BB10683" s="4"/>
    </row>
    <row r="10684" spans="1:54" x14ac:dyDescent="0.3">
      <c r="A10684" s="66"/>
      <c r="B10684" s="67"/>
      <c r="C10684" s="66"/>
      <c r="D10684" s="68"/>
      <c r="E10684" s="10"/>
      <c r="F10684" s="69"/>
      <c r="G10684" s="68"/>
      <c r="H10684" s="70"/>
      <c r="BA10684" s="4"/>
      <c r="BB10684" s="4"/>
    </row>
    <row r="10685" spans="1:54" x14ac:dyDescent="0.3">
      <c r="A10685" s="66"/>
      <c r="B10685" s="67"/>
      <c r="C10685" s="66"/>
      <c r="D10685" s="68"/>
      <c r="E10685" s="10"/>
      <c r="F10685" s="69"/>
      <c r="G10685" s="68"/>
      <c r="H10685" s="70"/>
      <c r="BA10685" s="4"/>
      <c r="BB10685" s="4"/>
    </row>
    <row r="10686" spans="1:54" x14ac:dyDescent="0.3">
      <c r="A10686" s="66"/>
      <c r="B10686" s="67"/>
      <c r="C10686" s="66"/>
      <c r="D10686" s="68"/>
      <c r="E10686" s="10"/>
      <c r="F10686" s="69"/>
      <c r="G10686" s="68"/>
      <c r="H10686" s="70"/>
      <c r="BA10686" s="4"/>
      <c r="BB10686" s="4"/>
    </row>
    <row r="10687" spans="1:54" x14ac:dyDescent="0.3">
      <c r="A10687" s="66"/>
      <c r="B10687" s="67"/>
      <c r="C10687" s="66"/>
      <c r="D10687" s="68"/>
      <c r="E10687" s="10"/>
      <c r="F10687" s="69"/>
      <c r="G10687" s="68"/>
      <c r="H10687" s="70"/>
      <c r="BA10687" s="4"/>
      <c r="BB10687" s="4"/>
    </row>
    <row r="10688" spans="1:54" x14ac:dyDescent="0.3">
      <c r="A10688" s="66"/>
      <c r="B10688" s="67"/>
      <c r="C10688" s="66"/>
      <c r="D10688" s="68"/>
      <c r="E10688" s="10"/>
      <c r="F10688" s="69"/>
      <c r="G10688" s="68"/>
      <c r="H10688" s="70"/>
      <c r="BA10688" s="4"/>
      <c r="BB10688" s="4"/>
    </row>
    <row r="10689" spans="1:54" x14ac:dyDescent="0.3">
      <c r="A10689" s="66"/>
      <c r="B10689" s="67"/>
      <c r="C10689" s="66"/>
      <c r="D10689" s="68"/>
      <c r="E10689" s="10"/>
      <c r="F10689" s="69"/>
      <c r="G10689" s="68"/>
      <c r="H10689" s="70"/>
      <c r="BA10689" s="4"/>
      <c r="BB10689" s="4"/>
    </row>
    <row r="10690" spans="1:54" x14ac:dyDescent="0.3">
      <c r="A10690" s="66"/>
      <c r="B10690" s="67"/>
      <c r="C10690" s="66"/>
      <c r="D10690" s="68"/>
      <c r="E10690" s="10"/>
      <c r="F10690" s="69"/>
      <c r="G10690" s="68"/>
      <c r="H10690" s="70"/>
      <c r="BA10690" s="4"/>
      <c r="BB10690" s="4"/>
    </row>
    <row r="10691" spans="1:54" x14ac:dyDescent="0.3">
      <c r="A10691" s="66"/>
      <c r="B10691" s="67"/>
      <c r="C10691" s="66"/>
      <c r="D10691" s="68"/>
      <c r="E10691" s="10"/>
      <c r="F10691" s="69"/>
      <c r="G10691" s="68"/>
      <c r="H10691" s="70"/>
      <c r="BA10691" s="4"/>
      <c r="BB10691" s="4"/>
    </row>
    <row r="10692" spans="1:54" x14ac:dyDescent="0.3">
      <c r="A10692" s="66"/>
      <c r="B10692" s="67"/>
      <c r="C10692" s="66"/>
      <c r="D10692" s="68"/>
      <c r="E10692" s="10"/>
      <c r="F10692" s="69"/>
      <c r="G10692" s="68"/>
      <c r="H10692" s="70"/>
      <c r="BA10692" s="4"/>
      <c r="BB10692" s="4"/>
    </row>
    <row r="10693" spans="1:54" x14ac:dyDescent="0.3">
      <c r="A10693" s="66"/>
      <c r="B10693" s="67"/>
      <c r="C10693" s="66"/>
      <c r="D10693" s="68"/>
      <c r="E10693" s="10"/>
      <c r="F10693" s="69"/>
      <c r="G10693" s="68"/>
      <c r="H10693" s="70"/>
      <c r="BA10693" s="4"/>
      <c r="BB10693" s="4"/>
    </row>
    <row r="10694" spans="1:54" x14ac:dyDescent="0.3">
      <c r="A10694" s="66"/>
      <c r="B10694" s="67"/>
      <c r="C10694" s="66"/>
      <c r="D10694" s="68"/>
      <c r="E10694" s="10"/>
      <c r="F10694" s="69"/>
      <c r="G10694" s="68"/>
      <c r="H10694" s="70"/>
      <c r="BA10694" s="4"/>
      <c r="BB10694" s="4"/>
    </row>
    <row r="10695" spans="1:54" x14ac:dyDescent="0.3">
      <c r="A10695" s="66"/>
      <c r="B10695" s="67"/>
      <c r="C10695" s="66"/>
      <c r="D10695" s="68"/>
      <c r="E10695" s="10"/>
      <c r="F10695" s="69"/>
      <c r="G10695" s="68"/>
      <c r="H10695" s="70"/>
      <c r="BA10695" s="4"/>
      <c r="BB10695" s="4"/>
    </row>
    <row r="10696" spans="1:54" x14ac:dyDescent="0.3">
      <c r="A10696" s="66"/>
      <c r="B10696" s="67"/>
      <c r="C10696" s="66"/>
      <c r="D10696" s="68"/>
      <c r="E10696" s="10"/>
      <c r="F10696" s="69"/>
      <c r="G10696" s="68"/>
      <c r="H10696" s="70"/>
      <c r="BA10696" s="4"/>
      <c r="BB10696" s="4"/>
    </row>
    <row r="10697" spans="1:54" x14ac:dyDescent="0.3">
      <c r="A10697" s="66"/>
      <c r="B10697" s="67"/>
      <c r="C10697" s="66"/>
      <c r="D10697" s="68"/>
      <c r="E10697" s="10"/>
      <c r="F10697" s="69"/>
      <c r="G10697" s="68"/>
      <c r="H10697" s="70"/>
      <c r="BA10697" s="4"/>
      <c r="BB10697" s="4"/>
    </row>
    <row r="10698" spans="1:54" x14ac:dyDescent="0.3">
      <c r="A10698" s="66"/>
      <c r="B10698" s="67"/>
      <c r="C10698" s="66"/>
      <c r="D10698" s="68"/>
      <c r="E10698" s="10"/>
      <c r="F10698" s="69"/>
      <c r="G10698" s="68"/>
      <c r="H10698" s="70"/>
      <c r="BA10698" s="4"/>
      <c r="BB10698" s="4"/>
    </row>
    <row r="10699" spans="1:54" x14ac:dyDescent="0.3">
      <c r="A10699" s="66"/>
      <c r="B10699" s="67"/>
      <c r="C10699" s="66"/>
      <c r="D10699" s="68"/>
      <c r="E10699" s="10"/>
      <c r="F10699" s="69"/>
      <c r="G10699" s="68"/>
      <c r="H10699" s="70"/>
      <c r="BA10699" s="4"/>
      <c r="BB10699" s="4"/>
    </row>
    <row r="10700" spans="1:54" x14ac:dyDescent="0.3">
      <c r="A10700" s="66"/>
      <c r="B10700" s="67"/>
      <c r="C10700" s="66"/>
      <c r="D10700" s="68"/>
      <c r="E10700" s="10"/>
      <c r="F10700" s="69"/>
      <c r="G10700" s="68"/>
      <c r="H10700" s="70"/>
      <c r="BA10700" s="4"/>
      <c r="BB10700" s="4"/>
    </row>
    <row r="10701" spans="1:54" x14ac:dyDescent="0.3">
      <c r="A10701" s="66"/>
      <c r="B10701" s="67"/>
      <c r="C10701" s="66"/>
      <c r="D10701" s="68"/>
      <c r="E10701" s="10"/>
      <c r="F10701" s="69"/>
      <c r="G10701" s="68"/>
      <c r="H10701" s="70"/>
      <c r="BA10701" s="4"/>
      <c r="BB10701" s="4"/>
    </row>
    <row r="10702" spans="1:54" x14ac:dyDescent="0.3">
      <c r="A10702" s="66"/>
      <c r="B10702" s="67"/>
      <c r="C10702" s="66"/>
      <c r="D10702" s="68"/>
      <c r="E10702" s="10"/>
      <c r="F10702" s="69"/>
      <c r="G10702" s="68"/>
      <c r="H10702" s="70"/>
      <c r="BA10702" s="4"/>
      <c r="BB10702" s="4"/>
    </row>
    <row r="10703" spans="1:54" x14ac:dyDescent="0.3">
      <c r="A10703" s="66"/>
      <c r="B10703" s="67"/>
      <c r="C10703" s="66"/>
      <c r="D10703" s="68"/>
      <c r="E10703" s="10"/>
      <c r="F10703" s="69"/>
      <c r="G10703" s="68"/>
      <c r="H10703" s="70"/>
      <c r="BA10703" s="4"/>
      <c r="BB10703" s="4"/>
    </row>
    <row r="10704" spans="1:54" x14ac:dyDescent="0.3">
      <c r="A10704" s="66"/>
      <c r="B10704" s="67"/>
      <c r="C10704" s="66"/>
      <c r="D10704" s="68"/>
      <c r="E10704" s="10"/>
      <c r="F10704" s="69"/>
      <c r="G10704" s="68"/>
      <c r="H10704" s="70"/>
      <c r="BA10704" s="4"/>
      <c r="BB10704" s="4"/>
    </row>
    <row r="10705" spans="1:54" x14ac:dyDescent="0.3">
      <c r="A10705" s="66"/>
      <c r="B10705" s="67"/>
      <c r="C10705" s="66"/>
      <c r="D10705" s="68"/>
      <c r="E10705" s="10"/>
      <c r="F10705" s="69"/>
      <c r="G10705" s="68"/>
      <c r="H10705" s="70"/>
      <c r="BA10705" s="4"/>
      <c r="BB10705" s="4"/>
    </row>
    <row r="10706" spans="1:54" x14ac:dyDescent="0.3">
      <c r="A10706" s="66"/>
      <c r="B10706" s="67"/>
      <c r="C10706" s="66"/>
      <c r="D10706" s="68"/>
      <c r="E10706" s="10"/>
      <c r="F10706" s="69"/>
      <c r="G10706" s="68"/>
      <c r="H10706" s="70"/>
      <c r="BA10706" s="4"/>
      <c r="BB10706" s="4"/>
    </row>
    <row r="10707" spans="1:54" x14ac:dyDescent="0.3">
      <c r="A10707" s="66"/>
      <c r="B10707" s="67"/>
      <c r="C10707" s="66"/>
      <c r="D10707" s="68"/>
      <c r="E10707" s="10"/>
      <c r="F10707" s="69"/>
      <c r="G10707" s="68"/>
      <c r="H10707" s="70"/>
      <c r="BA10707" s="4"/>
      <c r="BB10707" s="4"/>
    </row>
    <row r="10708" spans="1:54" x14ac:dyDescent="0.3">
      <c r="A10708" s="66"/>
      <c r="B10708" s="67"/>
      <c r="C10708" s="66"/>
      <c r="D10708" s="68"/>
      <c r="E10708" s="10"/>
      <c r="F10708" s="69"/>
      <c r="G10708" s="68"/>
      <c r="H10708" s="70"/>
      <c r="BA10708" s="4"/>
      <c r="BB10708" s="4"/>
    </row>
    <row r="10709" spans="1:54" x14ac:dyDescent="0.3">
      <c r="A10709" s="66"/>
      <c r="B10709" s="67"/>
      <c r="C10709" s="66"/>
      <c r="D10709" s="68"/>
      <c r="E10709" s="10"/>
      <c r="F10709" s="69"/>
      <c r="G10709" s="68"/>
      <c r="H10709" s="70"/>
      <c r="BA10709" s="4"/>
      <c r="BB10709" s="4"/>
    </row>
    <row r="10710" spans="1:54" x14ac:dyDescent="0.3">
      <c r="A10710" s="66"/>
      <c r="B10710" s="67"/>
      <c r="C10710" s="66"/>
      <c r="D10710" s="68"/>
      <c r="E10710" s="10"/>
      <c r="F10710" s="69"/>
      <c r="G10710" s="68"/>
      <c r="H10710" s="70"/>
      <c r="BA10710" s="4"/>
      <c r="BB10710" s="4"/>
    </row>
    <row r="10711" spans="1:54" x14ac:dyDescent="0.3">
      <c r="A10711" s="66"/>
      <c r="B10711" s="67"/>
      <c r="C10711" s="66"/>
      <c r="D10711" s="68"/>
      <c r="E10711" s="10"/>
      <c r="F10711" s="69"/>
      <c r="G10711" s="68"/>
      <c r="H10711" s="70"/>
      <c r="BA10711" s="4"/>
      <c r="BB10711" s="4"/>
    </row>
    <row r="10712" spans="1:54" x14ac:dyDescent="0.3">
      <c r="A10712" s="66"/>
      <c r="B10712" s="67"/>
      <c r="C10712" s="66"/>
      <c r="D10712" s="68"/>
      <c r="E10712" s="10"/>
      <c r="F10712" s="69"/>
      <c r="G10712" s="68"/>
      <c r="H10712" s="70"/>
      <c r="BA10712" s="4"/>
      <c r="BB10712" s="4"/>
    </row>
    <row r="10713" spans="1:54" x14ac:dyDescent="0.3">
      <c r="A10713" s="66"/>
      <c r="B10713" s="67"/>
      <c r="C10713" s="66"/>
      <c r="D10713" s="68"/>
      <c r="E10713" s="10"/>
      <c r="F10713" s="69"/>
      <c r="G10713" s="68"/>
      <c r="H10713" s="70"/>
      <c r="BA10713" s="4"/>
      <c r="BB10713" s="4"/>
    </row>
    <row r="10714" spans="1:54" x14ac:dyDescent="0.3">
      <c r="A10714" s="66"/>
      <c r="B10714" s="67"/>
      <c r="C10714" s="66"/>
      <c r="D10714" s="68"/>
      <c r="E10714" s="10"/>
      <c r="F10714" s="69"/>
      <c r="G10714" s="68"/>
      <c r="H10714" s="70"/>
      <c r="BA10714" s="4"/>
      <c r="BB10714" s="4"/>
    </row>
    <row r="10715" spans="1:54" x14ac:dyDescent="0.3">
      <c r="A10715" s="66"/>
      <c r="B10715" s="67"/>
      <c r="C10715" s="66"/>
      <c r="D10715" s="68"/>
      <c r="E10715" s="10"/>
      <c r="F10715" s="69"/>
      <c r="G10715" s="68"/>
      <c r="H10715" s="70"/>
      <c r="BA10715" s="4"/>
      <c r="BB10715" s="4"/>
    </row>
    <row r="10716" spans="1:54" x14ac:dyDescent="0.3">
      <c r="A10716" s="66"/>
      <c r="B10716" s="67"/>
      <c r="C10716" s="66"/>
      <c r="D10716" s="68"/>
      <c r="E10716" s="10"/>
      <c r="F10716" s="69"/>
      <c r="G10716" s="68"/>
      <c r="H10716" s="70"/>
      <c r="BA10716" s="4"/>
      <c r="BB10716" s="4"/>
    </row>
    <row r="10717" spans="1:54" x14ac:dyDescent="0.3">
      <c r="A10717" s="66"/>
      <c r="B10717" s="67"/>
      <c r="C10717" s="66"/>
      <c r="D10717" s="68"/>
      <c r="E10717" s="10"/>
      <c r="F10717" s="69"/>
      <c r="G10717" s="68"/>
      <c r="H10717" s="70"/>
      <c r="BA10717" s="4"/>
      <c r="BB10717" s="4"/>
    </row>
    <row r="10718" spans="1:54" x14ac:dyDescent="0.3">
      <c r="A10718" s="66"/>
      <c r="B10718" s="67"/>
      <c r="C10718" s="66"/>
      <c r="D10718" s="68"/>
      <c r="E10718" s="10"/>
      <c r="F10718" s="69"/>
      <c r="G10718" s="68"/>
      <c r="H10718" s="70"/>
      <c r="BA10718" s="4"/>
      <c r="BB10718" s="4"/>
    </row>
    <row r="10719" spans="1:54" x14ac:dyDescent="0.3">
      <c r="A10719" s="66"/>
      <c r="B10719" s="67"/>
      <c r="C10719" s="66"/>
      <c r="D10719" s="68"/>
      <c r="E10719" s="10"/>
      <c r="F10719" s="69"/>
      <c r="G10719" s="68"/>
      <c r="H10719" s="70"/>
      <c r="BA10719" s="4"/>
      <c r="BB10719" s="4"/>
    </row>
    <row r="10720" spans="1:54" x14ac:dyDescent="0.3">
      <c r="A10720" s="66"/>
      <c r="B10720" s="67"/>
      <c r="C10720" s="66"/>
      <c r="D10720" s="68"/>
      <c r="E10720" s="10"/>
      <c r="F10720" s="69"/>
      <c r="G10720" s="68"/>
      <c r="H10720" s="70"/>
      <c r="BA10720" s="4"/>
      <c r="BB10720" s="4"/>
    </row>
    <row r="10721" spans="1:54" x14ac:dyDescent="0.3">
      <c r="A10721" s="66"/>
      <c r="B10721" s="67"/>
      <c r="C10721" s="66"/>
      <c r="D10721" s="68"/>
      <c r="E10721" s="10"/>
      <c r="F10721" s="69"/>
      <c r="G10721" s="68"/>
      <c r="H10721" s="70"/>
      <c r="BA10721" s="4"/>
      <c r="BB10721" s="4"/>
    </row>
    <row r="10722" spans="1:54" x14ac:dyDescent="0.3">
      <c r="A10722" s="66"/>
      <c r="B10722" s="67"/>
      <c r="C10722" s="66"/>
      <c r="D10722" s="68"/>
      <c r="E10722" s="10"/>
      <c r="F10722" s="69"/>
      <c r="G10722" s="68"/>
      <c r="H10722" s="70"/>
      <c r="BA10722" s="4"/>
      <c r="BB10722" s="4"/>
    </row>
    <row r="10723" spans="1:54" x14ac:dyDescent="0.3">
      <c r="A10723" s="66"/>
      <c r="B10723" s="67"/>
      <c r="C10723" s="66"/>
      <c r="D10723" s="68"/>
      <c r="E10723" s="10"/>
      <c r="F10723" s="69"/>
      <c r="G10723" s="68"/>
      <c r="H10723" s="70"/>
      <c r="BA10723" s="4"/>
      <c r="BB10723" s="4"/>
    </row>
    <row r="10724" spans="1:54" x14ac:dyDescent="0.3">
      <c r="A10724" s="66"/>
      <c r="B10724" s="67"/>
      <c r="C10724" s="66"/>
      <c r="D10724" s="68"/>
      <c r="E10724" s="10"/>
      <c r="F10724" s="69"/>
      <c r="G10724" s="68"/>
      <c r="H10724" s="70"/>
      <c r="BA10724" s="4"/>
      <c r="BB10724" s="4"/>
    </row>
    <row r="10725" spans="1:54" x14ac:dyDescent="0.3">
      <c r="A10725" s="66"/>
      <c r="B10725" s="67"/>
      <c r="C10725" s="66"/>
      <c r="D10725" s="68"/>
      <c r="E10725" s="10"/>
      <c r="F10725" s="69"/>
      <c r="G10725" s="68"/>
      <c r="H10725" s="70"/>
      <c r="BA10725" s="4"/>
      <c r="BB10725" s="4"/>
    </row>
    <row r="10726" spans="1:54" x14ac:dyDescent="0.3">
      <c r="A10726" s="66"/>
      <c r="B10726" s="67"/>
      <c r="C10726" s="66"/>
      <c r="D10726" s="68"/>
      <c r="E10726" s="10"/>
      <c r="F10726" s="69"/>
      <c r="G10726" s="68"/>
      <c r="H10726" s="70"/>
      <c r="BA10726" s="4"/>
      <c r="BB10726" s="4"/>
    </row>
    <row r="10727" spans="1:54" x14ac:dyDescent="0.3">
      <c r="A10727" s="66"/>
      <c r="B10727" s="67"/>
      <c r="C10727" s="66"/>
      <c r="D10727" s="68"/>
      <c r="E10727" s="10"/>
      <c r="F10727" s="69"/>
      <c r="G10727" s="68"/>
      <c r="H10727" s="70"/>
      <c r="BA10727" s="4"/>
      <c r="BB10727" s="4"/>
    </row>
    <row r="10728" spans="1:54" x14ac:dyDescent="0.3">
      <c r="A10728" s="66"/>
      <c r="B10728" s="67"/>
      <c r="C10728" s="66"/>
      <c r="D10728" s="68"/>
      <c r="E10728" s="10"/>
      <c r="F10728" s="69"/>
      <c r="G10728" s="68"/>
      <c r="H10728" s="70"/>
      <c r="BA10728" s="4"/>
      <c r="BB10728" s="4"/>
    </row>
    <row r="10729" spans="1:54" x14ac:dyDescent="0.3">
      <c r="A10729" s="66"/>
      <c r="B10729" s="67"/>
      <c r="C10729" s="66"/>
      <c r="D10729" s="68"/>
      <c r="E10729" s="10"/>
      <c r="F10729" s="69"/>
      <c r="G10729" s="68"/>
      <c r="H10729" s="70"/>
      <c r="BA10729" s="4"/>
      <c r="BB10729" s="4"/>
    </row>
    <row r="10730" spans="1:54" x14ac:dyDescent="0.3">
      <c r="A10730" s="66"/>
      <c r="B10730" s="67"/>
      <c r="C10730" s="66"/>
      <c r="D10730" s="68"/>
      <c r="E10730" s="10"/>
      <c r="F10730" s="69"/>
      <c r="G10730" s="68"/>
      <c r="H10730" s="70"/>
      <c r="BA10730" s="4"/>
      <c r="BB10730" s="4"/>
    </row>
    <row r="10731" spans="1:54" x14ac:dyDescent="0.3">
      <c r="A10731" s="66"/>
      <c r="B10731" s="67"/>
      <c r="C10731" s="66"/>
      <c r="D10731" s="68"/>
      <c r="E10731" s="10"/>
      <c r="F10731" s="69"/>
      <c r="G10731" s="68"/>
      <c r="H10731" s="70"/>
      <c r="BA10731" s="4"/>
      <c r="BB10731" s="4"/>
    </row>
    <row r="10732" spans="1:54" x14ac:dyDescent="0.3">
      <c r="A10732" s="66"/>
      <c r="B10732" s="67"/>
      <c r="C10732" s="66"/>
      <c r="D10732" s="68"/>
      <c r="E10732" s="10"/>
      <c r="F10732" s="69"/>
      <c r="G10732" s="68"/>
      <c r="H10732" s="70"/>
      <c r="BA10732" s="4"/>
      <c r="BB10732" s="4"/>
    </row>
    <row r="10733" spans="1:54" x14ac:dyDescent="0.3">
      <c r="A10733" s="66"/>
      <c r="B10733" s="67"/>
      <c r="C10733" s="66"/>
      <c r="D10733" s="68"/>
      <c r="E10733" s="10"/>
      <c r="F10733" s="69"/>
      <c r="G10733" s="68"/>
      <c r="H10733" s="70"/>
      <c r="BA10733" s="4"/>
      <c r="BB10733" s="4"/>
    </row>
    <row r="10734" spans="1:54" x14ac:dyDescent="0.3">
      <c r="A10734" s="66"/>
      <c r="B10734" s="67"/>
      <c r="C10734" s="66"/>
      <c r="D10734" s="68"/>
      <c r="E10734" s="10"/>
      <c r="F10734" s="69"/>
      <c r="G10734" s="68"/>
      <c r="H10734" s="70"/>
      <c r="BA10734" s="4"/>
      <c r="BB10734" s="4"/>
    </row>
    <row r="10735" spans="1:54" x14ac:dyDescent="0.3">
      <c r="A10735" s="66"/>
      <c r="B10735" s="67"/>
      <c r="C10735" s="66"/>
      <c r="D10735" s="68"/>
      <c r="E10735" s="10"/>
      <c r="F10735" s="69"/>
      <c r="G10735" s="68"/>
      <c r="H10735" s="70"/>
      <c r="BA10735" s="4"/>
      <c r="BB10735" s="4"/>
    </row>
    <row r="10736" spans="1:54" x14ac:dyDescent="0.3">
      <c r="A10736" s="66"/>
      <c r="B10736" s="67"/>
      <c r="C10736" s="66"/>
      <c r="D10736" s="68"/>
      <c r="E10736" s="10"/>
      <c r="F10736" s="69"/>
      <c r="G10736" s="68"/>
      <c r="H10736" s="70"/>
      <c r="BA10736" s="4"/>
      <c r="BB10736" s="4"/>
    </row>
    <row r="10737" spans="1:54" x14ac:dyDescent="0.3">
      <c r="A10737" s="66"/>
      <c r="B10737" s="67"/>
      <c r="C10737" s="66"/>
      <c r="D10737" s="68"/>
      <c r="E10737" s="10"/>
      <c r="F10737" s="69"/>
      <c r="G10737" s="68"/>
      <c r="H10737" s="70"/>
      <c r="BA10737" s="4"/>
      <c r="BB10737" s="4"/>
    </row>
    <row r="10738" spans="1:54" x14ac:dyDescent="0.3">
      <c r="A10738" s="66"/>
      <c r="B10738" s="67"/>
      <c r="C10738" s="66"/>
      <c r="D10738" s="68"/>
      <c r="E10738" s="10"/>
      <c r="F10738" s="69"/>
      <c r="G10738" s="68"/>
      <c r="H10738" s="70"/>
      <c r="BA10738" s="4"/>
      <c r="BB10738" s="4"/>
    </row>
    <row r="10739" spans="1:54" x14ac:dyDescent="0.3">
      <c r="A10739" s="66"/>
      <c r="B10739" s="67"/>
      <c r="C10739" s="66"/>
      <c r="D10739" s="68"/>
      <c r="E10739" s="10"/>
      <c r="F10739" s="69"/>
      <c r="G10739" s="68"/>
      <c r="H10739" s="70"/>
      <c r="BA10739" s="4"/>
      <c r="BB10739" s="4"/>
    </row>
    <row r="10740" spans="1:54" x14ac:dyDescent="0.3">
      <c r="A10740" s="66"/>
      <c r="B10740" s="67"/>
      <c r="C10740" s="66"/>
      <c r="D10740" s="68"/>
      <c r="E10740" s="10"/>
      <c r="F10740" s="69"/>
      <c r="G10740" s="68"/>
      <c r="H10740" s="70"/>
      <c r="BA10740" s="4"/>
      <c r="BB10740" s="4"/>
    </row>
    <row r="10741" spans="1:54" x14ac:dyDescent="0.3">
      <c r="A10741" s="66"/>
      <c r="B10741" s="67"/>
      <c r="C10741" s="66"/>
      <c r="D10741" s="68"/>
      <c r="E10741" s="10"/>
      <c r="F10741" s="69"/>
      <c r="G10741" s="68"/>
      <c r="H10741" s="70"/>
      <c r="BA10741" s="4"/>
      <c r="BB10741" s="4"/>
    </row>
    <row r="10742" spans="1:54" x14ac:dyDescent="0.3">
      <c r="A10742" s="66"/>
      <c r="B10742" s="67"/>
      <c r="C10742" s="66"/>
      <c r="D10742" s="68"/>
      <c r="E10742" s="10"/>
      <c r="F10742" s="69"/>
      <c r="G10742" s="68"/>
      <c r="H10742" s="70"/>
      <c r="BA10742" s="4"/>
      <c r="BB10742" s="4"/>
    </row>
    <row r="10743" spans="1:54" x14ac:dyDescent="0.3">
      <c r="A10743" s="66"/>
      <c r="B10743" s="67"/>
      <c r="C10743" s="66"/>
      <c r="D10743" s="68"/>
      <c r="E10743" s="10"/>
      <c r="F10743" s="69"/>
      <c r="G10743" s="68"/>
      <c r="H10743" s="70"/>
      <c r="BA10743" s="4"/>
      <c r="BB10743" s="4"/>
    </row>
    <row r="10744" spans="1:54" x14ac:dyDescent="0.3">
      <c r="A10744" s="66"/>
      <c r="B10744" s="67"/>
      <c r="C10744" s="66"/>
      <c r="D10744" s="68"/>
      <c r="E10744" s="10"/>
      <c r="F10744" s="69"/>
      <c r="G10744" s="68"/>
      <c r="H10744" s="70"/>
      <c r="BA10744" s="4"/>
      <c r="BB10744" s="4"/>
    </row>
    <row r="10745" spans="1:54" x14ac:dyDescent="0.3">
      <c r="A10745" s="66"/>
      <c r="B10745" s="67"/>
      <c r="C10745" s="66"/>
      <c r="D10745" s="68"/>
      <c r="E10745" s="10"/>
      <c r="F10745" s="69"/>
      <c r="G10745" s="68"/>
      <c r="H10745" s="70"/>
      <c r="BA10745" s="4"/>
      <c r="BB10745" s="4"/>
    </row>
    <row r="10746" spans="1:54" x14ac:dyDescent="0.3">
      <c r="A10746" s="66"/>
      <c r="B10746" s="67"/>
      <c r="C10746" s="66"/>
      <c r="D10746" s="68"/>
      <c r="E10746" s="10"/>
      <c r="F10746" s="69"/>
      <c r="G10746" s="68"/>
      <c r="H10746" s="70"/>
      <c r="BA10746" s="4"/>
      <c r="BB10746" s="4"/>
    </row>
    <row r="10747" spans="1:54" x14ac:dyDescent="0.3">
      <c r="A10747" s="66"/>
      <c r="B10747" s="67"/>
      <c r="C10747" s="66"/>
      <c r="D10747" s="68"/>
      <c r="E10747" s="10"/>
      <c r="F10747" s="69"/>
      <c r="G10747" s="68"/>
      <c r="H10747" s="70"/>
      <c r="BA10747" s="4"/>
      <c r="BB10747" s="4"/>
    </row>
    <row r="10748" spans="1:54" x14ac:dyDescent="0.3">
      <c r="A10748" s="66"/>
      <c r="B10748" s="67"/>
      <c r="C10748" s="66"/>
      <c r="D10748" s="68"/>
      <c r="E10748" s="10"/>
      <c r="F10748" s="69"/>
      <c r="G10748" s="68"/>
      <c r="H10748" s="70"/>
      <c r="BA10748" s="4"/>
      <c r="BB10748" s="4"/>
    </row>
    <row r="10749" spans="1:54" x14ac:dyDescent="0.3">
      <c r="A10749" s="66"/>
      <c r="B10749" s="67"/>
      <c r="C10749" s="66"/>
      <c r="D10749" s="68"/>
      <c r="E10749" s="10"/>
      <c r="F10749" s="69"/>
      <c r="G10749" s="68"/>
      <c r="H10749" s="70"/>
      <c r="BA10749" s="4"/>
      <c r="BB10749" s="4"/>
    </row>
    <row r="10750" spans="1:54" x14ac:dyDescent="0.3">
      <c r="A10750" s="66"/>
      <c r="B10750" s="67"/>
      <c r="C10750" s="66"/>
      <c r="D10750" s="68"/>
      <c r="E10750" s="10"/>
      <c r="F10750" s="69"/>
      <c r="G10750" s="68"/>
      <c r="H10750" s="70"/>
      <c r="BA10750" s="4"/>
      <c r="BB10750" s="4"/>
    </row>
    <row r="10751" spans="1:54" x14ac:dyDescent="0.3">
      <c r="A10751" s="66"/>
      <c r="B10751" s="67"/>
      <c r="C10751" s="66"/>
      <c r="D10751" s="68"/>
      <c r="E10751" s="10"/>
      <c r="F10751" s="69"/>
      <c r="G10751" s="68"/>
      <c r="H10751" s="70"/>
      <c r="BA10751" s="4"/>
      <c r="BB10751" s="4"/>
    </row>
    <row r="10752" spans="1:54" x14ac:dyDescent="0.3">
      <c r="A10752" s="66"/>
      <c r="B10752" s="67"/>
      <c r="C10752" s="66"/>
      <c r="D10752" s="68"/>
      <c r="E10752" s="10"/>
      <c r="F10752" s="69"/>
      <c r="G10752" s="68"/>
      <c r="H10752" s="70"/>
      <c r="BA10752" s="4"/>
      <c r="BB10752" s="4"/>
    </row>
    <row r="10753" spans="1:54" x14ac:dyDescent="0.3">
      <c r="A10753" s="66"/>
      <c r="B10753" s="67"/>
      <c r="C10753" s="66"/>
      <c r="D10753" s="68"/>
      <c r="E10753" s="10"/>
      <c r="F10753" s="69"/>
      <c r="G10753" s="68"/>
      <c r="H10753" s="70"/>
      <c r="BA10753" s="4"/>
      <c r="BB10753" s="4"/>
    </row>
    <row r="10754" spans="1:54" x14ac:dyDescent="0.3">
      <c r="A10754" s="66"/>
      <c r="B10754" s="67"/>
      <c r="C10754" s="66"/>
      <c r="D10754" s="68"/>
      <c r="E10754" s="10"/>
      <c r="F10754" s="69"/>
      <c r="G10754" s="68"/>
      <c r="H10754" s="70"/>
      <c r="BA10754" s="4"/>
      <c r="BB10754" s="4"/>
    </row>
    <row r="10755" spans="1:54" x14ac:dyDescent="0.3">
      <c r="A10755" s="66"/>
      <c r="B10755" s="67"/>
      <c r="C10755" s="66"/>
      <c r="D10755" s="68"/>
      <c r="E10755" s="10"/>
      <c r="F10755" s="69"/>
      <c r="G10755" s="68"/>
      <c r="H10755" s="70"/>
      <c r="BA10755" s="4"/>
      <c r="BB10755" s="4"/>
    </row>
    <row r="10756" spans="1:54" x14ac:dyDescent="0.3">
      <c r="A10756" s="66"/>
      <c r="B10756" s="67"/>
      <c r="C10756" s="66"/>
      <c r="D10756" s="68"/>
      <c r="E10756" s="10"/>
      <c r="F10756" s="69"/>
      <c r="G10756" s="68"/>
      <c r="H10756" s="70"/>
      <c r="BA10756" s="4"/>
      <c r="BB10756" s="4"/>
    </row>
    <row r="10757" spans="1:54" x14ac:dyDescent="0.3">
      <c r="A10757" s="66"/>
      <c r="B10757" s="67"/>
      <c r="C10757" s="66"/>
      <c r="D10757" s="68"/>
      <c r="E10757" s="10"/>
      <c r="F10757" s="69"/>
      <c r="G10757" s="68"/>
      <c r="H10757" s="70"/>
      <c r="BA10757" s="4"/>
      <c r="BB10757" s="4"/>
    </row>
    <row r="10758" spans="1:54" x14ac:dyDescent="0.3">
      <c r="A10758" s="66"/>
      <c r="B10758" s="67"/>
      <c r="C10758" s="66"/>
      <c r="D10758" s="68"/>
      <c r="E10758" s="10"/>
      <c r="F10758" s="69"/>
      <c r="G10758" s="68"/>
      <c r="H10758" s="70"/>
      <c r="BA10758" s="4"/>
      <c r="BB10758" s="4"/>
    </row>
    <row r="10759" spans="1:54" x14ac:dyDescent="0.3">
      <c r="A10759" s="66"/>
      <c r="B10759" s="67"/>
      <c r="C10759" s="66"/>
      <c r="D10759" s="68"/>
      <c r="E10759" s="10"/>
      <c r="F10759" s="69"/>
      <c r="G10759" s="68"/>
      <c r="H10759" s="70"/>
      <c r="BA10759" s="4"/>
      <c r="BB10759" s="4"/>
    </row>
    <row r="10760" spans="1:54" x14ac:dyDescent="0.3">
      <c r="A10760" s="66"/>
      <c r="B10760" s="67"/>
      <c r="C10760" s="66"/>
      <c r="D10760" s="68"/>
      <c r="E10760" s="10"/>
      <c r="F10760" s="69"/>
      <c r="G10760" s="68"/>
      <c r="H10760" s="70"/>
      <c r="BA10760" s="4"/>
      <c r="BB10760" s="4"/>
    </row>
    <row r="10761" spans="1:54" x14ac:dyDescent="0.3">
      <c r="A10761" s="66"/>
      <c r="B10761" s="67"/>
      <c r="C10761" s="66"/>
      <c r="D10761" s="68"/>
      <c r="E10761" s="10"/>
      <c r="F10761" s="69"/>
      <c r="G10761" s="68"/>
      <c r="H10761" s="70"/>
      <c r="BA10761" s="4"/>
      <c r="BB10761" s="4"/>
    </row>
    <row r="10762" spans="1:54" x14ac:dyDescent="0.3">
      <c r="A10762" s="66"/>
      <c r="B10762" s="67"/>
      <c r="C10762" s="66"/>
      <c r="D10762" s="68"/>
      <c r="E10762" s="10"/>
      <c r="F10762" s="69"/>
      <c r="G10762" s="68"/>
      <c r="H10762" s="70"/>
      <c r="BA10762" s="4"/>
      <c r="BB10762" s="4"/>
    </row>
    <row r="10763" spans="1:54" x14ac:dyDescent="0.3">
      <c r="A10763" s="66"/>
      <c r="B10763" s="67"/>
      <c r="C10763" s="66"/>
      <c r="D10763" s="68"/>
      <c r="E10763" s="10"/>
      <c r="F10763" s="69"/>
      <c r="G10763" s="68"/>
      <c r="H10763" s="70"/>
      <c r="BA10763" s="4"/>
      <c r="BB10763" s="4"/>
    </row>
    <row r="10764" spans="1:54" x14ac:dyDescent="0.3">
      <c r="A10764" s="66"/>
      <c r="B10764" s="67"/>
      <c r="C10764" s="66"/>
      <c r="D10764" s="68"/>
      <c r="E10764" s="10"/>
      <c r="F10764" s="69"/>
      <c r="G10764" s="68"/>
      <c r="H10764" s="70"/>
      <c r="BA10764" s="4"/>
      <c r="BB10764" s="4"/>
    </row>
    <row r="10765" spans="1:54" x14ac:dyDescent="0.3">
      <c r="A10765" s="66"/>
      <c r="B10765" s="67"/>
      <c r="C10765" s="66"/>
      <c r="D10765" s="68"/>
      <c r="E10765" s="10"/>
      <c r="F10765" s="69"/>
      <c r="G10765" s="68"/>
      <c r="H10765" s="70"/>
      <c r="BA10765" s="4"/>
      <c r="BB10765" s="4"/>
    </row>
    <row r="10766" spans="1:54" x14ac:dyDescent="0.3">
      <c r="A10766" s="66"/>
      <c r="B10766" s="67"/>
      <c r="C10766" s="66"/>
      <c r="D10766" s="68"/>
      <c r="E10766" s="10"/>
      <c r="F10766" s="69"/>
      <c r="G10766" s="68"/>
      <c r="H10766" s="70"/>
      <c r="BA10766" s="4"/>
      <c r="BB10766" s="4"/>
    </row>
    <row r="10767" spans="1:54" x14ac:dyDescent="0.3">
      <c r="A10767" s="66"/>
      <c r="B10767" s="67"/>
      <c r="C10767" s="66"/>
      <c r="D10767" s="68"/>
      <c r="E10767" s="10"/>
      <c r="F10767" s="69"/>
      <c r="G10767" s="68"/>
      <c r="H10767" s="70"/>
      <c r="BA10767" s="4"/>
      <c r="BB10767" s="4"/>
    </row>
    <row r="10768" spans="1:54" x14ac:dyDescent="0.3">
      <c r="A10768" s="66"/>
      <c r="B10768" s="67"/>
      <c r="C10768" s="66"/>
      <c r="D10768" s="68"/>
      <c r="E10768" s="10"/>
      <c r="F10768" s="69"/>
      <c r="G10768" s="68"/>
      <c r="H10768" s="70"/>
      <c r="BA10768" s="4"/>
      <c r="BB10768" s="4"/>
    </row>
    <row r="10769" spans="1:54" x14ac:dyDescent="0.3">
      <c r="A10769" s="66"/>
      <c r="B10769" s="67"/>
      <c r="C10769" s="66"/>
      <c r="D10769" s="68"/>
      <c r="E10769" s="10"/>
      <c r="F10769" s="69"/>
      <c r="G10769" s="68"/>
      <c r="H10769" s="70"/>
      <c r="BA10769" s="4"/>
      <c r="BB10769" s="4"/>
    </row>
    <row r="10770" spans="1:54" x14ac:dyDescent="0.3">
      <c r="A10770" s="66"/>
      <c r="B10770" s="67"/>
      <c r="C10770" s="66"/>
      <c r="D10770" s="68"/>
      <c r="E10770" s="10"/>
      <c r="F10770" s="69"/>
      <c r="G10770" s="68"/>
      <c r="H10770" s="70"/>
      <c r="BA10770" s="4"/>
      <c r="BB10770" s="4"/>
    </row>
    <row r="10771" spans="1:54" x14ac:dyDescent="0.3">
      <c r="A10771" s="66"/>
      <c r="B10771" s="67"/>
      <c r="C10771" s="66"/>
      <c r="D10771" s="68"/>
      <c r="E10771" s="10"/>
      <c r="F10771" s="69"/>
      <c r="G10771" s="68"/>
      <c r="H10771" s="70"/>
      <c r="BA10771" s="4"/>
      <c r="BB10771" s="4"/>
    </row>
    <row r="10772" spans="1:54" x14ac:dyDescent="0.3">
      <c r="A10772" s="66"/>
      <c r="B10772" s="67"/>
      <c r="C10772" s="66"/>
      <c r="D10772" s="68"/>
      <c r="E10772" s="10"/>
      <c r="F10772" s="69"/>
      <c r="G10772" s="68"/>
      <c r="H10772" s="70"/>
      <c r="BA10772" s="4"/>
      <c r="BB10772" s="4"/>
    </row>
    <row r="10773" spans="1:54" x14ac:dyDescent="0.3">
      <c r="A10773" s="66"/>
      <c r="B10773" s="67"/>
      <c r="C10773" s="66"/>
      <c r="D10773" s="68"/>
      <c r="E10773" s="10"/>
      <c r="F10773" s="69"/>
      <c r="G10773" s="68"/>
      <c r="H10773" s="70"/>
      <c r="BA10773" s="4"/>
      <c r="BB10773" s="4"/>
    </row>
    <row r="10774" spans="1:54" x14ac:dyDescent="0.3">
      <c r="A10774" s="66"/>
      <c r="B10774" s="67"/>
      <c r="C10774" s="66"/>
      <c r="D10774" s="68"/>
      <c r="E10774" s="10"/>
      <c r="F10774" s="69"/>
      <c r="G10774" s="68"/>
      <c r="H10774" s="70"/>
      <c r="BA10774" s="4"/>
      <c r="BB10774" s="4"/>
    </row>
    <row r="10775" spans="1:54" x14ac:dyDescent="0.3">
      <c r="A10775" s="66"/>
      <c r="B10775" s="67"/>
      <c r="C10775" s="66"/>
      <c r="D10775" s="68"/>
      <c r="E10775" s="10"/>
      <c r="F10775" s="69"/>
      <c r="G10775" s="68"/>
      <c r="H10775" s="70"/>
      <c r="BA10775" s="4"/>
      <c r="BB10775" s="4"/>
    </row>
    <row r="10776" spans="1:54" x14ac:dyDescent="0.3">
      <c r="A10776" s="66"/>
      <c r="B10776" s="67"/>
      <c r="C10776" s="66"/>
      <c r="D10776" s="68"/>
      <c r="E10776" s="10"/>
      <c r="F10776" s="69"/>
      <c r="G10776" s="68"/>
      <c r="H10776" s="70"/>
      <c r="BA10776" s="4"/>
      <c r="BB10776" s="4"/>
    </row>
    <row r="10777" spans="1:54" x14ac:dyDescent="0.3">
      <c r="A10777" s="66"/>
      <c r="B10777" s="67"/>
      <c r="C10777" s="66"/>
      <c r="D10777" s="68"/>
      <c r="E10777" s="10"/>
      <c r="F10777" s="69"/>
      <c r="G10777" s="68"/>
      <c r="H10777" s="70"/>
      <c r="BA10777" s="4"/>
      <c r="BB10777" s="4"/>
    </row>
    <row r="10778" spans="1:54" x14ac:dyDescent="0.3">
      <c r="A10778" s="66"/>
      <c r="B10778" s="67"/>
      <c r="C10778" s="66"/>
      <c r="D10778" s="68"/>
      <c r="E10778" s="10"/>
      <c r="F10778" s="69"/>
      <c r="G10778" s="68"/>
      <c r="H10778" s="70"/>
      <c r="BA10778" s="4"/>
      <c r="BB10778" s="4"/>
    </row>
    <row r="10779" spans="1:54" x14ac:dyDescent="0.3">
      <c r="A10779" s="66"/>
      <c r="B10779" s="67"/>
      <c r="C10779" s="66"/>
      <c r="D10779" s="68"/>
      <c r="E10779" s="10"/>
      <c r="F10779" s="69"/>
      <c r="G10779" s="68"/>
      <c r="H10779" s="70"/>
      <c r="BA10779" s="4"/>
      <c r="BB10779" s="4"/>
    </row>
    <row r="10780" spans="1:54" x14ac:dyDescent="0.3">
      <c r="A10780" s="66"/>
      <c r="B10780" s="67"/>
      <c r="C10780" s="66"/>
      <c r="D10780" s="68"/>
      <c r="E10780" s="10"/>
      <c r="F10780" s="69"/>
      <c r="G10780" s="68"/>
      <c r="H10780" s="70"/>
      <c r="BA10780" s="4"/>
      <c r="BB10780" s="4"/>
    </row>
    <row r="10781" spans="1:54" x14ac:dyDescent="0.3">
      <c r="A10781" s="66"/>
      <c r="B10781" s="67"/>
      <c r="C10781" s="66"/>
      <c r="D10781" s="68"/>
      <c r="E10781" s="10"/>
      <c r="F10781" s="69"/>
      <c r="G10781" s="68"/>
      <c r="H10781" s="70"/>
      <c r="BA10781" s="4"/>
      <c r="BB10781" s="4"/>
    </row>
    <row r="10782" spans="1:54" x14ac:dyDescent="0.3">
      <c r="A10782" s="66"/>
      <c r="B10782" s="67"/>
      <c r="C10782" s="66"/>
      <c r="D10782" s="68"/>
      <c r="E10782" s="10"/>
      <c r="F10782" s="69"/>
      <c r="G10782" s="68"/>
      <c r="H10782" s="70"/>
      <c r="BA10782" s="4"/>
      <c r="BB10782" s="4"/>
    </row>
    <row r="10783" spans="1:54" x14ac:dyDescent="0.3">
      <c r="A10783" s="66"/>
      <c r="B10783" s="67"/>
      <c r="C10783" s="66"/>
      <c r="D10783" s="68"/>
      <c r="E10783" s="10"/>
      <c r="F10783" s="69"/>
      <c r="G10783" s="68"/>
      <c r="H10783" s="70"/>
      <c r="BA10783" s="4"/>
      <c r="BB10783" s="4"/>
    </row>
    <row r="10784" spans="1:54" x14ac:dyDescent="0.3">
      <c r="A10784" s="66"/>
      <c r="B10784" s="67"/>
      <c r="C10784" s="66"/>
      <c r="D10784" s="68"/>
      <c r="E10784" s="10"/>
      <c r="F10784" s="69"/>
      <c r="G10784" s="68"/>
      <c r="H10784" s="70"/>
      <c r="BA10784" s="4"/>
      <c r="BB10784" s="4"/>
    </row>
    <row r="10785" spans="1:54" x14ac:dyDescent="0.3">
      <c r="A10785" s="66"/>
      <c r="B10785" s="67"/>
      <c r="C10785" s="66"/>
      <c r="D10785" s="68"/>
      <c r="E10785" s="10"/>
      <c r="F10785" s="69"/>
      <c r="G10785" s="68"/>
      <c r="H10785" s="70"/>
      <c r="BA10785" s="4"/>
      <c r="BB10785" s="4"/>
    </row>
    <row r="10786" spans="1:54" x14ac:dyDescent="0.3">
      <c r="A10786" s="66"/>
      <c r="B10786" s="67"/>
      <c r="C10786" s="66"/>
      <c r="D10786" s="68"/>
      <c r="E10786" s="10"/>
      <c r="F10786" s="69"/>
      <c r="G10786" s="68"/>
      <c r="H10786" s="70"/>
      <c r="BA10786" s="4"/>
      <c r="BB10786" s="4"/>
    </row>
    <row r="10787" spans="1:54" x14ac:dyDescent="0.3">
      <c r="A10787" s="66"/>
      <c r="B10787" s="67"/>
      <c r="C10787" s="66"/>
      <c r="D10787" s="68"/>
      <c r="E10787" s="10"/>
      <c r="F10787" s="69"/>
      <c r="G10787" s="68"/>
      <c r="H10787" s="70"/>
      <c r="BA10787" s="4"/>
      <c r="BB10787" s="4"/>
    </row>
    <row r="10788" spans="1:54" x14ac:dyDescent="0.3">
      <c r="A10788" s="66"/>
      <c r="B10788" s="67"/>
      <c r="C10788" s="66"/>
      <c r="D10788" s="68"/>
      <c r="E10788" s="10"/>
      <c r="F10788" s="69"/>
      <c r="G10788" s="68"/>
      <c r="H10788" s="70"/>
      <c r="BA10788" s="4"/>
      <c r="BB10788" s="4"/>
    </row>
    <row r="10789" spans="1:54" x14ac:dyDescent="0.3">
      <c r="A10789" s="66"/>
      <c r="B10789" s="67"/>
      <c r="C10789" s="66"/>
      <c r="D10789" s="68"/>
      <c r="E10789" s="10"/>
      <c r="F10789" s="69"/>
      <c r="G10789" s="68"/>
      <c r="H10789" s="70"/>
      <c r="BA10789" s="4"/>
      <c r="BB10789" s="4"/>
    </row>
    <row r="10790" spans="1:54" x14ac:dyDescent="0.3">
      <c r="A10790" s="66"/>
      <c r="B10790" s="67"/>
      <c r="C10790" s="66"/>
      <c r="D10790" s="68"/>
      <c r="E10790" s="10"/>
      <c r="F10790" s="69"/>
      <c r="G10790" s="68"/>
      <c r="H10790" s="70"/>
      <c r="BA10790" s="4"/>
      <c r="BB10790" s="4"/>
    </row>
    <row r="10791" spans="1:54" x14ac:dyDescent="0.3">
      <c r="A10791" s="66"/>
      <c r="B10791" s="67"/>
      <c r="C10791" s="66"/>
      <c r="D10791" s="68"/>
      <c r="E10791" s="10"/>
      <c r="F10791" s="69"/>
      <c r="G10791" s="68"/>
      <c r="H10791" s="70"/>
      <c r="BA10791" s="4"/>
      <c r="BB10791" s="4"/>
    </row>
    <row r="10792" spans="1:54" x14ac:dyDescent="0.3">
      <c r="A10792" s="66"/>
      <c r="B10792" s="67"/>
      <c r="C10792" s="66"/>
      <c r="D10792" s="68"/>
      <c r="E10792" s="10"/>
      <c r="F10792" s="69"/>
      <c r="G10792" s="68"/>
      <c r="H10792" s="70"/>
      <c r="BA10792" s="4"/>
      <c r="BB10792" s="4"/>
    </row>
    <row r="10793" spans="1:54" x14ac:dyDescent="0.3">
      <c r="A10793" s="66"/>
      <c r="B10793" s="67"/>
      <c r="C10793" s="66"/>
      <c r="D10793" s="68"/>
      <c r="E10793" s="10"/>
      <c r="F10793" s="69"/>
      <c r="G10793" s="68"/>
      <c r="H10793" s="70"/>
      <c r="BA10793" s="4"/>
      <c r="BB10793" s="4"/>
    </row>
    <row r="10794" spans="1:54" x14ac:dyDescent="0.3">
      <c r="A10794" s="66"/>
      <c r="B10794" s="67"/>
      <c r="C10794" s="66"/>
      <c r="D10794" s="68"/>
      <c r="E10794" s="10"/>
      <c r="F10794" s="69"/>
      <c r="G10794" s="68"/>
      <c r="H10794" s="70"/>
      <c r="BA10794" s="4"/>
      <c r="BB10794" s="4"/>
    </row>
    <row r="10795" spans="1:54" x14ac:dyDescent="0.3">
      <c r="A10795" s="66"/>
      <c r="B10795" s="67"/>
      <c r="C10795" s="66"/>
      <c r="D10795" s="68"/>
      <c r="E10795" s="10"/>
      <c r="F10795" s="69"/>
      <c r="G10795" s="68"/>
      <c r="H10795" s="70"/>
      <c r="BA10795" s="4"/>
      <c r="BB10795" s="4"/>
    </row>
    <row r="10796" spans="1:54" x14ac:dyDescent="0.3">
      <c r="A10796" s="66"/>
      <c r="B10796" s="67"/>
      <c r="C10796" s="66"/>
      <c r="D10796" s="68"/>
      <c r="E10796" s="10"/>
      <c r="F10796" s="69"/>
      <c r="G10796" s="68"/>
      <c r="H10796" s="70"/>
      <c r="BA10796" s="4"/>
      <c r="BB10796" s="4"/>
    </row>
    <row r="10797" spans="1:54" x14ac:dyDescent="0.3">
      <c r="A10797" s="66"/>
      <c r="B10797" s="67"/>
      <c r="C10797" s="66"/>
      <c r="D10797" s="68"/>
      <c r="E10797" s="10"/>
      <c r="F10797" s="69"/>
      <c r="G10797" s="68"/>
      <c r="H10797" s="70"/>
      <c r="BA10797" s="4"/>
      <c r="BB10797" s="4"/>
    </row>
    <row r="10798" spans="1:54" x14ac:dyDescent="0.3">
      <c r="A10798" s="66"/>
      <c r="B10798" s="67"/>
      <c r="C10798" s="66"/>
      <c r="D10798" s="68"/>
      <c r="E10798" s="10"/>
      <c r="F10798" s="69"/>
      <c r="G10798" s="68"/>
      <c r="H10798" s="70"/>
      <c r="BA10798" s="4"/>
      <c r="BB10798" s="4"/>
    </row>
    <row r="10799" spans="1:54" x14ac:dyDescent="0.3">
      <c r="A10799" s="66"/>
      <c r="B10799" s="67"/>
      <c r="C10799" s="66"/>
      <c r="D10799" s="68"/>
      <c r="E10799" s="10"/>
      <c r="F10799" s="69"/>
      <c r="G10799" s="68"/>
      <c r="H10799" s="70"/>
      <c r="BA10799" s="4"/>
      <c r="BB10799" s="4"/>
    </row>
    <row r="10800" spans="1:54" x14ac:dyDescent="0.3">
      <c r="A10800" s="66"/>
      <c r="B10800" s="67"/>
      <c r="C10800" s="66"/>
      <c r="D10800" s="68"/>
      <c r="E10800" s="10"/>
      <c r="F10800" s="69"/>
      <c r="G10800" s="68"/>
      <c r="H10800" s="70"/>
      <c r="BA10800" s="4"/>
      <c r="BB10800" s="4"/>
    </row>
    <row r="10801" spans="1:54" x14ac:dyDescent="0.3">
      <c r="A10801" s="66"/>
      <c r="B10801" s="67"/>
      <c r="C10801" s="66"/>
      <c r="D10801" s="68"/>
      <c r="E10801" s="10"/>
      <c r="F10801" s="69"/>
      <c r="G10801" s="68"/>
      <c r="H10801" s="70"/>
      <c r="BA10801" s="4"/>
      <c r="BB10801" s="4"/>
    </row>
    <row r="10802" spans="1:54" x14ac:dyDescent="0.3">
      <c r="A10802" s="66"/>
      <c r="B10802" s="67"/>
      <c r="C10802" s="66"/>
      <c r="D10802" s="68"/>
      <c r="E10802" s="10"/>
      <c r="F10802" s="69"/>
      <c r="G10802" s="68"/>
      <c r="H10802" s="70"/>
      <c r="BA10802" s="4"/>
      <c r="BB10802" s="4"/>
    </row>
    <row r="10803" spans="1:54" x14ac:dyDescent="0.3">
      <c r="A10803" s="66"/>
      <c r="B10803" s="67"/>
      <c r="C10803" s="66"/>
      <c r="D10803" s="68"/>
      <c r="E10803" s="10"/>
      <c r="F10803" s="69"/>
      <c r="G10803" s="68"/>
      <c r="H10803" s="70"/>
      <c r="BA10803" s="4"/>
      <c r="BB10803" s="4"/>
    </row>
    <row r="10804" spans="1:54" x14ac:dyDescent="0.3">
      <c r="A10804" s="66"/>
      <c r="B10804" s="67"/>
      <c r="C10804" s="66"/>
      <c r="D10804" s="68"/>
      <c r="E10804" s="10"/>
      <c r="F10804" s="69"/>
      <c r="G10804" s="68"/>
      <c r="H10804" s="70"/>
      <c r="BA10804" s="4"/>
      <c r="BB10804" s="4"/>
    </row>
    <row r="10805" spans="1:54" x14ac:dyDescent="0.3">
      <c r="A10805" s="66"/>
      <c r="B10805" s="67"/>
      <c r="C10805" s="66"/>
      <c r="D10805" s="68"/>
      <c r="E10805" s="10"/>
      <c r="F10805" s="69"/>
      <c r="G10805" s="68"/>
      <c r="H10805" s="70"/>
      <c r="BA10805" s="4"/>
      <c r="BB10805" s="4"/>
    </row>
    <row r="10806" spans="1:54" x14ac:dyDescent="0.3">
      <c r="A10806" s="66"/>
      <c r="B10806" s="67"/>
      <c r="C10806" s="66"/>
      <c r="D10806" s="68"/>
      <c r="E10806" s="10"/>
      <c r="F10806" s="69"/>
      <c r="G10806" s="68"/>
      <c r="H10806" s="70"/>
      <c r="BA10806" s="4"/>
      <c r="BB10806" s="4"/>
    </row>
    <row r="10807" spans="1:54" x14ac:dyDescent="0.3">
      <c r="A10807" s="66"/>
      <c r="B10807" s="67"/>
      <c r="C10807" s="66"/>
      <c r="D10807" s="68"/>
      <c r="E10807" s="10"/>
      <c r="F10807" s="69"/>
      <c r="G10807" s="68"/>
      <c r="H10807" s="70"/>
      <c r="BA10807" s="4"/>
      <c r="BB10807" s="4"/>
    </row>
    <row r="10808" spans="1:54" x14ac:dyDescent="0.3">
      <c r="A10808" s="66"/>
      <c r="B10808" s="67"/>
      <c r="C10808" s="66"/>
      <c r="D10808" s="68"/>
      <c r="E10808" s="10"/>
      <c r="F10808" s="69"/>
      <c r="G10808" s="68"/>
      <c r="H10808" s="70"/>
      <c r="BA10808" s="4"/>
      <c r="BB10808" s="4"/>
    </row>
    <row r="10809" spans="1:54" x14ac:dyDescent="0.3">
      <c r="A10809" s="66"/>
      <c r="B10809" s="67"/>
      <c r="C10809" s="66"/>
      <c r="D10809" s="68"/>
      <c r="E10809" s="10"/>
      <c r="F10809" s="69"/>
      <c r="G10809" s="68"/>
      <c r="H10809" s="70"/>
      <c r="BA10809" s="4"/>
      <c r="BB10809" s="4"/>
    </row>
    <row r="10810" spans="1:54" x14ac:dyDescent="0.3">
      <c r="A10810" s="66"/>
      <c r="B10810" s="67"/>
      <c r="C10810" s="66"/>
      <c r="D10810" s="68"/>
      <c r="E10810" s="10"/>
      <c r="F10810" s="69"/>
      <c r="G10810" s="68"/>
      <c r="H10810" s="70"/>
      <c r="BA10810" s="4"/>
      <c r="BB10810" s="4"/>
    </row>
    <row r="10811" spans="1:54" x14ac:dyDescent="0.3">
      <c r="A10811" s="66"/>
      <c r="B10811" s="67"/>
      <c r="C10811" s="66"/>
      <c r="D10811" s="68"/>
      <c r="E10811" s="10"/>
      <c r="F10811" s="69"/>
      <c r="G10811" s="68"/>
      <c r="H10811" s="70"/>
      <c r="BA10811" s="4"/>
      <c r="BB10811" s="4"/>
    </row>
    <row r="10812" spans="1:54" x14ac:dyDescent="0.3">
      <c r="A10812" s="66"/>
      <c r="B10812" s="67"/>
      <c r="C10812" s="66"/>
      <c r="D10812" s="68"/>
      <c r="E10812" s="10"/>
      <c r="F10812" s="69"/>
      <c r="G10812" s="68"/>
      <c r="H10812" s="70"/>
      <c r="BA10812" s="4"/>
      <c r="BB10812" s="4"/>
    </row>
    <row r="10813" spans="1:54" x14ac:dyDescent="0.3">
      <c r="A10813" s="66"/>
      <c r="B10813" s="67"/>
      <c r="C10813" s="66"/>
      <c r="D10813" s="68"/>
      <c r="E10813" s="10"/>
      <c r="F10813" s="69"/>
      <c r="G10813" s="68"/>
      <c r="H10813" s="70"/>
      <c r="BA10813" s="4"/>
      <c r="BB10813" s="4"/>
    </row>
    <row r="10814" spans="1:54" x14ac:dyDescent="0.3">
      <c r="A10814" s="66"/>
      <c r="B10814" s="67"/>
      <c r="C10814" s="66"/>
      <c r="D10814" s="68"/>
      <c r="E10814" s="10"/>
      <c r="F10814" s="69"/>
      <c r="G10814" s="68"/>
      <c r="H10814" s="70"/>
      <c r="BA10814" s="4"/>
      <c r="BB10814" s="4"/>
    </row>
    <row r="10815" spans="1:54" x14ac:dyDescent="0.3">
      <c r="A10815" s="66"/>
      <c r="B10815" s="67"/>
      <c r="C10815" s="66"/>
      <c r="D10815" s="68"/>
      <c r="E10815" s="10"/>
      <c r="F10815" s="69"/>
      <c r="G10815" s="68"/>
      <c r="H10815" s="70"/>
      <c r="BA10815" s="4"/>
      <c r="BB10815" s="4"/>
    </row>
    <row r="10816" spans="1:54" x14ac:dyDescent="0.3">
      <c r="A10816" s="66"/>
      <c r="B10816" s="67"/>
      <c r="C10816" s="66"/>
      <c r="D10816" s="68"/>
      <c r="E10816" s="10"/>
      <c r="F10816" s="69"/>
      <c r="G10816" s="68"/>
      <c r="H10816" s="70"/>
      <c r="BA10816" s="4"/>
      <c r="BB10816" s="4"/>
    </row>
    <row r="10817" spans="1:54" x14ac:dyDescent="0.3">
      <c r="A10817" s="66"/>
      <c r="B10817" s="67"/>
      <c r="C10817" s="66"/>
      <c r="D10817" s="68"/>
      <c r="E10817" s="10"/>
      <c r="F10817" s="69"/>
      <c r="G10817" s="68"/>
      <c r="H10817" s="70"/>
      <c r="BA10817" s="4"/>
      <c r="BB10817" s="4"/>
    </row>
    <row r="10818" spans="1:54" x14ac:dyDescent="0.3">
      <c r="A10818" s="66"/>
      <c r="B10818" s="67"/>
      <c r="C10818" s="66"/>
      <c r="D10818" s="68"/>
      <c r="E10818" s="10"/>
      <c r="F10818" s="69"/>
      <c r="G10818" s="68"/>
      <c r="H10818" s="70"/>
      <c r="BA10818" s="4"/>
      <c r="BB10818" s="4"/>
    </row>
    <row r="10819" spans="1:54" x14ac:dyDescent="0.3">
      <c r="A10819" s="66"/>
      <c r="B10819" s="67"/>
      <c r="C10819" s="66"/>
      <c r="D10819" s="68"/>
      <c r="E10819" s="10"/>
      <c r="F10819" s="69"/>
      <c r="G10819" s="68"/>
      <c r="H10819" s="70"/>
      <c r="BA10819" s="4"/>
      <c r="BB10819" s="4"/>
    </row>
    <row r="10820" spans="1:54" x14ac:dyDescent="0.3">
      <c r="A10820" s="66"/>
      <c r="B10820" s="67"/>
      <c r="C10820" s="66"/>
      <c r="D10820" s="68"/>
      <c r="E10820" s="10"/>
      <c r="F10820" s="69"/>
      <c r="G10820" s="68"/>
      <c r="H10820" s="70"/>
      <c r="BA10820" s="4"/>
      <c r="BB10820" s="4"/>
    </row>
    <row r="10821" spans="1:54" x14ac:dyDescent="0.3">
      <c r="A10821" s="66"/>
      <c r="B10821" s="67"/>
      <c r="C10821" s="66"/>
      <c r="D10821" s="68"/>
      <c r="E10821" s="10"/>
      <c r="F10821" s="69"/>
      <c r="G10821" s="68"/>
      <c r="H10821" s="70"/>
      <c r="BA10821" s="4"/>
      <c r="BB10821" s="4"/>
    </row>
    <row r="10822" spans="1:54" x14ac:dyDescent="0.3">
      <c r="A10822" s="66"/>
      <c r="B10822" s="67"/>
      <c r="C10822" s="66"/>
      <c r="D10822" s="68"/>
      <c r="E10822" s="10"/>
      <c r="F10822" s="69"/>
      <c r="G10822" s="68"/>
      <c r="H10822" s="70"/>
      <c r="BA10822" s="4"/>
      <c r="BB10822" s="4"/>
    </row>
    <row r="10823" spans="1:54" x14ac:dyDescent="0.3">
      <c r="A10823" s="66"/>
      <c r="B10823" s="67"/>
      <c r="C10823" s="66"/>
      <c r="D10823" s="68"/>
      <c r="E10823" s="10"/>
      <c r="F10823" s="69"/>
      <c r="G10823" s="68"/>
      <c r="H10823" s="70"/>
      <c r="BA10823" s="4"/>
      <c r="BB10823" s="4"/>
    </row>
    <row r="10824" spans="1:54" x14ac:dyDescent="0.3">
      <c r="A10824" s="66"/>
      <c r="B10824" s="67"/>
      <c r="C10824" s="66"/>
      <c r="D10824" s="68"/>
      <c r="E10824" s="10"/>
      <c r="F10824" s="69"/>
      <c r="G10824" s="68"/>
      <c r="H10824" s="70"/>
      <c r="BA10824" s="4"/>
      <c r="BB10824" s="4"/>
    </row>
    <row r="10825" spans="1:54" x14ac:dyDescent="0.3">
      <c r="A10825" s="66"/>
      <c r="B10825" s="67"/>
      <c r="C10825" s="66"/>
      <c r="D10825" s="68"/>
      <c r="E10825" s="10"/>
      <c r="F10825" s="69"/>
      <c r="G10825" s="68"/>
      <c r="H10825" s="70"/>
      <c r="BA10825" s="4"/>
      <c r="BB10825" s="4"/>
    </row>
    <row r="10826" spans="1:54" x14ac:dyDescent="0.3">
      <c r="A10826" s="66"/>
      <c r="B10826" s="67"/>
      <c r="C10826" s="66"/>
      <c r="D10826" s="68"/>
      <c r="E10826" s="10"/>
      <c r="F10826" s="69"/>
      <c r="G10826" s="68"/>
      <c r="H10826" s="70"/>
      <c r="BA10826" s="4"/>
      <c r="BB10826" s="4"/>
    </row>
    <row r="10827" spans="1:54" x14ac:dyDescent="0.3">
      <c r="A10827" s="66"/>
      <c r="B10827" s="67"/>
      <c r="C10827" s="66"/>
      <c r="D10827" s="68"/>
      <c r="E10827" s="10"/>
      <c r="F10827" s="69"/>
      <c r="G10827" s="68"/>
      <c r="H10827" s="70"/>
      <c r="BA10827" s="4"/>
      <c r="BB10827" s="4"/>
    </row>
    <row r="10828" spans="1:54" x14ac:dyDescent="0.3">
      <c r="A10828" s="66"/>
      <c r="B10828" s="67"/>
      <c r="C10828" s="66"/>
      <c r="D10828" s="68"/>
      <c r="E10828" s="10"/>
      <c r="F10828" s="69"/>
      <c r="G10828" s="68"/>
      <c r="H10828" s="70"/>
      <c r="BA10828" s="4"/>
      <c r="BB10828" s="4"/>
    </row>
    <row r="10829" spans="1:54" x14ac:dyDescent="0.3">
      <c r="A10829" s="66"/>
      <c r="B10829" s="67"/>
      <c r="C10829" s="66"/>
      <c r="D10829" s="68"/>
      <c r="E10829" s="10"/>
      <c r="F10829" s="69"/>
      <c r="G10829" s="68"/>
      <c r="H10829" s="70"/>
      <c r="BA10829" s="4"/>
      <c r="BB10829" s="4"/>
    </row>
    <row r="10830" spans="1:54" x14ac:dyDescent="0.3">
      <c r="A10830" s="66"/>
      <c r="B10830" s="67"/>
      <c r="C10830" s="66"/>
      <c r="D10830" s="68"/>
      <c r="E10830" s="10"/>
      <c r="F10830" s="69"/>
      <c r="G10830" s="68"/>
      <c r="H10830" s="70"/>
      <c r="BA10830" s="4"/>
      <c r="BB10830" s="4"/>
    </row>
    <row r="10831" spans="1:54" x14ac:dyDescent="0.3">
      <c r="A10831" s="66"/>
      <c r="B10831" s="67"/>
      <c r="C10831" s="66"/>
      <c r="D10831" s="68"/>
      <c r="E10831" s="10"/>
      <c r="F10831" s="69"/>
      <c r="G10831" s="68"/>
      <c r="H10831" s="70"/>
      <c r="BA10831" s="4"/>
      <c r="BB10831" s="4"/>
    </row>
    <row r="10832" spans="1:54" x14ac:dyDescent="0.3">
      <c r="A10832" s="66"/>
      <c r="B10832" s="67"/>
      <c r="C10832" s="66"/>
      <c r="D10832" s="68"/>
      <c r="E10832" s="10"/>
      <c r="F10832" s="69"/>
      <c r="G10832" s="68"/>
      <c r="H10832" s="70"/>
      <c r="BA10832" s="4"/>
      <c r="BB10832" s="4"/>
    </row>
    <row r="10833" spans="1:54" x14ac:dyDescent="0.3">
      <c r="A10833" s="66"/>
      <c r="B10833" s="67"/>
      <c r="C10833" s="66"/>
      <c r="D10833" s="68"/>
      <c r="E10833" s="10"/>
      <c r="F10833" s="69"/>
      <c r="G10833" s="68"/>
      <c r="H10833" s="70"/>
      <c r="BA10833" s="4"/>
      <c r="BB10833" s="4"/>
    </row>
    <row r="10834" spans="1:54" x14ac:dyDescent="0.3">
      <c r="A10834" s="66"/>
      <c r="B10834" s="67"/>
      <c r="C10834" s="66"/>
      <c r="D10834" s="68"/>
      <c r="E10834" s="10"/>
      <c r="F10834" s="69"/>
      <c r="G10834" s="68"/>
      <c r="H10834" s="70"/>
      <c r="BA10834" s="4"/>
      <c r="BB10834" s="4"/>
    </row>
    <row r="10835" spans="1:54" x14ac:dyDescent="0.3">
      <c r="A10835" s="66"/>
      <c r="B10835" s="67"/>
      <c r="C10835" s="66"/>
      <c r="D10835" s="68"/>
      <c r="E10835" s="10"/>
      <c r="F10835" s="69"/>
      <c r="G10835" s="68"/>
      <c r="H10835" s="70"/>
      <c r="BA10835" s="4"/>
      <c r="BB10835" s="4"/>
    </row>
    <row r="10836" spans="1:54" x14ac:dyDescent="0.3">
      <c r="A10836" s="66"/>
      <c r="B10836" s="67"/>
      <c r="C10836" s="66"/>
      <c r="D10836" s="68"/>
      <c r="E10836" s="10"/>
      <c r="F10836" s="69"/>
      <c r="G10836" s="68"/>
      <c r="H10836" s="70"/>
      <c r="BA10836" s="4"/>
      <c r="BB10836" s="4"/>
    </row>
    <row r="10837" spans="1:54" x14ac:dyDescent="0.3">
      <c r="A10837" s="66"/>
      <c r="B10837" s="67"/>
      <c r="C10837" s="66"/>
      <c r="D10837" s="68"/>
      <c r="E10837" s="10"/>
      <c r="F10837" s="69"/>
      <c r="G10837" s="68"/>
      <c r="H10837" s="70"/>
      <c r="BA10837" s="4"/>
      <c r="BB10837" s="4"/>
    </row>
    <row r="10838" spans="1:54" x14ac:dyDescent="0.3">
      <c r="A10838" s="66"/>
      <c r="B10838" s="67"/>
      <c r="C10838" s="66"/>
      <c r="D10838" s="68"/>
      <c r="E10838" s="10"/>
      <c r="F10838" s="69"/>
      <c r="G10838" s="68"/>
      <c r="H10838" s="70"/>
      <c r="BA10838" s="4"/>
      <c r="BB10838" s="4"/>
    </row>
    <row r="10839" spans="1:54" x14ac:dyDescent="0.3">
      <c r="A10839" s="66"/>
      <c r="B10839" s="67"/>
      <c r="C10839" s="66"/>
      <c r="D10839" s="68"/>
      <c r="E10839" s="10"/>
      <c r="F10839" s="69"/>
      <c r="G10839" s="68"/>
      <c r="H10839" s="70"/>
      <c r="BA10839" s="4"/>
      <c r="BB10839" s="4"/>
    </row>
    <row r="10840" spans="1:54" x14ac:dyDescent="0.3">
      <c r="A10840" s="66"/>
      <c r="B10840" s="67"/>
      <c r="C10840" s="66"/>
      <c r="D10840" s="68"/>
      <c r="E10840" s="10"/>
      <c r="F10840" s="69"/>
      <c r="G10840" s="68"/>
      <c r="H10840" s="70"/>
      <c r="BA10840" s="4"/>
      <c r="BB10840" s="4"/>
    </row>
    <row r="10841" spans="1:54" x14ac:dyDescent="0.3">
      <c r="A10841" s="66"/>
      <c r="B10841" s="67"/>
      <c r="C10841" s="66"/>
      <c r="D10841" s="68"/>
      <c r="E10841" s="10"/>
      <c r="F10841" s="69"/>
      <c r="G10841" s="68"/>
      <c r="H10841" s="70"/>
      <c r="BA10841" s="4"/>
      <c r="BB10841" s="4"/>
    </row>
    <row r="10842" spans="1:54" x14ac:dyDescent="0.3">
      <c r="A10842" s="66"/>
      <c r="B10842" s="67"/>
      <c r="C10842" s="66"/>
      <c r="D10842" s="68"/>
      <c r="E10842" s="10"/>
      <c r="F10842" s="69"/>
      <c r="G10842" s="68"/>
      <c r="H10842" s="70"/>
      <c r="BA10842" s="4"/>
      <c r="BB10842" s="4"/>
    </row>
    <row r="10843" spans="1:54" x14ac:dyDescent="0.3">
      <c r="A10843" s="66"/>
      <c r="B10843" s="67"/>
      <c r="C10843" s="66"/>
      <c r="D10843" s="68"/>
      <c r="E10843" s="10"/>
      <c r="F10843" s="69"/>
      <c r="G10843" s="68"/>
      <c r="H10843" s="70"/>
      <c r="BA10843" s="4"/>
      <c r="BB10843" s="4"/>
    </row>
    <row r="10844" spans="1:54" x14ac:dyDescent="0.3">
      <c r="A10844" s="66"/>
      <c r="B10844" s="67"/>
      <c r="C10844" s="66"/>
      <c r="D10844" s="68"/>
      <c r="E10844" s="10"/>
      <c r="F10844" s="69"/>
      <c r="G10844" s="68"/>
      <c r="H10844" s="70"/>
      <c r="BA10844" s="4"/>
      <c r="BB10844" s="4"/>
    </row>
    <row r="10845" spans="1:54" x14ac:dyDescent="0.3">
      <c r="A10845" s="66"/>
      <c r="B10845" s="67"/>
      <c r="C10845" s="66"/>
      <c r="D10845" s="68"/>
      <c r="E10845" s="10"/>
      <c r="F10845" s="69"/>
      <c r="G10845" s="68"/>
      <c r="H10845" s="70"/>
      <c r="BA10845" s="4"/>
      <c r="BB10845" s="4"/>
    </row>
    <row r="10846" spans="1:54" x14ac:dyDescent="0.3">
      <c r="A10846" s="66"/>
      <c r="B10846" s="67"/>
      <c r="C10846" s="66"/>
      <c r="D10846" s="68"/>
      <c r="E10846" s="10"/>
      <c r="F10846" s="69"/>
      <c r="G10846" s="68"/>
      <c r="H10846" s="70"/>
      <c r="BA10846" s="4"/>
      <c r="BB10846" s="4"/>
    </row>
    <row r="10847" spans="1:54" x14ac:dyDescent="0.3">
      <c r="A10847" s="66"/>
      <c r="B10847" s="67"/>
      <c r="C10847" s="66"/>
      <c r="D10847" s="68"/>
      <c r="E10847" s="10"/>
      <c r="F10847" s="69"/>
      <c r="G10847" s="68"/>
      <c r="H10847" s="70"/>
      <c r="BA10847" s="4"/>
      <c r="BB10847" s="4"/>
    </row>
    <row r="10848" spans="1:54" x14ac:dyDescent="0.3">
      <c r="A10848" s="66"/>
      <c r="B10848" s="67"/>
      <c r="C10848" s="66"/>
      <c r="D10848" s="68"/>
      <c r="E10848" s="10"/>
      <c r="F10848" s="69"/>
      <c r="G10848" s="68"/>
      <c r="H10848" s="70"/>
      <c r="BA10848" s="4"/>
      <c r="BB10848" s="4"/>
    </row>
    <row r="10849" spans="1:54" x14ac:dyDescent="0.3">
      <c r="A10849" s="66"/>
      <c r="B10849" s="67"/>
      <c r="C10849" s="66"/>
      <c r="D10849" s="68"/>
      <c r="E10849" s="10"/>
      <c r="F10849" s="69"/>
      <c r="G10849" s="68"/>
      <c r="H10849" s="70"/>
      <c r="BA10849" s="4"/>
      <c r="BB10849" s="4"/>
    </row>
    <row r="10850" spans="1:54" x14ac:dyDescent="0.3">
      <c r="A10850" s="66"/>
      <c r="B10850" s="67"/>
      <c r="C10850" s="66"/>
      <c r="D10850" s="68"/>
      <c r="E10850" s="10"/>
      <c r="F10850" s="69"/>
      <c r="G10850" s="68"/>
      <c r="H10850" s="70"/>
      <c r="BA10850" s="4"/>
      <c r="BB10850" s="4"/>
    </row>
    <row r="10851" spans="1:54" x14ac:dyDescent="0.3">
      <c r="A10851" s="66"/>
      <c r="B10851" s="67"/>
      <c r="C10851" s="66"/>
      <c r="D10851" s="68"/>
      <c r="E10851" s="10"/>
      <c r="F10851" s="69"/>
      <c r="G10851" s="68"/>
      <c r="H10851" s="70"/>
      <c r="BA10851" s="4"/>
      <c r="BB10851" s="4"/>
    </row>
    <row r="10852" spans="1:54" x14ac:dyDescent="0.3">
      <c r="A10852" s="66"/>
      <c r="B10852" s="67"/>
      <c r="C10852" s="66"/>
      <c r="D10852" s="68"/>
      <c r="E10852" s="10"/>
      <c r="F10852" s="69"/>
      <c r="G10852" s="68"/>
      <c r="H10852" s="70"/>
      <c r="BA10852" s="4"/>
      <c r="BB10852" s="4"/>
    </row>
    <row r="10853" spans="1:54" x14ac:dyDescent="0.3">
      <c r="A10853" s="66"/>
      <c r="B10853" s="67"/>
      <c r="C10853" s="66"/>
      <c r="D10853" s="68"/>
      <c r="E10853" s="10"/>
      <c r="F10853" s="69"/>
      <c r="G10853" s="68"/>
      <c r="H10853" s="70"/>
      <c r="BA10853" s="4"/>
      <c r="BB10853" s="4"/>
    </row>
    <row r="10854" spans="1:54" x14ac:dyDescent="0.3">
      <c r="A10854" s="66"/>
      <c r="B10854" s="67"/>
      <c r="C10854" s="66"/>
      <c r="D10854" s="68"/>
      <c r="E10854" s="10"/>
      <c r="F10854" s="69"/>
      <c r="G10854" s="68"/>
      <c r="H10854" s="70"/>
      <c r="BA10854" s="4"/>
      <c r="BB10854" s="4"/>
    </row>
    <row r="10855" spans="1:54" x14ac:dyDescent="0.3">
      <c r="A10855" s="66"/>
      <c r="B10855" s="67"/>
      <c r="C10855" s="66"/>
      <c r="D10855" s="68"/>
      <c r="E10855" s="10"/>
      <c r="F10855" s="69"/>
      <c r="G10855" s="68"/>
      <c r="H10855" s="70"/>
      <c r="BA10855" s="4"/>
      <c r="BB10855" s="4"/>
    </row>
    <row r="10856" spans="1:54" x14ac:dyDescent="0.3">
      <c r="A10856" s="66"/>
      <c r="B10856" s="67"/>
      <c r="C10856" s="66"/>
      <c r="D10856" s="68"/>
      <c r="E10856" s="10"/>
      <c r="F10856" s="69"/>
      <c r="G10856" s="68"/>
      <c r="H10856" s="70"/>
      <c r="BA10856" s="4"/>
      <c r="BB10856" s="4"/>
    </row>
    <row r="10857" spans="1:54" x14ac:dyDescent="0.3">
      <c r="A10857" s="66"/>
      <c r="B10857" s="67"/>
      <c r="C10857" s="66"/>
      <c r="D10857" s="68"/>
      <c r="E10857" s="10"/>
      <c r="F10857" s="69"/>
      <c r="G10857" s="68"/>
      <c r="H10857" s="70"/>
      <c r="BA10857" s="4"/>
      <c r="BB10857" s="4"/>
    </row>
    <row r="10858" spans="1:54" x14ac:dyDescent="0.3">
      <c r="A10858" s="66"/>
      <c r="B10858" s="67"/>
      <c r="C10858" s="66"/>
      <c r="D10858" s="68"/>
      <c r="E10858" s="10"/>
      <c r="F10858" s="69"/>
      <c r="G10858" s="68"/>
      <c r="H10858" s="70"/>
      <c r="BA10858" s="4"/>
      <c r="BB10858" s="4"/>
    </row>
    <row r="10859" spans="1:54" x14ac:dyDescent="0.3">
      <c r="A10859" s="66"/>
      <c r="B10859" s="67"/>
      <c r="C10859" s="66"/>
      <c r="D10859" s="68"/>
      <c r="E10859" s="10"/>
      <c r="F10859" s="69"/>
      <c r="G10859" s="68"/>
      <c r="H10859" s="70"/>
      <c r="BA10859" s="4"/>
      <c r="BB10859" s="4"/>
    </row>
    <row r="10860" spans="1:54" x14ac:dyDescent="0.3">
      <c r="A10860" s="66"/>
      <c r="B10860" s="67"/>
      <c r="C10860" s="66"/>
      <c r="D10860" s="68"/>
      <c r="E10860" s="10"/>
      <c r="F10860" s="69"/>
      <c r="G10860" s="68"/>
      <c r="H10860" s="70"/>
      <c r="BA10860" s="4"/>
      <c r="BB10860" s="4"/>
    </row>
    <row r="10861" spans="1:54" x14ac:dyDescent="0.3">
      <c r="A10861" s="66"/>
      <c r="B10861" s="67"/>
      <c r="C10861" s="66"/>
      <c r="D10861" s="68"/>
      <c r="E10861" s="10"/>
      <c r="F10861" s="69"/>
      <c r="G10861" s="68"/>
      <c r="H10861" s="70"/>
      <c r="BA10861" s="4"/>
      <c r="BB10861" s="4"/>
    </row>
    <row r="10862" spans="1:54" x14ac:dyDescent="0.3">
      <c r="A10862" s="66"/>
      <c r="B10862" s="67"/>
      <c r="C10862" s="66"/>
      <c r="D10862" s="68"/>
      <c r="E10862" s="10"/>
      <c r="F10862" s="69"/>
      <c r="G10862" s="68"/>
      <c r="H10862" s="70"/>
      <c r="BA10862" s="4"/>
      <c r="BB10862" s="4"/>
    </row>
    <row r="10863" spans="1:54" x14ac:dyDescent="0.3">
      <c r="A10863" s="66"/>
      <c r="B10863" s="67"/>
      <c r="C10863" s="66"/>
      <c r="D10863" s="68"/>
      <c r="E10863" s="10"/>
      <c r="F10863" s="69"/>
      <c r="G10863" s="68"/>
      <c r="H10863" s="70"/>
      <c r="BA10863" s="4"/>
      <c r="BB10863" s="4"/>
    </row>
    <row r="10864" spans="1:54" x14ac:dyDescent="0.3">
      <c r="A10864" s="66"/>
      <c r="B10864" s="67"/>
      <c r="C10864" s="66"/>
      <c r="D10864" s="68"/>
      <c r="E10864" s="10"/>
      <c r="F10864" s="69"/>
      <c r="G10864" s="68"/>
      <c r="H10864" s="70"/>
      <c r="BA10864" s="4"/>
      <c r="BB10864" s="4"/>
    </row>
    <row r="10865" spans="1:54" x14ac:dyDescent="0.3">
      <c r="A10865" s="66"/>
      <c r="B10865" s="67"/>
      <c r="C10865" s="66"/>
      <c r="D10865" s="68"/>
      <c r="E10865" s="10"/>
      <c r="F10865" s="69"/>
      <c r="G10865" s="68"/>
      <c r="H10865" s="70"/>
      <c r="BA10865" s="4"/>
      <c r="BB10865" s="4"/>
    </row>
    <row r="10866" spans="1:54" x14ac:dyDescent="0.3">
      <c r="A10866" s="66"/>
      <c r="B10866" s="67"/>
      <c r="C10866" s="66"/>
      <c r="D10866" s="68"/>
      <c r="E10866" s="10"/>
      <c r="F10866" s="69"/>
      <c r="G10866" s="68"/>
      <c r="H10866" s="70"/>
      <c r="BA10866" s="4"/>
      <c r="BB10866" s="4"/>
    </row>
    <row r="10867" spans="1:54" x14ac:dyDescent="0.3">
      <c r="A10867" s="66"/>
      <c r="B10867" s="67"/>
      <c r="C10867" s="66"/>
      <c r="D10867" s="68"/>
      <c r="E10867" s="10"/>
      <c r="F10867" s="69"/>
      <c r="G10867" s="68"/>
      <c r="H10867" s="70"/>
      <c r="BA10867" s="4"/>
      <c r="BB10867" s="4"/>
    </row>
    <row r="10868" spans="1:54" x14ac:dyDescent="0.3">
      <c r="A10868" s="66"/>
      <c r="B10868" s="67"/>
      <c r="C10868" s="66"/>
      <c r="D10868" s="68"/>
      <c r="E10868" s="10"/>
      <c r="F10868" s="69"/>
      <c r="G10868" s="68"/>
      <c r="H10868" s="70"/>
      <c r="BA10868" s="4"/>
      <c r="BB10868" s="4"/>
    </row>
    <row r="10869" spans="1:54" x14ac:dyDescent="0.3">
      <c r="A10869" s="66"/>
      <c r="B10869" s="67"/>
      <c r="C10869" s="66"/>
      <c r="D10869" s="68"/>
      <c r="E10869" s="10"/>
      <c r="F10869" s="69"/>
      <c r="G10869" s="68"/>
      <c r="H10869" s="70"/>
      <c r="BA10869" s="4"/>
      <c r="BB10869" s="4"/>
    </row>
    <row r="10870" spans="1:54" x14ac:dyDescent="0.3">
      <c r="A10870" s="66"/>
      <c r="B10870" s="67"/>
      <c r="C10870" s="66"/>
      <c r="D10870" s="68"/>
      <c r="E10870" s="10"/>
      <c r="F10870" s="69"/>
      <c r="G10870" s="68"/>
      <c r="H10870" s="70"/>
      <c r="BA10870" s="4"/>
      <c r="BB10870" s="4"/>
    </row>
    <row r="10871" spans="1:54" x14ac:dyDescent="0.3">
      <c r="A10871" s="66"/>
      <c r="B10871" s="67"/>
      <c r="C10871" s="66"/>
      <c r="D10871" s="68"/>
      <c r="E10871" s="10"/>
      <c r="F10871" s="69"/>
      <c r="G10871" s="68"/>
      <c r="H10871" s="70"/>
      <c r="BA10871" s="4"/>
      <c r="BB10871" s="4"/>
    </row>
    <row r="10872" spans="1:54" x14ac:dyDescent="0.3">
      <c r="A10872" s="66"/>
      <c r="B10872" s="67"/>
      <c r="C10872" s="66"/>
      <c r="D10872" s="68"/>
      <c r="E10872" s="10"/>
      <c r="F10872" s="69"/>
      <c r="G10872" s="68"/>
      <c r="H10872" s="70"/>
      <c r="BA10872" s="4"/>
      <c r="BB10872" s="4"/>
    </row>
    <row r="10873" spans="1:54" x14ac:dyDescent="0.3">
      <c r="A10873" s="66"/>
      <c r="B10873" s="67"/>
      <c r="C10873" s="66"/>
      <c r="D10873" s="68"/>
      <c r="E10873" s="10"/>
      <c r="F10873" s="69"/>
      <c r="G10873" s="68"/>
      <c r="H10873" s="70"/>
      <c r="BA10873" s="4"/>
      <c r="BB10873" s="4"/>
    </row>
    <row r="10874" spans="1:54" x14ac:dyDescent="0.3">
      <c r="A10874" s="66"/>
      <c r="B10874" s="67"/>
      <c r="C10874" s="66"/>
      <c r="D10874" s="68"/>
      <c r="E10874" s="10"/>
      <c r="F10874" s="69"/>
      <c r="G10874" s="68"/>
      <c r="H10874" s="70"/>
      <c r="BA10874" s="4"/>
      <c r="BB10874" s="4"/>
    </row>
    <row r="10875" spans="1:54" x14ac:dyDescent="0.3">
      <c r="A10875" s="66"/>
      <c r="B10875" s="67"/>
      <c r="C10875" s="66"/>
      <c r="D10875" s="68"/>
      <c r="E10875" s="10"/>
      <c r="F10875" s="69"/>
      <c r="G10875" s="68"/>
      <c r="H10875" s="70"/>
      <c r="BA10875" s="4"/>
      <c r="BB10875" s="4"/>
    </row>
    <row r="10876" spans="1:54" x14ac:dyDescent="0.3">
      <c r="A10876" s="66"/>
      <c r="B10876" s="67"/>
      <c r="C10876" s="66"/>
      <c r="D10876" s="68"/>
      <c r="E10876" s="10"/>
      <c r="F10876" s="69"/>
      <c r="G10876" s="68"/>
      <c r="H10876" s="70"/>
      <c r="BA10876" s="4"/>
      <c r="BB10876" s="4"/>
    </row>
    <row r="10877" spans="1:54" x14ac:dyDescent="0.3">
      <c r="A10877" s="66"/>
      <c r="B10877" s="67"/>
      <c r="C10877" s="66"/>
      <c r="D10877" s="68"/>
      <c r="E10877" s="10"/>
      <c r="F10877" s="69"/>
      <c r="G10877" s="68"/>
      <c r="H10877" s="70"/>
      <c r="BA10877" s="4"/>
      <c r="BB10877" s="4"/>
    </row>
    <row r="10878" spans="1:54" x14ac:dyDescent="0.3">
      <c r="A10878" s="66"/>
      <c r="B10878" s="67"/>
      <c r="C10878" s="66"/>
      <c r="D10878" s="68"/>
      <c r="E10878" s="10"/>
      <c r="F10878" s="69"/>
      <c r="G10878" s="68"/>
      <c r="H10878" s="70"/>
      <c r="BA10878" s="4"/>
      <c r="BB10878" s="4"/>
    </row>
    <row r="10879" spans="1:54" x14ac:dyDescent="0.3">
      <c r="A10879" s="66"/>
      <c r="B10879" s="67"/>
      <c r="C10879" s="66"/>
      <c r="D10879" s="68"/>
      <c r="E10879" s="10"/>
      <c r="F10879" s="69"/>
      <c r="G10879" s="68"/>
      <c r="H10879" s="70"/>
      <c r="BA10879" s="4"/>
      <c r="BB10879" s="4"/>
    </row>
    <row r="10880" spans="1:54" x14ac:dyDescent="0.3">
      <c r="A10880" s="66"/>
      <c r="B10880" s="67"/>
      <c r="C10880" s="66"/>
      <c r="D10880" s="68"/>
      <c r="E10880" s="10"/>
      <c r="F10880" s="69"/>
      <c r="G10880" s="68"/>
      <c r="H10880" s="70"/>
      <c r="BA10880" s="4"/>
      <c r="BB10880" s="4"/>
    </row>
    <row r="10881" spans="1:54" x14ac:dyDescent="0.3">
      <c r="A10881" s="66"/>
      <c r="B10881" s="67"/>
      <c r="C10881" s="66"/>
      <c r="D10881" s="68"/>
      <c r="E10881" s="10"/>
      <c r="F10881" s="69"/>
      <c r="G10881" s="68"/>
      <c r="H10881" s="70"/>
      <c r="BA10881" s="4"/>
      <c r="BB10881" s="4"/>
    </row>
    <row r="10882" spans="1:54" x14ac:dyDescent="0.3">
      <c r="A10882" s="66"/>
      <c r="B10882" s="67"/>
      <c r="C10882" s="66"/>
      <c r="D10882" s="68"/>
      <c r="E10882" s="10"/>
      <c r="F10882" s="69"/>
      <c r="G10882" s="68"/>
      <c r="H10882" s="70"/>
      <c r="BA10882" s="4"/>
      <c r="BB10882" s="4"/>
    </row>
    <row r="10883" spans="1:54" x14ac:dyDescent="0.3">
      <c r="A10883" s="66"/>
      <c r="B10883" s="67"/>
      <c r="C10883" s="66"/>
      <c r="D10883" s="68"/>
      <c r="E10883" s="10"/>
      <c r="F10883" s="69"/>
      <c r="G10883" s="68"/>
      <c r="H10883" s="70"/>
      <c r="BA10883" s="4"/>
      <c r="BB10883" s="4"/>
    </row>
    <row r="10884" spans="1:54" x14ac:dyDescent="0.3">
      <c r="A10884" s="66"/>
      <c r="B10884" s="67"/>
      <c r="C10884" s="66"/>
      <c r="D10884" s="68"/>
      <c r="E10884" s="10"/>
      <c r="F10884" s="69"/>
      <c r="G10884" s="68"/>
      <c r="H10884" s="70"/>
      <c r="BA10884" s="4"/>
      <c r="BB10884" s="4"/>
    </row>
    <row r="10885" spans="1:54" x14ac:dyDescent="0.3">
      <c r="A10885" s="66"/>
      <c r="B10885" s="67"/>
      <c r="C10885" s="66"/>
      <c r="D10885" s="68"/>
      <c r="E10885" s="10"/>
      <c r="F10885" s="69"/>
      <c r="G10885" s="68"/>
      <c r="H10885" s="70"/>
      <c r="BA10885" s="4"/>
      <c r="BB10885" s="4"/>
    </row>
    <row r="10886" spans="1:54" x14ac:dyDescent="0.3">
      <c r="A10886" s="66"/>
      <c r="B10886" s="67"/>
      <c r="C10886" s="66"/>
      <c r="D10886" s="68"/>
      <c r="E10886" s="10"/>
      <c r="F10886" s="69"/>
      <c r="G10886" s="68"/>
      <c r="H10886" s="70"/>
      <c r="BA10886" s="4"/>
      <c r="BB10886" s="4"/>
    </row>
    <row r="10887" spans="1:54" x14ac:dyDescent="0.3">
      <c r="A10887" s="66"/>
      <c r="B10887" s="67"/>
      <c r="C10887" s="66"/>
      <c r="D10887" s="68"/>
      <c r="E10887" s="10"/>
      <c r="F10887" s="69"/>
      <c r="G10887" s="68"/>
      <c r="H10887" s="70"/>
      <c r="BA10887" s="4"/>
      <c r="BB10887" s="4"/>
    </row>
    <row r="10888" spans="1:54" x14ac:dyDescent="0.3">
      <c r="A10888" s="66"/>
      <c r="B10888" s="67"/>
      <c r="C10888" s="66"/>
      <c r="D10888" s="68"/>
      <c r="E10888" s="10"/>
      <c r="F10888" s="69"/>
      <c r="G10888" s="68"/>
      <c r="H10888" s="70"/>
      <c r="BA10888" s="4"/>
      <c r="BB10888" s="4"/>
    </row>
    <row r="10889" spans="1:54" x14ac:dyDescent="0.3">
      <c r="A10889" s="66"/>
      <c r="B10889" s="67"/>
      <c r="C10889" s="66"/>
      <c r="D10889" s="68"/>
      <c r="E10889" s="10"/>
      <c r="F10889" s="69"/>
      <c r="G10889" s="68"/>
      <c r="H10889" s="70"/>
      <c r="BA10889" s="4"/>
      <c r="BB10889" s="4"/>
    </row>
    <row r="10890" spans="1:54" x14ac:dyDescent="0.3">
      <c r="A10890" s="66"/>
      <c r="B10890" s="67"/>
      <c r="C10890" s="66"/>
      <c r="D10890" s="68"/>
      <c r="E10890" s="10"/>
      <c r="F10890" s="69"/>
      <c r="G10890" s="68"/>
      <c r="H10890" s="70"/>
      <c r="BA10890" s="4"/>
      <c r="BB10890" s="4"/>
    </row>
    <row r="10891" spans="1:54" x14ac:dyDescent="0.3">
      <c r="A10891" s="66"/>
      <c r="B10891" s="67"/>
      <c r="C10891" s="66"/>
      <c r="D10891" s="68"/>
      <c r="E10891" s="10"/>
      <c r="F10891" s="69"/>
      <c r="G10891" s="68"/>
      <c r="H10891" s="70"/>
      <c r="BA10891" s="4"/>
      <c r="BB10891" s="4"/>
    </row>
    <row r="10892" spans="1:54" x14ac:dyDescent="0.3">
      <c r="A10892" s="66"/>
      <c r="B10892" s="67"/>
      <c r="C10892" s="66"/>
      <c r="D10892" s="68"/>
      <c r="E10892" s="10"/>
      <c r="F10892" s="69"/>
      <c r="G10892" s="68"/>
      <c r="H10892" s="70"/>
      <c r="BA10892" s="4"/>
      <c r="BB10892" s="4"/>
    </row>
    <row r="10893" spans="1:54" x14ac:dyDescent="0.3">
      <c r="A10893" s="66"/>
      <c r="B10893" s="67"/>
      <c r="C10893" s="66"/>
      <c r="D10893" s="68"/>
      <c r="E10893" s="10"/>
      <c r="F10893" s="69"/>
      <c r="G10893" s="68"/>
      <c r="H10893" s="70"/>
      <c r="BA10893" s="4"/>
      <c r="BB10893" s="4"/>
    </row>
    <row r="10894" spans="1:54" x14ac:dyDescent="0.3">
      <c r="A10894" s="66"/>
      <c r="B10894" s="67"/>
      <c r="C10894" s="66"/>
      <c r="D10894" s="68"/>
      <c r="E10894" s="10"/>
      <c r="F10894" s="69"/>
      <c r="G10894" s="68"/>
      <c r="H10894" s="70"/>
      <c r="BA10894" s="4"/>
      <c r="BB10894" s="4"/>
    </row>
    <row r="10895" spans="1:54" x14ac:dyDescent="0.3">
      <c r="A10895" s="66"/>
      <c r="B10895" s="67"/>
      <c r="C10895" s="66"/>
      <c r="D10895" s="68"/>
      <c r="E10895" s="10"/>
      <c r="F10895" s="69"/>
      <c r="G10895" s="68"/>
      <c r="H10895" s="70"/>
      <c r="BA10895" s="4"/>
      <c r="BB10895" s="4"/>
    </row>
    <row r="10896" spans="1:54" x14ac:dyDescent="0.3">
      <c r="A10896" s="66"/>
      <c r="B10896" s="67"/>
      <c r="C10896" s="66"/>
      <c r="D10896" s="68"/>
      <c r="E10896" s="10"/>
      <c r="F10896" s="69"/>
      <c r="G10896" s="68"/>
      <c r="H10896" s="70"/>
      <c r="BA10896" s="4"/>
      <c r="BB10896" s="4"/>
    </row>
    <row r="10897" spans="1:54" x14ac:dyDescent="0.3">
      <c r="A10897" s="66"/>
      <c r="B10897" s="67"/>
      <c r="C10897" s="66"/>
      <c r="D10897" s="68"/>
      <c r="E10897" s="10"/>
      <c r="F10897" s="69"/>
      <c r="G10897" s="68"/>
      <c r="H10897" s="70"/>
      <c r="BA10897" s="4"/>
      <c r="BB10897" s="4"/>
    </row>
    <row r="10898" spans="1:54" x14ac:dyDescent="0.3">
      <c r="A10898" s="66"/>
      <c r="B10898" s="67"/>
      <c r="C10898" s="66"/>
      <c r="D10898" s="68"/>
      <c r="E10898" s="10"/>
      <c r="F10898" s="69"/>
      <c r="G10898" s="68"/>
      <c r="H10898" s="70"/>
      <c r="BA10898" s="4"/>
      <c r="BB10898" s="4"/>
    </row>
    <row r="10899" spans="1:54" x14ac:dyDescent="0.3">
      <c r="A10899" s="66"/>
      <c r="B10899" s="67"/>
      <c r="C10899" s="66"/>
      <c r="D10899" s="68"/>
      <c r="E10899" s="10"/>
      <c r="F10899" s="69"/>
      <c r="G10899" s="68"/>
      <c r="H10899" s="70"/>
      <c r="BA10899" s="4"/>
      <c r="BB10899" s="4"/>
    </row>
    <row r="10900" spans="1:54" x14ac:dyDescent="0.3">
      <c r="A10900" s="66"/>
      <c r="B10900" s="67"/>
      <c r="C10900" s="66"/>
      <c r="D10900" s="68"/>
      <c r="E10900" s="10"/>
      <c r="F10900" s="69"/>
      <c r="G10900" s="68"/>
      <c r="H10900" s="70"/>
      <c r="BA10900" s="4"/>
      <c r="BB10900" s="4"/>
    </row>
    <row r="10901" spans="1:54" x14ac:dyDescent="0.3">
      <c r="A10901" s="66"/>
      <c r="B10901" s="67"/>
      <c r="C10901" s="66"/>
      <c r="D10901" s="68"/>
      <c r="E10901" s="10"/>
      <c r="F10901" s="69"/>
      <c r="G10901" s="68"/>
      <c r="H10901" s="70"/>
      <c r="BA10901" s="4"/>
      <c r="BB10901" s="4"/>
    </row>
    <row r="10902" spans="1:54" x14ac:dyDescent="0.3">
      <c r="A10902" s="66"/>
      <c r="B10902" s="67"/>
      <c r="C10902" s="66"/>
      <c r="D10902" s="68"/>
      <c r="E10902" s="10"/>
      <c r="F10902" s="69"/>
      <c r="G10902" s="68"/>
      <c r="H10902" s="70"/>
      <c r="BA10902" s="4"/>
      <c r="BB10902" s="4"/>
    </row>
    <row r="10903" spans="1:54" x14ac:dyDescent="0.3">
      <c r="A10903" s="66"/>
      <c r="B10903" s="67"/>
      <c r="C10903" s="66"/>
      <c r="D10903" s="68"/>
      <c r="E10903" s="10"/>
      <c r="F10903" s="69"/>
      <c r="G10903" s="68"/>
      <c r="H10903" s="70"/>
      <c r="BA10903" s="4"/>
      <c r="BB10903" s="4"/>
    </row>
    <row r="10904" spans="1:54" x14ac:dyDescent="0.3">
      <c r="A10904" s="66"/>
      <c r="B10904" s="67"/>
      <c r="C10904" s="66"/>
      <c r="D10904" s="68"/>
      <c r="E10904" s="10"/>
      <c r="F10904" s="69"/>
      <c r="G10904" s="68"/>
      <c r="H10904" s="70"/>
      <c r="BA10904" s="4"/>
      <c r="BB10904" s="4"/>
    </row>
    <row r="10905" spans="1:54" x14ac:dyDescent="0.3">
      <c r="A10905" s="66"/>
      <c r="B10905" s="67"/>
      <c r="C10905" s="66"/>
      <c r="D10905" s="68"/>
      <c r="E10905" s="10"/>
      <c r="F10905" s="69"/>
      <c r="G10905" s="68"/>
      <c r="H10905" s="70"/>
      <c r="BA10905" s="4"/>
      <c r="BB10905" s="4"/>
    </row>
    <row r="10906" spans="1:54" x14ac:dyDescent="0.3">
      <c r="A10906" s="66"/>
      <c r="B10906" s="67"/>
      <c r="C10906" s="66"/>
      <c r="D10906" s="68"/>
      <c r="E10906" s="10"/>
      <c r="F10906" s="69"/>
      <c r="G10906" s="68"/>
      <c r="H10906" s="70"/>
      <c r="BA10906" s="4"/>
      <c r="BB10906" s="4"/>
    </row>
    <row r="10907" spans="1:54" x14ac:dyDescent="0.3">
      <c r="A10907" s="66"/>
      <c r="B10907" s="67"/>
      <c r="C10907" s="66"/>
      <c r="D10907" s="68"/>
      <c r="E10907" s="10"/>
      <c r="F10907" s="69"/>
      <c r="G10907" s="68"/>
      <c r="H10907" s="70"/>
      <c r="BA10907" s="4"/>
      <c r="BB10907" s="4"/>
    </row>
    <row r="10908" spans="1:54" x14ac:dyDescent="0.3">
      <c r="A10908" s="66"/>
      <c r="B10908" s="67"/>
      <c r="C10908" s="66"/>
      <c r="D10908" s="68"/>
      <c r="E10908" s="10"/>
      <c r="F10908" s="69"/>
      <c r="G10908" s="68"/>
      <c r="H10908" s="70"/>
      <c r="BA10908" s="4"/>
      <c r="BB10908" s="4"/>
    </row>
    <row r="10909" spans="1:54" x14ac:dyDescent="0.3">
      <c r="A10909" s="66"/>
      <c r="B10909" s="67"/>
      <c r="C10909" s="66"/>
      <c r="D10909" s="68"/>
      <c r="E10909" s="10"/>
      <c r="F10909" s="69"/>
      <c r="G10909" s="68"/>
      <c r="H10909" s="70"/>
      <c r="BA10909" s="4"/>
      <c r="BB10909" s="4"/>
    </row>
    <row r="10910" spans="1:54" x14ac:dyDescent="0.3">
      <c r="A10910" s="66"/>
      <c r="B10910" s="67"/>
      <c r="C10910" s="66"/>
      <c r="D10910" s="68"/>
      <c r="E10910" s="10"/>
      <c r="F10910" s="69"/>
      <c r="G10910" s="68"/>
      <c r="H10910" s="70"/>
      <c r="BA10910" s="4"/>
      <c r="BB10910" s="4"/>
    </row>
    <row r="10911" spans="1:54" x14ac:dyDescent="0.3">
      <c r="A10911" s="66"/>
      <c r="B10911" s="67"/>
      <c r="C10911" s="66"/>
      <c r="D10911" s="68"/>
      <c r="E10911" s="10"/>
      <c r="F10911" s="69"/>
      <c r="G10911" s="68"/>
      <c r="H10911" s="70"/>
      <c r="BA10911" s="4"/>
      <c r="BB10911" s="4"/>
    </row>
    <row r="10912" spans="1:54" x14ac:dyDescent="0.3">
      <c r="A10912" s="66"/>
      <c r="B10912" s="67"/>
      <c r="C10912" s="66"/>
      <c r="D10912" s="68"/>
      <c r="E10912" s="10"/>
      <c r="F10912" s="69"/>
      <c r="G10912" s="68"/>
      <c r="H10912" s="70"/>
      <c r="BA10912" s="4"/>
      <c r="BB10912" s="4"/>
    </row>
    <row r="10913" spans="1:54" x14ac:dyDescent="0.3">
      <c r="A10913" s="66"/>
      <c r="B10913" s="67"/>
      <c r="C10913" s="66"/>
      <c r="D10913" s="68"/>
      <c r="E10913" s="10"/>
      <c r="F10913" s="69"/>
      <c r="G10913" s="68"/>
      <c r="H10913" s="70"/>
      <c r="BA10913" s="4"/>
      <c r="BB10913" s="4"/>
    </row>
    <row r="10914" spans="1:54" x14ac:dyDescent="0.3">
      <c r="A10914" s="66"/>
      <c r="B10914" s="67"/>
      <c r="C10914" s="66"/>
      <c r="D10914" s="68"/>
      <c r="E10914" s="10"/>
      <c r="F10914" s="69"/>
      <c r="G10914" s="68"/>
      <c r="H10914" s="70"/>
      <c r="BA10914" s="4"/>
      <c r="BB10914" s="4"/>
    </row>
    <row r="10915" spans="1:54" x14ac:dyDescent="0.3">
      <c r="A10915" s="66"/>
      <c r="B10915" s="67"/>
      <c r="C10915" s="66"/>
      <c r="D10915" s="68"/>
      <c r="E10915" s="10"/>
      <c r="F10915" s="69"/>
      <c r="G10915" s="68"/>
      <c r="H10915" s="70"/>
      <c r="BA10915" s="4"/>
      <c r="BB10915" s="4"/>
    </row>
    <row r="10916" spans="1:54" x14ac:dyDescent="0.3">
      <c r="A10916" s="66"/>
      <c r="B10916" s="67"/>
      <c r="C10916" s="66"/>
      <c r="D10916" s="68"/>
      <c r="E10916" s="10"/>
      <c r="F10916" s="69"/>
      <c r="G10916" s="68"/>
      <c r="H10916" s="70"/>
      <c r="BA10916" s="4"/>
      <c r="BB10916" s="4"/>
    </row>
    <row r="10917" spans="1:54" x14ac:dyDescent="0.3">
      <c r="A10917" s="66"/>
      <c r="B10917" s="67"/>
      <c r="C10917" s="66"/>
      <c r="D10917" s="68"/>
      <c r="E10917" s="10"/>
      <c r="F10917" s="69"/>
      <c r="G10917" s="68"/>
      <c r="H10917" s="70"/>
      <c r="BA10917" s="4"/>
      <c r="BB10917" s="4"/>
    </row>
    <row r="10918" spans="1:54" x14ac:dyDescent="0.3">
      <c r="A10918" s="66"/>
      <c r="B10918" s="67"/>
      <c r="C10918" s="66"/>
      <c r="D10918" s="68"/>
      <c r="E10918" s="10"/>
      <c r="F10918" s="69"/>
      <c r="G10918" s="68"/>
      <c r="H10918" s="70"/>
      <c r="BA10918" s="4"/>
      <c r="BB10918" s="4"/>
    </row>
    <row r="10919" spans="1:54" x14ac:dyDescent="0.3">
      <c r="A10919" s="66"/>
      <c r="B10919" s="67"/>
      <c r="C10919" s="66"/>
      <c r="D10919" s="68"/>
      <c r="E10919" s="10"/>
      <c r="F10919" s="69"/>
      <c r="G10919" s="68"/>
      <c r="H10919" s="70"/>
      <c r="BA10919" s="4"/>
      <c r="BB10919" s="4"/>
    </row>
    <row r="10920" spans="1:54" x14ac:dyDescent="0.3">
      <c r="A10920" s="66"/>
      <c r="B10920" s="67"/>
      <c r="C10920" s="66"/>
      <c r="D10920" s="68"/>
      <c r="E10920" s="10"/>
      <c r="F10920" s="69"/>
      <c r="G10920" s="68"/>
      <c r="H10920" s="70"/>
      <c r="BA10920" s="4"/>
      <c r="BB10920" s="4"/>
    </row>
    <row r="10921" spans="1:54" x14ac:dyDescent="0.3">
      <c r="A10921" s="66"/>
      <c r="B10921" s="67"/>
      <c r="C10921" s="66"/>
      <c r="D10921" s="68"/>
      <c r="E10921" s="10"/>
      <c r="F10921" s="69"/>
      <c r="G10921" s="68"/>
      <c r="H10921" s="70"/>
      <c r="BA10921" s="4"/>
      <c r="BB10921" s="4"/>
    </row>
    <row r="10922" spans="1:54" x14ac:dyDescent="0.3">
      <c r="A10922" s="66"/>
      <c r="B10922" s="67"/>
      <c r="C10922" s="66"/>
      <c r="D10922" s="68"/>
      <c r="E10922" s="10"/>
      <c r="F10922" s="69"/>
      <c r="G10922" s="68"/>
      <c r="H10922" s="70"/>
      <c r="BA10922" s="4"/>
      <c r="BB10922" s="4"/>
    </row>
    <row r="10923" spans="1:54" x14ac:dyDescent="0.3">
      <c r="A10923" s="66"/>
      <c r="B10923" s="67"/>
      <c r="C10923" s="66"/>
      <c r="D10923" s="68"/>
      <c r="E10923" s="10"/>
      <c r="F10923" s="69"/>
      <c r="G10923" s="68"/>
      <c r="H10923" s="70"/>
      <c r="BA10923" s="4"/>
      <c r="BB10923" s="4"/>
    </row>
    <row r="10924" spans="1:54" x14ac:dyDescent="0.3">
      <c r="A10924" s="66"/>
      <c r="B10924" s="67"/>
      <c r="C10924" s="66"/>
      <c r="D10924" s="68"/>
      <c r="E10924" s="10"/>
      <c r="F10924" s="69"/>
      <c r="G10924" s="68"/>
      <c r="H10924" s="70"/>
      <c r="BA10924" s="4"/>
      <c r="BB10924" s="4"/>
    </row>
    <row r="10925" spans="1:54" x14ac:dyDescent="0.3">
      <c r="A10925" s="66"/>
      <c r="B10925" s="67"/>
      <c r="C10925" s="66"/>
      <c r="D10925" s="68"/>
      <c r="E10925" s="10"/>
      <c r="F10925" s="69"/>
      <c r="G10925" s="68"/>
      <c r="H10925" s="70"/>
      <c r="BA10925" s="4"/>
      <c r="BB10925" s="4"/>
    </row>
    <row r="10926" spans="1:54" x14ac:dyDescent="0.3">
      <c r="A10926" s="66"/>
      <c r="B10926" s="67"/>
      <c r="C10926" s="66"/>
      <c r="D10926" s="68"/>
      <c r="E10926" s="10"/>
      <c r="F10926" s="69"/>
      <c r="G10926" s="68"/>
      <c r="H10926" s="70"/>
      <c r="BA10926" s="4"/>
      <c r="BB10926" s="4"/>
    </row>
    <row r="10927" spans="1:54" x14ac:dyDescent="0.3">
      <c r="A10927" s="66"/>
      <c r="B10927" s="67"/>
      <c r="C10927" s="66"/>
      <c r="D10927" s="68"/>
      <c r="E10927" s="10"/>
      <c r="F10927" s="69"/>
      <c r="G10927" s="68"/>
      <c r="H10927" s="70"/>
      <c r="BA10927" s="4"/>
      <c r="BB10927" s="4"/>
    </row>
    <row r="10928" spans="1:54" x14ac:dyDescent="0.3">
      <c r="A10928" s="66"/>
      <c r="B10928" s="67"/>
      <c r="C10928" s="66"/>
      <c r="D10928" s="68"/>
      <c r="E10928" s="10"/>
      <c r="F10928" s="69"/>
      <c r="G10928" s="68"/>
      <c r="H10928" s="70"/>
      <c r="BA10928" s="4"/>
      <c r="BB10928" s="4"/>
    </row>
    <row r="10929" spans="1:54" x14ac:dyDescent="0.3">
      <c r="A10929" s="66"/>
      <c r="B10929" s="67"/>
      <c r="C10929" s="66"/>
      <c r="D10929" s="68"/>
      <c r="E10929" s="10"/>
      <c r="F10929" s="69"/>
      <c r="G10929" s="68"/>
      <c r="H10929" s="70"/>
      <c r="BA10929" s="4"/>
      <c r="BB10929" s="4"/>
    </row>
    <row r="10930" spans="1:54" x14ac:dyDescent="0.3">
      <c r="A10930" s="66"/>
      <c r="B10930" s="67"/>
      <c r="C10930" s="66"/>
      <c r="D10930" s="68"/>
      <c r="E10930" s="10"/>
      <c r="F10930" s="69"/>
      <c r="G10930" s="68"/>
      <c r="H10930" s="70"/>
      <c r="BA10930" s="4"/>
      <c r="BB10930" s="4"/>
    </row>
    <row r="10931" spans="1:54" x14ac:dyDescent="0.3">
      <c r="A10931" s="66"/>
      <c r="B10931" s="67"/>
      <c r="C10931" s="66"/>
      <c r="D10931" s="68"/>
      <c r="E10931" s="10"/>
      <c r="F10931" s="69"/>
      <c r="G10931" s="68"/>
      <c r="H10931" s="70"/>
      <c r="BA10931" s="4"/>
      <c r="BB10931" s="4"/>
    </row>
    <row r="10932" spans="1:54" x14ac:dyDescent="0.3">
      <c r="A10932" s="66"/>
      <c r="B10932" s="67"/>
      <c r="C10932" s="66"/>
      <c r="D10932" s="68"/>
      <c r="E10932" s="10"/>
      <c r="F10932" s="69"/>
      <c r="G10932" s="68"/>
      <c r="H10932" s="70"/>
      <c r="BA10932" s="4"/>
      <c r="BB10932" s="4"/>
    </row>
    <row r="10933" spans="1:54" x14ac:dyDescent="0.3">
      <c r="A10933" s="66"/>
      <c r="B10933" s="67"/>
      <c r="C10933" s="66"/>
      <c r="D10933" s="68"/>
      <c r="E10933" s="10"/>
      <c r="F10933" s="69"/>
      <c r="G10933" s="68"/>
      <c r="H10933" s="70"/>
      <c r="BA10933" s="4"/>
      <c r="BB10933" s="4"/>
    </row>
    <row r="10934" spans="1:54" x14ac:dyDescent="0.3">
      <c r="A10934" s="66"/>
      <c r="B10934" s="67"/>
      <c r="C10934" s="66"/>
      <c r="D10934" s="68"/>
      <c r="E10934" s="10"/>
      <c r="F10934" s="69"/>
      <c r="G10934" s="68"/>
      <c r="H10934" s="70"/>
      <c r="BA10934" s="4"/>
      <c r="BB10934" s="4"/>
    </row>
    <row r="10935" spans="1:54" x14ac:dyDescent="0.3">
      <c r="A10935" s="66"/>
      <c r="B10935" s="67"/>
      <c r="C10935" s="66"/>
      <c r="D10935" s="68"/>
      <c r="E10935" s="10"/>
      <c r="F10935" s="69"/>
      <c r="G10935" s="68"/>
      <c r="H10935" s="70"/>
      <c r="BA10935" s="4"/>
      <c r="BB10935" s="4"/>
    </row>
    <row r="10936" spans="1:54" x14ac:dyDescent="0.3">
      <c r="A10936" s="66"/>
      <c r="B10936" s="67"/>
      <c r="C10936" s="66"/>
      <c r="D10936" s="68"/>
      <c r="E10936" s="10"/>
      <c r="F10936" s="69"/>
      <c r="G10936" s="68"/>
      <c r="H10936" s="70"/>
      <c r="BA10936" s="4"/>
      <c r="BB10936" s="4"/>
    </row>
    <row r="10937" spans="1:54" x14ac:dyDescent="0.3">
      <c r="A10937" s="66"/>
      <c r="B10937" s="67"/>
      <c r="C10937" s="66"/>
      <c r="D10937" s="68"/>
      <c r="E10937" s="10"/>
      <c r="F10937" s="69"/>
      <c r="G10937" s="68"/>
      <c r="H10937" s="70"/>
      <c r="BA10937" s="4"/>
      <c r="BB10937" s="4"/>
    </row>
    <row r="10938" spans="1:54" x14ac:dyDescent="0.3">
      <c r="A10938" s="66"/>
      <c r="B10938" s="67"/>
      <c r="C10938" s="66"/>
      <c r="D10938" s="68"/>
      <c r="E10938" s="10"/>
      <c r="F10938" s="69"/>
      <c r="G10938" s="68"/>
      <c r="H10938" s="70"/>
      <c r="BA10938" s="4"/>
      <c r="BB10938" s="4"/>
    </row>
    <row r="10939" spans="1:54" x14ac:dyDescent="0.3">
      <c r="A10939" s="66"/>
      <c r="B10939" s="67"/>
      <c r="C10939" s="66"/>
      <c r="D10939" s="68"/>
      <c r="E10939" s="10"/>
      <c r="F10939" s="69"/>
      <c r="G10939" s="68"/>
      <c r="H10939" s="70"/>
      <c r="BA10939" s="4"/>
      <c r="BB10939" s="4"/>
    </row>
    <row r="10940" spans="1:54" x14ac:dyDescent="0.3">
      <c r="A10940" s="66"/>
      <c r="B10940" s="67"/>
      <c r="C10940" s="66"/>
      <c r="D10940" s="68"/>
      <c r="E10940" s="10"/>
      <c r="F10940" s="69"/>
      <c r="G10940" s="68"/>
      <c r="H10940" s="70"/>
      <c r="BA10940" s="4"/>
      <c r="BB10940" s="4"/>
    </row>
    <row r="10941" spans="1:54" x14ac:dyDescent="0.3">
      <c r="A10941" s="66"/>
      <c r="B10941" s="67"/>
      <c r="C10941" s="66"/>
      <c r="D10941" s="68"/>
      <c r="E10941" s="10"/>
      <c r="F10941" s="69"/>
      <c r="G10941" s="68"/>
      <c r="H10941" s="70"/>
      <c r="BA10941" s="4"/>
      <c r="BB10941" s="4"/>
    </row>
    <row r="10942" spans="1:54" x14ac:dyDescent="0.3">
      <c r="A10942" s="66"/>
      <c r="B10942" s="67"/>
      <c r="C10942" s="66"/>
      <c r="D10942" s="68"/>
      <c r="E10942" s="10"/>
      <c r="F10942" s="69"/>
      <c r="G10942" s="68"/>
      <c r="H10942" s="70"/>
      <c r="BA10942" s="4"/>
      <c r="BB10942" s="4"/>
    </row>
    <row r="10943" spans="1:54" x14ac:dyDescent="0.3">
      <c r="A10943" s="66"/>
      <c r="B10943" s="67"/>
      <c r="C10943" s="66"/>
      <c r="D10943" s="68"/>
      <c r="E10943" s="10"/>
      <c r="F10943" s="69"/>
      <c r="G10943" s="68"/>
      <c r="H10943" s="70"/>
      <c r="BA10943" s="4"/>
      <c r="BB10943" s="4"/>
    </row>
    <row r="10944" spans="1:54" x14ac:dyDescent="0.3">
      <c r="A10944" s="66"/>
      <c r="B10944" s="67"/>
      <c r="C10944" s="66"/>
      <c r="D10944" s="68"/>
      <c r="E10944" s="10"/>
      <c r="F10944" s="69"/>
      <c r="G10944" s="68"/>
      <c r="H10944" s="70"/>
      <c r="BA10944" s="4"/>
      <c r="BB10944" s="4"/>
    </row>
    <row r="10945" spans="1:54" x14ac:dyDescent="0.3">
      <c r="A10945" s="66"/>
      <c r="B10945" s="67"/>
      <c r="C10945" s="66"/>
      <c r="D10945" s="68"/>
      <c r="E10945" s="10"/>
      <c r="F10945" s="69"/>
      <c r="G10945" s="68"/>
      <c r="H10945" s="70"/>
      <c r="BA10945" s="4"/>
      <c r="BB10945" s="4"/>
    </row>
    <row r="10946" spans="1:54" x14ac:dyDescent="0.3">
      <c r="A10946" s="66"/>
      <c r="B10946" s="67"/>
      <c r="C10946" s="66"/>
      <c r="D10946" s="68"/>
      <c r="E10946" s="10"/>
      <c r="F10946" s="69"/>
      <c r="G10946" s="68"/>
      <c r="H10946" s="70"/>
      <c r="BA10946" s="4"/>
      <c r="BB10946" s="4"/>
    </row>
    <row r="10947" spans="1:54" x14ac:dyDescent="0.3">
      <c r="A10947" s="66"/>
      <c r="B10947" s="67"/>
      <c r="C10947" s="66"/>
      <c r="D10947" s="68"/>
      <c r="E10947" s="10"/>
      <c r="F10947" s="69"/>
      <c r="G10947" s="68"/>
      <c r="H10947" s="70"/>
      <c r="BA10947" s="4"/>
      <c r="BB10947" s="4"/>
    </row>
    <row r="10948" spans="1:54" x14ac:dyDescent="0.3">
      <c r="A10948" s="66"/>
      <c r="B10948" s="67"/>
      <c r="C10948" s="66"/>
      <c r="D10948" s="68"/>
      <c r="E10948" s="10"/>
      <c r="F10948" s="69"/>
      <c r="G10948" s="68"/>
      <c r="H10948" s="70"/>
      <c r="BA10948" s="4"/>
      <c r="BB10948" s="4"/>
    </row>
    <row r="10949" spans="1:54" x14ac:dyDescent="0.3">
      <c r="A10949" s="66"/>
      <c r="B10949" s="67"/>
      <c r="C10949" s="66"/>
      <c r="D10949" s="68"/>
      <c r="E10949" s="10"/>
      <c r="F10949" s="69"/>
      <c r="G10949" s="68"/>
      <c r="H10949" s="70"/>
      <c r="BA10949" s="4"/>
      <c r="BB10949" s="4"/>
    </row>
    <row r="10950" spans="1:54" x14ac:dyDescent="0.3">
      <c r="A10950" s="66"/>
      <c r="B10950" s="67"/>
      <c r="C10950" s="66"/>
      <c r="D10950" s="68"/>
      <c r="E10950" s="10"/>
      <c r="F10950" s="69"/>
      <c r="G10950" s="68"/>
      <c r="H10950" s="70"/>
      <c r="BA10950" s="4"/>
      <c r="BB10950" s="4"/>
    </row>
    <row r="10951" spans="1:54" x14ac:dyDescent="0.3">
      <c r="A10951" s="66"/>
      <c r="B10951" s="67"/>
      <c r="C10951" s="66"/>
      <c r="D10951" s="68"/>
      <c r="E10951" s="10"/>
      <c r="F10951" s="69"/>
      <c r="G10951" s="68"/>
      <c r="H10951" s="70"/>
      <c r="BA10951" s="4"/>
      <c r="BB10951" s="4"/>
    </row>
    <row r="10952" spans="1:54" x14ac:dyDescent="0.3">
      <c r="A10952" s="66"/>
      <c r="B10952" s="67"/>
      <c r="C10952" s="66"/>
      <c r="D10952" s="68"/>
      <c r="E10952" s="10"/>
      <c r="F10952" s="69"/>
      <c r="G10952" s="68"/>
      <c r="H10952" s="70"/>
      <c r="BA10952" s="4"/>
      <c r="BB10952" s="4"/>
    </row>
    <row r="10953" spans="1:54" x14ac:dyDescent="0.3">
      <c r="A10953" s="66"/>
      <c r="B10953" s="67"/>
      <c r="C10953" s="66"/>
      <c r="D10953" s="68"/>
      <c r="E10953" s="10"/>
      <c r="F10953" s="69"/>
      <c r="G10953" s="68"/>
      <c r="H10953" s="70"/>
      <c r="BA10953" s="4"/>
      <c r="BB10953" s="4"/>
    </row>
    <row r="10954" spans="1:54" x14ac:dyDescent="0.3">
      <c r="A10954" s="66"/>
      <c r="B10954" s="67"/>
      <c r="C10954" s="66"/>
      <c r="D10954" s="68"/>
      <c r="E10954" s="10"/>
      <c r="F10954" s="69"/>
      <c r="G10954" s="68"/>
      <c r="H10954" s="70"/>
      <c r="BA10954" s="4"/>
      <c r="BB10954" s="4"/>
    </row>
    <row r="10955" spans="1:54" x14ac:dyDescent="0.3">
      <c r="A10955" s="66"/>
      <c r="B10955" s="67"/>
      <c r="C10955" s="66"/>
      <c r="D10955" s="68"/>
      <c r="E10955" s="10"/>
      <c r="F10955" s="69"/>
      <c r="G10955" s="68"/>
      <c r="H10955" s="70"/>
      <c r="BA10955" s="4"/>
      <c r="BB10955" s="4"/>
    </row>
    <row r="10956" spans="1:54" x14ac:dyDescent="0.3">
      <c r="A10956" s="66"/>
      <c r="B10956" s="67"/>
      <c r="C10956" s="66"/>
      <c r="D10956" s="68"/>
      <c r="E10956" s="10"/>
      <c r="F10956" s="69"/>
      <c r="G10956" s="68"/>
      <c r="H10956" s="70"/>
      <c r="BA10956" s="4"/>
      <c r="BB10956" s="4"/>
    </row>
    <row r="10957" spans="1:54" x14ac:dyDescent="0.3">
      <c r="A10957" s="66"/>
      <c r="B10957" s="67"/>
      <c r="C10957" s="66"/>
      <c r="D10957" s="68"/>
      <c r="E10957" s="10"/>
      <c r="F10957" s="69"/>
      <c r="G10957" s="68"/>
      <c r="H10957" s="70"/>
      <c r="BA10957" s="4"/>
      <c r="BB10957" s="4"/>
    </row>
    <row r="10958" spans="1:54" x14ac:dyDescent="0.3">
      <c r="A10958" s="66"/>
      <c r="B10958" s="67"/>
      <c r="C10958" s="66"/>
      <c r="D10958" s="68"/>
      <c r="E10958" s="10"/>
      <c r="F10958" s="69"/>
      <c r="G10958" s="68"/>
      <c r="H10958" s="70"/>
      <c r="BA10958" s="4"/>
      <c r="BB10958" s="4"/>
    </row>
    <row r="10959" spans="1:54" x14ac:dyDescent="0.3">
      <c r="A10959" s="66"/>
      <c r="B10959" s="67"/>
      <c r="C10959" s="66"/>
      <c r="D10959" s="68"/>
      <c r="E10959" s="10"/>
      <c r="F10959" s="69"/>
      <c r="G10959" s="68"/>
      <c r="H10959" s="70"/>
      <c r="BA10959" s="4"/>
      <c r="BB10959" s="4"/>
    </row>
    <row r="10960" spans="1:54" x14ac:dyDescent="0.3">
      <c r="A10960" s="66"/>
      <c r="B10960" s="67"/>
      <c r="C10960" s="66"/>
      <c r="D10960" s="68"/>
      <c r="E10960" s="10"/>
      <c r="F10960" s="69"/>
      <c r="G10960" s="68"/>
      <c r="H10960" s="70"/>
      <c r="BA10960" s="4"/>
      <c r="BB10960" s="4"/>
    </row>
    <row r="10961" spans="1:54" x14ac:dyDescent="0.3">
      <c r="A10961" s="66"/>
      <c r="B10961" s="67"/>
      <c r="C10961" s="66"/>
      <c r="D10961" s="68"/>
      <c r="E10961" s="10"/>
      <c r="F10961" s="69"/>
      <c r="G10961" s="68"/>
      <c r="H10961" s="70"/>
      <c r="BA10961" s="4"/>
      <c r="BB10961" s="4"/>
    </row>
    <row r="10962" spans="1:54" x14ac:dyDescent="0.3">
      <c r="A10962" s="66"/>
      <c r="B10962" s="67"/>
      <c r="C10962" s="66"/>
      <c r="D10962" s="68"/>
      <c r="E10962" s="10"/>
      <c r="F10962" s="69"/>
      <c r="G10962" s="68"/>
      <c r="H10962" s="70"/>
      <c r="BA10962" s="4"/>
      <c r="BB10962" s="4"/>
    </row>
    <row r="10963" spans="1:54" x14ac:dyDescent="0.3">
      <c r="A10963" s="66"/>
      <c r="B10963" s="67"/>
      <c r="C10963" s="66"/>
      <c r="D10963" s="68"/>
      <c r="E10963" s="10"/>
      <c r="F10963" s="69"/>
      <c r="G10963" s="68"/>
      <c r="H10963" s="70"/>
      <c r="BA10963" s="4"/>
      <c r="BB10963" s="4"/>
    </row>
    <row r="10964" spans="1:54" x14ac:dyDescent="0.3">
      <c r="A10964" s="66"/>
      <c r="B10964" s="67"/>
      <c r="C10964" s="66"/>
      <c r="D10964" s="68"/>
      <c r="E10964" s="10"/>
      <c r="F10964" s="69"/>
      <c r="G10964" s="68"/>
      <c r="H10964" s="70"/>
      <c r="BA10964" s="4"/>
      <c r="BB10964" s="4"/>
    </row>
    <row r="10965" spans="1:54" x14ac:dyDescent="0.3">
      <c r="A10965" s="66"/>
      <c r="B10965" s="67"/>
      <c r="C10965" s="66"/>
      <c r="D10965" s="68"/>
      <c r="E10965" s="10"/>
      <c r="F10965" s="69"/>
      <c r="G10965" s="68"/>
      <c r="H10965" s="70"/>
      <c r="BA10965" s="4"/>
      <c r="BB10965" s="4"/>
    </row>
    <row r="10966" spans="1:54" x14ac:dyDescent="0.3">
      <c r="A10966" s="66"/>
      <c r="B10966" s="67"/>
      <c r="C10966" s="66"/>
      <c r="D10966" s="68"/>
      <c r="E10966" s="10"/>
      <c r="F10966" s="69"/>
      <c r="G10966" s="68"/>
      <c r="H10966" s="70"/>
      <c r="BA10966" s="4"/>
      <c r="BB10966" s="4"/>
    </row>
    <row r="10967" spans="1:54" x14ac:dyDescent="0.3">
      <c r="A10967" s="66"/>
      <c r="B10967" s="67"/>
      <c r="C10967" s="66"/>
      <c r="D10967" s="68"/>
      <c r="E10967" s="10"/>
      <c r="F10967" s="69"/>
      <c r="G10967" s="68"/>
      <c r="H10967" s="70"/>
      <c r="BA10967" s="4"/>
      <c r="BB10967" s="4"/>
    </row>
    <row r="10968" spans="1:54" x14ac:dyDescent="0.3">
      <c r="A10968" s="66"/>
      <c r="B10968" s="67"/>
      <c r="C10968" s="66"/>
      <c r="D10968" s="68"/>
      <c r="E10968" s="10"/>
      <c r="F10968" s="69"/>
      <c r="G10968" s="68"/>
      <c r="H10968" s="70"/>
      <c r="BA10968" s="4"/>
      <c r="BB10968" s="4"/>
    </row>
    <row r="10969" spans="1:54" x14ac:dyDescent="0.3">
      <c r="A10969" s="66"/>
      <c r="B10969" s="67"/>
      <c r="C10969" s="66"/>
      <c r="D10969" s="68"/>
      <c r="E10969" s="10"/>
      <c r="F10969" s="69"/>
      <c r="G10969" s="68"/>
      <c r="H10969" s="70"/>
      <c r="BA10969" s="4"/>
      <c r="BB10969" s="4"/>
    </row>
    <row r="10970" spans="1:54" x14ac:dyDescent="0.3">
      <c r="A10970" s="66"/>
      <c r="B10970" s="67"/>
      <c r="C10970" s="66"/>
      <c r="D10970" s="68"/>
      <c r="E10970" s="10"/>
      <c r="F10970" s="69"/>
      <c r="G10970" s="68"/>
      <c r="H10970" s="70"/>
      <c r="BA10970" s="4"/>
      <c r="BB10970" s="4"/>
    </row>
    <row r="10971" spans="1:54" x14ac:dyDescent="0.3">
      <c r="A10971" s="66"/>
      <c r="B10971" s="67"/>
      <c r="C10971" s="66"/>
      <c r="D10971" s="68"/>
      <c r="E10971" s="10"/>
      <c r="F10971" s="69"/>
      <c r="G10971" s="68"/>
      <c r="H10971" s="70"/>
      <c r="BA10971" s="4"/>
      <c r="BB10971" s="4"/>
    </row>
    <row r="10972" spans="1:54" x14ac:dyDescent="0.3">
      <c r="A10972" s="66"/>
      <c r="B10972" s="67"/>
      <c r="C10972" s="66"/>
      <c r="D10972" s="68"/>
      <c r="E10972" s="10"/>
      <c r="F10972" s="69"/>
      <c r="G10972" s="68"/>
      <c r="H10972" s="70"/>
      <c r="BA10972" s="4"/>
      <c r="BB10972" s="4"/>
    </row>
    <row r="10973" spans="1:54" x14ac:dyDescent="0.3">
      <c r="A10973" s="66"/>
      <c r="B10973" s="67"/>
      <c r="C10973" s="66"/>
      <c r="D10973" s="68"/>
      <c r="E10973" s="10"/>
      <c r="F10973" s="69"/>
      <c r="G10973" s="68"/>
      <c r="H10973" s="70"/>
      <c r="BA10973" s="4"/>
      <c r="BB10973" s="4"/>
    </row>
    <row r="10974" spans="1:54" x14ac:dyDescent="0.3">
      <c r="A10974" s="66"/>
      <c r="B10974" s="67"/>
      <c r="C10974" s="66"/>
      <c r="D10974" s="68"/>
      <c r="E10974" s="10"/>
      <c r="F10974" s="69"/>
      <c r="G10974" s="68"/>
      <c r="H10974" s="70"/>
      <c r="BA10974" s="4"/>
      <c r="BB10974" s="4"/>
    </row>
    <row r="10975" spans="1:54" x14ac:dyDescent="0.3">
      <c r="A10975" s="66"/>
      <c r="B10975" s="67"/>
      <c r="C10975" s="66"/>
      <c r="D10975" s="68"/>
      <c r="E10975" s="10"/>
      <c r="F10975" s="69"/>
      <c r="G10975" s="68"/>
      <c r="H10975" s="70"/>
      <c r="BA10975" s="4"/>
      <c r="BB10975" s="4"/>
    </row>
    <row r="10976" spans="1:54" x14ac:dyDescent="0.3">
      <c r="A10976" s="66"/>
      <c r="B10976" s="67"/>
      <c r="C10976" s="66"/>
      <c r="D10976" s="68"/>
      <c r="E10976" s="10"/>
      <c r="F10976" s="69"/>
      <c r="G10976" s="68"/>
      <c r="H10976" s="70"/>
      <c r="BA10976" s="4"/>
      <c r="BB10976" s="4"/>
    </row>
    <row r="10977" spans="1:54" x14ac:dyDescent="0.3">
      <c r="A10977" s="66"/>
      <c r="B10977" s="67"/>
      <c r="C10977" s="66"/>
      <c r="D10977" s="68"/>
      <c r="E10977" s="10"/>
      <c r="F10977" s="69"/>
      <c r="G10977" s="68"/>
      <c r="H10977" s="70"/>
      <c r="BA10977" s="4"/>
      <c r="BB10977" s="4"/>
    </row>
    <row r="10978" spans="1:54" x14ac:dyDescent="0.3">
      <c r="A10978" s="66"/>
      <c r="B10978" s="67"/>
      <c r="C10978" s="66"/>
      <c r="D10978" s="68"/>
      <c r="E10978" s="10"/>
      <c r="F10978" s="69"/>
      <c r="G10978" s="68"/>
      <c r="H10978" s="70"/>
      <c r="BA10978" s="4"/>
      <c r="BB10978" s="4"/>
    </row>
    <row r="10979" spans="1:54" x14ac:dyDescent="0.3">
      <c r="A10979" s="66"/>
      <c r="B10979" s="67"/>
      <c r="C10979" s="66"/>
      <c r="D10979" s="68"/>
      <c r="E10979" s="10"/>
      <c r="F10979" s="69"/>
      <c r="G10979" s="68"/>
      <c r="H10979" s="70"/>
      <c r="BA10979" s="4"/>
      <c r="BB10979" s="4"/>
    </row>
    <row r="10980" spans="1:54" x14ac:dyDescent="0.3">
      <c r="A10980" s="66"/>
      <c r="B10980" s="67"/>
      <c r="C10980" s="66"/>
      <c r="D10980" s="68"/>
      <c r="E10980" s="10"/>
      <c r="F10980" s="69"/>
      <c r="G10980" s="68"/>
      <c r="H10980" s="70"/>
      <c r="BA10980" s="4"/>
      <c r="BB10980" s="4"/>
    </row>
    <row r="10981" spans="1:54" x14ac:dyDescent="0.3">
      <c r="A10981" s="66"/>
      <c r="B10981" s="67"/>
      <c r="C10981" s="66"/>
      <c r="D10981" s="68"/>
      <c r="E10981" s="10"/>
      <c r="F10981" s="69"/>
      <c r="G10981" s="68"/>
      <c r="H10981" s="70"/>
      <c r="BA10981" s="4"/>
      <c r="BB10981" s="4"/>
    </row>
    <row r="10982" spans="1:54" x14ac:dyDescent="0.3">
      <c r="A10982" s="66"/>
      <c r="B10982" s="67"/>
      <c r="C10982" s="66"/>
      <c r="D10982" s="68"/>
      <c r="E10982" s="10"/>
      <c r="F10982" s="69"/>
      <c r="G10982" s="68"/>
      <c r="H10982" s="70"/>
      <c r="BA10982" s="4"/>
      <c r="BB10982" s="4"/>
    </row>
    <row r="10983" spans="1:54" x14ac:dyDescent="0.3">
      <c r="A10983" s="66"/>
      <c r="B10983" s="67"/>
      <c r="C10983" s="66"/>
      <c r="D10983" s="68"/>
      <c r="E10983" s="10"/>
      <c r="F10983" s="69"/>
      <c r="G10983" s="68"/>
      <c r="H10983" s="70"/>
      <c r="BA10983" s="4"/>
      <c r="BB10983" s="4"/>
    </row>
    <row r="10984" spans="1:54" x14ac:dyDescent="0.3">
      <c r="A10984" s="66"/>
      <c r="B10984" s="67"/>
      <c r="C10984" s="66"/>
      <c r="D10984" s="68"/>
      <c r="E10984" s="10"/>
      <c r="F10984" s="69"/>
      <c r="G10984" s="68"/>
      <c r="H10984" s="70"/>
      <c r="BA10984" s="4"/>
      <c r="BB10984" s="4"/>
    </row>
    <row r="10985" spans="1:54" x14ac:dyDescent="0.3">
      <c r="A10985" s="66"/>
      <c r="B10985" s="67"/>
      <c r="C10985" s="66"/>
      <c r="D10985" s="68"/>
      <c r="E10985" s="10"/>
      <c r="F10985" s="69"/>
      <c r="G10985" s="68"/>
      <c r="H10985" s="70"/>
      <c r="BA10985" s="4"/>
      <c r="BB10985" s="4"/>
    </row>
    <row r="10986" spans="1:54" x14ac:dyDescent="0.3">
      <c r="A10986" s="66"/>
      <c r="B10986" s="67"/>
      <c r="C10986" s="66"/>
      <c r="D10986" s="68"/>
      <c r="E10986" s="10"/>
      <c r="F10986" s="69"/>
      <c r="G10986" s="68"/>
      <c r="H10986" s="70"/>
      <c r="BA10986" s="4"/>
      <c r="BB10986" s="4"/>
    </row>
    <row r="10987" spans="1:54" x14ac:dyDescent="0.3">
      <c r="A10987" s="66"/>
      <c r="B10987" s="67"/>
      <c r="C10987" s="66"/>
      <c r="D10987" s="68"/>
      <c r="E10987" s="10"/>
      <c r="F10987" s="69"/>
      <c r="G10987" s="68"/>
      <c r="H10987" s="70"/>
      <c r="BA10987" s="4"/>
      <c r="BB10987" s="4"/>
    </row>
    <row r="10988" spans="1:54" x14ac:dyDescent="0.3">
      <c r="A10988" s="66"/>
      <c r="B10988" s="67"/>
      <c r="C10988" s="66"/>
      <c r="D10988" s="68"/>
      <c r="E10988" s="10"/>
      <c r="F10988" s="69"/>
      <c r="G10988" s="68"/>
      <c r="H10988" s="70"/>
      <c r="BA10988" s="4"/>
      <c r="BB10988" s="4"/>
    </row>
    <row r="10989" spans="1:54" x14ac:dyDescent="0.3">
      <c r="A10989" s="66"/>
      <c r="B10989" s="67"/>
      <c r="C10989" s="66"/>
      <c r="D10989" s="68"/>
      <c r="E10989" s="10"/>
      <c r="F10989" s="69"/>
      <c r="G10989" s="68"/>
      <c r="H10989" s="70"/>
      <c r="BA10989" s="4"/>
      <c r="BB10989" s="4"/>
    </row>
    <row r="10990" spans="1:54" x14ac:dyDescent="0.3">
      <c r="A10990" s="66"/>
      <c r="B10990" s="67"/>
      <c r="C10990" s="66"/>
      <c r="D10990" s="68"/>
      <c r="E10990" s="10"/>
      <c r="F10990" s="69"/>
      <c r="G10990" s="68"/>
      <c r="H10990" s="70"/>
      <c r="BA10990" s="4"/>
      <c r="BB10990" s="4"/>
    </row>
    <row r="10991" spans="1:54" x14ac:dyDescent="0.3">
      <c r="A10991" s="66"/>
      <c r="B10991" s="67"/>
      <c r="C10991" s="66"/>
      <c r="D10991" s="68"/>
      <c r="E10991" s="10"/>
      <c r="F10991" s="69"/>
      <c r="G10991" s="68"/>
      <c r="H10991" s="70"/>
      <c r="BA10991" s="4"/>
      <c r="BB10991" s="4"/>
    </row>
    <row r="10992" spans="1:54" x14ac:dyDescent="0.3">
      <c r="A10992" s="66"/>
      <c r="B10992" s="67"/>
      <c r="C10992" s="66"/>
      <c r="D10992" s="68"/>
      <c r="E10992" s="10"/>
      <c r="F10992" s="69"/>
      <c r="G10992" s="68"/>
      <c r="H10992" s="70"/>
      <c r="BA10992" s="4"/>
      <c r="BB10992" s="4"/>
    </row>
    <row r="10993" spans="1:54" x14ac:dyDescent="0.3">
      <c r="A10993" s="66"/>
      <c r="B10993" s="67"/>
      <c r="C10993" s="66"/>
      <c r="D10993" s="68"/>
      <c r="E10993" s="10"/>
      <c r="F10993" s="69"/>
      <c r="G10993" s="68"/>
      <c r="H10993" s="70"/>
      <c r="BA10993" s="4"/>
      <c r="BB10993" s="4"/>
    </row>
    <row r="10994" spans="1:54" x14ac:dyDescent="0.3">
      <c r="A10994" s="66"/>
      <c r="B10994" s="67"/>
      <c r="C10994" s="66"/>
      <c r="D10994" s="68"/>
      <c r="E10994" s="10"/>
      <c r="F10994" s="69"/>
      <c r="G10994" s="68"/>
      <c r="H10994" s="70"/>
      <c r="BA10994" s="4"/>
      <c r="BB10994" s="4"/>
    </row>
    <row r="10995" spans="1:54" x14ac:dyDescent="0.3">
      <c r="A10995" s="66"/>
      <c r="B10995" s="67"/>
      <c r="C10995" s="66"/>
      <c r="D10995" s="68"/>
      <c r="E10995" s="10"/>
      <c r="F10995" s="69"/>
      <c r="G10995" s="68"/>
      <c r="H10995" s="70"/>
      <c r="BA10995" s="4"/>
      <c r="BB10995" s="4"/>
    </row>
    <row r="10996" spans="1:54" x14ac:dyDescent="0.3">
      <c r="A10996" s="66"/>
      <c r="B10996" s="67"/>
      <c r="C10996" s="66"/>
      <c r="D10996" s="68"/>
      <c r="E10996" s="10"/>
      <c r="F10996" s="69"/>
      <c r="G10996" s="68"/>
      <c r="H10996" s="70"/>
      <c r="BA10996" s="4"/>
      <c r="BB10996" s="4"/>
    </row>
    <row r="10997" spans="1:54" x14ac:dyDescent="0.3">
      <c r="A10997" s="66"/>
      <c r="B10997" s="67"/>
      <c r="C10997" s="66"/>
      <c r="D10997" s="68"/>
      <c r="E10997" s="10"/>
      <c r="F10997" s="69"/>
      <c r="G10997" s="68"/>
      <c r="H10997" s="70"/>
      <c r="BA10997" s="4"/>
      <c r="BB10997" s="4"/>
    </row>
    <row r="10998" spans="1:54" x14ac:dyDescent="0.3">
      <c r="A10998" s="66"/>
      <c r="B10998" s="67"/>
      <c r="C10998" s="66"/>
      <c r="D10998" s="68"/>
      <c r="E10998" s="10"/>
      <c r="F10998" s="69"/>
      <c r="G10998" s="68"/>
      <c r="H10998" s="70"/>
      <c r="BA10998" s="4"/>
      <c r="BB10998" s="4"/>
    </row>
    <row r="10999" spans="1:54" x14ac:dyDescent="0.3">
      <c r="A10999" s="66"/>
      <c r="B10999" s="67"/>
      <c r="C10999" s="66"/>
      <c r="D10999" s="68"/>
      <c r="E10999" s="10"/>
      <c r="F10999" s="69"/>
      <c r="G10999" s="68"/>
      <c r="H10999" s="70"/>
      <c r="BA10999" s="4"/>
      <c r="BB10999" s="4"/>
    </row>
    <row r="11000" spans="1:54" x14ac:dyDescent="0.3">
      <c r="A11000" s="66"/>
      <c r="B11000" s="67"/>
      <c r="C11000" s="66"/>
      <c r="D11000" s="68"/>
      <c r="E11000" s="10"/>
      <c r="F11000" s="69"/>
      <c r="G11000" s="68"/>
      <c r="H11000" s="70"/>
      <c r="BA11000" s="4"/>
      <c r="BB11000" s="4"/>
    </row>
    <row r="11001" spans="1:54" x14ac:dyDescent="0.3">
      <c r="A11001" s="66"/>
      <c r="B11001" s="67"/>
      <c r="C11001" s="66"/>
      <c r="D11001" s="68"/>
      <c r="E11001" s="10"/>
      <c r="F11001" s="69"/>
      <c r="G11001" s="68"/>
      <c r="H11001" s="70"/>
      <c r="BA11001" s="4"/>
      <c r="BB11001" s="4"/>
    </row>
    <row r="11002" spans="1:54" x14ac:dyDescent="0.3">
      <c r="A11002" s="66"/>
      <c r="B11002" s="67"/>
      <c r="C11002" s="66"/>
      <c r="D11002" s="68"/>
      <c r="E11002" s="10"/>
      <c r="F11002" s="69"/>
      <c r="G11002" s="68"/>
      <c r="H11002" s="70"/>
      <c r="BA11002" s="4"/>
      <c r="BB11002" s="4"/>
    </row>
    <row r="11003" spans="1:54" x14ac:dyDescent="0.3">
      <c r="A11003" s="66"/>
      <c r="B11003" s="67"/>
      <c r="C11003" s="66"/>
      <c r="D11003" s="68"/>
      <c r="E11003" s="10"/>
      <c r="F11003" s="69"/>
      <c r="G11003" s="68"/>
      <c r="H11003" s="70"/>
      <c r="BA11003" s="4"/>
      <c r="BB11003" s="4"/>
    </row>
    <row r="11004" spans="1:54" x14ac:dyDescent="0.3">
      <c r="A11004" s="66"/>
      <c r="B11004" s="67"/>
      <c r="C11004" s="66"/>
      <c r="D11004" s="68"/>
      <c r="E11004" s="10"/>
      <c r="F11004" s="69"/>
      <c r="G11004" s="68"/>
      <c r="H11004" s="70"/>
      <c r="BA11004" s="4"/>
      <c r="BB11004" s="4"/>
    </row>
    <row r="11005" spans="1:54" x14ac:dyDescent="0.3">
      <c r="A11005" s="66"/>
      <c r="B11005" s="67"/>
      <c r="C11005" s="66"/>
      <c r="D11005" s="68"/>
      <c r="E11005" s="10"/>
      <c r="F11005" s="69"/>
      <c r="G11005" s="68"/>
      <c r="H11005" s="70"/>
      <c r="BA11005" s="4"/>
      <c r="BB11005" s="4"/>
    </row>
    <row r="11006" spans="1:54" x14ac:dyDescent="0.3">
      <c r="A11006" s="66"/>
      <c r="B11006" s="67"/>
      <c r="C11006" s="66"/>
      <c r="D11006" s="68"/>
      <c r="E11006" s="10"/>
      <c r="F11006" s="69"/>
      <c r="G11006" s="68"/>
      <c r="H11006" s="70"/>
      <c r="BA11006" s="4"/>
      <c r="BB11006" s="4"/>
    </row>
    <row r="11007" spans="1:54" x14ac:dyDescent="0.3">
      <c r="A11007" s="66"/>
      <c r="B11007" s="67"/>
      <c r="C11007" s="66"/>
      <c r="D11007" s="68"/>
      <c r="E11007" s="10"/>
      <c r="F11007" s="69"/>
      <c r="G11007" s="68"/>
      <c r="H11007" s="70"/>
      <c r="BA11007" s="4"/>
      <c r="BB11007" s="4"/>
    </row>
    <row r="11008" spans="1:54" x14ac:dyDescent="0.3">
      <c r="A11008" s="66"/>
      <c r="B11008" s="67"/>
      <c r="C11008" s="66"/>
      <c r="D11008" s="68"/>
      <c r="E11008" s="10"/>
      <c r="F11008" s="69"/>
      <c r="G11008" s="68"/>
      <c r="H11008" s="70"/>
      <c r="BA11008" s="4"/>
      <c r="BB11008" s="4"/>
    </row>
    <row r="11009" spans="1:54" x14ac:dyDescent="0.3">
      <c r="A11009" s="66"/>
      <c r="B11009" s="67"/>
      <c r="C11009" s="66"/>
      <c r="D11009" s="68"/>
      <c r="E11009" s="10"/>
      <c r="F11009" s="69"/>
      <c r="G11009" s="68"/>
      <c r="H11009" s="70"/>
      <c r="BA11009" s="4"/>
      <c r="BB11009" s="4"/>
    </row>
    <row r="11010" spans="1:54" x14ac:dyDescent="0.3">
      <c r="A11010" s="66"/>
      <c r="B11010" s="67"/>
      <c r="C11010" s="66"/>
      <c r="D11010" s="68"/>
      <c r="E11010" s="10"/>
      <c r="F11010" s="69"/>
      <c r="G11010" s="68"/>
      <c r="H11010" s="70"/>
      <c r="BA11010" s="4"/>
      <c r="BB11010" s="4"/>
    </row>
    <row r="11011" spans="1:54" x14ac:dyDescent="0.3">
      <c r="A11011" s="66"/>
      <c r="B11011" s="67"/>
      <c r="C11011" s="66"/>
      <c r="D11011" s="68"/>
      <c r="E11011" s="10"/>
      <c r="F11011" s="69"/>
      <c r="G11011" s="68"/>
      <c r="H11011" s="70"/>
      <c r="BA11011" s="4"/>
      <c r="BB11011" s="4"/>
    </row>
    <row r="11012" spans="1:54" x14ac:dyDescent="0.3">
      <c r="A11012" s="66"/>
      <c r="B11012" s="67"/>
      <c r="C11012" s="66"/>
      <c r="D11012" s="68"/>
      <c r="E11012" s="10"/>
      <c r="F11012" s="69"/>
      <c r="G11012" s="68"/>
      <c r="H11012" s="70"/>
      <c r="BA11012" s="4"/>
      <c r="BB11012" s="4"/>
    </row>
    <row r="11013" spans="1:54" x14ac:dyDescent="0.3">
      <c r="A11013" s="66"/>
      <c r="B11013" s="67"/>
      <c r="C11013" s="66"/>
      <c r="D11013" s="68"/>
      <c r="E11013" s="10"/>
      <c r="F11013" s="69"/>
      <c r="G11013" s="68"/>
      <c r="H11013" s="70"/>
      <c r="BA11013" s="4"/>
      <c r="BB11013" s="4"/>
    </row>
    <row r="11014" spans="1:54" x14ac:dyDescent="0.3">
      <c r="A11014" s="66"/>
      <c r="B11014" s="67"/>
      <c r="C11014" s="66"/>
      <c r="D11014" s="68"/>
      <c r="E11014" s="10"/>
      <c r="F11014" s="69"/>
      <c r="G11014" s="68"/>
      <c r="H11014" s="70"/>
      <c r="BA11014" s="4"/>
      <c r="BB11014" s="4"/>
    </row>
    <row r="11015" spans="1:54" x14ac:dyDescent="0.3">
      <c r="A11015" s="66"/>
      <c r="B11015" s="67"/>
      <c r="C11015" s="66"/>
      <c r="D11015" s="68"/>
      <c r="E11015" s="10"/>
      <c r="F11015" s="69"/>
      <c r="G11015" s="68"/>
      <c r="H11015" s="70"/>
      <c r="BA11015" s="4"/>
      <c r="BB11015" s="4"/>
    </row>
    <row r="11016" spans="1:54" x14ac:dyDescent="0.3">
      <c r="A11016" s="66"/>
      <c r="B11016" s="67"/>
      <c r="C11016" s="66"/>
      <c r="D11016" s="68"/>
      <c r="E11016" s="10"/>
      <c r="F11016" s="69"/>
      <c r="G11016" s="68"/>
      <c r="H11016" s="70"/>
      <c r="BA11016" s="4"/>
      <c r="BB11016" s="4"/>
    </row>
    <row r="11017" spans="1:54" x14ac:dyDescent="0.3">
      <c r="A11017" s="66"/>
      <c r="B11017" s="67"/>
      <c r="C11017" s="66"/>
      <c r="D11017" s="68"/>
      <c r="E11017" s="10"/>
      <c r="F11017" s="69"/>
      <c r="G11017" s="68"/>
      <c r="H11017" s="70"/>
      <c r="BA11017" s="4"/>
      <c r="BB11017" s="4"/>
    </row>
    <row r="11018" spans="1:54" x14ac:dyDescent="0.3">
      <c r="A11018" s="66"/>
      <c r="B11018" s="67"/>
      <c r="C11018" s="66"/>
      <c r="D11018" s="68"/>
      <c r="E11018" s="10"/>
      <c r="F11018" s="69"/>
      <c r="G11018" s="68"/>
      <c r="H11018" s="70"/>
      <c r="BA11018" s="4"/>
      <c r="BB11018" s="4"/>
    </row>
    <row r="11019" spans="1:54" x14ac:dyDescent="0.3">
      <c r="A11019" s="66"/>
      <c r="B11019" s="67"/>
      <c r="C11019" s="66"/>
      <c r="D11019" s="68"/>
      <c r="E11019" s="10"/>
      <c r="F11019" s="69"/>
      <c r="G11019" s="68"/>
      <c r="H11019" s="70"/>
      <c r="BA11019" s="4"/>
      <c r="BB11019" s="4"/>
    </row>
    <row r="11020" spans="1:54" x14ac:dyDescent="0.3">
      <c r="A11020" s="66"/>
      <c r="B11020" s="67"/>
      <c r="C11020" s="66"/>
      <c r="D11020" s="68"/>
      <c r="E11020" s="10"/>
      <c r="F11020" s="69"/>
      <c r="G11020" s="68"/>
      <c r="H11020" s="70"/>
      <c r="BA11020" s="4"/>
      <c r="BB11020" s="4"/>
    </row>
    <row r="11021" spans="1:54" x14ac:dyDescent="0.3">
      <c r="A11021" s="66"/>
      <c r="B11021" s="67"/>
      <c r="C11021" s="66"/>
      <c r="D11021" s="68"/>
      <c r="E11021" s="10"/>
      <c r="F11021" s="69"/>
      <c r="G11021" s="68"/>
      <c r="H11021" s="70"/>
      <c r="BA11021" s="4"/>
      <c r="BB11021" s="4"/>
    </row>
    <row r="11022" spans="1:54" x14ac:dyDescent="0.3">
      <c r="A11022" s="66"/>
      <c r="B11022" s="67"/>
      <c r="C11022" s="66"/>
      <c r="D11022" s="68"/>
      <c r="E11022" s="10"/>
      <c r="F11022" s="69"/>
      <c r="G11022" s="68"/>
      <c r="H11022" s="70"/>
      <c r="BA11022" s="4"/>
      <c r="BB11022" s="4"/>
    </row>
    <row r="11023" spans="1:54" x14ac:dyDescent="0.3">
      <c r="A11023" s="66"/>
      <c r="B11023" s="67"/>
      <c r="C11023" s="66"/>
      <c r="D11023" s="68"/>
      <c r="E11023" s="10"/>
      <c r="F11023" s="69"/>
      <c r="G11023" s="68"/>
      <c r="H11023" s="70"/>
      <c r="BA11023" s="4"/>
      <c r="BB11023" s="4"/>
    </row>
    <row r="11024" spans="1:54" x14ac:dyDescent="0.3">
      <c r="A11024" s="66"/>
      <c r="B11024" s="67"/>
      <c r="C11024" s="66"/>
      <c r="D11024" s="68"/>
      <c r="E11024" s="10"/>
      <c r="F11024" s="69"/>
      <c r="G11024" s="68"/>
      <c r="H11024" s="70"/>
      <c r="BA11024" s="4"/>
      <c r="BB11024" s="4"/>
    </row>
    <row r="11025" spans="1:54" x14ac:dyDescent="0.3">
      <c r="A11025" s="66"/>
      <c r="B11025" s="67"/>
      <c r="C11025" s="66"/>
      <c r="D11025" s="68"/>
      <c r="E11025" s="10"/>
      <c r="F11025" s="69"/>
      <c r="G11025" s="68"/>
      <c r="H11025" s="70"/>
      <c r="BA11025" s="4"/>
      <c r="BB11025" s="4"/>
    </row>
    <row r="11026" spans="1:54" x14ac:dyDescent="0.3">
      <c r="A11026" s="66"/>
      <c r="B11026" s="67"/>
      <c r="C11026" s="66"/>
      <c r="D11026" s="68"/>
      <c r="E11026" s="10"/>
      <c r="F11026" s="69"/>
      <c r="G11026" s="68"/>
      <c r="H11026" s="70"/>
      <c r="BA11026" s="4"/>
      <c r="BB11026" s="4"/>
    </row>
    <row r="11027" spans="1:54" x14ac:dyDescent="0.3">
      <c r="A11027" s="66"/>
      <c r="B11027" s="67"/>
      <c r="C11027" s="66"/>
      <c r="D11027" s="68"/>
      <c r="E11027" s="10"/>
      <c r="F11027" s="69"/>
      <c r="G11027" s="68"/>
      <c r="H11027" s="70"/>
      <c r="BA11027" s="4"/>
      <c r="BB11027" s="4"/>
    </row>
    <row r="11028" spans="1:54" x14ac:dyDescent="0.3">
      <c r="A11028" s="66"/>
      <c r="B11028" s="67"/>
      <c r="C11028" s="66"/>
      <c r="D11028" s="68"/>
      <c r="E11028" s="10"/>
      <c r="F11028" s="69"/>
      <c r="G11028" s="68"/>
      <c r="H11028" s="70"/>
      <c r="BA11028" s="4"/>
      <c r="BB11028" s="4"/>
    </row>
    <row r="11029" spans="1:54" x14ac:dyDescent="0.3">
      <c r="A11029" s="66"/>
      <c r="B11029" s="67"/>
      <c r="C11029" s="66"/>
      <c r="D11029" s="68"/>
      <c r="E11029" s="10"/>
      <c r="F11029" s="69"/>
      <c r="G11029" s="68"/>
      <c r="H11029" s="70"/>
      <c r="BA11029" s="4"/>
      <c r="BB11029" s="4"/>
    </row>
    <row r="11030" spans="1:54" x14ac:dyDescent="0.3">
      <c r="A11030" s="66"/>
      <c r="B11030" s="67"/>
      <c r="C11030" s="66"/>
      <c r="D11030" s="68"/>
      <c r="E11030" s="10"/>
      <c r="F11030" s="69"/>
      <c r="G11030" s="68"/>
      <c r="H11030" s="70"/>
      <c r="BA11030" s="4"/>
      <c r="BB11030" s="4"/>
    </row>
    <row r="11031" spans="1:54" x14ac:dyDescent="0.3">
      <c r="A11031" s="66"/>
      <c r="B11031" s="67"/>
      <c r="C11031" s="66"/>
      <c r="D11031" s="68"/>
      <c r="E11031" s="10"/>
      <c r="F11031" s="69"/>
      <c r="G11031" s="68"/>
      <c r="H11031" s="70"/>
      <c r="BA11031" s="4"/>
      <c r="BB11031" s="4"/>
    </row>
    <row r="11032" spans="1:54" x14ac:dyDescent="0.3">
      <c r="A11032" s="66"/>
      <c r="B11032" s="67"/>
      <c r="C11032" s="66"/>
      <c r="D11032" s="68"/>
      <c r="E11032" s="10"/>
      <c r="F11032" s="69"/>
      <c r="G11032" s="68"/>
      <c r="H11032" s="70"/>
      <c r="BA11032" s="4"/>
      <c r="BB11032" s="4"/>
    </row>
    <row r="11033" spans="1:54" x14ac:dyDescent="0.3">
      <c r="A11033" s="66"/>
      <c r="B11033" s="67"/>
      <c r="C11033" s="66"/>
      <c r="D11033" s="68"/>
      <c r="E11033" s="10"/>
      <c r="F11033" s="69"/>
      <c r="G11033" s="68"/>
      <c r="H11033" s="70"/>
      <c r="BA11033" s="4"/>
      <c r="BB11033" s="4"/>
    </row>
    <row r="11034" spans="1:54" x14ac:dyDescent="0.3">
      <c r="A11034" s="66"/>
      <c r="B11034" s="67"/>
      <c r="C11034" s="66"/>
      <c r="D11034" s="68"/>
      <c r="E11034" s="10"/>
      <c r="F11034" s="69"/>
      <c r="G11034" s="68"/>
      <c r="H11034" s="70"/>
      <c r="BA11034" s="4"/>
      <c r="BB11034" s="4"/>
    </row>
    <row r="11035" spans="1:54" x14ac:dyDescent="0.3">
      <c r="A11035" s="66"/>
      <c r="B11035" s="67"/>
      <c r="C11035" s="66"/>
      <c r="D11035" s="68"/>
      <c r="E11035" s="10"/>
      <c r="F11035" s="69"/>
      <c r="G11035" s="68"/>
      <c r="H11035" s="70"/>
      <c r="BA11035" s="4"/>
      <c r="BB11035" s="4"/>
    </row>
    <row r="11036" spans="1:54" x14ac:dyDescent="0.3">
      <c r="A11036" s="66"/>
      <c r="B11036" s="67"/>
      <c r="C11036" s="66"/>
      <c r="D11036" s="68"/>
      <c r="E11036" s="10"/>
      <c r="F11036" s="69"/>
      <c r="G11036" s="68"/>
      <c r="H11036" s="70"/>
      <c r="BA11036" s="4"/>
      <c r="BB11036" s="4"/>
    </row>
    <row r="11037" spans="1:54" x14ac:dyDescent="0.3">
      <c r="A11037" s="66"/>
      <c r="B11037" s="67"/>
      <c r="C11037" s="66"/>
      <c r="D11037" s="68"/>
      <c r="E11037" s="10"/>
      <c r="F11037" s="69"/>
      <c r="G11037" s="68"/>
      <c r="H11037" s="70"/>
      <c r="BA11037" s="4"/>
      <c r="BB11037" s="4"/>
    </row>
    <row r="11038" spans="1:54" x14ac:dyDescent="0.3">
      <c r="A11038" s="66"/>
      <c r="B11038" s="67"/>
      <c r="C11038" s="66"/>
      <c r="D11038" s="68"/>
      <c r="E11038" s="10"/>
      <c r="F11038" s="69"/>
      <c r="G11038" s="68"/>
      <c r="H11038" s="70"/>
      <c r="BA11038" s="4"/>
      <c r="BB11038" s="4"/>
    </row>
    <row r="11039" spans="1:54" x14ac:dyDescent="0.3">
      <c r="A11039" s="66"/>
      <c r="B11039" s="67"/>
      <c r="C11039" s="66"/>
      <c r="D11039" s="68"/>
      <c r="E11039" s="10"/>
      <c r="F11039" s="69"/>
      <c r="G11039" s="68"/>
      <c r="H11039" s="70"/>
      <c r="BA11039" s="4"/>
      <c r="BB11039" s="4"/>
    </row>
    <row r="11040" spans="1:54" x14ac:dyDescent="0.3">
      <c r="A11040" s="66"/>
      <c r="B11040" s="67"/>
      <c r="C11040" s="66"/>
      <c r="D11040" s="68"/>
      <c r="E11040" s="10"/>
      <c r="F11040" s="69"/>
      <c r="G11040" s="68"/>
      <c r="H11040" s="70"/>
      <c r="BA11040" s="4"/>
      <c r="BB11040" s="4"/>
    </row>
    <row r="11041" spans="1:54" x14ac:dyDescent="0.3">
      <c r="A11041" s="66"/>
      <c r="B11041" s="67"/>
      <c r="C11041" s="66"/>
      <c r="D11041" s="68"/>
      <c r="E11041" s="10"/>
      <c r="F11041" s="69"/>
      <c r="G11041" s="68"/>
      <c r="H11041" s="70"/>
      <c r="BA11041" s="4"/>
      <c r="BB11041" s="4"/>
    </row>
    <row r="11042" spans="1:54" x14ac:dyDescent="0.3">
      <c r="A11042" s="66"/>
      <c r="B11042" s="67"/>
      <c r="C11042" s="66"/>
      <c r="D11042" s="68"/>
      <c r="E11042" s="10"/>
      <c r="F11042" s="69"/>
      <c r="G11042" s="68"/>
      <c r="H11042" s="70"/>
      <c r="BA11042" s="4"/>
      <c r="BB11042" s="4"/>
    </row>
    <row r="11043" spans="1:54" x14ac:dyDescent="0.3">
      <c r="A11043" s="66"/>
      <c r="B11043" s="67"/>
      <c r="C11043" s="66"/>
      <c r="D11043" s="68"/>
      <c r="E11043" s="10"/>
      <c r="F11043" s="69"/>
      <c r="G11043" s="68"/>
      <c r="H11043" s="70"/>
      <c r="BA11043" s="4"/>
      <c r="BB11043" s="4"/>
    </row>
    <row r="11044" spans="1:54" x14ac:dyDescent="0.3">
      <c r="A11044" s="66"/>
      <c r="B11044" s="67"/>
      <c r="C11044" s="66"/>
      <c r="D11044" s="68"/>
      <c r="E11044" s="10"/>
      <c r="F11044" s="69"/>
      <c r="G11044" s="68"/>
      <c r="H11044" s="70"/>
      <c r="BA11044" s="4"/>
      <c r="BB11044" s="4"/>
    </row>
    <row r="11045" spans="1:54" x14ac:dyDescent="0.3">
      <c r="A11045" s="66"/>
      <c r="B11045" s="67"/>
      <c r="C11045" s="66"/>
      <c r="D11045" s="68"/>
      <c r="E11045" s="10"/>
      <c r="F11045" s="69"/>
      <c r="G11045" s="68"/>
      <c r="H11045" s="70"/>
      <c r="BA11045" s="4"/>
      <c r="BB11045" s="4"/>
    </row>
    <row r="11046" spans="1:54" x14ac:dyDescent="0.3">
      <c r="A11046" s="66"/>
      <c r="B11046" s="67"/>
      <c r="C11046" s="66"/>
      <c r="D11046" s="68"/>
      <c r="E11046" s="10"/>
      <c r="F11046" s="69"/>
      <c r="G11046" s="68"/>
      <c r="H11046" s="70"/>
      <c r="BA11046" s="4"/>
      <c r="BB11046" s="4"/>
    </row>
    <row r="11047" spans="1:54" x14ac:dyDescent="0.3">
      <c r="A11047" s="66"/>
      <c r="B11047" s="67"/>
      <c r="C11047" s="66"/>
      <c r="D11047" s="68"/>
      <c r="E11047" s="10"/>
      <c r="F11047" s="69"/>
      <c r="G11047" s="68"/>
      <c r="H11047" s="70"/>
      <c r="BA11047" s="4"/>
      <c r="BB11047" s="4"/>
    </row>
    <row r="11048" spans="1:54" x14ac:dyDescent="0.3">
      <c r="A11048" s="66"/>
      <c r="B11048" s="67"/>
      <c r="C11048" s="66"/>
      <c r="D11048" s="68"/>
      <c r="E11048" s="10"/>
      <c r="F11048" s="69"/>
      <c r="G11048" s="68"/>
      <c r="H11048" s="70"/>
      <c r="BA11048" s="4"/>
      <c r="BB11048" s="4"/>
    </row>
    <row r="11049" spans="1:54" x14ac:dyDescent="0.3">
      <c r="A11049" s="66"/>
      <c r="B11049" s="67"/>
      <c r="C11049" s="66"/>
      <c r="D11049" s="68"/>
      <c r="E11049" s="10"/>
      <c r="F11049" s="69"/>
      <c r="G11049" s="68"/>
      <c r="H11049" s="70"/>
      <c r="BA11049" s="4"/>
      <c r="BB11049" s="4"/>
    </row>
    <row r="11050" spans="1:54" x14ac:dyDescent="0.3">
      <c r="A11050" s="66"/>
      <c r="B11050" s="67"/>
      <c r="C11050" s="66"/>
      <c r="D11050" s="68"/>
      <c r="E11050" s="10"/>
      <c r="F11050" s="69"/>
      <c r="G11050" s="68"/>
      <c r="H11050" s="70"/>
      <c r="BA11050" s="4"/>
      <c r="BB11050" s="4"/>
    </row>
    <row r="11051" spans="1:54" x14ac:dyDescent="0.3">
      <c r="A11051" s="66"/>
      <c r="B11051" s="67"/>
      <c r="C11051" s="66"/>
      <c r="D11051" s="68"/>
      <c r="E11051" s="10"/>
      <c r="F11051" s="69"/>
      <c r="G11051" s="68"/>
      <c r="H11051" s="70"/>
      <c r="BA11051" s="4"/>
      <c r="BB11051" s="4"/>
    </row>
    <row r="11052" spans="1:54" x14ac:dyDescent="0.3">
      <c r="A11052" s="66"/>
      <c r="B11052" s="67"/>
      <c r="C11052" s="66"/>
      <c r="D11052" s="68"/>
      <c r="E11052" s="10"/>
      <c r="F11052" s="69"/>
      <c r="G11052" s="68"/>
      <c r="H11052" s="70"/>
      <c r="BA11052" s="4"/>
      <c r="BB11052" s="4"/>
    </row>
    <row r="11053" spans="1:54" x14ac:dyDescent="0.3">
      <c r="A11053" s="66"/>
      <c r="B11053" s="67"/>
      <c r="C11053" s="66"/>
      <c r="D11053" s="68"/>
      <c r="E11053" s="10"/>
      <c r="F11053" s="69"/>
      <c r="G11053" s="68"/>
      <c r="H11053" s="70"/>
      <c r="BA11053" s="4"/>
      <c r="BB11053" s="4"/>
    </row>
    <row r="11054" spans="1:54" x14ac:dyDescent="0.3">
      <c r="A11054" s="66"/>
      <c r="B11054" s="67"/>
      <c r="C11054" s="66"/>
      <c r="D11054" s="68"/>
      <c r="E11054" s="10"/>
      <c r="F11054" s="69"/>
      <c r="G11054" s="68"/>
      <c r="H11054" s="70"/>
      <c r="BA11054" s="4"/>
      <c r="BB11054" s="4"/>
    </row>
    <row r="11055" spans="1:54" x14ac:dyDescent="0.3">
      <c r="A11055" s="66"/>
      <c r="B11055" s="67"/>
      <c r="C11055" s="66"/>
      <c r="D11055" s="68"/>
      <c r="E11055" s="10"/>
      <c r="F11055" s="69"/>
      <c r="G11055" s="68"/>
      <c r="H11055" s="70"/>
      <c r="BA11055" s="4"/>
      <c r="BB11055" s="4"/>
    </row>
    <row r="11056" spans="1:54" x14ac:dyDescent="0.3">
      <c r="A11056" s="66"/>
      <c r="B11056" s="67"/>
      <c r="C11056" s="66"/>
      <c r="D11056" s="68"/>
      <c r="E11056" s="10"/>
      <c r="F11056" s="69"/>
      <c r="G11056" s="68"/>
      <c r="H11056" s="70"/>
      <c r="BA11056" s="4"/>
      <c r="BB11056" s="4"/>
    </row>
    <row r="11057" spans="1:54" x14ac:dyDescent="0.3">
      <c r="A11057" s="66"/>
      <c r="B11057" s="67"/>
      <c r="C11057" s="66"/>
      <c r="D11057" s="68"/>
      <c r="E11057" s="10"/>
      <c r="F11057" s="69"/>
      <c r="G11057" s="68"/>
      <c r="H11057" s="70"/>
      <c r="BA11057" s="4"/>
      <c r="BB11057" s="4"/>
    </row>
    <row r="11058" spans="1:54" x14ac:dyDescent="0.3">
      <c r="A11058" s="66"/>
      <c r="B11058" s="67"/>
      <c r="C11058" s="66"/>
      <c r="D11058" s="68"/>
      <c r="E11058" s="10"/>
      <c r="F11058" s="69"/>
      <c r="G11058" s="68"/>
      <c r="H11058" s="70"/>
      <c r="BA11058" s="4"/>
      <c r="BB11058" s="4"/>
    </row>
    <row r="11059" spans="1:54" x14ac:dyDescent="0.3">
      <c r="A11059" s="66"/>
      <c r="B11059" s="67"/>
      <c r="C11059" s="66"/>
      <c r="D11059" s="68"/>
      <c r="E11059" s="10"/>
      <c r="F11059" s="69"/>
      <c r="G11059" s="68"/>
      <c r="H11059" s="70"/>
      <c r="BA11059" s="4"/>
      <c r="BB11059" s="4"/>
    </row>
    <row r="11060" spans="1:54" x14ac:dyDescent="0.3">
      <c r="A11060" s="66"/>
      <c r="B11060" s="67"/>
      <c r="C11060" s="66"/>
      <c r="D11060" s="68"/>
      <c r="E11060" s="10"/>
      <c r="F11060" s="69"/>
      <c r="G11060" s="68"/>
      <c r="H11060" s="70"/>
      <c r="BA11060" s="4"/>
      <c r="BB11060" s="4"/>
    </row>
    <row r="11061" spans="1:54" x14ac:dyDescent="0.3">
      <c r="A11061" s="66"/>
      <c r="B11061" s="67"/>
      <c r="C11061" s="66"/>
      <c r="D11061" s="68"/>
      <c r="E11061" s="10"/>
      <c r="F11061" s="69"/>
      <c r="G11061" s="68"/>
      <c r="H11061" s="70"/>
      <c r="BA11061" s="4"/>
      <c r="BB11061" s="4"/>
    </row>
    <row r="11062" spans="1:54" x14ac:dyDescent="0.3">
      <c r="A11062" s="66"/>
      <c r="B11062" s="67"/>
      <c r="C11062" s="66"/>
      <c r="D11062" s="68"/>
      <c r="E11062" s="10"/>
      <c r="F11062" s="69"/>
      <c r="G11062" s="68"/>
      <c r="H11062" s="70"/>
      <c r="BA11062" s="4"/>
      <c r="BB11062" s="4"/>
    </row>
    <row r="11063" spans="1:54" x14ac:dyDescent="0.3">
      <c r="A11063" s="66"/>
      <c r="B11063" s="67"/>
      <c r="C11063" s="66"/>
      <c r="D11063" s="68"/>
      <c r="E11063" s="10"/>
      <c r="F11063" s="69"/>
      <c r="G11063" s="68"/>
      <c r="H11063" s="70"/>
      <c r="BA11063" s="4"/>
      <c r="BB11063" s="4"/>
    </row>
    <row r="11064" spans="1:54" x14ac:dyDescent="0.3">
      <c r="A11064" s="66"/>
      <c r="B11064" s="67"/>
      <c r="C11064" s="66"/>
      <c r="D11064" s="68"/>
      <c r="E11064" s="10"/>
      <c r="F11064" s="69"/>
      <c r="G11064" s="68"/>
      <c r="H11064" s="70"/>
      <c r="BA11064" s="4"/>
      <c r="BB11064" s="4"/>
    </row>
    <row r="11065" spans="1:54" x14ac:dyDescent="0.3">
      <c r="A11065" s="66"/>
      <c r="B11065" s="67"/>
      <c r="C11065" s="66"/>
      <c r="D11065" s="68"/>
      <c r="E11065" s="10"/>
      <c r="F11065" s="69"/>
      <c r="G11065" s="68"/>
      <c r="H11065" s="70"/>
      <c r="BA11065" s="4"/>
      <c r="BB11065" s="4"/>
    </row>
    <row r="11066" spans="1:54" x14ac:dyDescent="0.3">
      <c r="A11066" s="66"/>
      <c r="B11066" s="67"/>
      <c r="C11066" s="66"/>
      <c r="D11066" s="68"/>
      <c r="E11066" s="10"/>
      <c r="F11066" s="69"/>
      <c r="G11066" s="68"/>
      <c r="H11066" s="70"/>
      <c r="BA11066" s="4"/>
      <c r="BB11066" s="4"/>
    </row>
    <row r="11067" spans="1:54" x14ac:dyDescent="0.3">
      <c r="A11067" s="66"/>
      <c r="B11067" s="67"/>
      <c r="C11067" s="66"/>
      <c r="D11067" s="68"/>
      <c r="E11067" s="10"/>
      <c r="F11067" s="69"/>
      <c r="G11067" s="68"/>
      <c r="H11067" s="70"/>
      <c r="BA11067" s="4"/>
      <c r="BB11067" s="4"/>
    </row>
    <row r="11068" spans="1:54" x14ac:dyDescent="0.3">
      <c r="A11068" s="66"/>
      <c r="B11068" s="67"/>
      <c r="C11068" s="66"/>
      <c r="D11068" s="68"/>
      <c r="E11068" s="10"/>
      <c r="F11068" s="69"/>
      <c r="G11068" s="68"/>
      <c r="H11068" s="70"/>
      <c r="BA11068" s="4"/>
      <c r="BB11068" s="4"/>
    </row>
    <row r="11069" spans="1:54" x14ac:dyDescent="0.3">
      <c r="A11069" s="66"/>
      <c r="B11069" s="67"/>
      <c r="C11069" s="66"/>
      <c r="D11069" s="68"/>
      <c r="E11069" s="10"/>
      <c r="F11069" s="69"/>
      <c r="G11069" s="68"/>
      <c r="H11069" s="70"/>
      <c r="BA11069" s="4"/>
      <c r="BB11069" s="4"/>
    </row>
    <row r="11070" spans="1:54" x14ac:dyDescent="0.3">
      <c r="A11070" s="66"/>
      <c r="B11070" s="67"/>
      <c r="C11070" s="66"/>
      <c r="D11070" s="68"/>
      <c r="E11070" s="10"/>
      <c r="F11070" s="69"/>
      <c r="G11070" s="68"/>
      <c r="H11070" s="70"/>
      <c r="BA11070" s="4"/>
      <c r="BB11070" s="4"/>
    </row>
    <row r="11071" spans="1:54" x14ac:dyDescent="0.3">
      <c r="A11071" s="66"/>
      <c r="B11071" s="67"/>
      <c r="C11071" s="66"/>
      <c r="D11071" s="68"/>
      <c r="E11071" s="10"/>
      <c r="F11071" s="69"/>
      <c r="G11071" s="68"/>
      <c r="H11071" s="70"/>
      <c r="BA11071" s="4"/>
      <c r="BB11071" s="4"/>
    </row>
    <row r="11072" spans="1:54" x14ac:dyDescent="0.3">
      <c r="A11072" s="66"/>
      <c r="B11072" s="67"/>
      <c r="C11072" s="66"/>
      <c r="D11072" s="68"/>
      <c r="E11072" s="10"/>
      <c r="F11072" s="69"/>
      <c r="G11072" s="68"/>
      <c r="H11072" s="70"/>
      <c r="BA11072" s="4"/>
      <c r="BB11072" s="4"/>
    </row>
    <row r="11073" spans="1:54" x14ac:dyDescent="0.3">
      <c r="A11073" s="66"/>
      <c r="B11073" s="67"/>
      <c r="C11073" s="66"/>
      <c r="D11073" s="68"/>
      <c r="E11073" s="10"/>
      <c r="F11073" s="69"/>
      <c r="G11073" s="68"/>
      <c r="H11073" s="70"/>
      <c r="BA11073" s="4"/>
      <c r="BB11073" s="4"/>
    </row>
    <row r="11074" spans="1:54" x14ac:dyDescent="0.3">
      <c r="A11074" s="66"/>
      <c r="B11074" s="67"/>
      <c r="C11074" s="66"/>
      <c r="D11074" s="68"/>
      <c r="E11074" s="10"/>
      <c r="F11074" s="69"/>
      <c r="G11074" s="68"/>
      <c r="H11074" s="70"/>
      <c r="BA11074" s="4"/>
      <c r="BB11074" s="4"/>
    </row>
    <row r="11075" spans="1:54" x14ac:dyDescent="0.3">
      <c r="A11075" s="66"/>
      <c r="B11075" s="67"/>
      <c r="C11075" s="66"/>
      <c r="D11075" s="68"/>
      <c r="E11075" s="10"/>
      <c r="F11075" s="69"/>
      <c r="G11075" s="68"/>
      <c r="H11075" s="70"/>
      <c r="BA11075" s="4"/>
      <c r="BB11075" s="4"/>
    </row>
    <row r="11076" spans="1:54" x14ac:dyDescent="0.3">
      <c r="A11076" s="66"/>
      <c r="B11076" s="67"/>
      <c r="C11076" s="66"/>
      <c r="D11076" s="68"/>
      <c r="E11076" s="10"/>
      <c r="F11076" s="69"/>
      <c r="G11076" s="68"/>
      <c r="H11076" s="70"/>
      <c r="BA11076" s="4"/>
      <c r="BB11076" s="4"/>
    </row>
    <row r="11077" spans="1:54" x14ac:dyDescent="0.3">
      <c r="A11077" s="66"/>
      <c r="B11077" s="67"/>
      <c r="C11077" s="66"/>
      <c r="D11077" s="68"/>
      <c r="E11077" s="10"/>
      <c r="F11077" s="69"/>
      <c r="G11077" s="68"/>
      <c r="H11077" s="70"/>
      <c r="BA11077" s="4"/>
      <c r="BB11077" s="4"/>
    </row>
    <row r="11078" spans="1:54" x14ac:dyDescent="0.3">
      <c r="A11078" s="66"/>
      <c r="B11078" s="67"/>
      <c r="C11078" s="66"/>
      <c r="D11078" s="68"/>
      <c r="E11078" s="10"/>
      <c r="F11078" s="69"/>
      <c r="G11078" s="68"/>
      <c r="H11078" s="70"/>
      <c r="BA11078" s="4"/>
      <c r="BB11078" s="4"/>
    </row>
    <row r="11079" spans="1:54" x14ac:dyDescent="0.3">
      <c r="A11079" s="66"/>
      <c r="B11079" s="67"/>
      <c r="C11079" s="66"/>
      <c r="D11079" s="68"/>
      <c r="E11079" s="10"/>
      <c r="F11079" s="69"/>
      <c r="G11079" s="68"/>
      <c r="H11079" s="70"/>
      <c r="BA11079" s="4"/>
      <c r="BB11079" s="4"/>
    </row>
    <row r="11080" spans="1:54" x14ac:dyDescent="0.3">
      <c r="A11080" s="66"/>
      <c r="B11080" s="67"/>
      <c r="C11080" s="66"/>
      <c r="D11080" s="68"/>
      <c r="E11080" s="10"/>
      <c r="F11080" s="69"/>
      <c r="G11080" s="68"/>
      <c r="H11080" s="70"/>
      <c r="BA11080" s="4"/>
      <c r="BB11080" s="4"/>
    </row>
    <row r="11081" spans="1:54" x14ac:dyDescent="0.3">
      <c r="A11081" s="66"/>
      <c r="B11081" s="67"/>
      <c r="C11081" s="66"/>
      <c r="D11081" s="68"/>
      <c r="E11081" s="10"/>
      <c r="F11081" s="69"/>
      <c r="G11081" s="68"/>
      <c r="H11081" s="70"/>
      <c r="BA11081" s="4"/>
      <c r="BB11081" s="4"/>
    </row>
    <row r="11082" spans="1:54" x14ac:dyDescent="0.3">
      <c r="A11082" s="66"/>
      <c r="B11082" s="67"/>
      <c r="C11082" s="66"/>
      <c r="D11082" s="68"/>
      <c r="E11082" s="10"/>
      <c r="F11082" s="69"/>
      <c r="G11082" s="68"/>
      <c r="H11082" s="70"/>
      <c r="BA11082" s="4"/>
      <c r="BB11082" s="4"/>
    </row>
    <row r="11083" spans="1:54" x14ac:dyDescent="0.3">
      <c r="A11083" s="66"/>
      <c r="B11083" s="67"/>
      <c r="C11083" s="66"/>
      <c r="D11083" s="68"/>
      <c r="E11083" s="10"/>
      <c r="F11083" s="69"/>
      <c r="G11083" s="68"/>
      <c r="H11083" s="70"/>
      <c r="BA11083" s="4"/>
      <c r="BB11083" s="4"/>
    </row>
    <row r="11084" spans="1:54" x14ac:dyDescent="0.3">
      <c r="A11084" s="66"/>
      <c r="B11084" s="67"/>
      <c r="C11084" s="66"/>
      <c r="D11084" s="68"/>
      <c r="E11084" s="10"/>
      <c r="F11084" s="69"/>
      <c r="G11084" s="68"/>
      <c r="H11084" s="70"/>
      <c r="BA11084" s="4"/>
      <c r="BB11084" s="4"/>
    </row>
    <row r="11085" spans="1:54" x14ac:dyDescent="0.3">
      <c r="A11085" s="66"/>
      <c r="B11085" s="67"/>
      <c r="C11085" s="66"/>
      <c r="D11085" s="68"/>
      <c r="E11085" s="10"/>
      <c r="F11085" s="69"/>
      <c r="G11085" s="68"/>
      <c r="H11085" s="70"/>
      <c r="BA11085" s="4"/>
      <c r="BB11085" s="4"/>
    </row>
    <row r="11086" spans="1:54" x14ac:dyDescent="0.3">
      <c r="A11086" s="66"/>
      <c r="B11086" s="67"/>
      <c r="C11086" s="66"/>
      <c r="D11086" s="68"/>
      <c r="E11086" s="10"/>
      <c r="F11086" s="69"/>
      <c r="G11086" s="68"/>
      <c r="H11086" s="70"/>
      <c r="BA11086" s="4"/>
      <c r="BB11086" s="4"/>
    </row>
    <row r="11087" spans="1:54" x14ac:dyDescent="0.3">
      <c r="A11087" s="66"/>
      <c r="B11087" s="67"/>
      <c r="C11087" s="66"/>
      <c r="D11087" s="68"/>
      <c r="E11087" s="10"/>
      <c r="F11087" s="69"/>
      <c r="G11087" s="68"/>
      <c r="H11087" s="70"/>
      <c r="BA11087" s="4"/>
      <c r="BB11087" s="4"/>
    </row>
    <row r="11088" spans="1:54" x14ac:dyDescent="0.3">
      <c r="A11088" s="66"/>
      <c r="B11088" s="67"/>
      <c r="C11088" s="66"/>
      <c r="D11088" s="68"/>
      <c r="E11088" s="10"/>
      <c r="F11088" s="69"/>
      <c r="G11088" s="68"/>
      <c r="H11088" s="70"/>
      <c r="BA11088" s="4"/>
      <c r="BB11088" s="4"/>
    </row>
    <row r="11089" spans="1:54" x14ac:dyDescent="0.3">
      <c r="A11089" s="66"/>
      <c r="B11089" s="67"/>
      <c r="C11089" s="66"/>
      <c r="D11089" s="68"/>
      <c r="E11089" s="10"/>
      <c r="F11089" s="69"/>
      <c r="G11089" s="68"/>
      <c r="H11089" s="70"/>
      <c r="BA11089" s="4"/>
      <c r="BB11089" s="4"/>
    </row>
    <row r="11090" spans="1:54" x14ac:dyDescent="0.3">
      <c r="A11090" s="66"/>
      <c r="B11090" s="67"/>
      <c r="C11090" s="66"/>
      <c r="D11090" s="68"/>
      <c r="E11090" s="10"/>
      <c r="F11090" s="69"/>
      <c r="G11090" s="68"/>
      <c r="H11090" s="70"/>
      <c r="BA11090" s="4"/>
      <c r="BB11090" s="4"/>
    </row>
    <row r="11091" spans="1:54" x14ac:dyDescent="0.3">
      <c r="A11091" s="66"/>
      <c r="B11091" s="67"/>
      <c r="C11091" s="66"/>
      <c r="D11091" s="68"/>
      <c r="E11091" s="10"/>
      <c r="F11091" s="69"/>
      <c r="G11091" s="68"/>
      <c r="H11091" s="70"/>
      <c r="BA11091" s="4"/>
      <c r="BB11091" s="4"/>
    </row>
    <row r="11092" spans="1:54" x14ac:dyDescent="0.3">
      <c r="A11092" s="66"/>
      <c r="B11092" s="67"/>
      <c r="C11092" s="66"/>
      <c r="D11092" s="68"/>
      <c r="E11092" s="10"/>
      <c r="F11092" s="69"/>
      <c r="G11092" s="68"/>
      <c r="H11092" s="70"/>
      <c r="BA11092" s="4"/>
      <c r="BB11092" s="4"/>
    </row>
    <row r="11093" spans="1:54" x14ac:dyDescent="0.3">
      <c r="A11093" s="66"/>
      <c r="B11093" s="67"/>
      <c r="C11093" s="66"/>
      <c r="D11093" s="68"/>
      <c r="E11093" s="10"/>
      <c r="F11093" s="69"/>
      <c r="G11093" s="68"/>
      <c r="H11093" s="70"/>
      <c r="BA11093" s="4"/>
      <c r="BB11093" s="4"/>
    </row>
    <row r="11094" spans="1:54" x14ac:dyDescent="0.3">
      <c r="A11094" s="66"/>
      <c r="B11094" s="67"/>
      <c r="C11094" s="66"/>
      <c r="D11094" s="68"/>
      <c r="E11094" s="10"/>
      <c r="F11094" s="69"/>
      <c r="G11094" s="68"/>
      <c r="H11094" s="70"/>
      <c r="BA11094" s="4"/>
      <c r="BB11094" s="4"/>
    </row>
    <row r="11095" spans="1:54" x14ac:dyDescent="0.3">
      <c r="A11095" s="66"/>
      <c r="B11095" s="67"/>
      <c r="C11095" s="66"/>
      <c r="D11095" s="68"/>
      <c r="E11095" s="10"/>
      <c r="F11095" s="69"/>
      <c r="G11095" s="68"/>
      <c r="H11095" s="70"/>
      <c r="BA11095" s="4"/>
      <c r="BB11095" s="4"/>
    </row>
    <row r="11096" spans="1:54" x14ac:dyDescent="0.3">
      <c r="A11096" s="66"/>
      <c r="B11096" s="67"/>
      <c r="C11096" s="66"/>
      <c r="D11096" s="68"/>
      <c r="E11096" s="10"/>
      <c r="F11096" s="69"/>
      <c r="G11096" s="68"/>
      <c r="H11096" s="70"/>
      <c r="BA11096" s="4"/>
      <c r="BB11096" s="4"/>
    </row>
    <row r="11097" spans="1:54" x14ac:dyDescent="0.3">
      <c r="A11097" s="66"/>
      <c r="B11097" s="67"/>
      <c r="C11097" s="66"/>
      <c r="D11097" s="68"/>
      <c r="E11097" s="10"/>
      <c r="F11097" s="69"/>
      <c r="G11097" s="68"/>
      <c r="H11097" s="70"/>
      <c r="BA11097" s="4"/>
      <c r="BB11097" s="4"/>
    </row>
    <row r="11098" spans="1:54" x14ac:dyDescent="0.3">
      <c r="A11098" s="66"/>
      <c r="B11098" s="67"/>
      <c r="C11098" s="66"/>
      <c r="D11098" s="68"/>
      <c r="E11098" s="10"/>
      <c r="F11098" s="69"/>
      <c r="G11098" s="68"/>
      <c r="H11098" s="70"/>
      <c r="BA11098" s="4"/>
      <c r="BB11098" s="4"/>
    </row>
    <row r="11099" spans="1:54" x14ac:dyDescent="0.3">
      <c r="A11099" s="66"/>
      <c r="B11099" s="67"/>
      <c r="C11099" s="66"/>
      <c r="D11099" s="68"/>
      <c r="E11099" s="10"/>
      <c r="F11099" s="69"/>
      <c r="G11099" s="68"/>
      <c r="H11099" s="70"/>
      <c r="BA11099" s="4"/>
      <c r="BB11099" s="4"/>
    </row>
    <row r="11100" spans="1:54" x14ac:dyDescent="0.3">
      <c r="A11100" s="66"/>
      <c r="B11100" s="67"/>
      <c r="C11100" s="66"/>
      <c r="D11100" s="68"/>
      <c r="E11100" s="10"/>
      <c r="F11100" s="69"/>
      <c r="G11100" s="68"/>
      <c r="H11100" s="70"/>
      <c r="BA11100" s="4"/>
      <c r="BB11100" s="4"/>
    </row>
    <row r="11101" spans="1:54" x14ac:dyDescent="0.3">
      <c r="A11101" s="66"/>
      <c r="B11101" s="67"/>
      <c r="C11101" s="66"/>
      <c r="D11101" s="68"/>
      <c r="E11101" s="10"/>
      <c r="F11101" s="69"/>
      <c r="G11101" s="68"/>
      <c r="H11101" s="70"/>
      <c r="BA11101" s="4"/>
      <c r="BB11101" s="4"/>
    </row>
    <row r="11102" spans="1:54" x14ac:dyDescent="0.3">
      <c r="A11102" s="66"/>
      <c r="B11102" s="67"/>
      <c r="C11102" s="66"/>
      <c r="D11102" s="68"/>
      <c r="E11102" s="10"/>
      <c r="F11102" s="69"/>
      <c r="G11102" s="68"/>
      <c r="H11102" s="70"/>
      <c r="BA11102" s="4"/>
      <c r="BB11102" s="4"/>
    </row>
    <row r="11103" spans="1:54" x14ac:dyDescent="0.3">
      <c r="A11103" s="66"/>
      <c r="B11103" s="67"/>
      <c r="C11103" s="66"/>
      <c r="D11103" s="68"/>
      <c r="E11103" s="10"/>
      <c r="F11103" s="69"/>
      <c r="G11103" s="68"/>
      <c r="H11103" s="70"/>
      <c r="BA11103" s="4"/>
      <c r="BB11103" s="4"/>
    </row>
    <row r="11104" spans="1:54" x14ac:dyDescent="0.3">
      <c r="A11104" s="66"/>
      <c r="B11104" s="67"/>
      <c r="C11104" s="66"/>
      <c r="D11104" s="68"/>
      <c r="E11104" s="10"/>
      <c r="F11104" s="69"/>
      <c r="G11104" s="68"/>
      <c r="H11104" s="70"/>
      <c r="BA11104" s="4"/>
      <c r="BB11104" s="4"/>
    </row>
    <row r="11105" spans="1:54" x14ac:dyDescent="0.3">
      <c r="A11105" s="66"/>
      <c r="B11105" s="67"/>
      <c r="C11105" s="66"/>
      <c r="D11105" s="68"/>
      <c r="E11105" s="10"/>
      <c r="F11105" s="69"/>
      <c r="G11105" s="68"/>
      <c r="H11105" s="70"/>
      <c r="BA11105" s="4"/>
      <c r="BB11105" s="4"/>
    </row>
    <row r="11106" spans="1:54" x14ac:dyDescent="0.3">
      <c r="A11106" s="66"/>
      <c r="B11106" s="67"/>
      <c r="C11106" s="66"/>
      <c r="D11106" s="68"/>
      <c r="E11106" s="10"/>
      <c r="F11106" s="69"/>
      <c r="G11106" s="68"/>
      <c r="H11106" s="70"/>
      <c r="BA11106" s="4"/>
      <c r="BB11106" s="4"/>
    </row>
    <row r="11107" spans="1:54" x14ac:dyDescent="0.3">
      <c r="A11107" s="66"/>
      <c r="B11107" s="67"/>
      <c r="C11107" s="66"/>
      <c r="D11107" s="68"/>
      <c r="E11107" s="10"/>
      <c r="F11107" s="69"/>
      <c r="G11107" s="68"/>
      <c r="H11107" s="70"/>
      <c r="BA11107" s="4"/>
      <c r="BB11107" s="4"/>
    </row>
    <row r="11108" spans="1:54" x14ac:dyDescent="0.3">
      <c r="A11108" s="66"/>
      <c r="B11108" s="67"/>
      <c r="C11108" s="66"/>
      <c r="D11108" s="68"/>
      <c r="E11108" s="10"/>
      <c r="F11108" s="69"/>
      <c r="G11108" s="68"/>
      <c r="H11108" s="70"/>
      <c r="BA11108" s="4"/>
      <c r="BB11108" s="4"/>
    </row>
    <row r="11109" spans="1:54" x14ac:dyDescent="0.3">
      <c r="A11109" s="66"/>
      <c r="B11109" s="67"/>
      <c r="C11109" s="66"/>
      <c r="D11109" s="68"/>
      <c r="E11109" s="10"/>
      <c r="F11109" s="69"/>
      <c r="G11109" s="68"/>
      <c r="H11109" s="70"/>
      <c r="BA11109" s="4"/>
      <c r="BB11109" s="4"/>
    </row>
    <row r="11110" spans="1:54" x14ac:dyDescent="0.3">
      <c r="A11110" s="66"/>
      <c r="B11110" s="67"/>
      <c r="C11110" s="66"/>
      <c r="D11110" s="68"/>
      <c r="E11110" s="10"/>
      <c r="F11110" s="69"/>
      <c r="G11110" s="68"/>
      <c r="H11110" s="70"/>
      <c r="BA11110" s="4"/>
      <c r="BB11110" s="4"/>
    </row>
    <row r="11111" spans="1:54" x14ac:dyDescent="0.3">
      <c r="A11111" s="66"/>
      <c r="B11111" s="67"/>
      <c r="C11111" s="66"/>
      <c r="D11111" s="68"/>
      <c r="E11111" s="10"/>
      <c r="F11111" s="69"/>
      <c r="G11111" s="68"/>
      <c r="H11111" s="70"/>
      <c r="BA11111" s="4"/>
      <c r="BB11111" s="4"/>
    </row>
    <row r="11112" spans="1:54" x14ac:dyDescent="0.3">
      <c r="A11112" s="66"/>
      <c r="B11112" s="67"/>
      <c r="C11112" s="66"/>
      <c r="D11112" s="68"/>
      <c r="E11112" s="10"/>
      <c r="F11112" s="69"/>
      <c r="G11112" s="68"/>
      <c r="H11112" s="70"/>
      <c r="BA11112" s="4"/>
      <c r="BB11112" s="4"/>
    </row>
    <row r="11113" spans="1:54" x14ac:dyDescent="0.3">
      <c r="A11113" s="66"/>
      <c r="B11113" s="67"/>
      <c r="C11113" s="66"/>
      <c r="D11113" s="68"/>
      <c r="E11113" s="10"/>
      <c r="F11113" s="69"/>
      <c r="G11113" s="68"/>
      <c r="H11113" s="70"/>
      <c r="BA11113" s="4"/>
      <c r="BB11113" s="4"/>
    </row>
    <row r="11114" spans="1:54" x14ac:dyDescent="0.3">
      <c r="A11114" s="66"/>
      <c r="B11114" s="67"/>
      <c r="C11114" s="66"/>
      <c r="D11114" s="68"/>
      <c r="E11114" s="10"/>
      <c r="F11114" s="69"/>
      <c r="G11114" s="68"/>
      <c r="H11114" s="70"/>
      <c r="BA11114" s="4"/>
      <c r="BB11114" s="4"/>
    </row>
    <row r="11115" spans="1:54" x14ac:dyDescent="0.3">
      <c r="A11115" s="66"/>
      <c r="B11115" s="67"/>
      <c r="C11115" s="66"/>
      <c r="D11115" s="68"/>
      <c r="E11115" s="10"/>
      <c r="F11115" s="69"/>
      <c r="G11115" s="68"/>
      <c r="H11115" s="70"/>
      <c r="BA11115" s="4"/>
      <c r="BB11115" s="4"/>
    </row>
    <row r="11116" spans="1:54" x14ac:dyDescent="0.3">
      <c r="A11116" s="66"/>
      <c r="B11116" s="67"/>
      <c r="C11116" s="66"/>
      <c r="D11116" s="68"/>
      <c r="E11116" s="10"/>
      <c r="F11116" s="69"/>
      <c r="G11116" s="68"/>
      <c r="H11116" s="70"/>
      <c r="BA11116" s="4"/>
      <c r="BB11116" s="4"/>
    </row>
    <row r="11117" spans="1:54" x14ac:dyDescent="0.3">
      <c r="A11117" s="66"/>
      <c r="B11117" s="67"/>
      <c r="C11117" s="66"/>
      <c r="D11117" s="68"/>
      <c r="E11117" s="10"/>
      <c r="F11117" s="69"/>
      <c r="G11117" s="68"/>
      <c r="H11117" s="70"/>
      <c r="BA11117" s="4"/>
      <c r="BB11117" s="4"/>
    </row>
    <row r="11118" spans="1:54" x14ac:dyDescent="0.3">
      <c r="A11118" s="66"/>
      <c r="B11118" s="67"/>
      <c r="C11118" s="66"/>
      <c r="D11118" s="68"/>
      <c r="E11118" s="10"/>
      <c r="F11118" s="69"/>
      <c r="G11118" s="68"/>
      <c r="H11118" s="70"/>
      <c r="BA11118" s="4"/>
      <c r="BB11118" s="4"/>
    </row>
    <row r="11119" spans="1:54" x14ac:dyDescent="0.3">
      <c r="A11119" s="66"/>
      <c r="B11119" s="67"/>
      <c r="C11119" s="66"/>
      <c r="D11119" s="68"/>
      <c r="E11119" s="10"/>
      <c r="F11119" s="69"/>
      <c r="G11119" s="68"/>
      <c r="H11119" s="70"/>
      <c r="BA11119" s="4"/>
      <c r="BB11119" s="4"/>
    </row>
    <row r="11120" spans="1:54" x14ac:dyDescent="0.3">
      <c r="A11120" s="66"/>
      <c r="B11120" s="67"/>
      <c r="C11120" s="66"/>
      <c r="D11120" s="68"/>
      <c r="E11120" s="10"/>
      <c r="F11120" s="69"/>
      <c r="G11120" s="68"/>
      <c r="H11120" s="70"/>
      <c r="BA11120" s="4"/>
      <c r="BB11120" s="4"/>
    </row>
    <row r="11121" spans="1:54" x14ac:dyDescent="0.3">
      <c r="A11121" s="66"/>
      <c r="B11121" s="67"/>
      <c r="C11121" s="66"/>
      <c r="D11121" s="68"/>
      <c r="E11121" s="10"/>
      <c r="F11121" s="69"/>
      <c r="G11121" s="68"/>
      <c r="H11121" s="70"/>
      <c r="BA11121" s="4"/>
      <c r="BB11121" s="4"/>
    </row>
    <row r="11122" spans="1:54" x14ac:dyDescent="0.3">
      <c r="A11122" s="66"/>
      <c r="B11122" s="67"/>
      <c r="C11122" s="66"/>
      <c r="D11122" s="68"/>
      <c r="E11122" s="10"/>
      <c r="F11122" s="69"/>
      <c r="G11122" s="68"/>
      <c r="H11122" s="70"/>
      <c r="BA11122" s="4"/>
      <c r="BB11122" s="4"/>
    </row>
    <row r="11123" spans="1:54" x14ac:dyDescent="0.3">
      <c r="A11123" s="66"/>
      <c r="B11123" s="67"/>
      <c r="C11123" s="66"/>
      <c r="D11123" s="68"/>
      <c r="E11123" s="10"/>
      <c r="F11123" s="69"/>
      <c r="G11123" s="68"/>
      <c r="H11123" s="70"/>
      <c r="BA11123" s="4"/>
      <c r="BB11123" s="4"/>
    </row>
    <row r="11124" spans="1:54" x14ac:dyDescent="0.3">
      <c r="A11124" s="66"/>
      <c r="B11124" s="67"/>
      <c r="C11124" s="66"/>
      <c r="D11124" s="68"/>
      <c r="E11124" s="10"/>
      <c r="F11124" s="69"/>
      <c r="G11124" s="68"/>
      <c r="H11124" s="70"/>
      <c r="BA11124" s="4"/>
      <c r="BB11124" s="4"/>
    </row>
    <row r="11125" spans="1:54" x14ac:dyDescent="0.3">
      <c r="A11125" s="66"/>
      <c r="B11125" s="67"/>
      <c r="C11125" s="66"/>
      <c r="D11125" s="68"/>
      <c r="E11125" s="10"/>
      <c r="F11125" s="69"/>
      <c r="G11125" s="68"/>
      <c r="H11125" s="70"/>
      <c r="BA11125" s="4"/>
      <c r="BB11125" s="4"/>
    </row>
    <row r="11126" spans="1:54" x14ac:dyDescent="0.3">
      <c r="A11126" s="66"/>
      <c r="B11126" s="67"/>
      <c r="C11126" s="66"/>
      <c r="D11126" s="68"/>
      <c r="E11126" s="10"/>
      <c r="F11126" s="69"/>
      <c r="G11126" s="68"/>
      <c r="H11126" s="70"/>
      <c r="BA11126" s="4"/>
      <c r="BB11126" s="4"/>
    </row>
    <row r="11127" spans="1:54" x14ac:dyDescent="0.3">
      <c r="A11127" s="66"/>
      <c r="B11127" s="67"/>
      <c r="C11127" s="66"/>
      <c r="D11127" s="68"/>
      <c r="E11127" s="10"/>
      <c r="F11127" s="69"/>
      <c r="G11127" s="68"/>
      <c r="H11127" s="70"/>
      <c r="BA11127" s="4"/>
      <c r="BB11127" s="4"/>
    </row>
    <row r="11128" spans="1:54" x14ac:dyDescent="0.3">
      <c r="A11128" s="66"/>
      <c r="B11128" s="67"/>
      <c r="C11128" s="66"/>
      <c r="D11128" s="68"/>
      <c r="E11128" s="10"/>
      <c r="F11128" s="69"/>
      <c r="G11128" s="68"/>
      <c r="H11128" s="70"/>
      <c r="BA11128" s="4"/>
      <c r="BB11128" s="4"/>
    </row>
    <row r="11129" spans="1:54" x14ac:dyDescent="0.3">
      <c r="A11129" s="66"/>
      <c r="B11129" s="67"/>
      <c r="C11129" s="66"/>
      <c r="D11129" s="68"/>
      <c r="E11129" s="10"/>
      <c r="F11129" s="69"/>
      <c r="G11129" s="68"/>
      <c r="H11129" s="70"/>
      <c r="BA11129" s="4"/>
      <c r="BB11129" s="4"/>
    </row>
    <row r="11130" spans="1:54" x14ac:dyDescent="0.3">
      <c r="A11130" s="66"/>
      <c r="B11130" s="67"/>
      <c r="C11130" s="66"/>
      <c r="D11130" s="68"/>
      <c r="E11130" s="10"/>
      <c r="F11130" s="69"/>
      <c r="G11130" s="68"/>
      <c r="H11130" s="70"/>
      <c r="BA11130" s="4"/>
      <c r="BB11130" s="4"/>
    </row>
    <row r="11131" spans="1:54" x14ac:dyDescent="0.3">
      <c r="A11131" s="66"/>
      <c r="B11131" s="67"/>
      <c r="C11131" s="66"/>
      <c r="D11131" s="68"/>
      <c r="E11131" s="10"/>
      <c r="F11131" s="69"/>
      <c r="G11131" s="68"/>
      <c r="H11131" s="70"/>
      <c r="BA11131" s="4"/>
      <c r="BB11131" s="4"/>
    </row>
    <row r="11132" spans="1:54" x14ac:dyDescent="0.3">
      <c r="A11132" s="66"/>
      <c r="B11132" s="67"/>
      <c r="C11132" s="66"/>
      <c r="D11132" s="68"/>
      <c r="E11132" s="10"/>
      <c r="F11132" s="69"/>
      <c r="G11132" s="68"/>
      <c r="H11132" s="70"/>
      <c r="BA11132" s="4"/>
      <c r="BB11132" s="4"/>
    </row>
    <row r="11133" spans="1:54" x14ac:dyDescent="0.3">
      <c r="A11133" s="66"/>
      <c r="B11133" s="67"/>
      <c r="C11133" s="66"/>
      <c r="D11133" s="68"/>
      <c r="E11133" s="10"/>
      <c r="F11133" s="69"/>
      <c r="G11133" s="68"/>
      <c r="H11133" s="70"/>
      <c r="BA11133" s="4"/>
      <c r="BB11133" s="4"/>
    </row>
    <row r="11134" spans="1:54" x14ac:dyDescent="0.3">
      <c r="A11134" s="66"/>
      <c r="B11134" s="67"/>
      <c r="C11134" s="66"/>
      <c r="D11134" s="68"/>
      <c r="E11134" s="10"/>
      <c r="F11134" s="69"/>
      <c r="G11134" s="68"/>
      <c r="H11134" s="70"/>
      <c r="BA11134" s="4"/>
      <c r="BB11134" s="4"/>
    </row>
    <row r="11135" spans="1:54" x14ac:dyDescent="0.3">
      <c r="A11135" s="66"/>
      <c r="B11135" s="67"/>
      <c r="C11135" s="66"/>
      <c r="D11135" s="68"/>
      <c r="E11135" s="10"/>
      <c r="F11135" s="69"/>
      <c r="G11135" s="68"/>
      <c r="H11135" s="70"/>
      <c r="BA11135" s="4"/>
      <c r="BB11135" s="4"/>
    </row>
    <row r="11136" spans="1:54" x14ac:dyDescent="0.3">
      <c r="A11136" s="66"/>
      <c r="B11136" s="67"/>
      <c r="C11136" s="66"/>
      <c r="D11136" s="68"/>
      <c r="E11136" s="10"/>
      <c r="F11136" s="69"/>
      <c r="G11136" s="68"/>
      <c r="H11136" s="70"/>
      <c r="BA11136" s="4"/>
      <c r="BB11136" s="4"/>
    </row>
    <row r="11137" spans="1:54" x14ac:dyDescent="0.3">
      <c r="A11137" s="66"/>
      <c r="B11137" s="67"/>
      <c r="C11137" s="66"/>
      <c r="D11137" s="68"/>
      <c r="E11137" s="10"/>
      <c r="F11137" s="69"/>
      <c r="G11137" s="68"/>
      <c r="H11137" s="70"/>
      <c r="BA11137" s="4"/>
      <c r="BB11137" s="4"/>
    </row>
    <row r="11138" spans="1:54" x14ac:dyDescent="0.3">
      <c r="A11138" s="66"/>
      <c r="B11138" s="67"/>
      <c r="C11138" s="66"/>
      <c r="D11138" s="68"/>
      <c r="E11138" s="10"/>
      <c r="F11138" s="69"/>
      <c r="G11138" s="68"/>
      <c r="H11138" s="70"/>
      <c r="BA11138" s="4"/>
      <c r="BB11138" s="4"/>
    </row>
    <row r="11139" spans="1:54" x14ac:dyDescent="0.3">
      <c r="A11139" s="66"/>
      <c r="B11139" s="67"/>
      <c r="C11139" s="66"/>
      <c r="D11139" s="68"/>
      <c r="E11139" s="10"/>
      <c r="F11139" s="69"/>
      <c r="G11139" s="68"/>
      <c r="H11139" s="70"/>
      <c r="BA11139" s="4"/>
      <c r="BB11139" s="4"/>
    </row>
    <row r="11140" spans="1:54" x14ac:dyDescent="0.3">
      <c r="A11140" s="66"/>
      <c r="B11140" s="67"/>
      <c r="C11140" s="66"/>
      <c r="D11140" s="68"/>
      <c r="E11140" s="10"/>
      <c r="F11140" s="69"/>
      <c r="G11140" s="68"/>
      <c r="H11140" s="70"/>
      <c r="BA11140" s="4"/>
      <c r="BB11140" s="4"/>
    </row>
    <row r="11141" spans="1:54" x14ac:dyDescent="0.3">
      <c r="A11141" s="66"/>
      <c r="B11141" s="67"/>
      <c r="C11141" s="66"/>
      <c r="D11141" s="68"/>
      <c r="E11141" s="10"/>
      <c r="F11141" s="69"/>
      <c r="G11141" s="68"/>
      <c r="H11141" s="70"/>
      <c r="BA11141" s="4"/>
      <c r="BB11141" s="4"/>
    </row>
    <row r="11142" spans="1:54" x14ac:dyDescent="0.3">
      <c r="A11142" s="66"/>
      <c r="B11142" s="67"/>
      <c r="C11142" s="66"/>
      <c r="D11142" s="68"/>
      <c r="E11142" s="10"/>
      <c r="F11142" s="69"/>
      <c r="G11142" s="68"/>
      <c r="H11142" s="70"/>
      <c r="BA11142" s="4"/>
      <c r="BB11142" s="4"/>
    </row>
    <row r="11143" spans="1:54" x14ac:dyDescent="0.3">
      <c r="A11143" s="66"/>
      <c r="B11143" s="67"/>
      <c r="C11143" s="66"/>
      <c r="D11143" s="68"/>
      <c r="E11143" s="10"/>
      <c r="F11143" s="69"/>
      <c r="G11143" s="68"/>
      <c r="H11143" s="70"/>
      <c r="BA11143" s="4"/>
      <c r="BB11143" s="4"/>
    </row>
    <row r="11144" spans="1:54" x14ac:dyDescent="0.3">
      <c r="A11144" s="66"/>
      <c r="B11144" s="67"/>
      <c r="C11144" s="66"/>
      <c r="D11144" s="68"/>
      <c r="E11144" s="10"/>
      <c r="F11144" s="69"/>
      <c r="G11144" s="68"/>
      <c r="H11144" s="70"/>
      <c r="BA11144" s="4"/>
      <c r="BB11144" s="4"/>
    </row>
    <row r="11145" spans="1:54" x14ac:dyDescent="0.3">
      <c r="A11145" s="66"/>
      <c r="B11145" s="67"/>
      <c r="C11145" s="66"/>
      <c r="D11145" s="68"/>
      <c r="E11145" s="10"/>
      <c r="F11145" s="69"/>
      <c r="G11145" s="68"/>
      <c r="H11145" s="70"/>
      <c r="BA11145" s="4"/>
      <c r="BB11145" s="4"/>
    </row>
    <row r="11146" spans="1:54" x14ac:dyDescent="0.3">
      <c r="A11146" s="66"/>
      <c r="B11146" s="67"/>
      <c r="C11146" s="66"/>
      <c r="D11146" s="68"/>
      <c r="E11146" s="10"/>
      <c r="F11146" s="69"/>
      <c r="G11146" s="68"/>
      <c r="H11146" s="70"/>
      <c r="BA11146" s="4"/>
      <c r="BB11146" s="4"/>
    </row>
    <row r="11147" spans="1:54" x14ac:dyDescent="0.3">
      <c r="A11147" s="66"/>
      <c r="B11147" s="67"/>
      <c r="C11147" s="66"/>
      <c r="D11147" s="68"/>
      <c r="E11147" s="10"/>
      <c r="F11147" s="69"/>
      <c r="G11147" s="68"/>
      <c r="H11147" s="70"/>
      <c r="BA11147" s="4"/>
      <c r="BB11147" s="4"/>
    </row>
    <row r="11148" spans="1:54" x14ac:dyDescent="0.3">
      <c r="A11148" s="66"/>
      <c r="B11148" s="67"/>
      <c r="C11148" s="66"/>
      <c r="D11148" s="68"/>
      <c r="E11148" s="10"/>
      <c r="F11148" s="69"/>
      <c r="G11148" s="68"/>
      <c r="H11148" s="70"/>
      <c r="BA11148" s="4"/>
      <c r="BB11148" s="4"/>
    </row>
    <row r="11149" spans="1:54" x14ac:dyDescent="0.3">
      <c r="A11149" s="66"/>
      <c r="B11149" s="67"/>
      <c r="C11149" s="66"/>
      <c r="D11149" s="68"/>
      <c r="E11149" s="10"/>
      <c r="F11149" s="69"/>
      <c r="G11149" s="68"/>
      <c r="H11149" s="70"/>
      <c r="BA11149" s="4"/>
      <c r="BB11149" s="4"/>
    </row>
    <row r="11150" spans="1:54" x14ac:dyDescent="0.3">
      <c r="A11150" s="66"/>
      <c r="B11150" s="67"/>
      <c r="C11150" s="66"/>
      <c r="D11150" s="68"/>
      <c r="E11150" s="10"/>
      <c r="F11150" s="69"/>
      <c r="G11150" s="68"/>
      <c r="H11150" s="70"/>
      <c r="BA11150" s="4"/>
      <c r="BB11150" s="4"/>
    </row>
    <row r="11151" spans="1:54" x14ac:dyDescent="0.3">
      <c r="A11151" s="66"/>
      <c r="B11151" s="67"/>
      <c r="C11151" s="66"/>
      <c r="D11151" s="68"/>
      <c r="E11151" s="10"/>
      <c r="F11151" s="69"/>
      <c r="G11151" s="68"/>
      <c r="H11151" s="70"/>
      <c r="BA11151" s="4"/>
      <c r="BB11151" s="4"/>
    </row>
    <row r="11152" spans="1:54" x14ac:dyDescent="0.3">
      <c r="A11152" s="66"/>
      <c r="B11152" s="67"/>
      <c r="C11152" s="66"/>
      <c r="D11152" s="68"/>
      <c r="E11152" s="10"/>
      <c r="F11152" s="69"/>
      <c r="G11152" s="68"/>
      <c r="H11152" s="70"/>
      <c r="BA11152" s="4"/>
      <c r="BB11152" s="4"/>
    </row>
    <row r="11153" spans="1:54" x14ac:dyDescent="0.3">
      <c r="A11153" s="66"/>
      <c r="B11153" s="67"/>
      <c r="C11153" s="66"/>
      <c r="D11153" s="68"/>
      <c r="E11153" s="10"/>
      <c r="F11153" s="69"/>
      <c r="G11153" s="68"/>
      <c r="H11153" s="70"/>
      <c r="BA11153" s="4"/>
      <c r="BB11153" s="4"/>
    </row>
    <row r="11154" spans="1:54" x14ac:dyDescent="0.3">
      <c r="A11154" s="66"/>
      <c r="B11154" s="67"/>
      <c r="C11154" s="66"/>
      <c r="D11154" s="68"/>
      <c r="E11154" s="10"/>
      <c r="F11154" s="69"/>
      <c r="G11154" s="68"/>
      <c r="H11154" s="70"/>
      <c r="BA11154" s="4"/>
      <c r="BB11154" s="4"/>
    </row>
    <row r="11155" spans="1:54" x14ac:dyDescent="0.3">
      <c r="A11155" s="66"/>
      <c r="B11155" s="67"/>
      <c r="C11155" s="66"/>
      <c r="D11155" s="68"/>
      <c r="E11155" s="10"/>
      <c r="F11155" s="69"/>
      <c r="G11155" s="68"/>
      <c r="H11155" s="70"/>
      <c r="BA11155" s="4"/>
      <c r="BB11155" s="4"/>
    </row>
    <row r="11156" spans="1:54" x14ac:dyDescent="0.3">
      <c r="A11156" s="66"/>
      <c r="B11156" s="67"/>
      <c r="C11156" s="66"/>
      <c r="D11156" s="68"/>
      <c r="E11156" s="10"/>
      <c r="F11156" s="69"/>
      <c r="G11156" s="68"/>
      <c r="H11156" s="70"/>
      <c r="BA11156" s="4"/>
      <c r="BB11156" s="4"/>
    </row>
    <row r="11157" spans="1:54" x14ac:dyDescent="0.3">
      <c r="A11157" s="66"/>
      <c r="B11157" s="67"/>
      <c r="C11157" s="66"/>
      <c r="D11157" s="68"/>
      <c r="E11157" s="10"/>
      <c r="F11157" s="69"/>
      <c r="G11157" s="68"/>
      <c r="H11157" s="70"/>
      <c r="BA11157" s="4"/>
      <c r="BB11157" s="4"/>
    </row>
    <row r="11158" spans="1:54" x14ac:dyDescent="0.3">
      <c r="A11158" s="66"/>
      <c r="B11158" s="67"/>
      <c r="C11158" s="66"/>
      <c r="D11158" s="68"/>
      <c r="E11158" s="10"/>
      <c r="F11158" s="69"/>
      <c r="G11158" s="68"/>
      <c r="H11158" s="70"/>
      <c r="BA11158" s="4"/>
      <c r="BB11158" s="4"/>
    </row>
    <row r="11159" spans="1:54" x14ac:dyDescent="0.3">
      <c r="A11159" s="66"/>
      <c r="B11159" s="67"/>
      <c r="C11159" s="66"/>
      <c r="D11159" s="68"/>
      <c r="E11159" s="10"/>
      <c r="F11159" s="69"/>
      <c r="G11159" s="68"/>
      <c r="H11159" s="70"/>
      <c r="BA11159" s="4"/>
      <c r="BB11159" s="4"/>
    </row>
    <row r="11160" spans="1:54" x14ac:dyDescent="0.3">
      <c r="A11160" s="66"/>
      <c r="B11160" s="67"/>
      <c r="C11160" s="66"/>
      <c r="D11160" s="68"/>
      <c r="E11160" s="10"/>
      <c r="F11160" s="69"/>
      <c r="G11160" s="68"/>
      <c r="H11160" s="70"/>
      <c r="BA11160" s="4"/>
      <c r="BB11160" s="4"/>
    </row>
    <row r="11161" spans="1:54" x14ac:dyDescent="0.3">
      <c r="A11161" s="66"/>
      <c r="B11161" s="67"/>
      <c r="C11161" s="66"/>
      <c r="D11161" s="68"/>
      <c r="E11161" s="10"/>
      <c r="F11161" s="69"/>
      <c r="G11161" s="68"/>
      <c r="H11161" s="70"/>
      <c r="BA11161" s="4"/>
      <c r="BB11161" s="4"/>
    </row>
    <row r="11162" spans="1:54" x14ac:dyDescent="0.3">
      <c r="A11162" s="66"/>
      <c r="B11162" s="67"/>
      <c r="C11162" s="66"/>
      <c r="D11162" s="68"/>
      <c r="E11162" s="10"/>
      <c r="F11162" s="69"/>
      <c r="G11162" s="68"/>
      <c r="H11162" s="70"/>
      <c r="BA11162" s="4"/>
      <c r="BB11162" s="4"/>
    </row>
    <row r="11163" spans="1:54" x14ac:dyDescent="0.3">
      <c r="A11163" s="66"/>
      <c r="B11163" s="67"/>
      <c r="C11163" s="66"/>
      <c r="D11163" s="68"/>
      <c r="E11163" s="10"/>
      <c r="F11163" s="69"/>
      <c r="G11163" s="68"/>
      <c r="H11163" s="70"/>
      <c r="BA11163" s="4"/>
      <c r="BB11163" s="4"/>
    </row>
    <row r="11164" spans="1:54" x14ac:dyDescent="0.3">
      <c r="A11164" s="66"/>
      <c r="B11164" s="67"/>
      <c r="C11164" s="66"/>
      <c r="D11164" s="68"/>
      <c r="E11164" s="10"/>
      <c r="F11164" s="69"/>
      <c r="G11164" s="68"/>
      <c r="H11164" s="70"/>
      <c r="BA11164" s="4"/>
      <c r="BB11164" s="4"/>
    </row>
    <row r="11165" spans="1:54" x14ac:dyDescent="0.3">
      <c r="A11165" s="66"/>
      <c r="B11165" s="67"/>
      <c r="C11165" s="66"/>
      <c r="D11165" s="68"/>
      <c r="E11165" s="10"/>
      <c r="F11165" s="69"/>
      <c r="G11165" s="68"/>
      <c r="H11165" s="70"/>
      <c r="BA11165" s="4"/>
      <c r="BB11165" s="4"/>
    </row>
    <row r="11166" spans="1:54" x14ac:dyDescent="0.3">
      <c r="A11166" s="66"/>
      <c r="B11166" s="67"/>
      <c r="C11166" s="66"/>
      <c r="D11166" s="68"/>
      <c r="E11166" s="10"/>
      <c r="F11166" s="69"/>
      <c r="G11166" s="68"/>
      <c r="H11166" s="70"/>
      <c r="BA11166" s="4"/>
      <c r="BB11166" s="4"/>
    </row>
    <row r="11167" spans="1:54" x14ac:dyDescent="0.3">
      <c r="A11167" s="66"/>
      <c r="B11167" s="67"/>
      <c r="C11167" s="66"/>
      <c r="D11167" s="68"/>
      <c r="E11167" s="10"/>
      <c r="F11167" s="69"/>
      <c r="G11167" s="68"/>
      <c r="H11167" s="70"/>
      <c r="BA11167" s="4"/>
      <c r="BB11167" s="4"/>
    </row>
    <row r="11168" spans="1:54" x14ac:dyDescent="0.3">
      <c r="A11168" s="66"/>
      <c r="B11168" s="67"/>
      <c r="C11168" s="66"/>
      <c r="D11168" s="68"/>
      <c r="E11168" s="10"/>
      <c r="F11168" s="69"/>
      <c r="G11168" s="68"/>
      <c r="H11168" s="70"/>
      <c r="BA11168" s="4"/>
      <c r="BB11168" s="4"/>
    </row>
    <row r="11169" spans="1:54" x14ac:dyDescent="0.3">
      <c r="A11169" s="66"/>
      <c r="B11169" s="67"/>
      <c r="C11169" s="66"/>
      <c r="D11169" s="68"/>
      <c r="E11169" s="10"/>
      <c r="F11169" s="69"/>
      <c r="G11169" s="68"/>
      <c r="H11169" s="70"/>
      <c r="BA11169" s="4"/>
      <c r="BB11169" s="4"/>
    </row>
    <row r="11170" spans="1:54" x14ac:dyDescent="0.3">
      <c r="A11170" s="66"/>
      <c r="B11170" s="67"/>
      <c r="C11170" s="66"/>
      <c r="D11170" s="68"/>
      <c r="E11170" s="10"/>
      <c r="F11170" s="69"/>
      <c r="G11170" s="68"/>
      <c r="H11170" s="70"/>
      <c r="BA11170" s="4"/>
      <c r="BB11170" s="4"/>
    </row>
    <row r="11171" spans="1:54" x14ac:dyDescent="0.3">
      <c r="A11171" s="66"/>
      <c r="B11171" s="67"/>
      <c r="C11171" s="66"/>
      <c r="D11171" s="68"/>
      <c r="E11171" s="10"/>
      <c r="F11171" s="69"/>
      <c r="G11171" s="68"/>
      <c r="H11171" s="70"/>
      <c r="BA11171" s="4"/>
      <c r="BB11171" s="4"/>
    </row>
    <row r="11172" spans="1:54" x14ac:dyDescent="0.3">
      <c r="A11172" s="66"/>
      <c r="B11172" s="67"/>
      <c r="C11172" s="66"/>
      <c r="D11172" s="68"/>
      <c r="E11172" s="10"/>
      <c r="F11172" s="69"/>
      <c r="G11172" s="68"/>
      <c r="H11172" s="70"/>
      <c r="BA11172" s="4"/>
      <c r="BB11172" s="4"/>
    </row>
    <row r="11173" spans="1:54" x14ac:dyDescent="0.3">
      <c r="A11173" s="66"/>
      <c r="B11173" s="67"/>
      <c r="C11173" s="66"/>
      <c r="D11173" s="68"/>
      <c r="E11173" s="10"/>
      <c r="F11173" s="69"/>
      <c r="G11173" s="68"/>
      <c r="H11173" s="70"/>
      <c r="BA11173" s="4"/>
      <c r="BB11173" s="4"/>
    </row>
    <row r="11174" spans="1:54" x14ac:dyDescent="0.3">
      <c r="A11174" s="66"/>
      <c r="B11174" s="67"/>
      <c r="C11174" s="66"/>
      <c r="D11174" s="68"/>
      <c r="E11174" s="10"/>
      <c r="F11174" s="69"/>
      <c r="G11174" s="68"/>
      <c r="H11174" s="70"/>
      <c r="BA11174" s="4"/>
      <c r="BB11174" s="4"/>
    </row>
    <row r="11175" spans="1:54" x14ac:dyDescent="0.3">
      <c r="A11175" s="66"/>
      <c r="B11175" s="67"/>
      <c r="C11175" s="66"/>
      <c r="D11175" s="68"/>
      <c r="E11175" s="10"/>
      <c r="F11175" s="69"/>
      <c r="G11175" s="68"/>
      <c r="H11175" s="70"/>
      <c r="BA11175" s="4"/>
      <c r="BB11175" s="4"/>
    </row>
    <row r="11176" spans="1:54" x14ac:dyDescent="0.3">
      <c r="A11176" s="66"/>
      <c r="B11176" s="67"/>
      <c r="C11176" s="66"/>
      <c r="D11176" s="68"/>
      <c r="E11176" s="10"/>
      <c r="F11176" s="69"/>
      <c r="G11176" s="68"/>
      <c r="H11176" s="70"/>
      <c r="BA11176" s="4"/>
      <c r="BB11176" s="4"/>
    </row>
    <row r="11177" spans="1:54" x14ac:dyDescent="0.3">
      <c r="A11177" s="66"/>
      <c r="B11177" s="67"/>
      <c r="C11177" s="66"/>
      <c r="D11177" s="68"/>
      <c r="E11177" s="10"/>
      <c r="F11177" s="69"/>
      <c r="G11177" s="68"/>
      <c r="H11177" s="70"/>
      <c r="BA11177" s="4"/>
      <c r="BB11177" s="4"/>
    </row>
    <row r="11178" spans="1:54" x14ac:dyDescent="0.3">
      <c r="A11178" s="66"/>
      <c r="B11178" s="67"/>
      <c r="C11178" s="66"/>
      <c r="D11178" s="68"/>
      <c r="E11178" s="10"/>
      <c r="F11178" s="69"/>
      <c r="G11178" s="68"/>
      <c r="H11178" s="70"/>
      <c r="BA11178" s="4"/>
      <c r="BB11178" s="4"/>
    </row>
    <row r="11179" spans="1:54" x14ac:dyDescent="0.3">
      <c r="A11179" s="66"/>
      <c r="B11179" s="67"/>
      <c r="C11179" s="66"/>
      <c r="D11179" s="68"/>
      <c r="E11179" s="10"/>
      <c r="F11179" s="69"/>
      <c r="G11179" s="68"/>
      <c r="H11179" s="70"/>
      <c r="BA11179" s="4"/>
      <c r="BB11179" s="4"/>
    </row>
    <row r="11180" spans="1:54" x14ac:dyDescent="0.3">
      <c r="A11180" s="66"/>
      <c r="B11180" s="67"/>
      <c r="C11180" s="66"/>
      <c r="D11180" s="68"/>
      <c r="E11180" s="10"/>
      <c r="F11180" s="69"/>
      <c r="G11180" s="68"/>
      <c r="H11180" s="70"/>
      <c r="BA11180" s="4"/>
      <c r="BB11180" s="4"/>
    </row>
    <row r="11181" spans="1:54" x14ac:dyDescent="0.3">
      <c r="A11181" s="66"/>
      <c r="B11181" s="67"/>
      <c r="C11181" s="66"/>
      <c r="D11181" s="68"/>
      <c r="E11181" s="10"/>
      <c r="F11181" s="69"/>
      <c r="G11181" s="68"/>
      <c r="H11181" s="70"/>
      <c r="BA11181" s="4"/>
      <c r="BB11181" s="4"/>
    </row>
    <row r="11182" spans="1:54" x14ac:dyDescent="0.3">
      <c r="A11182" s="66"/>
      <c r="B11182" s="67"/>
      <c r="C11182" s="66"/>
      <c r="D11182" s="68"/>
      <c r="E11182" s="10"/>
      <c r="F11182" s="69"/>
      <c r="G11182" s="68"/>
      <c r="H11182" s="70"/>
      <c r="BA11182" s="4"/>
      <c r="BB11182" s="4"/>
    </row>
    <row r="11183" spans="1:54" x14ac:dyDescent="0.3">
      <c r="A11183" s="66"/>
      <c r="B11183" s="67"/>
      <c r="C11183" s="66"/>
      <c r="D11183" s="68"/>
      <c r="E11183" s="10"/>
      <c r="F11183" s="69"/>
      <c r="G11183" s="68"/>
      <c r="H11183" s="70"/>
      <c r="BA11183" s="4"/>
      <c r="BB11183" s="4"/>
    </row>
    <row r="11184" spans="1:54" x14ac:dyDescent="0.3">
      <c r="A11184" s="66"/>
      <c r="B11184" s="67"/>
      <c r="C11184" s="66"/>
      <c r="D11184" s="68"/>
      <c r="E11184" s="10"/>
      <c r="F11184" s="69"/>
      <c r="G11184" s="68"/>
      <c r="H11184" s="70"/>
      <c r="BA11184" s="4"/>
      <c r="BB11184" s="4"/>
    </row>
    <row r="11185" spans="1:54" x14ac:dyDescent="0.3">
      <c r="A11185" s="66"/>
      <c r="B11185" s="67"/>
      <c r="C11185" s="66"/>
      <c r="D11185" s="68"/>
      <c r="E11185" s="10"/>
      <c r="F11185" s="69"/>
      <c r="G11185" s="68"/>
      <c r="H11185" s="70"/>
      <c r="BA11185" s="4"/>
      <c r="BB11185" s="4"/>
    </row>
    <row r="11186" spans="1:54" x14ac:dyDescent="0.3">
      <c r="A11186" s="66"/>
      <c r="B11186" s="67"/>
      <c r="C11186" s="66"/>
      <c r="D11186" s="68"/>
      <c r="E11186" s="10"/>
      <c r="F11186" s="69"/>
      <c r="G11186" s="68"/>
      <c r="H11186" s="70"/>
      <c r="BA11186" s="4"/>
      <c r="BB11186" s="4"/>
    </row>
    <row r="11187" spans="1:54" x14ac:dyDescent="0.3">
      <c r="A11187" s="66"/>
      <c r="B11187" s="67"/>
      <c r="C11187" s="66"/>
      <c r="D11187" s="68"/>
      <c r="E11187" s="10"/>
      <c r="F11187" s="69"/>
      <c r="G11187" s="68"/>
      <c r="H11187" s="70"/>
      <c r="BA11187" s="4"/>
      <c r="BB11187" s="4"/>
    </row>
    <row r="11188" spans="1:54" x14ac:dyDescent="0.3">
      <c r="A11188" s="66"/>
      <c r="B11188" s="67"/>
      <c r="C11188" s="66"/>
      <c r="D11188" s="68"/>
      <c r="E11188" s="10"/>
      <c r="F11188" s="69"/>
      <c r="G11188" s="68"/>
      <c r="H11188" s="70"/>
      <c r="BA11188" s="4"/>
      <c r="BB11188" s="4"/>
    </row>
    <row r="11189" spans="1:54" x14ac:dyDescent="0.3">
      <c r="A11189" s="66"/>
      <c r="B11189" s="67"/>
      <c r="C11189" s="66"/>
      <c r="D11189" s="68"/>
      <c r="E11189" s="10"/>
      <c r="F11189" s="69"/>
      <c r="G11189" s="68"/>
      <c r="H11189" s="70"/>
      <c r="BA11189" s="4"/>
      <c r="BB11189" s="4"/>
    </row>
    <row r="11190" spans="1:54" x14ac:dyDescent="0.3">
      <c r="A11190" s="66"/>
      <c r="B11190" s="67"/>
      <c r="C11190" s="66"/>
      <c r="D11190" s="68"/>
      <c r="E11190" s="10"/>
      <c r="F11190" s="69"/>
      <c r="G11190" s="68"/>
      <c r="H11190" s="70"/>
      <c r="BA11190" s="4"/>
      <c r="BB11190" s="4"/>
    </row>
    <row r="11191" spans="1:54" x14ac:dyDescent="0.3">
      <c r="A11191" s="66"/>
      <c r="B11191" s="67"/>
      <c r="C11191" s="66"/>
      <c r="D11191" s="68"/>
      <c r="E11191" s="10"/>
      <c r="F11191" s="69"/>
      <c r="G11191" s="68"/>
      <c r="H11191" s="70"/>
      <c r="BA11191" s="4"/>
      <c r="BB11191" s="4"/>
    </row>
    <row r="11192" spans="1:54" x14ac:dyDescent="0.3">
      <c r="A11192" s="66"/>
      <c r="B11192" s="67"/>
      <c r="C11192" s="66"/>
      <c r="D11192" s="68"/>
      <c r="E11192" s="10"/>
      <c r="F11192" s="69"/>
      <c r="G11192" s="68"/>
      <c r="H11192" s="70"/>
      <c r="BA11192" s="4"/>
      <c r="BB11192" s="4"/>
    </row>
    <row r="11193" spans="1:54" x14ac:dyDescent="0.3">
      <c r="A11193" s="66"/>
      <c r="B11193" s="67"/>
      <c r="C11193" s="66"/>
      <c r="D11193" s="68"/>
      <c r="E11193" s="10"/>
      <c r="F11193" s="69"/>
      <c r="G11193" s="68"/>
      <c r="H11193" s="70"/>
      <c r="BA11193" s="4"/>
      <c r="BB11193" s="4"/>
    </row>
    <row r="11194" spans="1:54" x14ac:dyDescent="0.3">
      <c r="A11194" s="66"/>
      <c r="B11194" s="67"/>
      <c r="C11194" s="66"/>
      <c r="D11194" s="68"/>
      <c r="E11194" s="10"/>
      <c r="F11194" s="69"/>
      <c r="G11194" s="68"/>
      <c r="H11194" s="70"/>
      <c r="BA11194" s="4"/>
      <c r="BB11194" s="4"/>
    </row>
    <row r="11195" spans="1:54" x14ac:dyDescent="0.3">
      <c r="A11195" s="66"/>
      <c r="B11195" s="67"/>
      <c r="C11195" s="66"/>
      <c r="D11195" s="68"/>
      <c r="E11195" s="10"/>
      <c r="F11195" s="69"/>
      <c r="G11195" s="68"/>
      <c r="H11195" s="70"/>
      <c r="BA11195" s="4"/>
      <c r="BB11195" s="4"/>
    </row>
    <row r="11196" spans="1:54" x14ac:dyDescent="0.3">
      <c r="A11196" s="66"/>
      <c r="B11196" s="67"/>
      <c r="C11196" s="66"/>
      <c r="D11196" s="68"/>
      <c r="E11196" s="10"/>
      <c r="F11196" s="69"/>
      <c r="G11196" s="68"/>
      <c r="H11196" s="70"/>
      <c r="BA11196" s="4"/>
      <c r="BB11196" s="4"/>
    </row>
    <row r="11197" spans="1:54" x14ac:dyDescent="0.3">
      <c r="A11197" s="66"/>
      <c r="B11197" s="67"/>
      <c r="C11197" s="66"/>
      <c r="D11197" s="68"/>
      <c r="E11197" s="10"/>
      <c r="F11197" s="69"/>
      <c r="G11197" s="68"/>
      <c r="H11197" s="70"/>
      <c r="BA11197" s="4"/>
      <c r="BB11197" s="4"/>
    </row>
    <row r="11198" spans="1:54" x14ac:dyDescent="0.3">
      <c r="A11198" s="66"/>
      <c r="B11198" s="67"/>
      <c r="C11198" s="66"/>
      <c r="D11198" s="68"/>
      <c r="E11198" s="10"/>
      <c r="F11198" s="69"/>
      <c r="G11198" s="68"/>
      <c r="H11198" s="70"/>
      <c r="BA11198" s="4"/>
      <c r="BB11198" s="4"/>
    </row>
    <row r="11199" spans="1:54" x14ac:dyDescent="0.3">
      <c r="A11199" s="66"/>
      <c r="B11199" s="67"/>
      <c r="C11199" s="66"/>
      <c r="D11199" s="68"/>
      <c r="E11199" s="10"/>
      <c r="F11199" s="69"/>
      <c r="G11199" s="68"/>
      <c r="H11199" s="70"/>
      <c r="BA11199" s="4"/>
      <c r="BB11199" s="4"/>
    </row>
    <row r="11200" spans="1:54" x14ac:dyDescent="0.3">
      <c r="A11200" s="66"/>
      <c r="B11200" s="67"/>
      <c r="C11200" s="66"/>
      <c r="D11200" s="68"/>
      <c r="E11200" s="10"/>
      <c r="F11200" s="69"/>
      <c r="G11200" s="68"/>
      <c r="H11200" s="70"/>
      <c r="BA11200" s="4"/>
      <c r="BB11200" s="4"/>
    </row>
    <row r="11201" spans="1:54" x14ac:dyDescent="0.3">
      <c r="A11201" s="66"/>
      <c r="B11201" s="67"/>
      <c r="C11201" s="66"/>
      <c r="D11201" s="68"/>
      <c r="E11201" s="10"/>
      <c r="F11201" s="69"/>
      <c r="G11201" s="68"/>
      <c r="H11201" s="70"/>
      <c r="BA11201" s="4"/>
      <c r="BB11201" s="4"/>
    </row>
    <row r="11202" spans="1:54" x14ac:dyDescent="0.3">
      <c r="A11202" s="66"/>
      <c r="B11202" s="67"/>
      <c r="C11202" s="66"/>
      <c r="D11202" s="68"/>
      <c r="E11202" s="10"/>
      <c r="F11202" s="69"/>
      <c r="G11202" s="68"/>
      <c r="H11202" s="70"/>
      <c r="BA11202" s="4"/>
      <c r="BB11202" s="4"/>
    </row>
    <row r="11203" spans="1:54" x14ac:dyDescent="0.3">
      <c r="A11203" s="66"/>
      <c r="B11203" s="67"/>
      <c r="C11203" s="66"/>
      <c r="D11203" s="68"/>
      <c r="E11203" s="10"/>
      <c r="F11203" s="69"/>
      <c r="G11203" s="68"/>
      <c r="H11203" s="70"/>
      <c r="BA11203" s="4"/>
      <c r="BB11203" s="4"/>
    </row>
    <row r="11204" spans="1:54" x14ac:dyDescent="0.3">
      <c r="A11204" s="66"/>
      <c r="B11204" s="67"/>
      <c r="C11204" s="66"/>
      <c r="D11204" s="68"/>
      <c r="E11204" s="10"/>
      <c r="F11204" s="69"/>
      <c r="G11204" s="68"/>
      <c r="H11204" s="70"/>
      <c r="BA11204" s="4"/>
      <c r="BB11204" s="4"/>
    </row>
    <row r="11205" spans="1:54" x14ac:dyDescent="0.3">
      <c r="A11205" s="66"/>
      <c r="B11205" s="67"/>
      <c r="C11205" s="66"/>
      <c r="D11205" s="68"/>
      <c r="E11205" s="10"/>
      <c r="F11205" s="69"/>
      <c r="G11205" s="68"/>
      <c r="H11205" s="70"/>
      <c r="BA11205" s="4"/>
      <c r="BB11205" s="4"/>
    </row>
    <row r="11206" spans="1:54" x14ac:dyDescent="0.3">
      <c r="A11206" s="66"/>
      <c r="B11206" s="67"/>
      <c r="C11206" s="66"/>
      <c r="D11206" s="68"/>
      <c r="E11206" s="10"/>
      <c r="F11206" s="69"/>
      <c r="G11206" s="68"/>
      <c r="H11206" s="70"/>
      <c r="BA11206" s="4"/>
      <c r="BB11206" s="4"/>
    </row>
    <row r="11207" spans="1:54" x14ac:dyDescent="0.3">
      <c r="A11207" s="66"/>
      <c r="B11207" s="67"/>
      <c r="C11207" s="66"/>
      <c r="D11207" s="68"/>
      <c r="E11207" s="10"/>
      <c r="F11207" s="69"/>
      <c r="G11207" s="68"/>
      <c r="H11207" s="70"/>
      <c r="BA11207" s="4"/>
      <c r="BB11207" s="4"/>
    </row>
    <row r="11208" spans="1:54" x14ac:dyDescent="0.3">
      <c r="A11208" s="66"/>
      <c r="B11208" s="67"/>
      <c r="C11208" s="66"/>
      <c r="D11208" s="68"/>
      <c r="E11208" s="10"/>
      <c r="F11208" s="69"/>
      <c r="G11208" s="68"/>
      <c r="H11208" s="70"/>
      <c r="BA11208" s="4"/>
      <c r="BB11208" s="4"/>
    </row>
    <row r="11209" spans="1:54" x14ac:dyDescent="0.3">
      <c r="A11209" s="66"/>
      <c r="B11209" s="67"/>
      <c r="C11209" s="66"/>
      <c r="D11209" s="68"/>
      <c r="E11209" s="10"/>
      <c r="F11209" s="69"/>
      <c r="G11209" s="68"/>
      <c r="H11209" s="70"/>
      <c r="BA11209" s="4"/>
      <c r="BB11209" s="4"/>
    </row>
    <row r="11210" spans="1:54" x14ac:dyDescent="0.3">
      <c r="A11210" s="66"/>
      <c r="B11210" s="67"/>
      <c r="C11210" s="66"/>
      <c r="D11210" s="68"/>
      <c r="E11210" s="10"/>
      <c r="F11210" s="69"/>
      <c r="G11210" s="68"/>
      <c r="H11210" s="70"/>
      <c r="BA11210" s="4"/>
      <c r="BB11210" s="4"/>
    </row>
    <row r="11211" spans="1:54" x14ac:dyDescent="0.3">
      <c r="A11211" s="66"/>
      <c r="B11211" s="67"/>
      <c r="C11211" s="66"/>
      <c r="D11211" s="68"/>
      <c r="E11211" s="10"/>
      <c r="F11211" s="69"/>
      <c r="G11211" s="68"/>
      <c r="H11211" s="70"/>
      <c r="BA11211" s="4"/>
      <c r="BB11211" s="4"/>
    </row>
    <row r="11212" spans="1:54" x14ac:dyDescent="0.3">
      <c r="A11212" s="66"/>
      <c r="B11212" s="67"/>
      <c r="C11212" s="66"/>
      <c r="D11212" s="68"/>
      <c r="E11212" s="10"/>
      <c r="F11212" s="69"/>
      <c r="G11212" s="68"/>
      <c r="H11212" s="70"/>
      <c r="BA11212" s="4"/>
      <c r="BB11212" s="4"/>
    </row>
    <row r="11213" spans="1:54" x14ac:dyDescent="0.3">
      <c r="A11213" s="66"/>
      <c r="B11213" s="67"/>
      <c r="C11213" s="66"/>
      <c r="D11213" s="68"/>
      <c r="E11213" s="10"/>
      <c r="F11213" s="69"/>
      <c r="G11213" s="68"/>
      <c r="H11213" s="70"/>
      <c r="BA11213" s="4"/>
      <c r="BB11213" s="4"/>
    </row>
    <row r="11214" spans="1:54" x14ac:dyDescent="0.3">
      <c r="A11214" s="66"/>
      <c r="B11214" s="67"/>
      <c r="C11214" s="66"/>
      <c r="D11214" s="68"/>
      <c r="E11214" s="10"/>
      <c r="F11214" s="69"/>
      <c r="G11214" s="68"/>
      <c r="H11214" s="70"/>
      <c r="BA11214" s="4"/>
      <c r="BB11214" s="4"/>
    </row>
    <row r="11215" spans="1:54" x14ac:dyDescent="0.3">
      <c r="A11215" s="66"/>
      <c r="B11215" s="67"/>
      <c r="C11215" s="66"/>
      <c r="D11215" s="68"/>
      <c r="E11215" s="10"/>
      <c r="F11215" s="69"/>
      <c r="G11215" s="68"/>
      <c r="H11215" s="70"/>
      <c r="BA11215" s="4"/>
      <c r="BB11215" s="4"/>
    </row>
    <row r="11216" spans="1:54" x14ac:dyDescent="0.3">
      <c r="A11216" s="66"/>
      <c r="B11216" s="67"/>
      <c r="C11216" s="66"/>
      <c r="D11216" s="68"/>
      <c r="E11216" s="10"/>
      <c r="F11216" s="69"/>
      <c r="G11216" s="68"/>
      <c r="H11216" s="70"/>
      <c r="BA11216" s="4"/>
      <c r="BB11216" s="4"/>
    </row>
    <row r="11217" spans="1:54" x14ac:dyDescent="0.3">
      <c r="A11217" s="66"/>
      <c r="B11217" s="67"/>
      <c r="C11217" s="66"/>
      <c r="D11217" s="68"/>
      <c r="E11217" s="10"/>
      <c r="F11217" s="69"/>
      <c r="G11217" s="68"/>
      <c r="H11217" s="70"/>
      <c r="BA11217" s="4"/>
      <c r="BB11217" s="4"/>
    </row>
    <row r="11218" spans="1:54" x14ac:dyDescent="0.3">
      <c r="A11218" s="66"/>
      <c r="B11218" s="67"/>
      <c r="C11218" s="66"/>
      <c r="D11218" s="68"/>
      <c r="E11218" s="10"/>
      <c r="F11218" s="69"/>
      <c r="G11218" s="68"/>
      <c r="H11218" s="70"/>
      <c r="BA11218" s="4"/>
      <c r="BB11218" s="4"/>
    </row>
    <row r="11219" spans="1:54" x14ac:dyDescent="0.3">
      <c r="A11219" s="66"/>
      <c r="B11219" s="67"/>
      <c r="C11219" s="66"/>
      <c r="D11219" s="68"/>
      <c r="E11219" s="10"/>
      <c r="F11219" s="69"/>
      <c r="G11219" s="68"/>
      <c r="H11219" s="70"/>
      <c r="BA11219" s="4"/>
      <c r="BB11219" s="4"/>
    </row>
    <row r="11220" spans="1:54" x14ac:dyDescent="0.3">
      <c r="A11220" s="66"/>
      <c r="B11220" s="67"/>
      <c r="C11220" s="66"/>
      <c r="D11220" s="68"/>
      <c r="E11220" s="10"/>
      <c r="F11220" s="69"/>
      <c r="G11220" s="68"/>
      <c r="H11220" s="70"/>
      <c r="BA11220" s="4"/>
      <c r="BB11220" s="4"/>
    </row>
    <row r="11221" spans="1:54" x14ac:dyDescent="0.3">
      <c r="A11221" s="66"/>
      <c r="B11221" s="67"/>
      <c r="C11221" s="66"/>
      <c r="D11221" s="68"/>
      <c r="E11221" s="10"/>
      <c r="F11221" s="69"/>
      <c r="G11221" s="68"/>
      <c r="H11221" s="70"/>
      <c r="BA11221" s="4"/>
      <c r="BB11221" s="4"/>
    </row>
    <row r="11222" spans="1:54" x14ac:dyDescent="0.3">
      <c r="A11222" s="66"/>
      <c r="B11222" s="67"/>
      <c r="C11222" s="66"/>
      <c r="D11222" s="68"/>
      <c r="E11222" s="10"/>
      <c r="F11222" s="69"/>
      <c r="G11222" s="68"/>
      <c r="H11222" s="70"/>
      <c r="BA11222" s="4"/>
      <c r="BB11222" s="4"/>
    </row>
    <row r="11223" spans="1:54" x14ac:dyDescent="0.3">
      <c r="A11223" s="66"/>
      <c r="B11223" s="67"/>
      <c r="C11223" s="66"/>
      <c r="D11223" s="68"/>
      <c r="E11223" s="10"/>
      <c r="F11223" s="69"/>
      <c r="G11223" s="68"/>
      <c r="H11223" s="70"/>
      <c r="BA11223" s="4"/>
      <c r="BB11223" s="4"/>
    </row>
    <row r="11224" spans="1:54" x14ac:dyDescent="0.3">
      <c r="A11224" s="66"/>
      <c r="B11224" s="67"/>
      <c r="C11224" s="66"/>
      <c r="D11224" s="68"/>
      <c r="E11224" s="10"/>
      <c r="F11224" s="69"/>
      <c r="G11224" s="68"/>
      <c r="H11224" s="70"/>
      <c r="BA11224" s="4"/>
      <c r="BB11224" s="4"/>
    </row>
    <row r="11225" spans="1:54" x14ac:dyDescent="0.3">
      <c r="A11225" s="66"/>
      <c r="B11225" s="67"/>
      <c r="C11225" s="66"/>
      <c r="D11225" s="68"/>
      <c r="E11225" s="10"/>
      <c r="F11225" s="69"/>
      <c r="G11225" s="68"/>
      <c r="H11225" s="70"/>
      <c r="BA11225" s="4"/>
      <c r="BB11225" s="4"/>
    </row>
    <row r="11226" spans="1:54" x14ac:dyDescent="0.3">
      <c r="A11226" s="66"/>
      <c r="B11226" s="67"/>
      <c r="C11226" s="66"/>
      <c r="D11226" s="68"/>
      <c r="E11226" s="10"/>
      <c r="F11226" s="69"/>
      <c r="G11226" s="68"/>
      <c r="H11226" s="70"/>
      <c r="BA11226" s="4"/>
      <c r="BB11226" s="4"/>
    </row>
    <row r="11227" spans="1:54" x14ac:dyDescent="0.3">
      <c r="A11227" s="66"/>
      <c r="B11227" s="67"/>
      <c r="C11227" s="66"/>
      <c r="D11227" s="68"/>
      <c r="E11227" s="10"/>
      <c r="F11227" s="69"/>
      <c r="G11227" s="68"/>
      <c r="H11227" s="70"/>
      <c r="BA11227" s="4"/>
      <c r="BB11227" s="4"/>
    </row>
    <row r="11228" spans="1:54" x14ac:dyDescent="0.3">
      <c r="A11228" s="66"/>
      <c r="B11228" s="67"/>
      <c r="C11228" s="66"/>
      <c r="D11228" s="68"/>
      <c r="E11228" s="10"/>
      <c r="F11228" s="69"/>
      <c r="G11228" s="68"/>
      <c r="H11228" s="70"/>
      <c r="BA11228" s="4"/>
      <c r="BB11228" s="4"/>
    </row>
    <row r="11229" spans="1:54" x14ac:dyDescent="0.3">
      <c r="A11229" s="66"/>
      <c r="B11229" s="67"/>
      <c r="C11229" s="66"/>
      <c r="D11229" s="68"/>
      <c r="E11229" s="10"/>
      <c r="F11229" s="69"/>
      <c r="G11229" s="68"/>
      <c r="H11229" s="70"/>
      <c r="BA11229" s="4"/>
      <c r="BB11229" s="4"/>
    </row>
    <row r="11230" spans="1:54" x14ac:dyDescent="0.3">
      <c r="A11230" s="66"/>
      <c r="B11230" s="67"/>
      <c r="C11230" s="66"/>
      <c r="D11230" s="68"/>
      <c r="E11230" s="10"/>
      <c r="F11230" s="69"/>
      <c r="G11230" s="68"/>
      <c r="H11230" s="70"/>
      <c r="BA11230" s="4"/>
      <c r="BB11230" s="4"/>
    </row>
    <row r="11231" spans="1:54" x14ac:dyDescent="0.3">
      <c r="A11231" s="66"/>
      <c r="B11231" s="67"/>
      <c r="C11231" s="66"/>
      <c r="D11231" s="68"/>
      <c r="E11231" s="10"/>
      <c r="F11231" s="69"/>
      <c r="G11231" s="68"/>
      <c r="H11231" s="70"/>
      <c r="BA11231" s="4"/>
      <c r="BB11231" s="4"/>
    </row>
    <row r="11232" spans="1:54" x14ac:dyDescent="0.3">
      <c r="A11232" s="66"/>
      <c r="B11232" s="67"/>
      <c r="C11232" s="66"/>
      <c r="D11232" s="68"/>
      <c r="E11232" s="10"/>
      <c r="F11232" s="69"/>
      <c r="G11232" s="68"/>
      <c r="H11232" s="70"/>
      <c r="BA11232" s="4"/>
      <c r="BB11232" s="4"/>
    </row>
    <row r="11233" spans="1:54" x14ac:dyDescent="0.3">
      <c r="A11233" s="66"/>
      <c r="B11233" s="67"/>
      <c r="C11233" s="66"/>
      <c r="D11233" s="68"/>
      <c r="E11233" s="10"/>
      <c r="F11233" s="69"/>
      <c r="G11233" s="68"/>
      <c r="H11233" s="70"/>
      <c r="BA11233" s="4"/>
      <c r="BB11233" s="4"/>
    </row>
    <row r="11234" spans="1:54" x14ac:dyDescent="0.3">
      <c r="A11234" s="66"/>
      <c r="B11234" s="67"/>
      <c r="C11234" s="66"/>
      <c r="D11234" s="68"/>
      <c r="E11234" s="10"/>
      <c r="F11234" s="69"/>
      <c r="G11234" s="68"/>
      <c r="H11234" s="70"/>
      <c r="BA11234" s="4"/>
      <c r="BB11234" s="4"/>
    </row>
    <row r="11235" spans="1:54" x14ac:dyDescent="0.3">
      <c r="A11235" s="66"/>
      <c r="B11235" s="67"/>
      <c r="C11235" s="66"/>
      <c r="D11235" s="68"/>
      <c r="E11235" s="10"/>
      <c r="F11235" s="69"/>
      <c r="G11235" s="68"/>
      <c r="H11235" s="70"/>
      <c r="BA11235" s="4"/>
      <c r="BB11235" s="4"/>
    </row>
    <row r="11236" spans="1:54" x14ac:dyDescent="0.3">
      <c r="A11236" s="66"/>
      <c r="B11236" s="67"/>
      <c r="C11236" s="66"/>
      <c r="D11236" s="68"/>
      <c r="E11236" s="10"/>
      <c r="F11236" s="69"/>
      <c r="G11236" s="68"/>
      <c r="H11236" s="70"/>
      <c r="BA11236" s="4"/>
      <c r="BB11236" s="4"/>
    </row>
    <row r="11237" spans="1:54" x14ac:dyDescent="0.3">
      <c r="A11237" s="66"/>
      <c r="B11237" s="67"/>
      <c r="C11237" s="66"/>
      <c r="D11237" s="68"/>
      <c r="E11237" s="10"/>
      <c r="F11237" s="69"/>
      <c r="G11237" s="68"/>
      <c r="H11237" s="70"/>
      <c r="BA11237" s="4"/>
      <c r="BB11237" s="4"/>
    </row>
    <row r="11238" spans="1:54" x14ac:dyDescent="0.3">
      <c r="A11238" s="66"/>
      <c r="B11238" s="67"/>
      <c r="C11238" s="66"/>
      <c r="D11238" s="68"/>
      <c r="E11238" s="10"/>
      <c r="F11238" s="69"/>
      <c r="G11238" s="68"/>
      <c r="H11238" s="70"/>
      <c r="BA11238" s="4"/>
      <c r="BB11238" s="4"/>
    </row>
    <row r="11239" spans="1:54" x14ac:dyDescent="0.3">
      <c r="A11239" s="66"/>
      <c r="B11239" s="67"/>
      <c r="C11239" s="66"/>
      <c r="D11239" s="68"/>
      <c r="E11239" s="10"/>
      <c r="F11239" s="69"/>
      <c r="G11239" s="68"/>
      <c r="H11239" s="70"/>
      <c r="BA11239" s="4"/>
      <c r="BB11239" s="4"/>
    </row>
    <row r="11240" spans="1:54" x14ac:dyDescent="0.3">
      <c r="A11240" s="66"/>
      <c r="B11240" s="67"/>
      <c r="C11240" s="66"/>
      <c r="D11240" s="68"/>
      <c r="E11240" s="10"/>
      <c r="F11240" s="69"/>
      <c r="G11240" s="68"/>
      <c r="H11240" s="70"/>
      <c r="BA11240" s="4"/>
      <c r="BB11240" s="4"/>
    </row>
    <row r="11241" spans="1:54" x14ac:dyDescent="0.3">
      <c r="A11241" s="66"/>
      <c r="B11241" s="67"/>
      <c r="C11241" s="66"/>
      <c r="D11241" s="68"/>
      <c r="E11241" s="10"/>
      <c r="F11241" s="69"/>
      <c r="G11241" s="68"/>
      <c r="H11241" s="70"/>
      <c r="BA11241" s="4"/>
      <c r="BB11241" s="4"/>
    </row>
    <row r="11242" spans="1:54" x14ac:dyDescent="0.3">
      <c r="A11242" s="66"/>
      <c r="B11242" s="67"/>
      <c r="C11242" s="66"/>
      <c r="D11242" s="68"/>
      <c r="E11242" s="10"/>
      <c r="F11242" s="69"/>
      <c r="G11242" s="68"/>
      <c r="H11242" s="70"/>
      <c r="BA11242" s="4"/>
      <c r="BB11242" s="4"/>
    </row>
    <row r="11243" spans="1:54" x14ac:dyDescent="0.3">
      <c r="A11243" s="66"/>
      <c r="B11243" s="67"/>
      <c r="C11243" s="66"/>
      <c r="D11243" s="68"/>
      <c r="E11243" s="10"/>
      <c r="F11243" s="69"/>
      <c r="G11243" s="68"/>
      <c r="H11243" s="70"/>
      <c r="BA11243" s="4"/>
      <c r="BB11243" s="4"/>
    </row>
    <row r="11244" spans="1:54" x14ac:dyDescent="0.3">
      <c r="A11244" s="66"/>
      <c r="B11244" s="67"/>
      <c r="C11244" s="66"/>
      <c r="D11244" s="68"/>
      <c r="E11244" s="10"/>
      <c r="F11244" s="69"/>
      <c r="G11244" s="68"/>
      <c r="H11244" s="70"/>
      <c r="BA11244" s="4"/>
      <c r="BB11244" s="4"/>
    </row>
    <row r="11245" spans="1:54" x14ac:dyDescent="0.3">
      <c r="A11245" s="66"/>
      <c r="B11245" s="67"/>
      <c r="C11245" s="66"/>
      <c r="D11245" s="68"/>
      <c r="E11245" s="10"/>
      <c r="F11245" s="69"/>
      <c r="G11245" s="68"/>
      <c r="H11245" s="70"/>
      <c r="BA11245" s="4"/>
      <c r="BB11245" s="4"/>
    </row>
    <row r="11246" spans="1:54" x14ac:dyDescent="0.3">
      <c r="A11246" s="66"/>
      <c r="B11246" s="67"/>
      <c r="C11246" s="66"/>
      <c r="D11246" s="68"/>
      <c r="E11246" s="10"/>
      <c r="F11246" s="69"/>
      <c r="G11246" s="68"/>
      <c r="H11246" s="70"/>
      <c r="BA11246" s="4"/>
      <c r="BB11246" s="4"/>
    </row>
    <row r="11247" spans="1:54" x14ac:dyDescent="0.3">
      <c r="A11247" s="66"/>
      <c r="B11247" s="67"/>
      <c r="C11247" s="66"/>
      <c r="D11247" s="68"/>
      <c r="E11247" s="10"/>
      <c r="F11247" s="69"/>
      <c r="G11247" s="68"/>
      <c r="H11247" s="70"/>
      <c r="BA11247" s="4"/>
      <c r="BB11247" s="4"/>
    </row>
    <row r="11248" spans="1:54" x14ac:dyDescent="0.3">
      <c r="A11248" s="66"/>
      <c r="B11248" s="67"/>
      <c r="C11248" s="66"/>
      <c r="D11248" s="68"/>
      <c r="E11248" s="10"/>
      <c r="F11248" s="69"/>
      <c r="G11248" s="68"/>
      <c r="H11248" s="70"/>
      <c r="BA11248" s="4"/>
      <c r="BB11248" s="4"/>
    </row>
    <row r="11249" spans="1:54" x14ac:dyDescent="0.3">
      <c r="A11249" s="66"/>
      <c r="B11249" s="67"/>
      <c r="C11249" s="66"/>
      <c r="D11249" s="68"/>
      <c r="E11249" s="10"/>
      <c r="F11249" s="69"/>
      <c r="G11249" s="68"/>
      <c r="H11249" s="70"/>
      <c r="BA11249" s="4"/>
      <c r="BB11249" s="4"/>
    </row>
    <row r="11250" spans="1:54" x14ac:dyDescent="0.3">
      <c r="A11250" s="66"/>
      <c r="B11250" s="67"/>
      <c r="C11250" s="66"/>
      <c r="D11250" s="68"/>
      <c r="E11250" s="10"/>
      <c r="F11250" s="69"/>
      <c r="G11250" s="68"/>
      <c r="H11250" s="70"/>
      <c r="BA11250" s="4"/>
      <c r="BB11250" s="4"/>
    </row>
    <row r="11251" spans="1:54" x14ac:dyDescent="0.3">
      <c r="A11251" s="66"/>
      <c r="B11251" s="67"/>
      <c r="C11251" s="66"/>
      <c r="D11251" s="68"/>
      <c r="E11251" s="10"/>
      <c r="F11251" s="69"/>
      <c r="G11251" s="68"/>
      <c r="H11251" s="70"/>
      <c r="BA11251" s="4"/>
      <c r="BB11251" s="4"/>
    </row>
    <row r="11252" spans="1:54" x14ac:dyDescent="0.3">
      <c r="A11252" s="66"/>
      <c r="B11252" s="67"/>
      <c r="C11252" s="66"/>
      <c r="D11252" s="68"/>
      <c r="E11252" s="10"/>
      <c r="F11252" s="69"/>
      <c r="G11252" s="68"/>
      <c r="H11252" s="70"/>
      <c r="BA11252" s="4"/>
      <c r="BB11252" s="4"/>
    </row>
    <row r="11253" spans="1:54" x14ac:dyDescent="0.3">
      <c r="A11253" s="66"/>
      <c r="B11253" s="67"/>
      <c r="C11253" s="66"/>
      <c r="D11253" s="68"/>
      <c r="E11253" s="10"/>
      <c r="F11253" s="69"/>
      <c r="G11253" s="68"/>
      <c r="H11253" s="70"/>
      <c r="BA11253" s="4"/>
      <c r="BB11253" s="4"/>
    </row>
    <row r="11254" spans="1:54" x14ac:dyDescent="0.3">
      <c r="A11254" s="66"/>
      <c r="B11254" s="67"/>
      <c r="C11254" s="66"/>
      <c r="D11254" s="68"/>
      <c r="E11254" s="10"/>
      <c r="F11254" s="69"/>
      <c r="G11254" s="68"/>
      <c r="H11254" s="70"/>
      <c r="BA11254" s="4"/>
      <c r="BB11254" s="4"/>
    </row>
    <row r="11255" spans="1:54" x14ac:dyDescent="0.3">
      <c r="A11255" s="66"/>
      <c r="B11255" s="67"/>
      <c r="C11255" s="66"/>
      <c r="D11255" s="68"/>
      <c r="E11255" s="10"/>
      <c r="F11255" s="69"/>
      <c r="G11255" s="68"/>
      <c r="H11255" s="70"/>
      <c r="BA11255" s="4"/>
      <c r="BB11255" s="4"/>
    </row>
    <row r="11256" spans="1:54" x14ac:dyDescent="0.3">
      <c r="A11256" s="66"/>
      <c r="B11256" s="67"/>
      <c r="C11256" s="66"/>
      <c r="D11256" s="68"/>
      <c r="E11256" s="10"/>
      <c r="F11256" s="69"/>
      <c r="G11256" s="68"/>
      <c r="H11256" s="70"/>
      <c r="BA11256" s="4"/>
      <c r="BB11256" s="4"/>
    </row>
    <row r="11257" spans="1:54" x14ac:dyDescent="0.3">
      <c r="A11257" s="66"/>
      <c r="B11257" s="67"/>
      <c r="C11257" s="66"/>
      <c r="D11257" s="68"/>
      <c r="E11257" s="10"/>
      <c r="F11257" s="69"/>
      <c r="G11257" s="68"/>
      <c r="H11257" s="70"/>
      <c r="BA11257" s="4"/>
      <c r="BB11257" s="4"/>
    </row>
    <row r="11258" spans="1:54" x14ac:dyDescent="0.3">
      <c r="A11258" s="66"/>
      <c r="B11258" s="67"/>
      <c r="C11258" s="66"/>
      <c r="D11258" s="68"/>
      <c r="E11258" s="10"/>
      <c r="F11258" s="69"/>
      <c r="G11258" s="68"/>
      <c r="H11258" s="70"/>
      <c r="BA11258" s="4"/>
      <c r="BB11258" s="4"/>
    </row>
    <row r="11259" spans="1:54" x14ac:dyDescent="0.3">
      <c r="A11259" s="66"/>
      <c r="B11259" s="67"/>
      <c r="C11259" s="66"/>
      <c r="D11259" s="68"/>
      <c r="E11259" s="10"/>
      <c r="F11259" s="69"/>
      <c r="G11259" s="68"/>
      <c r="H11259" s="70"/>
      <c r="BA11259" s="4"/>
      <c r="BB11259" s="4"/>
    </row>
    <row r="11260" spans="1:54" x14ac:dyDescent="0.3">
      <c r="A11260" s="66"/>
      <c r="B11260" s="67"/>
      <c r="C11260" s="66"/>
      <c r="D11260" s="68"/>
      <c r="E11260" s="10"/>
      <c r="F11260" s="69"/>
      <c r="G11260" s="68"/>
      <c r="H11260" s="70"/>
      <c r="BA11260" s="4"/>
      <c r="BB11260" s="4"/>
    </row>
    <row r="11261" spans="1:54" x14ac:dyDescent="0.3">
      <c r="A11261" s="66"/>
      <c r="B11261" s="67"/>
      <c r="C11261" s="66"/>
      <c r="D11261" s="68"/>
      <c r="E11261" s="10"/>
      <c r="F11261" s="69"/>
      <c r="G11261" s="68"/>
      <c r="H11261" s="70"/>
      <c r="BA11261" s="4"/>
      <c r="BB11261" s="4"/>
    </row>
    <row r="11262" spans="1:54" x14ac:dyDescent="0.3">
      <c r="A11262" s="66"/>
      <c r="B11262" s="67"/>
      <c r="C11262" s="66"/>
      <c r="D11262" s="68"/>
      <c r="E11262" s="10"/>
      <c r="F11262" s="69"/>
      <c r="G11262" s="68"/>
      <c r="H11262" s="70"/>
      <c r="BA11262" s="4"/>
      <c r="BB11262" s="4"/>
    </row>
    <row r="11263" spans="1:54" x14ac:dyDescent="0.3">
      <c r="A11263" s="66"/>
      <c r="B11263" s="67"/>
      <c r="C11263" s="66"/>
      <c r="D11263" s="68"/>
      <c r="E11263" s="10"/>
      <c r="F11263" s="69"/>
      <c r="G11263" s="68"/>
      <c r="H11263" s="70"/>
      <c r="BA11263" s="4"/>
      <c r="BB11263" s="4"/>
    </row>
    <row r="11264" spans="1:54" x14ac:dyDescent="0.3">
      <c r="A11264" s="66"/>
      <c r="B11264" s="67"/>
      <c r="C11264" s="66"/>
      <c r="D11264" s="68"/>
      <c r="E11264" s="10"/>
      <c r="F11264" s="69"/>
      <c r="G11264" s="68"/>
      <c r="H11264" s="70"/>
      <c r="BA11264" s="4"/>
      <c r="BB11264" s="4"/>
    </row>
    <row r="11265" spans="1:54" x14ac:dyDescent="0.3">
      <c r="A11265" s="66"/>
      <c r="B11265" s="67"/>
      <c r="C11265" s="66"/>
      <c r="D11265" s="68"/>
      <c r="E11265" s="10"/>
      <c r="F11265" s="69"/>
      <c r="G11265" s="68"/>
      <c r="H11265" s="70"/>
      <c r="BA11265" s="4"/>
      <c r="BB11265" s="4"/>
    </row>
    <row r="11266" spans="1:54" x14ac:dyDescent="0.3">
      <c r="A11266" s="66"/>
      <c r="B11266" s="67"/>
      <c r="C11266" s="66"/>
      <c r="D11266" s="68"/>
      <c r="E11266" s="10"/>
      <c r="F11266" s="69"/>
      <c r="G11266" s="68"/>
      <c r="H11266" s="70"/>
      <c r="BA11266" s="4"/>
      <c r="BB11266" s="4"/>
    </row>
    <row r="11267" spans="1:54" x14ac:dyDescent="0.3">
      <c r="A11267" s="66"/>
      <c r="B11267" s="67"/>
      <c r="C11267" s="66"/>
      <c r="D11267" s="68"/>
      <c r="E11267" s="10"/>
      <c r="F11267" s="69"/>
      <c r="G11267" s="68"/>
      <c r="H11267" s="70"/>
      <c r="BA11267" s="4"/>
      <c r="BB11267" s="4"/>
    </row>
    <row r="11268" spans="1:54" x14ac:dyDescent="0.3">
      <c r="A11268" s="66"/>
      <c r="B11268" s="67"/>
      <c r="C11268" s="66"/>
      <c r="D11268" s="68"/>
      <c r="E11268" s="10"/>
      <c r="F11268" s="69"/>
      <c r="G11268" s="68"/>
      <c r="H11268" s="70"/>
      <c r="BA11268" s="4"/>
      <c r="BB11268" s="4"/>
    </row>
    <row r="11269" spans="1:54" x14ac:dyDescent="0.3">
      <c r="A11269" s="66"/>
      <c r="B11269" s="67"/>
      <c r="C11269" s="66"/>
      <c r="D11269" s="68"/>
      <c r="E11269" s="10"/>
      <c r="F11269" s="69"/>
      <c r="G11269" s="68"/>
      <c r="H11269" s="70"/>
      <c r="BA11269" s="4"/>
      <c r="BB11269" s="4"/>
    </row>
    <row r="11270" spans="1:54" x14ac:dyDescent="0.3">
      <c r="A11270" s="66"/>
      <c r="B11270" s="67"/>
      <c r="C11270" s="66"/>
      <c r="D11270" s="68"/>
      <c r="E11270" s="10"/>
      <c r="F11270" s="69"/>
      <c r="G11270" s="68"/>
      <c r="H11270" s="70"/>
      <c r="BA11270" s="4"/>
      <c r="BB11270" s="4"/>
    </row>
    <row r="11271" spans="1:54" x14ac:dyDescent="0.3">
      <c r="A11271" s="66"/>
      <c r="B11271" s="67"/>
      <c r="C11271" s="66"/>
      <c r="D11271" s="68"/>
      <c r="E11271" s="10"/>
      <c r="F11271" s="69"/>
      <c r="G11271" s="68"/>
      <c r="H11271" s="70"/>
      <c r="BA11271" s="4"/>
      <c r="BB11271" s="4"/>
    </row>
    <row r="11272" spans="1:54" x14ac:dyDescent="0.3">
      <c r="A11272" s="66"/>
      <c r="B11272" s="67"/>
      <c r="C11272" s="66"/>
      <c r="D11272" s="68"/>
      <c r="E11272" s="10"/>
      <c r="F11272" s="69"/>
      <c r="G11272" s="68"/>
      <c r="H11272" s="70"/>
      <c r="BA11272" s="4"/>
      <c r="BB11272" s="4"/>
    </row>
    <row r="11273" spans="1:54" x14ac:dyDescent="0.3">
      <c r="A11273" s="66"/>
      <c r="B11273" s="67"/>
      <c r="C11273" s="66"/>
      <c r="D11273" s="68"/>
      <c r="E11273" s="10"/>
      <c r="F11273" s="69"/>
      <c r="G11273" s="68"/>
      <c r="H11273" s="70"/>
      <c r="BA11273" s="4"/>
      <c r="BB11273" s="4"/>
    </row>
    <row r="11274" spans="1:54" x14ac:dyDescent="0.3">
      <c r="A11274" s="66"/>
      <c r="B11274" s="67"/>
      <c r="C11274" s="66"/>
      <c r="D11274" s="68"/>
      <c r="E11274" s="10"/>
      <c r="F11274" s="69"/>
      <c r="G11274" s="68"/>
      <c r="H11274" s="70"/>
      <c r="BA11274" s="4"/>
      <c r="BB11274" s="4"/>
    </row>
    <row r="11275" spans="1:54" x14ac:dyDescent="0.3">
      <c r="A11275" s="66"/>
      <c r="B11275" s="67"/>
      <c r="C11275" s="66"/>
      <c r="D11275" s="68"/>
      <c r="E11275" s="10"/>
      <c r="F11275" s="69"/>
      <c r="G11275" s="68"/>
      <c r="H11275" s="70"/>
      <c r="BA11275" s="4"/>
      <c r="BB11275" s="4"/>
    </row>
    <row r="11276" spans="1:54" x14ac:dyDescent="0.3">
      <c r="A11276" s="66"/>
      <c r="B11276" s="67"/>
      <c r="C11276" s="66"/>
      <c r="D11276" s="68"/>
      <c r="E11276" s="10"/>
      <c r="F11276" s="69"/>
      <c r="G11276" s="68"/>
      <c r="H11276" s="70"/>
      <c r="BA11276" s="4"/>
      <c r="BB11276" s="4"/>
    </row>
    <row r="11277" spans="1:54" x14ac:dyDescent="0.3">
      <c r="A11277" s="66"/>
      <c r="B11277" s="67"/>
      <c r="C11277" s="66"/>
      <c r="D11277" s="68"/>
      <c r="E11277" s="10"/>
      <c r="F11277" s="69"/>
      <c r="G11277" s="68"/>
      <c r="H11277" s="70"/>
      <c r="BA11277" s="4"/>
      <c r="BB11277" s="4"/>
    </row>
    <row r="11278" spans="1:54" x14ac:dyDescent="0.3">
      <c r="A11278" s="66"/>
      <c r="B11278" s="67"/>
      <c r="C11278" s="66"/>
      <c r="D11278" s="68"/>
      <c r="E11278" s="10"/>
      <c r="F11278" s="69"/>
      <c r="G11278" s="68"/>
      <c r="H11278" s="70"/>
      <c r="BA11278" s="4"/>
      <c r="BB11278" s="4"/>
    </row>
    <row r="11279" spans="1:54" x14ac:dyDescent="0.3">
      <c r="A11279" s="66"/>
      <c r="B11279" s="67"/>
      <c r="C11279" s="66"/>
      <c r="D11279" s="68"/>
      <c r="E11279" s="10"/>
      <c r="F11279" s="69"/>
      <c r="G11279" s="68"/>
      <c r="H11279" s="70"/>
      <c r="BA11279" s="4"/>
      <c r="BB11279" s="4"/>
    </row>
    <row r="11280" spans="1:54" x14ac:dyDescent="0.3">
      <c r="A11280" s="66"/>
      <c r="B11280" s="67"/>
      <c r="C11280" s="66"/>
      <c r="D11280" s="68"/>
      <c r="E11280" s="10"/>
      <c r="F11280" s="69"/>
      <c r="G11280" s="68"/>
      <c r="H11280" s="70"/>
      <c r="BA11280" s="4"/>
      <c r="BB11280" s="4"/>
    </row>
    <row r="11281" spans="1:54" x14ac:dyDescent="0.3">
      <c r="A11281" s="66"/>
      <c r="B11281" s="67"/>
      <c r="C11281" s="66"/>
      <c r="D11281" s="68"/>
      <c r="E11281" s="10"/>
      <c r="F11281" s="69"/>
      <c r="G11281" s="68"/>
      <c r="H11281" s="70"/>
      <c r="BA11281" s="4"/>
      <c r="BB11281" s="4"/>
    </row>
    <row r="11282" spans="1:54" x14ac:dyDescent="0.3">
      <c r="A11282" s="66"/>
      <c r="B11282" s="67"/>
      <c r="C11282" s="66"/>
      <c r="D11282" s="68"/>
      <c r="E11282" s="10"/>
      <c r="F11282" s="69"/>
      <c r="G11282" s="68"/>
      <c r="H11282" s="70"/>
      <c r="BA11282" s="4"/>
      <c r="BB11282" s="4"/>
    </row>
    <row r="11283" spans="1:54" x14ac:dyDescent="0.3">
      <c r="A11283" s="66"/>
      <c r="B11283" s="67"/>
      <c r="C11283" s="66"/>
      <c r="D11283" s="68"/>
      <c r="E11283" s="10"/>
      <c r="F11283" s="69"/>
      <c r="G11283" s="68"/>
      <c r="H11283" s="70"/>
      <c r="BA11283" s="4"/>
      <c r="BB11283" s="4"/>
    </row>
    <row r="11284" spans="1:54" x14ac:dyDescent="0.3">
      <c r="A11284" s="66"/>
      <c r="B11284" s="67"/>
      <c r="C11284" s="66"/>
      <c r="D11284" s="68"/>
      <c r="E11284" s="10"/>
      <c r="F11284" s="69"/>
      <c r="G11284" s="68"/>
      <c r="H11284" s="70"/>
      <c r="BA11284" s="4"/>
      <c r="BB11284" s="4"/>
    </row>
    <row r="11285" spans="1:54" x14ac:dyDescent="0.3">
      <c r="A11285" s="66"/>
      <c r="B11285" s="67"/>
      <c r="C11285" s="66"/>
      <c r="D11285" s="68"/>
      <c r="E11285" s="10"/>
      <c r="F11285" s="69"/>
      <c r="G11285" s="68"/>
      <c r="H11285" s="70"/>
      <c r="BA11285" s="4"/>
      <c r="BB11285" s="4"/>
    </row>
    <row r="11286" spans="1:54" x14ac:dyDescent="0.3">
      <c r="A11286" s="66"/>
      <c r="B11286" s="67"/>
      <c r="C11286" s="66"/>
      <c r="D11286" s="68"/>
      <c r="E11286" s="10"/>
      <c r="F11286" s="69"/>
      <c r="G11286" s="68"/>
      <c r="H11286" s="70"/>
      <c r="BA11286" s="4"/>
      <c r="BB11286" s="4"/>
    </row>
    <row r="11287" spans="1:54" x14ac:dyDescent="0.3">
      <c r="A11287" s="66"/>
      <c r="B11287" s="67"/>
      <c r="C11287" s="66"/>
      <c r="D11287" s="68"/>
      <c r="E11287" s="10"/>
      <c r="F11287" s="69"/>
      <c r="G11287" s="68"/>
      <c r="H11287" s="70"/>
      <c r="BA11287" s="4"/>
      <c r="BB11287" s="4"/>
    </row>
    <row r="11288" spans="1:54" x14ac:dyDescent="0.3">
      <c r="A11288" s="66"/>
      <c r="B11288" s="67"/>
      <c r="C11288" s="66"/>
      <c r="D11288" s="68"/>
      <c r="E11288" s="10"/>
      <c r="F11288" s="69"/>
      <c r="G11288" s="68"/>
      <c r="H11288" s="70"/>
      <c r="BA11288" s="4"/>
      <c r="BB11288" s="4"/>
    </row>
    <row r="11289" spans="1:54" x14ac:dyDescent="0.3">
      <c r="A11289" s="66"/>
      <c r="B11289" s="67"/>
      <c r="C11289" s="66"/>
      <c r="D11289" s="68"/>
      <c r="E11289" s="10"/>
      <c r="F11289" s="69"/>
      <c r="G11289" s="68"/>
      <c r="H11289" s="70"/>
      <c r="BA11289" s="4"/>
      <c r="BB11289" s="4"/>
    </row>
    <row r="11290" spans="1:54" x14ac:dyDescent="0.3">
      <c r="A11290" s="66"/>
      <c r="B11290" s="67"/>
      <c r="C11290" s="66"/>
      <c r="D11290" s="68"/>
      <c r="E11290" s="10"/>
      <c r="F11290" s="69"/>
      <c r="G11290" s="68"/>
      <c r="H11290" s="70"/>
      <c r="BA11290" s="4"/>
      <c r="BB11290" s="4"/>
    </row>
    <row r="11291" spans="1:54" x14ac:dyDescent="0.3">
      <c r="A11291" s="66"/>
      <c r="B11291" s="67"/>
      <c r="C11291" s="66"/>
      <c r="D11291" s="68"/>
      <c r="E11291" s="10"/>
      <c r="F11291" s="69"/>
      <c r="G11291" s="68"/>
      <c r="H11291" s="70"/>
      <c r="BA11291" s="4"/>
      <c r="BB11291" s="4"/>
    </row>
    <row r="11292" spans="1:54" x14ac:dyDescent="0.3">
      <c r="A11292" s="66"/>
      <c r="B11292" s="67"/>
      <c r="C11292" s="66"/>
      <c r="D11292" s="68"/>
      <c r="E11292" s="10"/>
      <c r="F11292" s="69"/>
      <c r="G11292" s="68"/>
      <c r="H11292" s="70"/>
      <c r="BA11292" s="4"/>
      <c r="BB11292" s="4"/>
    </row>
    <row r="11293" spans="1:54" x14ac:dyDescent="0.3">
      <c r="A11293" s="66"/>
      <c r="B11293" s="67"/>
      <c r="C11293" s="66"/>
      <c r="D11293" s="68"/>
      <c r="E11293" s="10"/>
      <c r="F11293" s="69"/>
      <c r="G11293" s="68"/>
      <c r="H11293" s="70"/>
      <c r="BA11293" s="4"/>
      <c r="BB11293" s="4"/>
    </row>
    <row r="11294" spans="1:54" x14ac:dyDescent="0.3">
      <c r="A11294" s="66"/>
      <c r="B11294" s="67"/>
      <c r="C11294" s="66"/>
      <c r="D11294" s="68"/>
      <c r="E11294" s="10"/>
      <c r="F11294" s="69"/>
      <c r="G11294" s="68"/>
      <c r="H11294" s="70"/>
      <c r="BA11294" s="4"/>
      <c r="BB11294" s="4"/>
    </row>
    <row r="11295" spans="1:54" x14ac:dyDescent="0.3">
      <c r="A11295" s="66"/>
      <c r="B11295" s="67"/>
      <c r="C11295" s="66"/>
      <c r="D11295" s="68"/>
      <c r="E11295" s="10"/>
      <c r="F11295" s="69"/>
      <c r="G11295" s="68"/>
      <c r="H11295" s="70"/>
      <c r="BA11295" s="4"/>
      <c r="BB11295" s="4"/>
    </row>
    <row r="11296" spans="1:54" x14ac:dyDescent="0.3">
      <c r="A11296" s="66"/>
      <c r="B11296" s="67"/>
      <c r="C11296" s="66"/>
      <c r="D11296" s="68"/>
      <c r="E11296" s="10"/>
      <c r="F11296" s="69"/>
      <c r="G11296" s="68"/>
      <c r="H11296" s="70"/>
      <c r="BA11296" s="4"/>
      <c r="BB11296" s="4"/>
    </row>
    <row r="11297" spans="1:54" x14ac:dyDescent="0.3">
      <c r="A11297" s="66"/>
      <c r="B11297" s="67"/>
      <c r="C11297" s="66"/>
      <c r="D11297" s="68"/>
      <c r="E11297" s="10"/>
      <c r="F11297" s="69"/>
      <c r="G11297" s="68"/>
      <c r="H11297" s="70"/>
      <c r="BA11297" s="4"/>
      <c r="BB11297" s="4"/>
    </row>
    <row r="11298" spans="1:54" x14ac:dyDescent="0.3">
      <c r="A11298" s="66"/>
      <c r="B11298" s="67"/>
      <c r="C11298" s="66"/>
      <c r="D11298" s="68"/>
      <c r="E11298" s="10"/>
      <c r="F11298" s="69"/>
      <c r="G11298" s="68"/>
      <c r="H11298" s="70"/>
      <c r="BA11298" s="4"/>
      <c r="BB11298" s="4"/>
    </row>
    <row r="11299" spans="1:54" x14ac:dyDescent="0.3">
      <c r="A11299" s="66"/>
      <c r="B11299" s="67"/>
      <c r="C11299" s="66"/>
      <c r="D11299" s="68"/>
      <c r="E11299" s="10"/>
      <c r="F11299" s="69"/>
      <c r="G11299" s="68"/>
      <c r="H11299" s="70"/>
      <c r="BA11299" s="4"/>
      <c r="BB11299" s="4"/>
    </row>
    <row r="11300" spans="1:54" x14ac:dyDescent="0.3">
      <c r="A11300" s="66"/>
      <c r="B11300" s="67"/>
      <c r="C11300" s="66"/>
      <c r="D11300" s="68"/>
      <c r="E11300" s="10"/>
      <c r="F11300" s="69"/>
      <c r="G11300" s="68"/>
      <c r="H11300" s="70"/>
      <c r="BA11300" s="4"/>
      <c r="BB11300" s="4"/>
    </row>
    <row r="11301" spans="1:54" x14ac:dyDescent="0.3">
      <c r="A11301" s="66"/>
      <c r="B11301" s="67"/>
      <c r="C11301" s="66"/>
      <c r="D11301" s="68"/>
      <c r="E11301" s="10"/>
      <c r="F11301" s="69"/>
      <c r="G11301" s="68"/>
      <c r="H11301" s="70"/>
      <c r="BA11301" s="4"/>
      <c r="BB11301" s="4"/>
    </row>
    <row r="11302" spans="1:54" x14ac:dyDescent="0.3">
      <c r="A11302" s="66"/>
      <c r="B11302" s="67"/>
      <c r="C11302" s="66"/>
      <c r="D11302" s="68"/>
      <c r="E11302" s="10"/>
      <c r="F11302" s="69"/>
      <c r="G11302" s="68"/>
      <c r="H11302" s="70"/>
      <c r="BA11302" s="4"/>
      <c r="BB11302" s="4"/>
    </row>
    <row r="11303" spans="1:54" x14ac:dyDescent="0.3">
      <c r="A11303" s="66"/>
      <c r="B11303" s="67"/>
      <c r="C11303" s="66"/>
      <c r="D11303" s="68"/>
      <c r="E11303" s="10"/>
      <c r="F11303" s="69"/>
      <c r="G11303" s="68"/>
      <c r="H11303" s="70"/>
      <c r="BA11303" s="4"/>
      <c r="BB11303" s="4"/>
    </row>
    <row r="11304" spans="1:54" x14ac:dyDescent="0.3">
      <c r="A11304" s="66"/>
      <c r="B11304" s="67"/>
      <c r="C11304" s="66"/>
      <c r="D11304" s="68"/>
      <c r="E11304" s="10"/>
      <c r="F11304" s="69"/>
      <c r="G11304" s="68"/>
      <c r="H11304" s="70"/>
      <c r="BA11304" s="4"/>
      <c r="BB11304" s="4"/>
    </row>
    <row r="11305" spans="1:54" x14ac:dyDescent="0.3">
      <c r="A11305" s="66"/>
      <c r="B11305" s="67"/>
      <c r="C11305" s="66"/>
      <c r="D11305" s="68"/>
      <c r="E11305" s="10"/>
      <c r="F11305" s="69"/>
      <c r="G11305" s="68"/>
      <c r="H11305" s="70"/>
      <c r="BA11305" s="4"/>
      <c r="BB11305" s="4"/>
    </row>
    <row r="11306" spans="1:54" x14ac:dyDescent="0.3">
      <c r="A11306" s="66"/>
      <c r="B11306" s="67"/>
      <c r="C11306" s="66"/>
      <c r="D11306" s="68"/>
      <c r="E11306" s="10"/>
      <c r="F11306" s="69"/>
      <c r="G11306" s="68"/>
      <c r="H11306" s="70"/>
      <c r="BA11306" s="4"/>
      <c r="BB11306" s="4"/>
    </row>
    <row r="11307" spans="1:54" x14ac:dyDescent="0.3">
      <c r="A11307" s="66"/>
      <c r="B11307" s="67"/>
      <c r="C11307" s="66"/>
      <c r="D11307" s="68"/>
      <c r="E11307" s="10"/>
      <c r="F11307" s="69"/>
      <c r="G11307" s="68"/>
      <c r="H11307" s="70"/>
      <c r="BA11307" s="4"/>
      <c r="BB11307" s="4"/>
    </row>
    <row r="11308" spans="1:54" x14ac:dyDescent="0.3">
      <c r="A11308" s="66"/>
      <c r="B11308" s="67"/>
      <c r="C11308" s="66"/>
      <c r="D11308" s="68"/>
      <c r="E11308" s="10"/>
      <c r="F11308" s="69"/>
      <c r="G11308" s="68"/>
      <c r="H11308" s="70"/>
      <c r="BA11308" s="4"/>
      <c r="BB11308" s="4"/>
    </row>
    <row r="11309" spans="1:54" x14ac:dyDescent="0.3">
      <c r="A11309" s="66"/>
      <c r="B11309" s="67"/>
      <c r="C11309" s="66"/>
      <c r="D11309" s="68"/>
      <c r="E11309" s="10"/>
      <c r="F11309" s="69"/>
      <c r="G11309" s="68"/>
      <c r="H11309" s="70"/>
      <c r="BA11309" s="4"/>
      <c r="BB11309" s="4"/>
    </row>
    <row r="11310" spans="1:54" x14ac:dyDescent="0.3">
      <c r="A11310" s="66"/>
      <c r="B11310" s="67"/>
      <c r="C11310" s="66"/>
      <c r="D11310" s="68"/>
      <c r="E11310" s="10"/>
      <c r="F11310" s="69"/>
      <c r="G11310" s="68"/>
      <c r="H11310" s="70"/>
      <c r="BA11310" s="4"/>
      <c r="BB11310" s="4"/>
    </row>
    <row r="11311" spans="1:54" x14ac:dyDescent="0.3">
      <c r="A11311" s="66"/>
      <c r="B11311" s="67"/>
      <c r="C11311" s="66"/>
      <c r="D11311" s="68"/>
      <c r="E11311" s="10"/>
      <c r="F11311" s="69"/>
      <c r="G11311" s="68"/>
      <c r="H11311" s="70"/>
      <c r="BA11311" s="4"/>
      <c r="BB11311" s="4"/>
    </row>
    <row r="11312" spans="1:54" x14ac:dyDescent="0.3">
      <c r="A11312" s="66"/>
      <c r="B11312" s="67"/>
      <c r="C11312" s="66"/>
      <c r="D11312" s="68"/>
      <c r="E11312" s="10"/>
      <c r="F11312" s="69"/>
      <c r="G11312" s="68"/>
      <c r="H11312" s="70"/>
      <c r="BA11312" s="4"/>
      <c r="BB11312" s="4"/>
    </row>
    <row r="11313" spans="1:54" x14ac:dyDescent="0.3">
      <c r="A11313" s="66"/>
      <c r="B11313" s="67"/>
      <c r="C11313" s="66"/>
      <c r="D11313" s="68"/>
      <c r="E11313" s="10"/>
      <c r="F11313" s="69"/>
      <c r="G11313" s="68"/>
      <c r="H11313" s="70"/>
      <c r="BA11313" s="4"/>
      <c r="BB11313" s="4"/>
    </row>
    <row r="11314" spans="1:54" x14ac:dyDescent="0.3">
      <c r="A11314" s="66"/>
      <c r="B11314" s="67"/>
      <c r="C11314" s="66"/>
      <c r="D11314" s="68"/>
      <c r="E11314" s="10"/>
      <c r="F11314" s="69"/>
      <c r="G11314" s="68"/>
      <c r="H11314" s="70"/>
      <c r="BA11314" s="4"/>
      <c r="BB11314" s="4"/>
    </row>
    <row r="11315" spans="1:54" x14ac:dyDescent="0.3">
      <c r="A11315" s="66"/>
      <c r="B11315" s="67"/>
      <c r="C11315" s="66"/>
      <c r="D11315" s="68"/>
      <c r="E11315" s="10"/>
      <c r="F11315" s="69"/>
      <c r="G11315" s="68"/>
      <c r="H11315" s="70"/>
      <c r="BA11315" s="4"/>
      <c r="BB11315" s="4"/>
    </row>
    <row r="11316" spans="1:54" x14ac:dyDescent="0.3">
      <c r="A11316" s="66"/>
      <c r="B11316" s="67"/>
      <c r="C11316" s="66"/>
      <c r="D11316" s="68"/>
      <c r="E11316" s="10"/>
      <c r="F11316" s="69"/>
      <c r="G11316" s="68"/>
      <c r="H11316" s="70"/>
      <c r="BA11316" s="4"/>
      <c r="BB11316" s="4"/>
    </row>
    <row r="11317" spans="1:54" x14ac:dyDescent="0.3">
      <c r="A11317" s="66"/>
      <c r="B11317" s="67"/>
      <c r="C11317" s="66"/>
      <c r="D11317" s="68"/>
      <c r="E11317" s="10"/>
      <c r="F11317" s="69"/>
      <c r="G11317" s="68"/>
      <c r="H11317" s="70"/>
      <c r="BA11317" s="4"/>
      <c r="BB11317" s="4"/>
    </row>
    <row r="11318" spans="1:54" x14ac:dyDescent="0.3">
      <c r="A11318" s="66"/>
      <c r="B11318" s="67"/>
      <c r="C11318" s="66"/>
      <c r="D11318" s="68"/>
      <c r="E11318" s="10"/>
      <c r="F11318" s="69"/>
      <c r="G11318" s="68"/>
      <c r="H11318" s="70"/>
      <c r="BA11318" s="4"/>
      <c r="BB11318" s="4"/>
    </row>
    <row r="11319" spans="1:54" x14ac:dyDescent="0.3">
      <c r="A11319" s="66"/>
      <c r="B11319" s="67"/>
      <c r="C11319" s="66"/>
      <c r="D11319" s="68"/>
      <c r="E11319" s="10"/>
      <c r="F11319" s="69"/>
      <c r="G11319" s="68"/>
      <c r="H11319" s="70"/>
      <c r="BA11319" s="4"/>
      <c r="BB11319" s="4"/>
    </row>
    <row r="11320" spans="1:54" x14ac:dyDescent="0.3">
      <c r="A11320" s="66"/>
      <c r="B11320" s="67"/>
      <c r="C11320" s="66"/>
      <c r="D11320" s="68"/>
      <c r="E11320" s="10"/>
      <c r="F11320" s="69"/>
      <c r="G11320" s="68"/>
      <c r="H11320" s="70"/>
      <c r="BA11320" s="4"/>
      <c r="BB11320" s="4"/>
    </row>
    <row r="11321" spans="1:54" x14ac:dyDescent="0.3">
      <c r="A11321" s="66"/>
      <c r="B11321" s="67"/>
      <c r="C11321" s="66"/>
      <c r="D11321" s="68"/>
      <c r="E11321" s="10"/>
      <c r="F11321" s="69"/>
      <c r="G11321" s="68"/>
      <c r="H11321" s="70"/>
      <c r="BA11321" s="4"/>
      <c r="BB11321" s="4"/>
    </row>
    <row r="11322" spans="1:54" x14ac:dyDescent="0.3">
      <c r="A11322" s="66"/>
      <c r="B11322" s="67"/>
      <c r="C11322" s="66"/>
      <c r="D11322" s="68"/>
      <c r="E11322" s="10"/>
      <c r="F11322" s="69"/>
      <c r="G11322" s="68"/>
      <c r="H11322" s="70"/>
      <c r="BA11322" s="4"/>
      <c r="BB11322" s="4"/>
    </row>
    <row r="11323" spans="1:54" x14ac:dyDescent="0.3">
      <c r="A11323" s="66"/>
      <c r="B11323" s="67"/>
      <c r="C11323" s="66"/>
      <c r="D11323" s="68"/>
      <c r="E11323" s="10"/>
      <c r="F11323" s="69"/>
      <c r="G11323" s="68"/>
      <c r="H11323" s="70"/>
      <c r="BA11323" s="4"/>
      <c r="BB11323" s="4"/>
    </row>
    <row r="11324" spans="1:54" x14ac:dyDescent="0.3">
      <c r="A11324" s="66"/>
      <c r="B11324" s="67"/>
      <c r="C11324" s="66"/>
      <c r="D11324" s="68"/>
      <c r="E11324" s="10"/>
      <c r="F11324" s="69"/>
      <c r="G11324" s="68"/>
      <c r="H11324" s="70"/>
      <c r="BA11324" s="4"/>
      <c r="BB11324" s="4"/>
    </row>
    <row r="11325" spans="1:54" x14ac:dyDescent="0.3">
      <c r="A11325" s="66"/>
      <c r="B11325" s="67"/>
      <c r="C11325" s="66"/>
      <c r="D11325" s="68"/>
      <c r="E11325" s="10"/>
      <c r="F11325" s="69"/>
      <c r="G11325" s="68"/>
      <c r="H11325" s="70"/>
      <c r="BA11325" s="4"/>
      <c r="BB11325" s="4"/>
    </row>
    <row r="11326" spans="1:54" x14ac:dyDescent="0.3">
      <c r="A11326" s="66"/>
      <c r="B11326" s="67"/>
      <c r="C11326" s="66"/>
      <c r="D11326" s="68"/>
      <c r="E11326" s="10"/>
      <c r="F11326" s="69"/>
      <c r="G11326" s="68"/>
      <c r="H11326" s="70"/>
      <c r="BA11326" s="4"/>
      <c r="BB11326" s="4"/>
    </row>
    <row r="11327" spans="1:54" x14ac:dyDescent="0.3">
      <c r="A11327" s="66"/>
      <c r="B11327" s="67"/>
      <c r="C11327" s="66"/>
      <c r="D11327" s="68"/>
      <c r="E11327" s="10"/>
      <c r="F11327" s="69"/>
      <c r="G11327" s="68"/>
      <c r="H11327" s="70"/>
      <c r="BA11327" s="4"/>
      <c r="BB11327" s="4"/>
    </row>
    <row r="11328" spans="1:54" x14ac:dyDescent="0.3">
      <c r="A11328" s="66"/>
      <c r="B11328" s="67"/>
      <c r="C11328" s="66"/>
      <c r="D11328" s="68"/>
      <c r="E11328" s="10"/>
      <c r="F11328" s="69"/>
      <c r="G11328" s="68"/>
      <c r="H11328" s="70"/>
      <c r="BA11328" s="4"/>
      <c r="BB11328" s="4"/>
    </row>
    <row r="11329" spans="1:54" x14ac:dyDescent="0.3">
      <c r="A11329" s="66"/>
      <c r="B11329" s="67"/>
      <c r="C11329" s="66"/>
      <c r="D11329" s="68"/>
      <c r="E11329" s="10"/>
      <c r="F11329" s="69"/>
      <c r="G11329" s="68"/>
      <c r="H11329" s="70"/>
      <c r="BA11329" s="4"/>
      <c r="BB11329" s="4"/>
    </row>
    <row r="11330" spans="1:54" x14ac:dyDescent="0.3">
      <c r="A11330" s="66"/>
      <c r="B11330" s="67"/>
      <c r="C11330" s="66"/>
      <c r="D11330" s="68"/>
      <c r="E11330" s="10"/>
      <c r="F11330" s="69"/>
      <c r="G11330" s="68"/>
      <c r="H11330" s="70"/>
      <c r="BA11330" s="4"/>
      <c r="BB11330" s="4"/>
    </row>
    <row r="11331" spans="1:54" x14ac:dyDescent="0.3">
      <c r="A11331" s="66"/>
      <c r="B11331" s="67"/>
      <c r="C11331" s="66"/>
      <c r="D11331" s="68"/>
      <c r="E11331" s="10"/>
      <c r="F11331" s="69"/>
      <c r="G11331" s="68"/>
      <c r="H11331" s="70"/>
      <c r="BA11331" s="4"/>
      <c r="BB11331" s="4"/>
    </row>
    <row r="11332" spans="1:54" x14ac:dyDescent="0.3">
      <c r="A11332" s="66"/>
      <c r="B11332" s="67"/>
      <c r="C11332" s="66"/>
      <c r="D11332" s="68"/>
      <c r="E11332" s="10"/>
      <c r="F11332" s="69"/>
      <c r="G11332" s="68"/>
      <c r="H11332" s="70"/>
      <c r="BA11332" s="4"/>
      <c r="BB11332" s="4"/>
    </row>
    <row r="11333" spans="1:54" x14ac:dyDescent="0.3">
      <c r="A11333" s="66"/>
      <c r="B11333" s="67"/>
      <c r="C11333" s="66"/>
      <c r="D11333" s="68"/>
      <c r="E11333" s="10"/>
      <c r="F11333" s="69"/>
      <c r="G11333" s="68"/>
      <c r="H11333" s="70"/>
      <c r="BA11333" s="4"/>
      <c r="BB11333" s="4"/>
    </row>
    <row r="11334" spans="1:54" x14ac:dyDescent="0.3">
      <c r="A11334" s="66"/>
      <c r="B11334" s="67"/>
      <c r="C11334" s="66"/>
      <c r="D11334" s="68"/>
      <c r="E11334" s="10"/>
      <c r="F11334" s="69"/>
      <c r="G11334" s="68"/>
      <c r="H11334" s="70"/>
      <c r="BA11334" s="4"/>
      <c r="BB11334" s="4"/>
    </row>
    <row r="11335" spans="1:54" x14ac:dyDescent="0.3">
      <c r="A11335" s="66"/>
      <c r="B11335" s="67"/>
      <c r="C11335" s="66"/>
      <c r="D11335" s="68"/>
      <c r="E11335" s="10"/>
      <c r="F11335" s="69"/>
      <c r="G11335" s="68"/>
      <c r="H11335" s="70"/>
      <c r="BA11335" s="4"/>
      <c r="BB11335" s="4"/>
    </row>
    <row r="11336" spans="1:54" x14ac:dyDescent="0.3">
      <c r="A11336" s="66"/>
      <c r="B11336" s="67"/>
      <c r="C11336" s="66"/>
      <c r="D11336" s="68"/>
      <c r="E11336" s="10"/>
      <c r="F11336" s="69"/>
      <c r="G11336" s="68"/>
      <c r="H11336" s="70"/>
      <c r="BA11336" s="4"/>
      <c r="BB11336" s="4"/>
    </row>
    <row r="11337" spans="1:54" x14ac:dyDescent="0.3">
      <c r="A11337" s="66"/>
      <c r="B11337" s="67"/>
      <c r="C11337" s="66"/>
      <c r="D11337" s="68"/>
      <c r="E11337" s="10"/>
      <c r="F11337" s="69"/>
      <c r="G11337" s="68"/>
      <c r="H11337" s="70"/>
      <c r="BA11337" s="4"/>
      <c r="BB11337" s="4"/>
    </row>
    <row r="11338" spans="1:54" x14ac:dyDescent="0.3">
      <c r="A11338" s="66"/>
      <c r="B11338" s="67"/>
      <c r="C11338" s="66"/>
      <c r="D11338" s="68"/>
      <c r="E11338" s="10"/>
      <c r="F11338" s="69"/>
      <c r="G11338" s="68"/>
      <c r="H11338" s="70"/>
      <c r="BA11338" s="4"/>
      <c r="BB11338" s="4"/>
    </row>
    <row r="11339" spans="1:54" x14ac:dyDescent="0.3">
      <c r="A11339" s="66"/>
      <c r="B11339" s="67"/>
      <c r="C11339" s="66"/>
      <c r="D11339" s="68"/>
      <c r="E11339" s="10"/>
      <c r="F11339" s="69"/>
      <c r="G11339" s="68"/>
      <c r="H11339" s="70"/>
      <c r="BA11339" s="4"/>
      <c r="BB11339" s="4"/>
    </row>
    <row r="11340" spans="1:54" x14ac:dyDescent="0.3">
      <c r="A11340" s="66"/>
      <c r="B11340" s="67"/>
      <c r="C11340" s="66"/>
      <c r="D11340" s="68"/>
      <c r="E11340" s="10"/>
      <c r="F11340" s="69"/>
      <c r="G11340" s="68"/>
      <c r="H11340" s="70"/>
      <c r="BA11340" s="4"/>
      <c r="BB11340" s="4"/>
    </row>
    <row r="11341" spans="1:54" x14ac:dyDescent="0.3">
      <c r="A11341" s="66"/>
      <c r="B11341" s="67"/>
      <c r="C11341" s="66"/>
      <c r="D11341" s="68"/>
      <c r="E11341" s="10"/>
      <c r="F11341" s="69"/>
      <c r="G11341" s="68"/>
      <c r="H11341" s="70"/>
      <c r="BA11341" s="4"/>
      <c r="BB11341" s="4"/>
    </row>
    <row r="11342" spans="1:54" x14ac:dyDescent="0.3">
      <c r="A11342" s="66"/>
      <c r="B11342" s="67"/>
      <c r="C11342" s="66"/>
      <c r="D11342" s="68"/>
      <c r="E11342" s="10"/>
      <c r="F11342" s="69"/>
      <c r="G11342" s="68"/>
      <c r="H11342" s="70"/>
      <c r="BA11342" s="4"/>
      <c r="BB11342" s="4"/>
    </row>
    <row r="11343" spans="1:54" x14ac:dyDescent="0.3">
      <c r="A11343" s="66"/>
      <c r="B11343" s="67"/>
      <c r="C11343" s="66"/>
      <c r="D11343" s="68"/>
      <c r="E11343" s="10"/>
      <c r="F11343" s="69"/>
      <c r="G11343" s="68"/>
      <c r="H11343" s="70"/>
      <c r="BA11343" s="4"/>
      <c r="BB11343" s="4"/>
    </row>
    <row r="11344" spans="1:54" x14ac:dyDescent="0.3">
      <c r="A11344" s="66"/>
      <c r="B11344" s="67"/>
      <c r="C11344" s="66"/>
      <c r="D11344" s="68"/>
      <c r="E11344" s="10"/>
      <c r="F11344" s="69"/>
      <c r="G11344" s="68"/>
      <c r="H11344" s="70"/>
      <c r="BA11344" s="4"/>
      <c r="BB11344" s="4"/>
    </row>
    <row r="11345" spans="1:54" x14ac:dyDescent="0.3">
      <c r="A11345" s="66"/>
      <c r="B11345" s="67"/>
      <c r="C11345" s="66"/>
      <c r="D11345" s="68"/>
      <c r="E11345" s="10"/>
      <c r="F11345" s="69"/>
      <c r="G11345" s="68"/>
      <c r="H11345" s="70"/>
      <c r="BA11345" s="4"/>
      <c r="BB11345" s="4"/>
    </row>
    <row r="11346" spans="1:54" x14ac:dyDescent="0.3">
      <c r="A11346" s="66"/>
      <c r="B11346" s="67"/>
      <c r="C11346" s="66"/>
      <c r="D11346" s="68"/>
      <c r="E11346" s="10"/>
      <c r="F11346" s="69"/>
      <c r="G11346" s="68"/>
      <c r="H11346" s="70"/>
      <c r="BA11346" s="4"/>
      <c r="BB11346" s="4"/>
    </row>
    <row r="11347" spans="1:54" x14ac:dyDescent="0.3">
      <c r="A11347" s="66"/>
      <c r="B11347" s="67"/>
      <c r="C11347" s="66"/>
      <c r="D11347" s="68"/>
      <c r="E11347" s="10"/>
      <c r="F11347" s="69"/>
      <c r="G11347" s="68"/>
      <c r="H11347" s="70"/>
      <c r="BA11347" s="4"/>
      <c r="BB11347" s="4"/>
    </row>
    <row r="11348" spans="1:54" x14ac:dyDescent="0.3">
      <c r="A11348" s="66"/>
      <c r="B11348" s="67"/>
      <c r="C11348" s="66"/>
      <c r="D11348" s="68"/>
      <c r="E11348" s="10"/>
      <c r="F11348" s="69"/>
      <c r="G11348" s="68"/>
      <c r="H11348" s="70"/>
      <c r="BA11348" s="4"/>
      <c r="BB11348" s="4"/>
    </row>
    <row r="11349" spans="1:54" x14ac:dyDescent="0.3">
      <c r="A11349" s="66"/>
      <c r="B11349" s="67"/>
      <c r="C11349" s="66"/>
      <c r="D11349" s="68"/>
      <c r="E11349" s="10"/>
      <c r="F11349" s="69"/>
      <c r="G11349" s="68"/>
      <c r="H11349" s="70"/>
      <c r="BA11349" s="4"/>
      <c r="BB11349" s="4"/>
    </row>
    <row r="11350" spans="1:54" x14ac:dyDescent="0.3">
      <c r="A11350" s="66"/>
      <c r="B11350" s="67"/>
      <c r="C11350" s="66"/>
      <c r="D11350" s="68"/>
      <c r="E11350" s="10"/>
      <c r="F11350" s="69"/>
      <c r="G11350" s="68"/>
      <c r="H11350" s="70"/>
      <c r="BA11350" s="4"/>
      <c r="BB11350" s="4"/>
    </row>
    <row r="11351" spans="1:54" x14ac:dyDescent="0.3">
      <c r="A11351" s="66"/>
      <c r="B11351" s="67"/>
      <c r="C11351" s="66"/>
      <c r="D11351" s="68"/>
      <c r="E11351" s="10"/>
      <c r="F11351" s="69"/>
      <c r="G11351" s="68"/>
      <c r="H11351" s="70"/>
      <c r="BA11351" s="4"/>
      <c r="BB11351" s="4"/>
    </row>
    <row r="11352" spans="1:54" x14ac:dyDescent="0.3">
      <c r="A11352" s="66"/>
      <c r="B11352" s="67"/>
      <c r="C11352" s="66"/>
      <c r="D11352" s="68"/>
      <c r="E11352" s="10"/>
      <c r="F11352" s="69"/>
      <c r="G11352" s="68"/>
      <c r="H11352" s="70"/>
      <c r="BA11352" s="4"/>
      <c r="BB11352" s="4"/>
    </row>
    <row r="11353" spans="1:54" x14ac:dyDescent="0.3">
      <c r="A11353" s="66"/>
      <c r="B11353" s="67"/>
      <c r="C11353" s="66"/>
      <c r="D11353" s="68"/>
      <c r="E11353" s="10"/>
      <c r="F11353" s="69"/>
      <c r="G11353" s="68"/>
      <c r="H11353" s="70"/>
      <c r="BA11353" s="4"/>
      <c r="BB11353" s="4"/>
    </row>
    <row r="11354" spans="1:54" x14ac:dyDescent="0.3">
      <c r="A11354" s="66"/>
      <c r="B11354" s="67"/>
      <c r="C11354" s="66"/>
      <c r="D11354" s="68"/>
      <c r="E11354" s="10"/>
      <c r="F11354" s="69"/>
      <c r="G11354" s="68"/>
      <c r="H11354" s="70"/>
      <c r="BA11354" s="4"/>
      <c r="BB11354" s="4"/>
    </row>
    <row r="11355" spans="1:54" x14ac:dyDescent="0.3">
      <c r="A11355" s="66"/>
      <c r="B11355" s="67"/>
      <c r="C11355" s="66"/>
      <c r="D11355" s="68"/>
      <c r="E11355" s="10"/>
      <c r="F11355" s="69"/>
      <c r="G11355" s="68"/>
      <c r="H11355" s="70"/>
      <c r="BA11355" s="4"/>
      <c r="BB11355" s="4"/>
    </row>
    <row r="11356" spans="1:54" x14ac:dyDescent="0.3">
      <c r="A11356" s="66"/>
      <c r="B11356" s="67"/>
      <c r="C11356" s="66"/>
      <c r="D11356" s="68"/>
      <c r="E11356" s="10"/>
      <c r="F11356" s="69"/>
      <c r="G11356" s="68"/>
      <c r="H11356" s="70"/>
      <c r="BA11356" s="4"/>
      <c r="BB11356" s="4"/>
    </row>
    <row r="11357" spans="1:54" x14ac:dyDescent="0.3">
      <c r="A11357" s="66"/>
      <c r="B11357" s="67"/>
      <c r="C11357" s="66"/>
      <c r="D11357" s="68"/>
      <c r="E11357" s="10"/>
      <c r="F11357" s="69"/>
      <c r="G11357" s="68"/>
      <c r="H11357" s="70"/>
      <c r="BA11357" s="4"/>
      <c r="BB11357" s="4"/>
    </row>
    <row r="11358" spans="1:54" x14ac:dyDescent="0.3">
      <c r="A11358" s="66"/>
      <c r="B11358" s="67"/>
      <c r="C11358" s="66"/>
      <c r="D11358" s="68"/>
      <c r="E11358" s="10"/>
      <c r="F11358" s="69"/>
      <c r="G11358" s="68"/>
      <c r="H11358" s="70"/>
      <c r="BA11358" s="4"/>
      <c r="BB11358" s="4"/>
    </row>
    <row r="11359" spans="1:54" x14ac:dyDescent="0.3">
      <c r="A11359" s="66"/>
      <c r="B11359" s="67"/>
      <c r="C11359" s="66"/>
      <c r="D11359" s="68"/>
      <c r="E11359" s="10"/>
      <c r="F11359" s="69"/>
      <c r="G11359" s="68"/>
      <c r="H11359" s="70"/>
      <c r="BA11359" s="4"/>
      <c r="BB11359" s="4"/>
    </row>
    <row r="11360" spans="1:54" x14ac:dyDescent="0.3">
      <c r="A11360" s="66"/>
      <c r="B11360" s="67"/>
      <c r="C11360" s="66"/>
      <c r="D11360" s="68"/>
      <c r="E11360" s="10"/>
      <c r="F11360" s="69"/>
      <c r="G11360" s="68"/>
      <c r="H11360" s="70"/>
      <c r="BA11360" s="4"/>
      <c r="BB11360" s="4"/>
    </row>
    <row r="11361" spans="1:54" x14ac:dyDescent="0.3">
      <c r="A11361" s="66"/>
      <c r="B11361" s="67"/>
      <c r="C11361" s="66"/>
      <c r="D11361" s="68"/>
      <c r="E11361" s="10"/>
      <c r="F11361" s="69"/>
      <c r="G11361" s="68"/>
      <c r="H11361" s="70"/>
      <c r="BA11361" s="4"/>
      <c r="BB11361" s="4"/>
    </row>
    <row r="11362" spans="1:54" x14ac:dyDescent="0.3">
      <c r="A11362" s="66"/>
      <c r="B11362" s="67"/>
      <c r="C11362" s="66"/>
      <c r="D11362" s="68"/>
      <c r="E11362" s="10"/>
      <c r="F11362" s="69"/>
      <c r="G11362" s="68"/>
      <c r="H11362" s="70"/>
      <c r="BA11362" s="4"/>
      <c r="BB11362" s="4"/>
    </row>
    <row r="11363" spans="1:54" x14ac:dyDescent="0.3">
      <c r="A11363" s="66"/>
      <c r="B11363" s="67"/>
      <c r="C11363" s="66"/>
      <c r="D11363" s="68"/>
      <c r="E11363" s="10"/>
      <c r="F11363" s="69"/>
      <c r="G11363" s="68"/>
      <c r="H11363" s="70"/>
      <c r="BA11363" s="4"/>
      <c r="BB11363" s="4"/>
    </row>
    <row r="11364" spans="1:54" x14ac:dyDescent="0.3">
      <c r="A11364" s="66"/>
      <c r="B11364" s="67"/>
      <c r="C11364" s="66"/>
      <c r="D11364" s="68"/>
      <c r="E11364" s="10"/>
      <c r="F11364" s="69"/>
      <c r="G11364" s="68"/>
      <c r="H11364" s="70"/>
      <c r="BA11364" s="4"/>
      <c r="BB11364" s="4"/>
    </row>
    <row r="11365" spans="1:54" x14ac:dyDescent="0.3">
      <c r="A11365" s="66"/>
      <c r="B11365" s="67"/>
      <c r="C11365" s="66"/>
      <c r="D11365" s="68"/>
      <c r="E11365" s="10"/>
      <c r="F11365" s="69"/>
      <c r="G11365" s="68"/>
      <c r="H11365" s="70"/>
      <c r="BA11365" s="4"/>
      <c r="BB11365" s="4"/>
    </row>
    <row r="11366" spans="1:54" x14ac:dyDescent="0.3">
      <c r="A11366" s="66"/>
      <c r="B11366" s="67"/>
      <c r="C11366" s="66"/>
      <c r="D11366" s="68"/>
      <c r="E11366" s="10"/>
      <c r="F11366" s="69"/>
      <c r="G11366" s="68"/>
      <c r="H11366" s="70"/>
      <c r="BA11366" s="4"/>
      <c r="BB11366" s="4"/>
    </row>
    <row r="11367" spans="1:54" x14ac:dyDescent="0.3">
      <c r="A11367" s="66"/>
      <c r="B11367" s="67"/>
      <c r="C11367" s="66"/>
      <c r="D11367" s="68"/>
      <c r="E11367" s="10"/>
      <c r="F11367" s="69"/>
      <c r="G11367" s="68"/>
      <c r="H11367" s="70"/>
      <c r="BA11367" s="4"/>
      <c r="BB11367" s="4"/>
    </row>
    <row r="11368" spans="1:54" x14ac:dyDescent="0.3">
      <c r="A11368" s="66"/>
      <c r="B11368" s="67"/>
      <c r="C11368" s="66"/>
      <c r="D11368" s="68"/>
      <c r="E11368" s="10"/>
      <c r="F11368" s="69"/>
      <c r="G11368" s="68"/>
      <c r="H11368" s="70"/>
      <c r="BA11368" s="4"/>
      <c r="BB11368" s="4"/>
    </row>
    <row r="11369" spans="1:54" x14ac:dyDescent="0.3">
      <c r="A11369" s="66"/>
      <c r="B11369" s="67"/>
      <c r="C11369" s="66"/>
      <c r="D11369" s="68"/>
      <c r="E11369" s="10"/>
      <c r="F11369" s="69"/>
      <c r="G11369" s="68"/>
      <c r="H11369" s="70"/>
      <c r="BA11369" s="4"/>
      <c r="BB11369" s="4"/>
    </row>
    <row r="11370" spans="1:54" x14ac:dyDescent="0.3">
      <c r="A11370" s="66"/>
      <c r="B11370" s="67"/>
      <c r="C11370" s="66"/>
      <c r="D11370" s="68"/>
      <c r="E11370" s="10"/>
      <c r="F11370" s="69"/>
      <c r="G11370" s="68"/>
      <c r="H11370" s="70"/>
      <c r="BA11370" s="4"/>
      <c r="BB11370" s="4"/>
    </row>
    <row r="11371" spans="1:54" x14ac:dyDescent="0.3">
      <c r="A11371" s="66"/>
      <c r="B11371" s="67"/>
      <c r="C11371" s="66"/>
      <c r="D11371" s="68"/>
      <c r="E11371" s="10"/>
      <c r="F11371" s="69"/>
      <c r="G11371" s="68"/>
      <c r="H11371" s="70"/>
      <c r="BA11371" s="4"/>
      <c r="BB11371" s="4"/>
    </row>
    <row r="11372" spans="1:54" x14ac:dyDescent="0.3">
      <c r="A11372" s="66"/>
      <c r="B11372" s="67"/>
      <c r="C11372" s="66"/>
      <c r="D11372" s="68"/>
      <c r="E11372" s="10"/>
      <c r="F11372" s="69"/>
      <c r="G11372" s="68"/>
      <c r="H11372" s="70"/>
      <c r="BA11372" s="4"/>
      <c r="BB11372" s="4"/>
    </row>
    <row r="11373" spans="1:54" x14ac:dyDescent="0.3">
      <c r="A11373" s="66"/>
      <c r="B11373" s="67"/>
      <c r="C11373" s="66"/>
      <c r="D11373" s="68"/>
      <c r="E11373" s="10"/>
      <c r="F11373" s="69"/>
      <c r="G11373" s="68"/>
      <c r="H11373" s="70"/>
      <c r="BA11373" s="4"/>
      <c r="BB11373" s="4"/>
    </row>
    <row r="11374" spans="1:54" x14ac:dyDescent="0.3">
      <c r="A11374" s="66"/>
      <c r="B11374" s="67"/>
      <c r="C11374" s="66"/>
      <c r="D11374" s="68"/>
      <c r="E11374" s="10"/>
      <c r="F11374" s="69"/>
      <c r="G11374" s="68"/>
      <c r="H11374" s="70"/>
      <c r="BA11374" s="4"/>
      <c r="BB11374" s="4"/>
    </row>
    <row r="11375" spans="1:54" x14ac:dyDescent="0.3">
      <c r="A11375" s="66"/>
      <c r="B11375" s="67"/>
      <c r="C11375" s="66"/>
      <c r="D11375" s="68"/>
      <c r="E11375" s="10"/>
      <c r="F11375" s="69"/>
      <c r="G11375" s="68"/>
      <c r="H11375" s="70"/>
      <c r="BA11375" s="4"/>
      <c r="BB11375" s="4"/>
    </row>
    <row r="11376" spans="1:54" x14ac:dyDescent="0.3">
      <c r="A11376" s="66"/>
      <c r="B11376" s="67"/>
      <c r="C11376" s="66"/>
      <c r="D11376" s="68"/>
      <c r="E11376" s="10"/>
      <c r="F11376" s="69"/>
      <c r="G11376" s="68"/>
      <c r="H11376" s="70"/>
      <c r="BA11376" s="4"/>
      <c r="BB11376" s="4"/>
    </row>
    <row r="11377" spans="1:54" x14ac:dyDescent="0.3">
      <c r="A11377" s="66"/>
      <c r="B11377" s="67"/>
      <c r="C11377" s="66"/>
      <c r="D11377" s="68"/>
      <c r="E11377" s="10"/>
      <c r="F11377" s="69"/>
      <c r="G11377" s="68"/>
      <c r="H11377" s="70"/>
      <c r="BA11377" s="4"/>
      <c r="BB11377" s="4"/>
    </row>
    <row r="11378" spans="1:54" x14ac:dyDescent="0.3">
      <c r="A11378" s="66"/>
      <c r="B11378" s="67"/>
      <c r="C11378" s="66"/>
      <c r="D11378" s="68"/>
      <c r="E11378" s="10"/>
      <c r="F11378" s="69"/>
      <c r="G11378" s="68"/>
      <c r="H11378" s="70"/>
      <c r="BA11378" s="4"/>
      <c r="BB11378" s="4"/>
    </row>
    <row r="11379" spans="1:54" x14ac:dyDescent="0.3">
      <c r="A11379" s="66"/>
      <c r="B11379" s="67"/>
      <c r="C11379" s="66"/>
      <c r="D11379" s="68"/>
      <c r="E11379" s="10"/>
      <c r="F11379" s="69"/>
      <c r="G11379" s="68"/>
      <c r="H11379" s="70"/>
      <c r="BA11379" s="4"/>
      <c r="BB11379" s="4"/>
    </row>
    <row r="11380" spans="1:54" x14ac:dyDescent="0.3">
      <c r="A11380" s="66"/>
      <c r="B11380" s="67"/>
      <c r="C11380" s="66"/>
      <c r="D11380" s="68"/>
      <c r="E11380" s="10"/>
      <c r="F11380" s="69"/>
      <c r="G11380" s="68"/>
      <c r="H11380" s="70"/>
      <c r="BA11380" s="4"/>
      <c r="BB11380" s="4"/>
    </row>
    <row r="11381" spans="1:54" x14ac:dyDescent="0.3">
      <c r="A11381" s="66"/>
      <c r="B11381" s="67"/>
      <c r="C11381" s="66"/>
      <c r="D11381" s="68"/>
      <c r="E11381" s="10"/>
      <c r="F11381" s="69"/>
      <c r="G11381" s="68"/>
      <c r="H11381" s="70"/>
      <c r="BA11381" s="4"/>
      <c r="BB11381" s="4"/>
    </row>
    <row r="11382" spans="1:54" x14ac:dyDescent="0.3">
      <c r="A11382" s="66"/>
      <c r="B11382" s="67"/>
      <c r="C11382" s="66"/>
      <c r="D11382" s="68"/>
      <c r="E11382" s="10"/>
      <c r="F11382" s="69"/>
      <c r="G11382" s="68"/>
      <c r="H11382" s="70"/>
      <c r="BA11382" s="4"/>
      <c r="BB11382" s="4"/>
    </row>
    <row r="11383" spans="1:54" x14ac:dyDescent="0.3">
      <c r="A11383" s="66"/>
      <c r="B11383" s="67"/>
      <c r="C11383" s="66"/>
      <c r="D11383" s="68"/>
      <c r="E11383" s="10"/>
      <c r="F11383" s="69"/>
      <c r="G11383" s="68"/>
      <c r="H11383" s="70"/>
      <c r="BA11383" s="4"/>
      <c r="BB11383" s="4"/>
    </row>
    <row r="11384" spans="1:54" x14ac:dyDescent="0.3">
      <c r="A11384" s="66"/>
      <c r="B11384" s="67"/>
      <c r="C11384" s="66"/>
      <c r="D11384" s="68"/>
      <c r="E11384" s="10"/>
      <c r="F11384" s="69"/>
      <c r="G11384" s="68"/>
      <c r="H11384" s="70"/>
      <c r="BA11384" s="4"/>
      <c r="BB11384" s="4"/>
    </row>
    <row r="11385" spans="1:54" x14ac:dyDescent="0.3">
      <c r="A11385" s="66"/>
      <c r="B11385" s="67"/>
      <c r="C11385" s="66"/>
      <c r="D11385" s="68"/>
      <c r="E11385" s="10"/>
      <c r="F11385" s="69"/>
      <c r="G11385" s="68"/>
      <c r="H11385" s="70"/>
      <c r="BA11385" s="4"/>
      <c r="BB11385" s="4"/>
    </row>
    <row r="11386" spans="1:54" x14ac:dyDescent="0.3">
      <c r="A11386" s="66"/>
      <c r="B11386" s="67"/>
      <c r="C11386" s="66"/>
      <c r="D11386" s="68"/>
      <c r="E11386" s="10"/>
      <c r="F11386" s="69"/>
      <c r="G11386" s="68"/>
      <c r="H11386" s="70"/>
      <c r="BA11386" s="4"/>
      <c r="BB11386" s="4"/>
    </row>
    <row r="11387" spans="1:54" x14ac:dyDescent="0.3">
      <c r="A11387" s="66"/>
      <c r="B11387" s="67"/>
      <c r="C11387" s="66"/>
      <c r="D11387" s="68"/>
      <c r="E11387" s="10"/>
      <c r="F11387" s="69"/>
      <c r="G11387" s="68"/>
      <c r="H11387" s="70"/>
      <c r="BA11387" s="4"/>
      <c r="BB11387" s="4"/>
    </row>
    <row r="11388" spans="1:54" x14ac:dyDescent="0.3">
      <c r="A11388" s="66"/>
      <c r="B11388" s="67"/>
      <c r="C11388" s="66"/>
      <c r="D11388" s="68"/>
      <c r="E11388" s="10"/>
      <c r="F11388" s="69"/>
      <c r="G11388" s="68"/>
      <c r="H11388" s="70"/>
      <c r="BA11388" s="4"/>
      <c r="BB11388" s="4"/>
    </row>
    <row r="11389" spans="1:54" x14ac:dyDescent="0.3">
      <c r="A11389" s="66"/>
      <c r="B11389" s="67"/>
      <c r="C11389" s="66"/>
      <c r="D11389" s="68"/>
      <c r="E11389" s="10"/>
      <c r="F11389" s="69"/>
      <c r="G11389" s="68"/>
      <c r="H11389" s="70"/>
      <c r="BA11389" s="4"/>
      <c r="BB11389" s="4"/>
    </row>
    <row r="11390" spans="1:54" x14ac:dyDescent="0.3">
      <c r="A11390" s="66"/>
      <c r="B11390" s="67"/>
      <c r="C11390" s="66"/>
      <c r="D11390" s="68"/>
      <c r="E11390" s="10"/>
      <c r="F11390" s="69"/>
      <c r="G11390" s="68"/>
      <c r="H11390" s="70"/>
      <c r="BA11390" s="4"/>
      <c r="BB11390" s="4"/>
    </row>
    <row r="11391" spans="1:54" x14ac:dyDescent="0.3">
      <c r="A11391" s="66"/>
      <c r="B11391" s="67"/>
      <c r="C11391" s="66"/>
      <c r="D11391" s="68"/>
      <c r="E11391" s="10"/>
      <c r="F11391" s="69"/>
      <c r="G11391" s="68"/>
      <c r="H11391" s="70"/>
      <c r="BA11391" s="4"/>
      <c r="BB11391" s="4"/>
    </row>
    <row r="11392" spans="1:54" x14ac:dyDescent="0.3">
      <c r="A11392" s="66"/>
      <c r="B11392" s="67"/>
      <c r="C11392" s="66"/>
      <c r="D11392" s="68"/>
      <c r="E11392" s="10"/>
      <c r="F11392" s="69"/>
      <c r="G11392" s="68"/>
      <c r="H11392" s="70"/>
      <c r="BA11392" s="4"/>
      <c r="BB11392" s="4"/>
    </row>
    <row r="11393" spans="1:54" x14ac:dyDescent="0.3">
      <c r="A11393" s="66"/>
      <c r="B11393" s="67"/>
      <c r="C11393" s="66"/>
      <c r="D11393" s="68"/>
      <c r="E11393" s="10"/>
      <c r="F11393" s="69"/>
      <c r="G11393" s="68"/>
      <c r="H11393" s="70"/>
      <c r="BA11393" s="4"/>
      <c r="BB11393" s="4"/>
    </row>
    <row r="11394" spans="1:54" x14ac:dyDescent="0.3">
      <c r="A11394" s="66"/>
      <c r="B11394" s="67"/>
      <c r="C11394" s="66"/>
      <c r="D11394" s="68"/>
      <c r="E11394" s="10"/>
      <c r="F11394" s="69"/>
      <c r="G11394" s="68"/>
      <c r="H11394" s="70"/>
      <c r="BA11394" s="4"/>
      <c r="BB11394" s="4"/>
    </row>
    <row r="11395" spans="1:54" x14ac:dyDescent="0.3">
      <c r="A11395" s="66"/>
      <c r="B11395" s="67"/>
      <c r="C11395" s="66"/>
      <c r="D11395" s="68"/>
      <c r="E11395" s="10"/>
      <c r="F11395" s="69"/>
      <c r="G11395" s="68"/>
      <c r="H11395" s="70"/>
      <c r="BA11395" s="4"/>
      <c r="BB11395" s="4"/>
    </row>
    <row r="11396" spans="1:54" x14ac:dyDescent="0.3">
      <c r="A11396" s="66"/>
      <c r="B11396" s="67"/>
      <c r="C11396" s="66"/>
      <c r="D11396" s="68"/>
      <c r="E11396" s="10"/>
      <c r="F11396" s="69"/>
      <c r="G11396" s="68"/>
      <c r="H11396" s="70"/>
      <c r="BA11396" s="4"/>
      <c r="BB11396" s="4"/>
    </row>
    <row r="11397" spans="1:54" x14ac:dyDescent="0.3">
      <c r="A11397" s="66"/>
      <c r="B11397" s="67"/>
      <c r="C11397" s="66"/>
      <c r="D11397" s="68"/>
      <c r="E11397" s="10"/>
      <c r="F11397" s="69"/>
      <c r="G11397" s="68"/>
      <c r="H11397" s="70"/>
      <c r="BA11397" s="4"/>
      <c r="BB11397" s="4"/>
    </row>
    <row r="11398" spans="1:54" x14ac:dyDescent="0.3">
      <c r="A11398" s="66"/>
      <c r="B11398" s="67"/>
      <c r="C11398" s="66"/>
      <c r="D11398" s="68"/>
      <c r="E11398" s="10"/>
      <c r="F11398" s="69"/>
      <c r="G11398" s="68"/>
      <c r="H11398" s="70"/>
      <c r="BA11398" s="4"/>
      <c r="BB11398" s="4"/>
    </row>
    <row r="11399" spans="1:54" x14ac:dyDescent="0.3">
      <c r="A11399" s="66"/>
      <c r="B11399" s="67"/>
      <c r="C11399" s="66"/>
      <c r="D11399" s="68"/>
      <c r="E11399" s="10"/>
      <c r="F11399" s="69"/>
      <c r="G11399" s="68"/>
      <c r="H11399" s="70"/>
      <c r="BA11399" s="4"/>
      <c r="BB11399" s="4"/>
    </row>
    <row r="11400" spans="1:54" x14ac:dyDescent="0.3">
      <c r="A11400" s="66"/>
      <c r="B11400" s="67"/>
      <c r="C11400" s="66"/>
      <c r="D11400" s="68"/>
      <c r="E11400" s="10"/>
      <c r="F11400" s="69"/>
      <c r="G11400" s="68"/>
      <c r="H11400" s="70"/>
      <c r="BA11400" s="4"/>
      <c r="BB11400" s="4"/>
    </row>
    <row r="11401" spans="1:54" x14ac:dyDescent="0.3">
      <c r="A11401" s="66"/>
      <c r="B11401" s="67"/>
      <c r="C11401" s="66"/>
      <c r="D11401" s="68"/>
      <c r="E11401" s="10"/>
      <c r="F11401" s="69"/>
      <c r="G11401" s="68"/>
      <c r="H11401" s="70"/>
      <c r="BA11401" s="4"/>
      <c r="BB11401" s="4"/>
    </row>
    <row r="11402" spans="1:54" x14ac:dyDescent="0.3">
      <c r="A11402" s="66"/>
      <c r="B11402" s="67"/>
      <c r="C11402" s="66"/>
      <c r="D11402" s="68"/>
      <c r="E11402" s="10"/>
      <c r="F11402" s="69"/>
      <c r="G11402" s="68"/>
      <c r="H11402" s="70"/>
      <c r="BA11402" s="4"/>
      <c r="BB11402" s="4"/>
    </row>
    <row r="11403" spans="1:54" x14ac:dyDescent="0.3">
      <c r="A11403" s="66"/>
      <c r="B11403" s="67"/>
      <c r="C11403" s="66"/>
      <c r="D11403" s="68"/>
      <c r="E11403" s="10"/>
      <c r="F11403" s="69"/>
      <c r="G11403" s="68"/>
      <c r="H11403" s="70"/>
      <c r="BA11403" s="4"/>
      <c r="BB11403" s="4"/>
    </row>
    <row r="11404" spans="1:54" x14ac:dyDescent="0.3">
      <c r="A11404" s="66"/>
      <c r="B11404" s="67"/>
      <c r="C11404" s="66"/>
      <c r="D11404" s="68"/>
      <c r="E11404" s="10"/>
      <c r="F11404" s="69"/>
      <c r="G11404" s="68"/>
      <c r="H11404" s="70"/>
      <c r="BA11404" s="4"/>
      <c r="BB11404" s="4"/>
    </row>
    <row r="11405" spans="1:54" x14ac:dyDescent="0.3">
      <c r="A11405" s="66"/>
      <c r="B11405" s="67"/>
      <c r="C11405" s="66"/>
      <c r="D11405" s="68"/>
      <c r="E11405" s="10"/>
      <c r="F11405" s="69"/>
      <c r="G11405" s="68"/>
      <c r="H11405" s="70"/>
      <c r="BA11405" s="4"/>
      <c r="BB11405" s="4"/>
    </row>
    <row r="11406" spans="1:54" x14ac:dyDescent="0.3">
      <c r="A11406" s="66"/>
      <c r="B11406" s="67"/>
      <c r="C11406" s="66"/>
      <c r="D11406" s="68"/>
      <c r="E11406" s="10"/>
      <c r="F11406" s="69"/>
      <c r="G11406" s="68"/>
      <c r="H11406" s="70"/>
      <c r="BA11406" s="4"/>
      <c r="BB11406" s="4"/>
    </row>
    <row r="11407" spans="1:54" x14ac:dyDescent="0.3">
      <c r="A11407" s="66"/>
      <c r="B11407" s="67"/>
      <c r="C11407" s="66"/>
      <c r="D11407" s="68"/>
      <c r="E11407" s="10"/>
      <c r="F11407" s="69"/>
      <c r="G11407" s="68"/>
      <c r="H11407" s="70"/>
      <c r="BA11407" s="4"/>
      <c r="BB11407" s="4"/>
    </row>
    <row r="11408" spans="1:54" x14ac:dyDescent="0.3">
      <c r="A11408" s="66"/>
      <c r="B11408" s="67"/>
      <c r="C11408" s="66"/>
      <c r="D11408" s="68"/>
      <c r="E11408" s="10"/>
      <c r="F11408" s="69"/>
      <c r="G11408" s="68"/>
      <c r="H11408" s="70"/>
      <c r="BA11408" s="4"/>
      <c r="BB11408" s="4"/>
    </row>
    <row r="11409" spans="1:54" x14ac:dyDescent="0.3">
      <c r="A11409" s="66"/>
      <c r="B11409" s="67"/>
      <c r="C11409" s="66"/>
      <c r="D11409" s="68"/>
      <c r="E11409" s="10"/>
      <c r="F11409" s="69"/>
      <c r="G11409" s="68"/>
      <c r="H11409" s="70"/>
      <c r="BA11409" s="4"/>
      <c r="BB11409" s="4"/>
    </row>
    <row r="11410" spans="1:54" x14ac:dyDescent="0.3">
      <c r="A11410" s="66"/>
      <c r="B11410" s="67"/>
      <c r="C11410" s="66"/>
      <c r="D11410" s="68"/>
      <c r="E11410" s="10"/>
      <c r="F11410" s="69"/>
      <c r="G11410" s="68"/>
      <c r="H11410" s="70"/>
      <c r="BA11410" s="4"/>
      <c r="BB11410" s="4"/>
    </row>
    <row r="11411" spans="1:54" x14ac:dyDescent="0.3">
      <c r="A11411" s="66"/>
      <c r="B11411" s="67"/>
      <c r="C11411" s="66"/>
      <c r="D11411" s="68"/>
      <c r="E11411" s="10"/>
      <c r="F11411" s="69"/>
      <c r="G11411" s="68"/>
      <c r="H11411" s="70"/>
      <c r="BA11411" s="4"/>
      <c r="BB11411" s="4"/>
    </row>
    <row r="11412" spans="1:54" x14ac:dyDescent="0.3">
      <c r="A11412" s="66"/>
      <c r="B11412" s="67"/>
      <c r="C11412" s="66"/>
      <c r="D11412" s="68"/>
      <c r="E11412" s="10"/>
      <c r="F11412" s="69"/>
      <c r="G11412" s="68"/>
      <c r="H11412" s="70"/>
      <c r="BA11412" s="4"/>
      <c r="BB11412" s="4"/>
    </row>
    <row r="11413" spans="1:54" x14ac:dyDescent="0.3">
      <c r="A11413" s="66"/>
      <c r="B11413" s="67"/>
      <c r="C11413" s="66"/>
      <c r="D11413" s="68"/>
      <c r="E11413" s="10"/>
      <c r="F11413" s="69"/>
      <c r="G11413" s="68"/>
      <c r="H11413" s="70"/>
      <c r="BA11413" s="4"/>
      <c r="BB11413" s="4"/>
    </row>
    <row r="11414" spans="1:54" x14ac:dyDescent="0.3">
      <c r="A11414" s="66"/>
      <c r="B11414" s="67"/>
      <c r="C11414" s="66"/>
      <c r="D11414" s="68"/>
      <c r="E11414" s="10"/>
      <c r="F11414" s="69"/>
      <c r="G11414" s="68"/>
      <c r="H11414" s="70"/>
      <c r="BA11414" s="4"/>
      <c r="BB11414" s="4"/>
    </row>
    <row r="11415" spans="1:54" x14ac:dyDescent="0.3">
      <c r="A11415" s="66"/>
      <c r="B11415" s="67"/>
      <c r="C11415" s="66"/>
      <c r="D11415" s="68"/>
      <c r="E11415" s="10"/>
      <c r="F11415" s="69"/>
      <c r="G11415" s="68"/>
      <c r="H11415" s="70"/>
      <c r="BA11415" s="4"/>
      <c r="BB11415" s="4"/>
    </row>
    <row r="11416" spans="1:54" x14ac:dyDescent="0.3">
      <c r="A11416" s="66"/>
      <c r="B11416" s="67"/>
      <c r="C11416" s="66"/>
      <c r="D11416" s="68"/>
      <c r="E11416" s="10"/>
      <c r="F11416" s="69"/>
      <c r="G11416" s="68"/>
      <c r="H11416" s="70"/>
      <c r="BA11416" s="4"/>
      <c r="BB11416" s="4"/>
    </row>
    <row r="11417" spans="1:54" x14ac:dyDescent="0.3">
      <c r="A11417" s="66"/>
      <c r="B11417" s="67"/>
      <c r="C11417" s="66"/>
      <c r="D11417" s="68"/>
      <c r="E11417" s="10"/>
      <c r="F11417" s="69"/>
      <c r="G11417" s="68"/>
      <c r="H11417" s="70"/>
      <c r="BA11417" s="4"/>
      <c r="BB11417" s="4"/>
    </row>
    <row r="11418" spans="1:54" x14ac:dyDescent="0.3">
      <c r="A11418" s="66"/>
      <c r="B11418" s="67"/>
      <c r="C11418" s="66"/>
      <c r="D11418" s="68"/>
      <c r="E11418" s="10"/>
      <c r="F11418" s="69"/>
      <c r="G11418" s="68"/>
      <c r="H11418" s="70"/>
      <c r="BA11418" s="4"/>
      <c r="BB11418" s="4"/>
    </row>
    <row r="11419" spans="1:54" x14ac:dyDescent="0.3">
      <c r="A11419" s="66"/>
      <c r="B11419" s="67"/>
      <c r="C11419" s="66"/>
      <c r="D11419" s="68"/>
      <c r="E11419" s="10"/>
      <c r="F11419" s="69"/>
      <c r="G11419" s="68"/>
      <c r="H11419" s="70"/>
      <c r="BA11419" s="4"/>
      <c r="BB11419" s="4"/>
    </row>
    <row r="11420" spans="1:54" x14ac:dyDescent="0.3">
      <c r="A11420" s="66"/>
      <c r="B11420" s="67"/>
      <c r="C11420" s="66"/>
      <c r="D11420" s="68"/>
      <c r="E11420" s="10"/>
      <c r="F11420" s="69"/>
      <c r="G11420" s="68"/>
      <c r="H11420" s="70"/>
      <c r="BA11420" s="4"/>
      <c r="BB11420" s="4"/>
    </row>
    <row r="11421" spans="1:54" x14ac:dyDescent="0.3">
      <c r="A11421" s="66"/>
      <c r="B11421" s="67"/>
      <c r="C11421" s="66"/>
      <c r="D11421" s="68"/>
      <c r="E11421" s="10"/>
      <c r="F11421" s="69"/>
      <c r="G11421" s="68"/>
      <c r="H11421" s="70"/>
      <c r="BA11421" s="4"/>
      <c r="BB11421" s="4"/>
    </row>
    <row r="11422" spans="1:54" x14ac:dyDescent="0.3">
      <c r="A11422" s="66"/>
      <c r="B11422" s="67"/>
      <c r="C11422" s="66"/>
      <c r="D11422" s="68"/>
      <c r="E11422" s="10"/>
      <c r="F11422" s="69"/>
      <c r="G11422" s="68"/>
      <c r="H11422" s="70"/>
      <c r="BA11422" s="4"/>
      <c r="BB11422" s="4"/>
    </row>
    <row r="11423" spans="1:54" x14ac:dyDescent="0.3">
      <c r="A11423" s="66"/>
      <c r="B11423" s="67"/>
      <c r="C11423" s="66"/>
      <c r="D11423" s="68"/>
      <c r="E11423" s="10"/>
      <c r="F11423" s="69"/>
      <c r="G11423" s="68"/>
      <c r="H11423" s="70"/>
      <c r="BA11423" s="4"/>
      <c r="BB11423" s="4"/>
    </row>
    <row r="11424" spans="1:54" x14ac:dyDescent="0.3">
      <c r="A11424" s="66"/>
      <c r="B11424" s="67"/>
      <c r="C11424" s="66"/>
      <c r="D11424" s="68"/>
      <c r="E11424" s="10"/>
      <c r="F11424" s="69"/>
      <c r="G11424" s="68"/>
      <c r="H11424" s="70"/>
      <c r="BA11424" s="4"/>
      <c r="BB11424" s="4"/>
    </row>
    <row r="11425" spans="1:54" x14ac:dyDescent="0.3">
      <c r="A11425" s="66"/>
      <c r="B11425" s="67"/>
      <c r="C11425" s="66"/>
      <c r="D11425" s="68"/>
      <c r="E11425" s="10"/>
      <c r="F11425" s="69"/>
      <c r="G11425" s="68"/>
      <c r="H11425" s="70"/>
      <c r="BA11425" s="4"/>
      <c r="BB11425" s="4"/>
    </row>
    <row r="11426" spans="1:54" x14ac:dyDescent="0.3">
      <c r="A11426" s="66"/>
      <c r="B11426" s="67"/>
      <c r="C11426" s="66"/>
      <c r="D11426" s="68"/>
      <c r="E11426" s="10"/>
      <c r="F11426" s="69"/>
      <c r="G11426" s="68"/>
      <c r="H11426" s="70"/>
      <c r="BA11426" s="4"/>
      <c r="BB11426" s="4"/>
    </row>
    <row r="11427" spans="1:54" x14ac:dyDescent="0.3">
      <c r="A11427" s="66"/>
      <c r="B11427" s="67"/>
      <c r="C11427" s="66"/>
      <c r="D11427" s="68"/>
      <c r="E11427" s="10"/>
      <c r="F11427" s="69"/>
      <c r="G11427" s="68"/>
      <c r="H11427" s="70"/>
      <c r="BA11427" s="4"/>
      <c r="BB11427" s="4"/>
    </row>
    <row r="11428" spans="1:54" x14ac:dyDescent="0.3">
      <c r="A11428" s="66"/>
      <c r="B11428" s="67"/>
      <c r="C11428" s="66"/>
      <c r="D11428" s="68"/>
      <c r="E11428" s="10"/>
      <c r="F11428" s="69"/>
      <c r="G11428" s="68"/>
      <c r="H11428" s="70"/>
      <c r="BA11428" s="4"/>
      <c r="BB11428" s="4"/>
    </row>
    <row r="11429" spans="1:54" x14ac:dyDescent="0.3">
      <c r="A11429" s="66"/>
      <c r="B11429" s="67"/>
      <c r="C11429" s="66"/>
      <c r="D11429" s="68"/>
      <c r="E11429" s="10"/>
      <c r="F11429" s="69"/>
      <c r="G11429" s="68"/>
      <c r="H11429" s="70"/>
      <c r="BA11429" s="4"/>
      <c r="BB11429" s="4"/>
    </row>
    <row r="11430" spans="1:54" x14ac:dyDescent="0.3">
      <c r="A11430" s="66"/>
      <c r="B11430" s="67"/>
      <c r="C11430" s="66"/>
      <c r="D11430" s="68"/>
      <c r="E11430" s="10"/>
      <c r="F11430" s="69"/>
      <c r="G11430" s="68"/>
      <c r="H11430" s="70"/>
      <c r="BA11430" s="4"/>
      <c r="BB11430" s="4"/>
    </row>
    <row r="11431" spans="1:54" x14ac:dyDescent="0.3">
      <c r="A11431" s="66"/>
      <c r="B11431" s="67"/>
      <c r="C11431" s="66"/>
      <c r="D11431" s="68"/>
      <c r="E11431" s="10"/>
      <c r="F11431" s="69"/>
      <c r="G11431" s="68"/>
      <c r="H11431" s="70"/>
      <c r="BA11431" s="4"/>
      <c r="BB11431" s="4"/>
    </row>
    <row r="11432" spans="1:54" x14ac:dyDescent="0.3">
      <c r="A11432" s="66"/>
      <c r="B11432" s="67"/>
      <c r="C11432" s="66"/>
      <c r="D11432" s="68"/>
      <c r="E11432" s="10"/>
      <c r="F11432" s="69"/>
      <c r="G11432" s="68"/>
      <c r="H11432" s="70"/>
      <c r="BA11432" s="4"/>
      <c r="BB11432" s="4"/>
    </row>
    <row r="11433" spans="1:54" x14ac:dyDescent="0.3">
      <c r="A11433" s="66"/>
      <c r="B11433" s="67"/>
      <c r="C11433" s="66"/>
      <c r="D11433" s="68"/>
      <c r="E11433" s="10"/>
      <c r="F11433" s="69"/>
      <c r="G11433" s="68"/>
      <c r="H11433" s="70"/>
      <c r="BA11433" s="4"/>
      <c r="BB11433" s="4"/>
    </row>
    <row r="11434" spans="1:54" x14ac:dyDescent="0.3">
      <c r="A11434" s="66"/>
      <c r="B11434" s="67"/>
      <c r="C11434" s="66"/>
      <c r="D11434" s="68"/>
      <c r="E11434" s="10"/>
      <c r="F11434" s="69"/>
      <c r="G11434" s="68"/>
      <c r="H11434" s="70"/>
      <c r="BA11434" s="4"/>
      <c r="BB11434" s="4"/>
    </row>
    <row r="11435" spans="1:54" x14ac:dyDescent="0.3">
      <c r="A11435" s="66"/>
      <c r="B11435" s="67"/>
      <c r="C11435" s="66"/>
      <c r="D11435" s="68"/>
      <c r="E11435" s="10"/>
      <c r="F11435" s="69"/>
      <c r="G11435" s="68"/>
      <c r="H11435" s="70"/>
      <c r="BA11435" s="4"/>
      <c r="BB11435" s="4"/>
    </row>
    <row r="11436" spans="1:54" x14ac:dyDescent="0.3">
      <c r="A11436" s="66"/>
      <c r="B11436" s="67"/>
      <c r="C11436" s="66"/>
      <c r="D11436" s="68"/>
      <c r="E11436" s="10"/>
      <c r="F11436" s="69"/>
      <c r="G11436" s="68"/>
      <c r="H11436" s="70"/>
      <c r="BA11436" s="4"/>
      <c r="BB11436" s="4"/>
    </row>
    <row r="11437" spans="1:54" x14ac:dyDescent="0.3">
      <c r="A11437" s="66"/>
      <c r="B11437" s="67"/>
      <c r="C11437" s="66"/>
      <c r="D11437" s="68"/>
      <c r="E11437" s="10"/>
      <c r="F11437" s="69"/>
      <c r="G11437" s="68"/>
      <c r="H11437" s="70"/>
      <c r="BA11437" s="4"/>
      <c r="BB11437" s="4"/>
    </row>
    <row r="11438" spans="1:54" x14ac:dyDescent="0.3">
      <c r="A11438" s="66"/>
      <c r="B11438" s="67"/>
      <c r="C11438" s="66"/>
      <c r="D11438" s="68"/>
      <c r="E11438" s="10"/>
      <c r="F11438" s="69"/>
      <c r="G11438" s="68"/>
      <c r="H11438" s="70"/>
      <c r="BA11438" s="4"/>
      <c r="BB11438" s="4"/>
    </row>
    <row r="11439" spans="1:54" x14ac:dyDescent="0.3">
      <c r="A11439" s="66"/>
      <c r="B11439" s="67"/>
      <c r="C11439" s="66"/>
      <c r="D11439" s="68"/>
      <c r="E11439" s="10"/>
      <c r="F11439" s="69"/>
      <c r="G11439" s="68"/>
      <c r="H11439" s="70"/>
      <c r="BA11439" s="4"/>
      <c r="BB11439" s="4"/>
    </row>
    <row r="11440" spans="1:54" x14ac:dyDescent="0.3">
      <c r="A11440" s="66"/>
      <c r="B11440" s="67"/>
      <c r="C11440" s="66"/>
      <c r="D11440" s="68"/>
      <c r="E11440" s="10"/>
      <c r="F11440" s="69"/>
      <c r="G11440" s="68"/>
      <c r="H11440" s="70"/>
      <c r="BA11440" s="4"/>
      <c r="BB11440" s="4"/>
    </row>
    <row r="11441" spans="1:54" x14ac:dyDescent="0.3">
      <c r="A11441" s="66"/>
      <c r="B11441" s="67"/>
      <c r="C11441" s="66"/>
      <c r="D11441" s="68"/>
      <c r="E11441" s="10"/>
      <c r="F11441" s="69"/>
      <c r="G11441" s="68"/>
      <c r="H11441" s="70"/>
      <c r="BA11441" s="4"/>
      <c r="BB11441" s="4"/>
    </row>
    <row r="11442" spans="1:54" x14ac:dyDescent="0.3">
      <c r="A11442" s="66"/>
      <c r="B11442" s="67"/>
      <c r="C11442" s="66"/>
      <c r="D11442" s="68"/>
      <c r="E11442" s="10"/>
      <c r="F11442" s="69"/>
      <c r="G11442" s="68"/>
      <c r="H11442" s="70"/>
      <c r="BA11442" s="4"/>
      <c r="BB11442" s="4"/>
    </row>
    <row r="11443" spans="1:54" x14ac:dyDescent="0.3">
      <c r="A11443" s="66"/>
      <c r="B11443" s="67"/>
      <c r="C11443" s="66"/>
      <c r="D11443" s="68"/>
      <c r="E11443" s="10"/>
      <c r="F11443" s="69"/>
      <c r="G11443" s="68"/>
      <c r="H11443" s="70"/>
      <c r="BA11443" s="4"/>
      <c r="BB11443" s="4"/>
    </row>
    <row r="11444" spans="1:54" x14ac:dyDescent="0.3">
      <c r="A11444" s="66"/>
      <c r="B11444" s="67"/>
      <c r="C11444" s="66"/>
      <c r="D11444" s="68"/>
      <c r="E11444" s="10"/>
      <c r="F11444" s="69"/>
      <c r="G11444" s="68"/>
      <c r="H11444" s="70"/>
      <c r="BA11444" s="4"/>
      <c r="BB11444" s="4"/>
    </row>
    <row r="11445" spans="1:54" x14ac:dyDescent="0.3">
      <c r="A11445" s="66"/>
      <c r="B11445" s="67"/>
      <c r="C11445" s="66"/>
      <c r="D11445" s="68"/>
      <c r="E11445" s="10"/>
      <c r="F11445" s="69"/>
      <c r="G11445" s="68"/>
      <c r="H11445" s="70"/>
      <c r="BA11445" s="4"/>
      <c r="BB11445" s="4"/>
    </row>
    <row r="11446" spans="1:54" x14ac:dyDescent="0.3">
      <c r="A11446" s="66"/>
      <c r="B11446" s="67"/>
      <c r="C11446" s="66"/>
      <c r="D11446" s="68"/>
      <c r="E11446" s="10"/>
      <c r="F11446" s="69"/>
      <c r="G11446" s="68"/>
      <c r="H11446" s="70"/>
      <c r="BA11446" s="4"/>
      <c r="BB11446" s="4"/>
    </row>
    <row r="11447" spans="1:54" x14ac:dyDescent="0.3">
      <c r="A11447" s="66"/>
      <c r="B11447" s="67"/>
      <c r="C11447" s="66"/>
      <c r="D11447" s="68"/>
      <c r="E11447" s="10"/>
      <c r="F11447" s="69"/>
      <c r="G11447" s="68"/>
      <c r="H11447" s="70"/>
      <c r="BA11447" s="4"/>
      <c r="BB11447" s="4"/>
    </row>
    <row r="11448" spans="1:54" x14ac:dyDescent="0.3">
      <c r="A11448" s="66"/>
      <c r="B11448" s="67"/>
      <c r="C11448" s="66"/>
      <c r="D11448" s="68"/>
      <c r="E11448" s="10"/>
      <c r="F11448" s="69"/>
      <c r="G11448" s="68"/>
      <c r="H11448" s="70"/>
      <c r="BA11448" s="4"/>
      <c r="BB11448" s="4"/>
    </row>
    <row r="11449" spans="1:54" x14ac:dyDescent="0.3">
      <c r="A11449" s="66"/>
      <c r="B11449" s="67"/>
      <c r="C11449" s="66"/>
      <c r="D11449" s="68"/>
      <c r="E11449" s="10"/>
      <c r="F11449" s="69"/>
      <c r="G11449" s="68"/>
      <c r="H11449" s="70"/>
      <c r="BA11449" s="4"/>
      <c r="BB11449" s="4"/>
    </row>
    <row r="11450" spans="1:54" x14ac:dyDescent="0.3">
      <c r="A11450" s="66"/>
      <c r="B11450" s="67"/>
      <c r="C11450" s="66"/>
      <c r="D11450" s="68"/>
      <c r="E11450" s="10"/>
      <c r="F11450" s="69"/>
      <c r="G11450" s="68"/>
      <c r="H11450" s="70"/>
      <c r="BA11450" s="4"/>
      <c r="BB11450" s="4"/>
    </row>
    <row r="11451" spans="1:54" x14ac:dyDescent="0.3">
      <c r="A11451" s="66"/>
      <c r="B11451" s="67"/>
      <c r="C11451" s="66"/>
      <c r="D11451" s="68"/>
      <c r="E11451" s="10"/>
      <c r="F11451" s="69"/>
      <c r="G11451" s="68"/>
      <c r="H11451" s="70"/>
      <c r="BA11451" s="4"/>
      <c r="BB11451" s="4"/>
    </row>
    <row r="11452" spans="1:54" x14ac:dyDescent="0.3">
      <c r="A11452" s="66"/>
      <c r="B11452" s="67"/>
      <c r="C11452" s="66"/>
      <c r="D11452" s="68"/>
      <c r="E11452" s="10"/>
      <c r="F11452" s="69"/>
      <c r="G11452" s="68"/>
      <c r="H11452" s="70"/>
      <c r="BA11452" s="4"/>
      <c r="BB11452" s="4"/>
    </row>
    <row r="11453" spans="1:54" x14ac:dyDescent="0.3">
      <c r="A11453" s="66"/>
      <c r="B11453" s="67"/>
      <c r="C11453" s="66"/>
      <c r="D11453" s="68"/>
      <c r="E11453" s="10"/>
      <c r="F11453" s="69"/>
      <c r="G11453" s="68"/>
      <c r="H11453" s="70"/>
      <c r="BA11453" s="4"/>
      <c r="BB11453" s="4"/>
    </row>
    <row r="11454" spans="1:54" x14ac:dyDescent="0.3">
      <c r="A11454" s="66"/>
      <c r="B11454" s="67"/>
      <c r="C11454" s="66"/>
      <c r="D11454" s="68"/>
      <c r="E11454" s="10"/>
      <c r="F11454" s="69"/>
      <c r="G11454" s="68"/>
      <c r="H11454" s="70"/>
      <c r="BA11454" s="4"/>
      <c r="BB11454" s="4"/>
    </row>
    <row r="11455" spans="1:54" x14ac:dyDescent="0.3">
      <c r="A11455" s="66"/>
      <c r="B11455" s="67"/>
      <c r="C11455" s="66"/>
      <c r="D11455" s="68"/>
      <c r="E11455" s="10"/>
      <c r="F11455" s="69"/>
      <c r="G11455" s="68"/>
      <c r="H11455" s="70"/>
      <c r="BA11455" s="4"/>
      <c r="BB11455" s="4"/>
    </row>
    <row r="11456" spans="1:54" x14ac:dyDescent="0.3">
      <c r="A11456" s="66"/>
      <c r="B11456" s="67"/>
      <c r="C11456" s="66"/>
      <c r="D11456" s="68"/>
      <c r="E11456" s="10"/>
      <c r="F11456" s="69"/>
      <c r="G11456" s="68"/>
      <c r="H11456" s="70"/>
      <c r="BA11456" s="4"/>
      <c r="BB11456" s="4"/>
    </row>
    <row r="11457" spans="1:54" x14ac:dyDescent="0.3">
      <c r="A11457" s="66"/>
      <c r="B11457" s="67"/>
      <c r="C11457" s="66"/>
      <c r="D11457" s="68"/>
      <c r="E11457" s="10"/>
      <c r="F11457" s="69"/>
      <c r="G11457" s="68"/>
      <c r="H11457" s="70"/>
      <c r="BA11457" s="4"/>
      <c r="BB11457" s="4"/>
    </row>
    <row r="11458" spans="1:54" x14ac:dyDescent="0.3">
      <c r="A11458" s="66"/>
      <c r="B11458" s="67"/>
      <c r="C11458" s="66"/>
      <c r="D11458" s="68"/>
      <c r="E11458" s="10"/>
      <c r="F11458" s="69"/>
      <c r="G11458" s="68"/>
      <c r="H11458" s="70"/>
      <c r="BA11458" s="4"/>
      <c r="BB11458" s="4"/>
    </row>
    <row r="11459" spans="1:54" x14ac:dyDescent="0.3">
      <c r="A11459" s="66"/>
      <c r="B11459" s="67"/>
      <c r="C11459" s="66"/>
      <c r="D11459" s="68"/>
      <c r="E11459" s="10"/>
      <c r="F11459" s="69"/>
      <c r="G11459" s="68"/>
      <c r="H11459" s="70"/>
      <c r="BA11459" s="4"/>
      <c r="BB11459" s="4"/>
    </row>
    <row r="11460" spans="1:54" x14ac:dyDescent="0.3">
      <c r="A11460" s="66"/>
      <c r="B11460" s="67"/>
      <c r="C11460" s="66"/>
      <c r="D11460" s="68"/>
      <c r="E11460" s="10"/>
      <c r="F11460" s="69"/>
      <c r="G11460" s="68"/>
      <c r="H11460" s="70"/>
      <c r="BA11460" s="4"/>
      <c r="BB11460" s="4"/>
    </row>
    <row r="11461" spans="1:54" x14ac:dyDescent="0.3">
      <c r="A11461" s="66"/>
      <c r="B11461" s="67"/>
      <c r="C11461" s="66"/>
      <c r="D11461" s="68"/>
      <c r="E11461" s="10"/>
      <c r="F11461" s="69"/>
      <c r="G11461" s="68"/>
      <c r="H11461" s="70"/>
      <c r="BA11461" s="4"/>
      <c r="BB11461" s="4"/>
    </row>
    <row r="11462" spans="1:54" x14ac:dyDescent="0.3">
      <c r="A11462" s="66"/>
      <c r="B11462" s="67"/>
      <c r="C11462" s="66"/>
      <c r="D11462" s="68"/>
      <c r="E11462" s="10"/>
      <c r="F11462" s="69"/>
      <c r="G11462" s="68"/>
      <c r="H11462" s="70"/>
      <c r="BA11462" s="4"/>
      <c r="BB11462" s="4"/>
    </row>
    <row r="11463" spans="1:54" x14ac:dyDescent="0.3">
      <c r="A11463" s="66"/>
      <c r="B11463" s="67"/>
      <c r="C11463" s="66"/>
      <c r="D11463" s="68"/>
      <c r="E11463" s="10"/>
      <c r="F11463" s="69"/>
      <c r="G11463" s="68"/>
      <c r="H11463" s="70"/>
      <c r="BA11463" s="4"/>
      <c r="BB11463" s="4"/>
    </row>
    <row r="11464" spans="1:54" x14ac:dyDescent="0.3">
      <c r="A11464" s="66"/>
      <c r="B11464" s="67"/>
      <c r="C11464" s="66"/>
      <c r="D11464" s="68"/>
      <c r="E11464" s="10"/>
      <c r="F11464" s="69"/>
      <c r="G11464" s="68"/>
      <c r="H11464" s="70"/>
      <c r="BA11464" s="4"/>
      <c r="BB11464" s="4"/>
    </row>
    <row r="11465" spans="1:54" x14ac:dyDescent="0.3">
      <c r="A11465" s="66"/>
      <c r="B11465" s="67"/>
      <c r="C11465" s="66"/>
      <c r="D11465" s="68"/>
      <c r="E11465" s="10"/>
      <c r="F11465" s="69"/>
      <c r="G11465" s="68"/>
      <c r="H11465" s="70"/>
      <c r="BA11465" s="4"/>
      <c r="BB11465" s="4"/>
    </row>
    <row r="11466" spans="1:54" x14ac:dyDescent="0.3">
      <c r="A11466" s="66"/>
      <c r="B11466" s="67"/>
      <c r="C11466" s="66"/>
      <c r="D11466" s="68"/>
      <c r="E11466" s="10"/>
      <c r="F11466" s="69"/>
      <c r="G11466" s="68"/>
      <c r="H11466" s="70"/>
      <c r="BA11466" s="4"/>
      <c r="BB11466" s="4"/>
    </row>
    <row r="11467" spans="1:54" x14ac:dyDescent="0.3">
      <c r="A11467" s="66"/>
      <c r="B11467" s="67"/>
      <c r="C11467" s="66"/>
      <c r="D11467" s="68"/>
      <c r="E11467" s="10"/>
      <c r="F11467" s="69"/>
      <c r="G11467" s="68"/>
      <c r="H11467" s="70"/>
      <c r="BA11467" s="4"/>
      <c r="BB11467" s="4"/>
    </row>
    <row r="11468" spans="1:54" x14ac:dyDescent="0.3">
      <c r="A11468" s="66"/>
      <c r="B11468" s="67"/>
      <c r="C11468" s="66"/>
      <c r="D11468" s="68"/>
      <c r="E11468" s="10"/>
      <c r="F11468" s="69"/>
      <c r="G11468" s="68"/>
      <c r="H11468" s="70"/>
      <c r="BA11468" s="4"/>
      <c r="BB11468" s="4"/>
    </row>
    <row r="11469" spans="1:54" x14ac:dyDescent="0.3">
      <c r="A11469" s="66"/>
      <c r="B11469" s="67"/>
      <c r="C11469" s="66"/>
      <c r="D11469" s="68"/>
      <c r="E11469" s="10"/>
      <c r="F11469" s="69"/>
      <c r="G11469" s="68"/>
      <c r="H11469" s="70"/>
      <c r="BA11469" s="4"/>
      <c r="BB11469" s="4"/>
    </row>
    <row r="11470" spans="1:54" x14ac:dyDescent="0.3">
      <c r="A11470" s="66"/>
      <c r="B11470" s="67"/>
      <c r="C11470" s="66"/>
      <c r="D11470" s="68"/>
      <c r="E11470" s="10"/>
      <c r="F11470" s="69"/>
      <c r="G11470" s="68"/>
      <c r="H11470" s="70"/>
      <c r="BA11470" s="4"/>
      <c r="BB11470" s="4"/>
    </row>
    <row r="11471" spans="1:54" x14ac:dyDescent="0.3">
      <c r="A11471" s="66"/>
      <c r="B11471" s="67"/>
      <c r="C11471" s="66"/>
      <c r="D11471" s="68"/>
      <c r="E11471" s="10"/>
      <c r="F11471" s="69"/>
      <c r="G11471" s="68"/>
      <c r="H11471" s="70"/>
      <c r="BA11471" s="4"/>
      <c r="BB11471" s="4"/>
    </row>
    <row r="11472" spans="1:54" x14ac:dyDescent="0.3">
      <c r="A11472" s="66"/>
      <c r="B11472" s="67"/>
      <c r="C11472" s="66"/>
      <c r="D11472" s="68"/>
      <c r="E11472" s="10"/>
      <c r="F11472" s="69"/>
      <c r="G11472" s="68"/>
      <c r="H11472" s="70"/>
      <c r="BA11472" s="4"/>
      <c r="BB11472" s="4"/>
    </row>
    <row r="11473" spans="1:54" x14ac:dyDescent="0.3">
      <c r="A11473" s="66"/>
      <c r="B11473" s="67"/>
      <c r="C11473" s="66"/>
      <c r="D11473" s="68"/>
      <c r="E11473" s="10"/>
      <c r="F11473" s="69"/>
      <c r="G11473" s="68"/>
      <c r="H11473" s="70"/>
      <c r="BA11473" s="4"/>
      <c r="BB11473" s="4"/>
    </row>
    <row r="11474" spans="1:54" x14ac:dyDescent="0.3">
      <c r="A11474" s="66"/>
      <c r="B11474" s="67"/>
      <c r="C11474" s="66"/>
      <c r="D11474" s="68"/>
      <c r="E11474" s="10"/>
      <c r="F11474" s="69"/>
      <c r="G11474" s="68"/>
      <c r="H11474" s="70"/>
      <c r="BA11474" s="4"/>
      <c r="BB11474" s="4"/>
    </row>
    <row r="11475" spans="1:54" x14ac:dyDescent="0.3">
      <c r="A11475" s="66"/>
      <c r="B11475" s="67"/>
      <c r="C11475" s="66"/>
      <c r="D11475" s="68"/>
      <c r="E11475" s="10"/>
      <c r="F11475" s="69"/>
      <c r="G11475" s="68"/>
      <c r="H11475" s="70"/>
      <c r="BA11475" s="4"/>
      <c r="BB11475" s="4"/>
    </row>
    <row r="11476" spans="1:54" x14ac:dyDescent="0.3">
      <c r="A11476" s="66"/>
      <c r="B11476" s="67"/>
      <c r="C11476" s="66"/>
      <c r="D11476" s="68"/>
      <c r="E11476" s="10"/>
      <c r="F11476" s="69"/>
      <c r="G11476" s="68"/>
      <c r="H11476" s="70"/>
      <c r="BA11476" s="4"/>
      <c r="BB11476" s="4"/>
    </row>
    <row r="11477" spans="1:54" x14ac:dyDescent="0.3">
      <c r="A11477" s="66"/>
      <c r="B11477" s="67"/>
      <c r="C11477" s="66"/>
      <c r="D11477" s="68"/>
      <c r="E11477" s="10"/>
      <c r="F11477" s="69"/>
      <c r="G11477" s="68"/>
      <c r="H11477" s="70"/>
      <c r="BA11477" s="4"/>
      <c r="BB11477" s="4"/>
    </row>
    <row r="11478" spans="1:54" x14ac:dyDescent="0.3">
      <c r="A11478" s="66"/>
      <c r="B11478" s="67"/>
      <c r="C11478" s="66"/>
      <c r="D11478" s="68"/>
      <c r="E11478" s="10"/>
      <c r="F11478" s="69"/>
      <c r="G11478" s="68"/>
      <c r="H11478" s="70"/>
      <c r="BA11478" s="4"/>
      <c r="BB11478" s="4"/>
    </row>
    <row r="11479" spans="1:54" x14ac:dyDescent="0.3">
      <c r="A11479" s="66"/>
      <c r="B11479" s="67"/>
      <c r="C11479" s="66"/>
      <c r="D11479" s="68"/>
      <c r="E11479" s="10"/>
      <c r="F11479" s="69"/>
      <c r="G11479" s="68"/>
      <c r="H11479" s="70"/>
      <c r="BA11479" s="4"/>
      <c r="BB11479" s="4"/>
    </row>
    <row r="11480" spans="1:54" x14ac:dyDescent="0.3">
      <c r="A11480" s="66"/>
      <c r="B11480" s="67"/>
      <c r="C11480" s="66"/>
      <c r="D11480" s="68"/>
      <c r="E11480" s="10"/>
      <c r="F11480" s="69"/>
      <c r="G11480" s="68"/>
      <c r="H11480" s="70"/>
      <c r="BA11480" s="4"/>
      <c r="BB11480" s="4"/>
    </row>
    <row r="11481" spans="1:54" x14ac:dyDescent="0.3">
      <c r="A11481" s="66"/>
      <c r="B11481" s="67"/>
      <c r="C11481" s="66"/>
      <c r="D11481" s="68"/>
      <c r="E11481" s="10"/>
      <c r="F11481" s="69"/>
      <c r="G11481" s="68"/>
      <c r="H11481" s="70"/>
      <c r="BA11481" s="4"/>
      <c r="BB11481" s="4"/>
    </row>
    <row r="11482" spans="1:54" x14ac:dyDescent="0.3">
      <c r="A11482" s="66"/>
      <c r="B11482" s="67"/>
      <c r="C11482" s="66"/>
      <c r="D11482" s="68"/>
      <c r="E11482" s="10"/>
      <c r="F11482" s="69"/>
      <c r="G11482" s="68"/>
      <c r="H11482" s="70"/>
      <c r="BA11482" s="4"/>
      <c r="BB11482" s="4"/>
    </row>
    <row r="11483" spans="1:54" x14ac:dyDescent="0.3">
      <c r="A11483" s="66"/>
      <c r="B11483" s="67"/>
      <c r="C11483" s="66"/>
      <c r="D11483" s="68"/>
      <c r="E11483" s="10"/>
      <c r="F11483" s="69"/>
      <c r="G11483" s="68"/>
      <c r="H11483" s="70"/>
      <c r="BA11483" s="4"/>
      <c r="BB11483" s="4"/>
    </row>
    <row r="11484" spans="1:54" x14ac:dyDescent="0.3">
      <c r="A11484" s="66"/>
      <c r="B11484" s="67"/>
      <c r="C11484" s="66"/>
      <c r="D11484" s="68"/>
      <c r="E11484" s="10"/>
      <c r="F11484" s="69"/>
      <c r="G11484" s="68"/>
      <c r="H11484" s="70"/>
      <c r="BA11484" s="4"/>
      <c r="BB11484" s="4"/>
    </row>
    <row r="11485" spans="1:54" x14ac:dyDescent="0.3">
      <c r="A11485" s="66"/>
      <c r="B11485" s="67"/>
      <c r="C11485" s="66"/>
      <c r="D11485" s="68"/>
      <c r="E11485" s="10"/>
      <c r="F11485" s="69"/>
      <c r="G11485" s="68"/>
      <c r="H11485" s="70"/>
      <c r="BA11485" s="4"/>
      <c r="BB11485" s="4"/>
    </row>
    <row r="11486" spans="1:54" x14ac:dyDescent="0.3">
      <c r="A11486" s="66"/>
      <c r="B11486" s="67"/>
      <c r="C11486" s="66"/>
      <c r="D11486" s="68"/>
      <c r="E11486" s="10"/>
      <c r="F11486" s="69"/>
      <c r="G11486" s="68"/>
      <c r="H11486" s="70"/>
      <c r="BA11486" s="4"/>
      <c r="BB11486" s="4"/>
    </row>
    <row r="11487" spans="1:54" x14ac:dyDescent="0.3">
      <c r="A11487" s="66"/>
      <c r="B11487" s="67"/>
      <c r="C11487" s="66"/>
      <c r="D11487" s="68"/>
      <c r="E11487" s="10"/>
      <c r="F11487" s="69"/>
      <c r="G11487" s="68"/>
      <c r="H11487" s="70"/>
      <c r="BA11487" s="4"/>
      <c r="BB11487" s="4"/>
    </row>
    <row r="11488" spans="1:54" x14ac:dyDescent="0.3">
      <c r="A11488" s="66"/>
      <c r="B11488" s="67"/>
      <c r="C11488" s="66"/>
      <c r="D11488" s="68"/>
      <c r="E11488" s="10"/>
      <c r="F11488" s="69"/>
      <c r="G11488" s="68"/>
      <c r="H11488" s="70"/>
      <c r="BA11488" s="4"/>
      <c r="BB11488" s="4"/>
    </row>
    <row r="11489" spans="1:54" x14ac:dyDescent="0.3">
      <c r="A11489" s="66"/>
      <c r="B11489" s="67"/>
      <c r="C11489" s="66"/>
      <c r="D11489" s="68"/>
      <c r="E11489" s="10"/>
      <c r="F11489" s="69"/>
      <c r="G11489" s="68"/>
      <c r="H11489" s="70"/>
      <c r="BA11489" s="4"/>
      <c r="BB11489" s="4"/>
    </row>
    <row r="11490" spans="1:54" x14ac:dyDescent="0.3">
      <c r="A11490" s="66"/>
      <c r="B11490" s="67"/>
      <c r="C11490" s="66"/>
      <c r="D11490" s="68"/>
      <c r="E11490" s="10"/>
      <c r="F11490" s="69"/>
      <c r="G11490" s="68"/>
      <c r="H11490" s="70"/>
      <c r="BA11490" s="4"/>
      <c r="BB11490" s="4"/>
    </row>
    <row r="11491" spans="1:54" x14ac:dyDescent="0.3">
      <c r="A11491" s="66"/>
      <c r="B11491" s="67"/>
      <c r="C11491" s="66"/>
      <c r="D11491" s="68"/>
      <c r="E11491" s="10"/>
      <c r="F11491" s="69"/>
      <c r="G11491" s="68"/>
      <c r="H11491" s="70"/>
      <c r="BA11491" s="4"/>
      <c r="BB11491" s="4"/>
    </row>
    <row r="11492" spans="1:54" x14ac:dyDescent="0.3">
      <c r="A11492" s="66"/>
      <c r="B11492" s="67"/>
      <c r="C11492" s="66"/>
      <c r="D11492" s="68"/>
      <c r="E11492" s="10"/>
      <c r="F11492" s="69"/>
      <c r="G11492" s="68"/>
      <c r="H11492" s="70"/>
      <c r="BA11492" s="4"/>
      <c r="BB11492" s="4"/>
    </row>
    <row r="11493" spans="1:54" x14ac:dyDescent="0.3">
      <c r="A11493" s="66"/>
      <c r="B11493" s="67"/>
      <c r="C11493" s="66"/>
      <c r="D11493" s="68"/>
      <c r="E11493" s="10"/>
      <c r="F11493" s="69"/>
      <c r="G11493" s="68"/>
      <c r="H11493" s="70"/>
      <c r="BA11493" s="4"/>
      <c r="BB11493" s="4"/>
    </row>
    <row r="11494" spans="1:54" x14ac:dyDescent="0.3">
      <c r="A11494" s="66"/>
      <c r="B11494" s="67"/>
      <c r="C11494" s="66"/>
      <c r="D11494" s="68"/>
      <c r="E11494" s="10"/>
      <c r="F11494" s="69"/>
      <c r="G11494" s="68"/>
      <c r="H11494" s="70"/>
      <c r="BA11494" s="4"/>
      <c r="BB11494" s="4"/>
    </row>
    <row r="11495" spans="1:54" x14ac:dyDescent="0.3">
      <c r="A11495" s="66"/>
      <c r="B11495" s="67"/>
      <c r="C11495" s="66"/>
      <c r="D11495" s="68"/>
      <c r="E11495" s="10"/>
      <c r="F11495" s="69"/>
      <c r="G11495" s="68"/>
      <c r="H11495" s="70"/>
      <c r="BA11495" s="4"/>
      <c r="BB11495" s="4"/>
    </row>
    <row r="11496" spans="1:54" x14ac:dyDescent="0.3">
      <c r="A11496" s="66"/>
      <c r="B11496" s="67"/>
      <c r="C11496" s="66"/>
      <c r="D11496" s="68"/>
      <c r="E11496" s="10"/>
      <c r="F11496" s="69"/>
      <c r="G11496" s="68"/>
      <c r="H11496" s="70"/>
      <c r="BA11496" s="4"/>
      <c r="BB11496" s="4"/>
    </row>
    <row r="11497" spans="1:54" x14ac:dyDescent="0.3">
      <c r="A11497" s="66"/>
      <c r="B11497" s="67"/>
      <c r="C11497" s="66"/>
      <c r="D11497" s="68"/>
      <c r="E11497" s="10"/>
      <c r="F11497" s="69"/>
      <c r="G11497" s="68"/>
      <c r="H11497" s="70"/>
      <c r="BA11497" s="4"/>
      <c r="BB11497" s="4"/>
    </row>
    <row r="11498" spans="1:54" x14ac:dyDescent="0.3">
      <c r="A11498" s="66"/>
      <c r="B11498" s="67"/>
      <c r="C11498" s="66"/>
      <c r="D11498" s="68"/>
      <c r="E11498" s="10"/>
      <c r="F11498" s="69"/>
      <c r="G11498" s="68"/>
      <c r="H11498" s="70"/>
      <c r="BA11498" s="4"/>
      <c r="BB11498" s="4"/>
    </row>
    <row r="11499" spans="1:54" x14ac:dyDescent="0.3">
      <c r="A11499" s="66"/>
      <c r="B11499" s="67"/>
      <c r="C11499" s="66"/>
      <c r="D11499" s="68"/>
      <c r="E11499" s="10"/>
      <c r="F11499" s="69"/>
      <c r="G11499" s="68"/>
      <c r="H11499" s="70"/>
      <c r="BA11499" s="4"/>
      <c r="BB11499" s="4"/>
    </row>
    <row r="11500" spans="1:54" x14ac:dyDescent="0.3">
      <c r="A11500" s="66"/>
      <c r="B11500" s="67"/>
      <c r="C11500" s="66"/>
      <c r="D11500" s="68"/>
      <c r="E11500" s="10"/>
      <c r="F11500" s="69"/>
      <c r="G11500" s="68"/>
      <c r="H11500" s="70"/>
      <c r="BA11500" s="4"/>
      <c r="BB11500" s="4"/>
    </row>
    <row r="11501" spans="1:54" x14ac:dyDescent="0.3">
      <c r="A11501" s="66"/>
      <c r="B11501" s="67"/>
      <c r="C11501" s="66"/>
      <c r="D11501" s="68"/>
      <c r="E11501" s="10"/>
      <c r="F11501" s="69"/>
      <c r="G11501" s="68"/>
      <c r="H11501" s="70"/>
      <c r="BA11501" s="4"/>
      <c r="BB11501" s="4"/>
    </row>
    <row r="11502" spans="1:54" x14ac:dyDescent="0.3">
      <c r="A11502" s="66"/>
      <c r="B11502" s="67"/>
      <c r="C11502" s="66"/>
      <c r="D11502" s="68"/>
      <c r="E11502" s="10"/>
      <c r="F11502" s="69"/>
      <c r="G11502" s="68"/>
      <c r="H11502" s="70"/>
      <c r="BA11502" s="4"/>
      <c r="BB11502" s="4"/>
    </row>
    <row r="11503" spans="1:54" x14ac:dyDescent="0.3">
      <c r="A11503" s="66"/>
      <c r="B11503" s="67"/>
      <c r="C11503" s="66"/>
      <c r="D11503" s="68"/>
      <c r="E11503" s="10"/>
      <c r="F11503" s="69"/>
      <c r="G11503" s="68"/>
      <c r="H11503" s="70"/>
      <c r="BA11503" s="4"/>
      <c r="BB11503" s="4"/>
    </row>
    <row r="11504" spans="1:54" x14ac:dyDescent="0.3">
      <c r="A11504" s="66"/>
      <c r="B11504" s="67"/>
      <c r="C11504" s="66"/>
      <c r="D11504" s="68"/>
      <c r="E11504" s="10"/>
      <c r="F11504" s="69"/>
      <c r="G11504" s="68"/>
      <c r="H11504" s="70"/>
      <c r="BA11504" s="4"/>
      <c r="BB11504" s="4"/>
    </row>
    <row r="11505" spans="1:54" x14ac:dyDescent="0.3">
      <c r="A11505" s="66"/>
      <c r="B11505" s="67"/>
      <c r="C11505" s="66"/>
      <c r="D11505" s="68"/>
      <c r="E11505" s="10"/>
      <c r="F11505" s="69"/>
      <c r="G11505" s="68"/>
      <c r="H11505" s="70"/>
      <c r="BA11505" s="4"/>
      <c r="BB11505" s="4"/>
    </row>
    <row r="11506" spans="1:54" x14ac:dyDescent="0.3">
      <c r="A11506" s="66"/>
      <c r="B11506" s="67"/>
      <c r="C11506" s="66"/>
      <c r="D11506" s="68"/>
      <c r="E11506" s="10"/>
      <c r="F11506" s="69"/>
      <c r="G11506" s="68"/>
      <c r="H11506" s="70"/>
      <c r="BA11506" s="4"/>
      <c r="BB11506" s="4"/>
    </row>
    <row r="11507" spans="1:54" x14ac:dyDescent="0.3">
      <c r="A11507" s="66"/>
      <c r="B11507" s="67"/>
      <c r="C11507" s="66"/>
      <c r="D11507" s="68"/>
      <c r="E11507" s="10"/>
      <c r="F11507" s="69"/>
      <c r="G11507" s="68"/>
      <c r="H11507" s="70"/>
      <c r="BA11507" s="4"/>
      <c r="BB11507" s="4"/>
    </row>
    <row r="11508" spans="1:54" x14ac:dyDescent="0.3">
      <c r="A11508" s="66"/>
      <c r="B11508" s="67"/>
      <c r="C11508" s="66"/>
      <c r="D11508" s="68"/>
      <c r="E11508" s="10"/>
      <c r="F11508" s="69"/>
      <c r="G11508" s="68"/>
      <c r="H11508" s="70"/>
      <c r="BA11508" s="4"/>
      <c r="BB11508" s="4"/>
    </row>
    <row r="11509" spans="1:54" x14ac:dyDescent="0.3">
      <c r="A11509" s="66"/>
      <c r="B11509" s="67"/>
      <c r="C11509" s="66"/>
      <c r="D11509" s="68"/>
      <c r="E11509" s="10"/>
      <c r="F11509" s="69"/>
      <c r="G11509" s="68"/>
      <c r="H11509" s="70"/>
      <c r="BA11509" s="4"/>
      <c r="BB11509" s="4"/>
    </row>
    <row r="11510" spans="1:54" x14ac:dyDescent="0.3">
      <c r="A11510" s="66"/>
      <c r="B11510" s="67"/>
      <c r="C11510" s="66"/>
      <c r="D11510" s="68"/>
      <c r="E11510" s="10"/>
      <c r="F11510" s="69"/>
      <c r="G11510" s="68"/>
      <c r="H11510" s="70"/>
      <c r="BA11510" s="4"/>
      <c r="BB11510" s="4"/>
    </row>
    <row r="11511" spans="1:54" x14ac:dyDescent="0.3">
      <c r="A11511" s="66"/>
      <c r="B11511" s="67"/>
      <c r="C11511" s="66"/>
      <c r="D11511" s="68"/>
      <c r="E11511" s="10"/>
      <c r="F11511" s="69"/>
      <c r="G11511" s="68"/>
      <c r="H11511" s="70"/>
      <c r="BA11511" s="4"/>
      <c r="BB11511" s="4"/>
    </row>
    <row r="11512" spans="1:54" x14ac:dyDescent="0.3">
      <c r="A11512" s="66"/>
      <c r="B11512" s="67"/>
      <c r="C11512" s="66"/>
      <c r="D11512" s="68"/>
      <c r="E11512" s="10"/>
      <c r="F11512" s="69"/>
      <c r="G11512" s="68"/>
      <c r="H11512" s="70"/>
      <c r="BA11512" s="4"/>
      <c r="BB11512" s="4"/>
    </row>
    <row r="11513" spans="1:54" x14ac:dyDescent="0.3">
      <c r="A11513" s="66"/>
      <c r="B11513" s="67"/>
      <c r="C11513" s="66"/>
      <c r="D11513" s="68"/>
      <c r="E11513" s="10"/>
      <c r="F11513" s="69"/>
      <c r="G11513" s="68"/>
      <c r="H11513" s="70"/>
      <c r="BA11513" s="4"/>
      <c r="BB11513" s="4"/>
    </row>
    <row r="11514" spans="1:54" x14ac:dyDescent="0.3">
      <c r="A11514" s="66"/>
      <c r="B11514" s="67"/>
      <c r="C11514" s="66"/>
      <c r="D11514" s="68"/>
      <c r="E11514" s="10"/>
      <c r="F11514" s="69"/>
      <c r="G11514" s="68"/>
      <c r="H11514" s="70"/>
      <c r="BA11514" s="4"/>
      <c r="BB11514" s="4"/>
    </row>
    <row r="11515" spans="1:54" x14ac:dyDescent="0.3">
      <c r="A11515" s="66"/>
      <c r="B11515" s="67"/>
      <c r="C11515" s="66"/>
      <c r="D11515" s="68"/>
      <c r="E11515" s="10"/>
      <c r="F11515" s="69"/>
      <c r="G11515" s="68"/>
      <c r="H11515" s="70"/>
      <c r="BA11515" s="4"/>
      <c r="BB11515" s="4"/>
    </row>
    <row r="11516" spans="1:54" x14ac:dyDescent="0.3">
      <c r="A11516" s="66"/>
      <c r="B11516" s="67"/>
      <c r="C11516" s="66"/>
      <c r="D11516" s="68"/>
      <c r="E11516" s="10"/>
      <c r="F11516" s="69"/>
      <c r="G11516" s="68"/>
      <c r="H11516" s="70"/>
      <c r="BA11516" s="4"/>
      <c r="BB11516" s="4"/>
    </row>
    <row r="11517" spans="1:54" x14ac:dyDescent="0.3">
      <c r="A11517" s="66"/>
      <c r="B11517" s="67"/>
      <c r="C11517" s="66"/>
      <c r="D11517" s="68"/>
      <c r="E11517" s="10"/>
      <c r="F11517" s="69"/>
      <c r="G11517" s="68"/>
      <c r="H11517" s="70"/>
      <c r="BA11517" s="4"/>
      <c r="BB11517" s="4"/>
    </row>
    <row r="11518" spans="1:54" x14ac:dyDescent="0.3">
      <c r="A11518" s="66"/>
      <c r="B11518" s="67"/>
      <c r="C11518" s="66"/>
      <c r="D11518" s="68"/>
      <c r="E11518" s="10"/>
      <c r="F11518" s="69"/>
      <c r="G11518" s="68"/>
      <c r="H11518" s="70"/>
      <c r="BA11518" s="4"/>
      <c r="BB11518" s="4"/>
    </row>
    <row r="11519" spans="1:54" x14ac:dyDescent="0.3">
      <c r="A11519" s="66"/>
      <c r="B11519" s="67"/>
      <c r="C11519" s="66"/>
      <c r="D11519" s="68"/>
      <c r="E11519" s="10"/>
      <c r="F11519" s="69"/>
      <c r="G11519" s="68"/>
      <c r="H11519" s="70"/>
      <c r="BA11519" s="4"/>
      <c r="BB11519" s="4"/>
    </row>
    <row r="11520" spans="1:54" x14ac:dyDescent="0.3">
      <c r="A11520" s="66"/>
      <c r="B11520" s="67"/>
      <c r="C11520" s="66"/>
      <c r="D11520" s="68"/>
      <c r="E11520" s="10"/>
      <c r="F11520" s="69"/>
      <c r="G11520" s="68"/>
      <c r="H11520" s="70"/>
      <c r="BA11520" s="4"/>
      <c r="BB11520" s="4"/>
    </row>
    <row r="11521" spans="1:54" x14ac:dyDescent="0.3">
      <c r="A11521" s="66"/>
      <c r="B11521" s="67"/>
      <c r="C11521" s="66"/>
      <c r="D11521" s="68"/>
      <c r="E11521" s="10"/>
      <c r="F11521" s="69"/>
      <c r="G11521" s="68"/>
      <c r="H11521" s="70"/>
      <c r="BA11521" s="4"/>
      <c r="BB11521" s="4"/>
    </row>
    <row r="11522" spans="1:54" x14ac:dyDescent="0.3">
      <c r="A11522" s="66"/>
      <c r="B11522" s="67"/>
      <c r="C11522" s="66"/>
      <c r="D11522" s="68"/>
      <c r="E11522" s="10"/>
      <c r="F11522" s="69"/>
      <c r="G11522" s="68"/>
      <c r="H11522" s="70"/>
      <c r="BA11522" s="4"/>
      <c r="BB11522" s="4"/>
    </row>
    <row r="11523" spans="1:54" x14ac:dyDescent="0.3">
      <c r="A11523" s="66"/>
      <c r="B11523" s="67"/>
      <c r="C11523" s="66"/>
      <c r="D11523" s="68"/>
      <c r="E11523" s="10"/>
      <c r="F11523" s="69"/>
      <c r="G11523" s="68"/>
      <c r="H11523" s="70"/>
      <c r="BA11523" s="4"/>
      <c r="BB11523" s="4"/>
    </row>
    <row r="11524" spans="1:54" x14ac:dyDescent="0.3">
      <c r="A11524" s="66"/>
      <c r="B11524" s="67"/>
      <c r="C11524" s="66"/>
      <c r="D11524" s="68"/>
      <c r="E11524" s="10"/>
      <c r="F11524" s="69"/>
      <c r="G11524" s="68"/>
      <c r="H11524" s="70"/>
      <c r="BA11524" s="4"/>
      <c r="BB11524" s="4"/>
    </row>
    <row r="11525" spans="1:54" x14ac:dyDescent="0.3">
      <c r="A11525" s="66"/>
      <c r="B11525" s="67"/>
      <c r="C11525" s="66"/>
      <c r="D11525" s="68"/>
      <c r="E11525" s="10"/>
      <c r="F11525" s="69"/>
      <c r="G11525" s="68"/>
      <c r="H11525" s="70"/>
      <c r="BA11525" s="4"/>
      <c r="BB11525" s="4"/>
    </row>
    <row r="11526" spans="1:54" x14ac:dyDescent="0.3">
      <c r="A11526" s="66"/>
      <c r="B11526" s="67"/>
      <c r="C11526" s="66"/>
      <c r="D11526" s="68"/>
      <c r="E11526" s="10"/>
      <c r="F11526" s="69"/>
      <c r="G11526" s="68"/>
      <c r="H11526" s="70"/>
      <c r="BA11526" s="4"/>
      <c r="BB11526" s="4"/>
    </row>
    <row r="11527" spans="1:54" x14ac:dyDescent="0.3">
      <c r="A11527" s="66"/>
      <c r="B11527" s="67"/>
      <c r="C11527" s="66"/>
      <c r="D11527" s="68"/>
      <c r="E11527" s="10"/>
      <c r="F11527" s="69"/>
      <c r="G11527" s="68"/>
      <c r="H11527" s="70"/>
      <c r="BA11527" s="4"/>
      <c r="BB11527" s="4"/>
    </row>
    <row r="11528" spans="1:54" x14ac:dyDescent="0.3">
      <c r="A11528" s="66"/>
      <c r="B11528" s="67"/>
      <c r="C11528" s="66"/>
      <c r="D11528" s="68"/>
      <c r="E11528" s="10"/>
      <c r="F11528" s="69"/>
      <c r="G11528" s="68"/>
      <c r="H11528" s="70"/>
      <c r="BA11528" s="4"/>
      <c r="BB11528" s="4"/>
    </row>
    <row r="11529" spans="1:54" x14ac:dyDescent="0.3">
      <c r="A11529" s="66"/>
      <c r="B11529" s="67"/>
      <c r="C11529" s="66"/>
      <c r="D11529" s="68"/>
      <c r="E11529" s="10"/>
      <c r="F11529" s="69"/>
      <c r="G11529" s="68"/>
      <c r="H11529" s="70"/>
      <c r="BA11529" s="4"/>
      <c r="BB11529" s="4"/>
    </row>
    <row r="11530" spans="1:54" x14ac:dyDescent="0.3">
      <c r="A11530" s="66"/>
      <c r="B11530" s="67"/>
      <c r="C11530" s="66"/>
      <c r="D11530" s="68"/>
      <c r="E11530" s="10"/>
      <c r="F11530" s="69"/>
      <c r="G11530" s="68"/>
      <c r="H11530" s="70"/>
      <c r="BA11530" s="4"/>
      <c r="BB11530" s="4"/>
    </row>
    <row r="11531" spans="1:54" x14ac:dyDescent="0.3">
      <c r="A11531" s="66"/>
      <c r="B11531" s="67"/>
      <c r="C11531" s="66"/>
      <c r="D11531" s="68"/>
      <c r="E11531" s="10"/>
      <c r="F11531" s="69"/>
      <c r="G11531" s="68"/>
      <c r="H11531" s="70"/>
      <c r="BA11531" s="4"/>
      <c r="BB11531" s="4"/>
    </row>
    <row r="11532" spans="1:54" x14ac:dyDescent="0.3">
      <c r="A11532" s="66"/>
      <c r="B11532" s="67"/>
      <c r="C11532" s="66"/>
      <c r="D11532" s="68"/>
      <c r="E11532" s="10"/>
      <c r="F11532" s="69"/>
      <c r="G11532" s="68"/>
      <c r="H11532" s="70"/>
      <c r="BA11532" s="4"/>
      <c r="BB11532" s="4"/>
    </row>
    <row r="11533" spans="1:54" x14ac:dyDescent="0.3">
      <c r="A11533" s="66"/>
      <c r="B11533" s="67"/>
      <c r="C11533" s="66"/>
      <c r="D11533" s="68"/>
      <c r="E11533" s="10"/>
      <c r="F11533" s="69"/>
      <c r="G11533" s="68"/>
      <c r="H11533" s="70"/>
      <c r="BA11533" s="4"/>
      <c r="BB11533" s="4"/>
    </row>
    <row r="11534" spans="1:54" x14ac:dyDescent="0.3">
      <c r="A11534" s="66"/>
      <c r="B11534" s="67"/>
      <c r="C11534" s="66"/>
      <c r="D11534" s="68"/>
      <c r="E11534" s="10"/>
      <c r="F11534" s="69"/>
      <c r="G11534" s="68"/>
      <c r="H11534" s="70"/>
      <c r="BA11534" s="4"/>
      <c r="BB11534" s="4"/>
    </row>
    <row r="11535" spans="1:54" x14ac:dyDescent="0.3">
      <c r="A11535" s="66"/>
      <c r="B11535" s="67"/>
      <c r="C11535" s="66"/>
      <c r="D11535" s="68"/>
      <c r="E11535" s="10"/>
      <c r="F11535" s="69"/>
      <c r="G11535" s="68"/>
      <c r="H11535" s="70"/>
      <c r="BA11535" s="4"/>
      <c r="BB11535" s="4"/>
    </row>
    <row r="11536" spans="1:54" x14ac:dyDescent="0.3">
      <c r="A11536" s="66"/>
      <c r="B11536" s="67"/>
      <c r="C11536" s="66"/>
      <c r="D11536" s="68"/>
      <c r="E11536" s="10"/>
      <c r="F11536" s="69"/>
      <c r="G11536" s="68"/>
      <c r="H11536" s="70"/>
      <c r="BA11536" s="4"/>
      <c r="BB11536" s="4"/>
    </row>
    <row r="11537" spans="1:54" x14ac:dyDescent="0.3">
      <c r="A11537" s="66"/>
      <c r="B11537" s="67"/>
      <c r="C11537" s="66"/>
      <c r="D11537" s="68"/>
      <c r="E11537" s="10"/>
      <c r="F11537" s="69"/>
      <c r="G11537" s="68"/>
      <c r="H11537" s="70"/>
      <c r="BA11537" s="4"/>
      <c r="BB11537" s="4"/>
    </row>
    <row r="11538" spans="1:54" x14ac:dyDescent="0.3">
      <c r="A11538" s="66"/>
      <c r="B11538" s="67"/>
      <c r="C11538" s="66"/>
      <c r="D11538" s="68"/>
      <c r="E11538" s="10"/>
      <c r="F11538" s="69"/>
      <c r="G11538" s="68"/>
      <c r="H11538" s="70"/>
      <c r="BA11538" s="4"/>
      <c r="BB11538" s="4"/>
    </row>
    <row r="11539" spans="1:54" x14ac:dyDescent="0.3">
      <c r="A11539" s="66"/>
      <c r="B11539" s="67"/>
      <c r="C11539" s="66"/>
      <c r="D11539" s="68"/>
      <c r="E11539" s="10"/>
      <c r="F11539" s="69"/>
      <c r="G11539" s="68"/>
      <c r="H11539" s="70"/>
      <c r="BA11539" s="4"/>
      <c r="BB11539" s="4"/>
    </row>
    <row r="11540" spans="1:54" x14ac:dyDescent="0.3">
      <c r="A11540" s="66"/>
      <c r="B11540" s="67"/>
      <c r="C11540" s="66"/>
      <c r="D11540" s="68"/>
      <c r="E11540" s="10"/>
      <c r="F11540" s="69"/>
      <c r="G11540" s="68"/>
      <c r="H11540" s="70"/>
      <c r="BA11540" s="4"/>
      <c r="BB11540" s="4"/>
    </row>
    <row r="11541" spans="1:54" x14ac:dyDescent="0.3">
      <c r="A11541" s="66"/>
      <c r="B11541" s="67"/>
      <c r="C11541" s="66"/>
      <c r="D11541" s="68"/>
      <c r="E11541" s="10"/>
      <c r="F11541" s="69"/>
      <c r="G11541" s="68"/>
      <c r="H11541" s="70"/>
      <c r="BA11541" s="4"/>
      <c r="BB11541" s="4"/>
    </row>
    <row r="11542" spans="1:54" x14ac:dyDescent="0.3">
      <c r="A11542" s="66"/>
      <c r="B11542" s="67"/>
      <c r="C11542" s="66"/>
      <c r="D11542" s="68"/>
      <c r="E11542" s="10"/>
      <c r="F11542" s="69"/>
      <c r="G11542" s="68"/>
      <c r="H11542" s="70"/>
      <c r="BA11542" s="4"/>
      <c r="BB11542" s="4"/>
    </row>
    <row r="11543" spans="1:54" x14ac:dyDescent="0.3">
      <c r="A11543" s="66"/>
      <c r="B11543" s="67"/>
      <c r="C11543" s="66"/>
      <c r="D11543" s="68"/>
      <c r="E11543" s="10"/>
      <c r="F11543" s="69"/>
      <c r="G11543" s="68"/>
      <c r="H11543" s="70"/>
      <c r="BA11543" s="4"/>
      <c r="BB11543" s="4"/>
    </row>
    <row r="11544" spans="1:54" x14ac:dyDescent="0.3">
      <c r="A11544" s="66"/>
      <c r="B11544" s="67"/>
      <c r="C11544" s="66"/>
      <c r="D11544" s="68"/>
      <c r="E11544" s="10"/>
      <c r="F11544" s="69"/>
      <c r="G11544" s="68"/>
      <c r="H11544" s="70"/>
      <c r="BA11544" s="4"/>
      <c r="BB11544" s="4"/>
    </row>
    <row r="11545" spans="1:54" x14ac:dyDescent="0.3">
      <c r="A11545" s="66"/>
      <c r="B11545" s="67"/>
      <c r="C11545" s="66"/>
      <c r="D11545" s="68"/>
      <c r="E11545" s="10"/>
      <c r="F11545" s="69"/>
      <c r="G11545" s="68"/>
      <c r="H11545" s="70"/>
      <c r="BA11545" s="4"/>
      <c r="BB11545" s="4"/>
    </row>
    <row r="11546" spans="1:54" x14ac:dyDescent="0.3">
      <c r="A11546" s="66"/>
      <c r="B11546" s="67"/>
      <c r="C11546" s="66"/>
      <c r="D11546" s="68"/>
      <c r="E11546" s="10"/>
      <c r="F11546" s="69"/>
      <c r="G11546" s="68"/>
      <c r="H11546" s="70"/>
      <c r="BA11546" s="4"/>
      <c r="BB11546" s="4"/>
    </row>
    <row r="11547" spans="1:54" x14ac:dyDescent="0.3">
      <c r="A11547" s="66"/>
      <c r="B11547" s="67"/>
      <c r="C11547" s="66"/>
      <c r="D11547" s="68"/>
      <c r="E11547" s="10"/>
      <c r="F11547" s="69"/>
      <c r="G11547" s="68"/>
      <c r="H11547" s="70"/>
      <c r="BA11547" s="4"/>
      <c r="BB11547" s="4"/>
    </row>
    <row r="11548" spans="1:54" x14ac:dyDescent="0.3">
      <c r="A11548" s="66"/>
      <c r="B11548" s="67"/>
      <c r="C11548" s="66"/>
      <c r="D11548" s="68"/>
      <c r="E11548" s="10"/>
      <c r="F11548" s="69"/>
      <c r="G11548" s="68"/>
      <c r="H11548" s="70"/>
      <c r="BA11548" s="4"/>
      <c r="BB11548" s="4"/>
    </row>
    <row r="11549" spans="1:54" x14ac:dyDescent="0.3">
      <c r="A11549" s="66"/>
      <c r="B11549" s="67"/>
      <c r="C11549" s="66"/>
      <c r="D11549" s="68"/>
      <c r="E11549" s="10"/>
      <c r="F11549" s="69"/>
      <c r="G11549" s="68"/>
      <c r="H11549" s="70"/>
      <c r="BA11549" s="4"/>
      <c r="BB11549" s="4"/>
    </row>
    <row r="11550" spans="1:54" x14ac:dyDescent="0.3">
      <c r="A11550" s="66"/>
      <c r="B11550" s="67"/>
      <c r="C11550" s="66"/>
      <c r="D11550" s="68"/>
      <c r="E11550" s="10"/>
      <c r="F11550" s="69"/>
      <c r="G11550" s="68"/>
      <c r="H11550" s="70"/>
      <c r="BA11550" s="4"/>
      <c r="BB11550" s="4"/>
    </row>
    <row r="11551" spans="1:54" x14ac:dyDescent="0.3">
      <c r="A11551" s="66"/>
      <c r="B11551" s="67"/>
      <c r="C11551" s="66"/>
      <c r="D11551" s="68"/>
      <c r="E11551" s="10"/>
      <c r="F11551" s="69"/>
      <c r="G11551" s="68"/>
      <c r="H11551" s="70"/>
      <c r="BA11551" s="4"/>
      <c r="BB11551" s="4"/>
    </row>
    <row r="11552" spans="1:54" x14ac:dyDescent="0.3">
      <c r="A11552" s="66"/>
      <c r="B11552" s="67"/>
      <c r="C11552" s="66"/>
      <c r="D11552" s="68"/>
      <c r="E11552" s="10"/>
      <c r="F11552" s="69"/>
      <c r="G11552" s="68"/>
      <c r="H11552" s="70"/>
      <c r="BA11552" s="4"/>
      <c r="BB11552" s="4"/>
    </row>
    <row r="11553" spans="1:54" x14ac:dyDescent="0.3">
      <c r="A11553" s="66"/>
      <c r="B11553" s="67"/>
      <c r="C11553" s="66"/>
      <c r="D11553" s="68"/>
      <c r="E11553" s="10"/>
      <c r="F11553" s="69"/>
      <c r="G11553" s="68"/>
      <c r="H11553" s="70"/>
      <c r="BA11553" s="4"/>
      <c r="BB11553" s="4"/>
    </row>
    <row r="11554" spans="1:54" x14ac:dyDescent="0.3">
      <c r="A11554" s="66"/>
      <c r="B11554" s="67"/>
      <c r="C11554" s="66"/>
      <c r="D11554" s="68"/>
      <c r="E11554" s="10"/>
      <c r="F11554" s="69"/>
      <c r="G11554" s="68"/>
      <c r="H11554" s="70"/>
      <c r="BA11554" s="4"/>
      <c r="BB11554" s="4"/>
    </row>
    <row r="11555" spans="1:54" x14ac:dyDescent="0.3">
      <c r="A11555" s="66"/>
      <c r="B11555" s="67"/>
      <c r="C11555" s="66"/>
      <c r="D11555" s="68"/>
      <c r="E11555" s="10"/>
      <c r="F11555" s="69"/>
      <c r="G11555" s="68"/>
      <c r="H11555" s="70"/>
      <c r="BA11555" s="4"/>
      <c r="BB11555" s="4"/>
    </row>
    <row r="11556" spans="1:54" x14ac:dyDescent="0.3">
      <c r="A11556" s="66"/>
      <c r="B11556" s="67"/>
      <c r="C11556" s="66"/>
      <c r="D11556" s="68"/>
      <c r="E11556" s="10"/>
      <c r="F11556" s="69"/>
      <c r="G11556" s="68"/>
      <c r="H11556" s="70"/>
      <c r="BA11556" s="4"/>
      <c r="BB11556" s="4"/>
    </row>
    <row r="11557" spans="1:54" x14ac:dyDescent="0.3">
      <c r="A11557" s="66"/>
      <c r="B11557" s="67"/>
      <c r="C11557" s="66"/>
      <c r="D11557" s="68"/>
      <c r="E11557" s="10"/>
      <c r="F11557" s="69"/>
      <c r="G11557" s="68"/>
      <c r="H11557" s="70"/>
      <c r="BA11557" s="4"/>
      <c r="BB11557" s="4"/>
    </row>
    <row r="11558" spans="1:54" x14ac:dyDescent="0.3">
      <c r="A11558" s="66"/>
      <c r="B11558" s="67"/>
      <c r="C11558" s="66"/>
      <c r="D11558" s="68"/>
      <c r="E11558" s="10"/>
      <c r="F11558" s="69"/>
      <c r="G11558" s="68"/>
      <c r="H11558" s="70"/>
      <c r="BA11558" s="4"/>
      <c r="BB11558" s="4"/>
    </row>
    <row r="11559" spans="1:54" x14ac:dyDescent="0.3">
      <c r="A11559" s="66"/>
      <c r="B11559" s="67"/>
      <c r="C11559" s="66"/>
      <c r="D11559" s="68"/>
      <c r="E11559" s="10"/>
      <c r="F11559" s="69"/>
      <c r="G11559" s="68"/>
      <c r="H11559" s="70"/>
      <c r="BA11559" s="4"/>
      <c r="BB11559" s="4"/>
    </row>
    <row r="11560" spans="1:54" x14ac:dyDescent="0.3">
      <c r="A11560" s="66"/>
      <c r="B11560" s="67"/>
      <c r="C11560" s="66"/>
      <c r="D11560" s="68"/>
      <c r="E11560" s="10"/>
      <c r="F11560" s="69"/>
      <c r="G11560" s="68"/>
      <c r="H11560" s="70"/>
      <c r="BA11560" s="4"/>
      <c r="BB11560" s="4"/>
    </row>
    <row r="11561" spans="1:54" x14ac:dyDescent="0.3">
      <c r="A11561" s="66"/>
      <c r="B11561" s="67"/>
      <c r="C11561" s="66"/>
      <c r="D11561" s="68"/>
      <c r="E11561" s="10"/>
      <c r="F11561" s="69"/>
      <c r="G11561" s="68"/>
      <c r="H11561" s="70"/>
      <c r="BA11561" s="4"/>
      <c r="BB11561" s="4"/>
    </row>
    <row r="11562" spans="1:54" x14ac:dyDescent="0.3">
      <c r="A11562" s="66"/>
      <c r="B11562" s="67"/>
      <c r="C11562" s="66"/>
      <c r="D11562" s="68"/>
      <c r="E11562" s="10"/>
      <c r="F11562" s="69"/>
      <c r="G11562" s="68"/>
      <c r="H11562" s="70"/>
      <c r="BA11562" s="4"/>
      <c r="BB11562" s="4"/>
    </row>
    <row r="11563" spans="1:54" x14ac:dyDescent="0.3">
      <c r="A11563" s="66"/>
      <c r="B11563" s="67"/>
      <c r="C11563" s="66"/>
      <c r="D11563" s="68"/>
      <c r="E11563" s="10"/>
      <c r="F11563" s="69"/>
      <c r="G11563" s="68"/>
      <c r="H11563" s="70"/>
      <c r="BA11563" s="4"/>
      <c r="BB11563" s="4"/>
    </row>
    <row r="11564" spans="1:54" x14ac:dyDescent="0.3">
      <c r="A11564" s="66"/>
      <c r="B11564" s="67"/>
      <c r="C11564" s="66"/>
      <c r="D11564" s="68"/>
      <c r="E11564" s="10"/>
      <c r="F11564" s="69"/>
      <c r="G11564" s="68"/>
      <c r="H11564" s="70"/>
      <c r="BA11564" s="4"/>
      <c r="BB11564" s="4"/>
    </row>
    <row r="11565" spans="1:54" x14ac:dyDescent="0.3">
      <c r="A11565" s="66"/>
      <c r="B11565" s="67"/>
      <c r="C11565" s="66"/>
      <c r="D11565" s="68"/>
      <c r="E11565" s="10"/>
      <c r="F11565" s="69"/>
      <c r="G11565" s="68"/>
      <c r="H11565" s="70"/>
      <c r="BA11565" s="4"/>
      <c r="BB11565" s="4"/>
    </row>
    <row r="11566" spans="1:54" x14ac:dyDescent="0.3">
      <c r="A11566" s="66"/>
      <c r="B11566" s="67"/>
      <c r="C11566" s="66"/>
      <c r="D11566" s="68"/>
      <c r="E11566" s="10"/>
      <c r="F11566" s="69"/>
      <c r="G11566" s="68"/>
      <c r="H11566" s="70"/>
      <c r="BA11566" s="4"/>
      <c r="BB11566" s="4"/>
    </row>
    <row r="11567" spans="1:54" x14ac:dyDescent="0.3">
      <c r="A11567" s="66"/>
      <c r="B11567" s="67"/>
      <c r="C11567" s="66"/>
      <c r="D11567" s="68"/>
      <c r="E11567" s="10"/>
      <c r="F11567" s="69"/>
      <c r="G11567" s="68"/>
      <c r="H11567" s="70"/>
      <c r="BA11567" s="4"/>
      <c r="BB11567" s="4"/>
    </row>
    <row r="11568" spans="1:54" x14ac:dyDescent="0.3">
      <c r="A11568" s="66"/>
      <c r="B11568" s="67"/>
      <c r="C11568" s="66"/>
      <c r="D11568" s="68"/>
      <c r="E11568" s="10"/>
      <c r="F11568" s="69"/>
      <c r="G11568" s="68"/>
      <c r="H11568" s="70"/>
      <c r="BA11568" s="4"/>
      <c r="BB11568" s="4"/>
    </row>
    <row r="11569" spans="1:54" x14ac:dyDescent="0.3">
      <c r="A11569" s="66"/>
      <c r="B11569" s="67"/>
      <c r="C11569" s="66"/>
      <c r="D11569" s="68"/>
      <c r="E11569" s="10"/>
      <c r="F11569" s="69"/>
      <c r="G11569" s="68"/>
      <c r="H11569" s="70"/>
      <c r="BA11569" s="4"/>
      <c r="BB11569" s="4"/>
    </row>
    <row r="11570" spans="1:54" x14ac:dyDescent="0.3">
      <c r="A11570" s="66"/>
      <c r="B11570" s="67"/>
      <c r="C11570" s="66"/>
      <c r="D11570" s="68"/>
      <c r="E11570" s="10"/>
      <c r="F11570" s="69"/>
      <c r="G11570" s="68"/>
      <c r="H11570" s="70"/>
      <c r="BA11570" s="4"/>
      <c r="BB11570" s="4"/>
    </row>
    <row r="11571" spans="1:54" x14ac:dyDescent="0.3">
      <c r="A11571" s="66"/>
      <c r="B11571" s="67"/>
      <c r="C11571" s="66"/>
      <c r="D11571" s="68"/>
      <c r="E11571" s="10"/>
      <c r="F11571" s="69"/>
      <c r="G11571" s="68"/>
      <c r="H11571" s="70"/>
      <c r="BA11571" s="4"/>
      <c r="BB11571" s="4"/>
    </row>
    <row r="11572" spans="1:54" x14ac:dyDescent="0.3">
      <c r="A11572" s="66"/>
      <c r="B11572" s="67"/>
      <c r="C11572" s="66"/>
      <c r="D11572" s="68"/>
      <c r="E11572" s="10"/>
      <c r="F11572" s="69"/>
      <c r="G11572" s="68"/>
      <c r="H11572" s="70"/>
      <c r="BA11572" s="4"/>
      <c r="BB11572" s="4"/>
    </row>
    <row r="11573" spans="1:54" x14ac:dyDescent="0.3">
      <c r="A11573" s="66"/>
      <c r="B11573" s="67"/>
      <c r="C11573" s="66"/>
      <c r="D11573" s="68"/>
      <c r="E11573" s="10"/>
      <c r="F11573" s="69"/>
      <c r="G11573" s="68"/>
      <c r="H11573" s="70"/>
      <c r="BA11573" s="4"/>
      <c r="BB11573" s="4"/>
    </row>
    <row r="11574" spans="1:54" x14ac:dyDescent="0.3">
      <c r="A11574" s="66"/>
      <c r="B11574" s="67"/>
      <c r="C11574" s="66"/>
      <c r="D11574" s="68"/>
      <c r="E11574" s="10"/>
      <c r="F11574" s="69"/>
      <c r="G11574" s="68"/>
      <c r="H11574" s="70"/>
      <c r="BA11574" s="4"/>
      <c r="BB11574" s="4"/>
    </row>
    <row r="11575" spans="1:54" x14ac:dyDescent="0.3">
      <c r="A11575" s="66"/>
      <c r="B11575" s="67"/>
      <c r="C11575" s="66"/>
      <c r="D11575" s="68"/>
      <c r="E11575" s="10"/>
      <c r="F11575" s="69"/>
      <c r="G11575" s="68"/>
      <c r="H11575" s="70"/>
      <c r="BA11575" s="4"/>
      <c r="BB11575" s="4"/>
    </row>
    <row r="11576" spans="1:54" x14ac:dyDescent="0.3">
      <c r="A11576" s="66"/>
      <c r="B11576" s="67"/>
      <c r="C11576" s="66"/>
      <c r="D11576" s="68"/>
      <c r="E11576" s="10"/>
      <c r="F11576" s="69"/>
      <c r="G11576" s="68"/>
      <c r="H11576" s="70"/>
      <c r="BA11576" s="4"/>
      <c r="BB11576" s="4"/>
    </row>
    <row r="11577" spans="1:54" x14ac:dyDescent="0.3">
      <c r="A11577" s="66"/>
      <c r="B11577" s="67"/>
      <c r="C11577" s="66"/>
      <c r="D11577" s="68"/>
      <c r="E11577" s="10"/>
      <c r="F11577" s="69"/>
      <c r="G11577" s="68"/>
      <c r="H11577" s="70"/>
      <c r="BA11577" s="4"/>
      <c r="BB11577" s="4"/>
    </row>
    <row r="11578" spans="1:54" x14ac:dyDescent="0.3">
      <c r="A11578" s="66"/>
      <c r="B11578" s="67"/>
      <c r="C11578" s="66"/>
      <c r="D11578" s="68"/>
      <c r="E11578" s="10"/>
      <c r="F11578" s="69"/>
      <c r="G11578" s="68"/>
      <c r="H11578" s="70"/>
      <c r="BA11578" s="4"/>
      <c r="BB11578" s="4"/>
    </row>
    <row r="11579" spans="1:54" x14ac:dyDescent="0.3">
      <c r="A11579" s="66"/>
      <c r="B11579" s="67"/>
      <c r="C11579" s="66"/>
      <c r="D11579" s="68"/>
      <c r="E11579" s="10"/>
      <c r="F11579" s="69"/>
      <c r="G11579" s="68"/>
      <c r="H11579" s="70"/>
      <c r="BA11579" s="4"/>
      <c r="BB11579" s="4"/>
    </row>
    <row r="11580" spans="1:54" x14ac:dyDescent="0.3">
      <c r="A11580" s="66"/>
      <c r="B11580" s="67"/>
      <c r="C11580" s="66"/>
      <c r="D11580" s="68"/>
      <c r="E11580" s="10"/>
      <c r="F11580" s="69"/>
      <c r="G11580" s="68"/>
      <c r="H11580" s="70"/>
      <c r="BA11580" s="4"/>
      <c r="BB11580" s="4"/>
    </row>
    <row r="11581" spans="1:54" x14ac:dyDescent="0.3">
      <c r="A11581" s="66"/>
      <c r="B11581" s="67"/>
      <c r="C11581" s="66"/>
      <c r="D11581" s="68"/>
      <c r="E11581" s="10"/>
      <c r="F11581" s="69"/>
      <c r="G11581" s="68"/>
      <c r="H11581" s="70"/>
      <c r="BA11581" s="4"/>
      <c r="BB11581" s="4"/>
    </row>
    <row r="11582" spans="1:54" x14ac:dyDescent="0.3">
      <c r="A11582" s="66"/>
      <c r="B11582" s="67"/>
      <c r="C11582" s="66"/>
      <c r="D11582" s="68"/>
      <c r="E11582" s="10"/>
      <c r="F11582" s="69"/>
      <c r="G11582" s="68"/>
      <c r="H11582" s="70"/>
      <c r="BA11582" s="4"/>
      <c r="BB11582" s="4"/>
    </row>
    <row r="11583" spans="1:54" x14ac:dyDescent="0.3">
      <c r="A11583" s="66"/>
      <c r="B11583" s="67"/>
      <c r="C11583" s="66"/>
      <c r="D11583" s="68"/>
      <c r="E11583" s="10"/>
      <c r="F11583" s="69"/>
      <c r="G11583" s="68"/>
      <c r="H11583" s="70"/>
      <c r="BA11583" s="4"/>
      <c r="BB11583" s="4"/>
    </row>
    <row r="11584" spans="1:54" x14ac:dyDescent="0.3">
      <c r="A11584" s="66"/>
      <c r="B11584" s="67"/>
      <c r="C11584" s="66"/>
      <c r="D11584" s="68"/>
      <c r="E11584" s="10"/>
      <c r="F11584" s="69"/>
      <c r="G11584" s="68"/>
      <c r="H11584" s="70"/>
      <c r="BA11584" s="4"/>
      <c r="BB11584" s="4"/>
    </row>
    <row r="11585" spans="1:54" x14ac:dyDescent="0.3">
      <c r="A11585" s="66"/>
      <c r="B11585" s="67"/>
      <c r="C11585" s="66"/>
      <c r="D11585" s="68"/>
      <c r="E11585" s="10"/>
      <c r="F11585" s="69"/>
      <c r="G11585" s="68"/>
      <c r="H11585" s="70"/>
      <c r="BA11585" s="4"/>
      <c r="BB11585" s="4"/>
    </row>
    <row r="11586" spans="1:54" x14ac:dyDescent="0.3">
      <c r="A11586" s="66"/>
      <c r="B11586" s="67"/>
      <c r="C11586" s="66"/>
      <c r="D11586" s="68"/>
      <c r="E11586" s="10"/>
      <c r="F11586" s="69"/>
      <c r="G11586" s="68"/>
      <c r="H11586" s="70"/>
      <c r="BA11586" s="4"/>
      <c r="BB11586" s="4"/>
    </row>
    <row r="11587" spans="1:54" x14ac:dyDescent="0.3">
      <c r="A11587" s="66"/>
      <c r="B11587" s="67"/>
      <c r="C11587" s="66"/>
      <c r="D11587" s="68"/>
      <c r="E11587" s="10"/>
      <c r="F11587" s="69"/>
      <c r="G11587" s="68"/>
      <c r="H11587" s="70"/>
      <c r="BA11587" s="4"/>
      <c r="BB11587" s="4"/>
    </row>
    <row r="11588" spans="1:54" x14ac:dyDescent="0.3">
      <c r="A11588" s="66"/>
      <c r="B11588" s="67"/>
      <c r="C11588" s="66"/>
      <c r="D11588" s="68"/>
      <c r="E11588" s="10"/>
      <c r="F11588" s="69"/>
      <c r="G11588" s="68"/>
      <c r="H11588" s="70"/>
      <c r="BA11588" s="4"/>
      <c r="BB11588" s="4"/>
    </row>
    <row r="11589" spans="1:54" x14ac:dyDescent="0.3">
      <c r="A11589" s="66"/>
      <c r="B11589" s="67"/>
      <c r="C11589" s="66"/>
      <c r="D11589" s="68"/>
      <c r="E11589" s="10"/>
      <c r="F11589" s="69"/>
      <c r="G11589" s="68"/>
      <c r="H11589" s="70"/>
      <c r="BA11589" s="4"/>
      <c r="BB11589" s="4"/>
    </row>
    <row r="11590" spans="1:54" x14ac:dyDescent="0.3">
      <c r="A11590" s="66"/>
      <c r="B11590" s="67"/>
      <c r="C11590" s="66"/>
      <c r="D11590" s="68"/>
      <c r="E11590" s="10"/>
      <c r="F11590" s="69"/>
      <c r="G11590" s="68"/>
      <c r="H11590" s="70"/>
      <c r="BA11590" s="4"/>
      <c r="BB11590" s="4"/>
    </row>
    <row r="11591" spans="1:54" x14ac:dyDescent="0.3">
      <c r="A11591" s="66"/>
      <c r="B11591" s="67"/>
      <c r="C11591" s="66"/>
      <c r="D11591" s="68"/>
      <c r="E11591" s="10"/>
      <c r="F11591" s="69"/>
      <c r="G11591" s="68"/>
      <c r="H11591" s="70"/>
      <c r="BA11591" s="4"/>
      <c r="BB11591" s="4"/>
    </row>
    <row r="11592" spans="1:54" x14ac:dyDescent="0.3">
      <c r="A11592" s="66"/>
      <c r="B11592" s="67"/>
      <c r="C11592" s="66"/>
      <c r="D11592" s="68"/>
      <c r="E11592" s="10"/>
      <c r="F11592" s="69"/>
      <c r="G11592" s="68"/>
      <c r="H11592" s="70"/>
      <c r="BA11592" s="4"/>
      <c r="BB11592" s="4"/>
    </row>
    <row r="11593" spans="1:54" x14ac:dyDescent="0.3">
      <c r="A11593" s="66"/>
      <c r="B11593" s="67"/>
      <c r="C11593" s="66"/>
      <c r="D11593" s="68"/>
      <c r="E11593" s="10"/>
      <c r="F11593" s="69"/>
      <c r="G11593" s="68"/>
      <c r="H11593" s="70"/>
      <c r="BA11593" s="4"/>
      <c r="BB11593" s="4"/>
    </row>
    <row r="11594" spans="1:54" x14ac:dyDescent="0.3">
      <c r="A11594" s="66"/>
      <c r="B11594" s="67"/>
      <c r="C11594" s="66"/>
      <c r="D11594" s="68"/>
      <c r="E11594" s="10"/>
      <c r="F11594" s="69"/>
      <c r="G11594" s="68"/>
      <c r="H11594" s="70"/>
      <c r="BA11594" s="4"/>
      <c r="BB11594" s="4"/>
    </row>
    <row r="11595" spans="1:54" x14ac:dyDescent="0.3">
      <c r="A11595" s="66"/>
      <c r="B11595" s="67"/>
      <c r="C11595" s="66"/>
      <c r="D11595" s="68"/>
      <c r="E11595" s="10"/>
      <c r="F11595" s="69"/>
      <c r="G11595" s="68"/>
      <c r="H11595" s="70"/>
      <c r="BA11595" s="4"/>
      <c r="BB11595" s="4"/>
    </row>
    <row r="11596" spans="1:54" x14ac:dyDescent="0.3">
      <c r="A11596" s="66"/>
      <c r="B11596" s="67"/>
      <c r="C11596" s="66"/>
      <c r="D11596" s="68"/>
      <c r="E11596" s="10"/>
      <c r="F11596" s="69"/>
      <c r="G11596" s="68"/>
      <c r="H11596" s="70"/>
      <c r="BA11596" s="4"/>
      <c r="BB11596" s="4"/>
    </row>
    <row r="11597" spans="1:54" x14ac:dyDescent="0.3">
      <c r="A11597" s="66"/>
      <c r="B11597" s="67"/>
      <c r="C11597" s="66"/>
      <c r="D11597" s="68"/>
      <c r="E11597" s="10"/>
      <c r="F11597" s="69"/>
      <c r="G11597" s="68"/>
      <c r="H11597" s="70"/>
      <c r="BA11597" s="4"/>
      <c r="BB11597" s="4"/>
    </row>
    <row r="11598" spans="1:54" x14ac:dyDescent="0.3">
      <c r="A11598" s="66"/>
      <c r="B11598" s="67"/>
      <c r="C11598" s="66"/>
      <c r="D11598" s="68"/>
      <c r="E11598" s="10"/>
      <c r="F11598" s="69"/>
      <c r="G11598" s="68"/>
      <c r="H11598" s="70"/>
      <c r="BA11598" s="4"/>
      <c r="BB11598" s="4"/>
    </row>
    <row r="11599" spans="1:54" x14ac:dyDescent="0.3">
      <c r="A11599" s="66"/>
      <c r="B11599" s="67"/>
      <c r="C11599" s="66"/>
      <c r="D11599" s="68"/>
      <c r="E11599" s="10"/>
      <c r="F11599" s="69"/>
      <c r="G11599" s="68"/>
      <c r="H11599" s="70"/>
      <c r="BA11599" s="4"/>
      <c r="BB11599" s="4"/>
    </row>
    <row r="11600" spans="1:54" x14ac:dyDescent="0.3">
      <c r="A11600" s="66"/>
      <c r="B11600" s="67"/>
      <c r="C11600" s="66"/>
      <c r="D11600" s="68"/>
      <c r="E11600" s="10"/>
      <c r="F11600" s="69"/>
      <c r="G11600" s="68"/>
      <c r="H11600" s="70"/>
      <c r="BA11600" s="4"/>
      <c r="BB11600" s="4"/>
    </row>
    <row r="11601" spans="1:54" x14ac:dyDescent="0.3">
      <c r="A11601" s="66"/>
      <c r="B11601" s="67"/>
      <c r="C11601" s="66"/>
      <c r="D11601" s="68"/>
      <c r="E11601" s="10"/>
      <c r="F11601" s="69"/>
      <c r="G11601" s="68"/>
      <c r="H11601" s="70"/>
      <c r="BA11601" s="4"/>
      <c r="BB11601" s="4"/>
    </row>
    <row r="11602" spans="1:54" x14ac:dyDescent="0.3">
      <c r="A11602" s="66"/>
      <c r="B11602" s="67"/>
      <c r="C11602" s="66"/>
      <c r="D11602" s="68"/>
      <c r="E11602" s="10"/>
      <c r="F11602" s="69"/>
      <c r="G11602" s="68"/>
      <c r="H11602" s="70"/>
      <c r="BA11602" s="4"/>
      <c r="BB11602" s="4"/>
    </row>
    <row r="11603" spans="1:54" x14ac:dyDescent="0.3">
      <c r="A11603" s="66"/>
      <c r="B11603" s="67"/>
      <c r="C11603" s="66"/>
      <c r="D11603" s="68"/>
      <c r="E11603" s="10"/>
      <c r="F11603" s="69"/>
      <c r="G11603" s="68"/>
      <c r="H11603" s="70"/>
      <c r="BA11603" s="4"/>
      <c r="BB11603" s="4"/>
    </row>
    <row r="11604" spans="1:54" x14ac:dyDescent="0.3">
      <c r="A11604" s="66"/>
      <c r="B11604" s="67"/>
      <c r="C11604" s="66"/>
      <c r="D11604" s="68"/>
      <c r="E11604" s="10"/>
      <c r="F11604" s="69"/>
      <c r="G11604" s="68"/>
      <c r="H11604" s="70"/>
      <c r="BA11604" s="4"/>
      <c r="BB11604" s="4"/>
    </row>
    <row r="11605" spans="1:54" x14ac:dyDescent="0.3">
      <c r="A11605" s="66"/>
      <c r="B11605" s="67"/>
      <c r="C11605" s="66"/>
      <c r="D11605" s="68"/>
      <c r="E11605" s="10"/>
      <c r="F11605" s="69"/>
      <c r="G11605" s="68"/>
      <c r="H11605" s="70"/>
      <c r="BA11605" s="4"/>
      <c r="BB11605" s="4"/>
    </row>
    <row r="11606" spans="1:54" x14ac:dyDescent="0.3">
      <c r="A11606" s="66"/>
      <c r="B11606" s="67"/>
      <c r="C11606" s="66"/>
      <c r="D11606" s="68"/>
      <c r="E11606" s="10"/>
      <c r="F11606" s="69"/>
      <c r="G11606" s="68"/>
      <c r="H11606" s="70"/>
      <c r="BA11606" s="4"/>
      <c r="BB11606" s="4"/>
    </row>
    <row r="11607" spans="1:54" x14ac:dyDescent="0.3">
      <c r="A11607" s="66"/>
      <c r="B11607" s="67"/>
      <c r="C11607" s="66"/>
      <c r="D11607" s="68"/>
      <c r="E11607" s="10"/>
      <c r="F11607" s="69"/>
      <c r="G11607" s="68"/>
      <c r="H11607" s="70"/>
      <c r="BA11607" s="4"/>
      <c r="BB11607" s="4"/>
    </row>
    <row r="11608" spans="1:54" x14ac:dyDescent="0.3">
      <c r="A11608" s="66"/>
      <c r="B11608" s="67"/>
      <c r="C11608" s="66"/>
      <c r="D11608" s="68"/>
      <c r="E11608" s="10"/>
      <c r="F11608" s="69"/>
      <c r="G11608" s="68"/>
      <c r="H11608" s="70"/>
      <c r="BA11608" s="4"/>
      <c r="BB11608" s="4"/>
    </row>
    <row r="11609" spans="1:54" x14ac:dyDescent="0.3">
      <c r="A11609" s="66"/>
      <c r="B11609" s="67"/>
      <c r="C11609" s="66"/>
      <c r="D11609" s="68"/>
      <c r="E11609" s="10"/>
      <c r="F11609" s="69"/>
      <c r="G11609" s="68"/>
      <c r="H11609" s="70"/>
      <c r="BA11609" s="4"/>
      <c r="BB11609" s="4"/>
    </row>
    <row r="11610" spans="1:54" x14ac:dyDescent="0.3">
      <c r="A11610" s="66"/>
      <c r="B11610" s="67"/>
      <c r="C11610" s="66"/>
      <c r="D11610" s="68"/>
      <c r="E11610" s="10"/>
      <c r="F11610" s="69"/>
      <c r="G11610" s="68"/>
      <c r="H11610" s="70"/>
      <c r="BA11610" s="4"/>
      <c r="BB11610" s="4"/>
    </row>
    <row r="11611" spans="1:54" x14ac:dyDescent="0.3">
      <c r="A11611" s="66"/>
      <c r="B11611" s="67"/>
      <c r="C11611" s="66"/>
      <c r="D11611" s="68"/>
      <c r="E11611" s="10"/>
      <c r="F11611" s="69"/>
      <c r="G11611" s="68"/>
      <c r="H11611" s="70"/>
      <c r="BA11611" s="4"/>
      <c r="BB11611" s="4"/>
    </row>
    <row r="11612" spans="1:54" x14ac:dyDescent="0.3">
      <c r="A11612" s="66"/>
      <c r="B11612" s="67"/>
      <c r="C11612" s="66"/>
      <c r="D11612" s="68"/>
      <c r="E11612" s="10"/>
      <c r="F11612" s="69"/>
      <c r="G11612" s="68"/>
      <c r="H11612" s="70"/>
      <c r="BA11612" s="4"/>
      <c r="BB11612" s="4"/>
    </row>
    <row r="11613" spans="1:54" x14ac:dyDescent="0.3">
      <c r="A11613" s="66"/>
      <c r="B11613" s="67"/>
      <c r="C11613" s="66"/>
      <c r="D11613" s="68"/>
      <c r="E11613" s="10"/>
      <c r="F11613" s="69"/>
      <c r="G11613" s="68"/>
      <c r="H11613" s="70"/>
      <c r="BA11613" s="4"/>
      <c r="BB11613" s="4"/>
    </row>
    <row r="11614" spans="1:54" x14ac:dyDescent="0.3">
      <c r="A11614" s="66"/>
      <c r="B11614" s="67"/>
      <c r="C11614" s="66"/>
      <c r="D11614" s="68"/>
      <c r="E11614" s="10"/>
      <c r="F11614" s="69"/>
      <c r="G11614" s="68"/>
      <c r="H11614" s="70"/>
      <c r="BA11614" s="4"/>
      <c r="BB11614" s="4"/>
    </row>
    <row r="11615" spans="1:54" x14ac:dyDescent="0.3">
      <c r="A11615" s="66"/>
      <c r="B11615" s="67"/>
      <c r="C11615" s="66"/>
      <c r="D11615" s="68"/>
      <c r="E11615" s="10"/>
      <c r="F11615" s="69"/>
      <c r="G11615" s="68"/>
      <c r="H11615" s="70"/>
      <c r="BA11615" s="4"/>
      <c r="BB11615" s="4"/>
    </row>
    <row r="11616" spans="1:54" x14ac:dyDescent="0.3">
      <c r="A11616" s="66"/>
      <c r="B11616" s="67"/>
      <c r="C11616" s="66"/>
      <c r="D11616" s="68"/>
      <c r="E11616" s="10"/>
      <c r="F11616" s="69"/>
      <c r="G11616" s="68"/>
      <c r="H11616" s="70"/>
      <c r="BA11616" s="4"/>
      <c r="BB11616" s="4"/>
    </row>
    <row r="11617" spans="1:54" x14ac:dyDescent="0.3">
      <c r="A11617" s="66"/>
      <c r="B11617" s="67"/>
      <c r="C11617" s="66"/>
      <c r="D11617" s="68"/>
      <c r="E11617" s="10"/>
      <c r="F11617" s="69"/>
      <c r="G11617" s="68"/>
      <c r="H11617" s="70"/>
      <c r="BA11617" s="4"/>
      <c r="BB11617" s="4"/>
    </row>
    <row r="11618" spans="1:54" x14ac:dyDescent="0.3">
      <c r="A11618" s="66"/>
      <c r="B11618" s="67"/>
      <c r="C11618" s="66"/>
      <c r="D11618" s="68"/>
      <c r="E11618" s="10"/>
      <c r="F11618" s="69"/>
      <c r="G11618" s="68"/>
      <c r="H11618" s="70"/>
      <c r="BA11618" s="4"/>
      <c r="BB11618" s="4"/>
    </row>
    <row r="11619" spans="1:54" x14ac:dyDescent="0.3">
      <c r="A11619" s="66"/>
      <c r="B11619" s="67"/>
      <c r="C11619" s="66"/>
      <c r="D11619" s="68"/>
      <c r="E11619" s="10"/>
      <c r="F11619" s="69"/>
      <c r="G11619" s="68"/>
      <c r="H11619" s="70"/>
      <c r="BA11619" s="4"/>
      <c r="BB11619" s="4"/>
    </row>
    <row r="11620" spans="1:54" x14ac:dyDescent="0.3">
      <c r="A11620" s="66"/>
      <c r="B11620" s="67"/>
      <c r="C11620" s="66"/>
      <c r="D11620" s="68"/>
      <c r="E11620" s="10"/>
      <c r="F11620" s="69"/>
      <c r="G11620" s="68"/>
      <c r="H11620" s="70"/>
      <c r="BA11620" s="4"/>
      <c r="BB11620" s="4"/>
    </row>
    <row r="11621" spans="1:54" x14ac:dyDescent="0.3">
      <c r="A11621" s="66"/>
      <c r="B11621" s="67"/>
      <c r="C11621" s="66"/>
      <c r="D11621" s="68"/>
      <c r="E11621" s="10"/>
      <c r="F11621" s="69"/>
      <c r="G11621" s="68"/>
      <c r="H11621" s="70"/>
      <c r="BA11621" s="4"/>
      <c r="BB11621" s="4"/>
    </row>
    <row r="11622" spans="1:54" x14ac:dyDescent="0.3">
      <c r="A11622" s="66"/>
      <c r="B11622" s="67"/>
      <c r="C11622" s="66"/>
      <c r="D11622" s="68"/>
      <c r="E11622" s="10"/>
      <c r="F11622" s="69"/>
      <c r="G11622" s="68"/>
      <c r="H11622" s="70"/>
      <c r="BA11622" s="4"/>
      <c r="BB11622" s="4"/>
    </row>
    <row r="11623" spans="1:54" x14ac:dyDescent="0.3">
      <c r="A11623" s="66"/>
      <c r="B11623" s="67"/>
      <c r="C11623" s="66"/>
      <c r="D11623" s="68"/>
      <c r="E11623" s="10"/>
      <c r="F11623" s="69"/>
      <c r="G11623" s="68"/>
      <c r="H11623" s="70"/>
      <c r="BA11623" s="4"/>
      <c r="BB11623" s="4"/>
    </row>
    <row r="11624" spans="1:54" x14ac:dyDescent="0.3">
      <c r="A11624" s="66"/>
      <c r="B11624" s="67"/>
      <c r="C11624" s="66"/>
      <c r="D11624" s="68"/>
      <c r="E11624" s="10"/>
      <c r="F11624" s="69"/>
      <c r="G11624" s="68"/>
      <c r="H11624" s="70"/>
      <c r="BA11624" s="4"/>
      <c r="BB11624" s="4"/>
    </row>
    <row r="11625" spans="1:54" x14ac:dyDescent="0.3">
      <c r="A11625" s="66"/>
      <c r="B11625" s="67"/>
      <c r="C11625" s="66"/>
      <c r="D11625" s="68"/>
      <c r="E11625" s="10"/>
      <c r="F11625" s="69"/>
      <c r="G11625" s="68"/>
      <c r="H11625" s="70"/>
      <c r="BA11625" s="4"/>
      <c r="BB11625" s="4"/>
    </row>
    <row r="11626" spans="1:54" x14ac:dyDescent="0.3">
      <c r="A11626" s="66"/>
      <c r="B11626" s="67"/>
      <c r="C11626" s="66"/>
      <c r="D11626" s="68"/>
      <c r="E11626" s="10"/>
      <c r="F11626" s="69"/>
      <c r="G11626" s="68"/>
      <c r="H11626" s="70"/>
      <c r="BA11626" s="4"/>
      <c r="BB11626" s="4"/>
    </row>
    <row r="11627" spans="1:54" x14ac:dyDescent="0.3">
      <c r="A11627" s="66"/>
      <c r="B11627" s="67"/>
      <c r="C11627" s="66"/>
      <c r="D11627" s="68"/>
      <c r="E11627" s="10"/>
      <c r="F11627" s="69"/>
      <c r="G11627" s="68"/>
      <c r="H11627" s="70"/>
      <c r="BA11627" s="4"/>
      <c r="BB11627" s="4"/>
    </row>
    <row r="11628" spans="1:54" x14ac:dyDescent="0.3">
      <c r="A11628" s="66"/>
      <c r="B11628" s="67"/>
      <c r="C11628" s="66"/>
      <c r="D11628" s="68"/>
      <c r="E11628" s="10"/>
      <c r="F11628" s="69"/>
      <c r="G11628" s="68"/>
      <c r="H11628" s="70"/>
      <c r="BA11628" s="4"/>
      <c r="BB11628" s="4"/>
    </row>
    <row r="11629" spans="1:54" x14ac:dyDescent="0.3">
      <c r="A11629" s="66"/>
      <c r="B11629" s="67"/>
      <c r="C11629" s="66"/>
      <c r="D11629" s="68"/>
      <c r="E11629" s="10"/>
      <c r="F11629" s="69"/>
      <c r="G11629" s="68"/>
      <c r="H11629" s="70"/>
      <c r="BA11629" s="4"/>
      <c r="BB11629" s="4"/>
    </row>
    <row r="11630" spans="1:54" x14ac:dyDescent="0.3">
      <c r="A11630" s="66"/>
      <c r="B11630" s="67"/>
      <c r="C11630" s="66"/>
      <c r="D11630" s="68"/>
      <c r="E11630" s="10"/>
      <c r="F11630" s="69"/>
      <c r="G11630" s="68"/>
      <c r="H11630" s="70"/>
      <c r="BA11630" s="4"/>
      <c r="BB11630" s="4"/>
    </row>
    <row r="11631" spans="1:54" x14ac:dyDescent="0.3">
      <c r="A11631" s="66"/>
      <c r="B11631" s="67"/>
      <c r="C11631" s="66"/>
      <c r="D11631" s="68"/>
      <c r="E11631" s="10"/>
      <c r="F11631" s="69"/>
      <c r="G11631" s="68"/>
      <c r="H11631" s="70"/>
      <c r="BA11631" s="4"/>
      <c r="BB11631" s="4"/>
    </row>
    <row r="11632" spans="1:54" x14ac:dyDescent="0.3">
      <c r="A11632" s="66"/>
      <c r="B11632" s="67"/>
      <c r="C11632" s="66"/>
      <c r="D11632" s="68"/>
      <c r="E11632" s="10"/>
      <c r="F11632" s="69"/>
      <c r="G11632" s="68"/>
      <c r="H11632" s="70"/>
      <c r="BA11632" s="4"/>
      <c r="BB11632" s="4"/>
    </row>
    <row r="11633" spans="1:54" x14ac:dyDescent="0.3">
      <c r="A11633" s="66"/>
      <c r="B11633" s="67"/>
      <c r="C11633" s="66"/>
      <c r="D11633" s="68"/>
      <c r="E11633" s="10"/>
      <c r="F11633" s="69"/>
      <c r="G11633" s="68"/>
      <c r="H11633" s="70"/>
      <c r="BA11633" s="4"/>
      <c r="BB11633" s="4"/>
    </row>
    <row r="11634" spans="1:54" x14ac:dyDescent="0.3">
      <c r="A11634" s="66"/>
      <c r="B11634" s="67"/>
      <c r="C11634" s="66"/>
      <c r="D11634" s="68"/>
      <c r="E11634" s="10"/>
      <c r="F11634" s="69"/>
      <c r="G11634" s="68"/>
      <c r="H11634" s="70"/>
      <c r="BA11634" s="4"/>
      <c r="BB11634" s="4"/>
    </row>
    <row r="11635" spans="1:54" x14ac:dyDescent="0.3">
      <c r="A11635" s="66"/>
      <c r="B11635" s="67"/>
      <c r="C11635" s="66"/>
      <c r="D11635" s="68"/>
      <c r="E11635" s="10"/>
      <c r="F11635" s="69"/>
      <c r="G11635" s="68"/>
      <c r="H11635" s="70"/>
      <c r="BA11635" s="4"/>
      <c r="BB11635" s="4"/>
    </row>
    <row r="11636" spans="1:54" x14ac:dyDescent="0.3">
      <c r="A11636" s="66"/>
      <c r="B11636" s="67"/>
      <c r="C11636" s="66"/>
      <c r="D11636" s="68"/>
      <c r="E11636" s="10"/>
      <c r="F11636" s="69"/>
      <c r="G11636" s="68"/>
      <c r="H11636" s="70"/>
      <c r="BA11636" s="4"/>
      <c r="BB11636" s="4"/>
    </row>
    <row r="11637" spans="1:54" x14ac:dyDescent="0.3">
      <c r="A11637" s="66"/>
      <c r="B11637" s="67"/>
      <c r="C11637" s="66"/>
      <c r="D11637" s="68"/>
      <c r="E11637" s="10"/>
      <c r="F11637" s="69"/>
      <c r="G11637" s="68"/>
      <c r="H11637" s="70"/>
      <c r="BA11637" s="4"/>
      <c r="BB11637" s="4"/>
    </row>
    <row r="11638" spans="1:54" x14ac:dyDescent="0.3">
      <c r="A11638" s="66"/>
      <c r="B11638" s="67"/>
      <c r="C11638" s="66"/>
      <c r="D11638" s="68"/>
      <c r="E11638" s="10"/>
      <c r="F11638" s="69"/>
      <c r="G11638" s="68"/>
      <c r="H11638" s="70"/>
      <c r="BA11638" s="4"/>
      <c r="BB11638" s="4"/>
    </row>
    <row r="11639" spans="1:54" x14ac:dyDescent="0.3">
      <c r="A11639" s="66"/>
      <c r="B11639" s="67"/>
      <c r="C11639" s="66"/>
      <c r="D11639" s="68"/>
      <c r="E11639" s="10"/>
      <c r="F11639" s="69"/>
      <c r="G11639" s="68"/>
      <c r="H11639" s="70"/>
      <c r="BA11639" s="4"/>
      <c r="BB11639" s="4"/>
    </row>
    <row r="11640" spans="1:54" x14ac:dyDescent="0.3">
      <c r="A11640" s="66"/>
      <c r="B11640" s="67"/>
      <c r="C11640" s="66"/>
      <c r="D11640" s="68"/>
      <c r="E11640" s="10"/>
      <c r="F11640" s="69"/>
      <c r="G11640" s="68"/>
      <c r="H11640" s="70"/>
      <c r="BA11640" s="4"/>
      <c r="BB11640" s="4"/>
    </row>
    <row r="11641" spans="1:54" x14ac:dyDescent="0.3">
      <c r="A11641" s="66"/>
      <c r="B11641" s="67"/>
      <c r="C11641" s="66"/>
      <c r="D11641" s="68"/>
      <c r="E11641" s="10"/>
      <c r="F11641" s="69"/>
      <c r="G11641" s="68"/>
      <c r="H11641" s="70"/>
      <c r="BA11641" s="4"/>
      <c r="BB11641" s="4"/>
    </row>
    <row r="11642" spans="1:54" x14ac:dyDescent="0.3">
      <c r="A11642" s="66"/>
      <c r="B11642" s="67"/>
      <c r="C11642" s="66"/>
      <c r="D11642" s="68"/>
      <c r="E11642" s="10"/>
      <c r="F11642" s="69"/>
      <c r="G11642" s="68"/>
      <c r="H11642" s="70"/>
      <c r="BA11642" s="4"/>
      <c r="BB11642" s="4"/>
    </row>
    <row r="11643" spans="1:54" x14ac:dyDescent="0.3">
      <c r="A11643" s="66"/>
      <c r="B11643" s="67"/>
      <c r="C11643" s="66"/>
      <c r="D11643" s="68"/>
      <c r="E11643" s="10"/>
      <c r="F11643" s="69"/>
      <c r="G11643" s="68"/>
      <c r="H11643" s="70"/>
      <c r="BA11643" s="4"/>
      <c r="BB11643" s="4"/>
    </row>
    <row r="11644" spans="1:54" x14ac:dyDescent="0.3">
      <c r="A11644" s="66"/>
      <c r="B11644" s="67"/>
      <c r="C11644" s="66"/>
      <c r="D11644" s="68"/>
      <c r="E11644" s="10"/>
      <c r="F11644" s="69"/>
      <c r="G11644" s="68"/>
      <c r="H11644" s="70"/>
      <c r="BA11644" s="4"/>
      <c r="BB11644" s="4"/>
    </row>
    <row r="11645" spans="1:54" x14ac:dyDescent="0.3">
      <c r="A11645" s="66"/>
      <c r="B11645" s="67"/>
      <c r="C11645" s="66"/>
      <c r="D11645" s="68"/>
      <c r="E11645" s="10"/>
      <c r="F11645" s="69"/>
      <c r="G11645" s="68"/>
      <c r="H11645" s="70"/>
      <c r="BA11645" s="4"/>
      <c r="BB11645" s="4"/>
    </row>
    <row r="11646" spans="1:54" x14ac:dyDescent="0.3">
      <c r="A11646" s="66"/>
      <c r="B11646" s="67"/>
      <c r="C11646" s="66"/>
      <c r="D11646" s="68"/>
      <c r="E11646" s="10"/>
      <c r="F11646" s="69"/>
      <c r="G11646" s="68"/>
      <c r="H11646" s="70"/>
      <c r="BA11646" s="4"/>
      <c r="BB11646" s="4"/>
    </row>
    <row r="11647" spans="1:54" x14ac:dyDescent="0.3">
      <c r="A11647" s="66"/>
      <c r="B11647" s="67"/>
      <c r="C11647" s="66"/>
      <c r="D11647" s="68"/>
      <c r="E11647" s="10"/>
      <c r="F11647" s="69"/>
      <c r="G11647" s="68"/>
      <c r="H11647" s="70"/>
      <c r="BA11647" s="4"/>
      <c r="BB11647" s="4"/>
    </row>
    <row r="11648" spans="1:54" x14ac:dyDescent="0.3">
      <c r="A11648" s="66"/>
      <c r="B11648" s="67"/>
      <c r="C11648" s="66"/>
      <c r="D11648" s="68"/>
      <c r="E11648" s="10"/>
      <c r="F11648" s="69"/>
      <c r="G11648" s="68"/>
      <c r="H11648" s="70"/>
      <c r="BA11648" s="4"/>
      <c r="BB11648" s="4"/>
    </row>
    <row r="11649" spans="1:54" x14ac:dyDescent="0.3">
      <c r="A11649" s="66"/>
      <c r="B11649" s="67"/>
      <c r="C11649" s="66"/>
      <c r="D11649" s="68"/>
      <c r="E11649" s="10"/>
      <c r="F11649" s="69"/>
      <c r="G11649" s="68"/>
      <c r="H11649" s="70"/>
      <c r="BA11649" s="4"/>
      <c r="BB11649" s="4"/>
    </row>
    <row r="11650" spans="1:54" x14ac:dyDescent="0.3">
      <c r="A11650" s="66"/>
      <c r="B11650" s="67"/>
      <c r="C11650" s="66"/>
      <c r="D11650" s="68"/>
      <c r="E11650" s="10"/>
      <c r="F11650" s="69"/>
      <c r="G11650" s="68"/>
      <c r="H11650" s="70"/>
      <c r="BA11650" s="4"/>
      <c r="BB11650" s="4"/>
    </row>
    <row r="11651" spans="1:54" x14ac:dyDescent="0.3">
      <c r="A11651" s="66"/>
      <c r="B11651" s="67"/>
      <c r="C11651" s="66"/>
      <c r="D11651" s="68"/>
      <c r="E11651" s="10"/>
      <c r="F11651" s="69"/>
      <c r="G11651" s="68"/>
      <c r="H11651" s="70"/>
      <c r="BA11651" s="4"/>
      <c r="BB11651" s="4"/>
    </row>
    <row r="11652" spans="1:54" x14ac:dyDescent="0.3">
      <c r="A11652" s="66"/>
      <c r="B11652" s="67"/>
      <c r="C11652" s="66"/>
      <c r="D11652" s="68"/>
      <c r="E11652" s="10"/>
      <c r="F11652" s="69"/>
      <c r="G11652" s="68"/>
      <c r="H11652" s="70"/>
      <c r="BA11652" s="4"/>
      <c r="BB11652" s="4"/>
    </row>
    <row r="11653" spans="1:54" x14ac:dyDescent="0.3">
      <c r="A11653" s="66"/>
      <c r="B11653" s="67"/>
      <c r="C11653" s="66"/>
      <c r="D11653" s="68"/>
      <c r="E11653" s="10"/>
      <c r="F11653" s="69"/>
      <c r="G11653" s="68"/>
      <c r="H11653" s="70"/>
      <c r="BA11653" s="4"/>
      <c r="BB11653" s="4"/>
    </row>
    <row r="11654" spans="1:54" x14ac:dyDescent="0.3">
      <c r="A11654" s="66"/>
      <c r="B11654" s="67"/>
      <c r="C11654" s="66"/>
      <c r="D11654" s="68"/>
      <c r="E11654" s="10"/>
      <c r="F11654" s="69"/>
      <c r="G11654" s="68"/>
      <c r="H11654" s="70"/>
      <c r="BA11654" s="4"/>
      <c r="BB11654" s="4"/>
    </row>
    <row r="11655" spans="1:54" x14ac:dyDescent="0.3">
      <c r="A11655" s="66"/>
      <c r="B11655" s="67"/>
      <c r="C11655" s="66"/>
      <c r="D11655" s="68"/>
      <c r="E11655" s="10"/>
      <c r="F11655" s="69"/>
      <c r="G11655" s="68"/>
      <c r="H11655" s="70"/>
      <c r="BA11655" s="4"/>
      <c r="BB11655" s="4"/>
    </row>
    <row r="11656" spans="1:54" x14ac:dyDescent="0.3">
      <c r="A11656" s="66"/>
      <c r="B11656" s="67"/>
      <c r="C11656" s="66"/>
      <c r="D11656" s="68"/>
      <c r="E11656" s="10"/>
      <c r="F11656" s="69"/>
      <c r="G11656" s="68"/>
      <c r="H11656" s="70"/>
      <c r="BA11656" s="4"/>
      <c r="BB11656" s="4"/>
    </row>
    <row r="11657" spans="1:54" x14ac:dyDescent="0.3">
      <c r="A11657" s="66"/>
      <c r="B11657" s="67"/>
      <c r="C11657" s="66"/>
      <c r="D11657" s="68"/>
      <c r="E11657" s="10"/>
      <c r="F11657" s="69"/>
      <c r="G11657" s="68"/>
      <c r="H11657" s="70"/>
      <c r="BA11657" s="4"/>
      <c r="BB11657" s="4"/>
    </row>
    <row r="11658" spans="1:54" x14ac:dyDescent="0.3">
      <c r="A11658" s="66"/>
      <c r="B11658" s="67"/>
      <c r="C11658" s="66"/>
      <c r="D11658" s="68"/>
      <c r="E11658" s="10"/>
      <c r="F11658" s="69"/>
      <c r="G11658" s="68"/>
      <c r="H11658" s="70"/>
      <c r="BA11658" s="4"/>
      <c r="BB11658" s="4"/>
    </row>
    <row r="11659" spans="1:54" x14ac:dyDescent="0.3">
      <c r="A11659" s="66"/>
      <c r="B11659" s="67"/>
      <c r="C11659" s="66"/>
      <c r="D11659" s="68"/>
      <c r="E11659" s="10"/>
      <c r="F11659" s="69"/>
      <c r="G11659" s="68"/>
      <c r="H11659" s="70"/>
      <c r="BA11659" s="4"/>
      <c r="BB11659" s="4"/>
    </row>
    <row r="11660" spans="1:54" x14ac:dyDescent="0.3">
      <c r="A11660" s="66"/>
      <c r="B11660" s="67"/>
      <c r="C11660" s="66"/>
      <c r="D11660" s="68"/>
      <c r="E11660" s="10"/>
      <c r="F11660" s="69"/>
      <c r="G11660" s="68"/>
      <c r="H11660" s="70"/>
      <c r="BA11660" s="4"/>
      <c r="BB11660" s="4"/>
    </row>
    <row r="11661" spans="1:54" x14ac:dyDescent="0.3">
      <c r="A11661" s="66"/>
      <c r="B11661" s="67"/>
      <c r="C11661" s="66"/>
      <c r="D11661" s="68"/>
      <c r="E11661" s="10"/>
      <c r="F11661" s="69"/>
      <c r="G11661" s="68"/>
      <c r="H11661" s="70"/>
      <c r="BA11661" s="4"/>
      <c r="BB11661" s="4"/>
    </row>
    <row r="11662" spans="1:54" x14ac:dyDescent="0.3">
      <c r="A11662" s="66"/>
      <c r="B11662" s="67"/>
      <c r="C11662" s="66"/>
      <c r="D11662" s="68"/>
      <c r="E11662" s="10"/>
      <c r="F11662" s="69"/>
      <c r="G11662" s="68"/>
      <c r="H11662" s="70"/>
      <c r="BA11662" s="4"/>
      <c r="BB11662" s="4"/>
    </row>
    <row r="11663" spans="1:54" x14ac:dyDescent="0.3">
      <c r="A11663" s="66"/>
      <c r="B11663" s="67"/>
      <c r="C11663" s="66"/>
      <c r="D11663" s="68"/>
      <c r="E11663" s="10"/>
      <c r="F11663" s="69"/>
      <c r="G11663" s="68"/>
      <c r="H11663" s="70"/>
      <c r="BA11663" s="4"/>
      <c r="BB11663" s="4"/>
    </row>
    <row r="11664" spans="1:54" x14ac:dyDescent="0.3">
      <c r="A11664" s="66"/>
      <c r="B11664" s="67"/>
      <c r="C11664" s="66"/>
      <c r="D11664" s="68"/>
      <c r="E11664" s="10"/>
      <c r="F11664" s="69"/>
      <c r="G11664" s="68"/>
      <c r="H11664" s="70"/>
      <c r="BA11664" s="4"/>
      <c r="BB11664" s="4"/>
    </row>
    <row r="11665" spans="1:54" x14ac:dyDescent="0.3">
      <c r="A11665" s="66"/>
      <c r="B11665" s="67"/>
      <c r="C11665" s="66"/>
      <c r="D11665" s="68"/>
      <c r="E11665" s="10"/>
      <c r="F11665" s="69"/>
      <c r="G11665" s="68"/>
      <c r="H11665" s="70"/>
      <c r="BA11665" s="4"/>
      <c r="BB11665" s="4"/>
    </row>
    <row r="11666" spans="1:54" x14ac:dyDescent="0.3">
      <c r="A11666" s="66"/>
      <c r="B11666" s="67"/>
      <c r="C11666" s="66"/>
      <c r="D11666" s="68"/>
      <c r="E11666" s="10"/>
      <c r="F11666" s="69"/>
      <c r="G11666" s="68"/>
      <c r="H11666" s="70"/>
      <c r="BA11666" s="4"/>
      <c r="BB11666" s="4"/>
    </row>
    <row r="11667" spans="1:54" x14ac:dyDescent="0.3">
      <c r="A11667" s="66"/>
      <c r="B11667" s="67"/>
      <c r="C11667" s="66"/>
      <c r="D11667" s="68"/>
      <c r="E11667" s="10"/>
      <c r="F11667" s="69"/>
      <c r="G11667" s="68"/>
      <c r="H11667" s="70"/>
      <c r="BA11667" s="4"/>
      <c r="BB11667" s="4"/>
    </row>
    <row r="11668" spans="1:54" x14ac:dyDescent="0.3">
      <c r="A11668" s="66"/>
      <c r="B11668" s="67"/>
      <c r="C11668" s="66"/>
      <c r="D11668" s="68"/>
      <c r="E11668" s="10"/>
      <c r="F11668" s="69"/>
      <c r="G11668" s="68"/>
      <c r="H11668" s="70"/>
      <c r="BA11668" s="4"/>
      <c r="BB11668" s="4"/>
    </row>
    <row r="11669" spans="1:54" x14ac:dyDescent="0.3">
      <c r="A11669" s="66"/>
      <c r="B11669" s="67"/>
      <c r="C11669" s="66"/>
      <c r="D11669" s="68"/>
      <c r="E11669" s="10"/>
      <c r="F11669" s="69"/>
      <c r="G11669" s="68"/>
      <c r="H11669" s="70"/>
      <c r="BA11669" s="4"/>
      <c r="BB11669" s="4"/>
    </row>
    <row r="11670" spans="1:54" x14ac:dyDescent="0.3">
      <c r="A11670" s="66"/>
      <c r="B11670" s="67"/>
      <c r="C11670" s="66"/>
      <c r="D11670" s="68"/>
      <c r="E11670" s="10"/>
      <c r="F11670" s="69"/>
      <c r="G11670" s="68"/>
      <c r="H11670" s="70"/>
      <c r="BA11670" s="4"/>
      <c r="BB11670" s="4"/>
    </row>
    <row r="11671" spans="1:54" x14ac:dyDescent="0.3">
      <c r="A11671" s="66"/>
      <c r="B11671" s="67"/>
      <c r="C11671" s="66"/>
      <c r="D11671" s="68"/>
      <c r="E11671" s="10"/>
      <c r="F11671" s="69"/>
      <c r="G11671" s="68"/>
      <c r="H11671" s="70"/>
      <c r="BA11671" s="4"/>
      <c r="BB11671" s="4"/>
    </row>
    <row r="11672" spans="1:54" x14ac:dyDescent="0.3">
      <c r="A11672" s="66"/>
      <c r="B11672" s="67"/>
      <c r="C11672" s="66"/>
      <c r="D11672" s="68"/>
      <c r="E11672" s="10"/>
      <c r="F11672" s="69"/>
      <c r="G11672" s="68"/>
      <c r="H11672" s="70"/>
      <c r="BA11672" s="4"/>
      <c r="BB11672" s="4"/>
    </row>
    <row r="11673" spans="1:54" x14ac:dyDescent="0.3">
      <c r="A11673" s="66"/>
      <c r="B11673" s="67"/>
      <c r="C11673" s="66"/>
      <c r="D11673" s="68"/>
      <c r="E11673" s="10"/>
      <c r="F11673" s="69"/>
      <c r="G11673" s="68"/>
      <c r="H11673" s="70"/>
      <c r="BA11673" s="4"/>
      <c r="BB11673" s="4"/>
    </row>
    <row r="11674" spans="1:54" x14ac:dyDescent="0.3">
      <c r="A11674" s="66"/>
      <c r="B11674" s="67"/>
      <c r="C11674" s="66"/>
      <c r="D11674" s="68"/>
      <c r="E11674" s="10"/>
      <c r="F11674" s="69"/>
      <c r="G11674" s="68"/>
      <c r="H11674" s="70"/>
      <c r="BA11674" s="4"/>
      <c r="BB11674" s="4"/>
    </row>
    <row r="11675" spans="1:54" x14ac:dyDescent="0.3">
      <c r="A11675" s="66"/>
      <c r="B11675" s="67"/>
      <c r="C11675" s="66"/>
      <c r="D11675" s="68"/>
      <c r="E11675" s="10"/>
      <c r="F11675" s="69"/>
      <c r="G11675" s="68"/>
      <c r="H11675" s="70"/>
      <c r="BA11675" s="4"/>
      <c r="BB11675" s="4"/>
    </row>
    <row r="11676" spans="1:54" x14ac:dyDescent="0.3">
      <c r="A11676" s="66"/>
      <c r="B11676" s="67"/>
      <c r="C11676" s="66"/>
      <c r="D11676" s="68"/>
      <c r="E11676" s="10"/>
      <c r="F11676" s="69"/>
      <c r="G11676" s="68"/>
      <c r="H11676" s="70"/>
      <c r="BA11676" s="4"/>
      <c r="BB11676" s="4"/>
    </row>
    <row r="11677" spans="1:54" x14ac:dyDescent="0.3">
      <c r="A11677" s="66"/>
      <c r="B11677" s="67"/>
      <c r="C11677" s="66"/>
      <c r="D11677" s="68"/>
      <c r="E11677" s="10"/>
      <c r="F11677" s="69"/>
      <c r="G11677" s="68"/>
      <c r="H11677" s="70"/>
      <c r="BA11677" s="4"/>
      <c r="BB11677" s="4"/>
    </row>
    <row r="11678" spans="1:54" x14ac:dyDescent="0.3">
      <c r="A11678" s="66"/>
      <c r="B11678" s="67"/>
      <c r="C11678" s="66"/>
      <c r="D11678" s="68"/>
      <c r="E11678" s="10"/>
      <c r="F11678" s="69"/>
      <c r="G11678" s="68"/>
      <c r="H11678" s="70"/>
      <c r="BA11678" s="4"/>
      <c r="BB11678" s="4"/>
    </row>
    <row r="11679" spans="1:54" x14ac:dyDescent="0.3">
      <c r="A11679" s="66"/>
      <c r="B11679" s="67"/>
      <c r="C11679" s="66"/>
      <c r="D11679" s="68"/>
      <c r="E11679" s="10"/>
      <c r="F11679" s="69"/>
      <c r="G11679" s="68"/>
      <c r="H11679" s="70"/>
      <c r="BA11679" s="4"/>
      <c r="BB11679" s="4"/>
    </row>
    <row r="11680" spans="1:54" x14ac:dyDescent="0.3">
      <c r="A11680" s="66"/>
      <c r="B11680" s="67"/>
      <c r="C11680" s="66"/>
      <c r="D11680" s="68"/>
      <c r="E11680" s="10"/>
      <c r="F11680" s="69"/>
      <c r="G11680" s="68"/>
      <c r="H11680" s="70"/>
      <c r="BA11680" s="4"/>
      <c r="BB11680" s="4"/>
    </row>
    <row r="11681" spans="1:54" x14ac:dyDescent="0.3">
      <c r="A11681" s="66"/>
      <c r="B11681" s="67"/>
      <c r="C11681" s="66"/>
      <c r="D11681" s="68"/>
      <c r="E11681" s="10"/>
      <c r="F11681" s="69"/>
      <c r="G11681" s="68"/>
      <c r="H11681" s="70"/>
      <c r="BA11681" s="4"/>
      <c r="BB11681" s="4"/>
    </row>
    <row r="11682" spans="1:54" x14ac:dyDescent="0.3">
      <c r="A11682" s="66"/>
      <c r="B11682" s="67"/>
      <c r="C11682" s="66"/>
      <c r="D11682" s="68"/>
      <c r="E11682" s="10"/>
      <c r="F11682" s="69"/>
      <c r="G11682" s="68"/>
      <c r="H11682" s="70"/>
      <c r="BA11682" s="4"/>
      <c r="BB11682" s="4"/>
    </row>
    <row r="11683" spans="1:54" x14ac:dyDescent="0.3">
      <c r="A11683" s="66"/>
      <c r="B11683" s="67"/>
      <c r="C11683" s="66"/>
      <c r="D11683" s="68"/>
      <c r="E11683" s="10"/>
      <c r="F11683" s="69"/>
      <c r="G11683" s="68"/>
      <c r="H11683" s="70"/>
      <c r="BA11683" s="4"/>
      <c r="BB11683" s="4"/>
    </row>
    <row r="11684" spans="1:54" x14ac:dyDescent="0.3">
      <c r="A11684" s="66"/>
      <c r="B11684" s="67"/>
      <c r="C11684" s="66"/>
      <c r="D11684" s="68"/>
      <c r="E11684" s="10"/>
      <c r="F11684" s="69"/>
      <c r="G11684" s="68"/>
      <c r="H11684" s="70"/>
      <c r="BA11684" s="4"/>
      <c r="BB11684" s="4"/>
    </row>
    <row r="11685" spans="1:54" x14ac:dyDescent="0.3">
      <c r="A11685" s="66"/>
      <c r="B11685" s="67"/>
      <c r="C11685" s="66"/>
      <c r="D11685" s="68"/>
      <c r="E11685" s="10"/>
      <c r="F11685" s="69"/>
      <c r="G11685" s="68"/>
      <c r="H11685" s="70"/>
      <c r="BA11685" s="4"/>
      <c r="BB11685" s="4"/>
    </row>
    <row r="11686" spans="1:54" x14ac:dyDescent="0.3">
      <c r="A11686" s="66"/>
      <c r="B11686" s="67"/>
      <c r="C11686" s="66"/>
      <c r="D11686" s="68"/>
      <c r="E11686" s="10"/>
      <c r="F11686" s="69"/>
      <c r="G11686" s="68"/>
      <c r="H11686" s="70"/>
      <c r="BA11686" s="4"/>
      <c r="BB11686" s="4"/>
    </row>
    <row r="11687" spans="1:54" x14ac:dyDescent="0.3">
      <c r="A11687" s="66"/>
      <c r="B11687" s="67"/>
      <c r="C11687" s="66"/>
      <c r="D11687" s="68"/>
      <c r="E11687" s="10"/>
      <c r="F11687" s="69"/>
      <c r="G11687" s="68"/>
      <c r="H11687" s="70"/>
      <c r="BA11687" s="4"/>
      <c r="BB11687" s="4"/>
    </row>
    <row r="11688" spans="1:54" x14ac:dyDescent="0.3">
      <c r="A11688" s="66"/>
      <c r="B11688" s="67"/>
      <c r="C11688" s="66"/>
      <c r="D11688" s="68"/>
      <c r="E11688" s="10"/>
      <c r="F11688" s="69"/>
      <c r="G11688" s="68"/>
      <c r="H11688" s="70"/>
      <c r="BA11688" s="4"/>
      <c r="BB11688" s="4"/>
    </row>
    <row r="11689" spans="1:54" x14ac:dyDescent="0.3">
      <c r="A11689" s="66"/>
      <c r="B11689" s="67"/>
      <c r="C11689" s="66"/>
      <c r="D11689" s="68"/>
      <c r="E11689" s="10"/>
      <c r="F11689" s="69"/>
      <c r="G11689" s="68"/>
      <c r="H11689" s="70"/>
      <c r="BA11689" s="4"/>
      <c r="BB11689" s="4"/>
    </row>
    <row r="11690" spans="1:54" x14ac:dyDescent="0.3">
      <c r="A11690" s="66"/>
      <c r="B11690" s="67"/>
      <c r="C11690" s="66"/>
      <c r="D11690" s="68"/>
      <c r="E11690" s="10"/>
      <c r="F11690" s="69"/>
      <c r="G11690" s="68"/>
      <c r="H11690" s="70"/>
      <c r="BA11690" s="4"/>
      <c r="BB11690" s="4"/>
    </row>
    <row r="11691" spans="1:54" x14ac:dyDescent="0.3">
      <c r="A11691" s="66"/>
      <c r="B11691" s="67"/>
      <c r="C11691" s="66"/>
      <c r="D11691" s="68"/>
      <c r="E11691" s="10"/>
      <c r="F11691" s="69"/>
      <c r="G11691" s="68"/>
      <c r="H11691" s="70"/>
      <c r="BA11691" s="4"/>
      <c r="BB11691" s="4"/>
    </row>
    <row r="11692" spans="1:54" x14ac:dyDescent="0.3">
      <c r="A11692" s="66"/>
      <c r="B11692" s="67"/>
      <c r="C11692" s="66"/>
      <c r="D11692" s="68"/>
      <c r="E11692" s="10"/>
      <c r="F11692" s="69"/>
      <c r="G11692" s="68"/>
      <c r="H11692" s="70"/>
      <c r="BA11692" s="4"/>
      <c r="BB11692" s="4"/>
    </row>
    <row r="11693" spans="1:54" x14ac:dyDescent="0.3">
      <c r="A11693" s="66"/>
      <c r="B11693" s="67"/>
      <c r="C11693" s="66"/>
      <c r="D11693" s="68"/>
      <c r="E11693" s="10"/>
      <c r="F11693" s="69"/>
      <c r="G11693" s="68"/>
      <c r="H11693" s="70"/>
      <c r="BA11693" s="4"/>
      <c r="BB11693" s="4"/>
    </row>
    <row r="11694" spans="1:54" x14ac:dyDescent="0.3">
      <c r="A11694" s="66"/>
      <c r="B11694" s="67"/>
      <c r="C11694" s="66"/>
      <c r="D11694" s="68"/>
      <c r="E11694" s="10"/>
      <c r="F11694" s="69"/>
      <c r="G11694" s="68"/>
      <c r="H11694" s="70"/>
      <c r="BA11694" s="4"/>
      <c r="BB11694" s="4"/>
    </row>
    <row r="11695" spans="1:54" x14ac:dyDescent="0.3">
      <c r="A11695" s="66"/>
      <c r="B11695" s="67"/>
      <c r="C11695" s="66"/>
      <c r="D11695" s="68"/>
      <c r="E11695" s="10"/>
      <c r="F11695" s="69"/>
      <c r="G11695" s="68"/>
      <c r="H11695" s="70"/>
      <c r="BA11695" s="4"/>
      <c r="BB11695" s="4"/>
    </row>
    <row r="11696" spans="1:54" x14ac:dyDescent="0.3">
      <c r="A11696" s="66"/>
      <c r="B11696" s="67"/>
      <c r="C11696" s="66"/>
      <c r="D11696" s="68"/>
      <c r="E11696" s="10"/>
      <c r="F11696" s="69"/>
      <c r="G11696" s="68"/>
      <c r="H11696" s="70"/>
      <c r="BA11696" s="4"/>
      <c r="BB11696" s="4"/>
    </row>
    <row r="11697" spans="1:54" x14ac:dyDescent="0.3">
      <c r="A11697" s="66"/>
      <c r="B11697" s="67"/>
      <c r="C11697" s="66"/>
      <c r="D11697" s="68"/>
      <c r="E11697" s="10"/>
      <c r="F11697" s="69"/>
      <c r="G11697" s="68"/>
      <c r="H11697" s="70"/>
      <c r="BA11697" s="4"/>
      <c r="BB11697" s="4"/>
    </row>
    <row r="11698" spans="1:54" x14ac:dyDescent="0.3">
      <c r="A11698" s="66"/>
      <c r="B11698" s="67"/>
      <c r="C11698" s="66"/>
      <c r="D11698" s="68"/>
      <c r="E11698" s="10"/>
      <c r="F11698" s="69"/>
      <c r="G11698" s="68"/>
      <c r="H11698" s="70"/>
      <c r="BA11698" s="4"/>
      <c r="BB11698" s="4"/>
    </row>
    <row r="11699" spans="1:54" x14ac:dyDescent="0.3">
      <c r="A11699" s="66"/>
      <c r="B11699" s="67"/>
      <c r="C11699" s="66"/>
      <c r="D11699" s="68"/>
      <c r="E11699" s="10"/>
      <c r="F11699" s="69"/>
      <c r="G11699" s="68"/>
      <c r="H11699" s="70"/>
      <c r="BA11699" s="4"/>
      <c r="BB11699" s="4"/>
    </row>
    <row r="11700" spans="1:54" x14ac:dyDescent="0.3">
      <c r="A11700" s="66"/>
      <c r="B11700" s="67"/>
      <c r="C11700" s="66"/>
      <c r="D11700" s="68"/>
      <c r="E11700" s="10"/>
      <c r="F11700" s="69"/>
      <c r="G11700" s="68"/>
      <c r="H11700" s="70"/>
      <c r="BA11700" s="4"/>
      <c r="BB11700" s="4"/>
    </row>
    <row r="11701" spans="1:54" x14ac:dyDescent="0.3">
      <c r="A11701" s="66"/>
      <c r="B11701" s="67"/>
      <c r="C11701" s="66"/>
      <c r="D11701" s="68"/>
      <c r="E11701" s="10"/>
      <c r="F11701" s="69"/>
      <c r="G11701" s="68"/>
      <c r="H11701" s="70"/>
      <c r="BA11701" s="4"/>
      <c r="BB11701" s="4"/>
    </row>
    <row r="11702" spans="1:54" x14ac:dyDescent="0.3">
      <c r="A11702" s="66"/>
      <c r="B11702" s="67"/>
      <c r="C11702" s="66"/>
      <c r="D11702" s="68"/>
      <c r="E11702" s="10"/>
      <c r="F11702" s="69"/>
      <c r="G11702" s="68"/>
      <c r="H11702" s="70"/>
      <c r="BA11702" s="4"/>
      <c r="BB11702" s="4"/>
    </row>
    <row r="11703" spans="1:54" x14ac:dyDescent="0.3">
      <c r="A11703" s="66"/>
      <c r="B11703" s="67"/>
      <c r="C11703" s="66"/>
      <c r="D11703" s="68"/>
      <c r="E11703" s="10"/>
      <c r="F11703" s="69"/>
      <c r="G11703" s="68"/>
      <c r="H11703" s="70"/>
      <c r="BA11703" s="4"/>
      <c r="BB11703" s="4"/>
    </row>
    <row r="11704" spans="1:54" x14ac:dyDescent="0.3">
      <c r="A11704" s="66"/>
      <c r="B11704" s="67"/>
      <c r="C11704" s="66"/>
      <c r="D11704" s="68"/>
      <c r="E11704" s="10"/>
      <c r="F11704" s="69"/>
      <c r="G11704" s="68"/>
      <c r="H11704" s="70"/>
      <c r="BA11704" s="4"/>
      <c r="BB11704" s="4"/>
    </row>
    <row r="11705" spans="1:54" x14ac:dyDescent="0.3">
      <c r="A11705" s="66"/>
      <c r="B11705" s="67"/>
      <c r="C11705" s="66"/>
      <c r="D11705" s="68"/>
      <c r="E11705" s="10"/>
      <c r="F11705" s="69"/>
      <c r="G11705" s="68"/>
      <c r="H11705" s="70"/>
      <c r="BA11705" s="4"/>
      <c r="BB11705" s="4"/>
    </row>
    <row r="11706" spans="1:54" x14ac:dyDescent="0.3">
      <c r="A11706" s="66"/>
      <c r="B11706" s="67"/>
      <c r="C11706" s="66"/>
      <c r="D11706" s="68"/>
      <c r="E11706" s="10"/>
      <c r="F11706" s="69"/>
      <c r="G11706" s="68"/>
      <c r="H11706" s="70"/>
      <c r="BA11706" s="4"/>
      <c r="BB11706" s="4"/>
    </row>
    <row r="11707" spans="1:54" x14ac:dyDescent="0.3">
      <c r="A11707" s="66"/>
      <c r="B11707" s="67"/>
      <c r="C11707" s="66"/>
      <c r="D11707" s="68"/>
      <c r="E11707" s="10"/>
      <c r="F11707" s="69"/>
      <c r="G11707" s="68"/>
      <c r="H11707" s="70"/>
      <c r="BA11707" s="4"/>
      <c r="BB11707" s="4"/>
    </row>
    <row r="11708" spans="1:54" x14ac:dyDescent="0.3">
      <c r="A11708" s="66"/>
      <c r="B11708" s="67"/>
      <c r="C11708" s="66"/>
      <c r="D11708" s="68"/>
      <c r="E11708" s="10"/>
      <c r="F11708" s="69"/>
      <c r="G11708" s="68"/>
      <c r="H11708" s="70"/>
      <c r="BA11708" s="4"/>
      <c r="BB11708" s="4"/>
    </row>
    <row r="11709" spans="1:54" x14ac:dyDescent="0.3">
      <c r="A11709" s="66"/>
      <c r="B11709" s="67"/>
      <c r="C11709" s="66"/>
      <c r="D11709" s="68"/>
      <c r="E11709" s="10"/>
      <c r="F11709" s="69"/>
      <c r="G11709" s="68"/>
      <c r="H11709" s="70"/>
      <c r="BA11709" s="4"/>
      <c r="BB11709" s="4"/>
    </row>
    <row r="11710" spans="1:54" x14ac:dyDescent="0.3">
      <c r="A11710" s="66"/>
      <c r="B11710" s="67"/>
      <c r="C11710" s="66"/>
      <c r="D11710" s="68"/>
      <c r="E11710" s="10"/>
      <c r="F11710" s="69"/>
      <c r="G11710" s="68"/>
      <c r="H11710" s="70"/>
      <c r="BA11710" s="4"/>
      <c r="BB11710" s="4"/>
    </row>
    <row r="11711" spans="1:54" x14ac:dyDescent="0.3">
      <c r="A11711" s="66"/>
      <c r="B11711" s="67"/>
      <c r="C11711" s="66"/>
      <c r="D11711" s="68"/>
      <c r="E11711" s="10"/>
      <c r="F11711" s="69"/>
      <c r="G11711" s="68"/>
      <c r="H11711" s="70"/>
      <c r="BA11711" s="4"/>
      <c r="BB11711" s="4"/>
    </row>
    <row r="11712" spans="1:54" x14ac:dyDescent="0.3">
      <c r="A11712" s="66"/>
      <c r="B11712" s="67"/>
      <c r="C11712" s="66"/>
      <c r="D11712" s="68"/>
      <c r="E11712" s="10"/>
      <c r="F11712" s="69"/>
      <c r="G11712" s="68"/>
      <c r="H11712" s="70"/>
      <c r="BA11712" s="4"/>
      <c r="BB11712" s="4"/>
    </row>
    <row r="11713" spans="1:54" x14ac:dyDescent="0.3">
      <c r="A11713" s="66"/>
      <c r="B11713" s="67"/>
      <c r="C11713" s="66"/>
      <c r="D11713" s="68"/>
      <c r="E11713" s="10"/>
      <c r="F11713" s="69"/>
      <c r="G11713" s="68"/>
      <c r="H11713" s="70"/>
      <c r="BA11713" s="4"/>
      <c r="BB11713" s="4"/>
    </row>
    <row r="11714" spans="1:54" x14ac:dyDescent="0.3">
      <c r="A11714" s="66"/>
      <c r="B11714" s="67"/>
      <c r="C11714" s="66"/>
      <c r="D11714" s="68"/>
      <c r="E11714" s="10"/>
      <c r="F11714" s="69"/>
      <c r="G11714" s="68"/>
      <c r="H11714" s="70"/>
      <c r="BA11714" s="4"/>
      <c r="BB11714" s="4"/>
    </row>
    <row r="11715" spans="1:54" x14ac:dyDescent="0.3">
      <c r="A11715" s="66"/>
      <c r="B11715" s="67"/>
      <c r="C11715" s="66"/>
      <c r="D11715" s="68"/>
      <c r="E11715" s="10"/>
      <c r="F11715" s="69"/>
      <c r="G11715" s="68"/>
      <c r="H11715" s="70"/>
      <c r="BA11715" s="4"/>
      <c r="BB11715" s="4"/>
    </row>
    <row r="11716" spans="1:54" x14ac:dyDescent="0.3">
      <c r="A11716" s="66"/>
      <c r="B11716" s="67"/>
      <c r="C11716" s="66"/>
      <c r="D11716" s="68"/>
      <c r="E11716" s="10"/>
      <c r="F11716" s="69"/>
      <c r="G11716" s="68"/>
      <c r="H11716" s="70"/>
      <c r="BA11716" s="4"/>
      <c r="BB11716" s="4"/>
    </row>
    <row r="11717" spans="1:54" x14ac:dyDescent="0.3">
      <c r="A11717" s="66"/>
      <c r="B11717" s="67"/>
      <c r="C11717" s="66"/>
      <c r="D11717" s="68"/>
      <c r="E11717" s="10"/>
      <c r="F11717" s="69"/>
      <c r="G11717" s="68"/>
      <c r="H11717" s="70"/>
      <c r="BA11717" s="4"/>
      <c r="BB11717" s="4"/>
    </row>
    <row r="11718" spans="1:54" x14ac:dyDescent="0.3">
      <c r="A11718" s="66"/>
      <c r="B11718" s="67"/>
      <c r="C11718" s="66"/>
      <c r="D11718" s="68"/>
      <c r="E11718" s="10"/>
      <c r="F11718" s="69"/>
      <c r="G11718" s="68"/>
      <c r="H11718" s="70"/>
      <c r="BA11718" s="4"/>
      <c r="BB11718" s="4"/>
    </row>
    <row r="11719" spans="1:54" x14ac:dyDescent="0.3">
      <c r="A11719" s="66"/>
      <c r="B11719" s="67"/>
      <c r="C11719" s="66"/>
      <c r="D11719" s="68"/>
      <c r="E11719" s="10"/>
      <c r="F11719" s="69"/>
      <c r="G11719" s="68"/>
      <c r="H11719" s="70"/>
      <c r="BA11719" s="4"/>
      <c r="BB11719" s="4"/>
    </row>
    <row r="11720" spans="1:54" x14ac:dyDescent="0.3">
      <c r="A11720" s="66"/>
      <c r="B11720" s="67"/>
      <c r="C11720" s="66"/>
      <c r="D11720" s="68"/>
      <c r="E11720" s="10"/>
      <c r="F11720" s="69"/>
      <c r="G11720" s="68"/>
      <c r="H11720" s="70"/>
      <c r="BA11720" s="4"/>
      <c r="BB11720" s="4"/>
    </row>
    <row r="11721" spans="1:54" x14ac:dyDescent="0.3">
      <c r="A11721" s="66"/>
      <c r="B11721" s="67"/>
      <c r="C11721" s="66"/>
      <c r="D11721" s="68"/>
      <c r="E11721" s="10"/>
      <c r="F11721" s="69"/>
      <c r="G11721" s="68"/>
      <c r="H11721" s="70"/>
      <c r="BA11721" s="4"/>
      <c r="BB11721" s="4"/>
    </row>
    <row r="11722" spans="1:54" x14ac:dyDescent="0.3">
      <c r="A11722" s="66"/>
      <c r="B11722" s="67"/>
      <c r="C11722" s="66"/>
      <c r="D11722" s="68"/>
      <c r="E11722" s="10"/>
      <c r="F11722" s="69"/>
      <c r="G11722" s="68"/>
      <c r="H11722" s="70"/>
      <c r="BA11722" s="4"/>
      <c r="BB11722" s="4"/>
    </row>
    <row r="11723" spans="1:54" x14ac:dyDescent="0.3">
      <c r="A11723" s="66"/>
      <c r="B11723" s="67"/>
      <c r="C11723" s="66"/>
      <c r="D11723" s="68"/>
      <c r="E11723" s="10"/>
      <c r="F11723" s="69"/>
      <c r="G11723" s="68"/>
      <c r="H11723" s="70"/>
      <c r="BA11723" s="4"/>
      <c r="BB11723" s="4"/>
    </row>
    <row r="11724" spans="1:54" x14ac:dyDescent="0.3">
      <c r="A11724" s="66"/>
      <c r="B11724" s="67"/>
      <c r="C11724" s="66"/>
      <c r="D11724" s="68"/>
      <c r="E11724" s="10"/>
      <c r="F11724" s="69"/>
      <c r="G11724" s="68"/>
      <c r="H11724" s="70"/>
      <c r="BA11724" s="4"/>
      <c r="BB11724" s="4"/>
    </row>
    <row r="11725" spans="1:54" x14ac:dyDescent="0.3">
      <c r="A11725" s="66"/>
      <c r="B11725" s="67"/>
      <c r="C11725" s="66"/>
      <c r="D11725" s="68"/>
      <c r="E11725" s="10"/>
      <c r="F11725" s="69"/>
      <c r="G11725" s="68"/>
      <c r="H11725" s="70"/>
      <c r="BA11725" s="4"/>
      <c r="BB11725" s="4"/>
    </row>
    <row r="11726" spans="1:54" x14ac:dyDescent="0.3">
      <c r="A11726" s="66"/>
      <c r="B11726" s="67"/>
      <c r="C11726" s="66"/>
      <c r="D11726" s="68"/>
      <c r="E11726" s="10"/>
      <c r="F11726" s="69"/>
      <c r="G11726" s="68"/>
      <c r="H11726" s="70"/>
      <c r="BA11726" s="4"/>
      <c r="BB11726" s="4"/>
    </row>
    <row r="11727" spans="1:54" x14ac:dyDescent="0.3">
      <c r="A11727" s="66"/>
      <c r="B11727" s="67"/>
      <c r="C11727" s="66"/>
      <c r="D11727" s="68"/>
      <c r="E11727" s="10"/>
      <c r="F11727" s="69"/>
      <c r="G11727" s="68"/>
      <c r="H11727" s="70"/>
      <c r="BA11727" s="4"/>
      <c r="BB11727" s="4"/>
    </row>
    <row r="11728" spans="1:54" x14ac:dyDescent="0.3">
      <c r="A11728" s="66"/>
      <c r="B11728" s="67"/>
      <c r="C11728" s="66"/>
      <c r="D11728" s="68"/>
      <c r="E11728" s="10"/>
      <c r="F11728" s="69"/>
      <c r="G11728" s="68"/>
      <c r="H11728" s="70"/>
      <c r="BA11728" s="4"/>
      <c r="BB11728" s="4"/>
    </row>
    <row r="11729" spans="1:54" x14ac:dyDescent="0.3">
      <c r="A11729" s="66"/>
      <c r="B11729" s="67"/>
      <c r="C11729" s="66"/>
      <c r="D11729" s="68"/>
      <c r="E11729" s="10"/>
      <c r="F11729" s="69"/>
      <c r="G11729" s="68"/>
      <c r="H11729" s="70"/>
      <c r="BA11729" s="4"/>
      <c r="BB11729" s="4"/>
    </row>
    <row r="11730" spans="1:54" x14ac:dyDescent="0.3">
      <c r="A11730" s="66"/>
      <c r="B11730" s="67"/>
      <c r="C11730" s="66"/>
      <c r="D11730" s="68"/>
      <c r="E11730" s="10"/>
      <c r="F11730" s="69"/>
      <c r="G11730" s="68"/>
      <c r="H11730" s="70"/>
      <c r="BA11730" s="4"/>
      <c r="BB11730" s="4"/>
    </row>
    <row r="11731" spans="1:54" x14ac:dyDescent="0.3">
      <c r="A11731" s="66"/>
      <c r="B11731" s="67"/>
      <c r="C11731" s="66"/>
      <c r="D11731" s="68"/>
      <c r="E11731" s="10"/>
      <c r="F11731" s="69"/>
      <c r="G11731" s="68"/>
      <c r="H11731" s="70"/>
      <c r="BA11731" s="4"/>
      <c r="BB11731" s="4"/>
    </row>
    <row r="11732" spans="1:54" x14ac:dyDescent="0.3">
      <c r="A11732" s="66"/>
      <c r="B11732" s="67"/>
      <c r="C11732" s="66"/>
      <c r="D11732" s="68"/>
      <c r="E11732" s="10"/>
      <c r="F11732" s="69"/>
      <c r="G11732" s="68"/>
      <c r="H11732" s="70"/>
      <c r="BA11732" s="4"/>
      <c r="BB11732" s="4"/>
    </row>
    <row r="11733" spans="1:54" x14ac:dyDescent="0.3">
      <c r="A11733" s="66"/>
      <c r="B11733" s="67"/>
      <c r="C11733" s="66"/>
      <c r="D11733" s="68"/>
      <c r="E11733" s="10"/>
      <c r="F11733" s="69"/>
      <c r="G11733" s="68"/>
      <c r="H11733" s="70"/>
      <c r="BA11733" s="4"/>
      <c r="BB11733" s="4"/>
    </row>
    <row r="11734" spans="1:54" x14ac:dyDescent="0.3">
      <c r="A11734" s="66"/>
      <c r="B11734" s="67"/>
      <c r="C11734" s="66"/>
      <c r="D11734" s="68"/>
      <c r="E11734" s="10"/>
      <c r="F11734" s="69"/>
      <c r="G11734" s="68"/>
      <c r="H11734" s="70"/>
      <c r="BA11734" s="4"/>
      <c r="BB11734" s="4"/>
    </row>
    <row r="11735" spans="1:54" x14ac:dyDescent="0.3">
      <c r="A11735" s="66"/>
      <c r="B11735" s="67"/>
      <c r="C11735" s="66"/>
      <c r="D11735" s="68"/>
      <c r="E11735" s="10"/>
      <c r="F11735" s="69"/>
      <c r="G11735" s="68"/>
      <c r="H11735" s="70"/>
      <c r="BA11735" s="4"/>
      <c r="BB11735" s="4"/>
    </row>
    <row r="11736" spans="1:54" x14ac:dyDescent="0.3">
      <c r="A11736" s="66"/>
      <c r="B11736" s="67"/>
      <c r="C11736" s="66"/>
      <c r="D11736" s="68"/>
      <c r="E11736" s="10"/>
      <c r="F11736" s="69"/>
      <c r="G11736" s="68"/>
      <c r="H11736" s="70"/>
      <c r="BA11736" s="4"/>
      <c r="BB11736" s="4"/>
    </row>
    <row r="11737" spans="1:54" x14ac:dyDescent="0.3">
      <c r="A11737" s="66"/>
      <c r="B11737" s="67"/>
      <c r="C11737" s="66"/>
      <c r="D11737" s="68"/>
      <c r="E11737" s="10"/>
      <c r="F11737" s="69"/>
      <c r="G11737" s="68"/>
      <c r="H11737" s="70"/>
      <c r="BA11737" s="4"/>
      <c r="BB11737" s="4"/>
    </row>
    <row r="11738" spans="1:54" x14ac:dyDescent="0.3">
      <c r="A11738" s="66"/>
      <c r="B11738" s="67"/>
      <c r="C11738" s="66"/>
      <c r="D11738" s="68"/>
      <c r="E11738" s="10"/>
      <c r="F11738" s="69"/>
      <c r="G11738" s="68"/>
      <c r="H11738" s="70"/>
      <c r="BA11738" s="4"/>
      <c r="BB11738" s="4"/>
    </row>
    <row r="11739" spans="1:54" x14ac:dyDescent="0.3">
      <c r="A11739" s="66"/>
      <c r="B11739" s="67"/>
      <c r="C11739" s="66"/>
      <c r="D11739" s="68"/>
      <c r="E11739" s="10"/>
      <c r="F11739" s="69"/>
      <c r="G11739" s="68"/>
      <c r="H11739" s="70"/>
      <c r="BA11739" s="4"/>
      <c r="BB11739" s="4"/>
    </row>
    <row r="11740" spans="1:54" x14ac:dyDescent="0.3">
      <c r="A11740" s="66"/>
      <c r="B11740" s="67"/>
      <c r="C11740" s="66"/>
      <c r="D11740" s="68"/>
      <c r="E11740" s="10"/>
      <c r="F11740" s="69"/>
      <c r="G11740" s="68"/>
      <c r="H11740" s="70"/>
      <c r="BA11740" s="4"/>
      <c r="BB11740" s="4"/>
    </row>
    <row r="11741" spans="1:54" x14ac:dyDescent="0.3">
      <c r="A11741" s="66"/>
      <c r="B11741" s="67"/>
      <c r="C11741" s="66"/>
      <c r="D11741" s="68"/>
      <c r="E11741" s="10"/>
      <c r="F11741" s="69"/>
      <c r="G11741" s="68"/>
      <c r="H11741" s="70"/>
      <c r="BA11741" s="4"/>
      <c r="BB11741" s="4"/>
    </row>
    <row r="11742" spans="1:54" x14ac:dyDescent="0.3">
      <c r="A11742" s="66"/>
      <c r="B11742" s="67"/>
      <c r="C11742" s="66"/>
      <c r="D11742" s="68"/>
      <c r="E11742" s="10"/>
      <c r="F11742" s="69"/>
      <c r="G11742" s="68"/>
      <c r="H11742" s="70"/>
      <c r="BA11742" s="4"/>
      <c r="BB11742" s="4"/>
    </row>
    <row r="11743" spans="1:54" x14ac:dyDescent="0.3">
      <c r="A11743" s="66"/>
      <c r="B11743" s="67"/>
      <c r="C11743" s="66"/>
      <c r="D11743" s="68"/>
      <c r="E11743" s="10"/>
      <c r="F11743" s="69"/>
      <c r="G11743" s="68"/>
      <c r="H11743" s="70"/>
      <c r="BA11743" s="4"/>
      <c r="BB11743" s="4"/>
    </row>
    <row r="11744" spans="1:54" x14ac:dyDescent="0.3">
      <c r="A11744" s="66"/>
      <c r="B11744" s="67"/>
      <c r="C11744" s="66"/>
      <c r="D11744" s="68"/>
      <c r="E11744" s="10"/>
      <c r="F11744" s="69"/>
      <c r="G11744" s="68"/>
      <c r="H11744" s="70"/>
      <c r="BA11744" s="4"/>
      <c r="BB11744" s="4"/>
    </row>
    <row r="11745" spans="1:54" x14ac:dyDescent="0.3">
      <c r="A11745" s="66"/>
      <c r="B11745" s="67"/>
      <c r="C11745" s="66"/>
      <c r="D11745" s="68"/>
      <c r="E11745" s="10"/>
      <c r="F11745" s="69"/>
      <c r="G11745" s="68"/>
      <c r="H11745" s="70"/>
      <c r="BA11745" s="4"/>
      <c r="BB11745" s="4"/>
    </row>
    <row r="11746" spans="1:54" x14ac:dyDescent="0.3">
      <c r="A11746" s="66"/>
      <c r="B11746" s="67"/>
      <c r="C11746" s="66"/>
      <c r="D11746" s="68"/>
      <c r="E11746" s="10"/>
      <c r="F11746" s="69"/>
      <c r="G11746" s="68"/>
      <c r="H11746" s="70"/>
      <c r="BA11746" s="4"/>
      <c r="BB11746" s="4"/>
    </row>
    <row r="11747" spans="1:54" x14ac:dyDescent="0.3">
      <c r="A11747" s="66"/>
      <c r="B11747" s="67"/>
      <c r="C11747" s="66"/>
      <c r="D11747" s="68"/>
      <c r="E11747" s="10"/>
      <c r="F11747" s="69"/>
      <c r="G11747" s="68"/>
      <c r="H11747" s="70"/>
      <c r="BA11747" s="4"/>
      <c r="BB11747" s="4"/>
    </row>
    <row r="11748" spans="1:54" x14ac:dyDescent="0.3">
      <c r="A11748" s="66"/>
      <c r="B11748" s="67"/>
      <c r="C11748" s="66"/>
      <c r="D11748" s="68"/>
      <c r="E11748" s="10"/>
      <c r="F11748" s="69"/>
      <c r="G11748" s="68"/>
      <c r="H11748" s="70"/>
      <c r="BA11748" s="4"/>
      <c r="BB11748" s="4"/>
    </row>
    <row r="11749" spans="1:54" x14ac:dyDescent="0.3">
      <c r="A11749" s="66"/>
      <c r="B11749" s="67"/>
      <c r="C11749" s="66"/>
      <c r="D11749" s="68"/>
      <c r="E11749" s="10"/>
      <c r="F11749" s="69"/>
      <c r="G11749" s="68"/>
      <c r="H11749" s="70"/>
      <c r="BA11749" s="4"/>
      <c r="BB11749" s="4"/>
    </row>
    <row r="11750" spans="1:54" x14ac:dyDescent="0.3">
      <c r="A11750" s="66"/>
      <c r="B11750" s="67"/>
      <c r="C11750" s="66"/>
      <c r="D11750" s="68"/>
      <c r="E11750" s="10"/>
      <c r="F11750" s="69"/>
      <c r="G11750" s="68"/>
      <c r="H11750" s="70"/>
      <c r="BA11750" s="4"/>
      <c r="BB11750" s="4"/>
    </row>
    <row r="11751" spans="1:54" x14ac:dyDescent="0.3">
      <c r="A11751" s="66"/>
      <c r="B11751" s="67"/>
      <c r="C11751" s="66"/>
      <c r="D11751" s="68"/>
      <c r="E11751" s="10"/>
      <c r="F11751" s="69"/>
      <c r="G11751" s="68"/>
      <c r="H11751" s="70"/>
      <c r="BA11751" s="4"/>
      <c r="BB11751" s="4"/>
    </row>
    <row r="11752" spans="1:54" x14ac:dyDescent="0.3">
      <c r="A11752" s="66"/>
      <c r="B11752" s="67"/>
      <c r="C11752" s="66"/>
      <c r="D11752" s="68"/>
      <c r="E11752" s="10"/>
      <c r="F11752" s="69"/>
      <c r="G11752" s="68"/>
      <c r="H11752" s="70"/>
      <c r="BA11752" s="4"/>
      <c r="BB11752" s="4"/>
    </row>
    <row r="11753" spans="1:54" x14ac:dyDescent="0.3">
      <c r="A11753" s="66"/>
      <c r="B11753" s="67"/>
      <c r="C11753" s="66"/>
      <c r="D11753" s="68"/>
      <c r="E11753" s="10"/>
      <c r="F11753" s="69"/>
      <c r="G11753" s="68"/>
      <c r="H11753" s="70"/>
      <c r="BA11753" s="4"/>
      <c r="BB11753" s="4"/>
    </row>
    <row r="11754" spans="1:54" x14ac:dyDescent="0.3">
      <c r="A11754" s="66"/>
      <c r="B11754" s="67"/>
      <c r="C11754" s="66"/>
      <c r="D11754" s="68"/>
      <c r="E11754" s="10"/>
      <c r="F11754" s="69"/>
      <c r="G11754" s="68"/>
      <c r="H11754" s="70"/>
      <c r="BA11754" s="4"/>
      <c r="BB11754" s="4"/>
    </row>
    <row r="11755" spans="1:54" x14ac:dyDescent="0.3">
      <c r="A11755" s="66"/>
      <c r="B11755" s="67"/>
      <c r="C11755" s="66"/>
      <c r="D11755" s="68"/>
      <c r="E11755" s="10"/>
      <c r="F11755" s="69"/>
      <c r="G11755" s="68"/>
      <c r="H11755" s="70"/>
      <c r="BA11755" s="4"/>
      <c r="BB11755" s="4"/>
    </row>
    <row r="11756" spans="1:54" x14ac:dyDescent="0.3">
      <c r="A11756" s="66"/>
      <c r="B11756" s="67"/>
      <c r="C11756" s="66"/>
      <c r="D11756" s="68"/>
      <c r="E11756" s="10"/>
      <c r="F11756" s="69"/>
      <c r="G11756" s="68"/>
      <c r="H11756" s="70"/>
      <c r="BA11756" s="4"/>
      <c r="BB11756" s="4"/>
    </row>
    <row r="11757" spans="1:54" x14ac:dyDescent="0.3">
      <c r="A11757" s="66"/>
      <c r="B11757" s="67"/>
      <c r="C11757" s="66"/>
      <c r="D11757" s="68"/>
      <c r="E11757" s="10"/>
      <c r="F11757" s="69"/>
      <c r="G11757" s="68"/>
      <c r="H11757" s="70"/>
      <c r="BA11757" s="4"/>
      <c r="BB11757" s="4"/>
    </row>
    <row r="11758" spans="1:54" x14ac:dyDescent="0.3">
      <c r="A11758" s="66"/>
      <c r="B11758" s="67"/>
      <c r="C11758" s="66"/>
      <c r="D11758" s="68"/>
      <c r="E11758" s="10"/>
      <c r="F11758" s="69"/>
      <c r="G11758" s="68"/>
      <c r="H11758" s="70"/>
      <c r="BA11758" s="4"/>
      <c r="BB11758" s="4"/>
    </row>
    <row r="11759" spans="1:54" x14ac:dyDescent="0.3">
      <c r="A11759" s="66"/>
      <c r="B11759" s="67"/>
      <c r="C11759" s="66"/>
      <c r="D11759" s="68"/>
      <c r="E11759" s="10"/>
      <c r="F11759" s="69"/>
      <c r="G11759" s="68"/>
      <c r="H11759" s="70"/>
      <c r="BA11759" s="4"/>
      <c r="BB11759" s="4"/>
    </row>
    <row r="11760" spans="1:54" x14ac:dyDescent="0.3">
      <c r="A11760" s="66"/>
      <c r="B11760" s="67"/>
      <c r="C11760" s="66"/>
      <c r="D11760" s="68"/>
      <c r="E11760" s="10"/>
      <c r="F11760" s="69"/>
      <c r="G11760" s="68"/>
      <c r="H11760" s="70"/>
      <c r="BA11760" s="4"/>
      <c r="BB11760" s="4"/>
    </row>
    <row r="11761" spans="1:54" x14ac:dyDescent="0.3">
      <c r="A11761" s="66"/>
      <c r="B11761" s="67"/>
      <c r="C11761" s="66"/>
      <c r="D11761" s="68"/>
      <c r="E11761" s="10"/>
      <c r="F11761" s="69"/>
      <c r="G11761" s="68"/>
      <c r="H11761" s="70"/>
      <c r="BA11761" s="4"/>
      <c r="BB11761" s="4"/>
    </row>
    <row r="11762" spans="1:54" x14ac:dyDescent="0.3">
      <c r="A11762" s="66"/>
      <c r="B11762" s="67"/>
      <c r="C11762" s="66"/>
      <c r="D11762" s="68"/>
      <c r="E11762" s="10"/>
      <c r="F11762" s="69"/>
      <c r="G11762" s="68"/>
      <c r="H11762" s="70"/>
      <c r="BA11762" s="4"/>
      <c r="BB11762" s="4"/>
    </row>
    <row r="11763" spans="1:54" x14ac:dyDescent="0.3">
      <c r="A11763" s="66"/>
      <c r="B11763" s="67"/>
      <c r="C11763" s="66"/>
      <c r="D11763" s="68"/>
      <c r="E11763" s="10"/>
      <c r="F11763" s="69"/>
      <c r="G11763" s="68"/>
      <c r="H11763" s="70"/>
      <c r="BA11763" s="4"/>
      <c r="BB11763" s="4"/>
    </row>
    <row r="11764" spans="1:54" x14ac:dyDescent="0.3">
      <c r="A11764" s="66"/>
      <c r="B11764" s="67"/>
      <c r="C11764" s="66"/>
      <c r="D11764" s="68"/>
      <c r="E11764" s="10"/>
      <c r="F11764" s="69"/>
      <c r="G11764" s="68"/>
      <c r="H11764" s="70"/>
      <c r="BA11764" s="4"/>
      <c r="BB11764" s="4"/>
    </row>
    <row r="11765" spans="1:54" x14ac:dyDescent="0.3">
      <c r="A11765" s="66"/>
      <c r="B11765" s="67"/>
      <c r="C11765" s="66"/>
      <c r="D11765" s="68"/>
      <c r="E11765" s="10"/>
      <c r="F11765" s="69"/>
      <c r="G11765" s="68"/>
      <c r="H11765" s="70"/>
      <c r="BA11765" s="4"/>
      <c r="BB11765" s="4"/>
    </row>
    <row r="11766" spans="1:54" x14ac:dyDescent="0.3">
      <c r="A11766" s="66"/>
      <c r="B11766" s="67"/>
      <c r="C11766" s="66"/>
      <c r="D11766" s="68"/>
      <c r="E11766" s="10"/>
      <c r="F11766" s="69"/>
      <c r="G11766" s="68"/>
      <c r="H11766" s="70"/>
      <c r="BA11766" s="4"/>
      <c r="BB11766" s="4"/>
    </row>
    <row r="11767" spans="1:54" x14ac:dyDescent="0.3">
      <c r="A11767" s="66"/>
      <c r="B11767" s="67"/>
      <c r="C11767" s="66"/>
      <c r="D11767" s="68"/>
      <c r="E11767" s="10"/>
      <c r="F11767" s="69"/>
      <c r="G11767" s="68"/>
      <c r="H11767" s="70"/>
      <c r="BA11767" s="4"/>
      <c r="BB11767" s="4"/>
    </row>
    <row r="11768" spans="1:54" x14ac:dyDescent="0.3">
      <c r="A11768" s="66"/>
      <c r="B11768" s="67"/>
      <c r="C11768" s="66"/>
      <c r="D11768" s="68"/>
      <c r="E11768" s="10"/>
      <c r="F11768" s="69"/>
      <c r="G11768" s="68"/>
      <c r="H11768" s="70"/>
      <c r="BA11768" s="4"/>
      <c r="BB11768" s="4"/>
    </row>
    <row r="11769" spans="1:54" x14ac:dyDescent="0.3">
      <c r="A11769" s="66"/>
      <c r="B11769" s="67"/>
      <c r="C11769" s="66"/>
      <c r="D11769" s="68"/>
      <c r="E11769" s="10"/>
      <c r="F11769" s="69"/>
      <c r="G11769" s="68"/>
      <c r="H11769" s="70"/>
      <c r="BA11769" s="4"/>
      <c r="BB11769" s="4"/>
    </row>
    <row r="11770" spans="1:54" x14ac:dyDescent="0.3">
      <c r="A11770" s="66"/>
      <c r="B11770" s="67"/>
      <c r="C11770" s="66"/>
      <c r="D11770" s="68"/>
      <c r="E11770" s="10"/>
      <c r="F11770" s="69"/>
      <c r="G11770" s="68"/>
      <c r="H11770" s="70"/>
      <c r="BA11770" s="4"/>
      <c r="BB11770" s="4"/>
    </row>
    <row r="11771" spans="1:54" x14ac:dyDescent="0.3">
      <c r="A11771" s="66"/>
      <c r="B11771" s="67"/>
      <c r="C11771" s="66"/>
      <c r="D11771" s="68"/>
      <c r="E11771" s="10"/>
      <c r="F11771" s="69"/>
      <c r="G11771" s="68"/>
      <c r="H11771" s="70"/>
      <c r="BA11771" s="4"/>
      <c r="BB11771" s="4"/>
    </row>
    <row r="11772" spans="1:54" x14ac:dyDescent="0.3">
      <c r="A11772" s="66"/>
      <c r="B11772" s="67"/>
      <c r="C11772" s="66"/>
      <c r="D11772" s="68"/>
      <c r="E11772" s="10"/>
      <c r="F11772" s="69"/>
      <c r="G11772" s="68"/>
      <c r="H11772" s="70"/>
      <c r="BA11772" s="4"/>
      <c r="BB11772" s="4"/>
    </row>
    <row r="11773" spans="1:54" x14ac:dyDescent="0.3">
      <c r="A11773" s="66"/>
      <c r="B11773" s="67"/>
      <c r="C11773" s="66"/>
      <c r="D11773" s="68"/>
      <c r="E11773" s="10"/>
      <c r="F11773" s="69"/>
      <c r="G11773" s="68"/>
      <c r="H11773" s="70"/>
      <c r="BA11773" s="4"/>
      <c r="BB11773" s="4"/>
    </row>
    <row r="11774" spans="1:54" x14ac:dyDescent="0.3">
      <c r="A11774" s="66"/>
      <c r="B11774" s="67"/>
      <c r="C11774" s="66"/>
      <c r="D11774" s="68"/>
      <c r="E11774" s="10"/>
      <c r="F11774" s="69"/>
      <c r="G11774" s="68"/>
      <c r="H11774" s="70"/>
      <c r="BA11774" s="4"/>
      <c r="BB11774" s="4"/>
    </row>
    <row r="11775" spans="1:54" x14ac:dyDescent="0.3">
      <c r="A11775" s="66"/>
      <c r="B11775" s="67"/>
      <c r="C11775" s="66"/>
      <c r="D11775" s="68"/>
      <c r="E11775" s="10"/>
      <c r="F11775" s="69"/>
      <c r="G11775" s="68"/>
      <c r="H11775" s="70"/>
      <c r="BA11775" s="4"/>
      <c r="BB11775" s="4"/>
    </row>
    <row r="11776" spans="1:54" x14ac:dyDescent="0.3">
      <c r="A11776" s="66"/>
      <c r="B11776" s="67"/>
      <c r="C11776" s="66"/>
      <c r="D11776" s="68"/>
      <c r="E11776" s="10"/>
      <c r="F11776" s="69"/>
      <c r="G11776" s="68"/>
      <c r="H11776" s="70"/>
      <c r="BA11776" s="4"/>
      <c r="BB11776" s="4"/>
    </row>
    <row r="11777" spans="1:54" x14ac:dyDescent="0.3">
      <c r="A11777" s="66"/>
      <c r="B11777" s="67"/>
      <c r="C11777" s="66"/>
      <c r="D11777" s="68"/>
      <c r="E11777" s="10"/>
      <c r="F11777" s="69"/>
      <c r="G11777" s="68"/>
      <c r="H11777" s="70"/>
      <c r="BA11777" s="4"/>
      <c r="BB11777" s="4"/>
    </row>
    <row r="11778" spans="1:54" x14ac:dyDescent="0.3">
      <c r="A11778" s="66"/>
      <c r="B11778" s="67"/>
      <c r="C11778" s="66"/>
      <c r="D11778" s="68"/>
      <c r="E11778" s="10"/>
      <c r="F11778" s="69"/>
      <c r="G11778" s="68"/>
      <c r="H11778" s="70"/>
      <c r="BA11778" s="4"/>
      <c r="BB11778" s="4"/>
    </row>
    <row r="11779" spans="1:54" x14ac:dyDescent="0.3">
      <c r="A11779" s="66"/>
      <c r="B11779" s="67"/>
      <c r="C11779" s="66"/>
      <c r="D11779" s="68"/>
      <c r="E11779" s="10"/>
      <c r="F11779" s="69"/>
      <c r="G11779" s="68"/>
      <c r="H11779" s="70"/>
      <c r="BA11779" s="4"/>
      <c r="BB11779" s="4"/>
    </row>
    <row r="11780" spans="1:54" x14ac:dyDescent="0.3">
      <c r="A11780" s="66"/>
      <c r="B11780" s="67"/>
      <c r="C11780" s="66"/>
      <c r="D11780" s="68"/>
      <c r="E11780" s="10"/>
      <c r="F11780" s="69"/>
      <c r="G11780" s="68"/>
      <c r="H11780" s="70"/>
      <c r="BA11780" s="4"/>
      <c r="BB11780" s="4"/>
    </row>
    <row r="11781" spans="1:54" x14ac:dyDescent="0.3">
      <c r="A11781" s="66"/>
      <c r="B11781" s="67"/>
      <c r="C11781" s="66"/>
      <c r="D11781" s="68"/>
      <c r="E11781" s="10"/>
      <c r="F11781" s="69"/>
      <c r="G11781" s="68"/>
      <c r="H11781" s="70"/>
      <c r="BA11781" s="4"/>
      <c r="BB11781" s="4"/>
    </row>
    <row r="11782" spans="1:54" x14ac:dyDescent="0.3">
      <c r="A11782" s="66"/>
      <c r="B11782" s="67"/>
      <c r="C11782" s="66"/>
      <c r="D11782" s="68"/>
      <c r="E11782" s="10"/>
      <c r="F11782" s="69"/>
      <c r="G11782" s="68"/>
      <c r="H11782" s="70"/>
      <c r="BA11782" s="4"/>
      <c r="BB11782" s="4"/>
    </row>
    <row r="11783" spans="1:54" x14ac:dyDescent="0.3">
      <c r="A11783" s="66"/>
      <c r="B11783" s="67"/>
      <c r="C11783" s="66"/>
      <c r="D11783" s="68"/>
      <c r="E11783" s="10"/>
      <c r="F11783" s="69"/>
      <c r="G11783" s="68"/>
      <c r="H11783" s="70"/>
      <c r="BA11783" s="4"/>
      <c r="BB11783" s="4"/>
    </row>
    <row r="11784" spans="1:54" x14ac:dyDescent="0.3">
      <c r="A11784" s="66"/>
      <c r="B11784" s="67"/>
      <c r="C11784" s="66"/>
      <c r="D11784" s="68"/>
      <c r="E11784" s="10"/>
      <c r="F11784" s="69"/>
      <c r="G11784" s="68"/>
      <c r="H11784" s="70"/>
      <c r="BA11784" s="4"/>
      <c r="BB11784" s="4"/>
    </row>
    <row r="11785" spans="1:54" x14ac:dyDescent="0.3">
      <c r="A11785" s="66"/>
      <c r="B11785" s="67"/>
      <c r="C11785" s="66"/>
      <c r="D11785" s="68"/>
      <c r="E11785" s="10"/>
      <c r="F11785" s="69"/>
      <c r="G11785" s="68"/>
      <c r="H11785" s="70"/>
      <c r="BA11785" s="4"/>
      <c r="BB11785" s="4"/>
    </row>
    <row r="11786" spans="1:54" x14ac:dyDescent="0.3">
      <c r="A11786" s="66"/>
      <c r="B11786" s="67"/>
      <c r="C11786" s="66"/>
      <c r="D11786" s="68"/>
      <c r="E11786" s="10"/>
      <c r="F11786" s="69"/>
      <c r="G11786" s="68"/>
      <c r="H11786" s="70"/>
      <c r="BA11786" s="4"/>
      <c r="BB11786" s="4"/>
    </row>
    <row r="11787" spans="1:54" x14ac:dyDescent="0.3">
      <c r="A11787" s="66"/>
      <c r="B11787" s="67"/>
      <c r="C11787" s="66"/>
      <c r="D11787" s="68"/>
      <c r="E11787" s="10"/>
      <c r="F11787" s="69"/>
      <c r="G11787" s="68"/>
      <c r="H11787" s="70"/>
      <c r="BA11787" s="4"/>
      <c r="BB11787" s="4"/>
    </row>
    <row r="11788" spans="1:54" x14ac:dyDescent="0.3">
      <c r="A11788" s="66"/>
      <c r="B11788" s="67"/>
      <c r="C11788" s="66"/>
      <c r="D11788" s="68"/>
      <c r="E11788" s="10"/>
      <c r="F11788" s="69"/>
      <c r="G11788" s="68"/>
      <c r="H11788" s="70"/>
      <c r="BA11788" s="4"/>
      <c r="BB11788" s="4"/>
    </row>
    <row r="11789" spans="1:54" x14ac:dyDescent="0.3">
      <c r="A11789" s="66"/>
      <c r="B11789" s="67"/>
      <c r="C11789" s="66"/>
      <c r="D11789" s="68"/>
      <c r="E11789" s="10"/>
      <c r="F11789" s="69"/>
      <c r="G11789" s="68"/>
      <c r="H11789" s="70"/>
      <c r="BA11789" s="4"/>
      <c r="BB11789" s="4"/>
    </row>
    <row r="11790" spans="1:54" x14ac:dyDescent="0.3">
      <c r="A11790" s="66"/>
      <c r="B11790" s="67"/>
      <c r="C11790" s="66"/>
      <c r="D11790" s="68"/>
      <c r="E11790" s="10"/>
      <c r="F11790" s="69"/>
      <c r="G11790" s="68"/>
      <c r="H11790" s="70"/>
      <c r="BA11790" s="4"/>
      <c r="BB11790" s="4"/>
    </row>
    <row r="11791" spans="1:54" x14ac:dyDescent="0.3">
      <c r="A11791" s="66"/>
      <c r="B11791" s="67"/>
      <c r="C11791" s="66"/>
      <c r="D11791" s="68"/>
      <c r="E11791" s="10"/>
      <c r="F11791" s="69"/>
      <c r="G11791" s="68"/>
      <c r="H11791" s="70"/>
      <c r="BA11791" s="4"/>
      <c r="BB11791" s="4"/>
    </row>
    <row r="11792" spans="1:54" x14ac:dyDescent="0.3">
      <c r="A11792" s="66"/>
      <c r="B11792" s="67"/>
      <c r="C11792" s="66"/>
      <c r="D11792" s="68"/>
      <c r="E11792" s="10"/>
      <c r="F11792" s="69"/>
      <c r="G11792" s="68"/>
      <c r="H11792" s="70"/>
      <c r="BA11792" s="4"/>
      <c r="BB11792" s="4"/>
    </row>
    <row r="11793" spans="1:54" x14ac:dyDescent="0.3">
      <c r="A11793" s="66"/>
      <c r="B11793" s="67"/>
      <c r="C11793" s="66"/>
      <c r="D11793" s="68"/>
      <c r="E11793" s="10"/>
      <c r="F11793" s="69"/>
      <c r="G11793" s="68"/>
      <c r="H11793" s="70"/>
      <c r="BA11793" s="4"/>
      <c r="BB11793" s="4"/>
    </row>
    <row r="11794" spans="1:54" x14ac:dyDescent="0.3">
      <c r="A11794" s="66"/>
      <c r="B11794" s="67"/>
      <c r="C11794" s="66"/>
      <c r="D11794" s="68"/>
      <c r="E11794" s="10"/>
      <c r="F11794" s="69"/>
      <c r="G11794" s="68"/>
      <c r="H11794" s="70"/>
      <c r="BA11794" s="4"/>
      <c r="BB11794" s="4"/>
    </row>
    <row r="11795" spans="1:54" x14ac:dyDescent="0.3">
      <c r="A11795" s="66"/>
      <c r="B11795" s="67"/>
      <c r="C11795" s="66"/>
      <c r="D11795" s="68"/>
      <c r="E11795" s="10"/>
      <c r="F11795" s="69"/>
      <c r="G11795" s="68"/>
      <c r="H11795" s="70"/>
      <c r="BA11795" s="4"/>
      <c r="BB11795" s="4"/>
    </row>
    <row r="11796" spans="1:54" x14ac:dyDescent="0.3">
      <c r="A11796" s="66"/>
      <c r="B11796" s="67"/>
      <c r="C11796" s="66"/>
      <c r="D11796" s="68"/>
      <c r="E11796" s="10"/>
      <c r="F11796" s="69"/>
      <c r="G11796" s="68"/>
      <c r="H11796" s="70"/>
      <c r="BA11796" s="4"/>
      <c r="BB11796" s="4"/>
    </row>
    <row r="11797" spans="1:54" x14ac:dyDescent="0.3">
      <c r="A11797" s="66"/>
      <c r="B11797" s="67"/>
      <c r="C11797" s="66"/>
      <c r="D11797" s="68"/>
      <c r="E11797" s="10"/>
      <c r="F11797" s="69"/>
      <c r="G11797" s="68"/>
      <c r="H11797" s="70"/>
      <c r="BA11797" s="4"/>
      <c r="BB11797" s="4"/>
    </row>
    <row r="11798" spans="1:54" x14ac:dyDescent="0.3">
      <c r="A11798" s="66"/>
      <c r="B11798" s="67"/>
      <c r="C11798" s="66"/>
      <c r="D11798" s="68"/>
      <c r="E11798" s="10"/>
      <c r="F11798" s="69"/>
      <c r="G11798" s="68"/>
      <c r="H11798" s="70"/>
      <c r="BA11798" s="4"/>
      <c r="BB11798" s="4"/>
    </row>
    <row r="11799" spans="1:54" x14ac:dyDescent="0.3">
      <c r="A11799" s="66"/>
      <c r="B11799" s="67"/>
      <c r="C11799" s="66"/>
      <c r="D11799" s="68"/>
      <c r="E11799" s="10"/>
      <c r="F11799" s="69"/>
      <c r="G11799" s="68"/>
      <c r="H11799" s="70"/>
      <c r="BA11799" s="4"/>
      <c r="BB11799" s="4"/>
    </row>
    <row r="11800" spans="1:54" x14ac:dyDescent="0.3">
      <c r="A11800" s="66"/>
      <c r="B11800" s="67"/>
      <c r="C11800" s="66"/>
      <c r="D11800" s="68"/>
      <c r="E11800" s="10"/>
      <c r="F11800" s="69"/>
      <c r="G11800" s="68"/>
      <c r="H11800" s="70"/>
      <c r="BA11800" s="4"/>
      <c r="BB11800" s="4"/>
    </row>
    <row r="11801" spans="1:54" x14ac:dyDescent="0.3">
      <c r="A11801" s="66"/>
      <c r="B11801" s="67"/>
      <c r="C11801" s="66"/>
      <c r="D11801" s="68"/>
      <c r="E11801" s="10"/>
      <c r="F11801" s="69"/>
      <c r="G11801" s="68"/>
      <c r="H11801" s="70"/>
      <c r="BA11801" s="4"/>
      <c r="BB11801" s="4"/>
    </row>
    <row r="11802" spans="1:54" x14ac:dyDescent="0.3">
      <c r="A11802" s="66"/>
      <c r="B11802" s="67"/>
      <c r="C11802" s="66"/>
      <c r="D11802" s="68"/>
      <c r="E11802" s="10"/>
      <c r="F11802" s="69"/>
      <c r="G11802" s="68"/>
      <c r="H11802" s="70"/>
      <c r="BA11802" s="4"/>
      <c r="BB11802" s="4"/>
    </row>
    <row r="11803" spans="1:54" x14ac:dyDescent="0.3">
      <c r="A11803" s="66"/>
      <c r="B11803" s="67"/>
      <c r="C11803" s="66"/>
      <c r="D11803" s="68"/>
      <c r="E11803" s="10"/>
      <c r="F11803" s="69"/>
      <c r="G11803" s="68"/>
      <c r="H11803" s="70"/>
      <c r="BA11803" s="4"/>
      <c r="BB11803" s="4"/>
    </row>
    <row r="11804" spans="1:54" x14ac:dyDescent="0.3">
      <c r="A11804" s="66"/>
      <c r="B11804" s="67"/>
      <c r="C11804" s="66"/>
      <c r="D11804" s="68"/>
      <c r="E11804" s="10"/>
      <c r="F11804" s="69"/>
      <c r="G11804" s="68"/>
      <c r="H11804" s="70"/>
      <c r="BA11804" s="4"/>
      <c r="BB11804" s="4"/>
    </row>
    <row r="11805" spans="1:54" x14ac:dyDescent="0.3">
      <c r="A11805" s="66"/>
      <c r="B11805" s="67"/>
      <c r="C11805" s="66"/>
      <c r="D11805" s="68"/>
      <c r="E11805" s="10"/>
      <c r="F11805" s="69"/>
      <c r="G11805" s="68"/>
      <c r="H11805" s="70"/>
      <c r="BA11805" s="4"/>
      <c r="BB11805" s="4"/>
    </row>
    <row r="11806" spans="1:54" x14ac:dyDescent="0.3">
      <c r="A11806" s="66"/>
      <c r="B11806" s="67"/>
      <c r="C11806" s="66"/>
      <c r="D11806" s="68"/>
      <c r="E11806" s="10"/>
      <c r="F11806" s="69"/>
      <c r="G11806" s="68"/>
      <c r="H11806" s="70"/>
      <c r="BA11806" s="4"/>
      <c r="BB11806" s="4"/>
    </row>
    <row r="11807" spans="1:54" x14ac:dyDescent="0.3">
      <c r="A11807" s="66"/>
      <c r="B11807" s="67"/>
      <c r="C11807" s="66"/>
      <c r="D11807" s="68"/>
      <c r="E11807" s="10"/>
      <c r="F11807" s="69"/>
      <c r="G11807" s="68"/>
      <c r="H11807" s="70"/>
      <c r="BA11807" s="4"/>
      <c r="BB11807" s="4"/>
    </row>
    <row r="11808" spans="1:54" x14ac:dyDescent="0.3">
      <c r="A11808" s="66"/>
      <c r="B11808" s="67"/>
      <c r="C11808" s="66"/>
      <c r="D11808" s="68"/>
      <c r="E11808" s="10"/>
      <c r="F11808" s="69"/>
      <c r="G11808" s="68"/>
      <c r="H11808" s="70"/>
      <c r="BA11808" s="4"/>
      <c r="BB11808" s="4"/>
    </row>
    <row r="11809" spans="1:54" x14ac:dyDescent="0.3">
      <c r="A11809" s="66"/>
      <c r="B11809" s="67"/>
      <c r="C11809" s="66"/>
      <c r="D11809" s="68"/>
      <c r="E11809" s="10"/>
      <c r="F11809" s="69"/>
      <c r="G11809" s="68"/>
      <c r="H11809" s="70"/>
      <c r="BA11809" s="4"/>
      <c r="BB11809" s="4"/>
    </row>
    <row r="11810" spans="1:54" x14ac:dyDescent="0.3">
      <c r="A11810" s="66"/>
      <c r="B11810" s="67"/>
      <c r="C11810" s="66"/>
      <c r="D11810" s="68"/>
      <c r="E11810" s="10"/>
      <c r="F11810" s="69"/>
      <c r="G11810" s="68"/>
      <c r="H11810" s="70"/>
      <c r="BA11810" s="4"/>
      <c r="BB11810" s="4"/>
    </row>
    <row r="11811" spans="1:54" x14ac:dyDescent="0.3">
      <c r="A11811" s="66"/>
      <c r="B11811" s="67"/>
      <c r="C11811" s="66"/>
      <c r="D11811" s="68"/>
      <c r="E11811" s="10"/>
      <c r="F11811" s="69"/>
      <c r="G11811" s="68"/>
      <c r="H11811" s="70"/>
      <c r="BA11811" s="4"/>
      <c r="BB11811" s="4"/>
    </row>
    <row r="11812" spans="1:54" x14ac:dyDescent="0.3">
      <c r="A11812" s="66"/>
      <c r="B11812" s="67"/>
      <c r="C11812" s="66"/>
      <c r="D11812" s="68"/>
      <c r="E11812" s="10"/>
      <c r="F11812" s="69"/>
      <c r="G11812" s="68"/>
      <c r="H11812" s="70"/>
      <c r="BA11812" s="4"/>
      <c r="BB11812" s="4"/>
    </row>
    <row r="11813" spans="1:54" x14ac:dyDescent="0.3">
      <c r="A11813" s="66"/>
      <c r="B11813" s="67"/>
      <c r="C11813" s="66"/>
      <c r="D11813" s="68"/>
      <c r="E11813" s="10"/>
      <c r="F11813" s="69"/>
      <c r="G11813" s="68"/>
      <c r="H11813" s="70"/>
      <c r="BA11813" s="4"/>
      <c r="BB11813" s="4"/>
    </row>
    <row r="11814" spans="1:54" x14ac:dyDescent="0.3">
      <c r="A11814" s="66"/>
      <c r="B11814" s="67"/>
      <c r="C11814" s="66"/>
      <c r="D11814" s="68"/>
      <c r="E11814" s="10"/>
      <c r="F11814" s="69"/>
      <c r="G11814" s="68"/>
      <c r="H11814" s="70"/>
      <c r="BA11814" s="4"/>
      <c r="BB11814" s="4"/>
    </row>
    <row r="11815" spans="1:54" x14ac:dyDescent="0.3">
      <c r="A11815" s="66"/>
      <c r="B11815" s="67"/>
      <c r="C11815" s="66"/>
      <c r="D11815" s="68"/>
      <c r="E11815" s="10"/>
      <c r="F11815" s="69"/>
      <c r="G11815" s="68"/>
      <c r="H11815" s="70"/>
      <c r="BA11815" s="4"/>
      <c r="BB11815" s="4"/>
    </row>
    <row r="11816" spans="1:54" x14ac:dyDescent="0.3">
      <c r="A11816" s="66"/>
      <c r="B11816" s="67"/>
      <c r="C11816" s="66"/>
      <c r="D11816" s="68"/>
      <c r="E11816" s="10"/>
      <c r="F11816" s="69"/>
      <c r="G11816" s="68"/>
      <c r="H11816" s="70"/>
      <c r="BA11816" s="4"/>
      <c r="BB11816" s="4"/>
    </row>
    <row r="11817" spans="1:54" x14ac:dyDescent="0.3">
      <c r="A11817" s="66"/>
      <c r="B11817" s="67"/>
      <c r="C11817" s="66"/>
      <c r="D11817" s="68"/>
      <c r="E11817" s="10"/>
      <c r="F11817" s="69"/>
      <c r="G11817" s="68"/>
      <c r="H11817" s="70"/>
      <c r="BA11817" s="4"/>
      <c r="BB11817" s="4"/>
    </row>
    <row r="11818" spans="1:54" x14ac:dyDescent="0.3">
      <c r="A11818" s="66"/>
      <c r="B11818" s="67"/>
      <c r="C11818" s="66"/>
      <c r="D11818" s="68"/>
      <c r="E11818" s="10"/>
      <c r="F11818" s="69"/>
      <c r="G11818" s="68"/>
      <c r="H11818" s="70"/>
      <c r="BA11818" s="4"/>
      <c r="BB11818" s="4"/>
    </row>
    <row r="11819" spans="1:54" x14ac:dyDescent="0.3">
      <c r="A11819" s="66"/>
      <c r="B11819" s="67"/>
      <c r="C11819" s="66"/>
      <c r="D11819" s="68"/>
      <c r="E11819" s="10"/>
      <c r="F11819" s="69"/>
      <c r="G11819" s="68"/>
      <c r="H11819" s="70"/>
      <c r="BA11819" s="4"/>
      <c r="BB11819" s="4"/>
    </row>
    <row r="11820" spans="1:54" x14ac:dyDescent="0.3">
      <c r="A11820" s="66"/>
      <c r="B11820" s="67"/>
      <c r="C11820" s="66"/>
      <c r="D11820" s="68"/>
      <c r="E11820" s="10"/>
      <c r="F11820" s="69"/>
      <c r="G11820" s="68"/>
      <c r="H11820" s="70"/>
      <c r="BA11820" s="4"/>
      <c r="BB11820" s="4"/>
    </row>
    <row r="11821" spans="1:54" x14ac:dyDescent="0.3">
      <c r="A11821" s="66"/>
      <c r="B11821" s="67"/>
      <c r="C11821" s="66"/>
      <c r="D11821" s="68"/>
      <c r="E11821" s="10"/>
      <c r="F11821" s="69"/>
      <c r="G11821" s="68"/>
      <c r="H11821" s="70"/>
      <c r="BA11821" s="4"/>
      <c r="BB11821" s="4"/>
    </row>
    <row r="11822" spans="1:54" x14ac:dyDescent="0.3">
      <c r="A11822" s="66"/>
      <c r="B11822" s="67"/>
      <c r="C11822" s="66"/>
      <c r="D11822" s="68"/>
      <c r="E11822" s="10"/>
      <c r="F11822" s="69"/>
      <c r="G11822" s="68"/>
      <c r="H11822" s="70"/>
      <c r="BA11822" s="4"/>
      <c r="BB11822" s="4"/>
    </row>
    <row r="11823" spans="1:54" x14ac:dyDescent="0.3">
      <c r="A11823" s="66"/>
      <c r="B11823" s="67"/>
      <c r="C11823" s="66"/>
      <c r="D11823" s="68"/>
      <c r="E11823" s="10"/>
      <c r="F11823" s="69"/>
      <c r="G11823" s="68"/>
      <c r="H11823" s="70"/>
      <c r="BA11823" s="4"/>
      <c r="BB11823" s="4"/>
    </row>
    <row r="11824" spans="1:54" x14ac:dyDescent="0.3">
      <c r="A11824" s="66"/>
      <c r="B11824" s="67"/>
      <c r="C11824" s="66"/>
      <c r="D11824" s="68"/>
      <c r="E11824" s="10"/>
      <c r="F11824" s="69"/>
      <c r="G11824" s="68"/>
      <c r="H11824" s="70"/>
      <c r="BA11824" s="4"/>
      <c r="BB11824" s="4"/>
    </row>
    <row r="11825" spans="1:54" x14ac:dyDescent="0.3">
      <c r="A11825" s="66"/>
      <c r="B11825" s="67"/>
      <c r="C11825" s="66"/>
      <c r="D11825" s="68"/>
      <c r="E11825" s="10"/>
      <c r="F11825" s="69"/>
      <c r="G11825" s="68"/>
      <c r="H11825" s="70"/>
      <c r="BA11825" s="4"/>
      <c r="BB11825" s="4"/>
    </row>
    <row r="11826" spans="1:54" x14ac:dyDescent="0.3">
      <c r="A11826" s="66"/>
      <c r="B11826" s="67"/>
      <c r="C11826" s="66"/>
      <c r="D11826" s="68"/>
      <c r="E11826" s="10"/>
      <c r="F11826" s="69"/>
      <c r="G11826" s="68"/>
      <c r="H11826" s="70"/>
      <c r="BA11826" s="4"/>
      <c r="BB11826" s="4"/>
    </row>
    <row r="11827" spans="1:54" x14ac:dyDescent="0.3">
      <c r="A11827" s="66"/>
      <c r="B11827" s="67"/>
      <c r="C11827" s="66"/>
      <c r="D11827" s="68"/>
      <c r="E11827" s="10"/>
      <c r="F11827" s="69"/>
      <c r="G11827" s="68"/>
      <c r="H11827" s="70"/>
      <c r="BA11827" s="4"/>
      <c r="BB11827" s="4"/>
    </row>
    <row r="11828" spans="1:54" x14ac:dyDescent="0.3">
      <c r="A11828" s="66"/>
      <c r="B11828" s="67"/>
      <c r="C11828" s="66"/>
      <c r="D11828" s="68"/>
      <c r="E11828" s="10"/>
      <c r="F11828" s="69"/>
      <c r="G11828" s="68"/>
      <c r="H11828" s="70"/>
      <c r="BA11828" s="4"/>
      <c r="BB11828" s="4"/>
    </row>
    <row r="11829" spans="1:54" x14ac:dyDescent="0.3">
      <c r="A11829" s="66"/>
      <c r="B11829" s="67"/>
      <c r="C11829" s="66"/>
      <c r="D11829" s="68"/>
      <c r="E11829" s="10"/>
      <c r="F11829" s="69"/>
      <c r="G11829" s="68"/>
      <c r="H11829" s="70"/>
      <c r="BA11829" s="4"/>
      <c r="BB11829" s="4"/>
    </row>
    <row r="11830" spans="1:54" x14ac:dyDescent="0.3">
      <c r="A11830" s="66"/>
      <c r="B11830" s="67"/>
      <c r="C11830" s="66"/>
      <c r="D11830" s="68"/>
      <c r="E11830" s="10"/>
      <c r="F11830" s="69"/>
      <c r="G11830" s="68"/>
      <c r="H11830" s="70"/>
      <c r="BA11830" s="4"/>
      <c r="BB11830" s="4"/>
    </row>
    <row r="11831" spans="1:54" x14ac:dyDescent="0.3">
      <c r="A11831" s="66"/>
      <c r="B11831" s="67"/>
      <c r="C11831" s="66"/>
      <c r="D11831" s="68"/>
      <c r="E11831" s="10"/>
      <c r="F11831" s="69"/>
      <c r="G11831" s="68"/>
      <c r="H11831" s="70"/>
      <c r="BA11831" s="4"/>
      <c r="BB11831" s="4"/>
    </row>
    <row r="11832" spans="1:54" x14ac:dyDescent="0.3">
      <c r="A11832" s="66"/>
      <c r="B11832" s="67"/>
      <c r="C11832" s="66"/>
      <c r="D11832" s="68"/>
      <c r="E11832" s="10"/>
      <c r="F11832" s="69"/>
      <c r="G11832" s="68"/>
      <c r="H11832" s="70"/>
      <c r="BA11832" s="4"/>
      <c r="BB11832" s="4"/>
    </row>
    <row r="11833" spans="1:54" x14ac:dyDescent="0.3">
      <c r="A11833" s="66"/>
      <c r="B11833" s="67"/>
      <c r="C11833" s="66"/>
      <c r="D11833" s="68"/>
      <c r="E11833" s="10"/>
      <c r="F11833" s="69"/>
      <c r="G11833" s="68"/>
      <c r="H11833" s="70"/>
      <c r="BA11833" s="4"/>
      <c r="BB11833" s="4"/>
    </row>
    <row r="11834" spans="1:54" x14ac:dyDescent="0.3">
      <c r="A11834" s="66"/>
      <c r="B11834" s="67"/>
      <c r="C11834" s="66"/>
      <c r="D11834" s="68"/>
      <c r="E11834" s="10"/>
      <c r="F11834" s="69"/>
      <c r="G11834" s="68"/>
      <c r="H11834" s="70"/>
      <c r="BA11834" s="4"/>
      <c r="BB11834" s="4"/>
    </row>
    <row r="11835" spans="1:54" x14ac:dyDescent="0.3">
      <c r="A11835" s="66"/>
      <c r="B11835" s="67"/>
      <c r="C11835" s="66"/>
      <c r="D11835" s="68"/>
      <c r="E11835" s="10"/>
      <c r="F11835" s="69"/>
      <c r="G11835" s="68"/>
      <c r="H11835" s="70"/>
      <c r="BA11835" s="4"/>
      <c r="BB11835" s="4"/>
    </row>
    <row r="11836" spans="1:54" x14ac:dyDescent="0.3">
      <c r="A11836" s="66"/>
      <c r="B11836" s="67"/>
      <c r="C11836" s="66"/>
      <c r="D11836" s="68"/>
      <c r="E11836" s="10"/>
      <c r="F11836" s="69"/>
      <c r="G11836" s="68"/>
      <c r="H11836" s="70"/>
      <c r="BA11836" s="4"/>
      <c r="BB11836" s="4"/>
    </row>
    <row r="11837" spans="1:54" x14ac:dyDescent="0.3">
      <c r="A11837" s="66"/>
      <c r="B11837" s="67"/>
      <c r="C11837" s="66"/>
      <c r="D11837" s="68"/>
      <c r="E11837" s="10"/>
      <c r="F11837" s="69"/>
      <c r="G11837" s="68"/>
      <c r="H11837" s="70"/>
      <c r="BA11837" s="4"/>
      <c r="BB11837" s="4"/>
    </row>
    <row r="11838" spans="1:54" x14ac:dyDescent="0.3">
      <c r="A11838" s="66"/>
      <c r="B11838" s="67"/>
      <c r="C11838" s="66"/>
      <c r="D11838" s="68"/>
      <c r="E11838" s="10"/>
      <c r="F11838" s="69"/>
      <c r="G11838" s="68"/>
      <c r="H11838" s="70"/>
      <c r="BA11838" s="4"/>
      <c r="BB11838" s="4"/>
    </row>
    <row r="11839" spans="1:54" x14ac:dyDescent="0.3">
      <c r="A11839" s="66"/>
      <c r="B11839" s="67"/>
      <c r="C11839" s="66"/>
      <c r="D11839" s="68"/>
      <c r="E11839" s="10"/>
      <c r="F11839" s="69"/>
      <c r="G11839" s="68"/>
      <c r="H11839" s="70"/>
      <c r="BA11839" s="4"/>
      <c r="BB11839" s="4"/>
    </row>
    <row r="11840" spans="1:54" x14ac:dyDescent="0.3">
      <c r="A11840" s="66"/>
      <c r="B11840" s="67"/>
      <c r="C11840" s="66"/>
      <c r="D11840" s="68"/>
      <c r="E11840" s="10"/>
      <c r="F11840" s="69"/>
      <c r="G11840" s="68"/>
      <c r="H11840" s="70"/>
      <c r="BA11840" s="4"/>
      <c r="BB11840" s="4"/>
    </row>
    <row r="11841" spans="1:54" x14ac:dyDescent="0.3">
      <c r="A11841" s="66"/>
      <c r="B11841" s="67"/>
      <c r="C11841" s="66"/>
      <c r="D11841" s="68"/>
      <c r="E11841" s="10"/>
      <c r="F11841" s="69"/>
      <c r="G11841" s="68"/>
      <c r="H11841" s="70"/>
      <c r="BA11841" s="4"/>
      <c r="BB11841" s="4"/>
    </row>
    <row r="11842" spans="1:54" x14ac:dyDescent="0.3">
      <c r="A11842" s="66"/>
      <c r="B11842" s="67"/>
      <c r="C11842" s="66"/>
      <c r="D11842" s="68"/>
      <c r="E11842" s="10"/>
      <c r="F11842" s="69"/>
      <c r="G11842" s="68"/>
      <c r="H11842" s="70"/>
      <c r="BA11842" s="4"/>
      <c r="BB11842" s="4"/>
    </row>
    <row r="11843" spans="1:54" x14ac:dyDescent="0.3">
      <c r="A11843" s="66"/>
      <c r="B11843" s="67"/>
      <c r="C11843" s="66"/>
      <c r="D11843" s="68"/>
      <c r="E11843" s="10"/>
      <c r="F11843" s="69"/>
      <c r="G11843" s="68"/>
      <c r="H11843" s="70"/>
      <c r="BA11843" s="4"/>
      <c r="BB11843" s="4"/>
    </row>
    <row r="11844" spans="1:54" x14ac:dyDescent="0.3">
      <c r="A11844" s="66"/>
      <c r="B11844" s="67"/>
      <c r="C11844" s="66"/>
      <c r="D11844" s="68"/>
      <c r="E11844" s="10"/>
      <c r="F11844" s="69"/>
      <c r="G11844" s="68"/>
      <c r="H11844" s="70"/>
      <c r="BA11844" s="4"/>
      <c r="BB11844" s="4"/>
    </row>
    <row r="11845" spans="1:54" x14ac:dyDescent="0.3">
      <c r="A11845" s="66"/>
      <c r="B11845" s="67"/>
      <c r="C11845" s="66"/>
      <c r="D11845" s="68"/>
      <c r="E11845" s="10"/>
      <c r="F11845" s="69"/>
      <c r="G11845" s="68"/>
      <c r="H11845" s="70"/>
      <c r="BA11845" s="4"/>
      <c r="BB11845" s="4"/>
    </row>
    <row r="11846" spans="1:54" x14ac:dyDescent="0.3">
      <c r="A11846" s="66"/>
      <c r="B11846" s="67"/>
      <c r="C11846" s="66"/>
      <c r="D11846" s="68"/>
      <c r="E11846" s="10"/>
      <c r="F11846" s="69"/>
      <c r="G11846" s="68"/>
      <c r="H11846" s="70"/>
      <c r="BA11846" s="4"/>
      <c r="BB11846" s="4"/>
    </row>
    <row r="11847" spans="1:54" x14ac:dyDescent="0.3">
      <c r="A11847" s="66"/>
      <c r="B11847" s="67"/>
      <c r="C11847" s="66"/>
      <c r="D11847" s="68"/>
      <c r="E11847" s="10"/>
      <c r="F11847" s="69"/>
      <c r="G11847" s="68"/>
      <c r="H11847" s="70"/>
      <c r="BA11847" s="4"/>
      <c r="BB11847" s="4"/>
    </row>
    <row r="11848" spans="1:54" x14ac:dyDescent="0.3">
      <c r="A11848" s="66"/>
      <c r="B11848" s="67"/>
      <c r="C11848" s="66"/>
      <c r="D11848" s="68"/>
      <c r="E11848" s="10"/>
      <c r="F11848" s="69"/>
      <c r="G11848" s="68"/>
      <c r="H11848" s="70"/>
      <c r="BA11848" s="4"/>
      <c r="BB11848" s="4"/>
    </row>
    <row r="11849" spans="1:54" x14ac:dyDescent="0.3">
      <c r="A11849" s="66"/>
      <c r="B11849" s="67"/>
      <c r="C11849" s="66"/>
      <c r="D11849" s="68"/>
      <c r="E11849" s="10"/>
      <c r="F11849" s="69"/>
      <c r="G11849" s="68"/>
      <c r="H11849" s="70"/>
      <c r="BA11849" s="4"/>
      <c r="BB11849" s="4"/>
    </row>
    <row r="11850" spans="1:54" x14ac:dyDescent="0.3">
      <c r="A11850" s="66"/>
      <c r="B11850" s="67"/>
      <c r="C11850" s="66"/>
      <c r="D11850" s="68"/>
      <c r="E11850" s="10"/>
      <c r="F11850" s="69"/>
      <c r="G11850" s="68"/>
      <c r="H11850" s="70"/>
      <c r="BA11850" s="4"/>
      <c r="BB11850" s="4"/>
    </row>
    <row r="11851" spans="1:54" x14ac:dyDescent="0.3">
      <c r="A11851" s="66"/>
      <c r="B11851" s="67"/>
      <c r="C11851" s="66"/>
      <c r="D11851" s="68"/>
      <c r="E11851" s="10"/>
      <c r="F11851" s="69"/>
      <c r="G11851" s="68"/>
      <c r="H11851" s="70"/>
      <c r="BA11851" s="4"/>
      <c r="BB11851" s="4"/>
    </row>
    <row r="11852" spans="1:54" x14ac:dyDescent="0.3">
      <c r="A11852" s="66"/>
      <c r="B11852" s="67"/>
      <c r="C11852" s="66"/>
      <c r="D11852" s="68"/>
      <c r="E11852" s="10"/>
      <c r="F11852" s="69"/>
      <c r="G11852" s="68"/>
      <c r="H11852" s="70"/>
      <c r="BA11852" s="4"/>
      <c r="BB11852" s="4"/>
    </row>
    <row r="11853" spans="1:54" x14ac:dyDescent="0.3">
      <c r="A11853" s="66"/>
      <c r="B11853" s="67"/>
      <c r="C11853" s="66"/>
      <c r="D11853" s="68"/>
      <c r="E11853" s="10"/>
      <c r="F11853" s="69"/>
      <c r="G11853" s="68"/>
      <c r="H11853" s="70"/>
      <c r="BA11853" s="4"/>
      <c r="BB11853" s="4"/>
    </row>
    <row r="11854" spans="1:54" x14ac:dyDescent="0.3">
      <c r="A11854" s="66"/>
      <c r="B11854" s="67"/>
      <c r="C11854" s="66"/>
      <c r="D11854" s="68"/>
      <c r="E11854" s="10"/>
      <c r="F11854" s="69"/>
      <c r="G11854" s="68"/>
      <c r="H11854" s="70"/>
      <c r="BA11854" s="4"/>
      <c r="BB11854" s="4"/>
    </row>
    <row r="11855" spans="1:54" x14ac:dyDescent="0.3">
      <c r="A11855" s="66"/>
      <c r="B11855" s="67"/>
      <c r="C11855" s="66"/>
      <c r="D11855" s="68"/>
      <c r="E11855" s="10"/>
      <c r="F11855" s="69"/>
      <c r="G11855" s="68"/>
      <c r="H11855" s="70"/>
      <c r="BA11855" s="4"/>
      <c r="BB11855" s="4"/>
    </row>
    <row r="11856" spans="1:54" x14ac:dyDescent="0.3">
      <c r="A11856" s="66"/>
      <c r="B11856" s="67"/>
      <c r="C11856" s="66"/>
      <c r="D11856" s="68"/>
      <c r="E11856" s="10"/>
      <c r="F11856" s="69"/>
      <c r="G11856" s="68"/>
      <c r="H11856" s="70"/>
      <c r="BA11856" s="4"/>
      <c r="BB11856" s="4"/>
    </row>
    <row r="11857" spans="1:54" x14ac:dyDescent="0.3">
      <c r="A11857" s="66"/>
      <c r="B11857" s="67"/>
      <c r="C11857" s="66"/>
      <c r="D11857" s="68"/>
      <c r="E11857" s="10"/>
      <c r="F11857" s="69"/>
      <c r="G11857" s="68"/>
      <c r="H11857" s="70"/>
      <c r="BA11857" s="4"/>
      <c r="BB11857" s="4"/>
    </row>
    <row r="11858" spans="1:54" x14ac:dyDescent="0.3">
      <c r="A11858" s="66"/>
      <c r="B11858" s="67"/>
      <c r="C11858" s="66"/>
      <c r="D11858" s="68"/>
      <c r="E11858" s="10"/>
      <c r="F11858" s="69"/>
      <c r="G11858" s="68"/>
      <c r="H11858" s="70"/>
      <c r="BA11858" s="4"/>
      <c r="BB11858" s="4"/>
    </row>
    <row r="11859" spans="1:54" x14ac:dyDescent="0.3">
      <c r="A11859" s="66"/>
      <c r="B11859" s="67"/>
      <c r="C11859" s="66"/>
      <c r="D11859" s="68"/>
      <c r="E11859" s="10"/>
      <c r="F11859" s="69"/>
      <c r="G11859" s="68"/>
      <c r="H11859" s="70"/>
      <c r="BA11859" s="4"/>
      <c r="BB11859" s="4"/>
    </row>
    <row r="11860" spans="1:54" x14ac:dyDescent="0.3">
      <c r="A11860" s="66"/>
      <c r="B11860" s="67"/>
      <c r="C11860" s="66"/>
      <c r="D11860" s="68"/>
      <c r="E11860" s="10"/>
      <c r="F11860" s="69"/>
      <c r="G11860" s="68"/>
      <c r="H11860" s="70"/>
      <c r="BA11860" s="4"/>
      <c r="BB11860" s="4"/>
    </row>
    <row r="11861" spans="1:54" x14ac:dyDescent="0.3">
      <c r="A11861" s="66"/>
      <c r="B11861" s="67"/>
      <c r="C11861" s="66"/>
      <c r="D11861" s="68"/>
      <c r="E11861" s="10"/>
      <c r="F11861" s="69"/>
      <c r="G11861" s="68"/>
      <c r="H11861" s="70"/>
      <c r="BA11861" s="4"/>
      <c r="BB11861" s="4"/>
    </row>
    <row r="11862" spans="1:54" x14ac:dyDescent="0.3">
      <c r="A11862" s="66"/>
      <c r="B11862" s="67"/>
      <c r="C11862" s="66"/>
      <c r="D11862" s="68"/>
      <c r="E11862" s="10"/>
      <c r="F11862" s="69"/>
      <c r="G11862" s="68"/>
      <c r="H11862" s="70"/>
      <c r="BA11862" s="4"/>
      <c r="BB11862" s="4"/>
    </row>
    <row r="11863" spans="1:54" x14ac:dyDescent="0.3">
      <c r="A11863" s="66"/>
      <c r="B11863" s="67"/>
      <c r="C11863" s="66"/>
      <c r="D11863" s="68"/>
      <c r="E11863" s="10"/>
      <c r="F11863" s="69"/>
      <c r="G11863" s="68"/>
      <c r="H11863" s="70"/>
      <c r="BA11863" s="4"/>
      <c r="BB11863" s="4"/>
    </row>
    <row r="11864" spans="1:54" x14ac:dyDescent="0.3">
      <c r="A11864" s="66"/>
      <c r="B11864" s="67"/>
      <c r="C11864" s="66"/>
      <c r="D11864" s="68"/>
      <c r="E11864" s="10"/>
      <c r="F11864" s="69"/>
      <c r="G11864" s="68"/>
      <c r="H11864" s="70"/>
      <c r="BA11864" s="4"/>
      <c r="BB11864" s="4"/>
    </row>
    <row r="11865" spans="1:54" x14ac:dyDescent="0.3">
      <c r="A11865" s="66"/>
      <c r="B11865" s="67"/>
      <c r="C11865" s="66"/>
      <c r="D11865" s="68"/>
      <c r="E11865" s="10"/>
      <c r="F11865" s="69"/>
      <c r="G11865" s="68"/>
      <c r="H11865" s="70"/>
      <c r="BA11865" s="4"/>
      <c r="BB11865" s="4"/>
    </row>
    <row r="11866" spans="1:54" x14ac:dyDescent="0.3">
      <c r="A11866" s="66"/>
      <c r="B11866" s="67"/>
      <c r="C11866" s="66"/>
      <c r="D11866" s="68"/>
      <c r="E11866" s="10"/>
      <c r="F11866" s="69"/>
      <c r="G11866" s="68"/>
      <c r="H11866" s="70"/>
      <c r="BA11866" s="4"/>
      <c r="BB11866" s="4"/>
    </row>
    <row r="11867" spans="1:54" x14ac:dyDescent="0.3">
      <c r="A11867" s="66"/>
      <c r="B11867" s="67"/>
      <c r="C11867" s="66"/>
      <c r="D11867" s="68"/>
      <c r="E11867" s="10"/>
      <c r="F11867" s="69"/>
      <c r="G11867" s="68"/>
      <c r="H11867" s="70"/>
      <c r="BA11867" s="4"/>
      <c r="BB11867" s="4"/>
    </row>
    <row r="11868" spans="1:54" x14ac:dyDescent="0.3">
      <c r="A11868" s="66"/>
      <c r="B11868" s="67"/>
      <c r="C11868" s="66"/>
      <c r="D11868" s="68"/>
      <c r="E11868" s="10"/>
      <c r="F11868" s="69"/>
      <c r="G11868" s="68"/>
      <c r="H11868" s="70"/>
      <c r="BA11868" s="4"/>
      <c r="BB11868" s="4"/>
    </row>
    <row r="11869" spans="1:54" x14ac:dyDescent="0.3">
      <c r="A11869" s="66"/>
      <c r="B11869" s="67"/>
      <c r="C11869" s="66"/>
      <c r="D11869" s="68"/>
      <c r="E11869" s="10"/>
      <c r="F11869" s="69"/>
      <c r="G11869" s="68"/>
      <c r="H11869" s="70"/>
      <c r="BA11869" s="4"/>
      <c r="BB11869" s="4"/>
    </row>
    <row r="11870" spans="1:54" x14ac:dyDescent="0.3">
      <c r="A11870" s="66"/>
      <c r="B11870" s="67"/>
      <c r="C11870" s="66"/>
      <c r="D11870" s="68"/>
      <c r="E11870" s="10"/>
      <c r="F11870" s="69"/>
      <c r="G11870" s="68"/>
      <c r="H11870" s="70"/>
      <c r="BA11870" s="4"/>
      <c r="BB11870" s="4"/>
    </row>
    <row r="11871" spans="1:54" x14ac:dyDescent="0.3">
      <c r="A11871" s="66"/>
      <c r="B11871" s="67"/>
      <c r="C11871" s="66"/>
      <c r="D11871" s="68"/>
      <c r="E11871" s="10"/>
      <c r="F11871" s="69"/>
      <c r="G11871" s="68"/>
      <c r="H11871" s="70"/>
      <c r="BA11871" s="4"/>
      <c r="BB11871" s="4"/>
    </row>
    <row r="11872" spans="1:54" x14ac:dyDescent="0.3">
      <c r="A11872" s="66"/>
      <c r="B11872" s="67"/>
      <c r="C11872" s="66"/>
      <c r="D11872" s="68"/>
      <c r="E11872" s="10"/>
      <c r="F11872" s="69"/>
      <c r="G11872" s="68"/>
      <c r="H11872" s="70"/>
      <c r="BA11872" s="4"/>
      <c r="BB11872" s="4"/>
    </row>
    <row r="11873" spans="1:54" x14ac:dyDescent="0.3">
      <c r="A11873" s="66"/>
      <c r="B11873" s="67"/>
      <c r="C11873" s="66"/>
      <c r="D11873" s="68"/>
      <c r="E11873" s="10"/>
      <c r="F11873" s="69"/>
      <c r="G11873" s="68"/>
      <c r="H11873" s="70"/>
      <c r="BA11873" s="4"/>
      <c r="BB11873" s="4"/>
    </row>
    <row r="11874" spans="1:54" x14ac:dyDescent="0.3">
      <c r="A11874" s="66"/>
      <c r="B11874" s="67"/>
      <c r="C11874" s="66"/>
      <c r="D11874" s="68"/>
      <c r="E11874" s="10"/>
      <c r="F11874" s="69"/>
      <c r="G11874" s="68"/>
      <c r="H11874" s="70"/>
      <c r="BA11874" s="4"/>
      <c r="BB11874" s="4"/>
    </row>
    <row r="11875" spans="1:54" x14ac:dyDescent="0.3">
      <c r="A11875" s="66"/>
      <c r="B11875" s="67"/>
      <c r="C11875" s="66"/>
      <c r="D11875" s="68"/>
      <c r="E11875" s="10"/>
      <c r="F11875" s="69"/>
      <c r="G11875" s="68"/>
      <c r="H11875" s="70"/>
      <c r="BA11875" s="4"/>
      <c r="BB11875" s="4"/>
    </row>
    <row r="11876" spans="1:54" x14ac:dyDescent="0.3">
      <c r="A11876" s="66"/>
      <c r="B11876" s="67"/>
      <c r="C11876" s="66"/>
      <c r="D11876" s="68"/>
      <c r="E11876" s="10"/>
      <c r="F11876" s="69"/>
      <c r="G11876" s="68"/>
      <c r="H11876" s="70"/>
      <c r="BA11876" s="4"/>
      <c r="BB11876" s="4"/>
    </row>
    <row r="11877" spans="1:54" x14ac:dyDescent="0.3">
      <c r="A11877" s="66"/>
      <c r="B11877" s="67"/>
      <c r="C11877" s="66"/>
      <c r="D11877" s="68"/>
      <c r="E11877" s="10"/>
      <c r="F11877" s="69"/>
      <c r="G11877" s="68"/>
      <c r="H11877" s="70"/>
      <c r="BA11877" s="4"/>
      <c r="BB11877" s="4"/>
    </row>
    <row r="11878" spans="1:54" x14ac:dyDescent="0.3">
      <c r="A11878" s="66"/>
      <c r="B11878" s="67"/>
      <c r="C11878" s="66"/>
      <c r="D11878" s="68"/>
      <c r="E11878" s="10"/>
      <c r="F11878" s="69"/>
      <c r="G11878" s="68"/>
      <c r="H11878" s="70"/>
      <c r="BA11878" s="4"/>
      <c r="BB11878" s="4"/>
    </row>
    <row r="11879" spans="1:54" x14ac:dyDescent="0.3">
      <c r="A11879" s="66"/>
      <c r="B11879" s="67"/>
      <c r="C11879" s="66"/>
      <c r="D11879" s="68"/>
      <c r="E11879" s="10"/>
      <c r="F11879" s="69"/>
      <c r="G11879" s="68"/>
      <c r="H11879" s="70"/>
      <c r="BA11879" s="4"/>
      <c r="BB11879" s="4"/>
    </row>
    <row r="11880" spans="1:54" x14ac:dyDescent="0.3">
      <c r="A11880" s="66"/>
      <c r="B11880" s="67"/>
      <c r="C11880" s="66"/>
      <c r="D11880" s="68"/>
      <c r="E11880" s="10"/>
      <c r="F11880" s="69"/>
      <c r="G11880" s="68"/>
      <c r="H11880" s="70"/>
      <c r="BA11880" s="4"/>
      <c r="BB11880" s="4"/>
    </row>
    <row r="11881" spans="1:54" x14ac:dyDescent="0.3">
      <c r="A11881" s="66"/>
      <c r="B11881" s="67"/>
      <c r="C11881" s="66"/>
      <c r="D11881" s="68"/>
      <c r="E11881" s="10"/>
      <c r="F11881" s="69"/>
      <c r="G11881" s="68"/>
      <c r="H11881" s="70"/>
      <c r="BA11881" s="4"/>
      <c r="BB11881" s="4"/>
    </row>
    <row r="11882" spans="1:54" x14ac:dyDescent="0.3">
      <c r="A11882" s="66"/>
      <c r="B11882" s="67"/>
      <c r="C11882" s="66"/>
      <c r="D11882" s="68"/>
      <c r="E11882" s="10"/>
      <c r="F11882" s="69"/>
      <c r="G11882" s="68"/>
      <c r="H11882" s="70"/>
      <c r="BA11882" s="4"/>
      <c r="BB11882" s="4"/>
    </row>
    <row r="11883" spans="1:54" x14ac:dyDescent="0.3">
      <c r="A11883" s="66"/>
      <c r="B11883" s="67"/>
      <c r="C11883" s="66"/>
      <c r="D11883" s="68"/>
      <c r="E11883" s="10"/>
      <c r="F11883" s="69"/>
      <c r="G11883" s="68"/>
      <c r="H11883" s="70"/>
      <c r="BA11883" s="4"/>
      <c r="BB11883" s="4"/>
    </row>
    <row r="11884" spans="1:54" x14ac:dyDescent="0.3">
      <c r="A11884" s="66"/>
      <c r="B11884" s="67"/>
      <c r="C11884" s="66"/>
      <c r="D11884" s="68"/>
      <c r="E11884" s="10"/>
      <c r="F11884" s="69"/>
      <c r="G11884" s="68"/>
      <c r="H11884" s="70"/>
      <c r="BA11884" s="4"/>
      <c r="BB11884" s="4"/>
    </row>
    <row r="11885" spans="1:54" x14ac:dyDescent="0.3">
      <c r="A11885" s="66"/>
      <c r="B11885" s="67"/>
      <c r="C11885" s="66"/>
      <c r="D11885" s="68"/>
      <c r="E11885" s="10"/>
      <c r="F11885" s="69"/>
      <c r="G11885" s="68"/>
      <c r="H11885" s="70"/>
      <c r="BA11885" s="4"/>
      <c r="BB11885" s="4"/>
    </row>
    <row r="11886" spans="1:54" x14ac:dyDescent="0.3">
      <c r="A11886" s="66"/>
      <c r="B11886" s="67"/>
      <c r="C11886" s="66"/>
      <c r="D11886" s="68"/>
      <c r="E11886" s="10"/>
      <c r="F11886" s="69"/>
      <c r="G11886" s="68"/>
      <c r="H11886" s="70"/>
      <c r="BA11886" s="4"/>
      <c r="BB11886" s="4"/>
    </row>
    <row r="11887" spans="1:54" x14ac:dyDescent="0.3">
      <c r="A11887" s="66"/>
      <c r="B11887" s="67"/>
      <c r="C11887" s="66"/>
      <c r="D11887" s="68"/>
      <c r="E11887" s="10"/>
      <c r="F11887" s="69"/>
      <c r="G11887" s="68"/>
      <c r="H11887" s="70"/>
      <c r="BA11887" s="4"/>
      <c r="BB11887" s="4"/>
    </row>
    <row r="11888" spans="1:54" x14ac:dyDescent="0.3">
      <c r="A11888" s="66"/>
      <c r="B11888" s="67"/>
      <c r="C11888" s="66"/>
      <c r="D11888" s="68"/>
      <c r="E11888" s="10"/>
      <c r="F11888" s="69"/>
      <c r="G11888" s="68"/>
      <c r="H11888" s="70"/>
      <c r="BA11888" s="4"/>
      <c r="BB11888" s="4"/>
    </row>
    <row r="11889" spans="1:54" x14ac:dyDescent="0.3">
      <c r="A11889" s="66"/>
      <c r="B11889" s="67"/>
      <c r="C11889" s="66"/>
      <c r="D11889" s="68"/>
      <c r="E11889" s="10"/>
      <c r="F11889" s="69"/>
      <c r="G11889" s="68"/>
      <c r="H11889" s="70"/>
      <c r="BA11889" s="4"/>
      <c r="BB11889" s="4"/>
    </row>
    <row r="11890" spans="1:54" x14ac:dyDescent="0.3">
      <c r="A11890" s="66"/>
      <c r="B11890" s="67"/>
      <c r="C11890" s="66"/>
      <c r="D11890" s="68"/>
      <c r="E11890" s="10"/>
      <c r="F11890" s="69"/>
      <c r="G11890" s="68"/>
      <c r="H11890" s="70"/>
      <c r="BA11890" s="4"/>
      <c r="BB11890" s="4"/>
    </row>
    <row r="11891" spans="1:54" x14ac:dyDescent="0.3">
      <c r="A11891" s="66"/>
      <c r="B11891" s="67"/>
      <c r="C11891" s="66"/>
      <c r="D11891" s="68"/>
      <c r="E11891" s="10"/>
      <c r="F11891" s="69"/>
      <c r="G11891" s="68"/>
      <c r="H11891" s="70"/>
      <c r="BA11891" s="4"/>
      <c r="BB11891" s="4"/>
    </row>
    <row r="11892" spans="1:54" x14ac:dyDescent="0.3">
      <c r="A11892" s="66"/>
      <c r="B11892" s="67"/>
      <c r="C11892" s="66"/>
      <c r="D11892" s="68"/>
      <c r="E11892" s="10"/>
      <c r="F11892" s="69"/>
      <c r="G11892" s="68"/>
      <c r="H11892" s="70"/>
      <c r="BA11892" s="4"/>
      <c r="BB11892" s="4"/>
    </row>
    <row r="11893" spans="1:54" x14ac:dyDescent="0.3">
      <c r="A11893" s="66"/>
      <c r="B11893" s="67"/>
      <c r="C11893" s="66"/>
      <c r="D11893" s="68"/>
      <c r="E11893" s="10"/>
      <c r="F11893" s="69"/>
      <c r="G11893" s="68"/>
      <c r="H11893" s="70"/>
      <c r="BA11893" s="4"/>
      <c r="BB11893" s="4"/>
    </row>
    <row r="11894" spans="1:54" x14ac:dyDescent="0.3">
      <c r="A11894" s="66"/>
      <c r="B11894" s="67"/>
      <c r="C11894" s="66"/>
      <c r="D11894" s="68"/>
      <c r="E11894" s="10"/>
      <c r="F11894" s="69"/>
      <c r="G11894" s="68"/>
      <c r="H11894" s="70"/>
      <c r="BA11894" s="4"/>
      <c r="BB11894" s="4"/>
    </row>
    <row r="11895" spans="1:54" x14ac:dyDescent="0.3">
      <c r="A11895" s="66"/>
      <c r="B11895" s="67"/>
      <c r="C11895" s="66"/>
      <c r="D11895" s="68"/>
      <c r="E11895" s="10"/>
      <c r="F11895" s="69"/>
      <c r="G11895" s="68"/>
      <c r="H11895" s="70"/>
      <c r="BA11895" s="4"/>
      <c r="BB11895" s="4"/>
    </row>
    <row r="11896" spans="1:54" x14ac:dyDescent="0.3">
      <c r="A11896" s="66"/>
      <c r="B11896" s="67"/>
      <c r="C11896" s="66"/>
      <c r="D11896" s="68"/>
      <c r="E11896" s="10"/>
      <c r="F11896" s="69"/>
      <c r="G11896" s="68"/>
      <c r="H11896" s="70"/>
      <c r="BA11896" s="4"/>
      <c r="BB11896" s="4"/>
    </row>
    <row r="11897" spans="1:54" x14ac:dyDescent="0.3">
      <c r="A11897" s="66"/>
      <c r="B11897" s="67"/>
      <c r="C11897" s="66"/>
      <c r="D11897" s="68"/>
      <c r="E11897" s="10"/>
      <c r="F11897" s="69"/>
      <c r="G11897" s="68"/>
      <c r="H11897" s="70"/>
      <c r="BA11897" s="4"/>
      <c r="BB11897" s="4"/>
    </row>
    <row r="11898" spans="1:54" x14ac:dyDescent="0.3">
      <c r="A11898" s="66"/>
      <c r="B11898" s="67"/>
      <c r="C11898" s="66"/>
      <c r="D11898" s="68"/>
      <c r="E11898" s="10"/>
      <c r="F11898" s="69"/>
      <c r="G11898" s="68"/>
      <c r="H11898" s="70"/>
      <c r="BA11898" s="4"/>
      <c r="BB11898" s="4"/>
    </row>
    <row r="11899" spans="1:54" x14ac:dyDescent="0.3">
      <c r="A11899" s="66"/>
      <c r="B11899" s="67"/>
      <c r="C11899" s="66"/>
      <c r="D11899" s="68"/>
      <c r="E11899" s="10"/>
      <c r="F11899" s="69"/>
      <c r="G11899" s="68"/>
      <c r="H11899" s="70"/>
      <c r="BA11899" s="4"/>
      <c r="BB11899" s="4"/>
    </row>
    <row r="11900" spans="1:54" x14ac:dyDescent="0.3">
      <c r="A11900" s="66"/>
      <c r="B11900" s="67"/>
      <c r="C11900" s="66"/>
      <c r="D11900" s="68"/>
      <c r="E11900" s="10"/>
      <c r="F11900" s="69"/>
      <c r="G11900" s="68"/>
      <c r="H11900" s="70"/>
      <c r="BA11900" s="4"/>
      <c r="BB11900" s="4"/>
    </row>
    <row r="11901" spans="1:54" x14ac:dyDescent="0.3">
      <c r="A11901" s="66"/>
      <c r="B11901" s="67"/>
      <c r="C11901" s="66"/>
      <c r="D11901" s="68"/>
      <c r="E11901" s="10"/>
      <c r="F11901" s="69"/>
      <c r="G11901" s="68"/>
      <c r="H11901" s="70"/>
      <c r="BA11901" s="4"/>
      <c r="BB11901" s="4"/>
    </row>
    <row r="11902" spans="1:54" x14ac:dyDescent="0.3">
      <c r="A11902" s="66"/>
      <c r="B11902" s="67"/>
      <c r="C11902" s="66"/>
      <c r="D11902" s="68"/>
      <c r="E11902" s="10"/>
      <c r="F11902" s="69"/>
      <c r="G11902" s="68"/>
      <c r="H11902" s="70"/>
      <c r="BA11902" s="4"/>
      <c r="BB11902" s="4"/>
    </row>
    <row r="11903" spans="1:54" x14ac:dyDescent="0.3">
      <c r="A11903" s="66"/>
      <c r="B11903" s="67"/>
      <c r="C11903" s="66"/>
      <c r="D11903" s="68"/>
      <c r="E11903" s="10"/>
      <c r="F11903" s="69"/>
      <c r="G11903" s="68"/>
      <c r="H11903" s="70"/>
      <c r="BA11903" s="4"/>
      <c r="BB11903" s="4"/>
    </row>
    <row r="11904" spans="1:54" x14ac:dyDescent="0.3">
      <c r="A11904" s="66"/>
      <c r="B11904" s="67"/>
      <c r="C11904" s="66"/>
      <c r="D11904" s="68"/>
      <c r="E11904" s="10"/>
      <c r="F11904" s="69"/>
      <c r="G11904" s="68"/>
      <c r="H11904" s="70"/>
      <c r="BA11904" s="4"/>
      <c r="BB11904" s="4"/>
    </row>
    <row r="11905" spans="1:54" x14ac:dyDescent="0.3">
      <c r="A11905" s="66"/>
      <c r="B11905" s="67"/>
      <c r="C11905" s="66"/>
      <c r="D11905" s="68"/>
      <c r="E11905" s="10"/>
      <c r="F11905" s="69"/>
      <c r="G11905" s="68"/>
      <c r="H11905" s="70"/>
      <c r="BA11905" s="4"/>
      <c r="BB11905" s="4"/>
    </row>
    <row r="11906" spans="1:54" x14ac:dyDescent="0.3">
      <c r="A11906" s="66"/>
      <c r="B11906" s="67"/>
      <c r="C11906" s="66"/>
      <c r="D11906" s="68"/>
      <c r="E11906" s="10"/>
      <c r="F11906" s="69"/>
      <c r="G11906" s="68"/>
      <c r="H11906" s="70"/>
      <c r="BA11906" s="4"/>
      <c r="BB11906" s="4"/>
    </row>
    <row r="11907" spans="1:54" x14ac:dyDescent="0.3">
      <c r="A11907" s="66"/>
      <c r="B11907" s="67"/>
      <c r="C11907" s="66"/>
      <c r="D11907" s="68"/>
      <c r="E11907" s="10"/>
      <c r="F11907" s="69"/>
      <c r="G11907" s="68"/>
      <c r="H11907" s="70"/>
      <c r="BA11907" s="4"/>
      <c r="BB11907" s="4"/>
    </row>
    <row r="11908" spans="1:54" x14ac:dyDescent="0.3">
      <c r="A11908" s="66"/>
      <c r="B11908" s="67"/>
      <c r="C11908" s="66"/>
      <c r="D11908" s="68"/>
      <c r="E11908" s="10"/>
      <c r="F11908" s="69"/>
      <c r="G11908" s="68"/>
      <c r="H11908" s="70"/>
      <c r="BA11908" s="4"/>
      <c r="BB11908" s="4"/>
    </row>
    <row r="11909" spans="1:54" x14ac:dyDescent="0.3">
      <c r="A11909" s="66"/>
      <c r="B11909" s="67"/>
      <c r="C11909" s="66"/>
      <c r="D11909" s="68"/>
      <c r="E11909" s="10"/>
      <c r="F11909" s="69"/>
      <c r="G11909" s="68"/>
      <c r="H11909" s="70"/>
      <c r="BA11909" s="4"/>
      <c r="BB11909" s="4"/>
    </row>
    <row r="11910" spans="1:54" x14ac:dyDescent="0.3">
      <c r="A11910" s="66"/>
      <c r="B11910" s="67"/>
      <c r="C11910" s="66"/>
      <c r="D11910" s="68"/>
      <c r="E11910" s="10"/>
      <c r="F11910" s="69"/>
      <c r="G11910" s="68"/>
      <c r="H11910" s="70"/>
      <c r="BA11910" s="4"/>
      <c r="BB11910" s="4"/>
    </row>
    <row r="11911" spans="1:54" x14ac:dyDescent="0.3">
      <c r="A11911" s="66"/>
      <c r="B11911" s="67"/>
      <c r="C11911" s="66"/>
      <c r="D11911" s="68"/>
      <c r="E11911" s="10"/>
      <c r="F11911" s="69"/>
      <c r="G11911" s="68"/>
      <c r="H11911" s="70"/>
      <c r="BA11911" s="4"/>
      <c r="BB11911" s="4"/>
    </row>
    <row r="11912" spans="1:54" x14ac:dyDescent="0.3">
      <c r="A11912" s="66"/>
      <c r="B11912" s="67"/>
      <c r="C11912" s="66"/>
      <c r="D11912" s="68"/>
      <c r="E11912" s="10"/>
      <c r="F11912" s="69"/>
      <c r="G11912" s="68"/>
      <c r="H11912" s="70"/>
      <c r="BA11912" s="4"/>
      <c r="BB11912" s="4"/>
    </row>
    <row r="11913" spans="1:54" x14ac:dyDescent="0.3">
      <c r="A11913" s="66"/>
      <c r="B11913" s="67"/>
      <c r="C11913" s="66"/>
      <c r="D11913" s="68"/>
      <c r="E11913" s="10"/>
      <c r="F11913" s="69"/>
      <c r="G11913" s="68"/>
      <c r="H11913" s="70"/>
      <c r="BA11913" s="4"/>
      <c r="BB11913" s="4"/>
    </row>
    <row r="11914" spans="1:54" x14ac:dyDescent="0.3">
      <c r="A11914" s="66"/>
      <c r="B11914" s="67"/>
      <c r="C11914" s="66"/>
      <c r="D11914" s="68"/>
      <c r="E11914" s="10"/>
      <c r="F11914" s="69"/>
      <c r="G11914" s="68"/>
      <c r="H11914" s="70"/>
      <c r="BA11914" s="4"/>
      <c r="BB11914" s="4"/>
    </row>
    <row r="11915" spans="1:54" x14ac:dyDescent="0.3">
      <c r="A11915" s="66"/>
      <c r="B11915" s="67"/>
      <c r="C11915" s="66"/>
      <c r="D11915" s="68"/>
      <c r="E11915" s="10"/>
      <c r="F11915" s="69"/>
      <c r="G11915" s="68"/>
      <c r="H11915" s="70"/>
      <c r="BA11915" s="4"/>
      <c r="BB11915" s="4"/>
    </row>
    <row r="11916" spans="1:54" x14ac:dyDescent="0.3">
      <c r="A11916" s="66"/>
      <c r="B11916" s="67"/>
      <c r="C11916" s="66"/>
      <c r="D11916" s="68"/>
      <c r="E11916" s="10"/>
      <c r="F11916" s="69"/>
      <c r="G11916" s="68"/>
      <c r="H11916" s="70"/>
      <c r="BA11916" s="4"/>
      <c r="BB11916" s="4"/>
    </row>
    <row r="11917" spans="1:54" x14ac:dyDescent="0.3">
      <c r="A11917" s="66"/>
      <c r="B11917" s="67"/>
      <c r="C11917" s="66"/>
      <c r="D11917" s="68"/>
      <c r="E11917" s="10"/>
      <c r="F11917" s="69"/>
      <c r="G11917" s="68"/>
      <c r="H11917" s="70"/>
      <c r="BA11917" s="4"/>
      <c r="BB11917" s="4"/>
    </row>
    <row r="11918" spans="1:54" x14ac:dyDescent="0.3">
      <c r="A11918" s="66"/>
      <c r="B11918" s="67"/>
      <c r="C11918" s="66"/>
      <c r="D11918" s="68"/>
      <c r="E11918" s="10"/>
      <c r="F11918" s="69"/>
      <c r="G11918" s="68"/>
      <c r="H11918" s="70"/>
      <c r="BA11918" s="4"/>
      <c r="BB11918" s="4"/>
    </row>
    <row r="11919" spans="1:54" x14ac:dyDescent="0.3">
      <c r="A11919" s="66"/>
      <c r="B11919" s="67"/>
      <c r="C11919" s="66"/>
      <c r="D11919" s="68"/>
      <c r="E11919" s="10"/>
      <c r="F11919" s="69"/>
      <c r="G11919" s="68"/>
      <c r="H11919" s="70"/>
      <c r="BA11919" s="4"/>
      <c r="BB11919" s="4"/>
    </row>
    <row r="11920" spans="1:54" x14ac:dyDescent="0.3">
      <c r="A11920" s="66"/>
      <c r="B11920" s="67"/>
      <c r="C11920" s="66"/>
      <c r="D11920" s="68"/>
      <c r="E11920" s="10"/>
      <c r="F11920" s="69"/>
      <c r="G11920" s="68"/>
      <c r="H11920" s="70"/>
      <c r="BA11920" s="4"/>
      <c r="BB11920" s="4"/>
    </row>
    <row r="11921" spans="1:54" x14ac:dyDescent="0.3">
      <c r="A11921" s="66"/>
      <c r="B11921" s="67"/>
      <c r="C11921" s="66"/>
      <c r="D11921" s="68"/>
      <c r="E11921" s="10"/>
      <c r="F11921" s="69"/>
      <c r="G11921" s="68"/>
      <c r="H11921" s="70"/>
      <c r="BA11921" s="4"/>
      <c r="BB11921" s="4"/>
    </row>
    <row r="11922" spans="1:54" x14ac:dyDescent="0.3">
      <c r="A11922" s="66"/>
      <c r="B11922" s="67"/>
      <c r="C11922" s="66"/>
      <c r="D11922" s="68"/>
      <c r="E11922" s="10"/>
      <c r="F11922" s="69"/>
      <c r="G11922" s="68"/>
      <c r="H11922" s="70"/>
      <c r="BA11922" s="4"/>
      <c r="BB11922" s="4"/>
    </row>
    <row r="11923" spans="1:54" x14ac:dyDescent="0.3">
      <c r="A11923" s="66"/>
      <c r="B11923" s="67"/>
      <c r="C11923" s="66"/>
      <c r="D11923" s="68"/>
      <c r="E11923" s="10"/>
      <c r="F11923" s="69"/>
      <c r="G11923" s="68"/>
      <c r="H11923" s="70"/>
      <c r="BA11923" s="4"/>
      <c r="BB11923" s="4"/>
    </row>
    <row r="11924" spans="1:54" x14ac:dyDescent="0.3">
      <c r="A11924" s="66"/>
      <c r="B11924" s="67"/>
      <c r="C11924" s="66"/>
      <c r="D11924" s="68"/>
      <c r="E11924" s="10"/>
      <c r="F11924" s="69"/>
      <c r="G11924" s="68"/>
      <c r="H11924" s="70"/>
      <c r="BA11924" s="4"/>
      <c r="BB11924" s="4"/>
    </row>
    <row r="11925" spans="1:54" x14ac:dyDescent="0.3">
      <c r="A11925" s="66"/>
      <c r="B11925" s="67"/>
      <c r="C11925" s="66"/>
      <c r="D11925" s="68"/>
      <c r="E11925" s="10"/>
      <c r="F11925" s="69"/>
      <c r="G11925" s="68"/>
      <c r="H11925" s="70"/>
      <c r="BA11925" s="4"/>
      <c r="BB11925" s="4"/>
    </row>
    <row r="11926" spans="1:54" x14ac:dyDescent="0.3">
      <c r="A11926" s="66"/>
      <c r="B11926" s="67"/>
      <c r="C11926" s="66"/>
      <c r="D11926" s="68"/>
      <c r="E11926" s="10"/>
      <c r="F11926" s="69"/>
      <c r="G11926" s="68"/>
      <c r="H11926" s="70"/>
      <c r="BA11926" s="4"/>
      <c r="BB11926" s="4"/>
    </row>
    <row r="11927" spans="1:54" x14ac:dyDescent="0.3">
      <c r="A11927" s="66"/>
      <c r="B11927" s="67"/>
      <c r="C11927" s="66"/>
      <c r="D11927" s="68"/>
      <c r="E11927" s="10"/>
      <c r="F11927" s="69"/>
      <c r="G11927" s="68"/>
      <c r="H11927" s="70"/>
      <c r="BA11927" s="4"/>
      <c r="BB11927" s="4"/>
    </row>
    <row r="11928" spans="1:54" x14ac:dyDescent="0.3">
      <c r="A11928" s="66"/>
      <c r="B11928" s="67"/>
      <c r="C11928" s="66"/>
      <c r="D11928" s="68"/>
      <c r="E11928" s="10"/>
      <c r="F11928" s="69"/>
      <c r="G11928" s="68"/>
      <c r="H11928" s="70"/>
      <c r="BA11928" s="4"/>
      <c r="BB11928" s="4"/>
    </row>
    <row r="11929" spans="1:54" x14ac:dyDescent="0.3">
      <c r="A11929" s="66"/>
      <c r="B11929" s="67"/>
      <c r="C11929" s="66"/>
      <c r="D11929" s="68"/>
      <c r="E11929" s="10"/>
      <c r="F11929" s="69"/>
      <c r="G11929" s="68"/>
      <c r="H11929" s="70"/>
      <c r="BA11929" s="4"/>
      <c r="BB11929" s="4"/>
    </row>
    <row r="11930" spans="1:54" x14ac:dyDescent="0.3">
      <c r="A11930" s="66"/>
      <c r="B11930" s="67"/>
      <c r="C11930" s="66"/>
      <c r="D11930" s="68"/>
      <c r="E11930" s="10"/>
      <c r="F11930" s="69"/>
      <c r="G11930" s="68"/>
      <c r="H11930" s="70"/>
      <c r="BA11930" s="4"/>
      <c r="BB11930" s="4"/>
    </row>
    <row r="11931" spans="1:54" x14ac:dyDescent="0.3">
      <c r="A11931" s="66"/>
      <c r="B11931" s="67"/>
      <c r="C11931" s="66"/>
      <c r="D11931" s="68"/>
      <c r="E11931" s="10"/>
      <c r="F11931" s="69"/>
      <c r="G11931" s="68"/>
      <c r="H11931" s="70"/>
      <c r="BA11931" s="4"/>
      <c r="BB11931" s="4"/>
    </row>
    <row r="11932" spans="1:54" x14ac:dyDescent="0.3">
      <c r="A11932" s="66"/>
      <c r="B11932" s="67"/>
      <c r="C11932" s="66"/>
      <c r="D11932" s="68"/>
      <c r="E11932" s="10"/>
      <c r="F11932" s="69"/>
      <c r="G11932" s="68"/>
      <c r="H11932" s="70"/>
      <c r="BA11932" s="4"/>
      <c r="BB11932" s="4"/>
    </row>
    <row r="11933" spans="1:54" x14ac:dyDescent="0.3">
      <c r="A11933" s="66"/>
      <c r="B11933" s="67"/>
      <c r="C11933" s="66"/>
      <c r="D11933" s="68"/>
      <c r="E11933" s="10"/>
      <c r="F11933" s="69"/>
      <c r="G11933" s="68"/>
      <c r="H11933" s="70"/>
      <c r="BA11933" s="4"/>
      <c r="BB11933" s="4"/>
    </row>
    <row r="11934" spans="1:54" x14ac:dyDescent="0.3">
      <c r="A11934" s="66"/>
      <c r="B11934" s="67"/>
      <c r="C11934" s="66"/>
      <c r="D11934" s="68"/>
      <c r="E11934" s="10"/>
      <c r="F11934" s="69"/>
      <c r="G11934" s="68"/>
      <c r="H11934" s="70"/>
      <c r="BA11934" s="4"/>
      <c r="BB11934" s="4"/>
    </row>
    <row r="11935" spans="1:54" x14ac:dyDescent="0.3">
      <c r="A11935" s="66"/>
      <c r="B11935" s="67"/>
      <c r="C11935" s="66"/>
      <c r="D11935" s="68"/>
      <c r="E11935" s="10"/>
      <c r="F11935" s="69"/>
      <c r="G11935" s="68"/>
      <c r="H11935" s="70"/>
      <c r="BA11935" s="4"/>
      <c r="BB11935" s="4"/>
    </row>
    <row r="11936" spans="1:54" x14ac:dyDescent="0.3">
      <c r="A11936" s="66"/>
      <c r="B11936" s="67"/>
      <c r="C11936" s="66"/>
      <c r="D11936" s="68"/>
      <c r="E11936" s="10"/>
      <c r="F11936" s="69"/>
      <c r="G11936" s="68"/>
      <c r="H11936" s="70"/>
      <c r="BA11936" s="4"/>
      <c r="BB11936" s="4"/>
    </row>
    <row r="11937" spans="1:54" x14ac:dyDescent="0.3">
      <c r="A11937" s="66"/>
      <c r="B11937" s="67"/>
      <c r="C11937" s="66"/>
      <c r="D11937" s="68"/>
      <c r="E11937" s="10"/>
      <c r="F11937" s="69"/>
      <c r="G11937" s="68"/>
      <c r="H11937" s="70"/>
      <c r="BA11937" s="4"/>
      <c r="BB11937" s="4"/>
    </row>
    <row r="11938" spans="1:54" x14ac:dyDescent="0.3">
      <c r="A11938" s="66"/>
      <c r="B11938" s="67"/>
      <c r="C11938" s="66"/>
      <c r="D11938" s="68"/>
      <c r="E11938" s="10"/>
      <c r="F11938" s="69"/>
      <c r="G11938" s="68"/>
      <c r="H11938" s="70"/>
      <c r="BA11938" s="4"/>
      <c r="BB11938" s="4"/>
    </row>
    <row r="11939" spans="1:54" x14ac:dyDescent="0.3">
      <c r="A11939" s="66"/>
      <c r="B11939" s="67"/>
      <c r="C11939" s="66"/>
      <c r="D11939" s="68"/>
      <c r="E11939" s="10"/>
      <c r="F11939" s="69"/>
      <c r="G11939" s="68"/>
      <c r="H11939" s="70"/>
      <c r="BA11939" s="4"/>
      <c r="BB11939" s="4"/>
    </row>
    <row r="11940" spans="1:54" x14ac:dyDescent="0.3">
      <c r="A11940" s="66"/>
      <c r="B11940" s="67"/>
      <c r="C11940" s="66"/>
      <c r="D11940" s="68"/>
      <c r="E11940" s="10"/>
      <c r="F11940" s="69"/>
      <c r="G11940" s="68"/>
      <c r="H11940" s="70"/>
      <c r="BA11940" s="4"/>
      <c r="BB11940" s="4"/>
    </row>
    <row r="11941" spans="1:54" x14ac:dyDescent="0.3">
      <c r="A11941" s="66"/>
      <c r="B11941" s="67"/>
      <c r="C11941" s="66"/>
      <c r="D11941" s="68"/>
      <c r="E11941" s="10"/>
      <c r="F11941" s="69"/>
      <c r="G11941" s="68"/>
      <c r="H11941" s="70"/>
      <c r="BA11941" s="4"/>
      <c r="BB11941" s="4"/>
    </row>
    <row r="11942" spans="1:54" x14ac:dyDescent="0.3">
      <c r="A11942" s="66"/>
      <c r="B11942" s="67"/>
      <c r="C11942" s="66"/>
      <c r="D11942" s="68"/>
      <c r="E11942" s="10"/>
      <c r="F11942" s="69"/>
      <c r="G11942" s="68"/>
      <c r="H11942" s="70"/>
      <c r="BA11942" s="4"/>
      <c r="BB11942" s="4"/>
    </row>
    <row r="11943" spans="1:54" x14ac:dyDescent="0.3">
      <c r="A11943" s="66"/>
      <c r="B11943" s="67"/>
      <c r="C11943" s="66"/>
      <c r="D11943" s="68"/>
      <c r="E11943" s="10"/>
      <c r="F11943" s="69"/>
      <c r="G11943" s="68"/>
      <c r="H11943" s="70"/>
      <c r="BA11943" s="4"/>
      <c r="BB11943" s="4"/>
    </row>
    <row r="11944" spans="1:54" x14ac:dyDescent="0.3">
      <c r="A11944" s="66"/>
      <c r="B11944" s="67"/>
      <c r="C11944" s="66"/>
      <c r="D11944" s="68"/>
      <c r="E11944" s="10"/>
      <c r="F11944" s="69"/>
      <c r="G11944" s="68"/>
      <c r="H11944" s="70"/>
      <c r="BA11944" s="4"/>
      <c r="BB11944" s="4"/>
    </row>
    <row r="11945" spans="1:54" x14ac:dyDescent="0.3">
      <c r="A11945" s="66"/>
      <c r="B11945" s="67"/>
      <c r="C11945" s="66"/>
      <c r="D11945" s="68"/>
      <c r="E11945" s="10"/>
      <c r="F11945" s="69"/>
      <c r="G11945" s="68"/>
      <c r="H11945" s="70"/>
      <c r="BA11945" s="4"/>
      <c r="BB11945" s="4"/>
    </row>
    <row r="11946" spans="1:54" x14ac:dyDescent="0.3">
      <c r="A11946" s="66"/>
      <c r="B11946" s="67"/>
      <c r="C11946" s="66"/>
      <c r="D11946" s="68"/>
      <c r="E11946" s="10"/>
      <c r="F11946" s="69"/>
      <c r="G11946" s="68"/>
      <c r="H11946" s="70"/>
      <c r="BA11946" s="4"/>
      <c r="BB11946" s="4"/>
    </row>
    <row r="11947" spans="1:54" x14ac:dyDescent="0.3">
      <c r="A11947" s="66"/>
      <c r="B11947" s="67"/>
      <c r="C11947" s="66"/>
      <c r="D11947" s="68"/>
      <c r="E11947" s="10"/>
      <c r="F11947" s="69"/>
      <c r="G11947" s="68"/>
      <c r="H11947" s="70"/>
      <c r="BA11947" s="4"/>
      <c r="BB11947" s="4"/>
    </row>
    <row r="11948" spans="1:54" x14ac:dyDescent="0.3">
      <c r="A11948" s="66"/>
      <c r="B11948" s="67"/>
      <c r="C11948" s="66"/>
      <c r="D11948" s="68"/>
      <c r="E11948" s="10"/>
      <c r="F11948" s="69"/>
      <c r="G11948" s="68"/>
      <c r="H11948" s="70"/>
      <c r="BA11948" s="4"/>
      <c r="BB11948" s="4"/>
    </row>
    <row r="11949" spans="1:54" x14ac:dyDescent="0.3">
      <c r="A11949" s="66"/>
      <c r="B11949" s="67"/>
      <c r="C11949" s="66"/>
      <c r="D11949" s="68"/>
      <c r="E11949" s="10"/>
      <c r="F11949" s="69"/>
      <c r="G11949" s="68"/>
      <c r="H11949" s="70"/>
      <c r="BA11949" s="4"/>
      <c r="BB11949" s="4"/>
    </row>
    <row r="11950" spans="1:54" x14ac:dyDescent="0.3">
      <c r="A11950" s="66"/>
      <c r="B11950" s="67"/>
      <c r="C11950" s="66"/>
      <c r="D11950" s="68"/>
      <c r="E11950" s="10"/>
      <c r="F11950" s="69"/>
      <c r="G11950" s="68"/>
      <c r="H11950" s="70"/>
      <c r="BA11950" s="4"/>
      <c r="BB11950" s="4"/>
    </row>
    <row r="11951" spans="1:54" x14ac:dyDescent="0.3">
      <c r="A11951" s="66"/>
      <c r="B11951" s="67"/>
      <c r="C11951" s="66"/>
      <c r="D11951" s="68"/>
      <c r="E11951" s="10"/>
      <c r="F11951" s="69"/>
      <c r="G11951" s="68"/>
      <c r="H11951" s="70"/>
      <c r="BA11951" s="4"/>
      <c r="BB11951" s="4"/>
    </row>
    <row r="11952" spans="1:54" x14ac:dyDescent="0.3">
      <c r="A11952" s="66"/>
      <c r="B11952" s="67"/>
      <c r="C11952" s="66"/>
      <c r="D11952" s="68"/>
      <c r="E11952" s="10"/>
      <c r="F11952" s="69"/>
      <c r="G11952" s="68"/>
      <c r="H11952" s="70"/>
      <c r="BA11952" s="4"/>
      <c r="BB11952" s="4"/>
    </row>
    <row r="11953" spans="1:54" x14ac:dyDescent="0.3">
      <c r="A11953" s="66"/>
      <c r="B11953" s="67"/>
      <c r="C11953" s="66"/>
      <c r="D11953" s="68"/>
      <c r="E11953" s="10"/>
      <c r="F11953" s="69"/>
      <c r="G11953" s="68"/>
      <c r="H11953" s="70"/>
      <c r="BA11953" s="4"/>
      <c r="BB11953" s="4"/>
    </row>
    <row r="11954" spans="1:54" x14ac:dyDescent="0.3">
      <c r="A11954" s="66"/>
      <c r="B11954" s="67"/>
      <c r="C11954" s="66"/>
      <c r="D11954" s="68"/>
      <c r="E11954" s="10"/>
      <c r="F11954" s="69"/>
      <c r="G11954" s="68"/>
      <c r="H11954" s="70"/>
      <c r="BA11954" s="4"/>
      <c r="BB11954" s="4"/>
    </row>
    <row r="11955" spans="1:54" x14ac:dyDescent="0.3">
      <c r="A11955" s="66"/>
      <c r="B11955" s="67"/>
      <c r="C11955" s="66"/>
      <c r="D11955" s="68"/>
      <c r="E11955" s="10"/>
      <c r="F11955" s="69"/>
      <c r="G11955" s="68"/>
      <c r="H11955" s="70"/>
      <c r="BA11955" s="4"/>
      <c r="BB11955" s="4"/>
    </row>
    <row r="11956" spans="1:54" x14ac:dyDescent="0.3">
      <c r="A11956" s="66"/>
      <c r="B11956" s="67"/>
      <c r="C11956" s="66"/>
      <c r="D11956" s="68"/>
      <c r="E11956" s="10"/>
      <c r="F11956" s="69"/>
      <c r="G11956" s="68"/>
      <c r="H11956" s="70"/>
      <c r="BA11956" s="4"/>
      <c r="BB11956" s="4"/>
    </row>
    <row r="11957" spans="1:54" x14ac:dyDescent="0.3">
      <c r="A11957" s="66"/>
      <c r="B11957" s="67"/>
      <c r="C11957" s="66"/>
      <c r="D11957" s="68"/>
      <c r="E11957" s="10"/>
      <c r="F11957" s="69"/>
      <c r="G11957" s="68"/>
      <c r="H11957" s="70"/>
      <c r="BA11957" s="4"/>
      <c r="BB11957" s="4"/>
    </row>
    <row r="11958" spans="1:54" x14ac:dyDescent="0.3">
      <c r="A11958" s="66"/>
      <c r="B11958" s="67"/>
      <c r="C11958" s="66"/>
      <c r="D11958" s="68"/>
      <c r="E11958" s="10"/>
      <c r="F11958" s="69"/>
      <c r="G11958" s="68"/>
      <c r="H11958" s="70"/>
      <c r="BA11958" s="4"/>
      <c r="BB11958" s="4"/>
    </row>
    <row r="11959" spans="1:54" x14ac:dyDescent="0.3">
      <c r="A11959" s="66"/>
      <c r="B11959" s="67"/>
      <c r="C11959" s="66"/>
      <c r="D11959" s="68"/>
      <c r="E11959" s="10"/>
      <c r="F11959" s="69"/>
      <c r="G11959" s="68"/>
      <c r="H11959" s="70"/>
      <c r="BA11959" s="4"/>
      <c r="BB11959" s="4"/>
    </row>
    <row r="11960" spans="1:54" x14ac:dyDescent="0.3">
      <c r="A11960" s="66"/>
      <c r="B11960" s="67"/>
      <c r="C11960" s="66"/>
      <c r="D11960" s="68"/>
      <c r="E11960" s="10"/>
      <c r="F11960" s="69"/>
      <c r="G11960" s="68"/>
      <c r="H11960" s="70"/>
      <c r="BA11960" s="4"/>
      <c r="BB11960" s="4"/>
    </row>
    <row r="11961" spans="1:54" x14ac:dyDescent="0.3">
      <c r="A11961" s="66"/>
      <c r="B11961" s="67"/>
      <c r="C11961" s="66"/>
      <c r="D11961" s="68"/>
      <c r="E11961" s="10"/>
      <c r="F11961" s="69"/>
      <c r="G11961" s="68"/>
      <c r="H11961" s="70"/>
      <c r="BA11961" s="4"/>
      <c r="BB11961" s="4"/>
    </row>
    <row r="11962" spans="1:54" x14ac:dyDescent="0.3">
      <c r="A11962" s="66"/>
      <c r="B11962" s="67"/>
      <c r="C11962" s="66"/>
      <c r="D11962" s="68"/>
      <c r="E11962" s="10"/>
      <c r="F11962" s="69"/>
      <c r="G11962" s="68"/>
      <c r="H11962" s="70"/>
      <c r="BA11962" s="4"/>
      <c r="BB11962" s="4"/>
    </row>
    <row r="11963" spans="1:54" x14ac:dyDescent="0.3">
      <c r="A11963" s="66"/>
      <c r="B11963" s="67"/>
      <c r="C11963" s="66"/>
      <c r="D11963" s="68"/>
      <c r="E11963" s="10"/>
      <c r="F11963" s="69"/>
      <c r="G11963" s="68"/>
      <c r="H11963" s="70"/>
      <c r="BA11963" s="4"/>
      <c r="BB11963" s="4"/>
    </row>
    <row r="11964" spans="1:54" x14ac:dyDescent="0.3">
      <c r="A11964" s="66"/>
      <c r="B11964" s="67"/>
      <c r="C11964" s="66"/>
      <c r="D11964" s="68"/>
      <c r="E11964" s="10"/>
      <c r="F11964" s="69"/>
      <c r="G11964" s="68"/>
      <c r="H11964" s="70"/>
      <c r="BA11964" s="4"/>
      <c r="BB11964" s="4"/>
    </row>
    <row r="11965" spans="1:54" x14ac:dyDescent="0.3">
      <c r="A11965" s="66"/>
      <c r="B11965" s="67"/>
      <c r="C11965" s="66"/>
      <c r="D11965" s="68"/>
      <c r="E11965" s="10"/>
      <c r="F11965" s="69"/>
      <c r="G11965" s="68"/>
      <c r="H11965" s="70"/>
      <c r="BA11965" s="4"/>
      <c r="BB11965" s="4"/>
    </row>
    <row r="11966" spans="1:54" x14ac:dyDescent="0.3">
      <c r="A11966" s="66"/>
      <c r="B11966" s="67"/>
      <c r="C11966" s="66"/>
      <c r="D11966" s="68"/>
      <c r="E11966" s="10"/>
      <c r="F11966" s="69"/>
      <c r="G11966" s="68"/>
      <c r="H11966" s="70"/>
      <c r="BA11966" s="4"/>
      <c r="BB11966" s="4"/>
    </row>
    <row r="11967" spans="1:54" x14ac:dyDescent="0.3">
      <c r="A11967" s="66"/>
      <c r="B11967" s="67"/>
      <c r="C11967" s="66"/>
      <c r="D11967" s="68"/>
      <c r="E11967" s="10"/>
      <c r="F11967" s="69"/>
      <c r="G11967" s="68"/>
      <c r="H11967" s="70"/>
      <c r="BA11967" s="4"/>
      <c r="BB11967" s="4"/>
    </row>
    <row r="11968" spans="1:54" x14ac:dyDescent="0.3">
      <c r="A11968" s="66"/>
      <c r="B11968" s="67"/>
      <c r="C11968" s="66"/>
      <c r="D11968" s="68"/>
      <c r="E11968" s="10"/>
      <c r="F11968" s="69"/>
      <c r="G11968" s="68"/>
      <c r="H11968" s="70"/>
      <c r="BA11968" s="4"/>
      <c r="BB11968" s="4"/>
    </row>
    <row r="11969" spans="1:54" x14ac:dyDescent="0.3">
      <c r="A11969" s="66"/>
      <c r="B11969" s="67"/>
      <c r="C11969" s="66"/>
      <c r="D11969" s="68"/>
      <c r="E11969" s="10"/>
      <c r="F11969" s="69"/>
      <c r="G11969" s="68"/>
      <c r="H11969" s="70"/>
      <c r="BA11969" s="4"/>
      <c r="BB11969" s="4"/>
    </row>
    <row r="11970" spans="1:54" x14ac:dyDescent="0.3">
      <c r="A11970" s="66"/>
      <c r="B11970" s="67"/>
      <c r="C11970" s="66"/>
      <c r="D11970" s="68"/>
      <c r="E11970" s="10"/>
      <c r="F11970" s="69"/>
      <c r="G11970" s="68"/>
      <c r="H11970" s="70"/>
      <c r="BA11970" s="4"/>
      <c r="BB11970" s="4"/>
    </row>
    <row r="11971" spans="1:54" x14ac:dyDescent="0.3">
      <c r="A11971" s="66"/>
      <c r="B11971" s="67"/>
      <c r="C11971" s="66"/>
      <c r="D11971" s="68"/>
      <c r="E11971" s="10"/>
      <c r="F11971" s="69"/>
      <c r="G11971" s="68"/>
      <c r="H11971" s="70"/>
      <c r="BA11971" s="4"/>
      <c r="BB11971" s="4"/>
    </row>
    <row r="11972" spans="1:54" x14ac:dyDescent="0.3">
      <c r="A11972" s="66"/>
      <c r="B11972" s="67"/>
      <c r="C11972" s="66"/>
      <c r="D11972" s="68"/>
      <c r="E11972" s="10"/>
      <c r="F11972" s="69"/>
      <c r="G11972" s="68"/>
      <c r="H11972" s="70"/>
      <c r="BA11972" s="4"/>
      <c r="BB11972" s="4"/>
    </row>
    <row r="11973" spans="1:54" x14ac:dyDescent="0.3">
      <c r="A11973" s="66"/>
      <c r="B11973" s="67"/>
      <c r="C11973" s="66"/>
      <c r="D11973" s="68"/>
      <c r="E11973" s="10"/>
      <c r="F11973" s="69"/>
      <c r="G11973" s="68"/>
      <c r="H11973" s="70"/>
      <c r="BA11973" s="4"/>
      <c r="BB11973" s="4"/>
    </row>
    <row r="11974" spans="1:54" x14ac:dyDescent="0.3">
      <c r="A11974" s="66"/>
      <c r="B11974" s="67"/>
      <c r="C11974" s="66"/>
      <c r="D11974" s="68"/>
      <c r="E11974" s="10"/>
      <c r="F11974" s="69"/>
      <c r="G11974" s="68"/>
      <c r="H11974" s="70"/>
      <c r="BA11974" s="4"/>
      <c r="BB11974" s="4"/>
    </row>
    <row r="11975" spans="1:54" x14ac:dyDescent="0.3">
      <c r="A11975" s="66"/>
      <c r="B11975" s="67"/>
      <c r="C11975" s="66"/>
      <c r="D11975" s="68"/>
      <c r="E11975" s="10"/>
      <c r="F11975" s="69"/>
      <c r="G11975" s="68"/>
      <c r="H11975" s="70"/>
      <c r="BA11975" s="4"/>
      <c r="BB11975" s="4"/>
    </row>
    <row r="11976" spans="1:54" x14ac:dyDescent="0.3">
      <c r="A11976" s="66"/>
      <c r="B11976" s="67"/>
      <c r="C11976" s="66"/>
      <c r="D11976" s="68"/>
      <c r="E11976" s="10"/>
      <c r="F11976" s="69"/>
      <c r="G11976" s="68"/>
      <c r="H11976" s="70"/>
      <c r="BA11976" s="4"/>
      <c r="BB11976" s="4"/>
    </row>
    <row r="11977" spans="1:54" x14ac:dyDescent="0.3">
      <c r="A11977" s="66"/>
      <c r="B11977" s="67"/>
      <c r="C11977" s="66"/>
      <c r="D11977" s="68"/>
      <c r="E11977" s="10"/>
      <c r="F11977" s="69"/>
      <c r="G11977" s="68"/>
      <c r="H11977" s="70"/>
      <c r="BA11977" s="4"/>
      <c r="BB11977" s="4"/>
    </row>
    <row r="11978" spans="1:54" x14ac:dyDescent="0.3">
      <c r="A11978" s="66"/>
      <c r="B11978" s="67"/>
      <c r="C11978" s="66"/>
      <c r="D11978" s="68"/>
      <c r="E11978" s="10"/>
      <c r="F11978" s="69"/>
      <c r="G11978" s="68"/>
      <c r="H11978" s="70"/>
      <c r="BA11978" s="4"/>
      <c r="BB11978" s="4"/>
    </row>
    <row r="11979" spans="1:54" x14ac:dyDescent="0.3">
      <c r="A11979" s="66"/>
      <c r="B11979" s="67"/>
      <c r="C11979" s="66"/>
      <c r="D11979" s="68"/>
      <c r="E11979" s="10"/>
      <c r="F11979" s="69"/>
      <c r="G11979" s="68"/>
      <c r="H11979" s="70"/>
      <c r="BA11979" s="4"/>
      <c r="BB11979" s="4"/>
    </row>
    <row r="11980" spans="1:54" x14ac:dyDescent="0.3">
      <c r="A11980" s="66"/>
      <c r="B11980" s="67"/>
      <c r="C11980" s="66"/>
      <c r="D11980" s="68"/>
      <c r="E11980" s="10"/>
      <c r="F11980" s="69"/>
      <c r="G11980" s="68"/>
      <c r="H11980" s="70"/>
      <c r="BA11980" s="4"/>
      <c r="BB11980" s="4"/>
    </row>
    <row r="11981" spans="1:54" x14ac:dyDescent="0.3">
      <c r="A11981" s="66"/>
      <c r="B11981" s="67"/>
      <c r="C11981" s="66"/>
      <c r="D11981" s="68"/>
      <c r="E11981" s="10"/>
      <c r="F11981" s="69"/>
      <c r="G11981" s="68"/>
      <c r="H11981" s="70"/>
      <c r="BA11981" s="4"/>
      <c r="BB11981" s="4"/>
    </row>
    <row r="11982" spans="1:54" x14ac:dyDescent="0.3">
      <c r="A11982" s="66"/>
      <c r="B11982" s="67"/>
      <c r="C11982" s="66"/>
      <c r="D11982" s="68"/>
      <c r="E11982" s="10"/>
      <c r="F11982" s="69"/>
      <c r="G11982" s="68"/>
      <c r="H11982" s="70"/>
      <c r="BA11982" s="4"/>
      <c r="BB11982" s="4"/>
    </row>
    <row r="11983" spans="1:54" x14ac:dyDescent="0.3">
      <c r="A11983" s="66"/>
      <c r="B11983" s="67"/>
      <c r="C11983" s="66"/>
      <c r="D11983" s="68"/>
      <c r="E11983" s="10"/>
      <c r="F11983" s="69"/>
      <c r="G11983" s="68"/>
      <c r="H11983" s="70"/>
      <c r="BA11983" s="4"/>
      <c r="BB11983" s="4"/>
    </row>
    <row r="11984" spans="1:54" x14ac:dyDescent="0.3">
      <c r="A11984" s="66"/>
      <c r="B11984" s="67"/>
      <c r="C11984" s="66"/>
      <c r="D11984" s="68"/>
      <c r="E11984" s="10"/>
      <c r="F11984" s="69"/>
      <c r="G11984" s="68"/>
      <c r="H11984" s="70"/>
      <c r="BA11984" s="4"/>
      <c r="BB11984" s="4"/>
    </row>
    <row r="11985" spans="1:54" x14ac:dyDescent="0.3">
      <c r="A11985" s="66"/>
      <c r="B11985" s="67"/>
      <c r="C11985" s="66"/>
      <c r="D11985" s="68"/>
      <c r="E11985" s="10"/>
      <c r="F11985" s="69"/>
      <c r="G11985" s="68"/>
      <c r="H11985" s="70"/>
      <c r="BA11985" s="4"/>
      <c r="BB11985" s="4"/>
    </row>
    <row r="11986" spans="1:54" x14ac:dyDescent="0.3">
      <c r="A11986" s="66"/>
      <c r="B11986" s="67"/>
      <c r="C11986" s="66"/>
      <c r="D11986" s="68"/>
      <c r="E11986" s="10"/>
      <c r="F11986" s="69"/>
      <c r="G11986" s="68"/>
      <c r="H11986" s="70"/>
      <c r="BA11986" s="4"/>
      <c r="BB11986" s="4"/>
    </row>
    <row r="11987" spans="1:54" x14ac:dyDescent="0.3">
      <c r="A11987" s="66"/>
      <c r="B11987" s="67"/>
      <c r="C11987" s="66"/>
      <c r="D11987" s="68"/>
      <c r="E11987" s="10"/>
      <c r="F11987" s="69"/>
      <c r="G11987" s="68"/>
      <c r="H11987" s="70"/>
      <c r="BA11987" s="4"/>
      <c r="BB11987" s="4"/>
    </row>
    <row r="11988" spans="1:54" x14ac:dyDescent="0.3">
      <c r="A11988" s="66"/>
      <c r="B11988" s="67"/>
      <c r="C11988" s="66"/>
      <c r="D11988" s="68"/>
      <c r="E11988" s="10"/>
      <c r="F11988" s="69"/>
      <c r="G11988" s="68"/>
      <c r="H11988" s="70"/>
      <c r="BA11988" s="4"/>
      <c r="BB11988" s="4"/>
    </row>
    <row r="11989" spans="1:54" x14ac:dyDescent="0.3">
      <c r="A11989" s="66"/>
      <c r="B11989" s="67"/>
      <c r="C11989" s="66"/>
      <c r="D11989" s="68"/>
      <c r="E11989" s="10"/>
      <c r="F11989" s="69"/>
      <c r="G11989" s="68"/>
      <c r="H11989" s="70"/>
      <c r="BA11989" s="4"/>
      <c r="BB11989" s="4"/>
    </row>
    <row r="11990" spans="1:54" x14ac:dyDescent="0.3">
      <c r="A11990" s="66"/>
      <c r="B11990" s="67"/>
      <c r="C11990" s="66"/>
      <c r="D11990" s="68"/>
      <c r="E11990" s="10"/>
      <c r="F11990" s="69"/>
      <c r="G11990" s="68"/>
      <c r="H11990" s="70"/>
      <c r="BA11990" s="4"/>
      <c r="BB11990" s="4"/>
    </row>
    <row r="11991" spans="1:54" x14ac:dyDescent="0.3">
      <c r="A11991" s="66"/>
      <c r="B11991" s="67"/>
      <c r="C11991" s="66"/>
      <c r="D11991" s="68"/>
      <c r="E11991" s="10"/>
      <c r="F11991" s="69"/>
      <c r="G11991" s="68"/>
      <c r="H11991" s="70"/>
      <c r="BA11991" s="4"/>
      <c r="BB11991" s="4"/>
    </row>
    <row r="11992" spans="1:54" x14ac:dyDescent="0.3">
      <c r="A11992" s="66"/>
      <c r="B11992" s="67"/>
      <c r="C11992" s="66"/>
      <c r="D11992" s="68"/>
      <c r="E11992" s="10"/>
      <c r="F11992" s="69"/>
      <c r="G11992" s="68"/>
      <c r="H11992" s="70"/>
      <c r="BA11992" s="4"/>
      <c r="BB11992" s="4"/>
    </row>
    <row r="11993" spans="1:54" x14ac:dyDescent="0.3">
      <c r="A11993" s="66"/>
      <c r="B11993" s="67"/>
      <c r="C11993" s="66"/>
      <c r="D11993" s="68"/>
      <c r="E11993" s="10"/>
      <c r="F11993" s="69"/>
      <c r="G11993" s="68"/>
      <c r="H11993" s="70"/>
      <c r="BA11993" s="4"/>
      <c r="BB11993" s="4"/>
    </row>
    <row r="11994" spans="1:54" x14ac:dyDescent="0.3">
      <c r="A11994" s="66"/>
      <c r="B11994" s="67"/>
      <c r="C11994" s="66"/>
      <c r="D11994" s="68"/>
      <c r="E11994" s="10"/>
      <c r="F11994" s="69"/>
      <c r="G11994" s="68"/>
      <c r="H11994" s="70"/>
      <c r="BA11994" s="4"/>
      <c r="BB11994" s="4"/>
    </row>
    <row r="11995" spans="1:54" x14ac:dyDescent="0.3">
      <c r="A11995" s="66"/>
      <c r="B11995" s="67"/>
      <c r="C11995" s="66"/>
      <c r="D11995" s="68"/>
      <c r="E11995" s="10"/>
      <c r="F11995" s="69"/>
      <c r="G11995" s="68"/>
      <c r="H11995" s="70"/>
      <c r="BA11995" s="4"/>
      <c r="BB11995" s="4"/>
    </row>
    <row r="11996" spans="1:54" x14ac:dyDescent="0.3">
      <c r="A11996" s="66"/>
      <c r="B11996" s="67"/>
      <c r="C11996" s="66"/>
      <c r="D11996" s="68"/>
      <c r="E11996" s="10"/>
      <c r="F11996" s="69"/>
      <c r="G11996" s="68"/>
      <c r="H11996" s="70"/>
      <c r="BA11996" s="4"/>
      <c r="BB11996" s="4"/>
    </row>
    <row r="11997" spans="1:54" x14ac:dyDescent="0.3">
      <c r="A11997" s="66"/>
      <c r="B11997" s="67"/>
      <c r="C11997" s="66"/>
      <c r="D11997" s="68"/>
      <c r="E11997" s="10"/>
      <c r="F11997" s="69"/>
      <c r="G11997" s="68"/>
      <c r="H11997" s="70"/>
      <c r="BA11997" s="4"/>
      <c r="BB11997" s="4"/>
    </row>
    <row r="11998" spans="1:54" x14ac:dyDescent="0.3">
      <c r="A11998" s="66"/>
      <c r="B11998" s="67"/>
      <c r="C11998" s="66"/>
      <c r="D11998" s="68"/>
      <c r="E11998" s="10"/>
      <c r="F11998" s="69"/>
      <c r="G11998" s="68"/>
      <c r="H11998" s="70"/>
      <c r="BA11998" s="4"/>
      <c r="BB11998" s="4"/>
    </row>
    <row r="11999" spans="1:54" x14ac:dyDescent="0.3">
      <c r="A11999" s="66"/>
      <c r="B11999" s="67"/>
      <c r="C11999" s="66"/>
      <c r="D11999" s="68"/>
      <c r="E11999" s="10"/>
      <c r="F11999" s="69"/>
      <c r="G11999" s="68"/>
      <c r="H11999" s="70"/>
      <c r="BA11999" s="4"/>
      <c r="BB11999" s="4"/>
    </row>
    <row r="12000" spans="1:54" x14ac:dyDescent="0.3">
      <c r="A12000" s="66"/>
      <c r="B12000" s="67"/>
      <c r="C12000" s="66"/>
      <c r="D12000" s="68"/>
      <c r="E12000" s="10"/>
      <c r="F12000" s="69"/>
      <c r="G12000" s="68"/>
      <c r="H12000" s="70"/>
      <c r="BA12000" s="4"/>
      <c r="BB12000" s="4"/>
    </row>
    <row r="12001" spans="1:54" x14ac:dyDescent="0.3">
      <c r="A12001" s="66"/>
      <c r="B12001" s="67"/>
      <c r="C12001" s="66"/>
      <c r="D12001" s="68"/>
      <c r="E12001" s="10"/>
      <c r="F12001" s="69"/>
      <c r="G12001" s="68"/>
      <c r="H12001" s="70"/>
      <c r="BA12001" s="4"/>
      <c r="BB12001" s="4"/>
    </row>
    <row r="12002" spans="1:54" x14ac:dyDescent="0.3">
      <c r="A12002" s="66"/>
      <c r="B12002" s="67"/>
      <c r="C12002" s="66"/>
      <c r="D12002" s="68"/>
      <c r="E12002" s="10"/>
      <c r="F12002" s="69"/>
      <c r="G12002" s="68"/>
      <c r="H12002" s="70"/>
      <c r="BA12002" s="4"/>
      <c r="BB12002" s="4"/>
    </row>
    <row r="12003" spans="1:54" x14ac:dyDescent="0.3">
      <c r="A12003" s="66"/>
      <c r="B12003" s="67"/>
      <c r="C12003" s="66"/>
      <c r="D12003" s="68"/>
      <c r="E12003" s="10"/>
      <c r="F12003" s="69"/>
      <c r="G12003" s="68"/>
      <c r="H12003" s="70"/>
      <c r="BA12003" s="4"/>
      <c r="BB12003" s="4"/>
    </row>
    <row r="12004" spans="1:54" x14ac:dyDescent="0.3">
      <c r="A12004" s="66"/>
      <c r="B12004" s="67"/>
      <c r="C12004" s="66"/>
      <c r="D12004" s="68"/>
      <c r="E12004" s="10"/>
      <c r="F12004" s="69"/>
      <c r="G12004" s="68"/>
      <c r="H12004" s="70"/>
      <c r="BA12004" s="4"/>
      <c r="BB12004" s="4"/>
    </row>
    <row r="12005" spans="1:54" x14ac:dyDescent="0.3">
      <c r="A12005" s="66"/>
      <c r="B12005" s="67"/>
      <c r="C12005" s="66"/>
      <c r="D12005" s="68"/>
      <c r="E12005" s="10"/>
      <c r="F12005" s="69"/>
      <c r="G12005" s="68"/>
      <c r="H12005" s="70"/>
      <c r="BA12005" s="4"/>
      <c r="BB12005" s="4"/>
    </row>
    <row r="12006" spans="1:54" x14ac:dyDescent="0.3">
      <c r="A12006" s="66"/>
      <c r="B12006" s="67"/>
      <c r="C12006" s="66"/>
      <c r="D12006" s="68"/>
      <c r="E12006" s="10"/>
      <c r="F12006" s="69"/>
      <c r="G12006" s="68"/>
      <c r="H12006" s="70"/>
      <c r="BA12006" s="4"/>
      <c r="BB12006" s="4"/>
    </row>
    <row r="12007" spans="1:54" x14ac:dyDescent="0.3">
      <c r="A12007" s="66"/>
      <c r="B12007" s="67"/>
      <c r="C12007" s="66"/>
      <c r="D12007" s="68"/>
      <c r="E12007" s="10"/>
      <c r="F12007" s="69"/>
      <c r="G12007" s="68"/>
      <c r="H12007" s="70"/>
      <c r="BA12007" s="4"/>
      <c r="BB12007" s="4"/>
    </row>
    <row r="12008" spans="1:54" x14ac:dyDescent="0.3">
      <c r="A12008" s="66"/>
      <c r="B12008" s="67"/>
      <c r="C12008" s="66"/>
      <c r="D12008" s="68"/>
      <c r="E12008" s="10"/>
      <c r="F12008" s="69"/>
      <c r="G12008" s="68"/>
      <c r="H12008" s="70"/>
      <c r="BA12008" s="4"/>
      <c r="BB12008" s="4"/>
    </row>
    <row r="12009" spans="1:54" x14ac:dyDescent="0.3">
      <c r="A12009" s="66"/>
      <c r="B12009" s="67"/>
      <c r="C12009" s="66"/>
      <c r="D12009" s="68"/>
      <c r="E12009" s="10"/>
      <c r="F12009" s="69"/>
      <c r="G12009" s="68"/>
      <c r="H12009" s="70"/>
      <c r="BA12009" s="4"/>
      <c r="BB12009" s="4"/>
    </row>
    <row r="12010" spans="1:54" x14ac:dyDescent="0.3">
      <c r="A12010" s="66"/>
      <c r="B12010" s="67"/>
      <c r="C12010" s="66"/>
      <c r="D12010" s="68"/>
      <c r="E12010" s="10"/>
      <c r="F12010" s="69"/>
      <c r="G12010" s="68"/>
      <c r="H12010" s="70"/>
      <c r="BA12010" s="4"/>
      <c r="BB12010" s="4"/>
    </row>
    <row r="12011" spans="1:54" x14ac:dyDescent="0.3">
      <c r="A12011" s="66"/>
      <c r="B12011" s="67"/>
      <c r="C12011" s="66"/>
      <c r="D12011" s="68"/>
      <c r="E12011" s="10"/>
      <c r="F12011" s="69"/>
      <c r="G12011" s="68"/>
      <c r="H12011" s="70"/>
      <c r="BA12011" s="4"/>
      <c r="BB12011" s="4"/>
    </row>
    <row r="12012" spans="1:54" x14ac:dyDescent="0.3">
      <c r="A12012" s="66"/>
      <c r="B12012" s="67"/>
      <c r="C12012" s="66"/>
      <c r="D12012" s="68"/>
      <c r="E12012" s="10"/>
      <c r="F12012" s="69"/>
      <c r="G12012" s="68"/>
      <c r="H12012" s="70"/>
      <c r="BA12012" s="4"/>
      <c r="BB12012" s="4"/>
    </row>
    <row r="12013" spans="1:54" x14ac:dyDescent="0.3">
      <c r="A12013" s="66"/>
      <c r="B12013" s="67"/>
      <c r="C12013" s="66"/>
      <c r="D12013" s="68"/>
      <c r="E12013" s="10"/>
      <c r="F12013" s="69"/>
      <c r="G12013" s="68"/>
      <c r="H12013" s="70"/>
      <c r="BA12013" s="4"/>
      <c r="BB12013" s="4"/>
    </row>
    <row r="12014" spans="1:54" x14ac:dyDescent="0.3">
      <c r="A12014" s="66"/>
      <c r="B12014" s="67"/>
      <c r="C12014" s="66"/>
      <c r="D12014" s="68"/>
      <c r="E12014" s="10"/>
      <c r="F12014" s="69"/>
      <c r="G12014" s="68"/>
      <c r="H12014" s="70"/>
      <c r="BA12014" s="4"/>
      <c r="BB12014" s="4"/>
    </row>
    <row r="12015" spans="1:54" x14ac:dyDescent="0.3">
      <c r="A12015" s="66"/>
      <c r="B12015" s="67"/>
      <c r="C12015" s="66"/>
      <c r="D12015" s="68"/>
      <c r="E12015" s="10"/>
      <c r="F12015" s="69"/>
      <c r="G12015" s="68"/>
      <c r="H12015" s="70"/>
      <c r="BA12015" s="4"/>
      <c r="BB12015" s="4"/>
    </row>
    <row r="12016" spans="1:54" x14ac:dyDescent="0.3">
      <c r="A12016" s="66"/>
      <c r="B12016" s="67"/>
      <c r="C12016" s="66"/>
      <c r="D12016" s="68"/>
      <c r="E12016" s="10"/>
      <c r="F12016" s="69"/>
      <c r="G12016" s="68"/>
      <c r="H12016" s="70"/>
      <c r="BA12016" s="4"/>
      <c r="BB12016" s="4"/>
    </row>
    <row r="12017" spans="1:54" x14ac:dyDescent="0.3">
      <c r="A12017" s="66"/>
      <c r="B12017" s="67"/>
      <c r="C12017" s="66"/>
      <c r="D12017" s="68"/>
      <c r="E12017" s="10"/>
      <c r="F12017" s="69"/>
      <c r="G12017" s="68"/>
      <c r="H12017" s="70"/>
      <c r="BA12017" s="4"/>
      <c r="BB12017" s="4"/>
    </row>
    <row r="12018" spans="1:54" x14ac:dyDescent="0.3">
      <c r="A12018" s="66"/>
      <c r="B12018" s="67"/>
      <c r="C12018" s="66"/>
      <c r="D12018" s="68"/>
      <c r="E12018" s="10"/>
      <c r="F12018" s="69"/>
      <c r="G12018" s="68"/>
      <c r="H12018" s="70"/>
      <c r="BA12018" s="4"/>
      <c r="BB12018" s="4"/>
    </row>
    <row r="12019" spans="1:54" x14ac:dyDescent="0.3">
      <c r="A12019" s="66"/>
      <c r="B12019" s="67"/>
      <c r="C12019" s="66"/>
      <c r="D12019" s="68"/>
      <c r="E12019" s="10"/>
      <c r="F12019" s="69"/>
      <c r="G12019" s="68"/>
      <c r="H12019" s="70"/>
      <c r="BA12019" s="4"/>
      <c r="BB12019" s="4"/>
    </row>
    <row r="12020" spans="1:54" x14ac:dyDescent="0.3">
      <c r="A12020" s="66"/>
      <c r="B12020" s="67"/>
      <c r="C12020" s="66"/>
      <c r="D12020" s="68"/>
      <c r="E12020" s="10"/>
      <c r="F12020" s="69"/>
      <c r="G12020" s="68"/>
      <c r="H12020" s="70"/>
      <c r="BA12020" s="4"/>
      <c r="BB12020" s="4"/>
    </row>
    <row r="12021" spans="1:54" x14ac:dyDescent="0.3">
      <c r="A12021" s="66"/>
      <c r="B12021" s="67"/>
      <c r="C12021" s="66"/>
      <c r="D12021" s="68"/>
      <c r="E12021" s="10"/>
      <c r="F12021" s="69"/>
      <c r="G12021" s="68"/>
      <c r="H12021" s="70"/>
      <c r="BA12021" s="4"/>
      <c r="BB12021" s="4"/>
    </row>
    <row r="12022" spans="1:54" x14ac:dyDescent="0.3">
      <c r="A12022" s="66"/>
      <c r="B12022" s="67"/>
      <c r="C12022" s="66"/>
      <c r="D12022" s="68"/>
      <c r="E12022" s="10"/>
      <c r="F12022" s="69"/>
      <c r="G12022" s="68"/>
      <c r="H12022" s="70"/>
      <c r="BA12022" s="4"/>
      <c r="BB12022" s="4"/>
    </row>
    <row r="12023" spans="1:54" x14ac:dyDescent="0.3">
      <c r="A12023" s="66"/>
      <c r="B12023" s="67"/>
      <c r="C12023" s="66"/>
      <c r="D12023" s="68"/>
      <c r="E12023" s="10"/>
      <c r="F12023" s="69"/>
      <c r="G12023" s="68"/>
      <c r="H12023" s="70"/>
      <c r="BA12023" s="4"/>
      <c r="BB12023" s="4"/>
    </row>
    <row r="12024" spans="1:54" x14ac:dyDescent="0.3">
      <c r="A12024" s="66"/>
      <c r="B12024" s="67"/>
      <c r="C12024" s="66"/>
      <c r="D12024" s="68"/>
      <c r="E12024" s="10"/>
      <c r="F12024" s="69"/>
      <c r="G12024" s="68"/>
      <c r="H12024" s="70"/>
      <c r="BA12024" s="4"/>
      <c r="BB12024" s="4"/>
    </row>
    <row r="12025" spans="1:54" x14ac:dyDescent="0.3">
      <c r="A12025" s="66"/>
      <c r="B12025" s="67"/>
      <c r="C12025" s="66"/>
      <c r="D12025" s="68"/>
      <c r="E12025" s="10"/>
      <c r="F12025" s="69"/>
      <c r="G12025" s="68"/>
      <c r="H12025" s="70"/>
      <c r="BA12025" s="4"/>
      <c r="BB12025" s="4"/>
    </row>
    <row r="12026" spans="1:54" x14ac:dyDescent="0.3">
      <c r="A12026" s="66"/>
      <c r="B12026" s="67"/>
      <c r="C12026" s="66"/>
      <c r="D12026" s="68"/>
      <c r="E12026" s="10"/>
      <c r="F12026" s="69"/>
      <c r="G12026" s="68"/>
      <c r="H12026" s="70"/>
      <c r="BA12026" s="4"/>
      <c r="BB12026" s="4"/>
    </row>
    <row r="12027" spans="1:54" x14ac:dyDescent="0.3">
      <c r="A12027" s="66"/>
      <c r="B12027" s="67"/>
      <c r="C12027" s="66"/>
      <c r="D12027" s="68"/>
      <c r="E12027" s="10"/>
      <c r="F12027" s="69"/>
      <c r="G12027" s="68"/>
      <c r="H12027" s="70"/>
      <c r="BA12027" s="4"/>
      <c r="BB12027" s="4"/>
    </row>
    <row r="12028" spans="1:54" x14ac:dyDescent="0.3">
      <c r="A12028" s="66"/>
      <c r="B12028" s="67"/>
      <c r="C12028" s="66"/>
      <c r="D12028" s="68"/>
      <c r="E12028" s="10"/>
      <c r="F12028" s="69"/>
      <c r="G12028" s="68"/>
      <c r="H12028" s="70"/>
      <c r="BA12028" s="4"/>
      <c r="BB12028" s="4"/>
    </row>
    <row r="12029" spans="1:54" x14ac:dyDescent="0.3">
      <c r="A12029" s="66"/>
      <c r="B12029" s="67"/>
      <c r="C12029" s="66"/>
      <c r="D12029" s="68"/>
      <c r="E12029" s="10"/>
      <c r="F12029" s="69"/>
      <c r="G12029" s="68"/>
      <c r="H12029" s="70"/>
      <c r="BA12029" s="4"/>
      <c r="BB12029" s="4"/>
    </row>
    <row r="12030" spans="1:54" x14ac:dyDescent="0.3">
      <c r="A12030" s="66"/>
      <c r="B12030" s="67"/>
      <c r="C12030" s="66"/>
      <c r="D12030" s="68"/>
      <c r="E12030" s="10"/>
      <c r="F12030" s="69"/>
      <c r="G12030" s="68"/>
      <c r="H12030" s="70"/>
      <c r="BA12030" s="4"/>
      <c r="BB12030" s="4"/>
    </row>
    <row r="12031" spans="1:54" x14ac:dyDescent="0.3">
      <c r="A12031" s="66"/>
      <c r="B12031" s="67"/>
      <c r="C12031" s="66"/>
      <c r="D12031" s="68"/>
      <c r="E12031" s="10"/>
      <c r="F12031" s="69"/>
      <c r="G12031" s="68"/>
      <c r="H12031" s="70"/>
      <c r="BA12031" s="4"/>
      <c r="BB12031" s="4"/>
    </row>
    <row r="12032" spans="1:54" x14ac:dyDescent="0.3">
      <c r="A12032" s="66"/>
      <c r="B12032" s="67"/>
      <c r="C12032" s="66"/>
      <c r="D12032" s="68"/>
      <c r="E12032" s="10"/>
      <c r="F12032" s="69"/>
      <c r="G12032" s="68"/>
      <c r="H12032" s="70"/>
      <c r="BA12032" s="4"/>
      <c r="BB12032" s="4"/>
    </row>
    <row r="12033" spans="1:54" x14ac:dyDescent="0.3">
      <c r="A12033" s="66"/>
      <c r="B12033" s="67"/>
      <c r="C12033" s="66"/>
      <c r="D12033" s="68"/>
      <c r="E12033" s="10"/>
      <c r="F12033" s="69"/>
      <c r="G12033" s="68"/>
      <c r="H12033" s="70"/>
      <c r="BA12033" s="4"/>
      <c r="BB12033" s="4"/>
    </row>
    <row r="12034" spans="1:54" x14ac:dyDescent="0.3">
      <c r="A12034" s="66"/>
      <c r="B12034" s="67"/>
      <c r="C12034" s="66"/>
      <c r="D12034" s="68"/>
      <c r="E12034" s="10"/>
      <c r="F12034" s="69"/>
      <c r="G12034" s="68"/>
      <c r="H12034" s="70"/>
      <c r="BA12034" s="4"/>
      <c r="BB12034" s="4"/>
    </row>
    <row r="12035" spans="1:54" x14ac:dyDescent="0.3">
      <c r="A12035" s="66"/>
      <c r="B12035" s="67"/>
      <c r="C12035" s="66"/>
      <c r="D12035" s="68"/>
      <c r="E12035" s="10"/>
      <c r="F12035" s="69"/>
      <c r="G12035" s="68"/>
      <c r="H12035" s="70"/>
      <c r="BA12035" s="4"/>
      <c r="BB12035" s="4"/>
    </row>
    <row r="12036" spans="1:54" x14ac:dyDescent="0.3">
      <c r="A12036" s="66"/>
      <c r="B12036" s="67"/>
      <c r="C12036" s="66"/>
      <c r="D12036" s="68"/>
      <c r="E12036" s="10"/>
      <c r="F12036" s="69"/>
      <c r="G12036" s="68"/>
      <c r="H12036" s="70"/>
      <c r="BA12036" s="4"/>
      <c r="BB12036" s="4"/>
    </row>
    <row r="12037" spans="1:54" x14ac:dyDescent="0.3">
      <c r="A12037" s="66"/>
      <c r="B12037" s="67"/>
      <c r="C12037" s="66"/>
      <c r="D12037" s="68"/>
      <c r="E12037" s="10"/>
      <c r="F12037" s="69"/>
      <c r="G12037" s="68"/>
      <c r="H12037" s="70"/>
      <c r="BA12037" s="4"/>
      <c r="BB12037" s="4"/>
    </row>
    <row r="12038" spans="1:54" x14ac:dyDescent="0.3">
      <c r="A12038" s="66"/>
      <c r="B12038" s="67"/>
      <c r="C12038" s="66"/>
      <c r="D12038" s="68"/>
      <c r="E12038" s="10"/>
      <c r="F12038" s="69"/>
      <c r="G12038" s="68"/>
      <c r="H12038" s="70"/>
      <c r="BA12038" s="4"/>
      <c r="BB12038" s="4"/>
    </row>
    <row r="12039" spans="1:54" x14ac:dyDescent="0.3">
      <c r="A12039" s="66"/>
      <c r="B12039" s="67"/>
      <c r="C12039" s="66"/>
      <c r="D12039" s="68"/>
      <c r="E12039" s="10"/>
      <c r="F12039" s="69"/>
      <c r="G12039" s="68"/>
      <c r="H12039" s="70"/>
      <c r="BA12039" s="4"/>
      <c r="BB12039" s="4"/>
    </row>
    <row r="12040" spans="1:54" x14ac:dyDescent="0.3">
      <c r="A12040" s="66"/>
      <c r="B12040" s="67"/>
      <c r="C12040" s="66"/>
      <c r="D12040" s="68"/>
      <c r="E12040" s="10"/>
      <c r="F12040" s="69"/>
      <c r="G12040" s="68"/>
      <c r="H12040" s="70"/>
      <c r="BA12040" s="4"/>
      <c r="BB12040" s="4"/>
    </row>
    <row r="12041" spans="1:54" x14ac:dyDescent="0.3">
      <c r="A12041" s="66"/>
      <c r="B12041" s="67"/>
      <c r="C12041" s="66"/>
      <c r="D12041" s="68"/>
      <c r="E12041" s="10"/>
      <c r="F12041" s="69"/>
      <c r="G12041" s="68"/>
      <c r="H12041" s="70"/>
      <c r="BA12041" s="4"/>
      <c r="BB12041" s="4"/>
    </row>
    <row r="12042" spans="1:54" x14ac:dyDescent="0.3">
      <c r="A12042" s="66"/>
      <c r="B12042" s="67"/>
      <c r="C12042" s="66"/>
      <c r="D12042" s="68"/>
      <c r="E12042" s="10"/>
      <c r="F12042" s="69"/>
      <c r="G12042" s="68"/>
      <c r="H12042" s="70"/>
      <c r="BA12042" s="4"/>
      <c r="BB12042" s="4"/>
    </row>
    <row r="12043" spans="1:54" x14ac:dyDescent="0.3">
      <c r="A12043" s="66"/>
      <c r="B12043" s="67"/>
      <c r="C12043" s="66"/>
      <c r="D12043" s="68"/>
      <c r="E12043" s="10"/>
      <c r="F12043" s="69"/>
      <c r="G12043" s="68"/>
      <c r="H12043" s="70"/>
      <c r="BA12043" s="4"/>
      <c r="BB12043" s="4"/>
    </row>
    <row r="12044" spans="1:54" x14ac:dyDescent="0.3">
      <c r="A12044" s="66"/>
      <c r="B12044" s="67"/>
      <c r="C12044" s="66"/>
      <c r="D12044" s="68"/>
      <c r="E12044" s="10"/>
      <c r="F12044" s="69"/>
      <c r="G12044" s="68"/>
      <c r="H12044" s="70"/>
      <c r="BA12044" s="4"/>
      <c r="BB12044" s="4"/>
    </row>
    <row r="12045" spans="1:54" x14ac:dyDescent="0.3">
      <c r="A12045" s="66"/>
      <c r="B12045" s="67"/>
      <c r="C12045" s="66"/>
      <c r="D12045" s="68"/>
      <c r="E12045" s="10"/>
      <c r="F12045" s="69"/>
      <c r="G12045" s="68"/>
      <c r="H12045" s="70"/>
      <c r="BA12045" s="4"/>
      <c r="BB12045" s="4"/>
    </row>
    <row r="12046" spans="1:54" x14ac:dyDescent="0.3">
      <c r="A12046" s="66"/>
      <c r="B12046" s="67"/>
      <c r="C12046" s="66"/>
      <c r="D12046" s="68"/>
      <c r="E12046" s="10"/>
      <c r="F12046" s="69"/>
      <c r="G12046" s="68"/>
      <c r="H12046" s="70"/>
      <c r="BA12046" s="4"/>
      <c r="BB12046" s="4"/>
    </row>
    <row r="12047" spans="1:54" x14ac:dyDescent="0.3">
      <c r="A12047" s="66"/>
      <c r="B12047" s="67"/>
      <c r="C12047" s="66"/>
      <c r="D12047" s="68"/>
      <c r="E12047" s="10"/>
      <c r="F12047" s="69"/>
      <c r="G12047" s="68"/>
      <c r="H12047" s="70"/>
      <c r="BA12047" s="4"/>
      <c r="BB12047" s="4"/>
    </row>
    <row r="12048" spans="1:54" x14ac:dyDescent="0.3">
      <c r="A12048" s="66"/>
      <c r="B12048" s="67"/>
      <c r="C12048" s="66"/>
      <c r="D12048" s="68"/>
      <c r="E12048" s="10"/>
      <c r="F12048" s="69"/>
      <c r="G12048" s="68"/>
      <c r="H12048" s="70"/>
      <c r="BA12048" s="4"/>
      <c r="BB12048" s="4"/>
    </row>
    <row r="12049" spans="1:54" x14ac:dyDescent="0.3">
      <c r="A12049" s="66"/>
      <c r="B12049" s="67"/>
      <c r="C12049" s="66"/>
      <c r="D12049" s="68"/>
      <c r="E12049" s="10"/>
      <c r="F12049" s="69"/>
      <c r="G12049" s="68"/>
      <c r="H12049" s="70"/>
      <c r="BA12049" s="4"/>
      <c r="BB12049" s="4"/>
    </row>
    <row r="12050" spans="1:54" x14ac:dyDescent="0.3">
      <c r="A12050" s="66"/>
      <c r="B12050" s="67"/>
      <c r="C12050" s="66"/>
      <c r="D12050" s="68"/>
      <c r="E12050" s="10"/>
      <c r="F12050" s="69"/>
      <c r="G12050" s="68"/>
      <c r="H12050" s="70"/>
      <c r="BA12050" s="4"/>
      <c r="BB12050" s="4"/>
    </row>
    <row r="12051" spans="1:54" x14ac:dyDescent="0.3">
      <c r="A12051" s="66"/>
      <c r="B12051" s="67"/>
      <c r="C12051" s="66"/>
      <c r="D12051" s="68"/>
      <c r="E12051" s="10"/>
      <c r="F12051" s="69"/>
      <c r="G12051" s="68"/>
      <c r="H12051" s="70"/>
      <c r="BA12051" s="4"/>
      <c r="BB12051" s="4"/>
    </row>
    <row r="12052" spans="1:54" x14ac:dyDescent="0.3">
      <c r="A12052" s="66"/>
      <c r="B12052" s="67"/>
      <c r="C12052" s="66"/>
      <c r="D12052" s="68"/>
      <c r="E12052" s="10"/>
      <c r="F12052" s="69"/>
      <c r="G12052" s="68"/>
      <c r="H12052" s="70"/>
      <c r="BA12052" s="4"/>
      <c r="BB12052" s="4"/>
    </row>
    <row r="12053" spans="1:54" x14ac:dyDescent="0.3">
      <c r="A12053" s="66"/>
      <c r="B12053" s="67"/>
      <c r="C12053" s="66"/>
      <c r="D12053" s="68"/>
      <c r="E12053" s="10"/>
      <c r="F12053" s="69"/>
      <c r="G12053" s="68"/>
      <c r="H12053" s="70"/>
      <c r="BA12053" s="4"/>
      <c r="BB12053" s="4"/>
    </row>
    <row r="12054" spans="1:54" x14ac:dyDescent="0.3">
      <c r="A12054" s="66"/>
      <c r="B12054" s="67"/>
      <c r="C12054" s="66"/>
      <c r="D12054" s="68"/>
      <c r="E12054" s="10"/>
      <c r="F12054" s="69"/>
      <c r="G12054" s="68"/>
      <c r="H12054" s="70"/>
      <c r="BA12054" s="4"/>
      <c r="BB12054" s="4"/>
    </row>
    <row r="12055" spans="1:54" x14ac:dyDescent="0.3">
      <c r="A12055" s="66"/>
      <c r="B12055" s="67"/>
      <c r="C12055" s="66"/>
      <c r="D12055" s="68"/>
      <c r="E12055" s="10"/>
      <c r="F12055" s="69"/>
      <c r="G12055" s="68"/>
      <c r="H12055" s="70"/>
      <c r="BA12055" s="4"/>
      <c r="BB12055" s="4"/>
    </row>
    <row r="12056" spans="1:54" x14ac:dyDescent="0.3">
      <c r="A12056" s="66"/>
      <c r="B12056" s="67"/>
      <c r="C12056" s="66"/>
      <c r="D12056" s="68"/>
      <c r="E12056" s="10"/>
      <c r="F12056" s="69"/>
      <c r="G12056" s="68"/>
      <c r="H12056" s="70"/>
      <c r="BA12056" s="4"/>
      <c r="BB12056" s="4"/>
    </row>
    <row r="12057" spans="1:54" x14ac:dyDescent="0.3">
      <c r="A12057" s="66"/>
      <c r="B12057" s="67"/>
      <c r="C12057" s="66"/>
      <c r="D12057" s="68"/>
      <c r="E12057" s="10"/>
      <c r="F12057" s="69"/>
      <c r="G12057" s="68"/>
      <c r="H12057" s="70"/>
      <c r="BA12057" s="4"/>
      <c r="BB12057" s="4"/>
    </row>
    <row r="12058" spans="1:54" x14ac:dyDescent="0.3">
      <c r="A12058" s="66"/>
      <c r="B12058" s="67"/>
      <c r="C12058" s="66"/>
      <c r="D12058" s="68"/>
      <c r="E12058" s="10"/>
      <c r="F12058" s="69"/>
      <c r="G12058" s="68"/>
      <c r="H12058" s="70"/>
      <c r="BA12058" s="4"/>
      <c r="BB12058" s="4"/>
    </row>
    <row r="12059" spans="1:54" x14ac:dyDescent="0.3">
      <c r="A12059" s="66"/>
      <c r="B12059" s="67"/>
      <c r="C12059" s="66"/>
      <c r="D12059" s="68"/>
      <c r="E12059" s="10"/>
      <c r="F12059" s="69"/>
      <c r="G12059" s="68"/>
      <c r="H12059" s="70"/>
      <c r="BA12059" s="4"/>
      <c r="BB12059" s="4"/>
    </row>
    <row r="12060" spans="1:54" x14ac:dyDescent="0.3">
      <c r="A12060" s="66"/>
      <c r="B12060" s="67"/>
      <c r="C12060" s="66"/>
      <c r="D12060" s="68"/>
      <c r="E12060" s="10"/>
      <c r="F12060" s="69"/>
      <c r="G12060" s="68"/>
      <c r="H12060" s="70"/>
      <c r="BA12060" s="4"/>
      <c r="BB12060" s="4"/>
    </row>
    <row r="12061" spans="1:54" x14ac:dyDescent="0.3">
      <c r="A12061" s="66"/>
      <c r="B12061" s="67"/>
      <c r="C12061" s="66"/>
      <c r="D12061" s="68"/>
      <c r="E12061" s="10"/>
      <c r="F12061" s="69"/>
      <c r="G12061" s="68"/>
      <c r="H12061" s="70"/>
      <c r="BA12061" s="4"/>
      <c r="BB12061" s="4"/>
    </row>
    <row r="12062" spans="1:54" x14ac:dyDescent="0.3">
      <c r="A12062" s="66"/>
      <c r="B12062" s="67"/>
      <c r="C12062" s="66"/>
      <c r="D12062" s="68"/>
      <c r="E12062" s="10"/>
      <c r="F12062" s="69"/>
      <c r="G12062" s="68"/>
      <c r="H12062" s="70"/>
      <c r="BA12062" s="4"/>
      <c r="BB12062" s="4"/>
    </row>
    <row r="12063" spans="1:54" x14ac:dyDescent="0.3">
      <c r="A12063" s="66"/>
      <c r="B12063" s="67"/>
      <c r="C12063" s="66"/>
      <c r="D12063" s="68"/>
      <c r="E12063" s="10"/>
      <c r="F12063" s="69"/>
      <c r="G12063" s="68"/>
      <c r="H12063" s="70"/>
      <c r="BA12063" s="4"/>
      <c r="BB12063" s="4"/>
    </row>
    <row r="12064" spans="1:54" x14ac:dyDescent="0.3">
      <c r="A12064" s="66"/>
      <c r="B12064" s="67"/>
      <c r="C12064" s="66"/>
      <c r="D12064" s="68"/>
      <c r="E12064" s="10"/>
      <c r="F12064" s="69"/>
      <c r="G12064" s="68"/>
      <c r="H12064" s="70"/>
      <c r="BA12064" s="4"/>
      <c r="BB12064" s="4"/>
    </row>
    <row r="12065" spans="1:54" x14ac:dyDescent="0.3">
      <c r="A12065" s="66"/>
      <c r="B12065" s="67"/>
      <c r="C12065" s="66"/>
      <c r="D12065" s="68"/>
      <c r="E12065" s="10"/>
      <c r="F12065" s="69"/>
      <c r="G12065" s="68"/>
      <c r="H12065" s="70"/>
      <c r="BA12065" s="4"/>
      <c r="BB12065" s="4"/>
    </row>
    <row r="12066" spans="1:54" x14ac:dyDescent="0.3">
      <c r="A12066" s="66"/>
      <c r="B12066" s="67"/>
      <c r="C12066" s="66"/>
      <c r="D12066" s="68"/>
      <c r="E12066" s="10"/>
      <c r="F12066" s="69"/>
      <c r="G12066" s="68"/>
      <c r="H12066" s="70"/>
      <c r="BA12066" s="4"/>
      <c r="BB12066" s="4"/>
    </row>
    <row r="12067" spans="1:54" x14ac:dyDescent="0.3">
      <c r="A12067" s="66"/>
      <c r="B12067" s="67"/>
      <c r="C12067" s="66"/>
      <c r="D12067" s="68"/>
      <c r="E12067" s="10"/>
      <c r="F12067" s="69"/>
      <c r="G12067" s="68"/>
      <c r="H12067" s="70"/>
      <c r="BA12067" s="4"/>
      <c r="BB12067" s="4"/>
    </row>
    <row r="12068" spans="1:54" x14ac:dyDescent="0.3">
      <c r="A12068" s="66"/>
      <c r="B12068" s="67"/>
      <c r="C12068" s="66"/>
      <c r="D12068" s="68"/>
      <c r="E12068" s="10"/>
      <c r="F12068" s="69"/>
      <c r="G12068" s="68"/>
      <c r="H12068" s="70"/>
      <c r="BA12068" s="4"/>
      <c r="BB12068" s="4"/>
    </row>
    <row r="12069" spans="1:54" x14ac:dyDescent="0.3">
      <c r="A12069" s="66"/>
      <c r="B12069" s="67"/>
      <c r="C12069" s="66"/>
      <c r="D12069" s="68"/>
      <c r="E12069" s="10"/>
      <c r="F12069" s="69"/>
      <c r="G12069" s="68"/>
      <c r="H12069" s="70"/>
      <c r="BA12069" s="4"/>
      <c r="BB12069" s="4"/>
    </row>
    <row r="12070" spans="1:54" x14ac:dyDescent="0.3">
      <c r="A12070" s="66"/>
      <c r="B12070" s="67"/>
      <c r="C12070" s="66"/>
      <c r="D12070" s="68"/>
      <c r="E12070" s="10"/>
      <c r="F12070" s="69"/>
      <c r="G12070" s="68"/>
      <c r="H12070" s="70"/>
      <c r="BA12070" s="4"/>
      <c r="BB12070" s="4"/>
    </row>
    <row r="12071" spans="1:54" x14ac:dyDescent="0.3">
      <c r="A12071" s="66"/>
      <c r="B12071" s="67"/>
      <c r="C12071" s="66"/>
      <c r="D12071" s="68"/>
      <c r="E12071" s="10"/>
      <c r="F12071" s="69"/>
      <c r="G12071" s="68"/>
      <c r="H12071" s="70"/>
      <c r="BA12071" s="4"/>
      <c r="BB12071" s="4"/>
    </row>
    <row r="12072" spans="1:54" x14ac:dyDescent="0.3">
      <c r="A12072" s="66"/>
      <c r="B12072" s="67"/>
      <c r="C12072" s="66"/>
      <c r="D12072" s="68"/>
      <c r="E12072" s="10"/>
      <c r="F12072" s="69"/>
      <c r="G12072" s="68"/>
      <c r="H12072" s="70"/>
      <c r="BA12072" s="4"/>
      <c r="BB12072" s="4"/>
    </row>
    <row r="12073" spans="1:54" x14ac:dyDescent="0.3">
      <c r="A12073" s="66"/>
      <c r="B12073" s="67"/>
      <c r="C12073" s="66"/>
      <c r="D12073" s="68"/>
      <c r="E12073" s="10"/>
      <c r="F12073" s="69"/>
      <c r="G12073" s="68"/>
      <c r="H12073" s="70"/>
      <c r="BA12073" s="4"/>
      <c r="BB12073" s="4"/>
    </row>
    <row r="12074" spans="1:54" x14ac:dyDescent="0.3">
      <c r="A12074" s="66"/>
      <c r="B12074" s="67"/>
      <c r="C12074" s="66"/>
      <c r="D12074" s="68"/>
      <c r="E12074" s="10"/>
      <c r="F12074" s="69"/>
      <c r="G12074" s="68"/>
      <c r="H12074" s="70"/>
      <c r="BA12074" s="4"/>
      <c r="BB12074" s="4"/>
    </row>
    <row r="12075" spans="1:54" x14ac:dyDescent="0.3">
      <c r="A12075" s="66"/>
      <c r="B12075" s="67"/>
      <c r="C12075" s="66"/>
      <c r="D12075" s="68"/>
      <c r="E12075" s="10"/>
      <c r="F12075" s="69"/>
      <c r="G12075" s="68"/>
      <c r="H12075" s="70"/>
      <c r="BA12075" s="4"/>
      <c r="BB12075" s="4"/>
    </row>
    <row r="12076" spans="1:54" x14ac:dyDescent="0.3">
      <c r="A12076" s="66"/>
      <c r="B12076" s="67"/>
      <c r="C12076" s="66"/>
      <c r="D12076" s="68"/>
      <c r="E12076" s="10"/>
      <c r="F12076" s="69"/>
      <c r="G12076" s="68"/>
      <c r="H12076" s="70"/>
      <c r="BA12076" s="4"/>
      <c r="BB12076" s="4"/>
    </row>
    <row r="12077" spans="1:54" x14ac:dyDescent="0.3">
      <c r="A12077" s="66"/>
      <c r="B12077" s="67"/>
      <c r="C12077" s="66"/>
      <c r="D12077" s="68"/>
      <c r="E12077" s="10"/>
      <c r="F12077" s="69"/>
      <c r="G12077" s="68"/>
      <c r="H12077" s="70"/>
      <c r="BA12077" s="4"/>
      <c r="BB12077" s="4"/>
    </row>
    <row r="12078" spans="1:54" x14ac:dyDescent="0.3">
      <c r="A12078" s="66"/>
      <c r="B12078" s="67"/>
      <c r="C12078" s="66"/>
      <c r="D12078" s="68"/>
      <c r="E12078" s="10"/>
      <c r="F12078" s="69"/>
      <c r="G12078" s="68"/>
      <c r="H12078" s="70"/>
      <c r="BA12078" s="4"/>
      <c r="BB12078" s="4"/>
    </row>
    <row r="12079" spans="1:54" x14ac:dyDescent="0.3">
      <c r="A12079" s="66"/>
      <c r="B12079" s="67"/>
      <c r="C12079" s="66"/>
      <c r="D12079" s="68"/>
      <c r="E12079" s="10"/>
      <c r="F12079" s="69"/>
      <c r="G12079" s="68"/>
      <c r="H12079" s="70"/>
      <c r="BA12079" s="4"/>
      <c r="BB12079" s="4"/>
    </row>
    <row r="12080" spans="1:54" x14ac:dyDescent="0.3">
      <c r="A12080" s="66"/>
      <c r="B12080" s="67"/>
      <c r="C12080" s="66"/>
      <c r="D12080" s="68"/>
      <c r="E12080" s="10"/>
      <c r="F12080" s="69"/>
      <c r="G12080" s="68"/>
      <c r="H12080" s="70"/>
      <c r="BA12080" s="4"/>
      <c r="BB12080" s="4"/>
    </row>
    <row r="12081" spans="1:54" x14ac:dyDescent="0.3">
      <c r="A12081" s="66"/>
      <c r="B12081" s="67"/>
      <c r="C12081" s="66"/>
      <c r="D12081" s="68"/>
      <c r="E12081" s="10"/>
      <c r="F12081" s="69"/>
      <c r="G12081" s="68"/>
      <c r="H12081" s="70"/>
      <c r="BA12081" s="4"/>
      <c r="BB12081" s="4"/>
    </row>
    <row r="12082" spans="1:54" x14ac:dyDescent="0.3">
      <c r="A12082" s="66"/>
      <c r="B12082" s="67"/>
      <c r="C12082" s="66"/>
      <c r="D12082" s="68"/>
      <c r="E12082" s="10"/>
      <c r="F12082" s="69"/>
      <c r="G12082" s="68"/>
      <c r="H12082" s="70"/>
      <c r="BA12082" s="4"/>
      <c r="BB12082" s="4"/>
    </row>
    <row r="12083" spans="1:54" x14ac:dyDescent="0.3">
      <c r="A12083" s="66"/>
      <c r="B12083" s="67"/>
      <c r="C12083" s="66"/>
      <c r="D12083" s="68"/>
      <c r="E12083" s="10"/>
      <c r="F12083" s="69"/>
      <c r="G12083" s="68"/>
      <c r="H12083" s="70"/>
      <c r="BA12083" s="4"/>
      <c r="BB12083" s="4"/>
    </row>
    <row r="12084" spans="1:54" x14ac:dyDescent="0.3">
      <c r="A12084" s="66"/>
      <c r="B12084" s="67"/>
      <c r="C12084" s="66"/>
      <c r="D12084" s="68"/>
      <c r="E12084" s="10"/>
      <c r="F12084" s="69"/>
      <c r="G12084" s="68"/>
      <c r="H12084" s="70"/>
      <c r="BA12084" s="4"/>
      <c r="BB12084" s="4"/>
    </row>
    <row r="12085" spans="1:54" x14ac:dyDescent="0.3">
      <c r="A12085" s="66"/>
      <c r="B12085" s="67"/>
      <c r="C12085" s="66"/>
      <c r="D12085" s="68"/>
      <c r="E12085" s="10"/>
      <c r="F12085" s="69"/>
      <c r="G12085" s="68"/>
      <c r="H12085" s="70"/>
      <c r="BA12085" s="4"/>
      <c r="BB12085" s="4"/>
    </row>
    <row r="12086" spans="1:54" x14ac:dyDescent="0.3">
      <c r="A12086" s="66"/>
      <c r="B12086" s="67"/>
      <c r="C12086" s="66"/>
      <c r="D12086" s="68"/>
      <c r="E12086" s="10"/>
      <c r="F12086" s="69"/>
      <c r="G12086" s="68"/>
      <c r="H12086" s="70"/>
      <c r="BA12086" s="4"/>
      <c r="BB12086" s="4"/>
    </row>
    <row r="12087" spans="1:54" x14ac:dyDescent="0.3">
      <c r="A12087" s="66"/>
      <c r="B12087" s="67"/>
      <c r="C12087" s="66"/>
      <c r="D12087" s="68"/>
      <c r="E12087" s="10"/>
      <c r="F12087" s="69"/>
      <c r="G12087" s="68"/>
      <c r="H12087" s="70"/>
      <c r="BA12087" s="4"/>
      <c r="BB12087" s="4"/>
    </row>
    <row r="12088" spans="1:54" x14ac:dyDescent="0.3">
      <c r="A12088" s="66"/>
      <c r="B12088" s="67"/>
      <c r="C12088" s="66"/>
      <c r="D12088" s="68"/>
      <c r="E12088" s="10"/>
      <c r="F12088" s="69"/>
      <c r="G12088" s="68"/>
      <c r="H12088" s="70"/>
      <c r="BA12088" s="4"/>
      <c r="BB12088" s="4"/>
    </row>
    <row r="12089" spans="1:54" x14ac:dyDescent="0.3">
      <c r="A12089" s="66"/>
      <c r="B12089" s="67"/>
      <c r="C12089" s="66"/>
      <c r="D12089" s="68"/>
      <c r="E12089" s="10"/>
      <c r="F12089" s="69"/>
      <c r="G12089" s="68"/>
      <c r="H12089" s="70"/>
      <c r="BA12089" s="4"/>
      <c r="BB12089" s="4"/>
    </row>
    <row r="12090" spans="1:54" x14ac:dyDescent="0.3">
      <c r="A12090" s="66"/>
      <c r="B12090" s="67"/>
      <c r="C12090" s="66"/>
      <c r="D12090" s="68"/>
      <c r="E12090" s="10"/>
      <c r="F12090" s="69"/>
      <c r="G12090" s="68"/>
      <c r="H12090" s="70"/>
      <c r="BA12090" s="4"/>
      <c r="BB12090" s="4"/>
    </row>
    <row r="12091" spans="1:54" x14ac:dyDescent="0.3">
      <c r="A12091" s="66"/>
      <c r="B12091" s="67"/>
      <c r="C12091" s="66"/>
      <c r="D12091" s="68"/>
      <c r="E12091" s="10"/>
      <c r="F12091" s="69"/>
      <c r="G12091" s="68"/>
      <c r="H12091" s="70"/>
      <c r="BA12091" s="4"/>
      <c r="BB12091" s="4"/>
    </row>
    <row r="12092" spans="1:54" x14ac:dyDescent="0.3">
      <c r="A12092" s="66"/>
      <c r="B12092" s="67"/>
      <c r="C12092" s="66"/>
      <c r="D12092" s="68"/>
      <c r="E12092" s="10"/>
      <c r="F12092" s="69"/>
      <c r="G12092" s="68"/>
      <c r="H12092" s="70"/>
      <c r="BA12092" s="4"/>
      <c r="BB12092" s="4"/>
    </row>
    <row r="12093" spans="1:54" x14ac:dyDescent="0.3">
      <c r="A12093" s="66"/>
      <c r="B12093" s="67"/>
      <c r="C12093" s="66"/>
      <c r="D12093" s="68"/>
      <c r="E12093" s="10"/>
      <c r="F12093" s="69"/>
      <c r="G12093" s="68"/>
      <c r="H12093" s="70"/>
      <c r="BA12093" s="4"/>
      <c r="BB12093" s="4"/>
    </row>
    <row r="12094" spans="1:54" x14ac:dyDescent="0.3">
      <c r="A12094" s="66"/>
      <c r="B12094" s="67"/>
      <c r="C12094" s="66"/>
      <c r="D12094" s="68"/>
      <c r="E12094" s="10"/>
      <c r="F12094" s="69"/>
      <c r="G12094" s="68"/>
      <c r="H12094" s="70"/>
      <c r="BA12094" s="4"/>
      <c r="BB12094" s="4"/>
    </row>
    <row r="12095" spans="1:54" x14ac:dyDescent="0.3">
      <c r="A12095" s="66"/>
      <c r="B12095" s="67"/>
      <c r="C12095" s="66"/>
      <c r="D12095" s="68"/>
      <c r="E12095" s="10"/>
      <c r="F12095" s="69"/>
      <c r="G12095" s="68"/>
      <c r="H12095" s="70"/>
      <c r="BA12095" s="4"/>
      <c r="BB12095" s="4"/>
    </row>
    <row r="12096" spans="1:54" x14ac:dyDescent="0.3">
      <c r="A12096" s="66"/>
      <c r="B12096" s="67"/>
      <c r="C12096" s="66"/>
      <c r="D12096" s="68"/>
      <c r="E12096" s="10"/>
      <c r="F12096" s="69"/>
      <c r="G12096" s="68"/>
      <c r="H12096" s="70"/>
      <c r="BA12096" s="4"/>
      <c r="BB12096" s="4"/>
    </row>
    <row r="12097" spans="1:54" x14ac:dyDescent="0.3">
      <c r="A12097" s="66"/>
      <c r="B12097" s="67"/>
      <c r="C12097" s="66"/>
      <c r="D12097" s="68"/>
      <c r="E12097" s="10"/>
      <c r="F12097" s="69"/>
      <c r="G12097" s="68"/>
      <c r="H12097" s="70"/>
      <c r="BA12097" s="4"/>
      <c r="BB12097" s="4"/>
    </row>
    <row r="12098" spans="1:54" x14ac:dyDescent="0.3">
      <c r="A12098" s="66"/>
      <c r="B12098" s="67"/>
      <c r="C12098" s="66"/>
      <c r="D12098" s="68"/>
      <c r="E12098" s="10"/>
      <c r="F12098" s="69"/>
      <c r="G12098" s="68"/>
      <c r="H12098" s="70"/>
      <c r="BA12098" s="4"/>
      <c r="BB12098" s="4"/>
    </row>
    <row r="12099" spans="1:54" x14ac:dyDescent="0.3">
      <c r="A12099" s="66"/>
      <c r="B12099" s="67"/>
      <c r="C12099" s="66"/>
      <c r="D12099" s="68"/>
      <c r="E12099" s="10"/>
      <c r="F12099" s="69"/>
      <c r="G12099" s="68"/>
      <c r="H12099" s="70"/>
      <c r="BA12099" s="4"/>
      <c r="BB12099" s="4"/>
    </row>
    <row r="12100" spans="1:54" x14ac:dyDescent="0.3">
      <c r="A12100" s="66"/>
      <c r="B12100" s="67"/>
      <c r="C12100" s="66"/>
      <c r="D12100" s="68"/>
      <c r="E12100" s="10"/>
      <c r="F12100" s="69"/>
      <c r="G12100" s="68"/>
      <c r="H12100" s="70"/>
      <c r="BA12100" s="4"/>
      <c r="BB12100" s="4"/>
    </row>
    <row r="12101" spans="1:54" x14ac:dyDescent="0.3">
      <c r="A12101" s="66"/>
      <c r="B12101" s="67"/>
      <c r="C12101" s="66"/>
      <c r="D12101" s="68"/>
      <c r="E12101" s="10"/>
      <c r="F12101" s="69"/>
      <c r="G12101" s="68"/>
      <c r="H12101" s="70"/>
      <c r="BA12101" s="4"/>
      <c r="BB12101" s="4"/>
    </row>
    <row r="12102" spans="1:54" x14ac:dyDescent="0.3">
      <c r="A12102" s="66"/>
      <c r="B12102" s="67"/>
      <c r="C12102" s="66"/>
      <c r="D12102" s="68"/>
      <c r="E12102" s="10"/>
      <c r="F12102" s="69"/>
      <c r="G12102" s="68"/>
      <c r="H12102" s="70"/>
      <c r="BA12102" s="4"/>
      <c r="BB12102" s="4"/>
    </row>
    <row r="12103" spans="1:54" x14ac:dyDescent="0.3">
      <c r="A12103" s="66"/>
      <c r="B12103" s="67"/>
      <c r="C12103" s="66"/>
      <c r="D12103" s="68"/>
      <c r="E12103" s="10"/>
      <c r="F12103" s="69"/>
      <c r="G12103" s="68"/>
      <c r="H12103" s="70"/>
      <c r="BA12103" s="4"/>
      <c r="BB12103" s="4"/>
    </row>
    <row r="12104" spans="1:54" x14ac:dyDescent="0.3">
      <c r="A12104" s="66"/>
      <c r="B12104" s="67"/>
      <c r="C12104" s="66"/>
      <c r="D12104" s="68"/>
      <c r="E12104" s="10"/>
      <c r="F12104" s="69"/>
      <c r="G12104" s="68"/>
      <c r="H12104" s="70"/>
      <c r="BA12104" s="4"/>
      <c r="BB12104" s="4"/>
    </row>
    <row r="12105" spans="1:54" x14ac:dyDescent="0.3">
      <c r="A12105" s="66"/>
      <c r="B12105" s="67"/>
      <c r="C12105" s="66"/>
      <c r="D12105" s="68"/>
      <c r="E12105" s="10"/>
      <c r="F12105" s="69"/>
      <c r="G12105" s="68"/>
      <c r="H12105" s="70"/>
      <c r="BA12105" s="4"/>
      <c r="BB12105" s="4"/>
    </row>
    <row r="12106" spans="1:54" x14ac:dyDescent="0.3">
      <c r="A12106" s="66"/>
      <c r="B12106" s="67"/>
      <c r="C12106" s="66"/>
      <c r="D12106" s="68"/>
      <c r="E12106" s="10"/>
      <c r="F12106" s="69"/>
      <c r="G12106" s="68"/>
      <c r="H12106" s="70"/>
      <c r="BA12106" s="4"/>
      <c r="BB12106" s="4"/>
    </row>
    <row r="12107" spans="1:54" x14ac:dyDescent="0.3">
      <c r="A12107" s="66"/>
      <c r="B12107" s="67"/>
      <c r="C12107" s="66"/>
      <c r="D12107" s="68"/>
      <c r="E12107" s="10"/>
      <c r="F12107" s="69"/>
      <c r="G12107" s="68"/>
      <c r="H12107" s="70"/>
      <c r="BA12107" s="4"/>
      <c r="BB12107" s="4"/>
    </row>
    <row r="12108" spans="1:54" x14ac:dyDescent="0.3">
      <c r="A12108" s="66"/>
      <c r="B12108" s="67"/>
      <c r="C12108" s="66"/>
      <c r="D12108" s="68"/>
      <c r="E12108" s="10"/>
      <c r="F12108" s="69"/>
      <c r="G12108" s="68"/>
      <c r="H12108" s="70"/>
      <c r="BA12108" s="4"/>
      <c r="BB12108" s="4"/>
    </row>
    <row r="12109" spans="1:54" x14ac:dyDescent="0.3">
      <c r="A12109" s="66"/>
      <c r="B12109" s="67"/>
      <c r="C12109" s="66"/>
      <c r="D12109" s="68"/>
      <c r="E12109" s="10"/>
      <c r="F12109" s="69"/>
      <c r="G12109" s="68"/>
      <c r="H12109" s="70"/>
      <c r="BA12109" s="4"/>
      <c r="BB12109" s="4"/>
    </row>
    <row r="12110" spans="1:54" x14ac:dyDescent="0.3">
      <c r="A12110" s="66"/>
      <c r="B12110" s="67"/>
      <c r="C12110" s="66"/>
      <c r="D12110" s="68"/>
      <c r="E12110" s="10"/>
      <c r="F12110" s="69"/>
      <c r="G12110" s="68"/>
      <c r="H12110" s="70"/>
      <c r="BA12110" s="4"/>
      <c r="BB12110" s="4"/>
    </row>
    <row r="12111" spans="1:54" x14ac:dyDescent="0.3">
      <c r="A12111" s="66"/>
      <c r="B12111" s="67"/>
      <c r="C12111" s="66"/>
      <c r="D12111" s="68"/>
      <c r="E12111" s="10"/>
      <c r="F12111" s="69"/>
      <c r="G12111" s="68"/>
      <c r="H12111" s="70"/>
      <c r="BA12111" s="4"/>
      <c r="BB12111" s="4"/>
    </row>
    <row r="12112" spans="1:54" x14ac:dyDescent="0.3">
      <c r="A12112" s="66"/>
      <c r="B12112" s="67"/>
      <c r="C12112" s="66"/>
      <c r="D12112" s="68"/>
      <c r="E12112" s="10"/>
      <c r="F12112" s="69"/>
      <c r="G12112" s="68"/>
      <c r="H12112" s="70"/>
      <c r="BA12112" s="4"/>
      <c r="BB12112" s="4"/>
    </row>
    <row r="12113" spans="1:54" x14ac:dyDescent="0.3">
      <c r="A12113" s="66"/>
      <c r="B12113" s="67"/>
      <c r="C12113" s="66"/>
      <c r="D12113" s="68"/>
      <c r="E12113" s="10"/>
      <c r="F12113" s="69"/>
      <c r="G12113" s="68"/>
      <c r="H12113" s="70"/>
      <c r="BA12113" s="4"/>
      <c r="BB12113" s="4"/>
    </row>
    <row r="12114" spans="1:54" x14ac:dyDescent="0.3">
      <c r="A12114" s="66"/>
      <c r="B12114" s="67"/>
      <c r="C12114" s="66"/>
      <c r="D12114" s="68"/>
      <c r="E12114" s="10"/>
      <c r="F12114" s="69"/>
      <c r="G12114" s="68"/>
      <c r="H12114" s="70"/>
      <c r="BA12114" s="4"/>
      <c r="BB12114" s="4"/>
    </row>
    <row r="12115" spans="1:54" x14ac:dyDescent="0.3">
      <c r="A12115" s="66"/>
      <c r="B12115" s="67"/>
      <c r="C12115" s="66"/>
      <c r="D12115" s="68"/>
      <c r="E12115" s="10"/>
      <c r="F12115" s="69"/>
      <c r="G12115" s="68"/>
      <c r="H12115" s="70"/>
      <c r="BA12115" s="4"/>
      <c r="BB12115" s="4"/>
    </row>
    <row r="12116" spans="1:54" x14ac:dyDescent="0.3">
      <c r="A12116" s="66"/>
      <c r="B12116" s="67"/>
      <c r="C12116" s="66"/>
      <c r="D12116" s="68"/>
      <c r="E12116" s="10"/>
      <c r="F12116" s="69"/>
      <c r="G12116" s="68"/>
      <c r="H12116" s="70"/>
      <c r="BA12116" s="4"/>
      <c r="BB12116" s="4"/>
    </row>
    <row r="12117" spans="1:54" x14ac:dyDescent="0.3">
      <c r="A12117" s="66"/>
      <c r="B12117" s="67"/>
      <c r="C12117" s="66"/>
      <c r="D12117" s="68"/>
      <c r="E12117" s="10"/>
      <c r="F12117" s="69"/>
      <c r="G12117" s="68"/>
      <c r="H12117" s="70"/>
      <c r="BA12117" s="4"/>
      <c r="BB12117" s="4"/>
    </row>
    <row r="12118" spans="1:54" x14ac:dyDescent="0.3">
      <c r="A12118" s="66"/>
      <c r="B12118" s="67"/>
      <c r="C12118" s="66"/>
      <c r="D12118" s="68"/>
      <c r="E12118" s="10"/>
      <c r="F12118" s="69"/>
      <c r="G12118" s="68"/>
      <c r="H12118" s="70"/>
      <c r="BA12118" s="4"/>
      <c r="BB12118" s="4"/>
    </row>
    <row r="12119" spans="1:54" x14ac:dyDescent="0.3">
      <c r="A12119" s="66"/>
      <c r="B12119" s="67"/>
      <c r="C12119" s="66"/>
      <c r="D12119" s="68"/>
      <c r="E12119" s="10"/>
      <c r="F12119" s="69"/>
      <c r="G12119" s="68"/>
      <c r="H12119" s="70"/>
      <c r="BA12119" s="4"/>
      <c r="BB12119" s="4"/>
    </row>
    <row r="12120" spans="1:54" x14ac:dyDescent="0.3">
      <c r="A12120" s="66"/>
      <c r="B12120" s="67"/>
      <c r="C12120" s="66"/>
      <c r="D12120" s="68"/>
      <c r="E12120" s="10"/>
      <c r="F12120" s="69"/>
      <c r="G12120" s="68"/>
      <c r="H12120" s="70"/>
      <c r="BA12120" s="4"/>
      <c r="BB12120" s="4"/>
    </row>
    <row r="12121" spans="1:54" x14ac:dyDescent="0.3">
      <c r="A12121" s="66"/>
      <c r="B12121" s="67"/>
      <c r="C12121" s="66"/>
      <c r="D12121" s="68"/>
      <c r="E12121" s="10"/>
      <c r="F12121" s="69"/>
      <c r="G12121" s="68"/>
      <c r="H12121" s="70"/>
      <c r="BA12121" s="4"/>
      <c r="BB12121" s="4"/>
    </row>
    <row r="12122" spans="1:54" x14ac:dyDescent="0.3">
      <c r="A12122" s="66"/>
      <c r="B12122" s="67"/>
      <c r="C12122" s="66"/>
      <c r="D12122" s="68"/>
      <c r="E12122" s="10"/>
      <c r="F12122" s="69"/>
      <c r="G12122" s="68"/>
      <c r="H12122" s="70"/>
      <c r="BA12122" s="4"/>
      <c r="BB12122" s="4"/>
    </row>
    <row r="12123" spans="1:54" x14ac:dyDescent="0.3">
      <c r="A12123" s="66"/>
      <c r="B12123" s="67"/>
      <c r="C12123" s="66"/>
      <c r="D12123" s="68"/>
      <c r="E12123" s="10"/>
      <c r="F12123" s="69"/>
      <c r="G12123" s="68"/>
      <c r="H12123" s="70"/>
      <c r="BA12123" s="4"/>
      <c r="BB12123" s="4"/>
    </row>
    <row r="12124" spans="1:54" x14ac:dyDescent="0.3">
      <c r="A12124" s="66"/>
      <c r="B12124" s="67"/>
      <c r="C12124" s="66"/>
      <c r="D12124" s="68"/>
      <c r="E12124" s="10"/>
      <c r="F12124" s="69"/>
      <c r="G12124" s="68"/>
      <c r="H12124" s="70"/>
      <c r="BA12124" s="4"/>
      <c r="BB12124" s="4"/>
    </row>
    <row r="12125" spans="1:54" x14ac:dyDescent="0.3">
      <c r="A12125" s="66"/>
      <c r="B12125" s="67"/>
      <c r="C12125" s="66"/>
      <c r="D12125" s="68"/>
      <c r="E12125" s="10"/>
      <c r="F12125" s="69"/>
      <c r="G12125" s="68"/>
      <c r="H12125" s="70"/>
      <c r="BA12125" s="4"/>
      <c r="BB12125" s="4"/>
    </row>
    <row r="12126" spans="1:54" x14ac:dyDescent="0.3">
      <c r="A12126" s="66"/>
      <c r="B12126" s="67"/>
      <c r="C12126" s="66"/>
      <c r="D12126" s="68"/>
      <c r="E12126" s="10"/>
      <c r="F12126" s="69"/>
      <c r="G12126" s="68"/>
      <c r="H12126" s="70"/>
      <c r="BA12126" s="4"/>
      <c r="BB12126" s="4"/>
    </row>
    <row r="12127" spans="1:54" x14ac:dyDescent="0.3">
      <c r="A12127" s="66"/>
      <c r="B12127" s="67"/>
      <c r="C12127" s="66"/>
      <c r="D12127" s="68"/>
      <c r="E12127" s="10"/>
      <c r="F12127" s="69"/>
      <c r="G12127" s="68"/>
      <c r="H12127" s="70"/>
      <c r="BA12127" s="4"/>
      <c r="BB12127" s="4"/>
    </row>
    <row r="12128" spans="1:54" x14ac:dyDescent="0.3">
      <c r="A12128" s="66"/>
      <c r="B12128" s="67"/>
      <c r="C12128" s="66"/>
      <c r="D12128" s="68"/>
      <c r="E12128" s="10"/>
      <c r="F12128" s="69"/>
      <c r="G12128" s="68"/>
      <c r="H12128" s="70"/>
      <c r="BA12128" s="4"/>
      <c r="BB12128" s="4"/>
    </row>
    <row r="12129" spans="1:54" x14ac:dyDescent="0.3">
      <c r="A12129" s="66"/>
      <c r="B12129" s="67"/>
      <c r="C12129" s="66"/>
      <c r="D12129" s="68"/>
      <c r="E12129" s="10"/>
      <c r="F12129" s="69"/>
      <c r="G12129" s="68"/>
      <c r="H12129" s="70"/>
      <c r="BA12129" s="4"/>
      <c r="BB12129" s="4"/>
    </row>
    <row r="12130" spans="1:54" x14ac:dyDescent="0.3">
      <c r="A12130" s="66"/>
      <c r="B12130" s="67"/>
      <c r="C12130" s="66"/>
      <c r="D12130" s="68"/>
      <c r="E12130" s="10"/>
      <c r="F12130" s="69"/>
      <c r="G12130" s="68"/>
      <c r="H12130" s="70"/>
      <c r="BA12130" s="4"/>
      <c r="BB12130" s="4"/>
    </row>
    <row r="12131" spans="1:54" x14ac:dyDescent="0.3">
      <c r="A12131" s="66"/>
      <c r="B12131" s="67"/>
      <c r="C12131" s="66"/>
      <c r="D12131" s="68"/>
      <c r="E12131" s="10"/>
      <c r="F12131" s="69"/>
      <c r="G12131" s="68"/>
      <c r="H12131" s="70"/>
      <c r="BA12131" s="4"/>
      <c r="BB12131" s="4"/>
    </row>
    <row r="12132" spans="1:54" x14ac:dyDescent="0.3">
      <c r="A12132" s="66"/>
      <c r="B12132" s="67"/>
      <c r="C12132" s="66"/>
      <c r="D12132" s="68"/>
      <c r="E12132" s="10"/>
      <c r="F12132" s="69"/>
      <c r="G12132" s="68"/>
      <c r="H12132" s="70"/>
      <c r="BA12132" s="4"/>
      <c r="BB12132" s="4"/>
    </row>
    <row r="12133" spans="1:54" x14ac:dyDescent="0.3">
      <c r="A12133" s="66"/>
      <c r="B12133" s="67"/>
      <c r="C12133" s="66"/>
      <c r="D12133" s="68"/>
      <c r="E12133" s="10"/>
      <c r="F12133" s="69"/>
      <c r="G12133" s="68"/>
      <c r="H12133" s="70"/>
      <c r="BA12133" s="4"/>
      <c r="BB12133" s="4"/>
    </row>
    <row r="12134" spans="1:54" x14ac:dyDescent="0.3">
      <c r="A12134" s="66"/>
      <c r="B12134" s="67"/>
      <c r="C12134" s="66"/>
      <c r="D12134" s="68"/>
      <c r="E12134" s="10"/>
      <c r="F12134" s="69"/>
      <c r="G12134" s="68"/>
      <c r="H12134" s="70"/>
      <c r="BA12134" s="4"/>
      <c r="BB12134" s="4"/>
    </row>
    <row r="12135" spans="1:54" x14ac:dyDescent="0.3">
      <c r="A12135" s="66"/>
      <c r="B12135" s="67"/>
      <c r="C12135" s="66"/>
      <c r="D12135" s="68"/>
      <c r="E12135" s="10"/>
      <c r="F12135" s="69"/>
      <c r="G12135" s="68"/>
      <c r="H12135" s="70"/>
      <c r="BA12135" s="4"/>
      <c r="BB12135" s="4"/>
    </row>
    <row r="12136" spans="1:54" x14ac:dyDescent="0.3">
      <c r="A12136" s="66"/>
      <c r="B12136" s="67"/>
      <c r="C12136" s="66"/>
      <c r="D12136" s="68"/>
      <c r="E12136" s="10"/>
      <c r="F12136" s="69"/>
      <c r="G12136" s="68"/>
      <c r="H12136" s="70"/>
      <c r="BA12136" s="4"/>
      <c r="BB12136" s="4"/>
    </row>
    <row r="12137" spans="1:54" x14ac:dyDescent="0.3">
      <c r="A12137" s="66"/>
      <c r="B12137" s="67"/>
      <c r="C12137" s="66"/>
      <c r="D12137" s="68"/>
      <c r="E12137" s="10"/>
      <c r="F12137" s="69"/>
      <c r="G12137" s="68"/>
      <c r="H12137" s="70"/>
      <c r="BA12137" s="4"/>
      <c r="BB12137" s="4"/>
    </row>
    <row r="12138" spans="1:54" x14ac:dyDescent="0.3">
      <c r="A12138" s="66"/>
      <c r="B12138" s="67"/>
      <c r="C12138" s="66"/>
      <c r="D12138" s="68"/>
      <c r="E12138" s="10"/>
      <c r="F12138" s="69"/>
      <c r="G12138" s="68"/>
      <c r="H12138" s="70"/>
      <c r="BA12138" s="4"/>
      <c r="BB12138" s="4"/>
    </row>
    <row r="12139" spans="1:54" x14ac:dyDescent="0.3">
      <c r="A12139" s="66"/>
      <c r="B12139" s="67"/>
      <c r="C12139" s="66"/>
      <c r="D12139" s="68"/>
      <c r="E12139" s="10"/>
      <c r="F12139" s="69"/>
      <c r="G12139" s="68"/>
      <c r="H12139" s="70"/>
      <c r="BA12139" s="4"/>
      <c r="BB12139" s="4"/>
    </row>
    <row r="12140" spans="1:54" x14ac:dyDescent="0.3">
      <c r="A12140" s="66"/>
      <c r="B12140" s="67"/>
      <c r="C12140" s="66"/>
      <c r="D12140" s="68"/>
      <c r="E12140" s="10"/>
      <c r="F12140" s="69"/>
      <c r="G12140" s="68"/>
      <c r="H12140" s="70"/>
      <c r="BA12140" s="4"/>
      <c r="BB12140" s="4"/>
    </row>
    <row r="12141" spans="1:54" x14ac:dyDescent="0.3">
      <c r="A12141" s="66"/>
      <c r="B12141" s="67"/>
      <c r="C12141" s="66"/>
      <c r="D12141" s="68"/>
      <c r="E12141" s="10"/>
      <c r="F12141" s="69"/>
      <c r="G12141" s="68"/>
      <c r="H12141" s="70"/>
      <c r="BA12141" s="4"/>
      <c r="BB12141" s="4"/>
    </row>
    <row r="12142" spans="1:54" x14ac:dyDescent="0.3">
      <c r="A12142" s="66"/>
      <c r="B12142" s="67"/>
      <c r="C12142" s="66"/>
      <c r="D12142" s="68"/>
      <c r="E12142" s="10"/>
      <c r="F12142" s="69"/>
      <c r="G12142" s="68"/>
      <c r="H12142" s="70"/>
      <c r="BA12142" s="4"/>
      <c r="BB12142" s="4"/>
    </row>
    <row r="12143" spans="1:54" x14ac:dyDescent="0.3">
      <c r="A12143" s="66"/>
      <c r="B12143" s="67"/>
      <c r="C12143" s="66"/>
      <c r="D12143" s="68"/>
      <c r="E12143" s="10"/>
      <c r="F12143" s="69"/>
      <c r="G12143" s="68"/>
      <c r="H12143" s="70"/>
      <c r="BA12143" s="4"/>
      <c r="BB12143" s="4"/>
    </row>
    <row r="12144" spans="1:54" x14ac:dyDescent="0.3">
      <c r="A12144" s="66"/>
      <c r="B12144" s="67"/>
      <c r="C12144" s="66"/>
      <c r="D12144" s="68"/>
      <c r="E12144" s="10"/>
      <c r="F12144" s="69"/>
      <c r="G12144" s="68"/>
      <c r="H12144" s="70"/>
      <c r="BA12144" s="4"/>
      <c r="BB12144" s="4"/>
    </row>
    <row r="12145" spans="1:54" x14ac:dyDescent="0.3">
      <c r="A12145" s="66"/>
      <c r="B12145" s="67"/>
      <c r="C12145" s="66"/>
      <c r="D12145" s="68"/>
      <c r="E12145" s="10"/>
      <c r="F12145" s="69"/>
      <c r="G12145" s="68"/>
      <c r="H12145" s="70"/>
      <c r="BA12145" s="4"/>
      <c r="BB12145" s="4"/>
    </row>
    <row r="12146" spans="1:54" x14ac:dyDescent="0.3">
      <c r="A12146" s="66"/>
      <c r="B12146" s="67"/>
      <c r="C12146" s="66"/>
      <c r="D12146" s="68"/>
      <c r="E12146" s="10"/>
      <c r="F12146" s="69"/>
      <c r="G12146" s="68"/>
      <c r="H12146" s="70"/>
      <c r="BA12146" s="4"/>
      <c r="BB12146" s="4"/>
    </row>
    <row r="12147" spans="1:54" x14ac:dyDescent="0.3">
      <c r="A12147" s="66"/>
      <c r="B12147" s="67"/>
      <c r="C12147" s="66"/>
      <c r="D12147" s="68"/>
      <c r="E12147" s="10"/>
      <c r="F12147" s="69"/>
      <c r="G12147" s="68"/>
      <c r="H12147" s="70"/>
      <c r="BA12147" s="4"/>
      <c r="BB12147" s="4"/>
    </row>
    <row r="12148" spans="1:54" x14ac:dyDescent="0.3">
      <c r="A12148" s="66"/>
      <c r="B12148" s="67"/>
      <c r="C12148" s="66"/>
      <c r="D12148" s="68"/>
      <c r="E12148" s="10"/>
      <c r="F12148" s="69"/>
      <c r="G12148" s="68"/>
      <c r="H12148" s="70"/>
      <c r="BA12148" s="4"/>
      <c r="BB12148" s="4"/>
    </row>
    <row r="12149" spans="1:54" x14ac:dyDescent="0.3">
      <c r="A12149" s="66"/>
      <c r="B12149" s="67"/>
      <c r="C12149" s="66"/>
      <c r="D12149" s="68"/>
      <c r="E12149" s="10"/>
      <c r="F12149" s="69"/>
      <c r="G12149" s="68"/>
      <c r="H12149" s="70"/>
      <c r="BA12149" s="4"/>
      <c r="BB12149" s="4"/>
    </row>
    <row r="12150" spans="1:54" x14ac:dyDescent="0.3">
      <c r="A12150" s="66"/>
      <c r="B12150" s="67"/>
      <c r="C12150" s="66"/>
      <c r="D12150" s="68"/>
      <c r="E12150" s="10"/>
      <c r="F12150" s="69"/>
      <c r="G12150" s="68"/>
      <c r="H12150" s="70"/>
      <c r="BA12150" s="4"/>
      <c r="BB12150" s="4"/>
    </row>
    <row r="12151" spans="1:54" x14ac:dyDescent="0.3">
      <c r="A12151" s="66"/>
      <c r="B12151" s="67"/>
      <c r="C12151" s="66"/>
      <c r="D12151" s="68"/>
      <c r="E12151" s="10"/>
      <c r="F12151" s="69"/>
      <c r="G12151" s="68"/>
      <c r="H12151" s="70"/>
      <c r="BA12151" s="4"/>
      <c r="BB12151" s="4"/>
    </row>
    <row r="12152" spans="1:54" x14ac:dyDescent="0.3">
      <c r="A12152" s="66"/>
      <c r="B12152" s="67"/>
      <c r="C12152" s="66"/>
      <c r="D12152" s="68"/>
      <c r="E12152" s="10"/>
      <c r="F12152" s="69"/>
      <c r="G12152" s="68"/>
      <c r="H12152" s="70"/>
      <c r="BA12152" s="4"/>
      <c r="BB12152" s="4"/>
    </row>
    <row r="12153" spans="1:54" x14ac:dyDescent="0.3">
      <c r="A12153" s="66"/>
      <c r="B12153" s="67"/>
      <c r="C12153" s="66"/>
      <c r="D12153" s="68"/>
      <c r="E12153" s="10"/>
      <c r="F12153" s="69"/>
      <c r="G12153" s="68"/>
      <c r="H12153" s="70"/>
      <c r="BA12153" s="4"/>
      <c r="BB12153" s="4"/>
    </row>
    <row r="12154" spans="1:54" x14ac:dyDescent="0.3">
      <c r="A12154" s="66"/>
      <c r="B12154" s="67"/>
      <c r="C12154" s="66"/>
      <c r="D12154" s="68"/>
      <c r="E12154" s="10"/>
      <c r="F12154" s="69"/>
      <c r="G12154" s="68"/>
      <c r="H12154" s="70"/>
      <c r="BA12154" s="4"/>
      <c r="BB12154" s="4"/>
    </row>
    <row r="12155" spans="1:54" x14ac:dyDescent="0.3">
      <c r="A12155" s="66"/>
      <c r="B12155" s="67"/>
      <c r="C12155" s="66"/>
      <c r="D12155" s="68"/>
      <c r="E12155" s="10"/>
      <c r="F12155" s="69"/>
      <c r="G12155" s="68"/>
      <c r="H12155" s="70"/>
      <c r="BA12155" s="4"/>
      <c r="BB12155" s="4"/>
    </row>
    <row r="12156" spans="1:54" x14ac:dyDescent="0.3">
      <c r="A12156" s="66"/>
      <c r="B12156" s="67"/>
      <c r="C12156" s="66"/>
      <c r="D12156" s="68"/>
      <c r="E12156" s="10"/>
      <c r="F12156" s="69"/>
      <c r="G12156" s="68"/>
      <c r="H12156" s="70"/>
      <c r="BA12156" s="4"/>
      <c r="BB12156" s="4"/>
    </row>
    <row r="12157" spans="1:54" x14ac:dyDescent="0.3">
      <c r="A12157" s="66"/>
      <c r="B12157" s="67"/>
      <c r="C12157" s="66"/>
      <c r="D12157" s="68"/>
      <c r="E12157" s="10"/>
      <c r="F12157" s="69"/>
      <c r="G12157" s="68"/>
      <c r="H12157" s="70"/>
      <c r="BA12157" s="4"/>
      <c r="BB12157" s="4"/>
    </row>
    <row r="12158" spans="1:54" x14ac:dyDescent="0.3">
      <c r="A12158" s="66"/>
      <c r="B12158" s="67"/>
      <c r="C12158" s="66"/>
      <c r="D12158" s="68"/>
      <c r="E12158" s="10"/>
      <c r="F12158" s="69"/>
      <c r="G12158" s="68"/>
      <c r="H12158" s="70"/>
      <c r="BA12158" s="4"/>
      <c r="BB12158" s="4"/>
    </row>
    <row r="12159" spans="1:54" x14ac:dyDescent="0.3">
      <c r="A12159" s="66"/>
      <c r="B12159" s="67"/>
      <c r="C12159" s="66"/>
      <c r="D12159" s="68"/>
      <c r="E12159" s="10"/>
      <c r="F12159" s="69"/>
      <c r="G12159" s="68"/>
      <c r="H12159" s="70"/>
      <c r="BA12159" s="4"/>
      <c r="BB12159" s="4"/>
    </row>
    <row r="12160" spans="1:54" x14ac:dyDescent="0.3">
      <c r="A12160" s="66"/>
      <c r="B12160" s="67"/>
      <c r="C12160" s="66"/>
      <c r="D12160" s="68"/>
      <c r="E12160" s="10"/>
      <c r="F12160" s="69"/>
      <c r="G12160" s="68"/>
      <c r="H12160" s="70"/>
      <c r="BA12160" s="4"/>
      <c r="BB12160" s="4"/>
    </row>
    <row r="12161" spans="1:54" x14ac:dyDescent="0.3">
      <c r="A12161" s="66"/>
      <c r="B12161" s="67"/>
      <c r="C12161" s="66"/>
      <c r="D12161" s="68"/>
      <c r="E12161" s="10"/>
      <c r="F12161" s="69"/>
      <c r="G12161" s="68"/>
      <c r="H12161" s="70"/>
      <c r="BA12161" s="4"/>
      <c r="BB12161" s="4"/>
    </row>
    <row r="12162" spans="1:54" x14ac:dyDescent="0.3">
      <c r="A12162" s="66"/>
      <c r="B12162" s="67"/>
      <c r="C12162" s="66"/>
      <c r="D12162" s="68"/>
      <c r="E12162" s="10"/>
      <c r="F12162" s="69"/>
      <c r="G12162" s="68"/>
      <c r="H12162" s="70"/>
      <c r="BA12162" s="4"/>
      <c r="BB12162" s="4"/>
    </row>
    <row r="12163" spans="1:54" x14ac:dyDescent="0.3">
      <c r="A12163" s="66"/>
      <c r="B12163" s="67"/>
      <c r="C12163" s="66"/>
      <c r="D12163" s="68"/>
      <c r="E12163" s="10"/>
      <c r="F12163" s="69"/>
      <c r="G12163" s="68"/>
      <c r="H12163" s="70"/>
      <c r="BA12163" s="4"/>
      <c r="BB12163" s="4"/>
    </row>
    <row r="12164" spans="1:54" x14ac:dyDescent="0.3">
      <c r="A12164" s="66"/>
      <c r="B12164" s="67"/>
      <c r="C12164" s="66"/>
      <c r="D12164" s="68"/>
      <c r="E12164" s="10"/>
      <c r="F12164" s="69"/>
      <c r="G12164" s="68"/>
      <c r="H12164" s="70"/>
      <c r="BA12164" s="4"/>
      <c r="BB12164" s="4"/>
    </row>
    <row r="12165" spans="1:54" x14ac:dyDescent="0.3">
      <c r="A12165" s="66"/>
      <c r="B12165" s="67"/>
      <c r="C12165" s="66"/>
      <c r="D12165" s="68"/>
      <c r="E12165" s="10"/>
      <c r="F12165" s="69"/>
      <c r="G12165" s="68"/>
      <c r="H12165" s="70"/>
      <c r="BA12165" s="4"/>
      <c r="BB12165" s="4"/>
    </row>
    <row r="12166" spans="1:54" x14ac:dyDescent="0.3">
      <c r="A12166" s="66"/>
      <c r="B12166" s="67"/>
      <c r="C12166" s="66"/>
      <c r="D12166" s="68"/>
      <c r="E12166" s="10"/>
      <c r="F12166" s="69"/>
      <c r="G12166" s="68"/>
      <c r="H12166" s="70"/>
      <c r="BA12166" s="4"/>
      <c r="BB12166" s="4"/>
    </row>
    <row r="12167" spans="1:54" x14ac:dyDescent="0.3">
      <c r="A12167" s="66"/>
      <c r="B12167" s="67"/>
      <c r="C12167" s="66"/>
      <c r="D12167" s="68"/>
      <c r="E12167" s="10"/>
      <c r="F12167" s="69"/>
      <c r="G12167" s="68"/>
      <c r="H12167" s="70"/>
      <c r="BA12167" s="4"/>
      <c r="BB12167" s="4"/>
    </row>
    <row r="12168" spans="1:54" x14ac:dyDescent="0.3">
      <c r="A12168" s="66"/>
      <c r="B12168" s="67"/>
      <c r="C12168" s="66"/>
      <c r="D12168" s="68"/>
      <c r="E12168" s="10"/>
      <c r="F12168" s="69"/>
      <c r="G12168" s="68"/>
      <c r="H12168" s="70"/>
      <c r="BA12168" s="4"/>
      <c r="BB12168" s="4"/>
    </row>
    <row r="12169" spans="1:54" x14ac:dyDescent="0.3">
      <c r="A12169" s="66"/>
      <c r="B12169" s="67"/>
      <c r="C12169" s="66"/>
      <c r="D12169" s="68"/>
      <c r="E12169" s="10"/>
      <c r="F12169" s="69"/>
      <c r="G12169" s="68"/>
      <c r="H12169" s="70"/>
      <c r="BA12169" s="4"/>
      <c r="BB12169" s="4"/>
    </row>
    <row r="12170" spans="1:54" x14ac:dyDescent="0.3">
      <c r="A12170" s="66"/>
      <c r="B12170" s="67"/>
      <c r="C12170" s="66"/>
      <c r="D12170" s="68"/>
      <c r="E12170" s="10"/>
      <c r="F12170" s="69"/>
      <c r="G12170" s="68"/>
      <c r="H12170" s="70"/>
      <c r="BA12170" s="4"/>
      <c r="BB12170" s="4"/>
    </row>
    <row r="12171" spans="1:54" x14ac:dyDescent="0.3">
      <c r="A12171" s="66"/>
      <c r="B12171" s="67"/>
      <c r="C12171" s="66"/>
      <c r="D12171" s="68"/>
      <c r="E12171" s="10"/>
      <c r="F12171" s="69"/>
      <c r="G12171" s="68"/>
      <c r="H12171" s="70"/>
      <c r="BA12171" s="4"/>
      <c r="BB12171" s="4"/>
    </row>
    <row r="12172" spans="1:54" x14ac:dyDescent="0.3">
      <c r="A12172" s="66"/>
      <c r="B12172" s="67"/>
      <c r="C12172" s="66"/>
      <c r="D12172" s="68"/>
      <c r="E12172" s="10"/>
      <c r="F12172" s="69"/>
      <c r="G12172" s="68"/>
      <c r="H12172" s="70"/>
      <c r="BA12172" s="4"/>
      <c r="BB12172" s="4"/>
    </row>
    <row r="12173" spans="1:54" x14ac:dyDescent="0.3">
      <c r="A12173" s="66"/>
      <c r="B12173" s="67"/>
      <c r="C12173" s="66"/>
      <c r="D12173" s="68"/>
      <c r="E12173" s="10"/>
      <c r="F12173" s="69"/>
      <c r="G12173" s="68"/>
      <c r="H12173" s="70"/>
      <c r="BA12173" s="4"/>
      <c r="BB12173" s="4"/>
    </row>
    <row r="12174" spans="1:54" x14ac:dyDescent="0.3">
      <c r="A12174" s="66"/>
      <c r="B12174" s="67"/>
      <c r="C12174" s="66"/>
      <c r="D12174" s="68"/>
      <c r="E12174" s="10"/>
      <c r="F12174" s="69"/>
      <c r="G12174" s="68"/>
      <c r="H12174" s="70"/>
      <c r="BA12174" s="4"/>
      <c r="BB12174" s="4"/>
    </row>
    <row r="12175" spans="1:54" x14ac:dyDescent="0.3">
      <c r="A12175" s="66"/>
      <c r="B12175" s="67"/>
      <c r="C12175" s="66"/>
      <c r="D12175" s="68"/>
      <c r="E12175" s="10"/>
      <c r="F12175" s="69"/>
      <c r="G12175" s="68"/>
      <c r="H12175" s="70"/>
      <c r="BA12175" s="4"/>
      <c r="BB12175" s="4"/>
    </row>
    <row r="12176" spans="1:54" x14ac:dyDescent="0.3">
      <c r="A12176" s="66"/>
      <c r="B12176" s="67"/>
      <c r="C12176" s="66"/>
      <c r="D12176" s="68"/>
      <c r="E12176" s="10"/>
      <c r="F12176" s="69"/>
      <c r="G12176" s="68"/>
      <c r="H12176" s="70"/>
      <c r="BA12176" s="4"/>
      <c r="BB12176" s="4"/>
    </row>
    <row r="12177" spans="1:54" x14ac:dyDescent="0.3">
      <c r="A12177" s="66"/>
      <c r="B12177" s="67"/>
      <c r="C12177" s="66"/>
      <c r="D12177" s="68"/>
      <c r="E12177" s="10"/>
      <c r="F12177" s="69"/>
      <c r="G12177" s="68"/>
      <c r="H12177" s="70"/>
      <c r="BA12177" s="4"/>
      <c r="BB12177" s="4"/>
    </row>
    <row r="12178" spans="1:54" x14ac:dyDescent="0.3">
      <c r="A12178" s="66"/>
      <c r="B12178" s="67"/>
      <c r="C12178" s="66"/>
      <c r="D12178" s="68"/>
      <c r="E12178" s="10"/>
      <c r="F12178" s="69"/>
      <c r="G12178" s="68"/>
      <c r="H12178" s="70"/>
      <c r="BA12178" s="4"/>
      <c r="BB12178" s="4"/>
    </row>
    <row r="12179" spans="1:54" x14ac:dyDescent="0.3">
      <c r="A12179" s="66"/>
      <c r="B12179" s="67"/>
      <c r="C12179" s="66"/>
      <c r="D12179" s="68"/>
      <c r="E12179" s="10"/>
      <c r="F12179" s="69"/>
      <c r="G12179" s="68"/>
      <c r="H12179" s="70"/>
      <c r="BA12179" s="4"/>
      <c r="BB12179" s="4"/>
    </row>
    <row r="12180" spans="1:54" x14ac:dyDescent="0.3">
      <c r="A12180" s="66"/>
      <c r="B12180" s="67"/>
      <c r="C12180" s="66"/>
      <c r="D12180" s="68"/>
      <c r="E12180" s="10"/>
      <c r="F12180" s="69"/>
      <c r="G12180" s="68"/>
      <c r="H12180" s="70"/>
      <c r="BA12180" s="4"/>
      <c r="BB12180" s="4"/>
    </row>
    <row r="12181" spans="1:54" x14ac:dyDescent="0.3">
      <c r="A12181" s="66"/>
      <c r="B12181" s="67"/>
      <c r="C12181" s="66"/>
      <c r="D12181" s="68"/>
      <c r="E12181" s="10"/>
      <c r="F12181" s="69"/>
      <c r="G12181" s="68"/>
      <c r="H12181" s="70"/>
      <c r="BA12181" s="4"/>
      <c r="BB12181" s="4"/>
    </row>
    <row r="12182" spans="1:54" x14ac:dyDescent="0.3">
      <c r="A12182" s="66"/>
      <c r="B12182" s="67"/>
      <c r="C12182" s="66"/>
      <c r="D12182" s="68"/>
      <c r="E12182" s="10"/>
      <c r="F12182" s="69"/>
      <c r="G12182" s="68"/>
      <c r="H12182" s="70"/>
      <c r="BA12182" s="4"/>
      <c r="BB12182" s="4"/>
    </row>
    <row r="12183" spans="1:54" x14ac:dyDescent="0.3">
      <c r="A12183" s="66"/>
      <c r="B12183" s="67"/>
      <c r="C12183" s="66"/>
      <c r="D12183" s="68"/>
      <c r="E12183" s="10"/>
      <c r="F12183" s="69"/>
      <c r="G12183" s="68"/>
      <c r="H12183" s="70"/>
      <c r="BA12183" s="4"/>
      <c r="BB12183" s="4"/>
    </row>
    <row r="12184" spans="1:54" x14ac:dyDescent="0.3">
      <c r="A12184" s="66"/>
      <c r="B12184" s="67"/>
      <c r="C12184" s="66"/>
      <c r="D12184" s="68"/>
      <c r="E12184" s="10"/>
      <c r="F12184" s="69"/>
      <c r="G12184" s="68"/>
      <c r="H12184" s="70"/>
      <c r="BA12184" s="4"/>
      <c r="BB12184" s="4"/>
    </row>
    <row r="12185" spans="1:54" x14ac:dyDescent="0.3">
      <c r="A12185" s="66"/>
      <c r="B12185" s="67"/>
      <c r="C12185" s="66"/>
      <c r="D12185" s="68"/>
      <c r="E12185" s="10"/>
      <c r="F12185" s="69"/>
      <c r="G12185" s="68"/>
      <c r="H12185" s="70"/>
      <c r="BA12185" s="4"/>
      <c r="BB12185" s="4"/>
    </row>
    <row r="12186" spans="1:54" x14ac:dyDescent="0.3">
      <c r="A12186" s="66"/>
      <c r="B12186" s="67"/>
      <c r="C12186" s="66"/>
      <c r="D12186" s="68"/>
      <c r="E12186" s="10"/>
      <c r="F12186" s="69"/>
      <c r="G12186" s="68"/>
      <c r="H12186" s="70"/>
      <c r="BA12186" s="4"/>
      <c r="BB12186" s="4"/>
    </row>
    <row r="12187" spans="1:54" x14ac:dyDescent="0.3">
      <c r="A12187" s="66"/>
      <c r="B12187" s="67"/>
      <c r="C12187" s="66"/>
      <c r="D12187" s="68"/>
      <c r="E12187" s="10"/>
      <c r="F12187" s="69"/>
      <c r="G12187" s="68"/>
      <c r="H12187" s="70"/>
      <c r="BA12187" s="4"/>
      <c r="BB12187" s="4"/>
    </row>
    <row r="12188" spans="1:54" x14ac:dyDescent="0.3">
      <c r="A12188" s="66"/>
      <c r="B12188" s="67"/>
      <c r="C12188" s="66"/>
      <c r="D12188" s="68"/>
      <c r="E12188" s="10"/>
      <c r="F12188" s="69"/>
      <c r="G12188" s="68"/>
      <c r="H12188" s="70"/>
      <c r="BA12188" s="4"/>
      <c r="BB12188" s="4"/>
    </row>
    <row r="12189" spans="1:54" x14ac:dyDescent="0.3">
      <c r="A12189" s="66"/>
      <c r="B12189" s="67"/>
      <c r="C12189" s="66"/>
      <c r="D12189" s="68"/>
      <c r="E12189" s="10"/>
      <c r="F12189" s="69"/>
      <c r="G12189" s="68"/>
      <c r="H12189" s="70"/>
      <c r="BA12189" s="4"/>
      <c r="BB12189" s="4"/>
    </row>
    <row r="12190" spans="1:54" x14ac:dyDescent="0.3">
      <c r="A12190" s="66"/>
      <c r="B12190" s="67"/>
      <c r="C12190" s="66"/>
      <c r="D12190" s="68"/>
      <c r="E12190" s="10"/>
      <c r="F12190" s="69"/>
      <c r="G12190" s="68"/>
      <c r="H12190" s="70"/>
      <c r="BA12190" s="4"/>
      <c r="BB12190" s="4"/>
    </row>
    <row r="12191" spans="1:54" x14ac:dyDescent="0.3">
      <c r="A12191" s="66"/>
      <c r="B12191" s="67"/>
      <c r="C12191" s="66"/>
      <c r="D12191" s="68"/>
      <c r="E12191" s="10"/>
      <c r="F12191" s="69"/>
      <c r="G12191" s="68"/>
      <c r="H12191" s="70"/>
      <c r="BA12191" s="4"/>
      <c r="BB12191" s="4"/>
    </row>
    <row r="12192" spans="1:54" x14ac:dyDescent="0.3">
      <c r="A12192" s="66"/>
      <c r="B12192" s="67"/>
      <c r="C12192" s="66"/>
      <c r="D12192" s="68"/>
      <c r="E12192" s="10"/>
      <c r="F12192" s="69"/>
      <c r="G12192" s="68"/>
      <c r="H12192" s="70"/>
      <c r="BA12192" s="4"/>
      <c r="BB12192" s="4"/>
    </row>
    <row r="12193" spans="1:54" x14ac:dyDescent="0.3">
      <c r="A12193" s="66"/>
      <c r="B12193" s="67"/>
      <c r="C12193" s="66"/>
      <c r="D12193" s="68"/>
      <c r="E12193" s="10"/>
      <c r="F12193" s="69"/>
      <c r="G12193" s="68"/>
      <c r="H12193" s="70"/>
      <c r="BA12193" s="4"/>
      <c r="BB12193" s="4"/>
    </row>
    <row r="12194" spans="1:54" x14ac:dyDescent="0.3">
      <c r="A12194" s="66"/>
      <c r="B12194" s="67"/>
      <c r="C12194" s="66"/>
      <c r="D12194" s="68"/>
      <c r="E12194" s="10"/>
      <c r="F12194" s="69"/>
      <c r="G12194" s="68"/>
      <c r="H12194" s="70"/>
      <c r="BA12194" s="4"/>
      <c r="BB12194" s="4"/>
    </row>
    <row r="12195" spans="1:54" x14ac:dyDescent="0.3">
      <c r="A12195" s="66"/>
      <c r="B12195" s="67"/>
      <c r="C12195" s="66"/>
      <c r="D12195" s="68"/>
      <c r="E12195" s="10"/>
      <c r="F12195" s="69"/>
      <c r="G12195" s="68"/>
      <c r="H12195" s="70"/>
      <c r="BA12195" s="4"/>
      <c r="BB12195" s="4"/>
    </row>
    <row r="12196" spans="1:54" x14ac:dyDescent="0.3">
      <c r="A12196" s="66"/>
      <c r="B12196" s="67"/>
      <c r="C12196" s="66"/>
      <c r="D12196" s="68"/>
      <c r="E12196" s="10"/>
      <c r="F12196" s="69"/>
      <c r="G12196" s="68"/>
      <c r="H12196" s="70"/>
      <c r="BA12196" s="4"/>
      <c r="BB12196" s="4"/>
    </row>
    <row r="12197" spans="1:54" x14ac:dyDescent="0.3">
      <c r="A12197" s="66"/>
      <c r="B12197" s="67"/>
      <c r="C12197" s="66"/>
      <c r="D12197" s="68"/>
      <c r="E12197" s="10"/>
      <c r="F12197" s="69"/>
      <c r="G12197" s="68"/>
      <c r="H12197" s="70"/>
      <c r="BA12197" s="4"/>
      <c r="BB12197" s="4"/>
    </row>
    <row r="12198" spans="1:54" x14ac:dyDescent="0.3">
      <c r="A12198" s="66"/>
      <c r="B12198" s="67"/>
      <c r="C12198" s="66"/>
      <c r="D12198" s="68"/>
      <c r="E12198" s="10"/>
      <c r="F12198" s="69"/>
      <c r="G12198" s="68"/>
      <c r="H12198" s="70"/>
      <c r="BA12198" s="4"/>
      <c r="BB12198" s="4"/>
    </row>
    <row r="12199" spans="1:54" x14ac:dyDescent="0.3">
      <c r="A12199" s="66"/>
      <c r="B12199" s="67"/>
      <c r="C12199" s="66"/>
      <c r="D12199" s="68"/>
      <c r="E12199" s="10"/>
      <c r="F12199" s="69"/>
      <c r="G12199" s="68"/>
      <c r="H12199" s="70"/>
      <c r="BA12199" s="4"/>
      <c r="BB12199" s="4"/>
    </row>
    <row r="12200" spans="1:54" x14ac:dyDescent="0.3">
      <c r="A12200" s="66"/>
      <c r="B12200" s="67"/>
      <c r="C12200" s="66"/>
      <c r="D12200" s="68"/>
      <c r="E12200" s="10"/>
      <c r="F12200" s="69"/>
      <c r="G12200" s="68"/>
      <c r="H12200" s="70"/>
      <c r="BA12200" s="4"/>
      <c r="BB12200" s="4"/>
    </row>
    <row r="12201" spans="1:54" x14ac:dyDescent="0.3">
      <c r="A12201" s="66"/>
      <c r="B12201" s="67"/>
      <c r="C12201" s="66"/>
      <c r="D12201" s="68"/>
      <c r="E12201" s="10"/>
      <c r="F12201" s="69"/>
      <c r="G12201" s="68"/>
      <c r="H12201" s="70"/>
      <c r="BA12201" s="4"/>
      <c r="BB12201" s="4"/>
    </row>
    <row r="12202" spans="1:54" x14ac:dyDescent="0.3">
      <c r="A12202" s="66"/>
      <c r="B12202" s="67"/>
      <c r="C12202" s="66"/>
      <c r="D12202" s="68"/>
      <c r="E12202" s="10"/>
      <c r="F12202" s="69"/>
      <c r="G12202" s="68"/>
      <c r="H12202" s="70"/>
      <c r="BA12202" s="4"/>
      <c r="BB12202" s="4"/>
    </row>
    <row r="12203" spans="1:54" x14ac:dyDescent="0.3">
      <c r="A12203" s="66"/>
      <c r="B12203" s="67"/>
      <c r="C12203" s="66"/>
      <c r="D12203" s="68"/>
      <c r="E12203" s="10"/>
      <c r="F12203" s="69"/>
      <c r="G12203" s="68"/>
      <c r="H12203" s="70"/>
      <c r="BA12203" s="4"/>
      <c r="BB12203" s="4"/>
    </row>
    <row r="12204" spans="1:54" x14ac:dyDescent="0.3">
      <c r="A12204" s="66"/>
      <c r="B12204" s="67"/>
      <c r="C12204" s="66"/>
      <c r="D12204" s="68"/>
      <c r="E12204" s="10"/>
      <c r="F12204" s="69"/>
      <c r="G12204" s="68"/>
      <c r="H12204" s="70"/>
      <c r="BA12204" s="4"/>
      <c r="BB12204" s="4"/>
    </row>
    <row r="12205" spans="1:54" x14ac:dyDescent="0.3">
      <c r="A12205" s="66"/>
      <c r="B12205" s="67"/>
      <c r="C12205" s="66"/>
      <c r="D12205" s="68"/>
      <c r="E12205" s="10"/>
      <c r="F12205" s="69"/>
      <c r="G12205" s="68"/>
      <c r="H12205" s="70"/>
      <c r="BA12205" s="4"/>
      <c r="BB12205" s="4"/>
    </row>
    <row r="12206" spans="1:54" x14ac:dyDescent="0.3">
      <c r="A12206" s="66"/>
      <c r="B12206" s="67"/>
      <c r="C12206" s="66"/>
      <c r="D12206" s="68"/>
      <c r="E12206" s="10"/>
      <c r="F12206" s="69"/>
      <c r="G12206" s="68"/>
      <c r="H12206" s="70"/>
      <c r="BA12206" s="4"/>
      <c r="BB12206" s="4"/>
    </row>
    <row r="12207" spans="1:54" x14ac:dyDescent="0.3">
      <c r="A12207" s="66"/>
      <c r="B12207" s="67"/>
      <c r="C12207" s="66"/>
      <c r="D12207" s="68"/>
      <c r="E12207" s="10"/>
      <c r="F12207" s="69"/>
      <c r="G12207" s="68"/>
      <c r="H12207" s="70"/>
      <c r="BA12207" s="4"/>
      <c r="BB12207" s="4"/>
    </row>
    <row r="12208" spans="1:54" x14ac:dyDescent="0.3">
      <c r="A12208" s="66"/>
      <c r="B12208" s="67"/>
      <c r="C12208" s="66"/>
      <c r="D12208" s="68"/>
      <c r="E12208" s="10"/>
      <c r="F12208" s="69"/>
      <c r="G12208" s="68"/>
      <c r="H12208" s="70"/>
      <c r="BA12208" s="4"/>
      <c r="BB12208" s="4"/>
    </row>
    <row r="12209" spans="1:54" x14ac:dyDescent="0.3">
      <c r="A12209" s="66"/>
      <c r="B12209" s="67"/>
      <c r="C12209" s="66"/>
      <c r="D12209" s="68"/>
      <c r="E12209" s="10"/>
      <c r="F12209" s="69"/>
      <c r="G12209" s="68"/>
      <c r="H12209" s="70"/>
      <c r="BA12209" s="4"/>
      <c r="BB12209" s="4"/>
    </row>
    <row r="12210" spans="1:54" x14ac:dyDescent="0.3">
      <c r="A12210" s="66"/>
      <c r="B12210" s="67"/>
      <c r="C12210" s="66"/>
      <c r="D12210" s="68"/>
      <c r="E12210" s="10"/>
      <c r="F12210" s="69"/>
      <c r="G12210" s="68"/>
      <c r="H12210" s="70"/>
      <c r="BA12210" s="4"/>
      <c r="BB12210" s="4"/>
    </row>
    <row r="12211" spans="1:54" x14ac:dyDescent="0.3">
      <c r="A12211" s="66"/>
      <c r="B12211" s="67"/>
      <c r="C12211" s="66"/>
      <c r="D12211" s="68"/>
      <c r="E12211" s="10"/>
      <c r="F12211" s="69"/>
      <c r="G12211" s="68"/>
      <c r="H12211" s="70"/>
      <c r="BA12211" s="4"/>
      <c r="BB12211" s="4"/>
    </row>
    <row r="12212" spans="1:54" x14ac:dyDescent="0.3">
      <c r="A12212" s="66"/>
      <c r="B12212" s="67"/>
      <c r="C12212" s="66"/>
      <c r="D12212" s="68"/>
      <c r="E12212" s="10"/>
      <c r="F12212" s="69"/>
      <c r="G12212" s="68"/>
      <c r="H12212" s="70"/>
      <c r="BA12212" s="4"/>
      <c r="BB12212" s="4"/>
    </row>
    <row r="12213" spans="1:54" x14ac:dyDescent="0.3">
      <c r="A12213" s="66"/>
      <c r="B12213" s="67"/>
      <c r="C12213" s="66"/>
      <c r="D12213" s="68"/>
      <c r="E12213" s="10"/>
      <c r="F12213" s="69"/>
      <c r="G12213" s="68"/>
      <c r="H12213" s="70"/>
      <c r="BA12213" s="4"/>
      <c r="BB12213" s="4"/>
    </row>
    <row r="12214" spans="1:54" x14ac:dyDescent="0.3">
      <c r="A12214" s="66"/>
      <c r="B12214" s="67"/>
      <c r="C12214" s="66"/>
      <c r="D12214" s="68"/>
      <c r="E12214" s="10"/>
      <c r="F12214" s="69"/>
      <c r="G12214" s="68"/>
      <c r="H12214" s="70"/>
      <c r="BA12214" s="4"/>
      <c r="BB12214" s="4"/>
    </row>
    <row r="12215" spans="1:54" x14ac:dyDescent="0.3">
      <c r="A12215" s="66"/>
      <c r="B12215" s="67"/>
      <c r="C12215" s="66"/>
      <c r="D12215" s="68"/>
      <c r="E12215" s="10"/>
      <c r="F12215" s="69"/>
      <c r="G12215" s="68"/>
      <c r="H12215" s="70"/>
      <c r="BA12215" s="4"/>
      <c r="BB12215" s="4"/>
    </row>
    <row r="12216" spans="1:54" x14ac:dyDescent="0.3">
      <c r="A12216" s="66"/>
      <c r="B12216" s="67"/>
      <c r="C12216" s="66"/>
      <c r="D12216" s="68"/>
      <c r="E12216" s="10"/>
      <c r="F12216" s="69"/>
      <c r="G12216" s="68"/>
      <c r="H12216" s="70"/>
      <c r="BA12216" s="4"/>
      <c r="BB12216" s="4"/>
    </row>
    <row r="12217" spans="1:54" x14ac:dyDescent="0.3">
      <c r="A12217" s="66"/>
      <c r="B12217" s="67"/>
      <c r="C12217" s="66"/>
      <c r="D12217" s="68"/>
      <c r="E12217" s="10"/>
      <c r="F12217" s="69"/>
      <c r="G12217" s="68"/>
      <c r="H12217" s="70"/>
      <c r="BA12217" s="4"/>
      <c r="BB12217" s="4"/>
    </row>
    <row r="12218" spans="1:54" x14ac:dyDescent="0.3">
      <c r="A12218" s="66"/>
      <c r="B12218" s="67"/>
      <c r="C12218" s="66"/>
      <c r="D12218" s="68"/>
      <c r="E12218" s="10"/>
      <c r="F12218" s="69"/>
      <c r="G12218" s="68"/>
      <c r="H12218" s="70"/>
      <c r="BA12218" s="4"/>
      <c r="BB12218" s="4"/>
    </row>
    <row r="12219" spans="1:54" x14ac:dyDescent="0.3">
      <c r="A12219" s="66"/>
      <c r="B12219" s="67"/>
      <c r="C12219" s="66"/>
      <c r="D12219" s="68"/>
      <c r="E12219" s="10"/>
      <c r="F12219" s="69"/>
      <c r="G12219" s="68"/>
      <c r="H12219" s="70"/>
      <c r="BA12219" s="4"/>
      <c r="BB12219" s="4"/>
    </row>
    <row r="12220" spans="1:54" x14ac:dyDescent="0.3">
      <c r="A12220" s="66"/>
      <c r="B12220" s="67"/>
      <c r="C12220" s="66"/>
      <c r="D12220" s="68"/>
      <c r="E12220" s="10"/>
      <c r="F12220" s="69"/>
      <c r="G12220" s="68"/>
      <c r="H12220" s="70"/>
      <c r="BA12220" s="4"/>
      <c r="BB12220" s="4"/>
    </row>
    <row r="12221" spans="1:54" x14ac:dyDescent="0.3">
      <c r="A12221" s="66"/>
      <c r="B12221" s="67"/>
      <c r="C12221" s="66"/>
      <c r="D12221" s="68"/>
      <c r="E12221" s="10"/>
      <c r="F12221" s="69"/>
      <c r="G12221" s="68"/>
      <c r="H12221" s="70"/>
      <c r="BA12221" s="4"/>
      <c r="BB12221" s="4"/>
    </row>
    <row r="12222" spans="1:54" x14ac:dyDescent="0.3">
      <c r="A12222" s="66"/>
      <c r="B12222" s="67"/>
      <c r="C12222" s="66"/>
      <c r="D12222" s="68"/>
      <c r="E12222" s="10"/>
      <c r="F12222" s="69"/>
      <c r="G12222" s="68"/>
      <c r="H12222" s="70"/>
      <c r="BA12222" s="4"/>
      <c r="BB12222" s="4"/>
    </row>
    <row r="12223" spans="1:54" x14ac:dyDescent="0.3">
      <c r="A12223" s="66"/>
      <c r="B12223" s="67"/>
      <c r="C12223" s="66"/>
      <c r="D12223" s="68"/>
      <c r="E12223" s="10"/>
      <c r="F12223" s="69"/>
      <c r="G12223" s="68"/>
      <c r="H12223" s="70"/>
      <c r="BA12223" s="4"/>
      <c r="BB12223" s="4"/>
    </row>
    <row r="12224" spans="1:54" x14ac:dyDescent="0.3">
      <c r="A12224" s="66"/>
      <c r="B12224" s="67"/>
      <c r="C12224" s="66"/>
      <c r="D12224" s="68"/>
      <c r="E12224" s="10"/>
      <c r="F12224" s="69"/>
      <c r="G12224" s="68"/>
      <c r="H12224" s="70"/>
      <c r="BA12224" s="4"/>
      <c r="BB12224" s="4"/>
    </row>
    <row r="12225" spans="1:54" x14ac:dyDescent="0.3">
      <c r="A12225" s="66"/>
      <c r="B12225" s="67"/>
      <c r="C12225" s="66"/>
      <c r="D12225" s="68"/>
      <c r="E12225" s="10"/>
      <c r="F12225" s="69"/>
      <c r="G12225" s="68"/>
      <c r="H12225" s="70"/>
      <c r="BA12225" s="4"/>
      <c r="BB12225" s="4"/>
    </row>
    <row r="12226" spans="1:54" x14ac:dyDescent="0.3">
      <c r="A12226" s="66"/>
      <c r="B12226" s="67"/>
      <c r="C12226" s="66"/>
      <c r="D12226" s="68"/>
      <c r="E12226" s="10"/>
      <c r="F12226" s="69"/>
      <c r="G12226" s="68"/>
      <c r="H12226" s="70"/>
      <c r="BA12226" s="4"/>
      <c r="BB12226" s="4"/>
    </row>
    <row r="12227" spans="1:54" x14ac:dyDescent="0.3">
      <c r="A12227" s="66"/>
      <c r="B12227" s="67"/>
      <c r="C12227" s="66"/>
      <c r="D12227" s="68"/>
      <c r="E12227" s="10"/>
      <c r="F12227" s="69"/>
      <c r="G12227" s="68"/>
      <c r="H12227" s="70"/>
      <c r="BA12227" s="4"/>
      <c r="BB12227" s="4"/>
    </row>
    <row r="12228" spans="1:54" x14ac:dyDescent="0.3">
      <c r="A12228" s="66"/>
      <c r="B12228" s="67"/>
      <c r="C12228" s="66"/>
      <c r="D12228" s="68"/>
      <c r="E12228" s="10"/>
      <c r="F12228" s="69"/>
      <c r="G12228" s="68"/>
      <c r="H12228" s="70"/>
      <c r="BA12228" s="4"/>
      <c r="BB12228" s="4"/>
    </row>
    <row r="12229" spans="1:54" x14ac:dyDescent="0.3">
      <c r="A12229" s="66"/>
      <c r="B12229" s="67"/>
      <c r="C12229" s="66"/>
      <c r="D12229" s="68"/>
      <c r="E12229" s="10"/>
      <c r="F12229" s="69"/>
      <c r="G12229" s="68"/>
      <c r="H12229" s="70"/>
      <c r="BA12229" s="4"/>
      <c r="BB12229" s="4"/>
    </row>
    <row r="12230" spans="1:54" x14ac:dyDescent="0.3">
      <c r="A12230" s="66"/>
      <c r="B12230" s="67"/>
      <c r="C12230" s="66"/>
      <c r="D12230" s="68"/>
      <c r="E12230" s="10"/>
      <c r="F12230" s="69"/>
      <c r="G12230" s="68"/>
      <c r="H12230" s="70"/>
      <c r="BA12230" s="4"/>
      <c r="BB12230" s="4"/>
    </row>
    <row r="12231" spans="1:54" x14ac:dyDescent="0.3">
      <c r="A12231" s="66"/>
      <c r="B12231" s="67"/>
      <c r="C12231" s="66"/>
      <c r="D12231" s="68"/>
      <c r="E12231" s="10"/>
      <c r="F12231" s="69"/>
      <c r="G12231" s="68"/>
      <c r="H12231" s="70"/>
      <c r="BA12231" s="4"/>
      <c r="BB12231" s="4"/>
    </row>
    <row r="12232" spans="1:54" x14ac:dyDescent="0.3">
      <c r="A12232" s="66"/>
      <c r="B12232" s="67"/>
      <c r="C12232" s="66"/>
      <c r="D12232" s="68"/>
      <c r="E12232" s="10"/>
      <c r="F12232" s="69"/>
      <c r="G12232" s="68"/>
      <c r="H12232" s="70"/>
      <c r="BA12232" s="4"/>
      <c r="BB12232" s="4"/>
    </row>
    <row r="12233" spans="1:54" x14ac:dyDescent="0.3">
      <c r="A12233" s="66"/>
      <c r="B12233" s="67"/>
      <c r="C12233" s="66"/>
      <c r="D12233" s="68"/>
      <c r="E12233" s="10"/>
      <c r="F12233" s="69"/>
      <c r="G12233" s="68"/>
      <c r="H12233" s="70"/>
      <c r="BA12233" s="4"/>
      <c r="BB12233" s="4"/>
    </row>
    <row r="12234" spans="1:54" x14ac:dyDescent="0.3">
      <c r="A12234" s="66"/>
      <c r="B12234" s="67"/>
      <c r="C12234" s="66"/>
      <c r="D12234" s="68"/>
      <c r="E12234" s="10"/>
      <c r="F12234" s="69"/>
      <c r="G12234" s="68"/>
      <c r="H12234" s="70"/>
      <c r="BA12234" s="4"/>
      <c r="BB12234" s="4"/>
    </row>
    <row r="12235" spans="1:54" x14ac:dyDescent="0.3">
      <c r="A12235" s="66"/>
      <c r="B12235" s="67"/>
      <c r="C12235" s="66"/>
      <c r="D12235" s="68"/>
      <c r="E12235" s="10"/>
      <c r="F12235" s="69"/>
      <c r="G12235" s="68"/>
      <c r="H12235" s="70"/>
      <c r="BA12235" s="4"/>
      <c r="BB12235" s="4"/>
    </row>
    <row r="12236" spans="1:54" x14ac:dyDescent="0.3">
      <c r="A12236" s="66"/>
      <c r="B12236" s="67"/>
      <c r="C12236" s="66"/>
      <c r="D12236" s="68"/>
      <c r="E12236" s="10"/>
      <c r="F12236" s="69"/>
      <c r="G12236" s="68"/>
      <c r="H12236" s="70"/>
      <c r="BA12236" s="4"/>
      <c r="BB12236" s="4"/>
    </row>
    <row r="12237" spans="1:54" x14ac:dyDescent="0.3">
      <c r="A12237" s="66"/>
      <c r="B12237" s="67"/>
      <c r="C12237" s="66"/>
      <c r="D12237" s="68"/>
      <c r="E12237" s="10"/>
      <c r="F12237" s="69"/>
      <c r="G12237" s="68"/>
      <c r="H12237" s="70"/>
      <c r="BA12237" s="4"/>
      <c r="BB12237" s="4"/>
    </row>
    <row r="12238" spans="1:54" x14ac:dyDescent="0.3">
      <c r="A12238" s="66"/>
      <c r="B12238" s="67"/>
      <c r="C12238" s="66"/>
      <c r="D12238" s="68"/>
      <c r="E12238" s="10"/>
      <c r="F12238" s="69"/>
      <c r="G12238" s="68"/>
      <c r="H12238" s="70"/>
      <c r="BA12238" s="4"/>
      <c r="BB12238" s="4"/>
    </row>
    <row r="12239" spans="1:54" x14ac:dyDescent="0.3">
      <c r="A12239" s="66"/>
      <c r="B12239" s="67"/>
      <c r="C12239" s="66"/>
      <c r="D12239" s="68"/>
      <c r="E12239" s="10"/>
      <c r="F12239" s="69"/>
      <c r="G12239" s="68"/>
      <c r="H12239" s="70"/>
      <c r="BA12239" s="4"/>
      <c r="BB12239" s="4"/>
    </row>
    <row r="12240" spans="1:54" x14ac:dyDescent="0.3">
      <c r="A12240" s="66"/>
      <c r="B12240" s="67"/>
      <c r="C12240" s="66"/>
      <c r="D12240" s="68"/>
      <c r="E12240" s="10"/>
      <c r="F12240" s="69"/>
      <c r="G12240" s="68"/>
      <c r="H12240" s="70"/>
      <c r="BA12240" s="4"/>
      <c r="BB12240" s="4"/>
    </row>
    <row r="12241" spans="1:54" x14ac:dyDescent="0.3">
      <c r="A12241" s="66"/>
      <c r="B12241" s="67"/>
      <c r="C12241" s="66"/>
      <c r="D12241" s="68"/>
      <c r="E12241" s="10"/>
      <c r="F12241" s="69"/>
      <c r="G12241" s="68"/>
      <c r="H12241" s="70"/>
      <c r="BA12241" s="4"/>
      <c r="BB12241" s="4"/>
    </row>
    <row r="12242" spans="1:54" x14ac:dyDescent="0.3">
      <c r="A12242" s="66"/>
      <c r="B12242" s="67"/>
      <c r="C12242" s="66"/>
      <c r="D12242" s="68"/>
      <c r="E12242" s="10"/>
      <c r="F12242" s="69"/>
      <c r="G12242" s="68"/>
      <c r="H12242" s="70"/>
      <c r="BA12242" s="4"/>
      <c r="BB12242" s="4"/>
    </row>
    <row r="12243" spans="1:54" x14ac:dyDescent="0.3">
      <c r="A12243" s="66"/>
      <c r="B12243" s="67"/>
      <c r="C12243" s="66"/>
      <c r="D12243" s="68"/>
      <c r="E12243" s="10"/>
      <c r="F12243" s="69"/>
      <c r="G12243" s="68"/>
      <c r="H12243" s="70"/>
      <c r="BA12243" s="4"/>
      <c r="BB12243" s="4"/>
    </row>
    <row r="12244" spans="1:54" x14ac:dyDescent="0.3">
      <c r="A12244" s="66"/>
      <c r="B12244" s="67"/>
      <c r="C12244" s="66"/>
      <c r="D12244" s="68"/>
      <c r="E12244" s="10"/>
      <c r="F12244" s="69"/>
      <c r="G12244" s="68"/>
      <c r="H12244" s="70"/>
      <c r="BA12244" s="4"/>
      <c r="BB12244" s="4"/>
    </row>
    <row r="12245" spans="1:54" x14ac:dyDescent="0.3">
      <c r="A12245" s="66"/>
      <c r="B12245" s="67"/>
      <c r="C12245" s="66"/>
      <c r="D12245" s="68"/>
      <c r="E12245" s="10"/>
      <c r="F12245" s="69"/>
      <c r="G12245" s="68"/>
      <c r="H12245" s="70"/>
      <c r="BA12245" s="4"/>
      <c r="BB12245" s="4"/>
    </row>
    <row r="12246" spans="1:54" x14ac:dyDescent="0.3">
      <c r="A12246" s="66"/>
      <c r="B12246" s="67"/>
      <c r="C12246" s="66"/>
      <c r="D12246" s="68"/>
      <c r="E12246" s="10"/>
      <c r="F12246" s="69"/>
      <c r="G12246" s="68"/>
      <c r="H12246" s="70"/>
      <c r="BA12246" s="4"/>
      <c r="BB12246" s="4"/>
    </row>
    <row r="12247" spans="1:54" x14ac:dyDescent="0.3">
      <c r="A12247" s="66"/>
      <c r="B12247" s="67"/>
      <c r="C12247" s="66"/>
      <c r="D12247" s="68"/>
      <c r="E12247" s="10"/>
      <c r="F12247" s="69"/>
      <c r="G12247" s="68"/>
      <c r="H12247" s="70"/>
      <c r="BA12247" s="4"/>
      <c r="BB12247" s="4"/>
    </row>
    <row r="12248" spans="1:54" x14ac:dyDescent="0.3">
      <c r="A12248" s="66"/>
      <c r="B12248" s="67"/>
      <c r="C12248" s="66"/>
      <c r="D12248" s="68"/>
      <c r="E12248" s="10"/>
      <c r="F12248" s="69"/>
      <c r="G12248" s="68"/>
      <c r="H12248" s="70"/>
      <c r="BA12248" s="4"/>
      <c r="BB12248" s="4"/>
    </row>
    <row r="12249" spans="1:54" x14ac:dyDescent="0.3">
      <c r="A12249" s="66"/>
      <c r="B12249" s="67"/>
      <c r="C12249" s="66"/>
      <c r="D12249" s="68"/>
      <c r="E12249" s="10"/>
      <c r="F12249" s="69"/>
      <c r="G12249" s="68"/>
      <c r="H12249" s="70"/>
      <c r="BA12249" s="4"/>
      <c r="BB12249" s="4"/>
    </row>
    <row r="12250" spans="1:54" x14ac:dyDescent="0.3">
      <c r="A12250" s="66"/>
      <c r="B12250" s="67"/>
      <c r="C12250" s="66"/>
      <c r="D12250" s="68"/>
      <c r="E12250" s="10"/>
      <c r="F12250" s="69"/>
      <c r="G12250" s="68"/>
      <c r="H12250" s="70"/>
      <c r="BA12250" s="4"/>
      <c r="BB12250" s="4"/>
    </row>
    <row r="12251" spans="1:54" x14ac:dyDescent="0.3">
      <c r="A12251" s="66"/>
      <c r="B12251" s="67"/>
      <c r="C12251" s="66"/>
      <c r="D12251" s="68"/>
      <c r="E12251" s="10"/>
      <c r="F12251" s="69"/>
      <c r="G12251" s="68"/>
      <c r="H12251" s="70"/>
      <c r="BA12251" s="4"/>
      <c r="BB12251" s="4"/>
    </row>
    <row r="12252" spans="1:54" x14ac:dyDescent="0.3">
      <c r="A12252" s="66"/>
      <c r="B12252" s="67"/>
      <c r="C12252" s="66"/>
      <c r="D12252" s="68"/>
      <c r="E12252" s="10"/>
      <c r="F12252" s="69"/>
      <c r="G12252" s="68"/>
      <c r="H12252" s="70"/>
      <c r="BA12252" s="4"/>
      <c r="BB12252" s="4"/>
    </row>
    <row r="12253" spans="1:54" x14ac:dyDescent="0.3">
      <c r="A12253" s="66"/>
      <c r="B12253" s="67"/>
      <c r="C12253" s="66"/>
      <c r="D12253" s="68"/>
      <c r="E12253" s="10"/>
      <c r="F12253" s="69"/>
      <c r="G12253" s="68"/>
      <c r="H12253" s="70"/>
      <c r="BA12253" s="4"/>
      <c r="BB12253" s="4"/>
    </row>
    <row r="12254" spans="1:54" x14ac:dyDescent="0.3">
      <c r="A12254" s="66"/>
      <c r="B12254" s="67"/>
      <c r="C12254" s="66"/>
      <c r="D12254" s="68"/>
      <c r="E12254" s="10"/>
      <c r="F12254" s="69"/>
      <c r="G12254" s="68"/>
      <c r="H12254" s="70"/>
      <c r="BA12254" s="4"/>
      <c r="BB12254" s="4"/>
    </row>
    <row r="12255" spans="1:54" x14ac:dyDescent="0.3">
      <c r="A12255" s="66"/>
      <c r="B12255" s="67"/>
      <c r="C12255" s="66"/>
      <c r="D12255" s="68"/>
      <c r="E12255" s="10"/>
      <c r="F12255" s="69"/>
      <c r="G12255" s="68"/>
      <c r="H12255" s="70"/>
      <c r="BA12255" s="4"/>
      <c r="BB12255" s="4"/>
    </row>
    <row r="12256" spans="1:54" x14ac:dyDescent="0.3">
      <c r="A12256" s="66"/>
      <c r="B12256" s="67"/>
      <c r="C12256" s="66"/>
      <c r="D12256" s="68"/>
      <c r="E12256" s="10"/>
      <c r="F12256" s="69"/>
      <c r="G12256" s="68"/>
      <c r="H12256" s="70"/>
      <c r="BA12256" s="4"/>
      <c r="BB12256" s="4"/>
    </row>
    <row r="12257" spans="1:54" x14ac:dyDescent="0.3">
      <c r="A12257" s="66"/>
      <c r="B12257" s="67"/>
      <c r="C12257" s="66"/>
      <c r="D12257" s="68"/>
      <c r="E12257" s="10"/>
      <c r="F12257" s="69"/>
      <c r="G12257" s="68"/>
      <c r="H12257" s="70"/>
      <c r="BA12257" s="4"/>
      <c r="BB12257" s="4"/>
    </row>
    <row r="12258" spans="1:54" x14ac:dyDescent="0.3">
      <c r="A12258" s="66"/>
      <c r="B12258" s="67"/>
      <c r="C12258" s="66"/>
      <c r="D12258" s="68"/>
      <c r="E12258" s="10"/>
      <c r="F12258" s="69"/>
      <c r="G12258" s="68"/>
      <c r="H12258" s="70"/>
      <c r="BA12258" s="4"/>
      <c r="BB12258" s="4"/>
    </row>
    <row r="12259" spans="1:54" x14ac:dyDescent="0.3">
      <c r="A12259" s="66"/>
      <c r="B12259" s="67"/>
      <c r="C12259" s="66"/>
      <c r="D12259" s="68"/>
      <c r="E12259" s="10"/>
      <c r="F12259" s="69"/>
      <c r="G12259" s="68"/>
      <c r="H12259" s="70"/>
      <c r="BA12259" s="4"/>
      <c r="BB12259" s="4"/>
    </row>
    <row r="12260" spans="1:54" x14ac:dyDescent="0.3">
      <c r="A12260" s="66"/>
      <c r="B12260" s="67"/>
      <c r="C12260" s="66"/>
      <c r="D12260" s="68"/>
      <c r="E12260" s="10"/>
      <c r="F12260" s="69"/>
      <c r="G12260" s="68"/>
      <c r="H12260" s="70"/>
      <c r="BA12260" s="4"/>
      <c r="BB12260" s="4"/>
    </row>
    <row r="12261" spans="1:54" x14ac:dyDescent="0.3">
      <c r="A12261" s="66"/>
      <c r="B12261" s="67"/>
      <c r="C12261" s="66"/>
      <c r="D12261" s="68"/>
      <c r="E12261" s="10"/>
      <c r="F12261" s="69"/>
      <c r="G12261" s="68"/>
      <c r="H12261" s="70"/>
      <c r="BA12261" s="4"/>
      <c r="BB12261" s="4"/>
    </row>
    <row r="12262" spans="1:54" x14ac:dyDescent="0.3">
      <c r="A12262" s="66"/>
      <c r="B12262" s="67"/>
      <c r="C12262" s="66"/>
      <c r="D12262" s="68"/>
      <c r="E12262" s="10"/>
      <c r="F12262" s="69"/>
      <c r="G12262" s="68"/>
      <c r="H12262" s="70"/>
      <c r="BA12262" s="4"/>
      <c r="BB12262" s="4"/>
    </row>
    <row r="12263" spans="1:54" x14ac:dyDescent="0.3">
      <c r="A12263" s="66"/>
      <c r="B12263" s="67"/>
      <c r="C12263" s="66"/>
      <c r="D12263" s="68"/>
      <c r="E12263" s="10"/>
      <c r="F12263" s="69"/>
      <c r="G12263" s="68"/>
      <c r="H12263" s="70"/>
      <c r="BA12263" s="4"/>
      <c r="BB12263" s="4"/>
    </row>
    <row r="12264" spans="1:54" x14ac:dyDescent="0.3">
      <c r="A12264" s="66"/>
      <c r="B12264" s="67"/>
      <c r="C12264" s="66"/>
      <c r="D12264" s="68"/>
      <c r="E12264" s="10"/>
      <c r="F12264" s="69"/>
      <c r="G12264" s="68"/>
      <c r="H12264" s="70"/>
      <c r="BA12264" s="4"/>
      <c r="BB12264" s="4"/>
    </row>
    <row r="12265" spans="1:54" x14ac:dyDescent="0.3">
      <c r="A12265" s="66"/>
      <c r="B12265" s="67"/>
      <c r="C12265" s="66"/>
      <c r="D12265" s="68"/>
      <c r="E12265" s="10"/>
      <c r="F12265" s="69"/>
      <c r="G12265" s="68"/>
      <c r="H12265" s="70"/>
      <c r="BA12265" s="4"/>
      <c r="BB12265" s="4"/>
    </row>
    <row r="12266" spans="1:54" x14ac:dyDescent="0.3">
      <c r="A12266" s="66"/>
      <c r="B12266" s="67"/>
      <c r="C12266" s="66"/>
      <c r="D12266" s="68"/>
      <c r="E12266" s="10"/>
      <c r="F12266" s="69"/>
      <c r="G12266" s="68"/>
      <c r="H12266" s="70"/>
      <c r="BA12266" s="4"/>
      <c r="BB12266" s="4"/>
    </row>
    <row r="12267" spans="1:54" x14ac:dyDescent="0.3">
      <c r="A12267" s="66"/>
      <c r="B12267" s="67"/>
      <c r="C12267" s="66"/>
      <c r="D12267" s="68"/>
      <c r="E12267" s="10"/>
      <c r="F12267" s="69"/>
      <c r="G12267" s="68"/>
      <c r="H12267" s="70"/>
      <c r="BA12267" s="4"/>
      <c r="BB12267" s="4"/>
    </row>
    <row r="12268" spans="1:54" x14ac:dyDescent="0.3">
      <c r="A12268" s="66"/>
      <c r="B12268" s="67"/>
      <c r="C12268" s="66"/>
      <c r="D12268" s="68"/>
      <c r="E12268" s="10"/>
      <c r="F12268" s="69"/>
      <c r="G12268" s="68"/>
      <c r="H12268" s="70"/>
      <c r="BA12268" s="4"/>
      <c r="BB12268" s="4"/>
    </row>
    <row r="12269" spans="1:54" x14ac:dyDescent="0.3">
      <c r="A12269" s="66"/>
      <c r="B12269" s="67"/>
      <c r="C12269" s="66"/>
      <c r="D12269" s="68"/>
      <c r="E12269" s="10"/>
      <c r="F12269" s="69"/>
      <c r="G12269" s="68"/>
      <c r="H12269" s="70"/>
      <c r="BA12269" s="4"/>
      <c r="BB12269" s="4"/>
    </row>
    <row r="12270" spans="1:54" x14ac:dyDescent="0.3">
      <c r="A12270" s="66"/>
      <c r="B12270" s="67"/>
      <c r="C12270" s="66"/>
      <c r="D12270" s="68"/>
      <c r="E12270" s="10"/>
      <c r="F12270" s="69"/>
      <c r="G12270" s="68"/>
      <c r="H12270" s="70"/>
      <c r="BA12270" s="4"/>
      <c r="BB12270" s="4"/>
    </row>
    <row r="12271" spans="1:54" x14ac:dyDescent="0.3">
      <c r="A12271" s="66"/>
      <c r="B12271" s="67"/>
      <c r="C12271" s="66"/>
      <c r="D12271" s="68"/>
      <c r="E12271" s="10"/>
      <c r="F12271" s="69"/>
      <c r="G12271" s="68"/>
      <c r="H12271" s="70"/>
      <c r="BA12271" s="4"/>
      <c r="BB12271" s="4"/>
    </row>
    <row r="12272" spans="1:54" x14ac:dyDescent="0.3">
      <c r="A12272" s="66"/>
      <c r="B12272" s="67"/>
      <c r="C12272" s="66"/>
      <c r="D12272" s="68"/>
      <c r="E12272" s="10"/>
      <c r="F12272" s="69"/>
      <c r="G12272" s="68"/>
      <c r="H12272" s="70"/>
      <c r="BA12272" s="4"/>
      <c r="BB12272" s="4"/>
    </row>
    <row r="12273" spans="1:54" x14ac:dyDescent="0.3">
      <c r="A12273" s="66"/>
      <c r="B12273" s="67"/>
      <c r="C12273" s="66"/>
      <c r="D12273" s="68"/>
      <c r="E12273" s="10"/>
      <c r="F12273" s="69"/>
      <c r="G12273" s="68"/>
      <c r="H12273" s="70"/>
      <c r="BA12273" s="4"/>
      <c r="BB12273" s="4"/>
    </row>
    <row r="12274" spans="1:54" x14ac:dyDescent="0.3">
      <c r="A12274" s="66"/>
      <c r="B12274" s="67"/>
      <c r="C12274" s="66"/>
      <c r="D12274" s="68"/>
      <c r="E12274" s="10"/>
      <c r="F12274" s="69"/>
      <c r="G12274" s="68"/>
      <c r="H12274" s="70"/>
      <c r="BA12274" s="4"/>
      <c r="BB12274" s="4"/>
    </row>
    <row r="12275" spans="1:54" x14ac:dyDescent="0.3">
      <c r="A12275" s="66"/>
      <c r="B12275" s="67"/>
      <c r="C12275" s="66"/>
      <c r="D12275" s="68"/>
      <c r="E12275" s="10"/>
      <c r="F12275" s="69"/>
      <c r="G12275" s="68"/>
      <c r="H12275" s="70"/>
      <c r="BA12275" s="4"/>
      <c r="BB12275" s="4"/>
    </row>
    <row r="12276" spans="1:54" x14ac:dyDescent="0.3">
      <c r="A12276" s="66"/>
      <c r="B12276" s="67"/>
      <c r="C12276" s="66"/>
      <c r="D12276" s="68"/>
      <c r="E12276" s="10"/>
      <c r="F12276" s="69"/>
      <c r="G12276" s="68"/>
      <c r="H12276" s="70"/>
      <c r="BA12276" s="4"/>
      <c r="BB12276" s="4"/>
    </row>
    <row r="12277" spans="1:54" x14ac:dyDescent="0.3">
      <c r="A12277" s="66"/>
      <c r="B12277" s="67"/>
      <c r="C12277" s="66"/>
      <c r="D12277" s="68"/>
      <c r="E12277" s="10"/>
      <c r="F12277" s="69"/>
      <c r="G12277" s="68"/>
      <c r="H12277" s="70"/>
      <c r="BA12277" s="4"/>
      <c r="BB12277" s="4"/>
    </row>
    <row r="12278" spans="1:54" x14ac:dyDescent="0.3">
      <c r="A12278" s="66"/>
      <c r="B12278" s="67"/>
      <c r="C12278" s="66"/>
      <c r="D12278" s="68"/>
      <c r="E12278" s="10"/>
      <c r="F12278" s="69"/>
      <c r="G12278" s="68"/>
      <c r="H12278" s="70"/>
      <c r="BA12278" s="4"/>
      <c r="BB12278" s="4"/>
    </row>
    <row r="12279" spans="1:54" x14ac:dyDescent="0.3">
      <c r="A12279" s="66"/>
      <c r="B12279" s="67"/>
      <c r="C12279" s="66"/>
      <c r="D12279" s="68"/>
      <c r="E12279" s="10"/>
      <c r="F12279" s="69"/>
      <c r="G12279" s="68"/>
      <c r="H12279" s="70"/>
      <c r="BA12279" s="4"/>
      <c r="BB12279" s="4"/>
    </row>
    <row r="12280" spans="1:54" x14ac:dyDescent="0.3">
      <c r="A12280" s="66"/>
      <c r="B12280" s="67"/>
      <c r="C12280" s="66"/>
      <c r="D12280" s="68"/>
      <c r="E12280" s="10"/>
      <c r="F12280" s="69"/>
      <c r="G12280" s="68"/>
      <c r="H12280" s="70"/>
      <c r="BA12280" s="4"/>
      <c r="BB12280" s="4"/>
    </row>
    <row r="12281" spans="1:54" x14ac:dyDescent="0.3">
      <c r="A12281" s="66"/>
      <c r="B12281" s="67"/>
      <c r="C12281" s="66"/>
      <c r="D12281" s="68"/>
      <c r="E12281" s="10"/>
      <c r="F12281" s="69"/>
      <c r="G12281" s="68"/>
      <c r="H12281" s="70"/>
      <c r="BA12281" s="4"/>
      <c r="BB12281" s="4"/>
    </row>
    <row r="12282" spans="1:54" x14ac:dyDescent="0.3">
      <c r="A12282" s="66"/>
      <c r="B12282" s="67"/>
      <c r="C12282" s="66"/>
      <c r="D12282" s="68"/>
      <c r="E12282" s="10"/>
      <c r="F12282" s="69"/>
      <c r="G12282" s="68"/>
      <c r="H12282" s="70"/>
      <c r="BA12282" s="4"/>
      <c r="BB12282" s="4"/>
    </row>
    <row r="12283" spans="1:54" x14ac:dyDescent="0.3">
      <c r="A12283" s="66"/>
      <c r="B12283" s="67"/>
      <c r="C12283" s="66"/>
      <c r="D12283" s="68"/>
      <c r="E12283" s="10"/>
      <c r="F12283" s="69"/>
      <c r="G12283" s="68"/>
      <c r="H12283" s="70"/>
      <c r="BA12283" s="4"/>
      <c r="BB12283" s="4"/>
    </row>
    <row r="12284" spans="1:54" x14ac:dyDescent="0.3">
      <c r="A12284" s="66"/>
      <c r="B12284" s="67"/>
      <c r="C12284" s="66"/>
      <c r="D12284" s="68"/>
      <c r="E12284" s="10"/>
      <c r="F12284" s="69"/>
      <c r="G12284" s="68"/>
      <c r="H12284" s="70"/>
      <c r="BA12284" s="4"/>
      <c r="BB12284" s="4"/>
    </row>
    <row r="12285" spans="1:54" x14ac:dyDescent="0.3">
      <c r="A12285" s="66"/>
      <c r="B12285" s="67"/>
      <c r="C12285" s="66"/>
      <c r="D12285" s="68"/>
      <c r="E12285" s="10"/>
      <c r="F12285" s="69"/>
      <c r="G12285" s="68"/>
      <c r="H12285" s="70"/>
      <c r="BA12285" s="4"/>
      <c r="BB12285" s="4"/>
    </row>
    <row r="12286" spans="1:54" x14ac:dyDescent="0.3">
      <c r="A12286" s="66"/>
      <c r="B12286" s="67"/>
      <c r="C12286" s="66"/>
      <c r="D12286" s="68"/>
      <c r="E12286" s="10"/>
      <c r="F12286" s="69"/>
      <c r="G12286" s="68"/>
      <c r="H12286" s="70"/>
      <c r="BA12286" s="4"/>
      <c r="BB12286" s="4"/>
    </row>
    <row r="12287" spans="1:54" x14ac:dyDescent="0.3">
      <c r="A12287" s="66"/>
      <c r="B12287" s="67"/>
      <c r="C12287" s="66"/>
      <c r="D12287" s="68"/>
      <c r="E12287" s="10"/>
      <c r="F12287" s="69"/>
      <c r="G12287" s="68"/>
      <c r="H12287" s="70"/>
      <c r="BA12287" s="4"/>
      <c r="BB12287" s="4"/>
    </row>
    <row r="12288" spans="1:54" x14ac:dyDescent="0.3">
      <c r="A12288" s="66"/>
      <c r="B12288" s="67"/>
      <c r="C12288" s="66"/>
      <c r="D12288" s="68"/>
      <c r="E12288" s="10"/>
      <c r="F12288" s="69"/>
      <c r="G12288" s="68"/>
      <c r="H12288" s="70"/>
      <c r="BA12288" s="4"/>
      <c r="BB12288" s="4"/>
    </row>
    <row r="12289" spans="1:54" x14ac:dyDescent="0.3">
      <c r="A12289" s="66"/>
      <c r="B12289" s="67"/>
      <c r="C12289" s="66"/>
      <c r="D12289" s="68"/>
      <c r="E12289" s="10"/>
      <c r="F12289" s="69"/>
      <c r="G12289" s="68"/>
      <c r="H12289" s="70"/>
      <c r="BA12289" s="4"/>
      <c r="BB12289" s="4"/>
    </row>
    <row r="12290" spans="1:54" x14ac:dyDescent="0.3">
      <c r="A12290" s="66"/>
      <c r="B12290" s="67"/>
      <c r="C12290" s="66"/>
      <c r="D12290" s="68"/>
      <c r="E12290" s="10"/>
      <c r="F12290" s="69"/>
      <c r="G12290" s="68"/>
      <c r="H12290" s="70"/>
      <c r="BA12290" s="4"/>
      <c r="BB12290" s="4"/>
    </row>
    <row r="12291" spans="1:54" x14ac:dyDescent="0.3">
      <c r="A12291" s="66"/>
      <c r="B12291" s="67"/>
      <c r="C12291" s="66"/>
      <c r="D12291" s="68"/>
      <c r="E12291" s="10"/>
      <c r="F12291" s="69"/>
      <c r="G12291" s="68"/>
      <c r="H12291" s="70"/>
      <c r="BA12291" s="4"/>
      <c r="BB12291" s="4"/>
    </row>
    <row r="12292" spans="1:54" x14ac:dyDescent="0.3">
      <c r="A12292" s="66"/>
      <c r="B12292" s="67"/>
      <c r="C12292" s="66"/>
      <c r="D12292" s="68"/>
      <c r="E12292" s="10"/>
      <c r="F12292" s="69"/>
      <c r="G12292" s="68"/>
      <c r="H12292" s="70"/>
      <c r="BA12292" s="4"/>
      <c r="BB12292" s="4"/>
    </row>
    <row r="12293" spans="1:54" x14ac:dyDescent="0.3">
      <c r="A12293" s="66"/>
      <c r="B12293" s="67"/>
      <c r="C12293" s="66"/>
      <c r="D12293" s="68"/>
      <c r="E12293" s="10"/>
      <c r="F12293" s="69"/>
      <c r="G12293" s="68"/>
      <c r="H12293" s="70"/>
      <c r="BA12293" s="4"/>
      <c r="BB12293" s="4"/>
    </row>
    <row r="12294" spans="1:54" x14ac:dyDescent="0.3">
      <c r="A12294" s="66"/>
      <c r="B12294" s="67"/>
      <c r="C12294" s="66"/>
      <c r="D12294" s="68"/>
      <c r="E12294" s="10"/>
      <c r="F12294" s="69"/>
      <c r="G12294" s="68"/>
      <c r="H12294" s="70"/>
      <c r="BA12294" s="4"/>
      <c r="BB12294" s="4"/>
    </row>
    <row r="12295" spans="1:54" x14ac:dyDescent="0.3">
      <c r="A12295" s="66"/>
      <c r="B12295" s="67"/>
      <c r="C12295" s="66"/>
      <c r="D12295" s="68"/>
      <c r="E12295" s="10"/>
      <c r="F12295" s="69"/>
      <c r="G12295" s="68"/>
      <c r="H12295" s="70"/>
      <c r="BA12295" s="4"/>
      <c r="BB12295" s="4"/>
    </row>
    <row r="12296" spans="1:54" x14ac:dyDescent="0.3">
      <c r="A12296" s="66"/>
      <c r="B12296" s="67"/>
      <c r="C12296" s="66"/>
      <c r="D12296" s="68"/>
      <c r="E12296" s="10"/>
      <c r="F12296" s="69"/>
      <c r="G12296" s="68"/>
      <c r="H12296" s="70"/>
      <c r="BA12296" s="4"/>
      <c r="BB12296" s="4"/>
    </row>
    <row r="12297" spans="1:54" x14ac:dyDescent="0.3">
      <c r="A12297" s="66"/>
      <c r="B12297" s="67"/>
      <c r="C12297" s="66"/>
      <c r="D12297" s="68"/>
      <c r="E12297" s="10"/>
      <c r="F12297" s="69"/>
      <c r="G12297" s="68"/>
      <c r="H12297" s="70"/>
      <c r="BA12297" s="4"/>
      <c r="BB12297" s="4"/>
    </row>
    <row r="12298" spans="1:54" x14ac:dyDescent="0.3">
      <c r="A12298" s="66"/>
      <c r="B12298" s="67"/>
      <c r="C12298" s="66"/>
      <c r="D12298" s="68"/>
      <c r="E12298" s="10"/>
      <c r="F12298" s="69"/>
      <c r="G12298" s="68"/>
      <c r="H12298" s="70"/>
      <c r="BA12298" s="4"/>
      <c r="BB12298" s="4"/>
    </row>
    <row r="12299" spans="1:54" x14ac:dyDescent="0.3">
      <c r="A12299" s="66"/>
      <c r="B12299" s="67"/>
      <c r="C12299" s="66"/>
      <c r="D12299" s="68"/>
      <c r="E12299" s="10"/>
      <c r="F12299" s="69"/>
      <c r="G12299" s="68"/>
      <c r="H12299" s="70"/>
      <c r="BA12299" s="4"/>
      <c r="BB12299" s="4"/>
    </row>
    <row r="12300" spans="1:54" x14ac:dyDescent="0.3">
      <c r="A12300" s="66"/>
      <c r="B12300" s="67"/>
      <c r="C12300" s="66"/>
      <c r="D12300" s="68"/>
      <c r="E12300" s="10"/>
      <c r="F12300" s="69"/>
      <c r="G12300" s="68"/>
      <c r="H12300" s="70"/>
      <c r="BA12300" s="4"/>
      <c r="BB12300" s="4"/>
    </row>
    <row r="12301" spans="1:54" x14ac:dyDescent="0.3">
      <c r="A12301" s="66"/>
      <c r="B12301" s="67"/>
      <c r="C12301" s="66"/>
      <c r="D12301" s="68"/>
      <c r="E12301" s="10"/>
      <c r="F12301" s="69"/>
      <c r="G12301" s="68"/>
      <c r="H12301" s="70"/>
      <c r="BA12301" s="4"/>
      <c r="BB12301" s="4"/>
    </row>
    <row r="12302" spans="1:54" x14ac:dyDescent="0.3">
      <c r="A12302" s="66"/>
      <c r="B12302" s="67"/>
      <c r="C12302" s="66"/>
      <c r="D12302" s="68"/>
      <c r="E12302" s="10"/>
      <c r="F12302" s="69"/>
      <c r="G12302" s="68"/>
      <c r="H12302" s="70"/>
      <c r="BA12302" s="4"/>
      <c r="BB12302" s="4"/>
    </row>
    <row r="12303" spans="1:54" x14ac:dyDescent="0.3">
      <c r="A12303" s="66"/>
      <c r="B12303" s="67"/>
      <c r="C12303" s="66"/>
      <c r="D12303" s="68"/>
      <c r="E12303" s="10"/>
      <c r="F12303" s="69"/>
      <c r="G12303" s="68"/>
      <c r="H12303" s="70"/>
      <c r="BA12303" s="4"/>
      <c r="BB12303" s="4"/>
    </row>
    <row r="12304" spans="1:54" x14ac:dyDescent="0.3">
      <c r="A12304" s="66"/>
      <c r="B12304" s="67"/>
      <c r="C12304" s="66"/>
      <c r="D12304" s="68"/>
      <c r="E12304" s="10"/>
      <c r="F12304" s="69"/>
      <c r="G12304" s="68"/>
      <c r="H12304" s="70"/>
      <c r="BA12304" s="4"/>
      <c r="BB12304" s="4"/>
    </row>
    <row r="12305" spans="1:54" x14ac:dyDescent="0.3">
      <c r="A12305" s="66"/>
      <c r="B12305" s="67"/>
      <c r="C12305" s="66"/>
      <c r="D12305" s="68"/>
      <c r="E12305" s="10"/>
      <c r="F12305" s="69"/>
      <c r="G12305" s="68"/>
      <c r="H12305" s="70"/>
      <c r="BA12305" s="4"/>
      <c r="BB12305" s="4"/>
    </row>
    <row r="12306" spans="1:54" x14ac:dyDescent="0.3">
      <c r="A12306" s="66"/>
      <c r="B12306" s="67"/>
      <c r="C12306" s="66"/>
      <c r="D12306" s="68"/>
      <c r="E12306" s="10"/>
      <c r="F12306" s="69"/>
      <c r="G12306" s="68"/>
      <c r="H12306" s="70"/>
      <c r="BA12306" s="4"/>
      <c r="BB12306" s="4"/>
    </row>
    <row r="12307" spans="1:54" x14ac:dyDescent="0.3">
      <c r="A12307" s="66"/>
      <c r="B12307" s="67"/>
      <c r="C12307" s="66"/>
      <c r="D12307" s="68"/>
      <c r="E12307" s="10"/>
      <c r="F12307" s="69"/>
      <c r="G12307" s="68"/>
      <c r="H12307" s="70"/>
      <c r="BA12307" s="4"/>
      <c r="BB12307" s="4"/>
    </row>
    <row r="12308" spans="1:54" x14ac:dyDescent="0.3">
      <c r="A12308" s="66"/>
      <c r="B12308" s="67"/>
      <c r="C12308" s="66"/>
      <c r="D12308" s="68"/>
      <c r="E12308" s="10"/>
      <c r="F12308" s="69"/>
      <c r="G12308" s="68"/>
      <c r="H12308" s="70"/>
      <c r="BA12308" s="4"/>
      <c r="BB12308" s="4"/>
    </row>
    <row r="12309" spans="1:54" x14ac:dyDescent="0.3">
      <c r="A12309" s="66"/>
      <c r="B12309" s="67"/>
      <c r="C12309" s="66"/>
      <c r="D12309" s="68"/>
      <c r="E12309" s="10"/>
      <c r="F12309" s="69"/>
      <c r="G12309" s="68"/>
      <c r="H12309" s="70"/>
      <c r="BA12309" s="4"/>
      <c r="BB12309" s="4"/>
    </row>
    <row r="12310" spans="1:54" x14ac:dyDescent="0.3">
      <c r="A12310" s="66"/>
      <c r="B12310" s="67"/>
      <c r="C12310" s="66"/>
      <c r="D12310" s="68"/>
      <c r="E12310" s="10"/>
      <c r="F12310" s="69"/>
      <c r="G12310" s="68"/>
      <c r="H12310" s="70"/>
      <c r="BA12310" s="4"/>
      <c r="BB12310" s="4"/>
    </row>
    <row r="12311" spans="1:54" x14ac:dyDescent="0.3">
      <c r="A12311" s="66"/>
      <c r="B12311" s="67"/>
      <c r="C12311" s="66"/>
      <c r="D12311" s="68"/>
      <c r="E12311" s="10"/>
      <c r="F12311" s="69"/>
      <c r="G12311" s="68"/>
      <c r="H12311" s="70"/>
      <c r="BA12311" s="4"/>
      <c r="BB12311" s="4"/>
    </row>
    <row r="12312" spans="1:54" x14ac:dyDescent="0.3">
      <c r="A12312" s="66"/>
      <c r="B12312" s="67"/>
      <c r="C12312" s="66"/>
      <c r="D12312" s="68"/>
      <c r="E12312" s="10"/>
      <c r="F12312" s="69"/>
      <c r="G12312" s="68"/>
      <c r="H12312" s="70"/>
      <c r="BA12312" s="4"/>
      <c r="BB12312" s="4"/>
    </row>
    <row r="12313" spans="1:54" x14ac:dyDescent="0.3">
      <c r="A12313" s="66"/>
      <c r="B12313" s="67"/>
      <c r="C12313" s="66"/>
      <c r="D12313" s="68"/>
      <c r="E12313" s="10"/>
      <c r="F12313" s="69"/>
      <c r="G12313" s="68"/>
      <c r="H12313" s="70"/>
      <c r="BA12313" s="4"/>
      <c r="BB12313" s="4"/>
    </row>
    <row r="12314" spans="1:54" x14ac:dyDescent="0.3">
      <c r="A12314" s="66"/>
      <c r="B12314" s="67"/>
      <c r="C12314" s="66"/>
      <c r="D12314" s="68"/>
      <c r="E12314" s="10"/>
      <c r="F12314" s="69"/>
      <c r="G12314" s="68"/>
      <c r="H12314" s="70"/>
      <c r="BA12314" s="4"/>
      <c r="BB12314" s="4"/>
    </row>
    <row r="12315" spans="1:54" x14ac:dyDescent="0.3">
      <c r="A12315" s="66"/>
      <c r="B12315" s="67"/>
      <c r="C12315" s="66"/>
      <c r="D12315" s="68"/>
      <c r="E12315" s="10"/>
      <c r="F12315" s="69"/>
      <c r="G12315" s="68"/>
      <c r="H12315" s="70"/>
      <c r="BA12315" s="4"/>
      <c r="BB12315" s="4"/>
    </row>
    <row r="12316" spans="1:54" x14ac:dyDescent="0.3">
      <c r="A12316" s="66"/>
      <c r="B12316" s="67"/>
      <c r="C12316" s="66"/>
      <c r="D12316" s="68"/>
      <c r="E12316" s="10"/>
      <c r="F12316" s="69"/>
      <c r="G12316" s="68"/>
      <c r="H12316" s="70"/>
      <c r="BA12316" s="4"/>
      <c r="BB12316" s="4"/>
    </row>
    <row r="12317" spans="1:54" x14ac:dyDescent="0.3">
      <c r="A12317" s="66"/>
      <c r="B12317" s="67"/>
      <c r="C12317" s="66"/>
      <c r="D12317" s="68"/>
      <c r="E12317" s="10"/>
      <c r="F12317" s="69"/>
      <c r="G12317" s="68"/>
      <c r="H12317" s="70"/>
      <c r="BA12317" s="4"/>
      <c r="BB12317" s="4"/>
    </row>
    <row r="12318" spans="1:54" x14ac:dyDescent="0.3">
      <c r="A12318" s="66"/>
      <c r="B12318" s="67"/>
      <c r="C12318" s="66"/>
      <c r="D12318" s="68"/>
      <c r="E12318" s="10"/>
      <c r="F12318" s="69"/>
      <c r="G12318" s="68"/>
      <c r="H12318" s="70"/>
      <c r="BA12318" s="4"/>
      <c r="BB12318" s="4"/>
    </row>
    <row r="12319" spans="1:54" x14ac:dyDescent="0.3">
      <c r="A12319" s="66"/>
      <c r="B12319" s="67"/>
      <c r="C12319" s="66"/>
      <c r="D12319" s="68"/>
      <c r="E12319" s="10"/>
      <c r="F12319" s="69"/>
      <c r="G12319" s="68"/>
      <c r="H12319" s="70"/>
      <c r="BA12319" s="4"/>
      <c r="BB12319" s="4"/>
    </row>
    <row r="12320" spans="1:54" x14ac:dyDescent="0.3">
      <c r="A12320" s="66"/>
      <c r="B12320" s="67"/>
      <c r="C12320" s="66"/>
      <c r="D12320" s="68"/>
      <c r="E12320" s="10"/>
      <c r="F12320" s="69"/>
      <c r="G12320" s="68"/>
      <c r="H12320" s="70"/>
      <c r="BA12320" s="4"/>
      <c r="BB12320" s="4"/>
    </row>
    <row r="12321" spans="1:54" x14ac:dyDescent="0.3">
      <c r="A12321" s="66"/>
      <c r="B12321" s="67"/>
      <c r="C12321" s="66"/>
      <c r="D12321" s="68"/>
      <c r="E12321" s="10"/>
      <c r="F12321" s="69"/>
      <c r="G12321" s="68"/>
      <c r="H12321" s="70"/>
      <c r="BA12321" s="4"/>
      <c r="BB12321" s="4"/>
    </row>
    <row r="12322" spans="1:54" x14ac:dyDescent="0.3">
      <c r="A12322" s="66"/>
      <c r="B12322" s="67"/>
      <c r="C12322" s="66"/>
      <c r="D12322" s="68"/>
      <c r="E12322" s="10"/>
      <c r="F12322" s="69"/>
      <c r="G12322" s="68"/>
      <c r="H12322" s="70"/>
      <c r="BA12322" s="4"/>
      <c r="BB12322" s="4"/>
    </row>
    <row r="12323" spans="1:54" x14ac:dyDescent="0.3">
      <c r="A12323" s="66"/>
      <c r="B12323" s="67"/>
      <c r="C12323" s="66"/>
      <c r="D12323" s="68"/>
      <c r="E12323" s="10"/>
      <c r="F12323" s="69"/>
      <c r="G12323" s="68"/>
      <c r="H12323" s="70"/>
      <c r="BA12323" s="4"/>
      <c r="BB12323" s="4"/>
    </row>
    <row r="12324" spans="1:54" x14ac:dyDescent="0.3">
      <c r="A12324" s="66"/>
      <c r="B12324" s="67"/>
      <c r="C12324" s="66"/>
      <c r="D12324" s="68"/>
      <c r="E12324" s="10"/>
      <c r="F12324" s="69"/>
      <c r="G12324" s="68"/>
      <c r="H12324" s="70"/>
      <c r="BA12324" s="4"/>
      <c r="BB12324" s="4"/>
    </row>
    <row r="12325" spans="1:54" x14ac:dyDescent="0.3">
      <c r="A12325" s="66"/>
      <c r="B12325" s="67"/>
      <c r="C12325" s="66"/>
      <c r="D12325" s="68"/>
      <c r="E12325" s="10"/>
      <c r="F12325" s="69"/>
      <c r="G12325" s="68"/>
      <c r="H12325" s="70"/>
      <c r="BA12325" s="4"/>
      <c r="BB12325" s="4"/>
    </row>
    <row r="12326" spans="1:54" x14ac:dyDescent="0.3">
      <c r="A12326" s="66"/>
      <c r="B12326" s="67"/>
      <c r="C12326" s="66"/>
      <c r="D12326" s="68"/>
      <c r="E12326" s="10"/>
      <c r="F12326" s="69"/>
      <c r="G12326" s="68"/>
      <c r="H12326" s="70"/>
      <c r="BA12326" s="4"/>
      <c r="BB12326" s="4"/>
    </row>
    <row r="12327" spans="1:54" x14ac:dyDescent="0.3">
      <c r="A12327" s="66"/>
      <c r="B12327" s="67"/>
      <c r="C12327" s="66"/>
      <c r="D12327" s="68"/>
      <c r="E12327" s="10"/>
      <c r="F12327" s="69"/>
      <c r="G12327" s="68"/>
      <c r="H12327" s="70"/>
      <c r="BA12327" s="4"/>
      <c r="BB12327" s="4"/>
    </row>
    <row r="12328" spans="1:54" x14ac:dyDescent="0.3">
      <c r="A12328" s="66"/>
      <c r="B12328" s="67"/>
      <c r="C12328" s="66"/>
      <c r="D12328" s="68"/>
      <c r="E12328" s="10"/>
      <c r="F12328" s="69"/>
      <c r="G12328" s="68"/>
      <c r="H12328" s="70"/>
      <c r="BA12328" s="4"/>
      <c r="BB12328" s="4"/>
    </row>
    <row r="12329" spans="1:54" x14ac:dyDescent="0.3">
      <c r="A12329" s="66"/>
      <c r="B12329" s="67"/>
      <c r="C12329" s="66"/>
      <c r="D12329" s="68"/>
      <c r="E12329" s="10"/>
      <c r="F12329" s="69"/>
      <c r="G12329" s="68"/>
      <c r="H12329" s="70"/>
      <c r="BA12329" s="4"/>
      <c r="BB12329" s="4"/>
    </row>
    <row r="12330" spans="1:54" x14ac:dyDescent="0.3">
      <c r="A12330" s="66"/>
      <c r="B12330" s="67"/>
      <c r="C12330" s="66"/>
      <c r="D12330" s="68"/>
      <c r="E12330" s="10"/>
      <c r="F12330" s="69"/>
      <c r="G12330" s="68"/>
      <c r="H12330" s="70"/>
      <c r="BA12330" s="4"/>
      <c r="BB12330" s="4"/>
    </row>
    <row r="12331" spans="1:54" x14ac:dyDescent="0.3">
      <c r="A12331" s="66"/>
      <c r="B12331" s="67"/>
      <c r="C12331" s="66"/>
      <c r="D12331" s="68"/>
      <c r="E12331" s="10"/>
      <c r="F12331" s="69"/>
      <c r="G12331" s="68"/>
      <c r="H12331" s="70"/>
      <c r="BA12331" s="4"/>
      <c r="BB12331" s="4"/>
    </row>
    <row r="12332" spans="1:54" x14ac:dyDescent="0.3">
      <c r="A12332" s="66"/>
      <c r="B12332" s="67"/>
      <c r="C12332" s="66"/>
      <c r="D12332" s="68"/>
      <c r="E12332" s="10"/>
      <c r="F12332" s="69"/>
      <c r="G12332" s="68"/>
      <c r="H12332" s="70"/>
      <c r="BA12332" s="4"/>
      <c r="BB12332" s="4"/>
    </row>
    <row r="12333" spans="1:54" x14ac:dyDescent="0.3">
      <c r="A12333" s="66"/>
      <c r="B12333" s="67"/>
      <c r="C12333" s="66"/>
      <c r="D12333" s="68"/>
      <c r="E12333" s="10"/>
      <c r="F12333" s="69"/>
      <c r="G12333" s="68"/>
      <c r="H12333" s="70"/>
      <c r="BA12333" s="4"/>
      <c r="BB12333" s="4"/>
    </row>
    <row r="12334" spans="1:54" x14ac:dyDescent="0.3">
      <c r="A12334" s="66"/>
      <c r="B12334" s="67"/>
      <c r="C12334" s="66"/>
      <c r="D12334" s="68"/>
      <c r="E12334" s="10"/>
      <c r="F12334" s="69"/>
      <c r="G12334" s="68"/>
      <c r="H12334" s="70"/>
      <c r="BA12334" s="4"/>
      <c r="BB12334" s="4"/>
    </row>
    <row r="12335" spans="1:54" x14ac:dyDescent="0.3">
      <c r="A12335" s="66"/>
      <c r="B12335" s="67"/>
      <c r="C12335" s="66"/>
      <c r="D12335" s="68"/>
      <c r="E12335" s="10"/>
      <c r="F12335" s="69"/>
      <c r="G12335" s="68"/>
      <c r="H12335" s="70"/>
      <c r="BA12335" s="4"/>
      <c r="BB12335" s="4"/>
    </row>
    <row r="12336" spans="1:54" x14ac:dyDescent="0.3">
      <c r="A12336" s="66"/>
      <c r="B12336" s="67"/>
      <c r="C12336" s="66"/>
      <c r="D12336" s="68"/>
      <c r="E12336" s="10"/>
      <c r="F12336" s="69"/>
      <c r="G12336" s="68"/>
      <c r="H12336" s="70"/>
      <c r="BA12336" s="4"/>
      <c r="BB12336" s="4"/>
    </row>
    <row r="12337" spans="1:54" x14ac:dyDescent="0.3">
      <c r="A12337" s="66"/>
      <c r="B12337" s="67"/>
      <c r="C12337" s="66"/>
      <c r="D12337" s="68"/>
      <c r="E12337" s="10"/>
      <c r="F12337" s="69"/>
      <c r="G12337" s="68"/>
      <c r="H12337" s="70"/>
      <c r="BA12337" s="4"/>
      <c r="BB12337" s="4"/>
    </row>
    <row r="12338" spans="1:54" x14ac:dyDescent="0.3">
      <c r="A12338" s="66"/>
      <c r="B12338" s="67"/>
      <c r="C12338" s="66"/>
      <c r="D12338" s="68"/>
      <c r="E12338" s="10"/>
      <c r="F12338" s="69"/>
      <c r="G12338" s="68"/>
      <c r="H12338" s="70"/>
      <c r="BA12338" s="4"/>
      <c r="BB12338" s="4"/>
    </row>
    <row r="12339" spans="1:54" x14ac:dyDescent="0.3">
      <c r="A12339" s="66"/>
      <c r="B12339" s="67"/>
      <c r="C12339" s="66"/>
      <c r="D12339" s="68"/>
      <c r="E12339" s="10"/>
      <c r="F12339" s="69"/>
      <c r="G12339" s="68"/>
      <c r="H12339" s="70"/>
      <c r="BA12339" s="4"/>
      <c r="BB12339" s="4"/>
    </row>
    <row r="12340" spans="1:54" x14ac:dyDescent="0.3">
      <c r="A12340" s="66"/>
      <c r="B12340" s="67"/>
      <c r="C12340" s="66"/>
      <c r="D12340" s="68"/>
      <c r="E12340" s="10"/>
      <c r="F12340" s="69"/>
      <c r="G12340" s="68"/>
      <c r="H12340" s="70"/>
      <c r="BA12340" s="4"/>
      <c r="BB12340" s="4"/>
    </row>
    <row r="12341" spans="1:54" x14ac:dyDescent="0.3">
      <c r="A12341" s="66"/>
      <c r="B12341" s="67"/>
      <c r="C12341" s="66"/>
      <c r="D12341" s="68"/>
      <c r="E12341" s="10"/>
      <c r="F12341" s="69"/>
      <c r="G12341" s="68"/>
      <c r="H12341" s="70"/>
      <c r="BA12341" s="4"/>
      <c r="BB12341" s="4"/>
    </row>
    <row r="12342" spans="1:54" x14ac:dyDescent="0.3">
      <c r="A12342" s="66"/>
      <c r="B12342" s="67"/>
      <c r="C12342" s="66"/>
      <c r="D12342" s="68"/>
      <c r="E12342" s="10"/>
      <c r="F12342" s="69"/>
      <c r="G12342" s="68"/>
      <c r="H12342" s="70"/>
      <c r="BA12342" s="4"/>
      <c r="BB12342" s="4"/>
    </row>
    <row r="12343" spans="1:54" x14ac:dyDescent="0.3">
      <c r="A12343" s="66"/>
      <c r="B12343" s="67"/>
      <c r="C12343" s="66"/>
      <c r="D12343" s="68"/>
      <c r="E12343" s="10"/>
      <c r="F12343" s="69"/>
      <c r="G12343" s="68"/>
      <c r="H12343" s="70"/>
      <c r="BA12343" s="4"/>
      <c r="BB12343" s="4"/>
    </row>
    <row r="12344" spans="1:54" x14ac:dyDescent="0.3">
      <c r="A12344" s="66"/>
      <c r="B12344" s="67"/>
      <c r="C12344" s="66"/>
      <c r="D12344" s="68"/>
      <c r="E12344" s="10"/>
      <c r="F12344" s="69"/>
      <c r="G12344" s="68"/>
      <c r="H12344" s="70"/>
      <c r="BA12344" s="4"/>
      <c r="BB12344" s="4"/>
    </row>
    <row r="12345" spans="1:54" x14ac:dyDescent="0.3">
      <c r="A12345" s="66"/>
      <c r="B12345" s="67"/>
      <c r="C12345" s="66"/>
      <c r="D12345" s="68"/>
      <c r="E12345" s="10"/>
      <c r="F12345" s="69"/>
      <c r="G12345" s="68"/>
      <c r="H12345" s="70"/>
      <c r="BA12345" s="4"/>
      <c r="BB12345" s="4"/>
    </row>
    <row r="12346" spans="1:54" x14ac:dyDescent="0.3">
      <c r="A12346" s="66"/>
      <c r="B12346" s="67"/>
      <c r="C12346" s="66"/>
      <c r="D12346" s="68"/>
      <c r="E12346" s="10"/>
      <c r="F12346" s="69"/>
      <c r="G12346" s="68"/>
      <c r="H12346" s="70"/>
      <c r="BA12346" s="4"/>
      <c r="BB12346" s="4"/>
    </row>
    <row r="12347" spans="1:54" x14ac:dyDescent="0.3">
      <c r="A12347" s="66"/>
      <c r="B12347" s="67"/>
      <c r="C12347" s="66"/>
      <c r="D12347" s="68"/>
      <c r="E12347" s="10"/>
      <c r="F12347" s="69"/>
      <c r="G12347" s="68"/>
      <c r="H12347" s="70"/>
      <c r="BA12347" s="4"/>
      <c r="BB12347" s="4"/>
    </row>
    <row r="12348" spans="1:54" x14ac:dyDescent="0.3">
      <c r="A12348" s="66"/>
      <c r="B12348" s="67"/>
      <c r="C12348" s="66"/>
      <c r="D12348" s="68"/>
      <c r="E12348" s="10"/>
      <c r="F12348" s="69"/>
      <c r="G12348" s="68"/>
      <c r="H12348" s="70"/>
      <c r="BA12348" s="4"/>
      <c r="BB12348" s="4"/>
    </row>
    <row r="12349" spans="1:54" x14ac:dyDescent="0.3">
      <c r="A12349" s="66"/>
      <c r="B12349" s="67"/>
      <c r="C12349" s="66"/>
      <c r="D12349" s="68"/>
      <c r="E12349" s="10"/>
      <c r="F12349" s="69"/>
      <c r="G12349" s="68"/>
      <c r="H12349" s="70"/>
      <c r="BA12349" s="4"/>
      <c r="BB12349" s="4"/>
    </row>
    <row r="12350" spans="1:54" x14ac:dyDescent="0.3">
      <c r="A12350" s="66"/>
      <c r="B12350" s="67"/>
      <c r="C12350" s="66"/>
      <c r="D12350" s="68"/>
      <c r="E12350" s="10"/>
      <c r="F12350" s="69"/>
      <c r="G12350" s="68"/>
      <c r="H12350" s="70"/>
      <c r="BA12350" s="4"/>
      <c r="BB12350" s="4"/>
    </row>
    <row r="12351" spans="1:54" x14ac:dyDescent="0.3">
      <c r="A12351" s="66"/>
      <c r="B12351" s="67"/>
      <c r="C12351" s="66"/>
      <c r="D12351" s="68"/>
      <c r="E12351" s="10"/>
      <c r="F12351" s="69"/>
      <c r="G12351" s="68"/>
      <c r="H12351" s="70"/>
      <c r="BA12351" s="4"/>
      <c r="BB12351" s="4"/>
    </row>
    <row r="12352" spans="1:54" x14ac:dyDescent="0.3">
      <c r="A12352" s="66"/>
      <c r="B12352" s="67"/>
      <c r="C12352" s="66"/>
      <c r="D12352" s="68"/>
      <c r="E12352" s="10"/>
      <c r="F12352" s="69"/>
      <c r="G12352" s="68"/>
      <c r="H12352" s="70"/>
      <c r="BA12352" s="4"/>
      <c r="BB12352" s="4"/>
    </row>
    <row r="12353" spans="1:54" x14ac:dyDescent="0.3">
      <c r="A12353" s="66"/>
      <c r="B12353" s="67"/>
      <c r="C12353" s="66"/>
      <c r="D12353" s="68"/>
      <c r="E12353" s="10"/>
      <c r="F12353" s="69"/>
      <c r="G12353" s="68"/>
      <c r="H12353" s="70"/>
      <c r="BA12353" s="4"/>
      <c r="BB12353" s="4"/>
    </row>
    <row r="12354" spans="1:54" x14ac:dyDescent="0.3">
      <c r="A12354" s="66"/>
      <c r="B12354" s="67"/>
      <c r="C12354" s="66"/>
      <c r="D12354" s="68"/>
      <c r="E12354" s="10"/>
      <c r="F12354" s="69"/>
      <c r="G12354" s="68"/>
      <c r="H12354" s="70"/>
      <c r="BA12354" s="4"/>
      <c r="BB12354" s="4"/>
    </row>
    <row r="12355" spans="1:54" x14ac:dyDescent="0.3">
      <c r="A12355" s="66"/>
      <c r="B12355" s="67"/>
      <c r="C12355" s="66"/>
      <c r="D12355" s="68"/>
      <c r="E12355" s="10"/>
      <c r="F12355" s="69"/>
      <c r="G12355" s="68"/>
      <c r="H12355" s="70"/>
      <c r="BA12355" s="4"/>
      <c r="BB12355" s="4"/>
    </row>
    <row r="12356" spans="1:54" x14ac:dyDescent="0.3">
      <c r="A12356" s="66"/>
      <c r="B12356" s="67"/>
      <c r="C12356" s="66"/>
      <c r="D12356" s="68"/>
      <c r="E12356" s="10"/>
      <c r="F12356" s="69"/>
      <c r="G12356" s="68"/>
      <c r="H12356" s="70"/>
      <c r="BA12356" s="4"/>
      <c r="BB12356" s="4"/>
    </row>
    <row r="12357" spans="1:54" x14ac:dyDescent="0.3">
      <c r="A12357" s="66"/>
      <c r="B12357" s="67"/>
      <c r="C12357" s="66"/>
      <c r="D12357" s="68"/>
      <c r="E12357" s="10"/>
      <c r="F12357" s="69"/>
      <c r="G12357" s="68"/>
      <c r="H12357" s="70"/>
      <c r="BA12357" s="4"/>
      <c r="BB12357" s="4"/>
    </row>
    <row r="12358" spans="1:54" x14ac:dyDescent="0.3">
      <c r="A12358" s="66"/>
      <c r="B12358" s="67"/>
      <c r="C12358" s="66"/>
      <c r="D12358" s="68"/>
      <c r="E12358" s="10"/>
      <c r="F12358" s="69"/>
      <c r="G12358" s="68"/>
      <c r="H12358" s="70"/>
      <c r="BA12358" s="4"/>
      <c r="BB12358" s="4"/>
    </row>
    <row r="12359" spans="1:54" x14ac:dyDescent="0.3">
      <c r="A12359" s="66"/>
      <c r="B12359" s="67"/>
      <c r="C12359" s="66"/>
      <c r="D12359" s="68"/>
      <c r="E12359" s="10"/>
      <c r="F12359" s="69"/>
      <c r="G12359" s="68"/>
      <c r="H12359" s="70"/>
      <c r="BA12359" s="4"/>
      <c r="BB12359" s="4"/>
    </row>
    <row r="12360" spans="1:54" x14ac:dyDescent="0.3">
      <c r="A12360" s="66"/>
      <c r="B12360" s="67"/>
      <c r="C12360" s="66"/>
      <c r="D12360" s="68"/>
      <c r="E12360" s="10"/>
      <c r="F12360" s="69"/>
      <c r="G12360" s="68"/>
      <c r="H12360" s="70"/>
      <c r="BA12360" s="4"/>
      <c r="BB12360" s="4"/>
    </row>
    <row r="12361" spans="1:54" x14ac:dyDescent="0.3">
      <c r="A12361" s="66"/>
      <c r="B12361" s="67"/>
      <c r="C12361" s="66"/>
      <c r="D12361" s="68"/>
      <c r="E12361" s="10"/>
      <c r="F12361" s="69"/>
      <c r="G12361" s="68"/>
      <c r="H12361" s="70"/>
      <c r="BA12361" s="4"/>
      <c r="BB12361" s="4"/>
    </row>
    <row r="12362" spans="1:54" x14ac:dyDescent="0.3">
      <c r="A12362" s="66"/>
      <c r="B12362" s="67"/>
      <c r="C12362" s="66"/>
      <c r="D12362" s="68"/>
      <c r="E12362" s="10"/>
      <c r="F12362" s="69"/>
      <c r="G12362" s="68"/>
      <c r="H12362" s="70"/>
      <c r="BA12362" s="4"/>
      <c r="BB12362" s="4"/>
    </row>
    <row r="12363" spans="1:54" x14ac:dyDescent="0.3">
      <c r="A12363" s="66"/>
      <c r="B12363" s="67"/>
      <c r="C12363" s="66"/>
      <c r="D12363" s="68"/>
      <c r="E12363" s="10"/>
      <c r="F12363" s="69"/>
      <c r="G12363" s="68"/>
      <c r="H12363" s="70"/>
      <c r="BA12363" s="4"/>
      <c r="BB12363" s="4"/>
    </row>
    <row r="12364" spans="1:54" x14ac:dyDescent="0.3">
      <c r="A12364" s="66"/>
      <c r="B12364" s="67"/>
      <c r="C12364" s="66"/>
      <c r="D12364" s="68"/>
      <c r="E12364" s="10"/>
      <c r="F12364" s="69"/>
      <c r="G12364" s="68"/>
      <c r="H12364" s="70"/>
      <c r="BA12364" s="4"/>
      <c r="BB12364" s="4"/>
    </row>
    <row r="12365" spans="1:54" x14ac:dyDescent="0.3">
      <c r="A12365" s="66"/>
      <c r="B12365" s="67"/>
      <c r="C12365" s="66"/>
      <c r="D12365" s="68"/>
      <c r="E12365" s="10"/>
      <c r="F12365" s="69"/>
      <c r="G12365" s="68"/>
      <c r="H12365" s="70"/>
      <c r="BA12365" s="4"/>
      <c r="BB12365" s="4"/>
    </row>
    <row r="12366" spans="1:54" x14ac:dyDescent="0.3">
      <c r="A12366" s="66"/>
      <c r="B12366" s="67"/>
      <c r="C12366" s="66"/>
      <c r="D12366" s="68"/>
      <c r="E12366" s="10"/>
      <c r="F12366" s="69"/>
      <c r="G12366" s="68"/>
      <c r="H12366" s="70"/>
      <c r="BA12366" s="4"/>
      <c r="BB12366" s="4"/>
    </row>
    <row r="12367" spans="1:54" x14ac:dyDescent="0.3">
      <c r="A12367" s="66"/>
      <c r="B12367" s="67"/>
      <c r="C12367" s="66"/>
      <c r="D12367" s="68"/>
      <c r="E12367" s="10"/>
      <c r="F12367" s="69"/>
      <c r="G12367" s="68"/>
      <c r="H12367" s="70"/>
      <c r="BA12367" s="4"/>
      <c r="BB12367" s="4"/>
    </row>
    <row r="12368" spans="1:54" x14ac:dyDescent="0.3">
      <c r="A12368" s="66"/>
      <c r="B12368" s="67"/>
      <c r="C12368" s="66"/>
      <c r="D12368" s="68"/>
      <c r="E12368" s="10"/>
      <c r="F12368" s="69"/>
      <c r="G12368" s="68"/>
      <c r="H12368" s="70"/>
      <c r="BA12368" s="4"/>
      <c r="BB12368" s="4"/>
    </row>
    <row r="12369" spans="1:54" x14ac:dyDescent="0.3">
      <c r="A12369" s="66"/>
      <c r="B12369" s="67"/>
      <c r="C12369" s="66"/>
      <c r="D12369" s="68"/>
      <c r="E12369" s="10"/>
      <c r="F12369" s="69"/>
      <c r="G12369" s="68"/>
      <c r="H12369" s="70"/>
      <c r="BA12369" s="4"/>
      <c r="BB12369" s="4"/>
    </row>
    <row r="12370" spans="1:54" x14ac:dyDescent="0.3">
      <c r="A12370" s="66"/>
      <c r="B12370" s="67"/>
      <c r="C12370" s="66"/>
      <c r="D12370" s="68"/>
      <c r="E12370" s="10"/>
      <c r="F12370" s="69"/>
      <c r="G12370" s="68"/>
      <c r="H12370" s="70"/>
      <c r="BA12370" s="4"/>
      <c r="BB12370" s="4"/>
    </row>
    <row r="12371" spans="1:54" x14ac:dyDescent="0.3">
      <c r="A12371" s="66"/>
      <c r="B12371" s="67"/>
      <c r="C12371" s="66"/>
      <c r="D12371" s="68"/>
      <c r="E12371" s="10"/>
      <c r="F12371" s="69"/>
      <c r="G12371" s="68"/>
      <c r="H12371" s="70"/>
      <c r="BA12371" s="4"/>
      <c r="BB12371" s="4"/>
    </row>
    <row r="12372" spans="1:54" x14ac:dyDescent="0.3">
      <c r="A12372" s="66"/>
      <c r="B12372" s="67"/>
      <c r="C12372" s="66"/>
      <c r="D12372" s="68"/>
      <c r="E12372" s="10"/>
      <c r="F12372" s="69"/>
      <c r="G12372" s="68"/>
      <c r="H12372" s="70"/>
      <c r="BA12372" s="4"/>
      <c r="BB12372" s="4"/>
    </row>
    <row r="12373" spans="1:54" x14ac:dyDescent="0.3">
      <c r="A12373" s="66"/>
      <c r="B12373" s="67"/>
      <c r="C12373" s="66"/>
      <c r="D12373" s="68"/>
      <c r="E12373" s="10"/>
      <c r="F12373" s="69"/>
      <c r="G12373" s="68"/>
      <c r="H12373" s="70"/>
      <c r="BA12373" s="4"/>
      <c r="BB12373" s="4"/>
    </row>
    <row r="12374" spans="1:54" x14ac:dyDescent="0.3">
      <c r="A12374" s="66"/>
      <c r="B12374" s="67"/>
      <c r="C12374" s="66"/>
      <c r="D12374" s="68"/>
      <c r="E12374" s="10"/>
      <c r="F12374" s="69"/>
      <c r="G12374" s="68"/>
      <c r="H12374" s="70"/>
      <c r="BA12374" s="4"/>
      <c r="BB12374" s="4"/>
    </row>
    <row r="12375" spans="1:54" x14ac:dyDescent="0.3">
      <c r="A12375" s="66"/>
      <c r="B12375" s="67"/>
      <c r="C12375" s="66"/>
      <c r="D12375" s="68"/>
      <c r="E12375" s="10"/>
      <c r="F12375" s="69"/>
      <c r="G12375" s="68"/>
      <c r="H12375" s="70"/>
      <c r="BA12375" s="4"/>
      <c r="BB12375" s="4"/>
    </row>
    <row r="12376" spans="1:54" x14ac:dyDescent="0.3">
      <c r="A12376" s="66"/>
      <c r="B12376" s="67"/>
      <c r="C12376" s="66"/>
      <c r="D12376" s="68"/>
      <c r="E12376" s="10"/>
      <c r="F12376" s="69"/>
      <c r="G12376" s="68"/>
      <c r="H12376" s="70"/>
      <c r="BA12376" s="4"/>
      <c r="BB12376" s="4"/>
    </row>
    <row r="12377" spans="1:54" x14ac:dyDescent="0.3">
      <c r="A12377" s="66"/>
      <c r="B12377" s="67"/>
      <c r="C12377" s="66"/>
      <c r="D12377" s="68"/>
      <c r="E12377" s="10"/>
      <c r="F12377" s="69"/>
      <c r="G12377" s="68"/>
      <c r="H12377" s="70"/>
      <c r="BA12377" s="4"/>
      <c r="BB12377" s="4"/>
    </row>
    <row r="12378" spans="1:54" x14ac:dyDescent="0.3">
      <c r="A12378" s="66"/>
      <c r="B12378" s="67"/>
      <c r="C12378" s="66"/>
      <c r="D12378" s="68"/>
      <c r="E12378" s="10"/>
      <c r="F12378" s="69"/>
      <c r="G12378" s="68"/>
      <c r="H12378" s="70"/>
      <c r="BA12378" s="4"/>
      <c r="BB12378" s="4"/>
    </row>
    <row r="12379" spans="1:54" x14ac:dyDescent="0.3">
      <c r="A12379" s="66"/>
      <c r="B12379" s="67"/>
      <c r="C12379" s="66"/>
      <c r="D12379" s="68"/>
      <c r="E12379" s="10"/>
      <c r="F12379" s="69"/>
      <c r="G12379" s="68"/>
      <c r="H12379" s="70"/>
      <c r="BA12379" s="4"/>
      <c r="BB12379" s="4"/>
    </row>
    <row r="12380" spans="1:54" x14ac:dyDescent="0.3">
      <c r="A12380" s="66"/>
      <c r="B12380" s="67"/>
      <c r="C12380" s="66"/>
      <c r="D12380" s="68"/>
      <c r="E12380" s="10"/>
      <c r="F12380" s="69"/>
      <c r="G12380" s="68"/>
      <c r="H12380" s="70"/>
      <c r="BA12380" s="4"/>
      <c r="BB12380" s="4"/>
    </row>
    <row r="12381" spans="1:54" x14ac:dyDescent="0.3">
      <c r="A12381" s="66"/>
      <c r="B12381" s="67"/>
      <c r="C12381" s="66"/>
      <c r="D12381" s="68"/>
      <c r="E12381" s="10"/>
      <c r="F12381" s="69"/>
      <c r="G12381" s="68"/>
      <c r="H12381" s="70"/>
      <c r="BA12381" s="4"/>
      <c r="BB12381" s="4"/>
    </row>
    <row r="12382" spans="1:54" x14ac:dyDescent="0.3">
      <c r="A12382" s="66"/>
      <c r="B12382" s="67"/>
      <c r="C12382" s="66"/>
      <c r="D12382" s="68"/>
      <c r="E12382" s="10"/>
      <c r="F12382" s="69"/>
      <c r="G12382" s="68"/>
      <c r="H12382" s="70"/>
      <c r="BA12382" s="4"/>
      <c r="BB12382" s="4"/>
    </row>
    <row r="12383" spans="1:54" x14ac:dyDescent="0.3">
      <c r="A12383" s="66"/>
      <c r="B12383" s="67"/>
      <c r="C12383" s="66"/>
      <c r="D12383" s="68"/>
      <c r="E12383" s="10"/>
      <c r="F12383" s="69"/>
      <c r="G12383" s="68"/>
      <c r="H12383" s="70"/>
      <c r="BA12383" s="4"/>
      <c r="BB12383" s="4"/>
    </row>
    <row r="12384" spans="1:54" x14ac:dyDescent="0.3">
      <c r="A12384" s="66"/>
      <c r="B12384" s="67"/>
      <c r="C12384" s="66"/>
      <c r="D12384" s="68"/>
      <c r="E12384" s="10"/>
      <c r="F12384" s="69"/>
      <c r="G12384" s="68"/>
      <c r="H12384" s="70"/>
      <c r="BA12384" s="4"/>
      <c r="BB12384" s="4"/>
    </row>
    <row r="12385" spans="1:54" x14ac:dyDescent="0.3">
      <c r="A12385" s="66"/>
      <c r="B12385" s="67"/>
      <c r="C12385" s="66"/>
      <c r="D12385" s="68"/>
      <c r="E12385" s="10"/>
      <c r="F12385" s="69"/>
      <c r="G12385" s="68"/>
      <c r="H12385" s="70"/>
      <c r="BA12385" s="4"/>
      <c r="BB12385" s="4"/>
    </row>
    <row r="12386" spans="1:54" x14ac:dyDescent="0.3">
      <c r="A12386" s="66"/>
      <c r="B12386" s="67"/>
      <c r="C12386" s="66"/>
      <c r="D12386" s="68"/>
      <c r="E12386" s="10"/>
      <c r="F12386" s="69"/>
      <c r="G12386" s="68"/>
      <c r="H12386" s="70"/>
      <c r="BA12386" s="4"/>
      <c r="BB12386" s="4"/>
    </row>
    <row r="12387" spans="1:54" x14ac:dyDescent="0.3">
      <c r="A12387" s="66"/>
      <c r="B12387" s="67"/>
      <c r="C12387" s="66"/>
      <c r="D12387" s="68"/>
      <c r="E12387" s="10"/>
      <c r="F12387" s="69"/>
      <c r="G12387" s="68"/>
      <c r="H12387" s="70"/>
      <c r="BA12387" s="4"/>
      <c r="BB12387" s="4"/>
    </row>
    <row r="12388" spans="1:54" x14ac:dyDescent="0.3">
      <c r="A12388" s="66"/>
      <c r="B12388" s="67"/>
      <c r="C12388" s="66"/>
      <c r="D12388" s="68"/>
      <c r="E12388" s="10"/>
      <c r="F12388" s="69"/>
      <c r="G12388" s="68"/>
      <c r="H12388" s="70"/>
      <c r="BA12388" s="4"/>
      <c r="BB12388" s="4"/>
    </row>
    <row r="12389" spans="1:54" x14ac:dyDescent="0.3">
      <c r="A12389" s="66"/>
      <c r="B12389" s="67"/>
      <c r="C12389" s="66"/>
      <c r="D12389" s="68"/>
      <c r="E12389" s="10"/>
      <c r="F12389" s="69"/>
      <c r="G12389" s="68"/>
      <c r="H12389" s="70"/>
      <c r="BA12389" s="4"/>
      <c r="BB12389" s="4"/>
    </row>
    <row r="12390" spans="1:54" x14ac:dyDescent="0.3">
      <c r="A12390" s="66"/>
      <c r="B12390" s="67"/>
      <c r="C12390" s="66"/>
      <c r="D12390" s="68"/>
      <c r="E12390" s="10"/>
      <c r="F12390" s="69"/>
      <c r="G12390" s="68"/>
      <c r="H12390" s="70"/>
      <c r="BA12390" s="4"/>
      <c r="BB12390" s="4"/>
    </row>
    <row r="12391" spans="1:54" x14ac:dyDescent="0.3">
      <c r="A12391" s="66"/>
      <c r="B12391" s="67"/>
      <c r="C12391" s="66"/>
      <c r="D12391" s="68"/>
      <c r="E12391" s="10"/>
      <c r="F12391" s="69"/>
      <c r="G12391" s="68"/>
      <c r="H12391" s="70"/>
      <c r="BA12391" s="4"/>
      <c r="BB12391" s="4"/>
    </row>
    <row r="12392" spans="1:54" x14ac:dyDescent="0.3">
      <c r="A12392" s="66"/>
      <c r="B12392" s="67"/>
      <c r="C12392" s="66"/>
      <c r="D12392" s="68"/>
      <c r="E12392" s="10"/>
      <c r="F12392" s="69"/>
      <c r="G12392" s="68"/>
      <c r="H12392" s="70"/>
      <c r="BA12392" s="4"/>
      <c r="BB12392" s="4"/>
    </row>
    <row r="12393" spans="1:54" x14ac:dyDescent="0.3">
      <c r="A12393" s="66"/>
      <c r="B12393" s="67"/>
      <c r="C12393" s="66"/>
      <c r="D12393" s="68"/>
      <c r="E12393" s="10"/>
      <c r="F12393" s="69"/>
      <c r="G12393" s="68"/>
      <c r="H12393" s="70"/>
      <c r="BA12393" s="4"/>
      <c r="BB12393" s="4"/>
    </row>
    <row r="12394" spans="1:54" x14ac:dyDescent="0.3">
      <c r="A12394" s="66"/>
      <c r="B12394" s="67"/>
      <c r="C12394" s="66"/>
      <c r="D12394" s="68"/>
      <c r="E12394" s="10"/>
      <c r="F12394" s="69"/>
      <c r="G12394" s="68"/>
      <c r="H12394" s="70"/>
      <c r="BA12394" s="4"/>
      <c r="BB12394" s="4"/>
    </row>
    <row r="12395" spans="1:54" x14ac:dyDescent="0.3">
      <c r="A12395" s="66"/>
      <c r="B12395" s="67"/>
      <c r="C12395" s="66"/>
      <c r="D12395" s="68"/>
      <c r="E12395" s="10"/>
      <c r="F12395" s="69"/>
      <c r="G12395" s="68"/>
      <c r="H12395" s="70"/>
      <c r="BA12395" s="4"/>
      <c r="BB12395" s="4"/>
    </row>
    <row r="12396" spans="1:54" x14ac:dyDescent="0.3">
      <c r="A12396" s="66"/>
      <c r="B12396" s="67"/>
      <c r="C12396" s="66"/>
      <c r="D12396" s="68"/>
      <c r="E12396" s="10"/>
      <c r="F12396" s="69"/>
      <c r="G12396" s="68"/>
      <c r="H12396" s="70"/>
      <c r="BA12396" s="4"/>
      <c r="BB12396" s="4"/>
    </row>
    <row r="12397" spans="1:54" x14ac:dyDescent="0.3">
      <c r="A12397" s="66"/>
      <c r="B12397" s="67"/>
      <c r="C12397" s="66"/>
      <c r="D12397" s="68"/>
      <c r="E12397" s="10"/>
      <c r="F12397" s="69"/>
      <c r="G12397" s="68"/>
      <c r="H12397" s="70"/>
      <c r="BA12397" s="4"/>
      <c r="BB12397" s="4"/>
    </row>
    <row r="12398" spans="1:54" x14ac:dyDescent="0.3">
      <c r="A12398" s="66"/>
      <c r="B12398" s="67"/>
      <c r="C12398" s="66"/>
      <c r="D12398" s="68"/>
      <c r="E12398" s="10"/>
      <c r="F12398" s="69"/>
      <c r="G12398" s="68"/>
      <c r="H12398" s="70"/>
      <c r="BA12398" s="4"/>
      <c r="BB12398" s="4"/>
    </row>
    <row r="12399" spans="1:54" x14ac:dyDescent="0.3">
      <c r="A12399" s="66"/>
      <c r="B12399" s="67"/>
      <c r="C12399" s="66"/>
      <c r="D12399" s="68"/>
      <c r="E12399" s="10"/>
      <c r="F12399" s="69"/>
      <c r="G12399" s="68"/>
      <c r="H12399" s="70"/>
      <c r="BA12399" s="4"/>
      <c r="BB12399" s="4"/>
    </row>
    <row r="12400" spans="1:54" x14ac:dyDescent="0.3">
      <c r="A12400" s="66"/>
      <c r="B12400" s="67"/>
      <c r="C12400" s="66"/>
      <c r="D12400" s="68"/>
      <c r="E12400" s="10"/>
      <c r="F12400" s="69"/>
      <c r="G12400" s="68"/>
      <c r="H12400" s="70"/>
      <c r="BA12400" s="4"/>
      <c r="BB12400" s="4"/>
    </row>
    <row r="12401" spans="1:54" x14ac:dyDescent="0.3">
      <c r="A12401" s="66"/>
      <c r="B12401" s="67"/>
      <c r="C12401" s="66"/>
      <c r="D12401" s="68"/>
      <c r="E12401" s="10"/>
      <c r="F12401" s="69"/>
      <c r="G12401" s="68"/>
      <c r="H12401" s="70"/>
      <c r="BA12401" s="4"/>
      <c r="BB12401" s="4"/>
    </row>
    <row r="12402" spans="1:54" x14ac:dyDescent="0.3">
      <c r="A12402" s="66"/>
      <c r="B12402" s="67"/>
      <c r="C12402" s="66"/>
      <c r="D12402" s="68"/>
      <c r="E12402" s="10"/>
      <c r="F12402" s="69"/>
      <c r="G12402" s="68"/>
      <c r="H12402" s="70"/>
      <c r="BA12402" s="4"/>
      <c r="BB12402" s="4"/>
    </row>
    <row r="12403" spans="1:54" x14ac:dyDescent="0.3">
      <c r="A12403" s="66"/>
      <c r="B12403" s="67"/>
      <c r="C12403" s="66"/>
      <c r="D12403" s="68"/>
      <c r="E12403" s="10"/>
      <c r="F12403" s="69"/>
      <c r="G12403" s="68"/>
      <c r="H12403" s="70"/>
      <c r="BA12403" s="4"/>
      <c r="BB12403" s="4"/>
    </row>
    <row r="12404" spans="1:54" x14ac:dyDescent="0.3">
      <c r="A12404" s="66"/>
      <c r="B12404" s="67"/>
      <c r="C12404" s="66"/>
      <c r="D12404" s="68"/>
      <c r="E12404" s="10"/>
      <c r="F12404" s="69"/>
      <c r="G12404" s="68"/>
      <c r="H12404" s="70"/>
      <c r="BA12404" s="4"/>
      <c r="BB12404" s="4"/>
    </row>
    <row r="12405" spans="1:54" x14ac:dyDescent="0.3">
      <c r="A12405" s="66"/>
      <c r="B12405" s="67"/>
      <c r="C12405" s="66"/>
      <c r="D12405" s="68"/>
      <c r="E12405" s="10"/>
      <c r="F12405" s="69"/>
      <c r="G12405" s="68"/>
      <c r="H12405" s="70"/>
      <c r="BA12405" s="4"/>
      <c r="BB12405" s="4"/>
    </row>
    <row r="12406" spans="1:54" x14ac:dyDescent="0.3">
      <c r="A12406" s="66"/>
      <c r="B12406" s="67"/>
      <c r="C12406" s="66"/>
      <c r="D12406" s="68"/>
      <c r="E12406" s="10"/>
      <c r="F12406" s="69"/>
      <c r="G12406" s="68"/>
      <c r="H12406" s="70"/>
      <c r="BA12406" s="4"/>
      <c r="BB12406" s="4"/>
    </row>
    <row r="12407" spans="1:54" x14ac:dyDescent="0.3">
      <c r="A12407" s="66"/>
      <c r="B12407" s="67"/>
      <c r="C12407" s="66"/>
      <c r="D12407" s="68"/>
      <c r="E12407" s="10"/>
      <c r="F12407" s="69"/>
      <c r="G12407" s="68"/>
      <c r="H12407" s="70"/>
      <c r="BA12407" s="4"/>
      <c r="BB12407" s="4"/>
    </row>
    <row r="12408" spans="1:54" x14ac:dyDescent="0.3">
      <c r="A12408" s="66"/>
      <c r="B12408" s="67"/>
      <c r="C12408" s="66"/>
      <c r="D12408" s="68"/>
      <c r="E12408" s="10"/>
      <c r="F12408" s="69"/>
      <c r="G12408" s="68"/>
      <c r="H12408" s="70"/>
      <c r="BA12408" s="4"/>
      <c r="BB12408" s="4"/>
    </row>
    <row r="12409" spans="1:54" x14ac:dyDescent="0.3">
      <c r="A12409" s="66"/>
      <c r="B12409" s="67"/>
      <c r="C12409" s="66"/>
      <c r="D12409" s="68"/>
      <c r="E12409" s="10"/>
      <c r="F12409" s="69"/>
      <c r="G12409" s="68"/>
      <c r="H12409" s="70"/>
      <c r="BA12409" s="4"/>
      <c r="BB12409" s="4"/>
    </row>
    <row r="12410" spans="1:54" x14ac:dyDescent="0.3">
      <c r="A12410" s="66"/>
      <c r="B12410" s="67"/>
      <c r="C12410" s="66"/>
      <c r="D12410" s="68"/>
      <c r="E12410" s="10"/>
      <c r="F12410" s="69"/>
      <c r="G12410" s="68"/>
      <c r="H12410" s="70"/>
      <c r="BA12410" s="4"/>
      <c r="BB12410" s="4"/>
    </row>
    <row r="12411" spans="1:54" x14ac:dyDescent="0.3">
      <c r="A12411" s="66"/>
      <c r="B12411" s="67"/>
      <c r="C12411" s="66"/>
      <c r="D12411" s="68"/>
      <c r="E12411" s="10"/>
      <c r="F12411" s="69"/>
      <c r="G12411" s="68"/>
      <c r="H12411" s="70"/>
      <c r="BA12411" s="4"/>
      <c r="BB12411" s="4"/>
    </row>
    <row r="12412" spans="1:54" x14ac:dyDescent="0.3">
      <c r="A12412" s="66"/>
      <c r="B12412" s="67"/>
      <c r="C12412" s="66"/>
      <c r="D12412" s="68"/>
      <c r="E12412" s="10"/>
      <c r="F12412" s="69"/>
      <c r="G12412" s="68"/>
      <c r="H12412" s="70"/>
      <c r="BA12412" s="4"/>
      <c r="BB12412" s="4"/>
    </row>
    <row r="12413" spans="1:54" x14ac:dyDescent="0.3">
      <c r="A12413" s="66"/>
      <c r="B12413" s="67"/>
      <c r="C12413" s="66"/>
      <c r="D12413" s="68"/>
      <c r="E12413" s="10"/>
      <c r="F12413" s="69"/>
      <c r="G12413" s="68"/>
      <c r="H12413" s="70"/>
      <c r="BA12413" s="4"/>
      <c r="BB12413" s="4"/>
    </row>
    <row r="12414" spans="1:54" x14ac:dyDescent="0.3">
      <c r="A12414" s="66"/>
      <c r="B12414" s="67"/>
      <c r="C12414" s="66"/>
      <c r="D12414" s="68"/>
      <c r="E12414" s="10"/>
      <c r="F12414" s="69"/>
      <c r="G12414" s="68"/>
      <c r="H12414" s="70"/>
      <c r="BA12414" s="4"/>
      <c r="BB12414" s="4"/>
    </row>
    <row r="12415" spans="1:54" x14ac:dyDescent="0.3">
      <c r="A12415" s="66"/>
      <c r="B12415" s="67"/>
      <c r="C12415" s="66"/>
      <c r="D12415" s="68"/>
      <c r="E12415" s="10"/>
      <c r="F12415" s="69"/>
      <c r="G12415" s="68"/>
      <c r="H12415" s="70"/>
      <c r="BA12415" s="4"/>
      <c r="BB12415" s="4"/>
    </row>
    <row r="12416" spans="1:54" x14ac:dyDescent="0.3">
      <c r="A12416" s="66"/>
      <c r="B12416" s="67"/>
      <c r="C12416" s="66"/>
      <c r="D12416" s="68"/>
      <c r="E12416" s="10"/>
      <c r="F12416" s="69"/>
      <c r="G12416" s="68"/>
      <c r="H12416" s="70"/>
      <c r="BA12416" s="4"/>
      <c r="BB12416" s="4"/>
    </row>
    <row r="12417" spans="1:54" x14ac:dyDescent="0.3">
      <c r="A12417" s="66"/>
      <c r="B12417" s="67"/>
      <c r="C12417" s="66"/>
      <c r="D12417" s="68"/>
      <c r="E12417" s="10"/>
      <c r="F12417" s="69"/>
      <c r="G12417" s="68"/>
      <c r="H12417" s="70"/>
      <c r="BA12417" s="4"/>
      <c r="BB12417" s="4"/>
    </row>
    <row r="12418" spans="1:54" x14ac:dyDescent="0.3">
      <c r="A12418" s="66"/>
      <c r="B12418" s="67"/>
      <c r="C12418" s="66"/>
      <c r="D12418" s="68"/>
      <c r="E12418" s="10"/>
      <c r="F12418" s="69"/>
      <c r="G12418" s="68"/>
      <c r="H12418" s="70"/>
      <c r="BA12418" s="4"/>
      <c r="BB12418" s="4"/>
    </row>
    <row r="12419" spans="1:54" x14ac:dyDescent="0.3">
      <c r="A12419" s="66"/>
      <c r="B12419" s="67"/>
      <c r="C12419" s="66"/>
      <c r="D12419" s="68"/>
      <c r="E12419" s="10"/>
      <c r="F12419" s="69"/>
      <c r="G12419" s="68"/>
      <c r="H12419" s="70"/>
      <c r="BA12419" s="4"/>
      <c r="BB12419" s="4"/>
    </row>
    <row r="12420" spans="1:54" x14ac:dyDescent="0.3">
      <c r="A12420" s="66"/>
      <c r="B12420" s="67"/>
      <c r="C12420" s="66"/>
      <c r="D12420" s="68"/>
      <c r="E12420" s="10"/>
      <c r="F12420" s="69"/>
      <c r="G12420" s="68"/>
      <c r="H12420" s="70"/>
      <c r="BA12420" s="4"/>
      <c r="BB12420" s="4"/>
    </row>
    <row r="12421" spans="1:54" x14ac:dyDescent="0.3">
      <c r="A12421" s="66"/>
      <c r="B12421" s="67"/>
      <c r="C12421" s="66"/>
      <c r="D12421" s="68"/>
      <c r="E12421" s="10"/>
      <c r="F12421" s="69"/>
      <c r="G12421" s="68"/>
      <c r="H12421" s="70"/>
      <c r="BA12421" s="4"/>
      <c r="BB12421" s="4"/>
    </row>
    <row r="12422" spans="1:54" x14ac:dyDescent="0.3">
      <c r="A12422" s="66"/>
      <c r="B12422" s="67"/>
      <c r="C12422" s="66"/>
      <c r="D12422" s="68"/>
      <c r="E12422" s="10"/>
      <c r="F12422" s="69"/>
      <c r="G12422" s="68"/>
      <c r="H12422" s="70"/>
      <c r="BA12422" s="4"/>
      <c r="BB12422" s="4"/>
    </row>
    <row r="12423" spans="1:54" x14ac:dyDescent="0.3">
      <c r="A12423" s="66"/>
      <c r="B12423" s="67"/>
      <c r="C12423" s="66"/>
      <c r="D12423" s="68"/>
      <c r="E12423" s="10"/>
      <c r="F12423" s="69"/>
      <c r="G12423" s="68"/>
      <c r="H12423" s="70"/>
      <c r="BA12423" s="4"/>
      <c r="BB12423" s="4"/>
    </row>
    <row r="12424" spans="1:54" x14ac:dyDescent="0.3">
      <c r="A12424" s="66"/>
      <c r="B12424" s="67"/>
      <c r="C12424" s="66"/>
      <c r="D12424" s="68"/>
      <c r="E12424" s="10"/>
      <c r="F12424" s="69"/>
      <c r="G12424" s="68"/>
      <c r="H12424" s="70"/>
      <c r="BA12424" s="4"/>
      <c r="BB12424" s="4"/>
    </row>
    <row r="12425" spans="1:54" x14ac:dyDescent="0.3">
      <c r="A12425" s="66"/>
      <c r="B12425" s="67"/>
      <c r="C12425" s="66"/>
      <c r="D12425" s="68"/>
      <c r="E12425" s="10"/>
      <c r="F12425" s="69"/>
      <c r="G12425" s="68"/>
      <c r="H12425" s="70"/>
      <c r="BA12425" s="4"/>
      <c r="BB12425" s="4"/>
    </row>
    <row r="12426" spans="1:54" x14ac:dyDescent="0.3">
      <c r="A12426" s="66"/>
      <c r="B12426" s="67"/>
      <c r="C12426" s="66"/>
      <c r="D12426" s="68"/>
      <c r="E12426" s="10"/>
      <c r="F12426" s="69"/>
      <c r="G12426" s="68"/>
      <c r="H12426" s="70"/>
      <c r="BA12426" s="4"/>
      <c r="BB12426" s="4"/>
    </row>
    <row r="12427" spans="1:54" x14ac:dyDescent="0.3">
      <c r="A12427" s="66"/>
      <c r="B12427" s="67"/>
      <c r="C12427" s="66"/>
      <c r="D12427" s="68"/>
      <c r="E12427" s="10"/>
      <c r="F12427" s="69"/>
      <c r="G12427" s="68"/>
      <c r="H12427" s="70"/>
      <c r="BA12427" s="4"/>
      <c r="BB12427" s="4"/>
    </row>
    <row r="12428" spans="1:54" x14ac:dyDescent="0.3">
      <c r="A12428" s="66"/>
      <c r="B12428" s="67"/>
      <c r="C12428" s="66"/>
      <c r="D12428" s="68"/>
      <c r="E12428" s="10"/>
      <c r="F12428" s="69"/>
      <c r="G12428" s="68"/>
      <c r="H12428" s="70"/>
      <c r="BA12428" s="4"/>
      <c r="BB12428" s="4"/>
    </row>
    <row r="12429" spans="1:54" x14ac:dyDescent="0.3">
      <c r="A12429" s="66"/>
      <c r="B12429" s="67"/>
      <c r="C12429" s="66"/>
      <c r="D12429" s="68"/>
      <c r="E12429" s="10"/>
      <c r="F12429" s="69"/>
      <c r="G12429" s="68"/>
      <c r="H12429" s="70"/>
      <c r="BA12429" s="4"/>
      <c r="BB12429" s="4"/>
    </row>
    <row r="12430" spans="1:54" x14ac:dyDescent="0.3">
      <c r="A12430" s="66"/>
      <c r="B12430" s="67"/>
      <c r="C12430" s="66"/>
      <c r="D12430" s="68"/>
      <c r="E12430" s="10"/>
      <c r="F12430" s="69"/>
      <c r="G12430" s="68"/>
      <c r="H12430" s="70"/>
      <c r="BA12430" s="4"/>
      <c r="BB12430" s="4"/>
    </row>
    <row r="12431" spans="1:54" x14ac:dyDescent="0.3">
      <c r="A12431" s="66"/>
      <c r="B12431" s="67"/>
      <c r="C12431" s="66"/>
      <c r="D12431" s="68"/>
      <c r="E12431" s="10"/>
      <c r="F12431" s="69"/>
      <c r="G12431" s="68"/>
      <c r="H12431" s="70"/>
      <c r="BA12431" s="4"/>
      <c r="BB12431" s="4"/>
    </row>
    <row r="12432" spans="1:54" x14ac:dyDescent="0.3">
      <c r="A12432" s="66"/>
      <c r="B12432" s="67"/>
      <c r="C12432" s="66"/>
      <c r="D12432" s="68"/>
      <c r="E12432" s="10"/>
      <c r="F12432" s="69"/>
      <c r="G12432" s="68"/>
      <c r="H12432" s="70"/>
      <c r="BA12432" s="4"/>
      <c r="BB12432" s="4"/>
    </row>
    <row r="12433" spans="1:54" x14ac:dyDescent="0.3">
      <c r="A12433" s="66"/>
      <c r="B12433" s="67"/>
      <c r="C12433" s="66"/>
      <c r="D12433" s="68"/>
      <c r="E12433" s="10"/>
      <c r="F12433" s="69"/>
      <c r="G12433" s="68"/>
      <c r="H12433" s="70"/>
      <c r="BA12433" s="4"/>
      <c r="BB12433" s="4"/>
    </row>
    <row r="12434" spans="1:54" x14ac:dyDescent="0.3">
      <c r="A12434" s="66"/>
      <c r="B12434" s="67"/>
      <c r="C12434" s="66"/>
      <c r="D12434" s="68"/>
      <c r="E12434" s="10"/>
      <c r="F12434" s="69"/>
      <c r="G12434" s="68"/>
      <c r="H12434" s="70"/>
      <c r="BA12434" s="4"/>
      <c r="BB12434" s="4"/>
    </row>
    <row r="12435" spans="1:54" x14ac:dyDescent="0.3">
      <c r="A12435" s="66"/>
      <c r="B12435" s="67"/>
      <c r="C12435" s="66"/>
      <c r="D12435" s="68"/>
      <c r="E12435" s="10"/>
      <c r="F12435" s="69"/>
      <c r="G12435" s="68"/>
      <c r="H12435" s="70"/>
      <c r="BA12435" s="4"/>
      <c r="BB12435" s="4"/>
    </row>
    <row r="12436" spans="1:54" x14ac:dyDescent="0.3">
      <c r="A12436" s="66"/>
      <c r="B12436" s="67"/>
      <c r="C12436" s="66"/>
      <c r="D12436" s="68"/>
      <c r="E12436" s="10"/>
      <c r="F12436" s="69"/>
      <c r="G12436" s="68"/>
      <c r="H12436" s="70"/>
      <c r="BA12436" s="4"/>
      <c r="BB12436" s="4"/>
    </row>
    <row r="12437" spans="1:54" x14ac:dyDescent="0.3">
      <c r="A12437" s="66"/>
      <c r="B12437" s="67"/>
      <c r="C12437" s="66"/>
      <c r="D12437" s="68"/>
      <c r="E12437" s="10"/>
      <c r="F12437" s="69"/>
      <c r="G12437" s="68"/>
      <c r="H12437" s="70"/>
      <c r="BA12437" s="4"/>
      <c r="BB12437" s="4"/>
    </row>
    <row r="12438" spans="1:54" x14ac:dyDescent="0.3">
      <c r="A12438" s="66"/>
      <c r="B12438" s="67"/>
      <c r="C12438" s="66"/>
      <c r="D12438" s="68"/>
      <c r="E12438" s="10"/>
      <c r="F12438" s="69"/>
      <c r="G12438" s="68"/>
      <c r="H12438" s="70"/>
      <c r="BA12438" s="4"/>
      <c r="BB12438" s="4"/>
    </row>
    <row r="12439" spans="1:54" x14ac:dyDescent="0.3">
      <c r="A12439" s="66"/>
      <c r="B12439" s="67"/>
      <c r="C12439" s="66"/>
      <c r="D12439" s="68"/>
      <c r="E12439" s="10"/>
      <c r="F12439" s="69"/>
      <c r="G12439" s="68"/>
      <c r="H12439" s="70"/>
      <c r="BA12439" s="4"/>
      <c r="BB12439" s="4"/>
    </row>
    <row r="12440" spans="1:54" x14ac:dyDescent="0.3">
      <c r="A12440" s="66"/>
      <c r="B12440" s="67"/>
      <c r="C12440" s="66"/>
      <c r="D12440" s="68"/>
      <c r="E12440" s="10"/>
      <c r="F12440" s="69"/>
      <c r="G12440" s="68"/>
      <c r="H12440" s="70"/>
      <c r="BA12440" s="4"/>
      <c r="BB12440" s="4"/>
    </row>
    <row r="12441" spans="1:54" x14ac:dyDescent="0.3">
      <c r="A12441" s="66"/>
      <c r="B12441" s="67"/>
      <c r="C12441" s="66"/>
      <c r="D12441" s="68"/>
      <c r="E12441" s="10"/>
      <c r="F12441" s="69"/>
      <c r="G12441" s="68"/>
      <c r="H12441" s="70"/>
      <c r="BA12441" s="4"/>
      <c r="BB12441" s="4"/>
    </row>
    <row r="12442" spans="1:54" x14ac:dyDescent="0.3">
      <c r="A12442" s="66"/>
      <c r="B12442" s="67"/>
      <c r="C12442" s="66"/>
      <c r="D12442" s="68"/>
      <c r="E12442" s="10"/>
      <c r="F12442" s="69"/>
      <c r="G12442" s="68"/>
      <c r="H12442" s="70"/>
      <c r="BA12442" s="4"/>
      <c r="BB12442" s="4"/>
    </row>
    <row r="12443" spans="1:54" x14ac:dyDescent="0.3">
      <c r="A12443" s="66"/>
      <c r="B12443" s="67"/>
      <c r="C12443" s="66"/>
      <c r="D12443" s="68"/>
      <c r="E12443" s="10"/>
      <c r="F12443" s="69"/>
      <c r="G12443" s="68"/>
      <c r="H12443" s="70"/>
      <c r="BA12443" s="4"/>
      <c r="BB12443" s="4"/>
    </row>
    <row r="12444" spans="1:54" x14ac:dyDescent="0.3">
      <c r="A12444" s="66"/>
      <c r="B12444" s="67"/>
      <c r="C12444" s="66"/>
      <c r="D12444" s="68"/>
      <c r="E12444" s="10"/>
      <c r="F12444" s="69"/>
      <c r="G12444" s="68"/>
      <c r="H12444" s="70"/>
      <c r="BA12444" s="4"/>
      <c r="BB12444" s="4"/>
    </row>
    <row r="12445" spans="1:54" x14ac:dyDescent="0.3">
      <c r="A12445" s="66"/>
      <c r="B12445" s="67"/>
      <c r="C12445" s="66"/>
      <c r="D12445" s="68"/>
      <c r="E12445" s="10"/>
      <c r="F12445" s="69"/>
      <c r="G12445" s="68"/>
      <c r="H12445" s="70"/>
      <c r="BA12445" s="4"/>
      <c r="BB12445" s="4"/>
    </row>
    <row r="12446" spans="1:54" x14ac:dyDescent="0.3">
      <c r="A12446" s="66"/>
      <c r="B12446" s="67"/>
      <c r="C12446" s="66"/>
      <c r="D12446" s="68"/>
      <c r="E12446" s="10"/>
      <c r="F12446" s="69"/>
      <c r="G12446" s="68"/>
      <c r="H12446" s="70"/>
      <c r="BA12446" s="4"/>
      <c r="BB12446" s="4"/>
    </row>
    <row r="12447" spans="1:54" x14ac:dyDescent="0.3">
      <c r="A12447" s="66"/>
      <c r="B12447" s="67"/>
      <c r="C12447" s="66"/>
      <c r="D12447" s="68"/>
      <c r="E12447" s="10"/>
      <c r="F12447" s="69"/>
      <c r="G12447" s="68"/>
      <c r="H12447" s="70"/>
      <c r="BA12447" s="4"/>
      <c r="BB12447" s="4"/>
    </row>
    <row r="12448" spans="1:54" x14ac:dyDescent="0.3">
      <c r="A12448" s="66"/>
      <c r="B12448" s="67"/>
      <c r="C12448" s="66"/>
      <c r="D12448" s="68"/>
      <c r="E12448" s="10"/>
      <c r="F12448" s="69"/>
      <c r="G12448" s="68"/>
      <c r="H12448" s="70"/>
      <c r="BA12448" s="4"/>
      <c r="BB12448" s="4"/>
    </row>
    <row r="12449" spans="1:54" x14ac:dyDescent="0.3">
      <c r="A12449" s="66"/>
      <c r="B12449" s="67"/>
      <c r="C12449" s="66"/>
      <c r="D12449" s="68"/>
      <c r="E12449" s="10"/>
      <c r="F12449" s="69"/>
      <c r="G12449" s="68"/>
      <c r="H12449" s="70"/>
      <c r="BA12449" s="4"/>
      <c r="BB12449" s="4"/>
    </row>
    <row r="12450" spans="1:54" x14ac:dyDescent="0.3">
      <c r="A12450" s="66"/>
      <c r="B12450" s="67"/>
      <c r="C12450" s="66"/>
      <c r="D12450" s="68"/>
      <c r="E12450" s="10"/>
      <c r="F12450" s="69"/>
      <c r="G12450" s="68"/>
      <c r="H12450" s="70"/>
      <c r="BA12450" s="4"/>
      <c r="BB12450" s="4"/>
    </row>
    <row r="12451" spans="1:54" x14ac:dyDescent="0.3">
      <c r="A12451" s="66"/>
      <c r="B12451" s="67"/>
      <c r="C12451" s="66"/>
      <c r="D12451" s="68"/>
      <c r="E12451" s="10"/>
      <c r="F12451" s="69"/>
      <c r="G12451" s="68"/>
      <c r="H12451" s="70"/>
      <c r="BA12451" s="4"/>
      <c r="BB12451" s="4"/>
    </row>
    <row r="12452" spans="1:54" x14ac:dyDescent="0.3">
      <c r="A12452" s="66"/>
      <c r="B12452" s="67"/>
      <c r="C12452" s="66"/>
      <c r="D12452" s="68"/>
      <c r="E12452" s="10"/>
      <c r="F12452" s="69"/>
      <c r="G12452" s="68"/>
      <c r="H12452" s="70"/>
      <c r="BA12452" s="4"/>
      <c r="BB12452" s="4"/>
    </row>
    <row r="12453" spans="1:54" x14ac:dyDescent="0.3">
      <c r="A12453" s="66"/>
      <c r="B12453" s="67"/>
      <c r="C12453" s="66"/>
      <c r="D12453" s="68"/>
      <c r="E12453" s="10"/>
      <c r="F12453" s="69"/>
      <c r="G12453" s="68"/>
      <c r="H12453" s="70"/>
      <c r="BA12453" s="4"/>
      <c r="BB12453" s="4"/>
    </row>
    <row r="12454" spans="1:54" x14ac:dyDescent="0.3">
      <c r="A12454" s="66"/>
      <c r="B12454" s="67"/>
      <c r="C12454" s="66"/>
      <c r="D12454" s="68"/>
      <c r="E12454" s="10"/>
      <c r="F12454" s="69"/>
      <c r="G12454" s="68"/>
      <c r="H12454" s="70"/>
      <c r="BA12454" s="4"/>
      <c r="BB12454" s="4"/>
    </row>
    <row r="12455" spans="1:54" x14ac:dyDescent="0.3">
      <c r="A12455" s="66"/>
      <c r="B12455" s="67"/>
      <c r="C12455" s="66"/>
      <c r="D12455" s="68"/>
      <c r="E12455" s="10"/>
      <c r="F12455" s="69"/>
      <c r="G12455" s="68"/>
      <c r="H12455" s="70"/>
      <c r="BA12455" s="4"/>
      <c r="BB12455" s="4"/>
    </row>
    <row r="12456" spans="1:54" x14ac:dyDescent="0.3">
      <c r="A12456" s="66"/>
      <c r="B12456" s="67"/>
      <c r="C12456" s="66"/>
      <c r="D12456" s="68"/>
      <c r="E12456" s="10"/>
      <c r="F12456" s="69"/>
      <c r="G12456" s="68"/>
      <c r="H12456" s="70"/>
      <c r="BA12456" s="4"/>
      <c r="BB12456" s="4"/>
    </row>
    <row r="12457" spans="1:54" x14ac:dyDescent="0.3">
      <c r="A12457" s="66"/>
      <c r="B12457" s="67"/>
      <c r="C12457" s="66"/>
      <c r="D12457" s="68"/>
      <c r="E12457" s="10"/>
      <c r="F12457" s="69"/>
      <c r="G12457" s="68"/>
      <c r="H12457" s="70"/>
      <c r="BA12457" s="4"/>
      <c r="BB12457" s="4"/>
    </row>
    <row r="12458" spans="1:54" x14ac:dyDescent="0.3">
      <c r="A12458" s="66"/>
      <c r="B12458" s="67"/>
      <c r="C12458" s="66"/>
      <c r="D12458" s="68"/>
      <c r="E12458" s="10"/>
      <c r="F12458" s="69"/>
      <c r="G12458" s="68"/>
      <c r="H12458" s="70"/>
      <c r="BA12458" s="4"/>
      <c r="BB12458" s="4"/>
    </row>
    <row r="12459" spans="1:54" x14ac:dyDescent="0.3">
      <c r="A12459" s="66"/>
      <c r="B12459" s="67"/>
      <c r="C12459" s="66"/>
      <c r="D12459" s="68"/>
      <c r="E12459" s="10"/>
      <c r="F12459" s="69"/>
      <c r="G12459" s="68"/>
      <c r="H12459" s="70"/>
      <c r="BA12459" s="4"/>
      <c r="BB12459" s="4"/>
    </row>
    <row r="12460" spans="1:54" x14ac:dyDescent="0.3">
      <c r="A12460" s="66"/>
      <c r="B12460" s="67"/>
      <c r="C12460" s="66"/>
      <c r="D12460" s="68"/>
      <c r="E12460" s="10"/>
      <c r="F12460" s="69"/>
      <c r="G12460" s="68"/>
      <c r="H12460" s="70"/>
      <c r="BA12460" s="4"/>
      <c r="BB12460" s="4"/>
    </row>
    <row r="12461" spans="1:54" x14ac:dyDescent="0.3">
      <c r="A12461" s="66"/>
      <c r="B12461" s="67"/>
      <c r="C12461" s="66"/>
      <c r="D12461" s="68"/>
      <c r="E12461" s="10"/>
      <c r="F12461" s="69"/>
      <c r="G12461" s="68"/>
      <c r="H12461" s="70"/>
      <c r="BA12461" s="4"/>
      <c r="BB12461" s="4"/>
    </row>
    <row r="12462" spans="1:54" x14ac:dyDescent="0.3">
      <c r="A12462" s="66"/>
      <c r="B12462" s="67"/>
      <c r="C12462" s="66"/>
      <c r="D12462" s="68"/>
      <c r="E12462" s="10"/>
      <c r="F12462" s="69"/>
      <c r="G12462" s="68"/>
      <c r="H12462" s="70"/>
      <c r="BA12462" s="4"/>
      <c r="BB12462" s="4"/>
    </row>
    <row r="12463" spans="1:54" x14ac:dyDescent="0.3">
      <c r="A12463" s="66"/>
      <c r="B12463" s="67"/>
      <c r="C12463" s="66"/>
      <c r="D12463" s="68"/>
      <c r="E12463" s="10"/>
      <c r="F12463" s="69"/>
      <c r="G12463" s="68"/>
      <c r="H12463" s="70"/>
      <c r="BA12463" s="4"/>
      <c r="BB12463" s="4"/>
    </row>
    <row r="12464" spans="1:54" x14ac:dyDescent="0.3">
      <c r="A12464" s="66"/>
      <c r="B12464" s="67"/>
      <c r="C12464" s="66"/>
      <c r="D12464" s="68"/>
      <c r="E12464" s="10"/>
      <c r="F12464" s="69"/>
      <c r="G12464" s="68"/>
      <c r="H12464" s="70"/>
      <c r="BA12464" s="4"/>
      <c r="BB12464" s="4"/>
    </row>
    <row r="12465" spans="1:54" x14ac:dyDescent="0.3">
      <c r="A12465" s="66"/>
      <c r="B12465" s="67"/>
      <c r="C12465" s="66"/>
      <c r="D12465" s="68"/>
      <c r="E12465" s="10"/>
      <c r="F12465" s="69"/>
      <c r="G12465" s="68"/>
      <c r="H12465" s="70"/>
      <c r="BA12465" s="4"/>
      <c r="BB12465" s="4"/>
    </row>
    <row r="12466" spans="1:54" x14ac:dyDescent="0.3">
      <c r="A12466" s="66"/>
      <c r="B12466" s="67"/>
      <c r="C12466" s="66"/>
      <c r="D12466" s="68"/>
      <c r="E12466" s="10"/>
      <c r="F12466" s="69"/>
      <c r="G12466" s="68"/>
      <c r="H12466" s="70"/>
      <c r="BA12466" s="4"/>
      <c r="BB12466" s="4"/>
    </row>
    <row r="12467" spans="1:54" x14ac:dyDescent="0.3">
      <c r="A12467" s="66"/>
      <c r="B12467" s="67"/>
      <c r="C12467" s="66"/>
      <c r="D12467" s="68"/>
      <c r="E12467" s="10"/>
      <c r="F12467" s="69"/>
      <c r="G12467" s="68"/>
      <c r="H12467" s="70"/>
      <c r="BA12467" s="4"/>
      <c r="BB12467" s="4"/>
    </row>
    <row r="12468" spans="1:54" x14ac:dyDescent="0.3">
      <c r="A12468" s="66"/>
      <c r="B12468" s="67"/>
      <c r="C12468" s="66"/>
      <c r="D12468" s="68"/>
      <c r="E12468" s="10"/>
      <c r="F12468" s="69"/>
      <c r="G12468" s="68"/>
      <c r="H12468" s="70"/>
      <c r="BA12468" s="4"/>
      <c r="BB12468" s="4"/>
    </row>
    <row r="12469" spans="1:54" x14ac:dyDescent="0.3">
      <c r="A12469" s="66"/>
      <c r="B12469" s="67"/>
      <c r="C12469" s="66"/>
      <c r="D12469" s="68"/>
      <c r="E12469" s="10"/>
      <c r="F12469" s="69"/>
      <c r="G12469" s="68"/>
      <c r="H12469" s="70"/>
      <c r="BA12469" s="4"/>
      <c r="BB12469" s="4"/>
    </row>
    <row r="12470" spans="1:54" x14ac:dyDescent="0.3">
      <c r="A12470" s="66"/>
      <c r="B12470" s="67"/>
      <c r="C12470" s="66"/>
      <c r="D12470" s="68"/>
      <c r="E12470" s="10"/>
      <c r="F12470" s="69"/>
      <c r="G12470" s="68"/>
      <c r="H12470" s="70"/>
      <c r="BA12470" s="4"/>
      <c r="BB12470" s="4"/>
    </row>
    <row r="12471" spans="1:54" x14ac:dyDescent="0.3">
      <c r="A12471" s="66"/>
      <c r="B12471" s="67"/>
      <c r="C12471" s="66"/>
      <c r="D12471" s="68"/>
      <c r="E12471" s="10"/>
      <c r="F12471" s="69"/>
      <c r="G12471" s="68"/>
      <c r="H12471" s="70"/>
      <c r="BA12471" s="4"/>
      <c r="BB12471" s="4"/>
    </row>
    <row r="12472" spans="1:54" x14ac:dyDescent="0.3">
      <c r="A12472" s="66"/>
      <c r="B12472" s="67"/>
      <c r="C12472" s="66"/>
      <c r="D12472" s="68"/>
      <c r="E12472" s="10"/>
      <c r="F12472" s="69"/>
      <c r="G12472" s="68"/>
      <c r="H12472" s="70"/>
      <c r="BA12472" s="4"/>
      <c r="BB12472" s="4"/>
    </row>
    <row r="12473" spans="1:54" x14ac:dyDescent="0.3">
      <c r="A12473" s="66"/>
      <c r="B12473" s="67"/>
      <c r="C12473" s="66"/>
      <c r="D12473" s="68"/>
      <c r="E12473" s="10"/>
      <c r="F12473" s="69"/>
      <c r="G12473" s="68"/>
      <c r="H12473" s="70"/>
      <c r="BA12473" s="4"/>
      <c r="BB12473" s="4"/>
    </row>
    <row r="12474" spans="1:54" x14ac:dyDescent="0.3">
      <c r="A12474" s="66"/>
      <c r="B12474" s="67"/>
      <c r="C12474" s="66"/>
      <c r="D12474" s="68"/>
      <c r="E12474" s="10"/>
      <c r="F12474" s="69"/>
      <c r="G12474" s="68"/>
      <c r="H12474" s="70"/>
      <c r="BA12474" s="4"/>
      <c r="BB12474" s="4"/>
    </row>
    <row r="12475" spans="1:54" x14ac:dyDescent="0.3">
      <c r="A12475" s="66"/>
      <c r="B12475" s="67"/>
      <c r="C12475" s="66"/>
      <c r="D12475" s="68"/>
      <c r="E12475" s="10"/>
      <c r="F12475" s="69"/>
      <c r="G12475" s="68"/>
      <c r="H12475" s="70"/>
      <c r="BA12475" s="4"/>
      <c r="BB12475" s="4"/>
    </row>
    <row r="12476" spans="1:54" x14ac:dyDescent="0.3">
      <c r="A12476" s="66"/>
      <c r="B12476" s="67"/>
      <c r="C12476" s="66"/>
      <c r="D12476" s="68"/>
      <c r="E12476" s="10"/>
      <c r="F12476" s="69"/>
      <c r="G12476" s="68"/>
      <c r="H12476" s="70"/>
      <c r="BA12476" s="4"/>
      <c r="BB12476" s="4"/>
    </row>
    <row r="12477" spans="1:54" x14ac:dyDescent="0.3">
      <c r="A12477" s="66"/>
      <c r="B12477" s="67"/>
      <c r="C12477" s="66"/>
      <c r="D12477" s="68"/>
      <c r="E12477" s="10"/>
      <c r="F12477" s="69"/>
      <c r="G12477" s="68"/>
      <c r="H12477" s="70"/>
      <c r="BA12477" s="4"/>
      <c r="BB12477" s="4"/>
    </row>
    <row r="12478" spans="1:54" x14ac:dyDescent="0.3">
      <c r="A12478" s="66"/>
      <c r="B12478" s="67"/>
      <c r="C12478" s="66"/>
      <c r="D12478" s="68"/>
      <c r="E12478" s="10"/>
      <c r="F12478" s="69"/>
      <c r="G12478" s="68"/>
      <c r="H12478" s="70"/>
      <c r="BA12478" s="4"/>
      <c r="BB12478" s="4"/>
    </row>
    <row r="12479" spans="1:54" x14ac:dyDescent="0.3">
      <c r="A12479" s="66"/>
      <c r="B12479" s="67"/>
      <c r="C12479" s="66"/>
      <c r="D12479" s="68"/>
      <c r="E12479" s="10"/>
      <c r="F12479" s="69"/>
      <c r="G12479" s="68"/>
      <c r="H12479" s="70"/>
      <c r="BA12479" s="4"/>
      <c r="BB12479" s="4"/>
    </row>
    <row r="12480" spans="1:54" x14ac:dyDescent="0.3">
      <c r="A12480" s="66"/>
      <c r="B12480" s="67"/>
      <c r="C12480" s="66"/>
      <c r="D12480" s="68"/>
      <c r="E12480" s="10"/>
      <c r="F12480" s="69"/>
      <c r="G12480" s="68"/>
      <c r="H12480" s="70"/>
      <c r="BA12480" s="4"/>
      <c r="BB12480" s="4"/>
    </row>
    <row r="12481" spans="1:54" x14ac:dyDescent="0.3">
      <c r="A12481" s="66"/>
      <c r="B12481" s="67"/>
      <c r="C12481" s="66"/>
      <c r="D12481" s="68"/>
      <c r="E12481" s="10"/>
      <c r="F12481" s="69"/>
      <c r="G12481" s="68"/>
      <c r="H12481" s="70"/>
      <c r="BA12481" s="4"/>
      <c r="BB12481" s="4"/>
    </row>
    <row r="12482" spans="1:54" x14ac:dyDescent="0.3">
      <c r="A12482" s="66"/>
      <c r="B12482" s="67"/>
      <c r="C12482" s="66"/>
      <c r="D12482" s="68"/>
      <c r="E12482" s="10"/>
      <c r="F12482" s="69"/>
      <c r="G12482" s="68"/>
      <c r="H12482" s="70"/>
      <c r="BA12482" s="4"/>
      <c r="BB12482" s="4"/>
    </row>
    <row r="12483" spans="1:54" x14ac:dyDescent="0.3">
      <c r="A12483" s="66"/>
      <c r="B12483" s="67"/>
      <c r="C12483" s="66"/>
      <c r="D12483" s="68"/>
      <c r="E12483" s="10"/>
      <c r="F12483" s="69"/>
      <c r="G12483" s="68"/>
      <c r="H12483" s="70"/>
      <c r="BA12483" s="4"/>
      <c r="BB12483" s="4"/>
    </row>
    <row r="12484" spans="1:54" x14ac:dyDescent="0.3">
      <c r="A12484" s="66"/>
      <c r="B12484" s="67"/>
      <c r="C12484" s="66"/>
      <c r="D12484" s="68"/>
      <c r="E12484" s="10"/>
      <c r="F12484" s="69"/>
      <c r="G12484" s="68"/>
      <c r="H12484" s="70"/>
      <c r="BA12484" s="4"/>
      <c r="BB12484" s="4"/>
    </row>
    <row r="12485" spans="1:54" x14ac:dyDescent="0.3">
      <c r="A12485" s="66"/>
      <c r="B12485" s="67"/>
      <c r="C12485" s="66"/>
      <c r="D12485" s="68"/>
      <c r="E12485" s="10"/>
      <c r="F12485" s="69"/>
      <c r="G12485" s="68"/>
      <c r="H12485" s="70"/>
      <c r="BA12485" s="4"/>
      <c r="BB12485" s="4"/>
    </row>
    <row r="12486" spans="1:54" x14ac:dyDescent="0.3">
      <c r="A12486" s="66"/>
      <c r="B12486" s="67"/>
      <c r="C12486" s="66"/>
      <c r="D12486" s="68"/>
      <c r="E12486" s="10"/>
      <c r="F12486" s="69"/>
      <c r="G12486" s="68"/>
      <c r="H12486" s="70"/>
      <c r="BA12486" s="4"/>
      <c r="BB12486" s="4"/>
    </row>
    <row r="12487" spans="1:54" x14ac:dyDescent="0.3">
      <c r="A12487" s="66"/>
      <c r="B12487" s="67"/>
      <c r="C12487" s="66"/>
      <c r="D12487" s="68"/>
      <c r="E12487" s="10"/>
      <c r="F12487" s="69"/>
      <c r="G12487" s="68"/>
      <c r="H12487" s="70"/>
      <c r="BA12487" s="4"/>
      <c r="BB12487" s="4"/>
    </row>
    <row r="12488" spans="1:54" x14ac:dyDescent="0.3">
      <c r="A12488" s="66"/>
      <c r="B12488" s="67"/>
      <c r="C12488" s="66"/>
      <c r="D12488" s="68"/>
      <c r="E12488" s="10"/>
      <c r="F12488" s="69"/>
      <c r="G12488" s="68"/>
      <c r="H12488" s="70"/>
      <c r="BA12488" s="4"/>
      <c r="BB12488" s="4"/>
    </row>
    <row r="12489" spans="1:54" x14ac:dyDescent="0.3">
      <c r="A12489" s="66"/>
      <c r="B12489" s="67"/>
      <c r="C12489" s="66"/>
      <c r="D12489" s="68"/>
      <c r="E12489" s="10"/>
      <c r="F12489" s="69"/>
      <c r="G12489" s="68"/>
      <c r="H12489" s="70"/>
      <c r="BA12489" s="4"/>
      <c r="BB12489" s="4"/>
    </row>
    <row r="12490" spans="1:54" x14ac:dyDescent="0.3">
      <c r="A12490" s="66"/>
      <c r="B12490" s="67"/>
      <c r="C12490" s="66"/>
      <c r="D12490" s="68"/>
      <c r="E12490" s="10"/>
      <c r="F12490" s="69"/>
      <c r="G12490" s="68"/>
      <c r="H12490" s="70"/>
      <c r="BA12490" s="4"/>
      <c r="BB12490" s="4"/>
    </row>
    <row r="12491" spans="1:54" x14ac:dyDescent="0.3">
      <c r="A12491" s="66"/>
      <c r="B12491" s="67"/>
      <c r="C12491" s="66"/>
      <c r="D12491" s="68"/>
      <c r="E12491" s="10"/>
      <c r="F12491" s="69"/>
      <c r="G12491" s="68"/>
      <c r="H12491" s="70"/>
      <c r="BA12491" s="4"/>
      <c r="BB12491" s="4"/>
    </row>
    <row r="12492" spans="1:54" x14ac:dyDescent="0.3">
      <c r="A12492" s="66"/>
      <c r="B12492" s="67"/>
      <c r="C12492" s="66"/>
      <c r="D12492" s="68"/>
      <c r="E12492" s="10"/>
      <c r="F12492" s="69"/>
      <c r="G12492" s="68"/>
      <c r="H12492" s="70"/>
      <c r="BA12492" s="4"/>
      <c r="BB12492" s="4"/>
    </row>
    <row r="12493" spans="1:54" x14ac:dyDescent="0.3">
      <c r="A12493" s="66"/>
      <c r="B12493" s="67"/>
      <c r="C12493" s="66"/>
      <c r="D12493" s="68"/>
      <c r="E12493" s="10"/>
      <c r="F12493" s="69"/>
      <c r="G12493" s="68"/>
      <c r="H12493" s="70"/>
      <c r="BA12493" s="4"/>
      <c r="BB12493" s="4"/>
    </row>
    <row r="12494" spans="1:54" x14ac:dyDescent="0.3">
      <c r="A12494" s="66"/>
      <c r="B12494" s="67"/>
      <c r="C12494" s="66"/>
      <c r="D12494" s="68"/>
      <c r="E12494" s="10"/>
      <c r="F12494" s="69"/>
      <c r="G12494" s="68"/>
      <c r="H12494" s="70"/>
      <c r="BA12494" s="4"/>
      <c r="BB12494" s="4"/>
    </row>
    <row r="12495" spans="1:54" x14ac:dyDescent="0.3">
      <c r="A12495" s="66"/>
      <c r="B12495" s="67"/>
      <c r="C12495" s="66"/>
      <c r="D12495" s="68"/>
      <c r="E12495" s="10"/>
      <c r="F12495" s="69"/>
      <c r="G12495" s="68"/>
      <c r="H12495" s="70"/>
      <c r="BA12495" s="4"/>
      <c r="BB12495" s="4"/>
    </row>
    <row r="12496" spans="1:54" x14ac:dyDescent="0.3">
      <c r="A12496" s="66"/>
      <c r="B12496" s="67"/>
      <c r="C12496" s="66"/>
      <c r="D12496" s="68"/>
      <c r="E12496" s="10"/>
      <c r="F12496" s="69"/>
      <c r="G12496" s="68"/>
      <c r="H12496" s="70"/>
      <c r="BA12496" s="4"/>
      <c r="BB12496" s="4"/>
    </row>
    <row r="12497" spans="1:54" x14ac:dyDescent="0.3">
      <c r="A12497" s="66"/>
      <c r="B12497" s="67"/>
      <c r="C12497" s="66"/>
      <c r="D12497" s="68"/>
      <c r="E12497" s="10"/>
      <c r="F12497" s="69"/>
      <c r="G12497" s="68"/>
      <c r="H12497" s="70"/>
      <c r="BA12497" s="4"/>
      <c r="BB12497" s="4"/>
    </row>
    <row r="12498" spans="1:54" x14ac:dyDescent="0.3">
      <c r="A12498" s="66"/>
      <c r="B12498" s="67"/>
      <c r="C12498" s="66"/>
      <c r="D12498" s="68"/>
      <c r="E12498" s="10"/>
      <c r="F12498" s="69"/>
      <c r="G12498" s="68"/>
      <c r="H12498" s="70"/>
      <c r="BA12498" s="4"/>
      <c r="BB12498" s="4"/>
    </row>
    <row r="12499" spans="1:54" x14ac:dyDescent="0.3">
      <c r="A12499" s="66"/>
      <c r="B12499" s="67"/>
      <c r="C12499" s="66"/>
      <c r="D12499" s="68"/>
      <c r="E12499" s="10"/>
      <c r="F12499" s="69"/>
      <c r="G12499" s="68"/>
      <c r="H12499" s="70"/>
      <c r="BA12499" s="4"/>
      <c r="BB12499" s="4"/>
    </row>
    <row r="12500" spans="1:54" x14ac:dyDescent="0.3">
      <c r="A12500" s="66"/>
      <c r="B12500" s="67"/>
      <c r="C12500" s="66"/>
      <c r="D12500" s="68"/>
      <c r="E12500" s="10"/>
      <c r="F12500" s="69"/>
      <c r="G12500" s="68"/>
      <c r="H12500" s="70"/>
      <c r="BA12500" s="4"/>
      <c r="BB12500" s="4"/>
    </row>
    <row r="12501" spans="1:54" x14ac:dyDescent="0.3">
      <c r="A12501" s="66"/>
      <c r="B12501" s="67"/>
      <c r="C12501" s="66"/>
      <c r="D12501" s="68"/>
      <c r="E12501" s="10"/>
      <c r="F12501" s="69"/>
      <c r="G12501" s="68"/>
      <c r="H12501" s="70"/>
      <c r="BA12501" s="4"/>
      <c r="BB12501" s="4"/>
    </row>
    <row r="12502" spans="1:54" x14ac:dyDescent="0.3">
      <c r="A12502" s="66"/>
      <c r="B12502" s="67"/>
      <c r="C12502" s="66"/>
      <c r="D12502" s="68"/>
      <c r="E12502" s="10"/>
      <c r="F12502" s="69"/>
      <c r="G12502" s="68"/>
      <c r="H12502" s="70"/>
      <c r="BA12502" s="4"/>
      <c r="BB12502" s="4"/>
    </row>
    <row r="12503" spans="1:54" x14ac:dyDescent="0.3">
      <c r="A12503" s="66"/>
      <c r="B12503" s="67"/>
      <c r="C12503" s="66"/>
      <c r="D12503" s="68"/>
      <c r="E12503" s="10"/>
      <c r="F12503" s="69"/>
      <c r="G12503" s="68"/>
      <c r="H12503" s="70"/>
      <c r="BA12503" s="4"/>
      <c r="BB12503" s="4"/>
    </row>
    <row r="12504" spans="1:54" x14ac:dyDescent="0.3">
      <c r="A12504" s="66"/>
      <c r="B12504" s="67"/>
      <c r="C12504" s="66"/>
      <c r="D12504" s="68"/>
      <c r="E12504" s="10"/>
      <c r="F12504" s="69"/>
      <c r="G12504" s="68"/>
      <c r="H12504" s="70"/>
      <c r="BA12504" s="4"/>
      <c r="BB12504" s="4"/>
    </row>
    <row r="12505" spans="1:54" x14ac:dyDescent="0.3">
      <c r="A12505" s="66"/>
      <c r="B12505" s="67"/>
      <c r="C12505" s="66"/>
      <c r="D12505" s="68"/>
      <c r="E12505" s="10"/>
      <c r="F12505" s="69"/>
      <c r="G12505" s="68"/>
      <c r="H12505" s="70"/>
      <c r="BA12505" s="4"/>
      <c r="BB12505" s="4"/>
    </row>
    <row r="12506" spans="1:54" x14ac:dyDescent="0.3">
      <c r="A12506" s="66"/>
      <c r="B12506" s="67"/>
      <c r="C12506" s="66"/>
      <c r="D12506" s="68"/>
      <c r="E12506" s="10"/>
      <c r="F12506" s="69"/>
      <c r="G12506" s="68"/>
      <c r="H12506" s="70"/>
      <c r="BA12506" s="4"/>
      <c r="BB12506" s="4"/>
    </row>
    <row r="12507" spans="1:54" x14ac:dyDescent="0.3">
      <c r="A12507" s="66"/>
      <c r="B12507" s="67"/>
      <c r="C12507" s="66"/>
      <c r="D12507" s="68"/>
      <c r="E12507" s="10"/>
      <c r="F12507" s="69"/>
      <c r="G12507" s="68"/>
      <c r="H12507" s="70"/>
      <c r="BA12507" s="4"/>
      <c r="BB12507" s="4"/>
    </row>
    <row r="12508" spans="1:54" x14ac:dyDescent="0.3">
      <c r="A12508" s="66"/>
      <c r="B12508" s="67"/>
      <c r="C12508" s="66"/>
      <c r="D12508" s="68"/>
      <c r="E12508" s="10"/>
      <c r="F12508" s="69"/>
      <c r="G12508" s="68"/>
      <c r="H12508" s="70"/>
      <c r="BA12508" s="4"/>
      <c r="BB12508" s="4"/>
    </row>
    <row r="12509" spans="1:54" x14ac:dyDescent="0.3">
      <c r="A12509" s="66"/>
      <c r="B12509" s="67"/>
      <c r="C12509" s="66"/>
      <c r="D12509" s="68"/>
      <c r="E12509" s="10"/>
      <c r="F12509" s="69"/>
      <c r="G12509" s="68"/>
      <c r="H12509" s="70"/>
      <c r="BA12509" s="4"/>
      <c r="BB12509" s="4"/>
    </row>
    <row r="12510" spans="1:54" x14ac:dyDescent="0.3">
      <c r="A12510" s="66"/>
      <c r="B12510" s="67"/>
      <c r="C12510" s="66"/>
      <c r="D12510" s="68"/>
      <c r="E12510" s="10"/>
      <c r="F12510" s="69"/>
      <c r="G12510" s="68"/>
      <c r="H12510" s="70"/>
      <c r="BA12510" s="4"/>
      <c r="BB12510" s="4"/>
    </row>
    <row r="12511" spans="1:54" x14ac:dyDescent="0.3">
      <c r="A12511" s="66"/>
      <c r="B12511" s="67"/>
      <c r="C12511" s="66"/>
      <c r="D12511" s="68"/>
      <c r="E12511" s="10"/>
      <c r="F12511" s="69"/>
      <c r="G12511" s="68"/>
      <c r="H12511" s="70"/>
      <c r="BA12511" s="4"/>
      <c r="BB12511" s="4"/>
    </row>
    <row r="12512" spans="1:54" x14ac:dyDescent="0.3">
      <c r="A12512" s="66"/>
      <c r="B12512" s="67"/>
      <c r="C12512" s="66"/>
      <c r="D12512" s="68"/>
      <c r="E12512" s="10"/>
      <c r="F12512" s="69"/>
      <c r="G12512" s="68"/>
      <c r="H12512" s="70"/>
      <c r="BA12512" s="4"/>
      <c r="BB12512" s="4"/>
    </row>
    <row r="12513" spans="1:54" x14ac:dyDescent="0.3">
      <c r="A12513" s="66"/>
      <c r="B12513" s="67"/>
      <c r="C12513" s="66"/>
      <c r="D12513" s="68"/>
      <c r="E12513" s="10"/>
      <c r="F12513" s="69"/>
      <c r="G12513" s="68"/>
      <c r="H12513" s="70"/>
      <c r="BA12513" s="4"/>
      <c r="BB12513" s="4"/>
    </row>
    <row r="12514" spans="1:54" x14ac:dyDescent="0.3">
      <c r="A12514" s="66"/>
      <c r="B12514" s="67"/>
      <c r="C12514" s="66"/>
      <c r="D12514" s="68"/>
      <c r="E12514" s="10"/>
      <c r="F12514" s="69"/>
      <c r="G12514" s="68"/>
      <c r="H12514" s="70"/>
      <c r="BA12514" s="4"/>
      <c r="BB12514" s="4"/>
    </row>
    <row r="12515" spans="1:54" x14ac:dyDescent="0.3">
      <c r="A12515" s="66"/>
      <c r="B12515" s="67"/>
      <c r="C12515" s="66"/>
      <c r="D12515" s="68"/>
      <c r="E12515" s="10"/>
      <c r="F12515" s="69"/>
      <c r="G12515" s="68"/>
      <c r="H12515" s="70"/>
      <c r="BA12515" s="4"/>
      <c r="BB12515" s="4"/>
    </row>
    <row r="12516" spans="1:54" x14ac:dyDescent="0.3">
      <c r="A12516" s="66"/>
      <c r="B12516" s="67"/>
      <c r="C12516" s="66"/>
      <c r="D12516" s="68"/>
      <c r="E12516" s="10"/>
      <c r="F12516" s="69"/>
      <c r="G12516" s="68"/>
      <c r="H12516" s="70"/>
      <c r="BA12516" s="4"/>
      <c r="BB12516" s="4"/>
    </row>
    <row r="12517" spans="1:54" x14ac:dyDescent="0.3">
      <c r="A12517" s="66"/>
      <c r="B12517" s="67"/>
      <c r="C12517" s="66"/>
      <c r="D12517" s="68"/>
      <c r="E12517" s="10"/>
      <c r="F12517" s="69"/>
      <c r="G12517" s="68"/>
      <c r="H12517" s="70"/>
      <c r="BA12517" s="4"/>
      <c r="BB12517" s="4"/>
    </row>
    <row r="12518" spans="1:54" x14ac:dyDescent="0.3">
      <c r="A12518" s="66"/>
      <c r="B12518" s="67"/>
      <c r="C12518" s="66"/>
      <c r="D12518" s="68"/>
      <c r="E12518" s="10"/>
      <c r="F12518" s="69"/>
      <c r="G12518" s="68"/>
      <c r="H12518" s="70"/>
      <c r="BA12518" s="4"/>
      <c r="BB12518" s="4"/>
    </row>
    <row r="12519" spans="1:54" x14ac:dyDescent="0.3">
      <c r="A12519" s="66"/>
      <c r="B12519" s="67"/>
      <c r="C12519" s="66"/>
      <c r="D12519" s="68"/>
      <c r="E12519" s="10"/>
      <c r="F12519" s="69"/>
      <c r="G12519" s="68"/>
      <c r="H12519" s="70"/>
      <c r="BA12519" s="4"/>
      <c r="BB12519" s="4"/>
    </row>
    <row r="12520" spans="1:54" x14ac:dyDescent="0.3">
      <c r="A12520" s="66"/>
      <c r="B12520" s="67"/>
      <c r="C12520" s="66"/>
      <c r="D12520" s="68"/>
      <c r="E12520" s="10"/>
      <c r="F12520" s="69"/>
      <c r="G12520" s="68"/>
      <c r="H12520" s="70"/>
      <c r="BA12520" s="4"/>
      <c r="BB12520" s="4"/>
    </row>
    <row r="12521" spans="1:54" x14ac:dyDescent="0.3">
      <c r="A12521" s="66"/>
      <c r="B12521" s="67"/>
      <c r="C12521" s="66"/>
      <c r="D12521" s="68"/>
      <c r="E12521" s="10"/>
      <c r="F12521" s="69"/>
      <c r="G12521" s="68"/>
      <c r="H12521" s="70"/>
      <c r="BA12521" s="4"/>
      <c r="BB12521" s="4"/>
    </row>
    <row r="12522" spans="1:54" x14ac:dyDescent="0.3">
      <c r="A12522" s="66"/>
      <c r="B12522" s="67"/>
      <c r="C12522" s="66"/>
      <c r="D12522" s="68"/>
      <c r="E12522" s="10"/>
      <c r="F12522" s="69"/>
      <c r="G12522" s="68"/>
      <c r="H12522" s="70"/>
      <c r="BA12522" s="4"/>
      <c r="BB12522" s="4"/>
    </row>
    <row r="12523" spans="1:54" x14ac:dyDescent="0.3">
      <c r="A12523" s="66"/>
      <c r="B12523" s="67"/>
      <c r="C12523" s="66"/>
      <c r="D12523" s="68"/>
      <c r="E12523" s="10"/>
      <c r="F12523" s="69"/>
      <c r="G12523" s="68"/>
      <c r="H12523" s="70"/>
      <c r="BA12523" s="4"/>
      <c r="BB12523" s="4"/>
    </row>
    <row r="12524" spans="1:54" x14ac:dyDescent="0.3">
      <c r="A12524" s="66"/>
      <c r="B12524" s="67"/>
      <c r="C12524" s="66"/>
      <c r="D12524" s="68"/>
      <c r="E12524" s="10"/>
      <c r="F12524" s="69"/>
      <c r="G12524" s="68"/>
      <c r="H12524" s="70"/>
      <c r="BA12524" s="4"/>
      <c r="BB12524" s="4"/>
    </row>
    <row r="12525" spans="1:54" x14ac:dyDescent="0.3">
      <c r="A12525" s="66"/>
      <c r="B12525" s="67"/>
      <c r="C12525" s="66"/>
      <c r="D12525" s="68"/>
      <c r="E12525" s="10"/>
      <c r="F12525" s="69"/>
      <c r="G12525" s="68"/>
      <c r="H12525" s="70"/>
      <c r="BA12525" s="4"/>
      <c r="BB12525" s="4"/>
    </row>
    <row r="12526" spans="1:54" x14ac:dyDescent="0.3">
      <c r="A12526" s="66"/>
      <c r="B12526" s="67"/>
      <c r="C12526" s="66"/>
      <c r="D12526" s="68"/>
      <c r="E12526" s="10"/>
      <c r="F12526" s="69"/>
      <c r="G12526" s="68"/>
      <c r="H12526" s="70"/>
      <c r="BA12526" s="4"/>
      <c r="BB12526" s="4"/>
    </row>
    <row r="12527" spans="1:54" x14ac:dyDescent="0.3">
      <c r="A12527" s="66"/>
      <c r="B12527" s="67"/>
      <c r="C12527" s="66"/>
      <c r="D12527" s="68"/>
      <c r="E12527" s="10"/>
      <c r="F12527" s="69"/>
      <c r="G12527" s="68"/>
      <c r="H12527" s="70"/>
      <c r="BA12527" s="4"/>
      <c r="BB12527" s="4"/>
    </row>
    <row r="12528" spans="1:54" x14ac:dyDescent="0.3">
      <c r="A12528" s="66"/>
      <c r="B12528" s="67"/>
      <c r="C12528" s="66"/>
      <c r="D12528" s="68"/>
      <c r="E12528" s="10"/>
      <c r="F12528" s="69"/>
      <c r="G12528" s="68"/>
      <c r="H12528" s="70"/>
      <c r="BA12528" s="4"/>
      <c r="BB12528" s="4"/>
    </row>
    <row r="12529" spans="1:54" x14ac:dyDescent="0.3">
      <c r="A12529" s="66"/>
      <c r="B12529" s="67"/>
      <c r="C12529" s="66"/>
      <c r="D12529" s="68"/>
      <c r="E12529" s="10"/>
      <c r="F12529" s="69"/>
      <c r="G12529" s="68"/>
      <c r="H12529" s="70"/>
      <c r="BA12529" s="4"/>
      <c r="BB12529" s="4"/>
    </row>
    <row r="12530" spans="1:54" x14ac:dyDescent="0.3">
      <c r="A12530" s="66"/>
      <c r="B12530" s="67"/>
      <c r="C12530" s="66"/>
      <c r="D12530" s="68"/>
      <c r="E12530" s="10"/>
      <c r="F12530" s="69"/>
      <c r="G12530" s="68"/>
      <c r="H12530" s="70"/>
      <c r="BA12530" s="4"/>
      <c r="BB12530" s="4"/>
    </row>
    <row r="12531" spans="1:54" x14ac:dyDescent="0.3">
      <c r="A12531" s="66"/>
      <c r="B12531" s="67"/>
      <c r="C12531" s="66"/>
      <c r="D12531" s="68"/>
      <c r="E12531" s="10"/>
      <c r="F12531" s="69"/>
      <c r="G12531" s="68"/>
      <c r="H12531" s="70"/>
      <c r="BA12531" s="4"/>
      <c r="BB12531" s="4"/>
    </row>
    <row r="12532" spans="1:54" x14ac:dyDescent="0.3">
      <c r="A12532" s="66"/>
      <c r="B12532" s="67"/>
      <c r="C12532" s="66"/>
      <c r="D12532" s="68"/>
      <c r="E12532" s="10"/>
      <c r="F12532" s="69"/>
      <c r="G12532" s="68"/>
      <c r="H12532" s="70"/>
      <c r="BA12532" s="4"/>
      <c r="BB12532" s="4"/>
    </row>
    <row r="12533" spans="1:54" x14ac:dyDescent="0.3">
      <c r="A12533" s="66"/>
      <c r="B12533" s="67"/>
      <c r="C12533" s="66"/>
      <c r="D12533" s="68"/>
      <c r="E12533" s="10"/>
      <c r="F12533" s="69"/>
      <c r="G12533" s="68"/>
      <c r="H12533" s="70"/>
      <c r="BA12533" s="4"/>
      <c r="BB12533" s="4"/>
    </row>
    <row r="12534" spans="1:54" x14ac:dyDescent="0.3">
      <c r="A12534" s="66"/>
      <c r="B12534" s="67"/>
      <c r="C12534" s="66"/>
      <c r="D12534" s="68"/>
      <c r="E12534" s="10"/>
      <c r="F12534" s="69"/>
      <c r="G12534" s="68"/>
      <c r="H12534" s="70"/>
      <c r="BA12534" s="4"/>
      <c r="BB12534" s="4"/>
    </row>
    <row r="12535" spans="1:54" x14ac:dyDescent="0.3">
      <c r="A12535" s="66"/>
      <c r="B12535" s="67"/>
      <c r="C12535" s="66"/>
      <c r="D12535" s="68"/>
      <c r="E12535" s="10"/>
      <c r="F12535" s="69"/>
      <c r="G12535" s="68"/>
      <c r="H12535" s="70"/>
      <c r="BA12535" s="4"/>
      <c r="BB12535" s="4"/>
    </row>
    <row r="12536" spans="1:54" x14ac:dyDescent="0.3">
      <c r="A12536" s="66"/>
      <c r="B12536" s="67"/>
      <c r="C12536" s="66"/>
      <c r="D12536" s="68"/>
      <c r="E12536" s="10"/>
      <c r="F12536" s="69"/>
      <c r="G12536" s="68"/>
      <c r="H12536" s="70"/>
      <c r="BA12536" s="4"/>
      <c r="BB12536" s="4"/>
    </row>
    <row r="12537" spans="1:54" x14ac:dyDescent="0.3">
      <c r="A12537" s="66"/>
      <c r="B12537" s="67"/>
      <c r="C12537" s="66"/>
      <c r="D12537" s="68"/>
      <c r="E12537" s="10"/>
      <c r="F12537" s="69"/>
      <c r="G12537" s="68"/>
      <c r="H12537" s="70"/>
      <c r="BA12537" s="4"/>
      <c r="BB12537" s="4"/>
    </row>
    <row r="12538" spans="1:54" x14ac:dyDescent="0.3">
      <c r="A12538" s="66"/>
      <c r="B12538" s="67"/>
      <c r="C12538" s="66"/>
      <c r="D12538" s="68"/>
      <c r="E12538" s="10"/>
      <c r="F12538" s="69"/>
      <c r="G12538" s="68"/>
      <c r="H12538" s="70"/>
      <c r="BA12538" s="4"/>
      <c r="BB12538" s="4"/>
    </row>
    <row r="12539" spans="1:54" x14ac:dyDescent="0.3">
      <c r="A12539" s="66"/>
      <c r="B12539" s="67"/>
      <c r="C12539" s="66"/>
      <c r="D12539" s="68"/>
      <c r="E12539" s="10"/>
      <c r="F12539" s="69"/>
      <c r="G12539" s="68"/>
      <c r="H12539" s="70"/>
      <c r="BA12539" s="4"/>
      <c r="BB12539" s="4"/>
    </row>
    <row r="12540" spans="1:54" x14ac:dyDescent="0.3">
      <c r="A12540" s="66"/>
      <c r="B12540" s="67"/>
      <c r="C12540" s="66"/>
      <c r="D12540" s="68"/>
      <c r="E12540" s="10"/>
      <c r="F12540" s="69"/>
      <c r="G12540" s="68"/>
      <c r="H12540" s="70"/>
      <c r="BA12540" s="4"/>
      <c r="BB12540" s="4"/>
    </row>
    <row r="12541" spans="1:54" x14ac:dyDescent="0.3">
      <c r="A12541" s="66"/>
      <c r="B12541" s="67"/>
      <c r="C12541" s="66"/>
      <c r="D12541" s="68"/>
      <c r="E12541" s="10"/>
      <c r="F12541" s="69"/>
      <c r="G12541" s="68"/>
      <c r="H12541" s="70"/>
      <c r="BA12541" s="4"/>
      <c r="BB12541" s="4"/>
    </row>
    <row r="12542" spans="1:54" x14ac:dyDescent="0.3">
      <c r="A12542" s="66"/>
      <c r="B12542" s="67"/>
      <c r="C12542" s="66"/>
      <c r="D12542" s="68"/>
      <c r="E12542" s="10"/>
      <c r="F12542" s="69"/>
      <c r="G12542" s="68"/>
      <c r="H12542" s="70"/>
      <c r="BA12542" s="4"/>
      <c r="BB12542" s="4"/>
    </row>
    <row r="12543" spans="1:54" x14ac:dyDescent="0.3">
      <c r="A12543" s="66"/>
      <c r="B12543" s="67"/>
      <c r="C12543" s="66"/>
      <c r="D12543" s="68"/>
      <c r="E12543" s="10"/>
      <c r="F12543" s="69"/>
      <c r="G12543" s="68"/>
      <c r="H12543" s="70"/>
      <c r="BA12543" s="4"/>
      <c r="BB12543" s="4"/>
    </row>
    <row r="12544" spans="1:54" x14ac:dyDescent="0.3">
      <c r="A12544" s="66"/>
      <c r="B12544" s="67"/>
      <c r="C12544" s="66"/>
      <c r="D12544" s="68"/>
      <c r="E12544" s="10"/>
      <c r="F12544" s="69"/>
      <c r="G12544" s="68"/>
      <c r="H12544" s="70"/>
      <c r="BA12544" s="4"/>
      <c r="BB12544" s="4"/>
    </row>
    <row r="12545" spans="1:54" x14ac:dyDescent="0.3">
      <c r="A12545" s="66"/>
      <c r="B12545" s="67"/>
      <c r="C12545" s="66"/>
      <c r="D12545" s="68"/>
      <c r="E12545" s="10"/>
      <c r="F12545" s="69"/>
      <c r="G12545" s="68"/>
      <c r="H12545" s="70"/>
      <c r="BA12545" s="4"/>
      <c r="BB12545" s="4"/>
    </row>
    <row r="12546" spans="1:54" x14ac:dyDescent="0.3">
      <c r="A12546" s="66"/>
      <c r="B12546" s="67"/>
      <c r="C12546" s="66"/>
      <c r="D12546" s="68"/>
      <c r="E12546" s="10"/>
      <c r="F12546" s="69"/>
      <c r="G12546" s="68"/>
      <c r="H12546" s="70"/>
      <c r="BA12546" s="4"/>
      <c r="BB12546" s="4"/>
    </row>
    <row r="12547" spans="1:54" x14ac:dyDescent="0.3">
      <c r="A12547" s="66"/>
      <c r="B12547" s="67"/>
      <c r="C12547" s="66"/>
      <c r="D12547" s="68"/>
      <c r="E12547" s="10"/>
      <c r="F12547" s="69"/>
      <c r="G12547" s="68"/>
      <c r="H12547" s="70"/>
      <c r="BA12547" s="4"/>
      <c r="BB12547" s="4"/>
    </row>
    <row r="12548" spans="1:54" x14ac:dyDescent="0.3">
      <c r="A12548" s="66"/>
      <c r="B12548" s="67"/>
      <c r="C12548" s="66"/>
      <c r="D12548" s="68"/>
      <c r="E12548" s="10"/>
      <c r="F12548" s="69"/>
      <c r="G12548" s="68"/>
      <c r="H12548" s="70"/>
      <c r="BA12548" s="4"/>
      <c r="BB12548" s="4"/>
    </row>
    <row r="12549" spans="1:54" x14ac:dyDescent="0.3">
      <c r="A12549" s="66"/>
      <c r="B12549" s="67"/>
      <c r="C12549" s="66"/>
      <c r="D12549" s="68"/>
      <c r="E12549" s="10"/>
      <c r="F12549" s="69"/>
      <c r="G12549" s="68"/>
      <c r="H12549" s="70"/>
      <c r="BA12549" s="4"/>
      <c r="BB12549" s="4"/>
    </row>
    <row r="12550" spans="1:54" x14ac:dyDescent="0.3">
      <c r="A12550" s="66"/>
      <c r="B12550" s="67"/>
      <c r="C12550" s="66"/>
      <c r="D12550" s="68"/>
      <c r="E12550" s="10"/>
      <c r="F12550" s="69"/>
      <c r="G12550" s="68"/>
      <c r="H12550" s="70"/>
      <c r="BA12550" s="4"/>
      <c r="BB12550" s="4"/>
    </row>
    <row r="12551" spans="1:54" x14ac:dyDescent="0.3">
      <c r="A12551" s="66"/>
      <c r="B12551" s="67"/>
      <c r="C12551" s="66"/>
      <c r="D12551" s="68"/>
      <c r="E12551" s="10"/>
      <c r="F12551" s="69"/>
      <c r="G12551" s="68"/>
      <c r="H12551" s="70"/>
      <c r="BA12551" s="4"/>
      <c r="BB12551" s="4"/>
    </row>
    <row r="12552" spans="1:54" x14ac:dyDescent="0.3">
      <c r="A12552" s="66"/>
      <c r="B12552" s="67"/>
      <c r="C12552" s="66"/>
      <c r="D12552" s="68"/>
      <c r="E12552" s="10"/>
      <c r="F12552" s="69"/>
      <c r="G12552" s="68"/>
      <c r="H12552" s="70"/>
      <c r="BA12552" s="4"/>
      <c r="BB12552" s="4"/>
    </row>
    <row r="12553" spans="1:54" x14ac:dyDescent="0.3">
      <c r="A12553" s="66"/>
      <c r="B12553" s="67"/>
      <c r="C12553" s="66"/>
      <c r="D12553" s="68"/>
      <c r="E12553" s="10"/>
      <c r="F12553" s="69"/>
      <c r="G12553" s="68"/>
      <c r="H12553" s="70"/>
      <c r="BA12553" s="4"/>
      <c r="BB12553" s="4"/>
    </row>
    <row r="12554" spans="1:54" x14ac:dyDescent="0.3">
      <c r="A12554" s="66"/>
      <c r="B12554" s="67"/>
      <c r="C12554" s="66"/>
      <c r="D12554" s="68"/>
      <c r="E12554" s="10"/>
      <c r="F12554" s="69"/>
      <c r="G12554" s="68"/>
      <c r="H12554" s="70"/>
      <c r="BA12554" s="4"/>
      <c r="BB12554" s="4"/>
    </row>
    <row r="12555" spans="1:54" x14ac:dyDescent="0.3">
      <c r="A12555" s="66"/>
      <c r="B12555" s="67"/>
      <c r="C12555" s="66"/>
      <c r="D12555" s="68"/>
      <c r="E12555" s="10"/>
      <c r="F12555" s="69"/>
      <c r="G12555" s="68"/>
      <c r="H12555" s="70"/>
      <c r="BA12555" s="4"/>
      <c r="BB12555" s="4"/>
    </row>
    <row r="12556" spans="1:54" x14ac:dyDescent="0.3">
      <c r="A12556" s="66"/>
      <c r="B12556" s="67"/>
      <c r="C12556" s="66"/>
      <c r="D12556" s="68"/>
      <c r="E12556" s="10"/>
      <c r="F12556" s="69"/>
      <c r="G12556" s="68"/>
      <c r="H12556" s="70"/>
      <c r="BA12556" s="4"/>
      <c r="BB12556" s="4"/>
    </row>
    <row r="12557" spans="1:54" x14ac:dyDescent="0.3">
      <c r="A12557" s="66"/>
      <c r="B12557" s="67"/>
      <c r="C12557" s="66"/>
      <c r="D12557" s="68"/>
      <c r="E12557" s="10"/>
      <c r="F12557" s="69"/>
      <c r="G12557" s="68"/>
      <c r="H12557" s="70"/>
      <c r="BA12557" s="4"/>
      <c r="BB12557" s="4"/>
    </row>
    <row r="12558" spans="1:54" x14ac:dyDescent="0.3">
      <c r="A12558" s="66"/>
      <c r="B12558" s="67"/>
      <c r="C12558" s="66"/>
      <c r="D12558" s="68"/>
      <c r="E12558" s="10"/>
      <c r="F12558" s="69"/>
      <c r="G12558" s="68"/>
      <c r="H12558" s="70"/>
      <c r="BA12558" s="4"/>
      <c r="BB12558" s="4"/>
    </row>
    <row r="12559" spans="1:54" x14ac:dyDescent="0.3">
      <c r="A12559" s="66"/>
      <c r="B12559" s="67"/>
      <c r="C12559" s="66"/>
      <c r="D12559" s="68"/>
      <c r="E12559" s="10"/>
      <c r="F12559" s="69"/>
      <c r="G12559" s="68"/>
      <c r="H12559" s="70"/>
      <c r="BA12559" s="4"/>
      <c r="BB12559" s="4"/>
    </row>
    <row r="12560" spans="1:54" x14ac:dyDescent="0.3">
      <c r="A12560" s="66"/>
      <c r="B12560" s="67"/>
      <c r="C12560" s="66"/>
      <c r="D12560" s="68"/>
      <c r="E12560" s="10"/>
      <c r="F12560" s="69"/>
      <c r="G12560" s="68"/>
      <c r="H12560" s="70"/>
      <c r="BA12560" s="4"/>
      <c r="BB12560" s="4"/>
    </row>
    <row r="12561" spans="1:54" x14ac:dyDescent="0.3">
      <c r="A12561" s="66"/>
      <c r="B12561" s="67"/>
      <c r="C12561" s="66"/>
      <c r="D12561" s="68"/>
      <c r="E12561" s="10"/>
      <c r="F12561" s="69"/>
      <c r="G12561" s="68"/>
      <c r="H12561" s="70"/>
      <c r="BA12561" s="4"/>
      <c r="BB12561" s="4"/>
    </row>
    <row r="12562" spans="1:54" x14ac:dyDescent="0.3">
      <c r="A12562" s="66"/>
      <c r="B12562" s="67"/>
      <c r="C12562" s="66"/>
      <c r="D12562" s="68"/>
      <c r="E12562" s="10"/>
      <c r="F12562" s="69"/>
      <c r="G12562" s="68"/>
      <c r="H12562" s="70"/>
      <c r="BA12562" s="4"/>
      <c r="BB12562" s="4"/>
    </row>
    <row r="12563" spans="1:54" x14ac:dyDescent="0.3">
      <c r="A12563" s="66"/>
      <c r="B12563" s="67"/>
      <c r="C12563" s="66"/>
      <c r="D12563" s="68"/>
      <c r="E12563" s="10"/>
      <c r="F12563" s="69"/>
      <c r="G12563" s="68"/>
      <c r="H12563" s="70"/>
      <c r="BA12563" s="4"/>
      <c r="BB12563" s="4"/>
    </row>
    <row r="12564" spans="1:54" x14ac:dyDescent="0.3">
      <c r="A12564" s="66"/>
      <c r="B12564" s="67"/>
      <c r="C12564" s="66"/>
      <c r="D12564" s="68"/>
      <c r="E12564" s="10"/>
      <c r="F12564" s="69"/>
      <c r="G12564" s="68"/>
      <c r="H12564" s="70"/>
      <c r="BA12564" s="4"/>
      <c r="BB12564" s="4"/>
    </row>
    <row r="12565" spans="1:54" x14ac:dyDescent="0.3">
      <c r="A12565" s="66"/>
      <c r="B12565" s="67"/>
      <c r="C12565" s="66"/>
      <c r="D12565" s="68"/>
      <c r="E12565" s="10"/>
      <c r="F12565" s="69"/>
      <c r="G12565" s="68"/>
      <c r="H12565" s="70"/>
      <c r="BA12565" s="4"/>
      <c r="BB12565" s="4"/>
    </row>
    <row r="12566" spans="1:54" x14ac:dyDescent="0.3">
      <c r="A12566" s="66"/>
      <c r="B12566" s="67"/>
      <c r="C12566" s="66"/>
      <c r="D12566" s="68"/>
      <c r="E12566" s="10"/>
      <c r="F12566" s="69"/>
      <c r="G12566" s="68"/>
      <c r="H12566" s="70"/>
      <c r="BA12566" s="4"/>
      <c r="BB12566" s="4"/>
    </row>
    <row r="12567" spans="1:54" x14ac:dyDescent="0.3">
      <c r="A12567" s="66"/>
      <c r="B12567" s="67"/>
      <c r="C12567" s="66"/>
      <c r="D12567" s="68"/>
      <c r="E12567" s="10"/>
      <c r="F12567" s="69"/>
      <c r="G12567" s="68"/>
      <c r="H12567" s="70"/>
      <c r="BA12567" s="4"/>
      <c r="BB12567" s="4"/>
    </row>
    <row r="12568" spans="1:54" x14ac:dyDescent="0.3">
      <c r="A12568" s="66"/>
      <c r="B12568" s="67"/>
      <c r="C12568" s="66"/>
      <c r="D12568" s="68"/>
      <c r="E12568" s="10"/>
      <c r="F12568" s="69"/>
      <c r="G12568" s="68"/>
      <c r="H12568" s="70"/>
      <c r="BA12568" s="4"/>
      <c r="BB12568" s="4"/>
    </row>
    <row r="12569" spans="1:54" x14ac:dyDescent="0.3">
      <c r="A12569" s="66"/>
      <c r="B12569" s="67"/>
      <c r="C12569" s="66"/>
      <c r="D12569" s="68"/>
      <c r="E12569" s="10"/>
      <c r="F12569" s="69"/>
      <c r="G12569" s="68"/>
      <c r="H12569" s="70"/>
      <c r="BA12569" s="4"/>
      <c r="BB12569" s="4"/>
    </row>
    <row r="12570" spans="1:54" x14ac:dyDescent="0.3">
      <c r="A12570" s="66"/>
      <c r="B12570" s="67"/>
      <c r="C12570" s="66"/>
      <c r="D12570" s="68"/>
      <c r="E12570" s="10"/>
      <c r="F12570" s="69"/>
      <c r="G12570" s="68"/>
      <c r="H12570" s="70"/>
      <c r="BA12570" s="4"/>
      <c r="BB12570" s="4"/>
    </row>
    <row r="12571" spans="1:54" x14ac:dyDescent="0.3">
      <c r="A12571" s="66"/>
      <c r="B12571" s="67"/>
      <c r="C12571" s="66"/>
      <c r="D12571" s="68"/>
      <c r="E12571" s="10"/>
      <c r="F12571" s="69"/>
      <c r="G12571" s="68"/>
      <c r="H12571" s="70"/>
      <c r="BA12571" s="4"/>
      <c r="BB12571" s="4"/>
    </row>
    <row r="12572" spans="1:54" x14ac:dyDescent="0.3">
      <c r="A12572" s="66"/>
      <c r="B12572" s="67"/>
      <c r="C12572" s="66"/>
      <c r="D12572" s="68"/>
      <c r="E12572" s="10"/>
      <c r="F12572" s="69"/>
      <c r="G12572" s="68"/>
      <c r="H12572" s="70"/>
      <c r="BA12572" s="4"/>
      <c r="BB12572" s="4"/>
    </row>
    <row r="12573" spans="1:54" x14ac:dyDescent="0.3">
      <c r="A12573" s="66"/>
      <c r="B12573" s="67"/>
      <c r="C12573" s="66"/>
      <c r="D12573" s="68"/>
      <c r="E12573" s="10"/>
      <c r="F12573" s="69"/>
      <c r="G12573" s="68"/>
      <c r="H12573" s="70"/>
      <c r="BA12573" s="4"/>
      <c r="BB12573" s="4"/>
    </row>
    <row r="12574" spans="1:54" x14ac:dyDescent="0.3">
      <c r="A12574" s="66"/>
      <c r="B12574" s="67"/>
      <c r="C12574" s="66"/>
      <c r="D12574" s="68"/>
      <c r="E12574" s="10"/>
      <c r="F12574" s="69"/>
      <c r="G12574" s="68"/>
      <c r="H12574" s="70"/>
      <c r="BA12574" s="4"/>
      <c r="BB12574" s="4"/>
    </row>
    <row r="12575" spans="1:54" x14ac:dyDescent="0.3">
      <c r="A12575" s="66"/>
      <c r="B12575" s="67"/>
      <c r="C12575" s="66"/>
      <c r="D12575" s="68"/>
      <c r="E12575" s="10"/>
      <c r="F12575" s="69"/>
      <c r="G12575" s="68"/>
      <c r="H12575" s="70"/>
      <c r="BA12575" s="4"/>
      <c r="BB12575" s="4"/>
    </row>
    <row r="12576" spans="1:54" x14ac:dyDescent="0.3">
      <c r="A12576" s="66"/>
      <c r="B12576" s="67"/>
      <c r="C12576" s="66"/>
      <c r="D12576" s="68"/>
      <c r="E12576" s="10"/>
      <c r="F12576" s="69"/>
      <c r="G12576" s="68"/>
      <c r="H12576" s="70"/>
      <c r="BA12576" s="4"/>
      <c r="BB12576" s="4"/>
    </row>
    <row r="12577" spans="1:54" x14ac:dyDescent="0.3">
      <c r="A12577" s="66"/>
      <c r="B12577" s="67"/>
      <c r="C12577" s="66"/>
      <c r="D12577" s="68"/>
      <c r="E12577" s="10"/>
      <c r="F12577" s="69"/>
      <c r="G12577" s="68"/>
      <c r="H12577" s="70"/>
      <c r="BA12577" s="4"/>
      <c r="BB12577" s="4"/>
    </row>
    <row r="12578" spans="1:54" x14ac:dyDescent="0.3">
      <c r="A12578" s="66"/>
      <c r="B12578" s="67"/>
      <c r="C12578" s="66"/>
      <c r="D12578" s="68"/>
      <c r="E12578" s="10"/>
      <c r="F12578" s="69"/>
      <c r="G12578" s="68"/>
      <c r="H12578" s="70"/>
      <c r="BA12578" s="4"/>
      <c r="BB12578" s="4"/>
    </row>
    <row r="12579" spans="1:54" x14ac:dyDescent="0.3">
      <c r="A12579" s="66"/>
      <c r="B12579" s="67"/>
      <c r="C12579" s="66"/>
      <c r="D12579" s="68"/>
      <c r="E12579" s="10"/>
      <c r="F12579" s="69"/>
      <c r="G12579" s="68"/>
      <c r="H12579" s="70"/>
      <c r="BA12579" s="4"/>
      <c r="BB12579" s="4"/>
    </row>
    <row r="12580" spans="1:54" x14ac:dyDescent="0.3">
      <c r="A12580" s="66"/>
      <c r="B12580" s="67"/>
      <c r="C12580" s="66"/>
      <c r="D12580" s="68"/>
      <c r="E12580" s="10"/>
      <c r="F12580" s="69"/>
      <c r="G12580" s="68"/>
      <c r="H12580" s="70"/>
      <c r="BA12580" s="4"/>
      <c r="BB12580" s="4"/>
    </row>
    <row r="12581" spans="1:54" x14ac:dyDescent="0.3">
      <c r="A12581" s="66"/>
      <c r="B12581" s="67"/>
      <c r="C12581" s="66"/>
      <c r="D12581" s="68"/>
      <c r="E12581" s="10"/>
      <c r="F12581" s="69"/>
      <c r="G12581" s="68"/>
      <c r="H12581" s="70"/>
      <c r="BA12581" s="4"/>
      <c r="BB12581" s="4"/>
    </row>
    <row r="12582" spans="1:54" x14ac:dyDescent="0.3">
      <c r="A12582" s="66"/>
      <c r="B12582" s="67"/>
      <c r="C12582" s="66"/>
      <c r="D12582" s="68"/>
      <c r="E12582" s="10"/>
      <c r="F12582" s="69"/>
      <c r="G12582" s="68"/>
      <c r="H12582" s="70"/>
      <c r="BA12582" s="4"/>
      <c r="BB12582" s="4"/>
    </row>
    <row r="12583" spans="1:54" x14ac:dyDescent="0.3">
      <c r="A12583" s="66"/>
      <c r="B12583" s="67"/>
      <c r="C12583" s="66"/>
      <c r="D12583" s="68"/>
      <c r="E12583" s="10"/>
      <c r="F12583" s="69"/>
      <c r="G12583" s="68"/>
      <c r="H12583" s="70"/>
      <c r="BA12583" s="4"/>
      <c r="BB12583" s="4"/>
    </row>
    <row r="12584" spans="1:54" x14ac:dyDescent="0.3">
      <c r="A12584" s="66"/>
      <c r="B12584" s="67"/>
      <c r="C12584" s="66"/>
      <c r="D12584" s="68"/>
      <c r="E12584" s="10"/>
      <c r="F12584" s="69"/>
      <c r="G12584" s="68"/>
      <c r="H12584" s="70"/>
      <c r="BA12584" s="4"/>
      <c r="BB12584" s="4"/>
    </row>
    <row r="12585" spans="1:54" x14ac:dyDescent="0.3">
      <c r="A12585" s="66"/>
      <c r="B12585" s="67"/>
      <c r="C12585" s="66"/>
      <c r="D12585" s="68"/>
      <c r="E12585" s="10"/>
      <c r="F12585" s="69"/>
      <c r="G12585" s="68"/>
      <c r="H12585" s="70"/>
      <c r="BA12585" s="4"/>
      <c r="BB12585" s="4"/>
    </row>
    <row r="12586" spans="1:54" x14ac:dyDescent="0.3">
      <c r="A12586" s="66"/>
      <c r="B12586" s="67"/>
      <c r="C12586" s="66"/>
      <c r="D12586" s="68"/>
      <c r="E12586" s="10"/>
      <c r="F12586" s="69"/>
      <c r="G12586" s="68"/>
      <c r="H12586" s="70"/>
      <c r="BA12586" s="4"/>
      <c r="BB12586" s="4"/>
    </row>
    <row r="12587" spans="1:54" x14ac:dyDescent="0.3">
      <c r="A12587" s="66"/>
      <c r="B12587" s="67"/>
      <c r="C12587" s="66"/>
      <c r="D12587" s="68"/>
      <c r="E12587" s="10"/>
      <c r="F12587" s="69"/>
      <c r="G12587" s="68"/>
      <c r="H12587" s="70"/>
      <c r="BA12587" s="4"/>
      <c r="BB12587" s="4"/>
    </row>
    <row r="12588" spans="1:54" x14ac:dyDescent="0.3">
      <c r="A12588" s="66"/>
      <c r="B12588" s="67"/>
      <c r="C12588" s="66"/>
      <c r="D12588" s="68"/>
      <c r="E12588" s="10"/>
      <c r="F12588" s="69"/>
      <c r="G12588" s="68"/>
      <c r="H12588" s="70"/>
      <c r="BA12588" s="4"/>
      <c r="BB12588" s="4"/>
    </row>
    <row r="12589" spans="1:54" x14ac:dyDescent="0.3">
      <c r="A12589" s="66"/>
      <c r="B12589" s="67"/>
      <c r="C12589" s="66"/>
      <c r="D12589" s="68"/>
      <c r="E12589" s="10"/>
      <c r="F12589" s="69"/>
      <c r="G12589" s="68"/>
      <c r="H12589" s="70"/>
      <c r="BA12589" s="4"/>
      <c r="BB12589" s="4"/>
    </row>
    <row r="12590" spans="1:54" x14ac:dyDescent="0.3">
      <c r="A12590" s="66"/>
      <c r="B12590" s="67"/>
      <c r="C12590" s="66"/>
      <c r="D12590" s="68"/>
      <c r="E12590" s="10"/>
      <c r="F12590" s="69"/>
      <c r="G12590" s="68"/>
      <c r="H12590" s="70"/>
      <c r="BA12590" s="4"/>
      <c r="BB12590" s="4"/>
    </row>
    <row r="12591" spans="1:54" x14ac:dyDescent="0.3">
      <c r="A12591" s="66"/>
      <c r="B12591" s="67"/>
      <c r="C12591" s="66"/>
      <c r="D12591" s="68"/>
      <c r="E12591" s="10"/>
      <c r="F12591" s="69"/>
      <c r="G12591" s="68"/>
      <c r="H12591" s="70"/>
      <c r="BA12591" s="4"/>
      <c r="BB12591" s="4"/>
    </row>
    <row r="12592" spans="1:54" x14ac:dyDescent="0.3">
      <c r="A12592" s="66"/>
      <c r="B12592" s="67"/>
      <c r="C12592" s="66"/>
      <c r="D12592" s="68"/>
      <c r="E12592" s="10"/>
      <c r="F12592" s="69"/>
      <c r="G12592" s="68"/>
      <c r="H12592" s="70"/>
      <c r="BA12592" s="4"/>
      <c r="BB12592" s="4"/>
    </row>
    <row r="12593" spans="1:54" x14ac:dyDescent="0.3">
      <c r="A12593" s="66"/>
      <c r="B12593" s="67"/>
      <c r="C12593" s="66"/>
      <c r="D12593" s="68"/>
      <c r="E12593" s="10"/>
      <c r="F12593" s="69"/>
      <c r="G12593" s="68"/>
      <c r="H12593" s="70"/>
      <c r="BA12593" s="4"/>
      <c r="BB12593" s="4"/>
    </row>
    <row r="12594" spans="1:54" x14ac:dyDescent="0.3">
      <c r="A12594" s="66"/>
      <c r="B12594" s="67"/>
      <c r="C12594" s="66"/>
      <c r="D12594" s="68"/>
      <c r="E12594" s="10"/>
      <c r="F12594" s="69"/>
      <c r="G12594" s="68"/>
      <c r="H12594" s="70"/>
      <c r="BA12594" s="4"/>
      <c r="BB12594" s="4"/>
    </row>
    <row r="12595" spans="1:54" x14ac:dyDescent="0.3">
      <c r="A12595" s="66"/>
      <c r="B12595" s="67"/>
      <c r="C12595" s="66"/>
      <c r="D12595" s="68"/>
      <c r="E12595" s="10"/>
      <c r="F12595" s="69"/>
      <c r="G12595" s="68"/>
      <c r="H12595" s="70"/>
      <c r="BA12595" s="4"/>
      <c r="BB12595" s="4"/>
    </row>
    <row r="12596" spans="1:54" x14ac:dyDescent="0.3">
      <c r="A12596" s="66"/>
      <c r="B12596" s="67"/>
      <c r="C12596" s="66"/>
      <c r="D12596" s="68"/>
      <c r="E12596" s="10"/>
      <c r="F12596" s="69"/>
      <c r="G12596" s="68"/>
      <c r="H12596" s="70"/>
      <c r="BA12596" s="4"/>
      <c r="BB12596" s="4"/>
    </row>
    <row r="12597" spans="1:54" x14ac:dyDescent="0.3">
      <c r="A12597" s="66"/>
      <c r="B12597" s="67"/>
      <c r="C12597" s="66"/>
      <c r="D12597" s="68"/>
      <c r="E12597" s="10"/>
      <c r="F12597" s="69"/>
      <c r="G12597" s="68"/>
      <c r="H12597" s="70"/>
      <c r="BA12597" s="4"/>
      <c r="BB12597" s="4"/>
    </row>
    <row r="12598" spans="1:54" x14ac:dyDescent="0.3">
      <c r="A12598" s="66"/>
      <c r="B12598" s="67"/>
      <c r="C12598" s="66"/>
      <c r="D12598" s="68"/>
      <c r="E12598" s="10"/>
      <c r="F12598" s="69"/>
      <c r="G12598" s="68"/>
      <c r="H12598" s="70"/>
      <c r="BA12598" s="4"/>
      <c r="BB12598" s="4"/>
    </row>
    <row r="12599" spans="1:54" x14ac:dyDescent="0.3">
      <c r="A12599" s="66"/>
      <c r="B12599" s="67"/>
      <c r="C12599" s="66"/>
      <c r="D12599" s="68"/>
      <c r="E12599" s="10"/>
      <c r="F12599" s="69"/>
      <c r="G12599" s="68"/>
      <c r="H12599" s="70"/>
      <c r="BA12599" s="4"/>
      <c r="BB12599" s="4"/>
    </row>
    <row r="12600" spans="1:54" x14ac:dyDescent="0.3">
      <c r="A12600" s="66"/>
      <c r="B12600" s="67"/>
      <c r="C12600" s="66"/>
      <c r="D12600" s="68"/>
      <c r="E12600" s="10"/>
      <c r="F12600" s="69"/>
      <c r="G12600" s="68"/>
      <c r="H12600" s="70"/>
      <c r="BA12600" s="4"/>
      <c r="BB12600" s="4"/>
    </row>
    <row r="12601" spans="1:54" x14ac:dyDescent="0.3">
      <c r="A12601" s="66"/>
      <c r="B12601" s="67"/>
      <c r="C12601" s="66"/>
      <c r="D12601" s="68"/>
      <c r="E12601" s="10"/>
      <c r="F12601" s="69"/>
      <c r="G12601" s="68"/>
      <c r="H12601" s="70"/>
      <c r="BA12601" s="4"/>
      <c r="BB12601" s="4"/>
    </row>
    <row r="12602" spans="1:54" x14ac:dyDescent="0.3">
      <c r="A12602" s="66"/>
      <c r="B12602" s="67"/>
      <c r="C12602" s="66"/>
      <c r="D12602" s="68"/>
      <c r="E12602" s="10"/>
      <c r="F12602" s="69"/>
      <c r="G12602" s="68"/>
      <c r="H12602" s="70"/>
      <c r="BA12602" s="4"/>
      <c r="BB12602" s="4"/>
    </row>
    <row r="12603" spans="1:54" x14ac:dyDescent="0.3">
      <c r="A12603" s="66"/>
      <c r="B12603" s="67"/>
      <c r="C12603" s="66"/>
      <c r="D12603" s="68"/>
      <c r="E12603" s="10"/>
      <c r="F12603" s="69"/>
      <c r="G12603" s="68"/>
      <c r="H12603" s="70"/>
      <c r="BA12603" s="4"/>
      <c r="BB12603" s="4"/>
    </row>
    <row r="12604" spans="1:54" x14ac:dyDescent="0.3">
      <c r="A12604" s="66"/>
      <c r="B12604" s="67"/>
      <c r="C12604" s="66"/>
      <c r="D12604" s="68"/>
      <c r="E12604" s="10"/>
      <c r="F12604" s="69"/>
      <c r="G12604" s="68"/>
      <c r="H12604" s="70"/>
      <c r="BA12604" s="4"/>
      <c r="BB12604" s="4"/>
    </row>
    <row r="12605" spans="1:54" x14ac:dyDescent="0.3">
      <c r="A12605" s="66"/>
      <c r="B12605" s="67"/>
      <c r="C12605" s="66"/>
      <c r="D12605" s="68"/>
      <c r="E12605" s="10"/>
      <c r="F12605" s="69"/>
      <c r="G12605" s="68"/>
      <c r="H12605" s="70"/>
      <c r="BA12605" s="4"/>
      <c r="BB12605" s="4"/>
    </row>
    <row r="12606" spans="1:54" x14ac:dyDescent="0.3">
      <c r="A12606" s="66"/>
      <c r="B12606" s="67"/>
      <c r="C12606" s="66"/>
      <c r="D12606" s="68"/>
      <c r="E12606" s="10"/>
      <c r="F12606" s="69"/>
      <c r="G12606" s="68"/>
      <c r="H12606" s="70"/>
      <c r="BA12606" s="4"/>
      <c r="BB12606" s="4"/>
    </row>
    <row r="12607" spans="1:54" x14ac:dyDescent="0.3">
      <c r="A12607" s="66"/>
      <c r="B12607" s="67"/>
      <c r="C12607" s="66"/>
      <c r="D12607" s="68"/>
      <c r="E12607" s="10"/>
      <c r="F12607" s="69"/>
      <c r="G12607" s="68"/>
      <c r="H12607" s="70"/>
      <c r="BA12607" s="4"/>
      <c r="BB12607" s="4"/>
    </row>
    <row r="12608" spans="1:54" x14ac:dyDescent="0.3">
      <c r="A12608" s="66"/>
      <c r="B12608" s="67"/>
      <c r="C12608" s="66"/>
      <c r="D12608" s="68"/>
      <c r="E12608" s="10"/>
      <c r="F12608" s="69"/>
      <c r="G12608" s="68"/>
      <c r="H12608" s="70"/>
      <c r="BA12608" s="4"/>
      <c r="BB12608" s="4"/>
    </row>
    <row r="12609" spans="1:54" x14ac:dyDescent="0.3">
      <c r="A12609" s="66"/>
      <c r="B12609" s="67"/>
      <c r="C12609" s="66"/>
      <c r="D12609" s="68"/>
      <c r="E12609" s="10"/>
      <c r="F12609" s="69"/>
      <c r="G12609" s="68"/>
      <c r="H12609" s="70"/>
      <c r="BA12609" s="4"/>
      <c r="BB12609" s="4"/>
    </row>
    <row r="12610" spans="1:54" x14ac:dyDescent="0.3">
      <c r="A12610" s="66"/>
      <c r="B12610" s="67"/>
      <c r="C12610" s="66"/>
      <c r="D12610" s="68"/>
      <c r="E12610" s="10"/>
      <c r="F12610" s="69"/>
      <c r="G12610" s="68"/>
      <c r="H12610" s="70"/>
      <c r="BA12610" s="4"/>
      <c r="BB12610" s="4"/>
    </row>
    <row r="12611" spans="1:54" x14ac:dyDescent="0.3">
      <c r="A12611" s="66"/>
      <c r="B12611" s="67"/>
      <c r="C12611" s="66"/>
      <c r="D12611" s="68"/>
      <c r="E12611" s="10"/>
      <c r="F12611" s="69"/>
      <c r="G12611" s="68"/>
      <c r="H12611" s="70"/>
      <c r="BA12611" s="4"/>
      <c r="BB12611" s="4"/>
    </row>
    <row r="12612" spans="1:54" x14ac:dyDescent="0.3">
      <c r="A12612" s="66"/>
      <c r="B12612" s="67"/>
      <c r="C12612" s="66"/>
      <c r="D12612" s="68"/>
      <c r="E12612" s="10"/>
      <c r="F12612" s="69"/>
      <c r="G12612" s="68"/>
      <c r="H12612" s="70"/>
      <c r="BA12612" s="4"/>
      <c r="BB12612" s="4"/>
    </row>
    <row r="12613" spans="1:54" x14ac:dyDescent="0.3">
      <c r="A12613" s="66"/>
      <c r="B12613" s="67"/>
      <c r="C12613" s="66"/>
      <c r="D12613" s="68"/>
      <c r="E12613" s="10"/>
      <c r="F12613" s="69"/>
      <c r="G12613" s="68"/>
      <c r="H12613" s="70"/>
      <c r="BA12613" s="4"/>
      <c r="BB12613" s="4"/>
    </row>
    <row r="12614" spans="1:54" x14ac:dyDescent="0.3">
      <c r="A12614" s="66"/>
      <c r="B12614" s="67"/>
      <c r="C12614" s="66"/>
      <c r="D12614" s="68"/>
      <c r="E12614" s="10"/>
      <c r="F12614" s="69"/>
      <c r="G12614" s="68"/>
      <c r="H12614" s="70"/>
      <c r="BA12614" s="4"/>
      <c r="BB12614" s="4"/>
    </row>
    <row r="12615" spans="1:54" x14ac:dyDescent="0.3">
      <c r="A12615" s="66"/>
      <c r="B12615" s="67"/>
      <c r="C12615" s="66"/>
      <c r="D12615" s="68"/>
      <c r="E12615" s="10"/>
      <c r="F12615" s="69"/>
      <c r="G12615" s="68"/>
      <c r="H12615" s="70"/>
      <c r="BA12615" s="4"/>
      <c r="BB12615" s="4"/>
    </row>
    <row r="12616" spans="1:54" x14ac:dyDescent="0.3">
      <c r="A12616" s="66"/>
      <c r="B12616" s="67"/>
      <c r="C12616" s="66"/>
      <c r="D12616" s="68"/>
      <c r="E12616" s="10"/>
      <c r="F12616" s="69"/>
      <c r="G12616" s="68"/>
      <c r="H12616" s="70"/>
      <c r="BA12616" s="4"/>
      <c r="BB12616" s="4"/>
    </row>
    <row r="12617" spans="1:54" x14ac:dyDescent="0.3">
      <c r="A12617" s="66"/>
      <c r="B12617" s="67"/>
      <c r="C12617" s="66"/>
      <c r="D12617" s="68"/>
      <c r="E12617" s="10"/>
      <c r="F12617" s="69"/>
      <c r="G12617" s="68"/>
      <c r="H12617" s="70"/>
      <c r="BA12617" s="4"/>
      <c r="BB12617" s="4"/>
    </row>
    <row r="12618" spans="1:54" x14ac:dyDescent="0.3">
      <c r="A12618" s="66"/>
      <c r="B12618" s="67"/>
      <c r="C12618" s="66"/>
      <c r="D12618" s="68"/>
      <c r="E12618" s="10"/>
      <c r="F12618" s="69"/>
      <c r="G12618" s="68"/>
      <c r="H12618" s="70"/>
      <c r="BA12618" s="4"/>
      <c r="BB12618" s="4"/>
    </row>
    <row r="12619" spans="1:54" x14ac:dyDescent="0.3">
      <c r="A12619" s="66"/>
      <c r="B12619" s="67"/>
      <c r="C12619" s="66"/>
      <c r="D12619" s="68"/>
      <c r="E12619" s="10"/>
      <c r="F12619" s="69"/>
      <c r="G12619" s="68"/>
      <c r="H12619" s="70"/>
      <c r="BA12619" s="4"/>
      <c r="BB12619" s="4"/>
    </row>
    <row r="12620" spans="1:54" x14ac:dyDescent="0.3">
      <c r="A12620" s="66"/>
      <c r="B12620" s="67"/>
      <c r="C12620" s="66"/>
      <c r="D12620" s="68"/>
      <c r="E12620" s="10"/>
      <c r="F12620" s="69"/>
      <c r="G12620" s="68"/>
      <c r="H12620" s="70"/>
      <c r="BA12620" s="4"/>
      <c r="BB12620" s="4"/>
    </row>
    <row r="12621" spans="1:54" x14ac:dyDescent="0.3">
      <c r="A12621" s="66"/>
      <c r="B12621" s="67"/>
      <c r="C12621" s="66"/>
      <c r="D12621" s="68"/>
      <c r="E12621" s="10"/>
      <c r="F12621" s="69"/>
      <c r="G12621" s="68"/>
      <c r="H12621" s="70"/>
      <c r="BA12621" s="4"/>
      <c r="BB12621" s="4"/>
    </row>
    <row r="12622" spans="1:54" x14ac:dyDescent="0.3">
      <c r="A12622" s="66"/>
      <c r="B12622" s="67"/>
      <c r="C12622" s="66"/>
      <c r="D12622" s="68"/>
      <c r="E12622" s="10"/>
      <c r="F12622" s="69"/>
      <c r="G12622" s="68"/>
      <c r="H12622" s="70"/>
      <c r="BA12622" s="4"/>
      <c r="BB12622" s="4"/>
    </row>
    <row r="12623" spans="1:54" x14ac:dyDescent="0.3">
      <c r="A12623" s="66"/>
      <c r="B12623" s="67"/>
      <c r="C12623" s="66"/>
      <c r="D12623" s="68"/>
      <c r="E12623" s="10"/>
      <c r="F12623" s="69"/>
      <c r="G12623" s="68"/>
      <c r="H12623" s="70"/>
      <c r="BA12623" s="4"/>
      <c r="BB12623" s="4"/>
    </row>
    <row r="12624" spans="1:54" x14ac:dyDescent="0.3">
      <c r="A12624" s="66"/>
      <c r="B12624" s="67"/>
      <c r="C12624" s="66"/>
      <c r="D12624" s="68"/>
      <c r="E12624" s="10"/>
      <c r="F12624" s="69"/>
      <c r="G12624" s="68"/>
      <c r="H12624" s="70"/>
      <c r="BA12624" s="4"/>
      <c r="BB12624" s="4"/>
    </row>
    <row r="12625" spans="1:54" x14ac:dyDescent="0.3">
      <c r="A12625" s="66"/>
      <c r="B12625" s="67"/>
      <c r="C12625" s="66"/>
      <c r="D12625" s="68"/>
      <c r="E12625" s="10"/>
      <c r="F12625" s="69"/>
      <c r="G12625" s="68"/>
      <c r="H12625" s="70"/>
      <c r="BA12625" s="4"/>
      <c r="BB12625" s="4"/>
    </row>
    <row r="12626" spans="1:54" x14ac:dyDescent="0.3">
      <c r="A12626" s="66"/>
      <c r="B12626" s="67"/>
      <c r="C12626" s="66"/>
      <c r="D12626" s="68"/>
      <c r="E12626" s="10"/>
      <c r="F12626" s="69"/>
      <c r="G12626" s="68"/>
      <c r="H12626" s="70"/>
      <c r="BA12626" s="4"/>
      <c r="BB12626" s="4"/>
    </row>
    <row r="12627" spans="1:54" x14ac:dyDescent="0.3">
      <c r="A12627" s="66"/>
      <c r="B12627" s="67"/>
      <c r="C12627" s="66"/>
      <c r="D12627" s="68"/>
      <c r="E12627" s="10"/>
      <c r="F12627" s="69"/>
      <c r="G12627" s="68"/>
      <c r="H12627" s="70"/>
      <c r="BA12627" s="4"/>
      <c r="BB12627" s="4"/>
    </row>
    <row r="12628" spans="1:54" x14ac:dyDescent="0.3">
      <c r="A12628" s="66"/>
      <c r="B12628" s="67"/>
      <c r="C12628" s="66"/>
      <c r="D12628" s="68"/>
      <c r="E12628" s="10"/>
      <c r="F12628" s="69"/>
      <c r="G12628" s="68"/>
      <c r="H12628" s="70"/>
      <c r="BA12628" s="4"/>
      <c r="BB12628" s="4"/>
    </row>
    <row r="12629" spans="1:54" x14ac:dyDescent="0.3">
      <c r="A12629" s="66"/>
      <c r="B12629" s="67"/>
      <c r="C12629" s="66"/>
      <c r="D12629" s="68"/>
      <c r="E12629" s="10"/>
      <c r="F12629" s="69"/>
      <c r="G12629" s="68"/>
      <c r="H12629" s="70"/>
      <c r="BA12629" s="4"/>
      <c r="BB12629" s="4"/>
    </row>
    <row r="12630" spans="1:54" x14ac:dyDescent="0.3">
      <c r="A12630" s="66"/>
      <c r="B12630" s="67"/>
      <c r="C12630" s="66"/>
      <c r="D12630" s="68"/>
      <c r="E12630" s="10"/>
      <c r="F12630" s="69"/>
      <c r="G12630" s="68"/>
      <c r="H12630" s="70"/>
      <c r="BA12630" s="4"/>
      <c r="BB12630" s="4"/>
    </row>
    <row r="12631" spans="1:54" x14ac:dyDescent="0.3">
      <c r="A12631" s="66"/>
      <c r="B12631" s="67"/>
      <c r="C12631" s="66"/>
      <c r="D12631" s="68"/>
      <c r="E12631" s="10"/>
      <c r="F12631" s="69"/>
      <c r="G12631" s="68"/>
      <c r="H12631" s="70"/>
      <c r="BA12631" s="4"/>
      <c r="BB12631" s="4"/>
    </row>
    <row r="12632" spans="1:54" x14ac:dyDescent="0.3">
      <c r="A12632" s="66"/>
      <c r="B12632" s="67"/>
      <c r="C12632" s="66"/>
      <c r="D12632" s="68"/>
      <c r="E12632" s="10"/>
      <c r="F12632" s="69"/>
      <c r="G12632" s="68"/>
      <c r="H12632" s="70"/>
      <c r="BA12632" s="4"/>
      <c r="BB12632" s="4"/>
    </row>
    <row r="12633" spans="1:54" x14ac:dyDescent="0.3">
      <c r="A12633" s="66"/>
      <c r="B12633" s="67"/>
      <c r="C12633" s="66"/>
      <c r="D12633" s="68"/>
      <c r="E12633" s="10"/>
      <c r="F12633" s="69"/>
      <c r="G12633" s="68"/>
      <c r="H12633" s="70"/>
      <c r="BA12633" s="4"/>
      <c r="BB12633" s="4"/>
    </row>
    <row r="12634" spans="1:54" x14ac:dyDescent="0.3">
      <c r="A12634" s="66"/>
      <c r="B12634" s="67"/>
      <c r="C12634" s="66"/>
      <c r="D12634" s="68"/>
      <c r="E12634" s="10"/>
      <c r="F12634" s="69"/>
      <c r="G12634" s="68"/>
      <c r="H12634" s="70"/>
      <c r="BA12634" s="4"/>
      <c r="BB12634" s="4"/>
    </row>
    <row r="12635" spans="1:54" x14ac:dyDescent="0.3">
      <c r="A12635" s="66"/>
      <c r="B12635" s="67"/>
      <c r="C12635" s="66"/>
      <c r="D12635" s="68"/>
      <c r="E12635" s="10"/>
      <c r="F12635" s="69"/>
      <c r="G12635" s="68"/>
      <c r="H12635" s="70"/>
      <c r="BA12635" s="4"/>
      <c r="BB12635" s="4"/>
    </row>
    <row r="12636" spans="1:54" x14ac:dyDescent="0.3">
      <c r="A12636" s="66"/>
      <c r="B12636" s="67"/>
      <c r="C12636" s="66"/>
      <c r="D12636" s="68"/>
      <c r="E12636" s="10"/>
      <c r="F12636" s="69"/>
      <c r="G12636" s="68"/>
      <c r="H12636" s="70"/>
      <c r="BA12636" s="4"/>
      <c r="BB12636" s="4"/>
    </row>
    <row r="12637" spans="1:54" x14ac:dyDescent="0.3">
      <c r="A12637" s="66"/>
      <c r="B12637" s="67"/>
      <c r="C12637" s="66"/>
      <c r="D12637" s="68"/>
      <c r="E12637" s="10"/>
      <c r="F12637" s="69"/>
      <c r="G12637" s="68"/>
      <c r="H12637" s="70"/>
      <c r="BA12637" s="4"/>
      <c r="BB12637" s="4"/>
    </row>
    <row r="12638" spans="1:54" x14ac:dyDescent="0.3">
      <c r="A12638" s="66"/>
      <c r="B12638" s="67"/>
      <c r="C12638" s="66"/>
      <c r="D12638" s="68"/>
      <c r="E12638" s="10"/>
      <c r="F12638" s="69"/>
      <c r="G12638" s="68"/>
      <c r="H12638" s="70"/>
      <c r="BA12638" s="4"/>
      <c r="BB12638" s="4"/>
    </row>
    <row r="12639" spans="1:54" x14ac:dyDescent="0.3">
      <c r="A12639" s="66"/>
      <c r="B12639" s="67"/>
      <c r="C12639" s="66"/>
      <c r="D12639" s="68"/>
      <c r="E12639" s="10"/>
      <c r="F12639" s="69"/>
      <c r="G12639" s="68"/>
      <c r="H12639" s="70"/>
      <c r="BA12639" s="4"/>
      <c r="BB12639" s="4"/>
    </row>
    <row r="12640" spans="1:54" x14ac:dyDescent="0.3">
      <c r="A12640" s="66"/>
      <c r="B12640" s="67"/>
      <c r="C12640" s="66"/>
      <c r="D12640" s="68"/>
      <c r="E12640" s="10"/>
      <c r="F12640" s="69"/>
      <c r="G12640" s="68"/>
      <c r="H12640" s="70"/>
      <c r="BA12640" s="4"/>
      <c r="BB12640" s="4"/>
    </row>
    <row r="12641" spans="1:54" x14ac:dyDescent="0.3">
      <c r="A12641" s="66"/>
      <c r="B12641" s="67"/>
      <c r="C12641" s="66"/>
      <c r="D12641" s="68"/>
      <c r="E12641" s="10"/>
      <c r="F12641" s="69"/>
      <c r="G12641" s="68"/>
      <c r="H12641" s="70"/>
      <c r="BA12641" s="4"/>
      <c r="BB12641" s="4"/>
    </row>
    <row r="12642" spans="1:54" x14ac:dyDescent="0.3">
      <c r="A12642" s="66"/>
      <c r="B12642" s="67"/>
      <c r="C12642" s="66"/>
      <c r="D12642" s="68"/>
      <c r="E12642" s="10"/>
      <c r="F12642" s="69"/>
      <c r="G12642" s="68"/>
      <c r="H12642" s="70"/>
      <c r="BA12642" s="4"/>
      <c r="BB12642" s="4"/>
    </row>
    <row r="12643" spans="1:54" x14ac:dyDescent="0.3">
      <c r="A12643" s="66"/>
      <c r="B12643" s="67"/>
      <c r="C12643" s="66"/>
      <c r="D12643" s="68"/>
      <c r="E12643" s="10"/>
      <c r="F12643" s="69"/>
      <c r="G12643" s="68"/>
      <c r="H12643" s="70"/>
      <c r="BA12643" s="4"/>
      <c r="BB12643" s="4"/>
    </row>
    <row r="12644" spans="1:54" x14ac:dyDescent="0.3">
      <c r="A12644" s="66"/>
      <c r="B12644" s="67"/>
      <c r="C12644" s="66"/>
      <c r="D12644" s="68"/>
      <c r="E12644" s="10"/>
      <c r="F12644" s="69"/>
      <c r="G12644" s="68"/>
      <c r="H12644" s="70"/>
      <c r="BA12644" s="4"/>
      <c r="BB12644" s="4"/>
    </row>
    <row r="12645" spans="1:54" x14ac:dyDescent="0.3">
      <c r="A12645" s="66"/>
      <c r="B12645" s="67"/>
      <c r="C12645" s="66"/>
      <c r="D12645" s="68"/>
      <c r="E12645" s="10"/>
      <c r="F12645" s="69"/>
      <c r="G12645" s="68"/>
      <c r="H12645" s="70"/>
      <c r="BA12645" s="4"/>
      <c r="BB12645" s="4"/>
    </row>
    <row r="12646" spans="1:54" x14ac:dyDescent="0.3">
      <c r="A12646" s="66"/>
      <c r="B12646" s="67"/>
      <c r="C12646" s="66"/>
      <c r="D12646" s="68"/>
      <c r="E12646" s="10"/>
      <c r="F12646" s="69"/>
      <c r="G12646" s="68"/>
      <c r="H12646" s="70"/>
      <c r="BA12646" s="4"/>
      <c r="BB12646" s="4"/>
    </row>
    <row r="12647" spans="1:54" x14ac:dyDescent="0.3">
      <c r="A12647" s="66"/>
      <c r="B12647" s="67"/>
      <c r="C12647" s="66"/>
      <c r="D12647" s="68"/>
      <c r="E12647" s="10"/>
      <c r="F12647" s="69"/>
      <c r="G12647" s="68"/>
      <c r="H12647" s="70"/>
      <c r="BA12647" s="4"/>
      <c r="BB12647" s="4"/>
    </row>
    <row r="12648" spans="1:54" x14ac:dyDescent="0.3">
      <c r="A12648" s="66"/>
      <c r="B12648" s="67"/>
      <c r="C12648" s="66"/>
      <c r="D12648" s="68"/>
      <c r="E12648" s="10"/>
      <c r="F12648" s="69"/>
      <c r="G12648" s="68"/>
      <c r="H12648" s="70"/>
      <c r="BA12648" s="4"/>
      <c r="BB12648" s="4"/>
    </row>
    <row r="12649" spans="1:54" x14ac:dyDescent="0.3">
      <c r="A12649" s="66"/>
      <c r="B12649" s="67"/>
      <c r="C12649" s="66"/>
      <c r="D12649" s="68"/>
      <c r="E12649" s="10"/>
      <c r="F12649" s="69"/>
      <c r="G12649" s="68"/>
      <c r="H12649" s="70"/>
      <c r="BA12649" s="4"/>
      <c r="BB12649" s="4"/>
    </row>
    <row r="12650" spans="1:54" x14ac:dyDescent="0.3">
      <c r="A12650" s="66"/>
      <c r="B12650" s="67"/>
      <c r="C12650" s="66"/>
      <c r="D12650" s="68"/>
      <c r="E12650" s="10"/>
      <c r="F12650" s="69"/>
      <c r="G12650" s="68"/>
      <c r="H12650" s="70"/>
      <c r="BA12650" s="4"/>
      <c r="BB12650" s="4"/>
    </row>
    <row r="12651" spans="1:54" x14ac:dyDescent="0.3">
      <c r="A12651" s="66"/>
      <c r="B12651" s="67"/>
      <c r="C12651" s="66"/>
      <c r="D12651" s="68"/>
      <c r="E12651" s="10"/>
      <c r="F12651" s="69"/>
      <c r="G12651" s="68"/>
      <c r="H12651" s="70"/>
      <c r="BA12651" s="4"/>
      <c r="BB12651" s="4"/>
    </row>
    <row r="12652" spans="1:54" x14ac:dyDescent="0.3">
      <c r="A12652" s="66"/>
      <c r="B12652" s="67"/>
      <c r="C12652" s="66"/>
      <c r="D12652" s="68"/>
      <c r="E12652" s="10"/>
      <c r="F12652" s="69"/>
      <c r="G12652" s="68"/>
      <c r="H12652" s="70"/>
      <c r="BA12652" s="4"/>
      <c r="BB12652" s="4"/>
    </row>
    <row r="12653" spans="1:54" x14ac:dyDescent="0.3">
      <c r="A12653" s="66"/>
      <c r="B12653" s="67"/>
      <c r="C12653" s="66"/>
      <c r="D12653" s="68"/>
      <c r="E12653" s="10"/>
      <c r="F12653" s="69"/>
      <c r="G12653" s="68"/>
      <c r="H12653" s="70"/>
      <c r="BA12653" s="4"/>
      <c r="BB12653" s="4"/>
    </row>
    <row r="12654" spans="1:54" x14ac:dyDescent="0.3">
      <c r="A12654" s="66"/>
      <c r="B12654" s="67"/>
      <c r="C12654" s="66"/>
      <c r="D12654" s="68"/>
      <c r="E12654" s="10"/>
      <c r="F12654" s="69"/>
      <c r="G12654" s="68"/>
      <c r="H12654" s="70"/>
      <c r="BA12654" s="4"/>
      <c r="BB12654" s="4"/>
    </row>
    <row r="12655" spans="1:54" x14ac:dyDescent="0.3">
      <c r="A12655" s="66"/>
      <c r="B12655" s="67"/>
      <c r="C12655" s="66"/>
      <c r="D12655" s="68"/>
      <c r="E12655" s="10"/>
      <c r="F12655" s="69"/>
      <c r="G12655" s="68"/>
      <c r="H12655" s="70"/>
      <c r="BA12655" s="4"/>
      <c r="BB12655" s="4"/>
    </row>
    <row r="12656" spans="1:54" x14ac:dyDescent="0.3">
      <c r="A12656" s="66"/>
      <c r="B12656" s="67"/>
      <c r="C12656" s="66"/>
      <c r="D12656" s="68"/>
      <c r="E12656" s="10"/>
      <c r="F12656" s="69"/>
      <c r="G12656" s="68"/>
      <c r="H12656" s="70"/>
      <c r="BA12656" s="4"/>
      <c r="BB12656" s="4"/>
    </row>
    <row r="12657" spans="1:54" x14ac:dyDescent="0.3">
      <c r="A12657" s="66"/>
      <c r="B12657" s="67"/>
      <c r="C12657" s="66"/>
      <c r="D12657" s="68"/>
      <c r="E12657" s="10"/>
      <c r="F12657" s="69"/>
      <c r="G12657" s="68"/>
      <c r="H12657" s="70"/>
      <c r="BA12657" s="4"/>
      <c r="BB12657" s="4"/>
    </row>
    <row r="12658" spans="1:54" x14ac:dyDescent="0.3">
      <c r="A12658" s="66"/>
      <c r="B12658" s="67"/>
      <c r="C12658" s="66"/>
      <c r="D12658" s="68"/>
      <c r="E12658" s="10"/>
      <c r="F12658" s="69"/>
      <c r="G12658" s="68"/>
      <c r="H12658" s="70"/>
      <c r="BA12658" s="4"/>
      <c r="BB12658" s="4"/>
    </row>
    <row r="12659" spans="1:54" x14ac:dyDescent="0.3">
      <c r="A12659" s="66"/>
      <c r="B12659" s="67"/>
      <c r="C12659" s="66"/>
      <c r="D12659" s="68"/>
      <c r="E12659" s="10"/>
      <c r="F12659" s="69"/>
      <c r="G12659" s="68"/>
      <c r="H12659" s="70"/>
      <c r="BA12659" s="4"/>
      <c r="BB12659" s="4"/>
    </row>
    <row r="12660" spans="1:54" x14ac:dyDescent="0.3">
      <c r="A12660" s="66"/>
      <c r="B12660" s="67"/>
      <c r="C12660" s="66"/>
      <c r="D12660" s="68"/>
      <c r="E12660" s="10"/>
      <c r="F12660" s="69"/>
      <c r="G12660" s="68"/>
      <c r="H12660" s="70"/>
      <c r="BA12660" s="4"/>
      <c r="BB12660" s="4"/>
    </row>
    <row r="12661" spans="1:54" x14ac:dyDescent="0.3">
      <c r="A12661" s="66"/>
      <c r="B12661" s="67"/>
      <c r="C12661" s="66"/>
      <c r="D12661" s="68"/>
      <c r="E12661" s="10"/>
      <c r="F12661" s="69"/>
      <c r="G12661" s="68"/>
      <c r="H12661" s="70"/>
      <c r="BA12661" s="4"/>
      <c r="BB12661" s="4"/>
    </row>
    <row r="12662" spans="1:54" x14ac:dyDescent="0.3">
      <c r="A12662" s="66"/>
      <c r="B12662" s="67"/>
      <c r="C12662" s="66"/>
      <c r="D12662" s="68"/>
      <c r="E12662" s="10"/>
      <c r="F12662" s="69"/>
      <c r="G12662" s="68"/>
      <c r="H12662" s="70"/>
      <c r="BA12662" s="4"/>
      <c r="BB12662" s="4"/>
    </row>
    <row r="12663" spans="1:54" x14ac:dyDescent="0.3">
      <c r="A12663" s="66"/>
      <c r="B12663" s="67"/>
      <c r="C12663" s="66"/>
      <c r="D12663" s="68"/>
      <c r="E12663" s="10"/>
      <c r="F12663" s="69"/>
      <c r="G12663" s="68"/>
      <c r="H12663" s="70"/>
      <c r="BA12663" s="4"/>
      <c r="BB12663" s="4"/>
    </row>
    <row r="12664" spans="1:54" x14ac:dyDescent="0.3">
      <c r="A12664" s="66"/>
      <c r="B12664" s="67"/>
      <c r="C12664" s="66"/>
      <c r="D12664" s="68"/>
      <c r="E12664" s="10"/>
      <c r="F12664" s="69"/>
      <c r="G12664" s="68"/>
      <c r="H12664" s="70"/>
      <c r="BA12664" s="4"/>
      <c r="BB12664" s="4"/>
    </row>
    <row r="12665" spans="1:54" x14ac:dyDescent="0.3">
      <c r="A12665" s="66"/>
      <c r="B12665" s="67"/>
      <c r="C12665" s="66"/>
      <c r="D12665" s="68"/>
      <c r="E12665" s="10"/>
      <c r="F12665" s="69"/>
      <c r="G12665" s="68"/>
      <c r="H12665" s="70"/>
      <c r="BA12665" s="4"/>
      <c r="BB12665" s="4"/>
    </row>
    <row r="12666" spans="1:54" x14ac:dyDescent="0.3">
      <c r="A12666" s="66"/>
      <c r="B12666" s="67"/>
      <c r="C12666" s="66"/>
      <c r="D12666" s="68"/>
      <c r="E12666" s="10"/>
      <c r="F12666" s="69"/>
      <c r="G12666" s="68"/>
      <c r="H12666" s="70"/>
      <c r="BA12666" s="4"/>
      <c r="BB12666" s="4"/>
    </row>
    <row r="12667" spans="1:54" x14ac:dyDescent="0.3">
      <c r="A12667" s="66"/>
      <c r="B12667" s="67"/>
      <c r="C12667" s="66"/>
      <c r="D12667" s="68"/>
      <c r="E12667" s="10"/>
      <c r="F12667" s="69"/>
      <c r="G12667" s="68"/>
      <c r="H12667" s="70"/>
      <c r="BA12667" s="4"/>
      <c r="BB12667" s="4"/>
    </row>
    <row r="12668" spans="1:54" x14ac:dyDescent="0.3">
      <c r="A12668" s="66"/>
      <c r="B12668" s="67"/>
      <c r="C12668" s="66"/>
      <c r="D12668" s="68"/>
      <c r="E12668" s="10"/>
      <c r="F12668" s="69"/>
      <c r="G12668" s="68"/>
      <c r="H12668" s="70"/>
      <c r="BA12668" s="4"/>
      <c r="BB12668" s="4"/>
    </row>
    <row r="12669" spans="1:54" x14ac:dyDescent="0.3">
      <c r="A12669" s="66"/>
      <c r="B12669" s="67"/>
      <c r="C12669" s="66"/>
      <c r="D12669" s="68"/>
      <c r="E12669" s="10"/>
      <c r="F12669" s="69"/>
      <c r="G12669" s="68"/>
      <c r="H12669" s="70"/>
      <c r="BA12669" s="4"/>
      <c r="BB12669" s="4"/>
    </row>
    <row r="12670" spans="1:54" x14ac:dyDescent="0.3">
      <c r="A12670" s="66"/>
      <c r="B12670" s="67"/>
      <c r="C12670" s="66"/>
      <c r="D12670" s="68"/>
      <c r="E12670" s="10"/>
      <c r="F12670" s="69"/>
      <c r="G12670" s="68"/>
      <c r="H12670" s="70"/>
      <c r="BA12670" s="4"/>
      <c r="BB12670" s="4"/>
    </row>
    <row r="12671" spans="1:54" x14ac:dyDescent="0.3">
      <c r="A12671" s="66"/>
      <c r="B12671" s="67"/>
      <c r="C12671" s="66"/>
      <c r="D12671" s="68"/>
      <c r="E12671" s="10"/>
      <c r="F12671" s="69"/>
      <c r="G12671" s="68"/>
      <c r="H12671" s="70"/>
      <c r="BA12671" s="4"/>
      <c r="BB12671" s="4"/>
    </row>
    <row r="12672" spans="1:54" x14ac:dyDescent="0.3">
      <c r="A12672" s="66"/>
      <c r="B12672" s="67"/>
      <c r="C12672" s="66"/>
      <c r="D12672" s="68"/>
      <c r="E12672" s="10"/>
      <c r="F12672" s="69"/>
      <c r="G12672" s="68"/>
      <c r="H12672" s="70"/>
      <c r="BA12672" s="4"/>
      <c r="BB12672" s="4"/>
    </row>
    <row r="12673" spans="1:54" x14ac:dyDescent="0.3">
      <c r="A12673" s="66"/>
      <c r="B12673" s="67"/>
      <c r="C12673" s="66"/>
      <c r="D12673" s="68"/>
      <c r="E12673" s="10"/>
      <c r="F12673" s="69"/>
      <c r="G12673" s="68"/>
      <c r="H12673" s="70"/>
      <c r="BA12673" s="4"/>
      <c r="BB12673" s="4"/>
    </row>
    <row r="12674" spans="1:54" x14ac:dyDescent="0.3">
      <c r="A12674" s="66"/>
      <c r="B12674" s="67"/>
      <c r="C12674" s="66"/>
      <c r="D12674" s="68"/>
      <c r="E12674" s="10"/>
      <c r="F12674" s="69"/>
      <c r="G12674" s="68"/>
      <c r="H12674" s="70"/>
      <c r="BA12674" s="4"/>
      <c r="BB12674" s="4"/>
    </row>
    <row r="12675" spans="1:54" x14ac:dyDescent="0.3">
      <c r="A12675" s="66"/>
      <c r="B12675" s="67"/>
      <c r="C12675" s="66"/>
      <c r="D12675" s="68"/>
      <c r="E12675" s="10"/>
      <c r="F12675" s="69"/>
      <c r="G12675" s="68"/>
      <c r="H12675" s="70"/>
      <c r="BA12675" s="4"/>
      <c r="BB12675" s="4"/>
    </row>
    <row r="12676" spans="1:54" x14ac:dyDescent="0.3">
      <c r="A12676" s="66"/>
      <c r="B12676" s="67"/>
      <c r="C12676" s="66"/>
      <c r="D12676" s="68"/>
      <c r="E12676" s="10"/>
      <c r="F12676" s="69"/>
      <c r="G12676" s="68"/>
      <c r="H12676" s="70"/>
      <c r="BA12676" s="4"/>
      <c r="BB12676" s="4"/>
    </row>
    <row r="12677" spans="1:54" x14ac:dyDescent="0.3">
      <c r="A12677" s="66"/>
      <c r="B12677" s="67"/>
      <c r="C12677" s="66"/>
      <c r="D12677" s="68"/>
      <c r="E12677" s="10"/>
      <c r="F12677" s="69"/>
      <c r="G12677" s="68"/>
      <c r="H12677" s="70"/>
      <c r="BA12677" s="4"/>
      <c r="BB12677" s="4"/>
    </row>
    <row r="12678" spans="1:54" x14ac:dyDescent="0.3">
      <c r="A12678" s="66"/>
      <c r="B12678" s="67"/>
      <c r="C12678" s="66"/>
      <c r="D12678" s="68"/>
      <c r="E12678" s="10"/>
      <c r="F12678" s="69"/>
      <c r="G12678" s="68"/>
      <c r="H12678" s="70"/>
      <c r="BA12678" s="4"/>
      <c r="BB12678" s="4"/>
    </row>
    <row r="12679" spans="1:54" x14ac:dyDescent="0.3">
      <c r="A12679" s="66"/>
      <c r="B12679" s="67"/>
      <c r="C12679" s="66"/>
      <c r="D12679" s="68"/>
      <c r="E12679" s="10"/>
      <c r="F12679" s="69"/>
      <c r="G12679" s="68"/>
      <c r="H12679" s="70"/>
      <c r="BA12679" s="4"/>
      <c r="BB12679" s="4"/>
    </row>
    <row r="12680" spans="1:54" x14ac:dyDescent="0.3">
      <c r="A12680" s="66"/>
      <c r="B12680" s="67"/>
      <c r="C12680" s="66"/>
      <c r="D12680" s="68"/>
      <c r="E12680" s="10"/>
      <c r="F12680" s="69"/>
      <c r="G12680" s="68"/>
      <c r="H12680" s="70"/>
      <c r="BA12680" s="4"/>
      <c r="BB12680" s="4"/>
    </row>
    <row r="12681" spans="1:54" x14ac:dyDescent="0.3">
      <c r="A12681" s="66"/>
      <c r="B12681" s="67"/>
      <c r="C12681" s="66"/>
      <c r="D12681" s="68"/>
      <c r="E12681" s="10"/>
      <c r="F12681" s="69"/>
      <c r="G12681" s="68"/>
      <c r="H12681" s="70"/>
      <c r="BA12681" s="4"/>
      <c r="BB12681" s="4"/>
    </row>
    <row r="12682" spans="1:54" x14ac:dyDescent="0.3">
      <c r="A12682" s="66"/>
      <c r="B12682" s="67"/>
      <c r="C12682" s="66"/>
      <c r="D12682" s="68"/>
      <c r="E12682" s="10"/>
      <c r="F12682" s="69"/>
      <c r="G12682" s="68"/>
      <c r="H12682" s="70"/>
      <c r="BA12682" s="4"/>
      <c r="BB12682" s="4"/>
    </row>
    <row r="12683" spans="1:54" x14ac:dyDescent="0.3">
      <c r="A12683" s="66"/>
      <c r="B12683" s="67"/>
      <c r="C12683" s="66"/>
      <c r="D12683" s="68"/>
      <c r="E12683" s="10"/>
      <c r="F12683" s="69"/>
      <c r="G12683" s="68"/>
      <c r="H12683" s="70"/>
      <c r="BA12683" s="4"/>
      <c r="BB12683" s="4"/>
    </row>
    <row r="12684" spans="1:54" x14ac:dyDescent="0.3">
      <c r="A12684" s="66"/>
      <c r="B12684" s="67"/>
      <c r="C12684" s="66"/>
      <c r="D12684" s="68"/>
      <c r="E12684" s="10"/>
      <c r="F12684" s="69"/>
      <c r="G12684" s="68"/>
      <c r="H12684" s="70"/>
      <c r="BA12684" s="4"/>
      <c r="BB12684" s="4"/>
    </row>
    <row r="12685" spans="1:54" x14ac:dyDescent="0.3">
      <c r="A12685" s="66"/>
      <c r="B12685" s="67"/>
      <c r="C12685" s="66"/>
      <c r="D12685" s="68"/>
      <c r="E12685" s="10"/>
      <c r="F12685" s="69"/>
      <c r="G12685" s="68"/>
      <c r="H12685" s="70"/>
      <c r="BA12685" s="4"/>
      <c r="BB12685" s="4"/>
    </row>
    <row r="12686" spans="1:54" x14ac:dyDescent="0.3">
      <c r="A12686" s="66"/>
      <c r="B12686" s="67"/>
      <c r="C12686" s="66"/>
      <c r="D12686" s="68"/>
      <c r="E12686" s="10"/>
      <c r="F12686" s="69"/>
      <c r="G12686" s="68"/>
      <c r="H12686" s="70"/>
      <c r="BA12686" s="4"/>
      <c r="BB12686" s="4"/>
    </row>
    <row r="12687" spans="1:54" x14ac:dyDescent="0.3">
      <c r="A12687" s="66"/>
      <c r="B12687" s="67"/>
      <c r="C12687" s="66"/>
      <c r="D12687" s="68"/>
      <c r="E12687" s="10"/>
      <c r="F12687" s="69"/>
      <c r="G12687" s="68"/>
      <c r="H12687" s="70"/>
      <c r="BA12687" s="4"/>
      <c r="BB12687" s="4"/>
    </row>
    <row r="12688" spans="1:54" x14ac:dyDescent="0.3">
      <c r="A12688" s="66"/>
      <c r="B12688" s="67"/>
      <c r="C12688" s="66"/>
      <c r="D12688" s="68"/>
      <c r="E12688" s="10"/>
      <c r="F12688" s="69"/>
      <c r="G12688" s="68"/>
      <c r="H12688" s="70"/>
      <c r="BA12688" s="4"/>
      <c r="BB12688" s="4"/>
    </row>
    <row r="12689" spans="1:54" x14ac:dyDescent="0.3">
      <c r="A12689" s="66"/>
      <c r="B12689" s="67"/>
      <c r="C12689" s="66"/>
      <c r="D12689" s="68"/>
      <c r="E12689" s="10"/>
      <c r="F12689" s="69"/>
      <c r="G12689" s="68"/>
      <c r="H12689" s="70"/>
      <c r="BA12689" s="4"/>
      <c r="BB12689" s="4"/>
    </row>
    <row r="12690" spans="1:54" x14ac:dyDescent="0.3">
      <c r="A12690" s="66"/>
      <c r="B12690" s="67"/>
      <c r="C12690" s="66"/>
      <c r="D12690" s="68"/>
      <c r="E12690" s="10"/>
      <c r="F12690" s="69"/>
      <c r="G12690" s="68"/>
      <c r="H12690" s="70"/>
      <c r="BA12690" s="4"/>
      <c r="BB12690" s="4"/>
    </row>
    <row r="12691" spans="1:54" x14ac:dyDescent="0.3">
      <c r="A12691" s="66"/>
      <c r="B12691" s="67"/>
      <c r="C12691" s="66"/>
      <c r="D12691" s="68"/>
      <c r="E12691" s="10"/>
      <c r="F12691" s="69"/>
      <c r="G12691" s="68"/>
      <c r="H12691" s="70"/>
      <c r="BA12691" s="4"/>
      <c r="BB12691" s="4"/>
    </row>
    <row r="12692" spans="1:54" x14ac:dyDescent="0.3">
      <c r="A12692" s="66"/>
      <c r="B12692" s="67"/>
      <c r="C12692" s="66"/>
      <c r="D12692" s="68"/>
      <c r="E12692" s="10"/>
      <c r="F12692" s="69"/>
      <c r="G12692" s="68"/>
      <c r="H12692" s="70"/>
      <c r="BA12692" s="4"/>
      <c r="BB12692" s="4"/>
    </row>
    <row r="12693" spans="1:54" x14ac:dyDescent="0.3">
      <c r="A12693" s="66"/>
      <c r="B12693" s="67"/>
      <c r="C12693" s="66"/>
      <c r="D12693" s="68"/>
      <c r="E12693" s="10"/>
      <c r="F12693" s="69"/>
      <c r="G12693" s="68"/>
      <c r="H12693" s="70"/>
      <c r="BA12693" s="4"/>
      <c r="BB12693" s="4"/>
    </row>
    <row r="12694" spans="1:54" x14ac:dyDescent="0.3">
      <c r="A12694" s="66"/>
      <c r="B12694" s="67"/>
      <c r="C12694" s="66"/>
      <c r="D12694" s="68"/>
      <c r="E12694" s="10"/>
      <c r="F12694" s="69"/>
      <c r="G12694" s="68"/>
      <c r="H12694" s="70"/>
      <c r="BA12694" s="4"/>
      <c r="BB12694" s="4"/>
    </row>
    <row r="12695" spans="1:54" x14ac:dyDescent="0.3">
      <c r="A12695" s="66"/>
      <c r="B12695" s="67"/>
      <c r="C12695" s="66"/>
      <c r="D12695" s="68"/>
      <c r="E12695" s="10"/>
      <c r="F12695" s="69"/>
      <c r="G12695" s="68"/>
      <c r="H12695" s="70"/>
      <c r="BA12695" s="4"/>
      <c r="BB12695" s="4"/>
    </row>
    <row r="12696" spans="1:54" x14ac:dyDescent="0.3">
      <c r="A12696" s="66"/>
      <c r="B12696" s="67"/>
      <c r="C12696" s="66"/>
      <c r="D12696" s="68"/>
      <c r="E12696" s="10"/>
      <c r="F12696" s="69"/>
      <c r="G12696" s="68"/>
      <c r="H12696" s="70"/>
      <c r="BA12696" s="4"/>
      <c r="BB12696" s="4"/>
    </row>
    <row r="12697" spans="1:54" x14ac:dyDescent="0.3">
      <c r="A12697" s="66"/>
      <c r="B12697" s="67"/>
      <c r="C12697" s="66"/>
      <c r="D12697" s="68"/>
      <c r="E12697" s="10"/>
      <c r="F12697" s="69"/>
      <c r="G12697" s="68"/>
      <c r="H12697" s="70"/>
      <c r="BA12697" s="4"/>
      <c r="BB12697" s="4"/>
    </row>
    <row r="12698" spans="1:54" x14ac:dyDescent="0.3">
      <c r="A12698" s="66"/>
      <c r="B12698" s="67"/>
      <c r="C12698" s="66"/>
      <c r="D12698" s="68"/>
      <c r="E12698" s="10"/>
      <c r="F12698" s="69"/>
      <c r="G12698" s="68"/>
      <c r="H12698" s="70"/>
      <c r="BA12698" s="4"/>
      <c r="BB12698" s="4"/>
    </row>
    <row r="12699" spans="1:54" x14ac:dyDescent="0.3">
      <c r="A12699" s="66"/>
      <c r="B12699" s="67"/>
      <c r="C12699" s="66"/>
      <c r="D12699" s="68"/>
      <c r="E12699" s="10"/>
      <c r="F12699" s="69"/>
      <c r="G12699" s="68"/>
      <c r="H12699" s="70"/>
      <c r="BA12699" s="4"/>
      <c r="BB12699" s="4"/>
    </row>
    <row r="12700" spans="1:54" x14ac:dyDescent="0.3">
      <c r="A12700" s="66"/>
      <c r="B12700" s="67"/>
      <c r="C12700" s="66"/>
      <c r="D12700" s="68"/>
      <c r="E12700" s="10"/>
      <c r="F12700" s="69"/>
      <c r="G12700" s="68"/>
      <c r="H12700" s="70"/>
      <c r="BA12700" s="4"/>
      <c r="BB12700" s="4"/>
    </row>
    <row r="12701" spans="1:54" x14ac:dyDescent="0.3">
      <c r="A12701" s="66"/>
      <c r="B12701" s="67"/>
      <c r="C12701" s="66"/>
      <c r="D12701" s="68"/>
      <c r="E12701" s="10"/>
      <c r="F12701" s="69"/>
      <c r="G12701" s="68"/>
      <c r="H12701" s="70"/>
      <c r="BA12701" s="4"/>
      <c r="BB12701" s="4"/>
    </row>
    <row r="12702" spans="1:54" x14ac:dyDescent="0.3">
      <c r="A12702" s="66"/>
      <c r="B12702" s="67"/>
      <c r="C12702" s="66"/>
      <c r="D12702" s="68"/>
      <c r="E12702" s="10"/>
      <c r="F12702" s="69"/>
      <c r="G12702" s="68"/>
      <c r="H12702" s="70"/>
      <c r="BA12702" s="4"/>
      <c r="BB12702" s="4"/>
    </row>
    <row r="12703" spans="1:54" x14ac:dyDescent="0.3">
      <c r="A12703" s="66"/>
      <c r="B12703" s="67"/>
      <c r="C12703" s="66"/>
      <c r="D12703" s="68"/>
      <c r="E12703" s="10"/>
      <c r="F12703" s="69"/>
      <c r="G12703" s="68"/>
      <c r="H12703" s="70"/>
      <c r="BA12703" s="4"/>
      <c r="BB12703" s="4"/>
    </row>
    <row r="12704" spans="1:54" x14ac:dyDescent="0.3">
      <c r="A12704" s="66"/>
      <c r="B12704" s="67"/>
      <c r="C12704" s="66"/>
      <c r="D12704" s="68"/>
      <c r="E12704" s="10"/>
      <c r="F12704" s="69"/>
      <c r="G12704" s="68"/>
      <c r="H12704" s="70"/>
      <c r="BA12704" s="4"/>
      <c r="BB12704" s="4"/>
    </row>
    <row r="12705" spans="1:54" x14ac:dyDescent="0.3">
      <c r="A12705" s="66"/>
      <c r="B12705" s="67"/>
      <c r="C12705" s="66"/>
      <c r="D12705" s="68"/>
      <c r="E12705" s="10"/>
      <c r="F12705" s="69"/>
      <c r="G12705" s="68"/>
      <c r="H12705" s="70"/>
      <c r="BA12705" s="4"/>
      <c r="BB12705" s="4"/>
    </row>
    <row r="12706" spans="1:54" x14ac:dyDescent="0.3">
      <c r="A12706" s="66"/>
      <c r="B12706" s="67"/>
      <c r="C12706" s="66"/>
      <c r="D12706" s="68"/>
      <c r="E12706" s="10"/>
      <c r="F12706" s="69"/>
      <c r="G12706" s="68"/>
      <c r="H12706" s="70"/>
      <c r="BA12706" s="4"/>
      <c r="BB12706" s="4"/>
    </row>
    <row r="12707" spans="1:54" x14ac:dyDescent="0.3">
      <c r="A12707" s="66"/>
      <c r="B12707" s="67"/>
      <c r="C12707" s="66"/>
      <c r="D12707" s="68"/>
      <c r="E12707" s="10"/>
      <c r="F12707" s="69"/>
      <c r="G12707" s="68"/>
      <c r="H12707" s="70"/>
      <c r="BA12707" s="4"/>
      <c r="BB12707" s="4"/>
    </row>
    <row r="12708" spans="1:54" x14ac:dyDescent="0.3">
      <c r="A12708" s="66"/>
      <c r="B12708" s="67"/>
      <c r="C12708" s="66"/>
      <c r="D12708" s="68"/>
      <c r="E12708" s="10"/>
      <c r="F12708" s="69"/>
      <c r="G12708" s="68"/>
      <c r="H12708" s="70"/>
      <c r="BA12708" s="4"/>
      <c r="BB12708" s="4"/>
    </row>
    <row r="12709" spans="1:54" x14ac:dyDescent="0.3">
      <c r="A12709" s="66"/>
      <c r="B12709" s="67"/>
      <c r="C12709" s="66"/>
      <c r="D12709" s="68"/>
      <c r="E12709" s="10"/>
      <c r="F12709" s="69"/>
      <c r="G12709" s="68"/>
      <c r="H12709" s="70"/>
      <c r="BA12709" s="4"/>
      <c r="BB12709" s="4"/>
    </row>
    <row r="12710" spans="1:54" x14ac:dyDescent="0.3">
      <c r="A12710" s="66"/>
      <c r="B12710" s="67"/>
      <c r="C12710" s="66"/>
      <c r="D12710" s="68"/>
      <c r="E12710" s="10"/>
      <c r="F12710" s="69"/>
      <c r="G12710" s="68"/>
      <c r="H12710" s="70"/>
      <c r="BA12710" s="4"/>
      <c r="BB12710" s="4"/>
    </row>
    <row r="12711" spans="1:54" x14ac:dyDescent="0.3">
      <c r="A12711" s="66"/>
      <c r="B12711" s="67"/>
      <c r="C12711" s="66"/>
      <c r="D12711" s="68"/>
      <c r="E12711" s="10"/>
      <c r="F12711" s="69"/>
      <c r="G12711" s="68"/>
      <c r="H12711" s="70"/>
      <c r="BA12711" s="4"/>
      <c r="BB12711" s="4"/>
    </row>
    <row r="12712" spans="1:54" x14ac:dyDescent="0.3">
      <c r="A12712" s="66"/>
      <c r="B12712" s="67"/>
      <c r="C12712" s="66"/>
      <c r="D12712" s="68"/>
      <c r="E12712" s="10"/>
      <c r="F12712" s="69"/>
      <c r="G12712" s="68"/>
      <c r="H12712" s="70"/>
      <c r="BA12712" s="4"/>
      <c r="BB12712" s="4"/>
    </row>
    <row r="12713" spans="1:54" x14ac:dyDescent="0.3">
      <c r="A12713" s="66"/>
      <c r="B12713" s="67"/>
      <c r="C12713" s="66"/>
      <c r="D12713" s="68"/>
      <c r="E12713" s="10"/>
      <c r="F12713" s="69"/>
      <c r="G12713" s="68"/>
      <c r="H12713" s="70"/>
      <c r="BA12713" s="4"/>
      <c r="BB12713" s="4"/>
    </row>
    <row r="12714" spans="1:54" x14ac:dyDescent="0.3">
      <c r="A12714" s="66"/>
      <c r="B12714" s="67"/>
      <c r="C12714" s="66"/>
      <c r="D12714" s="68"/>
      <c r="E12714" s="10"/>
      <c r="F12714" s="69"/>
      <c r="G12714" s="68"/>
      <c r="H12714" s="70"/>
      <c r="BA12714" s="4"/>
      <c r="BB12714" s="4"/>
    </row>
    <row r="12715" spans="1:54" x14ac:dyDescent="0.3">
      <c r="A12715" s="66"/>
      <c r="B12715" s="67"/>
      <c r="C12715" s="66"/>
      <c r="D12715" s="68"/>
      <c r="E12715" s="10"/>
      <c r="F12715" s="69"/>
      <c r="G12715" s="68"/>
      <c r="H12715" s="70"/>
      <c r="BA12715" s="4"/>
      <c r="BB12715" s="4"/>
    </row>
    <row r="12716" spans="1:54" x14ac:dyDescent="0.3">
      <c r="A12716" s="66"/>
      <c r="B12716" s="67"/>
      <c r="C12716" s="66"/>
      <c r="D12716" s="68"/>
      <c r="E12716" s="10"/>
      <c r="F12716" s="69"/>
      <c r="G12716" s="68"/>
      <c r="H12716" s="70"/>
      <c r="BA12716" s="4"/>
      <c r="BB12716" s="4"/>
    </row>
    <row r="12717" spans="1:54" x14ac:dyDescent="0.3">
      <c r="A12717" s="66"/>
      <c r="B12717" s="67"/>
      <c r="C12717" s="66"/>
      <c r="D12717" s="68"/>
      <c r="E12717" s="10"/>
      <c r="F12717" s="69"/>
      <c r="G12717" s="68"/>
      <c r="H12717" s="70"/>
      <c r="BA12717" s="4"/>
      <c r="BB12717" s="4"/>
    </row>
    <row r="12718" spans="1:54" x14ac:dyDescent="0.3">
      <c r="A12718" s="66"/>
      <c r="B12718" s="67"/>
      <c r="C12718" s="66"/>
      <c r="D12718" s="68"/>
      <c r="E12718" s="10"/>
      <c r="F12718" s="69"/>
      <c r="G12718" s="68"/>
      <c r="H12718" s="70"/>
      <c r="BA12718" s="4"/>
      <c r="BB12718" s="4"/>
    </row>
    <row r="12719" spans="1:54" x14ac:dyDescent="0.3">
      <c r="A12719" s="66"/>
      <c r="B12719" s="67"/>
      <c r="C12719" s="66"/>
      <c r="D12719" s="68"/>
      <c r="E12719" s="10"/>
      <c r="F12719" s="69"/>
      <c r="G12719" s="68"/>
      <c r="H12719" s="70"/>
      <c r="BA12719" s="4"/>
      <c r="BB12719" s="4"/>
    </row>
    <row r="12720" spans="1:54" x14ac:dyDescent="0.3">
      <c r="A12720" s="66"/>
      <c r="B12720" s="67"/>
      <c r="C12720" s="66"/>
      <c r="D12720" s="68"/>
      <c r="E12720" s="10"/>
      <c r="F12720" s="69"/>
      <c r="G12720" s="68"/>
      <c r="H12720" s="70"/>
      <c r="BA12720" s="4"/>
      <c r="BB12720" s="4"/>
    </row>
    <row r="12721" spans="1:54" x14ac:dyDescent="0.3">
      <c r="A12721" s="66"/>
      <c r="B12721" s="67"/>
      <c r="C12721" s="66"/>
      <c r="D12721" s="68"/>
      <c r="E12721" s="10"/>
      <c r="F12721" s="69"/>
      <c r="G12721" s="68"/>
      <c r="H12721" s="70"/>
      <c r="BA12721" s="4"/>
      <c r="BB12721" s="4"/>
    </row>
    <row r="12722" spans="1:54" x14ac:dyDescent="0.3">
      <c r="A12722" s="66"/>
      <c r="B12722" s="67"/>
      <c r="C12722" s="66"/>
      <c r="D12722" s="68"/>
      <c r="E12722" s="10"/>
      <c r="F12722" s="69"/>
      <c r="G12722" s="68"/>
      <c r="H12722" s="70"/>
      <c r="BA12722" s="4"/>
      <c r="BB12722" s="4"/>
    </row>
    <row r="12723" spans="1:54" x14ac:dyDescent="0.3">
      <c r="A12723" s="66"/>
      <c r="B12723" s="67"/>
      <c r="C12723" s="66"/>
      <c r="D12723" s="68"/>
      <c r="E12723" s="10"/>
      <c r="F12723" s="69"/>
      <c r="G12723" s="68"/>
      <c r="H12723" s="70"/>
      <c r="BA12723" s="4"/>
      <c r="BB12723" s="4"/>
    </row>
    <row r="12724" spans="1:54" x14ac:dyDescent="0.3">
      <c r="A12724" s="66"/>
      <c r="B12724" s="67"/>
      <c r="C12724" s="66"/>
      <c r="D12724" s="68"/>
      <c r="E12724" s="10"/>
      <c r="F12724" s="69"/>
      <c r="G12724" s="68"/>
      <c r="H12724" s="70"/>
      <c r="BA12724" s="4"/>
      <c r="BB12724" s="4"/>
    </row>
    <row r="12725" spans="1:54" x14ac:dyDescent="0.3">
      <c r="A12725" s="66"/>
      <c r="B12725" s="67"/>
      <c r="C12725" s="66"/>
      <c r="D12725" s="68"/>
      <c r="E12725" s="10"/>
      <c r="F12725" s="69"/>
      <c r="G12725" s="68"/>
      <c r="H12725" s="70"/>
      <c r="BA12725" s="4"/>
      <c r="BB12725" s="4"/>
    </row>
    <row r="12726" spans="1:54" x14ac:dyDescent="0.3">
      <c r="A12726" s="66"/>
      <c r="B12726" s="67"/>
      <c r="C12726" s="66"/>
      <c r="D12726" s="68"/>
      <c r="E12726" s="10"/>
      <c r="F12726" s="69"/>
      <c r="G12726" s="68"/>
      <c r="H12726" s="70"/>
      <c r="BA12726" s="4"/>
      <c r="BB12726" s="4"/>
    </row>
    <row r="12727" spans="1:54" x14ac:dyDescent="0.3">
      <c r="A12727" s="66"/>
      <c r="B12727" s="67"/>
      <c r="C12727" s="66"/>
      <c r="D12727" s="68"/>
      <c r="E12727" s="10"/>
      <c r="F12727" s="69"/>
      <c r="G12727" s="68"/>
      <c r="H12727" s="70"/>
      <c r="BA12727" s="4"/>
      <c r="BB12727" s="4"/>
    </row>
    <row r="12728" spans="1:54" x14ac:dyDescent="0.3">
      <c r="A12728" s="66"/>
      <c r="B12728" s="67"/>
      <c r="C12728" s="66"/>
      <c r="D12728" s="68"/>
      <c r="E12728" s="10"/>
      <c r="F12728" s="69"/>
      <c r="G12728" s="68"/>
      <c r="H12728" s="70"/>
      <c r="BA12728" s="4"/>
      <c r="BB12728" s="4"/>
    </row>
    <row r="12729" spans="1:54" x14ac:dyDescent="0.3">
      <c r="A12729" s="66"/>
      <c r="B12729" s="67"/>
      <c r="C12729" s="66"/>
      <c r="D12729" s="68"/>
      <c r="E12729" s="10"/>
      <c r="F12729" s="69"/>
      <c r="G12729" s="68"/>
      <c r="H12729" s="70"/>
      <c r="BA12729" s="4"/>
      <c r="BB12729" s="4"/>
    </row>
    <row r="12730" spans="1:54" x14ac:dyDescent="0.3">
      <c r="A12730" s="66"/>
      <c r="B12730" s="67"/>
      <c r="C12730" s="66"/>
      <c r="D12730" s="68"/>
      <c r="E12730" s="10"/>
      <c r="F12730" s="69"/>
      <c r="G12730" s="68"/>
      <c r="H12730" s="70"/>
      <c r="BA12730" s="4"/>
      <c r="BB12730" s="4"/>
    </row>
    <row r="12731" spans="1:54" x14ac:dyDescent="0.3">
      <c r="A12731" s="66"/>
      <c r="B12731" s="67"/>
      <c r="C12731" s="66"/>
      <c r="D12731" s="68"/>
      <c r="E12731" s="10"/>
      <c r="F12731" s="69"/>
      <c r="G12731" s="68"/>
      <c r="H12731" s="70"/>
      <c r="BA12731" s="4"/>
      <c r="BB12731" s="4"/>
    </row>
    <row r="12732" spans="1:54" x14ac:dyDescent="0.3">
      <c r="A12732" s="66"/>
      <c r="B12732" s="67"/>
      <c r="C12732" s="66"/>
      <c r="D12732" s="68"/>
      <c r="E12732" s="10"/>
      <c r="F12732" s="69"/>
      <c r="G12732" s="68"/>
      <c r="H12732" s="70"/>
      <c r="BA12732" s="4"/>
      <c r="BB12732" s="4"/>
    </row>
    <row r="12733" spans="1:54" x14ac:dyDescent="0.3">
      <c r="A12733" s="66"/>
      <c r="B12733" s="67"/>
      <c r="C12733" s="66"/>
      <c r="D12733" s="68"/>
      <c r="E12733" s="10"/>
      <c r="F12733" s="69"/>
      <c r="G12733" s="68"/>
      <c r="H12733" s="70"/>
      <c r="BA12733" s="4"/>
      <c r="BB12733" s="4"/>
    </row>
    <row r="12734" spans="1:54" x14ac:dyDescent="0.3">
      <c r="A12734" s="66"/>
      <c r="B12734" s="67"/>
      <c r="C12734" s="66"/>
      <c r="D12734" s="68"/>
      <c r="E12734" s="10"/>
      <c r="F12734" s="69"/>
      <c r="G12734" s="68"/>
      <c r="H12734" s="70"/>
      <c r="BA12734" s="4"/>
      <c r="BB12734" s="4"/>
    </row>
    <row r="12735" spans="1:54" x14ac:dyDescent="0.3">
      <c r="A12735" s="66"/>
      <c r="B12735" s="67"/>
      <c r="C12735" s="66"/>
      <c r="D12735" s="68"/>
      <c r="E12735" s="10"/>
      <c r="F12735" s="69"/>
      <c r="G12735" s="68"/>
      <c r="H12735" s="70"/>
      <c r="BA12735" s="4"/>
      <c r="BB12735" s="4"/>
    </row>
    <row r="12736" spans="1:54" x14ac:dyDescent="0.3">
      <c r="A12736" s="66"/>
      <c r="B12736" s="67"/>
      <c r="C12736" s="66"/>
      <c r="D12736" s="68"/>
      <c r="E12736" s="10"/>
      <c r="F12736" s="69"/>
      <c r="G12736" s="68"/>
      <c r="H12736" s="70"/>
      <c r="BA12736" s="4"/>
      <c r="BB12736" s="4"/>
    </row>
    <row r="12737" spans="1:54" x14ac:dyDescent="0.3">
      <c r="A12737" s="66"/>
      <c r="B12737" s="67"/>
      <c r="C12737" s="66"/>
      <c r="D12737" s="68"/>
      <c r="E12737" s="10"/>
      <c r="F12737" s="69"/>
      <c r="G12737" s="68"/>
      <c r="H12737" s="70"/>
      <c r="BA12737" s="4"/>
      <c r="BB12737" s="4"/>
    </row>
    <row r="12738" spans="1:54" x14ac:dyDescent="0.3">
      <c r="A12738" s="66"/>
      <c r="B12738" s="67"/>
      <c r="C12738" s="66"/>
      <c r="D12738" s="68"/>
      <c r="E12738" s="10"/>
      <c r="F12738" s="69"/>
      <c r="G12738" s="68"/>
      <c r="H12738" s="70"/>
      <c r="BA12738" s="4"/>
      <c r="BB12738" s="4"/>
    </row>
    <row r="12739" spans="1:54" x14ac:dyDescent="0.3">
      <c r="A12739" s="66"/>
      <c r="B12739" s="67"/>
      <c r="C12739" s="66"/>
      <c r="D12739" s="68"/>
      <c r="E12739" s="10"/>
      <c r="F12739" s="69"/>
      <c r="G12739" s="68"/>
      <c r="H12739" s="70"/>
      <c r="BA12739" s="4"/>
      <c r="BB12739" s="4"/>
    </row>
    <row r="12740" spans="1:54" x14ac:dyDescent="0.3">
      <c r="A12740" s="66"/>
      <c r="B12740" s="67"/>
      <c r="C12740" s="66"/>
      <c r="D12740" s="68"/>
      <c r="E12740" s="10"/>
      <c r="F12740" s="69"/>
      <c r="G12740" s="68"/>
      <c r="H12740" s="70"/>
      <c r="BA12740" s="4"/>
      <c r="BB12740" s="4"/>
    </row>
    <row r="12741" spans="1:54" x14ac:dyDescent="0.3">
      <c r="A12741" s="66"/>
      <c r="B12741" s="67"/>
      <c r="C12741" s="66"/>
      <c r="D12741" s="68"/>
      <c r="E12741" s="10"/>
      <c r="F12741" s="69"/>
      <c r="G12741" s="68"/>
      <c r="H12741" s="70"/>
      <c r="BA12741" s="4"/>
      <c r="BB12741" s="4"/>
    </row>
    <row r="12742" spans="1:54" x14ac:dyDescent="0.3">
      <c r="A12742" s="66"/>
      <c r="B12742" s="67"/>
      <c r="C12742" s="66"/>
      <c r="D12742" s="68"/>
      <c r="E12742" s="10"/>
      <c r="F12742" s="69"/>
      <c r="G12742" s="68"/>
      <c r="H12742" s="70"/>
      <c r="BA12742" s="4"/>
      <c r="BB12742" s="4"/>
    </row>
    <row r="12743" spans="1:54" x14ac:dyDescent="0.3">
      <c r="A12743" s="66"/>
      <c r="B12743" s="67"/>
      <c r="C12743" s="66"/>
      <c r="D12743" s="68"/>
      <c r="E12743" s="10"/>
      <c r="F12743" s="69"/>
      <c r="G12743" s="68"/>
      <c r="H12743" s="70"/>
      <c r="BA12743" s="4"/>
      <c r="BB12743" s="4"/>
    </row>
    <row r="12744" spans="1:54" x14ac:dyDescent="0.3">
      <c r="A12744" s="66"/>
      <c r="B12744" s="67"/>
      <c r="C12744" s="66"/>
      <c r="D12744" s="68"/>
      <c r="E12744" s="10"/>
      <c r="F12744" s="69"/>
      <c r="G12744" s="68"/>
      <c r="H12744" s="70"/>
      <c r="BA12744" s="4"/>
      <c r="BB12744" s="4"/>
    </row>
    <row r="12745" spans="1:54" x14ac:dyDescent="0.3">
      <c r="A12745" s="66"/>
      <c r="B12745" s="67"/>
      <c r="C12745" s="66"/>
      <c r="D12745" s="68"/>
      <c r="E12745" s="10"/>
      <c r="F12745" s="69"/>
      <c r="G12745" s="68"/>
      <c r="H12745" s="70"/>
      <c r="BA12745" s="4"/>
      <c r="BB12745" s="4"/>
    </row>
    <row r="12746" spans="1:54" x14ac:dyDescent="0.3">
      <c r="A12746" s="66"/>
      <c r="B12746" s="67"/>
      <c r="C12746" s="66"/>
      <c r="D12746" s="68"/>
      <c r="E12746" s="10"/>
      <c r="F12746" s="69"/>
      <c r="G12746" s="68"/>
      <c r="H12746" s="70"/>
      <c r="BA12746" s="4"/>
      <c r="BB12746" s="4"/>
    </row>
    <row r="12747" spans="1:54" x14ac:dyDescent="0.3">
      <c r="A12747" s="66"/>
      <c r="B12747" s="67"/>
      <c r="C12747" s="66"/>
      <c r="D12747" s="68"/>
      <c r="E12747" s="10"/>
      <c r="F12747" s="69"/>
      <c r="G12747" s="68"/>
      <c r="H12747" s="70"/>
      <c r="BA12747" s="4"/>
      <c r="BB12747" s="4"/>
    </row>
    <row r="12748" spans="1:54" x14ac:dyDescent="0.3">
      <c r="A12748" s="66"/>
      <c r="B12748" s="67"/>
      <c r="C12748" s="66"/>
      <c r="D12748" s="68"/>
      <c r="E12748" s="10"/>
      <c r="F12748" s="69"/>
      <c r="G12748" s="68"/>
      <c r="H12748" s="70"/>
      <c r="BA12748" s="4"/>
      <c r="BB12748" s="4"/>
    </row>
    <row r="12749" spans="1:54" x14ac:dyDescent="0.3">
      <c r="A12749" s="66"/>
      <c r="B12749" s="67"/>
      <c r="C12749" s="66"/>
      <c r="D12749" s="68"/>
      <c r="E12749" s="10"/>
      <c r="F12749" s="69"/>
      <c r="G12749" s="68"/>
      <c r="H12749" s="70"/>
      <c r="BA12749" s="4"/>
      <c r="BB12749" s="4"/>
    </row>
    <row r="12750" spans="1:54" x14ac:dyDescent="0.3">
      <c r="A12750" s="66"/>
      <c r="B12750" s="67"/>
      <c r="C12750" s="66"/>
      <c r="D12750" s="68"/>
      <c r="E12750" s="10"/>
      <c r="F12750" s="69"/>
      <c r="G12750" s="68"/>
      <c r="H12750" s="70"/>
      <c r="BA12750" s="4"/>
      <c r="BB12750" s="4"/>
    </row>
    <row r="12751" spans="1:54" x14ac:dyDescent="0.3">
      <c r="A12751" s="66"/>
      <c r="B12751" s="67"/>
      <c r="C12751" s="66"/>
      <c r="D12751" s="68"/>
      <c r="E12751" s="10"/>
      <c r="F12751" s="69"/>
      <c r="G12751" s="68"/>
      <c r="H12751" s="70"/>
      <c r="BA12751" s="4"/>
      <c r="BB12751" s="4"/>
    </row>
    <row r="12752" spans="1:54" x14ac:dyDescent="0.3">
      <c r="A12752" s="66"/>
      <c r="B12752" s="67"/>
      <c r="C12752" s="66"/>
      <c r="D12752" s="68"/>
      <c r="E12752" s="10"/>
      <c r="F12752" s="69"/>
      <c r="G12752" s="68"/>
      <c r="H12752" s="70"/>
      <c r="BA12752" s="4"/>
      <c r="BB12752" s="4"/>
    </row>
    <row r="12753" spans="1:54" x14ac:dyDescent="0.3">
      <c r="A12753" s="66"/>
      <c r="B12753" s="67"/>
      <c r="C12753" s="66"/>
      <c r="D12753" s="68"/>
      <c r="E12753" s="10"/>
      <c r="F12753" s="69"/>
      <c r="G12753" s="68"/>
      <c r="H12753" s="70"/>
      <c r="BA12753" s="4"/>
      <c r="BB12753" s="4"/>
    </row>
    <row r="12754" spans="1:54" x14ac:dyDescent="0.3">
      <c r="A12754" s="66"/>
      <c r="B12754" s="67"/>
      <c r="C12754" s="66"/>
      <c r="D12754" s="68"/>
      <c r="E12754" s="10"/>
      <c r="F12754" s="69"/>
      <c r="G12754" s="68"/>
      <c r="H12754" s="70"/>
      <c r="BA12754" s="4"/>
      <c r="BB12754" s="4"/>
    </row>
    <row r="12755" spans="1:54" x14ac:dyDescent="0.3">
      <c r="A12755" s="66"/>
      <c r="B12755" s="67"/>
      <c r="C12755" s="66"/>
      <c r="D12755" s="68"/>
      <c r="E12755" s="10"/>
      <c r="F12755" s="69"/>
      <c r="G12755" s="68"/>
      <c r="H12755" s="70"/>
      <c r="BA12755" s="4"/>
      <c r="BB12755" s="4"/>
    </row>
    <row r="12756" spans="1:54" x14ac:dyDescent="0.3">
      <c r="A12756" s="66"/>
      <c r="B12756" s="67"/>
      <c r="C12756" s="66"/>
      <c r="D12756" s="68"/>
      <c r="E12756" s="10"/>
      <c r="F12756" s="69"/>
      <c r="G12756" s="68"/>
      <c r="H12756" s="70"/>
      <c r="BA12756" s="4"/>
      <c r="BB12756" s="4"/>
    </row>
    <row r="12757" spans="1:54" x14ac:dyDescent="0.3">
      <c r="A12757" s="66"/>
      <c r="B12757" s="67"/>
      <c r="C12757" s="66"/>
      <c r="D12757" s="68"/>
      <c r="E12757" s="10"/>
      <c r="F12757" s="69"/>
      <c r="G12757" s="68"/>
      <c r="H12757" s="70"/>
      <c r="BA12757" s="4"/>
      <c r="BB12757" s="4"/>
    </row>
    <row r="12758" spans="1:54" x14ac:dyDescent="0.3">
      <c r="A12758" s="66"/>
      <c r="B12758" s="67"/>
      <c r="C12758" s="66"/>
      <c r="D12758" s="68"/>
      <c r="E12758" s="10"/>
      <c r="F12758" s="69"/>
      <c r="G12758" s="68"/>
      <c r="H12758" s="70"/>
      <c r="BA12758" s="4"/>
      <c r="BB12758" s="4"/>
    </row>
    <row r="12759" spans="1:54" x14ac:dyDescent="0.3">
      <c r="A12759" s="66"/>
      <c r="B12759" s="67"/>
      <c r="C12759" s="66"/>
      <c r="D12759" s="68"/>
      <c r="E12759" s="10"/>
      <c r="F12759" s="69"/>
      <c r="G12759" s="68"/>
      <c r="H12759" s="70"/>
      <c r="BA12759" s="4"/>
      <c r="BB12759" s="4"/>
    </row>
    <row r="12760" spans="1:54" x14ac:dyDescent="0.3">
      <c r="A12760" s="66"/>
      <c r="B12760" s="67"/>
      <c r="C12760" s="66"/>
      <c r="D12760" s="68"/>
      <c r="E12760" s="10"/>
      <c r="F12760" s="69"/>
      <c r="G12760" s="68"/>
      <c r="H12760" s="70"/>
      <c r="BA12760" s="4"/>
      <c r="BB12760" s="4"/>
    </row>
    <row r="12761" spans="1:54" x14ac:dyDescent="0.3">
      <c r="A12761" s="66"/>
      <c r="B12761" s="67"/>
      <c r="C12761" s="66"/>
      <c r="D12761" s="68"/>
      <c r="E12761" s="10"/>
      <c r="F12761" s="69"/>
      <c r="G12761" s="68"/>
      <c r="H12761" s="70"/>
      <c r="BA12761" s="4"/>
      <c r="BB12761" s="4"/>
    </row>
    <row r="12762" spans="1:54" x14ac:dyDescent="0.3">
      <c r="A12762" s="66"/>
      <c r="B12762" s="67"/>
      <c r="C12762" s="66"/>
      <c r="D12762" s="68"/>
      <c r="E12762" s="10"/>
      <c r="F12762" s="69"/>
      <c r="G12762" s="68"/>
      <c r="H12762" s="70"/>
      <c r="BA12762" s="4"/>
      <c r="BB12762" s="4"/>
    </row>
    <row r="12763" spans="1:54" x14ac:dyDescent="0.3">
      <c r="A12763" s="66"/>
      <c r="B12763" s="67"/>
      <c r="C12763" s="66"/>
      <c r="D12763" s="68"/>
      <c r="E12763" s="10"/>
      <c r="F12763" s="69"/>
      <c r="G12763" s="68"/>
      <c r="H12763" s="70"/>
      <c r="BA12763" s="4"/>
      <c r="BB12763" s="4"/>
    </row>
    <row r="12764" spans="1:54" x14ac:dyDescent="0.3">
      <c r="A12764" s="66"/>
      <c r="B12764" s="67"/>
      <c r="C12764" s="66"/>
      <c r="D12764" s="68"/>
      <c r="E12764" s="10"/>
      <c r="F12764" s="69"/>
      <c r="G12764" s="68"/>
      <c r="H12764" s="70"/>
      <c r="BA12764" s="4"/>
      <c r="BB12764" s="4"/>
    </row>
    <row r="12765" spans="1:54" x14ac:dyDescent="0.3">
      <c r="A12765" s="66"/>
      <c r="B12765" s="67"/>
      <c r="C12765" s="66"/>
      <c r="D12765" s="68"/>
      <c r="E12765" s="10"/>
      <c r="F12765" s="69"/>
      <c r="G12765" s="68"/>
      <c r="H12765" s="70"/>
      <c r="BA12765" s="4"/>
      <c r="BB12765" s="4"/>
    </row>
    <row r="12766" spans="1:54" x14ac:dyDescent="0.3">
      <c r="A12766" s="66"/>
      <c r="B12766" s="67"/>
      <c r="C12766" s="66"/>
      <c r="D12766" s="68"/>
      <c r="E12766" s="10"/>
      <c r="F12766" s="69"/>
      <c r="G12766" s="68"/>
      <c r="H12766" s="70"/>
      <c r="BA12766" s="4"/>
      <c r="BB12766" s="4"/>
    </row>
    <row r="12767" spans="1:54" x14ac:dyDescent="0.3">
      <c r="A12767" s="66"/>
      <c r="B12767" s="67"/>
      <c r="C12767" s="66"/>
      <c r="D12767" s="68"/>
      <c r="E12767" s="10"/>
      <c r="F12767" s="69"/>
      <c r="G12767" s="68"/>
      <c r="H12767" s="70"/>
      <c r="BA12767" s="4"/>
      <c r="BB12767" s="4"/>
    </row>
    <row r="12768" spans="1:54" x14ac:dyDescent="0.3">
      <c r="A12768" s="66"/>
      <c r="B12768" s="67"/>
      <c r="C12768" s="66"/>
      <c r="D12768" s="68"/>
      <c r="E12768" s="10"/>
      <c r="F12768" s="69"/>
      <c r="G12768" s="68"/>
      <c r="H12768" s="70"/>
      <c r="BA12768" s="4"/>
      <c r="BB12768" s="4"/>
    </row>
    <row r="12769" spans="1:54" x14ac:dyDescent="0.3">
      <c r="A12769" s="66"/>
      <c r="B12769" s="67"/>
      <c r="C12769" s="66"/>
      <c r="D12769" s="68"/>
      <c r="E12769" s="10"/>
      <c r="F12769" s="69"/>
      <c r="G12769" s="68"/>
      <c r="H12769" s="70"/>
      <c r="BA12769" s="4"/>
      <c r="BB12769" s="4"/>
    </row>
    <row r="12770" spans="1:54" x14ac:dyDescent="0.3">
      <c r="A12770" s="66"/>
      <c r="B12770" s="67"/>
      <c r="C12770" s="66"/>
      <c r="D12770" s="68"/>
      <c r="E12770" s="10"/>
      <c r="F12770" s="69"/>
      <c r="G12770" s="68"/>
      <c r="H12770" s="70"/>
      <c r="BA12770" s="4"/>
      <c r="BB12770" s="4"/>
    </row>
    <row r="12771" spans="1:54" x14ac:dyDescent="0.3">
      <c r="A12771" s="66"/>
      <c r="B12771" s="67"/>
      <c r="C12771" s="66"/>
      <c r="D12771" s="68"/>
      <c r="E12771" s="10"/>
      <c r="F12771" s="69"/>
      <c r="G12771" s="68"/>
      <c r="H12771" s="70"/>
      <c r="BA12771" s="4"/>
      <c r="BB12771" s="4"/>
    </row>
    <row r="12772" spans="1:54" x14ac:dyDescent="0.3">
      <c r="A12772" s="66"/>
      <c r="B12772" s="67"/>
      <c r="C12772" s="66"/>
      <c r="D12772" s="68"/>
      <c r="E12772" s="10"/>
      <c r="F12772" s="69"/>
      <c r="G12772" s="68"/>
      <c r="H12772" s="70"/>
      <c r="BA12772" s="4"/>
      <c r="BB12772" s="4"/>
    </row>
    <row r="12773" spans="1:54" x14ac:dyDescent="0.3">
      <c r="A12773" s="66"/>
      <c r="B12773" s="67"/>
      <c r="C12773" s="66"/>
      <c r="D12773" s="68"/>
      <c r="E12773" s="10"/>
      <c r="F12773" s="69"/>
      <c r="G12773" s="68"/>
      <c r="H12773" s="70"/>
      <c r="BA12773" s="4"/>
      <c r="BB12773" s="4"/>
    </row>
    <row r="12774" spans="1:54" x14ac:dyDescent="0.3">
      <c r="A12774" s="66"/>
      <c r="B12774" s="67"/>
      <c r="C12774" s="66"/>
      <c r="D12774" s="68"/>
      <c r="E12774" s="10"/>
      <c r="F12774" s="69"/>
      <c r="G12774" s="68"/>
      <c r="H12774" s="70"/>
      <c r="BA12774" s="4"/>
      <c r="BB12774" s="4"/>
    </row>
    <row r="12775" spans="1:54" x14ac:dyDescent="0.3">
      <c r="A12775" s="66"/>
      <c r="B12775" s="67"/>
      <c r="C12775" s="66"/>
      <c r="D12775" s="68"/>
      <c r="E12775" s="10"/>
      <c r="F12775" s="69"/>
      <c r="G12775" s="68"/>
      <c r="H12775" s="70"/>
      <c r="BA12775" s="4"/>
      <c r="BB12775" s="4"/>
    </row>
    <row r="12776" spans="1:54" x14ac:dyDescent="0.3">
      <c r="A12776" s="66"/>
      <c r="B12776" s="67"/>
      <c r="C12776" s="66"/>
      <c r="D12776" s="68"/>
      <c r="E12776" s="10"/>
      <c r="F12776" s="69"/>
      <c r="G12776" s="68"/>
      <c r="H12776" s="70"/>
      <c r="BA12776" s="4"/>
      <c r="BB12776" s="4"/>
    </row>
    <row r="12777" spans="1:54" x14ac:dyDescent="0.3">
      <c r="A12777" s="66"/>
      <c r="B12777" s="67"/>
      <c r="C12777" s="66"/>
      <c r="D12777" s="68"/>
      <c r="E12777" s="10"/>
      <c r="F12777" s="69"/>
      <c r="G12777" s="68"/>
      <c r="H12777" s="70"/>
      <c r="BA12777" s="4"/>
      <c r="BB12777" s="4"/>
    </row>
    <row r="12778" spans="1:54" x14ac:dyDescent="0.3">
      <c r="A12778" s="66"/>
      <c r="B12778" s="67"/>
      <c r="C12778" s="66"/>
      <c r="D12778" s="68"/>
      <c r="E12778" s="10"/>
      <c r="F12778" s="69"/>
      <c r="G12778" s="68"/>
      <c r="H12778" s="70"/>
      <c r="BA12778" s="4"/>
      <c r="BB12778" s="4"/>
    </row>
    <row r="12779" spans="1:54" x14ac:dyDescent="0.3">
      <c r="A12779" s="66"/>
      <c r="B12779" s="67"/>
      <c r="C12779" s="66"/>
      <c r="D12779" s="68"/>
      <c r="E12779" s="10"/>
      <c r="F12779" s="69"/>
      <c r="G12779" s="68"/>
      <c r="H12779" s="70"/>
      <c r="BA12779" s="4"/>
      <c r="BB12779" s="4"/>
    </row>
    <row r="12780" spans="1:54" x14ac:dyDescent="0.3">
      <c r="A12780" s="66"/>
      <c r="B12780" s="67"/>
      <c r="C12780" s="66"/>
      <c r="D12780" s="68"/>
      <c r="E12780" s="10"/>
      <c r="F12780" s="69"/>
      <c r="G12780" s="68"/>
      <c r="H12780" s="70"/>
      <c r="BA12780" s="4"/>
      <c r="BB12780" s="4"/>
    </row>
    <row r="12781" spans="1:54" x14ac:dyDescent="0.3">
      <c r="A12781" s="66"/>
      <c r="B12781" s="67"/>
      <c r="C12781" s="66"/>
      <c r="D12781" s="68"/>
      <c r="E12781" s="10"/>
      <c r="F12781" s="69"/>
      <c r="G12781" s="68"/>
      <c r="H12781" s="70"/>
      <c r="BA12781" s="4"/>
      <c r="BB12781" s="4"/>
    </row>
    <row r="12782" spans="1:54" x14ac:dyDescent="0.3">
      <c r="A12782" s="66"/>
      <c r="B12782" s="67"/>
      <c r="C12782" s="66"/>
      <c r="D12782" s="68"/>
      <c r="E12782" s="10"/>
      <c r="F12782" s="69"/>
      <c r="G12782" s="68"/>
      <c r="H12782" s="70"/>
      <c r="BA12782" s="4"/>
      <c r="BB12782" s="4"/>
    </row>
    <row r="12783" spans="1:54" x14ac:dyDescent="0.3">
      <c r="A12783" s="66"/>
      <c r="B12783" s="67"/>
      <c r="C12783" s="66"/>
      <c r="D12783" s="68"/>
      <c r="E12783" s="10"/>
      <c r="F12783" s="69"/>
      <c r="G12783" s="68"/>
      <c r="H12783" s="70"/>
      <c r="BA12783" s="4"/>
      <c r="BB12783" s="4"/>
    </row>
    <row r="12784" spans="1:54" x14ac:dyDescent="0.3">
      <c r="A12784" s="66"/>
      <c r="B12784" s="67"/>
      <c r="C12784" s="66"/>
      <c r="D12784" s="68"/>
      <c r="E12784" s="10"/>
      <c r="F12784" s="69"/>
      <c r="G12784" s="68"/>
      <c r="H12784" s="70"/>
      <c r="BA12784" s="4"/>
      <c r="BB12784" s="4"/>
    </row>
    <row r="12785" spans="1:54" x14ac:dyDescent="0.3">
      <c r="A12785" s="66"/>
      <c r="B12785" s="67"/>
      <c r="C12785" s="66"/>
      <c r="D12785" s="68"/>
      <c r="E12785" s="10"/>
      <c r="F12785" s="69"/>
      <c r="G12785" s="68"/>
      <c r="H12785" s="70"/>
      <c r="BA12785" s="4"/>
      <c r="BB12785" s="4"/>
    </row>
    <row r="12786" spans="1:54" x14ac:dyDescent="0.3">
      <c r="A12786" s="66"/>
      <c r="B12786" s="67"/>
      <c r="C12786" s="66"/>
      <c r="D12786" s="68"/>
      <c r="E12786" s="10"/>
      <c r="F12786" s="69"/>
      <c r="G12786" s="68"/>
      <c r="H12786" s="70"/>
      <c r="BA12786" s="4"/>
      <c r="BB12786" s="4"/>
    </row>
    <row r="12787" spans="1:54" x14ac:dyDescent="0.3">
      <c r="A12787" s="66"/>
      <c r="B12787" s="67"/>
      <c r="C12787" s="66"/>
      <c r="D12787" s="68"/>
      <c r="E12787" s="10"/>
      <c r="F12787" s="69"/>
      <c r="G12787" s="68"/>
      <c r="H12787" s="70"/>
      <c r="BA12787" s="4"/>
      <c r="BB12787" s="4"/>
    </row>
    <row r="12788" spans="1:54" x14ac:dyDescent="0.3">
      <c r="A12788" s="66"/>
      <c r="B12788" s="67"/>
      <c r="C12788" s="66"/>
      <c r="D12788" s="68"/>
      <c r="E12788" s="10"/>
      <c r="F12788" s="69"/>
      <c r="G12788" s="68"/>
      <c r="H12788" s="70"/>
      <c r="BA12788" s="4"/>
      <c r="BB12788" s="4"/>
    </row>
    <row r="12789" spans="1:54" x14ac:dyDescent="0.3">
      <c r="A12789" s="66"/>
      <c r="B12789" s="67"/>
      <c r="C12789" s="66"/>
      <c r="D12789" s="68"/>
      <c r="E12789" s="10"/>
      <c r="F12789" s="69"/>
      <c r="G12789" s="68"/>
      <c r="H12789" s="70"/>
      <c r="BA12789" s="4"/>
      <c r="BB12789" s="4"/>
    </row>
    <row r="12790" spans="1:54" x14ac:dyDescent="0.3">
      <c r="A12790" s="66"/>
      <c r="B12790" s="67"/>
      <c r="C12790" s="66"/>
      <c r="D12790" s="68"/>
      <c r="E12790" s="10"/>
      <c r="F12790" s="69"/>
      <c r="G12790" s="68"/>
      <c r="H12790" s="70"/>
      <c r="BA12790" s="4"/>
      <c r="BB12790" s="4"/>
    </row>
    <row r="12791" spans="1:54" x14ac:dyDescent="0.3">
      <c r="A12791" s="66"/>
      <c r="B12791" s="67"/>
      <c r="C12791" s="66"/>
      <c r="D12791" s="68"/>
      <c r="E12791" s="10"/>
      <c r="F12791" s="69"/>
      <c r="G12791" s="68"/>
      <c r="H12791" s="70"/>
      <c r="BA12791" s="4"/>
      <c r="BB12791" s="4"/>
    </row>
    <row r="12792" spans="1:54" x14ac:dyDescent="0.3">
      <c r="A12792" s="66"/>
      <c r="B12792" s="67"/>
      <c r="C12792" s="66"/>
      <c r="D12792" s="68"/>
      <c r="E12792" s="10"/>
      <c r="F12792" s="69"/>
      <c r="G12792" s="68"/>
      <c r="H12792" s="70"/>
      <c r="BA12792" s="4"/>
      <c r="BB12792" s="4"/>
    </row>
    <row r="12793" spans="1:54" x14ac:dyDescent="0.3">
      <c r="A12793" s="66"/>
      <c r="B12793" s="67"/>
      <c r="C12793" s="66"/>
      <c r="D12793" s="68"/>
      <c r="E12793" s="10"/>
      <c r="F12793" s="69"/>
      <c r="G12793" s="68"/>
      <c r="H12793" s="70"/>
      <c r="BA12793" s="4"/>
      <c r="BB12793" s="4"/>
    </row>
    <row r="12794" spans="1:54" x14ac:dyDescent="0.3">
      <c r="A12794" s="66"/>
      <c r="B12794" s="67"/>
      <c r="C12794" s="66"/>
      <c r="D12794" s="68"/>
      <c r="E12794" s="10"/>
      <c r="F12794" s="69"/>
      <c r="G12794" s="68"/>
      <c r="H12794" s="70"/>
      <c r="BA12794" s="4"/>
      <c r="BB12794" s="4"/>
    </row>
    <row r="12795" spans="1:54" x14ac:dyDescent="0.3">
      <c r="A12795" s="66"/>
      <c r="B12795" s="67"/>
      <c r="C12795" s="66"/>
      <c r="D12795" s="68"/>
      <c r="E12795" s="10"/>
      <c r="F12795" s="69"/>
      <c r="G12795" s="68"/>
      <c r="H12795" s="70"/>
      <c r="BA12795" s="4"/>
      <c r="BB12795" s="4"/>
    </row>
    <row r="12796" spans="1:54" x14ac:dyDescent="0.3">
      <c r="A12796" s="66"/>
      <c r="B12796" s="67"/>
      <c r="C12796" s="66"/>
      <c r="D12796" s="68"/>
      <c r="E12796" s="10"/>
      <c r="F12796" s="69"/>
      <c r="G12796" s="68"/>
      <c r="H12796" s="70"/>
      <c r="BA12796" s="4"/>
      <c r="BB12796" s="4"/>
    </row>
    <row r="12797" spans="1:54" x14ac:dyDescent="0.3">
      <c r="A12797" s="66"/>
      <c r="B12797" s="67"/>
      <c r="C12797" s="66"/>
      <c r="D12797" s="68"/>
      <c r="E12797" s="10"/>
      <c r="F12797" s="69"/>
      <c r="G12797" s="68"/>
      <c r="H12797" s="70"/>
      <c r="BA12797" s="4"/>
      <c r="BB12797" s="4"/>
    </row>
    <row r="12798" spans="1:54" x14ac:dyDescent="0.3">
      <c r="A12798" s="66"/>
      <c r="B12798" s="67"/>
      <c r="C12798" s="66"/>
      <c r="D12798" s="68"/>
      <c r="E12798" s="10"/>
      <c r="F12798" s="69"/>
      <c r="G12798" s="68"/>
      <c r="H12798" s="70"/>
      <c r="BA12798" s="4"/>
      <c r="BB12798" s="4"/>
    </row>
    <row r="12799" spans="1:54" x14ac:dyDescent="0.3">
      <c r="A12799" s="66"/>
      <c r="B12799" s="67"/>
      <c r="C12799" s="66"/>
      <c r="D12799" s="68"/>
      <c r="E12799" s="10"/>
      <c r="F12799" s="69"/>
      <c r="G12799" s="68"/>
      <c r="H12799" s="70"/>
      <c r="BA12799" s="4"/>
      <c r="BB12799" s="4"/>
    </row>
    <row r="12800" spans="1:54" x14ac:dyDescent="0.3">
      <c r="A12800" s="66"/>
      <c r="B12800" s="67"/>
      <c r="C12800" s="66"/>
      <c r="D12800" s="68"/>
      <c r="E12800" s="10"/>
      <c r="F12800" s="69"/>
      <c r="G12800" s="68"/>
      <c r="H12800" s="70"/>
      <c r="BA12800" s="4"/>
      <c r="BB12800" s="4"/>
    </row>
    <row r="12801" spans="1:54" x14ac:dyDescent="0.3">
      <c r="A12801" s="66"/>
      <c r="B12801" s="67"/>
      <c r="C12801" s="66"/>
      <c r="D12801" s="68"/>
      <c r="E12801" s="10"/>
      <c r="F12801" s="69"/>
      <c r="G12801" s="68"/>
      <c r="H12801" s="70"/>
      <c r="BA12801" s="4"/>
      <c r="BB12801" s="4"/>
    </row>
    <row r="12802" spans="1:54" x14ac:dyDescent="0.3">
      <c r="A12802" s="66"/>
      <c r="B12802" s="67"/>
      <c r="C12802" s="66"/>
      <c r="D12802" s="68"/>
      <c r="E12802" s="10"/>
      <c r="F12802" s="69"/>
      <c r="G12802" s="68"/>
      <c r="H12802" s="70"/>
      <c r="BA12802" s="4"/>
      <c r="BB12802" s="4"/>
    </row>
    <row r="12803" spans="1:54" x14ac:dyDescent="0.3">
      <c r="A12803" s="66"/>
      <c r="B12803" s="67"/>
      <c r="C12803" s="66"/>
      <c r="D12803" s="68"/>
      <c r="E12803" s="10"/>
      <c r="F12803" s="69"/>
      <c r="G12803" s="68"/>
      <c r="H12803" s="70"/>
      <c r="BA12803" s="4"/>
      <c r="BB12803" s="4"/>
    </row>
    <row r="12804" spans="1:54" x14ac:dyDescent="0.3">
      <c r="A12804" s="66"/>
      <c r="B12804" s="67"/>
      <c r="C12804" s="66"/>
      <c r="D12804" s="68"/>
      <c r="E12804" s="10"/>
      <c r="F12804" s="69"/>
      <c r="G12804" s="68"/>
      <c r="H12804" s="70"/>
      <c r="BA12804" s="4"/>
      <c r="BB12804" s="4"/>
    </row>
    <row r="12805" spans="1:54" x14ac:dyDescent="0.3">
      <c r="A12805" s="66"/>
      <c r="B12805" s="67"/>
      <c r="C12805" s="66"/>
      <c r="D12805" s="68"/>
      <c r="E12805" s="10"/>
      <c r="F12805" s="69"/>
      <c r="G12805" s="68"/>
      <c r="H12805" s="70"/>
      <c r="BA12805" s="4"/>
      <c r="BB12805" s="4"/>
    </row>
    <row r="12806" spans="1:54" x14ac:dyDescent="0.3">
      <c r="A12806" s="66"/>
      <c r="B12806" s="67"/>
      <c r="C12806" s="66"/>
      <c r="D12806" s="68"/>
      <c r="E12806" s="10"/>
      <c r="F12806" s="69"/>
      <c r="G12806" s="68"/>
      <c r="H12806" s="70"/>
      <c r="BA12806" s="4"/>
      <c r="BB12806" s="4"/>
    </row>
    <row r="12807" spans="1:54" x14ac:dyDescent="0.3">
      <c r="A12807" s="66"/>
      <c r="B12807" s="67"/>
      <c r="C12807" s="66"/>
      <c r="D12807" s="68"/>
      <c r="E12807" s="10"/>
      <c r="F12807" s="69"/>
      <c r="G12807" s="68"/>
      <c r="H12807" s="70"/>
      <c r="BA12807" s="4"/>
      <c r="BB12807" s="4"/>
    </row>
    <row r="12808" spans="1:54" x14ac:dyDescent="0.3">
      <c r="A12808" s="66"/>
      <c r="B12808" s="67"/>
      <c r="C12808" s="66"/>
      <c r="D12808" s="68"/>
      <c r="E12808" s="10"/>
      <c r="F12808" s="69"/>
      <c r="G12808" s="68"/>
      <c r="H12808" s="70"/>
      <c r="BA12808" s="4"/>
      <c r="BB12808" s="4"/>
    </row>
    <row r="12809" spans="1:54" x14ac:dyDescent="0.3">
      <c r="A12809" s="66"/>
      <c r="B12809" s="67"/>
      <c r="C12809" s="66"/>
      <c r="D12809" s="68"/>
      <c r="E12809" s="10"/>
      <c r="F12809" s="69"/>
      <c r="G12809" s="68"/>
      <c r="H12809" s="70"/>
      <c r="BA12809" s="4"/>
      <c r="BB12809" s="4"/>
    </row>
    <row r="12810" spans="1:54" x14ac:dyDescent="0.3">
      <c r="A12810" s="66"/>
      <c r="B12810" s="67"/>
      <c r="C12810" s="66"/>
      <c r="D12810" s="68"/>
      <c r="E12810" s="10"/>
      <c r="F12810" s="69"/>
      <c r="G12810" s="68"/>
      <c r="H12810" s="70"/>
      <c r="BA12810" s="4"/>
      <c r="BB12810" s="4"/>
    </row>
    <row r="12811" spans="1:54" x14ac:dyDescent="0.3">
      <c r="A12811" s="66"/>
      <c r="B12811" s="67"/>
      <c r="C12811" s="66"/>
      <c r="D12811" s="68"/>
      <c r="E12811" s="10"/>
      <c r="F12811" s="69"/>
      <c r="G12811" s="68"/>
      <c r="H12811" s="70"/>
      <c r="BA12811" s="4"/>
      <c r="BB12811" s="4"/>
    </row>
    <row r="12812" spans="1:54" x14ac:dyDescent="0.3">
      <c r="A12812" s="66"/>
      <c r="B12812" s="67"/>
      <c r="C12812" s="66"/>
      <c r="D12812" s="68"/>
      <c r="E12812" s="10"/>
      <c r="F12812" s="69"/>
      <c r="G12812" s="68"/>
      <c r="H12812" s="70"/>
      <c r="BA12812" s="4"/>
      <c r="BB12812" s="4"/>
    </row>
    <row r="12813" spans="1:54" x14ac:dyDescent="0.3">
      <c r="A12813" s="66"/>
      <c r="B12813" s="67"/>
      <c r="C12813" s="66"/>
      <c r="D12813" s="68"/>
      <c r="E12813" s="10"/>
      <c r="F12813" s="69"/>
      <c r="G12813" s="68"/>
      <c r="H12813" s="70"/>
      <c r="BA12813" s="4"/>
      <c r="BB12813" s="4"/>
    </row>
    <row r="12814" spans="1:54" x14ac:dyDescent="0.3">
      <c r="A12814" s="66"/>
      <c r="B12814" s="67"/>
      <c r="C12814" s="66"/>
      <c r="D12814" s="68"/>
      <c r="E12814" s="10"/>
      <c r="F12814" s="69"/>
      <c r="G12814" s="68"/>
      <c r="H12814" s="70"/>
      <c r="BA12814" s="4"/>
      <c r="BB12814" s="4"/>
    </row>
    <row r="12815" spans="1:54" x14ac:dyDescent="0.3">
      <c r="A12815" s="66"/>
      <c r="B12815" s="67"/>
      <c r="C12815" s="66"/>
      <c r="D12815" s="68"/>
      <c r="E12815" s="10"/>
      <c r="F12815" s="69"/>
      <c r="G12815" s="68"/>
      <c r="H12815" s="70"/>
      <c r="BA12815" s="4"/>
      <c r="BB12815" s="4"/>
    </row>
    <row r="12816" spans="1:54" x14ac:dyDescent="0.3">
      <c r="A12816" s="66"/>
      <c r="B12816" s="67"/>
      <c r="C12816" s="66"/>
      <c r="D12816" s="68"/>
      <c r="E12816" s="10"/>
      <c r="F12816" s="69"/>
      <c r="G12816" s="68"/>
      <c r="H12816" s="70"/>
      <c r="BA12816" s="4"/>
      <c r="BB12816" s="4"/>
    </row>
    <row r="12817" spans="1:54" x14ac:dyDescent="0.3">
      <c r="A12817" s="66"/>
      <c r="B12817" s="67"/>
      <c r="C12817" s="66"/>
      <c r="D12817" s="68"/>
      <c r="E12817" s="10"/>
      <c r="F12817" s="69"/>
      <c r="G12817" s="68"/>
      <c r="H12817" s="70"/>
      <c r="BA12817" s="4"/>
      <c r="BB12817" s="4"/>
    </row>
    <row r="12818" spans="1:54" x14ac:dyDescent="0.3">
      <c r="A12818" s="66"/>
      <c r="B12818" s="67"/>
      <c r="C12818" s="66"/>
      <c r="D12818" s="68"/>
      <c r="E12818" s="10"/>
      <c r="F12818" s="69"/>
      <c r="G12818" s="68"/>
      <c r="H12818" s="70"/>
      <c r="BA12818" s="4"/>
      <c r="BB12818" s="4"/>
    </row>
    <row r="12819" spans="1:54" x14ac:dyDescent="0.3">
      <c r="A12819" s="66"/>
      <c r="B12819" s="67"/>
      <c r="C12819" s="66"/>
      <c r="D12819" s="68"/>
      <c r="E12819" s="10"/>
      <c r="F12819" s="69"/>
      <c r="G12819" s="68"/>
      <c r="H12819" s="70"/>
      <c r="BA12819" s="4"/>
      <c r="BB12819" s="4"/>
    </row>
    <row r="12820" spans="1:54" x14ac:dyDescent="0.3">
      <c r="A12820" s="66"/>
      <c r="B12820" s="67"/>
      <c r="C12820" s="66"/>
      <c r="D12820" s="68"/>
      <c r="E12820" s="10"/>
      <c r="F12820" s="69"/>
      <c r="G12820" s="68"/>
      <c r="H12820" s="70"/>
      <c r="BA12820" s="4"/>
      <c r="BB12820" s="4"/>
    </row>
    <row r="12821" spans="1:54" x14ac:dyDescent="0.3">
      <c r="A12821" s="66"/>
      <c r="B12821" s="67"/>
      <c r="C12821" s="66"/>
      <c r="D12821" s="68"/>
      <c r="E12821" s="10"/>
      <c r="F12821" s="69"/>
      <c r="G12821" s="68"/>
      <c r="H12821" s="70"/>
      <c r="BA12821" s="4"/>
      <c r="BB12821" s="4"/>
    </row>
    <row r="12822" spans="1:54" x14ac:dyDescent="0.3">
      <c r="A12822" s="66"/>
      <c r="B12822" s="67"/>
      <c r="C12822" s="66"/>
      <c r="D12822" s="68"/>
      <c r="E12822" s="10"/>
      <c r="F12822" s="69"/>
      <c r="G12822" s="68"/>
      <c r="H12822" s="70"/>
      <c r="BA12822" s="4"/>
      <c r="BB12822" s="4"/>
    </row>
    <row r="12823" spans="1:54" x14ac:dyDescent="0.3">
      <c r="A12823" s="66"/>
      <c r="B12823" s="67"/>
      <c r="C12823" s="66"/>
      <c r="D12823" s="68"/>
      <c r="E12823" s="10"/>
      <c r="F12823" s="69"/>
      <c r="G12823" s="68"/>
      <c r="H12823" s="70"/>
      <c r="BA12823" s="4"/>
      <c r="BB12823" s="4"/>
    </row>
    <row r="12824" spans="1:54" x14ac:dyDescent="0.3">
      <c r="A12824" s="66"/>
      <c r="B12824" s="67"/>
      <c r="C12824" s="66"/>
      <c r="D12824" s="68"/>
      <c r="E12824" s="10"/>
      <c r="F12824" s="69"/>
      <c r="G12824" s="68"/>
      <c r="H12824" s="70"/>
      <c r="BA12824" s="4"/>
      <c r="BB12824" s="4"/>
    </row>
    <row r="12825" spans="1:54" x14ac:dyDescent="0.3">
      <c r="A12825" s="66"/>
      <c r="B12825" s="67"/>
      <c r="C12825" s="66"/>
      <c r="D12825" s="68"/>
      <c r="E12825" s="10"/>
      <c r="F12825" s="69"/>
      <c r="G12825" s="68"/>
      <c r="H12825" s="70"/>
      <c r="BA12825" s="4"/>
      <c r="BB12825" s="4"/>
    </row>
    <row r="12826" spans="1:54" x14ac:dyDescent="0.3">
      <c r="A12826" s="66"/>
      <c r="B12826" s="67"/>
      <c r="C12826" s="66"/>
      <c r="D12826" s="68"/>
      <c r="E12826" s="10"/>
      <c r="F12826" s="69"/>
      <c r="G12826" s="68"/>
      <c r="H12826" s="70"/>
      <c r="BA12826" s="4"/>
      <c r="BB12826" s="4"/>
    </row>
    <row r="12827" spans="1:54" x14ac:dyDescent="0.3">
      <c r="A12827" s="66"/>
      <c r="B12827" s="67"/>
      <c r="C12827" s="66"/>
      <c r="D12827" s="68"/>
      <c r="E12827" s="10"/>
      <c r="F12827" s="69"/>
      <c r="G12827" s="68"/>
      <c r="H12827" s="70"/>
      <c r="BA12827" s="4"/>
      <c r="BB12827" s="4"/>
    </row>
    <row r="12828" spans="1:54" x14ac:dyDescent="0.3">
      <c r="A12828" s="66"/>
      <c r="B12828" s="67"/>
      <c r="C12828" s="66"/>
      <c r="D12828" s="68"/>
      <c r="E12828" s="10"/>
      <c r="F12828" s="69"/>
      <c r="G12828" s="68"/>
      <c r="H12828" s="70"/>
      <c r="BA12828" s="4"/>
      <c r="BB12828" s="4"/>
    </row>
    <row r="12829" spans="1:54" x14ac:dyDescent="0.3">
      <c r="A12829" s="66"/>
      <c r="B12829" s="67"/>
      <c r="C12829" s="66"/>
      <c r="D12829" s="68"/>
      <c r="E12829" s="10"/>
      <c r="F12829" s="69"/>
      <c r="G12829" s="68"/>
      <c r="H12829" s="70"/>
      <c r="BA12829" s="4"/>
      <c r="BB12829" s="4"/>
    </row>
    <row r="12830" spans="1:54" x14ac:dyDescent="0.3">
      <c r="A12830" s="66"/>
      <c r="B12830" s="67"/>
      <c r="C12830" s="66"/>
      <c r="D12830" s="68"/>
      <c r="E12830" s="10"/>
      <c r="F12830" s="69"/>
      <c r="G12830" s="68"/>
      <c r="H12830" s="70"/>
      <c r="BA12830" s="4"/>
      <c r="BB12830" s="4"/>
    </row>
    <row r="12831" spans="1:54" x14ac:dyDescent="0.3">
      <c r="A12831" s="66"/>
      <c r="B12831" s="67"/>
      <c r="C12831" s="66"/>
      <c r="D12831" s="68"/>
      <c r="E12831" s="10"/>
      <c r="F12831" s="69"/>
      <c r="G12831" s="68"/>
      <c r="H12831" s="70"/>
      <c r="BA12831" s="4"/>
      <c r="BB12831" s="4"/>
    </row>
    <row r="12832" spans="1:54" x14ac:dyDescent="0.3">
      <c r="A12832" s="66"/>
      <c r="B12832" s="67"/>
      <c r="C12832" s="66"/>
      <c r="D12832" s="68"/>
      <c r="E12832" s="10"/>
      <c r="F12832" s="69"/>
      <c r="G12832" s="68"/>
      <c r="H12832" s="70"/>
      <c r="BA12832" s="4"/>
      <c r="BB12832" s="4"/>
    </row>
    <row r="12833" spans="1:54" x14ac:dyDescent="0.3">
      <c r="A12833" s="66"/>
      <c r="B12833" s="67"/>
      <c r="C12833" s="66"/>
      <c r="D12833" s="68"/>
      <c r="E12833" s="10"/>
      <c r="F12833" s="69"/>
      <c r="G12833" s="68"/>
      <c r="H12833" s="70"/>
      <c r="BA12833" s="4"/>
      <c r="BB12833" s="4"/>
    </row>
    <row r="12834" spans="1:54" x14ac:dyDescent="0.3">
      <c r="A12834" s="66"/>
      <c r="B12834" s="67"/>
      <c r="C12834" s="66"/>
      <c r="D12834" s="68"/>
      <c r="E12834" s="10"/>
      <c r="F12834" s="69"/>
      <c r="G12834" s="68"/>
      <c r="H12834" s="70"/>
      <c r="BA12834" s="4"/>
      <c r="BB12834" s="4"/>
    </row>
    <row r="12835" spans="1:54" x14ac:dyDescent="0.3">
      <c r="A12835" s="66"/>
      <c r="B12835" s="67"/>
      <c r="C12835" s="66"/>
      <c r="D12835" s="68"/>
      <c r="E12835" s="10"/>
      <c r="F12835" s="69"/>
      <c r="G12835" s="68"/>
      <c r="H12835" s="70"/>
      <c r="BA12835" s="4"/>
      <c r="BB12835" s="4"/>
    </row>
    <row r="12836" spans="1:54" x14ac:dyDescent="0.3">
      <c r="A12836" s="66"/>
      <c r="B12836" s="67"/>
      <c r="C12836" s="66"/>
      <c r="D12836" s="68"/>
      <c r="E12836" s="10"/>
      <c r="F12836" s="69"/>
      <c r="G12836" s="68"/>
      <c r="H12836" s="70"/>
      <c r="BA12836" s="4"/>
      <c r="BB12836" s="4"/>
    </row>
    <row r="12837" spans="1:54" x14ac:dyDescent="0.3">
      <c r="A12837" s="66"/>
      <c r="B12837" s="67"/>
      <c r="C12837" s="66"/>
      <c r="D12837" s="68"/>
      <c r="E12837" s="10"/>
      <c r="F12837" s="69"/>
      <c r="G12837" s="68"/>
      <c r="H12837" s="70"/>
      <c r="BA12837" s="4"/>
      <c r="BB12837" s="4"/>
    </row>
    <row r="12838" spans="1:54" x14ac:dyDescent="0.3">
      <c r="A12838" s="66"/>
      <c r="B12838" s="67"/>
      <c r="C12838" s="66"/>
      <c r="D12838" s="68"/>
      <c r="E12838" s="10"/>
      <c r="F12838" s="69"/>
      <c r="G12838" s="68"/>
      <c r="H12838" s="70"/>
      <c r="BA12838" s="4"/>
      <c r="BB12838" s="4"/>
    </row>
    <row r="12839" spans="1:54" x14ac:dyDescent="0.3">
      <c r="A12839" s="66"/>
      <c r="B12839" s="67"/>
      <c r="C12839" s="66"/>
      <c r="D12839" s="68"/>
      <c r="E12839" s="10"/>
      <c r="F12839" s="69"/>
      <c r="G12839" s="68"/>
      <c r="H12839" s="70"/>
      <c r="BA12839" s="4"/>
      <c r="BB12839" s="4"/>
    </row>
    <row r="12840" spans="1:54" x14ac:dyDescent="0.3">
      <c r="A12840" s="66"/>
      <c r="B12840" s="67"/>
      <c r="C12840" s="66"/>
      <c r="D12840" s="68"/>
      <c r="E12840" s="10"/>
      <c r="F12840" s="69"/>
      <c r="G12840" s="68"/>
      <c r="H12840" s="70"/>
      <c r="BA12840" s="4"/>
      <c r="BB12840" s="4"/>
    </row>
    <row r="12841" spans="1:54" x14ac:dyDescent="0.3">
      <c r="A12841" s="66"/>
      <c r="B12841" s="67"/>
      <c r="C12841" s="66"/>
      <c r="D12841" s="68"/>
      <c r="E12841" s="10"/>
      <c r="F12841" s="69"/>
      <c r="G12841" s="68"/>
      <c r="H12841" s="70"/>
      <c r="BA12841" s="4"/>
      <c r="BB12841" s="4"/>
    </row>
    <row r="12842" spans="1:54" x14ac:dyDescent="0.3">
      <c r="A12842" s="66"/>
      <c r="B12842" s="67"/>
      <c r="C12842" s="66"/>
      <c r="D12842" s="68"/>
      <c r="E12842" s="10"/>
      <c r="F12842" s="69"/>
      <c r="G12842" s="68"/>
      <c r="H12842" s="70"/>
      <c r="BA12842" s="4"/>
      <c r="BB12842" s="4"/>
    </row>
    <row r="12843" spans="1:54" x14ac:dyDescent="0.3">
      <c r="A12843" s="66"/>
      <c r="B12843" s="67"/>
      <c r="C12843" s="66"/>
      <c r="D12843" s="68"/>
      <c r="E12843" s="10"/>
      <c r="F12843" s="69"/>
      <c r="G12843" s="68"/>
      <c r="H12843" s="70"/>
      <c r="BA12843" s="4"/>
      <c r="BB12843" s="4"/>
    </row>
    <row r="12844" spans="1:54" x14ac:dyDescent="0.3">
      <c r="A12844" s="66"/>
      <c r="B12844" s="67"/>
      <c r="C12844" s="66"/>
      <c r="D12844" s="68"/>
      <c r="E12844" s="10"/>
      <c r="F12844" s="69"/>
      <c r="G12844" s="68"/>
      <c r="H12844" s="70"/>
      <c r="BA12844" s="4"/>
      <c r="BB12844" s="4"/>
    </row>
    <row r="12845" spans="1:54" x14ac:dyDescent="0.3">
      <c r="A12845" s="66"/>
      <c r="B12845" s="67"/>
      <c r="C12845" s="66"/>
      <c r="D12845" s="68"/>
      <c r="E12845" s="10"/>
      <c r="F12845" s="69"/>
      <c r="G12845" s="68"/>
      <c r="H12845" s="70"/>
      <c r="BA12845" s="4"/>
      <c r="BB12845" s="4"/>
    </row>
    <row r="12846" spans="1:54" x14ac:dyDescent="0.3">
      <c r="A12846" s="66"/>
      <c r="B12846" s="67"/>
      <c r="C12846" s="66"/>
      <c r="D12846" s="68"/>
      <c r="E12846" s="10"/>
      <c r="F12846" s="69"/>
      <c r="G12846" s="68"/>
      <c r="H12846" s="70"/>
      <c r="BA12846" s="4"/>
      <c r="BB12846" s="4"/>
    </row>
    <row r="12847" spans="1:54" x14ac:dyDescent="0.3">
      <c r="A12847" s="66"/>
      <c r="B12847" s="67"/>
      <c r="C12847" s="66"/>
      <c r="D12847" s="68"/>
      <c r="E12847" s="10"/>
      <c r="F12847" s="69"/>
      <c r="G12847" s="68"/>
      <c r="H12847" s="70"/>
      <c r="BA12847" s="4"/>
      <c r="BB12847" s="4"/>
    </row>
    <row r="12848" spans="1:54" x14ac:dyDescent="0.3">
      <c r="A12848" s="66"/>
      <c r="B12848" s="67"/>
      <c r="C12848" s="66"/>
      <c r="D12848" s="68"/>
      <c r="E12848" s="10"/>
      <c r="F12848" s="69"/>
      <c r="G12848" s="68"/>
      <c r="H12848" s="70"/>
      <c r="BA12848" s="4"/>
      <c r="BB12848" s="4"/>
    </row>
    <row r="12849" spans="1:54" x14ac:dyDescent="0.3">
      <c r="A12849" s="66"/>
      <c r="B12849" s="67"/>
      <c r="C12849" s="66"/>
      <c r="D12849" s="68"/>
      <c r="E12849" s="10"/>
      <c r="F12849" s="69"/>
      <c r="G12849" s="68"/>
      <c r="H12849" s="70"/>
      <c r="BA12849" s="4"/>
      <c r="BB12849" s="4"/>
    </row>
    <row r="12850" spans="1:54" x14ac:dyDescent="0.3">
      <c r="A12850" s="66"/>
      <c r="B12850" s="67"/>
      <c r="C12850" s="66"/>
      <c r="D12850" s="68"/>
      <c r="E12850" s="10"/>
      <c r="F12850" s="69"/>
      <c r="G12850" s="68"/>
      <c r="H12850" s="70"/>
      <c r="BA12850" s="4"/>
      <c r="BB12850" s="4"/>
    </row>
    <row r="12851" spans="1:54" x14ac:dyDescent="0.3">
      <c r="A12851" s="66"/>
      <c r="B12851" s="67"/>
      <c r="C12851" s="66"/>
      <c r="D12851" s="68"/>
      <c r="E12851" s="10"/>
      <c r="F12851" s="69"/>
      <c r="G12851" s="68"/>
      <c r="H12851" s="70"/>
      <c r="BA12851" s="4"/>
      <c r="BB12851" s="4"/>
    </row>
    <row r="12852" spans="1:54" x14ac:dyDescent="0.3">
      <c r="A12852" s="66"/>
      <c r="B12852" s="67"/>
      <c r="C12852" s="66"/>
      <c r="D12852" s="68"/>
      <c r="E12852" s="10"/>
      <c r="F12852" s="69"/>
      <c r="G12852" s="68"/>
      <c r="H12852" s="70"/>
      <c r="BA12852" s="4"/>
      <c r="BB12852" s="4"/>
    </row>
    <row r="12853" spans="1:54" x14ac:dyDescent="0.3">
      <c r="A12853" s="66"/>
      <c r="B12853" s="67"/>
      <c r="C12853" s="66"/>
      <c r="D12853" s="68"/>
      <c r="E12853" s="10"/>
      <c r="F12853" s="69"/>
      <c r="G12853" s="68"/>
      <c r="H12853" s="70"/>
      <c r="BA12853" s="4"/>
      <c r="BB12853" s="4"/>
    </row>
    <row r="12854" spans="1:54" x14ac:dyDescent="0.3">
      <c r="A12854" s="66"/>
      <c r="B12854" s="67"/>
      <c r="C12854" s="66"/>
      <c r="D12854" s="68"/>
      <c r="E12854" s="10"/>
      <c r="F12854" s="69"/>
      <c r="G12854" s="68"/>
      <c r="H12854" s="70"/>
      <c r="BA12854" s="4"/>
      <c r="BB12854" s="4"/>
    </row>
    <row r="12855" spans="1:54" x14ac:dyDescent="0.3">
      <c r="A12855" s="66"/>
      <c r="B12855" s="67"/>
      <c r="C12855" s="66"/>
      <c r="D12855" s="68"/>
      <c r="E12855" s="10"/>
      <c r="F12855" s="69"/>
      <c r="G12855" s="68"/>
      <c r="H12855" s="70"/>
      <c r="BA12855" s="4"/>
      <c r="BB12855" s="4"/>
    </row>
    <row r="12856" spans="1:54" x14ac:dyDescent="0.3">
      <c r="A12856" s="66"/>
      <c r="B12856" s="67"/>
      <c r="C12856" s="66"/>
      <c r="D12856" s="68"/>
      <c r="E12856" s="10"/>
      <c r="F12856" s="69"/>
      <c r="G12856" s="68"/>
      <c r="H12856" s="70"/>
      <c r="BA12856" s="4"/>
      <c r="BB12856" s="4"/>
    </row>
    <row r="12857" spans="1:54" x14ac:dyDescent="0.3">
      <c r="A12857" s="66"/>
      <c r="B12857" s="67"/>
      <c r="C12857" s="66"/>
      <c r="D12857" s="68"/>
      <c r="E12857" s="10"/>
      <c r="F12857" s="69"/>
      <c r="G12857" s="68"/>
      <c r="H12857" s="70"/>
      <c r="BA12857" s="4"/>
      <c r="BB12857" s="4"/>
    </row>
    <row r="12858" spans="1:54" x14ac:dyDescent="0.3">
      <c r="A12858" s="66"/>
      <c r="B12858" s="67"/>
      <c r="C12858" s="66"/>
      <c r="D12858" s="68"/>
      <c r="E12858" s="10"/>
      <c r="F12858" s="69"/>
      <c r="G12858" s="68"/>
      <c r="H12858" s="70"/>
      <c r="BA12858" s="4"/>
      <c r="BB12858" s="4"/>
    </row>
    <row r="12859" spans="1:54" x14ac:dyDescent="0.3">
      <c r="A12859" s="66"/>
      <c r="B12859" s="67"/>
      <c r="C12859" s="66"/>
      <c r="D12859" s="68"/>
      <c r="E12859" s="10"/>
      <c r="F12859" s="69"/>
      <c r="G12859" s="68"/>
      <c r="H12859" s="70"/>
      <c r="BA12859" s="4"/>
      <c r="BB12859" s="4"/>
    </row>
    <row r="12860" spans="1:54" x14ac:dyDescent="0.3">
      <c r="A12860" s="66"/>
      <c r="B12860" s="67"/>
      <c r="C12860" s="66"/>
      <c r="D12860" s="68"/>
      <c r="E12860" s="10"/>
      <c r="F12860" s="69"/>
      <c r="G12860" s="68"/>
      <c r="H12860" s="70"/>
      <c r="BA12860" s="4"/>
      <c r="BB12860" s="4"/>
    </row>
    <row r="12861" spans="1:54" x14ac:dyDescent="0.3">
      <c r="A12861" s="66"/>
      <c r="B12861" s="67"/>
      <c r="C12861" s="66"/>
      <c r="D12861" s="68"/>
      <c r="E12861" s="10"/>
      <c r="F12861" s="69"/>
      <c r="G12861" s="68"/>
      <c r="H12861" s="70"/>
      <c r="BA12861" s="4"/>
      <c r="BB12861" s="4"/>
    </row>
    <row r="12862" spans="1:54" x14ac:dyDescent="0.3">
      <c r="A12862" s="66"/>
      <c r="B12862" s="67"/>
      <c r="C12862" s="66"/>
      <c r="D12862" s="68"/>
      <c r="E12862" s="10"/>
      <c r="F12862" s="69"/>
      <c r="G12862" s="68"/>
      <c r="H12862" s="70"/>
      <c r="BA12862" s="4"/>
      <c r="BB12862" s="4"/>
    </row>
    <row r="12863" spans="1:54" x14ac:dyDescent="0.3">
      <c r="A12863" s="66"/>
      <c r="B12863" s="67"/>
      <c r="C12863" s="66"/>
      <c r="D12863" s="68"/>
      <c r="E12863" s="10"/>
      <c r="F12863" s="69"/>
      <c r="G12863" s="68"/>
      <c r="H12863" s="70"/>
      <c r="BA12863" s="4"/>
      <c r="BB12863" s="4"/>
    </row>
    <row r="12864" spans="1:54" x14ac:dyDescent="0.3">
      <c r="A12864" s="66"/>
      <c r="B12864" s="67"/>
      <c r="C12864" s="66"/>
      <c r="D12864" s="68"/>
      <c r="E12864" s="10"/>
      <c r="F12864" s="69"/>
      <c r="G12864" s="68"/>
      <c r="H12864" s="70"/>
      <c r="BA12864" s="4"/>
      <c r="BB12864" s="4"/>
    </row>
    <row r="12865" spans="1:54" x14ac:dyDescent="0.3">
      <c r="A12865" s="66"/>
      <c r="B12865" s="67"/>
      <c r="C12865" s="66"/>
      <c r="D12865" s="68"/>
      <c r="E12865" s="10"/>
      <c r="F12865" s="69"/>
      <c r="G12865" s="68"/>
      <c r="H12865" s="70"/>
      <c r="BA12865" s="4"/>
      <c r="BB12865" s="4"/>
    </row>
    <row r="12866" spans="1:54" x14ac:dyDescent="0.3">
      <c r="A12866" s="66"/>
      <c r="B12866" s="67"/>
      <c r="C12866" s="66"/>
      <c r="D12866" s="68"/>
      <c r="E12866" s="10"/>
      <c r="F12866" s="69"/>
      <c r="G12866" s="68"/>
      <c r="H12866" s="70"/>
      <c r="BA12866" s="4"/>
      <c r="BB12866" s="4"/>
    </row>
    <row r="12867" spans="1:54" x14ac:dyDescent="0.3">
      <c r="A12867" s="66"/>
      <c r="B12867" s="67"/>
      <c r="C12867" s="66"/>
      <c r="D12867" s="68"/>
      <c r="E12867" s="10"/>
      <c r="F12867" s="69"/>
      <c r="G12867" s="68"/>
      <c r="H12867" s="70"/>
      <c r="BA12867" s="4"/>
      <c r="BB12867" s="4"/>
    </row>
    <row r="12868" spans="1:54" x14ac:dyDescent="0.3">
      <c r="A12868" s="66"/>
      <c r="B12868" s="67"/>
      <c r="C12868" s="66"/>
      <c r="D12868" s="68"/>
      <c r="E12868" s="10"/>
      <c r="F12868" s="69"/>
      <c r="G12868" s="68"/>
      <c r="H12868" s="70"/>
      <c r="BA12868" s="4"/>
      <c r="BB12868" s="4"/>
    </row>
    <row r="12869" spans="1:54" x14ac:dyDescent="0.3">
      <c r="A12869" s="66"/>
      <c r="B12869" s="67"/>
      <c r="C12869" s="66"/>
      <c r="D12869" s="68"/>
      <c r="E12869" s="10"/>
      <c r="F12869" s="69"/>
      <c r="G12869" s="68"/>
      <c r="H12869" s="70"/>
      <c r="BA12869" s="4"/>
      <c r="BB12869" s="4"/>
    </row>
    <row r="12870" spans="1:54" x14ac:dyDescent="0.3">
      <c r="A12870" s="66"/>
      <c r="B12870" s="67"/>
      <c r="C12870" s="66"/>
      <c r="D12870" s="68"/>
      <c r="E12870" s="10"/>
      <c r="F12870" s="69"/>
      <c r="G12870" s="68"/>
      <c r="H12870" s="70"/>
      <c r="BA12870" s="4"/>
      <c r="BB12870" s="4"/>
    </row>
    <row r="12871" spans="1:54" x14ac:dyDescent="0.3">
      <c r="A12871" s="66"/>
      <c r="B12871" s="67"/>
      <c r="C12871" s="66"/>
      <c r="D12871" s="68"/>
      <c r="E12871" s="10"/>
      <c r="F12871" s="69"/>
      <c r="G12871" s="68"/>
      <c r="H12871" s="70"/>
      <c r="BA12871" s="4"/>
      <c r="BB12871" s="4"/>
    </row>
    <row r="12872" spans="1:54" x14ac:dyDescent="0.3">
      <c r="A12872" s="66"/>
      <c r="B12872" s="67"/>
      <c r="C12872" s="66"/>
      <c r="D12872" s="68"/>
      <c r="E12872" s="10"/>
      <c r="F12872" s="69"/>
      <c r="G12872" s="68"/>
      <c r="H12872" s="70"/>
      <c r="BA12872" s="4"/>
      <c r="BB12872" s="4"/>
    </row>
    <row r="12873" spans="1:54" x14ac:dyDescent="0.3">
      <c r="A12873" s="66"/>
      <c r="B12873" s="67"/>
      <c r="C12873" s="66"/>
      <c r="D12873" s="68"/>
      <c r="E12873" s="10"/>
      <c r="F12873" s="69"/>
      <c r="G12873" s="68"/>
      <c r="H12873" s="70"/>
      <c r="BA12873" s="4"/>
      <c r="BB12873" s="4"/>
    </row>
    <row r="12874" spans="1:54" x14ac:dyDescent="0.3">
      <c r="A12874" s="66"/>
      <c r="B12874" s="67"/>
      <c r="C12874" s="66"/>
      <c r="D12874" s="68"/>
      <c r="E12874" s="10"/>
      <c r="F12874" s="69"/>
      <c r="G12874" s="68"/>
      <c r="H12874" s="70"/>
      <c r="BA12874" s="4"/>
      <c r="BB12874" s="4"/>
    </row>
    <row r="12875" spans="1:54" x14ac:dyDescent="0.3">
      <c r="A12875" s="66"/>
      <c r="B12875" s="67"/>
      <c r="C12875" s="66"/>
      <c r="D12875" s="68"/>
      <c r="E12875" s="10"/>
      <c r="F12875" s="69"/>
      <c r="G12875" s="68"/>
      <c r="H12875" s="70"/>
      <c r="BA12875" s="4"/>
      <c r="BB12875" s="4"/>
    </row>
    <row r="12876" spans="1:54" x14ac:dyDescent="0.3">
      <c r="A12876" s="66"/>
      <c r="B12876" s="67"/>
      <c r="C12876" s="66"/>
      <c r="D12876" s="68"/>
      <c r="E12876" s="10"/>
      <c r="F12876" s="69"/>
      <c r="G12876" s="68"/>
      <c r="H12876" s="70"/>
      <c r="BA12876" s="4"/>
      <c r="BB12876" s="4"/>
    </row>
    <row r="12877" spans="1:54" x14ac:dyDescent="0.3">
      <c r="A12877" s="66"/>
      <c r="B12877" s="67"/>
      <c r="C12877" s="66"/>
      <c r="D12877" s="68"/>
      <c r="E12877" s="10"/>
      <c r="F12877" s="69"/>
      <c r="G12877" s="68"/>
      <c r="H12877" s="70"/>
      <c r="BA12877" s="4"/>
      <c r="BB12877" s="4"/>
    </row>
    <row r="12878" spans="1:54" x14ac:dyDescent="0.3">
      <c r="A12878" s="66"/>
      <c r="B12878" s="67"/>
      <c r="C12878" s="66"/>
      <c r="D12878" s="68"/>
      <c r="E12878" s="10"/>
      <c r="F12878" s="69"/>
      <c r="G12878" s="68"/>
      <c r="H12878" s="70"/>
      <c r="BA12878" s="4"/>
      <c r="BB12878" s="4"/>
    </row>
    <row r="12879" spans="1:54" x14ac:dyDescent="0.3">
      <c r="A12879" s="66"/>
      <c r="B12879" s="67"/>
      <c r="C12879" s="66"/>
      <c r="D12879" s="68"/>
      <c r="E12879" s="10"/>
      <c r="F12879" s="69"/>
      <c r="G12879" s="68"/>
      <c r="H12879" s="70"/>
      <c r="BA12879" s="4"/>
      <c r="BB12879" s="4"/>
    </row>
    <row r="12880" spans="1:54" x14ac:dyDescent="0.3">
      <c r="A12880" s="66"/>
      <c r="B12880" s="67"/>
      <c r="C12880" s="66"/>
      <c r="D12880" s="68"/>
      <c r="E12880" s="10"/>
      <c r="F12880" s="69"/>
      <c r="G12880" s="68"/>
      <c r="H12880" s="70"/>
      <c r="BA12880" s="4"/>
      <c r="BB12880" s="4"/>
    </row>
    <row r="12881" spans="1:54" x14ac:dyDescent="0.3">
      <c r="A12881" s="66"/>
      <c r="B12881" s="67"/>
      <c r="C12881" s="66"/>
      <c r="D12881" s="68"/>
      <c r="E12881" s="10"/>
      <c r="F12881" s="69"/>
      <c r="G12881" s="68"/>
      <c r="H12881" s="70"/>
      <c r="BA12881" s="4"/>
      <c r="BB12881" s="4"/>
    </row>
    <row r="12882" spans="1:54" x14ac:dyDescent="0.3">
      <c r="A12882" s="66"/>
      <c r="B12882" s="67"/>
      <c r="C12882" s="66"/>
      <c r="D12882" s="68"/>
      <c r="E12882" s="10"/>
      <c r="F12882" s="69"/>
      <c r="G12882" s="68"/>
      <c r="H12882" s="70"/>
      <c r="BA12882" s="4"/>
      <c r="BB12882" s="4"/>
    </row>
    <row r="12883" spans="1:54" x14ac:dyDescent="0.3">
      <c r="A12883" s="66"/>
      <c r="B12883" s="67"/>
      <c r="C12883" s="66"/>
      <c r="D12883" s="68"/>
      <c r="E12883" s="10"/>
      <c r="F12883" s="69"/>
      <c r="G12883" s="68"/>
      <c r="H12883" s="70"/>
      <c r="BA12883" s="4"/>
      <c r="BB12883" s="4"/>
    </row>
    <row r="12884" spans="1:54" x14ac:dyDescent="0.3">
      <c r="A12884" s="66"/>
      <c r="B12884" s="67"/>
      <c r="C12884" s="66"/>
      <c r="D12884" s="68"/>
      <c r="E12884" s="10"/>
      <c r="F12884" s="69"/>
      <c r="G12884" s="68"/>
      <c r="H12884" s="70"/>
      <c r="BA12884" s="4"/>
      <c r="BB12884" s="4"/>
    </row>
    <row r="12885" spans="1:54" x14ac:dyDescent="0.3">
      <c r="A12885" s="66"/>
      <c r="B12885" s="67"/>
      <c r="C12885" s="66"/>
      <c r="D12885" s="68"/>
      <c r="E12885" s="10"/>
      <c r="F12885" s="69"/>
      <c r="G12885" s="68"/>
      <c r="H12885" s="70"/>
      <c r="BA12885" s="4"/>
      <c r="BB12885" s="4"/>
    </row>
    <row r="12886" spans="1:54" x14ac:dyDescent="0.3">
      <c r="A12886" s="66"/>
      <c r="B12886" s="67"/>
      <c r="C12886" s="66"/>
      <c r="D12886" s="68"/>
      <c r="E12886" s="10"/>
      <c r="F12886" s="69"/>
      <c r="G12886" s="68"/>
      <c r="H12886" s="70"/>
      <c r="BA12886" s="4"/>
      <c r="BB12886" s="4"/>
    </row>
    <row r="12887" spans="1:54" x14ac:dyDescent="0.3">
      <c r="A12887" s="66"/>
      <c r="B12887" s="67"/>
      <c r="C12887" s="66"/>
      <c r="D12887" s="68"/>
      <c r="E12887" s="10"/>
      <c r="F12887" s="69"/>
      <c r="G12887" s="68"/>
      <c r="H12887" s="70"/>
      <c r="BA12887" s="4"/>
      <c r="BB12887" s="4"/>
    </row>
    <row r="12888" spans="1:54" x14ac:dyDescent="0.3">
      <c r="A12888" s="66"/>
      <c r="B12888" s="67"/>
      <c r="C12888" s="66"/>
      <c r="D12888" s="68"/>
      <c r="E12888" s="10"/>
      <c r="F12888" s="69"/>
      <c r="G12888" s="68"/>
      <c r="H12888" s="70"/>
      <c r="BA12888" s="4"/>
      <c r="BB12888" s="4"/>
    </row>
    <row r="12889" spans="1:54" x14ac:dyDescent="0.3">
      <c r="A12889" s="66"/>
      <c r="B12889" s="67"/>
      <c r="C12889" s="66"/>
      <c r="D12889" s="68"/>
      <c r="E12889" s="10"/>
      <c r="F12889" s="69"/>
      <c r="G12889" s="68"/>
      <c r="H12889" s="70"/>
      <c r="BA12889" s="4"/>
      <c r="BB12889" s="4"/>
    </row>
    <row r="12890" spans="1:54" x14ac:dyDescent="0.3">
      <c r="A12890" s="66"/>
      <c r="B12890" s="67"/>
      <c r="C12890" s="66"/>
      <c r="D12890" s="68"/>
      <c r="E12890" s="10"/>
      <c r="F12890" s="69"/>
      <c r="G12890" s="68"/>
      <c r="H12890" s="70"/>
      <c r="BA12890" s="4"/>
      <c r="BB12890" s="4"/>
    </row>
    <row r="12891" spans="1:54" x14ac:dyDescent="0.3">
      <c r="A12891" s="66"/>
      <c r="B12891" s="67"/>
      <c r="C12891" s="66"/>
      <c r="D12891" s="68"/>
      <c r="E12891" s="10"/>
      <c r="F12891" s="69"/>
      <c r="G12891" s="68"/>
      <c r="H12891" s="70"/>
      <c r="BA12891" s="4"/>
      <c r="BB12891" s="4"/>
    </row>
    <row r="12892" spans="1:54" x14ac:dyDescent="0.3">
      <c r="A12892" s="66"/>
      <c r="B12892" s="67"/>
      <c r="C12892" s="66"/>
      <c r="D12892" s="68"/>
      <c r="E12892" s="10"/>
      <c r="F12892" s="69"/>
      <c r="G12892" s="68"/>
      <c r="H12892" s="70"/>
      <c r="BA12892" s="4"/>
      <c r="BB12892" s="4"/>
    </row>
    <row r="12893" spans="1:54" x14ac:dyDescent="0.3">
      <c r="A12893" s="66"/>
      <c r="B12893" s="67"/>
      <c r="C12893" s="66"/>
      <c r="D12893" s="68"/>
      <c r="E12893" s="10"/>
      <c r="F12893" s="69"/>
      <c r="G12893" s="68"/>
      <c r="H12893" s="70"/>
      <c r="BA12893" s="4"/>
      <c r="BB12893" s="4"/>
    </row>
    <row r="12894" spans="1:54" x14ac:dyDescent="0.3">
      <c r="A12894" s="66"/>
      <c r="B12894" s="67"/>
      <c r="C12894" s="66"/>
      <c r="D12894" s="68"/>
      <c r="E12894" s="10"/>
      <c r="F12894" s="69"/>
      <c r="G12894" s="68"/>
      <c r="H12894" s="70"/>
      <c r="BA12894" s="4"/>
      <c r="BB12894" s="4"/>
    </row>
    <row r="12895" spans="1:54" x14ac:dyDescent="0.3">
      <c r="A12895" s="66"/>
      <c r="B12895" s="67"/>
      <c r="C12895" s="66"/>
      <c r="D12895" s="68"/>
      <c r="E12895" s="10"/>
      <c r="F12895" s="69"/>
      <c r="G12895" s="68"/>
      <c r="H12895" s="70"/>
      <c r="BA12895" s="4"/>
      <c r="BB12895" s="4"/>
    </row>
    <row r="12896" spans="1:54" x14ac:dyDescent="0.3">
      <c r="A12896" s="66"/>
      <c r="B12896" s="67"/>
      <c r="C12896" s="66"/>
      <c r="D12896" s="68"/>
      <c r="E12896" s="10"/>
      <c r="F12896" s="69"/>
      <c r="G12896" s="68"/>
      <c r="H12896" s="70"/>
      <c r="BA12896" s="4"/>
      <c r="BB12896" s="4"/>
    </row>
    <row r="12897" spans="1:54" x14ac:dyDescent="0.3">
      <c r="A12897" s="66"/>
      <c r="B12897" s="67"/>
      <c r="C12897" s="66"/>
      <c r="D12897" s="68"/>
      <c r="E12897" s="10"/>
      <c r="F12897" s="69"/>
      <c r="G12897" s="68"/>
      <c r="H12897" s="70"/>
      <c r="BA12897" s="4"/>
      <c r="BB12897" s="4"/>
    </row>
    <row r="12898" spans="1:54" x14ac:dyDescent="0.3">
      <c r="A12898" s="66"/>
      <c r="B12898" s="67"/>
      <c r="C12898" s="66"/>
      <c r="D12898" s="68"/>
      <c r="E12898" s="10"/>
      <c r="F12898" s="69"/>
      <c r="G12898" s="68"/>
      <c r="H12898" s="70"/>
      <c r="BA12898" s="4"/>
      <c r="BB12898" s="4"/>
    </row>
    <row r="12899" spans="1:54" x14ac:dyDescent="0.3">
      <c r="A12899" s="66"/>
      <c r="B12899" s="67"/>
      <c r="C12899" s="66"/>
      <c r="D12899" s="68"/>
      <c r="E12899" s="10"/>
      <c r="F12899" s="69"/>
      <c r="G12899" s="68"/>
      <c r="H12899" s="70"/>
      <c r="BA12899" s="4"/>
      <c r="BB12899" s="4"/>
    </row>
    <row r="12900" spans="1:54" x14ac:dyDescent="0.3">
      <c r="A12900" s="66"/>
      <c r="B12900" s="67"/>
      <c r="C12900" s="66"/>
      <c r="D12900" s="68"/>
      <c r="E12900" s="10"/>
      <c r="F12900" s="69"/>
      <c r="G12900" s="68"/>
      <c r="H12900" s="70"/>
      <c r="BA12900" s="4"/>
      <c r="BB12900" s="4"/>
    </row>
    <row r="12901" spans="1:54" x14ac:dyDescent="0.3">
      <c r="A12901" s="66"/>
      <c r="B12901" s="67"/>
      <c r="C12901" s="66"/>
      <c r="D12901" s="68"/>
      <c r="E12901" s="10"/>
      <c r="F12901" s="69"/>
      <c r="G12901" s="68"/>
      <c r="H12901" s="70"/>
      <c r="BA12901" s="4"/>
      <c r="BB12901" s="4"/>
    </row>
    <row r="12902" spans="1:54" x14ac:dyDescent="0.3">
      <c r="A12902" s="66"/>
      <c r="B12902" s="67"/>
      <c r="C12902" s="66"/>
      <c r="D12902" s="68"/>
      <c r="E12902" s="10"/>
      <c r="F12902" s="69"/>
      <c r="G12902" s="68"/>
      <c r="H12902" s="70"/>
      <c r="BA12902" s="4"/>
      <c r="BB12902" s="4"/>
    </row>
    <row r="12903" spans="1:54" x14ac:dyDescent="0.3">
      <c r="A12903" s="66"/>
      <c r="B12903" s="67"/>
      <c r="C12903" s="66"/>
      <c r="D12903" s="68"/>
      <c r="E12903" s="10"/>
      <c r="F12903" s="69"/>
      <c r="G12903" s="68"/>
      <c r="H12903" s="70"/>
      <c r="BA12903" s="4"/>
      <c r="BB12903" s="4"/>
    </row>
    <row r="12904" spans="1:54" x14ac:dyDescent="0.3">
      <c r="A12904" s="66"/>
      <c r="B12904" s="67"/>
      <c r="C12904" s="66"/>
      <c r="D12904" s="68"/>
      <c r="E12904" s="10"/>
      <c r="F12904" s="69"/>
      <c r="G12904" s="68"/>
      <c r="H12904" s="70"/>
      <c r="BA12904" s="4"/>
      <c r="BB12904" s="4"/>
    </row>
    <row r="12905" spans="1:54" x14ac:dyDescent="0.3">
      <c r="A12905" s="66"/>
      <c r="B12905" s="67"/>
      <c r="C12905" s="66"/>
      <c r="D12905" s="68"/>
      <c r="E12905" s="10"/>
      <c r="F12905" s="69"/>
      <c r="G12905" s="68"/>
      <c r="H12905" s="70"/>
      <c r="BA12905" s="4"/>
      <c r="BB12905" s="4"/>
    </row>
    <row r="12906" spans="1:54" x14ac:dyDescent="0.3">
      <c r="A12906" s="66"/>
      <c r="B12906" s="67"/>
      <c r="C12906" s="66"/>
      <c r="D12906" s="68"/>
      <c r="E12906" s="10"/>
      <c r="F12906" s="69"/>
      <c r="G12906" s="68"/>
      <c r="H12906" s="70"/>
      <c r="BA12906" s="4"/>
      <c r="BB12906" s="4"/>
    </row>
    <row r="12907" spans="1:54" x14ac:dyDescent="0.3">
      <c r="A12907" s="66"/>
      <c r="B12907" s="67"/>
      <c r="C12907" s="66"/>
      <c r="D12907" s="68"/>
      <c r="E12907" s="10"/>
      <c r="F12907" s="69"/>
      <c r="G12907" s="68"/>
      <c r="H12907" s="70"/>
      <c r="BA12907" s="4"/>
      <c r="BB12907" s="4"/>
    </row>
    <row r="12908" spans="1:54" x14ac:dyDescent="0.3">
      <c r="A12908" s="66"/>
      <c r="B12908" s="67"/>
      <c r="C12908" s="66"/>
      <c r="D12908" s="68"/>
      <c r="E12908" s="10"/>
      <c r="F12908" s="69"/>
      <c r="G12908" s="68"/>
      <c r="H12908" s="70"/>
      <c r="BA12908" s="4"/>
      <c r="BB12908" s="4"/>
    </row>
    <row r="12909" spans="1:54" x14ac:dyDescent="0.3">
      <c r="A12909" s="66"/>
      <c r="B12909" s="67"/>
      <c r="C12909" s="66"/>
      <c r="D12909" s="68"/>
      <c r="E12909" s="10"/>
      <c r="F12909" s="69"/>
      <c r="G12909" s="68"/>
      <c r="H12909" s="70"/>
      <c r="BA12909" s="4"/>
      <c r="BB12909" s="4"/>
    </row>
    <row r="12910" spans="1:54" x14ac:dyDescent="0.3">
      <c r="A12910" s="66"/>
      <c r="B12910" s="67"/>
      <c r="C12910" s="66"/>
      <c r="D12910" s="68"/>
      <c r="E12910" s="10"/>
      <c r="F12910" s="69"/>
      <c r="G12910" s="68"/>
      <c r="H12910" s="70"/>
      <c r="BA12910" s="4"/>
      <c r="BB12910" s="4"/>
    </row>
    <row r="12911" spans="1:54" x14ac:dyDescent="0.3">
      <c r="A12911" s="66"/>
      <c r="B12911" s="67"/>
      <c r="C12911" s="66"/>
      <c r="D12911" s="68"/>
      <c r="E12911" s="10"/>
      <c r="F12911" s="69"/>
      <c r="G12911" s="68"/>
      <c r="H12911" s="70"/>
      <c r="BA12911" s="4"/>
      <c r="BB12911" s="4"/>
    </row>
    <row r="12912" spans="1:54" x14ac:dyDescent="0.3">
      <c r="A12912" s="66"/>
      <c r="B12912" s="67"/>
      <c r="C12912" s="66"/>
      <c r="D12912" s="68"/>
      <c r="E12912" s="10"/>
      <c r="F12912" s="69"/>
      <c r="G12912" s="68"/>
      <c r="H12912" s="70"/>
      <c r="BA12912" s="4"/>
      <c r="BB12912" s="4"/>
    </row>
    <row r="12913" spans="1:54" x14ac:dyDescent="0.3">
      <c r="A12913" s="66"/>
      <c r="B12913" s="67"/>
      <c r="C12913" s="66"/>
      <c r="D12913" s="68"/>
      <c r="E12913" s="10"/>
      <c r="F12913" s="69"/>
      <c r="G12913" s="68"/>
      <c r="H12913" s="70"/>
      <c r="BA12913" s="4"/>
      <c r="BB12913" s="4"/>
    </row>
    <row r="12914" spans="1:54" x14ac:dyDescent="0.3">
      <c r="A12914" s="66"/>
      <c r="B12914" s="67"/>
      <c r="C12914" s="66"/>
      <c r="D12914" s="68"/>
      <c r="E12914" s="10"/>
      <c r="F12914" s="69"/>
      <c r="G12914" s="68"/>
      <c r="H12914" s="70"/>
      <c r="BA12914" s="4"/>
      <c r="BB12914" s="4"/>
    </row>
    <row r="12915" spans="1:54" x14ac:dyDescent="0.3">
      <c r="A12915" s="66"/>
      <c r="B12915" s="67"/>
      <c r="C12915" s="66"/>
      <c r="D12915" s="68"/>
      <c r="E12915" s="10"/>
      <c r="F12915" s="69"/>
      <c r="G12915" s="68"/>
      <c r="H12915" s="70"/>
      <c r="BA12915" s="4"/>
      <c r="BB12915" s="4"/>
    </row>
    <row r="12916" spans="1:54" x14ac:dyDescent="0.3">
      <c r="A12916" s="66"/>
      <c r="B12916" s="67"/>
      <c r="C12916" s="66"/>
      <c r="D12916" s="68"/>
      <c r="E12916" s="10"/>
      <c r="F12916" s="69"/>
      <c r="G12916" s="68"/>
      <c r="H12916" s="70"/>
      <c r="BA12916" s="4"/>
      <c r="BB12916" s="4"/>
    </row>
    <row r="12917" spans="1:54" x14ac:dyDescent="0.3">
      <c r="A12917" s="66"/>
      <c r="B12917" s="67"/>
      <c r="C12917" s="66"/>
      <c r="D12917" s="68"/>
      <c r="E12917" s="10"/>
      <c r="F12917" s="69"/>
      <c r="G12917" s="68"/>
      <c r="H12917" s="70"/>
      <c r="BA12917" s="4"/>
      <c r="BB12917" s="4"/>
    </row>
    <row r="12918" spans="1:54" x14ac:dyDescent="0.3">
      <c r="A12918" s="66"/>
      <c r="B12918" s="67"/>
      <c r="C12918" s="66"/>
      <c r="D12918" s="68"/>
      <c r="E12918" s="10"/>
      <c r="F12918" s="69"/>
      <c r="G12918" s="68"/>
      <c r="H12918" s="70"/>
      <c r="BA12918" s="4"/>
      <c r="BB12918" s="4"/>
    </row>
    <row r="12919" spans="1:54" x14ac:dyDescent="0.3">
      <c r="A12919" s="66"/>
      <c r="B12919" s="67"/>
      <c r="C12919" s="66"/>
      <c r="D12919" s="68"/>
      <c r="E12919" s="10"/>
      <c r="F12919" s="69"/>
      <c r="G12919" s="68"/>
      <c r="H12919" s="70"/>
      <c r="BA12919" s="4"/>
      <c r="BB12919" s="4"/>
    </row>
    <row r="12920" spans="1:54" x14ac:dyDescent="0.3">
      <c r="A12920" s="66"/>
      <c r="B12920" s="67"/>
      <c r="C12920" s="66"/>
      <c r="D12920" s="68"/>
      <c r="E12920" s="10"/>
      <c r="F12920" s="69"/>
      <c r="G12920" s="68"/>
      <c r="H12920" s="70"/>
      <c r="BA12920" s="4"/>
      <c r="BB12920" s="4"/>
    </row>
    <row r="12921" spans="1:54" x14ac:dyDescent="0.3">
      <c r="A12921" s="66"/>
      <c r="B12921" s="67"/>
      <c r="C12921" s="66"/>
      <c r="D12921" s="68"/>
      <c r="E12921" s="10"/>
      <c r="F12921" s="69"/>
      <c r="G12921" s="68"/>
      <c r="H12921" s="70"/>
      <c r="BA12921" s="4"/>
      <c r="BB12921" s="4"/>
    </row>
    <row r="12922" spans="1:54" x14ac:dyDescent="0.3">
      <c r="A12922" s="66"/>
      <c r="B12922" s="67"/>
      <c r="C12922" s="66"/>
      <c r="D12922" s="68"/>
      <c r="E12922" s="10"/>
      <c r="F12922" s="69"/>
      <c r="G12922" s="68"/>
      <c r="H12922" s="70"/>
      <c r="BA12922" s="4"/>
      <c r="BB12922" s="4"/>
    </row>
    <row r="12923" spans="1:54" x14ac:dyDescent="0.3">
      <c r="A12923" s="66"/>
      <c r="B12923" s="67"/>
      <c r="C12923" s="66"/>
      <c r="D12923" s="68"/>
      <c r="E12923" s="10"/>
      <c r="F12923" s="69"/>
      <c r="G12923" s="68"/>
      <c r="H12923" s="70"/>
      <c r="BA12923" s="4"/>
      <c r="BB12923" s="4"/>
    </row>
    <row r="12924" spans="1:54" x14ac:dyDescent="0.3">
      <c r="A12924" s="66"/>
      <c r="B12924" s="67"/>
      <c r="C12924" s="66"/>
      <c r="D12924" s="68"/>
      <c r="E12924" s="10"/>
      <c r="F12924" s="69"/>
      <c r="G12924" s="68"/>
      <c r="H12924" s="70"/>
      <c r="BA12924" s="4"/>
      <c r="BB12924" s="4"/>
    </row>
    <row r="12925" spans="1:54" x14ac:dyDescent="0.3">
      <c r="A12925" s="66"/>
      <c r="B12925" s="67"/>
      <c r="C12925" s="66"/>
      <c r="D12925" s="68"/>
      <c r="E12925" s="10"/>
      <c r="F12925" s="69"/>
      <c r="G12925" s="68"/>
      <c r="H12925" s="70"/>
      <c r="BA12925" s="4"/>
      <c r="BB12925" s="4"/>
    </row>
    <row r="12926" spans="1:54" x14ac:dyDescent="0.3">
      <c r="A12926" s="66"/>
      <c r="B12926" s="67"/>
      <c r="C12926" s="66"/>
      <c r="D12926" s="68"/>
      <c r="E12926" s="10"/>
      <c r="F12926" s="69"/>
      <c r="G12926" s="68"/>
      <c r="H12926" s="70"/>
      <c r="BA12926" s="4"/>
      <c r="BB12926" s="4"/>
    </row>
    <row r="12927" spans="1:54" x14ac:dyDescent="0.3">
      <c r="A12927" s="66"/>
      <c r="B12927" s="67"/>
      <c r="C12927" s="66"/>
      <c r="D12927" s="68"/>
      <c r="E12927" s="10"/>
      <c r="F12927" s="69"/>
      <c r="G12927" s="68"/>
      <c r="H12927" s="70"/>
      <c r="BA12927" s="4"/>
      <c r="BB12927" s="4"/>
    </row>
    <row r="12928" spans="1:54" x14ac:dyDescent="0.3">
      <c r="A12928" s="66"/>
      <c r="B12928" s="67"/>
      <c r="C12928" s="66"/>
      <c r="D12928" s="68"/>
      <c r="E12928" s="10"/>
      <c r="F12928" s="69"/>
      <c r="G12928" s="68"/>
      <c r="H12928" s="70"/>
      <c r="BA12928" s="4"/>
      <c r="BB12928" s="4"/>
    </row>
    <row r="12929" spans="1:54" x14ac:dyDescent="0.3">
      <c r="A12929" s="66"/>
      <c r="B12929" s="67"/>
      <c r="C12929" s="66"/>
      <c r="D12929" s="68"/>
      <c r="E12929" s="10"/>
      <c r="F12929" s="69"/>
      <c r="G12929" s="68"/>
      <c r="H12929" s="70"/>
      <c r="BA12929" s="4"/>
      <c r="BB12929" s="4"/>
    </row>
    <row r="12930" spans="1:54" x14ac:dyDescent="0.3">
      <c r="A12930" s="66"/>
      <c r="B12930" s="67"/>
      <c r="C12930" s="66"/>
      <c r="D12930" s="68"/>
      <c r="E12930" s="10"/>
      <c r="F12930" s="69"/>
      <c r="G12930" s="68"/>
      <c r="H12930" s="70"/>
      <c r="BA12930" s="4"/>
      <c r="BB12930" s="4"/>
    </row>
    <row r="12931" spans="1:54" x14ac:dyDescent="0.3">
      <c r="A12931" s="66"/>
      <c r="B12931" s="67"/>
      <c r="C12931" s="66"/>
      <c r="D12931" s="68"/>
      <c r="E12931" s="10"/>
      <c r="F12931" s="69"/>
      <c r="G12931" s="68"/>
      <c r="H12931" s="70"/>
      <c r="BA12931" s="4"/>
      <c r="BB12931" s="4"/>
    </row>
    <row r="12932" spans="1:54" x14ac:dyDescent="0.3">
      <c r="A12932" s="66"/>
      <c r="B12932" s="67"/>
      <c r="C12932" s="66"/>
      <c r="D12932" s="68"/>
      <c r="E12932" s="10"/>
      <c r="F12932" s="69"/>
      <c r="G12932" s="68"/>
      <c r="H12932" s="70"/>
      <c r="BA12932" s="4"/>
      <c r="BB12932" s="4"/>
    </row>
    <row r="12933" spans="1:54" x14ac:dyDescent="0.3">
      <c r="A12933" s="66"/>
      <c r="B12933" s="67"/>
      <c r="C12933" s="66"/>
      <c r="D12933" s="68"/>
      <c r="E12933" s="10"/>
      <c r="F12933" s="69"/>
      <c r="G12933" s="68"/>
      <c r="H12933" s="70"/>
      <c r="BA12933" s="4"/>
      <c r="BB12933" s="4"/>
    </row>
    <row r="12934" spans="1:54" x14ac:dyDescent="0.3">
      <c r="A12934" s="66"/>
      <c r="B12934" s="67"/>
      <c r="C12934" s="66"/>
      <c r="D12934" s="68"/>
      <c r="E12934" s="10"/>
      <c r="F12934" s="69"/>
      <c r="G12934" s="68"/>
      <c r="H12934" s="70"/>
      <c r="BA12934" s="4"/>
      <c r="BB12934" s="4"/>
    </row>
    <row r="12935" spans="1:54" x14ac:dyDescent="0.3">
      <c r="A12935" s="66"/>
      <c r="B12935" s="67"/>
      <c r="C12935" s="66"/>
      <c r="D12935" s="68"/>
      <c r="E12935" s="10"/>
      <c r="F12935" s="69"/>
      <c r="G12935" s="68"/>
      <c r="H12935" s="70"/>
      <c r="BA12935" s="4"/>
      <c r="BB12935" s="4"/>
    </row>
    <row r="12936" spans="1:54" x14ac:dyDescent="0.3">
      <c r="A12936" s="66"/>
      <c r="B12936" s="67"/>
      <c r="C12936" s="66"/>
      <c r="D12936" s="68"/>
      <c r="E12936" s="10"/>
      <c r="F12936" s="69"/>
      <c r="G12936" s="68"/>
      <c r="H12936" s="70"/>
      <c r="BA12936" s="4"/>
      <c r="BB12936" s="4"/>
    </row>
    <row r="12937" spans="1:54" x14ac:dyDescent="0.3">
      <c r="A12937" s="66"/>
      <c r="B12937" s="67"/>
      <c r="C12937" s="66"/>
      <c r="D12937" s="68"/>
      <c r="E12937" s="10"/>
      <c r="F12937" s="69"/>
      <c r="G12937" s="68"/>
      <c r="H12937" s="70"/>
      <c r="BA12937" s="4"/>
      <c r="BB12937" s="4"/>
    </row>
    <row r="12938" spans="1:54" x14ac:dyDescent="0.3">
      <c r="A12938" s="66"/>
      <c r="B12938" s="67"/>
      <c r="C12938" s="66"/>
      <c r="D12938" s="68"/>
      <c r="E12938" s="10"/>
      <c r="F12938" s="69"/>
      <c r="G12938" s="68"/>
      <c r="H12938" s="70"/>
      <c r="BA12938" s="4"/>
      <c r="BB12938" s="4"/>
    </row>
    <row r="12939" spans="1:54" x14ac:dyDescent="0.3">
      <c r="A12939" s="66"/>
      <c r="B12939" s="67"/>
      <c r="C12939" s="66"/>
      <c r="D12939" s="68"/>
      <c r="E12939" s="10"/>
      <c r="F12939" s="69"/>
      <c r="G12939" s="68"/>
      <c r="H12939" s="70"/>
      <c r="BA12939" s="4"/>
      <c r="BB12939" s="4"/>
    </row>
    <row r="12940" spans="1:54" x14ac:dyDescent="0.3">
      <c r="A12940" s="66"/>
      <c r="B12940" s="67"/>
      <c r="C12940" s="66"/>
      <c r="D12940" s="68"/>
      <c r="E12940" s="10"/>
      <c r="F12940" s="69"/>
      <c r="G12940" s="68"/>
      <c r="H12940" s="70"/>
      <c r="BA12940" s="4"/>
      <c r="BB12940" s="4"/>
    </row>
    <row r="12941" spans="1:54" x14ac:dyDescent="0.3">
      <c r="A12941" s="66"/>
      <c r="B12941" s="67"/>
      <c r="C12941" s="66"/>
      <c r="D12941" s="68"/>
      <c r="E12941" s="10"/>
      <c r="F12941" s="69"/>
      <c r="G12941" s="68"/>
      <c r="H12941" s="70"/>
      <c r="BA12941" s="4"/>
      <c r="BB12941" s="4"/>
    </row>
    <row r="12942" spans="1:54" x14ac:dyDescent="0.3">
      <c r="A12942" s="66"/>
      <c r="B12942" s="67"/>
      <c r="C12942" s="66"/>
      <c r="D12942" s="68"/>
      <c r="E12942" s="10"/>
      <c r="F12942" s="69"/>
      <c r="G12942" s="68"/>
      <c r="H12942" s="70"/>
      <c r="BA12942" s="4"/>
      <c r="BB12942" s="4"/>
    </row>
    <row r="12943" spans="1:54" x14ac:dyDescent="0.3">
      <c r="A12943" s="66"/>
      <c r="B12943" s="67"/>
      <c r="C12943" s="66"/>
      <c r="D12943" s="68"/>
      <c r="E12943" s="10"/>
      <c r="F12943" s="69"/>
      <c r="G12943" s="68"/>
      <c r="H12943" s="70"/>
      <c r="BA12943" s="4"/>
      <c r="BB12943" s="4"/>
    </row>
    <row r="12944" spans="1:54" x14ac:dyDescent="0.3">
      <c r="A12944" s="66"/>
      <c r="B12944" s="67"/>
      <c r="C12944" s="66"/>
      <c r="D12944" s="68"/>
      <c r="E12944" s="10"/>
      <c r="F12944" s="69"/>
      <c r="G12944" s="68"/>
      <c r="H12944" s="70"/>
      <c r="BA12944" s="4"/>
      <c r="BB12944" s="4"/>
    </row>
    <row r="12945" spans="1:54" x14ac:dyDescent="0.3">
      <c r="A12945" s="66"/>
      <c r="B12945" s="67"/>
      <c r="C12945" s="66"/>
      <c r="D12945" s="68"/>
      <c r="E12945" s="10"/>
      <c r="F12945" s="69"/>
      <c r="G12945" s="68"/>
      <c r="H12945" s="70"/>
      <c r="BA12945" s="4"/>
      <c r="BB12945" s="4"/>
    </row>
    <row r="12946" spans="1:54" x14ac:dyDescent="0.3">
      <c r="A12946" s="66"/>
      <c r="B12946" s="67"/>
      <c r="C12946" s="66"/>
      <c r="D12946" s="68"/>
      <c r="E12946" s="10"/>
      <c r="F12946" s="69"/>
      <c r="G12946" s="68"/>
      <c r="H12946" s="70"/>
      <c r="BA12946" s="4"/>
      <c r="BB12946" s="4"/>
    </row>
    <row r="12947" spans="1:54" x14ac:dyDescent="0.3">
      <c r="A12947" s="66"/>
      <c r="B12947" s="67"/>
      <c r="C12947" s="66"/>
      <c r="D12947" s="68"/>
      <c r="E12947" s="10"/>
      <c r="F12947" s="69"/>
      <c r="G12947" s="68"/>
      <c r="H12947" s="70"/>
      <c r="BA12947" s="4"/>
      <c r="BB12947" s="4"/>
    </row>
    <row r="12948" spans="1:54" x14ac:dyDescent="0.3">
      <c r="A12948" s="66"/>
      <c r="B12948" s="67"/>
      <c r="C12948" s="66"/>
      <c r="D12948" s="68"/>
      <c r="E12948" s="10"/>
      <c r="F12948" s="69"/>
      <c r="G12948" s="68"/>
      <c r="H12948" s="70"/>
      <c r="BA12948" s="4"/>
      <c r="BB12948" s="4"/>
    </row>
    <row r="12949" spans="1:54" x14ac:dyDescent="0.3">
      <c r="A12949" s="66"/>
      <c r="B12949" s="67"/>
      <c r="C12949" s="66"/>
      <c r="D12949" s="68"/>
      <c r="E12949" s="10"/>
      <c r="F12949" s="69"/>
      <c r="G12949" s="68"/>
      <c r="H12949" s="70"/>
      <c r="BA12949" s="4"/>
      <c r="BB12949" s="4"/>
    </row>
    <row r="12950" spans="1:54" x14ac:dyDescent="0.3">
      <c r="A12950" s="66"/>
      <c r="B12950" s="67"/>
      <c r="C12950" s="66"/>
      <c r="D12950" s="68"/>
      <c r="E12950" s="10"/>
      <c r="F12950" s="69"/>
      <c r="G12950" s="68"/>
      <c r="H12950" s="70"/>
      <c r="BA12950" s="4"/>
      <c r="BB12950" s="4"/>
    </row>
    <row r="12951" spans="1:54" x14ac:dyDescent="0.3">
      <c r="A12951" s="66"/>
      <c r="B12951" s="67"/>
      <c r="C12951" s="66"/>
      <c r="D12951" s="68"/>
      <c r="E12951" s="10"/>
      <c r="F12951" s="69"/>
      <c r="G12951" s="68"/>
      <c r="H12951" s="70"/>
      <c r="BA12951" s="4"/>
      <c r="BB12951" s="4"/>
    </row>
    <row r="12952" spans="1:54" x14ac:dyDescent="0.3">
      <c r="A12952" s="66"/>
      <c r="B12952" s="67"/>
      <c r="C12952" s="66"/>
      <c r="D12952" s="68"/>
      <c r="E12952" s="10"/>
      <c r="F12952" s="69"/>
      <c r="G12952" s="68"/>
      <c r="H12952" s="70"/>
      <c r="BA12952" s="4"/>
      <c r="BB12952" s="4"/>
    </row>
    <row r="12953" spans="1:54" x14ac:dyDescent="0.3">
      <c r="A12953" s="66"/>
      <c r="B12953" s="67"/>
      <c r="C12953" s="66"/>
      <c r="D12953" s="68"/>
      <c r="E12953" s="10"/>
      <c r="F12953" s="69"/>
      <c r="G12953" s="68"/>
      <c r="H12953" s="70"/>
      <c r="BA12953" s="4"/>
      <c r="BB12953" s="4"/>
    </row>
    <row r="12954" spans="1:54" x14ac:dyDescent="0.3">
      <c r="A12954" s="66"/>
      <c r="B12954" s="67"/>
      <c r="C12954" s="66"/>
      <c r="D12954" s="68"/>
      <c r="E12954" s="10"/>
      <c r="F12954" s="69"/>
      <c r="G12954" s="68"/>
      <c r="H12954" s="70"/>
      <c r="BA12954" s="4"/>
      <c r="BB12954" s="4"/>
    </row>
    <row r="12955" spans="1:54" x14ac:dyDescent="0.3">
      <c r="A12955" s="66"/>
      <c r="B12955" s="67"/>
      <c r="C12955" s="66"/>
      <c r="D12955" s="68"/>
      <c r="E12955" s="10"/>
      <c r="F12955" s="69"/>
      <c r="G12955" s="68"/>
      <c r="H12955" s="70"/>
      <c r="BA12955" s="4"/>
      <c r="BB12955" s="4"/>
    </row>
    <row r="12956" spans="1:54" x14ac:dyDescent="0.3">
      <c r="A12956" s="66"/>
      <c r="B12956" s="67"/>
      <c r="C12956" s="66"/>
      <c r="D12956" s="68"/>
      <c r="E12956" s="10"/>
      <c r="F12956" s="69"/>
      <c r="G12956" s="68"/>
      <c r="H12956" s="70"/>
      <c r="BA12956" s="4"/>
      <c r="BB12956" s="4"/>
    </row>
    <row r="12957" spans="1:54" x14ac:dyDescent="0.3">
      <c r="A12957" s="66"/>
      <c r="B12957" s="67"/>
      <c r="C12957" s="66"/>
      <c r="D12957" s="68"/>
      <c r="E12957" s="10"/>
      <c r="F12957" s="69"/>
      <c r="G12957" s="68"/>
      <c r="H12957" s="70"/>
      <c r="BA12957" s="4"/>
      <c r="BB12957" s="4"/>
    </row>
    <row r="12958" spans="1:54" x14ac:dyDescent="0.3">
      <c r="A12958" s="66"/>
      <c r="B12958" s="67"/>
      <c r="C12958" s="66"/>
      <c r="D12958" s="68"/>
      <c r="E12958" s="10"/>
      <c r="F12958" s="69"/>
      <c r="G12958" s="68"/>
      <c r="H12958" s="70"/>
      <c r="BA12958" s="4"/>
      <c r="BB12958" s="4"/>
    </row>
    <row r="12959" spans="1:54" x14ac:dyDescent="0.3">
      <c r="A12959" s="66"/>
      <c r="B12959" s="67"/>
      <c r="C12959" s="66"/>
      <c r="D12959" s="68"/>
      <c r="E12959" s="10"/>
      <c r="F12959" s="69"/>
      <c r="G12959" s="68"/>
      <c r="H12959" s="70"/>
      <c r="BA12959" s="4"/>
      <c r="BB12959" s="4"/>
    </row>
    <row r="12960" spans="1:54" x14ac:dyDescent="0.3">
      <c r="A12960" s="66"/>
      <c r="B12960" s="67"/>
      <c r="C12960" s="66"/>
      <c r="D12960" s="68"/>
      <c r="E12960" s="10"/>
      <c r="F12960" s="69"/>
      <c r="G12960" s="68"/>
      <c r="H12960" s="70"/>
      <c r="BA12960" s="4"/>
      <c r="BB12960" s="4"/>
    </row>
    <row r="12961" spans="1:54" x14ac:dyDescent="0.3">
      <c r="A12961" s="66"/>
      <c r="B12961" s="67"/>
      <c r="C12961" s="66"/>
      <c r="D12961" s="68"/>
      <c r="E12961" s="10"/>
      <c r="F12961" s="69"/>
      <c r="G12961" s="68"/>
      <c r="H12961" s="70"/>
      <c r="BA12961" s="4"/>
      <c r="BB12961" s="4"/>
    </row>
    <row r="12962" spans="1:54" x14ac:dyDescent="0.3">
      <c r="A12962" s="66"/>
      <c r="B12962" s="67"/>
      <c r="C12962" s="66"/>
      <c r="D12962" s="68"/>
      <c r="E12962" s="10"/>
      <c r="F12962" s="69"/>
      <c r="G12962" s="68"/>
      <c r="H12962" s="70"/>
      <c r="BA12962" s="4"/>
      <c r="BB12962" s="4"/>
    </row>
    <row r="12963" spans="1:54" x14ac:dyDescent="0.3">
      <c r="A12963" s="66"/>
      <c r="B12963" s="67"/>
      <c r="C12963" s="66"/>
      <c r="D12963" s="68"/>
      <c r="E12963" s="10"/>
      <c r="F12963" s="69"/>
      <c r="G12963" s="68"/>
      <c r="H12963" s="70"/>
      <c r="BA12963" s="4"/>
      <c r="BB12963" s="4"/>
    </row>
    <row r="12964" spans="1:54" x14ac:dyDescent="0.3">
      <c r="A12964" s="66"/>
      <c r="B12964" s="67"/>
      <c r="C12964" s="66"/>
      <c r="D12964" s="68"/>
      <c r="E12964" s="10"/>
      <c r="F12964" s="69"/>
      <c r="G12964" s="68"/>
      <c r="H12964" s="70"/>
      <c r="BA12964" s="4"/>
      <c r="BB12964" s="4"/>
    </row>
    <row r="12965" spans="1:54" x14ac:dyDescent="0.3">
      <c r="A12965" s="66"/>
      <c r="B12965" s="67"/>
      <c r="C12965" s="66"/>
      <c r="D12965" s="68"/>
      <c r="E12965" s="10"/>
      <c r="F12965" s="69"/>
      <c r="G12965" s="68"/>
      <c r="H12965" s="70"/>
      <c r="BA12965" s="4"/>
      <c r="BB12965" s="4"/>
    </row>
    <row r="12966" spans="1:54" x14ac:dyDescent="0.3">
      <c r="A12966" s="66"/>
      <c r="B12966" s="67"/>
      <c r="C12966" s="66"/>
      <c r="D12966" s="68"/>
      <c r="E12966" s="10"/>
      <c r="F12966" s="69"/>
      <c r="G12966" s="68"/>
      <c r="H12966" s="70"/>
      <c r="BA12966" s="4"/>
      <c r="BB12966" s="4"/>
    </row>
    <row r="12967" spans="1:54" x14ac:dyDescent="0.3">
      <c r="A12967" s="66"/>
      <c r="B12967" s="67"/>
      <c r="C12967" s="66"/>
      <c r="D12967" s="68"/>
      <c r="E12967" s="10"/>
      <c r="F12967" s="69"/>
      <c r="G12967" s="68"/>
      <c r="H12967" s="70"/>
      <c r="BA12967" s="4"/>
      <c r="BB12967" s="4"/>
    </row>
    <row r="12968" spans="1:54" x14ac:dyDescent="0.3">
      <c r="A12968" s="66"/>
      <c r="B12968" s="67"/>
      <c r="C12968" s="66"/>
      <c r="D12968" s="68"/>
      <c r="E12968" s="10"/>
      <c r="F12968" s="69"/>
      <c r="G12968" s="68"/>
      <c r="H12968" s="70"/>
      <c r="BA12968" s="4"/>
      <c r="BB12968" s="4"/>
    </row>
    <row r="12969" spans="1:54" x14ac:dyDescent="0.3">
      <c r="A12969" s="66"/>
      <c r="B12969" s="67"/>
      <c r="C12969" s="66"/>
      <c r="D12969" s="68"/>
      <c r="E12969" s="10"/>
      <c r="F12969" s="69"/>
      <c r="G12969" s="68"/>
      <c r="H12969" s="70"/>
      <c r="BA12969" s="4"/>
      <c r="BB12969" s="4"/>
    </row>
    <row r="12970" spans="1:54" x14ac:dyDescent="0.3">
      <c r="A12970" s="66"/>
      <c r="B12970" s="67"/>
      <c r="C12970" s="66"/>
      <c r="D12970" s="68"/>
      <c r="E12970" s="10"/>
      <c r="F12970" s="69"/>
      <c r="G12970" s="68"/>
      <c r="H12970" s="70"/>
      <c r="BA12970" s="4"/>
      <c r="BB12970" s="4"/>
    </row>
    <row r="12971" spans="1:54" x14ac:dyDescent="0.3">
      <c r="A12971" s="66"/>
      <c r="B12971" s="67"/>
      <c r="C12971" s="66"/>
      <c r="D12971" s="68"/>
      <c r="E12971" s="10"/>
      <c r="F12971" s="69"/>
      <c r="G12971" s="68"/>
      <c r="H12971" s="70"/>
      <c r="BA12971" s="4"/>
      <c r="BB12971" s="4"/>
    </row>
    <row r="12972" spans="1:54" x14ac:dyDescent="0.3">
      <c r="A12972" s="66"/>
      <c r="B12972" s="67"/>
      <c r="C12972" s="66"/>
      <c r="D12972" s="68"/>
      <c r="E12972" s="10"/>
      <c r="F12972" s="69"/>
      <c r="G12972" s="68"/>
      <c r="H12972" s="70"/>
      <c r="BA12972" s="4"/>
      <c r="BB12972" s="4"/>
    </row>
    <row r="12973" spans="1:54" x14ac:dyDescent="0.3">
      <c r="A12973" s="66"/>
      <c r="B12973" s="67"/>
      <c r="C12973" s="66"/>
      <c r="D12973" s="68"/>
      <c r="E12973" s="10"/>
      <c r="F12973" s="69"/>
      <c r="G12973" s="68"/>
      <c r="H12973" s="70"/>
      <c r="BA12973" s="4"/>
      <c r="BB12973" s="4"/>
    </row>
    <row r="12974" spans="1:54" x14ac:dyDescent="0.3">
      <c r="A12974" s="66"/>
      <c r="B12974" s="67"/>
      <c r="C12974" s="66"/>
      <c r="D12974" s="68"/>
      <c r="E12974" s="10"/>
      <c r="F12974" s="69"/>
      <c r="G12974" s="68"/>
      <c r="H12974" s="70"/>
      <c r="BA12974" s="4"/>
      <c r="BB12974" s="4"/>
    </row>
    <row r="12975" spans="1:54" x14ac:dyDescent="0.3">
      <c r="A12975" s="66"/>
      <c r="B12975" s="67"/>
      <c r="C12975" s="66"/>
      <c r="D12975" s="68"/>
      <c r="E12975" s="10"/>
      <c r="F12975" s="69"/>
      <c r="G12975" s="68"/>
      <c r="H12975" s="70"/>
      <c r="BA12975" s="4"/>
      <c r="BB12975" s="4"/>
    </row>
    <row r="12976" spans="1:54" x14ac:dyDescent="0.3">
      <c r="A12976" s="66"/>
      <c r="B12976" s="67"/>
      <c r="C12976" s="66"/>
      <c r="D12976" s="68"/>
      <c r="E12976" s="10"/>
      <c r="F12976" s="69"/>
      <c r="G12976" s="68"/>
      <c r="H12976" s="70"/>
      <c r="BA12976" s="4"/>
      <c r="BB12976" s="4"/>
    </row>
    <row r="12977" spans="1:54" x14ac:dyDescent="0.3">
      <c r="A12977" s="66"/>
      <c r="B12977" s="67"/>
      <c r="C12977" s="66"/>
      <c r="D12977" s="68"/>
      <c r="E12977" s="10"/>
      <c r="F12977" s="69"/>
      <c r="G12977" s="68"/>
      <c r="H12977" s="70"/>
      <c r="BA12977" s="4"/>
      <c r="BB12977" s="4"/>
    </row>
    <row r="12978" spans="1:54" x14ac:dyDescent="0.3">
      <c r="A12978" s="66"/>
      <c r="B12978" s="67"/>
      <c r="C12978" s="66"/>
      <c r="D12978" s="68"/>
      <c r="E12978" s="10"/>
      <c r="F12978" s="69"/>
      <c r="G12978" s="68"/>
      <c r="H12978" s="70"/>
      <c r="BA12978" s="4"/>
      <c r="BB12978" s="4"/>
    </row>
    <row r="12979" spans="1:54" x14ac:dyDescent="0.3">
      <c r="A12979" s="66"/>
      <c r="B12979" s="67"/>
      <c r="C12979" s="66"/>
      <c r="D12979" s="68"/>
      <c r="E12979" s="10"/>
      <c r="F12979" s="69"/>
      <c r="G12979" s="68"/>
      <c r="H12979" s="70"/>
      <c r="BA12979" s="4"/>
      <c r="BB12979" s="4"/>
    </row>
    <row r="12980" spans="1:54" x14ac:dyDescent="0.3">
      <c r="A12980" s="66"/>
      <c r="B12980" s="67"/>
      <c r="C12980" s="66"/>
      <c r="D12980" s="68"/>
      <c r="E12980" s="10"/>
      <c r="F12980" s="69"/>
      <c r="G12980" s="68"/>
      <c r="H12980" s="70"/>
      <c r="BA12980" s="4"/>
      <c r="BB12980" s="4"/>
    </row>
    <row r="12981" spans="1:54" x14ac:dyDescent="0.3">
      <c r="A12981" s="66"/>
      <c r="B12981" s="67"/>
      <c r="C12981" s="66"/>
      <c r="D12981" s="68"/>
      <c r="E12981" s="10"/>
      <c r="F12981" s="69"/>
      <c r="G12981" s="68"/>
      <c r="H12981" s="70"/>
      <c r="BA12981" s="4"/>
      <c r="BB12981" s="4"/>
    </row>
    <row r="12982" spans="1:54" x14ac:dyDescent="0.3">
      <c r="A12982" s="66"/>
      <c r="B12982" s="67"/>
      <c r="C12982" s="66"/>
      <c r="D12982" s="68"/>
      <c r="E12982" s="10"/>
      <c r="F12982" s="69"/>
      <c r="G12982" s="68"/>
      <c r="H12982" s="70"/>
      <c r="BA12982" s="4"/>
      <c r="BB12982" s="4"/>
    </row>
    <row r="12983" spans="1:54" x14ac:dyDescent="0.3">
      <c r="A12983" s="66"/>
      <c r="B12983" s="67"/>
      <c r="C12983" s="66"/>
      <c r="D12983" s="68"/>
      <c r="E12983" s="10"/>
      <c r="F12983" s="69"/>
      <c r="G12983" s="68"/>
      <c r="H12983" s="70"/>
      <c r="BA12983" s="4"/>
      <c r="BB12983" s="4"/>
    </row>
    <row r="12984" spans="1:54" x14ac:dyDescent="0.3">
      <c r="A12984" s="66"/>
      <c r="B12984" s="67"/>
      <c r="C12984" s="66"/>
      <c r="D12984" s="68"/>
      <c r="E12984" s="10"/>
      <c r="F12984" s="69"/>
      <c r="G12984" s="68"/>
      <c r="H12984" s="70"/>
      <c r="BA12984" s="4"/>
      <c r="BB12984" s="4"/>
    </row>
    <row r="12985" spans="1:54" x14ac:dyDescent="0.3">
      <c r="A12985" s="66"/>
      <c r="B12985" s="67"/>
      <c r="C12985" s="66"/>
      <c r="D12985" s="68"/>
      <c r="E12985" s="10"/>
      <c r="F12985" s="69"/>
      <c r="G12985" s="68"/>
      <c r="H12985" s="70"/>
      <c r="BA12985" s="4"/>
      <c r="BB12985" s="4"/>
    </row>
    <row r="12986" spans="1:54" x14ac:dyDescent="0.3">
      <c r="A12986" s="66"/>
      <c r="B12986" s="67"/>
      <c r="C12986" s="66"/>
      <c r="D12986" s="68"/>
      <c r="E12986" s="10"/>
      <c r="F12986" s="69"/>
      <c r="G12986" s="68"/>
      <c r="H12986" s="70"/>
      <c r="BA12986" s="4"/>
      <c r="BB12986" s="4"/>
    </row>
    <row r="12987" spans="1:54" x14ac:dyDescent="0.3">
      <c r="A12987" s="66"/>
      <c r="B12987" s="67"/>
      <c r="C12987" s="66"/>
      <c r="D12987" s="68"/>
      <c r="E12987" s="10"/>
      <c r="F12987" s="69"/>
      <c r="G12987" s="68"/>
      <c r="H12987" s="70"/>
      <c r="BA12987" s="4"/>
      <c r="BB12987" s="4"/>
    </row>
    <row r="12988" spans="1:54" x14ac:dyDescent="0.3">
      <c r="A12988" s="66"/>
      <c r="B12988" s="67"/>
      <c r="C12988" s="66"/>
      <c r="D12988" s="68"/>
      <c r="E12988" s="10"/>
      <c r="F12988" s="69"/>
      <c r="G12988" s="68"/>
      <c r="H12988" s="70"/>
      <c r="BA12988" s="4"/>
      <c r="BB12988" s="4"/>
    </row>
    <row r="12989" spans="1:54" x14ac:dyDescent="0.3">
      <c r="A12989" s="66"/>
      <c r="B12989" s="67"/>
      <c r="C12989" s="66"/>
      <c r="D12989" s="68"/>
      <c r="E12989" s="10"/>
      <c r="F12989" s="69"/>
      <c r="G12989" s="68"/>
      <c r="H12989" s="70"/>
      <c r="BA12989" s="4"/>
      <c r="BB12989" s="4"/>
    </row>
    <row r="12990" spans="1:54" x14ac:dyDescent="0.3">
      <c r="A12990" s="66"/>
      <c r="B12990" s="67"/>
      <c r="C12990" s="66"/>
      <c r="D12990" s="68"/>
      <c r="E12990" s="10"/>
      <c r="F12990" s="69"/>
      <c r="G12990" s="68"/>
      <c r="H12990" s="70"/>
      <c r="BA12990" s="4"/>
      <c r="BB12990" s="4"/>
    </row>
    <row r="12991" spans="1:54" x14ac:dyDescent="0.3">
      <c r="A12991" s="66"/>
      <c r="B12991" s="67"/>
      <c r="C12991" s="66"/>
      <c r="D12991" s="68"/>
      <c r="E12991" s="10"/>
      <c r="F12991" s="69"/>
      <c r="G12991" s="68"/>
      <c r="H12991" s="70"/>
      <c r="BA12991" s="4"/>
      <c r="BB12991" s="4"/>
    </row>
    <row r="12992" spans="1:54" x14ac:dyDescent="0.3">
      <c r="A12992" s="66"/>
      <c r="B12992" s="67"/>
      <c r="C12992" s="66"/>
      <c r="D12992" s="68"/>
      <c r="E12992" s="10"/>
      <c r="F12992" s="69"/>
      <c r="G12992" s="68"/>
      <c r="H12992" s="70"/>
      <c r="BA12992" s="4"/>
      <c r="BB12992" s="4"/>
    </row>
    <row r="12993" spans="1:54" x14ac:dyDescent="0.3">
      <c r="A12993" s="66"/>
      <c r="B12993" s="67"/>
      <c r="C12993" s="66"/>
      <c r="D12993" s="68"/>
      <c r="E12993" s="10"/>
      <c r="F12993" s="69"/>
      <c r="G12993" s="68"/>
      <c r="H12993" s="70"/>
      <c r="BA12993" s="4"/>
      <c r="BB12993" s="4"/>
    </row>
    <row r="12994" spans="1:54" x14ac:dyDescent="0.3">
      <c r="A12994" s="66"/>
      <c r="B12994" s="67"/>
      <c r="C12994" s="66"/>
      <c r="D12994" s="68"/>
      <c r="E12994" s="10"/>
      <c r="F12994" s="69"/>
      <c r="G12994" s="68"/>
      <c r="H12994" s="70"/>
      <c r="BA12994" s="4"/>
      <c r="BB12994" s="4"/>
    </row>
    <row r="12995" spans="1:54" x14ac:dyDescent="0.3">
      <c r="A12995" s="66"/>
      <c r="B12995" s="67"/>
      <c r="C12995" s="66"/>
      <c r="D12995" s="68"/>
      <c r="E12995" s="10"/>
      <c r="F12995" s="69"/>
      <c r="G12995" s="68"/>
      <c r="H12995" s="70"/>
      <c r="BA12995" s="4"/>
      <c r="BB12995" s="4"/>
    </row>
    <row r="12996" spans="1:54" x14ac:dyDescent="0.3">
      <c r="A12996" s="66"/>
      <c r="B12996" s="67"/>
      <c r="C12996" s="66"/>
      <c r="D12996" s="68"/>
      <c r="E12996" s="10"/>
      <c r="F12996" s="69"/>
      <c r="G12996" s="68"/>
      <c r="H12996" s="70"/>
      <c r="BA12996" s="4"/>
      <c r="BB12996" s="4"/>
    </row>
    <row r="12997" spans="1:54" x14ac:dyDescent="0.3">
      <c r="A12997" s="66"/>
      <c r="B12997" s="67"/>
      <c r="C12997" s="66"/>
      <c r="D12997" s="68"/>
      <c r="E12997" s="10"/>
      <c r="F12997" s="69"/>
      <c r="G12997" s="68"/>
      <c r="H12997" s="70"/>
      <c r="BA12997" s="4"/>
      <c r="BB12997" s="4"/>
    </row>
    <row r="12998" spans="1:54" x14ac:dyDescent="0.3">
      <c r="A12998" s="66"/>
      <c r="B12998" s="67"/>
      <c r="C12998" s="66"/>
      <c r="D12998" s="68"/>
      <c r="E12998" s="10"/>
      <c r="F12998" s="69"/>
      <c r="G12998" s="68"/>
      <c r="H12998" s="70"/>
      <c r="BA12998" s="4"/>
      <c r="BB12998" s="4"/>
    </row>
    <row r="12999" spans="1:54" x14ac:dyDescent="0.3">
      <c r="A12999" s="66"/>
      <c r="B12999" s="67"/>
      <c r="C12999" s="66"/>
      <c r="D12999" s="68"/>
      <c r="E12999" s="10"/>
      <c r="F12999" s="69"/>
      <c r="G12999" s="68"/>
      <c r="H12999" s="70"/>
      <c r="BA12999" s="4"/>
      <c r="BB12999" s="4"/>
    </row>
    <row r="13000" spans="1:54" x14ac:dyDescent="0.3">
      <c r="A13000" s="66"/>
      <c r="B13000" s="67"/>
      <c r="C13000" s="66"/>
      <c r="D13000" s="68"/>
      <c r="E13000" s="10"/>
      <c r="F13000" s="69"/>
      <c r="G13000" s="68"/>
      <c r="H13000" s="70"/>
      <c r="BA13000" s="4"/>
      <c r="BB13000" s="4"/>
    </row>
    <row r="13001" spans="1:54" x14ac:dyDescent="0.3">
      <c r="A13001" s="66"/>
      <c r="B13001" s="67"/>
      <c r="C13001" s="66"/>
      <c r="D13001" s="68"/>
      <c r="E13001" s="10"/>
      <c r="F13001" s="69"/>
      <c r="G13001" s="68"/>
      <c r="H13001" s="70"/>
      <c r="BA13001" s="4"/>
      <c r="BB13001" s="4"/>
    </row>
    <row r="13002" spans="1:54" x14ac:dyDescent="0.3">
      <c r="A13002" s="66"/>
      <c r="B13002" s="67"/>
      <c r="C13002" s="66"/>
      <c r="D13002" s="68"/>
      <c r="E13002" s="10"/>
      <c r="F13002" s="69"/>
      <c r="G13002" s="68"/>
      <c r="H13002" s="70"/>
      <c r="BA13002" s="4"/>
      <c r="BB13002" s="4"/>
    </row>
    <row r="13003" spans="1:54" x14ac:dyDescent="0.3">
      <c r="A13003" s="66"/>
      <c r="B13003" s="67"/>
      <c r="C13003" s="66"/>
      <c r="D13003" s="68"/>
      <c r="E13003" s="10"/>
      <c r="F13003" s="69"/>
      <c r="G13003" s="68"/>
      <c r="H13003" s="70"/>
      <c r="BA13003" s="4"/>
      <c r="BB13003" s="4"/>
    </row>
    <row r="13004" spans="1:54" x14ac:dyDescent="0.3">
      <c r="A13004" s="66"/>
      <c r="B13004" s="67"/>
      <c r="C13004" s="66"/>
      <c r="D13004" s="68"/>
      <c r="E13004" s="10"/>
      <c r="F13004" s="69"/>
      <c r="G13004" s="68"/>
      <c r="H13004" s="70"/>
      <c r="BA13004" s="4"/>
      <c r="BB13004" s="4"/>
    </row>
    <row r="13005" spans="1:54" x14ac:dyDescent="0.3">
      <c r="A13005" s="66"/>
      <c r="B13005" s="67"/>
      <c r="C13005" s="66"/>
      <c r="D13005" s="68"/>
      <c r="E13005" s="10"/>
      <c r="F13005" s="69"/>
      <c r="G13005" s="68"/>
      <c r="H13005" s="70"/>
      <c r="BA13005" s="4"/>
      <c r="BB13005" s="4"/>
    </row>
    <row r="13006" spans="1:54" x14ac:dyDescent="0.3">
      <c r="A13006" s="66"/>
      <c r="B13006" s="67"/>
      <c r="C13006" s="66"/>
      <c r="D13006" s="68"/>
      <c r="E13006" s="10"/>
      <c r="F13006" s="69"/>
      <c r="G13006" s="68"/>
      <c r="H13006" s="70"/>
      <c r="BA13006" s="4"/>
      <c r="BB13006" s="4"/>
    </row>
    <row r="13007" spans="1:54" x14ac:dyDescent="0.3">
      <c r="A13007" s="66"/>
      <c r="B13007" s="67"/>
      <c r="C13007" s="66"/>
      <c r="D13007" s="68"/>
      <c r="E13007" s="10"/>
      <c r="F13007" s="69"/>
      <c r="G13007" s="68"/>
      <c r="H13007" s="70"/>
      <c r="BA13007" s="4"/>
      <c r="BB13007" s="4"/>
    </row>
    <row r="13008" spans="1:54" x14ac:dyDescent="0.3">
      <c r="A13008" s="66"/>
      <c r="B13008" s="67"/>
      <c r="C13008" s="66"/>
      <c r="D13008" s="68"/>
      <c r="E13008" s="10"/>
      <c r="F13008" s="69"/>
      <c r="G13008" s="68"/>
      <c r="H13008" s="70"/>
      <c r="BA13008" s="4"/>
      <c r="BB13008" s="4"/>
    </row>
    <row r="13009" spans="1:54" x14ac:dyDescent="0.3">
      <c r="A13009" s="66"/>
      <c r="B13009" s="67"/>
      <c r="C13009" s="66"/>
      <c r="D13009" s="68"/>
      <c r="E13009" s="10"/>
      <c r="F13009" s="69"/>
      <c r="G13009" s="68"/>
      <c r="H13009" s="70"/>
      <c r="BA13009" s="4"/>
      <c r="BB13009" s="4"/>
    </row>
    <row r="13010" spans="1:54" x14ac:dyDescent="0.3">
      <c r="A13010" s="66"/>
      <c r="B13010" s="67"/>
      <c r="C13010" s="66"/>
      <c r="D13010" s="68"/>
      <c r="E13010" s="10"/>
      <c r="F13010" s="69"/>
      <c r="G13010" s="68"/>
      <c r="H13010" s="70"/>
      <c r="BA13010" s="4"/>
      <c r="BB13010" s="4"/>
    </row>
    <row r="13011" spans="1:54" x14ac:dyDescent="0.3">
      <c r="A13011" s="66"/>
      <c r="B13011" s="67"/>
      <c r="C13011" s="66"/>
      <c r="D13011" s="68"/>
      <c r="E13011" s="10"/>
      <c r="F13011" s="69"/>
      <c r="G13011" s="68"/>
      <c r="H13011" s="70"/>
      <c r="BA13011" s="4"/>
      <c r="BB13011" s="4"/>
    </row>
    <row r="13012" spans="1:54" x14ac:dyDescent="0.3">
      <c r="A13012" s="66"/>
      <c r="B13012" s="67"/>
      <c r="C13012" s="66"/>
      <c r="D13012" s="68"/>
      <c r="E13012" s="10"/>
      <c r="F13012" s="69"/>
      <c r="G13012" s="68"/>
      <c r="H13012" s="70"/>
      <c r="BA13012" s="4"/>
      <c r="BB13012" s="4"/>
    </row>
    <row r="13013" spans="1:54" x14ac:dyDescent="0.3">
      <c r="A13013" s="66"/>
      <c r="B13013" s="67"/>
      <c r="C13013" s="66"/>
      <c r="D13013" s="68"/>
      <c r="E13013" s="10"/>
      <c r="F13013" s="69"/>
      <c r="G13013" s="68"/>
      <c r="H13013" s="70"/>
      <c r="BA13013" s="4"/>
      <c r="BB13013" s="4"/>
    </row>
    <row r="13014" spans="1:54" x14ac:dyDescent="0.3">
      <c r="A13014" s="66"/>
      <c r="B13014" s="67"/>
      <c r="C13014" s="66"/>
      <c r="D13014" s="68"/>
      <c r="E13014" s="10"/>
      <c r="F13014" s="69"/>
      <c r="G13014" s="68"/>
      <c r="H13014" s="70"/>
      <c r="BA13014" s="4"/>
      <c r="BB13014" s="4"/>
    </row>
    <row r="13015" spans="1:54" x14ac:dyDescent="0.3">
      <c r="A13015" s="66"/>
      <c r="B13015" s="67"/>
      <c r="C13015" s="66"/>
      <c r="D13015" s="68"/>
      <c r="E13015" s="10"/>
      <c r="F13015" s="69"/>
      <c r="G13015" s="68"/>
      <c r="H13015" s="70"/>
      <c r="BA13015" s="4"/>
      <c r="BB13015" s="4"/>
    </row>
    <row r="13016" spans="1:54" x14ac:dyDescent="0.3">
      <c r="A13016" s="66"/>
      <c r="B13016" s="67"/>
      <c r="C13016" s="66"/>
      <c r="D13016" s="68"/>
      <c r="E13016" s="10"/>
      <c r="F13016" s="69"/>
      <c r="G13016" s="68"/>
      <c r="H13016" s="70"/>
      <c r="BA13016" s="4"/>
      <c r="BB13016" s="4"/>
    </row>
    <row r="13017" spans="1:54" x14ac:dyDescent="0.3">
      <c r="A13017" s="66"/>
      <c r="B13017" s="67"/>
      <c r="C13017" s="66"/>
      <c r="D13017" s="68"/>
      <c r="E13017" s="10"/>
      <c r="F13017" s="69"/>
      <c r="G13017" s="68"/>
      <c r="H13017" s="70"/>
      <c r="BA13017" s="4"/>
      <c r="BB13017" s="4"/>
    </row>
    <row r="13018" spans="1:54" x14ac:dyDescent="0.3">
      <c r="A13018" s="66"/>
      <c r="B13018" s="67"/>
      <c r="C13018" s="66"/>
      <c r="D13018" s="68"/>
      <c r="E13018" s="10"/>
      <c r="F13018" s="69"/>
      <c r="G13018" s="68"/>
      <c r="H13018" s="70"/>
      <c r="BA13018" s="4"/>
      <c r="BB13018" s="4"/>
    </row>
    <row r="13019" spans="1:54" x14ac:dyDescent="0.3">
      <c r="A13019" s="66"/>
      <c r="B13019" s="67"/>
      <c r="C13019" s="66"/>
      <c r="D13019" s="68"/>
      <c r="E13019" s="10"/>
      <c r="F13019" s="69"/>
      <c r="G13019" s="68"/>
      <c r="H13019" s="70"/>
      <c r="BA13019" s="4"/>
      <c r="BB13019" s="4"/>
    </row>
    <row r="13020" spans="1:54" x14ac:dyDescent="0.3">
      <c r="A13020" s="66"/>
      <c r="B13020" s="67"/>
      <c r="C13020" s="66"/>
      <c r="D13020" s="68"/>
      <c r="E13020" s="10"/>
      <c r="F13020" s="69"/>
      <c r="G13020" s="68"/>
      <c r="H13020" s="70"/>
      <c r="BA13020" s="4"/>
      <c r="BB13020" s="4"/>
    </row>
    <row r="13021" spans="1:54" x14ac:dyDescent="0.3">
      <c r="A13021" s="66"/>
      <c r="B13021" s="67"/>
      <c r="C13021" s="66"/>
      <c r="D13021" s="68"/>
      <c r="E13021" s="10"/>
      <c r="F13021" s="69"/>
      <c r="G13021" s="68"/>
      <c r="H13021" s="70"/>
      <c r="BA13021" s="4"/>
      <c r="BB13021" s="4"/>
    </row>
    <row r="13022" spans="1:54" x14ac:dyDescent="0.3">
      <c r="A13022" s="66"/>
      <c r="B13022" s="67"/>
      <c r="C13022" s="66"/>
      <c r="D13022" s="68"/>
      <c r="E13022" s="10"/>
      <c r="F13022" s="69"/>
      <c r="G13022" s="68"/>
      <c r="H13022" s="70"/>
      <c r="BA13022" s="4"/>
      <c r="BB13022" s="4"/>
    </row>
    <row r="13023" spans="1:54" x14ac:dyDescent="0.3">
      <c r="A13023" s="66"/>
      <c r="B13023" s="67"/>
      <c r="C13023" s="66"/>
      <c r="D13023" s="68"/>
      <c r="E13023" s="10"/>
      <c r="F13023" s="69"/>
      <c r="G13023" s="68"/>
      <c r="H13023" s="70"/>
      <c r="BA13023" s="4"/>
      <c r="BB13023" s="4"/>
    </row>
    <row r="13024" spans="1:54" x14ac:dyDescent="0.3">
      <c r="A13024" s="66"/>
      <c r="B13024" s="67"/>
      <c r="C13024" s="66"/>
      <c r="D13024" s="68"/>
      <c r="E13024" s="10"/>
      <c r="F13024" s="69"/>
      <c r="G13024" s="68"/>
      <c r="H13024" s="70"/>
      <c r="BA13024" s="4"/>
      <c r="BB13024" s="4"/>
    </row>
    <row r="13025" spans="1:54" x14ac:dyDescent="0.3">
      <c r="A13025" s="66"/>
      <c r="B13025" s="67"/>
      <c r="C13025" s="66"/>
      <c r="D13025" s="68"/>
      <c r="E13025" s="10"/>
      <c r="F13025" s="69"/>
      <c r="G13025" s="68"/>
      <c r="H13025" s="70"/>
      <c r="BA13025" s="4"/>
      <c r="BB13025" s="4"/>
    </row>
    <row r="13026" spans="1:54" x14ac:dyDescent="0.3">
      <c r="A13026" s="66"/>
      <c r="B13026" s="67"/>
      <c r="C13026" s="66"/>
      <c r="D13026" s="68"/>
      <c r="E13026" s="10"/>
      <c r="F13026" s="69"/>
      <c r="G13026" s="68"/>
      <c r="H13026" s="70"/>
      <c r="BA13026" s="4"/>
      <c r="BB13026" s="4"/>
    </row>
    <row r="13027" spans="1:54" x14ac:dyDescent="0.3">
      <c r="A13027" s="66"/>
      <c r="B13027" s="67"/>
      <c r="C13027" s="66"/>
      <c r="D13027" s="68"/>
      <c r="E13027" s="10"/>
      <c r="F13027" s="69"/>
      <c r="G13027" s="68"/>
      <c r="H13027" s="70"/>
      <c r="BA13027" s="4"/>
      <c r="BB13027" s="4"/>
    </row>
    <row r="13028" spans="1:54" x14ac:dyDescent="0.3">
      <c r="A13028" s="66"/>
      <c r="B13028" s="67"/>
      <c r="C13028" s="66"/>
      <c r="D13028" s="68"/>
      <c r="E13028" s="10"/>
      <c r="F13028" s="69"/>
      <c r="G13028" s="68"/>
      <c r="H13028" s="70"/>
      <c r="BA13028" s="4"/>
      <c r="BB13028" s="4"/>
    </row>
    <row r="13029" spans="1:54" x14ac:dyDescent="0.3">
      <c r="A13029" s="66"/>
      <c r="B13029" s="67"/>
      <c r="C13029" s="66"/>
      <c r="D13029" s="68"/>
      <c r="E13029" s="10"/>
      <c r="F13029" s="69"/>
      <c r="G13029" s="68"/>
      <c r="H13029" s="70"/>
      <c r="BA13029" s="4"/>
      <c r="BB13029" s="4"/>
    </row>
    <row r="13030" spans="1:54" x14ac:dyDescent="0.3">
      <c r="A13030" s="66"/>
      <c r="B13030" s="67"/>
      <c r="C13030" s="66"/>
      <c r="D13030" s="68"/>
      <c r="E13030" s="10"/>
      <c r="F13030" s="69"/>
      <c r="G13030" s="68"/>
      <c r="H13030" s="70"/>
      <c r="BA13030" s="4"/>
      <c r="BB13030" s="4"/>
    </row>
    <row r="13031" spans="1:54" x14ac:dyDescent="0.3">
      <c r="A13031" s="66"/>
      <c r="B13031" s="67"/>
      <c r="C13031" s="66"/>
      <c r="D13031" s="68"/>
      <c r="E13031" s="10"/>
      <c r="F13031" s="69"/>
      <c r="G13031" s="68"/>
      <c r="H13031" s="70"/>
      <c r="BA13031" s="4"/>
      <c r="BB13031" s="4"/>
    </row>
    <row r="13032" spans="1:54" x14ac:dyDescent="0.3">
      <c r="A13032" s="66"/>
      <c r="B13032" s="67"/>
      <c r="C13032" s="66"/>
      <c r="D13032" s="68"/>
      <c r="E13032" s="10"/>
      <c r="F13032" s="69"/>
      <c r="G13032" s="68"/>
      <c r="H13032" s="70"/>
      <c r="BA13032" s="4"/>
      <c r="BB13032" s="4"/>
    </row>
    <row r="13033" spans="1:54" x14ac:dyDescent="0.3">
      <c r="A13033" s="66"/>
      <c r="B13033" s="67"/>
      <c r="C13033" s="66"/>
      <c r="D13033" s="68"/>
      <c r="E13033" s="10"/>
      <c r="F13033" s="69"/>
      <c r="G13033" s="68"/>
      <c r="H13033" s="70"/>
      <c r="BA13033" s="4"/>
      <c r="BB13033" s="4"/>
    </row>
    <row r="13034" spans="1:54" x14ac:dyDescent="0.3">
      <c r="A13034" s="66"/>
      <c r="B13034" s="67"/>
      <c r="C13034" s="66"/>
      <c r="D13034" s="68"/>
      <c r="E13034" s="10"/>
      <c r="F13034" s="69"/>
      <c r="G13034" s="68"/>
      <c r="H13034" s="70"/>
      <c r="BA13034" s="4"/>
      <c r="BB13034" s="4"/>
    </row>
    <row r="13035" spans="1:54" x14ac:dyDescent="0.3">
      <c r="A13035" s="66"/>
      <c r="B13035" s="67"/>
      <c r="C13035" s="66"/>
      <c r="D13035" s="68"/>
      <c r="E13035" s="10"/>
      <c r="F13035" s="69"/>
      <c r="G13035" s="68"/>
      <c r="H13035" s="70"/>
      <c r="BA13035" s="4"/>
      <c r="BB13035" s="4"/>
    </row>
    <row r="13036" spans="1:54" x14ac:dyDescent="0.3">
      <c r="A13036" s="66"/>
      <c r="B13036" s="67"/>
      <c r="C13036" s="66"/>
      <c r="D13036" s="68"/>
      <c r="E13036" s="10"/>
      <c r="F13036" s="69"/>
      <c r="G13036" s="68"/>
      <c r="H13036" s="70"/>
      <c r="BA13036" s="4"/>
      <c r="BB13036" s="4"/>
    </row>
    <row r="13037" spans="1:54" x14ac:dyDescent="0.3">
      <c r="A13037" s="66"/>
      <c r="B13037" s="67"/>
      <c r="C13037" s="66"/>
      <c r="D13037" s="68"/>
      <c r="E13037" s="10"/>
      <c r="F13037" s="69"/>
      <c r="G13037" s="68"/>
      <c r="H13037" s="70"/>
      <c r="BA13037" s="4"/>
      <c r="BB13037" s="4"/>
    </row>
    <row r="13038" spans="1:54" x14ac:dyDescent="0.3">
      <c r="A13038" s="66"/>
      <c r="B13038" s="67"/>
      <c r="C13038" s="66"/>
      <c r="D13038" s="68"/>
      <c r="E13038" s="10"/>
      <c r="F13038" s="69"/>
      <c r="G13038" s="68"/>
      <c r="H13038" s="70"/>
      <c r="BA13038" s="4"/>
      <c r="BB13038" s="4"/>
    </row>
    <row r="13039" spans="1:54" x14ac:dyDescent="0.3">
      <c r="A13039" s="66"/>
      <c r="B13039" s="67"/>
      <c r="C13039" s="66"/>
      <c r="D13039" s="68"/>
      <c r="E13039" s="10"/>
      <c r="F13039" s="69"/>
      <c r="G13039" s="68"/>
      <c r="H13039" s="70"/>
      <c r="BA13039" s="4"/>
      <c r="BB13039" s="4"/>
    </row>
    <row r="13040" spans="1:54" x14ac:dyDescent="0.3">
      <c r="A13040" s="66"/>
      <c r="B13040" s="67"/>
      <c r="C13040" s="66"/>
      <c r="D13040" s="68"/>
      <c r="E13040" s="10"/>
      <c r="F13040" s="69"/>
      <c r="G13040" s="68"/>
      <c r="H13040" s="70"/>
      <c r="BA13040" s="4"/>
      <c r="BB13040" s="4"/>
    </row>
    <row r="13041" spans="1:54" x14ac:dyDescent="0.3">
      <c r="A13041" s="66"/>
      <c r="B13041" s="67"/>
      <c r="C13041" s="66"/>
      <c r="D13041" s="68"/>
      <c r="E13041" s="10"/>
      <c r="F13041" s="69"/>
      <c r="G13041" s="68"/>
      <c r="H13041" s="70"/>
      <c r="BA13041" s="4"/>
      <c r="BB13041" s="4"/>
    </row>
    <row r="13042" spans="1:54" x14ac:dyDescent="0.3">
      <c r="A13042" s="66"/>
      <c r="B13042" s="67"/>
      <c r="C13042" s="66"/>
      <c r="D13042" s="68"/>
      <c r="E13042" s="10"/>
      <c r="F13042" s="69"/>
      <c r="G13042" s="68"/>
      <c r="H13042" s="70"/>
      <c r="BA13042" s="4"/>
      <c r="BB13042" s="4"/>
    </row>
    <row r="13043" spans="1:54" x14ac:dyDescent="0.3">
      <c r="A13043" s="66"/>
      <c r="B13043" s="67"/>
      <c r="C13043" s="66"/>
      <c r="D13043" s="68"/>
      <c r="E13043" s="10"/>
      <c r="F13043" s="69"/>
      <c r="G13043" s="68"/>
      <c r="H13043" s="70"/>
      <c r="BA13043" s="4"/>
      <c r="BB13043" s="4"/>
    </row>
    <row r="13044" spans="1:54" x14ac:dyDescent="0.3">
      <c r="A13044" s="66"/>
      <c r="B13044" s="67"/>
      <c r="C13044" s="66"/>
      <c r="D13044" s="68"/>
      <c r="E13044" s="10"/>
      <c r="F13044" s="69"/>
      <c r="G13044" s="68"/>
      <c r="H13044" s="70"/>
      <c r="BA13044" s="4"/>
      <c r="BB13044" s="4"/>
    </row>
    <row r="13045" spans="1:54" x14ac:dyDescent="0.3">
      <c r="A13045" s="66"/>
      <c r="B13045" s="67"/>
      <c r="C13045" s="66"/>
      <c r="D13045" s="68"/>
      <c r="E13045" s="10"/>
      <c r="F13045" s="69"/>
      <c r="G13045" s="68"/>
      <c r="H13045" s="70"/>
      <c r="BA13045" s="4"/>
      <c r="BB13045" s="4"/>
    </row>
    <row r="13046" spans="1:54" x14ac:dyDescent="0.3">
      <c r="A13046" s="66"/>
      <c r="B13046" s="67"/>
      <c r="C13046" s="66"/>
      <c r="D13046" s="68"/>
      <c r="E13046" s="10"/>
      <c r="F13046" s="69"/>
      <c r="G13046" s="68"/>
      <c r="H13046" s="70"/>
      <c r="BA13046" s="4"/>
      <c r="BB13046" s="4"/>
    </row>
    <row r="13047" spans="1:54" x14ac:dyDescent="0.3">
      <c r="A13047" s="66"/>
      <c r="B13047" s="67"/>
      <c r="C13047" s="66"/>
      <c r="D13047" s="68"/>
      <c r="E13047" s="10"/>
      <c r="F13047" s="69"/>
      <c r="G13047" s="68"/>
      <c r="H13047" s="70"/>
      <c r="BA13047" s="4"/>
      <c r="BB13047" s="4"/>
    </row>
    <row r="13048" spans="1:54" x14ac:dyDescent="0.3">
      <c r="A13048" s="66"/>
      <c r="B13048" s="67"/>
      <c r="C13048" s="66"/>
      <c r="D13048" s="68"/>
      <c r="E13048" s="10"/>
      <c r="F13048" s="69"/>
      <c r="G13048" s="68"/>
      <c r="H13048" s="70"/>
      <c r="BA13048" s="4"/>
      <c r="BB13048" s="4"/>
    </row>
    <row r="13049" spans="1:54" x14ac:dyDescent="0.3">
      <c r="A13049" s="66"/>
      <c r="B13049" s="67"/>
      <c r="C13049" s="66"/>
      <c r="D13049" s="68"/>
      <c r="E13049" s="10"/>
      <c r="F13049" s="69"/>
      <c r="G13049" s="68"/>
      <c r="H13049" s="70"/>
      <c r="BA13049" s="4"/>
      <c r="BB13049" s="4"/>
    </row>
    <row r="13050" spans="1:54" x14ac:dyDescent="0.3">
      <c r="A13050" s="66"/>
      <c r="B13050" s="67"/>
      <c r="C13050" s="66"/>
      <c r="D13050" s="68"/>
      <c r="E13050" s="10"/>
      <c r="F13050" s="69"/>
      <c r="G13050" s="68"/>
      <c r="H13050" s="70"/>
      <c r="BA13050" s="4"/>
      <c r="BB13050" s="4"/>
    </row>
    <row r="13051" spans="1:54" x14ac:dyDescent="0.3">
      <c r="A13051" s="66"/>
      <c r="B13051" s="67"/>
      <c r="C13051" s="66"/>
      <c r="D13051" s="68"/>
      <c r="E13051" s="10"/>
      <c r="F13051" s="69"/>
      <c r="G13051" s="68"/>
      <c r="H13051" s="70"/>
      <c r="BA13051" s="4"/>
      <c r="BB13051" s="4"/>
    </row>
    <row r="13052" spans="1:54" x14ac:dyDescent="0.3">
      <c r="A13052" s="66"/>
      <c r="B13052" s="67"/>
      <c r="C13052" s="66"/>
      <c r="D13052" s="68"/>
      <c r="E13052" s="10"/>
      <c r="F13052" s="69"/>
      <c r="G13052" s="68"/>
      <c r="H13052" s="70"/>
      <c r="BA13052" s="4"/>
      <c r="BB13052" s="4"/>
    </row>
    <row r="13053" spans="1:54" x14ac:dyDescent="0.3">
      <c r="A13053" s="66"/>
      <c r="B13053" s="67"/>
      <c r="C13053" s="66"/>
      <c r="D13053" s="68"/>
      <c r="E13053" s="10"/>
      <c r="F13053" s="69"/>
      <c r="G13053" s="68"/>
      <c r="H13053" s="70"/>
      <c r="BA13053" s="4"/>
      <c r="BB13053" s="4"/>
    </row>
    <row r="13054" spans="1:54" x14ac:dyDescent="0.3">
      <c r="A13054" s="66"/>
      <c r="B13054" s="67"/>
      <c r="C13054" s="66"/>
      <c r="D13054" s="68"/>
      <c r="E13054" s="10"/>
      <c r="F13054" s="69"/>
      <c r="G13054" s="68"/>
      <c r="H13054" s="70"/>
      <c r="BA13054" s="4"/>
      <c r="BB13054" s="4"/>
    </row>
    <row r="13055" spans="1:54" x14ac:dyDescent="0.3">
      <c r="A13055" s="66"/>
      <c r="B13055" s="67"/>
      <c r="C13055" s="66"/>
      <c r="D13055" s="68"/>
      <c r="E13055" s="10"/>
      <c r="F13055" s="69"/>
      <c r="G13055" s="68"/>
      <c r="H13055" s="70"/>
      <c r="BA13055" s="4"/>
      <c r="BB13055" s="4"/>
    </row>
    <row r="13056" spans="1:54" x14ac:dyDescent="0.3">
      <c r="A13056" s="66"/>
      <c r="B13056" s="67"/>
      <c r="C13056" s="66"/>
      <c r="D13056" s="68"/>
      <c r="E13056" s="10"/>
      <c r="F13056" s="69"/>
      <c r="G13056" s="68"/>
      <c r="H13056" s="70"/>
      <c r="BA13056" s="4"/>
      <c r="BB13056" s="4"/>
    </row>
    <row r="13057" spans="1:54" x14ac:dyDescent="0.3">
      <c r="A13057" s="66"/>
      <c r="B13057" s="67"/>
      <c r="C13057" s="66"/>
      <c r="D13057" s="68"/>
      <c r="E13057" s="10"/>
      <c r="F13057" s="69"/>
      <c r="G13057" s="68"/>
      <c r="H13057" s="70"/>
      <c r="BA13057" s="4"/>
      <c r="BB13057" s="4"/>
    </row>
    <row r="13058" spans="1:54" x14ac:dyDescent="0.3">
      <c r="A13058" s="66"/>
      <c r="B13058" s="67"/>
      <c r="C13058" s="66"/>
      <c r="D13058" s="68"/>
      <c r="E13058" s="10"/>
      <c r="F13058" s="69"/>
      <c r="G13058" s="68"/>
      <c r="H13058" s="70"/>
      <c r="BA13058" s="4"/>
      <c r="BB13058" s="4"/>
    </row>
    <row r="13059" spans="1:54" x14ac:dyDescent="0.3">
      <c r="A13059" s="66"/>
      <c r="B13059" s="67"/>
      <c r="C13059" s="66"/>
      <c r="D13059" s="68"/>
      <c r="E13059" s="10"/>
      <c r="F13059" s="69"/>
      <c r="G13059" s="68"/>
      <c r="H13059" s="70"/>
      <c r="BA13059" s="4"/>
      <c r="BB13059" s="4"/>
    </row>
    <row r="13060" spans="1:54" x14ac:dyDescent="0.3">
      <c r="A13060" s="66"/>
      <c r="B13060" s="67"/>
      <c r="C13060" s="66"/>
      <c r="D13060" s="68"/>
      <c r="E13060" s="10"/>
      <c r="F13060" s="69"/>
      <c r="G13060" s="68"/>
      <c r="H13060" s="70"/>
      <c r="BA13060" s="4"/>
      <c r="BB13060" s="4"/>
    </row>
    <row r="13061" spans="1:54" x14ac:dyDescent="0.3">
      <c r="A13061" s="66"/>
      <c r="B13061" s="67"/>
      <c r="C13061" s="66"/>
      <c r="D13061" s="68"/>
      <c r="E13061" s="10"/>
      <c r="F13061" s="69"/>
      <c r="G13061" s="68"/>
      <c r="H13061" s="70"/>
      <c r="BA13061" s="4"/>
      <c r="BB13061" s="4"/>
    </row>
    <row r="13062" spans="1:54" x14ac:dyDescent="0.3">
      <c r="A13062" s="66"/>
      <c r="B13062" s="67"/>
      <c r="C13062" s="66"/>
      <c r="D13062" s="68"/>
      <c r="E13062" s="10"/>
      <c r="F13062" s="69"/>
      <c r="G13062" s="68"/>
      <c r="H13062" s="70"/>
      <c r="BA13062" s="4"/>
      <c r="BB13062" s="4"/>
    </row>
    <row r="13063" spans="1:54" x14ac:dyDescent="0.3">
      <c r="A13063" s="66"/>
      <c r="B13063" s="67"/>
      <c r="C13063" s="66"/>
      <c r="D13063" s="68"/>
      <c r="E13063" s="10"/>
      <c r="F13063" s="69"/>
      <c r="G13063" s="68"/>
      <c r="H13063" s="70"/>
      <c r="BA13063" s="4"/>
      <c r="BB13063" s="4"/>
    </row>
    <row r="13064" spans="1:54" x14ac:dyDescent="0.3">
      <c r="A13064" s="66"/>
      <c r="B13064" s="67"/>
      <c r="C13064" s="66"/>
      <c r="D13064" s="68"/>
      <c r="E13064" s="10"/>
      <c r="F13064" s="69"/>
      <c r="G13064" s="68"/>
      <c r="H13064" s="70"/>
      <c r="BA13064" s="4"/>
      <c r="BB13064" s="4"/>
    </row>
    <row r="13065" spans="1:54" x14ac:dyDescent="0.3">
      <c r="A13065" s="66"/>
      <c r="B13065" s="67"/>
      <c r="C13065" s="66"/>
      <c r="D13065" s="68"/>
      <c r="E13065" s="10"/>
      <c r="F13065" s="69"/>
      <c r="G13065" s="68"/>
      <c r="H13065" s="70"/>
      <c r="BA13065" s="4"/>
      <c r="BB13065" s="4"/>
    </row>
    <row r="13066" spans="1:54" x14ac:dyDescent="0.3">
      <c r="A13066" s="66"/>
      <c r="B13066" s="67"/>
      <c r="C13066" s="66"/>
      <c r="D13066" s="68"/>
      <c r="E13066" s="10"/>
      <c r="F13066" s="69"/>
      <c r="G13066" s="68"/>
      <c r="H13066" s="70"/>
      <c r="BA13066" s="4"/>
      <c r="BB13066" s="4"/>
    </row>
    <row r="13067" spans="1:54" x14ac:dyDescent="0.3">
      <c r="A13067" s="66"/>
      <c r="B13067" s="67"/>
      <c r="C13067" s="66"/>
      <c r="D13067" s="68"/>
      <c r="E13067" s="10"/>
      <c r="F13067" s="69"/>
      <c r="G13067" s="68"/>
      <c r="H13067" s="70"/>
      <c r="BA13067" s="4"/>
      <c r="BB13067" s="4"/>
    </row>
    <row r="13068" spans="1:54" x14ac:dyDescent="0.3">
      <c r="A13068" s="66"/>
      <c r="B13068" s="67"/>
      <c r="C13068" s="66"/>
      <c r="D13068" s="68"/>
      <c r="E13068" s="10"/>
      <c r="F13068" s="69"/>
      <c r="G13068" s="68"/>
      <c r="H13068" s="70"/>
      <c r="BA13068" s="4"/>
      <c r="BB13068" s="4"/>
    </row>
    <row r="13069" spans="1:54" x14ac:dyDescent="0.3">
      <c r="A13069" s="66"/>
      <c r="B13069" s="67"/>
      <c r="C13069" s="66"/>
      <c r="D13069" s="68"/>
      <c r="E13069" s="10"/>
      <c r="F13069" s="69"/>
      <c r="G13069" s="68"/>
      <c r="H13069" s="70"/>
      <c r="BA13069" s="4"/>
      <c r="BB13069" s="4"/>
    </row>
    <row r="13070" spans="1:54" x14ac:dyDescent="0.3">
      <c r="A13070" s="66"/>
      <c r="B13070" s="67"/>
      <c r="C13070" s="66"/>
      <c r="D13070" s="68"/>
      <c r="E13070" s="10"/>
      <c r="F13070" s="69"/>
      <c r="G13070" s="68"/>
      <c r="H13070" s="70"/>
      <c r="BA13070" s="4"/>
      <c r="BB13070" s="4"/>
    </row>
    <row r="13071" spans="1:54" x14ac:dyDescent="0.3">
      <c r="A13071" s="66"/>
      <c r="B13071" s="67"/>
      <c r="C13071" s="66"/>
      <c r="D13071" s="68"/>
      <c r="E13071" s="10"/>
      <c r="F13071" s="69"/>
      <c r="G13071" s="68"/>
      <c r="H13071" s="70"/>
      <c r="BA13071" s="4"/>
      <c r="BB13071" s="4"/>
    </row>
    <row r="13072" spans="1:54" x14ac:dyDescent="0.3">
      <c r="A13072" s="66"/>
      <c r="B13072" s="67"/>
      <c r="C13072" s="66"/>
      <c r="D13072" s="68"/>
      <c r="E13072" s="10"/>
      <c r="F13072" s="69"/>
      <c r="G13072" s="68"/>
      <c r="H13072" s="70"/>
      <c r="BA13072" s="4"/>
      <c r="BB13072" s="4"/>
    </row>
    <row r="13073" spans="1:54" x14ac:dyDescent="0.3">
      <c r="A13073" s="66"/>
      <c r="B13073" s="67"/>
      <c r="C13073" s="66"/>
      <c r="D13073" s="68"/>
      <c r="E13073" s="10"/>
      <c r="F13073" s="69"/>
      <c r="G13073" s="68"/>
      <c r="H13073" s="70"/>
      <c r="BA13073" s="4"/>
      <c r="BB13073" s="4"/>
    </row>
    <row r="13074" spans="1:54" x14ac:dyDescent="0.3">
      <c r="A13074" s="66"/>
      <c r="B13074" s="67"/>
      <c r="C13074" s="66"/>
      <c r="D13074" s="68"/>
      <c r="E13074" s="10"/>
      <c r="F13074" s="69"/>
      <c r="G13074" s="68"/>
      <c r="H13074" s="70"/>
      <c r="BA13074" s="4"/>
      <c r="BB13074" s="4"/>
    </row>
    <row r="13075" spans="1:54" x14ac:dyDescent="0.3">
      <c r="A13075" s="66"/>
      <c r="B13075" s="67"/>
      <c r="C13075" s="66"/>
      <c r="D13075" s="68"/>
      <c r="E13075" s="10"/>
      <c r="F13075" s="69"/>
      <c r="G13075" s="68"/>
      <c r="H13075" s="70"/>
      <c r="BA13075" s="4"/>
      <c r="BB13075" s="4"/>
    </row>
    <row r="13076" spans="1:54" x14ac:dyDescent="0.3">
      <c r="A13076" s="66"/>
      <c r="B13076" s="67"/>
      <c r="C13076" s="66"/>
      <c r="D13076" s="68"/>
      <c r="E13076" s="10"/>
      <c r="F13076" s="69"/>
      <c r="G13076" s="68"/>
      <c r="H13076" s="70"/>
      <c r="BA13076" s="4"/>
      <c r="BB13076" s="4"/>
    </row>
    <row r="13077" spans="1:54" x14ac:dyDescent="0.3">
      <c r="A13077" s="66"/>
      <c r="B13077" s="67"/>
      <c r="C13077" s="66"/>
      <c r="D13077" s="68"/>
      <c r="E13077" s="10"/>
      <c r="F13077" s="69"/>
      <c r="G13077" s="68"/>
      <c r="H13077" s="70"/>
      <c r="BA13077" s="4"/>
      <c r="BB13077" s="4"/>
    </row>
    <row r="13078" spans="1:54" x14ac:dyDescent="0.3">
      <c r="A13078" s="66"/>
      <c r="B13078" s="67"/>
      <c r="C13078" s="66"/>
      <c r="D13078" s="68"/>
      <c r="E13078" s="10"/>
      <c r="F13078" s="69"/>
      <c r="G13078" s="68"/>
      <c r="H13078" s="70"/>
      <c r="BA13078" s="4"/>
      <c r="BB13078" s="4"/>
    </row>
    <row r="13079" spans="1:54" x14ac:dyDescent="0.3">
      <c r="A13079" s="66"/>
      <c r="B13079" s="67"/>
      <c r="C13079" s="66"/>
      <c r="D13079" s="68"/>
      <c r="E13079" s="10"/>
      <c r="F13079" s="69"/>
      <c r="G13079" s="68"/>
      <c r="H13079" s="70"/>
      <c r="BA13079" s="4"/>
      <c r="BB13079" s="4"/>
    </row>
    <row r="13080" spans="1:54" x14ac:dyDescent="0.3">
      <c r="A13080" s="66"/>
      <c r="B13080" s="67"/>
      <c r="C13080" s="66"/>
      <c r="D13080" s="68"/>
      <c r="E13080" s="10"/>
      <c r="F13080" s="69"/>
      <c r="G13080" s="68"/>
      <c r="H13080" s="70"/>
      <c r="BA13080" s="4"/>
      <c r="BB13080" s="4"/>
    </row>
    <row r="13081" spans="1:54" x14ac:dyDescent="0.3">
      <c r="A13081" s="66"/>
      <c r="B13081" s="67"/>
      <c r="C13081" s="66"/>
      <c r="D13081" s="68"/>
      <c r="E13081" s="10"/>
      <c r="F13081" s="69"/>
      <c r="G13081" s="68"/>
      <c r="H13081" s="70"/>
      <c r="BA13081" s="4"/>
      <c r="BB13081" s="4"/>
    </row>
    <row r="13082" spans="1:54" x14ac:dyDescent="0.3">
      <c r="A13082" s="66"/>
      <c r="B13082" s="67"/>
      <c r="C13082" s="66"/>
      <c r="D13082" s="68"/>
      <c r="E13082" s="10"/>
      <c r="F13082" s="69"/>
      <c r="G13082" s="68"/>
      <c r="H13082" s="70"/>
      <c r="BA13082" s="4"/>
      <c r="BB13082" s="4"/>
    </row>
    <row r="13083" spans="1:54" x14ac:dyDescent="0.3">
      <c r="A13083" s="66"/>
      <c r="B13083" s="67"/>
      <c r="C13083" s="66"/>
      <c r="D13083" s="68"/>
      <c r="E13083" s="10"/>
      <c r="F13083" s="69"/>
      <c r="G13083" s="68"/>
      <c r="H13083" s="70"/>
      <c r="BA13083" s="4"/>
      <c r="BB13083" s="4"/>
    </row>
    <row r="13084" spans="1:54" x14ac:dyDescent="0.3">
      <c r="A13084" s="66"/>
      <c r="B13084" s="67"/>
      <c r="C13084" s="66"/>
      <c r="D13084" s="68"/>
      <c r="E13084" s="10"/>
      <c r="F13084" s="69"/>
      <c r="G13084" s="68"/>
      <c r="H13084" s="70"/>
      <c r="BA13084" s="4"/>
      <c r="BB13084" s="4"/>
    </row>
    <row r="13085" spans="1:54" x14ac:dyDescent="0.3">
      <c r="A13085" s="66"/>
      <c r="B13085" s="67"/>
      <c r="C13085" s="66"/>
      <c r="D13085" s="68"/>
      <c r="E13085" s="10"/>
      <c r="F13085" s="69"/>
      <c r="G13085" s="68"/>
      <c r="H13085" s="70"/>
      <c r="BA13085" s="4"/>
      <c r="BB13085" s="4"/>
    </row>
    <row r="13086" spans="1:54" x14ac:dyDescent="0.3">
      <c r="A13086" s="66"/>
      <c r="B13086" s="67"/>
      <c r="C13086" s="66"/>
      <c r="D13086" s="68"/>
      <c r="E13086" s="10"/>
      <c r="F13086" s="69"/>
      <c r="G13086" s="68"/>
      <c r="H13086" s="70"/>
      <c r="BA13086" s="4"/>
      <c r="BB13086" s="4"/>
    </row>
    <row r="13087" spans="1:54" x14ac:dyDescent="0.3">
      <c r="A13087" s="66"/>
      <c r="B13087" s="67"/>
      <c r="C13087" s="66"/>
      <c r="D13087" s="68"/>
      <c r="E13087" s="10"/>
      <c r="F13087" s="69"/>
      <c r="G13087" s="68"/>
      <c r="H13087" s="70"/>
      <c r="BA13087" s="4"/>
      <c r="BB13087" s="4"/>
    </row>
    <row r="13088" spans="1:54" x14ac:dyDescent="0.3">
      <c r="A13088" s="66"/>
      <c r="B13088" s="67"/>
      <c r="C13088" s="66"/>
      <c r="D13088" s="68"/>
      <c r="E13088" s="10"/>
      <c r="F13088" s="69"/>
      <c r="G13088" s="68"/>
      <c r="H13088" s="70"/>
      <c r="BA13088" s="4"/>
      <c r="BB13088" s="4"/>
    </row>
    <row r="13089" spans="1:54" x14ac:dyDescent="0.3">
      <c r="A13089" s="66"/>
      <c r="B13089" s="67"/>
      <c r="C13089" s="66"/>
      <c r="D13089" s="68"/>
      <c r="E13089" s="10"/>
      <c r="F13089" s="69"/>
      <c r="G13089" s="68"/>
      <c r="H13089" s="70"/>
      <c r="BA13089" s="4"/>
      <c r="BB13089" s="4"/>
    </row>
    <row r="13090" spans="1:54" x14ac:dyDescent="0.3">
      <c r="A13090" s="66"/>
      <c r="B13090" s="67"/>
      <c r="C13090" s="66"/>
      <c r="D13090" s="68"/>
      <c r="E13090" s="10"/>
      <c r="F13090" s="69"/>
      <c r="G13090" s="68"/>
      <c r="H13090" s="70"/>
      <c r="BA13090" s="4"/>
      <c r="BB13090" s="4"/>
    </row>
    <row r="13091" spans="1:54" x14ac:dyDescent="0.3">
      <c r="A13091" s="66"/>
      <c r="B13091" s="67"/>
      <c r="C13091" s="66"/>
      <c r="D13091" s="68"/>
      <c r="E13091" s="10"/>
      <c r="F13091" s="69"/>
      <c r="G13091" s="68"/>
      <c r="H13091" s="70"/>
      <c r="BA13091" s="4"/>
      <c r="BB13091" s="4"/>
    </row>
    <row r="13092" spans="1:54" x14ac:dyDescent="0.3">
      <c r="A13092" s="66"/>
      <c r="B13092" s="67"/>
      <c r="C13092" s="66"/>
      <c r="D13092" s="68"/>
      <c r="E13092" s="10"/>
      <c r="F13092" s="69"/>
      <c r="G13092" s="68"/>
      <c r="H13092" s="70"/>
      <c r="BA13092" s="4"/>
      <c r="BB13092" s="4"/>
    </row>
    <row r="13093" spans="1:54" x14ac:dyDescent="0.3">
      <c r="A13093" s="66"/>
      <c r="B13093" s="67"/>
      <c r="C13093" s="66"/>
      <c r="D13093" s="68"/>
      <c r="E13093" s="10"/>
      <c r="F13093" s="69"/>
      <c r="G13093" s="68"/>
      <c r="H13093" s="70"/>
      <c r="BA13093" s="4"/>
      <c r="BB13093" s="4"/>
    </row>
    <row r="13094" spans="1:54" x14ac:dyDescent="0.3">
      <c r="A13094" s="66"/>
      <c r="B13094" s="67"/>
      <c r="C13094" s="66"/>
      <c r="D13094" s="68"/>
      <c r="E13094" s="10"/>
      <c r="F13094" s="69"/>
      <c r="G13094" s="68"/>
      <c r="H13094" s="70"/>
      <c r="BA13094" s="4"/>
      <c r="BB13094" s="4"/>
    </row>
    <row r="13095" spans="1:54" x14ac:dyDescent="0.3">
      <c r="A13095" s="66"/>
      <c r="B13095" s="67"/>
      <c r="C13095" s="66"/>
      <c r="D13095" s="68"/>
      <c r="E13095" s="10"/>
      <c r="F13095" s="69"/>
      <c r="G13095" s="68"/>
      <c r="H13095" s="70"/>
      <c r="BA13095" s="4"/>
      <c r="BB13095" s="4"/>
    </row>
    <row r="13096" spans="1:54" x14ac:dyDescent="0.3">
      <c r="A13096" s="66"/>
      <c r="B13096" s="67"/>
      <c r="C13096" s="66"/>
      <c r="D13096" s="68"/>
      <c r="E13096" s="10"/>
      <c r="F13096" s="69"/>
      <c r="G13096" s="68"/>
      <c r="H13096" s="70"/>
      <c r="BA13096" s="4"/>
      <c r="BB13096" s="4"/>
    </row>
    <row r="13097" spans="1:54" x14ac:dyDescent="0.3">
      <c r="A13097" s="66"/>
      <c r="B13097" s="67"/>
      <c r="C13097" s="66"/>
      <c r="D13097" s="68"/>
      <c r="E13097" s="10"/>
      <c r="F13097" s="69"/>
      <c r="G13097" s="68"/>
      <c r="H13097" s="70"/>
      <c r="BA13097" s="4"/>
      <c r="BB13097" s="4"/>
    </row>
    <row r="13098" spans="1:54" x14ac:dyDescent="0.3">
      <c r="A13098" s="66"/>
      <c r="B13098" s="67"/>
      <c r="C13098" s="66"/>
      <c r="D13098" s="68"/>
      <c r="E13098" s="10"/>
      <c r="F13098" s="69"/>
      <c r="G13098" s="68"/>
      <c r="H13098" s="70"/>
      <c r="BA13098" s="4"/>
      <c r="BB13098" s="4"/>
    </row>
    <row r="13099" spans="1:54" x14ac:dyDescent="0.3">
      <c r="A13099" s="66"/>
      <c r="B13099" s="67"/>
      <c r="C13099" s="66"/>
      <c r="D13099" s="68"/>
      <c r="E13099" s="10"/>
      <c r="F13099" s="69"/>
      <c r="G13099" s="68"/>
      <c r="H13099" s="70"/>
      <c r="BA13099" s="4"/>
      <c r="BB13099" s="4"/>
    </row>
    <row r="13100" spans="1:54" x14ac:dyDescent="0.3">
      <c r="A13100" s="66"/>
      <c r="B13100" s="67"/>
      <c r="C13100" s="66"/>
      <c r="D13100" s="68"/>
      <c r="E13100" s="10"/>
      <c r="F13100" s="69"/>
      <c r="G13100" s="68"/>
      <c r="H13100" s="70"/>
      <c r="BA13100" s="4"/>
      <c r="BB13100" s="4"/>
    </row>
    <row r="13101" spans="1:54" x14ac:dyDescent="0.3">
      <c r="A13101" s="66"/>
      <c r="B13101" s="67"/>
      <c r="C13101" s="66"/>
      <c r="D13101" s="68"/>
      <c r="E13101" s="10"/>
      <c r="F13101" s="69"/>
      <c r="G13101" s="68"/>
      <c r="H13101" s="70"/>
      <c r="BA13101" s="4"/>
      <c r="BB13101" s="4"/>
    </row>
    <row r="13102" spans="1:54" x14ac:dyDescent="0.3">
      <c r="A13102" s="66"/>
      <c r="B13102" s="67"/>
      <c r="C13102" s="66"/>
      <c r="D13102" s="68"/>
      <c r="E13102" s="10"/>
      <c r="F13102" s="69"/>
      <c r="G13102" s="68"/>
      <c r="H13102" s="70"/>
      <c r="BA13102" s="4"/>
      <c r="BB13102" s="4"/>
    </row>
    <row r="13103" spans="1:54" x14ac:dyDescent="0.3">
      <c r="A13103" s="66"/>
      <c r="B13103" s="67"/>
      <c r="C13103" s="66"/>
      <c r="D13103" s="68"/>
      <c r="E13103" s="10"/>
      <c r="F13103" s="69"/>
      <c r="G13103" s="68"/>
      <c r="H13103" s="70"/>
      <c r="BA13103" s="4"/>
      <c r="BB13103" s="4"/>
    </row>
    <row r="13104" spans="1:54" x14ac:dyDescent="0.3">
      <c r="A13104" s="66"/>
      <c r="B13104" s="67"/>
      <c r="C13104" s="66"/>
      <c r="D13104" s="68"/>
      <c r="E13104" s="10"/>
      <c r="F13104" s="69"/>
      <c r="G13104" s="68"/>
      <c r="H13104" s="70"/>
      <c r="BA13104" s="4"/>
      <c r="BB13104" s="4"/>
    </row>
    <row r="13105" spans="1:54" x14ac:dyDescent="0.3">
      <c r="A13105" s="66"/>
      <c r="B13105" s="67"/>
      <c r="C13105" s="66"/>
      <c r="D13105" s="68"/>
      <c r="E13105" s="10"/>
      <c r="F13105" s="69"/>
      <c r="G13105" s="68"/>
      <c r="H13105" s="70"/>
      <c r="BA13105" s="4"/>
      <c r="BB13105" s="4"/>
    </row>
    <row r="13106" spans="1:54" x14ac:dyDescent="0.3">
      <c r="A13106" s="66"/>
      <c r="B13106" s="67"/>
      <c r="C13106" s="66"/>
      <c r="D13106" s="68"/>
      <c r="E13106" s="10"/>
      <c r="F13106" s="69"/>
      <c r="G13106" s="68"/>
      <c r="H13106" s="70"/>
      <c r="BA13106" s="4"/>
      <c r="BB13106" s="4"/>
    </row>
    <row r="13107" spans="1:54" x14ac:dyDescent="0.3">
      <c r="A13107" s="66"/>
      <c r="B13107" s="67"/>
      <c r="C13107" s="66"/>
      <c r="D13107" s="68"/>
      <c r="E13107" s="10"/>
      <c r="F13107" s="69"/>
      <c r="G13107" s="68"/>
      <c r="H13107" s="70"/>
      <c r="BA13107" s="4"/>
      <c r="BB13107" s="4"/>
    </row>
    <row r="13108" spans="1:54" x14ac:dyDescent="0.3">
      <c r="A13108" s="66"/>
      <c r="B13108" s="67"/>
      <c r="C13108" s="66"/>
      <c r="D13108" s="68"/>
      <c r="E13108" s="10"/>
      <c r="F13108" s="69"/>
      <c r="G13108" s="68"/>
      <c r="H13108" s="70"/>
      <c r="BA13108" s="4"/>
      <c r="BB13108" s="4"/>
    </row>
    <row r="13109" spans="1:54" x14ac:dyDescent="0.3">
      <c r="A13109" s="66"/>
      <c r="B13109" s="67"/>
      <c r="C13109" s="66"/>
      <c r="D13109" s="68"/>
      <c r="E13109" s="10"/>
      <c r="F13109" s="69"/>
      <c r="G13109" s="68"/>
      <c r="H13109" s="70"/>
      <c r="BA13109" s="4"/>
      <c r="BB13109" s="4"/>
    </row>
    <row r="13110" spans="1:54" x14ac:dyDescent="0.3">
      <c r="A13110" s="66"/>
      <c r="B13110" s="67"/>
      <c r="C13110" s="66"/>
      <c r="D13110" s="68"/>
      <c r="E13110" s="10"/>
      <c r="F13110" s="69"/>
      <c r="G13110" s="68"/>
      <c r="H13110" s="70"/>
      <c r="BA13110" s="4"/>
      <c r="BB13110" s="4"/>
    </row>
    <row r="13111" spans="1:54" x14ac:dyDescent="0.3">
      <c r="A13111" s="66"/>
      <c r="B13111" s="67"/>
      <c r="C13111" s="66"/>
      <c r="D13111" s="68"/>
      <c r="E13111" s="10"/>
      <c r="F13111" s="69"/>
      <c r="G13111" s="68"/>
      <c r="H13111" s="70"/>
      <c r="BA13111" s="4"/>
      <c r="BB13111" s="4"/>
    </row>
    <row r="13112" spans="1:54" x14ac:dyDescent="0.3">
      <c r="A13112" s="66"/>
      <c r="B13112" s="67"/>
      <c r="C13112" s="66"/>
      <c r="D13112" s="68"/>
      <c r="E13112" s="10"/>
      <c r="F13112" s="69"/>
      <c r="G13112" s="68"/>
      <c r="H13112" s="70"/>
      <c r="BA13112" s="4"/>
      <c r="BB13112" s="4"/>
    </row>
    <row r="13113" spans="1:54" x14ac:dyDescent="0.3">
      <c r="A13113" s="66"/>
      <c r="B13113" s="67"/>
      <c r="C13113" s="66"/>
      <c r="D13113" s="68"/>
      <c r="E13113" s="10"/>
      <c r="F13113" s="69"/>
      <c r="G13113" s="68"/>
      <c r="H13113" s="70"/>
      <c r="BA13113" s="4"/>
      <c r="BB13113" s="4"/>
    </row>
    <row r="13114" spans="1:54" x14ac:dyDescent="0.3">
      <c r="A13114" s="66"/>
      <c r="B13114" s="67"/>
      <c r="C13114" s="66"/>
      <c r="D13114" s="68"/>
      <c r="E13114" s="10"/>
      <c r="F13114" s="69"/>
      <c r="G13114" s="68"/>
      <c r="H13114" s="70"/>
      <c r="BA13114" s="4"/>
      <c r="BB13114" s="4"/>
    </row>
    <row r="13115" spans="1:54" x14ac:dyDescent="0.3">
      <c r="A13115" s="66"/>
      <c r="B13115" s="67"/>
      <c r="C13115" s="66"/>
      <c r="D13115" s="68"/>
      <c r="E13115" s="10"/>
      <c r="F13115" s="69"/>
      <c r="G13115" s="68"/>
      <c r="H13115" s="70"/>
      <c r="BA13115" s="4"/>
      <c r="BB13115" s="4"/>
    </row>
    <row r="13116" spans="1:54" x14ac:dyDescent="0.3">
      <c r="A13116" s="66"/>
      <c r="B13116" s="67"/>
      <c r="C13116" s="66"/>
      <c r="D13116" s="68"/>
      <c r="E13116" s="10"/>
      <c r="F13116" s="69"/>
      <c r="G13116" s="68"/>
      <c r="H13116" s="70"/>
      <c r="BA13116" s="4"/>
      <c r="BB13116" s="4"/>
    </row>
    <row r="13117" spans="1:54" x14ac:dyDescent="0.3">
      <c r="A13117" s="66"/>
      <c r="B13117" s="67"/>
      <c r="C13117" s="66"/>
      <c r="D13117" s="68"/>
      <c r="E13117" s="10"/>
      <c r="F13117" s="69"/>
      <c r="G13117" s="68"/>
      <c r="H13117" s="70"/>
      <c r="BA13117" s="4"/>
      <c r="BB13117" s="4"/>
    </row>
    <row r="13118" spans="1:54" x14ac:dyDescent="0.3">
      <c r="A13118" s="66"/>
      <c r="B13118" s="67"/>
      <c r="C13118" s="66"/>
      <c r="D13118" s="68"/>
      <c r="E13118" s="10"/>
      <c r="F13118" s="69"/>
      <c r="G13118" s="68"/>
      <c r="H13118" s="70"/>
      <c r="BA13118" s="4"/>
      <c r="BB13118" s="4"/>
    </row>
    <row r="13119" spans="1:54" x14ac:dyDescent="0.3">
      <c r="A13119" s="66"/>
      <c r="B13119" s="67"/>
      <c r="C13119" s="66"/>
      <c r="D13119" s="68"/>
      <c r="E13119" s="10"/>
      <c r="F13119" s="69"/>
      <c r="G13119" s="68"/>
      <c r="H13119" s="70"/>
      <c r="BA13119" s="4"/>
      <c r="BB13119" s="4"/>
    </row>
    <row r="13120" spans="1:54" x14ac:dyDescent="0.3">
      <c r="A13120" s="66"/>
      <c r="B13120" s="67"/>
      <c r="C13120" s="66"/>
      <c r="D13120" s="68"/>
      <c r="E13120" s="10"/>
      <c r="F13120" s="69"/>
      <c r="G13120" s="68"/>
      <c r="H13120" s="70"/>
      <c r="BA13120" s="4"/>
      <c r="BB13120" s="4"/>
    </row>
    <row r="13121" spans="1:54" x14ac:dyDescent="0.3">
      <c r="A13121" s="66"/>
      <c r="B13121" s="67"/>
      <c r="C13121" s="66"/>
      <c r="D13121" s="68"/>
      <c r="E13121" s="10"/>
      <c r="F13121" s="69"/>
      <c r="G13121" s="68"/>
      <c r="H13121" s="70"/>
      <c r="BA13121" s="4"/>
      <c r="BB13121" s="4"/>
    </row>
    <row r="13122" spans="1:54" x14ac:dyDescent="0.3">
      <c r="A13122" s="66"/>
      <c r="B13122" s="67"/>
      <c r="C13122" s="66"/>
      <c r="D13122" s="68"/>
      <c r="E13122" s="10"/>
      <c r="F13122" s="69"/>
      <c r="G13122" s="68"/>
      <c r="H13122" s="70"/>
      <c r="BA13122" s="4"/>
      <c r="BB13122" s="4"/>
    </row>
    <row r="13123" spans="1:54" x14ac:dyDescent="0.3">
      <c r="A13123" s="66"/>
      <c r="B13123" s="67"/>
      <c r="C13123" s="66"/>
      <c r="D13123" s="68"/>
      <c r="E13123" s="10"/>
      <c r="F13123" s="69"/>
      <c r="G13123" s="68"/>
      <c r="H13123" s="70"/>
      <c r="BA13123" s="4"/>
      <c r="BB13123" s="4"/>
    </row>
    <row r="13124" spans="1:54" x14ac:dyDescent="0.3">
      <c r="A13124" s="66"/>
      <c r="B13124" s="67"/>
      <c r="C13124" s="66"/>
      <c r="D13124" s="68"/>
      <c r="E13124" s="10"/>
      <c r="F13124" s="69"/>
      <c r="G13124" s="68"/>
      <c r="H13124" s="70"/>
      <c r="BA13124" s="4"/>
      <c r="BB13124" s="4"/>
    </row>
    <row r="13125" spans="1:54" x14ac:dyDescent="0.3">
      <c r="A13125" s="66"/>
      <c r="B13125" s="67"/>
      <c r="C13125" s="66"/>
      <c r="D13125" s="68"/>
      <c r="E13125" s="10"/>
      <c r="F13125" s="69"/>
      <c r="G13125" s="68"/>
      <c r="H13125" s="70"/>
      <c r="BA13125" s="4"/>
      <c r="BB13125" s="4"/>
    </row>
    <row r="13126" spans="1:54" x14ac:dyDescent="0.3">
      <c r="A13126" s="66"/>
      <c r="B13126" s="67"/>
      <c r="C13126" s="66"/>
      <c r="D13126" s="68"/>
      <c r="E13126" s="10"/>
      <c r="F13126" s="69"/>
      <c r="G13126" s="68"/>
      <c r="H13126" s="70"/>
      <c r="BA13126" s="4"/>
      <c r="BB13126" s="4"/>
    </row>
    <row r="13127" spans="1:54" x14ac:dyDescent="0.3">
      <c r="A13127" s="66"/>
      <c r="B13127" s="67"/>
      <c r="C13127" s="66"/>
      <c r="D13127" s="68"/>
      <c r="E13127" s="10"/>
      <c r="F13127" s="69"/>
      <c r="G13127" s="68"/>
      <c r="H13127" s="70"/>
      <c r="BA13127" s="4"/>
      <c r="BB13127" s="4"/>
    </row>
    <row r="13128" spans="1:54" x14ac:dyDescent="0.3">
      <c r="A13128" s="66"/>
      <c r="B13128" s="67"/>
      <c r="C13128" s="66"/>
      <c r="D13128" s="68"/>
      <c r="E13128" s="10"/>
      <c r="F13128" s="69"/>
      <c r="G13128" s="68"/>
      <c r="H13128" s="70"/>
      <c r="BA13128" s="4"/>
      <c r="BB13128" s="4"/>
    </row>
    <row r="13129" spans="1:54" x14ac:dyDescent="0.3">
      <c r="A13129" s="66"/>
      <c r="B13129" s="67"/>
      <c r="C13129" s="66"/>
      <c r="D13129" s="68"/>
      <c r="E13129" s="10"/>
      <c r="F13129" s="69"/>
      <c r="G13129" s="68"/>
      <c r="H13129" s="70"/>
      <c r="BA13129" s="4"/>
      <c r="BB13129" s="4"/>
    </row>
    <row r="13130" spans="1:54" x14ac:dyDescent="0.3">
      <c r="A13130" s="66"/>
      <c r="B13130" s="67"/>
      <c r="C13130" s="66"/>
      <c r="D13130" s="68"/>
      <c r="E13130" s="10"/>
      <c r="F13130" s="69"/>
      <c r="G13130" s="68"/>
      <c r="H13130" s="70"/>
      <c r="BA13130" s="4"/>
      <c r="BB13130" s="4"/>
    </row>
    <row r="13131" spans="1:54" x14ac:dyDescent="0.3">
      <c r="A13131" s="66"/>
      <c r="B13131" s="67"/>
      <c r="C13131" s="66"/>
      <c r="D13131" s="68"/>
      <c r="E13131" s="10"/>
      <c r="F13131" s="69"/>
      <c r="G13131" s="68"/>
      <c r="H13131" s="70"/>
      <c r="BA13131" s="4"/>
      <c r="BB13131" s="4"/>
    </row>
    <row r="13132" spans="1:54" x14ac:dyDescent="0.3">
      <c r="A13132" s="66"/>
      <c r="B13132" s="67"/>
      <c r="C13132" s="66"/>
      <c r="D13132" s="68"/>
      <c r="E13132" s="10"/>
      <c r="F13132" s="69"/>
      <c r="G13132" s="68"/>
      <c r="H13132" s="70"/>
      <c r="BA13132" s="4"/>
      <c r="BB13132" s="4"/>
    </row>
    <row r="13133" spans="1:54" x14ac:dyDescent="0.3">
      <c r="A13133" s="66"/>
      <c r="B13133" s="67"/>
      <c r="C13133" s="66"/>
      <c r="D13133" s="68"/>
      <c r="E13133" s="10"/>
      <c r="F13133" s="69"/>
      <c r="G13133" s="68"/>
      <c r="H13133" s="70"/>
      <c r="BA13133" s="4"/>
      <c r="BB13133" s="4"/>
    </row>
    <row r="13134" spans="1:54" x14ac:dyDescent="0.3">
      <c r="A13134" s="66"/>
      <c r="B13134" s="67"/>
      <c r="C13134" s="66"/>
      <c r="D13134" s="68"/>
      <c r="E13134" s="10"/>
      <c r="F13134" s="69"/>
      <c r="G13134" s="68"/>
      <c r="H13134" s="70"/>
      <c r="BA13134" s="4"/>
      <c r="BB13134" s="4"/>
    </row>
    <row r="13135" spans="1:54" x14ac:dyDescent="0.3">
      <c r="A13135" s="66"/>
      <c r="B13135" s="67"/>
      <c r="C13135" s="66"/>
      <c r="D13135" s="68"/>
      <c r="E13135" s="10"/>
      <c r="F13135" s="69"/>
      <c r="G13135" s="68"/>
      <c r="H13135" s="70"/>
      <c r="BA13135" s="4"/>
      <c r="BB13135" s="4"/>
    </row>
    <row r="13136" spans="1:54" x14ac:dyDescent="0.3">
      <c r="A13136" s="66"/>
      <c r="B13136" s="67"/>
      <c r="C13136" s="66"/>
      <c r="D13136" s="68"/>
      <c r="E13136" s="10"/>
      <c r="F13136" s="69"/>
      <c r="G13136" s="68"/>
      <c r="H13136" s="70"/>
      <c r="BA13136" s="4"/>
      <c r="BB13136" s="4"/>
    </row>
    <row r="13137" spans="1:54" x14ac:dyDescent="0.3">
      <c r="A13137" s="66"/>
      <c r="B13137" s="67"/>
      <c r="C13137" s="66"/>
      <c r="D13137" s="68"/>
      <c r="E13137" s="10"/>
      <c r="F13137" s="69"/>
      <c r="G13137" s="68"/>
      <c r="H13137" s="70"/>
      <c r="BA13137" s="4"/>
      <c r="BB13137" s="4"/>
    </row>
    <row r="13138" spans="1:54" x14ac:dyDescent="0.3">
      <c r="A13138" s="66"/>
      <c r="B13138" s="67"/>
      <c r="C13138" s="66"/>
      <c r="D13138" s="68"/>
      <c r="E13138" s="10"/>
      <c r="F13138" s="69"/>
      <c r="G13138" s="68"/>
      <c r="H13138" s="70"/>
      <c r="BA13138" s="4"/>
      <c r="BB13138" s="4"/>
    </row>
    <row r="13139" spans="1:54" x14ac:dyDescent="0.3">
      <c r="A13139" s="66"/>
      <c r="B13139" s="67"/>
      <c r="C13139" s="66"/>
      <c r="D13139" s="68"/>
      <c r="E13139" s="10"/>
      <c r="F13139" s="69"/>
      <c r="G13139" s="68"/>
      <c r="H13139" s="70"/>
      <c r="BA13139" s="4"/>
      <c r="BB13139" s="4"/>
    </row>
    <row r="13140" spans="1:54" x14ac:dyDescent="0.3">
      <c r="A13140" s="66"/>
      <c r="B13140" s="67"/>
      <c r="C13140" s="66"/>
      <c r="D13140" s="68"/>
      <c r="E13140" s="10"/>
      <c r="F13140" s="69"/>
      <c r="G13140" s="68"/>
      <c r="H13140" s="70"/>
      <c r="BA13140" s="4"/>
      <c r="BB13140" s="4"/>
    </row>
    <row r="13141" spans="1:54" x14ac:dyDescent="0.3">
      <c r="A13141" s="66"/>
      <c r="B13141" s="67"/>
      <c r="C13141" s="66"/>
      <c r="D13141" s="68"/>
      <c r="E13141" s="10"/>
      <c r="F13141" s="69"/>
      <c r="G13141" s="68"/>
      <c r="H13141" s="70"/>
      <c r="BA13141" s="4"/>
      <c r="BB13141" s="4"/>
    </row>
    <row r="13142" spans="1:54" x14ac:dyDescent="0.3">
      <c r="A13142" s="66"/>
      <c r="B13142" s="67"/>
      <c r="C13142" s="66"/>
      <c r="D13142" s="68"/>
      <c r="E13142" s="10"/>
      <c r="F13142" s="69"/>
      <c r="G13142" s="68"/>
      <c r="H13142" s="70"/>
      <c r="BA13142" s="4"/>
      <c r="BB13142" s="4"/>
    </row>
    <row r="13143" spans="1:54" x14ac:dyDescent="0.3">
      <c r="A13143" s="66"/>
      <c r="B13143" s="67"/>
      <c r="C13143" s="66"/>
      <c r="D13143" s="68"/>
      <c r="E13143" s="10"/>
      <c r="F13143" s="69"/>
      <c r="G13143" s="68"/>
      <c r="H13143" s="70"/>
      <c r="BA13143" s="4"/>
      <c r="BB13143" s="4"/>
    </row>
    <row r="13144" spans="1:54" x14ac:dyDescent="0.3">
      <c r="A13144" s="66"/>
      <c r="B13144" s="67"/>
      <c r="C13144" s="66"/>
      <c r="D13144" s="68"/>
      <c r="E13144" s="10"/>
      <c r="F13144" s="69"/>
      <c r="G13144" s="68"/>
      <c r="H13144" s="70"/>
      <c r="BA13144" s="4"/>
      <c r="BB13144" s="4"/>
    </row>
    <row r="13145" spans="1:54" x14ac:dyDescent="0.3">
      <c r="A13145" s="66"/>
      <c r="B13145" s="67"/>
      <c r="C13145" s="66"/>
      <c r="D13145" s="68"/>
      <c r="E13145" s="10"/>
      <c r="F13145" s="69"/>
      <c r="G13145" s="68"/>
      <c r="H13145" s="70"/>
      <c r="BA13145" s="4"/>
      <c r="BB13145" s="4"/>
    </row>
    <row r="13146" spans="1:54" x14ac:dyDescent="0.3">
      <c r="A13146" s="66"/>
      <c r="B13146" s="67"/>
      <c r="C13146" s="66"/>
      <c r="D13146" s="68"/>
      <c r="E13146" s="10"/>
      <c r="F13146" s="69"/>
      <c r="G13146" s="68"/>
      <c r="H13146" s="70"/>
      <c r="BA13146" s="4"/>
      <c r="BB13146" s="4"/>
    </row>
    <row r="13147" spans="1:54" x14ac:dyDescent="0.3">
      <c r="A13147" s="66"/>
      <c r="B13147" s="67"/>
      <c r="C13147" s="66"/>
      <c r="D13147" s="68"/>
      <c r="E13147" s="10"/>
      <c r="F13147" s="69"/>
      <c r="G13147" s="68"/>
      <c r="H13147" s="70"/>
      <c r="BA13147" s="4"/>
      <c r="BB13147" s="4"/>
    </row>
    <row r="13148" spans="1:54" x14ac:dyDescent="0.3">
      <c r="A13148" s="66"/>
      <c r="B13148" s="67"/>
      <c r="C13148" s="66"/>
      <c r="D13148" s="68"/>
      <c r="E13148" s="10"/>
      <c r="F13148" s="69"/>
      <c r="G13148" s="68"/>
      <c r="H13148" s="70"/>
      <c r="BA13148" s="4"/>
      <c r="BB13148" s="4"/>
    </row>
    <row r="13149" spans="1:54" x14ac:dyDescent="0.3">
      <c r="A13149" s="66"/>
      <c r="B13149" s="67"/>
      <c r="C13149" s="66"/>
      <c r="D13149" s="68"/>
      <c r="E13149" s="10"/>
      <c r="F13149" s="69"/>
      <c r="G13149" s="68"/>
      <c r="H13149" s="70"/>
      <c r="BA13149" s="4"/>
      <c r="BB13149" s="4"/>
    </row>
    <row r="13150" spans="1:54" x14ac:dyDescent="0.3">
      <c r="A13150" s="66"/>
      <c r="B13150" s="67"/>
      <c r="C13150" s="66"/>
      <c r="D13150" s="68"/>
      <c r="E13150" s="10"/>
      <c r="F13150" s="69"/>
      <c r="G13150" s="68"/>
      <c r="H13150" s="70"/>
      <c r="BA13150" s="4"/>
      <c r="BB13150" s="4"/>
    </row>
    <row r="13151" spans="1:54" x14ac:dyDescent="0.3">
      <c r="A13151" s="66"/>
      <c r="B13151" s="67"/>
      <c r="C13151" s="66"/>
      <c r="D13151" s="68"/>
      <c r="E13151" s="10"/>
      <c r="F13151" s="69"/>
      <c r="G13151" s="68"/>
      <c r="H13151" s="70"/>
      <c r="BA13151" s="4"/>
      <c r="BB13151" s="4"/>
    </row>
    <row r="13152" spans="1:54" x14ac:dyDescent="0.3">
      <c r="A13152" s="66"/>
      <c r="B13152" s="67"/>
      <c r="C13152" s="66"/>
      <c r="D13152" s="68"/>
      <c r="E13152" s="10"/>
      <c r="F13152" s="69"/>
      <c r="G13152" s="68"/>
      <c r="H13152" s="70"/>
      <c r="BA13152" s="4"/>
      <c r="BB13152" s="4"/>
    </row>
    <row r="13153" spans="1:54" x14ac:dyDescent="0.3">
      <c r="A13153" s="66"/>
      <c r="B13153" s="67"/>
      <c r="C13153" s="66"/>
      <c r="D13153" s="68"/>
      <c r="E13153" s="10"/>
      <c r="F13153" s="69"/>
      <c r="G13153" s="68"/>
      <c r="H13153" s="70"/>
      <c r="BA13153" s="4"/>
      <c r="BB13153" s="4"/>
    </row>
    <row r="13154" spans="1:54" x14ac:dyDescent="0.3">
      <c r="A13154" s="66"/>
      <c r="B13154" s="67"/>
      <c r="C13154" s="66"/>
      <c r="D13154" s="68"/>
      <c r="E13154" s="10"/>
      <c r="F13154" s="69"/>
      <c r="G13154" s="68"/>
      <c r="H13154" s="70"/>
      <c r="BA13154" s="4"/>
      <c r="BB13154" s="4"/>
    </row>
    <row r="13155" spans="1:54" x14ac:dyDescent="0.3">
      <c r="A13155" s="66"/>
      <c r="B13155" s="67"/>
      <c r="C13155" s="66"/>
      <c r="D13155" s="68"/>
      <c r="E13155" s="10"/>
      <c r="F13155" s="69"/>
      <c r="G13155" s="68"/>
      <c r="H13155" s="70"/>
      <c r="BA13155" s="4"/>
      <c r="BB13155" s="4"/>
    </row>
    <row r="13156" spans="1:54" x14ac:dyDescent="0.3">
      <c r="A13156" s="66"/>
      <c r="B13156" s="67"/>
      <c r="C13156" s="66"/>
      <c r="D13156" s="68"/>
      <c r="E13156" s="10"/>
      <c r="F13156" s="69"/>
      <c r="G13156" s="68"/>
      <c r="H13156" s="70"/>
      <c r="BA13156" s="4"/>
      <c r="BB13156" s="4"/>
    </row>
    <row r="13157" spans="1:54" x14ac:dyDescent="0.3">
      <c r="A13157" s="66"/>
      <c r="B13157" s="67"/>
      <c r="C13157" s="66"/>
      <c r="D13157" s="68"/>
      <c r="E13157" s="10"/>
      <c r="F13157" s="69"/>
      <c r="G13157" s="68"/>
      <c r="H13157" s="70"/>
      <c r="BA13157" s="4"/>
      <c r="BB13157" s="4"/>
    </row>
    <row r="13158" spans="1:54" x14ac:dyDescent="0.3">
      <c r="A13158" s="66"/>
      <c r="B13158" s="67"/>
      <c r="C13158" s="66"/>
      <c r="D13158" s="68"/>
      <c r="E13158" s="10"/>
      <c r="F13158" s="69"/>
      <c r="G13158" s="68"/>
      <c r="H13158" s="70"/>
      <c r="BA13158" s="4"/>
      <c r="BB13158" s="4"/>
    </row>
    <row r="13159" spans="1:54" x14ac:dyDescent="0.3">
      <c r="A13159" s="66"/>
      <c r="B13159" s="67"/>
      <c r="C13159" s="66"/>
      <c r="D13159" s="68"/>
      <c r="E13159" s="10"/>
      <c r="F13159" s="69"/>
      <c r="G13159" s="68"/>
      <c r="H13159" s="70"/>
      <c r="BA13159" s="4"/>
      <c r="BB13159" s="4"/>
    </row>
    <row r="13160" spans="1:54" x14ac:dyDescent="0.3">
      <c r="A13160" s="66"/>
      <c r="B13160" s="67"/>
      <c r="C13160" s="66"/>
      <c r="D13160" s="68"/>
      <c r="E13160" s="10"/>
      <c r="F13160" s="69"/>
      <c r="G13160" s="68"/>
      <c r="H13160" s="70"/>
      <c r="BA13160" s="4"/>
      <c r="BB13160" s="4"/>
    </row>
    <row r="13161" spans="1:54" x14ac:dyDescent="0.3">
      <c r="A13161" s="66"/>
      <c r="B13161" s="67"/>
      <c r="C13161" s="66"/>
      <c r="D13161" s="68"/>
      <c r="E13161" s="10"/>
      <c r="F13161" s="69"/>
      <c r="G13161" s="68"/>
      <c r="H13161" s="70"/>
      <c r="BA13161" s="4"/>
      <c r="BB13161" s="4"/>
    </row>
    <row r="13162" spans="1:54" x14ac:dyDescent="0.3">
      <c r="A13162" s="66"/>
      <c r="B13162" s="67"/>
      <c r="C13162" s="66"/>
      <c r="D13162" s="68"/>
      <c r="E13162" s="10"/>
      <c r="F13162" s="69"/>
      <c r="G13162" s="68"/>
      <c r="H13162" s="70"/>
      <c r="BA13162" s="4"/>
      <c r="BB13162" s="4"/>
    </row>
    <row r="13163" spans="1:54" x14ac:dyDescent="0.3">
      <c r="A13163" s="66"/>
      <c r="B13163" s="67"/>
      <c r="C13163" s="66"/>
      <c r="D13163" s="68"/>
      <c r="E13163" s="10"/>
      <c r="F13163" s="69"/>
      <c r="G13163" s="68"/>
      <c r="H13163" s="70"/>
      <c r="BA13163" s="4"/>
      <c r="BB13163" s="4"/>
    </row>
    <row r="13164" spans="1:54" x14ac:dyDescent="0.3">
      <c r="A13164" s="66"/>
      <c r="B13164" s="67"/>
      <c r="C13164" s="66"/>
      <c r="D13164" s="68"/>
      <c r="E13164" s="10"/>
      <c r="F13164" s="69"/>
      <c r="G13164" s="68"/>
      <c r="H13164" s="70"/>
      <c r="BA13164" s="4"/>
      <c r="BB13164" s="4"/>
    </row>
    <row r="13165" spans="1:54" x14ac:dyDescent="0.3">
      <c r="A13165" s="66"/>
      <c r="B13165" s="67"/>
      <c r="C13165" s="66"/>
      <c r="D13165" s="68"/>
      <c r="E13165" s="10"/>
      <c r="F13165" s="69"/>
      <c r="G13165" s="68"/>
      <c r="H13165" s="70"/>
      <c r="BA13165" s="4"/>
      <c r="BB13165" s="4"/>
    </row>
    <row r="13166" spans="1:54" x14ac:dyDescent="0.3">
      <c r="A13166" s="66"/>
      <c r="B13166" s="67"/>
      <c r="C13166" s="66"/>
      <c r="D13166" s="68"/>
      <c r="E13166" s="10"/>
      <c r="F13166" s="69"/>
      <c r="G13166" s="68"/>
      <c r="H13166" s="70"/>
      <c r="BA13166" s="4"/>
      <c r="BB13166" s="4"/>
    </row>
    <row r="13167" spans="1:54" x14ac:dyDescent="0.3">
      <c r="A13167" s="66"/>
      <c r="B13167" s="67"/>
      <c r="C13167" s="66"/>
      <c r="D13167" s="68"/>
      <c r="E13167" s="10"/>
      <c r="F13167" s="69"/>
      <c r="G13167" s="68"/>
      <c r="H13167" s="70"/>
      <c r="BA13167" s="4"/>
      <c r="BB13167" s="4"/>
    </row>
    <row r="13168" spans="1:54" x14ac:dyDescent="0.3">
      <c r="A13168" s="66"/>
      <c r="B13168" s="67"/>
      <c r="C13168" s="66"/>
      <c r="D13168" s="68"/>
      <c r="E13168" s="10"/>
      <c r="F13168" s="69"/>
      <c r="G13168" s="68"/>
      <c r="H13168" s="70"/>
      <c r="BA13168" s="4"/>
      <c r="BB13168" s="4"/>
    </row>
    <row r="13169" spans="1:54" x14ac:dyDescent="0.3">
      <c r="A13169" s="66"/>
      <c r="B13169" s="67"/>
      <c r="C13169" s="66"/>
      <c r="D13169" s="68"/>
      <c r="E13169" s="10"/>
      <c r="F13169" s="69"/>
      <c r="G13169" s="68"/>
      <c r="H13169" s="70"/>
      <c r="BA13169" s="4"/>
      <c r="BB13169" s="4"/>
    </row>
    <row r="13170" spans="1:54" x14ac:dyDescent="0.3">
      <c r="A13170" s="66"/>
      <c r="B13170" s="67"/>
      <c r="C13170" s="66"/>
      <c r="D13170" s="68"/>
      <c r="E13170" s="10"/>
      <c r="F13170" s="69"/>
      <c r="G13170" s="68"/>
      <c r="H13170" s="70"/>
      <c r="BA13170" s="4"/>
      <c r="BB13170" s="4"/>
    </row>
    <row r="13171" spans="1:54" x14ac:dyDescent="0.3">
      <c r="A13171" s="66"/>
      <c r="B13171" s="67"/>
      <c r="C13171" s="66"/>
      <c r="D13171" s="68"/>
      <c r="E13171" s="10"/>
      <c r="F13171" s="69"/>
      <c r="G13171" s="68"/>
      <c r="H13171" s="70"/>
      <c r="BA13171" s="4"/>
      <c r="BB13171" s="4"/>
    </row>
    <row r="13172" spans="1:54" x14ac:dyDescent="0.3">
      <c r="A13172" s="66"/>
      <c r="B13172" s="67"/>
      <c r="C13172" s="66"/>
      <c r="D13172" s="68"/>
      <c r="E13172" s="10"/>
      <c r="F13172" s="69"/>
      <c r="G13172" s="68"/>
      <c r="H13172" s="70"/>
      <c r="BA13172" s="4"/>
      <c r="BB13172" s="4"/>
    </row>
    <row r="13173" spans="1:54" x14ac:dyDescent="0.3">
      <c r="A13173" s="66"/>
      <c r="B13173" s="67"/>
      <c r="C13173" s="66"/>
      <c r="D13173" s="68"/>
      <c r="E13173" s="10"/>
      <c r="F13173" s="69"/>
      <c r="G13173" s="68"/>
      <c r="H13173" s="70"/>
      <c r="BA13173" s="4"/>
      <c r="BB13173" s="4"/>
    </row>
    <row r="13174" spans="1:54" x14ac:dyDescent="0.3">
      <c r="A13174" s="66"/>
      <c r="B13174" s="67"/>
      <c r="C13174" s="66"/>
      <c r="D13174" s="68"/>
      <c r="E13174" s="10"/>
      <c r="F13174" s="69"/>
      <c r="G13174" s="68"/>
      <c r="H13174" s="70"/>
      <c r="BA13174" s="4"/>
      <c r="BB13174" s="4"/>
    </row>
    <row r="13175" spans="1:54" x14ac:dyDescent="0.3">
      <c r="A13175" s="66"/>
      <c r="B13175" s="67"/>
      <c r="C13175" s="66"/>
      <c r="D13175" s="68"/>
      <c r="E13175" s="10"/>
      <c r="F13175" s="69"/>
      <c r="G13175" s="68"/>
      <c r="H13175" s="70"/>
      <c r="BA13175" s="4"/>
      <c r="BB13175" s="4"/>
    </row>
    <row r="13176" spans="1:54" x14ac:dyDescent="0.3">
      <c r="A13176" s="66"/>
      <c r="B13176" s="67"/>
      <c r="C13176" s="66"/>
      <c r="D13176" s="68"/>
      <c r="E13176" s="10"/>
      <c r="F13176" s="69"/>
      <c r="G13176" s="68"/>
      <c r="H13176" s="70"/>
      <c r="BA13176" s="4"/>
      <c r="BB13176" s="4"/>
    </row>
    <row r="13177" spans="1:54" x14ac:dyDescent="0.3">
      <c r="A13177" s="66"/>
      <c r="B13177" s="67"/>
      <c r="C13177" s="66"/>
      <c r="D13177" s="68"/>
      <c r="E13177" s="10"/>
      <c r="F13177" s="69"/>
      <c r="G13177" s="68"/>
      <c r="H13177" s="70"/>
      <c r="BA13177" s="4"/>
      <c r="BB13177" s="4"/>
    </row>
    <row r="13178" spans="1:54" x14ac:dyDescent="0.3">
      <c r="A13178" s="66"/>
      <c r="B13178" s="67"/>
      <c r="C13178" s="66"/>
      <c r="D13178" s="68"/>
      <c r="E13178" s="10"/>
      <c r="F13178" s="69"/>
      <c r="G13178" s="68"/>
      <c r="H13178" s="70"/>
      <c r="BA13178" s="4"/>
      <c r="BB13178" s="4"/>
    </row>
    <row r="13179" spans="1:54" x14ac:dyDescent="0.3">
      <c r="A13179" s="66"/>
      <c r="B13179" s="67"/>
      <c r="C13179" s="66"/>
      <c r="D13179" s="68"/>
      <c r="E13179" s="10"/>
      <c r="F13179" s="69"/>
      <c r="G13179" s="68"/>
      <c r="H13179" s="70"/>
      <c r="BA13179" s="4"/>
      <c r="BB13179" s="4"/>
    </row>
    <row r="13180" spans="1:54" x14ac:dyDescent="0.3">
      <c r="A13180" s="66"/>
      <c r="B13180" s="67"/>
      <c r="C13180" s="66"/>
      <c r="D13180" s="68"/>
      <c r="E13180" s="10"/>
      <c r="F13180" s="69"/>
      <c r="G13180" s="68"/>
      <c r="H13180" s="70"/>
      <c r="BA13180" s="4"/>
      <c r="BB13180" s="4"/>
    </row>
    <row r="13181" spans="1:54" x14ac:dyDescent="0.3">
      <c r="A13181" s="66"/>
      <c r="B13181" s="67"/>
      <c r="C13181" s="66"/>
      <c r="D13181" s="68"/>
      <c r="E13181" s="10"/>
      <c r="F13181" s="69"/>
      <c r="G13181" s="68"/>
      <c r="H13181" s="70"/>
      <c r="BA13181" s="4"/>
      <c r="BB13181" s="4"/>
    </row>
    <row r="13182" spans="1:54" x14ac:dyDescent="0.3">
      <c r="A13182" s="66"/>
      <c r="B13182" s="67"/>
      <c r="C13182" s="66"/>
      <c r="D13182" s="68"/>
      <c r="E13182" s="10"/>
      <c r="F13182" s="69"/>
      <c r="G13182" s="68"/>
      <c r="H13182" s="70"/>
      <c r="BA13182" s="4"/>
      <c r="BB13182" s="4"/>
    </row>
    <row r="13183" spans="1:54" x14ac:dyDescent="0.3">
      <c r="A13183" s="66"/>
      <c r="B13183" s="67"/>
      <c r="C13183" s="66"/>
      <c r="D13183" s="68"/>
      <c r="E13183" s="10"/>
      <c r="F13183" s="69"/>
      <c r="G13183" s="68"/>
      <c r="H13183" s="70"/>
      <c r="BA13183" s="4"/>
      <c r="BB13183" s="4"/>
    </row>
    <row r="13184" spans="1:54" x14ac:dyDescent="0.3">
      <c r="A13184" s="66"/>
      <c r="B13184" s="67"/>
      <c r="C13184" s="66"/>
      <c r="D13184" s="68"/>
      <c r="E13184" s="10"/>
      <c r="F13184" s="69"/>
      <c r="G13184" s="68"/>
      <c r="H13184" s="70"/>
      <c r="BA13184" s="4"/>
      <c r="BB13184" s="4"/>
    </row>
    <row r="13185" spans="1:54" x14ac:dyDescent="0.3">
      <c r="A13185" s="66"/>
      <c r="B13185" s="67"/>
      <c r="C13185" s="66"/>
      <c r="D13185" s="68"/>
      <c r="E13185" s="10"/>
      <c r="F13185" s="69"/>
      <c r="G13185" s="68"/>
      <c r="H13185" s="70"/>
      <c r="BA13185" s="4"/>
      <c r="BB13185" s="4"/>
    </row>
    <row r="13186" spans="1:54" x14ac:dyDescent="0.3">
      <c r="A13186" s="66"/>
      <c r="B13186" s="67"/>
      <c r="C13186" s="66"/>
      <c r="D13186" s="68"/>
      <c r="E13186" s="10"/>
      <c r="F13186" s="69"/>
      <c r="G13186" s="68"/>
      <c r="H13186" s="70"/>
      <c r="BA13186" s="4"/>
      <c r="BB13186" s="4"/>
    </row>
    <row r="13187" spans="1:54" x14ac:dyDescent="0.3">
      <c r="A13187" s="66"/>
      <c r="B13187" s="67"/>
      <c r="C13187" s="66"/>
      <c r="D13187" s="68"/>
      <c r="E13187" s="10"/>
      <c r="F13187" s="69"/>
      <c r="G13187" s="68"/>
      <c r="H13187" s="70"/>
      <c r="BA13187" s="4"/>
      <c r="BB13187" s="4"/>
    </row>
    <row r="13188" spans="1:54" x14ac:dyDescent="0.3">
      <c r="A13188" s="66"/>
      <c r="B13188" s="67"/>
      <c r="C13188" s="66"/>
      <c r="D13188" s="68"/>
      <c r="E13188" s="10"/>
      <c r="F13188" s="69"/>
      <c r="G13188" s="68"/>
      <c r="H13188" s="70"/>
      <c r="BA13188" s="4"/>
      <c r="BB13188" s="4"/>
    </row>
    <row r="13189" spans="1:54" x14ac:dyDescent="0.3">
      <c r="A13189" s="66"/>
      <c r="B13189" s="67"/>
      <c r="C13189" s="66"/>
      <c r="D13189" s="68"/>
      <c r="E13189" s="10"/>
      <c r="F13189" s="69"/>
      <c r="G13189" s="68"/>
      <c r="H13189" s="70"/>
      <c r="BA13189" s="4"/>
      <c r="BB13189" s="4"/>
    </row>
    <row r="13190" spans="1:54" x14ac:dyDescent="0.3">
      <c r="A13190" s="66"/>
      <c r="B13190" s="67"/>
      <c r="C13190" s="66"/>
      <c r="D13190" s="68"/>
      <c r="E13190" s="10"/>
      <c r="F13190" s="69"/>
      <c r="G13190" s="68"/>
      <c r="H13190" s="70"/>
      <c r="BA13190" s="4"/>
      <c r="BB13190" s="4"/>
    </row>
    <row r="13191" spans="1:54" x14ac:dyDescent="0.3">
      <c r="A13191" s="66"/>
      <c r="B13191" s="67"/>
      <c r="C13191" s="66"/>
      <c r="D13191" s="68"/>
      <c r="E13191" s="10"/>
      <c r="F13191" s="69"/>
      <c r="G13191" s="68"/>
      <c r="H13191" s="70"/>
      <c r="BA13191" s="4"/>
      <c r="BB13191" s="4"/>
    </row>
    <row r="13192" spans="1:54" x14ac:dyDescent="0.3">
      <c r="A13192" s="66"/>
      <c r="B13192" s="67"/>
      <c r="C13192" s="66"/>
      <c r="D13192" s="68"/>
      <c r="E13192" s="10"/>
      <c r="F13192" s="69"/>
      <c r="G13192" s="68"/>
      <c r="H13192" s="70"/>
      <c r="BA13192" s="4"/>
      <c r="BB13192" s="4"/>
    </row>
    <row r="13193" spans="1:54" x14ac:dyDescent="0.3">
      <c r="A13193" s="66"/>
      <c r="B13193" s="67"/>
      <c r="C13193" s="66"/>
      <c r="D13193" s="68"/>
      <c r="E13193" s="10"/>
      <c r="F13193" s="69"/>
      <c r="G13193" s="68"/>
      <c r="H13193" s="70"/>
      <c r="BA13193" s="4"/>
      <c r="BB13193" s="4"/>
    </row>
    <row r="13194" spans="1:54" x14ac:dyDescent="0.3">
      <c r="A13194" s="66"/>
      <c r="B13194" s="67"/>
      <c r="C13194" s="66"/>
      <c r="D13194" s="68"/>
      <c r="E13194" s="10"/>
      <c r="F13194" s="69"/>
      <c r="G13194" s="68"/>
      <c r="H13194" s="70"/>
      <c r="BA13194" s="4"/>
      <c r="BB13194" s="4"/>
    </row>
    <row r="13195" spans="1:54" x14ac:dyDescent="0.3">
      <c r="A13195" s="66"/>
      <c r="B13195" s="67"/>
      <c r="C13195" s="66"/>
      <c r="D13195" s="68"/>
      <c r="E13195" s="10"/>
      <c r="F13195" s="69"/>
      <c r="G13195" s="68"/>
      <c r="H13195" s="70"/>
      <c r="BA13195" s="4"/>
      <c r="BB13195" s="4"/>
    </row>
    <row r="13196" spans="1:54" x14ac:dyDescent="0.3">
      <c r="A13196" s="66"/>
      <c r="B13196" s="67"/>
      <c r="C13196" s="66"/>
      <c r="D13196" s="68"/>
      <c r="E13196" s="10"/>
      <c r="F13196" s="69"/>
      <c r="G13196" s="68"/>
      <c r="H13196" s="70"/>
      <c r="BA13196" s="4"/>
      <c r="BB13196" s="4"/>
    </row>
    <row r="13197" spans="1:54" x14ac:dyDescent="0.3">
      <c r="A13197" s="66"/>
      <c r="B13197" s="67"/>
      <c r="C13197" s="66"/>
      <c r="D13197" s="68"/>
      <c r="E13197" s="10"/>
      <c r="F13197" s="69"/>
      <c r="G13197" s="68"/>
      <c r="H13197" s="70"/>
      <c r="BA13197" s="4"/>
      <c r="BB13197" s="4"/>
    </row>
    <row r="13198" spans="1:54" x14ac:dyDescent="0.3">
      <c r="A13198" s="66"/>
      <c r="B13198" s="67"/>
      <c r="C13198" s="66"/>
      <c r="D13198" s="68"/>
      <c r="E13198" s="10"/>
      <c r="F13198" s="69"/>
      <c r="G13198" s="68"/>
      <c r="H13198" s="70"/>
      <c r="BA13198" s="4"/>
      <c r="BB13198" s="4"/>
    </row>
    <row r="13199" spans="1:54" x14ac:dyDescent="0.3">
      <c r="A13199" s="66"/>
      <c r="B13199" s="67"/>
      <c r="C13199" s="66"/>
      <c r="D13199" s="68"/>
      <c r="E13199" s="10"/>
      <c r="F13199" s="69"/>
      <c r="G13199" s="68"/>
      <c r="H13199" s="70"/>
      <c r="BA13199" s="4"/>
      <c r="BB13199" s="4"/>
    </row>
    <row r="13200" spans="1:54" x14ac:dyDescent="0.3">
      <c r="A13200" s="66"/>
      <c r="B13200" s="67"/>
      <c r="C13200" s="66"/>
      <c r="D13200" s="68"/>
      <c r="E13200" s="10"/>
      <c r="F13200" s="69"/>
      <c r="G13200" s="68"/>
      <c r="H13200" s="70"/>
      <c r="BA13200" s="4"/>
      <c r="BB13200" s="4"/>
    </row>
    <row r="13201" spans="1:54" x14ac:dyDescent="0.3">
      <c r="A13201" s="66"/>
      <c r="B13201" s="67"/>
      <c r="C13201" s="66"/>
      <c r="D13201" s="68"/>
      <c r="E13201" s="10"/>
      <c r="F13201" s="69"/>
      <c r="G13201" s="68"/>
      <c r="H13201" s="70"/>
      <c r="BA13201" s="4"/>
      <c r="BB13201" s="4"/>
    </row>
    <row r="13202" spans="1:54" x14ac:dyDescent="0.3">
      <c r="A13202" s="66"/>
      <c r="B13202" s="67"/>
      <c r="C13202" s="66"/>
      <c r="D13202" s="68"/>
      <c r="E13202" s="10"/>
      <c r="F13202" s="69"/>
      <c r="G13202" s="68"/>
      <c r="H13202" s="70"/>
      <c r="BA13202" s="4"/>
      <c r="BB13202" s="4"/>
    </row>
    <row r="13203" spans="1:54" x14ac:dyDescent="0.3">
      <c r="A13203" s="66"/>
      <c r="B13203" s="67"/>
      <c r="C13203" s="66"/>
      <c r="D13203" s="68"/>
      <c r="E13203" s="10"/>
      <c r="F13203" s="69"/>
      <c r="G13203" s="68"/>
      <c r="H13203" s="70"/>
      <c r="BA13203" s="4"/>
      <c r="BB13203" s="4"/>
    </row>
    <row r="13204" spans="1:54" x14ac:dyDescent="0.3">
      <c r="A13204" s="66"/>
      <c r="B13204" s="67"/>
      <c r="C13204" s="66"/>
      <c r="D13204" s="68"/>
      <c r="E13204" s="10"/>
      <c r="F13204" s="69"/>
      <c r="G13204" s="68"/>
      <c r="H13204" s="70"/>
      <c r="BA13204" s="4"/>
      <c r="BB13204" s="4"/>
    </row>
    <row r="13205" spans="1:54" x14ac:dyDescent="0.3">
      <c r="A13205" s="66"/>
      <c r="B13205" s="67"/>
      <c r="C13205" s="66"/>
      <c r="D13205" s="68"/>
      <c r="E13205" s="10"/>
      <c r="F13205" s="69"/>
      <c r="G13205" s="68"/>
      <c r="H13205" s="70"/>
      <c r="BA13205" s="4"/>
      <c r="BB13205" s="4"/>
    </row>
    <row r="13206" spans="1:54" x14ac:dyDescent="0.3">
      <c r="A13206" s="66"/>
      <c r="B13206" s="67"/>
      <c r="C13206" s="66"/>
      <c r="D13206" s="68"/>
      <c r="E13206" s="10"/>
      <c r="F13206" s="69"/>
      <c r="G13206" s="68"/>
      <c r="H13206" s="70"/>
      <c r="BA13206" s="4"/>
      <c r="BB13206" s="4"/>
    </row>
    <row r="13207" spans="1:54" x14ac:dyDescent="0.3">
      <c r="A13207" s="66"/>
      <c r="B13207" s="67"/>
      <c r="C13207" s="66"/>
      <c r="D13207" s="68"/>
      <c r="E13207" s="10"/>
      <c r="F13207" s="69"/>
      <c r="G13207" s="68"/>
      <c r="H13207" s="70"/>
      <c r="BA13207" s="4"/>
      <c r="BB13207" s="4"/>
    </row>
    <row r="13208" spans="1:54" x14ac:dyDescent="0.3">
      <c r="A13208" s="66"/>
      <c r="B13208" s="67"/>
      <c r="C13208" s="66"/>
      <c r="D13208" s="68"/>
      <c r="E13208" s="10"/>
      <c r="F13208" s="69"/>
      <c r="G13208" s="68"/>
      <c r="H13208" s="70"/>
      <c r="BA13208" s="4"/>
      <c r="BB13208" s="4"/>
    </row>
    <row r="13209" spans="1:54" x14ac:dyDescent="0.3">
      <c r="A13209" s="66"/>
      <c r="B13209" s="67"/>
      <c r="C13209" s="66"/>
      <c r="D13209" s="68"/>
      <c r="E13209" s="10"/>
      <c r="F13209" s="69"/>
      <c r="G13209" s="68"/>
      <c r="H13209" s="70"/>
      <c r="BA13209" s="4"/>
      <c r="BB13209" s="4"/>
    </row>
    <row r="13210" spans="1:54" x14ac:dyDescent="0.3">
      <c r="A13210" s="66"/>
      <c r="B13210" s="67"/>
      <c r="C13210" s="66"/>
      <c r="D13210" s="68"/>
      <c r="E13210" s="10"/>
      <c r="F13210" s="69"/>
      <c r="G13210" s="68"/>
      <c r="H13210" s="70"/>
      <c r="BA13210" s="4"/>
      <c r="BB13210" s="4"/>
    </row>
    <row r="13211" spans="1:54" x14ac:dyDescent="0.3">
      <c r="A13211" s="66"/>
      <c r="B13211" s="67"/>
      <c r="C13211" s="66"/>
      <c r="D13211" s="68"/>
      <c r="E13211" s="10"/>
      <c r="F13211" s="69"/>
      <c r="G13211" s="68"/>
      <c r="H13211" s="70"/>
      <c r="BA13211" s="4"/>
      <c r="BB13211" s="4"/>
    </row>
    <row r="13212" spans="1:54" x14ac:dyDescent="0.3">
      <c r="A13212" s="66"/>
      <c r="B13212" s="67"/>
      <c r="C13212" s="66"/>
      <c r="D13212" s="68"/>
      <c r="E13212" s="10"/>
      <c r="F13212" s="69"/>
      <c r="G13212" s="68"/>
      <c r="H13212" s="70"/>
      <c r="BA13212" s="4"/>
      <c r="BB13212" s="4"/>
    </row>
    <row r="13213" spans="1:54" x14ac:dyDescent="0.3">
      <c r="A13213" s="66"/>
      <c r="B13213" s="67"/>
      <c r="C13213" s="66"/>
      <c r="D13213" s="68"/>
      <c r="E13213" s="10"/>
      <c r="F13213" s="69"/>
      <c r="G13213" s="68"/>
      <c r="H13213" s="70"/>
      <c r="BA13213" s="4"/>
      <c r="BB13213" s="4"/>
    </row>
    <row r="13214" spans="1:54" x14ac:dyDescent="0.3">
      <c r="A13214" s="66"/>
      <c r="B13214" s="67"/>
      <c r="C13214" s="66"/>
      <c r="D13214" s="68"/>
      <c r="E13214" s="10"/>
      <c r="F13214" s="69"/>
      <c r="G13214" s="68"/>
      <c r="H13214" s="70"/>
      <c r="BA13214" s="4"/>
      <c r="BB13214" s="4"/>
    </row>
    <row r="13215" spans="1:54" x14ac:dyDescent="0.3">
      <c r="A13215" s="66"/>
      <c r="B13215" s="67"/>
      <c r="C13215" s="66"/>
      <c r="D13215" s="68"/>
      <c r="E13215" s="10"/>
      <c r="F13215" s="69"/>
      <c r="G13215" s="68"/>
      <c r="H13215" s="70"/>
      <c r="BA13215" s="4"/>
      <c r="BB13215" s="4"/>
    </row>
    <row r="13216" spans="1:54" x14ac:dyDescent="0.3">
      <c r="A13216" s="66"/>
      <c r="B13216" s="67"/>
      <c r="C13216" s="66"/>
      <c r="D13216" s="68"/>
      <c r="E13216" s="10"/>
      <c r="F13216" s="69"/>
      <c r="G13216" s="68"/>
      <c r="H13216" s="70"/>
      <c r="BA13216" s="4"/>
      <c r="BB13216" s="4"/>
    </row>
    <row r="13217" spans="1:54" x14ac:dyDescent="0.3">
      <c r="A13217" s="66"/>
      <c r="B13217" s="67"/>
      <c r="C13217" s="66"/>
      <c r="D13217" s="68"/>
      <c r="E13217" s="10"/>
      <c r="F13217" s="69"/>
      <c r="G13217" s="68"/>
      <c r="H13217" s="70"/>
      <c r="BA13217" s="4"/>
      <c r="BB13217" s="4"/>
    </row>
    <row r="13218" spans="1:54" x14ac:dyDescent="0.3">
      <c r="A13218" s="66"/>
      <c r="B13218" s="67"/>
      <c r="C13218" s="66"/>
      <c r="D13218" s="68"/>
      <c r="E13218" s="10"/>
      <c r="F13218" s="69"/>
      <c r="G13218" s="68"/>
      <c r="H13218" s="70"/>
      <c r="BA13218" s="4"/>
      <c r="BB13218" s="4"/>
    </row>
    <row r="13219" spans="1:54" x14ac:dyDescent="0.3">
      <c r="A13219" s="66"/>
      <c r="B13219" s="67"/>
      <c r="C13219" s="66"/>
      <c r="D13219" s="68"/>
      <c r="E13219" s="10"/>
      <c r="F13219" s="69"/>
      <c r="G13219" s="68"/>
      <c r="H13219" s="70"/>
      <c r="BA13219" s="4"/>
      <c r="BB13219" s="4"/>
    </row>
    <row r="13220" spans="1:54" x14ac:dyDescent="0.3">
      <c r="A13220" s="66"/>
      <c r="B13220" s="67"/>
      <c r="C13220" s="66"/>
      <c r="D13220" s="68"/>
      <c r="E13220" s="10"/>
      <c r="F13220" s="69"/>
      <c r="G13220" s="68"/>
      <c r="H13220" s="70"/>
      <c r="BA13220" s="4"/>
      <c r="BB13220" s="4"/>
    </row>
    <row r="13221" spans="1:54" x14ac:dyDescent="0.3">
      <c r="A13221" s="66"/>
      <c r="B13221" s="67"/>
      <c r="C13221" s="66"/>
      <c r="D13221" s="68"/>
      <c r="E13221" s="10"/>
      <c r="F13221" s="69"/>
      <c r="G13221" s="68"/>
      <c r="H13221" s="70"/>
      <c r="BA13221" s="4"/>
      <c r="BB13221" s="4"/>
    </row>
    <row r="13222" spans="1:54" x14ac:dyDescent="0.3">
      <c r="A13222" s="66"/>
      <c r="B13222" s="67"/>
      <c r="C13222" s="66"/>
      <c r="D13222" s="68"/>
      <c r="E13222" s="10"/>
      <c r="F13222" s="69"/>
      <c r="G13222" s="68"/>
      <c r="H13222" s="70"/>
      <c r="BA13222" s="4"/>
      <c r="BB13222" s="4"/>
    </row>
    <row r="13223" spans="1:54" x14ac:dyDescent="0.3">
      <c r="A13223" s="66"/>
      <c r="B13223" s="67"/>
      <c r="C13223" s="66"/>
      <c r="D13223" s="68"/>
      <c r="E13223" s="10"/>
      <c r="F13223" s="69"/>
      <c r="G13223" s="68"/>
      <c r="H13223" s="70"/>
      <c r="BA13223" s="4"/>
      <c r="BB13223" s="4"/>
    </row>
    <row r="13224" spans="1:54" x14ac:dyDescent="0.3">
      <c r="A13224" s="66"/>
      <c r="B13224" s="67"/>
      <c r="C13224" s="66"/>
      <c r="D13224" s="68"/>
      <c r="E13224" s="10"/>
      <c r="F13224" s="69"/>
      <c r="G13224" s="68"/>
      <c r="H13224" s="70"/>
      <c r="BA13224" s="4"/>
      <c r="BB13224" s="4"/>
    </row>
    <row r="13225" spans="1:54" x14ac:dyDescent="0.3">
      <c r="A13225" s="66"/>
      <c r="B13225" s="67"/>
      <c r="C13225" s="66"/>
      <c r="D13225" s="68"/>
      <c r="E13225" s="10"/>
      <c r="F13225" s="69"/>
      <c r="G13225" s="68"/>
      <c r="H13225" s="70"/>
      <c r="BA13225" s="4"/>
      <c r="BB13225" s="4"/>
    </row>
    <row r="13226" spans="1:54" x14ac:dyDescent="0.3">
      <c r="A13226" s="66"/>
      <c r="B13226" s="67"/>
      <c r="C13226" s="66"/>
      <c r="D13226" s="68"/>
      <c r="E13226" s="10"/>
      <c r="F13226" s="69"/>
      <c r="G13226" s="68"/>
      <c r="H13226" s="70"/>
      <c r="BA13226" s="4"/>
      <c r="BB13226" s="4"/>
    </row>
    <row r="13227" spans="1:54" x14ac:dyDescent="0.3">
      <c r="A13227" s="66"/>
      <c r="B13227" s="67"/>
      <c r="C13227" s="66"/>
      <c r="D13227" s="68"/>
      <c r="E13227" s="10"/>
      <c r="F13227" s="69"/>
      <c r="G13227" s="68"/>
      <c r="H13227" s="70"/>
      <c r="BA13227" s="4"/>
      <c r="BB13227" s="4"/>
    </row>
    <row r="13228" spans="1:54" x14ac:dyDescent="0.3">
      <c r="A13228" s="66"/>
      <c r="B13228" s="67"/>
      <c r="C13228" s="66"/>
      <c r="D13228" s="68"/>
      <c r="E13228" s="10"/>
      <c r="F13228" s="69"/>
      <c r="G13228" s="68"/>
      <c r="H13228" s="70"/>
      <c r="BA13228" s="4"/>
      <c r="BB13228" s="4"/>
    </row>
    <row r="13229" spans="1:54" x14ac:dyDescent="0.3">
      <c r="A13229" s="66"/>
      <c r="B13229" s="67"/>
      <c r="C13229" s="66"/>
      <c r="D13229" s="68"/>
      <c r="E13229" s="10"/>
      <c r="F13229" s="69"/>
      <c r="G13229" s="68"/>
      <c r="H13229" s="70"/>
      <c r="BA13229" s="4"/>
      <c r="BB13229" s="4"/>
    </row>
    <row r="13230" spans="1:54" x14ac:dyDescent="0.3">
      <c r="A13230" s="66"/>
      <c r="B13230" s="67"/>
      <c r="C13230" s="66"/>
      <c r="D13230" s="68"/>
      <c r="E13230" s="10"/>
      <c r="F13230" s="69"/>
      <c r="G13230" s="68"/>
      <c r="H13230" s="70"/>
      <c r="BA13230" s="4"/>
      <c r="BB13230" s="4"/>
    </row>
    <row r="13231" spans="1:54" x14ac:dyDescent="0.3">
      <c r="A13231" s="66"/>
      <c r="B13231" s="67"/>
      <c r="C13231" s="66"/>
      <c r="D13231" s="68"/>
      <c r="E13231" s="10"/>
      <c r="F13231" s="69"/>
      <c r="G13231" s="68"/>
      <c r="H13231" s="70"/>
      <c r="BA13231" s="4"/>
      <c r="BB13231" s="4"/>
    </row>
    <row r="13232" spans="1:54" x14ac:dyDescent="0.3">
      <c r="A13232" s="66"/>
      <c r="B13232" s="67"/>
      <c r="C13232" s="66"/>
      <c r="D13232" s="68"/>
      <c r="E13232" s="10"/>
      <c r="F13232" s="69"/>
      <c r="G13232" s="68"/>
      <c r="H13232" s="70"/>
      <c r="BA13232" s="4"/>
      <c r="BB13232" s="4"/>
    </row>
    <row r="13233" spans="1:54" x14ac:dyDescent="0.3">
      <c r="A13233" s="66"/>
      <c r="B13233" s="67"/>
      <c r="C13233" s="66"/>
      <c r="D13233" s="68"/>
      <c r="E13233" s="10"/>
      <c r="F13233" s="69"/>
      <c r="G13233" s="68"/>
      <c r="H13233" s="70"/>
      <c r="BA13233" s="4"/>
      <c r="BB13233" s="4"/>
    </row>
    <row r="13234" spans="1:54" x14ac:dyDescent="0.3">
      <c r="A13234" s="66"/>
      <c r="B13234" s="67"/>
      <c r="C13234" s="66"/>
      <c r="D13234" s="68"/>
      <c r="E13234" s="10"/>
      <c r="F13234" s="69"/>
      <c r="G13234" s="68"/>
      <c r="H13234" s="70"/>
      <c r="BA13234" s="4"/>
      <c r="BB13234" s="4"/>
    </row>
    <row r="13235" spans="1:54" x14ac:dyDescent="0.3">
      <c r="A13235" s="66"/>
      <c r="B13235" s="67"/>
      <c r="C13235" s="66"/>
      <c r="D13235" s="68"/>
      <c r="E13235" s="10"/>
      <c r="F13235" s="69"/>
      <c r="G13235" s="68"/>
      <c r="H13235" s="70"/>
      <c r="BA13235" s="4"/>
      <c r="BB13235" s="4"/>
    </row>
    <row r="13236" spans="1:54" x14ac:dyDescent="0.3">
      <c r="A13236" s="66"/>
      <c r="B13236" s="67"/>
      <c r="C13236" s="66"/>
      <c r="D13236" s="68"/>
      <c r="E13236" s="10"/>
      <c r="F13236" s="69"/>
      <c r="G13236" s="68"/>
      <c r="H13236" s="70"/>
      <c r="BA13236" s="4"/>
      <c r="BB13236" s="4"/>
    </row>
    <row r="13237" spans="1:54" x14ac:dyDescent="0.3">
      <c r="A13237" s="66"/>
      <c r="B13237" s="67"/>
      <c r="C13237" s="66"/>
      <c r="D13237" s="68"/>
      <c r="E13237" s="10"/>
      <c r="F13237" s="69"/>
      <c r="G13237" s="68"/>
      <c r="H13237" s="70"/>
      <c r="BA13237" s="4"/>
      <c r="BB13237" s="4"/>
    </row>
    <row r="13238" spans="1:54" x14ac:dyDescent="0.3">
      <c r="A13238" s="66"/>
      <c r="B13238" s="67"/>
      <c r="C13238" s="66"/>
      <c r="D13238" s="68"/>
      <c r="E13238" s="10"/>
      <c r="F13238" s="69"/>
      <c r="G13238" s="68"/>
      <c r="H13238" s="70"/>
      <c r="BA13238" s="4"/>
      <c r="BB13238" s="4"/>
    </row>
    <row r="13239" spans="1:54" x14ac:dyDescent="0.3">
      <c r="A13239" s="66"/>
      <c r="B13239" s="67"/>
      <c r="C13239" s="66"/>
      <c r="D13239" s="68"/>
      <c r="E13239" s="10"/>
      <c r="F13239" s="69"/>
      <c r="G13239" s="68"/>
      <c r="H13239" s="70"/>
      <c r="BA13239" s="4"/>
      <c r="BB13239" s="4"/>
    </row>
    <row r="13240" spans="1:54" x14ac:dyDescent="0.3">
      <c r="A13240" s="66"/>
      <c r="B13240" s="67"/>
      <c r="C13240" s="66"/>
      <c r="D13240" s="68"/>
      <c r="E13240" s="10"/>
      <c r="F13240" s="69"/>
      <c r="G13240" s="68"/>
      <c r="H13240" s="70"/>
      <c r="BA13240" s="4"/>
      <c r="BB13240" s="4"/>
    </row>
    <row r="13241" spans="1:54" x14ac:dyDescent="0.3">
      <c r="A13241" s="66"/>
      <c r="B13241" s="67"/>
      <c r="C13241" s="66"/>
      <c r="D13241" s="68"/>
      <c r="E13241" s="10"/>
      <c r="F13241" s="69"/>
      <c r="G13241" s="68"/>
      <c r="H13241" s="70"/>
      <c r="BA13241" s="4"/>
      <c r="BB13241" s="4"/>
    </row>
    <row r="13242" spans="1:54" x14ac:dyDescent="0.3">
      <c r="A13242" s="66"/>
      <c r="B13242" s="67"/>
      <c r="C13242" s="66"/>
      <c r="D13242" s="68"/>
      <c r="E13242" s="10"/>
      <c r="F13242" s="69"/>
      <c r="G13242" s="68"/>
      <c r="H13242" s="70"/>
      <c r="BA13242" s="4"/>
      <c r="BB13242" s="4"/>
    </row>
    <row r="13243" spans="1:54" x14ac:dyDescent="0.3">
      <c r="A13243" s="66"/>
      <c r="B13243" s="67"/>
      <c r="C13243" s="66"/>
      <c r="D13243" s="68"/>
      <c r="E13243" s="10"/>
      <c r="F13243" s="69"/>
      <c r="G13243" s="68"/>
      <c r="H13243" s="70"/>
      <c r="BA13243" s="4"/>
      <c r="BB13243" s="4"/>
    </row>
    <row r="13244" spans="1:54" x14ac:dyDescent="0.3">
      <c r="A13244" s="66"/>
      <c r="B13244" s="67"/>
      <c r="C13244" s="66"/>
      <c r="D13244" s="68"/>
      <c r="E13244" s="10"/>
      <c r="F13244" s="69"/>
      <c r="G13244" s="68"/>
      <c r="H13244" s="70"/>
      <c r="BA13244" s="4"/>
      <c r="BB13244" s="4"/>
    </row>
    <row r="13245" spans="1:54" x14ac:dyDescent="0.3">
      <c r="A13245" s="66"/>
      <c r="B13245" s="67"/>
      <c r="C13245" s="66"/>
      <c r="D13245" s="68"/>
      <c r="E13245" s="10"/>
      <c r="F13245" s="69"/>
      <c r="G13245" s="68"/>
      <c r="H13245" s="70"/>
      <c r="BA13245" s="4"/>
      <c r="BB13245" s="4"/>
    </row>
    <row r="13246" spans="1:54" x14ac:dyDescent="0.3">
      <c r="A13246" s="66"/>
      <c r="B13246" s="67"/>
      <c r="C13246" s="66"/>
      <c r="D13246" s="68"/>
      <c r="E13246" s="10"/>
      <c r="F13246" s="69"/>
      <c r="G13246" s="68"/>
      <c r="H13246" s="70"/>
      <c r="BA13246" s="4"/>
      <c r="BB13246" s="4"/>
    </row>
    <row r="13247" spans="1:54" x14ac:dyDescent="0.3">
      <c r="A13247" s="66"/>
      <c r="B13247" s="67"/>
      <c r="C13247" s="66"/>
      <c r="D13247" s="68"/>
      <c r="E13247" s="10"/>
      <c r="F13247" s="69"/>
      <c r="G13247" s="68"/>
      <c r="H13247" s="70"/>
      <c r="BA13247" s="4"/>
      <c r="BB13247" s="4"/>
    </row>
    <row r="13248" spans="1:54" x14ac:dyDescent="0.3">
      <c r="A13248" s="66"/>
      <c r="B13248" s="67"/>
      <c r="C13248" s="66"/>
      <c r="D13248" s="68"/>
      <c r="E13248" s="10"/>
      <c r="F13248" s="69"/>
      <c r="G13248" s="68"/>
      <c r="H13248" s="70"/>
      <c r="BA13248" s="4"/>
      <c r="BB13248" s="4"/>
    </row>
    <row r="13249" spans="1:54" x14ac:dyDescent="0.3">
      <c r="A13249" s="66"/>
      <c r="B13249" s="67"/>
      <c r="C13249" s="66"/>
      <c r="D13249" s="68"/>
      <c r="E13249" s="10"/>
      <c r="F13249" s="69"/>
      <c r="G13249" s="68"/>
      <c r="H13249" s="70"/>
      <c r="BA13249" s="4"/>
      <c r="BB13249" s="4"/>
    </row>
    <row r="13250" spans="1:54" x14ac:dyDescent="0.3">
      <c r="A13250" s="66"/>
      <c r="B13250" s="67"/>
      <c r="C13250" s="66"/>
      <c r="D13250" s="68"/>
      <c r="E13250" s="10"/>
      <c r="F13250" s="69"/>
      <c r="G13250" s="68"/>
      <c r="H13250" s="70"/>
      <c r="BA13250" s="4"/>
      <c r="BB13250" s="4"/>
    </row>
    <row r="13251" spans="1:54" x14ac:dyDescent="0.3">
      <c r="A13251" s="66"/>
      <c r="B13251" s="67"/>
      <c r="C13251" s="66"/>
      <c r="D13251" s="68"/>
      <c r="E13251" s="10"/>
      <c r="F13251" s="69"/>
      <c r="G13251" s="68"/>
      <c r="H13251" s="70"/>
      <c r="BA13251" s="4"/>
      <c r="BB13251" s="4"/>
    </row>
    <row r="13252" spans="1:54" x14ac:dyDescent="0.3">
      <c r="A13252" s="66"/>
      <c r="B13252" s="67"/>
      <c r="C13252" s="66"/>
      <c r="D13252" s="68"/>
      <c r="E13252" s="10"/>
      <c r="F13252" s="69"/>
      <c r="G13252" s="68"/>
      <c r="H13252" s="70"/>
      <c r="BA13252" s="4"/>
      <c r="BB13252" s="4"/>
    </row>
    <row r="13253" spans="1:54" x14ac:dyDescent="0.3">
      <c r="A13253" s="66"/>
      <c r="B13253" s="67"/>
      <c r="C13253" s="66"/>
      <c r="D13253" s="68"/>
      <c r="E13253" s="10"/>
      <c r="F13253" s="69"/>
      <c r="G13253" s="68"/>
      <c r="H13253" s="70"/>
      <c r="BA13253" s="4"/>
      <c r="BB13253" s="4"/>
    </row>
    <row r="13254" spans="1:54" x14ac:dyDescent="0.3">
      <c r="A13254" s="66"/>
      <c r="B13254" s="67"/>
      <c r="C13254" s="66"/>
      <c r="D13254" s="68"/>
      <c r="E13254" s="10"/>
      <c r="F13254" s="69"/>
      <c r="G13254" s="68"/>
      <c r="H13254" s="70"/>
      <c r="BA13254" s="4"/>
      <c r="BB13254" s="4"/>
    </row>
    <row r="13255" spans="1:54" x14ac:dyDescent="0.3">
      <c r="A13255" s="66"/>
      <c r="B13255" s="67"/>
      <c r="C13255" s="66"/>
      <c r="D13255" s="68"/>
      <c r="E13255" s="10"/>
      <c r="F13255" s="69"/>
      <c r="G13255" s="68"/>
      <c r="H13255" s="70"/>
      <c r="BA13255" s="4"/>
      <c r="BB13255" s="4"/>
    </row>
    <row r="13256" spans="1:54" x14ac:dyDescent="0.3">
      <c r="A13256" s="66"/>
      <c r="B13256" s="67"/>
      <c r="C13256" s="66"/>
      <c r="D13256" s="68"/>
      <c r="E13256" s="10"/>
      <c r="F13256" s="69"/>
      <c r="G13256" s="68"/>
      <c r="H13256" s="70"/>
      <c r="BA13256" s="4"/>
      <c r="BB13256" s="4"/>
    </row>
    <row r="13257" spans="1:54" x14ac:dyDescent="0.3">
      <c r="A13257" s="66"/>
      <c r="B13257" s="67"/>
      <c r="C13257" s="66"/>
      <c r="D13257" s="68"/>
      <c r="E13257" s="10"/>
      <c r="F13257" s="69"/>
      <c r="G13257" s="68"/>
      <c r="H13257" s="70"/>
      <c r="BA13257" s="4"/>
      <c r="BB13257" s="4"/>
    </row>
    <row r="13258" spans="1:54" x14ac:dyDescent="0.3">
      <c r="A13258" s="66"/>
      <c r="B13258" s="67"/>
      <c r="C13258" s="66"/>
      <c r="D13258" s="68"/>
      <c r="E13258" s="10"/>
      <c r="F13258" s="69"/>
      <c r="G13258" s="68"/>
      <c r="H13258" s="70"/>
      <c r="BA13258" s="4"/>
      <c r="BB13258" s="4"/>
    </row>
    <row r="13259" spans="1:54" x14ac:dyDescent="0.3">
      <c r="A13259" s="66"/>
      <c r="B13259" s="67"/>
      <c r="C13259" s="66"/>
      <c r="D13259" s="68"/>
      <c r="E13259" s="10"/>
      <c r="F13259" s="69"/>
      <c r="G13259" s="68"/>
      <c r="H13259" s="70"/>
      <c r="BA13259" s="4"/>
      <c r="BB13259" s="4"/>
    </row>
    <row r="13260" spans="1:54" x14ac:dyDescent="0.3">
      <c r="A13260" s="66"/>
      <c r="B13260" s="67"/>
      <c r="C13260" s="66"/>
      <c r="D13260" s="68"/>
      <c r="E13260" s="10"/>
      <c r="F13260" s="69"/>
      <c r="G13260" s="68"/>
      <c r="H13260" s="70"/>
      <c r="BA13260" s="4"/>
      <c r="BB13260" s="4"/>
    </row>
    <row r="13261" spans="1:54" x14ac:dyDescent="0.3">
      <c r="A13261" s="66"/>
      <c r="B13261" s="67"/>
      <c r="C13261" s="66"/>
      <c r="D13261" s="68"/>
      <c r="E13261" s="10"/>
      <c r="F13261" s="69"/>
      <c r="G13261" s="68"/>
      <c r="H13261" s="70"/>
      <c r="BA13261" s="4"/>
      <c r="BB13261" s="4"/>
    </row>
    <row r="13262" spans="1:54" x14ac:dyDescent="0.3">
      <c r="A13262" s="66"/>
      <c r="B13262" s="67"/>
      <c r="C13262" s="66"/>
      <c r="D13262" s="68"/>
      <c r="E13262" s="10"/>
      <c r="F13262" s="69"/>
      <c r="G13262" s="68"/>
      <c r="H13262" s="70"/>
      <c r="BA13262" s="4"/>
      <c r="BB13262" s="4"/>
    </row>
    <row r="13263" spans="1:54" x14ac:dyDescent="0.3">
      <c r="A13263" s="66"/>
      <c r="B13263" s="67"/>
      <c r="C13263" s="66"/>
      <c r="D13263" s="68"/>
      <c r="E13263" s="10"/>
      <c r="F13263" s="69"/>
      <c r="G13263" s="68"/>
      <c r="H13263" s="70"/>
      <c r="BA13263" s="4"/>
      <c r="BB13263" s="4"/>
    </row>
    <row r="13264" spans="1:54" x14ac:dyDescent="0.3">
      <c r="A13264" s="66"/>
      <c r="B13264" s="67"/>
      <c r="C13264" s="66"/>
      <c r="D13264" s="68"/>
      <c r="E13264" s="10"/>
      <c r="F13264" s="69"/>
      <c r="G13264" s="68"/>
      <c r="H13264" s="70"/>
      <c r="BA13264" s="4"/>
      <c r="BB13264" s="4"/>
    </row>
    <row r="13265" spans="1:54" x14ac:dyDescent="0.3">
      <c r="A13265" s="66"/>
      <c r="B13265" s="67"/>
      <c r="C13265" s="66"/>
      <c r="D13265" s="68"/>
      <c r="E13265" s="10"/>
      <c r="F13265" s="69"/>
      <c r="G13265" s="68"/>
      <c r="H13265" s="70"/>
      <c r="BA13265" s="4"/>
      <c r="BB13265" s="4"/>
    </row>
    <row r="13266" spans="1:54" x14ac:dyDescent="0.3">
      <c r="A13266" s="66"/>
      <c r="B13266" s="67"/>
      <c r="C13266" s="66"/>
      <c r="D13266" s="68"/>
      <c r="E13266" s="10"/>
      <c r="F13266" s="69"/>
      <c r="G13266" s="68"/>
      <c r="H13266" s="70"/>
      <c r="BA13266" s="4"/>
      <c r="BB13266" s="4"/>
    </row>
    <row r="13267" spans="1:54" x14ac:dyDescent="0.3">
      <c r="A13267" s="66"/>
      <c r="B13267" s="67"/>
      <c r="C13267" s="66"/>
      <c r="D13267" s="68"/>
      <c r="E13267" s="10"/>
      <c r="F13267" s="69"/>
      <c r="G13267" s="68"/>
      <c r="H13267" s="70"/>
      <c r="BA13267" s="4"/>
      <c r="BB13267" s="4"/>
    </row>
    <row r="13268" spans="1:54" x14ac:dyDescent="0.3">
      <c r="A13268" s="66"/>
      <c r="B13268" s="67"/>
      <c r="C13268" s="66"/>
      <c r="D13268" s="68"/>
      <c r="E13268" s="10"/>
      <c r="F13268" s="69"/>
      <c r="G13268" s="68"/>
      <c r="H13268" s="70"/>
      <c r="BA13268" s="4"/>
      <c r="BB13268" s="4"/>
    </row>
    <row r="13269" spans="1:54" x14ac:dyDescent="0.3">
      <c r="A13269" s="66"/>
      <c r="B13269" s="67"/>
      <c r="C13269" s="66"/>
      <c r="D13269" s="68"/>
      <c r="E13269" s="10"/>
      <c r="F13269" s="69"/>
      <c r="G13269" s="68"/>
      <c r="H13269" s="70"/>
      <c r="BA13269" s="4"/>
      <c r="BB13269" s="4"/>
    </row>
    <row r="13270" spans="1:54" x14ac:dyDescent="0.3">
      <c r="A13270" s="66"/>
      <c r="B13270" s="67"/>
      <c r="C13270" s="66"/>
      <c r="D13270" s="68"/>
      <c r="E13270" s="10"/>
      <c r="F13270" s="69"/>
      <c r="G13270" s="68"/>
      <c r="H13270" s="70"/>
      <c r="BA13270" s="4"/>
      <c r="BB13270" s="4"/>
    </row>
    <row r="13271" spans="1:54" x14ac:dyDescent="0.3">
      <c r="A13271" s="66"/>
      <c r="B13271" s="67"/>
      <c r="C13271" s="66"/>
      <c r="D13271" s="68"/>
      <c r="E13271" s="10"/>
      <c r="F13271" s="69"/>
      <c r="G13271" s="68"/>
      <c r="H13271" s="70"/>
      <c r="BA13271" s="4"/>
      <c r="BB13271" s="4"/>
    </row>
    <row r="13272" spans="1:54" x14ac:dyDescent="0.3">
      <c r="A13272" s="66"/>
      <c r="B13272" s="67"/>
      <c r="C13272" s="66"/>
      <c r="D13272" s="68"/>
      <c r="E13272" s="10"/>
      <c r="F13272" s="69"/>
      <c r="G13272" s="68"/>
      <c r="H13272" s="70"/>
      <c r="BA13272" s="4"/>
      <c r="BB13272" s="4"/>
    </row>
    <row r="13273" spans="1:54" x14ac:dyDescent="0.3">
      <c r="A13273" s="66"/>
      <c r="B13273" s="67"/>
      <c r="C13273" s="66"/>
      <c r="D13273" s="68"/>
      <c r="E13273" s="10"/>
      <c r="F13273" s="69"/>
      <c r="G13273" s="68"/>
      <c r="H13273" s="70"/>
      <c r="BA13273" s="4"/>
      <c r="BB13273" s="4"/>
    </row>
    <row r="13274" spans="1:54" x14ac:dyDescent="0.3">
      <c r="A13274" s="66"/>
      <c r="B13274" s="67"/>
      <c r="C13274" s="66"/>
      <c r="D13274" s="68"/>
      <c r="E13274" s="10"/>
      <c r="F13274" s="69"/>
      <c r="G13274" s="68"/>
      <c r="H13274" s="70"/>
      <c r="BA13274" s="4"/>
      <c r="BB13274" s="4"/>
    </row>
    <row r="13275" spans="1:54" x14ac:dyDescent="0.3">
      <c r="A13275" s="66"/>
      <c r="B13275" s="67"/>
      <c r="C13275" s="66"/>
      <c r="D13275" s="68"/>
      <c r="E13275" s="10"/>
      <c r="F13275" s="69"/>
      <c r="G13275" s="68"/>
      <c r="H13275" s="70"/>
      <c r="BA13275" s="4"/>
      <c r="BB13275" s="4"/>
    </row>
    <row r="13276" spans="1:54" x14ac:dyDescent="0.3">
      <c r="A13276" s="66"/>
      <c r="B13276" s="67"/>
      <c r="C13276" s="66"/>
      <c r="D13276" s="68"/>
      <c r="E13276" s="10"/>
      <c r="F13276" s="69"/>
      <c r="G13276" s="68"/>
      <c r="H13276" s="70"/>
      <c r="BA13276" s="4"/>
      <c r="BB13276" s="4"/>
    </row>
    <row r="13277" spans="1:54" x14ac:dyDescent="0.3">
      <c r="A13277" s="66"/>
      <c r="B13277" s="67"/>
      <c r="C13277" s="66"/>
      <c r="D13277" s="68"/>
      <c r="E13277" s="10"/>
      <c r="F13277" s="69"/>
      <c r="G13277" s="68"/>
      <c r="H13277" s="70"/>
      <c r="BA13277" s="4"/>
      <c r="BB13277" s="4"/>
    </row>
    <row r="13278" spans="1:54" x14ac:dyDescent="0.3">
      <c r="A13278" s="66"/>
      <c r="B13278" s="67"/>
      <c r="C13278" s="66"/>
      <c r="D13278" s="68"/>
      <c r="E13278" s="10"/>
      <c r="F13278" s="69"/>
      <c r="G13278" s="68"/>
      <c r="H13278" s="70"/>
      <c r="BA13278" s="4"/>
      <c r="BB13278" s="4"/>
    </row>
    <row r="13279" spans="1:54" x14ac:dyDescent="0.3">
      <c r="A13279" s="66"/>
      <c r="B13279" s="67"/>
      <c r="C13279" s="66"/>
      <c r="D13279" s="68"/>
      <c r="E13279" s="10"/>
      <c r="F13279" s="69"/>
      <c r="G13279" s="68"/>
      <c r="H13279" s="70"/>
      <c r="BA13279" s="4"/>
      <c r="BB13279" s="4"/>
    </row>
    <row r="13280" spans="1:54" x14ac:dyDescent="0.3">
      <c r="A13280" s="66"/>
      <c r="B13280" s="67"/>
      <c r="C13280" s="66"/>
      <c r="D13280" s="68"/>
      <c r="E13280" s="10"/>
      <c r="F13280" s="69"/>
      <c r="G13280" s="68"/>
      <c r="H13280" s="70"/>
      <c r="BA13280" s="4"/>
      <c r="BB13280" s="4"/>
    </row>
    <row r="13281" spans="1:54" x14ac:dyDescent="0.3">
      <c r="A13281" s="66"/>
      <c r="B13281" s="67"/>
      <c r="C13281" s="66"/>
      <c r="D13281" s="68"/>
      <c r="E13281" s="10"/>
      <c r="F13281" s="69"/>
      <c r="G13281" s="68"/>
      <c r="H13281" s="70"/>
      <c r="BA13281" s="4"/>
      <c r="BB13281" s="4"/>
    </row>
    <row r="13282" spans="1:54" x14ac:dyDescent="0.3">
      <c r="A13282" s="66"/>
      <c r="B13282" s="67"/>
      <c r="C13282" s="66"/>
      <c r="D13282" s="68"/>
      <c r="E13282" s="10"/>
      <c r="F13282" s="69"/>
      <c r="G13282" s="68"/>
      <c r="H13282" s="70"/>
      <c r="BA13282" s="4"/>
      <c r="BB13282" s="4"/>
    </row>
    <row r="13283" spans="1:54" x14ac:dyDescent="0.3">
      <c r="A13283" s="66"/>
      <c r="B13283" s="67"/>
      <c r="C13283" s="66"/>
      <c r="D13283" s="68"/>
      <c r="E13283" s="10"/>
      <c r="F13283" s="69"/>
      <c r="G13283" s="68"/>
      <c r="H13283" s="70"/>
      <c r="BA13283" s="4"/>
      <c r="BB13283" s="4"/>
    </row>
    <row r="13284" spans="1:54" x14ac:dyDescent="0.3">
      <c r="A13284" s="66"/>
      <c r="B13284" s="67"/>
      <c r="C13284" s="66"/>
      <c r="D13284" s="68"/>
      <c r="E13284" s="10"/>
      <c r="F13284" s="69"/>
      <c r="G13284" s="68"/>
      <c r="H13284" s="70"/>
      <c r="BA13284" s="4"/>
      <c r="BB13284" s="4"/>
    </row>
    <row r="13285" spans="1:54" x14ac:dyDescent="0.3">
      <c r="A13285" s="66"/>
      <c r="B13285" s="67"/>
      <c r="C13285" s="66"/>
      <c r="D13285" s="68"/>
      <c r="E13285" s="10"/>
      <c r="F13285" s="69"/>
      <c r="G13285" s="68"/>
      <c r="H13285" s="70"/>
      <c r="BA13285" s="4"/>
      <c r="BB13285" s="4"/>
    </row>
    <row r="13286" spans="1:54" x14ac:dyDescent="0.3">
      <c r="A13286" s="66"/>
      <c r="B13286" s="67"/>
      <c r="C13286" s="66"/>
      <c r="D13286" s="68"/>
      <c r="E13286" s="10"/>
      <c r="F13286" s="69"/>
      <c r="G13286" s="68"/>
      <c r="H13286" s="70"/>
      <c r="BA13286" s="4"/>
      <c r="BB13286" s="4"/>
    </row>
    <row r="13287" spans="1:54" x14ac:dyDescent="0.3">
      <c r="A13287" s="66"/>
      <c r="B13287" s="67"/>
      <c r="C13287" s="66"/>
      <c r="D13287" s="68"/>
      <c r="E13287" s="10"/>
      <c r="F13287" s="69"/>
      <c r="G13287" s="68"/>
      <c r="H13287" s="70"/>
      <c r="BA13287" s="4"/>
      <c r="BB13287" s="4"/>
    </row>
    <row r="13288" spans="1:54" x14ac:dyDescent="0.3">
      <c r="A13288" s="66"/>
      <c r="B13288" s="67"/>
      <c r="C13288" s="66"/>
      <c r="D13288" s="68"/>
      <c r="E13288" s="10"/>
      <c r="F13288" s="69"/>
      <c r="G13288" s="68"/>
      <c r="H13288" s="70"/>
      <c r="BA13288" s="4"/>
      <c r="BB13288" s="4"/>
    </row>
    <row r="13289" spans="1:54" x14ac:dyDescent="0.3">
      <c r="A13289" s="66"/>
      <c r="B13289" s="67"/>
      <c r="C13289" s="66"/>
      <c r="D13289" s="68"/>
      <c r="E13289" s="10"/>
      <c r="F13289" s="69"/>
      <c r="G13289" s="68"/>
      <c r="H13289" s="70"/>
      <c r="BA13289" s="4"/>
      <c r="BB13289" s="4"/>
    </row>
    <row r="13290" spans="1:54" x14ac:dyDescent="0.3">
      <c r="A13290" s="66"/>
      <c r="B13290" s="67"/>
      <c r="C13290" s="66"/>
      <c r="D13290" s="68"/>
      <c r="E13290" s="10"/>
      <c r="F13290" s="69"/>
      <c r="G13290" s="68"/>
      <c r="H13290" s="70"/>
      <c r="BA13290" s="4"/>
      <c r="BB13290" s="4"/>
    </row>
    <row r="13291" spans="1:54" x14ac:dyDescent="0.3">
      <c r="A13291" s="66"/>
      <c r="B13291" s="67"/>
      <c r="C13291" s="66"/>
      <c r="D13291" s="68"/>
      <c r="E13291" s="10"/>
      <c r="F13291" s="69"/>
      <c r="G13291" s="68"/>
      <c r="H13291" s="70"/>
      <c r="BA13291" s="4"/>
      <c r="BB13291" s="4"/>
    </row>
    <row r="13292" spans="1:54" x14ac:dyDescent="0.3">
      <c r="A13292" s="66"/>
      <c r="B13292" s="67"/>
      <c r="C13292" s="66"/>
      <c r="D13292" s="68"/>
      <c r="E13292" s="10"/>
      <c r="F13292" s="69"/>
      <c r="G13292" s="68"/>
      <c r="H13292" s="70"/>
      <c r="BA13292" s="4"/>
      <c r="BB13292" s="4"/>
    </row>
    <row r="13293" spans="1:54" x14ac:dyDescent="0.3">
      <c r="A13293" s="66"/>
      <c r="B13293" s="67"/>
      <c r="C13293" s="66"/>
      <c r="D13293" s="68"/>
      <c r="E13293" s="10"/>
      <c r="F13293" s="69"/>
      <c r="G13293" s="68"/>
      <c r="H13293" s="70"/>
      <c r="BA13293" s="4"/>
      <c r="BB13293" s="4"/>
    </row>
    <row r="13294" spans="1:54" x14ac:dyDescent="0.3">
      <c r="A13294" s="66"/>
      <c r="B13294" s="67"/>
      <c r="C13294" s="66"/>
      <c r="D13294" s="68"/>
      <c r="E13294" s="10"/>
      <c r="F13294" s="69"/>
      <c r="G13294" s="68"/>
      <c r="H13294" s="70"/>
      <c r="BA13294" s="4"/>
      <c r="BB13294" s="4"/>
    </row>
    <row r="13295" spans="1:54" x14ac:dyDescent="0.3">
      <c r="A13295" s="66"/>
      <c r="B13295" s="67"/>
      <c r="C13295" s="66"/>
      <c r="D13295" s="68"/>
      <c r="E13295" s="10"/>
      <c r="F13295" s="69"/>
      <c r="G13295" s="68"/>
      <c r="H13295" s="70"/>
      <c r="BA13295" s="4"/>
      <c r="BB13295" s="4"/>
    </row>
    <row r="13296" spans="1:54" x14ac:dyDescent="0.3">
      <c r="A13296" s="66"/>
      <c r="B13296" s="67"/>
      <c r="C13296" s="66"/>
      <c r="D13296" s="68"/>
      <c r="E13296" s="10"/>
      <c r="F13296" s="69"/>
      <c r="G13296" s="68"/>
      <c r="H13296" s="70"/>
      <c r="BA13296" s="4"/>
      <c r="BB13296" s="4"/>
    </row>
    <row r="13297" spans="1:54" x14ac:dyDescent="0.3">
      <c r="A13297" s="66"/>
      <c r="B13297" s="67"/>
      <c r="C13297" s="66"/>
      <c r="D13297" s="68"/>
      <c r="E13297" s="10"/>
      <c r="F13297" s="69"/>
      <c r="G13297" s="68"/>
      <c r="H13297" s="70"/>
      <c r="BA13297" s="4"/>
      <c r="BB13297" s="4"/>
    </row>
    <row r="13298" spans="1:54" x14ac:dyDescent="0.3">
      <c r="A13298" s="66"/>
      <c r="B13298" s="67"/>
      <c r="C13298" s="66"/>
      <c r="D13298" s="68"/>
      <c r="E13298" s="10"/>
      <c r="F13298" s="69"/>
      <c r="G13298" s="68"/>
      <c r="H13298" s="70"/>
      <c r="BA13298" s="4"/>
      <c r="BB13298" s="4"/>
    </row>
    <row r="13299" spans="1:54" x14ac:dyDescent="0.3">
      <c r="A13299" s="66"/>
      <c r="B13299" s="67"/>
      <c r="C13299" s="66"/>
      <c r="D13299" s="68"/>
      <c r="E13299" s="10"/>
      <c r="F13299" s="69"/>
      <c r="G13299" s="68"/>
      <c r="H13299" s="70"/>
      <c r="BA13299" s="4"/>
      <c r="BB13299" s="4"/>
    </row>
    <row r="13300" spans="1:54" x14ac:dyDescent="0.3">
      <c r="A13300" s="66"/>
      <c r="B13300" s="67"/>
      <c r="C13300" s="66"/>
      <c r="D13300" s="68"/>
      <c r="E13300" s="10"/>
      <c r="F13300" s="69"/>
      <c r="G13300" s="68"/>
      <c r="H13300" s="70"/>
      <c r="BA13300" s="4"/>
      <c r="BB13300" s="4"/>
    </row>
    <row r="13301" spans="1:54" x14ac:dyDescent="0.3">
      <c r="A13301" s="66"/>
      <c r="B13301" s="67"/>
      <c r="C13301" s="66"/>
      <c r="D13301" s="68"/>
      <c r="E13301" s="10"/>
      <c r="F13301" s="69"/>
      <c r="G13301" s="68"/>
      <c r="H13301" s="70"/>
      <c r="BA13301" s="4"/>
      <c r="BB13301" s="4"/>
    </row>
    <row r="13302" spans="1:54" x14ac:dyDescent="0.3">
      <c r="A13302" s="66"/>
      <c r="B13302" s="67"/>
      <c r="C13302" s="66"/>
      <c r="D13302" s="68"/>
      <c r="E13302" s="10"/>
      <c r="F13302" s="69"/>
      <c r="G13302" s="68"/>
      <c r="H13302" s="70"/>
      <c r="BA13302" s="4"/>
      <c r="BB13302" s="4"/>
    </row>
    <row r="13303" spans="1:54" x14ac:dyDescent="0.3">
      <c r="A13303" s="66"/>
      <c r="B13303" s="67"/>
      <c r="C13303" s="66"/>
      <c r="D13303" s="68"/>
      <c r="E13303" s="10"/>
      <c r="F13303" s="69"/>
      <c r="G13303" s="68"/>
      <c r="H13303" s="70"/>
      <c r="BA13303" s="4"/>
      <c r="BB13303" s="4"/>
    </row>
    <row r="13304" spans="1:54" x14ac:dyDescent="0.3">
      <c r="A13304" s="66"/>
      <c r="B13304" s="67"/>
      <c r="C13304" s="66"/>
      <c r="D13304" s="68"/>
      <c r="E13304" s="10"/>
      <c r="F13304" s="69"/>
      <c r="G13304" s="68"/>
      <c r="H13304" s="70"/>
      <c r="BA13304" s="4"/>
      <c r="BB13304" s="4"/>
    </row>
    <row r="13305" spans="1:54" x14ac:dyDescent="0.3">
      <c r="A13305" s="66"/>
      <c r="B13305" s="67"/>
      <c r="C13305" s="66"/>
      <c r="D13305" s="68"/>
      <c r="E13305" s="10"/>
      <c r="F13305" s="69"/>
      <c r="G13305" s="68"/>
      <c r="H13305" s="70"/>
      <c r="BA13305" s="4"/>
      <c r="BB13305" s="4"/>
    </row>
    <row r="13306" spans="1:54" x14ac:dyDescent="0.3">
      <c r="A13306" s="66"/>
      <c r="B13306" s="67"/>
      <c r="C13306" s="66"/>
      <c r="D13306" s="68"/>
      <c r="E13306" s="10"/>
      <c r="F13306" s="69"/>
      <c r="G13306" s="68"/>
      <c r="H13306" s="70"/>
      <c r="BA13306" s="4"/>
      <c r="BB13306" s="4"/>
    </row>
    <row r="13307" spans="1:54" x14ac:dyDescent="0.3">
      <c r="A13307" s="66"/>
      <c r="B13307" s="67"/>
      <c r="C13307" s="66"/>
      <c r="D13307" s="68"/>
      <c r="E13307" s="10"/>
      <c r="F13307" s="69"/>
      <c r="G13307" s="68"/>
      <c r="H13307" s="70"/>
      <c r="BA13307" s="4"/>
      <c r="BB13307" s="4"/>
    </row>
    <row r="13308" spans="1:54" x14ac:dyDescent="0.3">
      <c r="A13308" s="66"/>
      <c r="B13308" s="67"/>
      <c r="C13308" s="66"/>
      <c r="D13308" s="68"/>
      <c r="E13308" s="10"/>
      <c r="F13308" s="69"/>
      <c r="G13308" s="68"/>
      <c r="H13308" s="70"/>
      <c r="BA13308" s="4"/>
      <c r="BB13308" s="4"/>
    </row>
    <row r="13309" spans="1:54" x14ac:dyDescent="0.3">
      <c r="A13309" s="66"/>
      <c r="B13309" s="67"/>
      <c r="C13309" s="66"/>
      <c r="D13309" s="68"/>
      <c r="E13309" s="10"/>
      <c r="F13309" s="69"/>
      <c r="G13309" s="68"/>
      <c r="H13309" s="70"/>
      <c r="BA13309" s="4"/>
      <c r="BB13309" s="4"/>
    </row>
    <row r="13310" spans="1:54" x14ac:dyDescent="0.3">
      <c r="A13310" s="66"/>
      <c r="B13310" s="67"/>
      <c r="C13310" s="66"/>
      <c r="D13310" s="68"/>
      <c r="E13310" s="10"/>
      <c r="F13310" s="69"/>
      <c r="G13310" s="68"/>
      <c r="H13310" s="70"/>
      <c r="BA13310" s="4"/>
      <c r="BB13310" s="4"/>
    </row>
    <row r="13311" spans="1:54" x14ac:dyDescent="0.3">
      <c r="A13311" s="66"/>
      <c r="B13311" s="67"/>
      <c r="C13311" s="66"/>
      <c r="D13311" s="68"/>
      <c r="E13311" s="10"/>
      <c r="F13311" s="69"/>
      <c r="G13311" s="68"/>
      <c r="H13311" s="70"/>
      <c r="BA13311" s="4"/>
      <c r="BB13311" s="4"/>
    </row>
    <row r="13312" spans="1:54" x14ac:dyDescent="0.3">
      <c r="A13312" s="66"/>
      <c r="B13312" s="67"/>
      <c r="C13312" s="66"/>
      <c r="D13312" s="68"/>
      <c r="E13312" s="10"/>
      <c r="F13312" s="69"/>
      <c r="G13312" s="68"/>
      <c r="H13312" s="70"/>
      <c r="BA13312" s="4"/>
      <c r="BB13312" s="4"/>
    </row>
    <row r="13313" spans="1:54" x14ac:dyDescent="0.3">
      <c r="A13313" s="66"/>
      <c r="B13313" s="67"/>
      <c r="C13313" s="66"/>
      <c r="D13313" s="68"/>
      <c r="E13313" s="10"/>
      <c r="F13313" s="69"/>
      <c r="G13313" s="68"/>
      <c r="H13313" s="70"/>
      <c r="BA13313" s="4"/>
      <c r="BB13313" s="4"/>
    </row>
    <row r="13314" spans="1:54" x14ac:dyDescent="0.3">
      <c r="A13314" s="66"/>
      <c r="B13314" s="67"/>
      <c r="C13314" s="66"/>
      <c r="D13314" s="68"/>
      <c r="E13314" s="10"/>
      <c r="F13314" s="69"/>
      <c r="G13314" s="68"/>
      <c r="H13314" s="70"/>
      <c r="BA13314" s="4"/>
      <c r="BB13314" s="4"/>
    </row>
    <row r="13315" spans="1:54" x14ac:dyDescent="0.3">
      <c r="A13315" s="66"/>
      <c r="B13315" s="67"/>
      <c r="C13315" s="66"/>
      <c r="D13315" s="68"/>
      <c r="E13315" s="10"/>
      <c r="F13315" s="69"/>
      <c r="G13315" s="68"/>
      <c r="H13315" s="70"/>
      <c r="BA13315" s="4"/>
      <c r="BB13315" s="4"/>
    </row>
    <row r="13316" spans="1:54" x14ac:dyDescent="0.3">
      <c r="A13316" s="66"/>
      <c r="B13316" s="67"/>
      <c r="C13316" s="66"/>
      <c r="D13316" s="68"/>
      <c r="E13316" s="10"/>
      <c r="F13316" s="69"/>
      <c r="G13316" s="68"/>
      <c r="H13316" s="70"/>
      <c r="BA13316" s="4"/>
      <c r="BB13316" s="4"/>
    </row>
    <row r="13317" spans="1:54" x14ac:dyDescent="0.3">
      <c r="A13317" s="66"/>
      <c r="B13317" s="67"/>
      <c r="C13317" s="66"/>
      <c r="D13317" s="68"/>
      <c r="E13317" s="10"/>
      <c r="F13317" s="69"/>
      <c r="G13317" s="68"/>
      <c r="H13317" s="70"/>
      <c r="BA13317" s="4"/>
      <c r="BB13317" s="4"/>
    </row>
    <row r="13318" spans="1:54" x14ac:dyDescent="0.3">
      <c r="A13318" s="66"/>
      <c r="B13318" s="67"/>
      <c r="C13318" s="66"/>
      <c r="D13318" s="68"/>
      <c r="E13318" s="10"/>
      <c r="F13318" s="69"/>
      <c r="G13318" s="68"/>
      <c r="H13318" s="70"/>
      <c r="BA13318" s="4"/>
      <c r="BB13318" s="4"/>
    </row>
    <row r="13319" spans="1:54" x14ac:dyDescent="0.3">
      <c r="A13319" s="66"/>
      <c r="B13319" s="67"/>
      <c r="C13319" s="66"/>
      <c r="D13319" s="68"/>
      <c r="E13319" s="10"/>
      <c r="F13319" s="69"/>
      <c r="G13319" s="68"/>
      <c r="H13319" s="70"/>
      <c r="BA13319" s="4"/>
      <c r="BB13319" s="4"/>
    </row>
    <row r="13320" spans="1:54" x14ac:dyDescent="0.3">
      <c r="A13320" s="66"/>
      <c r="B13320" s="67"/>
      <c r="C13320" s="66"/>
      <c r="D13320" s="68"/>
      <c r="E13320" s="10"/>
      <c r="F13320" s="69"/>
      <c r="G13320" s="68"/>
      <c r="H13320" s="70"/>
      <c r="BA13320" s="4"/>
      <c r="BB13320" s="4"/>
    </row>
    <row r="13321" spans="1:54" x14ac:dyDescent="0.3">
      <c r="A13321" s="66"/>
      <c r="B13321" s="67"/>
      <c r="C13321" s="66"/>
      <c r="D13321" s="68"/>
      <c r="E13321" s="10"/>
      <c r="F13321" s="69"/>
      <c r="G13321" s="68"/>
      <c r="H13321" s="70"/>
      <c r="BA13321" s="4"/>
      <c r="BB13321" s="4"/>
    </row>
    <row r="13322" spans="1:54" x14ac:dyDescent="0.3">
      <c r="A13322" s="66"/>
      <c r="B13322" s="67"/>
      <c r="C13322" s="66"/>
      <c r="D13322" s="68"/>
      <c r="E13322" s="10"/>
      <c r="F13322" s="69"/>
      <c r="G13322" s="68"/>
      <c r="H13322" s="70"/>
      <c r="BA13322" s="4"/>
      <c r="BB13322" s="4"/>
    </row>
    <row r="13323" spans="1:54" x14ac:dyDescent="0.3">
      <c r="A13323" s="66"/>
      <c r="B13323" s="67"/>
      <c r="C13323" s="66"/>
      <c r="D13323" s="68"/>
      <c r="E13323" s="10"/>
      <c r="F13323" s="69"/>
      <c r="G13323" s="68"/>
      <c r="H13323" s="70"/>
      <c r="BA13323" s="4"/>
      <c r="BB13323" s="4"/>
    </row>
    <row r="13324" spans="1:54" x14ac:dyDescent="0.3">
      <c r="A13324" s="66"/>
      <c r="B13324" s="67"/>
      <c r="C13324" s="66"/>
      <c r="D13324" s="68"/>
      <c r="E13324" s="10"/>
      <c r="F13324" s="69"/>
      <c r="G13324" s="68"/>
      <c r="H13324" s="70"/>
      <c r="BA13324" s="4"/>
      <c r="BB13324" s="4"/>
    </row>
    <row r="13325" spans="1:54" x14ac:dyDescent="0.3">
      <c r="A13325" s="66"/>
      <c r="B13325" s="67"/>
      <c r="C13325" s="66"/>
      <c r="D13325" s="68"/>
      <c r="E13325" s="10"/>
      <c r="F13325" s="69"/>
      <c r="G13325" s="68"/>
      <c r="H13325" s="70"/>
      <c r="BA13325" s="4"/>
      <c r="BB13325" s="4"/>
    </row>
    <row r="13326" spans="1:54" x14ac:dyDescent="0.3">
      <c r="A13326" s="66"/>
      <c r="B13326" s="67"/>
      <c r="C13326" s="66"/>
      <c r="D13326" s="68"/>
      <c r="E13326" s="10"/>
      <c r="F13326" s="69"/>
      <c r="G13326" s="68"/>
      <c r="H13326" s="70"/>
      <c r="BA13326" s="4"/>
      <c r="BB13326" s="4"/>
    </row>
    <row r="13327" spans="1:54" x14ac:dyDescent="0.3">
      <c r="A13327" s="66"/>
      <c r="B13327" s="67"/>
      <c r="C13327" s="66"/>
      <c r="D13327" s="68"/>
      <c r="E13327" s="10"/>
      <c r="F13327" s="69"/>
      <c r="G13327" s="68"/>
      <c r="H13327" s="70"/>
      <c r="BA13327" s="4"/>
      <c r="BB13327" s="4"/>
    </row>
    <row r="13328" spans="1:54" x14ac:dyDescent="0.3">
      <c r="A13328" s="66"/>
      <c r="B13328" s="67"/>
      <c r="C13328" s="66"/>
      <c r="D13328" s="68"/>
      <c r="E13328" s="10"/>
      <c r="F13328" s="69"/>
      <c r="G13328" s="68"/>
      <c r="H13328" s="70"/>
      <c r="BA13328" s="4"/>
      <c r="BB13328" s="4"/>
    </row>
    <row r="13329" spans="1:54" x14ac:dyDescent="0.3">
      <c r="A13329" s="66"/>
      <c r="B13329" s="67"/>
      <c r="C13329" s="66"/>
      <c r="D13329" s="68"/>
      <c r="E13329" s="10"/>
      <c r="F13329" s="69"/>
      <c r="G13329" s="68"/>
      <c r="H13329" s="70"/>
      <c r="BA13329" s="4"/>
      <c r="BB13329" s="4"/>
    </row>
    <row r="13330" spans="1:54" x14ac:dyDescent="0.3">
      <c r="A13330" s="66"/>
      <c r="B13330" s="67"/>
      <c r="C13330" s="66"/>
      <c r="D13330" s="68"/>
      <c r="E13330" s="10"/>
      <c r="F13330" s="69"/>
      <c r="G13330" s="68"/>
      <c r="H13330" s="70"/>
      <c r="BA13330" s="4"/>
      <c r="BB13330" s="4"/>
    </row>
    <row r="13331" spans="1:54" x14ac:dyDescent="0.3">
      <c r="A13331" s="66"/>
      <c r="B13331" s="67"/>
      <c r="C13331" s="66"/>
      <c r="D13331" s="68"/>
      <c r="E13331" s="10"/>
      <c r="F13331" s="69"/>
      <c r="G13331" s="68"/>
      <c r="H13331" s="70"/>
      <c r="BA13331" s="4"/>
      <c r="BB13331" s="4"/>
    </row>
    <row r="13332" spans="1:54" x14ac:dyDescent="0.3">
      <c r="A13332" s="66"/>
      <c r="B13332" s="67"/>
      <c r="C13332" s="66"/>
      <c r="D13332" s="68"/>
      <c r="E13332" s="10"/>
      <c r="F13332" s="69"/>
      <c r="G13332" s="68"/>
      <c r="H13332" s="70"/>
      <c r="BA13332" s="4"/>
      <c r="BB13332" s="4"/>
    </row>
    <row r="13333" spans="1:54" x14ac:dyDescent="0.3">
      <c r="A13333" s="66"/>
      <c r="B13333" s="67"/>
      <c r="C13333" s="66"/>
      <c r="D13333" s="68"/>
      <c r="E13333" s="10"/>
      <c r="F13333" s="69"/>
      <c r="G13333" s="68"/>
      <c r="H13333" s="70"/>
      <c r="BA13333" s="4"/>
      <c r="BB13333" s="4"/>
    </row>
    <row r="13334" spans="1:54" x14ac:dyDescent="0.3">
      <c r="A13334" s="66"/>
      <c r="B13334" s="67"/>
      <c r="C13334" s="66"/>
      <c r="D13334" s="68"/>
      <c r="E13334" s="10"/>
      <c r="F13334" s="69"/>
      <c r="G13334" s="68"/>
      <c r="H13334" s="70"/>
      <c r="BA13334" s="4"/>
      <c r="BB13334" s="4"/>
    </row>
    <row r="13335" spans="1:54" x14ac:dyDescent="0.3">
      <c r="A13335" s="66"/>
      <c r="B13335" s="67"/>
      <c r="C13335" s="66"/>
      <c r="D13335" s="68"/>
      <c r="E13335" s="10"/>
      <c r="F13335" s="69"/>
      <c r="G13335" s="68"/>
      <c r="H13335" s="70"/>
      <c r="BA13335" s="4"/>
      <c r="BB13335" s="4"/>
    </row>
    <row r="13336" spans="1:54" x14ac:dyDescent="0.3">
      <c r="A13336" s="66"/>
      <c r="B13336" s="67"/>
      <c r="C13336" s="66"/>
      <c r="D13336" s="68"/>
      <c r="E13336" s="10"/>
      <c r="F13336" s="69"/>
      <c r="G13336" s="68"/>
      <c r="H13336" s="70"/>
      <c r="BA13336" s="4"/>
      <c r="BB13336" s="4"/>
    </row>
    <row r="13337" spans="1:54" x14ac:dyDescent="0.3">
      <c r="A13337" s="66"/>
      <c r="B13337" s="67"/>
      <c r="C13337" s="66"/>
      <c r="D13337" s="68"/>
      <c r="E13337" s="10"/>
      <c r="F13337" s="69"/>
      <c r="G13337" s="68"/>
      <c r="H13337" s="70"/>
      <c r="BA13337" s="4"/>
      <c r="BB13337" s="4"/>
    </row>
    <row r="13338" spans="1:54" x14ac:dyDescent="0.3">
      <c r="A13338" s="66"/>
      <c r="B13338" s="67"/>
      <c r="C13338" s="66"/>
      <c r="D13338" s="68"/>
      <c r="E13338" s="10"/>
      <c r="F13338" s="69"/>
      <c r="G13338" s="68"/>
      <c r="H13338" s="70"/>
      <c r="BA13338" s="4"/>
      <c r="BB13338" s="4"/>
    </row>
    <row r="13339" spans="1:54" x14ac:dyDescent="0.3">
      <c r="A13339" s="66"/>
      <c r="B13339" s="67"/>
      <c r="C13339" s="66"/>
      <c r="D13339" s="68"/>
      <c r="E13339" s="10"/>
      <c r="F13339" s="69"/>
      <c r="G13339" s="68"/>
      <c r="H13339" s="70"/>
      <c r="BA13339" s="4"/>
      <c r="BB13339" s="4"/>
    </row>
    <row r="13340" spans="1:54" x14ac:dyDescent="0.3">
      <c r="A13340" s="66"/>
      <c r="B13340" s="67"/>
      <c r="C13340" s="66"/>
      <c r="D13340" s="68"/>
      <c r="E13340" s="10"/>
      <c r="F13340" s="69"/>
      <c r="G13340" s="68"/>
      <c r="H13340" s="70"/>
      <c r="BA13340" s="4"/>
      <c r="BB13340" s="4"/>
    </row>
    <row r="13341" spans="1:54" x14ac:dyDescent="0.3">
      <c r="A13341" s="66"/>
      <c r="B13341" s="67"/>
      <c r="C13341" s="66"/>
      <c r="D13341" s="68"/>
      <c r="E13341" s="10"/>
      <c r="F13341" s="69"/>
      <c r="G13341" s="68"/>
      <c r="H13341" s="70"/>
      <c r="BA13341" s="4"/>
      <c r="BB13341" s="4"/>
    </row>
    <row r="13342" spans="1:54" x14ac:dyDescent="0.3">
      <c r="A13342" s="66"/>
      <c r="B13342" s="67"/>
      <c r="C13342" s="66"/>
      <c r="D13342" s="68"/>
      <c r="E13342" s="10"/>
      <c r="F13342" s="69"/>
      <c r="G13342" s="68"/>
      <c r="H13342" s="70"/>
      <c r="BA13342" s="4"/>
      <c r="BB13342" s="4"/>
    </row>
    <row r="13343" spans="1:54" x14ac:dyDescent="0.3">
      <c r="A13343" s="66"/>
      <c r="B13343" s="67"/>
      <c r="C13343" s="66"/>
      <c r="D13343" s="68"/>
      <c r="E13343" s="10"/>
      <c r="F13343" s="69"/>
      <c r="G13343" s="68"/>
      <c r="H13343" s="70"/>
      <c r="BA13343" s="4"/>
      <c r="BB13343" s="4"/>
    </row>
    <row r="13344" spans="1:54" x14ac:dyDescent="0.3">
      <c r="A13344" s="66"/>
      <c r="B13344" s="67"/>
      <c r="C13344" s="66"/>
      <c r="D13344" s="68"/>
      <c r="E13344" s="10"/>
      <c r="F13344" s="69"/>
      <c r="G13344" s="68"/>
      <c r="H13344" s="70"/>
      <c r="BA13344" s="4"/>
      <c r="BB13344" s="4"/>
    </row>
    <row r="13345" spans="1:54" x14ac:dyDescent="0.3">
      <c r="A13345" s="66"/>
      <c r="B13345" s="67"/>
      <c r="C13345" s="66"/>
      <c r="D13345" s="68"/>
      <c r="E13345" s="10"/>
      <c r="F13345" s="69"/>
      <c r="G13345" s="68"/>
      <c r="H13345" s="70"/>
      <c r="BA13345" s="4"/>
      <c r="BB13345" s="4"/>
    </row>
    <row r="13346" spans="1:54" x14ac:dyDescent="0.3">
      <c r="A13346" s="66"/>
      <c r="B13346" s="67"/>
      <c r="C13346" s="66"/>
      <c r="D13346" s="68"/>
      <c r="E13346" s="10"/>
      <c r="F13346" s="69"/>
      <c r="G13346" s="68"/>
      <c r="H13346" s="70"/>
      <c r="BA13346" s="4"/>
      <c r="BB13346" s="4"/>
    </row>
    <row r="13347" spans="1:54" x14ac:dyDescent="0.3">
      <c r="A13347" s="66"/>
      <c r="B13347" s="67"/>
      <c r="C13347" s="66"/>
      <c r="D13347" s="68"/>
      <c r="E13347" s="10"/>
      <c r="F13347" s="69"/>
      <c r="G13347" s="68"/>
      <c r="H13347" s="70"/>
      <c r="BA13347" s="4"/>
      <c r="BB13347" s="4"/>
    </row>
    <row r="13348" spans="1:54" x14ac:dyDescent="0.3">
      <c r="A13348" s="66"/>
      <c r="B13348" s="67"/>
      <c r="C13348" s="66"/>
      <c r="D13348" s="68"/>
      <c r="E13348" s="10"/>
      <c r="F13348" s="69"/>
      <c r="G13348" s="68"/>
      <c r="H13348" s="70"/>
      <c r="BA13348" s="4"/>
      <c r="BB13348" s="4"/>
    </row>
    <row r="13349" spans="1:54" x14ac:dyDescent="0.3">
      <c r="A13349" s="66"/>
      <c r="B13349" s="67"/>
      <c r="C13349" s="66"/>
      <c r="D13349" s="68"/>
      <c r="E13349" s="10"/>
      <c r="F13349" s="69"/>
      <c r="G13349" s="68"/>
      <c r="H13349" s="70"/>
      <c r="BA13349" s="4"/>
      <c r="BB13349" s="4"/>
    </row>
    <row r="13350" spans="1:54" x14ac:dyDescent="0.3">
      <c r="A13350" s="66"/>
      <c r="B13350" s="67"/>
      <c r="C13350" s="66"/>
      <c r="D13350" s="68"/>
      <c r="E13350" s="10"/>
      <c r="F13350" s="69"/>
      <c r="G13350" s="68"/>
      <c r="H13350" s="70"/>
      <c r="BA13350" s="4"/>
      <c r="BB13350" s="4"/>
    </row>
    <row r="13351" spans="1:54" x14ac:dyDescent="0.3">
      <c r="A13351" s="66"/>
      <c r="B13351" s="67"/>
      <c r="C13351" s="66"/>
      <c r="D13351" s="68"/>
      <c r="E13351" s="10"/>
      <c r="F13351" s="69"/>
      <c r="G13351" s="68"/>
      <c r="H13351" s="70"/>
      <c r="BA13351" s="4"/>
      <c r="BB13351" s="4"/>
    </row>
    <row r="13352" spans="1:54" x14ac:dyDescent="0.3">
      <c r="A13352" s="66"/>
      <c r="B13352" s="67"/>
      <c r="C13352" s="66"/>
      <c r="D13352" s="68"/>
      <c r="E13352" s="10"/>
      <c r="F13352" s="69"/>
      <c r="G13352" s="68"/>
      <c r="H13352" s="70"/>
      <c r="BA13352" s="4"/>
      <c r="BB13352" s="4"/>
    </row>
    <row r="13353" spans="1:54" x14ac:dyDescent="0.3">
      <c r="A13353" s="66"/>
      <c r="B13353" s="67"/>
      <c r="C13353" s="66"/>
      <c r="D13353" s="68"/>
      <c r="E13353" s="10"/>
      <c r="F13353" s="69"/>
      <c r="G13353" s="68"/>
      <c r="H13353" s="70"/>
      <c r="BA13353" s="4"/>
      <c r="BB13353" s="4"/>
    </row>
    <row r="13354" spans="1:54" x14ac:dyDescent="0.3">
      <c r="A13354" s="66"/>
      <c r="B13354" s="67"/>
      <c r="C13354" s="66"/>
      <c r="D13354" s="68"/>
      <c r="E13354" s="10"/>
      <c r="F13354" s="69"/>
      <c r="G13354" s="68"/>
      <c r="H13354" s="70"/>
      <c r="BA13354" s="4"/>
      <c r="BB13354" s="4"/>
    </row>
    <row r="13355" spans="1:54" x14ac:dyDescent="0.3">
      <c r="A13355" s="66"/>
      <c r="B13355" s="67"/>
      <c r="C13355" s="66"/>
      <c r="D13355" s="68"/>
      <c r="E13355" s="10"/>
      <c r="F13355" s="69"/>
      <c r="G13355" s="68"/>
      <c r="H13355" s="70"/>
      <c r="BA13355" s="4"/>
      <c r="BB13355" s="4"/>
    </row>
    <row r="13356" spans="1:54" x14ac:dyDescent="0.3">
      <c r="A13356" s="66"/>
      <c r="B13356" s="67"/>
      <c r="C13356" s="66"/>
      <c r="D13356" s="68"/>
      <c r="E13356" s="10"/>
      <c r="F13356" s="69"/>
      <c r="G13356" s="68"/>
      <c r="H13356" s="70"/>
      <c r="BA13356" s="4"/>
      <c r="BB13356" s="4"/>
    </row>
    <row r="13357" spans="1:54" x14ac:dyDescent="0.3">
      <c r="A13357" s="66"/>
      <c r="B13357" s="67"/>
      <c r="C13357" s="66"/>
      <c r="D13357" s="68"/>
      <c r="E13357" s="10"/>
      <c r="F13357" s="69"/>
      <c r="G13357" s="68"/>
      <c r="H13357" s="70"/>
      <c r="BA13357" s="4"/>
      <c r="BB13357" s="4"/>
    </row>
    <row r="13358" spans="1:54" x14ac:dyDescent="0.3">
      <c r="A13358" s="66"/>
      <c r="B13358" s="67"/>
      <c r="C13358" s="66"/>
      <c r="D13358" s="68"/>
      <c r="E13358" s="10"/>
      <c r="F13358" s="69"/>
      <c r="G13358" s="68"/>
      <c r="H13358" s="70"/>
      <c r="BA13358" s="4"/>
      <c r="BB13358" s="4"/>
    </row>
    <row r="13359" spans="1:54" x14ac:dyDescent="0.3">
      <c r="A13359" s="66"/>
      <c r="B13359" s="67"/>
      <c r="C13359" s="66"/>
      <c r="D13359" s="68"/>
      <c r="E13359" s="10"/>
      <c r="F13359" s="69"/>
      <c r="G13359" s="68"/>
      <c r="H13359" s="70"/>
      <c r="BA13359" s="4"/>
      <c r="BB13359" s="4"/>
    </row>
    <row r="13360" spans="1:54" x14ac:dyDescent="0.3">
      <c r="A13360" s="66"/>
      <c r="B13360" s="67"/>
      <c r="C13360" s="66"/>
      <c r="D13360" s="68"/>
      <c r="E13360" s="10"/>
      <c r="F13360" s="69"/>
      <c r="G13360" s="68"/>
      <c r="H13360" s="70"/>
      <c r="BA13360" s="4"/>
      <c r="BB13360" s="4"/>
    </row>
    <row r="13361" spans="1:54" x14ac:dyDescent="0.3">
      <c r="A13361" s="66"/>
      <c r="B13361" s="67"/>
      <c r="C13361" s="66"/>
      <c r="D13361" s="68"/>
      <c r="E13361" s="10"/>
      <c r="F13361" s="69"/>
      <c r="G13361" s="68"/>
      <c r="H13361" s="70"/>
      <c r="BA13361" s="4"/>
      <c r="BB13361" s="4"/>
    </row>
    <row r="13362" spans="1:54" x14ac:dyDescent="0.3">
      <c r="A13362" s="66"/>
      <c r="B13362" s="67"/>
      <c r="C13362" s="66"/>
      <c r="D13362" s="68"/>
      <c r="E13362" s="10"/>
      <c r="F13362" s="69"/>
      <c r="G13362" s="68"/>
      <c r="H13362" s="70"/>
      <c r="BA13362" s="4"/>
      <c r="BB13362" s="4"/>
    </row>
    <row r="13363" spans="1:54" x14ac:dyDescent="0.3">
      <c r="A13363" s="66"/>
      <c r="B13363" s="67"/>
      <c r="C13363" s="66"/>
      <c r="D13363" s="68"/>
      <c r="E13363" s="10"/>
      <c r="F13363" s="69"/>
      <c r="G13363" s="68"/>
      <c r="H13363" s="70"/>
      <c r="BA13363" s="4"/>
      <c r="BB13363" s="4"/>
    </row>
    <row r="13364" spans="1:54" x14ac:dyDescent="0.3">
      <c r="A13364" s="66"/>
      <c r="B13364" s="67"/>
      <c r="C13364" s="66"/>
      <c r="D13364" s="68"/>
      <c r="E13364" s="10"/>
      <c r="F13364" s="69"/>
      <c r="G13364" s="68"/>
      <c r="H13364" s="70"/>
      <c r="BA13364" s="4"/>
      <c r="BB13364" s="4"/>
    </row>
    <row r="13365" spans="1:54" x14ac:dyDescent="0.3">
      <c r="A13365" s="66"/>
      <c r="B13365" s="67"/>
      <c r="C13365" s="66"/>
      <c r="D13365" s="68"/>
      <c r="E13365" s="10"/>
      <c r="F13365" s="69"/>
      <c r="G13365" s="68"/>
      <c r="H13365" s="70"/>
      <c r="BA13365" s="4"/>
      <c r="BB13365" s="4"/>
    </row>
    <row r="13366" spans="1:54" x14ac:dyDescent="0.3">
      <c r="A13366" s="66"/>
      <c r="B13366" s="67"/>
      <c r="C13366" s="66"/>
      <c r="D13366" s="68"/>
      <c r="E13366" s="10"/>
      <c r="F13366" s="69"/>
      <c r="G13366" s="68"/>
      <c r="H13366" s="70"/>
      <c r="BA13366" s="4"/>
      <c r="BB13366" s="4"/>
    </row>
    <row r="13367" spans="1:54" x14ac:dyDescent="0.3">
      <c r="A13367" s="66"/>
      <c r="B13367" s="67"/>
      <c r="C13367" s="66"/>
      <c r="D13367" s="68"/>
      <c r="E13367" s="10"/>
      <c r="F13367" s="69"/>
      <c r="G13367" s="68"/>
      <c r="H13367" s="70"/>
      <c r="BA13367" s="4"/>
      <c r="BB13367" s="4"/>
    </row>
    <row r="13368" spans="1:54" x14ac:dyDescent="0.3">
      <c r="A13368" s="66"/>
      <c r="B13368" s="67"/>
      <c r="C13368" s="66"/>
      <c r="D13368" s="68"/>
      <c r="E13368" s="10"/>
      <c r="F13368" s="69"/>
      <c r="G13368" s="68"/>
      <c r="H13368" s="70"/>
      <c r="BA13368" s="4"/>
      <c r="BB13368" s="4"/>
    </row>
    <row r="13369" spans="1:54" x14ac:dyDescent="0.3">
      <c r="A13369" s="66"/>
      <c r="B13369" s="67"/>
      <c r="C13369" s="66"/>
      <c r="D13369" s="68"/>
      <c r="E13369" s="10"/>
      <c r="F13369" s="69"/>
      <c r="G13369" s="68"/>
      <c r="H13369" s="70"/>
      <c r="BA13369" s="4"/>
      <c r="BB13369" s="4"/>
    </row>
    <row r="13370" spans="1:54" x14ac:dyDescent="0.3">
      <c r="A13370" s="66"/>
      <c r="B13370" s="67"/>
      <c r="C13370" s="66"/>
      <c r="D13370" s="68"/>
      <c r="E13370" s="10"/>
      <c r="F13370" s="69"/>
      <c r="G13370" s="68"/>
      <c r="H13370" s="70"/>
      <c r="BA13370" s="4"/>
      <c r="BB13370" s="4"/>
    </row>
    <row r="13371" spans="1:54" x14ac:dyDescent="0.3">
      <c r="A13371" s="66"/>
      <c r="B13371" s="67"/>
      <c r="C13371" s="66"/>
      <c r="D13371" s="68"/>
      <c r="E13371" s="10"/>
      <c r="F13371" s="69"/>
      <c r="G13371" s="68"/>
      <c r="H13371" s="70"/>
      <c r="BA13371" s="4"/>
      <c r="BB13371" s="4"/>
    </row>
    <row r="13372" spans="1:54" x14ac:dyDescent="0.3">
      <c r="A13372" s="66"/>
      <c r="B13372" s="67"/>
      <c r="C13372" s="66"/>
      <c r="D13372" s="68"/>
      <c r="E13372" s="10"/>
      <c r="F13372" s="69"/>
      <c r="G13372" s="68"/>
      <c r="H13372" s="70"/>
      <c r="BA13372" s="4"/>
      <c r="BB13372" s="4"/>
    </row>
    <row r="13373" spans="1:54" x14ac:dyDescent="0.3">
      <c r="A13373" s="66"/>
      <c r="B13373" s="67"/>
      <c r="C13373" s="66"/>
      <c r="D13373" s="68"/>
      <c r="E13373" s="10"/>
      <c r="F13373" s="69"/>
      <c r="G13373" s="68"/>
      <c r="H13373" s="70"/>
      <c r="BA13373" s="4"/>
      <c r="BB13373" s="4"/>
    </row>
    <row r="13374" spans="1:54" x14ac:dyDescent="0.3">
      <c r="A13374" s="66"/>
      <c r="B13374" s="67"/>
      <c r="C13374" s="66"/>
      <c r="D13374" s="68"/>
      <c r="E13374" s="10"/>
      <c r="F13374" s="69"/>
      <c r="G13374" s="68"/>
      <c r="H13374" s="70"/>
      <c r="BA13374" s="4"/>
      <c r="BB13374" s="4"/>
    </row>
    <row r="13375" spans="1:54" x14ac:dyDescent="0.3">
      <c r="A13375" s="66"/>
      <c r="B13375" s="67"/>
      <c r="C13375" s="66"/>
      <c r="D13375" s="68"/>
      <c r="E13375" s="10"/>
      <c r="F13375" s="69"/>
      <c r="G13375" s="68"/>
      <c r="H13375" s="70"/>
      <c r="BA13375" s="4"/>
      <c r="BB13375" s="4"/>
    </row>
    <row r="13376" spans="1:54" x14ac:dyDescent="0.3">
      <c r="A13376" s="66"/>
      <c r="B13376" s="67"/>
      <c r="C13376" s="66"/>
      <c r="D13376" s="68"/>
      <c r="E13376" s="10"/>
      <c r="F13376" s="69"/>
      <c r="G13376" s="68"/>
      <c r="H13376" s="70"/>
      <c r="BA13376" s="4"/>
      <c r="BB13376" s="4"/>
    </row>
    <row r="13377" spans="1:54" x14ac:dyDescent="0.3">
      <c r="A13377" s="66"/>
      <c r="B13377" s="67"/>
      <c r="C13377" s="66"/>
      <c r="D13377" s="68"/>
      <c r="E13377" s="10"/>
      <c r="F13377" s="69"/>
      <c r="G13377" s="68"/>
      <c r="H13377" s="70"/>
      <c r="BA13377" s="4"/>
      <c r="BB13377" s="4"/>
    </row>
    <row r="13378" spans="1:54" x14ac:dyDescent="0.3">
      <c r="A13378" s="66"/>
      <c r="B13378" s="67"/>
      <c r="C13378" s="66"/>
      <c r="D13378" s="68"/>
      <c r="E13378" s="10"/>
      <c r="F13378" s="69"/>
      <c r="G13378" s="68"/>
      <c r="H13378" s="70"/>
      <c r="BA13378" s="4"/>
      <c r="BB13378" s="4"/>
    </row>
    <row r="13379" spans="1:54" x14ac:dyDescent="0.3">
      <c r="A13379" s="66"/>
      <c r="B13379" s="67"/>
      <c r="C13379" s="66"/>
      <c r="D13379" s="68"/>
      <c r="E13379" s="10"/>
      <c r="F13379" s="69"/>
      <c r="G13379" s="68"/>
      <c r="H13379" s="70"/>
      <c r="BA13379" s="4"/>
      <c r="BB13379" s="4"/>
    </row>
    <row r="13380" spans="1:54" x14ac:dyDescent="0.3">
      <c r="A13380" s="66"/>
      <c r="B13380" s="67"/>
      <c r="C13380" s="66"/>
      <c r="D13380" s="68"/>
      <c r="E13380" s="10"/>
      <c r="F13380" s="69"/>
      <c r="G13380" s="68"/>
      <c r="H13380" s="70"/>
      <c r="BA13380" s="4"/>
      <c r="BB13380" s="4"/>
    </row>
    <row r="13381" spans="1:54" x14ac:dyDescent="0.3">
      <c r="A13381" s="66"/>
      <c r="B13381" s="67"/>
      <c r="C13381" s="66"/>
      <c r="D13381" s="68"/>
      <c r="E13381" s="10"/>
      <c r="F13381" s="69"/>
      <c r="G13381" s="68"/>
      <c r="H13381" s="70"/>
      <c r="BA13381" s="4"/>
      <c r="BB13381" s="4"/>
    </row>
    <row r="13382" spans="1:54" x14ac:dyDescent="0.3">
      <c r="A13382" s="66"/>
      <c r="B13382" s="67"/>
      <c r="C13382" s="66"/>
      <c r="D13382" s="68"/>
      <c r="E13382" s="10"/>
      <c r="F13382" s="69"/>
      <c r="G13382" s="68"/>
      <c r="H13382" s="70"/>
      <c r="BA13382" s="4"/>
      <c r="BB13382" s="4"/>
    </row>
    <row r="13383" spans="1:54" x14ac:dyDescent="0.3">
      <c r="A13383" s="66"/>
      <c r="B13383" s="67"/>
      <c r="C13383" s="66"/>
      <c r="D13383" s="68"/>
      <c r="E13383" s="10"/>
      <c r="F13383" s="69"/>
      <c r="G13383" s="68"/>
      <c r="H13383" s="70"/>
      <c r="BA13383" s="4"/>
      <c r="BB13383" s="4"/>
    </row>
    <row r="13384" spans="1:54" x14ac:dyDescent="0.3">
      <c r="A13384" s="66"/>
      <c r="B13384" s="67"/>
      <c r="C13384" s="66"/>
      <c r="D13384" s="68"/>
      <c r="E13384" s="10"/>
      <c r="F13384" s="69"/>
      <c r="G13384" s="68"/>
      <c r="H13384" s="70"/>
      <c r="BA13384" s="4"/>
      <c r="BB13384" s="4"/>
    </row>
    <row r="13385" spans="1:54" x14ac:dyDescent="0.3">
      <c r="A13385" s="66"/>
      <c r="B13385" s="67"/>
      <c r="C13385" s="66"/>
      <c r="D13385" s="68"/>
      <c r="E13385" s="10"/>
      <c r="F13385" s="69"/>
      <c r="G13385" s="68"/>
      <c r="H13385" s="70"/>
      <c r="BA13385" s="4"/>
      <c r="BB13385" s="4"/>
    </row>
    <row r="13386" spans="1:54" x14ac:dyDescent="0.3">
      <c r="A13386" s="66"/>
      <c r="B13386" s="67"/>
      <c r="C13386" s="66"/>
      <c r="D13386" s="68"/>
      <c r="E13386" s="10"/>
      <c r="F13386" s="69"/>
      <c r="G13386" s="68"/>
      <c r="H13386" s="70"/>
      <c r="BA13386" s="4"/>
      <c r="BB13386" s="4"/>
    </row>
    <row r="13387" spans="1:54" x14ac:dyDescent="0.3">
      <c r="A13387" s="66"/>
      <c r="B13387" s="67"/>
      <c r="C13387" s="66"/>
      <c r="D13387" s="68"/>
      <c r="E13387" s="10"/>
      <c r="F13387" s="69"/>
      <c r="G13387" s="68"/>
      <c r="H13387" s="70"/>
      <c r="BA13387" s="4"/>
      <c r="BB13387" s="4"/>
    </row>
    <row r="13388" spans="1:54" x14ac:dyDescent="0.3">
      <c r="A13388" s="66"/>
      <c r="B13388" s="67"/>
      <c r="C13388" s="66"/>
      <c r="D13388" s="68"/>
      <c r="E13388" s="10"/>
      <c r="F13388" s="69"/>
      <c r="G13388" s="68"/>
      <c r="H13388" s="70"/>
      <c r="BA13388" s="4"/>
      <c r="BB13388" s="4"/>
    </row>
    <row r="13389" spans="1:54" x14ac:dyDescent="0.3">
      <c r="A13389" s="66"/>
      <c r="B13389" s="67"/>
      <c r="C13389" s="66"/>
      <c r="D13389" s="68"/>
      <c r="E13389" s="10"/>
      <c r="F13389" s="69"/>
      <c r="G13389" s="68"/>
      <c r="H13389" s="70"/>
      <c r="BA13389" s="4"/>
      <c r="BB13389" s="4"/>
    </row>
    <row r="13390" spans="1:54" x14ac:dyDescent="0.3">
      <c r="A13390" s="66"/>
      <c r="B13390" s="67"/>
      <c r="C13390" s="66"/>
      <c r="D13390" s="68"/>
      <c r="E13390" s="10"/>
      <c r="F13390" s="69"/>
      <c r="G13390" s="68"/>
      <c r="H13390" s="70"/>
      <c r="BA13390" s="4"/>
      <c r="BB13390" s="4"/>
    </row>
    <row r="13391" spans="1:54" x14ac:dyDescent="0.3">
      <c r="A13391" s="66"/>
      <c r="B13391" s="67"/>
      <c r="C13391" s="66"/>
      <c r="D13391" s="68"/>
      <c r="E13391" s="10"/>
      <c r="F13391" s="69"/>
      <c r="G13391" s="68"/>
      <c r="H13391" s="70"/>
      <c r="BA13391" s="4"/>
      <c r="BB13391" s="4"/>
    </row>
    <row r="13392" spans="1:54" x14ac:dyDescent="0.3">
      <c r="A13392" s="66"/>
      <c r="B13392" s="67"/>
      <c r="C13392" s="66"/>
      <c r="D13392" s="68"/>
      <c r="E13392" s="10"/>
      <c r="F13392" s="69"/>
      <c r="G13392" s="68"/>
      <c r="H13392" s="70"/>
      <c r="BA13392" s="4"/>
      <c r="BB13392" s="4"/>
    </row>
    <row r="13393" spans="1:54" x14ac:dyDescent="0.3">
      <c r="A13393" s="66"/>
      <c r="B13393" s="67"/>
      <c r="C13393" s="66"/>
      <c r="D13393" s="68"/>
      <c r="E13393" s="10"/>
      <c r="F13393" s="69"/>
      <c r="G13393" s="68"/>
      <c r="H13393" s="70"/>
      <c r="BA13393" s="4"/>
      <c r="BB13393" s="4"/>
    </row>
    <row r="13394" spans="1:54" x14ac:dyDescent="0.3">
      <c r="A13394" s="66"/>
      <c r="B13394" s="67"/>
      <c r="C13394" s="66"/>
      <c r="D13394" s="68"/>
      <c r="E13394" s="10"/>
      <c r="F13394" s="69"/>
      <c r="G13394" s="68"/>
      <c r="H13394" s="70"/>
      <c r="BA13394" s="4"/>
      <c r="BB13394" s="4"/>
    </row>
    <row r="13395" spans="1:54" x14ac:dyDescent="0.3">
      <c r="A13395" s="66"/>
      <c r="B13395" s="67"/>
      <c r="C13395" s="66"/>
      <c r="D13395" s="68"/>
      <c r="E13395" s="10"/>
      <c r="F13395" s="69"/>
      <c r="G13395" s="68"/>
      <c r="H13395" s="70"/>
      <c r="BA13395" s="4"/>
      <c r="BB13395" s="4"/>
    </row>
    <row r="13396" spans="1:54" x14ac:dyDescent="0.3">
      <c r="A13396" s="66"/>
      <c r="B13396" s="67"/>
      <c r="C13396" s="66"/>
      <c r="D13396" s="68"/>
      <c r="E13396" s="10"/>
      <c r="F13396" s="69"/>
      <c r="G13396" s="68"/>
      <c r="H13396" s="70"/>
      <c r="BA13396" s="4"/>
      <c r="BB13396" s="4"/>
    </row>
    <row r="13397" spans="1:54" x14ac:dyDescent="0.3">
      <c r="A13397" s="66"/>
      <c r="B13397" s="67"/>
      <c r="C13397" s="66"/>
      <c r="D13397" s="68"/>
      <c r="E13397" s="10"/>
      <c r="F13397" s="69"/>
      <c r="G13397" s="68"/>
      <c r="H13397" s="70"/>
      <c r="BA13397" s="4"/>
      <c r="BB13397" s="4"/>
    </row>
    <row r="13398" spans="1:54" x14ac:dyDescent="0.3">
      <c r="A13398" s="66"/>
      <c r="B13398" s="67"/>
      <c r="C13398" s="66"/>
      <c r="D13398" s="68"/>
      <c r="E13398" s="10"/>
      <c r="F13398" s="69"/>
      <c r="G13398" s="68"/>
      <c r="H13398" s="70"/>
      <c r="BA13398" s="4"/>
      <c r="BB13398" s="4"/>
    </row>
    <row r="13399" spans="1:54" x14ac:dyDescent="0.3">
      <c r="A13399" s="66"/>
      <c r="B13399" s="67"/>
      <c r="C13399" s="66"/>
      <c r="D13399" s="68"/>
      <c r="E13399" s="10"/>
      <c r="F13399" s="69"/>
      <c r="G13399" s="68"/>
      <c r="H13399" s="70"/>
      <c r="BA13399" s="4"/>
      <c r="BB13399" s="4"/>
    </row>
    <row r="13400" spans="1:54" x14ac:dyDescent="0.3">
      <c r="A13400" s="66"/>
      <c r="B13400" s="67"/>
      <c r="C13400" s="66"/>
      <c r="D13400" s="68"/>
      <c r="E13400" s="10"/>
      <c r="F13400" s="69"/>
      <c r="G13400" s="68"/>
      <c r="H13400" s="70"/>
      <c r="BA13400" s="4"/>
      <c r="BB13400" s="4"/>
    </row>
    <row r="13401" spans="1:54" x14ac:dyDescent="0.3">
      <c r="A13401" s="66"/>
      <c r="B13401" s="67"/>
      <c r="C13401" s="66"/>
      <c r="D13401" s="68"/>
      <c r="E13401" s="10"/>
      <c r="F13401" s="69"/>
      <c r="G13401" s="68"/>
      <c r="H13401" s="70"/>
      <c r="BA13401" s="4"/>
      <c r="BB13401" s="4"/>
    </row>
    <row r="13402" spans="1:54" x14ac:dyDescent="0.3">
      <c r="A13402" s="66"/>
      <c r="B13402" s="67"/>
      <c r="C13402" s="66"/>
      <c r="D13402" s="68"/>
      <c r="E13402" s="10"/>
      <c r="F13402" s="69"/>
      <c r="G13402" s="68"/>
      <c r="H13402" s="70"/>
      <c r="BA13402" s="4"/>
      <c r="BB13402" s="4"/>
    </row>
    <row r="13403" spans="1:54" x14ac:dyDescent="0.3">
      <c r="A13403" s="66"/>
      <c r="B13403" s="67"/>
      <c r="C13403" s="66"/>
      <c r="D13403" s="68"/>
      <c r="E13403" s="10"/>
      <c r="F13403" s="69"/>
      <c r="G13403" s="68"/>
      <c r="H13403" s="70"/>
      <c r="BA13403" s="4"/>
      <c r="BB13403" s="4"/>
    </row>
    <row r="13404" spans="1:54" x14ac:dyDescent="0.3">
      <c r="A13404" s="66"/>
      <c r="B13404" s="67"/>
      <c r="C13404" s="66"/>
      <c r="D13404" s="68"/>
      <c r="E13404" s="10"/>
      <c r="F13404" s="69"/>
      <c r="G13404" s="68"/>
      <c r="H13404" s="70"/>
      <c r="BA13404" s="4"/>
      <c r="BB13404" s="4"/>
    </row>
    <row r="13405" spans="1:54" x14ac:dyDescent="0.3">
      <c r="A13405" s="66"/>
      <c r="B13405" s="67"/>
      <c r="C13405" s="66"/>
      <c r="D13405" s="68"/>
      <c r="E13405" s="10"/>
      <c r="F13405" s="69"/>
      <c r="G13405" s="68"/>
      <c r="H13405" s="70"/>
      <c r="BA13405" s="4"/>
      <c r="BB13405" s="4"/>
    </row>
    <row r="13406" spans="1:54" x14ac:dyDescent="0.3">
      <c r="A13406" s="66"/>
      <c r="B13406" s="67"/>
      <c r="C13406" s="66"/>
      <c r="D13406" s="68"/>
      <c r="E13406" s="10"/>
      <c r="F13406" s="69"/>
      <c r="G13406" s="68"/>
      <c r="H13406" s="70"/>
      <c r="BA13406" s="4"/>
      <c r="BB13406" s="4"/>
    </row>
    <row r="13407" spans="1:54" x14ac:dyDescent="0.3">
      <c r="A13407" s="66"/>
      <c r="B13407" s="67"/>
      <c r="C13407" s="66"/>
      <c r="D13407" s="68"/>
      <c r="E13407" s="10"/>
      <c r="F13407" s="69"/>
      <c r="G13407" s="68"/>
      <c r="H13407" s="70"/>
      <c r="BA13407" s="4"/>
      <c r="BB13407" s="4"/>
    </row>
    <row r="13408" spans="1:54" x14ac:dyDescent="0.3">
      <c r="A13408" s="66"/>
      <c r="B13408" s="67"/>
      <c r="C13408" s="66"/>
      <c r="D13408" s="68"/>
      <c r="E13408" s="10"/>
      <c r="F13408" s="69"/>
      <c r="G13408" s="68"/>
      <c r="H13408" s="70"/>
      <c r="BA13408" s="4"/>
      <c r="BB13408" s="4"/>
    </row>
    <row r="13409" spans="1:54" x14ac:dyDescent="0.3">
      <c r="A13409" s="66"/>
      <c r="B13409" s="67"/>
      <c r="C13409" s="66"/>
      <c r="D13409" s="68"/>
      <c r="E13409" s="10"/>
      <c r="F13409" s="69"/>
      <c r="G13409" s="68"/>
      <c r="H13409" s="70"/>
      <c r="BA13409" s="4"/>
      <c r="BB13409" s="4"/>
    </row>
    <row r="13410" spans="1:54" x14ac:dyDescent="0.3">
      <c r="A13410" s="66"/>
      <c r="B13410" s="67"/>
      <c r="C13410" s="66"/>
      <c r="D13410" s="68"/>
      <c r="E13410" s="10"/>
      <c r="F13410" s="69"/>
      <c r="G13410" s="68"/>
      <c r="H13410" s="70"/>
      <c r="BA13410" s="4"/>
      <c r="BB13410" s="4"/>
    </row>
    <row r="13411" spans="1:54" x14ac:dyDescent="0.3">
      <c r="A13411" s="66"/>
      <c r="B13411" s="67"/>
      <c r="C13411" s="66"/>
      <c r="D13411" s="68"/>
      <c r="E13411" s="10"/>
      <c r="F13411" s="69"/>
      <c r="G13411" s="68"/>
      <c r="H13411" s="70"/>
      <c r="BA13411" s="4"/>
      <c r="BB13411" s="4"/>
    </row>
    <row r="13412" spans="1:54" x14ac:dyDescent="0.3">
      <c r="A13412" s="66"/>
      <c r="B13412" s="67"/>
      <c r="C13412" s="66"/>
      <c r="D13412" s="68"/>
      <c r="E13412" s="10"/>
      <c r="F13412" s="69"/>
      <c r="G13412" s="68"/>
      <c r="H13412" s="70"/>
      <c r="BA13412" s="4"/>
      <c r="BB13412" s="4"/>
    </row>
    <row r="13413" spans="1:54" x14ac:dyDescent="0.3">
      <c r="A13413" s="66"/>
      <c r="B13413" s="67"/>
      <c r="C13413" s="66"/>
      <c r="D13413" s="68"/>
      <c r="E13413" s="10"/>
      <c r="F13413" s="69"/>
      <c r="G13413" s="68"/>
      <c r="H13413" s="70"/>
      <c r="BA13413" s="4"/>
      <c r="BB13413" s="4"/>
    </row>
    <row r="13414" spans="1:54" x14ac:dyDescent="0.3">
      <c r="A13414" s="66"/>
      <c r="B13414" s="67"/>
      <c r="C13414" s="66"/>
      <c r="D13414" s="68"/>
      <c r="E13414" s="10"/>
      <c r="F13414" s="69"/>
      <c r="G13414" s="68"/>
      <c r="H13414" s="70"/>
      <c r="BA13414" s="4"/>
      <c r="BB13414" s="4"/>
    </row>
    <row r="13415" spans="1:54" x14ac:dyDescent="0.3">
      <c r="A13415" s="66"/>
      <c r="B13415" s="67"/>
      <c r="C13415" s="66"/>
      <c r="D13415" s="68"/>
      <c r="E13415" s="10"/>
      <c r="F13415" s="69"/>
      <c r="G13415" s="68"/>
      <c r="H13415" s="70"/>
      <c r="BA13415" s="4"/>
      <c r="BB13415" s="4"/>
    </row>
    <row r="13416" spans="1:54" x14ac:dyDescent="0.3">
      <c r="A13416" s="66"/>
      <c r="B13416" s="67"/>
      <c r="C13416" s="66"/>
      <c r="D13416" s="68"/>
      <c r="E13416" s="10"/>
      <c r="F13416" s="69"/>
      <c r="G13416" s="68"/>
      <c r="H13416" s="70"/>
      <c r="BA13416" s="4"/>
      <c r="BB13416" s="4"/>
    </row>
    <row r="13417" spans="1:54" x14ac:dyDescent="0.3">
      <c r="A13417" s="66"/>
      <c r="B13417" s="67"/>
      <c r="C13417" s="66"/>
      <c r="D13417" s="68"/>
      <c r="E13417" s="10"/>
      <c r="F13417" s="69"/>
      <c r="G13417" s="68"/>
      <c r="H13417" s="70"/>
      <c r="BA13417" s="4"/>
      <c r="BB13417" s="4"/>
    </row>
    <row r="13418" spans="1:54" x14ac:dyDescent="0.3">
      <c r="A13418" s="66"/>
      <c r="B13418" s="67"/>
      <c r="C13418" s="66"/>
      <c r="D13418" s="68"/>
      <c r="E13418" s="10"/>
      <c r="F13418" s="69"/>
      <c r="G13418" s="68"/>
      <c r="H13418" s="70"/>
      <c r="BA13418" s="4"/>
      <c r="BB13418" s="4"/>
    </row>
    <row r="13419" spans="1:54" x14ac:dyDescent="0.3">
      <c r="A13419" s="66"/>
      <c r="B13419" s="67"/>
      <c r="C13419" s="66"/>
      <c r="D13419" s="68"/>
      <c r="E13419" s="10"/>
      <c r="F13419" s="69"/>
      <c r="G13419" s="68"/>
      <c r="H13419" s="70"/>
      <c r="BA13419" s="4"/>
      <c r="BB13419" s="4"/>
    </row>
    <row r="13420" spans="1:54" x14ac:dyDescent="0.3">
      <c r="A13420" s="66"/>
      <c r="B13420" s="67"/>
      <c r="C13420" s="66"/>
      <c r="D13420" s="68"/>
      <c r="E13420" s="10"/>
      <c r="F13420" s="69"/>
      <c r="G13420" s="68"/>
      <c r="H13420" s="70"/>
      <c r="BA13420" s="4"/>
      <c r="BB13420" s="4"/>
    </row>
    <row r="13421" spans="1:54" x14ac:dyDescent="0.3">
      <c r="A13421" s="66"/>
      <c r="B13421" s="67"/>
      <c r="C13421" s="66"/>
      <c r="D13421" s="68"/>
      <c r="E13421" s="10"/>
      <c r="F13421" s="69"/>
      <c r="G13421" s="68"/>
      <c r="H13421" s="70"/>
      <c r="BA13421" s="4"/>
      <c r="BB13421" s="4"/>
    </row>
    <row r="13422" spans="1:54" x14ac:dyDescent="0.3">
      <c r="A13422" s="66"/>
      <c r="B13422" s="67"/>
      <c r="C13422" s="66"/>
      <c r="D13422" s="68"/>
      <c r="E13422" s="10"/>
      <c r="F13422" s="69"/>
      <c r="G13422" s="68"/>
      <c r="H13422" s="70"/>
      <c r="BA13422" s="4"/>
      <c r="BB13422" s="4"/>
    </row>
    <row r="13423" spans="1:54" x14ac:dyDescent="0.3">
      <c r="A13423" s="66"/>
      <c r="B13423" s="67"/>
      <c r="C13423" s="66"/>
      <c r="D13423" s="68"/>
      <c r="E13423" s="10"/>
      <c r="F13423" s="69"/>
      <c r="G13423" s="68"/>
      <c r="H13423" s="70"/>
      <c r="BA13423" s="4"/>
      <c r="BB13423" s="4"/>
    </row>
    <row r="13424" spans="1:54" x14ac:dyDescent="0.3">
      <c r="A13424" s="66"/>
      <c r="B13424" s="67"/>
      <c r="C13424" s="66"/>
      <c r="D13424" s="68"/>
      <c r="E13424" s="10"/>
      <c r="F13424" s="69"/>
      <c r="G13424" s="68"/>
      <c r="H13424" s="70"/>
      <c r="BA13424" s="4"/>
      <c r="BB13424" s="4"/>
    </row>
    <row r="13425" spans="1:54" x14ac:dyDescent="0.3">
      <c r="A13425" s="66"/>
      <c r="B13425" s="67"/>
      <c r="C13425" s="66"/>
      <c r="D13425" s="68"/>
      <c r="E13425" s="10"/>
      <c r="F13425" s="69"/>
      <c r="G13425" s="68"/>
      <c r="H13425" s="70"/>
      <c r="BA13425" s="4"/>
      <c r="BB13425" s="4"/>
    </row>
    <row r="13426" spans="1:54" x14ac:dyDescent="0.3">
      <c r="A13426" s="66"/>
      <c r="B13426" s="67"/>
      <c r="C13426" s="66"/>
      <c r="D13426" s="68"/>
      <c r="E13426" s="10"/>
      <c r="F13426" s="69"/>
      <c r="G13426" s="68"/>
      <c r="H13426" s="70"/>
      <c r="BA13426" s="4"/>
      <c r="BB13426" s="4"/>
    </row>
    <row r="13427" spans="1:54" x14ac:dyDescent="0.3">
      <c r="A13427" s="66"/>
      <c r="B13427" s="67"/>
      <c r="C13427" s="66"/>
      <c r="D13427" s="68"/>
      <c r="E13427" s="10"/>
      <c r="F13427" s="69"/>
      <c r="G13427" s="68"/>
      <c r="H13427" s="70"/>
      <c r="BA13427" s="4"/>
      <c r="BB13427" s="4"/>
    </row>
    <row r="13428" spans="1:54" x14ac:dyDescent="0.3">
      <c r="A13428" s="66"/>
      <c r="B13428" s="67"/>
      <c r="C13428" s="66"/>
      <c r="D13428" s="68"/>
      <c r="E13428" s="10"/>
      <c r="F13428" s="69"/>
      <c r="G13428" s="68"/>
      <c r="H13428" s="70"/>
      <c r="BA13428" s="4"/>
      <c r="BB13428" s="4"/>
    </row>
    <row r="13429" spans="1:54" x14ac:dyDescent="0.3">
      <c r="A13429" s="66"/>
      <c r="B13429" s="67"/>
      <c r="C13429" s="66"/>
      <c r="D13429" s="68"/>
      <c r="E13429" s="10"/>
      <c r="F13429" s="69"/>
      <c r="G13429" s="68"/>
      <c r="H13429" s="70"/>
      <c r="BA13429" s="4"/>
      <c r="BB13429" s="4"/>
    </row>
    <row r="13430" spans="1:54" x14ac:dyDescent="0.3">
      <c r="A13430" s="66"/>
      <c r="B13430" s="67"/>
      <c r="C13430" s="66"/>
      <c r="D13430" s="68"/>
      <c r="E13430" s="10"/>
      <c r="F13430" s="69"/>
      <c r="G13430" s="68"/>
      <c r="H13430" s="70"/>
      <c r="BA13430" s="4"/>
      <c r="BB13430" s="4"/>
    </row>
    <row r="13431" spans="1:54" x14ac:dyDescent="0.3">
      <c r="A13431" s="66"/>
      <c r="B13431" s="67"/>
      <c r="C13431" s="66"/>
      <c r="D13431" s="68"/>
      <c r="E13431" s="10"/>
      <c r="F13431" s="69"/>
      <c r="G13431" s="68"/>
      <c r="H13431" s="70"/>
      <c r="BA13431" s="4"/>
      <c r="BB13431" s="4"/>
    </row>
    <row r="13432" spans="1:54" x14ac:dyDescent="0.3">
      <c r="A13432" s="66"/>
      <c r="B13432" s="67"/>
      <c r="C13432" s="66"/>
      <c r="D13432" s="68"/>
      <c r="E13432" s="10"/>
      <c r="F13432" s="69"/>
      <c r="G13432" s="68"/>
      <c r="H13432" s="70"/>
      <c r="BA13432" s="4"/>
      <c r="BB13432" s="4"/>
    </row>
    <row r="13433" spans="1:54" x14ac:dyDescent="0.3">
      <c r="A13433" s="66"/>
      <c r="B13433" s="67"/>
      <c r="C13433" s="66"/>
      <c r="D13433" s="68"/>
      <c r="E13433" s="10"/>
      <c r="F13433" s="69"/>
      <c r="G13433" s="68"/>
      <c r="H13433" s="70"/>
      <c r="BA13433" s="4"/>
      <c r="BB13433" s="4"/>
    </row>
    <row r="13434" spans="1:54" x14ac:dyDescent="0.3">
      <c r="A13434" s="66"/>
      <c r="B13434" s="67"/>
      <c r="C13434" s="66"/>
      <c r="D13434" s="68"/>
      <c r="E13434" s="10"/>
      <c r="F13434" s="69"/>
      <c r="G13434" s="68"/>
      <c r="H13434" s="70"/>
      <c r="BA13434" s="4"/>
      <c r="BB13434" s="4"/>
    </row>
    <row r="13435" spans="1:54" x14ac:dyDescent="0.3">
      <c r="A13435" s="66"/>
      <c r="B13435" s="67"/>
      <c r="C13435" s="66"/>
      <c r="D13435" s="68"/>
      <c r="E13435" s="10"/>
      <c r="F13435" s="69"/>
      <c r="G13435" s="68"/>
      <c r="H13435" s="70"/>
      <c r="BA13435" s="4"/>
      <c r="BB13435" s="4"/>
    </row>
    <row r="13436" spans="1:54" x14ac:dyDescent="0.3">
      <c r="A13436" s="66"/>
      <c r="B13436" s="67"/>
      <c r="C13436" s="66"/>
      <c r="D13436" s="68"/>
      <c r="E13436" s="10"/>
      <c r="F13436" s="69"/>
      <c r="G13436" s="68"/>
      <c r="H13436" s="70"/>
      <c r="BA13436" s="4"/>
      <c r="BB13436" s="4"/>
    </row>
    <row r="13437" spans="1:54" x14ac:dyDescent="0.3">
      <c r="A13437" s="66"/>
      <c r="B13437" s="67"/>
      <c r="C13437" s="66"/>
      <c r="D13437" s="68"/>
      <c r="E13437" s="10"/>
      <c r="F13437" s="69"/>
      <c r="G13437" s="68"/>
      <c r="H13437" s="70"/>
      <c r="BA13437" s="4"/>
      <c r="BB13437" s="4"/>
    </row>
    <row r="13438" spans="1:54" x14ac:dyDescent="0.3">
      <c r="A13438" s="66"/>
      <c r="B13438" s="67"/>
      <c r="C13438" s="66"/>
      <c r="D13438" s="68"/>
      <c r="E13438" s="10"/>
      <c r="F13438" s="69"/>
      <c r="G13438" s="68"/>
      <c r="H13438" s="70"/>
      <c r="BA13438" s="4"/>
      <c r="BB13438" s="4"/>
    </row>
    <row r="13439" spans="1:54" x14ac:dyDescent="0.3">
      <c r="A13439" s="66"/>
      <c r="B13439" s="67"/>
      <c r="C13439" s="66"/>
      <c r="D13439" s="68"/>
      <c r="E13439" s="10"/>
      <c r="F13439" s="69"/>
      <c r="G13439" s="68"/>
      <c r="H13439" s="70"/>
      <c r="BA13439" s="4"/>
      <c r="BB13439" s="4"/>
    </row>
    <row r="13440" spans="1:54" x14ac:dyDescent="0.3">
      <c r="A13440" s="66"/>
      <c r="B13440" s="67"/>
      <c r="C13440" s="66"/>
      <c r="D13440" s="68"/>
      <c r="E13440" s="10"/>
      <c r="F13440" s="69"/>
      <c r="G13440" s="68"/>
      <c r="H13440" s="70"/>
      <c r="BA13440" s="4"/>
      <c r="BB13440" s="4"/>
    </row>
    <row r="13441" spans="1:54" x14ac:dyDescent="0.3">
      <c r="A13441" s="66"/>
      <c r="B13441" s="67"/>
      <c r="C13441" s="66"/>
      <c r="D13441" s="68"/>
      <c r="E13441" s="10"/>
      <c r="F13441" s="69"/>
      <c r="G13441" s="68"/>
      <c r="H13441" s="70"/>
      <c r="BA13441" s="4"/>
      <c r="BB13441" s="4"/>
    </row>
    <row r="13442" spans="1:54" x14ac:dyDescent="0.3">
      <c r="A13442" s="66"/>
      <c r="B13442" s="67"/>
      <c r="C13442" s="66"/>
      <c r="D13442" s="68"/>
      <c r="E13442" s="10"/>
      <c r="F13442" s="69"/>
      <c r="G13442" s="68"/>
      <c r="H13442" s="70"/>
      <c r="BA13442" s="4"/>
      <c r="BB13442" s="4"/>
    </row>
    <row r="13443" spans="1:54" x14ac:dyDescent="0.3">
      <c r="A13443" s="66"/>
      <c r="B13443" s="67"/>
      <c r="C13443" s="66"/>
      <c r="D13443" s="68"/>
      <c r="E13443" s="10"/>
      <c r="F13443" s="69"/>
      <c r="G13443" s="68"/>
      <c r="H13443" s="70"/>
      <c r="BA13443" s="4"/>
      <c r="BB13443" s="4"/>
    </row>
    <row r="13444" spans="1:54" x14ac:dyDescent="0.3">
      <c r="A13444" s="66"/>
      <c r="B13444" s="67"/>
      <c r="C13444" s="66"/>
      <c r="D13444" s="68"/>
      <c r="E13444" s="10"/>
      <c r="F13444" s="69"/>
      <c r="G13444" s="68"/>
      <c r="H13444" s="70"/>
      <c r="BA13444" s="4"/>
      <c r="BB13444" s="4"/>
    </row>
    <row r="13445" spans="1:54" x14ac:dyDescent="0.3">
      <c r="A13445" s="66"/>
      <c r="B13445" s="67"/>
      <c r="C13445" s="66"/>
      <c r="D13445" s="68"/>
      <c r="E13445" s="10"/>
      <c r="F13445" s="69"/>
      <c r="G13445" s="68"/>
      <c r="H13445" s="70"/>
      <c r="BA13445" s="4"/>
      <c r="BB13445" s="4"/>
    </row>
    <row r="13446" spans="1:54" x14ac:dyDescent="0.3">
      <c r="A13446" s="66"/>
      <c r="B13446" s="67"/>
      <c r="C13446" s="66"/>
      <c r="D13446" s="68"/>
      <c r="E13446" s="10"/>
      <c r="F13446" s="69"/>
      <c r="G13446" s="68"/>
      <c r="H13446" s="70"/>
      <c r="BA13446" s="4"/>
      <c r="BB13446" s="4"/>
    </row>
    <row r="13447" spans="1:54" x14ac:dyDescent="0.3">
      <c r="A13447" s="66"/>
      <c r="B13447" s="67"/>
      <c r="C13447" s="66"/>
      <c r="D13447" s="68"/>
      <c r="E13447" s="10"/>
      <c r="F13447" s="69"/>
      <c r="G13447" s="68"/>
      <c r="H13447" s="70"/>
      <c r="BA13447" s="4"/>
      <c r="BB13447" s="4"/>
    </row>
    <row r="13448" spans="1:54" x14ac:dyDescent="0.3">
      <c r="A13448" s="66"/>
      <c r="B13448" s="67"/>
      <c r="C13448" s="66"/>
      <c r="D13448" s="68"/>
      <c r="E13448" s="10"/>
      <c r="F13448" s="69"/>
      <c r="G13448" s="68"/>
      <c r="H13448" s="70"/>
      <c r="BA13448" s="4"/>
      <c r="BB13448" s="4"/>
    </row>
    <row r="13449" spans="1:54" x14ac:dyDescent="0.3">
      <c r="A13449" s="66"/>
      <c r="B13449" s="67"/>
      <c r="C13449" s="66"/>
      <c r="D13449" s="68"/>
      <c r="E13449" s="10"/>
      <c r="F13449" s="69"/>
      <c r="G13449" s="68"/>
      <c r="H13449" s="70"/>
      <c r="BA13449" s="4"/>
      <c r="BB13449" s="4"/>
    </row>
    <row r="13450" spans="1:54" x14ac:dyDescent="0.3">
      <c r="A13450" s="66"/>
      <c r="B13450" s="67"/>
      <c r="C13450" s="66"/>
      <c r="D13450" s="68"/>
      <c r="E13450" s="10"/>
      <c r="F13450" s="69"/>
      <c r="G13450" s="68"/>
      <c r="H13450" s="70"/>
      <c r="BA13450" s="4"/>
      <c r="BB13450" s="4"/>
    </row>
    <row r="13451" spans="1:54" x14ac:dyDescent="0.3">
      <c r="A13451" s="66"/>
      <c r="B13451" s="67"/>
      <c r="C13451" s="66"/>
      <c r="D13451" s="68"/>
      <c r="E13451" s="10"/>
      <c r="F13451" s="69"/>
      <c r="G13451" s="68"/>
      <c r="H13451" s="70"/>
      <c r="BA13451" s="4"/>
      <c r="BB13451" s="4"/>
    </row>
    <row r="13452" spans="1:54" x14ac:dyDescent="0.3">
      <c r="A13452" s="66"/>
      <c r="B13452" s="67"/>
      <c r="C13452" s="66"/>
      <c r="D13452" s="68"/>
      <c r="E13452" s="10"/>
      <c r="F13452" s="69"/>
      <c r="G13452" s="68"/>
      <c r="H13452" s="70"/>
      <c r="BA13452" s="4"/>
      <c r="BB13452" s="4"/>
    </row>
    <row r="13453" spans="1:54" x14ac:dyDescent="0.3">
      <c r="A13453" s="66"/>
      <c r="B13453" s="67"/>
      <c r="C13453" s="66"/>
      <c r="D13453" s="68"/>
      <c r="E13453" s="10"/>
      <c r="F13453" s="69"/>
      <c r="G13453" s="68"/>
      <c r="H13453" s="70"/>
      <c r="BA13453" s="4"/>
      <c r="BB13453" s="4"/>
    </row>
    <row r="13454" spans="1:54" x14ac:dyDescent="0.3">
      <c r="A13454" s="66"/>
      <c r="B13454" s="67"/>
      <c r="C13454" s="66"/>
      <c r="D13454" s="68"/>
      <c r="E13454" s="10"/>
      <c r="F13454" s="69"/>
      <c r="G13454" s="68"/>
      <c r="H13454" s="70"/>
      <c r="BA13454" s="4"/>
      <c r="BB13454" s="4"/>
    </row>
    <row r="13455" spans="1:54" x14ac:dyDescent="0.3">
      <c r="A13455" s="66"/>
      <c r="B13455" s="67"/>
      <c r="C13455" s="66"/>
      <c r="D13455" s="68"/>
      <c r="E13455" s="10"/>
      <c r="F13455" s="69"/>
      <c r="G13455" s="68"/>
      <c r="H13455" s="70"/>
      <c r="BA13455" s="4"/>
      <c r="BB13455" s="4"/>
    </row>
    <row r="13456" spans="1:54" x14ac:dyDescent="0.3">
      <c r="A13456" s="66"/>
      <c r="B13456" s="67"/>
      <c r="C13456" s="66"/>
      <c r="D13456" s="68"/>
      <c r="E13456" s="10"/>
      <c r="F13456" s="69"/>
      <c r="G13456" s="68"/>
      <c r="H13456" s="70"/>
      <c r="BA13456" s="4"/>
      <c r="BB13456" s="4"/>
    </row>
    <row r="13457" spans="1:54" x14ac:dyDescent="0.3">
      <c r="A13457" s="66"/>
      <c r="B13457" s="67"/>
      <c r="C13457" s="66"/>
      <c r="D13457" s="68"/>
      <c r="E13457" s="10"/>
      <c r="F13457" s="69"/>
      <c r="G13457" s="68"/>
      <c r="H13457" s="70"/>
      <c r="BA13457" s="4"/>
      <c r="BB13457" s="4"/>
    </row>
    <row r="13458" spans="1:54" x14ac:dyDescent="0.3">
      <c r="A13458" s="66"/>
      <c r="B13458" s="67"/>
      <c r="C13458" s="66"/>
      <c r="D13458" s="68"/>
      <c r="E13458" s="10"/>
      <c r="F13458" s="69"/>
      <c r="G13458" s="68"/>
      <c r="H13458" s="70"/>
      <c r="BA13458" s="4"/>
      <c r="BB13458" s="4"/>
    </row>
    <row r="13459" spans="1:54" x14ac:dyDescent="0.3">
      <c r="A13459" s="66"/>
      <c r="B13459" s="67"/>
      <c r="C13459" s="66"/>
      <c r="D13459" s="68"/>
      <c r="E13459" s="10"/>
      <c r="F13459" s="69"/>
      <c r="G13459" s="68"/>
      <c r="H13459" s="70"/>
      <c r="BA13459" s="4"/>
      <c r="BB13459" s="4"/>
    </row>
    <row r="13460" spans="1:54" x14ac:dyDescent="0.3">
      <c r="A13460" s="66"/>
      <c r="B13460" s="67"/>
      <c r="C13460" s="66"/>
      <c r="D13460" s="68"/>
      <c r="E13460" s="10"/>
      <c r="F13460" s="69"/>
      <c r="G13460" s="68"/>
      <c r="H13460" s="70"/>
      <c r="BA13460" s="4"/>
      <c r="BB13460" s="4"/>
    </row>
    <row r="13461" spans="1:54" x14ac:dyDescent="0.3">
      <c r="A13461" s="66"/>
      <c r="B13461" s="67"/>
      <c r="C13461" s="66"/>
      <c r="D13461" s="68"/>
      <c r="E13461" s="10"/>
      <c r="F13461" s="69"/>
      <c r="G13461" s="68"/>
      <c r="H13461" s="70"/>
      <c r="BA13461" s="4"/>
      <c r="BB13461" s="4"/>
    </row>
    <row r="13462" spans="1:54" x14ac:dyDescent="0.3">
      <c r="A13462" s="66"/>
      <c r="B13462" s="67"/>
      <c r="C13462" s="66"/>
      <c r="D13462" s="68"/>
      <c r="E13462" s="10"/>
      <c r="F13462" s="69"/>
      <c r="G13462" s="68"/>
      <c r="H13462" s="70"/>
      <c r="BA13462" s="4"/>
      <c r="BB13462" s="4"/>
    </row>
    <row r="13463" spans="1:54" x14ac:dyDescent="0.3">
      <c r="A13463" s="66"/>
      <c r="B13463" s="67"/>
      <c r="C13463" s="66"/>
      <c r="D13463" s="68"/>
      <c r="E13463" s="10"/>
      <c r="F13463" s="69"/>
      <c r="G13463" s="68"/>
      <c r="H13463" s="70"/>
      <c r="BA13463" s="4"/>
      <c r="BB13463" s="4"/>
    </row>
    <row r="13464" spans="1:54" x14ac:dyDescent="0.3">
      <c r="A13464" s="66"/>
      <c r="B13464" s="67"/>
      <c r="C13464" s="66"/>
      <c r="D13464" s="68"/>
      <c r="E13464" s="10"/>
      <c r="F13464" s="69"/>
      <c r="G13464" s="68"/>
      <c r="H13464" s="70"/>
      <c r="BA13464" s="4"/>
      <c r="BB13464" s="4"/>
    </row>
    <row r="13465" spans="1:54" x14ac:dyDescent="0.3">
      <c r="A13465" s="66"/>
      <c r="B13465" s="67"/>
      <c r="C13465" s="66"/>
      <c r="D13465" s="68"/>
      <c r="E13465" s="10"/>
      <c r="F13465" s="69"/>
      <c r="G13465" s="68"/>
      <c r="H13465" s="70"/>
      <c r="BA13465" s="4"/>
      <c r="BB13465" s="4"/>
    </row>
    <row r="13466" spans="1:54" x14ac:dyDescent="0.3">
      <c r="A13466" s="66"/>
      <c r="B13466" s="67"/>
      <c r="C13466" s="66"/>
      <c r="D13466" s="68"/>
      <c r="E13466" s="10"/>
      <c r="F13466" s="69"/>
      <c r="G13466" s="68"/>
      <c r="H13466" s="70"/>
      <c r="BA13466" s="4"/>
      <c r="BB13466" s="4"/>
    </row>
    <row r="13467" spans="1:54" x14ac:dyDescent="0.3">
      <c r="A13467" s="66"/>
      <c r="B13467" s="67"/>
      <c r="C13467" s="66"/>
      <c r="D13467" s="68"/>
      <c r="E13467" s="10"/>
      <c r="F13467" s="69"/>
      <c r="G13467" s="68"/>
      <c r="H13467" s="70"/>
      <c r="BA13467" s="4"/>
      <c r="BB13467" s="4"/>
    </row>
    <row r="13468" spans="1:54" x14ac:dyDescent="0.3">
      <c r="A13468" s="66"/>
      <c r="B13468" s="67"/>
      <c r="C13468" s="66"/>
      <c r="D13468" s="68"/>
      <c r="E13468" s="10"/>
      <c r="F13468" s="69"/>
      <c r="G13468" s="68"/>
      <c r="H13468" s="70"/>
      <c r="BA13468" s="4"/>
      <c r="BB13468" s="4"/>
    </row>
    <row r="13469" spans="1:54" x14ac:dyDescent="0.3">
      <c r="A13469" s="66"/>
      <c r="B13469" s="67"/>
      <c r="C13469" s="66"/>
      <c r="D13469" s="68"/>
      <c r="E13469" s="10"/>
      <c r="F13469" s="69"/>
      <c r="G13469" s="68"/>
      <c r="H13469" s="70"/>
      <c r="BA13469" s="4"/>
      <c r="BB13469" s="4"/>
    </row>
    <row r="13470" spans="1:54" x14ac:dyDescent="0.3">
      <c r="A13470" s="66"/>
      <c r="B13470" s="67"/>
      <c r="C13470" s="66"/>
      <c r="D13470" s="68"/>
      <c r="E13470" s="10"/>
      <c r="F13470" s="69"/>
      <c r="G13470" s="68"/>
      <c r="H13470" s="70"/>
      <c r="BA13470" s="4"/>
      <c r="BB13470" s="4"/>
    </row>
    <row r="13471" spans="1:54" x14ac:dyDescent="0.3">
      <c r="A13471" s="66"/>
      <c r="B13471" s="67"/>
      <c r="C13471" s="66"/>
      <c r="D13471" s="68"/>
      <c r="E13471" s="10"/>
      <c r="F13471" s="69"/>
      <c r="G13471" s="68"/>
      <c r="H13471" s="70"/>
      <c r="BA13471" s="4"/>
      <c r="BB13471" s="4"/>
    </row>
    <row r="13472" spans="1:54" x14ac:dyDescent="0.3">
      <c r="A13472" s="66"/>
      <c r="B13472" s="67"/>
      <c r="C13472" s="66"/>
      <c r="D13472" s="68"/>
      <c r="E13472" s="10"/>
      <c r="F13472" s="69"/>
      <c r="G13472" s="68"/>
      <c r="H13472" s="70"/>
      <c r="BA13472" s="4"/>
      <c r="BB13472" s="4"/>
    </row>
    <row r="13473" spans="1:54" x14ac:dyDescent="0.3">
      <c r="A13473" s="66"/>
      <c r="B13473" s="67"/>
      <c r="C13473" s="66"/>
      <c r="D13473" s="68"/>
      <c r="E13473" s="10"/>
      <c r="F13473" s="69"/>
      <c r="G13473" s="68"/>
      <c r="H13473" s="70"/>
      <c r="BA13473" s="4"/>
      <c r="BB13473" s="4"/>
    </row>
    <row r="13474" spans="1:54" x14ac:dyDescent="0.3">
      <c r="A13474" s="66"/>
      <c r="B13474" s="67"/>
      <c r="C13474" s="66"/>
      <c r="D13474" s="68"/>
      <c r="E13474" s="10"/>
      <c r="F13474" s="69"/>
      <c r="G13474" s="68"/>
      <c r="H13474" s="70"/>
      <c r="BA13474" s="4"/>
      <c r="BB13474" s="4"/>
    </row>
    <row r="13475" spans="1:54" x14ac:dyDescent="0.3">
      <c r="A13475" s="66"/>
      <c r="B13475" s="67"/>
      <c r="C13475" s="66"/>
      <c r="D13475" s="68"/>
      <c r="E13475" s="10"/>
      <c r="F13475" s="69"/>
      <c r="G13475" s="68"/>
      <c r="H13475" s="70"/>
      <c r="BA13475" s="4"/>
      <c r="BB13475" s="4"/>
    </row>
    <row r="13476" spans="1:54" x14ac:dyDescent="0.3">
      <c r="A13476" s="66"/>
      <c r="B13476" s="67"/>
      <c r="C13476" s="66"/>
      <c r="D13476" s="68"/>
      <c r="E13476" s="10"/>
      <c r="F13476" s="69"/>
      <c r="G13476" s="68"/>
      <c r="H13476" s="70"/>
      <c r="BA13476" s="4"/>
      <c r="BB13476" s="4"/>
    </row>
    <row r="13477" spans="1:54" x14ac:dyDescent="0.3">
      <c r="A13477" s="66"/>
      <c r="B13477" s="67"/>
      <c r="C13477" s="66"/>
      <c r="D13477" s="68"/>
      <c r="E13477" s="10"/>
      <c r="F13477" s="69"/>
      <c r="G13477" s="68"/>
      <c r="H13477" s="70"/>
      <c r="BA13477" s="4"/>
      <c r="BB13477" s="4"/>
    </row>
    <row r="13478" spans="1:54" x14ac:dyDescent="0.3">
      <c r="A13478" s="66"/>
      <c r="B13478" s="67"/>
      <c r="C13478" s="66"/>
      <c r="D13478" s="68"/>
      <c r="E13478" s="10"/>
      <c r="F13478" s="69"/>
      <c r="G13478" s="68"/>
      <c r="H13478" s="70"/>
      <c r="BA13478" s="4"/>
      <c r="BB13478" s="4"/>
    </row>
    <row r="13479" spans="1:54" x14ac:dyDescent="0.3">
      <c r="A13479" s="66"/>
      <c r="B13479" s="67"/>
      <c r="C13479" s="66"/>
      <c r="D13479" s="68"/>
      <c r="E13479" s="10"/>
      <c r="F13479" s="69"/>
      <c r="G13479" s="68"/>
      <c r="H13479" s="70"/>
      <c r="BA13479" s="4"/>
      <c r="BB13479" s="4"/>
    </row>
    <row r="13480" spans="1:54" x14ac:dyDescent="0.3">
      <c r="A13480" s="66"/>
      <c r="B13480" s="67"/>
      <c r="C13480" s="66"/>
      <c r="D13480" s="68"/>
      <c r="E13480" s="10"/>
      <c r="F13480" s="69"/>
      <c r="G13480" s="68"/>
      <c r="H13480" s="70"/>
      <c r="BA13480" s="4"/>
      <c r="BB13480" s="4"/>
    </row>
    <row r="13481" spans="1:54" x14ac:dyDescent="0.3">
      <c r="A13481" s="66"/>
      <c r="B13481" s="67"/>
      <c r="C13481" s="66"/>
      <c r="D13481" s="68"/>
      <c r="E13481" s="10"/>
      <c r="F13481" s="69"/>
      <c r="G13481" s="68"/>
      <c r="H13481" s="70"/>
      <c r="BA13481" s="4"/>
      <c r="BB13481" s="4"/>
    </row>
    <row r="13482" spans="1:54" x14ac:dyDescent="0.3">
      <c r="A13482" s="66"/>
      <c r="B13482" s="67"/>
      <c r="C13482" s="66"/>
      <c r="D13482" s="68"/>
      <c r="E13482" s="10"/>
      <c r="F13482" s="69"/>
      <c r="G13482" s="68"/>
      <c r="H13482" s="70"/>
      <c r="BA13482" s="4"/>
      <c r="BB13482" s="4"/>
    </row>
    <row r="13483" spans="1:54" x14ac:dyDescent="0.3">
      <c r="A13483" s="66"/>
      <c r="B13483" s="67"/>
      <c r="C13483" s="66"/>
      <c r="D13483" s="68"/>
      <c r="E13483" s="10"/>
      <c r="F13483" s="69"/>
      <c r="G13483" s="68"/>
      <c r="H13483" s="70"/>
      <c r="BA13483" s="4"/>
      <c r="BB13483" s="4"/>
    </row>
    <row r="13484" spans="1:54" x14ac:dyDescent="0.3">
      <c r="A13484" s="66"/>
      <c r="B13484" s="67"/>
      <c r="C13484" s="66"/>
      <c r="D13484" s="68"/>
      <c r="E13484" s="10"/>
      <c r="F13484" s="69"/>
      <c r="G13484" s="68"/>
      <c r="H13484" s="70"/>
      <c r="BA13484" s="4"/>
      <c r="BB13484" s="4"/>
    </row>
    <row r="13485" spans="1:54" x14ac:dyDescent="0.3">
      <c r="A13485" s="66"/>
      <c r="B13485" s="67"/>
      <c r="C13485" s="66"/>
      <c r="D13485" s="68"/>
      <c r="E13485" s="10"/>
      <c r="F13485" s="69"/>
      <c r="G13485" s="68"/>
      <c r="H13485" s="70"/>
      <c r="BA13485" s="4"/>
      <c r="BB13485" s="4"/>
    </row>
    <row r="13486" spans="1:54" x14ac:dyDescent="0.3">
      <c r="A13486" s="66"/>
      <c r="B13486" s="67"/>
      <c r="C13486" s="66"/>
      <c r="D13486" s="68"/>
      <c r="E13486" s="10"/>
      <c r="F13486" s="69"/>
      <c r="G13486" s="68"/>
      <c r="H13486" s="70"/>
      <c r="BA13486" s="4"/>
      <c r="BB13486" s="4"/>
    </row>
    <row r="13487" spans="1:54" x14ac:dyDescent="0.3">
      <c r="A13487" s="66"/>
      <c r="B13487" s="67"/>
      <c r="C13487" s="66"/>
      <c r="D13487" s="68"/>
      <c r="E13487" s="10"/>
      <c r="F13487" s="69"/>
      <c r="G13487" s="68"/>
      <c r="H13487" s="70"/>
      <c r="BA13487" s="4"/>
      <c r="BB13487" s="4"/>
    </row>
    <row r="13488" spans="1:54" x14ac:dyDescent="0.3">
      <c r="A13488" s="66"/>
      <c r="B13488" s="67"/>
      <c r="C13488" s="66"/>
      <c r="D13488" s="68"/>
      <c r="E13488" s="10"/>
      <c r="F13488" s="69"/>
      <c r="G13488" s="68"/>
      <c r="H13488" s="70"/>
      <c r="BA13488" s="4"/>
      <c r="BB13488" s="4"/>
    </row>
    <row r="13489" spans="1:54" x14ac:dyDescent="0.3">
      <c r="A13489" s="66"/>
      <c r="B13489" s="67"/>
      <c r="C13489" s="66"/>
      <c r="D13489" s="68"/>
      <c r="E13489" s="10"/>
      <c r="F13489" s="69"/>
      <c r="G13489" s="68"/>
      <c r="H13489" s="70"/>
      <c r="BA13489" s="4"/>
      <c r="BB13489" s="4"/>
    </row>
    <row r="13490" spans="1:54" x14ac:dyDescent="0.3">
      <c r="A13490" s="66"/>
      <c r="B13490" s="67"/>
      <c r="C13490" s="66"/>
      <c r="D13490" s="68"/>
      <c r="E13490" s="10"/>
      <c r="F13490" s="69"/>
      <c r="G13490" s="68"/>
      <c r="H13490" s="70"/>
      <c r="BA13490" s="4"/>
      <c r="BB13490" s="4"/>
    </row>
    <row r="13491" spans="1:54" x14ac:dyDescent="0.3">
      <c r="A13491" s="66"/>
      <c r="B13491" s="67"/>
      <c r="C13491" s="66"/>
      <c r="D13491" s="68"/>
      <c r="E13491" s="10"/>
      <c r="F13491" s="69"/>
      <c r="G13491" s="68"/>
      <c r="H13491" s="70"/>
      <c r="BA13491" s="4"/>
      <c r="BB13491" s="4"/>
    </row>
    <row r="13492" spans="1:54" x14ac:dyDescent="0.3">
      <c r="A13492" s="66"/>
      <c r="B13492" s="67"/>
      <c r="C13492" s="66"/>
      <c r="D13492" s="68"/>
      <c r="E13492" s="10"/>
      <c r="F13492" s="69"/>
      <c r="G13492" s="68"/>
      <c r="H13492" s="70"/>
      <c r="BA13492" s="4"/>
      <c r="BB13492" s="4"/>
    </row>
    <row r="13493" spans="1:54" x14ac:dyDescent="0.3">
      <c r="A13493" s="66"/>
      <c r="B13493" s="67"/>
      <c r="C13493" s="66"/>
      <c r="D13493" s="68"/>
      <c r="E13493" s="10"/>
      <c r="F13493" s="69"/>
      <c r="G13493" s="68"/>
      <c r="H13493" s="70"/>
      <c r="BA13493" s="4"/>
      <c r="BB13493" s="4"/>
    </row>
    <row r="13494" spans="1:54" x14ac:dyDescent="0.3">
      <c r="A13494" s="66"/>
      <c r="B13494" s="67"/>
      <c r="C13494" s="66"/>
      <c r="D13494" s="68"/>
      <c r="E13494" s="10"/>
      <c r="F13494" s="69"/>
      <c r="G13494" s="68"/>
      <c r="H13494" s="70"/>
      <c r="BA13494" s="4"/>
      <c r="BB13494" s="4"/>
    </row>
    <row r="13495" spans="1:54" x14ac:dyDescent="0.3">
      <c r="A13495" s="66"/>
      <c r="B13495" s="67"/>
      <c r="C13495" s="66"/>
      <c r="D13495" s="68"/>
      <c r="E13495" s="10"/>
      <c r="F13495" s="69"/>
      <c r="G13495" s="68"/>
      <c r="H13495" s="70"/>
      <c r="BA13495" s="4"/>
      <c r="BB13495" s="4"/>
    </row>
    <row r="13496" spans="1:54" x14ac:dyDescent="0.3">
      <c r="A13496" s="66"/>
      <c r="B13496" s="67"/>
      <c r="C13496" s="66"/>
      <c r="D13496" s="68"/>
      <c r="E13496" s="10"/>
      <c r="F13496" s="69"/>
      <c r="G13496" s="68"/>
      <c r="H13496" s="70"/>
      <c r="BA13496" s="4"/>
      <c r="BB13496" s="4"/>
    </row>
    <row r="13497" spans="1:54" x14ac:dyDescent="0.3">
      <c r="A13497" s="66"/>
      <c r="B13497" s="67"/>
      <c r="C13497" s="66"/>
      <c r="D13497" s="68"/>
      <c r="E13497" s="10"/>
      <c r="F13497" s="69"/>
      <c r="G13497" s="68"/>
      <c r="H13497" s="70"/>
      <c r="BA13497" s="4"/>
      <c r="BB13497" s="4"/>
    </row>
    <row r="13498" spans="1:54" x14ac:dyDescent="0.3">
      <c r="A13498" s="66"/>
      <c r="B13498" s="67"/>
      <c r="C13498" s="66"/>
      <c r="D13498" s="68"/>
      <c r="E13498" s="10"/>
      <c r="F13498" s="69"/>
      <c r="G13498" s="68"/>
      <c r="H13498" s="70"/>
      <c r="BA13498" s="4"/>
      <c r="BB13498" s="4"/>
    </row>
    <row r="13499" spans="1:54" x14ac:dyDescent="0.3">
      <c r="A13499" s="66"/>
      <c r="B13499" s="67"/>
      <c r="C13499" s="66"/>
      <c r="D13499" s="68"/>
      <c r="E13499" s="10"/>
      <c r="F13499" s="69"/>
      <c r="G13499" s="68"/>
      <c r="H13499" s="70"/>
      <c r="BA13499" s="4"/>
      <c r="BB13499" s="4"/>
    </row>
    <row r="13500" spans="1:54" x14ac:dyDescent="0.3">
      <c r="A13500" s="66"/>
      <c r="B13500" s="67"/>
      <c r="C13500" s="66"/>
      <c r="D13500" s="68"/>
      <c r="E13500" s="10"/>
      <c r="F13500" s="69"/>
      <c r="G13500" s="68"/>
      <c r="H13500" s="70"/>
      <c r="BA13500" s="4"/>
      <c r="BB13500" s="4"/>
    </row>
    <row r="13501" spans="1:54" x14ac:dyDescent="0.3">
      <c r="A13501" s="66"/>
      <c r="B13501" s="67"/>
      <c r="C13501" s="66"/>
      <c r="D13501" s="68"/>
      <c r="E13501" s="10"/>
      <c r="F13501" s="69"/>
      <c r="G13501" s="68"/>
      <c r="H13501" s="70"/>
      <c r="BA13501" s="4"/>
      <c r="BB13501" s="4"/>
    </row>
    <row r="13502" spans="1:54" x14ac:dyDescent="0.3">
      <c r="A13502" s="66"/>
      <c r="B13502" s="67"/>
      <c r="C13502" s="66"/>
      <c r="D13502" s="68"/>
      <c r="E13502" s="10"/>
      <c r="F13502" s="69"/>
      <c r="G13502" s="68"/>
      <c r="H13502" s="70"/>
      <c r="BA13502" s="4"/>
      <c r="BB13502" s="4"/>
    </row>
    <row r="13503" spans="1:54" x14ac:dyDescent="0.3">
      <c r="A13503" s="66"/>
      <c r="B13503" s="67"/>
      <c r="C13503" s="66"/>
      <c r="D13503" s="68"/>
      <c r="E13503" s="10"/>
      <c r="F13503" s="69"/>
      <c r="G13503" s="68"/>
      <c r="H13503" s="70"/>
      <c r="BA13503" s="4"/>
      <c r="BB13503" s="4"/>
    </row>
    <row r="13504" spans="1:54" x14ac:dyDescent="0.3">
      <c r="A13504" s="66"/>
      <c r="B13504" s="67"/>
      <c r="C13504" s="66"/>
      <c r="D13504" s="68"/>
      <c r="E13504" s="10"/>
      <c r="F13504" s="69"/>
      <c r="G13504" s="68"/>
      <c r="H13504" s="70"/>
      <c r="BA13504" s="4"/>
      <c r="BB13504" s="4"/>
    </row>
    <row r="13505" spans="1:54" x14ac:dyDescent="0.3">
      <c r="A13505" s="66"/>
      <c r="B13505" s="67"/>
      <c r="C13505" s="66"/>
      <c r="D13505" s="68"/>
      <c r="E13505" s="10"/>
      <c r="F13505" s="69"/>
      <c r="G13505" s="68"/>
      <c r="H13505" s="70"/>
      <c r="BA13505" s="4"/>
      <c r="BB13505" s="4"/>
    </row>
    <row r="13506" spans="1:54" x14ac:dyDescent="0.3">
      <c r="A13506" s="66"/>
      <c r="B13506" s="67"/>
      <c r="C13506" s="66"/>
      <c r="D13506" s="68"/>
      <c r="E13506" s="10"/>
      <c r="F13506" s="69"/>
      <c r="G13506" s="68"/>
      <c r="H13506" s="70"/>
      <c r="BA13506" s="4"/>
      <c r="BB13506" s="4"/>
    </row>
    <row r="13507" spans="1:54" x14ac:dyDescent="0.3">
      <c r="A13507" s="66"/>
      <c r="B13507" s="67"/>
      <c r="C13507" s="66"/>
      <c r="D13507" s="68"/>
      <c r="E13507" s="10"/>
      <c r="F13507" s="69"/>
      <c r="G13507" s="68"/>
      <c r="H13507" s="70"/>
      <c r="BA13507" s="4"/>
      <c r="BB13507" s="4"/>
    </row>
    <row r="13508" spans="1:54" x14ac:dyDescent="0.3">
      <c r="A13508" s="66"/>
      <c r="B13508" s="67"/>
      <c r="C13508" s="66"/>
      <c r="D13508" s="68"/>
      <c r="E13508" s="10"/>
      <c r="F13508" s="69"/>
      <c r="G13508" s="68"/>
      <c r="H13508" s="70"/>
      <c r="BA13508" s="4"/>
      <c r="BB13508" s="4"/>
    </row>
    <row r="13509" spans="1:54" x14ac:dyDescent="0.3">
      <c r="A13509" s="66"/>
      <c r="B13509" s="67"/>
      <c r="C13509" s="66"/>
      <c r="D13509" s="68"/>
      <c r="E13509" s="10"/>
      <c r="F13509" s="69"/>
      <c r="G13509" s="68"/>
      <c r="H13509" s="70"/>
      <c r="BA13509" s="4"/>
      <c r="BB13509" s="4"/>
    </row>
    <row r="13510" spans="1:54" x14ac:dyDescent="0.3">
      <c r="A13510" s="66"/>
      <c r="B13510" s="67"/>
      <c r="C13510" s="66"/>
      <c r="D13510" s="68"/>
      <c r="E13510" s="10"/>
      <c r="F13510" s="69"/>
      <c r="G13510" s="68"/>
      <c r="H13510" s="70"/>
      <c r="BA13510" s="4"/>
      <c r="BB13510" s="4"/>
    </row>
    <row r="13511" spans="1:54" x14ac:dyDescent="0.3">
      <c r="A13511" s="66"/>
      <c r="B13511" s="67"/>
      <c r="C13511" s="66"/>
      <c r="D13511" s="68"/>
      <c r="E13511" s="10"/>
      <c r="F13511" s="69"/>
      <c r="G13511" s="68"/>
      <c r="H13511" s="70"/>
      <c r="BA13511" s="4"/>
      <c r="BB13511" s="4"/>
    </row>
    <row r="13512" spans="1:54" x14ac:dyDescent="0.3">
      <c r="A13512" s="66"/>
      <c r="B13512" s="67"/>
      <c r="C13512" s="66"/>
      <c r="D13512" s="68"/>
      <c r="E13512" s="10"/>
      <c r="F13512" s="69"/>
      <c r="G13512" s="68"/>
      <c r="H13512" s="70"/>
      <c r="BA13512" s="4"/>
      <c r="BB13512" s="4"/>
    </row>
    <row r="13513" spans="1:54" x14ac:dyDescent="0.3">
      <c r="A13513" s="66"/>
      <c r="B13513" s="67"/>
      <c r="C13513" s="66"/>
      <c r="D13513" s="68"/>
      <c r="E13513" s="10"/>
      <c r="F13513" s="69"/>
      <c r="G13513" s="68"/>
      <c r="H13513" s="70"/>
      <c r="BA13513" s="4"/>
      <c r="BB13513" s="4"/>
    </row>
    <row r="13514" spans="1:54" x14ac:dyDescent="0.3">
      <c r="A13514" s="66"/>
      <c r="B13514" s="67"/>
      <c r="C13514" s="66"/>
      <c r="D13514" s="68"/>
      <c r="E13514" s="10"/>
      <c r="F13514" s="69"/>
      <c r="G13514" s="68"/>
      <c r="H13514" s="70"/>
      <c r="BA13514" s="4"/>
      <c r="BB13514" s="4"/>
    </row>
    <row r="13515" spans="1:54" x14ac:dyDescent="0.3">
      <c r="A13515" s="66"/>
      <c r="B13515" s="67"/>
      <c r="C13515" s="66"/>
      <c r="D13515" s="68"/>
      <c r="E13515" s="10"/>
      <c r="F13515" s="69"/>
      <c r="G13515" s="68"/>
      <c r="H13515" s="70"/>
      <c r="BA13515" s="4"/>
      <c r="BB13515" s="4"/>
    </row>
    <row r="13516" spans="1:54" x14ac:dyDescent="0.3">
      <c r="A13516" s="66"/>
      <c r="B13516" s="67"/>
      <c r="C13516" s="66"/>
      <c r="D13516" s="68"/>
      <c r="E13516" s="10"/>
      <c r="F13516" s="69"/>
      <c r="G13516" s="68"/>
      <c r="H13516" s="70"/>
      <c r="BA13516" s="4"/>
      <c r="BB13516" s="4"/>
    </row>
    <row r="13517" spans="1:54" x14ac:dyDescent="0.3">
      <c r="A13517" s="66"/>
      <c r="B13517" s="67"/>
      <c r="C13517" s="66"/>
      <c r="D13517" s="68"/>
      <c r="E13517" s="10"/>
      <c r="F13517" s="69"/>
      <c r="G13517" s="68"/>
      <c r="H13517" s="70"/>
      <c r="BA13517" s="4"/>
      <c r="BB13517" s="4"/>
    </row>
    <row r="13518" spans="1:54" x14ac:dyDescent="0.3">
      <c r="A13518" s="66"/>
      <c r="B13518" s="67"/>
      <c r="C13518" s="66"/>
      <c r="D13518" s="68"/>
      <c r="E13518" s="10"/>
      <c r="F13518" s="69"/>
      <c r="G13518" s="68"/>
      <c r="H13518" s="70"/>
      <c r="BA13518" s="4"/>
      <c r="BB13518" s="4"/>
    </row>
    <row r="13519" spans="1:54" x14ac:dyDescent="0.3">
      <c r="A13519" s="66"/>
      <c r="B13519" s="67"/>
      <c r="C13519" s="66"/>
      <c r="D13519" s="68"/>
      <c r="E13519" s="10"/>
      <c r="F13519" s="69"/>
      <c r="G13519" s="68"/>
      <c r="H13519" s="70"/>
      <c r="BA13519" s="4"/>
      <c r="BB13519" s="4"/>
    </row>
    <row r="13520" spans="1:54" x14ac:dyDescent="0.3">
      <c r="A13520" s="66"/>
      <c r="B13520" s="67"/>
      <c r="C13520" s="66"/>
      <c r="D13520" s="68"/>
      <c r="E13520" s="10"/>
      <c r="F13520" s="69"/>
      <c r="G13520" s="68"/>
      <c r="H13520" s="70"/>
      <c r="BA13520" s="4"/>
      <c r="BB13520" s="4"/>
    </row>
    <row r="13521" spans="1:54" x14ac:dyDescent="0.3">
      <c r="A13521" s="66"/>
      <c r="B13521" s="67"/>
      <c r="C13521" s="66"/>
      <c r="D13521" s="68"/>
      <c r="E13521" s="10"/>
      <c r="F13521" s="69"/>
      <c r="G13521" s="68"/>
      <c r="H13521" s="70"/>
      <c r="BA13521" s="4"/>
      <c r="BB13521" s="4"/>
    </row>
    <row r="13522" spans="1:54" x14ac:dyDescent="0.3">
      <c r="A13522" s="66"/>
      <c r="B13522" s="67"/>
      <c r="C13522" s="66"/>
      <c r="D13522" s="68"/>
      <c r="E13522" s="10"/>
      <c r="F13522" s="69"/>
      <c r="G13522" s="68"/>
      <c r="H13522" s="70"/>
      <c r="BA13522" s="4"/>
      <c r="BB13522" s="4"/>
    </row>
    <row r="13523" spans="1:54" x14ac:dyDescent="0.3">
      <c r="A13523" s="66"/>
      <c r="B13523" s="67"/>
      <c r="C13523" s="66"/>
      <c r="D13523" s="68"/>
      <c r="E13523" s="10"/>
      <c r="F13523" s="69"/>
      <c r="G13523" s="68"/>
      <c r="H13523" s="70"/>
      <c r="BA13523" s="4"/>
      <c r="BB13523" s="4"/>
    </row>
    <row r="13524" spans="1:54" x14ac:dyDescent="0.3">
      <c r="A13524" s="66"/>
      <c r="B13524" s="67"/>
      <c r="C13524" s="66"/>
      <c r="D13524" s="68"/>
      <c r="E13524" s="10"/>
      <c r="F13524" s="69"/>
      <c r="G13524" s="68"/>
      <c r="H13524" s="70"/>
      <c r="BA13524" s="4"/>
      <c r="BB13524" s="4"/>
    </row>
    <row r="13525" spans="1:54" x14ac:dyDescent="0.3">
      <c r="A13525" s="66"/>
      <c r="B13525" s="67"/>
      <c r="C13525" s="66"/>
      <c r="D13525" s="68"/>
      <c r="E13525" s="10"/>
      <c r="F13525" s="69"/>
      <c r="G13525" s="68"/>
      <c r="H13525" s="70"/>
      <c r="BA13525" s="4"/>
      <c r="BB13525" s="4"/>
    </row>
    <row r="13526" spans="1:54" x14ac:dyDescent="0.3">
      <c r="A13526" s="66"/>
      <c r="B13526" s="67"/>
      <c r="C13526" s="66"/>
      <c r="D13526" s="68"/>
      <c r="E13526" s="10"/>
      <c r="F13526" s="69"/>
      <c r="G13526" s="68"/>
      <c r="H13526" s="70"/>
      <c r="BA13526" s="4"/>
      <c r="BB13526" s="4"/>
    </row>
    <row r="13527" spans="1:54" x14ac:dyDescent="0.3">
      <c r="A13527" s="66"/>
      <c r="B13527" s="67"/>
      <c r="C13527" s="66"/>
      <c r="D13527" s="68"/>
      <c r="E13527" s="10"/>
      <c r="F13527" s="69"/>
      <c r="G13527" s="68"/>
      <c r="H13527" s="70"/>
      <c r="BA13527" s="4"/>
      <c r="BB13527" s="4"/>
    </row>
    <row r="13528" spans="1:54" x14ac:dyDescent="0.3">
      <c r="A13528" s="66"/>
      <c r="B13528" s="67"/>
      <c r="C13528" s="66"/>
      <c r="D13528" s="68"/>
      <c r="E13528" s="10"/>
      <c r="F13528" s="69"/>
      <c r="G13528" s="68"/>
      <c r="H13528" s="70"/>
      <c r="BA13528" s="4"/>
      <c r="BB13528" s="4"/>
    </row>
    <row r="13529" spans="1:54" x14ac:dyDescent="0.3">
      <c r="A13529" s="66"/>
      <c r="B13529" s="67"/>
      <c r="C13529" s="66"/>
      <c r="D13529" s="68"/>
      <c r="E13529" s="10"/>
      <c r="F13529" s="69"/>
      <c r="G13529" s="68"/>
      <c r="H13529" s="70"/>
      <c r="BA13529" s="4"/>
      <c r="BB13529" s="4"/>
    </row>
    <row r="13530" spans="1:54" x14ac:dyDescent="0.3">
      <c r="A13530" s="66"/>
      <c r="B13530" s="67"/>
      <c r="C13530" s="66"/>
      <c r="D13530" s="68"/>
      <c r="E13530" s="10"/>
      <c r="F13530" s="69"/>
      <c r="G13530" s="68"/>
      <c r="H13530" s="70"/>
      <c r="BA13530" s="4"/>
      <c r="BB13530" s="4"/>
    </row>
    <row r="13531" spans="1:54" x14ac:dyDescent="0.3">
      <c r="A13531" s="66"/>
      <c r="B13531" s="67"/>
      <c r="C13531" s="66"/>
      <c r="D13531" s="68"/>
      <c r="E13531" s="10"/>
      <c r="F13531" s="69"/>
      <c r="G13531" s="68"/>
      <c r="H13531" s="70"/>
      <c r="BA13531" s="4"/>
      <c r="BB13531" s="4"/>
    </row>
    <row r="13532" spans="1:54" x14ac:dyDescent="0.3">
      <c r="A13532" s="66"/>
      <c r="B13532" s="67"/>
      <c r="C13532" s="66"/>
      <c r="D13532" s="68"/>
      <c r="E13532" s="10"/>
      <c r="F13532" s="69"/>
      <c r="G13532" s="68"/>
      <c r="H13532" s="70"/>
      <c r="BA13532" s="4"/>
      <c r="BB13532" s="4"/>
    </row>
    <row r="13533" spans="1:54" x14ac:dyDescent="0.3">
      <c r="A13533" s="66"/>
      <c r="B13533" s="67"/>
      <c r="C13533" s="66"/>
      <c r="D13533" s="68"/>
      <c r="E13533" s="10"/>
      <c r="F13533" s="69"/>
      <c r="G13533" s="68"/>
      <c r="H13533" s="70"/>
      <c r="BA13533" s="4"/>
      <c r="BB13533" s="4"/>
    </row>
    <row r="13534" spans="1:54" x14ac:dyDescent="0.3">
      <c r="A13534" s="66"/>
      <c r="B13534" s="67"/>
      <c r="C13534" s="66"/>
      <c r="D13534" s="68"/>
      <c r="E13534" s="10"/>
      <c r="F13534" s="69"/>
      <c r="G13534" s="68"/>
      <c r="H13534" s="70"/>
      <c r="BA13534" s="4"/>
      <c r="BB13534" s="4"/>
    </row>
    <row r="13535" spans="1:54" x14ac:dyDescent="0.3">
      <c r="A13535" s="66"/>
      <c r="B13535" s="67"/>
      <c r="C13535" s="66"/>
      <c r="D13535" s="68"/>
      <c r="E13535" s="10"/>
      <c r="F13535" s="69"/>
      <c r="G13535" s="68"/>
      <c r="H13535" s="70"/>
      <c r="BA13535" s="4"/>
      <c r="BB13535" s="4"/>
    </row>
    <row r="13536" spans="1:54" x14ac:dyDescent="0.3">
      <c r="A13536" s="66"/>
      <c r="B13536" s="67"/>
      <c r="C13536" s="66"/>
      <c r="D13536" s="68"/>
      <c r="E13536" s="10"/>
      <c r="F13536" s="69"/>
      <c r="G13536" s="68"/>
      <c r="H13536" s="70"/>
      <c r="BA13536" s="4"/>
      <c r="BB13536" s="4"/>
    </row>
    <row r="13537" spans="1:54" x14ac:dyDescent="0.3">
      <c r="A13537" s="66"/>
      <c r="B13537" s="67"/>
      <c r="C13537" s="66"/>
      <c r="D13537" s="68"/>
      <c r="E13537" s="10"/>
      <c r="F13537" s="69"/>
      <c r="G13537" s="68"/>
      <c r="H13537" s="70"/>
      <c r="BA13537" s="4"/>
      <c r="BB13537" s="4"/>
    </row>
    <row r="13538" spans="1:54" x14ac:dyDescent="0.3">
      <c r="A13538" s="66"/>
      <c r="B13538" s="67"/>
      <c r="C13538" s="66"/>
      <c r="D13538" s="68"/>
      <c r="E13538" s="10"/>
      <c r="F13538" s="69"/>
      <c r="G13538" s="68"/>
      <c r="H13538" s="70"/>
      <c r="BA13538" s="4"/>
      <c r="BB13538" s="4"/>
    </row>
    <row r="13539" spans="1:54" x14ac:dyDescent="0.3">
      <c r="A13539" s="66"/>
      <c r="B13539" s="67"/>
      <c r="C13539" s="66"/>
      <c r="D13539" s="68"/>
      <c r="E13539" s="10"/>
      <c r="F13539" s="69"/>
      <c r="G13539" s="68"/>
      <c r="H13539" s="70"/>
      <c r="BA13539" s="4"/>
      <c r="BB13539" s="4"/>
    </row>
    <row r="13540" spans="1:54" x14ac:dyDescent="0.3">
      <c r="A13540" s="66"/>
      <c r="B13540" s="67"/>
      <c r="C13540" s="66"/>
      <c r="D13540" s="68"/>
      <c r="E13540" s="10"/>
      <c r="F13540" s="69"/>
      <c r="G13540" s="68"/>
      <c r="H13540" s="70"/>
      <c r="BA13540" s="4"/>
      <c r="BB13540" s="4"/>
    </row>
    <row r="13541" spans="1:54" x14ac:dyDescent="0.3">
      <c r="A13541" s="66"/>
      <c r="B13541" s="67"/>
      <c r="C13541" s="66"/>
      <c r="D13541" s="68"/>
      <c r="E13541" s="10"/>
      <c r="F13541" s="69"/>
      <c r="G13541" s="68"/>
      <c r="H13541" s="70"/>
      <c r="BA13541" s="4"/>
      <c r="BB13541" s="4"/>
    </row>
    <row r="13542" spans="1:54" x14ac:dyDescent="0.3">
      <c r="A13542" s="66"/>
      <c r="B13542" s="67"/>
      <c r="C13542" s="66"/>
      <c r="D13542" s="68"/>
      <c r="E13542" s="10"/>
      <c r="F13542" s="69"/>
      <c r="G13542" s="68"/>
      <c r="H13542" s="70"/>
      <c r="BA13542" s="4"/>
      <c r="BB13542" s="4"/>
    </row>
    <row r="13543" spans="1:54" x14ac:dyDescent="0.3">
      <c r="A13543" s="66"/>
      <c r="B13543" s="67"/>
      <c r="C13543" s="66"/>
      <c r="D13543" s="68"/>
      <c r="E13543" s="10"/>
      <c r="F13543" s="69"/>
      <c r="G13543" s="68"/>
      <c r="H13543" s="70"/>
      <c r="BA13543" s="4"/>
      <c r="BB13543" s="4"/>
    </row>
    <row r="13544" spans="1:54" x14ac:dyDescent="0.3">
      <c r="A13544" s="66"/>
      <c r="B13544" s="67"/>
      <c r="C13544" s="66"/>
      <c r="D13544" s="68"/>
      <c r="E13544" s="10"/>
      <c r="F13544" s="69"/>
      <c r="G13544" s="68"/>
      <c r="H13544" s="70"/>
      <c r="BA13544" s="4"/>
      <c r="BB13544" s="4"/>
    </row>
    <row r="13545" spans="1:54" x14ac:dyDescent="0.3">
      <c r="A13545" s="66"/>
      <c r="B13545" s="67"/>
      <c r="C13545" s="66"/>
      <c r="D13545" s="68"/>
      <c r="E13545" s="10"/>
      <c r="F13545" s="69"/>
      <c r="G13545" s="68"/>
      <c r="H13545" s="70"/>
      <c r="BA13545" s="4"/>
      <c r="BB13545" s="4"/>
    </row>
    <row r="13546" spans="1:54" x14ac:dyDescent="0.3">
      <c r="A13546" s="66"/>
      <c r="B13546" s="67"/>
      <c r="C13546" s="66"/>
      <c r="D13546" s="68"/>
      <c r="E13546" s="10"/>
      <c r="F13546" s="69"/>
      <c r="G13546" s="68"/>
      <c r="H13546" s="70"/>
      <c r="BA13546" s="4"/>
      <c r="BB13546" s="4"/>
    </row>
    <row r="13547" spans="1:54" x14ac:dyDescent="0.3">
      <c r="A13547" s="66"/>
      <c r="B13547" s="67"/>
      <c r="C13547" s="66"/>
      <c r="D13547" s="68"/>
      <c r="E13547" s="10"/>
      <c r="F13547" s="69"/>
      <c r="G13547" s="68"/>
      <c r="H13547" s="70"/>
      <c r="BA13547" s="4"/>
      <c r="BB13547" s="4"/>
    </row>
    <row r="13548" spans="1:54" x14ac:dyDescent="0.3">
      <c r="A13548" s="66"/>
      <c r="B13548" s="67"/>
      <c r="C13548" s="66"/>
      <c r="D13548" s="68"/>
      <c r="E13548" s="10"/>
      <c r="F13548" s="69"/>
      <c r="G13548" s="68"/>
      <c r="H13548" s="70"/>
      <c r="BA13548" s="4"/>
      <c r="BB13548" s="4"/>
    </row>
    <row r="13549" spans="1:54" x14ac:dyDescent="0.3">
      <c r="A13549" s="66"/>
      <c r="B13549" s="67"/>
      <c r="C13549" s="66"/>
      <c r="D13549" s="68"/>
      <c r="E13549" s="10"/>
      <c r="F13549" s="69"/>
      <c r="G13549" s="68"/>
      <c r="H13549" s="70"/>
      <c r="BA13549" s="4"/>
      <c r="BB13549" s="4"/>
    </row>
    <row r="13550" spans="1:54" x14ac:dyDescent="0.3">
      <c r="A13550" s="66"/>
      <c r="B13550" s="67"/>
      <c r="C13550" s="66"/>
      <c r="D13550" s="68"/>
      <c r="E13550" s="10"/>
      <c r="F13550" s="69"/>
      <c r="G13550" s="68"/>
      <c r="H13550" s="70"/>
      <c r="BA13550" s="4"/>
      <c r="BB13550" s="4"/>
    </row>
    <row r="13551" spans="1:54" x14ac:dyDescent="0.3">
      <c r="A13551" s="66"/>
      <c r="B13551" s="67"/>
      <c r="C13551" s="66"/>
      <c r="D13551" s="68"/>
      <c r="E13551" s="10"/>
      <c r="F13551" s="69"/>
      <c r="G13551" s="68"/>
      <c r="H13551" s="70"/>
      <c r="BA13551" s="4"/>
      <c r="BB13551" s="4"/>
    </row>
    <row r="13552" spans="1:54" x14ac:dyDescent="0.3">
      <c r="A13552" s="66"/>
      <c r="B13552" s="67"/>
      <c r="C13552" s="66"/>
      <c r="D13552" s="68"/>
      <c r="E13552" s="10"/>
      <c r="F13552" s="69"/>
      <c r="G13552" s="68"/>
      <c r="H13552" s="70"/>
      <c r="BA13552" s="4"/>
      <c r="BB13552" s="4"/>
    </row>
    <row r="13553" spans="1:54" x14ac:dyDescent="0.3">
      <c r="A13553" s="66"/>
      <c r="B13553" s="67"/>
      <c r="C13553" s="66"/>
      <c r="D13553" s="68"/>
      <c r="E13553" s="10"/>
      <c r="F13553" s="69"/>
      <c r="G13553" s="68"/>
      <c r="H13553" s="70"/>
      <c r="BA13553" s="4"/>
      <c r="BB13553" s="4"/>
    </row>
    <row r="13554" spans="1:54" x14ac:dyDescent="0.3">
      <c r="A13554" s="66"/>
      <c r="B13554" s="67"/>
      <c r="C13554" s="66"/>
      <c r="D13554" s="68"/>
      <c r="E13554" s="10"/>
      <c r="F13554" s="69"/>
      <c r="G13554" s="68"/>
      <c r="H13554" s="70"/>
      <c r="BA13554" s="4"/>
      <c r="BB13554" s="4"/>
    </row>
    <row r="13555" spans="1:54" x14ac:dyDescent="0.3">
      <c r="A13555" s="66"/>
      <c r="B13555" s="67"/>
      <c r="C13555" s="66"/>
      <c r="D13555" s="68"/>
      <c r="E13555" s="10"/>
      <c r="F13555" s="69"/>
      <c r="G13555" s="68"/>
      <c r="H13555" s="70"/>
      <c r="BA13555" s="4"/>
      <c r="BB13555" s="4"/>
    </row>
    <row r="13556" spans="1:54" x14ac:dyDescent="0.3">
      <c r="A13556" s="66"/>
      <c r="B13556" s="67"/>
      <c r="C13556" s="66"/>
      <c r="D13556" s="68"/>
      <c r="E13556" s="10"/>
      <c r="F13556" s="69"/>
      <c r="G13556" s="68"/>
      <c r="H13556" s="70"/>
      <c r="BA13556" s="4"/>
      <c r="BB13556" s="4"/>
    </row>
    <row r="13557" spans="1:54" x14ac:dyDescent="0.3">
      <c r="A13557" s="66"/>
      <c r="B13557" s="67"/>
      <c r="C13557" s="66"/>
      <c r="D13557" s="68"/>
      <c r="E13557" s="10"/>
      <c r="F13557" s="69"/>
      <c r="G13557" s="68"/>
      <c r="H13557" s="70"/>
      <c r="BA13557" s="4"/>
      <c r="BB13557" s="4"/>
    </row>
    <row r="13558" spans="1:54" x14ac:dyDescent="0.3">
      <c r="A13558" s="66"/>
      <c r="B13558" s="67"/>
      <c r="C13558" s="66"/>
      <c r="D13558" s="68"/>
      <c r="E13558" s="10"/>
      <c r="F13558" s="69"/>
      <c r="G13558" s="68"/>
      <c r="H13558" s="70"/>
      <c r="BA13558" s="4"/>
      <c r="BB13558" s="4"/>
    </row>
    <row r="13559" spans="1:54" x14ac:dyDescent="0.3">
      <c r="A13559" s="66"/>
      <c r="B13559" s="67"/>
      <c r="C13559" s="66"/>
      <c r="D13559" s="68"/>
      <c r="E13559" s="10"/>
      <c r="F13559" s="69"/>
      <c r="G13559" s="68"/>
      <c r="H13559" s="70"/>
      <c r="BA13559" s="4"/>
      <c r="BB13559" s="4"/>
    </row>
    <row r="13560" spans="1:54" x14ac:dyDescent="0.3">
      <c r="A13560" s="66"/>
      <c r="B13560" s="67"/>
      <c r="C13560" s="66"/>
      <c r="D13560" s="68"/>
      <c r="E13560" s="10"/>
      <c r="F13560" s="69"/>
      <c r="G13560" s="68"/>
      <c r="H13560" s="70"/>
      <c r="BA13560" s="4"/>
      <c r="BB13560" s="4"/>
    </row>
    <row r="13561" spans="1:54" x14ac:dyDescent="0.3">
      <c r="A13561" s="66"/>
      <c r="B13561" s="67"/>
      <c r="C13561" s="66"/>
      <c r="D13561" s="68"/>
      <c r="E13561" s="10"/>
      <c r="F13561" s="69"/>
      <c r="G13561" s="68"/>
      <c r="H13561" s="70"/>
      <c r="BA13561" s="4"/>
      <c r="BB13561" s="4"/>
    </row>
    <row r="13562" spans="1:54" x14ac:dyDescent="0.3">
      <c r="A13562" s="66"/>
      <c r="B13562" s="67"/>
      <c r="C13562" s="66"/>
      <c r="D13562" s="68"/>
      <c r="E13562" s="10"/>
      <c r="F13562" s="69"/>
      <c r="G13562" s="68"/>
      <c r="H13562" s="70"/>
      <c r="BA13562" s="4"/>
      <c r="BB13562" s="4"/>
    </row>
    <row r="13563" spans="1:54" x14ac:dyDescent="0.3">
      <c r="A13563" s="66"/>
      <c r="B13563" s="67"/>
      <c r="C13563" s="66"/>
      <c r="D13563" s="68"/>
      <c r="E13563" s="10"/>
      <c r="F13563" s="69"/>
      <c r="G13563" s="68"/>
      <c r="H13563" s="70"/>
      <c r="BA13563" s="4"/>
      <c r="BB13563" s="4"/>
    </row>
    <row r="13564" spans="1:54" x14ac:dyDescent="0.3">
      <c r="A13564" s="66"/>
      <c r="B13564" s="67"/>
      <c r="C13564" s="66"/>
      <c r="D13564" s="68"/>
      <c r="E13564" s="10"/>
      <c r="F13564" s="69"/>
      <c r="G13564" s="68"/>
      <c r="H13564" s="70"/>
      <c r="BA13564" s="4"/>
      <c r="BB13564" s="4"/>
    </row>
    <row r="13565" spans="1:54" x14ac:dyDescent="0.3">
      <c r="A13565" s="66"/>
      <c r="B13565" s="67"/>
      <c r="C13565" s="66"/>
      <c r="D13565" s="68"/>
      <c r="E13565" s="10"/>
      <c r="F13565" s="69"/>
      <c r="G13565" s="68"/>
      <c r="H13565" s="70"/>
      <c r="BA13565" s="4"/>
      <c r="BB13565" s="4"/>
    </row>
    <row r="13566" spans="1:54" x14ac:dyDescent="0.3">
      <c r="A13566" s="66"/>
      <c r="B13566" s="67"/>
      <c r="C13566" s="66"/>
      <c r="D13566" s="68"/>
      <c r="E13566" s="10"/>
      <c r="F13566" s="69"/>
      <c r="G13566" s="68"/>
      <c r="H13566" s="70"/>
      <c r="BA13566" s="4"/>
      <c r="BB13566" s="4"/>
    </row>
    <row r="13567" spans="1:54" x14ac:dyDescent="0.3">
      <c r="A13567" s="66"/>
      <c r="B13567" s="67"/>
      <c r="C13567" s="66"/>
      <c r="D13567" s="68"/>
      <c r="E13567" s="10"/>
      <c r="F13567" s="69"/>
      <c r="G13567" s="68"/>
      <c r="H13567" s="70"/>
      <c r="BA13567" s="4"/>
      <c r="BB13567" s="4"/>
    </row>
    <row r="13568" spans="1:54" x14ac:dyDescent="0.3">
      <c r="A13568" s="66"/>
      <c r="B13568" s="67"/>
      <c r="C13568" s="66"/>
      <c r="D13568" s="68"/>
      <c r="E13568" s="10"/>
      <c r="F13568" s="69"/>
      <c r="G13568" s="68"/>
      <c r="H13568" s="70"/>
      <c r="BA13568" s="4"/>
      <c r="BB13568" s="4"/>
    </row>
    <row r="13569" spans="1:54" x14ac:dyDescent="0.3">
      <c r="A13569" s="66"/>
      <c r="B13569" s="67"/>
      <c r="C13569" s="66"/>
      <c r="D13569" s="68"/>
      <c r="E13569" s="10"/>
      <c r="F13569" s="69"/>
      <c r="G13569" s="68"/>
      <c r="H13569" s="70"/>
      <c r="BA13569" s="4"/>
      <c r="BB13569" s="4"/>
    </row>
    <row r="13570" spans="1:54" x14ac:dyDescent="0.3">
      <c r="A13570" s="66"/>
      <c r="B13570" s="67"/>
      <c r="C13570" s="66"/>
      <c r="D13570" s="68"/>
      <c r="E13570" s="10"/>
      <c r="F13570" s="69"/>
      <c r="G13570" s="68"/>
      <c r="H13570" s="70"/>
      <c r="BA13570" s="4"/>
      <c r="BB13570" s="4"/>
    </row>
    <row r="13571" spans="1:54" x14ac:dyDescent="0.3">
      <c r="A13571" s="66"/>
      <c r="B13571" s="67"/>
      <c r="C13571" s="66"/>
      <c r="D13571" s="68"/>
      <c r="E13571" s="10"/>
      <c r="F13571" s="69"/>
      <c r="G13571" s="68"/>
      <c r="H13571" s="70"/>
      <c r="BA13571" s="4"/>
      <c r="BB13571" s="4"/>
    </row>
    <row r="13572" spans="1:54" x14ac:dyDescent="0.3">
      <c r="A13572" s="66"/>
      <c r="B13572" s="67"/>
      <c r="C13572" s="66"/>
      <c r="D13572" s="68"/>
      <c r="E13572" s="10"/>
      <c r="F13572" s="69"/>
      <c r="G13572" s="68"/>
      <c r="H13572" s="70"/>
      <c r="BA13572" s="4"/>
      <c r="BB13572" s="4"/>
    </row>
    <row r="13573" spans="1:54" x14ac:dyDescent="0.3">
      <c r="A13573" s="66"/>
      <c r="B13573" s="67"/>
      <c r="C13573" s="66"/>
      <c r="D13573" s="68"/>
      <c r="E13573" s="10"/>
      <c r="F13573" s="69"/>
      <c r="G13573" s="68"/>
      <c r="H13573" s="70"/>
      <c r="BA13573" s="4"/>
      <c r="BB13573" s="4"/>
    </row>
    <row r="13574" spans="1:54" x14ac:dyDescent="0.3">
      <c r="A13574" s="66"/>
      <c r="B13574" s="67"/>
      <c r="C13574" s="66"/>
      <c r="D13574" s="68"/>
      <c r="E13574" s="10"/>
      <c r="F13574" s="69"/>
      <c r="G13574" s="68"/>
      <c r="H13574" s="70"/>
      <c r="BA13574" s="4"/>
      <c r="BB13574" s="4"/>
    </row>
    <row r="13575" spans="1:54" x14ac:dyDescent="0.3">
      <c r="A13575" s="66"/>
      <c r="B13575" s="67"/>
      <c r="C13575" s="66"/>
      <c r="D13575" s="68"/>
      <c r="E13575" s="10"/>
      <c r="F13575" s="69"/>
      <c r="G13575" s="68"/>
      <c r="H13575" s="70"/>
      <c r="BA13575" s="4"/>
      <c r="BB13575" s="4"/>
    </row>
    <row r="13576" spans="1:54" x14ac:dyDescent="0.3">
      <c r="A13576" s="66"/>
      <c r="B13576" s="67"/>
      <c r="C13576" s="66"/>
      <c r="D13576" s="68"/>
      <c r="E13576" s="10"/>
      <c r="F13576" s="69"/>
      <c r="G13576" s="68"/>
      <c r="H13576" s="70"/>
      <c r="BA13576" s="4"/>
      <c r="BB13576" s="4"/>
    </row>
    <row r="13577" spans="1:54" x14ac:dyDescent="0.3">
      <c r="A13577" s="66"/>
      <c r="B13577" s="67"/>
      <c r="C13577" s="66"/>
      <c r="D13577" s="68"/>
      <c r="E13577" s="10"/>
      <c r="F13577" s="69"/>
      <c r="G13577" s="68"/>
      <c r="H13577" s="70"/>
      <c r="BA13577" s="4"/>
      <c r="BB13577" s="4"/>
    </row>
    <row r="13578" spans="1:54" x14ac:dyDescent="0.3">
      <c r="A13578" s="66"/>
      <c r="B13578" s="67"/>
      <c r="C13578" s="66"/>
      <c r="D13578" s="68"/>
      <c r="E13578" s="10"/>
      <c r="F13578" s="69"/>
      <c r="G13578" s="68"/>
      <c r="H13578" s="70"/>
      <c r="BA13578" s="4"/>
      <c r="BB13578" s="4"/>
    </row>
    <row r="13579" spans="1:54" x14ac:dyDescent="0.3">
      <c r="A13579" s="66"/>
      <c r="B13579" s="67"/>
      <c r="C13579" s="66"/>
      <c r="D13579" s="68"/>
      <c r="E13579" s="10"/>
      <c r="F13579" s="69"/>
      <c r="G13579" s="68"/>
      <c r="H13579" s="70"/>
      <c r="BA13579" s="4"/>
      <c r="BB13579" s="4"/>
    </row>
    <row r="13580" spans="1:54" x14ac:dyDescent="0.3">
      <c r="A13580" s="66"/>
      <c r="B13580" s="67"/>
      <c r="C13580" s="66"/>
      <c r="D13580" s="68"/>
      <c r="E13580" s="10"/>
      <c r="F13580" s="69"/>
      <c r="G13580" s="68"/>
      <c r="H13580" s="70"/>
      <c r="BA13580" s="4"/>
      <c r="BB13580" s="4"/>
    </row>
    <row r="13581" spans="1:54" x14ac:dyDescent="0.3">
      <c r="A13581" s="66"/>
      <c r="B13581" s="67"/>
      <c r="C13581" s="66"/>
      <c r="D13581" s="68"/>
      <c r="E13581" s="10"/>
      <c r="F13581" s="69"/>
      <c r="G13581" s="68"/>
      <c r="H13581" s="70"/>
      <c r="BA13581" s="4"/>
      <c r="BB13581" s="4"/>
    </row>
    <row r="13582" spans="1:54" x14ac:dyDescent="0.3">
      <c r="A13582" s="66"/>
      <c r="B13582" s="67"/>
      <c r="C13582" s="66"/>
      <c r="D13582" s="68"/>
      <c r="E13582" s="10"/>
      <c r="F13582" s="69"/>
      <c r="G13582" s="68"/>
      <c r="H13582" s="70"/>
      <c r="BA13582" s="4"/>
      <c r="BB13582" s="4"/>
    </row>
    <row r="13583" spans="1:54" x14ac:dyDescent="0.3">
      <c r="A13583" s="66"/>
      <c r="B13583" s="67"/>
      <c r="C13583" s="66"/>
      <c r="D13583" s="68"/>
      <c r="E13583" s="10"/>
      <c r="F13583" s="69"/>
      <c r="G13583" s="68"/>
      <c r="H13583" s="70"/>
      <c r="BA13583" s="4"/>
      <c r="BB13583" s="4"/>
    </row>
    <row r="13584" spans="1:54" x14ac:dyDescent="0.3">
      <c r="A13584" s="66"/>
      <c r="B13584" s="67"/>
      <c r="C13584" s="66"/>
      <c r="D13584" s="68"/>
      <c r="E13584" s="10"/>
      <c r="F13584" s="69"/>
      <c r="G13584" s="68"/>
      <c r="H13584" s="70"/>
      <c r="BA13584" s="4"/>
      <c r="BB13584" s="4"/>
    </row>
    <row r="13585" spans="1:54" x14ac:dyDescent="0.3">
      <c r="A13585" s="66"/>
      <c r="B13585" s="67"/>
      <c r="C13585" s="66"/>
      <c r="D13585" s="68"/>
      <c r="E13585" s="10"/>
      <c r="F13585" s="69"/>
      <c r="G13585" s="68"/>
      <c r="H13585" s="70"/>
      <c r="BA13585" s="4"/>
      <c r="BB13585" s="4"/>
    </row>
    <row r="13586" spans="1:54" x14ac:dyDescent="0.3">
      <c r="A13586" s="66"/>
      <c r="B13586" s="67"/>
      <c r="C13586" s="66"/>
      <c r="D13586" s="68"/>
      <c r="E13586" s="10"/>
      <c r="F13586" s="69"/>
      <c r="G13586" s="68"/>
      <c r="H13586" s="70"/>
      <c r="BA13586" s="4"/>
      <c r="BB13586" s="4"/>
    </row>
    <row r="13587" spans="1:54" x14ac:dyDescent="0.3">
      <c r="A13587" s="66"/>
      <c r="B13587" s="67"/>
      <c r="C13587" s="66"/>
      <c r="D13587" s="68"/>
      <c r="E13587" s="10"/>
      <c r="F13587" s="69"/>
      <c r="G13587" s="68"/>
      <c r="H13587" s="70"/>
      <c r="BA13587" s="4"/>
      <c r="BB13587" s="4"/>
    </row>
    <row r="13588" spans="1:54" x14ac:dyDescent="0.3">
      <c r="A13588" s="66"/>
      <c r="B13588" s="67"/>
      <c r="C13588" s="66"/>
      <c r="D13588" s="68"/>
      <c r="E13588" s="10"/>
      <c r="F13588" s="69"/>
      <c r="G13588" s="68"/>
      <c r="H13588" s="70"/>
      <c r="BA13588" s="4"/>
      <c r="BB13588" s="4"/>
    </row>
    <row r="13589" spans="1:54" x14ac:dyDescent="0.3">
      <c r="A13589" s="66"/>
      <c r="B13589" s="67"/>
      <c r="C13589" s="66"/>
      <c r="D13589" s="68"/>
      <c r="E13589" s="10"/>
      <c r="F13589" s="69"/>
      <c r="G13589" s="68"/>
      <c r="H13589" s="70"/>
      <c r="BA13589" s="4"/>
      <c r="BB13589" s="4"/>
    </row>
    <row r="13590" spans="1:54" x14ac:dyDescent="0.3">
      <c r="A13590" s="66"/>
      <c r="B13590" s="67"/>
      <c r="C13590" s="66"/>
      <c r="D13590" s="68"/>
      <c r="E13590" s="10"/>
      <c r="F13590" s="69"/>
      <c r="G13590" s="68"/>
      <c r="H13590" s="70"/>
      <c r="BA13590" s="4"/>
      <c r="BB13590" s="4"/>
    </row>
    <row r="13591" spans="1:54" x14ac:dyDescent="0.3">
      <c r="A13591" s="66"/>
      <c r="B13591" s="67"/>
      <c r="C13591" s="66"/>
      <c r="D13591" s="68"/>
      <c r="E13591" s="10"/>
      <c r="F13591" s="69"/>
      <c r="G13591" s="68"/>
      <c r="H13591" s="70"/>
      <c r="BA13591" s="4"/>
      <c r="BB13591" s="4"/>
    </row>
    <row r="13592" spans="1:54" x14ac:dyDescent="0.3">
      <c r="A13592" s="66"/>
      <c r="B13592" s="67"/>
      <c r="C13592" s="66"/>
      <c r="D13592" s="68"/>
      <c r="E13592" s="10"/>
      <c r="F13592" s="69"/>
      <c r="G13592" s="68"/>
      <c r="H13592" s="70"/>
      <c r="BA13592" s="4"/>
      <c r="BB13592" s="4"/>
    </row>
    <row r="13593" spans="1:54" x14ac:dyDescent="0.3">
      <c r="A13593" s="66"/>
      <c r="B13593" s="67"/>
      <c r="C13593" s="66"/>
      <c r="D13593" s="68"/>
      <c r="E13593" s="10"/>
      <c r="F13593" s="69"/>
      <c r="G13593" s="68"/>
      <c r="H13593" s="70"/>
      <c r="BA13593" s="4"/>
      <c r="BB13593" s="4"/>
    </row>
    <row r="13594" spans="1:54" x14ac:dyDescent="0.3">
      <c r="A13594" s="66"/>
      <c r="B13594" s="67"/>
      <c r="C13594" s="66"/>
      <c r="D13594" s="68"/>
      <c r="E13594" s="10"/>
      <c r="F13594" s="69"/>
      <c r="G13594" s="68"/>
      <c r="H13594" s="70"/>
      <c r="BA13594" s="4"/>
      <c r="BB13594" s="4"/>
    </row>
    <row r="13595" spans="1:54" x14ac:dyDescent="0.3">
      <c r="A13595" s="66"/>
      <c r="B13595" s="67"/>
      <c r="C13595" s="66"/>
      <c r="D13595" s="68"/>
      <c r="E13595" s="10"/>
      <c r="F13595" s="69"/>
      <c r="G13595" s="68"/>
      <c r="H13595" s="70"/>
      <c r="BA13595" s="4"/>
      <c r="BB13595" s="4"/>
    </row>
    <row r="13596" spans="1:54" x14ac:dyDescent="0.3">
      <c r="A13596" s="66"/>
      <c r="B13596" s="67"/>
      <c r="C13596" s="66"/>
      <c r="D13596" s="68"/>
      <c r="E13596" s="10"/>
      <c r="F13596" s="69"/>
      <c r="G13596" s="68"/>
      <c r="H13596" s="70"/>
      <c r="BA13596" s="4"/>
      <c r="BB13596" s="4"/>
    </row>
    <row r="13597" spans="1:54" x14ac:dyDescent="0.3">
      <c r="A13597" s="66"/>
      <c r="B13597" s="67"/>
      <c r="C13597" s="66"/>
      <c r="D13597" s="68"/>
      <c r="E13597" s="10"/>
      <c r="F13597" s="69"/>
      <c r="G13597" s="68"/>
      <c r="H13597" s="70"/>
      <c r="BA13597" s="4"/>
      <c r="BB13597" s="4"/>
    </row>
    <row r="13598" spans="1:54" x14ac:dyDescent="0.3">
      <c r="A13598" s="66"/>
      <c r="B13598" s="67"/>
      <c r="C13598" s="66"/>
      <c r="D13598" s="68"/>
      <c r="E13598" s="10"/>
      <c r="F13598" s="69"/>
      <c r="G13598" s="68"/>
      <c r="H13598" s="70"/>
      <c r="BA13598" s="4"/>
      <c r="BB13598" s="4"/>
    </row>
    <row r="13599" spans="1:54" x14ac:dyDescent="0.3">
      <c r="A13599" s="66"/>
      <c r="B13599" s="67"/>
      <c r="C13599" s="66"/>
      <c r="D13599" s="68"/>
      <c r="E13599" s="10"/>
      <c r="F13599" s="69"/>
      <c r="G13599" s="68"/>
      <c r="H13599" s="70"/>
      <c r="BA13599" s="4"/>
      <c r="BB13599" s="4"/>
    </row>
    <row r="13600" spans="1:54" x14ac:dyDescent="0.3">
      <c r="A13600" s="66"/>
      <c r="B13600" s="67"/>
      <c r="C13600" s="66"/>
      <c r="D13600" s="68"/>
      <c r="E13600" s="10"/>
      <c r="F13600" s="69"/>
      <c r="G13600" s="68"/>
      <c r="H13600" s="70"/>
      <c r="BA13600" s="4"/>
      <c r="BB13600" s="4"/>
    </row>
    <row r="13601" spans="1:54" x14ac:dyDescent="0.3">
      <c r="A13601" s="66"/>
      <c r="B13601" s="67"/>
      <c r="C13601" s="66"/>
      <c r="D13601" s="68"/>
      <c r="E13601" s="10"/>
      <c r="F13601" s="69"/>
      <c r="G13601" s="68"/>
      <c r="H13601" s="70"/>
      <c r="BA13601" s="4"/>
      <c r="BB13601" s="4"/>
    </row>
    <row r="13602" spans="1:54" x14ac:dyDescent="0.3">
      <c r="A13602" s="66"/>
      <c r="B13602" s="67"/>
      <c r="C13602" s="66"/>
      <c r="D13602" s="68"/>
      <c r="E13602" s="10"/>
      <c r="F13602" s="69"/>
      <c r="G13602" s="68"/>
      <c r="H13602" s="70"/>
      <c r="BA13602" s="4"/>
      <c r="BB13602" s="4"/>
    </row>
    <row r="13603" spans="1:54" x14ac:dyDescent="0.3">
      <c r="A13603" s="66"/>
      <c r="B13603" s="67"/>
      <c r="C13603" s="66"/>
      <c r="D13603" s="68"/>
      <c r="E13603" s="10"/>
      <c r="F13603" s="69"/>
      <c r="G13603" s="68"/>
      <c r="H13603" s="70"/>
      <c r="BA13603" s="4"/>
      <c r="BB13603" s="4"/>
    </row>
    <row r="13604" spans="1:54" x14ac:dyDescent="0.3">
      <c r="A13604" s="66"/>
      <c r="B13604" s="67"/>
      <c r="C13604" s="66"/>
      <c r="D13604" s="68"/>
      <c r="E13604" s="10"/>
      <c r="F13604" s="69"/>
      <c r="G13604" s="68"/>
      <c r="H13604" s="70"/>
      <c r="BA13604" s="4"/>
      <c r="BB13604" s="4"/>
    </row>
    <row r="13605" spans="1:54" x14ac:dyDescent="0.3">
      <c r="A13605" s="66"/>
      <c r="B13605" s="67"/>
      <c r="C13605" s="66"/>
      <c r="D13605" s="68"/>
      <c r="E13605" s="10"/>
      <c r="F13605" s="69"/>
      <c r="G13605" s="68"/>
      <c r="H13605" s="70"/>
      <c r="BA13605" s="4"/>
      <c r="BB13605" s="4"/>
    </row>
    <row r="13606" spans="1:54" x14ac:dyDescent="0.3">
      <c r="A13606" s="66"/>
      <c r="B13606" s="67"/>
      <c r="C13606" s="66"/>
      <c r="D13606" s="68"/>
      <c r="E13606" s="10"/>
      <c r="F13606" s="69"/>
      <c r="G13606" s="68"/>
      <c r="H13606" s="70"/>
      <c r="BA13606" s="4"/>
      <c r="BB13606" s="4"/>
    </row>
    <row r="13607" spans="1:54" x14ac:dyDescent="0.3">
      <c r="A13607" s="66"/>
      <c r="B13607" s="67"/>
      <c r="C13607" s="66"/>
      <c r="D13607" s="68"/>
      <c r="E13607" s="10"/>
      <c r="F13607" s="69"/>
      <c r="G13607" s="68"/>
      <c r="H13607" s="70"/>
      <c r="BA13607" s="4"/>
      <c r="BB13607" s="4"/>
    </row>
    <row r="13608" spans="1:54" x14ac:dyDescent="0.3">
      <c r="A13608" s="66"/>
      <c r="B13608" s="67"/>
      <c r="C13608" s="66"/>
      <c r="D13608" s="68"/>
      <c r="E13608" s="10"/>
      <c r="F13608" s="69"/>
      <c r="G13608" s="68"/>
      <c r="H13608" s="70"/>
      <c r="BA13608" s="4"/>
      <c r="BB13608" s="4"/>
    </row>
    <row r="13609" spans="1:54" x14ac:dyDescent="0.3">
      <c r="A13609" s="66"/>
      <c r="B13609" s="67"/>
      <c r="C13609" s="66"/>
      <c r="D13609" s="68"/>
      <c r="E13609" s="10"/>
      <c r="F13609" s="69"/>
      <c r="G13609" s="68"/>
      <c r="H13609" s="70"/>
      <c r="BA13609" s="4"/>
      <c r="BB13609" s="4"/>
    </row>
    <row r="13610" spans="1:54" x14ac:dyDescent="0.3">
      <c r="A13610" s="66"/>
      <c r="B13610" s="67"/>
      <c r="C13610" s="66"/>
      <c r="D13610" s="68"/>
      <c r="E13610" s="10"/>
      <c r="F13610" s="69"/>
      <c r="G13610" s="68"/>
      <c r="H13610" s="70"/>
      <c r="BA13610" s="4"/>
      <c r="BB13610" s="4"/>
    </row>
    <row r="13611" spans="1:54" x14ac:dyDescent="0.3">
      <c r="A13611" s="66"/>
      <c r="B13611" s="67"/>
      <c r="C13611" s="66"/>
      <c r="D13611" s="68"/>
      <c r="E13611" s="10"/>
      <c r="F13611" s="69"/>
      <c r="G13611" s="68"/>
      <c r="H13611" s="70"/>
      <c r="BA13611" s="4"/>
      <c r="BB13611" s="4"/>
    </row>
    <row r="13612" spans="1:54" x14ac:dyDescent="0.3">
      <c r="A13612" s="66"/>
      <c r="B13612" s="67"/>
      <c r="C13612" s="66"/>
      <c r="D13612" s="68"/>
      <c r="E13612" s="10"/>
      <c r="F13612" s="69"/>
      <c r="G13612" s="68"/>
      <c r="H13612" s="70"/>
      <c r="BA13612" s="4"/>
      <c r="BB13612" s="4"/>
    </row>
    <row r="13613" spans="1:54" x14ac:dyDescent="0.3">
      <c r="A13613" s="66"/>
      <c r="B13613" s="67"/>
      <c r="C13613" s="66"/>
      <c r="D13613" s="68"/>
      <c r="E13613" s="10"/>
      <c r="F13613" s="69"/>
      <c r="G13613" s="68"/>
      <c r="H13613" s="70"/>
      <c r="BA13613" s="4"/>
      <c r="BB13613" s="4"/>
    </row>
    <row r="13614" spans="1:54" x14ac:dyDescent="0.3">
      <c r="A13614" s="66"/>
      <c r="B13614" s="67"/>
      <c r="C13614" s="66"/>
      <c r="D13614" s="68"/>
      <c r="E13614" s="10"/>
      <c r="F13614" s="69"/>
      <c r="G13614" s="68"/>
      <c r="H13614" s="70"/>
      <c r="BA13614" s="4"/>
      <c r="BB13614" s="4"/>
    </row>
    <row r="13615" spans="1:54" x14ac:dyDescent="0.3">
      <c r="A13615" s="66"/>
      <c r="B13615" s="67"/>
      <c r="C13615" s="66"/>
      <c r="D13615" s="68"/>
      <c r="E13615" s="10"/>
      <c r="F13615" s="69"/>
      <c r="G13615" s="68"/>
      <c r="H13615" s="70"/>
      <c r="BA13615" s="4"/>
      <c r="BB13615" s="4"/>
    </row>
    <row r="13616" spans="1:54" x14ac:dyDescent="0.3">
      <c r="A13616" s="66"/>
      <c r="B13616" s="67"/>
      <c r="C13616" s="66"/>
      <c r="D13616" s="68"/>
      <c r="E13616" s="10"/>
      <c r="F13616" s="69"/>
      <c r="G13616" s="68"/>
      <c r="H13616" s="70"/>
      <c r="BA13616" s="4"/>
      <c r="BB13616" s="4"/>
    </row>
    <row r="13617" spans="1:54" x14ac:dyDescent="0.3">
      <c r="A13617" s="66"/>
      <c r="B13617" s="67"/>
      <c r="C13617" s="66"/>
      <c r="D13617" s="68"/>
      <c r="E13617" s="10"/>
      <c r="F13617" s="69"/>
      <c r="G13617" s="68"/>
      <c r="H13617" s="70"/>
      <c r="BA13617" s="4"/>
      <c r="BB13617" s="4"/>
    </row>
    <row r="13618" spans="1:54" x14ac:dyDescent="0.3">
      <c r="A13618" s="66"/>
      <c r="B13618" s="67"/>
      <c r="C13618" s="66"/>
      <c r="D13618" s="68"/>
      <c r="E13618" s="10"/>
      <c r="F13618" s="69"/>
      <c r="G13618" s="68"/>
      <c r="H13618" s="70"/>
      <c r="BA13618" s="4"/>
      <c r="BB13618" s="4"/>
    </row>
    <row r="13619" spans="1:54" x14ac:dyDescent="0.3">
      <c r="A13619" s="66"/>
      <c r="B13619" s="67"/>
      <c r="C13619" s="66"/>
      <c r="D13619" s="68"/>
      <c r="E13619" s="10"/>
      <c r="F13619" s="69"/>
      <c r="G13619" s="68"/>
      <c r="H13619" s="70"/>
      <c r="BA13619" s="4"/>
      <c r="BB13619" s="4"/>
    </row>
    <row r="13620" spans="1:54" x14ac:dyDescent="0.3">
      <c r="A13620" s="66"/>
      <c r="B13620" s="67"/>
      <c r="C13620" s="66"/>
      <c r="D13620" s="68"/>
      <c r="E13620" s="10"/>
      <c r="F13620" s="69"/>
      <c r="G13620" s="68"/>
      <c r="H13620" s="70"/>
      <c r="BA13620" s="4"/>
      <c r="BB13620" s="4"/>
    </row>
    <row r="13621" spans="1:54" x14ac:dyDescent="0.3">
      <c r="A13621" s="66"/>
      <c r="B13621" s="67"/>
      <c r="C13621" s="66"/>
      <c r="D13621" s="68"/>
      <c r="E13621" s="10"/>
      <c r="F13621" s="69"/>
      <c r="G13621" s="68"/>
      <c r="H13621" s="70"/>
      <c r="BA13621" s="4"/>
      <c r="BB13621" s="4"/>
    </row>
    <row r="13622" spans="1:54" x14ac:dyDescent="0.3">
      <c r="A13622" s="66"/>
      <c r="B13622" s="67"/>
      <c r="C13622" s="66"/>
      <c r="D13622" s="68"/>
      <c r="E13622" s="10"/>
      <c r="F13622" s="69"/>
      <c r="G13622" s="68"/>
      <c r="H13622" s="70"/>
      <c r="BA13622" s="4"/>
      <c r="BB13622" s="4"/>
    </row>
    <row r="13623" spans="1:54" x14ac:dyDescent="0.3">
      <c r="A13623" s="66"/>
      <c r="B13623" s="67"/>
      <c r="C13623" s="66"/>
      <c r="D13623" s="68"/>
      <c r="E13623" s="10"/>
      <c r="F13623" s="69"/>
      <c r="G13623" s="68"/>
      <c r="H13623" s="70"/>
      <c r="BA13623" s="4"/>
      <c r="BB13623" s="4"/>
    </row>
    <row r="13624" spans="1:54" x14ac:dyDescent="0.3">
      <c r="A13624" s="66"/>
      <c r="B13624" s="67"/>
      <c r="C13624" s="66"/>
      <c r="D13624" s="68"/>
      <c r="E13624" s="10"/>
      <c r="F13624" s="69"/>
      <c r="G13624" s="68"/>
      <c r="H13624" s="70"/>
      <c r="BA13624" s="4"/>
      <c r="BB13624" s="4"/>
    </row>
    <row r="13625" spans="1:54" x14ac:dyDescent="0.3">
      <c r="A13625" s="66"/>
      <c r="B13625" s="67"/>
      <c r="C13625" s="66"/>
      <c r="D13625" s="68"/>
      <c r="E13625" s="10"/>
      <c r="F13625" s="69"/>
      <c r="G13625" s="68"/>
      <c r="H13625" s="70"/>
      <c r="BA13625" s="4"/>
      <c r="BB13625" s="4"/>
    </row>
    <row r="13626" spans="1:54" x14ac:dyDescent="0.3">
      <c r="A13626" s="66"/>
      <c r="B13626" s="67"/>
      <c r="C13626" s="66"/>
      <c r="D13626" s="68"/>
      <c r="E13626" s="10"/>
      <c r="F13626" s="69"/>
      <c r="G13626" s="68"/>
      <c r="H13626" s="70"/>
      <c r="BA13626" s="4"/>
      <c r="BB13626" s="4"/>
    </row>
    <row r="13627" spans="1:54" x14ac:dyDescent="0.3">
      <c r="A13627" s="66"/>
      <c r="B13627" s="67"/>
      <c r="C13627" s="66"/>
      <c r="D13627" s="68"/>
      <c r="E13627" s="10"/>
      <c r="F13627" s="69"/>
      <c r="G13627" s="68"/>
      <c r="H13627" s="70"/>
      <c r="BA13627" s="4"/>
      <c r="BB13627" s="4"/>
    </row>
    <row r="13628" spans="1:54" x14ac:dyDescent="0.3">
      <c r="A13628" s="66"/>
      <c r="B13628" s="67"/>
      <c r="C13628" s="66"/>
      <c r="D13628" s="68"/>
      <c r="E13628" s="10"/>
      <c r="F13628" s="69"/>
      <c r="G13628" s="68"/>
      <c r="H13628" s="70"/>
      <c r="BA13628" s="4"/>
      <c r="BB13628" s="4"/>
    </row>
    <row r="13629" spans="1:54" x14ac:dyDescent="0.3">
      <c r="A13629" s="66"/>
      <c r="B13629" s="67"/>
      <c r="C13629" s="66"/>
      <c r="D13629" s="68"/>
      <c r="E13629" s="10"/>
      <c r="F13629" s="69"/>
      <c r="G13629" s="68"/>
      <c r="H13629" s="70"/>
      <c r="BA13629" s="4"/>
      <c r="BB13629" s="4"/>
    </row>
    <row r="13630" spans="1:54" x14ac:dyDescent="0.3">
      <c r="A13630" s="66"/>
      <c r="B13630" s="67"/>
      <c r="C13630" s="66"/>
      <c r="D13630" s="68"/>
      <c r="E13630" s="10"/>
      <c r="F13630" s="69"/>
      <c r="G13630" s="68"/>
      <c r="H13630" s="70"/>
      <c r="BA13630" s="4"/>
      <c r="BB13630" s="4"/>
    </row>
    <row r="13631" spans="1:54" x14ac:dyDescent="0.3">
      <c r="A13631" s="66"/>
      <c r="B13631" s="67"/>
      <c r="C13631" s="66"/>
      <c r="D13631" s="68"/>
      <c r="E13631" s="10"/>
      <c r="F13631" s="69"/>
      <c r="G13631" s="68"/>
      <c r="H13631" s="70"/>
      <c r="BA13631" s="4"/>
      <c r="BB13631" s="4"/>
    </row>
    <row r="13632" spans="1:54" x14ac:dyDescent="0.3">
      <c r="A13632" s="66"/>
      <c r="B13632" s="67"/>
      <c r="C13632" s="66"/>
      <c r="D13632" s="68"/>
      <c r="E13632" s="10"/>
      <c r="F13632" s="69"/>
      <c r="G13632" s="68"/>
      <c r="H13632" s="70"/>
      <c r="BA13632" s="4"/>
      <c r="BB13632" s="4"/>
    </row>
    <row r="13633" spans="1:54" x14ac:dyDescent="0.3">
      <c r="A13633" s="66"/>
      <c r="B13633" s="67"/>
      <c r="C13633" s="66"/>
      <c r="D13633" s="68"/>
      <c r="E13633" s="10"/>
      <c r="F13633" s="69"/>
      <c r="G13633" s="68"/>
      <c r="H13633" s="70"/>
      <c r="BA13633" s="4"/>
      <c r="BB13633" s="4"/>
    </row>
    <row r="13634" spans="1:54" x14ac:dyDescent="0.3">
      <c r="A13634" s="66"/>
      <c r="B13634" s="67"/>
      <c r="C13634" s="66"/>
      <c r="D13634" s="68"/>
      <c r="E13634" s="10"/>
      <c r="F13634" s="69"/>
      <c r="G13634" s="68"/>
      <c r="H13634" s="70"/>
      <c r="BA13634" s="4"/>
      <c r="BB13634" s="4"/>
    </row>
    <row r="13635" spans="1:54" x14ac:dyDescent="0.3">
      <c r="A13635" s="66"/>
      <c r="B13635" s="67"/>
      <c r="C13635" s="66"/>
      <c r="D13635" s="68"/>
      <c r="E13635" s="10"/>
      <c r="F13635" s="69"/>
      <c r="G13635" s="68"/>
      <c r="H13635" s="70"/>
      <c r="BA13635" s="4"/>
      <c r="BB13635" s="4"/>
    </row>
    <row r="13636" spans="1:54" x14ac:dyDescent="0.3">
      <c r="A13636" s="66"/>
      <c r="B13636" s="67"/>
      <c r="C13636" s="66"/>
      <c r="D13636" s="68"/>
      <c r="E13636" s="10"/>
      <c r="F13636" s="69"/>
      <c r="G13636" s="68"/>
      <c r="H13636" s="70"/>
      <c r="BA13636" s="4"/>
      <c r="BB13636" s="4"/>
    </row>
    <row r="13637" spans="1:54" x14ac:dyDescent="0.3">
      <c r="A13637" s="66"/>
      <c r="B13637" s="67"/>
      <c r="C13637" s="66"/>
      <c r="D13637" s="68"/>
      <c r="E13637" s="10"/>
      <c r="F13637" s="69"/>
      <c r="G13637" s="68"/>
      <c r="H13637" s="70"/>
      <c r="BA13637" s="4"/>
      <c r="BB13637" s="4"/>
    </row>
    <row r="13638" spans="1:54" x14ac:dyDescent="0.3">
      <c r="A13638" s="66"/>
      <c r="B13638" s="67"/>
      <c r="C13638" s="66"/>
      <c r="D13638" s="68"/>
      <c r="E13638" s="10"/>
      <c r="F13638" s="69"/>
      <c r="G13638" s="68"/>
      <c r="H13638" s="70"/>
      <c r="BA13638" s="4"/>
      <c r="BB13638" s="4"/>
    </row>
    <row r="13639" spans="1:54" x14ac:dyDescent="0.3">
      <c r="A13639" s="66"/>
      <c r="B13639" s="67"/>
      <c r="C13639" s="66"/>
      <c r="D13639" s="68"/>
      <c r="E13639" s="10"/>
      <c r="F13639" s="69"/>
      <c r="G13639" s="68"/>
      <c r="H13639" s="70"/>
      <c r="BA13639" s="4"/>
      <c r="BB13639" s="4"/>
    </row>
    <row r="13640" spans="1:54" x14ac:dyDescent="0.3">
      <c r="A13640" s="66"/>
      <c r="B13640" s="67"/>
      <c r="C13640" s="66"/>
      <c r="D13640" s="68"/>
      <c r="E13640" s="10"/>
      <c r="F13640" s="69"/>
      <c r="G13640" s="68"/>
      <c r="H13640" s="70"/>
      <c r="BA13640" s="4"/>
      <c r="BB13640" s="4"/>
    </row>
    <row r="13641" spans="1:54" x14ac:dyDescent="0.3">
      <c r="A13641" s="66"/>
      <c r="B13641" s="67"/>
      <c r="C13641" s="66"/>
      <c r="D13641" s="68"/>
      <c r="E13641" s="10"/>
      <c r="F13641" s="69"/>
      <c r="G13641" s="68"/>
      <c r="H13641" s="70"/>
      <c r="BA13641" s="4"/>
      <c r="BB13641" s="4"/>
    </row>
    <row r="13642" spans="1:54" x14ac:dyDescent="0.3">
      <c r="A13642" s="66"/>
      <c r="B13642" s="67"/>
      <c r="C13642" s="66"/>
      <c r="D13642" s="68"/>
      <c r="E13642" s="10"/>
      <c r="F13642" s="69"/>
      <c r="G13642" s="68"/>
      <c r="H13642" s="70"/>
      <c r="BA13642" s="4"/>
      <c r="BB13642" s="4"/>
    </row>
    <row r="13643" spans="1:54" x14ac:dyDescent="0.3">
      <c r="A13643" s="66"/>
      <c r="B13643" s="67"/>
      <c r="C13643" s="66"/>
      <c r="D13643" s="68"/>
      <c r="E13643" s="10"/>
      <c r="F13643" s="69"/>
      <c r="G13643" s="68"/>
      <c r="H13643" s="70"/>
      <c r="BA13643" s="4"/>
      <c r="BB13643" s="4"/>
    </row>
    <row r="13644" spans="1:54" x14ac:dyDescent="0.3">
      <c r="A13644" s="66"/>
      <c r="B13644" s="67"/>
      <c r="C13644" s="66"/>
      <c r="D13644" s="68"/>
      <c r="E13644" s="10"/>
      <c r="F13644" s="69"/>
      <c r="G13644" s="68"/>
      <c r="H13644" s="70"/>
      <c r="BA13644" s="4"/>
      <c r="BB13644" s="4"/>
    </row>
    <row r="13645" spans="1:54" x14ac:dyDescent="0.3">
      <c r="A13645" s="66"/>
      <c r="B13645" s="67"/>
      <c r="C13645" s="66"/>
      <c r="D13645" s="68"/>
      <c r="E13645" s="10"/>
      <c r="F13645" s="69"/>
      <c r="G13645" s="68"/>
      <c r="H13645" s="70"/>
      <c r="BA13645" s="4"/>
      <c r="BB13645" s="4"/>
    </row>
    <row r="13646" spans="1:54" x14ac:dyDescent="0.3">
      <c r="A13646" s="66"/>
      <c r="B13646" s="67"/>
      <c r="C13646" s="66"/>
      <c r="D13646" s="68"/>
      <c r="E13646" s="10"/>
      <c r="F13646" s="69"/>
      <c r="G13646" s="68"/>
      <c r="H13646" s="70"/>
      <c r="BA13646" s="4"/>
      <c r="BB13646" s="4"/>
    </row>
    <row r="13647" spans="1:54" x14ac:dyDescent="0.3">
      <c r="A13647" s="66"/>
      <c r="B13647" s="67"/>
      <c r="C13647" s="66"/>
      <c r="D13647" s="68"/>
      <c r="E13647" s="10"/>
      <c r="F13647" s="69"/>
      <c r="G13647" s="68"/>
      <c r="H13647" s="70"/>
      <c r="BA13647" s="4"/>
      <c r="BB13647" s="4"/>
    </row>
    <row r="13648" spans="1:54" x14ac:dyDescent="0.3">
      <c r="A13648" s="66"/>
      <c r="B13648" s="67"/>
      <c r="C13648" s="66"/>
      <c r="D13648" s="68"/>
      <c r="E13648" s="10"/>
      <c r="F13648" s="69"/>
      <c r="G13648" s="68"/>
      <c r="H13648" s="70"/>
      <c r="BA13648" s="4"/>
      <c r="BB13648" s="4"/>
    </row>
    <row r="13649" spans="1:54" x14ac:dyDescent="0.3">
      <c r="A13649" s="66"/>
      <c r="B13649" s="67"/>
      <c r="C13649" s="66"/>
      <c r="D13649" s="68"/>
      <c r="E13649" s="10"/>
      <c r="F13649" s="69"/>
      <c r="G13649" s="68"/>
      <c r="H13649" s="70"/>
      <c r="BA13649" s="4"/>
      <c r="BB13649" s="4"/>
    </row>
    <row r="13650" spans="1:54" x14ac:dyDescent="0.3">
      <c r="A13650" s="66"/>
      <c r="B13650" s="67"/>
      <c r="C13650" s="66"/>
      <c r="D13650" s="68"/>
      <c r="E13650" s="10"/>
      <c r="F13650" s="69"/>
      <c r="G13650" s="68"/>
      <c r="H13650" s="70"/>
      <c r="BA13650" s="4"/>
      <c r="BB13650" s="4"/>
    </row>
    <row r="13651" spans="1:54" x14ac:dyDescent="0.3">
      <c r="A13651" s="66"/>
      <c r="B13651" s="67"/>
      <c r="C13651" s="66"/>
      <c r="D13651" s="68"/>
      <c r="E13651" s="10"/>
      <c r="F13651" s="69"/>
      <c r="G13651" s="68"/>
      <c r="H13651" s="70"/>
      <c r="BA13651" s="4"/>
      <c r="BB13651" s="4"/>
    </row>
    <row r="13652" spans="1:54" x14ac:dyDescent="0.3">
      <c r="A13652" s="66"/>
      <c r="B13652" s="67"/>
      <c r="C13652" s="66"/>
      <c r="D13652" s="68"/>
      <c r="E13652" s="10"/>
      <c r="F13652" s="69"/>
      <c r="G13652" s="68"/>
      <c r="H13652" s="70"/>
      <c r="BA13652" s="4"/>
      <c r="BB13652" s="4"/>
    </row>
    <row r="13653" spans="1:54" x14ac:dyDescent="0.3">
      <c r="A13653" s="66"/>
      <c r="B13653" s="67"/>
      <c r="C13653" s="66"/>
      <c r="D13653" s="68"/>
      <c r="E13653" s="10"/>
      <c r="F13653" s="69"/>
      <c r="G13653" s="68"/>
      <c r="H13653" s="70"/>
      <c r="BA13653" s="4"/>
      <c r="BB13653" s="4"/>
    </row>
    <row r="13654" spans="1:54" x14ac:dyDescent="0.3">
      <c r="A13654" s="66"/>
      <c r="B13654" s="67"/>
      <c r="C13654" s="66"/>
      <c r="D13654" s="68"/>
      <c r="E13654" s="10"/>
      <c r="F13654" s="69"/>
      <c r="G13654" s="68"/>
      <c r="H13654" s="70"/>
      <c r="BA13654" s="4"/>
      <c r="BB13654" s="4"/>
    </row>
    <row r="13655" spans="1:54" x14ac:dyDescent="0.3">
      <c r="A13655" s="66"/>
      <c r="B13655" s="67"/>
      <c r="C13655" s="66"/>
      <c r="D13655" s="68"/>
      <c r="E13655" s="10"/>
      <c r="F13655" s="69"/>
      <c r="G13655" s="68"/>
      <c r="H13655" s="70"/>
      <c r="BA13655" s="4"/>
      <c r="BB13655" s="4"/>
    </row>
    <row r="13656" spans="1:54" x14ac:dyDescent="0.3">
      <c r="A13656" s="66"/>
      <c r="B13656" s="67"/>
      <c r="C13656" s="66"/>
      <c r="D13656" s="68"/>
      <c r="E13656" s="10"/>
      <c r="F13656" s="69"/>
      <c r="G13656" s="68"/>
      <c r="H13656" s="70"/>
      <c r="BA13656" s="4"/>
      <c r="BB13656" s="4"/>
    </row>
    <row r="13657" spans="1:54" x14ac:dyDescent="0.3">
      <c r="A13657" s="66"/>
      <c r="B13657" s="67"/>
      <c r="C13657" s="66"/>
      <c r="D13657" s="68"/>
      <c r="E13657" s="10"/>
      <c r="F13657" s="69"/>
      <c r="G13657" s="68"/>
      <c r="H13657" s="70"/>
      <c r="BA13657" s="4"/>
      <c r="BB13657" s="4"/>
    </row>
    <row r="13658" spans="1:54" x14ac:dyDescent="0.3">
      <c r="A13658" s="66"/>
      <c r="B13658" s="67"/>
      <c r="C13658" s="66"/>
      <c r="D13658" s="68"/>
      <c r="E13658" s="10"/>
      <c r="F13658" s="69"/>
      <c r="G13658" s="68"/>
      <c r="H13658" s="70"/>
      <c r="BA13658" s="4"/>
      <c r="BB13658" s="4"/>
    </row>
    <row r="13659" spans="1:54" x14ac:dyDescent="0.3">
      <c r="A13659" s="66"/>
      <c r="B13659" s="67"/>
      <c r="C13659" s="66"/>
      <c r="D13659" s="68"/>
      <c r="E13659" s="10"/>
      <c r="F13659" s="69"/>
      <c r="G13659" s="68"/>
      <c r="H13659" s="70"/>
      <c r="BA13659" s="4"/>
      <c r="BB13659" s="4"/>
    </row>
    <row r="13660" spans="1:54" x14ac:dyDescent="0.3">
      <c r="A13660" s="66"/>
      <c r="B13660" s="67"/>
      <c r="C13660" s="66"/>
      <c r="D13660" s="68"/>
      <c r="E13660" s="10"/>
      <c r="F13660" s="69"/>
      <c r="G13660" s="68"/>
      <c r="H13660" s="70"/>
      <c r="BA13660" s="4"/>
      <c r="BB13660" s="4"/>
    </row>
    <row r="13661" spans="1:54" x14ac:dyDescent="0.3">
      <c r="A13661" s="66"/>
      <c r="B13661" s="67"/>
      <c r="C13661" s="66"/>
      <c r="D13661" s="68"/>
      <c r="E13661" s="10"/>
      <c r="F13661" s="69"/>
      <c r="G13661" s="68"/>
      <c r="H13661" s="70"/>
      <c r="BA13661" s="4"/>
      <c r="BB13661" s="4"/>
    </row>
    <row r="13662" spans="1:54" x14ac:dyDescent="0.3">
      <c r="A13662" s="66"/>
      <c r="B13662" s="67"/>
      <c r="C13662" s="66"/>
      <c r="D13662" s="68"/>
      <c r="E13662" s="10"/>
      <c r="F13662" s="69"/>
      <c r="G13662" s="68"/>
      <c r="H13662" s="70"/>
      <c r="BA13662" s="4"/>
      <c r="BB13662" s="4"/>
    </row>
    <row r="13663" spans="1:54" x14ac:dyDescent="0.3">
      <c r="A13663" s="66"/>
      <c r="B13663" s="67"/>
      <c r="C13663" s="66"/>
      <c r="D13663" s="68"/>
      <c r="E13663" s="10"/>
      <c r="F13663" s="69"/>
      <c r="G13663" s="68"/>
      <c r="H13663" s="70"/>
      <c r="BA13663" s="4"/>
      <c r="BB13663" s="4"/>
    </row>
    <row r="13664" spans="1:54" x14ac:dyDescent="0.3">
      <c r="A13664" s="66"/>
      <c r="B13664" s="67"/>
      <c r="C13664" s="66"/>
      <c r="D13664" s="68"/>
      <c r="E13664" s="10"/>
      <c r="F13664" s="69"/>
      <c r="G13664" s="68"/>
      <c r="H13664" s="70"/>
      <c r="BA13664" s="4"/>
      <c r="BB13664" s="4"/>
    </row>
    <row r="13665" spans="1:54" x14ac:dyDescent="0.3">
      <c r="A13665" s="66"/>
      <c r="B13665" s="67"/>
      <c r="C13665" s="66"/>
      <c r="D13665" s="68"/>
      <c r="E13665" s="10"/>
      <c r="F13665" s="69"/>
      <c r="G13665" s="68"/>
      <c r="H13665" s="70"/>
      <c r="BA13665" s="4"/>
      <c r="BB13665" s="4"/>
    </row>
    <row r="13666" spans="1:54" x14ac:dyDescent="0.3">
      <c r="A13666" s="66"/>
      <c r="B13666" s="67"/>
      <c r="C13666" s="66"/>
      <c r="D13666" s="68"/>
      <c r="E13666" s="10"/>
      <c r="F13666" s="69"/>
      <c r="G13666" s="68"/>
      <c r="H13666" s="70"/>
      <c r="BA13666" s="4"/>
      <c r="BB13666" s="4"/>
    </row>
    <row r="13667" spans="1:54" x14ac:dyDescent="0.3">
      <c r="A13667" s="66"/>
      <c r="B13667" s="67"/>
      <c r="C13667" s="66"/>
      <c r="D13667" s="68"/>
      <c r="E13667" s="10"/>
      <c r="F13667" s="69"/>
      <c r="G13667" s="68"/>
      <c r="H13667" s="70"/>
      <c r="BA13667" s="4"/>
      <c r="BB13667" s="4"/>
    </row>
    <row r="13668" spans="1:54" x14ac:dyDescent="0.3">
      <c r="A13668" s="66"/>
      <c r="B13668" s="67"/>
      <c r="C13668" s="66"/>
      <c r="D13668" s="68"/>
      <c r="E13668" s="10"/>
      <c r="F13668" s="69"/>
      <c r="G13668" s="68"/>
      <c r="H13668" s="70"/>
      <c r="BA13668" s="4"/>
      <c r="BB13668" s="4"/>
    </row>
    <row r="13669" spans="1:54" x14ac:dyDescent="0.3">
      <c r="A13669" s="66"/>
      <c r="B13669" s="67"/>
      <c r="C13669" s="66"/>
      <c r="D13669" s="68"/>
      <c r="E13669" s="10"/>
      <c r="F13669" s="69"/>
      <c r="G13669" s="68"/>
      <c r="H13669" s="70"/>
      <c r="BA13669" s="4"/>
      <c r="BB13669" s="4"/>
    </row>
    <row r="13670" spans="1:54" x14ac:dyDescent="0.3">
      <c r="A13670" s="66"/>
      <c r="B13670" s="67"/>
      <c r="C13670" s="66"/>
      <c r="D13670" s="68"/>
      <c r="E13670" s="10"/>
      <c r="F13670" s="69"/>
      <c r="G13670" s="68"/>
      <c r="H13670" s="70"/>
      <c r="BA13670" s="4"/>
      <c r="BB13670" s="4"/>
    </row>
    <row r="13671" spans="1:54" x14ac:dyDescent="0.3">
      <c r="A13671" s="66"/>
      <c r="B13671" s="67"/>
      <c r="C13671" s="66"/>
      <c r="D13671" s="68"/>
      <c r="E13671" s="10"/>
      <c r="F13671" s="69"/>
      <c r="G13671" s="68"/>
      <c r="H13671" s="70"/>
      <c r="BA13671" s="4"/>
      <c r="BB13671" s="4"/>
    </row>
    <row r="13672" spans="1:54" x14ac:dyDescent="0.3">
      <c r="A13672" s="66"/>
      <c r="B13672" s="67"/>
      <c r="C13672" s="66"/>
      <c r="D13672" s="68"/>
      <c r="E13672" s="10"/>
      <c r="F13672" s="69"/>
      <c r="G13672" s="68"/>
      <c r="H13672" s="70"/>
      <c r="BA13672" s="4"/>
      <c r="BB13672" s="4"/>
    </row>
    <row r="13673" spans="1:54" x14ac:dyDescent="0.3">
      <c r="A13673" s="66"/>
      <c r="B13673" s="67"/>
      <c r="C13673" s="66"/>
      <c r="D13673" s="68"/>
      <c r="E13673" s="10"/>
      <c r="F13673" s="69"/>
      <c r="G13673" s="68"/>
      <c r="H13673" s="70"/>
      <c r="BA13673" s="4"/>
      <c r="BB13673" s="4"/>
    </row>
    <row r="13674" spans="1:54" x14ac:dyDescent="0.3">
      <c r="A13674" s="66"/>
      <c r="B13674" s="67"/>
      <c r="C13674" s="66"/>
      <c r="D13674" s="68"/>
      <c r="E13674" s="10"/>
      <c r="F13674" s="69"/>
      <c r="G13674" s="68"/>
      <c r="H13674" s="70"/>
      <c r="BA13674" s="4"/>
      <c r="BB13674" s="4"/>
    </row>
    <row r="13675" spans="1:54" x14ac:dyDescent="0.3">
      <c r="A13675" s="66"/>
      <c r="B13675" s="67"/>
      <c r="C13675" s="66"/>
      <c r="D13675" s="68"/>
      <c r="E13675" s="10"/>
      <c r="F13675" s="69"/>
      <c r="G13675" s="68"/>
      <c r="H13675" s="70"/>
      <c r="BA13675" s="4"/>
      <c r="BB13675" s="4"/>
    </row>
    <row r="13676" spans="1:54" x14ac:dyDescent="0.3">
      <c r="A13676" s="66"/>
      <c r="B13676" s="67"/>
      <c r="C13676" s="66"/>
      <c r="D13676" s="68"/>
      <c r="E13676" s="10"/>
      <c r="F13676" s="69"/>
      <c r="G13676" s="68"/>
      <c r="H13676" s="70"/>
      <c r="BA13676" s="4"/>
      <c r="BB13676" s="4"/>
    </row>
    <row r="13677" spans="1:54" x14ac:dyDescent="0.3">
      <c r="A13677" s="66"/>
      <c r="B13677" s="67"/>
      <c r="C13677" s="66"/>
      <c r="D13677" s="68"/>
      <c r="E13677" s="10"/>
      <c r="F13677" s="69"/>
      <c r="G13677" s="68"/>
      <c r="H13677" s="70"/>
      <c r="BA13677" s="4"/>
      <c r="BB13677" s="4"/>
    </row>
    <row r="13678" spans="1:54" x14ac:dyDescent="0.3">
      <c r="A13678" s="66"/>
      <c r="B13678" s="67"/>
      <c r="C13678" s="66"/>
      <c r="D13678" s="68"/>
      <c r="E13678" s="10"/>
      <c r="F13678" s="69"/>
      <c r="G13678" s="68"/>
      <c r="H13678" s="70"/>
      <c r="BA13678" s="4"/>
      <c r="BB13678" s="4"/>
    </row>
    <row r="13679" spans="1:54" x14ac:dyDescent="0.3">
      <c r="A13679" s="66"/>
      <c r="B13679" s="67"/>
      <c r="C13679" s="66"/>
      <c r="D13679" s="68"/>
      <c r="E13679" s="10"/>
      <c r="F13679" s="69"/>
      <c r="G13679" s="68"/>
      <c r="H13679" s="70"/>
      <c r="BA13679" s="4"/>
      <c r="BB13679" s="4"/>
    </row>
    <row r="13680" spans="1:54" x14ac:dyDescent="0.3">
      <c r="A13680" s="66"/>
      <c r="B13680" s="67"/>
      <c r="C13680" s="66"/>
      <c r="D13680" s="68"/>
      <c r="E13680" s="10"/>
      <c r="F13680" s="69"/>
      <c r="G13680" s="68"/>
      <c r="H13680" s="70"/>
      <c r="BA13680" s="4"/>
      <c r="BB13680" s="4"/>
    </row>
    <row r="13681" spans="1:54" x14ac:dyDescent="0.3">
      <c r="A13681" s="66"/>
      <c r="B13681" s="67"/>
      <c r="C13681" s="66"/>
      <c r="D13681" s="68"/>
      <c r="E13681" s="10"/>
      <c r="F13681" s="69"/>
      <c r="G13681" s="68"/>
      <c r="H13681" s="70"/>
      <c r="BA13681" s="4"/>
      <c r="BB13681" s="4"/>
    </row>
    <row r="13682" spans="1:54" x14ac:dyDescent="0.3">
      <c r="A13682" s="66"/>
      <c r="B13682" s="67"/>
      <c r="C13682" s="66"/>
      <c r="D13682" s="68"/>
      <c r="E13682" s="10"/>
      <c r="F13682" s="69"/>
      <c r="G13682" s="68"/>
      <c r="H13682" s="70"/>
      <c r="BA13682" s="4"/>
      <c r="BB13682" s="4"/>
    </row>
    <row r="13683" spans="1:54" x14ac:dyDescent="0.3">
      <c r="A13683" s="66"/>
      <c r="B13683" s="67"/>
      <c r="C13683" s="66"/>
      <c r="D13683" s="68"/>
      <c r="E13683" s="10"/>
      <c r="F13683" s="69"/>
      <c r="G13683" s="68"/>
      <c r="H13683" s="70"/>
      <c r="BA13683" s="4"/>
      <c r="BB13683" s="4"/>
    </row>
    <row r="13684" spans="1:54" x14ac:dyDescent="0.3">
      <c r="A13684" s="66"/>
      <c r="B13684" s="67"/>
      <c r="C13684" s="66"/>
      <c r="D13684" s="68"/>
      <c r="E13684" s="10"/>
      <c r="F13684" s="69"/>
      <c r="G13684" s="68"/>
      <c r="H13684" s="70"/>
      <c r="BA13684" s="4"/>
      <c r="BB13684" s="4"/>
    </row>
    <row r="13685" spans="1:54" x14ac:dyDescent="0.3">
      <c r="A13685" s="66"/>
      <c r="B13685" s="67"/>
      <c r="C13685" s="66"/>
      <c r="D13685" s="68"/>
      <c r="E13685" s="10"/>
      <c r="F13685" s="69"/>
      <c r="G13685" s="68"/>
      <c r="H13685" s="70"/>
      <c r="BA13685" s="4"/>
      <c r="BB13685" s="4"/>
    </row>
    <row r="13686" spans="1:54" x14ac:dyDescent="0.3">
      <c r="A13686" s="66"/>
      <c r="B13686" s="67"/>
      <c r="C13686" s="66"/>
      <c r="D13686" s="68"/>
      <c r="E13686" s="10"/>
      <c r="F13686" s="69"/>
      <c r="G13686" s="68"/>
      <c r="H13686" s="70"/>
      <c r="BA13686" s="4"/>
      <c r="BB13686" s="4"/>
    </row>
    <row r="13687" spans="1:54" x14ac:dyDescent="0.3">
      <c r="A13687" s="66"/>
      <c r="B13687" s="67"/>
      <c r="C13687" s="66"/>
      <c r="D13687" s="68"/>
      <c r="E13687" s="10"/>
      <c r="F13687" s="69"/>
      <c r="G13687" s="68"/>
      <c r="H13687" s="70"/>
      <c r="BA13687" s="4"/>
      <c r="BB13687" s="4"/>
    </row>
    <row r="13688" spans="1:54" x14ac:dyDescent="0.3">
      <c r="A13688" s="66"/>
      <c r="B13688" s="67"/>
      <c r="C13688" s="66"/>
      <c r="D13688" s="68"/>
      <c r="E13688" s="10"/>
      <c r="F13688" s="69"/>
      <c r="G13688" s="68"/>
      <c r="H13688" s="70"/>
      <c r="BA13688" s="4"/>
      <c r="BB13688" s="4"/>
    </row>
    <row r="13689" spans="1:54" x14ac:dyDescent="0.3">
      <c r="A13689" s="66"/>
      <c r="B13689" s="67"/>
      <c r="C13689" s="66"/>
      <c r="D13689" s="68"/>
      <c r="E13689" s="10"/>
      <c r="F13689" s="69"/>
      <c r="G13689" s="68"/>
      <c r="H13689" s="70"/>
      <c r="BA13689" s="4"/>
      <c r="BB13689" s="4"/>
    </row>
    <row r="13690" spans="1:54" x14ac:dyDescent="0.3">
      <c r="A13690" s="66"/>
      <c r="B13690" s="67"/>
      <c r="C13690" s="66"/>
      <c r="D13690" s="68"/>
      <c r="E13690" s="10"/>
      <c r="F13690" s="69"/>
      <c r="G13690" s="68"/>
      <c r="H13690" s="70"/>
      <c r="BA13690" s="4"/>
      <c r="BB13690" s="4"/>
    </row>
    <row r="13691" spans="1:54" x14ac:dyDescent="0.3">
      <c r="A13691" s="66"/>
      <c r="B13691" s="67"/>
      <c r="C13691" s="66"/>
      <c r="D13691" s="68"/>
      <c r="E13691" s="10"/>
      <c r="F13691" s="69"/>
      <c r="G13691" s="68"/>
      <c r="H13691" s="70"/>
      <c r="BA13691" s="4"/>
      <c r="BB13691" s="4"/>
    </row>
    <row r="13692" spans="1:54" x14ac:dyDescent="0.3">
      <c r="A13692" s="66"/>
      <c r="B13692" s="67"/>
      <c r="C13692" s="66"/>
      <c r="D13692" s="68"/>
      <c r="E13692" s="10"/>
      <c r="F13692" s="69"/>
      <c r="G13692" s="68"/>
      <c r="H13692" s="70"/>
      <c r="BA13692" s="4"/>
      <c r="BB13692" s="4"/>
    </row>
    <row r="13693" spans="1:54" x14ac:dyDescent="0.3">
      <c r="A13693" s="66"/>
      <c r="B13693" s="67"/>
      <c r="C13693" s="66"/>
      <c r="D13693" s="68"/>
      <c r="E13693" s="10"/>
      <c r="F13693" s="69"/>
      <c r="G13693" s="68"/>
      <c r="H13693" s="70"/>
      <c r="BA13693" s="4"/>
      <c r="BB13693" s="4"/>
    </row>
    <row r="13694" spans="1:54" x14ac:dyDescent="0.3">
      <c r="A13694" s="66"/>
      <c r="B13694" s="67"/>
      <c r="C13694" s="66"/>
      <c r="D13694" s="68"/>
      <c r="E13694" s="10"/>
      <c r="F13694" s="69"/>
      <c r="G13694" s="68"/>
      <c r="H13694" s="70"/>
      <c r="BA13694" s="4"/>
      <c r="BB13694" s="4"/>
    </row>
    <row r="13695" spans="1:54" x14ac:dyDescent="0.3">
      <c r="A13695" s="66"/>
      <c r="B13695" s="67"/>
      <c r="C13695" s="66"/>
      <c r="D13695" s="68"/>
      <c r="E13695" s="10"/>
      <c r="F13695" s="69"/>
      <c r="G13695" s="68"/>
      <c r="H13695" s="70"/>
      <c r="BA13695" s="4"/>
      <c r="BB13695" s="4"/>
    </row>
    <row r="13696" spans="1:54" x14ac:dyDescent="0.3">
      <c r="A13696" s="66"/>
      <c r="B13696" s="67"/>
      <c r="C13696" s="66"/>
      <c r="D13696" s="68"/>
      <c r="E13696" s="10"/>
      <c r="F13696" s="69"/>
      <c r="G13696" s="68"/>
      <c r="H13696" s="70"/>
      <c r="BA13696" s="4"/>
      <c r="BB13696" s="4"/>
    </row>
    <row r="13697" spans="1:54" x14ac:dyDescent="0.3">
      <c r="A13697" s="66"/>
      <c r="B13697" s="67"/>
      <c r="C13697" s="66"/>
      <c r="D13697" s="68"/>
      <c r="E13697" s="10"/>
      <c r="F13697" s="69"/>
      <c r="G13697" s="68"/>
      <c r="H13697" s="70"/>
      <c r="BA13697" s="4"/>
      <c r="BB13697" s="4"/>
    </row>
    <row r="13698" spans="1:54" x14ac:dyDescent="0.3">
      <c r="A13698" s="66"/>
      <c r="B13698" s="67"/>
      <c r="C13698" s="66"/>
      <c r="D13698" s="68"/>
      <c r="E13698" s="10"/>
      <c r="F13698" s="69"/>
      <c r="G13698" s="68"/>
      <c r="H13698" s="70"/>
      <c r="BA13698" s="4"/>
      <c r="BB13698" s="4"/>
    </row>
    <row r="13699" spans="1:54" x14ac:dyDescent="0.3">
      <c r="A13699" s="66"/>
      <c r="B13699" s="67"/>
      <c r="C13699" s="66"/>
      <c r="D13699" s="68"/>
      <c r="E13699" s="10"/>
      <c r="F13699" s="69"/>
      <c r="G13699" s="68"/>
      <c r="H13699" s="70"/>
      <c r="BA13699" s="4"/>
      <c r="BB13699" s="4"/>
    </row>
    <row r="13700" spans="1:54" x14ac:dyDescent="0.3">
      <c r="A13700" s="66"/>
      <c r="B13700" s="67"/>
      <c r="C13700" s="66"/>
      <c r="D13700" s="68"/>
      <c r="E13700" s="10"/>
      <c r="F13700" s="69"/>
      <c r="G13700" s="68"/>
      <c r="H13700" s="70"/>
      <c r="BA13700" s="4"/>
      <c r="BB13700" s="4"/>
    </row>
    <row r="13701" spans="1:54" x14ac:dyDescent="0.3">
      <c r="A13701" s="66"/>
      <c r="B13701" s="67"/>
      <c r="C13701" s="66"/>
      <c r="D13701" s="68"/>
      <c r="E13701" s="10"/>
      <c r="F13701" s="69"/>
      <c r="G13701" s="68"/>
      <c r="H13701" s="70"/>
      <c r="BA13701" s="4"/>
      <c r="BB13701" s="4"/>
    </row>
    <row r="13702" spans="1:54" x14ac:dyDescent="0.3">
      <c r="A13702" s="66"/>
      <c r="B13702" s="67"/>
      <c r="C13702" s="66"/>
      <c r="D13702" s="68"/>
      <c r="E13702" s="10"/>
      <c r="F13702" s="69"/>
      <c r="G13702" s="68"/>
      <c r="H13702" s="70"/>
      <c r="BA13702" s="4"/>
      <c r="BB13702" s="4"/>
    </row>
    <row r="13703" spans="1:54" x14ac:dyDescent="0.3">
      <c r="A13703" s="66"/>
      <c r="B13703" s="67"/>
      <c r="C13703" s="66"/>
      <c r="D13703" s="68"/>
      <c r="E13703" s="10"/>
      <c r="F13703" s="69"/>
      <c r="G13703" s="68"/>
      <c r="H13703" s="70"/>
      <c r="BA13703" s="4"/>
      <c r="BB13703" s="4"/>
    </row>
    <row r="13704" spans="1:54" x14ac:dyDescent="0.3">
      <c r="A13704" s="66"/>
      <c r="B13704" s="67"/>
      <c r="C13704" s="66"/>
      <c r="D13704" s="68"/>
      <c r="E13704" s="10"/>
      <c r="F13704" s="69"/>
      <c r="G13704" s="68"/>
      <c r="H13704" s="70"/>
      <c r="BA13704" s="4"/>
      <c r="BB13704" s="4"/>
    </row>
    <row r="13705" spans="1:54" x14ac:dyDescent="0.3">
      <c r="A13705" s="66"/>
      <c r="B13705" s="67"/>
      <c r="C13705" s="66"/>
      <c r="D13705" s="68"/>
      <c r="E13705" s="10"/>
      <c r="F13705" s="69"/>
      <c r="G13705" s="68"/>
      <c r="H13705" s="70"/>
      <c r="BA13705" s="4"/>
      <c r="BB13705" s="4"/>
    </row>
    <row r="13706" spans="1:54" x14ac:dyDescent="0.3">
      <c r="A13706" s="66"/>
      <c r="B13706" s="67"/>
      <c r="C13706" s="66"/>
      <c r="D13706" s="68"/>
      <c r="E13706" s="10"/>
      <c r="F13706" s="69"/>
      <c r="G13706" s="68"/>
      <c r="H13706" s="70"/>
      <c r="BA13706" s="4"/>
      <c r="BB13706" s="4"/>
    </row>
    <row r="13707" spans="1:54" x14ac:dyDescent="0.3">
      <c r="A13707" s="66"/>
      <c r="B13707" s="67"/>
      <c r="C13707" s="66"/>
      <c r="D13707" s="68"/>
      <c r="E13707" s="10"/>
      <c r="F13707" s="69"/>
      <c r="G13707" s="68"/>
      <c r="H13707" s="70"/>
      <c r="BA13707" s="4"/>
      <c r="BB13707" s="4"/>
    </row>
    <row r="13708" spans="1:54" x14ac:dyDescent="0.3">
      <c r="A13708" s="66"/>
      <c r="B13708" s="67"/>
      <c r="C13708" s="66"/>
      <c r="D13708" s="68"/>
      <c r="E13708" s="10"/>
      <c r="F13708" s="69"/>
      <c r="G13708" s="68"/>
      <c r="H13708" s="70"/>
      <c r="BA13708" s="4"/>
      <c r="BB13708" s="4"/>
    </row>
    <row r="13709" spans="1:54" x14ac:dyDescent="0.3">
      <c r="A13709" s="66"/>
      <c r="B13709" s="67"/>
      <c r="C13709" s="66"/>
      <c r="D13709" s="68"/>
      <c r="E13709" s="10"/>
      <c r="F13709" s="69"/>
      <c r="G13709" s="68"/>
      <c r="H13709" s="70"/>
      <c r="BA13709" s="4"/>
      <c r="BB13709" s="4"/>
    </row>
    <row r="13710" spans="1:54" x14ac:dyDescent="0.3">
      <c r="A13710" s="66"/>
      <c r="B13710" s="67"/>
      <c r="C13710" s="66"/>
      <c r="D13710" s="68"/>
      <c r="E13710" s="10"/>
      <c r="F13710" s="69"/>
      <c r="G13710" s="68"/>
      <c r="H13710" s="70"/>
      <c r="BA13710" s="4"/>
      <c r="BB13710" s="4"/>
    </row>
    <row r="13711" spans="1:54" x14ac:dyDescent="0.3">
      <c r="A13711" s="66"/>
      <c r="B13711" s="67"/>
      <c r="C13711" s="66"/>
      <c r="D13711" s="68"/>
      <c r="E13711" s="10"/>
      <c r="F13711" s="69"/>
      <c r="G13711" s="68"/>
      <c r="H13711" s="70"/>
      <c r="BA13711" s="4"/>
      <c r="BB13711" s="4"/>
    </row>
    <row r="13712" spans="1:54" x14ac:dyDescent="0.3">
      <c r="A13712" s="66"/>
      <c r="B13712" s="67"/>
      <c r="C13712" s="66"/>
      <c r="D13712" s="68"/>
      <c r="E13712" s="10"/>
      <c r="F13712" s="69"/>
      <c r="G13712" s="68"/>
      <c r="H13712" s="70"/>
      <c r="BA13712" s="4"/>
      <c r="BB13712" s="4"/>
    </row>
    <row r="13713" spans="1:54" x14ac:dyDescent="0.3">
      <c r="A13713" s="66"/>
      <c r="B13713" s="67"/>
      <c r="C13713" s="66"/>
      <c r="D13713" s="68"/>
      <c r="E13713" s="10"/>
      <c r="F13713" s="69"/>
      <c r="G13713" s="68"/>
      <c r="H13713" s="70"/>
      <c r="BA13713" s="4"/>
      <c r="BB13713" s="4"/>
    </row>
    <row r="13714" spans="1:54" x14ac:dyDescent="0.3">
      <c r="A13714" s="66"/>
      <c r="B13714" s="67"/>
      <c r="C13714" s="66"/>
      <c r="D13714" s="68"/>
      <c r="E13714" s="10"/>
      <c r="F13714" s="69"/>
      <c r="G13714" s="68"/>
      <c r="H13714" s="70"/>
      <c r="BA13714" s="4"/>
      <c r="BB13714" s="4"/>
    </row>
    <row r="13715" spans="1:54" x14ac:dyDescent="0.3">
      <c r="A13715" s="66"/>
      <c r="B13715" s="67"/>
      <c r="C13715" s="66"/>
      <c r="D13715" s="68"/>
      <c r="E13715" s="10"/>
      <c r="F13715" s="69"/>
      <c r="G13715" s="68"/>
      <c r="H13715" s="70"/>
      <c r="BA13715" s="4"/>
      <c r="BB13715" s="4"/>
    </row>
    <row r="13716" spans="1:54" x14ac:dyDescent="0.3">
      <c r="A13716" s="66"/>
      <c r="B13716" s="67"/>
      <c r="C13716" s="66"/>
      <c r="D13716" s="68"/>
      <c r="E13716" s="10"/>
      <c r="F13716" s="69"/>
      <c r="G13716" s="68"/>
      <c r="H13716" s="70"/>
      <c r="BA13716" s="4"/>
      <c r="BB13716" s="4"/>
    </row>
    <row r="13717" spans="1:54" x14ac:dyDescent="0.3">
      <c r="A13717" s="66"/>
      <c r="B13717" s="67"/>
      <c r="C13717" s="66"/>
      <c r="D13717" s="68"/>
      <c r="E13717" s="10"/>
      <c r="F13717" s="69"/>
      <c r="G13717" s="68"/>
      <c r="H13717" s="70"/>
      <c r="BA13717" s="4"/>
      <c r="BB13717" s="4"/>
    </row>
    <row r="13718" spans="1:54" x14ac:dyDescent="0.3">
      <c r="A13718" s="66"/>
      <c r="B13718" s="67"/>
      <c r="C13718" s="66"/>
      <c r="D13718" s="68"/>
      <c r="E13718" s="10"/>
      <c r="F13718" s="69"/>
      <c r="G13718" s="68"/>
      <c r="H13718" s="70"/>
      <c r="BA13718" s="4"/>
      <c r="BB13718" s="4"/>
    </row>
    <row r="13719" spans="1:54" x14ac:dyDescent="0.3">
      <c r="A13719" s="66"/>
      <c r="B13719" s="67"/>
      <c r="C13719" s="66"/>
      <c r="D13719" s="68"/>
      <c r="E13719" s="10"/>
      <c r="F13719" s="69"/>
      <c r="G13719" s="68"/>
      <c r="H13719" s="70"/>
      <c r="BA13719" s="4"/>
      <c r="BB13719" s="4"/>
    </row>
    <row r="13720" spans="1:54" x14ac:dyDescent="0.3">
      <c r="A13720" s="66"/>
      <c r="B13720" s="67"/>
      <c r="C13720" s="66"/>
      <c r="D13720" s="68"/>
      <c r="E13720" s="10"/>
      <c r="F13720" s="69"/>
      <c r="G13720" s="68"/>
      <c r="H13720" s="70"/>
      <c r="BA13720" s="4"/>
      <c r="BB13720" s="4"/>
    </row>
    <row r="13721" spans="1:54" x14ac:dyDescent="0.3">
      <c r="A13721" s="66"/>
      <c r="B13721" s="67"/>
      <c r="C13721" s="66"/>
      <c r="D13721" s="68"/>
      <c r="E13721" s="10"/>
      <c r="F13721" s="69"/>
      <c r="G13721" s="68"/>
      <c r="H13721" s="70"/>
      <c r="BA13721" s="4"/>
      <c r="BB13721" s="4"/>
    </row>
    <row r="13722" spans="1:54" x14ac:dyDescent="0.3">
      <c r="A13722" s="66"/>
      <c r="B13722" s="67"/>
      <c r="C13722" s="66"/>
      <c r="D13722" s="68"/>
      <c r="E13722" s="10"/>
      <c r="F13722" s="69"/>
      <c r="G13722" s="68"/>
      <c r="H13722" s="70"/>
      <c r="BA13722" s="4"/>
      <c r="BB13722" s="4"/>
    </row>
    <row r="13723" spans="1:54" x14ac:dyDescent="0.3">
      <c r="A13723" s="66"/>
      <c r="B13723" s="67"/>
      <c r="C13723" s="66"/>
      <c r="D13723" s="68"/>
      <c r="E13723" s="10"/>
      <c r="F13723" s="69"/>
      <c r="G13723" s="68"/>
      <c r="H13723" s="70"/>
      <c r="BA13723" s="4"/>
      <c r="BB13723" s="4"/>
    </row>
    <row r="13724" spans="1:54" x14ac:dyDescent="0.3">
      <c r="A13724" s="66"/>
      <c r="B13724" s="67"/>
      <c r="C13724" s="66"/>
      <c r="D13724" s="68"/>
      <c r="E13724" s="10"/>
      <c r="F13724" s="69"/>
      <c r="G13724" s="68"/>
      <c r="H13724" s="70"/>
      <c r="BA13724" s="4"/>
      <c r="BB13724" s="4"/>
    </row>
    <row r="13725" spans="1:54" x14ac:dyDescent="0.3">
      <c r="A13725" s="66"/>
      <c r="B13725" s="67"/>
      <c r="C13725" s="66"/>
      <c r="D13725" s="68"/>
      <c r="E13725" s="10"/>
      <c r="F13725" s="69"/>
      <c r="G13725" s="68"/>
      <c r="H13725" s="70"/>
      <c r="BA13725" s="4"/>
      <c r="BB13725" s="4"/>
    </row>
    <row r="13726" spans="1:54" x14ac:dyDescent="0.3">
      <c r="A13726" s="66"/>
      <c r="B13726" s="67"/>
      <c r="C13726" s="66"/>
      <c r="D13726" s="68"/>
      <c r="E13726" s="10"/>
      <c r="F13726" s="69"/>
      <c r="G13726" s="68"/>
      <c r="H13726" s="70"/>
      <c r="BA13726" s="4"/>
      <c r="BB13726" s="4"/>
    </row>
    <row r="13727" spans="1:54" x14ac:dyDescent="0.3">
      <c r="A13727" s="66"/>
      <c r="B13727" s="67"/>
      <c r="C13727" s="66"/>
      <c r="D13727" s="68"/>
      <c r="E13727" s="10"/>
      <c r="F13727" s="69"/>
      <c r="G13727" s="68"/>
      <c r="H13727" s="70"/>
      <c r="BA13727" s="4"/>
      <c r="BB13727" s="4"/>
    </row>
    <row r="13728" spans="1:54" x14ac:dyDescent="0.3">
      <c r="A13728" s="66"/>
      <c r="B13728" s="67"/>
      <c r="C13728" s="66"/>
      <c r="D13728" s="68"/>
      <c r="E13728" s="10"/>
      <c r="F13728" s="69"/>
      <c r="G13728" s="68"/>
      <c r="H13728" s="70"/>
      <c r="BA13728" s="4"/>
      <c r="BB13728" s="4"/>
    </row>
    <row r="13729" spans="1:54" x14ac:dyDescent="0.3">
      <c r="A13729" s="66"/>
      <c r="B13729" s="67"/>
      <c r="C13729" s="66"/>
      <c r="D13729" s="68"/>
      <c r="E13729" s="10"/>
      <c r="F13729" s="69"/>
      <c r="G13729" s="68"/>
      <c r="H13729" s="70"/>
      <c r="BA13729" s="4"/>
      <c r="BB13729" s="4"/>
    </row>
    <row r="13730" spans="1:54" x14ac:dyDescent="0.3">
      <c r="A13730" s="66"/>
      <c r="B13730" s="67"/>
      <c r="C13730" s="66"/>
      <c r="D13730" s="68"/>
      <c r="E13730" s="10"/>
      <c r="F13730" s="69"/>
      <c r="G13730" s="68"/>
      <c r="H13730" s="70"/>
      <c r="BA13730" s="4"/>
      <c r="BB13730" s="4"/>
    </row>
    <row r="13731" spans="1:54" x14ac:dyDescent="0.3">
      <c r="A13731" s="66"/>
      <c r="B13731" s="67"/>
      <c r="C13731" s="66"/>
      <c r="D13731" s="68"/>
      <c r="E13731" s="10"/>
      <c r="F13731" s="69"/>
      <c r="G13731" s="68"/>
      <c r="H13731" s="70"/>
      <c r="BA13731" s="4"/>
      <c r="BB13731" s="4"/>
    </row>
    <row r="13732" spans="1:54" x14ac:dyDescent="0.3">
      <c r="A13732" s="66"/>
      <c r="B13732" s="67"/>
      <c r="C13732" s="66"/>
      <c r="D13732" s="68"/>
      <c r="E13732" s="10"/>
      <c r="F13732" s="69"/>
      <c r="G13732" s="68"/>
      <c r="H13732" s="70"/>
      <c r="BA13732" s="4"/>
      <c r="BB13732" s="4"/>
    </row>
    <row r="13733" spans="1:54" x14ac:dyDescent="0.3">
      <c r="A13733" s="66"/>
      <c r="B13733" s="67"/>
      <c r="C13733" s="66"/>
      <c r="D13733" s="68"/>
      <c r="E13733" s="10"/>
      <c r="F13733" s="69"/>
      <c r="G13733" s="68"/>
      <c r="H13733" s="70"/>
      <c r="BA13733" s="4"/>
      <c r="BB13733" s="4"/>
    </row>
    <row r="13734" spans="1:54" x14ac:dyDescent="0.3">
      <c r="A13734" s="66"/>
      <c r="B13734" s="67"/>
      <c r="C13734" s="66"/>
      <c r="D13734" s="68"/>
      <c r="E13734" s="10"/>
      <c r="F13734" s="69"/>
      <c r="G13734" s="68"/>
      <c r="H13734" s="70"/>
      <c r="BA13734" s="4"/>
      <c r="BB13734" s="4"/>
    </row>
    <row r="13735" spans="1:54" x14ac:dyDescent="0.3">
      <c r="A13735" s="66"/>
      <c r="B13735" s="67"/>
      <c r="C13735" s="66"/>
      <c r="D13735" s="68"/>
      <c r="E13735" s="10"/>
      <c r="F13735" s="69"/>
      <c r="G13735" s="68"/>
      <c r="H13735" s="70"/>
      <c r="BA13735" s="4"/>
      <c r="BB13735" s="4"/>
    </row>
    <row r="13736" spans="1:54" x14ac:dyDescent="0.3">
      <c r="A13736" s="66"/>
      <c r="B13736" s="67"/>
      <c r="C13736" s="66"/>
      <c r="D13736" s="68"/>
      <c r="E13736" s="10"/>
      <c r="F13736" s="69"/>
      <c r="G13736" s="68"/>
      <c r="H13736" s="70"/>
      <c r="BA13736" s="4"/>
      <c r="BB13736" s="4"/>
    </row>
    <row r="13737" spans="1:54" x14ac:dyDescent="0.3">
      <c r="A13737" s="66"/>
      <c r="B13737" s="67"/>
      <c r="C13737" s="66"/>
      <c r="D13737" s="68"/>
      <c r="E13737" s="10"/>
      <c r="F13737" s="69"/>
      <c r="G13737" s="68"/>
      <c r="H13737" s="70"/>
      <c r="BA13737" s="4"/>
      <c r="BB13737" s="4"/>
    </row>
    <row r="13738" spans="1:54" x14ac:dyDescent="0.3">
      <c r="A13738" s="66"/>
      <c r="B13738" s="67"/>
      <c r="C13738" s="66"/>
      <c r="D13738" s="68"/>
      <c r="E13738" s="10"/>
      <c r="F13738" s="69"/>
      <c r="G13738" s="68"/>
      <c r="H13738" s="70"/>
      <c r="BA13738" s="4"/>
      <c r="BB13738" s="4"/>
    </row>
    <row r="13739" spans="1:54" x14ac:dyDescent="0.3">
      <c r="A13739" s="66"/>
      <c r="B13739" s="67"/>
      <c r="C13739" s="66"/>
      <c r="D13739" s="68"/>
      <c r="E13739" s="10"/>
      <c r="F13739" s="69"/>
      <c r="G13739" s="68"/>
      <c r="H13739" s="70"/>
      <c r="BA13739" s="4"/>
      <c r="BB13739" s="4"/>
    </row>
    <row r="13740" spans="1:54" x14ac:dyDescent="0.3">
      <c r="A13740" s="66"/>
      <c r="B13740" s="67"/>
      <c r="C13740" s="66"/>
      <c r="D13740" s="68"/>
      <c r="E13740" s="10"/>
      <c r="F13740" s="69"/>
      <c r="G13740" s="68"/>
      <c r="H13740" s="70"/>
      <c r="BA13740" s="4"/>
      <c r="BB13740" s="4"/>
    </row>
    <row r="13741" spans="1:54" x14ac:dyDescent="0.3">
      <c r="A13741" s="66"/>
      <c r="B13741" s="67"/>
      <c r="C13741" s="66"/>
      <c r="D13741" s="68"/>
      <c r="E13741" s="10"/>
      <c r="F13741" s="69"/>
      <c r="G13741" s="68"/>
      <c r="H13741" s="70"/>
      <c r="BA13741" s="4"/>
      <c r="BB13741" s="4"/>
    </row>
    <row r="13742" spans="1:54" x14ac:dyDescent="0.3">
      <c r="A13742" s="66"/>
      <c r="B13742" s="67"/>
      <c r="C13742" s="66"/>
      <c r="D13742" s="68"/>
      <c r="E13742" s="10"/>
      <c r="F13742" s="69"/>
      <c r="G13742" s="68"/>
      <c r="H13742" s="70"/>
      <c r="BA13742" s="4"/>
      <c r="BB13742" s="4"/>
    </row>
    <row r="13743" spans="1:54" x14ac:dyDescent="0.3">
      <c r="A13743" s="66"/>
      <c r="B13743" s="67"/>
      <c r="C13743" s="66"/>
      <c r="D13743" s="68"/>
      <c r="E13743" s="10"/>
      <c r="F13743" s="69"/>
      <c r="G13743" s="68"/>
      <c r="H13743" s="70"/>
      <c r="BA13743" s="4"/>
      <c r="BB13743" s="4"/>
    </row>
    <row r="13744" spans="1:54" x14ac:dyDescent="0.3">
      <c r="A13744" s="66"/>
      <c r="B13744" s="67"/>
      <c r="C13744" s="66"/>
      <c r="D13744" s="68"/>
      <c r="E13744" s="10"/>
      <c r="F13744" s="69"/>
      <c r="G13744" s="68"/>
      <c r="H13744" s="70"/>
      <c r="BA13744" s="4"/>
      <c r="BB13744" s="4"/>
    </row>
    <row r="13745" spans="1:54" x14ac:dyDescent="0.3">
      <c r="A13745" s="66"/>
      <c r="B13745" s="67"/>
      <c r="C13745" s="66"/>
      <c r="D13745" s="68"/>
      <c r="E13745" s="10"/>
      <c r="F13745" s="69"/>
      <c r="G13745" s="68"/>
      <c r="H13745" s="70"/>
      <c r="BA13745" s="4"/>
      <c r="BB13745" s="4"/>
    </row>
    <row r="13746" spans="1:54" x14ac:dyDescent="0.3">
      <c r="A13746" s="66"/>
      <c r="B13746" s="67"/>
      <c r="C13746" s="66"/>
      <c r="D13746" s="68"/>
      <c r="E13746" s="10"/>
      <c r="F13746" s="69"/>
      <c r="G13746" s="68"/>
      <c r="H13746" s="70"/>
      <c r="BA13746" s="4"/>
      <c r="BB13746" s="4"/>
    </row>
    <row r="13747" spans="1:54" x14ac:dyDescent="0.3">
      <c r="A13747" s="66"/>
      <c r="B13747" s="67"/>
      <c r="C13747" s="66"/>
      <c r="D13747" s="68"/>
      <c r="E13747" s="10"/>
      <c r="F13747" s="69"/>
      <c r="G13747" s="68"/>
      <c r="H13747" s="70"/>
      <c r="BA13747" s="4"/>
      <c r="BB13747" s="4"/>
    </row>
    <row r="13748" spans="1:54" x14ac:dyDescent="0.3">
      <c r="A13748" s="66"/>
      <c r="B13748" s="67"/>
      <c r="C13748" s="66"/>
      <c r="D13748" s="68"/>
      <c r="E13748" s="10"/>
      <c r="F13748" s="69"/>
      <c r="G13748" s="68"/>
      <c r="H13748" s="70"/>
      <c r="BA13748" s="4"/>
      <c r="BB13748" s="4"/>
    </row>
    <row r="13749" spans="1:54" x14ac:dyDescent="0.3">
      <c r="A13749" s="66"/>
      <c r="B13749" s="67"/>
      <c r="C13749" s="66"/>
      <c r="D13749" s="68"/>
      <c r="E13749" s="10"/>
      <c r="F13749" s="69"/>
      <c r="G13749" s="68"/>
      <c r="H13749" s="70"/>
      <c r="BA13749" s="4"/>
      <c r="BB13749" s="4"/>
    </row>
    <row r="13750" spans="1:54" x14ac:dyDescent="0.3">
      <c r="A13750" s="66"/>
      <c r="B13750" s="67"/>
      <c r="C13750" s="66"/>
      <c r="D13750" s="68"/>
      <c r="E13750" s="10"/>
      <c r="F13750" s="69"/>
      <c r="G13750" s="68"/>
      <c r="H13750" s="70"/>
      <c r="BA13750" s="4"/>
      <c r="BB13750" s="4"/>
    </row>
    <row r="13751" spans="1:54" x14ac:dyDescent="0.3">
      <c r="A13751" s="66"/>
      <c r="B13751" s="67"/>
      <c r="C13751" s="66"/>
      <c r="D13751" s="68"/>
      <c r="E13751" s="10"/>
      <c r="F13751" s="69"/>
      <c r="G13751" s="68"/>
      <c r="H13751" s="70"/>
      <c r="BA13751" s="4"/>
      <c r="BB13751" s="4"/>
    </row>
    <row r="13752" spans="1:54" x14ac:dyDescent="0.3">
      <c r="A13752" s="66"/>
      <c r="B13752" s="67"/>
      <c r="C13752" s="66"/>
      <c r="D13752" s="68"/>
      <c r="E13752" s="10"/>
      <c r="F13752" s="69"/>
      <c r="G13752" s="68"/>
      <c r="H13752" s="70"/>
      <c r="BA13752" s="4"/>
      <c r="BB13752" s="4"/>
    </row>
    <row r="13753" spans="1:54" x14ac:dyDescent="0.3">
      <c r="A13753" s="66"/>
      <c r="B13753" s="67"/>
      <c r="C13753" s="66"/>
      <c r="D13753" s="68"/>
      <c r="E13753" s="10"/>
      <c r="F13753" s="69"/>
      <c r="G13753" s="68"/>
      <c r="H13753" s="70"/>
      <c r="BA13753" s="4"/>
      <c r="BB13753" s="4"/>
    </row>
    <row r="13754" spans="1:54" x14ac:dyDescent="0.3">
      <c r="A13754" s="66"/>
      <c r="B13754" s="67"/>
      <c r="C13754" s="66"/>
      <c r="D13754" s="68"/>
      <c r="E13754" s="10"/>
      <c r="F13754" s="69"/>
      <c r="G13754" s="68"/>
      <c r="H13754" s="70"/>
      <c r="BA13754" s="4"/>
      <c r="BB13754" s="4"/>
    </row>
    <row r="13755" spans="1:54" x14ac:dyDescent="0.3">
      <c r="A13755" s="66"/>
      <c r="B13755" s="67"/>
      <c r="C13755" s="66"/>
      <c r="D13755" s="68"/>
      <c r="E13755" s="10"/>
      <c r="F13755" s="69"/>
      <c r="G13755" s="68"/>
      <c r="H13755" s="70"/>
      <c r="BA13755" s="4"/>
      <c r="BB13755" s="4"/>
    </row>
    <row r="13756" spans="1:54" x14ac:dyDescent="0.3">
      <c r="A13756" s="66"/>
      <c r="B13756" s="67"/>
      <c r="C13756" s="66"/>
      <c r="D13756" s="68"/>
      <c r="E13756" s="10"/>
      <c r="F13756" s="69"/>
      <c r="G13756" s="68"/>
      <c r="H13756" s="70"/>
      <c r="BA13756" s="4"/>
      <c r="BB13756" s="4"/>
    </row>
    <row r="13757" spans="1:54" x14ac:dyDescent="0.3">
      <c r="A13757" s="66"/>
      <c r="B13757" s="67"/>
      <c r="C13757" s="66"/>
      <c r="D13757" s="68"/>
      <c r="E13757" s="10"/>
      <c r="F13757" s="69"/>
      <c r="G13757" s="68"/>
      <c r="H13757" s="70"/>
      <c r="BA13757" s="4"/>
      <c r="BB13757" s="4"/>
    </row>
    <row r="13758" spans="1:54" x14ac:dyDescent="0.3">
      <c r="A13758" s="66"/>
      <c r="B13758" s="67"/>
      <c r="C13758" s="66"/>
      <c r="D13758" s="68"/>
      <c r="E13758" s="10"/>
      <c r="F13758" s="69"/>
      <c r="G13758" s="68"/>
      <c r="H13758" s="70"/>
      <c r="BA13758" s="4"/>
      <c r="BB13758" s="4"/>
    </row>
    <row r="13759" spans="1:54" x14ac:dyDescent="0.3">
      <c r="A13759" s="66"/>
      <c r="B13759" s="67"/>
      <c r="C13759" s="66"/>
      <c r="D13759" s="68"/>
      <c r="E13759" s="10"/>
      <c r="F13759" s="69"/>
      <c r="G13759" s="68"/>
      <c r="H13759" s="70"/>
      <c r="BA13759" s="4"/>
      <c r="BB13759" s="4"/>
    </row>
    <row r="13760" spans="1:54" x14ac:dyDescent="0.3">
      <c r="A13760" s="66"/>
      <c r="B13760" s="67"/>
      <c r="C13760" s="66"/>
      <c r="D13760" s="68"/>
      <c r="E13760" s="10"/>
      <c r="F13760" s="69"/>
      <c r="G13760" s="68"/>
      <c r="H13760" s="70"/>
      <c r="BA13760" s="4"/>
      <c r="BB13760" s="4"/>
    </row>
    <row r="13761" spans="1:54" x14ac:dyDescent="0.3">
      <c r="A13761" s="66"/>
      <c r="B13761" s="67"/>
      <c r="C13761" s="66"/>
      <c r="D13761" s="68"/>
      <c r="E13761" s="10"/>
      <c r="F13761" s="69"/>
      <c r="G13761" s="68"/>
      <c r="H13761" s="70"/>
      <c r="BA13761" s="4"/>
      <c r="BB13761" s="4"/>
    </row>
    <row r="13762" spans="1:54" x14ac:dyDescent="0.3">
      <c r="A13762" s="66"/>
      <c r="B13762" s="67"/>
      <c r="C13762" s="66"/>
      <c r="D13762" s="68"/>
      <c r="E13762" s="10"/>
      <c r="F13762" s="69"/>
      <c r="G13762" s="68"/>
      <c r="H13762" s="70"/>
      <c r="BA13762" s="4"/>
      <c r="BB13762" s="4"/>
    </row>
    <row r="13763" spans="1:54" x14ac:dyDescent="0.3">
      <c r="A13763" s="66"/>
      <c r="B13763" s="67"/>
      <c r="C13763" s="66"/>
      <c r="D13763" s="68"/>
      <c r="E13763" s="10"/>
      <c r="F13763" s="69"/>
      <c r="G13763" s="68"/>
      <c r="H13763" s="70"/>
      <c r="BA13763" s="4"/>
      <c r="BB13763" s="4"/>
    </row>
    <row r="13764" spans="1:54" x14ac:dyDescent="0.3">
      <c r="A13764" s="66"/>
      <c r="B13764" s="67"/>
      <c r="C13764" s="66"/>
      <c r="D13764" s="68"/>
      <c r="E13764" s="10"/>
      <c r="F13764" s="69"/>
      <c r="G13764" s="68"/>
      <c r="H13764" s="70"/>
      <c r="BA13764" s="4"/>
      <c r="BB13764" s="4"/>
    </row>
    <row r="13765" spans="1:54" x14ac:dyDescent="0.3">
      <c r="A13765" s="66"/>
      <c r="B13765" s="67"/>
      <c r="C13765" s="66"/>
      <c r="D13765" s="68"/>
      <c r="E13765" s="10"/>
      <c r="F13765" s="69"/>
      <c r="G13765" s="68"/>
      <c r="H13765" s="70"/>
      <c r="BA13765" s="4"/>
      <c r="BB13765" s="4"/>
    </row>
    <row r="13766" spans="1:54" x14ac:dyDescent="0.3">
      <c r="A13766" s="66"/>
      <c r="B13766" s="67"/>
      <c r="C13766" s="66"/>
      <c r="D13766" s="68"/>
      <c r="E13766" s="10"/>
      <c r="F13766" s="69"/>
      <c r="G13766" s="68"/>
      <c r="H13766" s="70"/>
      <c r="BA13766" s="4"/>
      <c r="BB13766" s="4"/>
    </row>
    <row r="13767" spans="1:54" x14ac:dyDescent="0.3">
      <c r="A13767" s="66"/>
      <c r="B13767" s="67"/>
      <c r="C13767" s="66"/>
      <c r="D13767" s="68"/>
      <c r="E13767" s="10"/>
      <c r="F13767" s="69"/>
      <c r="G13767" s="68"/>
      <c r="H13767" s="70"/>
      <c r="BA13767" s="4"/>
      <c r="BB13767" s="4"/>
    </row>
    <row r="13768" spans="1:54" x14ac:dyDescent="0.3">
      <c r="A13768" s="66"/>
      <c r="B13768" s="67"/>
      <c r="C13768" s="66"/>
      <c r="D13768" s="68"/>
      <c r="E13768" s="10"/>
      <c r="F13768" s="69"/>
      <c r="G13768" s="68"/>
      <c r="H13768" s="70"/>
      <c r="BA13768" s="4"/>
      <c r="BB13768" s="4"/>
    </row>
    <row r="13769" spans="1:54" x14ac:dyDescent="0.3">
      <c r="A13769" s="66"/>
      <c r="B13769" s="67"/>
      <c r="C13769" s="66"/>
      <c r="D13769" s="68"/>
      <c r="E13769" s="10"/>
      <c r="F13769" s="69"/>
      <c r="G13769" s="68"/>
      <c r="H13769" s="70"/>
      <c r="BA13769" s="4"/>
      <c r="BB13769" s="4"/>
    </row>
    <row r="13770" spans="1:54" x14ac:dyDescent="0.3">
      <c r="A13770" s="66"/>
      <c r="B13770" s="67"/>
      <c r="C13770" s="66"/>
      <c r="D13770" s="68"/>
      <c r="E13770" s="10"/>
      <c r="F13770" s="69"/>
      <c r="G13770" s="68"/>
      <c r="H13770" s="70"/>
      <c r="BA13770" s="4"/>
      <c r="BB13770" s="4"/>
    </row>
    <row r="13771" spans="1:54" x14ac:dyDescent="0.3">
      <c r="A13771" s="66"/>
      <c r="B13771" s="67"/>
      <c r="C13771" s="66"/>
      <c r="D13771" s="68"/>
      <c r="E13771" s="10"/>
      <c r="F13771" s="69"/>
      <c r="G13771" s="68"/>
      <c r="H13771" s="70"/>
      <c r="BA13771" s="4"/>
      <c r="BB13771" s="4"/>
    </row>
    <row r="13772" spans="1:54" x14ac:dyDescent="0.3">
      <c r="A13772" s="66"/>
      <c r="B13772" s="67"/>
      <c r="C13772" s="66"/>
      <c r="D13772" s="68"/>
      <c r="E13772" s="10"/>
      <c r="F13772" s="69"/>
      <c r="G13772" s="68"/>
      <c r="H13772" s="70"/>
      <c r="BA13772" s="4"/>
      <c r="BB13772" s="4"/>
    </row>
    <row r="13773" spans="1:54" x14ac:dyDescent="0.3">
      <c r="A13773" s="66"/>
      <c r="B13773" s="67"/>
      <c r="C13773" s="66"/>
      <c r="D13773" s="68"/>
      <c r="E13773" s="10"/>
      <c r="F13773" s="69"/>
      <c r="G13773" s="68"/>
      <c r="H13773" s="70"/>
      <c r="BA13773" s="4"/>
      <c r="BB13773" s="4"/>
    </row>
    <row r="13774" spans="1:54" x14ac:dyDescent="0.3">
      <c r="A13774" s="66"/>
      <c r="B13774" s="67"/>
      <c r="C13774" s="66"/>
      <c r="D13774" s="68"/>
      <c r="E13774" s="10"/>
      <c r="F13774" s="69"/>
      <c r="G13774" s="68"/>
      <c r="H13774" s="70"/>
      <c r="BA13774" s="4"/>
      <c r="BB13774" s="4"/>
    </row>
    <row r="13775" spans="1:54" x14ac:dyDescent="0.3">
      <c r="A13775" s="66"/>
      <c r="B13775" s="67"/>
      <c r="C13775" s="66"/>
      <c r="D13775" s="68"/>
      <c r="E13775" s="10"/>
      <c r="F13775" s="69"/>
      <c r="G13775" s="68"/>
      <c r="H13775" s="70"/>
      <c r="BA13775" s="4"/>
      <c r="BB13775" s="4"/>
    </row>
    <row r="13776" spans="1:54" x14ac:dyDescent="0.3">
      <c r="A13776" s="66"/>
      <c r="B13776" s="67"/>
      <c r="C13776" s="66"/>
      <c r="D13776" s="68"/>
      <c r="E13776" s="10"/>
      <c r="F13776" s="69"/>
      <c r="G13776" s="68"/>
      <c r="H13776" s="70"/>
      <c r="BA13776" s="4"/>
      <c r="BB13776" s="4"/>
    </row>
    <row r="13777" spans="1:54" x14ac:dyDescent="0.3">
      <c r="A13777" s="66"/>
      <c r="B13777" s="67"/>
      <c r="C13777" s="66"/>
      <c r="D13777" s="68"/>
      <c r="E13777" s="10"/>
      <c r="F13777" s="69"/>
      <c r="G13777" s="68"/>
      <c r="H13777" s="70"/>
      <c r="BA13777" s="4"/>
      <c r="BB13777" s="4"/>
    </row>
    <row r="13778" spans="1:54" x14ac:dyDescent="0.3">
      <c r="A13778" s="66"/>
      <c r="B13778" s="67"/>
      <c r="C13778" s="66"/>
      <c r="D13778" s="68"/>
      <c r="E13778" s="10"/>
      <c r="F13778" s="69"/>
      <c r="G13778" s="68"/>
      <c r="H13778" s="70"/>
      <c r="BA13778" s="4"/>
      <c r="BB13778" s="4"/>
    </row>
    <row r="13779" spans="1:54" x14ac:dyDescent="0.3">
      <c r="A13779" s="66"/>
      <c r="B13779" s="67"/>
      <c r="C13779" s="66"/>
      <c r="D13779" s="68"/>
      <c r="E13779" s="10"/>
      <c r="F13779" s="69"/>
      <c r="G13779" s="68"/>
      <c r="H13779" s="70"/>
      <c r="BA13779" s="4"/>
      <c r="BB13779" s="4"/>
    </row>
    <row r="13780" spans="1:54" x14ac:dyDescent="0.3">
      <c r="A13780" s="66"/>
      <c r="B13780" s="67"/>
      <c r="C13780" s="66"/>
      <c r="D13780" s="68"/>
      <c r="E13780" s="10"/>
      <c r="F13780" s="69"/>
      <c r="G13780" s="68"/>
      <c r="H13780" s="70"/>
      <c r="BA13780" s="4"/>
      <c r="BB13780" s="4"/>
    </row>
    <row r="13781" spans="1:54" x14ac:dyDescent="0.3">
      <c r="A13781" s="66"/>
      <c r="B13781" s="67"/>
      <c r="C13781" s="66"/>
      <c r="D13781" s="68"/>
      <c r="E13781" s="10"/>
      <c r="F13781" s="69"/>
      <c r="G13781" s="68"/>
      <c r="H13781" s="70"/>
      <c r="BA13781" s="4"/>
      <c r="BB13781" s="4"/>
    </row>
    <row r="13782" spans="1:54" x14ac:dyDescent="0.3">
      <c r="A13782" s="66"/>
      <c r="B13782" s="67"/>
      <c r="C13782" s="66"/>
      <c r="D13782" s="68"/>
      <c r="E13782" s="10"/>
      <c r="F13782" s="69"/>
      <c r="G13782" s="68"/>
      <c r="H13782" s="70"/>
      <c r="BA13782" s="4"/>
      <c r="BB13782" s="4"/>
    </row>
    <row r="13783" spans="1:54" x14ac:dyDescent="0.3">
      <c r="A13783" s="66"/>
      <c r="B13783" s="67"/>
      <c r="C13783" s="66"/>
      <c r="D13783" s="68"/>
      <c r="E13783" s="10"/>
      <c r="F13783" s="69"/>
      <c r="G13783" s="68"/>
      <c r="H13783" s="70"/>
      <c r="BA13783" s="4"/>
      <c r="BB13783" s="4"/>
    </row>
    <row r="13784" spans="1:54" x14ac:dyDescent="0.3">
      <c r="A13784" s="66"/>
      <c r="B13784" s="67"/>
      <c r="C13784" s="66"/>
      <c r="D13784" s="68"/>
      <c r="E13784" s="10"/>
      <c r="F13784" s="69"/>
      <c r="G13784" s="68"/>
      <c r="H13784" s="70"/>
      <c r="BA13784" s="4"/>
      <c r="BB13784" s="4"/>
    </row>
    <row r="13785" spans="1:54" x14ac:dyDescent="0.3">
      <c r="A13785" s="66"/>
      <c r="B13785" s="67"/>
      <c r="C13785" s="66"/>
      <c r="D13785" s="68"/>
      <c r="E13785" s="10"/>
      <c r="F13785" s="69"/>
      <c r="G13785" s="68"/>
      <c r="H13785" s="70"/>
      <c r="BA13785" s="4"/>
      <c r="BB13785" s="4"/>
    </row>
    <row r="13786" spans="1:54" x14ac:dyDescent="0.3">
      <c r="A13786" s="66"/>
      <c r="B13786" s="67"/>
      <c r="C13786" s="66"/>
      <c r="D13786" s="68"/>
      <c r="E13786" s="10"/>
      <c r="F13786" s="69"/>
      <c r="G13786" s="68"/>
      <c r="H13786" s="70"/>
      <c r="BA13786" s="4"/>
      <c r="BB13786" s="4"/>
    </row>
    <row r="13787" spans="1:54" x14ac:dyDescent="0.3">
      <c r="A13787" s="66"/>
      <c r="B13787" s="67"/>
      <c r="C13787" s="66"/>
      <c r="D13787" s="68"/>
      <c r="E13787" s="10"/>
      <c r="F13787" s="69"/>
      <c r="G13787" s="68"/>
      <c r="H13787" s="70"/>
      <c r="BA13787" s="4"/>
      <c r="BB13787" s="4"/>
    </row>
    <row r="13788" spans="1:54" x14ac:dyDescent="0.3">
      <c r="A13788" s="66"/>
      <c r="B13788" s="67"/>
      <c r="C13788" s="66"/>
      <c r="D13788" s="68"/>
      <c r="E13788" s="10"/>
      <c r="F13788" s="69"/>
      <c r="G13788" s="68"/>
      <c r="H13788" s="70"/>
      <c r="BA13788" s="4"/>
      <c r="BB13788" s="4"/>
    </row>
    <row r="13789" spans="1:54" x14ac:dyDescent="0.3">
      <c r="A13789" s="66"/>
      <c r="B13789" s="67"/>
      <c r="C13789" s="66"/>
      <c r="D13789" s="68"/>
      <c r="E13789" s="10"/>
      <c r="F13789" s="69"/>
      <c r="G13789" s="68"/>
      <c r="H13789" s="70"/>
      <c r="BA13789" s="4"/>
      <c r="BB13789" s="4"/>
    </row>
    <row r="13790" spans="1:54" x14ac:dyDescent="0.3">
      <c r="A13790" s="66"/>
      <c r="B13790" s="67"/>
      <c r="C13790" s="66"/>
      <c r="D13790" s="68"/>
      <c r="E13790" s="10"/>
      <c r="F13790" s="69"/>
      <c r="G13790" s="68"/>
      <c r="H13790" s="70"/>
      <c r="BA13790" s="4"/>
      <c r="BB13790" s="4"/>
    </row>
    <row r="13791" spans="1:54" x14ac:dyDescent="0.3">
      <c r="A13791" s="66"/>
      <c r="B13791" s="67"/>
      <c r="C13791" s="66"/>
      <c r="D13791" s="68"/>
      <c r="E13791" s="10"/>
      <c r="F13791" s="69"/>
      <c r="G13791" s="68"/>
      <c r="H13791" s="70"/>
      <c r="BA13791" s="4"/>
      <c r="BB13791" s="4"/>
    </row>
    <row r="13792" spans="1:54" x14ac:dyDescent="0.3">
      <c r="A13792" s="66"/>
      <c r="B13792" s="67"/>
      <c r="C13792" s="66"/>
      <c r="D13792" s="68"/>
      <c r="E13792" s="10"/>
      <c r="F13792" s="69"/>
      <c r="G13792" s="68"/>
      <c r="H13792" s="70"/>
      <c r="BA13792" s="4"/>
      <c r="BB13792" s="4"/>
    </row>
    <row r="13793" spans="1:54" x14ac:dyDescent="0.3">
      <c r="A13793" s="66"/>
      <c r="B13793" s="67"/>
      <c r="C13793" s="66"/>
      <c r="D13793" s="68"/>
      <c r="E13793" s="10"/>
      <c r="F13793" s="69"/>
      <c r="G13793" s="68"/>
      <c r="H13793" s="70"/>
      <c r="BA13793" s="4"/>
      <c r="BB13793" s="4"/>
    </row>
    <row r="13794" spans="1:54" x14ac:dyDescent="0.3">
      <c r="A13794" s="66"/>
      <c r="B13794" s="67"/>
      <c r="C13794" s="66"/>
      <c r="D13794" s="68"/>
      <c r="E13794" s="10"/>
      <c r="F13794" s="69"/>
      <c r="G13794" s="68"/>
      <c r="H13794" s="70"/>
      <c r="BA13794" s="4"/>
      <c r="BB13794" s="4"/>
    </row>
    <row r="13795" spans="1:54" x14ac:dyDescent="0.3">
      <c r="A13795" s="66"/>
      <c r="B13795" s="67"/>
      <c r="C13795" s="66"/>
      <c r="D13795" s="68"/>
      <c r="E13795" s="10"/>
      <c r="F13795" s="69"/>
      <c r="G13795" s="68"/>
      <c r="H13795" s="70"/>
      <c r="BA13795" s="4"/>
      <c r="BB13795" s="4"/>
    </row>
    <row r="13796" spans="1:54" x14ac:dyDescent="0.3">
      <c r="A13796" s="66"/>
      <c r="B13796" s="67"/>
      <c r="C13796" s="66"/>
      <c r="D13796" s="68"/>
      <c r="E13796" s="10"/>
      <c r="F13796" s="69"/>
      <c r="G13796" s="68"/>
      <c r="H13796" s="70"/>
      <c r="BA13796" s="4"/>
      <c r="BB13796" s="4"/>
    </row>
    <row r="13797" spans="1:54" x14ac:dyDescent="0.3">
      <c r="A13797" s="66"/>
      <c r="B13797" s="67"/>
      <c r="C13797" s="66"/>
      <c r="D13797" s="68"/>
      <c r="E13797" s="10"/>
      <c r="F13797" s="69"/>
      <c r="G13797" s="68"/>
      <c r="H13797" s="70"/>
      <c r="BA13797" s="4"/>
      <c r="BB13797" s="4"/>
    </row>
    <row r="13798" spans="1:54" x14ac:dyDescent="0.3">
      <c r="A13798" s="66"/>
      <c r="B13798" s="67"/>
      <c r="C13798" s="66"/>
      <c r="D13798" s="68"/>
      <c r="E13798" s="10"/>
      <c r="F13798" s="69"/>
      <c r="G13798" s="68"/>
      <c r="H13798" s="70"/>
      <c r="BA13798" s="4"/>
      <c r="BB13798" s="4"/>
    </row>
    <row r="13799" spans="1:54" x14ac:dyDescent="0.3">
      <c r="A13799" s="66"/>
      <c r="B13799" s="67"/>
      <c r="C13799" s="66"/>
      <c r="D13799" s="68"/>
      <c r="E13799" s="10"/>
      <c r="F13799" s="69"/>
      <c r="G13799" s="68"/>
      <c r="H13799" s="70"/>
      <c r="BA13799" s="4"/>
      <c r="BB13799" s="4"/>
    </row>
    <row r="13800" spans="1:54" x14ac:dyDescent="0.3">
      <c r="A13800" s="66"/>
      <c r="B13800" s="67"/>
      <c r="C13800" s="66"/>
      <c r="D13800" s="68"/>
      <c r="E13800" s="10"/>
      <c r="F13800" s="69"/>
      <c r="G13800" s="68"/>
      <c r="H13800" s="70"/>
      <c r="BA13800" s="4"/>
      <c r="BB13800" s="4"/>
    </row>
    <row r="13801" spans="1:54" x14ac:dyDescent="0.3">
      <c r="A13801" s="66"/>
      <c r="B13801" s="67"/>
      <c r="C13801" s="66"/>
      <c r="D13801" s="68"/>
      <c r="E13801" s="10"/>
      <c r="F13801" s="69"/>
      <c r="G13801" s="68"/>
      <c r="H13801" s="70"/>
      <c r="BA13801" s="4"/>
      <c r="BB13801" s="4"/>
    </row>
    <row r="13802" spans="1:54" x14ac:dyDescent="0.3">
      <c r="A13802" s="66"/>
      <c r="B13802" s="67"/>
      <c r="C13802" s="66"/>
      <c r="D13802" s="68"/>
      <c r="E13802" s="10"/>
      <c r="F13802" s="69"/>
      <c r="G13802" s="68"/>
      <c r="H13802" s="70"/>
      <c r="BA13802" s="4"/>
      <c r="BB13802" s="4"/>
    </row>
    <row r="13803" spans="1:54" x14ac:dyDescent="0.3">
      <c r="A13803" s="66"/>
      <c r="B13803" s="67"/>
      <c r="C13803" s="66"/>
      <c r="D13803" s="68"/>
      <c r="E13803" s="10"/>
      <c r="F13803" s="69"/>
      <c r="G13803" s="68"/>
      <c r="H13803" s="70"/>
      <c r="BA13803" s="4"/>
      <c r="BB13803" s="4"/>
    </row>
    <row r="13804" spans="1:54" x14ac:dyDescent="0.3">
      <c r="A13804" s="66"/>
      <c r="B13804" s="67"/>
      <c r="C13804" s="66"/>
      <c r="D13804" s="68"/>
      <c r="E13804" s="10"/>
      <c r="F13804" s="69"/>
      <c r="G13804" s="68"/>
      <c r="H13804" s="70"/>
      <c r="BA13804" s="4"/>
      <c r="BB13804" s="4"/>
    </row>
    <row r="13805" spans="1:54" x14ac:dyDescent="0.3">
      <c r="A13805" s="66"/>
      <c r="B13805" s="67"/>
      <c r="C13805" s="66"/>
      <c r="D13805" s="68"/>
      <c r="E13805" s="10"/>
      <c r="F13805" s="69"/>
      <c r="G13805" s="68"/>
      <c r="H13805" s="70"/>
      <c r="BA13805" s="4"/>
      <c r="BB13805" s="4"/>
    </row>
    <row r="13806" spans="1:54" x14ac:dyDescent="0.3">
      <c r="A13806" s="66"/>
      <c r="B13806" s="67"/>
      <c r="C13806" s="66"/>
      <c r="D13806" s="68"/>
      <c r="E13806" s="10"/>
      <c r="F13806" s="69"/>
      <c r="G13806" s="68"/>
      <c r="H13806" s="70"/>
      <c r="BA13806" s="4"/>
      <c r="BB13806" s="4"/>
    </row>
    <row r="13807" spans="1:54" x14ac:dyDescent="0.3">
      <c r="A13807" s="66"/>
      <c r="B13807" s="67"/>
      <c r="C13807" s="66"/>
      <c r="D13807" s="68"/>
      <c r="E13807" s="10"/>
      <c r="F13807" s="69"/>
      <c r="G13807" s="68"/>
      <c r="H13807" s="70"/>
      <c r="BA13807" s="4"/>
      <c r="BB13807" s="4"/>
    </row>
    <row r="13808" spans="1:54" x14ac:dyDescent="0.3">
      <c r="A13808" s="66"/>
      <c r="B13808" s="67"/>
      <c r="C13808" s="66"/>
      <c r="D13808" s="68"/>
      <c r="E13808" s="10"/>
      <c r="F13808" s="69"/>
      <c r="G13808" s="68"/>
      <c r="H13808" s="70"/>
      <c r="BA13808" s="4"/>
      <c r="BB13808" s="4"/>
    </row>
    <row r="13809" spans="1:54" x14ac:dyDescent="0.3">
      <c r="A13809" s="66"/>
      <c r="B13809" s="67"/>
      <c r="C13809" s="66"/>
      <c r="D13809" s="68"/>
      <c r="E13809" s="10"/>
      <c r="F13809" s="69"/>
      <c r="G13809" s="68"/>
      <c r="H13809" s="70"/>
      <c r="BA13809" s="4"/>
      <c r="BB13809" s="4"/>
    </row>
    <row r="13810" spans="1:54" x14ac:dyDescent="0.3">
      <c r="A13810" s="66"/>
      <c r="B13810" s="67"/>
      <c r="C13810" s="66"/>
      <c r="D13810" s="68"/>
      <c r="E13810" s="10"/>
      <c r="F13810" s="69"/>
      <c r="G13810" s="68"/>
      <c r="H13810" s="70"/>
      <c r="BA13810" s="4"/>
      <c r="BB13810" s="4"/>
    </row>
    <row r="13811" spans="1:54" x14ac:dyDescent="0.3">
      <c r="A13811" s="66"/>
      <c r="B13811" s="67"/>
      <c r="C13811" s="66"/>
      <c r="D13811" s="68"/>
      <c r="E13811" s="10"/>
      <c r="F13811" s="69"/>
      <c r="G13811" s="68"/>
      <c r="H13811" s="70"/>
      <c r="BA13811" s="4"/>
      <c r="BB13811" s="4"/>
    </row>
    <row r="13812" spans="1:54" x14ac:dyDescent="0.3">
      <c r="A13812" s="66"/>
      <c r="B13812" s="67"/>
      <c r="C13812" s="66"/>
      <c r="D13812" s="68"/>
      <c r="E13812" s="10"/>
      <c r="F13812" s="69"/>
      <c r="G13812" s="68"/>
      <c r="H13812" s="70"/>
      <c r="BA13812" s="4"/>
      <c r="BB13812" s="4"/>
    </row>
    <row r="13813" spans="1:54" x14ac:dyDescent="0.3">
      <c r="A13813" s="66"/>
      <c r="B13813" s="67"/>
      <c r="C13813" s="66"/>
      <c r="D13813" s="68"/>
      <c r="E13813" s="10"/>
      <c r="F13813" s="69"/>
      <c r="G13813" s="68"/>
      <c r="H13813" s="70"/>
      <c r="BA13813" s="4"/>
      <c r="BB13813" s="4"/>
    </row>
    <row r="13814" spans="1:54" x14ac:dyDescent="0.3">
      <c r="A13814" s="66"/>
      <c r="B13814" s="67"/>
      <c r="C13814" s="66"/>
      <c r="D13814" s="68"/>
      <c r="E13814" s="10"/>
      <c r="F13814" s="69"/>
      <c r="G13814" s="68"/>
      <c r="H13814" s="70"/>
      <c r="BA13814" s="4"/>
      <c r="BB13814" s="4"/>
    </row>
    <row r="13815" spans="1:54" x14ac:dyDescent="0.3">
      <c r="A13815" s="66"/>
      <c r="B13815" s="67"/>
      <c r="C13815" s="66"/>
      <c r="D13815" s="68"/>
      <c r="E13815" s="10"/>
      <c r="F13815" s="69"/>
      <c r="G13815" s="68"/>
      <c r="H13815" s="70"/>
      <c r="BA13815" s="4"/>
      <c r="BB13815" s="4"/>
    </row>
    <row r="13816" spans="1:54" x14ac:dyDescent="0.3">
      <c r="A13816" s="66"/>
      <c r="B13816" s="67"/>
      <c r="C13816" s="66"/>
      <c r="D13816" s="68"/>
      <c r="E13816" s="10"/>
      <c r="F13816" s="69"/>
      <c r="G13816" s="68"/>
      <c r="H13816" s="70"/>
      <c r="BA13816" s="4"/>
      <c r="BB13816" s="4"/>
    </row>
    <row r="13817" spans="1:54" x14ac:dyDescent="0.3">
      <c r="A13817" s="66"/>
      <c r="B13817" s="67"/>
      <c r="C13817" s="66"/>
      <c r="D13817" s="68"/>
      <c r="E13817" s="10"/>
      <c r="F13817" s="69"/>
      <c r="G13817" s="68"/>
      <c r="H13817" s="70"/>
      <c r="BA13817" s="4"/>
      <c r="BB13817" s="4"/>
    </row>
    <row r="13818" spans="1:54" x14ac:dyDescent="0.3">
      <c r="A13818" s="66"/>
      <c r="B13818" s="67"/>
      <c r="C13818" s="66"/>
      <c r="D13818" s="68"/>
      <c r="E13818" s="10"/>
      <c r="F13818" s="69"/>
      <c r="G13818" s="68"/>
      <c r="H13818" s="70"/>
      <c r="BA13818" s="4"/>
      <c r="BB13818" s="4"/>
    </row>
    <row r="13819" spans="1:54" x14ac:dyDescent="0.3">
      <c r="A13819" s="66"/>
      <c r="B13819" s="67"/>
      <c r="C13819" s="66"/>
      <c r="D13819" s="68"/>
      <c r="E13819" s="10"/>
      <c r="F13819" s="69"/>
      <c r="G13819" s="68"/>
      <c r="H13819" s="70"/>
      <c r="BA13819" s="4"/>
      <c r="BB13819" s="4"/>
    </row>
    <row r="13820" spans="1:54" x14ac:dyDescent="0.3">
      <c r="A13820" s="66"/>
      <c r="B13820" s="67"/>
      <c r="C13820" s="66"/>
      <c r="D13820" s="68"/>
      <c r="E13820" s="10"/>
      <c r="F13820" s="69"/>
      <c r="G13820" s="68"/>
      <c r="H13820" s="70"/>
      <c r="BA13820" s="4"/>
      <c r="BB13820" s="4"/>
    </row>
    <row r="13821" spans="1:54" x14ac:dyDescent="0.3">
      <c r="A13821" s="66"/>
      <c r="B13821" s="67"/>
      <c r="C13821" s="66"/>
      <c r="D13821" s="68"/>
      <c r="E13821" s="10"/>
      <c r="F13821" s="69"/>
      <c r="G13821" s="68"/>
      <c r="H13821" s="70"/>
      <c r="BA13821" s="4"/>
      <c r="BB13821" s="4"/>
    </row>
    <row r="13822" spans="1:54" x14ac:dyDescent="0.3">
      <c r="A13822" s="66"/>
      <c r="B13822" s="67"/>
      <c r="C13822" s="66"/>
      <c r="D13822" s="68"/>
      <c r="E13822" s="10"/>
      <c r="F13822" s="69"/>
      <c r="G13822" s="68"/>
      <c r="H13822" s="70"/>
      <c r="BA13822" s="4"/>
      <c r="BB13822" s="4"/>
    </row>
    <row r="13823" spans="1:54" x14ac:dyDescent="0.3">
      <c r="A13823" s="66"/>
      <c r="B13823" s="67"/>
      <c r="C13823" s="66"/>
      <c r="D13823" s="68"/>
      <c r="E13823" s="10"/>
      <c r="F13823" s="69"/>
      <c r="G13823" s="68"/>
      <c r="H13823" s="70"/>
      <c r="BA13823" s="4"/>
      <c r="BB13823" s="4"/>
    </row>
    <row r="13824" spans="1:54" x14ac:dyDescent="0.3">
      <c r="A13824" s="66"/>
      <c r="B13824" s="67"/>
      <c r="C13824" s="66"/>
      <c r="D13824" s="68"/>
      <c r="E13824" s="10"/>
      <c r="F13824" s="69"/>
      <c r="G13824" s="68"/>
      <c r="H13824" s="70"/>
      <c r="BA13824" s="4"/>
      <c r="BB13824" s="4"/>
    </row>
    <row r="13825" spans="1:54" x14ac:dyDescent="0.3">
      <c r="A13825" s="66"/>
      <c r="B13825" s="67"/>
      <c r="C13825" s="66"/>
      <c r="D13825" s="68"/>
      <c r="E13825" s="10"/>
      <c r="F13825" s="69"/>
      <c r="G13825" s="68"/>
      <c r="H13825" s="70"/>
      <c r="BA13825" s="4"/>
      <c r="BB13825" s="4"/>
    </row>
    <row r="13826" spans="1:54" x14ac:dyDescent="0.3">
      <c r="A13826" s="66"/>
      <c r="B13826" s="67"/>
      <c r="C13826" s="66"/>
      <c r="D13826" s="68"/>
      <c r="E13826" s="10"/>
      <c r="F13826" s="69"/>
      <c r="G13826" s="68"/>
      <c r="H13826" s="70"/>
      <c r="BA13826" s="4"/>
      <c r="BB13826" s="4"/>
    </row>
    <row r="13827" spans="1:54" x14ac:dyDescent="0.3">
      <c r="A13827" s="66"/>
      <c r="B13827" s="67"/>
      <c r="C13827" s="66"/>
      <c r="D13827" s="68"/>
      <c r="E13827" s="10"/>
      <c r="F13827" s="69"/>
      <c r="G13827" s="68"/>
      <c r="H13827" s="70"/>
      <c r="BA13827" s="4"/>
      <c r="BB13827" s="4"/>
    </row>
    <row r="13828" spans="1:54" x14ac:dyDescent="0.3">
      <c r="A13828" s="66"/>
      <c r="B13828" s="67"/>
      <c r="C13828" s="66"/>
      <c r="D13828" s="68"/>
      <c r="E13828" s="10"/>
      <c r="F13828" s="69"/>
      <c r="G13828" s="68"/>
      <c r="H13828" s="70"/>
      <c r="BA13828" s="4"/>
      <c r="BB13828" s="4"/>
    </row>
    <row r="13829" spans="1:54" x14ac:dyDescent="0.3">
      <c r="A13829" s="66"/>
      <c r="B13829" s="67"/>
      <c r="C13829" s="66"/>
      <c r="D13829" s="68"/>
      <c r="E13829" s="10"/>
      <c r="F13829" s="69"/>
      <c r="G13829" s="68"/>
      <c r="H13829" s="70"/>
      <c r="BA13829" s="4"/>
      <c r="BB13829" s="4"/>
    </row>
    <row r="13830" spans="1:54" x14ac:dyDescent="0.3">
      <c r="A13830" s="66"/>
      <c r="B13830" s="67"/>
      <c r="C13830" s="66"/>
      <c r="D13830" s="68"/>
      <c r="E13830" s="10"/>
      <c r="F13830" s="69"/>
      <c r="G13830" s="68"/>
      <c r="H13830" s="70"/>
      <c r="BA13830" s="4"/>
      <c r="BB13830" s="4"/>
    </row>
    <row r="13831" spans="1:54" x14ac:dyDescent="0.3">
      <c r="A13831" s="66"/>
      <c r="B13831" s="67"/>
      <c r="C13831" s="66"/>
      <c r="D13831" s="68"/>
      <c r="E13831" s="10"/>
      <c r="F13831" s="69"/>
      <c r="G13831" s="68"/>
      <c r="H13831" s="70"/>
      <c r="BA13831" s="4"/>
      <c r="BB13831" s="4"/>
    </row>
    <row r="13832" spans="1:54" x14ac:dyDescent="0.3">
      <c r="A13832" s="66"/>
      <c r="B13832" s="67"/>
      <c r="C13832" s="66"/>
      <c r="D13832" s="68"/>
      <c r="E13832" s="10"/>
      <c r="F13832" s="69"/>
      <c r="G13832" s="68"/>
      <c r="H13832" s="70"/>
      <c r="BA13832" s="4"/>
      <c r="BB13832" s="4"/>
    </row>
    <row r="13833" spans="1:54" x14ac:dyDescent="0.3">
      <c r="A13833" s="66"/>
      <c r="B13833" s="67"/>
      <c r="C13833" s="66"/>
      <c r="D13833" s="68"/>
      <c r="E13833" s="10"/>
      <c r="F13833" s="69"/>
      <c r="G13833" s="68"/>
      <c r="H13833" s="70"/>
      <c r="BA13833" s="4"/>
      <c r="BB13833" s="4"/>
    </row>
    <row r="13834" spans="1:54" x14ac:dyDescent="0.3">
      <c r="A13834" s="66"/>
      <c r="B13834" s="67"/>
      <c r="C13834" s="66"/>
      <c r="D13834" s="68"/>
      <c r="E13834" s="10"/>
      <c r="F13834" s="69"/>
      <c r="G13834" s="68"/>
      <c r="H13834" s="70"/>
      <c r="BA13834" s="4"/>
      <c r="BB13834" s="4"/>
    </row>
    <row r="13835" spans="1:54" x14ac:dyDescent="0.3">
      <c r="A13835" s="66"/>
      <c r="B13835" s="67"/>
      <c r="C13835" s="66"/>
      <c r="D13835" s="68"/>
      <c r="E13835" s="10"/>
      <c r="F13835" s="69"/>
      <c r="G13835" s="68"/>
      <c r="H13835" s="70"/>
      <c r="BA13835" s="4"/>
      <c r="BB13835" s="4"/>
    </row>
    <row r="13836" spans="1:54" x14ac:dyDescent="0.3">
      <c r="A13836" s="66"/>
      <c r="B13836" s="67"/>
      <c r="C13836" s="66"/>
      <c r="D13836" s="68"/>
      <c r="E13836" s="10"/>
      <c r="F13836" s="69"/>
      <c r="G13836" s="68"/>
      <c r="H13836" s="70"/>
      <c r="BA13836" s="4"/>
      <c r="BB13836" s="4"/>
    </row>
    <row r="13837" spans="1:54" x14ac:dyDescent="0.3">
      <c r="A13837" s="66"/>
      <c r="B13837" s="67"/>
      <c r="C13837" s="66"/>
      <c r="D13837" s="68"/>
      <c r="E13837" s="10"/>
      <c r="F13837" s="69"/>
      <c r="G13837" s="68"/>
      <c r="H13837" s="70"/>
      <c r="BA13837" s="4"/>
      <c r="BB13837" s="4"/>
    </row>
    <row r="13838" spans="1:54" x14ac:dyDescent="0.3">
      <c r="A13838" s="66"/>
      <c r="B13838" s="67"/>
      <c r="C13838" s="66"/>
      <c r="D13838" s="68"/>
      <c r="E13838" s="10"/>
      <c r="F13838" s="69"/>
      <c r="G13838" s="68"/>
      <c r="H13838" s="70"/>
      <c r="BA13838" s="4"/>
      <c r="BB13838" s="4"/>
    </row>
    <row r="13839" spans="1:54" x14ac:dyDescent="0.3">
      <c r="A13839" s="66"/>
      <c r="B13839" s="67"/>
      <c r="C13839" s="66"/>
      <c r="D13839" s="68"/>
      <c r="E13839" s="10"/>
      <c r="F13839" s="69"/>
      <c r="G13839" s="68"/>
      <c r="H13839" s="70"/>
      <c r="BA13839" s="4"/>
      <c r="BB13839" s="4"/>
    </row>
    <row r="13840" spans="1:54" x14ac:dyDescent="0.3">
      <c r="A13840" s="66"/>
      <c r="B13840" s="67"/>
      <c r="C13840" s="66"/>
      <c r="D13840" s="68"/>
      <c r="E13840" s="10"/>
      <c r="F13840" s="69"/>
      <c r="G13840" s="68"/>
      <c r="H13840" s="70"/>
      <c r="BA13840" s="4"/>
      <c r="BB13840" s="4"/>
    </row>
    <row r="13841" spans="1:54" x14ac:dyDescent="0.3">
      <c r="A13841" s="66"/>
      <c r="B13841" s="67"/>
      <c r="C13841" s="66"/>
      <c r="D13841" s="68"/>
      <c r="E13841" s="10"/>
      <c r="F13841" s="69"/>
      <c r="G13841" s="68"/>
      <c r="H13841" s="70"/>
      <c r="BA13841" s="4"/>
      <c r="BB13841" s="4"/>
    </row>
    <row r="13842" spans="1:54" x14ac:dyDescent="0.3">
      <c r="A13842" s="66"/>
      <c r="B13842" s="67"/>
      <c r="C13842" s="66"/>
      <c r="D13842" s="68"/>
      <c r="E13842" s="10"/>
      <c r="F13842" s="69"/>
      <c r="G13842" s="68"/>
      <c r="H13842" s="70"/>
      <c r="BA13842" s="4"/>
      <c r="BB13842" s="4"/>
    </row>
    <row r="13843" spans="1:54" x14ac:dyDescent="0.3">
      <c r="A13843" s="66"/>
      <c r="B13843" s="67"/>
      <c r="C13843" s="66"/>
      <c r="D13843" s="68"/>
      <c r="E13843" s="10"/>
      <c r="F13843" s="69"/>
      <c r="G13843" s="68"/>
      <c r="H13843" s="70"/>
      <c r="BA13843" s="4"/>
      <c r="BB13843" s="4"/>
    </row>
    <row r="13844" spans="1:54" x14ac:dyDescent="0.3">
      <c r="A13844" s="66"/>
      <c r="B13844" s="67"/>
      <c r="C13844" s="66"/>
      <c r="D13844" s="68"/>
      <c r="E13844" s="10"/>
      <c r="F13844" s="69"/>
      <c r="G13844" s="68"/>
      <c r="H13844" s="70"/>
      <c r="BA13844" s="4"/>
      <c r="BB13844" s="4"/>
    </row>
    <row r="13845" spans="1:54" x14ac:dyDescent="0.3">
      <c r="A13845" s="66"/>
      <c r="B13845" s="67"/>
      <c r="C13845" s="66"/>
      <c r="D13845" s="68"/>
      <c r="E13845" s="10"/>
      <c r="F13845" s="69"/>
      <c r="G13845" s="68"/>
      <c r="H13845" s="70"/>
      <c r="BA13845" s="4"/>
      <c r="BB13845" s="4"/>
    </row>
    <row r="13846" spans="1:54" x14ac:dyDescent="0.3">
      <c r="A13846" s="66"/>
      <c r="B13846" s="67"/>
      <c r="C13846" s="66"/>
      <c r="D13846" s="68"/>
      <c r="E13846" s="10"/>
      <c r="F13846" s="69"/>
      <c r="G13846" s="68"/>
      <c r="H13846" s="70"/>
      <c r="BA13846" s="4"/>
      <c r="BB13846" s="4"/>
    </row>
    <row r="13847" spans="1:54" x14ac:dyDescent="0.3">
      <c r="A13847" s="66"/>
      <c r="B13847" s="67"/>
      <c r="C13847" s="66"/>
      <c r="D13847" s="68"/>
      <c r="E13847" s="10"/>
      <c r="F13847" s="69"/>
      <c r="G13847" s="68"/>
      <c r="H13847" s="70"/>
      <c r="BA13847" s="4"/>
      <c r="BB13847" s="4"/>
    </row>
    <row r="13848" spans="1:54" x14ac:dyDescent="0.3">
      <c r="A13848" s="66"/>
      <c r="B13848" s="67"/>
      <c r="C13848" s="66"/>
      <c r="D13848" s="68"/>
      <c r="E13848" s="10"/>
      <c r="F13848" s="69"/>
      <c r="G13848" s="68"/>
      <c r="H13848" s="70"/>
      <c r="BA13848" s="4"/>
      <c r="BB13848" s="4"/>
    </row>
    <row r="13849" spans="1:54" x14ac:dyDescent="0.3">
      <c r="A13849" s="66"/>
      <c r="B13849" s="67"/>
      <c r="C13849" s="66"/>
      <c r="D13849" s="68"/>
      <c r="E13849" s="10"/>
      <c r="F13849" s="69"/>
      <c r="G13849" s="68"/>
      <c r="H13849" s="70"/>
      <c r="BA13849" s="4"/>
      <c r="BB13849" s="4"/>
    </row>
    <row r="13850" spans="1:54" x14ac:dyDescent="0.3">
      <c r="A13850" s="66"/>
      <c r="B13850" s="67"/>
      <c r="C13850" s="66"/>
      <c r="D13850" s="68"/>
      <c r="E13850" s="10"/>
      <c r="F13850" s="69"/>
      <c r="G13850" s="68"/>
      <c r="H13850" s="70"/>
      <c r="BA13850" s="4"/>
      <c r="BB13850" s="4"/>
    </row>
    <row r="13851" spans="1:54" x14ac:dyDescent="0.3">
      <c r="A13851" s="66"/>
      <c r="B13851" s="67"/>
      <c r="C13851" s="66"/>
      <c r="D13851" s="68"/>
      <c r="E13851" s="10"/>
      <c r="F13851" s="69"/>
      <c r="G13851" s="68"/>
      <c r="H13851" s="70"/>
      <c r="BA13851" s="4"/>
      <c r="BB13851" s="4"/>
    </row>
    <row r="13852" spans="1:54" x14ac:dyDescent="0.3">
      <c r="A13852" s="66"/>
      <c r="B13852" s="67"/>
      <c r="C13852" s="66"/>
      <c r="D13852" s="68"/>
      <c r="E13852" s="10"/>
      <c r="F13852" s="69"/>
      <c r="G13852" s="68"/>
      <c r="H13852" s="70"/>
      <c r="BA13852" s="4"/>
      <c r="BB13852" s="4"/>
    </row>
    <row r="13853" spans="1:54" x14ac:dyDescent="0.3">
      <c r="A13853" s="66"/>
      <c r="B13853" s="67"/>
      <c r="C13853" s="66"/>
      <c r="D13853" s="68"/>
      <c r="E13853" s="10"/>
      <c r="F13853" s="69"/>
      <c r="G13853" s="68"/>
      <c r="H13853" s="70"/>
      <c r="BA13853" s="4"/>
      <c r="BB13853" s="4"/>
    </row>
    <row r="13854" spans="1:54" x14ac:dyDescent="0.3">
      <c r="A13854" s="66"/>
      <c r="B13854" s="67"/>
      <c r="C13854" s="66"/>
      <c r="D13854" s="68"/>
      <c r="E13854" s="10"/>
      <c r="F13854" s="69"/>
      <c r="G13854" s="68"/>
      <c r="H13854" s="70"/>
      <c r="BA13854" s="4"/>
      <c r="BB13854" s="4"/>
    </row>
    <row r="13855" spans="1:54" x14ac:dyDescent="0.3">
      <c r="A13855" s="66"/>
      <c r="B13855" s="67"/>
      <c r="C13855" s="66"/>
      <c r="D13855" s="68"/>
      <c r="E13855" s="10"/>
      <c r="F13855" s="69"/>
      <c r="G13855" s="68"/>
      <c r="H13855" s="70"/>
      <c r="BA13855" s="4"/>
      <c r="BB13855" s="4"/>
    </row>
    <row r="13856" spans="1:54" x14ac:dyDescent="0.3">
      <c r="A13856" s="66"/>
      <c r="B13856" s="67"/>
      <c r="C13856" s="66"/>
      <c r="D13856" s="68"/>
      <c r="E13856" s="10"/>
      <c r="F13856" s="69"/>
      <c r="G13856" s="68"/>
      <c r="H13856" s="70"/>
      <c r="BA13856" s="4"/>
      <c r="BB13856" s="4"/>
    </row>
    <row r="13857" spans="1:54" x14ac:dyDescent="0.3">
      <c r="A13857" s="66"/>
      <c r="B13857" s="67"/>
      <c r="C13857" s="66"/>
      <c r="D13857" s="68"/>
      <c r="E13857" s="10"/>
      <c r="F13857" s="69"/>
      <c r="G13857" s="68"/>
      <c r="H13857" s="70"/>
      <c r="BA13857" s="4"/>
      <c r="BB13857" s="4"/>
    </row>
    <row r="13858" spans="1:54" x14ac:dyDescent="0.3">
      <c r="A13858" s="66"/>
      <c r="B13858" s="67"/>
      <c r="C13858" s="66"/>
      <c r="D13858" s="68"/>
      <c r="E13858" s="10"/>
      <c r="F13858" s="69"/>
      <c r="G13858" s="68"/>
      <c r="H13858" s="70"/>
      <c r="BA13858" s="4"/>
      <c r="BB13858" s="4"/>
    </row>
    <row r="13859" spans="1:54" x14ac:dyDescent="0.3">
      <c r="A13859" s="66"/>
      <c r="B13859" s="67"/>
      <c r="C13859" s="66"/>
      <c r="D13859" s="68"/>
      <c r="E13859" s="10"/>
      <c r="F13859" s="69"/>
      <c r="G13859" s="68"/>
      <c r="H13859" s="70"/>
      <c r="BA13859" s="4"/>
      <c r="BB13859" s="4"/>
    </row>
    <row r="13860" spans="1:54" x14ac:dyDescent="0.3">
      <c r="A13860" s="66"/>
      <c r="B13860" s="67"/>
      <c r="C13860" s="66"/>
      <c r="D13860" s="68"/>
      <c r="E13860" s="10"/>
      <c r="F13860" s="69"/>
      <c r="G13860" s="68"/>
      <c r="H13860" s="70"/>
      <c r="BA13860" s="4"/>
      <c r="BB13860" s="4"/>
    </row>
    <row r="13861" spans="1:54" x14ac:dyDescent="0.3">
      <c r="A13861" s="66"/>
      <c r="B13861" s="67"/>
      <c r="C13861" s="66"/>
      <c r="D13861" s="68"/>
      <c r="E13861" s="10"/>
      <c r="F13861" s="69"/>
      <c r="G13861" s="68"/>
      <c r="H13861" s="70"/>
      <c r="BA13861" s="4"/>
      <c r="BB13861" s="4"/>
    </row>
    <row r="13862" spans="1:54" x14ac:dyDescent="0.3">
      <c r="A13862" s="66"/>
      <c r="B13862" s="67"/>
      <c r="C13862" s="66"/>
      <c r="D13862" s="68"/>
      <c r="E13862" s="10"/>
      <c r="F13862" s="69"/>
      <c r="G13862" s="68"/>
      <c r="H13862" s="70"/>
      <c r="BA13862" s="4"/>
      <c r="BB13862" s="4"/>
    </row>
    <row r="13863" spans="1:54" x14ac:dyDescent="0.3">
      <c r="A13863" s="66"/>
      <c r="B13863" s="67"/>
      <c r="C13863" s="66"/>
      <c r="D13863" s="68"/>
      <c r="E13863" s="10"/>
      <c r="F13863" s="69"/>
      <c r="G13863" s="68"/>
      <c r="H13863" s="70"/>
      <c r="BA13863" s="4"/>
      <c r="BB13863" s="4"/>
    </row>
    <row r="13864" spans="1:54" x14ac:dyDescent="0.3">
      <c r="A13864" s="66"/>
      <c r="B13864" s="67"/>
      <c r="C13864" s="66"/>
      <c r="D13864" s="68"/>
      <c r="E13864" s="10"/>
      <c r="F13864" s="69"/>
      <c r="G13864" s="68"/>
      <c r="H13864" s="70"/>
      <c r="BA13864" s="4"/>
      <c r="BB13864" s="4"/>
    </row>
    <row r="13865" spans="1:54" x14ac:dyDescent="0.3">
      <c r="A13865" s="66"/>
      <c r="B13865" s="67"/>
      <c r="C13865" s="66"/>
      <c r="D13865" s="68"/>
      <c r="E13865" s="10"/>
      <c r="F13865" s="69"/>
      <c r="G13865" s="68"/>
      <c r="H13865" s="70"/>
      <c r="BA13865" s="4"/>
      <c r="BB13865" s="4"/>
    </row>
    <row r="13866" spans="1:54" x14ac:dyDescent="0.3">
      <c r="A13866" s="66"/>
      <c r="B13866" s="67"/>
      <c r="C13866" s="66"/>
      <c r="D13866" s="68"/>
      <c r="E13866" s="10"/>
      <c r="F13866" s="69"/>
      <c r="G13866" s="68"/>
      <c r="H13866" s="70"/>
      <c r="BA13866" s="4"/>
      <c r="BB13866" s="4"/>
    </row>
    <row r="13867" spans="1:54" x14ac:dyDescent="0.3">
      <c r="A13867" s="66"/>
      <c r="B13867" s="67"/>
      <c r="C13867" s="66"/>
      <c r="D13867" s="68"/>
      <c r="E13867" s="10"/>
      <c r="F13867" s="69"/>
      <c r="G13867" s="68"/>
      <c r="H13867" s="70"/>
      <c r="BA13867" s="4"/>
      <c r="BB13867" s="4"/>
    </row>
    <row r="13868" spans="1:54" x14ac:dyDescent="0.3">
      <c r="A13868" s="66"/>
      <c r="B13868" s="67"/>
      <c r="C13868" s="66"/>
      <c r="D13868" s="68"/>
      <c r="E13868" s="10"/>
      <c r="F13868" s="69"/>
      <c r="G13868" s="68"/>
      <c r="H13868" s="70"/>
      <c r="BA13868" s="4"/>
      <c r="BB13868" s="4"/>
    </row>
    <row r="13869" spans="1:54" x14ac:dyDescent="0.3">
      <c r="A13869" s="66"/>
      <c r="B13869" s="67"/>
      <c r="C13869" s="66"/>
      <c r="D13869" s="68"/>
      <c r="E13869" s="10"/>
      <c r="F13869" s="69"/>
      <c r="G13869" s="68"/>
      <c r="H13869" s="70"/>
      <c r="BA13869" s="4"/>
      <c r="BB13869" s="4"/>
    </row>
    <row r="13870" spans="1:54" x14ac:dyDescent="0.3">
      <c r="A13870" s="66"/>
      <c r="B13870" s="67"/>
      <c r="C13870" s="66"/>
      <c r="D13870" s="68"/>
      <c r="E13870" s="10"/>
      <c r="F13870" s="69"/>
      <c r="G13870" s="68"/>
      <c r="H13870" s="70"/>
      <c r="BA13870" s="4"/>
      <c r="BB13870" s="4"/>
    </row>
    <row r="13871" spans="1:54" x14ac:dyDescent="0.3">
      <c r="A13871" s="66"/>
      <c r="B13871" s="67"/>
      <c r="C13871" s="66"/>
      <c r="D13871" s="68"/>
      <c r="E13871" s="10"/>
      <c r="F13871" s="69"/>
      <c r="G13871" s="68"/>
      <c r="H13871" s="70"/>
      <c r="BA13871" s="4"/>
      <c r="BB13871" s="4"/>
    </row>
    <row r="13872" spans="1:54" x14ac:dyDescent="0.3">
      <c r="A13872" s="66"/>
      <c r="B13872" s="67"/>
      <c r="C13872" s="66"/>
      <c r="D13872" s="68"/>
      <c r="E13872" s="10"/>
      <c r="F13872" s="69"/>
      <c r="G13872" s="68"/>
      <c r="H13872" s="70"/>
      <c r="BA13872" s="4"/>
      <c r="BB13872" s="4"/>
    </row>
    <row r="13873" spans="1:54" x14ac:dyDescent="0.3">
      <c r="A13873" s="66"/>
      <c r="B13873" s="67"/>
      <c r="C13873" s="66"/>
      <c r="D13873" s="68"/>
      <c r="E13873" s="10"/>
      <c r="F13873" s="69"/>
      <c r="G13873" s="68"/>
      <c r="H13873" s="70"/>
      <c r="BA13873" s="4"/>
      <c r="BB13873" s="4"/>
    </row>
    <row r="13874" spans="1:54" x14ac:dyDescent="0.3">
      <c r="A13874" s="66"/>
      <c r="B13874" s="67"/>
      <c r="C13874" s="66"/>
      <c r="D13874" s="68"/>
      <c r="E13874" s="10"/>
      <c r="F13874" s="69"/>
      <c r="G13874" s="68"/>
      <c r="H13874" s="70"/>
      <c r="BA13874" s="4"/>
      <c r="BB13874" s="4"/>
    </row>
    <row r="13875" spans="1:54" x14ac:dyDescent="0.3">
      <c r="A13875" s="66"/>
      <c r="B13875" s="67"/>
      <c r="C13875" s="66"/>
      <c r="D13875" s="68"/>
      <c r="E13875" s="10"/>
      <c r="F13875" s="69"/>
      <c r="G13875" s="68"/>
      <c r="H13875" s="70"/>
      <c r="BA13875" s="4"/>
      <c r="BB13875" s="4"/>
    </row>
    <row r="13876" spans="1:54" x14ac:dyDescent="0.3">
      <c r="A13876" s="66"/>
      <c r="B13876" s="67"/>
      <c r="C13876" s="66"/>
      <c r="D13876" s="68"/>
      <c r="E13876" s="10"/>
      <c r="F13876" s="69"/>
      <c r="G13876" s="68"/>
      <c r="H13876" s="70"/>
      <c r="BA13876" s="4"/>
      <c r="BB13876" s="4"/>
    </row>
    <row r="13877" spans="1:54" x14ac:dyDescent="0.3">
      <c r="A13877" s="66"/>
      <c r="B13877" s="67"/>
      <c r="C13877" s="66"/>
      <c r="D13877" s="68"/>
      <c r="E13877" s="10"/>
      <c r="F13877" s="69"/>
      <c r="G13877" s="68"/>
      <c r="H13877" s="70"/>
      <c r="BA13877" s="4"/>
      <c r="BB13877" s="4"/>
    </row>
    <row r="13878" spans="1:54" x14ac:dyDescent="0.3">
      <c r="A13878" s="66"/>
      <c r="B13878" s="67"/>
      <c r="C13878" s="66"/>
      <c r="D13878" s="68"/>
      <c r="E13878" s="10"/>
      <c r="F13878" s="69"/>
      <c r="G13878" s="68"/>
      <c r="H13878" s="70"/>
      <c r="BA13878" s="4"/>
      <c r="BB13878" s="4"/>
    </row>
    <row r="13879" spans="1:54" x14ac:dyDescent="0.3">
      <c r="A13879" s="66"/>
      <c r="B13879" s="67"/>
      <c r="C13879" s="66"/>
      <c r="D13879" s="68"/>
      <c r="E13879" s="10"/>
      <c r="F13879" s="69"/>
      <c r="G13879" s="68"/>
      <c r="H13879" s="70"/>
      <c r="BA13879" s="4"/>
      <c r="BB13879" s="4"/>
    </row>
    <row r="13880" spans="1:54" x14ac:dyDescent="0.3">
      <c r="A13880" s="66"/>
      <c r="B13880" s="67"/>
      <c r="C13880" s="66"/>
      <c r="D13880" s="68"/>
      <c r="E13880" s="10"/>
      <c r="F13880" s="69"/>
      <c r="G13880" s="68"/>
      <c r="H13880" s="70"/>
      <c r="BA13880" s="4"/>
      <c r="BB13880" s="4"/>
    </row>
    <row r="13881" spans="1:54" x14ac:dyDescent="0.3">
      <c r="A13881" s="66"/>
      <c r="B13881" s="67"/>
      <c r="C13881" s="66"/>
      <c r="D13881" s="68"/>
      <c r="E13881" s="10"/>
      <c r="F13881" s="69"/>
      <c r="G13881" s="68"/>
      <c r="H13881" s="70"/>
      <c r="BA13881" s="4"/>
      <c r="BB13881" s="4"/>
    </row>
    <row r="13882" spans="1:54" x14ac:dyDescent="0.3">
      <c r="A13882" s="66"/>
      <c r="B13882" s="67"/>
      <c r="C13882" s="66"/>
      <c r="D13882" s="68"/>
      <c r="E13882" s="10"/>
      <c r="F13882" s="69"/>
      <c r="G13882" s="68"/>
      <c r="H13882" s="70"/>
      <c r="BA13882" s="4"/>
      <c r="BB13882" s="4"/>
    </row>
    <row r="13883" spans="1:54" x14ac:dyDescent="0.3">
      <c r="A13883" s="66"/>
      <c r="B13883" s="67"/>
      <c r="C13883" s="66"/>
      <c r="D13883" s="68"/>
      <c r="E13883" s="10"/>
      <c r="F13883" s="69"/>
      <c r="G13883" s="68"/>
      <c r="H13883" s="70"/>
      <c r="BA13883" s="4"/>
      <c r="BB13883" s="4"/>
    </row>
    <row r="13884" spans="1:54" x14ac:dyDescent="0.3">
      <c r="A13884" s="66"/>
      <c r="B13884" s="67"/>
      <c r="C13884" s="66"/>
      <c r="D13884" s="68"/>
      <c r="E13884" s="10"/>
      <c r="F13884" s="69"/>
      <c r="G13884" s="68"/>
      <c r="H13884" s="70"/>
      <c r="BA13884" s="4"/>
      <c r="BB13884" s="4"/>
    </row>
    <row r="13885" spans="1:54" x14ac:dyDescent="0.3">
      <c r="A13885" s="66"/>
      <c r="B13885" s="67"/>
      <c r="C13885" s="66"/>
      <c r="D13885" s="68"/>
      <c r="E13885" s="10"/>
      <c r="F13885" s="69"/>
      <c r="G13885" s="68"/>
      <c r="H13885" s="70"/>
      <c r="BA13885" s="4"/>
      <c r="BB13885" s="4"/>
    </row>
    <row r="13886" spans="1:54" x14ac:dyDescent="0.3">
      <c r="A13886" s="66"/>
      <c r="B13886" s="67"/>
      <c r="C13886" s="66"/>
      <c r="D13886" s="68"/>
      <c r="E13886" s="10"/>
      <c r="F13886" s="69"/>
      <c r="G13886" s="68"/>
      <c r="H13886" s="70"/>
      <c r="BA13886" s="4"/>
      <c r="BB13886" s="4"/>
    </row>
    <row r="13887" spans="1:54" x14ac:dyDescent="0.3">
      <c r="A13887" s="66"/>
      <c r="B13887" s="67"/>
      <c r="C13887" s="66"/>
      <c r="D13887" s="68"/>
      <c r="E13887" s="10"/>
      <c r="F13887" s="69"/>
      <c r="G13887" s="68"/>
      <c r="H13887" s="70"/>
      <c r="BA13887" s="4"/>
      <c r="BB13887" s="4"/>
    </row>
    <row r="13888" spans="1:54" x14ac:dyDescent="0.3">
      <c r="A13888" s="66"/>
      <c r="B13888" s="67"/>
      <c r="C13888" s="66"/>
      <c r="D13888" s="68"/>
      <c r="E13888" s="10"/>
      <c r="F13888" s="69"/>
      <c r="G13888" s="68"/>
      <c r="H13888" s="70"/>
      <c r="BA13888" s="4"/>
      <c r="BB13888" s="4"/>
    </row>
    <row r="13889" spans="1:54" x14ac:dyDescent="0.3">
      <c r="A13889" s="66"/>
      <c r="B13889" s="67"/>
      <c r="C13889" s="66"/>
      <c r="D13889" s="68"/>
      <c r="E13889" s="10"/>
      <c r="F13889" s="69"/>
      <c r="G13889" s="68"/>
      <c r="H13889" s="70"/>
      <c r="BA13889" s="4"/>
      <c r="BB13889" s="4"/>
    </row>
    <row r="13890" spans="1:54" x14ac:dyDescent="0.3">
      <c r="A13890" s="66"/>
      <c r="B13890" s="67"/>
      <c r="C13890" s="66"/>
      <c r="D13890" s="68"/>
      <c r="E13890" s="10"/>
      <c r="F13890" s="69"/>
      <c r="G13890" s="68"/>
      <c r="H13890" s="70"/>
      <c r="BA13890" s="4"/>
      <c r="BB13890" s="4"/>
    </row>
    <row r="13891" spans="1:54" x14ac:dyDescent="0.3">
      <c r="A13891" s="66"/>
      <c r="B13891" s="67"/>
      <c r="C13891" s="66"/>
      <c r="D13891" s="68"/>
      <c r="E13891" s="10"/>
      <c r="F13891" s="69"/>
      <c r="G13891" s="68"/>
      <c r="H13891" s="70"/>
      <c r="BA13891" s="4"/>
      <c r="BB13891" s="4"/>
    </row>
    <row r="13892" spans="1:54" x14ac:dyDescent="0.3">
      <c r="A13892" s="66"/>
      <c r="B13892" s="67"/>
      <c r="C13892" s="66"/>
      <c r="D13892" s="68"/>
      <c r="E13892" s="10"/>
      <c r="F13892" s="69"/>
      <c r="G13892" s="68"/>
      <c r="H13892" s="70"/>
      <c r="BA13892" s="4"/>
      <c r="BB13892" s="4"/>
    </row>
    <row r="13893" spans="1:54" x14ac:dyDescent="0.3">
      <c r="A13893" s="66"/>
      <c r="B13893" s="67"/>
      <c r="C13893" s="66"/>
      <c r="D13893" s="68"/>
      <c r="E13893" s="10"/>
      <c r="F13893" s="69"/>
      <c r="G13893" s="68"/>
      <c r="H13893" s="70"/>
      <c r="BA13893" s="4"/>
      <c r="BB13893" s="4"/>
    </row>
    <row r="13894" spans="1:54" x14ac:dyDescent="0.3">
      <c r="A13894" s="66"/>
      <c r="B13894" s="67"/>
      <c r="C13894" s="66"/>
      <c r="D13894" s="68"/>
      <c r="E13894" s="10"/>
      <c r="F13894" s="69"/>
      <c r="G13894" s="68"/>
      <c r="H13894" s="70"/>
      <c r="BA13894" s="4"/>
      <c r="BB13894" s="4"/>
    </row>
    <row r="13895" spans="1:54" x14ac:dyDescent="0.3">
      <c r="A13895" s="66"/>
      <c r="B13895" s="67"/>
      <c r="C13895" s="66"/>
      <c r="D13895" s="68"/>
      <c r="E13895" s="10"/>
      <c r="F13895" s="69"/>
      <c r="G13895" s="68"/>
      <c r="H13895" s="70"/>
      <c r="BA13895" s="4"/>
      <c r="BB13895" s="4"/>
    </row>
    <row r="13896" spans="1:54" x14ac:dyDescent="0.3">
      <c r="A13896" s="66"/>
      <c r="B13896" s="67"/>
      <c r="C13896" s="66"/>
      <c r="D13896" s="68"/>
      <c r="E13896" s="10"/>
      <c r="F13896" s="69"/>
      <c r="G13896" s="68"/>
      <c r="H13896" s="70"/>
      <c r="BA13896" s="4"/>
      <c r="BB13896" s="4"/>
    </row>
    <row r="13897" spans="1:54" x14ac:dyDescent="0.3">
      <c r="A13897" s="66"/>
      <c r="B13897" s="67"/>
      <c r="C13897" s="66"/>
      <c r="D13897" s="68"/>
      <c r="E13897" s="10"/>
      <c r="F13897" s="69"/>
      <c r="G13897" s="68"/>
      <c r="H13897" s="70"/>
      <c r="BA13897" s="4"/>
      <c r="BB13897" s="4"/>
    </row>
    <row r="13898" spans="1:54" x14ac:dyDescent="0.3">
      <c r="A13898" s="66"/>
      <c r="B13898" s="67"/>
      <c r="C13898" s="66"/>
      <c r="D13898" s="68"/>
      <c r="E13898" s="10"/>
      <c r="F13898" s="69"/>
      <c r="G13898" s="68"/>
      <c r="H13898" s="70"/>
      <c r="BA13898" s="4"/>
      <c r="BB13898" s="4"/>
    </row>
    <row r="13899" spans="1:54" x14ac:dyDescent="0.3">
      <c r="A13899" s="66"/>
      <c r="B13899" s="67"/>
      <c r="C13899" s="66"/>
      <c r="D13899" s="68"/>
      <c r="E13899" s="10"/>
      <c r="F13899" s="69"/>
      <c r="G13899" s="68"/>
      <c r="H13899" s="70"/>
      <c r="BA13899" s="4"/>
      <c r="BB13899" s="4"/>
    </row>
    <row r="13900" spans="1:54" x14ac:dyDescent="0.3">
      <c r="A13900" s="66"/>
      <c r="B13900" s="67"/>
      <c r="C13900" s="66"/>
      <c r="D13900" s="68"/>
      <c r="E13900" s="10"/>
      <c r="F13900" s="69"/>
      <c r="G13900" s="68"/>
      <c r="H13900" s="70"/>
      <c r="BA13900" s="4"/>
      <c r="BB13900" s="4"/>
    </row>
    <row r="13901" spans="1:54" x14ac:dyDescent="0.3">
      <c r="A13901" s="66"/>
      <c r="B13901" s="67"/>
      <c r="C13901" s="66"/>
      <c r="D13901" s="68"/>
      <c r="E13901" s="10"/>
      <c r="F13901" s="69"/>
      <c r="G13901" s="68"/>
      <c r="H13901" s="70"/>
      <c r="BA13901" s="4"/>
      <c r="BB13901" s="4"/>
    </row>
    <row r="13902" spans="1:54" x14ac:dyDescent="0.3">
      <c r="A13902" s="66"/>
      <c r="B13902" s="67"/>
      <c r="C13902" s="66"/>
      <c r="D13902" s="68"/>
      <c r="E13902" s="10"/>
      <c r="F13902" s="69"/>
      <c r="G13902" s="68"/>
      <c r="H13902" s="70"/>
      <c r="BA13902" s="4"/>
      <c r="BB13902" s="4"/>
    </row>
    <row r="13903" spans="1:54" x14ac:dyDescent="0.3">
      <c r="A13903" s="66"/>
      <c r="B13903" s="67"/>
      <c r="C13903" s="66"/>
      <c r="D13903" s="68"/>
      <c r="E13903" s="10"/>
      <c r="F13903" s="69"/>
      <c r="G13903" s="68"/>
      <c r="H13903" s="70"/>
      <c r="BA13903" s="4"/>
      <c r="BB13903" s="4"/>
    </row>
    <row r="13904" spans="1:54" x14ac:dyDescent="0.3">
      <c r="A13904" s="66"/>
      <c r="B13904" s="67"/>
      <c r="C13904" s="66"/>
      <c r="D13904" s="68"/>
      <c r="E13904" s="10"/>
      <c r="F13904" s="69"/>
      <c r="G13904" s="68"/>
      <c r="H13904" s="70"/>
      <c r="BA13904" s="4"/>
      <c r="BB13904" s="4"/>
    </row>
    <row r="13905" spans="1:54" x14ac:dyDescent="0.3">
      <c r="A13905" s="66"/>
      <c r="B13905" s="67"/>
      <c r="C13905" s="66"/>
      <c r="D13905" s="68"/>
      <c r="E13905" s="10"/>
      <c r="F13905" s="69"/>
      <c r="G13905" s="68"/>
      <c r="H13905" s="70"/>
      <c r="BA13905" s="4"/>
      <c r="BB13905" s="4"/>
    </row>
    <row r="13906" spans="1:54" x14ac:dyDescent="0.3">
      <c r="A13906" s="66"/>
      <c r="B13906" s="67"/>
      <c r="C13906" s="66"/>
      <c r="D13906" s="68"/>
      <c r="E13906" s="10"/>
      <c r="F13906" s="69"/>
      <c r="G13906" s="68"/>
      <c r="H13906" s="70"/>
      <c r="BA13906" s="4"/>
      <c r="BB13906" s="4"/>
    </row>
    <row r="13907" spans="1:54" x14ac:dyDescent="0.3">
      <c r="A13907" s="66"/>
      <c r="B13907" s="67"/>
      <c r="C13907" s="66"/>
      <c r="D13907" s="68"/>
      <c r="E13907" s="10"/>
      <c r="F13907" s="69"/>
      <c r="G13907" s="68"/>
      <c r="H13907" s="70"/>
      <c r="BA13907" s="4"/>
      <c r="BB13907" s="4"/>
    </row>
    <row r="13908" spans="1:54" x14ac:dyDescent="0.3">
      <c r="A13908" s="66"/>
      <c r="B13908" s="67"/>
      <c r="C13908" s="66"/>
      <c r="D13908" s="68"/>
      <c r="E13908" s="10"/>
      <c r="F13908" s="69"/>
      <c r="G13908" s="68"/>
      <c r="H13908" s="70"/>
      <c r="BA13908" s="4"/>
      <c r="BB13908" s="4"/>
    </row>
    <row r="13909" spans="1:54" x14ac:dyDescent="0.3">
      <c r="A13909" s="66"/>
      <c r="B13909" s="67"/>
      <c r="C13909" s="66"/>
      <c r="D13909" s="68"/>
      <c r="E13909" s="10"/>
      <c r="F13909" s="69"/>
      <c r="G13909" s="68"/>
      <c r="H13909" s="70"/>
      <c r="BA13909" s="4"/>
      <c r="BB13909" s="4"/>
    </row>
    <row r="13910" spans="1:54" x14ac:dyDescent="0.3">
      <c r="A13910" s="66"/>
      <c r="B13910" s="67"/>
      <c r="C13910" s="66"/>
      <c r="D13910" s="68"/>
      <c r="E13910" s="10"/>
      <c r="F13910" s="69"/>
      <c r="G13910" s="68"/>
      <c r="H13910" s="70"/>
      <c r="BA13910" s="4"/>
      <c r="BB13910" s="4"/>
    </row>
    <row r="13911" spans="1:54" x14ac:dyDescent="0.3">
      <c r="A13911" s="66"/>
      <c r="B13911" s="67"/>
      <c r="C13911" s="66"/>
      <c r="D13911" s="68"/>
      <c r="E13911" s="10"/>
      <c r="F13911" s="69"/>
      <c r="G13911" s="68"/>
      <c r="H13911" s="70"/>
      <c r="BA13911" s="4"/>
      <c r="BB13911" s="4"/>
    </row>
    <row r="13912" spans="1:54" x14ac:dyDescent="0.3">
      <c r="A13912" s="66"/>
      <c r="B13912" s="67"/>
      <c r="C13912" s="66"/>
      <c r="D13912" s="68"/>
      <c r="E13912" s="10"/>
      <c r="F13912" s="69"/>
      <c r="G13912" s="68"/>
      <c r="H13912" s="70"/>
      <c r="BA13912" s="4"/>
      <c r="BB13912" s="4"/>
    </row>
    <row r="13913" spans="1:54" x14ac:dyDescent="0.3">
      <c r="A13913" s="66"/>
      <c r="B13913" s="67"/>
      <c r="C13913" s="66"/>
      <c r="D13913" s="68"/>
      <c r="E13913" s="10"/>
      <c r="F13913" s="69"/>
      <c r="G13913" s="68"/>
      <c r="H13913" s="70"/>
      <c r="BA13913" s="4"/>
      <c r="BB13913" s="4"/>
    </row>
    <row r="13914" spans="1:54" x14ac:dyDescent="0.3">
      <c r="A13914" s="66"/>
      <c r="B13914" s="67"/>
      <c r="C13914" s="66"/>
      <c r="D13914" s="68"/>
      <c r="E13914" s="10"/>
      <c r="F13914" s="69"/>
      <c r="G13914" s="68"/>
      <c r="H13914" s="70"/>
      <c r="BA13914" s="4"/>
      <c r="BB13914" s="4"/>
    </row>
    <row r="13915" spans="1:54" x14ac:dyDescent="0.3">
      <c r="A13915" s="66"/>
      <c r="B13915" s="67"/>
      <c r="C13915" s="66"/>
      <c r="D13915" s="68"/>
      <c r="E13915" s="10"/>
      <c r="F13915" s="69"/>
      <c r="G13915" s="68"/>
      <c r="H13915" s="70"/>
      <c r="BA13915" s="4"/>
      <c r="BB13915" s="4"/>
    </row>
    <row r="13916" spans="1:54" x14ac:dyDescent="0.3">
      <c r="A13916" s="66"/>
      <c r="B13916" s="67"/>
      <c r="C13916" s="66"/>
      <c r="D13916" s="68"/>
      <c r="E13916" s="10"/>
      <c r="F13916" s="69"/>
      <c r="G13916" s="68"/>
      <c r="H13916" s="70"/>
      <c r="BA13916" s="4"/>
      <c r="BB13916" s="4"/>
    </row>
    <row r="13917" spans="1:54" x14ac:dyDescent="0.3">
      <c r="A13917" s="66"/>
      <c r="B13917" s="67"/>
      <c r="C13917" s="66"/>
      <c r="D13917" s="68"/>
      <c r="E13917" s="10"/>
      <c r="F13917" s="69"/>
      <c r="G13917" s="68"/>
      <c r="H13917" s="70"/>
      <c r="BA13917" s="4"/>
      <c r="BB13917" s="4"/>
    </row>
    <row r="13918" spans="1:54" x14ac:dyDescent="0.3">
      <c r="A13918" s="66"/>
      <c r="B13918" s="67"/>
      <c r="C13918" s="66"/>
      <c r="D13918" s="68"/>
      <c r="E13918" s="10"/>
      <c r="F13918" s="69"/>
      <c r="G13918" s="68"/>
      <c r="H13918" s="70"/>
      <c r="BA13918" s="4"/>
      <c r="BB13918" s="4"/>
    </row>
    <row r="13919" spans="1:54" x14ac:dyDescent="0.3">
      <c r="A13919" s="66"/>
      <c r="B13919" s="67"/>
      <c r="C13919" s="66"/>
      <c r="D13919" s="68"/>
      <c r="E13919" s="10"/>
      <c r="F13919" s="69"/>
      <c r="G13919" s="68"/>
      <c r="H13919" s="70"/>
      <c r="BA13919" s="4"/>
      <c r="BB13919" s="4"/>
    </row>
    <row r="13920" spans="1:54" x14ac:dyDescent="0.3">
      <c r="A13920" s="66"/>
      <c r="B13920" s="67"/>
      <c r="C13920" s="66"/>
      <c r="D13920" s="68"/>
      <c r="E13920" s="10"/>
      <c r="F13920" s="69"/>
      <c r="G13920" s="68"/>
      <c r="H13920" s="70"/>
      <c r="BA13920" s="4"/>
      <c r="BB13920" s="4"/>
    </row>
    <row r="13921" spans="1:54" x14ac:dyDescent="0.3">
      <c r="A13921" s="66"/>
      <c r="B13921" s="67"/>
      <c r="C13921" s="66"/>
      <c r="D13921" s="68"/>
      <c r="E13921" s="10"/>
      <c r="F13921" s="69"/>
      <c r="G13921" s="68"/>
      <c r="H13921" s="70"/>
      <c r="BA13921" s="4"/>
      <c r="BB13921" s="4"/>
    </row>
    <row r="13922" spans="1:54" x14ac:dyDescent="0.3">
      <c r="A13922" s="66"/>
      <c r="B13922" s="67"/>
      <c r="C13922" s="66"/>
      <c r="D13922" s="68"/>
      <c r="E13922" s="10"/>
      <c r="F13922" s="69"/>
      <c r="G13922" s="68"/>
      <c r="H13922" s="70"/>
      <c r="BA13922" s="4"/>
      <c r="BB13922" s="4"/>
    </row>
    <row r="13923" spans="1:54" x14ac:dyDescent="0.3">
      <c r="A13923" s="66"/>
      <c r="B13923" s="67"/>
      <c r="C13923" s="66"/>
      <c r="D13923" s="68"/>
      <c r="E13923" s="10"/>
      <c r="F13923" s="69"/>
      <c r="G13923" s="68"/>
      <c r="H13923" s="70"/>
      <c r="BA13923" s="4"/>
      <c r="BB13923" s="4"/>
    </row>
    <row r="13924" spans="1:54" x14ac:dyDescent="0.3">
      <c r="A13924" s="66"/>
      <c r="B13924" s="67"/>
      <c r="C13924" s="66"/>
      <c r="D13924" s="68"/>
      <c r="E13924" s="10"/>
      <c r="F13924" s="69"/>
      <c r="G13924" s="68"/>
      <c r="H13924" s="70"/>
      <c r="BA13924" s="4"/>
      <c r="BB13924" s="4"/>
    </row>
    <row r="13925" spans="1:54" x14ac:dyDescent="0.3">
      <c r="A13925" s="66"/>
      <c r="B13925" s="67"/>
      <c r="C13925" s="66"/>
      <c r="D13925" s="68"/>
      <c r="E13925" s="10"/>
      <c r="F13925" s="69"/>
      <c r="G13925" s="68"/>
      <c r="H13925" s="70"/>
      <c r="BA13925" s="4"/>
      <c r="BB13925" s="4"/>
    </row>
    <row r="13926" spans="1:54" x14ac:dyDescent="0.3">
      <c r="A13926" s="66"/>
      <c r="B13926" s="67"/>
      <c r="C13926" s="66"/>
      <c r="D13926" s="68"/>
      <c r="E13926" s="10"/>
      <c r="F13926" s="69"/>
      <c r="G13926" s="68"/>
      <c r="H13926" s="70"/>
      <c r="BA13926" s="4"/>
      <c r="BB13926" s="4"/>
    </row>
    <row r="13927" spans="1:54" x14ac:dyDescent="0.3">
      <c r="A13927" s="66"/>
      <c r="B13927" s="67"/>
      <c r="C13927" s="66"/>
      <c r="D13927" s="68"/>
      <c r="E13927" s="10"/>
      <c r="F13927" s="69"/>
      <c r="G13927" s="68"/>
      <c r="H13927" s="70"/>
      <c r="BA13927" s="4"/>
      <c r="BB13927" s="4"/>
    </row>
    <row r="13928" spans="1:54" x14ac:dyDescent="0.3">
      <c r="A13928" s="66"/>
      <c r="B13928" s="67"/>
      <c r="C13928" s="66"/>
      <c r="D13928" s="68"/>
      <c r="E13928" s="10"/>
      <c r="F13928" s="69"/>
      <c r="G13928" s="68"/>
      <c r="H13928" s="70"/>
      <c r="BA13928" s="4"/>
      <c r="BB13928" s="4"/>
    </row>
    <row r="13929" spans="1:54" x14ac:dyDescent="0.3">
      <c r="A13929" s="66"/>
      <c r="B13929" s="67"/>
      <c r="C13929" s="66"/>
      <c r="D13929" s="68"/>
      <c r="E13929" s="10"/>
      <c r="F13929" s="69"/>
      <c r="G13929" s="68"/>
      <c r="H13929" s="70"/>
      <c r="BA13929" s="4"/>
      <c r="BB13929" s="4"/>
    </row>
    <row r="13930" spans="1:54" x14ac:dyDescent="0.3">
      <c r="A13930" s="66"/>
      <c r="B13930" s="67"/>
      <c r="C13930" s="66"/>
      <c r="D13930" s="68"/>
      <c r="E13930" s="10"/>
      <c r="F13930" s="69"/>
      <c r="G13930" s="68"/>
      <c r="H13930" s="70"/>
      <c r="BA13930" s="4"/>
      <c r="BB13930" s="4"/>
    </row>
    <row r="13931" spans="1:54" x14ac:dyDescent="0.3">
      <c r="A13931" s="66"/>
      <c r="B13931" s="67"/>
      <c r="C13931" s="66"/>
      <c r="D13931" s="68"/>
      <c r="E13931" s="10"/>
      <c r="F13931" s="69"/>
      <c r="G13931" s="68"/>
      <c r="H13931" s="70"/>
      <c r="BA13931" s="4"/>
      <c r="BB13931" s="4"/>
    </row>
    <row r="13932" spans="1:54" x14ac:dyDescent="0.3">
      <c r="A13932" s="66"/>
      <c r="B13932" s="67"/>
      <c r="C13932" s="66"/>
      <c r="D13932" s="68"/>
      <c r="E13932" s="10"/>
      <c r="F13932" s="69"/>
      <c r="G13932" s="68"/>
      <c r="H13932" s="70"/>
      <c r="BA13932" s="4"/>
      <c r="BB13932" s="4"/>
    </row>
    <row r="13933" spans="1:54" x14ac:dyDescent="0.3">
      <c r="A13933" s="66"/>
      <c r="B13933" s="67"/>
      <c r="C13933" s="66"/>
      <c r="D13933" s="68"/>
      <c r="E13933" s="10"/>
      <c r="F13933" s="69"/>
      <c r="G13933" s="68"/>
      <c r="H13933" s="70"/>
      <c r="BA13933" s="4"/>
      <c r="BB13933" s="4"/>
    </row>
    <row r="13934" spans="1:54" x14ac:dyDescent="0.3">
      <c r="A13934" s="66"/>
      <c r="B13934" s="67"/>
      <c r="C13934" s="66"/>
      <c r="D13934" s="68"/>
      <c r="E13934" s="10"/>
      <c r="F13934" s="69"/>
      <c r="G13934" s="68"/>
      <c r="H13934" s="70"/>
      <c r="BA13934" s="4"/>
      <c r="BB13934" s="4"/>
    </row>
    <row r="13935" spans="1:54" x14ac:dyDescent="0.3">
      <c r="A13935" s="66"/>
      <c r="B13935" s="67"/>
      <c r="C13935" s="66"/>
      <c r="D13935" s="68"/>
      <c r="E13935" s="10"/>
      <c r="F13935" s="69"/>
      <c r="G13935" s="68"/>
      <c r="H13935" s="70"/>
      <c r="BA13935" s="4"/>
      <c r="BB13935" s="4"/>
    </row>
    <row r="13936" spans="1:54" x14ac:dyDescent="0.3">
      <c r="A13936" s="66"/>
      <c r="B13936" s="67"/>
      <c r="C13936" s="66"/>
      <c r="D13936" s="68"/>
      <c r="E13936" s="10"/>
      <c r="F13936" s="69"/>
      <c r="G13936" s="68"/>
      <c r="H13936" s="70"/>
      <c r="BA13936" s="4"/>
      <c r="BB13936" s="4"/>
    </row>
    <row r="13937" spans="1:54" x14ac:dyDescent="0.3">
      <c r="A13937" s="66"/>
      <c r="B13937" s="67"/>
      <c r="C13937" s="66"/>
      <c r="D13937" s="68"/>
      <c r="E13937" s="10"/>
      <c r="F13937" s="69"/>
      <c r="G13937" s="68"/>
      <c r="H13937" s="70"/>
      <c r="BA13937" s="4"/>
      <c r="BB13937" s="4"/>
    </row>
    <row r="13938" spans="1:54" x14ac:dyDescent="0.3">
      <c r="A13938" s="66"/>
      <c r="B13938" s="67"/>
      <c r="C13938" s="66"/>
      <c r="D13938" s="68"/>
      <c r="E13938" s="10"/>
      <c r="F13938" s="69"/>
      <c r="G13938" s="68"/>
      <c r="H13938" s="70"/>
      <c r="BA13938" s="4"/>
      <c r="BB13938" s="4"/>
    </row>
    <row r="13939" spans="1:54" x14ac:dyDescent="0.3">
      <c r="A13939" s="66"/>
      <c r="B13939" s="67"/>
      <c r="C13939" s="66"/>
      <c r="D13939" s="68"/>
      <c r="E13939" s="10"/>
      <c r="F13939" s="69"/>
      <c r="G13939" s="68"/>
      <c r="H13939" s="70"/>
      <c r="BA13939" s="4"/>
      <c r="BB13939" s="4"/>
    </row>
    <row r="13940" spans="1:54" x14ac:dyDescent="0.3">
      <c r="A13940" s="66"/>
      <c r="B13940" s="67"/>
      <c r="C13940" s="66"/>
      <c r="D13940" s="68"/>
      <c r="E13940" s="10"/>
      <c r="F13940" s="69"/>
      <c r="G13940" s="68"/>
      <c r="H13940" s="70"/>
      <c r="BA13940" s="4"/>
      <c r="BB13940" s="4"/>
    </row>
    <row r="13941" spans="1:54" x14ac:dyDescent="0.3">
      <c r="A13941" s="66"/>
      <c r="B13941" s="67"/>
      <c r="C13941" s="66"/>
      <c r="D13941" s="68"/>
      <c r="E13941" s="10"/>
      <c r="F13941" s="69"/>
      <c r="G13941" s="68"/>
      <c r="H13941" s="70"/>
      <c r="BA13941" s="4"/>
      <c r="BB13941" s="4"/>
    </row>
    <row r="13942" spans="1:54" x14ac:dyDescent="0.3">
      <c r="A13942" s="66"/>
      <c r="B13942" s="67"/>
      <c r="C13942" s="66"/>
      <c r="D13942" s="68"/>
      <c r="E13942" s="10"/>
      <c r="F13942" s="69"/>
      <c r="G13942" s="68"/>
      <c r="H13942" s="70"/>
      <c r="BA13942" s="4"/>
      <c r="BB13942" s="4"/>
    </row>
    <row r="13943" spans="1:54" x14ac:dyDescent="0.3">
      <c r="A13943" s="66"/>
      <c r="B13943" s="67"/>
      <c r="C13943" s="66"/>
      <c r="D13943" s="68"/>
      <c r="E13943" s="10"/>
      <c r="F13943" s="69"/>
      <c r="G13943" s="68"/>
      <c r="H13943" s="70"/>
      <c r="BA13943" s="4"/>
      <c r="BB13943" s="4"/>
    </row>
    <row r="13944" spans="1:54" x14ac:dyDescent="0.3">
      <c r="A13944" s="66"/>
      <c r="B13944" s="67"/>
      <c r="C13944" s="66"/>
      <c r="D13944" s="68"/>
      <c r="E13944" s="10"/>
      <c r="F13944" s="69"/>
      <c r="G13944" s="68"/>
      <c r="H13944" s="70"/>
      <c r="BA13944" s="4"/>
      <c r="BB13944" s="4"/>
    </row>
    <row r="13945" spans="1:54" x14ac:dyDescent="0.3">
      <c r="A13945" s="66"/>
      <c r="B13945" s="67"/>
      <c r="C13945" s="66"/>
      <c r="D13945" s="68"/>
      <c r="E13945" s="10"/>
      <c r="F13945" s="69"/>
      <c r="G13945" s="68"/>
      <c r="H13945" s="70"/>
      <c r="BA13945" s="4"/>
      <c r="BB13945" s="4"/>
    </row>
    <row r="13946" spans="1:54" x14ac:dyDescent="0.3">
      <c r="A13946" s="66"/>
      <c r="B13946" s="67"/>
      <c r="C13946" s="66"/>
      <c r="D13946" s="68"/>
      <c r="E13946" s="10"/>
      <c r="F13946" s="69"/>
      <c r="G13946" s="68"/>
      <c r="H13946" s="70"/>
      <c r="BA13946" s="4"/>
      <c r="BB13946" s="4"/>
    </row>
    <row r="13947" spans="1:54" x14ac:dyDescent="0.3">
      <c r="A13947" s="66"/>
      <c r="B13947" s="67"/>
      <c r="C13947" s="66"/>
      <c r="D13947" s="68"/>
      <c r="E13947" s="10"/>
      <c r="F13947" s="69"/>
      <c r="G13947" s="68"/>
      <c r="H13947" s="70"/>
      <c r="BA13947" s="4"/>
      <c r="BB13947" s="4"/>
    </row>
    <row r="13948" spans="1:54" x14ac:dyDescent="0.3">
      <c r="A13948" s="66"/>
      <c r="B13948" s="67"/>
      <c r="C13948" s="66"/>
      <c r="D13948" s="68"/>
      <c r="E13948" s="10"/>
      <c r="F13948" s="69"/>
      <c r="G13948" s="68"/>
      <c r="H13948" s="70"/>
      <c r="BA13948" s="4"/>
      <c r="BB13948" s="4"/>
    </row>
    <row r="13949" spans="1:54" x14ac:dyDescent="0.3">
      <c r="A13949" s="66"/>
      <c r="B13949" s="67"/>
      <c r="C13949" s="66"/>
      <c r="D13949" s="68"/>
      <c r="E13949" s="10"/>
      <c r="F13949" s="69"/>
      <c r="G13949" s="68"/>
      <c r="H13949" s="70"/>
      <c r="BA13949" s="4"/>
      <c r="BB13949" s="4"/>
    </row>
    <row r="13950" spans="1:54" x14ac:dyDescent="0.3">
      <c r="A13950" s="66"/>
      <c r="B13950" s="67"/>
      <c r="C13950" s="66"/>
      <c r="D13950" s="68"/>
      <c r="E13950" s="10"/>
      <c r="F13950" s="69"/>
      <c r="G13950" s="68"/>
      <c r="H13950" s="70"/>
      <c r="BA13950" s="4"/>
      <c r="BB13950" s="4"/>
    </row>
    <row r="13951" spans="1:54" x14ac:dyDescent="0.3">
      <c r="A13951" s="66"/>
      <c r="B13951" s="67"/>
      <c r="C13951" s="66"/>
      <c r="D13951" s="68"/>
      <c r="E13951" s="10"/>
      <c r="F13951" s="69"/>
      <c r="G13951" s="68"/>
      <c r="H13951" s="70"/>
      <c r="BA13951" s="4"/>
      <c r="BB13951" s="4"/>
    </row>
    <row r="13952" spans="1:54" x14ac:dyDescent="0.3">
      <c r="A13952" s="66"/>
      <c r="B13952" s="67"/>
      <c r="C13952" s="66"/>
      <c r="D13952" s="68"/>
      <c r="E13952" s="10"/>
      <c r="F13952" s="69"/>
      <c r="G13952" s="68"/>
      <c r="H13952" s="70"/>
      <c r="BA13952" s="4"/>
      <c r="BB13952" s="4"/>
    </row>
    <row r="13953" spans="1:54" x14ac:dyDescent="0.3">
      <c r="A13953" s="66"/>
      <c r="B13953" s="67"/>
      <c r="C13953" s="66"/>
      <c r="D13953" s="68"/>
      <c r="E13953" s="10"/>
      <c r="F13953" s="69"/>
      <c r="G13953" s="68"/>
      <c r="H13953" s="70"/>
      <c r="BA13953" s="4"/>
      <c r="BB13953" s="4"/>
    </row>
    <row r="13954" spans="1:54" x14ac:dyDescent="0.3">
      <c r="A13954" s="66"/>
      <c r="B13954" s="67"/>
      <c r="C13954" s="66"/>
      <c r="D13954" s="68"/>
      <c r="E13954" s="10"/>
      <c r="F13954" s="69"/>
      <c r="G13954" s="68"/>
      <c r="H13954" s="70"/>
      <c r="BA13954" s="4"/>
      <c r="BB13954" s="4"/>
    </row>
    <row r="13955" spans="1:54" x14ac:dyDescent="0.3">
      <c r="A13955" s="66"/>
      <c r="B13955" s="67"/>
      <c r="C13955" s="66"/>
      <c r="D13955" s="68"/>
      <c r="E13955" s="10"/>
      <c r="F13955" s="69"/>
      <c r="G13955" s="68"/>
      <c r="H13955" s="70"/>
      <c r="BA13955" s="4"/>
      <c r="BB13955" s="4"/>
    </row>
    <row r="13956" spans="1:54" x14ac:dyDescent="0.3">
      <c r="A13956" s="66"/>
      <c r="B13956" s="67"/>
      <c r="C13956" s="66"/>
      <c r="D13956" s="68"/>
      <c r="E13956" s="10"/>
      <c r="F13956" s="69"/>
      <c r="G13956" s="68"/>
      <c r="H13956" s="70"/>
      <c r="BA13956" s="4"/>
      <c r="BB13956" s="4"/>
    </row>
    <row r="13957" spans="1:54" x14ac:dyDescent="0.3">
      <c r="A13957" s="66"/>
      <c r="B13957" s="67"/>
      <c r="C13957" s="66"/>
      <c r="D13957" s="68"/>
      <c r="E13957" s="10"/>
      <c r="F13957" s="69"/>
      <c r="G13957" s="68"/>
      <c r="H13957" s="70"/>
      <c r="BA13957" s="4"/>
      <c r="BB13957" s="4"/>
    </row>
    <row r="13958" spans="1:54" x14ac:dyDescent="0.3">
      <c r="A13958" s="66"/>
      <c r="B13958" s="67"/>
      <c r="C13958" s="66"/>
      <c r="D13958" s="68"/>
      <c r="E13958" s="10"/>
      <c r="F13958" s="69"/>
      <c r="G13958" s="68"/>
      <c r="H13958" s="70"/>
      <c r="BA13958" s="4"/>
      <c r="BB13958" s="4"/>
    </row>
    <row r="13959" spans="1:54" x14ac:dyDescent="0.3">
      <c r="A13959" s="66"/>
      <c r="B13959" s="67"/>
      <c r="C13959" s="66"/>
      <c r="D13959" s="68"/>
      <c r="E13959" s="10"/>
      <c r="F13959" s="69"/>
      <c r="G13959" s="68"/>
      <c r="H13959" s="70"/>
      <c r="BA13959" s="4"/>
      <c r="BB13959" s="4"/>
    </row>
    <row r="13960" spans="1:54" x14ac:dyDescent="0.3">
      <c r="A13960" s="66"/>
      <c r="B13960" s="67"/>
      <c r="C13960" s="66"/>
      <c r="D13960" s="68"/>
      <c r="E13960" s="10"/>
      <c r="F13960" s="69"/>
      <c r="G13960" s="68"/>
      <c r="H13960" s="70"/>
      <c r="BA13960" s="4"/>
      <c r="BB13960" s="4"/>
    </row>
    <row r="13961" spans="1:54" x14ac:dyDescent="0.3">
      <c r="A13961" s="66"/>
      <c r="B13961" s="67"/>
      <c r="C13961" s="66"/>
      <c r="D13961" s="68"/>
      <c r="E13961" s="10"/>
      <c r="F13961" s="69"/>
      <c r="G13961" s="68"/>
      <c r="H13961" s="70"/>
      <c r="BA13961" s="4"/>
      <c r="BB13961" s="4"/>
    </row>
    <row r="13962" spans="1:54" x14ac:dyDescent="0.3">
      <c r="A13962" s="66"/>
      <c r="B13962" s="67"/>
      <c r="C13962" s="66"/>
      <c r="D13962" s="68"/>
      <c r="E13962" s="10"/>
      <c r="F13962" s="69"/>
      <c r="G13962" s="68"/>
      <c r="H13962" s="70"/>
      <c r="BA13962" s="4"/>
      <c r="BB13962" s="4"/>
    </row>
    <row r="13963" spans="1:54" x14ac:dyDescent="0.3">
      <c r="A13963" s="66"/>
      <c r="B13963" s="67"/>
      <c r="C13963" s="66"/>
      <c r="D13963" s="68"/>
      <c r="E13963" s="10"/>
      <c r="F13963" s="69"/>
      <c r="G13963" s="68"/>
      <c r="H13963" s="70"/>
      <c r="BA13963" s="4"/>
      <c r="BB13963" s="4"/>
    </row>
    <row r="13964" spans="1:54" x14ac:dyDescent="0.3">
      <c r="A13964" s="66"/>
      <c r="B13964" s="67"/>
      <c r="C13964" s="66"/>
      <c r="D13964" s="68"/>
      <c r="E13964" s="10"/>
      <c r="F13964" s="69"/>
      <c r="G13964" s="68"/>
      <c r="H13964" s="70"/>
      <c r="BA13964" s="4"/>
      <c r="BB13964" s="4"/>
    </row>
    <row r="13965" spans="1:54" x14ac:dyDescent="0.3">
      <c r="A13965" s="66"/>
      <c r="B13965" s="67"/>
      <c r="C13965" s="66"/>
      <c r="D13965" s="68"/>
      <c r="E13965" s="10"/>
      <c r="F13965" s="69"/>
      <c r="G13965" s="68"/>
      <c r="H13965" s="70"/>
      <c r="BA13965" s="4"/>
      <c r="BB13965" s="4"/>
    </row>
    <row r="13966" spans="1:54" x14ac:dyDescent="0.3">
      <c r="A13966" s="66"/>
      <c r="B13966" s="67"/>
      <c r="C13966" s="66"/>
      <c r="D13966" s="68"/>
      <c r="E13966" s="10"/>
      <c r="F13966" s="69"/>
      <c r="G13966" s="68"/>
      <c r="H13966" s="70"/>
      <c r="BA13966" s="4"/>
      <c r="BB13966" s="4"/>
    </row>
    <row r="13967" spans="1:54" x14ac:dyDescent="0.3">
      <c r="A13967" s="66"/>
      <c r="B13967" s="67"/>
      <c r="C13967" s="66"/>
      <c r="D13967" s="68"/>
      <c r="E13967" s="10"/>
      <c r="F13967" s="69"/>
      <c r="G13967" s="68"/>
      <c r="H13967" s="70"/>
      <c r="BA13967" s="4"/>
      <c r="BB13967" s="4"/>
    </row>
    <row r="13968" spans="1:54" x14ac:dyDescent="0.3">
      <c r="A13968" s="66"/>
      <c r="B13968" s="67"/>
      <c r="C13968" s="66"/>
      <c r="D13968" s="68"/>
      <c r="E13968" s="10"/>
      <c r="F13968" s="69"/>
      <c r="G13968" s="68"/>
      <c r="H13968" s="70"/>
      <c r="BA13968" s="4"/>
      <c r="BB13968" s="4"/>
    </row>
    <row r="13969" spans="1:54" x14ac:dyDescent="0.3">
      <c r="A13969" s="66"/>
      <c r="B13969" s="67"/>
      <c r="C13969" s="66"/>
      <c r="D13969" s="68"/>
      <c r="E13969" s="10"/>
      <c r="F13969" s="69"/>
      <c r="G13969" s="68"/>
      <c r="H13969" s="70"/>
      <c r="BA13969" s="4"/>
      <c r="BB13969" s="4"/>
    </row>
    <row r="13970" spans="1:54" x14ac:dyDescent="0.3">
      <c r="A13970" s="66"/>
      <c r="B13970" s="67"/>
      <c r="C13970" s="66"/>
      <c r="D13970" s="68"/>
      <c r="E13970" s="10"/>
      <c r="F13970" s="69"/>
      <c r="G13970" s="68"/>
      <c r="H13970" s="70"/>
      <c r="BA13970" s="4"/>
      <c r="BB13970" s="4"/>
    </row>
    <row r="13971" spans="1:54" x14ac:dyDescent="0.3">
      <c r="A13971" s="66"/>
      <c r="B13971" s="67"/>
      <c r="C13971" s="66"/>
      <c r="D13971" s="68"/>
      <c r="E13971" s="10"/>
      <c r="F13971" s="69"/>
      <c r="G13971" s="68"/>
      <c r="H13971" s="70"/>
      <c r="BA13971" s="4"/>
      <c r="BB13971" s="4"/>
    </row>
    <row r="13972" spans="1:54" x14ac:dyDescent="0.3">
      <c r="A13972" s="66"/>
      <c r="B13972" s="67"/>
      <c r="C13972" s="66"/>
      <c r="D13972" s="68"/>
      <c r="E13972" s="10"/>
      <c r="F13972" s="69"/>
      <c r="G13972" s="68"/>
      <c r="H13972" s="70"/>
      <c r="BA13972" s="4"/>
      <c r="BB13972" s="4"/>
    </row>
    <row r="13973" spans="1:54" x14ac:dyDescent="0.3">
      <c r="A13973" s="66"/>
      <c r="B13973" s="67"/>
      <c r="C13973" s="66"/>
      <c r="D13973" s="68"/>
      <c r="E13973" s="10"/>
      <c r="F13973" s="69"/>
      <c r="G13973" s="68"/>
      <c r="H13973" s="70"/>
      <c r="BA13973" s="4"/>
      <c r="BB13973" s="4"/>
    </row>
    <row r="13974" spans="1:54" x14ac:dyDescent="0.3">
      <c r="A13974" s="66"/>
      <c r="B13974" s="67"/>
      <c r="C13974" s="66"/>
      <c r="D13974" s="68"/>
      <c r="E13974" s="10"/>
      <c r="F13974" s="69"/>
      <c r="G13974" s="68"/>
      <c r="H13974" s="70"/>
      <c r="BA13974" s="4"/>
      <c r="BB13974" s="4"/>
    </row>
    <row r="13975" spans="1:54" x14ac:dyDescent="0.3">
      <c r="A13975" s="66"/>
      <c r="B13975" s="67"/>
      <c r="C13975" s="66"/>
      <c r="D13975" s="68"/>
      <c r="E13975" s="10"/>
      <c r="F13975" s="69"/>
      <c r="G13975" s="68"/>
      <c r="H13975" s="70"/>
      <c r="BA13975" s="4"/>
      <c r="BB13975" s="4"/>
    </row>
    <row r="13976" spans="1:54" x14ac:dyDescent="0.3">
      <c r="A13976" s="66"/>
      <c r="B13976" s="67"/>
      <c r="C13976" s="66"/>
      <c r="D13976" s="68"/>
      <c r="E13976" s="10"/>
      <c r="F13976" s="69"/>
      <c r="G13976" s="68"/>
      <c r="H13976" s="70"/>
      <c r="BA13976" s="4"/>
      <c r="BB13976" s="4"/>
    </row>
    <row r="13977" spans="1:54" x14ac:dyDescent="0.3">
      <c r="A13977" s="66"/>
      <c r="B13977" s="67"/>
      <c r="C13977" s="66"/>
      <c r="D13977" s="68"/>
      <c r="E13977" s="10"/>
      <c r="F13977" s="69"/>
      <c r="G13977" s="68"/>
      <c r="H13977" s="70"/>
      <c r="BA13977" s="4"/>
      <c r="BB13977" s="4"/>
    </row>
    <row r="13978" spans="1:54" x14ac:dyDescent="0.3">
      <c r="A13978" s="66"/>
      <c r="B13978" s="67"/>
      <c r="C13978" s="66"/>
      <c r="D13978" s="68"/>
      <c r="E13978" s="10"/>
      <c r="F13978" s="69"/>
      <c r="G13978" s="68"/>
      <c r="H13978" s="70"/>
      <c r="BA13978" s="4"/>
      <c r="BB13978" s="4"/>
    </row>
    <row r="13979" spans="1:54" x14ac:dyDescent="0.3">
      <c r="A13979" s="66"/>
      <c r="B13979" s="67"/>
      <c r="C13979" s="66"/>
      <c r="D13979" s="68"/>
      <c r="E13979" s="10"/>
      <c r="F13979" s="69"/>
      <c r="G13979" s="68"/>
      <c r="H13979" s="70"/>
      <c r="BA13979" s="4"/>
      <c r="BB13979" s="4"/>
    </row>
    <row r="13980" spans="1:54" x14ac:dyDescent="0.3">
      <c r="A13980" s="66"/>
      <c r="B13980" s="67"/>
      <c r="C13980" s="66"/>
      <c r="D13980" s="68"/>
      <c r="E13980" s="10"/>
      <c r="F13980" s="69"/>
      <c r="G13980" s="68"/>
      <c r="H13980" s="70"/>
      <c r="BA13980" s="4"/>
      <c r="BB13980" s="4"/>
    </row>
    <row r="13981" spans="1:54" x14ac:dyDescent="0.3">
      <c r="A13981" s="66"/>
      <c r="B13981" s="67"/>
      <c r="C13981" s="66"/>
      <c r="D13981" s="68"/>
      <c r="E13981" s="10"/>
      <c r="F13981" s="69"/>
      <c r="G13981" s="68"/>
      <c r="H13981" s="70"/>
      <c r="BA13981" s="4"/>
      <c r="BB13981" s="4"/>
    </row>
    <row r="13982" spans="1:54" x14ac:dyDescent="0.3">
      <c r="A13982" s="66"/>
      <c r="B13982" s="67"/>
      <c r="C13982" s="66"/>
      <c r="D13982" s="68"/>
      <c r="E13982" s="10"/>
      <c r="F13982" s="69"/>
      <c r="G13982" s="68"/>
      <c r="H13982" s="70"/>
      <c r="BA13982" s="4"/>
      <c r="BB13982" s="4"/>
    </row>
    <row r="13983" spans="1:54" x14ac:dyDescent="0.3">
      <c r="A13983" s="66"/>
      <c r="B13983" s="67"/>
      <c r="C13983" s="66"/>
      <c r="D13983" s="68"/>
      <c r="E13983" s="10"/>
      <c r="F13983" s="69"/>
      <c r="G13983" s="68"/>
      <c r="H13983" s="70"/>
      <c r="BA13983" s="4"/>
      <c r="BB13983" s="4"/>
    </row>
    <row r="13984" spans="1:54" x14ac:dyDescent="0.3">
      <c r="A13984" s="66"/>
      <c r="B13984" s="67"/>
      <c r="C13984" s="66"/>
      <c r="D13984" s="68"/>
      <c r="E13984" s="10"/>
      <c r="F13984" s="69"/>
      <c r="G13984" s="68"/>
      <c r="H13984" s="70"/>
      <c r="BA13984" s="4"/>
      <c r="BB13984" s="4"/>
    </row>
    <row r="13985" spans="1:54" x14ac:dyDescent="0.3">
      <c r="A13985" s="66"/>
      <c r="B13985" s="67"/>
      <c r="C13985" s="66"/>
      <c r="D13985" s="68"/>
      <c r="E13985" s="10"/>
      <c r="F13985" s="69"/>
      <c r="G13985" s="68"/>
      <c r="H13985" s="70"/>
      <c r="BA13985" s="4"/>
      <c r="BB13985" s="4"/>
    </row>
    <row r="13986" spans="1:54" x14ac:dyDescent="0.3">
      <c r="A13986" s="66"/>
      <c r="B13986" s="67"/>
      <c r="C13986" s="66"/>
      <c r="D13986" s="68"/>
      <c r="E13986" s="10"/>
      <c r="F13986" s="69"/>
      <c r="G13986" s="68"/>
      <c r="H13986" s="70"/>
      <c r="BA13986" s="4"/>
      <c r="BB13986" s="4"/>
    </row>
    <row r="13987" spans="1:54" x14ac:dyDescent="0.3">
      <c r="A13987" s="66"/>
      <c r="B13987" s="67"/>
      <c r="C13987" s="66"/>
      <c r="D13987" s="68"/>
      <c r="E13987" s="10"/>
      <c r="F13987" s="69"/>
      <c r="G13987" s="68"/>
      <c r="H13987" s="70"/>
      <c r="BA13987" s="4"/>
      <c r="BB13987" s="4"/>
    </row>
    <row r="13988" spans="1:54" x14ac:dyDescent="0.3">
      <c r="A13988" s="66"/>
      <c r="B13988" s="67"/>
      <c r="C13988" s="66"/>
      <c r="D13988" s="68"/>
      <c r="E13988" s="10"/>
      <c r="F13988" s="69"/>
      <c r="G13988" s="68"/>
      <c r="H13988" s="70"/>
      <c r="BA13988" s="4"/>
      <c r="BB13988" s="4"/>
    </row>
    <row r="13989" spans="1:54" x14ac:dyDescent="0.3">
      <c r="A13989" s="66"/>
      <c r="B13989" s="67"/>
      <c r="C13989" s="66"/>
      <c r="D13989" s="68"/>
      <c r="E13989" s="10"/>
      <c r="F13989" s="69"/>
      <c r="G13989" s="68"/>
      <c r="H13989" s="70"/>
      <c r="BA13989" s="4"/>
      <c r="BB13989" s="4"/>
    </row>
    <row r="13990" spans="1:54" x14ac:dyDescent="0.3">
      <c r="A13990" s="66"/>
      <c r="B13990" s="67"/>
      <c r="C13990" s="66"/>
      <c r="D13990" s="68"/>
      <c r="E13990" s="10"/>
      <c r="F13990" s="69"/>
      <c r="G13990" s="68"/>
      <c r="H13990" s="70"/>
      <c r="BA13990" s="4"/>
      <c r="BB13990" s="4"/>
    </row>
    <row r="13991" spans="1:54" x14ac:dyDescent="0.3">
      <c r="A13991" s="66"/>
      <c r="B13991" s="67"/>
      <c r="C13991" s="66"/>
      <c r="D13991" s="68"/>
      <c r="E13991" s="10"/>
      <c r="F13991" s="69"/>
      <c r="G13991" s="68"/>
      <c r="H13991" s="70"/>
      <c r="BA13991" s="4"/>
      <c r="BB13991" s="4"/>
    </row>
    <row r="13992" spans="1:54" x14ac:dyDescent="0.3">
      <c r="A13992" s="66"/>
      <c r="B13992" s="67"/>
      <c r="C13992" s="66"/>
      <c r="D13992" s="68"/>
      <c r="E13992" s="10"/>
      <c r="F13992" s="69"/>
      <c r="G13992" s="68"/>
      <c r="H13992" s="70"/>
      <c r="BA13992" s="4"/>
      <c r="BB13992" s="4"/>
    </row>
    <row r="13993" spans="1:54" x14ac:dyDescent="0.3">
      <c r="A13993" s="66"/>
      <c r="B13993" s="67"/>
      <c r="C13993" s="66"/>
      <c r="D13993" s="68"/>
      <c r="E13993" s="10"/>
      <c r="F13993" s="69"/>
      <c r="G13993" s="68"/>
      <c r="H13993" s="70"/>
      <c r="BA13993" s="4"/>
      <c r="BB13993" s="4"/>
    </row>
    <row r="13994" spans="1:54" x14ac:dyDescent="0.3">
      <c r="A13994" s="66"/>
      <c r="B13994" s="67"/>
      <c r="C13994" s="66"/>
      <c r="D13994" s="68"/>
      <c r="E13994" s="10"/>
      <c r="F13994" s="69"/>
      <c r="G13994" s="68"/>
      <c r="H13994" s="70"/>
      <c r="BA13994" s="4"/>
      <c r="BB13994" s="4"/>
    </row>
    <row r="13995" spans="1:54" x14ac:dyDescent="0.3">
      <c r="A13995" s="66"/>
      <c r="B13995" s="67"/>
      <c r="C13995" s="66"/>
      <c r="D13995" s="68"/>
      <c r="E13995" s="10"/>
      <c r="F13995" s="69"/>
      <c r="G13995" s="68"/>
      <c r="H13995" s="70"/>
      <c r="BA13995" s="4"/>
      <c r="BB13995" s="4"/>
    </row>
    <row r="13996" spans="1:54" x14ac:dyDescent="0.3">
      <c r="A13996" s="66"/>
      <c r="B13996" s="67"/>
      <c r="C13996" s="66"/>
      <c r="D13996" s="68"/>
      <c r="E13996" s="10"/>
      <c r="F13996" s="69"/>
      <c r="G13996" s="68"/>
      <c r="H13996" s="70"/>
      <c r="BA13996" s="4"/>
      <c r="BB13996" s="4"/>
    </row>
    <row r="13997" spans="1:54" x14ac:dyDescent="0.3">
      <c r="A13997" s="66"/>
      <c r="B13997" s="67"/>
      <c r="C13997" s="66"/>
      <c r="D13997" s="68"/>
      <c r="E13997" s="10"/>
      <c r="F13997" s="69"/>
      <c r="G13997" s="68"/>
      <c r="H13997" s="70"/>
      <c r="BA13997" s="4"/>
      <c r="BB13997" s="4"/>
    </row>
    <row r="13998" spans="1:54" x14ac:dyDescent="0.3">
      <c r="A13998" s="66"/>
      <c r="B13998" s="67"/>
      <c r="C13998" s="66"/>
      <c r="D13998" s="68"/>
      <c r="E13998" s="10"/>
      <c r="F13998" s="69"/>
      <c r="G13998" s="68"/>
      <c r="H13998" s="70"/>
      <c r="BA13998" s="4"/>
      <c r="BB13998" s="4"/>
    </row>
    <row r="13999" spans="1:54" x14ac:dyDescent="0.3">
      <c r="A13999" s="66"/>
      <c r="B13999" s="67"/>
      <c r="C13999" s="66"/>
      <c r="D13999" s="68"/>
      <c r="E13999" s="10"/>
      <c r="F13999" s="69"/>
      <c r="G13999" s="68"/>
      <c r="H13999" s="70"/>
      <c r="BA13999" s="4"/>
      <c r="BB13999" s="4"/>
    </row>
    <row r="14000" spans="1:54" x14ac:dyDescent="0.3">
      <c r="A14000" s="66"/>
      <c r="B14000" s="67"/>
      <c r="C14000" s="66"/>
      <c r="D14000" s="68"/>
      <c r="E14000" s="10"/>
      <c r="F14000" s="69"/>
      <c r="G14000" s="68"/>
      <c r="H14000" s="70"/>
      <c r="BA14000" s="4"/>
      <c r="BB14000" s="4"/>
    </row>
    <row r="14001" spans="1:54" x14ac:dyDescent="0.3">
      <c r="A14001" s="66"/>
      <c r="B14001" s="67"/>
      <c r="C14001" s="66"/>
      <c r="D14001" s="68"/>
      <c r="E14001" s="10"/>
      <c r="F14001" s="69"/>
      <c r="G14001" s="68"/>
      <c r="H14001" s="70"/>
      <c r="BA14001" s="4"/>
      <c r="BB14001" s="4"/>
    </row>
    <row r="14002" spans="1:54" x14ac:dyDescent="0.3">
      <c r="A14002" s="66"/>
      <c r="B14002" s="67"/>
      <c r="C14002" s="66"/>
      <c r="D14002" s="68"/>
      <c r="E14002" s="10"/>
      <c r="F14002" s="69"/>
      <c r="G14002" s="68"/>
      <c r="H14002" s="70"/>
      <c r="BA14002" s="4"/>
      <c r="BB14002" s="4"/>
    </row>
    <row r="14003" spans="1:54" x14ac:dyDescent="0.3">
      <c r="A14003" s="66"/>
      <c r="B14003" s="67"/>
      <c r="C14003" s="66"/>
      <c r="D14003" s="68"/>
      <c r="E14003" s="10"/>
      <c r="F14003" s="69"/>
      <c r="G14003" s="68"/>
      <c r="H14003" s="70"/>
      <c r="BA14003" s="4"/>
      <c r="BB14003" s="4"/>
    </row>
    <row r="14004" spans="1:54" x14ac:dyDescent="0.3">
      <c r="A14004" s="66"/>
      <c r="B14004" s="67"/>
      <c r="C14004" s="66"/>
      <c r="D14004" s="68"/>
      <c r="E14004" s="10"/>
      <c r="F14004" s="69"/>
      <c r="G14004" s="68"/>
      <c r="H14004" s="70"/>
      <c r="BA14004" s="4"/>
      <c r="BB14004" s="4"/>
    </row>
    <row r="14005" spans="1:54" x14ac:dyDescent="0.3">
      <c r="A14005" s="66"/>
      <c r="B14005" s="67"/>
      <c r="C14005" s="66"/>
      <c r="D14005" s="68"/>
      <c r="E14005" s="10"/>
      <c r="F14005" s="69"/>
      <c r="G14005" s="68"/>
      <c r="H14005" s="70"/>
      <c r="BA14005" s="4"/>
      <c r="BB14005" s="4"/>
    </row>
    <row r="14006" spans="1:54" x14ac:dyDescent="0.3">
      <c r="A14006" s="66"/>
      <c r="B14006" s="67"/>
      <c r="C14006" s="66"/>
      <c r="D14006" s="68"/>
      <c r="E14006" s="10"/>
      <c r="F14006" s="69"/>
      <c r="G14006" s="68"/>
      <c r="H14006" s="70"/>
      <c r="BA14006" s="4"/>
      <c r="BB14006" s="4"/>
    </row>
    <row r="14007" spans="1:54" x14ac:dyDescent="0.3">
      <c r="A14007" s="66"/>
      <c r="B14007" s="67"/>
      <c r="C14007" s="66"/>
      <c r="D14007" s="68"/>
      <c r="E14007" s="10"/>
      <c r="F14007" s="69"/>
      <c r="G14007" s="68"/>
      <c r="H14007" s="70"/>
      <c r="BA14007" s="4"/>
      <c r="BB14007" s="4"/>
    </row>
    <row r="14008" spans="1:54" x14ac:dyDescent="0.3">
      <c r="A14008" s="66"/>
      <c r="B14008" s="67"/>
      <c r="C14008" s="66"/>
      <c r="D14008" s="68"/>
      <c r="E14008" s="10"/>
      <c r="F14008" s="69"/>
      <c r="G14008" s="68"/>
      <c r="H14008" s="70"/>
      <c r="BA14008" s="4"/>
      <c r="BB14008" s="4"/>
    </row>
    <row r="14009" spans="1:54" x14ac:dyDescent="0.3">
      <c r="A14009" s="66"/>
      <c r="B14009" s="67"/>
      <c r="C14009" s="66"/>
      <c r="D14009" s="68"/>
      <c r="E14009" s="10"/>
      <c r="F14009" s="69"/>
      <c r="G14009" s="68"/>
      <c r="H14009" s="70"/>
      <c r="BA14009" s="4"/>
      <c r="BB14009" s="4"/>
    </row>
    <row r="14010" spans="1:54" x14ac:dyDescent="0.3">
      <c r="A14010" s="66"/>
      <c r="B14010" s="67"/>
      <c r="C14010" s="66"/>
      <c r="D14010" s="68"/>
      <c r="E14010" s="10"/>
      <c r="F14010" s="69"/>
      <c r="G14010" s="68"/>
      <c r="H14010" s="70"/>
      <c r="BA14010" s="4"/>
      <c r="BB14010" s="4"/>
    </row>
    <row r="14011" spans="1:54" x14ac:dyDescent="0.3">
      <c r="A14011" s="66"/>
      <c r="B14011" s="67"/>
      <c r="C14011" s="66"/>
      <c r="D14011" s="68"/>
      <c r="E14011" s="10"/>
      <c r="F14011" s="69"/>
      <c r="G14011" s="68"/>
      <c r="H14011" s="70"/>
      <c r="BA14011" s="4"/>
      <c r="BB14011" s="4"/>
    </row>
    <row r="14012" spans="1:54" x14ac:dyDescent="0.3">
      <c r="A14012" s="66"/>
      <c r="B14012" s="67"/>
      <c r="C14012" s="66"/>
      <c r="D14012" s="68"/>
      <c r="E14012" s="10"/>
      <c r="F14012" s="69"/>
      <c r="G14012" s="68"/>
      <c r="H14012" s="70"/>
      <c r="BA14012" s="4"/>
      <c r="BB14012" s="4"/>
    </row>
    <row r="14013" spans="1:54" x14ac:dyDescent="0.3">
      <c r="A14013" s="66"/>
      <c r="B14013" s="67"/>
      <c r="C14013" s="66"/>
      <c r="D14013" s="68"/>
      <c r="E14013" s="10"/>
      <c r="F14013" s="69"/>
      <c r="G14013" s="68"/>
      <c r="H14013" s="70"/>
      <c r="BA14013" s="4"/>
      <c r="BB14013" s="4"/>
    </row>
    <row r="14014" spans="1:54" x14ac:dyDescent="0.3">
      <c r="A14014" s="66"/>
      <c r="B14014" s="67"/>
      <c r="C14014" s="66"/>
      <c r="D14014" s="68"/>
      <c r="E14014" s="10"/>
      <c r="F14014" s="69"/>
      <c r="G14014" s="68"/>
      <c r="H14014" s="70"/>
      <c r="BA14014" s="4"/>
      <c r="BB14014" s="4"/>
    </row>
    <row r="14015" spans="1:54" x14ac:dyDescent="0.3">
      <c r="A14015" s="66"/>
      <c r="B14015" s="67"/>
      <c r="C14015" s="66"/>
      <c r="D14015" s="68"/>
      <c r="E14015" s="10"/>
      <c r="F14015" s="69"/>
      <c r="G14015" s="68"/>
      <c r="H14015" s="70"/>
      <c r="BA14015" s="4"/>
      <c r="BB14015" s="4"/>
    </row>
    <row r="14016" spans="1:54" x14ac:dyDescent="0.3">
      <c r="A14016" s="66"/>
      <c r="B14016" s="67"/>
      <c r="C14016" s="66"/>
      <c r="D14016" s="68"/>
      <c r="E14016" s="10"/>
      <c r="F14016" s="69"/>
      <c r="G14016" s="68"/>
      <c r="H14016" s="70"/>
      <c r="BA14016" s="4"/>
      <c r="BB14016" s="4"/>
    </row>
    <row r="14017" spans="1:54" x14ac:dyDescent="0.3">
      <c r="A14017" s="66"/>
      <c r="B14017" s="67"/>
      <c r="C14017" s="66"/>
      <c r="D14017" s="68"/>
      <c r="E14017" s="10"/>
      <c r="F14017" s="69"/>
      <c r="G14017" s="68"/>
      <c r="H14017" s="70"/>
      <c r="BA14017" s="4"/>
      <c r="BB14017" s="4"/>
    </row>
    <row r="14018" spans="1:54" x14ac:dyDescent="0.3">
      <c r="A14018" s="66"/>
      <c r="B14018" s="67"/>
      <c r="C14018" s="66"/>
      <c r="D14018" s="68"/>
      <c r="E14018" s="10"/>
      <c r="F14018" s="69"/>
      <c r="G14018" s="68"/>
      <c r="H14018" s="70"/>
      <c r="BA14018" s="4"/>
      <c r="BB14018" s="4"/>
    </row>
    <row r="14019" spans="1:54" x14ac:dyDescent="0.3">
      <c r="A14019" s="66"/>
      <c r="B14019" s="67"/>
      <c r="C14019" s="66"/>
      <c r="D14019" s="68"/>
      <c r="E14019" s="10"/>
      <c r="F14019" s="69"/>
      <c r="G14019" s="68"/>
      <c r="H14019" s="70"/>
      <c r="BA14019" s="4"/>
      <c r="BB14019" s="4"/>
    </row>
    <row r="14020" spans="1:54" x14ac:dyDescent="0.3">
      <c r="A14020" s="66"/>
      <c r="B14020" s="67"/>
      <c r="C14020" s="66"/>
      <c r="D14020" s="68"/>
      <c r="E14020" s="10"/>
      <c r="F14020" s="69"/>
      <c r="G14020" s="68"/>
      <c r="H14020" s="70"/>
      <c r="BA14020" s="4"/>
      <c r="BB14020" s="4"/>
    </row>
    <row r="14021" spans="1:54" x14ac:dyDescent="0.3">
      <c r="A14021" s="66"/>
      <c r="B14021" s="67"/>
      <c r="C14021" s="66"/>
      <c r="D14021" s="68"/>
      <c r="E14021" s="10"/>
      <c r="F14021" s="69"/>
      <c r="G14021" s="68"/>
      <c r="H14021" s="70"/>
      <c r="BA14021" s="4"/>
      <c r="BB14021" s="4"/>
    </row>
    <row r="14022" spans="1:54" x14ac:dyDescent="0.3">
      <c r="A14022" s="66"/>
      <c r="B14022" s="67"/>
      <c r="C14022" s="66"/>
      <c r="D14022" s="68"/>
      <c r="E14022" s="10"/>
      <c r="F14022" s="69"/>
      <c r="G14022" s="68"/>
      <c r="H14022" s="70"/>
      <c r="BA14022" s="4"/>
      <c r="BB14022" s="4"/>
    </row>
    <row r="14023" spans="1:54" x14ac:dyDescent="0.3">
      <c r="A14023" s="66"/>
      <c r="B14023" s="67"/>
      <c r="C14023" s="66"/>
      <c r="D14023" s="68"/>
      <c r="E14023" s="10"/>
      <c r="F14023" s="69"/>
      <c r="G14023" s="68"/>
      <c r="H14023" s="70"/>
      <c r="BA14023" s="4"/>
      <c r="BB14023" s="4"/>
    </row>
    <row r="14024" spans="1:54" x14ac:dyDescent="0.3">
      <c r="A14024" s="66"/>
      <c r="B14024" s="67"/>
      <c r="C14024" s="66"/>
      <c r="D14024" s="68"/>
      <c r="E14024" s="10"/>
      <c r="F14024" s="69"/>
      <c r="G14024" s="68"/>
      <c r="H14024" s="70"/>
      <c r="BA14024" s="4"/>
      <c r="BB14024" s="4"/>
    </row>
    <row r="14025" spans="1:54" x14ac:dyDescent="0.3">
      <c r="A14025" s="66"/>
      <c r="B14025" s="67"/>
      <c r="C14025" s="66"/>
      <c r="D14025" s="68"/>
      <c r="E14025" s="10"/>
      <c r="F14025" s="69"/>
      <c r="G14025" s="68"/>
      <c r="H14025" s="70"/>
      <c r="BA14025" s="4"/>
      <c r="BB14025" s="4"/>
    </row>
    <row r="14026" spans="1:54" x14ac:dyDescent="0.3">
      <c r="A14026" s="66"/>
      <c r="B14026" s="67"/>
      <c r="C14026" s="66"/>
      <c r="D14026" s="68"/>
      <c r="E14026" s="10"/>
      <c r="F14026" s="69"/>
      <c r="G14026" s="68"/>
      <c r="H14026" s="70"/>
      <c r="BA14026" s="4"/>
      <c r="BB14026" s="4"/>
    </row>
    <row r="14027" spans="1:54" x14ac:dyDescent="0.3">
      <c r="A14027" s="66"/>
      <c r="B14027" s="67"/>
      <c r="C14027" s="66"/>
      <c r="D14027" s="68"/>
      <c r="E14027" s="10"/>
      <c r="F14027" s="69"/>
      <c r="G14027" s="68"/>
      <c r="H14027" s="70"/>
      <c r="BA14027" s="4"/>
      <c r="BB14027" s="4"/>
    </row>
    <row r="14028" spans="1:54" x14ac:dyDescent="0.3">
      <c r="A14028" s="66"/>
      <c r="B14028" s="67"/>
      <c r="C14028" s="66"/>
      <c r="D14028" s="68"/>
      <c r="E14028" s="10"/>
      <c r="F14028" s="69"/>
      <c r="G14028" s="68"/>
      <c r="H14028" s="70"/>
      <c r="BA14028" s="4"/>
      <c r="BB14028" s="4"/>
    </row>
    <row r="14029" spans="1:54" x14ac:dyDescent="0.3">
      <c r="A14029" s="66"/>
      <c r="B14029" s="67"/>
      <c r="C14029" s="66"/>
      <c r="D14029" s="68"/>
      <c r="E14029" s="10"/>
      <c r="F14029" s="69"/>
      <c r="G14029" s="68"/>
      <c r="H14029" s="70"/>
      <c r="BA14029" s="4"/>
      <c r="BB14029" s="4"/>
    </row>
    <row r="14030" spans="1:54" x14ac:dyDescent="0.3">
      <c r="A14030" s="66"/>
      <c r="B14030" s="67"/>
      <c r="C14030" s="66"/>
      <c r="D14030" s="68"/>
      <c r="E14030" s="10"/>
      <c r="F14030" s="69"/>
      <c r="G14030" s="68"/>
      <c r="H14030" s="70"/>
      <c r="BA14030" s="4"/>
      <c r="BB14030" s="4"/>
    </row>
    <row r="14031" spans="1:54" x14ac:dyDescent="0.3">
      <c r="A14031" s="66"/>
      <c r="B14031" s="67"/>
      <c r="C14031" s="66"/>
      <c r="D14031" s="68"/>
      <c r="E14031" s="10"/>
      <c r="F14031" s="69"/>
      <c r="G14031" s="68"/>
      <c r="H14031" s="70"/>
      <c r="BA14031" s="4"/>
      <c r="BB14031" s="4"/>
    </row>
    <row r="14032" spans="1:54" x14ac:dyDescent="0.3">
      <c r="A14032" s="66"/>
      <c r="B14032" s="67"/>
      <c r="C14032" s="66"/>
      <c r="D14032" s="68"/>
      <c r="E14032" s="10"/>
      <c r="F14032" s="69"/>
      <c r="G14032" s="68"/>
      <c r="H14032" s="70"/>
      <c r="BA14032" s="4"/>
      <c r="BB14032" s="4"/>
    </row>
    <row r="14033" spans="1:54" x14ac:dyDescent="0.3">
      <c r="A14033" s="66"/>
      <c r="B14033" s="67"/>
      <c r="C14033" s="66"/>
      <c r="D14033" s="68"/>
      <c r="E14033" s="10"/>
      <c r="F14033" s="69"/>
      <c r="G14033" s="68"/>
      <c r="H14033" s="70"/>
      <c r="BA14033" s="4"/>
      <c r="BB14033" s="4"/>
    </row>
    <row r="14034" spans="1:54" x14ac:dyDescent="0.3">
      <c r="A14034" s="66"/>
      <c r="B14034" s="67"/>
      <c r="C14034" s="66"/>
      <c r="D14034" s="68"/>
      <c r="E14034" s="10"/>
      <c r="F14034" s="69"/>
      <c r="G14034" s="68"/>
      <c r="H14034" s="70"/>
      <c r="BA14034" s="4"/>
      <c r="BB14034" s="4"/>
    </row>
    <row r="14035" spans="1:54" x14ac:dyDescent="0.3">
      <c r="A14035" s="66"/>
      <c r="B14035" s="67"/>
      <c r="C14035" s="66"/>
      <c r="D14035" s="68"/>
      <c r="E14035" s="10"/>
      <c r="F14035" s="69"/>
      <c r="G14035" s="68"/>
      <c r="H14035" s="70"/>
      <c r="BA14035" s="4"/>
      <c r="BB14035" s="4"/>
    </row>
    <row r="14036" spans="1:54" x14ac:dyDescent="0.3">
      <c r="A14036" s="66"/>
      <c r="B14036" s="67"/>
      <c r="C14036" s="66"/>
      <c r="D14036" s="68"/>
      <c r="E14036" s="10"/>
      <c r="F14036" s="69"/>
      <c r="G14036" s="68"/>
      <c r="H14036" s="70"/>
      <c r="BA14036" s="4"/>
      <c r="BB14036" s="4"/>
    </row>
    <row r="14037" spans="1:54" x14ac:dyDescent="0.3">
      <c r="A14037" s="66"/>
      <c r="B14037" s="67"/>
      <c r="C14037" s="66"/>
      <c r="D14037" s="68"/>
      <c r="E14037" s="10"/>
      <c r="F14037" s="69"/>
      <c r="G14037" s="68"/>
      <c r="H14037" s="70"/>
      <c r="BA14037" s="4"/>
      <c r="BB14037" s="4"/>
    </row>
    <row r="14038" spans="1:54" x14ac:dyDescent="0.3">
      <c r="A14038" s="66"/>
      <c r="B14038" s="67"/>
      <c r="C14038" s="66"/>
      <c r="D14038" s="68"/>
      <c r="E14038" s="10"/>
      <c r="F14038" s="69"/>
      <c r="G14038" s="68"/>
      <c r="H14038" s="70"/>
      <c r="BA14038" s="4"/>
      <c r="BB14038" s="4"/>
    </row>
    <row r="14039" spans="1:54" x14ac:dyDescent="0.3">
      <c r="A14039" s="66"/>
      <c r="B14039" s="67"/>
      <c r="C14039" s="66"/>
      <c r="D14039" s="68"/>
      <c r="E14039" s="10"/>
      <c r="F14039" s="69"/>
      <c r="G14039" s="68"/>
      <c r="H14039" s="70"/>
      <c r="BA14039" s="4"/>
      <c r="BB14039" s="4"/>
    </row>
    <row r="14040" spans="1:54" x14ac:dyDescent="0.3">
      <c r="A14040" s="66"/>
      <c r="B14040" s="67"/>
      <c r="C14040" s="66"/>
      <c r="D14040" s="68"/>
      <c r="E14040" s="10"/>
      <c r="F14040" s="69"/>
      <c r="G14040" s="68"/>
      <c r="H14040" s="70"/>
      <c r="BA14040" s="4"/>
      <c r="BB14040" s="4"/>
    </row>
    <row r="14041" spans="1:54" x14ac:dyDescent="0.3">
      <c r="A14041" s="66"/>
      <c r="B14041" s="67"/>
      <c r="C14041" s="66"/>
      <c r="D14041" s="68"/>
      <c r="E14041" s="10"/>
      <c r="F14041" s="69"/>
      <c r="G14041" s="68"/>
      <c r="H14041" s="70"/>
      <c r="BA14041" s="4"/>
      <c r="BB14041" s="4"/>
    </row>
    <row r="14042" spans="1:54" x14ac:dyDescent="0.3">
      <c r="A14042" s="66"/>
      <c r="B14042" s="67"/>
      <c r="C14042" s="66"/>
      <c r="D14042" s="68"/>
      <c r="E14042" s="10"/>
      <c r="F14042" s="69"/>
      <c r="G14042" s="68"/>
      <c r="H14042" s="70"/>
      <c r="BA14042" s="4"/>
      <c r="BB14042" s="4"/>
    </row>
    <row r="14043" spans="1:54" x14ac:dyDescent="0.3">
      <c r="A14043" s="66"/>
      <c r="B14043" s="67"/>
      <c r="C14043" s="66"/>
      <c r="D14043" s="68"/>
      <c r="E14043" s="10"/>
      <c r="F14043" s="69"/>
      <c r="G14043" s="68"/>
      <c r="H14043" s="70"/>
      <c r="BA14043" s="4"/>
      <c r="BB14043" s="4"/>
    </row>
    <row r="14044" spans="1:54" x14ac:dyDescent="0.3">
      <c r="A14044" s="66"/>
      <c r="B14044" s="67"/>
      <c r="C14044" s="66"/>
      <c r="D14044" s="68"/>
      <c r="E14044" s="10"/>
      <c r="F14044" s="69"/>
      <c r="G14044" s="68"/>
      <c r="H14044" s="70"/>
      <c r="BA14044" s="4"/>
      <c r="BB14044" s="4"/>
    </row>
    <row r="14045" spans="1:54" x14ac:dyDescent="0.3">
      <c r="A14045" s="66"/>
      <c r="B14045" s="67"/>
      <c r="C14045" s="66"/>
      <c r="D14045" s="68"/>
      <c r="E14045" s="10"/>
      <c r="F14045" s="69"/>
      <c r="G14045" s="68"/>
      <c r="H14045" s="70"/>
      <c r="BA14045" s="4"/>
      <c r="BB14045" s="4"/>
    </row>
    <row r="14046" spans="1:54" x14ac:dyDescent="0.3">
      <c r="A14046" s="66"/>
      <c r="B14046" s="67"/>
      <c r="C14046" s="66"/>
      <c r="D14046" s="68"/>
      <c r="E14046" s="10"/>
      <c r="F14046" s="69"/>
      <c r="G14046" s="68"/>
      <c r="H14046" s="70"/>
      <c r="BA14046" s="4"/>
      <c r="BB14046" s="4"/>
    </row>
    <row r="14047" spans="1:54" x14ac:dyDescent="0.3">
      <c r="A14047" s="66"/>
      <c r="B14047" s="67"/>
      <c r="C14047" s="66"/>
      <c r="D14047" s="68"/>
      <c r="E14047" s="10"/>
      <c r="F14047" s="69"/>
      <c r="G14047" s="68"/>
      <c r="H14047" s="70"/>
      <c r="BA14047" s="4"/>
      <c r="BB14047" s="4"/>
    </row>
    <row r="14048" spans="1:54" x14ac:dyDescent="0.3">
      <c r="A14048" s="66"/>
      <c r="B14048" s="67"/>
      <c r="C14048" s="66"/>
      <c r="D14048" s="68"/>
      <c r="E14048" s="10"/>
      <c r="F14048" s="69"/>
      <c r="G14048" s="68"/>
      <c r="H14048" s="70"/>
      <c r="BA14048" s="4"/>
      <c r="BB14048" s="4"/>
    </row>
    <row r="14049" spans="1:54" x14ac:dyDescent="0.3">
      <c r="A14049" s="66"/>
      <c r="B14049" s="67"/>
      <c r="C14049" s="66"/>
      <c r="D14049" s="68"/>
      <c r="E14049" s="10"/>
      <c r="F14049" s="69"/>
      <c r="G14049" s="68"/>
      <c r="H14049" s="70"/>
      <c r="BA14049" s="4"/>
      <c r="BB14049" s="4"/>
    </row>
    <row r="14050" spans="1:54" x14ac:dyDescent="0.3">
      <c r="A14050" s="66"/>
      <c r="B14050" s="67"/>
      <c r="C14050" s="66"/>
      <c r="D14050" s="68"/>
      <c r="E14050" s="10"/>
      <c r="F14050" s="69"/>
      <c r="G14050" s="68"/>
      <c r="H14050" s="70"/>
      <c r="BA14050" s="4"/>
      <c r="BB14050" s="4"/>
    </row>
    <row r="14051" spans="1:54" x14ac:dyDescent="0.3">
      <c r="A14051" s="66"/>
      <c r="B14051" s="67"/>
      <c r="C14051" s="66"/>
      <c r="D14051" s="68"/>
      <c r="E14051" s="10"/>
      <c r="F14051" s="69"/>
      <c r="G14051" s="68"/>
      <c r="H14051" s="70"/>
      <c r="BA14051" s="4"/>
      <c r="BB14051" s="4"/>
    </row>
    <row r="14052" spans="1:54" x14ac:dyDescent="0.3">
      <c r="A14052" s="66"/>
      <c r="B14052" s="67"/>
      <c r="C14052" s="66"/>
      <c r="D14052" s="68"/>
      <c r="E14052" s="10"/>
      <c r="F14052" s="69"/>
      <c r="G14052" s="68"/>
      <c r="H14052" s="70"/>
      <c r="BA14052" s="4"/>
      <c r="BB14052" s="4"/>
    </row>
    <row r="14053" spans="1:54" x14ac:dyDescent="0.3">
      <c r="A14053" s="66"/>
      <c r="B14053" s="67"/>
      <c r="C14053" s="66"/>
      <c r="D14053" s="68"/>
      <c r="E14053" s="10"/>
      <c r="F14053" s="69"/>
      <c r="G14053" s="68"/>
      <c r="H14053" s="70"/>
      <c r="BA14053" s="4"/>
      <c r="BB14053" s="4"/>
    </row>
    <row r="14054" spans="1:54" x14ac:dyDescent="0.3">
      <c r="A14054" s="66"/>
      <c r="B14054" s="67"/>
      <c r="C14054" s="66"/>
      <c r="D14054" s="68"/>
      <c r="E14054" s="10"/>
      <c r="F14054" s="69"/>
      <c r="G14054" s="68"/>
      <c r="H14054" s="70"/>
      <c r="BA14054" s="4"/>
      <c r="BB14054" s="4"/>
    </row>
    <row r="14055" spans="1:54" x14ac:dyDescent="0.3">
      <c r="A14055" s="66"/>
      <c r="B14055" s="67"/>
      <c r="C14055" s="66"/>
      <c r="D14055" s="68"/>
      <c r="E14055" s="10"/>
      <c r="F14055" s="69"/>
      <c r="G14055" s="68"/>
      <c r="H14055" s="70"/>
      <c r="BA14055" s="4"/>
      <c r="BB14055" s="4"/>
    </row>
    <row r="14056" spans="1:54" x14ac:dyDescent="0.3">
      <c r="A14056" s="66"/>
      <c r="B14056" s="67"/>
      <c r="C14056" s="66"/>
      <c r="D14056" s="68"/>
      <c r="E14056" s="10"/>
      <c r="F14056" s="69"/>
      <c r="G14056" s="68"/>
      <c r="H14056" s="70"/>
      <c r="BA14056" s="4"/>
      <c r="BB14056" s="4"/>
    </row>
    <row r="14057" spans="1:54" x14ac:dyDescent="0.3">
      <c r="A14057" s="66"/>
      <c r="B14057" s="67"/>
      <c r="C14057" s="66"/>
      <c r="D14057" s="68"/>
      <c r="E14057" s="10"/>
      <c r="F14057" s="69"/>
      <c r="G14057" s="68"/>
      <c r="H14057" s="70"/>
      <c r="BA14057" s="4"/>
      <c r="BB14057" s="4"/>
    </row>
    <row r="14058" spans="1:54" x14ac:dyDescent="0.3">
      <c r="A14058" s="66"/>
      <c r="B14058" s="67"/>
      <c r="C14058" s="66"/>
      <c r="D14058" s="68"/>
      <c r="E14058" s="10"/>
      <c r="F14058" s="69"/>
      <c r="G14058" s="68"/>
      <c r="H14058" s="70"/>
      <c r="BA14058" s="4"/>
      <c r="BB14058" s="4"/>
    </row>
    <row r="14059" spans="1:54" x14ac:dyDescent="0.3">
      <c r="A14059" s="66"/>
      <c r="B14059" s="67"/>
      <c r="C14059" s="66"/>
      <c r="D14059" s="68"/>
      <c r="E14059" s="10"/>
      <c r="F14059" s="69"/>
      <c r="G14059" s="68"/>
      <c r="H14059" s="70"/>
      <c r="BA14059" s="4"/>
      <c r="BB14059" s="4"/>
    </row>
    <row r="14060" spans="1:54" x14ac:dyDescent="0.3">
      <c r="A14060" s="66"/>
      <c r="B14060" s="67"/>
      <c r="C14060" s="66"/>
      <c r="D14060" s="68"/>
      <c r="E14060" s="10"/>
      <c r="F14060" s="69"/>
      <c r="G14060" s="68"/>
      <c r="H14060" s="70"/>
      <c r="BA14060" s="4"/>
      <c r="BB14060" s="4"/>
    </row>
    <row r="14061" spans="1:54" x14ac:dyDescent="0.3">
      <c r="A14061" s="66"/>
      <c r="B14061" s="67"/>
      <c r="C14061" s="66"/>
      <c r="D14061" s="68"/>
      <c r="E14061" s="10"/>
      <c r="F14061" s="69"/>
      <c r="G14061" s="68"/>
      <c r="H14061" s="70"/>
      <c r="BA14061" s="4"/>
      <c r="BB14061" s="4"/>
    </row>
    <row r="14062" spans="1:54" x14ac:dyDescent="0.3">
      <c r="A14062" s="66"/>
      <c r="B14062" s="67"/>
      <c r="C14062" s="66"/>
      <c r="D14062" s="68"/>
      <c r="E14062" s="10"/>
      <c r="F14062" s="69"/>
      <c r="G14062" s="68"/>
      <c r="H14062" s="70"/>
      <c r="BA14062" s="4"/>
      <c r="BB14062" s="4"/>
    </row>
    <row r="14063" spans="1:54" x14ac:dyDescent="0.3">
      <c r="A14063" s="66"/>
      <c r="B14063" s="67"/>
      <c r="C14063" s="66"/>
      <c r="D14063" s="68"/>
      <c r="E14063" s="10"/>
      <c r="F14063" s="69"/>
      <c r="G14063" s="68"/>
      <c r="H14063" s="70"/>
      <c r="BA14063" s="4"/>
      <c r="BB14063" s="4"/>
    </row>
    <row r="14064" spans="1:54" x14ac:dyDescent="0.3">
      <c r="A14064" s="66"/>
      <c r="B14064" s="67"/>
      <c r="C14064" s="66"/>
      <c r="D14064" s="68"/>
      <c r="E14064" s="10"/>
      <c r="F14064" s="69"/>
      <c r="G14064" s="68"/>
      <c r="H14064" s="70"/>
      <c r="BA14064" s="4"/>
      <c r="BB14064" s="4"/>
    </row>
    <row r="14065" spans="1:54" x14ac:dyDescent="0.3">
      <c r="A14065" s="66"/>
      <c r="B14065" s="67"/>
      <c r="C14065" s="66"/>
      <c r="D14065" s="68"/>
      <c r="E14065" s="10"/>
      <c r="F14065" s="69"/>
      <c r="G14065" s="68"/>
      <c r="H14065" s="70"/>
      <c r="BA14065" s="4"/>
      <c r="BB14065" s="4"/>
    </row>
    <row r="14066" spans="1:54" x14ac:dyDescent="0.3">
      <c r="A14066" s="66"/>
      <c r="B14066" s="67"/>
      <c r="C14066" s="66"/>
      <c r="D14066" s="68"/>
      <c r="E14066" s="10"/>
      <c r="F14066" s="69"/>
      <c r="G14066" s="68"/>
      <c r="H14066" s="70"/>
      <c r="BA14066" s="4"/>
      <c r="BB14066" s="4"/>
    </row>
    <row r="14067" spans="1:54" x14ac:dyDescent="0.3">
      <c r="A14067" s="66"/>
      <c r="B14067" s="67"/>
      <c r="C14067" s="66"/>
      <c r="D14067" s="68"/>
      <c r="E14067" s="10"/>
      <c r="F14067" s="69"/>
      <c r="G14067" s="68"/>
      <c r="H14067" s="70"/>
      <c r="BA14067" s="4"/>
      <c r="BB14067" s="4"/>
    </row>
    <row r="14068" spans="1:54" x14ac:dyDescent="0.3">
      <c r="A14068" s="66"/>
      <c r="B14068" s="67"/>
      <c r="C14068" s="66"/>
      <c r="D14068" s="68"/>
      <c r="E14068" s="10"/>
      <c r="F14068" s="69"/>
      <c r="G14068" s="68"/>
      <c r="H14068" s="70"/>
      <c r="BA14068" s="4"/>
      <c r="BB14068" s="4"/>
    </row>
    <row r="14069" spans="1:54" x14ac:dyDescent="0.3">
      <c r="A14069" s="66"/>
      <c r="B14069" s="67"/>
      <c r="C14069" s="66"/>
      <c r="D14069" s="68"/>
      <c r="E14069" s="10"/>
      <c r="F14069" s="69"/>
      <c r="G14069" s="68"/>
      <c r="H14069" s="70"/>
      <c r="BA14069" s="4"/>
      <c r="BB14069" s="4"/>
    </row>
    <row r="14070" spans="1:54" x14ac:dyDescent="0.3">
      <c r="A14070" s="66"/>
      <c r="B14070" s="67"/>
      <c r="C14070" s="66"/>
      <c r="D14070" s="68"/>
      <c r="E14070" s="10"/>
      <c r="F14070" s="69"/>
      <c r="G14070" s="68"/>
      <c r="H14070" s="70"/>
      <c r="BA14070" s="4"/>
      <c r="BB14070" s="4"/>
    </row>
    <row r="14071" spans="1:54" x14ac:dyDescent="0.3">
      <c r="A14071" s="66"/>
      <c r="B14071" s="67"/>
      <c r="C14071" s="66"/>
      <c r="D14071" s="68"/>
      <c r="E14071" s="10"/>
      <c r="F14071" s="69"/>
      <c r="G14071" s="68"/>
      <c r="H14071" s="70"/>
      <c r="BA14071" s="4"/>
      <c r="BB14071" s="4"/>
    </row>
    <row r="14072" spans="1:54" x14ac:dyDescent="0.3">
      <c r="A14072" s="66"/>
      <c r="B14072" s="67"/>
      <c r="C14072" s="66"/>
      <c r="D14072" s="68"/>
      <c r="E14072" s="10"/>
      <c r="F14072" s="69"/>
      <c r="G14072" s="68"/>
      <c r="H14072" s="70"/>
      <c r="BA14072" s="4"/>
      <c r="BB14072" s="4"/>
    </row>
    <row r="14073" spans="1:54" x14ac:dyDescent="0.3">
      <c r="A14073" s="66"/>
      <c r="B14073" s="67"/>
      <c r="C14073" s="66"/>
      <c r="D14073" s="68"/>
      <c r="E14073" s="10"/>
      <c r="F14073" s="69"/>
      <c r="G14073" s="68"/>
      <c r="H14073" s="70"/>
      <c r="BA14073" s="4"/>
      <c r="BB14073" s="4"/>
    </row>
    <row r="14074" spans="1:54" x14ac:dyDescent="0.3">
      <c r="A14074" s="66"/>
      <c r="B14074" s="67"/>
      <c r="C14074" s="66"/>
      <c r="D14074" s="68"/>
      <c r="E14074" s="10"/>
      <c r="F14074" s="69"/>
      <c r="G14074" s="68"/>
      <c r="H14074" s="70"/>
      <c r="BA14074" s="4"/>
      <c r="BB14074" s="4"/>
    </row>
    <row r="14075" spans="1:54" x14ac:dyDescent="0.3">
      <c r="A14075" s="66"/>
      <c r="B14075" s="67"/>
      <c r="C14075" s="66"/>
      <c r="D14075" s="68"/>
      <c r="E14075" s="10"/>
      <c r="F14075" s="69"/>
      <c r="G14075" s="68"/>
      <c r="H14075" s="70"/>
      <c r="BA14075" s="4"/>
      <c r="BB14075" s="4"/>
    </row>
    <row r="14076" spans="1:54" x14ac:dyDescent="0.3">
      <c r="A14076" s="66"/>
      <c r="B14076" s="67"/>
      <c r="C14076" s="66"/>
      <c r="D14076" s="68"/>
      <c r="E14076" s="10"/>
      <c r="F14076" s="69"/>
      <c r="G14076" s="68"/>
      <c r="H14076" s="70"/>
      <c r="BA14076" s="4"/>
      <c r="BB14076" s="4"/>
    </row>
    <row r="14077" spans="1:54" x14ac:dyDescent="0.3">
      <c r="A14077" s="66"/>
      <c r="B14077" s="67"/>
      <c r="C14077" s="66"/>
      <c r="D14077" s="68"/>
      <c r="E14077" s="10"/>
      <c r="F14077" s="69"/>
      <c r="G14077" s="68"/>
      <c r="H14077" s="70"/>
      <c r="BA14077" s="4"/>
      <c r="BB14077" s="4"/>
    </row>
    <row r="14078" spans="1:54" x14ac:dyDescent="0.3">
      <c r="A14078" s="66"/>
      <c r="B14078" s="67"/>
      <c r="C14078" s="66"/>
      <c r="D14078" s="68"/>
      <c r="E14078" s="10"/>
      <c r="F14078" s="69"/>
      <c r="G14078" s="68"/>
      <c r="H14078" s="70"/>
      <c r="BA14078" s="4"/>
      <c r="BB14078" s="4"/>
    </row>
    <row r="14079" spans="1:54" x14ac:dyDescent="0.3">
      <c r="A14079" s="66"/>
      <c r="B14079" s="67"/>
      <c r="C14079" s="66"/>
      <c r="D14079" s="68"/>
      <c r="E14079" s="10"/>
      <c r="F14079" s="69"/>
      <c r="G14079" s="68"/>
      <c r="H14079" s="70"/>
      <c r="BA14079" s="4"/>
      <c r="BB14079" s="4"/>
    </row>
    <row r="14080" spans="1:54" x14ac:dyDescent="0.3">
      <c r="A14080" s="66"/>
      <c r="B14080" s="67"/>
      <c r="C14080" s="66"/>
      <c r="D14080" s="68"/>
      <c r="E14080" s="10"/>
      <c r="F14080" s="69"/>
      <c r="G14080" s="68"/>
      <c r="H14080" s="70"/>
      <c r="BA14080" s="4"/>
      <c r="BB14080" s="4"/>
    </row>
    <row r="14081" spans="1:54" x14ac:dyDescent="0.3">
      <c r="A14081" s="66"/>
      <c r="B14081" s="67"/>
      <c r="C14081" s="66"/>
      <c r="D14081" s="68"/>
      <c r="E14081" s="10"/>
      <c r="F14081" s="69"/>
      <c r="G14081" s="68"/>
      <c r="H14081" s="70"/>
      <c r="BA14081" s="4"/>
      <c r="BB14081" s="4"/>
    </row>
    <row r="14082" spans="1:54" x14ac:dyDescent="0.3">
      <c r="A14082" s="66"/>
      <c r="B14082" s="67"/>
      <c r="C14082" s="66"/>
      <c r="D14082" s="68"/>
      <c r="E14082" s="10"/>
      <c r="F14082" s="69"/>
      <c r="G14082" s="68"/>
      <c r="H14082" s="70"/>
      <c r="BA14082" s="4"/>
      <c r="BB14082" s="4"/>
    </row>
    <row r="14083" spans="1:54" x14ac:dyDescent="0.3">
      <c r="A14083" s="66"/>
      <c r="B14083" s="67"/>
      <c r="C14083" s="66"/>
      <c r="D14083" s="68"/>
      <c r="E14083" s="10"/>
      <c r="F14083" s="69"/>
      <c r="G14083" s="68"/>
      <c r="H14083" s="70"/>
      <c r="BA14083" s="4"/>
      <c r="BB14083" s="4"/>
    </row>
    <row r="14084" spans="1:54" x14ac:dyDescent="0.3">
      <c r="A14084" s="66"/>
      <c r="B14084" s="67"/>
      <c r="C14084" s="66"/>
      <c r="D14084" s="68"/>
      <c r="E14084" s="10"/>
      <c r="F14084" s="69"/>
      <c r="G14084" s="68"/>
      <c r="H14084" s="70"/>
      <c r="BA14084" s="4"/>
      <c r="BB14084" s="4"/>
    </row>
    <row r="14085" spans="1:54" x14ac:dyDescent="0.3">
      <c r="A14085" s="66"/>
      <c r="B14085" s="67"/>
      <c r="C14085" s="66"/>
      <c r="D14085" s="68"/>
      <c r="E14085" s="10"/>
      <c r="F14085" s="69"/>
      <c r="G14085" s="68"/>
      <c r="H14085" s="70"/>
      <c r="BA14085" s="4"/>
      <c r="BB14085" s="4"/>
    </row>
    <row r="14086" spans="1:54" x14ac:dyDescent="0.3">
      <c r="A14086" s="66"/>
      <c r="B14086" s="67"/>
      <c r="C14086" s="66"/>
      <c r="D14086" s="68"/>
      <c r="E14086" s="10"/>
      <c r="F14086" s="69"/>
      <c r="G14086" s="68"/>
      <c r="H14086" s="70"/>
      <c r="BA14086" s="4"/>
      <c r="BB14086" s="4"/>
    </row>
    <row r="14087" spans="1:54" x14ac:dyDescent="0.3">
      <c r="A14087" s="66"/>
      <c r="B14087" s="67"/>
      <c r="C14087" s="66"/>
      <c r="D14087" s="68"/>
      <c r="E14087" s="10"/>
      <c r="F14087" s="69"/>
      <c r="G14087" s="68"/>
      <c r="H14087" s="70"/>
      <c r="BA14087" s="4"/>
      <c r="BB14087" s="4"/>
    </row>
    <row r="14088" spans="1:54" x14ac:dyDescent="0.3">
      <c r="A14088" s="66"/>
      <c r="B14088" s="67"/>
      <c r="C14088" s="66"/>
      <c r="D14088" s="68"/>
      <c r="E14088" s="10"/>
      <c r="F14088" s="69"/>
      <c r="G14088" s="68"/>
      <c r="H14088" s="70"/>
      <c r="BA14088" s="4"/>
      <c r="BB14088" s="4"/>
    </row>
    <row r="14089" spans="1:54" x14ac:dyDescent="0.3">
      <c r="A14089" s="66"/>
      <c r="B14089" s="67"/>
      <c r="C14089" s="66"/>
      <c r="D14089" s="68"/>
      <c r="E14089" s="10"/>
      <c r="F14089" s="69"/>
      <c r="G14089" s="68"/>
      <c r="H14089" s="70"/>
      <c r="BA14089" s="4"/>
      <c r="BB14089" s="4"/>
    </row>
    <row r="14090" spans="1:54" x14ac:dyDescent="0.3">
      <c r="A14090" s="66"/>
      <c r="B14090" s="67"/>
      <c r="C14090" s="66"/>
      <c r="D14090" s="68"/>
      <c r="E14090" s="10"/>
      <c r="F14090" s="69"/>
      <c r="G14090" s="68"/>
      <c r="H14090" s="70"/>
      <c r="BA14090" s="4"/>
      <c r="BB14090" s="4"/>
    </row>
    <row r="14091" spans="1:54" x14ac:dyDescent="0.3">
      <c r="A14091" s="66"/>
      <c r="B14091" s="67"/>
      <c r="C14091" s="66"/>
      <c r="D14091" s="68"/>
      <c r="E14091" s="10"/>
      <c r="F14091" s="69"/>
      <c r="G14091" s="68"/>
      <c r="H14091" s="70"/>
      <c r="BA14091" s="4"/>
      <c r="BB14091" s="4"/>
    </row>
    <row r="14092" spans="1:54" x14ac:dyDescent="0.3">
      <c r="A14092" s="66"/>
      <c r="B14092" s="67"/>
      <c r="C14092" s="66"/>
      <c r="D14092" s="68"/>
      <c r="E14092" s="10"/>
      <c r="F14092" s="69"/>
      <c r="G14092" s="68"/>
      <c r="H14092" s="70"/>
      <c r="BA14092" s="4"/>
      <c r="BB14092" s="4"/>
    </row>
    <row r="14093" spans="1:54" x14ac:dyDescent="0.3">
      <c r="A14093" s="66"/>
      <c r="B14093" s="67"/>
      <c r="C14093" s="66"/>
      <c r="D14093" s="68"/>
      <c r="E14093" s="10"/>
      <c r="F14093" s="69"/>
      <c r="G14093" s="68"/>
      <c r="H14093" s="70"/>
      <c r="BA14093" s="4"/>
      <c r="BB14093" s="4"/>
    </row>
    <row r="14094" spans="1:54" x14ac:dyDescent="0.3">
      <c r="A14094" s="66"/>
      <c r="B14094" s="67"/>
      <c r="C14094" s="66"/>
      <c r="D14094" s="68"/>
      <c r="E14094" s="10"/>
      <c r="F14094" s="69"/>
      <c r="G14094" s="68"/>
      <c r="H14094" s="70"/>
      <c r="BA14094" s="4"/>
      <c r="BB14094" s="4"/>
    </row>
    <row r="14095" spans="1:54" x14ac:dyDescent="0.3">
      <c r="A14095" s="66"/>
      <c r="B14095" s="67"/>
      <c r="C14095" s="66"/>
      <c r="D14095" s="68"/>
      <c r="E14095" s="10"/>
      <c r="F14095" s="69"/>
      <c r="G14095" s="68"/>
      <c r="H14095" s="70"/>
      <c r="BA14095" s="4"/>
      <c r="BB14095" s="4"/>
    </row>
    <row r="14096" spans="1:54" x14ac:dyDescent="0.3">
      <c r="A14096" s="66"/>
      <c r="B14096" s="67"/>
      <c r="C14096" s="66"/>
      <c r="D14096" s="68"/>
      <c r="E14096" s="10"/>
      <c r="F14096" s="69"/>
      <c r="G14096" s="68"/>
      <c r="H14096" s="70"/>
      <c r="BA14096" s="4"/>
      <c r="BB14096" s="4"/>
    </row>
    <row r="14097" spans="1:54" x14ac:dyDescent="0.3">
      <c r="A14097" s="66"/>
      <c r="B14097" s="67"/>
      <c r="C14097" s="66"/>
      <c r="D14097" s="68"/>
      <c r="E14097" s="10"/>
      <c r="F14097" s="69"/>
      <c r="G14097" s="68"/>
      <c r="H14097" s="70"/>
      <c r="BA14097" s="4"/>
      <c r="BB14097" s="4"/>
    </row>
    <row r="14098" spans="1:54" x14ac:dyDescent="0.3">
      <c r="A14098" s="66"/>
      <c r="B14098" s="67"/>
      <c r="C14098" s="66"/>
      <c r="D14098" s="68"/>
      <c r="E14098" s="10"/>
      <c r="F14098" s="69"/>
      <c r="G14098" s="68"/>
      <c r="H14098" s="70"/>
      <c r="BA14098" s="4"/>
      <c r="BB14098" s="4"/>
    </row>
    <row r="14099" spans="1:54" x14ac:dyDescent="0.3">
      <c r="A14099" s="66"/>
      <c r="B14099" s="67"/>
      <c r="C14099" s="66"/>
      <c r="D14099" s="68"/>
      <c r="E14099" s="10"/>
      <c r="F14099" s="69"/>
      <c r="G14099" s="68"/>
      <c r="H14099" s="70"/>
      <c r="BA14099" s="4"/>
      <c r="BB14099" s="4"/>
    </row>
    <row r="14100" spans="1:54" x14ac:dyDescent="0.3">
      <c r="A14100" s="66"/>
      <c r="B14100" s="67"/>
      <c r="C14100" s="66"/>
      <c r="D14100" s="68"/>
      <c r="E14100" s="10"/>
      <c r="F14100" s="69"/>
      <c r="G14100" s="68"/>
      <c r="H14100" s="70"/>
      <c r="BA14100" s="4"/>
      <c r="BB14100" s="4"/>
    </row>
    <row r="14101" spans="1:54" x14ac:dyDescent="0.3">
      <c r="A14101" s="66"/>
      <c r="B14101" s="67"/>
      <c r="C14101" s="66"/>
      <c r="D14101" s="68"/>
      <c r="E14101" s="10"/>
      <c r="F14101" s="69"/>
      <c r="G14101" s="68"/>
      <c r="H14101" s="70"/>
      <c r="BA14101" s="4"/>
      <c r="BB14101" s="4"/>
    </row>
    <row r="14102" spans="1:54" x14ac:dyDescent="0.3">
      <c r="A14102" s="66"/>
      <c r="B14102" s="67"/>
      <c r="C14102" s="66"/>
      <c r="D14102" s="68"/>
      <c r="E14102" s="10"/>
      <c r="F14102" s="69"/>
      <c r="G14102" s="68"/>
      <c r="H14102" s="70"/>
      <c r="BA14102" s="4"/>
      <c r="BB14102" s="4"/>
    </row>
    <row r="14103" spans="1:54" x14ac:dyDescent="0.3">
      <c r="A14103" s="66"/>
      <c r="B14103" s="67"/>
      <c r="C14103" s="66"/>
      <c r="D14103" s="68"/>
      <c r="E14103" s="10"/>
      <c r="F14103" s="69"/>
      <c r="G14103" s="68"/>
      <c r="H14103" s="70"/>
      <c r="BA14103" s="4"/>
      <c r="BB14103" s="4"/>
    </row>
    <row r="14104" spans="1:54" x14ac:dyDescent="0.3">
      <c r="A14104" s="66"/>
      <c r="B14104" s="67"/>
      <c r="C14104" s="66"/>
      <c r="D14104" s="68"/>
      <c r="E14104" s="10"/>
      <c r="F14104" s="69"/>
      <c r="G14104" s="68"/>
      <c r="H14104" s="70"/>
      <c r="BA14104" s="4"/>
      <c r="BB14104" s="4"/>
    </row>
    <row r="14105" spans="1:54" x14ac:dyDescent="0.3">
      <c r="A14105" s="66"/>
      <c r="B14105" s="67"/>
      <c r="C14105" s="66"/>
      <c r="D14105" s="68"/>
      <c r="E14105" s="10"/>
      <c r="F14105" s="69"/>
      <c r="G14105" s="68"/>
      <c r="H14105" s="70"/>
      <c r="BA14105" s="4"/>
      <c r="BB14105" s="4"/>
    </row>
    <row r="14106" spans="1:54" x14ac:dyDescent="0.3">
      <c r="A14106" s="66"/>
      <c r="B14106" s="67"/>
      <c r="C14106" s="66"/>
      <c r="D14106" s="68"/>
      <c r="E14106" s="10"/>
      <c r="F14106" s="69"/>
      <c r="G14106" s="68"/>
      <c r="H14106" s="70"/>
      <c r="BA14106" s="4"/>
      <c r="BB14106" s="4"/>
    </row>
    <row r="14107" spans="1:54" x14ac:dyDescent="0.3">
      <c r="A14107" s="66"/>
      <c r="B14107" s="67"/>
      <c r="C14107" s="66"/>
      <c r="D14107" s="68"/>
      <c r="E14107" s="10"/>
      <c r="F14107" s="69"/>
      <c r="G14107" s="68"/>
      <c r="H14107" s="70"/>
      <c r="BA14107" s="4"/>
      <c r="BB14107" s="4"/>
    </row>
    <row r="14108" spans="1:54" x14ac:dyDescent="0.3">
      <c r="A14108" s="66"/>
      <c r="B14108" s="67"/>
      <c r="C14108" s="66"/>
      <c r="D14108" s="68"/>
      <c r="E14108" s="10"/>
      <c r="F14108" s="69"/>
      <c r="G14108" s="68"/>
      <c r="H14108" s="70"/>
      <c r="BA14108" s="4"/>
      <c r="BB14108" s="4"/>
    </row>
    <row r="14109" spans="1:54" x14ac:dyDescent="0.3">
      <c r="A14109" s="66"/>
      <c r="B14109" s="67"/>
      <c r="C14109" s="66"/>
      <c r="D14109" s="68"/>
      <c r="E14109" s="10"/>
      <c r="F14109" s="69"/>
      <c r="G14109" s="68"/>
      <c r="H14109" s="70"/>
      <c r="BA14109" s="4"/>
      <c r="BB14109" s="4"/>
    </row>
    <row r="14110" spans="1:54" x14ac:dyDescent="0.3">
      <c r="A14110" s="66"/>
      <c r="B14110" s="67"/>
      <c r="C14110" s="66"/>
      <c r="D14110" s="68"/>
      <c r="E14110" s="10"/>
      <c r="F14110" s="69"/>
      <c r="G14110" s="68"/>
      <c r="H14110" s="70"/>
      <c r="BA14110" s="4"/>
      <c r="BB14110" s="4"/>
    </row>
    <row r="14111" spans="1:54" x14ac:dyDescent="0.3">
      <c r="A14111" s="66"/>
      <c r="B14111" s="67"/>
      <c r="C14111" s="66"/>
      <c r="D14111" s="68"/>
      <c r="E14111" s="10"/>
      <c r="F14111" s="69"/>
      <c r="G14111" s="68"/>
      <c r="H14111" s="70"/>
      <c r="BA14111" s="4"/>
      <c r="BB14111" s="4"/>
    </row>
    <row r="14112" spans="1:54" x14ac:dyDescent="0.3">
      <c r="A14112" s="66"/>
      <c r="B14112" s="67"/>
      <c r="C14112" s="66"/>
      <c r="D14112" s="68"/>
      <c r="E14112" s="10"/>
      <c r="F14112" s="69"/>
      <c r="G14112" s="68"/>
      <c r="H14112" s="70"/>
      <c r="BA14112" s="4"/>
      <c r="BB14112" s="4"/>
    </row>
    <row r="14113" spans="1:54" x14ac:dyDescent="0.3">
      <c r="A14113" s="66"/>
      <c r="B14113" s="67"/>
      <c r="C14113" s="66"/>
      <c r="D14113" s="68"/>
      <c r="E14113" s="10"/>
      <c r="F14113" s="69"/>
      <c r="G14113" s="68"/>
      <c r="H14113" s="70"/>
      <c r="BA14113" s="4"/>
      <c r="BB14113" s="4"/>
    </row>
    <row r="14114" spans="1:54" x14ac:dyDescent="0.3">
      <c r="A14114" s="66"/>
      <c r="B14114" s="67"/>
      <c r="C14114" s="66"/>
      <c r="D14114" s="68"/>
      <c r="E14114" s="10"/>
      <c r="F14114" s="69"/>
      <c r="G14114" s="68"/>
      <c r="H14114" s="70"/>
      <c r="BA14114" s="4"/>
      <c r="BB14114" s="4"/>
    </row>
    <row r="14115" spans="1:54" x14ac:dyDescent="0.3">
      <c r="A14115" s="66"/>
      <c r="B14115" s="67"/>
      <c r="C14115" s="66"/>
      <c r="D14115" s="68"/>
      <c r="E14115" s="10"/>
      <c r="F14115" s="69"/>
      <c r="G14115" s="68"/>
      <c r="H14115" s="70"/>
      <c r="BA14115" s="4"/>
      <c r="BB14115" s="4"/>
    </row>
    <row r="14116" spans="1:54" x14ac:dyDescent="0.3">
      <c r="A14116" s="66"/>
      <c r="B14116" s="67"/>
      <c r="C14116" s="66"/>
      <c r="D14116" s="68"/>
      <c r="E14116" s="10"/>
      <c r="F14116" s="69"/>
      <c r="G14116" s="68"/>
      <c r="H14116" s="70"/>
      <c r="BA14116" s="4"/>
      <c r="BB14116" s="4"/>
    </row>
    <row r="14117" spans="1:54" x14ac:dyDescent="0.3">
      <c r="A14117" s="66"/>
      <c r="B14117" s="67"/>
      <c r="C14117" s="66"/>
      <c r="D14117" s="68"/>
      <c r="E14117" s="10"/>
      <c r="F14117" s="69"/>
      <c r="G14117" s="68"/>
      <c r="H14117" s="70"/>
      <c r="BA14117" s="4"/>
      <c r="BB14117" s="4"/>
    </row>
    <row r="14118" spans="1:54" x14ac:dyDescent="0.3">
      <c r="A14118" s="66"/>
      <c r="B14118" s="67"/>
      <c r="C14118" s="66"/>
      <c r="D14118" s="68"/>
      <c r="E14118" s="10"/>
      <c r="F14118" s="69"/>
      <c r="G14118" s="68"/>
      <c r="H14118" s="70"/>
      <c r="BA14118" s="4"/>
      <c r="BB14118" s="4"/>
    </row>
    <row r="14119" spans="1:54" x14ac:dyDescent="0.3">
      <c r="A14119" s="66"/>
      <c r="B14119" s="67"/>
      <c r="C14119" s="66"/>
      <c r="D14119" s="68"/>
      <c r="E14119" s="10"/>
      <c r="F14119" s="69"/>
      <c r="G14119" s="68"/>
      <c r="H14119" s="70"/>
      <c r="BA14119" s="4"/>
      <c r="BB14119" s="4"/>
    </row>
    <row r="14120" spans="1:54" x14ac:dyDescent="0.3">
      <c r="A14120" s="66"/>
      <c r="B14120" s="67"/>
      <c r="C14120" s="66"/>
      <c r="D14120" s="68"/>
      <c r="E14120" s="10"/>
      <c r="F14120" s="69"/>
      <c r="G14120" s="68"/>
      <c r="H14120" s="70"/>
      <c r="BA14120" s="4"/>
      <c r="BB14120" s="4"/>
    </row>
    <row r="14121" spans="1:54" x14ac:dyDescent="0.3">
      <c r="A14121" s="66"/>
      <c r="B14121" s="67"/>
      <c r="C14121" s="66"/>
      <c r="D14121" s="68"/>
      <c r="E14121" s="10"/>
      <c r="F14121" s="69"/>
      <c r="G14121" s="68"/>
      <c r="H14121" s="70"/>
      <c r="BA14121" s="4"/>
      <c r="BB14121" s="4"/>
    </row>
    <row r="14122" spans="1:54" x14ac:dyDescent="0.3">
      <c r="A14122" s="66"/>
      <c r="B14122" s="67"/>
      <c r="C14122" s="66"/>
      <c r="D14122" s="68"/>
      <c r="E14122" s="10"/>
      <c r="F14122" s="69"/>
      <c r="G14122" s="68"/>
      <c r="H14122" s="70"/>
      <c r="BA14122" s="4"/>
      <c r="BB14122" s="4"/>
    </row>
    <row r="14123" spans="1:54" x14ac:dyDescent="0.3">
      <c r="A14123" s="66"/>
      <c r="B14123" s="67"/>
      <c r="C14123" s="66"/>
      <c r="D14123" s="68"/>
      <c r="E14123" s="10"/>
      <c r="F14123" s="69"/>
      <c r="G14123" s="68"/>
      <c r="H14123" s="70"/>
      <c r="BA14123" s="4"/>
      <c r="BB14123" s="4"/>
    </row>
    <row r="14124" spans="1:54" x14ac:dyDescent="0.3">
      <c r="A14124" s="66"/>
      <c r="B14124" s="67"/>
      <c r="C14124" s="66"/>
      <c r="D14124" s="68"/>
      <c r="E14124" s="10"/>
      <c r="F14124" s="69"/>
      <c r="G14124" s="68"/>
      <c r="H14124" s="70"/>
      <c r="BA14124" s="4"/>
      <c r="BB14124" s="4"/>
    </row>
    <row r="14125" spans="1:54" x14ac:dyDescent="0.3">
      <c r="A14125" s="66"/>
      <c r="B14125" s="67"/>
      <c r="C14125" s="66"/>
      <c r="D14125" s="68"/>
      <c r="E14125" s="10"/>
      <c r="F14125" s="69"/>
      <c r="G14125" s="68"/>
      <c r="H14125" s="70"/>
      <c r="BA14125" s="4"/>
      <c r="BB14125" s="4"/>
    </row>
    <row r="14126" spans="1:54" x14ac:dyDescent="0.3">
      <c r="A14126" s="66"/>
      <c r="B14126" s="67"/>
      <c r="C14126" s="66"/>
      <c r="D14126" s="68"/>
      <c r="E14126" s="10"/>
      <c r="F14126" s="69"/>
      <c r="G14126" s="68"/>
      <c r="H14126" s="70"/>
      <c r="BA14126" s="4"/>
      <c r="BB14126" s="4"/>
    </row>
    <row r="14127" spans="1:54" x14ac:dyDescent="0.3">
      <c r="A14127" s="66"/>
      <c r="B14127" s="67"/>
      <c r="C14127" s="66"/>
      <c r="D14127" s="68"/>
      <c r="E14127" s="10"/>
      <c r="F14127" s="69"/>
      <c r="G14127" s="68"/>
      <c r="H14127" s="70"/>
      <c r="BA14127" s="4"/>
      <c r="BB14127" s="4"/>
    </row>
    <row r="14128" spans="1:54" x14ac:dyDescent="0.3">
      <c r="A14128" s="66"/>
      <c r="B14128" s="67"/>
      <c r="C14128" s="66"/>
      <c r="D14128" s="68"/>
      <c r="E14128" s="10"/>
      <c r="F14128" s="69"/>
      <c r="G14128" s="68"/>
      <c r="H14128" s="70"/>
      <c r="BA14128" s="4"/>
      <c r="BB14128" s="4"/>
    </row>
    <row r="14129" spans="1:54" x14ac:dyDescent="0.3">
      <c r="A14129" s="66"/>
      <c r="B14129" s="67"/>
      <c r="C14129" s="66"/>
      <c r="D14129" s="68"/>
      <c r="E14129" s="10"/>
      <c r="F14129" s="69"/>
      <c r="G14129" s="68"/>
      <c r="H14129" s="70"/>
      <c r="BA14129" s="4"/>
      <c r="BB14129" s="4"/>
    </row>
    <row r="14130" spans="1:54" x14ac:dyDescent="0.3">
      <c r="A14130" s="66"/>
      <c r="B14130" s="67"/>
      <c r="C14130" s="66"/>
      <c r="D14130" s="68"/>
      <c r="E14130" s="10"/>
      <c r="F14130" s="69"/>
      <c r="G14130" s="68"/>
      <c r="H14130" s="70"/>
      <c r="BA14130" s="4"/>
      <c r="BB14130" s="4"/>
    </row>
    <row r="14131" spans="1:54" x14ac:dyDescent="0.3">
      <c r="A14131" s="66"/>
      <c r="B14131" s="67"/>
      <c r="C14131" s="66"/>
      <c r="D14131" s="68"/>
      <c r="E14131" s="10"/>
      <c r="F14131" s="69"/>
      <c r="G14131" s="68"/>
      <c r="H14131" s="70"/>
      <c r="BA14131" s="4"/>
      <c r="BB14131" s="4"/>
    </row>
    <row r="14132" spans="1:54" x14ac:dyDescent="0.3">
      <c r="A14132" s="66"/>
      <c r="B14132" s="67"/>
      <c r="C14132" s="66"/>
      <c r="D14132" s="68"/>
      <c r="E14132" s="10"/>
      <c r="F14132" s="69"/>
      <c r="G14132" s="68"/>
      <c r="H14132" s="70"/>
      <c r="BA14132" s="4"/>
      <c r="BB14132" s="4"/>
    </row>
    <row r="14133" spans="1:54" x14ac:dyDescent="0.3">
      <c r="A14133" s="66"/>
      <c r="B14133" s="67"/>
      <c r="C14133" s="66"/>
      <c r="D14133" s="68"/>
      <c r="E14133" s="10"/>
      <c r="F14133" s="69"/>
      <c r="G14133" s="68"/>
      <c r="H14133" s="70"/>
      <c r="BA14133" s="4"/>
      <c r="BB14133" s="4"/>
    </row>
    <row r="14134" spans="1:54" x14ac:dyDescent="0.3">
      <c r="A14134" s="66"/>
      <c r="B14134" s="67"/>
      <c r="C14134" s="66"/>
      <c r="D14134" s="68"/>
      <c r="E14134" s="10"/>
      <c r="F14134" s="69"/>
      <c r="G14134" s="68"/>
      <c r="H14134" s="70"/>
      <c r="BA14134" s="4"/>
      <c r="BB14134" s="4"/>
    </row>
    <row r="14135" spans="1:54" x14ac:dyDescent="0.3">
      <c r="A14135" s="66"/>
      <c r="B14135" s="67"/>
      <c r="C14135" s="66"/>
      <c r="D14135" s="68"/>
      <c r="E14135" s="10"/>
      <c r="F14135" s="69"/>
      <c r="G14135" s="68"/>
      <c r="H14135" s="70"/>
      <c r="BA14135" s="4"/>
      <c r="BB14135" s="4"/>
    </row>
    <row r="14136" spans="1:54" x14ac:dyDescent="0.3">
      <c r="A14136" s="66"/>
      <c r="B14136" s="67"/>
      <c r="C14136" s="66"/>
      <c r="D14136" s="68"/>
      <c r="E14136" s="10"/>
      <c r="F14136" s="69"/>
      <c r="G14136" s="68"/>
      <c r="H14136" s="70"/>
      <c r="BA14136" s="4"/>
      <c r="BB14136" s="4"/>
    </row>
    <row r="14137" spans="1:54" x14ac:dyDescent="0.3">
      <c r="A14137" s="66"/>
      <c r="B14137" s="67"/>
      <c r="C14137" s="66"/>
      <c r="D14137" s="68"/>
      <c r="E14137" s="10"/>
      <c r="F14137" s="69"/>
      <c r="G14137" s="68"/>
      <c r="H14137" s="70"/>
      <c r="BA14137" s="4"/>
      <c r="BB14137" s="4"/>
    </row>
    <row r="14138" spans="1:54" x14ac:dyDescent="0.3">
      <c r="A14138" s="66"/>
      <c r="B14138" s="67"/>
      <c r="C14138" s="66"/>
      <c r="D14138" s="68"/>
      <c r="E14138" s="10"/>
      <c r="F14138" s="69"/>
      <c r="G14138" s="68"/>
      <c r="H14138" s="70"/>
      <c r="BA14138" s="4"/>
      <c r="BB14138" s="4"/>
    </row>
    <row r="14139" spans="1:54" x14ac:dyDescent="0.3">
      <c r="A14139" s="66"/>
      <c r="B14139" s="67"/>
      <c r="C14139" s="66"/>
      <c r="D14139" s="68"/>
      <c r="E14139" s="10"/>
      <c r="F14139" s="69"/>
      <c r="G14139" s="68"/>
      <c r="H14139" s="70"/>
      <c r="BA14139" s="4"/>
      <c r="BB14139" s="4"/>
    </row>
    <row r="14140" spans="1:54" x14ac:dyDescent="0.3">
      <c r="A14140" s="66"/>
      <c r="B14140" s="67"/>
      <c r="C14140" s="66"/>
      <c r="D14140" s="68"/>
      <c r="E14140" s="10"/>
      <c r="F14140" s="69"/>
      <c r="G14140" s="68"/>
      <c r="H14140" s="70"/>
      <c r="BA14140" s="4"/>
      <c r="BB14140" s="4"/>
    </row>
    <row r="14141" spans="1:54" x14ac:dyDescent="0.3">
      <c r="A14141" s="66"/>
      <c r="B14141" s="67"/>
      <c r="C14141" s="66"/>
      <c r="D14141" s="68"/>
      <c r="E14141" s="10"/>
      <c r="F14141" s="69"/>
      <c r="G14141" s="68"/>
      <c r="H14141" s="70"/>
      <c r="BA14141" s="4"/>
      <c r="BB14141" s="4"/>
    </row>
    <row r="14142" spans="1:54" x14ac:dyDescent="0.3">
      <c r="A14142" s="66"/>
      <c r="B14142" s="67"/>
      <c r="C14142" s="66"/>
      <c r="D14142" s="68"/>
      <c r="E14142" s="10"/>
      <c r="F14142" s="69"/>
      <c r="G14142" s="68"/>
      <c r="H14142" s="70"/>
      <c r="BA14142" s="4"/>
      <c r="BB14142" s="4"/>
    </row>
    <row r="14143" spans="1:54" x14ac:dyDescent="0.3">
      <c r="A14143" s="66"/>
      <c r="B14143" s="67"/>
      <c r="C14143" s="66"/>
      <c r="D14143" s="68"/>
      <c r="E14143" s="10"/>
      <c r="F14143" s="69"/>
      <c r="G14143" s="68"/>
      <c r="H14143" s="70"/>
      <c r="BA14143" s="4"/>
      <c r="BB14143" s="4"/>
    </row>
    <row r="14144" spans="1:54" x14ac:dyDescent="0.3">
      <c r="A14144" s="66"/>
      <c r="B14144" s="67"/>
      <c r="C14144" s="66"/>
      <c r="D14144" s="68"/>
      <c r="E14144" s="10"/>
      <c r="F14144" s="69"/>
      <c r="G14144" s="68"/>
      <c r="H14144" s="70"/>
      <c r="BA14144" s="4"/>
      <c r="BB14144" s="4"/>
    </row>
    <row r="14145" spans="1:54" x14ac:dyDescent="0.3">
      <c r="A14145" s="66"/>
      <c r="B14145" s="67"/>
      <c r="C14145" s="66"/>
      <c r="D14145" s="68"/>
      <c r="E14145" s="10"/>
      <c r="F14145" s="69"/>
      <c r="G14145" s="68"/>
      <c r="H14145" s="70"/>
      <c r="BA14145" s="4"/>
      <c r="BB14145" s="4"/>
    </row>
    <row r="14146" spans="1:54" x14ac:dyDescent="0.3">
      <c r="A14146" s="66"/>
      <c r="B14146" s="67"/>
      <c r="C14146" s="66"/>
      <c r="D14146" s="68"/>
      <c r="E14146" s="10"/>
      <c r="F14146" s="69"/>
      <c r="G14146" s="68"/>
      <c r="H14146" s="70"/>
      <c r="BA14146" s="4"/>
      <c r="BB14146" s="4"/>
    </row>
    <row r="14147" spans="1:54" x14ac:dyDescent="0.3">
      <c r="A14147" s="66"/>
      <c r="B14147" s="67"/>
      <c r="C14147" s="66"/>
      <c r="D14147" s="68"/>
      <c r="E14147" s="10"/>
      <c r="F14147" s="69"/>
      <c r="G14147" s="68"/>
      <c r="H14147" s="70"/>
      <c r="BA14147" s="4"/>
      <c r="BB14147" s="4"/>
    </row>
    <row r="14148" spans="1:54" x14ac:dyDescent="0.3">
      <c r="A14148" s="66"/>
      <c r="B14148" s="67"/>
      <c r="C14148" s="66"/>
      <c r="D14148" s="68"/>
      <c r="E14148" s="10"/>
      <c r="F14148" s="69"/>
      <c r="G14148" s="68"/>
      <c r="H14148" s="70"/>
      <c r="BA14148" s="4"/>
      <c r="BB14148" s="4"/>
    </row>
    <row r="14149" spans="1:54" x14ac:dyDescent="0.3">
      <c r="A14149" s="66"/>
      <c r="B14149" s="67"/>
      <c r="C14149" s="66"/>
      <c r="D14149" s="68"/>
      <c r="E14149" s="10"/>
      <c r="F14149" s="69"/>
      <c r="G14149" s="68"/>
      <c r="H14149" s="70"/>
      <c r="BA14149" s="4"/>
      <c r="BB14149" s="4"/>
    </row>
    <row r="14150" spans="1:54" x14ac:dyDescent="0.3">
      <c r="A14150" s="66"/>
      <c r="B14150" s="67"/>
      <c r="C14150" s="66"/>
      <c r="D14150" s="68"/>
      <c r="E14150" s="10"/>
      <c r="F14150" s="69"/>
      <c r="G14150" s="68"/>
      <c r="H14150" s="70"/>
      <c r="BA14150" s="4"/>
      <c r="BB14150" s="4"/>
    </row>
    <row r="14151" spans="1:54" x14ac:dyDescent="0.3">
      <c r="A14151" s="66"/>
      <c r="B14151" s="67"/>
      <c r="C14151" s="66"/>
      <c r="D14151" s="68"/>
      <c r="E14151" s="10"/>
      <c r="F14151" s="69"/>
      <c r="G14151" s="68"/>
      <c r="H14151" s="70"/>
      <c r="BA14151" s="4"/>
      <c r="BB14151" s="4"/>
    </row>
    <row r="14152" spans="1:54" x14ac:dyDescent="0.3">
      <c r="A14152" s="66"/>
      <c r="B14152" s="67"/>
      <c r="C14152" s="66"/>
      <c r="D14152" s="68"/>
      <c r="E14152" s="10"/>
      <c r="F14152" s="69"/>
      <c r="G14152" s="68"/>
      <c r="H14152" s="70"/>
      <c r="BA14152" s="4"/>
      <c r="BB14152" s="4"/>
    </row>
    <row r="14153" spans="1:54" x14ac:dyDescent="0.3">
      <c r="A14153" s="66"/>
      <c r="B14153" s="67"/>
      <c r="C14153" s="66"/>
      <c r="D14153" s="68"/>
      <c r="E14153" s="10"/>
      <c r="F14153" s="69"/>
      <c r="G14153" s="68"/>
      <c r="H14153" s="70"/>
      <c r="BA14153" s="4"/>
      <c r="BB14153" s="4"/>
    </row>
    <row r="14154" spans="1:54" x14ac:dyDescent="0.3">
      <c r="A14154" s="66"/>
      <c r="B14154" s="67"/>
      <c r="C14154" s="66"/>
      <c r="D14154" s="68"/>
      <c r="E14154" s="10"/>
      <c r="F14154" s="69"/>
      <c r="G14154" s="68"/>
      <c r="H14154" s="70"/>
      <c r="BA14154" s="4"/>
      <c r="BB14154" s="4"/>
    </row>
    <row r="14155" spans="1:54" x14ac:dyDescent="0.3">
      <c r="A14155" s="66"/>
      <c r="B14155" s="67"/>
      <c r="C14155" s="66"/>
      <c r="D14155" s="68"/>
      <c r="E14155" s="10"/>
      <c r="F14155" s="69"/>
      <c r="G14155" s="68"/>
      <c r="H14155" s="70"/>
      <c r="BA14155" s="4"/>
      <c r="BB14155" s="4"/>
    </row>
    <row r="14156" spans="1:54" x14ac:dyDescent="0.3">
      <c r="A14156" s="66"/>
      <c r="B14156" s="67"/>
      <c r="C14156" s="66"/>
      <c r="D14156" s="68"/>
      <c r="E14156" s="10"/>
      <c r="F14156" s="69"/>
      <c r="G14156" s="68"/>
      <c r="H14156" s="70"/>
      <c r="BA14156" s="4"/>
      <c r="BB14156" s="4"/>
    </row>
    <row r="14157" spans="1:54" x14ac:dyDescent="0.3">
      <c r="A14157" s="66"/>
      <c r="B14157" s="67"/>
      <c r="C14157" s="66"/>
      <c r="D14157" s="68"/>
      <c r="E14157" s="10"/>
      <c r="F14157" s="69"/>
      <c r="G14157" s="68"/>
      <c r="H14157" s="70"/>
      <c r="BA14157" s="4"/>
      <c r="BB14157" s="4"/>
    </row>
    <row r="14158" spans="1:54" x14ac:dyDescent="0.3">
      <c r="A14158" s="66"/>
      <c r="B14158" s="67"/>
      <c r="C14158" s="66"/>
      <c r="D14158" s="68"/>
      <c r="E14158" s="10"/>
      <c r="F14158" s="69"/>
      <c r="G14158" s="68"/>
      <c r="H14158" s="70"/>
      <c r="BA14158" s="4"/>
      <c r="BB14158" s="4"/>
    </row>
    <row r="14159" spans="1:54" x14ac:dyDescent="0.3">
      <c r="A14159" s="66"/>
      <c r="B14159" s="67"/>
      <c r="C14159" s="66"/>
      <c r="D14159" s="68"/>
      <c r="E14159" s="10"/>
      <c r="F14159" s="69"/>
      <c r="G14159" s="68"/>
      <c r="H14159" s="70"/>
      <c r="BA14159" s="4"/>
      <c r="BB14159" s="4"/>
    </row>
    <row r="14160" spans="1:54" x14ac:dyDescent="0.3">
      <c r="A14160" s="66"/>
      <c r="B14160" s="67"/>
      <c r="C14160" s="66"/>
      <c r="D14160" s="68"/>
      <c r="E14160" s="10"/>
      <c r="F14160" s="69"/>
      <c r="G14160" s="68"/>
      <c r="H14160" s="70"/>
      <c r="BA14160" s="4"/>
      <c r="BB14160" s="4"/>
    </row>
    <row r="14161" spans="1:54" x14ac:dyDescent="0.3">
      <c r="A14161" s="66"/>
      <c r="B14161" s="67"/>
      <c r="C14161" s="66"/>
      <c r="D14161" s="68"/>
      <c r="E14161" s="10"/>
      <c r="F14161" s="69"/>
      <c r="G14161" s="68"/>
      <c r="H14161" s="70"/>
      <c r="BA14161" s="4"/>
      <c r="BB14161" s="4"/>
    </row>
    <row r="14162" spans="1:54" x14ac:dyDescent="0.3">
      <c r="A14162" s="66"/>
      <c r="B14162" s="67"/>
      <c r="C14162" s="66"/>
      <c r="D14162" s="68"/>
      <c r="E14162" s="10"/>
      <c r="F14162" s="69"/>
      <c r="G14162" s="68"/>
      <c r="H14162" s="70"/>
      <c r="BA14162" s="4"/>
      <c r="BB14162" s="4"/>
    </row>
    <row r="14163" spans="1:54" x14ac:dyDescent="0.3">
      <c r="A14163" s="66"/>
      <c r="B14163" s="67"/>
      <c r="C14163" s="66"/>
      <c r="D14163" s="68"/>
      <c r="E14163" s="10"/>
      <c r="F14163" s="69"/>
      <c r="G14163" s="68"/>
      <c r="H14163" s="70"/>
      <c r="BA14163" s="4"/>
      <c r="BB14163" s="4"/>
    </row>
    <row r="14164" spans="1:54" x14ac:dyDescent="0.3">
      <c r="A14164" s="66"/>
      <c r="B14164" s="67"/>
      <c r="C14164" s="66"/>
      <c r="D14164" s="68"/>
      <c r="E14164" s="10"/>
      <c r="F14164" s="69"/>
      <c r="G14164" s="68"/>
      <c r="H14164" s="70"/>
      <c r="BA14164" s="4"/>
      <c r="BB14164" s="4"/>
    </row>
    <row r="14165" spans="1:54" x14ac:dyDescent="0.3">
      <c r="A14165" s="66"/>
      <c r="B14165" s="67"/>
      <c r="C14165" s="66"/>
      <c r="D14165" s="68"/>
      <c r="E14165" s="10"/>
      <c r="F14165" s="69"/>
      <c r="G14165" s="68"/>
      <c r="H14165" s="70"/>
      <c r="BA14165" s="4"/>
      <c r="BB14165" s="4"/>
    </row>
    <row r="14166" spans="1:54" x14ac:dyDescent="0.3">
      <c r="A14166" s="66"/>
      <c r="B14166" s="67"/>
      <c r="C14166" s="66"/>
      <c r="D14166" s="68"/>
      <c r="E14166" s="10"/>
      <c r="F14166" s="69"/>
      <c r="G14166" s="68"/>
      <c r="H14166" s="70"/>
      <c r="BA14166" s="4"/>
      <c r="BB14166" s="4"/>
    </row>
    <row r="14167" spans="1:54" x14ac:dyDescent="0.3">
      <c r="A14167" s="66"/>
      <c r="B14167" s="67"/>
      <c r="C14167" s="66"/>
      <c r="D14167" s="68"/>
      <c r="E14167" s="10"/>
      <c r="F14167" s="69"/>
      <c r="G14167" s="68"/>
      <c r="H14167" s="70"/>
      <c r="BA14167" s="4"/>
      <c r="BB14167" s="4"/>
    </row>
    <row r="14168" spans="1:54" x14ac:dyDescent="0.3">
      <c r="A14168" s="66"/>
      <c r="B14168" s="67"/>
      <c r="C14168" s="66"/>
      <c r="D14168" s="68"/>
      <c r="E14168" s="10"/>
      <c r="F14168" s="69"/>
      <c r="G14168" s="68"/>
      <c r="H14168" s="70"/>
      <c r="BA14168" s="4"/>
      <c r="BB14168" s="4"/>
    </row>
    <row r="14169" spans="1:54" x14ac:dyDescent="0.3">
      <c r="A14169" s="66"/>
      <c r="B14169" s="67"/>
      <c r="C14169" s="66"/>
      <c r="D14169" s="68"/>
      <c r="E14169" s="10"/>
      <c r="F14169" s="69"/>
      <c r="G14169" s="68"/>
      <c r="H14169" s="70"/>
      <c r="BA14169" s="4"/>
      <c r="BB14169" s="4"/>
    </row>
    <row r="14170" spans="1:54" x14ac:dyDescent="0.3">
      <c r="A14170" s="66"/>
      <c r="B14170" s="67"/>
      <c r="C14170" s="66"/>
      <c r="D14170" s="68"/>
      <c r="E14170" s="10"/>
      <c r="F14170" s="69"/>
      <c r="G14170" s="68"/>
      <c r="H14170" s="70"/>
      <c r="BA14170" s="4"/>
      <c r="BB14170" s="4"/>
    </row>
    <row r="14171" spans="1:54" x14ac:dyDescent="0.3">
      <c r="A14171" s="66"/>
      <c r="B14171" s="67"/>
      <c r="C14171" s="66"/>
      <c r="D14171" s="68"/>
      <c r="E14171" s="10"/>
      <c r="F14171" s="69"/>
      <c r="G14171" s="68"/>
      <c r="H14171" s="70"/>
      <c r="BA14171" s="4"/>
      <c r="BB14171" s="4"/>
    </row>
    <row r="14172" spans="1:54" x14ac:dyDescent="0.3">
      <c r="A14172" s="66"/>
      <c r="B14172" s="67"/>
      <c r="C14172" s="66"/>
      <c r="D14172" s="68"/>
      <c r="E14172" s="10"/>
      <c r="F14172" s="69"/>
      <c r="G14172" s="68"/>
      <c r="H14172" s="70"/>
      <c r="BA14172" s="4"/>
      <c r="BB14172" s="4"/>
    </row>
    <row r="14173" spans="1:54" x14ac:dyDescent="0.3">
      <c r="A14173" s="66"/>
      <c r="B14173" s="67"/>
      <c r="C14173" s="66"/>
      <c r="D14173" s="68"/>
      <c r="E14173" s="10"/>
      <c r="F14173" s="69"/>
      <c r="G14173" s="68"/>
      <c r="H14173" s="70"/>
      <c r="BA14173" s="4"/>
      <c r="BB14173" s="4"/>
    </row>
    <row r="14174" spans="1:54" x14ac:dyDescent="0.3">
      <c r="A14174" s="66"/>
      <c r="B14174" s="67"/>
      <c r="C14174" s="66"/>
      <c r="D14174" s="68"/>
      <c r="E14174" s="10"/>
      <c r="F14174" s="69"/>
      <c r="G14174" s="68"/>
      <c r="H14174" s="70"/>
      <c r="BA14174" s="4"/>
      <c r="BB14174" s="4"/>
    </row>
    <row r="14175" spans="1:54" x14ac:dyDescent="0.3">
      <c r="A14175" s="66"/>
      <c r="B14175" s="67"/>
      <c r="C14175" s="66"/>
      <c r="D14175" s="68"/>
      <c r="E14175" s="10"/>
      <c r="F14175" s="69"/>
      <c r="G14175" s="68"/>
      <c r="H14175" s="70"/>
      <c r="BA14175" s="4"/>
      <c r="BB14175" s="4"/>
    </row>
    <row r="14176" spans="1:54" x14ac:dyDescent="0.3">
      <c r="A14176" s="66"/>
      <c r="B14176" s="67"/>
      <c r="C14176" s="66"/>
      <c r="D14176" s="68"/>
      <c r="E14176" s="10"/>
      <c r="F14176" s="69"/>
      <c r="G14176" s="68"/>
      <c r="H14176" s="70"/>
      <c r="BA14176" s="4"/>
      <c r="BB14176" s="4"/>
    </row>
    <row r="14177" spans="1:54" x14ac:dyDescent="0.3">
      <c r="A14177" s="66"/>
      <c r="B14177" s="67"/>
      <c r="C14177" s="66"/>
      <c r="D14177" s="68"/>
      <c r="E14177" s="10"/>
      <c r="F14177" s="69"/>
      <c r="G14177" s="68"/>
      <c r="H14177" s="70"/>
      <c r="BA14177" s="4"/>
      <c r="BB14177" s="4"/>
    </row>
    <row r="14178" spans="1:54" x14ac:dyDescent="0.3">
      <c r="A14178" s="66"/>
      <c r="B14178" s="67"/>
      <c r="C14178" s="66"/>
      <c r="D14178" s="68"/>
      <c r="E14178" s="10"/>
      <c r="F14178" s="69"/>
      <c r="G14178" s="68"/>
      <c r="H14178" s="70"/>
      <c r="BA14178" s="4"/>
      <c r="BB14178" s="4"/>
    </row>
    <row r="14179" spans="1:54" x14ac:dyDescent="0.3">
      <c r="A14179" s="66"/>
      <c r="B14179" s="67"/>
      <c r="C14179" s="66"/>
      <c r="D14179" s="68"/>
      <c r="E14179" s="10"/>
      <c r="F14179" s="69"/>
      <c r="G14179" s="68"/>
      <c r="H14179" s="70"/>
      <c r="BA14179" s="4"/>
      <c r="BB14179" s="4"/>
    </row>
    <row r="14180" spans="1:54" x14ac:dyDescent="0.3">
      <c r="A14180" s="66"/>
      <c r="B14180" s="67"/>
      <c r="C14180" s="66"/>
      <c r="D14180" s="68"/>
      <c r="E14180" s="10"/>
      <c r="F14180" s="69"/>
      <c r="G14180" s="68"/>
      <c r="H14180" s="70"/>
      <c r="BA14180" s="4"/>
      <c r="BB14180" s="4"/>
    </row>
    <row r="14181" spans="1:54" x14ac:dyDescent="0.3">
      <c r="A14181" s="66"/>
      <c r="B14181" s="67"/>
      <c r="C14181" s="66"/>
      <c r="D14181" s="68"/>
      <c r="E14181" s="10"/>
      <c r="F14181" s="69"/>
      <c r="G14181" s="68"/>
      <c r="H14181" s="70"/>
      <c r="BA14181" s="4"/>
      <c r="BB14181" s="4"/>
    </row>
    <row r="14182" spans="1:54" x14ac:dyDescent="0.3">
      <c r="A14182" s="66"/>
      <c r="B14182" s="67"/>
      <c r="C14182" s="66"/>
      <c r="D14182" s="68"/>
      <c r="E14182" s="10"/>
      <c r="F14182" s="69"/>
      <c r="G14182" s="68"/>
      <c r="H14182" s="70"/>
      <c r="BA14182" s="4"/>
      <c r="BB14182" s="4"/>
    </row>
    <row r="14183" spans="1:54" x14ac:dyDescent="0.3">
      <c r="A14183" s="66"/>
      <c r="B14183" s="67"/>
      <c r="C14183" s="66"/>
      <c r="D14183" s="68"/>
      <c r="E14183" s="10"/>
      <c r="F14183" s="69"/>
      <c r="G14183" s="68"/>
      <c r="H14183" s="70"/>
      <c r="BA14183" s="4"/>
      <c r="BB14183" s="4"/>
    </row>
    <row r="14184" spans="1:54" x14ac:dyDescent="0.3">
      <c r="A14184" s="66"/>
      <c r="B14184" s="67"/>
      <c r="C14184" s="66"/>
      <c r="D14184" s="68"/>
      <c r="E14184" s="10"/>
      <c r="F14184" s="69"/>
      <c r="G14184" s="68"/>
      <c r="H14184" s="70"/>
      <c r="BA14184" s="4"/>
      <c r="BB14184" s="4"/>
    </row>
    <row r="14185" spans="1:54" x14ac:dyDescent="0.3">
      <c r="A14185" s="66"/>
      <c r="B14185" s="67"/>
      <c r="C14185" s="66"/>
      <c r="D14185" s="68"/>
      <c r="E14185" s="10"/>
      <c r="F14185" s="69"/>
      <c r="G14185" s="68"/>
      <c r="H14185" s="70"/>
      <c r="BA14185" s="4"/>
      <c r="BB14185" s="4"/>
    </row>
    <row r="14186" spans="1:54" x14ac:dyDescent="0.3">
      <c r="A14186" s="66"/>
      <c r="B14186" s="67"/>
      <c r="C14186" s="66"/>
      <c r="D14186" s="68"/>
      <c r="E14186" s="10"/>
      <c r="F14186" s="69"/>
      <c r="G14186" s="68"/>
      <c r="H14186" s="70"/>
      <c r="BA14186" s="4"/>
      <c r="BB14186" s="4"/>
    </row>
    <row r="14187" spans="1:54" x14ac:dyDescent="0.3">
      <c r="A14187" s="66"/>
      <c r="B14187" s="67"/>
      <c r="C14187" s="66"/>
      <c r="D14187" s="68"/>
      <c r="E14187" s="10"/>
      <c r="F14187" s="69"/>
      <c r="G14187" s="68"/>
      <c r="H14187" s="70"/>
      <c r="BA14187" s="4"/>
      <c r="BB14187" s="4"/>
    </row>
    <row r="14188" spans="1:54" x14ac:dyDescent="0.3">
      <c r="A14188" s="66"/>
      <c r="B14188" s="67"/>
      <c r="C14188" s="66"/>
      <c r="D14188" s="68"/>
      <c r="E14188" s="10"/>
      <c r="F14188" s="69"/>
      <c r="G14188" s="68"/>
      <c r="H14188" s="70"/>
      <c r="BA14188" s="4"/>
      <c r="BB14188" s="4"/>
    </row>
    <row r="14189" spans="1:54" x14ac:dyDescent="0.3">
      <c r="A14189" s="66"/>
      <c r="B14189" s="67"/>
      <c r="C14189" s="66"/>
      <c r="D14189" s="68"/>
      <c r="E14189" s="10"/>
      <c r="F14189" s="69"/>
      <c r="G14189" s="68"/>
      <c r="H14189" s="70"/>
      <c r="BA14189" s="4"/>
      <c r="BB14189" s="4"/>
    </row>
    <row r="14190" spans="1:54" x14ac:dyDescent="0.3">
      <c r="A14190" s="66"/>
      <c r="B14190" s="67"/>
      <c r="C14190" s="66"/>
      <c r="D14190" s="68"/>
      <c r="E14190" s="10"/>
      <c r="F14190" s="69"/>
      <c r="G14190" s="68"/>
      <c r="H14190" s="70"/>
      <c r="BA14190" s="4"/>
      <c r="BB14190" s="4"/>
    </row>
    <row r="14191" spans="1:54" x14ac:dyDescent="0.3">
      <c r="A14191" s="66"/>
      <c r="B14191" s="67"/>
      <c r="C14191" s="66"/>
      <c r="D14191" s="68"/>
      <c r="E14191" s="10"/>
      <c r="F14191" s="69"/>
      <c r="G14191" s="68"/>
      <c r="H14191" s="70"/>
      <c r="BA14191" s="4"/>
      <c r="BB14191" s="4"/>
    </row>
    <row r="14192" spans="1:54" x14ac:dyDescent="0.3">
      <c r="A14192" s="66"/>
      <c r="B14192" s="67"/>
      <c r="C14192" s="66"/>
      <c r="D14192" s="68"/>
      <c r="E14192" s="10"/>
      <c r="F14192" s="69"/>
      <c r="G14192" s="68"/>
      <c r="H14192" s="70"/>
      <c r="BA14192" s="4"/>
      <c r="BB14192" s="4"/>
    </row>
    <row r="14193" spans="1:54" x14ac:dyDescent="0.3">
      <c r="A14193" s="66"/>
      <c r="B14193" s="67"/>
      <c r="C14193" s="66"/>
      <c r="D14193" s="68"/>
      <c r="E14193" s="10"/>
      <c r="F14193" s="69"/>
      <c r="G14193" s="68"/>
      <c r="H14193" s="70"/>
      <c r="BA14193" s="4"/>
      <c r="BB14193" s="4"/>
    </row>
    <row r="14194" spans="1:54" x14ac:dyDescent="0.3">
      <c r="A14194" s="66"/>
      <c r="B14194" s="67"/>
      <c r="C14194" s="66"/>
      <c r="D14194" s="68"/>
      <c r="E14194" s="10"/>
      <c r="F14194" s="69"/>
      <c r="G14194" s="68"/>
      <c r="H14194" s="70"/>
      <c r="BA14194" s="4"/>
      <c r="BB14194" s="4"/>
    </row>
    <row r="14195" spans="1:54" x14ac:dyDescent="0.3">
      <c r="A14195" s="66"/>
      <c r="B14195" s="67"/>
      <c r="C14195" s="66"/>
      <c r="D14195" s="68"/>
      <c r="E14195" s="10"/>
      <c r="F14195" s="69"/>
      <c r="G14195" s="68"/>
      <c r="H14195" s="70"/>
      <c r="BA14195" s="4"/>
      <c r="BB14195" s="4"/>
    </row>
    <row r="14196" spans="1:54" x14ac:dyDescent="0.3">
      <c r="A14196" s="66"/>
      <c r="B14196" s="67"/>
      <c r="C14196" s="66"/>
      <c r="D14196" s="68"/>
      <c r="E14196" s="10"/>
      <c r="F14196" s="69"/>
      <c r="G14196" s="68"/>
      <c r="H14196" s="70"/>
      <c r="BA14196" s="4"/>
      <c r="BB14196" s="4"/>
    </row>
    <row r="14197" spans="1:54" x14ac:dyDescent="0.3">
      <c r="A14197" s="66"/>
      <c r="B14197" s="67"/>
      <c r="C14197" s="66"/>
      <c r="D14197" s="68"/>
      <c r="E14197" s="10"/>
      <c r="F14197" s="69"/>
      <c r="G14197" s="68"/>
      <c r="H14197" s="70"/>
      <c r="BA14197" s="4"/>
      <c r="BB14197" s="4"/>
    </row>
    <row r="14198" spans="1:54" x14ac:dyDescent="0.3">
      <c r="A14198" s="66"/>
      <c r="B14198" s="67"/>
      <c r="C14198" s="66"/>
      <c r="D14198" s="68"/>
      <c r="E14198" s="10"/>
      <c r="F14198" s="69"/>
      <c r="G14198" s="68"/>
      <c r="H14198" s="70"/>
      <c r="BA14198" s="4"/>
      <c r="BB14198" s="4"/>
    </row>
    <row r="14199" spans="1:54" x14ac:dyDescent="0.3">
      <c r="A14199" s="66"/>
      <c r="B14199" s="67"/>
      <c r="C14199" s="66"/>
      <c r="D14199" s="68"/>
      <c r="E14199" s="10"/>
      <c r="F14199" s="69"/>
      <c r="G14199" s="68"/>
      <c r="H14199" s="70"/>
      <c r="BA14199" s="4"/>
      <c r="BB14199" s="4"/>
    </row>
    <row r="14200" spans="1:54" x14ac:dyDescent="0.3">
      <c r="A14200" s="66"/>
      <c r="B14200" s="67"/>
      <c r="C14200" s="66"/>
      <c r="D14200" s="68"/>
      <c r="E14200" s="10"/>
      <c r="F14200" s="69"/>
      <c r="G14200" s="68"/>
      <c r="H14200" s="70"/>
      <c r="BA14200" s="4"/>
      <c r="BB14200" s="4"/>
    </row>
    <row r="14201" spans="1:54" x14ac:dyDescent="0.3">
      <c r="A14201" s="66"/>
      <c r="B14201" s="67"/>
      <c r="C14201" s="66"/>
      <c r="D14201" s="68"/>
      <c r="E14201" s="10"/>
      <c r="F14201" s="69"/>
      <c r="G14201" s="68"/>
      <c r="H14201" s="70"/>
      <c r="BA14201" s="4"/>
      <c r="BB14201" s="4"/>
    </row>
    <row r="14202" spans="1:54" x14ac:dyDescent="0.3">
      <c r="A14202" s="66"/>
      <c r="B14202" s="67"/>
      <c r="C14202" s="66"/>
      <c r="D14202" s="68"/>
      <c r="E14202" s="10"/>
      <c r="F14202" s="69"/>
      <c r="G14202" s="68"/>
      <c r="H14202" s="70"/>
      <c r="BA14202" s="4"/>
      <c r="BB14202" s="4"/>
    </row>
    <row r="14203" spans="1:54" x14ac:dyDescent="0.3">
      <c r="A14203" s="66"/>
      <c r="B14203" s="67"/>
      <c r="C14203" s="66"/>
      <c r="D14203" s="68"/>
      <c r="E14203" s="10"/>
      <c r="F14203" s="69"/>
      <c r="G14203" s="68"/>
      <c r="H14203" s="70"/>
      <c r="BA14203" s="4"/>
      <c r="BB14203" s="4"/>
    </row>
    <row r="14204" spans="1:54" x14ac:dyDescent="0.3">
      <c r="A14204" s="66"/>
      <c r="B14204" s="67"/>
      <c r="C14204" s="66"/>
      <c r="D14204" s="68"/>
      <c r="E14204" s="10"/>
      <c r="F14204" s="69"/>
      <c r="G14204" s="68"/>
      <c r="H14204" s="70"/>
      <c r="BA14204" s="4"/>
      <c r="BB14204" s="4"/>
    </row>
    <row r="14205" spans="1:54" x14ac:dyDescent="0.3">
      <c r="A14205" s="66"/>
      <c r="B14205" s="67"/>
      <c r="C14205" s="66"/>
      <c r="D14205" s="68"/>
      <c r="E14205" s="10"/>
      <c r="F14205" s="69"/>
      <c r="G14205" s="68"/>
      <c r="H14205" s="70"/>
      <c r="BA14205" s="4"/>
      <c r="BB14205" s="4"/>
    </row>
    <row r="14206" spans="1:54" x14ac:dyDescent="0.3">
      <c r="A14206" s="66"/>
      <c r="B14206" s="67"/>
      <c r="C14206" s="66"/>
      <c r="D14206" s="68"/>
      <c r="E14206" s="10"/>
      <c r="F14206" s="69"/>
      <c r="G14206" s="68"/>
      <c r="H14206" s="70"/>
      <c r="BA14206" s="4"/>
      <c r="BB14206" s="4"/>
    </row>
    <row r="14207" spans="1:54" x14ac:dyDescent="0.3">
      <c r="A14207" s="66"/>
      <c r="B14207" s="67"/>
      <c r="C14207" s="66"/>
      <c r="D14207" s="68"/>
      <c r="E14207" s="10"/>
      <c r="F14207" s="69"/>
      <c r="G14207" s="68"/>
      <c r="H14207" s="70"/>
      <c r="BA14207" s="4"/>
      <c r="BB14207" s="4"/>
    </row>
    <row r="14208" spans="1:54" x14ac:dyDescent="0.3">
      <c r="A14208" s="66"/>
      <c r="B14208" s="67"/>
      <c r="C14208" s="66"/>
      <c r="D14208" s="68"/>
      <c r="E14208" s="10"/>
      <c r="F14208" s="69"/>
      <c r="G14208" s="68"/>
      <c r="H14208" s="70"/>
      <c r="BA14208" s="4"/>
      <c r="BB14208" s="4"/>
    </row>
    <row r="14209" spans="1:54" x14ac:dyDescent="0.3">
      <c r="A14209" s="66"/>
      <c r="B14209" s="67"/>
      <c r="C14209" s="66"/>
      <c r="D14209" s="68"/>
      <c r="E14209" s="10"/>
      <c r="F14209" s="69"/>
      <c r="G14209" s="68"/>
      <c r="H14209" s="70"/>
      <c r="BA14209" s="4"/>
      <c r="BB14209" s="4"/>
    </row>
    <row r="14210" spans="1:54" x14ac:dyDescent="0.3">
      <c r="A14210" s="66"/>
      <c r="B14210" s="67"/>
      <c r="C14210" s="66"/>
      <c r="D14210" s="68"/>
      <c r="E14210" s="10"/>
      <c r="F14210" s="69"/>
      <c r="G14210" s="68"/>
      <c r="H14210" s="70"/>
      <c r="BA14210" s="4"/>
      <c r="BB14210" s="4"/>
    </row>
    <row r="14211" spans="1:54" x14ac:dyDescent="0.3">
      <c r="A14211" s="66"/>
      <c r="B14211" s="67"/>
      <c r="C14211" s="66"/>
      <c r="D14211" s="68"/>
      <c r="E14211" s="10"/>
      <c r="F14211" s="69"/>
      <c r="G14211" s="68"/>
      <c r="H14211" s="70"/>
      <c r="BA14211" s="4"/>
      <c r="BB14211" s="4"/>
    </row>
    <row r="14212" spans="1:54" x14ac:dyDescent="0.3">
      <c r="A14212" s="66"/>
      <c r="B14212" s="67"/>
      <c r="C14212" s="66"/>
      <c r="D14212" s="68"/>
      <c r="E14212" s="10"/>
      <c r="F14212" s="69"/>
      <c r="G14212" s="68"/>
      <c r="H14212" s="70"/>
      <c r="BA14212" s="4"/>
      <c r="BB14212" s="4"/>
    </row>
    <row r="14213" spans="1:54" x14ac:dyDescent="0.3">
      <c r="A14213" s="66"/>
      <c r="B14213" s="67"/>
      <c r="C14213" s="66"/>
      <c r="D14213" s="68"/>
      <c r="E14213" s="10"/>
      <c r="F14213" s="69"/>
      <c r="G14213" s="68"/>
      <c r="H14213" s="70"/>
      <c r="BA14213" s="4"/>
      <c r="BB14213" s="4"/>
    </row>
    <row r="14214" spans="1:54" x14ac:dyDescent="0.3">
      <c r="A14214" s="66"/>
      <c r="B14214" s="67"/>
      <c r="C14214" s="66"/>
      <c r="D14214" s="68"/>
      <c r="E14214" s="10"/>
      <c r="F14214" s="69"/>
      <c r="G14214" s="68"/>
      <c r="H14214" s="70"/>
      <c r="BA14214" s="4"/>
      <c r="BB14214" s="4"/>
    </row>
    <row r="14215" spans="1:54" x14ac:dyDescent="0.3">
      <c r="A14215" s="66"/>
      <c r="B14215" s="67"/>
      <c r="C14215" s="66"/>
      <c r="D14215" s="68"/>
      <c r="E14215" s="10"/>
      <c r="F14215" s="69"/>
      <c r="G14215" s="68"/>
      <c r="H14215" s="70"/>
      <c r="BA14215" s="4"/>
      <c r="BB14215" s="4"/>
    </row>
    <row r="14216" spans="1:54" x14ac:dyDescent="0.3">
      <c r="A14216" s="66"/>
      <c r="B14216" s="67"/>
      <c r="C14216" s="66"/>
      <c r="D14216" s="68"/>
      <c r="E14216" s="10"/>
      <c r="F14216" s="69"/>
      <c r="G14216" s="68"/>
      <c r="H14216" s="70"/>
      <c r="BA14216" s="4"/>
      <c r="BB14216" s="4"/>
    </row>
    <row r="14217" spans="1:54" x14ac:dyDescent="0.3">
      <c r="A14217" s="66"/>
      <c r="B14217" s="67"/>
      <c r="C14217" s="66"/>
      <c r="D14217" s="68"/>
      <c r="E14217" s="10"/>
      <c r="F14217" s="69"/>
      <c r="G14217" s="68"/>
      <c r="H14217" s="70"/>
      <c r="BA14217" s="4"/>
      <c r="BB14217" s="4"/>
    </row>
    <row r="14218" spans="1:54" x14ac:dyDescent="0.3">
      <c r="A14218" s="66"/>
      <c r="B14218" s="67"/>
      <c r="C14218" s="66"/>
      <c r="D14218" s="68"/>
      <c r="E14218" s="10"/>
      <c r="F14218" s="69"/>
      <c r="G14218" s="68"/>
      <c r="H14218" s="70"/>
      <c r="BA14218" s="4"/>
      <c r="BB14218" s="4"/>
    </row>
    <row r="14219" spans="1:54" x14ac:dyDescent="0.3">
      <c r="A14219" s="66"/>
      <c r="B14219" s="67"/>
      <c r="C14219" s="66"/>
      <c r="D14219" s="68"/>
      <c r="E14219" s="10"/>
      <c r="F14219" s="69"/>
      <c r="G14219" s="68"/>
      <c r="H14219" s="70"/>
      <c r="BA14219" s="4"/>
      <c r="BB14219" s="4"/>
    </row>
    <row r="14220" spans="1:54" x14ac:dyDescent="0.3">
      <c r="A14220" s="66"/>
      <c r="B14220" s="67"/>
      <c r="C14220" s="66"/>
      <c r="D14220" s="68"/>
      <c r="E14220" s="10"/>
      <c r="F14220" s="69"/>
      <c r="G14220" s="68"/>
      <c r="H14220" s="70"/>
      <c r="BA14220" s="4"/>
      <c r="BB14220" s="4"/>
    </row>
    <row r="14221" spans="1:54" x14ac:dyDescent="0.3">
      <c r="A14221" s="66"/>
      <c r="B14221" s="67"/>
      <c r="C14221" s="66"/>
      <c r="D14221" s="68"/>
      <c r="E14221" s="10"/>
      <c r="F14221" s="69"/>
      <c r="G14221" s="68"/>
      <c r="H14221" s="70"/>
      <c r="BA14221" s="4"/>
      <c r="BB14221" s="4"/>
    </row>
    <row r="14222" spans="1:54" x14ac:dyDescent="0.3">
      <c r="A14222" s="66"/>
      <c r="B14222" s="67"/>
      <c r="C14222" s="66"/>
      <c r="D14222" s="68"/>
      <c r="E14222" s="10"/>
      <c r="F14222" s="69"/>
      <c r="G14222" s="68"/>
      <c r="H14222" s="70"/>
      <c r="BA14222" s="4"/>
      <c r="BB14222" s="4"/>
    </row>
    <row r="14223" spans="1:54" x14ac:dyDescent="0.3">
      <c r="A14223" s="66"/>
      <c r="B14223" s="67"/>
      <c r="C14223" s="66"/>
      <c r="D14223" s="68"/>
      <c r="E14223" s="10"/>
      <c r="F14223" s="69"/>
      <c r="G14223" s="68"/>
      <c r="H14223" s="70"/>
      <c r="BA14223" s="4"/>
      <c r="BB14223" s="4"/>
    </row>
    <row r="14224" spans="1:54" x14ac:dyDescent="0.3">
      <c r="A14224" s="66"/>
      <c r="B14224" s="67"/>
      <c r="C14224" s="66"/>
      <c r="D14224" s="68"/>
      <c r="E14224" s="10"/>
      <c r="F14224" s="69"/>
      <c r="G14224" s="68"/>
      <c r="H14224" s="70"/>
      <c r="BA14224" s="4"/>
      <c r="BB14224" s="4"/>
    </row>
    <row r="14225" spans="1:54" x14ac:dyDescent="0.3">
      <c r="A14225" s="66"/>
      <c r="B14225" s="67"/>
      <c r="C14225" s="66"/>
      <c r="D14225" s="68"/>
      <c r="E14225" s="10"/>
      <c r="F14225" s="69"/>
      <c r="G14225" s="68"/>
      <c r="H14225" s="70"/>
      <c r="BA14225" s="4"/>
      <c r="BB14225" s="4"/>
    </row>
    <row r="14226" spans="1:54" x14ac:dyDescent="0.3">
      <c r="A14226" s="66"/>
      <c r="B14226" s="67"/>
      <c r="C14226" s="66"/>
      <c r="D14226" s="68"/>
      <c r="E14226" s="10"/>
      <c r="F14226" s="69"/>
      <c r="G14226" s="68"/>
      <c r="H14226" s="70"/>
      <c r="BA14226" s="4"/>
      <c r="BB14226" s="4"/>
    </row>
    <row r="14227" spans="1:54" x14ac:dyDescent="0.3">
      <c r="A14227" s="66"/>
      <c r="B14227" s="67"/>
      <c r="C14227" s="66"/>
      <c r="D14227" s="68"/>
      <c r="E14227" s="10"/>
      <c r="F14227" s="69"/>
      <c r="G14227" s="68"/>
      <c r="H14227" s="70"/>
      <c r="BA14227" s="4"/>
      <c r="BB14227" s="4"/>
    </row>
    <row r="14228" spans="1:54" x14ac:dyDescent="0.3">
      <c r="A14228" s="66"/>
      <c r="B14228" s="67"/>
      <c r="C14228" s="66"/>
      <c r="D14228" s="68"/>
      <c r="E14228" s="10"/>
      <c r="F14228" s="69"/>
      <c r="G14228" s="68"/>
      <c r="H14228" s="70"/>
      <c r="BA14228" s="4"/>
      <c r="BB14228" s="4"/>
    </row>
    <row r="14229" spans="1:54" x14ac:dyDescent="0.3">
      <c r="A14229" s="66"/>
      <c r="B14229" s="67"/>
      <c r="C14229" s="66"/>
      <c r="D14229" s="68"/>
      <c r="E14229" s="10"/>
      <c r="F14229" s="69"/>
      <c r="G14229" s="68"/>
      <c r="H14229" s="70"/>
      <c r="BA14229" s="4"/>
      <c r="BB14229" s="4"/>
    </row>
    <row r="14230" spans="1:54" x14ac:dyDescent="0.3">
      <c r="A14230" s="66"/>
      <c r="B14230" s="67"/>
      <c r="C14230" s="66"/>
      <c r="D14230" s="68"/>
      <c r="E14230" s="10"/>
      <c r="F14230" s="69"/>
      <c r="G14230" s="68"/>
      <c r="H14230" s="70"/>
      <c r="BA14230" s="4"/>
      <c r="BB14230" s="4"/>
    </row>
    <row r="14231" spans="1:54" x14ac:dyDescent="0.3">
      <c r="A14231" s="66"/>
      <c r="B14231" s="67"/>
      <c r="C14231" s="66"/>
      <c r="D14231" s="68"/>
      <c r="E14231" s="10"/>
      <c r="F14231" s="69"/>
      <c r="G14231" s="68"/>
      <c r="H14231" s="70"/>
      <c r="BA14231" s="4"/>
      <c r="BB14231" s="4"/>
    </row>
    <row r="14232" spans="1:54" x14ac:dyDescent="0.3">
      <c r="A14232" s="66"/>
      <c r="B14232" s="67"/>
      <c r="C14232" s="66"/>
      <c r="D14232" s="68"/>
      <c r="E14232" s="10"/>
      <c r="F14232" s="69"/>
      <c r="G14232" s="68"/>
      <c r="H14232" s="70"/>
      <c r="BA14232" s="4"/>
      <c r="BB14232" s="4"/>
    </row>
    <row r="14233" spans="1:54" x14ac:dyDescent="0.3">
      <c r="A14233" s="66"/>
      <c r="B14233" s="67"/>
      <c r="C14233" s="66"/>
      <c r="D14233" s="68"/>
      <c r="E14233" s="10"/>
      <c r="F14233" s="69"/>
      <c r="G14233" s="68"/>
      <c r="H14233" s="70"/>
      <c r="BA14233" s="4"/>
      <c r="BB14233" s="4"/>
    </row>
    <row r="14234" spans="1:54" x14ac:dyDescent="0.3">
      <c r="A14234" s="66"/>
      <c r="B14234" s="67"/>
      <c r="C14234" s="66"/>
      <c r="D14234" s="68"/>
      <c r="E14234" s="10"/>
      <c r="F14234" s="69"/>
      <c r="G14234" s="68"/>
      <c r="H14234" s="70"/>
      <c r="BA14234" s="4"/>
      <c r="BB14234" s="4"/>
    </row>
    <row r="14235" spans="1:54" x14ac:dyDescent="0.3">
      <c r="A14235" s="66"/>
      <c r="B14235" s="67"/>
      <c r="C14235" s="66"/>
      <c r="D14235" s="68"/>
      <c r="E14235" s="10"/>
      <c r="F14235" s="69"/>
      <c r="G14235" s="68"/>
      <c r="H14235" s="70"/>
      <c r="BA14235" s="4"/>
      <c r="BB14235" s="4"/>
    </row>
    <row r="14236" spans="1:54" x14ac:dyDescent="0.3">
      <c r="A14236" s="66"/>
      <c r="B14236" s="67"/>
      <c r="C14236" s="66"/>
      <c r="D14236" s="68"/>
      <c r="E14236" s="10"/>
      <c r="F14236" s="69"/>
      <c r="G14236" s="68"/>
      <c r="H14236" s="70"/>
      <c r="BA14236" s="4"/>
      <c r="BB14236" s="4"/>
    </row>
    <row r="14237" spans="1:54" x14ac:dyDescent="0.3">
      <c r="A14237" s="66"/>
      <c r="B14237" s="67"/>
      <c r="C14237" s="66"/>
      <c r="D14237" s="68"/>
      <c r="E14237" s="10"/>
      <c r="F14237" s="69"/>
      <c r="G14237" s="68"/>
      <c r="H14237" s="70"/>
      <c r="BA14237" s="4"/>
      <c r="BB14237" s="4"/>
    </row>
    <row r="14238" spans="1:54" x14ac:dyDescent="0.3">
      <c r="A14238" s="66"/>
      <c r="B14238" s="67"/>
      <c r="C14238" s="66"/>
      <c r="D14238" s="68"/>
      <c r="E14238" s="10"/>
      <c r="F14238" s="69"/>
      <c r="G14238" s="68"/>
      <c r="H14238" s="70"/>
      <c r="BA14238" s="4"/>
      <c r="BB14238" s="4"/>
    </row>
    <row r="14239" spans="1:54" x14ac:dyDescent="0.3">
      <c r="A14239" s="66"/>
      <c r="B14239" s="67"/>
      <c r="C14239" s="66"/>
      <c r="D14239" s="68"/>
      <c r="E14239" s="10"/>
      <c r="F14239" s="69"/>
      <c r="G14239" s="68"/>
      <c r="H14239" s="70"/>
      <c r="BA14239" s="4"/>
      <c r="BB14239" s="4"/>
    </row>
    <row r="14240" spans="1:54" x14ac:dyDescent="0.3">
      <c r="A14240" s="66"/>
      <c r="B14240" s="67"/>
      <c r="C14240" s="66"/>
      <c r="D14240" s="68"/>
      <c r="E14240" s="10"/>
      <c r="F14240" s="69"/>
      <c r="G14240" s="68"/>
      <c r="H14240" s="70"/>
      <c r="BA14240" s="4"/>
      <c r="BB14240" s="4"/>
    </row>
    <row r="14241" spans="1:54" x14ac:dyDescent="0.3">
      <c r="A14241" s="66"/>
      <c r="B14241" s="67"/>
      <c r="C14241" s="66"/>
      <c r="D14241" s="68"/>
      <c r="E14241" s="10"/>
      <c r="F14241" s="69"/>
      <c r="G14241" s="68"/>
      <c r="H14241" s="70"/>
      <c r="BA14241" s="4"/>
      <c r="BB14241" s="4"/>
    </row>
    <row r="14242" spans="1:54" x14ac:dyDescent="0.3">
      <c r="A14242" s="66"/>
      <c r="B14242" s="67"/>
      <c r="C14242" s="66"/>
      <c r="D14242" s="68"/>
      <c r="E14242" s="10"/>
      <c r="F14242" s="69"/>
      <c r="G14242" s="68"/>
      <c r="H14242" s="70"/>
      <c r="BA14242" s="4"/>
      <c r="BB14242" s="4"/>
    </row>
    <row r="14243" spans="1:54" x14ac:dyDescent="0.3">
      <c r="A14243" s="66"/>
      <c r="B14243" s="67"/>
      <c r="C14243" s="66"/>
      <c r="D14243" s="68"/>
      <c r="E14243" s="10"/>
      <c r="F14243" s="69"/>
      <c r="G14243" s="68"/>
      <c r="H14243" s="70"/>
      <c r="BA14243" s="4"/>
      <c r="BB14243" s="4"/>
    </row>
    <row r="14244" spans="1:54" x14ac:dyDescent="0.3">
      <c r="A14244" s="66"/>
      <c r="B14244" s="67"/>
      <c r="C14244" s="66"/>
      <c r="D14244" s="68"/>
      <c r="E14244" s="10"/>
      <c r="F14244" s="69"/>
      <c r="G14244" s="68"/>
      <c r="H14244" s="70"/>
      <c r="BA14244" s="4"/>
      <c r="BB14244" s="4"/>
    </row>
    <row r="14245" spans="1:54" x14ac:dyDescent="0.3">
      <c r="A14245" s="66"/>
      <c r="B14245" s="67"/>
      <c r="C14245" s="66"/>
      <c r="D14245" s="68"/>
      <c r="E14245" s="10"/>
      <c r="F14245" s="69"/>
      <c r="G14245" s="68"/>
      <c r="H14245" s="70"/>
      <c r="BA14245" s="4"/>
      <c r="BB14245" s="4"/>
    </row>
    <row r="14246" spans="1:54" x14ac:dyDescent="0.3">
      <c r="A14246" s="66"/>
      <c r="B14246" s="67"/>
      <c r="C14246" s="66"/>
      <c r="D14246" s="68"/>
      <c r="E14246" s="10"/>
      <c r="F14246" s="69"/>
      <c r="G14246" s="68"/>
      <c r="H14246" s="70"/>
      <c r="BA14246" s="4"/>
      <c r="BB14246" s="4"/>
    </row>
    <row r="14247" spans="1:54" x14ac:dyDescent="0.3">
      <c r="A14247" s="66"/>
      <c r="B14247" s="67"/>
      <c r="C14247" s="66"/>
      <c r="D14247" s="68"/>
      <c r="E14247" s="10"/>
      <c r="F14247" s="69"/>
      <c r="G14247" s="68"/>
      <c r="H14247" s="70"/>
      <c r="BA14247" s="4"/>
      <c r="BB14247" s="4"/>
    </row>
    <row r="14248" spans="1:54" x14ac:dyDescent="0.3">
      <c r="A14248" s="66"/>
      <c r="B14248" s="67"/>
      <c r="C14248" s="66"/>
      <c r="D14248" s="68"/>
      <c r="E14248" s="10"/>
      <c r="F14248" s="69"/>
      <c r="G14248" s="68"/>
      <c r="H14248" s="70"/>
      <c r="BA14248" s="4"/>
      <c r="BB14248" s="4"/>
    </row>
    <row r="14249" spans="1:54" x14ac:dyDescent="0.3">
      <c r="A14249" s="66"/>
      <c r="B14249" s="67"/>
      <c r="C14249" s="66"/>
      <c r="D14249" s="68"/>
      <c r="E14249" s="10"/>
      <c r="F14249" s="69"/>
      <c r="G14249" s="68"/>
      <c r="H14249" s="70"/>
      <c r="BA14249" s="4"/>
      <c r="BB14249" s="4"/>
    </row>
    <row r="14250" spans="1:54" x14ac:dyDescent="0.3">
      <c r="A14250" s="66"/>
      <c r="B14250" s="67"/>
      <c r="C14250" s="66"/>
      <c r="D14250" s="68"/>
      <c r="E14250" s="10"/>
      <c r="F14250" s="69"/>
      <c r="G14250" s="68"/>
      <c r="H14250" s="70"/>
      <c r="BA14250" s="4"/>
      <c r="BB14250" s="4"/>
    </row>
    <row r="14251" spans="1:54" x14ac:dyDescent="0.3">
      <c r="A14251" s="66"/>
      <c r="B14251" s="67"/>
      <c r="C14251" s="66"/>
      <c r="D14251" s="68"/>
      <c r="E14251" s="10"/>
      <c r="F14251" s="69"/>
      <c r="G14251" s="68"/>
      <c r="H14251" s="70"/>
      <c r="BA14251" s="4"/>
      <c r="BB14251" s="4"/>
    </row>
    <row r="14252" spans="1:54" x14ac:dyDescent="0.3">
      <c r="A14252" s="66"/>
      <c r="B14252" s="67"/>
      <c r="C14252" s="66"/>
      <c r="D14252" s="68"/>
      <c r="E14252" s="10"/>
      <c r="F14252" s="69"/>
      <c r="G14252" s="68"/>
      <c r="H14252" s="70"/>
      <c r="BA14252" s="4"/>
      <c r="BB14252" s="4"/>
    </row>
    <row r="14253" spans="1:54" x14ac:dyDescent="0.3">
      <c r="A14253" s="66"/>
      <c r="B14253" s="67"/>
      <c r="C14253" s="66"/>
      <c r="D14253" s="68"/>
      <c r="E14253" s="10"/>
      <c r="F14253" s="69"/>
      <c r="G14253" s="68"/>
      <c r="H14253" s="70"/>
      <c r="BA14253" s="4"/>
      <c r="BB14253" s="4"/>
    </row>
    <row r="14254" spans="1:54" x14ac:dyDescent="0.3">
      <c r="A14254" s="66"/>
      <c r="B14254" s="67"/>
      <c r="C14254" s="66"/>
      <c r="D14254" s="68"/>
      <c r="E14254" s="10"/>
      <c r="F14254" s="69"/>
      <c r="G14254" s="68"/>
      <c r="H14254" s="70"/>
      <c r="BA14254" s="4"/>
      <c r="BB14254" s="4"/>
    </row>
    <row r="14255" spans="1:54" x14ac:dyDescent="0.3">
      <c r="A14255" s="66"/>
      <c r="B14255" s="67"/>
      <c r="C14255" s="66"/>
      <c r="D14255" s="68"/>
      <c r="E14255" s="10"/>
      <c r="F14255" s="69"/>
      <c r="G14255" s="68"/>
      <c r="H14255" s="70"/>
      <c r="BA14255" s="4"/>
      <c r="BB14255" s="4"/>
    </row>
    <row r="14256" spans="1:54" x14ac:dyDescent="0.3">
      <c r="A14256" s="66"/>
      <c r="B14256" s="67"/>
      <c r="C14256" s="66"/>
      <c r="D14256" s="68"/>
      <c r="E14256" s="10"/>
      <c r="F14256" s="69"/>
      <c r="G14256" s="68"/>
      <c r="H14256" s="70"/>
      <c r="BA14256" s="4"/>
      <c r="BB14256" s="4"/>
    </row>
    <row r="14257" spans="1:54" x14ac:dyDescent="0.3">
      <c r="A14257" s="66"/>
      <c r="B14257" s="67"/>
      <c r="C14257" s="66"/>
      <c r="D14257" s="68"/>
      <c r="E14257" s="10"/>
      <c r="F14257" s="69"/>
      <c r="G14257" s="68"/>
      <c r="H14257" s="70"/>
      <c r="BA14257" s="4"/>
      <c r="BB14257" s="4"/>
    </row>
    <row r="14258" spans="1:54" x14ac:dyDescent="0.3">
      <c r="A14258" s="66"/>
      <c r="B14258" s="67"/>
      <c r="C14258" s="66"/>
      <c r="D14258" s="68"/>
      <c r="E14258" s="10"/>
      <c r="F14258" s="69"/>
      <c r="G14258" s="68"/>
      <c r="H14258" s="70"/>
      <c r="BA14258" s="4"/>
      <c r="BB14258" s="4"/>
    </row>
    <row r="14259" spans="1:54" x14ac:dyDescent="0.3">
      <c r="A14259" s="66"/>
      <c r="B14259" s="67"/>
      <c r="C14259" s="66"/>
      <c r="D14259" s="68"/>
      <c r="E14259" s="10"/>
      <c r="F14259" s="69"/>
      <c r="G14259" s="68"/>
      <c r="H14259" s="70"/>
      <c r="BA14259" s="4"/>
      <c r="BB14259" s="4"/>
    </row>
    <row r="14260" spans="1:54" x14ac:dyDescent="0.3">
      <c r="A14260" s="66"/>
      <c r="B14260" s="67"/>
      <c r="C14260" s="66"/>
      <c r="D14260" s="68"/>
      <c r="E14260" s="10"/>
      <c r="F14260" s="69"/>
      <c r="G14260" s="68"/>
      <c r="H14260" s="70"/>
      <c r="BA14260" s="4"/>
      <c r="BB14260" s="4"/>
    </row>
    <row r="14261" spans="1:54" x14ac:dyDescent="0.3">
      <c r="A14261" s="66"/>
      <c r="B14261" s="67"/>
      <c r="C14261" s="66"/>
      <c r="D14261" s="68"/>
      <c r="E14261" s="10"/>
      <c r="F14261" s="69"/>
      <c r="G14261" s="68"/>
      <c r="H14261" s="70"/>
      <c r="BA14261" s="4"/>
      <c r="BB14261" s="4"/>
    </row>
    <row r="14262" spans="1:54" x14ac:dyDescent="0.3">
      <c r="A14262" s="66"/>
      <c r="B14262" s="67"/>
      <c r="C14262" s="66"/>
      <c r="D14262" s="68"/>
      <c r="E14262" s="10"/>
      <c r="F14262" s="69"/>
      <c r="G14262" s="68"/>
      <c r="H14262" s="70"/>
      <c r="BA14262" s="4"/>
      <c r="BB14262" s="4"/>
    </row>
    <row r="14263" spans="1:54" x14ac:dyDescent="0.3">
      <c r="A14263" s="66"/>
      <c r="B14263" s="67"/>
      <c r="C14263" s="66"/>
      <c r="D14263" s="68"/>
      <c r="E14263" s="10"/>
      <c r="F14263" s="69"/>
      <c r="G14263" s="68"/>
      <c r="H14263" s="70"/>
      <c r="BA14263" s="4"/>
      <c r="BB14263" s="4"/>
    </row>
    <row r="14264" spans="1:54" x14ac:dyDescent="0.3">
      <c r="A14264" s="66"/>
      <c r="B14264" s="67"/>
      <c r="C14264" s="66"/>
      <c r="D14264" s="68"/>
      <c r="E14264" s="10"/>
      <c r="F14264" s="69"/>
      <c r="G14264" s="68"/>
      <c r="H14264" s="70"/>
      <c r="BA14264" s="4"/>
      <c r="BB14264" s="4"/>
    </row>
    <row r="14265" spans="1:54" x14ac:dyDescent="0.3">
      <c r="A14265" s="66"/>
      <c r="B14265" s="67"/>
      <c r="C14265" s="66"/>
      <c r="D14265" s="68"/>
      <c r="E14265" s="10"/>
      <c r="F14265" s="69"/>
      <c r="G14265" s="68"/>
      <c r="H14265" s="70"/>
      <c r="BA14265" s="4"/>
      <c r="BB14265" s="4"/>
    </row>
    <row r="14266" spans="1:54" x14ac:dyDescent="0.3">
      <c r="A14266" s="66"/>
      <c r="B14266" s="67"/>
      <c r="C14266" s="66"/>
      <c r="D14266" s="68"/>
      <c r="E14266" s="10"/>
      <c r="F14266" s="69"/>
      <c r="G14266" s="68"/>
      <c r="H14266" s="70"/>
      <c r="BA14266" s="4"/>
      <c r="BB14266" s="4"/>
    </row>
    <row r="14267" spans="1:54" x14ac:dyDescent="0.3">
      <c r="A14267" s="66"/>
      <c r="B14267" s="67"/>
      <c r="C14267" s="66"/>
      <c r="D14267" s="68"/>
      <c r="E14267" s="10"/>
      <c r="F14267" s="69"/>
      <c r="G14267" s="68"/>
      <c r="H14267" s="70"/>
      <c r="BA14267" s="4"/>
      <c r="BB14267" s="4"/>
    </row>
    <row r="14268" spans="1:54" x14ac:dyDescent="0.3">
      <c r="A14268" s="66"/>
      <c r="B14268" s="67"/>
      <c r="C14268" s="66"/>
      <c r="D14268" s="68"/>
      <c r="E14268" s="10"/>
      <c r="F14268" s="69"/>
      <c r="G14268" s="68"/>
      <c r="H14268" s="70"/>
      <c r="BA14268" s="4"/>
      <c r="BB14268" s="4"/>
    </row>
    <row r="14269" spans="1:54" x14ac:dyDescent="0.3">
      <c r="A14269" s="66"/>
      <c r="B14269" s="67"/>
      <c r="C14269" s="66"/>
      <c r="D14269" s="68"/>
      <c r="E14269" s="10"/>
      <c r="F14269" s="69"/>
      <c r="G14269" s="68"/>
      <c r="H14269" s="70"/>
      <c r="BA14269" s="4"/>
      <c r="BB14269" s="4"/>
    </row>
    <row r="14270" spans="1:54" x14ac:dyDescent="0.3">
      <c r="A14270" s="66"/>
      <c r="B14270" s="67"/>
      <c r="C14270" s="66"/>
      <c r="D14270" s="68"/>
      <c r="E14270" s="10"/>
      <c r="F14270" s="69"/>
      <c r="G14270" s="68"/>
      <c r="H14270" s="70"/>
      <c r="BA14270" s="4"/>
      <c r="BB14270" s="4"/>
    </row>
    <row r="14271" spans="1:54" x14ac:dyDescent="0.3">
      <c r="A14271" s="66"/>
      <c r="B14271" s="67"/>
      <c r="C14271" s="66"/>
      <c r="D14271" s="68"/>
      <c r="E14271" s="10"/>
      <c r="F14271" s="69"/>
      <c r="G14271" s="68"/>
      <c r="H14271" s="70"/>
      <c r="BA14271" s="4"/>
      <c r="BB14271" s="4"/>
    </row>
    <row r="14272" spans="1:54" x14ac:dyDescent="0.3">
      <c r="A14272" s="66"/>
      <c r="B14272" s="67"/>
      <c r="C14272" s="66"/>
      <c r="D14272" s="68"/>
      <c r="E14272" s="10"/>
      <c r="F14272" s="69"/>
      <c r="G14272" s="68"/>
      <c r="H14272" s="70"/>
      <c r="BA14272" s="4"/>
      <c r="BB14272" s="4"/>
    </row>
    <row r="14273" spans="1:54" x14ac:dyDescent="0.3">
      <c r="A14273" s="66"/>
      <c r="B14273" s="67"/>
      <c r="C14273" s="66"/>
      <c r="D14273" s="68"/>
      <c r="E14273" s="10"/>
      <c r="F14273" s="69"/>
      <c r="G14273" s="68"/>
      <c r="H14273" s="70"/>
      <c r="BA14273" s="4"/>
      <c r="BB14273" s="4"/>
    </row>
    <row r="14274" spans="1:54" x14ac:dyDescent="0.3">
      <c r="A14274" s="66"/>
      <c r="B14274" s="67"/>
      <c r="C14274" s="66"/>
      <c r="D14274" s="68"/>
      <c r="E14274" s="10"/>
      <c r="F14274" s="69"/>
      <c r="G14274" s="68"/>
      <c r="H14274" s="70"/>
      <c r="BA14274" s="4"/>
      <c r="BB14274" s="4"/>
    </row>
    <row r="14275" spans="1:54" x14ac:dyDescent="0.3">
      <c r="A14275" s="66"/>
      <c r="B14275" s="67"/>
      <c r="C14275" s="66"/>
      <c r="D14275" s="68"/>
      <c r="E14275" s="10"/>
      <c r="F14275" s="69"/>
      <c r="G14275" s="68"/>
      <c r="H14275" s="70"/>
      <c r="BA14275" s="4"/>
      <c r="BB14275" s="4"/>
    </row>
    <row r="14276" spans="1:54" x14ac:dyDescent="0.3">
      <c r="A14276" s="66"/>
      <c r="B14276" s="67"/>
      <c r="C14276" s="66"/>
      <c r="D14276" s="68"/>
      <c r="E14276" s="10"/>
      <c r="F14276" s="69"/>
      <c r="G14276" s="68"/>
      <c r="H14276" s="70"/>
      <c r="BA14276" s="4"/>
      <c r="BB14276" s="4"/>
    </row>
    <row r="14277" spans="1:54" x14ac:dyDescent="0.3">
      <c r="A14277" s="66"/>
      <c r="B14277" s="67"/>
      <c r="C14277" s="66"/>
      <c r="D14277" s="68"/>
      <c r="E14277" s="10"/>
      <c r="F14277" s="69"/>
      <c r="G14277" s="68"/>
      <c r="H14277" s="70"/>
      <c r="BA14277" s="4"/>
      <c r="BB14277" s="4"/>
    </row>
    <row r="14278" spans="1:54" x14ac:dyDescent="0.3">
      <c r="A14278" s="66"/>
      <c r="B14278" s="67"/>
      <c r="C14278" s="66"/>
      <c r="D14278" s="68"/>
      <c r="E14278" s="10"/>
      <c r="F14278" s="69"/>
      <c r="G14278" s="68"/>
      <c r="H14278" s="70"/>
      <c r="BA14278" s="4"/>
      <c r="BB14278" s="4"/>
    </row>
    <row r="14279" spans="1:54" x14ac:dyDescent="0.3">
      <c r="A14279" s="66"/>
      <c r="B14279" s="67"/>
      <c r="C14279" s="66"/>
      <c r="D14279" s="68"/>
      <c r="E14279" s="10"/>
      <c r="F14279" s="69"/>
      <c r="G14279" s="68"/>
      <c r="H14279" s="70"/>
      <c r="BA14279" s="4"/>
      <c r="BB14279" s="4"/>
    </row>
    <row r="14280" spans="1:54" x14ac:dyDescent="0.3">
      <c r="A14280" s="66"/>
      <c r="B14280" s="67"/>
      <c r="C14280" s="66"/>
      <c r="D14280" s="68"/>
      <c r="E14280" s="10"/>
      <c r="F14280" s="69"/>
      <c r="G14280" s="68"/>
      <c r="H14280" s="70"/>
      <c r="BA14280" s="4"/>
      <c r="BB14280" s="4"/>
    </row>
    <row r="14281" spans="1:54" x14ac:dyDescent="0.3">
      <c r="A14281" s="66"/>
      <c r="B14281" s="67"/>
      <c r="C14281" s="66"/>
      <c r="D14281" s="68"/>
      <c r="E14281" s="10"/>
      <c r="F14281" s="69"/>
      <c r="G14281" s="68"/>
      <c r="H14281" s="70"/>
      <c r="BA14281" s="4"/>
      <c r="BB14281" s="4"/>
    </row>
    <row r="14282" spans="1:54" x14ac:dyDescent="0.3">
      <c r="A14282" s="66"/>
      <c r="B14282" s="67"/>
      <c r="C14282" s="66"/>
      <c r="D14282" s="68"/>
      <c r="E14282" s="10"/>
      <c r="F14282" s="69"/>
      <c r="G14282" s="68"/>
      <c r="H14282" s="70"/>
      <c r="BA14282" s="4"/>
      <c r="BB14282" s="4"/>
    </row>
    <row r="14283" spans="1:54" x14ac:dyDescent="0.3">
      <c r="A14283" s="66"/>
      <c r="B14283" s="67"/>
      <c r="C14283" s="66"/>
      <c r="D14283" s="68"/>
      <c r="E14283" s="10"/>
      <c r="F14283" s="69"/>
      <c r="G14283" s="68"/>
      <c r="H14283" s="70"/>
      <c r="BA14283" s="4"/>
      <c r="BB14283" s="4"/>
    </row>
    <row r="14284" spans="1:54" x14ac:dyDescent="0.3">
      <c r="A14284" s="66"/>
      <c r="B14284" s="67"/>
      <c r="C14284" s="66"/>
      <c r="D14284" s="68"/>
      <c r="E14284" s="10"/>
      <c r="F14284" s="69"/>
      <c r="G14284" s="68"/>
      <c r="H14284" s="70"/>
      <c r="BA14284" s="4"/>
      <c r="BB14284" s="4"/>
    </row>
    <row r="14285" spans="1:54" x14ac:dyDescent="0.3">
      <c r="A14285" s="66"/>
      <c r="B14285" s="67"/>
      <c r="C14285" s="66"/>
      <c r="D14285" s="68"/>
      <c r="E14285" s="10"/>
      <c r="F14285" s="69"/>
      <c r="G14285" s="68"/>
      <c r="H14285" s="70"/>
      <c r="BA14285" s="4"/>
      <c r="BB14285" s="4"/>
    </row>
    <row r="14286" spans="1:54" x14ac:dyDescent="0.3">
      <c r="A14286" s="66"/>
      <c r="B14286" s="67"/>
      <c r="C14286" s="66"/>
      <c r="D14286" s="68"/>
      <c r="E14286" s="10"/>
      <c r="F14286" s="69"/>
      <c r="G14286" s="68"/>
      <c r="H14286" s="70"/>
      <c r="BA14286" s="4"/>
      <c r="BB14286" s="4"/>
    </row>
    <row r="14287" spans="1:54" x14ac:dyDescent="0.3">
      <c r="A14287" s="66"/>
      <c r="B14287" s="67"/>
      <c r="C14287" s="66"/>
      <c r="D14287" s="68"/>
      <c r="E14287" s="10"/>
      <c r="F14287" s="69"/>
      <c r="G14287" s="68"/>
      <c r="H14287" s="70"/>
      <c r="BA14287" s="4"/>
      <c r="BB14287" s="4"/>
    </row>
    <row r="14288" spans="1:54" x14ac:dyDescent="0.3">
      <c r="A14288" s="66"/>
      <c r="B14288" s="67"/>
      <c r="C14288" s="66"/>
      <c r="D14288" s="68"/>
      <c r="E14288" s="10"/>
      <c r="F14288" s="69"/>
      <c r="G14288" s="68"/>
      <c r="H14288" s="70"/>
      <c r="BA14288" s="4"/>
      <c r="BB14288" s="4"/>
    </row>
    <row r="14289" spans="1:54" x14ac:dyDescent="0.3">
      <c r="A14289" s="66"/>
      <c r="B14289" s="67"/>
      <c r="C14289" s="66"/>
      <c r="D14289" s="68"/>
      <c r="E14289" s="10"/>
      <c r="F14289" s="69"/>
      <c r="G14289" s="68"/>
      <c r="H14289" s="70"/>
      <c r="BA14289" s="4"/>
      <c r="BB14289" s="4"/>
    </row>
    <row r="14290" spans="1:54" x14ac:dyDescent="0.3">
      <c r="A14290" s="66"/>
      <c r="B14290" s="67"/>
      <c r="C14290" s="66"/>
      <c r="D14290" s="68"/>
      <c r="E14290" s="10"/>
      <c r="F14290" s="69"/>
      <c r="G14290" s="68"/>
      <c r="H14290" s="70"/>
      <c r="BA14290" s="4"/>
      <c r="BB14290" s="4"/>
    </row>
    <row r="14291" spans="1:54" x14ac:dyDescent="0.3">
      <c r="A14291" s="66"/>
      <c r="B14291" s="67"/>
      <c r="C14291" s="66"/>
      <c r="D14291" s="68"/>
      <c r="E14291" s="10"/>
      <c r="F14291" s="69"/>
      <c r="G14291" s="68"/>
      <c r="H14291" s="70"/>
      <c r="BA14291" s="4"/>
      <c r="BB14291" s="4"/>
    </row>
    <row r="14292" spans="1:54" x14ac:dyDescent="0.3">
      <c r="A14292" s="66"/>
      <c r="B14292" s="67"/>
      <c r="C14292" s="66"/>
      <c r="D14292" s="68"/>
      <c r="E14292" s="10"/>
      <c r="F14292" s="69"/>
      <c r="G14292" s="68"/>
      <c r="H14292" s="70"/>
      <c r="BA14292" s="4"/>
      <c r="BB14292" s="4"/>
    </row>
    <row r="14293" spans="1:54" x14ac:dyDescent="0.3">
      <c r="A14293" s="66"/>
      <c r="B14293" s="67"/>
      <c r="C14293" s="66"/>
      <c r="D14293" s="68"/>
      <c r="E14293" s="10"/>
      <c r="F14293" s="69"/>
      <c r="G14293" s="68"/>
      <c r="H14293" s="70"/>
      <c r="BA14293" s="4"/>
      <c r="BB14293" s="4"/>
    </row>
    <row r="14294" spans="1:54" x14ac:dyDescent="0.3">
      <c r="A14294" s="66"/>
      <c r="B14294" s="67"/>
      <c r="C14294" s="66"/>
      <c r="D14294" s="68"/>
      <c r="E14294" s="10"/>
      <c r="F14294" s="69"/>
      <c r="G14294" s="68"/>
      <c r="H14294" s="70"/>
      <c r="BA14294" s="4"/>
      <c r="BB14294" s="4"/>
    </row>
    <row r="14295" spans="1:54" x14ac:dyDescent="0.3">
      <c r="A14295" s="66"/>
      <c r="B14295" s="67"/>
      <c r="C14295" s="66"/>
      <c r="D14295" s="68"/>
      <c r="E14295" s="10"/>
      <c r="F14295" s="69"/>
      <c r="G14295" s="68"/>
      <c r="H14295" s="70"/>
      <c r="BA14295" s="4"/>
      <c r="BB14295" s="4"/>
    </row>
    <row r="14296" spans="1:54" x14ac:dyDescent="0.3">
      <c r="A14296" s="66"/>
      <c r="B14296" s="67"/>
      <c r="C14296" s="66"/>
      <c r="D14296" s="68"/>
      <c r="E14296" s="10"/>
      <c r="F14296" s="69"/>
      <c r="G14296" s="68"/>
      <c r="H14296" s="70"/>
      <c r="BA14296" s="4"/>
      <c r="BB14296" s="4"/>
    </row>
    <row r="14297" spans="1:54" x14ac:dyDescent="0.3">
      <c r="A14297" s="66"/>
      <c r="B14297" s="67"/>
      <c r="C14297" s="66"/>
      <c r="D14297" s="68"/>
      <c r="E14297" s="10"/>
      <c r="F14297" s="69"/>
      <c r="G14297" s="68"/>
      <c r="H14297" s="70"/>
      <c r="BA14297" s="4"/>
      <c r="BB14297" s="4"/>
    </row>
    <row r="14298" spans="1:54" x14ac:dyDescent="0.3">
      <c r="A14298" s="66"/>
      <c r="B14298" s="67"/>
      <c r="C14298" s="66"/>
      <c r="D14298" s="68"/>
      <c r="E14298" s="10"/>
      <c r="F14298" s="69"/>
      <c r="G14298" s="68"/>
      <c r="H14298" s="70"/>
      <c r="BA14298" s="4"/>
      <c r="BB14298" s="4"/>
    </row>
    <row r="14299" spans="1:54" x14ac:dyDescent="0.3">
      <c r="A14299" s="66"/>
      <c r="B14299" s="67"/>
      <c r="C14299" s="66"/>
      <c r="D14299" s="68"/>
      <c r="E14299" s="10"/>
      <c r="F14299" s="69"/>
      <c r="G14299" s="68"/>
      <c r="H14299" s="70"/>
      <c r="BA14299" s="4"/>
      <c r="BB14299" s="4"/>
    </row>
    <row r="14300" spans="1:54" x14ac:dyDescent="0.3">
      <c r="A14300" s="66"/>
      <c r="B14300" s="67"/>
      <c r="C14300" s="66"/>
      <c r="D14300" s="68"/>
      <c r="E14300" s="10"/>
      <c r="F14300" s="69"/>
      <c r="G14300" s="68"/>
      <c r="H14300" s="70"/>
      <c r="BA14300" s="4"/>
      <c r="BB14300" s="4"/>
    </row>
    <row r="14301" spans="1:54" x14ac:dyDescent="0.3">
      <c r="A14301" s="66"/>
      <c r="B14301" s="67"/>
      <c r="C14301" s="66"/>
      <c r="D14301" s="68"/>
      <c r="E14301" s="10"/>
      <c r="F14301" s="69"/>
      <c r="G14301" s="68"/>
      <c r="H14301" s="70"/>
      <c r="BA14301" s="4"/>
      <c r="BB14301" s="4"/>
    </row>
    <row r="14302" spans="1:54" x14ac:dyDescent="0.3">
      <c r="A14302" s="66"/>
      <c r="B14302" s="67"/>
      <c r="C14302" s="66"/>
      <c r="D14302" s="68"/>
      <c r="E14302" s="10"/>
      <c r="F14302" s="69"/>
      <c r="G14302" s="68"/>
      <c r="H14302" s="70"/>
      <c r="BA14302" s="4"/>
      <c r="BB14302" s="4"/>
    </row>
    <row r="14303" spans="1:54" x14ac:dyDescent="0.3">
      <c r="A14303" s="66"/>
      <c r="B14303" s="67"/>
      <c r="C14303" s="66"/>
      <c r="D14303" s="68"/>
      <c r="E14303" s="10"/>
      <c r="F14303" s="69"/>
      <c r="G14303" s="68"/>
      <c r="H14303" s="70"/>
      <c r="BA14303" s="4"/>
      <c r="BB14303" s="4"/>
    </row>
    <row r="14304" spans="1:54" x14ac:dyDescent="0.3">
      <c r="A14304" s="66"/>
      <c r="B14304" s="67"/>
      <c r="C14304" s="66"/>
      <c r="D14304" s="68"/>
      <c r="E14304" s="10"/>
      <c r="F14304" s="69"/>
      <c r="G14304" s="68"/>
      <c r="H14304" s="70"/>
      <c r="BA14304" s="4"/>
      <c r="BB14304" s="4"/>
    </row>
    <row r="14305" spans="1:54" x14ac:dyDescent="0.3">
      <c r="A14305" s="66"/>
      <c r="B14305" s="67"/>
      <c r="C14305" s="66"/>
      <c r="D14305" s="68"/>
      <c r="E14305" s="10"/>
      <c r="F14305" s="69"/>
      <c r="G14305" s="68"/>
      <c r="H14305" s="70"/>
      <c r="BA14305" s="4"/>
      <c r="BB14305" s="4"/>
    </row>
    <row r="14306" spans="1:54" x14ac:dyDescent="0.3">
      <c r="A14306" s="66"/>
      <c r="B14306" s="67"/>
      <c r="C14306" s="66"/>
      <c r="D14306" s="68"/>
      <c r="E14306" s="10"/>
      <c r="F14306" s="69"/>
      <c r="G14306" s="68"/>
      <c r="H14306" s="70"/>
      <c r="BA14306" s="4"/>
      <c r="BB14306" s="4"/>
    </row>
    <row r="14307" spans="1:54" x14ac:dyDescent="0.3">
      <c r="A14307" s="66"/>
      <c r="B14307" s="67"/>
      <c r="C14307" s="66"/>
      <c r="D14307" s="68"/>
      <c r="E14307" s="10"/>
      <c r="F14307" s="69"/>
      <c r="G14307" s="68"/>
      <c r="H14307" s="70"/>
      <c r="BA14307" s="4"/>
      <c r="BB14307" s="4"/>
    </row>
    <row r="14308" spans="1:54" x14ac:dyDescent="0.3">
      <c r="A14308" s="66"/>
      <c r="B14308" s="67"/>
      <c r="C14308" s="66"/>
      <c r="D14308" s="68"/>
      <c r="E14308" s="10"/>
      <c r="F14308" s="69"/>
      <c r="G14308" s="68"/>
      <c r="H14308" s="70"/>
      <c r="BA14308" s="4"/>
      <c r="BB14308" s="4"/>
    </row>
    <row r="14309" spans="1:54" x14ac:dyDescent="0.3">
      <c r="A14309" s="66"/>
      <c r="B14309" s="67"/>
      <c r="C14309" s="66"/>
      <c r="D14309" s="68"/>
      <c r="E14309" s="10"/>
      <c r="F14309" s="69"/>
      <c r="G14309" s="68"/>
      <c r="H14309" s="70"/>
      <c r="BA14309" s="4"/>
      <c r="BB14309" s="4"/>
    </row>
    <row r="14310" spans="1:54" x14ac:dyDescent="0.3">
      <c r="A14310" s="66"/>
      <c r="B14310" s="67"/>
      <c r="C14310" s="66"/>
      <c r="D14310" s="68"/>
      <c r="E14310" s="10"/>
      <c r="F14310" s="69"/>
      <c r="G14310" s="68"/>
      <c r="H14310" s="70"/>
      <c r="BA14310" s="4"/>
      <c r="BB14310" s="4"/>
    </row>
    <row r="14311" spans="1:54" x14ac:dyDescent="0.3">
      <c r="A14311" s="66"/>
      <c r="B14311" s="67"/>
      <c r="C14311" s="66"/>
      <c r="D14311" s="68"/>
      <c r="E14311" s="10"/>
      <c r="F14311" s="69"/>
      <c r="G14311" s="68"/>
      <c r="H14311" s="70"/>
      <c r="BA14311" s="4"/>
      <c r="BB14311" s="4"/>
    </row>
    <row r="14312" spans="1:54" x14ac:dyDescent="0.3">
      <c r="A14312" s="66"/>
      <c r="B14312" s="67"/>
      <c r="C14312" s="66"/>
      <c r="D14312" s="68"/>
      <c r="E14312" s="10"/>
      <c r="F14312" s="69"/>
      <c r="G14312" s="68"/>
      <c r="H14312" s="70"/>
      <c r="BA14312" s="4"/>
      <c r="BB14312" s="4"/>
    </row>
    <row r="14313" spans="1:54" x14ac:dyDescent="0.3">
      <c r="A14313" s="66"/>
      <c r="B14313" s="67"/>
      <c r="C14313" s="66"/>
      <c r="D14313" s="68"/>
      <c r="E14313" s="10"/>
      <c r="F14313" s="69"/>
      <c r="G14313" s="68"/>
      <c r="H14313" s="70"/>
      <c r="BA14313" s="4"/>
      <c r="BB14313" s="4"/>
    </row>
    <row r="14314" spans="1:54" x14ac:dyDescent="0.3">
      <c r="A14314" s="66"/>
      <c r="B14314" s="67"/>
      <c r="C14314" s="66"/>
      <c r="D14314" s="68"/>
      <c r="E14314" s="10"/>
      <c r="F14314" s="69"/>
      <c r="G14314" s="68"/>
      <c r="H14314" s="70"/>
      <c r="BA14314" s="4"/>
      <c r="BB14314" s="4"/>
    </row>
    <row r="14315" spans="1:54" x14ac:dyDescent="0.3">
      <c r="A14315" s="66"/>
      <c r="B14315" s="67"/>
      <c r="C14315" s="66"/>
      <c r="D14315" s="68"/>
      <c r="E14315" s="10"/>
      <c r="F14315" s="69"/>
      <c r="G14315" s="68"/>
      <c r="H14315" s="70"/>
      <c r="BA14315" s="4"/>
      <c r="BB14315" s="4"/>
    </row>
    <row r="14316" spans="1:54" x14ac:dyDescent="0.3">
      <c r="A14316" s="66"/>
      <c r="B14316" s="67"/>
      <c r="C14316" s="66"/>
      <c r="D14316" s="68"/>
      <c r="E14316" s="10"/>
      <c r="F14316" s="69"/>
      <c r="G14316" s="68"/>
      <c r="H14316" s="70"/>
      <c r="BA14316" s="4"/>
      <c r="BB14316" s="4"/>
    </row>
    <row r="14317" spans="1:54" x14ac:dyDescent="0.3">
      <c r="A14317" s="66"/>
      <c r="B14317" s="67"/>
      <c r="C14317" s="66"/>
      <c r="D14317" s="68"/>
      <c r="E14317" s="10"/>
      <c r="F14317" s="69"/>
      <c r="G14317" s="68"/>
      <c r="H14317" s="70"/>
      <c r="BA14317" s="4"/>
      <c r="BB14317" s="4"/>
    </row>
    <row r="14318" spans="1:54" x14ac:dyDescent="0.3">
      <c r="A14318" s="66"/>
      <c r="B14318" s="67"/>
      <c r="C14318" s="66"/>
      <c r="D14318" s="68"/>
      <c r="E14318" s="10"/>
      <c r="F14318" s="69"/>
      <c r="G14318" s="68"/>
      <c r="H14318" s="70"/>
      <c r="BA14318" s="4"/>
      <c r="BB14318" s="4"/>
    </row>
    <row r="14319" spans="1:54" x14ac:dyDescent="0.3">
      <c r="A14319" s="66"/>
      <c r="B14319" s="67"/>
      <c r="C14319" s="66"/>
      <c r="D14319" s="68"/>
      <c r="E14319" s="10"/>
      <c r="F14319" s="69"/>
      <c r="G14319" s="68"/>
      <c r="H14319" s="70"/>
      <c r="BA14319" s="4"/>
      <c r="BB14319" s="4"/>
    </row>
    <row r="14320" spans="1:54" x14ac:dyDescent="0.3">
      <c r="A14320" s="66"/>
      <c r="B14320" s="67"/>
      <c r="C14320" s="66"/>
      <c r="D14320" s="68"/>
      <c r="E14320" s="10"/>
      <c r="F14320" s="69"/>
      <c r="G14320" s="68"/>
      <c r="H14320" s="70"/>
      <c r="BA14320" s="4"/>
      <c r="BB14320" s="4"/>
    </row>
    <row r="14321" spans="1:54" x14ac:dyDescent="0.3">
      <c r="A14321" s="66"/>
      <c r="B14321" s="67"/>
      <c r="C14321" s="66"/>
      <c r="D14321" s="68"/>
      <c r="E14321" s="10"/>
      <c r="F14321" s="69"/>
      <c r="G14321" s="68"/>
      <c r="H14321" s="70"/>
      <c r="BA14321" s="4"/>
      <c r="BB14321" s="4"/>
    </row>
    <row r="14322" spans="1:54" x14ac:dyDescent="0.3">
      <c r="A14322" s="66"/>
      <c r="B14322" s="67"/>
      <c r="C14322" s="66"/>
      <c r="D14322" s="68"/>
      <c r="E14322" s="10"/>
      <c r="F14322" s="69"/>
      <c r="G14322" s="68"/>
      <c r="H14322" s="70"/>
      <c r="BA14322" s="4"/>
      <c r="BB14322" s="4"/>
    </row>
    <row r="14323" spans="1:54" x14ac:dyDescent="0.3">
      <c r="A14323" s="66"/>
      <c r="B14323" s="67"/>
      <c r="C14323" s="66"/>
      <c r="D14323" s="68"/>
      <c r="E14323" s="10"/>
      <c r="F14323" s="69"/>
      <c r="G14323" s="68"/>
      <c r="H14323" s="70"/>
      <c r="BA14323" s="4"/>
      <c r="BB14323" s="4"/>
    </row>
    <row r="14324" spans="1:54" x14ac:dyDescent="0.3">
      <c r="A14324" s="66"/>
      <c r="B14324" s="67"/>
      <c r="C14324" s="66"/>
      <c r="D14324" s="68"/>
      <c r="E14324" s="10"/>
      <c r="F14324" s="69"/>
      <c r="G14324" s="68"/>
      <c r="H14324" s="70"/>
      <c r="BA14324" s="4"/>
      <c r="BB14324" s="4"/>
    </row>
    <row r="14325" spans="1:54" x14ac:dyDescent="0.3">
      <c r="A14325" s="66"/>
      <c r="B14325" s="67"/>
      <c r="C14325" s="66"/>
      <c r="D14325" s="68"/>
      <c r="E14325" s="10"/>
      <c r="F14325" s="69"/>
      <c r="G14325" s="68"/>
      <c r="H14325" s="70"/>
      <c r="BA14325" s="4"/>
      <c r="BB14325" s="4"/>
    </row>
    <row r="14326" spans="1:54" x14ac:dyDescent="0.3">
      <c r="A14326" s="66"/>
      <c r="B14326" s="67"/>
      <c r="C14326" s="66"/>
      <c r="D14326" s="68"/>
      <c r="E14326" s="10"/>
      <c r="F14326" s="69"/>
      <c r="G14326" s="68"/>
      <c r="H14326" s="70"/>
      <c r="BA14326" s="4"/>
      <c r="BB14326" s="4"/>
    </row>
    <row r="14327" spans="1:54" x14ac:dyDescent="0.3">
      <c r="A14327" s="66"/>
      <c r="B14327" s="67"/>
      <c r="C14327" s="66"/>
      <c r="D14327" s="68"/>
      <c r="E14327" s="10"/>
      <c r="F14327" s="69"/>
      <c r="G14327" s="68"/>
      <c r="H14327" s="70"/>
      <c r="BA14327" s="4"/>
      <c r="BB14327" s="4"/>
    </row>
    <row r="14328" spans="1:54" x14ac:dyDescent="0.3">
      <c r="A14328" s="66"/>
      <c r="B14328" s="67"/>
      <c r="C14328" s="66"/>
      <c r="D14328" s="68"/>
      <c r="E14328" s="10"/>
      <c r="F14328" s="69"/>
      <c r="G14328" s="68"/>
      <c r="H14328" s="70"/>
      <c r="BA14328" s="4"/>
      <c r="BB14328" s="4"/>
    </row>
    <row r="14329" spans="1:54" x14ac:dyDescent="0.3">
      <c r="A14329" s="66"/>
      <c r="B14329" s="67"/>
      <c r="C14329" s="66"/>
      <c r="D14329" s="68"/>
      <c r="E14329" s="10"/>
      <c r="F14329" s="69"/>
      <c r="G14329" s="68"/>
      <c r="H14329" s="70"/>
      <c r="BA14329" s="4"/>
      <c r="BB14329" s="4"/>
    </row>
    <row r="14330" spans="1:54" x14ac:dyDescent="0.3">
      <c r="A14330" s="66"/>
      <c r="B14330" s="67"/>
      <c r="C14330" s="66"/>
      <c r="D14330" s="68"/>
      <c r="E14330" s="10"/>
      <c r="F14330" s="69"/>
      <c r="G14330" s="68"/>
      <c r="H14330" s="70"/>
      <c r="BA14330" s="4"/>
      <c r="BB14330" s="4"/>
    </row>
    <row r="14331" spans="1:54" x14ac:dyDescent="0.3">
      <c r="A14331" s="66"/>
      <c r="B14331" s="67"/>
      <c r="C14331" s="66"/>
      <c r="D14331" s="68"/>
      <c r="E14331" s="10"/>
      <c r="F14331" s="69"/>
      <c r="G14331" s="68"/>
      <c r="H14331" s="70"/>
      <c r="BA14331" s="4"/>
      <c r="BB14331" s="4"/>
    </row>
    <row r="14332" spans="1:54" x14ac:dyDescent="0.3">
      <c r="A14332" s="66"/>
      <c r="B14332" s="67"/>
      <c r="C14332" s="66"/>
      <c r="D14332" s="68"/>
      <c r="E14332" s="10"/>
      <c r="F14332" s="69"/>
      <c r="G14332" s="68"/>
      <c r="H14332" s="70"/>
      <c r="BA14332" s="4"/>
      <c r="BB14332" s="4"/>
    </row>
    <row r="14333" spans="1:54" x14ac:dyDescent="0.3">
      <c r="A14333" s="66"/>
      <c r="B14333" s="67"/>
      <c r="C14333" s="66"/>
      <c r="D14333" s="68"/>
      <c r="E14333" s="10"/>
      <c r="F14333" s="69"/>
      <c r="G14333" s="68"/>
      <c r="H14333" s="70"/>
      <c r="BA14333" s="4"/>
      <c r="BB14333" s="4"/>
    </row>
    <row r="14334" spans="1:54" x14ac:dyDescent="0.3">
      <c r="A14334" s="66"/>
      <c r="B14334" s="67"/>
      <c r="C14334" s="66"/>
      <c r="D14334" s="68"/>
      <c r="E14334" s="10"/>
      <c r="F14334" s="69"/>
      <c r="G14334" s="68"/>
      <c r="H14334" s="70"/>
      <c r="BA14334" s="4"/>
      <c r="BB14334" s="4"/>
    </row>
    <row r="14335" spans="1:54" x14ac:dyDescent="0.3">
      <c r="A14335" s="66"/>
      <c r="B14335" s="67"/>
      <c r="C14335" s="66"/>
      <c r="D14335" s="68"/>
      <c r="E14335" s="10"/>
      <c r="F14335" s="69"/>
      <c r="G14335" s="68"/>
      <c r="H14335" s="70"/>
      <c r="BA14335" s="4"/>
      <c r="BB14335" s="4"/>
    </row>
    <row r="14336" spans="1:54" x14ac:dyDescent="0.3">
      <c r="A14336" s="66"/>
      <c r="B14336" s="67"/>
      <c r="C14336" s="66"/>
      <c r="D14336" s="68"/>
      <c r="E14336" s="10"/>
      <c r="F14336" s="69"/>
      <c r="G14336" s="68"/>
      <c r="H14336" s="70"/>
      <c r="BA14336" s="4"/>
      <c r="BB14336" s="4"/>
    </row>
    <row r="14337" spans="1:54" x14ac:dyDescent="0.3">
      <c r="A14337" s="66"/>
      <c r="B14337" s="67"/>
      <c r="C14337" s="66"/>
      <c r="D14337" s="68"/>
      <c r="E14337" s="10"/>
      <c r="F14337" s="69"/>
      <c r="G14337" s="68"/>
      <c r="H14337" s="70"/>
      <c r="BA14337" s="4"/>
      <c r="BB14337" s="4"/>
    </row>
    <row r="14338" spans="1:54" x14ac:dyDescent="0.3">
      <c r="A14338" s="66"/>
      <c r="B14338" s="67"/>
      <c r="C14338" s="66"/>
      <c r="D14338" s="68"/>
      <c r="E14338" s="10"/>
      <c r="F14338" s="69"/>
      <c r="G14338" s="68"/>
      <c r="H14338" s="70"/>
      <c r="BA14338" s="4"/>
      <c r="BB14338" s="4"/>
    </row>
    <row r="14339" spans="1:54" x14ac:dyDescent="0.3">
      <c r="A14339" s="66"/>
      <c r="B14339" s="67"/>
      <c r="C14339" s="66"/>
      <c r="D14339" s="68"/>
      <c r="E14339" s="10"/>
      <c r="F14339" s="69"/>
      <c r="G14339" s="68"/>
      <c r="H14339" s="70"/>
      <c r="BA14339" s="4"/>
      <c r="BB14339" s="4"/>
    </row>
    <row r="14340" spans="1:54" x14ac:dyDescent="0.3">
      <c r="A14340" s="66"/>
      <c r="B14340" s="67"/>
      <c r="C14340" s="66"/>
      <c r="D14340" s="68"/>
      <c r="E14340" s="10"/>
      <c r="F14340" s="69"/>
      <c r="G14340" s="68"/>
      <c r="H14340" s="70"/>
      <c r="BA14340" s="4"/>
      <c r="BB14340" s="4"/>
    </row>
    <row r="14341" spans="1:54" x14ac:dyDescent="0.3">
      <c r="A14341" s="66"/>
      <c r="B14341" s="67"/>
      <c r="C14341" s="66"/>
      <c r="D14341" s="68"/>
      <c r="E14341" s="10"/>
      <c r="F14341" s="69"/>
      <c r="G14341" s="68"/>
      <c r="H14341" s="70"/>
      <c r="BA14341" s="4"/>
      <c r="BB14341" s="4"/>
    </row>
    <row r="14342" spans="1:54" x14ac:dyDescent="0.3">
      <c r="A14342" s="66"/>
      <c r="B14342" s="67"/>
      <c r="C14342" s="66"/>
      <c r="D14342" s="68"/>
      <c r="E14342" s="10"/>
      <c r="F14342" s="69"/>
      <c r="G14342" s="68"/>
      <c r="H14342" s="70"/>
      <c r="BA14342" s="4"/>
      <c r="BB14342" s="4"/>
    </row>
    <row r="14343" spans="1:54" x14ac:dyDescent="0.3">
      <c r="A14343" s="66"/>
      <c r="B14343" s="67"/>
      <c r="C14343" s="66"/>
      <c r="D14343" s="68"/>
      <c r="E14343" s="10"/>
      <c r="F14343" s="69"/>
      <c r="G14343" s="68"/>
      <c r="H14343" s="70"/>
      <c r="BA14343" s="4"/>
      <c r="BB14343" s="4"/>
    </row>
    <row r="14344" spans="1:54" x14ac:dyDescent="0.3">
      <c r="A14344" s="66"/>
      <c r="B14344" s="67"/>
      <c r="C14344" s="66"/>
      <c r="D14344" s="68"/>
      <c r="E14344" s="10"/>
      <c r="F14344" s="69"/>
      <c r="G14344" s="68"/>
      <c r="H14344" s="70"/>
      <c r="BA14344" s="4"/>
      <c r="BB14344" s="4"/>
    </row>
    <row r="14345" spans="1:54" x14ac:dyDescent="0.3">
      <c r="A14345" s="66"/>
      <c r="B14345" s="67"/>
      <c r="C14345" s="66"/>
      <c r="D14345" s="68"/>
      <c r="E14345" s="10"/>
      <c r="F14345" s="69"/>
      <c r="G14345" s="68"/>
      <c r="H14345" s="70"/>
      <c r="BA14345" s="4"/>
      <c r="BB14345" s="4"/>
    </row>
    <row r="14346" spans="1:54" x14ac:dyDescent="0.3">
      <c r="A14346" s="66"/>
      <c r="B14346" s="67"/>
      <c r="C14346" s="66"/>
      <c r="D14346" s="68"/>
      <c r="E14346" s="10"/>
      <c r="F14346" s="69"/>
      <c r="G14346" s="68"/>
      <c r="H14346" s="70"/>
      <c r="BA14346" s="4"/>
      <c r="BB14346" s="4"/>
    </row>
    <row r="14347" spans="1:54" x14ac:dyDescent="0.3">
      <c r="A14347" s="66"/>
      <c r="B14347" s="67"/>
      <c r="C14347" s="66"/>
      <c r="D14347" s="68"/>
      <c r="E14347" s="10"/>
      <c r="F14347" s="69"/>
      <c r="G14347" s="68"/>
      <c r="H14347" s="70"/>
      <c r="BA14347" s="4"/>
      <c r="BB14347" s="4"/>
    </row>
    <row r="14348" spans="1:54" x14ac:dyDescent="0.3">
      <c r="A14348" s="66"/>
      <c r="B14348" s="67"/>
      <c r="C14348" s="66"/>
      <c r="D14348" s="68"/>
      <c r="E14348" s="10"/>
      <c r="F14348" s="69"/>
      <c r="G14348" s="68"/>
      <c r="H14348" s="70"/>
      <c r="BA14348" s="4"/>
      <c r="BB14348" s="4"/>
    </row>
    <row r="14349" spans="1:54" x14ac:dyDescent="0.3">
      <c r="A14349" s="66"/>
      <c r="B14349" s="67"/>
      <c r="C14349" s="66"/>
      <c r="D14349" s="68"/>
      <c r="E14349" s="10"/>
      <c r="F14349" s="69"/>
      <c r="G14349" s="68"/>
      <c r="H14349" s="70"/>
      <c r="BA14349" s="4"/>
      <c r="BB14349" s="4"/>
    </row>
    <row r="14350" spans="1:54" x14ac:dyDescent="0.3">
      <c r="A14350" s="66"/>
      <c r="B14350" s="67"/>
      <c r="C14350" s="66"/>
      <c r="D14350" s="68"/>
      <c r="E14350" s="10"/>
      <c r="F14350" s="69"/>
      <c r="G14350" s="68"/>
      <c r="H14350" s="70"/>
      <c r="BA14350" s="4"/>
      <c r="BB14350" s="4"/>
    </row>
    <row r="14351" spans="1:54" x14ac:dyDescent="0.3">
      <c r="A14351" s="66"/>
      <c r="B14351" s="67"/>
      <c r="C14351" s="66"/>
      <c r="D14351" s="68"/>
      <c r="E14351" s="10"/>
      <c r="F14351" s="69"/>
      <c r="G14351" s="68"/>
      <c r="H14351" s="70"/>
      <c r="BA14351" s="4"/>
      <c r="BB14351" s="4"/>
    </row>
    <row r="14352" spans="1:54" x14ac:dyDescent="0.3">
      <c r="A14352" s="66"/>
      <c r="B14352" s="67"/>
      <c r="C14352" s="66"/>
      <c r="D14352" s="68"/>
      <c r="E14352" s="10"/>
      <c r="F14352" s="69"/>
      <c r="G14352" s="68"/>
      <c r="H14352" s="70"/>
      <c r="BA14352" s="4"/>
      <c r="BB14352" s="4"/>
    </row>
    <row r="14353" spans="1:54" x14ac:dyDescent="0.3">
      <c r="A14353" s="66"/>
      <c r="B14353" s="67"/>
      <c r="C14353" s="66"/>
      <c r="D14353" s="68"/>
      <c r="E14353" s="10"/>
      <c r="F14353" s="69"/>
      <c r="G14353" s="68"/>
      <c r="H14353" s="70"/>
      <c r="BA14353" s="4"/>
      <c r="BB14353" s="4"/>
    </row>
    <row r="14354" spans="1:54" x14ac:dyDescent="0.3">
      <c r="A14354" s="66"/>
      <c r="B14354" s="67"/>
      <c r="C14354" s="66"/>
      <c r="D14354" s="68"/>
      <c r="E14354" s="10"/>
      <c r="F14354" s="69"/>
      <c r="G14354" s="68"/>
      <c r="H14354" s="70"/>
      <c r="BA14354" s="4"/>
      <c r="BB14354" s="4"/>
    </row>
    <row r="14355" spans="1:54" x14ac:dyDescent="0.3">
      <c r="A14355" s="66"/>
      <c r="B14355" s="67"/>
      <c r="C14355" s="66"/>
      <c r="D14355" s="68"/>
      <c r="E14355" s="10"/>
      <c r="F14355" s="69"/>
      <c r="G14355" s="68"/>
      <c r="H14355" s="70"/>
      <c r="BA14355" s="4"/>
      <c r="BB14355" s="4"/>
    </row>
    <row r="14356" spans="1:54" x14ac:dyDescent="0.3">
      <c r="A14356" s="66"/>
      <c r="B14356" s="67"/>
      <c r="C14356" s="66"/>
      <c r="D14356" s="68"/>
      <c r="E14356" s="10"/>
      <c r="F14356" s="69"/>
      <c r="G14356" s="68"/>
      <c r="H14356" s="70"/>
      <c r="BA14356" s="4"/>
      <c r="BB14356" s="4"/>
    </row>
    <row r="14357" spans="1:54" x14ac:dyDescent="0.3">
      <c r="A14357" s="66"/>
      <c r="B14357" s="67"/>
      <c r="C14357" s="66"/>
      <c r="D14357" s="68"/>
      <c r="E14357" s="10"/>
      <c r="F14357" s="69"/>
      <c r="G14357" s="68"/>
      <c r="H14357" s="70"/>
      <c r="BA14357" s="4"/>
      <c r="BB14357" s="4"/>
    </row>
    <row r="14358" spans="1:54" x14ac:dyDescent="0.3">
      <c r="A14358" s="66"/>
      <c r="B14358" s="67"/>
      <c r="C14358" s="66"/>
      <c r="D14358" s="68"/>
      <c r="E14358" s="10"/>
      <c r="F14358" s="69"/>
      <c r="G14358" s="68"/>
      <c r="H14358" s="70"/>
      <c r="BA14358" s="4"/>
      <c r="BB14358" s="4"/>
    </row>
    <row r="14359" spans="1:54" x14ac:dyDescent="0.3">
      <c r="A14359" s="66"/>
      <c r="B14359" s="67"/>
      <c r="C14359" s="66"/>
      <c r="D14359" s="68"/>
      <c r="E14359" s="10"/>
      <c r="F14359" s="69"/>
      <c r="G14359" s="68"/>
      <c r="H14359" s="70"/>
      <c r="BA14359" s="4"/>
      <c r="BB14359" s="4"/>
    </row>
    <row r="14360" spans="1:54" x14ac:dyDescent="0.3">
      <c r="A14360" s="66"/>
      <c r="B14360" s="67"/>
      <c r="C14360" s="66"/>
      <c r="D14360" s="68"/>
      <c r="E14360" s="10"/>
      <c r="F14360" s="69"/>
      <c r="G14360" s="68"/>
      <c r="H14360" s="70"/>
      <c r="BA14360" s="4"/>
      <c r="BB14360" s="4"/>
    </row>
    <row r="14361" spans="1:54" x14ac:dyDescent="0.3">
      <c r="A14361" s="66"/>
      <c r="B14361" s="67"/>
      <c r="C14361" s="66"/>
      <c r="D14361" s="68"/>
      <c r="E14361" s="10"/>
      <c r="F14361" s="69"/>
      <c r="G14361" s="68"/>
      <c r="H14361" s="70"/>
      <c r="BA14361" s="4"/>
      <c r="BB14361" s="4"/>
    </row>
    <row r="14362" spans="1:54" x14ac:dyDescent="0.3">
      <c r="A14362" s="66"/>
      <c r="B14362" s="67"/>
      <c r="C14362" s="66"/>
      <c r="D14362" s="68"/>
      <c r="E14362" s="10"/>
      <c r="F14362" s="69"/>
      <c r="G14362" s="68"/>
      <c r="H14362" s="70"/>
      <c r="BA14362" s="4"/>
      <c r="BB14362" s="4"/>
    </row>
    <row r="14363" spans="1:54" x14ac:dyDescent="0.3">
      <c r="A14363" s="66"/>
      <c r="B14363" s="67"/>
      <c r="C14363" s="66"/>
      <c r="D14363" s="68"/>
      <c r="E14363" s="10"/>
      <c r="F14363" s="69"/>
      <c r="G14363" s="68"/>
      <c r="H14363" s="70"/>
      <c r="BA14363" s="4"/>
      <c r="BB14363" s="4"/>
    </row>
    <row r="14364" spans="1:54" x14ac:dyDescent="0.3">
      <c r="A14364" s="66"/>
      <c r="B14364" s="67"/>
      <c r="C14364" s="66"/>
      <c r="D14364" s="68"/>
      <c r="E14364" s="10"/>
      <c r="F14364" s="69"/>
      <c r="G14364" s="68"/>
      <c r="H14364" s="70"/>
      <c r="BA14364" s="4"/>
      <c r="BB14364" s="4"/>
    </row>
    <row r="14365" spans="1:54" x14ac:dyDescent="0.3">
      <c r="A14365" s="66"/>
      <c r="B14365" s="67"/>
      <c r="C14365" s="66"/>
      <c r="D14365" s="68"/>
      <c r="E14365" s="10"/>
      <c r="F14365" s="69"/>
      <c r="G14365" s="68"/>
      <c r="H14365" s="70"/>
      <c r="BA14365" s="4"/>
      <c r="BB14365" s="4"/>
    </row>
    <row r="14366" spans="1:54" x14ac:dyDescent="0.3">
      <c r="A14366" s="66"/>
      <c r="B14366" s="67"/>
      <c r="C14366" s="66"/>
      <c r="D14366" s="68"/>
      <c r="E14366" s="10"/>
      <c r="F14366" s="69"/>
      <c r="G14366" s="68"/>
      <c r="H14366" s="70"/>
      <c r="BA14366" s="4"/>
      <c r="BB14366" s="4"/>
    </row>
    <row r="14367" spans="1:54" x14ac:dyDescent="0.3">
      <c r="A14367" s="66"/>
      <c r="B14367" s="67"/>
      <c r="C14367" s="66"/>
      <c r="D14367" s="68"/>
      <c r="E14367" s="10"/>
      <c r="F14367" s="69"/>
      <c r="G14367" s="68"/>
      <c r="H14367" s="70"/>
      <c r="BA14367" s="4"/>
      <c r="BB14367" s="4"/>
    </row>
    <row r="14368" spans="1:54" x14ac:dyDescent="0.3">
      <c r="A14368" s="66"/>
      <c r="B14368" s="67"/>
      <c r="C14368" s="66"/>
      <c r="D14368" s="68"/>
      <c r="E14368" s="10"/>
      <c r="F14368" s="69"/>
      <c r="G14368" s="68"/>
      <c r="H14368" s="70"/>
      <c r="BA14368" s="4"/>
      <c r="BB14368" s="4"/>
    </row>
    <row r="14369" spans="1:54" x14ac:dyDescent="0.3">
      <c r="A14369" s="66"/>
      <c r="B14369" s="67"/>
      <c r="C14369" s="66"/>
      <c r="D14369" s="68"/>
      <c r="E14369" s="10"/>
      <c r="F14369" s="69"/>
      <c r="G14369" s="68"/>
      <c r="H14369" s="70"/>
      <c r="BA14369" s="4"/>
      <c r="BB14369" s="4"/>
    </row>
    <row r="14370" spans="1:54" x14ac:dyDescent="0.3">
      <c r="A14370" s="66"/>
      <c r="B14370" s="67"/>
      <c r="C14370" s="66"/>
      <c r="D14370" s="68"/>
      <c r="E14370" s="10"/>
      <c r="F14370" s="69"/>
      <c r="G14370" s="68"/>
      <c r="H14370" s="70"/>
      <c r="BA14370" s="4"/>
      <c r="BB14370" s="4"/>
    </row>
    <row r="14371" spans="1:54" x14ac:dyDescent="0.3">
      <c r="A14371" s="66"/>
      <c r="B14371" s="67"/>
      <c r="C14371" s="66"/>
      <c r="D14371" s="68"/>
      <c r="E14371" s="10"/>
      <c r="F14371" s="69"/>
      <c r="G14371" s="68"/>
      <c r="H14371" s="70"/>
      <c r="BA14371" s="4"/>
      <c r="BB14371" s="4"/>
    </row>
    <row r="14372" spans="1:54" x14ac:dyDescent="0.3">
      <c r="A14372" s="66"/>
      <c r="B14372" s="67"/>
      <c r="C14372" s="66"/>
      <c r="D14372" s="68"/>
      <c r="E14372" s="10"/>
      <c r="F14372" s="69"/>
      <c r="G14372" s="68"/>
      <c r="H14372" s="70"/>
      <c r="BA14372" s="4"/>
      <c r="BB14372" s="4"/>
    </row>
    <row r="14373" spans="1:54" x14ac:dyDescent="0.3">
      <c r="A14373" s="66"/>
      <c r="B14373" s="67"/>
      <c r="C14373" s="66"/>
      <c r="D14373" s="68"/>
      <c r="E14373" s="10"/>
      <c r="F14373" s="69"/>
      <c r="G14373" s="68"/>
      <c r="H14373" s="70"/>
      <c r="BA14373" s="4"/>
      <c r="BB14373" s="4"/>
    </row>
    <row r="14374" spans="1:54" x14ac:dyDescent="0.3">
      <c r="A14374" s="66"/>
      <c r="B14374" s="67"/>
      <c r="C14374" s="66"/>
      <c r="D14374" s="68"/>
      <c r="E14374" s="10"/>
      <c r="F14374" s="69"/>
      <c r="G14374" s="68"/>
      <c r="H14374" s="70"/>
      <c r="BA14374" s="4"/>
      <c r="BB14374" s="4"/>
    </row>
    <row r="14375" spans="1:54" x14ac:dyDescent="0.3">
      <c r="A14375" s="66"/>
      <c r="B14375" s="67"/>
      <c r="C14375" s="66"/>
      <c r="D14375" s="68"/>
      <c r="E14375" s="10"/>
      <c r="F14375" s="69"/>
      <c r="G14375" s="68"/>
      <c r="H14375" s="70"/>
      <c r="BA14375" s="4"/>
      <c r="BB14375" s="4"/>
    </row>
    <row r="14376" spans="1:54" x14ac:dyDescent="0.3">
      <c r="A14376" s="66"/>
      <c r="B14376" s="67"/>
      <c r="C14376" s="66"/>
      <c r="D14376" s="68"/>
      <c r="E14376" s="10"/>
      <c r="F14376" s="69"/>
      <c r="G14376" s="68"/>
      <c r="H14376" s="70"/>
      <c r="BA14376" s="4"/>
      <c r="BB14376" s="4"/>
    </row>
    <row r="14377" spans="1:54" x14ac:dyDescent="0.3">
      <c r="A14377" s="66"/>
      <c r="B14377" s="67"/>
      <c r="C14377" s="66"/>
      <c r="D14377" s="68"/>
      <c r="E14377" s="10"/>
      <c r="F14377" s="69"/>
      <c r="G14377" s="68"/>
      <c r="H14377" s="70"/>
      <c r="BA14377" s="4"/>
      <c r="BB14377" s="4"/>
    </row>
    <row r="14378" spans="1:54" x14ac:dyDescent="0.3">
      <c r="A14378" s="66"/>
      <c r="B14378" s="67"/>
      <c r="C14378" s="66"/>
      <c r="D14378" s="68"/>
      <c r="E14378" s="10"/>
      <c r="F14378" s="69"/>
      <c r="G14378" s="68"/>
      <c r="H14378" s="70"/>
      <c r="BA14378" s="4"/>
      <c r="BB14378" s="4"/>
    </row>
    <row r="14379" spans="1:54" x14ac:dyDescent="0.3">
      <c r="A14379" s="66"/>
      <c r="B14379" s="67"/>
      <c r="C14379" s="66"/>
      <c r="D14379" s="68"/>
      <c r="E14379" s="10"/>
      <c r="F14379" s="69"/>
      <c r="G14379" s="68"/>
      <c r="H14379" s="70"/>
      <c r="BA14379" s="4"/>
      <c r="BB14379" s="4"/>
    </row>
    <row r="14380" spans="1:54" x14ac:dyDescent="0.3">
      <c r="A14380" s="66"/>
      <c r="B14380" s="67"/>
      <c r="C14380" s="66"/>
      <c r="D14380" s="68"/>
      <c r="E14380" s="10"/>
      <c r="F14380" s="69"/>
      <c r="G14380" s="68"/>
      <c r="H14380" s="70"/>
      <c r="BA14380" s="4"/>
      <c r="BB14380" s="4"/>
    </row>
    <row r="14381" spans="1:54" x14ac:dyDescent="0.3">
      <c r="A14381" s="66"/>
      <c r="B14381" s="67"/>
      <c r="C14381" s="66"/>
      <c r="D14381" s="68"/>
      <c r="E14381" s="10"/>
      <c r="F14381" s="69"/>
      <c r="G14381" s="68"/>
      <c r="H14381" s="70"/>
      <c r="BA14381" s="4"/>
      <c r="BB14381" s="4"/>
    </row>
    <row r="14382" spans="1:54" x14ac:dyDescent="0.3">
      <c r="A14382" s="66"/>
      <c r="B14382" s="67"/>
      <c r="C14382" s="66"/>
      <c r="D14382" s="68"/>
      <c r="E14382" s="10"/>
      <c r="F14382" s="69"/>
      <c r="G14382" s="68"/>
      <c r="H14382" s="70"/>
      <c r="BA14382" s="4"/>
      <c r="BB14382" s="4"/>
    </row>
    <row r="14383" spans="1:54" x14ac:dyDescent="0.3">
      <c r="A14383" s="66"/>
      <c r="B14383" s="67"/>
      <c r="C14383" s="66"/>
      <c r="D14383" s="68"/>
      <c r="E14383" s="10"/>
      <c r="F14383" s="69"/>
      <c r="G14383" s="68"/>
      <c r="H14383" s="70"/>
      <c r="BA14383" s="4"/>
      <c r="BB14383" s="4"/>
    </row>
    <row r="14384" spans="1:54" x14ac:dyDescent="0.3">
      <c r="A14384" s="66"/>
      <c r="B14384" s="67"/>
      <c r="C14384" s="66"/>
      <c r="D14384" s="68"/>
      <c r="E14384" s="10"/>
      <c r="F14384" s="69"/>
      <c r="G14384" s="68"/>
      <c r="H14384" s="70"/>
      <c r="BA14384" s="4"/>
      <c r="BB14384" s="4"/>
    </row>
    <row r="14385" spans="1:54" x14ac:dyDescent="0.3">
      <c r="A14385" s="66"/>
      <c r="B14385" s="67"/>
      <c r="C14385" s="66"/>
      <c r="D14385" s="68"/>
      <c r="E14385" s="10"/>
      <c r="F14385" s="69"/>
      <c r="G14385" s="68"/>
      <c r="H14385" s="70"/>
      <c r="BA14385" s="4"/>
      <c r="BB14385" s="4"/>
    </row>
    <row r="14386" spans="1:54" x14ac:dyDescent="0.3">
      <c r="A14386" s="66"/>
      <c r="B14386" s="67"/>
      <c r="C14386" s="66"/>
      <c r="D14386" s="68"/>
      <c r="E14386" s="10"/>
      <c r="F14386" s="69"/>
      <c r="G14386" s="68"/>
      <c r="H14386" s="70"/>
      <c r="BA14386" s="4"/>
      <c r="BB14386" s="4"/>
    </row>
    <row r="14387" spans="1:54" x14ac:dyDescent="0.3">
      <c r="A14387" s="66"/>
      <c r="B14387" s="67"/>
      <c r="C14387" s="66"/>
      <c r="D14387" s="68"/>
      <c r="E14387" s="10"/>
      <c r="F14387" s="69"/>
      <c r="G14387" s="68"/>
      <c r="H14387" s="70"/>
      <c r="BA14387" s="4"/>
      <c r="BB14387" s="4"/>
    </row>
    <row r="14388" spans="1:54" x14ac:dyDescent="0.3">
      <c r="A14388" s="66"/>
      <c r="B14388" s="67"/>
      <c r="C14388" s="66"/>
      <c r="D14388" s="68"/>
      <c r="E14388" s="10"/>
      <c r="F14388" s="69"/>
      <c r="G14388" s="68"/>
      <c r="H14388" s="70"/>
      <c r="BA14388" s="4"/>
      <c r="BB14388" s="4"/>
    </row>
    <row r="14389" spans="1:54" x14ac:dyDescent="0.3">
      <c r="A14389" s="66"/>
      <c r="B14389" s="67"/>
      <c r="C14389" s="66"/>
      <c r="D14389" s="68"/>
      <c r="E14389" s="10"/>
      <c r="F14389" s="69"/>
      <c r="G14389" s="68"/>
      <c r="H14389" s="70"/>
      <c r="BA14389" s="4"/>
      <c r="BB14389" s="4"/>
    </row>
    <row r="14390" spans="1:54" x14ac:dyDescent="0.3">
      <c r="A14390" s="66"/>
      <c r="B14390" s="67"/>
      <c r="C14390" s="66"/>
      <c r="D14390" s="68"/>
      <c r="E14390" s="10"/>
      <c r="F14390" s="69"/>
      <c r="G14390" s="68"/>
      <c r="H14390" s="70"/>
      <c r="BA14390" s="4"/>
      <c r="BB14390" s="4"/>
    </row>
    <row r="14391" spans="1:54" x14ac:dyDescent="0.3">
      <c r="A14391" s="66"/>
      <c r="B14391" s="67"/>
      <c r="C14391" s="66"/>
      <c r="D14391" s="68"/>
      <c r="E14391" s="10"/>
      <c r="F14391" s="69"/>
      <c r="G14391" s="68"/>
      <c r="H14391" s="70"/>
      <c r="BA14391" s="4"/>
      <c r="BB14391" s="4"/>
    </row>
    <row r="14392" spans="1:54" x14ac:dyDescent="0.3">
      <c r="A14392" s="66"/>
      <c r="B14392" s="67"/>
      <c r="C14392" s="66"/>
      <c r="D14392" s="68"/>
      <c r="E14392" s="10"/>
      <c r="F14392" s="69"/>
      <c r="G14392" s="68"/>
      <c r="H14392" s="70"/>
      <c r="BA14392" s="4"/>
      <c r="BB14392" s="4"/>
    </row>
    <row r="14393" spans="1:54" x14ac:dyDescent="0.3">
      <c r="A14393" s="66"/>
      <c r="B14393" s="67"/>
      <c r="C14393" s="66"/>
      <c r="D14393" s="68"/>
      <c r="E14393" s="10"/>
      <c r="F14393" s="69"/>
      <c r="G14393" s="68"/>
      <c r="H14393" s="70"/>
      <c r="BA14393" s="4"/>
      <c r="BB14393" s="4"/>
    </row>
    <row r="14394" spans="1:54" x14ac:dyDescent="0.3">
      <c r="A14394" s="66"/>
      <c r="B14394" s="67"/>
      <c r="C14394" s="66"/>
      <c r="D14394" s="68"/>
      <c r="E14394" s="10"/>
      <c r="F14394" s="69"/>
      <c r="G14394" s="68"/>
      <c r="H14394" s="70"/>
      <c r="BA14394" s="4"/>
      <c r="BB14394" s="4"/>
    </row>
    <row r="14395" spans="1:54" x14ac:dyDescent="0.3">
      <c r="A14395" s="66"/>
      <c r="B14395" s="67"/>
      <c r="C14395" s="66"/>
      <c r="D14395" s="68"/>
      <c r="E14395" s="10"/>
      <c r="F14395" s="69"/>
      <c r="G14395" s="68"/>
      <c r="H14395" s="70"/>
      <c r="BA14395" s="4"/>
      <c r="BB14395" s="4"/>
    </row>
    <row r="14396" spans="1:54" x14ac:dyDescent="0.3">
      <c r="A14396" s="66"/>
      <c r="B14396" s="67"/>
      <c r="C14396" s="66"/>
      <c r="D14396" s="68"/>
      <c r="E14396" s="10"/>
      <c r="F14396" s="69"/>
      <c r="G14396" s="68"/>
      <c r="H14396" s="70"/>
      <c r="BA14396" s="4"/>
      <c r="BB14396" s="4"/>
    </row>
    <row r="14397" spans="1:54" x14ac:dyDescent="0.3">
      <c r="A14397" s="66"/>
      <c r="B14397" s="67"/>
      <c r="C14397" s="66"/>
      <c r="D14397" s="68"/>
      <c r="E14397" s="10"/>
      <c r="F14397" s="69"/>
      <c r="G14397" s="68"/>
      <c r="H14397" s="70"/>
      <c r="BA14397" s="4"/>
      <c r="BB14397" s="4"/>
    </row>
    <row r="14398" spans="1:54" x14ac:dyDescent="0.3">
      <c r="A14398" s="66"/>
      <c r="B14398" s="67"/>
      <c r="C14398" s="66"/>
      <c r="D14398" s="68"/>
      <c r="E14398" s="10"/>
      <c r="F14398" s="69"/>
      <c r="G14398" s="68"/>
      <c r="H14398" s="70"/>
      <c r="BA14398" s="4"/>
      <c r="BB14398" s="4"/>
    </row>
    <row r="14399" spans="1:54" x14ac:dyDescent="0.3">
      <c r="A14399" s="66"/>
      <c r="B14399" s="67"/>
      <c r="C14399" s="66"/>
      <c r="D14399" s="68"/>
      <c r="E14399" s="10"/>
      <c r="F14399" s="69"/>
      <c r="G14399" s="68"/>
      <c r="H14399" s="70"/>
      <c r="BA14399" s="4"/>
      <c r="BB14399" s="4"/>
    </row>
    <row r="14400" spans="1:54" x14ac:dyDescent="0.3">
      <c r="A14400" s="66"/>
      <c r="B14400" s="67"/>
      <c r="C14400" s="66"/>
      <c r="D14400" s="68"/>
      <c r="E14400" s="10"/>
      <c r="F14400" s="69"/>
      <c r="G14400" s="68"/>
      <c r="H14400" s="70"/>
      <c r="BA14400" s="4"/>
      <c r="BB14400" s="4"/>
    </row>
    <row r="14401" spans="1:54" x14ac:dyDescent="0.3">
      <c r="A14401" s="66"/>
      <c r="B14401" s="67"/>
      <c r="C14401" s="66"/>
      <c r="D14401" s="68"/>
      <c r="E14401" s="10"/>
      <c r="F14401" s="69"/>
      <c r="G14401" s="68"/>
      <c r="H14401" s="70"/>
      <c r="BA14401" s="4"/>
      <c r="BB14401" s="4"/>
    </row>
    <row r="14402" spans="1:54" x14ac:dyDescent="0.3">
      <c r="A14402" s="66"/>
      <c r="B14402" s="67"/>
      <c r="C14402" s="66"/>
      <c r="D14402" s="68"/>
      <c r="E14402" s="10"/>
      <c r="F14402" s="69"/>
      <c r="G14402" s="68"/>
      <c r="H14402" s="70"/>
      <c r="BA14402" s="4"/>
      <c r="BB14402" s="4"/>
    </row>
    <row r="14403" spans="1:54" x14ac:dyDescent="0.3">
      <c r="A14403" s="66"/>
      <c r="B14403" s="67"/>
      <c r="C14403" s="66"/>
      <c r="D14403" s="68"/>
      <c r="E14403" s="10"/>
      <c r="F14403" s="69"/>
      <c r="G14403" s="68"/>
      <c r="H14403" s="70"/>
      <c r="BA14403" s="4"/>
      <c r="BB14403" s="4"/>
    </row>
    <row r="14404" spans="1:54" x14ac:dyDescent="0.3">
      <c r="A14404" s="66"/>
      <c r="B14404" s="67"/>
      <c r="C14404" s="66"/>
      <c r="D14404" s="68"/>
      <c r="E14404" s="10"/>
      <c r="F14404" s="69"/>
      <c r="G14404" s="68"/>
      <c r="H14404" s="70"/>
      <c r="BA14404" s="4"/>
      <c r="BB14404" s="4"/>
    </row>
    <row r="14405" spans="1:54" x14ac:dyDescent="0.3">
      <c r="A14405" s="66"/>
      <c r="B14405" s="67"/>
      <c r="C14405" s="66"/>
      <c r="D14405" s="68"/>
      <c r="E14405" s="10"/>
      <c r="F14405" s="69"/>
      <c r="G14405" s="68"/>
      <c r="H14405" s="70"/>
      <c r="BA14405" s="4"/>
      <c r="BB14405" s="4"/>
    </row>
    <row r="14406" spans="1:54" x14ac:dyDescent="0.3">
      <c r="A14406" s="66"/>
      <c r="B14406" s="67"/>
      <c r="C14406" s="66"/>
      <c r="D14406" s="68"/>
      <c r="E14406" s="10"/>
      <c r="F14406" s="69"/>
      <c r="G14406" s="68"/>
      <c r="H14406" s="70"/>
      <c r="BA14406" s="4"/>
      <c r="BB14406" s="4"/>
    </row>
    <row r="14407" spans="1:54" x14ac:dyDescent="0.3">
      <c r="A14407" s="66"/>
      <c r="B14407" s="67"/>
      <c r="C14407" s="66"/>
      <c r="D14407" s="68"/>
      <c r="E14407" s="10"/>
      <c r="F14407" s="69"/>
      <c r="G14407" s="68"/>
      <c r="H14407" s="70"/>
      <c r="BA14407" s="4"/>
      <c r="BB14407" s="4"/>
    </row>
    <row r="14408" spans="1:54" x14ac:dyDescent="0.3">
      <c r="A14408" s="66"/>
      <c r="B14408" s="67"/>
      <c r="C14408" s="66"/>
      <c r="D14408" s="68"/>
      <c r="E14408" s="10"/>
      <c r="F14408" s="69"/>
      <c r="G14408" s="68"/>
      <c r="H14408" s="70"/>
      <c r="BA14408" s="4"/>
      <c r="BB14408" s="4"/>
    </row>
    <row r="14409" spans="1:54" x14ac:dyDescent="0.3">
      <c r="A14409" s="66"/>
      <c r="B14409" s="67"/>
      <c r="C14409" s="66"/>
      <c r="D14409" s="68"/>
      <c r="E14409" s="10"/>
      <c r="F14409" s="69"/>
      <c r="G14409" s="68"/>
      <c r="H14409" s="70"/>
      <c r="BA14409" s="4"/>
      <c r="BB14409" s="4"/>
    </row>
    <row r="14410" spans="1:54" x14ac:dyDescent="0.3">
      <c r="A14410" s="66"/>
      <c r="B14410" s="67"/>
      <c r="C14410" s="66"/>
      <c r="D14410" s="68"/>
      <c r="E14410" s="10"/>
      <c r="F14410" s="69"/>
      <c r="G14410" s="68"/>
      <c r="H14410" s="70"/>
      <c r="BA14410" s="4"/>
      <c r="BB14410" s="4"/>
    </row>
    <row r="14411" spans="1:54" x14ac:dyDescent="0.3">
      <c r="A14411" s="66"/>
      <c r="B14411" s="67"/>
      <c r="C14411" s="66"/>
      <c r="D14411" s="68"/>
      <c r="E14411" s="10"/>
      <c r="F14411" s="69"/>
      <c r="G14411" s="68"/>
      <c r="H14411" s="70"/>
      <c r="BA14411" s="4"/>
      <c r="BB14411" s="4"/>
    </row>
    <row r="14412" spans="1:54" x14ac:dyDescent="0.3">
      <c r="A14412" s="66"/>
      <c r="B14412" s="67"/>
      <c r="C14412" s="66"/>
      <c r="D14412" s="68"/>
      <c r="E14412" s="10"/>
      <c r="F14412" s="69"/>
      <c r="G14412" s="68"/>
      <c r="H14412" s="70"/>
      <c r="BA14412" s="4"/>
      <c r="BB14412" s="4"/>
    </row>
    <row r="14413" spans="1:54" x14ac:dyDescent="0.3">
      <c r="A14413" s="66"/>
      <c r="B14413" s="67"/>
      <c r="C14413" s="66"/>
      <c r="D14413" s="68"/>
      <c r="E14413" s="10"/>
      <c r="F14413" s="69"/>
      <c r="G14413" s="68"/>
      <c r="H14413" s="70"/>
      <c r="BA14413" s="4"/>
      <c r="BB14413" s="4"/>
    </row>
    <row r="14414" spans="1:54" x14ac:dyDescent="0.3">
      <c r="A14414" s="66"/>
      <c r="B14414" s="67"/>
      <c r="C14414" s="66"/>
      <c r="D14414" s="68"/>
      <c r="E14414" s="10"/>
      <c r="F14414" s="69"/>
      <c r="G14414" s="68"/>
      <c r="H14414" s="70"/>
      <c r="BA14414" s="4"/>
      <c r="BB14414" s="4"/>
    </row>
    <row r="14415" spans="1:54" x14ac:dyDescent="0.3">
      <c r="A14415" s="66"/>
      <c r="B14415" s="67"/>
      <c r="C14415" s="66"/>
      <c r="D14415" s="68"/>
      <c r="E14415" s="10"/>
      <c r="F14415" s="69"/>
      <c r="G14415" s="68"/>
      <c r="H14415" s="70"/>
      <c r="BA14415" s="4"/>
      <c r="BB14415" s="4"/>
    </row>
    <row r="14416" spans="1:54" x14ac:dyDescent="0.3">
      <c r="A14416" s="66"/>
      <c r="B14416" s="67"/>
      <c r="C14416" s="66"/>
      <c r="D14416" s="68"/>
      <c r="E14416" s="10"/>
      <c r="F14416" s="69"/>
      <c r="G14416" s="68"/>
      <c r="H14416" s="70"/>
      <c r="BA14416" s="4"/>
      <c r="BB14416" s="4"/>
    </row>
    <row r="14417" spans="1:54" x14ac:dyDescent="0.3">
      <c r="A14417" s="66"/>
      <c r="B14417" s="67"/>
      <c r="C14417" s="66"/>
      <c r="D14417" s="68"/>
      <c r="E14417" s="10"/>
      <c r="F14417" s="69"/>
      <c r="G14417" s="68"/>
      <c r="H14417" s="70"/>
      <c r="BA14417" s="4"/>
      <c r="BB14417" s="4"/>
    </row>
    <row r="14418" spans="1:54" x14ac:dyDescent="0.3">
      <c r="A14418" s="66"/>
      <c r="B14418" s="67"/>
      <c r="C14418" s="66"/>
      <c r="D14418" s="68"/>
      <c r="E14418" s="10"/>
      <c r="F14418" s="69"/>
      <c r="G14418" s="68"/>
      <c r="H14418" s="70"/>
      <c r="BA14418" s="4"/>
      <c r="BB14418" s="4"/>
    </row>
    <row r="14419" spans="1:54" x14ac:dyDescent="0.3">
      <c r="A14419" s="66"/>
      <c r="B14419" s="67"/>
      <c r="C14419" s="66"/>
      <c r="D14419" s="68"/>
      <c r="E14419" s="10"/>
      <c r="F14419" s="69"/>
      <c r="G14419" s="68"/>
      <c r="H14419" s="70"/>
      <c r="BA14419" s="4"/>
      <c r="BB14419" s="4"/>
    </row>
    <row r="14420" spans="1:54" x14ac:dyDescent="0.3">
      <c r="A14420" s="66"/>
      <c r="B14420" s="67"/>
      <c r="C14420" s="66"/>
      <c r="D14420" s="68"/>
      <c r="E14420" s="10"/>
      <c r="F14420" s="69"/>
      <c r="G14420" s="68"/>
      <c r="H14420" s="70"/>
      <c r="BA14420" s="4"/>
      <c r="BB14420" s="4"/>
    </row>
    <row r="14421" spans="1:54" x14ac:dyDescent="0.3">
      <c r="A14421" s="66"/>
      <c r="B14421" s="67"/>
      <c r="C14421" s="66"/>
      <c r="D14421" s="68"/>
      <c r="E14421" s="10"/>
      <c r="F14421" s="69"/>
      <c r="G14421" s="68"/>
      <c r="H14421" s="70"/>
      <c r="BA14421" s="4"/>
      <c r="BB14421" s="4"/>
    </row>
    <row r="14422" spans="1:54" x14ac:dyDescent="0.3">
      <c r="A14422" s="66"/>
      <c r="B14422" s="67"/>
      <c r="C14422" s="66"/>
      <c r="D14422" s="68"/>
      <c r="E14422" s="10"/>
      <c r="F14422" s="69"/>
      <c r="G14422" s="68"/>
      <c r="H14422" s="70"/>
      <c r="BA14422" s="4"/>
      <c r="BB14422" s="4"/>
    </row>
    <row r="14423" spans="1:54" x14ac:dyDescent="0.3">
      <c r="A14423" s="66"/>
      <c r="B14423" s="67"/>
      <c r="C14423" s="66"/>
      <c r="D14423" s="68"/>
      <c r="E14423" s="10"/>
      <c r="F14423" s="69"/>
      <c r="G14423" s="68"/>
      <c r="H14423" s="70"/>
      <c r="BA14423" s="4"/>
      <c r="BB14423" s="4"/>
    </row>
    <row r="14424" spans="1:54" x14ac:dyDescent="0.3">
      <c r="A14424" s="66"/>
      <c r="B14424" s="67"/>
      <c r="C14424" s="66"/>
      <c r="D14424" s="68"/>
      <c r="E14424" s="10"/>
      <c r="F14424" s="69"/>
      <c r="G14424" s="68"/>
      <c r="H14424" s="70"/>
      <c r="BA14424" s="4"/>
      <c r="BB14424" s="4"/>
    </row>
    <row r="14425" spans="1:54" x14ac:dyDescent="0.3">
      <c r="A14425" s="66"/>
      <c r="B14425" s="67"/>
      <c r="C14425" s="66"/>
      <c r="D14425" s="68"/>
      <c r="E14425" s="10"/>
      <c r="F14425" s="69"/>
      <c r="G14425" s="68"/>
      <c r="H14425" s="70"/>
      <c r="BA14425" s="4"/>
      <c r="BB14425" s="4"/>
    </row>
    <row r="14426" spans="1:54" x14ac:dyDescent="0.3">
      <c r="A14426" s="66"/>
      <c r="B14426" s="67"/>
      <c r="C14426" s="66"/>
      <c r="D14426" s="68"/>
      <c r="E14426" s="10"/>
      <c r="F14426" s="69"/>
      <c r="G14426" s="68"/>
      <c r="H14426" s="70"/>
      <c r="BA14426" s="4"/>
      <c r="BB14426" s="4"/>
    </row>
    <row r="14427" spans="1:54" x14ac:dyDescent="0.3">
      <c r="A14427" s="66"/>
      <c r="B14427" s="67"/>
      <c r="C14427" s="66"/>
      <c r="D14427" s="68"/>
      <c r="E14427" s="10"/>
      <c r="F14427" s="69"/>
      <c r="G14427" s="68"/>
      <c r="H14427" s="70"/>
      <c r="BA14427" s="4"/>
      <c r="BB14427" s="4"/>
    </row>
    <row r="14428" spans="1:54" x14ac:dyDescent="0.3">
      <c r="A14428" s="66"/>
      <c r="B14428" s="67"/>
      <c r="C14428" s="66"/>
      <c r="D14428" s="68"/>
      <c r="E14428" s="10"/>
      <c r="F14428" s="69"/>
      <c r="G14428" s="68"/>
      <c r="H14428" s="70"/>
      <c r="BA14428" s="4"/>
      <c r="BB14428" s="4"/>
    </row>
    <row r="14429" spans="1:54" x14ac:dyDescent="0.3">
      <c r="A14429" s="66"/>
      <c r="B14429" s="67"/>
      <c r="C14429" s="66"/>
      <c r="D14429" s="68"/>
      <c r="E14429" s="10"/>
      <c r="F14429" s="69"/>
      <c r="G14429" s="68"/>
      <c r="H14429" s="70"/>
      <c r="BA14429" s="4"/>
      <c r="BB14429" s="4"/>
    </row>
    <row r="14430" spans="1:54" x14ac:dyDescent="0.3">
      <c r="A14430" s="66"/>
      <c r="B14430" s="67"/>
      <c r="C14430" s="66"/>
      <c r="D14430" s="68"/>
      <c r="E14430" s="10"/>
      <c r="F14430" s="69"/>
      <c r="G14430" s="68"/>
      <c r="H14430" s="70"/>
      <c r="BA14430" s="4"/>
      <c r="BB14430" s="4"/>
    </row>
    <row r="14431" spans="1:54" x14ac:dyDescent="0.3">
      <c r="A14431" s="66"/>
      <c r="B14431" s="67"/>
      <c r="C14431" s="66"/>
      <c r="D14431" s="68"/>
      <c r="E14431" s="10"/>
      <c r="F14431" s="69"/>
      <c r="G14431" s="68"/>
      <c r="H14431" s="70"/>
      <c r="BA14431" s="4"/>
      <c r="BB14431" s="4"/>
    </row>
    <row r="14432" spans="1:54" x14ac:dyDescent="0.3">
      <c r="A14432" s="66"/>
      <c r="B14432" s="67"/>
      <c r="C14432" s="66"/>
      <c r="D14432" s="68"/>
      <c r="E14432" s="10"/>
      <c r="F14432" s="69"/>
      <c r="G14432" s="68"/>
      <c r="H14432" s="70"/>
      <c r="BA14432" s="4"/>
      <c r="BB14432" s="4"/>
    </row>
    <row r="14433" spans="1:54" x14ac:dyDescent="0.3">
      <c r="A14433" s="66"/>
      <c r="B14433" s="67"/>
      <c r="C14433" s="66"/>
      <c r="D14433" s="68"/>
      <c r="E14433" s="10"/>
      <c r="F14433" s="69"/>
      <c r="G14433" s="68"/>
      <c r="H14433" s="70"/>
      <c r="BA14433" s="4"/>
      <c r="BB14433" s="4"/>
    </row>
    <row r="14434" spans="1:54" x14ac:dyDescent="0.3">
      <c r="A14434" s="66"/>
      <c r="B14434" s="67"/>
      <c r="C14434" s="66"/>
      <c r="D14434" s="68"/>
      <c r="E14434" s="10"/>
      <c r="F14434" s="69"/>
      <c r="G14434" s="68"/>
      <c r="H14434" s="70"/>
      <c r="BA14434" s="4"/>
      <c r="BB14434" s="4"/>
    </row>
    <row r="14435" spans="1:54" x14ac:dyDescent="0.3">
      <c r="A14435" s="66"/>
      <c r="B14435" s="67"/>
      <c r="C14435" s="66"/>
      <c r="D14435" s="68"/>
      <c r="E14435" s="10"/>
      <c r="F14435" s="69"/>
      <c r="G14435" s="68"/>
      <c r="H14435" s="70"/>
      <c r="BA14435" s="4"/>
      <c r="BB14435" s="4"/>
    </row>
    <row r="14436" spans="1:54" x14ac:dyDescent="0.3">
      <c r="A14436" s="66"/>
      <c r="B14436" s="67"/>
      <c r="C14436" s="66"/>
      <c r="D14436" s="68"/>
      <c r="E14436" s="10"/>
      <c r="F14436" s="69"/>
      <c r="G14436" s="68"/>
      <c r="H14436" s="70"/>
      <c r="BA14436" s="4"/>
      <c r="BB14436" s="4"/>
    </row>
    <row r="14437" spans="1:54" x14ac:dyDescent="0.3">
      <c r="A14437" s="66"/>
      <c r="B14437" s="67"/>
      <c r="C14437" s="66"/>
      <c r="D14437" s="68"/>
      <c r="E14437" s="10"/>
      <c r="F14437" s="69"/>
      <c r="G14437" s="68"/>
      <c r="H14437" s="70"/>
      <c r="BA14437" s="4"/>
      <c r="BB14437" s="4"/>
    </row>
    <row r="14438" spans="1:54" x14ac:dyDescent="0.3">
      <c r="A14438" s="66"/>
      <c r="B14438" s="67"/>
      <c r="C14438" s="66"/>
      <c r="D14438" s="68"/>
      <c r="E14438" s="10"/>
      <c r="F14438" s="69"/>
      <c r="G14438" s="68"/>
      <c r="H14438" s="70"/>
      <c r="BA14438" s="4"/>
      <c r="BB14438" s="4"/>
    </row>
    <row r="14439" spans="1:54" x14ac:dyDescent="0.3">
      <c r="A14439" s="66"/>
      <c r="B14439" s="67"/>
      <c r="C14439" s="66"/>
      <c r="D14439" s="68"/>
      <c r="E14439" s="10"/>
      <c r="F14439" s="69"/>
      <c r="G14439" s="68"/>
      <c r="H14439" s="70"/>
      <c r="BA14439" s="4"/>
      <c r="BB14439" s="4"/>
    </row>
    <row r="14440" spans="1:54" x14ac:dyDescent="0.3">
      <c r="A14440" s="66"/>
      <c r="B14440" s="67"/>
      <c r="C14440" s="66"/>
      <c r="D14440" s="68"/>
      <c r="E14440" s="10"/>
      <c r="F14440" s="69"/>
      <c r="G14440" s="68"/>
      <c r="H14440" s="70"/>
      <c r="BA14440" s="4"/>
      <c r="BB14440" s="4"/>
    </row>
    <row r="14441" spans="1:54" x14ac:dyDescent="0.3">
      <c r="A14441" s="66"/>
      <c r="B14441" s="67"/>
      <c r="C14441" s="66"/>
      <c r="D14441" s="68"/>
      <c r="E14441" s="10"/>
      <c r="F14441" s="69"/>
      <c r="G14441" s="68"/>
      <c r="H14441" s="70"/>
      <c r="BA14441" s="4"/>
      <c r="BB14441" s="4"/>
    </row>
    <row r="14442" spans="1:54" x14ac:dyDescent="0.3">
      <c r="A14442" s="66"/>
      <c r="B14442" s="67"/>
      <c r="C14442" s="66"/>
      <c r="D14442" s="68"/>
      <c r="E14442" s="10"/>
      <c r="F14442" s="69"/>
      <c r="G14442" s="68"/>
      <c r="H14442" s="70"/>
      <c r="BA14442" s="4"/>
      <c r="BB14442" s="4"/>
    </row>
    <row r="14443" spans="1:54" x14ac:dyDescent="0.3">
      <c r="A14443" s="66"/>
      <c r="B14443" s="67"/>
      <c r="C14443" s="66"/>
      <c r="D14443" s="68"/>
      <c r="E14443" s="10"/>
      <c r="F14443" s="69"/>
      <c r="G14443" s="68"/>
      <c r="H14443" s="70"/>
      <c r="BA14443" s="4"/>
      <c r="BB14443" s="4"/>
    </row>
    <row r="14444" spans="1:54" x14ac:dyDescent="0.3">
      <c r="A14444" s="66"/>
      <c r="B14444" s="67"/>
      <c r="C14444" s="66"/>
      <c r="D14444" s="68"/>
      <c r="E14444" s="10"/>
      <c r="F14444" s="69"/>
      <c r="G14444" s="68"/>
      <c r="H14444" s="70"/>
      <c r="BA14444" s="4"/>
      <c r="BB14444" s="4"/>
    </row>
    <row r="14445" spans="1:54" x14ac:dyDescent="0.3">
      <c r="A14445" s="66"/>
      <c r="B14445" s="67"/>
      <c r="C14445" s="66"/>
      <c r="D14445" s="68"/>
      <c r="E14445" s="10"/>
      <c r="F14445" s="69"/>
      <c r="G14445" s="68"/>
      <c r="H14445" s="70"/>
      <c r="BA14445" s="4"/>
      <c r="BB14445" s="4"/>
    </row>
    <row r="14446" spans="1:54" x14ac:dyDescent="0.3">
      <c r="A14446" s="66"/>
      <c r="B14446" s="67"/>
      <c r="C14446" s="66"/>
      <c r="D14446" s="68"/>
      <c r="E14446" s="10"/>
      <c r="F14446" s="69"/>
      <c r="G14446" s="68"/>
      <c r="H14446" s="70"/>
      <c r="BA14446" s="4"/>
      <c r="BB14446" s="4"/>
    </row>
    <row r="14447" spans="1:54" x14ac:dyDescent="0.3">
      <c r="A14447" s="66"/>
      <c r="B14447" s="67"/>
      <c r="C14447" s="66"/>
      <c r="D14447" s="68"/>
      <c r="E14447" s="10"/>
      <c r="F14447" s="69"/>
      <c r="G14447" s="68"/>
      <c r="H14447" s="70"/>
      <c r="BA14447" s="4"/>
      <c r="BB14447" s="4"/>
    </row>
    <row r="14448" spans="1:54" x14ac:dyDescent="0.3">
      <c r="A14448" s="66"/>
      <c r="B14448" s="67"/>
      <c r="C14448" s="66"/>
      <c r="D14448" s="68"/>
      <c r="E14448" s="10"/>
      <c r="F14448" s="69"/>
      <c r="G14448" s="68"/>
      <c r="H14448" s="70"/>
      <c r="BA14448" s="4"/>
      <c r="BB14448" s="4"/>
    </row>
    <row r="14449" spans="1:54" x14ac:dyDescent="0.3">
      <c r="A14449" s="66"/>
      <c r="B14449" s="67"/>
      <c r="C14449" s="66"/>
      <c r="D14449" s="68"/>
      <c r="E14449" s="10"/>
      <c r="F14449" s="69"/>
      <c r="G14449" s="68"/>
      <c r="H14449" s="70"/>
      <c r="BA14449" s="4"/>
      <c r="BB14449" s="4"/>
    </row>
    <row r="14450" spans="1:54" x14ac:dyDescent="0.3">
      <c r="A14450" s="66"/>
      <c r="B14450" s="67"/>
      <c r="C14450" s="66"/>
      <c r="D14450" s="68"/>
      <c r="E14450" s="10"/>
      <c r="F14450" s="69"/>
      <c r="G14450" s="68"/>
      <c r="H14450" s="70"/>
      <c r="BA14450" s="4"/>
      <c r="BB14450" s="4"/>
    </row>
    <row r="14451" spans="1:54" x14ac:dyDescent="0.3">
      <c r="A14451" s="66"/>
      <c r="B14451" s="67"/>
      <c r="C14451" s="66"/>
      <c r="D14451" s="68"/>
      <c r="E14451" s="10"/>
      <c r="F14451" s="69"/>
      <c r="G14451" s="68"/>
      <c r="H14451" s="70"/>
      <c r="BA14451" s="4"/>
      <c r="BB14451" s="4"/>
    </row>
    <row r="14452" spans="1:54" x14ac:dyDescent="0.3">
      <c r="A14452" s="66"/>
      <c r="B14452" s="67"/>
      <c r="C14452" s="66"/>
      <c r="D14452" s="68"/>
      <c r="E14452" s="10"/>
      <c r="F14452" s="69"/>
      <c r="G14452" s="68"/>
      <c r="H14452" s="70"/>
      <c r="BA14452" s="4"/>
      <c r="BB14452" s="4"/>
    </row>
    <row r="14453" spans="1:54" x14ac:dyDescent="0.3">
      <c r="A14453" s="66"/>
      <c r="B14453" s="67"/>
      <c r="C14453" s="66"/>
      <c r="D14453" s="68"/>
      <c r="E14453" s="10"/>
      <c r="F14453" s="69"/>
      <c r="G14453" s="68"/>
      <c r="H14453" s="70"/>
      <c r="BA14453" s="4"/>
      <c r="BB14453" s="4"/>
    </row>
    <row r="14454" spans="1:54" x14ac:dyDescent="0.3">
      <c r="A14454" s="66"/>
      <c r="B14454" s="67"/>
      <c r="C14454" s="66"/>
      <c r="D14454" s="68"/>
      <c r="E14454" s="10"/>
      <c r="F14454" s="69"/>
      <c r="G14454" s="68"/>
      <c r="H14454" s="70"/>
      <c r="BA14454" s="4"/>
      <c r="BB14454" s="4"/>
    </row>
    <row r="14455" spans="1:54" x14ac:dyDescent="0.3">
      <c r="A14455" s="66"/>
      <c r="B14455" s="67"/>
      <c r="C14455" s="66"/>
      <c r="D14455" s="68"/>
      <c r="E14455" s="10"/>
      <c r="F14455" s="69"/>
      <c r="G14455" s="68"/>
      <c r="H14455" s="70"/>
      <c r="BA14455" s="4"/>
      <c r="BB14455" s="4"/>
    </row>
    <row r="14456" spans="1:54" x14ac:dyDescent="0.3">
      <c r="A14456" s="66"/>
      <c r="B14456" s="67"/>
      <c r="C14456" s="66"/>
      <c r="D14456" s="68"/>
      <c r="E14456" s="10"/>
      <c r="F14456" s="69"/>
      <c r="G14456" s="68"/>
      <c r="H14456" s="70"/>
      <c r="BA14456" s="4"/>
      <c r="BB14456" s="4"/>
    </row>
    <row r="14457" spans="1:54" x14ac:dyDescent="0.3">
      <c r="A14457" s="66"/>
      <c r="B14457" s="67"/>
      <c r="C14457" s="66"/>
      <c r="D14457" s="68"/>
      <c r="E14457" s="10"/>
      <c r="F14457" s="69"/>
      <c r="G14457" s="68"/>
      <c r="H14457" s="70"/>
      <c r="BA14457" s="4"/>
      <c r="BB14457" s="4"/>
    </row>
    <row r="14458" spans="1:54" x14ac:dyDescent="0.3">
      <c r="A14458" s="66"/>
      <c r="B14458" s="67"/>
      <c r="C14458" s="66"/>
      <c r="D14458" s="68"/>
      <c r="E14458" s="10"/>
      <c r="F14458" s="69"/>
      <c r="G14458" s="68"/>
      <c r="H14458" s="70"/>
      <c r="BA14458" s="4"/>
      <c r="BB14458" s="4"/>
    </row>
    <row r="14459" spans="1:54" x14ac:dyDescent="0.3">
      <c r="A14459" s="66"/>
      <c r="B14459" s="67"/>
      <c r="C14459" s="66"/>
      <c r="D14459" s="68"/>
      <c r="E14459" s="10"/>
      <c r="F14459" s="69"/>
      <c r="G14459" s="68"/>
      <c r="H14459" s="70"/>
      <c r="BA14459" s="4"/>
      <c r="BB14459" s="4"/>
    </row>
    <row r="14460" spans="1:54" x14ac:dyDescent="0.3">
      <c r="A14460" s="66"/>
      <c r="B14460" s="67"/>
      <c r="C14460" s="66"/>
      <c r="D14460" s="68"/>
      <c r="E14460" s="10"/>
      <c r="F14460" s="69"/>
      <c r="G14460" s="68"/>
      <c r="H14460" s="70"/>
      <c r="BA14460" s="4"/>
      <c r="BB14460" s="4"/>
    </row>
    <row r="14461" spans="1:54" x14ac:dyDescent="0.3">
      <c r="A14461" s="66"/>
      <c r="B14461" s="67"/>
      <c r="C14461" s="66"/>
      <c r="D14461" s="68"/>
      <c r="E14461" s="10"/>
      <c r="F14461" s="69"/>
      <c r="G14461" s="68"/>
      <c r="H14461" s="70"/>
      <c r="BA14461" s="4"/>
      <c r="BB14461" s="4"/>
    </row>
    <row r="14462" spans="1:54" x14ac:dyDescent="0.3">
      <c r="A14462" s="66"/>
      <c r="B14462" s="67"/>
      <c r="C14462" s="66"/>
      <c r="D14462" s="68"/>
      <c r="E14462" s="10"/>
      <c r="F14462" s="69"/>
      <c r="G14462" s="68"/>
      <c r="H14462" s="70"/>
      <c r="BA14462" s="4"/>
      <c r="BB14462" s="4"/>
    </row>
    <row r="14463" spans="1:54" x14ac:dyDescent="0.3">
      <c r="A14463" s="66"/>
      <c r="B14463" s="67"/>
      <c r="C14463" s="66"/>
      <c r="D14463" s="68"/>
      <c r="E14463" s="10"/>
      <c r="F14463" s="69"/>
      <c r="G14463" s="68"/>
      <c r="H14463" s="70"/>
      <c r="BA14463" s="4"/>
      <c r="BB14463" s="4"/>
    </row>
    <row r="14464" spans="1:54" x14ac:dyDescent="0.3">
      <c r="A14464" s="66"/>
      <c r="B14464" s="67"/>
      <c r="C14464" s="66"/>
      <c r="D14464" s="68"/>
      <c r="E14464" s="10"/>
      <c r="F14464" s="69"/>
      <c r="G14464" s="68"/>
      <c r="H14464" s="70"/>
      <c r="BA14464" s="4"/>
      <c r="BB14464" s="4"/>
    </row>
    <row r="14465" spans="1:54" x14ac:dyDescent="0.3">
      <c r="A14465" s="66"/>
      <c r="B14465" s="67"/>
      <c r="C14465" s="66"/>
      <c r="D14465" s="68"/>
      <c r="E14465" s="10"/>
      <c r="F14465" s="69"/>
      <c r="G14465" s="68"/>
      <c r="H14465" s="70"/>
      <c r="BA14465" s="4"/>
      <c r="BB14465" s="4"/>
    </row>
    <row r="14466" spans="1:54" x14ac:dyDescent="0.3">
      <c r="A14466" s="66"/>
      <c r="B14466" s="67"/>
      <c r="C14466" s="66"/>
      <c r="D14466" s="68"/>
      <c r="E14466" s="10"/>
      <c r="F14466" s="69"/>
      <c r="G14466" s="68"/>
      <c r="H14466" s="70"/>
      <c r="BA14466" s="4"/>
      <c r="BB14466" s="4"/>
    </row>
    <row r="14467" spans="1:54" x14ac:dyDescent="0.3">
      <c r="A14467" s="66"/>
      <c r="B14467" s="67"/>
      <c r="C14467" s="66"/>
      <c r="D14467" s="68"/>
      <c r="E14467" s="10"/>
      <c r="F14467" s="69"/>
      <c r="G14467" s="68"/>
      <c r="H14467" s="70"/>
      <c r="BA14467" s="4"/>
      <c r="BB14467" s="4"/>
    </row>
    <row r="14468" spans="1:54" x14ac:dyDescent="0.3">
      <c r="A14468" s="66"/>
      <c r="B14468" s="67"/>
      <c r="C14468" s="66"/>
      <c r="D14468" s="68"/>
      <c r="E14468" s="10"/>
      <c r="F14468" s="69"/>
      <c r="G14468" s="68"/>
      <c r="H14468" s="70"/>
      <c r="BA14468" s="4"/>
      <c r="BB14468" s="4"/>
    </row>
    <row r="14469" spans="1:54" x14ac:dyDescent="0.3">
      <c r="A14469" s="66"/>
      <c r="B14469" s="67"/>
      <c r="C14469" s="66"/>
      <c r="D14469" s="68"/>
      <c r="E14469" s="10"/>
      <c r="F14469" s="69"/>
      <c r="G14469" s="68"/>
      <c r="H14469" s="70"/>
      <c r="BA14469" s="4"/>
      <c r="BB14469" s="4"/>
    </row>
    <row r="14470" spans="1:54" x14ac:dyDescent="0.3">
      <c r="A14470" s="66"/>
      <c r="B14470" s="67"/>
      <c r="C14470" s="66"/>
      <c r="D14470" s="68"/>
      <c r="E14470" s="10"/>
      <c r="F14470" s="69"/>
      <c r="G14470" s="68"/>
      <c r="H14470" s="70"/>
      <c r="BA14470" s="4"/>
      <c r="BB14470" s="4"/>
    </row>
    <row r="14471" spans="1:54" x14ac:dyDescent="0.3">
      <c r="A14471" s="66"/>
      <c r="B14471" s="67"/>
      <c r="C14471" s="66"/>
      <c r="D14471" s="68"/>
      <c r="E14471" s="10"/>
      <c r="F14471" s="69"/>
      <c r="G14471" s="68"/>
      <c r="H14471" s="70"/>
      <c r="BA14471" s="4"/>
      <c r="BB14471" s="4"/>
    </row>
    <row r="14472" spans="1:54" x14ac:dyDescent="0.3">
      <c r="A14472" s="66"/>
      <c r="B14472" s="67"/>
      <c r="C14472" s="66"/>
      <c r="D14472" s="68"/>
      <c r="E14472" s="10"/>
      <c r="F14472" s="69"/>
      <c r="G14472" s="68"/>
      <c r="H14472" s="70"/>
      <c r="BA14472" s="4"/>
      <c r="BB14472" s="4"/>
    </row>
    <row r="14473" spans="1:54" x14ac:dyDescent="0.3">
      <c r="A14473" s="66"/>
      <c r="B14473" s="67"/>
      <c r="C14473" s="66"/>
      <c r="D14473" s="68"/>
      <c r="E14473" s="10"/>
      <c r="F14473" s="69"/>
      <c r="G14473" s="68"/>
      <c r="H14473" s="70"/>
      <c r="BA14473" s="4"/>
      <c r="BB14473" s="4"/>
    </row>
    <row r="14474" spans="1:54" x14ac:dyDescent="0.3">
      <c r="A14474" s="66"/>
      <c r="B14474" s="67"/>
      <c r="C14474" s="66"/>
      <c r="D14474" s="68"/>
      <c r="E14474" s="10"/>
      <c r="F14474" s="69"/>
      <c r="G14474" s="68"/>
      <c r="H14474" s="70"/>
      <c r="BA14474" s="4"/>
      <c r="BB14474" s="4"/>
    </row>
    <row r="14475" spans="1:54" x14ac:dyDescent="0.3">
      <c r="A14475" s="66"/>
      <c r="B14475" s="67"/>
      <c r="C14475" s="66"/>
      <c r="D14475" s="68"/>
      <c r="E14475" s="10"/>
      <c r="F14475" s="69"/>
      <c r="G14475" s="68"/>
      <c r="H14475" s="70"/>
      <c r="BA14475" s="4"/>
      <c r="BB14475" s="4"/>
    </row>
    <row r="14476" spans="1:54" x14ac:dyDescent="0.3">
      <c r="A14476" s="66"/>
      <c r="B14476" s="67"/>
      <c r="C14476" s="66"/>
      <c r="D14476" s="68"/>
      <c r="E14476" s="10"/>
      <c r="F14476" s="69"/>
      <c r="G14476" s="68"/>
      <c r="H14476" s="70"/>
      <c r="BA14476" s="4"/>
      <c r="BB14476" s="4"/>
    </row>
    <row r="14477" spans="1:54" x14ac:dyDescent="0.3">
      <c r="A14477" s="66"/>
      <c r="B14477" s="67"/>
      <c r="C14477" s="66"/>
      <c r="D14477" s="68"/>
      <c r="E14477" s="10"/>
      <c r="F14477" s="69"/>
      <c r="G14477" s="68"/>
      <c r="H14477" s="70"/>
      <c r="BA14477" s="4"/>
      <c r="BB14477" s="4"/>
    </row>
    <row r="14478" spans="1:54" x14ac:dyDescent="0.3">
      <c r="A14478" s="66"/>
      <c r="B14478" s="67"/>
      <c r="C14478" s="66"/>
      <c r="D14478" s="68"/>
      <c r="E14478" s="10"/>
      <c r="F14478" s="69"/>
      <c r="G14478" s="68"/>
      <c r="H14478" s="70"/>
      <c r="BA14478" s="4"/>
      <c r="BB14478" s="4"/>
    </row>
    <row r="14479" spans="1:54" x14ac:dyDescent="0.3">
      <c r="A14479" s="66"/>
      <c r="B14479" s="67"/>
      <c r="C14479" s="66"/>
      <c r="D14479" s="68"/>
      <c r="E14479" s="10"/>
      <c r="F14479" s="69"/>
      <c r="G14479" s="68"/>
      <c r="H14479" s="70"/>
      <c r="BA14479" s="4"/>
      <c r="BB14479" s="4"/>
    </row>
    <row r="14480" spans="1:54" x14ac:dyDescent="0.3">
      <c r="A14480" s="66"/>
      <c r="B14480" s="67"/>
      <c r="C14480" s="66"/>
      <c r="D14480" s="68"/>
      <c r="E14480" s="10"/>
      <c r="F14480" s="69"/>
      <c r="G14480" s="68"/>
      <c r="H14480" s="70"/>
      <c r="BA14480" s="4"/>
      <c r="BB14480" s="4"/>
    </row>
    <row r="14481" spans="1:54" x14ac:dyDescent="0.3">
      <c r="A14481" s="66"/>
      <c r="B14481" s="67"/>
      <c r="C14481" s="66"/>
      <c r="D14481" s="68"/>
      <c r="E14481" s="10"/>
      <c r="F14481" s="69"/>
      <c r="G14481" s="68"/>
      <c r="H14481" s="70"/>
      <c r="BA14481" s="4"/>
      <c r="BB14481" s="4"/>
    </row>
    <row r="14482" spans="1:54" x14ac:dyDescent="0.3">
      <c r="A14482" s="66"/>
      <c r="B14482" s="67"/>
      <c r="C14482" s="66"/>
      <c r="D14482" s="68"/>
      <c r="E14482" s="10"/>
      <c r="F14482" s="69"/>
      <c r="G14482" s="68"/>
      <c r="H14482" s="70"/>
      <c r="BA14482" s="4"/>
      <c r="BB14482" s="4"/>
    </row>
    <row r="14483" spans="1:54" x14ac:dyDescent="0.3">
      <c r="A14483" s="66"/>
      <c r="B14483" s="67"/>
      <c r="C14483" s="66"/>
      <c r="D14483" s="68"/>
      <c r="E14483" s="10"/>
      <c r="F14483" s="69"/>
      <c r="G14483" s="68"/>
      <c r="H14483" s="70"/>
      <c r="BA14483" s="4"/>
      <c r="BB14483" s="4"/>
    </row>
    <row r="14484" spans="1:54" x14ac:dyDescent="0.3">
      <c r="A14484" s="66"/>
      <c r="B14484" s="67"/>
      <c r="C14484" s="66"/>
      <c r="D14484" s="68"/>
      <c r="E14484" s="10"/>
      <c r="F14484" s="69"/>
      <c r="G14484" s="68"/>
      <c r="H14484" s="70"/>
      <c r="BA14484" s="4"/>
      <c r="BB14484" s="4"/>
    </row>
    <row r="14485" spans="1:54" x14ac:dyDescent="0.3">
      <c r="A14485" s="66"/>
      <c r="B14485" s="67"/>
      <c r="C14485" s="66"/>
      <c r="D14485" s="68"/>
      <c r="E14485" s="10"/>
      <c r="F14485" s="69"/>
      <c r="G14485" s="68"/>
      <c r="H14485" s="70"/>
      <c r="BA14485" s="4"/>
      <c r="BB14485" s="4"/>
    </row>
    <row r="14486" spans="1:54" x14ac:dyDescent="0.3">
      <c r="A14486" s="66"/>
      <c r="B14486" s="67"/>
      <c r="C14486" s="66"/>
      <c r="D14486" s="68"/>
      <c r="E14486" s="10"/>
      <c r="F14486" s="69"/>
      <c r="G14486" s="68"/>
      <c r="H14486" s="70"/>
      <c r="BA14486" s="4"/>
      <c r="BB14486" s="4"/>
    </row>
    <row r="14487" spans="1:54" x14ac:dyDescent="0.3">
      <c r="A14487" s="66"/>
      <c r="B14487" s="67"/>
      <c r="C14487" s="66"/>
      <c r="D14487" s="68"/>
      <c r="E14487" s="10"/>
      <c r="F14487" s="69"/>
      <c r="G14487" s="68"/>
      <c r="H14487" s="70"/>
      <c r="BA14487" s="4"/>
      <c r="BB14487" s="4"/>
    </row>
    <row r="14488" spans="1:54" x14ac:dyDescent="0.3">
      <c r="A14488" s="66"/>
      <c r="B14488" s="67"/>
      <c r="C14488" s="66"/>
      <c r="D14488" s="68"/>
      <c r="E14488" s="10"/>
      <c r="F14488" s="69"/>
      <c r="G14488" s="68"/>
      <c r="H14488" s="70"/>
      <c r="BA14488" s="4"/>
      <c r="BB14488" s="4"/>
    </row>
    <row r="14489" spans="1:54" x14ac:dyDescent="0.3">
      <c r="A14489" s="66"/>
      <c r="B14489" s="67"/>
      <c r="C14489" s="66"/>
      <c r="D14489" s="68"/>
      <c r="E14489" s="10"/>
      <c r="F14489" s="69"/>
      <c r="G14489" s="68"/>
      <c r="H14489" s="70"/>
      <c r="BA14489" s="4"/>
      <c r="BB14489" s="4"/>
    </row>
    <row r="14490" spans="1:54" x14ac:dyDescent="0.3">
      <c r="A14490" s="66"/>
      <c r="B14490" s="67"/>
      <c r="C14490" s="66"/>
      <c r="D14490" s="68"/>
      <c r="E14490" s="10"/>
      <c r="F14490" s="69"/>
      <c r="G14490" s="68"/>
      <c r="H14490" s="70"/>
      <c r="BA14490" s="4"/>
      <c r="BB14490" s="4"/>
    </row>
    <row r="14491" spans="1:54" x14ac:dyDescent="0.3">
      <c r="A14491" s="66"/>
      <c r="B14491" s="67"/>
      <c r="C14491" s="66"/>
      <c r="D14491" s="68"/>
      <c r="E14491" s="10"/>
      <c r="F14491" s="69"/>
      <c r="G14491" s="68"/>
      <c r="H14491" s="70"/>
      <c r="BA14491" s="4"/>
      <c r="BB14491" s="4"/>
    </row>
    <row r="14492" spans="1:54" x14ac:dyDescent="0.3">
      <c r="A14492" s="66"/>
      <c r="B14492" s="67"/>
      <c r="C14492" s="66"/>
      <c r="D14492" s="68"/>
      <c r="E14492" s="10"/>
      <c r="F14492" s="69"/>
      <c r="G14492" s="68"/>
      <c r="H14492" s="70"/>
      <c r="BA14492" s="4"/>
      <c r="BB14492" s="4"/>
    </row>
    <row r="14493" spans="1:54" x14ac:dyDescent="0.3">
      <c r="A14493" s="66"/>
      <c r="B14493" s="67"/>
      <c r="C14493" s="66"/>
      <c r="D14493" s="68"/>
      <c r="E14493" s="10"/>
      <c r="F14493" s="69"/>
      <c r="G14493" s="68"/>
      <c r="H14493" s="70"/>
      <c r="BA14493" s="4"/>
      <c r="BB14493" s="4"/>
    </row>
    <row r="14494" spans="1:54" x14ac:dyDescent="0.3">
      <c r="A14494" s="66"/>
      <c r="B14494" s="67"/>
      <c r="C14494" s="66"/>
      <c r="D14494" s="68"/>
      <c r="E14494" s="10"/>
      <c r="F14494" s="69"/>
      <c r="G14494" s="68"/>
      <c r="H14494" s="70"/>
      <c r="BA14494" s="4"/>
      <c r="BB14494" s="4"/>
    </row>
    <row r="14495" spans="1:54" x14ac:dyDescent="0.3">
      <c r="A14495" s="66"/>
      <c r="B14495" s="67"/>
      <c r="C14495" s="66"/>
      <c r="D14495" s="68"/>
      <c r="E14495" s="10"/>
      <c r="F14495" s="69"/>
      <c r="G14495" s="68"/>
      <c r="H14495" s="70"/>
      <c r="BA14495" s="4"/>
      <c r="BB14495" s="4"/>
    </row>
    <row r="14496" spans="1:54" x14ac:dyDescent="0.3">
      <c r="A14496" s="66"/>
      <c r="B14496" s="67"/>
      <c r="C14496" s="66"/>
      <c r="D14496" s="68"/>
      <c r="E14496" s="10"/>
      <c r="F14496" s="69"/>
      <c r="G14496" s="68"/>
      <c r="H14496" s="70"/>
      <c r="BA14496" s="4"/>
      <c r="BB14496" s="4"/>
    </row>
    <row r="14497" spans="1:54" x14ac:dyDescent="0.3">
      <c r="A14497" s="66"/>
      <c r="B14497" s="67"/>
      <c r="C14497" s="66"/>
      <c r="D14497" s="68"/>
      <c r="E14497" s="10"/>
      <c r="F14497" s="69"/>
      <c r="G14497" s="68"/>
      <c r="H14497" s="70"/>
      <c r="BA14497" s="4"/>
      <c r="BB14497" s="4"/>
    </row>
    <row r="14498" spans="1:54" x14ac:dyDescent="0.3">
      <c r="A14498" s="66"/>
      <c r="B14498" s="67"/>
      <c r="C14498" s="66"/>
      <c r="D14498" s="68"/>
      <c r="E14498" s="10"/>
      <c r="F14498" s="69"/>
      <c r="G14498" s="68"/>
      <c r="H14498" s="70"/>
      <c r="BA14498" s="4"/>
      <c r="BB14498" s="4"/>
    </row>
    <row r="14499" spans="1:54" x14ac:dyDescent="0.3">
      <c r="A14499" s="66"/>
      <c r="B14499" s="67"/>
      <c r="C14499" s="66"/>
      <c r="D14499" s="68"/>
      <c r="E14499" s="10"/>
      <c r="F14499" s="69"/>
      <c r="G14499" s="68"/>
      <c r="H14499" s="70"/>
      <c r="BA14499" s="4"/>
      <c r="BB14499" s="4"/>
    </row>
    <row r="14500" spans="1:54" x14ac:dyDescent="0.3">
      <c r="A14500" s="66"/>
      <c r="B14500" s="67"/>
      <c r="C14500" s="66"/>
      <c r="D14500" s="68"/>
      <c r="E14500" s="10"/>
      <c r="F14500" s="69"/>
      <c r="G14500" s="68"/>
      <c r="H14500" s="70"/>
      <c r="BA14500" s="4"/>
      <c r="BB14500" s="4"/>
    </row>
    <row r="14501" spans="1:54" x14ac:dyDescent="0.3">
      <c r="A14501" s="66"/>
      <c r="B14501" s="67"/>
      <c r="C14501" s="66"/>
      <c r="D14501" s="68"/>
      <c r="E14501" s="10"/>
      <c r="F14501" s="69"/>
      <c r="G14501" s="68"/>
      <c r="H14501" s="70"/>
      <c r="BA14501" s="4"/>
      <c r="BB14501" s="4"/>
    </row>
    <row r="14502" spans="1:54" x14ac:dyDescent="0.3">
      <c r="A14502" s="66"/>
      <c r="B14502" s="67"/>
      <c r="C14502" s="66"/>
      <c r="D14502" s="68"/>
      <c r="E14502" s="10"/>
      <c r="F14502" s="69"/>
      <c r="G14502" s="68"/>
      <c r="H14502" s="70"/>
      <c r="BA14502" s="4"/>
      <c r="BB14502" s="4"/>
    </row>
    <row r="14503" spans="1:54" x14ac:dyDescent="0.3">
      <c r="A14503" s="66"/>
      <c r="B14503" s="67"/>
      <c r="C14503" s="66"/>
      <c r="D14503" s="68"/>
      <c r="E14503" s="10"/>
      <c r="F14503" s="69"/>
      <c r="G14503" s="68"/>
      <c r="H14503" s="70"/>
      <c r="BA14503" s="4"/>
      <c r="BB14503" s="4"/>
    </row>
    <row r="14504" spans="1:54" x14ac:dyDescent="0.3">
      <c r="A14504" s="66"/>
      <c r="B14504" s="67"/>
      <c r="C14504" s="66"/>
      <c r="D14504" s="68"/>
      <c r="E14504" s="10"/>
      <c r="F14504" s="69"/>
      <c r="G14504" s="68"/>
      <c r="H14504" s="70"/>
      <c r="BA14504" s="4"/>
      <c r="BB14504" s="4"/>
    </row>
    <row r="14505" spans="1:54" x14ac:dyDescent="0.3">
      <c r="A14505" s="66"/>
      <c r="B14505" s="67"/>
      <c r="C14505" s="66"/>
      <c r="D14505" s="68"/>
      <c r="E14505" s="10"/>
      <c r="F14505" s="69"/>
      <c r="G14505" s="68"/>
      <c r="H14505" s="70"/>
      <c r="BA14505" s="4"/>
      <c r="BB14505" s="4"/>
    </row>
    <row r="14506" spans="1:54" x14ac:dyDescent="0.3">
      <c r="A14506" s="66"/>
      <c r="B14506" s="67"/>
      <c r="C14506" s="66"/>
      <c r="D14506" s="68"/>
      <c r="E14506" s="10"/>
      <c r="F14506" s="69"/>
      <c r="G14506" s="68"/>
      <c r="H14506" s="70"/>
      <c r="BA14506" s="4"/>
      <c r="BB14506" s="4"/>
    </row>
    <row r="14507" spans="1:54" x14ac:dyDescent="0.3">
      <c r="A14507" s="66"/>
      <c r="B14507" s="67"/>
      <c r="C14507" s="66"/>
      <c r="D14507" s="68"/>
      <c r="E14507" s="10"/>
      <c r="F14507" s="69"/>
      <c r="G14507" s="68"/>
      <c r="H14507" s="70"/>
      <c r="BA14507" s="4"/>
      <c r="BB14507" s="4"/>
    </row>
    <row r="14508" spans="1:54" x14ac:dyDescent="0.3">
      <c r="A14508" s="66"/>
      <c r="B14508" s="67"/>
      <c r="C14508" s="66"/>
      <c r="D14508" s="68"/>
      <c r="E14508" s="10"/>
      <c r="F14508" s="69"/>
      <c r="G14508" s="68"/>
      <c r="H14508" s="70"/>
      <c r="BA14508" s="4"/>
      <c r="BB14508" s="4"/>
    </row>
    <row r="14509" spans="1:54" x14ac:dyDescent="0.3">
      <c r="A14509" s="66"/>
      <c r="B14509" s="67"/>
      <c r="C14509" s="66"/>
      <c r="D14509" s="68"/>
      <c r="E14509" s="10"/>
      <c r="F14509" s="69"/>
      <c r="G14509" s="68"/>
      <c r="H14509" s="70"/>
      <c r="BA14509" s="4"/>
      <c r="BB14509" s="4"/>
    </row>
    <row r="14510" spans="1:54" x14ac:dyDescent="0.3">
      <c r="A14510" s="66"/>
      <c r="B14510" s="67"/>
      <c r="C14510" s="66"/>
      <c r="D14510" s="68"/>
      <c r="E14510" s="10"/>
      <c r="F14510" s="69"/>
      <c r="G14510" s="68"/>
      <c r="H14510" s="70"/>
      <c r="BA14510" s="4"/>
      <c r="BB14510" s="4"/>
    </row>
    <row r="14511" spans="1:54" x14ac:dyDescent="0.3">
      <c r="A14511" s="66"/>
      <c r="B14511" s="67"/>
      <c r="C14511" s="66"/>
      <c r="D14511" s="68"/>
      <c r="E14511" s="10"/>
      <c r="F14511" s="69"/>
      <c r="G14511" s="68"/>
      <c r="H14511" s="70"/>
      <c r="BA14511" s="4"/>
      <c r="BB14511" s="4"/>
    </row>
    <row r="14512" spans="1:54" x14ac:dyDescent="0.3">
      <c r="A14512" s="66"/>
      <c r="B14512" s="67"/>
      <c r="C14512" s="66"/>
      <c r="D14512" s="68"/>
      <c r="E14512" s="10"/>
      <c r="F14512" s="69"/>
      <c r="G14512" s="68"/>
      <c r="H14512" s="70"/>
      <c r="BA14512" s="4"/>
      <c r="BB14512" s="4"/>
    </row>
    <row r="14513" spans="1:54" x14ac:dyDescent="0.3">
      <c r="A14513" s="66"/>
      <c r="B14513" s="67"/>
      <c r="C14513" s="66"/>
      <c r="D14513" s="68"/>
      <c r="E14513" s="10"/>
      <c r="F14513" s="69"/>
      <c r="G14513" s="68"/>
      <c r="H14513" s="70"/>
      <c r="BA14513" s="4"/>
      <c r="BB14513" s="4"/>
    </row>
    <row r="14514" spans="1:54" x14ac:dyDescent="0.3">
      <c r="A14514" s="66"/>
      <c r="B14514" s="67"/>
      <c r="C14514" s="66"/>
      <c r="D14514" s="68"/>
      <c r="E14514" s="10"/>
      <c r="F14514" s="69"/>
      <c r="G14514" s="68"/>
      <c r="H14514" s="70"/>
      <c r="BA14514" s="4"/>
      <c r="BB14514" s="4"/>
    </row>
    <row r="14515" spans="1:54" x14ac:dyDescent="0.3">
      <c r="A14515" s="66"/>
      <c r="B14515" s="67"/>
      <c r="C14515" s="66"/>
      <c r="D14515" s="68"/>
      <c r="E14515" s="10"/>
      <c r="F14515" s="69"/>
      <c r="G14515" s="68"/>
      <c r="H14515" s="70"/>
      <c r="BA14515" s="4"/>
      <c r="BB14515" s="4"/>
    </row>
    <row r="14516" spans="1:54" x14ac:dyDescent="0.3">
      <c r="A14516" s="66"/>
      <c r="B14516" s="67"/>
      <c r="C14516" s="66"/>
      <c r="D14516" s="68"/>
      <c r="E14516" s="10"/>
      <c r="F14516" s="69"/>
      <c r="G14516" s="68"/>
      <c r="H14516" s="70"/>
      <c r="BA14516" s="4"/>
      <c r="BB14516" s="4"/>
    </row>
    <row r="14517" spans="1:54" x14ac:dyDescent="0.3">
      <c r="A14517" s="66"/>
      <c r="B14517" s="67"/>
      <c r="C14517" s="66"/>
      <c r="D14517" s="68"/>
      <c r="E14517" s="10"/>
      <c r="F14517" s="69"/>
      <c r="G14517" s="68"/>
      <c r="H14517" s="70"/>
      <c r="BA14517" s="4"/>
      <c r="BB14517" s="4"/>
    </row>
    <row r="14518" spans="1:54" x14ac:dyDescent="0.3">
      <c r="A14518" s="66"/>
      <c r="B14518" s="67"/>
      <c r="C14518" s="66"/>
      <c r="D14518" s="68"/>
      <c r="E14518" s="10"/>
      <c r="F14518" s="69"/>
      <c r="G14518" s="68"/>
      <c r="H14518" s="70"/>
      <c r="BA14518" s="4"/>
      <c r="BB14518" s="4"/>
    </row>
    <row r="14519" spans="1:54" x14ac:dyDescent="0.3">
      <c r="A14519" s="66"/>
      <c r="B14519" s="67"/>
      <c r="C14519" s="66"/>
      <c r="D14519" s="68"/>
      <c r="E14519" s="10"/>
      <c r="F14519" s="69"/>
      <c r="G14519" s="68"/>
      <c r="H14519" s="70"/>
      <c r="BA14519" s="4"/>
      <c r="BB14519" s="4"/>
    </row>
    <row r="14520" spans="1:54" x14ac:dyDescent="0.3">
      <c r="A14520" s="66"/>
      <c r="B14520" s="67"/>
      <c r="C14520" s="66"/>
      <c r="D14520" s="68"/>
      <c r="E14520" s="10"/>
      <c r="F14520" s="69"/>
      <c r="G14520" s="68"/>
      <c r="H14520" s="70"/>
      <c r="BA14520" s="4"/>
      <c r="BB14520" s="4"/>
    </row>
    <row r="14521" spans="1:54" x14ac:dyDescent="0.3">
      <c r="A14521" s="66"/>
      <c r="B14521" s="67"/>
      <c r="C14521" s="66"/>
      <c r="D14521" s="68"/>
      <c r="E14521" s="10"/>
      <c r="F14521" s="69"/>
      <c r="G14521" s="68"/>
      <c r="H14521" s="70"/>
      <c r="BA14521" s="4"/>
      <c r="BB14521" s="4"/>
    </row>
    <row r="14522" spans="1:54" x14ac:dyDescent="0.3">
      <c r="A14522" s="66"/>
      <c r="B14522" s="67"/>
      <c r="C14522" s="66"/>
      <c r="D14522" s="68"/>
      <c r="E14522" s="10"/>
      <c r="F14522" s="69"/>
      <c r="G14522" s="68"/>
      <c r="H14522" s="70"/>
      <c r="BA14522" s="4"/>
      <c r="BB14522" s="4"/>
    </row>
    <row r="14523" spans="1:54" x14ac:dyDescent="0.3">
      <c r="A14523" s="66"/>
      <c r="B14523" s="67"/>
      <c r="C14523" s="66"/>
      <c r="D14523" s="68"/>
      <c r="E14523" s="10"/>
      <c r="F14523" s="69"/>
      <c r="G14523" s="68"/>
      <c r="H14523" s="70"/>
      <c r="BA14523" s="4"/>
      <c r="BB14523" s="4"/>
    </row>
    <row r="14524" spans="1:54" x14ac:dyDescent="0.3">
      <c r="A14524" s="66"/>
      <c r="B14524" s="67"/>
      <c r="C14524" s="66"/>
      <c r="D14524" s="68"/>
      <c r="E14524" s="10"/>
      <c r="F14524" s="69"/>
      <c r="G14524" s="68"/>
      <c r="H14524" s="70"/>
      <c r="BA14524" s="4"/>
      <c r="BB14524" s="4"/>
    </row>
    <row r="14525" spans="1:54" x14ac:dyDescent="0.3">
      <c r="A14525" s="66"/>
      <c r="B14525" s="67"/>
      <c r="C14525" s="66"/>
      <c r="D14525" s="68"/>
      <c r="E14525" s="10"/>
      <c r="F14525" s="69"/>
      <c r="G14525" s="68"/>
      <c r="H14525" s="70"/>
      <c r="BA14525" s="4"/>
      <c r="BB14525" s="4"/>
    </row>
    <row r="14526" spans="1:54" x14ac:dyDescent="0.3">
      <c r="A14526" s="66"/>
      <c r="B14526" s="67"/>
      <c r="C14526" s="66"/>
      <c r="D14526" s="68"/>
      <c r="E14526" s="10"/>
      <c r="F14526" s="69"/>
      <c r="G14526" s="68"/>
      <c r="H14526" s="70"/>
      <c r="BA14526" s="4"/>
      <c r="BB14526" s="4"/>
    </row>
    <row r="14527" spans="1:54" x14ac:dyDescent="0.3">
      <c r="A14527" s="66"/>
      <c r="B14527" s="67"/>
      <c r="C14527" s="66"/>
      <c r="D14527" s="68"/>
      <c r="E14527" s="10"/>
      <c r="F14527" s="69"/>
      <c r="G14527" s="68"/>
      <c r="H14527" s="70"/>
      <c r="BA14527" s="4"/>
      <c r="BB14527" s="4"/>
    </row>
    <row r="14528" spans="1:54" x14ac:dyDescent="0.3">
      <c r="A14528" s="66"/>
      <c r="B14528" s="67"/>
      <c r="C14528" s="66"/>
      <c r="D14528" s="68"/>
      <c r="E14528" s="10"/>
      <c r="F14528" s="69"/>
      <c r="G14528" s="68"/>
      <c r="H14528" s="70"/>
      <c r="BA14528" s="4"/>
      <c r="BB14528" s="4"/>
    </row>
    <row r="14529" spans="1:54" x14ac:dyDescent="0.3">
      <c r="A14529" s="66"/>
      <c r="B14529" s="67"/>
      <c r="C14529" s="66"/>
      <c r="D14529" s="68"/>
      <c r="E14529" s="10"/>
      <c r="F14529" s="69"/>
      <c r="G14529" s="68"/>
      <c r="H14529" s="70"/>
      <c r="BA14529" s="4"/>
      <c r="BB14529" s="4"/>
    </row>
    <row r="14530" spans="1:54" x14ac:dyDescent="0.3">
      <c r="A14530" s="66"/>
      <c r="B14530" s="67"/>
      <c r="C14530" s="66"/>
      <c r="D14530" s="68"/>
      <c r="E14530" s="10"/>
      <c r="F14530" s="69"/>
      <c r="G14530" s="68"/>
      <c r="H14530" s="70"/>
      <c r="BA14530" s="4"/>
      <c r="BB14530" s="4"/>
    </row>
    <row r="14531" spans="1:54" x14ac:dyDescent="0.3">
      <c r="A14531" s="66"/>
      <c r="B14531" s="67"/>
      <c r="C14531" s="66"/>
      <c r="D14531" s="68"/>
      <c r="E14531" s="10"/>
      <c r="F14531" s="69"/>
      <c r="G14531" s="68"/>
      <c r="H14531" s="70"/>
      <c r="BA14531" s="4"/>
      <c r="BB14531" s="4"/>
    </row>
    <row r="14532" spans="1:54" x14ac:dyDescent="0.3">
      <c r="A14532" s="66"/>
      <c r="B14532" s="67"/>
      <c r="C14532" s="66"/>
      <c r="D14532" s="68"/>
      <c r="E14532" s="10"/>
      <c r="F14532" s="69"/>
      <c r="G14532" s="68"/>
      <c r="H14532" s="70"/>
      <c r="BA14532" s="4"/>
      <c r="BB14532" s="4"/>
    </row>
    <row r="14533" spans="1:54" x14ac:dyDescent="0.3">
      <c r="A14533" s="66"/>
      <c r="B14533" s="67"/>
      <c r="C14533" s="66"/>
      <c r="D14533" s="68"/>
      <c r="E14533" s="10"/>
      <c r="F14533" s="69"/>
      <c r="G14533" s="68"/>
      <c r="H14533" s="70"/>
      <c r="BA14533" s="4"/>
      <c r="BB14533" s="4"/>
    </row>
    <row r="14534" spans="1:54" x14ac:dyDescent="0.3">
      <c r="A14534" s="66"/>
      <c r="B14534" s="67"/>
      <c r="C14534" s="66"/>
      <c r="D14534" s="68"/>
      <c r="E14534" s="10"/>
      <c r="F14534" s="69"/>
      <c r="G14534" s="68"/>
      <c r="H14534" s="70"/>
      <c r="BA14534" s="4"/>
      <c r="BB14534" s="4"/>
    </row>
    <row r="14535" spans="1:54" x14ac:dyDescent="0.3">
      <c r="A14535" s="66"/>
      <c r="B14535" s="67"/>
      <c r="C14535" s="66"/>
      <c r="D14535" s="68"/>
      <c r="E14535" s="10"/>
      <c r="F14535" s="69"/>
      <c r="G14535" s="68"/>
      <c r="H14535" s="70"/>
      <c r="BA14535" s="4"/>
      <c r="BB14535" s="4"/>
    </row>
    <row r="14536" spans="1:54" x14ac:dyDescent="0.3">
      <c r="A14536" s="66"/>
      <c r="B14536" s="67"/>
      <c r="C14536" s="66"/>
      <c r="D14536" s="68"/>
      <c r="E14536" s="10"/>
      <c r="F14536" s="69"/>
      <c r="G14536" s="68"/>
      <c r="H14536" s="70"/>
      <c r="BA14536" s="4"/>
      <c r="BB14536" s="4"/>
    </row>
    <row r="14537" spans="1:54" x14ac:dyDescent="0.3">
      <c r="A14537" s="66"/>
      <c r="B14537" s="67"/>
      <c r="C14537" s="66"/>
      <c r="D14537" s="68"/>
      <c r="E14537" s="10"/>
      <c r="F14537" s="69"/>
      <c r="G14537" s="68"/>
      <c r="H14537" s="70"/>
      <c r="BA14537" s="4"/>
      <c r="BB14537" s="4"/>
    </row>
    <row r="14538" spans="1:54" x14ac:dyDescent="0.3">
      <c r="A14538" s="66"/>
      <c r="B14538" s="67"/>
      <c r="C14538" s="66"/>
      <c r="D14538" s="68"/>
      <c r="E14538" s="10"/>
      <c r="F14538" s="69"/>
      <c r="G14538" s="68"/>
      <c r="H14538" s="70"/>
      <c r="BA14538" s="4"/>
      <c r="BB14538" s="4"/>
    </row>
    <row r="14539" spans="1:54" x14ac:dyDescent="0.3">
      <c r="A14539" s="66"/>
      <c r="B14539" s="67"/>
      <c r="C14539" s="66"/>
      <c r="D14539" s="68"/>
      <c r="E14539" s="10"/>
      <c r="F14539" s="69"/>
      <c r="G14539" s="68"/>
      <c r="H14539" s="70"/>
      <c r="BA14539" s="4"/>
      <c r="BB14539" s="4"/>
    </row>
    <row r="14540" spans="1:54" x14ac:dyDescent="0.3">
      <c r="A14540" s="66"/>
      <c r="B14540" s="67"/>
      <c r="C14540" s="66"/>
      <c r="D14540" s="68"/>
      <c r="E14540" s="10"/>
      <c r="F14540" s="69"/>
      <c r="G14540" s="68"/>
      <c r="H14540" s="70"/>
      <c r="BA14540" s="4"/>
      <c r="BB14540" s="4"/>
    </row>
    <row r="14541" spans="1:54" x14ac:dyDescent="0.3">
      <c r="A14541" s="66"/>
      <c r="B14541" s="67"/>
      <c r="C14541" s="66"/>
      <c r="D14541" s="68"/>
      <c r="E14541" s="10"/>
      <c r="F14541" s="69"/>
      <c r="G14541" s="68"/>
      <c r="H14541" s="70"/>
      <c r="BA14541" s="4"/>
      <c r="BB14541" s="4"/>
    </row>
    <row r="14542" spans="1:54" x14ac:dyDescent="0.3">
      <c r="A14542" s="66"/>
      <c r="B14542" s="67"/>
      <c r="C14542" s="66"/>
      <c r="D14542" s="68"/>
      <c r="E14542" s="10"/>
      <c r="F14542" s="69"/>
      <c r="G14542" s="68"/>
      <c r="H14542" s="70"/>
      <c r="BA14542" s="4"/>
      <c r="BB14542" s="4"/>
    </row>
    <row r="14543" spans="1:54" x14ac:dyDescent="0.3">
      <c r="A14543" s="66"/>
      <c r="B14543" s="67"/>
      <c r="C14543" s="66"/>
      <c r="D14543" s="68"/>
      <c r="E14543" s="10"/>
      <c r="F14543" s="69"/>
      <c r="G14543" s="68"/>
      <c r="H14543" s="70"/>
      <c r="BA14543" s="4"/>
      <c r="BB14543" s="4"/>
    </row>
    <row r="14544" spans="1:54" x14ac:dyDescent="0.3">
      <c r="A14544" s="66"/>
      <c r="B14544" s="67"/>
      <c r="C14544" s="66"/>
      <c r="D14544" s="68"/>
      <c r="E14544" s="10"/>
      <c r="F14544" s="69"/>
      <c r="G14544" s="68"/>
      <c r="H14544" s="70"/>
      <c r="BA14544" s="4"/>
      <c r="BB14544" s="4"/>
    </row>
    <row r="14545" spans="1:54" x14ac:dyDescent="0.3">
      <c r="A14545" s="66"/>
      <c r="B14545" s="67"/>
      <c r="C14545" s="66"/>
      <c r="D14545" s="68"/>
      <c r="E14545" s="10"/>
      <c r="F14545" s="69"/>
      <c r="G14545" s="68"/>
      <c r="H14545" s="70"/>
      <c r="BA14545" s="4"/>
      <c r="BB14545" s="4"/>
    </row>
    <row r="14546" spans="1:54" x14ac:dyDescent="0.3">
      <c r="A14546" s="66"/>
      <c r="B14546" s="67"/>
      <c r="C14546" s="66"/>
      <c r="D14546" s="68"/>
      <c r="E14546" s="10"/>
      <c r="F14546" s="69"/>
      <c r="G14546" s="68"/>
      <c r="H14546" s="70"/>
      <c r="BA14546" s="4"/>
      <c r="BB14546" s="4"/>
    </row>
    <row r="14547" spans="1:54" x14ac:dyDescent="0.3">
      <c r="A14547" s="66"/>
      <c r="B14547" s="67"/>
      <c r="C14547" s="66"/>
      <c r="D14547" s="68"/>
      <c r="E14547" s="10"/>
      <c r="F14547" s="69"/>
      <c r="G14547" s="68"/>
      <c r="H14547" s="70"/>
      <c r="BA14547" s="4"/>
      <c r="BB14547" s="4"/>
    </row>
    <row r="14548" spans="1:54" x14ac:dyDescent="0.3">
      <c r="A14548" s="66"/>
      <c r="B14548" s="67"/>
      <c r="C14548" s="66"/>
      <c r="D14548" s="68"/>
      <c r="E14548" s="10"/>
      <c r="F14548" s="69"/>
      <c r="G14548" s="68"/>
      <c r="H14548" s="70"/>
      <c r="BA14548" s="4"/>
      <c r="BB14548" s="4"/>
    </row>
    <row r="14549" spans="1:54" x14ac:dyDescent="0.3">
      <c r="A14549" s="66"/>
      <c r="B14549" s="67"/>
      <c r="C14549" s="66"/>
      <c r="D14549" s="68"/>
      <c r="E14549" s="10"/>
      <c r="F14549" s="69"/>
      <c r="G14549" s="68"/>
      <c r="H14549" s="70"/>
      <c r="BA14549" s="4"/>
      <c r="BB14549" s="4"/>
    </row>
    <row r="14550" spans="1:54" x14ac:dyDescent="0.3">
      <c r="A14550" s="66"/>
      <c r="B14550" s="67"/>
      <c r="C14550" s="66"/>
      <c r="D14550" s="68"/>
      <c r="E14550" s="10"/>
      <c r="F14550" s="69"/>
      <c r="G14550" s="68"/>
      <c r="H14550" s="70"/>
      <c r="BA14550" s="4"/>
      <c r="BB14550" s="4"/>
    </row>
    <row r="14551" spans="1:54" x14ac:dyDescent="0.3">
      <c r="A14551" s="66"/>
      <c r="B14551" s="67"/>
      <c r="C14551" s="66"/>
      <c r="D14551" s="68"/>
      <c r="E14551" s="10"/>
      <c r="F14551" s="69"/>
      <c r="G14551" s="68"/>
      <c r="H14551" s="70"/>
      <c r="BA14551" s="4"/>
      <c r="BB14551" s="4"/>
    </row>
    <row r="14552" spans="1:54" x14ac:dyDescent="0.3">
      <c r="A14552" s="66"/>
      <c r="B14552" s="67"/>
      <c r="C14552" s="66"/>
      <c r="D14552" s="68"/>
      <c r="E14552" s="10"/>
      <c r="F14552" s="69"/>
      <c r="G14552" s="68"/>
      <c r="H14552" s="70"/>
      <c r="BA14552" s="4"/>
      <c r="BB14552" s="4"/>
    </row>
    <row r="14553" spans="1:54" x14ac:dyDescent="0.3">
      <c r="A14553" s="66"/>
      <c r="B14553" s="67"/>
      <c r="C14553" s="66"/>
      <c r="D14553" s="68"/>
      <c r="E14553" s="10"/>
      <c r="F14553" s="69"/>
      <c r="G14553" s="68"/>
      <c r="H14553" s="70"/>
      <c r="BA14553" s="4"/>
      <c r="BB14553" s="4"/>
    </row>
    <row r="14554" spans="1:54" x14ac:dyDescent="0.3">
      <c r="A14554" s="66"/>
      <c r="B14554" s="67"/>
      <c r="C14554" s="66"/>
      <c r="D14554" s="68"/>
      <c r="E14554" s="10"/>
      <c r="F14554" s="69"/>
      <c r="G14554" s="68"/>
      <c r="H14554" s="70"/>
      <c r="BA14554" s="4"/>
      <c r="BB14554" s="4"/>
    </row>
    <row r="14555" spans="1:54" x14ac:dyDescent="0.3">
      <c r="A14555" s="66"/>
      <c r="B14555" s="67"/>
      <c r="C14555" s="66"/>
      <c r="D14555" s="68"/>
      <c r="E14555" s="10"/>
      <c r="F14555" s="69"/>
      <c r="G14555" s="68"/>
      <c r="H14555" s="70"/>
      <c r="BA14555" s="4"/>
      <c r="BB14555" s="4"/>
    </row>
    <row r="14556" spans="1:54" x14ac:dyDescent="0.3">
      <c r="A14556" s="66"/>
      <c r="B14556" s="67"/>
      <c r="C14556" s="66"/>
      <c r="D14556" s="68"/>
      <c r="E14556" s="10"/>
      <c r="F14556" s="69"/>
      <c r="G14556" s="68"/>
      <c r="H14556" s="70"/>
      <c r="BA14556" s="4"/>
      <c r="BB14556" s="4"/>
    </row>
    <row r="14557" spans="1:54" x14ac:dyDescent="0.3">
      <c r="A14557" s="66"/>
      <c r="B14557" s="67"/>
      <c r="C14557" s="66"/>
      <c r="D14557" s="68"/>
      <c r="E14557" s="10"/>
      <c r="F14557" s="69"/>
      <c r="G14557" s="68"/>
      <c r="H14557" s="70"/>
      <c r="BA14557" s="4"/>
      <c r="BB14557" s="4"/>
    </row>
    <row r="14558" spans="1:54" x14ac:dyDescent="0.3">
      <c r="A14558" s="66"/>
      <c r="B14558" s="67"/>
      <c r="C14558" s="66"/>
      <c r="D14558" s="68"/>
      <c r="E14558" s="10"/>
      <c r="F14558" s="69"/>
      <c r="G14558" s="68"/>
      <c r="H14558" s="70"/>
      <c r="BA14558" s="4"/>
      <c r="BB14558" s="4"/>
    </row>
    <row r="14559" spans="1:54" x14ac:dyDescent="0.3">
      <c r="A14559" s="66"/>
      <c r="B14559" s="67"/>
      <c r="C14559" s="66"/>
      <c r="D14559" s="68"/>
      <c r="E14559" s="10"/>
      <c r="F14559" s="69"/>
      <c r="G14559" s="68"/>
      <c r="H14559" s="70"/>
      <c r="BA14559" s="4"/>
      <c r="BB14559" s="4"/>
    </row>
    <row r="14560" spans="1:54" x14ac:dyDescent="0.3">
      <c r="A14560" s="66"/>
      <c r="B14560" s="67"/>
      <c r="C14560" s="66"/>
      <c r="D14560" s="68"/>
      <c r="E14560" s="10"/>
      <c r="F14560" s="69"/>
      <c r="G14560" s="68"/>
      <c r="H14560" s="70"/>
      <c r="BA14560" s="4"/>
      <c r="BB14560" s="4"/>
    </row>
    <row r="14561" spans="1:54" x14ac:dyDescent="0.3">
      <c r="A14561" s="66"/>
      <c r="B14561" s="67"/>
      <c r="C14561" s="66"/>
      <c r="D14561" s="68"/>
      <c r="E14561" s="10"/>
      <c r="F14561" s="69"/>
      <c r="G14561" s="68"/>
      <c r="H14561" s="70"/>
      <c r="BA14561" s="4"/>
      <c r="BB14561" s="4"/>
    </row>
    <row r="14562" spans="1:54" x14ac:dyDescent="0.3">
      <c r="A14562" s="66"/>
      <c r="B14562" s="67"/>
      <c r="C14562" s="66"/>
      <c r="D14562" s="68"/>
      <c r="E14562" s="10"/>
      <c r="F14562" s="69"/>
      <c r="G14562" s="68"/>
      <c r="H14562" s="70"/>
      <c r="BA14562" s="4"/>
      <c r="BB14562" s="4"/>
    </row>
    <row r="14563" spans="1:54" x14ac:dyDescent="0.3">
      <c r="A14563" s="66"/>
      <c r="B14563" s="67"/>
      <c r="C14563" s="66"/>
      <c r="D14563" s="68"/>
      <c r="E14563" s="10"/>
      <c r="F14563" s="69"/>
      <c r="G14563" s="68"/>
      <c r="H14563" s="70"/>
      <c r="BA14563" s="4"/>
      <c r="BB14563" s="4"/>
    </row>
    <row r="14564" spans="1:54" x14ac:dyDescent="0.3">
      <c r="A14564" s="66"/>
      <c r="B14564" s="67"/>
      <c r="C14564" s="66"/>
      <c r="D14564" s="68"/>
      <c r="E14564" s="10"/>
      <c r="F14564" s="69"/>
      <c r="G14564" s="68"/>
      <c r="H14564" s="70"/>
      <c r="BA14564" s="4"/>
      <c r="BB14564" s="4"/>
    </row>
    <row r="14565" spans="1:54" x14ac:dyDescent="0.3">
      <c r="A14565" s="66"/>
      <c r="B14565" s="67"/>
      <c r="C14565" s="66"/>
      <c r="D14565" s="68"/>
      <c r="E14565" s="10"/>
      <c r="F14565" s="69"/>
      <c r="G14565" s="68"/>
      <c r="H14565" s="70"/>
      <c r="BA14565" s="4"/>
      <c r="BB14565" s="4"/>
    </row>
    <row r="14566" spans="1:54" x14ac:dyDescent="0.3">
      <c r="A14566" s="66"/>
      <c r="B14566" s="67"/>
      <c r="C14566" s="66"/>
      <c r="D14566" s="68"/>
      <c r="E14566" s="10"/>
      <c r="F14566" s="69"/>
      <c r="G14566" s="68"/>
      <c r="H14566" s="70"/>
      <c r="BA14566" s="4"/>
      <c r="BB14566" s="4"/>
    </row>
    <row r="14567" spans="1:54" x14ac:dyDescent="0.3">
      <c r="A14567" s="66"/>
      <c r="B14567" s="67"/>
      <c r="C14567" s="66"/>
      <c r="D14567" s="68"/>
      <c r="E14567" s="10"/>
      <c r="F14567" s="69"/>
      <c r="G14567" s="68"/>
      <c r="H14567" s="70"/>
      <c r="BA14567" s="4"/>
      <c r="BB14567" s="4"/>
    </row>
    <row r="14568" spans="1:54" x14ac:dyDescent="0.3">
      <c r="A14568" s="66"/>
      <c r="B14568" s="67"/>
      <c r="C14568" s="66"/>
      <c r="D14568" s="68"/>
      <c r="E14568" s="10"/>
      <c r="F14568" s="69"/>
      <c r="G14568" s="68"/>
      <c r="H14568" s="70"/>
      <c r="BA14568" s="4"/>
      <c r="BB14568" s="4"/>
    </row>
    <row r="14569" spans="1:54" x14ac:dyDescent="0.3">
      <c r="A14569" s="66"/>
      <c r="B14569" s="67"/>
      <c r="C14569" s="66"/>
      <c r="D14569" s="68"/>
      <c r="E14569" s="10"/>
      <c r="F14569" s="69"/>
      <c r="G14569" s="68"/>
      <c r="H14569" s="70"/>
      <c r="BA14569" s="4"/>
      <c r="BB14569" s="4"/>
    </row>
    <row r="14570" spans="1:54" x14ac:dyDescent="0.3">
      <c r="A14570" s="66"/>
      <c r="B14570" s="67"/>
      <c r="C14570" s="66"/>
      <c r="D14570" s="68"/>
      <c r="E14570" s="10"/>
      <c r="F14570" s="69"/>
      <c r="G14570" s="68"/>
      <c r="H14570" s="70"/>
      <c r="BA14570" s="4"/>
      <c r="BB14570" s="4"/>
    </row>
    <row r="14571" spans="1:54" x14ac:dyDescent="0.3">
      <c r="A14571" s="66"/>
      <c r="B14571" s="67"/>
      <c r="C14571" s="66"/>
      <c r="D14571" s="68"/>
      <c r="E14571" s="10"/>
      <c r="F14571" s="69"/>
      <c r="G14571" s="68"/>
      <c r="H14571" s="70"/>
      <c r="BA14571" s="4"/>
      <c r="BB14571" s="4"/>
    </row>
    <row r="14572" spans="1:54" x14ac:dyDescent="0.3">
      <c r="A14572" s="66"/>
      <c r="B14572" s="67"/>
      <c r="C14572" s="66"/>
      <c r="D14572" s="68"/>
      <c r="E14572" s="10"/>
      <c r="F14572" s="69"/>
      <c r="G14572" s="68"/>
      <c r="H14572" s="70"/>
      <c r="BA14572" s="4"/>
      <c r="BB14572" s="4"/>
    </row>
    <row r="14573" spans="1:54" x14ac:dyDescent="0.3">
      <c r="A14573" s="66"/>
      <c r="B14573" s="67"/>
      <c r="C14573" s="66"/>
      <c r="D14573" s="68"/>
      <c r="E14573" s="10"/>
      <c r="F14573" s="69"/>
      <c r="G14573" s="68"/>
      <c r="H14573" s="70"/>
      <c r="BA14573" s="4"/>
      <c r="BB14573" s="4"/>
    </row>
    <row r="14574" spans="1:54" x14ac:dyDescent="0.3">
      <c r="A14574" s="66"/>
      <c r="B14574" s="67"/>
      <c r="C14574" s="66"/>
      <c r="D14574" s="68"/>
      <c r="E14574" s="10"/>
      <c r="F14574" s="69"/>
      <c r="G14574" s="68"/>
      <c r="H14574" s="70"/>
      <c r="BA14574" s="4"/>
      <c r="BB14574" s="4"/>
    </row>
    <row r="14575" spans="1:54" x14ac:dyDescent="0.3">
      <c r="A14575" s="66"/>
      <c r="B14575" s="67"/>
      <c r="C14575" s="66"/>
      <c r="D14575" s="68"/>
      <c r="E14575" s="10"/>
      <c r="F14575" s="69"/>
      <c r="G14575" s="68"/>
      <c r="H14575" s="70"/>
      <c r="BA14575" s="4"/>
      <c r="BB14575" s="4"/>
    </row>
    <row r="14576" spans="1:54" x14ac:dyDescent="0.3">
      <c r="A14576" s="66"/>
      <c r="B14576" s="67"/>
      <c r="C14576" s="66"/>
      <c r="D14576" s="68"/>
      <c r="E14576" s="10"/>
      <c r="F14576" s="69"/>
      <c r="G14576" s="68"/>
      <c r="H14576" s="70"/>
      <c r="BA14576" s="4"/>
      <c r="BB14576" s="4"/>
    </row>
    <row r="14577" spans="1:54" x14ac:dyDescent="0.3">
      <c r="A14577" s="66"/>
      <c r="B14577" s="67"/>
      <c r="C14577" s="66"/>
      <c r="D14577" s="68"/>
      <c r="E14577" s="10"/>
      <c r="F14577" s="69"/>
      <c r="G14577" s="68"/>
      <c r="H14577" s="70"/>
      <c r="BA14577" s="4"/>
      <c r="BB14577" s="4"/>
    </row>
    <row r="14578" spans="1:54" x14ac:dyDescent="0.3">
      <c r="A14578" s="66"/>
      <c r="B14578" s="67"/>
      <c r="C14578" s="66"/>
      <c r="D14578" s="68"/>
      <c r="E14578" s="10"/>
      <c r="F14578" s="69"/>
      <c r="G14578" s="68"/>
      <c r="H14578" s="70"/>
      <c r="BA14578" s="4"/>
      <c r="BB14578" s="4"/>
    </row>
    <row r="14579" spans="1:54" x14ac:dyDescent="0.3">
      <c r="A14579" s="66"/>
      <c r="B14579" s="67"/>
      <c r="C14579" s="66"/>
      <c r="D14579" s="68"/>
      <c r="E14579" s="10"/>
      <c r="F14579" s="69"/>
      <c r="G14579" s="68"/>
      <c r="H14579" s="70"/>
      <c r="BA14579" s="4"/>
      <c r="BB14579" s="4"/>
    </row>
    <row r="14580" spans="1:54" x14ac:dyDescent="0.3">
      <c r="A14580" s="66"/>
      <c r="B14580" s="67"/>
      <c r="C14580" s="66"/>
      <c r="D14580" s="68"/>
      <c r="E14580" s="10"/>
      <c r="F14580" s="69"/>
      <c r="G14580" s="68"/>
      <c r="H14580" s="70"/>
      <c r="BA14580" s="4"/>
      <c r="BB14580" s="4"/>
    </row>
    <row r="14581" spans="1:54" x14ac:dyDescent="0.3">
      <c r="A14581" s="66"/>
      <c r="B14581" s="67"/>
      <c r="C14581" s="66"/>
      <c r="D14581" s="68"/>
      <c r="E14581" s="10"/>
      <c r="F14581" s="69"/>
      <c r="G14581" s="68"/>
      <c r="H14581" s="70"/>
      <c r="BA14581" s="4"/>
      <c r="BB14581" s="4"/>
    </row>
    <row r="14582" spans="1:54" x14ac:dyDescent="0.3">
      <c r="A14582" s="66"/>
      <c r="B14582" s="67"/>
      <c r="C14582" s="66"/>
      <c r="D14582" s="68"/>
      <c r="E14582" s="10"/>
      <c r="F14582" s="69"/>
      <c r="G14582" s="68"/>
      <c r="H14582" s="70"/>
      <c r="BA14582" s="4"/>
      <c r="BB14582" s="4"/>
    </row>
    <row r="14583" spans="1:54" x14ac:dyDescent="0.3">
      <c r="A14583" s="66"/>
      <c r="B14583" s="67"/>
      <c r="C14583" s="66"/>
      <c r="D14583" s="68"/>
      <c r="E14583" s="10"/>
      <c r="F14583" s="69"/>
      <c r="G14583" s="68"/>
      <c r="H14583" s="70"/>
      <c r="BA14583" s="4"/>
      <c r="BB14583" s="4"/>
    </row>
    <row r="14584" spans="1:54" x14ac:dyDescent="0.3">
      <c r="A14584" s="66"/>
      <c r="B14584" s="67"/>
      <c r="C14584" s="66"/>
      <c r="D14584" s="68"/>
      <c r="E14584" s="10"/>
      <c r="F14584" s="69"/>
      <c r="G14584" s="68"/>
      <c r="H14584" s="70"/>
      <c r="BA14584" s="4"/>
      <c r="BB14584" s="4"/>
    </row>
    <row r="14585" spans="1:54" x14ac:dyDescent="0.3">
      <c r="A14585" s="66"/>
      <c r="B14585" s="67"/>
      <c r="C14585" s="66"/>
      <c r="D14585" s="68"/>
      <c r="E14585" s="10"/>
      <c r="F14585" s="69"/>
      <c r="G14585" s="68"/>
      <c r="H14585" s="70"/>
      <c r="BA14585" s="4"/>
      <c r="BB14585" s="4"/>
    </row>
    <row r="14586" spans="1:54" x14ac:dyDescent="0.3">
      <c r="A14586" s="66"/>
      <c r="B14586" s="67"/>
      <c r="C14586" s="66"/>
      <c r="D14586" s="68"/>
      <c r="E14586" s="10"/>
      <c r="F14586" s="69"/>
      <c r="G14586" s="68"/>
      <c r="H14586" s="70"/>
      <c r="BA14586" s="4"/>
      <c r="BB14586" s="4"/>
    </row>
    <row r="14587" spans="1:54" x14ac:dyDescent="0.3">
      <c r="A14587" s="66"/>
      <c r="B14587" s="67"/>
      <c r="C14587" s="66"/>
      <c r="D14587" s="68"/>
      <c r="E14587" s="10"/>
      <c r="F14587" s="69"/>
      <c r="G14587" s="68"/>
      <c r="H14587" s="70"/>
      <c r="BA14587" s="4"/>
      <c r="BB14587" s="4"/>
    </row>
    <row r="14588" spans="1:54" x14ac:dyDescent="0.3">
      <c r="A14588" s="66"/>
      <c r="B14588" s="67"/>
      <c r="C14588" s="66"/>
      <c r="D14588" s="68"/>
      <c r="E14588" s="10"/>
      <c r="F14588" s="69"/>
      <c r="G14588" s="68"/>
      <c r="H14588" s="70"/>
      <c r="BA14588" s="4"/>
      <c r="BB14588" s="4"/>
    </row>
    <row r="14589" spans="1:54" x14ac:dyDescent="0.3">
      <c r="A14589" s="66"/>
      <c r="B14589" s="67"/>
      <c r="C14589" s="66"/>
      <c r="D14589" s="68"/>
      <c r="E14589" s="10"/>
      <c r="F14589" s="69"/>
      <c r="G14589" s="68"/>
      <c r="H14589" s="70"/>
      <c r="BA14589" s="4"/>
      <c r="BB14589" s="4"/>
    </row>
    <row r="14590" spans="1:54" x14ac:dyDescent="0.3">
      <c r="A14590" s="66"/>
      <c r="B14590" s="67"/>
      <c r="C14590" s="66"/>
      <c r="D14590" s="68"/>
      <c r="E14590" s="10"/>
      <c r="F14590" s="69"/>
      <c r="G14590" s="68"/>
      <c r="H14590" s="70"/>
      <c r="BA14590" s="4"/>
      <c r="BB14590" s="4"/>
    </row>
    <row r="14591" spans="1:54" x14ac:dyDescent="0.3">
      <c r="A14591" s="66"/>
      <c r="B14591" s="67"/>
      <c r="C14591" s="66"/>
      <c r="D14591" s="68"/>
      <c r="E14591" s="10"/>
      <c r="F14591" s="69"/>
      <c r="G14591" s="68"/>
      <c r="H14591" s="70"/>
      <c r="BA14591" s="4"/>
      <c r="BB14591" s="4"/>
    </row>
    <row r="14592" spans="1:54" x14ac:dyDescent="0.3">
      <c r="A14592" s="66"/>
      <c r="B14592" s="67"/>
      <c r="C14592" s="66"/>
      <c r="D14592" s="68"/>
      <c r="E14592" s="10"/>
      <c r="F14592" s="69"/>
      <c r="G14592" s="68"/>
      <c r="H14592" s="70"/>
      <c r="BA14592" s="4"/>
      <c r="BB14592" s="4"/>
    </row>
    <row r="14593" spans="1:54" x14ac:dyDescent="0.3">
      <c r="A14593" s="66"/>
      <c r="B14593" s="67"/>
      <c r="C14593" s="66"/>
      <c r="D14593" s="68"/>
      <c r="E14593" s="10"/>
      <c r="F14593" s="69"/>
      <c r="G14593" s="68"/>
      <c r="H14593" s="70"/>
      <c r="BA14593" s="4"/>
      <c r="BB14593" s="4"/>
    </row>
    <row r="14594" spans="1:54" x14ac:dyDescent="0.3">
      <c r="A14594" s="66"/>
      <c r="B14594" s="67"/>
      <c r="C14594" s="66"/>
      <c r="D14594" s="68"/>
      <c r="E14594" s="10"/>
      <c r="F14594" s="69"/>
      <c r="G14594" s="68"/>
      <c r="H14594" s="70"/>
      <c r="BA14594" s="4"/>
      <c r="BB14594" s="4"/>
    </row>
    <row r="14595" spans="1:54" x14ac:dyDescent="0.3">
      <c r="A14595" s="66"/>
      <c r="B14595" s="67"/>
      <c r="C14595" s="66"/>
      <c r="D14595" s="68"/>
      <c r="E14595" s="10"/>
      <c r="F14595" s="69"/>
      <c r="G14595" s="68"/>
      <c r="H14595" s="70"/>
      <c r="BA14595" s="4"/>
      <c r="BB14595" s="4"/>
    </row>
    <row r="14596" spans="1:54" x14ac:dyDescent="0.3">
      <c r="A14596" s="66"/>
      <c r="B14596" s="67"/>
      <c r="C14596" s="66"/>
      <c r="D14596" s="68"/>
      <c r="E14596" s="10"/>
      <c r="F14596" s="69"/>
      <c r="G14596" s="68"/>
      <c r="H14596" s="70"/>
      <c r="BA14596" s="4"/>
      <c r="BB14596" s="4"/>
    </row>
    <row r="14597" spans="1:54" x14ac:dyDescent="0.3">
      <c r="A14597" s="66"/>
      <c r="B14597" s="67"/>
      <c r="C14597" s="66"/>
      <c r="D14597" s="68"/>
      <c r="E14597" s="10"/>
      <c r="F14597" s="69"/>
      <c r="G14597" s="68"/>
      <c r="H14597" s="70"/>
      <c r="BA14597" s="4"/>
      <c r="BB14597" s="4"/>
    </row>
    <row r="14598" spans="1:54" x14ac:dyDescent="0.3">
      <c r="A14598" s="66"/>
      <c r="B14598" s="67"/>
      <c r="C14598" s="66"/>
      <c r="D14598" s="68"/>
      <c r="E14598" s="10"/>
      <c r="F14598" s="69"/>
      <c r="G14598" s="68"/>
      <c r="H14598" s="70"/>
      <c r="BA14598" s="4"/>
      <c r="BB14598" s="4"/>
    </row>
    <row r="14599" spans="1:54" x14ac:dyDescent="0.3">
      <c r="A14599" s="66"/>
      <c r="B14599" s="67"/>
      <c r="C14599" s="66"/>
      <c r="D14599" s="68"/>
      <c r="E14599" s="10"/>
      <c r="F14599" s="69"/>
      <c r="G14599" s="68"/>
      <c r="H14599" s="70"/>
      <c r="BA14599" s="4"/>
      <c r="BB14599" s="4"/>
    </row>
    <row r="14600" spans="1:54" x14ac:dyDescent="0.3">
      <c r="A14600" s="66"/>
      <c r="B14600" s="67"/>
      <c r="C14600" s="66"/>
      <c r="D14600" s="68"/>
      <c r="E14600" s="10"/>
      <c r="F14600" s="69"/>
      <c r="G14600" s="68"/>
      <c r="H14600" s="70"/>
      <c r="BA14600" s="4"/>
      <c r="BB14600" s="4"/>
    </row>
    <row r="14601" spans="1:54" x14ac:dyDescent="0.3">
      <c r="A14601" s="66"/>
      <c r="B14601" s="67"/>
      <c r="C14601" s="66"/>
      <c r="D14601" s="68"/>
      <c r="E14601" s="10"/>
      <c r="F14601" s="69"/>
      <c r="G14601" s="68"/>
      <c r="H14601" s="70"/>
      <c r="BA14601" s="4"/>
      <c r="BB14601" s="4"/>
    </row>
    <row r="14602" spans="1:54" x14ac:dyDescent="0.3">
      <c r="A14602" s="66"/>
      <c r="B14602" s="67"/>
      <c r="C14602" s="66"/>
      <c r="D14602" s="68"/>
      <c r="E14602" s="10"/>
      <c r="F14602" s="69"/>
      <c r="G14602" s="68"/>
      <c r="H14602" s="70"/>
      <c r="BA14602" s="4"/>
      <c r="BB14602" s="4"/>
    </row>
    <row r="14603" spans="1:54" x14ac:dyDescent="0.3">
      <c r="A14603" s="66"/>
      <c r="B14603" s="67"/>
      <c r="C14603" s="66"/>
      <c r="D14603" s="68"/>
      <c r="E14603" s="10"/>
      <c r="F14603" s="69"/>
      <c r="G14603" s="68"/>
      <c r="H14603" s="70"/>
      <c r="BA14603" s="4"/>
      <c r="BB14603" s="4"/>
    </row>
    <row r="14604" spans="1:54" x14ac:dyDescent="0.3">
      <c r="A14604" s="66"/>
      <c r="B14604" s="67"/>
      <c r="C14604" s="66"/>
      <c r="D14604" s="68"/>
      <c r="E14604" s="10"/>
      <c r="F14604" s="69"/>
      <c r="G14604" s="68"/>
      <c r="H14604" s="70"/>
      <c r="BA14604" s="4"/>
      <c r="BB14604" s="4"/>
    </row>
    <row r="14605" spans="1:54" x14ac:dyDescent="0.3">
      <c r="A14605" s="66"/>
      <c r="B14605" s="67"/>
      <c r="C14605" s="66"/>
      <c r="D14605" s="68"/>
      <c r="E14605" s="10"/>
      <c r="F14605" s="69"/>
      <c r="G14605" s="68"/>
      <c r="H14605" s="70"/>
      <c r="BA14605" s="4"/>
      <c r="BB14605" s="4"/>
    </row>
    <row r="14606" spans="1:54" x14ac:dyDescent="0.3">
      <c r="A14606" s="66"/>
      <c r="B14606" s="67"/>
      <c r="C14606" s="66"/>
      <c r="D14606" s="68"/>
      <c r="E14606" s="10"/>
      <c r="F14606" s="69"/>
      <c r="G14606" s="68"/>
      <c r="H14606" s="70"/>
      <c r="BA14606" s="4"/>
      <c r="BB14606" s="4"/>
    </row>
    <row r="14607" spans="1:54" x14ac:dyDescent="0.3">
      <c r="A14607" s="66"/>
      <c r="B14607" s="67"/>
      <c r="C14607" s="66"/>
      <c r="D14607" s="68"/>
      <c r="E14607" s="10"/>
      <c r="F14607" s="69"/>
      <c r="G14607" s="68"/>
      <c r="H14607" s="70"/>
      <c r="BA14607" s="4"/>
      <c r="BB14607" s="4"/>
    </row>
    <row r="14608" spans="1:54" x14ac:dyDescent="0.3">
      <c r="A14608" s="66"/>
      <c r="B14608" s="67"/>
      <c r="C14608" s="66"/>
      <c r="D14608" s="68"/>
      <c r="E14608" s="10"/>
      <c r="F14608" s="69"/>
      <c r="G14608" s="68"/>
      <c r="H14608" s="70"/>
      <c r="BA14608" s="4"/>
      <c r="BB14608" s="4"/>
    </row>
    <row r="14609" spans="1:54" x14ac:dyDescent="0.3">
      <c r="A14609" s="66"/>
      <c r="B14609" s="67"/>
      <c r="C14609" s="66"/>
      <c r="D14609" s="68"/>
      <c r="E14609" s="10"/>
      <c r="F14609" s="69"/>
      <c r="G14609" s="68"/>
      <c r="H14609" s="70"/>
      <c r="BA14609" s="4"/>
      <c r="BB14609" s="4"/>
    </row>
    <row r="14610" spans="1:54" x14ac:dyDescent="0.3">
      <c r="A14610" s="66"/>
      <c r="B14610" s="67"/>
      <c r="C14610" s="66"/>
      <c r="D14610" s="68"/>
      <c r="E14610" s="10"/>
      <c r="F14610" s="69"/>
      <c r="G14610" s="68"/>
      <c r="H14610" s="70"/>
      <c r="BA14610" s="4"/>
      <c r="BB14610" s="4"/>
    </row>
    <row r="14611" spans="1:54" x14ac:dyDescent="0.3">
      <c r="A14611" s="66"/>
      <c r="B14611" s="67"/>
      <c r="C14611" s="66"/>
      <c r="D14611" s="68"/>
      <c r="E14611" s="10"/>
      <c r="F14611" s="69"/>
      <c r="G14611" s="68"/>
      <c r="H14611" s="70"/>
      <c r="BA14611" s="4"/>
      <c r="BB14611" s="4"/>
    </row>
    <row r="14612" spans="1:54" x14ac:dyDescent="0.3">
      <c r="A14612" s="66"/>
      <c r="B14612" s="67"/>
      <c r="C14612" s="66"/>
      <c r="D14612" s="68"/>
      <c r="E14612" s="10"/>
      <c r="F14612" s="69"/>
      <c r="G14612" s="68"/>
      <c r="H14612" s="70"/>
      <c r="BA14612" s="4"/>
      <c r="BB14612" s="4"/>
    </row>
    <row r="14613" spans="1:54" x14ac:dyDescent="0.3">
      <c r="A14613" s="66"/>
      <c r="B14613" s="67"/>
      <c r="C14613" s="66"/>
      <c r="D14613" s="68"/>
      <c r="E14613" s="10"/>
      <c r="F14613" s="69"/>
      <c r="G14613" s="68"/>
      <c r="H14613" s="70"/>
      <c r="BA14613" s="4"/>
      <c r="BB14613" s="4"/>
    </row>
    <row r="14614" spans="1:54" x14ac:dyDescent="0.3">
      <c r="A14614" s="66"/>
      <c r="B14614" s="67"/>
      <c r="C14614" s="66"/>
      <c r="D14614" s="68"/>
      <c r="E14614" s="10"/>
      <c r="F14614" s="69"/>
      <c r="G14614" s="68"/>
      <c r="H14614" s="70"/>
      <c r="BA14614" s="4"/>
      <c r="BB14614" s="4"/>
    </row>
    <row r="14615" spans="1:54" x14ac:dyDescent="0.3">
      <c r="A14615" s="66"/>
      <c r="B14615" s="67"/>
      <c r="C14615" s="66"/>
      <c r="D14615" s="68"/>
      <c r="E14615" s="10"/>
      <c r="F14615" s="69"/>
      <c r="G14615" s="68"/>
      <c r="H14615" s="70"/>
      <c r="BA14615" s="4"/>
      <c r="BB14615" s="4"/>
    </row>
    <row r="14616" spans="1:54" x14ac:dyDescent="0.3">
      <c r="A14616" s="66"/>
      <c r="B14616" s="67"/>
      <c r="C14616" s="66"/>
      <c r="D14616" s="68"/>
      <c r="E14616" s="10"/>
      <c r="F14616" s="69"/>
      <c r="G14616" s="68"/>
      <c r="H14616" s="70"/>
      <c r="BA14616" s="4"/>
      <c r="BB14616" s="4"/>
    </row>
    <row r="14617" spans="1:54" x14ac:dyDescent="0.3">
      <c r="A14617" s="66"/>
      <c r="B14617" s="67"/>
      <c r="C14617" s="66"/>
      <c r="D14617" s="68"/>
      <c r="E14617" s="10"/>
      <c r="F14617" s="69"/>
      <c r="G14617" s="68"/>
      <c r="H14617" s="70"/>
      <c r="BA14617" s="4"/>
      <c r="BB14617" s="4"/>
    </row>
    <row r="14618" spans="1:54" x14ac:dyDescent="0.3">
      <c r="A14618" s="66"/>
      <c r="B14618" s="67"/>
      <c r="C14618" s="66"/>
      <c r="D14618" s="68"/>
      <c r="E14618" s="10"/>
      <c r="F14618" s="69"/>
      <c r="G14618" s="68"/>
      <c r="H14618" s="70"/>
      <c r="BA14618" s="4"/>
      <c r="BB14618" s="4"/>
    </row>
    <row r="14619" spans="1:54" x14ac:dyDescent="0.3">
      <c r="A14619" s="66"/>
      <c r="B14619" s="67"/>
      <c r="C14619" s="66"/>
      <c r="D14619" s="68"/>
      <c r="E14619" s="10"/>
      <c r="F14619" s="69"/>
      <c r="G14619" s="68"/>
      <c r="H14619" s="70"/>
      <c r="BA14619" s="4"/>
      <c r="BB14619" s="4"/>
    </row>
    <row r="14620" spans="1:54" x14ac:dyDescent="0.3">
      <c r="A14620" s="66"/>
      <c r="B14620" s="67"/>
      <c r="C14620" s="66"/>
      <c r="D14620" s="68"/>
      <c r="E14620" s="10"/>
      <c r="F14620" s="69"/>
      <c r="G14620" s="68"/>
      <c r="H14620" s="70"/>
      <c r="BA14620" s="4"/>
      <c r="BB14620" s="4"/>
    </row>
    <row r="14621" spans="1:54" x14ac:dyDescent="0.3">
      <c r="A14621" s="66"/>
      <c r="B14621" s="67"/>
      <c r="C14621" s="66"/>
      <c r="D14621" s="68"/>
      <c r="E14621" s="10"/>
      <c r="F14621" s="69"/>
      <c r="G14621" s="68"/>
      <c r="H14621" s="70"/>
      <c r="BA14621" s="4"/>
      <c r="BB14621" s="4"/>
    </row>
    <row r="14622" spans="1:54" x14ac:dyDescent="0.3">
      <c r="A14622" s="66"/>
      <c r="B14622" s="67"/>
      <c r="C14622" s="66"/>
      <c r="D14622" s="68"/>
      <c r="E14622" s="10"/>
      <c r="F14622" s="69"/>
      <c r="G14622" s="68"/>
      <c r="H14622" s="70"/>
      <c r="BA14622" s="4"/>
      <c r="BB14622" s="4"/>
    </row>
    <row r="14623" spans="1:54" x14ac:dyDescent="0.3">
      <c r="A14623" s="66"/>
      <c r="B14623" s="67"/>
      <c r="C14623" s="66"/>
      <c r="D14623" s="68"/>
      <c r="E14623" s="10"/>
      <c r="F14623" s="69"/>
      <c r="G14623" s="68"/>
      <c r="H14623" s="70"/>
      <c r="BA14623" s="4"/>
      <c r="BB14623" s="4"/>
    </row>
    <row r="14624" spans="1:54" x14ac:dyDescent="0.3">
      <c r="A14624" s="66"/>
      <c r="B14624" s="67"/>
      <c r="C14624" s="66"/>
      <c r="D14624" s="68"/>
      <c r="E14624" s="10"/>
      <c r="F14624" s="69"/>
      <c r="G14624" s="68"/>
      <c r="H14624" s="70"/>
      <c r="BA14624" s="4"/>
      <c r="BB14624" s="4"/>
    </row>
    <row r="14625" spans="1:54" x14ac:dyDescent="0.3">
      <c r="A14625" s="66"/>
      <c r="B14625" s="67"/>
      <c r="C14625" s="66"/>
      <c r="D14625" s="68"/>
      <c r="E14625" s="10"/>
      <c r="F14625" s="69"/>
      <c r="G14625" s="68"/>
      <c r="H14625" s="70"/>
      <c r="BA14625" s="4"/>
      <c r="BB14625" s="4"/>
    </row>
    <row r="14626" spans="1:54" x14ac:dyDescent="0.3">
      <c r="A14626" s="66"/>
      <c r="B14626" s="67"/>
      <c r="C14626" s="66"/>
      <c r="D14626" s="68"/>
      <c r="E14626" s="10"/>
      <c r="F14626" s="69"/>
      <c r="G14626" s="68"/>
      <c r="H14626" s="70"/>
      <c r="BA14626" s="4"/>
      <c r="BB14626" s="4"/>
    </row>
    <row r="14627" spans="1:54" x14ac:dyDescent="0.3">
      <c r="A14627" s="66"/>
      <c r="B14627" s="67"/>
      <c r="C14627" s="66"/>
      <c r="D14627" s="68"/>
      <c r="E14627" s="10"/>
      <c r="F14627" s="69"/>
      <c r="G14627" s="68"/>
      <c r="H14627" s="70"/>
      <c r="BA14627" s="4"/>
      <c r="BB14627" s="4"/>
    </row>
    <row r="14628" spans="1:54" x14ac:dyDescent="0.3">
      <c r="A14628" s="66"/>
      <c r="B14628" s="67"/>
      <c r="C14628" s="66"/>
      <c r="D14628" s="68"/>
      <c r="E14628" s="10"/>
      <c r="F14628" s="69"/>
      <c r="G14628" s="68"/>
      <c r="H14628" s="70"/>
      <c r="BA14628" s="4"/>
      <c r="BB14628" s="4"/>
    </row>
    <row r="14629" spans="1:54" x14ac:dyDescent="0.3">
      <c r="A14629" s="66"/>
      <c r="B14629" s="67"/>
      <c r="C14629" s="66"/>
      <c r="D14629" s="68"/>
      <c r="E14629" s="10"/>
      <c r="F14629" s="69"/>
      <c r="G14629" s="68"/>
      <c r="H14629" s="70"/>
      <c r="BA14629" s="4"/>
      <c r="BB14629" s="4"/>
    </row>
    <row r="14630" spans="1:54" x14ac:dyDescent="0.3">
      <c r="A14630" s="66"/>
      <c r="B14630" s="67"/>
      <c r="C14630" s="66"/>
      <c r="D14630" s="68"/>
      <c r="E14630" s="10"/>
      <c r="F14630" s="69"/>
      <c r="G14630" s="68"/>
      <c r="H14630" s="70"/>
      <c r="BA14630" s="4"/>
      <c r="BB14630" s="4"/>
    </row>
    <row r="14631" spans="1:54" x14ac:dyDescent="0.3">
      <c r="A14631" s="66"/>
      <c r="B14631" s="67"/>
      <c r="C14631" s="66"/>
      <c r="D14631" s="68"/>
      <c r="E14631" s="10"/>
      <c r="F14631" s="69"/>
      <c r="G14631" s="68"/>
      <c r="H14631" s="70"/>
      <c r="BA14631" s="4"/>
      <c r="BB14631" s="4"/>
    </row>
    <row r="14632" spans="1:54" x14ac:dyDescent="0.3">
      <c r="A14632" s="66"/>
      <c r="B14632" s="67"/>
      <c r="C14632" s="66"/>
      <c r="D14632" s="68"/>
      <c r="E14632" s="10"/>
      <c r="F14632" s="69"/>
      <c r="G14632" s="68"/>
      <c r="H14632" s="70"/>
      <c r="BA14632" s="4"/>
      <c r="BB14632" s="4"/>
    </row>
    <row r="14633" spans="1:54" x14ac:dyDescent="0.3">
      <c r="A14633" s="66"/>
      <c r="B14633" s="67"/>
      <c r="C14633" s="66"/>
      <c r="D14633" s="68"/>
      <c r="E14633" s="10"/>
      <c r="F14633" s="69"/>
      <c r="G14633" s="68"/>
      <c r="H14633" s="70"/>
      <c r="BA14633" s="4"/>
      <c r="BB14633" s="4"/>
    </row>
    <row r="14634" spans="1:54" x14ac:dyDescent="0.3">
      <c r="A14634" s="66"/>
      <c r="B14634" s="67"/>
      <c r="C14634" s="66"/>
      <c r="D14634" s="68"/>
      <c r="E14634" s="10"/>
      <c r="F14634" s="69"/>
      <c r="G14634" s="68"/>
      <c r="H14634" s="70"/>
      <c r="BA14634" s="4"/>
      <c r="BB14634" s="4"/>
    </row>
    <row r="14635" spans="1:54" x14ac:dyDescent="0.3">
      <c r="A14635" s="66"/>
      <c r="B14635" s="67"/>
      <c r="C14635" s="66"/>
      <c r="D14635" s="68"/>
      <c r="E14635" s="10"/>
      <c r="F14635" s="69"/>
      <c r="G14635" s="68"/>
      <c r="H14635" s="70"/>
      <c r="BA14635" s="4"/>
      <c r="BB14635" s="4"/>
    </row>
    <row r="14636" spans="1:54" x14ac:dyDescent="0.3">
      <c r="A14636" s="66"/>
      <c r="B14636" s="67"/>
      <c r="C14636" s="66"/>
      <c r="D14636" s="68"/>
      <c r="E14636" s="10"/>
      <c r="F14636" s="69"/>
      <c r="G14636" s="68"/>
      <c r="H14636" s="70"/>
      <c r="BA14636" s="4"/>
      <c r="BB14636" s="4"/>
    </row>
    <row r="14637" spans="1:54" x14ac:dyDescent="0.3">
      <c r="A14637" s="66"/>
      <c r="B14637" s="67"/>
      <c r="C14637" s="66"/>
      <c r="D14637" s="68"/>
      <c r="E14637" s="10"/>
      <c r="F14637" s="69"/>
      <c r="G14637" s="68"/>
      <c r="H14637" s="70"/>
      <c r="BA14637" s="4"/>
      <c r="BB14637" s="4"/>
    </row>
    <row r="14638" spans="1:54" x14ac:dyDescent="0.3">
      <c r="A14638" s="66"/>
      <c r="B14638" s="67"/>
      <c r="C14638" s="66"/>
      <c r="D14638" s="68"/>
      <c r="E14638" s="10"/>
      <c r="F14638" s="69"/>
      <c r="G14638" s="68"/>
      <c r="H14638" s="70"/>
      <c r="BA14638" s="4"/>
      <c r="BB14638" s="4"/>
    </row>
    <row r="14639" spans="1:54" x14ac:dyDescent="0.3">
      <c r="A14639" s="66"/>
      <c r="B14639" s="67"/>
      <c r="C14639" s="66"/>
      <c r="D14639" s="68"/>
      <c r="E14639" s="10"/>
      <c r="F14639" s="69"/>
      <c r="G14639" s="68"/>
      <c r="H14639" s="70"/>
      <c r="BA14639" s="4"/>
      <c r="BB14639" s="4"/>
    </row>
    <row r="14640" spans="1:54" x14ac:dyDescent="0.3">
      <c r="A14640" s="66"/>
      <c r="B14640" s="67"/>
      <c r="C14640" s="66"/>
      <c r="D14640" s="68"/>
      <c r="E14640" s="10"/>
      <c r="F14640" s="69"/>
      <c r="G14640" s="68"/>
      <c r="H14640" s="70"/>
      <c r="BA14640" s="4"/>
      <c r="BB14640" s="4"/>
    </row>
    <row r="14641" spans="1:54" x14ac:dyDescent="0.3">
      <c r="A14641" s="66"/>
      <c r="B14641" s="67"/>
      <c r="C14641" s="66"/>
      <c r="D14641" s="68"/>
      <c r="E14641" s="10"/>
      <c r="F14641" s="69"/>
      <c r="G14641" s="68"/>
      <c r="H14641" s="70"/>
      <c r="BA14641" s="4"/>
      <c r="BB14641" s="4"/>
    </row>
    <row r="14642" spans="1:54" x14ac:dyDescent="0.3">
      <c r="A14642" s="66"/>
      <c r="B14642" s="67"/>
      <c r="C14642" s="66"/>
      <c r="D14642" s="68"/>
      <c r="E14642" s="10"/>
      <c r="F14642" s="69"/>
      <c r="G14642" s="68"/>
      <c r="H14642" s="70"/>
      <c r="BA14642" s="4"/>
      <c r="BB14642" s="4"/>
    </row>
    <row r="14643" spans="1:54" x14ac:dyDescent="0.3">
      <c r="A14643" s="66"/>
      <c r="B14643" s="67"/>
      <c r="C14643" s="66"/>
      <c r="D14643" s="68"/>
      <c r="E14643" s="10"/>
      <c r="F14643" s="69"/>
      <c r="G14643" s="68"/>
      <c r="H14643" s="70"/>
      <c r="BA14643" s="4"/>
      <c r="BB14643" s="4"/>
    </row>
    <row r="14644" spans="1:54" x14ac:dyDescent="0.3">
      <c r="A14644" s="66"/>
      <c r="B14644" s="67"/>
      <c r="C14644" s="66"/>
      <c r="D14644" s="68"/>
      <c r="E14644" s="10"/>
      <c r="F14644" s="69"/>
      <c r="G14644" s="68"/>
      <c r="H14644" s="70"/>
      <c r="BA14644" s="4"/>
      <c r="BB14644" s="4"/>
    </row>
    <row r="14645" spans="1:54" x14ac:dyDescent="0.3">
      <c r="A14645" s="66"/>
      <c r="B14645" s="67"/>
      <c r="C14645" s="66"/>
      <c r="D14645" s="68"/>
      <c r="E14645" s="10"/>
      <c r="F14645" s="69"/>
      <c r="G14645" s="68"/>
      <c r="H14645" s="70"/>
      <c r="BA14645" s="4"/>
      <c r="BB14645" s="4"/>
    </row>
    <row r="14646" spans="1:54" x14ac:dyDescent="0.3">
      <c r="A14646" s="66"/>
      <c r="B14646" s="67"/>
      <c r="C14646" s="66"/>
      <c r="D14646" s="68"/>
      <c r="E14646" s="10"/>
      <c r="F14646" s="69"/>
      <c r="G14646" s="68"/>
      <c r="H14646" s="70"/>
      <c r="BA14646" s="4"/>
      <c r="BB14646" s="4"/>
    </row>
    <row r="14647" spans="1:54" x14ac:dyDescent="0.3">
      <c r="A14647" s="66"/>
      <c r="B14647" s="67"/>
      <c r="C14647" s="66"/>
      <c r="D14647" s="68"/>
      <c r="E14647" s="10"/>
      <c r="F14647" s="69"/>
      <c r="G14647" s="68"/>
      <c r="H14647" s="70"/>
      <c r="BA14647" s="4"/>
      <c r="BB14647" s="4"/>
    </row>
    <row r="14648" spans="1:54" x14ac:dyDescent="0.3">
      <c r="A14648" s="66"/>
      <c r="B14648" s="67"/>
      <c r="C14648" s="66"/>
      <c r="D14648" s="68"/>
      <c r="E14648" s="10"/>
      <c r="F14648" s="69"/>
      <c r="G14648" s="68"/>
      <c r="H14648" s="70"/>
      <c r="BA14648" s="4"/>
      <c r="BB14648" s="4"/>
    </row>
    <row r="14649" spans="1:54" x14ac:dyDescent="0.3">
      <c r="A14649" s="66"/>
      <c r="B14649" s="67"/>
      <c r="C14649" s="66"/>
      <c r="D14649" s="68"/>
      <c r="E14649" s="10"/>
      <c r="F14649" s="69"/>
      <c r="G14649" s="68"/>
      <c r="H14649" s="70"/>
      <c r="BA14649" s="4"/>
      <c r="BB14649" s="4"/>
    </row>
    <row r="14650" spans="1:54" x14ac:dyDescent="0.3">
      <c r="A14650" s="66"/>
      <c r="B14650" s="67"/>
      <c r="C14650" s="66"/>
      <c r="D14650" s="68"/>
      <c r="E14650" s="10"/>
      <c r="F14650" s="69"/>
      <c r="G14650" s="68"/>
      <c r="H14650" s="70"/>
      <c r="BA14650" s="4"/>
      <c r="BB14650" s="4"/>
    </row>
    <row r="14651" spans="1:54" x14ac:dyDescent="0.3">
      <c r="A14651" s="66"/>
      <c r="B14651" s="67"/>
      <c r="C14651" s="66"/>
      <c r="D14651" s="68"/>
      <c r="E14651" s="10"/>
      <c r="F14651" s="69"/>
      <c r="G14651" s="68"/>
      <c r="H14651" s="70"/>
      <c r="BA14651" s="4"/>
      <c r="BB14651" s="4"/>
    </row>
    <row r="14652" spans="1:54" x14ac:dyDescent="0.3">
      <c r="A14652" s="66"/>
      <c r="B14652" s="67"/>
      <c r="C14652" s="66"/>
      <c r="D14652" s="68"/>
      <c r="E14652" s="10"/>
      <c r="F14652" s="69"/>
      <c r="G14652" s="68"/>
      <c r="H14652" s="70"/>
      <c r="BA14652" s="4"/>
      <c r="BB14652" s="4"/>
    </row>
    <row r="14653" spans="1:54" x14ac:dyDescent="0.3">
      <c r="A14653" s="66"/>
      <c r="B14653" s="67"/>
      <c r="C14653" s="66"/>
      <c r="D14653" s="68"/>
      <c r="E14653" s="10"/>
      <c r="F14653" s="69"/>
      <c r="G14653" s="68"/>
      <c r="H14653" s="70"/>
      <c r="BA14653" s="4"/>
      <c r="BB14653" s="4"/>
    </row>
    <row r="14654" spans="1:54" x14ac:dyDescent="0.3">
      <c r="A14654" s="66"/>
      <c r="B14654" s="67"/>
      <c r="C14654" s="66"/>
      <c r="D14654" s="68"/>
      <c r="E14654" s="10"/>
      <c r="F14654" s="69"/>
      <c r="G14654" s="68"/>
      <c r="H14654" s="70"/>
      <c r="BA14654" s="4"/>
      <c r="BB14654" s="4"/>
    </row>
    <row r="14655" spans="1:54" x14ac:dyDescent="0.3">
      <c r="A14655" s="66"/>
      <c r="B14655" s="67"/>
      <c r="C14655" s="66"/>
      <c r="D14655" s="68"/>
      <c r="E14655" s="10"/>
      <c r="F14655" s="69"/>
      <c r="G14655" s="68"/>
      <c r="H14655" s="70"/>
      <c r="BA14655" s="4"/>
      <c r="BB14655" s="4"/>
    </row>
    <row r="14656" spans="1:54" x14ac:dyDescent="0.3">
      <c r="A14656" s="66"/>
      <c r="B14656" s="67"/>
      <c r="C14656" s="66"/>
      <c r="D14656" s="68"/>
      <c r="E14656" s="10"/>
      <c r="F14656" s="69"/>
      <c r="G14656" s="68"/>
      <c r="H14656" s="70"/>
      <c r="BA14656" s="4"/>
      <c r="BB14656" s="4"/>
    </row>
    <row r="14657" spans="1:54" x14ac:dyDescent="0.3">
      <c r="A14657" s="66"/>
      <c r="B14657" s="67"/>
      <c r="C14657" s="66"/>
      <c r="D14657" s="68"/>
      <c r="E14657" s="10"/>
      <c r="F14657" s="69"/>
      <c r="G14657" s="68"/>
      <c r="H14657" s="70"/>
      <c r="BA14657" s="4"/>
      <c r="BB14657" s="4"/>
    </row>
    <row r="14658" spans="1:54" x14ac:dyDescent="0.3">
      <c r="A14658" s="66"/>
      <c r="B14658" s="67"/>
      <c r="C14658" s="66"/>
      <c r="D14658" s="68"/>
      <c r="E14658" s="10"/>
      <c r="F14658" s="69"/>
      <c r="G14658" s="68"/>
      <c r="H14658" s="70"/>
      <c r="BA14658" s="4"/>
      <c r="BB14658" s="4"/>
    </row>
    <row r="14659" spans="1:54" x14ac:dyDescent="0.3">
      <c r="A14659" s="66"/>
      <c r="B14659" s="67"/>
      <c r="C14659" s="66"/>
      <c r="D14659" s="68"/>
      <c r="E14659" s="10"/>
      <c r="F14659" s="69"/>
      <c r="G14659" s="68"/>
      <c r="H14659" s="70"/>
      <c r="BA14659" s="4"/>
      <c r="BB14659" s="4"/>
    </row>
    <row r="14660" spans="1:54" x14ac:dyDescent="0.3">
      <c r="A14660" s="66"/>
      <c r="B14660" s="67"/>
      <c r="C14660" s="66"/>
      <c r="D14660" s="68"/>
      <c r="E14660" s="10"/>
      <c r="F14660" s="69"/>
      <c r="G14660" s="68"/>
      <c r="H14660" s="70"/>
      <c r="BA14660" s="4"/>
      <c r="BB14660" s="4"/>
    </row>
    <row r="14661" spans="1:54" x14ac:dyDescent="0.3">
      <c r="A14661" s="66"/>
      <c r="B14661" s="67"/>
      <c r="C14661" s="66"/>
      <c r="D14661" s="68"/>
      <c r="E14661" s="10"/>
      <c r="F14661" s="69"/>
      <c r="G14661" s="68"/>
      <c r="H14661" s="70"/>
      <c r="BA14661" s="4"/>
      <c r="BB14661" s="4"/>
    </row>
    <row r="14662" spans="1:54" x14ac:dyDescent="0.3">
      <c r="A14662" s="66"/>
      <c r="B14662" s="67"/>
      <c r="C14662" s="66"/>
      <c r="D14662" s="68"/>
      <c r="E14662" s="10"/>
      <c r="F14662" s="69"/>
      <c r="G14662" s="68"/>
      <c r="H14662" s="70"/>
      <c r="BA14662" s="4"/>
      <c r="BB14662" s="4"/>
    </row>
    <row r="14663" spans="1:54" x14ac:dyDescent="0.3">
      <c r="A14663" s="66"/>
      <c r="B14663" s="67"/>
      <c r="C14663" s="66"/>
      <c r="D14663" s="68"/>
      <c r="E14663" s="10"/>
      <c r="F14663" s="69"/>
      <c r="G14663" s="68"/>
      <c r="H14663" s="70"/>
      <c r="BA14663" s="4"/>
      <c r="BB14663" s="4"/>
    </row>
    <row r="14664" spans="1:54" x14ac:dyDescent="0.3">
      <c r="A14664" s="66"/>
      <c r="B14664" s="67"/>
      <c r="C14664" s="66"/>
      <c r="D14664" s="68"/>
      <c r="E14664" s="10"/>
      <c r="F14664" s="69"/>
      <c r="G14664" s="68"/>
      <c r="H14664" s="70"/>
      <c r="BA14664" s="4"/>
      <c r="BB14664" s="4"/>
    </row>
    <row r="14665" spans="1:54" x14ac:dyDescent="0.3">
      <c r="A14665" s="66"/>
      <c r="B14665" s="67"/>
      <c r="C14665" s="66"/>
      <c r="D14665" s="68"/>
      <c r="E14665" s="10"/>
      <c r="F14665" s="69"/>
      <c r="G14665" s="68"/>
      <c r="H14665" s="70"/>
      <c r="BA14665" s="4"/>
      <c r="BB14665" s="4"/>
    </row>
    <row r="14666" spans="1:54" x14ac:dyDescent="0.3">
      <c r="A14666" s="66"/>
      <c r="B14666" s="67"/>
      <c r="C14666" s="66"/>
      <c r="D14666" s="68"/>
      <c r="E14666" s="10"/>
      <c r="F14666" s="69"/>
      <c r="G14666" s="68"/>
      <c r="H14666" s="70"/>
      <c r="BA14666" s="4"/>
      <c r="BB14666" s="4"/>
    </row>
    <row r="14667" spans="1:54" x14ac:dyDescent="0.3">
      <c r="A14667" s="66"/>
      <c r="B14667" s="67"/>
      <c r="C14667" s="66"/>
      <c r="D14667" s="68"/>
      <c r="E14667" s="10"/>
      <c r="F14667" s="69"/>
      <c r="G14667" s="68"/>
      <c r="H14667" s="70"/>
      <c r="BA14667" s="4"/>
      <c r="BB14667" s="4"/>
    </row>
    <row r="14668" spans="1:54" x14ac:dyDescent="0.3">
      <c r="A14668" s="66"/>
      <c r="B14668" s="67"/>
      <c r="C14668" s="66"/>
      <c r="D14668" s="68"/>
      <c r="E14668" s="10"/>
      <c r="F14668" s="69"/>
      <c r="G14668" s="68"/>
      <c r="H14668" s="70"/>
      <c r="BA14668" s="4"/>
      <c r="BB14668" s="4"/>
    </row>
    <row r="14669" spans="1:54" x14ac:dyDescent="0.3">
      <c r="A14669" s="66"/>
      <c r="B14669" s="67"/>
      <c r="C14669" s="66"/>
      <c r="D14669" s="68"/>
      <c r="E14669" s="10"/>
      <c r="F14669" s="69"/>
      <c r="G14669" s="68"/>
      <c r="H14669" s="70"/>
      <c r="BA14669" s="4"/>
      <c r="BB14669" s="4"/>
    </row>
    <row r="14670" spans="1:54" x14ac:dyDescent="0.3">
      <c r="A14670" s="66"/>
      <c r="B14670" s="67"/>
      <c r="C14670" s="66"/>
      <c r="D14670" s="68"/>
      <c r="E14670" s="10"/>
      <c r="F14670" s="69"/>
      <c r="G14670" s="68"/>
      <c r="H14670" s="70"/>
      <c r="BA14670" s="4"/>
      <c r="BB14670" s="4"/>
    </row>
    <row r="14671" spans="1:54" x14ac:dyDescent="0.3">
      <c r="A14671" s="66"/>
      <c r="B14671" s="67"/>
      <c r="C14671" s="66"/>
      <c r="D14671" s="68"/>
      <c r="E14671" s="10"/>
      <c r="F14671" s="69"/>
      <c r="G14671" s="68"/>
      <c r="H14671" s="70"/>
      <c r="BA14671" s="4"/>
      <c r="BB14671" s="4"/>
    </row>
    <row r="14672" spans="1:54" x14ac:dyDescent="0.3">
      <c r="A14672" s="66"/>
      <c r="B14672" s="67"/>
      <c r="C14672" s="66"/>
      <c r="D14672" s="68"/>
      <c r="E14672" s="10"/>
      <c r="F14672" s="69"/>
      <c r="G14672" s="68"/>
      <c r="H14672" s="70"/>
      <c r="BA14672" s="4"/>
      <c r="BB14672" s="4"/>
    </row>
    <row r="14673" spans="1:54" x14ac:dyDescent="0.3">
      <c r="A14673" s="66"/>
      <c r="B14673" s="67"/>
      <c r="C14673" s="66"/>
      <c r="D14673" s="68"/>
      <c r="E14673" s="10"/>
      <c r="F14673" s="69"/>
      <c r="G14673" s="68"/>
      <c r="H14673" s="70"/>
      <c r="BA14673" s="4"/>
      <c r="BB14673" s="4"/>
    </row>
    <row r="14674" spans="1:54" x14ac:dyDescent="0.3">
      <c r="A14674" s="66"/>
      <c r="B14674" s="67"/>
      <c r="C14674" s="66"/>
      <c r="D14674" s="68"/>
      <c r="E14674" s="10"/>
      <c r="F14674" s="69"/>
      <c r="G14674" s="68"/>
      <c r="H14674" s="70"/>
      <c r="BA14674" s="4"/>
      <c r="BB14674" s="4"/>
    </row>
    <row r="14675" spans="1:54" x14ac:dyDescent="0.3">
      <c r="A14675" s="66"/>
      <c r="B14675" s="67"/>
      <c r="C14675" s="66"/>
      <c r="D14675" s="68"/>
      <c r="E14675" s="10"/>
      <c r="F14675" s="69"/>
      <c r="G14675" s="68"/>
      <c r="H14675" s="70"/>
      <c r="BA14675" s="4"/>
      <c r="BB14675" s="4"/>
    </row>
    <row r="14676" spans="1:54" x14ac:dyDescent="0.3">
      <c r="A14676" s="66"/>
      <c r="B14676" s="67"/>
      <c r="C14676" s="66"/>
      <c r="D14676" s="68"/>
      <c r="E14676" s="10"/>
      <c r="F14676" s="69"/>
      <c r="G14676" s="68"/>
      <c r="H14676" s="70"/>
      <c r="BA14676" s="4"/>
      <c r="BB14676" s="4"/>
    </row>
    <row r="14677" spans="1:54" x14ac:dyDescent="0.3">
      <c r="A14677" s="66"/>
      <c r="B14677" s="67"/>
      <c r="C14677" s="66"/>
      <c r="D14677" s="68"/>
      <c r="E14677" s="10"/>
      <c r="F14677" s="69"/>
      <c r="G14677" s="68"/>
      <c r="H14677" s="70"/>
      <c r="BA14677" s="4"/>
      <c r="BB14677" s="4"/>
    </row>
    <row r="14678" spans="1:54" x14ac:dyDescent="0.3">
      <c r="A14678" s="66"/>
      <c r="B14678" s="67"/>
      <c r="C14678" s="66"/>
      <c r="D14678" s="68"/>
      <c r="E14678" s="10"/>
      <c r="F14678" s="69"/>
      <c r="G14678" s="68"/>
      <c r="H14678" s="70"/>
      <c r="BA14678" s="4"/>
      <c r="BB14678" s="4"/>
    </row>
    <row r="14679" spans="1:54" x14ac:dyDescent="0.3">
      <c r="A14679" s="66"/>
      <c r="B14679" s="67"/>
      <c r="C14679" s="66"/>
      <c r="D14679" s="68"/>
      <c r="E14679" s="10"/>
      <c r="F14679" s="69"/>
      <c r="G14679" s="68"/>
      <c r="H14679" s="70"/>
      <c r="BA14679" s="4"/>
      <c r="BB14679" s="4"/>
    </row>
    <row r="14680" spans="1:54" x14ac:dyDescent="0.3">
      <c r="A14680" s="66"/>
      <c r="B14680" s="67"/>
      <c r="C14680" s="66"/>
      <c r="D14680" s="68"/>
      <c r="E14680" s="10"/>
      <c r="F14680" s="69"/>
      <c r="G14680" s="68"/>
      <c r="H14680" s="70"/>
      <c r="BA14680" s="4"/>
      <c r="BB14680" s="4"/>
    </row>
    <row r="14681" spans="1:54" x14ac:dyDescent="0.3">
      <c r="A14681" s="66"/>
      <c r="B14681" s="67"/>
      <c r="C14681" s="66"/>
      <c r="D14681" s="68"/>
      <c r="E14681" s="10"/>
      <c r="F14681" s="69"/>
      <c r="G14681" s="68"/>
      <c r="H14681" s="70"/>
      <c r="BA14681" s="4"/>
      <c r="BB14681" s="4"/>
    </row>
    <row r="14682" spans="1:54" x14ac:dyDescent="0.3">
      <c r="A14682" s="66"/>
      <c r="B14682" s="67"/>
      <c r="C14682" s="66"/>
      <c r="D14682" s="68"/>
      <c r="E14682" s="10"/>
      <c r="F14682" s="69"/>
      <c r="G14682" s="68"/>
      <c r="H14682" s="70"/>
      <c r="BA14682" s="4"/>
      <c r="BB14682" s="4"/>
    </row>
    <row r="14683" spans="1:54" x14ac:dyDescent="0.3">
      <c r="A14683" s="66"/>
      <c r="B14683" s="67"/>
      <c r="C14683" s="66"/>
      <c r="D14683" s="68"/>
      <c r="E14683" s="10"/>
      <c r="F14683" s="69"/>
      <c r="G14683" s="68"/>
      <c r="H14683" s="70"/>
      <c r="BA14683" s="4"/>
      <c r="BB14683" s="4"/>
    </row>
    <row r="14684" spans="1:54" x14ac:dyDescent="0.3">
      <c r="A14684" s="66"/>
      <c r="B14684" s="67"/>
      <c r="C14684" s="66"/>
      <c r="D14684" s="68"/>
      <c r="E14684" s="10"/>
      <c r="F14684" s="69"/>
      <c r="G14684" s="68"/>
      <c r="H14684" s="70"/>
      <c r="BA14684" s="4"/>
      <c r="BB14684" s="4"/>
    </row>
    <row r="14685" spans="1:54" x14ac:dyDescent="0.3">
      <c r="A14685" s="66"/>
      <c r="B14685" s="67"/>
      <c r="C14685" s="66"/>
      <c r="D14685" s="68"/>
      <c r="E14685" s="10"/>
      <c r="F14685" s="69"/>
      <c r="G14685" s="68"/>
      <c r="H14685" s="70"/>
      <c r="BA14685" s="4"/>
      <c r="BB14685" s="4"/>
    </row>
    <row r="14686" spans="1:54" x14ac:dyDescent="0.3">
      <c r="A14686" s="66"/>
      <c r="B14686" s="67"/>
      <c r="C14686" s="66"/>
      <c r="D14686" s="68"/>
      <c r="E14686" s="10"/>
      <c r="F14686" s="69"/>
      <c r="G14686" s="68"/>
      <c r="H14686" s="70"/>
      <c r="BA14686" s="4"/>
      <c r="BB14686" s="4"/>
    </row>
    <row r="14687" spans="1:54" x14ac:dyDescent="0.3">
      <c r="A14687" s="66"/>
      <c r="B14687" s="67"/>
      <c r="C14687" s="66"/>
      <c r="D14687" s="68"/>
      <c r="E14687" s="10"/>
      <c r="F14687" s="69"/>
      <c r="G14687" s="68"/>
      <c r="H14687" s="70"/>
      <c r="BA14687" s="4"/>
      <c r="BB14687" s="4"/>
    </row>
    <row r="14688" spans="1:54" x14ac:dyDescent="0.3">
      <c r="A14688" s="66"/>
      <c r="B14688" s="67"/>
      <c r="C14688" s="66"/>
      <c r="D14688" s="68"/>
      <c r="E14688" s="10"/>
      <c r="F14688" s="69"/>
      <c r="G14688" s="68"/>
      <c r="H14688" s="70"/>
      <c r="BA14688" s="4"/>
      <c r="BB14688" s="4"/>
    </row>
    <row r="14689" spans="1:54" x14ac:dyDescent="0.3">
      <c r="A14689" s="66"/>
      <c r="B14689" s="67"/>
      <c r="C14689" s="66"/>
      <c r="D14689" s="68"/>
      <c r="E14689" s="10"/>
      <c r="F14689" s="69"/>
      <c r="G14689" s="68"/>
      <c r="H14689" s="70"/>
      <c r="BA14689" s="4"/>
      <c r="BB14689" s="4"/>
    </row>
    <row r="14690" spans="1:54" x14ac:dyDescent="0.3">
      <c r="A14690" s="66"/>
      <c r="B14690" s="67"/>
      <c r="C14690" s="66"/>
      <c r="D14690" s="68"/>
      <c r="E14690" s="10"/>
      <c r="F14690" s="69"/>
      <c r="G14690" s="68"/>
      <c r="H14690" s="70"/>
      <c r="BA14690" s="4"/>
      <c r="BB14690" s="4"/>
    </row>
    <row r="14691" spans="1:54" x14ac:dyDescent="0.3">
      <c r="A14691" s="66"/>
      <c r="B14691" s="67"/>
      <c r="C14691" s="66"/>
      <c r="D14691" s="68"/>
      <c r="E14691" s="10"/>
      <c r="F14691" s="69"/>
      <c r="G14691" s="68"/>
      <c r="H14691" s="70"/>
      <c r="BA14691" s="4"/>
      <c r="BB14691" s="4"/>
    </row>
    <row r="14692" spans="1:54" x14ac:dyDescent="0.3">
      <c r="A14692" s="66"/>
      <c r="B14692" s="67"/>
      <c r="C14692" s="66"/>
      <c r="D14692" s="68"/>
      <c r="E14692" s="10"/>
      <c r="F14692" s="69"/>
      <c r="G14692" s="68"/>
      <c r="H14692" s="70"/>
      <c r="BA14692" s="4"/>
      <c r="BB14692" s="4"/>
    </row>
    <row r="14693" spans="1:54" x14ac:dyDescent="0.3">
      <c r="A14693" s="66"/>
      <c r="B14693" s="67"/>
      <c r="C14693" s="66"/>
      <c r="D14693" s="68"/>
      <c r="E14693" s="10"/>
      <c r="F14693" s="69"/>
      <c r="G14693" s="68"/>
      <c r="H14693" s="70"/>
      <c r="BA14693" s="4"/>
      <c r="BB14693" s="4"/>
    </row>
    <row r="14694" spans="1:54" x14ac:dyDescent="0.3">
      <c r="A14694" s="66"/>
      <c r="B14694" s="67"/>
      <c r="C14694" s="66"/>
      <c r="D14694" s="68"/>
      <c r="E14694" s="10"/>
      <c r="F14694" s="69"/>
      <c r="G14694" s="68"/>
      <c r="H14694" s="70"/>
      <c r="BA14694" s="4"/>
      <c r="BB14694" s="4"/>
    </row>
    <row r="14695" spans="1:54" x14ac:dyDescent="0.3">
      <c r="A14695" s="66"/>
      <c r="B14695" s="67"/>
      <c r="C14695" s="66"/>
      <c r="D14695" s="68"/>
      <c r="E14695" s="10"/>
      <c r="F14695" s="69"/>
      <c r="G14695" s="68"/>
      <c r="H14695" s="70"/>
      <c r="BA14695" s="4"/>
      <c r="BB14695" s="4"/>
    </row>
    <row r="14696" spans="1:54" x14ac:dyDescent="0.3">
      <c r="A14696" s="66"/>
      <c r="B14696" s="67"/>
      <c r="C14696" s="66"/>
      <c r="D14696" s="68"/>
      <c r="E14696" s="10"/>
      <c r="F14696" s="69"/>
      <c r="G14696" s="68"/>
      <c r="H14696" s="70"/>
      <c r="BA14696" s="4"/>
      <c r="BB14696" s="4"/>
    </row>
    <row r="14697" spans="1:54" x14ac:dyDescent="0.3">
      <c r="A14697" s="66"/>
      <c r="B14697" s="67"/>
      <c r="C14697" s="66"/>
      <c r="D14697" s="68"/>
      <c r="E14697" s="10"/>
      <c r="F14697" s="69"/>
      <c r="G14697" s="68"/>
      <c r="H14697" s="70"/>
      <c r="BA14697" s="4"/>
      <c r="BB14697" s="4"/>
    </row>
    <row r="14698" spans="1:54" x14ac:dyDescent="0.3">
      <c r="A14698" s="66"/>
      <c r="B14698" s="67"/>
      <c r="C14698" s="66"/>
      <c r="D14698" s="68"/>
      <c r="E14698" s="10"/>
      <c r="F14698" s="69"/>
      <c r="G14698" s="68"/>
      <c r="H14698" s="70"/>
      <c r="BA14698" s="4"/>
      <c r="BB14698" s="4"/>
    </row>
    <row r="14699" spans="1:54" x14ac:dyDescent="0.3">
      <c r="A14699" s="66"/>
      <c r="B14699" s="67"/>
      <c r="C14699" s="66"/>
      <c r="D14699" s="68"/>
      <c r="E14699" s="10"/>
      <c r="F14699" s="69"/>
      <c r="G14699" s="68"/>
      <c r="H14699" s="70"/>
      <c r="BA14699" s="4"/>
      <c r="BB14699" s="4"/>
    </row>
    <row r="14700" spans="1:54" x14ac:dyDescent="0.3">
      <c r="A14700" s="66"/>
      <c r="B14700" s="67"/>
      <c r="C14700" s="66"/>
      <c r="D14700" s="68"/>
      <c r="E14700" s="10"/>
      <c r="F14700" s="69"/>
      <c r="G14700" s="68"/>
      <c r="H14700" s="70"/>
      <c r="BA14700" s="4"/>
      <c r="BB14700" s="4"/>
    </row>
    <row r="14701" spans="1:54" x14ac:dyDescent="0.3">
      <c r="A14701" s="66"/>
      <c r="B14701" s="67"/>
      <c r="C14701" s="66"/>
      <c r="D14701" s="68"/>
      <c r="E14701" s="10"/>
      <c r="F14701" s="69"/>
      <c r="G14701" s="68"/>
      <c r="H14701" s="70"/>
      <c r="BA14701" s="4"/>
      <c r="BB14701" s="4"/>
    </row>
    <row r="14702" spans="1:54" x14ac:dyDescent="0.3">
      <c r="A14702" s="66"/>
      <c r="B14702" s="67"/>
      <c r="C14702" s="66"/>
      <c r="D14702" s="68"/>
      <c r="E14702" s="10"/>
      <c r="F14702" s="69"/>
      <c r="G14702" s="68"/>
      <c r="H14702" s="70"/>
      <c r="BA14702" s="4"/>
      <c r="BB14702" s="4"/>
    </row>
    <row r="14703" spans="1:54" x14ac:dyDescent="0.3">
      <c r="A14703" s="66"/>
      <c r="B14703" s="67"/>
      <c r="C14703" s="66"/>
      <c r="D14703" s="68"/>
      <c r="E14703" s="10"/>
      <c r="F14703" s="69"/>
      <c r="G14703" s="68"/>
      <c r="H14703" s="70"/>
      <c r="BA14703" s="4"/>
      <c r="BB14703" s="4"/>
    </row>
    <row r="14704" spans="1:54" x14ac:dyDescent="0.3">
      <c r="A14704" s="66"/>
      <c r="B14704" s="67"/>
      <c r="C14704" s="66"/>
      <c r="D14704" s="68"/>
      <c r="E14704" s="10"/>
      <c r="F14704" s="69"/>
      <c r="G14704" s="68"/>
      <c r="H14704" s="70"/>
      <c r="BA14704" s="4"/>
      <c r="BB14704" s="4"/>
    </row>
    <row r="14705" spans="1:54" x14ac:dyDescent="0.3">
      <c r="A14705" s="66"/>
      <c r="B14705" s="67"/>
      <c r="C14705" s="66"/>
      <c r="D14705" s="68"/>
      <c r="E14705" s="10"/>
      <c r="F14705" s="69"/>
      <c r="G14705" s="68"/>
      <c r="H14705" s="70"/>
      <c r="BA14705" s="4"/>
      <c r="BB14705" s="4"/>
    </row>
    <row r="14706" spans="1:54" x14ac:dyDescent="0.3">
      <c r="A14706" s="66"/>
      <c r="B14706" s="67"/>
      <c r="C14706" s="66"/>
      <c r="D14706" s="68"/>
      <c r="E14706" s="10"/>
      <c r="F14706" s="69"/>
      <c r="G14706" s="68"/>
      <c r="H14706" s="70"/>
      <c r="BA14706" s="4"/>
      <c r="BB14706" s="4"/>
    </row>
    <row r="14707" spans="1:54" x14ac:dyDescent="0.3">
      <c r="A14707" s="66"/>
      <c r="B14707" s="67"/>
      <c r="C14707" s="66"/>
      <c r="D14707" s="68"/>
      <c r="E14707" s="10"/>
      <c r="F14707" s="69"/>
      <c r="G14707" s="68"/>
      <c r="H14707" s="70"/>
      <c r="BA14707" s="4"/>
      <c r="BB14707" s="4"/>
    </row>
    <row r="14708" spans="1:54" x14ac:dyDescent="0.3">
      <c r="A14708" s="66"/>
      <c r="B14708" s="67"/>
      <c r="C14708" s="66"/>
      <c r="D14708" s="68"/>
      <c r="E14708" s="10"/>
      <c r="F14708" s="69"/>
      <c r="G14708" s="68"/>
      <c r="H14708" s="70"/>
      <c r="BA14708" s="4"/>
      <c r="BB14708" s="4"/>
    </row>
    <row r="14709" spans="1:54" x14ac:dyDescent="0.3">
      <c r="A14709" s="66"/>
      <c r="B14709" s="67"/>
      <c r="C14709" s="66"/>
      <c r="D14709" s="68"/>
      <c r="E14709" s="10"/>
      <c r="F14709" s="69"/>
      <c r="G14709" s="68"/>
      <c r="H14709" s="70"/>
      <c r="BA14709" s="4"/>
      <c r="BB14709" s="4"/>
    </row>
    <row r="14710" spans="1:54" x14ac:dyDescent="0.3">
      <c r="A14710" s="66"/>
      <c r="B14710" s="67"/>
      <c r="C14710" s="66"/>
      <c r="D14710" s="68"/>
      <c r="E14710" s="10"/>
      <c r="F14710" s="69"/>
      <c r="G14710" s="68"/>
      <c r="H14710" s="70"/>
      <c r="BA14710" s="4"/>
      <c r="BB14710" s="4"/>
    </row>
    <row r="14711" spans="1:54" x14ac:dyDescent="0.3">
      <c r="A14711" s="66"/>
      <c r="B14711" s="67"/>
      <c r="C14711" s="66"/>
      <c r="D14711" s="68"/>
      <c r="E14711" s="10"/>
      <c r="F14711" s="69"/>
      <c r="G14711" s="68"/>
      <c r="H14711" s="70"/>
      <c r="BA14711" s="4"/>
      <c r="BB14711" s="4"/>
    </row>
    <row r="14712" spans="1:54" x14ac:dyDescent="0.3">
      <c r="A14712" s="66"/>
      <c r="B14712" s="67"/>
      <c r="C14712" s="66"/>
      <c r="D14712" s="68"/>
      <c r="E14712" s="10"/>
      <c r="F14712" s="69"/>
      <c r="G14712" s="68"/>
      <c r="H14712" s="70"/>
      <c r="BA14712" s="4"/>
      <c r="BB14712" s="4"/>
    </row>
    <row r="14713" spans="1:54" x14ac:dyDescent="0.3">
      <c r="A14713" s="66"/>
      <c r="B14713" s="67"/>
      <c r="C14713" s="66"/>
      <c r="D14713" s="68"/>
      <c r="E14713" s="10"/>
      <c r="F14713" s="69"/>
      <c r="G14713" s="68"/>
      <c r="H14713" s="70"/>
      <c r="BA14713" s="4"/>
      <c r="BB14713" s="4"/>
    </row>
    <row r="14714" spans="1:54" x14ac:dyDescent="0.3">
      <c r="A14714" s="66"/>
      <c r="B14714" s="67"/>
      <c r="C14714" s="66"/>
      <c r="D14714" s="68"/>
      <c r="E14714" s="10"/>
      <c r="F14714" s="69"/>
      <c r="G14714" s="68"/>
      <c r="H14714" s="70"/>
      <c r="BA14714" s="4"/>
      <c r="BB14714" s="4"/>
    </row>
    <row r="14715" spans="1:54" x14ac:dyDescent="0.3">
      <c r="A14715" s="66"/>
      <c r="B14715" s="67"/>
      <c r="C14715" s="66"/>
      <c r="D14715" s="68"/>
      <c r="E14715" s="10"/>
      <c r="F14715" s="69"/>
      <c r="G14715" s="68"/>
      <c r="H14715" s="70"/>
      <c r="BA14715" s="4"/>
      <c r="BB14715" s="4"/>
    </row>
    <row r="14716" spans="1:54" x14ac:dyDescent="0.3">
      <c r="A14716" s="66"/>
      <c r="B14716" s="67"/>
      <c r="C14716" s="66"/>
      <c r="D14716" s="68"/>
      <c r="E14716" s="10"/>
      <c r="F14716" s="69"/>
      <c r="G14716" s="68"/>
      <c r="H14716" s="70"/>
      <c r="BA14716" s="4"/>
      <c r="BB14716" s="4"/>
    </row>
    <row r="14717" spans="1:54" x14ac:dyDescent="0.3">
      <c r="A14717" s="66"/>
      <c r="B14717" s="67"/>
      <c r="C14717" s="66"/>
      <c r="D14717" s="68"/>
      <c r="E14717" s="10"/>
      <c r="F14717" s="69"/>
      <c r="G14717" s="68"/>
      <c r="H14717" s="70"/>
      <c r="BA14717" s="4"/>
      <c r="BB14717" s="4"/>
    </row>
    <row r="14718" spans="1:54" x14ac:dyDescent="0.3">
      <c r="A14718" s="66"/>
      <c r="B14718" s="67"/>
      <c r="C14718" s="66"/>
      <c r="D14718" s="68"/>
      <c r="E14718" s="10"/>
      <c r="F14718" s="69"/>
      <c r="G14718" s="68"/>
      <c r="H14718" s="70"/>
      <c r="BA14718" s="4"/>
      <c r="BB14718" s="4"/>
    </row>
    <row r="14719" spans="1:54" x14ac:dyDescent="0.3">
      <c r="A14719" s="66"/>
      <c r="B14719" s="67"/>
      <c r="C14719" s="66"/>
      <c r="D14719" s="68"/>
      <c r="E14719" s="10"/>
      <c r="F14719" s="69"/>
      <c r="G14719" s="68"/>
      <c r="H14719" s="70"/>
      <c r="BA14719" s="4"/>
      <c r="BB14719" s="4"/>
    </row>
    <row r="14720" spans="1:54" x14ac:dyDescent="0.3">
      <c r="A14720" s="66"/>
      <c r="B14720" s="67"/>
      <c r="C14720" s="66"/>
      <c r="D14720" s="68"/>
      <c r="E14720" s="10"/>
      <c r="F14720" s="69"/>
      <c r="G14720" s="68"/>
      <c r="H14720" s="70"/>
      <c r="BA14720" s="4"/>
      <c r="BB14720" s="4"/>
    </row>
    <row r="14721" spans="1:54" x14ac:dyDescent="0.3">
      <c r="A14721" s="66"/>
      <c r="B14721" s="67"/>
      <c r="C14721" s="66"/>
      <c r="D14721" s="68"/>
      <c r="E14721" s="10"/>
      <c r="F14721" s="69"/>
      <c r="G14721" s="68"/>
      <c r="H14721" s="70"/>
      <c r="BA14721" s="4"/>
      <c r="BB14721" s="4"/>
    </row>
    <row r="14722" spans="1:54" x14ac:dyDescent="0.3">
      <c r="A14722" s="66"/>
      <c r="B14722" s="67"/>
      <c r="C14722" s="66"/>
      <c r="D14722" s="68"/>
      <c r="E14722" s="10"/>
      <c r="F14722" s="69"/>
      <c r="G14722" s="68"/>
      <c r="H14722" s="70"/>
      <c r="BA14722" s="4"/>
      <c r="BB14722" s="4"/>
    </row>
    <row r="14723" spans="1:54" x14ac:dyDescent="0.3">
      <c r="A14723" s="66"/>
      <c r="B14723" s="67"/>
      <c r="C14723" s="66"/>
      <c r="D14723" s="68"/>
      <c r="E14723" s="10"/>
      <c r="F14723" s="69"/>
      <c r="G14723" s="68"/>
      <c r="H14723" s="70"/>
      <c r="BA14723" s="4"/>
      <c r="BB14723" s="4"/>
    </row>
    <row r="14724" spans="1:54" x14ac:dyDescent="0.3">
      <c r="A14724" s="66"/>
      <c r="B14724" s="67"/>
      <c r="C14724" s="66"/>
      <c r="D14724" s="68"/>
      <c r="E14724" s="10"/>
      <c r="F14724" s="69"/>
      <c r="G14724" s="68"/>
      <c r="H14724" s="70"/>
      <c r="BA14724" s="4"/>
      <c r="BB14724" s="4"/>
    </row>
    <row r="14725" spans="1:54" x14ac:dyDescent="0.3">
      <c r="A14725" s="66"/>
      <c r="B14725" s="67"/>
      <c r="C14725" s="66"/>
      <c r="D14725" s="68"/>
      <c r="E14725" s="10"/>
      <c r="F14725" s="69"/>
      <c r="G14725" s="68"/>
      <c r="H14725" s="70"/>
      <c r="BA14725" s="4"/>
      <c r="BB14725" s="4"/>
    </row>
    <row r="14726" spans="1:54" x14ac:dyDescent="0.3">
      <c r="A14726" s="66"/>
      <c r="B14726" s="67"/>
      <c r="C14726" s="66"/>
      <c r="D14726" s="68"/>
      <c r="E14726" s="10"/>
      <c r="F14726" s="69"/>
      <c r="G14726" s="68"/>
      <c r="H14726" s="70"/>
      <c r="BA14726" s="4"/>
      <c r="BB14726" s="4"/>
    </row>
    <row r="14727" spans="1:54" x14ac:dyDescent="0.3">
      <c r="A14727" s="66"/>
      <c r="B14727" s="67"/>
      <c r="C14727" s="66"/>
      <c r="D14727" s="68"/>
      <c r="E14727" s="10"/>
      <c r="F14727" s="69"/>
      <c r="G14727" s="68"/>
      <c r="H14727" s="70"/>
      <c r="BA14727" s="4"/>
      <c r="BB14727" s="4"/>
    </row>
    <row r="14728" spans="1:54" x14ac:dyDescent="0.3">
      <c r="A14728" s="66"/>
      <c r="B14728" s="67"/>
      <c r="C14728" s="66"/>
      <c r="D14728" s="68"/>
      <c r="E14728" s="10"/>
      <c r="F14728" s="69"/>
      <c r="G14728" s="68"/>
      <c r="H14728" s="70"/>
      <c r="BA14728" s="4"/>
      <c r="BB14728" s="4"/>
    </row>
    <row r="14729" spans="1:54" x14ac:dyDescent="0.3">
      <c r="A14729" s="66"/>
      <c r="B14729" s="67"/>
      <c r="C14729" s="66"/>
      <c r="D14729" s="68"/>
      <c r="E14729" s="10"/>
      <c r="F14729" s="69"/>
      <c r="G14729" s="68"/>
      <c r="H14729" s="70"/>
      <c r="BA14729" s="4"/>
      <c r="BB14729" s="4"/>
    </row>
    <row r="14730" spans="1:54" x14ac:dyDescent="0.3">
      <c r="A14730" s="66"/>
      <c r="B14730" s="67"/>
      <c r="C14730" s="66"/>
      <c r="D14730" s="68"/>
      <c r="E14730" s="10"/>
      <c r="F14730" s="69"/>
      <c r="G14730" s="68"/>
      <c r="H14730" s="70"/>
      <c r="BA14730" s="4"/>
      <c r="BB14730" s="4"/>
    </row>
    <row r="14731" spans="1:54" x14ac:dyDescent="0.3">
      <c r="A14731" s="66"/>
      <c r="B14731" s="67"/>
      <c r="C14731" s="66"/>
      <c r="D14731" s="68"/>
      <c r="E14731" s="10"/>
      <c r="F14731" s="69"/>
      <c r="G14731" s="68"/>
      <c r="H14731" s="70"/>
      <c r="BA14731" s="4"/>
      <c r="BB14731" s="4"/>
    </row>
    <row r="14732" spans="1:54" x14ac:dyDescent="0.3">
      <c r="A14732" s="66"/>
      <c r="B14732" s="67"/>
      <c r="C14732" s="66"/>
      <c r="D14732" s="68"/>
      <c r="E14732" s="10"/>
      <c r="F14732" s="69"/>
      <c r="G14732" s="68"/>
      <c r="H14732" s="70"/>
      <c r="BA14732" s="4"/>
      <c r="BB14732" s="4"/>
    </row>
    <row r="14733" spans="1:54" x14ac:dyDescent="0.3">
      <c r="A14733" s="66"/>
      <c r="B14733" s="67"/>
      <c r="C14733" s="66"/>
      <c r="D14733" s="68"/>
      <c r="E14733" s="10"/>
      <c r="F14733" s="69"/>
      <c r="G14733" s="68"/>
      <c r="H14733" s="70"/>
      <c r="BA14733" s="4"/>
      <c r="BB14733" s="4"/>
    </row>
    <row r="14734" spans="1:54" x14ac:dyDescent="0.3">
      <c r="A14734" s="66"/>
      <c r="B14734" s="67"/>
      <c r="C14734" s="66"/>
      <c r="D14734" s="68"/>
      <c r="E14734" s="10"/>
      <c r="F14734" s="69"/>
      <c r="G14734" s="68"/>
      <c r="H14734" s="70"/>
      <c r="BA14734" s="4"/>
      <c r="BB14734" s="4"/>
    </row>
    <row r="14735" spans="1:54" x14ac:dyDescent="0.3">
      <c r="A14735" s="66"/>
      <c r="B14735" s="67"/>
      <c r="C14735" s="66"/>
      <c r="D14735" s="68"/>
      <c r="E14735" s="10"/>
      <c r="F14735" s="69"/>
      <c r="G14735" s="68"/>
      <c r="H14735" s="70"/>
      <c r="BA14735" s="4"/>
      <c r="BB14735" s="4"/>
    </row>
    <row r="14736" spans="1:54" x14ac:dyDescent="0.3">
      <c r="A14736" s="66"/>
      <c r="B14736" s="67"/>
      <c r="C14736" s="66"/>
      <c r="D14736" s="68"/>
      <c r="E14736" s="10"/>
      <c r="F14736" s="69"/>
      <c r="G14736" s="68"/>
      <c r="H14736" s="70"/>
      <c r="BA14736" s="4"/>
      <c r="BB14736" s="4"/>
    </row>
    <row r="14737" spans="1:54" x14ac:dyDescent="0.3">
      <c r="A14737" s="66"/>
      <c r="B14737" s="67"/>
      <c r="C14737" s="66"/>
      <c r="D14737" s="68"/>
      <c r="E14737" s="10"/>
      <c r="F14737" s="69"/>
      <c r="G14737" s="68"/>
      <c r="H14737" s="70"/>
      <c r="BA14737" s="4"/>
      <c r="BB14737" s="4"/>
    </row>
    <row r="14738" spans="1:54" x14ac:dyDescent="0.3">
      <c r="A14738" s="66"/>
      <c r="B14738" s="67"/>
      <c r="C14738" s="66"/>
      <c r="D14738" s="68"/>
      <c r="E14738" s="10"/>
      <c r="F14738" s="69"/>
      <c r="G14738" s="68"/>
      <c r="H14738" s="70"/>
      <c r="BA14738" s="4"/>
      <c r="BB14738" s="4"/>
    </row>
    <row r="14739" spans="1:54" x14ac:dyDescent="0.3">
      <c r="A14739" s="66"/>
      <c r="B14739" s="67"/>
      <c r="C14739" s="66"/>
      <c r="D14739" s="68"/>
      <c r="E14739" s="10"/>
      <c r="F14739" s="69"/>
      <c r="G14739" s="68"/>
      <c r="H14739" s="70"/>
      <c r="BA14739" s="4"/>
      <c r="BB14739" s="4"/>
    </row>
    <row r="14740" spans="1:54" x14ac:dyDescent="0.3">
      <c r="A14740" s="66"/>
      <c r="B14740" s="67"/>
      <c r="C14740" s="66"/>
      <c r="D14740" s="68"/>
      <c r="E14740" s="10"/>
      <c r="F14740" s="69"/>
      <c r="G14740" s="68"/>
      <c r="H14740" s="70"/>
      <c r="BA14740" s="4"/>
      <c r="BB14740" s="4"/>
    </row>
    <row r="14741" spans="1:54" x14ac:dyDescent="0.3">
      <c r="A14741" s="66"/>
      <c r="B14741" s="67"/>
      <c r="C14741" s="66"/>
      <c r="D14741" s="68"/>
      <c r="E14741" s="10"/>
      <c r="F14741" s="69"/>
      <c r="G14741" s="68"/>
      <c r="H14741" s="70"/>
      <c r="BA14741" s="4"/>
      <c r="BB14741" s="4"/>
    </row>
    <row r="14742" spans="1:54" x14ac:dyDescent="0.3">
      <c r="A14742" s="66"/>
      <c r="B14742" s="67"/>
      <c r="C14742" s="66"/>
      <c r="D14742" s="68"/>
      <c r="E14742" s="10"/>
      <c r="F14742" s="69"/>
      <c r="G14742" s="68"/>
      <c r="H14742" s="70"/>
      <c r="BA14742" s="4"/>
      <c r="BB14742" s="4"/>
    </row>
    <row r="14743" spans="1:54" x14ac:dyDescent="0.3">
      <c r="A14743" s="66"/>
      <c r="B14743" s="67"/>
      <c r="C14743" s="66"/>
      <c r="D14743" s="68"/>
      <c r="E14743" s="10"/>
      <c r="F14743" s="69"/>
      <c r="G14743" s="68"/>
      <c r="H14743" s="70"/>
      <c r="BA14743" s="4"/>
      <c r="BB14743" s="4"/>
    </row>
    <row r="14744" spans="1:54" x14ac:dyDescent="0.3">
      <c r="A14744" s="66"/>
      <c r="B14744" s="67"/>
      <c r="C14744" s="66"/>
      <c r="D14744" s="68"/>
      <c r="E14744" s="10"/>
      <c r="F14744" s="69"/>
      <c r="G14744" s="68"/>
      <c r="H14744" s="70"/>
      <c r="BA14744" s="4"/>
      <c r="BB14744" s="4"/>
    </row>
    <row r="14745" spans="1:54" x14ac:dyDescent="0.3">
      <c r="A14745" s="66"/>
      <c r="B14745" s="67"/>
      <c r="C14745" s="66"/>
      <c r="D14745" s="68"/>
      <c r="E14745" s="10"/>
      <c r="F14745" s="69"/>
      <c r="G14745" s="68"/>
      <c r="H14745" s="70"/>
      <c r="BA14745" s="4"/>
      <c r="BB14745" s="4"/>
    </row>
    <row r="14746" spans="1:54" x14ac:dyDescent="0.3">
      <c r="A14746" s="66"/>
      <c r="B14746" s="67"/>
      <c r="C14746" s="66"/>
      <c r="D14746" s="68"/>
      <c r="E14746" s="10"/>
      <c r="F14746" s="69"/>
      <c r="G14746" s="68"/>
      <c r="H14746" s="70"/>
      <c r="BA14746" s="4"/>
      <c r="BB14746" s="4"/>
    </row>
    <row r="14747" spans="1:54" x14ac:dyDescent="0.3">
      <c r="A14747" s="66"/>
      <c r="B14747" s="67"/>
      <c r="C14747" s="66"/>
      <c r="D14747" s="68"/>
      <c r="E14747" s="10"/>
      <c r="F14747" s="69"/>
      <c r="G14747" s="68"/>
      <c r="H14747" s="70"/>
      <c r="BA14747" s="4"/>
      <c r="BB14747" s="4"/>
    </row>
    <row r="14748" spans="1:54" x14ac:dyDescent="0.3">
      <c r="A14748" s="66"/>
      <c r="B14748" s="67"/>
      <c r="C14748" s="66"/>
      <c r="D14748" s="68"/>
      <c r="E14748" s="10"/>
      <c r="F14748" s="69"/>
      <c r="G14748" s="68"/>
      <c r="H14748" s="70"/>
      <c r="BA14748" s="4"/>
      <c r="BB14748" s="4"/>
    </row>
    <row r="14749" spans="1:54" x14ac:dyDescent="0.3">
      <c r="A14749" s="66"/>
      <c r="B14749" s="67"/>
      <c r="C14749" s="66"/>
      <c r="D14749" s="68"/>
      <c r="E14749" s="10"/>
      <c r="F14749" s="69"/>
      <c r="G14749" s="68"/>
      <c r="H14749" s="70"/>
      <c r="BA14749" s="4"/>
      <c r="BB14749" s="4"/>
    </row>
    <row r="14750" spans="1:54" x14ac:dyDescent="0.3">
      <c r="A14750" s="66"/>
      <c r="B14750" s="67"/>
      <c r="C14750" s="66"/>
      <c r="D14750" s="68"/>
      <c r="E14750" s="10"/>
      <c r="F14750" s="69"/>
      <c r="G14750" s="68"/>
      <c r="H14750" s="70"/>
      <c r="BA14750" s="4"/>
      <c r="BB14750" s="4"/>
    </row>
    <row r="14751" spans="1:54" x14ac:dyDescent="0.3">
      <c r="A14751" s="66"/>
      <c r="B14751" s="67"/>
      <c r="C14751" s="66"/>
      <c r="D14751" s="68"/>
      <c r="E14751" s="10"/>
      <c r="F14751" s="69"/>
      <c r="G14751" s="68"/>
      <c r="H14751" s="70"/>
      <c r="BA14751" s="4"/>
      <c r="BB14751" s="4"/>
    </row>
    <row r="14752" spans="1:54" x14ac:dyDescent="0.3">
      <c r="A14752" s="66"/>
      <c r="B14752" s="67"/>
      <c r="C14752" s="66"/>
      <c r="D14752" s="68"/>
      <c r="E14752" s="10"/>
      <c r="F14752" s="69"/>
      <c r="G14752" s="68"/>
      <c r="H14752" s="70"/>
      <c r="BA14752" s="4"/>
      <c r="BB14752" s="4"/>
    </row>
    <row r="14753" spans="1:54" x14ac:dyDescent="0.3">
      <c r="A14753" s="66"/>
      <c r="B14753" s="67"/>
      <c r="C14753" s="66"/>
      <c r="D14753" s="68"/>
      <c r="E14753" s="10"/>
      <c r="F14753" s="69"/>
      <c r="G14753" s="68"/>
      <c r="H14753" s="70"/>
      <c r="BA14753" s="4"/>
      <c r="BB14753" s="4"/>
    </row>
    <row r="14754" spans="1:54" x14ac:dyDescent="0.3">
      <c r="A14754" s="66"/>
      <c r="B14754" s="67"/>
      <c r="C14754" s="66"/>
      <c r="D14754" s="68"/>
      <c r="E14754" s="10"/>
      <c r="F14754" s="69"/>
      <c r="G14754" s="68"/>
      <c r="H14754" s="70"/>
      <c r="BA14754" s="4"/>
      <c r="BB14754" s="4"/>
    </row>
    <row r="14755" spans="1:54" x14ac:dyDescent="0.3">
      <c r="A14755" s="66"/>
      <c r="B14755" s="67"/>
      <c r="C14755" s="66"/>
      <c r="D14755" s="68"/>
      <c r="E14755" s="10"/>
      <c r="F14755" s="69"/>
      <c r="G14755" s="68"/>
      <c r="H14755" s="70"/>
      <c r="BA14755" s="4"/>
      <c r="BB14755" s="4"/>
    </row>
    <row r="14756" spans="1:54" x14ac:dyDescent="0.3">
      <c r="A14756" s="66"/>
      <c r="B14756" s="67"/>
      <c r="C14756" s="66"/>
      <c r="D14756" s="68"/>
      <c r="E14756" s="10"/>
      <c r="F14756" s="69"/>
      <c r="G14756" s="68"/>
      <c r="H14756" s="70"/>
      <c r="BA14756" s="4"/>
      <c r="BB14756" s="4"/>
    </row>
    <row r="14757" spans="1:54" x14ac:dyDescent="0.3">
      <c r="A14757" s="66"/>
      <c r="B14757" s="67"/>
      <c r="C14757" s="66"/>
      <c r="D14757" s="68"/>
      <c r="E14757" s="10"/>
      <c r="F14757" s="69"/>
      <c r="G14757" s="68"/>
      <c r="H14757" s="70"/>
      <c r="BA14757" s="4"/>
      <c r="BB14757" s="4"/>
    </row>
    <row r="14758" spans="1:54" x14ac:dyDescent="0.3">
      <c r="A14758" s="66"/>
      <c r="B14758" s="67"/>
      <c r="C14758" s="66"/>
      <c r="D14758" s="68"/>
      <c r="E14758" s="10"/>
      <c r="F14758" s="69"/>
      <c r="G14758" s="68"/>
      <c r="H14758" s="70"/>
      <c r="BA14758" s="4"/>
      <c r="BB14758" s="4"/>
    </row>
    <row r="14759" spans="1:54" x14ac:dyDescent="0.3">
      <c r="A14759" s="66"/>
      <c r="B14759" s="67"/>
      <c r="C14759" s="66"/>
      <c r="D14759" s="68"/>
      <c r="E14759" s="10"/>
      <c r="F14759" s="69"/>
      <c r="G14759" s="68"/>
      <c r="H14759" s="70"/>
      <c r="BA14759" s="4"/>
      <c r="BB14759" s="4"/>
    </row>
    <row r="14760" spans="1:54" x14ac:dyDescent="0.3">
      <c r="A14760" s="66"/>
      <c r="B14760" s="67"/>
      <c r="C14760" s="66"/>
      <c r="D14760" s="68"/>
      <c r="E14760" s="10"/>
      <c r="F14760" s="69"/>
      <c r="G14760" s="68"/>
      <c r="H14760" s="70"/>
      <c r="BA14760" s="4"/>
      <c r="BB14760" s="4"/>
    </row>
    <row r="14761" spans="1:54" x14ac:dyDescent="0.3">
      <c r="A14761" s="66"/>
      <c r="B14761" s="67"/>
      <c r="C14761" s="66"/>
      <c r="D14761" s="68"/>
      <c r="E14761" s="10"/>
      <c r="F14761" s="69"/>
      <c r="G14761" s="68"/>
      <c r="H14761" s="70"/>
      <c r="BA14761" s="4"/>
      <c r="BB14761" s="4"/>
    </row>
    <row r="14762" spans="1:54" x14ac:dyDescent="0.3">
      <c r="A14762" s="66"/>
      <c r="B14762" s="67"/>
      <c r="C14762" s="66"/>
      <c r="D14762" s="68"/>
      <c r="E14762" s="10"/>
      <c r="F14762" s="69"/>
      <c r="G14762" s="68"/>
      <c r="H14762" s="70"/>
      <c r="BA14762" s="4"/>
      <c r="BB14762" s="4"/>
    </row>
    <row r="14763" spans="1:54" x14ac:dyDescent="0.3">
      <c r="A14763" s="66"/>
      <c r="B14763" s="67"/>
      <c r="C14763" s="66"/>
      <c r="D14763" s="68"/>
      <c r="E14763" s="10"/>
      <c r="F14763" s="69"/>
      <c r="G14763" s="68"/>
      <c r="H14763" s="70"/>
      <c r="BA14763" s="4"/>
      <c r="BB14763" s="4"/>
    </row>
    <row r="14764" spans="1:54" x14ac:dyDescent="0.3">
      <c r="A14764" s="66"/>
      <c r="B14764" s="67"/>
      <c r="C14764" s="66"/>
      <c r="D14764" s="68"/>
      <c r="E14764" s="10"/>
      <c r="F14764" s="69"/>
      <c r="G14764" s="68"/>
      <c r="H14764" s="70"/>
      <c r="BA14764" s="4"/>
      <c r="BB14764" s="4"/>
    </row>
    <row r="14765" spans="1:54" x14ac:dyDescent="0.3">
      <c r="A14765" s="66"/>
      <c r="B14765" s="67"/>
      <c r="C14765" s="66"/>
      <c r="D14765" s="68"/>
      <c r="E14765" s="10"/>
      <c r="F14765" s="69"/>
      <c r="G14765" s="68"/>
      <c r="H14765" s="70"/>
      <c r="BA14765" s="4"/>
      <c r="BB14765" s="4"/>
    </row>
    <row r="14766" spans="1:54" x14ac:dyDescent="0.3">
      <c r="A14766" s="66"/>
      <c r="B14766" s="67"/>
      <c r="C14766" s="66"/>
      <c r="D14766" s="68"/>
      <c r="E14766" s="10"/>
      <c r="F14766" s="69"/>
      <c r="G14766" s="68"/>
      <c r="H14766" s="70"/>
      <c r="BA14766" s="4"/>
      <c r="BB14766" s="4"/>
    </row>
    <row r="14767" spans="1:54" x14ac:dyDescent="0.3">
      <c r="A14767" s="66"/>
      <c r="B14767" s="67"/>
      <c r="C14767" s="66"/>
      <c r="D14767" s="68"/>
      <c r="E14767" s="10"/>
      <c r="F14767" s="69"/>
      <c r="G14767" s="68"/>
      <c r="H14767" s="70"/>
      <c r="BA14767" s="4"/>
      <c r="BB14767" s="4"/>
    </row>
    <row r="14768" spans="1:54" x14ac:dyDescent="0.3">
      <c r="A14768" s="66"/>
      <c r="B14768" s="67"/>
      <c r="C14768" s="66"/>
      <c r="D14768" s="68"/>
      <c r="E14768" s="10"/>
      <c r="F14768" s="69"/>
      <c r="G14768" s="68"/>
      <c r="H14768" s="70"/>
      <c r="BA14768" s="4"/>
      <c r="BB14768" s="4"/>
    </row>
    <row r="14769" spans="1:54" x14ac:dyDescent="0.3">
      <c r="A14769" s="66"/>
      <c r="B14769" s="67"/>
      <c r="C14769" s="66"/>
      <c r="D14769" s="68"/>
      <c r="E14769" s="10"/>
      <c r="F14769" s="69"/>
      <c r="G14769" s="68"/>
      <c r="H14769" s="70"/>
      <c r="BA14769" s="4"/>
      <c r="BB14769" s="4"/>
    </row>
    <row r="14770" spans="1:54" x14ac:dyDescent="0.3">
      <c r="A14770" s="66"/>
      <c r="B14770" s="67"/>
      <c r="C14770" s="66"/>
      <c r="D14770" s="68"/>
      <c r="E14770" s="10"/>
      <c r="F14770" s="69"/>
      <c r="G14770" s="68"/>
      <c r="H14770" s="70"/>
      <c r="BA14770" s="4"/>
      <c r="BB14770" s="4"/>
    </row>
    <row r="14771" spans="1:54" x14ac:dyDescent="0.3">
      <c r="A14771" s="66"/>
      <c r="B14771" s="67"/>
      <c r="C14771" s="66"/>
      <c r="D14771" s="68"/>
      <c r="E14771" s="10"/>
      <c r="F14771" s="69"/>
      <c r="G14771" s="68"/>
      <c r="H14771" s="70"/>
      <c r="BA14771" s="4"/>
      <c r="BB14771" s="4"/>
    </row>
    <row r="14772" spans="1:54" x14ac:dyDescent="0.3">
      <c r="A14772" s="66"/>
      <c r="B14772" s="67"/>
      <c r="C14772" s="66"/>
      <c r="D14772" s="68"/>
      <c r="E14772" s="10"/>
      <c r="F14772" s="69"/>
      <c r="G14772" s="68"/>
      <c r="H14772" s="70"/>
      <c r="BA14772" s="4"/>
      <c r="BB14772" s="4"/>
    </row>
    <row r="14773" spans="1:54" x14ac:dyDescent="0.3">
      <c r="A14773" s="66"/>
      <c r="B14773" s="67"/>
      <c r="C14773" s="66"/>
      <c r="D14773" s="68"/>
      <c r="E14773" s="10"/>
      <c r="F14773" s="69"/>
      <c r="G14773" s="68"/>
      <c r="H14773" s="70"/>
      <c r="BA14773" s="4"/>
      <c r="BB14773" s="4"/>
    </row>
    <row r="14774" spans="1:54" x14ac:dyDescent="0.3">
      <c r="A14774" s="66"/>
      <c r="B14774" s="67"/>
      <c r="C14774" s="66"/>
      <c r="D14774" s="68"/>
      <c r="E14774" s="10"/>
      <c r="F14774" s="69"/>
      <c r="G14774" s="68"/>
      <c r="H14774" s="70"/>
      <c r="BA14774" s="4"/>
      <c r="BB14774" s="4"/>
    </row>
    <row r="14775" spans="1:54" x14ac:dyDescent="0.3">
      <c r="A14775" s="66"/>
      <c r="B14775" s="67"/>
      <c r="C14775" s="66"/>
      <c r="D14775" s="68"/>
      <c r="E14775" s="10"/>
      <c r="F14775" s="69"/>
      <c r="G14775" s="68"/>
      <c r="H14775" s="70"/>
      <c r="BA14775" s="4"/>
      <c r="BB14775" s="4"/>
    </row>
    <row r="14776" spans="1:54" x14ac:dyDescent="0.3">
      <c r="A14776" s="66"/>
      <c r="B14776" s="67"/>
      <c r="C14776" s="66"/>
      <c r="D14776" s="68"/>
      <c r="E14776" s="10"/>
      <c r="F14776" s="69"/>
      <c r="G14776" s="68"/>
      <c r="H14776" s="70"/>
      <c r="BA14776" s="4"/>
      <c r="BB14776" s="4"/>
    </row>
    <row r="14777" spans="1:54" x14ac:dyDescent="0.3">
      <c r="A14777" s="66"/>
      <c r="B14777" s="67"/>
      <c r="C14777" s="66"/>
      <c r="D14777" s="68"/>
      <c r="E14777" s="10"/>
      <c r="F14777" s="69"/>
      <c r="G14777" s="68"/>
      <c r="H14777" s="70"/>
      <c r="BA14777" s="4"/>
      <c r="BB14777" s="4"/>
    </row>
    <row r="14778" spans="1:54" x14ac:dyDescent="0.3">
      <c r="A14778" s="66"/>
      <c r="B14778" s="67"/>
      <c r="C14778" s="66"/>
      <c r="D14778" s="68"/>
      <c r="E14778" s="10"/>
      <c r="F14778" s="69"/>
      <c r="G14778" s="68"/>
      <c r="H14778" s="70"/>
      <c r="BA14778" s="4"/>
      <c r="BB14778" s="4"/>
    </row>
    <row r="14779" spans="1:54" x14ac:dyDescent="0.3">
      <c r="A14779" s="66"/>
      <c r="B14779" s="67"/>
      <c r="C14779" s="66"/>
      <c r="D14779" s="68"/>
      <c r="E14779" s="10"/>
      <c r="F14779" s="69"/>
      <c r="G14779" s="68"/>
      <c r="H14779" s="70"/>
      <c r="BA14779" s="4"/>
      <c r="BB14779" s="4"/>
    </row>
    <row r="14780" spans="1:54" x14ac:dyDescent="0.3">
      <c r="A14780" s="66"/>
      <c r="B14780" s="67"/>
      <c r="C14780" s="66"/>
      <c r="D14780" s="68"/>
      <c r="E14780" s="10"/>
      <c r="F14780" s="69"/>
      <c r="G14780" s="68"/>
      <c r="H14780" s="70"/>
      <c r="BA14780" s="4"/>
      <c r="BB14780" s="4"/>
    </row>
    <row r="14781" spans="1:54" x14ac:dyDescent="0.3">
      <c r="A14781" s="66"/>
      <c r="B14781" s="67"/>
      <c r="C14781" s="66"/>
      <c r="D14781" s="68"/>
      <c r="E14781" s="10"/>
      <c r="F14781" s="69"/>
      <c r="G14781" s="68"/>
      <c r="H14781" s="70"/>
      <c r="BA14781" s="4"/>
      <c r="BB14781" s="4"/>
    </row>
    <row r="14782" spans="1:54" x14ac:dyDescent="0.3">
      <c r="A14782" s="66"/>
      <c r="B14782" s="67"/>
      <c r="C14782" s="66"/>
      <c r="D14782" s="68"/>
      <c r="E14782" s="10"/>
      <c r="F14782" s="69"/>
      <c r="G14782" s="68"/>
      <c r="H14782" s="70"/>
      <c r="BA14782" s="4"/>
      <c r="BB14782" s="4"/>
    </row>
    <row r="14783" spans="1:54" x14ac:dyDescent="0.3">
      <c r="A14783" s="66"/>
      <c r="B14783" s="67"/>
      <c r="C14783" s="66"/>
      <c r="D14783" s="68"/>
      <c r="E14783" s="10"/>
      <c r="F14783" s="69"/>
      <c r="G14783" s="68"/>
      <c r="H14783" s="70"/>
      <c r="BA14783" s="4"/>
      <c r="BB14783" s="4"/>
    </row>
    <row r="14784" spans="1:54" x14ac:dyDescent="0.3">
      <c r="A14784" s="66"/>
      <c r="B14784" s="67"/>
      <c r="C14784" s="66"/>
      <c r="D14784" s="68"/>
      <c r="E14784" s="10"/>
      <c r="F14784" s="69"/>
      <c r="G14784" s="68"/>
      <c r="H14784" s="70"/>
      <c r="BA14784" s="4"/>
      <c r="BB14784" s="4"/>
    </row>
    <row r="14785" spans="1:54" x14ac:dyDescent="0.3">
      <c r="A14785" s="66"/>
      <c r="B14785" s="67"/>
      <c r="C14785" s="66"/>
      <c r="D14785" s="68"/>
      <c r="E14785" s="10"/>
      <c r="F14785" s="69"/>
      <c r="G14785" s="68"/>
      <c r="H14785" s="70"/>
      <c r="BA14785" s="4"/>
      <c r="BB14785" s="4"/>
    </row>
    <row r="14786" spans="1:54" x14ac:dyDescent="0.3">
      <c r="A14786" s="66"/>
      <c r="B14786" s="67"/>
      <c r="C14786" s="66"/>
      <c r="D14786" s="68"/>
      <c r="E14786" s="10"/>
      <c r="F14786" s="69"/>
      <c r="G14786" s="68"/>
      <c r="H14786" s="70"/>
      <c r="BA14786" s="4"/>
      <c r="BB14786" s="4"/>
    </row>
    <row r="14787" spans="1:54" x14ac:dyDescent="0.3">
      <c r="A14787" s="66"/>
      <c r="B14787" s="67"/>
      <c r="C14787" s="66"/>
      <c r="D14787" s="68"/>
      <c r="E14787" s="10"/>
      <c r="F14787" s="69"/>
      <c r="G14787" s="68"/>
      <c r="H14787" s="70"/>
      <c r="BA14787" s="4"/>
      <c r="BB14787" s="4"/>
    </row>
    <row r="14788" spans="1:54" x14ac:dyDescent="0.3">
      <c r="A14788" s="66"/>
      <c r="B14788" s="67"/>
      <c r="C14788" s="66"/>
      <c r="D14788" s="68"/>
      <c r="E14788" s="10"/>
      <c r="F14788" s="69"/>
      <c r="G14788" s="68"/>
      <c r="H14788" s="70"/>
      <c r="BA14788" s="4"/>
      <c r="BB14788" s="4"/>
    </row>
    <row r="14789" spans="1:54" x14ac:dyDescent="0.3">
      <c r="A14789" s="66"/>
      <c r="B14789" s="67"/>
      <c r="C14789" s="66"/>
      <c r="D14789" s="68"/>
      <c r="E14789" s="10"/>
      <c r="F14789" s="69"/>
      <c r="G14789" s="68"/>
      <c r="H14789" s="70"/>
      <c r="BA14789" s="4"/>
      <c r="BB14789" s="4"/>
    </row>
    <row r="14790" spans="1:54" x14ac:dyDescent="0.3">
      <c r="A14790" s="66"/>
      <c r="B14790" s="67"/>
      <c r="C14790" s="66"/>
      <c r="D14790" s="68"/>
      <c r="E14790" s="10"/>
      <c r="F14790" s="69"/>
      <c r="G14790" s="68"/>
      <c r="H14790" s="70"/>
      <c r="BA14790" s="4"/>
      <c r="BB14790" s="4"/>
    </row>
    <row r="14791" spans="1:54" x14ac:dyDescent="0.3">
      <c r="A14791" s="66"/>
      <c r="B14791" s="67"/>
      <c r="C14791" s="66"/>
      <c r="D14791" s="68"/>
      <c r="E14791" s="10"/>
      <c r="F14791" s="69"/>
      <c r="G14791" s="68"/>
      <c r="H14791" s="70"/>
      <c r="BA14791" s="4"/>
      <c r="BB14791" s="4"/>
    </row>
    <row r="14792" spans="1:54" x14ac:dyDescent="0.3">
      <c r="A14792" s="66"/>
      <c r="B14792" s="67"/>
      <c r="C14792" s="66"/>
      <c r="D14792" s="68"/>
      <c r="E14792" s="10"/>
      <c r="F14792" s="69"/>
      <c r="G14792" s="68"/>
      <c r="H14792" s="70"/>
      <c r="BA14792" s="4"/>
      <c r="BB14792" s="4"/>
    </row>
    <row r="14793" spans="1:54" x14ac:dyDescent="0.3">
      <c r="A14793" s="66"/>
      <c r="B14793" s="67"/>
      <c r="C14793" s="66"/>
      <c r="D14793" s="68"/>
      <c r="E14793" s="10"/>
      <c r="F14793" s="69"/>
      <c r="G14793" s="68"/>
      <c r="H14793" s="70"/>
      <c r="BA14793" s="4"/>
      <c r="BB14793" s="4"/>
    </row>
    <row r="14794" spans="1:54" x14ac:dyDescent="0.3">
      <c r="A14794" s="66"/>
      <c r="B14794" s="67"/>
      <c r="C14794" s="66"/>
      <c r="D14794" s="68"/>
      <c r="E14794" s="10"/>
      <c r="F14794" s="69"/>
      <c r="G14794" s="68"/>
      <c r="H14794" s="70"/>
      <c r="BA14794" s="4"/>
      <c r="BB14794" s="4"/>
    </row>
    <row r="14795" spans="1:54" x14ac:dyDescent="0.3">
      <c r="A14795" s="66"/>
      <c r="B14795" s="67"/>
      <c r="C14795" s="66"/>
      <c r="D14795" s="68"/>
      <c r="E14795" s="10"/>
      <c r="F14795" s="69"/>
      <c r="G14795" s="68"/>
      <c r="H14795" s="70"/>
      <c r="BA14795" s="4"/>
      <c r="BB14795" s="4"/>
    </row>
    <row r="14796" spans="1:54" x14ac:dyDescent="0.3">
      <c r="A14796" s="66"/>
      <c r="B14796" s="67"/>
      <c r="C14796" s="66"/>
      <c r="D14796" s="68"/>
      <c r="E14796" s="10"/>
      <c r="F14796" s="69"/>
      <c r="G14796" s="68"/>
      <c r="H14796" s="70"/>
      <c r="BA14796" s="4"/>
      <c r="BB14796" s="4"/>
    </row>
    <row r="14797" spans="1:54" x14ac:dyDescent="0.3">
      <c r="A14797" s="66"/>
      <c r="B14797" s="67"/>
      <c r="C14797" s="66"/>
      <c r="D14797" s="68"/>
      <c r="E14797" s="10"/>
      <c r="F14797" s="69"/>
      <c r="G14797" s="68"/>
      <c r="H14797" s="70"/>
      <c r="BA14797" s="4"/>
      <c r="BB14797" s="4"/>
    </row>
    <row r="14798" spans="1:54" x14ac:dyDescent="0.3">
      <c r="A14798" s="66"/>
      <c r="B14798" s="67"/>
      <c r="C14798" s="66"/>
      <c r="D14798" s="68"/>
      <c r="E14798" s="10"/>
      <c r="F14798" s="69"/>
      <c r="G14798" s="68"/>
      <c r="H14798" s="70"/>
      <c r="BA14798" s="4"/>
      <c r="BB14798" s="4"/>
    </row>
    <row r="14799" spans="1:54" x14ac:dyDescent="0.3">
      <c r="A14799" s="66"/>
      <c r="B14799" s="67"/>
      <c r="C14799" s="66"/>
      <c r="D14799" s="68"/>
      <c r="E14799" s="10"/>
      <c r="F14799" s="69"/>
      <c r="G14799" s="68"/>
      <c r="H14799" s="70"/>
      <c r="BA14799" s="4"/>
      <c r="BB14799" s="4"/>
    </row>
    <row r="14800" spans="1:54" x14ac:dyDescent="0.3">
      <c r="A14800" s="66"/>
      <c r="B14800" s="67"/>
      <c r="C14800" s="66"/>
      <c r="D14800" s="68"/>
      <c r="E14800" s="10"/>
      <c r="F14800" s="69"/>
      <c r="G14800" s="68"/>
      <c r="H14800" s="70"/>
      <c r="BA14800" s="4"/>
      <c r="BB14800" s="4"/>
    </row>
    <row r="14801" spans="1:54" x14ac:dyDescent="0.3">
      <c r="A14801" s="66"/>
      <c r="B14801" s="67"/>
      <c r="C14801" s="66"/>
      <c r="D14801" s="68"/>
      <c r="E14801" s="10"/>
      <c r="F14801" s="69"/>
      <c r="G14801" s="68"/>
      <c r="H14801" s="70"/>
      <c r="BA14801" s="4"/>
      <c r="BB14801" s="4"/>
    </row>
    <row r="14802" spans="1:54" x14ac:dyDescent="0.3">
      <c r="A14802" s="66"/>
      <c r="B14802" s="67"/>
      <c r="C14802" s="66"/>
      <c r="D14802" s="68"/>
      <c r="E14802" s="10"/>
      <c r="F14802" s="69"/>
      <c r="G14802" s="68"/>
      <c r="H14802" s="70"/>
      <c r="BA14802" s="4"/>
      <c r="BB14802" s="4"/>
    </row>
    <row r="14803" spans="1:54" x14ac:dyDescent="0.3">
      <c r="A14803" s="66"/>
      <c r="B14803" s="67"/>
      <c r="C14803" s="66"/>
      <c r="D14803" s="68"/>
      <c r="E14803" s="10"/>
      <c r="F14803" s="69"/>
      <c r="G14803" s="68"/>
      <c r="H14803" s="70"/>
      <c r="BA14803" s="4"/>
      <c r="BB14803" s="4"/>
    </row>
    <row r="14804" spans="1:54" x14ac:dyDescent="0.3">
      <c r="A14804" s="66"/>
      <c r="B14804" s="67"/>
      <c r="C14804" s="66"/>
      <c r="D14804" s="68"/>
      <c r="E14804" s="10"/>
      <c r="F14804" s="69"/>
      <c r="G14804" s="68"/>
      <c r="H14804" s="70"/>
      <c r="BA14804" s="4"/>
      <c r="BB14804" s="4"/>
    </row>
    <row r="14805" spans="1:54" x14ac:dyDescent="0.3">
      <c r="A14805" s="66"/>
      <c r="B14805" s="67"/>
      <c r="C14805" s="66"/>
      <c r="D14805" s="68"/>
      <c r="E14805" s="10"/>
      <c r="F14805" s="69"/>
      <c r="G14805" s="68"/>
      <c r="H14805" s="70"/>
      <c r="BA14805" s="4"/>
      <c r="BB14805" s="4"/>
    </row>
    <row r="14806" spans="1:54" x14ac:dyDescent="0.3">
      <c r="A14806" s="66"/>
      <c r="B14806" s="67"/>
      <c r="C14806" s="66"/>
      <c r="D14806" s="68"/>
      <c r="E14806" s="10"/>
      <c r="F14806" s="69"/>
      <c r="G14806" s="68"/>
      <c r="H14806" s="70"/>
      <c r="BA14806" s="4"/>
      <c r="BB14806" s="4"/>
    </row>
    <row r="14807" spans="1:54" x14ac:dyDescent="0.3">
      <c r="A14807" s="66"/>
      <c r="B14807" s="67"/>
      <c r="C14807" s="66"/>
      <c r="D14807" s="68"/>
      <c r="E14807" s="10"/>
      <c r="F14807" s="69"/>
      <c r="G14807" s="68"/>
      <c r="H14807" s="70"/>
      <c r="BA14807" s="4"/>
      <c r="BB14807" s="4"/>
    </row>
    <row r="14808" spans="1:54" x14ac:dyDescent="0.3">
      <c r="A14808" s="66"/>
      <c r="B14808" s="67"/>
      <c r="C14808" s="66"/>
      <c r="D14808" s="68"/>
      <c r="E14808" s="10"/>
      <c r="F14808" s="69"/>
      <c r="G14808" s="68"/>
      <c r="H14808" s="70"/>
      <c r="BA14808" s="4"/>
      <c r="BB14808" s="4"/>
    </row>
    <row r="14809" spans="1:54" x14ac:dyDescent="0.3">
      <c r="A14809" s="66"/>
      <c r="B14809" s="67"/>
      <c r="C14809" s="66"/>
      <c r="D14809" s="68"/>
      <c r="E14809" s="10"/>
      <c r="F14809" s="69"/>
      <c r="G14809" s="68"/>
      <c r="H14809" s="70"/>
      <c r="BA14809" s="4"/>
      <c r="BB14809" s="4"/>
    </row>
    <row r="14810" spans="1:54" x14ac:dyDescent="0.3">
      <c r="A14810" s="66"/>
      <c r="B14810" s="67"/>
      <c r="C14810" s="66"/>
      <c r="D14810" s="68"/>
      <c r="E14810" s="10"/>
      <c r="F14810" s="69"/>
      <c r="G14810" s="68"/>
      <c r="H14810" s="70"/>
      <c r="BA14810" s="4"/>
      <c r="BB14810" s="4"/>
    </row>
    <row r="14811" spans="1:54" x14ac:dyDescent="0.3">
      <c r="A14811" s="66"/>
      <c r="B14811" s="67"/>
      <c r="C14811" s="66"/>
      <c r="D14811" s="68"/>
      <c r="E14811" s="10"/>
      <c r="F14811" s="69"/>
      <c r="G14811" s="68"/>
      <c r="H14811" s="70"/>
      <c r="BA14811" s="4"/>
      <c r="BB14811" s="4"/>
    </row>
    <row r="14812" spans="1:54" x14ac:dyDescent="0.3">
      <c r="A14812" s="66"/>
      <c r="B14812" s="67"/>
      <c r="C14812" s="66"/>
      <c r="D14812" s="68"/>
      <c r="E14812" s="10"/>
      <c r="F14812" s="69"/>
      <c r="G14812" s="68"/>
      <c r="H14812" s="70"/>
      <c r="BA14812" s="4"/>
      <c r="BB14812" s="4"/>
    </row>
    <row r="14813" spans="1:54" x14ac:dyDescent="0.3">
      <c r="A14813" s="66"/>
      <c r="B14813" s="67"/>
      <c r="C14813" s="66"/>
      <c r="D14813" s="68"/>
      <c r="E14813" s="10"/>
      <c r="F14813" s="69"/>
      <c r="G14813" s="68"/>
      <c r="H14813" s="70"/>
      <c r="BA14813" s="4"/>
      <c r="BB14813" s="4"/>
    </row>
    <row r="14814" spans="1:54" x14ac:dyDescent="0.3">
      <c r="A14814" s="66"/>
      <c r="B14814" s="67"/>
      <c r="C14814" s="66"/>
      <c r="D14814" s="68"/>
      <c r="E14814" s="10"/>
      <c r="F14814" s="69"/>
      <c r="G14814" s="68"/>
      <c r="H14814" s="70"/>
      <c r="BA14814" s="4"/>
      <c r="BB14814" s="4"/>
    </row>
    <row r="14815" spans="1:54" x14ac:dyDescent="0.3">
      <c r="A14815" s="66"/>
      <c r="B14815" s="67"/>
      <c r="C14815" s="66"/>
      <c r="D14815" s="68"/>
      <c r="E14815" s="10"/>
      <c r="F14815" s="69"/>
      <c r="G14815" s="68"/>
      <c r="H14815" s="70"/>
      <c r="BA14815" s="4"/>
      <c r="BB14815" s="4"/>
    </row>
    <row r="14816" spans="1:54" x14ac:dyDescent="0.3">
      <c r="A14816" s="66"/>
      <c r="B14816" s="67"/>
      <c r="C14816" s="66"/>
      <c r="D14816" s="68"/>
      <c r="E14816" s="10"/>
      <c r="F14816" s="69"/>
      <c r="G14816" s="68"/>
      <c r="H14816" s="70"/>
      <c r="BA14816" s="4"/>
      <c r="BB14816" s="4"/>
    </row>
    <row r="14817" spans="1:54" x14ac:dyDescent="0.3">
      <c r="A14817" s="66"/>
      <c r="B14817" s="67"/>
      <c r="C14817" s="66"/>
      <c r="D14817" s="68"/>
      <c r="E14817" s="10"/>
      <c r="F14817" s="69"/>
      <c r="G14817" s="68"/>
      <c r="H14817" s="70"/>
      <c r="BA14817" s="4"/>
      <c r="BB14817" s="4"/>
    </row>
    <row r="14818" spans="1:54" x14ac:dyDescent="0.3">
      <c r="A14818" s="66"/>
      <c r="B14818" s="67"/>
      <c r="C14818" s="66"/>
      <c r="D14818" s="68"/>
      <c r="E14818" s="10"/>
      <c r="F14818" s="69"/>
      <c r="G14818" s="68"/>
      <c r="H14818" s="70"/>
      <c r="BA14818" s="4"/>
      <c r="BB14818" s="4"/>
    </row>
    <row r="14819" spans="1:54" x14ac:dyDescent="0.3">
      <c r="A14819" s="66"/>
      <c r="B14819" s="67"/>
      <c r="C14819" s="66"/>
      <c r="D14819" s="68"/>
      <c r="E14819" s="10"/>
      <c r="F14819" s="69"/>
      <c r="G14819" s="68"/>
      <c r="H14819" s="70"/>
      <c r="BA14819" s="4"/>
      <c r="BB14819" s="4"/>
    </row>
    <row r="14820" spans="1:54" x14ac:dyDescent="0.3">
      <c r="A14820" s="66"/>
      <c r="B14820" s="67"/>
      <c r="C14820" s="66"/>
      <c r="D14820" s="68"/>
      <c r="E14820" s="10"/>
      <c r="F14820" s="69"/>
      <c r="G14820" s="68"/>
      <c r="H14820" s="70"/>
      <c r="BA14820" s="4"/>
      <c r="BB14820" s="4"/>
    </row>
    <row r="14821" spans="1:54" x14ac:dyDescent="0.3">
      <c r="A14821" s="66"/>
      <c r="B14821" s="67"/>
      <c r="C14821" s="66"/>
      <c r="D14821" s="68"/>
      <c r="E14821" s="10"/>
      <c r="F14821" s="69"/>
      <c r="G14821" s="68"/>
      <c r="H14821" s="70"/>
      <c r="BA14821" s="4"/>
      <c r="BB14821" s="4"/>
    </row>
    <row r="14822" spans="1:54" x14ac:dyDescent="0.3">
      <c r="A14822" s="66"/>
      <c r="B14822" s="67"/>
      <c r="C14822" s="66"/>
      <c r="D14822" s="68"/>
      <c r="E14822" s="10"/>
      <c r="F14822" s="69"/>
      <c r="G14822" s="68"/>
      <c r="H14822" s="70"/>
      <c r="BA14822" s="4"/>
      <c r="BB14822" s="4"/>
    </row>
    <row r="14823" spans="1:54" x14ac:dyDescent="0.3">
      <c r="A14823" s="66"/>
      <c r="B14823" s="67"/>
      <c r="C14823" s="66"/>
      <c r="D14823" s="68"/>
      <c r="E14823" s="10"/>
      <c r="F14823" s="69"/>
      <c r="G14823" s="68"/>
      <c r="H14823" s="70"/>
      <c r="BA14823" s="4"/>
      <c r="BB14823" s="4"/>
    </row>
    <row r="14824" spans="1:54" x14ac:dyDescent="0.3">
      <c r="A14824" s="66"/>
      <c r="B14824" s="67"/>
      <c r="C14824" s="66"/>
      <c r="D14824" s="68"/>
      <c r="E14824" s="10"/>
      <c r="F14824" s="69"/>
      <c r="G14824" s="68"/>
      <c r="H14824" s="70"/>
      <c r="BA14824" s="4"/>
      <c r="BB14824" s="4"/>
    </row>
    <row r="14825" spans="1:54" x14ac:dyDescent="0.3">
      <c r="A14825" s="66"/>
      <c r="B14825" s="67"/>
      <c r="C14825" s="66"/>
      <c r="D14825" s="68"/>
      <c r="E14825" s="10"/>
      <c r="F14825" s="69"/>
      <c r="G14825" s="68"/>
      <c r="H14825" s="70"/>
      <c r="BA14825" s="4"/>
      <c r="BB14825" s="4"/>
    </row>
    <row r="14826" spans="1:54" x14ac:dyDescent="0.3">
      <c r="A14826" s="66"/>
      <c r="B14826" s="67"/>
      <c r="C14826" s="66"/>
      <c r="D14826" s="68"/>
      <c r="E14826" s="10"/>
      <c r="F14826" s="69"/>
      <c r="G14826" s="68"/>
      <c r="H14826" s="70"/>
      <c r="BA14826" s="4"/>
      <c r="BB14826" s="4"/>
    </row>
    <row r="14827" spans="1:54" x14ac:dyDescent="0.3">
      <c r="A14827" s="66"/>
      <c r="B14827" s="67"/>
      <c r="C14827" s="66"/>
      <c r="D14827" s="68"/>
      <c r="E14827" s="10"/>
      <c r="F14827" s="69"/>
      <c r="G14827" s="68"/>
      <c r="H14827" s="70"/>
      <c r="BA14827" s="4"/>
      <c r="BB14827" s="4"/>
    </row>
    <row r="14828" spans="1:54" x14ac:dyDescent="0.3">
      <c r="A14828" s="66"/>
      <c r="B14828" s="67"/>
      <c r="C14828" s="66"/>
      <c r="D14828" s="68"/>
      <c r="E14828" s="10"/>
      <c r="F14828" s="69"/>
      <c r="G14828" s="68"/>
      <c r="H14828" s="70"/>
      <c r="BA14828" s="4"/>
      <c r="BB14828" s="4"/>
    </row>
    <row r="14829" spans="1:54" x14ac:dyDescent="0.3">
      <c r="A14829" s="66"/>
      <c r="B14829" s="67"/>
      <c r="C14829" s="66"/>
      <c r="D14829" s="68"/>
      <c r="E14829" s="10"/>
      <c r="F14829" s="69"/>
      <c r="G14829" s="68"/>
      <c r="H14829" s="70"/>
      <c r="BA14829" s="4"/>
      <c r="BB14829" s="4"/>
    </row>
    <row r="14830" spans="1:54" x14ac:dyDescent="0.3">
      <c r="A14830" s="66"/>
      <c r="B14830" s="67"/>
      <c r="C14830" s="66"/>
      <c r="D14830" s="68"/>
      <c r="E14830" s="10"/>
      <c r="F14830" s="69"/>
      <c r="G14830" s="68"/>
      <c r="H14830" s="70"/>
      <c r="BA14830" s="4"/>
      <c r="BB14830" s="4"/>
    </row>
    <row r="14831" spans="1:54" x14ac:dyDescent="0.3">
      <c r="A14831" s="66"/>
      <c r="B14831" s="67"/>
      <c r="C14831" s="66"/>
      <c r="D14831" s="68"/>
      <c r="E14831" s="10"/>
      <c r="F14831" s="69"/>
      <c r="G14831" s="68"/>
      <c r="H14831" s="70"/>
      <c r="BA14831" s="4"/>
      <c r="BB14831" s="4"/>
    </row>
    <row r="14832" spans="1:54" x14ac:dyDescent="0.3">
      <c r="A14832" s="66"/>
      <c r="B14832" s="67"/>
      <c r="C14832" s="66"/>
      <c r="D14832" s="68"/>
      <c r="E14832" s="10"/>
      <c r="F14832" s="69"/>
      <c r="G14832" s="68"/>
      <c r="H14832" s="70"/>
      <c r="BA14832" s="4"/>
      <c r="BB14832" s="4"/>
    </row>
    <row r="14833" spans="1:54" x14ac:dyDescent="0.3">
      <c r="A14833" s="66"/>
      <c r="B14833" s="67"/>
      <c r="C14833" s="66"/>
      <c r="D14833" s="68"/>
      <c r="E14833" s="10"/>
      <c r="F14833" s="69"/>
      <c r="G14833" s="68"/>
      <c r="H14833" s="70"/>
      <c r="BA14833" s="4"/>
      <c r="BB14833" s="4"/>
    </row>
    <row r="14834" spans="1:54" x14ac:dyDescent="0.3">
      <c r="A14834" s="66"/>
      <c r="B14834" s="67"/>
      <c r="C14834" s="66"/>
      <c r="D14834" s="68"/>
      <c r="E14834" s="10"/>
      <c r="F14834" s="69"/>
      <c r="G14834" s="68"/>
      <c r="H14834" s="70"/>
      <c r="BA14834" s="4"/>
      <c r="BB14834" s="4"/>
    </row>
    <row r="14835" spans="1:54" x14ac:dyDescent="0.3">
      <c r="A14835" s="66"/>
      <c r="B14835" s="67"/>
      <c r="C14835" s="66"/>
      <c r="D14835" s="68"/>
      <c r="E14835" s="10"/>
      <c r="F14835" s="69"/>
      <c r="G14835" s="68"/>
      <c r="H14835" s="70"/>
      <c r="BA14835" s="4"/>
      <c r="BB14835" s="4"/>
    </row>
    <row r="14836" spans="1:54" x14ac:dyDescent="0.3">
      <c r="A14836" s="66"/>
      <c r="B14836" s="67"/>
      <c r="C14836" s="66"/>
      <c r="D14836" s="68"/>
      <c r="E14836" s="10"/>
      <c r="F14836" s="69"/>
      <c r="G14836" s="68"/>
      <c r="H14836" s="70"/>
      <c r="BA14836" s="4"/>
      <c r="BB14836" s="4"/>
    </row>
    <row r="14837" spans="1:54" x14ac:dyDescent="0.3">
      <c r="A14837" s="66"/>
      <c r="B14837" s="67"/>
      <c r="C14837" s="66"/>
      <c r="D14837" s="68"/>
      <c r="E14837" s="10"/>
      <c r="F14837" s="69"/>
      <c r="G14837" s="68"/>
      <c r="H14837" s="70"/>
      <c r="BA14837" s="4"/>
      <c r="BB14837" s="4"/>
    </row>
    <row r="14838" spans="1:54" x14ac:dyDescent="0.3">
      <c r="A14838" s="66"/>
      <c r="B14838" s="67"/>
      <c r="C14838" s="66"/>
      <c r="D14838" s="68"/>
      <c r="E14838" s="10"/>
      <c r="F14838" s="69"/>
      <c r="G14838" s="68"/>
      <c r="H14838" s="70"/>
      <c r="BA14838" s="4"/>
      <c r="BB14838" s="4"/>
    </row>
    <row r="14839" spans="1:54" x14ac:dyDescent="0.3">
      <c r="A14839" s="66"/>
      <c r="B14839" s="67"/>
      <c r="C14839" s="66"/>
      <c r="D14839" s="68"/>
      <c r="E14839" s="10"/>
      <c r="F14839" s="69"/>
      <c r="G14839" s="68"/>
      <c r="H14839" s="70"/>
      <c r="BA14839" s="4"/>
      <c r="BB14839" s="4"/>
    </row>
    <row r="14840" spans="1:54" x14ac:dyDescent="0.3">
      <c r="A14840" s="66"/>
      <c r="B14840" s="67"/>
      <c r="C14840" s="66"/>
      <c r="D14840" s="68"/>
      <c r="E14840" s="10"/>
      <c r="F14840" s="69"/>
      <c r="G14840" s="68"/>
      <c r="H14840" s="70"/>
      <c r="BA14840" s="4"/>
      <c r="BB14840" s="4"/>
    </row>
    <row r="14841" spans="1:54" x14ac:dyDescent="0.3">
      <c r="A14841" s="66"/>
      <c r="B14841" s="67"/>
      <c r="C14841" s="66"/>
      <c r="D14841" s="68"/>
      <c r="E14841" s="10"/>
      <c r="F14841" s="69"/>
      <c r="G14841" s="68"/>
      <c r="H14841" s="70"/>
      <c r="BA14841" s="4"/>
      <c r="BB14841" s="4"/>
    </row>
    <row r="14842" spans="1:54" x14ac:dyDescent="0.3">
      <c r="A14842" s="66"/>
      <c r="B14842" s="67"/>
      <c r="C14842" s="66"/>
      <c r="D14842" s="68"/>
      <c r="E14842" s="10"/>
      <c r="F14842" s="69"/>
      <c r="G14842" s="68"/>
      <c r="H14842" s="70"/>
      <c r="BA14842" s="4"/>
      <c r="BB14842" s="4"/>
    </row>
    <row r="14843" spans="1:54" x14ac:dyDescent="0.3">
      <c r="A14843" s="66"/>
      <c r="B14843" s="67"/>
      <c r="C14843" s="66"/>
      <c r="D14843" s="68"/>
      <c r="E14843" s="10"/>
      <c r="F14843" s="69"/>
      <c r="G14843" s="68"/>
      <c r="H14843" s="70"/>
      <c r="BA14843" s="4"/>
      <c r="BB14843" s="4"/>
    </row>
    <row r="14844" spans="1:54" x14ac:dyDescent="0.3">
      <c r="A14844" s="66"/>
      <c r="B14844" s="67"/>
      <c r="C14844" s="66"/>
      <c r="D14844" s="68"/>
      <c r="E14844" s="10"/>
      <c r="F14844" s="69"/>
      <c r="G14844" s="68"/>
      <c r="H14844" s="70"/>
      <c r="BA14844" s="4"/>
      <c r="BB14844" s="4"/>
    </row>
    <row r="14845" spans="1:54" x14ac:dyDescent="0.3">
      <c r="A14845" s="66"/>
      <c r="B14845" s="67"/>
      <c r="C14845" s="66"/>
      <c r="D14845" s="68"/>
      <c r="E14845" s="10"/>
      <c r="F14845" s="69"/>
      <c r="G14845" s="68"/>
      <c r="H14845" s="70"/>
      <c r="BA14845" s="4"/>
      <c r="BB14845" s="4"/>
    </row>
    <row r="14846" spans="1:54" x14ac:dyDescent="0.3">
      <c r="A14846" s="66"/>
      <c r="B14846" s="67"/>
      <c r="C14846" s="66"/>
      <c r="D14846" s="68"/>
      <c r="E14846" s="10"/>
      <c r="F14846" s="69"/>
      <c r="G14846" s="68"/>
      <c r="H14846" s="70"/>
      <c r="BA14846" s="4"/>
      <c r="BB14846" s="4"/>
    </row>
    <row r="14847" spans="1:54" x14ac:dyDescent="0.3">
      <c r="A14847" s="66"/>
      <c r="B14847" s="67"/>
      <c r="C14847" s="66"/>
      <c r="D14847" s="68"/>
      <c r="E14847" s="10"/>
      <c r="F14847" s="69"/>
      <c r="G14847" s="68"/>
      <c r="H14847" s="70"/>
      <c r="BA14847" s="4"/>
      <c r="BB14847" s="4"/>
    </row>
    <row r="14848" spans="1:54" x14ac:dyDescent="0.3">
      <c r="A14848" s="66"/>
      <c r="B14848" s="67"/>
      <c r="C14848" s="66"/>
      <c r="D14848" s="68"/>
      <c r="E14848" s="10"/>
      <c r="F14848" s="69"/>
      <c r="G14848" s="68"/>
      <c r="H14848" s="70"/>
      <c r="BA14848" s="4"/>
      <c r="BB14848" s="4"/>
    </row>
    <row r="14849" spans="1:54" x14ac:dyDescent="0.3">
      <c r="A14849" s="66"/>
      <c r="B14849" s="67"/>
      <c r="C14849" s="66"/>
      <c r="D14849" s="68"/>
      <c r="E14849" s="10"/>
      <c r="F14849" s="69"/>
      <c r="G14849" s="68"/>
      <c r="H14849" s="70"/>
      <c r="BA14849" s="4"/>
      <c r="BB14849" s="4"/>
    </row>
    <row r="14850" spans="1:54" x14ac:dyDescent="0.3">
      <c r="A14850" s="66"/>
      <c r="B14850" s="67"/>
      <c r="C14850" s="66"/>
      <c r="D14850" s="68"/>
      <c r="E14850" s="10"/>
      <c r="F14850" s="69"/>
      <c r="G14850" s="68"/>
      <c r="H14850" s="70"/>
      <c r="BA14850" s="4"/>
      <c r="BB14850" s="4"/>
    </row>
    <row r="14851" spans="1:54" x14ac:dyDescent="0.3">
      <c r="A14851" s="66"/>
      <c r="B14851" s="67"/>
      <c r="C14851" s="66"/>
      <c r="D14851" s="68"/>
      <c r="E14851" s="10"/>
      <c r="F14851" s="69"/>
      <c r="G14851" s="68"/>
      <c r="H14851" s="70"/>
      <c r="BA14851" s="4"/>
      <c r="BB14851" s="4"/>
    </row>
    <row r="14852" spans="1:54" x14ac:dyDescent="0.3">
      <c r="A14852" s="66"/>
      <c r="B14852" s="67"/>
      <c r="C14852" s="66"/>
      <c r="D14852" s="68"/>
      <c r="E14852" s="10"/>
      <c r="F14852" s="69"/>
      <c r="G14852" s="68"/>
      <c r="H14852" s="70"/>
      <c r="BA14852" s="4"/>
      <c r="BB14852" s="4"/>
    </row>
    <row r="14853" spans="1:54" x14ac:dyDescent="0.3">
      <c r="A14853" s="66"/>
      <c r="B14853" s="67"/>
      <c r="C14853" s="66"/>
      <c r="D14853" s="68"/>
      <c r="E14853" s="10"/>
      <c r="F14853" s="69"/>
      <c r="G14853" s="68"/>
      <c r="H14853" s="70"/>
      <c r="BA14853" s="4"/>
      <c r="BB14853" s="4"/>
    </row>
    <row r="14854" spans="1:54" x14ac:dyDescent="0.3">
      <c r="A14854" s="66"/>
      <c r="B14854" s="67"/>
      <c r="C14854" s="66"/>
      <c r="D14854" s="68"/>
      <c r="E14854" s="10"/>
      <c r="F14854" s="69"/>
      <c r="G14854" s="68"/>
      <c r="H14854" s="70"/>
      <c r="BA14854" s="4"/>
      <c r="BB14854" s="4"/>
    </row>
    <row r="14855" spans="1:54" x14ac:dyDescent="0.3">
      <c r="A14855" s="66"/>
      <c r="B14855" s="67"/>
      <c r="C14855" s="66"/>
      <c r="D14855" s="68"/>
      <c r="E14855" s="10"/>
      <c r="F14855" s="69"/>
      <c r="G14855" s="68"/>
      <c r="H14855" s="70"/>
      <c r="BA14855" s="4"/>
      <c r="BB14855" s="4"/>
    </row>
    <row r="14856" spans="1:54" x14ac:dyDescent="0.3">
      <c r="A14856" s="66"/>
      <c r="B14856" s="67"/>
      <c r="C14856" s="66"/>
      <c r="D14856" s="68"/>
      <c r="E14856" s="10"/>
      <c r="F14856" s="69"/>
      <c r="G14856" s="68"/>
      <c r="H14856" s="70"/>
      <c r="BA14856" s="4"/>
      <c r="BB14856" s="4"/>
    </row>
    <row r="14857" spans="1:54" x14ac:dyDescent="0.3">
      <c r="A14857" s="66"/>
      <c r="B14857" s="67"/>
      <c r="C14857" s="66"/>
      <c r="D14857" s="68"/>
      <c r="E14857" s="10"/>
      <c r="F14857" s="69"/>
      <c r="G14857" s="68"/>
      <c r="H14857" s="70"/>
      <c r="BA14857" s="4"/>
      <c r="BB14857" s="4"/>
    </row>
    <row r="14858" spans="1:54" x14ac:dyDescent="0.3">
      <c r="A14858" s="66"/>
      <c r="B14858" s="67"/>
      <c r="C14858" s="66"/>
      <c r="D14858" s="68"/>
      <c r="E14858" s="10"/>
      <c r="F14858" s="69"/>
      <c r="G14858" s="68"/>
      <c r="H14858" s="70"/>
      <c r="BA14858" s="4"/>
      <c r="BB14858" s="4"/>
    </row>
    <row r="14859" spans="1:54" x14ac:dyDescent="0.3">
      <c r="A14859" s="66"/>
      <c r="B14859" s="67"/>
      <c r="C14859" s="66"/>
      <c r="D14859" s="68"/>
      <c r="E14859" s="10"/>
      <c r="F14859" s="69"/>
      <c r="G14859" s="68"/>
      <c r="H14859" s="70"/>
      <c r="BA14859" s="4"/>
      <c r="BB14859" s="4"/>
    </row>
    <row r="14860" spans="1:54" x14ac:dyDescent="0.3">
      <c r="A14860" s="66"/>
      <c r="B14860" s="67"/>
      <c r="C14860" s="66"/>
      <c r="D14860" s="68"/>
      <c r="E14860" s="10"/>
      <c r="F14860" s="69"/>
      <c r="G14860" s="68"/>
      <c r="H14860" s="70"/>
      <c r="BA14860" s="4"/>
      <c r="BB14860" s="4"/>
    </row>
    <row r="14861" spans="1:54" x14ac:dyDescent="0.3">
      <c r="A14861" s="66"/>
      <c r="B14861" s="67"/>
      <c r="C14861" s="66"/>
      <c r="D14861" s="68"/>
      <c r="E14861" s="10"/>
      <c r="F14861" s="69"/>
      <c r="G14861" s="68"/>
      <c r="H14861" s="70"/>
      <c r="BA14861" s="4"/>
      <c r="BB14861" s="4"/>
    </row>
    <row r="14862" spans="1:54" x14ac:dyDescent="0.3">
      <c r="A14862" s="66"/>
      <c r="B14862" s="67"/>
      <c r="C14862" s="66"/>
      <c r="D14862" s="68"/>
      <c r="E14862" s="10"/>
      <c r="F14862" s="69"/>
      <c r="G14862" s="68"/>
      <c r="H14862" s="70"/>
      <c r="BA14862" s="4"/>
      <c r="BB14862" s="4"/>
    </row>
    <row r="14863" spans="1:54" x14ac:dyDescent="0.3">
      <c r="A14863" s="66"/>
      <c r="B14863" s="67"/>
      <c r="C14863" s="66"/>
      <c r="D14863" s="68"/>
      <c r="E14863" s="10"/>
      <c r="F14863" s="69"/>
      <c r="G14863" s="68"/>
      <c r="H14863" s="70"/>
      <c r="BA14863" s="4"/>
      <c r="BB14863" s="4"/>
    </row>
    <row r="14864" spans="1:54" x14ac:dyDescent="0.3">
      <c r="A14864" s="66"/>
      <c r="B14864" s="67"/>
      <c r="C14864" s="66"/>
      <c r="D14864" s="68"/>
      <c r="E14864" s="10"/>
      <c r="F14864" s="69"/>
      <c r="G14864" s="68"/>
      <c r="H14864" s="70"/>
      <c r="BA14864" s="4"/>
      <c r="BB14864" s="4"/>
    </row>
    <row r="14865" spans="1:54" x14ac:dyDescent="0.3">
      <c r="A14865" s="66"/>
      <c r="B14865" s="67"/>
      <c r="C14865" s="66"/>
      <c r="D14865" s="68"/>
      <c r="E14865" s="10"/>
      <c r="F14865" s="69"/>
      <c r="G14865" s="68"/>
      <c r="H14865" s="70"/>
      <c r="BA14865" s="4"/>
      <c r="BB14865" s="4"/>
    </row>
    <row r="14866" spans="1:54" x14ac:dyDescent="0.3">
      <c r="A14866" s="66"/>
      <c r="B14866" s="67"/>
      <c r="C14866" s="66"/>
      <c r="D14866" s="68"/>
      <c r="E14866" s="10"/>
      <c r="F14866" s="69"/>
      <c r="G14866" s="68"/>
      <c r="H14866" s="70"/>
      <c r="BA14866" s="4"/>
      <c r="BB14866" s="4"/>
    </row>
    <row r="14867" spans="1:54" x14ac:dyDescent="0.3">
      <c r="A14867" s="66"/>
      <c r="B14867" s="67"/>
      <c r="C14867" s="66"/>
      <c r="D14867" s="68"/>
      <c r="E14867" s="10"/>
      <c r="F14867" s="69"/>
      <c r="G14867" s="68"/>
      <c r="H14867" s="70"/>
      <c r="BA14867" s="4"/>
      <c r="BB14867" s="4"/>
    </row>
    <row r="14868" spans="1:54" x14ac:dyDescent="0.3">
      <c r="A14868" s="66"/>
      <c r="B14868" s="67"/>
      <c r="C14868" s="66"/>
      <c r="D14868" s="68"/>
      <c r="E14868" s="10"/>
      <c r="F14868" s="69"/>
      <c r="G14868" s="68"/>
      <c r="H14868" s="70"/>
      <c r="BA14868" s="4"/>
      <c r="BB14868" s="4"/>
    </row>
    <row r="14869" spans="1:54" x14ac:dyDescent="0.3">
      <c r="A14869" s="66"/>
      <c r="B14869" s="67"/>
      <c r="C14869" s="66"/>
      <c r="D14869" s="68"/>
      <c r="E14869" s="10"/>
      <c r="F14869" s="69"/>
      <c r="G14869" s="68"/>
      <c r="H14869" s="70"/>
      <c r="BA14869" s="4"/>
      <c r="BB14869" s="4"/>
    </row>
    <row r="14870" spans="1:54" x14ac:dyDescent="0.3">
      <c r="A14870" s="66"/>
      <c r="B14870" s="67"/>
      <c r="C14870" s="66"/>
      <c r="D14870" s="68"/>
      <c r="E14870" s="10"/>
      <c r="F14870" s="69"/>
      <c r="G14870" s="68"/>
      <c r="H14870" s="70"/>
      <c r="BA14870" s="4"/>
      <c r="BB14870" s="4"/>
    </row>
    <row r="14871" spans="1:54" x14ac:dyDescent="0.3">
      <c r="A14871" s="66"/>
      <c r="B14871" s="67"/>
      <c r="C14871" s="66"/>
      <c r="D14871" s="68"/>
      <c r="E14871" s="10"/>
      <c r="F14871" s="69"/>
      <c r="G14871" s="68"/>
      <c r="H14871" s="70"/>
      <c r="BA14871" s="4"/>
      <c r="BB14871" s="4"/>
    </row>
    <row r="14872" spans="1:54" x14ac:dyDescent="0.3">
      <c r="A14872" s="66"/>
      <c r="B14872" s="67"/>
      <c r="C14872" s="66"/>
      <c r="D14872" s="68"/>
      <c r="E14872" s="10"/>
      <c r="F14872" s="69"/>
      <c r="G14872" s="68"/>
      <c r="H14872" s="70"/>
      <c r="BA14872" s="4"/>
      <c r="BB14872" s="4"/>
    </row>
    <row r="14873" spans="1:54" x14ac:dyDescent="0.3">
      <c r="A14873" s="66"/>
      <c r="B14873" s="67"/>
      <c r="C14873" s="66"/>
      <c r="D14873" s="68"/>
      <c r="E14873" s="10"/>
      <c r="F14873" s="69"/>
      <c r="G14873" s="68"/>
      <c r="H14873" s="70"/>
      <c r="BA14873" s="4"/>
      <c r="BB14873" s="4"/>
    </row>
    <row r="14874" spans="1:54" x14ac:dyDescent="0.3">
      <c r="A14874" s="66"/>
      <c r="B14874" s="67"/>
      <c r="C14874" s="66"/>
      <c r="D14874" s="68"/>
      <c r="E14874" s="10"/>
      <c r="F14874" s="69"/>
      <c r="G14874" s="68"/>
      <c r="H14874" s="70"/>
      <c r="BA14874" s="4"/>
      <c r="BB14874" s="4"/>
    </row>
    <row r="14875" spans="1:54" x14ac:dyDescent="0.3">
      <c r="A14875" s="66"/>
      <c r="B14875" s="67"/>
      <c r="C14875" s="66"/>
      <c r="D14875" s="68"/>
      <c r="E14875" s="10"/>
      <c r="F14875" s="69"/>
      <c r="G14875" s="68"/>
      <c r="H14875" s="70"/>
      <c r="BA14875" s="4"/>
      <c r="BB14875" s="4"/>
    </row>
    <row r="14876" spans="1:54" x14ac:dyDescent="0.3">
      <c r="A14876" s="66"/>
      <c r="B14876" s="67"/>
      <c r="C14876" s="66"/>
      <c r="D14876" s="68"/>
      <c r="E14876" s="10"/>
      <c r="F14876" s="69"/>
      <c r="G14876" s="68"/>
      <c r="H14876" s="70"/>
      <c r="BA14876" s="4"/>
      <c r="BB14876" s="4"/>
    </row>
    <row r="14877" spans="1:54" x14ac:dyDescent="0.3">
      <c r="A14877" s="66"/>
      <c r="B14877" s="67"/>
      <c r="C14877" s="66"/>
      <c r="D14877" s="68"/>
      <c r="E14877" s="10"/>
      <c r="F14877" s="69"/>
      <c r="G14877" s="68"/>
      <c r="H14877" s="70"/>
      <c r="BA14877" s="4"/>
      <c r="BB14877" s="4"/>
    </row>
    <row r="14878" spans="1:54" x14ac:dyDescent="0.3">
      <c r="A14878" s="66"/>
      <c r="B14878" s="67"/>
      <c r="C14878" s="66"/>
      <c r="D14878" s="68"/>
      <c r="E14878" s="10"/>
      <c r="F14878" s="69"/>
      <c r="G14878" s="68"/>
      <c r="H14878" s="70"/>
      <c r="BA14878" s="4"/>
      <c r="BB14878" s="4"/>
    </row>
    <row r="14879" spans="1:54" x14ac:dyDescent="0.3">
      <c r="A14879" s="66"/>
      <c r="B14879" s="67"/>
      <c r="C14879" s="66"/>
      <c r="D14879" s="68"/>
      <c r="E14879" s="10"/>
      <c r="F14879" s="69"/>
      <c r="G14879" s="68"/>
      <c r="H14879" s="70"/>
      <c r="BA14879" s="4"/>
      <c r="BB14879" s="4"/>
    </row>
    <row r="14880" spans="1:54" x14ac:dyDescent="0.3">
      <c r="A14880" s="66"/>
      <c r="B14880" s="67"/>
      <c r="C14880" s="66"/>
      <c r="D14880" s="68"/>
      <c r="E14880" s="10"/>
      <c r="F14880" s="69"/>
      <c r="G14880" s="68"/>
      <c r="H14880" s="70"/>
      <c r="BA14880" s="4"/>
      <c r="BB14880" s="4"/>
    </row>
    <row r="14881" spans="1:54" x14ac:dyDescent="0.3">
      <c r="A14881" s="66"/>
      <c r="B14881" s="67"/>
      <c r="C14881" s="66"/>
      <c r="D14881" s="68"/>
      <c r="E14881" s="10"/>
      <c r="F14881" s="69"/>
      <c r="G14881" s="68"/>
      <c r="H14881" s="70"/>
      <c r="BA14881" s="4"/>
      <c r="BB14881" s="4"/>
    </row>
    <row r="14882" spans="1:54" x14ac:dyDescent="0.3">
      <c r="A14882" s="66"/>
      <c r="B14882" s="67"/>
      <c r="C14882" s="66"/>
      <c r="D14882" s="68"/>
      <c r="E14882" s="10"/>
      <c r="F14882" s="69"/>
      <c r="G14882" s="68"/>
      <c r="H14882" s="70"/>
      <c r="BA14882" s="4"/>
      <c r="BB14882" s="4"/>
    </row>
    <row r="14883" spans="1:54" x14ac:dyDescent="0.3">
      <c r="A14883" s="66"/>
      <c r="B14883" s="67"/>
      <c r="C14883" s="66"/>
      <c r="D14883" s="68"/>
      <c r="E14883" s="10"/>
      <c r="F14883" s="69"/>
      <c r="G14883" s="68"/>
      <c r="H14883" s="70"/>
      <c r="BA14883" s="4"/>
      <c r="BB14883" s="4"/>
    </row>
    <row r="14884" spans="1:54" x14ac:dyDescent="0.3">
      <c r="A14884" s="66"/>
      <c r="B14884" s="67"/>
      <c r="C14884" s="66"/>
      <c r="D14884" s="68"/>
      <c r="E14884" s="10"/>
      <c r="F14884" s="69"/>
      <c r="G14884" s="68"/>
      <c r="H14884" s="70"/>
      <c r="BA14884" s="4"/>
      <c r="BB14884" s="4"/>
    </row>
    <row r="14885" spans="1:54" x14ac:dyDescent="0.3">
      <c r="A14885" s="66"/>
      <c r="B14885" s="67"/>
      <c r="C14885" s="66"/>
      <c r="D14885" s="68"/>
      <c r="E14885" s="10"/>
      <c r="F14885" s="69"/>
      <c r="G14885" s="68"/>
      <c r="H14885" s="70"/>
      <c r="BA14885" s="4"/>
      <c r="BB14885" s="4"/>
    </row>
    <row r="14886" spans="1:54" x14ac:dyDescent="0.3">
      <c r="A14886" s="66"/>
      <c r="B14886" s="67"/>
      <c r="C14886" s="66"/>
      <c r="D14886" s="68"/>
      <c r="E14886" s="10"/>
      <c r="F14886" s="69"/>
      <c r="G14886" s="68"/>
      <c r="H14886" s="70"/>
      <c r="BA14886" s="4"/>
      <c r="BB14886" s="4"/>
    </row>
    <row r="14887" spans="1:54" x14ac:dyDescent="0.3">
      <c r="A14887" s="66"/>
      <c r="B14887" s="67"/>
      <c r="C14887" s="66"/>
      <c r="D14887" s="68"/>
      <c r="E14887" s="10"/>
      <c r="F14887" s="69"/>
      <c r="G14887" s="68"/>
      <c r="H14887" s="70"/>
      <c r="BA14887" s="4"/>
      <c r="BB14887" s="4"/>
    </row>
    <row r="14888" spans="1:54" x14ac:dyDescent="0.3">
      <c r="A14888" s="66"/>
      <c r="B14888" s="67"/>
      <c r="C14888" s="66"/>
      <c r="D14888" s="68"/>
      <c r="E14888" s="10"/>
      <c r="F14888" s="69"/>
      <c r="G14888" s="68"/>
      <c r="H14888" s="70"/>
      <c r="BA14888" s="4"/>
      <c r="BB14888" s="4"/>
    </row>
    <row r="14889" spans="1:54" x14ac:dyDescent="0.3">
      <c r="A14889" s="66"/>
      <c r="B14889" s="67"/>
      <c r="C14889" s="66"/>
      <c r="D14889" s="68"/>
      <c r="E14889" s="10"/>
      <c r="F14889" s="69"/>
      <c r="G14889" s="68"/>
      <c r="H14889" s="70"/>
      <c r="BA14889" s="4"/>
      <c r="BB14889" s="4"/>
    </row>
    <row r="14890" spans="1:54" x14ac:dyDescent="0.3">
      <c r="A14890" s="66"/>
      <c r="B14890" s="67"/>
      <c r="C14890" s="66"/>
      <c r="D14890" s="68"/>
      <c r="E14890" s="10"/>
      <c r="F14890" s="69"/>
      <c r="G14890" s="68"/>
      <c r="H14890" s="70"/>
      <c r="BA14890" s="4"/>
      <c r="BB14890" s="4"/>
    </row>
    <row r="14891" spans="1:54" x14ac:dyDescent="0.3">
      <c r="A14891" s="66"/>
      <c r="B14891" s="67"/>
      <c r="C14891" s="66"/>
      <c r="D14891" s="68"/>
      <c r="E14891" s="10"/>
      <c r="F14891" s="69"/>
      <c r="G14891" s="68"/>
      <c r="H14891" s="70"/>
      <c r="BA14891" s="4"/>
      <c r="BB14891" s="4"/>
    </row>
    <row r="14892" spans="1:54" x14ac:dyDescent="0.3">
      <c r="A14892" s="66"/>
      <c r="B14892" s="67"/>
      <c r="C14892" s="66"/>
      <c r="D14892" s="68"/>
      <c r="E14892" s="10"/>
      <c r="F14892" s="69"/>
      <c r="G14892" s="68"/>
      <c r="H14892" s="70"/>
      <c r="BA14892" s="4"/>
      <c r="BB14892" s="4"/>
    </row>
    <row r="14893" spans="1:54" x14ac:dyDescent="0.3">
      <c r="A14893" s="66"/>
      <c r="B14893" s="67"/>
      <c r="C14893" s="66"/>
      <c r="D14893" s="68"/>
      <c r="E14893" s="10"/>
      <c r="F14893" s="69"/>
      <c r="G14893" s="68"/>
      <c r="H14893" s="70"/>
      <c r="BA14893" s="4"/>
      <c r="BB14893" s="4"/>
    </row>
    <row r="14894" spans="1:54" x14ac:dyDescent="0.3">
      <c r="A14894" s="66"/>
      <c r="B14894" s="67"/>
      <c r="C14894" s="66"/>
      <c r="D14894" s="68"/>
      <c r="E14894" s="10"/>
      <c r="F14894" s="69"/>
      <c r="G14894" s="68"/>
      <c r="H14894" s="70"/>
      <c r="BA14894" s="4"/>
      <c r="BB14894" s="4"/>
    </row>
    <row r="14895" spans="1:54" x14ac:dyDescent="0.3">
      <c r="A14895" s="66"/>
      <c r="B14895" s="67"/>
      <c r="C14895" s="66"/>
      <c r="D14895" s="68"/>
      <c r="E14895" s="10"/>
      <c r="F14895" s="69"/>
      <c r="G14895" s="68"/>
      <c r="H14895" s="70"/>
      <c r="BA14895" s="4"/>
      <c r="BB14895" s="4"/>
    </row>
    <row r="14896" spans="1:54" x14ac:dyDescent="0.3">
      <c r="A14896" s="66"/>
      <c r="B14896" s="67"/>
      <c r="C14896" s="66"/>
      <c r="D14896" s="68"/>
      <c r="E14896" s="10"/>
      <c r="F14896" s="69"/>
      <c r="G14896" s="68"/>
      <c r="H14896" s="70"/>
      <c r="BA14896" s="4"/>
      <c r="BB14896" s="4"/>
    </row>
    <row r="14897" spans="1:54" x14ac:dyDescent="0.3">
      <c r="A14897" s="66"/>
      <c r="B14897" s="67"/>
      <c r="C14897" s="66"/>
      <c r="D14897" s="68"/>
      <c r="E14897" s="10"/>
      <c r="F14897" s="69"/>
      <c r="G14897" s="68"/>
      <c r="H14897" s="70"/>
      <c r="BA14897" s="4"/>
      <c r="BB14897" s="4"/>
    </row>
    <row r="14898" spans="1:54" x14ac:dyDescent="0.3">
      <c r="A14898" s="66"/>
      <c r="B14898" s="67"/>
      <c r="C14898" s="66"/>
      <c r="D14898" s="68"/>
      <c r="E14898" s="10"/>
      <c r="F14898" s="69"/>
      <c r="G14898" s="68"/>
      <c r="H14898" s="70"/>
      <c r="BA14898" s="4"/>
      <c r="BB14898" s="4"/>
    </row>
    <row r="14899" spans="1:54" x14ac:dyDescent="0.3">
      <c r="A14899" s="66"/>
      <c r="B14899" s="67"/>
      <c r="C14899" s="66"/>
      <c r="D14899" s="68"/>
      <c r="E14899" s="10"/>
      <c r="F14899" s="69"/>
      <c r="G14899" s="68"/>
      <c r="H14899" s="70"/>
      <c r="BA14899" s="4"/>
      <c r="BB14899" s="4"/>
    </row>
    <row r="14900" spans="1:54" x14ac:dyDescent="0.3">
      <c r="A14900" s="66"/>
      <c r="B14900" s="67"/>
      <c r="C14900" s="66"/>
      <c r="D14900" s="68"/>
      <c r="E14900" s="10"/>
      <c r="F14900" s="69"/>
      <c r="G14900" s="68"/>
      <c r="H14900" s="70"/>
      <c r="BA14900" s="4"/>
      <c r="BB14900" s="4"/>
    </row>
    <row r="14901" spans="1:54" x14ac:dyDescent="0.3">
      <c r="A14901" s="66"/>
      <c r="B14901" s="67"/>
      <c r="C14901" s="66"/>
      <c r="D14901" s="68"/>
      <c r="E14901" s="10"/>
      <c r="F14901" s="69"/>
      <c r="G14901" s="68"/>
      <c r="H14901" s="70"/>
      <c r="BA14901" s="4"/>
      <c r="BB14901" s="4"/>
    </row>
    <row r="14902" spans="1:54" x14ac:dyDescent="0.3">
      <c r="A14902" s="66"/>
      <c r="B14902" s="67"/>
      <c r="C14902" s="66"/>
      <c r="D14902" s="68"/>
      <c r="E14902" s="10"/>
      <c r="F14902" s="69"/>
      <c r="G14902" s="68"/>
      <c r="H14902" s="70"/>
      <c r="BA14902" s="4"/>
      <c r="BB14902" s="4"/>
    </row>
    <row r="14903" spans="1:54" x14ac:dyDescent="0.3">
      <c r="A14903" s="66"/>
      <c r="B14903" s="67"/>
      <c r="C14903" s="66"/>
      <c r="D14903" s="68"/>
      <c r="E14903" s="10"/>
      <c r="F14903" s="69"/>
      <c r="G14903" s="68"/>
      <c r="H14903" s="70"/>
      <c r="BA14903" s="4"/>
      <c r="BB14903" s="4"/>
    </row>
    <row r="14904" spans="1:54" x14ac:dyDescent="0.3">
      <c r="A14904" s="66"/>
      <c r="B14904" s="67"/>
      <c r="C14904" s="66"/>
      <c r="D14904" s="68"/>
      <c r="E14904" s="10"/>
      <c r="F14904" s="69"/>
      <c r="G14904" s="68"/>
      <c r="H14904" s="70"/>
      <c r="BA14904" s="4"/>
      <c r="BB14904" s="4"/>
    </row>
    <row r="14905" spans="1:54" x14ac:dyDescent="0.3">
      <c r="A14905" s="66"/>
      <c r="B14905" s="67"/>
      <c r="C14905" s="66"/>
      <c r="D14905" s="68"/>
      <c r="E14905" s="10"/>
      <c r="F14905" s="69"/>
      <c r="G14905" s="68"/>
      <c r="H14905" s="70"/>
      <c r="BA14905" s="4"/>
      <c r="BB14905" s="4"/>
    </row>
    <row r="14906" spans="1:54" x14ac:dyDescent="0.3">
      <c r="A14906" s="66"/>
      <c r="B14906" s="67"/>
      <c r="C14906" s="66"/>
      <c r="D14906" s="68"/>
      <c r="E14906" s="10"/>
      <c r="F14906" s="69"/>
      <c r="G14906" s="68"/>
      <c r="H14906" s="70"/>
      <c r="BA14906" s="4"/>
      <c r="BB14906" s="4"/>
    </row>
    <row r="14907" spans="1:54" x14ac:dyDescent="0.3">
      <c r="A14907" s="66"/>
      <c r="B14907" s="67"/>
      <c r="C14907" s="66"/>
      <c r="D14907" s="68"/>
      <c r="E14907" s="10"/>
      <c r="F14907" s="69"/>
      <c r="G14907" s="68"/>
      <c r="H14907" s="70"/>
      <c r="BA14907" s="4"/>
      <c r="BB14907" s="4"/>
    </row>
    <row r="14908" spans="1:54" x14ac:dyDescent="0.3">
      <c r="A14908" s="66"/>
      <c r="B14908" s="67"/>
      <c r="C14908" s="66"/>
      <c r="D14908" s="68"/>
      <c r="E14908" s="10"/>
      <c r="F14908" s="69"/>
      <c r="G14908" s="68"/>
      <c r="H14908" s="70"/>
      <c r="BA14908" s="4"/>
      <c r="BB14908" s="4"/>
    </row>
    <row r="14909" spans="1:54" x14ac:dyDescent="0.3">
      <c r="A14909" s="66"/>
      <c r="B14909" s="67"/>
      <c r="C14909" s="66"/>
      <c r="D14909" s="68"/>
      <c r="E14909" s="10"/>
      <c r="F14909" s="69"/>
      <c r="G14909" s="68"/>
      <c r="H14909" s="70"/>
      <c r="BA14909" s="4"/>
      <c r="BB14909" s="4"/>
    </row>
    <row r="14910" spans="1:54" x14ac:dyDescent="0.3">
      <c r="A14910" s="66"/>
      <c r="B14910" s="67"/>
      <c r="C14910" s="66"/>
      <c r="D14910" s="68"/>
      <c r="E14910" s="10"/>
      <c r="F14910" s="69"/>
      <c r="G14910" s="68"/>
      <c r="H14910" s="70"/>
      <c r="BA14910" s="4"/>
      <c r="BB14910" s="4"/>
    </row>
    <row r="14911" spans="1:54" x14ac:dyDescent="0.3">
      <c r="A14911" s="66"/>
      <c r="B14911" s="67"/>
      <c r="C14911" s="66"/>
      <c r="D14911" s="68"/>
      <c r="E14911" s="10"/>
      <c r="F14911" s="69"/>
      <c r="G14911" s="68"/>
      <c r="H14911" s="70"/>
      <c r="BA14911" s="4"/>
      <c r="BB14911" s="4"/>
    </row>
    <row r="14912" spans="1:54" x14ac:dyDescent="0.3">
      <c r="A14912" s="66"/>
      <c r="B14912" s="67"/>
      <c r="C14912" s="66"/>
      <c r="D14912" s="68"/>
      <c r="E14912" s="10"/>
      <c r="F14912" s="69"/>
      <c r="G14912" s="68"/>
      <c r="H14912" s="70"/>
      <c r="BA14912" s="4"/>
      <c r="BB14912" s="4"/>
    </row>
    <row r="14913" spans="1:54" x14ac:dyDescent="0.3">
      <c r="A14913" s="66"/>
      <c r="B14913" s="67"/>
      <c r="C14913" s="66"/>
      <c r="D14913" s="68"/>
      <c r="E14913" s="10"/>
      <c r="F14913" s="69"/>
      <c r="G14913" s="68"/>
      <c r="H14913" s="70"/>
      <c r="BA14913" s="4"/>
      <c r="BB14913" s="4"/>
    </row>
    <row r="14914" spans="1:54" x14ac:dyDescent="0.3">
      <c r="A14914" s="66"/>
      <c r="B14914" s="67"/>
      <c r="C14914" s="66"/>
      <c r="D14914" s="68"/>
      <c r="E14914" s="10"/>
      <c r="F14914" s="69"/>
      <c r="G14914" s="68"/>
      <c r="H14914" s="70"/>
      <c r="BA14914" s="4"/>
      <c r="BB14914" s="4"/>
    </row>
    <row r="14915" spans="1:54" x14ac:dyDescent="0.3">
      <c r="A14915" s="66"/>
      <c r="B14915" s="67"/>
      <c r="C14915" s="66"/>
      <c r="D14915" s="68"/>
      <c r="E14915" s="10"/>
      <c r="F14915" s="69"/>
      <c r="G14915" s="68"/>
      <c r="H14915" s="70"/>
      <c r="BA14915" s="4"/>
      <c r="BB14915" s="4"/>
    </row>
    <row r="14916" spans="1:54" x14ac:dyDescent="0.3">
      <c r="A14916" s="66"/>
      <c r="B14916" s="67"/>
      <c r="C14916" s="66"/>
      <c r="D14916" s="68"/>
      <c r="E14916" s="10"/>
      <c r="F14916" s="69"/>
      <c r="G14916" s="68"/>
      <c r="H14916" s="70"/>
      <c r="BA14916" s="4"/>
      <c r="BB14916" s="4"/>
    </row>
    <row r="14917" spans="1:54" x14ac:dyDescent="0.3">
      <c r="A14917" s="66"/>
      <c r="B14917" s="67"/>
      <c r="C14917" s="66"/>
      <c r="D14917" s="68"/>
      <c r="E14917" s="10"/>
      <c r="F14917" s="69"/>
      <c r="G14917" s="68"/>
      <c r="H14917" s="70"/>
      <c r="BA14917" s="4"/>
      <c r="BB14917" s="4"/>
    </row>
    <row r="14918" spans="1:54" x14ac:dyDescent="0.3">
      <c r="A14918" s="66"/>
      <c r="B14918" s="67"/>
      <c r="C14918" s="66"/>
      <c r="D14918" s="68"/>
      <c r="E14918" s="10"/>
      <c r="F14918" s="69"/>
      <c r="G14918" s="68"/>
      <c r="H14918" s="70"/>
      <c r="BA14918" s="4"/>
      <c r="BB14918" s="4"/>
    </row>
    <row r="14919" spans="1:54" x14ac:dyDescent="0.3">
      <c r="A14919" s="66"/>
      <c r="B14919" s="67"/>
      <c r="C14919" s="66"/>
      <c r="D14919" s="68"/>
      <c r="E14919" s="10"/>
      <c r="F14919" s="69"/>
      <c r="G14919" s="68"/>
      <c r="H14919" s="70"/>
      <c r="BA14919" s="4"/>
      <c r="BB14919" s="4"/>
    </row>
    <row r="14920" spans="1:54" x14ac:dyDescent="0.3">
      <c r="A14920" s="66"/>
      <c r="B14920" s="67"/>
      <c r="C14920" s="66"/>
      <c r="D14920" s="68"/>
      <c r="E14920" s="10"/>
      <c r="F14920" s="69"/>
      <c r="G14920" s="68"/>
      <c r="H14920" s="70"/>
      <c r="BA14920" s="4"/>
      <c r="BB14920" s="4"/>
    </row>
    <row r="14921" spans="1:54" x14ac:dyDescent="0.3">
      <c r="A14921" s="66"/>
      <c r="B14921" s="67"/>
      <c r="C14921" s="66"/>
      <c r="D14921" s="68"/>
      <c r="E14921" s="10"/>
      <c r="F14921" s="69"/>
      <c r="G14921" s="68"/>
      <c r="H14921" s="70"/>
      <c r="BA14921" s="4"/>
      <c r="BB14921" s="4"/>
    </row>
    <row r="14922" spans="1:54" x14ac:dyDescent="0.3">
      <c r="A14922" s="66"/>
      <c r="B14922" s="67"/>
      <c r="C14922" s="66"/>
      <c r="D14922" s="68"/>
      <c r="E14922" s="10"/>
      <c r="F14922" s="69"/>
      <c r="G14922" s="68"/>
      <c r="H14922" s="70"/>
      <c r="BA14922" s="4"/>
      <c r="BB14922" s="4"/>
    </row>
    <row r="14923" spans="1:54" x14ac:dyDescent="0.3">
      <c r="A14923" s="66"/>
      <c r="B14923" s="67"/>
      <c r="C14923" s="66"/>
      <c r="D14923" s="68"/>
      <c r="E14923" s="10"/>
      <c r="F14923" s="69"/>
      <c r="G14923" s="68"/>
      <c r="H14923" s="70"/>
      <c r="BA14923" s="4"/>
      <c r="BB14923" s="4"/>
    </row>
    <row r="14924" spans="1:54" x14ac:dyDescent="0.3">
      <c r="A14924" s="66"/>
      <c r="B14924" s="67"/>
      <c r="C14924" s="66"/>
      <c r="D14924" s="68"/>
      <c r="E14924" s="10"/>
      <c r="F14924" s="69"/>
      <c r="G14924" s="68"/>
      <c r="H14924" s="70"/>
      <c r="BA14924" s="4"/>
      <c r="BB14924" s="4"/>
    </row>
    <row r="14925" spans="1:54" x14ac:dyDescent="0.3">
      <c r="A14925" s="66"/>
      <c r="B14925" s="67"/>
      <c r="C14925" s="66"/>
      <c r="D14925" s="68"/>
      <c r="E14925" s="10"/>
      <c r="F14925" s="69"/>
      <c r="G14925" s="68"/>
      <c r="H14925" s="70"/>
      <c r="BA14925" s="4"/>
      <c r="BB14925" s="4"/>
    </row>
    <row r="14926" spans="1:54" x14ac:dyDescent="0.3">
      <c r="A14926" s="66"/>
      <c r="B14926" s="67"/>
      <c r="C14926" s="66"/>
      <c r="D14926" s="68"/>
      <c r="E14926" s="10"/>
      <c r="F14926" s="69"/>
      <c r="G14926" s="68"/>
      <c r="H14926" s="70"/>
      <c r="BA14926" s="4"/>
      <c r="BB14926" s="4"/>
    </row>
    <row r="14927" spans="1:54" x14ac:dyDescent="0.3">
      <c r="A14927" s="66"/>
      <c r="B14927" s="67"/>
      <c r="C14927" s="66"/>
      <c r="D14927" s="68"/>
      <c r="E14927" s="10"/>
      <c r="F14927" s="69"/>
      <c r="G14927" s="68"/>
      <c r="H14927" s="70"/>
      <c r="BA14927" s="4"/>
      <c r="BB14927" s="4"/>
    </row>
    <row r="14928" spans="1:54" x14ac:dyDescent="0.3">
      <c r="A14928" s="66"/>
      <c r="B14928" s="67"/>
      <c r="C14928" s="66"/>
      <c r="D14928" s="68"/>
      <c r="E14928" s="10"/>
      <c r="F14928" s="69"/>
      <c r="G14928" s="68"/>
      <c r="H14928" s="70"/>
      <c r="BA14928" s="4"/>
      <c r="BB14928" s="4"/>
    </row>
    <row r="14929" spans="1:54" x14ac:dyDescent="0.3">
      <c r="A14929" s="66"/>
      <c r="B14929" s="67"/>
      <c r="C14929" s="66"/>
      <c r="D14929" s="68"/>
      <c r="E14929" s="10"/>
      <c r="F14929" s="69"/>
      <c r="G14929" s="68"/>
      <c r="H14929" s="70"/>
      <c r="BA14929" s="4"/>
      <c r="BB14929" s="4"/>
    </row>
    <row r="14930" spans="1:54" x14ac:dyDescent="0.3">
      <c r="A14930" s="66"/>
      <c r="B14930" s="67"/>
      <c r="C14930" s="66"/>
      <c r="D14930" s="68"/>
      <c r="E14930" s="10"/>
      <c r="F14930" s="69"/>
      <c r="G14930" s="68"/>
      <c r="H14930" s="70"/>
      <c r="BA14930" s="4"/>
      <c r="BB14930" s="4"/>
    </row>
    <row r="14931" spans="1:54" x14ac:dyDescent="0.3">
      <c r="A14931" s="66"/>
      <c r="B14931" s="67"/>
      <c r="C14931" s="66"/>
      <c r="D14931" s="68"/>
      <c r="E14931" s="10"/>
      <c r="F14931" s="69"/>
      <c r="G14931" s="68"/>
      <c r="H14931" s="70"/>
      <c r="BA14931" s="4"/>
      <c r="BB14931" s="4"/>
    </row>
    <row r="14932" spans="1:54" x14ac:dyDescent="0.3">
      <c r="A14932" s="66"/>
      <c r="B14932" s="67"/>
      <c r="C14932" s="66"/>
      <c r="D14932" s="68"/>
      <c r="E14932" s="10"/>
      <c r="F14932" s="69"/>
      <c r="G14932" s="68"/>
      <c r="H14932" s="70"/>
      <c r="BA14932" s="4"/>
      <c r="BB14932" s="4"/>
    </row>
    <row r="14933" spans="1:54" x14ac:dyDescent="0.3">
      <c r="A14933" s="66"/>
      <c r="B14933" s="67"/>
      <c r="C14933" s="66"/>
      <c r="D14933" s="68"/>
      <c r="E14933" s="10"/>
      <c r="F14933" s="69"/>
      <c r="G14933" s="68"/>
      <c r="H14933" s="70"/>
      <c r="BA14933" s="4"/>
      <c r="BB14933" s="4"/>
    </row>
    <row r="14934" spans="1:54" x14ac:dyDescent="0.3">
      <c r="A14934" s="66"/>
      <c r="B14934" s="67"/>
      <c r="C14934" s="66"/>
      <c r="D14934" s="68"/>
      <c r="E14934" s="10"/>
      <c r="F14934" s="69"/>
      <c r="G14934" s="68"/>
      <c r="H14934" s="70"/>
      <c r="BA14934" s="4"/>
      <c r="BB14934" s="4"/>
    </row>
    <row r="14935" spans="1:54" x14ac:dyDescent="0.3">
      <c r="A14935" s="66"/>
      <c r="B14935" s="67"/>
      <c r="C14935" s="66"/>
      <c r="D14935" s="68"/>
      <c r="E14935" s="10"/>
      <c r="F14935" s="69"/>
      <c r="G14935" s="68"/>
      <c r="H14935" s="70"/>
      <c r="BA14935" s="4"/>
      <c r="BB14935" s="4"/>
    </row>
    <row r="14936" spans="1:54" x14ac:dyDescent="0.3">
      <c r="A14936" s="66"/>
      <c r="B14936" s="67"/>
      <c r="C14936" s="66"/>
      <c r="D14936" s="68"/>
      <c r="E14936" s="10"/>
      <c r="F14936" s="69"/>
      <c r="G14936" s="68"/>
      <c r="H14936" s="70"/>
      <c r="BA14936" s="4"/>
      <c r="BB14936" s="4"/>
    </row>
    <row r="14937" spans="1:54" x14ac:dyDescent="0.3">
      <c r="A14937" s="66"/>
      <c r="B14937" s="67"/>
      <c r="C14937" s="66"/>
      <c r="D14937" s="68"/>
      <c r="E14937" s="10"/>
      <c r="F14937" s="69"/>
      <c r="G14937" s="68"/>
      <c r="H14937" s="70"/>
      <c r="BA14937" s="4"/>
      <c r="BB14937" s="4"/>
    </row>
    <row r="14938" spans="1:54" x14ac:dyDescent="0.3">
      <c r="A14938" s="66"/>
      <c r="B14938" s="67"/>
      <c r="C14938" s="66"/>
      <c r="D14938" s="68"/>
      <c r="E14938" s="10"/>
      <c r="F14938" s="69"/>
      <c r="G14938" s="68"/>
      <c r="H14938" s="70"/>
      <c r="BA14938" s="4"/>
      <c r="BB14938" s="4"/>
    </row>
    <row r="14939" spans="1:54" x14ac:dyDescent="0.3">
      <c r="A14939" s="66"/>
      <c r="B14939" s="67"/>
      <c r="C14939" s="66"/>
      <c r="D14939" s="68"/>
      <c r="E14939" s="10"/>
      <c r="F14939" s="69"/>
      <c r="G14939" s="68"/>
      <c r="H14939" s="70"/>
      <c r="BA14939" s="4"/>
      <c r="BB14939" s="4"/>
    </row>
    <row r="14940" spans="1:54" x14ac:dyDescent="0.3">
      <c r="A14940" s="66"/>
      <c r="B14940" s="67"/>
      <c r="C14940" s="66"/>
      <c r="D14940" s="68"/>
      <c r="E14940" s="10"/>
      <c r="F14940" s="69"/>
      <c r="G14940" s="68"/>
      <c r="H14940" s="70"/>
      <c r="BA14940" s="4"/>
      <c r="BB14940" s="4"/>
    </row>
    <row r="14941" spans="1:54" x14ac:dyDescent="0.3">
      <c r="A14941" s="66"/>
      <c r="B14941" s="67"/>
      <c r="C14941" s="66"/>
      <c r="D14941" s="68"/>
      <c r="E14941" s="10"/>
      <c r="F14941" s="69"/>
      <c r="G14941" s="68"/>
      <c r="H14941" s="70"/>
      <c r="BA14941" s="4"/>
      <c r="BB14941" s="4"/>
    </row>
    <row r="14942" spans="1:54" x14ac:dyDescent="0.3">
      <c r="A14942" s="66"/>
      <c r="B14942" s="67"/>
      <c r="C14942" s="66"/>
      <c r="D14942" s="68"/>
      <c r="E14942" s="10"/>
      <c r="F14942" s="69"/>
      <c r="G14942" s="68"/>
      <c r="H14942" s="70"/>
      <c r="BA14942" s="4"/>
      <c r="BB14942" s="4"/>
    </row>
    <row r="14943" spans="1:54" x14ac:dyDescent="0.3">
      <c r="A14943" s="66"/>
      <c r="B14943" s="67"/>
      <c r="C14943" s="66"/>
      <c r="D14943" s="68"/>
      <c r="E14943" s="10"/>
      <c r="F14943" s="69"/>
      <c r="G14943" s="68"/>
      <c r="H14943" s="70"/>
      <c r="BA14943" s="4"/>
      <c r="BB14943" s="4"/>
    </row>
    <row r="14944" spans="1:54" x14ac:dyDescent="0.3">
      <c r="A14944" s="66"/>
      <c r="B14944" s="67"/>
      <c r="C14944" s="66"/>
      <c r="D14944" s="68"/>
      <c r="E14944" s="10"/>
      <c r="F14944" s="69"/>
      <c r="G14944" s="68"/>
      <c r="H14944" s="70"/>
      <c r="BA14944" s="4"/>
      <c r="BB14944" s="4"/>
    </row>
    <row r="14945" spans="1:54" x14ac:dyDescent="0.3">
      <c r="A14945" s="66"/>
      <c r="B14945" s="67"/>
      <c r="C14945" s="66"/>
      <c r="D14945" s="68"/>
      <c r="E14945" s="10"/>
      <c r="F14945" s="69"/>
      <c r="G14945" s="68"/>
      <c r="H14945" s="70"/>
      <c r="BA14945" s="4"/>
      <c r="BB14945" s="4"/>
    </row>
    <row r="14946" spans="1:54" x14ac:dyDescent="0.3">
      <c r="A14946" s="66"/>
      <c r="B14946" s="67"/>
      <c r="C14946" s="66"/>
      <c r="D14946" s="68"/>
      <c r="E14946" s="10"/>
      <c r="F14946" s="69"/>
      <c r="G14946" s="68"/>
      <c r="H14946" s="70"/>
      <c r="BA14946" s="4"/>
      <c r="BB14946" s="4"/>
    </row>
    <row r="14947" spans="1:54" x14ac:dyDescent="0.3">
      <c r="A14947" s="66"/>
      <c r="B14947" s="67"/>
      <c r="C14947" s="66"/>
      <c r="D14947" s="68"/>
      <c r="E14947" s="10"/>
      <c r="F14947" s="69"/>
      <c r="G14947" s="68"/>
      <c r="H14947" s="70"/>
      <c r="BA14947" s="4"/>
      <c r="BB14947" s="4"/>
    </row>
    <row r="14948" spans="1:54" x14ac:dyDescent="0.3">
      <c r="A14948" s="66"/>
      <c r="B14948" s="67"/>
      <c r="C14948" s="66"/>
      <c r="D14948" s="68"/>
      <c r="E14948" s="10"/>
      <c r="F14948" s="69"/>
      <c r="G14948" s="68"/>
      <c r="H14948" s="70"/>
      <c r="BA14948" s="4"/>
      <c r="BB14948" s="4"/>
    </row>
    <row r="14949" spans="1:54" x14ac:dyDescent="0.3">
      <c r="A14949" s="66"/>
      <c r="B14949" s="67"/>
      <c r="C14949" s="66"/>
      <c r="D14949" s="68"/>
      <c r="E14949" s="10"/>
      <c r="F14949" s="69"/>
      <c r="G14949" s="68"/>
      <c r="H14949" s="70"/>
      <c r="BA14949" s="4"/>
      <c r="BB14949" s="4"/>
    </row>
    <row r="14950" spans="1:54" x14ac:dyDescent="0.3">
      <c r="A14950" s="66"/>
      <c r="B14950" s="67"/>
      <c r="C14950" s="66"/>
      <c r="D14950" s="68"/>
      <c r="E14950" s="10"/>
      <c r="F14950" s="69"/>
      <c r="G14950" s="68"/>
      <c r="H14950" s="70"/>
      <c r="BA14950" s="4"/>
      <c r="BB14950" s="4"/>
    </row>
    <row r="14951" spans="1:54" x14ac:dyDescent="0.3">
      <c r="A14951" s="66"/>
      <c r="B14951" s="67"/>
      <c r="C14951" s="66"/>
      <c r="D14951" s="68"/>
      <c r="E14951" s="10"/>
      <c r="F14951" s="69"/>
      <c r="G14951" s="68"/>
      <c r="H14951" s="70"/>
      <c r="BA14951" s="4"/>
      <c r="BB14951" s="4"/>
    </row>
    <row r="14952" spans="1:54" x14ac:dyDescent="0.3">
      <c r="A14952" s="66"/>
      <c r="B14952" s="67"/>
      <c r="C14952" s="66"/>
      <c r="D14952" s="68"/>
      <c r="E14952" s="10"/>
      <c r="F14952" s="69"/>
      <c r="G14952" s="68"/>
      <c r="H14952" s="70"/>
      <c r="BA14952" s="4"/>
      <c r="BB14952" s="4"/>
    </row>
    <row r="14953" spans="1:54" x14ac:dyDescent="0.3">
      <c r="A14953" s="66"/>
      <c r="B14953" s="67"/>
      <c r="C14953" s="66"/>
      <c r="D14953" s="68"/>
      <c r="E14953" s="10"/>
      <c r="F14953" s="69"/>
      <c r="G14953" s="68"/>
      <c r="H14953" s="70"/>
      <c r="BA14953" s="4"/>
      <c r="BB14953" s="4"/>
    </row>
    <row r="14954" spans="1:54" x14ac:dyDescent="0.3">
      <c r="A14954" s="66"/>
      <c r="B14954" s="67"/>
      <c r="C14954" s="66"/>
      <c r="D14954" s="68"/>
      <c r="E14954" s="10"/>
      <c r="F14954" s="69"/>
      <c r="G14954" s="68"/>
      <c r="H14954" s="70"/>
      <c r="BA14954" s="4"/>
      <c r="BB14954" s="4"/>
    </row>
    <row r="14955" spans="1:54" x14ac:dyDescent="0.3">
      <c r="A14955" s="66"/>
      <c r="B14955" s="67"/>
      <c r="C14955" s="66"/>
      <c r="D14955" s="68"/>
      <c r="E14955" s="10"/>
      <c r="F14955" s="69"/>
      <c r="G14955" s="68"/>
      <c r="H14955" s="70"/>
      <c r="BA14955" s="4"/>
      <c r="BB14955" s="4"/>
    </row>
    <row r="14956" spans="1:54" x14ac:dyDescent="0.3">
      <c r="A14956" s="66"/>
      <c r="B14956" s="67"/>
      <c r="C14956" s="66"/>
      <c r="D14956" s="68"/>
      <c r="E14956" s="10"/>
      <c r="F14956" s="69"/>
      <c r="G14956" s="68"/>
      <c r="H14956" s="70"/>
      <c r="BA14956" s="4"/>
      <c r="BB14956" s="4"/>
    </row>
    <row r="14957" spans="1:54" x14ac:dyDescent="0.3">
      <c r="A14957" s="66"/>
      <c r="B14957" s="67"/>
      <c r="C14957" s="66"/>
      <c r="D14957" s="68"/>
      <c r="E14957" s="10"/>
      <c r="F14957" s="69"/>
      <c r="G14957" s="68"/>
      <c r="H14957" s="70"/>
      <c r="BA14957" s="4"/>
      <c r="BB14957" s="4"/>
    </row>
    <row r="14958" spans="1:54" x14ac:dyDescent="0.3">
      <c r="A14958" s="66"/>
      <c r="B14958" s="67"/>
      <c r="C14958" s="66"/>
      <c r="D14958" s="68"/>
      <c r="E14958" s="10"/>
      <c r="F14958" s="69"/>
      <c r="G14958" s="68"/>
      <c r="H14958" s="70"/>
      <c r="BA14958" s="4"/>
      <c r="BB14958" s="4"/>
    </row>
    <row r="14959" spans="1:54" x14ac:dyDescent="0.3">
      <c r="A14959" s="66"/>
      <c r="B14959" s="67"/>
      <c r="C14959" s="66"/>
      <c r="D14959" s="68"/>
      <c r="E14959" s="10"/>
      <c r="F14959" s="69"/>
      <c r="G14959" s="68"/>
      <c r="H14959" s="70"/>
      <c r="BA14959" s="4"/>
      <c r="BB14959" s="4"/>
    </row>
    <row r="14960" spans="1:54" x14ac:dyDescent="0.3">
      <c r="A14960" s="66"/>
      <c r="B14960" s="67"/>
      <c r="C14960" s="66"/>
      <c r="D14960" s="68"/>
      <c r="E14960" s="10"/>
      <c r="F14960" s="69"/>
      <c r="G14960" s="68"/>
      <c r="H14960" s="70"/>
      <c r="BA14960" s="4"/>
      <c r="BB14960" s="4"/>
    </row>
    <row r="14961" spans="1:54" x14ac:dyDescent="0.3">
      <c r="A14961" s="66"/>
      <c r="B14961" s="67"/>
      <c r="C14961" s="66"/>
      <c r="D14961" s="68"/>
      <c r="E14961" s="10"/>
      <c r="F14961" s="69"/>
      <c r="G14961" s="68"/>
      <c r="H14961" s="70"/>
      <c r="BA14961" s="4"/>
      <c r="BB14961" s="4"/>
    </row>
    <row r="14962" spans="1:54" x14ac:dyDescent="0.3">
      <c r="A14962" s="66"/>
      <c r="B14962" s="67"/>
      <c r="C14962" s="66"/>
      <c r="D14962" s="68"/>
      <c r="E14962" s="10"/>
      <c r="F14962" s="69"/>
      <c r="G14962" s="68"/>
      <c r="H14962" s="70"/>
      <c r="BA14962" s="4"/>
      <c r="BB14962" s="4"/>
    </row>
    <row r="14963" spans="1:54" x14ac:dyDescent="0.3">
      <c r="A14963" s="66"/>
      <c r="B14963" s="67"/>
      <c r="C14963" s="66"/>
      <c r="D14963" s="68"/>
      <c r="E14963" s="10"/>
      <c r="F14963" s="69"/>
      <c r="G14963" s="68"/>
      <c r="H14963" s="70"/>
      <c r="BA14963" s="4"/>
      <c r="BB14963" s="4"/>
    </row>
    <row r="14964" spans="1:54" x14ac:dyDescent="0.3">
      <c r="A14964" s="66"/>
      <c r="B14964" s="67"/>
      <c r="C14964" s="66"/>
      <c r="D14964" s="68"/>
      <c r="E14964" s="10"/>
      <c r="F14964" s="69"/>
      <c r="G14964" s="68"/>
      <c r="H14964" s="70"/>
      <c r="BA14964" s="4"/>
      <c r="BB14964" s="4"/>
    </row>
    <row r="14965" spans="1:54" x14ac:dyDescent="0.3">
      <c r="A14965" s="66"/>
      <c r="B14965" s="67"/>
      <c r="C14965" s="66"/>
      <c r="D14965" s="68"/>
      <c r="E14965" s="10"/>
      <c r="F14965" s="69"/>
      <c r="G14965" s="68"/>
      <c r="H14965" s="70"/>
      <c r="BA14965" s="4"/>
      <c r="BB14965" s="4"/>
    </row>
    <row r="14966" spans="1:54" x14ac:dyDescent="0.3">
      <c r="A14966" s="66"/>
      <c r="B14966" s="67"/>
      <c r="C14966" s="66"/>
      <c r="D14966" s="68"/>
      <c r="E14966" s="10"/>
      <c r="F14966" s="69"/>
      <c r="G14966" s="68"/>
      <c r="H14966" s="70"/>
      <c r="BA14966" s="4"/>
      <c r="BB14966" s="4"/>
    </row>
    <row r="14967" spans="1:54" x14ac:dyDescent="0.3">
      <c r="A14967" s="66"/>
      <c r="B14967" s="67"/>
      <c r="C14967" s="66"/>
      <c r="D14967" s="68"/>
      <c r="E14967" s="10"/>
      <c r="F14967" s="69"/>
      <c r="G14967" s="68"/>
      <c r="H14967" s="70"/>
      <c r="BA14967" s="4"/>
      <c r="BB14967" s="4"/>
    </row>
    <row r="14968" spans="1:54" x14ac:dyDescent="0.3">
      <c r="A14968" s="66"/>
      <c r="B14968" s="67"/>
      <c r="C14968" s="66"/>
      <c r="D14968" s="68"/>
      <c r="E14968" s="10"/>
      <c r="F14968" s="69"/>
      <c r="G14968" s="68"/>
      <c r="H14968" s="70"/>
      <c r="BA14968" s="4"/>
      <c r="BB14968" s="4"/>
    </row>
    <row r="14969" spans="1:54" x14ac:dyDescent="0.3">
      <c r="A14969" s="66"/>
      <c r="B14969" s="67"/>
      <c r="C14969" s="66"/>
      <c r="D14969" s="68"/>
      <c r="E14969" s="10"/>
      <c r="F14969" s="69"/>
      <c r="G14969" s="68"/>
      <c r="H14969" s="70"/>
      <c r="BA14969" s="4"/>
      <c r="BB14969" s="4"/>
    </row>
    <row r="14970" spans="1:54" x14ac:dyDescent="0.3">
      <c r="A14970" s="66"/>
      <c r="B14970" s="67"/>
      <c r="C14970" s="66"/>
      <c r="D14970" s="68"/>
      <c r="E14970" s="10"/>
      <c r="F14970" s="69"/>
      <c r="G14970" s="68"/>
      <c r="H14970" s="70"/>
      <c r="BA14970" s="4"/>
      <c r="BB14970" s="4"/>
    </row>
    <row r="14971" spans="1:54" x14ac:dyDescent="0.3">
      <c r="A14971" s="66"/>
      <c r="B14971" s="67"/>
      <c r="C14971" s="66"/>
      <c r="D14971" s="68"/>
      <c r="E14971" s="10"/>
      <c r="F14971" s="69"/>
      <c r="G14971" s="68"/>
      <c r="H14971" s="70"/>
      <c r="BA14971" s="4"/>
      <c r="BB14971" s="4"/>
    </row>
    <row r="14972" spans="1:54" x14ac:dyDescent="0.3">
      <c r="A14972" s="66"/>
      <c r="B14972" s="67"/>
      <c r="C14972" s="66"/>
      <c r="D14972" s="68"/>
      <c r="E14972" s="10"/>
      <c r="F14972" s="69"/>
      <c r="G14972" s="68"/>
      <c r="H14972" s="70"/>
      <c r="BA14972" s="4"/>
      <c r="BB14972" s="4"/>
    </row>
    <row r="14973" spans="1:54" x14ac:dyDescent="0.3">
      <c r="A14973" s="66"/>
      <c r="B14973" s="67"/>
      <c r="C14973" s="66"/>
      <c r="D14973" s="68"/>
      <c r="E14973" s="10"/>
      <c r="F14973" s="69"/>
      <c r="G14973" s="68"/>
      <c r="H14973" s="70"/>
      <c r="BA14973" s="4"/>
      <c r="BB14973" s="4"/>
    </row>
    <row r="14974" spans="1:54" x14ac:dyDescent="0.3">
      <c r="A14974" s="66"/>
      <c r="B14974" s="67"/>
      <c r="C14974" s="66"/>
      <c r="D14974" s="68"/>
      <c r="E14974" s="10"/>
      <c r="F14974" s="69"/>
      <c r="G14974" s="68"/>
      <c r="H14974" s="70"/>
      <c r="BA14974" s="4"/>
      <c r="BB14974" s="4"/>
    </row>
    <row r="14975" spans="1:54" x14ac:dyDescent="0.3">
      <c r="A14975" s="66"/>
      <c r="B14975" s="67"/>
      <c r="C14975" s="66"/>
      <c r="D14975" s="68"/>
      <c r="E14975" s="10"/>
      <c r="F14975" s="69"/>
      <c r="G14975" s="68"/>
      <c r="H14975" s="70"/>
      <c r="BA14975" s="4"/>
      <c r="BB14975" s="4"/>
    </row>
    <row r="14976" spans="1:54" x14ac:dyDescent="0.3">
      <c r="A14976" s="66"/>
      <c r="B14976" s="67"/>
      <c r="C14976" s="66"/>
      <c r="D14976" s="68"/>
      <c r="E14976" s="10"/>
      <c r="F14976" s="69"/>
      <c r="G14976" s="68"/>
      <c r="H14976" s="70"/>
      <c r="BA14976" s="4"/>
      <c r="BB14976" s="4"/>
    </row>
    <row r="14977" spans="1:54" x14ac:dyDescent="0.3">
      <c r="A14977" s="66"/>
      <c r="B14977" s="67"/>
      <c r="C14977" s="66"/>
      <c r="D14977" s="68"/>
      <c r="E14977" s="10"/>
      <c r="F14977" s="69"/>
      <c r="G14977" s="68"/>
      <c r="H14977" s="70"/>
      <c r="BA14977" s="4"/>
      <c r="BB14977" s="4"/>
    </row>
    <row r="14978" spans="1:54" x14ac:dyDescent="0.3">
      <c r="A14978" s="66"/>
      <c r="B14978" s="67"/>
      <c r="C14978" s="66"/>
      <c r="D14978" s="68"/>
      <c r="E14978" s="10"/>
      <c r="F14978" s="69"/>
      <c r="G14978" s="68"/>
      <c r="H14978" s="70"/>
      <c r="BA14978" s="4"/>
      <c r="BB14978" s="4"/>
    </row>
    <row r="14979" spans="1:54" x14ac:dyDescent="0.3">
      <c r="A14979" s="66"/>
      <c r="B14979" s="67"/>
      <c r="C14979" s="66"/>
      <c r="D14979" s="68"/>
      <c r="E14979" s="10"/>
      <c r="F14979" s="69"/>
      <c r="G14979" s="68"/>
      <c r="H14979" s="70"/>
      <c r="BA14979" s="4"/>
      <c r="BB14979" s="4"/>
    </row>
    <row r="14980" spans="1:54" x14ac:dyDescent="0.3">
      <c r="A14980" s="66"/>
      <c r="B14980" s="67"/>
      <c r="C14980" s="66"/>
      <c r="D14980" s="68"/>
      <c r="E14980" s="10"/>
      <c r="F14980" s="69"/>
      <c r="G14980" s="68"/>
      <c r="H14980" s="70"/>
      <c r="BA14980" s="4"/>
      <c r="BB14980" s="4"/>
    </row>
    <row r="14981" spans="1:54" x14ac:dyDescent="0.3">
      <c r="A14981" s="66"/>
      <c r="B14981" s="67"/>
      <c r="C14981" s="66"/>
      <c r="D14981" s="68"/>
      <c r="E14981" s="10"/>
      <c r="F14981" s="69"/>
      <c r="G14981" s="68"/>
      <c r="H14981" s="70"/>
      <c r="BA14981" s="4"/>
      <c r="BB14981" s="4"/>
    </row>
    <row r="14982" spans="1:54" x14ac:dyDescent="0.3">
      <c r="A14982" s="66"/>
      <c r="B14982" s="67"/>
      <c r="C14982" s="66"/>
      <c r="D14982" s="68"/>
      <c r="E14982" s="10"/>
      <c r="F14982" s="69"/>
      <c r="G14982" s="68"/>
      <c r="H14982" s="70"/>
      <c r="BA14982" s="4"/>
      <c r="BB14982" s="4"/>
    </row>
    <row r="14983" spans="1:54" x14ac:dyDescent="0.3">
      <c r="A14983" s="66"/>
      <c r="B14983" s="67"/>
      <c r="C14983" s="66"/>
      <c r="D14983" s="68"/>
      <c r="E14983" s="10"/>
      <c r="F14983" s="69"/>
      <c r="G14983" s="68"/>
      <c r="H14983" s="70"/>
      <c r="BA14983" s="4"/>
      <c r="BB14983" s="4"/>
    </row>
    <row r="14984" spans="1:54" x14ac:dyDescent="0.3">
      <c r="A14984" s="66"/>
      <c r="B14984" s="67"/>
      <c r="C14984" s="66"/>
      <c r="D14984" s="68"/>
      <c r="E14984" s="10"/>
      <c r="F14984" s="69"/>
      <c r="G14984" s="68"/>
      <c r="H14984" s="70"/>
      <c r="BA14984" s="4"/>
      <c r="BB14984" s="4"/>
    </row>
    <row r="14985" spans="1:54" x14ac:dyDescent="0.3">
      <c r="A14985" s="66"/>
      <c r="B14985" s="67"/>
      <c r="C14985" s="66"/>
      <c r="D14985" s="68"/>
      <c r="E14985" s="10"/>
      <c r="F14985" s="69"/>
      <c r="G14985" s="68"/>
      <c r="H14985" s="70"/>
      <c r="BA14985" s="4"/>
      <c r="BB14985" s="4"/>
    </row>
    <row r="14986" spans="1:54" x14ac:dyDescent="0.3">
      <c r="A14986" s="66"/>
      <c r="B14986" s="67"/>
      <c r="C14986" s="66"/>
      <c r="D14986" s="68"/>
      <c r="E14986" s="10"/>
      <c r="F14986" s="69"/>
      <c r="G14986" s="68"/>
      <c r="H14986" s="70"/>
      <c r="BA14986" s="4"/>
      <c r="BB14986" s="4"/>
    </row>
    <row r="14987" spans="1:54" x14ac:dyDescent="0.3">
      <c r="A14987" s="66"/>
      <c r="B14987" s="67"/>
      <c r="C14987" s="66"/>
      <c r="D14987" s="68"/>
      <c r="E14987" s="10"/>
      <c r="F14987" s="69"/>
      <c r="G14987" s="68"/>
      <c r="H14987" s="70"/>
      <c r="BA14987" s="4"/>
      <c r="BB14987" s="4"/>
    </row>
    <row r="14988" spans="1:54" x14ac:dyDescent="0.3">
      <c r="A14988" s="66"/>
      <c r="B14988" s="67"/>
      <c r="C14988" s="66"/>
      <c r="D14988" s="68"/>
      <c r="E14988" s="10"/>
      <c r="F14988" s="69"/>
      <c r="G14988" s="68"/>
      <c r="H14988" s="70"/>
      <c r="BA14988" s="4"/>
      <c r="BB14988" s="4"/>
    </row>
    <row r="14989" spans="1:54" x14ac:dyDescent="0.3">
      <c r="A14989" s="66"/>
      <c r="B14989" s="67"/>
      <c r="C14989" s="66"/>
      <c r="D14989" s="68"/>
      <c r="E14989" s="10"/>
      <c r="F14989" s="69"/>
      <c r="G14989" s="68"/>
      <c r="H14989" s="70"/>
      <c r="BA14989" s="4"/>
      <c r="BB14989" s="4"/>
    </row>
    <row r="14990" spans="1:54" x14ac:dyDescent="0.3">
      <c r="A14990" s="66"/>
      <c r="B14990" s="67"/>
      <c r="C14990" s="66"/>
      <c r="D14990" s="68"/>
      <c r="E14990" s="10"/>
      <c r="F14990" s="69"/>
      <c r="G14990" s="68"/>
      <c r="H14990" s="70"/>
      <c r="BA14990" s="4"/>
      <c r="BB14990" s="4"/>
    </row>
    <row r="14991" spans="1:54" x14ac:dyDescent="0.3">
      <c r="A14991" s="66"/>
      <c r="B14991" s="67"/>
      <c r="C14991" s="66"/>
      <c r="D14991" s="68"/>
      <c r="E14991" s="10"/>
      <c r="F14991" s="69"/>
      <c r="G14991" s="68"/>
      <c r="H14991" s="70"/>
      <c r="BA14991" s="4"/>
      <c r="BB14991" s="4"/>
    </row>
    <row r="14992" spans="1:54" x14ac:dyDescent="0.3">
      <c r="A14992" s="66"/>
      <c r="B14992" s="67"/>
      <c r="C14992" s="66"/>
      <c r="D14992" s="68"/>
      <c r="E14992" s="10"/>
      <c r="F14992" s="69"/>
      <c r="G14992" s="68"/>
      <c r="H14992" s="70"/>
      <c r="BA14992" s="4"/>
      <c r="BB14992" s="4"/>
    </row>
    <row r="14993" spans="1:54" x14ac:dyDescent="0.3">
      <c r="A14993" s="66"/>
      <c r="B14993" s="67"/>
      <c r="C14993" s="66"/>
      <c r="D14993" s="68"/>
      <c r="E14993" s="10"/>
      <c r="F14993" s="69"/>
      <c r="G14993" s="68"/>
      <c r="H14993" s="70"/>
      <c r="BA14993" s="4"/>
      <c r="BB14993" s="4"/>
    </row>
    <row r="14994" spans="1:54" x14ac:dyDescent="0.3">
      <c r="A14994" s="66"/>
      <c r="B14994" s="67"/>
      <c r="C14994" s="66"/>
      <c r="D14994" s="68"/>
      <c r="E14994" s="10"/>
      <c r="F14994" s="69"/>
      <c r="G14994" s="68"/>
      <c r="H14994" s="70"/>
      <c r="BA14994" s="4"/>
      <c r="BB14994" s="4"/>
    </row>
    <row r="14995" spans="1:54" x14ac:dyDescent="0.3">
      <c r="A14995" s="66"/>
      <c r="B14995" s="67"/>
      <c r="C14995" s="66"/>
      <c r="D14995" s="68"/>
      <c r="E14995" s="10"/>
      <c r="F14995" s="69"/>
      <c r="G14995" s="68"/>
      <c r="H14995" s="70"/>
      <c r="BA14995" s="4"/>
      <c r="BB14995" s="4"/>
    </row>
    <row r="14996" spans="1:54" x14ac:dyDescent="0.3">
      <c r="A14996" s="66"/>
      <c r="B14996" s="67"/>
      <c r="C14996" s="66"/>
      <c r="D14996" s="68"/>
      <c r="E14996" s="10"/>
      <c r="F14996" s="69"/>
      <c r="G14996" s="68"/>
      <c r="H14996" s="70"/>
      <c r="BA14996" s="4"/>
      <c r="BB14996" s="4"/>
    </row>
    <row r="14997" spans="1:54" x14ac:dyDescent="0.3">
      <c r="A14997" s="66"/>
      <c r="B14997" s="67"/>
      <c r="C14997" s="66"/>
      <c r="D14997" s="68"/>
      <c r="E14997" s="10"/>
      <c r="F14997" s="69"/>
      <c r="G14997" s="68"/>
      <c r="H14997" s="70"/>
      <c r="BA14997" s="4"/>
      <c r="BB14997" s="4"/>
    </row>
    <row r="14998" spans="1:54" x14ac:dyDescent="0.3">
      <c r="A14998" s="66"/>
      <c r="B14998" s="67"/>
      <c r="C14998" s="66"/>
      <c r="D14998" s="68"/>
      <c r="E14998" s="10"/>
      <c r="F14998" s="69"/>
      <c r="G14998" s="68"/>
      <c r="H14998" s="70"/>
      <c r="BA14998" s="4"/>
      <c r="BB14998" s="4"/>
    </row>
    <row r="14999" spans="1:54" x14ac:dyDescent="0.3">
      <c r="A14999" s="66"/>
      <c r="B14999" s="67"/>
      <c r="C14999" s="66"/>
      <c r="D14999" s="68"/>
      <c r="E14999" s="10"/>
      <c r="F14999" s="69"/>
      <c r="G14999" s="68"/>
      <c r="H14999" s="70"/>
      <c r="BA14999" s="4"/>
      <c r="BB14999" s="4"/>
    </row>
    <row r="15000" spans="1:54" x14ac:dyDescent="0.3">
      <c r="A15000" s="66"/>
      <c r="B15000" s="67"/>
      <c r="C15000" s="66"/>
      <c r="D15000" s="68"/>
      <c r="E15000" s="10"/>
      <c r="F15000" s="69"/>
      <c r="G15000" s="68"/>
      <c r="H15000" s="70"/>
      <c r="BA15000" s="4"/>
      <c r="BB15000" s="4"/>
    </row>
    <row r="15001" spans="1:54" x14ac:dyDescent="0.3">
      <c r="A15001" s="66"/>
      <c r="B15001" s="67"/>
      <c r="C15001" s="66"/>
      <c r="D15001" s="68"/>
      <c r="E15001" s="10"/>
      <c r="F15001" s="69"/>
      <c r="G15001" s="68"/>
      <c r="H15001" s="70"/>
      <c r="BA15001" s="4"/>
      <c r="BB15001" s="4"/>
    </row>
    <row r="15002" spans="1:54" x14ac:dyDescent="0.3">
      <c r="A15002" s="66"/>
      <c r="B15002" s="67"/>
      <c r="C15002" s="66"/>
      <c r="D15002" s="68"/>
      <c r="E15002" s="10"/>
      <c r="F15002" s="69"/>
      <c r="G15002" s="68"/>
      <c r="H15002" s="70"/>
      <c r="BA15002" s="4"/>
      <c r="BB15002" s="4"/>
    </row>
    <row r="15003" spans="1:54" x14ac:dyDescent="0.3">
      <c r="A15003" s="66"/>
      <c r="B15003" s="67"/>
      <c r="C15003" s="66"/>
      <c r="D15003" s="68"/>
      <c r="E15003" s="10"/>
      <c r="F15003" s="69"/>
      <c r="G15003" s="68"/>
      <c r="H15003" s="70"/>
      <c r="BA15003" s="4"/>
      <c r="BB15003" s="4"/>
    </row>
  </sheetData>
  <sheetProtection algorithmName="SHA-512" hashValue="3LTZDZqUAvRrjBz14y4XScSRbV6k2nm8HGe88yS93lPpJdn/yPm2ncbXqQNy3knGh+MsioW6Q8DKAnUu3taoZg==" saltValue="/NwG8+QybR63Qpmrigdzlg==" spinCount="100000" sheet="1" scenarios="1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388620</xdr:rowOff>
                  </from>
                  <to>
                    <xdr:col>8</xdr:col>
                    <xdr:colOff>937260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I182"/>
  <sheetViews>
    <sheetView showGridLines="0" workbookViewId="0"/>
  </sheetViews>
  <sheetFormatPr defaultRowHeight="14.4" x14ac:dyDescent="0.3"/>
  <sheetData>
    <row r="1" spans="1:87" x14ac:dyDescent="0.3">
      <c r="BT1" s="30">
        <f>IF($CH$1=0,"",IF(AND(ISNUMBER(INDEX(lsMedN1,$CH$1)),ISNUMBER(INDEX(lsDPN1,$CH$1))),IF(INDEX(lsDPN1,$CH$1)&gt;0,INDEX(lsMedN1,$CH$1),""),""))</f>
        <v>2.3066</v>
      </c>
      <c r="BU1" s="30">
        <f>IF($CH$1=0,"",IF(AND(ISNUMBER(INDEX(lsMedN1,$CH$1)),ISNUMBER(INDEX(lsDPN1,$CH$1))),IF(INDEX(lsDPN1,$CH$1)&gt;0,INDEX(lsDPN1,$CH$1),""),""))</f>
        <v>2.1899999999999999E-2</v>
      </c>
      <c r="BV1" s="30">
        <f>IF($CH$1=0,"",IF(AND(ISNUMBER(INDEX(lsMedN2,$CH$1)),ISNUMBER(INDEX(lsDPN2,$CH$1))),IF(INDEX(lsDPN2,$CH$1)&gt;0,INDEX(lsMedN2,$CH$1),""),""))</f>
        <v>4.3769</v>
      </c>
      <c r="BW1" s="30">
        <f>IF($CH$1=0,"",IF(AND(ISNUMBER(INDEX(lsMedN2,$CH$1)),ISNUMBER(INDEX(lsDPN2,$CH$1))),IF(INDEX(lsDPN2,$CH$1)&gt;0,INDEX(lsDPN2,$CH$1),""),""))</f>
        <v>3.5000000000000003E-2</v>
      </c>
      <c r="BX1" s="30">
        <f>IF($CH$1=0,"",IF(AND(ISNUMBER(INDEX(lsMedN3,$CH$1)),ISNUMBER(INDEX(lsDPN3,$CH$1))),IF(INDEX(lsDPN3,$CH$1)&gt;0,INDEX(lsMedN3,$CH$1),""),""))</f>
        <v>5.1227999999999998</v>
      </c>
      <c r="BY1" s="30">
        <f>IF($CH$1=0,"",IF(AND(ISNUMBER(INDEX(lsMedN3,$CH$1)),ISNUMBER(INDEX(lsDPN3,$CH$1))),IF(INDEX(lsDPN3,$CH$1)&gt;0,INDEX(lsDPN3,$CH$1),""),""))</f>
        <v>3.4500000000000003E-2</v>
      </c>
      <c r="BZ1" s="30">
        <f>IFERROR(IF(OR($BT$1="",$BU$1=""),"",(MIN(($BT$1-3.3*$BU$1),IF(COUNT($H$3:$H$182)=0,$BT$1,_xlfn.AGGREGATE(5,6,$H$3:$H$182)),IF(COUNT($X$3:$Z$182)=0,$BT$1,_xlfn.AGGREGATE(5,6,$X$3:$Z$182))))),"")</f>
        <v>2.2343299999999999</v>
      </c>
      <c r="CA1" s="30">
        <f>IFERROR(IF(OR($BT$1="",$BU$1=""),"",(MAX(($BT$1+3.3*$BU$1),IF(COUNT($H$3:$H$182)=0,$BT$1,_xlfn.AGGREGATE(4,6,$H$3:$H$182)),IF(COUNT($X$3:$Z$182)=0,$BT$1,_xlfn.AGGREGATE(4,6,$X$3:$Z$182))))),"")</f>
        <v>2.37887</v>
      </c>
      <c r="CB1" s="30">
        <f>IFERROR(IF(OR($BV$1="",$BW$1=""),"",(MIN(($BV$1-3.3*$BW$1),IF(COUNT($AD$3:$AD$182)=0,$BV$1,_xlfn.AGGREGATE(5,6,$AD$3:$AD$182)),IF(COUNT($AT$3:$AV$182)=0,$BV$1,_xlfn.AGGREGATE(5,6,$AT$3:$AV$182))))),"")</f>
        <v>4.2614000000000001</v>
      </c>
      <c r="CC1" s="30">
        <f>IFERROR(IF(OR($BV$1="",$BW$1=""),"",(MAX(($BV$1+3.3*$BW$1),IF(COUNT($AD$3:$AD$182)=0,$BV$1,_xlfn.AGGREGATE(4,6,$AD$3:$AD$182)),IF(COUNT($AT$3:$AV$182)=0,$BV$1,_xlfn.AGGREGATE(4,6,$AT$3:$AV$182))))),"")</f>
        <v>4.4923999999999999</v>
      </c>
      <c r="CD1" s="30">
        <f>IFERROR(IF(OR($BX$1="",$BY$1=""),"",(MIN(($BX$1-3.3*$BY$1),IF(COUNT($AZ$3:$AZ$182)=0,$BX$1,_xlfn.AGGREGATE(5,6,$AZ$3:$AZ$182)),IF(COUNT($BP$3:$BR$182)=0,$BX$1,_xlfn.AGGREGATE(5,6,$BP$3:$BR$182))))),"")</f>
        <v>5.0089499999999996</v>
      </c>
      <c r="CE1" s="30">
        <f>IFERROR(IF(OR($BX$1="",$BY$1=""),"",(MAX(($BX$1+3.3*$BY$1),IF(COUNT($AZ$3:$AZ$182)=0,$BX$1,_xlfn.AGGREGATE(4,6,$AZ$3:$AZ$182)),IF(COUNT($BP$3:$BR$182)=0,$BX$1,_xlfn.AGGREGATE(4,6,$BP$3:$BR$182))))),"")</f>
        <v>5.23665</v>
      </c>
      <c r="CF1" s="30">
        <f>IF(COUNT($E$3:$E$182)=0,"",_xlfn.AGGREGATE(5,6,$E$3:$E$182)-0.6)</f>
        <v>0.4</v>
      </c>
      <c r="CG1" s="30">
        <f>IF(COUNT($E$3:$E$182)=0,"",_xlfn.AGGREGATE(4,6,$E$3:$E$182)+2.2)</f>
        <v>27.2</v>
      </c>
      <c r="CH1">
        <f>IFERROR(MATCH(UPPER(TRIM(loteAnalise&amp;""))&amp;"|"&amp;UPPER(TRIM(selAnalito)),lsChave,0),0)</f>
        <v>2</v>
      </c>
      <c r="CI1">
        <f>IFERROR(INDEX(Analitos!$D$4:$D$43,MATCH(selAnalito,Analitos!$A$4:$A$43,0)),1)+1</f>
        <v>4</v>
      </c>
    </row>
    <row r="2" spans="1:87" x14ac:dyDescent="0.3">
      <c r="A2" s="41" t="s">
        <v>154</v>
      </c>
      <c r="B2" s="41" t="s">
        <v>175</v>
      </c>
      <c r="C2" s="41" t="s">
        <v>173</v>
      </c>
      <c r="D2" s="41" t="s">
        <v>181</v>
      </c>
      <c r="E2" s="41" t="s">
        <v>182</v>
      </c>
      <c r="F2" s="42" t="s">
        <v>183</v>
      </c>
      <c r="G2" s="42" t="s">
        <v>184</v>
      </c>
      <c r="H2" s="42" t="s">
        <v>185</v>
      </c>
      <c r="I2" s="42" t="s">
        <v>186</v>
      </c>
      <c r="J2" s="42" t="s">
        <v>187</v>
      </c>
      <c r="K2" s="42" t="s">
        <v>188</v>
      </c>
      <c r="L2" s="42" t="s">
        <v>189</v>
      </c>
      <c r="M2" s="42" t="s">
        <v>190</v>
      </c>
      <c r="N2" s="42" t="s">
        <v>191</v>
      </c>
      <c r="O2" s="42" t="s">
        <v>192</v>
      </c>
      <c r="P2" s="42" t="s">
        <v>193</v>
      </c>
      <c r="Q2" s="42" t="s">
        <v>194</v>
      </c>
      <c r="R2" s="42" t="s">
        <v>195</v>
      </c>
      <c r="S2" s="42" t="s">
        <v>196</v>
      </c>
      <c r="T2" s="42" t="s">
        <v>197</v>
      </c>
      <c r="U2" s="42" t="s">
        <v>198</v>
      </c>
      <c r="V2" s="42" t="s">
        <v>199</v>
      </c>
      <c r="W2" s="42" t="s">
        <v>200</v>
      </c>
      <c r="X2" s="42" t="s">
        <v>201</v>
      </c>
      <c r="Y2" s="42" t="s">
        <v>202</v>
      </c>
      <c r="Z2" s="42" t="s">
        <v>203</v>
      </c>
      <c r="AA2" s="42" t="s">
        <v>204</v>
      </c>
      <c r="AB2" s="42" t="s">
        <v>205</v>
      </c>
      <c r="AC2" s="42" t="s">
        <v>206</v>
      </c>
      <c r="AD2" s="42" t="s">
        <v>207</v>
      </c>
      <c r="AE2" s="42" t="s">
        <v>208</v>
      </c>
      <c r="AF2" s="42" t="s">
        <v>209</v>
      </c>
      <c r="AG2" s="42" t="s">
        <v>210</v>
      </c>
      <c r="AH2" s="42" t="s">
        <v>211</v>
      </c>
      <c r="AI2" s="42" t="s">
        <v>212</v>
      </c>
      <c r="AJ2" s="42" t="s">
        <v>213</v>
      </c>
      <c r="AK2" s="42" t="s">
        <v>214</v>
      </c>
      <c r="AL2" s="42" t="s">
        <v>215</v>
      </c>
      <c r="AM2" s="42" t="s">
        <v>216</v>
      </c>
      <c r="AN2" s="42" t="s">
        <v>217</v>
      </c>
      <c r="AO2" s="42" t="s">
        <v>218</v>
      </c>
      <c r="AP2" s="42" t="s">
        <v>219</v>
      </c>
      <c r="AQ2" s="42" t="s">
        <v>220</v>
      </c>
      <c r="AR2" s="42" t="s">
        <v>221</v>
      </c>
      <c r="AS2" s="42" t="s">
        <v>222</v>
      </c>
      <c r="AT2" s="42" t="s">
        <v>223</v>
      </c>
      <c r="AU2" s="42" t="s">
        <v>224</v>
      </c>
      <c r="AV2" s="42" t="s">
        <v>225</v>
      </c>
      <c r="AW2" s="42" t="s">
        <v>226</v>
      </c>
      <c r="AX2" s="42" t="s">
        <v>227</v>
      </c>
      <c r="AY2" s="42" t="s">
        <v>228</v>
      </c>
      <c r="AZ2" s="42" t="s">
        <v>229</v>
      </c>
      <c r="BA2" s="42" t="s">
        <v>230</v>
      </c>
      <c r="BB2" s="42" t="s">
        <v>231</v>
      </c>
      <c r="BC2" s="42" t="s">
        <v>232</v>
      </c>
      <c r="BD2" s="42" t="s">
        <v>233</v>
      </c>
      <c r="BE2" s="42" t="s">
        <v>234</v>
      </c>
      <c r="BF2" s="42" t="s">
        <v>235</v>
      </c>
      <c r="BG2" s="42" t="s">
        <v>236</v>
      </c>
      <c r="BH2" s="42" t="s">
        <v>237</v>
      </c>
      <c r="BI2" s="42" t="s">
        <v>238</v>
      </c>
      <c r="BJ2" s="42" t="s">
        <v>239</v>
      </c>
      <c r="BK2" s="42" t="s">
        <v>240</v>
      </c>
      <c r="BL2" s="42" t="s">
        <v>241</v>
      </c>
      <c r="BM2" s="42" t="s">
        <v>242</v>
      </c>
      <c r="BN2" s="42" t="s">
        <v>243</v>
      </c>
      <c r="BO2" s="42" t="s">
        <v>244</v>
      </c>
      <c r="BP2" s="42" t="s">
        <v>245</v>
      </c>
      <c r="BQ2" s="42" t="s">
        <v>246</v>
      </c>
      <c r="BR2" s="42" t="s">
        <v>247</v>
      </c>
      <c r="BS2" s="42" t="s">
        <v>248</v>
      </c>
    </row>
    <row r="3" spans="1:87" x14ac:dyDescent="0.3">
      <c r="A3" s="30">
        <v>1</v>
      </c>
      <c r="B3" s="30">
        <f>IF(OR(selAnalito="",(""&amp;engAnalito)&lt;&gt;(""&amp;selAnalito),(""&amp;engLote)&lt;&gt;(""&amp;loteAnalise),$A3&gt;N(engNRun)),"",INDEX(engRUN,$A3))</f>
        <v>1</v>
      </c>
      <c r="C3" s="43">
        <f>IF($B3="","",IF(INDEX(engData,$A3)="","",INDEX(engData,$A3)))</f>
        <v>45663</v>
      </c>
      <c r="D3" s="30">
        <f>IF($C3="",0,IF(AND(OR(filtroDe="",INT($C3)&gt;=INT(filtroDe)),OR(filtroAte="",INT($C3)&lt;=INT(filtroAte))),1,0))</f>
        <v>1</v>
      </c>
      <c r="E3" s="30">
        <f t="shared" ref="E3:E34" si="0">IF(OR($B3="",$D3=0),NA(),$A3)</f>
        <v>1</v>
      </c>
      <c r="F3" s="30">
        <f>IF($B3="","",IF(INDEX(engValN1,$A3)="","",INDEX(engValN1,$A3)))</f>
        <v>2.3216999999999999</v>
      </c>
      <c r="G3" s="30">
        <f t="shared" ref="G3:G34" si="1">IF(OR($F3="",$BU$1=""),"",($F3-$BT$1)/$BU$1)</f>
        <v>0.68949771689497219</v>
      </c>
      <c r="H3" s="30">
        <f t="shared" ref="H3:H34" si="2">IF(AND($F3&lt;&gt;"",$D3=1),$F3,NA())</f>
        <v>2.3216999999999999</v>
      </c>
      <c r="I3" s="30">
        <f t="shared" ref="I3:I34" si="3">IF(AND($F3&lt;&gt;"",$D3=1,$P3="OK"),$F3,NA())</f>
        <v>2.3216999999999999</v>
      </c>
      <c r="J3" s="30" t="e">
        <f t="shared" ref="J3:J34" si="4">IF(AND($F3&lt;&gt;"",$D3=1,$P3="REJEITADO"),$F3,NA())</f>
        <v>#N/A</v>
      </c>
      <c r="K3" s="30">
        <f>IF($F3="",0,IFERROR(INDEX(engDados,MATCH(selAnalito&amp;"|"&amp;$B3,engChave,0),3),0))</f>
        <v>0</v>
      </c>
      <c r="L3" s="30">
        <f>IF($F3="",0,IFERROR(INDEX(engDados,MATCH(selAnalito&amp;"|"&amp;$B3,engChave,0),4),0))</f>
        <v>0</v>
      </c>
      <c r="M3" s="30">
        <f>IF($F3="",0,IFERROR(INDEX(engDados,MATCH(selAnalito&amp;"|"&amp;$B3,engChave,0),5),0))</f>
        <v>0</v>
      </c>
      <c r="N3" s="30">
        <f>IF($F3="",0,IFERROR(INDEX(engDados,MATCH(selAnalito&amp;"|"&amp;$B3,engChave,0),6),0))</f>
        <v>0</v>
      </c>
      <c r="O3" s="30">
        <f>IF($F3="",0,IFERROR(INDEX(engDados,MATCH(selAnalito&amp;"|"&amp;$B3,engChave,0),7),0))</f>
        <v>0</v>
      </c>
      <c r="P3" s="30" t="str">
        <f>IF($F3="","",IFERROR(INDEX(engDados,MATCH(selAnalito&amp;"|"&amp;$B3,engChave,0),9),""))</f>
        <v>OK</v>
      </c>
      <c r="Q3" s="30">
        <f t="shared" ref="Q3:Q34" si="5">IF(AND($D3=1,$BT$1&lt;&gt;""),$BT$1+(-3)*$BU$1,NA())</f>
        <v>2.2408999999999999</v>
      </c>
      <c r="R3" s="30">
        <f t="shared" ref="R3:R34" si="6">IF(AND($D3=1,$BT$1&lt;&gt;""),$BT$1+(-2)*$BU$1,NA())</f>
        <v>2.2627999999999999</v>
      </c>
      <c r="S3" s="30">
        <f t="shared" ref="S3:S34" si="7">IF(AND($D3=1,$BT$1&lt;&gt;""),$BT$1+(-1)*$BU$1,NA())</f>
        <v>2.2847</v>
      </c>
      <c r="T3" s="30">
        <f t="shared" ref="T3:T34" si="8">IF(AND($D3=1,$BT$1&lt;&gt;""),$BT$1,NA())</f>
        <v>2.3066</v>
      </c>
      <c r="U3" s="30">
        <f t="shared" ref="U3:U34" si="9">IF(AND($D3=1,$BT$1&lt;&gt;""),$BT$1+(1)*$BU$1,NA())</f>
        <v>2.3285</v>
      </c>
      <c r="V3" s="30">
        <f t="shared" ref="V3:V34" si="10">IF(AND($D3=1,$BT$1&lt;&gt;""),$BT$1+(2)*$BU$1,NA())</f>
        <v>2.3504</v>
      </c>
      <c r="W3" s="30">
        <f t="shared" ref="W3:W34" si="11">IF(AND($D3=1,$BT$1&lt;&gt;""),$BT$1+(3)*$BU$1,NA())</f>
        <v>2.3723000000000001</v>
      </c>
      <c r="X3" s="30" t="e">
        <f>IF(AND($D3=1,(""&amp;loteAnalise)=(""&amp;loteCarregado),COUNTIFS(regAnalito,selAnalito,regNivel,1,regData,$C3,regRep1,"&lt;&gt;")&gt;0),SUMIFS(regRep1,regAnalito,selAnalito,regNivel,1,regData,$C3),NA())</f>
        <v>#N/A</v>
      </c>
      <c r="Y3" s="30" t="e">
        <f>IF(AND($D3=1,(""&amp;loteAnalise)=(""&amp;loteCarregado),COUNTIFS(regAnalito,selAnalito,regNivel,1,regData,$C3,regRep2,"&lt;&gt;")&gt;0),SUMIFS(regRep2,regAnalito,selAnalito,regNivel,1,regData,$C3),NA())</f>
        <v>#N/A</v>
      </c>
      <c r="Z3" s="30" t="e">
        <f>IF(AND($D3=1,(""&amp;loteAnalise)=(""&amp;loteCarregado),COUNTIFS(regAnalito,selAnalito,regNivel,1,regData,$C3,regRep3,"&lt;&gt;")&gt;0),SUMIFS(regRep3,regAnalito,selAnalito,regNivel,1,regData,$C3),NA())</f>
        <v>#N/A</v>
      </c>
      <c r="AA3" s="30" t="e">
        <f>IF(AND($D3=1,COUNTIFS(regAnalito,selAnalito,regData,$C3,regCalib,"Sim")&gt;0),$BT$1,NA())</f>
        <v>#N/A</v>
      </c>
      <c r="AB3" s="30">
        <f>IF($B3="","",IF(INDEX(engValN2,$A3)="","",INDEX(engValN2,$A3)))</f>
        <v>4.3662999999999998</v>
      </c>
      <c r="AC3" s="30">
        <f t="shared" ref="AC3:AC34" si="12">IF(OR($AB3="",$BW$1=""),"",($AB3-$BV$1)/$BW$1)</f>
        <v>-0.30285714285714754</v>
      </c>
      <c r="AD3" s="30">
        <f t="shared" ref="AD3:AD34" si="13">IF(AND($AB3&lt;&gt;"",$D3=1),$AB3,NA())</f>
        <v>4.3662999999999998</v>
      </c>
      <c r="AE3" s="30">
        <f t="shared" ref="AE3:AE34" si="14">IF(AND($AB3&lt;&gt;"",$D3=1,$AL3="OK"),$AB3,NA())</f>
        <v>4.3662999999999998</v>
      </c>
      <c r="AF3" s="30" t="e">
        <f t="shared" ref="AF3:AF34" si="15">IF(AND($AB3&lt;&gt;"",$D3=1,$AL3="REJEITADO"),$AB3,NA())</f>
        <v>#N/A</v>
      </c>
      <c r="AG3" s="30">
        <f>IF($AB3="",0,IFERROR(INDEX(engDados,MATCH(selAnalito&amp;"|"&amp;$B3,engChave,0),10),0))</f>
        <v>0</v>
      </c>
      <c r="AH3" s="30">
        <f>IF($AB3="",0,IFERROR(INDEX(engDados,MATCH(selAnalito&amp;"|"&amp;$B3,engChave,0),11),0))</f>
        <v>0</v>
      </c>
      <c r="AI3" s="30">
        <f>IF($AB3="",0,IFERROR(INDEX(engDados,MATCH(selAnalito&amp;"|"&amp;$B3,engChave,0),12),0))</f>
        <v>0</v>
      </c>
      <c r="AJ3" s="30">
        <f>IF($AB3="",0,IFERROR(INDEX(engDados,MATCH(selAnalito&amp;"|"&amp;$B3,engChave,0),13),0))</f>
        <v>0</v>
      </c>
      <c r="AK3" s="30">
        <f>IF($AB3="",0,IFERROR(INDEX(engDados,MATCH(selAnalito&amp;"|"&amp;$B3,engChave,0),14),0))</f>
        <v>0</v>
      </c>
      <c r="AL3" s="30" t="str">
        <f>IF($AB3="","",IFERROR(INDEX(engDados,MATCH(selAnalito&amp;"|"&amp;$B3,engChave,0),16),""))</f>
        <v>OK</v>
      </c>
      <c r="AM3" s="30">
        <f t="shared" ref="AM3:AM34" si="16">IF(AND($D3=1,$BV$1&lt;&gt;""),$BV$1+(-3)*$BW$1,NA())</f>
        <v>4.2718999999999996</v>
      </c>
      <c r="AN3" s="30">
        <f t="shared" ref="AN3:AN34" si="17">IF(AND($D3=1,$BV$1&lt;&gt;""),$BV$1+(-2)*$BW$1,NA())</f>
        <v>4.3068999999999997</v>
      </c>
      <c r="AO3" s="30">
        <f t="shared" ref="AO3:AO34" si="18">IF(AND($D3=1,$BV$1&lt;&gt;""),$BV$1+(-1)*$BW$1,NA())</f>
        <v>4.3418999999999999</v>
      </c>
      <c r="AP3" s="30">
        <f t="shared" ref="AP3:AP34" si="19">IF(AND($D3=1,$BV$1&lt;&gt;""),$BV$1,NA())</f>
        <v>4.3769</v>
      </c>
      <c r="AQ3" s="30">
        <f t="shared" ref="AQ3:AQ34" si="20">IF(AND($D3=1,$BV$1&lt;&gt;""),$BV$1+(1)*$BW$1,NA())</f>
        <v>4.4119000000000002</v>
      </c>
      <c r="AR3" s="30">
        <f t="shared" ref="AR3:AR34" si="21">IF(AND($D3=1,$BV$1&lt;&gt;""),$BV$1+(2)*$BW$1,NA())</f>
        <v>4.4469000000000003</v>
      </c>
      <c r="AS3" s="30">
        <f t="shared" ref="AS3:AS34" si="22">IF(AND($D3=1,$BV$1&lt;&gt;""),$BV$1+(3)*$BW$1,NA())</f>
        <v>4.4819000000000004</v>
      </c>
      <c r="AT3" s="30" t="e">
        <f>IF(AND($D3=1,(""&amp;loteAnalise)=(""&amp;loteCarregado),COUNTIFS(regAnalito,selAnalito,regNivel,2,regData,$C3,regRep1,"&lt;&gt;")&gt;0),SUMIFS(regRep1,regAnalito,selAnalito,regNivel,2,regData,$C3),NA())</f>
        <v>#N/A</v>
      </c>
      <c r="AU3" s="30" t="e">
        <f>IF(AND($D3=1,(""&amp;loteAnalise)=(""&amp;loteCarregado),COUNTIFS(regAnalito,selAnalito,regNivel,2,regData,$C3,regRep2,"&lt;&gt;")&gt;0),SUMIFS(regRep2,regAnalito,selAnalito,regNivel,2,regData,$C3),NA())</f>
        <v>#N/A</v>
      </c>
      <c r="AV3" s="30" t="e">
        <f>IF(AND($D3=1,(""&amp;loteAnalise)=(""&amp;loteCarregado),COUNTIFS(regAnalito,selAnalito,regNivel,2,regData,$C3,regRep3,"&lt;&gt;")&gt;0),SUMIFS(regRep3,regAnalito,selAnalito,regNivel,2,regData,$C3),NA())</f>
        <v>#N/A</v>
      </c>
      <c r="AW3" s="30" t="e">
        <f>IF(AND($D3=1,COUNTIFS(regAnalito,selAnalito,regData,$C3,regCalib,"Sim")&gt;0),$BV$1,NA())</f>
        <v>#N/A</v>
      </c>
      <c r="AX3" s="30">
        <f>IF($B3="","",IF(INDEX(engValN3,$A3)="","",INDEX(engValN3,$A3)))</f>
        <v>5.1353</v>
      </c>
      <c r="AY3" s="30">
        <f t="shared" ref="AY3:AY34" si="23">IF(OR($AX3="",$BY$1=""),"",($AX3-$BX$1)/$BY$1)</f>
        <v>0.36231884057971525</v>
      </c>
      <c r="AZ3" s="30">
        <f t="shared" ref="AZ3:AZ34" si="24">IF(AND($AX3&lt;&gt;"",$D3=1),$AX3,NA())</f>
        <v>5.1353</v>
      </c>
      <c r="BA3" s="30">
        <f t="shared" ref="BA3:BA34" si="25">IF(AND($AX3&lt;&gt;"",$D3=1,$BH3="OK"),$AX3,NA())</f>
        <v>5.1353</v>
      </c>
      <c r="BB3" s="30" t="e">
        <f t="shared" ref="BB3:BB34" si="26">IF(AND($AX3&lt;&gt;"",$D3=1,$BH3="REJEITADO"),$AX3,NA())</f>
        <v>#N/A</v>
      </c>
      <c r="BC3" s="30">
        <f>IF($AX3="",0,IFERROR(INDEX(engDados,MATCH(selAnalito&amp;"|"&amp;$B3,engChave,0),17),0))</f>
        <v>0</v>
      </c>
      <c r="BD3" s="30">
        <f>IF($AX3="",0,IFERROR(INDEX(engDados,MATCH(selAnalito&amp;"|"&amp;$B3,engChave,0),18),0))</f>
        <v>0</v>
      </c>
      <c r="BE3" s="30">
        <f>IF($AX3="",0,IFERROR(INDEX(engDados,MATCH(selAnalito&amp;"|"&amp;$B3,engChave,0),19),0))</f>
        <v>0</v>
      </c>
      <c r="BF3" s="30">
        <f>IF($AX3="",0,IFERROR(INDEX(engDados,MATCH(selAnalito&amp;"|"&amp;$B3,engChave,0),20),0))</f>
        <v>0</v>
      </c>
      <c r="BG3" s="30">
        <f>IF($AX3="",0,IFERROR(INDEX(engDados,MATCH(selAnalito&amp;"|"&amp;$B3,engChave,0),21),0))</f>
        <v>0</v>
      </c>
      <c r="BH3" s="30" t="str">
        <f>IF($AX3="","",IFERROR(INDEX(engDados,MATCH(selAnalito&amp;"|"&amp;$B3,engChave,0),23),""))</f>
        <v>OK</v>
      </c>
      <c r="BI3" s="30">
        <f t="shared" ref="BI3:BI34" si="27">IF(AND($D3=1,$BX$1&lt;&gt;""),$BX$1+(-3)*$BY$1,NA())</f>
        <v>5.0192999999999994</v>
      </c>
      <c r="BJ3" s="30">
        <f t="shared" ref="BJ3:BJ34" si="28">IF(AND($D3=1,$BX$1&lt;&gt;""),$BX$1+(-2)*$BY$1,NA())</f>
        <v>5.0537999999999998</v>
      </c>
      <c r="BK3" s="30">
        <f t="shared" ref="BK3:BK34" si="29">IF(AND($D3=1,$BX$1&lt;&gt;""),$BX$1+(-1)*$BY$1,NA())</f>
        <v>5.0882999999999994</v>
      </c>
      <c r="BL3" s="30">
        <f t="shared" ref="BL3:BL34" si="30">IF(AND($D3=1,$BX$1&lt;&gt;""),$BX$1,NA())</f>
        <v>5.1227999999999998</v>
      </c>
      <c r="BM3" s="30">
        <f t="shared" ref="BM3:BM34" si="31">IF(AND($D3=1,$BX$1&lt;&gt;""),$BX$1+(1)*$BY$1,NA())</f>
        <v>5.1573000000000002</v>
      </c>
      <c r="BN3" s="30">
        <f t="shared" ref="BN3:BN34" si="32">IF(AND($D3=1,$BX$1&lt;&gt;""),$BX$1+(2)*$BY$1,NA())</f>
        <v>5.1917999999999997</v>
      </c>
      <c r="BO3" s="30">
        <f t="shared" ref="BO3:BO34" si="33">IF(AND($D3=1,$BX$1&lt;&gt;""),$BX$1+(3)*$BY$1,NA())</f>
        <v>5.2263000000000002</v>
      </c>
      <c r="BP3" s="30" t="e">
        <f>IF(AND($D3=1,(""&amp;loteAnalise)=(""&amp;loteCarregado),COUNTIFS(regAnalito,selAnalito,regNivel,3,regData,$C3,regRep1,"&lt;&gt;")&gt;0),SUMIFS(regRep1,regAnalito,selAnalito,regNivel,3,regData,$C3),NA())</f>
        <v>#N/A</v>
      </c>
      <c r="BQ3" s="30" t="e">
        <f>IF(AND($D3=1,(""&amp;loteAnalise)=(""&amp;loteCarregado),COUNTIFS(regAnalito,selAnalito,regNivel,3,regData,$C3,regRep2,"&lt;&gt;")&gt;0),SUMIFS(regRep2,regAnalito,selAnalito,regNivel,3,regData,$C3),NA())</f>
        <v>#N/A</v>
      </c>
      <c r="BR3" s="30" t="e">
        <f>IF(AND($D3=1,(""&amp;loteAnalise)=(""&amp;loteCarregado),COUNTIFS(regAnalito,selAnalito,regNivel,3,regData,$C3,regRep3,"&lt;&gt;")&gt;0),SUMIFS(regRep3,regAnalito,selAnalito,regNivel,3,regData,$C3),NA())</f>
        <v>#N/A</v>
      </c>
      <c r="BS3" s="30" t="e">
        <f>IF(AND($D3=1,COUNTIFS(regAnalito,selAnalito,regData,$C3,regCalib,"Sim")&gt;0),$BX$1,NA())</f>
        <v>#N/A</v>
      </c>
    </row>
    <row r="4" spans="1:87" x14ac:dyDescent="0.3">
      <c r="A4" s="30">
        <v>2</v>
      </c>
      <c r="B4" s="30">
        <f>IF(OR(selAnalito="",(""&amp;engAnalito)&lt;&gt;(""&amp;selAnalito),(""&amp;engLote)&lt;&gt;(""&amp;loteAnalise),$A4&gt;N(engNRun)),"",INDEX(engRUN,$A4))</f>
        <v>2</v>
      </c>
      <c r="C4" s="43">
        <f>IF($B4="","",IF(INDEX(engData,$A4)="","",INDEX(engData,$A4)))</f>
        <v>45670</v>
      </c>
      <c r="D4" s="30">
        <f>IF($C4="",0,IF(AND(OR(filtroDe="",INT($C4)&gt;=INT(filtroDe)),OR(filtroAte="",INT($C4)&lt;=INT(filtroAte))),1,0))</f>
        <v>1</v>
      </c>
      <c r="E4" s="30">
        <f t="shared" si="0"/>
        <v>2</v>
      </c>
      <c r="F4" s="30">
        <f>IF($B4="","",IF(INDEX(engValN1,$A4)="","",INDEX(engValN1,$A4)))</f>
        <v>2.2993999999999999</v>
      </c>
      <c r="G4" s="30">
        <f t="shared" si="1"/>
        <v>-0.3287671232876756</v>
      </c>
      <c r="H4" s="30">
        <f t="shared" si="2"/>
        <v>2.2993999999999999</v>
      </c>
      <c r="I4" s="30">
        <f t="shared" si="3"/>
        <v>2.2993999999999999</v>
      </c>
      <c r="J4" s="30" t="e">
        <f t="shared" si="4"/>
        <v>#N/A</v>
      </c>
      <c r="K4" s="30">
        <f>IF($F4="",0,IFERROR(INDEX(engDados,MATCH(selAnalito&amp;"|"&amp;$B4,engChave,0),3),0))</f>
        <v>0</v>
      </c>
      <c r="L4" s="30">
        <f>IF($F4="",0,IFERROR(INDEX(engDados,MATCH(selAnalito&amp;"|"&amp;$B4,engChave,0),4),0))</f>
        <v>0</v>
      </c>
      <c r="M4" s="30">
        <f>IF($F4="",0,IFERROR(INDEX(engDados,MATCH(selAnalito&amp;"|"&amp;$B4,engChave,0),5),0))</f>
        <v>0</v>
      </c>
      <c r="N4" s="30">
        <f>IF($F4="",0,IFERROR(INDEX(engDados,MATCH(selAnalito&amp;"|"&amp;$B4,engChave,0),6),0))</f>
        <v>0</v>
      </c>
      <c r="O4" s="30">
        <f>IF($F4="",0,IFERROR(INDEX(engDados,MATCH(selAnalito&amp;"|"&amp;$B4,engChave,0),7),0))</f>
        <v>0</v>
      </c>
      <c r="P4" s="30" t="str">
        <f>IF($F4="","",IFERROR(INDEX(engDados,MATCH(selAnalito&amp;"|"&amp;$B4,engChave,0),9),""))</f>
        <v>OK</v>
      </c>
      <c r="Q4" s="30">
        <f t="shared" si="5"/>
        <v>2.2408999999999999</v>
      </c>
      <c r="R4" s="30">
        <f t="shared" si="6"/>
        <v>2.2627999999999999</v>
      </c>
      <c r="S4" s="30">
        <f t="shared" si="7"/>
        <v>2.2847</v>
      </c>
      <c r="T4" s="30">
        <f t="shared" si="8"/>
        <v>2.3066</v>
      </c>
      <c r="U4" s="30">
        <f t="shared" si="9"/>
        <v>2.3285</v>
      </c>
      <c r="V4" s="30">
        <f t="shared" si="10"/>
        <v>2.3504</v>
      </c>
      <c r="W4" s="30">
        <f t="shared" si="11"/>
        <v>2.3723000000000001</v>
      </c>
      <c r="X4" s="30" t="e">
        <f>IF(AND($D4=1,(""&amp;loteAnalise)=(""&amp;loteCarregado),COUNTIFS(regAnalito,selAnalito,regNivel,1,regData,$C4,regRep1,"&lt;&gt;")&gt;0),SUMIFS(regRep1,regAnalito,selAnalito,regNivel,1,regData,$C4),NA())</f>
        <v>#N/A</v>
      </c>
      <c r="Y4" s="30" t="e">
        <f>IF(AND($D4=1,(""&amp;loteAnalise)=(""&amp;loteCarregado),COUNTIFS(regAnalito,selAnalito,regNivel,1,regData,$C4,regRep2,"&lt;&gt;")&gt;0),SUMIFS(regRep2,regAnalito,selAnalito,regNivel,1,regData,$C4),NA())</f>
        <v>#N/A</v>
      </c>
      <c r="Z4" s="30" t="e">
        <f>IF(AND($D4=1,(""&amp;loteAnalise)=(""&amp;loteCarregado),COUNTIFS(regAnalito,selAnalito,regNivel,1,regData,$C4,regRep3,"&lt;&gt;")&gt;0),SUMIFS(regRep3,regAnalito,selAnalito,regNivel,1,regData,$C4),NA())</f>
        <v>#N/A</v>
      </c>
      <c r="AA4" s="30" t="e">
        <f>IF(AND($D4=1,COUNTIFS(regAnalito,selAnalito,regData,$C4,regCalib,"Sim")&gt;0),$BT$1,NA())</f>
        <v>#N/A</v>
      </c>
      <c r="AB4" s="30">
        <f>IF($B4="","",IF(INDEX(engValN2,$A4)="","",INDEX(engValN2,$A4)))</f>
        <v>4.3453999999999997</v>
      </c>
      <c r="AC4" s="30">
        <f t="shared" si="12"/>
        <v>-0.90000000000000868</v>
      </c>
      <c r="AD4" s="30">
        <f t="shared" si="13"/>
        <v>4.3453999999999997</v>
      </c>
      <c r="AE4" s="30">
        <f t="shared" si="14"/>
        <v>4.3453999999999997</v>
      </c>
      <c r="AF4" s="30" t="e">
        <f t="shared" si="15"/>
        <v>#N/A</v>
      </c>
      <c r="AG4" s="30">
        <f>IF($AB4="",0,IFERROR(INDEX(engDados,MATCH(selAnalito&amp;"|"&amp;$B4,engChave,0),10),0))</f>
        <v>0</v>
      </c>
      <c r="AH4" s="30">
        <f>IF($AB4="",0,IFERROR(INDEX(engDados,MATCH(selAnalito&amp;"|"&amp;$B4,engChave,0),11),0))</f>
        <v>0</v>
      </c>
      <c r="AI4" s="30">
        <f>IF($AB4="",0,IFERROR(INDEX(engDados,MATCH(selAnalito&amp;"|"&amp;$B4,engChave,0),12),0))</f>
        <v>0</v>
      </c>
      <c r="AJ4" s="30">
        <f>IF($AB4="",0,IFERROR(INDEX(engDados,MATCH(selAnalito&amp;"|"&amp;$B4,engChave,0),13),0))</f>
        <v>0</v>
      </c>
      <c r="AK4" s="30">
        <f>IF($AB4="",0,IFERROR(INDEX(engDados,MATCH(selAnalito&amp;"|"&amp;$B4,engChave,0),14),0))</f>
        <v>0</v>
      </c>
      <c r="AL4" s="30" t="str">
        <f>IF($AB4="","",IFERROR(INDEX(engDados,MATCH(selAnalito&amp;"|"&amp;$B4,engChave,0),16),""))</f>
        <v>OK</v>
      </c>
      <c r="AM4" s="30">
        <f t="shared" si="16"/>
        <v>4.2718999999999996</v>
      </c>
      <c r="AN4" s="30">
        <f t="shared" si="17"/>
        <v>4.3068999999999997</v>
      </c>
      <c r="AO4" s="30">
        <f t="shared" si="18"/>
        <v>4.3418999999999999</v>
      </c>
      <c r="AP4" s="30">
        <f t="shared" si="19"/>
        <v>4.3769</v>
      </c>
      <c r="AQ4" s="30">
        <f t="shared" si="20"/>
        <v>4.4119000000000002</v>
      </c>
      <c r="AR4" s="30">
        <f t="shared" si="21"/>
        <v>4.4469000000000003</v>
      </c>
      <c r="AS4" s="30">
        <f t="shared" si="22"/>
        <v>4.4819000000000004</v>
      </c>
      <c r="AT4" s="30" t="e">
        <f>IF(AND($D4=1,(""&amp;loteAnalise)=(""&amp;loteCarregado),COUNTIFS(regAnalito,selAnalito,regNivel,2,regData,$C4,regRep1,"&lt;&gt;")&gt;0),SUMIFS(regRep1,regAnalito,selAnalito,regNivel,2,regData,$C4),NA())</f>
        <v>#N/A</v>
      </c>
      <c r="AU4" s="30" t="e">
        <f>IF(AND($D4=1,(""&amp;loteAnalise)=(""&amp;loteCarregado),COUNTIFS(regAnalito,selAnalito,regNivel,2,regData,$C4,regRep2,"&lt;&gt;")&gt;0),SUMIFS(regRep2,regAnalito,selAnalito,regNivel,2,regData,$C4),NA())</f>
        <v>#N/A</v>
      </c>
      <c r="AV4" s="30" t="e">
        <f>IF(AND($D4=1,(""&amp;loteAnalise)=(""&amp;loteCarregado),COUNTIFS(regAnalito,selAnalito,regNivel,2,regData,$C4,regRep3,"&lt;&gt;")&gt;0),SUMIFS(regRep3,regAnalito,selAnalito,regNivel,2,regData,$C4),NA())</f>
        <v>#N/A</v>
      </c>
      <c r="AW4" s="30" t="e">
        <f>IF(AND($D4=1,COUNTIFS(regAnalito,selAnalito,regData,$C4,regCalib,"Sim")&gt;0),$BV$1,NA())</f>
        <v>#N/A</v>
      </c>
      <c r="AX4" s="30">
        <f>IF($B4="","",IF(INDEX(engValN3,$A4)="","",INDEX(engValN3,$A4)))</f>
        <v>5.0492999999999997</v>
      </c>
      <c r="AY4" s="30">
        <f t="shared" si="23"/>
        <v>-2.1304347826086989</v>
      </c>
      <c r="AZ4" s="30">
        <f t="shared" si="24"/>
        <v>5.0492999999999997</v>
      </c>
      <c r="BA4" s="30">
        <f t="shared" si="25"/>
        <v>5.0492999999999997</v>
      </c>
      <c r="BB4" s="30" t="e">
        <f t="shared" si="26"/>
        <v>#N/A</v>
      </c>
      <c r="BC4" s="30">
        <f>IF($AX4="",0,IFERROR(INDEX(engDados,MATCH(selAnalito&amp;"|"&amp;$B4,engChave,0),17),0))</f>
        <v>0</v>
      </c>
      <c r="BD4" s="30">
        <f>IF($AX4="",0,IFERROR(INDEX(engDados,MATCH(selAnalito&amp;"|"&amp;$B4,engChave,0),18),0))</f>
        <v>0</v>
      </c>
      <c r="BE4" s="30">
        <f>IF($AX4="",0,IFERROR(INDEX(engDados,MATCH(selAnalito&amp;"|"&amp;$B4,engChave,0),19),0))</f>
        <v>0</v>
      </c>
      <c r="BF4" s="30">
        <f>IF($AX4="",0,IFERROR(INDEX(engDados,MATCH(selAnalito&amp;"|"&amp;$B4,engChave,0),20),0))</f>
        <v>0</v>
      </c>
      <c r="BG4" s="30">
        <f>IF($AX4="",0,IFERROR(INDEX(engDados,MATCH(selAnalito&amp;"|"&amp;$B4,engChave,0),21),0))</f>
        <v>0</v>
      </c>
      <c r="BH4" s="30" t="str">
        <f>IF($AX4="","",IFERROR(INDEX(engDados,MATCH(selAnalito&amp;"|"&amp;$B4,engChave,0),23),""))</f>
        <v>OK</v>
      </c>
      <c r="BI4" s="30">
        <f t="shared" si="27"/>
        <v>5.0192999999999994</v>
      </c>
      <c r="BJ4" s="30">
        <f t="shared" si="28"/>
        <v>5.0537999999999998</v>
      </c>
      <c r="BK4" s="30">
        <f t="shared" si="29"/>
        <v>5.0882999999999994</v>
      </c>
      <c r="BL4" s="30">
        <f t="shared" si="30"/>
        <v>5.1227999999999998</v>
      </c>
      <c r="BM4" s="30">
        <f t="shared" si="31"/>
        <v>5.1573000000000002</v>
      </c>
      <c r="BN4" s="30">
        <f t="shared" si="32"/>
        <v>5.1917999999999997</v>
      </c>
      <c r="BO4" s="30">
        <f t="shared" si="33"/>
        <v>5.2263000000000002</v>
      </c>
      <c r="BP4" s="30" t="e">
        <f>IF(AND($D4=1,(""&amp;loteAnalise)=(""&amp;loteCarregado),COUNTIFS(regAnalito,selAnalito,regNivel,3,regData,$C4,regRep1,"&lt;&gt;")&gt;0),SUMIFS(regRep1,regAnalito,selAnalito,regNivel,3,regData,$C4),NA())</f>
        <v>#N/A</v>
      </c>
      <c r="BQ4" s="30" t="e">
        <f>IF(AND($D4=1,(""&amp;loteAnalise)=(""&amp;loteCarregado),COUNTIFS(regAnalito,selAnalito,regNivel,3,regData,$C4,regRep2,"&lt;&gt;")&gt;0),SUMIFS(regRep2,regAnalito,selAnalito,regNivel,3,regData,$C4),NA())</f>
        <v>#N/A</v>
      </c>
      <c r="BR4" s="30" t="e">
        <f>IF(AND($D4=1,(""&amp;loteAnalise)=(""&amp;loteCarregado),COUNTIFS(regAnalito,selAnalito,regNivel,3,regData,$C4,regRep3,"&lt;&gt;")&gt;0),SUMIFS(regRep3,regAnalito,selAnalito,regNivel,3,regData,$C4),NA())</f>
        <v>#N/A</v>
      </c>
      <c r="BS4" s="30" t="e">
        <f>IF(AND($D4=1,COUNTIFS(regAnalito,selAnalito,regData,$C4,regCalib,"Sim")&gt;0),$BX$1,NA())</f>
        <v>#N/A</v>
      </c>
    </row>
    <row r="5" spans="1:87" x14ac:dyDescent="0.3">
      <c r="A5" s="30">
        <v>3</v>
      </c>
      <c r="B5" s="30">
        <f>IF(OR(selAnalito="",(""&amp;engAnalito)&lt;&gt;(""&amp;selAnalito),(""&amp;engLote)&lt;&gt;(""&amp;loteAnalise),$A5&gt;N(engNRun)),"",INDEX(engRUN,$A5))</f>
        <v>3</v>
      </c>
      <c r="C5" s="43">
        <f>IF($B5="","",IF(INDEX(engData,$A5)="","",INDEX(engData,$A5)))</f>
        <v>45677</v>
      </c>
      <c r="D5" s="30">
        <f>IF($C5="",0,IF(AND(OR(filtroDe="",INT($C5)&gt;=INT(filtroDe)),OR(filtroAte="",INT($C5)&lt;=INT(filtroAte))),1,0))</f>
        <v>1</v>
      </c>
      <c r="E5" s="30">
        <f t="shared" si="0"/>
        <v>3</v>
      </c>
      <c r="F5" s="30">
        <f>IF($B5="","",IF(INDEX(engValN1,$A5)="","",INDEX(engValN1,$A5)))</f>
        <v>2.2985000000000002</v>
      </c>
      <c r="G5" s="30">
        <f t="shared" si="1"/>
        <v>-0.36986301369861985</v>
      </c>
      <c r="H5" s="30">
        <f t="shared" si="2"/>
        <v>2.2985000000000002</v>
      </c>
      <c r="I5" s="30">
        <f t="shared" si="3"/>
        <v>2.2985000000000002</v>
      </c>
      <c r="J5" s="30" t="e">
        <f t="shared" si="4"/>
        <v>#N/A</v>
      </c>
      <c r="K5" s="30">
        <f>IF($F5="",0,IFERROR(INDEX(engDados,MATCH(selAnalito&amp;"|"&amp;$B5,engChave,0),3),0))</f>
        <v>0</v>
      </c>
      <c r="L5" s="30">
        <f>IF($F5="",0,IFERROR(INDEX(engDados,MATCH(selAnalito&amp;"|"&amp;$B5,engChave,0),4),0))</f>
        <v>0</v>
      </c>
      <c r="M5" s="30">
        <f>IF($F5="",0,IFERROR(INDEX(engDados,MATCH(selAnalito&amp;"|"&amp;$B5,engChave,0),5),0))</f>
        <v>0</v>
      </c>
      <c r="N5" s="30">
        <f>IF($F5="",0,IFERROR(INDEX(engDados,MATCH(selAnalito&amp;"|"&amp;$B5,engChave,0),6),0))</f>
        <v>0</v>
      </c>
      <c r="O5" s="30">
        <f>IF($F5="",0,IFERROR(INDEX(engDados,MATCH(selAnalito&amp;"|"&amp;$B5,engChave,0),7),0))</f>
        <v>0</v>
      </c>
      <c r="P5" s="30" t="str">
        <f>IF($F5="","",IFERROR(INDEX(engDados,MATCH(selAnalito&amp;"|"&amp;$B5,engChave,0),9),""))</f>
        <v>OK</v>
      </c>
      <c r="Q5" s="30">
        <f t="shared" si="5"/>
        <v>2.2408999999999999</v>
      </c>
      <c r="R5" s="30">
        <f t="shared" si="6"/>
        <v>2.2627999999999999</v>
      </c>
      <c r="S5" s="30">
        <f t="shared" si="7"/>
        <v>2.2847</v>
      </c>
      <c r="T5" s="30">
        <f t="shared" si="8"/>
        <v>2.3066</v>
      </c>
      <c r="U5" s="30">
        <f t="shared" si="9"/>
        <v>2.3285</v>
      </c>
      <c r="V5" s="30">
        <f t="shared" si="10"/>
        <v>2.3504</v>
      </c>
      <c r="W5" s="30">
        <f t="shared" si="11"/>
        <v>2.3723000000000001</v>
      </c>
      <c r="X5" s="30" t="e">
        <f>IF(AND($D5=1,(""&amp;loteAnalise)=(""&amp;loteCarregado),COUNTIFS(regAnalito,selAnalito,regNivel,1,regData,$C5,regRep1,"&lt;&gt;")&gt;0),SUMIFS(regRep1,regAnalito,selAnalito,regNivel,1,regData,$C5),NA())</f>
        <v>#N/A</v>
      </c>
      <c r="Y5" s="30" t="e">
        <f>IF(AND($D5=1,(""&amp;loteAnalise)=(""&amp;loteCarregado),COUNTIFS(regAnalito,selAnalito,regNivel,1,regData,$C5,regRep2,"&lt;&gt;")&gt;0),SUMIFS(regRep2,regAnalito,selAnalito,regNivel,1,regData,$C5),NA())</f>
        <v>#N/A</v>
      </c>
      <c r="Z5" s="30" t="e">
        <f>IF(AND($D5=1,(""&amp;loteAnalise)=(""&amp;loteCarregado),COUNTIFS(regAnalito,selAnalito,regNivel,1,regData,$C5,regRep3,"&lt;&gt;")&gt;0),SUMIFS(regRep3,regAnalito,selAnalito,regNivel,1,regData,$C5),NA())</f>
        <v>#N/A</v>
      </c>
      <c r="AA5" s="30" t="e">
        <f>IF(AND($D5=1,COUNTIFS(regAnalito,selAnalito,regData,$C5,regCalib,"Sim")&gt;0),$BT$1,NA())</f>
        <v>#N/A</v>
      </c>
      <c r="AB5" s="30">
        <f>IF($B5="","",IF(INDEX(engValN2,$A5)="","",INDEX(engValN2,$A5)))</f>
        <v>4.3826000000000001</v>
      </c>
      <c r="AC5" s="30">
        <f t="shared" si="12"/>
        <v>0.16285714285714395</v>
      </c>
      <c r="AD5" s="30">
        <f t="shared" si="13"/>
        <v>4.3826000000000001</v>
      </c>
      <c r="AE5" s="30">
        <f t="shared" si="14"/>
        <v>4.3826000000000001</v>
      </c>
      <c r="AF5" s="30" t="e">
        <f t="shared" si="15"/>
        <v>#N/A</v>
      </c>
      <c r="AG5" s="30">
        <f>IF($AB5="",0,IFERROR(INDEX(engDados,MATCH(selAnalito&amp;"|"&amp;$B5,engChave,0),10),0))</f>
        <v>0</v>
      </c>
      <c r="AH5" s="30">
        <f>IF($AB5="",0,IFERROR(INDEX(engDados,MATCH(selAnalito&amp;"|"&amp;$B5,engChave,0),11),0))</f>
        <v>0</v>
      </c>
      <c r="AI5" s="30">
        <f>IF($AB5="",0,IFERROR(INDEX(engDados,MATCH(selAnalito&amp;"|"&amp;$B5,engChave,0),12),0))</f>
        <v>0</v>
      </c>
      <c r="AJ5" s="30">
        <f>IF($AB5="",0,IFERROR(INDEX(engDados,MATCH(selAnalito&amp;"|"&amp;$B5,engChave,0),13),0))</f>
        <v>0</v>
      </c>
      <c r="AK5" s="30">
        <f>IF($AB5="",0,IFERROR(INDEX(engDados,MATCH(selAnalito&amp;"|"&amp;$B5,engChave,0),14),0))</f>
        <v>0</v>
      </c>
      <c r="AL5" s="30" t="str">
        <f>IF($AB5="","",IFERROR(INDEX(engDados,MATCH(selAnalito&amp;"|"&amp;$B5,engChave,0),16),""))</f>
        <v>OK</v>
      </c>
      <c r="AM5" s="30">
        <f t="shared" si="16"/>
        <v>4.2718999999999996</v>
      </c>
      <c r="AN5" s="30">
        <f t="shared" si="17"/>
        <v>4.3068999999999997</v>
      </c>
      <c r="AO5" s="30">
        <f t="shared" si="18"/>
        <v>4.3418999999999999</v>
      </c>
      <c r="AP5" s="30">
        <f t="shared" si="19"/>
        <v>4.3769</v>
      </c>
      <c r="AQ5" s="30">
        <f t="shared" si="20"/>
        <v>4.4119000000000002</v>
      </c>
      <c r="AR5" s="30">
        <f t="shared" si="21"/>
        <v>4.4469000000000003</v>
      </c>
      <c r="AS5" s="30">
        <f t="shared" si="22"/>
        <v>4.4819000000000004</v>
      </c>
      <c r="AT5" s="30" t="e">
        <f>IF(AND($D5=1,(""&amp;loteAnalise)=(""&amp;loteCarregado),COUNTIFS(regAnalito,selAnalito,regNivel,2,regData,$C5,regRep1,"&lt;&gt;")&gt;0),SUMIFS(regRep1,regAnalito,selAnalito,regNivel,2,regData,$C5),NA())</f>
        <v>#N/A</v>
      </c>
      <c r="AU5" s="30" t="e">
        <f>IF(AND($D5=1,(""&amp;loteAnalise)=(""&amp;loteCarregado),COUNTIFS(regAnalito,selAnalito,regNivel,2,regData,$C5,regRep2,"&lt;&gt;")&gt;0),SUMIFS(regRep2,regAnalito,selAnalito,regNivel,2,regData,$C5),NA())</f>
        <v>#N/A</v>
      </c>
      <c r="AV5" s="30" t="e">
        <f>IF(AND($D5=1,(""&amp;loteAnalise)=(""&amp;loteCarregado),COUNTIFS(regAnalito,selAnalito,regNivel,2,regData,$C5,regRep3,"&lt;&gt;")&gt;0),SUMIFS(regRep3,regAnalito,selAnalito,regNivel,2,regData,$C5),NA())</f>
        <v>#N/A</v>
      </c>
      <c r="AW5" s="30" t="e">
        <f>IF(AND($D5=1,COUNTIFS(regAnalito,selAnalito,regData,$C5,regCalib,"Sim")&gt;0),$BV$1,NA())</f>
        <v>#N/A</v>
      </c>
      <c r="AX5" s="30">
        <f>IF($B5="","",IF(INDEX(engValN3,$A5)="","",INDEX(engValN3,$A5)))</f>
        <v>5.1520000000000001</v>
      </c>
      <c r="AY5" s="30">
        <f t="shared" si="23"/>
        <v>0.84637681159421263</v>
      </c>
      <c r="AZ5" s="30">
        <f t="shared" si="24"/>
        <v>5.1520000000000001</v>
      </c>
      <c r="BA5" s="30">
        <f t="shared" si="25"/>
        <v>5.1520000000000001</v>
      </c>
      <c r="BB5" s="30" t="e">
        <f t="shared" si="26"/>
        <v>#N/A</v>
      </c>
      <c r="BC5" s="30">
        <f>IF($AX5="",0,IFERROR(INDEX(engDados,MATCH(selAnalito&amp;"|"&amp;$B5,engChave,0),17),0))</f>
        <v>0</v>
      </c>
      <c r="BD5" s="30">
        <f>IF($AX5="",0,IFERROR(INDEX(engDados,MATCH(selAnalito&amp;"|"&amp;$B5,engChave,0),18),0))</f>
        <v>0</v>
      </c>
      <c r="BE5" s="30">
        <f>IF($AX5="",0,IFERROR(INDEX(engDados,MATCH(selAnalito&amp;"|"&amp;$B5,engChave,0),19),0))</f>
        <v>0</v>
      </c>
      <c r="BF5" s="30">
        <f>IF($AX5="",0,IFERROR(INDEX(engDados,MATCH(selAnalito&amp;"|"&amp;$B5,engChave,0),20),0))</f>
        <v>0</v>
      </c>
      <c r="BG5" s="30">
        <f>IF($AX5="",0,IFERROR(INDEX(engDados,MATCH(selAnalito&amp;"|"&amp;$B5,engChave,0),21),0))</f>
        <v>0</v>
      </c>
      <c r="BH5" s="30" t="str">
        <f>IF($AX5="","",IFERROR(INDEX(engDados,MATCH(selAnalito&amp;"|"&amp;$B5,engChave,0),23),""))</f>
        <v>OK</v>
      </c>
      <c r="BI5" s="30">
        <f t="shared" si="27"/>
        <v>5.0192999999999994</v>
      </c>
      <c r="BJ5" s="30">
        <f t="shared" si="28"/>
        <v>5.0537999999999998</v>
      </c>
      <c r="BK5" s="30">
        <f t="shared" si="29"/>
        <v>5.0882999999999994</v>
      </c>
      <c r="BL5" s="30">
        <f t="shared" si="30"/>
        <v>5.1227999999999998</v>
      </c>
      <c r="BM5" s="30">
        <f t="shared" si="31"/>
        <v>5.1573000000000002</v>
      </c>
      <c r="BN5" s="30">
        <f t="shared" si="32"/>
        <v>5.1917999999999997</v>
      </c>
      <c r="BO5" s="30">
        <f t="shared" si="33"/>
        <v>5.2263000000000002</v>
      </c>
      <c r="BP5" s="30" t="e">
        <f>IF(AND($D5=1,(""&amp;loteAnalise)=(""&amp;loteCarregado),COUNTIFS(regAnalito,selAnalito,regNivel,3,regData,$C5,regRep1,"&lt;&gt;")&gt;0),SUMIFS(regRep1,regAnalito,selAnalito,regNivel,3,regData,$C5),NA())</f>
        <v>#N/A</v>
      </c>
      <c r="BQ5" s="30" t="e">
        <f>IF(AND($D5=1,(""&amp;loteAnalise)=(""&amp;loteCarregado),COUNTIFS(regAnalito,selAnalito,regNivel,3,regData,$C5,regRep2,"&lt;&gt;")&gt;0),SUMIFS(regRep2,regAnalito,selAnalito,regNivel,3,regData,$C5),NA())</f>
        <v>#N/A</v>
      </c>
      <c r="BR5" s="30" t="e">
        <f>IF(AND($D5=1,(""&amp;loteAnalise)=(""&amp;loteCarregado),COUNTIFS(regAnalito,selAnalito,regNivel,3,regData,$C5,regRep3,"&lt;&gt;")&gt;0),SUMIFS(regRep3,regAnalito,selAnalito,regNivel,3,regData,$C5),NA())</f>
        <v>#N/A</v>
      </c>
      <c r="BS5" s="30" t="e">
        <f>IF(AND($D5=1,COUNTIFS(regAnalito,selAnalito,regData,$C5,regCalib,"Sim")&gt;0),$BX$1,NA())</f>
        <v>#N/A</v>
      </c>
    </row>
    <row r="6" spans="1:87" x14ac:dyDescent="0.3">
      <c r="A6" s="30">
        <v>4</v>
      </c>
      <c r="B6" s="30">
        <f>IF(OR(selAnalito="",(""&amp;engAnalito)&lt;&gt;(""&amp;selAnalito),(""&amp;engLote)&lt;&gt;(""&amp;loteAnalise),$A6&gt;N(engNRun)),"",INDEX(engRUN,$A6))</f>
        <v>4</v>
      </c>
      <c r="C6" s="43">
        <f>IF($B6="","",IF(INDEX(engData,$A6)="","",INDEX(engData,$A6)))</f>
        <v>45684</v>
      </c>
      <c r="D6" s="30">
        <f>IF($C6="",0,IF(AND(OR(filtroDe="",INT($C6)&gt;=INT(filtroDe)),OR(filtroAte="",INT($C6)&lt;=INT(filtroAte))),1,0))</f>
        <v>1</v>
      </c>
      <c r="E6" s="30">
        <f t="shared" si="0"/>
        <v>4</v>
      </c>
      <c r="F6" s="30">
        <f>IF($B6="","",IF(INDEX(engValN1,$A6)="","",INDEX(engValN1,$A6)))</f>
        <v>2.3010999999999999</v>
      </c>
      <c r="G6" s="30">
        <f t="shared" si="1"/>
        <v>-0.25114155251141829</v>
      </c>
      <c r="H6" s="30">
        <f t="shared" si="2"/>
        <v>2.3010999999999999</v>
      </c>
      <c r="I6" s="30">
        <f t="shared" si="3"/>
        <v>2.3010999999999999</v>
      </c>
      <c r="J6" s="30" t="e">
        <f t="shared" si="4"/>
        <v>#N/A</v>
      </c>
      <c r="K6" s="30">
        <f>IF($F6="",0,IFERROR(INDEX(engDados,MATCH(selAnalito&amp;"|"&amp;$B6,engChave,0),3),0))</f>
        <v>0</v>
      </c>
      <c r="L6" s="30">
        <f>IF($F6="",0,IFERROR(INDEX(engDados,MATCH(selAnalito&amp;"|"&amp;$B6,engChave,0),4),0))</f>
        <v>0</v>
      </c>
      <c r="M6" s="30">
        <f>IF($F6="",0,IFERROR(INDEX(engDados,MATCH(selAnalito&amp;"|"&amp;$B6,engChave,0),5),0))</f>
        <v>0</v>
      </c>
      <c r="N6" s="30">
        <f>IF($F6="",0,IFERROR(INDEX(engDados,MATCH(selAnalito&amp;"|"&amp;$B6,engChave,0),6),0))</f>
        <v>0</v>
      </c>
      <c r="O6" s="30">
        <f>IF($F6="",0,IFERROR(INDEX(engDados,MATCH(selAnalito&amp;"|"&amp;$B6,engChave,0),7),0))</f>
        <v>0</v>
      </c>
      <c r="P6" s="30" t="str">
        <f>IF($F6="","",IFERROR(INDEX(engDados,MATCH(selAnalito&amp;"|"&amp;$B6,engChave,0),9),""))</f>
        <v>OK</v>
      </c>
      <c r="Q6" s="30">
        <f t="shared" si="5"/>
        <v>2.2408999999999999</v>
      </c>
      <c r="R6" s="30">
        <f t="shared" si="6"/>
        <v>2.2627999999999999</v>
      </c>
      <c r="S6" s="30">
        <f t="shared" si="7"/>
        <v>2.2847</v>
      </c>
      <c r="T6" s="30">
        <f t="shared" si="8"/>
        <v>2.3066</v>
      </c>
      <c r="U6" s="30">
        <f t="shared" si="9"/>
        <v>2.3285</v>
      </c>
      <c r="V6" s="30">
        <f t="shared" si="10"/>
        <v>2.3504</v>
      </c>
      <c r="W6" s="30">
        <f t="shared" si="11"/>
        <v>2.3723000000000001</v>
      </c>
      <c r="X6" s="30" t="e">
        <f>IF(AND($D6=1,(""&amp;loteAnalise)=(""&amp;loteCarregado),COUNTIFS(regAnalito,selAnalito,regNivel,1,regData,$C6,regRep1,"&lt;&gt;")&gt;0),SUMIFS(regRep1,regAnalito,selAnalito,regNivel,1,regData,$C6),NA())</f>
        <v>#N/A</v>
      </c>
      <c r="Y6" s="30" t="e">
        <f>IF(AND($D6=1,(""&amp;loteAnalise)=(""&amp;loteCarregado),COUNTIFS(regAnalito,selAnalito,regNivel,1,regData,$C6,regRep2,"&lt;&gt;")&gt;0),SUMIFS(regRep2,regAnalito,selAnalito,regNivel,1,regData,$C6),NA())</f>
        <v>#N/A</v>
      </c>
      <c r="Z6" s="30" t="e">
        <f>IF(AND($D6=1,(""&amp;loteAnalise)=(""&amp;loteCarregado),COUNTIFS(regAnalito,selAnalito,regNivel,1,regData,$C6,regRep3,"&lt;&gt;")&gt;0),SUMIFS(regRep3,regAnalito,selAnalito,regNivel,1,regData,$C6),NA())</f>
        <v>#N/A</v>
      </c>
      <c r="AA6" s="30" t="e">
        <f>IF(AND($D6=1,COUNTIFS(regAnalito,selAnalito,regData,$C6,regCalib,"Sim")&gt;0),$BT$1,NA())</f>
        <v>#N/A</v>
      </c>
      <c r="AB6" s="30">
        <f>IF($B6="","",IF(INDEX(engValN2,$A6)="","",INDEX(engValN2,$A6)))</f>
        <v>4.4554</v>
      </c>
      <c r="AC6" s="30">
        <f t="shared" si="12"/>
        <v>2.2428571428571429</v>
      </c>
      <c r="AD6" s="30">
        <f t="shared" si="13"/>
        <v>4.4554</v>
      </c>
      <c r="AE6" s="30">
        <f t="shared" si="14"/>
        <v>4.4554</v>
      </c>
      <c r="AF6" s="30" t="e">
        <f t="shared" si="15"/>
        <v>#N/A</v>
      </c>
      <c r="AG6" s="30">
        <f>IF($AB6="",0,IFERROR(INDEX(engDados,MATCH(selAnalito&amp;"|"&amp;$B6,engChave,0),10),0))</f>
        <v>0</v>
      </c>
      <c r="AH6" s="30">
        <f>IF($AB6="",0,IFERROR(INDEX(engDados,MATCH(selAnalito&amp;"|"&amp;$B6,engChave,0),11),0))</f>
        <v>0</v>
      </c>
      <c r="AI6" s="30">
        <f>IF($AB6="",0,IFERROR(INDEX(engDados,MATCH(selAnalito&amp;"|"&amp;$B6,engChave,0),12),0))</f>
        <v>0</v>
      </c>
      <c r="AJ6" s="30">
        <f>IF($AB6="",0,IFERROR(INDEX(engDados,MATCH(selAnalito&amp;"|"&amp;$B6,engChave,0),13),0))</f>
        <v>0</v>
      </c>
      <c r="AK6" s="30">
        <f>IF($AB6="",0,IFERROR(INDEX(engDados,MATCH(selAnalito&amp;"|"&amp;$B6,engChave,0),14),0))</f>
        <v>0</v>
      </c>
      <c r="AL6" s="30" t="str">
        <f>IF($AB6="","",IFERROR(INDEX(engDados,MATCH(selAnalito&amp;"|"&amp;$B6,engChave,0),16),""))</f>
        <v>OK</v>
      </c>
      <c r="AM6" s="30">
        <f t="shared" si="16"/>
        <v>4.2718999999999996</v>
      </c>
      <c r="AN6" s="30">
        <f t="shared" si="17"/>
        <v>4.3068999999999997</v>
      </c>
      <c r="AO6" s="30">
        <f t="shared" si="18"/>
        <v>4.3418999999999999</v>
      </c>
      <c r="AP6" s="30">
        <f t="shared" si="19"/>
        <v>4.3769</v>
      </c>
      <c r="AQ6" s="30">
        <f t="shared" si="20"/>
        <v>4.4119000000000002</v>
      </c>
      <c r="AR6" s="30">
        <f t="shared" si="21"/>
        <v>4.4469000000000003</v>
      </c>
      <c r="AS6" s="30">
        <f t="shared" si="22"/>
        <v>4.4819000000000004</v>
      </c>
      <c r="AT6" s="30" t="e">
        <f>IF(AND($D6=1,(""&amp;loteAnalise)=(""&amp;loteCarregado),COUNTIFS(regAnalito,selAnalito,regNivel,2,regData,$C6,regRep1,"&lt;&gt;")&gt;0),SUMIFS(regRep1,regAnalito,selAnalito,regNivel,2,regData,$C6),NA())</f>
        <v>#N/A</v>
      </c>
      <c r="AU6" s="30" t="e">
        <f>IF(AND($D6=1,(""&amp;loteAnalise)=(""&amp;loteCarregado),COUNTIFS(regAnalito,selAnalito,regNivel,2,regData,$C6,regRep2,"&lt;&gt;")&gt;0),SUMIFS(regRep2,regAnalito,selAnalito,regNivel,2,regData,$C6),NA())</f>
        <v>#N/A</v>
      </c>
      <c r="AV6" s="30" t="e">
        <f>IF(AND($D6=1,(""&amp;loteAnalise)=(""&amp;loteCarregado),COUNTIFS(regAnalito,selAnalito,regNivel,2,regData,$C6,regRep3,"&lt;&gt;")&gt;0),SUMIFS(regRep3,regAnalito,selAnalito,regNivel,2,regData,$C6),NA())</f>
        <v>#N/A</v>
      </c>
      <c r="AW6" s="30" t="e">
        <f>IF(AND($D6=1,COUNTIFS(regAnalito,selAnalito,regData,$C6,regCalib,"Sim")&gt;0),$BV$1,NA())</f>
        <v>#N/A</v>
      </c>
      <c r="AX6" s="30">
        <f>IF($B6="","",IF(INDEX(engValN3,$A6)="","",INDEX(engValN3,$A6)))</f>
        <v>5.0625</v>
      </c>
      <c r="AY6" s="30">
        <f t="shared" si="23"/>
        <v>-1.7478260869565156</v>
      </c>
      <c r="AZ6" s="30">
        <f t="shared" si="24"/>
        <v>5.0625</v>
      </c>
      <c r="BA6" s="30">
        <f t="shared" si="25"/>
        <v>5.0625</v>
      </c>
      <c r="BB6" s="30" t="e">
        <f t="shared" si="26"/>
        <v>#N/A</v>
      </c>
      <c r="BC6" s="30">
        <f>IF($AX6="",0,IFERROR(INDEX(engDados,MATCH(selAnalito&amp;"|"&amp;$B6,engChave,0),17),0))</f>
        <v>0</v>
      </c>
      <c r="BD6" s="30">
        <f>IF($AX6="",0,IFERROR(INDEX(engDados,MATCH(selAnalito&amp;"|"&amp;$B6,engChave,0),18),0))</f>
        <v>0</v>
      </c>
      <c r="BE6" s="30">
        <f>IF($AX6="",0,IFERROR(INDEX(engDados,MATCH(selAnalito&amp;"|"&amp;$B6,engChave,0),19),0))</f>
        <v>0</v>
      </c>
      <c r="BF6" s="30">
        <f>IF($AX6="",0,IFERROR(INDEX(engDados,MATCH(selAnalito&amp;"|"&amp;$B6,engChave,0),20),0))</f>
        <v>0</v>
      </c>
      <c r="BG6" s="30">
        <f>IF($AX6="",0,IFERROR(INDEX(engDados,MATCH(selAnalito&amp;"|"&amp;$B6,engChave,0),21),0))</f>
        <v>0</v>
      </c>
      <c r="BH6" s="30" t="str">
        <f>IF($AX6="","",IFERROR(INDEX(engDados,MATCH(selAnalito&amp;"|"&amp;$B6,engChave,0),23),""))</f>
        <v>OK</v>
      </c>
      <c r="BI6" s="30">
        <f t="shared" si="27"/>
        <v>5.0192999999999994</v>
      </c>
      <c r="BJ6" s="30">
        <f t="shared" si="28"/>
        <v>5.0537999999999998</v>
      </c>
      <c r="BK6" s="30">
        <f t="shared" si="29"/>
        <v>5.0882999999999994</v>
      </c>
      <c r="BL6" s="30">
        <f t="shared" si="30"/>
        <v>5.1227999999999998</v>
      </c>
      <c r="BM6" s="30">
        <f t="shared" si="31"/>
        <v>5.1573000000000002</v>
      </c>
      <c r="BN6" s="30">
        <f t="shared" si="32"/>
        <v>5.1917999999999997</v>
      </c>
      <c r="BO6" s="30">
        <f t="shared" si="33"/>
        <v>5.2263000000000002</v>
      </c>
      <c r="BP6" s="30" t="e">
        <f>IF(AND($D6=1,(""&amp;loteAnalise)=(""&amp;loteCarregado),COUNTIFS(regAnalito,selAnalito,regNivel,3,regData,$C6,regRep1,"&lt;&gt;")&gt;0),SUMIFS(regRep1,regAnalito,selAnalito,regNivel,3,regData,$C6),NA())</f>
        <v>#N/A</v>
      </c>
      <c r="BQ6" s="30" t="e">
        <f>IF(AND($D6=1,(""&amp;loteAnalise)=(""&amp;loteCarregado),COUNTIFS(regAnalito,selAnalito,regNivel,3,regData,$C6,regRep2,"&lt;&gt;")&gt;0),SUMIFS(regRep2,regAnalito,selAnalito,regNivel,3,regData,$C6),NA())</f>
        <v>#N/A</v>
      </c>
      <c r="BR6" s="30" t="e">
        <f>IF(AND($D6=1,(""&amp;loteAnalise)=(""&amp;loteCarregado),COUNTIFS(regAnalito,selAnalito,regNivel,3,regData,$C6,regRep3,"&lt;&gt;")&gt;0),SUMIFS(regRep3,regAnalito,selAnalito,regNivel,3,regData,$C6),NA())</f>
        <v>#N/A</v>
      </c>
      <c r="BS6" s="30" t="e">
        <f>IF(AND($D6=1,COUNTIFS(regAnalito,selAnalito,regData,$C6,regCalib,"Sim")&gt;0),$BX$1,NA())</f>
        <v>#N/A</v>
      </c>
    </row>
    <row r="7" spans="1:87" x14ac:dyDescent="0.3">
      <c r="A7" s="30">
        <v>5</v>
      </c>
      <c r="B7" s="30">
        <f>IF(OR(selAnalito="",(""&amp;engAnalito)&lt;&gt;(""&amp;selAnalito),(""&amp;engLote)&lt;&gt;(""&amp;loteAnalise),$A7&gt;N(engNRun)),"",INDEX(engRUN,$A7))</f>
        <v>5</v>
      </c>
      <c r="C7" s="43">
        <f>IF($B7="","",IF(INDEX(engData,$A7)="","",INDEX(engData,$A7)))</f>
        <v>45691</v>
      </c>
      <c r="D7" s="30">
        <f>IF($C7="",0,IF(AND(OR(filtroDe="",INT($C7)&gt;=INT(filtroDe)),OR(filtroAte="",INT($C7)&lt;=INT(filtroAte))),1,0))</f>
        <v>1</v>
      </c>
      <c r="E7" s="30">
        <f t="shared" si="0"/>
        <v>5</v>
      </c>
      <c r="F7" s="30">
        <f>IF($B7="","",IF(INDEX(engValN1,$A7)="","",INDEX(engValN1,$A7)))</f>
        <v>2.3399000000000001</v>
      </c>
      <c r="G7" s="30">
        <f t="shared" si="1"/>
        <v>1.5205479452054844</v>
      </c>
      <c r="H7" s="30">
        <f t="shared" si="2"/>
        <v>2.3399000000000001</v>
      </c>
      <c r="I7" s="30">
        <f t="shared" si="3"/>
        <v>2.3399000000000001</v>
      </c>
      <c r="J7" s="30" t="e">
        <f t="shared" si="4"/>
        <v>#N/A</v>
      </c>
      <c r="K7" s="30">
        <f>IF($F7="",0,IFERROR(INDEX(engDados,MATCH(selAnalito&amp;"|"&amp;$B7,engChave,0),3),0))</f>
        <v>0</v>
      </c>
      <c r="L7" s="30">
        <f>IF($F7="",0,IFERROR(INDEX(engDados,MATCH(selAnalito&amp;"|"&amp;$B7,engChave,0),4),0))</f>
        <v>0</v>
      </c>
      <c r="M7" s="30">
        <f>IF($F7="",0,IFERROR(INDEX(engDados,MATCH(selAnalito&amp;"|"&amp;$B7,engChave,0),5),0))</f>
        <v>0</v>
      </c>
      <c r="N7" s="30">
        <f>IF($F7="",0,IFERROR(INDEX(engDados,MATCH(selAnalito&amp;"|"&amp;$B7,engChave,0),6),0))</f>
        <v>0</v>
      </c>
      <c r="O7" s="30">
        <f>IF($F7="",0,IFERROR(INDEX(engDados,MATCH(selAnalito&amp;"|"&amp;$B7,engChave,0),7),0))</f>
        <v>0</v>
      </c>
      <c r="P7" s="30" t="str">
        <f>IF($F7="","",IFERROR(INDEX(engDados,MATCH(selAnalito&amp;"|"&amp;$B7,engChave,0),9),""))</f>
        <v>OK</v>
      </c>
      <c r="Q7" s="30">
        <f t="shared" si="5"/>
        <v>2.2408999999999999</v>
      </c>
      <c r="R7" s="30">
        <f t="shared" si="6"/>
        <v>2.2627999999999999</v>
      </c>
      <c r="S7" s="30">
        <f t="shared" si="7"/>
        <v>2.2847</v>
      </c>
      <c r="T7" s="30">
        <f t="shared" si="8"/>
        <v>2.3066</v>
      </c>
      <c r="U7" s="30">
        <f t="shared" si="9"/>
        <v>2.3285</v>
      </c>
      <c r="V7" s="30">
        <f t="shared" si="10"/>
        <v>2.3504</v>
      </c>
      <c r="W7" s="30">
        <f t="shared" si="11"/>
        <v>2.3723000000000001</v>
      </c>
      <c r="X7" s="30" t="e">
        <f>IF(AND($D7=1,(""&amp;loteAnalise)=(""&amp;loteCarregado),COUNTIFS(regAnalito,selAnalito,regNivel,1,regData,$C7,regRep1,"&lt;&gt;")&gt;0),SUMIFS(regRep1,regAnalito,selAnalito,regNivel,1,regData,$C7),NA())</f>
        <v>#N/A</v>
      </c>
      <c r="Y7" s="30" t="e">
        <f>IF(AND($D7=1,(""&amp;loteAnalise)=(""&amp;loteCarregado),COUNTIFS(regAnalito,selAnalito,regNivel,1,regData,$C7,regRep2,"&lt;&gt;")&gt;0),SUMIFS(regRep2,regAnalito,selAnalito,regNivel,1,regData,$C7),NA())</f>
        <v>#N/A</v>
      </c>
      <c r="Z7" s="30" t="e">
        <f>IF(AND($D7=1,(""&amp;loteAnalise)=(""&amp;loteCarregado),COUNTIFS(regAnalito,selAnalito,regNivel,1,regData,$C7,regRep3,"&lt;&gt;")&gt;0),SUMIFS(regRep3,regAnalito,selAnalito,regNivel,1,regData,$C7),NA())</f>
        <v>#N/A</v>
      </c>
      <c r="AA7" s="30" t="e">
        <f>IF(AND($D7=1,COUNTIFS(regAnalito,selAnalito,regData,$C7,regCalib,"Sim")&gt;0),$BT$1,NA())</f>
        <v>#N/A</v>
      </c>
      <c r="AB7" s="30">
        <f>IF($B7="","",IF(INDEX(engValN2,$A7)="","",INDEX(engValN2,$A7)))</f>
        <v>4.3478000000000003</v>
      </c>
      <c r="AC7" s="30">
        <f t="shared" si="12"/>
        <v>-0.8314285714285623</v>
      </c>
      <c r="AD7" s="30">
        <f t="shared" si="13"/>
        <v>4.3478000000000003</v>
      </c>
      <c r="AE7" s="30">
        <f t="shared" si="14"/>
        <v>4.3478000000000003</v>
      </c>
      <c r="AF7" s="30" t="e">
        <f t="shared" si="15"/>
        <v>#N/A</v>
      </c>
      <c r="AG7" s="30">
        <f>IF($AB7="",0,IFERROR(INDEX(engDados,MATCH(selAnalito&amp;"|"&amp;$B7,engChave,0),10),0))</f>
        <v>0</v>
      </c>
      <c r="AH7" s="30">
        <f>IF($AB7="",0,IFERROR(INDEX(engDados,MATCH(selAnalito&amp;"|"&amp;$B7,engChave,0),11),0))</f>
        <v>0</v>
      </c>
      <c r="AI7" s="30">
        <f>IF($AB7="",0,IFERROR(INDEX(engDados,MATCH(selAnalito&amp;"|"&amp;$B7,engChave,0),12),0))</f>
        <v>0</v>
      </c>
      <c r="AJ7" s="30">
        <f>IF($AB7="",0,IFERROR(INDEX(engDados,MATCH(selAnalito&amp;"|"&amp;$B7,engChave,0),13),0))</f>
        <v>0</v>
      </c>
      <c r="AK7" s="30">
        <f>IF($AB7="",0,IFERROR(INDEX(engDados,MATCH(selAnalito&amp;"|"&amp;$B7,engChave,0),14),0))</f>
        <v>0</v>
      </c>
      <c r="AL7" s="30" t="str">
        <f>IF($AB7="","",IFERROR(INDEX(engDados,MATCH(selAnalito&amp;"|"&amp;$B7,engChave,0),16),""))</f>
        <v>OK</v>
      </c>
      <c r="AM7" s="30">
        <f t="shared" si="16"/>
        <v>4.2718999999999996</v>
      </c>
      <c r="AN7" s="30">
        <f t="shared" si="17"/>
        <v>4.3068999999999997</v>
      </c>
      <c r="AO7" s="30">
        <f t="shared" si="18"/>
        <v>4.3418999999999999</v>
      </c>
      <c r="AP7" s="30">
        <f t="shared" si="19"/>
        <v>4.3769</v>
      </c>
      <c r="AQ7" s="30">
        <f t="shared" si="20"/>
        <v>4.4119000000000002</v>
      </c>
      <c r="AR7" s="30">
        <f t="shared" si="21"/>
        <v>4.4469000000000003</v>
      </c>
      <c r="AS7" s="30">
        <f t="shared" si="22"/>
        <v>4.4819000000000004</v>
      </c>
      <c r="AT7" s="30" t="e">
        <f>IF(AND($D7=1,(""&amp;loteAnalise)=(""&amp;loteCarregado),COUNTIFS(regAnalito,selAnalito,regNivel,2,regData,$C7,regRep1,"&lt;&gt;")&gt;0),SUMIFS(regRep1,regAnalito,selAnalito,regNivel,2,regData,$C7),NA())</f>
        <v>#N/A</v>
      </c>
      <c r="AU7" s="30" t="e">
        <f>IF(AND($D7=1,(""&amp;loteAnalise)=(""&amp;loteCarregado),COUNTIFS(regAnalito,selAnalito,regNivel,2,regData,$C7,regRep2,"&lt;&gt;")&gt;0),SUMIFS(regRep2,regAnalito,selAnalito,regNivel,2,regData,$C7),NA())</f>
        <v>#N/A</v>
      </c>
      <c r="AV7" s="30" t="e">
        <f>IF(AND($D7=1,(""&amp;loteAnalise)=(""&amp;loteCarregado),COUNTIFS(regAnalito,selAnalito,regNivel,2,regData,$C7,regRep3,"&lt;&gt;")&gt;0),SUMIFS(regRep3,regAnalito,selAnalito,regNivel,2,regData,$C7),NA())</f>
        <v>#N/A</v>
      </c>
      <c r="AW7" s="30" t="e">
        <f>IF(AND($D7=1,COUNTIFS(regAnalito,selAnalito,regData,$C7,regCalib,"Sim")&gt;0),$BV$1,NA())</f>
        <v>#N/A</v>
      </c>
      <c r="AX7" s="30">
        <f>IF($B7="","",IF(INDEX(engValN3,$A7)="","",INDEX(engValN3,$A7)))</f>
        <v>5.1489000000000003</v>
      </c>
      <c r="AY7" s="30">
        <f t="shared" si="23"/>
        <v>0.75652173913044796</v>
      </c>
      <c r="AZ7" s="30">
        <f t="shared" si="24"/>
        <v>5.1489000000000003</v>
      </c>
      <c r="BA7" s="30">
        <f t="shared" si="25"/>
        <v>5.1489000000000003</v>
      </c>
      <c r="BB7" s="30" t="e">
        <f t="shared" si="26"/>
        <v>#N/A</v>
      </c>
      <c r="BC7" s="30">
        <f>IF($AX7="",0,IFERROR(INDEX(engDados,MATCH(selAnalito&amp;"|"&amp;$B7,engChave,0),17),0))</f>
        <v>0</v>
      </c>
      <c r="BD7" s="30">
        <f>IF($AX7="",0,IFERROR(INDEX(engDados,MATCH(selAnalito&amp;"|"&amp;$B7,engChave,0),18),0))</f>
        <v>0</v>
      </c>
      <c r="BE7" s="30">
        <f>IF($AX7="",0,IFERROR(INDEX(engDados,MATCH(selAnalito&amp;"|"&amp;$B7,engChave,0),19),0))</f>
        <v>0</v>
      </c>
      <c r="BF7" s="30">
        <f>IF($AX7="",0,IFERROR(INDEX(engDados,MATCH(selAnalito&amp;"|"&amp;$B7,engChave,0),20),0))</f>
        <v>0</v>
      </c>
      <c r="BG7" s="30">
        <f>IF($AX7="",0,IFERROR(INDEX(engDados,MATCH(selAnalito&amp;"|"&amp;$B7,engChave,0),21),0))</f>
        <v>0</v>
      </c>
      <c r="BH7" s="30" t="str">
        <f>IF($AX7="","",IFERROR(INDEX(engDados,MATCH(selAnalito&amp;"|"&amp;$B7,engChave,0),23),""))</f>
        <v>OK</v>
      </c>
      <c r="BI7" s="30">
        <f t="shared" si="27"/>
        <v>5.0192999999999994</v>
      </c>
      <c r="BJ7" s="30">
        <f t="shared" si="28"/>
        <v>5.0537999999999998</v>
      </c>
      <c r="BK7" s="30">
        <f t="shared" si="29"/>
        <v>5.0882999999999994</v>
      </c>
      <c r="BL7" s="30">
        <f t="shared" si="30"/>
        <v>5.1227999999999998</v>
      </c>
      <c r="BM7" s="30">
        <f t="shared" si="31"/>
        <v>5.1573000000000002</v>
      </c>
      <c r="BN7" s="30">
        <f t="shared" si="32"/>
        <v>5.1917999999999997</v>
      </c>
      <c r="BO7" s="30">
        <f t="shared" si="33"/>
        <v>5.2263000000000002</v>
      </c>
      <c r="BP7" s="30" t="e">
        <f>IF(AND($D7=1,(""&amp;loteAnalise)=(""&amp;loteCarregado),COUNTIFS(regAnalito,selAnalito,regNivel,3,regData,$C7,regRep1,"&lt;&gt;")&gt;0),SUMIFS(regRep1,regAnalito,selAnalito,regNivel,3,regData,$C7),NA())</f>
        <v>#N/A</v>
      </c>
      <c r="BQ7" s="30" t="e">
        <f>IF(AND($D7=1,(""&amp;loteAnalise)=(""&amp;loteCarregado),COUNTIFS(regAnalito,selAnalito,regNivel,3,regData,$C7,regRep2,"&lt;&gt;")&gt;0),SUMIFS(regRep2,regAnalito,selAnalito,regNivel,3,regData,$C7),NA())</f>
        <v>#N/A</v>
      </c>
      <c r="BR7" s="30" t="e">
        <f>IF(AND($D7=1,(""&amp;loteAnalise)=(""&amp;loteCarregado),COUNTIFS(regAnalito,selAnalito,regNivel,3,regData,$C7,regRep3,"&lt;&gt;")&gt;0),SUMIFS(regRep3,regAnalito,selAnalito,regNivel,3,regData,$C7),NA())</f>
        <v>#N/A</v>
      </c>
      <c r="BS7" s="30" t="e">
        <f>IF(AND($D7=1,COUNTIFS(regAnalito,selAnalito,regData,$C7,regCalib,"Sim")&gt;0),$BX$1,NA())</f>
        <v>#N/A</v>
      </c>
    </row>
    <row r="8" spans="1:87" x14ac:dyDescent="0.3">
      <c r="A8" s="30">
        <v>6</v>
      </c>
      <c r="B8" s="30">
        <f>IF(OR(selAnalito="",(""&amp;engAnalito)&lt;&gt;(""&amp;selAnalito),(""&amp;engLote)&lt;&gt;(""&amp;loteAnalise),$A8&gt;N(engNRun)),"",INDEX(engRUN,$A8))</f>
        <v>6</v>
      </c>
      <c r="C8" s="43">
        <f>IF($B8="","",IF(INDEX(engData,$A8)="","",INDEX(engData,$A8)))</f>
        <v>45698</v>
      </c>
      <c r="D8" s="30">
        <f>IF($C8="",0,IF(AND(OR(filtroDe="",INT($C8)&gt;=INT(filtroDe)),OR(filtroAte="",INT($C8)&lt;=INT(filtroAte))),1,0))</f>
        <v>1</v>
      </c>
      <c r="E8" s="30">
        <f t="shared" si="0"/>
        <v>6</v>
      </c>
      <c r="F8" s="30">
        <f>IF($B8="","",IF(INDEX(engValN1,$A8)="","",INDEX(engValN1,$A8)))</f>
        <v>2.2972000000000001</v>
      </c>
      <c r="G8" s="30">
        <f t="shared" si="1"/>
        <v>-0.42922374429223076</v>
      </c>
      <c r="H8" s="30">
        <f t="shared" si="2"/>
        <v>2.2972000000000001</v>
      </c>
      <c r="I8" s="30">
        <f t="shared" si="3"/>
        <v>2.2972000000000001</v>
      </c>
      <c r="J8" s="30" t="e">
        <f t="shared" si="4"/>
        <v>#N/A</v>
      </c>
      <c r="K8" s="30">
        <f>IF($F8="",0,IFERROR(INDEX(engDados,MATCH(selAnalito&amp;"|"&amp;$B8,engChave,0),3),0))</f>
        <v>0</v>
      </c>
      <c r="L8" s="30">
        <f>IF($F8="",0,IFERROR(INDEX(engDados,MATCH(selAnalito&amp;"|"&amp;$B8,engChave,0),4),0))</f>
        <v>0</v>
      </c>
      <c r="M8" s="30">
        <f>IF($F8="",0,IFERROR(INDEX(engDados,MATCH(selAnalito&amp;"|"&amp;$B8,engChave,0),5),0))</f>
        <v>0</v>
      </c>
      <c r="N8" s="30">
        <f>IF($F8="",0,IFERROR(INDEX(engDados,MATCH(selAnalito&amp;"|"&amp;$B8,engChave,0),6),0))</f>
        <v>0</v>
      </c>
      <c r="O8" s="30">
        <f>IF($F8="",0,IFERROR(INDEX(engDados,MATCH(selAnalito&amp;"|"&amp;$B8,engChave,0),7),0))</f>
        <v>0</v>
      </c>
      <c r="P8" s="30" t="str">
        <f>IF($F8="","",IFERROR(INDEX(engDados,MATCH(selAnalito&amp;"|"&amp;$B8,engChave,0),9),""))</f>
        <v>OK</v>
      </c>
      <c r="Q8" s="30">
        <f t="shared" si="5"/>
        <v>2.2408999999999999</v>
      </c>
      <c r="R8" s="30">
        <f t="shared" si="6"/>
        <v>2.2627999999999999</v>
      </c>
      <c r="S8" s="30">
        <f t="shared" si="7"/>
        <v>2.2847</v>
      </c>
      <c r="T8" s="30">
        <f t="shared" si="8"/>
        <v>2.3066</v>
      </c>
      <c r="U8" s="30">
        <f t="shared" si="9"/>
        <v>2.3285</v>
      </c>
      <c r="V8" s="30">
        <f t="shared" si="10"/>
        <v>2.3504</v>
      </c>
      <c r="W8" s="30">
        <f t="shared" si="11"/>
        <v>2.3723000000000001</v>
      </c>
      <c r="X8" s="30" t="e">
        <f>IF(AND($D8=1,(""&amp;loteAnalise)=(""&amp;loteCarregado),COUNTIFS(regAnalito,selAnalito,regNivel,1,regData,$C8,regRep1,"&lt;&gt;")&gt;0),SUMIFS(regRep1,regAnalito,selAnalito,regNivel,1,regData,$C8),NA())</f>
        <v>#N/A</v>
      </c>
      <c r="Y8" s="30" t="e">
        <f>IF(AND($D8=1,(""&amp;loteAnalise)=(""&amp;loteCarregado),COUNTIFS(regAnalito,selAnalito,regNivel,1,regData,$C8,regRep2,"&lt;&gt;")&gt;0),SUMIFS(regRep2,regAnalito,selAnalito,regNivel,1,regData,$C8),NA())</f>
        <v>#N/A</v>
      </c>
      <c r="Z8" s="30" t="e">
        <f>IF(AND($D8=1,(""&amp;loteAnalise)=(""&amp;loteCarregado),COUNTIFS(regAnalito,selAnalito,regNivel,1,regData,$C8,regRep3,"&lt;&gt;")&gt;0),SUMIFS(regRep3,regAnalito,selAnalito,regNivel,1,regData,$C8),NA())</f>
        <v>#N/A</v>
      </c>
      <c r="AA8" s="30" t="e">
        <f>IF(AND($D8=1,COUNTIFS(regAnalito,selAnalito,regData,$C8,regCalib,"Sim")&gt;0),$BT$1,NA())</f>
        <v>#N/A</v>
      </c>
      <c r="AB8" s="30">
        <f>IF($B8="","",IF(INDEX(engValN2,$A8)="","",INDEX(engValN2,$A8)))</f>
        <v>4.3551000000000002</v>
      </c>
      <c r="AC8" s="30">
        <f t="shared" si="12"/>
        <v>-0.62285714285713767</v>
      </c>
      <c r="AD8" s="30">
        <f t="shared" si="13"/>
        <v>4.3551000000000002</v>
      </c>
      <c r="AE8" s="30">
        <f t="shared" si="14"/>
        <v>4.3551000000000002</v>
      </c>
      <c r="AF8" s="30" t="e">
        <f t="shared" si="15"/>
        <v>#N/A</v>
      </c>
      <c r="AG8" s="30">
        <f>IF($AB8="",0,IFERROR(INDEX(engDados,MATCH(selAnalito&amp;"|"&amp;$B8,engChave,0),10),0))</f>
        <v>0</v>
      </c>
      <c r="AH8" s="30">
        <f>IF($AB8="",0,IFERROR(INDEX(engDados,MATCH(selAnalito&amp;"|"&amp;$B8,engChave,0),11),0))</f>
        <v>0</v>
      </c>
      <c r="AI8" s="30">
        <f>IF($AB8="",0,IFERROR(INDEX(engDados,MATCH(selAnalito&amp;"|"&amp;$B8,engChave,0),12),0))</f>
        <v>0</v>
      </c>
      <c r="AJ8" s="30">
        <f>IF($AB8="",0,IFERROR(INDEX(engDados,MATCH(selAnalito&amp;"|"&amp;$B8,engChave,0),13),0))</f>
        <v>0</v>
      </c>
      <c r="AK8" s="30">
        <f>IF($AB8="",0,IFERROR(INDEX(engDados,MATCH(selAnalito&amp;"|"&amp;$B8,engChave,0),14),0))</f>
        <v>0</v>
      </c>
      <c r="AL8" s="30" t="str">
        <f>IF($AB8="","",IFERROR(INDEX(engDados,MATCH(selAnalito&amp;"|"&amp;$B8,engChave,0),16),""))</f>
        <v>OK</v>
      </c>
      <c r="AM8" s="30">
        <f t="shared" si="16"/>
        <v>4.2718999999999996</v>
      </c>
      <c r="AN8" s="30">
        <f t="shared" si="17"/>
        <v>4.3068999999999997</v>
      </c>
      <c r="AO8" s="30">
        <f t="shared" si="18"/>
        <v>4.3418999999999999</v>
      </c>
      <c r="AP8" s="30">
        <f t="shared" si="19"/>
        <v>4.3769</v>
      </c>
      <c r="AQ8" s="30">
        <f t="shared" si="20"/>
        <v>4.4119000000000002</v>
      </c>
      <c r="AR8" s="30">
        <f t="shared" si="21"/>
        <v>4.4469000000000003</v>
      </c>
      <c r="AS8" s="30">
        <f t="shared" si="22"/>
        <v>4.4819000000000004</v>
      </c>
      <c r="AT8" s="30" t="e">
        <f>IF(AND($D8=1,(""&amp;loteAnalise)=(""&amp;loteCarregado),COUNTIFS(regAnalito,selAnalito,regNivel,2,regData,$C8,regRep1,"&lt;&gt;")&gt;0),SUMIFS(regRep1,regAnalito,selAnalito,regNivel,2,regData,$C8),NA())</f>
        <v>#N/A</v>
      </c>
      <c r="AU8" s="30" t="e">
        <f>IF(AND($D8=1,(""&amp;loteAnalise)=(""&amp;loteCarregado),COUNTIFS(regAnalito,selAnalito,regNivel,2,regData,$C8,regRep2,"&lt;&gt;")&gt;0),SUMIFS(regRep2,regAnalito,selAnalito,regNivel,2,regData,$C8),NA())</f>
        <v>#N/A</v>
      </c>
      <c r="AV8" s="30" t="e">
        <f>IF(AND($D8=1,(""&amp;loteAnalise)=(""&amp;loteCarregado),COUNTIFS(regAnalito,selAnalito,regNivel,2,regData,$C8,regRep3,"&lt;&gt;")&gt;0),SUMIFS(regRep3,regAnalito,selAnalito,regNivel,2,regData,$C8),NA())</f>
        <v>#N/A</v>
      </c>
      <c r="AW8" s="30" t="e">
        <f>IF(AND($D8=1,COUNTIFS(regAnalito,selAnalito,regData,$C8,regCalib,"Sim")&gt;0),$BV$1,NA())</f>
        <v>#N/A</v>
      </c>
      <c r="AX8" s="30">
        <f>IF($B8="","",IF(INDEX(engValN3,$A8)="","",INDEX(engValN3,$A8)))</f>
        <v>5.0936000000000003</v>
      </c>
      <c r="AY8" s="30">
        <f t="shared" si="23"/>
        <v>-0.84637681159418687</v>
      </c>
      <c r="AZ8" s="30">
        <f t="shared" si="24"/>
        <v>5.0936000000000003</v>
      </c>
      <c r="BA8" s="30">
        <f t="shared" si="25"/>
        <v>5.0936000000000003</v>
      </c>
      <c r="BB8" s="30" t="e">
        <f t="shared" si="26"/>
        <v>#N/A</v>
      </c>
      <c r="BC8" s="30">
        <f>IF($AX8="",0,IFERROR(INDEX(engDados,MATCH(selAnalito&amp;"|"&amp;$B8,engChave,0),17),0))</f>
        <v>0</v>
      </c>
      <c r="BD8" s="30">
        <f>IF($AX8="",0,IFERROR(INDEX(engDados,MATCH(selAnalito&amp;"|"&amp;$B8,engChave,0),18),0))</f>
        <v>0</v>
      </c>
      <c r="BE8" s="30">
        <f>IF($AX8="",0,IFERROR(INDEX(engDados,MATCH(selAnalito&amp;"|"&amp;$B8,engChave,0),19),0))</f>
        <v>0</v>
      </c>
      <c r="BF8" s="30">
        <f>IF($AX8="",0,IFERROR(INDEX(engDados,MATCH(selAnalito&amp;"|"&amp;$B8,engChave,0),20),0))</f>
        <v>0</v>
      </c>
      <c r="BG8" s="30">
        <f>IF($AX8="",0,IFERROR(INDEX(engDados,MATCH(selAnalito&amp;"|"&amp;$B8,engChave,0),21),0))</f>
        <v>0</v>
      </c>
      <c r="BH8" s="30" t="str">
        <f>IF($AX8="","",IFERROR(INDEX(engDados,MATCH(selAnalito&amp;"|"&amp;$B8,engChave,0),23),""))</f>
        <v>OK</v>
      </c>
      <c r="BI8" s="30">
        <f t="shared" si="27"/>
        <v>5.0192999999999994</v>
      </c>
      <c r="BJ8" s="30">
        <f t="shared" si="28"/>
        <v>5.0537999999999998</v>
      </c>
      <c r="BK8" s="30">
        <f t="shared" si="29"/>
        <v>5.0882999999999994</v>
      </c>
      <c r="BL8" s="30">
        <f t="shared" si="30"/>
        <v>5.1227999999999998</v>
      </c>
      <c r="BM8" s="30">
        <f t="shared" si="31"/>
        <v>5.1573000000000002</v>
      </c>
      <c r="BN8" s="30">
        <f t="shared" si="32"/>
        <v>5.1917999999999997</v>
      </c>
      <c r="BO8" s="30">
        <f t="shared" si="33"/>
        <v>5.2263000000000002</v>
      </c>
      <c r="BP8" s="30" t="e">
        <f>IF(AND($D8=1,(""&amp;loteAnalise)=(""&amp;loteCarregado),COUNTIFS(regAnalito,selAnalito,regNivel,3,regData,$C8,regRep1,"&lt;&gt;")&gt;0),SUMIFS(regRep1,regAnalito,selAnalito,regNivel,3,regData,$C8),NA())</f>
        <v>#N/A</v>
      </c>
      <c r="BQ8" s="30" t="e">
        <f>IF(AND($D8=1,(""&amp;loteAnalise)=(""&amp;loteCarregado),COUNTIFS(regAnalito,selAnalito,regNivel,3,regData,$C8,regRep2,"&lt;&gt;")&gt;0),SUMIFS(regRep2,regAnalito,selAnalito,regNivel,3,regData,$C8),NA())</f>
        <v>#N/A</v>
      </c>
      <c r="BR8" s="30" t="e">
        <f>IF(AND($D8=1,(""&amp;loteAnalise)=(""&amp;loteCarregado),COUNTIFS(regAnalito,selAnalito,regNivel,3,regData,$C8,regRep3,"&lt;&gt;")&gt;0),SUMIFS(regRep3,regAnalito,selAnalito,regNivel,3,regData,$C8),NA())</f>
        <v>#N/A</v>
      </c>
      <c r="BS8" s="30" t="e">
        <f>IF(AND($D8=1,COUNTIFS(regAnalito,selAnalito,regData,$C8,regCalib,"Sim")&gt;0),$BX$1,NA())</f>
        <v>#N/A</v>
      </c>
    </row>
    <row r="9" spans="1:87" x14ac:dyDescent="0.3">
      <c r="A9" s="30">
        <v>7</v>
      </c>
      <c r="B9" s="30">
        <f>IF(OR(selAnalito="",(""&amp;engAnalito)&lt;&gt;(""&amp;selAnalito),(""&amp;engLote)&lt;&gt;(""&amp;loteAnalise),$A9&gt;N(engNRun)),"",INDEX(engRUN,$A9))</f>
        <v>7</v>
      </c>
      <c r="C9" s="43">
        <f>IF($B9="","",IF(INDEX(engData,$A9)="","",INDEX(engData,$A9)))</f>
        <v>45705</v>
      </c>
      <c r="D9" s="30">
        <f>IF($C9="",0,IF(AND(OR(filtroDe="",INT($C9)&gt;=INT(filtroDe)),OR(filtroAte="",INT($C9)&lt;=INT(filtroAte))),1,0))</f>
        <v>1</v>
      </c>
      <c r="E9" s="30">
        <f t="shared" si="0"/>
        <v>7</v>
      </c>
      <c r="F9" s="30">
        <f>IF($B9="","",IF(INDEX(engValN1,$A9)="","",INDEX(engValN1,$A9)))</f>
        <v>2.2999000000000001</v>
      </c>
      <c r="G9" s="30">
        <f t="shared" si="1"/>
        <v>-0.30593607305935744</v>
      </c>
      <c r="H9" s="30">
        <f t="shared" si="2"/>
        <v>2.2999000000000001</v>
      </c>
      <c r="I9" s="30">
        <f t="shared" si="3"/>
        <v>2.2999000000000001</v>
      </c>
      <c r="J9" s="30" t="e">
        <f t="shared" si="4"/>
        <v>#N/A</v>
      </c>
      <c r="K9" s="30">
        <f>IF($F9="",0,IFERROR(INDEX(engDados,MATCH(selAnalito&amp;"|"&amp;$B9,engChave,0),3),0))</f>
        <v>0</v>
      </c>
      <c r="L9" s="30">
        <f>IF($F9="",0,IFERROR(INDEX(engDados,MATCH(selAnalito&amp;"|"&amp;$B9,engChave,0),4),0))</f>
        <v>0</v>
      </c>
      <c r="M9" s="30">
        <f>IF($F9="",0,IFERROR(INDEX(engDados,MATCH(selAnalito&amp;"|"&amp;$B9,engChave,0),5),0))</f>
        <v>0</v>
      </c>
      <c r="N9" s="30">
        <f>IF($F9="",0,IFERROR(INDEX(engDados,MATCH(selAnalito&amp;"|"&amp;$B9,engChave,0),6),0))</f>
        <v>0</v>
      </c>
      <c r="O9" s="30">
        <f>IF($F9="",0,IFERROR(INDEX(engDados,MATCH(selAnalito&amp;"|"&amp;$B9,engChave,0),7),0))</f>
        <v>0</v>
      </c>
      <c r="P9" s="30" t="str">
        <f>IF($F9="","",IFERROR(INDEX(engDados,MATCH(selAnalito&amp;"|"&amp;$B9,engChave,0),9),""))</f>
        <v>OK</v>
      </c>
      <c r="Q9" s="30">
        <f t="shared" si="5"/>
        <v>2.2408999999999999</v>
      </c>
      <c r="R9" s="30">
        <f t="shared" si="6"/>
        <v>2.2627999999999999</v>
      </c>
      <c r="S9" s="30">
        <f t="shared" si="7"/>
        <v>2.2847</v>
      </c>
      <c r="T9" s="30">
        <f t="shared" si="8"/>
        <v>2.3066</v>
      </c>
      <c r="U9" s="30">
        <f t="shared" si="9"/>
        <v>2.3285</v>
      </c>
      <c r="V9" s="30">
        <f t="shared" si="10"/>
        <v>2.3504</v>
      </c>
      <c r="W9" s="30">
        <f t="shared" si="11"/>
        <v>2.3723000000000001</v>
      </c>
      <c r="X9" s="30" t="e">
        <f>IF(AND($D9=1,(""&amp;loteAnalise)=(""&amp;loteCarregado),COUNTIFS(regAnalito,selAnalito,regNivel,1,regData,$C9,regRep1,"&lt;&gt;")&gt;0),SUMIFS(regRep1,regAnalito,selAnalito,regNivel,1,regData,$C9),NA())</f>
        <v>#N/A</v>
      </c>
      <c r="Y9" s="30" t="e">
        <f>IF(AND($D9=1,(""&amp;loteAnalise)=(""&amp;loteCarregado),COUNTIFS(regAnalito,selAnalito,regNivel,1,regData,$C9,regRep2,"&lt;&gt;")&gt;0),SUMIFS(regRep2,regAnalito,selAnalito,regNivel,1,regData,$C9),NA())</f>
        <v>#N/A</v>
      </c>
      <c r="Z9" s="30" t="e">
        <f>IF(AND($D9=1,(""&amp;loteAnalise)=(""&amp;loteCarregado),COUNTIFS(regAnalito,selAnalito,regNivel,1,regData,$C9,regRep3,"&lt;&gt;")&gt;0),SUMIFS(regRep3,regAnalito,selAnalito,regNivel,1,regData,$C9),NA())</f>
        <v>#N/A</v>
      </c>
      <c r="AA9" s="30" t="e">
        <f>IF(AND($D9=1,COUNTIFS(regAnalito,selAnalito,regData,$C9,regCalib,"Sim")&gt;0),$BT$1,NA())</f>
        <v>#N/A</v>
      </c>
      <c r="AB9" s="30">
        <f>IF($B9="","",IF(INDEX(engValN2,$A9)="","",INDEX(engValN2,$A9)))</f>
        <v>4.3841000000000001</v>
      </c>
      <c r="AC9" s="30">
        <f t="shared" si="12"/>
        <v>0.2057142857142884</v>
      </c>
      <c r="AD9" s="30">
        <f t="shared" si="13"/>
        <v>4.3841000000000001</v>
      </c>
      <c r="AE9" s="30">
        <f t="shared" si="14"/>
        <v>4.3841000000000001</v>
      </c>
      <c r="AF9" s="30" t="e">
        <f t="shared" si="15"/>
        <v>#N/A</v>
      </c>
      <c r="AG9" s="30">
        <f>IF($AB9="",0,IFERROR(INDEX(engDados,MATCH(selAnalito&amp;"|"&amp;$B9,engChave,0),10),0))</f>
        <v>0</v>
      </c>
      <c r="AH9" s="30">
        <f>IF($AB9="",0,IFERROR(INDEX(engDados,MATCH(selAnalito&amp;"|"&amp;$B9,engChave,0),11),0))</f>
        <v>0</v>
      </c>
      <c r="AI9" s="30">
        <f>IF($AB9="",0,IFERROR(INDEX(engDados,MATCH(selAnalito&amp;"|"&amp;$B9,engChave,0),12),0))</f>
        <v>0</v>
      </c>
      <c r="AJ9" s="30">
        <f>IF($AB9="",0,IFERROR(INDEX(engDados,MATCH(selAnalito&amp;"|"&amp;$B9,engChave,0),13),0))</f>
        <v>0</v>
      </c>
      <c r="AK9" s="30">
        <f>IF($AB9="",0,IFERROR(INDEX(engDados,MATCH(selAnalito&amp;"|"&amp;$B9,engChave,0),14),0))</f>
        <v>0</v>
      </c>
      <c r="AL9" s="30" t="str">
        <f>IF($AB9="","",IFERROR(INDEX(engDados,MATCH(selAnalito&amp;"|"&amp;$B9,engChave,0),16),""))</f>
        <v>OK</v>
      </c>
      <c r="AM9" s="30">
        <f t="shared" si="16"/>
        <v>4.2718999999999996</v>
      </c>
      <c r="AN9" s="30">
        <f t="shared" si="17"/>
        <v>4.3068999999999997</v>
      </c>
      <c r="AO9" s="30">
        <f t="shared" si="18"/>
        <v>4.3418999999999999</v>
      </c>
      <c r="AP9" s="30">
        <f t="shared" si="19"/>
        <v>4.3769</v>
      </c>
      <c r="AQ9" s="30">
        <f t="shared" si="20"/>
        <v>4.4119000000000002</v>
      </c>
      <c r="AR9" s="30">
        <f t="shared" si="21"/>
        <v>4.4469000000000003</v>
      </c>
      <c r="AS9" s="30">
        <f t="shared" si="22"/>
        <v>4.4819000000000004</v>
      </c>
      <c r="AT9" s="30" t="e">
        <f>IF(AND($D9=1,(""&amp;loteAnalise)=(""&amp;loteCarregado),COUNTIFS(regAnalito,selAnalito,regNivel,2,regData,$C9,regRep1,"&lt;&gt;")&gt;0),SUMIFS(regRep1,regAnalito,selAnalito,regNivel,2,regData,$C9),NA())</f>
        <v>#N/A</v>
      </c>
      <c r="AU9" s="30" t="e">
        <f>IF(AND($D9=1,(""&amp;loteAnalise)=(""&amp;loteCarregado),COUNTIFS(regAnalito,selAnalito,regNivel,2,regData,$C9,regRep2,"&lt;&gt;")&gt;0),SUMIFS(regRep2,regAnalito,selAnalito,regNivel,2,regData,$C9),NA())</f>
        <v>#N/A</v>
      </c>
      <c r="AV9" s="30" t="e">
        <f>IF(AND($D9=1,(""&amp;loteAnalise)=(""&amp;loteCarregado),COUNTIFS(regAnalito,selAnalito,regNivel,2,regData,$C9,regRep3,"&lt;&gt;")&gt;0),SUMIFS(regRep3,regAnalito,selAnalito,regNivel,2,regData,$C9),NA())</f>
        <v>#N/A</v>
      </c>
      <c r="AW9" s="30" t="e">
        <f>IF(AND($D9=1,COUNTIFS(regAnalito,selAnalito,regData,$C9,regCalib,"Sim")&gt;0),$BV$1,NA())</f>
        <v>#N/A</v>
      </c>
      <c r="AX9" s="30">
        <f>IF($B9="","",IF(INDEX(engValN3,$A9)="","",INDEX(engValN3,$A9)))</f>
        <v>5.1497000000000002</v>
      </c>
      <c r="AY9" s="30">
        <f t="shared" si="23"/>
        <v>0.77971014492754687</v>
      </c>
      <c r="AZ9" s="30">
        <f t="shared" si="24"/>
        <v>5.1497000000000002</v>
      </c>
      <c r="BA9" s="30">
        <f t="shared" si="25"/>
        <v>5.1497000000000002</v>
      </c>
      <c r="BB9" s="30" t="e">
        <f t="shared" si="26"/>
        <v>#N/A</v>
      </c>
      <c r="BC9" s="30">
        <f>IF($AX9="",0,IFERROR(INDEX(engDados,MATCH(selAnalito&amp;"|"&amp;$B9,engChave,0),17),0))</f>
        <v>0</v>
      </c>
      <c r="BD9" s="30">
        <f>IF($AX9="",0,IFERROR(INDEX(engDados,MATCH(selAnalito&amp;"|"&amp;$B9,engChave,0),18),0))</f>
        <v>0</v>
      </c>
      <c r="BE9" s="30">
        <f>IF($AX9="",0,IFERROR(INDEX(engDados,MATCH(selAnalito&amp;"|"&amp;$B9,engChave,0),19),0))</f>
        <v>0</v>
      </c>
      <c r="BF9" s="30">
        <f>IF($AX9="",0,IFERROR(INDEX(engDados,MATCH(selAnalito&amp;"|"&amp;$B9,engChave,0),20),0))</f>
        <v>0</v>
      </c>
      <c r="BG9" s="30">
        <f>IF($AX9="",0,IFERROR(INDEX(engDados,MATCH(selAnalito&amp;"|"&amp;$B9,engChave,0),21),0))</f>
        <v>0</v>
      </c>
      <c r="BH9" s="30" t="str">
        <f>IF($AX9="","",IFERROR(INDEX(engDados,MATCH(selAnalito&amp;"|"&amp;$B9,engChave,0),23),""))</f>
        <v>OK</v>
      </c>
      <c r="BI9" s="30">
        <f t="shared" si="27"/>
        <v>5.0192999999999994</v>
      </c>
      <c r="BJ9" s="30">
        <f t="shared" si="28"/>
        <v>5.0537999999999998</v>
      </c>
      <c r="BK9" s="30">
        <f t="shared" si="29"/>
        <v>5.0882999999999994</v>
      </c>
      <c r="BL9" s="30">
        <f t="shared" si="30"/>
        <v>5.1227999999999998</v>
      </c>
      <c r="BM9" s="30">
        <f t="shared" si="31"/>
        <v>5.1573000000000002</v>
      </c>
      <c r="BN9" s="30">
        <f t="shared" si="32"/>
        <v>5.1917999999999997</v>
      </c>
      <c r="BO9" s="30">
        <f t="shared" si="33"/>
        <v>5.2263000000000002</v>
      </c>
      <c r="BP9" s="30" t="e">
        <f>IF(AND($D9=1,(""&amp;loteAnalise)=(""&amp;loteCarregado),COUNTIFS(regAnalito,selAnalito,regNivel,3,regData,$C9,regRep1,"&lt;&gt;")&gt;0),SUMIFS(regRep1,regAnalito,selAnalito,regNivel,3,regData,$C9),NA())</f>
        <v>#N/A</v>
      </c>
      <c r="BQ9" s="30" t="e">
        <f>IF(AND($D9=1,(""&amp;loteAnalise)=(""&amp;loteCarregado),COUNTIFS(regAnalito,selAnalito,regNivel,3,regData,$C9,regRep2,"&lt;&gt;")&gt;0),SUMIFS(regRep2,regAnalito,selAnalito,regNivel,3,regData,$C9),NA())</f>
        <v>#N/A</v>
      </c>
      <c r="BR9" s="30" t="e">
        <f>IF(AND($D9=1,(""&amp;loteAnalise)=(""&amp;loteCarregado),COUNTIFS(regAnalito,selAnalito,regNivel,3,regData,$C9,regRep3,"&lt;&gt;")&gt;0),SUMIFS(regRep3,regAnalito,selAnalito,regNivel,3,regData,$C9),NA())</f>
        <v>#N/A</v>
      </c>
      <c r="BS9" s="30" t="e">
        <f>IF(AND($D9=1,COUNTIFS(regAnalito,selAnalito,regData,$C9,regCalib,"Sim")&gt;0),$BX$1,NA())</f>
        <v>#N/A</v>
      </c>
    </row>
    <row r="10" spans="1:87" x14ac:dyDescent="0.3">
      <c r="A10" s="30">
        <v>8</v>
      </c>
      <c r="B10" s="30">
        <f>IF(OR(selAnalito="",(""&amp;engAnalito)&lt;&gt;(""&amp;selAnalito),(""&amp;engLote)&lt;&gt;(""&amp;loteAnalise),$A10&gt;N(engNRun)),"",INDEX(engRUN,$A10))</f>
        <v>8</v>
      </c>
      <c r="C10" s="43">
        <f>IF($B10="","",IF(INDEX(engData,$A10)="","",INDEX(engData,$A10)))</f>
        <v>45712</v>
      </c>
      <c r="D10" s="30">
        <f>IF($C10="",0,IF(AND(OR(filtroDe="",INT($C10)&gt;=INT(filtroDe)),OR(filtroAte="",INT($C10)&lt;=INT(filtroAte))),1,0))</f>
        <v>1</v>
      </c>
      <c r="E10" s="30">
        <f t="shared" si="0"/>
        <v>8</v>
      </c>
      <c r="F10" s="30">
        <f>IF($B10="","",IF(INDEX(engValN1,$A10)="","",INDEX(engValN1,$A10)))</f>
        <v>2.3142999999999998</v>
      </c>
      <c r="G10" s="30">
        <f t="shared" si="1"/>
        <v>0.35159817351597344</v>
      </c>
      <c r="H10" s="30">
        <f t="shared" si="2"/>
        <v>2.3142999999999998</v>
      </c>
      <c r="I10" s="30">
        <f t="shared" si="3"/>
        <v>2.3142999999999998</v>
      </c>
      <c r="J10" s="30" t="e">
        <f t="shared" si="4"/>
        <v>#N/A</v>
      </c>
      <c r="K10" s="30">
        <f>IF($F10="",0,IFERROR(INDEX(engDados,MATCH(selAnalito&amp;"|"&amp;$B10,engChave,0),3),0))</f>
        <v>0</v>
      </c>
      <c r="L10" s="30">
        <f>IF($F10="",0,IFERROR(INDEX(engDados,MATCH(selAnalito&amp;"|"&amp;$B10,engChave,0),4),0))</f>
        <v>0</v>
      </c>
      <c r="M10" s="30">
        <f>IF($F10="",0,IFERROR(INDEX(engDados,MATCH(selAnalito&amp;"|"&amp;$B10,engChave,0),5),0))</f>
        <v>0</v>
      </c>
      <c r="N10" s="30">
        <f>IF($F10="",0,IFERROR(INDEX(engDados,MATCH(selAnalito&amp;"|"&amp;$B10,engChave,0),6),0))</f>
        <v>0</v>
      </c>
      <c r="O10" s="30">
        <f>IF($F10="",0,IFERROR(INDEX(engDados,MATCH(selAnalito&amp;"|"&amp;$B10,engChave,0),7),0))</f>
        <v>0</v>
      </c>
      <c r="P10" s="30" t="str">
        <f>IF($F10="","",IFERROR(INDEX(engDados,MATCH(selAnalito&amp;"|"&amp;$B10,engChave,0),9),""))</f>
        <v>OK</v>
      </c>
      <c r="Q10" s="30">
        <f t="shared" si="5"/>
        <v>2.2408999999999999</v>
      </c>
      <c r="R10" s="30">
        <f t="shared" si="6"/>
        <v>2.2627999999999999</v>
      </c>
      <c r="S10" s="30">
        <f t="shared" si="7"/>
        <v>2.2847</v>
      </c>
      <c r="T10" s="30">
        <f t="shared" si="8"/>
        <v>2.3066</v>
      </c>
      <c r="U10" s="30">
        <f t="shared" si="9"/>
        <v>2.3285</v>
      </c>
      <c r="V10" s="30">
        <f t="shared" si="10"/>
        <v>2.3504</v>
      </c>
      <c r="W10" s="30">
        <f t="shared" si="11"/>
        <v>2.3723000000000001</v>
      </c>
      <c r="X10" s="30" t="e">
        <f>IF(AND($D10=1,(""&amp;loteAnalise)=(""&amp;loteCarregado),COUNTIFS(regAnalito,selAnalito,regNivel,1,regData,$C10,regRep1,"&lt;&gt;")&gt;0),SUMIFS(regRep1,regAnalito,selAnalito,regNivel,1,regData,$C10),NA())</f>
        <v>#N/A</v>
      </c>
      <c r="Y10" s="30" t="e">
        <f>IF(AND($D10=1,(""&amp;loteAnalise)=(""&amp;loteCarregado),COUNTIFS(regAnalito,selAnalito,regNivel,1,regData,$C10,regRep2,"&lt;&gt;")&gt;0),SUMIFS(regRep2,regAnalito,selAnalito,regNivel,1,regData,$C10),NA())</f>
        <v>#N/A</v>
      </c>
      <c r="Z10" s="30" t="e">
        <f>IF(AND($D10=1,(""&amp;loteAnalise)=(""&amp;loteCarregado),COUNTIFS(regAnalito,selAnalito,regNivel,1,regData,$C10,regRep3,"&lt;&gt;")&gt;0),SUMIFS(regRep3,regAnalito,selAnalito,regNivel,1,regData,$C10),NA())</f>
        <v>#N/A</v>
      </c>
      <c r="AA10" s="30" t="e">
        <f>IF(AND($D10=1,COUNTIFS(regAnalito,selAnalito,regData,$C10,regCalib,"Sim")&gt;0),$BT$1,NA())</f>
        <v>#N/A</v>
      </c>
      <c r="AB10" s="30">
        <f>IF($B10="","",IF(INDEX(engValN2,$A10)="","",INDEX(engValN2,$A10)))</f>
        <v>4.3940999999999999</v>
      </c>
      <c r="AC10" s="30">
        <f t="shared" si="12"/>
        <v>0.491428571428568</v>
      </c>
      <c r="AD10" s="30">
        <f t="shared" si="13"/>
        <v>4.3940999999999999</v>
      </c>
      <c r="AE10" s="30">
        <f t="shared" si="14"/>
        <v>4.3940999999999999</v>
      </c>
      <c r="AF10" s="30" t="e">
        <f t="shared" si="15"/>
        <v>#N/A</v>
      </c>
      <c r="AG10" s="30">
        <f>IF($AB10="",0,IFERROR(INDEX(engDados,MATCH(selAnalito&amp;"|"&amp;$B10,engChave,0),10),0))</f>
        <v>0</v>
      </c>
      <c r="AH10" s="30">
        <f>IF($AB10="",0,IFERROR(INDEX(engDados,MATCH(selAnalito&amp;"|"&amp;$B10,engChave,0),11),0))</f>
        <v>0</v>
      </c>
      <c r="AI10" s="30">
        <f>IF($AB10="",0,IFERROR(INDEX(engDados,MATCH(selAnalito&amp;"|"&amp;$B10,engChave,0),12),0))</f>
        <v>0</v>
      </c>
      <c r="AJ10" s="30">
        <f>IF($AB10="",0,IFERROR(INDEX(engDados,MATCH(selAnalito&amp;"|"&amp;$B10,engChave,0),13),0))</f>
        <v>0</v>
      </c>
      <c r="AK10" s="30">
        <f>IF($AB10="",0,IFERROR(INDEX(engDados,MATCH(selAnalito&amp;"|"&amp;$B10,engChave,0),14),0))</f>
        <v>0</v>
      </c>
      <c r="AL10" s="30" t="str">
        <f>IF($AB10="","",IFERROR(INDEX(engDados,MATCH(selAnalito&amp;"|"&amp;$B10,engChave,0),16),""))</f>
        <v>OK</v>
      </c>
      <c r="AM10" s="30">
        <f t="shared" si="16"/>
        <v>4.2718999999999996</v>
      </c>
      <c r="AN10" s="30">
        <f t="shared" si="17"/>
        <v>4.3068999999999997</v>
      </c>
      <c r="AO10" s="30">
        <f t="shared" si="18"/>
        <v>4.3418999999999999</v>
      </c>
      <c r="AP10" s="30">
        <f t="shared" si="19"/>
        <v>4.3769</v>
      </c>
      <c r="AQ10" s="30">
        <f t="shared" si="20"/>
        <v>4.4119000000000002</v>
      </c>
      <c r="AR10" s="30">
        <f t="shared" si="21"/>
        <v>4.4469000000000003</v>
      </c>
      <c r="AS10" s="30">
        <f t="shared" si="22"/>
        <v>4.4819000000000004</v>
      </c>
      <c r="AT10" s="30" t="e">
        <f>IF(AND($D10=1,(""&amp;loteAnalise)=(""&amp;loteCarregado),COUNTIFS(regAnalito,selAnalito,regNivel,2,regData,$C10,regRep1,"&lt;&gt;")&gt;0),SUMIFS(regRep1,regAnalito,selAnalito,regNivel,2,regData,$C10),NA())</f>
        <v>#N/A</v>
      </c>
      <c r="AU10" s="30" t="e">
        <f>IF(AND($D10=1,(""&amp;loteAnalise)=(""&amp;loteCarregado),COUNTIFS(regAnalito,selAnalito,regNivel,2,regData,$C10,regRep2,"&lt;&gt;")&gt;0),SUMIFS(regRep2,regAnalito,selAnalito,regNivel,2,regData,$C10),NA())</f>
        <v>#N/A</v>
      </c>
      <c r="AV10" s="30" t="e">
        <f>IF(AND($D10=1,(""&amp;loteAnalise)=(""&amp;loteCarregado),COUNTIFS(regAnalito,selAnalito,regNivel,2,regData,$C10,regRep3,"&lt;&gt;")&gt;0),SUMIFS(regRep3,regAnalito,selAnalito,regNivel,2,regData,$C10),NA())</f>
        <v>#N/A</v>
      </c>
      <c r="AW10" s="30" t="e">
        <f>IF(AND($D10=1,COUNTIFS(regAnalito,selAnalito,regData,$C10,regCalib,"Sim")&gt;0),$BV$1,NA())</f>
        <v>#N/A</v>
      </c>
      <c r="AX10" s="30">
        <f>IF($B10="","",IF(INDEX(engValN3,$A10)="","",INDEX(engValN3,$A10)))</f>
        <v>5.1273</v>
      </c>
      <c r="AY10" s="30">
        <f t="shared" si="23"/>
        <v>0.13043478260870059</v>
      </c>
      <c r="AZ10" s="30">
        <f t="shared" si="24"/>
        <v>5.1273</v>
      </c>
      <c r="BA10" s="30">
        <f t="shared" si="25"/>
        <v>5.1273</v>
      </c>
      <c r="BB10" s="30" t="e">
        <f t="shared" si="26"/>
        <v>#N/A</v>
      </c>
      <c r="BC10" s="30">
        <f>IF($AX10="",0,IFERROR(INDEX(engDados,MATCH(selAnalito&amp;"|"&amp;$B10,engChave,0),17),0))</f>
        <v>0</v>
      </c>
      <c r="BD10" s="30">
        <f>IF($AX10="",0,IFERROR(INDEX(engDados,MATCH(selAnalito&amp;"|"&amp;$B10,engChave,0),18),0))</f>
        <v>0</v>
      </c>
      <c r="BE10" s="30">
        <f>IF($AX10="",0,IFERROR(INDEX(engDados,MATCH(selAnalito&amp;"|"&amp;$B10,engChave,0),19),0))</f>
        <v>0</v>
      </c>
      <c r="BF10" s="30">
        <f>IF($AX10="",0,IFERROR(INDEX(engDados,MATCH(selAnalito&amp;"|"&amp;$B10,engChave,0),20),0))</f>
        <v>0</v>
      </c>
      <c r="BG10" s="30">
        <f>IF($AX10="",0,IFERROR(INDEX(engDados,MATCH(selAnalito&amp;"|"&amp;$B10,engChave,0),21),0))</f>
        <v>0</v>
      </c>
      <c r="BH10" s="30" t="str">
        <f>IF($AX10="","",IFERROR(INDEX(engDados,MATCH(selAnalito&amp;"|"&amp;$B10,engChave,0),23),""))</f>
        <v>OK</v>
      </c>
      <c r="BI10" s="30">
        <f t="shared" si="27"/>
        <v>5.0192999999999994</v>
      </c>
      <c r="BJ10" s="30">
        <f t="shared" si="28"/>
        <v>5.0537999999999998</v>
      </c>
      <c r="BK10" s="30">
        <f t="shared" si="29"/>
        <v>5.0882999999999994</v>
      </c>
      <c r="BL10" s="30">
        <f t="shared" si="30"/>
        <v>5.1227999999999998</v>
      </c>
      <c r="BM10" s="30">
        <f t="shared" si="31"/>
        <v>5.1573000000000002</v>
      </c>
      <c r="BN10" s="30">
        <f t="shared" si="32"/>
        <v>5.1917999999999997</v>
      </c>
      <c r="BO10" s="30">
        <f t="shared" si="33"/>
        <v>5.2263000000000002</v>
      </c>
      <c r="BP10" s="30" t="e">
        <f>IF(AND($D10=1,(""&amp;loteAnalise)=(""&amp;loteCarregado),COUNTIFS(regAnalito,selAnalito,regNivel,3,regData,$C10,regRep1,"&lt;&gt;")&gt;0),SUMIFS(regRep1,regAnalito,selAnalito,regNivel,3,regData,$C10),NA())</f>
        <v>#N/A</v>
      </c>
      <c r="BQ10" s="30" t="e">
        <f>IF(AND($D10=1,(""&amp;loteAnalise)=(""&amp;loteCarregado),COUNTIFS(regAnalito,selAnalito,regNivel,3,regData,$C10,regRep2,"&lt;&gt;")&gt;0),SUMIFS(regRep2,regAnalito,selAnalito,regNivel,3,regData,$C10),NA())</f>
        <v>#N/A</v>
      </c>
      <c r="BR10" s="30" t="e">
        <f>IF(AND($D10=1,(""&amp;loteAnalise)=(""&amp;loteCarregado),COUNTIFS(regAnalito,selAnalito,regNivel,3,regData,$C10,regRep3,"&lt;&gt;")&gt;0),SUMIFS(regRep3,regAnalito,selAnalito,regNivel,3,regData,$C10),NA())</f>
        <v>#N/A</v>
      </c>
      <c r="BS10" s="30" t="e">
        <f>IF(AND($D10=1,COUNTIFS(regAnalito,selAnalito,regData,$C10,regCalib,"Sim")&gt;0),$BX$1,NA())</f>
        <v>#N/A</v>
      </c>
    </row>
    <row r="11" spans="1:87" x14ac:dyDescent="0.3">
      <c r="A11" s="30">
        <v>9</v>
      </c>
      <c r="B11" s="30">
        <f>IF(OR(selAnalito="",(""&amp;engAnalito)&lt;&gt;(""&amp;selAnalito),(""&amp;engLote)&lt;&gt;(""&amp;loteAnalise),$A11&gt;N(engNRun)),"",INDEX(engRUN,$A11))</f>
        <v>9</v>
      </c>
      <c r="C11" s="43">
        <f>IF($B11="","",IF(INDEX(engData,$A11)="","",INDEX(engData,$A11)))</f>
        <v>45719</v>
      </c>
      <c r="D11" s="30">
        <f>IF($C11="",0,IF(AND(OR(filtroDe="",INT($C11)&gt;=INT(filtroDe)),OR(filtroAte="",INT($C11)&lt;=INT(filtroAte))),1,0))</f>
        <v>1</v>
      </c>
      <c r="E11" s="30">
        <f t="shared" si="0"/>
        <v>9</v>
      </c>
      <c r="F11" s="30">
        <f>IF($B11="","",IF(INDEX(engValN1,$A11)="","",INDEX(engValN1,$A11)))</f>
        <v>2.3039000000000001</v>
      </c>
      <c r="G11" s="30">
        <f t="shared" si="1"/>
        <v>-0.12328767123287328</v>
      </c>
      <c r="H11" s="30">
        <f t="shared" si="2"/>
        <v>2.3039000000000001</v>
      </c>
      <c r="I11" s="30">
        <f t="shared" si="3"/>
        <v>2.3039000000000001</v>
      </c>
      <c r="J11" s="30" t="e">
        <f t="shared" si="4"/>
        <v>#N/A</v>
      </c>
      <c r="K11" s="30">
        <f>IF($F11="",0,IFERROR(INDEX(engDados,MATCH(selAnalito&amp;"|"&amp;$B11,engChave,0),3),0))</f>
        <v>0</v>
      </c>
      <c r="L11" s="30">
        <f>IF($F11="",0,IFERROR(INDEX(engDados,MATCH(selAnalito&amp;"|"&amp;$B11,engChave,0),4),0))</f>
        <v>0</v>
      </c>
      <c r="M11" s="30">
        <f>IF($F11="",0,IFERROR(INDEX(engDados,MATCH(selAnalito&amp;"|"&amp;$B11,engChave,0),5),0))</f>
        <v>0</v>
      </c>
      <c r="N11" s="30">
        <f>IF($F11="",0,IFERROR(INDEX(engDados,MATCH(selAnalito&amp;"|"&amp;$B11,engChave,0),6),0))</f>
        <v>0</v>
      </c>
      <c r="O11" s="30">
        <f>IF($F11="",0,IFERROR(INDEX(engDados,MATCH(selAnalito&amp;"|"&amp;$B11,engChave,0),7),0))</f>
        <v>0</v>
      </c>
      <c r="P11" s="30" t="str">
        <f>IF($F11="","",IFERROR(INDEX(engDados,MATCH(selAnalito&amp;"|"&amp;$B11,engChave,0),9),""))</f>
        <v>OK</v>
      </c>
      <c r="Q11" s="30">
        <f t="shared" si="5"/>
        <v>2.2408999999999999</v>
      </c>
      <c r="R11" s="30">
        <f t="shared" si="6"/>
        <v>2.2627999999999999</v>
      </c>
      <c r="S11" s="30">
        <f t="shared" si="7"/>
        <v>2.2847</v>
      </c>
      <c r="T11" s="30">
        <f t="shared" si="8"/>
        <v>2.3066</v>
      </c>
      <c r="U11" s="30">
        <f t="shared" si="9"/>
        <v>2.3285</v>
      </c>
      <c r="V11" s="30">
        <f t="shared" si="10"/>
        <v>2.3504</v>
      </c>
      <c r="W11" s="30">
        <f t="shared" si="11"/>
        <v>2.3723000000000001</v>
      </c>
      <c r="X11" s="30" t="e">
        <f>IF(AND($D11=1,(""&amp;loteAnalise)=(""&amp;loteCarregado),COUNTIFS(regAnalito,selAnalito,regNivel,1,regData,$C11,regRep1,"&lt;&gt;")&gt;0),SUMIFS(regRep1,regAnalito,selAnalito,regNivel,1,regData,$C11),NA())</f>
        <v>#N/A</v>
      </c>
      <c r="Y11" s="30" t="e">
        <f>IF(AND($D11=1,(""&amp;loteAnalise)=(""&amp;loteCarregado),COUNTIFS(regAnalito,selAnalito,regNivel,1,regData,$C11,regRep2,"&lt;&gt;")&gt;0),SUMIFS(regRep2,regAnalito,selAnalito,regNivel,1,regData,$C11),NA())</f>
        <v>#N/A</v>
      </c>
      <c r="Z11" s="30" t="e">
        <f>IF(AND($D11=1,(""&amp;loteAnalise)=(""&amp;loteCarregado),COUNTIFS(regAnalito,selAnalito,regNivel,1,regData,$C11,regRep3,"&lt;&gt;")&gt;0),SUMIFS(regRep3,regAnalito,selAnalito,regNivel,1,regData,$C11),NA())</f>
        <v>#N/A</v>
      </c>
      <c r="AA11" s="30" t="e">
        <f>IF(AND($D11=1,COUNTIFS(regAnalito,selAnalito,regData,$C11,regCalib,"Sim")&gt;0),$BT$1,NA())</f>
        <v>#N/A</v>
      </c>
      <c r="AB11" s="30">
        <f>IF($B11="","",IF(INDEX(engValN2,$A11)="","",INDEX(engValN2,$A11)))</f>
        <v>4.3707000000000003</v>
      </c>
      <c r="AC11" s="30">
        <f t="shared" si="12"/>
        <v>-0.1771428571428503</v>
      </c>
      <c r="AD11" s="30">
        <f t="shared" si="13"/>
        <v>4.3707000000000003</v>
      </c>
      <c r="AE11" s="30">
        <f t="shared" si="14"/>
        <v>4.3707000000000003</v>
      </c>
      <c r="AF11" s="30" t="e">
        <f t="shared" si="15"/>
        <v>#N/A</v>
      </c>
      <c r="AG11" s="30">
        <f>IF($AB11="",0,IFERROR(INDEX(engDados,MATCH(selAnalito&amp;"|"&amp;$B11,engChave,0),10),0))</f>
        <v>0</v>
      </c>
      <c r="AH11" s="30">
        <f>IF($AB11="",0,IFERROR(INDEX(engDados,MATCH(selAnalito&amp;"|"&amp;$B11,engChave,0),11),0))</f>
        <v>0</v>
      </c>
      <c r="AI11" s="30">
        <f>IF($AB11="",0,IFERROR(INDEX(engDados,MATCH(selAnalito&amp;"|"&amp;$B11,engChave,0),12),0))</f>
        <v>0</v>
      </c>
      <c r="AJ11" s="30">
        <f>IF($AB11="",0,IFERROR(INDEX(engDados,MATCH(selAnalito&amp;"|"&amp;$B11,engChave,0),13),0))</f>
        <v>0</v>
      </c>
      <c r="AK11" s="30">
        <f>IF($AB11="",0,IFERROR(INDEX(engDados,MATCH(selAnalito&amp;"|"&amp;$B11,engChave,0),14),0))</f>
        <v>0</v>
      </c>
      <c r="AL11" s="30" t="str">
        <f>IF($AB11="","",IFERROR(INDEX(engDados,MATCH(selAnalito&amp;"|"&amp;$B11,engChave,0),16),""))</f>
        <v>OK</v>
      </c>
      <c r="AM11" s="30">
        <f t="shared" si="16"/>
        <v>4.2718999999999996</v>
      </c>
      <c r="AN11" s="30">
        <f t="shared" si="17"/>
        <v>4.3068999999999997</v>
      </c>
      <c r="AO11" s="30">
        <f t="shared" si="18"/>
        <v>4.3418999999999999</v>
      </c>
      <c r="AP11" s="30">
        <f t="shared" si="19"/>
        <v>4.3769</v>
      </c>
      <c r="AQ11" s="30">
        <f t="shared" si="20"/>
        <v>4.4119000000000002</v>
      </c>
      <c r="AR11" s="30">
        <f t="shared" si="21"/>
        <v>4.4469000000000003</v>
      </c>
      <c r="AS11" s="30">
        <f t="shared" si="22"/>
        <v>4.4819000000000004</v>
      </c>
      <c r="AT11" s="30" t="e">
        <f>IF(AND($D11=1,(""&amp;loteAnalise)=(""&amp;loteCarregado),COUNTIFS(regAnalito,selAnalito,regNivel,2,regData,$C11,regRep1,"&lt;&gt;")&gt;0),SUMIFS(regRep1,regAnalito,selAnalito,regNivel,2,regData,$C11),NA())</f>
        <v>#N/A</v>
      </c>
      <c r="AU11" s="30" t="e">
        <f>IF(AND($D11=1,(""&amp;loteAnalise)=(""&amp;loteCarregado),COUNTIFS(regAnalito,selAnalito,regNivel,2,regData,$C11,regRep2,"&lt;&gt;")&gt;0),SUMIFS(regRep2,regAnalito,selAnalito,regNivel,2,regData,$C11),NA())</f>
        <v>#N/A</v>
      </c>
      <c r="AV11" s="30" t="e">
        <f>IF(AND($D11=1,(""&amp;loteAnalise)=(""&amp;loteCarregado),COUNTIFS(regAnalito,selAnalito,regNivel,2,regData,$C11,regRep3,"&lt;&gt;")&gt;0),SUMIFS(regRep3,regAnalito,selAnalito,regNivel,2,regData,$C11),NA())</f>
        <v>#N/A</v>
      </c>
      <c r="AW11" s="30" t="e">
        <f>IF(AND($D11=1,COUNTIFS(regAnalito,selAnalito,regData,$C11,regCalib,"Sim")&gt;0),$BV$1,NA())</f>
        <v>#N/A</v>
      </c>
      <c r="AX11" s="30">
        <f>IF($B11="","",IF(INDEX(engValN3,$A11)="","",INDEX(engValN3,$A11)))</f>
        <v>5.0697000000000001</v>
      </c>
      <c r="AY11" s="30">
        <f t="shared" si="23"/>
        <v>-1.5391304347826</v>
      </c>
      <c r="AZ11" s="30">
        <f t="shared" si="24"/>
        <v>5.0697000000000001</v>
      </c>
      <c r="BA11" s="30">
        <f t="shared" si="25"/>
        <v>5.0697000000000001</v>
      </c>
      <c r="BB11" s="30" t="e">
        <f t="shared" si="26"/>
        <v>#N/A</v>
      </c>
      <c r="BC11" s="30">
        <f>IF($AX11="",0,IFERROR(INDEX(engDados,MATCH(selAnalito&amp;"|"&amp;$B11,engChave,0),17),0))</f>
        <v>0</v>
      </c>
      <c r="BD11" s="30">
        <f>IF($AX11="",0,IFERROR(INDEX(engDados,MATCH(selAnalito&amp;"|"&amp;$B11,engChave,0),18),0))</f>
        <v>0</v>
      </c>
      <c r="BE11" s="30">
        <f>IF($AX11="",0,IFERROR(INDEX(engDados,MATCH(selAnalito&amp;"|"&amp;$B11,engChave,0),19),0))</f>
        <v>0</v>
      </c>
      <c r="BF11" s="30">
        <f>IF($AX11="",0,IFERROR(INDEX(engDados,MATCH(selAnalito&amp;"|"&amp;$B11,engChave,0),20),0))</f>
        <v>0</v>
      </c>
      <c r="BG11" s="30">
        <f>IF($AX11="",0,IFERROR(INDEX(engDados,MATCH(selAnalito&amp;"|"&amp;$B11,engChave,0),21),0))</f>
        <v>0</v>
      </c>
      <c r="BH11" s="30" t="str">
        <f>IF($AX11="","",IFERROR(INDEX(engDados,MATCH(selAnalito&amp;"|"&amp;$B11,engChave,0),23),""))</f>
        <v>OK</v>
      </c>
      <c r="BI11" s="30">
        <f t="shared" si="27"/>
        <v>5.0192999999999994</v>
      </c>
      <c r="BJ11" s="30">
        <f t="shared" si="28"/>
        <v>5.0537999999999998</v>
      </c>
      <c r="BK11" s="30">
        <f t="shared" si="29"/>
        <v>5.0882999999999994</v>
      </c>
      <c r="BL11" s="30">
        <f t="shared" si="30"/>
        <v>5.1227999999999998</v>
      </c>
      <c r="BM11" s="30">
        <f t="shared" si="31"/>
        <v>5.1573000000000002</v>
      </c>
      <c r="BN11" s="30">
        <f t="shared" si="32"/>
        <v>5.1917999999999997</v>
      </c>
      <c r="BO11" s="30">
        <f t="shared" si="33"/>
        <v>5.2263000000000002</v>
      </c>
      <c r="BP11" s="30" t="e">
        <f>IF(AND($D11=1,(""&amp;loteAnalise)=(""&amp;loteCarregado),COUNTIFS(regAnalito,selAnalito,regNivel,3,regData,$C11,regRep1,"&lt;&gt;")&gt;0),SUMIFS(regRep1,regAnalito,selAnalito,regNivel,3,regData,$C11),NA())</f>
        <v>#N/A</v>
      </c>
      <c r="BQ11" s="30" t="e">
        <f>IF(AND($D11=1,(""&amp;loteAnalise)=(""&amp;loteCarregado),COUNTIFS(regAnalito,selAnalito,regNivel,3,regData,$C11,regRep2,"&lt;&gt;")&gt;0),SUMIFS(regRep2,regAnalito,selAnalito,regNivel,3,regData,$C11),NA())</f>
        <v>#N/A</v>
      </c>
      <c r="BR11" s="30" t="e">
        <f>IF(AND($D11=1,(""&amp;loteAnalise)=(""&amp;loteCarregado),COUNTIFS(regAnalito,selAnalito,regNivel,3,regData,$C11,regRep3,"&lt;&gt;")&gt;0),SUMIFS(regRep3,regAnalito,selAnalito,regNivel,3,regData,$C11),NA())</f>
        <v>#N/A</v>
      </c>
      <c r="BS11" s="30" t="e">
        <f>IF(AND($D11=1,COUNTIFS(regAnalito,selAnalito,regData,$C11,regCalib,"Sim")&gt;0),$BX$1,NA())</f>
        <v>#N/A</v>
      </c>
    </row>
    <row r="12" spans="1:87" x14ac:dyDescent="0.3">
      <c r="A12" s="30">
        <v>10</v>
      </c>
      <c r="B12" s="30">
        <f>IF(OR(selAnalito="",(""&amp;engAnalito)&lt;&gt;(""&amp;selAnalito),(""&amp;engLote)&lt;&gt;(""&amp;loteAnalise),$A12&gt;N(engNRun)),"",INDEX(engRUN,$A12))</f>
        <v>10</v>
      </c>
      <c r="C12" s="43">
        <f>IF($B12="","",IF(INDEX(engData,$A12)="","",INDEX(engData,$A12)))</f>
        <v>45726</v>
      </c>
      <c r="D12" s="30">
        <f>IF($C12="",0,IF(AND(OR(filtroDe="",INT($C12)&gt;=INT(filtroDe)),OR(filtroAte="",INT($C12)&lt;=INT(filtroAte))),1,0))</f>
        <v>1</v>
      </c>
      <c r="E12" s="30">
        <f t="shared" si="0"/>
        <v>10</v>
      </c>
      <c r="F12" s="30">
        <f>IF($B12="","",IF(INDEX(engValN1,$A12)="","",INDEX(engValN1,$A12)))</f>
        <v>2.3022</v>
      </c>
      <c r="G12" s="30">
        <f t="shared" si="1"/>
        <v>-0.20091324200913058</v>
      </c>
      <c r="H12" s="30">
        <f t="shared" si="2"/>
        <v>2.3022</v>
      </c>
      <c r="I12" s="30">
        <f t="shared" si="3"/>
        <v>2.3022</v>
      </c>
      <c r="J12" s="30" t="e">
        <f t="shared" si="4"/>
        <v>#N/A</v>
      </c>
      <c r="K12" s="30">
        <f>IF($F12="",0,IFERROR(INDEX(engDados,MATCH(selAnalito&amp;"|"&amp;$B12,engChave,0),3),0))</f>
        <v>0</v>
      </c>
      <c r="L12" s="30">
        <f>IF($F12="",0,IFERROR(INDEX(engDados,MATCH(selAnalito&amp;"|"&amp;$B12,engChave,0),4),0))</f>
        <v>0</v>
      </c>
      <c r="M12" s="30">
        <f>IF($F12="",0,IFERROR(INDEX(engDados,MATCH(selAnalito&amp;"|"&amp;$B12,engChave,0),5),0))</f>
        <v>0</v>
      </c>
      <c r="N12" s="30">
        <f>IF($F12="",0,IFERROR(INDEX(engDados,MATCH(selAnalito&amp;"|"&amp;$B12,engChave,0),6),0))</f>
        <v>0</v>
      </c>
      <c r="O12" s="30">
        <f>IF($F12="",0,IFERROR(INDEX(engDados,MATCH(selAnalito&amp;"|"&amp;$B12,engChave,0),7),0))</f>
        <v>0</v>
      </c>
      <c r="P12" s="30" t="str">
        <f>IF($F12="","",IFERROR(INDEX(engDados,MATCH(selAnalito&amp;"|"&amp;$B12,engChave,0),9),""))</f>
        <v>OK</v>
      </c>
      <c r="Q12" s="30">
        <f t="shared" si="5"/>
        <v>2.2408999999999999</v>
      </c>
      <c r="R12" s="30">
        <f t="shared" si="6"/>
        <v>2.2627999999999999</v>
      </c>
      <c r="S12" s="30">
        <f t="shared" si="7"/>
        <v>2.2847</v>
      </c>
      <c r="T12" s="30">
        <f t="shared" si="8"/>
        <v>2.3066</v>
      </c>
      <c r="U12" s="30">
        <f t="shared" si="9"/>
        <v>2.3285</v>
      </c>
      <c r="V12" s="30">
        <f t="shared" si="10"/>
        <v>2.3504</v>
      </c>
      <c r="W12" s="30">
        <f t="shared" si="11"/>
        <v>2.3723000000000001</v>
      </c>
      <c r="X12" s="30" t="e">
        <f>IF(AND($D12=1,(""&amp;loteAnalise)=(""&amp;loteCarregado),COUNTIFS(regAnalito,selAnalito,regNivel,1,regData,$C12,regRep1,"&lt;&gt;")&gt;0),SUMIFS(regRep1,regAnalito,selAnalito,regNivel,1,regData,$C12),NA())</f>
        <v>#N/A</v>
      </c>
      <c r="Y12" s="30" t="e">
        <f>IF(AND($D12=1,(""&amp;loteAnalise)=(""&amp;loteCarregado),COUNTIFS(regAnalito,selAnalito,regNivel,1,regData,$C12,regRep2,"&lt;&gt;")&gt;0),SUMIFS(regRep2,regAnalito,selAnalito,regNivel,1,regData,$C12),NA())</f>
        <v>#N/A</v>
      </c>
      <c r="Z12" s="30" t="e">
        <f>IF(AND($D12=1,(""&amp;loteAnalise)=(""&amp;loteCarregado),COUNTIFS(regAnalito,selAnalito,regNivel,1,regData,$C12,regRep3,"&lt;&gt;")&gt;0),SUMIFS(regRep3,regAnalito,selAnalito,regNivel,1,regData,$C12),NA())</f>
        <v>#N/A</v>
      </c>
      <c r="AA12" s="30" t="e">
        <f>IF(AND($D12=1,COUNTIFS(regAnalito,selAnalito,regData,$C12,regCalib,"Sim")&gt;0),$BT$1,NA())</f>
        <v>#N/A</v>
      </c>
      <c r="AB12" s="30">
        <f>IF($B12="","",IF(INDEX(engValN2,$A12)="","",INDEX(engValN2,$A12)))</f>
        <v>4.3696999999999999</v>
      </c>
      <c r="AC12" s="30">
        <f t="shared" si="12"/>
        <v>-0.2057142857142884</v>
      </c>
      <c r="AD12" s="30">
        <f t="shared" si="13"/>
        <v>4.3696999999999999</v>
      </c>
      <c r="AE12" s="30">
        <f t="shared" si="14"/>
        <v>4.3696999999999999</v>
      </c>
      <c r="AF12" s="30" t="e">
        <f t="shared" si="15"/>
        <v>#N/A</v>
      </c>
      <c r="AG12" s="30">
        <f>IF($AB12="",0,IFERROR(INDEX(engDados,MATCH(selAnalito&amp;"|"&amp;$B12,engChave,0),10),0))</f>
        <v>0</v>
      </c>
      <c r="AH12" s="30">
        <f>IF($AB12="",0,IFERROR(INDEX(engDados,MATCH(selAnalito&amp;"|"&amp;$B12,engChave,0),11),0))</f>
        <v>0</v>
      </c>
      <c r="AI12" s="30">
        <f>IF($AB12="",0,IFERROR(INDEX(engDados,MATCH(selAnalito&amp;"|"&amp;$B12,engChave,0),12),0))</f>
        <v>0</v>
      </c>
      <c r="AJ12" s="30">
        <f>IF($AB12="",0,IFERROR(INDEX(engDados,MATCH(selAnalito&amp;"|"&amp;$B12,engChave,0),13),0))</f>
        <v>0</v>
      </c>
      <c r="AK12" s="30">
        <f>IF($AB12="",0,IFERROR(INDEX(engDados,MATCH(selAnalito&amp;"|"&amp;$B12,engChave,0),14),0))</f>
        <v>0</v>
      </c>
      <c r="AL12" s="30" t="str">
        <f>IF($AB12="","",IFERROR(INDEX(engDados,MATCH(selAnalito&amp;"|"&amp;$B12,engChave,0),16),""))</f>
        <v>OK</v>
      </c>
      <c r="AM12" s="30">
        <f t="shared" si="16"/>
        <v>4.2718999999999996</v>
      </c>
      <c r="AN12" s="30">
        <f t="shared" si="17"/>
        <v>4.3068999999999997</v>
      </c>
      <c r="AO12" s="30">
        <f t="shared" si="18"/>
        <v>4.3418999999999999</v>
      </c>
      <c r="AP12" s="30">
        <f t="shared" si="19"/>
        <v>4.3769</v>
      </c>
      <c r="AQ12" s="30">
        <f t="shared" si="20"/>
        <v>4.4119000000000002</v>
      </c>
      <c r="AR12" s="30">
        <f t="shared" si="21"/>
        <v>4.4469000000000003</v>
      </c>
      <c r="AS12" s="30">
        <f t="shared" si="22"/>
        <v>4.4819000000000004</v>
      </c>
      <c r="AT12" s="30" t="e">
        <f>IF(AND($D12=1,(""&amp;loteAnalise)=(""&amp;loteCarregado),COUNTIFS(regAnalito,selAnalito,regNivel,2,regData,$C12,regRep1,"&lt;&gt;")&gt;0),SUMIFS(regRep1,regAnalito,selAnalito,regNivel,2,regData,$C12),NA())</f>
        <v>#N/A</v>
      </c>
      <c r="AU12" s="30" t="e">
        <f>IF(AND($D12=1,(""&amp;loteAnalise)=(""&amp;loteCarregado),COUNTIFS(regAnalito,selAnalito,regNivel,2,regData,$C12,regRep2,"&lt;&gt;")&gt;0),SUMIFS(regRep2,regAnalito,selAnalito,regNivel,2,regData,$C12),NA())</f>
        <v>#N/A</v>
      </c>
      <c r="AV12" s="30" t="e">
        <f>IF(AND($D12=1,(""&amp;loteAnalise)=(""&amp;loteCarregado),COUNTIFS(regAnalito,selAnalito,regNivel,2,regData,$C12,regRep3,"&lt;&gt;")&gt;0),SUMIFS(regRep3,regAnalito,selAnalito,regNivel,2,regData,$C12),NA())</f>
        <v>#N/A</v>
      </c>
      <c r="AW12" s="30" t="e">
        <f>IF(AND($D12=1,COUNTIFS(regAnalito,selAnalito,regData,$C12,regCalib,"Sim")&gt;0),$BV$1,NA())</f>
        <v>#N/A</v>
      </c>
      <c r="AX12" s="30">
        <f>IF($B12="","",IF(INDEX(engValN3,$A12)="","",INDEX(engValN3,$A12)))</f>
        <v>5.1658999999999997</v>
      </c>
      <c r="AY12" s="30">
        <f t="shared" si="23"/>
        <v>1.249275362318838</v>
      </c>
      <c r="AZ12" s="30">
        <f t="shared" si="24"/>
        <v>5.1658999999999997</v>
      </c>
      <c r="BA12" s="30">
        <f t="shared" si="25"/>
        <v>5.1658999999999997</v>
      </c>
      <c r="BB12" s="30" t="e">
        <f t="shared" si="26"/>
        <v>#N/A</v>
      </c>
      <c r="BC12" s="30">
        <f>IF($AX12="",0,IFERROR(INDEX(engDados,MATCH(selAnalito&amp;"|"&amp;$B12,engChave,0),17),0))</f>
        <v>0</v>
      </c>
      <c r="BD12" s="30">
        <f>IF($AX12="",0,IFERROR(INDEX(engDados,MATCH(selAnalito&amp;"|"&amp;$B12,engChave,0),18),0))</f>
        <v>0</v>
      </c>
      <c r="BE12" s="30">
        <f>IF($AX12="",0,IFERROR(INDEX(engDados,MATCH(selAnalito&amp;"|"&amp;$B12,engChave,0),19),0))</f>
        <v>0</v>
      </c>
      <c r="BF12" s="30">
        <f>IF($AX12="",0,IFERROR(INDEX(engDados,MATCH(selAnalito&amp;"|"&amp;$B12,engChave,0),20),0))</f>
        <v>0</v>
      </c>
      <c r="BG12" s="30">
        <f>IF($AX12="",0,IFERROR(INDEX(engDados,MATCH(selAnalito&amp;"|"&amp;$B12,engChave,0),21),0))</f>
        <v>0</v>
      </c>
      <c r="BH12" s="30" t="str">
        <f>IF($AX12="","",IFERROR(INDEX(engDados,MATCH(selAnalito&amp;"|"&amp;$B12,engChave,0),23),""))</f>
        <v>OK</v>
      </c>
      <c r="BI12" s="30">
        <f t="shared" si="27"/>
        <v>5.0192999999999994</v>
      </c>
      <c r="BJ12" s="30">
        <f t="shared" si="28"/>
        <v>5.0537999999999998</v>
      </c>
      <c r="BK12" s="30">
        <f t="shared" si="29"/>
        <v>5.0882999999999994</v>
      </c>
      <c r="BL12" s="30">
        <f t="shared" si="30"/>
        <v>5.1227999999999998</v>
      </c>
      <c r="BM12" s="30">
        <f t="shared" si="31"/>
        <v>5.1573000000000002</v>
      </c>
      <c r="BN12" s="30">
        <f t="shared" si="32"/>
        <v>5.1917999999999997</v>
      </c>
      <c r="BO12" s="30">
        <f t="shared" si="33"/>
        <v>5.2263000000000002</v>
      </c>
      <c r="BP12" s="30" t="e">
        <f>IF(AND($D12=1,(""&amp;loteAnalise)=(""&amp;loteCarregado),COUNTIFS(regAnalito,selAnalito,regNivel,3,regData,$C12,regRep1,"&lt;&gt;")&gt;0),SUMIFS(regRep1,regAnalito,selAnalito,regNivel,3,regData,$C12),NA())</f>
        <v>#N/A</v>
      </c>
      <c r="BQ12" s="30" t="e">
        <f>IF(AND($D12=1,(""&amp;loteAnalise)=(""&amp;loteCarregado),COUNTIFS(regAnalito,selAnalito,regNivel,3,regData,$C12,regRep2,"&lt;&gt;")&gt;0),SUMIFS(regRep2,regAnalito,selAnalito,regNivel,3,regData,$C12),NA())</f>
        <v>#N/A</v>
      </c>
      <c r="BR12" s="30" t="e">
        <f>IF(AND($D12=1,(""&amp;loteAnalise)=(""&amp;loteCarregado),COUNTIFS(regAnalito,selAnalito,regNivel,3,regData,$C12,regRep3,"&lt;&gt;")&gt;0),SUMIFS(regRep3,regAnalito,selAnalito,regNivel,3,regData,$C12),NA())</f>
        <v>#N/A</v>
      </c>
      <c r="BS12" s="30" t="e">
        <f>IF(AND($D12=1,COUNTIFS(regAnalito,selAnalito,regData,$C12,regCalib,"Sim")&gt;0),$BX$1,NA())</f>
        <v>#N/A</v>
      </c>
    </row>
    <row r="13" spans="1:87" x14ac:dyDescent="0.3">
      <c r="A13" s="30">
        <v>11</v>
      </c>
      <c r="B13" s="30">
        <f>IF(OR(selAnalito="",(""&amp;engAnalito)&lt;&gt;(""&amp;selAnalito),(""&amp;engLote)&lt;&gt;(""&amp;loteAnalise),$A13&gt;N(engNRun)),"",INDEX(engRUN,$A13))</f>
        <v>11</v>
      </c>
      <c r="C13" s="43">
        <f>IF($B13="","",IF(INDEX(engData,$A13)="","",INDEX(engData,$A13)))</f>
        <v>45733</v>
      </c>
      <c r="D13" s="30">
        <f>IF($C13="",0,IF(AND(OR(filtroDe="",INT($C13)&gt;=INT(filtroDe)),OR(filtroAte="",INT($C13)&lt;=INT(filtroAte))),1,0))</f>
        <v>1</v>
      </c>
      <c r="E13" s="30">
        <f t="shared" si="0"/>
        <v>11</v>
      </c>
      <c r="F13" s="30">
        <f>IF($B13="","",IF(INDEX(engValN1,$A13)="","",INDEX(engValN1,$A13)))</f>
        <v>2.2820999999999998</v>
      </c>
      <c r="G13" s="30">
        <f t="shared" si="1"/>
        <v>-1.1187214611872232</v>
      </c>
      <c r="H13" s="30">
        <f t="shared" si="2"/>
        <v>2.2820999999999998</v>
      </c>
      <c r="I13" s="30">
        <f t="shared" si="3"/>
        <v>2.2820999999999998</v>
      </c>
      <c r="J13" s="30" t="e">
        <f t="shared" si="4"/>
        <v>#N/A</v>
      </c>
      <c r="K13" s="30">
        <f>IF($F13="",0,IFERROR(INDEX(engDados,MATCH(selAnalito&amp;"|"&amp;$B13,engChave,0),3),0))</f>
        <v>0</v>
      </c>
      <c r="L13" s="30">
        <f>IF($F13="",0,IFERROR(INDEX(engDados,MATCH(selAnalito&amp;"|"&amp;$B13,engChave,0),4),0))</f>
        <v>0</v>
      </c>
      <c r="M13" s="30">
        <f>IF($F13="",0,IFERROR(INDEX(engDados,MATCH(selAnalito&amp;"|"&amp;$B13,engChave,0),5),0))</f>
        <v>0</v>
      </c>
      <c r="N13" s="30">
        <f>IF($F13="",0,IFERROR(INDEX(engDados,MATCH(selAnalito&amp;"|"&amp;$B13,engChave,0),6),0))</f>
        <v>0</v>
      </c>
      <c r="O13" s="30">
        <f>IF($F13="",0,IFERROR(INDEX(engDados,MATCH(selAnalito&amp;"|"&amp;$B13,engChave,0),7),0))</f>
        <v>0</v>
      </c>
      <c r="P13" s="30" t="str">
        <f>IF($F13="","",IFERROR(INDEX(engDados,MATCH(selAnalito&amp;"|"&amp;$B13,engChave,0),9),""))</f>
        <v>OK</v>
      </c>
      <c r="Q13" s="30">
        <f t="shared" si="5"/>
        <v>2.2408999999999999</v>
      </c>
      <c r="R13" s="30">
        <f t="shared" si="6"/>
        <v>2.2627999999999999</v>
      </c>
      <c r="S13" s="30">
        <f t="shared" si="7"/>
        <v>2.2847</v>
      </c>
      <c r="T13" s="30">
        <f t="shared" si="8"/>
        <v>2.3066</v>
      </c>
      <c r="U13" s="30">
        <f t="shared" si="9"/>
        <v>2.3285</v>
      </c>
      <c r="V13" s="30">
        <f t="shared" si="10"/>
        <v>2.3504</v>
      </c>
      <c r="W13" s="30">
        <f t="shared" si="11"/>
        <v>2.3723000000000001</v>
      </c>
      <c r="X13" s="30" t="e">
        <f>IF(AND($D13=1,(""&amp;loteAnalise)=(""&amp;loteCarregado),COUNTIFS(regAnalito,selAnalito,regNivel,1,regData,$C13,regRep1,"&lt;&gt;")&gt;0),SUMIFS(regRep1,regAnalito,selAnalito,regNivel,1,regData,$C13),NA())</f>
        <v>#N/A</v>
      </c>
      <c r="Y13" s="30" t="e">
        <f>IF(AND($D13=1,(""&amp;loteAnalise)=(""&amp;loteCarregado),COUNTIFS(regAnalito,selAnalito,regNivel,1,regData,$C13,regRep2,"&lt;&gt;")&gt;0),SUMIFS(regRep2,regAnalito,selAnalito,regNivel,1,regData,$C13),NA())</f>
        <v>#N/A</v>
      </c>
      <c r="Z13" s="30" t="e">
        <f>IF(AND($D13=1,(""&amp;loteAnalise)=(""&amp;loteCarregado),COUNTIFS(regAnalito,selAnalito,regNivel,1,regData,$C13,regRep3,"&lt;&gt;")&gt;0),SUMIFS(regRep3,regAnalito,selAnalito,regNivel,1,regData,$C13),NA())</f>
        <v>#N/A</v>
      </c>
      <c r="AA13" s="30" t="e">
        <f>IF(AND($D13=1,COUNTIFS(regAnalito,selAnalito,regData,$C13,regCalib,"Sim")&gt;0),$BT$1,NA())</f>
        <v>#N/A</v>
      </c>
      <c r="AB13" s="30">
        <f>IF($B13="","",IF(INDEX(engValN2,$A13)="","",INDEX(engValN2,$A13)))</f>
        <v>4.4015000000000004</v>
      </c>
      <c r="AC13" s="30">
        <f t="shared" si="12"/>
        <v>0.70285714285715417</v>
      </c>
      <c r="AD13" s="30">
        <f t="shared" si="13"/>
        <v>4.4015000000000004</v>
      </c>
      <c r="AE13" s="30">
        <f t="shared" si="14"/>
        <v>4.4015000000000004</v>
      </c>
      <c r="AF13" s="30" t="e">
        <f t="shared" si="15"/>
        <v>#N/A</v>
      </c>
      <c r="AG13" s="30">
        <f>IF($AB13="",0,IFERROR(INDEX(engDados,MATCH(selAnalito&amp;"|"&amp;$B13,engChave,0),10),0))</f>
        <v>0</v>
      </c>
      <c r="AH13" s="30">
        <f>IF($AB13="",0,IFERROR(INDEX(engDados,MATCH(selAnalito&amp;"|"&amp;$B13,engChave,0),11),0))</f>
        <v>0</v>
      </c>
      <c r="AI13" s="30">
        <f>IF($AB13="",0,IFERROR(INDEX(engDados,MATCH(selAnalito&amp;"|"&amp;$B13,engChave,0),12),0))</f>
        <v>0</v>
      </c>
      <c r="AJ13" s="30">
        <f>IF($AB13="",0,IFERROR(INDEX(engDados,MATCH(selAnalito&amp;"|"&amp;$B13,engChave,0),13),0))</f>
        <v>0</v>
      </c>
      <c r="AK13" s="30">
        <f>IF($AB13="",0,IFERROR(INDEX(engDados,MATCH(selAnalito&amp;"|"&amp;$B13,engChave,0),14),0))</f>
        <v>0</v>
      </c>
      <c r="AL13" s="30" t="str">
        <f>IF($AB13="","",IFERROR(INDEX(engDados,MATCH(selAnalito&amp;"|"&amp;$B13,engChave,0),16),""))</f>
        <v>OK</v>
      </c>
      <c r="AM13" s="30">
        <f t="shared" si="16"/>
        <v>4.2718999999999996</v>
      </c>
      <c r="AN13" s="30">
        <f t="shared" si="17"/>
        <v>4.3068999999999997</v>
      </c>
      <c r="AO13" s="30">
        <f t="shared" si="18"/>
        <v>4.3418999999999999</v>
      </c>
      <c r="AP13" s="30">
        <f t="shared" si="19"/>
        <v>4.3769</v>
      </c>
      <c r="AQ13" s="30">
        <f t="shared" si="20"/>
        <v>4.4119000000000002</v>
      </c>
      <c r="AR13" s="30">
        <f t="shared" si="21"/>
        <v>4.4469000000000003</v>
      </c>
      <c r="AS13" s="30">
        <f t="shared" si="22"/>
        <v>4.4819000000000004</v>
      </c>
      <c r="AT13" s="30" t="e">
        <f>IF(AND($D13=1,(""&amp;loteAnalise)=(""&amp;loteCarregado),COUNTIFS(regAnalito,selAnalito,regNivel,2,regData,$C13,regRep1,"&lt;&gt;")&gt;0),SUMIFS(regRep1,regAnalito,selAnalito,regNivel,2,regData,$C13),NA())</f>
        <v>#N/A</v>
      </c>
      <c r="AU13" s="30" t="e">
        <f>IF(AND($D13=1,(""&amp;loteAnalise)=(""&amp;loteCarregado),COUNTIFS(regAnalito,selAnalito,regNivel,2,regData,$C13,regRep2,"&lt;&gt;")&gt;0),SUMIFS(regRep2,regAnalito,selAnalito,regNivel,2,regData,$C13),NA())</f>
        <v>#N/A</v>
      </c>
      <c r="AV13" s="30" t="e">
        <f>IF(AND($D13=1,(""&amp;loteAnalise)=(""&amp;loteCarregado),COUNTIFS(regAnalito,selAnalito,regNivel,2,regData,$C13,regRep3,"&lt;&gt;")&gt;0),SUMIFS(regRep3,regAnalito,selAnalito,regNivel,2,regData,$C13),NA())</f>
        <v>#N/A</v>
      </c>
      <c r="AW13" s="30" t="e">
        <f>IF(AND($D13=1,COUNTIFS(regAnalito,selAnalito,regData,$C13,regCalib,"Sim")&gt;0),$BV$1,NA())</f>
        <v>#N/A</v>
      </c>
      <c r="AX13" s="30">
        <f>IF($B13="","",IF(INDEX(engValN3,$A13)="","",INDEX(engValN3,$A13)))</f>
        <v>5.1725000000000003</v>
      </c>
      <c r="AY13" s="30">
        <f t="shared" si="23"/>
        <v>1.4405797101449425</v>
      </c>
      <c r="AZ13" s="30">
        <f t="shared" si="24"/>
        <v>5.1725000000000003</v>
      </c>
      <c r="BA13" s="30">
        <f t="shared" si="25"/>
        <v>5.1725000000000003</v>
      </c>
      <c r="BB13" s="30" t="e">
        <f t="shared" si="26"/>
        <v>#N/A</v>
      </c>
      <c r="BC13" s="30">
        <f>IF($AX13="",0,IFERROR(INDEX(engDados,MATCH(selAnalito&amp;"|"&amp;$B13,engChave,0),17),0))</f>
        <v>0</v>
      </c>
      <c r="BD13" s="30">
        <f>IF($AX13="",0,IFERROR(INDEX(engDados,MATCH(selAnalito&amp;"|"&amp;$B13,engChave,0),18),0))</f>
        <v>0</v>
      </c>
      <c r="BE13" s="30">
        <f>IF($AX13="",0,IFERROR(INDEX(engDados,MATCH(selAnalito&amp;"|"&amp;$B13,engChave,0),19),0))</f>
        <v>0</v>
      </c>
      <c r="BF13" s="30">
        <f>IF($AX13="",0,IFERROR(INDEX(engDados,MATCH(selAnalito&amp;"|"&amp;$B13,engChave,0),20),0))</f>
        <v>0</v>
      </c>
      <c r="BG13" s="30">
        <f>IF($AX13="",0,IFERROR(INDEX(engDados,MATCH(selAnalito&amp;"|"&amp;$B13,engChave,0),21),0))</f>
        <v>0</v>
      </c>
      <c r="BH13" s="30" t="str">
        <f>IF($AX13="","",IFERROR(INDEX(engDados,MATCH(selAnalito&amp;"|"&amp;$B13,engChave,0),23),""))</f>
        <v>OK</v>
      </c>
      <c r="BI13" s="30">
        <f t="shared" si="27"/>
        <v>5.0192999999999994</v>
      </c>
      <c r="BJ13" s="30">
        <f t="shared" si="28"/>
        <v>5.0537999999999998</v>
      </c>
      <c r="BK13" s="30">
        <f t="shared" si="29"/>
        <v>5.0882999999999994</v>
      </c>
      <c r="BL13" s="30">
        <f t="shared" si="30"/>
        <v>5.1227999999999998</v>
      </c>
      <c r="BM13" s="30">
        <f t="shared" si="31"/>
        <v>5.1573000000000002</v>
      </c>
      <c r="BN13" s="30">
        <f t="shared" si="32"/>
        <v>5.1917999999999997</v>
      </c>
      <c r="BO13" s="30">
        <f t="shared" si="33"/>
        <v>5.2263000000000002</v>
      </c>
      <c r="BP13" s="30" t="e">
        <f>IF(AND($D13=1,(""&amp;loteAnalise)=(""&amp;loteCarregado),COUNTIFS(regAnalito,selAnalito,regNivel,3,regData,$C13,regRep1,"&lt;&gt;")&gt;0),SUMIFS(regRep1,regAnalito,selAnalito,regNivel,3,regData,$C13),NA())</f>
        <v>#N/A</v>
      </c>
      <c r="BQ13" s="30" t="e">
        <f>IF(AND($D13=1,(""&amp;loteAnalise)=(""&amp;loteCarregado),COUNTIFS(regAnalito,selAnalito,regNivel,3,regData,$C13,regRep2,"&lt;&gt;")&gt;0),SUMIFS(regRep2,regAnalito,selAnalito,regNivel,3,regData,$C13),NA())</f>
        <v>#N/A</v>
      </c>
      <c r="BR13" s="30" t="e">
        <f>IF(AND($D13=1,(""&amp;loteAnalise)=(""&amp;loteCarregado),COUNTIFS(regAnalito,selAnalito,regNivel,3,regData,$C13,regRep3,"&lt;&gt;")&gt;0),SUMIFS(regRep3,regAnalito,selAnalito,regNivel,3,regData,$C13),NA())</f>
        <v>#N/A</v>
      </c>
      <c r="BS13" s="30" t="e">
        <f>IF(AND($D13=1,COUNTIFS(regAnalito,selAnalito,regData,$C13,regCalib,"Sim")&gt;0),$BX$1,NA())</f>
        <v>#N/A</v>
      </c>
    </row>
    <row r="14" spans="1:87" x14ac:dyDescent="0.3">
      <c r="A14" s="30">
        <v>12</v>
      </c>
      <c r="B14" s="30">
        <f>IF(OR(selAnalito="",(""&amp;engAnalito)&lt;&gt;(""&amp;selAnalito),(""&amp;engLote)&lt;&gt;(""&amp;loteAnalise),$A14&gt;N(engNRun)),"",INDEX(engRUN,$A14))</f>
        <v>12</v>
      </c>
      <c r="C14" s="43">
        <f>IF($B14="","",IF(INDEX(engData,$A14)="","",INDEX(engData,$A14)))</f>
        <v>45740</v>
      </c>
      <c r="D14" s="30">
        <f>IF($C14="",0,IF(AND(OR(filtroDe="",INT($C14)&gt;=INT(filtroDe)),OR(filtroAte="",INT($C14)&lt;=INT(filtroAte))),1,0))</f>
        <v>1</v>
      </c>
      <c r="E14" s="30">
        <f t="shared" si="0"/>
        <v>12</v>
      </c>
      <c r="F14" s="30">
        <f>IF($B14="","",IF(INDEX(engValN1,$A14)="","",INDEX(engValN1,$A14)))</f>
        <v>2.3062999999999998</v>
      </c>
      <c r="G14" s="30">
        <f t="shared" si="1"/>
        <v>-1.3698630136994933E-2</v>
      </c>
      <c r="H14" s="30">
        <f t="shared" si="2"/>
        <v>2.3062999999999998</v>
      </c>
      <c r="I14" s="30">
        <f t="shared" si="3"/>
        <v>2.3062999999999998</v>
      </c>
      <c r="J14" s="30" t="e">
        <f t="shared" si="4"/>
        <v>#N/A</v>
      </c>
      <c r="K14" s="30">
        <f>IF($F14="",0,IFERROR(INDEX(engDados,MATCH(selAnalito&amp;"|"&amp;$B14,engChave,0),3),0))</f>
        <v>0</v>
      </c>
      <c r="L14" s="30">
        <f>IF($F14="",0,IFERROR(INDEX(engDados,MATCH(selAnalito&amp;"|"&amp;$B14,engChave,0),4),0))</f>
        <v>0</v>
      </c>
      <c r="M14" s="30">
        <f>IF($F14="",0,IFERROR(INDEX(engDados,MATCH(selAnalito&amp;"|"&amp;$B14,engChave,0),5),0))</f>
        <v>0</v>
      </c>
      <c r="N14" s="30">
        <f>IF($F14="",0,IFERROR(INDEX(engDados,MATCH(selAnalito&amp;"|"&amp;$B14,engChave,0),6),0))</f>
        <v>0</v>
      </c>
      <c r="O14" s="30">
        <f>IF($F14="",0,IFERROR(INDEX(engDados,MATCH(selAnalito&amp;"|"&amp;$B14,engChave,0),7),0))</f>
        <v>0</v>
      </c>
      <c r="P14" s="30" t="str">
        <f>IF($F14="","",IFERROR(INDEX(engDados,MATCH(selAnalito&amp;"|"&amp;$B14,engChave,0),9),""))</f>
        <v>OK</v>
      </c>
      <c r="Q14" s="30">
        <f t="shared" si="5"/>
        <v>2.2408999999999999</v>
      </c>
      <c r="R14" s="30">
        <f t="shared" si="6"/>
        <v>2.2627999999999999</v>
      </c>
      <c r="S14" s="30">
        <f t="shared" si="7"/>
        <v>2.2847</v>
      </c>
      <c r="T14" s="30">
        <f t="shared" si="8"/>
        <v>2.3066</v>
      </c>
      <c r="U14" s="30">
        <f t="shared" si="9"/>
        <v>2.3285</v>
      </c>
      <c r="V14" s="30">
        <f t="shared" si="10"/>
        <v>2.3504</v>
      </c>
      <c r="W14" s="30">
        <f t="shared" si="11"/>
        <v>2.3723000000000001</v>
      </c>
      <c r="X14" s="30" t="e">
        <f>IF(AND($D14=1,(""&amp;loteAnalise)=(""&amp;loteCarregado),COUNTIFS(regAnalito,selAnalito,regNivel,1,regData,$C14,regRep1,"&lt;&gt;")&gt;0),SUMIFS(regRep1,regAnalito,selAnalito,regNivel,1,regData,$C14),NA())</f>
        <v>#N/A</v>
      </c>
      <c r="Y14" s="30" t="e">
        <f>IF(AND($D14=1,(""&amp;loteAnalise)=(""&amp;loteCarregado),COUNTIFS(regAnalito,selAnalito,regNivel,1,regData,$C14,regRep2,"&lt;&gt;")&gt;0),SUMIFS(regRep2,regAnalito,selAnalito,regNivel,1,regData,$C14),NA())</f>
        <v>#N/A</v>
      </c>
      <c r="Z14" s="30" t="e">
        <f>IF(AND($D14=1,(""&amp;loteAnalise)=(""&amp;loteCarregado),COUNTIFS(regAnalito,selAnalito,regNivel,1,regData,$C14,regRep3,"&lt;&gt;")&gt;0),SUMIFS(regRep3,regAnalito,selAnalito,regNivel,1,regData,$C14),NA())</f>
        <v>#N/A</v>
      </c>
      <c r="AA14" s="30" t="e">
        <f>IF(AND($D14=1,COUNTIFS(regAnalito,selAnalito,regData,$C14,regCalib,"Sim")&gt;0),$BT$1,NA())</f>
        <v>#N/A</v>
      </c>
      <c r="AB14" s="30">
        <f>IF($B14="","",IF(INDEX(engValN2,$A14)="","",INDEX(engValN2,$A14)))</f>
        <v>4.3951000000000002</v>
      </c>
      <c r="AC14" s="30">
        <f t="shared" si="12"/>
        <v>0.52000000000000612</v>
      </c>
      <c r="AD14" s="30">
        <f t="shared" si="13"/>
        <v>4.3951000000000002</v>
      </c>
      <c r="AE14" s="30">
        <f t="shared" si="14"/>
        <v>4.3951000000000002</v>
      </c>
      <c r="AF14" s="30" t="e">
        <f t="shared" si="15"/>
        <v>#N/A</v>
      </c>
      <c r="AG14" s="30">
        <f>IF($AB14="",0,IFERROR(INDEX(engDados,MATCH(selAnalito&amp;"|"&amp;$B14,engChave,0),10),0))</f>
        <v>0</v>
      </c>
      <c r="AH14" s="30">
        <f>IF($AB14="",0,IFERROR(INDEX(engDados,MATCH(selAnalito&amp;"|"&amp;$B14,engChave,0),11),0))</f>
        <v>0</v>
      </c>
      <c r="AI14" s="30">
        <f>IF($AB14="",0,IFERROR(INDEX(engDados,MATCH(selAnalito&amp;"|"&amp;$B14,engChave,0),12),0))</f>
        <v>0</v>
      </c>
      <c r="AJ14" s="30">
        <f>IF($AB14="",0,IFERROR(INDEX(engDados,MATCH(selAnalito&amp;"|"&amp;$B14,engChave,0),13),0))</f>
        <v>0</v>
      </c>
      <c r="AK14" s="30">
        <f>IF($AB14="",0,IFERROR(INDEX(engDados,MATCH(selAnalito&amp;"|"&amp;$B14,engChave,0),14),0))</f>
        <v>0</v>
      </c>
      <c r="AL14" s="30" t="str">
        <f>IF($AB14="","",IFERROR(INDEX(engDados,MATCH(selAnalito&amp;"|"&amp;$B14,engChave,0),16),""))</f>
        <v>OK</v>
      </c>
      <c r="AM14" s="30">
        <f t="shared" si="16"/>
        <v>4.2718999999999996</v>
      </c>
      <c r="AN14" s="30">
        <f t="shared" si="17"/>
        <v>4.3068999999999997</v>
      </c>
      <c r="AO14" s="30">
        <f t="shared" si="18"/>
        <v>4.3418999999999999</v>
      </c>
      <c r="AP14" s="30">
        <f t="shared" si="19"/>
        <v>4.3769</v>
      </c>
      <c r="AQ14" s="30">
        <f t="shared" si="20"/>
        <v>4.4119000000000002</v>
      </c>
      <c r="AR14" s="30">
        <f t="shared" si="21"/>
        <v>4.4469000000000003</v>
      </c>
      <c r="AS14" s="30">
        <f t="shared" si="22"/>
        <v>4.4819000000000004</v>
      </c>
      <c r="AT14" s="30" t="e">
        <f>IF(AND($D14=1,(""&amp;loteAnalise)=(""&amp;loteCarregado),COUNTIFS(regAnalito,selAnalito,regNivel,2,regData,$C14,regRep1,"&lt;&gt;")&gt;0),SUMIFS(regRep1,regAnalito,selAnalito,regNivel,2,regData,$C14),NA())</f>
        <v>#N/A</v>
      </c>
      <c r="AU14" s="30" t="e">
        <f>IF(AND($D14=1,(""&amp;loteAnalise)=(""&amp;loteCarregado),COUNTIFS(regAnalito,selAnalito,regNivel,2,regData,$C14,regRep2,"&lt;&gt;")&gt;0),SUMIFS(regRep2,regAnalito,selAnalito,regNivel,2,regData,$C14),NA())</f>
        <v>#N/A</v>
      </c>
      <c r="AV14" s="30" t="e">
        <f>IF(AND($D14=1,(""&amp;loteAnalise)=(""&amp;loteCarregado),COUNTIFS(regAnalito,selAnalito,regNivel,2,regData,$C14,regRep3,"&lt;&gt;")&gt;0),SUMIFS(regRep3,regAnalito,selAnalito,regNivel,2,regData,$C14),NA())</f>
        <v>#N/A</v>
      </c>
      <c r="AW14" s="30" t="e">
        <f>IF(AND($D14=1,COUNTIFS(regAnalito,selAnalito,regData,$C14,regCalib,"Sim")&gt;0),$BV$1,NA())</f>
        <v>#N/A</v>
      </c>
      <c r="AX14" s="30">
        <f>IF($B14="","",IF(INDEX(engValN3,$A14)="","",INDEX(engValN3,$A14)))</f>
        <v>5.1204999999999998</v>
      </c>
      <c r="AY14" s="30">
        <f t="shared" si="23"/>
        <v>-6.666666666666575E-2</v>
      </c>
      <c r="AZ14" s="30">
        <f t="shared" si="24"/>
        <v>5.1204999999999998</v>
      </c>
      <c r="BA14" s="30">
        <f t="shared" si="25"/>
        <v>5.1204999999999998</v>
      </c>
      <c r="BB14" s="30" t="e">
        <f t="shared" si="26"/>
        <v>#N/A</v>
      </c>
      <c r="BC14" s="30">
        <f>IF($AX14="",0,IFERROR(INDEX(engDados,MATCH(selAnalito&amp;"|"&amp;$B14,engChave,0),17),0))</f>
        <v>0</v>
      </c>
      <c r="BD14" s="30">
        <f>IF($AX14="",0,IFERROR(INDEX(engDados,MATCH(selAnalito&amp;"|"&amp;$B14,engChave,0),18),0))</f>
        <v>0</v>
      </c>
      <c r="BE14" s="30">
        <f>IF($AX14="",0,IFERROR(INDEX(engDados,MATCH(selAnalito&amp;"|"&amp;$B14,engChave,0),19),0))</f>
        <v>0</v>
      </c>
      <c r="BF14" s="30">
        <f>IF($AX14="",0,IFERROR(INDEX(engDados,MATCH(selAnalito&amp;"|"&amp;$B14,engChave,0),20),0))</f>
        <v>0</v>
      </c>
      <c r="BG14" s="30">
        <f>IF($AX14="",0,IFERROR(INDEX(engDados,MATCH(selAnalito&amp;"|"&amp;$B14,engChave,0),21),0))</f>
        <v>0</v>
      </c>
      <c r="BH14" s="30" t="str">
        <f>IF($AX14="","",IFERROR(INDEX(engDados,MATCH(selAnalito&amp;"|"&amp;$B14,engChave,0),23),""))</f>
        <v>OK</v>
      </c>
      <c r="BI14" s="30">
        <f t="shared" si="27"/>
        <v>5.0192999999999994</v>
      </c>
      <c r="BJ14" s="30">
        <f t="shared" si="28"/>
        <v>5.0537999999999998</v>
      </c>
      <c r="BK14" s="30">
        <f t="shared" si="29"/>
        <v>5.0882999999999994</v>
      </c>
      <c r="BL14" s="30">
        <f t="shared" si="30"/>
        <v>5.1227999999999998</v>
      </c>
      <c r="BM14" s="30">
        <f t="shared" si="31"/>
        <v>5.1573000000000002</v>
      </c>
      <c r="BN14" s="30">
        <f t="shared" si="32"/>
        <v>5.1917999999999997</v>
      </c>
      <c r="BO14" s="30">
        <f t="shared" si="33"/>
        <v>5.2263000000000002</v>
      </c>
      <c r="BP14" s="30" t="e">
        <f>IF(AND($D14=1,(""&amp;loteAnalise)=(""&amp;loteCarregado),COUNTIFS(regAnalito,selAnalito,regNivel,3,regData,$C14,regRep1,"&lt;&gt;")&gt;0),SUMIFS(regRep1,regAnalito,selAnalito,regNivel,3,regData,$C14),NA())</f>
        <v>#N/A</v>
      </c>
      <c r="BQ14" s="30" t="e">
        <f>IF(AND($D14=1,(""&amp;loteAnalise)=(""&amp;loteCarregado),COUNTIFS(regAnalito,selAnalito,regNivel,3,regData,$C14,regRep2,"&lt;&gt;")&gt;0),SUMIFS(regRep2,regAnalito,selAnalito,regNivel,3,regData,$C14),NA())</f>
        <v>#N/A</v>
      </c>
      <c r="BR14" s="30" t="e">
        <f>IF(AND($D14=1,(""&amp;loteAnalise)=(""&amp;loteCarregado),COUNTIFS(regAnalito,selAnalito,regNivel,3,regData,$C14,regRep3,"&lt;&gt;")&gt;0),SUMIFS(regRep3,regAnalito,selAnalito,regNivel,3,regData,$C14),NA())</f>
        <v>#N/A</v>
      </c>
      <c r="BS14" s="30" t="e">
        <f>IF(AND($D14=1,COUNTIFS(regAnalito,selAnalito,regData,$C14,regCalib,"Sim")&gt;0),$BX$1,NA())</f>
        <v>#N/A</v>
      </c>
    </row>
    <row r="15" spans="1:87" x14ac:dyDescent="0.3">
      <c r="A15" s="30">
        <v>13</v>
      </c>
      <c r="B15" s="30">
        <f>IF(OR(selAnalito="",(""&amp;engAnalito)&lt;&gt;(""&amp;selAnalito),(""&amp;engLote)&lt;&gt;(""&amp;loteAnalise),$A15&gt;N(engNRun)),"",INDEX(engRUN,$A15))</f>
        <v>13</v>
      </c>
      <c r="C15" s="43">
        <f>IF($B15="","",IF(INDEX(engData,$A15)="","",INDEX(engData,$A15)))</f>
        <v>45747</v>
      </c>
      <c r="D15" s="30">
        <f>IF($C15="",0,IF(AND(OR(filtroDe="",INT($C15)&gt;=INT(filtroDe)),OR(filtroAte="",INT($C15)&lt;=INT(filtroAte))),1,0))</f>
        <v>1</v>
      </c>
      <c r="E15" s="30">
        <f t="shared" si="0"/>
        <v>13</v>
      </c>
      <c r="F15" s="30">
        <f>IF($B15="","",IF(INDEX(engValN1,$A15)="","",INDEX(engValN1,$A15)))</f>
        <v>2.2968000000000002</v>
      </c>
      <c r="G15" s="30">
        <f t="shared" si="1"/>
        <v>-0.4474885844748771</v>
      </c>
      <c r="H15" s="30">
        <f t="shared" si="2"/>
        <v>2.2968000000000002</v>
      </c>
      <c r="I15" s="30">
        <f t="shared" si="3"/>
        <v>2.2968000000000002</v>
      </c>
      <c r="J15" s="30" t="e">
        <f t="shared" si="4"/>
        <v>#N/A</v>
      </c>
      <c r="K15" s="30">
        <f>IF($F15="",0,IFERROR(INDEX(engDados,MATCH(selAnalito&amp;"|"&amp;$B15,engChave,0),3),0))</f>
        <v>0</v>
      </c>
      <c r="L15" s="30">
        <f>IF($F15="",0,IFERROR(INDEX(engDados,MATCH(selAnalito&amp;"|"&amp;$B15,engChave,0),4),0))</f>
        <v>0</v>
      </c>
      <c r="M15" s="30">
        <f>IF($F15="",0,IFERROR(INDEX(engDados,MATCH(selAnalito&amp;"|"&amp;$B15,engChave,0),5),0))</f>
        <v>0</v>
      </c>
      <c r="N15" s="30">
        <f>IF($F15="",0,IFERROR(INDEX(engDados,MATCH(selAnalito&amp;"|"&amp;$B15,engChave,0),6),0))</f>
        <v>0</v>
      </c>
      <c r="O15" s="30">
        <f>IF($F15="",0,IFERROR(INDEX(engDados,MATCH(selAnalito&amp;"|"&amp;$B15,engChave,0),7),0))</f>
        <v>0</v>
      </c>
      <c r="P15" s="30" t="str">
        <f>IF($F15="","",IFERROR(INDEX(engDados,MATCH(selAnalito&amp;"|"&amp;$B15,engChave,0),9),""))</f>
        <v>OK</v>
      </c>
      <c r="Q15" s="30">
        <f t="shared" si="5"/>
        <v>2.2408999999999999</v>
      </c>
      <c r="R15" s="30">
        <f t="shared" si="6"/>
        <v>2.2627999999999999</v>
      </c>
      <c r="S15" s="30">
        <f t="shared" si="7"/>
        <v>2.2847</v>
      </c>
      <c r="T15" s="30">
        <f t="shared" si="8"/>
        <v>2.3066</v>
      </c>
      <c r="U15" s="30">
        <f t="shared" si="9"/>
        <v>2.3285</v>
      </c>
      <c r="V15" s="30">
        <f t="shared" si="10"/>
        <v>2.3504</v>
      </c>
      <c r="W15" s="30">
        <f t="shared" si="11"/>
        <v>2.3723000000000001</v>
      </c>
      <c r="X15" s="30" t="e">
        <f>IF(AND($D15=1,(""&amp;loteAnalise)=(""&amp;loteCarregado),COUNTIFS(regAnalito,selAnalito,regNivel,1,regData,$C15,regRep1,"&lt;&gt;")&gt;0),SUMIFS(regRep1,regAnalito,selAnalito,regNivel,1,regData,$C15),NA())</f>
        <v>#N/A</v>
      </c>
      <c r="Y15" s="30" t="e">
        <f>IF(AND($D15=1,(""&amp;loteAnalise)=(""&amp;loteCarregado),COUNTIFS(regAnalito,selAnalito,regNivel,1,regData,$C15,regRep2,"&lt;&gt;")&gt;0),SUMIFS(regRep2,regAnalito,selAnalito,regNivel,1,regData,$C15),NA())</f>
        <v>#N/A</v>
      </c>
      <c r="Z15" s="30" t="e">
        <f>IF(AND($D15=1,(""&amp;loteAnalise)=(""&amp;loteCarregado),COUNTIFS(regAnalito,selAnalito,regNivel,1,regData,$C15,regRep3,"&lt;&gt;")&gt;0),SUMIFS(regRep3,regAnalito,selAnalito,regNivel,1,regData,$C15),NA())</f>
        <v>#N/A</v>
      </c>
      <c r="AA15" s="30" t="e">
        <f>IF(AND($D15=1,COUNTIFS(regAnalito,selAnalito,regData,$C15,regCalib,"Sim")&gt;0),$BT$1,NA())</f>
        <v>#N/A</v>
      </c>
      <c r="AB15" s="30">
        <f>IF($B15="","",IF(INDEX(engValN2,$A15)="","",INDEX(engValN2,$A15)))</f>
        <v>4.3407999999999998</v>
      </c>
      <c r="AC15" s="30">
        <f t="shared" si="12"/>
        <v>-1.0314285714285782</v>
      </c>
      <c r="AD15" s="30">
        <f t="shared" si="13"/>
        <v>4.3407999999999998</v>
      </c>
      <c r="AE15" s="30">
        <f t="shared" si="14"/>
        <v>4.3407999999999998</v>
      </c>
      <c r="AF15" s="30" t="e">
        <f t="shared" si="15"/>
        <v>#N/A</v>
      </c>
      <c r="AG15" s="30">
        <f>IF($AB15="",0,IFERROR(INDEX(engDados,MATCH(selAnalito&amp;"|"&amp;$B15,engChave,0),10),0))</f>
        <v>0</v>
      </c>
      <c r="AH15" s="30">
        <f>IF($AB15="",0,IFERROR(INDEX(engDados,MATCH(selAnalito&amp;"|"&amp;$B15,engChave,0),11),0))</f>
        <v>0</v>
      </c>
      <c r="AI15" s="30">
        <f>IF($AB15="",0,IFERROR(INDEX(engDados,MATCH(selAnalito&amp;"|"&amp;$B15,engChave,0),12),0))</f>
        <v>0</v>
      </c>
      <c r="AJ15" s="30">
        <f>IF($AB15="",0,IFERROR(INDEX(engDados,MATCH(selAnalito&amp;"|"&amp;$B15,engChave,0),13),0))</f>
        <v>0</v>
      </c>
      <c r="AK15" s="30">
        <f>IF($AB15="",0,IFERROR(INDEX(engDados,MATCH(selAnalito&amp;"|"&amp;$B15,engChave,0),14),0))</f>
        <v>0</v>
      </c>
      <c r="AL15" s="30" t="str">
        <f>IF($AB15="","",IFERROR(INDEX(engDados,MATCH(selAnalito&amp;"|"&amp;$B15,engChave,0),16),""))</f>
        <v>OK</v>
      </c>
      <c r="AM15" s="30">
        <f t="shared" si="16"/>
        <v>4.2718999999999996</v>
      </c>
      <c r="AN15" s="30">
        <f t="shared" si="17"/>
        <v>4.3068999999999997</v>
      </c>
      <c r="AO15" s="30">
        <f t="shared" si="18"/>
        <v>4.3418999999999999</v>
      </c>
      <c r="AP15" s="30">
        <f t="shared" si="19"/>
        <v>4.3769</v>
      </c>
      <c r="AQ15" s="30">
        <f t="shared" si="20"/>
        <v>4.4119000000000002</v>
      </c>
      <c r="AR15" s="30">
        <f t="shared" si="21"/>
        <v>4.4469000000000003</v>
      </c>
      <c r="AS15" s="30">
        <f t="shared" si="22"/>
        <v>4.4819000000000004</v>
      </c>
      <c r="AT15" s="30" t="e">
        <f>IF(AND($D15=1,(""&amp;loteAnalise)=(""&amp;loteCarregado),COUNTIFS(regAnalito,selAnalito,regNivel,2,regData,$C15,regRep1,"&lt;&gt;")&gt;0),SUMIFS(regRep1,regAnalito,selAnalito,regNivel,2,regData,$C15),NA())</f>
        <v>#N/A</v>
      </c>
      <c r="AU15" s="30" t="e">
        <f>IF(AND($D15=1,(""&amp;loteAnalise)=(""&amp;loteCarregado),COUNTIFS(regAnalito,selAnalito,regNivel,2,regData,$C15,regRep2,"&lt;&gt;")&gt;0),SUMIFS(regRep2,regAnalito,selAnalito,regNivel,2,regData,$C15),NA())</f>
        <v>#N/A</v>
      </c>
      <c r="AV15" s="30" t="e">
        <f>IF(AND($D15=1,(""&amp;loteAnalise)=(""&amp;loteCarregado),COUNTIFS(regAnalito,selAnalito,regNivel,2,regData,$C15,regRep3,"&lt;&gt;")&gt;0),SUMIFS(regRep3,regAnalito,selAnalito,regNivel,2,regData,$C15),NA())</f>
        <v>#N/A</v>
      </c>
      <c r="AW15" s="30" t="e">
        <f>IF(AND($D15=1,COUNTIFS(regAnalito,selAnalito,regData,$C15,regCalib,"Sim")&gt;0),$BV$1,NA())</f>
        <v>#N/A</v>
      </c>
      <c r="AX15" s="30">
        <f>IF($B15="","",IF(INDEX(engValN3,$A15)="","",INDEX(engValN3,$A15)))</f>
        <v>5.1132999999999997</v>
      </c>
      <c r="AY15" s="30">
        <f t="shared" si="23"/>
        <v>-0.27536231884058154</v>
      </c>
      <c r="AZ15" s="30">
        <f t="shared" si="24"/>
        <v>5.1132999999999997</v>
      </c>
      <c r="BA15" s="30">
        <f t="shared" si="25"/>
        <v>5.1132999999999997</v>
      </c>
      <c r="BB15" s="30" t="e">
        <f t="shared" si="26"/>
        <v>#N/A</v>
      </c>
      <c r="BC15" s="30">
        <f>IF($AX15="",0,IFERROR(INDEX(engDados,MATCH(selAnalito&amp;"|"&amp;$B15,engChave,0),17),0))</f>
        <v>0</v>
      </c>
      <c r="BD15" s="30">
        <f>IF($AX15="",0,IFERROR(INDEX(engDados,MATCH(selAnalito&amp;"|"&amp;$B15,engChave,0),18),0))</f>
        <v>0</v>
      </c>
      <c r="BE15" s="30">
        <f>IF($AX15="",0,IFERROR(INDEX(engDados,MATCH(selAnalito&amp;"|"&amp;$B15,engChave,0),19),0))</f>
        <v>0</v>
      </c>
      <c r="BF15" s="30">
        <f>IF($AX15="",0,IFERROR(INDEX(engDados,MATCH(selAnalito&amp;"|"&amp;$B15,engChave,0),20),0))</f>
        <v>0</v>
      </c>
      <c r="BG15" s="30">
        <f>IF($AX15="",0,IFERROR(INDEX(engDados,MATCH(selAnalito&amp;"|"&amp;$B15,engChave,0),21),0))</f>
        <v>0</v>
      </c>
      <c r="BH15" s="30" t="str">
        <f>IF($AX15="","",IFERROR(INDEX(engDados,MATCH(selAnalito&amp;"|"&amp;$B15,engChave,0),23),""))</f>
        <v>OK</v>
      </c>
      <c r="BI15" s="30">
        <f t="shared" si="27"/>
        <v>5.0192999999999994</v>
      </c>
      <c r="BJ15" s="30">
        <f t="shared" si="28"/>
        <v>5.0537999999999998</v>
      </c>
      <c r="BK15" s="30">
        <f t="shared" si="29"/>
        <v>5.0882999999999994</v>
      </c>
      <c r="BL15" s="30">
        <f t="shared" si="30"/>
        <v>5.1227999999999998</v>
      </c>
      <c r="BM15" s="30">
        <f t="shared" si="31"/>
        <v>5.1573000000000002</v>
      </c>
      <c r="BN15" s="30">
        <f t="shared" si="32"/>
        <v>5.1917999999999997</v>
      </c>
      <c r="BO15" s="30">
        <f t="shared" si="33"/>
        <v>5.2263000000000002</v>
      </c>
      <c r="BP15" s="30" t="e">
        <f>IF(AND($D15=1,(""&amp;loteAnalise)=(""&amp;loteCarregado),COUNTIFS(regAnalito,selAnalito,regNivel,3,regData,$C15,regRep1,"&lt;&gt;")&gt;0),SUMIFS(regRep1,regAnalito,selAnalito,regNivel,3,regData,$C15),NA())</f>
        <v>#N/A</v>
      </c>
      <c r="BQ15" s="30" t="e">
        <f>IF(AND($D15=1,(""&amp;loteAnalise)=(""&amp;loteCarregado),COUNTIFS(regAnalito,selAnalito,regNivel,3,regData,$C15,regRep2,"&lt;&gt;")&gt;0),SUMIFS(regRep2,regAnalito,selAnalito,regNivel,3,regData,$C15),NA())</f>
        <v>#N/A</v>
      </c>
      <c r="BR15" s="30" t="e">
        <f>IF(AND($D15=1,(""&amp;loteAnalise)=(""&amp;loteCarregado),COUNTIFS(regAnalito,selAnalito,regNivel,3,regData,$C15,regRep3,"&lt;&gt;")&gt;0),SUMIFS(regRep3,regAnalito,selAnalito,regNivel,3,regData,$C15),NA())</f>
        <v>#N/A</v>
      </c>
      <c r="BS15" s="30" t="e">
        <f>IF(AND($D15=1,COUNTIFS(regAnalito,selAnalito,regData,$C15,regCalib,"Sim")&gt;0),$BX$1,NA())</f>
        <v>#N/A</v>
      </c>
    </row>
    <row r="16" spans="1:87" x14ac:dyDescent="0.3">
      <c r="A16" s="30">
        <v>14</v>
      </c>
      <c r="B16" s="30">
        <f>IF(OR(selAnalito="",(""&amp;engAnalito)&lt;&gt;(""&amp;selAnalito),(""&amp;engLote)&lt;&gt;(""&amp;loteAnalise),$A16&gt;N(engNRun)),"",INDEX(engRUN,$A16))</f>
        <v>14</v>
      </c>
      <c r="C16" s="43">
        <f>IF($B16="","",IF(INDEX(engData,$A16)="","",INDEX(engData,$A16)))</f>
        <v>45754</v>
      </c>
      <c r="D16" s="30">
        <f>IF($C16="",0,IF(AND(OR(filtroDe="",INT($C16)&gt;=INT(filtroDe)),OR(filtroAte="",INT($C16)&lt;=INT(filtroAte))),1,0))</f>
        <v>1</v>
      </c>
      <c r="E16" s="30">
        <f t="shared" si="0"/>
        <v>14</v>
      </c>
      <c r="F16" s="30">
        <f>IF($B16="","",IF(INDEX(engValN1,$A16)="","",INDEX(engValN1,$A16)))</f>
        <v>2.3321000000000001</v>
      </c>
      <c r="G16" s="30">
        <f t="shared" si="1"/>
        <v>1.1643835616438392</v>
      </c>
      <c r="H16" s="30">
        <f t="shared" si="2"/>
        <v>2.3321000000000001</v>
      </c>
      <c r="I16" s="30">
        <f t="shared" si="3"/>
        <v>2.3321000000000001</v>
      </c>
      <c r="J16" s="30" t="e">
        <f t="shared" si="4"/>
        <v>#N/A</v>
      </c>
      <c r="K16" s="30">
        <f>IF($F16="",0,IFERROR(INDEX(engDados,MATCH(selAnalito&amp;"|"&amp;$B16,engChave,0),3),0))</f>
        <v>0</v>
      </c>
      <c r="L16" s="30">
        <f>IF($F16="",0,IFERROR(INDEX(engDados,MATCH(selAnalito&amp;"|"&amp;$B16,engChave,0),4),0))</f>
        <v>0</v>
      </c>
      <c r="M16" s="30">
        <f>IF($F16="",0,IFERROR(INDEX(engDados,MATCH(selAnalito&amp;"|"&amp;$B16,engChave,0),5),0))</f>
        <v>0</v>
      </c>
      <c r="N16" s="30">
        <f>IF($F16="",0,IFERROR(INDEX(engDados,MATCH(selAnalito&amp;"|"&amp;$B16,engChave,0),6),0))</f>
        <v>0</v>
      </c>
      <c r="O16" s="30">
        <f>IF($F16="",0,IFERROR(INDEX(engDados,MATCH(selAnalito&amp;"|"&amp;$B16,engChave,0),7),0))</f>
        <v>0</v>
      </c>
      <c r="P16" s="30" t="str">
        <f>IF($F16="","",IFERROR(INDEX(engDados,MATCH(selAnalito&amp;"|"&amp;$B16,engChave,0),9),""))</f>
        <v>OK</v>
      </c>
      <c r="Q16" s="30">
        <f t="shared" si="5"/>
        <v>2.2408999999999999</v>
      </c>
      <c r="R16" s="30">
        <f t="shared" si="6"/>
        <v>2.2627999999999999</v>
      </c>
      <c r="S16" s="30">
        <f t="shared" si="7"/>
        <v>2.2847</v>
      </c>
      <c r="T16" s="30">
        <f t="shared" si="8"/>
        <v>2.3066</v>
      </c>
      <c r="U16" s="30">
        <f t="shared" si="9"/>
        <v>2.3285</v>
      </c>
      <c r="V16" s="30">
        <f t="shared" si="10"/>
        <v>2.3504</v>
      </c>
      <c r="W16" s="30">
        <f t="shared" si="11"/>
        <v>2.3723000000000001</v>
      </c>
      <c r="X16" s="30" t="e">
        <f>IF(AND($D16=1,(""&amp;loteAnalise)=(""&amp;loteCarregado),COUNTIFS(regAnalito,selAnalito,regNivel,1,regData,$C16,regRep1,"&lt;&gt;")&gt;0),SUMIFS(regRep1,regAnalito,selAnalito,regNivel,1,regData,$C16),NA())</f>
        <v>#N/A</v>
      </c>
      <c r="Y16" s="30" t="e">
        <f>IF(AND($D16=1,(""&amp;loteAnalise)=(""&amp;loteCarregado),COUNTIFS(regAnalito,selAnalito,regNivel,1,regData,$C16,regRep2,"&lt;&gt;")&gt;0),SUMIFS(regRep2,regAnalito,selAnalito,regNivel,1,regData,$C16),NA())</f>
        <v>#N/A</v>
      </c>
      <c r="Z16" s="30" t="e">
        <f>IF(AND($D16=1,(""&amp;loteAnalise)=(""&amp;loteCarregado),COUNTIFS(regAnalito,selAnalito,regNivel,1,regData,$C16,regRep3,"&lt;&gt;")&gt;0),SUMIFS(regRep3,regAnalito,selAnalito,regNivel,1,regData,$C16),NA())</f>
        <v>#N/A</v>
      </c>
      <c r="AA16" s="30" t="e">
        <f>IF(AND($D16=1,COUNTIFS(regAnalito,selAnalito,regData,$C16,regCalib,"Sim")&gt;0),$BT$1,NA())</f>
        <v>#N/A</v>
      </c>
      <c r="AB16" s="30">
        <f>IF($B16="","",IF(INDEX(engValN2,$A16)="","",INDEX(engValN2,$A16)))</f>
        <v>4.3741000000000003</v>
      </c>
      <c r="AC16" s="30">
        <f t="shared" si="12"/>
        <v>-7.9999999999991175E-2</v>
      </c>
      <c r="AD16" s="30">
        <f t="shared" si="13"/>
        <v>4.3741000000000003</v>
      </c>
      <c r="AE16" s="30">
        <f t="shared" si="14"/>
        <v>4.3741000000000003</v>
      </c>
      <c r="AF16" s="30" t="e">
        <f t="shared" si="15"/>
        <v>#N/A</v>
      </c>
      <c r="AG16" s="30">
        <f>IF($AB16="",0,IFERROR(INDEX(engDados,MATCH(selAnalito&amp;"|"&amp;$B16,engChave,0),10),0))</f>
        <v>0</v>
      </c>
      <c r="AH16" s="30">
        <f>IF($AB16="",0,IFERROR(INDEX(engDados,MATCH(selAnalito&amp;"|"&amp;$B16,engChave,0),11),0))</f>
        <v>0</v>
      </c>
      <c r="AI16" s="30">
        <f>IF($AB16="",0,IFERROR(INDEX(engDados,MATCH(selAnalito&amp;"|"&amp;$B16,engChave,0),12),0))</f>
        <v>0</v>
      </c>
      <c r="AJ16" s="30">
        <f>IF($AB16="",0,IFERROR(INDEX(engDados,MATCH(selAnalito&amp;"|"&amp;$B16,engChave,0),13),0))</f>
        <v>0</v>
      </c>
      <c r="AK16" s="30">
        <f>IF($AB16="",0,IFERROR(INDEX(engDados,MATCH(selAnalito&amp;"|"&amp;$B16,engChave,0),14),0))</f>
        <v>0</v>
      </c>
      <c r="AL16" s="30" t="str">
        <f>IF($AB16="","",IFERROR(INDEX(engDados,MATCH(selAnalito&amp;"|"&amp;$B16,engChave,0),16),""))</f>
        <v>OK</v>
      </c>
      <c r="AM16" s="30">
        <f t="shared" si="16"/>
        <v>4.2718999999999996</v>
      </c>
      <c r="AN16" s="30">
        <f t="shared" si="17"/>
        <v>4.3068999999999997</v>
      </c>
      <c r="AO16" s="30">
        <f t="shared" si="18"/>
        <v>4.3418999999999999</v>
      </c>
      <c r="AP16" s="30">
        <f t="shared" si="19"/>
        <v>4.3769</v>
      </c>
      <c r="AQ16" s="30">
        <f t="shared" si="20"/>
        <v>4.4119000000000002</v>
      </c>
      <c r="AR16" s="30">
        <f t="shared" si="21"/>
        <v>4.4469000000000003</v>
      </c>
      <c r="AS16" s="30">
        <f t="shared" si="22"/>
        <v>4.4819000000000004</v>
      </c>
      <c r="AT16" s="30" t="e">
        <f>IF(AND($D16=1,(""&amp;loteAnalise)=(""&amp;loteCarregado),COUNTIFS(regAnalito,selAnalito,regNivel,2,regData,$C16,regRep1,"&lt;&gt;")&gt;0),SUMIFS(regRep1,regAnalito,selAnalito,regNivel,2,regData,$C16),NA())</f>
        <v>#N/A</v>
      </c>
      <c r="AU16" s="30" t="e">
        <f>IF(AND($D16=1,(""&amp;loteAnalise)=(""&amp;loteCarregado),COUNTIFS(regAnalito,selAnalito,regNivel,2,regData,$C16,regRep2,"&lt;&gt;")&gt;0),SUMIFS(regRep2,regAnalito,selAnalito,regNivel,2,regData,$C16),NA())</f>
        <v>#N/A</v>
      </c>
      <c r="AV16" s="30" t="e">
        <f>IF(AND($D16=1,(""&amp;loteAnalise)=(""&amp;loteCarregado),COUNTIFS(regAnalito,selAnalito,regNivel,2,regData,$C16,regRep3,"&lt;&gt;")&gt;0),SUMIFS(regRep3,regAnalito,selAnalito,regNivel,2,regData,$C16),NA())</f>
        <v>#N/A</v>
      </c>
      <c r="AW16" s="30" t="e">
        <f>IF(AND($D16=1,COUNTIFS(regAnalito,selAnalito,regData,$C16,regCalib,"Sim")&gt;0),$BV$1,NA())</f>
        <v>#N/A</v>
      </c>
      <c r="AX16" s="30">
        <f>IF($B16="","",IF(INDEX(engValN3,$A16)="","",INDEX(engValN3,$A16)))</f>
        <v>5.1172000000000004</v>
      </c>
      <c r="AY16" s="30">
        <f t="shared" si="23"/>
        <v>-0.16231884057969226</v>
      </c>
      <c r="AZ16" s="30">
        <f t="shared" si="24"/>
        <v>5.1172000000000004</v>
      </c>
      <c r="BA16" s="30">
        <f t="shared" si="25"/>
        <v>5.1172000000000004</v>
      </c>
      <c r="BB16" s="30" t="e">
        <f t="shared" si="26"/>
        <v>#N/A</v>
      </c>
      <c r="BC16" s="30">
        <f>IF($AX16="",0,IFERROR(INDEX(engDados,MATCH(selAnalito&amp;"|"&amp;$B16,engChave,0),17),0))</f>
        <v>0</v>
      </c>
      <c r="BD16" s="30">
        <f>IF($AX16="",0,IFERROR(INDEX(engDados,MATCH(selAnalito&amp;"|"&amp;$B16,engChave,0),18),0))</f>
        <v>0</v>
      </c>
      <c r="BE16" s="30">
        <f>IF($AX16="",0,IFERROR(INDEX(engDados,MATCH(selAnalito&amp;"|"&amp;$B16,engChave,0),19),0))</f>
        <v>0</v>
      </c>
      <c r="BF16" s="30">
        <f>IF($AX16="",0,IFERROR(INDEX(engDados,MATCH(selAnalito&amp;"|"&amp;$B16,engChave,0),20),0))</f>
        <v>0</v>
      </c>
      <c r="BG16" s="30">
        <f>IF($AX16="",0,IFERROR(INDEX(engDados,MATCH(selAnalito&amp;"|"&amp;$B16,engChave,0),21),0))</f>
        <v>0</v>
      </c>
      <c r="BH16" s="30" t="str">
        <f>IF($AX16="","",IFERROR(INDEX(engDados,MATCH(selAnalito&amp;"|"&amp;$B16,engChave,0),23),""))</f>
        <v>OK</v>
      </c>
      <c r="BI16" s="30">
        <f t="shared" si="27"/>
        <v>5.0192999999999994</v>
      </c>
      <c r="BJ16" s="30">
        <f t="shared" si="28"/>
        <v>5.0537999999999998</v>
      </c>
      <c r="BK16" s="30">
        <f t="shared" si="29"/>
        <v>5.0882999999999994</v>
      </c>
      <c r="BL16" s="30">
        <f t="shared" si="30"/>
        <v>5.1227999999999998</v>
      </c>
      <c r="BM16" s="30">
        <f t="shared" si="31"/>
        <v>5.1573000000000002</v>
      </c>
      <c r="BN16" s="30">
        <f t="shared" si="32"/>
        <v>5.1917999999999997</v>
      </c>
      <c r="BO16" s="30">
        <f t="shared" si="33"/>
        <v>5.2263000000000002</v>
      </c>
      <c r="BP16" s="30" t="e">
        <f>IF(AND($D16=1,(""&amp;loteAnalise)=(""&amp;loteCarregado),COUNTIFS(regAnalito,selAnalito,regNivel,3,regData,$C16,regRep1,"&lt;&gt;")&gt;0),SUMIFS(regRep1,regAnalito,selAnalito,regNivel,3,regData,$C16),NA())</f>
        <v>#N/A</v>
      </c>
      <c r="BQ16" s="30" t="e">
        <f>IF(AND($D16=1,(""&amp;loteAnalise)=(""&amp;loteCarregado),COUNTIFS(regAnalito,selAnalito,regNivel,3,regData,$C16,regRep2,"&lt;&gt;")&gt;0),SUMIFS(regRep2,regAnalito,selAnalito,regNivel,3,regData,$C16),NA())</f>
        <v>#N/A</v>
      </c>
      <c r="BR16" s="30" t="e">
        <f>IF(AND($D16=1,(""&amp;loteAnalise)=(""&amp;loteCarregado),COUNTIFS(regAnalito,selAnalito,regNivel,3,regData,$C16,regRep3,"&lt;&gt;")&gt;0),SUMIFS(regRep3,regAnalito,selAnalito,regNivel,3,regData,$C16),NA())</f>
        <v>#N/A</v>
      </c>
      <c r="BS16" s="30" t="e">
        <f>IF(AND($D16=1,COUNTIFS(regAnalito,selAnalito,regData,$C16,regCalib,"Sim")&gt;0),$BX$1,NA())</f>
        <v>#N/A</v>
      </c>
    </row>
    <row r="17" spans="1:71" x14ac:dyDescent="0.3">
      <c r="A17" s="30">
        <v>15</v>
      </c>
      <c r="B17" s="30">
        <f>IF(OR(selAnalito="",(""&amp;engAnalito)&lt;&gt;(""&amp;selAnalito),(""&amp;engLote)&lt;&gt;(""&amp;loteAnalise),$A17&gt;N(engNRun)),"",INDEX(engRUN,$A17))</f>
        <v>15</v>
      </c>
      <c r="C17" s="43">
        <f>IF($B17="","",IF(INDEX(engData,$A17)="","",INDEX(engData,$A17)))</f>
        <v>45761</v>
      </c>
      <c r="D17" s="30">
        <f>IF($C17="",0,IF(AND(OR(filtroDe="",INT($C17)&gt;=INT(filtroDe)),OR(filtroAte="",INT($C17)&lt;=INT(filtroAte))),1,0))</f>
        <v>1</v>
      </c>
      <c r="E17" s="30">
        <f t="shared" si="0"/>
        <v>15</v>
      </c>
      <c r="F17" s="30">
        <f>IF($B17="","",IF(INDEX(engValN1,$A17)="","",INDEX(engValN1,$A17)))</f>
        <v>2.3209</v>
      </c>
      <c r="G17" s="30">
        <f t="shared" si="1"/>
        <v>0.6529680365296795</v>
      </c>
      <c r="H17" s="30">
        <f t="shared" si="2"/>
        <v>2.3209</v>
      </c>
      <c r="I17" s="30">
        <f t="shared" si="3"/>
        <v>2.3209</v>
      </c>
      <c r="J17" s="30" t="e">
        <f t="shared" si="4"/>
        <v>#N/A</v>
      </c>
      <c r="K17" s="30">
        <f>IF($F17="",0,IFERROR(INDEX(engDados,MATCH(selAnalito&amp;"|"&amp;$B17,engChave,0),3),0))</f>
        <v>0</v>
      </c>
      <c r="L17" s="30">
        <f>IF($F17="",0,IFERROR(INDEX(engDados,MATCH(selAnalito&amp;"|"&amp;$B17,engChave,0),4),0))</f>
        <v>0</v>
      </c>
      <c r="M17" s="30">
        <f>IF($F17="",0,IFERROR(INDEX(engDados,MATCH(selAnalito&amp;"|"&amp;$B17,engChave,0),5),0))</f>
        <v>0</v>
      </c>
      <c r="N17" s="30">
        <f>IF($F17="",0,IFERROR(INDEX(engDados,MATCH(selAnalito&amp;"|"&amp;$B17,engChave,0),6),0))</f>
        <v>0</v>
      </c>
      <c r="O17" s="30">
        <f>IF($F17="",0,IFERROR(INDEX(engDados,MATCH(selAnalito&amp;"|"&amp;$B17,engChave,0),7),0))</f>
        <v>0</v>
      </c>
      <c r="P17" s="30" t="str">
        <f>IF($F17="","",IFERROR(INDEX(engDados,MATCH(selAnalito&amp;"|"&amp;$B17,engChave,0),9),""))</f>
        <v>OK</v>
      </c>
      <c r="Q17" s="30">
        <f t="shared" si="5"/>
        <v>2.2408999999999999</v>
      </c>
      <c r="R17" s="30">
        <f t="shared" si="6"/>
        <v>2.2627999999999999</v>
      </c>
      <c r="S17" s="30">
        <f t="shared" si="7"/>
        <v>2.2847</v>
      </c>
      <c r="T17" s="30">
        <f t="shared" si="8"/>
        <v>2.3066</v>
      </c>
      <c r="U17" s="30">
        <f t="shared" si="9"/>
        <v>2.3285</v>
      </c>
      <c r="V17" s="30">
        <f t="shared" si="10"/>
        <v>2.3504</v>
      </c>
      <c r="W17" s="30">
        <f t="shared" si="11"/>
        <v>2.3723000000000001</v>
      </c>
      <c r="X17" s="30" t="e">
        <f>IF(AND($D17=1,(""&amp;loteAnalise)=(""&amp;loteCarregado),COUNTIFS(regAnalito,selAnalito,regNivel,1,regData,$C17,regRep1,"&lt;&gt;")&gt;0),SUMIFS(regRep1,regAnalito,selAnalito,regNivel,1,regData,$C17),NA())</f>
        <v>#N/A</v>
      </c>
      <c r="Y17" s="30" t="e">
        <f>IF(AND($D17=1,(""&amp;loteAnalise)=(""&amp;loteCarregado),COUNTIFS(regAnalito,selAnalito,regNivel,1,regData,$C17,regRep2,"&lt;&gt;")&gt;0),SUMIFS(regRep2,regAnalito,selAnalito,regNivel,1,regData,$C17),NA())</f>
        <v>#N/A</v>
      </c>
      <c r="Z17" s="30" t="e">
        <f>IF(AND($D17=1,(""&amp;loteAnalise)=(""&amp;loteCarregado),COUNTIFS(regAnalito,selAnalito,regNivel,1,regData,$C17,regRep3,"&lt;&gt;")&gt;0),SUMIFS(regRep3,regAnalito,selAnalito,regNivel,1,regData,$C17),NA())</f>
        <v>#N/A</v>
      </c>
      <c r="AA17" s="30" t="e">
        <f>IF(AND($D17=1,COUNTIFS(regAnalito,selAnalito,regData,$C17,regCalib,"Sim")&gt;0),$BT$1,NA())</f>
        <v>#N/A</v>
      </c>
      <c r="AB17" s="30">
        <f>IF($B17="","",IF(INDEX(engValN2,$A17)="","",INDEX(engValN2,$A17)))</f>
        <v>4.3780999999999999</v>
      </c>
      <c r="AC17" s="30">
        <f t="shared" si="12"/>
        <v>3.4285714285710506E-2</v>
      </c>
      <c r="AD17" s="30">
        <f t="shared" si="13"/>
        <v>4.3780999999999999</v>
      </c>
      <c r="AE17" s="30">
        <f t="shared" si="14"/>
        <v>4.3780999999999999</v>
      </c>
      <c r="AF17" s="30" t="e">
        <f t="shared" si="15"/>
        <v>#N/A</v>
      </c>
      <c r="AG17" s="30">
        <f>IF($AB17="",0,IFERROR(INDEX(engDados,MATCH(selAnalito&amp;"|"&amp;$B17,engChave,0),10),0))</f>
        <v>0</v>
      </c>
      <c r="AH17" s="30">
        <f>IF($AB17="",0,IFERROR(INDEX(engDados,MATCH(selAnalito&amp;"|"&amp;$B17,engChave,0),11),0))</f>
        <v>0</v>
      </c>
      <c r="AI17" s="30">
        <f>IF($AB17="",0,IFERROR(INDEX(engDados,MATCH(selAnalito&amp;"|"&amp;$B17,engChave,0),12),0))</f>
        <v>0</v>
      </c>
      <c r="AJ17" s="30">
        <f>IF($AB17="",0,IFERROR(INDEX(engDados,MATCH(selAnalito&amp;"|"&amp;$B17,engChave,0),13),0))</f>
        <v>0</v>
      </c>
      <c r="AK17" s="30">
        <f>IF($AB17="",0,IFERROR(INDEX(engDados,MATCH(selAnalito&amp;"|"&amp;$B17,engChave,0),14),0))</f>
        <v>0</v>
      </c>
      <c r="AL17" s="30" t="str">
        <f>IF($AB17="","",IFERROR(INDEX(engDados,MATCH(selAnalito&amp;"|"&amp;$B17,engChave,0),16),""))</f>
        <v>OK</v>
      </c>
      <c r="AM17" s="30">
        <f t="shared" si="16"/>
        <v>4.2718999999999996</v>
      </c>
      <c r="AN17" s="30">
        <f t="shared" si="17"/>
        <v>4.3068999999999997</v>
      </c>
      <c r="AO17" s="30">
        <f t="shared" si="18"/>
        <v>4.3418999999999999</v>
      </c>
      <c r="AP17" s="30">
        <f t="shared" si="19"/>
        <v>4.3769</v>
      </c>
      <c r="AQ17" s="30">
        <f t="shared" si="20"/>
        <v>4.4119000000000002</v>
      </c>
      <c r="AR17" s="30">
        <f t="shared" si="21"/>
        <v>4.4469000000000003</v>
      </c>
      <c r="AS17" s="30">
        <f t="shared" si="22"/>
        <v>4.4819000000000004</v>
      </c>
      <c r="AT17" s="30" t="e">
        <f>IF(AND($D17=1,(""&amp;loteAnalise)=(""&amp;loteCarregado),COUNTIFS(regAnalito,selAnalito,regNivel,2,regData,$C17,regRep1,"&lt;&gt;")&gt;0),SUMIFS(regRep1,regAnalito,selAnalito,regNivel,2,regData,$C17),NA())</f>
        <v>#N/A</v>
      </c>
      <c r="AU17" s="30" t="e">
        <f>IF(AND($D17=1,(""&amp;loteAnalise)=(""&amp;loteCarregado),COUNTIFS(regAnalito,selAnalito,regNivel,2,regData,$C17,regRep2,"&lt;&gt;")&gt;0),SUMIFS(regRep2,regAnalito,selAnalito,regNivel,2,regData,$C17),NA())</f>
        <v>#N/A</v>
      </c>
      <c r="AV17" s="30" t="e">
        <f>IF(AND($D17=1,(""&amp;loteAnalise)=(""&amp;loteCarregado),COUNTIFS(regAnalito,selAnalito,regNivel,2,regData,$C17,regRep3,"&lt;&gt;")&gt;0),SUMIFS(regRep3,regAnalito,selAnalito,regNivel,2,regData,$C17),NA())</f>
        <v>#N/A</v>
      </c>
      <c r="AW17" s="30" t="e">
        <f>IF(AND($D17=1,COUNTIFS(regAnalito,selAnalito,regData,$C17,regCalib,"Sim")&gt;0),$BV$1,NA())</f>
        <v>#N/A</v>
      </c>
      <c r="AX17" s="30">
        <f>IF($B17="","",IF(INDEX(engValN3,$A17)="","",INDEX(engValN3,$A17)))</f>
        <v>5.0891000000000002</v>
      </c>
      <c r="AY17" s="30">
        <f t="shared" si="23"/>
        <v>-0.97681159420288743</v>
      </c>
      <c r="AZ17" s="30">
        <f t="shared" si="24"/>
        <v>5.0891000000000002</v>
      </c>
      <c r="BA17" s="30">
        <f t="shared" si="25"/>
        <v>5.0891000000000002</v>
      </c>
      <c r="BB17" s="30" t="e">
        <f t="shared" si="26"/>
        <v>#N/A</v>
      </c>
      <c r="BC17" s="30">
        <f>IF($AX17="",0,IFERROR(INDEX(engDados,MATCH(selAnalito&amp;"|"&amp;$B17,engChave,0),17),0))</f>
        <v>0</v>
      </c>
      <c r="BD17" s="30">
        <f>IF($AX17="",0,IFERROR(INDEX(engDados,MATCH(selAnalito&amp;"|"&amp;$B17,engChave,0),18),0))</f>
        <v>0</v>
      </c>
      <c r="BE17" s="30">
        <f>IF($AX17="",0,IFERROR(INDEX(engDados,MATCH(selAnalito&amp;"|"&amp;$B17,engChave,0),19),0))</f>
        <v>0</v>
      </c>
      <c r="BF17" s="30">
        <f>IF($AX17="",0,IFERROR(INDEX(engDados,MATCH(selAnalito&amp;"|"&amp;$B17,engChave,0),20),0))</f>
        <v>0</v>
      </c>
      <c r="BG17" s="30">
        <f>IF($AX17="",0,IFERROR(INDEX(engDados,MATCH(selAnalito&amp;"|"&amp;$B17,engChave,0),21),0))</f>
        <v>0</v>
      </c>
      <c r="BH17" s="30" t="str">
        <f>IF($AX17="","",IFERROR(INDEX(engDados,MATCH(selAnalito&amp;"|"&amp;$B17,engChave,0),23),""))</f>
        <v>OK</v>
      </c>
      <c r="BI17" s="30">
        <f t="shared" si="27"/>
        <v>5.0192999999999994</v>
      </c>
      <c r="BJ17" s="30">
        <f t="shared" si="28"/>
        <v>5.0537999999999998</v>
      </c>
      <c r="BK17" s="30">
        <f t="shared" si="29"/>
        <v>5.0882999999999994</v>
      </c>
      <c r="BL17" s="30">
        <f t="shared" si="30"/>
        <v>5.1227999999999998</v>
      </c>
      <c r="BM17" s="30">
        <f t="shared" si="31"/>
        <v>5.1573000000000002</v>
      </c>
      <c r="BN17" s="30">
        <f t="shared" si="32"/>
        <v>5.1917999999999997</v>
      </c>
      <c r="BO17" s="30">
        <f t="shared" si="33"/>
        <v>5.2263000000000002</v>
      </c>
      <c r="BP17" s="30" t="e">
        <f>IF(AND($D17=1,(""&amp;loteAnalise)=(""&amp;loteCarregado),COUNTIFS(regAnalito,selAnalito,regNivel,3,regData,$C17,regRep1,"&lt;&gt;")&gt;0),SUMIFS(regRep1,regAnalito,selAnalito,regNivel,3,regData,$C17),NA())</f>
        <v>#N/A</v>
      </c>
      <c r="BQ17" s="30" t="e">
        <f>IF(AND($D17=1,(""&amp;loteAnalise)=(""&amp;loteCarregado),COUNTIFS(regAnalito,selAnalito,regNivel,3,regData,$C17,regRep2,"&lt;&gt;")&gt;0),SUMIFS(regRep2,regAnalito,selAnalito,regNivel,3,regData,$C17),NA())</f>
        <v>#N/A</v>
      </c>
      <c r="BR17" s="30" t="e">
        <f>IF(AND($D17=1,(""&amp;loteAnalise)=(""&amp;loteCarregado),COUNTIFS(regAnalito,selAnalito,regNivel,3,regData,$C17,regRep3,"&lt;&gt;")&gt;0),SUMIFS(regRep3,regAnalito,selAnalito,regNivel,3,regData,$C17),NA())</f>
        <v>#N/A</v>
      </c>
      <c r="BS17" s="30" t="e">
        <f>IF(AND($D17=1,COUNTIFS(regAnalito,selAnalito,regData,$C17,regCalib,"Sim")&gt;0),$BX$1,NA())</f>
        <v>#N/A</v>
      </c>
    </row>
    <row r="18" spans="1:71" x14ac:dyDescent="0.3">
      <c r="A18" s="30">
        <v>16</v>
      </c>
      <c r="B18" s="30">
        <f>IF(OR(selAnalito="",(""&amp;engAnalito)&lt;&gt;(""&amp;selAnalito),(""&amp;engLote)&lt;&gt;(""&amp;loteAnalise),$A18&gt;N(engNRun)),"",INDEX(engRUN,$A18))</f>
        <v>16</v>
      </c>
      <c r="C18" s="43">
        <f>IF($B18="","",IF(INDEX(engData,$A18)="","",INDEX(engData,$A18)))</f>
        <v>45768</v>
      </c>
      <c r="D18" s="30">
        <f>IF($C18="",0,IF(AND(OR(filtroDe="",INT($C18)&gt;=INT(filtroDe)),OR(filtroAte="",INT($C18)&lt;=INT(filtroAte))),1,0))</f>
        <v>1</v>
      </c>
      <c r="E18" s="30">
        <f t="shared" si="0"/>
        <v>16</v>
      </c>
      <c r="F18" s="30">
        <f>IF($B18="","",IF(INDEX(engValN1,$A18)="","",INDEX(engValN1,$A18)))</f>
        <v>2.306</v>
      </c>
      <c r="G18" s="30">
        <f t="shared" si="1"/>
        <v>-2.7397260273969586E-2</v>
      </c>
      <c r="H18" s="30">
        <f t="shared" si="2"/>
        <v>2.306</v>
      </c>
      <c r="I18" s="30">
        <f t="shared" si="3"/>
        <v>2.306</v>
      </c>
      <c r="J18" s="30" t="e">
        <f t="shared" si="4"/>
        <v>#N/A</v>
      </c>
      <c r="K18" s="30">
        <f>IF($F18="",0,IFERROR(INDEX(engDados,MATCH(selAnalito&amp;"|"&amp;$B18,engChave,0),3),0))</f>
        <v>0</v>
      </c>
      <c r="L18" s="30">
        <f>IF($F18="",0,IFERROR(INDEX(engDados,MATCH(selAnalito&amp;"|"&amp;$B18,engChave,0),4),0))</f>
        <v>0</v>
      </c>
      <c r="M18" s="30">
        <f>IF($F18="",0,IFERROR(INDEX(engDados,MATCH(selAnalito&amp;"|"&amp;$B18,engChave,0),5),0))</f>
        <v>0</v>
      </c>
      <c r="N18" s="30">
        <f>IF($F18="",0,IFERROR(INDEX(engDados,MATCH(selAnalito&amp;"|"&amp;$B18,engChave,0),6),0))</f>
        <v>0</v>
      </c>
      <c r="O18" s="30">
        <f>IF($F18="",0,IFERROR(INDEX(engDados,MATCH(selAnalito&amp;"|"&amp;$B18,engChave,0),7),0))</f>
        <v>0</v>
      </c>
      <c r="P18" s="30" t="str">
        <f>IF($F18="","",IFERROR(INDEX(engDados,MATCH(selAnalito&amp;"|"&amp;$B18,engChave,0),9),""))</f>
        <v>OK</v>
      </c>
      <c r="Q18" s="30">
        <f t="shared" si="5"/>
        <v>2.2408999999999999</v>
      </c>
      <c r="R18" s="30">
        <f t="shared" si="6"/>
        <v>2.2627999999999999</v>
      </c>
      <c r="S18" s="30">
        <f t="shared" si="7"/>
        <v>2.2847</v>
      </c>
      <c r="T18" s="30">
        <f t="shared" si="8"/>
        <v>2.3066</v>
      </c>
      <c r="U18" s="30">
        <f t="shared" si="9"/>
        <v>2.3285</v>
      </c>
      <c r="V18" s="30">
        <f t="shared" si="10"/>
        <v>2.3504</v>
      </c>
      <c r="W18" s="30">
        <f t="shared" si="11"/>
        <v>2.3723000000000001</v>
      </c>
      <c r="X18" s="30" t="e">
        <f>IF(AND($D18=1,(""&amp;loteAnalise)=(""&amp;loteCarregado),COUNTIFS(regAnalito,selAnalito,regNivel,1,regData,$C18,regRep1,"&lt;&gt;")&gt;0),SUMIFS(regRep1,regAnalito,selAnalito,regNivel,1,regData,$C18),NA())</f>
        <v>#N/A</v>
      </c>
      <c r="Y18" s="30" t="e">
        <f>IF(AND($D18=1,(""&amp;loteAnalise)=(""&amp;loteCarregado),COUNTIFS(regAnalito,selAnalito,regNivel,1,regData,$C18,regRep2,"&lt;&gt;")&gt;0),SUMIFS(regRep2,regAnalito,selAnalito,regNivel,1,regData,$C18),NA())</f>
        <v>#N/A</v>
      </c>
      <c r="Z18" s="30" t="e">
        <f>IF(AND($D18=1,(""&amp;loteAnalise)=(""&amp;loteCarregado),COUNTIFS(regAnalito,selAnalito,regNivel,1,regData,$C18,regRep3,"&lt;&gt;")&gt;0),SUMIFS(regRep3,regAnalito,selAnalito,regNivel,1,regData,$C18),NA())</f>
        <v>#N/A</v>
      </c>
      <c r="AA18" s="30" t="e">
        <f>IF(AND($D18=1,COUNTIFS(regAnalito,selAnalito,regData,$C18,regCalib,"Sim")&gt;0),$BT$1,NA())</f>
        <v>#N/A</v>
      </c>
      <c r="AB18" s="30">
        <f>IF($B18="","",IF(INDEX(engValN2,$A18)="","",INDEX(engValN2,$A18)))</f>
        <v>4.34</v>
      </c>
      <c r="AC18" s="30">
        <f t="shared" si="12"/>
        <v>-1.0542857142857187</v>
      </c>
      <c r="AD18" s="30">
        <f t="shared" si="13"/>
        <v>4.34</v>
      </c>
      <c r="AE18" s="30">
        <f t="shared" si="14"/>
        <v>4.34</v>
      </c>
      <c r="AF18" s="30" t="e">
        <f t="shared" si="15"/>
        <v>#N/A</v>
      </c>
      <c r="AG18" s="30">
        <f>IF($AB18="",0,IFERROR(INDEX(engDados,MATCH(selAnalito&amp;"|"&amp;$B18,engChave,0),10),0))</f>
        <v>0</v>
      </c>
      <c r="AH18" s="30">
        <f>IF($AB18="",0,IFERROR(INDEX(engDados,MATCH(selAnalito&amp;"|"&amp;$B18,engChave,0),11),0))</f>
        <v>0</v>
      </c>
      <c r="AI18" s="30">
        <f>IF($AB18="",0,IFERROR(INDEX(engDados,MATCH(selAnalito&amp;"|"&amp;$B18,engChave,0),12),0))</f>
        <v>0</v>
      </c>
      <c r="AJ18" s="30">
        <f>IF($AB18="",0,IFERROR(INDEX(engDados,MATCH(selAnalito&amp;"|"&amp;$B18,engChave,0),13),0))</f>
        <v>0</v>
      </c>
      <c r="AK18" s="30">
        <f>IF($AB18="",0,IFERROR(INDEX(engDados,MATCH(selAnalito&amp;"|"&amp;$B18,engChave,0),14),0))</f>
        <v>0</v>
      </c>
      <c r="AL18" s="30" t="str">
        <f>IF($AB18="","",IFERROR(INDEX(engDados,MATCH(selAnalito&amp;"|"&amp;$B18,engChave,0),16),""))</f>
        <v>OK</v>
      </c>
      <c r="AM18" s="30">
        <f t="shared" si="16"/>
        <v>4.2718999999999996</v>
      </c>
      <c r="AN18" s="30">
        <f t="shared" si="17"/>
        <v>4.3068999999999997</v>
      </c>
      <c r="AO18" s="30">
        <f t="shared" si="18"/>
        <v>4.3418999999999999</v>
      </c>
      <c r="AP18" s="30">
        <f t="shared" si="19"/>
        <v>4.3769</v>
      </c>
      <c r="AQ18" s="30">
        <f t="shared" si="20"/>
        <v>4.4119000000000002</v>
      </c>
      <c r="AR18" s="30">
        <f t="shared" si="21"/>
        <v>4.4469000000000003</v>
      </c>
      <c r="AS18" s="30">
        <f t="shared" si="22"/>
        <v>4.4819000000000004</v>
      </c>
      <c r="AT18" s="30" t="e">
        <f>IF(AND($D18=1,(""&amp;loteAnalise)=(""&amp;loteCarregado),COUNTIFS(regAnalito,selAnalito,regNivel,2,regData,$C18,regRep1,"&lt;&gt;")&gt;0),SUMIFS(regRep1,regAnalito,selAnalito,regNivel,2,regData,$C18),NA())</f>
        <v>#N/A</v>
      </c>
      <c r="AU18" s="30" t="e">
        <f>IF(AND($D18=1,(""&amp;loteAnalise)=(""&amp;loteCarregado),COUNTIFS(regAnalito,selAnalito,regNivel,2,regData,$C18,regRep2,"&lt;&gt;")&gt;0),SUMIFS(regRep2,regAnalito,selAnalito,regNivel,2,regData,$C18),NA())</f>
        <v>#N/A</v>
      </c>
      <c r="AV18" s="30" t="e">
        <f>IF(AND($D18=1,(""&amp;loteAnalise)=(""&amp;loteCarregado),COUNTIFS(regAnalito,selAnalito,regNivel,2,regData,$C18,regRep3,"&lt;&gt;")&gt;0),SUMIFS(regRep3,regAnalito,selAnalito,regNivel,2,regData,$C18),NA())</f>
        <v>#N/A</v>
      </c>
      <c r="AW18" s="30" t="e">
        <f>IF(AND($D18=1,COUNTIFS(regAnalito,selAnalito,regData,$C18,regCalib,"Sim")&gt;0),$BV$1,NA())</f>
        <v>#N/A</v>
      </c>
      <c r="AX18" s="30">
        <f>IF($B18="","",IF(INDEX(engValN3,$A18)="","",INDEX(engValN3,$A18)))</f>
        <v>5.1607000000000003</v>
      </c>
      <c r="AY18" s="30">
        <f t="shared" si="23"/>
        <v>1.0985507246376953</v>
      </c>
      <c r="AZ18" s="30">
        <f t="shared" si="24"/>
        <v>5.1607000000000003</v>
      </c>
      <c r="BA18" s="30">
        <f t="shared" si="25"/>
        <v>5.1607000000000003</v>
      </c>
      <c r="BB18" s="30" t="e">
        <f t="shared" si="26"/>
        <v>#N/A</v>
      </c>
      <c r="BC18" s="30">
        <f>IF($AX18="",0,IFERROR(INDEX(engDados,MATCH(selAnalito&amp;"|"&amp;$B18,engChave,0),17),0))</f>
        <v>0</v>
      </c>
      <c r="BD18" s="30">
        <f>IF($AX18="",0,IFERROR(INDEX(engDados,MATCH(selAnalito&amp;"|"&amp;$B18,engChave,0),18),0))</f>
        <v>0</v>
      </c>
      <c r="BE18" s="30">
        <f>IF($AX18="",0,IFERROR(INDEX(engDados,MATCH(selAnalito&amp;"|"&amp;$B18,engChave,0),19),0))</f>
        <v>0</v>
      </c>
      <c r="BF18" s="30">
        <f>IF($AX18="",0,IFERROR(INDEX(engDados,MATCH(selAnalito&amp;"|"&amp;$B18,engChave,0),20),0))</f>
        <v>0</v>
      </c>
      <c r="BG18" s="30">
        <f>IF($AX18="",0,IFERROR(INDEX(engDados,MATCH(selAnalito&amp;"|"&amp;$B18,engChave,0),21),0))</f>
        <v>0</v>
      </c>
      <c r="BH18" s="30" t="str">
        <f>IF($AX18="","",IFERROR(INDEX(engDados,MATCH(selAnalito&amp;"|"&amp;$B18,engChave,0),23),""))</f>
        <v>OK</v>
      </c>
      <c r="BI18" s="30">
        <f t="shared" si="27"/>
        <v>5.0192999999999994</v>
      </c>
      <c r="BJ18" s="30">
        <f t="shared" si="28"/>
        <v>5.0537999999999998</v>
      </c>
      <c r="BK18" s="30">
        <f t="shared" si="29"/>
        <v>5.0882999999999994</v>
      </c>
      <c r="BL18" s="30">
        <f t="shared" si="30"/>
        <v>5.1227999999999998</v>
      </c>
      <c r="BM18" s="30">
        <f t="shared" si="31"/>
        <v>5.1573000000000002</v>
      </c>
      <c r="BN18" s="30">
        <f t="shared" si="32"/>
        <v>5.1917999999999997</v>
      </c>
      <c r="BO18" s="30">
        <f t="shared" si="33"/>
        <v>5.2263000000000002</v>
      </c>
      <c r="BP18" s="30" t="e">
        <f>IF(AND($D18=1,(""&amp;loteAnalise)=(""&amp;loteCarregado),COUNTIFS(regAnalito,selAnalito,regNivel,3,regData,$C18,regRep1,"&lt;&gt;")&gt;0),SUMIFS(regRep1,regAnalito,selAnalito,regNivel,3,regData,$C18),NA())</f>
        <v>#N/A</v>
      </c>
      <c r="BQ18" s="30" t="e">
        <f>IF(AND($D18=1,(""&amp;loteAnalise)=(""&amp;loteCarregado),COUNTIFS(regAnalito,selAnalito,regNivel,3,regData,$C18,regRep2,"&lt;&gt;")&gt;0),SUMIFS(regRep2,regAnalito,selAnalito,regNivel,3,regData,$C18),NA())</f>
        <v>#N/A</v>
      </c>
      <c r="BR18" s="30" t="e">
        <f>IF(AND($D18=1,(""&amp;loteAnalise)=(""&amp;loteCarregado),COUNTIFS(regAnalito,selAnalito,regNivel,3,regData,$C18,regRep3,"&lt;&gt;")&gt;0),SUMIFS(regRep3,regAnalito,selAnalito,regNivel,3,regData,$C18),NA())</f>
        <v>#N/A</v>
      </c>
      <c r="BS18" s="30" t="e">
        <f>IF(AND($D18=1,COUNTIFS(regAnalito,selAnalito,regData,$C18,regCalib,"Sim")&gt;0),$BX$1,NA())</f>
        <v>#N/A</v>
      </c>
    </row>
    <row r="19" spans="1:71" x14ac:dyDescent="0.3">
      <c r="A19" s="30">
        <v>17</v>
      </c>
      <c r="B19" s="30">
        <f>IF(OR(selAnalito="",(""&amp;engAnalito)&lt;&gt;(""&amp;selAnalito),(""&amp;engLote)&lt;&gt;(""&amp;loteAnalise),$A19&gt;N(engNRun)),"",INDEX(engRUN,$A19))</f>
        <v>17</v>
      </c>
      <c r="C19" s="43">
        <f>IF($B19="","",IF(INDEX(engData,$A19)="","",INDEX(engData,$A19)))</f>
        <v>45775</v>
      </c>
      <c r="D19" s="30">
        <f>IF($C19="",0,IF(AND(OR(filtroDe="",INT($C19)&gt;=INT(filtroDe)),OR(filtroAte="",INT($C19)&lt;=INT(filtroAte))),1,0))</f>
        <v>1</v>
      </c>
      <c r="E19" s="30">
        <f t="shared" si="0"/>
        <v>17</v>
      </c>
      <c r="F19" s="30">
        <f>IF($B19="","",IF(INDEX(engValN1,$A19)="","",INDEX(engValN1,$A19)))</f>
        <v>2.3212000000000002</v>
      </c>
      <c r="G19" s="30">
        <f t="shared" si="1"/>
        <v>0.6666666666666744</v>
      </c>
      <c r="H19" s="30">
        <f t="shared" si="2"/>
        <v>2.3212000000000002</v>
      </c>
      <c r="I19" s="30">
        <f t="shared" si="3"/>
        <v>2.3212000000000002</v>
      </c>
      <c r="J19" s="30" t="e">
        <f t="shared" si="4"/>
        <v>#N/A</v>
      </c>
      <c r="K19" s="30">
        <f>IF($F19="",0,IFERROR(INDEX(engDados,MATCH(selAnalito&amp;"|"&amp;$B19,engChave,0),3),0))</f>
        <v>0</v>
      </c>
      <c r="L19" s="30">
        <f>IF($F19="",0,IFERROR(INDEX(engDados,MATCH(selAnalito&amp;"|"&amp;$B19,engChave,0),4),0))</f>
        <v>0</v>
      </c>
      <c r="M19" s="30">
        <f>IF($F19="",0,IFERROR(INDEX(engDados,MATCH(selAnalito&amp;"|"&amp;$B19,engChave,0),5),0))</f>
        <v>0</v>
      </c>
      <c r="N19" s="30">
        <f>IF($F19="",0,IFERROR(INDEX(engDados,MATCH(selAnalito&amp;"|"&amp;$B19,engChave,0),6),0))</f>
        <v>0</v>
      </c>
      <c r="O19" s="30">
        <f>IF($F19="",0,IFERROR(INDEX(engDados,MATCH(selAnalito&amp;"|"&amp;$B19,engChave,0),7),0))</f>
        <v>0</v>
      </c>
      <c r="P19" s="30" t="str">
        <f>IF($F19="","",IFERROR(INDEX(engDados,MATCH(selAnalito&amp;"|"&amp;$B19,engChave,0),9),""))</f>
        <v>OK</v>
      </c>
      <c r="Q19" s="30">
        <f t="shared" si="5"/>
        <v>2.2408999999999999</v>
      </c>
      <c r="R19" s="30">
        <f t="shared" si="6"/>
        <v>2.2627999999999999</v>
      </c>
      <c r="S19" s="30">
        <f t="shared" si="7"/>
        <v>2.2847</v>
      </c>
      <c r="T19" s="30">
        <f t="shared" si="8"/>
        <v>2.3066</v>
      </c>
      <c r="U19" s="30">
        <f t="shared" si="9"/>
        <v>2.3285</v>
      </c>
      <c r="V19" s="30">
        <f t="shared" si="10"/>
        <v>2.3504</v>
      </c>
      <c r="W19" s="30">
        <f t="shared" si="11"/>
        <v>2.3723000000000001</v>
      </c>
      <c r="X19" s="30" t="e">
        <f>IF(AND($D19=1,(""&amp;loteAnalise)=(""&amp;loteCarregado),COUNTIFS(regAnalito,selAnalito,regNivel,1,regData,$C19,regRep1,"&lt;&gt;")&gt;0),SUMIFS(regRep1,regAnalito,selAnalito,regNivel,1,regData,$C19),NA())</f>
        <v>#N/A</v>
      </c>
      <c r="Y19" s="30" t="e">
        <f>IF(AND($D19=1,(""&amp;loteAnalise)=(""&amp;loteCarregado),COUNTIFS(regAnalito,selAnalito,regNivel,1,regData,$C19,regRep2,"&lt;&gt;")&gt;0),SUMIFS(regRep2,regAnalito,selAnalito,regNivel,1,regData,$C19),NA())</f>
        <v>#N/A</v>
      </c>
      <c r="Z19" s="30" t="e">
        <f>IF(AND($D19=1,(""&amp;loteAnalise)=(""&amp;loteCarregado),COUNTIFS(regAnalito,selAnalito,regNivel,1,regData,$C19,regRep3,"&lt;&gt;")&gt;0),SUMIFS(regRep3,regAnalito,selAnalito,regNivel,1,regData,$C19),NA())</f>
        <v>#N/A</v>
      </c>
      <c r="AA19" s="30" t="e">
        <f>IF(AND($D19=1,COUNTIFS(regAnalito,selAnalito,regData,$C19,regCalib,"Sim")&gt;0),$BT$1,NA())</f>
        <v>#N/A</v>
      </c>
      <c r="AB19" s="30">
        <f>IF($B19="","",IF(INDEX(engValN2,$A19)="","",INDEX(engValN2,$A19)))</f>
        <v>4.3860000000000001</v>
      </c>
      <c r="AC19" s="30">
        <f t="shared" si="12"/>
        <v>0.26000000000000306</v>
      </c>
      <c r="AD19" s="30">
        <f t="shared" si="13"/>
        <v>4.3860000000000001</v>
      </c>
      <c r="AE19" s="30">
        <f t="shared" si="14"/>
        <v>4.3860000000000001</v>
      </c>
      <c r="AF19" s="30" t="e">
        <f t="shared" si="15"/>
        <v>#N/A</v>
      </c>
      <c r="AG19" s="30">
        <f>IF($AB19="",0,IFERROR(INDEX(engDados,MATCH(selAnalito&amp;"|"&amp;$B19,engChave,0),10),0))</f>
        <v>0</v>
      </c>
      <c r="AH19" s="30">
        <f>IF($AB19="",0,IFERROR(INDEX(engDados,MATCH(selAnalito&amp;"|"&amp;$B19,engChave,0),11),0))</f>
        <v>0</v>
      </c>
      <c r="AI19" s="30">
        <f>IF($AB19="",0,IFERROR(INDEX(engDados,MATCH(selAnalito&amp;"|"&amp;$B19,engChave,0),12),0))</f>
        <v>0</v>
      </c>
      <c r="AJ19" s="30">
        <f>IF($AB19="",0,IFERROR(INDEX(engDados,MATCH(selAnalito&amp;"|"&amp;$B19,engChave,0),13),0))</f>
        <v>0</v>
      </c>
      <c r="AK19" s="30">
        <f>IF($AB19="",0,IFERROR(INDEX(engDados,MATCH(selAnalito&amp;"|"&amp;$B19,engChave,0),14),0))</f>
        <v>0</v>
      </c>
      <c r="AL19" s="30" t="str">
        <f>IF($AB19="","",IFERROR(INDEX(engDados,MATCH(selAnalito&amp;"|"&amp;$B19,engChave,0),16),""))</f>
        <v>OK</v>
      </c>
      <c r="AM19" s="30">
        <f t="shared" si="16"/>
        <v>4.2718999999999996</v>
      </c>
      <c r="AN19" s="30">
        <f t="shared" si="17"/>
        <v>4.3068999999999997</v>
      </c>
      <c r="AO19" s="30">
        <f t="shared" si="18"/>
        <v>4.3418999999999999</v>
      </c>
      <c r="AP19" s="30">
        <f t="shared" si="19"/>
        <v>4.3769</v>
      </c>
      <c r="AQ19" s="30">
        <f t="shared" si="20"/>
        <v>4.4119000000000002</v>
      </c>
      <c r="AR19" s="30">
        <f t="shared" si="21"/>
        <v>4.4469000000000003</v>
      </c>
      <c r="AS19" s="30">
        <f t="shared" si="22"/>
        <v>4.4819000000000004</v>
      </c>
      <c r="AT19" s="30" t="e">
        <f>IF(AND($D19=1,(""&amp;loteAnalise)=(""&amp;loteCarregado),COUNTIFS(regAnalito,selAnalito,regNivel,2,regData,$C19,regRep1,"&lt;&gt;")&gt;0),SUMIFS(regRep1,regAnalito,selAnalito,regNivel,2,regData,$C19),NA())</f>
        <v>#N/A</v>
      </c>
      <c r="AU19" s="30" t="e">
        <f>IF(AND($D19=1,(""&amp;loteAnalise)=(""&amp;loteCarregado),COUNTIFS(regAnalito,selAnalito,regNivel,2,regData,$C19,regRep2,"&lt;&gt;")&gt;0),SUMIFS(regRep2,regAnalito,selAnalito,regNivel,2,regData,$C19),NA())</f>
        <v>#N/A</v>
      </c>
      <c r="AV19" s="30" t="e">
        <f>IF(AND($D19=1,(""&amp;loteAnalise)=(""&amp;loteCarregado),COUNTIFS(regAnalito,selAnalito,regNivel,2,regData,$C19,regRep3,"&lt;&gt;")&gt;0),SUMIFS(regRep3,regAnalito,selAnalito,regNivel,2,regData,$C19),NA())</f>
        <v>#N/A</v>
      </c>
      <c r="AW19" s="30" t="e">
        <f>IF(AND($D19=1,COUNTIFS(regAnalito,selAnalito,regData,$C19,regCalib,"Sim")&gt;0),$BV$1,NA())</f>
        <v>#N/A</v>
      </c>
      <c r="AX19" s="30">
        <f>IF($B19="","",IF(INDEX(engValN3,$A19)="","",INDEX(engValN3,$A19)))</f>
        <v>5.1040000000000001</v>
      </c>
      <c r="AY19" s="30">
        <f t="shared" si="23"/>
        <v>-0.54492753623187551</v>
      </c>
      <c r="AZ19" s="30">
        <f t="shared" si="24"/>
        <v>5.1040000000000001</v>
      </c>
      <c r="BA19" s="30">
        <f t="shared" si="25"/>
        <v>5.1040000000000001</v>
      </c>
      <c r="BB19" s="30" t="e">
        <f t="shared" si="26"/>
        <v>#N/A</v>
      </c>
      <c r="BC19" s="30">
        <f>IF($AX19="",0,IFERROR(INDEX(engDados,MATCH(selAnalito&amp;"|"&amp;$B19,engChave,0),17),0))</f>
        <v>0</v>
      </c>
      <c r="BD19" s="30">
        <f>IF($AX19="",0,IFERROR(INDEX(engDados,MATCH(selAnalito&amp;"|"&amp;$B19,engChave,0),18),0))</f>
        <v>0</v>
      </c>
      <c r="BE19" s="30">
        <f>IF($AX19="",0,IFERROR(INDEX(engDados,MATCH(selAnalito&amp;"|"&amp;$B19,engChave,0),19),0))</f>
        <v>0</v>
      </c>
      <c r="BF19" s="30">
        <f>IF($AX19="",0,IFERROR(INDEX(engDados,MATCH(selAnalito&amp;"|"&amp;$B19,engChave,0),20),0))</f>
        <v>0</v>
      </c>
      <c r="BG19" s="30">
        <f>IF($AX19="",0,IFERROR(INDEX(engDados,MATCH(selAnalito&amp;"|"&amp;$B19,engChave,0),21),0))</f>
        <v>0</v>
      </c>
      <c r="BH19" s="30" t="str">
        <f>IF($AX19="","",IFERROR(INDEX(engDados,MATCH(selAnalito&amp;"|"&amp;$B19,engChave,0),23),""))</f>
        <v>OK</v>
      </c>
      <c r="BI19" s="30">
        <f t="shared" si="27"/>
        <v>5.0192999999999994</v>
      </c>
      <c r="BJ19" s="30">
        <f t="shared" si="28"/>
        <v>5.0537999999999998</v>
      </c>
      <c r="BK19" s="30">
        <f t="shared" si="29"/>
        <v>5.0882999999999994</v>
      </c>
      <c r="BL19" s="30">
        <f t="shared" si="30"/>
        <v>5.1227999999999998</v>
      </c>
      <c r="BM19" s="30">
        <f t="shared" si="31"/>
        <v>5.1573000000000002</v>
      </c>
      <c r="BN19" s="30">
        <f t="shared" si="32"/>
        <v>5.1917999999999997</v>
      </c>
      <c r="BO19" s="30">
        <f t="shared" si="33"/>
        <v>5.2263000000000002</v>
      </c>
      <c r="BP19" s="30" t="e">
        <f>IF(AND($D19=1,(""&amp;loteAnalise)=(""&amp;loteCarregado),COUNTIFS(regAnalito,selAnalito,regNivel,3,regData,$C19,regRep1,"&lt;&gt;")&gt;0),SUMIFS(regRep1,regAnalito,selAnalito,regNivel,3,regData,$C19),NA())</f>
        <v>#N/A</v>
      </c>
      <c r="BQ19" s="30" t="e">
        <f>IF(AND($D19=1,(""&amp;loteAnalise)=(""&amp;loteCarregado),COUNTIFS(regAnalito,selAnalito,regNivel,3,regData,$C19,regRep2,"&lt;&gt;")&gt;0),SUMIFS(regRep2,regAnalito,selAnalito,regNivel,3,regData,$C19),NA())</f>
        <v>#N/A</v>
      </c>
      <c r="BR19" s="30" t="e">
        <f>IF(AND($D19=1,(""&amp;loteAnalise)=(""&amp;loteCarregado),COUNTIFS(regAnalito,selAnalito,regNivel,3,regData,$C19,regRep3,"&lt;&gt;")&gt;0),SUMIFS(regRep3,regAnalito,selAnalito,regNivel,3,regData,$C19),NA())</f>
        <v>#N/A</v>
      </c>
      <c r="BS19" s="30" t="e">
        <f>IF(AND($D19=1,COUNTIFS(regAnalito,selAnalito,regData,$C19,regCalib,"Sim")&gt;0),$BX$1,NA())</f>
        <v>#N/A</v>
      </c>
    </row>
    <row r="20" spans="1:71" x14ac:dyDescent="0.3">
      <c r="A20" s="30">
        <v>18</v>
      </c>
      <c r="B20" s="30">
        <f>IF(OR(selAnalito="",(""&amp;engAnalito)&lt;&gt;(""&amp;selAnalito),(""&amp;engLote)&lt;&gt;(""&amp;loteAnalise),$A20&gt;N(engNRun)),"",INDEX(engRUN,$A20))</f>
        <v>18</v>
      </c>
      <c r="C20" s="43">
        <f>IF($B20="","",IF(INDEX(engData,$A20)="","",INDEX(engData,$A20)))</f>
        <v>45782</v>
      </c>
      <c r="D20" s="30">
        <f>IF($C20="",0,IF(AND(OR(filtroDe="",INT($C20)&gt;=INT(filtroDe)),OR(filtroAte="",INT($C20)&lt;=INT(filtroAte))),1,0))</f>
        <v>1</v>
      </c>
      <c r="E20" s="30">
        <f t="shared" si="0"/>
        <v>18</v>
      </c>
      <c r="F20" s="30">
        <f>IF($B20="","",IF(INDEX(engValN1,$A20)="","",INDEX(engValN1,$A20)))</f>
        <v>2.2991000000000001</v>
      </c>
      <c r="G20" s="30">
        <f t="shared" si="1"/>
        <v>-0.34246575342465024</v>
      </c>
      <c r="H20" s="30">
        <f t="shared" si="2"/>
        <v>2.2991000000000001</v>
      </c>
      <c r="I20" s="30">
        <f t="shared" si="3"/>
        <v>2.2991000000000001</v>
      </c>
      <c r="J20" s="30" t="e">
        <f t="shared" si="4"/>
        <v>#N/A</v>
      </c>
      <c r="K20" s="30">
        <f>IF($F20="",0,IFERROR(INDEX(engDados,MATCH(selAnalito&amp;"|"&amp;$B20,engChave,0),3),0))</f>
        <v>0</v>
      </c>
      <c r="L20" s="30">
        <f>IF($F20="",0,IFERROR(INDEX(engDados,MATCH(selAnalito&amp;"|"&amp;$B20,engChave,0),4),0))</f>
        <v>0</v>
      </c>
      <c r="M20" s="30">
        <f>IF($F20="",0,IFERROR(INDEX(engDados,MATCH(selAnalito&amp;"|"&amp;$B20,engChave,0),5),0))</f>
        <v>0</v>
      </c>
      <c r="N20" s="30">
        <f>IF($F20="",0,IFERROR(INDEX(engDados,MATCH(selAnalito&amp;"|"&amp;$B20,engChave,0),6),0))</f>
        <v>0</v>
      </c>
      <c r="O20" s="30">
        <f>IF($F20="",0,IFERROR(INDEX(engDados,MATCH(selAnalito&amp;"|"&amp;$B20,engChave,0),7),0))</f>
        <v>0</v>
      </c>
      <c r="P20" s="30" t="str">
        <f>IF($F20="","",IFERROR(INDEX(engDados,MATCH(selAnalito&amp;"|"&amp;$B20,engChave,0),9),""))</f>
        <v>OK</v>
      </c>
      <c r="Q20" s="30">
        <f t="shared" si="5"/>
        <v>2.2408999999999999</v>
      </c>
      <c r="R20" s="30">
        <f t="shared" si="6"/>
        <v>2.2627999999999999</v>
      </c>
      <c r="S20" s="30">
        <f t="shared" si="7"/>
        <v>2.2847</v>
      </c>
      <c r="T20" s="30">
        <f t="shared" si="8"/>
        <v>2.3066</v>
      </c>
      <c r="U20" s="30">
        <f t="shared" si="9"/>
        <v>2.3285</v>
      </c>
      <c r="V20" s="30">
        <f t="shared" si="10"/>
        <v>2.3504</v>
      </c>
      <c r="W20" s="30">
        <f t="shared" si="11"/>
        <v>2.3723000000000001</v>
      </c>
      <c r="X20" s="30" t="e">
        <f>IF(AND($D20=1,(""&amp;loteAnalise)=(""&amp;loteCarregado),COUNTIFS(regAnalito,selAnalito,regNivel,1,regData,$C20,regRep1,"&lt;&gt;")&gt;0),SUMIFS(regRep1,regAnalito,selAnalito,regNivel,1,regData,$C20),NA())</f>
        <v>#N/A</v>
      </c>
      <c r="Y20" s="30" t="e">
        <f>IF(AND($D20=1,(""&amp;loteAnalise)=(""&amp;loteCarregado),COUNTIFS(regAnalito,selAnalito,regNivel,1,regData,$C20,regRep2,"&lt;&gt;")&gt;0),SUMIFS(regRep2,regAnalito,selAnalito,regNivel,1,regData,$C20),NA())</f>
        <v>#N/A</v>
      </c>
      <c r="Z20" s="30" t="e">
        <f>IF(AND($D20=1,(""&amp;loteAnalise)=(""&amp;loteCarregado),COUNTIFS(regAnalito,selAnalito,regNivel,1,regData,$C20,regRep3,"&lt;&gt;")&gt;0),SUMIFS(regRep3,regAnalito,selAnalito,regNivel,1,regData,$C20),NA())</f>
        <v>#N/A</v>
      </c>
      <c r="AA20" s="30" t="e">
        <f>IF(AND($D20=1,COUNTIFS(regAnalito,selAnalito,regData,$C20,regCalib,"Sim")&gt;0),$BT$1,NA())</f>
        <v>#N/A</v>
      </c>
      <c r="AB20" s="30">
        <f>IF($B20="","",IF(INDEX(engValN2,$A20)="","",INDEX(engValN2,$A20)))</f>
        <v>4.3468999999999998</v>
      </c>
      <c r="AC20" s="30">
        <f t="shared" si="12"/>
        <v>-0.8571428571428642</v>
      </c>
      <c r="AD20" s="30">
        <f t="shared" si="13"/>
        <v>4.3468999999999998</v>
      </c>
      <c r="AE20" s="30">
        <f t="shared" si="14"/>
        <v>4.3468999999999998</v>
      </c>
      <c r="AF20" s="30" t="e">
        <f t="shared" si="15"/>
        <v>#N/A</v>
      </c>
      <c r="AG20" s="30">
        <f>IF($AB20="",0,IFERROR(INDEX(engDados,MATCH(selAnalito&amp;"|"&amp;$B20,engChave,0),10),0))</f>
        <v>0</v>
      </c>
      <c r="AH20" s="30">
        <f>IF($AB20="",0,IFERROR(INDEX(engDados,MATCH(selAnalito&amp;"|"&amp;$B20,engChave,0),11),0))</f>
        <v>0</v>
      </c>
      <c r="AI20" s="30">
        <f>IF($AB20="",0,IFERROR(INDEX(engDados,MATCH(selAnalito&amp;"|"&amp;$B20,engChave,0),12),0))</f>
        <v>0</v>
      </c>
      <c r="AJ20" s="30">
        <f>IF($AB20="",0,IFERROR(INDEX(engDados,MATCH(selAnalito&amp;"|"&amp;$B20,engChave,0),13),0))</f>
        <v>0</v>
      </c>
      <c r="AK20" s="30">
        <f>IF($AB20="",0,IFERROR(INDEX(engDados,MATCH(selAnalito&amp;"|"&amp;$B20,engChave,0),14),0))</f>
        <v>0</v>
      </c>
      <c r="AL20" s="30" t="str">
        <f>IF($AB20="","",IFERROR(INDEX(engDados,MATCH(selAnalito&amp;"|"&amp;$B20,engChave,0),16),""))</f>
        <v>OK</v>
      </c>
      <c r="AM20" s="30">
        <f t="shared" si="16"/>
        <v>4.2718999999999996</v>
      </c>
      <c r="AN20" s="30">
        <f t="shared" si="17"/>
        <v>4.3068999999999997</v>
      </c>
      <c r="AO20" s="30">
        <f t="shared" si="18"/>
        <v>4.3418999999999999</v>
      </c>
      <c r="AP20" s="30">
        <f t="shared" si="19"/>
        <v>4.3769</v>
      </c>
      <c r="AQ20" s="30">
        <f t="shared" si="20"/>
        <v>4.4119000000000002</v>
      </c>
      <c r="AR20" s="30">
        <f t="shared" si="21"/>
        <v>4.4469000000000003</v>
      </c>
      <c r="AS20" s="30">
        <f t="shared" si="22"/>
        <v>4.4819000000000004</v>
      </c>
      <c r="AT20" s="30" t="e">
        <f>IF(AND($D20=1,(""&amp;loteAnalise)=(""&amp;loteCarregado),COUNTIFS(regAnalito,selAnalito,regNivel,2,regData,$C20,regRep1,"&lt;&gt;")&gt;0),SUMIFS(regRep1,regAnalito,selAnalito,regNivel,2,regData,$C20),NA())</f>
        <v>#N/A</v>
      </c>
      <c r="AU20" s="30" t="e">
        <f>IF(AND($D20=1,(""&amp;loteAnalise)=(""&amp;loteCarregado),COUNTIFS(regAnalito,selAnalito,regNivel,2,regData,$C20,regRep2,"&lt;&gt;")&gt;0),SUMIFS(regRep2,regAnalito,selAnalito,regNivel,2,regData,$C20),NA())</f>
        <v>#N/A</v>
      </c>
      <c r="AV20" s="30" t="e">
        <f>IF(AND($D20=1,(""&amp;loteAnalise)=(""&amp;loteCarregado),COUNTIFS(regAnalito,selAnalito,regNivel,2,regData,$C20,regRep3,"&lt;&gt;")&gt;0),SUMIFS(regRep3,regAnalito,selAnalito,regNivel,2,regData,$C20),NA())</f>
        <v>#N/A</v>
      </c>
      <c r="AW20" s="30" t="e">
        <f>IF(AND($D20=1,COUNTIFS(regAnalito,selAnalito,regData,$C20,regCalib,"Sim")&gt;0),$BV$1,NA())</f>
        <v>#N/A</v>
      </c>
      <c r="AX20" s="30">
        <f>IF($B20="","",IF(INDEX(engValN3,$A20)="","",INDEX(engValN3,$A20)))</f>
        <v>5.1210000000000004</v>
      </c>
      <c r="AY20" s="30">
        <f t="shared" si="23"/>
        <v>-5.2173913043459641E-2</v>
      </c>
      <c r="AZ20" s="30">
        <f t="shared" si="24"/>
        <v>5.1210000000000004</v>
      </c>
      <c r="BA20" s="30">
        <f t="shared" si="25"/>
        <v>5.1210000000000004</v>
      </c>
      <c r="BB20" s="30" t="e">
        <f t="shared" si="26"/>
        <v>#N/A</v>
      </c>
      <c r="BC20" s="30">
        <f>IF($AX20="",0,IFERROR(INDEX(engDados,MATCH(selAnalito&amp;"|"&amp;$B20,engChave,0),17),0))</f>
        <v>0</v>
      </c>
      <c r="BD20" s="30">
        <f>IF($AX20="",0,IFERROR(INDEX(engDados,MATCH(selAnalito&amp;"|"&amp;$B20,engChave,0),18),0))</f>
        <v>0</v>
      </c>
      <c r="BE20" s="30">
        <f>IF($AX20="",0,IFERROR(INDEX(engDados,MATCH(selAnalito&amp;"|"&amp;$B20,engChave,0),19),0))</f>
        <v>0</v>
      </c>
      <c r="BF20" s="30">
        <f>IF($AX20="",0,IFERROR(INDEX(engDados,MATCH(selAnalito&amp;"|"&amp;$B20,engChave,0),20),0))</f>
        <v>0</v>
      </c>
      <c r="BG20" s="30">
        <f>IF($AX20="",0,IFERROR(INDEX(engDados,MATCH(selAnalito&amp;"|"&amp;$B20,engChave,0),21),0))</f>
        <v>0</v>
      </c>
      <c r="BH20" s="30" t="str">
        <f>IF($AX20="","",IFERROR(INDEX(engDados,MATCH(selAnalito&amp;"|"&amp;$B20,engChave,0),23),""))</f>
        <v>OK</v>
      </c>
      <c r="BI20" s="30">
        <f t="shared" si="27"/>
        <v>5.0192999999999994</v>
      </c>
      <c r="BJ20" s="30">
        <f t="shared" si="28"/>
        <v>5.0537999999999998</v>
      </c>
      <c r="BK20" s="30">
        <f t="shared" si="29"/>
        <v>5.0882999999999994</v>
      </c>
      <c r="BL20" s="30">
        <f t="shared" si="30"/>
        <v>5.1227999999999998</v>
      </c>
      <c r="BM20" s="30">
        <f t="shared" si="31"/>
        <v>5.1573000000000002</v>
      </c>
      <c r="BN20" s="30">
        <f t="shared" si="32"/>
        <v>5.1917999999999997</v>
      </c>
      <c r="BO20" s="30">
        <f t="shared" si="33"/>
        <v>5.2263000000000002</v>
      </c>
      <c r="BP20" s="30" t="e">
        <f>IF(AND($D20=1,(""&amp;loteAnalise)=(""&amp;loteCarregado),COUNTIFS(regAnalito,selAnalito,regNivel,3,regData,$C20,regRep1,"&lt;&gt;")&gt;0),SUMIFS(regRep1,regAnalito,selAnalito,regNivel,3,regData,$C20),NA())</f>
        <v>#N/A</v>
      </c>
      <c r="BQ20" s="30" t="e">
        <f>IF(AND($D20=1,(""&amp;loteAnalise)=(""&amp;loteCarregado),COUNTIFS(regAnalito,selAnalito,regNivel,3,regData,$C20,regRep2,"&lt;&gt;")&gt;0),SUMIFS(regRep2,regAnalito,selAnalito,regNivel,3,regData,$C20),NA())</f>
        <v>#N/A</v>
      </c>
      <c r="BR20" s="30" t="e">
        <f>IF(AND($D20=1,(""&amp;loteAnalise)=(""&amp;loteCarregado),COUNTIFS(regAnalito,selAnalito,regNivel,3,regData,$C20,regRep3,"&lt;&gt;")&gt;0),SUMIFS(regRep3,regAnalito,selAnalito,regNivel,3,regData,$C20),NA())</f>
        <v>#N/A</v>
      </c>
      <c r="BS20" s="30" t="e">
        <f>IF(AND($D20=1,COUNTIFS(regAnalito,selAnalito,regData,$C20,regCalib,"Sim")&gt;0),$BX$1,NA())</f>
        <v>#N/A</v>
      </c>
    </row>
    <row r="21" spans="1:71" x14ac:dyDescent="0.3">
      <c r="A21" s="30">
        <v>19</v>
      </c>
      <c r="B21" s="30">
        <f>IF(OR(selAnalito="",(""&amp;engAnalito)&lt;&gt;(""&amp;selAnalito),(""&amp;engLote)&lt;&gt;(""&amp;loteAnalise),$A21&gt;N(engNRun)),"",INDEX(engRUN,$A21))</f>
        <v>19</v>
      </c>
      <c r="C21" s="43">
        <f>IF($B21="","",IF(INDEX(engData,$A21)="","",INDEX(engData,$A21)))</f>
        <v>45789</v>
      </c>
      <c r="D21" s="30">
        <f>IF($C21="",0,IF(AND(OR(filtroDe="",INT($C21)&gt;=INT(filtroDe)),OR(filtroAte="",INT($C21)&lt;=INT(filtroAte))),1,0))</f>
        <v>1</v>
      </c>
      <c r="E21" s="30">
        <f t="shared" si="0"/>
        <v>19</v>
      </c>
      <c r="F21" s="30">
        <f>IF($B21="","",IF(INDEX(engValN1,$A21)="","",INDEX(engValN1,$A21)))</f>
        <v>2.3296000000000001</v>
      </c>
      <c r="G21" s="30">
        <f t="shared" si="1"/>
        <v>1.0502283105022892</v>
      </c>
      <c r="H21" s="30">
        <f t="shared" si="2"/>
        <v>2.3296000000000001</v>
      </c>
      <c r="I21" s="30">
        <f t="shared" si="3"/>
        <v>2.3296000000000001</v>
      </c>
      <c r="J21" s="30" t="e">
        <f t="shared" si="4"/>
        <v>#N/A</v>
      </c>
      <c r="K21" s="30">
        <f>IF($F21="",0,IFERROR(INDEX(engDados,MATCH(selAnalito&amp;"|"&amp;$B21,engChave,0),3),0))</f>
        <v>0</v>
      </c>
      <c r="L21" s="30">
        <f>IF($F21="",0,IFERROR(INDEX(engDados,MATCH(selAnalito&amp;"|"&amp;$B21,engChave,0),4),0))</f>
        <v>0</v>
      </c>
      <c r="M21" s="30">
        <f>IF($F21="",0,IFERROR(INDEX(engDados,MATCH(selAnalito&amp;"|"&amp;$B21,engChave,0),5),0))</f>
        <v>0</v>
      </c>
      <c r="N21" s="30">
        <f>IF($F21="",0,IFERROR(INDEX(engDados,MATCH(selAnalito&amp;"|"&amp;$B21,engChave,0),6),0))</f>
        <v>0</v>
      </c>
      <c r="O21" s="30">
        <f>IF($F21="",0,IFERROR(INDEX(engDados,MATCH(selAnalito&amp;"|"&amp;$B21,engChave,0),7),0))</f>
        <v>0</v>
      </c>
      <c r="P21" s="30" t="str">
        <f>IF($F21="","",IFERROR(INDEX(engDados,MATCH(selAnalito&amp;"|"&amp;$B21,engChave,0),9),""))</f>
        <v>OK</v>
      </c>
      <c r="Q21" s="30">
        <f t="shared" si="5"/>
        <v>2.2408999999999999</v>
      </c>
      <c r="R21" s="30">
        <f t="shared" si="6"/>
        <v>2.2627999999999999</v>
      </c>
      <c r="S21" s="30">
        <f t="shared" si="7"/>
        <v>2.2847</v>
      </c>
      <c r="T21" s="30">
        <f t="shared" si="8"/>
        <v>2.3066</v>
      </c>
      <c r="U21" s="30">
        <f t="shared" si="9"/>
        <v>2.3285</v>
      </c>
      <c r="V21" s="30">
        <f t="shared" si="10"/>
        <v>2.3504</v>
      </c>
      <c r="W21" s="30">
        <f t="shared" si="11"/>
        <v>2.3723000000000001</v>
      </c>
      <c r="X21" s="30" t="e">
        <f>IF(AND($D21=1,(""&amp;loteAnalise)=(""&amp;loteCarregado),COUNTIFS(regAnalito,selAnalito,regNivel,1,regData,$C21,regRep1,"&lt;&gt;")&gt;0),SUMIFS(regRep1,regAnalito,selAnalito,regNivel,1,regData,$C21),NA())</f>
        <v>#N/A</v>
      </c>
      <c r="Y21" s="30" t="e">
        <f>IF(AND($D21=1,(""&amp;loteAnalise)=(""&amp;loteCarregado),COUNTIFS(regAnalito,selAnalito,regNivel,1,regData,$C21,regRep2,"&lt;&gt;")&gt;0),SUMIFS(regRep2,regAnalito,selAnalito,regNivel,1,regData,$C21),NA())</f>
        <v>#N/A</v>
      </c>
      <c r="Z21" s="30" t="e">
        <f>IF(AND($D21=1,(""&amp;loteAnalise)=(""&amp;loteCarregado),COUNTIFS(regAnalito,selAnalito,regNivel,1,regData,$C21,regRep3,"&lt;&gt;")&gt;0),SUMIFS(regRep3,regAnalito,selAnalito,regNivel,1,regData,$C21),NA())</f>
        <v>#N/A</v>
      </c>
      <c r="AA21" s="30" t="e">
        <f>IF(AND($D21=1,COUNTIFS(regAnalito,selAnalito,regData,$C21,regCalib,"Sim")&gt;0),$BT$1,NA())</f>
        <v>#N/A</v>
      </c>
      <c r="AB21" s="30">
        <f>IF($B21="","",IF(INDEX(engValN2,$A21)="","",INDEX(engValN2,$A21)))</f>
        <v>4.4108999999999998</v>
      </c>
      <c r="AC21" s="30">
        <f t="shared" si="12"/>
        <v>0.97142857142856587</v>
      </c>
      <c r="AD21" s="30">
        <f t="shared" si="13"/>
        <v>4.4108999999999998</v>
      </c>
      <c r="AE21" s="30">
        <f t="shared" si="14"/>
        <v>4.4108999999999998</v>
      </c>
      <c r="AF21" s="30" t="e">
        <f t="shared" si="15"/>
        <v>#N/A</v>
      </c>
      <c r="AG21" s="30">
        <f>IF($AB21="",0,IFERROR(INDEX(engDados,MATCH(selAnalito&amp;"|"&amp;$B21,engChave,0),10),0))</f>
        <v>0</v>
      </c>
      <c r="AH21" s="30">
        <f>IF($AB21="",0,IFERROR(INDEX(engDados,MATCH(selAnalito&amp;"|"&amp;$B21,engChave,0),11),0))</f>
        <v>0</v>
      </c>
      <c r="AI21" s="30">
        <f>IF($AB21="",0,IFERROR(INDEX(engDados,MATCH(selAnalito&amp;"|"&amp;$B21,engChave,0),12),0))</f>
        <v>0</v>
      </c>
      <c r="AJ21" s="30">
        <f>IF($AB21="",0,IFERROR(INDEX(engDados,MATCH(selAnalito&amp;"|"&amp;$B21,engChave,0),13),0))</f>
        <v>0</v>
      </c>
      <c r="AK21" s="30">
        <f>IF($AB21="",0,IFERROR(INDEX(engDados,MATCH(selAnalito&amp;"|"&amp;$B21,engChave,0),14),0))</f>
        <v>0</v>
      </c>
      <c r="AL21" s="30" t="str">
        <f>IF($AB21="","",IFERROR(INDEX(engDados,MATCH(selAnalito&amp;"|"&amp;$B21,engChave,0),16),""))</f>
        <v>OK</v>
      </c>
      <c r="AM21" s="30">
        <f t="shared" si="16"/>
        <v>4.2718999999999996</v>
      </c>
      <c r="AN21" s="30">
        <f t="shared" si="17"/>
        <v>4.3068999999999997</v>
      </c>
      <c r="AO21" s="30">
        <f t="shared" si="18"/>
        <v>4.3418999999999999</v>
      </c>
      <c r="AP21" s="30">
        <f t="shared" si="19"/>
        <v>4.3769</v>
      </c>
      <c r="AQ21" s="30">
        <f t="shared" si="20"/>
        <v>4.4119000000000002</v>
      </c>
      <c r="AR21" s="30">
        <f t="shared" si="21"/>
        <v>4.4469000000000003</v>
      </c>
      <c r="AS21" s="30">
        <f t="shared" si="22"/>
        <v>4.4819000000000004</v>
      </c>
      <c r="AT21" s="30" t="e">
        <f>IF(AND($D21=1,(""&amp;loteAnalise)=(""&amp;loteCarregado),COUNTIFS(regAnalito,selAnalito,regNivel,2,regData,$C21,regRep1,"&lt;&gt;")&gt;0),SUMIFS(regRep1,regAnalito,selAnalito,regNivel,2,regData,$C21),NA())</f>
        <v>#N/A</v>
      </c>
      <c r="AU21" s="30" t="e">
        <f>IF(AND($D21=1,(""&amp;loteAnalise)=(""&amp;loteCarregado),COUNTIFS(regAnalito,selAnalito,regNivel,2,regData,$C21,regRep2,"&lt;&gt;")&gt;0),SUMIFS(regRep2,regAnalito,selAnalito,regNivel,2,regData,$C21),NA())</f>
        <v>#N/A</v>
      </c>
      <c r="AV21" s="30" t="e">
        <f>IF(AND($D21=1,(""&amp;loteAnalise)=(""&amp;loteCarregado),COUNTIFS(regAnalito,selAnalito,regNivel,2,regData,$C21,regRep3,"&lt;&gt;")&gt;0),SUMIFS(regRep3,regAnalito,selAnalito,regNivel,2,regData,$C21),NA())</f>
        <v>#N/A</v>
      </c>
      <c r="AW21" s="30" t="e">
        <f>IF(AND($D21=1,COUNTIFS(regAnalito,selAnalito,regData,$C21,regCalib,"Sim")&gt;0),$BV$1,NA())</f>
        <v>#N/A</v>
      </c>
      <c r="AX21" s="30">
        <f>IF($B21="","",IF(INDEX(engValN3,$A21)="","",INDEX(engValN3,$A21)))</f>
        <v>5.0953999999999997</v>
      </c>
      <c r="AY21" s="30">
        <f t="shared" si="23"/>
        <v>-0.79420289855072723</v>
      </c>
      <c r="AZ21" s="30">
        <f t="shared" si="24"/>
        <v>5.0953999999999997</v>
      </c>
      <c r="BA21" s="30">
        <f t="shared" si="25"/>
        <v>5.0953999999999997</v>
      </c>
      <c r="BB21" s="30" t="e">
        <f t="shared" si="26"/>
        <v>#N/A</v>
      </c>
      <c r="BC21" s="30">
        <f>IF($AX21="",0,IFERROR(INDEX(engDados,MATCH(selAnalito&amp;"|"&amp;$B21,engChave,0),17),0))</f>
        <v>0</v>
      </c>
      <c r="BD21" s="30">
        <f>IF($AX21="",0,IFERROR(INDEX(engDados,MATCH(selAnalito&amp;"|"&amp;$B21,engChave,0),18),0))</f>
        <v>0</v>
      </c>
      <c r="BE21" s="30">
        <f>IF($AX21="",0,IFERROR(INDEX(engDados,MATCH(selAnalito&amp;"|"&amp;$B21,engChave,0),19),0))</f>
        <v>0</v>
      </c>
      <c r="BF21" s="30">
        <f>IF($AX21="",0,IFERROR(INDEX(engDados,MATCH(selAnalito&amp;"|"&amp;$B21,engChave,0),20),0))</f>
        <v>0</v>
      </c>
      <c r="BG21" s="30">
        <f>IF($AX21="",0,IFERROR(INDEX(engDados,MATCH(selAnalito&amp;"|"&amp;$B21,engChave,0),21),0))</f>
        <v>0</v>
      </c>
      <c r="BH21" s="30" t="str">
        <f>IF($AX21="","",IFERROR(INDEX(engDados,MATCH(selAnalito&amp;"|"&amp;$B21,engChave,0),23),""))</f>
        <v>OK</v>
      </c>
      <c r="BI21" s="30">
        <f t="shared" si="27"/>
        <v>5.0192999999999994</v>
      </c>
      <c r="BJ21" s="30">
        <f t="shared" si="28"/>
        <v>5.0537999999999998</v>
      </c>
      <c r="BK21" s="30">
        <f t="shared" si="29"/>
        <v>5.0882999999999994</v>
      </c>
      <c r="BL21" s="30">
        <f t="shared" si="30"/>
        <v>5.1227999999999998</v>
      </c>
      <c r="BM21" s="30">
        <f t="shared" si="31"/>
        <v>5.1573000000000002</v>
      </c>
      <c r="BN21" s="30">
        <f t="shared" si="32"/>
        <v>5.1917999999999997</v>
      </c>
      <c r="BO21" s="30">
        <f t="shared" si="33"/>
        <v>5.2263000000000002</v>
      </c>
      <c r="BP21" s="30" t="e">
        <f>IF(AND($D21=1,(""&amp;loteAnalise)=(""&amp;loteCarregado),COUNTIFS(regAnalito,selAnalito,regNivel,3,regData,$C21,regRep1,"&lt;&gt;")&gt;0),SUMIFS(regRep1,regAnalito,selAnalito,regNivel,3,regData,$C21),NA())</f>
        <v>#N/A</v>
      </c>
      <c r="BQ21" s="30" t="e">
        <f>IF(AND($D21=1,(""&amp;loteAnalise)=(""&amp;loteCarregado),COUNTIFS(regAnalito,selAnalito,regNivel,3,regData,$C21,regRep2,"&lt;&gt;")&gt;0),SUMIFS(regRep2,regAnalito,selAnalito,regNivel,3,regData,$C21),NA())</f>
        <v>#N/A</v>
      </c>
      <c r="BR21" s="30" t="e">
        <f>IF(AND($D21=1,(""&amp;loteAnalise)=(""&amp;loteCarregado),COUNTIFS(regAnalito,selAnalito,regNivel,3,regData,$C21,regRep3,"&lt;&gt;")&gt;0),SUMIFS(regRep3,regAnalito,selAnalito,regNivel,3,regData,$C21),NA())</f>
        <v>#N/A</v>
      </c>
      <c r="BS21" s="30" t="e">
        <f>IF(AND($D21=1,COUNTIFS(regAnalito,selAnalito,regData,$C21,regCalib,"Sim")&gt;0),$BX$1,NA())</f>
        <v>#N/A</v>
      </c>
    </row>
    <row r="22" spans="1:71" x14ac:dyDescent="0.3">
      <c r="A22" s="30">
        <v>20</v>
      </c>
      <c r="B22" s="30">
        <f>IF(OR(selAnalito="",(""&amp;engAnalito)&lt;&gt;(""&amp;selAnalito),(""&amp;engLote)&lt;&gt;(""&amp;loteAnalise),$A22&gt;N(engNRun)),"",INDEX(engRUN,$A22))</f>
        <v>20</v>
      </c>
      <c r="C22" s="43">
        <f>IF($B22="","",IF(INDEX(engData,$A22)="","",INDEX(engData,$A22)))</f>
        <v>45796</v>
      </c>
      <c r="D22" s="30">
        <f>IF($C22="",0,IF(AND(OR(filtroDe="",INT($C22)&gt;=INT(filtroDe)),OR(filtroAte="",INT($C22)&lt;=INT(filtroAte))),1,0))</f>
        <v>1</v>
      </c>
      <c r="E22" s="30">
        <f t="shared" si="0"/>
        <v>20</v>
      </c>
      <c r="F22" s="30">
        <f>IF($B22="","",IF(INDEX(engValN1,$A22)="","",INDEX(engValN1,$A22)))</f>
        <v>2.3064</v>
      </c>
      <c r="G22" s="30">
        <f t="shared" si="1"/>
        <v>-9.132420091323196E-3</v>
      </c>
      <c r="H22" s="30">
        <f t="shared" si="2"/>
        <v>2.3064</v>
      </c>
      <c r="I22" s="30">
        <f t="shared" si="3"/>
        <v>2.3064</v>
      </c>
      <c r="J22" s="30" t="e">
        <f t="shared" si="4"/>
        <v>#N/A</v>
      </c>
      <c r="K22" s="30">
        <f>IF($F22="",0,IFERROR(INDEX(engDados,MATCH(selAnalito&amp;"|"&amp;$B22,engChave,0),3),0))</f>
        <v>0</v>
      </c>
      <c r="L22" s="30">
        <f>IF($F22="",0,IFERROR(INDEX(engDados,MATCH(selAnalito&amp;"|"&amp;$B22,engChave,0),4),0))</f>
        <v>0</v>
      </c>
      <c r="M22" s="30">
        <f>IF($F22="",0,IFERROR(INDEX(engDados,MATCH(selAnalito&amp;"|"&amp;$B22,engChave,0),5),0))</f>
        <v>0</v>
      </c>
      <c r="N22" s="30">
        <f>IF($F22="",0,IFERROR(INDEX(engDados,MATCH(selAnalito&amp;"|"&amp;$B22,engChave,0),6),0))</f>
        <v>0</v>
      </c>
      <c r="O22" s="30">
        <f>IF($F22="",0,IFERROR(INDEX(engDados,MATCH(selAnalito&amp;"|"&amp;$B22,engChave,0),7),0))</f>
        <v>0</v>
      </c>
      <c r="P22" s="30" t="str">
        <f>IF($F22="","",IFERROR(INDEX(engDados,MATCH(selAnalito&amp;"|"&amp;$B22,engChave,0),9),""))</f>
        <v>OK</v>
      </c>
      <c r="Q22" s="30">
        <f t="shared" si="5"/>
        <v>2.2408999999999999</v>
      </c>
      <c r="R22" s="30">
        <f t="shared" si="6"/>
        <v>2.2627999999999999</v>
      </c>
      <c r="S22" s="30">
        <f t="shared" si="7"/>
        <v>2.2847</v>
      </c>
      <c r="T22" s="30">
        <f t="shared" si="8"/>
        <v>2.3066</v>
      </c>
      <c r="U22" s="30">
        <f t="shared" si="9"/>
        <v>2.3285</v>
      </c>
      <c r="V22" s="30">
        <f t="shared" si="10"/>
        <v>2.3504</v>
      </c>
      <c r="W22" s="30">
        <f t="shared" si="11"/>
        <v>2.3723000000000001</v>
      </c>
      <c r="X22" s="30" t="e">
        <f>IF(AND($D22=1,(""&amp;loteAnalise)=(""&amp;loteCarregado),COUNTIFS(regAnalito,selAnalito,regNivel,1,regData,$C22,regRep1,"&lt;&gt;")&gt;0),SUMIFS(regRep1,regAnalito,selAnalito,regNivel,1,regData,$C22),NA())</f>
        <v>#N/A</v>
      </c>
      <c r="Y22" s="30" t="e">
        <f>IF(AND($D22=1,(""&amp;loteAnalise)=(""&amp;loteCarregado),COUNTIFS(regAnalito,selAnalito,regNivel,1,regData,$C22,regRep2,"&lt;&gt;")&gt;0),SUMIFS(regRep2,regAnalito,selAnalito,regNivel,1,regData,$C22),NA())</f>
        <v>#N/A</v>
      </c>
      <c r="Z22" s="30" t="e">
        <f>IF(AND($D22=1,(""&amp;loteAnalise)=(""&amp;loteCarregado),COUNTIFS(regAnalito,selAnalito,regNivel,1,regData,$C22,regRep3,"&lt;&gt;")&gt;0),SUMIFS(regRep3,regAnalito,selAnalito,regNivel,1,regData,$C22),NA())</f>
        <v>#N/A</v>
      </c>
      <c r="AA22" s="30" t="e">
        <f>IF(AND($D22=1,COUNTIFS(regAnalito,selAnalito,regData,$C22,regCalib,"Sim")&gt;0),$BT$1,NA())</f>
        <v>#N/A</v>
      </c>
      <c r="AB22" s="30">
        <f>IF($B22="","",IF(INDEX(engValN2,$A22)="","",INDEX(engValN2,$A22)))</f>
        <v>4.3836000000000004</v>
      </c>
      <c r="AC22" s="30">
        <f t="shared" si="12"/>
        <v>0.19142857142858205</v>
      </c>
      <c r="AD22" s="30">
        <f t="shared" si="13"/>
        <v>4.3836000000000004</v>
      </c>
      <c r="AE22" s="30">
        <f t="shared" si="14"/>
        <v>4.3836000000000004</v>
      </c>
      <c r="AF22" s="30" t="e">
        <f t="shared" si="15"/>
        <v>#N/A</v>
      </c>
      <c r="AG22" s="30">
        <f>IF($AB22="",0,IFERROR(INDEX(engDados,MATCH(selAnalito&amp;"|"&amp;$B22,engChave,0),10),0))</f>
        <v>0</v>
      </c>
      <c r="AH22" s="30">
        <f>IF($AB22="",0,IFERROR(INDEX(engDados,MATCH(selAnalito&amp;"|"&amp;$B22,engChave,0),11),0))</f>
        <v>0</v>
      </c>
      <c r="AI22" s="30">
        <f>IF($AB22="",0,IFERROR(INDEX(engDados,MATCH(selAnalito&amp;"|"&amp;$B22,engChave,0),12),0))</f>
        <v>0</v>
      </c>
      <c r="AJ22" s="30">
        <f>IF($AB22="",0,IFERROR(INDEX(engDados,MATCH(selAnalito&amp;"|"&amp;$B22,engChave,0),13),0))</f>
        <v>0</v>
      </c>
      <c r="AK22" s="30">
        <f>IF($AB22="",0,IFERROR(INDEX(engDados,MATCH(selAnalito&amp;"|"&amp;$B22,engChave,0),14),0))</f>
        <v>0</v>
      </c>
      <c r="AL22" s="30" t="str">
        <f>IF($AB22="","",IFERROR(INDEX(engDados,MATCH(selAnalito&amp;"|"&amp;$B22,engChave,0),16),""))</f>
        <v>OK</v>
      </c>
      <c r="AM22" s="30">
        <f t="shared" si="16"/>
        <v>4.2718999999999996</v>
      </c>
      <c r="AN22" s="30">
        <f t="shared" si="17"/>
        <v>4.3068999999999997</v>
      </c>
      <c r="AO22" s="30">
        <f t="shared" si="18"/>
        <v>4.3418999999999999</v>
      </c>
      <c r="AP22" s="30">
        <f t="shared" si="19"/>
        <v>4.3769</v>
      </c>
      <c r="AQ22" s="30">
        <f t="shared" si="20"/>
        <v>4.4119000000000002</v>
      </c>
      <c r="AR22" s="30">
        <f t="shared" si="21"/>
        <v>4.4469000000000003</v>
      </c>
      <c r="AS22" s="30">
        <f t="shared" si="22"/>
        <v>4.4819000000000004</v>
      </c>
      <c r="AT22" s="30" t="e">
        <f>IF(AND($D22=1,(""&amp;loteAnalise)=(""&amp;loteCarregado),COUNTIFS(regAnalito,selAnalito,regNivel,2,regData,$C22,regRep1,"&lt;&gt;")&gt;0),SUMIFS(regRep1,regAnalito,selAnalito,regNivel,2,regData,$C22),NA())</f>
        <v>#N/A</v>
      </c>
      <c r="AU22" s="30" t="e">
        <f>IF(AND($D22=1,(""&amp;loteAnalise)=(""&amp;loteCarregado),COUNTIFS(regAnalito,selAnalito,regNivel,2,regData,$C22,regRep2,"&lt;&gt;")&gt;0),SUMIFS(regRep2,regAnalito,selAnalito,regNivel,2,regData,$C22),NA())</f>
        <v>#N/A</v>
      </c>
      <c r="AV22" s="30" t="e">
        <f>IF(AND($D22=1,(""&amp;loteAnalise)=(""&amp;loteCarregado),COUNTIFS(regAnalito,selAnalito,regNivel,2,regData,$C22,regRep3,"&lt;&gt;")&gt;0),SUMIFS(regRep3,regAnalito,selAnalito,regNivel,2,regData,$C22),NA())</f>
        <v>#N/A</v>
      </c>
      <c r="AW22" s="30" t="e">
        <f>IF(AND($D22=1,COUNTIFS(regAnalito,selAnalito,regData,$C22,regCalib,"Sim")&gt;0),$BV$1,NA())</f>
        <v>#N/A</v>
      </c>
      <c r="AX22" s="30">
        <f>IF($B22="","",IF(INDEX(engValN3,$A22)="","",INDEX(engValN3,$A22)))</f>
        <v>5.1010999999999997</v>
      </c>
      <c r="AY22" s="30">
        <f t="shared" si="23"/>
        <v>-0.62898550724637825</v>
      </c>
      <c r="AZ22" s="30">
        <f t="shared" si="24"/>
        <v>5.1010999999999997</v>
      </c>
      <c r="BA22" s="30">
        <f t="shared" si="25"/>
        <v>5.1010999999999997</v>
      </c>
      <c r="BB22" s="30" t="e">
        <f t="shared" si="26"/>
        <v>#N/A</v>
      </c>
      <c r="BC22" s="30">
        <f>IF($AX22="",0,IFERROR(INDEX(engDados,MATCH(selAnalito&amp;"|"&amp;$B22,engChave,0),17),0))</f>
        <v>0</v>
      </c>
      <c r="BD22" s="30">
        <f>IF($AX22="",0,IFERROR(INDEX(engDados,MATCH(selAnalito&amp;"|"&amp;$B22,engChave,0),18),0))</f>
        <v>0</v>
      </c>
      <c r="BE22" s="30">
        <f>IF($AX22="",0,IFERROR(INDEX(engDados,MATCH(selAnalito&amp;"|"&amp;$B22,engChave,0),19),0))</f>
        <v>0</v>
      </c>
      <c r="BF22" s="30">
        <f>IF($AX22="",0,IFERROR(INDEX(engDados,MATCH(selAnalito&amp;"|"&amp;$B22,engChave,0),20),0))</f>
        <v>0</v>
      </c>
      <c r="BG22" s="30">
        <f>IF($AX22="",0,IFERROR(INDEX(engDados,MATCH(selAnalito&amp;"|"&amp;$B22,engChave,0),21),0))</f>
        <v>0</v>
      </c>
      <c r="BH22" s="30" t="str">
        <f>IF($AX22="","",IFERROR(INDEX(engDados,MATCH(selAnalito&amp;"|"&amp;$B22,engChave,0),23),""))</f>
        <v>OK</v>
      </c>
      <c r="BI22" s="30">
        <f t="shared" si="27"/>
        <v>5.0192999999999994</v>
      </c>
      <c r="BJ22" s="30">
        <f t="shared" si="28"/>
        <v>5.0537999999999998</v>
      </c>
      <c r="BK22" s="30">
        <f t="shared" si="29"/>
        <v>5.0882999999999994</v>
      </c>
      <c r="BL22" s="30">
        <f t="shared" si="30"/>
        <v>5.1227999999999998</v>
      </c>
      <c r="BM22" s="30">
        <f t="shared" si="31"/>
        <v>5.1573000000000002</v>
      </c>
      <c r="BN22" s="30">
        <f t="shared" si="32"/>
        <v>5.1917999999999997</v>
      </c>
      <c r="BO22" s="30">
        <f t="shared" si="33"/>
        <v>5.2263000000000002</v>
      </c>
      <c r="BP22" s="30" t="e">
        <f>IF(AND($D22=1,(""&amp;loteAnalise)=(""&amp;loteCarregado),COUNTIFS(regAnalito,selAnalito,regNivel,3,regData,$C22,regRep1,"&lt;&gt;")&gt;0),SUMIFS(regRep1,regAnalito,selAnalito,regNivel,3,regData,$C22),NA())</f>
        <v>#N/A</v>
      </c>
      <c r="BQ22" s="30" t="e">
        <f>IF(AND($D22=1,(""&amp;loteAnalise)=(""&amp;loteCarregado),COUNTIFS(regAnalito,selAnalito,regNivel,3,regData,$C22,regRep2,"&lt;&gt;")&gt;0),SUMIFS(regRep2,regAnalito,selAnalito,regNivel,3,regData,$C22),NA())</f>
        <v>#N/A</v>
      </c>
      <c r="BR22" s="30" t="e">
        <f>IF(AND($D22=1,(""&amp;loteAnalise)=(""&amp;loteCarregado),COUNTIFS(regAnalito,selAnalito,regNivel,3,regData,$C22,regRep3,"&lt;&gt;")&gt;0),SUMIFS(regRep3,regAnalito,selAnalito,regNivel,3,regData,$C22),NA())</f>
        <v>#N/A</v>
      </c>
      <c r="BS22" s="30" t="e">
        <f>IF(AND($D22=1,COUNTIFS(regAnalito,selAnalito,regData,$C22,regCalib,"Sim")&gt;0),$BX$1,NA())</f>
        <v>#N/A</v>
      </c>
    </row>
    <row r="23" spans="1:71" x14ac:dyDescent="0.3">
      <c r="A23" s="30">
        <v>21</v>
      </c>
      <c r="B23" s="30">
        <f>IF(OR(selAnalito="",(""&amp;engAnalito)&lt;&gt;(""&amp;selAnalito),(""&amp;engLote)&lt;&gt;(""&amp;loteAnalise),$A23&gt;N(engNRun)),"",INDEX(engRUN,$A23))</f>
        <v>21</v>
      </c>
      <c r="C23" s="43">
        <f>IF($B23="","",IF(INDEX(engData,$A23)="","",INDEX(engData,$A23)))</f>
        <v>45803</v>
      </c>
      <c r="D23" s="30">
        <f>IF($C23="",0,IF(AND(OR(filtroDe="",INT($C23)&gt;=INT(filtroDe)),OR(filtroAte="",INT($C23)&lt;=INT(filtroAte))),1,0))</f>
        <v>1</v>
      </c>
      <c r="E23" s="30">
        <f t="shared" si="0"/>
        <v>21</v>
      </c>
      <c r="F23" s="30">
        <f>IF($B23="","",IF(INDEX(engValN1,$A23)="","",INDEX(engValN1,$A23)))</f>
        <v>2.3193000000000001</v>
      </c>
      <c r="G23" s="30">
        <f t="shared" si="1"/>
        <v>0.57990867579909389</v>
      </c>
      <c r="H23" s="30">
        <f t="shared" si="2"/>
        <v>2.3193000000000001</v>
      </c>
      <c r="I23" s="30">
        <f t="shared" si="3"/>
        <v>2.3193000000000001</v>
      </c>
      <c r="J23" s="30" t="e">
        <f t="shared" si="4"/>
        <v>#N/A</v>
      </c>
      <c r="K23" s="30">
        <f>IF($F23="",0,IFERROR(INDEX(engDados,MATCH(selAnalito&amp;"|"&amp;$B23,engChave,0),3),0))</f>
        <v>0</v>
      </c>
      <c r="L23" s="30">
        <f>IF($F23="",0,IFERROR(INDEX(engDados,MATCH(selAnalito&amp;"|"&amp;$B23,engChave,0),4),0))</f>
        <v>0</v>
      </c>
      <c r="M23" s="30">
        <f>IF($F23="",0,IFERROR(INDEX(engDados,MATCH(selAnalito&amp;"|"&amp;$B23,engChave,0),5),0))</f>
        <v>0</v>
      </c>
      <c r="N23" s="30">
        <f>IF($F23="",0,IFERROR(INDEX(engDados,MATCH(selAnalito&amp;"|"&amp;$B23,engChave,0),6),0))</f>
        <v>0</v>
      </c>
      <c r="O23" s="30">
        <f>IF($F23="",0,IFERROR(INDEX(engDados,MATCH(selAnalito&amp;"|"&amp;$B23,engChave,0),7),0))</f>
        <v>0</v>
      </c>
      <c r="P23" s="30" t="str">
        <f>IF($F23="","",IFERROR(INDEX(engDados,MATCH(selAnalito&amp;"|"&amp;$B23,engChave,0),9),""))</f>
        <v>OK</v>
      </c>
      <c r="Q23" s="30">
        <f t="shared" si="5"/>
        <v>2.2408999999999999</v>
      </c>
      <c r="R23" s="30">
        <f t="shared" si="6"/>
        <v>2.2627999999999999</v>
      </c>
      <c r="S23" s="30">
        <f t="shared" si="7"/>
        <v>2.2847</v>
      </c>
      <c r="T23" s="30">
        <f t="shared" si="8"/>
        <v>2.3066</v>
      </c>
      <c r="U23" s="30">
        <f t="shared" si="9"/>
        <v>2.3285</v>
      </c>
      <c r="V23" s="30">
        <f t="shared" si="10"/>
        <v>2.3504</v>
      </c>
      <c r="W23" s="30">
        <f t="shared" si="11"/>
        <v>2.3723000000000001</v>
      </c>
      <c r="X23" s="30" t="e">
        <f>IF(AND($D23=1,(""&amp;loteAnalise)=(""&amp;loteCarregado),COUNTIFS(regAnalito,selAnalito,regNivel,1,regData,$C23,regRep1,"&lt;&gt;")&gt;0),SUMIFS(regRep1,regAnalito,selAnalito,regNivel,1,regData,$C23),NA())</f>
        <v>#N/A</v>
      </c>
      <c r="Y23" s="30" t="e">
        <f>IF(AND($D23=1,(""&amp;loteAnalise)=(""&amp;loteCarregado),COUNTIFS(regAnalito,selAnalito,regNivel,1,regData,$C23,regRep2,"&lt;&gt;")&gt;0),SUMIFS(regRep2,regAnalito,selAnalito,regNivel,1,regData,$C23),NA())</f>
        <v>#N/A</v>
      </c>
      <c r="Z23" s="30" t="e">
        <f>IF(AND($D23=1,(""&amp;loteAnalise)=(""&amp;loteCarregado),COUNTIFS(regAnalito,selAnalito,regNivel,1,regData,$C23,regRep3,"&lt;&gt;")&gt;0),SUMIFS(regRep3,regAnalito,selAnalito,regNivel,1,regData,$C23),NA())</f>
        <v>#N/A</v>
      </c>
      <c r="AA23" s="30" t="e">
        <f>IF(AND($D23=1,COUNTIFS(regAnalito,selAnalito,regData,$C23,regCalib,"Sim")&gt;0),$BT$1,NA())</f>
        <v>#N/A</v>
      </c>
      <c r="AB23" s="30">
        <f>IF($B23="","",IF(INDEX(engValN2,$A23)="","",INDEX(engValN2,$A23)))</f>
        <v>4.38</v>
      </c>
      <c r="AC23" s="30">
        <f t="shared" si="12"/>
        <v>8.8571428571425151E-2</v>
      </c>
      <c r="AD23" s="30">
        <f t="shared" si="13"/>
        <v>4.38</v>
      </c>
      <c r="AE23" s="30">
        <f t="shared" si="14"/>
        <v>4.38</v>
      </c>
      <c r="AF23" s="30" t="e">
        <f t="shared" si="15"/>
        <v>#N/A</v>
      </c>
      <c r="AG23" s="30">
        <f>IF($AB23="",0,IFERROR(INDEX(engDados,MATCH(selAnalito&amp;"|"&amp;$B23,engChave,0),10),0))</f>
        <v>0</v>
      </c>
      <c r="AH23" s="30">
        <f>IF($AB23="",0,IFERROR(INDEX(engDados,MATCH(selAnalito&amp;"|"&amp;$B23,engChave,0),11),0))</f>
        <v>0</v>
      </c>
      <c r="AI23" s="30">
        <f>IF($AB23="",0,IFERROR(INDEX(engDados,MATCH(selAnalito&amp;"|"&amp;$B23,engChave,0),12),0))</f>
        <v>0</v>
      </c>
      <c r="AJ23" s="30">
        <f>IF($AB23="",0,IFERROR(INDEX(engDados,MATCH(selAnalito&amp;"|"&amp;$B23,engChave,0),13),0))</f>
        <v>0</v>
      </c>
      <c r="AK23" s="30">
        <f>IF($AB23="",0,IFERROR(INDEX(engDados,MATCH(selAnalito&amp;"|"&amp;$B23,engChave,0),14),0))</f>
        <v>0</v>
      </c>
      <c r="AL23" s="30" t="str">
        <f>IF($AB23="","",IFERROR(INDEX(engDados,MATCH(selAnalito&amp;"|"&amp;$B23,engChave,0),16),""))</f>
        <v>OK</v>
      </c>
      <c r="AM23" s="30">
        <f t="shared" si="16"/>
        <v>4.2718999999999996</v>
      </c>
      <c r="AN23" s="30">
        <f t="shared" si="17"/>
        <v>4.3068999999999997</v>
      </c>
      <c r="AO23" s="30">
        <f t="shared" si="18"/>
        <v>4.3418999999999999</v>
      </c>
      <c r="AP23" s="30">
        <f t="shared" si="19"/>
        <v>4.3769</v>
      </c>
      <c r="AQ23" s="30">
        <f t="shared" si="20"/>
        <v>4.4119000000000002</v>
      </c>
      <c r="AR23" s="30">
        <f t="shared" si="21"/>
        <v>4.4469000000000003</v>
      </c>
      <c r="AS23" s="30">
        <f t="shared" si="22"/>
        <v>4.4819000000000004</v>
      </c>
      <c r="AT23" s="30" t="e">
        <f>IF(AND($D23=1,(""&amp;loteAnalise)=(""&amp;loteCarregado),COUNTIFS(regAnalito,selAnalito,regNivel,2,regData,$C23,regRep1,"&lt;&gt;")&gt;0),SUMIFS(regRep1,regAnalito,selAnalito,regNivel,2,regData,$C23),NA())</f>
        <v>#N/A</v>
      </c>
      <c r="AU23" s="30" t="e">
        <f>IF(AND($D23=1,(""&amp;loteAnalise)=(""&amp;loteCarregado),COUNTIFS(regAnalito,selAnalito,regNivel,2,regData,$C23,regRep2,"&lt;&gt;")&gt;0),SUMIFS(regRep2,regAnalito,selAnalito,regNivel,2,regData,$C23),NA())</f>
        <v>#N/A</v>
      </c>
      <c r="AV23" s="30" t="e">
        <f>IF(AND($D23=1,(""&amp;loteAnalise)=(""&amp;loteCarregado),COUNTIFS(regAnalito,selAnalito,regNivel,2,regData,$C23,regRep3,"&lt;&gt;")&gt;0),SUMIFS(regRep3,regAnalito,selAnalito,regNivel,2,regData,$C23),NA())</f>
        <v>#N/A</v>
      </c>
      <c r="AW23" s="30" t="e">
        <f>IF(AND($D23=1,COUNTIFS(regAnalito,selAnalito,regData,$C23,regCalib,"Sim")&gt;0),$BV$1,NA())</f>
        <v>#N/A</v>
      </c>
      <c r="AX23" s="30">
        <f>IF($B23="","",IF(INDEX(engValN3,$A23)="","",INDEX(engValN3,$A23)))</f>
        <v>5.0785999999999998</v>
      </c>
      <c r="AY23" s="30">
        <f t="shared" si="23"/>
        <v>-1.2811594202898555</v>
      </c>
      <c r="AZ23" s="30">
        <f t="shared" si="24"/>
        <v>5.0785999999999998</v>
      </c>
      <c r="BA23" s="30">
        <f t="shared" si="25"/>
        <v>5.0785999999999998</v>
      </c>
      <c r="BB23" s="30" t="e">
        <f t="shared" si="26"/>
        <v>#N/A</v>
      </c>
      <c r="BC23" s="30">
        <f>IF($AX23="",0,IFERROR(INDEX(engDados,MATCH(selAnalito&amp;"|"&amp;$B23,engChave,0),17),0))</f>
        <v>0</v>
      </c>
      <c r="BD23" s="30">
        <f>IF($AX23="",0,IFERROR(INDEX(engDados,MATCH(selAnalito&amp;"|"&amp;$B23,engChave,0),18),0))</f>
        <v>0</v>
      </c>
      <c r="BE23" s="30">
        <f>IF($AX23="",0,IFERROR(INDEX(engDados,MATCH(selAnalito&amp;"|"&amp;$B23,engChave,0),19),0))</f>
        <v>0</v>
      </c>
      <c r="BF23" s="30">
        <f>IF($AX23="",0,IFERROR(INDEX(engDados,MATCH(selAnalito&amp;"|"&amp;$B23,engChave,0),20),0))</f>
        <v>0</v>
      </c>
      <c r="BG23" s="30">
        <f>IF($AX23="",0,IFERROR(INDEX(engDados,MATCH(selAnalito&amp;"|"&amp;$B23,engChave,0),21),0))</f>
        <v>0</v>
      </c>
      <c r="BH23" s="30" t="str">
        <f>IF($AX23="","",IFERROR(INDEX(engDados,MATCH(selAnalito&amp;"|"&amp;$B23,engChave,0),23),""))</f>
        <v>OK</v>
      </c>
      <c r="BI23" s="30">
        <f t="shared" si="27"/>
        <v>5.0192999999999994</v>
      </c>
      <c r="BJ23" s="30">
        <f t="shared" si="28"/>
        <v>5.0537999999999998</v>
      </c>
      <c r="BK23" s="30">
        <f t="shared" si="29"/>
        <v>5.0882999999999994</v>
      </c>
      <c r="BL23" s="30">
        <f t="shared" si="30"/>
        <v>5.1227999999999998</v>
      </c>
      <c r="BM23" s="30">
        <f t="shared" si="31"/>
        <v>5.1573000000000002</v>
      </c>
      <c r="BN23" s="30">
        <f t="shared" si="32"/>
        <v>5.1917999999999997</v>
      </c>
      <c r="BO23" s="30">
        <f t="shared" si="33"/>
        <v>5.2263000000000002</v>
      </c>
      <c r="BP23" s="30" t="e">
        <f>IF(AND($D23=1,(""&amp;loteAnalise)=(""&amp;loteCarregado),COUNTIFS(regAnalito,selAnalito,regNivel,3,regData,$C23,regRep1,"&lt;&gt;")&gt;0),SUMIFS(regRep1,regAnalito,selAnalito,regNivel,3,regData,$C23),NA())</f>
        <v>#N/A</v>
      </c>
      <c r="BQ23" s="30" t="e">
        <f>IF(AND($D23=1,(""&amp;loteAnalise)=(""&amp;loteCarregado),COUNTIFS(regAnalito,selAnalito,regNivel,3,regData,$C23,regRep2,"&lt;&gt;")&gt;0),SUMIFS(regRep2,regAnalito,selAnalito,regNivel,3,regData,$C23),NA())</f>
        <v>#N/A</v>
      </c>
      <c r="BR23" s="30" t="e">
        <f>IF(AND($D23=1,(""&amp;loteAnalise)=(""&amp;loteCarregado),COUNTIFS(regAnalito,selAnalito,regNivel,3,regData,$C23,regRep3,"&lt;&gt;")&gt;0),SUMIFS(regRep3,regAnalito,selAnalito,regNivel,3,regData,$C23),NA())</f>
        <v>#N/A</v>
      </c>
      <c r="BS23" s="30" t="e">
        <f>IF(AND($D23=1,COUNTIFS(regAnalito,selAnalito,regData,$C23,regCalib,"Sim")&gt;0),$BX$1,NA())</f>
        <v>#N/A</v>
      </c>
    </row>
    <row r="24" spans="1:71" x14ac:dyDescent="0.3">
      <c r="A24" s="30">
        <v>22</v>
      </c>
      <c r="B24" s="30">
        <f>IF(OR(selAnalito="",(""&amp;engAnalito)&lt;&gt;(""&amp;selAnalito),(""&amp;engLote)&lt;&gt;(""&amp;loteAnalise),$A24&gt;N(engNRun)),"",INDEX(engRUN,$A24))</f>
        <v>22</v>
      </c>
      <c r="C24" s="43">
        <f>IF($B24="","",IF(INDEX(engData,$A24)="","",INDEX(engData,$A24)))</f>
        <v>45810</v>
      </c>
      <c r="D24" s="30">
        <f>IF($C24="",0,IF(AND(OR(filtroDe="",INT($C24)&gt;=INT(filtroDe)),OR(filtroAte="",INT($C24)&lt;=INT(filtroAte))),1,0))</f>
        <v>1</v>
      </c>
      <c r="E24" s="30">
        <f t="shared" si="0"/>
        <v>22</v>
      </c>
      <c r="F24" s="30">
        <f>IF($B24="","",IF(INDEX(engValN1,$A24)="","",INDEX(engValN1,$A24)))</f>
        <v>2.2783000000000002</v>
      </c>
      <c r="G24" s="30">
        <f t="shared" si="1"/>
        <v>-1.292237442922364</v>
      </c>
      <c r="H24" s="30">
        <f t="shared" si="2"/>
        <v>2.2783000000000002</v>
      </c>
      <c r="I24" s="30">
        <f t="shared" si="3"/>
        <v>2.2783000000000002</v>
      </c>
      <c r="J24" s="30" t="e">
        <f t="shared" si="4"/>
        <v>#N/A</v>
      </c>
      <c r="K24" s="30">
        <f>IF($F24="",0,IFERROR(INDEX(engDados,MATCH(selAnalito&amp;"|"&amp;$B24,engChave,0),3),0))</f>
        <v>0</v>
      </c>
      <c r="L24" s="30">
        <f>IF($F24="",0,IFERROR(INDEX(engDados,MATCH(selAnalito&amp;"|"&amp;$B24,engChave,0),4),0))</f>
        <v>0</v>
      </c>
      <c r="M24" s="30">
        <f>IF($F24="",0,IFERROR(INDEX(engDados,MATCH(selAnalito&amp;"|"&amp;$B24,engChave,0),5),0))</f>
        <v>0</v>
      </c>
      <c r="N24" s="30">
        <f>IF($F24="",0,IFERROR(INDEX(engDados,MATCH(selAnalito&amp;"|"&amp;$B24,engChave,0),6),0))</f>
        <v>0</v>
      </c>
      <c r="O24" s="30">
        <f>IF($F24="",0,IFERROR(INDEX(engDados,MATCH(selAnalito&amp;"|"&amp;$B24,engChave,0),7),0))</f>
        <v>0</v>
      </c>
      <c r="P24" s="30" t="str">
        <f>IF($F24="","",IFERROR(INDEX(engDados,MATCH(selAnalito&amp;"|"&amp;$B24,engChave,0),9),""))</f>
        <v>OK</v>
      </c>
      <c r="Q24" s="30">
        <f t="shared" si="5"/>
        <v>2.2408999999999999</v>
      </c>
      <c r="R24" s="30">
        <f t="shared" si="6"/>
        <v>2.2627999999999999</v>
      </c>
      <c r="S24" s="30">
        <f t="shared" si="7"/>
        <v>2.2847</v>
      </c>
      <c r="T24" s="30">
        <f t="shared" si="8"/>
        <v>2.3066</v>
      </c>
      <c r="U24" s="30">
        <f t="shared" si="9"/>
        <v>2.3285</v>
      </c>
      <c r="V24" s="30">
        <f t="shared" si="10"/>
        <v>2.3504</v>
      </c>
      <c r="W24" s="30">
        <f t="shared" si="11"/>
        <v>2.3723000000000001</v>
      </c>
      <c r="X24" s="30" t="e">
        <f>IF(AND($D24=1,(""&amp;loteAnalise)=(""&amp;loteCarregado),COUNTIFS(regAnalito,selAnalito,regNivel,1,regData,$C24,regRep1,"&lt;&gt;")&gt;0),SUMIFS(regRep1,regAnalito,selAnalito,regNivel,1,regData,$C24),NA())</f>
        <v>#N/A</v>
      </c>
      <c r="Y24" s="30" t="e">
        <f>IF(AND($D24=1,(""&amp;loteAnalise)=(""&amp;loteCarregado),COUNTIFS(regAnalito,selAnalito,regNivel,1,regData,$C24,regRep2,"&lt;&gt;")&gt;0),SUMIFS(regRep2,regAnalito,selAnalito,regNivel,1,regData,$C24),NA())</f>
        <v>#N/A</v>
      </c>
      <c r="Z24" s="30" t="e">
        <f>IF(AND($D24=1,(""&amp;loteAnalise)=(""&amp;loteCarregado),COUNTIFS(regAnalito,selAnalito,regNivel,1,regData,$C24,regRep3,"&lt;&gt;")&gt;0),SUMIFS(regRep3,regAnalito,selAnalito,regNivel,1,regData,$C24),NA())</f>
        <v>#N/A</v>
      </c>
      <c r="AA24" s="30" t="e">
        <f>IF(AND($D24=1,COUNTIFS(regAnalito,selAnalito,regData,$C24,regCalib,"Sim")&gt;0),$BT$1,NA())</f>
        <v>#N/A</v>
      </c>
      <c r="AB24" s="30">
        <f>IF($B24="","",IF(INDEX(engValN2,$A24)="","",INDEX(engValN2,$A24)))</f>
        <v>4.3562000000000003</v>
      </c>
      <c r="AC24" s="30">
        <f t="shared" si="12"/>
        <v>-0.59142857142856331</v>
      </c>
      <c r="AD24" s="30">
        <f t="shared" si="13"/>
        <v>4.3562000000000003</v>
      </c>
      <c r="AE24" s="30">
        <f t="shared" si="14"/>
        <v>4.3562000000000003</v>
      </c>
      <c r="AF24" s="30" t="e">
        <f t="shared" si="15"/>
        <v>#N/A</v>
      </c>
      <c r="AG24" s="30">
        <f>IF($AB24="",0,IFERROR(INDEX(engDados,MATCH(selAnalito&amp;"|"&amp;$B24,engChave,0),10),0))</f>
        <v>0</v>
      </c>
      <c r="AH24" s="30">
        <f>IF($AB24="",0,IFERROR(INDEX(engDados,MATCH(selAnalito&amp;"|"&amp;$B24,engChave,0),11),0))</f>
        <v>0</v>
      </c>
      <c r="AI24" s="30">
        <f>IF($AB24="",0,IFERROR(INDEX(engDados,MATCH(selAnalito&amp;"|"&amp;$B24,engChave,0),12),0))</f>
        <v>0</v>
      </c>
      <c r="AJ24" s="30">
        <f>IF($AB24="",0,IFERROR(INDEX(engDados,MATCH(selAnalito&amp;"|"&amp;$B24,engChave,0),13),0))</f>
        <v>0</v>
      </c>
      <c r="AK24" s="30">
        <f>IF($AB24="",0,IFERROR(INDEX(engDados,MATCH(selAnalito&amp;"|"&amp;$B24,engChave,0),14),0))</f>
        <v>0</v>
      </c>
      <c r="AL24" s="30" t="str">
        <f>IF($AB24="","",IFERROR(INDEX(engDados,MATCH(selAnalito&amp;"|"&amp;$B24,engChave,0),16),""))</f>
        <v>OK</v>
      </c>
      <c r="AM24" s="30">
        <f t="shared" si="16"/>
        <v>4.2718999999999996</v>
      </c>
      <c r="AN24" s="30">
        <f t="shared" si="17"/>
        <v>4.3068999999999997</v>
      </c>
      <c r="AO24" s="30">
        <f t="shared" si="18"/>
        <v>4.3418999999999999</v>
      </c>
      <c r="AP24" s="30">
        <f t="shared" si="19"/>
        <v>4.3769</v>
      </c>
      <c r="AQ24" s="30">
        <f t="shared" si="20"/>
        <v>4.4119000000000002</v>
      </c>
      <c r="AR24" s="30">
        <f t="shared" si="21"/>
        <v>4.4469000000000003</v>
      </c>
      <c r="AS24" s="30">
        <f t="shared" si="22"/>
        <v>4.4819000000000004</v>
      </c>
      <c r="AT24" s="30" t="e">
        <f>IF(AND($D24=1,(""&amp;loteAnalise)=(""&amp;loteCarregado),COUNTIFS(regAnalito,selAnalito,regNivel,2,regData,$C24,regRep1,"&lt;&gt;")&gt;0),SUMIFS(regRep1,regAnalito,selAnalito,regNivel,2,regData,$C24),NA())</f>
        <v>#N/A</v>
      </c>
      <c r="AU24" s="30" t="e">
        <f>IF(AND($D24=1,(""&amp;loteAnalise)=(""&amp;loteCarregado),COUNTIFS(regAnalito,selAnalito,regNivel,2,regData,$C24,regRep2,"&lt;&gt;")&gt;0),SUMIFS(regRep2,regAnalito,selAnalito,regNivel,2,regData,$C24),NA())</f>
        <v>#N/A</v>
      </c>
      <c r="AV24" s="30" t="e">
        <f>IF(AND($D24=1,(""&amp;loteAnalise)=(""&amp;loteCarregado),COUNTIFS(regAnalito,selAnalito,regNivel,2,regData,$C24,regRep3,"&lt;&gt;")&gt;0),SUMIFS(regRep3,regAnalito,selAnalito,regNivel,2,regData,$C24),NA())</f>
        <v>#N/A</v>
      </c>
      <c r="AW24" s="30" t="e">
        <f>IF(AND($D24=1,COUNTIFS(regAnalito,selAnalito,regData,$C24,regCalib,"Sim")&gt;0),$BV$1,NA())</f>
        <v>#N/A</v>
      </c>
      <c r="AX24" s="30">
        <f>IF($B24="","",IF(INDEX(engValN3,$A24)="","",INDEX(engValN3,$A24)))</f>
        <v>5.1661999999999999</v>
      </c>
      <c r="AY24" s="30">
        <f t="shared" si="23"/>
        <v>1.2579710144927565</v>
      </c>
      <c r="AZ24" s="30">
        <f t="shared" si="24"/>
        <v>5.1661999999999999</v>
      </c>
      <c r="BA24" s="30">
        <f t="shared" si="25"/>
        <v>5.1661999999999999</v>
      </c>
      <c r="BB24" s="30" t="e">
        <f t="shared" si="26"/>
        <v>#N/A</v>
      </c>
      <c r="BC24" s="30">
        <f>IF($AX24="",0,IFERROR(INDEX(engDados,MATCH(selAnalito&amp;"|"&amp;$B24,engChave,0),17),0))</f>
        <v>0</v>
      </c>
      <c r="BD24" s="30">
        <f>IF($AX24="",0,IFERROR(INDEX(engDados,MATCH(selAnalito&amp;"|"&amp;$B24,engChave,0),18),0))</f>
        <v>0</v>
      </c>
      <c r="BE24" s="30">
        <f>IF($AX24="",0,IFERROR(INDEX(engDados,MATCH(selAnalito&amp;"|"&amp;$B24,engChave,0),19),0))</f>
        <v>0</v>
      </c>
      <c r="BF24" s="30">
        <f>IF($AX24="",0,IFERROR(INDEX(engDados,MATCH(selAnalito&amp;"|"&amp;$B24,engChave,0),20),0))</f>
        <v>0</v>
      </c>
      <c r="BG24" s="30">
        <f>IF($AX24="",0,IFERROR(INDEX(engDados,MATCH(selAnalito&amp;"|"&amp;$B24,engChave,0),21),0))</f>
        <v>0</v>
      </c>
      <c r="BH24" s="30" t="str">
        <f>IF($AX24="","",IFERROR(INDEX(engDados,MATCH(selAnalito&amp;"|"&amp;$B24,engChave,0),23),""))</f>
        <v>OK</v>
      </c>
      <c r="BI24" s="30">
        <f t="shared" si="27"/>
        <v>5.0192999999999994</v>
      </c>
      <c r="BJ24" s="30">
        <f t="shared" si="28"/>
        <v>5.0537999999999998</v>
      </c>
      <c r="BK24" s="30">
        <f t="shared" si="29"/>
        <v>5.0882999999999994</v>
      </c>
      <c r="BL24" s="30">
        <f t="shared" si="30"/>
        <v>5.1227999999999998</v>
      </c>
      <c r="BM24" s="30">
        <f t="shared" si="31"/>
        <v>5.1573000000000002</v>
      </c>
      <c r="BN24" s="30">
        <f t="shared" si="32"/>
        <v>5.1917999999999997</v>
      </c>
      <c r="BO24" s="30">
        <f t="shared" si="33"/>
        <v>5.2263000000000002</v>
      </c>
      <c r="BP24" s="30" t="e">
        <f>IF(AND($D24=1,(""&amp;loteAnalise)=(""&amp;loteCarregado),COUNTIFS(regAnalito,selAnalito,regNivel,3,regData,$C24,regRep1,"&lt;&gt;")&gt;0),SUMIFS(regRep1,regAnalito,selAnalito,regNivel,3,regData,$C24),NA())</f>
        <v>#N/A</v>
      </c>
      <c r="BQ24" s="30" t="e">
        <f>IF(AND($D24=1,(""&amp;loteAnalise)=(""&amp;loteCarregado),COUNTIFS(regAnalito,selAnalito,regNivel,3,regData,$C24,regRep2,"&lt;&gt;")&gt;0),SUMIFS(regRep2,regAnalito,selAnalito,regNivel,3,regData,$C24),NA())</f>
        <v>#N/A</v>
      </c>
      <c r="BR24" s="30" t="e">
        <f>IF(AND($D24=1,(""&amp;loteAnalise)=(""&amp;loteCarregado),COUNTIFS(regAnalito,selAnalito,regNivel,3,regData,$C24,regRep3,"&lt;&gt;")&gt;0),SUMIFS(regRep3,regAnalito,selAnalito,regNivel,3,regData,$C24),NA())</f>
        <v>#N/A</v>
      </c>
      <c r="BS24" s="30" t="e">
        <f>IF(AND($D24=1,COUNTIFS(regAnalito,selAnalito,regData,$C24,regCalib,"Sim")&gt;0),$BX$1,NA())</f>
        <v>#N/A</v>
      </c>
    </row>
    <row r="25" spans="1:71" x14ac:dyDescent="0.3">
      <c r="A25" s="30">
        <v>23</v>
      </c>
      <c r="B25" s="30">
        <f>IF(OR(selAnalito="",(""&amp;engAnalito)&lt;&gt;(""&amp;selAnalito),(""&amp;engLote)&lt;&gt;(""&amp;loteAnalise),$A25&gt;N(engNRun)),"",INDEX(engRUN,$A25))</f>
        <v>23</v>
      </c>
      <c r="C25" s="43">
        <f>IF($B25="","",IF(INDEX(engData,$A25)="","",INDEX(engData,$A25)))</f>
        <v>45817</v>
      </c>
      <c r="D25" s="30">
        <f>IF($C25="",0,IF(AND(OR(filtroDe="",INT($C25)&gt;=INT(filtroDe)),OR(filtroAte="",INT($C25)&lt;=INT(filtroAte))),1,0))</f>
        <v>1</v>
      </c>
      <c r="E25" s="30">
        <f t="shared" si="0"/>
        <v>23</v>
      </c>
      <c r="F25" s="30">
        <f>IF($B25="","",IF(INDEX(engValN1,$A25)="","",INDEX(engValN1,$A25)))</f>
        <v>2.3142</v>
      </c>
      <c r="G25" s="30">
        <f t="shared" si="1"/>
        <v>0.347031963470322</v>
      </c>
      <c r="H25" s="30">
        <f t="shared" si="2"/>
        <v>2.3142</v>
      </c>
      <c r="I25" s="30">
        <f t="shared" si="3"/>
        <v>2.3142</v>
      </c>
      <c r="J25" s="30" t="e">
        <f t="shared" si="4"/>
        <v>#N/A</v>
      </c>
      <c r="K25" s="30">
        <f>IF($F25="",0,IFERROR(INDEX(engDados,MATCH(selAnalito&amp;"|"&amp;$B25,engChave,0),3),0))</f>
        <v>0</v>
      </c>
      <c r="L25" s="30">
        <f>IF($F25="",0,IFERROR(INDEX(engDados,MATCH(selAnalito&amp;"|"&amp;$B25,engChave,0),4),0))</f>
        <v>0</v>
      </c>
      <c r="M25" s="30">
        <f>IF($F25="",0,IFERROR(INDEX(engDados,MATCH(selAnalito&amp;"|"&amp;$B25,engChave,0),5),0))</f>
        <v>0</v>
      </c>
      <c r="N25" s="30">
        <f>IF($F25="",0,IFERROR(INDEX(engDados,MATCH(selAnalito&amp;"|"&amp;$B25,engChave,0),6),0))</f>
        <v>0</v>
      </c>
      <c r="O25" s="30">
        <f>IF($F25="",0,IFERROR(INDEX(engDados,MATCH(selAnalito&amp;"|"&amp;$B25,engChave,0),7),0))</f>
        <v>0</v>
      </c>
      <c r="P25" s="30" t="str">
        <f>IF($F25="","",IFERROR(INDEX(engDados,MATCH(selAnalito&amp;"|"&amp;$B25,engChave,0),9),""))</f>
        <v>OK</v>
      </c>
      <c r="Q25" s="30">
        <f t="shared" si="5"/>
        <v>2.2408999999999999</v>
      </c>
      <c r="R25" s="30">
        <f t="shared" si="6"/>
        <v>2.2627999999999999</v>
      </c>
      <c r="S25" s="30">
        <f t="shared" si="7"/>
        <v>2.2847</v>
      </c>
      <c r="T25" s="30">
        <f t="shared" si="8"/>
        <v>2.3066</v>
      </c>
      <c r="U25" s="30">
        <f t="shared" si="9"/>
        <v>2.3285</v>
      </c>
      <c r="V25" s="30">
        <f t="shared" si="10"/>
        <v>2.3504</v>
      </c>
      <c r="W25" s="30">
        <f t="shared" si="11"/>
        <v>2.3723000000000001</v>
      </c>
      <c r="X25" s="30" t="e">
        <f>IF(AND($D25=1,(""&amp;loteAnalise)=(""&amp;loteCarregado),COUNTIFS(regAnalito,selAnalito,regNivel,1,regData,$C25,regRep1,"&lt;&gt;")&gt;0),SUMIFS(regRep1,regAnalito,selAnalito,regNivel,1,regData,$C25),NA())</f>
        <v>#N/A</v>
      </c>
      <c r="Y25" s="30" t="e">
        <f>IF(AND($D25=1,(""&amp;loteAnalise)=(""&amp;loteCarregado),COUNTIFS(regAnalito,selAnalito,regNivel,1,regData,$C25,regRep2,"&lt;&gt;")&gt;0),SUMIFS(regRep2,regAnalito,selAnalito,regNivel,1,regData,$C25),NA())</f>
        <v>#N/A</v>
      </c>
      <c r="Z25" s="30" t="e">
        <f>IF(AND($D25=1,(""&amp;loteAnalise)=(""&amp;loteCarregado),COUNTIFS(regAnalito,selAnalito,regNivel,1,regData,$C25,regRep3,"&lt;&gt;")&gt;0),SUMIFS(regRep3,regAnalito,selAnalito,regNivel,1,regData,$C25),NA())</f>
        <v>#N/A</v>
      </c>
      <c r="AA25" s="30" t="e">
        <f>IF(AND($D25=1,COUNTIFS(regAnalito,selAnalito,regData,$C25,regCalib,"Sim")&gt;0),$BT$1,NA())</f>
        <v>#N/A</v>
      </c>
      <c r="AB25" s="30">
        <f>IF($B25="","",IF(INDEX(engValN2,$A25)="","",INDEX(engValN2,$A25)))</f>
        <v>4.3727999999999998</v>
      </c>
      <c r="AC25" s="30">
        <f t="shared" si="12"/>
        <v>-0.11714285714286327</v>
      </c>
      <c r="AD25" s="30">
        <f t="shared" si="13"/>
        <v>4.3727999999999998</v>
      </c>
      <c r="AE25" s="30">
        <f t="shared" si="14"/>
        <v>4.3727999999999998</v>
      </c>
      <c r="AF25" s="30" t="e">
        <f t="shared" si="15"/>
        <v>#N/A</v>
      </c>
      <c r="AG25" s="30">
        <f>IF($AB25="",0,IFERROR(INDEX(engDados,MATCH(selAnalito&amp;"|"&amp;$B25,engChave,0),10),0))</f>
        <v>0</v>
      </c>
      <c r="AH25" s="30">
        <f>IF($AB25="",0,IFERROR(INDEX(engDados,MATCH(selAnalito&amp;"|"&amp;$B25,engChave,0),11),0))</f>
        <v>0</v>
      </c>
      <c r="AI25" s="30">
        <f>IF($AB25="",0,IFERROR(INDEX(engDados,MATCH(selAnalito&amp;"|"&amp;$B25,engChave,0),12),0))</f>
        <v>0</v>
      </c>
      <c r="AJ25" s="30">
        <f>IF($AB25="",0,IFERROR(INDEX(engDados,MATCH(selAnalito&amp;"|"&amp;$B25,engChave,0),13),0))</f>
        <v>0</v>
      </c>
      <c r="AK25" s="30">
        <f>IF($AB25="",0,IFERROR(INDEX(engDados,MATCH(selAnalito&amp;"|"&amp;$B25,engChave,0),14),0))</f>
        <v>0</v>
      </c>
      <c r="AL25" s="30" t="str">
        <f>IF($AB25="","",IFERROR(INDEX(engDados,MATCH(selAnalito&amp;"|"&amp;$B25,engChave,0),16),""))</f>
        <v>OK</v>
      </c>
      <c r="AM25" s="30">
        <f t="shared" si="16"/>
        <v>4.2718999999999996</v>
      </c>
      <c r="AN25" s="30">
        <f t="shared" si="17"/>
        <v>4.3068999999999997</v>
      </c>
      <c r="AO25" s="30">
        <f t="shared" si="18"/>
        <v>4.3418999999999999</v>
      </c>
      <c r="AP25" s="30">
        <f t="shared" si="19"/>
        <v>4.3769</v>
      </c>
      <c r="AQ25" s="30">
        <f t="shared" si="20"/>
        <v>4.4119000000000002</v>
      </c>
      <c r="AR25" s="30">
        <f t="shared" si="21"/>
        <v>4.4469000000000003</v>
      </c>
      <c r="AS25" s="30">
        <f t="shared" si="22"/>
        <v>4.4819000000000004</v>
      </c>
      <c r="AT25" s="30" t="e">
        <f>IF(AND($D25=1,(""&amp;loteAnalise)=(""&amp;loteCarregado),COUNTIFS(regAnalito,selAnalito,regNivel,2,regData,$C25,regRep1,"&lt;&gt;")&gt;0),SUMIFS(regRep1,regAnalito,selAnalito,regNivel,2,regData,$C25),NA())</f>
        <v>#N/A</v>
      </c>
      <c r="AU25" s="30" t="e">
        <f>IF(AND($D25=1,(""&amp;loteAnalise)=(""&amp;loteCarregado),COUNTIFS(regAnalito,selAnalito,regNivel,2,regData,$C25,regRep2,"&lt;&gt;")&gt;0),SUMIFS(regRep2,regAnalito,selAnalito,regNivel,2,regData,$C25),NA())</f>
        <v>#N/A</v>
      </c>
      <c r="AV25" s="30" t="e">
        <f>IF(AND($D25=1,(""&amp;loteAnalise)=(""&amp;loteCarregado),COUNTIFS(regAnalito,selAnalito,regNivel,2,regData,$C25,regRep3,"&lt;&gt;")&gt;0),SUMIFS(regRep3,regAnalito,selAnalito,regNivel,2,regData,$C25),NA())</f>
        <v>#N/A</v>
      </c>
      <c r="AW25" s="30" t="e">
        <f>IF(AND($D25=1,COUNTIFS(regAnalito,selAnalito,regData,$C25,regCalib,"Sim")&gt;0),$BV$1,NA())</f>
        <v>#N/A</v>
      </c>
      <c r="AX25" s="30">
        <f>IF($B25="","",IF(INDEX(engValN3,$A25)="","",INDEX(engValN3,$A25)))</f>
        <v>5.1173999999999999</v>
      </c>
      <c r="AY25" s="30">
        <f t="shared" si="23"/>
        <v>-0.15652173913043041</v>
      </c>
      <c r="AZ25" s="30">
        <f t="shared" si="24"/>
        <v>5.1173999999999999</v>
      </c>
      <c r="BA25" s="30">
        <f t="shared" si="25"/>
        <v>5.1173999999999999</v>
      </c>
      <c r="BB25" s="30" t="e">
        <f t="shared" si="26"/>
        <v>#N/A</v>
      </c>
      <c r="BC25" s="30">
        <f>IF($AX25="",0,IFERROR(INDEX(engDados,MATCH(selAnalito&amp;"|"&amp;$B25,engChave,0),17),0))</f>
        <v>0</v>
      </c>
      <c r="BD25" s="30">
        <f>IF($AX25="",0,IFERROR(INDEX(engDados,MATCH(selAnalito&amp;"|"&amp;$B25,engChave,0),18),0))</f>
        <v>0</v>
      </c>
      <c r="BE25" s="30">
        <f>IF($AX25="",0,IFERROR(INDEX(engDados,MATCH(selAnalito&amp;"|"&amp;$B25,engChave,0),19),0))</f>
        <v>0</v>
      </c>
      <c r="BF25" s="30">
        <f>IF($AX25="",0,IFERROR(INDEX(engDados,MATCH(selAnalito&amp;"|"&amp;$B25,engChave,0),20),0))</f>
        <v>0</v>
      </c>
      <c r="BG25" s="30">
        <f>IF($AX25="",0,IFERROR(INDEX(engDados,MATCH(selAnalito&amp;"|"&amp;$B25,engChave,0),21),0))</f>
        <v>0</v>
      </c>
      <c r="BH25" s="30" t="str">
        <f>IF($AX25="","",IFERROR(INDEX(engDados,MATCH(selAnalito&amp;"|"&amp;$B25,engChave,0),23),""))</f>
        <v>OK</v>
      </c>
      <c r="BI25" s="30">
        <f t="shared" si="27"/>
        <v>5.0192999999999994</v>
      </c>
      <c r="BJ25" s="30">
        <f t="shared" si="28"/>
        <v>5.0537999999999998</v>
      </c>
      <c r="BK25" s="30">
        <f t="shared" si="29"/>
        <v>5.0882999999999994</v>
      </c>
      <c r="BL25" s="30">
        <f t="shared" si="30"/>
        <v>5.1227999999999998</v>
      </c>
      <c r="BM25" s="30">
        <f t="shared" si="31"/>
        <v>5.1573000000000002</v>
      </c>
      <c r="BN25" s="30">
        <f t="shared" si="32"/>
        <v>5.1917999999999997</v>
      </c>
      <c r="BO25" s="30">
        <f t="shared" si="33"/>
        <v>5.2263000000000002</v>
      </c>
      <c r="BP25" s="30" t="e">
        <f>IF(AND($D25=1,(""&amp;loteAnalise)=(""&amp;loteCarregado),COUNTIFS(regAnalito,selAnalito,regNivel,3,regData,$C25,regRep1,"&lt;&gt;")&gt;0),SUMIFS(regRep1,regAnalito,selAnalito,regNivel,3,regData,$C25),NA())</f>
        <v>#N/A</v>
      </c>
      <c r="BQ25" s="30" t="e">
        <f>IF(AND($D25=1,(""&amp;loteAnalise)=(""&amp;loteCarregado),COUNTIFS(regAnalito,selAnalito,regNivel,3,regData,$C25,regRep2,"&lt;&gt;")&gt;0),SUMIFS(regRep2,regAnalito,selAnalito,regNivel,3,regData,$C25),NA())</f>
        <v>#N/A</v>
      </c>
      <c r="BR25" s="30" t="e">
        <f>IF(AND($D25=1,(""&amp;loteAnalise)=(""&amp;loteCarregado),COUNTIFS(regAnalito,selAnalito,regNivel,3,regData,$C25,regRep3,"&lt;&gt;")&gt;0),SUMIFS(regRep3,regAnalito,selAnalito,regNivel,3,regData,$C25),NA())</f>
        <v>#N/A</v>
      </c>
      <c r="BS25" s="30" t="e">
        <f>IF(AND($D25=1,COUNTIFS(regAnalito,selAnalito,regData,$C25,regCalib,"Sim")&gt;0),$BX$1,NA())</f>
        <v>#N/A</v>
      </c>
    </row>
    <row r="26" spans="1:71" x14ac:dyDescent="0.3">
      <c r="A26" s="30">
        <v>24</v>
      </c>
      <c r="B26" s="30">
        <f>IF(OR(selAnalito="",(""&amp;engAnalito)&lt;&gt;(""&amp;selAnalito),(""&amp;engLote)&lt;&gt;(""&amp;loteAnalise),$A26&gt;N(engNRun)),"",INDEX(engRUN,$A26))</f>
        <v>24</v>
      </c>
      <c r="C26" s="43">
        <f>IF($B26="","",IF(INDEX(engData,$A26)="","",INDEX(engData,$A26)))</f>
        <v>45824</v>
      </c>
      <c r="D26" s="30">
        <f>IF($C26="",0,IF(AND(OR(filtroDe="",INT($C26)&gt;=INT(filtroDe)),OR(filtroAte="",INT($C26)&lt;=INT(filtroAte))),1,0))</f>
        <v>1</v>
      </c>
      <c r="E26" s="30">
        <f t="shared" si="0"/>
        <v>24</v>
      </c>
      <c r="F26" s="30">
        <f>IF($B26="","",IF(INDEX(engValN1,$A26)="","",INDEX(engValN1,$A26)))</f>
        <v>2.2694999999999999</v>
      </c>
      <c r="G26" s="30">
        <f t="shared" si="1"/>
        <v>-1.6940639269406454</v>
      </c>
      <c r="H26" s="30">
        <f t="shared" si="2"/>
        <v>2.2694999999999999</v>
      </c>
      <c r="I26" s="30">
        <f t="shared" si="3"/>
        <v>2.2694999999999999</v>
      </c>
      <c r="J26" s="30" t="e">
        <f t="shared" si="4"/>
        <v>#N/A</v>
      </c>
      <c r="K26" s="30">
        <f>IF($F26="",0,IFERROR(INDEX(engDados,MATCH(selAnalito&amp;"|"&amp;$B26,engChave,0),3),0))</f>
        <v>0</v>
      </c>
      <c r="L26" s="30">
        <f>IF($F26="",0,IFERROR(INDEX(engDados,MATCH(selAnalito&amp;"|"&amp;$B26,engChave,0),4),0))</f>
        <v>0</v>
      </c>
      <c r="M26" s="30">
        <f>IF($F26="",0,IFERROR(INDEX(engDados,MATCH(selAnalito&amp;"|"&amp;$B26,engChave,0),5),0))</f>
        <v>0</v>
      </c>
      <c r="N26" s="30">
        <f>IF($F26="",0,IFERROR(INDEX(engDados,MATCH(selAnalito&amp;"|"&amp;$B26,engChave,0),6),0))</f>
        <v>0</v>
      </c>
      <c r="O26" s="30">
        <f>IF($F26="",0,IFERROR(INDEX(engDados,MATCH(selAnalito&amp;"|"&amp;$B26,engChave,0),7),0))</f>
        <v>0</v>
      </c>
      <c r="P26" s="30" t="str">
        <f>IF($F26="","",IFERROR(INDEX(engDados,MATCH(selAnalito&amp;"|"&amp;$B26,engChave,0),9),""))</f>
        <v>OK</v>
      </c>
      <c r="Q26" s="30">
        <f t="shared" si="5"/>
        <v>2.2408999999999999</v>
      </c>
      <c r="R26" s="30">
        <f t="shared" si="6"/>
        <v>2.2627999999999999</v>
      </c>
      <c r="S26" s="30">
        <f t="shared" si="7"/>
        <v>2.2847</v>
      </c>
      <c r="T26" s="30">
        <f t="shared" si="8"/>
        <v>2.3066</v>
      </c>
      <c r="U26" s="30">
        <f t="shared" si="9"/>
        <v>2.3285</v>
      </c>
      <c r="V26" s="30">
        <f t="shared" si="10"/>
        <v>2.3504</v>
      </c>
      <c r="W26" s="30">
        <f t="shared" si="11"/>
        <v>2.3723000000000001</v>
      </c>
      <c r="X26" s="30" t="e">
        <f>IF(AND($D26=1,(""&amp;loteAnalise)=(""&amp;loteCarregado),COUNTIFS(regAnalito,selAnalito,regNivel,1,regData,$C26,regRep1,"&lt;&gt;")&gt;0),SUMIFS(regRep1,regAnalito,selAnalito,regNivel,1,regData,$C26),NA())</f>
        <v>#N/A</v>
      </c>
      <c r="Y26" s="30" t="e">
        <f>IF(AND($D26=1,(""&amp;loteAnalise)=(""&amp;loteCarregado),COUNTIFS(regAnalito,selAnalito,regNivel,1,regData,$C26,regRep2,"&lt;&gt;")&gt;0),SUMIFS(regRep2,regAnalito,selAnalito,regNivel,1,regData,$C26),NA())</f>
        <v>#N/A</v>
      </c>
      <c r="Z26" s="30" t="e">
        <f>IF(AND($D26=1,(""&amp;loteAnalise)=(""&amp;loteCarregado),COUNTIFS(regAnalito,selAnalito,regNivel,1,regData,$C26,regRep3,"&lt;&gt;")&gt;0),SUMIFS(regRep3,regAnalito,selAnalito,regNivel,1,regData,$C26),NA())</f>
        <v>#N/A</v>
      </c>
      <c r="AA26" s="30" t="e">
        <f>IF(AND($D26=1,COUNTIFS(regAnalito,selAnalito,regData,$C26,regCalib,"Sim")&gt;0),$BT$1,NA())</f>
        <v>#N/A</v>
      </c>
      <c r="AB26" s="30">
        <f>IF($B26="","",IF(INDEX(engValN2,$A26)="","",INDEX(engValN2,$A26)))</f>
        <v>4.3071000000000002</v>
      </c>
      <c r="AC26" s="30">
        <f t="shared" si="12"/>
        <v>-1.9942857142857102</v>
      </c>
      <c r="AD26" s="30">
        <f t="shared" si="13"/>
        <v>4.3071000000000002</v>
      </c>
      <c r="AE26" s="30">
        <f t="shared" si="14"/>
        <v>4.3071000000000002</v>
      </c>
      <c r="AF26" s="30" t="e">
        <f t="shared" si="15"/>
        <v>#N/A</v>
      </c>
      <c r="AG26" s="30">
        <f>IF($AB26="",0,IFERROR(INDEX(engDados,MATCH(selAnalito&amp;"|"&amp;$B26,engChave,0),10),0))</f>
        <v>0</v>
      </c>
      <c r="AH26" s="30">
        <f>IF($AB26="",0,IFERROR(INDEX(engDados,MATCH(selAnalito&amp;"|"&amp;$B26,engChave,0),11),0))</f>
        <v>0</v>
      </c>
      <c r="AI26" s="30">
        <f>IF($AB26="",0,IFERROR(INDEX(engDados,MATCH(selAnalito&amp;"|"&amp;$B26,engChave,0),12),0))</f>
        <v>0</v>
      </c>
      <c r="AJ26" s="30">
        <f>IF($AB26="",0,IFERROR(INDEX(engDados,MATCH(selAnalito&amp;"|"&amp;$B26,engChave,0),13),0))</f>
        <v>0</v>
      </c>
      <c r="AK26" s="30">
        <f>IF($AB26="",0,IFERROR(INDEX(engDados,MATCH(selAnalito&amp;"|"&amp;$B26,engChave,0),14),0))</f>
        <v>0</v>
      </c>
      <c r="AL26" s="30" t="str">
        <f>IF($AB26="","",IFERROR(INDEX(engDados,MATCH(selAnalito&amp;"|"&amp;$B26,engChave,0),16),""))</f>
        <v>OK</v>
      </c>
      <c r="AM26" s="30">
        <f t="shared" si="16"/>
        <v>4.2718999999999996</v>
      </c>
      <c r="AN26" s="30">
        <f t="shared" si="17"/>
        <v>4.3068999999999997</v>
      </c>
      <c r="AO26" s="30">
        <f t="shared" si="18"/>
        <v>4.3418999999999999</v>
      </c>
      <c r="AP26" s="30">
        <f t="shared" si="19"/>
        <v>4.3769</v>
      </c>
      <c r="AQ26" s="30">
        <f t="shared" si="20"/>
        <v>4.4119000000000002</v>
      </c>
      <c r="AR26" s="30">
        <f t="shared" si="21"/>
        <v>4.4469000000000003</v>
      </c>
      <c r="AS26" s="30">
        <f t="shared" si="22"/>
        <v>4.4819000000000004</v>
      </c>
      <c r="AT26" s="30" t="e">
        <f>IF(AND($D26=1,(""&amp;loteAnalise)=(""&amp;loteCarregado),COUNTIFS(regAnalito,selAnalito,regNivel,2,regData,$C26,regRep1,"&lt;&gt;")&gt;0),SUMIFS(regRep1,regAnalito,selAnalito,regNivel,2,regData,$C26),NA())</f>
        <v>#N/A</v>
      </c>
      <c r="AU26" s="30" t="e">
        <f>IF(AND($D26=1,(""&amp;loteAnalise)=(""&amp;loteCarregado),COUNTIFS(regAnalito,selAnalito,regNivel,2,regData,$C26,regRep2,"&lt;&gt;")&gt;0),SUMIFS(regRep2,regAnalito,selAnalito,regNivel,2,regData,$C26),NA())</f>
        <v>#N/A</v>
      </c>
      <c r="AV26" s="30" t="e">
        <f>IF(AND($D26=1,(""&amp;loteAnalise)=(""&amp;loteCarregado),COUNTIFS(regAnalito,selAnalito,regNivel,2,regData,$C26,regRep3,"&lt;&gt;")&gt;0),SUMIFS(regRep3,regAnalito,selAnalito,regNivel,2,regData,$C26),NA())</f>
        <v>#N/A</v>
      </c>
      <c r="AW26" s="30" t="e">
        <f>IF(AND($D26=1,COUNTIFS(regAnalito,selAnalito,regData,$C26,regCalib,"Sim")&gt;0),$BV$1,NA())</f>
        <v>#N/A</v>
      </c>
      <c r="AX26" s="30">
        <f>IF($B26="","",IF(INDEX(engValN3,$A26)="","",INDEX(engValN3,$A26)))</f>
        <v>5.1561000000000003</v>
      </c>
      <c r="AY26" s="30">
        <f t="shared" si="23"/>
        <v>0.96521739130436368</v>
      </c>
      <c r="AZ26" s="30">
        <f t="shared" si="24"/>
        <v>5.1561000000000003</v>
      </c>
      <c r="BA26" s="30">
        <f t="shared" si="25"/>
        <v>5.1561000000000003</v>
      </c>
      <c r="BB26" s="30" t="e">
        <f t="shared" si="26"/>
        <v>#N/A</v>
      </c>
      <c r="BC26" s="30">
        <f>IF($AX26="",0,IFERROR(INDEX(engDados,MATCH(selAnalito&amp;"|"&amp;$B26,engChave,0),17),0))</f>
        <v>0</v>
      </c>
      <c r="BD26" s="30">
        <f>IF($AX26="",0,IFERROR(INDEX(engDados,MATCH(selAnalito&amp;"|"&amp;$B26,engChave,0),18),0))</f>
        <v>0</v>
      </c>
      <c r="BE26" s="30">
        <f>IF($AX26="",0,IFERROR(INDEX(engDados,MATCH(selAnalito&amp;"|"&amp;$B26,engChave,0),19),0))</f>
        <v>0</v>
      </c>
      <c r="BF26" s="30">
        <f>IF($AX26="",0,IFERROR(INDEX(engDados,MATCH(selAnalito&amp;"|"&amp;$B26,engChave,0),20),0))</f>
        <v>0</v>
      </c>
      <c r="BG26" s="30">
        <f>IF($AX26="",0,IFERROR(INDEX(engDados,MATCH(selAnalito&amp;"|"&amp;$B26,engChave,0),21),0))</f>
        <v>0</v>
      </c>
      <c r="BH26" s="30" t="str">
        <f>IF($AX26="","",IFERROR(INDEX(engDados,MATCH(selAnalito&amp;"|"&amp;$B26,engChave,0),23),""))</f>
        <v>OK</v>
      </c>
      <c r="BI26" s="30">
        <f t="shared" si="27"/>
        <v>5.0192999999999994</v>
      </c>
      <c r="BJ26" s="30">
        <f t="shared" si="28"/>
        <v>5.0537999999999998</v>
      </c>
      <c r="BK26" s="30">
        <f t="shared" si="29"/>
        <v>5.0882999999999994</v>
      </c>
      <c r="BL26" s="30">
        <f t="shared" si="30"/>
        <v>5.1227999999999998</v>
      </c>
      <c r="BM26" s="30">
        <f t="shared" si="31"/>
        <v>5.1573000000000002</v>
      </c>
      <c r="BN26" s="30">
        <f t="shared" si="32"/>
        <v>5.1917999999999997</v>
      </c>
      <c r="BO26" s="30">
        <f t="shared" si="33"/>
        <v>5.2263000000000002</v>
      </c>
      <c r="BP26" s="30" t="e">
        <f>IF(AND($D26=1,(""&amp;loteAnalise)=(""&amp;loteCarregado),COUNTIFS(regAnalito,selAnalito,regNivel,3,regData,$C26,regRep1,"&lt;&gt;")&gt;0),SUMIFS(regRep1,regAnalito,selAnalito,regNivel,3,regData,$C26),NA())</f>
        <v>#N/A</v>
      </c>
      <c r="BQ26" s="30" t="e">
        <f>IF(AND($D26=1,(""&amp;loteAnalise)=(""&amp;loteCarregado),COUNTIFS(regAnalito,selAnalito,regNivel,3,regData,$C26,regRep2,"&lt;&gt;")&gt;0),SUMIFS(regRep2,regAnalito,selAnalito,regNivel,3,regData,$C26),NA())</f>
        <v>#N/A</v>
      </c>
      <c r="BR26" s="30" t="e">
        <f>IF(AND($D26=1,(""&amp;loteAnalise)=(""&amp;loteCarregado),COUNTIFS(regAnalito,selAnalito,regNivel,3,regData,$C26,regRep3,"&lt;&gt;")&gt;0),SUMIFS(regRep3,regAnalito,selAnalito,regNivel,3,regData,$C26),NA())</f>
        <v>#N/A</v>
      </c>
      <c r="BS26" s="30" t="e">
        <f>IF(AND($D26=1,COUNTIFS(regAnalito,selAnalito,regData,$C26,regCalib,"Sim")&gt;0),$BX$1,NA())</f>
        <v>#N/A</v>
      </c>
    </row>
    <row r="27" spans="1:71" x14ac:dyDescent="0.3">
      <c r="A27" s="30">
        <v>25</v>
      </c>
      <c r="B27" s="30">
        <f>IF(OR(selAnalito="",(""&amp;engAnalito)&lt;&gt;(""&amp;selAnalito),(""&amp;engLote)&lt;&gt;(""&amp;loteAnalise),$A27&gt;N(engNRun)),"",INDEX(engRUN,$A27))</f>
        <v>25</v>
      </c>
      <c r="C27" s="43">
        <f>IF($B27="","",IF(INDEX(engData,$A27)="","",INDEX(engData,$A27)))</f>
        <v>45831</v>
      </c>
      <c r="D27" s="30">
        <f>IF($C27="",0,IF(AND(OR(filtroDe="",INT($C27)&gt;=INT(filtroDe)),OR(filtroAte="",INT($C27)&lt;=INT(filtroAte))),1,0))</f>
        <v>1</v>
      </c>
      <c r="E27" s="30">
        <f t="shared" si="0"/>
        <v>25</v>
      </c>
      <c r="F27" s="30">
        <f>IF($B27="","",IF(INDEX(engValN1,$A27)="","",INDEX(engValN1,$A27)))</f>
        <v>2.2618999999999998</v>
      </c>
      <c r="G27" s="30">
        <f t="shared" si="1"/>
        <v>-2.0410958904109675</v>
      </c>
      <c r="H27" s="30">
        <f t="shared" si="2"/>
        <v>2.2618999999999998</v>
      </c>
      <c r="I27" s="30">
        <f t="shared" si="3"/>
        <v>2.2618999999999998</v>
      </c>
      <c r="J27" s="30" t="e">
        <f t="shared" si="4"/>
        <v>#N/A</v>
      </c>
      <c r="K27" s="30">
        <f>IF($F27="",0,IFERROR(INDEX(engDados,MATCH(selAnalito&amp;"|"&amp;$B27,engChave,0),3),0))</f>
        <v>0</v>
      </c>
      <c r="L27" s="30">
        <f>IF($F27="",0,IFERROR(INDEX(engDados,MATCH(selAnalito&amp;"|"&amp;$B27,engChave,0),4),0))</f>
        <v>0</v>
      </c>
      <c r="M27" s="30">
        <f>IF($F27="",0,IFERROR(INDEX(engDados,MATCH(selAnalito&amp;"|"&amp;$B27,engChave,0),5),0))</f>
        <v>0</v>
      </c>
      <c r="N27" s="30">
        <f>IF($F27="",0,IFERROR(INDEX(engDados,MATCH(selAnalito&amp;"|"&amp;$B27,engChave,0),6),0))</f>
        <v>0</v>
      </c>
      <c r="O27" s="30">
        <f>IF($F27="",0,IFERROR(INDEX(engDados,MATCH(selAnalito&amp;"|"&amp;$B27,engChave,0),7),0))</f>
        <v>0</v>
      </c>
      <c r="P27" s="30" t="str">
        <f>IF($F27="","",IFERROR(INDEX(engDados,MATCH(selAnalito&amp;"|"&amp;$B27,engChave,0),9),""))</f>
        <v>OK</v>
      </c>
      <c r="Q27" s="30">
        <f t="shared" si="5"/>
        <v>2.2408999999999999</v>
      </c>
      <c r="R27" s="30">
        <f t="shared" si="6"/>
        <v>2.2627999999999999</v>
      </c>
      <c r="S27" s="30">
        <f t="shared" si="7"/>
        <v>2.2847</v>
      </c>
      <c r="T27" s="30">
        <f t="shared" si="8"/>
        <v>2.3066</v>
      </c>
      <c r="U27" s="30">
        <f t="shared" si="9"/>
        <v>2.3285</v>
      </c>
      <c r="V27" s="30">
        <f t="shared" si="10"/>
        <v>2.3504</v>
      </c>
      <c r="W27" s="30">
        <f t="shared" si="11"/>
        <v>2.3723000000000001</v>
      </c>
      <c r="X27" s="30" t="e">
        <f>IF(AND($D27=1,(""&amp;loteAnalise)=(""&amp;loteCarregado),COUNTIFS(regAnalito,selAnalito,regNivel,1,regData,$C27,regRep1,"&lt;&gt;")&gt;0),SUMIFS(regRep1,regAnalito,selAnalito,regNivel,1,regData,$C27),NA())</f>
        <v>#N/A</v>
      </c>
      <c r="Y27" s="30" t="e">
        <f>IF(AND($D27=1,(""&amp;loteAnalise)=(""&amp;loteCarregado),COUNTIFS(regAnalito,selAnalito,regNivel,1,regData,$C27,regRep2,"&lt;&gt;")&gt;0),SUMIFS(regRep2,regAnalito,selAnalito,regNivel,1,regData,$C27),NA())</f>
        <v>#N/A</v>
      </c>
      <c r="Z27" s="30" t="e">
        <f>IF(AND($D27=1,(""&amp;loteAnalise)=(""&amp;loteCarregado),COUNTIFS(regAnalito,selAnalito,regNivel,1,regData,$C27,regRep3,"&lt;&gt;")&gt;0),SUMIFS(regRep3,regAnalito,selAnalito,regNivel,1,regData,$C27),NA())</f>
        <v>#N/A</v>
      </c>
      <c r="AA27" s="30" t="e">
        <f>IF(AND($D27=1,COUNTIFS(regAnalito,selAnalito,regData,$C27,regCalib,"Sim")&gt;0),$BT$1,NA())</f>
        <v>#N/A</v>
      </c>
      <c r="AB27" s="30">
        <f>IF($B27="","",IF(INDEX(engValN2,$A27)="","",INDEX(engValN2,$A27)))</f>
        <v>4.3372999999999999</v>
      </c>
      <c r="AC27" s="30">
        <f t="shared" si="12"/>
        <v>-1.1314285714285737</v>
      </c>
      <c r="AD27" s="30">
        <f t="shared" si="13"/>
        <v>4.3372999999999999</v>
      </c>
      <c r="AE27" s="30">
        <f t="shared" si="14"/>
        <v>4.3372999999999999</v>
      </c>
      <c r="AF27" s="30" t="e">
        <f t="shared" si="15"/>
        <v>#N/A</v>
      </c>
      <c r="AG27" s="30">
        <f>IF($AB27="",0,IFERROR(INDEX(engDados,MATCH(selAnalito&amp;"|"&amp;$B27,engChave,0),10),0))</f>
        <v>0</v>
      </c>
      <c r="AH27" s="30">
        <f>IF($AB27="",0,IFERROR(INDEX(engDados,MATCH(selAnalito&amp;"|"&amp;$B27,engChave,0),11),0))</f>
        <v>0</v>
      </c>
      <c r="AI27" s="30">
        <f>IF($AB27="",0,IFERROR(INDEX(engDados,MATCH(selAnalito&amp;"|"&amp;$B27,engChave,0),12),0))</f>
        <v>0</v>
      </c>
      <c r="AJ27" s="30">
        <f>IF($AB27="",0,IFERROR(INDEX(engDados,MATCH(selAnalito&amp;"|"&amp;$B27,engChave,0),13),0))</f>
        <v>0</v>
      </c>
      <c r="AK27" s="30">
        <f>IF($AB27="",0,IFERROR(INDEX(engDados,MATCH(selAnalito&amp;"|"&amp;$B27,engChave,0),14),0))</f>
        <v>0</v>
      </c>
      <c r="AL27" s="30" t="str">
        <f>IF($AB27="","",IFERROR(INDEX(engDados,MATCH(selAnalito&amp;"|"&amp;$B27,engChave,0),16),""))</f>
        <v>OK</v>
      </c>
      <c r="AM27" s="30">
        <f t="shared" si="16"/>
        <v>4.2718999999999996</v>
      </c>
      <c r="AN27" s="30">
        <f t="shared" si="17"/>
        <v>4.3068999999999997</v>
      </c>
      <c r="AO27" s="30">
        <f t="shared" si="18"/>
        <v>4.3418999999999999</v>
      </c>
      <c r="AP27" s="30">
        <f t="shared" si="19"/>
        <v>4.3769</v>
      </c>
      <c r="AQ27" s="30">
        <f t="shared" si="20"/>
        <v>4.4119000000000002</v>
      </c>
      <c r="AR27" s="30">
        <f t="shared" si="21"/>
        <v>4.4469000000000003</v>
      </c>
      <c r="AS27" s="30">
        <f t="shared" si="22"/>
        <v>4.4819000000000004</v>
      </c>
      <c r="AT27" s="30" t="e">
        <f>IF(AND($D27=1,(""&amp;loteAnalise)=(""&amp;loteCarregado),COUNTIFS(regAnalito,selAnalito,regNivel,2,regData,$C27,regRep1,"&lt;&gt;")&gt;0),SUMIFS(regRep1,regAnalito,selAnalito,regNivel,2,regData,$C27),NA())</f>
        <v>#N/A</v>
      </c>
      <c r="AU27" s="30" t="e">
        <f>IF(AND($D27=1,(""&amp;loteAnalise)=(""&amp;loteCarregado),COUNTIFS(regAnalito,selAnalito,regNivel,2,regData,$C27,regRep2,"&lt;&gt;")&gt;0),SUMIFS(regRep2,regAnalito,selAnalito,regNivel,2,regData,$C27),NA())</f>
        <v>#N/A</v>
      </c>
      <c r="AV27" s="30" t="e">
        <f>IF(AND($D27=1,(""&amp;loteAnalise)=(""&amp;loteCarregado),COUNTIFS(regAnalito,selAnalito,regNivel,2,regData,$C27,regRep3,"&lt;&gt;")&gt;0),SUMIFS(regRep3,regAnalito,selAnalito,regNivel,2,regData,$C27),NA())</f>
        <v>#N/A</v>
      </c>
      <c r="AW27" s="30" t="e">
        <f>IF(AND($D27=1,COUNTIFS(regAnalito,selAnalito,regData,$C27,regCalib,"Sim")&gt;0),$BV$1,NA())</f>
        <v>#N/A</v>
      </c>
      <c r="AX27" s="30">
        <f>IF($B27="","",IF(INDEX(engValN3,$A27)="","",INDEX(engValN3,$A27)))</f>
        <v>5.1231999999999998</v>
      </c>
      <c r="AY27" s="30">
        <f t="shared" si="23"/>
        <v>1.1594202898549446E-2</v>
      </c>
      <c r="AZ27" s="30">
        <f t="shared" si="24"/>
        <v>5.1231999999999998</v>
      </c>
      <c r="BA27" s="30">
        <f t="shared" si="25"/>
        <v>5.1231999999999998</v>
      </c>
      <c r="BB27" s="30" t="e">
        <f t="shared" si="26"/>
        <v>#N/A</v>
      </c>
      <c r="BC27" s="30">
        <f>IF($AX27="",0,IFERROR(INDEX(engDados,MATCH(selAnalito&amp;"|"&amp;$B27,engChave,0),17),0))</f>
        <v>0</v>
      </c>
      <c r="BD27" s="30">
        <f>IF($AX27="",0,IFERROR(INDEX(engDados,MATCH(selAnalito&amp;"|"&amp;$B27,engChave,0),18),0))</f>
        <v>0</v>
      </c>
      <c r="BE27" s="30">
        <f>IF($AX27="",0,IFERROR(INDEX(engDados,MATCH(selAnalito&amp;"|"&amp;$B27,engChave,0),19),0))</f>
        <v>0</v>
      </c>
      <c r="BF27" s="30">
        <f>IF($AX27="",0,IFERROR(INDEX(engDados,MATCH(selAnalito&amp;"|"&amp;$B27,engChave,0),20),0))</f>
        <v>0</v>
      </c>
      <c r="BG27" s="30">
        <f>IF($AX27="",0,IFERROR(INDEX(engDados,MATCH(selAnalito&amp;"|"&amp;$B27,engChave,0),21),0))</f>
        <v>0</v>
      </c>
      <c r="BH27" s="30" t="str">
        <f>IF($AX27="","",IFERROR(INDEX(engDados,MATCH(selAnalito&amp;"|"&amp;$B27,engChave,0),23),""))</f>
        <v>OK</v>
      </c>
      <c r="BI27" s="30">
        <f t="shared" si="27"/>
        <v>5.0192999999999994</v>
      </c>
      <c r="BJ27" s="30">
        <f t="shared" si="28"/>
        <v>5.0537999999999998</v>
      </c>
      <c r="BK27" s="30">
        <f t="shared" si="29"/>
        <v>5.0882999999999994</v>
      </c>
      <c r="BL27" s="30">
        <f t="shared" si="30"/>
        <v>5.1227999999999998</v>
      </c>
      <c r="BM27" s="30">
        <f t="shared" si="31"/>
        <v>5.1573000000000002</v>
      </c>
      <c r="BN27" s="30">
        <f t="shared" si="32"/>
        <v>5.1917999999999997</v>
      </c>
      <c r="BO27" s="30">
        <f t="shared" si="33"/>
        <v>5.2263000000000002</v>
      </c>
      <c r="BP27" s="30" t="e">
        <f>IF(AND($D27=1,(""&amp;loteAnalise)=(""&amp;loteCarregado),COUNTIFS(regAnalito,selAnalito,regNivel,3,regData,$C27,regRep1,"&lt;&gt;")&gt;0),SUMIFS(regRep1,regAnalito,selAnalito,regNivel,3,regData,$C27),NA())</f>
        <v>#N/A</v>
      </c>
      <c r="BQ27" s="30" t="e">
        <f>IF(AND($D27=1,(""&amp;loteAnalise)=(""&amp;loteCarregado),COUNTIFS(regAnalito,selAnalito,regNivel,3,regData,$C27,regRep2,"&lt;&gt;")&gt;0),SUMIFS(regRep2,regAnalito,selAnalito,regNivel,3,regData,$C27),NA())</f>
        <v>#N/A</v>
      </c>
      <c r="BR27" s="30" t="e">
        <f>IF(AND($D27=1,(""&amp;loteAnalise)=(""&amp;loteCarregado),COUNTIFS(regAnalito,selAnalito,regNivel,3,regData,$C27,regRep3,"&lt;&gt;")&gt;0),SUMIFS(regRep3,regAnalito,selAnalito,regNivel,3,regData,$C27),NA())</f>
        <v>#N/A</v>
      </c>
      <c r="BS27" s="30" t="e">
        <f>IF(AND($D27=1,COUNTIFS(regAnalito,selAnalito,regData,$C27,regCalib,"Sim")&gt;0),$BX$1,NA())</f>
        <v>#N/A</v>
      </c>
    </row>
    <row r="28" spans="1:71" x14ac:dyDescent="0.3">
      <c r="A28" s="30">
        <v>26</v>
      </c>
      <c r="B28" s="30" t="str">
        <f>IF(OR(selAnalito="",(""&amp;engAnalito)&lt;&gt;(""&amp;selAnalito),(""&amp;engLote)&lt;&gt;(""&amp;loteAnalise),$A28&gt;N(engNRun)),"",INDEX(engRUN,$A28))</f>
        <v/>
      </c>
      <c r="C28" s="43" t="str">
        <f>IF($B28="","",IF(INDEX(engData,$A28)="","",INDEX(engData,$A28)))</f>
        <v/>
      </c>
      <c r="D28" s="30">
        <f>IF($C28="",0,IF(AND(OR(filtroDe="",INT($C28)&gt;=INT(filtroDe)),OR(filtroAte="",INT($C28)&lt;=INT(filtroAte))),1,0))</f>
        <v>0</v>
      </c>
      <c r="E28" s="30" t="e">
        <f t="shared" si="0"/>
        <v>#N/A</v>
      </c>
      <c r="F28" s="30" t="str">
        <f>IF($B28="","",IF(INDEX(engValN1,$A28)="","",INDEX(engValN1,$A28)))</f>
        <v/>
      </c>
      <c r="G28" s="30" t="str">
        <f t="shared" si="1"/>
        <v/>
      </c>
      <c r="H28" s="30" t="e">
        <f t="shared" si="2"/>
        <v>#N/A</v>
      </c>
      <c r="I28" s="30" t="e">
        <f t="shared" si="3"/>
        <v>#N/A</v>
      </c>
      <c r="J28" s="30" t="e">
        <f t="shared" si="4"/>
        <v>#N/A</v>
      </c>
      <c r="K28" s="30">
        <f>IF($F28="",0,IFERROR(INDEX(engDados,MATCH(selAnalito&amp;"|"&amp;$B28,engChave,0),3),0))</f>
        <v>0</v>
      </c>
      <c r="L28" s="30">
        <f>IF($F28="",0,IFERROR(INDEX(engDados,MATCH(selAnalito&amp;"|"&amp;$B28,engChave,0),4),0))</f>
        <v>0</v>
      </c>
      <c r="M28" s="30">
        <f>IF($F28="",0,IFERROR(INDEX(engDados,MATCH(selAnalito&amp;"|"&amp;$B28,engChave,0),5),0))</f>
        <v>0</v>
      </c>
      <c r="N28" s="30">
        <f>IF($F28="",0,IFERROR(INDEX(engDados,MATCH(selAnalito&amp;"|"&amp;$B28,engChave,0),6),0))</f>
        <v>0</v>
      </c>
      <c r="O28" s="30">
        <f>IF($F28="",0,IFERROR(INDEX(engDados,MATCH(selAnalito&amp;"|"&amp;$B28,engChave,0),7),0))</f>
        <v>0</v>
      </c>
      <c r="P28" s="30" t="str">
        <f>IF($F28="","",IFERROR(INDEX(engDados,MATCH(selAnalito&amp;"|"&amp;$B28,engChave,0),9),""))</f>
        <v/>
      </c>
      <c r="Q28" s="30" t="e">
        <f t="shared" si="5"/>
        <v>#N/A</v>
      </c>
      <c r="R28" s="30" t="e">
        <f t="shared" si="6"/>
        <v>#N/A</v>
      </c>
      <c r="S28" s="30" t="e">
        <f t="shared" si="7"/>
        <v>#N/A</v>
      </c>
      <c r="T28" s="30" t="e">
        <f t="shared" si="8"/>
        <v>#N/A</v>
      </c>
      <c r="U28" s="30" t="e">
        <f t="shared" si="9"/>
        <v>#N/A</v>
      </c>
      <c r="V28" s="30" t="e">
        <f t="shared" si="10"/>
        <v>#N/A</v>
      </c>
      <c r="W28" s="30" t="e">
        <f t="shared" si="11"/>
        <v>#N/A</v>
      </c>
      <c r="X28" s="30" t="e">
        <f>IF(AND($D28=1,(""&amp;loteAnalise)=(""&amp;loteCarregado),COUNTIFS(regAnalito,selAnalito,regNivel,1,regData,$C28,regRep1,"&lt;&gt;")&gt;0),SUMIFS(regRep1,regAnalito,selAnalito,regNivel,1,regData,$C28),NA())</f>
        <v>#N/A</v>
      </c>
      <c r="Y28" s="30" t="e">
        <f>IF(AND($D28=1,(""&amp;loteAnalise)=(""&amp;loteCarregado),COUNTIFS(regAnalito,selAnalito,regNivel,1,regData,$C28,regRep2,"&lt;&gt;")&gt;0),SUMIFS(regRep2,regAnalito,selAnalito,regNivel,1,regData,$C28),NA())</f>
        <v>#N/A</v>
      </c>
      <c r="Z28" s="30" t="e">
        <f>IF(AND($D28=1,(""&amp;loteAnalise)=(""&amp;loteCarregado),COUNTIFS(regAnalito,selAnalito,regNivel,1,regData,$C28,regRep3,"&lt;&gt;")&gt;0),SUMIFS(regRep3,regAnalito,selAnalito,regNivel,1,regData,$C28),NA())</f>
        <v>#N/A</v>
      </c>
      <c r="AA28" s="30" t="e">
        <f>IF(AND($D28=1,COUNTIFS(regAnalito,selAnalito,regData,$C28,regCalib,"Sim")&gt;0),$BT$1,NA())</f>
        <v>#N/A</v>
      </c>
      <c r="AB28" s="30" t="str">
        <f>IF($B28="","",IF(INDEX(engValN2,$A28)="","",INDEX(engValN2,$A28)))</f>
        <v/>
      </c>
      <c r="AC28" s="30" t="str">
        <f t="shared" si="12"/>
        <v/>
      </c>
      <c r="AD28" s="30" t="e">
        <f t="shared" si="13"/>
        <v>#N/A</v>
      </c>
      <c r="AE28" s="30" t="e">
        <f t="shared" si="14"/>
        <v>#N/A</v>
      </c>
      <c r="AF28" s="30" t="e">
        <f t="shared" si="15"/>
        <v>#N/A</v>
      </c>
      <c r="AG28" s="30">
        <f>IF($AB28="",0,IFERROR(INDEX(engDados,MATCH(selAnalito&amp;"|"&amp;$B28,engChave,0),10),0))</f>
        <v>0</v>
      </c>
      <c r="AH28" s="30">
        <f>IF($AB28="",0,IFERROR(INDEX(engDados,MATCH(selAnalito&amp;"|"&amp;$B28,engChave,0),11),0))</f>
        <v>0</v>
      </c>
      <c r="AI28" s="30">
        <f>IF($AB28="",0,IFERROR(INDEX(engDados,MATCH(selAnalito&amp;"|"&amp;$B28,engChave,0),12),0))</f>
        <v>0</v>
      </c>
      <c r="AJ28" s="30">
        <f>IF($AB28="",0,IFERROR(INDEX(engDados,MATCH(selAnalito&amp;"|"&amp;$B28,engChave,0),13),0))</f>
        <v>0</v>
      </c>
      <c r="AK28" s="30">
        <f>IF($AB28="",0,IFERROR(INDEX(engDados,MATCH(selAnalito&amp;"|"&amp;$B28,engChave,0),14),0))</f>
        <v>0</v>
      </c>
      <c r="AL28" s="30" t="str">
        <f>IF($AB28="","",IFERROR(INDEX(engDados,MATCH(selAnalito&amp;"|"&amp;$B28,engChave,0),16),""))</f>
        <v/>
      </c>
      <c r="AM28" s="30" t="e">
        <f t="shared" si="16"/>
        <v>#N/A</v>
      </c>
      <c r="AN28" s="30" t="e">
        <f t="shared" si="17"/>
        <v>#N/A</v>
      </c>
      <c r="AO28" s="30" t="e">
        <f t="shared" si="18"/>
        <v>#N/A</v>
      </c>
      <c r="AP28" s="30" t="e">
        <f t="shared" si="19"/>
        <v>#N/A</v>
      </c>
      <c r="AQ28" s="30" t="e">
        <f t="shared" si="20"/>
        <v>#N/A</v>
      </c>
      <c r="AR28" s="30" t="e">
        <f t="shared" si="21"/>
        <v>#N/A</v>
      </c>
      <c r="AS28" s="30" t="e">
        <f t="shared" si="22"/>
        <v>#N/A</v>
      </c>
      <c r="AT28" s="30" t="e">
        <f>IF(AND($D28=1,(""&amp;loteAnalise)=(""&amp;loteCarregado),COUNTIFS(regAnalito,selAnalito,regNivel,2,regData,$C28,regRep1,"&lt;&gt;")&gt;0),SUMIFS(regRep1,regAnalito,selAnalito,regNivel,2,regData,$C28),NA())</f>
        <v>#N/A</v>
      </c>
      <c r="AU28" s="30" t="e">
        <f>IF(AND($D28=1,(""&amp;loteAnalise)=(""&amp;loteCarregado),COUNTIFS(regAnalito,selAnalito,regNivel,2,regData,$C28,regRep2,"&lt;&gt;")&gt;0),SUMIFS(regRep2,regAnalito,selAnalito,regNivel,2,regData,$C28),NA())</f>
        <v>#N/A</v>
      </c>
      <c r="AV28" s="30" t="e">
        <f>IF(AND($D28=1,(""&amp;loteAnalise)=(""&amp;loteCarregado),COUNTIFS(regAnalito,selAnalito,regNivel,2,regData,$C28,regRep3,"&lt;&gt;")&gt;0),SUMIFS(regRep3,regAnalito,selAnalito,regNivel,2,regData,$C28),NA())</f>
        <v>#N/A</v>
      </c>
      <c r="AW28" s="30" t="e">
        <f>IF(AND($D28=1,COUNTIFS(regAnalito,selAnalito,regData,$C28,regCalib,"Sim")&gt;0),$BV$1,NA())</f>
        <v>#N/A</v>
      </c>
      <c r="AX28" s="30" t="str">
        <f>IF($B28="","",IF(INDEX(engValN3,$A28)="","",INDEX(engValN3,$A28)))</f>
        <v/>
      </c>
      <c r="AY28" s="30" t="str">
        <f t="shared" si="23"/>
        <v/>
      </c>
      <c r="AZ28" s="30" t="e">
        <f t="shared" si="24"/>
        <v>#N/A</v>
      </c>
      <c r="BA28" s="30" t="e">
        <f t="shared" si="25"/>
        <v>#N/A</v>
      </c>
      <c r="BB28" s="30" t="e">
        <f t="shared" si="26"/>
        <v>#N/A</v>
      </c>
      <c r="BC28" s="30">
        <f>IF($AX28="",0,IFERROR(INDEX(engDados,MATCH(selAnalito&amp;"|"&amp;$B28,engChave,0),17),0))</f>
        <v>0</v>
      </c>
      <c r="BD28" s="30">
        <f>IF($AX28="",0,IFERROR(INDEX(engDados,MATCH(selAnalito&amp;"|"&amp;$B28,engChave,0),18),0))</f>
        <v>0</v>
      </c>
      <c r="BE28" s="30">
        <f>IF($AX28="",0,IFERROR(INDEX(engDados,MATCH(selAnalito&amp;"|"&amp;$B28,engChave,0),19),0))</f>
        <v>0</v>
      </c>
      <c r="BF28" s="30">
        <f>IF($AX28="",0,IFERROR(INDEX(engDados,MATCH(selAnalito&amp;"|"&amp;$B28,engChave,0),20),0))</f>
        <v>0</v>
      </c>
      <c r="BG28" s="30">
        <f>IF($AX28="",0,IFERROR(INDEX(engDados,MATCH(selAnalito&amp;"|"&amp;$B28,engChave,0),21),0))</f>
        <v>0</v>
      </c>
      <c r="BH28" s="30" t="str">
        <f>IF($AX28="","",IFERROR(INDEX(engDados,MATCH(selAnalito&amp;"|"&amp;$B28,engChave,0),23),""))</f>
        <v/>
      </c>
      <c r="BI28" s="30" t="e">
        <f t="shared" si="27"/>
        <v>#N/A</v>
      </c>
      <c r="BJ28" s="30" t="e">
        <f t="shared" si="28"/>
        <v>#N/A</v>
      </c>
      <c r="BK28" s="30" t="e">
        <f t="shared" si="29"/>
        <v>#N/A</v>
      </c>
      <c r="BL28" s="30" t="e">
        <f t="shared" si="30"/>
        <v>#N/A</v>
      </c>
      <c r="BM28" s="30" t="e">
        <f t="shared" si="31"/>
        <v>#N/A</v>
      </c>
      <c r="BN28" s="30" t="e">
        <f t="shared" si="32"/>
        <v>#N/A</v>
      </c>
      <c r="BO28" s="30" t="e">
        <f t="shared" si="33"/>
        <v>#N/A</v>
      </c>
      <c r="BP28" s="30" t="e">
        <f>IF(AND($D28=1,(""&amp;loteAnalise)=(""&amp;loteCarregado),COUNTIFS(regAnalito,selAnalito,regNivel,3,regData,$C28,regRep1,"&lt;&gt;")&gt;0),SUMIFS(regRep1,regAnalito,selAnalito,regNivel,3,regData,$C28),NA())</f>
        <v>#N/A</v>
      </c>
      <c r="BQ28" s="30" t="e">
        <f>IF(AND($D28=1,(""&amp;loteAnalise)=(""&amp;loteCarregado),COUNTIFS(regAnalito,selAnalito,regNivel,3,regData,$C28,regRep2,"&lt;&gt;")&gt;0),SUMIFS(regRep2,regAnalito,selAnalito,regNivel,3,regData,$C28),NA())</f>
        <v>#N/A</v>
      </c>
      <c r="BR28" s="30" t="e">
        <f>IF(AND($D28=1,(""&amp;loteAnalise)=(""&amp;loteCarregado),COUNTIFS(regAnalito,selAnalito,regNivel,3,regData,$C28,regRep3,"&lt;&gt;")&gt;0),SUMIFS(regRep3,regAnalito,selAnalito,regNivel,3,regData,$C28),NA())</f>
        <v>#N/A</v>
      </c>
      <c r="BS28" s="30" t="e">
        <f>IF(AND($D28=1,COUNTIFS(regAnalito,selAnalito,regData,$C28,regCalib,"Sim")&gt;0),$BX$1,NA())</f>
        <v>#N/A</v>
      </c>
    </row>
    <row r="29" spans="1:71" x14ac:dyDescent="0.3">
      <c r="A29" s="30">
        <v>27</v>
      </c>
      <c r="B29" s="30" t="str">
        <f>IF(OR(selAnalito="",(""&amp;engAnalito)&lt;&gt;(""&amp;selAnalito),(""&amp;engLote)&lt;&gt;(""&amp;loteAnalise),$A29&gt;N(engNRun)),"",INDEX(engRUN,$A29))</f>
        <v/>
      </c>
      <c r="C29" s="43" t="str">
        <f>IF($B29="","",IF(INDEX(engData,$A29)="","",INDEX(engData,$A29)))</f>
        <v/>
      </c>
      <c r="D29" s="30">
        <f>IF($C29="",0,IF(AND(OR(filtroDe="",INT($C29)&gt;=INT(filtroDe)),OR(filtroAte="",INT($C29)&lt;=INT(filtroAte))),1,0))</f>
        <v>0</v>
      </c>
      <c r="E29" s="30" t="e">
        <f t="shared" si="0"/>
        <v>#N/A</v>
      </c>
      <c r="F29" s="30" t="str">
        <f>IF($B29="","",IF(INDEX(engValN1,$A29)="","",INDEX(engValN1,$A29)))</f>
        <v/>
      </c>
      <c r="G29" s="30" t="str">
        <f t="shared" si="1"/>
        <v/>
      </c>
      <c r="H29" s="30" t="e">
        <f t="shared" si="2"/>
        <v>#N/A</v>
      </c>
      <c r="I29" s="30" t="e">
        <f t="shared" si="3"/>
        <v>#N/A</v>
      </c>
      <c r="J29" s="30" t="e">
        <f t="shared" si="4"/>
        <v>#N/A</v>
      </c>
      <c r="K29" s="30">
        <f>IF($F29="",0,IFERROR(INDEX(engDados,MATCH(selAnalito&amp;"|"&amp;$B29,engChave,0),3),0))</f>
        <v>0</v>
      </c>
      <c r="L29" s="30">
        <f>IF($F29="",0,IFERROR(INDEX(engDados,MATCH(selAnalito&amp;"|"&amp;$B29,engChave,0),4),0))</f>
        <v>0</v>
      </c>
      <c r="M29" s="30">
        <f>IF($F29="",0,IFERROR(INDEX(engDados,MATCH(selAnalito&amp;"|"&amp;$B29,engChave,0),5),0))</f>
        <v>0</v>
      </c>
      <c r="N29" s="30">
        <f>IF($F29="",0,IFERROR(INDEX(engDados,MATCH(selAnalito&amp;"|"&amp;$B29,engChave,0),6),0))</f>
        <v>0</v>
      </c>
      <c r="O29" s="30">
        <f>IF($F29="",0,IFERROR(INDEX(engDados,MATCH(selAnalito&amp;"|"&amp;$B29,engChave,0),7),0))</f>
        <v>0</v>
      </c>
      <c r="P29" s="30" t="str">
        <f>IF($F29="","",IFERROR(INDEX(engDados,MATCH(selAnalito&amp;"|"&amp;$B29,engChave,0),9),""))</f>
        <v/>
      </c>
      <c r="Q29" s="30" t="e">
        <f t="shared" si="5"/>
        <v>#N/A</v>
      </c>
      <c r="R29" s="30" t="e">
        <f t="shared" si="6"/>
        <v>#N/A</v>
      </c>
      <c r="S29" s="30" t="e">
        <f t="shared" si="7"/>
        <v>#N/A</v>
      </c>
      <c r="T29" s="30" t="e">
        <f t="shared" si="8"/>
        <v>#N/A</v>
      </c>
      <c r="U29" s="30" t="e">
        <f t="shared" si="9"/>
        <v>#N/A</v>
      </c>
      <c r="V29" s="30" t="e">
        <f t="shared" si="10"/>
        <v>#N/A</v>
      </c>
      <c r="W29" s="30" t="e">
        <f t="shared" si="11"/>
        <v>#N/A</v>
      </c>
      <c r="X29" s="30" t="e">
        <f>IF(AND($D29=1,(""&amp;loteAnalise)=(""&amp;loteCarregado),COUNTIFS(regAnalito,selAnalito,regNivel,1,regData,$C29,regRep1,"&lt;&gt;")&gt;0),SUMIFS(regRep1,regAnalito,selAnalito,regNivel,1,regData,$C29),NA())</f>
        <v>#N/A</v>
      </c>
      <c r="Y29" s="30" t="e">
        <f>IF(AND($D29=1,(""&amp;loteAnalise)=(""&amp;loteCarregado),COUNTIFS(regAnalito,selAnalito,regNivel,1,regData,$C29,regRep2,"&lt;&gt;")&gt;0),SUMIFS(regRep2,regAnalito,selAnalito,regNivel,1,regData,$C29),NA())</f>
        <v>#N/A</v>
      </c>
      <c r="Z29" s="30" t="e">
        <f>IF(AND($D29=1,(""&amp;loteAnalise)=(""&amp;loteCarregado),COUNTIFS(regAnalito,selAnalito,regNivel,1,regData,$C29,regRep3,"&lt;&gt;")&gt;0),SUMIFS(regRep3,regAnalito,selAnalito,regNivel,1,regData,$C29),NA())</f>
        <v>#N/A</v>
      </c>
      <c r="AA29" s="30" t="e">
        <f>IF(AND($D29=1,COUNTIFS(regAnalito,selAnalito,regData,$C29,regCalib,"Sim")&gt;0),$BT$1,NA())</f>
        <v>#N/A</v>
      </c>
      <c r="AB29" s="30" t="str">
        <f>IF($B29="","",IF(INDEX(engValN2,$A29)="","",INDEX(engValN2,$A29)))</f>
        <v/>
      </c>
      <c r="AC29" s="30" t="str">
        <f t="shared" si="12"/>
        <v/>
      </c>
      <c r="AD29" s="30" t="e">
        <f t="shared" si="13"/>
        <v>#N/A</v>
      </c>
      <c r="AE29" s="30" t="e">
        <f t="shared" si="14"/>
        <v>#N/A</v>
      </c>
      <c r="AF29" s="30" t="e">
        <f t="shared" si="15"/>
        <v>#N/A</v>
      </c>
      <c r="AG29" s="30">
        <f>IF($AB29="",0,IFERROR(INDEX(engDados,MATCH(selAnalito&amp;"|"&amp;$B29,engChave,0),10),0))</f>
        <v>0</v>
      </c>
      <c r="AH29" s="30">
        <f>IF($AB29="",0,IFERROR(INDEX(engDados,MATCH(selAnalito&amp;"|"&amp;$B29,engChave,0),11),0))</f>
        <v>0</v>
      </c>
      <c r="AI29" s="30">
        <f>IF($AB29="",0,IFERROR(INDEX(engDados,MATCH(selAnalito&amp;"|"&amp;$B29,engChave,0),12),0))</f>
        <v>0</v>
      </c>
      <c r="AJ29" s="30">
        <f>IF($AB29="",0,IFERROR(INDEX(engDados,MATCH(selAnalito&amp;"|"&amp;$B29,engChave,0),13),0))</f>
        <v>0</v>
      </c>
      <c r="AK29" s="30">
        <f>IF($AB29="",0,IFERROR(INDEX(engDados,MATCH(selAnalito&amp;"|"&amp;$B29,engChave,0),14),0))</f>
        <v>0</v>
      </c>
      <c r="AL29" s="30" t="str">
        <f>IF($AB29="","",IFERROR(INDEX(engDados,MATCH(selAnalito&amp;"|"&amp;$B29,engChave,0),16),""))</f>
        <v/>
      </c>
      <c r="AM29" s="30" t="e">
        <f t="shared" si="16"/>
        <v>#N/A</v>
      </c>
      <c r="AN29" s="30" t="e">
        <f t="shared" si="17"/>
        <v>#N/A</v>
      </c>
      <c r="AO29" s="30" t="e">
        <f t="shared" si="18"/>
        <v>#N/A</v>
      </c>
      <c r="AP29" s="30" t="e">
        <f t="shared" si="19"/>
        <v>#N/A</v>
      </c>
      <c r="AQ29" s="30" t="e">
        <f t="shared" si="20"/>
        <v>#N/A</v>
      </c>
      <c r="AR29" s="30" t="e">
        <f t="shared" si="21"/>
        <v>#N/A</v>
      </c>
      <c r="AS29" s="30" t="e">
        <f t="shared" si="22"/>
        <v>#N/A</v>
      </c>
      <c r="AT29" s="30" t="e">
        <f>IF(AND($D29=1,(""&amp;loteAnalise)=(""&amp;loteCarregado),COUNTIFS(regAnalito,selAnalito,regNivel,2,regData,$C29,regRep1,"&lt;&gt;")&gt;0),SUMIFS(regRep1,regAnalito,selAnalito,regNivel,2,regData,$C29),NA())</f>
        <v>#N/A</v>
      </c>
      <c r="AU29" s="30" t="e">
        <f>IF(AND($D29=1,(""&amp;loteAnalise)=(""&amp;loteCarregado),COUNTIFS(regAnalito,selAnalito,regNivel,2,regData,$C29,regRep2,"&lt;&gt;")&gt;0),SUMIFS(regRep2,regAnalito,selAnalito,regNivel,2,regData,$C29),NA())</f>
        <v>#N/A</v>
      </c>
      <c r="AV29" s="30" t="e">
        <f>IF(AND($D29=1,(""&amp;loteAnalise)=(""&amp;loteCarregado),COUNTIFS(regAnalito,selAnalito,regNivel,2,regData,$C29,regRep3,"&lt;&gt;")&gt;0),SUMIFS(regRep3,regAnalito,selAnalito,regNivel,2,regData,$C29),NA())</f>
        <v>#N/A</v>
      </c>
      <c r="AW29" s="30" t="e">
        <f>IF(AND($D29=1,COUNTIFS(regAnalito,selAnalito,regData,$C29,regCalib,"Sim")&gt;0),$BV$1,NA())</f>
        <v>#N/A</v>
      </c>
      <c r="AX29" s="30" t="str">
        <f>IF($B29="","",IF(INDEX(engValN3,$A29)="","",INDEX(engValN3,$A29)))</f>
        <v/>
      </c>
      <c r="AY29" s="30" t="str">
        <f t="shared" si="23"/>
        <v/>
      </c>
      <c r="AZ29" s="30" t="e">
        <f t="shared" si="24"/>
        <v>#N/A</v>
      </c>
      <c r="BA29" s="30" t="e">
        <f t="shared" si="25"/>
        <v>#N/A</v>
      </c>
      <c r="BB29" s="30" t="e">
        <f t="shared" si="26"/>
        <v>#N/A</v>
      </c>
      <c r="BC29" s="30">
        <f>IF($AX29="",0,IFERROR(INDEX(engDados,MATCH(selAnalito&amp;"|"&amp;$B29,engChave,0),17),0))</f>
        <v>0</v>
      </c>
      <c r="BD29" s="30">
        <f>IF($AX29="",0,IFERROR(INDEX(engDados,MATCH(selAnalito&amp;"|"&amp;$B29,engChave,0),18),0))</f>
        <v>0</v>
      </c>
      <c r="BE29" s="30">
        <f>IF($AX29="",0,IFERROR(INDEX(engDados,MATCH(selAnalito&amp;"|"&amp;$B29,engChave,0),19),0))</f>
        <v>0</v>
      </c>
      <c r="BF29" s="30">
        <f>IF($AX29="",0,IFERROR(INDEX(engDados,MATCH(selAnalito&amp;"|"&amp;$B29,engChave,0),20),0))</f>
        <v>0</v>
      </c>
      <c r="BG29" s="30">
        <f>IF($AX29="",0,IFERROR(INDEX(engDados,MATCH(selAnalito&amp;"|"&amp;$B29,engChave,0),21),0))</f>
        <v>0</v>
      </c>
      <c r="BH29" s="30" t="str">
        <f>IF($AX29="","",IFERROR(INDEX(engDados,MATCH(selAnalito&amp;"|"&amp;$B29,engChave,0),23),""))</f>
        <v/>
      </c>
      <c r="BI29" s="30" t="e">
        <f t="shared" si="27"/>
        <v>#N/A</v>
      </c>
      <c r="BJ29" s="30" t="e">
        <f t="shared" si="28"/>
        <v>#N/A</v>
      </c>
      <c r="BK29" s="30" t="e">
        <f t="shared" si="29"/>
        <v>#N/A</v>
      </c>
      <c r="BL29" s="30" t="e">
        <f t="shared" si="30"/>
        <v>#N/A</v>
      </c>
      <c r="BM29" s="30" t="e">
        <f t="shared" si="31"/>
        <v>#N/A</v>
      </c>
      <c r="BN29" s="30" t="e">
        <f t="shared" si="32"/>
        <v>#N/A</v>
      </c>
      <c r="BO29" s="30" t="e">
        <f t="shared" si="33"/>
        <v>#N/A</v>
      </c>
      <c r="BP29" s="30" t="e">
        <f>IF(AND($D29=1,(""&amp;loteAnalise)=(""&amp;loteCarregado),COUNTIFS(regAnalito,selAnalito,regNivel,3,regData,$C29,regRep1,"&lt;&gt;")&gt;0),SUMIFS(regRep1,regAnalito,selAnalito,regNivel,3,regData,$C29),NA())</f>
        <v>#N/A</v>
      </c>
      <c r="BQ29" s="30" t="e">
        <f>IF(AND($D29=1,(""&amp;loteAnalise)=(""&amp;loteCarregado),COUNTIFS(regAnalito,selAnalito,regNivel,3,regData,$C29,regRep2,"&lt;&gt;")&gt;0),SUMIFS(regRep2,regAnalito,selAnalito,regNivel,3,regData,$C29),NA())</f>
        <v>#N/A</v>
      </c>
      <c r="BR29" s="30" t="e">
        <f>IF(AND($D29=1,(""&amp;loteAnalise)=(""&amp;loteCarregado),COUNTIFS(regAnalito,selAnalito,regNivel,3,regData,$C29,regRep3,"&lt;&gt;")&gt;0),SUMIFS(regRep3,regAnalito,selAnalito,regNivel,3,regData,$C29),NA())</f>
        <v>#N/A</v>
      </c>
      <c r="BS29" s="30" t="e">
        <f>IF(AND($D29=1,COUNTIFS(regAnalito,selAnalito,regData,$C29,regCalib,"Sim")&gt;0),$BX$1,NA())</f>
        <v>#N/A</v>
      </c>
    </row>
    <row r="30" spans="1:71" x14ac:dyDescent="0.3">
      <c r="A30" s="30">
        <v>28</v>
      </c>
      <c r="B30" s="30" t="str">
        <f>IF(OR(selAnalito="",(""&amp;engAnalito)&lt;&gt;(""&amp;selAnalito),(""&amp;engLote)&lt;&gt;(""&amp;loteAnalise),$A30&gt;N(engNRun)),"",INDEX(engRUN,$A30))</f>
        <v/>
      </c>
      <c r="C30" s="43" t="str">
        <f>IF($B30="","",IF(INDEX(engData,$A30)="","",INDEX(engData,$A30)))</f>
        <v/>
      </c>
      <c r="D30" s="30">
        <f>IF($C30="",0,IF(AND(OR(filtroDe="",INT($C30)&gt;=INT(filtroDe)),OR(filtroAte="",INT($C30)&lt;=INT(filtroAte))),1,0))</f>
        <v>0</v>
      </c>
      <c r="E30" s="30" t="e">
        <f t="shared" si="0"/>
        <v>#N/A</v>
      </c>
      <c r="F30" s="30" t="str">
        <f>IF($B30="","",IF(INDEX(engValN1,$A30)="","",INDEX(engValN1,$A30)))</f>
        <v/>
      </c>
      <c r="G30" s="30" t="str">
        <f t="shared" si="1"/>
        <v/>
      </c>
      <c r="H30" s="30" t="e">
        <f t="shared" si="2"/>
        <v>#N/A</v>
      </c>
      <c r="I30" s="30" t="e">
        <f t="shared" si="3"/>
        <v>#N/A</v>
      </c>
      <c r="J30" s="30" t="e">
        <f t="shared" si="4"/>
        <v>#N/A</v>
      </c>
      <c r="K30" s="30">
        <f>IF($F30="",0,IFERROR(INDEX(engDados,MATCH(selAnalito&amp;"|"&amp;$B30,engChave,0),3),0))</f>
        <v>0</v>
      </c>
      <c r="L30" s="30">
        <f>IF($F30="",0,IFERROR(INDEX(engDados,MATCH(selAnalito&amp;"|"&amp;$B30,engChave,0),4),0))</f>
        <v>0</v>
      </c>
      <c r="M30" s="30">
        <f>IF($F30="",0,IFERROR(INDEX(engDados,MATCH(selAnalito&amp;"|"&amp;$B30,engChave,0),5),0))</f>
        <v>0</v>
      </c>
      <c r="N30" s="30">
        <f>IF($F30="",0,IFERROR(INDEX(engDados,MATCH(selAnalito&amp;"|"&amp;$B30,engChave,0),6),0))</f>
        <v>0</v>
      </c>
      <c r="O30" s="30">
        <f>IF($F30="",0,IFERROR(INDEX(engDados,MATCH(selAnalito&amp;"|"&amp;$B30,engChave,0),7),0))</f>
        <v>0</v>
      </c>
      <c r="P30" s="30" t="str">
        <f>IF($F30="","",IFERROR(INDEX(engDados,MATCH(selAnalito&amp;"|"&amp;$B30,engChave,0),9),""))</f>
        <v/>
      </c>
      <c r="Q30" s="30" t="e">
        <f t="shared" si="5"/>
        <v>#N/A</v>
      </c>
      <c r="R30" s="30" t="e">
        <f t="shared" si="6"/>
        <v>#N/A</v>
      </c>
      <c r="S30" s="30" t="e">
        <f t="shared" si="7"/>
        <v>#N/A</v>
      </c>
      <c r="T30" s="30" t="e">
        <f t="shared" si="8"/>
        <v>#N/A</v>
      </c>
      <c r="U30" s="30" t="e">
        <f t="shared" si="9"/>
        <v>#N/A</v>
      </c>
      <c r="V30" s="30" t="e">
        <f t="shared" si="10"/>
        <v>#N/A</v>
      </c>
      <c r="W30" s="30" t="e">
        <f t="shared" si="11"/>
        <v>#N/A</v>
      </c>
      <c r="X30" s="30" t="e">
        <f>IF(AND($D30=1,(""&amp;loteAnalise)=(""&amp;loteCarregado),COUNTIFS(regAnalito,selAnalito,regNivel,1,regData,$C30,regRep1,"&lt;&gt;")&gt;0),SUMIFS(regRep1,regAnalito,selAnalito,regNivel,1,regData,$C30),NA())</f>
        <v>#N/A</v>
      </c>
      <c r="Y30" s="30" t="e">
        <f>IF(AND($D30=1,(""&amp;loteAnalise)=(""&amp;loteCarregado),COUNTIFS(regAnalito,selAnalito,regNivel,1,regData,$C30,regRep2,"&lt;&gt;")&gt;0),SUMIFS(regRep2,regAnalito,selAnalito,regNivel,1,regData,$C30),NA())</f>
        <v>#N/A</v>
      </c>
      <c r="Z30" s="30" t="e">
        <f>IF(AND($D30=1,(""&amp;loteAnalise)=(""&amp;loteCarregado),COUNTIFS(regAnalito,selAnalito,regNivel,1,regData,$C30,regRep3,"&lt;&gt;")&gt;0),SUMIFS(regRep3,regAnalito,selAnalito,regNivel,1,regData,$C30),NA())</f>
        <v>#N/A</v>
      </c>
      <c r="AA30" s="30" t="e">
        <f>IF(AND($D30=1,COUNTIFS(regAnalito,selAnalito,regData,$C30,regCalib,"Sim")&gt;0),$BT$1,NA())</f>
        <v>#N/A</v>
      </c>
      <c r="AB30" s="30" t="str">
        <f>IF($B30="","",IF(INDEX(engValN2,$A30)="","",INDEX(engValN2,$A30)))</f>
        <v/>
      </c>
      <c r="AC30" s="30" t="str">
        <f t="shared" si="12"/>
        <v/>
      </c>
      <c r="AD30" s="30" t="e">
        <f t="shared" si="13"/>
        <v>#N/A</v>
      </c>
      <c r="AE30" s="30" t="e">
        <f t="shared" si="14"/>
        <v>#N/A</v>
      </c>
      <c r="AF30" s="30" t="e">
        <f t="shared" si="15"/>
        <v>#N/A</v>
      </c>
      <c r="AG30" s="30">
        <f>IF($AB30="",0,IFERROR(INDEX(engDados,MATCH(selAnalito&amp;"|"&amp;$B30,engChave,0),10),0))</f>
        <v>0</v>
      </c>
      <c r="AH30" s="30">
        <f>IF($AB30="",0,IFERROR(INDEX(engDados,MATCH(selAnalito&amp;"|"&amp;$B30,engChave,0),11),0))</f>
        <v>0</v>
      </c>
      <c r="AI30" s="30">
        <f>IF($AB30="",0,IFERROR(INDEX(engDados,MATCH(selAnalito&amp;"|"&amp;$B30,engChave,0),12),0))</f>
        <v>0</v>
      </c>
      <c r="AJ30" s="30">
        <f>IF($AB30="",0,IFERROR(INDEX(engDados,MATCH(selAnalito&amp;"|"&amp;$B30,engChave,0),13),0))</f>
        <v>0</v>
      </c>
      <c r="AK30" s="30">
        <f>IF($AB30="",0,IFERROR(INDEX(engDados,MATCH(selAnalito&amp;"|"&amp;$B30,engChave,0),14),0))</f>
        <v>0</v>
      </c>
      <c r="AL30" s="30" t="str">
        <f>IF($AB30="","",IFERROR(INDEX(engDados,MATCH(selAnalito&amp;"|"&amp;$B30,engChave,0),16),""))</f>
        <v/>
      </c>
      <c r="AM30" s="30" t="e">
        <f t="shared" si="16"/>
        <v>#N/A</v>
      </c>
      <c r="AN30" s="30" t="e">
        <f t="shared" si="17"/>
        <v>#N/A</v>
      </c>
      <c r="AO30" s="30" t="e">
        <f t="shared" si="18"/>
        <v>#N/A</v>
      </c>
      <c r="AP30" s="30" t="e">
        <f t="shared" si="19"/>
        <v>#N/A</v>
      </c>
      <c r="AQ30" s="30" t="e">
        <f t="shared" si="20"/>
        <v>#N/A</v>
      </c>
      <c r="AR30" s="30" t="e">
        <f t="shared" si="21"/>
        <v>#N/A</v>
      </c>
      <c r="AS30" s="30" t="e">
        <f t="shared" si="22"/>
        <v>#N/A</v>
      </c>
      <c r="AT30" s="30" t="e">
        <f>IF(AND($D30=1,(""&amp;loteAnalise)=(""&amp;loteCarregado),COUNTIFS(regAnalito,selAnalito,regNivel,2,regData,$C30,regRep1,"&lt;&gt;")&gt;0),SUMIFS(regRep1,regAnalito,selAnalito,regNivel,2,regData,$C30),NA())</f>
        <v>#N/A</v>
      </c>
      <c r="AU30" s="30" t="e">
        <f>IF(AND($D30=1,(""&amp;loteAnalise)=(""&amp;loteCarregado),COUNTIFS(regAnalito,selAnalito,regNivel,2,regData,$C30,regRep2,"&lt;&gt;")&gt;0),SUMIFS(regRep2,regAnalito,selAnalito,regNivel,2,regData,$C30),NA())</f>
        <v>#N/A</v>
      </c>
      <c r="AV30" s="30" t="e">
        <f>IF(AND($D30=1,(""&amp;loteAnalise)=(""&amp;loteCarregado),COUNTIFS(regAnalito,selAnalito,regNivel,2,regData,$C30,regRep3,"&lt;&gt;")&gt;0),SUMIFS(regRep3,regAnalito,selAnalito,regNivel,2,regData,$C30),NA())</f>
        <v>#N/A</v>
      </c>
      <c r="AW30" s="30" t="e">
        <f>IF(AND($D30=1,COUNTIFS(regAnalito,selAnalito,regData,$C30,regCalib,"Sim")&gt;0),$BV$1,NA())</f>
        <v>#N/A</v>
      </c>
      <c r="AX30" s="30" t="str">
        <f>IF($B30="","",IF(INDEX(engValN3,$A30)="","",INDEX(engValN3,$A30)))</f>
        <v/>
      </c>
      <c r="AY30" s="30" t="str">
        <f t="shared" si="23"/>
        <v/>
      </c>
      <c r="AZ30" s="30" t="e">
        <f t="shared" si="24"/>
        <v>#N/A</v>
      </c>
      <c r="BA30" s="30" t="e">
        <f t="shared" si="25"/>
        <v>#N/A</v>
      </c>
      <c r="BB30" s="30" t="e">
        <f t="shared" si="26"/>
        <v>#N/A</v>
      </c>
      <c r="BC30" s="30">
        <f>IF($AX30="",0,IFERROR(INDEX(engDados,MATCH(selAnalito&amp;"|"&amp;$B30,engChave,0),17),0))</f>
        <v>0</v>
      </c>
      <c r="BD30" s="30">
        <f>IF($AX30="",0,IFERROR(INDEX(engDados,MATCH(selAnalito&amp;"|"&amp;$B30,engChave,0),18),0))</f>
        <v>0</v>
      </c>
      <c r="BE30" s="30">
        <f>IF($AX30="",0,IFERROR(INDEX(engDados,MATCH(selAnalito&amp;"|"&amp;$B30,engChave,0),19),0))</f>
        <v>0</v>
      </c>
      <c r="BF30" s="30">
        <f>IF($AX30="",0,IFERROR(INDEX(engDados,MATCH(selAnalito&amp;"|"&amp;$B30,engChave,0),20),0))</f>
        <v>0</v>
      </c>
      <c r="BG30" s="30">
        <f>IF($AX30="",0,IFERROR(INDEX(engDados,MATCH(selAnalito&amp;"|"&amp;$B30,engChave,0),21),0))</f>
        <v>0</v>
      </c>
      <c r="BH30" s="30" t="str">
        <f>IF($AX30="","",IFERROR(INDEX(engDados,MATCH(selAnalito&amp;"|"&amp;$B30,engChave,0),23),""))</f>
        <v/>
      </c>
      <c r="BI30" s="30" t="e">
        <f t="shared" si="27"/>
        <v>#N/A</v>
      </c>
      <c r="BJ30" s="30" t="e">
        <f t="shared" si="28"/>
        <v>#N/A</v>
      </c>
      <c r="BK30" s="30" t="e">
        <f t="shared" si="29"/>
        <v>#N/A</v>
      </c>
      <c r="BL30" s="30" t="e">
        <f t="shared" si="30"/>
        <v>#N/A</v>
      </c>
      <c r="BM30" s="30" t="e">
        <f t="shared" si="31"/>
        <v>#N/A</v>
      </c>
      <c r="BN30" s="30" t="e">
        <f t="shared" si="32"/>
        <v>#N/A</v>
      </c>
      <c r="BO30" s="30" t="e">
        <f t="shared" si="33"/>
        <v>#N/A</v>
      </c>
      <c r="BP30" s="30" t="e">
        <f>IF(AND($D30=1,(""&amp;loteAnalise)=(""&amp;loteCarregado),COUNTIFS(regAnalito,selAnalito,regNivel,3,regData,$C30,regRep1,"&lt;&gt;")&gt;0),SUMIFS(regRep1,regAnalito,selAnalito,regNivel,3,regData,$C30),NA())</f>
        <v>#N/A</v>
      </c>
      <c r="BQ30" s="30" t="e">
        <f>IF(AND($D30=1,(""&amp;loteAnalise)=(""&amp;loteCarregado),COUNTIFS(regAnalito,selAnalito,regNivel,3,regData,$C30,regRep2,"&lt;&gt;")&gt;0),SUMIFS(regRep2,regAnalito,selAnalito,regNivel,3,regData,$C30),NA())</f>
        <v>#N/A</v>
      </c>
      <c r="BR30" s="30" t="e">
        <f>IF(AND($D30=1,(""&amp;loteAnalise)=(""&amp;loteCarregado),COUNTIFS(regAnalito,selAnalito,regNivel,3,regData,$C30,regRep3,"&lt;&gt;")&gt;0),SUMIFS(regRep3,regAnalito,selAnalito,regNivel,3,regData,$C30),NA())</f>
        <v>#N/A</v>
      </c>
      <c r="BS30" s="30" t="e">
        <f>IF(AND($D30=1,COUNTIFS(regAnalito,selAnalito,regData,$C30,regCalib,"Sim")&gt;0),$BX$1,NA())</f>
        <v>#N/A</v>
      </c>
    </row>
    <row r="31" spans="1:71" x14ac:dyDescent="0.3">
      <c r="A31" s="30">
        <v>29</v>
      </c>
      <c r="B31" s="30" t="str">
        <f>IF(OR(selAnalito="",(""&amp;engAnalito)&lt;&gt;(""&amp;selAnalito),(""&amp;engLote)&lt;&gt;(""&amp;loteAnalise),$A31&gt;N(engNRun)),"",INDEX(engRUN,$A31))</f>
        <v/>
      </c>
      <c r="C31" s="43" t="str">
        <f>IF($B31="","",IF(INDEX(engData,$A31)="","",INDEX(engData,$A31)))</f>
        <v/>
      </c>
      <c r="D31" s="30">
        <f>IF($C31="",0,IF(AND(OR(filtroDe="",INT($C31)&gt;=INT(filtroDe)),OR(filtroAte="",INT($C31)&lt;=INT(filtroAte))),1,0))</f>
        <v>0</v>
      </c>
      <c r="E31" s="30" t="e">
        <f t="shared" si="0"/>
        <v>#N/A</v>
      </c>
      <c r="F31" s="30" t="str">
        <f>IF($B31="","",IF(INDEX(engValN1,$A31)="","",INDEX(engValN1,$A31)))</f>
        <v/>
      </c>
      <c r="G31" s="30" t="str">
        <f t="shared" si="1"/>
        <v/>
      </c>
      <c r="H31" s="30" t="e">
        <f t="shared" si="2"/>
        <v>#N/A</v>
      </c>
      <c r="I31" s="30" t="e">
        <f t="shared" si="3"/>
        <v>#N/A</v>
      </c>
      <c r="J31" s="30" t="e">
        <f t="shared" si="4"/>
        <v>#N/A</v>
      </c>
      <c r="K31" s="30">
        <f>IF($F31="",0,IFERROR(INDEX(engDados,MATCH(selAnalito&amp;"|"&amp;$B31,engChave,0),3),0))</f>
        <v>0</v>
      </c>
      <c r="L31" s="30">
        <f>IF($F31="",0,IFERROR(INDEX(engDados,MATCH(selAnalito&amp;"|"&amp;$B31,engChave,0),4),0))</f>
        <v>0</v>
      </c>
      <c r="M31" s="30">
        <f>IF($F31="",0,IFERROR(INDEX(engDados,MATCH(selAnalito&amp;"|"&amp;$B31,engChave,0),5),0))</f>
        <v>0</v>
      </c>
      <c r="N31" s="30">
        <f>IF($F31="",0,IFERROR(INDEX(engDados,MATCH(selAnalito&amp;"|"&amp;$B31,engChave,0),6),0))</f>
        <v>0</v>
      </c>
      <c r="O31" s="30">
        <f>IF($F31="",0,IFERROR(INDEX(engDados,MATCH(selAnalito&amp;"|"&amp;$B31,engChave,0),7),0))</f>
        <v>0</v>
      </c>
      <c r="P31" s="30" t="str">
        <f>IF($F31="","",IFERROR(INDEX(engDados,MATCH(selAnalito&amp;"|"&amp;$B31,engChave,0),9),""))</f>
        <v/>
      </c>
      <c r="Q31" s="30" t="e">
        <f t="shared" si="5"/>
        <v>#N/A</v>
      </c>
      <c r="R31" s="30" t="e">
        <f t="shared" si="6"/>
        <v>#N/A</v>
      </c>
      <c r="S31" s="30" t="e">
        <f t="shared" si="7"/>
        <v>#N/A</v>
      </c>
      <c r="T31" s="30" t="e">
        <f t="shared" si="8"/>
        <v>#N/A</v>
      </c>
      <c r="U31" s="30" t="e">
        <f t="shared" si="9"/>
        <v>#N/A</v>
      </c>
      <c r="V31" s="30" t="e">
        <f t="shared" si="10"/>
        <v>#N/A</v>
      </c>
      <c r="W31" s="30" t="e">
        <f t="shared" si="11"/>
        <v>#N/A</v>
      </c>
      <c r="X31" s="30" t="e">
        <f>IF(AND($D31=1,(""&amp;loteAnalise)=(""&amp;loteCarregado),COUNTIFS(regAnalito,selAnalito,regNivel,1,regData,$C31,regRep1,"&lt;&gt;")&gt;0),SUMIFS(regRep1,regAnalito,selAnalito,regNivel,1,regData,$C31),NA())</f>
        <v>#N/A</v>
      </c>
      <c r="Y31" s="30" t="e">
        <f>IF(AND($D31=1,(""&amp;loteAnalise)=(""&amp;loteCarregado),COUNTIFS(regAnalito,selAnalito,regNivel,1,regData,$C31,regRep2,"&lt;&gt;")&gt;0),SUMIFS(regRep2,regAnalito,selAnalito,regNivel,1,regData,$C31),NA())</f>
        <v>#N/A</v>
      </c>
      <c r="Z31" s="30" t="e">
        <f>IF(AND($D31=1,(""&amp;loteAnalise)=(""&amp;loteCarregado),COUNTIFS(regAnalito,selAnalito,regNivel,1,regData,$C31,regRep3,"&lt;&gt;")&gt;0),SUMIFS(regRep3,regAnalito,selAnalito,regNivel,1,regData,$C31),NA())</f>
        <v>#N/A</v>
      </c>
      <c r="AA31" s="30" t="e">
        <f>IF(AND($D31=1,COUNTIFS(regAnalito,selAnalito,regData,$C31,regCalib,"Sim")&gt;0),$BT$1,NA())</f>
        <v>#N/A</v>
      </c>
      <c r="AB31" s="30" t="str">
        <f>IF($B31="","",IF(INDEX(engValN2,$A31)="","",INDEX(engValN2,$A31)))</f>
        <v/>
      </c>
      <c r="AC31" s="30" t="str">
        <f t="shared" si="12"/>
        <v/>
      </c>
      <c r="AD31" s="30" t="e">
        <f t="shared" si="13"/>
        <v>#N/A</v>
      </c>
      <c r="AE31" s="30" t="e">
        <f t="shared" si="14"/>
        <v>#N/A</v>
      </c>
      <c r="AF31" s="30" t="e">
        <f t="shared" si="15"/>
        <v>#N/A</v>
      </c>
      <c r="AG31" s="30">
        <f>IF($AB31="",0,IFERROR(INDEX(engDados,MATCH(selAnalito&amp;"|"&amp;$B31,engChave,0),10),0))</f>
        <v>0</v>
      </c>
      <c r="AH31" s="30">
        <f>IF($AB31="",0,IFERROR(INDEX(engDados,MATCH(selAnalito&amp;"|"&amp;$B31,engChave,0),11),0))</f>
        <v>0</v>
      </c>
      <c r="AI31" s="30">
        <f>IF($AB31="",0,IFERROR(INDEX(engDados,MATCH(selAnalito&amp;"|"&amp;$B31,engChave,0),12),0))</f>
        <v>0</v>
      </c>
      <c r="AJ31" s="30">
        <f>IF($AB31="",0,IFERROR(INDEX(engDados,MATCH(selAnalito&amp;"|"&amp;$B31,engChave,0),13),0))</f>
        <v>0</v>
      </c>
      <c r="AK31" s="30">
        <f>IF($AB31="",0,IFERROR(INDEX(engDados,MATCH(selAnalito&amp;"|"&amp;$B31,engChave,0),14),0))</f>
        <v>0</v>
      </c>
      <c r="AL31" s="30" t="str">
        <f>IF($AB31="","",IFERROR(INDEX(engDados,MATCH(selAnalito&amp;"|"&amp;$B31,engChave,0),16),""))</f>
        <v/>
      </c>
      <c r="AM31" s="30" t="e">
        <f t="shared" si="16"/>
        <v>#N/A</v>
      </c>
      <c r="AN31" s="30" t="e">
        <f t="shared" si="17"/>
        <v>#N/A</v>
      </c>
      <c r="AO31" s="30" t="e">
        <f t="shared" si="18"/>
        <v>#N/A</v>
      </c>
      <c r="AP31" s="30" t="e">
        <f t="shared" si="19"/>
        <v>#N/A</v>
      </c>
      <c r="AQ31" s="30" t="e">
        <f t="shared" si="20"/>
        <v>#N/A</v>
      </c>
      <c r="AR31" s="30" t="e">
        <f t="shared" si="21"/>
        <v>#N/A</v>
      </c>
      <c r="AS31" s="30" t="e">
        <f t="shared" si="22"/>
        <v>#N/A</v>
      </c>
      <c r="AT31" s="30" t="e">
        <f>IF(AND($D31=1,(""&amp;loteAnalise)=(""&amp;loteCarregado),COUNTIFS(regAnalito,selAnalito,regNivel,2,regData,$C31,regRep1,"&lt;&gt;")&gt;0),SUMIFS(regRep1,regAnalito,selAnalito,regNivel,2,regData,$C31),NA())</f>
        <v>#N/A</v>
      </c>
      <c r="AU31" s="30" t="e">
        <f>IF(AND($D31=1,(""&amp;loteAnalise)=(""&amp;loteCarregado),COUNTIFS(regAnalito,selAnalito,regNivel,2,regData,$C31,regRep2,"&lt;&gt;")&gt;0),SUMIFS(regRep2,regAnalito,selAnalito,regNivel,2,regData,$C31),NA())</f>
        <v>#N/A</v>
      </c>
      <c r="AV31" s="30" t="e">
        <f>IF(AND($D31=1,(""&amp;loteAnalise)=(""&amp;loteCarregado),COUNTIFS(regAnalito,selAnalito,regNivel,2,regData,$C31,regRep3,"&lt;&gt;")&gt;0),SUMIFS(regRep3,regAnalito,selAnalito,regNivel,2,regData,$C31),NA())</f>
        <v>#N/A</v>
      </c>
      <c r="AW31" s="30" t="e">
        <f>IF(AND($D31=1,COUNTIFS(regAnalito,selAnalito,regData,$C31,regCalib,"Sim")&gt;0),$BV$1,NA())</f>
        <v>#N/A</v>
      </c>
      <c r="AX31" s="30" t="str">
        <f>IF($B31="","",IF(INDEX(engValN3,$A31)="","",INDEX(engValN3,$A31)))</f>
        <v/>
      </c>
      <c r="AY31" s="30" t="str">
        <f t="shared" si="23"/>
        <v/>
      </c>
      <c r="AZ31" s="30" t="e">
        <f t="shared" si="24"/>
        <v>#N/A</v>
      </c>
      <c r="BA31" s="30" t="e">
        <f t="shared" si="25"/>
        <v>#N/A</v>
      </c>
      <c r="BB31" s="30" t="e">
        <f t="shared" si="26"/>
        <v>#N/A</v>
      </c>
      <c r="BC31" s="30">
        <f>IF($AX31="",0,IFERROR(INDEX(engDados,MATCH(selAnalito&amp;"|"&amp;$B31,engChave,0),17),0))</f>
        <v>0</v>
      </c>
      <c r="BD31" s="30">
        <f>IF($AX31="",0,IFERROR(INDEX(engDados,MATCH(selAnalito&amp;"|"&amp;$B31,engChave,0),18),0))</f>
        <v>0</v>
      </c>
      <c r="BE31" s="30">
        <f>IF($AX31="",0,IFERROR(INDEX(engDados,MATCH(selAnalito&amp;"|"&amp;$B31,engChave,0),19),0))</f>
        <v>0</v>
      </c>
      <c r="BF31" s="30">
        <f>IF($AX31="",0,IFERROR(INDEX(engDados,MATCH(selAnalito&amp;"|"&amp;$B31,engChave,0),20),0))</f>
        <v>0</v>
      </c>
      <c r="BG31" s="30">
        <f>IF($AX31="",0,IFERROR(INDEX(engDados,MATCH(selAnalito&amp;"|"&amp;$B31,engChave,0),21),0))</f>
        <v>0</v>
      </c>
      <c r="BH31" s="30" t="str">
        <f>IF($AX31="","",IFERROR(INDEX(engDados,MATCH(selAnalito&amp;"|"&amp;$B31,engChave,0),23),""))</f>
        <v/>
      </c>
      <c r="BI31" s="30" t="e">
        <f t="shared" si="27"/>
        <v>#N/A</v>
      </c>
      <c r="BJ31" s="30" t="e">
        <f t="shared" si="28"/>
        <v>#N/A</v>
      </c>
      <c r="BK31" s="30" t="e">
        <f t="shared" si="29"/>
        <v>#N/A</v>
      </c>
      <c r="BL31" s="30" t="e">
        <f t="shared" si="30"/>
        <v>#N/A</v>
      </c>
      <c r="BM31" s="30" t="e">
        <f t="shared" si="31"/>
        <v>#N/A</v>
      </c>
      <c r="BN31" s="30" t="e">
        <f t="shared" si="32"/>
        <v>#N/A</v>
      </c>
      <c r="BO31" s="30" t="e">
        <f t="shared" si="33"/>
        <v>#N/A</v>
      </c>
      <c r="BP31" s="30" t="e">
        <f>IF(AND($D31=1,(""&amp;loteAnalise)=(""&amp;loteCarregado),COUNTIFS(regAnalito,selAnalito,regNivel,3,regData,$C31,regRep1,"&lt;&gt;")&gt;0),SUMIFS(regRep1,regAnalito,selAnalito,regNivel,3,regData,$C31),NA())</f>
        <v>#N/A</v>
      </c>
      <c r="BQ31" s="30" t="e">
        <f>IF(AND($D31=1,(""&amp;loteAnalise)=(""&amp;loteCarregado),COUNTIFS(regAnalito,selAnalito,regNivel,3,regData,$C31,regRep2,"&lt;&gt;")&gt;0),SUMIFS(regRep2,regAnalito,selAnalito,regNivel,3,regData,$C31),NA())</f>
        <v>#N/A</v>
      </c>
      <c r="BR31" s="30" t="e">
        <f>IF(AND($D31=1,(""&amp;loteAnalise)=(""&amp;loteCarregado),COUNTIFS(regAnalito,selAnalito,regNivel,3,regData,$C31,regRep3,"&lt;&gt;")&gt;0),SUMIFS(regRep3,regAnalito,selAnalito,regNivel,3,regData,$C31),NA())</f>
        <v>#N/A</v>
      </c>
      <c r="BS31" s="30" t="e">
        <f>IF(AND($D31=1,COUNTIFS(regAnalito,selAnalito,regData,$C31,regCalib,"Sim")&gt;0),$BX$1,NA())</f>
        <v>#N/A</v>
      </c>
    </row>
    <row r="32" spans="1:71" x14ac:dyDescent="0.3">
      <c r="A32" s="30">
        <v>30</v>
      </c>
      <c r="B32" s="30" t="str">
        <f>IF(OR(selAnalito="",(""&amp;engAnalito)&lt;&gt;(""&amp;selAnalito),(""&amp;engLote)&lt;&gt;(""&amp;loteAnalise),$A32&gt;N(engNRun)),"",INDEX(engRUN,$A32))</f>
        <v/>
      </c>
      <c r="C32" s="43" t="str">
        <f>IF($B32="","",IF(INDEX(engData,$A32)="","",INDEX(engData,$A32)))</f>
        <v/>
      </c>
      <c r="D32" s="30">
        <f>IF($C32="",0,IF(AND(OR(filtroDe="",INT($C32)&gt;=INT(filtroDe)),OR(filtroAte="",INT($C32)&lt;=INT(filtroAte))),1,0))</f>
        <v>0</v>
      </c>
      <c r="E32" s="30" t="e">
        <f t="shared" si="0"/>
        <v>#N/A</v>
      </c>
      <c r="F32" s="30" t="str">
        <f>IF($B32="","",IF(INDEX(engValN1,$A32)="","",INDEX(engValN1,$A32)))</f>
        <v/>
      </c>
      <c r="G32" s="30" t="str">
        <f t="shared" si="1"/>
        <v/>
      </c>
      <c r="H32" s="30" t="e">
        <f t="shared" si="2"/>
        <v>#N/A</v>
      </c>
      <c r="I32" s="30" t="e">
        <f t="shared" si="3"/>
        <v>#N/A</v>
      </c>
      <c r="J32" s="30" t="e">
        <f t="shared" si="4"/>
        <v>#N/A</v>
      </c>
      <c r="K32" s="30">
        <f>IF($F32="",0,IFERROR(INDEX(engDados,MATCH(selAnalito&amp;"|"&amp;$B32,engChave,0),3),0))</f>
        <v>0</v>
      </c>
      <c r="L32" s="30">
        <f>IF($F32="",0,IFERROR(INDEX(engDados,MATCH(selAnalito&amp;"|"&amp;$B32,engChave,0),4),0))</f>
        <v>0</v>
      </c>
      <c r="M32" s="30">
        <f>IF($F32="",0,IFERROR(INDEX(engDados,MATCH(selAnalito&amp;"|"&amp;$B32,engChave,0),5),0))</f>
        <v>0</v>
      </c>
      <c r="N32" s="30">
        <f>IF($F32="",0,IFERROR(INDEX(engDados,MATCH(selAnalito&amp;"|"&amp;$B32,engChave,0),6),0))</f>
        <v>0</v>
      </c>
      <c r="O32" s="30">
        <f>IF($F32="",0,IFERROR(INDEX(engDados,MATCH(selAnalito&amp;"|"&amp;$B32,engChave,0),7),0))</f>
        <v>0</v>
      </c>
      <c r="P32" s="30" t="str">
        <f>IF($F32="","",IFERROR(INDEX(engDados,MATCH(selAnalito&amp;"|"&amp;$B32,engChave,0),9),""))</f>
        <v/>
      </c>
      <c r="Q32" s="30" t="e">
        <f t="shared" si="5"/>
        <v>#N/A</v>
      </c>
      <c r="R32" s="30" t="e">
        <f t="shared" si="6"/>
        <v>#N/A</v>
      </c>
      <c r="S32" s="30" t="e">
        <f t="shared" si="7"/>
        <v>#N/A</v>
      </c>
      <c r="T32" s="30" t="e">
        <f t="shared" si="8"/>
        <v>#N/A</v>
      </c>
      <c r="U32" s="30" t="e">
        <f t="shared" si="9"/>
        <v>#N/A</v>
      </c>
      <c r="V32" s="30" t="e">
        <f t="shared" si="10"/>
        <v>#N/A</v>
      </c>
      <c r="W32" s="30" t="e">
        <f t="shared" si="11"/>
        <v>#N/A</v>
      </c>
      <c r="X32" s="30" t="e">
        <f>IF(AND($D32=1,(""&amp;loteAnalise)=(""&amp;loteCarregado),COUNTIFS(regAnalito,selAnalito,regNivel,1,regData,$C32,regRep1,"&lt;&gt;")&gt;0),SUMIFS(regRep1,regAnalito,selAnalito,regNivel,1,regData,$C32),NA())</f>
        <v>#N/A</v>
      </c>
      <c r="Y32" s="30" t="e">
        <f>IF(AND($D32=1,(""&amp;loteAnalise)=(""&amp;loteCarregado),COUNTIFS(regAnalito,selAnalito,regNivel,1,regData,$C32,regRep2,"&lt;&gt;")&gt;0),SUMIFS(regRep2,regAnalito,selAnalito,regNivel,1,regData,$C32),NA())</f>
        <v>#N/A</v>
      </c>
      <c r="Z32" s="30" t="e">
        <f>IF(AND($D32=1,(""&amp;loteAnalise)=(""&amp;loteCarregado),COUNTIFS(regAnalito,selAnalito,regNivel,1,regData,$C32,regRep3,"&lt;&gt;")&gt;0),SUMIFS(regRep3,regAnalito,selAnalito,regNivel,1,regData,$C32),NA())</f>
        <v>#N/A</v>
      </c>
      <c r="AA32" s="30" t="e">
        <f>IF(AND($D32=1,COUNTIFS(regAnalito,selAnalito,regData,$C32,regCalib,"Sim")&gt;0),$BT$1,NA())</f>
        <v>#N/A</v>
      </c>
      <c r="AB32" s="30" t="str">
        <f>IF($B32="","",IF(INDEX(engValN2,$A32)="","",INDEX(engValN2,$A32)))</f>
        <v/>
      </c>
      <c r="AC32" s="30" t="str">
        <f t="shared" si="12"/>
        <v/>
      </c>
      <c r="AD32" s="30" t="e">
        <f t="shared" si="13"/>
        <v>#N/A</v>
      </c>
      <c r="AE32" s="30" t="e">
        <f t="shared" si="14"/>
        <v>#N/A</v>
      </c>
      <c r="AF32" s="30" t="e">
        <f t="shared" si="15"/>
        <v>#N/A</v>
      </c>
      <c r="AG32" s="30">
        <f>IF($AB32="",0,IFERROR(INDEX(engDados,MATCH(selAnalito&amp;"|"&amp;$B32,engChave,0),10),0))</f>
        <v>0</v>
      </c>
      <c r="AH32" s="30">
        <f>IF($AB32="",0,IFERROR(INDEX(engDados,MATCH(selAnalito&amp;"|"&amp;$B32,engChave,0),11),0))</f>
        <v>0</v>
      </c>
      <c r="AI32" s="30">
        <f>IF($AB32="",0,IFERROR(INDEX(engDados,MATCH(selAnalito&amp;"|"&amp;$B32,engChave,0),12),0))</f>
        <v>0</v>
      </c>
      <c r="AJ32" s="30">
        <f>IF($AB32="",0,IFERROR(INDEX(engDados,MATCH(selAnalito&amp;"|"&amp;$B32,engChave,0),13),0))</f>
        <v>0</v>
      </c>
      <c r="AK32" s="30">
        <f>IF($AB32="",0,IFERROR(INDEX(engDados,MATCH(selAnalito&amp;"|"&amp;$B32,engChave,0),14),0))</f>
        <v>0</v>
      </c>
      <c r="AL32" s="30" t="str">
        <f>IF($AB32="","",IFERROR(INDEX(engDados,MATCH(selAnalito&amp;"|"&amp;$B32,engChave,0),16),""))</f>
        <v/>
      </c>
      <c r="AM32" s="30" t="e">
        <f t="shared" si="16"/>
        <v>#N/A</v>
      </c>
      <c r="AN32" s="30" t="e">
        <f t="shared" si="17"/>
        <v>#N/A</v>
      </c>
      <c r="AO32" s="30" t="e">
        <f t="shared" si="18"/>
        <v>#N/A</v>
      </c>
      <c r="AP32" s="30" t="e">
        <f t="shared" si="19"/>
        <v>#N/A</v>
      </c>
      <c r="AQ32" s="30" t="e">
        <f t="shared" si="20"/>
        <v>#N/A</v>
      </c>
      <c r="AR32" s="30" t="e">
        <f t="shared" si="21"/>
        <v>#N/A</v>
      </c>
      <c r="AS32" s="30" t="e">
        <f t="shared" si="22"/>
        <v>#N/A</v>
      </c>
      <c r="AT32" s="30" t="e">
        <f>IF(AND($D32=1,(""&amp;loteAnalise)=(""&amp;loteCarregado),COUNTIFS(regAnalito,selAnalito,regNivel,2,regData,$C32,regRep1,"&lt;&gt;")&gt;0),SUMIFS(regRep1,regAnalito,selAnalito,regNivel,2,regData,$C32),NA())</f>
        <v>#N/A</v>
      </c>
      <c r="AU32" s="30" t="e">
        <f>IF(AND($D32=1,(""&amp;loteAnalise)=(""&amp;loteCarregado),COUNTIFS(regAnalito,selAnalito,regNivel,2,regData,$C32,regRep2,"&lt;&gt;")&gt;0),SUMIFS(regRep2,regAnalito,selAnalito,regNivel,2,regData,$C32),NA())</f>
        <v>#N/A</v>
      </c>
      <c r="AV32" s="30" t="e">
        <f>IF(AND($D32=1,(""&amp;loteAnalise)=(""&amp;loteCarregado),COUNTIFS(regAnalito,selAnalito,regNivel,2,regData,$C32,regRep3,"&lt;&gt;")&gt;0),SUMIFS(regRep3,regAnalito,selAnalito,regNivel,2,regData,$C32),NA())</f>
        <v>#N/A</v>
      </c>
      <c r="AW32" s="30" t="e">
        <f>IF(AND($D32=1,COUNTIFS(regAnalito,selAnalito,regData,$C32,regCalib,"Sim")&gt;0),$BV$1,NA())</f>
        <v>#N/A</v>
      </c>
      <c r="AX32" s="30" t="str">
        <f>IF($B32="","",IF(INDEX(engValN3,$A32)="","",INDEX(engValN3,$A32)))</f>
        <v/>
      </c>
      <c r="AY32" s="30" t="str">
        <f t="shared" si="23"/>
        <v/>
      </c>
      <c r="AZ32" s="30" t="e">
        <f t="shared" si="24"/>
        <v>#N/A</v>
      </c>
      <c r="BA32" s="30" t="e">
        <f t="shared" si="25"/>
        <v>#N/A</v>
      </c>
      <c r="BB32" s="30" t="e">
        <f t="shared" si="26"/>
        <v>#N/A</v>
      </c>
      <c r="BC32" s="30">
        <f>IF($AX32="",0,IFERROR(INDEX(engDados,MATCH(selAnalito&amp;"|"&amp;$B32,engChave,0),17),0))</f>
        <v>0</v>
      </c>
      <c r="BD32" s="30">
        <f>IF($AX32="",0,IFERROR(INDEX(engDados,MATCH(selAnalito&amp;"|"&amp;$B32,engChave,0),18),0))</f>
        <v>0</v>
      </c>
      <c r="BE32" s="30">
        <f>IF($AX32="",0,IFERROR(INDEX(engDados,MATCH(selAnalito&amp;"|"&amp;$B32,engChave,0),19),0))</f>
        <v>0</v>
      </c>
      <c r="BF32" s="30">
        <f>IF($AX32="",0,IFERROR(INDEX(engDados,MATCH(selAnalito&amp;"|"&amp;$B32,engChave,0),20),0))</f>
        <v>0</v>
      </c>
      <c r="BG32" s="30">
        <f>IF($AX32="",0,IFERROR(INDEX(engDados,MATCH(selAnalito&amp;"|"&amp;$B32,engChave,0),21),0))</f>
        <v>0</v>
      </c>
      <c r="BH32" s="30" t="str">
        <f>IF($AX32="","",IFERROR(INDEX(engDados,MATCH(selAnalito&amp;"|"&amp;$B32,engChave,0),23),""))</f>
        <v/>
      </c>
      <c r="BI32" s="30" t="e">
        <f t="shared" si="27"/>
        <v>#N/A</v>
      </c>
      <c r="BJ32" s="30" t="e">
        <f t="shared" si="28"/>
        <v>#N/A</v>
      </c>
      <c r="BK32" s="30" t="e">
        <f t="shared" si="29"/>
        <v>#N/A</v>
      </c>
      <c r="BL32" s="30" t="e">
        <f t="shared" si="30"/>
        <v>#N/A</v>
      </c>
      <c r="BM32" s="30" t="e">
        <f t="shared" si="31"/>
        <v>#N/A</v>
      </c>
      <c r="BN32" s="30" t="e">
        <f t="shared" si="32"/>
        <v>#N/A</v>
      </c>
      <c r="BO32" s="30" t="e">
        <f t="shared" si="33"/>
        <v>#N/A</v>
      </c>
      <c r="BP32" s="30" t="e">
        <f>IF(AND($D32=1,(""&amp;loteAnalise)=(""&amp;loteCarregado),COUNTIFS(regAnalito,selAnalito,regNivel,3,regData,$C32,regRep1,"&lt;&gt;")&gt;0),SUMIFS(regRep1,regAnalito,selAnalito,regNivel,3,regData,$C32),NA())</f>
        <v>#N/A</v>
      </c>
      <c r="BQ32" s="30" t="e">
        <f>IF(AND($D32=1,(""&amp;loteAnalise)=(""&amp;loteCarregado),COUNTIFS(regAnalito,selAnalito,regNivel,3,regData,$C32,regRep2,"&lt;&gt;")&gt;0),SUMIFS(regRep2,regAnalito,selAnalito,regNivel,3,regData,$C32),NA())</f>
        <v>#N/A</v>
      </c>
      <c r="BR32" s="30" t="e">
        <f>IF(AND($D32=1,(""&amp;loteAnalise)=(""&amp;loteCarregado),COUNTIFS(regAnalito,selAnalito,regNivel,3,regData,$C32,regRep3,"&lt;&gt;")&gt;0),SUMIFS(regRep3,regAnalito,selAnalito,regNivel,3,regData,$C32),NA())</f>
        <v>#N/A</v>
      </c>
      <c r="BS32" s="30" t="e">
        <f>IF(AND($D32=1,COUNTIFS(regAnalito,selAnalito,regData,$C32,regCalib,"Sim")&gt;0),$BX$1,NA())</f>
        <v>#N/A</v>
      </c>
    </row>
    <row r="33" spans="1:71" x14ac:dyDescent="0.3">
      <c r="A33" s="30">
        <v>31</v>
      </c>
      <c r="B33" s="30" t="str">
        <f>IF(OR(selAnalito="",(""&amp;engAnalito)&lt;&gt;(""&amp;selAnalito),(""&amp;engLote)&lt;&gt;(""&amp;loteAnalise),$A33&gt;N(engNRun)),"",INDEX(engRUN,$A33))</f>
        <v/>
      </c>
      <c r="C33" s="43" t="str">
        <f>IF($B33="","",IF(INDEX(engData,$A33)="","",INDEX(engData,$A33)))</f>
        <v/>
      </c>
      <c r="D33" s="30">
        <f>IF($C33="",0,IF(AND(OR(filtroDe="",INT($C33)&gt;=INT(filtroDe)),OR(filtroAte="",INT($C33)&lt;=INT(filtroAte))),1,0))</f>
        <v>0</v>
      </c>
      <c r="E33" s="30" t="e">
        <f t="shared" si="0"/>
        <v>#N/A</v>
      </c>
      <c r="F33" s="30" t="str">
        <f>IF($B33="","",IF(INDEX(engValN1,$A33)="","",INDEX(engValN1,$A33)))</f>
        <v/>
      </c>
      <c r="G33" s="30" t="str">
        <f t="shared" si="1"/>
        <v/>
      </c>
      <c r="H33" s="30" t="e">
        <f t="shared" si="2"/>
        <v>#N/A</v>
      </c>
      <c r="I33" s="30" t="e">
        <f t="shared" si="3"/>
        <v>#N/A</v>
      </c>
      <c r="J33" s="30" t="e">
        <f t="shared" si="4"/>
        <v>#N/A</v>
      </c>
      <c r="K33" s="30">
        <f>IF($F33="",0,IFERROR(INDEX(engDados,MATCH(selAnalito&amp;"|"&amp;$B33,engChave,0),3),0))</f>
        <v>0</v>
      </c>
      <c r="L33" s="30">
        <f>IF($F33="",0,IFERROR(INDEX(engDados,MATCH(selAnalito&amp;"|"&amp;$B33,engChave,0),4),0))</f>
        <v>0</v>
      </c>
      <c r="M33" s="30">
        <f>IF($F33="",0,IFERROR(INDEX(engDados,MATCH(selAnalito&amp;"|"&amp;$B33,engChave,0),5),0))</f>
        <v>0</v>
      </c>
      <c r="N33" s="30">
        <f>IF($F33="",0,IFERROR(INDEX(engDados,MATCH(selAnalito&amp;"|"&amp;$B33,engChave,0),6),0))</f>
        <v>0</v>
      </c>
      <c r="O33" s="30">
        <f>IF($F33="",0,IFERROR(INDEX(engDados,MATCH(selAnalito&amp;"|"&amp;$B33,engChave,0),7),0))</f>
        <v>0</v>
      </c>
      <c r="P33" s="30" t="str">
        <f>IF($F33="","",IFERROR(INDEX(engDados,MATCH(selAnalito&amp;"|"&amp;$B33,engChave,0),9),""))</f>
        <v/>
      </c>
      <c r="Q33" s="30" t="e">
        <f t="shared" si="5"/>
        <v>#N/A</v>
      </c>
      <c r="R33" s="30" t="e">
        <f t="shared" si="6"/>
        <v>#N/A</v>
      </c>
      <c r="S33" s="30" t="e">
        <f t="shared" si="7"/>
        <v>#N/A</v>
      </c>
      <c r="T33" s="30" t="e">
        <f t="shared" si="8"/>
        <v>#N/A</v>
      </c>
      <c r="U33" s="30" t="e">
        <f t="shared" si="9"/>
        <v>#N/A</v>
      </c>
      <c r="V33" s="30" t="e">
        <f t="shared" si="10"/>
        <v>#N/A</v>
      </c>
      <c r="W33" s="30" t="e">
        <f t="shared" si="11"/>
        <v>#N/A</v>
      </c>
      <c r="X33" s="30" t="e">
        <f>IF(AND($D33=1,(""&amp;loteAnalise)=(""&amp;loteCarregado),COUNTIFS(regAnalito,selAnalito,regNivel,1,regData,$C33,regRep1,"&lt;&gt;")&gt;0),SUMIFS(regRep1,regAnalito,selAnalito,regNivel,1,regData,$C33),NA())</f>
        <v>#N/A</v>
      </c>
      <c r="Y33" s="30" t="e">
        <f>IF(AND($D33=1,(""&amp;loteAnalise)=(""&amp;loteCarregado),COUNTIFS(regAnalito,selAnalito,regNivel,1,regData,$C33,regRep2,"&lt;&gt;")&gt;0),SUMIFS(regRep2,regAnalito,selAnalito,regNivel,1,regData,$C33),NA())</f>
        <v>#N/A</v>
      </c>
      <c r="Z33" s="30" t="e">
        <f>IF(AND($D33=1,(""&amp;loteAnalise)=(""&amp;loteCarregado),COUNTIFS(regAnalito,selAnalito,regNivel,1,regData,$C33,regRep3,"&lt;&gt;")&gt;0),SUMIFS(regRep3,regAnalito,selAnalito,regNivel,1,regData,$C33),NA())</f>
        <v>#N/A</v>
      </c>
      <c r="AA33" s="30" t="e">
        <f>IF(AND($D33=1,COUNTIFS(regAnalito,selAnalito,regData,$C33,regCalib,"Sim")&gt;0),$BT$1,NA())</f>
        <v>#N/A</v>
      </c>
      <c r="AB33" s="30" t="str">
        <f>IF($B33="","",IF(INDEX(engValN2,$A33)="","",INDEX(engValN2,$A33)))</f>
        <v/>
      </c>
      <c r="AC33" s="30" t="str">
        <f t="shared" si="12"/>
        <v/>
      </c>
      <c r="AD33" s="30" t="e">
        <f t="shared" si="13"/>
        <v>#N/A</v>
      </c>
      <c r="AE33" s="30" t="e">
        <f t="shared" si="14"/>
        <v>#N/A</v>
      </c>
      <c r="AF33" s="30" t="e">
        <f t="shared" si="15"/>
        <v>#N/A</v>
      </c>
      <c r="AG33" s="30">
        <f>IF($AB33="",0,IFERROR(INDEX(engDados,MATCH(selAnalito&amp;"|"&amp;$B33,engChave,0),10),0))</f>
        <v>0</v>
      </c>
      <c r="AH33" s="30">
        <f>IF($AB33="",0,IFERROR(INDEX(engDados,MATCH(selAnalito&amp;"|"&amp;$B33,engChave,0),11),0))</f>
        <v>0</v>
      </c>
      <c r="AI33" s="30">
        <f>IF($AB33="",0,IFERROR(INDEX(engDados,MATCH(selAnalito&amp;"|"&amp;$B33,engChave,0),12),0))</f>
        <v>0</v>
      </c>
      <c r="AJ33" s="30">
        <f>IF($AB33="",0,IFERROR(INDEX(engDados,MATCH(selAnalito&amp;"|"&amp;$B33,engChave,0),13),0))</f>
        <v>0</v>
      </c>
      <c r="AK33" s="30">
        <f>IF($AB33="",0,IFERROR(INDEX(engDados,MATCH(selAnalito&amp;"|"&amp;$B33,engChave,0),14),0))</f>
        <v>0</v>
      </c>
      <c r="AL33" s="30" t="str">
        <f>IF($AB33="","",IFERROR(INDEX(engDados,MATCH(selAnalito&amp;"|"&amp;$B33,engChave,0),16),""))</f>
        <v/>
      </c>
      <c r="AM33" s="30" t="e">
        <f t="shared" si="16"/>
        <v>#N/A</v>
      </c>
      <c r="AN33" s="30" t="e">
        <f t="shared" si="17"/>
        <v>#N/A</v>
      </c>
      <c r="AO33" s="30" t="e">
        <f t="shared" si="18"/>
        <v>#N/A</v>
      </c>
      <c r="AP33" s="30" t="e">
        <f t="shared" si="19"/>
        <v>#N/A</v>
      </c>
      <c r="AQ33" s="30" t="e">
        <f t="shared" si="20"/>
        <v>#N/A</v>
      </c>
      <c r="AR33" s="30" t="e">
        <f t="shared" si="21"/>
        <v>#N/A</v>
      </c>
      <c r="AS33" s="30" t="e">
        <f t="shared" si="22"/>
        <v>#N/A</v>
      </c>
      <c r="AT33" s="30" t="e">
        <f>IF(AND($D33=1,(""&amp;loteAnalise)=(""&amp;loteCarregado),COUNTIFS(regAnalito,selAnalito,regNivel,2,regData,$C33,regRep1,"&lt;&gt;")&gt;0),SUMIFS(regRep1,regAnalito,selAnalito,regNivel,2,regData,$C33),NA())</f>
        <v>#N/A</v>
      </c>
      <c r="AU33" s="30" t="e">
        <f>IF(AND($D33=1,(""&amp;loteAnalise)=(""&amp;loteCarregado),COUNTIFS(regAnalito,selAnalito,regNivel,2,regData,$C33,regRep2,"&lt;&gt;")&gt;0),SUMIFS(regRep2,regAnalito,selAnalito,regNivel,2,regData,$C33),NA())</f>
        <v>#N/A</v>
      </c>
      <c r="AV33" s="30" t="e">
        <f>IF(AND($D33=1,(""&amp;loteAnalise)=(""&amp;loteCarregado),COUNTIFS(regAnalito,selAnalito,regNivel,2,regData,$C33,regRep3,"&lt;&gt;")&gt;0),SUMIFS(regRep3,regAnalito,selAnalito,regNivel,2,regData,$C33),NA())</f>
        <v>#N/A</v>
      </c>
      <c r="AW33" s="30" t="e">
        <f>IF(AND($D33=1,COUNTIFS(regAnalito,selAnalito,regData,$C33,regCalib,"Sim")&gt;0),$BV$1,NA())</f>
        <v>#N/A</v>
      </c>
      <c r="AX33" s="30" t="str">
        <f>IF($B33="","",IF(INDEX(engValN3,$A33)="","",INDEX(engValN3,$A33)))</f>
        <v/>
      </c>
      <c r="AY33" s="30" t="str">
        <f t="shared" si="23"/>
        <v/>
      </c>
      <c r="AZ33" s="30" t="e">
        <f t="shared" si="24"/>
        <v>#N/A</v>
      </c>
      <c r="BA33" s="30" t="e">
        <f t="shared" si="25"/>
        <v>#N/A</v>
      </c>
      <c r="BB33" s="30" t="e">
        <f t="shared" si="26"/>
        <v>#N/A</v>
      </c>
      <c r="BC33" s="30">
        <f>IF($AX33="",0,IFERROR(INDEX(engDados,MATCH(selAnalito&amp;"|"&amp;$B33,engChave,0),17),0))</f>
        <v>0</v>
      </c>
      <c r="BD33" s="30">
        <f>IF($AX33="",0,IFERROR(INDEX(engDados,MATCH(selAnalito&amp;"|"&amp;$B33,engChave,0),18),0))</f>
        <v>0</v>
      </c>
      <c r="BE33" s="30">
        <f>IF($AX33="",0,IFERROR(INDEX(engDados,MATCH(selAnalito&amp;"|"&amp;$B33,engChave,0),19),0))</f>
        <v>0</v>
      </c>
      <c r="BF33" s="30">
        <f>IF($AX33="",0,IFERROR(INDEX(engDados,MATCH(selAnalito&amp;"|"&amp;$B33,engChave,0),20),0))</f>
        <v>0</v>
      </c>
      <c r="BG33" s="30">
        <f>IF($AX33="",0,IFERROR(INDEX(engDados,MATCH(selAnalito&amp;"|"&amp;$B33,engChave,0),21),0))</f>
        <v>0</v>
      </c>
      <c r="BH33" s="30" t="str">
        <f>IF($AX33="","",IFERROR(INDEX(engDados,MATCH(selAnalito&amp;"|"&amp;$B33,engChave,0),23),""))</f>
        <v/>
      </c>
      <c r="BI33" s="30" t="e">
        <f t="shared" si="27"/>
        <v>#N/A</v>
      </c>
      <c r="BJ33" s="30" t="e">
        <f t="shared" si="28"/>
        <v>#N/A</v>
      </c>
      <c r="BK33" s="30" t="e">
        <f t="shared" si="29"/>
        <v>#N/A</v>
      </c>
      <c r="BL33" s="30" t="e">
        <f t="shared" si="30"/>
        <v>#N/A</v>
      </c>
      <c r="BM33" s="30" t="e">
        <f t="shared" si="31"/>
        <v>#N/A</v>
      </c>
      <c r="BN33" s="30" t="e">
        <f t="shared" si="32"/>
        <v>#N/A</v>
      </c>
      <c r="BO33" s="30" t="e">
        <f t="shared" si="33"/>
        <v>#N/A</v>
      </c>
      <c r="BP33" s="30" t="e">
        <f>IF(AND($D33=1,(""&amp;loteAnalise)=(""&amp;loteCarregado),COUNTIFS(regAnalito,selAnalito,regNivel,3,regData,$C33,regRep1,"&lt;&gt;")&gt;0),SUMIFS(regRep1,regAnalito,selAnalito,regNivel,3,regData,$C33),NA())</f>
        <v>#N/A</v>
      </c>
      <c r="BQ33" s="30" t="e">
        <f>IF(AND($D33=1,(""&amp;loteAnalise)=(""&amp;loteCarregado),COUNTIFS(regAnalito,selAnalito,regNivel,3,regData,$C33,regRep2,"&lt;&gt;")&gt;0),SUMIFS(regRep2,regAnalito,selAnalito,regNivel,3,regData,$C33),NA())</f>
        <v>#N/A</v>
      </c>
      <c r="BR33" s="30" t="e">
        <f>IF(AND($D33=1,(""&amp;loteAnalise)=(""&amp;loteCarregado),COUNTIFS(regAnalito,selAnalito,regNivel,3,regData,$C33,regRep3,"&lt;&gt;")&gt;0),SUMIFS(regRep3,regAnalito,selAnalito,regNivel,3,regData,$C33),NA())</f>
        <v>#N/A</v>
      </c>
      <c r="BS33" s="30" t="e">
        <f>IF(AND($D33=1,COUNTIFS(regAnalito,selAnalito,regData,$C33,regCalib,"Sim")&gt;0),$BX$1,NA())</f>
        <v>#N/A</v>
      </c>
    </row>
    <row r="34" spans="1:71" x14ac:dyDescent="0.3">
      <c r="A34" s="30">
        <v>32</v>
      </c>
      <c r="B34" s="30" t="str">
        <f>IF(OR(selAnalito="",(""&amp;engAnalito)&lt;&gt;(""&amp;selAnalito),(""&amp;engLote)&lt;&gt;(""&amp;loteAnalise),$A34&gt;N(engNRun)),"",INDEX(engRUN,$A34))</f>
        <v/>
      </c>
      <c r="C34" s="43" t="str">
        <f>IF($B34="","",IF(INDEX(engData,$A34)="","",INDEX(engData,$A34)))</f>
        <v/>
      </c>
      <c r="D34" s="30">
        <f>IF($C34="",0,IF(AND(OR(filtroDe="",INT($C34)&gt;=INT(filtroDe)),OR(filtroAte="",INT($C34)&lt;=INT(filtroAte))),1,0))</f>
        <v>0</v>
      </c>
      <c r="E34" s="30" t="e">
        <f t="shared" si="0"/>
        <v>#N/A</v>
      </c>
      <c r="F34" s="30" t="str">
        <f>IF($B34="","",IF(INDEX(engValN1,$A34)="","",INDEX(engValN1,$A34)))</f>
        <v/>
      </c>
      <c r="G34" s="30" t="str">
        <f t="shared" si="1"/>
        <v/>
      </c>
      <c r="H34" s="30" t="e">
        <f t="shared" si="2"/>
        <v>#N/A</v>
      </c>
      <c r="I34" s="30" t="e">
        <f t="shared" si="3"/>
        <v>#N/A</v>
      </c>
      <c r="J34" s="30" t="e">
        <f t="shared" si="4"/>
        <v>#N/A</v>
      </c>
      <c r="K34" s="30">
        <f>IF($F34="",0,IFERROR(INDEX(engDados,MATCH(selAnalito&amp;"|"&amp;$B34,engChave,0),3),0))</f>
        <v>0</v>
      </c>
      <c r="L34" s="30">
        <f>IF($F34="",0,IFERROR(INDEX(engDados,MATCH(selAnalito&amp;"|"&amp;$B34,engChave,0),4),0))</f>
        <v>0</v>
      </c>
      <c r="M34" s="30">
        <f>IF($F34="",0,IFERROR(INDEX(engDados,MATCH(selAnalito&amp;"|"&amp;$B34,engChave,0),5),0))</f>
        <v>0</v>
      </c>
      <c r="N34" s="30">
        <f>IF($F34="",0,IFERROR(INDEX(engDados,MATCH(selAnalito&amp;"|"&amp;$B34,engChave,0),6),0))</f>
        <v>0</v>
      </c>
      <c r="O34" s="30">
        <f>IF($F34="",0,IFERROR(INDEX(engDados,MATCH(selAnalito&amp;"|"&amp;$B34,engChave,0),7),0))</f>
        <v>0</v>
      </c>
      <c r="P34" s="30" t="str">
        <f>IF($F34="","",IFERROR(INDEX(engDados,MATCH(selAnalito&amp;"|"&amp;$B34,engChave,0),9),""))</f>
        <v/>
      </c>
      <c r="Q34" s="30" t="e">
        <f t="shared" si="5"/>
        <v>#N/A</v>
      </c>
      <c r="R34" s="30" t="e">
        <f t="shared" si="6"/>
        <v>#N/A</v>
      </c>
      <c r="S34" s="30" t="e">
        <f t="shared" si="7"/>
        <v>#N/A</v>
      </c>
      <c r="T34" s="30" t="e">
        <f t="shared" si="8"/>
        <v>#N/A</v>
      </c>
      <c r="U34" s="30" t="e">
        <f t="shared" si="9"/>
        <v>#N/A</v>
      </c>
      <c r="V34" s="30" t="e">
        <f t="shared" si="10"/>
        <v>#N/A</v>
      </c>
      <c r="W34" s="30" t="e">
        <f t="shared" si="11"/>
        <v>#N/A</v>
      </c>
      <c r="X34" s="30" t="e">
        <f>IF(AND($D34=1,(""&amp;loteAnalise)=(""&amp;loteCarregado),COUNTIFS(regAnalito,selAnalito,regNivel,1,regData,$C34,regRep1,"&lt;&gt;")&gt;0),SUMIFS(regRep1,regAnalito,selAnalito,regNivel,1,regData,$C34),NA())</f>
        <v>#N/A</v>
      </c>
      <c r="Y34" s="30" t="e">
        <f>IF(AND($D34=1,(""&amp;loteAnalise)=(""&amp;loteCarregado),COUNTIFS(regAnalito,selAnalito,regNivel,1,regData,$C34,regRep2,"&lt;&gt;")&gt;0),SUMIFS(regRep2,regAnalito,selAnalito,regNivel,1,regData,$C34),NA())</f>
        <v>#N/A</v>
      </c>
      <c r="Z34" s="30" t="e">
        <f>IF(AND($D34=1,(""&amp;loteAnalise)=(""&amp;loteCarregado),COUNTIFS(regAnalito,selAnalito,regNivel,1,regData,$C34,regRep3,"&lt;&gt;")&gt;0),SUMIFS(regRep3,regAnalito,selAnalito,regNivel,1,regData,$C34),NA())</f>
        <v>#N/A</v>
      </c>
      <c r="AA34" s="30" t="e">
        <f>IF(AND($D34=1,COUNTIFS(regAnalito,selAnalito,regData,$C34,regCalib,"Sim")&gt;0),$BT$1,NA())</f>
        <v>#N/A</v>
      </c>
      <c r="AB34" s="30" t="str">
        <f>IF($B34="","",IF(INDEX(engValN2,$A34)="","",INDEX(engValN2,$A34)))</f>
        <v/>
      </c>
      <c r="AC34" s="30" t="str">
        <f t="shared" si="12"/>
        <v/>
      </c>
      <c r="AD34" s="30" t="e">
        <f t="shared" si="13"/>
        <v>#N/A</v>
      </c>
      <c r="AE34" s="30" t="e">
        <f t="shared" si="14"/>
        <v>#N/A</v>
      </c>
      <c r="AF34" s="30" t="e">
        <f t="shared" si="15"/>
        <v>#N/A</v>
      </c>
      <c r="AG34" s="30">
        <f>IF($AB34="",0,IFERROR(INDEX(engDados,MATCH(selAnalito&amp;"|"&amp;$B34,engChave,0),10),0))</f>
        <v>0</v>
      </c>
      <c r="AH34" s="30">
        <f>IF($AB34="",0,IFERROR(INDEX(engDados,MATCH(selAnalito&amp;"|"&amp;$B34,engChave,0),11),0))</f>
        <v>0</v>
      </c>
      <c r="AI34" s="30">
        <f>IF($AB34="",0,IFERROR(INDEX(engDados,MATCH(selAnalito&amp;"|"&amp;$B34,engChave,0),12),0))</f>
        <v>0</v>
      </c>
      <c r="AJ34" s="30">
        <f>IF($AB34="",0,IFERROR(INDEX(engDados,MATCH(selAnalito&amp;"|"&amp;$B34,engChave,0),13),0))</f>
        <v>0</v>
      </c>
      <c r="AK34" s="30">
        <f>IF($AB34="",0,IFERROR(INDEX(engDados,MATCH(selAnalito&amp;"|"&amp;$B34,engChave,0),14),0))</f>
        <v>0</v>
      </c>
      <c r="AL34" s="30" t="str">
        <f>IF($AB34="","",IFERROR(INDEX(engDados,MATCH(selAnalito&amp;"|"&amp;$B34,engChave,0),16),""))</f>
        <v/>
      </c>
      <c r="AM34" s="30" t="e">
        <f t="shared" si="16"/>
        <v>#N/A</v>
      </c>
      <c r="AN34" s="30" t="e">
        <f t="shared" si="17"/>
        <v>#N/A</v>
      </c>
      <c r="AO34" s="30" t="e">
        <f t="shared" si="18"/>
        <v>#N/A</v>
      </c>
      <c r="AP34" s="30" t="e">
        <f t="shared" si="19"/>
        <v>#N/A</v>
      </c>
      <c r="AQ34" s="30" t="e">
        <f t="shared" si="20"/>
        <v>#N/A</v>
      </c>
      <c r="AR34" s="30" t="e">
        <f t="shared" si="21"/>
        <v>#N/A</v>
      </c>
      <c r="AS34" s="30" t="e">
        <f t="shared" si="22"/>
        <v>#N/A</v>
      </c>
      <c r="AT34" s="30" t="e">
        <f>IF(AND($D34=1,(""&amp;loteAnalise)=(""&amp;loteCarregado),COUNTIFS(regAnalito,selAnalito,regNivel,2,regData,$C34,regRep1,"&lt;&gt;")&gt;0),SUMIFS(regRep1,regAnalito,selAnalito,regNivel,2,regData,$C34),NA())</f>
        <v>#N/A</v>
      </c>
      <c r="AU34" s="30" t="e">
        <f>IF(AND($D34=1,(""&amp;loteAnalise)=(""&amp;loteCarregado),COUNTIFS(regAnalito,selAnalito,regNivel,2,regData,$C34,regRep2,"&lt;&gt;")&gt;0),SUMIFS(regRep2,regAnalito,selAnalito,regNivel,2,regData,$C34),NA())</f>
        <v>#N/A</v>
      </c>
      <c r="AV34" s="30" t="e">
        <f>IF(AND($D34=1,(""&amp;loteAnalise)=(""&amp;loteCarregado),COUNTIFS(regAnalito,selAnalito,regNivel,2,regData,$C34,regRep3,"&lt;&gt;")&gt;0),SUMIFS(regRep3,regAnalito,selAnalito,regNivel,2,regData,$C34),NA())</f>
        <v>#N/A</v>
      </c>
      <c r="AW34" s="30" t="e">
        <f>IF(AND($D34=1,COUNTIFS(regAnalito,selAnalito,regData,$C34,regCalib,"Sim")&gt;0),$BV$1,NA())</f>
        <v>#N/A</v>
      </c>
      <c r="AX34" s="30" t="str">
        <f>IF($B34="","",IF(INDEX(engValN3,$A34)="","",INDEX(engValN3,$A34)))</f>
        <v/>
      </c>
      <c r="AY34" s="30" t="str">
        <f t="shared" si="23"/>
        <v/>
      </c>
      <c r="AZ34" s="30" t="e">
        <f t="shared" si="24"/>
        <v>#N/A</v>
      </c>
      <c r="BA34" s="30" t="e">
        <f t="shared" si="25"/>
        <v>#N/A</v>
      </c>
      <c r="BB34" s="30" t="e">
        <f t="shared" si="26"/>
        <v>#N/A</v>
      </c>
      <c r="BC34" s="30">
        <f>IF($AX34="",0,IFERROR(INDEX(engDados,MATCH(selAnalito&amp;"|"&amp;$B34,engChave,0),17),0))</f>
        <v>0</v>
      </c>
      <c r="BD34" s="30">
        <f>IF($AX34="",0,IFERROR(INDEX(engDados,MATCH(selAnalito&amp;"|"&amp;$B34,engChave,0),18),0))</f>
        <v>0</v>
      </c>
      <c r="BE34" s="30">
        <f>IF($AX34="",0,IFERROR(INDEX(engDados,MATCH(selAnalito&amp;"|"&amp;$B34,engChave,0),19),0))</f>
        <v>0</v>
      </c>
      <c r="BF34" s="30">
        <f>IF($AX34="",0,IFERROR(INDEX(engDados,MATCH(selAnalito&amp;"|"&amp;$B34,engChave,0),20),0))</f>
        <v>0</v>
      </c>
      <c r="BG34" s="30">
        <f>IF($AX34="",0,IFERROR(INDEX(engDados,MATCH(selAnalito&amp;"|"&amp;$B34,engChave,0),21),0))</f>
        <v>0</v>
      </c>
      <c r="BH34" s="30" t="str">
        <f>IF($AX34="","",IFERROR(INDEX(engDados,MATCH(selAnalito&amp;"|"&amp;$B34,engChave,0),23),""))</f>
        <v/>
      </c>
      <c r="BI34" s="30" t="e">
        <f t="shared" si="27"/>
        <v>#N/A</v>
      </c>
      <c r="BJ34" s="30" t="e">
        <f t="shared" si="28"/>
        <v>#N/A</v>
      </c>
      <c r="BK34" s="30" t="e">
        <f t="shared" si="29"/>
        <v>#N/A</v>
      </c>
      <c r="BL34" s="30" t="e">
        <f t="shared" si="30"/>
        <v>#N/A</v>
      </c>
      <c r="BM34" s="30" t="e">
        <f t="shared" si="31"/>
        <v>#N/A</v>
      </c>
      <c r="BN34" s="30" t="e">
        <f t="shared" si="32"/>
        <v>#N/A</v>
      </c>
      <c r="BO34" s="30" t="e">
        <f t="shared" si="33"/>
        <v>#N/A</v>
      </c>
      <c r="BP34" s="30" t="e">
        <f>IF(AND($D34=1,(""&amp;loteAnalise)=(""&amp;loteCarregado),COUNTIFS(regAnalito,selAnalito,regNivel,3,regData,$C34,regRep1,"&lt;&gt;")&gt;0),SUMIFS(regRep1,regAnalito,selAnalito,regNivel,3,regData,$C34),NA())</f>
        <v>#N/A</v>
      </c>
      <c r="BQ34" s="30" t="e">
        <f>IF(AND($D34=1,(""&amp;loteAnalise)=(""&amp;loteCarregado),COUNTIFS(regAnalito,selAnalito,regNivel,3,regData,$C34,regRep2,"&lt;&gt;")&gt;0),SUMIFS(regRep2,regAnalito,selAnalito,regNivel,3,regData,$C34),NA())</f>
        <v>#N/A</v>
      </c>
      <c r="BR34" s="30" t="e">
        <f>IF(AND($D34=1,(""&amp;loteAnalise)=(""&amp;loteCarregado),COUNTIFS(regAnalito,selAnalito,regNivel,3,regData,$C34,regRep3,"&lt;&gt;")&gt;0),SUMIFS(regRep3,regAnalito,selAnalito,regNivel,3,regData,$C34),NA())</f>
        <v>#N/A</v>
      </c>
      <c r="BS34" s="30" t="e">
        <f>IF(AND($D34=1,COUNTIFS(regAnalito,selAnalito,regData,$C34,regCalib,"Sim")&gt;0),$BX$1,NA())</f>
        <v>#N/A</v>
      </c>
    </row>
    <row r="35" spans="1:71" x14ac:dyDescent="0.3">
      <c r="A35" s="30">
        <v>33</v>
      </c>
      <c r="B35" s="30" t="str">
        <f>IF(OR(selAnalito="",(""&amp;engAnalito)&lt;&gt;(""&amp;selAnalito),(""&amp;engLote)&lt;&gt;(""&amp;loteAnalise),$A35&gt;N(engNRun)),"",INDEX(engRUN,$A35))</f>
        <v/>
      </c>
      <c r="C35" s="43" t="str">
        <f>IF($B35="","",IF(INDEX(engData,$A35)="","",INDEX(engData,$A35)))</f>
        <v/>
      </c>
      <c r="D35" s="30">
        <f>IF($C35="",0,IF(AND(OR(filtroDe="",INT($C35)&gt;=INT(filtroDe)),OR(filtroAte="",INT($C35)&lt;=INT(filtroAte))),1,0))</f>
        <v>0</v>
      </c>
      <c r="E35" s="30" t="e">
        <f t="shared" ref="E35:E66" si="34">IF(OR($B35="",$D35=0),NA(),$A35)</f>
        <v>#N/A</v>
      </c>
      <c r="F35" s="30" t="str">
        <f>IF($B35="","",IF(INDEX(engValN1,$A35)="","",INDEX(engValN1,$A35)))</f>
        <v/>
      </c>
      <c r="G35" s="30" t="str">
        <f t="shared" ref="G35:G66" si="35">IF(OR($F35="",$BU$1=""),"",($F35-$BT$1)/$BU$1)</f>
        <v/>
      </c>
      <c r="H35" s="30" t="e">
        <f t="shared" ref="H35:H66" si="36">IF(AND($F35&lt;&gt;"",$D35=1),$F35,NA())</f>
        <v>#N/A</v>
      </c>
      <c r="I35" s="30" t="e">
        <f t="shared" ref="I35:I66" si="37">IF(AND($F35&lt;&gt;"",$D35=1,$P35="OK"),$F35,NA())</f>
        <v>#N/A</v>
      </c>
      <c r="J35" s="30" t="e">
        <f t="shared" ref="J35:J66" si="38">IF(AND($F35&lt;&gt;"",$D35=1,$P35="REJEITADO"),$F35,NA())</f>
        <v>#N/A</v>
      </c>
      <c r="K35" s="30">
        <f>IF($F35="",0,IFERROR(INDEX(engDados,MATCH(selAnalito&amp;"|"&amp;$B35,engChave,0),3),0))</f>
        <v>0</v>
      </c>
      <c r="L35" s="30">
        <f>IF($F35="",0,IFERROR(INDEX(engDados,MATCH(selAnalito&amp;"|"&amp;$B35,engChave,0),4),0))</f>
        <v>0</v>
      </c>
      <c r="M35" s="30">
        <f>IF($F35="",0,IFERROR(INDEX(engDados,MATCH(selAnalito&amp;"|"&amp;$B35,engChave,0),5),0))</f>
        <v>0</v>
      </c>
      <c r="N35" s="30">
        <f>IF($F35="",0,IFERROR(INDEX(engDados,MATCH(selAnalito&amp;"|"&amp;$B35,engChave,0),6),0))</f>
        <v>0</v>
      </c>
      <c r="O35" s="30">
        <f>IF($F35="",0,IFERROR(INDEX(engDados,MATCH(selAnalito&amp;"|"&amp;$B35,engChave,0),7),0))</f>
        <v>0</v>
      </c>
      <c r="P35" s="30" t="str">
        <f>IF($F35="","",IFERROR(INDEX(engDados,MATCH(selAnalito&amp;"|"&amp;$B35,engChave,0),9),""))</f>
        <v/>
      </c>
      <c r="Q35" s="30" t="e">
        <f t="shared" ref="Q35:Q66" si="39">IF(AND($D35=1,$BT$1&lt;&gt;""),$BT$1+(-3)*$BU$1,NA())</f>
        <v>#N/A</v>
      </c>
      <c r="R35" s="30" t="e">
        <f t="shared" ref="R35:R66" si="40">IF(AND($D35=1,$BT$1&lt;&gt;""),$BT$1+(-2)*$BU$1,NA())</f>
        <v>#N/A</v>
      </c>
      <c r="S35" s="30" t="e">
        <f t="shared" ref="S35:S66" si="41">IF(AND($D35=1,$BT$1&lt;&gt;""),$BT$1+(-1)*$BU$1,NA())</f>
        <v>#N/A</v>
      </c>
      <c r="T35" s="30" t="e">
        <f t="shared" ref="T35:T66" si="42">IF(AND($D35=1,$BT$1&lt;&gt;""),$BT$1,NA())</f>
        <v>#N/A</v>
      </c>
      <c r="U35" s="30" t="e">
        <f t="shared" ref="U35:U66" si="43">IF(AND($D35=1,$BT$1&lt;&gt;""),$BT$1+(1)*$BU$1,NA())</f>
        <v>#N/A</v>
      </c>
      <c r="V35" s="30" t="e">
        <f t="shared" ref="V35:V66" si="44">IF(AND($D35=1,$BT$1&lt;&gt;""),$BT$1+(2)*$BU$1,NA())</f>
        <v>#N/A</v>
      </c>
      <c r="W35" s="30" t="e">
        <f t="shared" ref="W35:W66" si="45">IF(AND($D35=1,$BT$1&lt;&gt;""),$BT$1+(3)*$BU$1,NA())</f>
        <v>#N/A</v>
      </c>
      <c r="X35" s="30" t="e">
        <f>IF(AND($D35=1,(""&amp;loteAnalise)=(""&amp;loteCarregado),COUNTIFS(regAnalito,selAnalito,regNivel,1,regData,$C35,regRep1,"&lt;&gt;")&gt;0),SUMIFS(regRep1,regAnalito,selAnalito,regNivel,1,regData,$C35),NA())</f>
        <v>#N/A</v>
      </c>
      <c r="Y35" s="30" t="e">
        <f>IF(AND($D35=1,(""&amp;loteAnalise)=(""&amp;loteCarregado),COUNTIFS(regAnalito,selAnalito,regNivel,1,regData,$C35,regRep2,"&lt;&gt;")&gt;0),SUMIFS(regRep2,regAnalito,selAnalito,regNivel,1,regData,$C35),NA())</f>
        <v>#N/A</v>
      </c>
      <c r="Z35" s="30" t="e">
        <f>IF(AND($D35=1,(""&amp;loteAnalise)=(""&amp;loteCarregado),COUNTIFS(regAnalito,selAnalito,regNivel,1,regData,$C35,regRep3,"&lt;&gt;")&gt;0),SUMIFS(regRep3,regAnalito,selAnalito,regNivel,1,regData,$C35),NA())</f>
        <v>#N/A</v>
      </c>
      <c r="AA35" s="30" t="e">
        <f>IF(AND($D35=1,COUNTIFS(regAnalito,selAnalito,regData,$C35,regCalib,"Sim")&gt;0),$BT$1,NA())</f>
        <v>#N/A</v>
      </c>
      <c r="AB35" s="30" t="str">
        <f>IF($B35="","",IF(INDEX(engValN2,$A35)="","",INDEX(engValN2,$A35)))</f>
        <v/>
      </c>
      <c r="AC35" s="30" t="str">
        <f t="shared" ref="AC35:AC66" si="46">IF(OR($AB35="",$BW$1=""),"",($AB35-$BV$1)/$BW$1)</f>
        <v/>
      </c>
      <c r="AD35" s="30" t="e">
        <f t="shared" ref="AD35:AD66" si="47">IF(AND($AB35&lt;&gt;"",$D35=1),$AB35,NA())</f>
        <v>#N/A</v>
      </c>
      <c r="AE35" s="30" t="e">
        <f t="shared" ref="AE35:AE66" si="48">IF(AND($AB35&lt;&gt;"",$D35=1,$AL35="OK"),$AB35,NA())</f>
        <v>#N/A</v>
      </c>
      <c r="AF35" s="30" t="e">
        <f t="shared" ref="AF35:AF66" si="49">IF(AND($AB35&lt;&gt;"",$D35=1,$AL35="REJEITADO"),$AB35,NA())</f>
        <v>#N/A</v>
      </c>
      <c r="AG35" s="30">
        <f>IF($AB35="",0,IFERROR(INDEX(engDados,MATCH(selAnalito&amp;"|"&amp;$B35,engChave,0),10),0))</f>
        <v>0</v>
      </c>
      <c r="AH35" s="30">
        <f>IF($AB35="",0,IFERROR(INDEX(engDados,MATCH(selAnalito&amp;"|"&amp;$B35,engChave,0),11),0))</f>
        <v>0</v>
      </c>
      <c r="AI35" s="30">
        <f>IF($AB35="",0,IFERROR(INDEX(engDados,MATCH(selAnalito&amp;"|"&amp;$B35,engChave,0),12),0))</f>
        <v>0</v>
      </c>
      <c r="AJ35" s="30">
        <f>IF($AB35="",0,IFERROR(INDEX(engDados,MATCH(selAnalito&amp;"|"&amp;$B35,engChave,0),13),0))</f>
        <v>0</v>
      </c>
      <c r="AK35" s="30">
        <f>IF($AB35="",0,IFERROR(INDEX(engDados,MATCH(selAnalito&amp;"|"&amp;$B35,engChave,0),14),0))</f>
        <v>0</v>
      </c>
      <c r="AL35" s="30" t="str">
        <f>IF($AB35="","",IFERROR(INDEX(engDados,MATCH(selAnalito&amp;"|"&amp;$B35,engChave,0),16),""))</f>
        <v/>
      </c>
      <c r="AM35" s="30" t="e">
        <f t="shared" ref="AM35:AM66" si="50">IF(AND($D35=1,$BV$1&lt;&gt;""),$BV$1+(-3)*$BW$1,NA())</f>
        <v>#N/A</v>
      </c>
      <c r="AN35" s="30" t="e">
        <f t="shared" ref="AN35:AN66" si="51">IF(AND($D35=1,$BV$1&lt;&gt;""),$BV$1+(-2)*$BW$1,NA())</f>
        <v>#N/A</v>
      </c>
      <c r="AO35" s="30" t="e">
        <f t="shared" ref="AO35:AO66" si="52">IF(AND($D35=1,$BV$1&lt;&gt;""),$BV$1+(-1)*$BW$1,NA())</f>
        <v>#N/A</v>
      </c>
      <c r="AP35" s="30" t="e">
        <f t="shared" ref="AP35:AP66" si="53">IF(AND($D35=1,$BV$1&lt;&gt;""),$BV$1,NA())</f>
        <v>#N/A</v>
      </c>
      <c r="AQ35" s="30" t="e">
        <f t="shared" ref="AQ35:AQ66" si="54">IF(AND($D35=1,$BV$1&lt;&gt;""),$BV$1+(1)*$BW$1,NA())</f>
        <v>#N/A</v>
      </c>
      <c r="AR35" s="30" t="e">
        <f t="shared" ref="AR35:AR66" si="55">IF(AND($D35=1,$BV$1&lt;&gt;""),$BV$1+(2)*$BW$1,NA())</f>
        <v>#N/A</v>
      </c>
      <c r="AS35" s="30" t="e">
        <f t="shared" ref="AS35:AS66" si="56">IF(AND($D35=1,$BV$1&lt;&gt;""),$BV$1+(3)*$BW$1,NA())</f>
        <v>#N/A</v>
      </c>
      <c r="AT35" s="30" t="e">
        <f>IF(AND($D35=1,(""&amp;loteAnalise)=(""&amp;loteCarregado),COUNTIFS(regAnalito,selAnalito,regNivel,2,regData,$C35,regRep1,"&lt;&gt;")&gt;0),SUMIFS(regRep1,regAnalito,selAnalito,regNivel,2,regData,$C35),NA())</f>
        <v>#N/A</v>
      </c>
      <c r="AU35" s="30" t="e">
        <f>IF(AND($D35=1,(""&amp;loteAnalise)=(""&amp;loteCarregado),COUNTIFS(regAnalito,selAnalito,regNivel,2,regData,$C35,regRep2,"&lt;&gt;")&gt;0),SUMIFS(regRep2,regAnalito,selAnalito,regNivel,2,regData,$C35),NA())</f>
        <v>#N/A</v>
      </c>
      <c r="AV35" s="30" t="e">
        <f>IF(AND($D35=1,(""&amp;loteAnalise)=(""&amp;loteCarregado),COUNTIFS(regAnalito,selAnalito,regNivel,2,regData,$C35,regRep3,"&lt;&gt;")&gt;0),SUMIFS(regRep3,regAnalito,selAnalito,regNivel,2,regData,$C35),NA())</f>
        <v>#N/A</v>
      </c>
      <c r="AW35" s="30" t="e">
        <f>IF(AND($D35=1,COUNTIFS(regAnalito,selAnalito,regData,$C35,regCalib,"Sim")&gt;0),$BV$1,NA())</f>
        <v>#N/A</v>
      </c>
      <c r="AX35" s="30" t="str">
        <f>IF($B35="","",IF(INDEX(engValN3,$A35)="","",INDEX(engValN3,$A35)))</f>
        <v/>
      </c>
      <c r="AY35" s="30" t="str">
        <f t="shared" ref="AY35:AY66" si="57">IF(OR($AX35="",$BY$1=""),"",($AX35-$BX$1)/$BY$1)</f>
        <v/>
      </c>
      <c r="AZ35" s="30" t="e">
        <f t="shared" ref="AZ35:AZ66" si="58">IF(AND($AX35&lt;&gt;"",$D35=1),$AX35,NA())</f>
        <v>#N/A</v>
      </c>
      <c r="BA35" s="30" t="e">
        <f t="shared" ref="BA35:BA66" si="59">IF(AND($AX35&lt;&gt;"",$D35=1,$BH35="OK"),$AX35,NA())</f>
        <v>#N/A</v>
      </c>
      <c r="BB35" s="30" t="e">
        <f t="shared" ref="BB35:BB66" si="60">IF(AND($AX35&lt;&gt;"",$D35=1,$BH35="REJEITADO"),$AX35,NA())</f>
        <v>#N/A</v>
      </c>
      <c r="BC35" s="30">
        <f>IF($AX35="",0,IFERROR(INDEX(engDados,MATCH(selAnalito&amp;"|"&amp;$B35,engChave,0),17),0))</f>
        <v>0</v>
      </c>
      <c r="BD35" s="30">
        <f>IF($AX35="",0,IFERROR(INDEX(engDados,MATCH(selAnalito&amp;"|"&amp;$B35,engChave,0),18),0))</f>
        <v>0</v>
      </c>
      <c r="BE35" s="30">
        <f>IF($AX35="",0,IFERROR(INDEX(engDados,MATCH(selAnalito&amp;"|"&amp;$B35,engChave,0),19),0))</f>
        <v>0</v>
      </c>
      <c r="BF35" s="30">
        <f>IF($AX35="",0,IFERROR(INDEX(engDados,MATCH(selAnalito&amp;"|"&amp;$B35,engChave,0),20),0))</f>
        <v>0</v>
      </c>
      <c r="BG35" s="30">
        <f>IF($AX35="",0,IFERROR(INDEX(engDados,MATCH(selAnalito&amp;"|"&amp;$B35,engChave,0),21),0))</f>
        <v>0</v>
      </c>
      <c r="BH35" s="30" t="str">
        <f>IF($AX35="","",IFERROR(INDEX(engDados,MATCH(selAnalito&amp;"|"&amp;$B35,engChave,0),23),""))</f>
        <v/>
      </c>
      <c r="BI35" s="30" t="e">
        <f t="shared" ref="BI35:BI66" si="61">IF(AND($D35=1,$BX$1&lt;&gt;""),$BX$1+(-3)*$BY$1,NA())</f>
        <v>#N/A</v>
      </c>
      <c r="BJ35" s="30" t="e">
        <f t="shared" ref="BJ35:BJ66" si="62">IF(AND($D35=1,$BX$1&lt;&gt;""),$BX$1+(-2)*$BY$1,NA())</f>
        <v>#N/A</v>
      </c>
      <c r="BK35" s="30" t="e">
        <f t="shared" ref="BK35:BK66" si="63">IF(AND($D35=1,$BX$1&lt;&gt;""),$BX$1+(-1)*$BY$1,NA())</f>
        <v>#N/A</v>
      </c>
      <c r="BL35" s="30" t="e">
        <f t="shared" ref="BL35:BL66" si="64">IF(AND($D35=1,$BX$1&lt;&gt;""),$BX$1,NA())</f>
        <v>#N/A</v>
      </c>
      <c r="BM35" s="30" t="e">
        <f t="shared" ref="BM35:BM66" si="65">IF(AND($D35=1,$BX$1&lt;&gt;""),$BX$1+(1)*$BY$1,NA())</f>
        <v>#N/A</v>
      </c>
      <c r="BN35" s="30" t="e">
        <f t="shared" ref="BN35:BN66" si="66">IF(AND($D35=1,$BX$1&lt;&gt;""),$BX$1+(2)*$BY$1,NA())</f>
        <v>#N/A</v>
      </c>
      <c r="BO35" s="30" t="e">
        <f t="shared" ref="BO35:BO66" si="67">IF(AND($D35=1,$BX$1&lt;&gt;""),$BX$1+(3)*$BY$1,NA())</f>
        <v>#N/A</v>
      </c>
      <c r="BP35" s="30" t="e">
        <f>IF(AND($D35=1,(""&amp;loteAnalise)=(""&amp;loteCarregado),COUNTIFS(regAnalito,selAnalito,regNivel,3,regData,$C35,regRep1,"&lt;&gt;")&gt;0),SUMIFS(regRep1,regAnalito,selAnalito,regNivel,3,regData,$C35),NA())</f>
        <v>#N/A</v>
      </c>
      <c r="BQ35" s="30" t="e">
        <f>IF(AND($D35=1,(""&amp;loteAnalise)=(""&amp;loteCarregado),COUNTIFS(regAnalito,selAnalito,regNivel,3,regData,$C35,regRep2,"&lt;&gt;")&gt;0),SUMIFS(regRep2,regAnalito,selAnalito,regNivel,3,regData,$C35),NA())</f>
        <v>#N/A</v>
      </c>
      <c r="BR35" s="30" t="e">
        <f>IF(AND($D35=1,(""&amp;loteAnalise)=(""&amp;loteCarregado),COUNTIFS(regAnalito,selAnalito,regNivel,3,regData,$C35,regRep3,"&lt;&gt;")&gt;0),SUMIFS(regRep3,regAnalito,selAnalito,regNivel,3,regData,$C35),NA())</f>
        <v>#N/A</v>
      </c>
      <c r="BS35" s="30" t="e">
        <f>IF(AND($D35=1,COUNTIFS(regAnalito,selAnalito,regData,$C35,regCalib,"Sim")&gt;0),$BX$1,NA())</f>
        <v>#N/A</v>
      </c>
    </row>
    <row r="36" spans="1:71" x14ac:dyDescent="0.3">
      <c r="A36" s="30">
        <v>34</v>
      </c>
      <c r="B36" s="30" t="str">
        <f>IF(OR(selAnalito="",(""&amp;engAnalito)&lt;&gt;(""&amp;selAnalito),(""&amp;engLote)&lt;&gt;(""&amp;loteAnalise),$A36&gt;N(engNRun)),"",INDEX(engRUN,$A36))</f>
        <v/>
      </c>
      <c r="C36" s="43" t="str">
        <f>IF($B36="","",IF(INDEX(engData,$A36)="","",INDEX(engData,$A36)))</f>
        <v/>
      </c>
      <c r="D36" s="30">
        <f>IF($C36="",0,IF(AND(OR(filtroDe="",INT($C36)&gt;=INT(filtroDe)),OR(filtroAte="",INT($C36)&lt;=INT(filtroAte))),1,0))</f>
        <v>0</v>
      </c>
      <c r="E36" s="30" t="e">
        <f t="shared" si="34"/>
        <v>#N/A</v>
      </c>
      <c r="F36" s="30" t="str">
        <f>IF($B36="","",IF(INDEX(engValN1,$A36)="","",INDEX(engValN1,$A36)))</f>
        <v/>
      </c>
      <c r="G36" s="30" t="str">
        <f t="shared" si="35"/>
        <v/>
      </c>
      <c r="H36" s="30" t="e">
        <f t="shared" si="36"/>
        <v>#N/A</v>
      </c>
      <c r="I36" s="30" t="e">
        <f t="shared" si="37"/>
        <v>#N/A</v>
      </c>
      <c r="J36" s="30" t="e">
        <f t="shared" si="38"/>
        <v>#N/A</v>
      </c>
      <c r="K36" s="30">
        <f>IF($F36="",0,IFERROR(INDEX(engDados,MATCH(selAnalito&amp;"|"&amp;$B36,engChave,0),3),0))</f>
        <v>0</v>
      </c>
      <c r="L36" s="30">
        <f>IF($F36="",0,IFERROR(INDEX(engDados,MATCH(selAnalito&amp;"|"&amp;$B36,engChave,0),4),0))</f>
        <v>0</v>
      </c>
      <c r="M36" s="30">
        <f>IF($F36="",0,IFERROR(INDEX(engDados,MATCH(selAnalito&amp;"|"&amp;$B36,engChave,0),5),0))</f>
        <v>0</v>
      </c>
      <c r="N36" s="30">
        <f>IF($F36="",0,IFERROR(INDEX(engDados,MATCH(selAnalito&amp;"|"&amp;$B36,engChave,0),6),0))</f>
        <v>0</v>
      </c>
      <c r="O36" s="30">
        <f>IF($F36="",0,IFERROR(INDEX(engDados,MATCH(selAnalito&amp;"|"&amp;$B36,engChave,0),7),0))</f>
        <v>0</v>
      </c>
      <c r="P36" s="30" t="str">
        <f>IF($F36="","",IFERROR(INDEX(engDados,MATCH(selAnalito&amp;"|"&amp;$B36,engChave,0),9),""))</f>
        <v/>
      </c>
      <c r="Q36" s="30" t="e">
        <f t="shared" si="39"/>
        <v>#N/A</v>
      </c>
      <c r="R36" s="30" t="e">
        <f t="shared" si="40"/>
        <v>#N/A</v>
      </c>
      <c r="S36" s="30" t="e">
        <f t="shared" si="41"/>
        <v>#N/A</v>
      </c>
      <c r="T36" s="30" t="e">
        <f t="shared" si="42"/>
        <v>#N/A</v>
      </c>
      <c r="U36" s="30" t="e">
        <f t="shared" si="43"/>
        <v>#N/A</v>
      </c>
      <c r="V36" s="30" t="e">
        <f t="shared" si="44"/>
        <v>#N/A</v>
      </c>
      <c r="W36" s="30" t="e">
        <f t="shared" si="45"/>
        <v>#N/A</v>
      </c>
      <c r="X36" s="30" t="e">
        <f>IF(AND($D36=1,(""&amp;loteAnalise)=(""&amp;loteCarregado),COUNTIFS(regAnalito,selAnalito,regNivel,1,regData,$C36,regRep1,"&lt;&gt;")&gt;0),SUMIFS(regRep1,regAnalito,selAnalito,regNivel,1,regData,$C36),NA())</f>
        <v>#N/A</v>
      </c>
      <c r="Y36" s="30" t="e">
        <f>IF(AND($D36=1,(""&amp;loteAnalise)=(""&amp;loteCarregado),COUNTIFS(regAnalito,selAnalito,regNivel,1,regData,$C36,regRep2,"&lt;&gt;")&gt;0),SUMIFS(regRep2,regAnalito,selAnalito,regNivel,1,regData,$C36),NA())</f>
        <v>#N/A</v>
      </c>
      <c r="Z36" s="30" t="e">
        <f>IF(AND($D36=1,(""&amp;loteAnalise)=(""&amp;loteCarregado),COUNTIFS(regAnalito,selAnalito,regNivel,1,regData,$C36,regRep3,"&lt;&gt;")&gt;0),SUMIFS(regRep3,regAnalito,selAnalito,regNivel,1,regData,$C36),NA())</f>
        <v>#N/A</v>
      </c>
      <c r="AA36" s="30" t="e">
        <f>IF(AND($D36=1,COUNTIFS(regAnalito,selAnalito,regData,$C36,regCalib,"Sim")&gt;0),$BT$1,NA())</f>
        <v>#N/A</v>
      </c>
      <c r="AB36" s="30" t="str">
        <f>IF($B36="","",IF(INDEX(engValN2,$A36)="","",INDEX(engValN2,$A36)))</f>
        <v/>
      </c>
      <c r="AC36" s="30" t="str">
        <f t="shared" si="46"/>
        <v/>
      </c>
      <c r="AD36" s="30" t="e">
        <f t="shared" si="47"/>
        <v>#N/A</v>
      </c>
      <c r="AE36" s="30" t="e">
        <f t="shared" si="48"/>
        <v>#N/A</v>
      </c>
      <c r="AF36" s="30" t="e">
        <f t="shared" si="49"/>
        <v>#N/A</v>
      </c>
      <c r="AG36" s="30">
        <f>IF($AB36="",0,IFERROR(INDEX(engDados,MATCH(selAnalito&amp;"|"&amp;$B36,engChave,0),10),0))</f>
        <v>0</v>
      </c>
      <c r="AH36" s="30">
        <f>IF($AB36="",0,IFERROR(INDEX(engDados,MATCH(selAnalito&amp;"|"&amp;$B36,engChave,0),11),0))</f>
        <v>0</v>
      </c>
      <c r="AI36" s="30">
        <f>IF($AB36="",0,IFERROR(INDEX(engDados,MATCH(selAnalito&amp;"|"&amp;$B36,engChave,0),12),0))</f>
        <v>0</v>
      </c>
      <c r="AJ36" s="30">
        <f>IF($AB36="",0,IFERROR(INDEX(engDados,MATCH(selAnalito&amp;"|"&amp;$B36,engChave,0),13),0))</f>
        <v>0</v>
      </c>
      <c r="AK36" s="30">
        <f>IF($AB36="",0,IFERROR(INDEX(engDados,MATCH(selAnalito&amp;"|"&amp;$B36,engChave,0),14),0))</f>
        <v>0</v>
      </c>
      <c r="AL36" s="30" t="str">
        <f>IF($AB36="","",IFERROR(INDEX(engDados,MATCH(selAnalito&amp;"|"&amp;$B36,engChave,0),16),""))</f>
        <v/>
      </c>
      <c r="AM36" s="30" t="e">
        <f t="shared" si="50"/>
        <v>#N/A</v>
      </c>
      <c r="AN36" s="30" t="e">
        <f t="shared" si="51"/>
        <v>#N/A</v>
      </c>
      <c r="AO36" s="30" t="e">
        <f t="shared" si="52"/>
        <v>#N/A</v>
      </c>
      <c r="AP36" s="30" t="e">
        <f t="shared" si="53"/>
        <v>#N/A</v>
      </c>
      <c r="AQ36" s="30" t="e">
        <f t="shared" si="54"/>
        <v>#N/A</v>
      </c>
      <c r="AR36" s="30" t="e">
        <f t="shared" si="55"/>
        <v>#N/A</v>
      </c>
      <c r="AS36" s="30" t="e">
        <f t="shared" si="56"/>
        <v>#N/A</v>
      </c>
      <c r="AT36" s="30" t="e">
        <f>IF(AND($D36=1,(""&amp;loteAnalise)=(""&amp;loteCarregado),COUNTIFS(regAnalito,selAnalito,regNivel,2,regData,$C36,regRep1,"&lt;&gt;")&gt;0),SUMIFS(regRep1,regAnalito,selAnalito,regNivel,2,regData,$C36),NA())</f>
        <v>#N/A</v>
      </c>
      <c r="AU36" s="30" t="e">
        <f>IF(AND($D36=1,(""&amp;loteAnalise)=(""&amp;loteCarregado),COUNTIFS(regAnalito,selAnalito,regNivel,2,regData,$C36,regRep2,"&lt;&gt;")&gt;0),SUMIFS(regRep2,regAnalito,selAnalito,regNivel,2,regData,$C36),NA())</f>
        <v>#N/A</v>
      </c>
      <c r="AV36" s="30" t="e">
        <f>IF(AND($D36=1,(""&amp;loteAnalise)=(""&amp;loteCarregado),COUNTIFS(regAnalito,selAnalito,regNivel,2,regData,$C36,regRep3,"&lt;&gt;")&gt;0),SUMIFS(regRep3,regAnalito,selAnalito,regNivel,2,regData,$C36),NA())</f>
        <v>#N/A</v>
      </c>
      <c r="AW36" s="30" t="e">
        <f>IF(AND($D36=1,COUNTIFS(regAnalito,selAnalito,regData,$C36,regCalib,"Sim")&gt;0),$BV$1,NA())</f>
        <v>#N/A</v>
      </c>
      <c r="AX36" s="30" t="str">
        <f>IF($B36="","",IF(INDEX(engValN3,$A36)="","",INDEX(engValN3,$A36)))</f>
        <v/>
      </c>
      <c r="AY36" s="30" t="str">
        <f t="shared" si="57"/>
        <v/>
      </c>
      <c r="AZ36" s="30" t="e">
        <f t="shared" si="58"/>
        <v>#N/A</v>
      </c>
      <c r="BA36" s="30" t="e">
        <f t="shared" si="59"/>
        <v>#N/A</v>
      </c>
      <c r="BB36" s="30" t="e">
        <f t="shared" si="60"/>
        <v>#N/A</v>
      </c>
      <c r="BC36" s="30">
        <f>IF($AX36="",0,IFERROR(INDEX(engDados,MATCH(selAnalito&amp;"|"&amp;$B36,engChave,0),17),0))</f>
        <v>0</v>
      </c>
      <c r="BD36" s="30">
        <f>IF($AX36="",0,IFERROR(INDEX(engDados,MATCH(selAnalito&amp;"|"&amp;$B36,engChave,0),18),0))</f>
        <v>0</v>
      </c>
      <c r="BE36" s="30">
        <f>IF($AX36="",0,IFERROR(INDEX(engDados,MATCH(selAnalito&amp;"|"&amp;$B36,engChave,0),19),0))</f>
        <v>0</v>
      </c>
      <c r="BF36" s="30">
        <f>IF($AX36="",0,IFERROR(INDEX(engDados,MATCH(selAnalito&amp;"|"&amp;$B36,engChave,0),20),0))</f>
        <v>0</v>
      </c>
      <c r="BG36" s="30">
        <f>IF($AX36="",0,IFERROR(INDEX(engDados,MATCH(selAnalito&amp;"|"&amp;$B36,engChave,0),21),0))</f>
        <v>0</v>
      </c>
      <c r="BH36" s="30" t="str">
        <f>IF($AX36="","",IFERROR(INDEX(engDados,MATCH(selAnalito&amp;"|"&amp;$B36,engChave,0),23),""))</f>
        <v/>
      </c>
      <c r="BI36" s="30" t="e">
        <f t="shared" si="61"/>
        <v>#N/A</v>
      </c>
      <c r="BJ36" s="30" t="e">
        <f t="shared" si="62"/>
        <v>#N/A</v>
      </c>
      <c r="BK36" s="30" t="e">
        <f t="shared" si="63"/>
        <v>#N/A</v>
      </c>
      <c r="BL36" s="30" t="e">
        <f t="shared" si="64"/>
        <v>#N/A</v>
      </c>
      <c r="BM36" s="30" t="e">
        <f t="shared" si="65"/>
        <v>#N/A</v>
      </c>
      <c r="BN36" s="30" t="e">
        <f t="shared" si="66"/>
        <v>#N/A</v>
      </c>
      <c r="BO36" s="30" t="e">
        <f t="shared" si="67"/>
        <v>#N/A</v>
      </c>
      <c r="BP36" s="30" t="e">
        <f>IF(AND($D36=1,(""&amp;loteAnalise)=(""&amp;loteCarregado),COUNTIFS(regAnalito,selAnalito,regNivel,3,regData,$C36,regRep1,"&lt;&gt;")&gt;0),SUMIFS(regRep1,regAnalito,selAnalito,regNivel,3,regData,$C36),NA())</f>
        <v>#N/A</v>
      </c>
      <c r="BQ36" s="30" t="e">
        <f>IF(AND($D36=1,(""&amp;loteAnalise)=(""&amp;loteCarregado),COUNTIFS(regAnalito,selAnalito,regNivel,3,regData,$C36,regRep2,"&lt;&gt;")&gt;0),SUMIFS(regRep2,regAnalito,selAnalito,regNivel,3,regData,$C36),NA())</f>
        <v>#N/A</v>
      </c>
      <c r="BR36" s="30" t="e">
        <f>IF(AND($D36=1,(""&amp;loteAnalise)=(""&amp;loteCarregado),COUNTIFS(regAnalito,selAnalito,regNivel,3,regData,$C36,regRep3,"&lt;&gt;")&gt;0),SUMIFS(regRep3,regAnalito,selAnalito,regNivel,3,regData,$C36),NA())</f>
        <v>#N/A</v>
      </c>
      <c r="BS36" s="30" t="e">
        <f>IF(AND($D36=1,COUNTIFS(regAnalito,selAnalito,regData,$C36,regCalib,"Sim")&gt;0),$BX$1,NA())</f>
        <v>#N/A</v>
      </c>
    </row>
    <row r="37" spans="1:71" x14ac:dyDescent="0.3">
      <c r="A37" s="30">
        <v>35</v>
      </c>
      <c r="B37" s="30" t="str">
        <f>IF(OR(selAnalito="",(""&amp;engAnalito)&lt;&gt;(""&amp;selAnalito),(""&amp;engLote)&lt;&gt;(""&amp;loteAnalise),$A37&gt;N(engNRun)),"",INDEX(engRUN,$A37))</f>
        <v/>
      </c>
      <c r="C37" s="43" t="str">
        <f>IF($B37="","",IF(INDEX(engData,$A37)="","",INDEX(engData,$A37)))</f>
        <v/>
      </c>
      <c r="D37" s="30">
        <f>IF($C37="",0,IF(AND(OR(filtroDe="",INT($C37)&gt;=INT(filtroDe)),OR(filtroAte="",INT($C37)&lt;=INT(filtroAte))),1,0))</f>
        <v>0</v>
      </c>
      <c r="E37" s="30" t="e">
        <f t="shared" si="34"/>
        <v>#N/A</v>
      </c>
      <c r="F37" s="30" t="str">
        <f>IF($B37="","",IF(INDEX(engValN1,$A37)="","",INDEX(engValN1,$A37)))</f>
        <v/>
      </c>
      <c r="G37" s="30" t="str">
        <f t="shared" si="35"/>
        <v/>
      </c>
      <c r="H37" s="30" t="e">
        <f t="shared" si="36"/>
        <v>#N/A</v>
      </c>
      <c r="I37" s="30" t="e">
        <f t="shared" si="37"/>
        <v>#N/A</v>
      </c>
      <c r="J37" s="30" t="e">
        <f t="shared" si="38"/>
        <v>#N/A</v>
      </c>
      <c r="K37" s="30">
        <f>IF($F37="",0,IFERROR(INDEX(engDados,MATCH(selAnalito&amp;"|"&amp;$B37,engChave,0),3),0))</f>
        <v>0</v>
      </c>
      <c r="L37" s="30">
        <f>IF($F37="",0,IFERROR(INDEX(engDados,MATCH(selAnalito&amp;"|"&amp;$B37,engChave,0),4),0))</f>
        <v>0</v>
      </c>
      <c r="M37" s="30">
        <f>IF($F37="",0,IFERROR(INDEX(engDados,MATCH(selAnalito&amp;"|"&amp;$B37,engChave,0),5),0))</f>
        <v>0</v>
      </c>
      <c r="N37" s="30">
        <f>IF($F37="",0,IFERROR(INDEX(engDados,MATCH(selAnalito&amp;"|"&amp;$B37,engChave,0),6),0))</f>
        <v>0</v>
      </c>
      <c r="O37" s="30">
        <f>IF($F37="",0,IFERROR(INDEX(engDados,MATCH(selAnalito&amp;"|"&amp;$B37,engChave,0),7),0))</f>
        <v>0</v>
      </c>
      <c r="P37" s="30" t="str">
        <f>IF($F37="","",IFERROR(INDEX(engDados,MATCH(selAnalito&amp;"|"&amp;$B37,engChave,0),9),""))</f>
        <v/>
      </c>
      <c r="Q37" s="30" t="e">
        <f t="shared" si="39"/>
        <v>#N/A</v>
      </c>
      <c r="R37" s="30" t="e">
        <f t="shared" si="40"/>
        <v>#N/A</v>
      </c>
      <c r="S37" s="30" t="e">
        <f t="shared" si="41"/>
        <v>#N/A</v>
      </c>
      <c r="T37" s="30" t="e">
        <f t="shared" si="42"/>
        <v>#N/A</v>
      </c>
      <c r="U37" s="30" t="e">
        <f t="shared" si="43"/>
        <v>#N/A</v>
      </c>
      <c r="V37" s="30" t="e">
        <f t="shared" si="44"/>
        <v>#N/A</v>
      </c>
      <c r="W37" s="30" t="e">
        <f t="shared" si="45"/>
        <v>#N/A</v>
      </c>
      <c r="X37" s="30" t="e">
        <f>IF(AND($D37=1,(""&amp;loteAnalise)=(""&amp;loteCarregado),COUNTIFS(regAnalito,selAnalito,regNivel,1,regData,$C37,regRep1,"&lt;&gt;")&gt;0),SUMIFS(regRep1,regAnalito,selAnalito,regNivel,1,regData,$C37),NA())</f>
        <v>#N/A</v>
      </c>
      <c r="Y37" s="30" t="e">
        <f>IF(AND($D37=1,(""&amp;loteAnalise)=(""&amp;loteCarregado),COUNTIFS(regAnalito,selAnalito,regNivel,1,regData,$C37,regRep2,"&lt;&gt;")&gt;0),SUMIFS(regRep2,regAnalito,selAnalito,regNivel,1,regData,$C37),NA())</f>
        <v>#N/A</v>
      </c>
      <c r="Z37" s="30" t="e">
        <f>IF(AND($D37=1,(""&amp;loteAnalise)=(""&amp;loteCarregado),COUNTIFS(regAnalito,selAnalito,regNivel,1,regData,$C37,regRep3,"&lt;&gt;")&gt;0),SUMIFS(regRep3,regAnalito,selAnalito,regNivel,1,regData,$C37),NA())</f>
        <v>#N/A</v>
      </c>
      <c r="AA37" s="30" t="e">
        <f>IF(AND($D37=1,COUNTIFS(regAnalito,selAnalito,regData,$C37,regCalib,"Sim")&gt;0),$BT$1,NA())</f>
        <v>#N/A</v>
      </c>
      <c r="AB37" s="30" t="str">
        <f>IF($B37="","",IF(INDEX(engValN2,$A37)="","",INDEX(engValN2,$A37)))</f>
        <v/>
      </c>
      <c r="AC37" s="30" t="str">
        <f t="shared" si="46"/>
        <v/>
      </c>
      <c r="AD37" s="30" t="e">
        <f t="shared" si="47"/>
        <v>#N/A</v>
      </c>
      <c r="AE37" s="30" t="e">
        <f t="shared" si="48"/>
        <v>#N/A</v>
      </c>
      <c r="AF37" s="30" t="e">
        <f t="shared" si="49"/>
        <v>#N/A</v>
      </c>
      <c r="AG37" s="30">
        <f>IF($AB37="",0,IFERROR(INDEX(engDados,MATCH(selAnalito&amp;"|"&amp;$B37,engChave,0),10),0))</f>
        <v>0</v>
      </c>
      <c r="AH37" s="30">
        <f>IF($AB37="",0,IFERROR(INDEX(engDados,MATCH(selAnalito&amp;"|"&amp;$B37,engChave,0),11),0))</f>
        <v>0</v>
      </c>
      <c r="AI37" s="30">
        <f>IF($AB37="",0,IFERROR(INDEX(engDados,MATCH(selAnalito&amp;"|"&amp;$B37,engChave,0),12),0))</f>
        <v>0</v>
      </c>
      <c r="AJ37" s="30">
        <f>IF($AB37="",0,IFERROR(INDEX(engDados,MATCH(selAnalito&amp;"|"&amp;$B37,engChave,0),13),0))</f>
        <v>0</v>
      </c>
      <c r="AK37" s="30">
        <f>IF($AB37="",0,IFERROR(INDEX(engDados,MATCH(selAnalito&amp;"|"&amp;$B37,engChave,0),14),0))</f>
        <v>0</v>
      </c>
      <c r="AL37" s="30" t="str">
        <f>IF($AB37="","",IFERROR(INDEX(engDados,MATCH(selAnalito&amp;"|"&amp;$B37,engChave,0),16),""))</f>
        <v/>
      </c>
      <c r="AM37" s="30" t="e">
        <f t="shared" si="50"/>
        <v>#N/A</v>
      </c>
      <c r="AN37" s="30" t="e">
        <f t="shared" si="51"/>
        <v>#N/A</v>
      </c>
      <c r="AO37" s="30" t="e">
        <f t="shared" si="52"/>
        <v>#N/A</v>
      </c>
      <c r="AP37" s="30" t="e">
        <f t="shared" si="53"/>
        <v>#N/A</v>
      </c>
      <c r="AQ37" s="30" t="e">
        <f t="shared" si="54"/>
        <v>#N/A</v>
      </c>
      <c r="AR37" s="30" t="e">
        <f t="shared" si="55"/>
        <v>#N/A</v>
      </c>
      <c r="AS37" s="30" t="e">
        <f t="shared" si="56"/>
        <v>#N/A</v>
      </c>
      <c r="AT37" s="30" t="e">
        <f>IF(AND($D37=1,(""&amp;loteAnalise)=(""&amp;loteCarregado),COUNTIFS(regAnalito,selAnalito,regNivel,2,regData,$C37,regRep1,"&lt;&gt;")&gt;0),SUMIFS(regRep1,regAnalito,selAnalito,regNivel,2,regData,$C37),NA())</f>
        <v>#N/A</v>
      </c>
      <c r="AU37" s="30" t="e">
        <f>IF(AND($D37=1,(""&amp;loteAnalise)=(""&amp;loteCarregado),COUNTIFS(regAnalito,selAnalito,regNivel,2,regData,$C37,regRep2,"&lt;&gt;")&gt;0),SUMIFS(regRep2,regAnalito,selAnalito,regNivel,2,regData,$C37),NA())</f>
        <v>#N/A</v>
      </c>
      <c r="AV37" s="30" t="e">
        <f>IF(AND($D37=1,(""&amp;loteAnalise)=(""&amp;loteCarregado),COUNTIFS(regAnalito,selAnalito,regNivel,2,regData,$C37,regRep3,"&lt;&gt;")&gt;0),SUMIFS(regRep3,regAnalito,selAnalito,regNivel,2,regData,$C37),NA())</f>
        <v>#N/A</v>
      </c>
      <c r="AW37" s="30" t="e">
        <f>IF(AND($D37=1,COUNTIFS(regAnalito,selAnalito,regData,$C37,regCalib,"Sim")&gt;0),$BV$1,NA())</f>
        <v>#N/A</v>
      </c>
      <c r="AX37" s="30" t="str">
        <f>IF($B37="","",IF(INDEX(engValN3,$A37)="","",INDEX(engValN3,$A37)))</f>
        <v/>
      </c>
      <c r="AY37" s="30" t="str">
        <f t="shared" si="57"/>
        <v/>
      </c>
      <c r="AZ37" s="30" t="e">
        <f t="shared" si="58"/>
        <v>#N/A</v>
      </c>
      <c r="BA37" s="30" t="e">
        <f t="shared" si="59"/>
        <v>#N/A</v>
      </c>
      <c r="BB37" s="30" t="e">
        <f t="shared" si="60"/>
        <v>#N/A</v>
      </c>
      <c r="BC37" s="30">
        <f>IF($AX37="",0,IFERROR(INDEX(engDados,MATCH(selAnalito&amp;"|"&amp;$B37,engChave,0),17),0))</f>
        <v>0</v>
      </c>
      <c r="BD37" s="30">
        <f>IF($AX37="",0,IFERROR(INDEX(engDados,MATCH(selAnalito&amp;"|"&amp;$B37,engChave,0),18),0))</f>
        <v>0</v>
      </c>
      <c r="BE37" s="30">
        <f>IF($AX37="",0,IFERROR(INDEX(engDados,MATCH(selAnalito&amp;"|"&amp;$B37,engChave,0),19),0))</f>
        <v>0</v>
      </c>
      <c r="BF37" s="30">
        <f>IF($AX37="",0,IFERROR(INDEX(engDados,MATCH(selAnalito&amp;"|"&amp;$B37,engChave,0),20),0))</f>
        <v>0</v>
      </c>
      <c r="BG37" s="30">
        <f>IF($AX37="",0,IFERROR(INDEX(engDados,MATCH(selAnalito&amp;"|"&amp;$B37,engChave,0),21),0))</f>
        <v>0</v>
      </c>
      <c r="BH37" s="30" t="str">
        <f>IF($AX37="","",IFERROR(INDEX(engDados,MATCH(selAnalito&amp;"|"&amp;$B37,engChave,0),23),""))</f>
        <v/>
      </c>
      <c r="BI37" s="30" t="e">
        <f t="shared" si="61"/>
        <v>#N/A</v>
      </c>
      <c r="BJ37" s="30" t="e">
        <f t="shared" si="62"/>
        <v>#N/A</v>
      </c>
      <c r="BK37" s="30" t="e">
        <f t="shared" si="63"/>
        <v>#N/A</v>
      </c>
      <c r="BL37" s="30" t="e">
        <f t="shared" si="64"/>
        <v>#N/A</v>
      </c>
      <c r="BM37" s="30" t="e">
        <f t="shared" si="65"/>
        <v>#N/A</v>
      </c>
      <c r="BN37" s="30" t="e">
        <f t="shared" si="66"/>
        <v>#N/A</v>
      </c>
      <c r="BO37" s="30" t="e">
        <f t="shared" si="67"/>
        <v>#N/A</v>
      </c>
      <c r="BP37" s="30" t="e">
        <f>IF(AND($D37=1,(""&amp;loteAnalise)=(""&amp;loteCarregado),COUNTIFS(regAnalito,selAnalito,regNivel,3,regData,$C37,regRep1,"&lt;&gt;")&gt;0),SUMIFS(regRep1,regAnalito,selAnalito,regNivel,3,regData,$C37),NA())</f>
        <v>#N/A</v>
      </c>
      <c r="BQ37" s="30" t="e">
        <f>IF(AND($D37=1,(""&amp;loteAnalise)=(""&amp;loteCarregado),COUNTIFS(regAnalito,selAnalito,regNivel,3,regData,$C37,regRep2,"&lt;&gt;")&gt;0),SUMIFS(regRep2,regAnalito,selAnalito,regNivel,3,regData,$C37),NA())</f>
        <v>#N/A</v>
      </c>
      <c r="BR37" s="30" t="e">
        <f>IF(AND($D37=1,(""&amp;loteAnalise)=(""&amp;loteCarregado),COUNTIFS(regAnalito,selAnalito,regNivel,3,regData,$C37,regRep3,"&lt;&gt;")&gt;0),SUMIFS(regRep3,regAnalito,selAnalito,regNivel,3,regData,$C37),NA())</f>
        <v>#N/A</v>
      </c>
      <c r="BS37" s="30" t="e">
        <f>IF(AND($D37=1,COUNTIFS(regAnalito,selAnalito,regData,$C37,regCalib,"Sim")&gt;0),$BX$1,NA())</f>
        <v>#N/A</v>
      </c>
    </row>
    <row r="38" spans="1:71" x14ac:dyDescent="0.3">
      <c r="A38" s="30">
        <v>36</v>
      </c>
      <c r="B38" s="30" t="str">
        <f>IF(OR(selAnalito="",(""&amp;engAnalito)&lt;&gt;(""&amp;selAnalito),(""&amp;engLote)&lt;&gt;(""&amp;loteAnalise),$A38&gt;N(engNRun)),"",INDEX(engRUN,$A38))</f>
        <v/>
      </c>
      <c r="C38" s="43" t="str">
        <f>IF($B38="","",IF(INDEX(engData,$A38)="","",INDEX(engData,$A38)))</f>
        <v/>
      </c>
      <c r="D38" s="30">
        <f>IF($C38="",0,IF(AND(OR(filtroDe="",INT($C38)&gt;=INT(filtroDe)),OR(filtroAte="",INT($C38)&lt;=INT(filtroAte))),1,0))</f>
        <v>0</v>
      </c>
      <c r="E38" s="30" t="e">
        <f t="shared" si="34"/>
        <v>#N/A</v>
      </c>
      <c r="F38" s="30" t="str">
        <f>IF($B38="","",IF(INDEX(engValN1,$A38)="","",INDEX(engValN1,$A38)))</f>
        <v/>
      </c>
      <c r="G38" s="30" t="str">
        <f t="shared" si="35"/>
        <v/>
      </c>
      <c r="H38" s="30" t="e">
        <f t="shared" si="36"/>
        <v>#N/A</v>
      </c>
      <c r="I38" s="30" t="e">
        <f t="shared" si="37"/>
        <v>#N/A</v>
      </c>
      <c r="J38" s="30" t="e">
        <f t="shared" si="38"/>
        <v>#N/A</v>
      </c>
      <c r="K38" s="30">
        <f>IF($F38="",0,IFERROR(INDEX(engDados,MATCH(selAnalito&amp;"|"&amp;$B38,engChave,0),3),0))</f>
        <v>0</v>
      </c>
      <c r="L38" s="30">
        <f>IF($F38="",0,IFERROR(INDEX(engDados,MATCH(selAnalito&amp;"|"&amp;$B38,engChave,0),4),0))</f>
        <v>0</v>
      </c>
      <c r="M38" s="30">
        <f>IF($F38="",0,IFERROR(INDEX(engDados,MATCH(selAnalito&amp;"|"&amp;$B38,engChave,0),5),0))</f>
        <v>0</v>
      </c>
      <c r="N38" s="30">
        <f>IF($F38="",0,IFERROR(INDEX(engDados,MATCH(selAnalito&amp;"|"&amp;$B38,engChave,0),6),0))</f>
        <v>0</v>
      </c>
      <c r="O38" s="30">
        <f>IF($F38="",0,IFERROR(INDEX(engDados,MATCH(selAnalito&amp;"|"&amp;$B38,engChave,0),7),0))</f>
        <v>0</v>
      </c>
      <c r="P38" s="30" t="str">
        <f>IF($F38="","",IFERROR(INDEX(engDados,MATCH(selAnalito&amp;"|"&amp;$B38,engChave,0),9),""))</f>
        <v/>
      </c>
      <c r="Q38" s="30" t="e">
        <f t="shared" si="39"/>
        <v>#N/A</v>
      </c>
      <c r="R38" s="30" t="e">
        <f t="shared" si="40"/>
        <v>#N/A</v>
      </c>
      <c r="S38" s="30" t="e">
        <f t="shared" si="41"/>
        <v>#N/A</v>
      </c>
      <c r="T38" s="30" t="e">
        <f t="shared" si="42"/>
        <v>#N/A</v>
      </c>
      <c r="U38" s="30" t="e">
        <f t="shared" si="43"/>
        <v>#N/A</v>
      </c>
      <c r="V38" s="30" t="e">
        <f t="shared" si="44"/>
        <v>#N/A</v>
      </c>
      <c r="W38" s="30" t="e">
        <f t="shared" si="45"/>
        <v>#N/A</v>
      </c>
      <c r="X38" s="30" t="e">
        <f>IF(AND($D38=1,(""&amp;loteAnalise)=(""&amp;loteCarregado),COUNTIFS(regAnalito,selAnalito,regNivel,1,regData,$C38,regRep1,"&lt;&gt;")&gt;0),SUMIFS(regRep1,regAnalito,selAnalito,regNivel,1,regData,$C38),NA())</f>
        <v>#N/A</v>
      </c>
      <c r="Y38" s="30" t="e">
        <f>IF(AND($D38=1,(""&amp;loteAnalise)=(""&amp;loteCarregado),COUNTIFS(regAnalito,selAnalito,regNivel,1,regData,$C38,regRep2,"&lt;&gt;")&gt;0),SUMIFS(regRep2,regAnalito,selAnalito,regNivel,1,regData,$C38),NA())</f>
        <v>#N/A</v>
      </c>
      <c r="Z38" s="30" t="e">
        <f>IF(AND($D38=1,(""&amp;loteAnalise)=(""&amp;loteCarregado),COUNTIFS(regAnalito,selAnalito,regNivel,1,regData,$C38,regRep3,"&lt;&gt;")&gt;0),SUMIFS(regRep3,regAnalito,selAnalito,regNivel,1,regData,$C38),NA())</f>
        <v>#N/A</v>
      </c>
      <c r="AA38" s="30" t="e">
        <f>IF(AND($D38=1,COUNTIFS(regAnalito,selAnalito,regData,$C38,regCalib,"Sim")&gt;0),$BT$1,NA())</f>
        <v>#N/A</v>
      </c>
      <c r="AB38" s="30" t="str">
        <f>IF($B38="","",IF(INDEX(engValN2,$A38)="","",INDEX(engValN2,$A38)))</f>
        <v/>
      </c>
      <c r="AC38" s="30" t="str">
        <f t="shared" si="46"/>
        <v/>
      </c>
      <c r="AD38" s="30" t="e">
        <f t="shared" si="47"/>
        <v>#N/A</v>
      </c>
      <c r="AE38" s="30" t="e">
        <f t="shared" si="48"/>
        <v>#N/A</v>
      </c>
      <c r="AF38" s="30" t="e">
        <f t="shared" si="49"/>
        <v>#N/A</v>
      </c>
      <c r="AG38" s="30">
        <f>IF($AB38="",0,IFERROR(INDEX(engDados,MATCH(selAnalito&amp;"|"&amp;$B38,engChave,0),10),0))</f>
        <v>0</v>
      </c>
      <c r="AH38" s="30">
        <f>IF($AB38="",0,IFERROR(INDEX(engDados,MATCH(selAnalito&amp;"|"&amp;$B38,engChave,0),11),0))</f>
        <v>0</v>
      </c>
      <c r="AI38" s="30">
        <f>IF($AB38="",0,IFERROR(INDEX(engDados,MATCH(selAnalito&amp;"|"&amp;$B38,engChave,0),12),0))</f>
        <v>0</v>
      </c>
      <c r="AJ38" s="30">
        <f>IF($AB38="",0,IFERROR(INDEX(engDados,MATCH(selAnalito&amp;"|"&amp;$B38,engChave,0),13),0))</f>
        <v>0</v>
      </c>
      <c r="AK38" s="30">
        <f>IF($AB38="",0,IFERROR(INDEX(engDados,MATCH(selAnalito&amp;"|"&amp;$B38,engChave,0),14),0))</f>
        <v>0</v>
      </c>
      <c r="AL38" s="30" t="str">
        <f>IF($AB38="","",IFERROR(INDEX(engDados,MATCH(selAnalito&amp;"|"&amp;$B38,engChave,0),16),""))</f>
        <v/>
      </c>
      <c r="AM38" s="30" t="e">
        <f t="shared" si="50"/>
        <v>#N/A</v>
      </c>
      <c r="AN38" s="30" t="e">
        <f t="shared" si="51"/>
        <v>#N/A</v>
      </c>
      <c r="AO38" s="30" t="e">
        <f t="shared" si="52"/>
        <v>#N/A</v>
      </c>
      <c r="AP38" s="30" t="e">
        <f t="shared" si="53"/>
        <v>#N/A</v>
      </c>
      <c r="AQ38" s="30" t="e">
        <f t="shared" si="54"/>
        <v>#N/A</v>
      </c>
      <c r="AR38" s="30" t="e">
        <f t="shared" si="55"/>
        <v>#N/A</v>
      </c>
      <c r="AS38" s="30" t="e">
        <f t="shared" si="56"/>
        <v>#N/A</v>
      </c>
      <c r="AT38" s="30" t="e">
        <f>IF(AND($D38=1,(""&amp;loteAnalise)=(""&amp;loteCarregado),COUNTIFS(regAnalito,selAnalito,regNivel,2,regData,$C38,regRep1,"&lt;&gt;")&gt;0),SUMIFS(regRep1,regAnalito,selAnalito,regNivel,2,regData,$C38),NA())</f>
        <v>#N/A</v>
      </c>
      <c r="AU38" s="30" t="e">
        <f>IF(AND($D38=1,(""&amp;loteAnalise)=(""&amp;loteCarregado),COUNTIFS(regAnalito,selAnalito,regNivel,2,regData,$C38,regRep2,"&lt;&gt;")&gt;0),SUMIFS(regRep2,regAnalito,selAnalito,regNivel,2,regData,$C38),NA())</f>
        <v>#N/A</v>
      </c>
      <c r="AV38" s="30" t="e">
        <f>IF(AND($D38=1,(""&amp;loteAnalise)=(""&amp;loteCarregado),COUNTIFS(regAnalito,selAnalito,regNivel,2,regData,$C38,regRep3,"&lt;&gt;")&gt;0),SUMIFS(regRep3,regAnalito,selAnalito,regNivel,2,regData,$C38),NA())</f>
        <v>#N/A</v>
      </c>
      <c r="AW38" s="30" t="e">
        <f>IF(AND($D38=1,COUNTIFS(regAnalito,selAnalito,regData,$C38,regCalib,"Sim")&gt;0),$BV$1,NA())</f>
        <v>#N/A</v>
      </c>
      <c r="AX38" s="30" t="str">
        <f>IF($B38="","",IF(INDEX(engValN3,$A38)="","",INDEX(engValN3,$A38)))</f>
        <v/>
      </c>
      <c r="AY38" s="30" t="str">
        <f t="shared" si="57"/>
        <v/>
      </c>
      <c r="AZ38" s="30" t="e">
        <f t="shared" si="58"/>
        <v>#N/A</v>
      </c>
      <c r="BA38" s="30" t="e">
        <f t="shared" si="59"/>
        <v>#N/A</v>
      </c>
      <c r="BB38" s="30" t="e">
        <f t="shared" si="60"/>
        <v>#N/A</v>
      </c>
      <c r="BC38" s="30">
        <f>IF($AX38="",0,IFERROR(INDEX(engDados,MATCH(selAnalito&amp;"|"&amp;$B38,engChave,0),17),0))</f>
        <v>0</v>
      </c>
      <c r="BD38" s="30">
        <f>IF($AX38="",0,IFERROR(INDEX(engDados,MATCH(selAnalito&amp;"|"&amp;$B38,engChave,0),18),0))</f>
        <v>0</v>
      </c>
      <c r="BE38" s="30">
        <f>IF($AX38="",0,IFERROR(INDEX(engDados,MATCH(selAnalito&amp;"|"&amp;$B38,engChave,0),19),0))</f>
        <v>0</v>
      </c>
      <c r="BF38" s="30">
        <f>IF($AX38="",0,IFERROR(INDEX(engDados,MATCH(selAnalito&amp;"|"&amp;$B38,engChave,0),20),0))</f>
        <v>0</v>
      </c>
      <c r="BG38" s="30">
        <f>IF($AX38="",0,IFERROR(INDEX(engDados,MATCH(selAnalito&amp;"|"&amp;$B38,engChave,0),21),0))</f>
        <v>0</v>
      </c>
      <c r="BH38" s="30" t="str">
        <f>IF($AX38="","",IFERROR(INDEX(engDados,MATCH(selAnalito&amp;"|"&amp;$B38,engChave,0),23),""))</f>
        <v/>
      </c>
      <c r="BI38" s="30" t="e">
        <f t="shared" si="61"/>
        <v>#N/A</v>
      </c>
      <c r="BJ38" s="30" t="e">
        <f t="shared" si="62"/>
        <v>#N/A</v>
      </c>
      <c r="BK38" s="30" t="e">
        <f t="shared" si="63"/>
        <v>#N/A</v>
      </c>
      <c r="BL38" s="30" t="e">
        <f t="shared" si="64"/>
        <v>#N/A</v>
      </c>
      <c r="BM38" s="30" t="e">
        <f t="shared" si="65"/>
        <v>#N/A</v>
      </c>
      <c r="BN38" s="30" t="e">
        <f t="shared" si="66"/>
        <v>#N/A</v>
      </c>
      <c r="BO38" s="30" t="e">
        <f t="shared" si="67"/>
        <v>#N/A</v>
      </c>
      <c r="BP38" s="30" t="e">
        <f>IF(AND($D38=1,(""&amp;loteAnalise)=(""&amp;loteCarregado),COUNTIFS(regAnalito,selAnalito,regNivel,3,regData,$C38,regRep1,"&lt;&gt;")&gt;0),SUMIFS(regRep1,regAnalito,selAnalito,regNivel,3,regData,$C38),NA())</f>
        <v>#N/A</v>
      </c>
      <c r="BQ38" s="30" t="e">
        <f>IF(AND($D38=1,(""&amp;loteAnalise)=(""&amp;loteCarregado),COUNTIFS(regAnalito,selAnalito,regNivel,3,regData,$C38,regRep2,"&lt;&gt;")&gt;0),SUMIFS(regRep2,regAnalito,selAnalito,regNivel,3,regData,$C38),NA())</f>
        <v>#N/A</v>
      </c>
      <c r="BR38" s="30" t="e">
        <f>IF(AND($D38=1,(""&amp;loteAnalise)=(""&amp;loteCarregado),COUNTIFS(regAnalito,selAnalito,regNivel,3,regData,$C38,regRep3,"&lt;&gt;")&gt;0),SUMIFS(regRep3,regAnalito,selAnalito,regNivel,3,regData,$C38),NA())</f>
        <v>#N/A</v>
      </c>
      <c r="BS38" s="30" t="e">
        <f>IF(AND($D38=1,COUNTIFS(regAnalito,selAnalito,regData,$C38,regCalib,"Sim")&gt;0),$BX$1,NA())</f>
        <v>#N/A</v>
      </c>
    </row>
    <row r="39" spans="1:71" x14ac:dyDescent="0.3">
      <c r="A39" s="30">
        <v>37</v>
      </c>
      <c r="B39" s="30" t="str">
        <f>IF(OR(selAnalito="",(""&amp;engAnalito)&lt;&gt;(""&amp;selAnalito),(""&amp;engLote)&lt;&gt;(""&amp;loteAnalise),$A39&gt;N(engNRun)),"",INDEX(engRUN,$A39))</f>
        <v/>
      </c>
      <c r="C39" s="43" t="str">
        <f>IF($B39="","",IF(INDEX(engData,$A39)="","",INDEX(engData,$A39)))</f>
        <v/>
      </c>
      <c r="D39" s="30">
        <f>IF($C39="",0,IF(AND(OR(filtroDe="",INT($C39)&gt;=INT(filtroDe)),OR(filtroAte="",INT($C39)&lt;=INT(filtroAte))),1,0))</f>
        <v>0</v>
      </c>
      <c r="E39" s="30" t="e">
        <f t="shared" si="34"/>
        <v>#N/A</v>
      </c>
      <c r="F39" s="30" t="str">
        <f>IF($B39="","",IF(INDEX(engValN1,$A39)="","",INDEX(engValN1,$A39)))</f>
        <v/>
      </c>
      <c r="G39" s="30" t="str">
        <f t="shared" si="35"/>
        <v/>
      </c>
      <c r="H39" s="30" t="e">
        <f t="shared" si="36"/>
        <v>#N/A</v>
      </c>
      <c r="I39" s="30" t="e">
        <f t="shared" si="37"/>
        <v>#N/A</v>
      </c>
      <c r="J39" s="30" t="e">
        <f t="shared" si="38"/>
        <v>#N/A</v>
      </c>
      <c r="K39" s="30">
        <f>IF($F39="",0,IFERROR(INDEX(engDados,MATCH(selAnalito&amp;"|"&amp;$B39,engChave,0),3),0))</f>
        <v>0</v>
      </c>
      <c r="L39" s="30">
        <f>IF($F39="",0,IFERROR(INDEX(engDados,MATCH(selAnalito&amp;"|"&amp;$B39,engChave,0),4),0))</f>
        <v>0</v>
      </c>
      <c r="M39" s="30">
        <f>IF($F39="",0,IFERROR(INDEX(engDados,MATCH(selAnalito&amp;"|"&amp;$B39,engChave,0),5),0))</f>
        <v>0</v>
      </c>
      <c r="N39" s="30">
        <f>IF($F39="",0,IFERROR(INDEX(engDados,MATCH(selAnalito&amp;"|"&amp;$B39,engChave,0),6),0))</f>
        <v>0</v>
      </c>
      <c r="O39" s="30">
        <f>IF($F39="",0,IFERROR(INDEX(engDados,MATCH(selAnalito&amp;"|"&amp;$B39,engChave,0),7),0))</f>
        <v>0</v>
      </c>
      <c r="P39" s="30" t="str">
        <f>IF($F39="","",IFERROR(INDEX(engDados,MATCH(selAnalito&amp;"|"&amp;$B39,engChave,0),9),""))</f>
        <v/>
      </c>
      <c r="Q39" s="30" t="e">
        <f t="shared" si="39"/>
        <v>#N/A</v>
      </c>
      <c r="R39" s="30" t="e">
        <f t="shared" si="40"/>
        <v>#N/A</v>
      </c>
      <c r="S39" s="30" t="e">
        <f t="shared" si="41"/>
        <v>#N/A</v>
      </c>
      <c r="T39" s="30" t="e">
        <f t="shared" si="42"/>
        <v>#N/A</v>
      </c>
      <c r="U39" s="30" t="e">
        <f t="shared" si="43"/>
        <v>#N/A</v>
      </c>
      <c r="V39" s="30" t="e">
        <f t="shared" si="44"/>
        <v>#N/A</v>
      </c>
      <c r="W39" s="30" t="e">
        <f t="shared" si="45"/>
        <v>#N/A</v>
      </c>
      <c r="X39" s="30" t="e">
        <f>IF(AND($D39=1,(""&amp;loteAnalise)=(""&amp;loteCarregado),COUNTIFS(regAnalito,selAnalito,regNivel,1,regData,$C39,regRep1,"&lt;&gt;")&gt;0),SUMIFS(regRep1,regAnalito,selAnalito,regNivel,1,regData,$C39),NA())</f>
        <v>#N/A</v>
      </c>
      <c r="Y39" s="30" t="e">
        <f>IF(AND($D39=1,(""&amp;loteAnalise)=(""&amp;loteCarregado),COUNTIFS(regAnalito,selAnalito,regNivel,1,regData,$C39,regRep2,"&lt;&gt;")&gt;0),SUMIFS(regRep2,regAnalito,selAnalito,regNivel,1,regData,$C39),NA())</f>
        <v>#N/A</v>
      </c>
      <c r="Z39" s="30" t="e">
        <f>IF(AND($D39=1,(""&amp;loteAnalise)=(""&amp;loteCarregado),COUNTIFS(regAnalito,selAnalito,regNivel,1,regData,$C39,regRep3,"&lt;&gt;")&gt;0),SUMIFS(regRep3,regAnalito,selAnalito,regNivel,1,regData,$C39),NA())</f>
        <v>#N/A</v>
      </c>
      <c r="AA39" s="30" t="e">
        <f>IF(AND($D39=1,COUNTIFS(regAnalito,selAnalito,regData,$C39,regCalib,"Sim")&gt;0),$BT$1,NA())</f>
        <v>#N/A</v>
      </c>
      <c r="AB39" s="30" t="str">
        <f>IF($B39="","",IF(INDEX(engValN2,$A39)="","",INDEX(engValN2,$A39)))</f>
        <v/>
      </c>
      <c r="AC39" s="30" t="str">
        <f t="shared" si="46"/>
        <v/>
      </c>
      <c r="AD39" s="30" t="e">
        <f t="shared" si="47"/>
        <v>#N/A</v>
      </c>
      <c r="AE39" s="30" t="e">
        <f t="shared" si="48"/>
        <v>#N/A</v>
      </c>
      <c r="AF39" s="30" t="e">
        <f t="shared" si="49"/>
        <v>#N/A</v>
      </c>
      <c r="AG39" s="30">
        <f>IF($AB39="",0,IFERROR(INDEX(engDados,MATCH(selAnalito&amp;"|"&amp;$B39,engChave,0),10),0))</f>
        <v>0</v>
      </c>
      <c r="AH39" s="30">
        <f>IF($AB39="",0,IFERROR(INDEX(engDados,MATCH(selAnalito&amp;"|"&amp;$B39,engChave,0),11),0))</f>
        <v>0</v>
      </c>
      <c r="AI39" s="30">
        <f>IF($AB39="",0,IFERROR(INDEX(engDados,MATCH(selAnalito&amp;"|"&amp;$B39,engChave,0),12),0))</f>
        <v>0</v>
      </c>
      <c r="AJ39" s="30">
        <f>IF($AB39="",0,IFERROR(INDEX(engDados,MATCH(selAnalito&amp;"|"&amp;$B39,engChave,0),13),0))</f>
        <v>0</v>
      </c>
      <c r="AK39" s="30">
        <f>IF($AB39="",0,IFERROR(INDEX(engDados,MATCH(selAnalito&amp;"|"&amp;$B39,engChave,0),14),0))</f>
        <v>0</v>
      </c>
      <c r="AL39" s="30" t="str">
        <f>IF($AB39="","",IFERROR(INDEX(engDados,MATCH(selAnalito&amp;"|"&amp;$B39,engChave,0),16),""))</f>
        <v/>
      </c>
      <c r="AM39" s="30" t="e">
        <f t="shared" si="50"/>
        <v>#N/A</v>
      </c>
      <c r="AN39" s="30" t="e">
        <f t="shared" si="51"/>
        <v>#N/A</v>
      </c>
      <c r="AO39" s="30" t="e">
        <f t="shared" si="52"/>
        <v>#N/A</v>
      </c>
      <c r="AP39" s="30" t="e">
        <f t="shared" si="53"/>
        <v>#N/A</v>
      </c>
      <c r="AQ39" s="30" t="e">
        <f t="shared" si="54"/>
        <v>#N/A</v>
      </c>
      <c r="AR39" s="30" t="e">
        <f t="shared" si="55"/>
        <v>#N/A</v>
      </c>
      <c r="AS39" s="30" t="e">
        <f t="shared" si="56"/>
        <v>#N/A</v>
      </c>
      <c r="AT39" s="30" t="e">
        <f>IF(AND($D39=1,(""&amp;loteAnalise)=(""&amp;loteCarregado),COUNTIFS(regAnalito,selAnalito,regNivel,2,regData,$C39,regRep1,"&lt;&gt;")&gt;0),SUMIFS(regRep1,regAnalito,selAnalito,regNivel,2,regData,$C39),NA())</f>
        <v>#N/A</v>
      </c>
      <c r="AU39" s="30" t="e">
        <f>IF(AND($D39=1,(""&amp;loteAnalise)=(""&amp;loteCarregado),COUNTIFS(regAnalito,selAnalito,regNivel,2,regData,$C39,regRep2,"&lt;&gt;")&gt;0),SUMIFS(regRep2,regAnalito,selAnalito,regNivel,2,regData,$C39),NA())</f>
        <v>#N/A</v>
      </c>
      <c r="AV39" s="30" t="e">
        <f>IF(AND($D39=1,(""&amp;loteAnalise)=(""&amp;loteCarregado),COUNTIFS(regAnalito,selAnalito,regNivel,2,regData,$C39,regRep3,"&lt;&gt;")&gt;0),SUMIFS(regRep3,regAnalito,selAnalito,regNivel,2,regData,$C39),NA())</f>
        <v>#N/A</v>
      </c>
      <c r="AW39" s="30" t="e">
        <f>IF(AND($D39=1,COUNTIFS(regAnalito,selAnalito,regData,$C39,regCalib,"Sim")&gt;0),$BV$1,NA())</f>
        <v>#N/A</v>
      </c>
      <c r="AX39" s="30" t="str">
        <f>IF($B39="","",IF(INDEX(engValN3,$A39)="","",INDEX(engValN3,$A39)))</f>
        <v/>
      </c>
      <c r="AY39" s="30" t="str">
        <f t="shared" si="57"/>
        <v/>
      </c>
      <c r="AZ39" s="30" t="e">
        <f t="shared" si="58"/>
        <v>#N/A</v>
      </c>
      <c r="BA39" s="30" t="e">
        <f t="shared" si="59"/>
        <v>#N/A</v>
      </c>
      <c r="BB39" s="30" t="e">
        <f t="shared" si="60"/>
        <v>#N/A</v>
      </c>
      <c r="BC39" s="30">
        <f>IF($AX39="",0,IFERROR(INDEX(engDados,MATCH(selAnalito&amp;"|"&amp;$B39,engChave,0),17),0))</f>
        <v>0</v>
      </c>
      <c r="BD39" s="30">
        <f>IF($AX39="",0,IFERROR(INDEX(engDados,MATCH(selAnalito&amp;"|"&amp;$B39,engChave,0),18),0))</f>
        <v>0</v>
      </c>
      <c r="BE39" s="30">
        <f>IF($AX39="",0,IFERROR(INDEX(engDados,MATCH(selAnalito&amp;"|"&amp;$B39,engChave,0),19),0))</f>
        <v>0</v>
      </c>
      <c r="BF39" s="30">
        <f>IF($AX39="",0,IFERROR(INDEX(engDados,MATCH(selAnalito&amp;"|"&amp;$B39,engChave,0),20),0))</f>
        <v>0</v>
      </c>
      <c r="BG39" s="30">
        <f>IF($AX39="",0,IFERROR(INDEX(engDados,MATCH(selAnalito&amp;"|"&amp;$B39,engChave,0),21),0))</f>
        <v>0</v>
      </c>
      <c r="BH39" s="30" t="str">
        <f>IF($AX39="","",IFERROR(INDEX(engDados,MATCH(selAnalito&amp;"|"&amp;$B39,engChave,0),23),""))</f>
        <v/>
      </c>
      <c r="BI39" s="30" t="e">
        <f t="shared" si="61"/>
        <v>#N/A</v>
      </c>
      <c r="BJ39" s="30" t="e">
        <f t="shared" si="62"/>
        <v>#N/A</v>
      </c>
      <c r="BK39" s="30" t="e">
        <f t="shared" si="63"/>
        <v>#N/A</v>
      </c>
      <c r="BL39" s="30" t="e">
        <f t="shared" si="64"/>
        <v>#N/A</v>
      </c>
      <c r="BM39" s="30" t="e">
        <f t="shared" si="65"/>
        <v>#N/A</v>
      </c>
      <c r="BN39" s="30" t="e">
        <f t="shared" si="66"/>
        <v>#N/A</v>
      </c>
      <c r="BO39" s="30" t="e">
        <f t="shared" si="67"/>
        <v>#N/A</v>
      </c>
      <c r="BP39" s="30" t="e">
        <f>IF(AND($D39=1,(""&amp;loteAnalise)=(""&amp;loteCarregado),COUNTIFS(regAnalito,selAnalito,regNivel,3,regData,$C39,regRep1,"&lt;&gt;")&gt;0),SUMIFS(regRep1,regAnalito,selAnalito,regNivel,3,regData,$C39),NA())</f>
        <v>#N/A</v>
      </c>
      <c r="BQ39" s="30" t="e">
        <f>IF(AND($D39=1,(""&amp;loteAnalise)=(""&amp;loteCarregado),COUNTIFS(regAnalito,selAnalito,regNivel,3,regData,$C39,regRep2,"&lt;&gt;")&gt;0),SUMIFS(regRep2,regAnalito,selAnalito,regNivel,3,regData,$C39),NA())</f>
        <v>#N/A</v>
      </c>
      <c r="BR39" s="30" t="e">
        <f>IF(AND($D39=1,(""&amp;loteAnalise)=(""&amp;loteCarregado),COUNTIFS(regAnalito,selAnalito,regNivel,3,regData,$C39,regRep3,"&lt;&gt;")&gt;0),SUMIFS(regRep3,regAnalito,selAnalito,regNivel,3,regData,$C39),NA())</f>
        <v>#N/A</v>
      </c>
      <c r="BS39" s="30" t="e">
        <f>IF(AND($D39=1,COUNTIFS(regAnalito,selAnalito,regData,$C39,regCalib,"Sim")&gt;0),$BX$1,NA())</f>
        <v>#N/A</v>
      </c>
    </row>
    <row r="40" spans="1:71" x14ac:dyDescent="0.3">
      <c r="A40" s="30">
        <v>38</v>
      </c>
      <c r="B40" s="30" t="str">
        <f>IF(OR(selAnalito="",(""&amp;engAnalito)&lt;&gt;(""&amp;selAnalito),(""&amp;engLote)&lt;&gt;(""&amp;loteAnalise),$A40&gt;N(engNRun)),"",INDEX(engRUN,$A40))</f>
        <v/>
      </c>
      <c r="C40" s="43" t="str">
        <f>IF($B40="","",IF(INDEX(engData,$A40)="","",INDEX(engData,$A40)))</f>
        <v/>
      </c>
      <c r="D40" s="30">
        <f>IF($C40="",0,IF(AND(OR(filtroDe="",INT($C40)&gt;=INT(filtroDe)),OR(filtroAte="",INT($C40)&lt;=INT(filtroAte))),1,0))</f>
        <v>0</v>
      </c>
      <c r="E40" s="30" t="e">
        <f t="shared" si="34"/>
        <v>#N/A</v>
      </c>
      <c r="F40" s="30" t="str">
        <f>IF($B40="","",IF(INDEX(engValN1,$A40)="","",INDEX(engValN1,$A40)))</f>
        <v/>
      </c>
      <c r="G40" s="30" t="str">
        <f t="shared" si="35"/>
        <v/>
      </c>
      <c r="H40" s="30" t="e">
        <f t="shared" si="36"/>
        <v>#N/A</v>
      </c>
      <c r="I40" s="30" t="e">
        <f t="shared" si="37"/>
        <v>#N/A</v>
      </c>
      <c r="J40" s="30" t="e">
        <f t="shared" si="38"/>
        <v>#N/A</v>
      </c>
      <c r="K40" s="30">
        <f>IF($F40="",0,IFERROR(INDEX(engDados,MATCH(selAnalito&amp;"|"&amp;$B40,engChave,0),3),0))</f>
        <v>0</v>
      </c>
      <c r="L40" s="30">
        <f>IF($F40="",0,IFERROR(INDEX(engDados,MATCH(selAnalito&amp;"|"&amp;$B40,engChave,0),4),0))</f>
        <v>0</v>
      </c>
      <c r="M40" s="30">
        <f>IF($F40="",0,IFERROR(INDEX(engDados,MATCH(selAnalito&amp;"|"&amp;$B40,engChave,0),5),0))</f>
        <v>0</v>
      </c>
      <c r="N40" s="30">
        <f>IF($F40="",0,IFERROR(INDEX(engDados,MATCH(selAnalito&amp;"|"&amp;$B40,engChave,0),6),0))</f>
        <v>0</v>
      </c>
      <c r="O40" s="30">
        <f>IF($F40="",0,IFERROR(INDEX(engDados,MATCH(selAnalito&amp;"|"&amp;$B40,engChave,0),7),0))</f>
        <v>0</v>
      </c>
      <c r="P40" s="30" t="str">
        <f>IF($F40="","",IFERROR(INDEX(engDados,MATCH(selAnalito&amp;"|"&amp;$B40,engChave,0),9),""))</f>
        <v/>
      </c>
      <c r="Q40" s="30" t="e">
        <f t="shared" si="39"/>
        <v>#N/A</v>
      </c>
      <c r="R40" s="30" t="e">
        <f t="shared" si="40"/>
        <v>#N/A</v>
      </c>
      <c r="S40" s="30" t="e">
        <f t="shared" si="41"/>
        <v>#N/A</v>
      </c>
      <c r="T40" s="30" t="e">
        <f t="shared" si="42"/>
        <v>#N/A</v>
      </c>
      <c r="U40" s="30" t="e">
        <f t="shared" si="43"/>
        <v>#N/A</v>
      </c>
      <c r="V40" s="30" t="e">
        <f t="shared" si="44"/>
        <v>#N/A</v>
      </c>
      <c r="W40" s="30" t="e">
        <f t="shared" si="45"/>
        <v>#N/A</v>
      </c>
      <c r="X40" s="30" t="e">
        <f>IF(AND($D40=1,(""&amp;loteAnalise)=(""&amp;loteCarregado),COUNTIFS(regAnalito,selAnalito,regNivel,1,regData,$C40,regRep1,"&lt;&gt;")&gt;0),SUMIFS(regRep1,regAnalito,selAnalito,regNivel,1,regData,$C40),NA())</f>
        <v>#N/A</v>
      </c>
      <c r="Y40" s="30" t="e">
        <f>IF(AND($D40=1,(""&amp;loteAnalise)=(""&amp;loteCarregado),COUNTIFS(regAnalito,selAnalito,regNivel,1,regData,$C40,regRep2,"&lt;&gt;")&gt;0),SUMIFS(regRep2,regAnalito,selAnalito,regNivel,1,regData,$C40),NA())</f>
        <v>#N/A</v>
      </c>
      <c r="Z40" s="30" t="e">
        <f>IF(AND($D40=1,(""&amp;loteAnalise)=(""&amp;loteCarregado),COUNTIFS(regAnalito,selAnalito,regNivel,1,regData,$C40,regRep3,"&lt;&gt;")&gt;0),SUMIFS(regRep3,regAnalito,selAnalito,regNivel,1,regData,$C40),NA())</f>
        <v>#N/A</v>
      </c>
      <c r="AA40" s="30" t="e">
        <f>IF(AND($D40=1,COUNTIFS(regAnalito,selAnalito,regData,$C40,regCalib,"Sim")&gt;0),$BT$1,NA())</f>
        <v>#N/A</v>
      </c>
      <c r="AB40" s="30" t="str">
        <f>IF($B40="","",IF(INDEX(engValN2,$A40)="","",INDEX(engValN2,$A40)))</f>
        <v/>
      </c>
      <c r="AC40" s="30" t="str">
        <f t="shared" si="46"/>
        <v/>
      </c>
      <c r="AD40" s="30" t="e">
        <f t="shared" si="47"/>
        <v>#N/A</v>
      </c>
      <c r="AE40" s="30" t="e">
        <f t="shared" si="48"/>
        <v>#N/A</v>
      </c>
      <c r="AF40" s="30" t="e">
        <f t="shared" si="49"/>
        <v>#N/A</v>
      </c>
      <c r="AG40" s="30">
        <f>IF($AB40="",0,IFERROR(INDEX(engDados,MATCH(selAnalito&amp;"|"&amp;$B40,engChave,0),10),0))</f>
        <v>0</v>
      </c>
      <c r="AH40" s="30">
        <f>IF($AB40="",0,IFERROR(INDEX(engDados,MATCH(selAnalito&amp;"|"&amp;$B40,engChave,0),11),0))</f>
        <v>0</v>
      </c>
      <c r="AI40" s="30">
        <f>IF($AB40="",0,IFERROR(INDEX(engDados,MATCH(selAnalito&amp;"|"&amp;$B40,engChave,0),12),0))</f>
        <v>0</v>
      </c>
      <c r="AJ40" s="30">
        <f>IF($AB40="",0,IFERROR(INDEX(engDados,MATCH(selAnalito&amp;"|"&amp;$B40,engChave,0),13),0))</f>
        <v>0</v>
      </c>
      <c r="AK40" s="30">
        <f>IF($AB40="",0,IFERROR(INDEX(engDados,MATCH(selAnalito&amp;"|"&amp;$B40,engChave,0),14),0))</f>
        <v>0</v>
      </c>
      <c r="AL40" s="30" t="str">
        <f>IF($AB40="","",IFERROR(INDEX(engDados,MATCH(selAnalito&amp;"|"&amp;$B40,engChave,0),16),""))</f>
        <v/>
      </c>
      <c r="AM40" s="30" t="e">
        <f t="shared" si="50"/>
        <v>#N/A</v>
      </c>
      <c r="AN40" s="30" t="e">
        <f t="shared" si="51"/>
        <v>#N/A</v>
      </c>
      <c r="AO40" s="30" t="e">
        <f t="shared" si="52"/>
        <v>#N/A</v>
      </c>
      <c r="AP40" s="30" t="e">
        <f t="shared" si="53"/>
        <v>#N/A</v>
      </c>
      <c r="AQ40" s="30" t="e">
        <f t="shared" si="54"/>
        <v>#N/A</v>
      </c>
      <c r="AR40" s="30" t="e">
        <f t="shared" si="55"/>
        <v>#N/A</v>
      </c>
      <c r="AS40" s="30" t="e">
        <f t="shared" si="56"/>
        <v>#N/A</v>
      </c>
      <c r="AT40" s="30" t="e">
        <f>IF(AND($D40=1,(""&amp;loteAnalise)=(""&amp;loteCarregado),COUNTIFS(regAnalito,selAnalito,regNivel,2,regData,$C40,regRep1,"&lt;&gt;")&gt;0),SUMIFS(regRep1,regAnalito,selAnalito,regNivel,2,regData,$C40),NA())</f>
        <v>#N/A</v>
      </c>
      <c r="AU40" s="30" t="e">
        <f>IF(AND($D40=1,(""&amp;loteAnalise)=(""&amp;loteCarregado),COUNTIFS(regAnalito,selAnalito,regNivel,2,regData,$C40,regRep2,"&lt;&gt;")&gt;0),SUMIFS(regRep2,regAnalito,selAnalito,regNivel,2,regData,$C40),NA())</f>
        <v>#N/A</v>
      </c>
      <c r="AV40" s="30" t="e">
        <f>IF(AND($D40=1,(""&amp;loteAnalise)=(""&amp;loteCarregado),COUNTIFS(regAnalito,selAnalito,regNivel,2,regData,$C40,regRep3,"&lt;&gt;")&gt;0),SUMIFS(regRep3,regAnalito,selAnalito,regNivel,2,regData,$C40),NA())</f>
        <v>#N/A</v>
      </c>
      <c r="AW40" s="30" t="e">
        <f>IF(AND($D40=1,COUNTIFS(regAnalito,selAnalito,regData,$C40,regCalib,"Sim")&gt;0),$BV$1,NA())</f>
        <v>#N/A</v>
      </c>
      <c r="AX40" s="30" t="str">
        <f>IF($B40="","",IF(INDEX(engValN3,$A40)="","",INDEX(engValN3,$A40)))</f>
        <v/>
      </c>
      <c r="AY40" s="30" t="str">
        <f t="shared" si="57"/>
        <v/>
      </c>
      <c r="AZ40" s="30" t="e">
        <f t="shared" si="58"/>
        <v>#N/A</v>
      </c>
      <c r="BA40" s="30" t="e">
        <f t="shared" si="59"/>
        <v>#N/A</v>
      </c>
      <c r="BB40" s="30" t="e">
        <f t="shared" si="60"/>
        <v>#N/A</v>
      </c>
      <c r="BC40" s="30">
        <f>IF($AX40="",0,IFERROR(INDEX(engDados,MATCH(selAnalito&amp;"|"&amp;$B40,engChave,0),17),0))</f>
        <v>0</v>
      </c>
      <c r="BD40" s="30">
        <f>IF($AX40="",0,IFERROR(INDEX(engDados,MATCH(selAnalito&amp;"|"&amp;$B40,engChave,0),18),0))</f>
        <v>0</v>
      </c>
      <c r="BE40" s="30">
        <f>IF($AX40="",0,IFERROR(INDEX(engDados,MATCH(selAnalito&amp;"|"&amp;$B40,engChave,0),19),0))</f>
        <v>0</v>
      </c>
      <c r="BF40" s="30">
        <f>IF($AX40="",0,IFERROR(INDEX(engDados,MATCH(selAnalito&amp;"|"&amp;$B40,engChave,0),20),0))</f>
        <v>0</v>
      </c>
      <c r="BG40" s="30">
        <f>IF($AX40="",0,IFERROR(INDEX(engDados,MATCH(selAnalito&amp;"|"&amp;$B40,engChave,0),21),0))</f>
        <v>0</v>
      </c>
      <c r="BH40" s="30" t="str">
        <f>IF($AX40="","",IFERROR(INDEX(engDados,MATCH(selAnalito&amp;"|"&amp;$B40,engChave,0),23),""))</f>
        <v/>
      </c>
      <c r="BI40" s="30" t="e">
        <f t="shared" si="61"/>
        <v>#N/A</v>
      </c>
      <c r="BJ40" s="30" t="e">
        <f t="shared" si="62"/>
        <v>#N/A</v>
      </c>
      <c r="BK40" s="30" t="e">
        <f t="shared" si="63"/>
        <v>#N/A</v>
      </c>
      <c r="BL40" s="30" t="e">
        <f t="shared" si="64"/>
        <v>#N/A</v>
      </c>
      <c r="BM40" s="30" t="e">
        <f t="shared" si="65"/>
        <v>#N/A</v>
      </c>
      <c r="BN40" s="30" t="e">
        <f t="shared" si="66"/>
        <v>#N/A</v>
      </c>
      <c r="BO40" s="30" t="e">
        <f t="shared" si="67"/>
        <v>#N/A</v>
      </c>
      <c r="BP40" s="30" t="e">
        <f>IF(AND($D40=1,(""&amp;loteAnalise)=(""&amp;loteCarregado),COUNTIFS(regAnalito,selAnalito,regNivel,3,regData,$C40,regRep1,"&lt;&gt;")&gt;0),SUMIFS(regRep1,regAnalito,selAnalito,regNivel,3,regData,$C40),NA())</f>
        <v>#N/A</v>
      </c>
      <c r="BQ40" s="30" t="e">
        <f>IF(AND($D40=1,(""&amp;loteAnalise)=(""&amp;loteCarregado),COUNTIFS(regAnalito,selAnalito,regNivel,3,regData,$C40,regRep2,"&lt;&gt;")&gt;0),SUMIFS(regRep2,regAnalito,selAnalito,regNivel,3,regData,$C40),NA())</f>
        <v>#N/A</v>
      </c>
      <c r="BR40" s="30" t="e">
        <f>IF(AND($D40=1,(""&amp;loteAnalise)=(""&amp;loteCarregado),COUNTIFS(regAnalito,selAnalito,regNivel,3,regData,$C40,regRep3,"&lt;&gt;")&gt;0),SUMIFS(regRep3,regAnalito,selAnalito,regNivel,3,regData,$C40),NA())</f>
        <v>#N/A</v>
      </c>
      <c r="BS40" s="30" t="e">
        <f>IF(AND($D40=1,COUNTIFS(regAnalito,selAnalito,regData,$C40,regCalib,"Sim")&gt;0),$BX$1,NA())</f>
        <v>#N/A</v>
      </c>
    </row>
    <row r="41" spans="1:71" x14ac:dyDescent="0.3">
      <c r="A41" s="30">
        <v>39</v>
      </c>
      <c r="B41" s="30" t="str">
        <f>IF(OR(selAnalito="",(""&amp;engAnalito)&lt;&gt;(""&amp;selAnalito),(""&amp;engLote)&lt;&gt;(""&amp;loteAnalise),$A41&gt;N(engNRun)),"",INDEX(engRUN,$A41))</f>
        <v/>
      </c>
      <c r="C41" s="43" t="str">
        <f>IF($B41="","",IF(INDEX(engData,$A41)="","",INDEX(engData,$A41)))</f>
        <v/>
      </c>
      <c r="D41" s="30">
        <f>IF($C41="",0,IF(AND(OR(filtroDe="",INT($C41)&gt;=INT(filtroDe)),OR(filtroAte="",INT($C41)&lt;=INT(filtroAte))),1,0))</f>
        <v>0</v>
      </c>
      <c r="E41" s="30" t="e">
        <f t="shared" si="34"/>
        <v>#N/A</v>
      </c>
      <c r="F41" s="30" t="str">
        <f>IF($B41="","",IF(INDEX(engValN1,$A41)="","",INDEX(engValN1,$A41)))</f>
        <v/>
      </c>
      <c r="G41" s="30" t="str">
        <f t="shared" si="35"/>
        <v/>
      </c>
      <c r="H41" s="30" t="e">
        <f t="shared" si="36"/>
        <v>#N/A</v>
      </c>
      <c r="I41" s="30" t="e">
        <f t="shared" si="37"/>
        <v>#N/A</v>
      </c>
      <c r="J41" s="30" t="e">
        <f t="shared" si="38"/>
        <v>#N/A</v>
      </c>
      <c r="K41" s="30">
        <f>IF($F41="",0,IFERROR(INDEX(engDados,MATCH(selAnalito&amp;"|"&amp;$B41,engChave,0),3),0))</f>
        <v>0</v>
      </c>
      <c r="L41" s="30">
        <f>IF($F41="",0,IFERROR(INDEX(engDados,MATCH(selAnalito&amp;"|"&amp;$B41,engChave,0),4),0))</f>
        <v>0</v>
      </c>
      <c r="M41" s="30">
        <f>IF($F41="",0,IFERROR(INDEX(engDados,MATCH(selAnalito&amp;"|"&amp;$B41,engChave,0),5),0))</f>
        <v>0</v>
      </c>
      <c r="N41" s="30">
        <f>IF($F41="",0,IFERROR(INDEX(engDados,MATCH(selAnalito&amp;"|"&amp;$B41,engChave,0),6),0))</f>
        <v>0</v>
      </c>
      <c r="O41" s="30">
        <f>IF($F41="",0,IFERROR(INDEX(engDados,MATCH(selAnalito&amp;"|"&amp;$B41,engChave,0),7),0))</f>
        <v>0</v>
      </c>
      <c r="P41" s="30" t="str">
        <f>IF($F41="","",IFERROR(INDEX(engDados,MATCH(selAnalito&amp;"|"&amp;$B41,engChave,0),9),""))</f>
        <v/>
      </c>
      <c r="Q41" s="30" t="e">
        <f t="shared" si="39"/>
        <v>#N/A</v>
      </c>
      <c r="R41" s="30" t="e">
        <f t="shared" si="40"/>
        <v>#N/A</v>
      </c>
      <c r="S41" s="30" t="e">
        <f t="shared" si="41"/>
        <v>#N/A</v>
      </c>
      <c r="T41" s="30" t="e">
        <f t="shared" si="42"/>
        <v>#N/A</v>
      </c>
      <c r="U41" s="30" t="e">
        <f t="shared" si="43"/>
        <v>#N/A</v>
      </c>
      <c r="V41" s="30" t="e">
        <f t="shared" si="44"/>
        <v>#N/A</v>
      </c>
      <c r="W41" s="30" t="e">
        <f t="shared" si="45"/>
        <v>#N/A</v>
      </c>
      <c r="X41" s="30" t="e">
        <f>IF(AND($D41=1,(""&amp;loteAnalise)=(""&amp;loteCarregado),COUNTIFS(regAnalito,selAnalito,regNivel,1,regData,$C41,regRep1,"&lt;&gt;")&gt;0),SUMIFS(regRep1,regAnalito,selAnalito,regNivel,1,regData,$C41),NA())</f>
        <v>#N/A</v>
      </c>
      <c r="Y41" s="30" t="e">
        <f>IF(AND($D41=1,(""&amp;loteAnalise)=(""&amp;loteCarregado),COUNTIFS(regAnalito,selAnalito,regNivel,1,regData,$C41,regRep2,"&lt;&gt;")&gt;0),SUMIFS(regRep2,regAnalito,selAnalito,regNivel,1,regData,$C41),NA())</f>
        <v>#N/A</v>
      </c>
      <c r="Z41" s="30" t="e">
        <f>IF(AND($D41=1,(""&amp;loteAnalise)=(""&amp;loteCarregado),COUNTIFS(regAnalito,selAnalito,regNivel,1,regData,$C41,regRep3,"&lt;&gt;")&gt;0),SUMIFS(regRep3,regAnalito,selAnalito,regNivel,1,regData,$C41),NA())</f>
        <v>#N/A</v>
      </c>
      <c r="AA41" s="30" t="e">
        <f>IF(AND($D41=1,COUNTIFS(regAnalito,selAnalito,regData,$C41,regCalib,"Sim")&gt;0),$BT$1,NA())</f>
        <v>#N/A</v>
      </c>
      <c r="AB41" s="30" t="str">
        <f>IF($B41="","",IF(INDEX(engValN2,$A41)="","",INDEX(engValN2,$A41)))</f>
        <v/>
      </c>
      <c r="AC41" s="30" t="str">
        <f t="shared" si="46"/>
        <v/>
      </c>
      <c r="AD41" s="30" t="e">
        <f t="shared" si="47"/>
        <v>#N/A</v>
      </c>
      <c r="AE41" s="30" t="e">
        <f t="shared" si="48"/>
        <v>#N/A</v>
      </c>
      <c r="AF41" s="30" t="e">
        <f t="shared" si="49"/>
        <v>#N/A</v>
      </c>
      <c r="AG41" s="30">
        <f>IF($AB41="",0,IFERROR(INDEX(engDados,MATCH(selAnalito&amp;"|"&amp;$B41,engChave,0),10),0))</f>
        <v>0</v>
      </c>
      <c r="AH41" s="30">
        <f>IF($AB41="",0,IFERROR(INDEX(engDados,MATCH(selAnalito&amp;"|"&amp;$B41,engChave,0),11),0))</f>
        <v>0</v>
      </c>
      <c r="AI41" s="30">
        <f>IF($AB41="",0,IFERROR(INDEX(engDados,MATCH(selAnalito&amp;"|"&amp;$B41,engChave,0),12),0))</f>
        <v>0</v>
      </c>
      <c r="AJ41" s="30">
        <f>IF($AB41="",0,IFERROR(INDEX(engDados,MATCH(selAnalito&amp;"|"&amp;$B41,engChave,0),13),0))</f>
        <v>0</v>
      </c>
      <c r="AK41" s="30">
        <f>IF($AB41="",0,IFERROR(INDEX(engDados,MATCH(selAnalito&amp;"|"&amp;$B41,engChave,0),14),0))</f>
        <v>0</v>
      </c>
      <c r="AL41" s="30" t="str">
        <f>IF($AB41="","",IFERROR(INDEX(engDados,MATCH(selAnalito&amp;"|"&amp;$B41,engChave,0),16),""))</f>
        <v/>
      </c>
      <c r="AM41" s="30" t="e">
        <f t="shared" si="50"/>
        <v>#N/A</v>
      </c>
      <c r="AN41" s="30" t="e">
        <f t="shared" si="51"/>
        <v>#N/A</v>
      </c>
      <c r="AO41" s="30" t="e">
        <f t="shared" si="52"/>
        <v>#N/A</v>
      </c>
      <c r="AP41" s="30" t="e">
        <f t="shared" si="53"/>
        <v>#N/A</v>
      </c>
      <c r="AQ41" s="30" t="e">
        <f t="shared" si="54"/>
        <v>#N/A</v>
      </c>
      <c r="AR41" s="30" t="e">
        <f t="shared" si="55"/>
        <v>#N/A</v>
      </c>
      <c r="AS41" s="30" t="e">
        <f t="shared" si="56"/>
        <v>#N/A</v>
      </c>
      <c r="AT41" s="30" t="e">
        <f>IF(AND($D41=1,(""&amp;loteAnalise)=(""&amp;loteCarregado),COUNTIFS(regAnalito,selAnalito,regNivel,2,regData,$C41,regRep1,"&lt;&gt;")&gt;0),SUMIFS(regRep1,regAnalito,selAnalito,regNivel,2,regData,$C41),NA())</f>
        <v>#N/A</v>
      </c>
      <c r="AU41" s="30" t="e">
        <f>IF(AND($D41=1,(""&amp;loteAnalise)=(""&amp;loteCarregado),COUNTIFS(regAnalito,selAnalito,regNivel,2,regData,$C41,regRep2,"&lt;&gt;")&gt;0),SUMIFS(regRep2,regAnalito,selAnalito,regNivel,2,regData,$C41),NA())</f>
        <v>#N/A</v>
      </c>
      <c r="AV41" s="30" t="e">
        <f>IF(AND($D41=1,(""&amp;loteAnalise)=(""&amp;loteCarregado),COUNTIFS(regAnalito,selAnalito,regNivel,2,regData,$C41,regRep3,"&lt;&gt;")&gt;0),SUMIFS(regRep3,regAnalito,selAnalito,regNivel,2,regData,$C41),NA())</f>
        <v>#N/A</v>
      </c>
      <c r="AW41" s="30" t="e">
        <f>IF(AND($D41=1,COUNTIFS(regAnalito,selAnalito,regData,$C41,regCalib,"Sim")&gt;0),$BV$1,NA())</f>
        <v>#N/A</v>
      </c>
      <c r="AX41" s="30" t="str">
        <f>IF($B41="","",IF(INDEX(engValN3,$A41)="","",INDEX(engValN3,$A41)))</f>
        <v/>
      </c>
      <c r="AY41" s="30" t="str">
        <f t="shared" si="57"/>
        <v/>
      </c>
      <c r="AZ41" s="30" t="e">
        <f t="shared" si="58"/>
        <v>#N/A</v>
      </c>
      <c r="BA41" s="30" t="e">
        <f t="shared" si="59"/>
        <v>#N/A</v>
      </c>
      <c r="BB41" s="30" t="e">
        <f t="shared" si="60"/>
        <v>#N/A</v>
      </c>
      <c r="BC41" s="30">
        <f>IF($AX41="",0,IFERROR(INDEX(engDados,MATCH(selAnalito&amp;"|"&amp;$B41,engChave,0),17),0))</f>
        <v>0</v>
      </c>
      <c r="BD41" s="30">
        <f>IF($AX41="",0,IFERROR(INDEX(engDados,MATCH(selAnalito&amp;"|"&amp;$B41,engChave,0),18),0))</f>
        <v>0</v>
      </c>
      <c r="BE41" s="30">
        <f>IF($AX41="",0,IFERROR(INDEX(engDados,MATCH(selAnalito&amp;"|"&amp;$B41,engChave,0),19),0))</f>
        <v>0</v>
      </c>
      <c r="BF41" s="30">
        <f>IF($AX41="",0,IFERROR(INDEX(engDados,MATCH(selAnalito&amp;"|"&amp;$B41,engChave,0),20),0))</f>
        <v>0</v>
      </c>
      <c r="BG41" s="30">
        <f>IF($AX41="",0,IFERROR(INDEX(engDados,MATCH(selAnalito&amp;"|"&amp;$B41,engChave,0),21),0))</f>
        <v>0</v>
      </c>
      <c r="BH41" s="30" t="str">
        <f>IF($AX41="","",IFERROR(INDEX(engDados,MATCH(selAnalito&amp;"|"&amp;$B41,engChave,0),23),""))</f>
        <v/>
      </c>
      <c r="BI41" s="30" t="e">
        <f t="shared" si="61"/>
        <v>#N/A</v>
      </c>
      <c r="BJ41" s="30" t="e">
        <f t="shared" si="62"/>
        <v>#N/A</v>
      </c>
      <c r="BK41" s="30" t="e">
        <f t="shared" si="63"/>
        <v>#N/A</v>
      </c>
      <c r="BL41" s="30" t="e">
        <f t="shared" si="64"/>
        <v>#N/A</v>
      </c>
      <c r="BM41" s="30" t="e">
        <f t="shared" si="65"/>
        <v>#N/A</v>
      </c>
      <c r="BN41" s="30" t="e">
        <f t="shared" si="66"/>
        <v>#N/A</v>
      </c>
      <c r="BO41" s="30" t="e">
        <f t="shared" si="67"/>
        <v>#N/A</v>
      </c>
      <c r="BP41" s="30" t="e">
        <f>IF(AND($D41=1,(""&amp;loteAnalise)=(""&amp;loteCarregado),COUNTIFS(regAnalito,selAnalito,regNivel,3,regData,$C41,regRep1,"&lt;&gt;")&gt;0),SUMIFS(regRep1,regAnalito,selAnalito,regNivel,3,regData,$C41),NA())</f>
        <v>#N/A</v>
      </c>
      <c r="BQ41" s="30" t="e">
        <f>IF(AND($D41=1,(""&amp;loteAnalise)=(""&amp;loteCarregado),COUNTIFS(regAnalito,selAnalito,regNivel,3,regData,$C41,regRep2,"&lt;&gt;")&gt;0),SUMIFS(regRep2,regAnalito,selAnalito,regNivel,3,regData,$C41),NA())</f>
        <v>#N/A</v>
      </c>
      <c r="BR41" s="30" t="e">
        <f>IF(AND($D41=1,(""&amp;loteAnalise)=(""&amp;loteCarregado),COUNTIFS(regAnalito,selAnalito,regNivel,3,regData,$C41,regRep3,"&lt;&gt;")&gt;0),SUMIFS(regRep3,regAnalito,selAnalito,regNivel,3,regData,$C41),NA())</f>
        <v>#N/A</v>
      </c>
      <c r="BS41" s="30" t="e">
        <f>IF(AND($D41=1,COUNTIFS(regAnalito,selAnalito,regData,$C41,regCalib,"Sim")&gt;0),$BX$1,NA())</f>
        <v>#N/A</v>
      </c>
    </row>
    <row r="42" spans="1:71" x14ac:dyDescent="0.3">
      <c r="A42" s="30">
        <v>40</v>
      </c>
      <c r="B42" s="30" t="str">
        <f>IF(OR(selAnalito="",(""&amp;engAnalito)&lt;&gt;(""&amp;selAnalito),(""&amp;engLote)&lt;&gt;(""&amp;loteAnalise),$A42&gt;N(engNRun)),"",INDEX(engRUN,$A42))</f>
        <v/>
      </c>
      <c r="C42" s="43" t="str">
        <f>IF($B42="","",IF(INDEX(engData,$A42)="","",INDEX(engData,$A42)))</f>
        <v/>
      </c>
      <c r="D42" s="30">
        <f>IF($C42="",0,IF(AND(OR(filtroDe="",INT($C42)&gt;=INT(filtroDe)),OR(filtroAte="",INT($C42)&lt;=INT(filtroAte))),1,0))</f>
        <v>0</v>
      </c>
      <c r="E42" s="30" t="e">
        <f t="shared" si="34"/>
        <v>#N/A</v>
      </c>
      <c r="F42" s="30" t="str">
        <f>IF($B42="","",IF(INDEX(engValN1,$A42)="","",INDEX(engValN1,$A42)))</f>
        <v/>
      </c>
      <c r="G42" s="30" t="str">
        <f t="shared" si="35"/>
        <v/>
      </c>
      <c r="H42" s="30" t="e">
        <f t="shared" si="36"/>
        <v>#N/A</v>
      </c>
      <c r="I42" s="30" t="e">
        <f t="shared" si="37"/>
        <v>#N/A</v>
      </c>
      <c r="J42" s="30" t="e">
        <f t="shared" si="38"/>
        <v>#N/A</v>
      </c>
      <c r="K42" s="30">
        <f>IF($F42="",0,IFERROR(INDEX(engDados,MATCH(selAnalito&amp;"|"&amp;$B42,engChave,0),3),0))</f>
        <v>0</v>
      </c>
      <c r="L42" s="30">
        <f>IF($F42="",0,IFERROR(INDEX(engDados,MATCH(selAnalito&amp;"|"&amp;$B42,engChave,0),4),0))</f>
        <v>0</v>
      </c>
      <c r="M42" s="30">
        <f>IF($F42="",0,IFERROR(INDEX(engDados,MATCH(selAnalito&amp;"|"&amp;$B42,engChave,0),5),0))</f>
        <v>0</v>
      </c>
      <c r="N42" s="30">
        <f>IF($F42="",0,IFERROR(INDEX(engDados,MATCH(selAnalito&amp;"|"&amp;$B42,engChave,0),6),0))</f>
        <v>0</v>
      </c>
      <c r="O42" s="30">
        <f>IF($F42="",0,IFERROR(INDEX(engDados,MATCH(selAnalito&amp;"|"&amp;$B42,engChave,0),7),0))</f>
        <v>0</v>
      </c>
      <c r="P42" s="30" t="str">
        <f>IF($F42="","",IFERROR(INDEX(engDados,MATCH(selAnalito&amp;"|"&amp;$B42,engChave,0),9),""))</f>
        <v/>
      </c>
      <c r="Q42" s="30" t="e">
        <f t="shared" si="39"/>
        <v>#N/A</v>
      </c>
      <c r="R42" s="30" t="e">
        <f t="shared" si="40"/>
        <v>#N/A</v>
      </c>
      <c r="S42" s="30" t="e">
        <f t="shared" si="41"/>
        <v>#N/A</v>
      </c>
      <c r="T42" s="30" t="e">
        <f t="shared" si="42"/>
        <v>#N/A</v>
      </c>
      <c r="U42" s="30" t="e">
        <f t="shared" si="43"/>
        <v>#N/A</v>
      </c>
      <c r="V42" s="30" t="e">
        <f t="shared" si="44"/>
        <v>#N/A</v>
      </c>
      <c r="W42" s="30" t="e">
        <f t="shared" si="45"/>
        <v>#N/A</v>
      </c>
      <c r="X42" s="30" t="e">
        <f>IF(AND($D42=1,(""&amp;loteAnalise)=(""&amp;loteCarregado),COUNTIFS(regAnalito,selAnalito,regNivel,1,regData,$C42,regRep1,"&lt;&gt;")&gt;0),SUMIFS(regRep1,regAnalito,selAnalito,regNivel,1,regData,$C42),NA())</f>
        <v>#N/A</v>
      </c>
      <c r="Y42" s="30" t="e">
        <f>IF(AND($D42=1,(""&amp;loteAnalise)=(""&amp;loteCarregado),COUNTIFS(regAnalito,selAnalito,regNivel,1,regData,$C42,regRep2,"&lt;&gt;")&gt;0),SUMIFS(regRep2,regAnalito,selAnalito,regNivel,1,regData,$C42),NA())</f>
        <v>#N/A</v>
      </c>
      <c r="Z42" s="30" t="e">
        <f>IF(AND($D42=1,(""&amp;loteAnalise)=(""&amp;loteCarregado),COUNTIFS(regAnalito,selAnalito,regNivel,1,regData,$C42,regRep3,"&lt;&gt;")&gt;0),SUMIFS(regRep3,regAnalito,selAnalito,regNivel,1,regData,$C42),NA())</f>
        <v>#N/A</v>
      </c>
      <c r="AA42" s="30" t="e">
        <f>IF(AND($D42=1,COUNTIFS(regAnalito,selAnalito,regData,$C42,regCalib,"Sim")&gt;0),$BT$1,NA())</f>
        <v>#N/A</v>
      </c>
      <c r="AB42" s="30" t="str">
        <f>IF($B42="","",IF(INDEX(engValN2,$A42)="","",INDEX(engValN2,$A42)))</f>
        <v/>
      </c>
      <c r="AC42" s="30" t="str">
        <f t="shared" si="46"/>
        <v/>
      </c>
      <c r="AD42" s="30" t="e">
        <f t="shared" si="47"/>
        <v>#N/A</v>
      </c>
      <c r="AE42" s="30" t="e">
        <f t="shared" si="48"/>
        <v>#N/A</v>
      </c>
      <c r="AF42" s="30" t="e">
        <f t="shared" si="49"/>
        <v>#N/A</v>
      </c>
      <c r="AG42" s="30">
        <f>IF($AB42="",0,IFERROR(INDEX(engDados,MATCH(selAnalito&amp;"|"&amp;$B42,engChave,0),10),0))</f>
        <v>0</v>
      </c>
      <c r="AH42" s="30">
        <f>IF($AB42="",0,IFERROR(INDEX(engDados,MATCH(selAnalito&amp;"|"&amp;$B42,engChave,0),11),0))</f>
        <v>0</v>
      </c>
      <c r="AI42" s="30">
        <f>IF($AB42="",0,IFERROR(INDEX(engDados,MATCH(selAnalito&amp;"|"&amp;$B42,engChave,0),12),0))</f>
        <v>0</v>
      </c>
      <c r="AJ42" s="30">
        <f>IF($AB42="",0,IFERROR(INDEX(engDados,MATCH(selAnalito&amp;"|"&amp;$B42,engChave,0),13),0))</f>
        <v>0</v>
      </c>
      <c r="AK42" s="30">
        <f>IF($AB42="",0,IFERROR(INDEX(engDados,MATCH(selAnalito&amp;"|"&amp;$B42,engChave,0),14),0))</f>
        <v>0</v>
      </c>
      <c r="AL42" s="30" t="str">
        <f>IF($AB42="","",IFERROR(INDEX(engDados,MATCH(selAnalito&amp;"|"&amp;$B42,engChave,0),16),""))</f>
        <v/>
      </c>
      <c r="AM42" s="30" t="e">
        <f t="shared" si="50"/>
        <v>#N/A</v>
      </c>
      <c r="AN42" s="30" t="e">
        <f t="shared" si="51"/>
        <v>#N/A</v>
      </c>
      <c r="AO42" s="30" t="e">
        <f t="shared" si="52"/>
        <v>#N/A</v>
      </c>
      <c r="AP42" s="30" t="e">
        <f t="shared" si="53"/>
        <v>#N/A</v>
      </c>
      <c r="AQ42" s="30" t="e">
        <f t="shared" si="54"/>
        <v>#N/A</v>
      </c>
      <c r="AR42" s="30" t="e">
        <f t="shared" si="55"/>
        <v>#N/A</v>
      </c>
      <c r="AS42" s="30" t="e">
        <f t="shared" si="56"/>
        <v>#N/A</v>
      </c>
      <c r="AT42" s="30" t="e">
        <f>IF(AND($D42=1,(""&amp;loteAnalise)=(""&amp;loteCarregado),COUNTIFS(regAnalito,selAnalito,regNivel,2,regData,$C42,regRep1,"&lt;&gt;")&gt;0),SUMIFS(regRep1,regAnalito,selAnalito,regNivel,2,regData,$C42),NA())</f>
        <v>#N/A</v>
      </c>
      <c r="AU42" s="30" t="e">
        <f>IF(AND($D42=1,(""&amp;loteAnalise)=(""&amp;loteCarregado),COUNTIFS(regAnalito,selAnalito,regNivel,2,regData,$C42,regRep2,"&lt;&gt;")&gt;0),SUMIFS(regRep2,regAnalito,selAnalito,regNivel,2,regData,$C42),NA())</f>
        <v>#N/A</v>
      </c>
      <c r="AV42" s="30" t="e">
        <f>IF(AND($D42=1,(""&amp;loteAnalise)=(""&amp;loteCarregado),COUNTIFS(regAnalito,selAnalito,regNivel,2,regData,$C42,regRep3,"&lt;&gt;")&gt;0),SUMIFS(regRep3,regAnalito,selAnalito,regNivel,2,regData,$C42),NA())</f>
        <v>#N/A</v>
      </c>
      <c r="AW42" s="30" t="e">
        <f>IF(AND($D42=1,COUNTIFS(regAnalito,selAnalito,regData,$C42,regCalib,"Sim")&gt;0),$BV$1,NA())</f>
        <v>#N/A</v>
      </c>
      <c r="AX42" s="30" t="str">
        <f>IF($B42="","",IF(INDEX(engValN3,$A42)="","",INDEX(engValN3,$A42)))</f>
        <v/>
      </c>
      <c r="AY42" s="30" t="str">
        <f t="shared" si="57"/>
        <v/>
      </c>
      <c r="AZ42" s="30" t="e">
        <f t="shared" si="58"/>
        <v>#N/A</v>
      </c>
      <c r="BA42" s="30" t="e">
        <f t="shared" si="59"/>
        <v>#N/A</v>
      </c>
      <c r="BB42" s="30" t="e">
        <f t="shared" si="60"/>
        <v>#N/A</v>
      </c>
      <c r="BC42" s="30">
        <f>IF($AX42="",0,IFERROR(INDEX(engDados,MATCH(selAnalito&amp;"|"&amp;$B42,engChave,0),17),0))</f>
        <v>0</v>
      </c>
      <c r="BD42" s="30">
        <f>IF($AX42="",0,IFERROR(INDEX(engDados,MATCH(selAnalito&amp;"|"&amp;$B42,engChave,0),18),0))</f>
        <v>0</v>
      </c>
      <c r="BE42" s="30">
        <f>IF($AX42="",0,IFERROR(INDEX(engDados,MATCH(selAnalito&amp;"|"&amp;$B42,engChave,0),19),0))</f>
        <v>0</v>
      </c>
      <c r="BF42" s="30">
        <f>IF($AX42="",0,IFERROR(INDEX(engDados,MATCH(selAnalito&amp;"|"&amp;$B42,engChave,0),20),0))</f>
        <v>0</v>
      </c>
      <c r="BG42" s="30">
        <f>IF($AX42="",0,IFERROR(INDEX(engDados,MATCH(selAnalito&amp;"|"&amp;$B42,engChave,0),21),0))</f>
        <v>0</v>
      </c>
      <c r="BH42" s="30" t="str">
        <f>IF($AX42="","",IFERROR(INDEX(engDados,MATCH(selAnalito&amp;"|"&amp;$B42,engChave,0),23),""))</f>
        <v/>
      </c>
      <c r="BI42" s="30" t="e">
        <f t="shared" si="61"/>
        <v>#N/A</v>
      </c>
      <c r="BJ42" s="30" t="e">
        <f t="shared" si="62"/>
        <v>#N/A</v>
      </c>
      <c r="BK42" s="30" t="e">
        <f t="shared" si="63"/>
        <v>#N/A</v>
      </c>
      <c r="BL42" s="30" t="e">
        <f t="shared" si="64"/>
        <v>#N/A</v>
      </c>
      <c r="BM42" s="30" t="e">
        <f t="shared" si="65"/>
        <v>#N/A</v>
      </c>
      <c r="BN42" s="30" t="e">
        <f t="shared" si="66"/>
        <v>#N/A</v>
      </c>
      <c r="BO42" s="30" t="e">
        <f t="shared" si="67"/>
        <v>#N/A</v>
      </c>
      <c r="BP42" s="30" t="e">
        <f>IF(AND($D42=1,(""&amp;loteAnalise)=(""&amp;loteCarregado),COUNTIFS(regAnalito,selAnalito,regNivel,3,regData,$C42,regRep1,"&lt;&gt;")&gt;0),SUMIFS(regRep1,regAnalito,selAnalito,regNivel,3,regData,$C42),NA())</f>
        <v>#N/A</v>
      </c>
      <c r="BQ42" s="30" t="e">
        <f>IF(AND($D42=1,(""&amp;loteAnalise)=(""&amp;loteCarregado),COUNTIFS(regAnalito,selAnalito,regNivel,3,regData,$C42,regRep2,"&lt;&gt;")&gt;0),SUMIFS(regRep2,regAnalito,selAnalito,regNivel,3,regData,$C42),NA())</f>
        <v>#N/A</v>
      </c>
      <c r="BR42" s="30" t="e">
        <f>IF(AND($D42=1,(""&amp;loteAnalise)=(""&amp;loteCarregado),COUNTIFS(regAnalito,selAnalito,regNivel,3,regData,$C42,regRep3,"&lt;&gt;")&gt;0),SUMIFS(regRep3,regAnalito,selAnalito,regNivel,3,regData,$C42),NA())</f>
        <v>#N/A</v>
      </c>
      <c r="BS42" s="30" t="e">
        <f>IF(AND($D42=1,COUNTIFS(regAnalito,selAnalito,regData,$C42,regCalib,"Sim")&gt;0),$BX$1,NA())</f>
        <v>#N/A</v>
      </c>
    </row>
    <row r="43" spans="1:71" x14ac:dyDescent="0.3">
      <c r="A43" s="30">
        <v>41</v>
      </c>
      <c r="B43" s="30" t="str">
        <f>IF(OR(selAnalito="",(""&amp;engAnalito)&lt;&gt;(""&amp;selAnalito),(""&amp;engLote)&lt;&gt;(""&amp;loteAnalise),$A43&gt;N(engNRun)),"",INDEX(engRUN,$A43))</f>
        <v/>
      </c>
      <c r="C43" s="43" t="str">
        <f>IF($B43="","",IF(INDEX(engData,$A43)="","",INDEX(engData,$A43)))</f>
        <v/>
      </c>
      <c r="D43" s="30">
        <f>IF($C43="",0,IF(AND(OR(filtroDe="",INT($C43)&gt;=INT(filtroDe)),OR(filtroAte="",INT($C43)&lt;=INT(filtroAte))),1,0))</f>
        <v>0</v>
      </c>
      <c r="E43" s="30" t="e">
        <f t="shared" si="34"/>
        <v>#N/A</v>
      </c>
      <c r="F43" s="30" t="str">
        <f>IF($B43="","",IF(INDEX(engValN1,$A43)="","",INDEX(engValN1,$A43)))</f>
        <v/>
      </c>
      <c r="G43" s="30" t="str">
        <f t="shared" si="35"/>
        <v/>
      </c>
      <c r="H43" s="30" t="e">
        <f t="shared" si="36"/>
        <v>#N/A</v>
      </c>
      <c r="I43" s="30" t="e">
        <f t="shared" si="37"/>
        <v>#N/A</v>
      </c>
      <c r="J43" s="30" t="e">
        <f t="shared" si="38"/>
        <v>#N/A</v>
      </c>
      <c r="K43" s="30">
        <f>IF($F43="",0,IFERROR(INDEX(engDados,MATCH(selAnalito&amp;"|"&amp;$B43,engChave,0),3),0))</f>
        <v>0</v>
      </c>
      <c r="L43" s="30">
        <f>IF($F43="",0,IFERROR(INDEX(engDados,MATCH(selAnalito&amp;"|"&amp;$B43,engChave,0),4),0))</f>
        <v>0</v>
      </c>
      <c r="M43" s="30">
        <f>IF($F43="",0,IFERROR(INDEX(engDados,MATCH(selAnalito&amp;"|"&amp;$B43,engChave,0),5),0))</f>
        <v>0</v>
      </c>
      <c r="N43" s="30">
        <f>IF($F43="",0,IFERROR(INDEX(engDados,MATCH(selAnalito&amp;"|"&amp;$B43,engChave,0),6),0))</f>
        <v>0</v>
      </c>
      <c r="O43" s="30">
        <f>IF($F43="",0,IFERROR(INDEX(engDados,MATCH(selAnalito&amp;"|"&amp;$B43,engChave,0),7),0))</f>
        <v>0</v>
      </c>
      <c r="P43" s="30" t="str">
        <f>IF($F43="","",IFERROR(INDEX(engDados,MATCH(selAnalito&amp;"|"&amp;$B43,engChave,0),9),""))</f>
        <v/>
      </c>
      <c r="Q43" s="30" t="e">
        <f t="shared" si="39"/>
        <v>#N/A</v>
      </c>
      <c r="R43" s="30" t="e">
        <f t="shared" si="40"/>
        <v>#N/A</v>
      </c>
      <c r="S43" s="30" t="e">
        <f t="shared" si="41"/>
        <v>#N/A</v>
      </c>
      <c r="T43" s="30" t="e">
        <f t="shared" si="42"/>
        <v>#N/A</v>
      </c>
      <c r="U43" s="30" t="e">
        <f t="shared" si="43"/>
        <v>#N/A</v>
      </c>
      <c r="V43" s="30" t="e">
        <f t="shared" si="44"/>
        <v>#N/A</v>
      </c>
      <c r="W43" s="30" t="e">
        <f t="shared" si="45"/>
        <v>#N/A</v>
      </c>
      <c r="X43" s="30" t="e">
        <f>IF(AND($D43=1,(""&amp;loteAnalise)=(""&amp;loteCarregado),COUNTIFS(regAnalito,selAnalito,regNivel,1,regData,$C43,regRep1,"&lt;&gt;")&gt;0),SUMIFS(regRep1,regAnalito,selAnalito,regNivel,1,regData,$C43),NA())</f>
        <v>#N/A</v>
      </c>
      <c r="Y43" s="30" t="e">
        <f>IF(AND($D43=1,(""&amp;loteAnalise)=(""&amp;loteCarregado),COUNTIFS(regAnalito,selAnalito,regNivel,1,regData,$C43,regRep2,"&lt;&gt;")&gt;0),SUMIFS(regRep2,regAnalito,selAnalito,regNivel,1,regData,$C43),NA())</f>
        <v>#N/A</v>
      </c>
      <c r="Z43" s="30" t="e">
        <f>IF(AND($D43=1,(""&amp;loteAnalise)=(""&amp;loteCarregado),COUNTIFS(regAnalito,selAnalito,regNivel,1,regData,$C43,regRep3,"&lt;&gt;")&gt;0),SUMIFS(regRep3,regAnalito,selAnalito,regNivel,1,regData,$C43),NA())</f>
        <v>#N/A</v>
      </c>
      <c r="AA43" s="30" t="e">
        <f>IF(AND($D43=1,COUNTIFS(regAnalito,selAnalito,regData,$C43,regCalib,"Sim")&gt;0),$BT$1,NA())</f>
        <v>#N/A</v>
      </c>
      <c r="AB43" s="30" t="str">
        <f>IF($B43="","",IF(INDEX(engValN2,$A43)="","",INDEX(engValN2,$A43)))</f>
        <v/>
      </c>
      <c r="AC43" s="30" t="str">
        <f t="shared" si="46"/>
        <v/>
      </c>
      <c r="AD43" s="30" t="e">
        <f t="shared" si="47"/>
        <v>#N/A</v>
      </c>
      <c r="AE43" s="30" t="e">
        <f t="shared" si="48"/>
        <v>#N/A</v>
      </c>
      <c r="AF43" s="30" t="e">
        <f t="shared" si="49"/>
        <v>#N/A</v>
      </c>
      <c r="AG43" s="30">
        <f>IF($AB43="",0,IFERROR(INDEX(engDados,MATCH(selAnalito&amp;"|"&amp;$B43,engChave,0),10),0))</f>
        <v>0</v>
      </c>
      <c r="AH43" s="30">
        <f>IF($AB43="",0,IFERROR(INDEX(engDados,MATCH(selAnalito&amp;"|"&amp;$B43,engChave,0),11),0))</f>
        <v>0</v>
      </c>
      <c r="AI43" s="30">
        <f>IF($AB43="",0,IFERROR(INDEX(engDados,MATCH(selAnalito&amp;"|"&amp;$B43,engChave,0),12),0))</f>
        <v>0</v>
      </c>
      <c r="AJ43" s="30">
        <f>IF($AB43="",0,IFERROR(INDEX(engDados,MATCH(selAnalito&amp;"|"&amp;$B43,engChave,0),13),0))</f>
        <v>0</v>
      </c>
      <c r="AK43" s="30">
        <f>IF($AB43="",0,IFERROR(INDEX(engDados,MATCH(selAnalito&amp;"|"&amp;$B43,engChave,0),14),0))</f>
        <v>0</v>
      </c>
      <c r="AL43" s="30" t="str">
        <f>IF($AB43="","",IFERROR(INDEX(engDados,MATCH(selAnalito&amp;"|"&amp;$B43,engChave,0),16),""))</f>
        <v/>
      </c>
      <c r="AM43" s="30" t="e">
        <f t="shared" si="50"/>
        <v>#N/A</v>
      </c>
      <c r="AN43" s="30" t="e">
        <f t="shared" si="51"/>
        <v>#N/A</v>
      </c>
      <c r="AO43" s="30" t="e">
        <f t="shared" si="52"/>
        <v>#N/A</v>
      </c>
      <c r="AP43" s="30" t="e">
        <f t="shared" si="53"/>
        <v>#N/A</v>
      </c>
      <c r="AQ43" s="30" t="e">
        <f t="shared" si="54"/>
        <v>#N/A</v>
      </c>
      <c r="AR43" s="30" t="e">
        <f t="shared" si="55"/>
        <v>#N/A</v>
      </c>
      <c r="AS43" s="30" t="e">
        <f t="shared" si="56"/>
        <v>#N/A</v>
      </c>
      <c r="AT43" s="30" t="e">
        <f>IF(AND($D43=1,(""&amp;loteAnalise)=(""&amp;loteCarregado),COUNTIFS(regAnalito,selAnalito,regNivel,2,regData,$C43,regRep1,"&lt;&gt;")&gt;0),SUMIFS(regRep1,regAnalito,selAnalito,regNivel,2,regData,$C43),NA())</f>
        <v>#N/A</v>
      </c>
      <c r="AU43" s="30" t="e">
        <f>IF(AND($D43=1,(""&amp;loteAnalise)=(""&amp;loteCarregado),COUNTIFS(regAnalito,selAnalito,regNivel,2,regData,$C43,regRep2,"&lt;&gt;")&gt;0),SUMIFS(regRep2,regAnalito,selAnalito,regNivel,2,regData,$C43),NA())</f>
        <v>#N/A</v>
      </c>
      <c r="AV43" s="30" t="e">
        <f>IF(AND($D43=1,(""&amp;loteAnalise)=(""&amp;loteCarregado),COUNTIFS(regAnalito,selAnalito,regNivel,2,regData,$C43,regRep3,"&lt;&gt;")&gt;0),SUMIFS(regRep3,regAnalito,selAnalito,regNivel,2,regData,$C43),NA())</f>
        <v>#N/A</v>
      </c>
      <c r="AW43" s="30" t="e">
        <f>IF(AND($D43=1,COUNTIFS(regAnalito,selAnalito,regData,$C43,regCalib,"Sim")&gt;0),$BV$1,NA())</f>
        <v>#N/A</v>
      </c>
      <c r="AX43" s="30" t="str">
        <f>IF($B43="","",IF(INDEX(engValN3,$A43)="","",INDEX(engValN3,$A43)))</f>
        <v/>
      </c>
      <c r="AY43" s="30" t="str">
        <f t="shared" si="57"/>
        <v/>
      </c>
      <c r="AZ43" s="30" t="e">
        <f t="shared" si="58"/>
        <v>#N/A</v>
      </c>
      <c r="BA43" s="30" t="e">
        <f t="shared" si="59"/>
        <v>#N/A</v>
      </c>
      <c r="BB43" s="30" t="e">
        <f t="shared" si="60"/>
        <v>#N/A</v>
      </c>
      <c r="BC43" s="30">
        <f>IF($AX43="",0,IFERROR(INDEX(engDados,MATCH(selAnalito&amp;"|"&amp;$B43,engChave,0),17),0))</f>
        <v>0</v>
      </c>
      <c r="BD43" s="30">
        <f>IF($AX43="",0,IFERROR(INDEX(engDados,MATCH(selAnalito&amp;"|"&amp;$B43,engChave,0),18),0))</f>
        <v>0</v>
      </c>
      <c r="BE43" s="30">
        <f>IF($AX43="",0,IFERROR(INDEX(engDados,MATCH(selAnalito&amp;"|"&amp;$B43,engChave,0),19),0))</f>
        <v>0</v>
      </c>
      <c r="BF43" s="30">
        <f>IF($AX43="",0,IFERROR(INDEX(engDados,MATCH(selAnalito&amp;"|"&amp;$B43,engChave,0),20),0))</f>
        <v>0</v>
      </c>
      <c r="BG43" s="30">
        <f>IF($AX43="",0,IFERROR(INDEX(engDados,MATCH(selAnalito&amp;"|"&amp;$B43,engChave,0),21),0))</f>
        <v>0</v>
      </c>
      <c r="BH43" s="30" t="str">
        <f>IF($AX43="","",IFERROR(INDEX(engDados,MATCH(selAnalito&amp;"|"&amp;$B43,engChave,0),23),""))</f>
        <v/>
      </c>
      <c r="BI43" s="30" t="e">
        <f t="shared" si="61"/>
        <v>#N/A</v>
      </c>
      <c r="BJ43" s="30" t="e">
        <f t="shared" si="62"/>
        <v>#N/A</v>
      </c>
      <c r="BK43" s="30" t="e">
        <f t="shared" si="63"/>
        <v>#N/A</v>
      </c>
      <c r="BL43" s="30" t="e">
        <f t="shared" si="64"/>
        <v>#N/A</v>
      </c>
      <c r="BM43" s="30" t="e">
        <f t="shared" si="65"/>
        <v>#N/A</v>
      </c>
      <c r="BN43" s="30" t="e">
        <f t="shared" si="66"/>
        <v>#N/A</v>
      </c>
      <c r="BO43" s="30" t="e">
        <f t="shared" si="67"/>
        <v>#N/A</v>
      </c>
      <c r="BP43" s="30" t="e">
        <f>IF(AND($D43=1,(""&amp;loteAnalise)=(""&amp;loteCarregado),COUNTIFS(regAnalito,selAnalito,regNivel,3,regData,$C43,regRep1,"&lt;&gt;")&gt;0),SUMIFS(regRep1,regAnalito,selAnalito,regNivel,3,regData,$C43),NA())</f>
        <v>#N/A</v>
      </c>
      <c r="BQ43" s="30" t="e">
        <f>IF(AND($D43=1,(""&amp;loteAnalise)=(""&amp;loteCarregado),COUNTIFS(regAnalito,selAnalito,regNivel,3,regData,$C43,regRep2,"&lt;&gt;")&gt;0),SUMIFS(regRep2,regAnalito,selAnalito,regNivel,3,regData,$C43),NA())</f>
        <v>#N/A</v>
      </c>
      <c r="BR43" s="30" t="e">
        <f>IF(AND($D43=1,(""&amp;loteAnalise)=(""&amp;loteCarregado),COUNTIFS(regAnalito,selAnalito,regNivel,3,regData,$C43,regRep3,"&lt;&gt;")&gt;0),SUMIFS(regRep3,regAnalito,selAnalito,regNivel,3,regData,$C43),NA())</f>
        <v>#N/A</v>
      </c>
      <c r="BS43" s="30" t="e">
        <f>IF(AND($D43=1,COUNTIFS(regAnalito,selAnalito,regData,$C43,regCalib,"Sim")&gt;0),$BX$1,NA())</f>
        <v>#N/A</v>
      </c>
    </row>
    <row r="44" spans="1:71" x14ac:dyDescent="0.3">
      <c r="A44" s="30">
        <v>42</v>
      </c>
      <c r="B44" s="30" t="str">
        <f>IF(OR(selAnalito="",(""&amp;engAnalito)&lt;&gt;(""&amp;selAnalito),(""&amp;engLote)&lt;&gt;(""&amp;loteAnalise),$A44&gt;N(engNRun)),"",INDEX(engRUN,$A44))</f>
        <v/>
      </c>
      <c r="C44" s="43" t="str">
        <f>IF($B44="","",IF(INDEX(engData,$A44)="","",INDEX(engData,$A44)))</f>
        <v/>
      </c>
      <c r="D44" s="30">
        <f>IF($C44="",0,IF(AND(OR(filtroDe="",INT($C44)&gt;=INT(filtroDe)),OR(filtroAte="",INT($C44)&lt;=INT(filtroAte))),1,0))</f>
        <v>0</v>
      </c>
      <c r="E44" s="30" t="e">
        <f t="shared" si="34"/>
        <v>#N/A</v>
      </c>
      <c r="F44" s="30" t="str">
        <f>IF($B44="","",IF(INDEX(engValN1,$A44)="","",INDEX(engValN1,$A44)))</f>
        <v/>
      </c>
      <c r="G44" s="30" t="str">
        <f t="shared" si="35"/>
        <v/>
      </c>
      <c r="H44" s="30" t="e">
        <f t="shared" si="36"/>
        <v>#N/A</v>
      </c>
      <c r="I44" s="30" t="e">
        <f t="shared" si="37"/>
        <v>#N/A</v>
      </c>
      <c r="J44" s="30" t="e">
        <f t="shared" si="38"/>
        <v>#N/A</v>
      </c>
      <c r="K44" s="30">
        <f>IF($F44="",0,IFERROR(INDEX(engDados,MATCH(selAnalito&amp;"|"&amp;$B44,engChave,0),3),0))</f>
        <v>0</v>
      </c>
      <c r="L44" s="30">
        <f>IF($F44="",0,IFERROR(INDEX(engDados,MATCH(selAnalito&amp;"|"&amp;$B44,engChave,0),4),0))</f>
        <v>0</v>
      </c>
      <c r="M44" s="30">
        <f>IF($F44="",0,IFERROR(INDEX(engDados,MATCH(selAnalito&amp;"|"&amp;$B44,engChave,0),5),0))</f>
        <v>0</v>
      </c>
      <c r="N44" s="30">
        <f>IF($F44="",0,IFERROR(INDEX(engDados,MATCH(selAnalito&amp;"|"&amp;$B44,engChave,0),6),0))</f>
        <v>0</v>
      </c>
      <c r="O44" s="30">
        <f>IF($F44="",0,IFERROR(INDEX(engDados,MATCH(selAnalito&amp;"|"&amp;$B44,engChave,0),7),0))</f>
        <v>0</v>
      </c>
      <c r="P44" s="30" t="str">
        <f>IF($F44="","",IFERROR(INDEX(engDados,MATCH(selAnalito&amp;"|"&amp;$B44,engChave,0),9),""))</f>
        <v/>
      </c>
      <c r="Q44" s="30" t="e">
        <f t="shared" si="39"/>
        <v>#N/A</v>
      </c>
      <c r="R44" s="30" t="e">
        <f t="shared" si="40"/>
        <v>#N/A</v>
      </c>
      <c r="S44" s="30" t="e">
        <f t="shared" si="41"/>
        <v>#N/A</v>
      </c>
      <c r="T44" s="30" t="e">
        <f t="shared" si="42"/>
        <v>#N/A</v>
      </c>
      <c r="U44" s="30" t="e">
        <f t="shared" si="43"/>
        <v>#N/A</v>
      </c>
      <c r="V44" s="30" t="e">
        <f t="shared" si="44"/>
        <v>#N/A</v>
      </c>
      <c r="W44" s="30" t="e">
        <f t="shared" si="45"/>
        <v>#N/A</v>
      </c>
      <c r="X44" s="30" t="e">
        <f>IF(AND($D44=1,(""&amp;loteAnalise)=(""&amp;loteCarregado),COUNTIFS(regAnalito,selAnalito,regNivel,1,regData,$C44,regRep1,"&lt;&gt;")&gt;0),SUMIFS(regRep1,regAnalito,selAnalito,regNivel,1,regData,$C44),NA())</f>
        <v>#N/A</v>
      </c>
      <c r="Y44" s="30" t="e">
        <f>IF(AND($D44=1,(""&amp;loteAnalise)=(""&amp;loteCarregado),COUNTIFS(regAnalito,selAnalito,regNivel,1,regData,$C44,regRep2,"&lt;&gt;")&gt;0),SUMIFS(regRep2,regAnalito,selAnalito,regNivel,1,regData,$C44),NA())</f>
        <v>#N/A</v>
      </c>
      <c r="Z44" s="30" t="e">
        <f>IF(AND($D44=1,(""&amp;loteAnalise)=(""&amp;loteCarregado),COUNTIFS(regAnalito,selAnalito,regNivel,1,regData,$C44,regRep3,"&lt;&gt;")&gt;0),SUMIFS(regRep3,regAnalito,selAnalito,regNivel,1,regData,$C44),NA())</f>
        <v>#N/A</v>
      </c>
      <c r="AA44" s="30" t="e">
        <f>IF(AND($D44=1,COUNTIFS(regAnalito,selAnalito,regData,$C44,regCalib,"Sim")&gt;0),$BT$1,NA())</f>
        <v>#N/A</v>
      </c>
      <c r="AB44" s="30" t="str">
        <f>IF($B44="","",IF(INDEX(engValN2,$A44)="","",INDEX(engValN2,$A44)))</f>
        <v/>
      </c>
      <c r="AC44" s="30" t="str">
        <f t="shared" si="46"/>
        <v/>
      </c>
      <c r="AD44" s="30" t="e">
        <f t="shared" si="47"/>
        <v>#N/A</v>
      </c>
      <c r="AE44" s="30" t="e">
        <f t="shared" si="48"/>
        <v>#N/A</v>
      </c>
      <c r="AF44" s="30" t="e">
        <f t="shared" si="49"/>
        <v>#N/A</v>
      </c>
      <c r="AG44" s="30">
        <f>IF($AB44="",0,IFERROR(INDEX(engDados,MATCH(selAnalito&amp;"|"&amp;$B44,engChave,0),10),0))</f>
        <v>0</v>
      </c>
      <c r="AH44" s="30">
        <f>IF($AB44="",0,IFERROR(INDEX(engDados,MATCH(selAnalito&amp;"|"&amp;$B44,engChave,0),11),0))</f>
        <v>0</v>
      </c>
      <c r="AI44" s="30">
        <f>IF($AB44="",0,IFERROR(INDEX(engDados,MATCH(selAnalito&amp;"|"&amp;$B44,engChave,0),12),0))</f>
        <v>0</v>
      </c>
      <c r="AJ44" s="30">
        <f>IF($AB44="",0,IFERROR(INDEX(engDados,MATCH(selAnalito&amp;"|"&amp;$B44,engChave,0),13),0))</f>
        <v>0</v>
      </c>
      <c r="AK44" s="30">
        <f>IF($AB44="",0,IFERROR(INDEX(engDados,MATCH(selAnalito&amp;"|"&amp;$B44,engChave,0),14),0))</f>
        <v>0</v>
      </c>
      <c r="AL44" s="30" t="str">
        <f>IF($AB44="","",IFERROR(INDEX(engDados,MATCH(selAnalito&amp;"|"&amp;$B44,engChave,0),16),""))</f>
        <v/>
      </c>
      <c r="AM44" s="30" t="e">
        <f t="shared" si="50"/>
        <v>#N/A</v>
      </c>
      <c r="AN44" s="30" t="e">
        <f t="shared" si="51"/>
        <v>#N/A</v>
      </c>
      <c r="AO44" s="30" t="e">
        <f t="shared" si="52"/>
        <v>#N/A</v>
      </c>
      <c r="AP44" s="30" t="e">
        <f t="shared" si="53"/>
        <v>#N/A</v>
      </c>
      <c r="AQ44" s="30" t="e">
        <f t="shared" si="54"/>
        <v>#N/A</v>
      </c>
      <c r="AR44" s="30" t="e">
        <f t="shared" si="55"/>
        <v>#N/A</v>
      </c>
      <c r="AS44" s="30" t="e">
        <f t="shared" si="56"/>
        <v>#N/A</v>
      </c>
      <c r="AT44" s="30" t="e">
        <f>IF(AND($D44=1,(""&amp;loteAnalise)=(""&amp;loteCarregado),COUNTIFS(regAnalito,selAnalito,regNivel,2,regData,$C44,regRep1,"&lt;&gt;")&gt;0),SUMIFS(regRep1,regAnalito,selAnalito,regNivel,2,regData,$C44),NA())</f>
        <v>#N/A</v>
      </c>
      <c r="AU44" s="30" t="e">
        <f>IF(AND($D44=1,(""&amp;loteAnalise)=(""&amp;loteCarregado),COUNTIFS(regAnalito,selAnalito,regNivel,2,regData,$C44,regRep2,"&lt;&gt;")&gt;0),SUMIFS(regRep2,regAnalito,selAnalito,regNivel,2,regData,$C44),NA())</f>
        <v>#N/A</v>
      </c>
      <c r="AV44" s="30" t="e">
        <f>IF(AND($D44=1,(""&amp;loteAnalise)=(""&amp;loteCarregado),COUNTIFS(regAnalito,selAnalito,regNivel,2,regData,$C44,regRep3,"&lt;&gt;")&gt;0),SUMIFS(regRep3,regAnalito,selAnalito,regNivel,2,regData,$C44),NA())</f>
        <v>#N/A</v>
      </c>
      <c r="AW44" s="30" t="e">
        <f>IF(AND($D44=1,COUNTIFS(regAnalito,selAnalito,regData,$C44,regCalib,"Sim")&gt;0),$BV$1,NA())</f>
        <v>#N/A</v>
      </c>
      <c r="AX44" s="30" t="str">
        <f>IF($B44="","",IF(INDEX(engValN3,$A44)="","",INDEX(engValN3,$A44)))</f>
        <v/>
      </c>
      <c r="AY44" s="30" t="str">
        <f t="shared" si="57"/>
        <v/>
      </c>
      <c r="AZ44" s="30" t="e">
        <f t="shared" si="58"/>
        <v>#N/A</v>
      </c>
      <c r="BA44" s="30" t="e">
        <f t="shared" si="59"/>
        <v>#N/A</v>
      </c>
      <c r="BB44" s="30" t="e">
        <f t="shared" si="60"/>
        <v>#N/A</v>
      </c>
      <c r="BC44" s="30">
        <f>IF($AX44="",0,IFERROR(INDEX(engDados,MATCH(selAnalito&amp;"|"&amp;$B44,engChave,0),17),0))</f>
        <v>0</v>
      </c>
      <c r="BD44" s="30">
        <f>IF($AX44="",0,IFERROR(INDEX(engDados,MATCH(selAnalito&amp;"|"&amp;$B44,engChave,0),18),0))</f>
        <v>0</v>
      </c>
      <c r="BE44" s="30">
        <f>IF($AX44="",0,IFERROR(INDEX(engDados,MATCH(selAnalito&amp;"|"&amp;$B44,engChave,0),19),0))</f>
        <v>0</v>
      </c>
      <c r="BF44" s="30">
        <f>IF($AX44="",0,IFERROR(INDEX(engDados,MATCH(selAnalito&amp;"|"&amp;$B44,engChave,0),20),0))</f>
        <v>0</v>
      </c>
      <c r="BG44" s="30">
        <f>IF($AX44="",0,IFERROR(INDEX(engDados,MATCH(selAnalito&amp;"|"&amp;$B44,engChave,0),21),0))</f>
        <v>0</v>
      </c>
      <c r="BH44" s="30" t="str">
        <f>IF($AX44="","",IFERROR(INDEX(engDados,MATCH(selAnalito&amp;"|"&amp;$B44,engChave,0),23),""))</f>
        <v/>
      </c>
      <c r="BI44" s="30" t="e">
        <f t="shared" si="61"/>
        <v>#N/A</v>
      </c>
      <c r="BJ44" s="30" t="e">
        <f t="shared" si="62"/>
        <v>#N/A</v>
      </c>
      <c r="BK44" s="30" t="e">
        <f t="shared" si="63"/>
        <v>#N/A</v>
      </c>
      <c r="BL44" s="30" t="e">
        <f t="shared" si="64"/>
        <v>#N/A</v>
      </c>
      <c r="BM44" s="30" t="e">
        <f t="shared" si="65"/>
        <v>#N/A</v>
      </c>
      <c r="BN44" s="30" t="e">
        <f t="shared" si="66"/>
        <v>#N/A</v>
      </c>
      <c r="BO44" s="30" t="e">
        <f t="shared" si="67"/>
        <v>#N/A</v>
      </c>
      <c r="BP44" s="30" t="e">
        <f>IF(AND($D44=1,(""&amp;loteAnalise)=(""&amp;loteCarregado),COUNTIFS(regAnalito,selAnalito,regNivel,3,regData,$C44,regRep1,"&lt;&gt;")&gt;0),SUMIFS(regRep1,regAnalito,selAnalito,regNivel,3,regData,$C44),NA())</f>
        <v>#N/A</v>
      </c>
      <c r="BQ44" s="30" t="e">
        <f>IF(AND($D44=1,(""&amp;loteAnalise)=(""&amp;loteCarregado),COUNTIFS(regAnalito,selAnalito,regNivel,3,regData,$C44,regRep2,"&lt;&gt;")&gt;0),SUMIFS(regRep2,regAnalito,selAnalito,regNivel,3,regData,$C44),NA())</f>
        <v>#N/A</v>
      </c>
      <c r="BR44" s="30" t="e">
        <f>IF(AND($D44=1,(""&amp;loteAnalise)=(""&amp;loteCarregado),COUNTIFS(regAnalito,selAnalito,regNivel,3,regData,$C44,regRep3,"&lt;&gt;")&gt;0),SUMIFS(regRep3,regAnalito,selAnalito,regNivel,3,regData,$C44),NA())</f>
        <v>#N/A</v>
      </c>
      <c r="BS44" s="30" t="e">
        <f>IF(AND($D44=1,COUNTIFS(regAnalito,selAnalito,regData,$C44,regCalib,"Sim")&gt;0),$BX$1,NA())</f>
        <v>#N/A</v>
      </c>
    </row>
    <row r="45" spans="1:71" x14ac:dyDescent="0.3">
      <c r="A45" s="30">
        <v>43</v>
      </c>
      <c r="B45" s="30" t="str">
        <f>IF(OR(selAnalito="",(""&amp;engAnalito)&lt;&gt;(""&amp;selAnalito),(""&amp;engLote)&lt;&gt;(""&amp;loteAnalise),$A45&gt;N(engNRun)),"",INDEX(engRUN,$A45))</f>
        <v/>
      </c>
      <c r="C45" s="43" t="str">
        <f>IF($B45="","",IF(INDEX(engData,$A45)="","",INDEX(engData,$A45)))</f>
        <v/>
      </c>
      <c r="D45" s="30">
        <f>IF($C45="",0,IF(AND(OR(filtroDe="",INT($C45)&gt;=INT(filtroDe)),OR(filtroAte="",INT($C45)&lt;=INT(filtroAte))),1,0))</f>
        <v>0</v>
      </c>
      <c r="E45" s="30" t="e">
        <f t="shared" si="34"/>
        <v>#N/A</v>
      </c>
      <c r="F45" s="30" t="str">
        <f>IF($B45="","",IF(INDEX(engValN1,$A45)="","",INDEX(engValN1,$A45)))</f>
        <v/>
      </c>
      <c r="G45" s="30" t="str">
        <f t="shared" si="35"/>
        <v/>
      </c>
      <c r="H45" s="30" t="e">
        <f t="shared" si="36"/>
        <v>#N/A</v>
      </c>
      <c r="I45" s="30" t="e">
        <f t="shared" si="37"/>
        <v>#N/A</v>
      </c>
      <c r="J45" s="30" t="e">
        <f t="shared" si="38"/>
        <v>#N/A</v>
      </c>
      <c r="K45" s="30">
        <f>IF($F45="",0,IFERROR(INDEX(engDados,MATCH(selAnalito&amp;"|"&amp;$B45,engChave,0),3),0))</f>
        <v>0</v>
      </c>
      <c r="L45" s="30">
        <f>IF($F45="",0,IFERROR(INDEX(engDados,MATCH(selAnalito&amp;"|"&amp;$B45,engChave,0),4),0))</f>
        <v>0</v>
      </c>
      <c r="M45" s="30">
        <f>IF($F45="",0,IFERROR(INDEX(engDados,MATCH(selAnalito&amp;"|"&amp;$B45,engChave,0),5),0))</f>
        <v>0</v>
      </c>
      <c r="N45" s="30">
        <f>IF($F45="",0,IFERROR(INDEX(engDados,MATCH(selAnalito&amp;"|"&amp;$B45,engChave,0),6),0))</f>
        <v>0</v>
      </c>
      <c r="O45" s="30">
        <f>IF($F45="",0,IFERROR(INDEX(engDados,MATCH(selAnalito&amp;"|"&amp;$B45,engChave,0),7),0))</f>
        <v>0</v>
      </c>
      <c r="P45" s="30" t="str">
        <f>IF($F45="","",IFERROR(INDEX(engDados,MATCH(selAnalito&amp;"|"&amp;$B45,engChave,0),9),""))</f>
        <v/>
      </c>
      <c r="Q45" s="30" t="e">
        <f t="shared" si="39"/>
        <v>#N/A</v>
      </c>
      <c r="R45" s="30" t="e">
        <f t="shared" si="40"/>
        <v>#N/A</v>
      </c>
      <c r="S45" s="30" t="e">
        <f t="shared" si="41"/>
        <v>#N/A</v>
      </c>
      <c r="T45" s="30" t="e">
        <f t="shared" si="42"/>
        <v>#N/A</v>
      </c>
      <c r="U45" s="30" t="e">
        <f t="shared" si="43"/>
        <v>#N/A</v>
      </c>
      <c r="V45" s="30" t="e">
        <f t="shared" si="44"/>
        <v>#N/A</v>
      </c>
      <c r="W45" s="30" t="e">
        <f t="shared" si="45"/>
        <v>#N/A</v>
      </c>
      <c r="X45" s="30" t="e">
        <f>IF(AND($D45=1,(""&amp;loteAnalise)=(""&amp;loteCarregado),COUNTIFS(regAnalito,selAnalito,regNivel,1,regData,$C45,regRep1,"&lt;&gt;")&gt;0),SUMIFS(regRep1,regAnalito,selAnalito,regNivel,1,regData,$C45),NA())</f>
        <v>#N/A</v>
      </c>
      <c r="Y45" s="30" t="e">
        <f>IF(AND($D45=1,(""&amp;loteAnalise)=(""&amp;loteCarregado),COUNTIFS(regAnalito,selAnalito,regNivel,1,regData,$C45,regRep2,"&lt;&gt;")&gt;0),SUMIFS(regRep2,regAnalito,selAnalito,regNivel,1,regData,$C45),NA())</f>
        <v>#N/A</v>
      </c>
      <c r="Z45" s="30" t="e">
        <f>IF(AND($D45=1,(""&amp;loteAnalise)=(""&amp;loteCarregado),COUNTIFS(regAnalito,selAnalito,regNivel,1,regData,$C45,regRep3,"&lt;&gt;")&gt;0),SUMIFS(regRep3,regAnalito,selAnalito,regNivel,1,regData,$C45),NA())</f>
        <v>#N/A</v>
      </c>
      <c r="AA45" s="30" t="e">
        <f>IF(AND($D45=1,COUNTIFS(regAnalito,selAnalito,regData,$C45,regCalib,"Sim")&gt;0),$BT$1,NA())</f>
        <v>#N/A</v>
      </c>
      <c r="AB45" s="30" t="str">
        <f>IF($B45="","",IF(INDEX(engValN2,$A45)="","",INDEX(engValN2,$A45)))</f>
        <v/>
      </c>
      <c r="AC45" s="30" t="str">
        <f t="shared" si="46"/>
        <v/>
      </c>
      <c r="AD45" s="30" t="e">
        <f t="shared" si="47"/>
        <v>#N/A</v>
      </c>
      <c r="AE45" s="30" t="e">
        <f t="shared" si="48"/>
        <v>#N/A</v>
      </c>
      <c r="AF45" s="30" t="e">
        <f t="shared" si="49"/>
        <v>#N/A</v>
      </c>
      <c r="AG45" s="30">
        <f>IF($AB45="",0,IFERROR(INDEX(engDados,MATCH(selAnalito&amp;"|"&amp;$B45,engChave,0),10),0))</f>
        <v>0</v>
      </c>
      <c r="AH45" s="30">
        <f>IF($AB45="",0,IFERROR(INDEX(engDados,MATCH(selAnalito&amp;"|"&amp;$B45,engChave,0),11),0))</f>
        <v>0</v>
      </c>
      <c r="AI45" s="30">
        <f>IF($AB45="",0,IFERROR(INDEX(engDados,MATCH(selAnalito&amp;"|"&amp;$B45,engChave,0),12),0))</f>
        <v>0</v>
      </c>
      <c r="AJ45" s="30">
        <f>IF($AB45="",0,IFERROR(INDEX(engDados,MATCH(selAnalito&amp;"|"&amp;$B45,engChave,0),13),0))</f>
        <v>0</v>
      </c>
      <c r="AK45" s="30">
        <f>IF($AB45="",0,IFERROR(INDEX(engDados,MATCH(selAnalito&amp;"|"&amp;$B45,engChave,0),14),0))</f>
        <v>0</v>
      </c>
      <c r="AL45" s="30" t="str">
        <f>IF($AB45="","",IFERROR(INDEX(engDados,MATCH(selAnalito&amp;"|"&amp;$B45,engChave,0),16),""))</f>
        <v/>
      </c>
      <c r="AM45" s="30" t="e">
        <f t="shared" si="50"/>
        <v>#N/A</v>
      </c>
      <c r="AN45" s="30" t="e">
        <f t="shared" si="51"/>
        <v>#N/A</v>
      </c>
      <c r="AO45" s="30" t="e">
        <f t="shared" si="52"/>
        <v>#N/A</v>
      </c>
      <c r="AP45" s="30" t="e">
        <f t="shared" si="53"/>
        <v>#N/A</v>
      </c>
      <c r="AQ45" s="30" t="e">
        <f t="shared" si="54"/>
        <v>#N/A</v>
      </c>
      <c r="AR45" s="30" t="e">
        <f t="shared" si="55"/>
        <v>#N/A</v>
      </c>
      <c r="AS45" s="30" t="e">
        <f t="shared" si="56"/>
        <v>#N/A</v>
      </c>
      <c r="AT45" s="30" t="e">
        <f>IF(AND($D45=1,(""&amp;loteAnalise)=(""&amp;loteCarregado),COUNTIFS(regAnalito,selAnalito,regNivel,2,regData,$C45,regRep1,"&lt;&gt;")&gt;0),SUMIFS(regRep1,regAnalito,selAnalito,regNivel,2,regData,$C45),NA())</f>
        <v>#N/A</v>
      </c>
      <c r="AU45" s="30" t="e">
        <f>IF(AND($D45=1,(""&amp;loteAnalise)=(""&amp;loteCarregado),COUNTIFS(regAnalito,selAnalito,regNivel,2,regData,$C45,regRep2,"&lt;&gt;")&gt;0),SUMIFS(regRep2,regAnalito,selAnalito,regNivel,2,regData,$C45),NA())</f>
        <v>#N/A</v>
      </c>
      <c r="AV45" s="30" t="e">
        <f>IF(AND($D45=1,(""&amp;loteAnalise)=(""&amp;loteCarregado),COUNTIFS(regAnalito,selAnalito,regNivel,2,regData,$C45,regRep3,"&lt;&gt;")&gt;0),SUMIFS(regRep3,regAnalito,selAnalito,regNivel,2,regData,$C45),NA())</f>
        <v>#N/A</v>
      </c>
      <c r="AW45" s="30" t="e">
        <f>IF(AND($D45=1,COUNTIFS(regAnalito,selAnalito,regData,$C45,regCalib,"Sim")&gt;0),$BV$1,NA())</f>
        <v>#N/A</v>
      </c>
      <c r="AX45" s="30" t="str">
        <f>IF($B45="","",IF(INDEX(engValN3,$A45)="","",INDEX(engValN3,$A45)))</f>
        <v/>
      </c>
      <c r="AY45" s="30" t="str">
        <f t="shared" si="57"/>
        <v/>
      </c>
      <c r="AZ45" s="30" t="e">
        <f t="shared" si="58"/>
        <v>#N/A</v>
      </c>
      <c r="BA45" s="30" t="e">
        <f t="shared" si="59"/>
        <v>#N/A</v>
      </c>
      <c r="BB45" s="30" t="e">
        <f t="shared" si="60"/>
        <v>#N/A</v>
      </c>
      <c r="BC45" s="30">
        <f>IF($AX45="",0,IFERROR(INDEX(engDados,MATCH(selAnalito&amp;"|"&amp;$B45,engChave,0),17),0))</f>
        <v>0</v>
      </c>
      <c r="BD45" s="30">
        <f>IF($AX45="",0,IFERROR(INDEX(engDados,MATCH(selAnalito&amp;"|"&amp;$B45,engChave,0),18),0))</f>
        <v>0</v>
      </c>
      <c r="BE45" s="30">
        <f>IF($AX45="",0,IFERROR(INDEX(engDados,MATCH(selAnalito&amp;"|"&amp;$B45,engChave,0),19),0))</f>
        <v>0</v>
      </c>
      <c r="BF45" s="30">
        <f>IF($AX45="",0,IFERROR(INDEX(engDados,MATCH(selAnalito&amp;"|"&amp;$B45,engChave,0),20),0))</f>
        <v>0</v>
      </c>
      <c r="BG45" s="30">
        <f>IF($AX45="",0,IFERROR(INDEX(engDados,MATCH(selAnalito&amp;"|"&amp;$B45,engChave,0),21),0))</f>
        <v>0</v>
      </c>
      <c r="BH45" s="30" t="str">
        <f>IF($AX45="","",IFERROR(INDEX(engDados,MATCH(selAnalito&amp;"|"&amp;$B45,engChave,0),23),""))</f>
        <v/>
      </c>
      <c r="BI45" s="30" t="e">
        <f t="shared" si="61"/>
        <v>#N/A</v>
      </c>
      <c r="BJ45" s="30" t="e">
        <f t="shared" si="62"/>
        <v>#N/A</v>
      </c>
      <c r="BK45" s="30" t="e">
        <f t="shared" si="63"/>
        <v>#N/A</v>
      </c>
      <c r="BL45" s="30" t="e">
        <f t="shared" si="64"/>
        <v>#N/A</v>
      </c>
      <c r="BM45" s="30" t="e">
        <f t="shared" si="65"/>
        <v>#N/A</v>
      </c>
      <c r="BN45" s="30" t="e">
        <f t="shared" si="66"/>
        <v>#N/A</v>
      </c>
      <c r="BO45" s="30" t="e">
        <f t="shared" si="67"/>
        <v>#N/A</v>
      </c>
      <c r="BP45" s="30" t="e">
        <f>IF(AND($D45=1,(""&amp;loteAnalise)=(""&amp;loteCarregado),COUNTIFS(regAnalito,selAnalito,regNivel,3,regData,$C45,regRep1,"&lt;&gt;")&gt;0),SUMIFS(regRep1,regAnalito,selAnalito,regNivel,3,regData,$C45),NA())</f>
        <v>#N/A</v>
      </c>
      <c r="BQ45" s="30" t="e">
        <f>IF(AND($D45=1,(""&amp;loteAnalise)=(""&amp;loteCarregado),COUNTIFS(regAnalito,selAnalito,regNivel,3,regData,$C45,regRep2,"&lt;&gt;")&gt;0),SUMIFS(regRep2,regAnalito,selAnalito,regNivel,3,regData,$C45),NA())</f>
        <v>#N/A</v>
      </c>
      <c r="BR45" s="30" t="e">
        <f>IF(AND($D45=1,(""&amp;loteAnalise)=(""&amp;loteCarregado),COUNTIFS(regAnalito,selAnalito,regNivel,3,regData,$C45,regRep3,"&lt;&gt;")&gt;0),SUMIFS(regRep3,regAnalito,selAnalito,regNivel,3,regData,$C45),NA())</f>
        <v>#N/A</v>
      </c>
      <c r="BS45" s="30" t="e">
        <f>IF(AND($D45=1,COUNTIFS(regAnalito,selAnalito,regData,$C45,regCalib,"Sim")&gt;0),$BX$1,NA())</f>
        <v>#N/A</v>
      </c>
    </row>
    <row r="46" spans="1:71" x14ac:dyDescent="0.3">
      <c r="A46" s="30">
        <v>44</v>
      </c>
      <c r="B46" s="30" t="str">
        <f>IF(OR(selAnalito="",(""&amp;engAnalito)&lt;&gt;(""&amp;selAnalito),(""&amp;engLote)&lt;&gt;(""&amp;loteAnalise),$A46&gt;N(engNRun)),"",INDEX(engRUN,$A46))</f>
        <v/>
      </c>
      <c r="C46" s="43" t="str">
        <f>IF($B46="","",IF(INDEX(engData,$A46)="","",INDEX(engData,$A46)))</f>
        <v/>
      </c>
      <c r="D46" s="30">
        <f>IF($C46="",0,IF(AND(OR(filtroDe="",INT($C46)&gt;=INT(filtroDe)),OR(filtroAte="",INT($C46)&lt;=INT(filtroAte))),1,0))</f>
        <v>0</v>
      </c>
      <c r="E46" s="30" t="e">
        <f t="shared" si="34"/>
        <v>#N/A</v>
      </c>
      <c r="F46" s="30" t="str">
        <f>IF($B46="","",IF(INDEX(engValN1,$A46)="","",INDEX(engValN1,$A46)))</f>
        <v/>
      </c>
      <c r="G46" s="30" t="str">
        <f t="shared" si="35"/>
        <v/>
      </c>
      <c r="H46" s="30" t="e">
        <f t="shared" si="36"/>
        <v>#N/A</v>
      </c>
      <c r="I46" s="30" t="e">
        <f t="shared" si="37"/>
        <v>#N/A</v>
      </c>
      <c r="J46" s="30" t="e">
        <f t="shared" si="38"/>
        <v>#N/A</v>
      </c>
      <c r="K46" s="30">
        <f>IF($F46="",0,IFERROR(INDEX(engDados,MATCH(selAnalito&amp;"|"&amp;$B46,engChave,0),3),0))</f>
        <v>0</v>
      </c>
      <c r="L46" s="30">
        <f>IF($F46="",0,IFERROR(INDEX(engDados,MATCH(selAnalito&amp;"|"&amp;$B46,engChave,0),4),0))</f>
        <v>0</v>
      </c>
      <c r="M46" s="30">
        <f>IF($F46="",0,IFERROR(INDEX(engDados,MATCH(selAnalito&amp;"|"&amp;$B46,engChave,0),5),0))</f>
        <v>0</v>
      </c>
      <c r="N46" s="30">
        <f>IF($F46="",0,IFERROR(INDEX(engDados,MATCH(selAnalito&amp;"|"&amp;$B46,engChave,0),6),0))</f>
        <v>0</v>
      </c>
      <c r="O46" s="30">
        <f>IF($F46="",0,IFERROR(INDEX(engDados,MATCH(selAnalito&amp;"|"&amp;$B46,engChave,0),7),0))</f>
        <v>0</v>
      </c>
      <c r="P46" s="30" t="str">
        <f>IF($F46="","",IFERROR(INDEX(engDados,MATCH(selAnalito&amp;"|"&amp;$B46,engChave,0),9),""))</f>
        <v/>
      </c>
      <c r="Q46" s="30" t="e">
        <f t="shared" si="39"/>
        <v>#N/A</v>
      </c>
      <c r="R46" s="30" t="e">
        <f t="shared" si="40"/>
        <v>#N/A</v>
      </c>
      <c r="S46" s="30" t="e">
        <f t="shared" si="41"/>
        <v>#N/A</v>
      </c>
      <c r="T46" s="30" t="e">
        <f t="shared" si="42"/>
        <v>#N/A</v>
      </c>
      <c r="U46" s="30" t="e">
        <f t="shared" si="43"/>
        <v>#N/A</v>
      </c>
      <c r="V46" s="30" t="e">
        <f t="shared" si="44"/>
        <v>#N/A</v>
      </c>
      <c r="W46" s="30" t="e">
        <f t="shared" si="45"/>
        <v>#N/A</v>
      </c>
      <c r="X46" s="30" t="e">
        <f>IF(AND($D46=1,(""&amp;loteAnalise)=(""&amp;loteCarregado),COUNTIFS(regAnalito,selAnalito,regNivel,1,regData,$C46,regRep1,"&lt;&gt;")&gt;0),SUMIFS(regRep1,regAnalito,selAnalito,regNivel,1,regData,$C46),NA())</f>
        <v>#N/A</v>
      </c>
      <c r="Y46" s="30" t="e">
        <f>IF(AND($D46=1,(""&amp;loteAnalise)=(""&amp;loteCarregado),COUNTIFS(regAnalito,selAnalito,regNivel,1,regData,$C46,regRep2,"&lt;&gt;")&gt;0),SUMIFS(regRep2,regAnalito,selAnalito,regNivel,1,regData,$C46),NA())</f>
        <v>#N/A</v>
      </c>
      <c r="Z46" s="30" t="e">
        <f>IF(AND($D46=1,(""&amp;loteAnalise)=(""&amp;loteCarregado),COUNTIFS(regAnalito,selAnalito,regNivel,1,regData,$C46,regRep3,"&lt;&gt;")&gt;0),SUMIFS(regRep3,regAnalito,selAnalito,regNivel,1,regData,$C46),NA())</f>
        <v>#N/A</v>
      </c>
      <c r="AA46" s="30" t="e">
        <f>IF(AND($D46=1,COUNTIFS(regAnalito,selAnalito,regData,$C46,regCalib,"Sim")&gt;0),$BT$1,NA())</f>
        <v>#N/A</v>
      </c>
      <c r="AB46" s="30" t="str">
        <f>IF($B46="","",IF(INDEX(engValN2,$A46)="","",INDEX(engValN2,$A46)))</f>
        <v/>
      </c>
      <c r="AC46" s="30" t="str">
        <f t="shared" si="46"/>
        <v/>
      </c>
      <c r="AD46" s="30" t="e">
        <f t="shared" si="47"/>
        <v>#N/A</v>
      </c>
      <c r="AE46" s="30" t="e">
        <f t="shared" si="48"/>
        <v>#N/A</v>
      </c>
      <c r="AF46" s="30" t="e">
        <f t="shared" si="49"/>
        <v>#N/A</v>
      </c>
      <c r="AG46" s="30">
        <f>IF($AB46="",0,IFERROR(INDEX(engDados,MATCH(selAnalito&amp;"|"&amp;$B46,engChave,0),10),0))</f>
        <v>0</v>
      </c>
      <c r="AH46" s="30">
        <f>IF($AB46="",0,IFERROR(INDEX(engDados,MATCH(selAnalito&amp;"|"&amp;$B46,engChave,0),11),0))</f>
        <v>0</v>
      </c>
      <c r="AI46" s="30">
        <f>IF($AB46="",0,IFERROR(INDEX(engDados,MATCH(selAnalito&amp;"|"&amp;$B46,engChave,0),12),0))</f>
        <v>0</v>
      </c>
      <c r="AJ46" s="30">
        <f>IF($AB46="",0,IFERROR(INDEX(engDados,MATCH(selAnalito&amp;"|"&amp;$B46,engChave,0),13),0))</f>
        <v>0</v>
      </c>
      <c r="AK46" s="30">
        <f>IF($AB46="",0,IFERROR(INDEX(engDados,MATCH(selAnalito&amp;"|"&amp;$B46,engChave,0),14),0))</f>
        <v>0</v>
      </c>
      <c r="AL46" s="30" t="str">
        <f>IF($AB46="","",IFERROR(INDEX(engDados,MATCH(selAnalito&amp;"|"&amp;$B46,engChave,0),16),""))</f>
        <v/>
      </c>
      <c r="AM46" s="30" t="e">
        <f t="shared" si="50"/>
        <v>#N/A</v>
      </c>
      <c r="AN46" s="30" t="e">
        <f t="shared" si="51"/>
        <v>#N/A</v>
      </c>
      <c r="AO46" s="30" t="e">
        <f t="shared" si="52"/>
        <v>#N/A</v>
      </c>
      <c r="AP46" s="30" t="e">
        <f t="shared" si="53"/>
        <v>#N/A</v>
      </c>
      <c r="AQ46" s="30" t="e">
        <f t="shared" si="54"/>
        <v>#N/A</v>
      </c>
      <c r="AR46" s="30" t="e">
        <f t="shared" si="55"/>
        <v>#N/A</v>
      </c>
      <c r="AS46" s="30" t="e">
        <f t="shared" si="56"/>
        <v>#N/A</v>
      </c>
      <c r="AT46" s="30" t="e">
        <f>IF(AND($D46=1,(""&amp;loteAnalise)=(""&amp;loteCarregado),COUNTIFS(regAnalito,selAnalito,regNivel,2,regData,$C46,regRep1,"&lt;&gt;")&gt;0),SUMIFS(regRep1,regAnalito,selAnalito,regNivel,2,regData,$C46),NA())</f>
        <v>#N/A</v>
      </c>
      <c r="AU46" s="30" t="e">
        <f>IF(AND($D46=1,(""&amp;loteAnalise)=(""&amp;loteCarregado),COUNTIFS(regAnalito,selAnalito,regNivel,2,regData,$C46,regRep2,"&lt;&gt;")&gt;0),SUMIFS(regRep2,regAnalito,selAnalito,regNivel,2,regData,$C46),NA())</f>
        <v>#N/A</v>
      </c>
      <c r="AV46" s="30" t="e">
        <f>IF(AND($D46=1,(""&amp;loteAnalise)=(""&amp;loteCarregado),COUNTIFS(regAnalito,selAnalito,regNivel,2,regData,$C46,regRep3,"&lt;&gt;")&gt;0),SUMIFS(regRep3,regAnalito,selAnalito,regNivel,2,regData,$C46),NA())</f>
        <v>#N/A</v>
      </c>
      <c r="AW46" s="30" t="e">
        <f>IF(AND($D46=1,COUNTIFS(regAnalito,selAnalito,regData,$C46,regCalib,"Sim")&gt;0),$BV$1,NA())</f>
        <v>#N/A</v>
      </c>
      <c r="AX46" s="30" t="str">
        <f>IF($B46="","",IF(INDEX(engValN3,$A46)="","",INDEX(engValN3,$A46)))</f>
        <v/>
      </c>
      <c r="AY46" s="30" t="str">
        <f t="shared" si="57"/>
        <v/>
      </c>
      <c r="AZ46" s="30" t="e">
        <f t="shared" si="58"/>
        <v>#N/A</v>
      </c>
      <c r="BA46" s="30" t="e">
        <f t="shared" si="59"/>
        <v>#N/A</v>
      </c>
      <c r="BB46" s="30" t="e">
        <f t="shared" si="60"/>
        <v>#N/A</v>
      </c>
      <c r="BC46" s="30">
        <f>IF($AX46="",0,IFERROR(INDEX(engDados,MATCH(selAnalito&amp;"|"&amp;$B46,engChave,0),17),0))</f>
        <v>0</v>
      </c>
      <c r="BD46" s="30">
        <f>IF($AX46="",0,IFERROR(INDEX(engDados,MATCH(selAnalito&amp;"|"&amp;$B46,engChave,0),18),0))</f>
        <v>0</v>
      </c>
      <c r="BE46" s="30">
        <f>IF($AX46="",0,IFERROR(INDEX(engDados,MATCH(selAnalito&amp;"|"&amp;$B46,engChave,0),19),0))</f>
        <v>0</v>
      </c>
      <c r="BF46" s="30">
        <f>IF($AX46="",0,IFERROR(INDEX(engDados,MATCH(selAnalito&amp;"|"&amp;$B46,engChave,0),20),0))</f>
        <v>0</v>
      </c>
      <c r="BG46" s="30">
        <f>IF($AX46="",0,IFERROR(INDEX(engDados,MATCH(selAnalito&amp;"|"&amp;$B46,engChave,0),21),0))</f>
        <v>0</v>
      </c>
      <c r="BH46" s="30" t="str">
        <f>IF($AX46="","",IFERROR(INDEX(engDados,MATCH(selAnalito&amp;"|"&amp;$B46,engChave,0),23),""))</f>
        <v/>
      </c>
      <c r="BI46" s="30" t="e">
        <f t="shared" si="61"/>
        <v>#N/A</v>
      </c>
      <c r="BJ46" s="30" t="e">
        <f t="shared" si="62"/>
        <v>#N/A</v>
      </c>
      <c r="BK46" s="30" t="e">
        <f t="shared" si="63"/>
        <v>#N/A</v>
      </c>
      <c r="BL46" s="30" t="e">
        <f t="shared" si="64"/>
        <v>#N/A</v>
      </c>
      <c r="BM46" s="30" t="e">
        <f t="shared" si="65"/>
        <v>#N/A</v>
      </c>
      <c r="BN46" s="30" t="e">
        <f t="shared" si="66"/>
        <v>#N/A</v>
      </c>
      <c r="BO46" s="30" t="e">
        <f t="shared" si="67"/>
        <v>#N/A</v>
      </c>
      <c r="BP46" s="30" t="e">
        <f>IF(AND($D46=1,(""&amp;loteAnalise)=(""&amp;loteCarregado),COUNTIFS(regAnalito,selAnalito,regNivel,3,regData,$C46,regRep1,"&lt;&gt;")&gt;0),SUMIFS(regRep1,regAnalito,selAnalito,regNivel,3,regData,$C46),NA())</f>
        <v>#N/A</v>
      </c>
      <c r="BQ46" s="30" t="e">
        <f>IF(AND($D46=1,(""&amp;loteAnalise)=(""&amp;loteCarregado),COUNTIFS(regAnalito,selAnalito,regNivel,3,regData,$C46,regRep2,"&lt;&gt;")&gt;0),SUMIFS(regRep2,regAnalito,selAnalito,regNivel,3,regData,$C46),NA())</f>
        <v>#N/A</v>
      </c>
      <c r="BR46" s="30" t="e">
        <f>IF(AND($D46=1,(""&amp;loteAnalise)=(""&amp;loteCarregado),COUNTIFS(regAnalito,selAnalito,regNivel,3,regData,$C46,regRep3,"&lt;&gt;")&gt;0),SUMIFS(regRep3,regAnalito,selAnalito,regNivel,3,regData,$C46),NA())</f>
        <v>#N/A</v>
      </c>
      <c r="BS46" s="30" t="e">
        <f>IF(AND($D46=1,COUNTIFS(regAnalito,selAnalito,regData,$C46,regCalib,"Sim")&gt;0),$BX$1,NA())</f>
        <v>#N/A</v>
      </c>
    </row>
    <row r="47" spans="1:71" x14ac:dyDescent="0.3">
      <c r="A47" s="30">
        <v>45</v>
      </c>
      <c r="B47" s="30" t="str">
        <f>IF(OR(selAnalito="",(""&amp;engAnalito)&lt;&gt;(""&amp;selAnalito),(""&amp;engLote)&lt;&gt;(""&amp;loteAnalise),$A47&gt;N(engNRun)),"",INDEX(engRUN,$A47))</f>
        <v/>
      </c>
      <c r="C47" s="43" t="str">
        <f>IF($B47="","",IF(INDEX(engData,$A47)="","",INDEX(engData,$A47)))</f>
        <v/>
      </c>
      <c r="D47" s="30">
        <f>IF($C47="",0,IF(AND(OR(filtroDe="",INT($C47)&gt;=INT(filtroDe)),OR(filtroAte="",INT($C47)&lt;=INT(filtroAte))),1,0))</f>
        <v>0</v>
      </c>
      <c r="E47" s="30" t="e">
        <f t="shared" si="34"/>
        <v>#N/A</v>
      </c>
      <c r="F47" s="30" t="str">
        <f>IF($B47="","",IF(INDEX(engValN1,$A47)="","",INDEX(engValN1,$A47)))</f>
        <v/>
      </c>
      <c r="G47" s="30" t="str">
        <f t="shared" si="35"/>
        <v/>
      </c>
      <c r="H47" s="30" t="e">
        <f t="shared" si="36"/>
        <v>#N/A</v>
      </c>
      <c r="I47" s="30" t="e">
        <f t="shared" si="37"/>
        <v>#N/A</v>
      </c>
      <c r="J47" s="30" t="e">
        <f t="shared" si="38"/>
        <v>#N/A</v>
      </c>
      <c r="K47" s="30">
        <f>IF($F47="",0,IFERROR(INDEX(engDados,MATCH(selAnalito&amp;"|"&amp;$B47,engChave,0),3),0))</f>
        <v>0</v>
      </c>
      <c r="L47" s="30">
        <f>IF($F47="",0,IFERROR(INDEX(engDados,MATCH(selAnalito&amp;"|"&amp;$B47,engChave,0),4),0))</f>
        <v>0</v>
      </c>
      <c r="M47" s="30">
        <f>IF($F47="",0,IFERROR(INDEX(engDados,MATCH(selAnalito&amp;"|"&amp;$B47,engChave,0),5),0))</f>
        <v>0</v>
      </c>
      <c r="N47" s="30">
        <f>IF($F47="",0,IFERROR(INDEX(engDados,MATCH(selAnalito&amp;"|"&amp;$B47,engChave,0),6),0))</f>
        <v>0</v>
      </c>
      <c r="O47" s="30">
        <f>IF($F47="",0,IFERROR(INDEX(engDados,MATCH(selAnalito&amp;"|"&amp;$B47,engChave,0),7),0))</f>
        <v>0</v>
      </c>
      <c r="P47" s="30" t="str">
        <f>IF($F47="","",IFERROR(INDEX(engDados,MATCH(selAnalito&amp;"|"&amp;$B47,engChave,0),9),""))</f>
        <v/>
      </c>
      <c r="Q47" s="30" t="e">
        <f t="shared" si="39"/>
        <v>#N/A</v>
      </c>
      <c r="R47" s="30" t="e">
        <f t="shared" si="40"/>
        <v>#N/A</v>
      </c>
      <c r="S47" s="30" t="e">
        <f t="shared" si="41"/>
        <v>#N/A</v>
      </c>
      <c r="T47" s="30" t="e">
        <f t="shared" si="42"/>
        <v>#N/A</v>
      </c>
      <c r="U47" s="30" t="e">
        <f t="shared" si="43"/>
        <v>#N/A</v>
      </c>
      <c r="V47" s="30" t="e">
        <f t="shared" si="44"/>
        <v>#N/A</v>
      </c>
      <c r="W47" s="30" t="e">
        <f t="shared" si="45"/>
        <v>#N/A</v>
      </c>
      <c r="X47" s="30" t="e">
        <f>IF(AND($D47=1,(""&amp;loteAnalise)=(""&amp;loteCarregado),COUNTIFS(regAnalito,selAnalito,regNivel,1,regData,$C47,regRep1,"&lt;&gt;")&gt;0),SUMIFS(regRep1,regAnalito,selAnalito,regNivel,1,regData,$C47),NA())</f>
        <v>#N/A</v>
      </c>
      <c r="Y47" s="30" t="e">
        <f>IF(AND($D47=1,(""&amp;loteAnalise)=(""&amp;loteCarregado),COUNTIFS(regAnalito,selAnalito,regNivel,1,regData,$C47,regRep2,"&lt;&gt;")&gt;0),SUMIFS(regRep2,regAnalito,selAnalito,regNivel,1,regData,$C47),NA())</f>
        <v>#N/A</v>
      </c>
      <c r="Z47" s="30" t="e">
        <f>IF(AND($D47=1,(""&amp;loteAnalise)=(""&amp;loteCarregado),COUNTIFS(regAnalito,selAnalito,regNivel,1,regData,$C47,regRep3,"&lt;&gt;")&gt;0),SUMIFS(regRep3,regAnalito,selAnalito,regNivel,1,regData,$C47),NA())</f>
        <v>#N/A</v>
      </c>
      <c r="AA47" s="30" t="e">
        <f>IF(AND($D47=1,COUNTIFS(regAnalito,selAnalito,regData,$C47,regCalib,"Sim")&gt;0),$BT$1,NA())</f>
        <v>#N/A</v>
      </c>
      <c r="AB47" s="30" t="str">
        <f>IF($B47="","",IF(INDEX(engValN2,$A47)="","",INDEX(engValN2,$A47)))</f>
        <v/>
      </c>
      <c r="AC47" s="30" t="str">
        <f t="shared" si="46"/>
        <v/>
      </c>
      <c r="AD47" s="30" t="e">
        <f t="shared" si="47"/>
        <v>#N/A</v>
      </c>
      <c r="AE47" s="30" t="e">
        <f t="shared" si="48"/>
        <v>#N/A</v>
      </c>
      <c r="AF47" s="30" t="e">
        <f t="shared" si="49"/>
        <v>#N/A</v>
      </c>
      <c r="AG47" s="30">
        <f>IF($AB47="",0,IFERROR(INDEX(engDados,MATCH(selAnalito&amp;"|"&amp;$B47,engChave,0),10),0))</f>
        <v>0</v>
      </c>
      <c r="AH47" s="30">
        <f>IF($AB47="",0,IFERROR(INDEX(engDados,MATCH(selAnalito&amp;"|"&amp;$B47,engChave,0),11),0))</f>
        <v>0</v>
      </c>
      <c r="AI47" s="30">
        <f>IF($AB47="",0,IFERROR(INDEX(engDados,MATCH(selAnalito&amp;"|"&amp;$B47,engChave,0),12),0))</f>
        <v>0</v>
      </c>
      <c r="AJ47" s="30">
        <f>IF($AB47="",0,IFERROR(INDEX(engDados,MATCH(selAnalito&amp;"|"&amp;$B47,engChave,0),13),0))</f>
        <v>0</v>
      </c>
      <c r="AK47" s="30">
        <f>IF($AB47="",0,IFERROR(INDEX(engDados,MATCH(selAnalito&amp;"|"&amp;$B47,engChave,0),14),0))</f>
        <v>0</v>
      </c>
      <c r="AL47" s="30" t="str">
        <f>IF($AB47="","",IFERROR(INDEX(engDados,MATCH(selAnalito&amp;"|"&amp;$B47,engChave,0),16),""))</f>
        <v/>
      </c>
      <c r="AM47" s="30" t="e">
        <f t="shared" si="50"/>
        <v>#N/A</v>
      </c>
      <c r="AN47" s="30" t="e">
        <f t="shared" si="51"/>
        <v>#N/A</v>
      </c>
      <c r="AO47" s="30" t="e">
        <f t="shared" si="52"/>
        <v>#N/A</v>
      </c>
      <c r="AP47" s="30" t="e">
        <f t="shared" si="53"/>
        <v>#N/A</v>
      </c>
      <c r="AQ47" s="30" t="e">
        <f t="shared" si="54"/>
        <v>#N/A</v>
      </c>
      <c r="AR47" s="30" t="e">
        <f t="shared" si="55"/>
        <v>#N/A</v>
      </c>
      <c r="AS47" s="30" t="e">
        <f t="shared" si="56"/>
        <v>#N/A</v>
      </c>
      <c r="AT47" s="30" t="e">
        <f>IF(AND($D47=1,(""&amp;loteAnalise)=(""&amp;loteCarregado),COUNTIFS(regAnalito,selAnalito,regNivel,2,regData,$C47,regRep1,"&lt;&gt;")&gt;0),SUMIFS(regRep1,regAnalito,selAnalito,regNivel,2,regData,$C47),NA())</f>
        <v>#N/A</v>
      </c>
      <c r="AU47" s="30" t="e">
        <f>IF(AND($D47=1,(""&amp;loteAnalise)=(""&amp;loteCarregado),COUNTIFS(regAnalito,selAnalito,regNivel,2,regData,$C47,regRep2,"&lt;&gt;")&gt;0),SUMIFS(regRep2,regAnalito,selAnalito,regNivel,2,regData,$C47),NA())</f>
        <v>#N/A</v>
      </c>
      <c r="AV47" s="30" t="e">
        <f>IF(AND($D47=1,(""&amp;loteAnalise)=(""&amp;loteCarregado),COUNTIFS(regAnalito,selAnalito,regNivel,2,regData,$C47,regRep3,"&lt;&gt;")&gt;0),SUMIFS(regRep3,regAnalito,selAnalito,regNivel,2,regData,$C47),NA())</f>
        <v>#N/A</v>
      </c>
      <c r="AW47" s="30" t="e">
        <f>IF(AND($D47=1,COUNTIFS(regAnalito,selAnalito,regData,$C47,regCalib,"Sim")&gt;0),$BV$1,NA())</f>
        <v>#N/A</v>
      </c>
      <c r="AX47" s="30" t="str">
        <f>IF($B47="","",IF(INDEX(engValN3,$A47)="","",INDEX(engValN3,$A47)))</f>
        <v/>
      </c>
      <c r="AY47" s="30" t="str">
        <f t="shared" si="57"/>
        <v/>
      </c>
      <c r="AZ47" s="30" t="e">
        <f t="shared" si="58"/>
        <v>#N/A</v>
      </c>
      <c r="BA47" s="30" t="e">
        <f t="shared" si="59"/>
        <v>#N/A</v>
      </c>
      <c r="BB47" s="30" t="e">
        <f t="shared" si="60"/>
        <v>#N/A</v>
      </c>
      <c r="BC47" s="30">
        <f>IF($AX47="",0,IFERROR(INDEX(engDados,MATCH(selAnalito&amp;"|"&amp;$B47,engChave,0),17),0))</f>
        <v>0</v>
      </c>
      <c r="BD47" s="30">
        <f>IF($AX47="",0,IFERROR(INDEX(engDados,MATCH(selAnalito&amp;"|"&amp;$B47,engChave,0),18),0))</f>
        <v>0</v>
      </c>
      <c r="BE47" s="30">
        <f>IF($AX47="",0,IFERROR(INDEX(engDados,MATCH(selAnalito&amp;"|"&amp;$B47,engChave,0),19),0))</f>
        <v>0</v>
      </c>
      <c r="BF47" s="30">
        <f>IF($AX47="",0,IFERROR(INDEX(engDados,MATCH(selAnalito&amp;"|"&amp;$B47,engChave,0),20),0))</f>
        <v>0</v>
      </c>
      <c r="BG47" s="30">
        <f>IF($AX47="",0,IFERROR(INDEX(engDados,MATCH(selAnalito&amp;"|"&amp;$B47,engChave,0),21),0))</f>
        <v>0</v>
      </c>
      <c r="BH47" s="30" t="str">
        <f>IF($AX47="","",IFERROR(INDEX(engDados,MATCH(selAnalito&amp;"|"&amp;$B47,engChave,0),23),""))</f>
        <v/>
      </c>
      <c r="BI47" s="30" t="e">
        <f t="shared" si="61"/>
        <v>#N/A</v>
      </c>
      <c r="BJ47" s="30" t="e">
        <f t="shared" si="62"/>
        <v>#N/A</v>
      </c>
      <c r="BK47" s="30" t="e">
        <f t="shared" si="63"/>
        <v>#N/A</v>
      </c>
      <c r="BL47" s="30" t="e">
        <f t="shared" si="64"/>
        <v>#N/A</v>
      </c>
      <c r="BM47" s="30" t="e">
        <f t="shared" si="65"/>
        <v>#N/A</v>
      </c>
      <c r="BN47" s="30" t="e">
        <f t="shared" si="66"/>
        <v>#N/A</v>
      </c>
      <c r="BO47" s="30" t="e">
        <f t="shared" si="67"/>
        <v>#N/A</v>
      </c>
      <c r="BP47" s="30" t="e">
        <f>IF(AND($D47=1,(""&amp;loteAnalise)=(""&amp;loteCarregado),COUNTIFS(regAnalito,selAnalito,regNivel,3,regData,$C47,regRep1,"&lt;&gt;")&gt;0),SUMIFS(regRep1,regAnalito,selAnalito,regNivel,3,regData,$C47),NA())</f>
        <v>#N/A</v>
      </c>
      <c r="BQ47" s="30" t="e">
        <f>IF(AND($D47=1,(""&amp;loteAnalise)=(""&amp;loteCarregado),COUNTIFS(regAnalito,selAnalito,regNivel,3,regData,$C47,regRep2,"&lt;&gt;")&gt;0),SUMIFS(regRep2,regAnalito,selAnalito,regNivel,3,regData,$C47),NA())</f>
        <v>#N/A</v>
      </c>
      <c r="BR47" s="30" t="e">
        <f>IF(AND($D47=1,(""&amp;loteAnalise)=(""&amp;loteCarregado),COUNTIFS(regAnalito,selAnalito,regNivel,3,regData,$C47,regRep3,"&lt;&gt;")&gt;0),SUMIFS(regRep3,regAnalito,selAnalito,regNivel,3,regData,$C47),NA())</f>
        <v>#N/A</v>
      </c>
      <c r="BS47" s="30" t="e">
        <f>IF(AND($D47=1,COUNTIFS(regAnalito,selAnalito,regData,$C47,regCalib,"Sim")&gt;0),$BX$1,NA())</f>
        <v>#N/A</v>
      </c>
    </row>
    <row r="48" spans="1:71" x14ac:dyDescent="0.3">
      <c r="A48" s="30">
        <v>46</v>
      </c>
      <c r="B48" s="30" t="str">
        <f>IF(OR(selAnalito="",(""&amp;engAnalito)&lt;&gt;(""&amp;selAnalito),(""&amp;engLote)&lt;&gt;(""&amp;loteAnalise),$A48&gt;N(engNRun)),"",INDEX(engRUN,$A48))</f>
        <v/>
      </c>
      <c r="C48" s="43" t="str">
        <f>IF($B48="","",IF(INDEX(engData,$A48)="","",INDEX(engData,$A48)))</f>
        <v/>
      </c>
      <c r="D48" s="30">
        <f>IF($C48="",0,IF(AND(OR(filtroDe="",INT($C48)&gt;=INT(filtroDe)),OR(filtroAte="",INT($C48)&lt;=INT(filtroAte))),1,0))</f>
        <v>0</v>
      </c>
      <c r="E48" s="30" t="e">
        <f t="shared" si="34"/>
        <v>#N/A</v>
      </c>
      <c r="F48" s="30" t="str">
        <f>IF($B48="","",IF(INDEX(engValN1,$A48)="","",INDEX(engValN1,$A48)))</f>
        <v/>
      </c>
      <c r="G48" s="30" t="str">
        <f t="shared" si="35"/>
        <v/>
      </c>
      <c r="H48" s="30" t="e">
        <f t="shared" si="36"/>
        <v>#N/A</v>
      </c>
      <c r="I48" s="30" t="e">
        <f t="shared" si="37"/>
        <v>#N/A</v>
      </c>
      <c r="J48" s="30" t="e">
        <f t="shared" si="38"/>
        <v>#N/A</v>
      </c>
      <c r="K48" s="30">
        <f>IF($F48="",0,IFERROR(INDEX(engDados,MATCH(selAnalito&amp;"|"&amp;$B48,engChave,0),3),0))</f>
        <v>0</v>
      </c>
      <c r="L48" s="30">
        <f>IF($F48="",0,IFERROR(INDEX(engDados,MATCH(selAnalito&amp;"|"&amp;$B48,engChave,0),4),0))</f>
        <v>0</v>
      </c>
      <c r="M48" s="30">
        <f>IF($F48="",0,IFERROR(INDEX(engDados,MATCH(selAnalito&amp;"|"&amp;$B48,engChave,0),5),0))</f>
        <v>0</v>
      </c>
      <c r="N48" s="30">
        <f>IF($F48="",0,IFERROR(INDEX(engDados,MATCH(selAnalito&amp;"|"&amp;$B48,engChave,0),6),0))</f>
        <v>0</v>
      </c>
      <c r="O48" s="30">
        <f>IF($F48="",0,IFERROR(INDEX(engDados,MATCH(selAnalito&amp;"|"&amp;$B48,engChave,0),7),0))</f>
        <v>0</v>
      </c>
      <c r="P48" s="30" t="str">
        <f>IF($F48="","",IFERROR(INDEX(engDados,MATCH(selAnalito&amp;"|"&amp;$B48,engChave,0),9),""))</f>
        <v/>
      </c>
      <c r="Q48" s="30" t="e">
        <f t="shared" si="39"/>
        <v>#N/A</v>
      </c>
      <c r="R48" s="30" t="e">
        <f t="shared" si="40"/>
        <v>#N/A</v>
      </c>
      <c r="S48" s="30" t="e">
        <f t="shared" si="41"/>
        <v>#N/A</v>
      </c>
      <c r="T48" s="30" t="e">
        <f t="shared" si="42"/>
        <v>#N/A</v>
      </c>
      <c r="U48" s="30" t="e">
        <f t="shared" si="43"/>
        <v>#N/A</v>
      </c>
      <c r="V48" s="30" t="e">
        <f t="shared" si="44"/>
        <v>#N/A</v>
      </c>
      <c r="W48" s="30" t="e">
        <f t="shared" si="45"/>
        <v>#N/A</v>
      </c>
      <c r="X48" s="30" t="e">
        <f>IF(AND($D48=1,(""&amp;loteAnalise)=(""&amp;loteCarregado),COUNTIFS(regAnalito,selAnalito,regNivel,1,regData,$C48,regRep1,"&lt;&gt;")&gt;0),SUMIFS(regRep1,regAnalito,selAnalito,regNivel,1,regData,$C48),NA())</f>
        <v>#N/A</v>
      </c>
      <c r="Y48" s="30" t="e">
        <f>IF(AND($D48=1,(""&amp;loteAnalise)=(""&amp;loteCarregado),COUNTIFS(regAnalito,selAnalito,regNivel,1,regData,$C48,regRep2,"&lt;&gt;")&gt;0),SUMIFS(regRep2,regAnalito,selAnalito,regNivel,1,regData,$C48),NA())</f>
        <v>#N/A</v>
      </c>
      <c r="Z48" s="30" t="e">
        <f>IF(AND($D48=1,(""&amp;loteAnalise)=(""&amp;loteCarregado),COUNTIFS(regAnalito,selAnalito,regNivel,1,regData,$C48,regRep3,"&lt;&gt;")&gt;0),SUMIFS(regRep3,regAnalito,selAnalito,regNivel,1,regData,$C48),NA())</f>
        <v>#N/A</v>
      </c>
      <c r="AA48" s="30" t="e">
        <f>IF(AND($D48=1,COUNTIFS(regAnalito,selAnalito,regData,$C48,regCalib,"Sim")&gt;0),$BT$1,NA())</f>
        <v>#N/A</v>
      </c>
      <c r="AB48" s="30" t="str">
        <f>IF($B48="","",IF(INDEX(engValN2,$A48)="","",INDEX(engValN2,$A48)))</f>
        <v/>
      </c>
      <c r="AC48" s="30" t="str">
        <f t="shared" si="46"/>
        <v/>
      </c>
      <c r="AD48" s="30" t="e">
        <f t="shared" si="47"/>
        <v>#N/A</v>
      </c>
      <c r="AE48" s="30" t="e">
        <f t="shared" si="48"/>
        <v>#N/A</v>
      </c>
      <c r="AF48" s="30" t="e">
        <f t="shared" si="49"/>
        <v>#N/A</v>
      </c>
      <c r="AG48" s="30">
        <f>IF($AB48="",0,IFERROR(INDEX(engDados,MATCH(selAnalito&amp;"|"&amp;$B48,engChave,0),10),0))</f>
        <v>0</v>
      </c>
      <c r="AH48" s="30">
        <f>IF($AB48="",0,IFERROR(INDEX(engDados,MATCH(selAnalito&amp;"|"&amp;$B48,engChave,0),11),0))</f>
        <v>0</v>
      </c>
      <c r="AI48" s="30">
        <f>IF($AB48="",0,IFERROR(INDEX(engDados,MATCH(selAnalito&amp;"|"&amp;$B48,engChave,0),12),0))</f>
        <v>0</v>
      </c>
      <c r="AJ48" s="30">
        <f>IF($AB48="",0,IFERROR(INDEX(engDados,MATCH(selAnalito&amp;"|"&amp;$B48,engChave,0),13),0))</f>
        <v>0</v>
      </c>
      <c r="AK48" s="30">
        <f>IF($AB48="",0,IFERROR(INDEX(engDados,MATCH(selAnalito&amp;"|"&amp;$B48,engChave,0),14),0))</f>
        <v>0</v>
      </c>
      <c r="AL48" s="30" t="str">
        <f>IF($AB48="","",IFERROR(INDEX(engDados,MATCH(selAnalito&amp;"|"&amp;$B48,engChave,0),16),""))</f>
        <v/>
      </c>
      <c r="AM48" s="30" t="e">
        <f t="shared" si="50"/>
        <v>#N/A</v>
      </c>
      <c r="AN48" s="30" t="e">
        <f t="shared" si="51"/>
        <v>#N/A</v>
      </c>
      <c r="AO48" s="30" t="e">
        <f t="shared" si="52"/>
        <v>#N/A</v>
      </c>
      <c r="AP48" s="30" t="e">
        <f t="shared" si="53"/>
        <v>#N/A</v>
      </c>
      <c r="AQ48" s="30" t="e">
        <f t="shared" si="54"/>
        <v>#N/A</v>
      </c>
      <c r="AR48" s="30" t="e">
        <f t="shared" si="55"/>
        <v>#N/A</v>
      </c>
      <c r="AS48" s="30" t="e">
        <f t="shared" si="56"/>
        <v>#N/A</v>
      </c>
      <c r="AT48" s="30" t="e">
        <f>IF(AND($D48=1,(""&amp;loteAnalise)=(""&amp;loteCarregado),COUNTIFS(regAnalito,selAnalito,regNivel,2,regData,$C48,regRep1,"&lt;&gt;")&gt;0),SUMIFS(regRep1,regAnalito,selAnalito,regNivel,2,regData,$C48),NA())</f>
        <v>#N/A</v>
      </c>
      <c r="AU48" s="30" t="e">
        <f>IF(AND($D48=1,(""&amp;loteAnalise)=(""&amp;loteCarregado),COUNTIFS(regAnalito,selAnalito,regNivel,2,regData,$C48,regRep2,"&lt;&gt;")&gt;0),SUMIFS(regRep2,regAnalito,selAnalito,regNivel,2,regData,$C48),NA())</f>
        <v>#N/A</v>
      </c>
      <c r="AV48" s="30" t="e">
        <f>IF(AND($D48=1,(""&amp;loteAnalise)=(""&amp;loteCarregado),COUNTIFS(regAnalito,selAnalito,regNivel,2,regData,$C48,regRep3,"&lt;&gt;")&gt;0),SUMIFS(regRep3,regAnalito,selAnalito,regNivel,2,regData,$C48),NA())</f>
        <v>#N/A</v>
      </c>
      <c r="AW48" s="30" t="e">
        <f>IF(AND($D48=1,COUNTIFS(regAnalito,selAnalito,regData,$C48,regCalib,"Sim")&gt;0),$BV$1,NA())</f>
        <v>#N/A</v>
      </c>
      <c r="AX48" s="30" t="str">
        <f>IF($B48="","",IF(INDEX(engValN3,$A48)="","",INDEX(engValN3,$A48)))</f>
        <v/>
      </c>
      <c r="AY48" s="30" t="str">
        <f t="shared" si="57"/>
        <v/>
      </c>
      <c r="AZ48" s="30" t="e">
        <f t="shared" si="58"/>
        <v>#N/A</v>
      </c>
      <c r="BA48" s="30" t="e">
        <f t="shared" si="59"/>
        <v>#N/A</v>
      </c>
      <c r="BB48" s="30" t="e">
        <f t="shared" si="60"/>
        <v>#N/A</v>
      </c>
      <c r="BC48" s="30">
        <f>IF($AX48="",0,IFERROR(INDEX(engDados,MATCH(selAnalito&amp;"|"&amp;$B48,engChave,0),17),0))</f>
        <v>0</v>
      </c>
      <c r="BD48" s="30">
        <f>IF($AX48="",0,IFERROR(INDEX(engDados,MATCH(selAnalito&amp;"|"&amp;$B48,engChave,0),18),0))</f>
        <v>0</v>
      </c>
      <c r="BE48" s="30">
        <f>IF($AX48="",0,IFERROR(INDEX(engDados,MATCH(selAnalito&amp;"|"&amp;$B48,engChave,0),19),0))</f>
        <v>0</v>
      </c>
      <c r="BF48" s="30">
        <f>IF($AX48="",0,IFERROR(INDEX(engDados,MATCH(selAnalito&amp;"|"&amp;$B48,engChave,0),20),0))</f>
        <v>0</v>
      </c>
      <c r="BG48" s="30">
        <f>IF($AX48="",0,IFERROR(INDEX(engDados,MATCH(selAnalito&amp;"|"&amp;$B48,engChave,0),21),0))</f>
        <v>0</v>
      </c>
      <c r="BH48" s="30" t="str">
        <f>IF($AX48="","",IFERROR(INDEX(engDados,MATCH(selAnalito&amp;"|"&amp;$B48,engChave,0),23),""))</f>
        <v/>
      </c>
      <c r="BI48" s="30" t="e">
        <f t="shared" si="61"/>
        <v>#N/A</v>
      </c>
      <c r="BJ48" s="30" t="e">
        <f t="shared" si="62"/>
        <v>#N/A</v>
      </c>
      <c r="BK48" s="30" t="e">
        <f t="shared" si="63"/>
        <v>#N/A</v>
      </c>
      <c r="BL48" s="30" t="e">
        <f t="shared" si="64"/>
        <v>#N/A</v>
      </c>
      <c r="BM48" s="30" t="e">
        <f t="shared" si="65"/>
        <v>#N/A</v>
      </c>
      <c r="BN48" s="30" t="e">
        <f t="shared" si="66"/>
        <v>#N/A</v>
      </c>
      <c r="BO48" s="30" t="e">
        <f t="shared" si="67"/>
        <v>#N/A</v>
      </c>
      <c r="BP48" s="30" t="e">
        <f>IF(AND($D48=1,(""&amp;loteAnalise)=(""&amp;loteCarregado),COUNTIFS(regAnalito,selAnalito,regNivel,3,regData,$C48,regRep1,"&lt;&gt;")&gt;0),SUMIFS(regRep1,regAnalito,selAnalito,regNivel,3,regData,$C48),NA())</f>
        <v>#N/A</v>
      </c>
      <c r="BQ48" s="30" t="e">
        <f>IF(AND($D48=1,(""&amp;loteAnalise)=(""&amp;loteCarregado),COUNTIFS(regAnalito,selAnalito,regNivel,3,regData,$C48,regRep2,"&lt;&gt;")&gt;0),SUMIFS(regRep2,regAnalito,selAnalito,regNivel,3,regData,$C48),NA())</f>
        <v>#N/A</v>
      </c>
      <c r="BR48" s="30" t="e">
        <f>IF(AND($D48=1,(""&amp;loteAnalise)=(""&amp;loteCarregado),COUNTIFS(regAnalito,selAnalito,regNivel,3,regData,$C48,regRep3,"&lt;&gt;")&gt;0),SUMIFS(regRep3,regAnalito,selAnalito,regNivel,3,regData,$C48),NA())</f>
        <v>#N/A</v>
      </c>
      <c r="BS48" s="30" t="e">
        <f>IF(AND($D48=1,COUNTIFS(regAnalito,selAnalito,regData,$C48,regCalib,"Sim")&gt;0),$BX$1,NA())</f>
        <v>#N/A</v>
      </c>
    </row>
    <row r="49" spans="1:71" x14ac:dyDescent="0.3">
      <c r="A49" s="30">
        <v>47</v>
      </c>
      <c r="B49" s="30" t="str">
        <f>IF(OR(selAnalito="",(""&amp;engAnalito)&lt;&gt;(""&amp;selAnalito),(""&amp;engLote)&lt;&gt;(""&amp;loteAnalise),$A49&gt;N(engNRun)),"",INDEX(engRUN,$A49))</f>
        <v/>
      </c>
      <c r="C49" s="43" t="str">
        <f>IF($B49="","",IF(INDEX(engData,$A49)="","",INDEX(engData,$A49)))</f>
        <v/>
      </c>
      <c r="D49" s="30">
        <f>IF($C49="",0,IF(AND(OR(filtroDe="",INT($C49)&gt;=INT(filtroDe)),OR(filtroAte="",INT($C49)&lt;=INT(filtroAte))),1,0))</f>
        <v>0</v>
      </c>
      <c r="E49" s="30" t="e">
        <f t="shared" si="34"/>
        <v>#N/A</v>
      </c>
      <c r="F49" s="30" t="str">
        <f>IF($B49="","",IF(INDEX(engValN1,$A49)="","",INDEX(engValN1,$A49)))</f>
        <v/>
      </c>
      <c r="G49" s="30" t="str">
        <f t="shared" si="35"/>
        <v/>
      </c>
      <c r="H49" s="30" t="e">
        <f t="shared" si="36"/>
        <v>#N/A</v>
      </c>
      <c r="I49" s="30" t="e">
        <f t="shared" si="37"/>
        <v>#N/A</v>
      </c>
      <c r="J49" s="30" t="e">
        <f t="shared" si="38"/>
        <v>#N/A</v>
      </c>
      <c r="K49" s="30">
        <f>IF($F49="",0,IFERROR(INDEX(engDados,MATCH(selAnalito&amp;"|"&amp;$B49,engChave,0),3),0))</f>
        <v>0</v>
      </c>
      <c r="L49" s="30">
        <f>IF($F49="",0,IFERROR(INDEX(engDados,MATCH(selAnalito&amp;"|"&amp;$B49,engChave,0),4),0))</f>
        <v>0</v>
      </c>
      <c r="M49" s="30">
        <f>IF($F49="",0,IFERROR(INDEX(engDados,MATCH(selAnalito&amp;"|"&amp;$B49,engChave,0),5),0))</f>
        <v>0</v>
      </c>
      <c r="N49" s="30">
        <f>IF($F49="",0,IFERROR(INDEX(engDados,MATCH(selAnalito&amp;"|"&amp;$B49,engChave,0),6),0))</f>
        <v>0</v>
      </c>
      <c r="O49" s="30">
        <f>IF($F49="",0,IFERROR(INDEX(engDados,MATCH(selAnalito&amp;"|"&amp;$B49,engChave,0),7),0))</f>
        <v>0</v>
      </c>
      <c r="P49" s="30" t="str">
        <f>IF($F49="","",IFERROR(INDEX(engDados,MATCH(selAnalito&amp;"|"&amp;$B49,engChave,0),9),""))</f>
        <v/>
      </c>
      <c r="Q49" s="30" t="e">
        <f t="shared" si="39"/>
        <v>#N/A</v>
      </c>
      <c r="R49" s="30" t="e">
        <f t="shared" si="40"/>
        <v>#N/A</v>
      </c>
      <c r="S49" s="30" t="e">
        <f t="shared" si="41"/>
        <v>#N/A</v>
      </c>
      <c r="T49" s="30" t="e">
        <f t="shared" si="42"/>
        <v>#N/A</v>
      </c>
      <c r="U49" s="30" t="e">
        <f t="shared" si="43"/>
        <v>#N/A</v>
      </c>
      <c r="V49" s="30" t="e">
        <f t="shared" si="44"/>
        <v>#N/A</v>
      </c>
      <c r="W49" s="30" t="e">
        <f t="shared" si="45"/>
        <v>#N/A</v>
      </c>
      <c r="X49" s="30" t="e">
        <f>IF(AND($D49=1,(""&amp;loteAnalise)=(""&amp;loteCarregado),COUNTIFS(regAnalito,selAnalito,regNivel,1,regData,$C49,regRep1,"&lt;&gt;")&gt;0),SUMIFS(regRep1,regAnalito,selAnalito,regNivel,1,regData,$C49),NA())</f>
        <v>#N/A</v>
      </c>
      <c r="Y49" s="30" t="e">
        <f>IF(AND($D49=1,(""&amp;loteAnalise)=(""&amp;loteCarregado),COUNTIFS(regAnalito,selAnalito,regNivel,1,regData,$C49,regRep2,"&lt;&gt;")&gt;0),SUMIFS(regRep2,regAnalito,selAnalito,regNivel,1,regData,$C49),NA())</f>
        <v>#N/A</v>
      </c>
      <c r="Z49" s="30" t="e">
        <f>IF(AND($D49=1,(""&amp;loteAnalise)=(""&amp;loteCarregado),COUNTIFS(regAnalito,selAnalito,regNivel,1,regData,$C49,regRep3,"&lt;&gt;")&gt;0),SUMIFS(regRep3,regAnalito,selAnalito,regNivel,1,regData,$C49),NA())</f>
        <v>#N/A</v>
      </c>
      <c r="AA49" s="30" t="e">
        <f>IF(AND($D49=1,COUNTIFS(regAnalito,selAnalito,regData,$C49,regCalib,"Sim")&gt;0),$BT$1,NA())</f>
        <v>#N/A</v>
      </c>
      <c r="AB49" s="30" t="str">
        <f>IF($B49="","",IF(INDEX(engValN2,$A49)="","",INDEX(engValN2,$A49)))</f>
        <v/>
      </c>
      <c r="AC49" s="30" t="str">
        <f t="shared" si="46"/>
        <v/>
      </c>
      <c r="AD49" s="30" t="e">
        <f t="shared" si="47"/>
        <v>#N/A</v>
      </c>
      <c r="AE49" s="30" t="e">
        <f t="shared" si="48"/>
        <v>#N/A</v>
      </c>
      <c r="AF49" s="30" t="e">
        <f t="shared" si="49"/>
        <v>#N/A</v>
      </c>
      <c r="AG49" s="30">
        <f>IF($AB49="",0,IFERROR(INDEX(engDados,MATCH(selAnalito&amp;"|"&amp;$B49,engChave,0),10),0))</f>
        <v>0</v>
      </c>
      <c r="AH49" s="30">
        <f>IF($AB49="",0,IFERROR(INDEX(engDados,MATCH(selAnalito&amp;"|"&amp;$B49,engChave,0),11),0))</f>
        <v>0</v>
      </c>
      <c r="AI49" s="30">
        <f>IF($AB49="",0,IFERROR(INDEX(engDados,MATCH(selAnalito&amp;"|"&amp;$B49,engChave,0),12),0))</f>
        <v>0</v>
      </c>
      <c r="AJ49" s="30">
        <f>IF($AB49="",0,IFERROR(INDEX(engDados,MATCH(selAnalito&amp;"|"&amp;$B49,engChave,0),13),0))</f>
        <v>0</v>
      </c>
      <c r="AK49" s="30">
        <f>IF($AB49="",0,IFERROR(INDEX(engDados,MATCH(selAnalito&amp;"|"&amp;$B49,engChave,0),14),0))</f>
        <v>0</v>
      </c>
      <c r="AL49" s="30" t="str">
        <f>IF($AB49="","",IFERROR(INDEX(engDados,MATCH(selAnalito&amp;"|"&amp;$B49,engChave,0),16),""))</f>
        <v/>
      </c>
      <c r="AM49" s="30" t="e">
        <f t="shared" si="50"/>
        <v>#N/A</v>
      </c>
      <c r="AN49" s="30" t="e">
        <f t="shared" si="51"/>
        <v>#N/A</v>
      </c>
      <c r="AO49" s="30" t="e">
        <f t="shared" si="52"/>
        <v>#N/A</v>
      </c>
      <c r="AP49" s="30" t="e">
        <f t="shared" si="53"/>
        <v>#N/A</v>
      </c>
      <c r="AQ49" s="30" t="e">
        <f t="shared" si="54"/>
        <v>#N/A</v>
      </c>
      <c r="AR49" s="30" t="e">
        <f t="shared" si="55"/>
        <v>#N/A</v>
      </c>
      <c r="AS49" s="30" t="e">
        <f t="shared" si="56"/>
        <v>#N/A</v>
      </c>
      <c r="AT49" s="30" t="e">
        <f>IF(AND($D49=1,(""&amp;loteAnalise)=(""&amp;loteCarregado),COUNTIFS(regAnalito,selAnalito,regNivel,2,regData,$C49,regRep1,"&lt;&gt;")&gt;0),SUMIFS(regRep1,regAnalito,selAnalito,regNivel,2,regData,$C49),NA())</f>
        <v>#N/A</v>
      </c>
      <c r="AU49" s="30" t="e">
        <f>IF(AND($D49=1,(""&amp;loteAnalise)=(""&amp;loteCarregado),COUNTIFS(regAnalito,selAnalito,regNivel,2,regData,$C49,regRep2,"&lt;&gt;")&gt;0),SUMIFS(regRep2,regAnalito,selAnalito,regNivel,2,regData,$C49),NA())</f>
        <v>#N/A</v>
      </c>
      <c r="AV49" s="30" t="e">
        <f>IF(AND($D49=1,(""&amp;loteAnalise)=(""&amp;loteCarregado),COUNTIFS(regAnalito,selAnalito,regNivel,2,regData,$C49,regRep3,"&lt;&gt;")&gt;0),SUMIFS(regRep3,regAnalito,selAnalito,regNivel,2,regData,$C49),NA())</f>
        <v>#N/A</v>
      </c>
      <c r="AW49" s="30" t="e">
        <f>IF(AND($D49=1,COUNTIFS(regAnalito,selAnalito,regData,$C49,regCalib,"Sim")&gt;0),$BV$1,NA())</f>
        <v>#N/A</v>
      </c>
      <c r="AX49" s="30" t="str">
        <f>IF($B49="","",IF(INDEX(engValN3,$A49)="","",INDEX(engValN3,$A49)))</f>
        <v/>
      </c>
      <c r="AY49" s="30" t="str">
        <f t="shared" si="57"/>
        <v/>
      </c>
      <c r="AZ49" s="30" t="e">
        <f t="shared" si="58"/>
        <v>#N/A</v>
      </c>
      <c r="BA49" s="30" t="e">
        <f t="shared" si="59"/>
        <v>#N/A</v>
      </c>
      <c r="BB49" s="30" t="e">
        <f t="shared" si="60"/>
        <v>#N/A</v>
      </c>
      <c r="BC49" s="30">
        <f>IF($AX49="",0,IFERROR(INDEX(engDados,MATCH(selAnalito&amp;"|"&amp;$B49,engChave,0),17),0))</f>
        <v>0</v>
      </c>
      <c r="BD49" s="30">
        <f>IF($AX49="",0,IFERROR(INDEX(engDados,MATCH(selAnalito&amp;"|"&amp;$B49,engChave,0),18),0))</f>
        <v>0</v>
      </c>
      <c r="BE49" s="30">
        <f>IF($AX49="",0,IFERROR(INDEX(engDados,MATCH(selAnalito&amp;"|"&amp;$B49,engChave,0),19),0))</f>
        <v>0</v>
      </c>
      <c r="BF49" s="30">
        <f>IF($AX49="",0,IFERROR(INDEX(engDados,MATCH(selAnalito&amp;"|"&amp;$B49,engChave,0),20),0))</f>
        <v>0</v>
      </c>
      <c r="BG49" s="30">
        <f>IF($AX49="",0,IFERROR(INDEX(engDados,MATCH(selAnalito&amp;"|"&amp;$B49,engChave,0),21),0))</f>
        <v>0</v>
      </c>
      <c r="BH49" s="30" t="str">
        <f>IF($AX49="","",IFERROR(INDEX(engDados,MATCH(selAnalito&amp;"|"&amp;$B49,engChave,0),23),""))</f>
        <v/>
      </c>
      <c r="BI49" s="30" t="e">
        <f t="shared" si="61"/>
        <v>#N/A</v>
      </c>
      <c r="BJ49" s="30" t="e">
        <f t="shared" si="62"/>
        <v>#N/A</v>
      </c>
      <c r="BK49" s="30" t="e">
        <f t="shared" si="63"/>
        <v>#N/A</v>
      </c>
      <c r="BL49" s="30" t="e">
        <f t="shared" si="64"/>
        <v>#N/A</v>
      </c>
      <c r="BM49" s="30" t="e">
        <f t="shared" si="65"/>
        <v>#N/A</v>
      </c>
      <c r="BN49" s="30" t="e">
        <f t="shared" si="66"/>
        <v>#N/A</v>
      </c>
      <c r="BO49" s="30" t="e">
        <f t="shared" si="67"/>
        <v>#N/A</v>
      </c>
      <c r="BP49" s="30" t="e">
        <f>IF(AND($D49=1,(""&amp;loteAnalise)=(""&amp;loteCarregado),COUNTIFS(regAnalito,selAnalito,regNivel,3,regData,$C49,regRep1,"&lt;&gt;")&gt;0),SUMIFS(regRep1,regAnalito,selAnalito,regNivel,3,regData,$C49),NA())</f>
        <v>#N/A</v>
      </c>
      <c r="BQ49" s="30" t="e">
        <f>IF(AND($D49=1,(""&amp;loteAnalise)=(""&amp;loteCarregado),COUNTIFS(regAnalito,selAnalito,regNivel,3,regData,$C49,regRep2,"&lt;&gt;")&gt;0),SUMIFS(regRep2,regAnalito,selAnalito,regNivel,3,regData,$C49),NA())</f>
        <v>#N/A</v>
      </c>
      <c r="BR49" s="30" t="e">
        <f>IF(AND($D49=1,(""&amp;loteAnalise)=(""&amp;loteCarregado),COUNTIFS(regAnalito,selAnalito,regNivel,3,regData,$C49,regRep3,"&lt;&gt;")&gt;0),SUMIFS(regRep3,regAnalito,selAnalito,regNivel,3,regData,$C49),NA())</f>
        <v>#N/A</v>
      </c>
      <c r="BS49" s="30" t="e">
        <f>IF(AND($D49=1,COUNTIFS(regAnalito,selAnalito,regData,$C49,regCalib,"Sim")&gt;0),$BX$1,NA())</f>
        <v>#N/A</v>
      </c>
    </row>
    <row r="50" spans="1:71" x14ac:dyDescent="0.3">
      <c r="A50" s="30">
        <v>48</v>
      </c>
      <c r="B50" s="30" t="str">
        <f>IF(OR(selAnalito="",(""&amp;engAnalito)&lt;&gt;(""&amp;selAnalito),(""&amp;engLote)&lt;&gt;(""&amp;loteAnalise),$A50&gt;N(engNRun)),"",INDEX(engRUN,$A50))</f>
        <v/>
      </c>
      <c r="C50" s="43" t="str">
        <f>IF($B50="","",IF(INDEX(engData,$A50)="","",INDEX(engData,$A50)))</f>
        <v/>
      </c>
      <c r="D50" s="30">
        <f>IF($C50="",0,IF(AND(OR(filtroDe="",INT($C50)&gt;=INT(filtroDe)),OR(filtroAte="",INT($C50)&lt;=INT(filtroAte))),1,0))</f>
        <v>0</v>
      </c>
      <c r="E50" s="30" t="e">
        <f t="shared" si="34"/>
        <v>#N/A</v>
      </c>
      <c r="F50" s="30" t="str">
        <f>IF($B50="","",IF(INDEX(engValN1,$A50)="","",INDEX(engValN1,$A50)))</f>
        <v/>
      </c>
      <c r="G50" s="30" t="str">
        <f t="shared" si="35"/>
        <v/>
      </c>
      <c r="H50" s="30" t="e">
        <f t="shared" si="36"/>
        <v>#N/A</v>
      </c>
      <c r="I50" s="30" t="e">
        <f t="shared" si="37"/>
        <v>#N/A</v>
      </c>
      <c r="J50" s="30" t="e">
        <f t="shared" si="38"/>
        <v>#N/A</v>
      </c>
      <c r="K50" s="30">
        <f>IF($F50="",0,IFERROR(INDEX(engDados,MATCH(selAnalito&amp;"|"&amp;$B50,engChave,0),3),0))</f>
        <v>0</v>
      </c>
      <c r="L50" s="30">
        <f>IF($F50="",0,IFERROR(INDEX(engDados,MATCH(selAnalito&amp;"|"&amp;$B50,engChave,0),4),0))</f>
        <v>0</v>
      </c>
      <c r="M50" s="30">
        <f>IF($F50="",0,IFERROR(INDEX(engDados,MATCH(selAnalito&amp;"|"&amp;$B50,engChave,0),5),0))</f>
        <v>0</v>
      </c>
      <c r="N50" s="30">
        <f>IF($F50="",0,IFERROR(INDEX(engDados,MATCH(selAnalito&amp;"|"&amp;$B50,engChave,0),6),0))</f>
        <v>0</v>
      </c>
      <c r="O50" s="30">
        <f>IF($F50="",0,IFERROR(INDEX(engDados,MATCH(selAnalito&amp;"|"&amp;$B50,engChave,0),7),0))</f>
        <v>0</v>
      </c>
      <c r="P50" s="30" t="str">
        <f>IF($F50="","",IFERROR(INDEX(engDados,MATCH(selAnalito&amp;"|"&amp;$B50,engChave,0),9),""))</f>
        <v/>
      </c>
      <c r="Q50" s="30" t="e">
        <f t="shared" si="39"/>
        <v>#N/A</v>
      </c>
      <c r="R50" s="30" t="e">
        <f t="shared" si="40"/>
        <v>#N/A</v>
      </c>
      <c r="S50" s="30" t="e">
        <f t="shared" si="41"/>
        <v>#N/A</v>
      </c>
      <c r="T50" s="30" t="e">
        <f t="shared" si="42"/>
        <v>#N/A</v>
      </c>
      <c r="U50" s="30" t="e">
        <f t="shared" si="43"/>
        <v>#N/A</v>
      </c>
      <c r="V50" s="30" t="e">
        <f t="shared" si="44"/>
        <v>#N/A</v>
      </c>
      <c r="W50" s="30" t="e">
        <f t="shared" si="45"/>
        <v>#N/A</v>
      </c>
      <c r="X50" s="30" t="e">
        <f>IF(AND($D50=1,(""&amp;loteAnalise)=(""&amp;loteCarregado),COUNTIFS(regAnalito,selAnalito,regNivel,1,regData,$C50,regRep1,"&lt;&gt;")&gt;0),SUMIFS(regRep1,regAnalito,selAnalito,regNivel,1,regData,$C50),NA())</f>
        <v>#N/A</v>
      </c>
      <c r="Y50" s="30" t="e">
        <f>IF(AND($D50=1,(""&amp;loteAnalise)=(""&amp;loteCarregado),COUNTIFS(regAnalito,selAnalito,regNivel,1,regData,$C50,regRep2,"&lt;&gt;")&gt;0),SUMIFS(regRep2,regAnalito,selAnalito,regNivel,1,regData,$C50),NA())</f>
        <v>#N/A</v>
      </c>
      <c r="Z50" s="30" t="e">
        <f>IF(AND($D50=1,(""&amp;loteAnalise)=(""&amp;loteCarregado),COUNTIFS(regAnalito,selAnalito,regNivel,1,regData,$C50,regRep3,"&lt;&gt;")&gt;0),SUMIFS(regRep3,regAnalito,selAnalito,regNivel,1,regData,$C50),NA())</f>
        <v>#N/A</v>
      </c>
      <c r="AA50" s="30" t="e">
        <f>IF(AND($D50=1,COUNTIFS(regAnalito,selAnalito,regData,$C50,regCalib,"Sim")&gt;0),$BT$1,NA())</f>
        <v>#N/A</v>
      </c>
      <c r="AB50" s="30" t="str">
        <f>IF($B50="","",IF(INDEX(engValN2,$A50)="","",INDEX(engValN2,$A50)))</f>
        <v/>
      </c>
      <c r="AC50" s="30" t="str">
        <f t="shared" si="46"/>
        <v/>
      </c>
      <c r="AD50" s="30" t="e">
        <f t="shared" si="47"/>
        <v>#N/A</v>
      </c>
      <c r="AE50" s="30" t="e">
        <f t="shared" si="48"/>
        <v>#N/A</v>
      </c>
      <c r="AF50" s="30" t="e">
        <f t="shared" si="49"/>
        <v>#N/A</v>
      </c>
      <c r="AG50" s="30">
        <f>IF($AB50="",0,IFERROR(INDEX(engDados,MATCH(selAnalito&amp;"|"&amp;$B50,engChave,0),10),0))</f>
        <v>0</v>
      </c>
      <c r="AH50" s="30">
        <f>IF($AB50="",0,IFERROR(INDEX(engDados,MATCH(selAnalito&amp;"|"&amp;$B50,engChave,0),11),0))</f>
        <v>0</v>
      </c>
      <c r="AI50" s="30">
        <f>IF($AB50="",0,IFERROR(INDEX(engDados,MATCH(selAnalito&amp;"|"&amp;$B50,engChave,0),12),0))</f>
        <v>0</v>
      </c>
      <c r="AJ50" s="30">
        <f>IF($AB50="",0,IFERROR(INDEX(engDados,MATCH(selAnalito&amp;"|"&amp;$B50,engChave,0),13),0))</f>
        <v>0</v>
      </c>
      <c r="AK50" s="30">
        <f>IF($AB50="",0,IFERROR(INDEX(engDados,MATCH(selAnalito&amp;"|"&amp;$B50,engChave,0),14),0))</f>
        <v>0</v>
      </c>
      <c r="AL50" s="30" t="str">
        <f>IF($AB50="","",IFERROR(INDEX(engDados,MATCH(selAnalito&amp;"|"&amp;$B50,engChave,0),16),""))</f>
        <v/>
      </c>
      <c r="AM50" s="30" t="e">
        <f t="shared" si="50"/>
        <v>#N/A</v>
      </c>
      <c r="AN50" s="30" t="e">
        <f t="shared" si="51"/>
        <v>#N/A</v>
      </c>
      <c r="AO50" s="30" t="e">
        <f t="shared" si="52"/>
        <v>#N/A</v>
      </c>
      <c r="AP50" s="30" t="e">
        <f t="shared" si="53"/>
        <v>#N/A</v>
      </c>
      <c r="AQ50" s="30" t="e">
        <f t="shared" si="54"/>
        <v>#N/A</v>
      </c>
      <c r="AR50" s="30" t="e">
        <f t="shared" si="55"/>
        <v>#N/A</v>
      </c>
      <c r="AS50" s="30" t="e">
        <f t="shared" si="56"/>
        <v>#N/A</v>
      </c>
      <c r="AT50" s="30" t="e">
        <f>IF(AND($D50=1,(""&amp;loteAnalise)=(""&amp;loteCarregado),COUNTIFS(regAnalito,selAnalito,regNivel,2,regData,$C50,regRep1,"&lt;&gt;")&gt;0),SUMIFS(regRep1,regAnalito,selAnalito,regNivel,2,regData,$C50),NA())</f>
        <v>#N/A</v>
      </c>
      <c r="AU50" s="30" t="e">
        <f>IF(AND($D50=1,(""&amp;loteAnalise)=(""&amp;loteCarregado),COUNTIFS(regAnalito,selAnalito,regNivel,2,regData,$C50,regRep2,"&lt;&gt;")&gt;0),SUMIFS(regRep2,regAnalito,selAnalito,regNivel,2,regData,$C50),NA())</f>
        <v>#N/A</v>
      </c>
      <c r="AV50" s="30" t="e">
        <f>IF(AND($D50=1,(""&amp;loteAnalise)=(""&amp;loteCarregado),COUNTIFS(regAnalito,selAnalito,regNivel,2,regData,$C50,regRep3,"&lt;&gt;")&gt;0),SUMIFS(regRep3,regAnalito,selAnalito,regNivel,2,regData,$C50),NA())</f>
        <v>#N/A</v>
      </c>
      <c r="AW50" s="30" t="e">
        <f>IF(AND($D50=1,COUNTIFS(regAnalito,selAnalito,regData,$C50,regCalib,"Sim")&gt;0),$BV$1,NA())</f>
        <v>#N/A</v>
      </c>
      <c r="AX50" s="30" t="str">
        <f>IF($B50="","",IF(INDEX(engValN3,$A50)="","",INDEX(engValN3,$A50)))</f>
        <v/>
      </c>
      <c r="AY50" s="30" t="str">
        <f t="shared" si="57"/>
        <v/>
      </c>
      <c r="AZ50" s="30" t="e">
        <f t="shared" si="58"/>
        <v>#N/A</v>
      </c>
      <c r="BA50" s="30" t="e">
        <f t="shared" si="59"/>
        <v>#N/A</v>
      </c>
      <c r="BB50" s="30" t="e">
        <f t="shared" si="60"/>
        <v>#N/A</v>
      </c>
      <c r="BC50" s="30">
        <f>IF($AX50="",0,IFERROR(INDEX(engDados,MATCH(selAnalito&amp;"|"&amp;$B50,engChave,0),17),0))</f>
        <v>0</v>
      </c>
      <c r="BD50" s="30">
        <f>IF($AX50="",0,IFERROR(INDEX(engDados,MATCH(selAnalito&amp;"|"&amp;$B50,engChave,0),18),0))</f>
        <v>0</v>
      </c>
      <c r="BE50" s="30">
        <f>IF($AX50="",0,IFERROR(INDEX(engDados,MATCH(selAnalito&amp;"|"&amp;$B50,engChave,0),19),0))</f>
        <v>0</v>
      </c>
      <c r="BF50" s="30">
        <f>IF($AX50="",0,IFERROR(INDEX(engDados,MATCH(selAnalito&amp;"|"&amp;$B50,engChave,0),20),0))</f>
        <v>0</v>
      </c>
      <c r="BG50" s="30">
        <f>IF($AX50="",0,IFERROR(INDEX(engDados,MATCH(selAnalito&amp;"|"&amp;$B50,engChave,0),21),0))</f>
        <v>0</v>
      </c>
      <c r="BH50" s="30" t="str">
        <f>IF($AX50="","",IFERROR(INDEX(engDados,MATCH(selAnalito&amp;"|"&amp;$B50,engChave,0),23),""))</f>
        <v/>
      </c>
      <c r="BI50" s="30" t="e">
        <f t="shared" si="61"/>
        <v>#N/A</v>
      </c>
      <c r="BJ50" s="30" t="e">
        <f t="shared" si="62"/>
        <v>#N/A</v>
      </c>
      <c r="BK50" s="30" t="e">
        <f t="shared" si="63"/>
        <v>#N/A</v>
      </c>
      <c r="BL50" s="30" t="e">
        <f t="shared" si="64"/>
        <v>#N/A</v>
      </c>
      <c r="BM50" s="30" t="e">
        <f t="shared" si="65"/>
        <v>#N/A</v>
      </c>
      <c r="BN50" s="30" t="e">
        <f t="shared" si="66"/>
        <v>#N/A</v>
      </c>
      <c r="BO50" s="30" t="e">
        <f t="shared" si="67"/>
        <v>#N/A</v>
      </c>
      <c r="BP50" s="30" t="e">
        <f>IF(AND($D50=1,(""&amp;loteAnalise)=(""&amp;loteCarregado),COUNTIFS(regAnalito,selAnalito,regNivel,3,regData,$C50,regRep1,"&lt;&gt;")&gt;0),SUMIFS(regRep1,regAnalito,selAnalito,regNivel,3,regData,$C50),NA())</f>
        <v>#N/A</v>
      </c>
      <c r="BQ50" s="30" t="e">
        <f>IF(AND($D50=1,(""&amp;loteAnalise)=(""&amp;loteCarregado),COUNTIFS(regAnalito,selAnalito,regNivel,3,regData,$C50,regRep2,"&lt;&gt;")&gt;0),SUMIFS(regRep2,regAnalito,selAnalito,regNivel,3,regData,$C50),NA())</f>
        <v>#N/A</v>
      </c>
      <c r="BR50" s="30" t="e">
        <f>IF(AND($D50=1,(""&amp;loteAnalise)=(""&amp;loteCarregado),COUNTIFS(regAnalito,selAnalito,regNivel,3,regData,$C50,regRep3,"&lt;&gt;")&gt;0),SUMIFS(regRep3,regAnalito,selAnalito,regNivel,3,regData,$C50),NA())</f>
        <v>#N/A</v>
      </c>
      <c r="BS50" s="30" t="e">
        <f>IF(AND($D50=1,COUNTIFS(regAnalito,selAnalito,regData,$C50,regCalib,"Sim")&gt;0),$BX$1,NA())</f>
        <v>#N/A</v>
      </c>
    </row>
    <row r="51" spans="1:71" x14ac:dyDescent="0.3">
      <c r="A51" s="30">
        <v>49</v>
      </c>
      <c r="B51" s="30" t="str">
        <f>IF(OR(selAnalito="",(""&amp;engAnalito)&lt;&gt;(""&amp;selAnalito),(""&amp;engLote)&lt;&gt;(""&amp;loteAnalise),$A51&gt;N(engNRun)),"",INDEX(engRUN,$A51))</f>
        <v/>
      </c>
      <c r="C51" s="43" t="str">
        <f>IF($B51="","",IF(INDEX(engData,$A51)="","",INDEX(engData,$A51)))</f>
        <v/>
      </c>
      <c r="D51" s="30">
        <f>IF($C51="",0,IF(AND(OR(filtroDe="",INT($C51)&gt;=INT(filtroDe)),OR(filtroAte="",INT($C51)&lt;=INT(filtroAte))),1,0))</f>
        <v>0</v>
      </c>
      <c r="E51" s="30" t="e">
        <f t="shared" si="34"/>
        <v>#N/A</v>
      </c>
      <c r="F51" s="30" t="str">
        <f>IF($B51="","",IF(INDEX(engValN1,$A51)="","",INDEX(engValN1,$A51)))</f>
        <v/>
      </c>
      <c r="G51" s="30" t="str">
        <f t="shared" si="35"/>
        <v/>
      </c>
      <c r="H51" s="30" t="e">
        <f t="shared" si="36"/>
        <v>#N/A</v>
      </c>
      <c r="I51" s="30" t="e">
        <f t="shared" si="37"/>
        <v>#N/A</v>
      </c>
      <c r="J51" s="30" t="e">
        <f t="shared" si="38"/>
        <v>#N/A</v>
      </c>
      <c r="K51" s="30">
        <f>IF($F51="",0,IFERROR(INDEX(engDados,MATCH(selAnalito&amp;"|"&amp;$B51,engChave,0),3),0))</f>
        <v>0</v>
      </c>
      <c r="L51" s="30">
        <f>IF($F51="",0,IFERROR(INDEX(engDados,MATCH(selAnalito&amp;"|"&amp;$B51,engChave,0),4),0))</f>
        <v>0</v>
      </c>
      <c r="M51" s="30">
        <f>IF($F51="",0,IFERROR(INDEX(engDados,MATCH(selAnalito&amp;"|"&amp;$B51,engChave,0),5),0))</f>
        <v>0</v>
      </c>
      <c r="N51" s="30">
        <f>IF($F51="",0,IFERROR(INDEX(engDados,MATCH(selAnalito&amp;"|"&amp;$B51,engChave,0),6),0))</f>
        <v>0</v>
      </c>
      <c r="O51" s="30">
        <f>IF($F51="",0,IFERROR(INDEX(engDados,MATCH(selAnalito&amp;"|"&amp;$B51,engChave,0),7),0))</f>
        <v>0</v>
      </c>
      <c r="P51" s="30" t="str">
        <f>IF($F51="","",IFERROR(INDEX(engDados,MATCH(selAnalito&amp;"|"&amp;$B51,engChave,0),9),""))</f>
        <v/>
      </c>
      <c r="Q51" s="30" t="e">
        <f t="shared" si="39"/>
        <v>#N/A</v>
      </c>
      <c r="R51" s="30" t="e">
        <f t="shared" si="40"/>
        <v>#N/A</v>
      </c>
      <c r="S51" s="30" t="e">
        <f t="shared" si="41"/>
        <v>#N/A</v>
      </c>
      <c r="T51" s="30" t="e">
        <f t="shared" si="42"/>
        <v>#N/A</v>
      </c>
      <c r="U51" s="30" t="e">
        <f t="shared" si="43"/>
        <v>#N/A</v>
      </c>
      <c r="V51" s="30" t="e">
        <f t="shared" si="44"/>
        <v>#N/A</v>
      </c>
      <c r="W51" s="30" t="e">
        <f t="shared" si="45"/>
        <v>#N/A</v>
      </c>
      <c r="X51" s="30" t="e">
        <f>IF(AND($D51=1,(""&amp;loteAnalise)=(""&amp;loteCarregado),COUNTIFS(regAnalito,selAnalito,regNivel,1,regData,$C51,regRep1,"&lt;&gt;")&gt;0),SUMIFS(regRep1,regAnalito,selAnalito,regNivel,1,regData,$C51),NA())</f>
        <v>#N/A</v>
      </c>
      <c r="Y51" s="30" t="e">
        <f>IF(AND($D51=1,(""&amp;loteAnalise)=(""&amp;loteCarregado),COUNTIFS(regAnalito,selAnalito,regNivel,1,regData,$C51,regRep2,"&lt;&gt;")&gt;0),SUMIFS(regRep2,regAnalito,selAnalito,regNivel,1,regData,$C51),NA())</f>
        <v>#N/A</v>
      </c>
      <c r="Z51" s="30" t="e">
        <f>IF(AND($D51=1,(""&amp;loteAnalise)=(""&amp;loteCarregado),COUNTIFS(regAnalito,selAnalito,regNivel,1,regData,$C51,regRep3,"&lt;&gt;")&gt;0),SUMIFS(regRep3,regAnalito,selAnalito,regNivel,1,regData,$C51),NA())</f>
        <v>#N/A</v>
      </c>
      <c r="AA51" s="30" t="e">
        <f>IF(AND($D51=1,COUNTIFS(regAnalito,selAnalito,regData,$C51,regCalib,"Sim")&gt;0),$BT$1,NA())</f>
        <v>#N/A</v>
      </c>
      <c r="AB51" s="30" t="str">
        <f>IF($B51="","",IF(INDEX(engValN2,$A51)="","",INDEX(engValN2,$A51)))</f>
        <v/>
      </c>
      <c r="AC51" s="30" t="str">
        <f t="shared" si="46"/>
        <v/>
      </c>
      <c r="AD51" s="30" t="e">
        <f t="shared" si="47"/>
        <v>#N/A</v>
      </c>
      <c r="AE51" s="30" t="e">
        <f t="shared" si="48"/>
        <v>#N/A</v>
      </c>
      <c r="AF51" s="30" t="e">
        <f t="shared" si="49"/>
        <v>#N/A</v>
      </c>
      <c r="AG51" s="30">
        <f>IF($AB51="",0,IFERROR(INDEX(engDados,MATCH(selAnalito&amp;"|"&amp;$B51,engChave,0),10),0))</f>
        <v>0</v>
      </c>
      <c r="AH51" s="30">
        <f>IF($AB51="",0,IFERROR(INDEX(engDados,MATCH(selAnalito&amp;"|"&amp;$B51,engChave,0),11),0))</f>
        <v>0</v>
      </c>
      <c r="AI51" s="30">
        <f>IF($AB51="",0,IFERROR(INDEX(engDados,MATCH(selAnalito&amp;"|"&amp;$B51,engChave,0),12),0))</f>
        <v>0</v>
      </c>
      <c r="AJ51" s="30">
        <f>IF($AB51="",0,IFERROR(INDEX(engDados,MATCH(selAnalito&amp;"|"&amp;$B51,engChave,0),13),0))</f>
        <v>0</v>
      </c>
      <c r="AK51" s="30">
        <f>IF($AB51="",0,IFERROR(INDEX(engDados,MATCH(selAnalito&amp;"|"&amp;$B51,engChave,0),14),0))</f>
        <v>0</v>
      </c>
      <c r="AL51" s="30" t="str">
        <f>IF($AB51="","",IFERROR(INDEX(engDados,MATCH(selAnalito&amp;"|"&amp;$B51,engChave,0),16),""))</f>
        <v/>
      </c>
      <c r="AM51" s="30" t="e">
        <f t="shared" si="50"/>
        <v>#N/A</v>
      </c>
      <c r="AN51" s="30" t="e">
        <f t="shared" si="51"/>
        <v>#N/A</v>
      </c>
      <c r="AO51" s="30" t="e">
        <f t="shared" si="52"/>
        <v>#N/A</v>
      </c>
      <c r="AP51" s="30" t="e">
        <f t="shared" si="53"/>
        <v>#N/A</v>
      </c>
      <c r="AQ51" s="30" t="e">
        <f t="shared" si="54"/>
        <v>#N/A</v>
      </c>
      <c r="AR51" s="30" t="e">
        <f t="shared" si="55"/>
        <v>#N/A</v>
      </c>
      <c r="AS51" s="30" t="e">
        <f t="shared" si="56"/>
        <v>#N/A</v>
      </c>
      <c r="AT51" s="30" t="e">
        <f>IF(AND($D51=1,(""&amp;loteAnalise)=(""&amp;loteCarregado),COUNTIFS(regAnalito,selAnalito,regNivel,2,regData,$C51,regRep1,"&lt;&gt;")&gt;0),SUMIFS(regRep1,regAnalito,selAnalito,regNivel,2,regData,$C51),NA())</f>
        <v>#N/A</v>
      </c>
      <c r="AU51" s="30" t="e">
        <f>IF(AND($D51=1,(""&amp;loteAnalise)=(""&amp;loteCarregado),COUNTIFS(regAnalito,selAnalito,regNivel,2,regData,$C51,regRep2,"&lt;&gt;")&gt;0),SUMIFS(regRep2,regAnalito,selAnalito,regNivel,2,regData,$C51),NA())</f>
        <v>#N/A</v>
      </c>
      <c r="AV51" s="30" t="e">
        <f>IF(AND($D51=1,(""&amp;loteAnalise)=(""&amp;loteCarregado),COUNTIFS(regAnalito,selAnalito,regNivel,2,regData,$C51,regRep3,"&lt;&gt;")&gt;0),SUMIFS(regRep3,regAnalito,selAnalito,regNivel,2,regData,$C51),NA())</f>
        <v>#N/A</v>
      </c>
      <c r="AW51" s="30" t="e">
        <f>IF(AND($D51=1,COUNTIFS(regAnalito,selAnalito,regData,$C51,regCalib,"Sim")&gt;0),$BV$1,NA())</f>
        <v>#N/A</v>
      </c>
      <c r="AX51" s="30" t="str">
        <f>IF($B51="","",IF(INDEX(engValN3,$A51)="","",INDEX(engValN3,$A51)))</f>
        <v/>
      </c>
      <c r="AY51" s="30" t="str">
        <f t="shared" si="57"/>
        <v/>
      </c>
      <c r="AZ51" s="30" t="e">
        <f t="shared" si="58"/>
        <v>#N/A</v>
      </c>
      <c r="BA51" s="30" t="e">
        <f t="shared" si="59"/>
        <v>#N/A</v>
      </c>
      <c r="BB51" s="30" t="e">
        <f t="shared" si="60"/>
        <v>#N/A</v>
      </c>
      <c r="BC51" s="30">
        <f>IF($AX51="",0,IFERROR(INDEX(engDados,MATCH(selAnalito&amp;"|"&amp;$B51,engChave,0),17),0))</f>
        <v>0</v>
      </c>
      <c r="BD51" s="30">
        <f>IF($AX51="",0,IFERROR(INDEX(engDados,MATCH(selAnalito&amp;"|"&amp;$B51,engChave,0),18),0))</f>
        <v>0</v>
      </c>
      <c r="BE51" s="30">
        <f>IF($AX51="",0,IFERROR(INDEX(engDados,MATCH(selAnalito&amp;"|"&amp;$B51,engChave,0),19),0))</f>
        <v>0</v>
      </c>
      <c r="BF51" s="30">
        <f>IF($AX51="",0,IFERROR(INDEX(engDados,MATCH(selAnalito&amp;"|"&amp;$B51,engChave,0),20),0))</f>
        <v>0</v>
      </c>
      <c r="BG51" s="30">
        <f>IF($AX51="",0,IFERROR(INDEX(engDados,MATCH(selAnalito&amp;"|"&amp;$B51,engChave,0),21),0))</f>
        <v>0</v>
      </c>
      <c r="BH51" s="30" t="str">
        <f>IF($AX51="","",IFERROR(INDEX(engDados,MATCH(selAnalito&amp;"|"&amp;$B51,engChave,0),23),""))</f>
        <v/>
      </c>
      <c r="BI51" s="30" t="e">
        <f t="shared" si="61"/>
        <v>#N/A</v>
      </c>
      <c r="BJ51" s="30" t="e">
        <f t="shared" si="62"/>
        <v>#N/A</v>
      </c>
      <c r="BK51" s="30" t="e">
        <f t="shared" si="63"/>
        <v>#N/A</v>
      </c>
      <c r="BL51" s="30" t="e">
        <f t="shared" si="64"/>
        <v>#N/A</v>
      </c>
      <c r="BM51" s="30" t="e">
        <f t="shared" si="65"/>
        <v>#N/A</v>
      </c>
      <c r="BN51" s="30" t="e">
        <f t="shared" si="66"/>
        <v>#N/A</v>
      </c>
      <c r="BO51" s="30" t="e">
        <f t="shared" si="67"/>
        <v>#N/A</v>
      </c>
      <c r="BP51" s="30" t="e">
        <f>IF(AND($D51=1,(""&amp;loteAnalise)=(""&amp;loteCarregado),COUNTIFS(regAnalito,selAnalito,regNivel,3,regData,$C51,regRep1,"&lt;&gt;")&gt;0),SUMIFS(regRep1,regAnalito,selAnalito,regNivel,3,regData,$C51),NA())</f>
        <v>#N/A</v>
      </c>
      <c r="BQ51" s="30" t="e">
        <f>IF(AND($D51=1,(""&amp;loteAnalise)=(""&amp;loteCarregado),COUNTIFS(regAnalito,selAnalito,regNivel,3,regData,$C51,regRep2,"&lt;&gt;")&gt;0),SUMIFS(regRep2,regAnalito,selAnalito,regNivel,3,regData,$C51),NA())</f>
        <v>#N/A</v>
      </c>
      <c r="BR51" s="30" t="e">
        <f>IF(AND($D51=1,(""&amp;loteAnalise)=(""&amp;loteCarregado),COUNTIFS(regAnalito,selAnalito,regNivel,3,regData,$C51,regRep3,"&lt;&gt;")&gt;0),SUMIFS(regRep3,regAnalito,selAnalito,regNivel,3,regData,$C51),NA())</f>
        <v>#N/A</v>
      </c>
      <c r="BS51" s="30" t="e">
        <f>IF(AND($D51=1,COUNTIFS(regAnalito,selAnalito,regData,$C51,regCalib,"Sim")&gt;0),$BX$1,NA())</f>
        <v>#N/A</v>
      </c>
    </row>
    <row r="52" spans="1:71" x14ac:dyDescent="0.3">
      <c r="A52" s="30">
        <v>50</v>
      </c>
      <c r="B52" s="30" t="str">
        <f>IF(OR(selAnalito="",(""&amp;engAnalito)&lt;&gt;(""&amp;selAnalito),(""&amp;engLote)&lt;&gt;(""&amp;loteAnalise),$A52&gt;N(engNRun)),"",INDEX(engRUN,$A52))</f>
        <v/>
      </c>
      <c r="C52" s="43" t="str">
        <f>IF($B52="","",IF(INDEX(engData,$A52)="","",INDEX(engData,$A52)))</f>
        <v/>
      </c>
      <c r="D52" s="30">
        <f>IF($C52="",0,IF(AND(OR(filtroDe="",INT($C52)&gt;=INT(filtroDe)),OR(filtroAte="",INT($C52)&lt;=INT(filtroAte))),1,0))</f>
        <v>0</v>
      </c>
      <c r="E52" s="30" t="e">
        <f t="shared" si="34"/>
        <v>#N/A</v>
      </c>
      <c r="F52" s="30" t="str">
        <f>IF($B52="","",IF(INDEX(engValN1,$A52)="","",INDEX(engValN1,$A52)))</f>
        <v/>
      </c>
      <c r="G52" s="30" t="str">
        <f t="shared" si="35"/>
        <v/>
      </c>
      <c r="H52" s="30" t="e">
        <f t="shared" si="36"/>
        <v>#N/A</v>
      </c>
      <c r="I52" s="30" t="e">
        <f t="shared" si="37"/>
        <v>#N/A</v>
      </c>
      <c r="J52" s="30" t="e">
        <f t="shared" si="38"/>
        <v>#N/A</v>
      </c>
      <c r="K52" s="30">
        <f>IF($F52="",0,IFERROR(INDEX(engDados,MATCH(selAnalito&amp;"|"&amp;$B52,engChave,0),3),0))</f>
        <v>0</v>
      </c>
      <c r="L52" s="30">
        <f>IF($F52="",0,IFERROR(INDEX(engDados,MATCH(selAnalito&amp;"|"&amp;$B52,engChave,0),4),0))</f>
        <v>0</v>
      </c>
      <c r="M52" s="30">
        <f>IF($F52="",0,IFERROR(INDEX(engDados,MATCH(selAnalito&amp;"|"&amp;$B52,engChave,0),5),0))</f>
        <v>0</v>
      </c>
      <c r="N52" s="30">
        <f>IF($F52="",0,IFERROR(INDEX(engDados,MATCH(selAnalito&amp;"|"&amp;$B52,engChave,0),6),0))</f>
        <v>0</v>
      </c>
      <c r="O52" s="30">
        <f>IF($F52="",0,IFERROR(INDEX(engDados,MATCH(selAnalito&amp;"|"&amp;$B52,engChave,0),7),0))</f>
        <v>0</v>
      </c>
      <c r="P52" s="30" t="str">
        <f>IF($F52="","",IFERROR(INDEX(engDados,MATCH(selAnalito&amp;"|"&amp;$B52,engChave,0),9),""))</f>
        <v/>
      </c>
      <c r="Q52" s="30" t="e">
        <f t="shared" si="39"/>
        <v>#N/A</v>
      </c>
      <c r="R52" s="30" t="e">
        <f t="shared" si="40"/>
        <v>#N/A</v>
      </c>
      <c r="S52" s="30" t="e">
        <f t="shared" si="41"/>
        <v>#N/A</v>
      </c>
      <c r="T52" s="30" t="e">
        <f t="shared" si="42"/>
        <v>#N/A</v>
      </c>
      <c r="U52" s="30" t="e">
        <f t="shared" si="43"/>
        <v>#N/A</v>
      </c>
      <c r="V52" s="30" t="e">
        <f t="shared" si="44"/>
        <v>#N/A</v>
      </c>
      <c r="W52" s="30" t="e">
        <f t="shared" si="45"/>
        <v>#N/A</v>
      </c>
      <c r="X52" s="30" t="e">
        <f>IF(AND($D52=1,(""&amp;loteAnalise)=(""&amp;loteCarregado),COUNTIFS(regAnalito,selAnalito,regNivel,1,regData,$C52,regRep1,"&lt;&gt;")&gt;0),SUMIFS(regRep1,regAnalito,selAnalito,regNivel,1,regData,$C52),NA())</f>
        <v>#N/A</v>
      </c>
      <c r="Y52" s="30" t="e">
        <f>IF(AND($D52=1,(""&amp;loteAnalise)=(""&amp;loteCarregado),COUNTIFS(regAnalito,selAnalito,regNivel,1,regData,$C52,regRep2,"&lt;&gt;")&gt;0),SUMIFS(regRep2,regAnalito,selAnalito,regNivel,1,regData,$C52),NA())</f>
        <v>#N/A</v>
      </c>
      <c r="Z52" s="30" t="e">
        <f>IF(AND($D52=1,(""&amp;loteAnalise)=(""&amp;loteCarregado),COUNTIFS(regAnalito,selAnalito,regNivel,1,regData,$C52,regRep3,"&lt;&gt;")&gt;0),SUMIFS(regRep3,regAnalito,selAnalito,regNivel,1,regData,$C52),NA())</f>
        <v>#N/A</v>
      </c>
      <c r="AA52" s="30" t="e">
        <f>IF(AND($D52=1,COUNTIFS(regAnalito,selAnalito,regData,$C52,regCalib,"Sim")&gt;0),$BT$1,NA())</f>
        <v>#N/A</v>
      </c>
      <c r="AB52" s="30" t="str">
        <f>IF($B52="","",IF(INDEX(engValN2,$A52)="","",INDEX(engValN2,$A52)))</f>
        <v/>
      </c>
      <c r="AC52" s="30" t="str">
        <f t="shared" si="46"/>
        <v/>
      </c>
      <c r="AD52" s="30" t="e">
        <f t="shared" si="47"/>
        <v>#N/A</v>
      </c>
      <c r="AE52" s="30" t="e">
        <f t="shared" si="48"/>
        <v>#N/A</v>
      </c>
      <c r="AF52" s="30" t="e">
        <f t="shared" si="49"/>
        <v>#N/A</v>
      </c>
      <c r="AG52" s="30">
        <f>IF($AB52="",0,IFERROR(INDEX(engDados,MATCH(selAnalito&amp;"|"&amp;$B52,engChave,0),10),0))</f>
        <v>0</v>
      </c>
      <c r="AH52" s="30">
        <f>IF($AB52="",0,IFERROR(INDEX(engDados,MATCH(selAnalito&amp;"|"&amp;$B52,engChave,0),11),0))</f>
        <v>0</v>
      </c>
      <c r="AI52" s="30">
        <f>IF($AB52="",0,IFERROR(INDEX(engDados,MATCH(selAnalito&amp;"|"&amp;$B52,engChave,0),12),0))</f>
        <v>0</v>
      </c>
      <c r="AJ52" s="30">
        <f>IF($AB52="",0,IFERROR(INDEX(engDados,MATCH(selAnalito&amp;"|"&amp;$B52,engChave,0),13),0))</f>
        <v>0</v>
      </c>
      <c r="AK52" s="30">
        <f>IF($AB52="",0,IFERROR(INDEX(engDados,MATCH(selAnalito&amp;"|"&amp;$B52,engChave,0),14),0))</f>
        <v>0</v>
      </c>
      <c r="AL52" s="30" t="str">
        <f>IF($AB52="","",IFERROR(INDEX(engDados,MATCH(selAnalito&amp;"|"&amp;$B52,engChave,0),16),""))</f>
        <v/>
      </c>
      <c r="AM52" s="30" t="e">
        <f t="shared" si="50"/>
        <v>#N/A</v>
      </c>
      <c r="AN52" s="30" t="e">
        <f t="shared" si="51"/>
        <v>#N/A</v>
      </c>
      <c r="AO52" s="30" t="e">
        <f t="shared" si="52"/>
        <v>#N/A</v>
      </c>
      <c r="AP52" s="30" t="e">
        <f t="shared" si="53"/>
        <v>#N/A</v>
      </c>
      <c r="AQ52" s="30" t="e">
        <f t="shared" si="54"/>
        <v>#N/A</v>
      </c>
      <c r="AR52" s="30" t="e">
        <f t="shared" si="55"/>
        <v>#N/A</v>
      </c>
      <c r="AS52" s="30" t="e">
        <f t="shared" si="56"/>
        <v>#N/A</v>
      </c>
      <c r="AT52" s="30" t="e">
        <f>IF(AND($D52=1,(""&amp;loteAnalise)=(""&amp;loteCarregado),COUNTIFS(regAnalito,selAnalito,regNivel,2,regData,$C52,regRep1,"&lt;&gt;")&gt;0),SUMIFS(regRep1,regAnalito,selAnalito,regNivel,2,regData,$C52),NA())</f>
        <v>#N/A</v>
      </c>
      <c r="AU52" s="30" t="e">
        <f>IF(AND($D52=1,(""&amp;loteAnalise)=(""&amp;loteCarregado),COUNTIFS(regAnalito,selAnalito,regNivel,2,regData,$C52,regRep2,"&lt;&gt;")&gt;0),SUMIFS(regRep2,regAnalito,selAnalito,regNivel,2,regData,$C52),NA())</f>
        <v>#N/A</v>
      </c>
      <c r="AV52" s="30" t="e">
        <f>IF(AND($D52=1,(""&amp;loteAnalise)=(""&amp;loteCarregado),COUNTIFS(regAnalito,selAnalito,regNivel,2,regData,$C52,regRep3,"&lt;&gt;")&gt;0),SUMIFS(regRep3,regAnalito,selAnalito,regNivel,2,regData,$C52),NA())</f>
        <v>#N/A</v>
      </c>
      <c r="AW52" s="30" t="e">
        <f>IF(AND($D52=1,COUNTIFS(regAnalito,selAnalito,regData,$C52,regCalib,"Sim")&gt;0),$BV$1,NA())</f>
        <v>#N/A</v>
      </c>
      <c r="AX52" s="30" t="str">
        <f>IF($B52="","",IF(INDEX(engValN3,$A52)="","",INDEX(engValN3,$A52)))</f>
        <v/>
      </c>
      <c r="AY52" s="30" t="str">
        <f t="shared" si="57"/>
        <v/>
      </c>
      <c r="AZ52" s="30" t="e">
        <f t="shared" si="58"/>
        <v>#N/A</v>
      </c>
      <c r="BA52" s="30" t="e">
        <f t="shared" si="59"/>
        <v>#N/A</v>
      </c>
      <c r="BB52" s="30" t="e">
        <f t="shared" si="60"/>
        <v>#N/A</v>
      </c>
      <c r="BC52" s="30">
        <f>IF($AX52="",0,IFERROR(INDEX(engDados,MATCH(selAnalito&amp;"|"&amp;$B52,engChave,0),17),0))</f>
        <v>0</v>
      </c>
      <c r="BD52" s="30">
        <f>IF($AX52="",0,IFERROR(INDEX(engDados,MATCH(selAnalito&amp;"|"&amp;$B52,engChave,0),18),0))</f>
        <v>0</v>
      </c>
      <c r="BE52" s="30">
        <f>IF($AX52="",0,IFERROR(INDEX(engDados,MATCH(selAnalito&amp;"|"&amp;$B52,engChave,0),19),0))</f>
        <v>0</v>
      </c>
      <c r="BF52" s="30">
        <f>IF($AX52="",0,IFERROR(INDEX(engDados,MATCH(selAnalito&amp;"|"&amp;$B52,engChave,0),20),0))</f>
        <v>0</v>
      </c>
      <c r="BG52" s="30">
        <f>IF($AX52="",0,IFERROR(INDEX(engDados,MATCH(selAnalito&amp;"|"&amp;$B52,engChave,0),21),0))</f>
        <v>0</v>
      </c>
      <c r="BH52" s="30" t="str">
        <f>IF($AX52="","",IFERROR(INDEX(engDados,MATCH(selAnalito&amp;"|"&amp;$B52,engChave,0),23),""))</f>
        <v/>
      </c>
      <c r="BI52" s="30" t="e">
        <f t="shared" si="61"/>
        <v>#N/A</v>
      </c>
      <c r="BJ52" s="30" t="e">
        <f t="shared" si="62"/>
        <v>#N/A</v>
      </c>
      <c r="BK52" s="30" t="e">
        <f t="shared" si="63"/>
        <v>#N/A</v>
      </c>
      <c r="BL52" s="30" t="e">
        <f t="shared" si="64"/>
        <v>#N/A</v>
      </c>
      <c r="BM52" s="30" t="e">
        <f t="shared" si="65"/>
        <v>#N/A</v>
      </c>
      <c r="BN52" s="30" t="e">
        <f t="shared" si="66"/>
        <v>#N/A</v>
      </c>
      <c r="BO52" s="30" t="e">
        <f t="shared" si="67"/>
        <v>#N/A</v>
      </c>
      <c r="BP52" s="30" t="e">
        <f>IF(AND($D52=1,(""&amp;loteAnalise)=(""&amp;loteCarregado),COUNTIFS(regAnalito,selAnalito,regNivel,3,regData,$C52,regRep1,"&lt;&gt;")&gt;0),SUMIFS(regRep1,regAnalito,selAnalito,regNivel,3,regData,$C52),NA())</f>
        <v>#N/A</v>
      </c>
      <c r="BQ52" s="30" t="e">
        <f>IF(AND($D52=1,(""&amp;loteAnalise)=(""&amp;loteCarregado),COUNTIFS(regAnalito,selAnalito,regNivel,3,regData,$C52,regRep2,"&lt;&gt;")&gt;0),SUMIFS(regRep2,regAnalito,selAnalito,regNivel,3,regData,$C52),NA())</f>
        <v>#N/A</v>
      </c>
      <c r="BR52" s="30" t="e">
        <f>IF(AND($D52=1,(""&amp;loteAnalise)=(""&amp;loteCarregado),COUNTIFS(regAnalito,selAnalito,regNivel,3,regData,$C52,regRep3,"&lt;&gt;")&gt;0),SUMIFS(regRep3,regAnalito,selAnalito,regNivel,3,regData,$C52),NA())</f>
        <v>#N/A</v>
      </c>
      <c r="BS52" s="30" t="e">
        <f>IF(AND($D52=1,COUNTIFS(regAnalito,selAnalito,regData,$C52,regCalib,"Sim")&gt;0),$BX$1,NA())</f>
        <v>#N/A</v>
      </c>
    </row>
    <row r="53" spans="1:71" x14ac:dyDescent="0.3">
      <c r="A53" s="30">
        <v>51</v>
      </c>
      <c r="B53" s="30" t="str">
        <f>IF(OR(selAnalito="",(""&amp;engAnalito)&lt;&gt;(""&amp;selAnalito),(""&amp;engLote)&lt;&gt;(""&amp;loteAnalise),$A53&gt;N(engNRun)),"",INDEX(engRUN,$A53))</f>
        <v/>
      </c>
      <c r="C53" s="43" t="str">
        <f>IF($B53="","",IF(INDEX(engData,$A53)="","",INDEX(engData,$A53)))</f>
        <v/>
      </c>
      <c r="D53" s="30">
        <f>IF($C53="",0,IF(AND(OR(filtroDe="",INT($C53)&gt;=INT(filtroDe)),OR(filtroAte="",INT($C53)&lt;=INT(filtroAte))),1,0))</f>
        <v>0</v>
      </c>
      <c r="E53" s="30" t="e">
        <f t="shared" si="34"/>
        <v>#N/A</v>
      </c>
      <c r="F53" s="30" t="str">
        <f>IF($B53="","",IF(INDEX(engValN1,$A53)="","",INDEX(engValN1,$A53)))</f>
        <v/>
      </c>
      <c r="G53" s="30" t="str">
        <f t="shared" si="35"/>
        <v/>
      </c>
      <c r="H53" s="30" t="e">
        <f t="shared" si="36"/>
        <v>#N/A</v>
      </c>
      <c r="I53" s="30" t="e">
        <f t="shared" si="37"/>
        <v>#N/A</v>
      </c>
      <c r="J53" s="30" t="e">
        <f t="shared" si="38"/>
        <v>#N/A</v>
      </c>
      <c r="K53" s="30">
        <f>IF($F53="",0,IFERROR(INDEX(engDados,MATCH(selAnalito&amp;"|"&amp;$B53,engChave,0),3),0))</f>
        <v>0</v>
      </c>
      <c r="L53" s="30">
        <f>IF($F53="",0,IFERROR(INDEX(engDados,MATCH(selAnalito&amp;"|"&amp;$B53,engChave,0),4),0))</f>
        <v>0</v>
      </c>
      <c r="M53" s="30">
        <f>IF($F53="",0,IFERROR(INDEX(engDados,MATCH(selAnalito&amp;"|"&amp;$B53,engChave,0),5),0))</f>
        <v>0</v>
      </c>
      <c r="N53" s="30">
        <f>IF($F53="",0,IFERROR(INDEX(engDados,MATCH(selAnalito&amp;"|"&amp;$B53,engChave,0),6),0))</f>
        <v>0</v>
      </c>
      <c r="O53" s="30">
        <f>IF($F53="",0,IFERROR(INDEX(engDados,MATCH(selAnalito&amp;"|"&amp;$B53,engChave,0),7),0))</f>
        <v>0</v>
      </c>
      <c r="P53" s="30" t="str">
        <f>IF($F53="","",IFERROR(INDEX(engDados,MATCH(selAnalito&amp;"|"&amp;$B53,engChave,0),9),""))</f>
        <v/>
      </c>
      <c r="Q53" s="30" t="e">
        <f t="shared" si="39"/>
        <v>#N/A</v>
      </c>
      <c r="R53" s="30" t="e">
        <f t="shared" si="40"/>
        <v>#N/A</v>
      </c>
      <c r="S53" s="30" t="e">
        <f t="shared" si="41"/>
        <v>#N/A</v>
      </c>
      <c r="T53" s="30" t="e">
        <f t="shared" si="42"/>
        <v>#N/A</v>
      </c>
      <c r="U53" s="30" t="e">
        <f t="shared" si="43"/>
        <v>#N/A</v>
      </c>
      <c r="V53" s="30" t="e">
        <f t="shared" si="44"/>
        <v>#N/A</v>
      </c>
      <c r="W53" s="30" t="e">
        <f t="shared" si="45"/>
        <v>#N/A</v>
      </c>
      <c r="X53" s="30" t="e">
        <f>IF(AND($D53=1,(""&amp;loteAnalise)=(""&amp;loteCarregado),COUNTIFS(regAnalito,selAnalito,regNivel,1,regData,$C53,regRep1,"&lt;&gt;")&gt;0),SUMIFS(regRep1,regAnalito,selAnalito,regNivel,1,regData,$C53),NA())</f>
        <v>#N/A</v>
      </c>
      <c r="Y53" s="30" t="e">
        <f>IF(AND($D53=1,(""&amp;loteAnalise)=(""&amp;loteCarregado),COUNTIFS(regAnalito,selAnalito,regNivel,1,regData,$C53,regRep2,"&lt;&gt;")&gt;0),SUMIFS(regRep2,regAnalito,selAnalito,regNivel,1,regData,$C53),NA())</f>
        <v>#N/A</v>
      </c>
      <c r="Z53" s="30" t="e">
        <f>IF(AND($D53=1,(""&amp;loteAnalise)=(""&amp;loteCarregado),COUNTIFS(regAnalito,selAnalito,regNivel,1,regData,$C53,regRep3,"&lt;&gt;")&gt;0),SUMIFS(regRep3,regAnalito,selAnalito,regNivel,1,regData,$C53),NA())</f>
        <v>#N/A</v>
      </c>
      <c r="AA53" s="30" t="e">
        <f>IF(AND($D53=1,COUNTIFS(regAnalito,selAnalito,regData,$C53,regCalib,"Sim")&gt;0),$BT$1,NA())</f>
        <v>#N/A</v>
      </c>
      <c r="AB53" s="30" t="str">
        <f>IF($B53="","",IF(INDEX(engValN2,$A53)="","",INDEX(engValN2,$A53)))</f>
        <v/>
      </c>
      <c r="AC53" s="30" t="str">
        <f t="shared" si="46"/>
        <v/>
      </c>
      <c r="AD53" s="30" t="e">
        <f t="shared" si="47"/>
        <v>#N/A</v>
      </c>
      <c r="AE53" s="30" t="e">
        <f t="shared" si="48"/>
        <v>#N/A</v>
      </c>
      <c r="AF53" s="30" t="e">
        <f t="shared" si="49"/>
        <v>#N/A</v>
      </c>
      <c r="AG53" s="30">
        <f>IF($AB53="",0,IFERROR(INDEX(engDados,MATCH(selAnalito&amp;"|"&amp;$B53,engChave,0),10),0))</f>
        <v>0</v>
      </c>
      <c r="AH53" s="30">
        <f>IF($AB53="",0,IFERROR(INDEX(engDados,MATCH(selAnalito&amp;"|"&amp;$B53,engChave,0),11),0))</f>
        <v>0</v>
      </c>
      <c r="AI53" s="30">
        <f>IF($AB53="",0,IFERROR(INDEX(engDados,MATCH(selAnalito&amp;"|"&amp;$B53,engChave,0),12),0))</f>
        <v>0</v>
      </c>
      <c r="AJ53" s="30">
        <f>IF($AB53="",0,IFERROR(INDEX(engDados,MATCH(selAnalito&amp;"|"&amp;$B53,engChave,0),13),0))</f>
        <v>0</v>
      </c>
      <c r="AK53" s="30">
        <f>IF($AB53="",0,IFERROR(INDEX(engDados,MATCH(selAnalito&amp;"|"&amp;$B53,engChave,0),14),0))</f>
        <v>0</v>
      </c>
      <c r="AL53" s="30" t="str">
        <f>IF($AB53="","",IFERROR(INDEX(engDados,MATCH(selAnalito&amp;"|"&amp;$B53,engChave,0),16),""))</f>
        <v/>
      </c>
      <c r="AM53" s="30" t="e">
        <f t="shared" si="50"/>
        <v>#N/A</v>
      </c>
      <c r="AN53" s="30" t="e">
        <f t="shared" si="51"/>
        <v>#N/A</v>
      </c>
      <c r="AO53" s="30" t="e">
        <f t="shared" si="52"/>
        <v>#N/A</v>
      </c>
      <c r="AP53" s="30" t="e">
        <f t="shared" si="53"/>
        <v>#N/A</v>
      </c>
      <c r="AQ53" s="30" t="e">
        <f t="shared" si="54"/>
        <v>#N/A</v>
      </c>
      <c r="AR53" s="30" t="e">
        <f t="shared" si="55"/>
        <v>#N/A</v>
      </c>
      <c r="AS53" s="30" t="e">
        <f t="shared" si="56"/>
        <v>#N/A</v>
      </c>
      <c r="AT53" s="30" t="e">
        <f>IF(AND($D53=1,(""&amp;loteAnalise)=(""&amp;loteCarregado),COUNTIFS(regAnalito,selAnalito,regNivel,2,regData,$C53,regRep1,"&lt;&gt;")&gt;0),SUMIFS(regRep1,regAnalito,selAnalito,regNivel,2,regData,$C53),NA())</f>
        <v>#N/A</v>
      </c>
      <c r="AU53" s="30" t="e">
        <f>IF(AND($D53=1,(""&amp;loteAnalise)=(""&amp;loteCarregado),COUNTIFS(regAnalito,selAnalito,regNivel,2,regData,$C53,regRep2,"&lt;&gt;")&gt;0),SUMIFS(regRep2,regAnalito,selAnalito,regNivel,2,regData,$C53),NA())</f>
        <v>#N/A</v>
      </c>
      <c r="AV53" s="30" t="e">
        <f>IF(AND($D53=1,(""&amp;loteAnalise)=(""&amp;loteCarregado),COUNTIFS(regAnalito,selAnalito,regNivel,2,regData,$C53,regRep3,"&lt;&gt;")&gt;0),SUMIFS(regRep3,regAnalito,selAnalito,regNivel,2,regData,$C53),NA())</f>
        <v>#N/A</v>
      </c>
      <c r="AW53" s="30" t="e">
        <f>IF(AND($D53=1,COUNTIFS(regAnalito,selAnalito,regData,$C53,regCalib,"Sim")&gt;0),$BV$1,NA())</f>
        <v>#N/A</v>
      </c>
      <c r="AX53" s="30" t="str">
        <f>IF($B53="","",IF(INDEX(engValN3,$A53)="","",INDEX(engValN3,$A53)))</f>
        <v/>
      </c>
      <c r="AY53" s="30" t="str">
        <f t="shared" si="57"/>
        <v/>
      </c>
      <c r="AZ53" s="30" t="e">
        <f t="shared" si="58"/>
        <v>#N/A</v>
      </c>
      <c r="BA53" s="30" t="e">
        <f t="shared" si="59"/>
        <v>#N/A</v>
      </c>
      <c r="BB53" s="30" t="e">
        <f t="shared" si="60"/>
        <v>#N/A</v>
      </c>
      <c r="BC53" s="30">
        <f>IF($AX53="",0,IFERROR(INDEX(engDados,MATCH(selAnalito&amp;"|"&amp;$B53,engChave,0),17),0))</f>
        <v>0</v>
      </c>
      <c r="BD53" s="30">
        <f>IF($AX53="",0,IFERROR(INDEX(engDados,MATCH(selAnalito&amp;"|"&amp;$B53,engChave,0),18),0))</f>
        <v>0</v>
      </c>
      <c r="BE53" s="30">
        <f>IF($AX53="",0,IFERROR(INDEX(engDados,MATCH(selAnalito&amp;"|"&amp;$B53,engChave,0),19),0))</f>
        <v>0</v>
      </c>
      <c r="BF53" s="30">
        <f>IF($AX53="",0,IFERROR(INDEX(engDados,MATCH(selAnalito&amp;"|"&amp;$B53,engChave,0),20),0))</f>
        <v>0</v>
      </c>
      <c r="BG53" s="30">
        <f>IF($AX53="",0,IFERROR(INDEX(engDados,MATCH(selAnalito&amp;"|"&amp;$B53,engChave,0),21),0))</f>
        <v>0</v>
      </c>
      <c r="BH53" s="30" t="str">
        <f>IF($AX53="","",IFERROR(INDEX(engDados,MATCH(selAnalito&amp;"|"&amp;$B53,engChave,0),23),""))</f>
        <v/>
      </c>
      <c r="BI53" s="30" t="e">
        <f t="shared" si="61"/>
        <v>#N/A</v>
      </c>
      <c r="BJ53" s="30" t="e">
        <f t="shared" si="62"/>
        <v>#N/A</v>
      </c>
      <c r="BK53" s="30" t="e">
        <f t="shared" si="63"/>
        <v>#N/A</v>
      </c>
      <c r="BL53" s="30" t="e">
        <f t="shared" si="64"/>
        <v>#N/A</v>
      </c>
      <c r="BM53" s="30" t="e">
        <f t="shared" si="65"/>
        <v>#N/A</v>
      </c>
      <c r="BN53" s="30" t="e">
        <f t="shared" si="66"/>
        <v>#N/A</v>
      </c>
      <c r="BO53" s="30" t="e">
        <f t="shared" si="67"/>
        <v>#N/A</v>
      </c>
      <c r="BP53" s="30" t="e">
        <f>IF(AND($D53=1,(""&amp;loteAnalise)=(""&amp;loteCarregado),COUNTIFS(regAnalito,selAnalito,regNivel,3,regData,$C53,regRep1,"&lt;&gt;")&gt;0),SUMIFS(regRep1,regAnalito,selAnalito,regNivel,3,regData,$C53),NA())</f>
        <v>#N/A</v>
      </c>
      <c r="BQ53" s="30" t="e">
        <f>IF(AND($D53=1,(""&amp;loteAnalise)=(""&amp;loteCarregado),COUNTIFS(regAnalito,selAnalito,regNivel,3,regData,$C53,regRep2,"&lt;&gt;")&gt;0),SUMIFS(regRep2,regAnalito,selAnalito,regNivel,3,regData,$C53),NA())</f>
        <v>#N/A</v>
      </c>
      <c r="BR53" s="30" t="e">
        <f>IF(AND($D53=1,(""&amp;loteAnalise)=(""&amp;loteCarregado),COUNTIFS(regAnalito,selAnalito,regNivel,3,regData,$C53,regRep3,"&lt;&gt;")&gt;0),SUMIFS(regRep3,regAnalito,selAnalito,regNivel,3,regData,$C53),NA())</f>
        <v>#N/A</v>
      </c>
      <c r="BS53" s="30" t="e">
        <f>IF(AND($D53=1,COUNTIFS(regAnalito,selAnalito,regData,$C53,regCalib,"Sim")&gt;0),$BX$1,NA())</f>
        <v>#N/A</v>
      </c>
    </row>
    <row r="54" spans="1:71" x14ac:dyDescent="0.3">
      <c r="A54" s="30">
        <v>52</v>
      </c>
      <c r="B54" s="30" t="str">
        <f>IF(OR(selAnalito="",(""&amp;engAnalito)&lt;&gt;(""&amp;selAnalito),(""&amp;engLote)&lt;&gt;(""&amp;loteAnalise),$A54&gt;N(engNRun)),"",INDEX(engRUN,$A54))</f>
        <v/>
      </c>
      <c r="C54" s="43" t="str">
        <f>IF($B54="","",IF(INDEX(engData,$A54)="","",INDEX(engData,$A54)))</f>
        <v/>
      </c>
      <c r="D54" s="30">
        <f>IF($C54="",0,IF(AND(OR(filtroDe="",INT($C54)&gt;=INT(filtroDe)),OR(filtroAte="",INT($C54)&lt;=INT(filtroAte))),1,0))</f>
        <v>0</v>
      </c>
      <c r="E54" s="30" t="e">
        <f t="shared" si="34"/>
        <v>#N/A</v>
      </c>
      <c r="F54" s="30" t="str">
        <f>IF($B54="","",IF(INDEX(engValN1,$A54)="","",INDEX(engValN1,$A54)))</f>
        <v/>
      </c>
      <c r="G54" s="30" t="str">
        <f t="shared" si="35"/>
        <v/>
      </c>
      <c r="H54" s="30" t="e">
        <f t="shared" si="36"/>
        <v>#N/A</v>
      </c>
      <c r="I54" s="30" t="e">
        <f t="shared" si="37"/>
        <v>#N/A</v>
      </c>
      <c r="J54" s="30" t="e">
        <f t="shared" si="38"/>
        <v>#N/A</v>
      </c>
      <c r="K54" s="30">
        <f>IF($F54="",0,IFERROR(INDEX(engDados,MATCH(selAnalito&amp;"|"&amp;$B54,engChave,0),3),0))</f>
        <v>0</v>
      </c>
      <c r="L54" s="30">
        <f>IF($F54="",0,IFERROR(INDEX(engDados,MATCH(selAnalito&amp;"|"&amp;$B54,engChave,0),4),0))</f>
        <v>0</v>
      </c>
      <c r="M54" s="30">
        <f>IF($F54="",0,IFERROR(INDEX(engDados,MATCH(selAnalito&amp;"|"&amp;$B54,engChave,0),5),0))</f>
        <v>0</v>
      </c>
      <c r="N54" s="30">
        <f>IF($F54="",0,IFERROR(INDEX(engDados,MATCH(selAnalito&amp;"|"&amp;$B54,engChave,0),6),0))</f>
        <v>0</v>
      </c>
      <c r="O54" s="30">
        <f>IF($F54="",0,IFERROR(INDEX(engDados,MATCH(selAnalito&amp;"|"&amp;$B54,engChave,0),7),0))</f>
        <v>0</v>
      </c>
      <c r="P54" s="30" t="str">
        <f>IF($F54="","",IFERROR(INDEX(engDados,MATCH(selAnalito&amp;"|"&amp;$B54,engChave,0),9),""))</f>
        <v/>
      </c>
      <c r="Q54" s="30" t="e">
        <f t="shared" si="39"/>
        <v>#N/A</v>
      </c>
      <c r="R54" s="30" t="e">
        <f t="shared" si="40"/>
        <v>#N/A</v>
      </c>
      <c r="S54" s="30" t="e">
        <f t="shared" si="41"/>
        <v>#N/A</v>
      </c>
      <c r="T54" s="30" t="e">
        <f t="shared" si="42"/>
        <v>#N/A</v>
      </c>
      <c r="U54" s="30" t="e">
        <f t="shared" si="43"/>
        <v>#N/A</v>
      </c>
      <c r="V54" s="30" t="e">
        <f t="shared" si="44"/>
        <v>#N/A</v>
      </c>
      <c r="W54" s="30" t="e">
        <f t="shared" si="45"/>
        <v>#N/A</v>
      </c>
      <c r="X54" s="30" t="e">
        <f>IF(AND($D54=1,(""&amp;loteAnalise)=(""&amp;loteCarregado),COUNTIFS(regAnalito,selAnalito,regNivel,1,regData,$C54,regRep1,"&lt;&gt;")&gt;0),SUMIFS(regRep1,regAnalito,selAnalito,regNivel,1,regData,$C54),NA())</f>
        <v>#N/A</v>
      </c>
      <c r="Y54" s="30" t="e">
        <f>IF(AND($D54=1,(""&amp;loteAnalise)=(""&amp;loteCarregado),COUNTIFS(regAnalito,selAnalito,regNivel,1,regData,$C54,regRep2,"&lt;&gt;")&gt;0),SUMIFS(regRep2,regAnalito,selAnalito,regNivel,1,regData,$C54),NA())</f>
        <v>#N/A</v>
      </c>
      <c r="Z54" s="30" t="e">
        <f>IF(AND($D54=1,(""&amp;loteAnalise)=(""&amp;loteCarregado),COUNTIFS(regAnalito,selAnalito,regNivel,1,regData,$C54,regRep3,"&lt;&gt;")&gt;0),SUMIFS(regRep3,regAnalito,selAnalito,regNivel,1,regData,$C54),NA())</f>
        <v>#N/A</v>
      </c>
      <c r="AA54" s="30" t="e">
        <f>IF(AND($D54=1,COUNTIFS(regAnalito,selAnalito,regData,$C54,regCalib,"Sim")&gt;0),$BT$1,NA())</f>
        <v>#N/A</v>
      </c>
      <c r="AB54" s="30" t="str">
        <f>IF($B54="","",IF(INDEX(engValN2,$A54)="","",INDEX(engValN2,$A54)))</f>
        <v/>
      </c>
      <c r="AC54" s="30" t="str">
        <f t="shared" si="46"/>
        <v/>
      </c>
      <c r="AD54" s="30" t="e">
        <f t="shared" si="47"/>
        <v>#N/A</v>
      </c>
      <c r="AE54" s="30" t="e">
        <f t="shared" si="48"/>
        <v>#N/A</v>
      </c>
      <c r="AF54" s="30" t="e">
        <f t="shared" si="49"/>
        <v>#N/A</v>
      </c>
      <c r="AG54" s="30">
        <f>IF($AB54="",0,IFERROR(INDEX(engDados,MATCH(selAnalito&amp;"|"&amp;$B54,engChave,0),10),0))</f>
        <v>0</v>
      </c>
      <c r="AH54" s="30">
        <f>IF($AB54="",0,IFERROR(INDEX(engDados,MATCH(selAnalito&amp;"|"&amp;$B54,engChave,0),11),0))</f>
        <v>0</v>
      </c>
      <c r="AI54" s="30">
        <f>IF($AB54="",0,IFERROR(INDEX(engDados,MATCH(selAnalito&amp;"|"&amp;$B54,engChave,0),12),0))</f>
        <v>0</v>
      </c>
      <c r="AJ54" s="30">
        <f>IF($AB54="",0,IFERROR(INDEX(engDados,MATCH(selAnalito&amp;"|"&amp;$B54,engChave,0),13),0))</f>
        <v>0</v>
      </c>
      <c r="AK54" s="30">
        <f>IF($AB54="",0,IFERROR(INDEX(engDados,MATCH(selAnalito&amp;"|"&amp;$B54,engChave,0),14),0))</f>
        <v>0</v>
      </c>
      <c r="AL54" s="30" t="str">
        <f>IF($AB54="","",IFERROR(INDEX(engDados,MATCH(selAnalito&amp;"|"&amp;$B54,engChave,0),16),""))</f>
        <v/>
      </c>
      <c r="AM54" s="30" t="e">
        <f t="shared" si="50"/>
        <v>#N/A</v>
      </c>
      <c r="AN54" s="30" t="e">
        <f t="shared" si="51"/>
        <v>#N/A</v>
      </c>
      <c r="AO54" s="30" t="e">
        <f t="shared" si="52"/>
        <v>#N/A</v>
      </c>
      <c r="AP54" s="30" t="e">
        <f t="shared" si="53"/>
        <v>#N/A</v>
      </c>
      <c r="AQ54" s="30" t="e">
        <f t="shared" si="54"/>
        <v>#N/A</v>
      </c>
      <c r="AR54" s="30" t="e">
        <f t="shared" si="55"/>
        <v>#N/A</v>
      </c>
      <c r="AS54" s="30" t="e">
        <f t="shared" si="56"/>
        <v>#N/A</v>
      </c>
      <c r="AT54" s="30" t="e">
        <f>IF(AND($D54=1,(""&amp;loteAnalise)=(""&amp;loteCarregado),COUNTIFS(regAnalito,selAnalito,regNivel,2,regData,$C54,regRep1,"&lt;&gt;")&gt;0),SUMIFS(regRep1,regAnalito,selAnalito,regNivel,2,regData,$C54),NA())</f>
        <v>#N/A</v>
      </c>
      <c r="AU54" s="30" t="e">
        <f>IF(AND($D54=1,(""&amp;loteAnalise)=(""&amp;loteCarregado),COUNTIFS(regAnalito,selAnalito,regNivel,2,regData,$C54,regRep2,"&lt;&gt;")&gt;0),SUMIFS(regRep2,regAnalito,selAnalito,regNivel,2,regData,$C54),NA())</f>
        <v>#N/A</v>
      </c>
      <c r="AV54" s="30" t="e">
        <f>IF(AND($D54=1,(""&amp;loteAnalise)=(""&amp;loteCarregado),COUNTIFS(regAnalito,selAnalito,regNivel,2,regData,$C54,regRep3,"&lt;&gt;")&gt;0),SUMIFS(regRep3,regAnalito,selAnalito,regNivel,2,regData,$C54),NA())</f>
        <v>#N/A</v>
      </c>
      <c r="AW54" s="30" t="e">
        <f>IF(AND($D54=1,COUNTIFS(regAnalito,selAnalito,regData,$C54,regCalib,"Sim")&gt;0),$BV$1,NA())</f>
        <v>#N/A</v>
      </c>
      <c r="AX54" s="30" t="str">
        <f>IF($B54="","",IF(INDEX(engValN3,$A54)="","",INDEX(engValN3,$A54)))</f>
        <v/>
      </c>
      <c r="AY54" s="30" t="str">
        <f t="shared" si="57"/>
        <v/>
      </c>
      <c r="AZ54" s="30" t="e">
        <f t="shared" si="58"/>
        <v>#N/A</v>
      </c>
      <c r="BA54" s="30" t="e">
        <f t="shared" si="59"/>
        <v>#N/A</v>
      </c>
      <c r="BB54" s="30" t="e">
        <f t="shared" si="60"/>
        <v>#N/A</v>
      </c>
      <c r="BC54" s="30">
        <f>IF($AX54="",0,IFERROR(INDEX(engDados,MATCH(selAnalito&amp;"|"&amp;$B54,engChave,0),17),0))</f>
        <v>0</v>
      </c>
      <c r="BD54" s="30">
        <f>IF($AX54="",0,IFERROR(INDEX(engDados,MATCH(selAnalito&amp;"|"&amp;$B54,engChave,0),18),0))</f>
        <v>0</v>
      </c>
      <c r="BE54" s="30">
        <f>IF($AX54="",0,IFERROR(INDEX(engDados,MATCH(selAnalito&amp;"|"&amp;$B54,engChave,0),19),0))</f>
        <v>0</v>
      </c>
      <c r="BF54" s="30">
        <f>IF($AX54="",0,IFERROR(INDEX(engDados,MATCH(selAnalito&amp;"|"&amp;$B54,engChave,0),20),0))</f>
        <v>0</v>
      </c>
      <c r="BG54" s="30">
        <f>IF($AX54="",0,IFERROR(INDEX(engDados,MATCH(selAnalito&amp;"|"&amp;$B54,engChave,0),21),0))</f>
        <v>0</v>
      </c>
      <c r="BH54" s="30" t="str">
        <f>IF($AX54="","",IFERROR(INDEX(engDados,MATCH(selAnalito&amp;"|"&amp;$B54,engChave,0),23),""))</f>
        <v/>
      </c>
      <c r="BI54" s="30" t="e">
        <f t="shared" si="61"/>
        <v>#N/A</v>
      </c>
      <c r="BJ54" s="30" t="e">
        <f t="shared" si="62"/>
        <v>#N/A</v>
      </c>
      <c r="BK54" s="30" t="e">
        <f t="shared" si="63"/>
        <v>#N/A</v>
      </c>
      <c r="BL54" s="30" t="e">
        <f t="shared" si="64"/>
        <v>#N/A</v>
      </c>
      <c r="BM54" s="30" t="e">
        <f t="shared" si="65"/>
        <v>#N/A</v>
      </c>
      <c r="BN54" s="30" t="e">
        <f t="shared" si="66"/>
        <v>#N/A</v>
      </c>
      <c r="BO54" s="30" t="e">
        <f t="shared" si="67"/>
        <v>#N/A</v>
      </c>
      <c r="BP54" s="30" t="e">
        <f>IF(AND($D54=1,(""&amp;loteAnalise)=(""&amp;loteCarregado),COUNTIFS(regAnalito,selAnalito,regNivel,3,regData,$C54,regRep1,"&lt;&gt;")&gt;0),SUMIFS(regRep1,regAnalito,selAnalito,regNivel,3,regData,$C54),NA())</f>
        <v>#N/A</v>
      </c>
      <c r="BQ54" s="30" t="e">
        <f>IF(AND($D54=1,(""&amp;loteAnalise)=(""&amp;loteCarregado),COUNTIFS(regAnalito,selAnalito,regNivel,3,regData,$C54,regRep2,"&lt;&gt;")&gt;0),SUMIFS(regRep2,regAnalito,selAnalito,regNivel,3,regData,$C54),NA())</f>
        <v>#N/A</v>
      </c>
      <c r="BR54" s="30" t="e">
        <f>IF(AND($D54=1,(""&amp;loteAnalise)=(""&amp;loteCarregado),COUNTIFS(regAnalito,selAnalito,regNivel,3,regData,$C54,regRep3,"&lt;&gt;")&gt;0),SUMIFS(regRep3,regAnalito,selAnalito,regNivel,3,regData,$C54),NA())</f>
        <v>#N/A</v>
      </c>
      <c r="BS54" s="30" t="e">
        <f>IF(AND($D54=1,COUNTIFS(regAnalito,selAnalito,regData,$C54,regCalib,"Sim")&gt;0),$BX$1,NA())</f>
        <v>#N/A</v>
      </c>
    </row>
    <row r="55" spans="1:71" x14ac:dyDescent="0.3">
      <c r="A55" s="30">
        <v>53</v>
      </c>
      <c r="B55" s="30" t="str">
        <f>IF(OR(selAnalito="",(""&amp;engAnalito)&lt;&gt;(""&amp;selAnalito),(""&amp;engLote)&lt;&gt;(""&amp;loteAnalise),$A55&gt;N(engNRun)),"",INDEX(engRUN,$A55))</f>
        <v/>
      </c>
      <c r="C55" s="43" t="str">
        <f>IF($B55="","",IF(INDEX(engData,$A55)="","",INDEX(engData,$A55)))</f>
        <v/>
      </c>
      <c r="D55" s="30">
        <f>IF($C55="",0,IF(AND(OR(filtroDe="",INT($C55)&gt;=INT(filtroDe)),OR(filtroAte="",INT($C55)&lt;=INT(filtroAte))),1,0))</f>
        <v>0</v>
      </c>
      <c r="E55" s="30" t="e">
        <f t="shared" si="34"/>
        <v>#N/A</v>
      </c>
      <c r="F55" s="30" t="str">
        <f>IF($B55="","",IF(INDEX(engValN1,$A55)="","",INDEX(engValN1,$A55)))</f>
        <v/>
      </c>
      <c r="G55" s="30" t="str">
        <f t="shared" si="35"/>
        <v/>
      </c>
      <c r="H55" s="30" t="e">
        <f t="shared" si="36"/>
        <v>#N/A</v>
      </c>
      <c r="I55" s="30" t="e">
        <f t="shared" si="37"/>
        <v>#N/A</v>
      </c>
      <c r="J55" s="30" t="e">
        <f t="shared" si="38"/>
        <v>#N/A</v>
      </c>
      <c r="K55" s="30">
        <f>IF($F55="",0,IFERROR(INDEX(engDados,MATCH(selAnalito&amp;"|"&amp;$B55,engChave,0),3),0))</f>
        <v>0</v>
      </c>
      <c r="L55" s="30">
        <f>IF($F55="",0,IFERROR(INDEX(engDados,MATCH(selAnalito&amp;"|"&amp;$B55,engChave,0),4),0))</f>
        <v>0</v>
      </c>
      <c r="M55" s="30">
        <f>IF($F55="",0,IFERROR(INDEX(engDados,MATCH(selAnalito&amp;"|"&amp;$B55,engChave,0),5),0))</f>
        <v>0</v>
      </c>
      <c r="N55" s="30">
        <f>IF($F55="",0,IFERROR(INDEX(engDados,MATCH(selAnalito&amp;"|"&amp;$B55,engChave,0),6),0))</f>
        <v>0</v>
      </c>
      <c r="O55" s="30">
        <f>IF($F55="",0,IFERROR(INDEX(engDados,MATCH(selAnalito&amp;"|"&amp;$B55,engChave,0),7),0))</f>
        <v>0</v>
      </c>
      <c r="P55" s="30" t="str">
        <f>IF($F55="","",IFERROR(INDEX(engDados,MATCH(selAnalito&amp;"|"&amp;$B55,engChave,0),9),""))</f>
        <v/>
      </c>
      <c r="Q55" s="30" t="e">
        <f t="shared" si="39"/>
        <v>#N/A</v>
      </c>
      <c r="R55" s="30" t="e">
        <f t="shared" si="40"/>
        <v>#N/A</v>
      </c>
      <c r="S55" s="30" t="e">
        <f t="shared" si="41"/>
        <v>#N/A</v>
      </c>
      <c r="T55" s="30" t="e">
        <f t="shared" si="42"/>
        <v>#N/A</v>
      </c>
      <c r="U55" s="30" t="e">
        <f t="shared" si="43"/>
        <v>#N/A</v>
      </c>
      <c r="V55" s="30" t="e">
        <f t="shared" si="44"/>
        <v>#N/A</v>
      </c>
      <c r="W55" s="30" t="e">
        <f t="shared" si="45"/>
        <v>#N/A</v>
      </c>
      <c r="X55" s="30" t="e">
        <f>IF(AND($D55=1,(""&amp;loteAnalise)=(""&amp;loteCarregado),COUNTIFS(regAnalito,selAnalito,regNivel,1,regData,$C55,regRep1,"&lt;&gt;")&gt;0),SUMIFS(regRep1,regAnalito,selAnalito,regNivel,1,regData,$C55),NA())</f>
        <v>#N/A</v>
      </c>
      <c r="Y55" s="30" t="e">
        <f>IF(AND($D55=1,(""&amp;loteAnalise)=(""&amp;loteCarregado),COUNTIFS(regAnalito,selAnalito,regNivel,1,regData,$C55,regRep2,"&lt;&gt;")&gt;0),SUMIFS(regRep2,regAnalito,selAnalito,regNivel,1,regData,$C55),NA())</f>
        <v>#N/A</v>
      </c>
      <c r="Z55" s="30" t="e">
        <f>IF(AND($D55=1,(""&amp;loteAnalise)=(""&amp;loteCarregado),COUNTIFS(regAnalito,selAnalito,regNivel,1,regData,$C55,regRep3,"&lt;&gt;")&gt;0),SUMIFS(regRep3,regAnalito,selAnalito,regNivel,1,regData,$C55),NA())</f>
        <v>#N/A</v>
      </c>
      <c r="AA55" s="30" t="e">
        <f>IF(AND($D55=1,COUNTIFS(regAnalito,selAnalito,regData,$C55,regCalib,"Sim")&gt;0),$BT$1,NA())</f>
        <v>#N/A</v>
      </c>
      <c r="AB55" s="30" t="str">
        <f>IF($B55="","",IF(INDEX(engValN2,$A55)="","",INDEX(engValN2,$A55)))</f>
        <v/>
      </c>
      <c r="AC55" s="30" t="str">
        <f t="shared" si="46"/>
        <v/>
      </c>
      <c r="AD55" s="30" t="e">
        <f t="shared" si="47"/>
        <v>#N/A</v>
      </c>
      <c r="AE55" s="30" t="e">
        <f t="shared" si="48"/>
        <v>#N/A</v>
      </c>
      <c r="AF55" s="30" t="e">
        <f t="shared" si="49"/>
        <v>#N/A</v>
      </c>
      <c r="AG55" s="30">
        <f>IF($AB55="",0,IFERROR(INDEX(engDados,MATCH(selAnalito&amp;"|"&amp;$B55,engChave,0),10),0))</f>
        <v>0</v>
      </c>
      <c r="AH55" s="30">
        <f>IF($AB55="",0,IFERROR(INDEX(engDados,MATCH(selAnalito&amp;"|"&amp;$B55,engChave,0),11),0))</f>
        <v>0</v>
      </c>
      <c r="AI55" s="30">
        <f>IF($AB55="",0,IFERROR(INDEX(engDados,MATCH(selAnalito&amp;"|"&amp;$B55,engChave,0),12),0))</f>
        <v>0</v>
      </c>
      <c r="AJ55" s="30">
        <f>IF($AB55="",0,IFERROR(INDEX(engDados,MATCH(selAnalito&amp;"|"&amp;$B55,engChave,0),13),0))</f>
        <v>0</v>
      </c>
      <c r="AK55" s="30">
        <f>IF($AB55="",0,IFERROR(INDEX(engDados,MATCH(selAnalito&amp;"|"&amp;$B55,engChave,0),14),0))</f>
        <v>0</v>
      </c>
      <c r="AL55" s="30" t="str">
        <f>IF($AB55="","",IFERROR(INDEX(engDados,MATCH(selAnalito&amp;"|"&amp;$B55,engChave,0),16),""))</f>
        <v/>
      </c>
      <c r="AM55" s="30" t="e">
        <f t="shared" si="50"/>
        <v>#N/A</v>
      </c>
      <c r="AN55" s="30" t="e">
        <f t="shared" si="51"/>
        <v>#N/A</v>
      </c>
      <c r="AO55" s="30" t="e">
        <f t="shared" si="52"/>
        <v>#N/A</v>
      </c>
      <c r="AP55" s="30" t="e">
        <f t="shared" si="53"/>
        <v>#N/A</v>
      </c>
      <c r="AQ55" s="30" t="e">
        <f t="shared" si="54"/>
        <v>#N/A</v>
      </c>
      <c r="AR55" s="30" t="e">
        <f t="shared" si="55"/>
        <v>#N/A</v>
      </c>
      <c r="AS55" s="30" t="e">
        <f t="shared" si="56"/>
        <v>#N/A</v>
      </c>
      <c r="AT55" s="30" t="e">
        <f>IF(AND($D55=1,(""&amp;loteAnalise)=(""&amp;loteCarregado),COUNTIFS(regAnalito,selAnalito,regNivel,2,regData,$C55,regRep1,"&lt;&gt;")&gt;0),SUMIFS(regRep1,regAnalito,selAnalito,regNivel,2,regData,$C55),NA())</f>
        <v>#N/A</v>
      </c>
      <c r="AU55" s="30" t="e">
        <f>IF(AND($D55=1,(""&amp;loteAnalise)=(""&amp;loteCarregado),COUNTIFS(regAnalito,selAnalito,regNivel,2,regData,$C55,regRep2,"&lt;&gt;")&gt;0),SUMIFS(regRep2,regAnalito,selAnalito,regNivel,2,regData,$C55),NA())</f>
        <v>#N/A</v>
      </c>
      <c r="AV55" s="30" t="e">
        <f>IF(AND($D55=1,(""&amp;loteAnalise)=(""&amp;loteCarregado),COUNTIFS(regAnalito,selAnalito,regNivel,2,regData,$C55,regRep3,"&lt;&gt;")&gt;0),SUMIFS(regRep3,regAnalito,selAnalito,regNivel,2,regData,$C55),NA())</f>
        <v>#N/A</v>
      </c>
      <c r="AW55" s="30" t="e">
        <f>IF(AND($D55=1,COUNTIFS(regAnalito,selAnalito,regData,$C55,regCalib,"Sim")&gt;0),$BV$1,NA())</f>
        <v>#N/A</v>
      </c>
      <c r="AX55" s="30" t="str">
        <f>IF($B55="","",IF(INDEX(engValN3,$A55)="","",INDEX(engValN3,$A55)))</f>
        <v/>
      </c>
      <c r="AY55" s="30" t="str">
        <f t="shared" si="57"/>
        <v/>
      </c>
      <c r="AZ55" s="30" t="e">
        <f t="shared" si="58"/>
        <v>#N/A</v>
      </c>
      <c r="BA55" s="30" t="e">
        <f t="shared" si="59"/>
        <v>#N/A</v>
      </c>
      <c r="BB55" s="30" t="e">
        <f t="shared" si="60"/>
        <v>#N/A</v>
      </c>
      <c r="BC55" s="30">
        <f>IF($AX55="",0,IFERROR(INDEX(engDados,MATCH(selAnalito&amp;"|"&amp;$B55,engChave,0),17),0))</f>
        <v>0</v>
      </c>
      <c r="BD55" s="30">
        <f>IF($AX55="",0,IFERROR(INDEX(engDados,MATCH(selAnalito&amp;"|"&amp;$B55,engChave,0),18),0))</f>
        <v>0</v>
      </c>
      <c r="BE55" s="30">
        <f>IF($AX55="",0,IFERROR(INDEX(engDados,MATCH(selAnalito&amp;"|"&amp;$B55,engChave,0),19),0))</f>
        <v>0</v>
      </c>
      <c r="BF55" s="30">
        <f>IF($AX55="",0,IFERROR(INDEX(engDados,MATCH(selAnalito&amp;"|"&amp;$B55,engChave,0),20),0))</f>
        <v>0</v>
      </c>
      <c r="BG55" s="30">
        <f>IF($AX55="",0,IFERROR(INDEX(engDados,MATCH(selAnalito&amp;"|"&amp;$B55,engChave,0),21),0))</f>
        <v>0</v>
      </c>
      <c r="BH55" s="30" t="str">
        <f>IF($AX55="","",IFERROR(INDEX(engDados,MATCH(selAnalito&amp;"|"&amp;$B55,engChave,0),23),""))</f>
        <v/>
      </c>
      <c r="BI55" s="30" t="e">
        <f t="shared" si="61"/>
        <v>#N/A</v>
      </c>
      <c r="BJ55" s="30" t="e">
        <f t="shared" si="62"/>
        <v>#N/A</v>
      </c>
      <c r="BK55" s="30" t="e">
        <f t="shared" si="63"/>
        <v>#N/A</v>
      </c>
      <c r="BL55" s="30" t="e">
        <f t="shared" si="64"/>
        <v>#N/A</v>
      </c>
      <c r="BM55" s="30" t="e">
        <f t="shared" si="65"/>
        <v>#N/A</v>
      </c>
      <c r="BN55" s="30" t="e">
        <f t="shared" si="66"/>
        <v>#N/A</v>
      </c>
      <c r="BO55" s="30" t="e">
        <f t="shared" si="67"/>
        <v>#N/A</v>
      </c>
      <c r="BP55" s="30" t="e">
        <f>IF(AND($D55=1,(""&amp;loteAnalise)=(""&amp;loteCarregado),COUNTIFS(regAnalito,selAnalito,regNivel,3,regData,$C55,regRep1,"&lt;&gt;")&gt;0),SUMIFS(regRep1,regAnalito,selAnalito,regNivel,3,regData,$C55),NA())</f>
        <v>#N/A</v>
      </c>
      <c r="BQ55" s="30" t="e">
        <f>IF(AND($D55=1,(""&amp;loteAnalise)=(""&amp;loteCarregado),COUNTIFS(regAnalito,selAnalito,regNivel,3,regData,$C55,regRep2,"&lt;&gt;")&gt;0),SUMIFS(regRep2,regAnalito,selAnalito,regNivel,3,regData,$C55),NA())</f>
        <v>#N/A</v>
      </c>
      <c r="BR55" s="30" t="e">
        <f>IF(AND($D55=1,(""&amp;loteAnalise)=(""&amp;loteCarregado),COUNTIFS(regAnalito,selAnalito,regNivel,3,regData,$C55,regRep3,"&lt;&gt;")&gt;0),SUMIFS(regRep3,regAnalito,selAnalito,regNivel,3,regData,$C55),NA())</f>
        <v>#N/A</v>
      </c>
      <c r="BS55" s="30" t="e">
        <f>IF(AND($D55=1,COUNTIFS(regAnalito,selAnalito,regData,$C55,regCalib,"Sim")&gt;0),$BX$1,NA())</f>
        <v>#N/A</v>
      </c>
    </row>
    <row r="56" spans="1:71" x14ac:dyDescent="0.3">
      <c r="A56" s="30">
        <v>54</v>
      </c>
      <c r="B56" s="30" t="str">
        <f>IF(OR(selAnalito="",(""&amp;engAnalito)&lt;&gt;(""&amp;selAnalito),(""&amp;engLote)&lt;&gt;(""&amp;loteAnalise),$A56&gt;N(engNRun)),"",INDEX(engRUN,$A56))</f>
        <v/>
      </c>
      <c r="C56" s="43" t="str">
        <f>IF($B56="","",IF(INDEX(engData,$A56)="","",INDEX(engData,$A56)))</f>
        <v/>
      </c>
      <c r="D56" s="30">
        <f>IF($C56="",0,IF(AND(OR(filtroDe="",INT($C56)&gt;=INT(filtroDe)),OR(filtroAte="",INT($C56)&lt;=INT(filtroAte))),1,0))</f>
        <v>0</v>
      </c>
      <c r="E56" s="30" t="e">
        <f t="shared" si="34"/>
        <v>#N/A</v>
      </c>
      <c r="F56" s="30" t="str">
        <f>IF($B56="","",IF(INDEX(engValN1,$A56)="","",INDEX(engValN1,$A56)))</f>
        <v/>
      </c>
      <c r="G56" s="30" t="str">
        <f t="shared" si="35"/>
        <v/>
      </c>
      <c r="H56" s="30" t="e">
        <f t="shared" si="36"/>
        <v>#N/A</v>
      </c>
      <c r="I56" s="30" t="e">
        <f t="shared" si="37"/>
        <v>#N/A</v>
      </c>
      <c r="J56" s="30" t="e">
        <f t="shared" si="38"/>
        <v>#N/A</v>
      </c>
      <c r="K56" s="30">
        <f>IF($F56="",0,IFERROR(INDEX(engDados,MATCH(selAnalito&amp;"|"&amp;$B56,engChave,0),3),0))</f>
        <v>0</v>
      </c>
      <c r="L56" s="30">
        <f>IF($F56="",0,IFERROR(INDEX(engDados,MATCH(selAnalito&amp;"|"&amp;$B56,engChave,0),4),0))</f>
        <v>0</v>
      </c>
      <c r="M56" s="30">
        <f>IF($F56="",0,IFERROR(INDEX(engDados,MATCH(selAnalito&amp;"|"&amp;$B56,engChave,0),5),0))</f>
        <v>0</v>
      </c>
      <c r="N56" s="30">
        <f>IF($F56="",0,IFERROR(INDEX(engDados,MATCH(selAnalito&amp;"|"&amp;$B56,engChave,0),6),0))</f>
        <v>0</v>
      </c>
      <c r="O56" s="30">
        <f>IF($F56="",0,IFERROR(INDEX(engDados,MATCH(selAnalito&amp;"|"&amp;$B56,engChave,0),7),0))</f>
        <v>0</v>
      </c>
      <c r="P56" s="30" t="str">
        <f>IF($F56="","",IFERROR(INDEX(engDados,MATCH(selAnalito&amp;"|"&amp;$B56,engChave,0),9),""))</f>
        <v/>
      </c>
      <c r="Q56" s="30" t="e">
        <f t="shared" si="39"/>
        <v>#N/A</v>
      </c>
      <c r="R56" s="30" t="e">
        <f t="shared" si="40"/>
        <v>#N/A</v>
      </c>
      <c r="S56" s="30" t="e">
        <f t="shared" si="41"/>
        <v>#N/A</v>
      </c>
      <c r="T56" s="30" t="e">
        <f t="shared" si="42"/>
        <v>#N/A</v>
      </c>
      <c r="U56" s="30" t="e">
        <f t="shared" si="43"/>
        <v>#N/A</v>
      </c>
      <c r="V56" s="30" t="e">
        <f t="shared" si="44"/>
        <v>#N/A</v>
      </c>
      <c r="W56" s="30" t="e">
        <f t="shared" si="45"/>
        <v>#N/A</v>
      </c>
      <c r="X56" s="30" t="e">
        <f>IF(AND($D56=1,(""&amp;loteAnalise)=(""&amp;loteCarregado),COUNTIFS(regAnalito,selAnalito,regNivel,1,regData,$C56,regRep1,"&lt;&gt;")&gt;0),SUMIFS(regRep1,regAnalito,selAnalito,regNivel,1,regData,$C56),NA())</f>
        <v>#N/A</v>
      </c>
      <c r="Y56" s="30" t="e">
        <f>IF(AND($D56=1,(""&amp;loteAnalise)=(""&amp;loteCarregado),COUNTIFS(regAnalito,selAnalito,regNivel,1,regData,$C56,regRep2,"&lt;&gt;")&gt;0),SUMIFS(regRep2,regAnalito,selAnalito,regNivel,1,regData,$C56),NA())</f>
        <v>#N/A</v>
      </c>
      <c r="Z56" s="30" t="e">
        <f>IF(AND($D56=1,(""&amp;loteAnalise)=(""&amp;loteCarregado),COUNTIFS(regAnalito,selAnalito,regNivel,1,regData,$C56,regRep3,"&lt;&gt;")&gt;0),SUMIFS(regRep3,regAnalito,selAnalito,regNivel,1,regData,$C56),NA())</f>
        <v>#N/A</v>
      </c>
      <c r="AA56" s="30" t="e">
        <f>IF(AND($D56=1,COUNTIFS(regAnalito,selAnalito,regData,$C56,regCalib,"Sim")&gt;0),$BT$1,NA())</f>
        <v>#N/A</v>
      </c>
      <c r="AB56" s="30" t="str">
        <f>IF($B56="","",IF(INDEX(engValN2,$A56)="","",INDEX(engValN2,$A56)))</f>
        <v/>
      </c>
      <c r="AC56" s="30" t="str">
        <f t="shared" si="46"/>
        <v/>
      </c>
      <c r="AD56" s="30" t="e">
        <f t="shared" si="47"/>
        <v>#N/A</v>
      </c>
      <c r="AE56" s="30" t="e">
        <f t="shared" si="48"/>
        <v>#N/A</v>
      </c>
      <c r="AF56" s="30" t="e">
        <f t="shared" si="49"/>
        <v>#N/A</v>
      </c>
      <c r="AG56" s="30">
        <f>IF($AB56="",0,IFERROR(INDEX(engDados,MATCH(selAnalito&amp;"|"&amp;$B56,engChave,0),10),0))</f>
        <v>0</v>
      </c>
      <c r="AH56" s="30">
        <f>IF($AB56="",0,IFERROR(INDEX(engDados,MATCH(selAnalito&amp;"|"&amp;$B56,engChave,0),11),0))</f>
        <v>0</v>
      </c>
      <c r="AI56" s="30">
        <f>IF($AB56="",0,IFERROR(INDEX(engDados,MATCH(selAnalito&amp;"|"&amp;$B56,engChave,0),12),0))</f>
        <v>0</v>
      </c>
      <c r="AJ56" s="30">
        <f>IF($AB56="",0,IFERROR(INDEX(engDados,MATCH(selAnalito&amp;"|"&amp;$B56,engChave,0),13),0))</f>
        <v>0</v>
      </c>
      <c r="AK56" s="30">
        <f>IF($AB56="",0,IFERROR(INDEX(engDados,MATCH(selAnalito&amp;"|"&amp;$B56,engChave,0),14),0))</f>
        <v>0</v>
      </c>
      <c r="AL56" s="30" t="str">
        <f>IF($AB56="","",IFERROR(INDEX(engDados,MATCH(selAnalito&amp;"|"&amp;$B56,engChave,0),16),""))</f>
        <v/>
      </c>
      <c r="AM56" s="30" t="e">
        <f t="shared" si="50"/>
        <v>#N/A</v>
      </c>
      <c r="AN56" s="30" t="e">
        <f t="shared" si="51"/>
        <v>#N/A</v>
      </c>
      <c r="AO56" s="30" t="e">
        <f t="shared" si="52"/>
        <v>#N/A</v>
      </c>
      <c r="AP56" s="30" t="e">
        <f t="shared" si="53"/>
        <v>#N/A</v>
      </c>
      <c r="AQ56" s="30" t="e">
        <f t="shared" si="54"/>
        <v>#N/A</v>
      </c>
      <c r="AR56" s="30" t="e">
        <f t="shared" si="55"/>
        <v>#N/A</v>
      </c>
      <c r="AS56" s="30" t="e">
        <f t="shared" si="56"/>
        <v>#N/A</v>
      </c>
      <c r="AT56" s="30" t="e">
        <f>IF(AND($D56=1,(""&amp;loteAnalise)=(""&amp;loteCarregado),COUNTIFS(regAnalito,selAnalito,regNivel,2,regData,$C56,regRep1,"&lt;&gt;")&gt;0),SUMIFS(regRep1,regAnalito,selAnalito,regNivel,2,regData,$C56),NA())</f>
        <v>#N/A</v>
      </c>
      <c r="AU56" s="30" t="e">
        <f>IF(AND($D56=1,(""&amp;loteAnalise)=(""&amp;loteCarregado),COUNTIFS(regAnalito,selAnalito,regNivel,2,regData,$C56,regRep2,"&lt;&gt;")&gt;0),SUMIFS(regRep2,regAnalito,selAnalito,regNivel,2,regData,$C56),NA())</f>
        <v>#N/A</v>
      </c>
      <c r="AV56" s="30" t="e">
        <f>IF(AND($D56=1,(""&amp;loteAnalise)=(""&amp;loteCarregado),COUNTIFS(regAnalito,selAnalito,regNivel,2,regData,$C56,regRep3,"&lt;&gt;")&gt;0),SUMIFS(regRep3,regAnalito,selAnalito,regNivel,2,regData,$C56),NA())</f>
        <v>#N/A</v>
      </c>
      <c r="AW56" s="30" t="e">
        <f>IF(AND($D56=1,COUNTIFS(regAnalito,selAnalito,regData,$C56,regCalib,"Sim")&gt;0),$BV$1,NA())</f>
        <v>#N/A</v>
      </c>
      <c r="AX56" s="30" t="str">
        <f>IF($B56="","",IF(INDEX(engValN3,$A56)="","",INDEX(engValN3,$A56)))</f>
        <v/>
      </c>
      <c r="AY56" s="30" t="str">
        <f t="shared" si="57"/>
        <v/>
      </c>
      <c r="AZ56" s="30" t="e">
        <f t="shared" si="58"/>
        <v>#N/A</v>
      </c>
      <c r="BA56" s="30" t="e">
        <f t="shared" si="59"/>
        <v>#N/A</v>
      </c>
      <c r="BB56" s="30" t="e">
        <f t="shared" si="60"/>
        <v>#N/A</v>
      </c>
      <c r="BC56" s="30">
        <f>IF($AX56="",0,IFERROR(INDEX(engDados,MATCH(selAnalito&amp;"|"&amp;$B56,engChave,0),17),0))</f>
        <v>0</v>
      </c>
      <c r="BD56" s="30">
        <f>IF($AX56="",0,IFERROR(INDEX(engDados,MATCH(selAnalito&amp;"|"&amp;$B56,engChave,0),18),0))</f>
        <v>0</v>
      </c>
      <c r="BE56" s="30">
        <f>IF($AX56="",0,IFERROR(INDEX(engDados,MATCH(selAnalito&amp;"|"&amp;$B56,engChave,0),19),0))</f>
        <v>0</v>
      </c>
      <c r="BF56" s="30">
        <f>IF($AX56="",0,IFERROR(INDEX(engDados,MATCH(selAnalito&amp;"|"&amp;$B56,engChave,0),20),0))</f>
        <v>0</v>
      </c>
      <c r="BG56" s="30">
        <f>IF($AX56="",0,IFERROR(INDEX(engDados,MATCH(selAnalito&amp;"|"&amp;$B56,engChave,0),21),0))</f>
        <v>0</v>
      </c>
      <c r="BH56" s="30" t="str">
        <f>IF($AX56="","",IFERROR(INDEX(engDados,MATCH(selAnalito&amp;"|"&amp;$B56,engChave,0),23),""))</f>
        <v/>
      </c>
      <c r="BI56" s="30" t="e">
        <f t="shared" si="61"/>
        <v>#N/A</v>
      </c>
      <c r="BJ56" s="30" t="e">
        <f t="shared" si="62"/>
        <v>#N/A</v>
      </c>
      <c r="BK56" s="30" t="e">
        <f t="shared" si="63"/>
        <v>#N/A</v>
      </c>
      <c r="BL56" s="30" t="e">
        <f t="shared" si="64"/>
        <v>#N/A</v>
      </c>
      <c r="BM56" s="30" t="e">
        <f t="shared" si="65"/>
        <v>#N/A</v>
      </c>
      <c r="BN56" s="30" t="e">
        <f t="shared" si="66"/>
        <v>#N/A</v>
      </c>
      <c r="BO56" s="30" t="e">
        <f t="shared" si="67"/>
        <v>#N/A</v>
      </c>
      <c r="BP56" s="30" t="e">
        <f>IF(AND($D56=1,(""&amp;loteAnalise)=(""&amp;loteCarregado),COUNTIFS(regAnalito,selAnalito,regNivel,3,regData,$C56,regRep1,"&lt;&gt;")&gt;0),SUMIFS(regRep1,regAnalito,selAnalito,regNivel,3,regData,$C56),NA())</f>
        <v>#N/A</v>
      </c>
      <c r="BQ56" s="30" t="e">
        <f>IF(AND($D56=1,(""&amp;loteAnalise)=(""&amp;loteCarregado),COUNTIFS(regAnalito,selAnalito,regNivel,3,regData,$C56,regRep2,"&lt;&gt;")&gt;0),SUMIFS(regRep2,regAnalito,selAnalito,regNivel,3,regData,$C56),NA())</f>
        <v>#N/A</v>
      </c>
      <c r="BR56" s="30" t="e">
        <f>IF(AND($D56=1,(""&amp;loteAnalise)=(""&amp;loteCarregado),COUNTIFS(regAnalito,selAnalito,regNivel,3,regData,$C56,regRep3,"&lt;&gt;")&gt;0),SUMIFS(regRep3,regAnalito,selAnalito,regNivel,3,regData,$C56),NA())</f>
        <v>#N/A</v>
      </c>
      <c r="BS56" s="30" t="e">
        <f>IF(AND($D56=1,COUNTIFS(regAnalito,selAnalito,regData,$C56,regCalib,"Sim")&gt;0),$BX$1,NA())</f>
        <v>#N/A</v>
      </c>
    </row>
    <row r="57" spans="1:71" x14ac:dyDescent="0.3">
      <c r="A57" s="30">
        <v>55</v>
      </c>
      <c r="B57" s="30" t="str">
        <f>IF(OR(selAnalito="",(""&amp;engAnalito)&lt;&gt;(""&amp;selAnalito),(""&amp;engLote)&lt;&gt;(""&amp;loteAnalise),$A57&gt;N(engNRun)),"",INDEX(engRUN,$A57))</f>
        <v/>
      </c>
      <c r="C57" s="43" t="str">
        <f>IF($B57="","",IF(INDEX(engData,$A57)="","",INDEX(engData,$A57)))</f>
        <v/>
      </c>
      <c r="D57" s="30">
        <f>IF($C57="",0,IF(AND(OR(filtroDe="",INT($C57)&gt;=INT(filtroDe)),OR(filtroAte="",INT($C57)&lt;=INT(filtroAte))),1,0))</f>
        <v>0</v>
      </c>
      <c r="E57" s="30" t="e">
        <f t="shared" si="34"/>
        <v>#N/A</v>
      </c>
      <c r="F57" s="30" t="str">
        <f>IF($B57="","",IF(INDEX(engValN1,$A57)="","",INDEX(engValN1,$A57)))</f>
        <v/>
      </c>
      <c r="G57" s="30" t="str">
        <f t="shared" si="35"/>
        <v/>
      </c>
      <c r="H57" s="30" t="e">
        <f t="shared" si="36"/>
        <v>#N/A</v>
      </c>
      <c r="I57" s="30" t="e">
        <f t="shared" si="37"/>
        <v>#N/A</v>
      </c>
      <c r="J57" s="30" t="e">
        <f t="shared" si="38"/>
        <v>#N/A</v>
      </c>
      <c r="K57" s="30">
        <f>IF($F57="",0,IFERROR(INDEX(engDados,MATCH(selAnalito&amp;"|"&amp;$B57,engChave,0),3),0))</f>
        <v>0</v>
      </c>
      <c r="L57" s="30">
        <f>IF($F57="",0,IFERROR(INDEX(engDados,MATCH(selAnalito&amp;"|"&amp;$B57,engChave,0),4),0))</f>
        <v>0</v>
      </c>
      <c r="M57" s="30">
        <f>IF($F57="",0,IFERROR(INDEX(engDados,MATCH(selAnalito&amp;"|"&amp;$B57,engChave,0),5),0))</f>
        <v>0</v>
      </c>
      <c r="N57" s="30">
        <f>IF($F57="",0,IFERROR(INDEX(engDados,MATCH(selAnalito&amp;"|"&amp;$B57,engChave,0),6),0))</f>
        <v>0</v>
      </c>
      <c r="O57" s="30">
        <f>IF($F57="",0,IFERROR(INDEX(engDados,MATCH(selAnalito&amp;"|"&amp;$B57,engChave,0),7),0))</f>
        <v>0</v>
      </c>
      <c r="P57" s="30" t="str">
        <f>IF($F57="","",IFERROR(INDEX(engDados,MATCH(selAnalito&amp;"|"&amp;$B57,engChave,0),9),""))</f>
        <v/>
      </c>
      <c r="Q57" s="30" t="e">
        <f t="shared" si="39"/>
        <v>#N/A</v>
      </c>
      <c r="R57" s="30" t="e">
        <f t="shared" si="40"/>
        <v>#N/A</v>
      </c>
      <c r="S57" s="30" t="e">
        <f t="shared" si="41"/>
        <v>#N/A</v>
      </c>
      <c r="T57" s="30" t="e">
        <f t="shared" si="42"/>
        <v>#N/A</v>
      </c>
      <c r="U57" s="30" t="e">
        <f t="shared" si="43"/>
        <v>#N/A</v>
      </c>
      <c r="V57" s="30" t="e">
        <f t="shared" si="44"/>
        <v>#N/A</v>
      </c>
      <c r="W57" s="30" t="e">
        <f t="shared" si="45"/>
        <v>#N/A</v>
      </c>
      <c r="X57" s="30" t="e">
        <f>IF(AND($D57=1,(""&amp;loteAnalise)=(""&amp;loteCarregado),COUNTIFS(regAnalito,selAnalito,regNivel,1,regData,$C57,regRep1,"&lt;&gt;")&gt;0),SUMIFS(regRep1,regAnalito,selAnalito,regNivel,1,regData,$C57),NA())</f>
        <v>#N/A</v>
      </c>
      <c r="Y57" s="30" t="e">
        <f>IF(AND($D57=1,(""&amp;loteAnalise)=(""&amp;loteCarregado),COUNTIFS(regAnalito,selAnalito,regNivel,1,regData,$C57,regRep2,"&lt;&gt;")&gt;0),SUMIFS(regRep2,regAnalito,selAnalito,regNivel,1,regData,$C57),NA())</f>
        <v>#N/A</v>
      </c>
      <c r="Z57" s="30" t="e">
        <f>IF(AND($D57=1,(""&amp;loteAnalise)=(""&amp;loteCarregado),COUNTIFS(regAnalito,selAnalito,regNivel,1,regData,$C57,regRep3,"&lt;&gt;")&gt;0),SUMIFS(regRep3,regAnalito,selAnalito,regNivel,1,regData,$C57),NA())</f>
        <v>#N/A</v>
      </c>
      <c r="AA57" s="30" t="e">
        <f>IF(AND($D57=1,COUNTIFS(regAnalito,selAnalito,regData,$C57,regCalib,"Sim")&gt;0),$BT$1,NA())</f>
        <v>#N/A</v>
      </c>
      <c r="AB57" s="30" t="str">
        <f>IF($B57="","",IF(INDEX(engValN2,$A57)="","",INDEX(engValN2,$A57)))</f>
        <v/>
      </c>
      <c r="AC57" s="30" t="str">
        <f t="shared" si="46"/>
        <v/>
      </c>
      <c r="AD57" s="30" t="e">
        <f t="shared" si="47"/>
        <v>#N/A</v>
      </c>
      <c r="AE57" s="30" t="e">
        <f t="shared" si="48"/>
        <v>#N/A</v>
      </c>
      <c r="AF57" s="30" t="e">
        <f t="shared" si="49"/>
        <v>#N/A</v>
      </c>
      <c r="AG57" s="30">
        <f>IF($AB57="",0,IFERROR(INDEX(engDados,MATCH(selAnalito&amp;"|"&amp;$B57,engChave,0),10),0))</f>
        <v>0</v>
      </c>
      <c r="AH57" s="30">
        <f>IF($AB57="",0,IFERROR(INDEX(engDados,MATCH(selAnalito&amp;"|"&amp;$B57,engChave,0),11),0))</f>
        <v>0</v>
      </c>
      <c r="AI57" s="30">
        <f>IF($AB57="",0,IFERROR(INDEX(engDados,MATCH(selAnalito&amp;"|"&amp;$B57,engChave,0),12),0))</f>
        <v>0</v>
      </c>
      <c r="AJ57" s="30">
        <f>IF($AB57="",0,IFERROR(INDEX(engDados,MATCH(selAnalito&amp;"|"&amp;$B57,engChave,0),13),0))</f>
        <v>0</v>
      </c>
      <c r="AK57" s="30">
        <f>IF($AB57="",0,IFERROR(INDEX(engDados,MATCH(selAnalito&amp;"|"&amp;$B57,engChave,0),14),0))</f>
        <v>0</v>
      </c>
      <c r="AL57" s="30" t="str">
        <f>IF($AB57="","",IFERROR(INDEX(engDados,MATCH(selAnalito&amp;"|"&amp;$B57,engChave,0),16),""))</f>
        <v/>
      </c>
      <c r="AM57" s="30" t="e">
        <f t="shared" si="50"/>
        <v>#N/A</v>
      </c>
      <c r="AN57" s="30" t="e">
        <f t="shared" si="51"/>
        <v>#N/A</v>
      </c>
      <c r="AO57" s="30" t="e">
        <f t="shared" si="52"/>
        <v>#N/A</v>
      </c>
      <c r="AP57" s="30" t="e">
        <f t="shared" si="53"/>
        <v>#N/A</v>
      </c>
      <c r="AQ57" s="30" t="e">
        <f t="shared" si="54"/>
        <v>#N/A</v>
      </c>
      <c r="AR57" s="30" t="e">
        <f t="shared" si="55"/>
        <v>#N/A</v>
      </c>
      <c r="AS57" s="30" t="e">
        <f t="shared" si="56"/>
        <v>#N/A</v>
      </c>
      <c r="AT57" s="30" t="e">
        <f>IF(AND($D57=1,(""&amp;loteAnalise)=(""&amp;loteCarregado),COUNTIFS(regAnalito,selAnalito,regNivel,2,regData,$C57,regRep1,"&lt;&gt;")&gt;0),SUMIFS(regRep1,regAnalito,selAnalito,regNivel,2,regData,$C57),NA())</f>
        <v>#N/A</v>
      </c>
      <c r="AU57" s="30" t="e">
        <f>IF(AND($D57=1,(""&amp;loteAnalise)=(""&amp;loteCarregado),COUNTIFS(regAnalito,selAnalito,regNivel,2,regData,$C57,regRep2,"&lt;&gt;")&gt;0),SUMIFS(regRep2,regAnalito,selAnalito,regNivel,2,regData,$C57),NA())</f>
        <v>#N/A</v>
      </c>
      <c r="AV57" s="30" t="e">
        <f>IF(AND($D57=1,(""&amp;loteAnalise)=(""&amp;loteCarregado),COUNTIFS(regAnalito,selAnalito,regNivel,2,regData,$C57,regRep3,"&lt;&gt;")&gt;0),SUMIFS(regRep3,regAnalito,selAnalito,regNivel,2,regData,$C57),NA())</f>
        <v>#N/A</v>
      </c>
      <c r="AW57" s="30" t="e">
        <f>IF(AND($D57=1,COUNTIFS(regAnalito,selAnalito,regData,$C57,regCalib,"Sim")&gt;0),$BV$1,NA())</f>
        <v>#N/A</v>
      </c>
      <c r="AX57" s="30" t="str">
        <f>IF($B57="","",IF(INDEX(engValN3,$A57)="","",INDEX(engValN3,$A57)))</f>
        <v/>
      </c>
      <c r="AY57" s="30" t="str">
        <f t="shared" si="57"/>
        <v/>
      </c>
      <c r="AZ57" s="30" t="e">
        <f t="shared" si="58"/>
        <v>#N/A</v>
      </c>
      <c r="BA57" s="30" t="e">
        <f t="shared" si="59"/>
        <v>#N/A</v>
      </c>
      <c r="BB57" s="30" t="e">
        <f t="shared" si="60"/>
        <v>#N/A</v>
      </c>
      <c r="BC57" s="30">
        <f>IF($AX57="",0,IFERROR(INDEX(engDados,MATCH(selAnalito&amp;"|"&amp;$B57,engChave,0),17),0))</f>
        <v>0</v>
      </c>
      <c r="BD57" s="30">
        <f>IF($AX57="",0,IFERROR(INDEX(engDados,MATCH(selAnalito&amp;"|"&amp;$B57,engChave,0),18),0))</f>
        <v>0</v>
      </c>
      <c r="BE57" s="30">
        <f>IF($AX57="",0,IFERROR(INDEX(engDados,MATCH(selAnalito&amp;"|"&amp;$B57,engChave,0),19),0))</f>
        <v>0</v>
      </c>
      <c r="BF57" s="30">
        <f>IF($AX57="",0,IFERROR(INDEX(engDados,MATCH(selAnalito&amp;"|"&amp;$B57,engChave,0),20),0))</f>
        <v>0</v>
      </c>
      <c r="BG57" s="30">
        <f>IF($AX57="",0,IFERROR(INDEX(engDados,MATCH(selAnalito&amp;"|"&amp;$B57,engChave,0),21),0))</f>
        <v>0</v>
      </c>
      <c r="BH57" s="30" t="str">
        <f>IF($AX57="","",IFERROR(INDEX(engDados,MATCH(selAnalito&amp;"|"&amp;$B57,engChave,0),23),""))</f>
        <v/>
      </c>
      <c r="BI57" s="30" t="e">
        <f t="shared" si="61"/>
        <v>#N/A</v>
      </c>
      <c r="BJ57" s="30" t="e">
        <f t="shared" si="62"/>
        <v>#N/A</v>
      </c>
      <c r="BK57" s="30" t="e">
        <f t="shared" si="63"/>
        <v>#N/A</v>
      </c>
      <c r="BL57" s="30" t="e">
        <f t="shared" si="64"/>
        <v>#N/A</v>
      </c>
      <c r="BM57" s="30" t="e">
        <f t="shared" si="65"/>
        <v>#N/A</v>
      </c>
      <c r="BN57" s="30" t="e">
        <f t="shared" si="66"/>
        <v>#N/A</v>
      </c>
      <c r="BO57" s="30" t="e">
        <f t="shared" si="67"/>
        <v>#N/A</v>
      </c>
      <c r="BP57" s="30" t="e">
        <f>IF(AND($D57=1,(""&amp;loteAnalise)=(""&amp;loteCarregado),COUNTIFS(regAnalito,selAnalito,regNivel,3,regData,$C57,regRep1,"&lt;&gt;")&gt;0),SUMIFS(regRep1,regAnalito,selAnalito,regNivel,3,regData,$C57),NA())</f>
        <v>#N/A</v>
      </c>
      <c r="BQ57" s="30" t="e">
        <f>IF(AND($D57=1,(""&amp;loteAnalise)=(""&amp;loteCarregado),COUNTIFS(regAnalito,selAnalito,regNivel,3,regData,$C57,regRep2,"&lt;&gt;")&gt;0),SUMIFS(regRep2,regAnalito,selAnalito,regNivel,3,regData,$C57),NA())</f>
        <v>#N/A</v>
      </c>
      <c r="BR57" s="30" t="e">
        <f>IF(AND($D57=1,(""&amp;loteAnalise)=(""&amp;loteCarregado),COUNTIFS(regAnalito,selAnalito,regNivel,3,regData,$C57,regRep3,"&lt;&gt;")&gt;0),SUMIFS(regRep3,regAnalito,selAnalito,regNivel,3,regData,$C57),NA())</f>
        <v>#N/A</v>
      </c>
      <c r="BS57" s="30" t="e">
        <f>IF(AND($D57=1,COUNTIFS(regAnalito,selAnalito,regData,$C57,regCalib,"Sim")&gt;0),$BX$1,NA())</f>
        <v>#N/A</v>
      </c>
    </row>
    <row r="58" spans="1:71" x14ac:dyDescent="0.3">
      <c r="A58" s="30">
        <v>56</v>
      </c>
      <c r="B58" s="30" t="str">
        <f>IF(OR(selAnalito="",(""&amp;engAnalito)&lt;&gt;(""&amp;selAnalito),(""&amp;engLote)&lt;&gt;(""&amp;loteAnalise),$A58&gt;N(engNRun)),"",INDEX(engRUN,$A58))</f>
        <v/>
      </c>
      <c r="C58" s="43" t="str">
        <f>IF($B58="","",IF(INDEX(engData,$A58)="","",INDEX(engData,$A58)))</f>
        <v/>
      </c>
      <c r="D58" s="30">
        <f>IF($C58="",0,IF(AND(OR(filtroDe="",INT($C58)&gt;=INT(filtroDe)),OR(filtroAte="",INT($C58)&lt;=INT(filtroAte))),1,0))</f>
        <v>0</v>
      </c>
      <c r="E58" s="30" t="e">
        <f t="shared" si="34"/>
        <v>#N/A</v>
      </c>
      <c r="F58" s="30" t="str">
        <f>IF($B58="","",IF(INDEX(engValN1,$A58)="","",INDEX(engValN1,$A58)))</f>
        <v/>
      </c>
      <c r="G58" s="30" t="str">
        <f t="shared" si="35"/>
        <v/>
      </c>
      <c r="H58" s="30" t="e">
        <f t="shared" si="36"/>
        <v>#N/A</v>
      </c>
      <c r="I58" s="30" t="e">
        <f t="shared" si="37"/>
        <v>#N/A</v>
      </c>
      <c r="J58" s="30" t="e">
        <f t="shared" si="38"/>
        <v>#N/A</v>
      </c>
      <c r="K58" s="30">
        <f>IF($F58="",0,IFERROR(INDEX(engDados,MATCH(selAnalito&amp;"|"&amp;$B58,engChave,0),3),0))</f>
        <v>0</v>
      </c>
      <c r="L58" s="30">
        <f>IF($F58="",0,IFERROR(INDEX(engDados,MATCH(selAnalito&amp;"|"&amp;$B58,engChave,0),4),0))</f>
        <v>0</v>
      </c>
      <c r="M58" s="30">
        <f>IF($F58="",0,IFERROR(INDEX(engDados,MATCH(selAnalito&amp;"|"&amp;$B58,engChave,0),5),0))</f>
        <v>0</v>
      </c>
      <c r="N58" s="30">
        <f>IF($F58="",0,IFERROR(INDEX(engDados,MATCH(selAnalito&amp;"|"&amp;$B58,engChave,0),6),0))</f>
        <v>0</v>
      </c>
      <c r="O58" s="30">
        <f>IF($F58="",0,IFERROR(INDEX(engDados,MATCH(selAnalito&amp;"|"&amp;$B58,engChave,0),7),0))</f>
        <v>0</v>
      </c>
      <c r="P58" s="30" t="str">
        <f>IF($F58="","",IFERROR(INDEX(engDados,MATCH(selAnalito&amp;"|"&amp;$B58,engChave,0),9),""))</f>
        <v/>
      </c>
      <c r="Q58" s="30" t="e">
        <f t="shared" si="39"/>
        <v>#N/A</v>
      </c>
      <c r="R58" s="30" t="e">
        <f t="shared" si="40"/>
        <v>#N/A</v>
      </c>
      <c r="S58" s="30" t="e">
        <f t="shared" si="41"/>
        <v>#N/A</v>
      </c>
      <c r="T58" s="30" t="e">
        <f t="shared" si="42"/>
        <v>#N/A</v>
      </c>
      <c r="U58" s="30" t="e">
        <f t="shared" si="43"/>
        <v>#N/A</v>
      </c>
      <c r="V58" s="30" t="e">
        <f t="shared" si="44"/>
        <v>#N/A</v>
      </c>
      <c r="W58" s="30" t="e">
        <f t="shared" si="45"/>
        <v>#N/A</v>
      </c>
      <c r="X58" s="30" t="e">
        <f>IF(AND($D58=1,(""&amp;loteAnalise)=(""&amp;loteCarregado),COUNTIFS(regAnalito,selAnalito,regNivel,1,regData,$C58,regRep1,"&lt;&gt;")&gt;0),SUMIFS(regRep1,regAnalito,selAnalito,regNivel,1,regData,$C58),NA())</f>
        <v>#N/A</v>
      </c>
      <c r="Y58" s="30" t="e">
        <f>IF(AND($D58=1,(""&amp;loteAnalise)=(""&amp;loteCarregado),COUNTIFS(regAnalito,selAnalito,regNivel,1,regData,$C58,regRep2,"&lt;&gt;")&gt;0),SUMIFS(regRep2,regAnalito,selAnalito,regNivel,1,regData,$C58),NA())</f>
        <v>#N/A</v>
      </c>
      <c r="Z58" s="30" t="e">
        <f>IF(AND($D58=1,(""&amp;loteAnalise)=(""&amp;loteCarregado),COUNTIFS(regAnalito,selAnalito,regNivel,1,regData,$C58,regRep3,"&lt;&gt;")&gt;0),SUMIFS(regRep3,regAnalito,selAnalito,regNivel,1,regData,$C58),NA())</f>
        <v>#N/A</v>
      </c>
      <c r="AA58" s="30" t="e">
        <f>IF(AND($D58=1,COUNTIFS(regAnalito,selAnalito,regData,$C58,regCalib,"Sim")&gt;0),$BT$1,NA())</f>
        <v>#N/A</v>
      </c>
      <c r="AB58" s="30" t="str">
        <f>IF($B58="","",IF(INDEX(engValN2,$A58)="","",INDEX(engValN2,$A58)))</f>
        <v/>
      </c>
      <c r="AC58" s="30" t="str">
        <f t="shared" si="46"/>
        <v/>
      </c>
      <c r="AD58" s="30" t="e">
        <f t="shared" si="47"/>
        <v>#N/A</v>
      </c>
      <c r="AE58" s="30" t="e">
        <f t="shared" si="48"/>
        <v>#N/A</v>
      </c>
      <c r="AF58" s="30" t="e">
        <f t="shared" si="49"/>
        <v>#N/A</v>
      </c>
      <c r="AG58" s="30">
        <f>IF($AB58="",0,IFERROR(INDEX(engDados,MATCH(selAnalito&amp;"|"&amp;$B58,engChave,0),10),0))</f>
        <v>0</v>
      </c>
      <c r="AH58" s="30">
        <f>IF($AB58="",0,IFERROR(INDEX(engDados,MATCH(selAnalito&amp;"|"&amp;$B58,engChave,0),11),0))</f>
        <v>0</v>
      </c>
      <c r="AI58" s="30">
        <f>IF($AB58="",0,IFERROR(INDEX(engDados,MATCH(selAnalito&amp;"|"&amp;$B58,engChave,0),12),0))</f>
        <v>0</v>
      </c>
      <c r="AJ58" s="30">
        <f>IF($AB58="",0,IFERROR(INDEX(engDados,MATCH(selAnalito&amp;"|"&amp;$B58,engChave,0),13),0))</f>
        <v>0</v>
      </c>
      <c r="AK58" s="30">
        <f>IF($AB58="",0,IFERROR(INDEX(engDados,MATCH(selAnalito&amp;"|"&amp;$B58,engChave,0),14),0))</f>
        <v>0</v>
      </c>
      <c r="AL58" s="30" t="str">
        <f>IF($AB58="","",IFERROR(INDEX(engDados,MATCH(selAnalito&amp;"|"&amp;$B58,engChave,0),16),""))</f>
        <v/>
      </c>
      <c r="AM58" s="30" t="e">
        <f t="shared" si="50"/>
        <v>#N/A</v>
      </c>
      <c r="AN58" s="30" t="e">
        <f t="shared" si="51"/>
        <v>#N/A</v>
      </c>
      <c r="AO58" s="30" t="e">
        <f t="shared" si="52"/>
        <v>#N/A</v>
      </c>
      <c r="AP58" s="30" t="e">
        <f t="shared" si="53"/>
        <v>#N/A</v>
      </c>
      <c r="AQ58" s="30" t="e">
        <f t="shared" si="54"/>
        <v>#N/A</v>
      </c>
      <c r="AR58" s="30" t="e">
        <f t="shared" si="55"/>
        <v>#N/A</v>
      </c>
      <c r="AS58" s="30" t="e">
        <f t="shared" si="56"/>
        <v>#N/A</v>
      </c>
      <c r="AT58" s="30" t="e">
        <f>IF(AND($D58=1,(""&amp;loteAnalise)=(""&amp;loteCarregado),COUNTIFS(regAnalito,selAnalito,regNivel,2,regData,$C58,regRep1,"&lt;&gt;")&gt;0),SUMIFS(regRep1,regAnalito,selAnalito,regNivel,2,regData,$C58),NA())</f>
        <v>#N/A</v>
      </c>
      <c r="AU58" s="30" t="e">
        <f>IF(AND($D58=1,(""&amp;loteAnalise)=(""&amp;loteCarregado),COUNTIFS(regAnalito,selAnalito,regNivel,2,regData,$C58,regRep2,"&lt;&gt;")&gt;0),SUMIFS(regRep2,regAnalito,selAnalito,regNivel,2,regData,$C58),NA())</f>
        <v>#N/A</v>
      </c>
      <c r="AV58" s="30" t="e">
        <f>IF(AND($D58=1,(""&amp;loteAnalise)=(""&amp;loteCarregado),COUNTIFS(regAnalito,selAnalito,regNivel,2,regData,$C58,regRep3,"&lt;&gt;")&gt;0),SUMIFS(regRep3,regAnalito,selAnalito,regNivel,2,regData,$C58),NA())</f>
        <v>#N/A</v>
      </c>
      <c r="AW58" s="30" t="e">
        <f>IF(AND($D58=1,COUNTIFS(regAnalito,selAnalito,regData,$C58,regCalib,"Sim")&gt;0),$BV$1,NA())</f>
        <v>#N/A</v>
      </c>
      <c r="AX58" s="30" t="str">
        <f>IF($B58="","",IF(INDEX(engValN3,$A58)="","",INDEX(engValN3,$A58)))</f>
        <v/>
      </c>
      <c r="AY58" s="30" t="str">
        <f t="shared" si="57"/>
        <v/>
      </c>
      <c r="AZ58" s="30" t="e">
        <f t="shared" si="58"/>
        <v>#N/A</v>
      </c>
      <c r="BA58" s="30" t="e">
        <f t="shared" si="59"/>
        <v>#N/A</v>
      </c>
      <c r="BB58" s="30" t="e">
        <f t="shared" si="60"/>
        <v>#N/A</v>
      </c>
      <c r="BC58" s="30">
        <f>IF($AX58="",0,IFERROR(INDEX(engDados,MATCH(selAnalito&amp;"|"&amp;$B58,engChave,0),17),0))</f>
        <v>0</v>
      </c>
      <c r="BD58" s="30">
        <f>IF($AX58="",0,IFERROR(INDEX(engDados,MATCH(selAnalito&amp;"|"&amp;$B58,engChave,0),18),0))</f>
        <v>0</v>
      </c>
      <c r="BE58" s="30">
        <f>IF($AX58="",0,IFERROR(INDEX(engDados,MATCH(selAnalito&amp;"|"&amp;$B58,engChave,0),19),0))</f>
        <v>0</v>
      </c>
      <c r="BF58" s="30">
        <f>IF($AX58="",0,IFERROR(INDEX(engDados,MATCH(selAnalito&amp;"|"&amp;$B58,engChave,0),20),0))</f>
        <v>0</v>
      </c>
      <c r="BG58" s="30">
        <f>IF($AX58="",0,IFERROR(INDEX(engDados,MATCH(selAnalito&amp;"|"&amp;$B58,engChave,0),21),0))</f>
        <v>0</v>
      </c>
      <c r="BH58" s="30" t="str">
        <f>IF($AX58="","",IFERROR(INDEX(engDados,MATCH(selAnalito&amp;"|"&amp;$B58,engChave,0),23),""))</f>
        <v/>
      </c>
      <c r="BI58" s="30" t="e">
        <f t="shared" si="61"/>
        <v>#N/A</v>
      </c>
      <c r="BJ58" s="30" t="e">
        <f t="shared" si="62"/>
        <v>#N/A</v>
      </c>
      <c r="BK58" s="30" t="e">
        <f t="shared" si="63"/>
        <v>#N/A</v>
      </c>
      <c r="BL58" s="30" t="e">
        <f t="shared" si="64"/>
        <v>#N/A</v>
      </c>
      <c r="BM58" s="30" t="e">
        <f t="shared" si="65"/>
        <v>#N/A</v>
      </c>
      <c r="BN58" s="30" t="e">
        <f t="shared" si="66"/>
        <v>#N/A</v>
      </c>
      <c r="BO58" s="30" t="e">
        <f t="shared" si="67"/>
        <v>#N/A</v>
      </c>
      <c r="BP58" s="30" t="e">
        <f>IF(AND($D58=1,(""&amp;loteAnalise)=(""&amp;loteCarregado),COUNTIFS(regAnalito,selAnalito,regNivel,3,regData,$C58,regRep1,"&lt;&gt;")&gt;0),SUMIFS(regRep1,regAnalito,selAnalito,regNivel,3,regData,$C58),NA())</f>
        <v>#N/A</v>
      </c>
      <c r="BQ58" s="30" t="e">
        <f>IF(AND($D58=1,(""&amp;loteAnalise)=(""&amp;loteCarregado),COUNTIFS(regAnalito,selAnalito,regNivel,3,regData,$C58,regRep2,"&lt;&gt;")&gt;0),SUMIFS(regRep2,regAnalito,selAnalito,regNivel,3,regData,$C58),NA())</f>
        <v>#N/A</v>
      </c>
      <c r="BR58" s="30" t="e">
        <f>IF(AND($D58=1,(""&amp;loteAnalise)=(""&amp;loteCarregado),COUNTIFS(regAnalito,selAnalito,regNivel,3,regData,$C58,regRep3,"&lt;&gt;")&gt;0),SUMIFS(regRep3,regAnalito,selAnalito,regNivel,3,regData,$C58),NA())</f>
        <v>#N/A</v>
      </c>
      <c r="BS58" s="30" t="e">
        <f>IF(AND($D58=1,COUNTIFS(regAnalito,selAnalito,regData,$C58,regCalib,"Sim")&gt;0),$BX$1,NA())</f>
        <v>#N/A</v>
      </c>
    </row>
    <row r="59" spans="1:71" x14ac:dyDescent="0.3">
      <c r="A59" s="30">
        <v>57</v>
      </c>
      <c r="B59" s="30" t="str">
        <f>IF(OR(selAnalito="",(""&amp;engAnalito)&lt;&gt;(""&amp;selAnalito),(""&amp;engLote)&lt;&gt;(""&amp;loteAnalise),$A59&gt;N(engNRun)),"",INDEX(engRUN,$A59))</f>
        <v/>
      </c>
      <c r="C59" s="43" t="str">
        <f>IF($B59="","",IF(INDEX(engData,$A59)="","",INDEX(engData,$A59)))</f>
        <v/>
      </c>
      <c r="D59" s="30">
        <f>IF($C59="",0,IF(AND(OR(filtroDe="",INT($C59)&gt;=INT(filtroDe)),OR(filtroAte="",INT($C59)&lt;=INT(filtroAte))),1,0))</f>
        <v>0</v>
      </c>
      <c r="E59" s="30" t="e">
        <f t="shared" si="34"/>
        <v>#N/A</v>
      </c>
      <c r="F59" s="30" t="str">
        <f>IF($B59="","",IF(INDEX(engValN1,$A59)="","",INDEX(engValN1,$A59)))</f>
        <v/>
      </c>
      <c r="G59" s="30" t="str">
        <f t="shared" si="35"/>
        <v/>
      </c>
      <c r="H59" s="30" t="e">
        <f t="shared" si="36"/>
        <v>#N/A</v>
      </c>
      <c r="I59" s="30" t="e">
        <f t="shared" si="37"/>
        <v>#N/A</v>
      </c>
      <c r="J59" s="30" t="e">
        <f t="shared" si="38"/>
        <v>#N/A</v>
      </c>
      <c r="K59" s="30">
        <f>IF($F59="",0,IFERROR(INDEX(engDados,MATCH(selAnalito&amp;"|"&amp;$B59,engChave,0),3),0))</f>
        <v>0</v>
      </c>
      <c r="L59" s="30">
        <f>IF($F59="",0,IFERROR(INDEX(engDados,MATCH(selAnalito&amp;"|"&amp;$B59,engChave,0),4),0))</f>
        <v>0</v>
      </c>
      <c r="M59" s="30">
        <f>IF($F59="",0,IFERROR(INDEX(engDados,MATCH(selAnalito&amp;"|"&amp;$B59,engChave,0),5),0))</f>
        <v>0</v>
      </c>
      <c r="N59" s="30">
        <f>IF($F59="",0,IFERROR(INDEX(engDados,MATCH(selAnalito&amp;"|"&amp;$B59,engChave,0),6),0))</f>
        <v>0</v>
      </c>
      <c r="O59" s="30">
        <f>IF($F59="",0,IFERROR(INDEX(engDados,MATCH(selAnalito&amp;"|"&amp;$B59,engChave,0),7),0))</f>
        <v>0</v>
      </c>
      <c r="P59" s="30" t="str">
        <f>IF($F59="","",IFERROR(INDEX(engDados,MATCH(selAnalito&amp;"|"&amp;$B59,engChave,0),9),""))</f>
        <v/>
      </c>
      <c r="Q59" s="30" t="e">
        <f t="shared" si="39"/>
        <v>#N/A</v>
      </c>
      <c r="R59" s="30" t="e">
        <f t="shared" si="40"/>
        <v>#N/A</v>
      </c>
      <c r="S59" s="30" t="e">
        <f t="shared" si="41"/>
        <v>#N/A</v>
      </c>
      <c r="T59" s="30" t="e">
        <f t="shared" si="42"/>
        <v>#N/A</v>
      </c>
      <c r="U59" s="30" t="e">
        <f t="shared" si="43"/>
        <v>#N/A</v>
      </c>
      <c r="V59" s="30" t="e">
        <f t="shared" si="44"/>
        <v>#N/A</v>
      </c>
      <c r="W59" s="30" t="e">
        <f t="shared" si="45"/>
        <v>#N/A</v>
      </c>
      <c r="X59" s="30" t="e">
        <f>IF(AND($D59=1,(""&amp;loteAnalise)=(""&amp;loteCarregado),COUNTIFS(regAnalito,selAnalito,regNivel,1,regData,$C59,regRep1,"&lt;&gt;")&gt;0),SUMIFS(regRep1,regAnalito,selAnalito,regNivel,1,regData,$C59),NA())</f>
        <v>#N/A</v>
      </c>
      <c r="Y59" s="30" t="e">
        <f>IF(AND($D59=1,(""&amp;loteAnalise)=(""&amp;loteCarregado),COUNTIFS(regAnalito,selAnalito,regNivel,1,regData,$C59,regRep2,"&lt;&gt;")&gt;0),SUMIFS(regRep2,regAnalito,selAnalito,regNivel,1,regData,$C59),NA())</f>
        <v>#N/A</v>
      </c>
      <c r="Z59" s="30" t="e">
        <f>IF(AND($D59=1,(""&amp;loteAnalise)=(""&amp;loteCarregado),COUNTIFS(regAnalito,selAnalito,regNivel,1,regData,$C59,regRep3,"&lt;&gt;")&gt;0),SUMIFS(regRep3,regAnalito,selAnalito,regNivel,1,regData,$C59),NA())</f>
        <v>#N/A</v>
      </c>
      <c r="AA59" s="30" t="e">
        <f>IF(AND($D59=1,COUNTIFS(regAnalito,selAnalito,regData,$C59,regCalib,"Sim")&gt;0),$BT$1,NA())</f>
        <v>#N/A</v>
      </c>
      <c r="AB59" s="30" t="str">
        <f>IF($B59="","",IF(INDEX(engValN2,$A59)="","",INDEX(engValN2,$A59)))</f>
        <v/>
      </c>
      <c r="AC59" s="30" t="str">
        <f t="shared" si="46"/>
        <v/>
      </c>
      <c r="AD59" s="30" t="e">
        <f t="shared" si="47"/>
        <v>#N/A</v>
      </c>
      <c r="AE59" s="30" t="e">
        <f t="shared" si="48"/>
        <v>#N/A</v>
      </c>
      <c r="AF59" s="30" t="e">
        <f t="shared" si="49"/>
        <v>#N/A</v>
      </c>
      <c r="AG59" s="30">
        <f>IF($AB59="",0,IFERROR(INDEX(engDados,MATCH(selAnalito&amp;"|"&amp;$B59,engChave,0),10),0))</f>
        <v>0</v>
      </c>
      <c r="AH59" s="30">
        <f>IF($AB59="",0,IFERROR(INDEX(engDados,MATCH(selAnalito&amp;"|"&amp;$B59,engChave,0),11),0))</f>
        <v>0</v>
      </c>
      <c r="AI59" s="30">
        <f>IF($AB59="",0,IFERROR(INDEX(engDados,MATCH(selAnalito&amp;"|"&amp;$B59,engChave,0),12),0))</f>
        <v>0</v>
      </c>
      <c r="AJ59" s="30">
        <f>IF($AB59="",0,IFERROR(INDEX(engDados,MATCH(selAnalito&amp;"|"&amp;$B59,engChave,0),13),0))</f>
        <v>0</v>
      </c>
      <c r="AK59" s="30">
        <f>IF($AB59="",0,IFERROR(INDEX(engDados,MATCH(selAnalito&amp;"|"&amp;$B59,engChave,0),14),0))</f>
        <v>0</v>
      </c>
      <c r="AL59" s="30" t="str">
        <f>IF($AB59="","",IFERROR(INDEX(engDados,MATCH(selAnalito&amp;"|"&amp;$B59,engChave,0),16),""))</f>
        <v/>
      </c>
      <c r="AM59" s="30" t="e">
        <f t="shared" si="50"/>
        <v>#N/A</v>
      </c>
      <c r="AN59" s="30" t="e">
        <f t="shared" si="51"/>
        <v>#N/A</v>
      </c>
      <c r="AO59" s="30" t="e">
        <f t="shared" si="52"/>
        <v>#N/A</v>
      </c>
      <c r="AP59" s="30" t="e">
        <f t="shared" si="53"/>
        <v>#N/A</v>
      </c>
      <c r="AQ59" s="30" t="e">
        <f t="shared" si="54"/>
        <v>#N/A</v>
      </c>
      <c r="AR59" s="30" t="e">
        <f t="shared" si="55"/>
        <v>#N/A</v>
      </c>
      <c r="AS59" s="30" t="e">
        <f t="shared" si="56"/>
        <v>#N/A</v>
      </c>
      <c r="AT59" s="30" t="e">
        <f>IF(AND($D59=1,(""&amp;loteAnalise)=(""&amp;loteCarregado),COUNTIFS(regAnalito,selAnalito,regNivel,2,regData,$C59,regRep1,"&lt;&gt;")&gt;0),SUMIFS(regRep1,regAnalito,selAnalito,regNivel,2,regData,$C59),NA())</f>
        <v>#N/A</v>
      </c>
      <c r="AU59" s="30" t="e">
        <f>IF(AND($D59=1,(""&amp;loteAnalise)=(""&amp;loteCarregado),COUNTIFS(regAnalito,selAnalito,regNivel,2,regData,$C59,regRep2,"&lt;&gt;")&gt;0),SUMIFS(regRep2,regAnalito,selAnalito,regNivel,2,regData,$C59),NA())</f>
        <v>#N/A</v>
      </c>
      <c r="AV59" s="30" t="e">
        <f>IF(AND($D59=1,(""&amp;loteAnalise)=(""&amp;loteCarregado),COUNTIFS(regAnalito,selAnalito,regNivel,2,regData,$C59,regRep3,"&lt;&gt;")&gt;0),SUMIFS(regRep3,regAnalito,selAnalito,regNivel,2,regData,$C59),NA())</f>
        <v>#N/A</v>
      </c>
      <c r="AW59" s="30" t="e">
        <f>IF(AND($D59=1,COUNTIFS(regAnalito,selAnalito,regData,$C59,regCalib,"Sim")&gt;0),$BV$1,NA())</f>
        <v>#N/A</v>
      </c>
      <c r="AX59" s="30" t="str">
        <f>IF($B59="","",IF(INDEX(engValN3,$A59)="","",INDEX(engValN3,$A59)))</f>
        <v/>
      </c>
      <c r="AY59" s="30" t="str">
        <f t="shared" si="57"/>
        <v/>
      </c>
      <c r="AZ59" s="30" t="e">
        <f t="shared" si="58"/>
        <v>#N/A</v>
      </c>
      <c r="BA59" s="30" t="e">
        <f t="shared" si="59"/>
        <v>#N/A</v>
      </c>
      <c r="BB59" s="30" t="e">
        <f t="shared" si="60"/>
        <v>#N/A</v>
      </c>
      <c r="BC59" s="30">
        <f>IF($AX59="",0,IFERROR(INDEX(engDados,MATCH(selAnalito&amp;"|"&amp;$B59,engChave,0),17),0))</f>
        <v>0</v>
      </c>
      <c r="BD59" s="30">
        <f>IF($AX59="",0,IFERROR(INDEX(engDados,MATCH(selAnalito&amp;"|"&amp;$B59,engChave,0),18),0))</f>
        <v>0</v>
      </c>
      <c r="BE59" s="30">
        <f>IF($AX59="",0,IFERROR(INDEX(engDados,MATCH(selAnalito&amp;"|"&amp;$B59,engChave,0),19),0))</f>
        <v>0</v>
      </c>
      <c r="BF59" s="30">
        <f>IF($AX59="",0,IFERROR(INDEX(engDados,MATCH(selAnalito&amp;"|"&amp;$B59,engChave,0),20),0))</f>
        <v>0</v>
      </c>
      <c r="BG59" s="30">
        <f>IF($AX59="",0,IFERROR(INDEX(engDados,MATCH(selAnalito&amp;"|"&amp;$B59,engChave,0),21),0))</f>
        <v>0</v>
      </c>
      <c r="BH59" s="30" t="str">
        <f>IF($AX59="","",IFERROR(INDEX(engDados,MATCH(selAnalito&amp;"|"&amp;$B59,engChave,0),23),""))</f>
        <v/>
      </c>
      <c r="BI59" s="30" t="e">
        <f t="shared" si="61"/>
        <v>#N/A</v>
      </c>
      <c r="BJ59" s="30" t="e">
        <f t="shared" si="62"/>
        <v>#N/A</v>
      </c>
      <c r="BK59" s="30" t="e">
        <f t="shared" si="63"/>
        <v>#N/A</v>
      </c>
      <c r="BL59" s="30" t="e">
        <f t="shared" si="64"/>
        <v>#N/A</v>
      </c>
      <c r="BM59" s="30" t="e">
        <f t="shared" si="65"/>
        <v>#N/A</v>
      </c>
      <c r="BN59" s="30" t="e">
        <f t="shared" si="66"/>
        <v>#N/A</v>
      </c>
      <c r="BO59" s="30" t="e">
        <f t="shared" si="67"/>
        <v>#N/A</v>
      </c>
      <c r="BP59" s="30" t="e">
        <f>IF(AND($D59=1,(""&amp;loteAnalise)=(""&amp;loteCarregado),COUNTIFS(regAnalito,selAnalito,regNivel,3,regData,$C59,regRep1,"&lt;&gt;")&gt;0),SUMIFS(regRep1,regAnalito,selAnalito,regNivel,3,regData,$C59),NA())</f>
        <v>#N/A</v>
      </c>
      <c r="BQ59" s="30" t="e">
        <f>IF(AND($D59=1,(""&amp;loteAnalise)=(""&amp;loteCarregado),COUNTIFS(regAnalito,selAnalito,regNivel,3,regData,$C59,regRep2,"&lt;&gt;")&gt;0),SUMIFS(regRep2,regAnalito,selAnalito,regNivel,3,regData,$C59),NA())</f>
        <v>#N/A</v>
      </c>
      <c r="BR59" s="30" t="e">
        <f>IF(AND($D59=1,(""&amp;loteAnalise)=(""&amp;loteCarregado),COUNTIFS(regAnalito,selAnalito,regNivel,3,regData,$C59,regRep3,"&lt;&gt;")&gt;0),SUMIFS(regRep3,regAnalito,selAnalito,regNivel,3,regData,$C59),NA())</f>
        <v>#N/A</v>
      </c>
      <c r="BS59" s="30" t="e">
        <f>IF(AND($D59=1,COUNTIFS(regAnalito,selAnalito,regData,$C59,regCalib,"Sim")&gt;0),$BX$1,NA())</f>
        <v>#N/A</v>
      </c>
    </row>
    <row r="60" spans="1:71" x14ac:dyDescent="0.3">
      <c r="A60" s="30">
        <v>58</v>
      </c>
      <c r="B60" s="30" t="str">
        <f>IF(OR(selAnalito="",(""&amp;engAnalito)&lt;&gt;(""&amp;selAnalito),(""&amp;engLote)&lt;&gt;(""&amp;loteAnalise),$A60&gt;N(engNRun)),"",INDEX(engRUN,$A60))</f>
        <v/>
      </c>
      <c r="C60" s="43" t="str">
        <f>IF($B60="","",IF(INDEX(engData,$A60)="","",INDEX(engData,$A60)))</f>
        <v/>
      </c>
      <c r="D60" s="30">
        <f>IF($C60="",0,IF(AND(OR(filtroDe="",INT($C60)&gt;=INT(filtroDe)),OR(filtroAte="",INT($C60)&lt;=INT(filtroAte))),1,0))</f>
        <v>0</v>
      </c>
      <c r="E60" s="30" t="e">
        <f t="shared" si="34"/>
        <v>#N/A</v>
      </c>
      <c r="F60" s="30" t="str">
        <f>IF($B60="","",IF(INDEX(engValN1,$A60)="","",INDEX(engValN1,$A60)))</f>
        <v/>
      </c>
      <c r="G60" s="30" t="str">
        <f t="shared" si="35"/>
        <v/>
      </c>
      <c r="H60" s="30" t="e">
        <f t="shared" si="36"/>
        <v>#N/A</v>
      </c>
      <c r="I60" s="30" t="e">
        <f t="shared" si="37"/>
        <v>#N/A</v>
      </c>
      <c r="J60" s="30" t="e">
        <f t="shared" si="38"/>
        <v>#N/A</v>
      </c>
      <c r="K60" s="30">
        <f>IF($F60="",0,IFERROR(INDEX(engDados,MATCH(selAnalito&amp;"|"&amp;$B60,engChave,0),3),0))</f>
        <v>0</v>
      </c>
      <c r="L60" s="30">
        <f>IF($F60="",0,IFERROR(INDEX(engDados,MATCH(selAnalito&amp;"|"&amp;$B60,engChave,0),4),0))</f>
        <v>0</v>
      </c>
      <c r="M60" s="30">
        <f>IF($F60="",0,IFERROR(INDEX(engDados,MATCH(selAnalito&amp;"|"&amp;$B60,engChave,0),5),0))</f>
        <v>0</v>
      </c>
      <c r="N60" s="30">
        <f>IF($F60="",0,IFERROR(INDEX(engDados,MATCH(selAnalito&amp;"|"&amp;$B60,engChave,0),6),0))</f>
        <v>0</v>
      </c>
      <c r="O60" s="30">
        <f>IF($F60="",0,IFERROR(INDEX(engDados,MATCH(selAnalito&amp;"|"&amp;$B60,engChave,0),7),0))</f>
        <v>0</v>
      </c>
      <c r="P60" s="30" t="str">
        <f>IF($F60="","",IFERROR(INDEX(engDados,MATCH(selAnalito&amp;"|"&amp;$B60,engChave,0),9),""))</f>
        <v/>
      </c>
      <c r="Q60" s="30" t="e">
        <f t="shared" si="39"/>
        <v>#N/A</v>
      </c>
      <c r="R60" s="30" t="e">
        <f t="shared" si="40"/>
        <v>#N/A</v>
      </c>
      <c r="S60" s="30" t="e">
        <f t="shared" si="41"/>
        <v>#N/A</v>
      </c>
      <c r="T60" s="30" t="e">
        <f t="shared" si="42"/>
        <v>#N/A</v>
      </c>
      <c r="U60" s="30" t="e">
        <f t="shared" si="43"/>
        <v>#N/A</v>
      </c>
      <c r="V60" s="30" t="e">
        <f t="shared" si="44"/>
        <v>#N/A</v>
      </c>
      <c r="W60" s="30" t="e">
        <f t="shared" si="45"/>
        <v>#N/A</v>
      </c>
      <c r="X60" s="30" t="e">
        <f>IF(AND($D60=1,(""&amp;loteAnalise)=(""&amp;loteCarregado),COUNTIFS(regAnalito,selAnalito,regNivel,1,regData,$C60,regRep1,"&lt;&gt;")&gt;0),SUMIFS(regRep1,regAnalito,selAnalito,regNivel,1,regData,$C60),NA())</f>
        <v>#N/A</v>
      </c>
      <c r="Y60" s="30" t="e">
        <f>IF(AND($D60=1,(""&amp;loteAnalise)=(""&amp;loteCarregado),COUNTIFS(regAnalito,selAnalito,regNivel,1,regData,$C60,regRep2,"&lt;&gt;")&gt;0),SUMIFS(regRep2,regAnalito,selAnalito,regNivel,1,regData,$C60),NA())</f>
        <v>#N/A</v>
      </c>
      <c r="Z60" s="30" t="e">
        <f>IF(AND($D60=1,(""&amp;loteAnalise)=(""&amp;loteCarregado),COUNTIFS(regAnalito,selAnalito,regNivel,1,regData,$C60,regRep3,"&lt;&gt;")&gt;0),SUMIFS(regRep3,regAnalito,selAnalito,regNivel,1,regData,$C60),NA())</f>
        <v>#N/A</v>
      </c>
      <c r="AA60" s="30" t="e">
        <f>IF(AND($D60=1,COUNTIFS(regAnalito,selAnalito,regData,$C60,regCalib,"Sim")&gt;0),$BT$1,NA())</f>
        <v>#N/A</v>
      </c>
      <c r="AB60" s="30" t="str">
        <f>IF($B60="","",IF(INDEX(engValN2,$A60)="","",INDEX(engValN2,$A60)))</f>
        <v/>
      </c>
      <c r="AC60" s="30" t="str">
        <f t="shared" si="46"/>
        <v/>
      </c>
      <c r="AD60" s="30" t="e">
        <f t="shared" si="47"/>
        <v>#N/A</v>
      </c>
      <c r="AE60" s="30" t="e">
        <f t="shared" si="48"/>
        <v>#N/A</v>
      </c>
      <c r="AF60" s="30" t="e">
        <f t="shared" si="49"/>
        <v>#N/A</v>
      </c>
      <c r="AG60" s="30">
        <f>IF($AB60="",0,IFERROR(INDEX(engDados,MATCH(selAnalito&amp;"|"&amp;$B60,engChave,0),10),0))</f>
        <v>0</v>
      </c>
      <c r="AH60" s="30">
        <f>IF($AB60="",0,IFERROR(INDEX(engDados,MATCH(selAnalito&amp;"|"&amp;$B60,engChave,0),11),0))</f>
        <v>0</v>
      </c>
      <c r="AI60" s="30">
        <f>IF($AB60="",0,IFERROR(INDEX(engDados,MATCH(selAnalito&amp;"|"&amp;$B60,engChave,0),12),0))</f>
        <v>0</v>
      </c>
      <c r="AJ60" s="30">
        <f>IF($AB60="",0,IFERROR(INDEX(engDados,MATCH(selAnalito&amp;"|"&amp;$B60,engChave,0),13),0))</f>
        <v>0</v>
      </c>
      <c r="AK60" s="30">
        <f>IF($AB60="",0,IFERROR(INDEX(engDados,MATCH(selAnalito&amp;"|"&amp;$B60,engChave,0),14),0))</f>
        <v>0</v>
      </c>
      <c r="AL60" s="30" t="str">
        <f>IF($AB60="","",IFERROR(INDEX(engDados,MATCH(selAnalito&amp;"|"&amp;$B60,engChave,0),16),""))</f>
        <v/>
      </c>
      <c r="AM60" s="30" t="e">
        <f t="shared" si="50"/>
        <v>#N/A</v>
      </c>
      <c r="AN60" s="30" t="e">
        <f t="shared" si="51"/>
        <v>#N/A</v>
      </c>
      <c r="AO60" s="30" t="e">
        <f t="shared" si="52"/>
        <v>#N/A</v>
      </c>
      <c r="AP60" s="30" t="e">
        <f t="shared" si="53"/>
        <v>#N/A</v>
      </c>
      <c r="AQ60" s="30" t="e">
        <f t="shared" si="54"/>
        <v>#N/A</v>
      </c>
      <c r="AR60" s="30" t="e">
        <f t="shared" si="55"/>
        <v>#N/A</v>
      </c>
      <c r="AS60" s="30" t="e">
        <f t="shared" si="56"/>
        <v>#N/A</v>
      </c>
      <c r="AT60" s="30" t="e">
        <f>IF(AND($D60=1,(""&amp;loteAnalise)=(""&amp;loteCarregado),COUNTIFS(regAnalito,selAnalito,regNivel,2,regData,$C60,regRep1,"&lt;&gt;")&gt;0),SUMIFS(regRep1,regAnalito,selAnalito,regNivel,2,regData,$C60),NA())</f>
        <v>#N/A</v>
      </c>
      <c r="AU60" s="30" t="e">
        <f>IF(AND($D60=1,(""&amp;loteAnalise)=(""&amp;loteCarregado),COUNTIFS(regAnalito,selAnalito,regNivel,2,regData,$C60,regRep2,"&lt;&gt;")&gt;0),SUMIFS(regRep2,regAnalito,selAnalito,regNivel,2,regData,$C60),NA())</f>
        <v>#N/A</v>
      </c>
      <c r="AV60" s="30" t="e">
        <f>IF(AND($D60=1,(""&amp;loteAnalise)=(""&amp;loteCarregado),COUNTIFS(regAnalito,selAnalito,regNivel,2,regData,$C60,regRep3,"&lt;&gt;")&gt;0),SUMIFS(regRep3,regAnalito,selAnalito,regNivel,2,regData,$C60),NA())</f>
        <v>#N/A</v>
      </c>
      <c r="AW60" s="30" t="e">
        <f>IF(AND($D60=1,COUNTIFS(regAnalito,selAnalito,regData,$C60,regCalib,"Sim")&gt;0),$BV$1,NA())</f>
        <v>#N/A</v>
      </c>
      <c r="AX60" s="30" t="str">
        <f>IF($B60="","",IF(INDEX(engValN3,$A60)="","",INDEX(engValN3,$A60)))</f>
        <v/>
      </c>
      <c r="AY60" s="30" t="str">
        <f t="shared" si="57"/>
        <v/>
      </c>
      <c r="AZ60" s="30" t="e">
        <f t="shared" si="58"/>
        <v>#N/A</v>
      </c>
      <c r="BA60" s="30" t="e">
        <f t="shared" si="59"/>
        <v>#N/A</v>
      </c>
      <c r="BB60" s="30" t="e">
        <f t="shared" si="60"/>
        <v>#N/A</v>
      </c>
      <c r="BC60" s="30">
        <f>IF($AX60="",0,IFERROR(INDEX(engDados,MATCH(selAnalito&amp;"|"&amp;$B60,engChave,0),17),0))</f>
        <v>0</v>
      </c>
      <c r="BD60" s="30">
        <f>IF($AX60="",0,IFERROR(INDEX(engDados,MATCH(selAnalito&amp;"|"&amp;$B60,engChave,0),18),0))</f>
        <v>0</v>
      </c>
      <c r="BE60" s="30">
        <f>IF($AX60="",0,IFERROR(INDEX(engDados,MATCH(selAnalito&amp;"|"&amp;$B60,engChave,0),19),0))</f>
        <v>0</v>
      </c>
      <c r="BF60" s="30">
        <f>IF($AX60="",0,IFERROR(INDEX(engDados,MATCH(selAnalito&amp;"|"&amp;$B60,engChave,0),20),0))</f>
        <v>0</v>
      </c>
      <c r="BG60" s="30">
        <f>IF($AX60="",0,IFERROR(INDEX(engDados,MATCH(selAnalito&amp;"|"&amp;$B60,engChave,0),21),0))</f>
        <v>0</v>
      </c>
      <c r="BH60" s="30" t="str">
        <f>IF($AX60="","",IFERROR(INDEX(engDados,MATCH(selAnalito&amp;"|"&amp;$B60,engChave,0),23),""))</f>
        <v/>
      </c>
      <c r="BI60" s="30" t="e">
        <f t="shared" si="61"/>
        <v>#N/A</v>
      </c>
      <c r="BJ60" s="30" t="e">
        <f t="shared" si="62"/>
        <v>#N/A</v>
      </c>
      <c r="BK60" s="30" t="e">
        <f t="shared" si="63"/>
        <v>#N/A</v>
      </c>
      <c r="BL60" s="30" t="e">
        <f t="shared" si="64"/>
        <v>#N/A</v>
      </c>
      <c r="BM60" s="30" t="e">
        <f t="shared" si="65"/>
        <v>#N/A</v>
      </c>
      <c r="BN60" s="30" t="e">
        <f t="shared" si="66"/>
        <v>#N/A</v>
      </c>
      <c r="BO60" s="30" t="e">
        <f t="shared" si="67"/>
        <v>#N/A</v>
      </c>
      <c r="BP60" s="30" t="e">
        <f>IF(AND($D60=1,(""&amp;loteAnalise)=(""&amp;loteCarregado),COUNTIFS(regAnalito,selAnalito,regNivel,3,regData,$C60,regRep1,"&lt;&gt;")&gt;0),SUMIFS(regRep1,regAnalito,selAnalito,regNivel,3,regData,$C60),NA())</f>
        <v>#N/A</v>
      </c>
      <c r="BQ60" s="30" t="e">
        <f>IF(AND($D60=1,(""&amp;loteAnalise)=(""&amp;loteCarregado),COUNTIFS(regAnalito,selAnalito,regNivel,3,regData,$C60,regRep2,"&lt;&gt;")&gt;0),SUMIFS(regRep2,regAnalito,selAnalito,regNivel,3,regData,$C60),NA())</f>
        <v>#N/A</v>
      </c>
      <c r="BR60" s="30" t="e">
        <f>IF(AND($D60=1,(""&amp;loteAnalise)=(""&amp;loteCarregado),COUNTIFS(regAnalito,selAnalito,regNivel,3,regData,$C60,regRep3,"&lt;&gt;")&gt;0),SUMIFS(regRep3,regAnalito,selAnalito,regNivel,3,regData,$C60),NA())</f>
        <v>#N/A</v>
      </c>
      <c r="BS60" s="30" t="e">
        <f>IF(AND($D60=1,COUNTIFS(regAnalito,selAnalito,regData,$C60,regCalib,"Sim")&gt;0),$BX$1,NA())</f>
        <v>#N/A</v>
      </c>
    </row>
    <row r="61" spans="1:71" x14ac:dyDescent="0.3">
      <c r="A61" s="30">
        <v>59</v>
      </c>
      <c r="B61" s="30" t="str">
        <f>IF(OR(selAnalito="",(""&amp;engAnalito)&lt;&gt;(""&amp;selAnalito),(""&amp;engLote)&lt;&gt;(""&amp;loteAnalise),$A61&gt;N(engNRun)),"",INDEX(engRUN,$A61))</f>
        <v/>
      </c>
      <c r="C61" s="43" t="str">
        <f>IF($B61="","",IF(INDEX(engData,$A61)="","",INDEX(engData,$A61)))</f>
        <v/>
      </c>
      <c r="D61" s="30">
        <f>IF($C61="",0,IF(AND(OR(filtroDe="",INT($C61)&gt;=INT(filtroDe)),OR(filtroAte="",INT($C61)&lt;=INT(filtroAte))),1,0))</f>
        <v>0</v>
      </c>
      <c r="E61" s="30" t="e">
        <f t="shared" si="34"/>
        <v>#N/A</v>
      </c>
      <c r="F61" s="30" t="str">
        <f>IF($B61="","",IF(INDEX(engValN1,$A61)="","",INDEX(engValN1,$A61)))</f>
        <v/>
      </c>
      <c r="G61" s="30" t="str">
        <f t="shared" si="35"/>
        <v/>
      </c>
      <c r="H61" s="30" t="e">
        <f t="shared" si="36"/>
        <v>#N/A</v>
      </c>
      <c r="I61" s="30" t="e">
        <f t="shared" si="37"/>
        <v>#N/A</v>
      </c>
      <c r="J61" s="30" t="e">
        <f t="shared" si="38"/>
        <v>#N/A</v>
      </c>
      <c r="K61" s="30">
        <f>IF($F61="",0,IFERROR(INDEX(engDados,MATCH(selAnalito&amp;"|"&amp;$B61,engChave,0),3),0))</f>
        <v>0</v>
      </c>
      <c r="L61" s="30">
        <f>IF($F61="",0,IFERROR(INDEX(engDados,MATCH(selAnalito&amp;"|"&amp;$B61,engChave,0),4),0))</f>
        <v>0</v>
      </c>
      <c r="M61" s="30">
        <f>IF($F61="",0,IFERROR(INDEX(engDados,MATCH(selAnalito&amp;"|"&amp;$B61,engChave,0),5),0))</f>
        <v>0</v>
      </c>
      <c r="N61" s="30">
        <f>IF($F61="",0,IFERROR(INDEX(engDados,MATCH(selAnalito&amp;"|"&amp;$B61,engChave,0),6),0))</f>
        <v>0</v>
      </c>
      <c r="O61" s="30">
        <f>IF($F61="",0,IFERROR(INDEX(engDados,MATCH(selAnalito&amp;"|"&amp;$B61,engChave,0),7),0))</f>
        <v>0</v>
      </c>
      <c r="P61" s="30" t="str">
        <f>IF($F61="","",IFERROR(INDEX(engDados,MATCH(selAnalito&amp;"|"&amp;$B61,engChave,0),9),""))</f>
        <v/>
      </c>
      <c r="Q61" s="30" t="e">
        <f t="shared" si="39"/>
        <v>#N/A</v>
      </c>
      <c r="R61" s="30" t="e">
        <f t="shared" si="40"/>
        <v>#N/A</v>
      </c>
      <c r="S61" s="30" t="e">
        <f t="shared" si="41"/>
        <v>#N/A</v>
      </c>
      <c r="T61" s="30" t="e">
        <f t="shared" si="42"/>
        <v>#N/A</v>
      </c>
      <c r="U61" s="30" t="e">
        <f t="shared" si="43"/>
        <v>#N/A</v>
      </c>
      <c r="V61" s="30" t="e">
        <f t="shared" si="44"/>
        <v>#N/A</v>
      </c>
      <c r="W61" s="30" t="e">
        <f t="shared" si="45"/>
        <v>#N/A</v>
      </c>
      <c r="X61" s="30" t="e">
        <f>IF(AND($D61=1,(""&amp;loteAnalise)=(""&amp;loteCarregado),COUNTIFS(regAnalito,selAnalito,regNivel,1,regData,$C61,regRep1,"&lt;&gt;")&gt;0),SUMIFS(regRep1,regAnalito,selAnalito,regNivel,1,regData,$C61),NA())</f>
        <v>#N/A</v>
      </c>
      <c r="Y61" s="30" t="e">
        <f>IF(AND($D61=1,(""&amp;loteAnalise)=(""&amp;loteCarregado),COUNTIFS(regAnalito,selAnalito,regNivel,1,regData,$C61,regRep2,"&lt;&gt;")&gt;0),SUMIFS(regRep2,regAnalito,selAnalito,regNivel,1,regData,$C61),NA())</f>
        <v>#N/A</v>
      </c>
      <c r="Z61" s="30" t="e">
        <f>IF(AND($D61=1,(""&amp;loteAnalise)=(""&amp;loteCarregado),COUNTIFS(regAnalito,selAnalito,regNivel,1,regData,$C61,regRep3,"&lt;&gt;")&gt;0),SUMIFS(regRep3,regAnalito,selAnalito,regNivel,1,regData,$C61),NA())</f>
        <v>#N/A</v>
      </c>
      <c r="AA61" s="30" t="e">
        <f>IF(AND($D61=1,COUNTIFS(regAnalito,selAnalito,regData,$C61,regCalib,"Sim")&gt;0),$BT$1,NA())</f>
        <v>#N/A</v>
      </c>
      <c r="AB61" s="30" t="str">
        <f>IF($B61="","",IF(INDEX(engValN2,$A61)="","",INDEX(engValN2,$A61)))</f>
        <v/>
      </c>
      <c r="AC61" s="30" t="str">
        <f t="shared" si="46"/>
        <v/>
      </c>
      <c r="AD61" s="30" t="e">
        <f t="shared" si="47"/>
        <v>#N/A</v>
      </c>
      <c r="AE61" s="30" t="e">
        <f t="shared" si="48"/>
        <v>#N/A</v>
      </c>
      <c r="AF61" s="30" t="e">
        <f t="shared" si="49"/>
        <v>#N/A</v>
      </c>
      <c r="AG61" s="30">
        <f>IF($AB61="",0,IFERROR(INDEX(engDados,MATCH(selAnalito&amp;"|"&amp;$B61,engChave,0),10),0))</f>
        <v>0</v>
      </c>
      <c r="AH61" s="30">
        <f>IF($AB61="",0,IFERROR(INDEX(engDados,MATCH(selAnalito&amp;"|"&amp;$B61,engChave,0),11),0))</f>
        <v>0</v>
      </c>
      <c r="AI61" s="30">
        <f>IF($AB61="",0,IFERROR(INDEX(engDados,MATCH(selAnalito&amp;"|"&amp;$B61,engChave,0),12),0))</f>
        <v>0</v>
      </c>
      <c r="AJ61" s="30">
        <f>IF($AB61="",0,IFERROR(INDEX(engDados,MATCH(selAnalito&amp;"|"&amp;$B61,engChave,0),13),0))</f>
        <v>0</v>
      </c>
      <c r="AK61" s="30">
        <f>IF($AB61="",0,IFERROR(INDEX(engDados,MATCH(selAnalito&amp;"|"&amp;$B61,engChave,0),14),0))</f>
        <v>0</v>
      </c>
      <c r="AL61" s="30" t="str">
        <f>IF($AB61="","",IFERROR(INDEX(engDados,MATCH(selAnalito&amp;"|"&amp;$B61,engChave,0),16),""))</f>
        <v/>
      </c>
      <c r="AM61" s="30" t="e">
        <f t="shared" si="50"/>
        <v>#N/A</v>
      </c>
      <c r="AN61" s="30" t="e">
        <f t="shared" si="51"/>
        <v>#N/A</v>
      </c>
      <c r="AO61" s="30" t="e">
        <f t="shared" si="52"/>
        <v>#N/A</v>
      </c>
      <c r="AP61" s="30" t="e">
        <f t="shared" si="53"/>
        <v>#N/A</v>
      </c>
      <c r="AQ61" s="30" t="e">
        <f t="shared" si="54"/>
        <v>#N/A</v>
      </c>
      <c r="AR61" s="30" t="e">
        <f t="shared" si="55"/>
        <v>#N/A</v>
      </c>
      <c r="AS61" s="30" t="e">
        <f t="shared" si="56"/>
        <v>#N/A</v>
      </c>
      <c r="AT61" s="30" t="e">
        <f>IF(AND($D61=1,(""&amp;loteAnalise)=(""&amp;loteCarregado),COUNTIFS(regAnalito,selAnalito,regNivel,2,regData,$C61,regRep1,"&lt;&gt;")&gt;0),SUMIFS(regRep1,regAnalito,selAnalito,regNivel,2,regData,$C61),NA())</f>
        <v>#N/A</v>
      </c>
      <c r="AU61" s="30" t="e">
        <f>IF(AND($D61=1,(""&amp;loteAnalise)=(""&amp;loteCarregado),COUNTIFS(regAnalito,selAnalito,regNivel,2,regData,$C61,regRep2,"&lt;&gt;")&gt;0),SUMIFS(regRep2,regAnalito,selAnalito,regNivel,2,regData,$C61),NA())</f>
        <v>#N/A</v>
      </c>
      <c r="AV61" s="30" t="e">
        <f>IF(AND($D61=1,(""&amp;loteAnalise)=(""&amp;loteCarregado),COUNTIFS(regAnalito,selAnalito,regNivel,2,regData,$C61,regRep3,"&lt;&gt;")&gt;0),SUMIFS(regRep3,regAnalito,selAnalito,regNivel,2,regData,$C61),NA())</f>
        <v>#N/A</v>
      </c>
      <c r="AW61" s="30" t="e">
        <f>IF(AND($D61=1,COUNTIFS(regAnalito,selAnalito,regData,$C61,regCalib,"Sim")&gt;0),$BV$1,NA())</f>
        <v>#N/A</v>
      </c>
      <c r="AX61" s="30" t="str">
        <f>IF($B61="","",IF(INDEX(engValN3,$A61)="","",INDEX(engValN3,$A61)))</f>
        <v/>
      </c>
      <c r="AY61" s="30" t="str">
        <f t="shared" si="57"/>
        <v/>
      </c>
      <c r="AZ61" s="30" t="e">
        <f t="shared" si="58"/>
        <v>#N/A</v>
      </c>
      <c r="BA61" s="30" t="e">
        <f t="shared" si="59"/>
        <v>#N/A</v>
      </c>
      <c r="BB61" s="30" t="e">
        <f t="shared" si="60"/>
        <v>#N/A</v>
      </c>
      <c r="BC61" s="30">
        <f>IF($AX61="",0,IFERROR(INDEX(engDados,MATCH(selAnalito&amp;"|"&amp;$B61,engChave,0),17),0))</f>
        <v>0</v>
      </c>
      <c r="BD61" s="30">
        <f>IF($AX61="",0,IFERROR(INDEX(engDados,MATCH(selAnalito&amp;"|"&amp;$B61,engChave,0),18),0))</f>
        <v>0</v>
      </c>
      <c r="BE61" s="30">
        <f>IF($AX61="",0,IFERROR(INDEX(engDados,MATCH(selAnalito&amp;"|"&amp;$B61,engChave,0),19),0))</f>
        <v>0</v>
      </c>
      <c r="BF61" s="30">
        <f>IF($AX61="",0,IFERROR(INDEX(engDados,MATCH(selAnalito&amp;"|"&amp;$B61,engChave,0),20),0))</f>
        <v>0</v>
      </c>
      <c r="BG61" s="30">
        <f>IF($AX61="",0,IFERROR(INDEX(engDados,MATCH(selAnalito&amp;"|"&amp;$B61,engChave,0),21),0))</f>
        <v>0</v>
      </c>
      <c r="BH61" s="30" t="str">
        <f>IF($AX61="","",IFERROR(INDEX(engDados,MATCH(selAnalito&amp;"|"&amp;$B61,engChave,0),23),""))</f>
        <v/>
      </c>
      <c r="BI61" s="30" t="e">
        <f t="shared" si="61"/>
        <v>#N/A</v>
      </c>
      <c r="BJ61" s="30" t="e">
        <f t="shared" si="62"/>
        <v>#N/A</v>
      </c>
      <c r="BK61" s="30" t="e">
        <f t="shared" si="63"/>
        <v>#N/A</v>
      </c>
      <c r="BL61" s="30" t="e">
        <f t="shared" si="64"/>
        <v>#N/A</v>
      </c>
      <c r="BM61" s="30" t="e">
        <f t="shared" si="65"/>
        <v>#N/A</v>
      </c>
      <c r="BN61" s="30" t="e">
        <f t="shared" si="66"/>
        <v>#N/A</v>
      </c>
      <c r="BO61" s="30" t="e">
        <f t="shared" si="67"/>
        <v>#N/A</v>
      </c>
      <c r="BP61" s="30" t="e">
        <f>IF(AND($D61=1,(""&amp;loteAnalise)=(""&amp;loteCarregado),COUNTIFS(regAnalito,selAnalito,regNivel,3,regData,$C61,regRep1,"&lt;&gt;")&gt;0),SUMIFS(regRep1,regAnalito,selAnalito,regNivel,3,regData,$C61),NA())</f>
        <v>#N/A</v>
      </c>
      <c r="BQ61" s="30" t="e">
        <f>IF(AND($D61=1,(""&amp;loteAnalise)=(""&amp;loteCarregado),COUNTIFS(regAnalito,selAnalito,regNivel,3,regData,$C61,regRep2,"&lt;&gt;")&gt;0),SUMIFS(regRep2,regAnalito,selAnalito,regNivel,3,regData,$C61),NA())</f>
        <v>#N/A</v>
      </c>
      <c r="BR61" s="30" t="e">
        <f>IF(AND($D61=1,(""&amp;loteAnalise)=(""&amp;loteCarregado),COUNTIFS(regAnalito,selAnalito,regNivel,3,regData,$C61,regRep3,"&lt;&gt;")&gt;0),SUMIFS(regRep3,regAnalito,selAnalito,regNivel,3,regData,$C61),NA())</f>
        <v>#N/A</v>
      </c>
      <c r="BS61" s="30" t="e">
        <f>IF(AND($D61=1,COUNTIFS(regAnalito,selAnalito,regData,$C61,regCalib,"Sim")&gt;0),$BX$1,NA())</f>
        <v>#N/A</v>
      </c>
    </row>
    <row r="62" spans="1:71" x14ac:dyDescent="0.3">
      <c r="A62" s="30">
        <v>60</v>
      </c>
      <c r="B62" s="30" t="str">
        <f>IF(OR(selAnalito="",(""&amp;engAnalito)&lt;&gt;(""&amp;selAnalito),(""&amp;engLote)&lt;&gt;(""&amp;loteAnalise),$A62&gt;N(engNRun)),"",INDEX(engRUN,$A62))</f>
        <v/>
      </c>
      <c r="C62" s="43" t="str">
        <f>IF($B62="","",IF(INDEX(engData,$A62)="","",INDEX(engData,$A62)))</f>
        <v/>
      </c>
      <c r="D62" s="30">
        <f>IF($C62="",0,IF(AND(OR(filtroDe="",INT($C62)&gt;=INT(filtroDe)),OR(filtroAte="",INT($C62)&lt;=INT(filtroAte))),1,0))</f>
        <v>0</v>
      </c>
      <c r="E62" s="30" t="e">
        <f t="shared" si="34"/>
        <v>#N/A</v>
      </c>
      <c r="F62" s="30" t="str">
        <f>IF($B62="","",IF(INDEX(engValN1,$A62)="","",INDEX(engValN1,$A62)))</f>
        <v/>
      </c>
      <c r="G62" s="30" t="str">
        <f t="shared" si="35"/>
        <v/>
      </c>
      <c r="H62" s="30" t="e">
        <f t="shared" si="36"/>
        <v>#N/A</v>
      </c>
      <c r="I62" s="30" t="e">
        <f t="shared" si="37"/>
        <v>#N/A</v>
      </c>
      <c r="J62" s="30" t="e">
        <f t="shared" si="38"/>
        <v>#N/A</v>
      </c>
      <c r="K62" s="30">
        <f>IF($F62="",0,IFERROR(INDEX(engDados,MATCH(selAnalito&amp;"|"&amp;$B62,engChave,0),3),0))</f>
        <v>0</v>
      </c>
      <c r="L62" s="30">
        <f>IF($F62="",0,IFERROR(INDEX(engDados,MATCH(selAnalito&amp;"|"&amp;$B62,engChave,0),4),0))</f>
        <v>0</v>
      </c>
      <c r="M62" s="30">
        <f>IF($F62="",0,IFERROR(INDEX(engDados,MATCH(selAnalito&amp;"|"&amp;$B62,engChave,0),5),0))</f>
        <v>0</v>
      </c>
      <c r="N62" s="30">
        <f>IF($F62="",0,IFERROR(INDEX(engDados,MATCH(selAnalito&amp;"|"&amp;$B62,engChave,0),6),0))</f>
        <v>0</v>
      </c>
      <c r="O62" s="30">
        <f>IF($F62="",0,IFERROR(INDEX(engDados,MATCH(selAnalito&amp;"|"&amp;$B62,engChave,0),7),0))</f>
        <v>0</v>
      </c>
      <c r="P62" s="30" t="str">
        <f>IF($F62="","",IFERROR(INDEX(engDados,MATCH(selAnalito&amp;"|"&amp;$B62,engChave,0),9),""))</f>
        <v/>
      </c>
      <c r="Q62" s="30" t="e">
        <f t="shared" si="39"/>
        <v>#N/A</v>
      </c>
      <c r="R62" s="30" t="e">
        <f t="shared" si="40"/>
        <v>#N/A</v>
      </c>
      <c r="S62" s="30" t="e">
        <f t="shared" si="41"/>
        <v>#N/A</v>
      </c>
      <c r="T62" s="30" t="e">
        <f t="shared" si="42"/>
        <v>#N/A</v>
      </c>
      <c r="U62" s="30" t="e">
        <f t="shared" si="43"/>
        <v>#N/A</v>
      </c>
      <c r="V62" s="30" t="e">
        <f t="shared" si="44"/>
        <v>#N/A</v>
      </c>
      <c r="W62" s="30" t="e">
        <f t="shared" si="45"/>
        <v>#N/A</v>
      </c>
      <c r="X62" s="30" t="e">
        <f>IF(AND($D62=1,(""&amp;loteAnalise)=(""&amp;loteCarregado),COUNTIFS(regAnalito,selAnalito,regNivel,1,regData,$C62,regRep1,"&lt;&gt;")&gt;0),SUMIFS(regRep1,regAnalito,selAnalito,regNivel,1,regData,$C62),NA())</f>
        <v>#N/A</v>
      </c>
      <c r="Y62" s="30" t="e">
        <f>IF(AND($D62=1,(""&amp;loteAnalise)=(""&amp;loteCarregado),COUNTIFS(regAnalito,selAnalito,regNivel,1,regData,$C62,regRep2,"&lt;&gt;")&gt;0),SUMIFS(regRep2,regAnalito,selAnalito,regNivel,1,regData,$C62),NA())</f>
        <v>#N/A</v>
      </c>
      <c r="Z62" s="30" t="e">
        <f>IF(AND($D62=1,(""&amp;loteAnalise)=(""&amp;loteCarregado),COUNTIFS(regAnalito,selAnalito,regNivel,1,regData,$C62,regRep3,"&lt;&gt;")&gt;0),SUMIFS(regRep3,regAnalito,selAnalito,regNivel,1,regData,$C62),NA())</f>
        <v>#N/A</v>
      </c>
      <c r="AA62" s="30" t="e">
        <f>IF(AND($D62=1,COUNTIFS(regAnalito,selAnalito,regData,$C62,regCalib,"Sim")&gt;0),$BT$1,NA())</f>
        <v>#N/A</v>
      </c>
      <c r="AB62" s="30" t="str">
        <f>IF($B62="","",IF(INDEX(engValN2,$A62)="","",INDEX(engValN2,$A62)))</f>
        <v/>
      </c>
      <c r="AC62" s="30" t="str">
        <f t="shared" si="46"/>
        <v/>
      </c>
      <c r="AD62" s="30" t="e">
        <f t="shared" si="47"/>
        <v>#N/A</v>
      </c>
      <c r="AE62" s="30" t="e">
        <f t="shared" si="48"/>
        <v>#N/A</v>
      </c>
      <c r="AF62" s="30" t="e">
        <f t="shared" si="49"/>
        <v>#N/A</v>
      </c>
      <c r="AG62" s="30">
        <f>IF($AB62="",0,IFERROR(INDEX(engDados,MATCH(selAnalito&amp;"|"&amp;$B62,engChave,0),10),0))</f>
        <v>0</v>
      </c>
      <c r="AH62" s="30">
        <f>IF($AB62="",0,IFERROR(INDEX(engDados,MATCH(selAnalito&amp;"|"&amp;$B62,engChave,0),11),0))</f>
        <v>0</v>
      </c>
      <c r="AI62" s="30">
        <f>IF($AB62="",0,IFERROR(INDEX(engDados,MATCH(selAnalito&amp;"|"&amp;$B62,engChave,0),12),0))</f>
        <v>0</v>
      </c>
      <c r="AJ62" s="30">
        <f>IF($AB62="",0,IFERROR(INDEX(engDados,MATCH(selAnalito&amp;"|"&amp;$B62,engChave,0),13),0))</f>
        <v>0</v>
      </c>
      <c r="AK62" s="30">
        <f>IF($AB62="",0,IFERROR(INDEX(engDados,MATCH(selAnalito&amp;"|"&amp;$B62,engChave,0),14),0))</f>
        <v>0</v>
      </c>
      <c r="AL62" s="30" t="str">
        <f>IF($AB62="","",IFERROR(INDEX(engDados,MATCH(selAnalito&amp;"|"&amp;$B62,engChave,0),16),""))</f>
        <v/>
      </c>
      <c r="AM62" s="30" t="e">
        <f t="shared" si="50"/>
        <v>#N/A</v>
      </c>
      <c r="AN62" s="30" t="e">
        <f t="shared" si="51"/>
        <v>#N/A</v>
      </c>
      <c r="AO62" s="30" t="e">
        <f t="shared" si="52"/>
        <v>#N/A</v>
      </c>
      <c r="AP62" s="30" t="e">
        <f t="shared" si="53"/>
        <v>#N/A</v>
      </c>
      <c r="AQ62" s="30" t="e">
        <f t="shared" si="54"/>
        <v>#N/A</v>
      </c>
      <c r="AR62" s="30" t="e">
        <f t="shared" si="55"/>
        <v>#N/A</v>
      </c>
      <c r="AS62" s="30" t="e">
        <f t="shared" si="56"/>
        <v>#N/A</v>
      </c>
      <c r="AT62" s="30" t="e">
        <f>IF(AND($D62=1,(""&amp;loteAnalise)=(""&amp;loteCarregado),COUNTIFS(regAnalito,selAnalito,regNivel,2,regData,$C62,regRep1,"&lt;&gt;")&gt;0),SUMIFS(regRep1,regAnalito,selAnalito,regNivel,2,regData,$C62),NA())</f>
        <v>#N/A</v>
      </c>
      <c r="AU62" s="30" t="e">
        <f>IF(AND($D62=1,(""&amp;loteAnalise)=(""&amp;loteCarregado),COUNTIFS(regAnalito,selAnalito,regNivel,2,regData,$C62,regRep2,"&lt;&gt;")&gt;0),SUMIFS(regRep2,regAnalito,selAnalito,regNivel,2,regData,$C62),NA())</f>
        <v>#N/A</v>
      </c>
      <c r="AV62" s="30" t="e">
        <f>IF(AND($D62=1,(""&amp;loteAnalise)=(""&amp;loteCarregado),COUNTIFS(regAnalito,selAnalito,regNivel,2,regData,$C62,regRep3,"&lt;&gt;")&gt;0),SUMIFS(regRep3,regAnalito,selAnalito,regNivel,2,regData,$C62),NA())</f>
        <v>#N/A</v>
      </c>
      <c r="AW62" s="30" t="e">
        <f>IF(AND($D62=1,COUNTIFS(regAnalito,selAnalito,regData,$C62,regCalib,"Sim")&gt;0),$BV$1,NA())</f>
        <v>#N/A</v>
      </c>
      <c r="AX62" s="30" t="str">
        <f>IF($B62="","",IF(INDEX(engValN3,$A62)="","",INDEX(engValN3,$A62)))</f>
        <v/>
      </c>
      <c r="AY62" s="30" t="str">
        <f t="shared" si="57"/>
        <v/>
      </c>
      <c r="AZ62" s="30" t="e">
        <f t="shared" si="58"/>
        <v>#N/A</v>
      </c>
      <c r="BA62" s="30" t="e">
        <f t="shared" si="59"/>
        <v>#N/A</v>
      </c>
      <c r="BB62" s="30" t="e">
        <f t="shared" si="60"/>
        <v>#N/A</v>
      </c>
      <c r="BC62" s="30">
        <f>IF($AX62="",0,IFERROR(INDEX(engDados,MATCH(selAnalito&amp;"|"&amp;$B62,engChave,0),17),0))</f>
        <v>0</v>
      </c>
      <c r="BD62" s="30">
        <f>IF($AX62="",0,IFERROR(INDEX(engDados,MATCH(selAnalito&amp;"|"&amp;$B62,engChave,0),18),0))</f>
        <v>0</v>
      </c>
      <c r="BE62" s="30">
        <f>IF($AX62="",0,IFERROR(INDEX(engDados,MATCH(selAnalito&amp;"|"&amp;$B62,engChave,0),19),0))</f>
        <v>0</v>
      </c>
      <c r="BF62" s="30">
        <f>IF($AX62="",0,IFERROR(INDEX(engDados,MATCH(selAnalito&amp;"|"&amp;$B62,engChave,0),20),0))</f>
        <v>0</v>
      </c>
      <c r="BG62" s="30">
        <f>IF($AX62="",0,IFERROR(INDEX(engDados,MATCH(selAnalito&amp;"|"&amp;$B62,engChave,0),21),0))</f>
        <v>0</v>
      </c>
      <c r="BH62" s="30" t="str">
        <f>IF($AX62="","",IFERROR(INDEX(engDados,MATCH(selAnalito&amp;"|"&amp;$B62,engChave,0),23),""))</f>
        <v/>
      </c>
      <c r="BI62" s="30" t="e">
        <f t="shared" si="61"/>
        <v>#N/A</v>
      </c>
      <c r="BJ62" s="30" t="e">
        <f t="shared" si="62"/>
        <v>#N/A</v>
      </c>
      <c r="BK62" s="30" t="e">
        <f t="shared" si="63"/>
        <v>#N/A</v>
      </c>
      <c r="BL62" s="30" t="e">
        <f t="shared" si="64"/>
        <v>#N/A</v>
      </c>
      <c r="BM62" s="30" t="e">
        <f t="shared" si="65"/>
        <v>#N/A</v>
      </c>
      <c r="BN62" s="30" t="e">
        <f t="shared" si="66"/>
        <v>#N/A</v>
      </c>
      <c r="BO62" s="30" t="e">
        <f t="shared" si="67"/>
        <v>#N/A</v>
      </c>
      <c r="BP62" s="30" t="e">
        <f>IF(AND($D62=1,(""&amp;loteAnalise)=(""&amp;loteCarregado),COUNTIFS(regAnalito,selAnalito,regNivel,3,regData,$C62,regRep1,"&lt;&gt;")&gt;0),SUMIFS(regRep1,regAnalito,selAnalito,regNivel,3,regData,$C62),NA())</f>
        <v>#N/A</v>
      </c>
      <c r="BQ62" s="30" t="e">
        <f>IF(AND($D62=1,(""&amp;loteAnalise)=(""&amp;loteCarregado),COUNTIFS(regAnalito,selAnalito,regNivel,3,regData,$C62,regRep2,"&lt;&gt;")&gt;0),SUMIFS(regRep2,regAnalito,selAnalito,regNivel,3,regData,$C62),NA())</f>
        <v>#N/A</v>
      </c>
      <c r="BR62" s="30" t="e">
        <f>IF(AND($D62=1,(""&amp;loteAnalise)=(""&amp;loteCarregado),COUNTIFS(regAnalito,selAnalito,regNivel,3,regData,$C62,regRep3,"&lt;&gt;")&gt;0),SUMIFS(regRep3,regAnalito,selAnalito,regNivel,3,regData,$C62),NA())</f>
        <v>#N/A</v>
      </c>
      <c r="BS62" s="30" t="e">
        <f>IF(AND($D62=1,COUNTIFS(regAnalito,selAnalito,regData,$C62,regCalib,"Sim")&gt;0),$BX$1,NA())</f>
        <v>#N/A</v>
      </c>
    </row>
    <row r="63" spans="1:71" x14ac:dyDescent="0.3">
      <c r="A63" s="30">
        <v>61</v>
      </c>
      <c r="B63" s="30" t="str">
        <f>IF(OR(selAnalito="",(""&amp;engAnalito)&lt;&gt;(""&amp;selAnalito),(""&amp;engLote)&lt;&gt;(""&amp;loteAnalise),$A63&gt;N(engNRun)),"",INDEX(engRUN,$A63))</f>
        <v/>
      </c>
      <c r="C63" s="43" t="str">
        <f>IF($B63="","",IF(INDEX(engData,$A63)="","",INDEX(engData,$A63)))</f>
        <v/>
      </c>
      <c r="D63" s="30">
        <f>IF($C63="",0,IF(AND(OR(filtroDe="",INT($C63)&gt;=INT(filtroDe)),OR(filtroAte="",INT($C63)&lt;=INT(filtroAte))),1,0))</f>
        <v>0</v>
      </c>
      <c r="E63" s="30" t="e">
        <f t="shared" si="34"/>
        <v>#N/A</v>
      </c>
      <c r="F63" s="30" t="str">
        <f>IF($B63="","",IF(INDEX(engValN1,$A63)="","",INDEX(engValN1,$A63)))</f>
        <v/>
      </c>
      <c r="G63" s="30" t="str">
        <f t="shared" si="35"/>
        <v/>
      </c>
      <c r="H63" s="30" t="e">
        <f t="shared" si="36"/>
        <v>#N/A</v>
      </c>
      <c r="I63" s="30" t="e">
        <f t="shared" si="37"/>
        <v>#N/A</v>
      </c>
      <c r="J63" s="30" t="e">
        <f t="shared" si="38"/>
        <v>#N/A</v>
      </c>
      <c r="K63" s="30">
        <f>IF($F63="",0,IFERROR(INDEX(engDados,MATCH(selAnalito&amp;"|"&amp;$B63,engChave,0),3),0))</f>
        <v>0</v>
      </c>
      <c r="L63" s="30">
        <f>IF($F63="",0,IFERROR(INDEX(engDados,MATCH(selAnalito&amp;"|"&amp;$B63,engChave,0),4),0))</f>
        <v>0</v>
      </c>
      <c r="M63" s="30">
        <f>IF($F63="",0,IFERROR(INDEX(engDados,MATCH(selAnalito&amp;"|"&amp;$B63,engChave,0),5),0))</f>
        <v>0</v>
      </c>
      <c r="N63" s="30">
        <f>IF($F63="",0,IFERROR(INDEX(engDados,MATCH(selAnalito&amp;"|"&amp;$B63,engChave,0),6),0))</f>
        <v>0</v>
      </c>
      <c r="O63" s="30">
        <f>IF($F63="",0,IFERROR(INDEX(engDados,MATCH(selAnalito&amp;"|"&amp;$B63,engChave,0),7),0))</f>
        <v>0</v>
      </c>
      <c r="P63" s="30" t="str">
        <f>IF($F63="","",IFERROR(INDEX(engDados,MATCH(selAnalito&amp;"|"&amp;$B63,engChave,0),9),""))</f>
        <v/>
      </c>
      <c r="Q63" s="30" t="e">
        <f t="shared" si="39"/>
        <v>#N/A</v>
      </c>
      <c r="R63" s="30" t="e">
        <f t="shared" si="40"/>
        <v>#N/A</v>
      </c>
      <c r="S63" s="30" t="e">
        <f t="shared" si="41"/>
        <v>#N/A</v>
      </c>
      <c r="T63" s="30" t="e">
        <f t="shared" si="42"/>
        <v>#N/A</v>
      </c>
      <c r="U63" s="30" t="e">
        <f t="shared" si="43"/>
        <v>#N/A</v>
      </c>
      <c r="V63" s="30" t="e">
        <f t="shared" si="44"/>
        <v>#N/A</v>
      </c>
      <c r="W63" s="30" t="e">
        <f t="shared" si="45"/>
        <v>#N/A</v>
      </c>
      <c r="X63" s="30" t="e">
        <f>IF(AND($D63=1,(""&amp;loteAnalise)=(""&amp;loteCarregado),COUNTIFS(regAnalito,selAnalito,regNivel,1,regData,$C63,regRep1,"&lt;&gt;")&gt;0),SUMIFS(regRep1,regAnalito,selAnalito,regNivel,1,regData,$C63),NA())</f>
        <v>#N/A</v>
      </c>
      <c r="Y63" s="30" t="e">
        <f>IF(AND($D63=1,(""&amp;loteAnalise)=(""&amp;loteCarregado),COUNTIFS(regAnalito,selAnalito,regNivel,1,regData,$C63,regRep2,"&lt;&gt;")&gt;0),SUMIFS(regRep2,regAnalito,selAnalito,regNivel,1,regData,$C63),NA())</f>
        <v>#N/A</v>
      </c>
      <c r="Z63" s="30" t="e">
        <f>IF(AND($D63=1,(""&amp;loteAnalise)=(""&amp;loteCarregado),COUNTIFS(regAnalito,selAnalito,regNivel,1,regData,$C63,regRep3,"&lt;&gt;")&gt;0),SUMIFS(regRep3,regAnalito,selAnalito,regNivel,1,regData,$C63),NA())</f>
        <v>#N/A</v>
      </c>
      <c r="AA63" s="30" t="e">
        <f>IF(AND($D63=1,COUNTIFS(regAnalito,selAnalito,regData,$C63,regCalib,"Sim")&gt;0),$BT$1,NA())</f>
        <v>#N/A</v>
      </c>
      <c r="AB63" s="30" t="str">
        <f>IF($B63="","",IF(INDEX(engValN2,$A63)="","",INDEX(engValN2,$A63)))</f>
        <v/>
      </c>
      <c r="AC63" s="30" t="str">
        <f t="shared" si="46"/>
        <v/>
      </c>
      <c r="AD63" s="30" t="e">
        <f t="shared" si="47"/>
        <v>#N/A</v>
      </c>
      <c r="AE63" s="30" t="e">
        <f t="shared" si="48"/>
        <v>#N/A</v>
      </c>
      <c r="AF63" s="30" t="e">
        <f t="shared" si="49"/>
        <v>#N/A</v>
      </c>
      <c r="AG63" s="30">
        <f>IF($AB63="",0,IFERROR(INDEX(engDados,MATCH(selAnalito&amp;"|"&amp;$B63,engChave,0),10),0))</f>
        <v>0</v>
      </c>
      <c r="AH63" s="30">
        <f>IF($AB63="",0,IFERROR(INDEX(engDados,MATCH(selAnalito&amp;"|"&amp;$B63,engChave,0),11),0))</f>
        <v>0</v>
      </c>
      <c r="AI63" s="30">
        <f>IF($AB63="",0,IFERROR(INDEX(engDados,MATCH(selAnalito&amp;"|"&amp;$B63,engChave,0),12),0))</f>
        <v>0</v>
      </c>
      <c r="AJ63" s="30">
        <f>IF($AB63="",0,IFERROR(INDEX(engDados,MATCH(selAnalito&amp;"|"&amp;$B63,engChave,0),13),0))</f>
        <v>0</v>
      </c>
      <c r="AK63" s="30">
        <f>IF($AB63="",0,IFERROR(INDEX(engDados,MATCH(selAnalito&amp;"|"&amp;$B63,engChave,0),14),0))</f>
        <v>0</v>
      </c>
      <c r="AL63" s="30" t="str">
        <f>IF($AB63="","",IFERROR(INDEX(engDados,MATCH(selAnalito&amp;"|"&amp;$B63,engChave,0),16),""))</f>
        <v/>
      </c>
      <c r="AM63" s="30" t="e">
        <f t="shared" si="50"/>
        <v>#N/A</v>
      </c>
      <c r="AN63" s="30" t="e">
        <f t="shared" si="51"/>
        <v>#N/A</v>
      </c>
      <c r="AO63" s="30" t="e">
        <f t="shared" si="52"/>
        <v>#N/A</v>
      </c>
      <c r="AP63" s="30" t="e">
        <f t="shared" si="53"/>
        <v>#N/A</v>
      </c>
      <c r="AQ63" s="30" t="e">
        <f t="shared" si="54"/>
        <v>#N/A</v>
      </c>
      <c r="AR63" s="30" t="e">
        <f t="shared" si="55"/>
        <v>#N/A</v>
      </c>
      <c r="AS63" s="30" t="e">
        <f t="shared" si="56"/>
        <v>#N/A</v>
      </c>
      <c r="AT63" s="30" t="e">
        <f>IF(AND($D63=1,(""&amp;loteAnalise)=(""&amp;loteCarregado),COUNTIFS(regAnalito,selAnalito,regNivel,2,regData,$C63,regRep1,"&lt;&gt;")&gt;0),SUMIFS(regRep1,regAnalito,selAnalito,regNivel,2,regData,$C63),NA())</f>
        <v>#N/A</v>
      </c>
      <c r="AU63" s="30" t="e">
        <f>IF(AND($D63=1,(""&amp;loteAnalise)=(""&amp;loteCarregado),COUNTIFS(regAnalito,selAnalito,regNivel,2,regData,$C63,regRep2,"&lt;&gt;")&gt;0),SUMIFS(regRep2,regAnalito,selAnalito,regNivel,2,regData,$C63),NA())</f>
        <v>#N/A</v>
      </c>
      <c r="AV63" s="30" t="e">
        <f>IF(AND($D63=1,(""&amp;loteAnalise)=(""&amp;loteCarregado),COUNTIFS(regAnalito,selAnalito,regNivel,2,regData,$C63,regRep3,"&lt;&gt;")&gt;0),SUMIFS(regRep3,regAnalito,selAnalito,regNivel,2,regData,$C63),NA())</f>
        <v>#N/A</v>
      </c>
      <c r="AW63" s="30" t="e">
        <f>IF(AND($D63=1,COUNTIFS(regAnalito,selAnalito,regData,$C63,regCalib,"Sim")&gt;0),$BV$1,NA())</f>
        <v>#N/A</v>
      </c>
      <c r="AX63" s="30" t="str">
        <f>IF($B63="","",IF(INDEX(engValN3,$A63)="","",INDEX(engValN3,$A63)))</f>
        <v/>
      </c>
      <c r="AY63" s="30" t="str">
        <f t="shared" si="57"/>
        <v/>
      </c>
      <c r="AZ63" s="30" t="e">
        <f t="shared" si="58"/>
        <v>#N/A</v>
      </c>
      <c r="BA63" s="30" t="e">
        <f t="shared" si="59"/>
        <v>#N/A</v>
      </c>
      <c r="BB63" s="30" t="e">
        <f t="shared" si="60"/>
        <v>#N/A</v>
      </c>
      <c r="BC63" s="30">
        <f>IF($AX63="",0,IFERROR(INDEX(engDados,MATCH(selAnalito&amp;"|"&amp;$B63,engChave,0),17),0))</f>
        <v>0</v>
      </c>
      <c r="BD63" s="30">
        <f>IF($AX63="",0,IFERROR(INDEX(engDados,MATCH(selAnalito&amp;"|"&amp;$B63,engChave,0),18),0))</f>
        <v>0</v>
      </c>
      <c r="BE63" s="30">
        <f>IF($AX63="",0,IFERROR(INDEX(engDados,MATCH(selAnalito&amp;"|"&amp;$B63,engChave,0),19),0))</f>
        <v>0</v>
      </c>
      <c r="BF63" s="30">
        <f>IF($AX63="",0,IFERROR(INDEX(engDados,MATCH(selAnalito&amp;"|"&amp;$B63,engChave,0),20),0))</f>
        <v>0</v>
      </c>
      <c r="BG63" s="30">
        <f>IF($AX63="",0,IFERROR(INDEX(engDados,MATCH(selAnalito&amp;"|"&amp;$B63,engChave,0),21),0))</f>
        <v>0</v>
      </c>
      <c r="BH63" s="30" t="str">
        <f>IF($AX63="","",IFERROR(INDEX(engDados,MATCH(selAnalito&amp;"|"&amp;$B63,engChave,0),23),""))</f>
        <v/>
      </c>
      <c r="BI63" s="30" t="e">
        <f t="shared" si="61"/>
        <v>#N/A</v>
      </c>
      <c r="BJ63" s="30" t="e">
        <f t="shared" si="62"/>
        <v>#N/A</v>
      </c>
      <c r="BK63" s="30" t="e">
        <f t="shared" si="63"/>
        <v>#N/A</v>
      </c>
      <c r="BL63" s="30" t="e">
        <f t="shared" si="64"/>
        <v>#N/A</v>
      </c>
      <c r="BM63" s="30" t="e">
        <f t="shared" si="65"/>
        <v>#N/A</v>
      </c>
      <c r="BN63" s="30" t="e">
        <f t="shared" si="66"/>
        <v>#N/A</v>
      </c>
      <c r="BO63" s="30" t="e">
        <f t="shared" si="67"/>
        <v>#N/A</v>
      </c>
      <c r="BP63" s="30" t="e">
        <f>IF(AND($D63=1,(""&amp;loteAnalise)=(""&amp;loteCarregado),COUNTIFS(regAnalito,selAnalito,regNivel,3,regData,$C63,regRep1,"&lt;&gt;")&gt;0),SUMIFS(regRep1,regAnalito,selAnalito,regNivel,3,regData,$C63),NA())</f>
        <v>#N/A</v>
      </c>
      <c r="BQ63" s="30" t="e">
        <f>IF(AND($D63=1,(""&amp;loteAnalise)=(""&amp;loteCarregado),COUNTIFS(regAnalito,selAnalito,regNivel,3,regData,$C63,regRep2,"&lt;&gt;")&gt;0),SUMIFS(regRep2,regAnalito,selAnalito,regNivel,3,regData,$C63),NA())</f>
        <v>#N/A</v>
      </c>
      <c r="BR63" s="30" t="e">
        <f>IF(AND($D63=1,(""&amp;loteAnalise)=(""&amp;loteCarregado),COUNTIFS(regAnalito,selAnalito,regNivel,3,regData,$C63,regRep3,"&lt;&gt;")&gt;0),SUMIFS(regRep3,regAnalito,selAnalito,regNivel,3,regData,$C63),NA())</f>
        <v>#N/A</v>
      </c>
      <c r="BS63" s="30" t="e">
        <f>IF(AND($D63=1,COUNTIFS(regAnalito,selAnalito,regData,$C63,regCalib,"Sim")&gt;0),$BX$1,NA())</f>
        <v>#N/A</v>
      </c>
    </row>
    <row r="64" spans="1:71" x14ac:dyDescent="0.3">
      <c r="A64" s="30">
        <v>62</v>
      </c>
      <c r="B64" s="30" t="str">
        <f>IF(OR(selAnalito="",(""&amp;engAnalito)&lt;&gt;(""&amp;selAnalito),(""&amp;engLote)&lt;&gt;(""&amp;loteAnalise),$A64&gt;N(engNRun)),"",INDEX(engRUN,$A64))</f>
        <v/>
      </c>
      <c r="C64" s="43" t="str">
        <f>IF($B64="","",IF(INDEX(engData,$A64)="","",INDEX(engData,$A64)))</f>
        <v/>
      </c>
      <c r="D64" s="30">
        <f>IF($C64="",0,IF(AND(OR(filtroDe="",INT($C64)&gt;=INT(filtroDe)),OR(filtroAte="",INT($C64)&lt;=INT(filtroAte))),1,0))</f>
        <v>0</v>
      </c>
      <c r="E64" s="30" t="e">
        <f t="shared" si="34"/>
        <v>#N/A</v>
      </c>
      <c r="F64" s="30" t="str">
        <f>IF($B64="","",IF(INDEX(engValN1,$A64)="","",INDEX(engValN1,$A64)))</f>
        <v/>
      </c>
      <c r="G64" s="30" t="str">
        <f t="shared" si="35"/>
        <v/>
      </c>
      <c r="H64" s="30" t="e">
        <f t="shared" si="36"/>
        <v>#N/A</v>
      </c>
      <c r="I64" s="30" t="e">
        <f t="shared" si="37"/>
        <v>#N/A</v>
      </c>
      <c r="J64" s="30" t="e">
        <f t="shared" si="38"/>
        <v>#N/A</v>
      </c>
      <c r="K64" s="30">
        <f>IF($F64="",0,IFERROR(INDEX(engDados,MATCH(selAnalito&amp;"|"&amp;$B64,engChave,0),3),0))</f>
        <v>0</v>
      </c>
      <c r="L64" s="30">
        <f>IF($F64="",0,IFERROR(INDEX(engDados,MATCH(selAnalito&amp;"|"&amp;$B64,engChave,0),4),0))</f>
        <v>0</v>
      </c>
      <c r="M64" s="30">
        <f>IF($F64="",0,IFERROR(INDEX(engDados,MATCH(selAnalito&amp;"|"&amp;$B64,engChave,0),5),0))</f>
        <v>0</v>
      </c>
      <c r="N64" s="30">
        <f>IF($F64="",0,IFERROR(INDEX(engDados,MATCH(selAnalito&amp;"|"&amp;$B64,engChave,0),6),0))</f>
        <v>0</v>
      </c>
      <c r="O64" s="30">
        <f>IF($F64="",0,IFERROR(INDEX(engDados,MATCH(selAnalito&amp;"|"&amp;$B64,engChave,0),7),0))</f>
        <v>0</v>
      </c>
      <c r="P64" s="30" t="str">
        <f>IF($F64="","",IFERROR(INDEX(engDados,MATCH(selAnalito&amp;"|"&amp;$B64,engChave,0),9),""))</f>
        <v/>
      </c>
      <c r="Q64" s="30" t="e">
        <f t="shared" si="39"/>
        <v>#N/A</v>
      </c>
      <c r="R64" s="30" t="e">
        <f t="shared" si="40"/>
        <v>#N/A</v>
      </c>
      <c r="S64" s="30" t="e">
        <f t="shared" si="41"/>
        <v>#N/A</v>
      </c>
      <c r="T64" s="30" t="e">
        <f t="shared" si="42"/>
        <v>#N/A</v>
      </c>
      <c r="U64" s="30" t="e">
        <f t="shared" si="43"/>
        <v>#N/A</v>
      </c>
      <c r="V64" s="30" t="e">
        <f t="shared" si="44"/>
        <v>#N/A</v>
      </c>
      <c r="W64" s="30" t="e">
        <f t="shared" si="45"/>
        <v>#N/A</v>
      </c>
      <c r="X64" s="30" t="e">
        <f>IF(AND($D64=1,(""&amp;loteAnalise)=(""&amp;loteCarregado),COUNTIFS(regAnalito,selAnalito,regNivel,1,regData,$C64,regRep1,"&lt;&gt;")&gt;0),SUMIFS(regRep1,regAnalito,selAnalito,regNivel,1,regData,$C64),NA())</f>
        <v>#N/A</v>
      </c>
      <c r="Y64" s="30" t="e">
        <f>IF(AND($D64=1,(""&amp;loteAnalise)=(""&amp;loteCarregado),COUNTIFS(regAnalito,selAnalito,regNivel,1,regData,$C64,regRep2,"&lt;&gt;")&gt;0),SUMIFS(regRep2,regAnalito,selAnalito,regNivel,1,regData,$C64),NA())</f>
        <v>#N/A</v>
      </c>
      <c r="Z64" s="30" t="e">
        <f>IF(AND($D64=1,(""&amp;loteAnalise)=(""&amp;loteCarregado),COUNTIFS(regAnalito,selAnalito,regNivel,1,regData,$C64,regRep3,"&lt;&gt;")&gt;0),SUMIFS(regRep3,regAnalito,selAnalito,regNivel,1,regData,$C64),NA())</f>
        <v>#N/A</v>
      </c>
      <c r="AA64" s="30" t="e">
        <f>IF(AND($D64=1,COUNTIFS(regAnalito,selAnalito,regData,$C64,regCalib,"Sim")&gt;0),$BT$1,NA())</f>
        <v>#N/A</v>
      </c>
      <c r="AB64" s="30" t="str">
        <f>IF($B64="","",IF(INDEX(engValN2,$A64)="","",INDEX(engValN2,$A64)))</f>
        <v/>
      </c>
      <c r="AC64" s="30" t="str">
        <f t="shared" si="46"/>
        <v/>
      </c>
      <c r="AD64" s="30" t="e">
        <f t="shared" si="47"/>
        <v>#N/A</v>
      </c>
      <c r="AE64" s="30" t="e">
        <f t="shared" si="48"/>
        <v>#N/A</v>
      </c>
      <c r="AF64" s="30" t="e">
        <f t="shared" si="49"/>
        <v>#N/A</v>
      </c>
      <c r="AG64" s="30">
        <f>IF($AB64="",0,IFERROR(INDEX(engDados,MATCH(selAnalito&amp;"|"&amp;$B64,engChave,0),10),0))</f>
        <v>0</v>
      </c>
      <c r="AH64" s="30">
        <f>IF($AB64="",0,IFERROR(INDEX(engDados,MATCH(selAnalito&amp;"|"&amp;$B64,engChave,0),11),0))</f>
        <v>0</v>
      </c>
      <c r="AI64" s="30">
        <f>IF($AB64="",0,IFERROR(INDEX(engDados,MATCH(selAnalito&amp;"|"&amp;$B64,engChave,0),12),0))</f>
        <v>0</v>
      </c>
      <c r="AJ64" s="30">
        <f>IF($AB64="",0,IFERROR(INDEX(engDados,MATCH(selAnalito&amp;"|"&amp;$B64,engChave,0),13),0))</f>
        <v>0</v>
      </c>
      <c r="AK64" s="30">
        <f>IF($AB64="",0,IFERROR(INDEX(engDados,MATCH(selAnalito&amp;"|"&amp;$B64,engChave,0),14),0))</f>
        <v>0</v>
      </c>
      <c r="AL64" s="30" t="str">
        <f>IF($AB64="","",IFERROR(INDEX(engDados,MATCH(selAnalito&amp;"|"&amp;$B64,engChave,0),16),""))</f>
        <v/>
      </c>
      <c r="AM64" s="30" t="e">
        <f t="shared" si="50"/>
        <v>#N/A</v>
      </c>
      <c r="AN64" s="30" t="e">
        <f t="shared" si="51"/>
        <v>#N/A</v>
      </c>
      <c r="AO64" s="30" t="e">
        <f t="shared" si="52"/>
        <v>#N/A</v>
      </c>
      <c r="AP64" s="30" t="e">
        <f t="shared" si="53"/>
        <v>#N/A</v>
      </c>
      <c r="AQ64" s="30" t="e">
        <f t="shared" si="54"/>
        <v>#N/A</v>
      </c>
      <c r="AR64" s="30" t="e">
        <f t="shared" si="55"/>
        <v>#N/A</v>
      </c>
      <c r="AS64" s="30" t="e">
        <f t="shared" si="56"/>
        <v>#N/A</v>
      </c>
      <c r="AT64" s="30" t="e">
        <f>IF(AND($D64=1,(""&amp;loteAnalise)=(""&amp;loteCarregado),COUNTIFS(regAnalito,selAnalito,regNivel,2,regData,$C64,regRep1,"&lt;&gt;")&gt;0),SUMIFS(regRep1,regAnalito,selAnalito,regNivel,2,regData,$C64),NA())</f>
        <v>#N/A</v>
      </c>
      <c r="AU64" s="30" t="e">
        <f>IF(AND($D64=1,(""&amp;loteAnalise)=(""&amp;loteCarregado),COUNTIFS(regAnalito,selAnalito,regNivel,2,regData,$C64,regRep2,"&lt;&gt;")&gt;0),SUMIFS(regRep2,regAnalito,selAnalito,regNivel,2,regData,$C64),NA())</f>
        <v>#N/A</v>
      </c>
      <c r="AV64" s="30" t="e">
        <f>IF(AND($D64=1,(""&amp;loteAnalise)=(""&amp;loteCarregado),COUNTIFS(regAnalito,selAnalito,regNivel,2,regData,$C64,regRep3,"&lt;&gt;")&gt;0),SUMIFS(regRep3,regAnalito,selAnalito,regNivel,2,regData,$C64),NA())</f>
        <v>#N/A</v>
      </c>
      <c r="AW64" s="30" t="e">
        <f>IF(AND($D64=1,COUNTIFS(regAnalito,selAnalito,regData,$C64,regCalib,"Sim")&gt;0),$BV$1,NA())</f>
        <v>#N/A</v>
      </c>
      <c r="AX64" s="30" t="str">
        <f>IF($B64="","",IF(INDEX(engValN3,$A64)="","",INDEX(engValN3,$A64)))</f>
        <v/>
      </c>
      <c r="AY64" s="30" t="str">
        <f t="shared" si="57"/>
        <v/>
      </c>
      <c r="AZ64" s="30" t="e">
        <f t="shared" si="58"/>
        <v>#N/A</v>
      </c>
      <c r="BA64" s="30" t="e">
        <f t="shared" si="59"/>
        <v>#N/A</v>
      </c>
      <c r="BB64" s="30" t="e">
        <f t="shared" si="60"/>
        <v>#N/A</v>
      </c>
      <c r="BC64" s="30">
        <f>IF($AX64="",0,IFERROR(INDEX(engDados,MATCH(selAnalito&amp;"|"&amp;$B64,engChave,0),17),0))</f>
        <v>0</v>
      </c>
      <c r="BD64" s="30">
        <f>IF($AX64="",0,IFERROR(INDEX(engDados,MATCH(selAnalito&amp;"|"&amp;$B64,engChave,0),18),0))</f>
        <v>0</v>
      </c>
      <c r="BE64" s="30">
        <f>IF($AX64="",0,IFERROR(INDEX(engDados,MATCH(selAnalito&amp;"|"&amp;$B64,engChave,0),19),0))</f>
        <v>0</v>
      </c>
      <c r="BF64" s="30">
        <f>IF($AX64="",0,IFERROR(INDEX(engDados,MATCH(selAnalito&amp;"|"&amp;$B64,engChave,0),20),0))</f>
        <v>0</v>
      </c>
      <c r="BG64" s="30">
        <f>IF($AX64="",0,IFERROR(INDEX(engDados,MATCH(selAnalito&amp;"|"&amp;$B64,engChave,0),21),0))</f>
        <v>0</v>
      </c>
      <c r="BH64" s="30" t="str">
        <f>IF($AX64="","",IFERROR(INDEX(engDados,MATCH(selAnalito&amp;"|"&amp;$B64,engChave,0),23),""))</f>
        <v/>
      </c>
      <c r="BI64" s="30" t="e">
        <f t="shared" si="61"/>
        <v>#N/A</v>
      </c>
      <c r="BJ64" s="30" t="e">
        <f t="shared" si="62"/>
        <v>#N/A</v>
      </c>
      <c r="BK64" s="30" t="e">
        <f t="shared" si="63"/>
        <v>#N/A</v>
      </c>
      <c r="BL64" s="30" t="e">
        <f t="shared" si="64"/>
        <v>#N/A</v>
      </c>
      <c r="BM64" s="30" t="e">
        <f t="shared" si="65"/>
        <v>#N/A</v>
      </c>
      <c r="BN64" s="30" t="e">
        <f t="shared" si="66"/>
        <v>#N/A</v>
      </c>
      <c r="BO64" s="30" t="e">
        <f t="shared" si="67"/>
        <v>#N/A</v>
      </c>
      <c r="BP64" s="30" t="e">
        <f>IF(AND($D64=1,(""&amp;loteAnalise)=(""&amp;loteCarregado),COUNTIFS(regAnalito,selAnalito,regNivel,3,regData,$C64,regRep1,"&lt;&gt;")&gt;0),SUMIFS(regRep1,regAnalito,selAnalito,regNivel,3,regData,$C64),NA())</f>
        <v>#N/A</v>
      </c>
      <c r="BQ64" s="30" t="e">
        <f>IF(AND($D64=1,(""&amp;loteAnalise)=(""&amp;loteCarregado),COUNTIFS(regAnalito,selAnalito,regNivel,3,regData,$C64,regRep2,"&lt;&gt;")&gt;0),SUMIFS(regRep2,regAnalito,selAnalito,regNivel,3,regData,$C64),NA())</f>
        <v>#N/A</v>
      </c>
      <c r="BR64" s="30" t="e">
        <f>IF(AND($D64=1,(""&amp;loteAnalise)=(""&amp;loteCarregado),COUNTIFS(regAnalito,selAnalito,regNivel,3,regData,$C64,regRep3,"&lt;&gt;")&gt;0),SUMIFS(regRep3,regAnalito,selAnalito,regNivel,3,regData,$C64),NA())</f>
        <v>#N/A</v>
      </c>
      <c r="BS64" s="30" t="e">
        <f>IF(AND($D64=1,COUNTIFS(regAnalito,selAnalito,regData,$C64,regCalib,"Sim")&gt;0),$BX$1,NA())</f>
        <v>#N/A</v>
      </c>
    </row>
    <row r="65" spans="1:71" x14ac:dyDescent="0.3">
      <c r="A65" s="30">
        <v>63</v>
      </c>
      <c r="B65" s="30" t="str">
        <f>IF(OR(selAnalito="",(""&amp;engAnalito)&lt;&gt;(""&amp;selAnalito),(""&amp;engLote)&lt;&gt;(""&amp;loteAnalise),$A65&gt;N(engNRun)),"",INDEX(engRUN,$A65))</f>
        <v/>
      </c>
      <c r="C65" s="43" t="str">
        <f>IF($B65="","",IF(INDEX(engData,$A65)="","",INDEX(engData,$A65)))</f>
        <v/>
      </c>
      <c r="D65" s="30">
        <f>IF($C65="",0,IF(AND(OR(filtroDe="",INT($C65)&gt;=INT(filtroDe)),OR(filtroAte="",INT($C65)&lt;=INT(filtroAte))),1,0))</f>
        <v>0</v>
      </c>
      <c r="E65" s="30" t="e">
        <f t="shared" si="34"/>
        <v>#N/A</v>
      </c>
      <c r="F65" s="30" t="str">
        <f>IF($B65="","",IF(INDEX(engValN1,$A65)="","",INDEX(engValN1,$A65)))</f>
        <v/>
      </c>
      <c r="G65" s="30" t="str">
        <f t="shared" si="35"/>
        <v/>
      </c>
      <c r="H65" s="30" t="e">
        <f t="shared" si="36"/>
        <v>#N/A</v>
      </c>
      <c r="I65" s="30" t="e">
        <f t="shared" si="37"/>
        <v>#N/A</v>
      </c>
      <c r="J65" s="30" t="e">
        <f t="shared" si="38"/>
        <v>#N/A</v>
      </c>
      <c r="K65" s="30">
        <f>IF($F65="",0,IFERROR(INDEX(engDados,MATCH(selAnalito&amp;"|"&amp;$B65,engChave,0),3),0))</f>
        <v>0</v>
      </c>
      <c r="L65" s="30">
        <f>IF($F65="",0,IFERROR(INDEX(engDados,MATCH(selAnalito&amp;"|"&amp;$B65,engChave,0),4),0))</f>
        <v>0</v>
      </c>
      <c r="M65" s="30">
        <f>IF($F65="",0,IFERROR(INDEX(engDados,MATCH(selAnalito&amp;"|"&amp;$B65,engChave,0),5),0))</f>
        <v>0</v>
      </c>
      <c r="N65" s="30">
        <f>IF($F65="",0,IFERROR(INDEX(engDados,MATCH(selAnalito&amp;"|"&amp;$B65,engChave,0),6),0))</f>
        <v>0</v>
      </c>
      <c r="O65" s="30">
        <f>IF($F65="",0,IFERROR(INDEX(engDados,MATCH(selAnalito&amp;"|"&amp;$B65,engChave,0),7),0))</f>
        <v>0</v>
      </c>
      <c r="P65" s="30" t="str">
        <f>IF($F65="","",IFERROR(INDEX(engDados,MATCH(selAnalito&amp;"|"&amp;$B65,engChave,0),9),""))</f>
        <v/>
      </c>
      <c r="Q65" s="30" t="e">
        <f t="shared" si="39"/>
        <v>#N/A</v>
      </c>
      <c r="R65" s="30" t="e">
        <f t="shared" si="40"/>
        <v>#N/A</v>
      </c>
      <c r="S65" s="30" t="e">
        <f t="shared" si="41"/>
        <v>#N/A</v>
      </c>
      <c r="T65" s="30" t="e">
        <f t="shared" si="42"/>
        <v>#N/A</v>
      </c>
      <c r="U65" s="30" t="e">
        <f t="shared" si="43"/>
        <v>#N/A</v>
      </c>
      <c r="V65" s="30" t="e">
        <f t="shared" si="44"/>
        <v>#N/A</v>
      </c>
      <c r="W65" s="30" t="e">
        <f t="shared" si="45"/>
        <v>#N/A</v>
      </c>
      <c r="X65" s="30" t="e">
        <f>IF(AND($D65=1,(""&amp;loteAnalise)=(""&amp;loteCarregado),COUNTIFS(regAnalito,selAnalito,regNivel,1,regData,$C65,regRep1,"&lt;&gt;")&gt;0),SUMIFS(regRep1,regAnalito,selAnalito,regNivel,1,regData,$C65),NA())</f>
        <v>#N/A</v>
      </c>
      <c r="Y65" s="30" t="e">
        <f>IF(AND($D65=1,(""&amp;loteAnalise)=(""&amp;loteCarregado),COUNTIFS(regAnalito,selAnalito,regNivel,1,regData,$C65,regRep2,"&lt;&gt;")&gt;0),SUMIFS(regRep2,regAnalito,selAnalito,regNivel,1,regData,$C65),NA())</f>
        <v>#N/A</v>
      </c>
      <c r="Z65" s="30" t="e">
        <f>IF(AND($D65=1,(""&amp;loteAnalise)=(""&amp;loteCarregado),COUNTIFS(regAnalito,selAnalito,regNivel,1,regData,$C65,regRep3,"&lt;&gt;")&gt;0),SUMIFS(regRep3,regAnalito,selAnalito,regNivel,1,regData,$C65),NA())</f>
        <v>#N/A</v>
      </c>
      <c r="AA65" s="30" t="e">
        <f>IF(AND($D65=1,COUNTIFS(regAnalito,selAnalito,regData,$C65,regCalib,"Sim")&gt;0),$BT$1,NA())</f>
        <v>#N/A</v>
      </c>
      <c r="AB65" s="30" t="str">
        <f>IF($B65="","",IF(INDEX(engValN2,$A65)="","",INDEX(engValN2,$A65)))</f>
        <v/>
      </c>
      <c r="AC65" s="30" t="str">
        <f t="shared" si="46"/>
        <v/>
      </c>
      <c r="AD65" s="30" t="e">
        <f t="shared" si="47"/>
        <v>#N/A</v>
      </c>
      <c r="AE65" s="30" t="e">
        <f t="shared" si="48"/>
        <v>#N/A</v>
      </c>
      <c r="AF65" s="30" t="e">
        <f t="shared" si="49"/>
        <v>#N/A</v>
      </c>
      <c r="AG65" s="30">
        <f>IF($AB65="",0,IFERROR(INDEX(engDados,MATCH(selAnalito&amp;"|"&amp;$B65,engChave,0),10),0))</f>
        <v>0</v>
      </c>
      <c r="AH65" s="30">
        <f>IF($AB65="",0,IFERROR(INDEX(engDados,MATCH(selAnalito&amp;"|"&amp;$B65,engChave,0),11),0))</f>
        <v>0</v>
      </c>
      <c r="AI65" s="30">
        <f>IF($AB65="",0,IFERROR(INDEX(engDados,MATCH(selAnalito&amp;"|"&amp;$B65,engChave,0),12),0))</f>
        <v>0</v>
      </c>
      <c r="AJ65" s="30">
        <f>IF($AB65="",0,IFERROR(INDEX(engDados,MATCH(selAnalito&amp;"|"&amp;$B65,engChave,0),13),0))</f>
        <v>0</v>
      </c>
      <c r="AK65" s="30">
        <f>IF($AB65="",0,IFERROR(INDEX(engDados,MATCH(selAnalito&amp;"|"&amp;$B65,engChave,0),14),0))</f>
        <v>0</v>
      </c>
      <c r="AL65" s="30" t="str">
        <f>IF($AB65="","",IFERROR(INDEX(engDados,MATCH(selAnalito&amp;"|"&amp;$B65,engChave,0),16),""))</f>
        <v/>
      </c>
      <c r="AM65" s="30" t="e">
        <f t="shared" si="50"/>
        <v>#N/A</v>
      </c>
      <c r="AN65" s="30" t="e">
        <f t="shared" si="51"/>
        <v>#N/A</v>
      </c>
      <c r="AO65" s="30" t="e">
        <f t="shared" si="52"/>
        <v>#N/A</v>
      </c>
      <c r="AP65" s="30" t="e">
        <f t="shared" si="53"/>
        <v>#N/A</v>
      </c>
      <c r="AQ65" s="30" t="e">
        <f t="shared" si="54"/>
        <v>#N/A</v>
      </c>
      <c r="AR65" s="30" t="e">
        <f t="shared" si="55"/>
        <v>#N/A</v>
      </c>
      <c r="AS65" s="30" t="e">
        <f t="shared" si="56"/>
        <v>#N/A</v>
      </c>
      <c r="AT65" s="30" t="e">
        <f>IF(AND($D65=1,(""&amp;loteAnalise)=(""&amp;loteCarregado),COUNTIFS(regAnalito,selAnalito,regNivel,2,regData,$C65,regRep1,"&lt;&gt;")&gt;0),SUMIFS(regRep1,regAnalito,selAnalito,regNivel,2,regData,$C65),NA())</f>
        <v>#N/A</v>
      </c>
      <c r="AU65" s="30" t="e">
        <f>IF(AND($D65=1,(""&amp;loteAnalise)=(""&amp;loteCarregado),COUNTIFS(regAnalito,selAnalito,regNivel,2,regData,$C65,regRep2,"&lt;&gt;")&gt;0),SUMIFS(regRep2,regAnalito,selAnalito,regNivel,2,regData,$C65),NA())</f>
        <v>#N/A</v>
      </c>
      <c r="AV65" s="30" t="e">
        <f>IF(AND($D65=1,(""&amp;loteAnalise)=(""&amp;loteCarregado),COUNTIFS(regAnalito,selAnalito,regNivel,2,regData,$C65,regRep3,"&lt;&gt;")&gt;0),SUMIFS(regRep3,regAnalito,selAnalito,regNivel,2,regData,$C65),NA())</f>
        <v>#N/A</v>
      </c>
      <c r="AW65" s="30" t="e">
        <f>IF(AND($D65=1,COUNTIFS(regAnalito,selAnalito,regData,$C65,regCalib,"Sim")&gt;0),$BV$1,NA())</f>
        <v>#N/A</v>
      </c>
      <c r="AX65" s="30" t="str">
        <f>IF($B65="","",IF(INDEX(engValN3,$A65)="","",INDEX(engValN3,$A65)))</f>
        <v/>
      </c>
      <c r="AY65" s="30" t="str">
        <f t="shared" si="57"/>
        <v/>
      </c>
      <c r="AZ65" s="30" t="e">
        <f t="shared" si="58"/>
        <v>#N/A</v>
      </c>
      <c r="BA65" s="30" t="e">
        <f t="shared" si="59"/>
        <v>#N/A</v>
      </c>
      <c r="BB65" s="30" t="e">
        <f t="shared" si="60"/>
        <v>#N/A</v>
      </c>
      <c r="BC65" s="30">
        <f>IF($AX65="",0,IFERROR(INDEX(engDados,MATCH(selAnalito&amp;"|"&amp;$B65,engChave,0),17),0))</f>
        <v>0</v>
      </c>
      <c r="BD65" s="30">
        <f>IF($AX65="",0,IFERROR(INDEX(engDados,MATCH(selAnalito&amp;"|"&amp;$B65,engChave,0),18),0))</f>
        <v>0</v>
      </c>
      <c r="BE65" s="30">
        <f>IF($AX65="",0,IFERROR(INDEX(engDados,MATCH(selAnalito&amp;"|"&amp;$B65,engChave,0),19),0))</f>
        <v>0</v>
      </c>
      <c r="BF65" s="30">
        <f>IF($AX65="",0,IFERROR(INDEX(engDados,MATCH(selAnalito&amp;"|"&amp;$B65,engChave,0),20),0))</f>
        <v>0</v>
      </c>
      <c r="BG65" s="30">
        <f>IF($AX65="",0,IFERROR(INDEX(engDados,MATCH(selAnalito&amp;"|"&amp;$B65,engChave,0),21),0))</f>
        <v>0</v>
      </c>
      <c r="BH65" s="30" t="str">
        <f>IF($AX65="","",IFERROR(INDEX(engDados,MATCH(selAnalito&amp;"|"&amp;$B65,engChave,0),23),""))</f>
        <v/>
      </c>
      <c r="BI65" s="30" t="e">
        <f t="shared" si="61"/>
        <v>#N/A</v>
      </c>
      <c r="BJ65" s="30" t="e">
        <f t="shared" si="62"/>
        <v>#N/A</v>
      </c>
      <c r="BK65" s="30" t="e">
        <f t="shared" si="63"/>
        <v>#N/A</v>
      </c>
      <c r="BL65" s="30" t="e">
        <f t="shared" si="64"/>
        <v>#N/A</v>
      </c>
      <c r="BM65" s="30" t="e">
        <f t="shared" si="65"/>
        <v>#N/A</v>
      </c>
      <c r="BN65" s="30" t="e">
        <f t="shared" si="66"/>
        <v>#N/A</v>
      </c>
      <c r="BO65" s="30" t="e">
        <f t="shared" si="67"/>
        <v>#N/A</v>
      </c>
      <c r="BP65" s="30" t="e">
        <f>IF(AND($D65=1,(""&amp;loteAnalise)=(""&amp;loteCarregado),COUNTIFS(regAnalito,selAnalito,regNivel,3,regData,$C65,regRep1,"&lt;&gt;")&gt;0),SUMIFS(regRep1,regAnalito,selAnalito,regNivel,3,regData,$C65),NA())</f>
        <v>#N/A</v>
      </c>
      <c r="BQ65" s="30" t="e">
        <f>IF(AND($D65=1,(""&amp;loteAnalise)=(""&amp;loteCarregado),COUNTIFS(regAnalito,selAnalito,regNivel,3,regData,$C65,regRep2,"&lt;&gt;")&gt;0),SUMIFS(regRep2,regAnalito,selAnalito,regNivel,3,regData,$C65),NA())</f>
        <v>#N/A</v>
      </c>
      <c r="BR65" s="30" t="e">
        <f>IF(AND($D65=1,(""&amp;loteAnalise)=(""&amp;loteCarregado),COUNTIFS(regAnalito,selAnalito,regNivel,3,regData,$C65,regRep3,"&lt;&gt;")&gt;0),SUMIFS(regRep3,regAnalito,selAnalito,regNivel,3,regData,$C65),NA())</f>
        <v>#N/A</v>
      </c>
      <c r="BS65" s="30" t="e">
        <f>IF(AND($D65=1,COUNTIFS(regAnalito,selAnalito,regData,$C65,regCalib,"Sim")&gt;0),$BX$1,NA())</f>
        <v>#N/A</v>
      </c>
    </row>
    <row r="66" spans="1:71" x14ac:dyDescent="0.3">
      <c r="A66" s="30">
        <v>64</v>
      </c>
      <c r="B66" s="30" t="str">
        <f>IF(OR(selAnalito="",(""&amp;engAnalito)&lt;&gt;(""&amp;selAnalito),(""&amp;engLote)&lt;&gt;(""&amp;loteAnalise),$A66&gt;N(engNRun)),"",INDEX(engRUN,$A66))</f>
        <v/>
      </c>
      <c r="C66" s="43" t="str">
        <f>IF($B66="","",IF(INDEX(engData,$A66)="","",INDEX(engData,$A66)))</f>
        <v/>
      </c>
      <c r="D66" s="30">
        <f>IF($C66="",0,IF(AND(OR(filtroDe="",INT($C66)&gt;=INT(filtroDe)),OR(filtroAte="",INT($C66)&lt;=INT(filtroAte))),1,0))</f>
        <v>0</v>
      </c>
      <c r="E66" s="30" t="e">
        <f t="shared" si="34"/>
        <v>#N/A</v>
      </c>
      <c r="F66" s="30" t="str">
        <f>IF($B66="","",IF(INDEX(engValN1,$A66)="","",INDEX(engValN1,$A66)))</f>
        <v/>
      </c>
      <c r="G66" s="30" t="str">
        <f t="shared" si="35"/>
        <v/>
      </c>
      <c r="H66" s="30" t="e">
        <f t="shared" si="36"/>
        <v>#N/A</v>
      </c>
      <c r="I66" s="30" t="e">
        <f t="shared" si="37"/>
        <v>#N/A</v>
      </c>
      <c r="J66" s="30" t="e">
        <f t="shared" si="38"/>
        <v>#N/A</v>
      </c>
      <c r="K66" s="30">
        <f>IF($F66="",0,IFERROR(INDEX(engDados,MATCH(selAnalito&amp;"|"&amp;$B66,engChave,0),3),0))</f>
        <v>0</v>
      </c>
      <c r="L66" s="30">
        <f>IF($F66="",0,IFERROR(INDEX(engDados,MATCH(selAnalito&amp;"|"&amp;$B66,engChave,0),4),0))</f>
        <v>0</v>
      </c>
      <c r="M66" s="30">
        <f>IF($F66="",0,IFERROR(INDEX(engDados,MATCH(selAnalito&amp;"|"&amp;$B66,engChave,0),5),0))</f>
        <v>0</v>
      </c>
      <c r="N66" s="30">
        <f>IF($F66="",0,IFERROR(INDEX(engDados,MATCH(selAnalito&amp;"|"&amp;$B66,engChave,0),6),0))</f>
        <v>0</v>
      </c>
      <c r="O66" s="30">
        <f>IF($F66="",0,IFERROR(INDEX(engDados,MATCH(selAnalito&amp;"|"&amp;$B66,engChave,0),7),0))</f>
        <v>0</v>
      </c>
      <c r="P66" s="30" t="str">
        <f>IF($F66="","",IFERROR(INDEX(engDados,MATCH(selAnalito&amp;"|"&amp;$B66,engChave,0),9),""))</f>
        <v/>
      </c>
      <c r="Q66" s="30" t="e">
        <f t="shared" si="39"/>
        <v>#N/A</v>
      </c>
      <c r="R66" s="30" t="e">
        <f t="shared" si="40"/>
        <v>#N/A</v>
      </c>
      <c r="S66" s="30" t="e">
        <f t="shared" si="41"/>
        <v>#N/A</v>
      </c>
      <c r="T66" s="30" t="e">
        <f t="shared" si="42"/>
        <v>#N/A</v>
      </c>
      <c r="U66" s="30" t="e">
        <f t="shared" si="43"/>
        <v>#N/A</v>
      </c>
      <c r="V66" s="30" t="e">
        <f t="shared" si="44"/>
        <v>#N/A</v>
      </c>
      <c r="W66" s="30" t="e">
        <f t="shared" si="45"/>
        <v>#N/A</v>
      </c>
      <c r="X66" s="30" t="e">
        <f>IF(AND($D66=1,(""&amp;loteAnalise)=(""&amp;loteCarregado),COUNTIFS(regAnalito,selAnalito,regNivel,1,regData,$C66,regRep1,"&lt;&gt;")&gt;0),SUMIFS(regRep1,regAnalito,selAnalito,regNivel,1,regData,$C66),NA())</f>
        <v>#N/A</v>
      </c>
      <c r="Y66" s="30" t="e">
        <f>IF(AND($D66=1,(""&amp;loteAnalise)=(""&amp;loteCarregado),COUNTIFS(regAnalito,selAnalito,regNivel,1,regData,$C66,regRep2,"&lt;&gt;")&gt;0),SUMIFS(regRep2,regAnalito,selAnalito,regNivel,1,regData,$C66),NA())</f>
        <v>#N/A</v>
      </c>
      <c r="Z66" s="30" t="e">
        <f>IF(AND($D66=1,(""&amp;loteAnalise)=(""&amp;loteCarregado),COUNTIFS(regAnalito,selAnalito,regNivel,1,regData,$C66,regRep3,"&lt;&gt;")&gt;0),SUMIFS(regRep3,regAnalito,selAnalito,regNivel,1,regData,$C66),NA())</f>
        <v>#N/A</v>
      </c>
      <c r="AA66" s="30" t="e">
        <f>IF(AND($D66=1,COUNTIFS(regAnalito,selAnalito,regData,$C66,regCalib,"Sim")&gt;0),$BT$1,NA())</f>
        <v>#N/A</v>
      </c>
      <c r="AB66" s="30" t="str">
        <f>IF($B66="","",IF(INDEX(engValN2,$A66)="","",INDEX(engValN2,$A66)))</f>
        <v/>
      </c>
      <c r="AC66" s="30" t="str">
        <f t="shared" si="46"/>
        <v/>
      </c>
      <c r="AD66" s="30" t="e">
        <f t="shared" si="47"/>
        <v>#N/A</v>
      </c>
      <c r="AE66" s="30" t="e">
        <f t="shared" si="48"/>
        <v>#N/A</v>
      </c>
      <c r="AF66" s="30" t="e">
        <f t="shared" si="49"/>
        <v>#N/A</v>
      </c>
      <c r="AG66" s="30">
        <f>IF($AB66="",0,IFERROR(INDEX(engDados,MATCH(selAnalito&amp;"|"&amp;$B66,engChave,0),10),0))</f>
        <v>0</v>
      </c>
      <c r="AH66" s="30">
        <f>IF($AB66="",0,IFERROR(INDEX(engDados,MATCH(selAnalito&amp;"|"&amp;$B66,engChave,0),11),0))</f>
        <v>0</v>
      </c>
      <c r="AI66" s="30">
        <f>IF($AB66="",0,IFERROR(INDEX(engDados,MATCH(selAnalito&amp;"|"&amp;$B66,engChave,0),12),0))</f>
        <v>0</v>
      </c>
      <c r="AJ66" s="30">
        <f>IF($AB66="",0,IFERROR(INDEX(engDados,MATCH(selAnalito&amp;"|"&amp;$B66,engChave,0),13),0))</f>
        <v>0</v>
      </c>
      <c r="AK66" s="30">
        <f>IF($AB66="",0,IFERROR(INDEX(engDados,MATCH(selAnalito&amp;"|"&amp;$B66,engChave,0),14),0))</f>
        <v>0</v>
      </c>
      <c r="AL66" s="30" t="str">
        <f>IF($AB66="","",IFERROR(INDEX(engDados,MATCH(selAnalito&amp;"|"&amp;$B66,engChave,0),16),""))</f>
        <v/>
      </c>
      <c r="AM66" s="30" t="e">
        <f t="shared" si="50"/>
        <v>#N/A</v>
      </c>
      <c r="AN66" s="30" t="e">
        <f t="shared" si="51"/>
        <v>#N/A</v>
      </c>
      <c r="AO66" s="30" t="e">
        <f t="shared" si="52"/>
        <v>#N/A</v>
      </c>
      <c r="AP66" s="30" t="e">
        <f t="shared" si="53"/>
        <v>#N/A</v>
      </c>
      <c r="AQ66" s="30" t="e">
        <f t="shared" si="54"/>
        <v>#N/A</v>
      </c>
      <c r="AR66" s="30" t="e">
        <f t="shared" si="55"/>
        <v>#N/A</v>
      </c>
      <c r="AS66" s="30" t="e">
        <f t="shared" si="56"/>
        <v>#N/A</v>
      </c>
      <c r="AT66" s="30" t="e">
        <f>IF(AND($D66=1,(""&amp;loteAnalise)=(""&amp;loteCarregado),COUNTIFS(regAnalito,selAnalito,regNivel,2,regData,$C66,regRep1,"&lt;&gt;")&gt;0),SUMIFS(regRep1,regAnalito,selAnalito,regNivel,2,regData,$C66),NA())</f>
        <v>#N/A</v>
      </c>
      <c r="AU66" s="30" t="e">
        <f>IF(AND($D66=1,(""&amp;loteAnalise)=(""&amp;loteCarregado),COUNTIFS(regAnalito,selAnalito,regNivel,2,regData,$C66,regRep2,"&lt;&gt;")&gt;0),SUMIFS(regRep2,regAnalito,selAnalito,regNivel,2,regData,$C66),NA())</f>
        <v>#N/A</v>
      </c>
      <c r="AV66" s="30" t="e">
        <f>IF(AND($D66=1,(""&amp;loteAnalise)=(""&amp;loteCarregado),COUNTIFS(regAnalito,selAnalito,regNivel,2,regData,$C66,regRep3,"&lt;&gt;")&gt;0),SUMIFS(regRep3,regAnalito,selAnalito,regNivel,2,regData,$C66),NA())</f>
        <v>#N/A</v>
      </c>
      <c r="AW66" s="30" t="e">
        <f>IF(AND($D66=1,COUNTIFS(regAnalito,selAnalito,regData,$C66,regCalib,"Sim")&gt;0),$BV$1,NA())</f>
        <v>#N/A</v>
      </c>
      <c r="AX66" s="30" t="str">
        <f>IF($B66="","",IF(INDEX(engValN3,$A66)="","",INDEX(engValN3,$A66)))</f>
        <v/>
      </c>
      <c r="AY66" s="30" t="str">
        <f t="shared" si="57"/>
        <v/>
      </c>
      <c r="AZ66" s="30" t="e">
        <f t="shared" si="58"/>
        <v>#N/A</v>
      </c>
      <c r="BA66" s="30" t="e">
        <f t="shared" si="59"/>
        <v>#N/A</v>
      </c>
      <c r="BB66" s="30" t="e">
        <f t="shared" si="60"/>
        <v>#N/A</v>
      </c>
      <c r="BC66" s="30">
        <f>IF($AX66="",0,IFERROR(INDEX(engDados,MATCH(selAnalito&amp;"|"&amp;$B66,engChave,0),17),0))</f>
        <v>0</v>
      </c>
      <c r="BD66" s="30">
        <f>IF($AX66="",0,IFERROR(INDEX(engDados,MATCH(selAnalito&amp;"|"&amp;$B66,engChave,0),18),0))</f>
        <v>0</v>
      </c>
      <c r="BE66" s="30">
        <f>IF($AX66="",0,IFERROR(INDEX(engDados,MATCH(selAnalito&amp;"|"&amp;$B66,engChave,0),19),0))</f>
        <v>0</v>
      </c>
      <c r="BF66" s="30">
        <f>IF($AX66="",0,IFERROR(INDEX(engDados,MATCH(selAnalito&amp;"|"&amp;$B66,engChave,0),20),0))</f>
        <v>0</v>
      </c>
      <c r="BG66" s="30">
        <f>IF($AX66="",0,IFERROR(INDEX(engDados,MATCH(selAnalito&amp;"|"&amp;$B66,engChave,0),21),0))</f>
        <v>0</v>
      </c>
      <c r="BH66" s="30" t="str">
        <f>IF($AX66="","",IFERROR(INDEX(engDados,MATCH(selAnalito&amp;"|"&amp;$B66,engChave,0),23),""))</f>
        <v/>
      </c>
      <c r="BI66" s="30" t="e">
        <f t="shared" si="61"/>
        <v>#N/A</v>
      </c>
      <c r="BJ66" s="30" t="e">
        <f t="shared" si="62"/>
        <v>#N/A</v>
      </c>
      <c r="BK66" s="30" t="e">
        <f t="shared" si="63"/>
        <v>#N/A</v>
      </c>
      <c r="BL66" s="30" t="e">
        <f t="shared" si="64"/>
        <v>#N/A</v>
      </c>
      <c r="BM66" s="30" t="e">
        <f t="shared" si="65"/>
        <v>#N/A</v>
      </c>
      <c r="BN66" s="30" t="e">
        <f t="shared" si="66"/>
        <v>#N/A</v>
      </c>
      <c r="BO66" s="30" t="e">
        <f t="shared" si="67"/>
        <v>#N/A</v>
      </c>
      <c r="BP66" s="30" t="e">
        <f>IF(AND($D66=1,(""&amp;loteAnalise)=(""&amp;loteCarregado),COUNTIFS(regAnalito,selAnalito,regNivel,3,regData,$C66,regRep1,"&lt;&gt;")&gt;0),SUMIFS(regRep1,regAnalito,selAnalito,regNivel,3,regData,$C66),NA())</f>
        <v>#N/A</v>
      </c>
      <c r="BQ66" s="30" t="e">
        <f>IF(AND($D66=1,(""&amp;loteAnalise)=(""&amp;loteCarregado),COUNTIFS(regAnalito,selAnalito,regNivel,3,regData,$C66,regRep2,"&lt;&gt;")&gt;0),SUMIFS(regRep2,regAnalito,selAnalito,regNivel,3,regData,$C66),NA())</f>
        <v>#N/A</v>
      </c>
      <c r="BR66" s="30" t="e">
        <f>IF(AND($D66=1,(""&amp;loteAnalise)=(""&amp;loteCarregado),COUNTIFS(regAnalito,selAnalito,regNivel,3,regData,$C66,regRep3,"&lt;&gt;")&gt;0),SUMIFS(regRep3,regAnalito,selAnalito,regNivel,3,regData,$C66),NA())</f>
        <v>#N/A</v>
      </c>
      <c r="BS66" s="30" t="e">
        <f>IF(AND($D66=1,COUNTIFS(regAnalito,selAnalito,regData,$C66,regCalib,"Sim")&gt;0),$BX$1,NA())</f>
        <v>#N/A</v>
      </c>
    </row>
    <row r="67" spans="1:71" x14ac:dyDescent="0.3">
      <c r="A67" s="30">
        <v>65</v>
      </c>
      <c r="B67" s="30" t="str">
        <f>IF(OR(selAnalito="",(""&amp;engAnalito)&lt;&gt;(""&amp;selAnalito),(""&amp;engLote)&lt;&gt;(""&amp;loteAnalise),$A67&gt;N(engNRun)),"",INDEX(engRUN,$A67))</f>
        <v/>
      </c>
      <c r="C67" s="43" t="str">
        <f>IF($B67="","",IF(INDEX(engData,$A67)="","",INDEX(engData,$A67)))</f>
        <v/>
      </c>
      <c r="D67" s="30">
        <f>IF($C67="",0,IF(AND(OR(filtroDe="",INT($C67)&gt;=INT(filtroDe)),OR(filtroAte="",INT($C67)&lt;=INT(filtroAte))),1,0))</f>
        <v>0</v>
      </c>
      <c r="E67" s="30" t="e">
        <f t="shared" ref="E67:E98" si="68">IF(OR($B67="",$D67=0),NA(),$A67)</f>
        <v>#N/A</v>
      </c>
      <c r="F67" s="30" t="str">
        <f>IF($B67="","",IF(INDEX(engValN1,$A67)="","",INDEX(engValN1,$A67)))</f>
        <v/>
      </c>
      <c r="G67" s="30" t="str">
        <f t="shared" ref="G67:G98" si="69">IF(OR($F67="",$BU$1=""),"",($F67-$BT$1)/$BU$1)</f>
        <v/>
      </c>
      <c r="H67" s="30" t="e">
        <f t="shared" ref="H67:H98" si="70">IF(AND($F67&lt;&gt;"",$D67=1),$F67,NA())</f>
        <v>#N/A</v>
      </c>
      <c r="I67" s="30" t="e">
        <f t="shared" ref="I67:I98" si="71">IF(AND($F67&lt;&gt;"",$D67=1,$P67="OK"),$F67,NA())</f>
        <v>#N/A</v>
      </c>
      <c r="J67" s="30" t="e">
        <f t="shared" ref="J67:J98" si="72">IF(AND($F67&lt;&gt;"",$D67=1,$P67="REJEITADO"),$F67,NA())</f>
        <v>#N/A</v>
      </c>
      <c r="K67" s="30">
        <f>IF($F67="",0,IFERROR(INDEX(engDados,MATCH(selAnalito&amp;"|"&amp;$B67,engChave,0),3),0))</f>
        <v>0</v>
      </c>
      <c r="L67" s="30">
        <f>IF($F67="",0,IFERROR(INDEX(engDados,MATCH(selAnalito&amp;"|"&amp;$B67,engChave,0),4),0))</f>
        <v>0</v>
      </c>
      <c r="M67" s="30">
        <f>IF($F67="",0,IFERROR(INDEX(engDados,MATCH(selAnalito&amp;"|"&amp;$B67,engChave,0),5),0))</f>
        <v>0</v>
      </c>
      <c r="N67" s="30">
        <f>IF($F67="",0,IFERROR(INDEX(engDados,MATCH(selAnalito&amp;"|"&amp;$B67,engChave,0),6),0))</f>
        <v>0</v>
      </c>
      <c r="O67" s="30">
        <f>IF($F67="",0,IFERROR(INDEX(engDados,MATCH(selAnalito&amp;"|"&amp;$B67,engChave,0),7),0))</f>
        <v>0</v>
      </c>
      <c r="P67" s="30" t="str">
        <f>IF($F67="","",IFERROR(INDEX(engDados,MATCH(selAnalito&amp;"|"&amp;$B67,engChave,0),9),""))</f>
        <v/>
      </c>
      <c r="Q67" s="30" t="e">
        <f t="shared" ref="Q67:Q98" si="73">IF(AND($D67=1,$BT$1&lt;&gt;""),$BT$1+(-3)*$BU$1,NA())</f>
        <v>#N/A</v>
      </c>
      <c r="R67" s="30" t="e">
        <f t="shared" ref="R67:R98" si="74">IF(AND($D67=1,$BT$1&lt;&gt;""),$BT$1+(-2)*$BU$1,NA())</f>
        <v>#N/A</v>
      </c>
      <c r="S67" s="30" t="e">
        <f t="shared" ref="S67:S98" si="75">IF(AND($D67=1,$BT$1&lt;&gt;""),$BT$1+(-1)*$BU$1,NA())</f>
        <v>#N/A</v>
      </c>
      <c r="T67" s="30" t="e">
        <f t="shared" ref="T67:T98" si="76">IF(AND($D67=1,$BT$1&lt;&gt;""),$BT$1,NA())</f>
        <v>#N/A</v>
      </c>
      <c r="U67" s="30" t="e">
        <f t="shared" ref="U67:U98" si="77">IF(AND($D67=1,$BT$1&lt;&gt;""),$BT$1+(1)*$BU$1,NA())</f>
        <v>#N/A</v>
      </c>
      <c r="V67" s="30" t="e">
        <f t="shared" ref="V67:V98" si="78">IF(AND($D67=1,$BT$1&lt;&gt;""),$BT$1+(2)*$BU$1,NA())</f>
        <v>#N/A</v>
      </c>
      <c r="W67" s="30" t="e">
        <f t="shared" ref="W67:W98" si="79">IF(AND($D67=1,$BT$1&lt;&gt;""),$BT$1+(3)*$BU$1,NA())</f>
        <v>#N/A</v>
      </c>
      <c r="X67" s="30" t="e">
        <f>IF(AND($D67=1,(""&amp;loteAnalise)=(""&amp;loteCarregado),COUNTIFS(regAnalito,selAnalito,regNivel,1,regData,$C67,regRep1,"&lt;&gt;")&gt;0),SUMIFS(regRep1,regAnalito,selAnalito,regNivel,1,regData,$C67),NA())</f>
        <v>#N/A</v>
      </c>
      <c r="Y67" s="30" t="e">
        <f>IF(AND($D67=1,(""&amp;loteAnalise)=(""&amp;loteCarregado),COUNTIFS(regAnalito,selAnalito,regNivel,1,regData,$C67,regRep2,"&lt;&gt;")&gt;0),SUMIFS(regRep2,regAnalito,selAnalito,regNivel,1,regData,$C67),NA())</f>
        <v>#N/A</v>
      </c>
      <c r="Z67" s="30" t="e">
        <f>IF(AND($D67=1,(""&amp;loteAnalise)=(""&amp;loteCarregado),COUNTIFS(regAnalito,selAnalito,regNivel,1,regData,$C67,regRep3,"&lt;&gt;")&gt;0),SUMIFS(regRep3,regAnalito,selAnalito,regNivel,1,regData,$C67),NA())</f>
        <v>#N/A</v>
      </c>
      <c r="AA67" s="30" t="e">
        <f>IF(AND($D67=1,COUNTIFS(regAnalito,selAnalito,regData,$C67,regCalib,"Sim")&gt;0),$BT$1,NA())</f>
        <v>#N/A</v>
      </c>
      <c r="AB67" s="30" t="str">
        <f>IF($B67="","",IF(INDEX(engValN2,$A67)="","",INDEX(engValN2,$A67)))</f>
        <v/>
      </c>
      <c r="AC67" s="30" t="str">
        <f t="shared" ref="AC67:AC98" si="80">IF(OR($AB67="",$BW$1=""),"",($AB67-$BV$1)/$BW$1)</f>
        <v/>
      </c>
      <c r="AD67" s="30" t="e">
        <f t="shared" ref="AD67:AD98" si="81">IF(AND($AB67&lt;&gt;"",$D67=1),$AB67,NA())</f>
        <v>#N/A</v>
      </c>
      <c r="AE67" s="30" t="e">
        <f t="shared" ref="AE67:AE98" si="82">IF(AND($AB67&lt;&gt;"",$D67=1,$AL67="OK"),$AB67,NA())</f>
        <v>#N/A</v>
      </c>
      <c r="AF67" s="30" t="e">
        <f t="shared" ref="AF67:AF98" si="83">IF(AND($AB67&lt;&gt;"",$D67=1,$AL67="REJEITADO"),$AB67,NA())</f>
        <v>#N/A</v>
      </c>
      <c r="AG67" s="30">
        <f>IF($AB67="",0,IFERROR(INDEX(engDados,MATCH(selAnalito&amp;"|"&amp;$B67,engChave,0),10),0))</f>
        <v>0</v>
      </c>
      <c r="AH67" s="30">
        <f>IF($AB67="",0,IFERROR(INDEX(engDados,MATCH(selAnalito&amp;"|"&amp;$B67,engChave,0),11),0))</f>
        <v>0</v>
      </c>
      <c r="AI67" s="30">
        <f>IF($AB67="",0,IFERROR(INDEX(engDados,MATCH(selAnalito&amp;"|"&amp;$B67,engChave,0),12),0))</f>
        <v>0</v>
      </c>
      <c r="AJ67" s="30">
        <f>IF($AB67="",0,IFERROR(INDEX(engDados,MATCH(selAnalito&amp;"|"&amp;$B67,engChave,0),13),0))</f>
        <v>0</v>
      </c>
      <c r="AK67" s="30">
        <f>IF($AB67="",0,IFERROR(INDEX(engDados,MATCH(selAnalito&amp;"|"&amp;$B67,engChave,0),14),0))</f>
        <v>0</v>
      </c>
      <c r="AL67" s="30" t="str">
        <f>IF($AB67="","",IFERROR(INDEX(engDados,MATCH(selAnalito&amp;"|"&amp;$B67,engChave,0),16),""))</f>
        <v/>
      </c>
      <c r="AM67" s="30" t="e">
        <f t="shared" ref="AM67:AM98" si="84">IF(AND($D67=1,$BV$1&lt;&gt;""),$BV$1+(-3)*$BW$1,NA())</f>
        <v>#N/A</v>
      </c>
      <c r="AN67" s="30" t="e">
        <f t="shared" ref="AN67:AN98" si="85">IF(AND($D67=1,$BV$1&lt;&gt;""),$BV$1+(-2)*$BW$1,NA())</f>
        <v>#N/A</v>
      </c>
      <c r="AO67" s="30" t="e">
        <f t="shared" ref="AO67:AO98" si="86">IF(AND($D67=1,$BV$1&lt;&gt;""),$BV$1+(-1)*$BW$1,NA())</f>
        <v>#N/A</v>
      </c>
      <c r="AP67" s="30" t="e">
        <f t="shared" ref="AP67:AP98" si="87">IF(AND($D67=1,$BV$1&lt;&gt;""),$BV$1,NA())</f>
        <v>#N/A</v>
      </c>
      <c r="AQ67" s="30" t="e">
        <f t="shared" ref="AQ67:AQ98" si="88">IF(AND($D67=1,$BV$1&lt;&gt;""),$BV$1+(1)*$BW$1,NA())</f>
        <v>#N/A</v>
      </c>
      <c r="AR67" s="30" t="e">
        <f t="shared" ref="AR67:AR98" si="89">IF(AND($D67=1,$BV$1&lt;&gt;""),$BV$1+(2)*$BW$1,NA())</f>
        <v>#N/A</v>
      </c>
      <c r="AS67" s="30" t="e">
        <f t="shared" ref="AS67:AS98" si="90">IF(AND($D67=1,$BV$1&lt;&gt;""),$BV$1+(3)*$BW$1,NA())</f>
        <v>#N/A</v>
      </c>
      <c r="AT67" s="30" t="e">
        <f>IF(AND($D67=1,(""&amp;loteAnalise)=(""&amp;loteCarregado),COUNTIFS(regAnalito,selAnalito,regNivel,2,regData,$C67,regRep1,"&lt;&gt;")&gt;0),SUMIFS(regRep1,regAnalito,selAnalito,regNivel,2,regData,$C67),NA())</f>
        <v>#N/A</v>
      </c>
      <c r="AU67" s="30" t="e">
        <f>IF(AND($D67=1,(""&amp;loteAnalise)=(""&amp;loteCarregado),COUNTIFS(regAnalito,selAnalito,regNivel,2,regData,$C67,regRep2,"&lt;&gt;")&gt;0),SUMIFS(regRep2,regAnalito,selAnalito,regNivel,2,regData,$C67),NA())</f>
        <v>#N/A</v>
      </c>
      <c r="AV67" s="30" t="e">
        <f>IF(AND($D67=1,(""&amp;loteAnalise)=(""&amp;loteCarregado),COUNTIFS(regAnalito,selAnalito,regNivel,2,regData,$C67,regRep3,"&lt;&gt;")&gt;0),SUMIFS(regRep3,regAnalito,selAnalito,regNivel,2,regData,$C67),NA())</f>
        <v>#N/A</v>
      </c>
      <c r="AW67" s="30" t="e">
        <f>IF(AND($D67=1,COUNTIFS(regAnalito,selAnalito,regData,$C67,regCalib,"Sim")&gt;0),$BV$1,NA())</f>
        <v>#N/A</v>
      </c>
      <c r="AX67" s="30" t="str">
        <f>IF($B67="","",IF(INDEX(engValN3,$A67)="","",INDEX(engValN3,$A67)))</f>
        <v/>
      </c>
      <c r="AY67" s="30" t="str">
        <f t="shared" ref="AY67:AY98" si="91">IF(OR($AX67="",$BY$1=""),"",($AX67-$BX$1)/$BY$1)</f>
        <v/>
      </c>
      <c r="AZ67" s="30" t="e">
        <f t="shared" ref="AZ67:AZ98" si="92">IF(AND($AX67&lt;&gt;"",$D67=1),$AX67,NA())</f>
        <v>#N/A</v>
      </c>
      <c r="BA67" s="30" t="e">
        <f t="shared" ref="BA67:BA98" si="93">IF(AND($AX67&lt;&gt;"",$D67=1,$BH67="OK"),$AX67,NA())</f>
        <v>#N/A</v>
      </c>
      <c r="BB67" s="30" t="e">
        <f t="shared" ref="BB67:BB98" si="94">IF(AND($AX67&lt;&gt;"",$D67=1,$BH67="REJEITADO"),$AX67,NA())</f>
        <v>#N/A</v>
      </c>
      <c r="BC67" s="30">
        <f>IF($AX67="",0,IFERROR(INDEX(engDados,MATCH(selAnalito&amp;"|"&amp;$B67,engChave,0),17),0))</f>
        <v>0</v>
      </c>
      <c r="BD67" s="30">
        <f>IF($AX67="",0,IFERROR(INDEX(engDados,MATCH(selAnalito&amp;"|"&amp;$B67,engChave,0),18),0))</f>
        <v>0</v>
      </c>
      <c r="BE67" s="30">
        <f>IF($AX67="",0,IFERROR(INDEX(engDados,MATCH(selAnalito&amp;"|"&amp;$B67,engChave,0),19),0))</f>
        <v>0</v>
      </c>
      <c r="BF67" s="30">
        <f>IF($AX67="",0,IFERROR(INDEX(engDados,MATCH(selAnalito&amp;"|"&amp;$B67,engChave,0),20),0))</f>
        <v>0</v>
      </c>
      <c r="BG67" s="30">
        <f>IF($AX67="",0,IFERROR(INDEX(engDados,MATCH(selAnalito&amp;"|"&amp;$B67,engChave,0),21),0))</f>
        <v>0</v>
      </c>
      <c r="BH67" s="30" t="str">
        <f>IF($AX67="","",IFERROR(INDEX(engDados,MATCH(selAnalito&amp;"|"&amp;$B67,engChave,0),23),""))</f>
        <v/>
      </c>
      <c r="BI67" s="30" t="e">
        <f t="shared" ref="BI67:BI98" si="95">IF(AND($D67=1,$BX$1&lt;&gt;""),$BX$1+(-3)*$BY$1,NA())</f>
        <v>#N/A</v>
      </c>
      <c r="BJ67" s="30" t="e">
        <f t="shared" ref="BJ67:BJ98" si="96">IF(AND($D67=1,$BX$1&lt;&gt;""),$BX$1+(-2)*$BY$1,NA())</f>
        <v>#N/A</v>
      </c>
      <c r="BK67" s="30" t="e">
        <f t="shared" ref="BK67:BK98" si="97">IF(AND($D67=1,$BX$1&lt;&gt;""),$BX$1+(-1)*$BY$1,NA())</f>
        <v>#N/A</v>
      </c>
      <c r="BL67" s="30" t="e">
        <f t="shared" ref="BL67:BL98" si="98">IF(AND($D67=1,$BX$1&lt;&gt;""),$BX$1,NA())</f>
        <v>#N/A</v>
      </c>
      <c r="BM67" s="30" t="e">
        <f t="shared" ref="BM67:BM98" si="99">IF(AND($D67=1,$BX$1&lt;&gt;""),$BX$1+(1)*$BY$1,NA())</f>
        <v>#N/A</v>
      </c>
      <c r="BN67" s="30" t="e">
        <f t="shared" ref="BN67:BN98" si="100">IF(AND($D67=1,$BX$1&lt;&gt;""),$BX$1+(2)*$BY$1,NA())</f>
        <v>#N/A</v>
      </c>
      <c r="BO67" s="30" t="e">
        <f t="shared" ref="BO67:BO98" si="101">IF(AND($D67=1,$BX$1&lt;&gt;""),$BX$1+(3)*$BY$1,NA())</f>
        <v>#N/A</v>
      </c>
      <c r="BP67" s="30" t="e">
        <f>IF(AND($D67=1,(""&amp;loteAnalise)=(""&amp;loteCarregado),COUNTIFS(regAnalito,selAnalito,regNivel,3,regData,$C67,regRep1,"&lt;&gt;")&gt;0),SUMIFS(regRep1,regAnalito,selAnalito,regNivel,3,regData,$C67),NA())</f>
        <v>#N/A</v>
      </c>
      <c r="BQ67" s="30" t="e">
        <f>IF(AND($D67=1,(""&amp;loteAnalise)=(""&amp;loteCarregado),COUNTIFS(regAnalito,selAnalito,regNivel,3,regData,$C67,regRep2,"&lt;&gt;")&gt;0),SUMIFS(regRep2,regAnalito,selAnalito,regNivel,3,regData,$C67),NA())</f>
        <v>#N/A</v>
      </c>
      <c r="BR67" s="30" t="e">
        <f>IF(AND($D67=1,(""&amp;loteAnalise)=(""&amp;loteCarregado),COUNTIFS(regAnalito,selAnalito,regNivel,3,regData,$C67,regRep3,"&lt;&gt;")&gt;0),SUMIFS(regRep3,regAnalito,selAnalito,regNivel,3,regData,$C67),NA())</f>
        <v>#N/A</v>
      </c>
      <c r="BS67" s="30" t="e">
        <f>IF(AND($D67=1,COUNTIFS(regAnalito,selAnalito,regData,$C67,regCalib,"Sim")&gt;0),$BX$1,NA())</f>
        <v>#N/A</v>
      </c>
    </row>
    <row r="68" spans="1:71" x14ac:dyDescent="0.3">
      <c r="A68" s="30">
        <v>66</v>
      </c>
      <c r="B68" s="30" t="str">
        <f>IF(OR(selAnalito="",(""&amp;engAnalito)&lt;&gt;(""&amp;selAnalito),(""&amp;engLote)&lt;&gt;(""&amp;loteAnalise),$A68&gt;N(engNRun)),"",INDEX(engRUN,$A68))</f>
        <v/>
      </c>
      <c r="C68" s="43" t="str">
        <f>IF($B68="","",IF(INDEX(engData,$A68)="","",INDEX(engData,$A68)))</f>
        <v/>
      </c>
      <c r="D68" s="30">
        <f>IF($C68="",0,IF(AND(OR(filtroDe="",INT($C68)&gt;=INT(filtroDe)),OR(filtroAte="",INT($C68)&lt;=INT(filtroAte))),1,0))</f>
        <v>0</v>
      </c>
      <c r="E68" s="30" t="e">
        <f t="shared" si="68"/>
        <v>#N/A</v>
      </c>
      <c r="F68" s="30" t="str">
        <f>IF($B68="","",IF(INDEX(engValN1,$A68)="","",INDEX(engValN1,$A68)))</f>
        <v/>
      </c>
      <c r="G68" s="30" t="str">
        <f t="shared" si="69"/>
        <v/>
      </c>
      <c r="H68" s="30" t="e">
        <f t="shared" si="70"/>
        <v>#N/A</v>
      </c>
      <c r="I68" s="30" t="e">
        <f t="shared" si="71"/>
        <v>#N/A</v>
      </c>
      <c r="J68" s="30" t="e">
        <f t="shared" si="72"/>
        <v>#N/A</v>
      </c>
      <c r="K68" s="30">
        <f>IF($F68="",0,IFERROR(INDEX(engDados,MATCH(selAnalito&amp;"|"&amp;$B68,engChave,0),3),0))</f>
        <v>0</v>
      </c>
      <c r="L68" s="30">
        <f>IF($F68="",0,IFERROR(INDEX(engDados,MATCH(selAnalito&amp;"|"&amp;$B68,engChave,0),4),0))</f>
        <v>0</v>
      </c>
      <c r="M68" s="30">
        <f>IF($F68="",0,IFERROR(INDEX(engDados,MATCH(selAnalito&amp;"|"&amp;$B68,engChave,0),5),0))</f>
        <v>0</v>
      </c>
      <c r="N68" s="30">
        <f>IF($F68="",0,IFERROR(INDEX(engDados,MATCH(selAnalito&amp;"|"&amp;$B68,engChave,0),6),0))</f>
        <v>0</v>
      </c>
      <c r="O68" s="30">
        <f>IF($F68="",0,IFERROR(INDEX(engDados,MATCH(selAnalito&amp;"|"&amp;$B68,engChave,0),7),0))</f>
        <v>0</v>
      </c>
      <c r="P68" s="30" t="str">
        <f>IF($F68="","",IFERROR(INDEX(engDados,MATCH(selAnalito&amp;"|"&amp;$B68,engChave,0),9),""))</f>
        <v/>
      </c>
      <c r="Q68" s="30" t="e">
        <f t="shared" si="73"/>
        <v>#N/A</v>
      </c>
      <c r="R68" s="30" t="e">
        <f t="shared" si="74"/>
        <v>#N/A</v>
      </c>
      <c r="S68" s="30" t="e">
        <f t="shared" si="75"/>
        <v>#N/A</v>
      </c>
      <c r="T68" s="30" t="e">
        <f t="shared" si="76"/>
        <v>#N/A</v>
      </c>
      <c r="U68" s="30" t="e">
        <f t="shared" si="77"/>
        <v>#N/A</v>
      </c>
      <c r="V68" s="30" t="e">
        <f t="shared" si="78"/>
        <v>#N/A</v>
      </c>
      <c r="W68" s="30" t="e">
        <f t="shared" si="79"/>
        <v>#N/A</v>
      </c>
      <c r="X68" s="30" t="e">
        <f>IF(AND($D68=1,(""&amp;loteAnalise)=(""&amp;loteCarregado),COUNTIFS(regAnalito,selAnalito,regNivel,1,regData,$C68,regRep1,"&lt;&gt;")&gt;0),SUMIFS(regRep1,regAnalito,selAnalito,regNivel,1,regData,$C68),NA())</f>
        <v>#N/A</v>
      </c>
      <c r="Y68" s="30" t="e">
        <f>IF(AND($D68=1,(""&amp;loteAnalise)=(""&amp;loteCarregado),COUNTIFS(regAnalito,selAnalito,regNivel,1,regData,$C68,regRep2,"&lt;&gt;")&gt;0),SUMIFS(regRep2,regAnalito,selAnalito,regNivel,1,regData,$C68),NA())</f>
        <v>#N/A</v>
      </c>
      <c r="Z68" s="30" t="e">
        <f>IF(AND($D68=1,(""&amp;loteAnalise)=(""&amp;loteCarregado),COUNTIFS(regAnalito,selAnalito,regNivel,1,regData,$C68,regRep3,"&lt;&gt;")&gt;0),SUMIFS(regRep3,regAnalito,selAnalito,regNivel,1,regData,$C68),NA())</f>
        <v>#N/A</v>
      </c>
      <c r="AA68" s="30" t="e">
        <f>IF(AND($D68=1,COUNTIFS(regAnalito,selAnalito,regData,$C68,regCalib,"Sim")&gt;0),$BT$1,NA())</f>
        <v>#N/A</v>
      </c>
      <c r="AB68" s="30" t="str">
        <f>IF($B68="","",IF(INDEX(engValN2,$A68)="","",INDEX(engValN2,$A68)))</f>
        <v/>
      </c>
      <c r="AC68" s="30" t="str">
        <f t="shared" si="80"/>
        <v/>
      </c>
      <c r="AD68" s="30" t="e">
        <f t="shared" si="81"/>
        <v>#N/A</v>
      </c>
      <c r="AE68" s="30" t="e">
        <f t="shared" si="82"/>
        <v>#N/A</v>
      </c>
      <c r="AF68" s="30" t="e">
        <f t="shared" si="83"/>
        <v>#N/A</v>
      </c>
      <c r="AG68" s="30">
        <f>IF($AB68="",0,IFERROR(INDEX(engDados,MATCH(selAnalito&amp;"|"&amp;$B68,engChave,0),10),0))</f>
        <v>0</v>
      </c>
      <c r="AH68" s="30">
        <f>IF($AB68="",0,IFERROR(INDEX(engDados,MATCH(selAnalito&amp;"|"&amp;$B68,engChave,0),11),0))</f>
        <v>0</v>
      </c>
      <c r="AI68" s="30">
        <f>IF($AB68="",0,IFERROR(INDEX(engDados,MATCH(selAnalito&amp;"|"&amp;$B68,engChave,0),12),0))</f>
        <v>0</v>
      </c>
      <c r="AJ68" s="30">
        <f>IF($AB68="",0,IFERROR(INDEX(engDados,MATCH(selAnalito&amp;"|"&amp;$B68,engChave,0),13),0))</f>
        <v>0</v>
      </c>
      <c r="AK68" s="30">
        <f>IF($AB68="",0,IFERROR(INDEX(engDados,MATCH(selAnalito&amp;"|"&amp;$B68,engChave,0),14),0))</f>
        <v>0</v>
      </c>
      <c r="AL68" s="30" t="str">
        <f>IF($AB68="","",IFERROR(INDEX(engDados,MATCH(selAnalito&amp;"|"&amp;$B68,engChave,0),16),""))</f>
        <v/>
      </c>
      <c r="AM68" s="30" t="e">
        <f t="shared" si="84"/>
        <v>#N/A</v>
      </c>
      <c r="AN68" s="30" t="e">
        <f t="shared" si="85"/>
        <v>#N/A</v>
      </c>
      <c r="AO68" s="30" t="e">
        <f t="shared" si="86"/>
        <v>#N/A</v>
      </c>
      <c r="AP68" s="30" t="e">
        <f t="shared" si="87"/>
        <v>#N/A</v>
      </c>
      <c r="AQ68" s="30" t="e">
        <f t="shared" si="88"/>
        <v>#N/A</v>
      </c>
      <c r="AR68" s="30" t="e">
        <f t="shared" si="89"/>
        <v>#N/A</v>
      </c>
      <c r="AS68" s="30" t="e">
        <f t="shared" si="90"/>
        <v>#N/A</v>
      </c>
      <c r="AT68" s="30" t="e">
        <f>IF(AND($D68=1,(""&amp;loteAnalise)=(""&amp;loteCarregado),COUNTIFS(regAnalito,selAnalito,regNivel,2,regData,$C68,regRep1,"&lt;&gt;")&gt;0),SUMIFS(regRep1,regAnalito,selAnalito,regNivel,2,regData,$C68),NA())</f>
        <v>#N/A</v>
      </c>
      <c r="AU68" s="30" t="e">
        <f>IF(AND($D68=1,(""&amp;loteAnalise)=(""&amp;loteCarregado),COUNTIFS(regAnalito,selAnalito,regNivel,2,regData,$C68,regRep2,"&lt;&gt;")&gt;0),SUMIFS(regRep2,regAnalito,selAnalito,regNivel,2,regData,$C68),NA())</f>
        <v>#N/A</v>
      </c>
      <c r="AV68" s="30" t="e">
        <f>IF(AND($D68=1,(""&amp;loteAnalise)=(""&amp;loteCarregado),COUNTIFS(regAnalito,selAnalito,regNivel,2,regData,$C68,regRep3,"&lt;&gt;")&gt;0),SUMIFS(regRep3,regAnalito,selAnalito,regNivel,2,regData,$C68),NA())</f>
        <v>#N/A</v>
      </c>
      <c r="AW68" s="30" t="e">
        <f>IF(AND($D68=1,COUNTIFS(regAnalito,selAnalito,regData,$C68,regCalib,"Sim")&gt;0),$BV$1,NA())</f>
        <v>#N/A</v>
      </c>
      <c r="AX68" s="30" t="str">
        <f>IF($B68="","",IF(INDEX(engValN3,$A68)="","",INDEX(engValN3,$A68)))</f>
        <v/>
      </c>
      <c r="AY68" s="30" t="str">
        <f t="shared" si="91"/>
        <v/>
      </c>
      <c r="AZ68" s="30" t="e">
        <f t="shared" si="92"/>
        <v>#N/A</v>
      </c>
      <c r="BA68" s="30" t="e">
        <f t="shared" si="93"/>
        <v>#N/A</v>
      </c>
      <c r="BB68" s="30" t="e">
        <f t="shared" si="94"/>
        <v>#N/A</v>
      </c>
      <c r="BC68" s="30">
        <f>IF($AX68="",0,IFERROR(INDEX(engDados,MATCH(selAnalito&amp;"|"&amp;$B68,engChave,0),17),0))</f>
        <v>0</v>
      </c>
      <c r="BD68" s="30">
        <f>IF($AX68="",0,IFERROR(INDEX(engDados,MATCH(selAnalito&amp;"|"&amp;$B68,engChave,0),18),0))</f>
        <v>0</v>
      </c>
      <c r="BE68" s="30">
        <f>IF($AX68="",0,IFERROR(INDEX(engDados,MATCH(selAnalito&amp;"|"&amp;$B68,engChave,0),19),0))</f>
        <v>0</v>
      </c>
      <c r="BF68" s="30">
        <f>IF($AX68="",0,IFERROR(INDEX(engDados,MATCH(selAnalito&amp;"|"&amp;$B68,engChave,0),20),0))</f>
        <v>0</v>
      </c>
      <c r="BG68" s="30">
        <f>IF($AX68="",0,IFERROR(INDEX(engDados,MATCH(selAnalito&amp;"|"&amp;$B68,engChave,0),21),0))</f>
        <v>0</v>
      </c>
      <c r="BH68" s="30" t="str">
        <f>IF($AX68="","",IFERROR(INDEX(engDados,MATCH(selAnalito&amp;"|"&amp;$B68,engChave,0),23),""))</f>
        <v/>
      </c>
      <c r="BI68" s="30" t="e">
        <f t="shared" si="95"/>
        <v>#N/A</v>
      </c>
      <c r="BJ68" s="30" t="e">
        <f t="shared" si="96"/>
        <v>#N/A</v>
      </c>
      <c r="BK68" s="30" t="e">
        <f t="shared" si="97"/>
        <v>#N/A</v>
      </c>
      <c r="BL68" s="30" t="e">
        <f t="shared" si="98"/>
        <v>#N/A</v>
      </c>
      <c r="BM68" s="30" t="e">
        <f t="shared" si="99"/>
        <v>#N/A</v>
      </c>
      <c r="BN68" s="30" t="e">
        <f t="shared" si="100"/>
        <v>#N/A</v>
      </c>
      <c r="BO68" s="30" t="e">
        <f t="shared" si="101"/>
        <v>#N/A</v>
      </c>
      <c r="BP68" s="30" t="e">
        <f>IF(AND($D68=1,(""&amp;loteAnalise)=(""&amp;loteCarregado),COUNTIFS(regAnalito,selAnalito,regNivel,3,regData,$C68,regRep1,"&lt;&gt;")&gt;0),SUMIFS(regRep1,regAnalito,selAnalito,regNivel,3,regData,$C68),NA())</f>
        <v>#N/A</v>
      </c>
      <c r="BQ68" s="30" t="e">
        <f>IF(AND($D68=1,(""&amp;loteAnalise)=(""&amp;loteCarregado),COUNTIFS(regAnalito,selAnalito,regNivel,3,regData,$C68,regRep2,"&lt;&gt;")&gt;0),SUMIFS(regRep2,regAnalito,selAnalito,regNivel,3,regData,$C68),NA())</f>
        <v>#N/A</v>
      </c>
      <c r="BR68" s="30" t="e">
        <f>IF(AND($D68=1,(""&amp;loteAnalise)=(""&amp;loteCarregado),COUNTIFS(regAnalito,selAnalito,regNivel,3,regData,$C68,regRep3,"&lt;&gt;")&gt;0),SUMIFS(regRep3,regAnalito,selAnalito,regNivel,3,regData,$C68),NA())</f>
        <v>#N/A</v>
      </c>
      <c r="BS68" s="30" t="e">
        <f>IF(AND($D68=1,COUNTIFS(regAnalito,selAnalito,regData,$C68,regCalib,"Sim")&gt;0),$BX$1,NA())</f>
        <v>#N/A</v>
      </c>
    </row>
    <row r="69" spans="1:71" x14ac:dyDescent="0.3">
      <c r="A69" s="30">
        <v>67</v>
      </c>
      <c r="B69" s="30" t="str">
        <f>IF(OR(selAnalito="",(""&amp;engAnalito)&lt;&gt;(""&amp;selAnalito),(""&amp;engLote)&lt;&gt;(""&amp;loteAnalise),$A69&gt;N(engNRun)),"",INDEX(engRUN,$A69))</f>
        <v/>
      </c>
      <c r="C69" s="43" t="str">
        <f>IF($B69="","",IF(INDEX(engData,$A69)="","",INDEX(engData,$A69)))</f>
        <v/>
      </c>
      <c r="D69" s="30">
        <f>IF($C69="",0,IF(AND(OR(filtroDe="",INT($C69)&gt;=INT(filtroDe)),OR(filtroAte="",INT($C69)&lt;=INT(filtroAte))),1,0))</f>
        <v>0</v>
      </c>
      <c r="E69" s="30" t="e">
        <f t="shared" si="68"/>
        <v>#N/A</v>
      </c>
      <c r="F69" s="30" t="str">
        <f>IF($B69="","",IF(INDEX(engValN1,$A69)="","",INDEX(engValN1,$A69)))</f>
        <v/>
      </c>
      <c r="G69" s="30" t="str">
        <f t="shared" si="69"/>
        <v/>
      </c>
      <c r="H69" s="30" t="e">
        <f t="shared" si="70"/>
        <v>#N/A</v>
      </c>
      <c r="I69" s="30" t="e">
        <f t="shared" si="71"/>
        <v>#N/A</v>
      </c>
      <c r="J69" s="30" t="e">
        <f t="shared" si="72"/>
        <v>#N/A</v>
      </c>
      <c r="K69" s="30">
        <f>IF($F69="",0,IFERROR(INDEX(engDados,MATCH(selAnalito&amp;"|"&amp;$B69,engChave,0),3),0))</f>
        <v>0</v>
      </c>
      <c r="L69" s="30">
        <f>IF($F69="",0,IFERROR(INDEX(engDados,MATCH(selAnalito&amp;"|"&amp;$B69,engChave,0),4),0))</f>
        <v>0</v>
      </c>
      <c r="M69" s="30">
        <f>IF($F69="",0,IFERROR(INDEX(engDados,MATCH(selAnalito&amp;"|"&amp;$B69,engChave,0),5),0))</f>
        <v>0</v>
      </c>
      <c r="N69" s="30">
        <f>IF($F69="",0,IFERROR(INDEX(engDados,MATCH(selAnalito&amp;"|"&amp;$B69,engChave,0),6),0))</f>
        <v>0</v>
      </c>
      <c r="O69" s="30">
        <f>IF($F69="",0,IFERROR(INDEX(engDados,MATCH(selAnalito&amp;"|"&amp;$B69,engChave,0),7),0))</f>
        <v>0</v>
      </c>
      <c r="P69" s="30" t="str">
        <f>IF($F69="","",IFERROR(INDEX(engDados,MATCH(selAnalito&amp;"|"&amp;$B69,engChave,0),9),""))</f>
        <v/>
      </c>
      <c r="Q69" s="30" t="e">
        <f t="shared" si="73"/>
        <v>#N/A</v>
      </c>
      <c r="R69" s="30" t="e">
        <f t="shared" si="74"/>
        <v>#N/A</v>
      </c>
      <c r="S69" s="30" t="e">
        <f t="shared" si="75"/>
        <v>#N/A</v>
      </c>
      <c r="T69" s="30" t="e">
        <f t="shared" si="76"/>
        <v>#N/A</v>
      </c>
      <c r="U69" s="30" t="e">
        <f t="shared" si="77"/>
        <v>#N/A</v>
      </c>
      <c r="V69" s="30" t="e">
        <f t="shared" si="78"/>
        <v>#N/A</v>
      </c>
      <c r="W69" s="30" t="e">
        <f t="shared" si="79"/>
        <v>#N/A</v>
      </c>
      <c r="X69" s="30" t="e">
        <f>IF(AND($D69=1,(""&amp;loteAnalise)=(""&amp;loteCarregado),COUNTIFS(regAnalito,selAnalito,regNivel,1,regData,$C69,regRep1,"&lt;&gt;")&gt;0),SUMIFS(regRep1,regAnalito,selAnalito,regNivel,1,regData,$C69),NA())</f>
        <v>#N/A</v>
      </c>
      <c r="Y69" s="30" t="e">
        <f>IF(AND($D69=1,(""&amp;loteAnalise)=(""&amp;loteCarregado),COUNTIFS(regAnalito,selAnalito,regNivel,1,regData,$C69,regRep2,"&lt;&gt;")&gt;0),SUMIFS(regRep2,regAnalito,selAnalito,regNivel,1,regData,$C69),NA())</f>
        <v>#N/A</v>
      </c>
      <c r="Z69" s="30" t="e">
        <f>IF(AND($D69=1,(""&amp;loteAnalise)=(""&amp;loteCarregado),COUNTIFS(regAnalito,selAnalito,regNivel,1,regData,$C69,regRep3,"&lt;&gt;")&gt;0),SUMIFS(regRep3,regAnalito,selAnalito,regNivel,1,regData,$C69),NA())</f>
        <v>#N/A</v>
      </c>
      <c r="AA69" s="30" t="e">
        <f>IF(AND($D69=1,COUNTIFS(regAnalito,selAnalito,regData,$C69,regCalib,"Sim")&gt;0),$BT$1,NA())</f>
        <v>#N/A</v>
      </c>
      <c r="AB69" s="30" t="str">
        <f>IF($B69="","",IF(INDEX(engValN2,$A69)="","",INDEX(engValN2,$A69)))</f>
        <v/>
      </c>
      <c r="AC69" s="30" t="str">
        <f t="shared" si="80"/>
        <v/>
      </c>
      <c r="AD69" s="30" t="e">
        <f t="shared" si="81"/>
        <v>#N/A</v>
      </c>
      <c r="AE69" s="30" t="e">
        <f t="shared" si="82"/>
        <v>#N/A</v>
      </c>
      <c r="AF69" s="30" t="e">
        <f t="shared" si="83"/>
        <v>#N/A</v>
      </c>
      <c r="AG69" s="30">
        <f>IF($AB69="",0,IFERROR(INDEX(engDados,MATCH(selAnalito&amp;"|"&amp;$B69,engChave,0),10),0))</f>
        <v>0</v>
      </c>
      <c r="AH69" s="30">
        <f>IF($AB69="",0,IFERROR(INDEX(engDados,MATCH(selAnalito&amp;"|"&amp;$B69,engChave,0),11),0))</f>
        <v>0</v>
      </c>
      <c r="AI69" s="30">
        <f>IF($AB69="",0,IFERROR(INDEX(engDados,MATCH(selAnalito&amp;"|"&amp;$B69,engChave,0),12),0))</f>
        <v>0</v>
      </c>
      <c r="AJ69" s="30">
        <f>IF($AB69="",0,IFERROR(INDEX(engDados,MATCH(selAnalito&amp;"|"&amp;$B69,engChave,0),13),0))</f>
        <v>0</v>
      </c>
      <c r="AK69" s="30">
        <f>IF($AB69="",0,IFERROR(INDEX(engDados,MATCH(selAnalito&amp;"|"&amp;$B69,engChave,0),14),0))</f>
        <v>0</v>
      </c>
      <c r="AL69" s="30" t="str">
        <f>IF($AB69="","",IFERROR(INDEX(engDados,MATCH(selAnalito&amp;"|"&amp;$B69,engChave,0),16),""))</f>
        <v/>
      </c>
      <c r="AM69" s="30" t="e">
        <f t="shared" si="84"/>
        <v>#N/A</v>
      </c>
      <c r="AN69" s="30" t="e">
        <f t="shared" si="85"/>
        <v>#N/A</v>
      </c>
      <c r="AO69" s="30" t="e">
        <f t="shared" si="86"/>
        <v>#N/A</v>
      </c>
      <c r="AP69" s="30" t="e">
        <f t="shared" si="87"/>
        <v>#N/A</v>
      </c>
      <c r="AQ69" s="30" t="e">
        <f t="shared" si="88"/>
        <v>#N/A</v>
      </c>
      <c r="AR69" s="30" t="e">
        <f t="shared" si="89"/>
        <v>#N/A</v>
      </c>
      <c r="AS69" s="30" t="e">
        <f t="shared" si="90"/>
        <v>#N/A</v>
      </c>
      <c r="AT69" s="30" t="e">
        <f>IF(AND($D69=1,(""&amp;loteAnalise)=(""&amp;loteCarregado),COUNTIFS(regAnalito,selAnalito,regNivel,2,regData,$C69,regRep1,"&lt;&gt;")&gt;0),SUMIFS(regRep1,regAnalito,selAnalito,regNivel,2,regData,$C69),NA())</f>
        <v>#N/A</v>
      </c>
      <c r="AU69" s="30" t="e">
        <f>IF(AND($D69=1,(""&amp;loteAnalise)=(""&amp;loteCarregado),COUNTIFS(regAnalito,selAnalito,regNivel,2,regData,$C69,regRep2,"&lt;&gt;")&gt;0),SUMIFS(regRep2,regAnalito,selAnalito,regNivel,2,regData,$C69),NA())</f>
        <v>#N/A</v>
      </c>
      <c r="AV69" s="30" t="e">
        <f>IF(AND($D69=1,(""&amp;loteAnalise)=(""&amp;loteCarregado),COUNTIFS(regAnalito,selAnalito,regNivel,2,regData,$C69,regRep3,"&lt;&gt;")&gt;0),SUMIFS(regRep3,regAnalito,selAnalito,regNivel,2,regData,$C69),NA())</f>
        <v>#N/A</v>
      </c>
      <c r="AW69" s="30" t="e">
        <f>IF(AND($D69=1,COUNTIFS(regAnalito,selAnalito,regData,$C69,regCalib,"Sim")&gt;0),$BV$1,NA())</f>
        <v>#N/A</v>
      </c>
      <c r="AX69" s="30" t="str">
        <f>IF($B69="","",IF(INDEX(engValN3,$A69)="","",INDEX(engValN3,$A69)))</f>
        <v/>
      </c>
      <c r="AY69" s="30" t="str">
        <f t="shared" si="91"/>
        <v/>
      </c>
      <c r="AZ69" s="30" t="e">
        <f t="shared" si="92"/>
        <v>#N/A</v>
      </c>
      <c r="BA69" s="30" t="e">
        <f t="shared" si="93"/>
        <v>#N/A</v>
      </c>
      <c r="BB69" s="30" t="e">
        <f t="shared" si="94"/>
        <v>#N/A</v>
      </c>
      <c r="BC69" s="30">
        <f>IF($AX69="",0,IFERROR(INDEX(engDados,MATCH(selAnalito&amp;"|"&amp;$B69,engChave,0),17),0))</f>
        <v>0</v>
      </c>
      <c r="BD69" s="30">
        <f>IF($AX69="",0,IFERROR(INDEX(engDados,MATCH(selAnalito&amp;"|"&amp;$B69,engChave,0),18),0))</f>
        <v>0</v>
      </c>
      <c r="BE69" s="30">
        <f>IF($AX69="",0,IFERROR(INDEX(engDados,MATCH(selAnalito&amp;"|"&amp;$B69,engChave,0),19),0))</f>
        <v>0</v>
      </c>
      <c r="BF69" s="30">
        <f>IF($AX69="",0,IFERROR(INDEX(engDados,MATCH(selAnalito&amp;"|"&amp;$B69,engChave,0),20),0))</f>
        <v>0</v>
      </c>
      <c r="BG69" s="30">
        <f>IF($AX69="",0,IFERROR(INDEX(engDados,MATCH(selAnalito&amp;"|"&amp;$B69,engChave,0),21),0))</f>
        <v>0</v>
      </c>
      <c r="BH69" s="30" t="str">
        <f>IF($AX69="","",IFERROR(INDEX(engDados,MATCH(selAnalito&amp;"|"&amp;$B69,engChave,0),23),""))</f>
        <v/>
      </c>
      <c r="BI69" s="30" t="e">
        <f t="shared" si="95"/>
        <v>#N/A</v>
      </c>
      <c r="BJ69" s="30" t="e">
        <f t="shared" si="96"/>
        <v>#N/A</v>
      </c>
      <c r="BK69" s="30" t="e">
        <f t="shared" si="97"/>
        <v>#N/A</v>
      </c>
      <c r="BL69" s="30" t="e">
        <f t="shared" si="98"/>
        <v>#N/A</v>
      </c>
      <c r="BM69" s="30" t="e">
        <f t="shared" si="99"/>
        <v>#N/A</v>
      </c>
      <c r="BN69" s="30" t="e">
        <f t="shared" si="100"/>
        <v>#N/A</v>
      </c>
      <c r="BO69" s="30" t="e">
        <f t="shared" si="101"/>
        <v>#N/A</v>
      </c>
      <c r="BP69" s="30" t="e">
        <f>IF(AND($D69=1,(""&amp;loteAnalise)=(""&amp;loteCarregado),COUNTIFS(regAnalito,selAnalito,regNivel,3,regData,$C69,regRep1,"&lt;&gt;")&gt;0),SUMIFS(regRep1,regAnalito,selAnalito,regNivel,3,regData,$C69),NA())</f>
        <v>#N/A</v>
      </c>
      <c r="BQ69" s="30" t="e">
        <f>IF(AND($D69=1,(""&amp;loteAnalise)=(""&amp;loteCarregado),COUNTIFS(regAnalito,selAnalito,regNivel,3,regData,$C69,regRep2,"&lt;&gt;")&gt;0),SUMIFS(regRep2,regAnalito,selAnalito,regNivel,3,regData,$C69),NA())</f>
        <v>#N/A</v>
      </c>
      <c r="BR69" s="30" t="e">
        <f>IF(AND($D69=1,(""&amp;loteAnalise)=(""&amp;loteCarregado),COUNTIFS(regAnalito,selAnalito,regNivel,3,regData,$C69,regRep3,"&lt;&gt;")&gt;0),SUMIFS(regRep3,regAnalito,selAnalito,regNivel,3,regData,$C69),NA())</f>
        <v>#N/A</v>
      </c>
      <c r="BS69" s="30" t="e">
        <f>IF(AND($D69=1,COUNTIFS(regAnalito,selAnalito,regData,$C69,regCalib,"Sim")&gt;0),$BX$1,NA())</f>
        <v>#N/A</v>
      </c>
    </row>
    <row r="70" spans="1:71" x14ac:dyDescent="0.3">
      <c r="A70" s="30">
        <v>68</v>
      </c>
      <c r="B70" s="30" t="str">
        <f>IF(OR(selAnalito="",(""&amp;engAnalito)&lt;&gt;(""&amp;selAnalito),(""&amp;engLote)&lt;&gt;(""&amp;loteAnalise),$A70&gt;N(engNRun)),"",INDEX(engRUN,$A70))</f>
        <v/>
      </c>
      <c r="C70" s="43" t="str">
        <f>IF($B70="","",IF(INDEX(engData,$A70)="","",INDEX(engData,$A70)))</f>
        <v/>
      </c>
      <c r="D70" s="30">
        <f>IF($C70="",0,IF(AND(OR(filtroDe="",INT($C70)&gt;=INT(filtroDe)),OR(filtroAte="",INT($C70)&lt;=INT(filtroAte))),1,0))</f>
        <v>0</v>
      </c>
      <c r="E70" s="30" t="e">
        <f t="shared" si="68"/>
        <v>#N/A</v>
      </c>
      <c r="F70" s="30" t="str">
        <f>IF($B70="","",IF(INDEX(engValN1,$A70)="","",INDEX(engValN1,$A70)))</f>
        <v/>
      </c>
      <c r="G70" s="30" t="str">
        <f t="shared" si="69"/>
        <v/>
      </c>
      <c r="H70" s="30" t="e">
        <f t="shared" si="70"/>
        <v>#N/A</v>
      </c>
      <c r="I70" s="30" t="e">
        <f t="shared" si="71"/>
        <v>#N/A</v>
      </c>
      <c r="J70" s="30" t="e">
        <f t="shared" si="72"/>
        <v>#N/A</v>
      </c>
      <c r="K70" s="30">
        <f>IF($F70="",0,IFERROR(INDEX(engDados,MATCH(selAnalito&amp;"|"&amp;$B70,engChave,0),3),0))</f>
        <v>0</v>
      </c>
      <c r="L70" s="30">
        <f>IF($F70="",0,IFERROR(INDEX(engDados,MATCH(selAnalito&amp;"|"&amp;$B70,engChave,0),4),0))</f>
        <v>0</v>
      </c>
      <c r="M70" s="30">
        <f>IF($F70="",0,IFERROR(INDEX(engDados,MATCH(selAnalito&amp;"|"&amp;$B70,engChave,0),5),0))</f>
        <v>0</v>
      </c>
      <c r="N70" s="30">
        <f>IF($F70="",0,IFERROR(INDEX(engDados,MATCH(selAnalito&amp;"|"&amp;$B70,engChave,0),6),0))</f>
        <v>0</v>
      </c>
      <c r="O70" s="30">
        <f>IF($F70="",0,IFERROR(INDEX(engDados,MATCH(selAnalito&amp;"|"&amp;$B70,engChave,0),7),0))</f>
        <v>0</v>
      </c>
      <c r="P70" s="30" t="str">
        <f>IF($F70="","",IFERROR(INDEX(engDados,MATCH(selAnalito&amp;"|"&amp;$B70,engChave,0),9),""))</f>
        <v/>
      </c>
      <c r="Q70" s="30" t="e">
        <f t="shared" si="73"/>
        <v>#N/A</v>
      </c>
      <c r="R70" s="30" t="e">
        <f t="shared" si="74"/>
        <v>#N/A</v>
      </c>
      <c r="S70" s="30" t="e">
        <f t="shared" si="75"/>
        <v>#N/A</v>
      </c>
      <c r="T70" s="30" t="e">
        <f t="shared" si="76"/>
        <v>#N/A</v>
      </c>
      <c r="U70" s="30" t="e">
        <f t="shared" si="77"/>
        <v>#N/A</v>
      </c>
      <c r="V70" s="30" t="e">
        <f t="shared" si="78"/>
        <v>#N/A</v>
      </c>
      <c r="W70" s="30" t="e">
        <f t="shared" si="79"/>
        <v>#N/A</v>
      </c>
      <c r="X70" s="30" t="e">
        <f>IF(AND($D70=1,(""&amp;loteAnalise)=(""&amp;loteCarregado),COUNTIFS(regAnalito,selAnalito,regNivel,1,regData,$C70,regRep1,"&lt;&gt;")&gt;0),SUMIFS(regRep1,regAnalito,selAnalito,regNivel,1,regData,$C70),NA())</f>
        <v>#N/A</v>
      </c>
      <c r="Y70" s="30" t="e">
        <f>IF(AND($D70=1,(""&amp;loteAnalise)=(""&amp;loteCarregado),COUNTIFS(regAnalito,selAnalito,regNivel,1,regData,$C70,regRep2,"&lt;&gt;")&gt;0),SUMIFS(regRep2,regAnalito,selAnalito,regNivel,1,regData,$C70),NA())</f>
        <v>#N/A</v>
      </c>
      <c r="Z70" s="30" t="e">
        <f>IF(AND($D70=1,(""&amp;loteAnalise)=(""&amp;loteCarregado),COUNTIFS(regAnalito,selAnalito,regNivel,1,regData,$C70,regRep3,"&lt;&gt;")&gt;0),SUMIFS(regRep3,regAnalito,selAnalito,regNivel,1,regData,$C70),NA())</f>
        <v>#N/A</v>
      </c>
      <c r="AA70" s="30" t="e">
        <f>IF(AND($D70=1,COUNTIFS(regAnalito,selAnalito,regData,$C70,regCalib,"Sim")&gt;0),$BT$1,NA())</f>
        <v>#N/A</v>
      </c>
      <c r="AB70" s="30" t="str">
        <f>IF($B70="","",IF(INDEX(engValN2,$A70)="","",INDEX(engValN2,$A70)))</f>
        <v/>
      </c>
      <c r="AC70" s="30" t="str">
        <f t="shared" si="80"/>
        <v/>
      </c>
      <c r="AD70" s="30" t="e">
        <f t="shared" si="81"/>
        <v>#N/A</v>
      </c>
      <c r="AE70" s="30" t="e">
        <f t="shared" si="82"/>
        <v>#N/A</v>
      </c>
      <c r="AF70" s="30" t="e">
        <f t="shared" si="83"/>
        <v>#N/A</v>
      </c>
      <c r="AG70" s="30">
        <f>IF($AB70="",0,IFERROR(INDEX(engDados,MATCH(selAnalito&amp;"|"&amp;$B70,engChave,0),10),0))</f>
        <v>0</v>
      </c>
      <c r="AH70" s="30">
        <f>IF($AB70="",0,IFERROR(INDEX(engDados,MATCH(selAnalito&amp;"|"&amp;$B70,engChave,0),11),0))</f>
        <v>0</v>
      </c>
      <c r="AI70" s="30">
        <f>IF($AB70="",0,IFERROR(INDEX(engDados,MATCH(selAnalito&amp;"|"&amp;$B70,engChave,0),12),0))</f>
        <v>0</v>
      </c>
      <c r="AJ70" s="30">
        <f>IF($AB70="",0,IFERROR(INDEX(engDados,MATCH(selAnalito&amp;"|"&amp;$B70,engChave,0),13),0))</f>
        <v>0</v>
      </c>
      <c r="AK70" s="30">
        <f>IF($AB70="",0,IFERROR(INDEX(engDados,MATCH(selAnalito&amp;"|"&amp;$B70,engChave,0),14),0))</f>
        <v>0</v>
      </c>
      <c r="AL70" s="30" t="str">
        <f>IF($AB70="","",IFERROR(INDEX(engDados,MATCH(selAnalito&amp;"|"&amp;$B70,engChave,0),16),""))</f>
        <v/>
      </c>
      <c r="AM70" s="30" t="e">
        <f t="shared" si="84"/>
        <v>#N/A</v>
      </c>
      <c r="AN70" s="30" t="e">
        <f t="shared" si="85"/>
        <v>#N/A</v>
      </c>
      <c r="AO70" s="30" t="e">
        <f t="shared" si="86"/>
        <v>#N/A</v>
      </c>
      <c r="AP70" s="30" t="e">
        <f t="shared" si="87"/>
        <v>#N/A</v>
      </c>
      <c r="AQ70" s="30" t="e">
        <f t="shared" si="88"/>
        <v>#N/A</v>
      </c>
      <c r="AR70" s="30" t="e">
        <f t="shared" si="89"/>
        <v>#N/A</v>
      </c>
      <c r="AS70" s="30" t="e">
        <f t="shared" si="90"/>
        <v>#N/A</v>
      </c>
      <c r="AT70" s="30" t="e">
        <f>IF(AND($D70=1,(""&amp;loteAnalise)=(""&amp;loteCarregado),COUNTIFS(regAnalito,selAnalito,regNivel,2,regData,$C70,regRep1,"&lt;&gt;")&gt;0),SUMIFS(regRep1,regAnalito,selAnalito,regNivel,2,regData,$C70),NA())</f>
        <v>#N/A</v>
      </c>
      <c r="AU70" s="30" t="e">
        <f>IF(AND($D70=1,(""&amp;loteAnalise)=(""&amp;loteCarregado),COUNTIFS(regAnalito,selAnalito,regNivel,2,regData,$C70,regRep2,"&lt;&gt;")&gt;0),SUMIFS(regRep2,regAnalito,selAnalito,regNivel,2,regData,$C70),NA())</f>
        <v>#N/A</v>
      </c>
      <c r="AV70" s="30" t="e">
        <f>IF(AND($D70=1,(""&amp;loteAnalise)=(""&amp;loteCarregado),COUNTIFS(regAnalito,selAnalito,regNivel,2,regData,$C70,regRep3,"&lt;&gt;")&gt;0),SUMIFS(regRep3,regAnalito,selAnalito,regNivel,2,regData,$C70),NA())</f>
        <v>#N/A</v>
      </c>
      <c r="AW70" s="30" t="e">
        <f>IF(AND($D70=1,COUNTIFS(regAnalito,selAnalito,regData,$C70,regCalib,"Sim")&gt;0),$BV$1,NA())</f>
        <v>#N/A</v>
      </c>
      <c r="AX70" s="30" t="str">
        <f>IF($B70="","",IF(INDEX(engValN3,$A70)="","",INDEX(engValN3,$A70)))</f>
        <v/>
      </c>
      <c r="AY70" s="30" t="str">
        <f t="shared" si="91"/>
        <v/>
      </c>
      <c r="AZ70" s="30" t="e">
        <f t="shared" si="92"/>
        <v>#N/A</v>
      </c>
      <c r="BA70" s="30" t="e">
        <f t="shared" si="93"/>
        <v>#N/A</v>
      </c>
      <c r="BB70" s="30" t="e">
        <f t="shared" si="94"/>
        <v>#N/A</v>
      </c>
      <c r="BC70" s="30">
        <f>IF($AX70="",0,IFERROR(INDEX(engDados,MATCH(selAnalito&amp;"|"&amp;$B70,engChave,0),17),0))</f>
        <v>0</v>
      </c>
      <c r="BD70" s="30">
        <f>IF($AX70="",0,IFERROR(INDEX(engDados,MATCH(selAnalito&amp;"|"&amp;$B70,engChave,0),18),0))</f>
        <v>0</v>
      </c>
      <c r="BE70" s="30">
        <f>IF($AX70="",0,IFERROR(INDEX(engDados,MATCH(selAnalito&amp;"|"&amp;$B70,engChave,0),19),0))</f>
        <v>0</v>
      </c>
      <c r="BF70" s="30">
        <f>IF($AX70="",0,IFERROR(INDEX(engDados,MATCH(selAnalito&amp;"|"&amp;$B70,engChave,0),20),0))</f>
        <v>0</v>
      </c>
      <c r="BG70" s="30">
        <f>IF($AX70="",0,IFERROR(INDEX(engDados,MATCH(selAnalito&amp;"|"&amp;$B70,engChave,0),21),0))</f>
        <v>0</v>
      </c>
      <c r="BH70" s="30" t="str">
        <f>IF($AX70="","",IFERROR(INDEX(engDados,MATCH(selAnalito&amp;"|"&amp;$B70,engChave,0),23),""))</f>
        <v/>
      </c>
      <c r="BI70" s="30" t="e">
        <f t="shared" si="95"/>
        <v>#N/A</v>
      </c>
      <c r="BJ70" s="30" t="e">
        <f t="shared" si="96"/>
        <v>#N/A</v>
      </c>
      <c r="BK70" s="30" t="e">
        <f t="shared" si="97"/>
        <v>#N/A</v>
      </c>
      <c r="BL70" s="30" t="e">
        <f t="shared" si="98"/>
        <v>#N/A</v>
      </c>
      <c r="BM70" s="30" t="e">
        <f t="shared" si="99"/>
        <v>#N/A</v>
      </c>
      <c r="BN70" s="30" t="e">
        <f t="shared" si="100"/>
        <v>#N/A</v>
      </c>
      <c r="BO70" s="30" t="e">
        <f t="shared" si="101"/>
        <v>#N/A</v>
      </c>
      <c r="BP70" s="30" t="e">
        <f>IF(AND($D70=1,(""&amp;loteAnalise)=(""&amp;loteCarregado),COUNTIFS(regAnalito,selAnalito,regNivel,3,regData,$C70,regRep1,"&lt;&gt;")&gt;0),SUMIFS(regRep1,regAnalito,selAnalito,regNivel,3,regData,$C70),NA())</f>
        <v>#N/A</v>
      </c>
      <c r="BQ70" s="30" t="e">
        <f>IF(AND($D70=1,(""&amp;loteAnalise)=(""&amp;loteCarregado),COUNTIFS(regAnalito,selAnalito,regNivel,3,regData,$C70,regRep2,"&lt;&gt;")&gt;0),SUMIFS(regRep2,regAnalito,selAnalito,regNivel,3,regData,$C70),NA())</f>
        <v>#N/A</v>
      </c>
      <c r="BR70" s="30" t="e">
        <f>IF(AND($D70=1,(""&amp;loteAnalise)=(""&amp;loteCarregado),COUNTIFS(regAnalito,selAnalito,regNivel,3,regData,$C70,regRep3,"&lt;&gt;")&gt;0),SUMIFS(regRep3,regAnalito,selAnalito,regNivel,3,regData,$C70),NA())</f>
        <v>#N/A</v>
      </c>
      <c r="BS70" s="30" t="e">
        <f>IF(AND($D70=1,COUNTIFS(regAnalito,selAnalito,regData,$C70,regCalib,"Sim")&gt;0),$BX$1,NA())</f>
        <v>#N/A</v>
      </c>
    </row>
    <row r="71" spans="1:71" x14ac:dyDescent="0.3">
      <c r="A71" s="30">
        <v>69</v>
      </c>
      <c r="B71" s="30" t="str">
        <f>IF(OR(selAnalito="",(""&amp;engAnalito)&lt;&gt;(""&amp;selAnalito),(""&amp;engLote)&lt;&gt;(""&amp;loteAnalise),$A71&gt;N(engNRun)),"",INDEX(engRUN,$A71))</f>
        <v/>
      </c>
      <c r="C71" s="43" t="str">
        <f>IF($B71="","",IF(INDEX(engData,$A71)="","",INDEX(engData,$A71)))</f>
        <v/>
      </c>
      <c r="D71" s="30">
        <f>IF($C71="",0,IF(AND(OR(filtroDe="",INT($C71)&gt;=INT(filtroDe)),OR(filtroAte="",INT($C71)&lt;=INT(filtroAte))),1,0))</f>
        <v>0</v>
      </c>
      <c r="E71" s="30" t="e">
        <f t="shared" si="68"/>
        <v>#N/A</v>
      </c>
      <c r="F71" s="30" t="str">
        <f>IF($B71="","",IF(INDEX(engValN1,$A71)="","",INDEX(engValN1,$A71)))</f>
        <v/>
      </c>
      <c r="G71" s="30" t="str">
        <f t="shared" si="69"/>
        <v/>
      </c>
      <c r="H71" s="30" t="e">
        <f t="shared" si="70"/>
        <v>#N/A</v>
      </c>
      <c r="I71" s="30" t="e">
        <f t="shared" si="71"/>
        <v>#N/A</v>
      </c>
      <c r="J71" s="30" t="e">
        <f t="shared" si="72"/>
        <v>#N/A</v>
      </c>
      <c r="K71" s="30">
        <f>IF($F71="",0,IFERROR(INDEX(engDados,MATCH(selAnalito&amp;"|"&amp;$B71,engChave,0),3),0))</f>
        <v>0</v>
      </c>
      <c r="L71" s="30">
        <f>IF($F71="",0,IFERROR(INDEX(engDados,MATCH(selAnalito&amp;"|"&amp;$B71,engChave,0),4),0))</f>
        <v>0</v>
      </c>
      <c r="M71" s="30">
        <f>IF($F71="",0,IFERROR(INDEX(engDados,MATCH(selAnalito&amp;"|"&amp;$B71,engChave,0),5),0))</f>
        <v>0</v>
      </c>
      <c r="N71" s="30">
        <f>IF($F71="",0,IFERROR(INDEX(engDados,MATCH(selAnalito&amp;"|"&amp;$B71,engChave,0),6),0))</f>
        <v>0</v>
      </c>
      <c r="O71" s="30">
        <f>IF($F71="",0,IFERROR(INDEX(engDados,MATCH(selAnalito&amp;"|"&amp;$B71,engChave,0),7),0))</f>
        <v>0</v>
      </c>
      <c r="P71" s="30" t="str">
        <f>IF($F71="","",IFERROR(INDEX(engDados,MATCH(selAnalito&amp;"|"&amp;$B71,engChave,0),9),""))</f>
        <v/>
      </c>
      <c r="Q71" s="30" t="e">
        <f t="shared" si="73"/>
        <v>#N/A</v>
      </c>
      <c r="R71" s="30" t="e">
        <f t="shared" si="74"/>
        <v>#N/A</v>
      </c>
      <c r="S71" s="30" t="e">
        <f t="shared" si="75"/>
        <v>#N/A</v>
      </c>
      <c r="T71" s="30" t="e">
        <f t="shared" si="76"/>
        <v>#N/A</v>
      </c>
      <c r="U71" s="30" t="e">
        <f t="shared" si="77"/>
        <v>#N/A</v>
      </c>
      <c r="V71" s="30" t="e">
        <f t="shared" si="78"/>
        <v>#N/A</v>
      </c>
      <c r="W71" s="30" t="e">
        <f t="shared" si="79"/>
        <v>#N/A</v>
      </c>
      <c r="X71" s="30" t="e">
        <f>IF(AND($D71=1,(""&amp;loteAnalise)=(""&amp;loteCarregado),COUNTIFS(regAnalito,selAnalito,regNivel,1,regData,$C71,regRep1,"&lt;&gt;")&gt;0),SUMIFS(regRep1,regAnalito,selAnalito,regNivel,1,regData,$C71),NA())</f>
        <v>#N/A</v>
      </c>
      <c r="Y71" s="30" t="e">
        <f>IF(AND($D71=1,(""&amp;loteAnalise)=(""&amp;loteCarregado),COUNTIFS(regAnalito,selAnalito,regNivel,1,regData,$C71,regRep2,"&lt;&gt;")&gt;0),SUMIFS(regRep2,regAnalito,selAnalito,regNivel,1,regData,$C71),NA())</f>
        <v>#N/A</v>
      </c>
      <c r="Z71" s="30" t="e">
        <f>IF(AND($D71=1,(""&amp;loteAnalise)=(""&amp;loteCarregado),COUNTIFS(regAnalito,selAnalito,regNivel,1,regData,$C71,regRep3,"&lt;&gt;")&gt;0),SUMIFS(regRep3,regAnalito,selAnalito,regNivel,1,regData,$C71),NA())</f>
        <v>#N/A</v>
      </c>
      <c r="AA71" s="30" t="e">
        <f>IF(AND($D71=1,COUNTIFS(regAnalito,selAnalito,regData,$C71,regCalib,"Sim")&gt;0),$BT$1,NA())</f>
        <v>#N/A</v>
      </c>
      <c r="AB71" s="30" t="str">
        <f>IF($B71="","",IF(INDEX(engValN2,$A71)="","",INDEX(engValN2,$A71)))</f>
        <v/>
      </c>
      <c r="AC71" s="30" t="str">
        <f t="shared" si="80"/>
        <v/>
      </c>
      <c r="AD71" s="30" t="e">
        <f t="shared" si="81"/>
        <v>#N/A</v>
      </c>
      <c r="AE71" s="30" t="e">
        <f t="shared" si="82"/>
        <v>#N/A</v>
      </c>
      <c r="AF71" s="30" t="e">
        <f t="shared" si="83"/>
        <v>#N/A</v>
      </c>
      <c r="AG71" s="30">
        <f>IF($AB71="",0,IFERROR(INDEX(engDados,MATCH(selAnalito&amp;"|"&amp;$B71,engChave,0),10),0))</f>
        <v>0</v>
      </c>
      <c r="AH71" s="30">
        <f>IF($AB71="",0,IFERROR(INDEX(engDados,MATCH(selAnalito&amp;"|"&amp;$B71,engChave,0),11),0))</f>
        <v>0</v>
      </c>
      <c r="AI71" s="30">
        <f>IF($AB71="",0,IFERROR(INDEX(engDados,MATCH(selAnalito&amp;"|"&amp;$B71,engChave,0),12),0))</f>
        <v>0</v>
      </c>
      <c r="AJ71" s="30">
        <f>IF($AB71="",0,IFERROR(INDEX(engDados,MATCH(selAnalito&amp;"|"&amp;$B71,engChave,0),13),0))</f>
        <v>0</v>
      </c>
      <c r="AK71" s="30">
        <f>IF($AB71="",0,IFERROR(INDEX(engDados,MATCH(selAnalito&amp;"|"&amp;$B71,engChave,0),14),0))</f>
        <v>0</v>
      </c>
      <c r="AL71" s="30" t="str">
        <f>IF($AB71="","",IFERROR(INDEX(engDados,MATCH(selAnalito&amp;"|"&amp;$B71,engChave,0),16),""))</f>
        <v/>
      </c>
      <c r="AM71" s="30" t="e">
        <f t="shared" si="84"/>
        <v>#N/A</v>
      </c>
      <c r="AN71" s="30" t="e">
        <f t="shared" si="85"/>
        <v>#N/A</v>
      </c>
      <c r="AO71" s="30" t="e">
        <f t="shared" si="86"/>
        <v>#N/A</v>
      </c>
      <c r="AP71" s="30" t="e">
        <f t="shared" si="87"/>
        <v>#N/A</v>
      </c>
      <c r="AQ71" s="30" t="e">
        <f t="shared" si="88"/>
        <v>#N/A</v>
      </c>
      <c r="AR71" s="30" t="e">
        <f t="shared" si="89"/>
        <v>#N/A</v>
      </c>
      <c r="AS71" s="30" t="e">
        <f t="shared" si="90"/>
        <v>#N/A</v>
      </c>
      <c r="AT71" s="30" t="e">
        <f>IF(AND($D71=1,(""&amp;loteAnalise)=(""&amp;loteCarregado),COUNTIFS(regAnalito,selAnalito,regNivel,2,regData,$C71,regRep1,"&lt;&gt;")&gt;0),SUMIFS(regRep1,regAnalito,selAnalito,regNivel,2,regData,$C71),NA())</f>
        <v>#N/A</v>
      </c>
      <c r="AU71" s="30" t="e">
        <f>IF(AND($D71=1,(""&amp;loteAnalise)=(""&amp;loteCarregado),COUNTIFS(regAnalito,selAnalito,regNivel,2,regData,$C71,regRep2,"&lt;&gt;")&gt;0),SUMIFS(regRep2,regAnalito,selAnalito,regNivel,2,regData,$C71),NA())</f>
        <v>#N/A</v>
      </c>
      <c r="AV71" s="30" t="e">
        <f>IF(AND($D71=1,(""&amp;loteAnalise)=(""&amp;loteCarregado),COUNTIFS(regAnalito,selAnalito,regNivel,2,regData,$C71,regRep3,"&lt;&gt;")&gt;0),SUMIFS(regRep3,regAnalito,selAnalito,regNivel,2,regData,$C71),NA())</f>
        <v>#N/A</v>
      </c>
      <c r="AW71" s="30" t="e">
        <f>IF(AND($D71=1,COUNTIFS(regAnalito,selAnalito,regData,$C71,regCalib,"Sim")&gt;0),$BV$1,NA())</f>
        <v>#N/A</v>
      </c>
      <c r="AX71" s="30" t="str">
        <f>IF($B71="","",IF(INDEX(engValN3,$A71)="","",INDEX(engValN3,$A71)))</f>
        <v/>
      </c>
      <c r="AY71" s="30" t="str">
        <f t="shared" si="91"/>
        <v/>
      </c>
      <c r="AZ71" s="30" t="e">
        <f t="shared" si="92"/>
        <v>#N/A</v>
      </c>
      <c r="BA71" s="30" t="e">
        <f t="shared" si="93"/>
        <v>#N/A</v>
      </c>
      <c r="BB71" s="30" t="e">
        <f t="shared" si="94"/>
        <v>#N/A</v>
      </c>
      <c r="BC71" s="30">
        <f>IF($AX71="",0,IFERROR(INDEX(engDados,MATCH(selAnalito&amp;"|"&amp;$B71,engChave,0),17),0))</f>
        <v>0</v>
      </c>
      <c r="BD71" s="30">
        <f>IF($AX71="",0,IFERROR(INDEX(engDados,MATCH(selAnalito&amp;"|"&amp;$B71,engChave,0),18),0))</f>
        <v>0</v>
      </c>
      <c r="BE71" s="30">
        <f>IF($AX71="",0,IFERROR(INDEX(engDados,MATCH(selAnalito&amp;"|"&amp;$B71,engChave,0),19),0))</f>
        <v>0</v>
      </c>
      <c r="BF71" s="30">
        <f>IF($AX71="",0,IFERROR(INDEX(engDados,MATCH(selAnalito&amp;"|"&amp;$B71,engChave,0),20),0))</f>
        <v>0</v>
      </c>
      <c r="BG71" s="30">
        <f>IF($AX71="",0,IFERROR(INDEX(engDados,MATCH(selAnalito&amp;"|"&amp;$B71,engChave,0),21),0))</f>
        <v>0</v>
      </c>
      <c r="BH71" s="30" t="str">
        <f>IF($AX71="","",IFERROR(INDEX(engDados,MATCH(selAnalito&amp;"|"&amp;$B71,engChave,0),23),""))</f>
        <v/>
      </c>
      <c r="BI71" s="30" t="e">
        <f t="shared" si="95"/>
        <v>#N/A</v>
      </c>
      <c r="BJ71" s="30" t="e">
        <f t="shared" si="96"/>
        <v>#N/A</v>
      </c>
      <c r="BK71" s="30" t="e">
        <f t="shared" si="97"/>
        <v>#N/A</v>
      </c>
      <c r="BL71" s="30" t="e">
        <f t="shared" si="98"/>
        <v>#N/A</v>
      </c>
      <c r="BM71" s="30" t="e">
        <f t="shared" si="99"/>
        <v>#N/A</v>
      </c>
      <c r="BN71" s="30" t="e">
        <f t="shared" si="100"/>
        <v>#N/A</v>
      </c>
      <c r="BO71" s="30" t="e">
        <f t="shared" si="101"/>
        <v>#N/A</v>
      </c>
      <c r="BP71" s="30" t="e">
        <f>IF(AND($D71=1,(""&amp;loteAnalise)=(""&amp;loteCarregado),COUNTIFS(regAnalito,selAnalito,regNivel,3,regData,$C71,regRep1,"&lt;&gt;")&gt;0),SUMIFS(regRep1,regAnalito,selAnalito,regNivel,3,regData,$C71),NA())</f>
        <v>#N/A</v>
      </c>
      <c r="BQ71" s="30" t="e">
        <f>IF(AND($D71=1,(""&amp;loteAnalise)=(""&amp;loteCarregado),COUNTIFS(regAnalito,selAnalito,regNivel,3,regData,$C71,regRep2,"&lt;&gt;")&gt;0),SUMIFS(regRep2,regAnalito,selAnalito,regNivel,3,regData,$C71),NA())</f>
        <v>#N/A</v>
      </c>
      <c r="BR71" s="30" t="e">
        <f>IF(AND($D71=1,(""&amp;loteAnalise)=(""&amp;loteCarregado),COUNTIFS(regAnalito,selAnalito,regNivel,3,regData,$C71,regRep3,"&lt;&gt;")&gt;0),SUMIFS(regRep3,regAnalito,selAnalito,regNivel,3,regData,$C71),NA())</f>
        <v>#N/A</v>
      </c>
      <c r="BS71" s="30" t="e">
        <f>IF(AND($D71=1,COUNTIFS(regAnalito,selAnalito,regData,$C71,regCalib,"Sim")&gt;0),$BX$1,NA())</f>
        <v>#N/A</v>
      </c>
    </row>
    <row r="72" spans="1:71" x14ac:dyDescent="0.3">
      <c r="A72" s="30">
        <v>70</v>
      </c>
      <c r="B72" s="30" t="str">
        <f>IF(OR(selAnalito="",(""&amp;engAnalito)&lt;&gt;(""&amp;selAnalito),(""&amp;engLote)&lt;&gt;(""&amp;loteAnalise),$A72&gt;N(engNRun)),"",INDEX(engRUN,$A72))</f>
        <v/>
      </c>
      <c r="C72" s="43" t="str">
        <f>IF($B72="","",IF(INDEX(engData,$A72)="","",INDEX(engData,$A72)))</f>
        <v/>
      </c>
      <c r="D72" s="30">
        <f>IF($C72="",0,IF(AND(OR(filtroDe="",INT($C72)&gt;=INT(filtroDe)),OR(filtroAte="",INT($C72)&lt;=INT(filtroAte))),1,0))</f>
        <v>0</v>
      </c>
      <c r="E72" s="30" t="e">
        <f t="shared" si="68"/>
        <v>#N/A</v>
      </c>
      <c r="F72" s="30" t="str">
        <f>IF($B72="","",IF(INDEX(engValN1,$A72)="","",INDEX(engValN1,$A72)))</f>
        <v/>
      </c>
      <c r="G72" s="30" t="str">
        <f t="shared" si="69"/>
        <v/>
      </c>
      <c r="H72" s="30" t="e">
        <f t="shared" si="70"/>
        <v>#N/A</v>
      </c>
      <c r="I72" s="30" t="e">
        <f t="shared" si="71"/>
        <v>#N/A</v>
      </c>
      <c r="J72" s="30" t="e">
        <f t="shared" si="72"/>
        <v>#N/A</v>
      </c>
      <c r="K72" s="30">
        <f>IF($F72="",0,IFERROR(INDEX(engDados,MATCH(selAnalito&amp;"|"&amp;$B72,engChave,0),3),0))</f>
        <v>0</v>
      </c>
      <c r="L72" s="30">
        <f>IF($F72="",0,IFERROR(INDEX(engDados,MATCH(selAnalito&amp;"|"&amp;$B72,engChave,0),4),0))</f>
        <v>0</v>
      </c>
      <c r="M72" s="30">
        <f>IF($F72="",0,IFERROR(INDEX(engDados,MATCH(selAnalito&amp;"|"&amp;$B72,engChave,0),5),0))</f>
        <v>0</v>
      </c>
      <c r="N72" s="30">
        <f>IF($F72="",0,IFERROR(INDEX(engDados,MATCH(selAnalito&amp;"|"&amp;$B72,engChave,0),6),0))</f>
        <v>0</v>
      </c>
      <c r="O72" s="30">
        <f>IF($F72="",0,IFERROR(INDEX(engDados,MATCH(selAnalito&amp;"|"&amp;$B72,engChave,0),7),0))</f>
        <v>0</v>
      </c>
      <c r="P72" s="30" t="str">
        <f>IF($F72="","",IFERROR(INDEX(engDados,MATCH(selAnalito&amp;"|"&amp;$B72,engChave,0),9),""))</f>
        <v/>
      </c>
      <c r="Q72" s="30" t="e">
        <f t="shared" si="73"/>
        <v>#N/A</v>
      </c>
      <c r="R72" s="30" t="e">
        <f t="shared" si="74"/>
        <v>#N/A</v>
      </c>
      <c r="S72" s="30" t="e">
        <f t="shared" si="75"/>
        <v>#N/A</v>
      </c>
      <c r="T72" s="30" t="e">
        <f t="shared" si="76"/>
        <v>#N/A</v>
      </c>
      <c r="U72" s="30" t="e">
        <f t="shared" si="77"/>
        <v>#N/A</v>
      </c>
      <c r="V72" s="30" t="e">
        <f t="shared" si="78"/>
        <v>#N/A</v>
      </c>
      <c r="W72" s="30" t="e">
        <f t="shared" si="79"/>
        <v>#N/A</v>
      </c>
      <c r="X72" s="30" t="e">
        <f>IF(AND($D72=1,(""&amp;loteAnalise)=(""&amp;loteCarregado),COUNTIFS(regAnalito,selAnalito,regNivel,1,regData,$C72,regRep1,"&lt;&gt;")&gt;0),SUMIFS(regRep1,regAnalito,selAnalito,regNivel,1,regData,$C72),NA())</f>
        <v>#N/A</v>
      </c>
      <c r="Y72" s="30" t="e">
        <f>IF(AND($D72=1,(""&amp;loteAnalise)=(""&amp;loteCarregado),COUNTIFS(regAnalito,selAnalito,regNivel,1,regData,$C72,regRep2,"&lt;&gt;")&gt;0),SUMIFS(regRep2,regAnalito,selAnalito,regNivel,1,regData,$C72),NA())</f>
        <v>#N/A</v>
      </c>
      <c r="Z72" s="30" t="e">
        <f>IF(AND($D72=1,(""&amp;loteAnalise)=(""&amp;loteCarregado),COUNTIFS(regAnalito,selAnalito,regNivel,1,regData,$C72,regRep3,"&lt;&gt;")&gt;0),SUMIFS(regRep3,regAnalito,selAnalito,regNivel,1,regData,$C72),NA())</f>
        <v>#N/A</v>
      </c>
      <c r="AA72" s="30" t="e">
        <f>IF(AND($D72=1,COUNTIFS(regAnalito,selAnalito,regData,$C72,regCalib,"Sim")&gt;0),$BT$1,NA())</f>
        <v>#N/A</v>
      </c>
      <c r="AB72" s="30" t="str">
        <f>IF($B72="","",IF(INDEX(engValN2,$A72)="","",INDEX(engValN2,$A72)))</f>
        <v/>
      </c>
      <c r="AC72" s="30" t="str">
        <f t="shared" si="80"/>
        <v/>
      </c>
      <c r="AD72" s="30" t="e">
        <f t="shared" si="81"/>
        <v>#N/A</v>
      </c>
      <c r="AE72" s="30" t="e">
        <f t="shared" si="82"/>
        <v>#N/A</v>
      </c>
      <c r="AF72" s="30" t="e">
        <f t="shared" si="83"/>
        <v>#N/A</v>
      </c>
      <c r="AG72" s="30">
        <f>IF($AB72="",0,IFERROR(INDEX(engDados,MATCH(selAnalito&amp;"|"&amp;$B72,engChave,0),10),0))</f>
        <v>0</v>
      </c>
      <c r="AH72" s="30">
        <f>IF($AB72="",0,IFERROR(INDEX(engDados,MATCH(selAnalito&amp;"|"&amp;$B72,engChave,0),11),0))</f>
        <v>0</v>
      </c>
      <c r="AI72" s="30">
        <f>IF($AB72="",0,IFERROR(INDEX(engDados,MATCH(selAnalito&amp;"|"&amp;$B72,engChave,0),12),0))</f>
        <v>0</v>
      </c>
      <c r="AJ72" s="30">
        <f>IF($AB72="",0,IFERROR(INDEX(engDados,MATCH(selAnalito&amp;"|"&amp;$B72,engChave,0),13),0))</f>
        <v>0</v>
      </c>
      <c r="AK72" s="30">
        <f>IF($AB72="",0,IFERROR(INDEX(engDados,MATCH(selAnalito&amp;"|"&amp;$B72,engChave,0),14),0))</f>
        <v>0</v>
      </c>
      <c r="AL72" s="30" t="str">
        <f>IF($AB72="","",IFERROR(INDEX(engDados,MATCH(selAnalito&amp;"|"&amp;$B72,engChave,0),16),""))</f>
        <v/>
      </c>
      <c r="AM72" s="30" t="e">
        <f t="shared" si="84"/>
        <v>#N/A</v>
      </c>
      <c r="AN72" s="30" t="e">
        <f t="shared" si="85"/>
        <v>#N/A</v>
      </c>
      <c r="AO72" s="30" t="e">
        <f t="shared" si="86"/>
        <v>#N/A</v>
      </c>
      <c r="AP72" s="30" t="e">
        <f t="shared" si="87"/>
        <v>#N/A</v>
      </c>
      <c r="AQ72" s="30" t="e">
        <f t="shared" si="88"/>
        <v>#N/A</v>
      </c>
      <c r="AR72" s="30" t="e">
        <f t="shared" si="89"/>
        <v>#N/A</v>
      </c>
      <c r="AS72" s="30" t="e">
        <f t="shared" si="90"/>
        <v>#N/A</v>
      </c>
      <c r="AT72" s="30" t="e">
        <f>IF(AND($D72=1,(""&amp;loteAnalise)=(""&amp;loteCarregado),COUNTIFS(regAnalito,selAnalito,regNivel,2,regData,$C72,regRep1,"&lt;&gt;")&gt;0),SUMIFS(regRep1,regAnalito,selAnalito,regNivel,2,regData,$C72),NA())</f>
        <v>#N/A</v>
      </c>
      <c r="AU72" s="30" t="e">
        <f>IF(AND($D72=1,(""&amp;loteAnalise)=(""&amp;loteCarregado),COUNTIFS(regAnalito,selAnalito,regNivel,2,regData,$C72,regRep2,"&lt;&gt;")&gt;0),SUMIFS(regRep2,regAnalito,selAnalito,regNivel,2,regData,$C72),NA())</f>
        <v>#N/A</v>
      </c>
      <c r="AV72" s="30" t="e">
        <f>IF(AND($D72=1,(""&amp;loteAnalise)=(""&amp;loteCarregado),COUNTIFS(regAnalito,selAnalito,regNivel,2,regData,$C72,regRep3,"&lt;&gt;")&gt;0),SUMIFS(regRep3,regAnalito,selAnalito,regNivel,2,regData,$C72),NA())</f>
        <v>#N/A</v>
      </c>
      <c r="AW72" s="30" t="e">
        <f>IF(AND($D72=1,COUNTIFS(regAnalito,selAnalito,regData,$C72,regCalib,"Sim")&gt;0),$BV$1,NA())</f>
        <v>#N/A</v>
      </c>
      <c r="AX72" s="30" t="str">
        <f>IF($B72="","",IF(INDEX(engValN3,$A72)="","",INDEX(engValN3,$A72)))</f>
        <v/>
      </c>
      <c r="AY72" s="30" t="str">
        <f t="shared" si="91"/>
        <v/>
      </c>
      <c r="AZ72" s="30" t="e">
        <f t="shared" si="92"/>
        <v>#N/A</v>
      </c>
      <c r="BA72" s="30" t="e">
        <f t="shared" si="93"/>
        <v>#N/A</v>
      </c>
      <c r="BB72" s="30" t="e">
        <f t="shared" si="94"/>
        <v>#N/A</v>
      </c>
      <c r="BC72" s="30">
        <f>IF($AX72="",0,IFERROR(INDEX(engDados,MATCH(selAnalito&amp;"|"&amp;$B72,engChave,0),17),0))</f>
        <v>0</v>
      </c>
      <c r="BD72" s="30">
        <f>IF($AX72="",0,IFERROR(INDEX(engDados,MATCH(selAnalito&amp;"|"&amp;$B72,engChave,0),18),0))</f>
        <v>0</v>
      </c>
      <c r="BE72" s="30">
        <f>IF($AX72="",0,IFERROR(INDEX(engDados,MATCH(selAnalito&amp;"|"&amp;$B72,engChave,0),19),0))</f>
        <v>0</v>
      </c>
      <c r="BF72" s="30">
        <f>IF($AX72="",0,IFERROR(INDEX(engDados,MATCH(selAnalito&amp;"|"&amp;$B72,engChave,0),20),0))</f>
        <v>0</v>
      </c>
      <c r="BG72" s="30">
        <f>IF($AX72="",0,IFERROR(INDEX(engDados,MATCH(selAnalito&amp;"|"&amp;$B72,engChave,0),21),0))</f>
        <v>0</v>
      </c>
      <c r="BH72" s="30" t="str">
        <f>IF($AX72="","",IFERROR(INDEX(engDados,MATCH(selAnalito&amp;"|"&amp;$B72,engChave,0),23),""))</f>
        <v/>
      </c>
      <c r="BI72" s="30" t="e">
        <f t="shared" si="95"/>
        <v>#N/A</v>
      </c>
      <c r="BJ72" s="30" t="e">
        <f t="shared" si="96"/>
        <v>#N/A</v>
      </c>
      <c r="BK72" s="30" t="e">
        <f t="shared" si="97"/>
        <v>#N/A</v>
      </c>
      <c r="BL72" s="30" t="e">
        <f t="shared" si="98"/>
        <v>#N/A</v>
      </c>
      <c r="BM72" s="30" t="e">
        <f t="shared" si="99"/>
        <v>#N/A</v>
      </c>
      <c r="BN72" s="30" t="e">
        <f t="shared" si="100"/>
        <v>#N/A</v>
      </c>
      <c r="BO72" s="30" t="e">
        <f t="shared" si="101"/>
        <v>#N/A</v>
      </c>
      <c r="BP72" s="30" t="e">
        <f>IF(AND($D72=1,(""&amp;loteAnalise)=(""&amp;loteCarregado),COUNTIFS(regAnalito,selAnalito,regNivel,3,regData,$C72,regRep1,"&lt;&gt;")&gt;0),SUMIFS(regRep1,regAnalito,selAnalito,regNivel,3,regData,$C72),NA())</f>
        <v>#N/A</v>
      </c>
      <c r="BQ72" s="30" t="e">
        <f>IF(AND($D72=1,(""&amp;loteAnalise)=(""&amp;loteCarregado),COUNTIFS(regAnalito,selAnalito,regNivel,3,regData,$C72,regRep2,"&lt;&gt;")&gt;0),SUMIFS(regRep2,regAnalito,selAnalito,regNivel,3,regData,$C72),NA())</f>
        <v>#N/A</v>
      </c>
      <c r="BR72" s="30" t="e">
        <f>IF(AND($D72=1,(""&amp;loteAnalise)=(""&amp;loteCarregado),COUNTIFS(regAnalito,selAnalito,regNivel,3,regData,$C72,regRep3,"&lt;&gt;")&gt;0),SUMIFS(regRep3,regAnalito,selAnalito,regNivel,3,regData,$C72),NA())</f>
        <v>#N/A</v>
      </c>
      <c r="BS72" s="30" t="e">
        <f>IF(AND($D72=1,COUNTIFS(regAnalito,selAnalito,regData,$C72,regCalib,"Sim")&gt;0),$BX$1,NA())</f>
        <v>#N/A</v>
      </c>
    </row>
    <row r="73" spans="1:71" x14ac:dyDescent="0.3">
      <c r="A73" s="30">
        <v>71</v>
      </c>
      <c r="B73" s="30" t="str">
        <f>IF(OR(selAnalito="",(""&amp;engAnalito)&lt;&gt;(""&amp;selAnalito),(""&amp;engLote)&lt;&gt;(""&amp;loteAnalise),$A73&gt;N(engNRun)),"",INDEX(engRUN,$A73))</f>
        <v/>
      </c>
      <c r="C73" s="43" t="str">
        <f>IF($B73="","",IF(INDEX(engData,$A73)="","",INDEX(engData,$A73)))</f>
        <v/>
      </c>
      <c r="D73" s="30">
        <f>IF($C73="",0,IF(AND(OR(filtroDe="",INT($C73)&gt;=INT(filtroDe)),OR(filtroAte="",INT($C73)&lt;=INT(filtroAte))),1,0))</f>
        <v>0</v>
      </c>
      <c r="E73" s="30" t="e">
        <f t="shared" si="68"/>
        <v>#N/A</v>
      </c>
      <c r="F73" s="30" t="str">
        <f>IF($B73="","",IF(INDEX(engValN1,$A73)="","",INDEX(engValN1,$A73)))</f>
        <v/>
      </c>
      <c r="G73" s="30" t="str">
        <f t="shared" si="69"/>
        <v/>
      </c>
      <c r="H73" s="30" t="e">
        <f t="shared" si="70"/>
        <v>#N/A</v>
      </c>
      <c r="I73" s="30" t="e">
        <f t="shared" si="71"/>
        <v>#N/A</v>
      </c>
      <c r="J73" s="30" t="e">
        <f t="shared" si="72"/>
        <v>#N/A</v>
      </c>
      <c r="K73" s="30">
        <f>IF($F73="",0,IFERROR(INDEX(engDados,MATCH(selAnalito&amp;"|"&amp;$B73,engChave,0),3),0))</f>
        <v>0</v>
      </c>
      <c r="L73" s="30">
        <f>IF($F73="",0,IFERROR(INDEX(engDados,MATCH(selAnalito&amp;"|"&amp;$B73,engChave,0),4),0))</f>
        <v>0</v>
      </c>
      <c r="M73" s="30">
        <f>IF($F73="",0,IFERROR(INDEX(engDados,MATCH(selAnalito&amp;"|"&amp;$B73,engChave,0),5),0))</f>
        <v>0</v>
      </c>
      <c r="N73" s="30">
        <f>IF($F73="",0,IFERROR(INDEX(engDados,MATCH(selAnalito&amp;"|"&amp;$B73,engChave,0),6),0))</f>
        <v>0</v>
      </c>
      <c r="O73" s="30">
        <f>IF($F73="",0,IFERROR(INDEX(engDados,MATCH(selAnalito&amp;"|"&amp;$B73,engChave,0),7),0))</f>
        <v>0</v>
      </c>
      <c r="P73" s="30" t="str">
        <f>IF($F73="","",IFERROR(INDEX(engDados,MATCH(selAnalito&amp;"|"&amp;$B73,engChave,0),9),""))</f>
        <v/>
      </c>
      <c r="Q73" s="30" t="e">
        <f t="shared" si="73"/>
        <v>#N/A</v>
      </c>
      <c r="R73" s="30" t="e">
        <f t="shared" si="74"/>
        <v>#N/A</v>
      </c>
      <c r="S73" s="30" t="e">
        <f t="shared" si="75"/>
        <v>#N/A</v>
      </c>
      <c r="T73" s="30" t="e">
        <f t="shared" si="76"/>
        <v>#N/A</v>
      </c>
      <c r="U73" s="30" t="e">
        <f t="shared" si="77"/>
        <v>#N/A</v>
      </c>
      <c r="V73" s="30" t="e">
        <f t="shared" si="78"/>
        <v>#N/A</v>
      </c>
      <c r="W73" s="30" t="e">
        <f t="shared" si="79"/>
        <v>#N/A</v>
      </c>
      <c r="X73" s="30" t="e">
        <f>IF(AND($D73=1,(""&amp;loteAnalise)=(""&amp;loteCarregado),COUNTIFS(regAnalito,selAnalito,regNivel,1,regData,$C73,regRep1,"&lt;&gt;")&gt;0),SUMIFS(regRep1,regAnalito,selAnalito,regNivel,1,regData,$C73),NA())</f>
        <v>#N/A</v>
      </c>
      <c r="Y73" s="30" t="e">
        <f>IF(AND($D73=1,(""&amp;loteAnalise)=(""&amp;loteCarregado),COUNTIFS(regAnalito,selAnalito,regNivel,1,regData,$C73,regRep2,"&lt;&gt;")&gt;0),SUMIFS(regRep2,regAnalito,selAnalito,regNivel,1,regData,$C73),NA())</f>
        <v>#N/A</v>
      </c>
      <c r="Z73" s="30" t="e">
        <f>IF(AND($D73=1,(""&amp;loteAnalise)=(""&amp;loteCarregado),COUNTIFS(regAnalito,selAnalito,regNivel,1,regData,$C73,regRep3,"&lt;&gt;")&gt;0),SUMIFS(regRep3,regAnalito,selAnalito,regNivel,1,regData,$C73),NA())</f>
        <v>#N/A</v>
      </c>
      <c r="AA73" s="30" t="e">
        <f>IF(AND($D73=1,COUNTIFS(regAnalito,selAnalito,regData,$C73,regCalib,"Sim")&gt;0),$BT$1,NA())</f>
        <v>#N/A</v>
      </c>
      <c r="AB73" s="30" t="str">
        <f>IF($B73="","",IF(INDEX(engValN2,$A73)="","",INDEX(engValN2,$A73)))</f>
        <v/>
      </c>
      <c r="AC73" s="30" t="str">
        <f t="shared" si="80"/>
        <v/>
      </c>
      <c r="AD73" s="30" t="e">
        <f t="shared" si="81"/>
        <v>#N/A</v>
      </c>
      <c r="AE73" s="30" t="e">
        <f t="shared" si="82"/>
        <v>#N/A</v>
      </c>
      <c r="AF73" s="30" t="e">
        <f t="shared" si="83"/>
        <v>#N/A</v>
      </c>
      <c r="AG73" s="30">
        <f>IF($AB73="",0,IFERROR(INDEX(engDados,MATCH(selAnalito&amp;"|"&amp;$B73,engChave,0),10),0))</f>
        <v>0</v>
      </c>
      <c r="AH73" s="30">
        <f>IF($AB73="",0,IFERROR(INDEX(engDados,MATCH(selAnalito&amp;"|"&amp;$B73,engChave,0),11),0))</f>
        <v>0</v>
      </c>
      <c r="AI73" s="30">
        <f>IF($AB73="",0,IFERROR(INDEX(engDados,MATCH(selAnalito&amp;"|"&amp;$B73,engChave,0),12),0))</f>
        <v>0</v>
      </c>
      <c r="AJ73" s="30">
        <f>IF($AB73="",0,IFERROR(INDEX(engDados,MATCH(selAnalito&amp;"|"&amp;$B73,engChave,0),13),0))</f>
        <v>0</v>
      </c>
      <c r="AK73" s="30">
        <f>IF($AB73="",0,IFERROR(INDEX(engDados,MATCH(selAnalito&amp;"|"&amp;$B73,engChave,0),14),0))</f>
        <v>0</v>
      </c>
      <c r="AL73" s="30" t="str">
        <f>IF($AB73="","",IFERROR(INDEX(engDados,MATCH(selAnalito&amp;"|"&amp;$B73,engChave,0),16),""))</f>
        <v/>
      </c>
      <c r="AM73" s="30" t="e">
        <f t="shared" si="84"/>
        <v>#N/A</v>
      </c>
      <c r="AN73" s="30" t="e">
        <f t="shared" si="85"/>
        <v>#N/A</v>
      </c>
      <c r="AO73" s="30" t="e">
        <f t="shared" si="86"/>
        <v>#N/A</v>
      </c>
      <c r="AP73" s="30" t="e">
        <f t="shared" si="87"/>
        <v>#N/A</v>
      </c>
      <c r="AQ73" s="30" t="e">
        <f t="shared" si="88"/>
        <v>#N/A</v>
      </c>
      <c r="AR73" s="30" t="e">
        <f t="shared" si="89"/>
        <v>#N/A</v>
      </c>
      <c r="AS73" s="30" t="e">
        <f t="shared" si="90"/>
        <v>#N/A</v>
      </c>
      <c r="AT73" s="30" t="e">
        <f>IF(AND($D73=1,(""&amp;loteAnalise)=(""&amp;loteCarregado),COUNTIFS(regAnalito,selAnalito,regNivel,2,regData,$C73,regRep1,"&lt;&gt;")&gt;0),SUMIFS(regRep1,regAnalito,selAnalito,regNivel,2,regData,$C73),NA())</f>
        <v>#N/A</v>
      </c>
      <c r="AU73" s="30" t="e">
        <f>IF(AND($D73=1,(""&amp;loteAnalise)=(""&amp;loteCarregado),COUNTIFS(regAnalito,selAnalito,regNivel,2,regData,$C73,regRep2,"&lt;&gt;")&gt;0),SUMIFS(regRep2,regAnalito,selAnalito,regNivel,2,regData,$C73),NA())</f>
        <v>#N/A</v>
      </c>
      <c r="AV73" s="30" t="e">
        <f>IF(AND($D73=1,(""&amp;loteAnalise)=(""&amp;loteCarregado),COUNTIFS(regAnalito,selAnalito,regNivel,2,regData,$C73,regRep3,"&lt;&gt;")&gt;0),SUMIFS(regRep3,regAnalito,selAnalito,regNivel,2,regData,$C73),NA())</f>
        <v>#N/A</v>
      </c>
      <c r="AW73" s="30" t="e">
        <f>IF(AND($D73=1,COUNTIFS(regAnalito,selAnalito,regData,$C73,regCalib,"Sim")&gt;0),$BV$1,NA())</f>
        <v>#N/A</v>
      </c>
      <c r="AX73" s="30" t="str">
        <f>IF($B73="","",IF(INDEX(engValN3,$A73)="","",INDEX(engValN3,$A73)))</f>
        <v/>
      </c>
      <c r="AY73" s="30" t="str">
        <f t="shared" si="91"/>
        <v/>
      </c>
      <c r="AZ73" s="30" t="e">
        <f t="shared" si="92"/>
        <v>#N/A</v>
      </c>
      <c r="BA73" s="30" t="e">
        <f t="shared" si="93"/>
        <v>#N/A</v>
      </c>
      <c r="BB73" s="30" t="e">
        <f t="shared" si="94"/>
        <v>#N/A</v>
      </c>
      <c r="BC73" s="30">
        <f>IF($AX73="",0,IFERROR(INDEX(engDados,MATCH(selAnalito&amp;"|"&amp;$B73,engChave,0),17),0))</f>
        <v>0</v>
      </c>
      <c r="BD73" s="30">
        <f>IF($AX73="",0,IFERROR(INDEX(engDados,MATCH(selAnalito&amp;"|"&amp;$B73,engChave,0),18),0))</f>
        <v>0</v>
      </c>
      <c r="BE73" s="30">
        <f>IF($AX73="",0,IFERROR(INDEX(engDados,MATCH(selAnalito&amp;"|"&amp;$B73,engChave,0),19),0))</f>
        <v>0</v>
      </c>
      <c r="BF73" s="30">
        <f>IF($AX73="",0,IFERROR(INDEX(engDados,MATCH(selAnalito&amp;"|"&amp;$B73,engChave,0),20),0))</f>
        <v>0</v>
      </c>
      <c r="BG73" s="30">
        <f>IF($AX73="",0,IFERROR(INDEX(engDados,MATCH(selAnalito&amp;"|"&amp;$B73,engChave,0),21),0))</f>
        <v>0</v>
      </c>
      <c r="BH73" s="30" t="str">
        <f>IF($AX73="","",IFERROR(INDEX(engDados,MATCH(selAnalito&amp;"|"&amp;$B73,engChave,0),23),""))</f>
        <v/>
      </c>
      <c r="BI73" s="30" t="e">
        <f t="shared" si="95"/>
        <v>#N/A</v>
      </c>
      <c r="BJ73" s="30" t="e">
        <f t="shared" si="96"/>
        <v>#N/A</v>
      </c>
      <c r="BK73" s="30" t="e">
        <f t="shared" si="97"/>
        <v>#N/A</v>
      </c>
      <c r="BL73" s="30" t="e">
        <f t="shared" si="98"/>
        <v>#N/A</v>
      </c>
      <c r="BM73" s="30" t="e">
        <f t="shared" si="99"/>
        <v>#N/A</v>
      </c>
      <c r="BN73" s="30" t="e">
        <f t="shared" si="100"/>
        <v>#N/A</v>
      </c>
      <c r="BO73" s="30" t="e">
        <f t="shared" si="101"/>
        <v>#N/A</v>
      </c>
      <c r="BP73" s="30" t="e">
        <f>IF(AND($D73=1,(""&amp;loteAnalise)=(""&amp;loteCarregado),COUNTIFS(regAnalito,selAnalito,regNivel,3,regData,$C73,regRep1,"&lt;&gt;")&gt;0),SUMIFS(regRep1,regAnalito,selAnalito,regNivel,3,regData,$C73),NA())</f>
        <v>#N/A</v>
      </c>
      <c r="BQ73" s="30" t="e">
        <f>IF(AND($D73=1,(""&amp;loteAnalise)=(""&amp;loteCarregado),COUNTIFS(regAnalito,selAnalito,regNivel,3,regData,$C73,regRep2,"&lt;&gt;")&gt;0),SUMIFS(regRep2,regAnalito,selAnalito,regNivel,3,regData,$C73),NA())</f>
        <v>#N/A</v>
      </c>
      <c r="BR73" s="30" t="e">
        <f>IF(AND($D73=1,(""&amp;loteAnalise)=(""&amp;loteCarregado),COUNTIFS(regAnalito,selAnalito,regNivel,3,regData,$C73,regRep3,"&lt;&gt;")&gt;0),SUMIFS(regRep3,regAnalito,selAnalito,regNivel,3,regData,$C73),NA())</f>
        <v>#N/A</v>
      </c>
      <c r="BS73" s="30" t="e">
        <f>IF(AND($D73=1,COUNTIFS(regAnalito,selAnalito,regData,$C73,regCalib,"Sim")&gt;0),$BX$1,NA())</f>
        <v>#N/A</v>
      </c>
    </row>
    <row r="74" spans="1:71" x14ac:dyDescent="0.3">
      <c r="A74" s="30">
        <v>72</v>
      </c>
      <c r="B74" s="30" t="str">
        <f>IF(OR(selAnalito="",(""&amp;engAnalito)&lt;&gt;(""&amp;selAnalito),(""&amp;engLote)&lt;&gt;(""&amp;loteAnalise),$A74&gt;N(engNRun)),"",INDEX(engRUN,$A74))</f>
        <v/>
      </c>
      <c r="C74" s="43" t="str">
        <f>IF($B74="","",IF(INDEX(engData,$A74)="","",INDEX(engData,$A74)))</f>
        <v/>
      </c>
      <c r="D74" s="30">
        <f>IF($C74="",0,IF(AND(OR(filtroDe="",INT($C74)&gt;=INT(filtroDe)),OR(filtroAte="",INT($C74)&lt;=INT(filtroAte))),1,0))</f>
        <v>0</v>
      </c>
      <c r="E74" s="30" t="e">
        <f t="shared" si="68"/>
        <v>#N/A</v>
      </c>
      <c r="F74" s="30" t="str">
        <f>IF($B74="","",IF(INDEX(engValN1,$A74)="","",INDEX(engValN1,$A74)))</f>
        <v/>
      </c>
      <c r="G74" s="30" t="str">
        <f t="shared" si="69"/>
        <v/>
      </c>
      <c r="H74" s="30" t="e">
        <f t="shared" si="70"/>
        <v>#N/A</v>
      </c>
      <c r="I74" s="30" t="e">
        <f t="shared" si="71"/>
        <v>#N/A</v>
      </c>
      <c r="J74" s="30" t="e">
        <f t="shared" si="72"/>
        <v>#N/A</v>
      </c>
      <c r="K74" s="30">
        <f>IF($F74="",0,IFERROR(INDEX(engDados,MATCH(selAnalito&amp;"|"&amp;$B74,engChave,0),3),0))</f>
        <v>0</v>
      </c>
      <c r="L74" s="30">
        <f>IF($F74="",0,IFERROR(INDEX(engDados,MATCH(selAnalito&amp;"|"&amp;$B74,engChave,0),4),0))</f>
        <v>0</v>
      </c>
      <c r="M74" s="30">
        <f>IF($F74="",0,IFERROR(INDEX(engDados,MATCH(selAnalito&amp;"|"&amp;$B74,engChave,0),5),0))</f>
        <v>0</v>
      </c>
      <c r="N74" s="30">
        <f>IF($F74="",0,IFERROR(INDEX(engDados,MATCH(selAnalito&amp;"|"&amp;$B74,engChave,0),6),0))</f>
        <v>0</v>
      </c>
      <c r="O74" s="30">
        <f>IF($F74="",0,IFERROR(INDEX(engDados,MATCH(selAnalito&amp;"|"&amp;$B74,engChave,0),7),0))</f>
        <v>0</v>
      </c>
      <c r="P74" s="30" t="str">
        <f>IF($F74="","",IFERROR(INDEX(engDados,MATCH(selAnalito&amp;"|"&amp;$B74,engChave,0),9),""))</f>
        <v/>
      </c>
      <c r="Q74" s="30" t="e">
        <f t="shared" si="73"/>
        <v>#N/A</v>
      </c>
      <c r="R74" s="30" t="e">
        <f t="shared" si="74"/>
        <v>#N/A</v>
      </c>
      <c r="S74" s="30" t="e">
        <f t="shared" si="75"/>
        <v>#N/A</v>
      </c>
      <c r="T74" s="30" t="e">
        <f t="shared" si="76"/>
        <v>#N/A</v>
      </c>
      <c r="U74" s="30" t="e">
        <f t="shared" si="77"/>
        <v>#N/A</v>
      </c>
      <c r="V74" s="30" t="e">
        <f t="shared" si="78"/>
        <v>#N/A</v>
      </c>
      <c r="W74" s="30" t="e">
        <f t="shared" si="79"/>
        <v>#N/A</v>
      </c>
      <c r="X74" s="30" t="e">
        <f>IF(AND($D74=1,(""&amp;loteAnalise)=(""&amp;loteCarregado),COUNTIFS(regAnalito,selAnalito,regNivel,1,regData,$C74,regRep1,"&lt;&gt;")&gt;0),SUMIFS(regRep1,regAnalito,selAnalito,regNivel,1,regData,$C74),NA())</f>
        <v>#N/A</v>
      </c>
      <c r="Y74" s="30" t="e">
        <f>IF(AND($D74=1,(""&amp;loteAnalise)=(""&amp;loteCarregado),COUNTIFS(regAnalito,selAnalito,regNivel,1,regData,$C74,regRep2,"&lt;&gt;")&gt;0),SUMIFS(regRep2,regAnalito,selAnalito,regNivel,1,regData,$C74),NA())</f>
        <v>#N/A</v>
      </c>
      <c r="Z74" s="30" t="e">
        <f>IF(AND($D74=1,(""&amp;loteAnalise)=(""&amp;loteCarregado),COUNTIFS(regAnalito,selAnalito,regNivel,1,regData,$C74,regRep3,"&lt;&gt;")&gt;0),SUMIFS(regRep3,regAnalito,selAnalito,regNivel,1,regData,$C74),NA())</f>
        <v>#N/A</v>
      </c>
      <c r="AA74" s="30" t="e">
        <f>IF(AND($D74=1,COUNTIFS(regAnalito,selAnalito,regData,$C74,regCalib,"Sim")&gt;0),$BT$1,NA())</f>
        <v>#N/A</v>
      </c>
      <c r="AB74" s="30" t="str">
        <f>IF($B74="","",IF(INDEX(engValN2,$A74)="","",INDEX(engValN2,$A74)))</f>
        <v/>
      </c>
      <c r="AC74" s="30" t="str">
        <f t="shared" si="80"/>
        <v/>
      </c>
      <c r="AD74" s="30" t="e">
        <f t="shared" si="81"/>
        <v>#N/A</v>
      </c>
      <c r="AE74" s="30" t="e">
        <f t="shared" si="82"/>
        <v>#N/A</v>
      </c>
      <c r="AF74" s="30" t="e">
        <f t="shared" si="83"/>
        <v>#N/A</v>
      </c>
      <c r="AG74" s="30">
        <f>IF($AB74="",0,IFERROR(INDEX(engDados,MATCH(selAnalito&amp;"|"&amp;$B74,engChave,0),10),0))</f>
        <v>0</v>
      </c>
      <c r="AH74" s="30">
        <f>IF($AB74="",0,IFERROR(INDEX(engDados,MATCH(selAnalito&amp;"|"&amp;$B74,engChave,0),11),0))</f>
        <v>0</v>
      </c>
      <c r="AI74" s="30">
        <f>IF($AB74="",0,IFERROR(INDEX(engDados,MATCH(selAnalito&amp;"|"&amp;$B74,engChave,0),12),0))</f>
        <v>0</v>
      </c>
      <c r="AJ74" s="30">
        <f>IF($AB74="",0,IFERROR(INDEX(engDados,MATCH(selAnalito&amp;"|"&amp;$B74,engChave,0),13),0))</f>
        <v>0</v>
      </c>
      <c r="AK74" s="30">
        <f>IF($AB74="",0,IFERROR(INDEX(engDados,MATCH(selAnalito&amp;"|"&amp;$B74,engChave,0),14),0))</f>
        <v>0</v>
      </c>
      <c r="AL74" s="30" t="str">
        <f>IF($AB74="","",IFERROR(INDEX(engDados,MATCH(selAnalito&amp;"|"&amp;$B74,engChave,0),16),""))</f>
        <v/>
      </c>
      <c r="AM74" s="30" t="e">
        <f t="shared" si="84"/>
        <v>#N/A</v>
      </c>
      <c r="AN74" s="30" t="e">
        <f t="shared" si="85"/>
        <v>#N/A</v>
      </c>
      <c r="AO74" s="30" t="e">
        <f t="shared" si="86"/>
        <v>#N/A</v>
      </c>
      <c r="AP74" s="30" t="e">
        <f t="shared" si="87"/>
        <v>#N/A</v>
      </c>
      <c r="AQ74" s="30" t="e">
        <f t="shared" si="88"/>
        <v>#N/A</v>
      </c>
      <c r="AR74" s="30" t="e">
        <f t="shared" si="89"/>
        <v>#N/A</v>
      </c>
      <c r="AS74" s="30" t="e">
        <f t="shared" si="90"/>
        <v>#N/A</v>
      </c>
      <c r="AT74" s="30" t="e">
        <f>IF(AND($D74=1,(""&amp;loteAnalise)=(""&amp;loteCarregado),COUNTIFS(regAnalito,selAnalito,regNivel,2,regData,$C74,regRep1,"&lt;&gt;")&gt;0),SUMIFS(regRep1,regAnalito,selAnalito,regNivel,2,regData,$C74),NA())</f>
        <v>#N/A</v>
      </c>
      <c r="AU74" s="30" t="e">
        <f>IF(AND($D74=1,(""&amp;loteAnalise)=(""&amp;loteCarregado),COUNTIFS(regAnalito,selAnalito,regNivel,2,regData,$C74,regRep2,"&lt;&gt;")&gt;0),SUMIFS(regRep2,regAnalito,selAnalito,regNivel,2,regData,$C74),NA())</f>
        <v>#N/A</v>
      </c>
      <c r="AV74" s="30" t="e">
        <f>IF(AND($D74=1,(""&amp;loteAnalise)=(""&amp;loteCarregado),COUNTIFS(regAnalito,selAnalito,regNivel,2,regData,$C74,regRep3,"&lt;&gt;")&gt;0),SUMIFS(regRep3,regAnalito,selAnalito,regNivel,2,regData,$C74),NA())</f>
        <v>#N/A</v>
      </c>
      <c r="AW74" s="30" t="e">
        <f>IF(AND($D74=1,COUNTIFS(regAnalito,selAnalito,regData,$C74,regCalib,"Sim")&gt;0),$BV$1,NA())</f>
        <v>#N/A</v>
      </c>
      <c r="AX74" s="30" t="str">
        <f>IF($B74="","",IF(INDEX(engValN3,$A74)="","",INDEX(engValN3,$A74)))</f>
        <v/>
      </c>
      <c r="AY74" s="30" t="str">
        <f t="shared" si="91"/>
        <v/>
      </c>
      <c r="AZ74" s="30" t="e">
        <f t="shared" si="92"/>
        <v>#N/A</v>
      </c>
      <c r="BA74" s="30" t="e">
        <f t="shared" si="93"/>
        <v>#N/A</v>
      </c>
      <c r="BB74" s="30" t="e">
        <f t="shared" si="94"/>
        <v>#N/A</v>
      </c>
      <c r="BC74" s="30">
        <f>IF($AX74="",0,IFERROR(INDEX(engDados,MATCH(selAnalito&amp;"|"&amp;$B74,engChave,0),17),0))</f>
        <v>0</v>
      </c>
      <c r="BD74" s="30">
        <f>IF($AX74="",0,IFERROR(INDEX(engDados,MATCH(selAnalito&amp;"|"&amp;$B74,engChave,0),18),0))</f>
        <v>0</v>
      </c>
      <c r="BE74" s="30">
        <f>IF($AX74="",0,IFERROR(INDEX(engDados,MATCH(selAnalito&amp;"|"&amp;$B74,engChave,0),19),0))</f>
        <v>0</v>
      </c>
      <c r="BF74" s="30">
        <f>IF($AX74="",0,IFERROR(INDEX(engDados,MATCH(selAnalito&amp;"|"&amp;$B74,engChave,0),20),0))</f>
        <v>0</v>
      </c>
      <c r="BG74" s="30">
        <f>IF($AX74="",0,IFERROR(INDEX(engDados,MATCH(selAnalito&amp;"|"&amp;$B74,engChave,0),21),0))</f>
        <v>0</v>
      </c>
      <c r="BH74" s="30" t="str">
        <f>IF($AX74="","",IFERROR(INDEX(engDados,MATCH(selAnalito&amp;"|"&amp;$B74,engChave,0),23),""))</f>
        <v/>
      </c>
      <c r="BI74" s="30" t="e">
        <f t="shared" si="95"/>
        <v>#N/A</v>
      </c>
      <c r="BJ74" s="30" t="e">
        <f t="shared" si="96"/>
        <v>#N/A</v>
      </c>
      <c r="BK74" s="30" t="e">
        <f t="shared" si="97"/>
        <v>#N/A</v>
      </c>
      <c r="BL74" s="30" t="e">
        <f t="shared" si="98"/>
        <v>#N/A</v>
      </c>
      <c r="BM74" s="30" t="e">
        <f t="shared" si="99"/>
        <v>#N/A</v>
      </c>
      <c r="BN74" s="30" t="e">
        <f t="shared" si="100"/>
        <v>#N/A</v>
      </c>
      <c r="BO74" s="30" t="e">
        <f t="shared" si="101"/>
        <v>#N/A</v>
      </c>
      <c r="BP74" s="30" t="e">
        <f>IF(AND($D74=1,(""&amp;loteAnalise)=(""&amp;loteCarregado),COUNTIFS(regAnalito,selAnalito,regNivel,3,regData,$C74,regRep1,"&lt;&gt;")&gt;0),SUMIFS(regRep1,regAnalito,selAnalito,regNivel,3,regData,$C74),NA())</f>
        <v>#N/A</v>
      </c>
      <c r="BQ74" s="30" t="e">
        <f>IF(AND($D74=1,(""&amp;loteAnalise)=(""&amp;loteCarregado),COUNTIFS(regAnalito,selAnalito,regNivel,3,regData,$C74,regRep2,"&lt;&gt;")&gt;0),SUMIFS(regRep2,regAnalito,selAnalito,regNivel,3,regData,$C74),NA())</f>
        <v>#N/A</v>
      </c>
      <c r="BR74" s="30" t="e">
        <f>IF(AND($D74=1,(""&amp;loteAnalise)=(""&amp;loteCarregado),COUNTIFS(regAnalito,selAnalito,regNivel,3,regData,$C74,regRep3,"&lt;&gt;")&gt;0),SUMIFS(regRep3,regAnalito,selAnalito,regNivel,3,regData,$C74),NA())</f>
        <v>#N/A</v>
      </c>
      <c r="BS74" s="30" t="e">
        <f>IF(AND($D74=1,COUNTIFS(regAnalito,selAnalito,regData,$C74,regCalib,"Sim")&gt;0),$BX$1,NA())</f>
        <v>#N/A</v>
      </c>
    </row>
    <row r="75" spans="1:71" x14ac:dyDescent="0.3">
      <c r="A75" s="30">
        <v>73</v>
      </c>
      <c r="B75" s="30" t="str">
        <f>IF(OR(selAnalito="",(""&amp;engAnalito)&lt;&gt;(""&amp;selAnalito),(""&amp;engLote)&lt;&gt;(""&amp;loteAnalise),$A75&gt;N(engNRun)),"",INDEX(engRUN,$A75))</f>
        <v/>
      </c>
      <c r="C75" s="43" t="str">
        <f>IF($B75="","",IF(INDEX(engData,$A75)="","",INDEX(engData,$A75)))</f>
        <v/>
      </c>
      <c r="D75" s="30">
        <f>IF($C75="",0,IF(AND(OR(filtroDe="",INT($C75)&gt;=INT(filtroDe)),OR(filtroAte="",INT($C75)&lt;=INT(filtroAte))),1,0))</f>
        <v>0</v>
      </c>
      <c r="E75" s="30" t="e">
        <f t="shared" si="68"/>
        <v>#N/A</v>
      </c>
      <c r="F75" s="30" t="str">
        <f>IF($B75="","",IF(INDEX(engValN1,$A75)="","",INDEX(engValN1,$A75)))</f>
        <v/>
      </c>
      <c r="G75" s="30" t="str">
        <f t="shared" si="69"/>
        <v/>
      </c>
      <c r="H75" s="30" t="e">
        <f t="shared" si="70"/>
        <v>#N/A</v>
      </c>
      <c r="I75" s="30" t="e">
        <f t="shared" si="71"/>
        <v>#N/A</v>
      </c>
      <c r="J75" s="30" t="e">
        <f t="shared" si="72"/>
        <v>#N/A</v>
      </c>
      <c r="K75" s="30">
        <f>IF($F75="",0,IFERROR(INDEX(engDados,MATCH(selAnalito&amp;"|"&amp;$B75,engChave,0),3),0))</f>
        <v>0</v>
      </c>
      <c r="L75" s="30">
        <f>IF($F75="",0,IFERROR(INDEX(engDados,MATCH(selAnalito&amp;"|"&amp;$B75,engChave,0),4),0))</f>
        <v>0</v>
      </c>
      <c r="M75" s="30">
        <f>IF($F75="",0,IFERROR(INDEX(engDados,MATCH(selAnalito&amp;"|"&amp;$B75,engChave,0),5),0))</f>
        <v>0</v>
      </c>
      <c r="N75" s="30">
        <f>IF($F75="",0,IFERROR(INDEX(engDados,MATCH(selAnalito&amp;"|"&amp;$B75,engChave,0),6),0))</f>
        <v>0</v>
      </c>
      <c r="O75" s="30">
        <f>IF($F75="",0,IFERROR(INDEX(engDados,MATCH(selAnalito&amp;"|"&amp;$B75,engChave,0),7),0))</f>
        <v>0</v>
      </c>
      <c r="P75" s="30" t="str">
        <f>IF($F75="","",IFERROR(INDEX(engDados,MATCH(selAnalito&amp;"|"&amp;$B75,engChave,0),9),""))</f>
        <v/>
      </c>
      <c r="Q75" s="30" t="e">
        <f t="shared" si="73"/>
        <v>#N/A</v>
      </c>
      <c r="R75" s="30" t="e">
        <f t="shared" si="74"/>
        <v>#N/A</v>
      </c>
      <c r="S75" s="30" t="e">
        <f t="shared" si="75"/>
        <v>#N/A</v>
      </c>
      <c r="T75" s="30" t="e">
        <f t="shared" si="76"/>
        <v>#N/A</v>
      </c>
      <c r="U75" s="30" t="e">
        <f t="shared" si="77"/>
        <v>#N/A</v>
      </c>
      <c r="V75" s="30" t="e">
        <f t="shared" si="78"/>
        <v>#N/A</v>
      </c>
      <c r="W75" s="30" t="e">
        <f t="shared" si="79"/>
        <v>#N/A</v>
      </c>
      <c r="X75" s="30" t="e">
        <f>IF(AND($D75=1,(""&amp;loteAnalise)=(""&amp;loteCarregado),COUNTIFS(regAnalito,selAnalito,regNivel,1,regData,$C75,regRep1,"&lt;&gt;")&gt;0),SUMIFS(regRep1,regAnalito,selAnalito,regNivel,1,regData,$C75),NA())</f>
        <v>#N/A</v>
      </c>
      <c r="Y75" s="30" t="e">
        <f>IF(AND($D75=1,(""&amp;loteAnalise)=(""&amp;loteCarregado),COUNTIFS(regAnalito,selAnalito,regNivel,1,regData,$C75,regRep2,"&lt;&gt;")&gt;0),SUMIFS(regRep2,regAnalito,selAnalito,regNivel,1,regData,$C75),NA())</f>
        <v>#N/A</v>
      </c>
      <c r="Z75" s="30" t="e">
        <f>IF(AND($D75=1,(""&amp;loteAnalise)=(""&amp;loteCarregado),COUNTIFS(regAnalito,selAnalito,regNivel,1,regData,$C75,regRep3,"&lt;&gt;")&gt;0),SUMIFS(regRep3,regAnalito,selAnalito,regNivel,1,regData,$C75),NA())</f>
        <v>#N/A</v>
      </c>
      <c r="AA75" s="30" t="e">
        <f>IF(AND($D75=1,COUNTIFS(regAnalito,selAnalito,regData,$C75,regCalib,"Sim")&gt;0),$BT$1,NA())</f>
        <v>#N/A</v>
      </c>
      <c r="AB75" s="30" t="str">
        <f>IF($B75="","",IF(INDEX(engValN2,$A75)="","",INDEX(engValN2,$A75)))</f>
        <v/>
      </c>
      <c r="AC75" s="30" t="str">
        <f t="shared" si="80"/>
        <v/>
      </c>
      <c r="AD75" s="30" t="e">
        <f t="shared" si="81"/>
        <v>#N/A</v>
      </c>
      <c r="AE75" s="30" t="e">
        <f t="shared" si="82"/>
        <v>#N/A</v>
      </c>
      <c r="AF75" s="30" t="e">
        <f t="shared" si="83"/>
        <v>#N/A</v>
      </c>
      <c r="AG75" s="30">
        <f>IF($AB75="",0,IFERROR(INDEX(engDados,MATCH(selAnalito&amp;"|"&amp;$B75,engChave,0),10),0))</f>
        <v>0</v>
      </c>
      <c r="AH75" s="30">
        <f>IF($AB75="",0,IFERROR(INDEX(engDados,MATCH(selAnalito&amp;"|"&amp;$B75,engChave,0),11),0))</f>
        <v>0</v>
      </c>
      <c r="AI75" s="30">
        <f>IF($AB75="",0,IFERROR(INDEX(engDados,MATCH(selAnalito&amp;"|"&amp;$B75,engChave,0),12),0))</f>
        <v>0</v>
      </c>
      <c r="AJ75" s="30">
        <f>IF($AB75="",0,IFERROR(INDEX(engDados,MATCH(selAnalito&amp;"|"&amp;$B75,engChave,0),13),0))</f>
        <v>0</v>
      </c>
      <c r="AK75" s="30">
        <f>IF($AB75="",0,IFERROR(INDEX(engDados,MATCH(selAnalito&amp;"|"&amp;$B75,engChave,0),14),0))</f>
        <v>0</v>
      </c>
      <c r="AL75" s="30" t="str">
        <f>IF($AB75="","",IFERROR(INDEX(engDados,MATCH(selAnalito&amp;"|"&amp;$B75,engChave,0),16),""))</f>
        <v/>
      </c>
      <c r="AM75" s="30" t="e">
        <f t="shared" si="84"/>
        <v>#N/A</v>
      </c>
      <c r="AN75" s="30" t="e">
        <f t="shared" si="85"/>
        <v>#N/A</v>
      </c>
      <c r="AO75" s="30" t="e">
        <f t="shared" si="86"/>
        <v>#N/A</v>
      </c>
      <c r="AP75" s="30" t="e">
        <f t="shared" si="87"/>
        <v>#N/A</v>
      </c>
      <c r="AQ75" s="30" t="e">
        <f t="shared" si="88"/>
        <v>#N/A</v>
      </c>
      <c r="AR75" s="30" t="e">
        <f t="shared" si="89"/>
        <v>#N/A</v>
      </c>
      <c r="AS75" s="30" t="e">
        <f t="shared" si="90"/>
        <v>#N/A</v>
      </c>
      <c r="AT75" s="30" t="e">
        <f>IF(AND($D75=1,(""&amp;loteAnalise)=(""&amp;loteCarregado),COUNTIFS(regAnalito,selAnalito,regNivel,2,regData,$C75,regRep1,"&lt;&gt;")&gt;0),SUMIFS(regRep1,regAnalito,selAnalito,regNivel,2,regData,$C75),NA())</f>
        <v>#N/A</v>
      </c>
      <c r="AU75" s="30" t="e">
        <f>IF(AND($D75=1,(""&amp;loteAnalise)=(""&amp;loteCarregado),COUNTIFS(regAnalito,selAnalito,regNivel,2,regData,$C75,regRep2,"&lt;&gt;")&gt;0),SUMIFS(regRep2,regAnalito,selAnalito,regNivel,2,regData,$C75),NA())</f>
        <v>#N/A</v>
      </c>
      <c r="AV75" s="30" t="e">
        <f>IF(AND($D75=1,(""&amp;loteAnalise)=(""&amp;loteCarregado),COUNTIFS(regAnalito,selAnalito,regNivel,2,regData,$C75,regRep3,"&lt;&gt;")&gt;0),SUMIFS(regRep3,regAnalito,selAnalito,regNivel,2,regData,$C75),NA())</f>
        <v>#N/A</v>
      </c>
      <c r="AW75" s="30" t="e">
        <f>IF(AND($D75=1,COUNTIFS(regAnalito,selAnalito,regData,$C75,regCalib,"Sim")&gt;0),$BV$1,NA())</f>
        <v>#N/A</v>
      </c>
      <c r="AX75" s="30" t="str">
        <f>IF($B75="","",IF(INDEX(engValN3,$A75)="","",INDEX(engValN3,$A75)))</f>
        <v/>
      </c>
      <c r="AY75" s="30" t="str">
        <f t="shared" si="91"/>
        <v/>
      </c>
      <c r="AZ75" s="30" t="e">
        <f t="shared" si="92"/>
        <v>#N/A</v>
      </c>
      <c r="BA75" s="30" t="e">
        <f t="shared" si="93"/>
        <v>#N/A</v>
      </c>
      <c r="BB75" s="30" t="e">
        <f t="shared" si="94"/>
        <v>#N/A</v>
      </c>
      <c r="BC75" s="30">
        <f>IF($AX75="",0,IFERROR(INDEX(engDados,MATCH(selAnalito&amp;"|"&amp;$B75,engChave,0),17),0))</f>
        <v>0</v>
      </c>
      <c r="BD75" s="30">
        <f>IF($AX75="",0,IFERROR(INDEX(engDados,MATCH(selAnalito&amp;"|"&amp;$B75,engChave,0),18),0))</f>
        <v>0</v>
      </c>
      <c r="BE75" s="30">
        <f>IF($AX75="",0,IFERROR(INDEX(engDados,MATCH(selAnalito&amp;"|"&amp;$B75,engChave,0),19),0))</f>
        <v>0</v>
      </c>
      <c r="BF75" s="30">
        <f>IF($AX75="",0,IFERROR(INDEX(engDados,MATCH(selAnalito&amp;"|"&amp;$B75,engChave,0),20),0))</f>
        <v>0</v>
      </c>
      <c r="BG75" s="30">
        <f>IF($AX75="",0,IFERROR(INDEX(engDados,MATCH(selAnalito&amp;"|"&amp;$B75,engChave,0),21),0))</f>
        <v>0</v>
      </c>
      <c r="BH75" s="30" t="str">
        <f>IF($AX75="","",IFERROR(INDEX(engDados,MATCH(selAnalito&amp;"|"&amp;$B75,engChave,0),23),""))</f>
        <v/>
      </c>
      <c r="BI75" s="30" t="e">
        <f t="shared" si="95"/>
        <v>#N/A</v>
      </c>
      <c r="BJ75" s="30" t="e">
        <f t="shared" si="96"/>
        <v>#N/A</v>
      </c>
      <c r="BK75" s="30" t="e">
        <f t="shared" si="97"/>
        <v>#N/A</v>
      </c>
      <c r="BL75" s="30" t="e">
        <f t="shared" si="98"/>
        <v>#N/A</v>
      </c>
      <c r="BM75" s="30" t="e">
        <f t="shared" si="99"/>
        <v>#N/A</v>
      </c>
      <c r="BN75" s="30" t="e">
        <f t="shared" si="100"/>
        <v>#N/A</v>
      </c>
      <c r="BO75" s="30" t="e">
        <f t="shared" si="101"/>
        <v>#N/A</v>
      </c>
      <c r="BP75" s="30" t="e">
        <f>IF(AND($D75=1,(""&amp;loteAnalise)=(""&amp;loteCarregado),COUNTIFS(regAnalito,selAnalito,regNivel,3,regData,$C75,regRep1,"&lt;&gt;")&gt;0),SUMIFS(regRep1,regAnalito,selAnalito,regNivel,3,regData,$C75),NA())</f>
        <v>#N/A</v>
      </c>
      <c r="BQ75" s="30" t="e">
        <f>IF(AND($D75=1,(""&amp;loteAnalise)=(""&amp;loteCarregado),COUNTIFS(regAnalito,selAnalito,regNivel,3,regData,$C75,regRep2,"&lt;&gt;")&gt;0),SUMIFS(regRep2,regAnalito,selAnalito,regNivel,3,regData,$C75),NA())</f>
        <v>#N/A</v>
      </c>
      <c r="BR75" s="30" t="e">
        <f>IF(AND($D75=1,(""&amp;loteAnalise)=(""&amp;loteCarregado),COUNTIFS(regAnalito,selAnalito,regNivel,3,regData,$C75,regRep3,"&lt;&gt;")&gt;0),SUMIFS(regRep3,regAnalito,selAnalito,regNivel,3,regData,$C75),NA())</f>
        <v>#N/A</v>
      </c>
      <c r="BS75" s="30" t="e">
        <f>IF(AND($D75=1,COUNTIFS(regAnalito,selAnalito,regData,$C75,regCalib,"Sim")&gt;0),$BX$1,NA())</f>
        <v>#N/A</v>
      </c>
    </row>
    <row r="76" spans="1:71" x14ac:dyDescent="0.3">
      <c r="A76" s="30">
        <v>74</v>
      </c>
      <c r="B76" s="30" t="str">
        <f>IF(OR(selAnalito="",(""&amp;engAnalito)&lt;&gt;(""&amp;selAnalito),(""&amp;engLote)&lt;&gt;(""&amp;loteAnalise),$A76&gt;N(engNRun)),"",INDEX(engRUN,$A76))</f>
        <v/>
      </c>
      <c r="C76" s="43" t="str">
        <f>IF($B76="","",IF(INDEX(engData,$A76)="","",INDEX(engData,$A76)))</f>
        <v/>
      </c>
      <c r="D76" s="30">
        <f>IF($C76="",0,IF(AND(OR(filtroDe="",INT($C76)&gt;=INT(filtroDe)),OR(filtroAte="",INT($C76)&lt;=INT(filtroAte))),1,0))</f>
        <v>0</v>
      </c>
      <c r="E76" s="30" t="e">
        <f t="shared" si="68"/>
        <v>#N/A</v>
      </c>
      <c r="F76" s="30" t="str">
        <f>IF($B76="","",IF(INDEX(engValN1,$A76)="","",INDEX(engValN1,$A76)))</f>
        <v/>
      </c>
      <c r="G76" s="30" t="str">
        <f t="shared" si="69"/>
        <v/>
      </c>
      <c r="H76" s="30" t="e">
        <f t="shared" si="70"/>
        <v>#N/A</v>
      </c>
      <c r="I76" s="30" t="e">
        <f t="shared" si="71"/>
        <v>#N/A</v>
      </c>
      <c r="J76" s="30" t="e">
        <f t="shared" si="72"/>
        <v>#N/A</v>
      </c>
      <c r="K76" s="30">
        <f>IF($F76="",0,IFERROR(INDEX(engDados,MATCH(selAnalito&amp;"|"&amp;$B76,engChave,0),3),0))</f>
        <v>0</v>
      </c>
      <c r="L76" s="30">
        <f>IF($F76="",0,IFERROR(INDEX(engDados,MATCH(selAnalito&amp;"|"&amp;$B76,engChave,0),4),0))</f>
        <v>0</v>
      </c>
      <c r="M76" s="30">
        <f>IF($F76="",0,IFERROR(INDEX(engDados,MATCH(selAnalito&amp;"|"&amp;$B76,engChave,0),5),0))</f>
        <v>0</v>
      </c>
      <c r="N76" s="30">
        <f>IF($F76="",0,IFERROR(INDEX(engDados,MATCH(selAnalito&amp;"|"&amp;$B76,engChave,0),6),0))</f>
        <v>0</v>
      </c>
      <c r="O76" s="30">
        <f>IF($F76="",0,IFERROR(INDEX(engDados,MATCH(selAnalito&amp;"|"&amp;$B76,engChave,0),7),0))</f>
        <v>0</v>
      </c>
      <c r="P76" s="30" t="str">
        <f>IF($F76="","",IFERROR(INDEX(engDados,MATCH(selAnalito&amp;"|"&amp;$B76,engChave,0),9),""))</f>
        <v/>
      </c>
      <c r="Q76" s="30" t="e">
        <f t="shared" si="73"/>
        <v>#N/A</v>
      </c>
      <c r="R76" s="30" t="e">
        <f t="shared" si="74"/>
        <v>#N/A</v>
      </c>
      <c r="S76" s="30" t="e">
        <f t="shared" si="75"/>
        <v>#N/A</v>
      </c>
      <c r="T76" s="30" t="e">
        <f t="shared" si="76"/>
        <v>#N/A</v>
      </c>
      <c r="U76" s="30" t="e">
        <f t="shared" si="77"/>
        <v>#N/A</v>
      </c>
      <c r="V76" s="30" t="e">
        <f t="shared" si="78"/>
        <v>#N/A</v>
      </c>
      <c r="W76" s="30" t="e">
        <f t="shared" si="79"/>
        <v>#N/A</v>
      </c>
      <c r="X76" s="30" t="e">
        <f>IF(AND($D76=1,(""&amp;loteAnalise)=(""&amp;loteCarregado),COUNTIFS(regAnalito,selAnalito,regNivel,1,regData,$C76,regRep1,"&lt;&gt;")&gt;0),SUMIFS(regRep1,regAnalito,selAnalito,regNivel,1,regData,$C76),NA())</f>
        <v>#N/A</v>
      </c>
      <c r="Y76" s="30" t="e">
        <f>IF(AND($D76=1,(""&amp;loteAnalise)=(""&amp;loteCarregado),COUNTIFS(regAnalito,selAnalito,regNivel,1,regData,$C76,regRep2,"&lt;&gt;")&gt;0),SUMIFS(regRep2,regAnalito,selAnalito,regNivel,1,regData,$C76),NA())</f>
        <v>#N/A</v>
      </c>
      <c r="Z76" s="30" t="e">
        <f>IF(AND($D76=1,(""&amp;loteAnalise)=(""&amp;loteCarregado),COUNTIFS(regAnalito,selAnalito,regNivel,1,regData,$C76,regRep3,"&lt;&gt;")&gt;0),SUMIFS(regRep3,regAnalito,selAnalito,regNivel,1,regData,$C76),NA())</f>
        <v>#N/A</v>
      </c>
      <c r="AA76" s="30" t="e">
        <f>IF(AND($D76=1,COUNTIFS(regAnalito,selAnalito,regData,$C76,regCalib,"Sim")&gt;0),$BT$1,NA())</f>
        <v>#N/A</v>
      </c>
      <c r="AB76" s="30" t="str">
        <f>IF($B76="","",IF(INDEX(engValN2,$A76)="","",INDEX(engValN2,$A76)))</f>
        <v/>
      </c>
      <c r="AC76" s="30" t="str">
        <f t="shared" si="80"/>
        <v/>
      </c>
      <c r="AD76" s="30" t="e">
        <f t="shared" si="81"/>
        <v>#N/A</v>
      </c>
      <c r="AE76" s="30" t="e">
        <f t="shared" si="82"/>
        <v>#N/A</v>
      </c>
      <c r="AF76" s="30" t="e">
        <f t="shared" si="83"/>
        <v>#N/A</v>
      </c>
      <c r="AG76" s="30">
        <f>IF($AB76="",0,IFERROR(INDEX(engDados,MATCH(selAnalito&amp;"|"&amp;$B76,engChave,0),10),0))</f>
        <v>0</v>
      </c>
      <c r="AH76" s="30">
        <f>IF($AB76="",0,IFERROR(INDEX(engDados,MATCH(selAnalito&amp;"|"&amp;$B76,engChave,0),11),0))</f>
        <v>0</v>
      </c>
      <c r="AI76" s="30">
        <f>IF($AB76="",0,IFERROR(INDEX(engDados,MATCH(selAnalito&amp;"|"&amp;$B76,engChave,0),12),0))</f>
        <v>0</v>
      </c>
      <c r="AJ76" s="30">
        <f>IF($AB76="",0,IFERROR(INDEX(engDados,MATCH(selAnalito&amp;"|"&amp;$B76,engChave,0),13),0))</f>
        <v>0</v>
      </c>
      <c r="AK76" s="30">
        <f>IF($AB76="",0,IFERROR(INDEX(engDados,MATCH(selAnalito&amp;"|"&amp;$B76,engChave,0),14),0))</f>
        <v>0</v>
      </c>
      <c r="AL76" s="30" t="str">
        <f>IF($AB76="","",IFERROR(INDEX(engDados,MATCH(selAnalito&amp;"|"&amp;$B76,engChave,0),16),""))</f>
        <v/>
      </c>
      <c r="AM76" s="30" t="e">
        <f t="shared" si="84"/>
        <v>#N/A</v>
      </c>
      <c r="AN76" s="30" t="e">
        <f t="shared" si="85"/>
        <v>#N/A</v>
      </c>
      <c r="AO76" s="30" t="e">
        <f t="shared" si="86"/>
        <v>#N/A</v>
      </c>
      <c r="AP76" s="30" t="e">
        <f t="shared" si="87"/>
        <v>#N/A</v>
      </c>
      <c r="AQ76" s="30" t="e">
        <f t="shared" si="88"/>
        <v>#N/A</v>
      </c>
      <c r="AR76" s="30" t="e">
        <f t="shared" si="89"/>
        <v>#N/A</v>
      </c>
      <c r="AS76" s="30" t="e">
        <f t="shared" si="90"/>
        <v>#N/A</v>
      </c>
      <c r="AT76" s="30" t="e">
        <f>IF(AND($D76=1,(""&amp;loteAnalise)=(""&amp;loteCarregado),COUNTIFS(regAnalito,selAnalito,regNivel,2,regData,$C76,regRep1,"&lt;&gt;")&gt;0),SUMIFS(regRep1,regAnalito,selAnalito,regNivel,2,regData,$C76),NA())</f>
        <v>#N/A</v>
      </c>
      <c r="AU76" s="30" t="e">
        <f>IF(AND($D76=1,(""&amp;loteAnalise)=(""&amp;loteCarregado),COUNTIFS(regAnalito,selAnalito,regNivel,2,regData,$C76,regRep2,"&lt;&gt;")&gt;0),SUMIFS(regRep2,regAnalito,selAnalito,regNivel,2,regData,$C76),NA())</f>
        <v>#N/A</v>
      </c>
      <c r="AV76" s="30" t="e">
        <f>IF(AND($D76=1,(""&amp;loteAnalise)=(""&amp;loteCarregado),COUNTIFS(regAnalito,selAnalito,regNivel,2,regData,$C76,regRep3,"&lt;&gt;")&gt;0),SUMIFS(regRep3,regAnalito,selAnalito,regNivel,2,regData,$C76),NA())</f>
        <v>#N/A</v>
      </c>
      <c r="AW76" s="30" t="e">
        <f>IF(AND($D76=1,COUNTIFS(regAnalito,selAnalito,regData,$C76,regCalib,"Sim")&gt;0),$BV$1,NA())</f>
        <v>#N/A</v>
      </c>
      <c r="AX76" s="30" t="str">
        <f>IF($B76="","",IF(INDEX(engValN3,$A76)="","",INDEX(engValN3,$A76)))</f>
        <v/>
      </c>
      <c r="AY76" s="30" t="str">
        <f t="shared" si="91"/>
        <v/>
      </c>
      <c r="AZ76" s="30" t="e">
        <f t="shared" si="92"/>
        <v>#N/A</v>
      </c>
      <c r="BA76" s="30" t="e">
        <f t="shared" si="93"/>
        <v>#N/A</v>
      </c>
      <c r="BB76" s="30" t="e">
        <f t="shared" si="94"/>
        <v>#N/A</v>
      </c>
      <c r="BC76" s="30">
        <f>IF($AX76="",0,IFERROR(INDEX(engDados,MATCH(selAnalito&amp;"|"&amp;$B76,engChave,0),17),0))</f>
        <v>0</v>
      </c>
      <c r="BD76" s="30">
        <f>IF($AX76="",0,IFERROR(INDEX(engDados,MATCH(selAnalito&amp;"|"&amp;$B76,engChave,0),18),0))</f>
        <v>0</v>
      </c>
      <c r="BE76" s="30">
        <f>IF($AX76="",0,IFERROR(INDEX(engDados,MATCH(selAnalito&amp;"|"&amp;$B76,engChave,0),19),0))</f>
        <v>0</v>
      </c>
      <c r="BF76" s="30">
        <f>IF($AX76="",0,IFERROR(INDEX(engDados,MATCH(selAnalito&amp;"|"&amp;$B76,engChave,0),20),0))</f>
        <v>0</v>
      </c>
      <c r="BG76" s="30">
        <f>IF($AX76="",0,IFERROR(INDEX(engDados,MATCH(selAnalito&amp;"|"&amp;$B76,engChave,0),21),0))</f>
        <v>0</v>
      </c>
      <c r="BH76" s="30" t="str">
        <f>IF($AX76="","",IFERROR(INDEX(engDados,MATCH(selAnalito&amp;"|"&amp;$B76,engChave,0),23),""))</f>
        <v/>
      </c>
      <c r="BI76" s="30" t="e">
        <f t="shared" si="95"/>
        <v>#N/A</v>
      </c>
      <c r="BJ76" s="30" t="e">
        <f t="shared" si="96"/>
        <v>#N/A</v>
      </c>
      <c r="BK76" s="30" t="e">
        <f t="shared" si="97"/>
        <v>#N/A</v>
      </c>
      <c r="BL76" s="30" t="e">
        <f t="shared" si="98"/>
        <v>#N/A</v>
      </c>
      <c r="BM76" s="30" t="e">
        <f t="shared" si="99"/>
        <v>#N/A</v>
      </c>
      <c r="BN76" s="30" t="e">
        <f t="shared" si="100"/>
        <v>#N/A</v>
      </c>
      <c r="BO76" s="30" t="e">
        <f t="shared" si="101"/>
        <v>#N/A</v>
      </c>
      <c r="BP76" s="30" t="e">
        <f>IF(AND($D76=1,(""&amp;loteAnalise)=(""&amp;loteCarregado),COUNTIFS(regAnalito,selAnalito,regNivel,3,regData,$C76,regRep1,"&lt;&gt;")&gt;0),SUMIFS(regRep1,regAnalito,selAnalito,regNivel,3,regData,$C76),NA())</f>
        <v>#N/A</v>
      </c>
      <c r="BQ76" s="30" t="e">
        <f>IF(AND($D76=1,(""&amp;loteAnalise)=(""&amp;loteCarregado),COUNTIFS(regAnalito,selAnalito,regNivel,3,regData,$C76,regRep2,"&lt;&gt;")&gt;0),SUMIFS(regRep2,regAnalito,selAnalito,regNivel,3,regData,$C76),NA())</f>
        <v>#N/A</v>
      </c>
      <c r="BR76" s="30" t="e">
        <f>IF(AND($D76=1,(""&amp;loteAnalise)=(""&amp;loteCarregado),COUNTIFS(regAnalito,selAnalito,regNivel,3,regData,$C76,regRep3,"&lt;&gt;")&gt;0),SUMIFS(regRep3,regAnalito,selAnalito,regNivel,3,regData,$C76),NA())</f>
        <v>#N/A</v>
      </c>
      <c r="BS76" s="30" t="e">
        <f>IF(AND($D76=1,COUNTIFS(regAnalito,selAnalito,regData,$C76,regCalib,"Sim")&gt;0),$BX$1,NA())</f>
        <v>#N/A</v>
      </c>
    </row>
    <row r="77" spans="1:71" x14ac:dyDescent="0.3">
      <c r="A77" s="30">
        <v>75</v>
      </c>
      <c r="B77" s="30" t="str">
        <f>IF(OR(selAnalito="",(""&amp;engAnalito)&lt;&gt;(""&amp;selAnalito),(""&amp;engLote)&lt;&gt;(""&amp;loteAnalise),$A77&gt;N(engNRun)),"",INDEX(engRUN,$A77))</f>
        <v/>
      </c>
      <c r="C77" s="43" t="str">
        <f>IF($B77="","",IF(INDEX(engData,$A77)="","",INDEX(engData,$A77)))</f>
        <v/>
      </c>
      <c r="D77" s="30">
        <f>IF($C77="",0,IF(AND(OR(filtroDe="",INT($C77)&gt;=INT(filtroDe)),OR(filtroAte="",INT($C77)&lt;=INT(filtroAte))),1,0))</f>
        <v>0</v>
      </c>
      <c r="E77" s="30" t="e">
        <f t="shared" si="68"/>
        <v>#N/A</v>
      </c>
      <c r="F77" s="30" t="str">
        <f>IF($B77="","",IF(INDEX(engValN1,$A77)="","",INDEX(engValN1,$A77)))</f>
        <v/>
      </c>
      <c r="G77" s="30" t="str">
        <f t="shared" si="69"/>
        <v/>
      </c>
      <c r="H77" s="30" t="e">
        <f t="shared" si="70"/>
        <v>#N/A</v>
      </c>
      <c r="I77" s="30" t="e">
        <f t="shared" si="71"/>
        <v>#N/A</v>
      </c>
      <c r="J77" s="30" t="e">
        <f t="shared" si="72"/>
        <v>#N/A</v>
      </c>
      <c r="K77" s="30">
        <f>IF($F77="",0,IFERROR(INDEX(engDados,MATCH(selAnalito&amp;"|"&amp;$B77,engChave,0),3),0))</f>
        <v>0</v>
      </c>
      <c r="L77" s="30">
        <f>IF($F77="",0,IFERROR(INDEX(engDados,MATCH(selAnalito&amp;"|"&amp;$B77,engChave,0),4),0))</f>
        <v>0</v>
      </c>
      <c r="M77" s="30">
        <f>IF($F77="",0,IFERROR(INDEX(engDados,MATCH(selAnalito&amp;"|"&amp;$B77,engChave,0),5),0))</f>
        <v>0</v>
      </c>
      <c r="N77" s="30">
        <f>IF($F77="",0,IFERROR(INDEX(engDados,MATCH(selAnalito&amp;"|"&amp;$B77,engChave,0),6),0))</f>
        <v>0</v>
      </c>
      <c r="O77" s="30">
        <f>IF($F77="",0,IFERROR(INDEX(engDados,MATCH(selAnalito&amp;"|"&amp;$B77,engChave,0),7),0))</f>
        <v>0</v>
      </c>
      <c r="P77" s="30" t="str">
        <f>IF($F77="","",IFERROR(INDEX(engDados,MATCH(selAnalito&amp;"|"&amp;$B77,engChave,0),9),""))</f>
        <v/>
      </c>
      <c r="Q77" s="30" t="e">
        <f t="shared" si="73"/>
        <v>#N/A</v>
      </c>
      <c r="R77" s="30" t="e">
        <f t="shared" si="74"/>
        <v>#N/A</v>
      </c>
      <c r="S77" s="30" t="e">
        <f t="shared" si="75"/>
        <v>#N/A</v>
      </c>
      <c r="T77" s="30" t="e">
        <f t="shared" si="76"/>
        <v>#N/A</v>
      </c>
      <c r="U77" s="30" t="e">
        <f t="shared" si="77"/>
        <v>#N/A</v>
      </c>
      <c r="V77" s="30" t="e">
        <f t="shared" si="78"/>
        <v>#N/A</v>
      </c>
      <c r="W77" s="30" t="e">
        <f t="shared" si="79"/>
        <v>#N/A</v>
      </c>
      <c r="X77" s="30" t="e">
        <f>IF(AND($D77=1,(""&amp;loteAnalise)=(""&amp;loteCarregado),COUNTIFS(regAnalito,selAnalito,regNivel,1,regData,$C77,regRep1,"&lt;&gt;")&gt;0),SUMIFS(regRep1,regAnalito,selAnalito,regNivel,1,regData,$C77),NA())</f>
        <v>#N/A</v>
      </c>
      <c r="Y77" s="30" t="e">
        <f>IF(AND($D77=1,(""&amp;loteAnalise)=(""&amp;loteCarregado),COUNTIFS(regAnalito,selAnalito,regNivel,1,regData,$C77,regRep2,"&lt;&gt;")&gt;0),SUMIFS(regRep2,regAnalito,selAnalito,regNivel,1,regData,$C77),NA())</f>
        <v>#N/A</v>
      </c>
      <c r="Z77" s="30" t="e">
        <f>IF(AND($D77=1,(""&amp;loteAnalise)=(""&amp;loteCarregado),COUNTIFS(regAnalito,selAnalito,regNivel,1,regData,$C77,regRep3,"&lt;&gt;")&gt;0),SUMIFS(regRep3,regAnalito,selAnalito,regNivel,1,regData,$C77),NA())</f>
        <v>#N/A</v>
      </c>
      <c r="AA77" s="30" t="e">
        <f>IF(AND($D77=1,COUNTIFS(regAnalito,selAnalito,regData,$C77,regCalib,"Sim")&gt;0),$BT$1,NA())</f>
        <v>#N/A</v>
      </c>
      <c r="AB77" s="30" t="str">
        <f>IF($B77="","",IF(INDEX(engValN2,$A77)="","",INDEX(engValN2,$A77)))</f>
        <v/>
      </c>
      <c r="AC77" s="30" t="str">
        <f t="shared" si="80"/>
        <v/>
      </c>
      <c r="AD77" s="30" t="e">
        <f t="shared" si="81"/>
        <v>#N/A</v>
      </c>
      <c r="AE77" s="30" t="e">
        <f t="shared" si="82"/>
        <v>#N/A</v>
      </c>
      <c r="AF77" s="30" t="e">
        <f t="shared" si="83"/>
        <v>#N/A</v>
      </c>
      <c r="AG77" s="30">
        <f>IF($AB77="",0,IFERROR(INDEX(engDados,MATCH(selAnalito&amp;"|"&amp;$B77,engChave,0),10),0))</f>
        <v>0</v>
      </c>
      <c r="AH77" s="30">
        <f>IF($AB77="",0,IFERROR(INDEX(engDados,MATCH(selAnalito&amp;"|"&amp;$B77,engChave,0),11),0))</f>
        <v>0</v>
      </c>
      <c r="AI77" s="30">
        <f>IF($AB77="",0,IFERROR(INDEX(engDados,MATCH(selAnalito&amp;"|"&amp;$B77,engChave,0),12),0))</f>
        <v>0</v>
      </c>
      <c r="AJ77" s="30">
        <f>IF($AB77="",0,IFERROR(INDEX(engDados,MATCH(selAnalito&amp;"|"&amp;$B77,engChave,0),13),0))</f>
        <v>0</v>
      </c>
      <c r="AK77" s="30">
        <f>IF($AB77="",0,IFERROR(INDEX(engDados,MATCH(selAnalito&amp;"|"&amp;$B77,engChave,0),14),0))</f>
        <v>0</v>
      </c>
      <c r="AL77" s="30" t="str">
        <f>IF($AB77="","",IFERROR(INDEX(engDados,MATCH(selAnalito&amp;"|"&amp;$B77,engChave,0),16),""))</f>
        <v/>
      </c>
      <c r="AM77" s="30" t="e">
        <f t="shared" si="84"/>
        <v>#N/A</v>
      </c>
      <c r="AN77" s="30" t="e">
        <f t="shared" si="85"/>
        <v>#N/A</v>
      </c>
      <c r="AO77" s="30" t="e">
        <f t="shared" si="86"/>
        <v>#N/A</v>
      </c>
      <c r="AP77" s="30" t="e">
        <f t="shared" si="87"/>
        <v>#N/A</v>
      </c>
      <c r="AQ77" s="30" t="e">
        <f t="shared" si="88"/>
        <v>#N/A</v>
      </c>
      <c r="AR77" s="30" t="e">
        <f t="shared" si="89"/>
        <v>#N/A</v>
      </c>
      <c r="AS77" s="30" t="e">
        <f t="shared" si="90"/>
        <v>#N/A</v>
      </c>
      <c r="AT77" s="30" t="e">
        <f>IF(AND($D77=1,(""&amp;loteAnalise)=(""&amp;loteCarregado),COUNTIFS(regAnalito,selAnalito,regNivel,2,regData,$C77,regRep1,"&lt;&gt;")&gt;0),SUMIFS(regRep1,regAnalito,selAnalito,regNivel,2,regData,$C77),NA())</f>
        <v>#N/A</v>
      </c>
      <c r="AU77" s="30" t="e">
        <f>IF(AND($D77=1,(""&amp;loteAnalise)=(""&amp;loteCarregado),COUNTIFS(regAnalito,selAnalito,regNivel,2,regData,$C77,regRep2,"&lt;&gt;")&gt;0),SUMIFS(regRep2,regAnalito,selAnalito,regNivel,2,regData,$C77),NA())</f>
        <v>#N/A</v>
      </c>
      <c r="AV77" s="30" t="e">
        <f>IF(AND($D77=1,(""&amp;loteAnalise)=(""&amp;loteCarregado),COUNTIFS(regAnalito,selAnalito,regNivel,2,regData,$C77,regRep3,"&lt;&gt;")&gt;0),SUMIFS(regRep3,regAnalito,selAnalito,regNivel,2,regData,$C77),NA())</f>
        <v>#N/A</v>
      </c>
      <c r="AW77" s="30" t="e">
        <f>IF(AND($D77=1,COUNTIFS(regAnalito,selAnalito,regData,$C77,regCalib,"Sim")&gt;0),$BV$1,NA())</f>
        <v>#N/A</v>
      </c>
      <c r="AX77" s="30" t="str">
        <f>IF($B77="","",IF(INDEX(engValN3,$A77)="","",INDEX(engValN3,$A77)))</f>
        <v/>
      </c>
      <c r="AY77" s="30" t="str">
        <f t="shared" si="91"/>
        <v/>
      </c>
      <c r="AZ77" s="30" t="e">
        <f t="shared" si="92"/>
        <v>#N/A</v>
      </c>
      <c r="BA77" s="30" t="e">
        <f t="shared" si="93"/>
        <v>#N/A</v>
      </c>
      <c r="BB77" s="30" t="e">
        <f t="shared" si="94"/>
        <v>#N/A</v>
      </c>
      <c r="BC77" s="30">
        <f>IF($AX77="",0,IFERROR(INDEX(engDados,MATCH(selAnalito&amp;"|"&amp;$B77,engChave,0),17),0))</f>
        <v>0</v>
      </c>
      <c r="BD77" s="30">
        <f>IF($AX77="",0,IFERROR(INDEX(engDados,MATCH(selAnalito&amp;"|"&amp;$B77,engChave,0),18),0))</f>
        <v>0</v>
      </c>
      <c r="BE77" s="30">
        <f>IF($AX77="",0,IFERROR(INDEX(engDados,MATCH(selAnalito&amp;"|"&amp;$B77,engChave,0),19),0))</f>
        <v>0</v>
      </c>
      <c r="BF77" s="30">
        <f>IF($AX77="",0,IFERROR(INDEX(engDados,MATCH(selAnalito&amp;"|"&amp;$B77,engChave,0),20),0))</f>
        <v>0</v>
      </c>
      <c r="BG77" s="30">
        <f>IF($AX77="",0,IFERROR(INDEX(engDados,MATCH(selAnalito&amp;"|"&amp;$B77,engChave,0),21),0))</f>
        <v>0</v>
      </c>
      <c r="BH77" s="30" t="str">
        <f>IF($AX77="","",IFERROR(INDEX(engDados,MATCH(selAnalito&amp;"|"&amp;$B77,engChave,0),23),""))</f>
        <v/>
      </c>
      <c r="BI77" s="30" t="e">
        <f t="shared" si="95"/>
        <v>#N/A</v>
      </c>
      <c r="BJ77" s="30" t="e">
        <f t="shared" si="96"/>
        <v>#N/A</v>
      </c>
      <c r="BK77" s="30" t="e">
        <f t="shared" si="97"/>
        <v>#N/A</v>
      </c>
      <c r="BL77" s="30" t="e">
        <f t="shared" si="98"/>
        <v>#N/A</v>
      </c>
      <c r="BM77" s="30" t="e">
        <f t="shared" si="99"/>
        <v>#N/A</v>
      </c>
      <c r="BN77" s="30" t="e">
        <f t="shared" si="100"/>
        <v>#N/A</v>
      </c>
      <c r="BO77" s="30" t="e">
        <f t="shared" si="101"/>
        <v>#N/A</v>
      </c>
      <c r="BP77" s="30" t="e">
        <f>IF(AND($D77=1,(""&amp;loteAnalise)=(""&amp;loteCarregado),COUNTIFS(regAnalito,selAnalito,regNivel,3,regData,$C77,regRep1,"&lt;&gt;")&gt;0),SUMIFS(regRep1,regAnalito,selAnalito,regNivel,3,regData,$C77),NA())</f>
        <v>#N/A</v>
      </c>
      <c r="BQ77" s="30" t="e">
        <f>IF(AND($D77=1,(""&amp;loteAnalise)=(""&amp;loteCarregado),COUNTIFS(regAnalito,selAnalito,regNivel,3,regData,$C77,regRep2,"&lt;&gt;")&gt;0),SUMIFS(regRep2,regAnalito,selAnalito,regNivel,3,regData,$C77),NA())</f>
        <v>#N/A</v>
      </c>
      <c r="BR77" s="30" t="e">
        <f>IF(AND($D77=1,(""&amp;loteAnalise)=(""&amp;loteCarregado),COUNTIFS(regAnalito,selAnalito,regNivel,3,regData,$C77,regRep3,"&lt;&gt;")&gt;0),SUMIFS(regRep3,regAnalito,selAnalito,regNivel,3,regData,$C77),NA())</f>
        <v>#N/A</v>
      </c>
      <c r="BS77" s="30" t="e">
        <f>IF(AND($D77=1,COUNTIFS(regAnalito,selAnalito,regData,$C77,regCalib,"Sim")&gt;0),$BX$1,NA())</f>
        <v>#N/A</v>
      </c>
    </row>
    <row r="78" spans="1:71" x14ac:dyDescent="0.3">
      <c r="A78" s="30">
        <v>76</v>
      </c>
      <c r="B78" s="30" t="str">
        <f>IF(OR(selAnalito="",(""&amp;engAnalito)&lt;&gt;(""&amp;selAnalito),(""&amp;engLote)&lt;&gt;(""&amp;loteAnalise),$A78&gt;N(engNRun)),"",INDEX(engRUN,$A78))</f>
        <v/>
      </c>
      <c r="C78" s="43" t="str">
        <f>IF($B78="","",IF(INDEX(engData,$A78)="","",INDEX(engData,$A78)))</f>
        <v/>
      </c>
      <c r="D78" s="30">
        <f>IF($C78="",0,IF(AND(OR(filtroDe="",INT($C78)&gt;=INT(filtroDe)),OR(filtroAte="",INT($C78)&lt;=INT(filtroAte))),1,0))</f>
        <v>0</v>
      </c>
      <c r="E78" s="30" t="e">
        <f t="shared" si="68"/>
        <v>#N/A</v>
      </c>
      <c r="F78" s="30" t="str">
        <f>IF($B78="","",IF(INDEX(engValN1,$A78)="","",INDEX(engValN1,$A78)))</f>
        <v/>
      </c>
      <c r="G78" s="30" t="str">
        <f t="shared" si="69"/>
        <v/>
      </c>
      <c r="H78" s="30" t="e">
        <f t="shared" si="70"/>
        <v>#N/A</v>
      </c>
      <c r="I78" s="30" t="e">
        <f t="shared" si="71"/>
        <v>#N/A</v>
      </c>
      <c r="J78" s="30" t="e">
        <f t="shared" si="72"/>
        <v>#N/A</v>
      </c>
      <c r="K78" s="30">
        <f>IF($F78="",0,IFERROR(INDEX(engDados,MATCH(selAnalito&amp;"|"&amp;$B78,engChave,0),3),0))</f>
        <v>0</v>
      </c>
      <c r="L78" s="30">
        <f>IF($F78="",0,IFERROR(INDEX(engDados,MATCH(selAnalito&amp;"|"&amp;$B78,engChave,0),4),0))</f>
        <v>0</v>
      </c>
      <c r="M78" s="30">
        <f>IF($F78="",0,IFERROR(INDEX(engDados,MATCH(selAnalito&amp;"|"&amp;$B78,engChave,0),5),0))</f>
        <v>0</v>
      </c>
      <c r="N78" s="30">
        <f>IF($F78="",0,IFERROR(INDEX(engDados,MATCH(selAnalito&amp;"|"&amp;$B78,engChave,0),6),0))</f>
        <v>0</v>
      </c>
      <c r="O78" s="30">
        <f>IF($F78="",0,IFERROR(INDEX(engDados,MATCH(selAnalito&amp;"|"&amp;$B78,engChave,0),7),0))</f>
        <v>0</v>
      </c>
      <c r="P78" s="30" t="str">
        <f>IF($F78="","",IFERROR(INDEX(engDados,MATCH(selAnalito&amp;"|"&amp;$B78,engChave,0),9),""))</f>
        <v/>
      </c>
      <c r="Q78" s="30" t="e">
        <f t="shared" si="73"/>
        <v>#N/A</v>
      </c>
      <c r="R78" s="30" t="e">
        <f t="shared" si="74"/>
        <v>#N/A</v>
      </c>
      <c r="S78" s="30" t="e">
        <f t="shared" si="75"/>
        <v>#N/A</v>
      </c>
      <c r="T78" s="30" t="e">
        <f t="shared" si="76"/>
        <v>#N/A</v>
      </c>
      <c r="U78" s="30" t="e">
        <f t="shared" si="77"/>
        <v>#N/A</v>
      </c>
      <c r="V78" s="30" t="e">
        <f t="shared" si="78"/>
        <v>#N/A</v>
      </c>
      <c r="W78" s="30" t="e">
        <f t="shared" si="79"/>
        <v>#N/A</v>
      </c>
      <c r="X78" s="30" t="e">
        <f>IF(AND($D78=1,(""&amp;loteAnalise)=(""&amp;loteCarregado),COUNTIFS(regAnalito,selAnalito,regNivel,1,regData,$C78,regRep1,"&lt;&gt;")&gt;0),SUMIFS(regRep1,regAnalito,selAnalito,regNivel,1,regData,$C78),NA())</f>
        <v>#N/A</v>
      </c>
      <c r="Y78" s="30" t="e">
        <f>IF(AND($D78=1,(""&amp;loteAnalise)=(""&amp;loteCarregado),COUNTIFS(regAnalito,selAnalito,regNivel,1,regData,$C78,regRep2,"&lt;&gt;")&gt;0),SUMIFS(regRep2,regAnalito,selAnalito,regNivel,1,regData,$C78),NA())</f>
        <v>#N/A</v>
      </c>
      <c r="Z78" s="30" t="e">
        <f>IF(AND($D78=1,(""&amp;loteAnalise)=(""&amp;loteCarregado),COUNTIFS(regAnalito,selAnalito,regNivel,1,regData,$C78,regRep3,"&lt;&gt;")&gt;0),SUMIFS(regRep3,regAnalito,selAnalito,regNivel,1,regData,$C78),NA())</f>
        <v>#N/A</v>
      </c>
      <c r="AA78" s="30" t="e">
        <f>IF(AND($D78=1,COUNTIFS(regAnalito,selAnalito,regData,$C78,regCalib,"Sim")&gt;0),$BT$1,NA())</f>
        <v>#N/A</v>
      </c>
      <c r="AB78" s="30" t="str">
        <f>IF($B78="","",IF(INDEX(engValN2,$A78)="","",INDEX(engValN2,$A78)))</f>
        <v/>
      </c>
      <c r="AC78" s="30" t="str">
        <f t="shared" si="80"/>
        <v/>
      </c>
      <c r="AD78" s="30" t="e">
        <f t="shared" si="81"/>
        <v>#N/A</v>
      </c>
      <c r="AE78" s="30" t="e">
        <f t="shared" si="82"/>
        <v>#N/A</v>
      </c>
      <c r="AF78" s="30" t="e">
        <f t="shared" si="83"/>
        <v>#N/A</v>
      </c>
      <c r="AG78" s="30">
        <f>IF($AB78="",0,IFERROR(INDEX(engDados,MATCH(selAnalito&amp;"|"&amp;$B78,engChave,0),10),0))</f>
        <v>0</v>
      </c>
      <c r="AH78" s="30">
        <f>IF($AB78="",0,IFERROR(INDEX(engDados,MATCH(selAnalito&amp;"|"&amp;$B78,engChave,0),11),0))</f>
        <v>0</v>
      </c>
      <c r="AI78" s="30">
        <f>IF($AB78="",0,IFERROR(INDEX(engDados,MATCH(selAnalito&amp;"|"&amp;$B78,engChave,0),12),0))</f>
        <v>0</v>
      </c>
      <c r="AJ78" s="30">
        <f>IF($AB78="",0,IFERROR(INDEX(engDados,MATCH(selAnalito&amp;"|"&amp;$B78,engChave,0),13),0))</f>
        <v>0</v>
      </c>
      <c r="AK78" s="30">
        <f>IF($AB78="",0,IFERROR(INDEX(engDados,MATCH(selAnalito&amp;"|"&amp;$B78,engChave,0),14),0))</f>
        <v>0</v>
      </c>
      <c r="AL78" s="30" t="str">
        <f>IF($AB78="","",IFERROR(INDEX(engDados,MATCH(selAnalito&amp;"|"&amp;$B78,engChave,0),16),""))</f>
        <v/>
      </c>
      <c r="AM78" s="30" t="e">
        <f t="shared" si="84"/>
        <v>#N/A</v>
      </c>
      <c r="AN78" s="30" t="e">
        <f t="shared" si="85"/>
        <v>#N/A</v>
      </c>
      <c r="AO78" s="30" t="e">
        <f t="shared" si="86"/>
        <v>#N/A</v>
      </c>
      <c r="AP78" s="30" t="e">
        <f t="shared" si="87"/>
        <v>#N/A</v>
      </c>
      <c r="AQ78" s="30" t="e">
        <f t="shared" si="88"/>
        <v>#N/A</v>
      </c>
      <c r="AR78" s="30" t="e">
        <f t="shared" si="89"/>
        <v>#N/A</v>
      </c>
      <c r="AS78" s="30" t="e">
        <f t="shared" si="90"/>
        <v>#N/A</v>
      </c>
      <c r="AT78" s="30" t="e">
        <f>IF(AND($D78=1,(""&amp;loteAnalise)=(""&amp;loteCarregado),COUNTIFS(regAnalito,selAnalito,regNivel,2,regData,$C78,regRep1,"&lt;&gt;")&gt;0),SUMIFS(regRep1,regAnalito,selAnalito,regNivel,2,regData,$C78),NA())</f>
        <v>#N/A</v>
      </c>
      <c r="AU78" s="30" t="e">
        <f>IF(AND($D78=1,(""&amp;loteAnalise)=(""&amp;loteCarregado),COUNTIFS(regAnalito,selAnalito,regNivel,2,regData,$C78,regRep2,"&lt;&gt;")&gt;0),SUMIFS(regRep2,regAnalito,selAnalito,regNivel,2,regData,$C78),NA())</f>
        <v>#N/A</v>
      </c>
      <c r="AV78" s="30" t="e">
        <f>IF(AND($D78=1,(""&amp;loteAnalise)=(""&amp;loteCarregado),COUNTIFS(regAnalito,selAnalito,regNivel,2,regData,$C78,regRep3,"&lt;&gt;")&gt;0),SUMIFS(regRep3,regAnalito,selAnalito,regNivel,2,regData,$C78),NA())</f>
        <v>#N/A</v>
      </c>
      <c r="AW78" s="30" t="e">
        <f>IF(AND($D78=1,COUNTIFS(regAnalito,selAnalito,regData,$C78,regCalib,"Sim")&gt;0),$BV$1,NA())</f>
        <v>#N/A</v>
      </c>
      <c r="AX78" s="30" t="str">
        <f>IF($B78="","",IF(INDEX(engValN3,$A78)="","",INDEX(engValN3,$A78)))</f>
        <v/>
      </c>
      <c r="AY78" s="30" t="str">
        <f t="shared" si="91"/>
        <v/>
      </c>
      <c r="AZ78" s="30" t="e">
        <f t="shared" si="92"/>
        <v>#N/A</v>
      </c>
      <c r="BA78" s="30" t="e">
        <f t="shared" si="93"/>
        <v>#N/A</v>
      </c>
      <c r="BB78" s="30" t="e">
        <f t="shared" si="94"/>
        <v>#N/A</v>
      </c>
      <c r="BC78" s="30">
        <f>IF($AX78="",0,IFERROR(INDEX(engDados,MATCH(selAnalito&amp;"|"&amp;$B78,engChave,0),17),0))</f>
        <v>0</v>
      </c>
      <c r="BD78" s="30">
        <f>IF($AX78="",0,IFERROR(INDEX(engDados,MATCH(selAnalito&amp;"|"&amp;$B78,engChave,0),18),0))</f>
        <v>0</v>
      </c>
      <c r="BE78" s="30">
        <f>IF($AX78="",0,IFERROR(INDEX(engDados,MATCH(selAnalito&amp;"|"&amp;$B78,engChave,0),19),0))</f>
        <v>0</v>
      </c>
      <c r="BF78" s="30">
        <f>IF($AX78="",0,IFERROR(INDEX(engDados,MATCH(selAnalito&amp;"|"&amp;$B78,engChave,0),20),0))</f>
        <v>0</v>
      </c>
      <c r="BG78" s="30">
        <f>IF($AX78="",0,IFERROR(INDEX(engDados,MATCH(selAnalito&amp;"|"&amp;$B78,engChave,0),21),0))</f>
        <v>0</v>
      </c>
      <c r="BH78" s="30" t="str">
        <f>IF($AX78="","",IFERROR(INDEX(engDados,MATCH(selAnalito&amp;"|"&amp;$B78,engChave,0),23),""))</f>
        <v/>
      </c>
      <c r="BI78" s="30" t="e">
        <f t="shared" si="95"/>
        <v>#N/A</v>
      </c>
      <c r="BJ78" s="30" t="e">
        <f t="shared" si="96"/>
        <v>#N/A</v>
      </c>
      <c r="BK78" s="30" t="e">
        <f t="shared" si="97"/>
        <v>#N/A</v>
      </c>
      <c r="BL78" s="30" t="e">
        <f t="shared" si="98"/>
        <v>#N/A</v>
      </c>
      <c r="BM78" s="30" t="e">
        <f t="shared" si="99"/>
        <v>#N/A</v>
      </c>
      <c r="BN78" s="30" t="e">
        <f t="shared" si="100"/>
        <v>#N/A</v>
      </c>
      <c r="BO78" s="30" t="e">
        <f t="shared" si="101"/>
        <v>#N/A</v>
      </c>
      <c r="BP78" s="30" t="e">
        <f>IF(AND($D78=1,(""&amp;loteAnalise)=(""&amp;loteCarregado),COUNTIFS(regAnalito,selAnalito,regNivel,3,regData,$C78,regRep1,"&lt;&gt;")&gt;0),SUMIFS(regRep1,regAnalito,selAnalito,regNivel,3,regData,$C78),NA())</f>
        <v>#N/A</v>
      </c>
      <c r="BQ78" s="30" t="e">
        <f>IF(AND($D78=1,(""&amp;loteAnalise)=(""&amp;loteCarregado),COUNTIFS(regAnalito,selAnalito,regNivel,3,regData,$C78,regRep2,"&lt;&gt;")&gt;0),SUMIFS(regRep2,regAnalito,selAnalito,regNivel,3,regData,$C78),NA())</f>
        <v>#N/A</v>
      </c>
      <c r="BR78" s="30" t="e">
        <f>IF(AND($D78=1,(""&amp;loteAnalise)=(""&amp;loteCarregado),COUNTIFS(regAnalito,selAnalito,regNivel,3,regData,$C78,regRep3,"&lt;&gt;")&gt;0),SUMIFS(regRep3,regAnalito,selAnalito,regNivel,3,regData,$C78),NA())</f>
        <v>#N/A</v>
      </c>
      <c r="BS78" s="30" t="e">
        <f>IF(AND($D78=1,COUNTIFS(regAnalito,selAnalito,regData,$C78,regCalib,"Sim")&gt;0),$BX$1,NA())</f>
        <v>#N/A</v>
      </c>
    </row>
    <row r="79" spans="1:71" x14ac:dyDescent="0.3">
      <c r="A79" s="30">
        <v>77</v>
      </c>
      <c r="B79" s="30" t="str">
        <f>IF(OR(selAnalito="",(""&amp;engAnalito)&lt;&gt;(""&amp;selAnalito),(""&amp;engLote)&lt;&gt;(""&amp;loteAnalise),$A79&gt;N(engNRun)),"",INDEX(engRUN,$A79))</f>
        <v/>
      </c>
      <c r="C79" s="43" t="str">
        <f>IF($B79="","",IF(INDEX(engData,$A79)="","",INDEX(engData,$A79)))</f>
        <v/>
      </c>
      <c r="D79" s="30">
        <f>IF($C79="",0,IF(AND(OR(filtroDe="",INT($C79)&gt;=INT(filtroDe)),OR(filtroAte="",INT($C79)&lt;=INT(filtroAte))),1,0))</f>
        <v>0</v>
      </c>
      <c r="E79" s="30" t="e">
        <f t="shared" si="68"/>
        <v>#N/A</v>
      </c>
      <c r="F79" s="30" t="str">
        <f>IF($B79="","",IF(INDEX(engValN1,$A79)="","",INDEX(engValN1,$A79)))</f>
        <v/>
      </c>
      <c r="G79" s="30" t="str">
        <f t="shared" si="69"/>
        <v/>
      </c>
      <c r="H79" s="30" t="e">
        <f t="shared" si="70"/>
        <v>#N/A</v>
      </c>
      <c r="I79" s="30" t="e">
        <f t="shared" si="71"/>
        <v>#N/A</v>
      </c>
      <c r="J79" s="30" t="e">
        <f t="shared" si="72"/>
        <v>#N/A</v>
      </c>
      <c r="K79" s="30">
        <f>IF($F79="",0,IFERROR(INDEX(engDados,MATCH(selAnalito&amp;"|"&amp;$B79,engChave,0),3),0))</f>
        <v>0</v>
      </c>
      <c r="L79" s="30">
        <f>IF($F79="",0,IFERROR(INDEX(engDados,MATCH(selAnalito&amp;"|"&amp;$B79,engChave,0),4),0))</f>
        <v>0</v>
      </c>
      <c r="M79" s="30">
        <f>IF($F79="",0,IFERROR(INDEX(engDados,MATCH(selAnalito&amp;"|"&amp;$B79,engChave,0),5),0))</f>
        <v>0</v>
      </c>
      <c r="N79" s="30">
        <f>IF($F79="",0,IFERROR(INDEX(engDados,MATCH(selAnalito&amp;"|"&amp;$B79,engChave,0),6),0))</f>
        <v>0</v>
      </c>
      <c r="O79" s="30">
        <f>IF($F79="",0,IFERROR(INDEX(engDados,MATCH(selAnalito&amp;"|"&amp;$B79,engChave,0),7),0))</f>
        <v>0</v>
      </c>
      <c r="P79" s="30" t="str">
        <f>IF($F79="","",IFERROR(INDEX(engDados,MATCH(selAnalito&amp;"|"&amp;$B79,engChave,0),9),""))</f>
        <v/>
      </c>
      <c r="Q79" s="30" t="e">
        <f t="shared" si="73"/>
        <v>#N/A</v>
      </c>
      <c r="R79" s="30" t="e">
        <f t="shared" si="74"/>
        <v>#N/A</v>
      </c>
      <c r="S79" s="30" t="e">
        <f t="shared" si="75"/>
        <v>#N/A</v>
      </c>
      <c r="T79" s="30" t="e">
        <f t="shared" si="76"/>
        <v>#N/A</v>
      </c>
      <c r="U79" s="30" t="e">
        <f t="shared" si="77"/>
        <v>#N/A</v>
      </c>
      <c r="V79" s="30" t="e">
        <f t="shared" si="78"/>
        <v>#N/A</v>
      </c>
      <c r="W79" s="30" t="e">
        <f t="shared" si="79"/>
        <v>#N/A</v>
      </c>
      <c r="X79" s="30" t="e">
        <f>IF(AND($D79=1,(""&amp;loteAnalise)=(""&amp;loteCarregado),COUNTIFS(regAnalito,selAnalito,regNivel,1,regData,$C79,regRep1,"&lt;&gt;")&gt;0),SUMIFS(regRep1,regAnalito,selAnalito,regNivel,1,regData,$C79),NA())</f>
        <v>#N/A</v>
      </c>
      <c r="Y79" s="30" t="e">
        <f>IF(AND($D79=1,(""&amp;loteAnalise)=(""&amp;loteCarregado),COUNTIFS(regAnalito,selAnalito,regNivel,1,regData,$C79,regRep2,"&lt;&gt;")&gt;0),SUMIFS(regRep2,regAnalito,selAnalito,regNivel,1,regData,$C79),NA())</f>
        <v>#N/A</v>
      </c>
      <c r="Z79" s="30" t="e">
        <f>IF(AND($D79=1,(""&amp;loteAnalise)=(""&amp;loteCarregado),COUNTIFS(regAnalito,selAnalito,regNivel,1,regData,$C79,regRep3,"&lt;&gt;")&gt;0),SUMIFS(regRep3,regAnalito,selAnalito,regNivel,1,regData,$C79),NA())</f>
        <v>#N/A</v>
      </c>
      <c r="AA79" s="30" t="e">
        <f>IF(AND($D79=1,COUNTIFS(regAnalito,selAnalito,regData,$C79,regCalib,"Sim")&gt;0),$BT$1,NA())</f>
        <v>#N/A</v>
      </c>
      <c r="AB79" s="30" t="str">
        <f>IF($B79="","",IF(INDEX(engValN2,$A79)="","",INDEX(engValN2,$A79)))</f>
        <v/>
      </c>
      <c r="AC79" s="30" t="str">
        <f t="shared" si="80"/>
        <v/>
      </c>
      <c r="AD79" s="30" t="e">
        <f t="shared" si="81"/>
        <v>#N/A</v>
      </c>
      <c r="AE79" s="30" t="e">
        <f t="shared" si="82"/>
        <v>#N/A</v>
      </c>
      <c r="AF79" s="30" t="e">
        <f t="shared" si="83"/>
        <v>#N/A</v>
      </c>
      <c r="AG79" s="30">
        <f>IF($AB79="",0,IFERROR(INDEX(engDados,MATCH(selAnalito&amp;"|"&amp;$B79,engChave,0),10),0))</f>
        <v>0</v>
      </c>
      <c r="AH79" s="30">
        <f>IF($AB79="",0,IFERROR(INDEX(engDados,MATCH(selAnalito&amp;"|"&amp;$B79,engChave,0),11),0))</f>
        <v>0</v>
      </c>
      <c r="AI79" s="30">
        <f>IF($AB79="",0,IFERROR(INDEX(engDados,MATCH(selAnalito&amp;"|"&amp;$B79,engChave,0),12),0))</f>
        <v>0</v>
      </c>
      <c r="AJ79" s="30">
        <f>IF($AB79="",0,IFERROR(INDEX(engDados,MATCH(selAnalito&amp;"|"&amp;$B79,engChave,0),13),0))</f>
        <v>0</v>
      </c>
      <c r="AK79" s="30">
        <f>IF($AB79="",0,IFERROR(INDEX(engDados,MATCH(selAnalito&amp;"|"&amp;$B79,engChave,0),14),0))</f>
        <v>0</v>
      </c>
      <c r="AL79" s="30" t="str">
        <f>IF($AB79="","",IFERROR(INDEX(engDados,MATCH(selAnalito&amp;"|"&amp;$B79,engChave,0),16),""))</f>
        <v/>
      </c>
      <c r="AM79" s="30" t="e">
        <f t="shared" si="84"/>
        <v>#N/A</v>
      </c>
      <c r="AN79" s="30" t="e">
        <f t="shared" si="85"/>
        <v>#N/A</v>
      </c>
      <c r="AO79" s="30" t="e">
        <f t="shared" si="86"/>
        <v>#N/A</v>
      </c>
      <c r="AP79" s="30" t="e">
        <f t="shared" si="87"/>
        <v>#N/A</v>
      </c>
      <c r="AQ79" s="30" t="e">
        <f t="shared" si="88"/>
        <v>#N/A</v>
      </c>
      <c r="AR79" s="30" t="e">
        <f t="shared" si="89"/>
        <v>#N/A</v>
      </c>
      <c r="AS79" s="30" t="e">
        <f t="shared" si="90"/>
        <v>#N/A</v>
      </c>
      <c r="AT79" s="30" t="e">
        <f>IF(AND($D79=1,(""&amp;loteAnalise)=(""&amp;loteCarregado),COUNTIFS(regAnalito,selAnalito,regNivel,2,regData,$C79,regRep1,"&lt;&gt;")&gt;0),SUMIFS(regRep1,regAnalito,selAnalito,regNivel,2,regData,$C79),NA())</f>
        <v>#N/A</v>
      </c>
      <c r="AU79" s="30" t="e">
        <f>IF(AND($D79=1,(""&amp;loteAnalise)=(""&amp;loteCarregado),COUNTIFS(regAnalito,selAnalito,regNivel,2,regData,$C79,regRep2,"&lt;&gt;")&gt;0),SUMIFS(regRep2,regAnalito,selAnalito,regNivel,2,regData,$C79),NA())</f>
        <v>#N/A</v>
      </c>
      <c r="AV79" s="30" t="e">
        <f>IF(AND($D79=1,(""&amp;loteAnalise)=(""&amp;loteCarregado),COUNTIFS(regAnalito,selAnalito,regNivel,2,regData,$C79,regRep3,"&lt;&gt;")&gt;0),SUMIFS(regRep3,regAnalito,selAnalito,regNivel,2,regData,$C79),NA())</f>
        <v>#N/A</v>
      </c>
      <c r="AW79" s="30" t="e">
        <f>IF(AND($D79=1,COUNTIFS(regAnalito,selAnalito,regData,$C79,regCalib,"Sim")&gt;0),$BV$1,NA())</f>
        <v>#N/A</v>
      </c>
      <c r="AX79" s="30" t="str">
        <f>IF($B79="","",IF(INDEX(engValN3,$A79)="","",INDEX(engValN3,$A79)))</f>
        <v/>
      </c>
      <c r="AY79" s="30" t="str">
        <f t="shared" si="91"/>
        <v/>
      </c>
      <c r="AZ79" s="30" t="e">
        <f t="shared" si="92"/>
        <v>#N/A</v>
      </c>
      <c r="BA79" s="30" t="e">
        <f t="shared" si="93"/>
        <v>#N/A</v>
      </c>
      <c r="BB79" s="30" t="e">
        <f t="shared" si="94"/>
        <v>#N/A</v>
      </c>
      <c r="BC79" s="30">
        <f>IF($AX79="",0,IFERROR(INDEX(engDados,MATCH(selAnalito&amp;"|"&amp;$B79,engChave,0),17),0))</f>
        <v>0</v>
      </c>
      <c r="BD79" s="30">
        <f>IF($AX79="",0,IFERROR(INDEX(engDados,MATCH(selAnalito&amp;"|"&amp;$B79,engChave,0),18),0))</f>
        <v>0</v>
      </c>
      <c r="BE79" s="30">
        <f>IF($AX79="",0,IFERROR(INDEX(engDados,MATCH(selAnalito&amp;"|"&amp;$B79,engChave,0),19),0))</f>
        <v>0</v>
      </c>
      <c r="BF79" s="30">
        <f>IF($AX79="",0,IFERROR(INDEX(engDados,MATCH(selAnalito&amp;"|"&amp;$B79,engChave,0),20),0))</f>
        <v>0</v>
      </c>
      <c r="BG79" s="30">
        <f>IF($AX79="",0,IFERROR(INDEX(engDados,MATCH(selAnalito&amp;"|"&amp;$B79,engChave,0),21),0))</f>
        <v>0</v>
      </c>
      <c r="BH79" s="30" t="str">
        <f>IF($AX79="","",IFERROR(INDEX(engDados,MATCH(selAnalito&amp;"|"&amp;$B79,engChave,0),23),""))</f>
        <v/>
      </c>
      <c r="BI79" s="30" t="e">
        <f t="shared" si="95"/>
        <v>#N/A</v>
      </c>
      <c r="BJ79" s="30" t="e">
        <f t="shared" si="96"/>
        <v>#N/A</v>
      </c>
      <c r="BK79" s="30" t="e">
        <f t="shared" si="97"/>
        <v>#N/A</v>
      </c>
      <c r="BL79" s="30" t="e">
        <f t="shared" si="98"/>
        <v>#N/A</v>
      </c>
      <c r="BM79" s="30" t="e">
        <f t="shared" si="99"/>
        <v>#N/A</v>
      </c>
      <c r="BN79" s="30" t="e">
        <f t="shared" si="100"/>
        <v>#N/A</v>
      </c>
      <c r="BO79" s="30" t="e">
        <f t="shared" si="101"/>
        <v>#N/A</v>
      </c>
      <c r="BP79" s="30" t="e">
        <f>IF(AND($D79=1,(""&amp;loteAnalise)=(""&amp;loteCarregado),COUNTIFS(regAnalito,selAnalito,regNivel,3,regData,$C79,regRep1,"&lt;&gt;")&gt;0),SUMIFS(regRep1,regAnalito,selAnalito,regNivel,3,regData,$C79),NA())</f>
        <v>#N/A</v>
      </c>
      <c r="BQ79" s="30" t="e">
        <f>IF(AND($D79=1,(""&amp;loteAnalise)=(""&amp;loteCarregado),COUNTIFS(regAnalito,selAnalito,regNivel,3,regData,$C79,regRep2,"&lt;&gt;")&gt;0),SUMIFS(regRep2,regAnalito,selAnalito,regNivel,3,regData,$C79),NA())</f>
        <v>#N/A</v>
      </c>
      <c r="BR79" s="30" t="e">
        <f>IF(AND($D79=1,(""&amp;loteAnalise)=(""&amp;loteCarregado),COUNTIFS(regAnalito,selAnalito,regNivel,3,regData,$C79,regRep3,"&lt;&gt;")&gt;0),SUMIFS(regRep3,regAnalito,selAnalito,regNivel,3,regData,$C79),NA())</f>
        <v>#N/A</v>
      </c>
      <c r="BS79" s="30" t="e">
        <f>IF(AND($D79=1,COUNTIFS(regAnalito,selAnalito,regData,$C79,regCalib,"Sim")&gt;0),$BX$1,NA())</f>
        <v>#N/A</v>
      </c>
    </row>
    <row r="80" spans="1:71" x14ac:dyDescent="0.3">
      <c r="A80" s="30">
        <v>78</v>
      </c>
      <c r="B80" s="30" t="str">
        <f>IF(OR(selAnalito="",(""&amp;engAnalito)&lt;&gt;(""&amp;selAnalito),(""&amp;engLote)&lt;&gt;(""&amp;loteAnalise),$A80&gt;N(engNRun)),"",INDEX(engRUN,$A80))</f>
        <v/>
      </c>
      <c r="C80" s="43" t="str">
        <f>IF($B80="","",IF(INDEX(engData,$A80)="","",INDEX(engData,$A80)))</f>
        <v/>
      </c>
      <c r="D80" s="30">
        <f>IF($C80="",0,IF(AND(OR(filtroDe="",INT($C80)&gt;=INT(filtroDe)),OR(filtroAte="",INT($C80)&lt;=INT(filtroAte))),1,0))</f>
        <v>0</v>
      </c>
      <c r="E80" s="30" t="e">
        <f t="shared" si="68"/>
        <v>#N/A</v>
      </c>
      <c r="F80" s="30" t="str">
        <f>IF($B80="","",IF(INDEX(engValN1,$A80)="","",INDEX(engValN1,$A80)))</f>
        <v/>
      </c>
      <c r="G80" s="30" t="str">
        <f t="shared" si="69"/>
        <v/>
      </c>
      <c r="H80" s="30" t="e">
        <f t="shared" si="70"/>
        <v>#N/A</v>
      </c>
      <c r="I80" s="30" t="e">
        <f t="shared" si="71"/>
        <v>#N/A</v>
      </c>
      <c r="J80" s="30" t="e">
        <f t="shared" si="72"/>
        <v>#N/A</v>
      </c>
      <c r="K80" s="30">
        <f>IF($F80="",0,IFERROR(INDEX(engDados,MATCH(selAnalito&amp;"|"&amp;$B80,engChave,0),3),0))</f>
        <v>0</v>
      </c>
      <c r="L80" s="30">
        <f>IF($F80="",0,IFERROR(INDEX(engDados,MATCH(selAnalito&amp;"|"&amp;$B80,engChave,0),4),0))</f>
        <v>0</v>
      </c>
      <c r="M80" s="30">
        <f>IF($F80="",0,IFERROR(INDEX(engDados,MATCH(selAnalito&amp;"|"&amp;$B80,engChave,0),5),0))</f>
        <v>0</v>
      </c>
      <c r="N80" s="30">
        <f>IF($F80="",0,IFERROR(INDEX(engDados,MATCH(selAnalito&amp;"|"&amp;$B80,engChave,0),6),0))</f>
        <v>0</v>
      </c>
      <c r="O80" s="30">
        <f>IF($F80="",0,IFERROR(INDEX(engDados,MATCH(selAnalito&amp;"|"&amp;$B80,engChave,0),7),0))</f>
        <v>0</v>
      </c>
      <c r="P80" s="30" t="str">
        <f>IF($F80="","",IFERROR(INDEX(engDados,MATCH(selAnalito&amp;"|"&amp;$B80,engChave,0),9),""))</f>
        <v/>
      </c>
      <c r="Q80" s="30" t="e">
        <f t="shared" si="73"/>
        <v>#N/A</v>
      </c>
      <c r="R80" s="30" t="e">
        <f t="shared" si="74"/>
        <v>#N/A</v>
      </c>
      <c r="S80" s="30" t="e">
        <f t="shared" si="75"/>
        <v>#N/A</v>
      </c>
      <c r="T80" s="30" t="e">
        <f t="shared" si="76"/>
        <v>#N/A</v>
      </c>
      <c r="U80" s="30" t="e">
        <f t="shared" si="77"/>
        <v>#N/A</v>
      </c>
      <c r="V80" s="30" t="e">
        <f t="shared" si="78"/>
        <v>#N/A</v>
      </c>
      <c r="W80" s="30" t="e">
        <f t="shared" si="79"/>
        <v>#N/A</v>
      </c>
      <c r="X80" s="30" t="e">
        <f>IF(AND($D80=1,(""&amp;loteAnalise)=(""&amp;loteCarregado),COUNTIFS(regAnalito,selAnalito,regNivel,1,regData,$C80,regRep1,"&lt;&gt;")&gt;0),SUMIFS(regRep1,regAnalito,selAnalito,regNivel,1,regData,$C80),NA())</f>
        <v>#N/A</v>
      </c>
      <c r="Y80" s="30" t="e">
        <f>IF(AND($D80=1,(""&amp;loteAnalise)=(""&amp;loteCarregado),COUNTIFS(regAnalito,selAnalito,regNivel,1,regData,$C80,regRep2,"&lt;&gt;")&gt;0),SUMIFS(regRep2,regAnalito,selAnalito,regNivel,1,regData,$C80),NA())</f>
        <v>#N/A</v>
      </c>
      <c r="Z80" s="30" t="e">
        <f>IF(AND($D80=1,(""&amp;loteAnalise)=(""&amp;loteCarregado),COUNTIFS(regAnalito,selAnalito,regNivel,1,regData,$C80,regRep3,"&lt;&gt;")&gt;0),SUMIFS(regRep3,regAnalito,selAnalito,regNivel,1,regData,$C80),NA())</f>
        <v>#N/A</v>
      </c>
      <c r="AA80" s="30" t="e">
        <f>IF(AND($D80=1,COUNTIFS(regAnalito,selAnalito,regData,$C80,regCalib,"Sim")&gt;0),$BT$1,NA())</f>
        <v>#N/A</v>
      </c>
      <c r="AB80" s="30" t="str">
        <f>IF($B80="","",IF(INDEX(engValN2,$A80)="","",INDEX(engValN2,$A80)))</f>
        <v/>
      </c>
      <c r="AC80" s="30" t="str">
        <f t="shared" si="80"/>
        <v/>
      </c>
      <c r="AD80" s="30" t="e">
        <f t="shared" si="81"/>
        <v>#N/A</v>
      </c>
      <c r="AE80" s="30" t="e">
        <f t="shared" si="82"/>
        <v>#N/A</v>
      </c>
      <c r="AF80" s="30" t="e">
        <f t="shared" si="83"/>
        <v>#N/A</v>
      </c>
      <c r="AG80" s="30">
        <f>IF($AB80="",0,IFERROR(INDEX(engDados,MATCH(selAnalito&amp;"|"&amp;$B80,engChave,0),10),0))</f>
        <v>0</v>
      </c>
      <c r="AH80" s="30">
        <f>IF($AB80="",0,IFERROR(INDEX(engDados,MATCH(selAnalito&amp;"|"&amp;$B80,engChave,0),11),0))</f>
        <v>0</v>
      </c>
      <c r="AI80" s="30">
        <f>IF($AB80="",0,IFERROR(INDEX(engDados,MATCH(selAnalito&amp;"|"&amp;$B80,engChave,0),12),0))</f>
        <v>0</v>
      </c>
      <c r="AJ80" s="30">
        <f>IF($AB80="",0,IFERROR(INDEX(engDados,MATCH(selAnalito&amp;"|"&amp;$B80,engChave,0),13),0))</f>
        <v>0</v>
      </c>
      <c r="AK80" s="30">
        <f>IF($AB80="",0,IFERROR(INDEX(engDados,MATCH(selAnalito&amp;"|"&amp;$B80,engChave,0),14),0))</f>
        <v>0</v>
      </c>
      <c r="AL80" s="30" t="str">
        <f>IF($AB80="","",IFERROR(INDEX(engDados,MATCH(selAnalito&amp;"|"&amp;$B80,engChave,0),16),""))</f>
        <v/>
      </c>
      <c r="AM80" s="30" t="e">
        <f t="shared" si="84"/>
        <v>#N/A</v>
      </c>
      <c r="AN80" s="30" t="e">
        <f t="shared" si="85"/>
        <v>#N/A</v>
      </c>
      <c r="AO80" s="30" t="e">
        <f t="shared" si="86"/>
        <v>#N/A</v>
      </c>
      <c r="AP80" s="30" t="e">
        <f t="shared" si="87"/>
        <v>#N/A</v>
      </c>
      <c r="AQ80" s="30" t="e">
        <f t="shared" si="88"/>
        <v>#N/A</v>
      </c>
      <c r="AR80" s="30" t="e">
        <f t="shared" si="89"/>
        <v>#N/A</v>
      </c>
      <c r="AS80" s="30" t="e">
        <f t="shared" si="90"/>
        <v>#N/A</v>
      </c>
      <c r="AT80" s="30" t="e">
        <f>IF(AND($D80=1,(""&amp;loteAnalise)=(""&amp;loteCarregado),COUNTIFS(regAnalito,selAnalito,regNivel,2,regData,$C80,regRep1,"&lt;&gt;")&gt;0),SUMIFS(regRep1,regAnalito,selAnalito,regNivel,2,regData,$C80),NA())</f>
        <v>#N/A</v>
      </c>
      <c r="AU80" s="30" t="e">
        <f>IF(AND($D80=1,(""&amp;loteAnalise)=(""&amp;loteCarregado),COUNTIFS(regAnalito,selAnalito,regNivel,2,regData,$C80,regRep2,"&lt;&gt;")&gt;0),SUMIFS(regRep2,regAnalito,selAnalito,regNivel,2,regData,$C80),NA())</f>
        <v>#N/A</v>
      </c>
      <c r="AV80" s="30" t="e">
        <f>IF(AND($D80=1,(""&amp;loteAnalise)=(""&amp;loteCarregado),COUNTIFS(regAnalito,selAnalito,regNivel,2,regData,$C80,regRep3,"&lt;&gt;")&gt;0),SUMIFS(regRep3,regAnalito,selAnalito,regNivel,2,regData,$C80),NA())</f>
        <v>#N/A</v>
      </c>
      <c r="AW80" s="30" t="e">
        <f>IF(AND($D80=1,COUNTIFS(regAnalito,selAnalito,regData,$C80,regCalib,"Sim")&gt;0),$BV$1,NA())</f>
        <v>#N/A</v>
      </c>
      <c r="AX80" s="30" t="str">
        <f>IF($B80="","",IF(INDEX(engValN3,$A80)="","",INDEX(engValN3,$A80)))</f>
        <v/>
      </c>
      <c r="AY80" s="30" t="str">
        <f t="shared" si="91"/>
        <v/>
      </c>
      <c r="AZ80" s="30" t="e">
        <f t="shared" si="92"/>
        <v>#N/A</v>
      </c>
      <c r="BA80" s="30" t="e">
        <f t="shared" si="93"/>
        <v>#N/A</v>
      </c>
      <c r="BB80" s="30" t="e">
        <f t="shared" si="94"/>
        <v>#N/A</v>
      </c>
      <c r="BC80" s="30">
        <f>IF($AX80="",0,IFERROR(INDEX(engDados,MATCH(selAnalito&amp;"|"&amp;$B80,engChave,0),17),0))</f>
        <v>0</v>
      </c>
      <c r="BD80" s="30">
        <f>IF($AX80="",0,IFERROR(INDEX(engDados,MATCH(selAnalito&amp;"|"&amp;$B80,engChave,0),18),0))</f>
        <v>0</v>
      </c>
      <c r="BE80" s="30">
        <f>IF($AX80="",0,IFERROR(INDEX(engDados,MATCH(selAnalito&amp;"|"&amp;$B80,engChave,0),19),0))</f>
        <v>0</v>
      </c>
      <c r="BF80" s="30">
        <f>IF($AX80="",0,IFERROR(INDEX(engDados,MATCH(selAnalito&amp;"|"&amp;$B80,engChave,0),20),0))</f>
        <v>0</v>
      </c>
      <c r="BG80" s="30">
        <f>IF($AX80="",0,IFERROR(INDEX(engDados,MATCH(selAnalito&amp;"|"&amp;$B80,engChave,0),21),0))</f>
        <v>0</v>
      </c>
      <c r="BH80" s="30" t="str">
        <f>IF($AX80="","",IFERROR(INDEX(engDados,MATCH(selAnalito&amp;"|"&amp;$B80,engChave,0),23),""))</f>
        <v/>
      </c>
      <c r="BI80" s="30" t="e">
        <f t="shared" si="95"/>
        <v>#N/A</v>
      </c>
      <c r="BJ80" s="30" t="e">
        <f t="shared" si="96"/>
        <v>#N/A</v>
      </c>
      <c r="BK80" s="30" t="e">
        <f t="shared" si="97"/>
        <v>#N/A</v>
      </c>
      <c r="BL80" s="30" t="e">
        <f t="shared" si="98"/>
        <v>#N/A</v>
      </c>
      <c r="BM80" s="30" t="e">
        <f t="shared" si="99"/>
        <v>#N/A</v>
      </c>
      <c r="BN80" s="30" t="e">
        <f t="shared" si="100"/>
        <v>#N/A</v>
      </c>
      <c r="BO80" s="30" t="e">
        <f t="shared" si="101"/>
        <v>#N/A</v>
      </c>
      <c r="BP80" s="30" t="e">
        <f>IF(AND($D80=1,(""&amp;loteAnalise)=(""&amp;loteCarregado),COUNTIFS(regAnalito,selAnalito,regNivel,3,regData,$C80,regRep1,"&lt;&gt;")&gt;0),SUMIFS(regRep1,regAnalito,selAnalito,regNivel,3,regData,$C80),NA())</f>
        <v>#N/A</v>
      </c>
      <c r="BQ80" s="30" t="e">
        <f>IF(AND($D80=1,(""&amp;loteAnalise)=(""&amp;loteCarregado),COUNTIFS(regAnalito,selAnalito,regNivel,3,regData,$C80,regRep2,"&lt;&gt;")&gt;0),SUMIFS(regRep2,regAnalito,selAnalito,regNivel,3,regData,$C80),NA())</f>
        <v>#N/A</v>
      </c>
      <c r="BR80" s="30" t="e">
        <f>IF(AND($D80=1,(""&amp;loteAnalise)=(""&amp;loteCarregado),COUNTIFS(regAnalito,selAnalito,regNivel,3,regData,$C80,regRep3,"&lt;&gt;")&gt;0),SUMIFS(regRep3,regAnalito,selAnalito,regNivel,3,regData,$C80),NA())</f>
        <v>#N/A</v>
      </c>
      <c r="BS80" s="30" t="e">
        <f>IF(AND($D80=1,COUNTIFS(regAnalito,selAnalito,regData,$C80,regCalib,"Sim")&gt;0),$BX$1,NA())</f>
        <v>#N/A</v>
      </c>
    </row>
    <row r="81" spans="1:71" x14ac:dyDescent="0.3">
      <c r="A81" s="30">
        <v>79</v>
      </c>
      <c r="B81" s="30" t="str">
        <f>IF(OR(selAnalito="",(""&amp;engAnalito)&lt;&gt;(""&amp;selAnalito),(""&amp;engLote)&lt;&gt;(""&amp;loteAnalise),$A81&gt;N(engNRun)),"",INDEX(engRUN,$A81))</f>
        <v/>
      </c>
      <c r="C81" s="43" t="str">
        <f>IF($B81="","",IF(INDEX(engData,$A81)="","",INDEX(engData,$A81)))</f>
        <v/>
      </c>
      <c r="D81" s="30">
        <f>IF($C81="",0,IF(AND(OR(filtroDe="",INT($C81)&gt;=INT(filtroDe)),OR(filtroAte="",INT($C81)&lt;=INT(filtroAte))),1,0))</f>
        <v>0</v>
      </c>
      <c r="E81" s="30" t="e">
        <f t="shared" si="68"/>
        <v>#N/A</v>
      </c>
      <c r="F81" s="30" t="str">
        <f>IF($B81="","",IF(INDEX(engValN1,$A81)="","",INDEX(engValN1,$A81)))</f>
        <v/>
      </c>
      <c r="G81" s="30" t="str">
        <f t="shared" si="69"/>
        <v/>
      </c>
      <c r="H81" s="30" t="e">
        <f t="shared" si="70"/>
        <v>#N/A</v>
      </c>
      <c r="I81" s="30" t="e">
        <f t="shared" si="71"/>
        <v>#N/A</v>
      </c>
      <c r="J81" s="30" t="e">
        <f t="shared" si="72"/>
        <v>#N/A</v>
      </c>
      <c r="K81" s="30">
        <f>IF($F81="",0,IFERROR(INDEX(engDados,MATCH(selAnalito&amp;"|"&amp;$B81,engChave,0),3),0))</f>
        <v>0</v>
      </c>
      <c r="L81" s="30">
        <f>IF($F81="",0,IFERROR(INDEX(engDados,MATCH(selAnalito&amp;"|"&amp;$B81,engChave,0),4),0))</f>
        <v>0</v>
      </c>
      <c r="M81" s="30">
        <f>IF($F81="",0,IFERROR(INDEX(engDados,MATCH(selAnalito&amp;"|"&amp;$B81,engChave,0),5),0))</f>
        <v>0</v>
      </c>
      <c r="N81" s="30">
        <f>IF($F81="",0,IFERROR(INDEX(engDados,MATCH(selAnalito&amp;"|"&amp;$B81,engChave,0),6),0))</f>
        <v>0</v>
      </c>
      <c r="O81" s="30">
        <f>IF($F81="",0,IFERROR(INDEX(engDados,MATCH(selAnalito&amp;"|"&amp;$B81,engChave,0),7),0))</f>
        <v>0</v>
      </c>
      <c r="P81" s="30" t="str">
        <f>IF($F81="","",IFERROR(INDEX(engDados,MATCH(selAnalito&amp;"|"&amp;$B81,engChave,0),9),""))</f>
        <v/>
      </c>
      <c r="Q81" s="30" t="e">
        <f t="shared" si="73"/>
        <v>#N/A</v>
      </c>
      <c r="R81" s="30" t="e">
        <f t="shared" si="74"/>
        <v>#N/A</v>
      </c>
      <c r="S81" s="30" t="e">
        <f t="shared" si="75"/>
        <v>#N/A</v>
      </c>
      <c r="T81" s="30" t="e">
        <f t="shared" si="76"/>
        <v>#N/A</v>
      </c>
      <c r="U81" s="30" t="e">
        <f t="shared" si="77"/>
        <v>#N/A</v>
      </c>
      <c r="V81" s="30" t="e">
        <f t="shared" si="78"/>
        <v>#N/A</v>
      </c>
      <c r="W81" s="30" t="e">
        <f t="shared" si="79"/>
        <v>#N/A</v>
      </c>
      <c r="X81" s="30" t="e">
        <f>IF(AND($D81=1,(""&amp;loteAnalise)=(""&amp;loteCarregado),COUNTIFS(regAnalito,selAnalito,regNivel,1,regData,$C81,regRep1,"&lt;&gt;")&gt;0),SUMIFS(regRep1,regAnalito,selAnalito,regNivel,1,regData,$C81),NA())</f>
        <v>#N/A</v>
      </c>
      <c r="Y81" s="30" t="e">
        <f>IF(AND($D81=1,(""&amp;loteAnalise)=(""&amp;loteCarregado),COUNTIFS(regAnalito,selAnalito,regNivel,1,regData,$C81,regRep2,"&lt;&gt;")&gt;0),SUMIFS(regRep2,regAnalito,selAnalito,regNivel,1,regData,$C81),NA())</f>
        <v>#N/A</v>
      </c>
      <c r="Z81" s="30" t="e">
        <f>IF(AND($D81=1,(""&amp;loteAnalise)=(""&amp;loteCarregado),COUNTIFS(regAnalito,selAnalito,regNivel,1,regData,$C81,regRep3,"&lt;&gt;")&gt;0),SUMIFS(regRep3,regAnalito,selAnalito,regNivel,1,regData,$C81),NA())</f>
        <v>#N/A</v>
      </c>
      <c r="AA81" s="30" t="e">
        <f>IF(AND($D81=1,COUNTIFS(regAnalito,selAnalito,regData,$C81,regCalib,"Sim")&gt;0),$BT$1,NA())</f>
        <v>#N/A</v>
      </c>
      <c r="AB81" s="30" t="str">
        <f>IF($B81="","",IF(INDEX(engValN2,$A81)="","",INDEX(engValN2,$A81)))</f>
        <v/>
      </c>
      <c r="AC81" s="30" t="str">
        <f t="shared" si="80"/>
        <v/>
      </c>
      <c r="AD81" s="30" t="e">
        <f t="shared" si="81"/>
        <v>#N/A</v>
      </c>
      <c r="AE81" s="30" t="e">
        <f t="shared" si="82"/>
        <v>#N/A</v>
      </c>
      <c r="AF81" s="30" t="e">
        <f t="shared" si="83"/>
        <v>#N/A</v>
      </c>
      <c r="AG81" s="30">
        <f>IF($AB81="",0,IFERROR(INDEX(engDados,MATCH(selAnalito&amp;"|"&amp;$B81,engChave,0),10),0))</f>
        <v>0</v>
      </c>
      <c r="AH81" s="30">
        <f>IF($AB81="",0,IFERROR(INDEX(engDados,MATCH(selAnalito&amp;"|"&amp;$B81,engChave,0),11),0))</f>
        <v>0</v>
      </c>
      <c r="AI81" s="30">
        <f>IF($AB81="",0,IFERROR(INDEX(engDados,MATCH(selAnalito&amp;"|"&amp;$B81,engChave,0),12),0))</f>
        <v>0</v>
      </c>
      <c r="AJ81" s="30">
        <f>IF($AB81="",0,IFERROR(INDEX(engDados,MATCH(selAnalito&amp;"|"&amp;$B81,engChave,0),13),0))</f>
        <v>0</v>
      </c>
      <c r="AK81" s="30">
        <f>IF($AB81="",0,IFERROR(INDEX(engDados,MATCH(selAnalito&amp;"|"&amp;$B81,engChave,0),14),0))</f>
        <v>0</v>
      </c>
      <c r="AL81" s="30" t="str">
        <f>IF($AB81="","",IFERROR(INDEX(engDados,MATCH(selAnalito&amp;"|"&amp;$B81,engChave,0),16),""))</f>
        <v/>
      </c>
      <c r="AM81" s="30" t="e">
        <f t="shared" si="84"/>
        <v>#N/A</v>
      </c>
      <c r="AN81" s="30" t="e">
        <f t="shared" si="85"/>
        <v>#N/A</v>
      </c>
      <c r="AO81" s="30" t="e">
        <f t="shared" si="86"/>
        <v>#N/A</v>
      </c>
      <c r="AP81" s="30" t="e">
        <f t="shared" si="87"/>
        <v>#N/A</v>
      </c>
      <c r="AQ81" s="30" t="e">
        <f t="shared" si="88"/>
        <v>#N/A</v>
      </c>
      <c r="AR81" s="30" t="e">
        <f t="shared" si="89"/>
        <v>#N/A</v>
      </c>
      <c r="AS81" s="30" t="e">
        <f t="shared" si="90"/>
        <v>#N/A</v>
      </c>
      <c r="AT81" s="30" t="e">
        <f>IF(AND($D81=1,(""&amp;loteAnalise)=(""&amp;loteCarregado),COUNTIFS(regAnalito,selAnalito,regNivel,2,regData,$C81,regRep1,"&lt;&gt;")&gt;0),SUMIFS(regRep1,regAnalito,selAnalito,regNivel,2,regData,$C81),NA())</f>
        <v>#N/A</v>
      </c>
      <c r="AU81" s="30" t="e">
        <f>IF(AND($D81=1,(""&amp;loteAnalise)=(""&amp;loteCarregado),COUNTIFS(regAnalito,selAnalito,regNivel,2,regData,$C81,regRep2,"&lt;&gt;")&gt;0),SUMIFS(regRep2,regAnalito,selAnalito,regNivel,2,regData,$C81),NA())</f>
        <v>#N/A</v>
      </c>
      <c r="AV81" s="30" t="e">
        <f>IF(AND($D81=1,(""&amp;loteAnalise)=(""&amp;loteCarregado),COUNTIFS(regAnalito,selAnalito,regNivel,2,regData,$C81,regRep3,"&lt;&gt;")&gt;0),SUMIFS(regRep3,regAnalito,selAnalito,regNivel,2,regData,$C81),NA())</f>
        <v>#N/A</v>
      </c>
      <c r="AW81" s="30" t="e">
        <f>IF(AND($D81=1,COUNTIFS(regAnalito,selAnalito,regData,$C81,regCalib,"Sim")&gt;0),$BV$1,NA())</f>
        <v>#N/A</v>
      </c>
      <c r="AX81" s="30" t="str">
        <f>IF($B81="","",IF(INDEX(engValN3,$A81)="","",INDEX(engValN3,$A81)))</f>
        <v/>
      </c>
      <c r="AY81" s="30" t="str">
        <f t="shared" si="91"/>
        <v/>
      </c>
      <c r="AZ81" s="30" t="e">
        <f t="shared" si="92"/>
        <v>#N/A</v>
      </c>
      <c r="BA81" s="30" t="e">
        <f t="shared" si="93"/>
        <v>#N/A</v>
      </c>
      <c r="BB81" s="30" t="e">
        <f t="shared" si="94"/>
        <v>#N/A</v>
      </c>
      <c r="BC81" s="30">
        <f>IF($AX81="",0,IFERROR(INDEX(engDados,MATCH(selAnalito&amp;"|"&amp;$B81,engChave,0),17),0))</f>
        <v>0</v>
      </c>
      <c r="BD81" s="30">
        <f>IF($AX81="",0,IFERROR(INDEX(engDados,MATCH(selAnalito&amp;"|"&amp;$B81,engChave,0),18),0))</f>
        <v>0</v>
      </c>
      <c r="BE81" s="30">
        <f>IF($AX81="",0,IFERROR(INDEX(engDados,MATCH(selAnalito&amp;"|"&amp;$B81,engChave,0),19),0))</f>
        <v>0</v>
      </c>
      <c r="BF81" s="30">
        <f>IF($AX81="",0,IFERROR(INDEX(engDados,MATCH(selAnalito&amp;"|"&amp;$B81,engChave,0),20),0))</f>
        <v>0</v>
      </c>
      <c r="BG81" s="30">
        <f>IF($AX81="",0,IFERROR(INDEX(engDados,MATCH(selAnalito&amp;"|"&amp;$B81,engChave,0),21),0))</f>
        <v>0</v>
      </c>
      <c r="BH81" s="30" t="str">
        <f>IF($AX81="","",IFERROR(INDEX(engDados,MATCH(selAnalito&amp;"|"&amp;$B81,engChave,0),23),""))</f>
        <v/>
      </c>
      <c r="BI81" s="30" t="e">
        <f t="shared" si="95"/>
        <v>#N/A</v>
      </c>
      <c r="BJ81" s="30" t="e">
        <f t="shared" si="96"/>
        <v>#N/A</v>
      </c>
      <c r="BK81" s="30" t="e">
        <f t="shared" si="97"/>
        <v>#N/A</v>
      </c>
      <c r="BL81" s="30" t="e">
        <f t="shared" si="98"/>
        <v>#N/A</v>
      </c>
      <c r="BM81" s="30" t="e">
        <f t="shared" si="99"/>
        <v>#N/A</v>
      </c>
      <c r="BN81" s="30" t="e">
        <f t="shared" si="100"/>
        <v>#N/A</v>
      </c>
      <c r="BO81" s="30" t="e">
        <f t="shared" si="101"/>
        <v>#N/A</v>
      </c>
      <c r="BP81" s="30" t="e">
        <f>IF(AND($D81=1,(""&amp;loteAnalise)=(""&amp;loteCarregado),COUNTIFS(regAnalito,selAnalito,regNivel,3,regData,$C81,regRep1,"&lt;&gt;")&gt;0),SUMIFS(regRep1,regAnalito,selAnalito,regNivel,3,regData,$C81),NA())</f>
        <v>#N/A</v>
      </c>
      <c r="BQ81" s="30" t="e">
        <f>IF(AND($D81=1,(""&amp;loteAnalise)=(""&amp;loteCarregado),COUNTIFS(regAnalito,selAnalito,regNivel,3,regData,$C81,regRep2,"&lt;&gt;")&gt;0),SUMIFS(regRep2,regAnalito,selAnalito,regNivel,3,regData,$C81),NA())</f>
        <v>#N/A</v>
      </c>
      <c r="BR81" s="30" t="e">
        <f>IF(AND($D81=1,(""&amp;loteAnalise)=(""&amp;loteCarregado),COUNTIFS(regAnalito,selAnalito,regNivel,3,regData,$C81,regRep3,"&lt;&gt;")&gt;0),SUMIFS(regRep3,regAnalito,selAnalito,regNivel,3,regData,$C81),NA())</f>
        <v>#N/A</v>
      </c>
      <c r="BS81" s="30" t="e">
        <f>IF(AND($D81=1,COUNTIFS(regAnalito,selAnalito,regData,$C81,regCalib,"Sim")&gt;0),$BX$1,NA())</f>
        <v>#N/A</v>
      </c>
    </row>
    <row r="82" spans="1:71" x14ac:dyDescent="0.3">
      <c r="A82" s="30">
        <v>80</v>
      </c>
      <c r="B82" s="30" t="str">
        <f>IF(OR(selAnalito="",(""&amp;engAnalito)&lt;&gt;(""&amp;selAnalito),(""&amp;engLote)&lt;&gt;(""&amp;loteAnalise),$A82&gt;N(engNRun)),"",INDEX(engRUN,$A82))</f>
        <v/>
      </c>
      <c r="C82" s="43" t="str">
        <f>IF($B82="","",IF(INDEX(engData,$A82)="","",INDEX(engData,$A82)))</f>
        <v/>
      </c>
      <c r="D82" s="30">
        <f>IF($C82="",0,IF(AND(OR(filtroDe="",INT($C82)&gt;=INT(filtroDe)),OR(filtroAte="",INT($C82)&lt;=INT(filtroAte))),1,0))</f>
        <v>0</v>
      </c>
      <c r="E82" s="30" t="e">
        <f t="shared" si="68"/>
        <v>#N/A</v>
      </c>
      <c r="F82" s="30" t="str">
        <f>IF($B82="","",IF(INDEX(engValN1,$A82)="","",INDEX(engValN1,$A82)))</f>
        <v/>
      </c>
      <c r="G82" s="30" t="str">
        <f t="shared" si="69"/>
        <v/>
      </c>
      <c r="H82" s="30" t="e">
        <f t="shared" si="70"/>
        <v>#N/A</v>
      </c>
      <c r="I82" s="30" t="e">
        <f t="shared" si="71"/>
        <v>#N/A</v>
      </c>
      <c r="J82" s="30" t="e">
        <f t="shared" si="72"/>
        <v>#N/A</v>
      </c>
      <c r="K82" s="30">
        <f>IF($F82="",0,IFERROR(INDEX(engDados,MATCH(selAnalito&amp;"|"&amp;$B82,engChave,0),3),0))</f>
        <v>0</v>
      </c>
      <c r="L82" s="30">
        <f>IF($F82="",0,IFERROR(INDEX(engDados,MATCH(selAnalito&amp;"|"&amp;$B82,engChave,0),4),0))</f>
        <v>0</v>
      </c>
      <c r="M82" s="30">
        <f>IF($F82="",0,IFERROR(INDEX(engDados,MATCH(selAnalito&amp;"|"&amp;$B82,engChave,0),5),0))</f>
        <v>0</v>
      </c>
      <c r="N82" s="30">
        <f>IF($F82="",0,IFERROR(INDEX(engDados,MATCH(selAnalito&amp;"|"&amp;$B82,engChave,0),6),0))</f>
        <v>0</v>
      </c>
      <c r="O82" s="30">
        <f>IF($F82="",0,IFERROR(INDEX(engDados,MATCH(selAnalito&amp;"|"&amp;$B82,engChave,0),7),0))</f>
        <v>0</v>
      </c>
      <c r="P82" s="30" t="str">
        <f>IF($F82="","",IFERROR(INDEX(engDados,MATCH(selAnalito&amp;"|"&amp;$B82,engChave,0),9),""))</f>
        <v/>
      </c>
      <c r="Q82" s="30" t="e">
        <f t="shared" si="73"/>
        <v>#N/A</v>
      </c>
      <c r="R82" s="30" t="e">
        <f t="shared" si="74"/>
        <v>#N/A</v>
      </c>
      <c r="S82" s="30" t="e">
        <f t="shared" si="75"/>
        <v>#N/A</v>
      </c>
      <c r="T82" s="30" t="e">
        <f t="shared" si="76"/>
        <v>#N/A</v>
      </c>
      <c r="U82" s="30" t="e">
        <f t="shared" si="77"/>
        <v>#N/A</v>
      </c>
      <c r="V82" s="30" t="e">
        <f t="shared" si="78"/>
        <v>#N/A</v>
      </c>
      <c r="W82" s="30" t="e">
        <f t="shared" si="79"/>
        <v>#N/A</v>
      </c>
      <c r="X82" s="30" t="e">
        <f>IF(AND($D82=1,(""&amp;loteAnalise)=(""&amp;loteCarregado),COUNTIFS(regAnalito,selAnalito,regNivel,1,regData,$C82,regRep1,"&lt;&gt;")&gt;0),SUMIFS(regRep1,regAnalito,selAnalito,regNivel,1,regData,$C82),NA())</f>
        <v>#N/A</v>
      </c>
      <c r="Y82" s="30" t="e">
        <f>IF(AND($D82=1,(""&amp;loteAnalise)=(""&amp;loteCarregado),COUNTIFS(regAnalito,selAnalito,regNivel,1,regData,$C82,regRep2,"&lt;&gt;")&gt;0),SUMIFS(regRep2,regAnalito,selAnalito,regNivel,1,regData,$C82),NA())</f>
        <v>#N/A</v>
      </c>
      <c r="Z82" s="30" t="e">
        <f>IF(AND($D82=1,(""&amp;loteAnalise)=(""&amp;loteCarregado),COUNTIFS(regAnalito,selAnalito,regNivel,1,regData,$C82,regRep3,"&lt;&gt;")&gt;0),SUMIFS(regRep3,regAnalito,selAnalito,regNivel,1,regData,$C82),NA())</f>
        <v>#N/A</v>
      </c>
      <c r="AA82" s="30" t="e">
        <f>IF(AND($D82=1,COUNTIFS(regAnalito,selAnalito,regData,$C82,regCalib,"Sim")&gt;0),$BT$1,NA())</f>
        <v>#N/A</v>
      </c>
      <c r="AB82" s="30" t="str">
        <f>IF($B82="","",IF(INDEX(engValN2,$A82)="","",INDEX(engValN2,$A82)))</f>
        <v/>
      </c>
      <c r="AC82" s="30" t="str">
        <f t="shared" si="80"/>
        <v/>
      </c>
      <c r="AD82" s="30" t="e">
        <f t="shared" si="81"/>
        <v>#N/A</v>
      </c>
      <c r="AE82" s="30" t="e">
        <f t="shared" si="82"/>
        <v>#N/A</v>
      </c>
      <c r="AF82" s="30" t="e">
        <f t="shared" si="83"/>
        <v>#N/A</v>
      </c>
      <c r="AG82" s="30">
        <f>IF($AB82="",0,IFERROR(INDEX(engDados,MATCH(selAnalito&amp;"|"&amp;$B82,engChave,0),10),0))</f>
        <v>0</v>
      </c>
      <c r="AH82" s="30">
        <f>IF($AB82="",0,IFERROR(INDEX(engDados,MATCH(selAnalito&amp;"|"&amp;$B82,engChave,0),11),0))</f>
        <v>0</v>
      </c>
      <c r="AI82" s="30">
        <f>IF($AB82="",0,IFERROR(INDEX(engDados,MATCH(selAnalito&amp;"|"&amp;$B82,engChave,0),12),0))</f>
        <v>0</v>
      </c>
      <c r="AJ82" s="30">
        <f>IF($AB82="",0,IFERROR(INDEX(engDados,MATCH(selAnalito&amp;"|"&amp;$B82,engChave,0),13),0))</f>
        <v>0</v>
      </c>
      <c r="AK82" s="30">
        <f>IF($AB82="",0,IFERROR(INDEX(engDados,MATCH(selAnalito&amp;"|"&amp;$B82,engChave,0),14),0))</f>
        <v>0</v>
      </c>
      <c r="AL82" s="30" t="str">
        <f>IF($AB82="","",IFERROR(INDEX(engDados,MATCH(selAnalito&amp;"|"&amp;$B82,engChave,0),16),""))</f>
        <v/>
      </c>
      <c r="AM82" s="30" t="e">
        <f t="shared" si="84"/>
        <v>#N/A</v>
      </c>
      <c r="AN82" s="30" t="e">
        <f t="shared" si="85"/>
        <v>#N/A</v>
      </c>
      <c r="AO82" s="30" t="e">
        <f t="shared" si="86"/>
        <v>#N/A</v>
      </c>
      <c r="AP82" s="30" t="e">
        <f t="shared" si="87"/>
        <v>#N/A</v>
      </c>
      <c r="AQ82" s="30" t="e">
        <f t="shared" si="88"/>
        <v>#N/A</v>
      </c>
      <c r="AR82" s="30" t="e">
        <f t="shared" si="89"/>
        <v>#N/A</v>
      </c>
      <c r="AS82" s="30" t="e">
        <f t="shared" si="90"/>
        <v>#N/A</v>
      </c>
      <c r="AT82" s="30" t="e">
        <f>IF(AND($D82=1,(""&amp;loteAnalise)=(""&amp;loteCarregado),COUNTIFS(regAnalito,selAnalito,regNivel,2,regData,$C82,regRep1,"&lt;&gt;")&gt;0),SUMIFS(regRep1,regAnalito,selAnalito,regNivel,2,regData,$C82),NA())</f>
        <v>#N/A</v>
      </c>
      <c r="AU82" s="30" t="e">
        <f>IF(AND($D82=1,(""&amp;loteAnalise)=(""&amp;loteCarregado),COUNTIFS(regAnalito,selAnalito,regNivel,2,regData,$C82,regRep2,"&lt;&gt;")&gt;0),SUMIFS(regRep2,regAnalito,selAnalito,regNivel,2,regData,$C82),NA())</f>
        <v>#N/A</v>
      </c>
      <c r="AV82" s="30" t="e">
        <f>IF(AND($D82=1,(""&amp;loteAnalise)=(""&amp;loteCarregado),COUNTIFS(regAnalito,selAnalito,regNivel,2,regData,$C82,regRep3,"&lt;&gt;")&gt;0),SUMIFS(regRep3,regAnalito,selAnalito,regNivel,2,regData,$C82),NA())</f>
        <v>#N/A</v>
      </c>
      <c r="AW82" s="30" t="e">
        <f>IF(AND($D82=1,COUNTIFS(regAnalito,selAnalito,regData,$C82,regCalib,"Sim")&gt;0),$BV$1,NA())</f>
        <v>#N/A</v>
      </c>
      <c r="AX82" s="30" t="str">
        <f>IF($B82="","",IF(INDEX(engValN3,$A82)="","",INDEX(engValN3,$A82)))</f>
        <v/>
      </c>
      <c r="AY82" s="30" t="str">
        <f t="shared" si="91"/>
        <v/>
      </c>
      <c r="AZ82" s="30" t="e">
        <f t="shared" si="92"/>
        <v>#N/A</v>
      </c>
      <c r="BA82" s="30" t="e">
        <f t="shared" si="93"/>
        <v>#N/A</v>
      </c>
      <c r="BB82" s="30" t="e">
        <f t="shared" si="94"/>
        <v>#N/A</v>
      </c>
      <c r="BC82" s="30">
        <f>IF($AX82="",0,IFERROR(INDEX(engDados,MATCH(selAnalito&amp;"|"&amp;$B82,engChave,0),17),0))</f>
        <v>0</v>
      </c>
      <c r="BD82" s="30">
        <f>IF($AX82="",0,IFERROR(INDEX(engDados,MATCH(selAnalito&amp;"|"&amp;$B82,engChave,0),18),0))</f>
        <v>0</v>
      </c>
      <c r="BE82" s="30">
        <f>IF($AX82="",0,IFERROR(INDEX(engDados,MATCH(selAnalito&amp;"|"&amp;$B82,engChave,0),19),0))</f>
        <v>0</v>
      </c>
      <c r="BF82" s="30">
        <f>IF($AX82="",0,IFERROR(INDEX(engDados,MATCH(selAnalito&amp;"|"&amp;$B82,engChave,0),20),0))</f>
        <v>0</v>
      </c>
      <c r="BG82" s="30">
        <f>IF($AX82="",0,IFERROR(INDEX(engDados,MATCH(selAnalito&amp;"|"&amp;$B82,engChave,0),21),0))</f>
        <v>0</v>
      </c>
      <c r="BH82" s="30" t="str">
        <f>IF($AX82="","",IFERROR(INDEX(engDados,MATCH(selAnalito&amp;"|"&amp;$B82,engChave,0),23),""))</f>
        <v/>
      </c>
      <c r="BI82" s="30" t="e">
        <f t="shared" si="95"/>
        <v>#N/A</v>
      </c>
      <c r="BJ82" s="30" t="e">
        <f t="shared" si="96"/>
        <v>#N/A</v>
      </c>
      <c r="BK82" s="30" t="e">
        <f t="shared" si="97"/>
        <v>#N/A</v>
      </c>
      <c r="BL82" s="30" t="e">
        <f t="shared" si="98"/>
        <v>#N/A</v>
      </c>
      <c r="BM82" s="30" t="e">
        <f t="shared" si="99"/>
        <v>#N/A</v>
      </c>
      <c r="BN82" s="30" t="e">
        <f t="shared" si="100"/>
        <v>#N/A</v>
      </c>
      <c r="BO82" s="30" t="e">
        <f t="shared" si="101"/>
        <v>#N/A</v>
      </c>
      <c r="BP82" s="30" t="e">
        <f>IF(AND($D82=1,(""&amp;loteAnalise)=(""&amp;loteCarregado),COUNTIFS(regAnalito,selAnalito,regNivel,3,regData,$C82,regRep1,"&lt;&gt;")&gt;0),SUMIFS(regRep1,regAnalito,selAnalito,regNivel,3,regData,$C82),NA())</f>
        <v>#N/A</v>
      </c>
      <c r="BQ82" s="30" t="e">
        <f>IF(AND($D82=1,(""&amp;loteAnalise)=(""&amp;loteCarregado),COUNTIFS(regAnalito,selAnalito,regNivel,3,regData,$C82,regRep2,"&lt;&gt;")&gt;0),SUMIFS(regRep2,regAnalito,selAnalito,regNivel,3,regData,$C82),NA())</f>
        <v>#N/A</v>
      </c>
      <c r="BR82" s="30" t="e">
        <f>IF(AND($D82=1,(""&amp;loteAnalise)=(""&amp;loteCarregado),COUNTIFS(regAnalito,selAnalito,regNivel,3,regData,$C82,regRep3,"&lt;&gt;")&gt;0),SUMIFS(regRep3,regAnalito,selAnalito,regNivel,3,regData,$C82),NA())</f>
        <v>#N/A</v>
      </c>
      <c r="BS82" s="30" t="e">
        <f>IF(AND($D82=1,COUNTIFS(regAnalito,selAnalito,regData,$C82,regCalib,"Sim")&gt;0),$BX$1,NA())</f>
        <v>#N/A</v>
      </c>
    </row>
    <row r="83" spans="1:71" x14ac:dyDescent="0.3">
      <c r="A83" s="30">
        <v>81</v>
      </c>
      <c r="B83" s="30" t="str">
        <f>IF(OR(selAnalito="",(""&amp;engAnalito)&lt;&gt;(""&amp;selAnalito),(""&amp;engLote)&lt;&gt;(""&amp;loteAnalise),$A83&gt;N(engNRun)),"",INDEX(engRUN,$A83))</f>
        <v/>
      </c>
      <c r="C83" s="43" t="str">
        <f>IF($B83="","",IF(INDEX(engData,$A83)="","",INDEX(engData,$A83)))</f>
        <v/>
      </c>
      <c r="D83" s="30">
        <f>IF($C83="",0,IF(AND(OR(filtroDe="",INT($C83)&gt;=INT(filtroDe)),OR(filtroAte="",INT($C83)&lt;=INT(filtroAte))),1,0))</f>
        <v>0</v>
      </c>
      <c r="E83" s="30" t="e">
        <f t="shared" si="68"/>
        <v>#N/A</v>
      </c>
      <c r="F83" s="30" t="str">
        <f>IF($B83="","",IF(INDEX(engValN1,$A83)="","",INDEX(engValN1,$A83)))</f>
        <v/>
      </c>
      <c r="G83" s="30" t="str">
        <f t="shared" si="69"/>
        <v/>
      </c>
      <c r="H83" s="30" t="e">
        <f t="shared" si="70"/>
        <v>#N/A</v>
      </c>
      <c r="I83" s="30" t="e">
        <f t="shared" si="71"/>
        <v>#N/A</v>
      </c>
      <c r="J83" s="30" t="e">
        <f t="shared" si="72"/>
        <v>#N/A</v>
      </c>
      <c r="K83" s="30">
        <f>IF($F83="",0,IFERROR(INDEX(engDados,MATCH(selAnalito&amp;"|"&amp;$B83,engChave,0),3),0))</f>
        <v>0</v>
      </c>
      <c r="L83" s="30">
        <f>IF($F83="",0,IFERROR(INDEX(engDados,MATCH(selAnalito&amp;"|"&amp;$B83,engChave,0),4),0))</f>
        <v>0</v>
      </c>
      <c r="M83" s="30">
        <f>IF($F83="",0,IFERROR(INDEX(engDados,MATCH(selAnalito&amp;"|"&amp;$B83,engChave,0),5),0))</f>
        <v>0</v>
      </c>
      <c r="N83" s="30">
        <f>IF($F83="",0,IFERROR(INDEX(engDados,MATCH(selAnalito&amp;"|"&amp;$B83,engChave,0),6),0))</f>
        <v>0</v>
      </c>
      <c r="O83" s="30">
        <f>IF($F83="",0,IFERROR(INDEX(engDados,MATCH(selAnalito&amp;"|"&amp;$B83,engChave,0),7),0))</f>
        <v>0</v>
      </c>
      <c r="P83" s="30" t="str">
        <f>IF($F83="","",IFERROR(INDEX(engDados,MATCH(selAnalito&amp;"|"&amp;$B83,engChave,0),9),""))</f>
        <v/>
      </c>
      <c r="Q83" s="30" t="e">
        <f t="shared" si="73"/>
        <v>#N/A</v>
      </c>
      <c r="R83" s="30" t="e">
        <f t="shared" si="74"/>
        <v>#N/A</v>
      </c>
      <c r="S83" s="30" t="e">
        <f t="shared" si="75"/>
        <v>#N/A</v>
      </c>
      <c r="T83" s="30" t="e">
        <f t="shared" si="76"/>
        <v>#N/A</v>
      </c>
      <c r="U83" s="30" t="e">
        <f t="shared" si="77"/>
        <v>#N/A</v>
      </c>
      <c r="V83" s="30" t="e">
        <f t="shared" si="78"/>
        <v>#N/A</v>
      </c>
      <c r="W83" s="30" t="e">
        <f t="shared" si="79"/>
        <v>#N/A</v>
      </c>
      <c r="X83" s="30" t="e">
        <f>IF(AND($D83=1,(""&amp;loteAnalise)=(""&amp;loteCarregado),COUNTIFS(regAnalito,selAnalito,regNivel,1,regData,$C83,regRep1,"&lt;&gt;")&gt;0),SUMIFS(regRep1,regAnalito,selAnalito,regNivel,1,regData,$C83),NA())</f>
        <v>#N/A</v>
      </c>
      <c r="Y83" s="30" t="e">
        <f>IF(AND($D83=1,(""&amp;loteAnalise)=(""&amp;loteCarregado),COUNTIFS(regAnalito,selAnalito,regNivel,1,regData,$C83,regRep2,"&lt;&gt;")&gt;0),SUMIFS(regRep2,regAnalito,selAnalito,regNivel,1,regData,$C83),NA())</f>
        <v>#N/A</v>
      </c>
      <c r="Z83" s="30" t="e">
        <f>IF(AND($D83=1,(""&amp;loteAnalise)=(""&amp;loteCarregado),COUNTIFS(regAnalito,selAnalito,regNivel,1,regData,$C83,regRep3,"&lt;&gt;")&gt;0),SUMIFS(regRep3,regAnalito,selAnalito,regNivel,1,regData,$C83),NA())</f>
        <v>#N/A</v>
      </c>
      <c r="AA83" s="30" t="e">
        <f>IF(AND($D83=1,COUNTIFS(regAnalito,selAnalito,regData,$C83,regCalib,"Sim")&gt;0),$BT$1,NA())</f>
        <v>#N/A</v>
      </c>
      <c r="AB83" s="30" t="str">
        <f>IF($B83="","",IF(INDEX(engValN2,$A83)="","",INDEX(engValN2,$A83)))</f>
        <v/>
      </c>
      <c r="AC83" s="30" t="str">
        <f t="shared" si="80"/>
        <v/>
      </c>
      <c r="AD83" s="30" t="e">
        <f t="shared" si="81"/>
        <v>#N/A</v>
      </c>
      <c r="AE83" s="30" t="e">
        <f t="shared" si="82"/>
        <v>#N/A</v>
      </c>
      <c r="AF83" s="30" t="e">
        <f t="shared" si="83"/>
        <v>#N/A</v>
      </c>
      <c r="AG83" s="30">
        <f>IF($AB83="",0,IFERROR(INDEX(engDados,MATCH(selAnalito&amp;"|"&amp;$B83,engChave,0),10),0))</f>
        <v>0</v>
      </c>
      <c r="AH83" s="30">
        <f>IF($AB83="",0,IFERROR(INDEX(engDados,MATCH(selAnalito&amp;"|"&amp;$B83,engChave,0),11),0))</f>
        <v>0</v>
      </c>
      <c r="AI83" s="30">
        <f>IF($AB83="",0,IFERROR(INDEX(engDados,MATCH(selAnalito&amp;"|"&amp;$B83,engChave,0),12),0))</f>
        <v>0</v>
      </c>
      <c r="AJ83" s="30">
        <f>IF($AB83="",0,IFERROR(INDEX(engDados,MATCH(selAnalito&amp;"|"&amp;$B83,engChave,0),13),0))</f>
        <v>0</v>
      </c>
      <c r="AK83" s="30">
        <f>IF($AB83="",0,IFERROR(INDEX(engDados,MATCH(selAnalito&amp;"|"&amp;$B83,engChave,0),14),0))</f>
        <v>0</v>
      </c>
      <c r="AL83" s="30" t="str">
        <f>IF($AB83="","",IFERROR(INDEX(engDados,MATCH(selAnalito&amp;"|"&amp;$B83,engChave,0),16),""))</f>
        <v/>
      </c>
      <c r="AM83" s="30" t="e">
        <f t="shared" si="84"/>
        <v>#N/A</v>
      </c>
      <c r="AN83" s="30" t="e">
        <f t="shared" si="85"/>
        <v>#N/A</v>
      </c>
      <c r="AO83" s="30" t="e">
        <f t="shared" si="86"/>
        <v>#N/A</v>
      </c>
      <c r="AP83" s="30" t="e">
        <f t="shared" si="87"/>
        <v>#N/A</v>
      </c>
      <c r="AQ83" s="30" t="e">
        <f t="shared" si="88"/>
        <v>#N/A</v>
      </c>
      <c r="AR83" s="30" t="e">
        <f t="shared" si="89"/>
        <v>#N/A</v>
      </c>
      <c r="AS83" s="30" t="e">
        <f t="shared" si="90"/>
        <v>#N/A</v>
      </c>
      <c r="AT83" s="30" t="e">
        <f>IF(AND($D83=1,(""&amp;loteAnalise)=(""&amp;loteCarregado),COUNTIFS(regAnalito,selAnalito,regNivel,2,regData,$C83,regRep1,"&lt;&gt;")&gt;0),SUMIFS(regRep1,regAnalito,selAnalito,regNivel,2,regData,$C83),NA())</f>
        <v>#N/A</v>
      </c>
      <c r="AU83" s="30" t="e">
        <f>IF(AND($D83=1,(""&amp;loteAnalise)=(""&amp;loteCarregado),COUNTIFS(regAnalito,selAnalito,regNivel,2,regData,$C83,regRep2,"&lt;&gt;")&gt;0),SUMIFS(regRep2,regAnalito,selAnalito,regNivel,2,regData,$C83),NA())</f>
        <v>#N/A</v>
      </c>
      <c r="AV83" s="30" t="e">
        <f>IF(AND($D83=1,(""&amp;loteAnalise)=(""&amp;loteCarregado),COUNTIFS(regAnalito,selAnalito,regNivel,2,regData,$C83,regRep3,"&lt;&gt;")&gt;0),SUMIFS(regRep3,regAnalito,selAnalito,regNivel,2,regData,$C83),NA())</f>
        <v>#N/A</v>
      </c>
      <c r="AW83" s="30" t="e">
        <f>IF(AND($D83=1,COUNTIFS(regAnalito,selAnalito,regData,$C83,regCalib,"Sim")&gt;0),$BV$1,NA())</f>
        <v>#N/A</v>
      </c>
      <c r="AX83" s="30" t="str">
        <f>IF($B83="","",IF(INDEX(engValN3,$A83)="","",INDEX(engValN3,$A83)))</f>
        <v/>
      </c>
      <c r="AY83" s="30" t="str">
        <f t="shared" si="91"/>
        <v/>
      </c>
      <c r="AZ83" s="30" t="e">
        <f t="shared" si="92"/>
        <v>#N/A</v>
      </c>
      <c r="BA83" s="30" t="e">
        <f t="shared" si="93"/>
        <v>#N/A</v>
      </c>
      <c r="BB83" s="30" t="e">
        <f t="shared" si="94"/>
        <v>#N/A</v>
      </c>
      <c r="BC83" s="30">
        <f>IF($AX83="",0,IFERROR(INDEX(engDados,MATCH(selAnalito&amp;"|"&amp;$B83,engChave,0),17),0))</f>
        <v>0</v>
      </c>
      <c r="BD83" s="30">
        <f>IF($AX83="",0,IFERROR(INDEX(engDados,MATCH(selAnalito&amp;"|"&amp;$B83,engChave,0),18),0))</f>
        <v>0</v>
      </c>
      <c r="BE83" s="30">
        <f>IF($AX83="",0,IFERROR(INDEX(engDados,MATCH(selAnalito&amp;"|"&amp;$B83,engChave,0),19),0))</f>
        <v>0</v>
      </c>
      <c r="BF83" s="30">
        <f>IF($AX83="",0,IFERROR(INDEX(engDados,MATCH(selAnalito&amp;"|"&amp;$B83,engChave,0),20),0))</f>
        <v>0</v>
      </c>
      <c r="BG83" s="30">
        <f>IF($AX83="",0,IFERROR(INDEX(engDados,MATCH(selAnalito&amp;"|"&amp;$B83,engChave,0),21),0))</f>
        <v>0</v>
      </c>
      <c r="BH83" s="30" t="str">
        <f>IF($AX83="","",IFERROR(INDEX(engDados,MATCH(selAnalito&amp;"|"&amp;$B83,engChave,0),23),""))</f>
        <v/>
      </c>
      <c r="BI83" s="30" t="e">
        <f t="shared" si="95"/>
        <v>#N/A</v>
      </c>
      <c r="BJ83" s="30" t="e">
        <f t="shared" si="96"/>
        <v>#N/A</v>
      </c>
      <c r="BK83" s="30" t="e">
        <f t="shared" si="97"/>
        <v>#N/A</v>
      </c>
      <c r="BL83" s="30" t="e">
        <f t="shared" si="98"/>
        <v>#N/A</v>
      </c>
      <c r="BM83" s="30" t="e">
        <f t="shared" si="99"/>
        <v>#N/A</v>
      </c>
      <c r="BN83" s="30" t="e">
        <f t="shared" si="100"/>
        <v>#N/A</v>
      </c>
      <c r="BO83" s="30" t="e">
        <f t="shared" si="101"/>
        <v>#N/A</v>
      </c>
      <c r="BP83" s="30" t="e">
        <f>IF(AND($D83=1,(""&amp;loteAnalise)=(""&amp;loteCarregado),COUNTIFS(regAnalito,selAnalito,regNivel,3,regData,$C83,regRep1,"&lt;&gt;")&gt;0),SUMIFS(regRep1,regAnalito,selAnalito,regNivel,3,regData,$C83),NA())</f>
        <v>#N/A</v>
      </c>
      <c r="BQ83" s="30" t="e">
        <f>IF(AND($D83=1,(""&amp;loteAnalise)=(""&amp;loteCarregado),COUNTIFS(regAnalito,selAnalito,regNivel,3,regData,$C83,regRep2,"&lt;&gt;")&gt;0),SUMIFS(regRep2,regAnalito,selAnalito,regNivel,3,regData,$C83),NA())</f>
        <v>#N/A</v>
      </c>
      <c r="BR83" s="30" t="e">
        <f>IF(AND($D83=1,(""&amp;loteAnalise)=(""&amp;loteCarregado),COUNTIFS(regAnalito,selAnalito,regNivel,3,regData,$C83,regRep3,"&lt;&gt;")&gt;0),SUMIFS(regRep3,regAnalito,selAnalito,regNivel,3,regData,$C83),NA())</f>
        <v>#N/A</v>
      </c>
      <c r="BS83" s="30" t="e">
        <f>IF(AND($D83=1,COUNTIFS(regAnalito,selAnalito,regData,$C83,regCalib,"Sim")&gt;0),$BX$1,NA())</f>
        <v>#N/A</v>
      </c>
    </row>
    <row r="84" spans="1:71" x14ac:dyDescent="0.3">
      <c r="A84" s="30">
        <v>82</v>
      </c>
      <c r="B84" s="30" t="str">
        <f>IF(OR(selAnalito="",(""&amp;engAnalito)&lt;&gt;(""&amp;selAnalito),(""&amp;engLote)&lt;&gt;(""&amp;loteAnalise),$A84&gt;N(engNRun)),"",INDEX(engRUN,$A84))</f>
        <v/>
      </c>
      <c r="C84" s="43" t="str">
        <f>IF($B84="","",IF(INDEX(engData,$A84)="","",INDEX(engData,$A84)))</f>
        <v/>
      </c>
      <c r="D84" s="30">
        <f>IF($C84="",0,IF(AND(OR(filtroDe="",INT($C84)&gt;=INT(filtroDe)),OR(filtroAte="",INT($C84)&lt;=INT(filtroAte))),1,0))</f>
        <v>0</v>
      </c>
      <c r="E84" s="30" t="e">
        <f t="shared" si="68"/>
        <v>#N/A</v>
      </c>
      <c r="F84" s="30" t="str">
        <f>IF($B84="","",IF(INDEX(engValN1,$A84)="","",INDEX(engValN1,$A84)))</f>
        <v/>
      </c>
      <c r="G84" s="30" t="str">
        <f t="shared" si="69"/>
        <v/>
      </c>
      <c r="H84" s="30" t="e">
        <f t="shared" si="70"/>
        <v>#N/A</v>
      </c>
      <c r="I84" s="30" t="e">
        <f t="shared" si="71"/>
        <v>#N/A</v>
      </c>
      <c r="J84" s="30" t="e">
        <f t="shared" si="72"/>
        <v>#N/A</v>
      </c>
      <c r="K84" s="30">
        <f>IF($F84="",0,IFERROR(INDEX(engDados,MATCH(selAnalito&amp;"|"&amp;$B84,engChave,0),3),0))</f>
        <v>0</v>
      </c>
      <c r="L84" s="30">
        <f>IF($F84="",0,IFERROR(INDEX(engDados,MATCH(selAnalito&amp;"|"&amp;$B84,engChave,0),4),0))</f>
        <v>0</v>
      </c>
      <c r="M84" s="30">
        <f>IF($F84="",0,IFERROR(INDEX(engDados,MATCH(selAnalito&amp;"|"&amp;$B84,engChave,0),5),0))</f>
        <v>0</v>
      </c>
      <c r="N84" s="30">
        <f>IF($F84="",0,IFERROR(INDEX(engDados,MATCH(selAnalito&amp;"|"&amp;$B84,engChave,0),6),0))</f>
        <v>0</v>
      </c>
      <c r="O84" s="30">
        <f>IF($F84="",0,IFERROR(INDEX(engDados,MATCH(selAnalito&amp;"|"&amp;$B84,engChave,0),7),0))</f>
        <v>0</v>
      </c>
      <c r="P84" s="30" t="str">
        <f>IF($F84="","",IFERROR(INDEX(engDados,MATCH(selAnalito&amp;"|"&amp;$B84,engChave,0),9),""))</f>
        <v/>
      </c>
      <c r="Q84" s="30" t="e">
        <f t="shared" si="73"/>
        <v>#N/A</v>
      </c>
      <c r="R84" s="30" t="e">
        <f t="shared" si="74"/>
        <v>#N/A</v>
      </c>
      <c r="S84" s="30" t="e">
        <f t="shared" si="75"/>
        <v>#N/A</v>
      </c>
      <c r="T84" s="30" t="e">
        <f t="shared" si="76"/>
        <v>#N/A</v>
      </c>
      <c r="U84" s="30" t="e">
        <f t="shared" si="77"/>
        <v>#N/A</v>
      </c>
      <c r="V84" s="30" t="e">
        <f t="shared" si="78"/>
        <v>#N/A</v>
      </c>
      <c r="W84" s="30" t="e">
        <f t="shared" si="79"/>
        <v>#N/A</v>
      </c>
      <c r="X84" s="30" t="e">
        <f>IF(AND($D84=1,(""&amp;loteAnalise)=(""&amp;loteCarregado),COUNTIFS(regAnalito,selAnalito,regNivel,1,regData,$C84,regRep1,"&lt;&gt;")&gt;0),SUMIFS(regRep1,regAnalito,selAnalito,regNivel,1,regData,$C84),NA())</f>
        <v>#N/A</v>
      </c>
      <c r="Y84" s="30" t="e">
        <f>IF(AND($D84=1,(""&amp;loteAnalise)=(""&amp;loteCarregado),COUNTIFS(regAnalito,selAnalito,regNivel,1,regData,$C84,regRep2,"&lt;&gt;")&gt;0),SUMIFS(regRep2,regAnalito,selAnalito,regNivel,1,regData,$C84),NA())</f>
        <v>#N/A</v>
      </c>
      <c r="Z84" s="30" t="e">
        <f>IF(AND($D84=1,(""&amp;loteAnalise)=(""&amp;loteCarregado),COUNTIFS(regAnalito,selAnalito,regNivel,1,regData,$C84,regRep3,"&lt;&gt;")&gt;0),SUMIFS(regRep3,regAnalito,selAnalito,regNivel,1,regData,$C84),NA())</f>
        <v>#N/A</v>
      </c>
      <c r="AA84" s="30" t="e">
        <f>IF(AND($D84=1,COUNTIFS(regAnalito,selAnalito,regData,$C84,regCalib,"Sim")&gt;0),$BT$1,NA())</f>
        <v>#N/A</v>
      </c>
      <c r="AB84" s="30" t="str">
        <f>IF($B84="","",IF(INDEX(engValN2,$A84)="","",INDEX(engValN2,$A84)))</f>
        <v/>
      </c>
      <c r="AC84" s="30" t="str">
        <f t="shared" si="80"/>
        <v/>
      </c>
      <c r="AD84" s="30" t="e">
        <f t="shared" si="81"/>
        <v>#N/A</v>
      </c>
      <c r="AE84" s="30" t="e">
        <f t="shared" si="82"/>
        <v>#N/A</v>
      </c>
      <c r="AF84" s="30" t="e">
        <f t="shared" si="83"/>
        <v>#N/A</v>
      </c>
      <c r="AG84" s="30">
        <f>IF($AB84="",0,IFERROR(INDEX(engDados,MATCH(selAnalito&amp;"|"&amp;$B84,engChave,0),10),0))</f>
        <v>0</v>
      </c>
      <c r="AH84" s="30">
        <f>IF($AB84="",0,IFERROR(INDEX(engDados,MATCH(selAnalito&amp;"|"&amp;$B84,engChave,0),11),0))</f>
        <v>0</v>
      </c>
      <c r="AI84" s="30">
        <f>IF($AB84="",0,IFERROR(INDEX(engDados,MATCH(selAnalito&amp;"|"&amp;$B84,engChave,0),12),0))</f>
        <v>0</v>
      </c>
      <c r="AJ84" s="30">
        <f>IF($AB84="",0,IFERROR(INDEX(engDados,MATCH(selAnalito&amp;"|"&amp;$B84,engChave,0),13),0))</f>
        <v>0</v>
      </c>
      <c r="AK84" s="30">
        <f>IF($AB84="",0,IFERROR(INDEX(engDados,MATCH(selAnalito&amp;"|"&amp;$B84,engChave,0),14),0))</f>
        <v>0</v>
      </c>
      <c r="AL84" s="30" t="str">
        <f>IF($AB84="","",IFERROR(INDEX(engDados,MATCH(selAnalito&amp;"|"&amp;$B84,engChave,0),16),""))</f>
        <v/>
      </c>
      <c r="AM84" s="30" t="e">
        <f t="shared" si="84"/>
        <v>#N/A</v>
      </c>
      <c r="AN84" s="30" t="e">
        <f t="shared" si="85"/>
        <v>#N/A</v>
      </c>
      <c r="AO84" s="30" t="e">
        <f t="shared" si="86"/>
        <v>#N/A</v>
      </c>
      <c r="AP84" s="30" t="e">
        <f t="shared" si="87"/>
        <v>#N/A</v>
      </c>
      <c r="AQ84" s="30" t="e">
        <f t="shared" si="88"/>
        <v>#N/A</v>
      </c>
      <c r="AR84" s="30" t="e">
        <f t="shared" si="89"/>
        <v>#N/A</v>
      </c>
      <c r="AS84" s="30" t="e">
        <f t="shared" si="90"/>
        <v>#N/A</v>
      </c>
      <c r="AT84" s="30" t="e">
        <f>IF(AND($D84=1,(""&amp;loteAnalise)=(""&amp;loteCarregado),COUNTIFS(regAnalito,selAnalito,regNivel,2,regData,$C84,regRep1,"&lt;&gt;")&gt;0),SUMIFS(regRep1,regAnalito,selAnalito,regNivel,2,regData,$C84),NA())</f>
        <v>#N/A</v>
      </c>
      <c r="AU84" s="30" t="e">
        <f>IF(AND($D84=1,(""&amp;loteAnalise)=(""&amp;loteCarregado),COUNTIFS(regAnalito,selAnalito,regNivel,2,regData,$C84,regRep2,"&lt;&gt;")&gt;0),SUMIFS(regRep2,regAnalito,selAnalito,regNivel,2,regData,$C84),NA())</f>
        <v>#N/A</v>
      </c>
      <c r="AV84" s="30" t="e">
        <f>IF(AND($D84=1,(""&amp;loteAnalise)=(""&amp;loteCarregado),COUNTIFS(regAnalito,selAnalito,regNivel,2,regData,$C84,regRep3,"&lt;&gt;")&gt;0),SUMIFS(regRep3,regAnalito,selAnalito,regNivel,2,regData,$C84),NA())</f>
        <v>#N/A</v>
      </c>
      <c r="AW84" s="30" t="e">
        <f>IF(AND($D84=1,COUNTIFS(regAnalito,selAnalito,regData,$C84,regCalib,"Sim")&gt;0),$BV$1,NA())</f>
        <v>#N/A</v>
      </c>
      <c r="AX84" s="30" t="str">
        <f>IF($B84="","",IF(INDEX(engValN3,$A84)="","",INDEX(engValN3,$A84)))</f>
        <v/>
      </c>
      <c r="AY84" s="30" t="str">
        <f t="shared" si="91"/>
        <v/>
      </c>
      <c r="AZ84" s="30" t="e">
        <f t="shared" si="92"/>
        <v>#N/A</v>
      </c>
      <c r="BA84" s="30" t="e">
        <f t="shared" si="93"/>
        <v>#N/A</v>
      </c>
      <c r="BB84" s="30" t="e">
        <f t="shared" si="94"/>
        <v>#N/A</v>
      </c>
      <c r="BC84" s="30">
        <f>IF($AX84="",0,IFERROR(INDEX(engDados,MATCH(selAnalito&amp;"|"&amp;$B84,engChave,0),17),0))</f>
        <v>0</v>
      </c>
      <c r="BD84" s="30">
        <f>IF($AX84="",0,IFERROR(INDEX(engDados,MATCH(selAnalito&amp;"|"&amp;$B84,engChave,0),18),0))</f>
        <v>0</v>
      </c>
      <c r="BE84" s="30">
        <f>IF($AX84="",0,IFERROR(INDEX(engDados,MATCH(selAnalito&amp;"|"&amp;$B84,engChave,0),19),0))</f>
        <v>0</v>
      </c>
      <c r="BF84" s="30">
        <f>IF($AX84="",0,IFERROR(INDEX(engDados,MATCH(selAnalito&amp;"|"&amp;$B84,engChave,0),20),0))</f>
        <v>0</v>
      </c>
      <c r="BG84" s="30">
        <f>IF($AX84="",0,IFERROR(INDEX(engDados,MATCH(selAnalito&amp;"|"&amp;$B84,engChave,0),21),0))</f>
        <v>0</v>
      </c>
      <c r="BH84" s="30" t="str">
        <f>IF($AX84="","",IFERROR(INDEX(engDados,MATCH(selAnalito&amp;"|"&amp;$B84,engChave,0),23),""))</f>
        <v/>
      </c>
      <c r="BI84" s="30" t="e">
        <f t="shared" si="95"/>
        <v>#N/A</v>
      </c>
      <c r="BJ84" s="30" t="e">
        <f t="shared" si="96"/>
        <v>#N/A</v>
      </c>
      <c r="BK84" s="30" t="e">
        <f t="shared" si="97"/>
        <v>#N/A</v>
      </c>
      <c r="BL84" s="30" t="e">
        <f t="shared" si="98"/>
        <v>#N/A</v>
      </c>
      <c r="BM84" s="30" t="e">
        <f t="shared" si="99"/>
        <v>#N/A</v>
      </c>
      <c r="BN84" s="30" t="e">
        <f t="shared" si="100"/>
        <v>#N/A</v>
      </c>
      <c r="BO84" s="30" t="e">
        <f t="shared" si="101"/>
        <v>#N/A</v>
      </c>
      <c r="BP84" s="30" t="e">
        <f>IF(AND($D84=1,(""&amp;loteAnalise)=(""&amp;loteCarregado),COUNTIFS(regAnalito,selAnalito,regNivel,3,regData,$C84,regRep1,"&lt;&gt;")&gt;0),SUMIFS(regRep1,regAnalito,selAnalito,regNivel,3,regData,$C84),NA())</f>
        <v>#N/A</v>
      </c>
      <c r="BQ84" s="30" t="e">
        <f>IF(AND($D84=1,(""&amp;loteAnalise)=(""&amp;loteCarregado),COUNTIFS(regAnalito,selAnalito,regNivel,3,regData,$C84,regRep2,"&lt;&gt;")&gt;0),SUMIFS(regRep2,regAnalito,selAnalito,regNivel,3,regData,$C84),NA())</f>
        <v>#N/A</v>
      </c>
      <c r="BR84" s="30" t="e">
        <f>IF(AND($D84=1,(""&amp;loteAnalise)=(""&amp;loteCarregado),COUNTIFS(regAnalito,selAnalito,regNivel,3,regData,$C84,regRep3,"&lt;&gt;")&gt;0),SUMIFS(regRep3,regAnalito,selAnalito,regNivel,3,regData,$C84),NA())</f>
        <v>#N/A</v>
      </c>
      <c r="BS84" s="30" t="e">
        <f>IF(AND($D84=1,COUNTIFS(regAnalito,selAnalito,regData,$C84,regCalib,"Sim")&gt;0),$BX$1,NA())</f>
        <v>#N/A</v>
      </c>
    </row>
    <row r="85" spans="1:71" x14ac:dyDescent="0.3">
      <c r="A85" s="30">
        <v>83</v>
      </c>
      <c r="B85" s="30" t="str">
        <f>IF(OR(selAnalito="",(""&amp;engAnalito)&lt;&gt;(""&amp;selAnalito),(""&amp;engLote)&lt;&gt;(""&amp;loteAnalise),$A85&gt;N(engNRun)),"",INDEX(engRUN,$A85))</f>
        <v/>
      </c>
      <c r="C85" s="43" t="str">
        <f>IF($B85="","",IF(INDEX(engData,$A85)="","",INDEX(engData,$A85)))</f>
        <v/>
      </c>
      <c r="D85" s="30">
        <f>IF($C85="",0,IF(AND(OR(filtroDe="",INT($C85)&gt;=INT(filtroDe)),OR(filtroAte="",INT($C85)&lt;=INT(filtroAte))),1,0))</f>
        <v>0</v>
      </c>
      <c r="E85" s="30" t="e">
        <f t="shared" si="68"/>
        <v>#N/A</v>
      </c>
      <c r="F85" s="30" t="str">
        <f>IF($B85="","",IF(INDEX(engValN1,$A85)="","",INDEX(engValN1,$A85)))</f>
        <v/>
      </c>
      <c r="G85" s="30" t="str">
        <f t="shared" si="69"/>
        <v/>
      </c>
      <c r="H85" s="30" t="e">
        <f t="shared" si="70"/>
        <v>#N/A</v>
      </c>
      <c r="I85" s="30" t="e">
        <f t="shared" si="71"/>
        <v>#N/A</v>
      </c>
      <c r="J85" s="30" t="e">
        <f t="shared" si="72"/>
        <v>#N/A</v>
      </c>
      <c r="K85" s="30">
        <f>IF($F85="",0,IFERROR(INDEX(engDados,MATCH(selAnalito&amp;"|"&amp;$B85,engChave,0),3),0))</f>
        <v>0</v>
      </c>
      <c r="L85" s="30">
        <f>IF($F85="",0,IFERROR(INDEX(engDados,MATCH(selAnalito&amp;"|"&amp;$B85,engChave,0),4),0))</f>
        <v>0</v>
      </c>
      <c r="M85" s="30">
        <f>IF($F85="",0,IFERROR(INDEX(engDados,MATCH(selAnalito&amp;"|"&amp;$B85,engChave,0),5),0))</f>
        <v>0</v>
      </c>
      <c r="N85" s="30">
        <f>IF($F85="",0,IFERROR(INDEX(engDados,MATCH(selAnalito&amp;"|"&amp;$B85,engChave,0),6),0))</f>
        <v>0</v>
      </c>
      <c r="O85" s="30">
        <f>IF($F85="",0,IFERROR(INDEX(engDados,MATCH(selAnalito&amp;"|"&amp;$B85,engChave,0),7),0))</f>
        <v>0</v>
      </c>
      <c r="P85" s="30" t="str">
        <f>IF($F85="","",IFERROR(INDEX(engDados,MATCH(selAnalito&amp;"|"&amp;$B85,engChave,0),9),""))</f>
        <v/>
      </c>
      <c r="Q85" s="30" t="e">
        <f t="shared" si="73"/>
        <v>#N/A</v>
      </c>
      <c r="R85" s="30" t="e">
        <f t="shared" si="74"/>
        <v>#N/A</v>
      </c>
      <c r="S85" s="30" t="e">
        <f t="shared" si="75"/>
        <v>#N/A</v>
      </c>
      <c r="T85" s="30" t="e">
        <f t="shared" si="76"/>
        <v>#N/A</v>
      </c>
      <c r="U85" s="30" t="e">
        <f t="shared" si="77"/>
        <v>#N/A</v>
      </c>
      <c r="V85" s="30" t="e">
        <f t="shared" si="78"/>
        <v>#N/A</v>
      </c>
      <c r="W85" s="30" t="e">
        <f t="shared" si="79"/>
        <v>#N/A</v>
      </c>
      <c r="X85" s="30" t="e">
        <f>IF(AND($D85=1,(""&amp;loteAnalise)=(""&amp;loteCarregado),COUNTIFS(regAnalito,selAnalito,regNivel,1,regData,$C85,regRep1,"&lt;&gt;")&gt;0),SUMIFS(regRep1,regAnalito,selAnalito,regNivel,1,regData,$C85),NA())</f>
        <v>#N/A</v>
      </c>
      <c r="Y85" s="30" t="e">
        <f>IF(AND($D85=1,(""&amp;loteAnalise)=(""&amp;loteCarregado),COUNTIFS(regAnalito,selAnalito,regNivel,1,regData,$C85,regRep2,"&lt;&gt;")&gt;0),SUMIFS(regRep2,regAnalito,selAnalito,regNivel,1,regData,$C85),NA())</f>
        <v>#N/A</v>
      </c>
      <c r="Z85" s="30" t="e">
        <f>IF(AND($D85=1,(""&amp;loteAnalise)=(""&amp;loteCarregado),COUNTIFS(regAnalito,selAnalito,regNivel,1,regData,$C85,regRep3,"&lt;&gt;")&gt;0),SUMIFS(regRep3,regAnalito,selAnalito,regNivel,1,regData,$C85),NA())</f>
        <v>#N/A</v>
      </c>
      <c r="AA85" s="30" t="e">
        <f>IF(AND($D85=1,COUNTIFS(regAnalito,selAnalito,regData,$C85,regCalib,"Sim")&gt;0),$BT$1,NA())</f>
        <v>#N/A</v>
      </c>
      <c r="AB85" s="30" t="str">
        <f>IF($B85="","",IF(INDEX(engValN2,$A85)="","",INDEX(engValN2,$A85)))</f>
        <v/>
      </c>
      <c r="AC85" s="30" t="str">
        <f t="shared" si="80"/>
        <v/>
      </c>
      <c r="AD85" s="30" t="e">
        <f t="shared" si="81"/>
        <v>#N/A</v>
      </c>
      <c r="AE85" s="30" t="e">
        <f t="shared" si="82"/>
        <v>#N/A</v>
      </c>
      <c r="AF85" s="30" t="e">
        <f t="shared" si="83"/>
        <v>#N/A</v>
      </c>
      <c r="AG85" s="30">
        <f>IF($AB85="",0,IFERROR(INDEX(engDados,MATCH(selAnalito&amp;"|"&amp;$B85,engChave,0),10),0))</f>
        <v>0</v>
      </c>
      <c r="AH85" s="30">
        <f>IF($AB85="",0,IFERROR(INDEX(engDados,MATCH(selAnalito&amp;"|"&amp;$B85,engChave,0),11),0))</f>
        <v>0</v>
      </c>
      <c r="AI85" s="30">
        <f>IF($AB85="",0,IFERROR(INDEX(engDados,MATCH(selAnalito&amp;"|"&amp;$B85,engChave,0),12),0))</f>
        <v>0</v>
      </c>
      <c r="AJ85" s="30">
        <f>IF($AB85="",0,IFERROR(INDEX(engDados,MATCH(selAnalito&amp;"|"&amp;$B85,engChave,0),13),0))</f>
        <v>0</v>
      </c>
      <c r="AK85" s="30">
        <f>IF($AB85="",0,IFERROR(INDEX(engDados,MATCH(selAnalito&amp;"|"&amp;$B85,engChave,0),14),0))</f>
        <v>0</v>
      </c>
      <c r="AL85" s="30" t="str">
        <f>IF($AB85="","",IFERROR(INDEX(engDados,MATCH(selAnalito&amp;"|"&amp;$B85,engChave,0),16),""))</f>
        <v/>
      </c>
      <c r="AM85" s="30" t="e">
        <f t="shared" si="84"/>
        <v>#N/A</v>
      </c>
      <c r="AN85" s="30" t="e">
        <f t="shared" si="85"/>
        <v>#N/A</v>
      </c>
      <c r="AO85" s="30" t="e">
        <f t="shared" si="86"/>
        <v>#N/A</v>
      </c>
      <c r="AP85" s="30" t="e">
        <f t="shared" si="87"/>
        <v>#N/A</v>
      </c>
      <c r="AQ85" s="30" t="e">
        <f t="shared" si="88"/>
        <v>#N/A</v>
      </c>
      <c r="AR85" s="30" t="e">
        <f t="shared" si="89"/>
        <v>#N/A</v>
      </c>
      <c r="AS85" s="30" t="e">
        <f t="shared" si="90"/>
        <v>#N/A</v>
      </c>
      <c r="AT85" s="30" t="e">
        <f>IF(AND($D85=1,(""&amp;loteAnalise)=(""&amp;loteCarregado),COUNTIFS(regAnalito,selAnalito,regNivel,2,regData,$C85,regRep1,"&lt;&gt;")&gt;0),SUMIFS(regRep1,regAnalito,selAnalito,regNivel,2,regData,$C85),NA())</f>
        <v>#N/A</v>
      </c>
      <c r="AU85" s="30" t="e">
        <f>IF(AND($D85=1,(""&amp;loteAnalise)=(""&amp;loteCarregado),COUNTIFS(regAnalito,selAnalito,regNivel,2,regData,$C85,regRep2,"&lt;&gt;")&gt;0),SUMIFS(regRep2,regAnalito,selAnalito,regNivel,2,regData,$C85),NA())</f>
        <v>#N/A</v>
      </c>
      <c r="AV85" s="30" t="e">
        <f>IF(AND($D85=1,(""&amp;loteAnalise)=(""&amp;loteCarregado),COUNTIFS(regAnalito,selAnalito,regNivel,2,regData,$C85,regRep3,"&lt;&gt;")&gt;0),SUMIFS(regRep3,regAnalito,selAnalito,regNivel,2,regData,$C85),NA())</f>
        <v>#N/A</v>
      </c>
      <c r="AW85" s="30" t="e">
        <f>IF(AND($D85=1,COUNTIFS(regAnalito,selAnalito,regData,$C85,regCalib,"Sim")&gt;0),$BV$1,NA())</f>
        <v>#N/A</v>
      </c>
      <c r="AX85" s="30" t="str">
        <f>IF($B85="","",IF(INDEX(engValN3,$A85)="","",INDEX(engValN3,$A85)))</f>
        <v/>
      </c>
      <c r="AY85" s="30" t="str">
        <f t="shared" si="91"/>
        <v/>
      </c>
      <c r="AZ85" s="30" t="e">
        <f t="shared" si="92"/>
        <v>#N/A</v>
      </c>
      <c r="BA85" s="30" t="e">
        <f t="shared" si="93"/>
        <v>#N/A</v>
      </c>
      <c r="BB85" s="30" t="e">
        <f t="shared" si="94"/>
        <v>#N/A</v>
      </c>
      <c r="BC85" s="30">
        <f>IF($AX85="",0,IFERROR(INDEX(engDados,MATCH(selAnalito&amp;"|"&amp;$B85,engChave,0),17),0))</f>
        <v>0</v>
      </c>
      <c r="BD85" s="30">
        <f>IF($AX85="",0,IFERROR(INDEX(engDados,MATCH(selAnalito&amp;"|"&amp;$B85,engChave,0),18),0))</f>
        <v>0</v>
      </c>
      <c r="BE85" s="30">
        <f>IF($AX85="",0,IFERROR(INDEX(engDados,MATCH(selAnalito&amp;"|"&amp;$B85,engChave,0),19),0))</f>
        <v>0</v>
      </c>
      <c r="BF85" s="30">
        <f>IF($AX85="",0,IFERROR(INDEX(engDados,MATCH(selAnalito&amp;"|"&amp;$B85,engChave,0),20),0))</f>
        <v>0</v>
      </c>
      <c r="BG85" s="30">
        <f>IF($AX85="",0,IFERROR(INDEX(engDados,MATCH(selAnalito&amp;"|"&amp;$B85,engChave,0),21),0))</f>
        <v>0</v>
      </c>
      <c r="BH85" s="30" t="str">
        <f>IF($AX85="","",IFERROR(INDEX(engDados,MATCH(selAnalito&amp;"|"&amp;$B85,engChave,0),23),""))</f>
        <v/>
      </c>
      <c r="BI85" s="30" t="e">
        <f t="shared" si="95"/>
        <v>#N/A</v>
      </c>
      <c r="BJ85" s="30" t="e">
        <f t="shared" si="96"/>
        <v>#N/A</v>
      </c>
      <c r="BK85" s="30" t="e">
        <f t="shared" si="97"/>
        <v>#N/A</v>
      </c>
      <c r="BL85" s="30" t="e">
        <f t="shared" si="98"/>
        <v>#N/A</v>
      </c>
      <c r="BM85" s="30" t="e">
        <f t="shared" si="99"/>
        <v>#N/A</v>
      </c>
      <c r="BN85" s="30" t="e">
        <f t="shared" si="100"/>
        <v>#N/A</v>
      </c>
      <c r="BO85" s="30" t="e">
        <f t="shared" si="101"/>
        <v>#N/A</v>
      </c>
      <c r="BP85" s="30" t="e">
        <f>IF(AND($D85=1,(""&amp;loteAnalise)=(""&amp;loteCarregado),COUNTIFS(regAnalito,selAnalito,regNivel,3,regData,$C85,regRep1,"&lt;&gt;")&gt;0),SUMIFS(regRep1,regAnalito,selAnalito,regNivel,3,regData,$C85),NA())</f>
        <v>#N/A</v>
      </c>
      <c r="BQ85" s="30" t="e">
        <f>IF(AND($D85=1,(""&amp;loteAnalise)=(""&amp;loteCarregado),COUNTIFS(regAnalito,selAnalito,regNivel,3,regData,$C85,regRep2,"&lt;&gt;")&gt;0),SUMIFS(regRep2,regAnalito,selAnalito,regNivel,3,regData,$C85),NA())</f>
        <v>#N/A</v>
      </c>
      <c r="BR85" s="30" t="e">
        <f>IF(AND($D85=1,(""&amp;loteAnalise)=(""&amp;loteCarregado),COUNTIFS(regAnalito,selAnalito,regNivel,3,regData,$C85,regRep3,"&lt;&gt;")&gt;0),SUMIFS(regRep3,regAnalito,selAnalito,regNivel,3,regData,$C85),NA())</f>
        <v>#N/A</v>
      </c>
      <c r="BS85" s="30" t="e">
        <f>IF(AND($D85=1,COUNTIFS(regAnalito,selAnalito,regData,$C85,regCalib,"Sim")&gt;0),$BX$1,NA())</f>
        <v>#N/A</v>
      </c>
    </row>
    <row r="86" spans="1:71" x14ac:dyDescent="0.3">
      <c r="A86" s="30">
        <v>84</v>
      </c>
      <c r="B86" s="30" t="str">
        <f>IF(OR(selAnalito="",(""&amp;engAnalito)&lt;&gt;(""&amp;selAnalito),(""&amp;engLote)&lt;&gt;(""&amp;loteAnalise),$A86&gt;N(engNRun)),"",INDEX(engRUN,$A86))</f>
        <v/>
      </c>
      <c r="C86" s="43" t="str">
        <f>IF($B86="","",IF(INDEX(engData,$A86)="","",INDEX(engData,$A86)))</f>
        <v/>
      </c>
      <c r="D86" s="30">
        <f>IF($C86="",0,IF(AND(OR(filtroDe="",INT($C86)&gt;=INT(filtroDe)),OR(filtroAte="",INT($C86)&lt;=INT(filtroAte))),1,0))</f>
        <v>0</v>
      </c>
      <c r="E86" s="30" t="e">
        <f t="shared" si="68"/>
        <v>#N/A</v>
      </c>
      <c r="F86" s="30" t="str">
        <f>IF($B86="","",IF(INDEX(engValN1,$A86)="","",INDEX(engValN1,$A86)))</f>
        <v/>
      </c>
      <c r="G86" s="30" t="str">
        <f t="shared" si="69"/>
        <v/>
      </c>
      <c r="H86" s="30" t="e">
        <f t="shared" si="70"/>
        <v>#N/A</v>
      </c>
      <c r="I86" s="30" t="e">
        <f t="shared" si="71"/>
        <v>#N/A</v>
      </c>
      <c r="J86" s="30" t="e">
        <f t="shared" si="72"/>
        <v>#N/A</v>
      </c>
      <c r="K86" s="30">
        <f>IF($F86="",0,IFERROR(INDEX(engDados,MATCH(selAnalito&amp;"|"&amp;$B86,engChave,0),3),0))</f>
        <v>0</v>
      </c>
      <c r="L86" s="30">
        <f>IF($F86="",0,IFERROR(INDEX(engDados,MATCH(selAnalito&amp;"|"&amp;$B86,engChave,0),4),0))</f>
        <v>0</v>
      </c>
      <c r="M86" s="30">
        <f>IF($F86="",0,IFERROR(INDEX(engDados,MATCH(selAnalito&amp;"|"&amp;$B86,engChave,0),5),0))</f>
        <v>0</v>
      </c>
      <c r="N86" s="30">
        <f>IF($F86="",0,IFERROR(INDEX(engDados,MATCH(selAnalito&amp;"|"&amp;$B86,engChave,0),6),0))</f>
        <v>0</v>
      </c>
      <c r="O86" s="30">
        <f>IF($F86="",0,IFERROR(INDEX(engDados,MATCH(selAnalito&amp;"|"&amp;$B86,engChave,0),7),0))</f>
        <v>0</v>
      </c>
      <c r="P86" s="30" t="str">
        <f>IF($F86="","",IFERROR(INDEX(engDados,MATCH(selAnalito&amp;"|"&amp;$B86,engChave,0),9),""))</f>
        <v/>
      </c>
      <c r="Q86" s="30" t="e">
        <f t="shared" si="73"/>
        <v>#N/A</v>
      </c>
      <c r="R86" s="30" t="e">
        <f t="shared" si="74"/>
        <v>#N/A</v>
      </c>
      <c r="S86" s="30" t="e">
        <f t="shared" si="75"/>
        <v>#N/A</v>
      </c>
      <c r="T86" s="30" t="e">
        <f t="shared" si="76"/>
        <v>#N/A</v>
      </c>
      <c r="U86" s="30" t="e">
        <f t="shared" si="77"/>
        <v>#N/A</v>
      </c>
      <c r="V86" s="30" t="e">
        <f t="shared" si="78"/>
        <v>#N/A</v>
      </c>
      <c r="W86" s="30" t="e">
        <f t="shared" si="79"/>
        <v>#N/A</v>
      </c>
      <c r="X86" s="30" t="e">
        <f>IF(AND($D86=1,(""&amp;loteAnalise)=(""&amp;loteCarregado),COUNTIFS(regAnalito,selAnalito,regNivel,1,regData,$C86,regRep1,"&lt;&gt;")&gt;0),SUMIFS(regRep1,regAnalito,selAnalito,regNivel,1,regData,$C86),NA())</f>
        <v>#N/A</v>
      </c>
      <c r="Y86" s="30" t="e">
        <f>IF(AND($D86=1,(""&amp;loteAnalise)=(""&amp;loteCarregado),COUNTIFS(regAnalito,selAnalito,regNivel,1,regData,$C86,regRep2,"&lt;&gt;")&gt;0),SUMIFS(regRep2,regAnalito,selAnalito,regNivel,1,regData,$C86),NA())</f>
        <v>#N/A</v>
      </c>
      <c r="Z86" s="30" t="e">
        <f>IF(AND($D86=1,(""&amp;loteAnalise)=(""&amp;loteCarregado),COUNTIFS(regAnalito,selAnalito,regNivel,1,regData,$C86,regRep3,"&lt;&gt;")&gt;0),SUMIFS(regRep3,regAnalito,selAnalito,regNivel,1,regData,$C86),NA())</f>
        <v>#N/A</v>
      </c>
      <c r="AA86" s="30" t="e">
        <f>IF(AND($D86=1,COUNTIFS(regAnalito,selAnalito,regData,$C86,regCalib,"Sim")&gt;0),$BT$1,NA())</f>
        <v>#N/A</v>
      </c>
      <c r="AB86" s="30" t="str">
        <f>IF($B86="","",IF(INDEX(engValN2,$A86)="","",INDEX(engValN2,$A86)))</f>
        <v/>
      </c>
      <c r="AC86" s="30" t="str">
        <f t="shared" si="80"/>
        <v/>
      </c>
      <c r="AD86" s="30" t="e">
        <f t="shared" si="81"/>
        <v>#N/A</v>
      </c>
      <c r="AE86" s="30" t="e">
        <f t="shared" si="82"/>
        <v>#N/A</v>
      </c>
      <c r="AF86" s="30" t="e">
        <f t="shared" si="83"/>
        <v>#N/A</v>
      </c>
      <c r="AG86" s="30">
        <f>IF($AB86="",0,IFERROR(INDEX(engDados,MATCH(selAnalito&amp;"|"&amp;$B86,engChave,0),10),0))</f>
        <v>0</v>
      </c>
      <c r="AH86" s="30">
        <f>IF($AB86="",0,IFERROR(INDEX(engDados,MATCH(selAnalito&amp;"|"&amp;$B86,engChave,0),11),0))</f>
        <v>0</v>
      </c>
      <c r="AI86" s="30">
        <f>IF($AB86="",0,IFERROR(INDEX(engDados,MATCH(selAnalito&amp;"|"&amp;$B86,engChave,0),12),0))</f>
        <v>0</v>
      </c>
      <c r="AJ86" s="30">
        <f>IF($AB86="",0,IFERROR(INDEX(engDados,MATCH(selAnalito&amp;"|"&amp;$B86,engChave,0),13),0))</f>
        <v>0</v>
      </c>
      <c r="AK86" s="30">
        <f>IF($AB86="",0,IFERROR(INDEX(engDados,MATCH(selAnalito&amp;"|"&amp;$B86,engChave,0),14),0))</f>
        <v>0</v>
      </c>
      <c r="AL86" s="30" t="str">
        <f>IF($AB86="","",IFERROR(INDEX(engDados,MATCH(selAnalito&amp;"|"&amp;$B86,engChave,0),16),""))</f>
        <v/>
      </c>
      <c r="AM86" s="30" t="e">
        <f t="shared" si="84"/>
        <v>#N/A</v>
      </c>
      <c r="AN86" s="30" t="e">
        <f t="shared" si="85"/>
        <v>#N/A</v>
      </c>
      <c r="AO86" s="30" t="e">
        <f t="shared" si="86"/>
        <v>#N/A</v>
      </c>
      <c r="AP86" s="30" t="e">
        <f t="shared" si="87"/>
        <v>#N/A</v>
      </c>
      <c r="AQ86" s="30" t="e">
        <f t="shared" si="88"/>
        <v>#N/A</v>
      </c>
      <c r="AR86" s="30" t="e">
        <f t="shared" si="89"/>
        <v>#N/A</v>
      </c>
      <c r="AS86" s="30" t="e">
        <f t="shared" si="90"/>
        <v>#N/A</v>
      </c>
      <c r="AT86" s="30" t="e">
        <f>IF(AND($D86=1,(""&amp;loteAnalise)=(""&amp;loteCarregado),COUNTIFS(regAnalito,selAnalito,regNivel,2,regData,$C86,regRep1,"&lt;&gt;")&gt;0),SUMIFS(regRep1,regAnalito,selAnalito,regNivel,2,regData,$C86),NA())</f>
        <v>#N/A</v>
      </c>
      <c r="AU86" s="30" t="e">
        <f>IF(AND($D86=1,(""&amp;loteAnalise)=(""&amp;loteCarregado),COUNTIFS(regAnalito,selAnalito,regNivel,2,regData,$C86,regRep2,"&lt;&gt;")&gt;0),SUMIFS(regRep2,regAnalito,selAnalito,regNivel,2,regData,$C86),NA())</f>
        <v>#N/A</v>
      </c>
      <c r="AV86" s="30" t="e">
        <f>IF(AND($D86=1,(""&amp;loteAnalise)=(""&amp;loteCarregado),COUNTIFS(regAnalito,selAnalito,regNivel,2,regData,$C86,regRep3,"&lt;&gt;")&gt;0),SUMIFS(regRep3,regAnalito,selAnalito,regNivel,2,regData,$C86),NA())</f>
        <v>#N/A</v>
      </c>
      <c r="AW86" s="30" t="e">
        <f>IF(AND($D86=1,COUNTIFS(regAnalito,selAnalito,regData,$C86,regCalib,"Sim")&gt;0),$BV$1,NA())</f>
        <v>#N/A</v>
      </c>
      <c r="AX86" s="30" t="str">
        <f>IF($B86="","",IF(INDEX(engValN3,$A86)="","",INDEX(engValN3,$A86)))</f>
        <v/>
      </c>
      <c r="AY86" s="30" t="str">
        <f t="shared" si="91"/>
        <v/>
      </c>
      <c r="AZ86" s="30" t="e">
        <f t="shared" si="92"/>
        <v>#N/A</v>
      </c>
      <c r="BA86" s="30" t="e">
        <f t="shared" si="93"/>
        <v>#N/A</v>
      </c>
      <c r="BB86" s="30" t="e">
        <f t="shared" si="94"/>
        <v>#N/A</v>
      </c>
      <c r="BC86" s="30">
        <f>IF($AX86="",0,IFERROR(INDEX(engDados,MATCH(selAnalito&amp;"|"&amp;$B86,engChave,0),17),0))</f>
        <v>0</v>
      </c>
      <c r="BD86" s="30">
        <f>IF($AX86="",0,IFERROR(INDEX(engDados,MATCH(selAnalito&amp;"|"&amp;$B86,engChave,0),18),0))</f>
        <v>0</v>
      </c>
      <c r="BE86" s="30">
        <f>IF($AX86="",0,IFERROR(INDEX(engDados,MATCH(selAnalito&amp;"|"&amp;$B86,engChave,0),19),0))</f>
        <v>0</v>
      </c>
      <c r="BF86" s="30">
        <f>IF($AX86="",0,IFERROR(INDEX(engDados,MATCH(selAnalito&amp;"|"&amp;$B86,engChave,0),20),0))</f>
        <v>0</v>
      </c>
      <c r="BG86" s="30">
        <f>IF($AX86="",0,IFERROR(INDEX(engDados,MATCH(selAnalito&amp;"|"&amp;$B86,engChave,0),21),0))</f>
        <v>0</v>
      </c>
      <c r="BH86" s="30" t="str">
        <f>IF($AX86="","",IFERROR(INDEX(engDados,MATCH(selAnalito&amp;"|"&amp;$B86,engChave,0),23),""))</f>
        <v/>
      </c>
      <c r="BI86" s="30" t="e">
        <f t="shared" si="95"/>
        <v>#N/A</v>
      </c>
      <c r="BJ86" s="30" t="e">
        <f t="shared" si="96"/>
        <v>#N/A</v>
      </c>
      <c r="BK86" s="30" t="e">
        <f t="shared" si="97"/>
        <v>#N/A</v>
      </c>
      <c r="BL86" s="30" t="e">
        <f t="shared" si="98"/>
        <v>#N/A</v>
      </c>
      <c r="BM86" s="30" t="e">
        <f t="shared" si="99"/>
        <v>#N/A</v>
      </c>
      <c r="BN86" s="30" t="e">
        <f t="shared" si="100"/>
        <v>#N/A</v>
      </c>
      <c r="BO86" s="30" t="e">
        <f t="shared" si="101"/>
        <v>#N/A</v>
      </c>
      <c r="BP86" s="30" t="e">
        <f>IF(AND($D86=1,(""&amp;loteAnalise)=(""&amp;loteCarregado),COUNTIFS(regAnalito,selAnalito,regNivel,3,regData,$C86,regRep1,"&lt;&gt;")&gt;0),SUMIFS(regRep1,regAnalito,selAnalito,regNivel,3,regData,$C86),NA())</f>
        <v>#N/A</v>
      </c>
      <c r="BQ86" s="30" t="e">
        <f>IF(AND($D86=1,(""&amp;loteAnalise)=(""&amp;loteCarregado),COUNTIFS(regAnalito,selAnalito,regNivel,3,regData,$C86,regRep2,"&lt;&gt;")&gt;0),SUMIFS(regRep2,regAnalito,selAnalito,regNivel,3,regData,$C86),NA())</f>
        <v>#N/A</v>
      </c>
      <c r="BR86" s="30" t="e">
        <f>IF(AND($D86=1,(""&amp;loteAnalise)=(""&amp;loteCarregado),COUNTIFS(regAnalito,selAnalito,regNivel,3,regData,$C86,regRep3,"&lt;&gt;")&gt;0),SUMIFS(regRep3,regAnalito,selAnalito,regNivel,3,regData,$C86),NA())</f>
        <v>#N/A</v>
      </c>
      <c r="BS86" s="30" t="e">
        <f>IF(AND($D86=1,COUNTIFS(regAnalito,selAnalito,regData,$C86,regCalib,"Sim")&gt;0),$BX$1,NA())</f>
        <v>#N/A</v>
      </c>
    </row>
    <row r="87" spans="1:71" x14ac:dyDescent="0.3">
      <c r="A87" s="30">
        <v>85</v>
      </c>
      <c r="B87" s="30" t="str">
        <f>IF(OR(selAnalito="",(""&amp;engAnalito)&lt;&gt;(""&amp;selAnalito),(""&amp;engLote)&lt;&gt;(""&amp;loteAnalise),$A87&gt;N(engNRun)),"",INDEX(engRUN,$A87))</f>
        <v/>
      </c>
      <c r="C87" s="43" t="str">
        <f>IF($B87="","",IF(INDEX(engData,$A87)="","",INDEX(engData,$A87)))</f>
        <v/>
      </c>
      <c r="D87" s="30">
        <f>IF($C87="",0,IF(AND(OR(filtroDe="",INT($C87)&gt;=INT(filtroDe)),OR(filtroAte="",INT($C87)&lt;=INT(filtroAte))),1,0))</f>
        <v>0</v>
      </c>
      <c r="E87" s="30" t="e">
        <f t="shared" si="68"/>
        <v>#N/A</v>
      </c>
      <c r="F87" s="30" t="str">
        <f>IF($B87="","",IF(INDEX(engValN1,$A87)="","",INDEX(engValN1,$A87)))</f>
        <v/>
      </c>
      <c r="G87" s="30" t="str">
        <f t="shared" si="69"/>
        <v/>
      </c>
      <c r="H87" s="30" t="e">
        <f t="shared" si="70"/>
        <v>#N/A</v>
      </c>
      <c r="I87" s="30" t="e">
        <f t="shared" si="71"/>
        <v>#N/A</v>
      </c>
      <c r="J87" s="30" t="e">
        <f t="shared" si="72"/>
        <v>#N/A</v>
      </c>
      <c r="K87" s="30">
        <f>IF($F87="",0,IFERROR(INDEX(engDados,MATCH(selAnalito&amp;"|"&amp;$B87,engChave,0),3),0))</f>
        <v>0</v>
      </c>
      <c r="L87" s="30">
        <f>IF($F87="",0,IFERROR(INDEX(engDados,MATCH(selAnalito&amp;"|"&amp;$B87,engChave,0),4),0))</f>
        <v>0</v>
      </c>
      <c r="M87" s="30">
        <f>IF($F87="",0,IFERROR(INDEX(engDados,MATCH(selAnalito&amp;"|"&amp;$B87,engChave,0),5),0))</f>
        <v>0</v>
      </c>
      <c r="N87" s="30">
        <f>IF($F87="",0,IFERROR(INDEX(engDados,MATCH(selAnalito&amp;"|"&amp;$B87,engChave,0),6),0))</f>
        <v>0</v>
      </c>
      <c r="O87" s="30">
        <f>IF($F87="",0,IFERROR(INDEX(engDados,MATCH(selAnalito&amp;"|"&amp;$B87,engChave,0),7),0))</f>
        <v>0</v>
      </c>
      <c r="P87" s="30" t="str">
        <f>IF($F87="","",IFERROR(INDEX(engDados,MATCH(selAnalito&amp;"|"&amp;$B87,engChave,0),9),""))</f>
        <v/>
      </c>
      <c r="Q87" s="30" t="e">
        <f t="shared" si="73"/>
        <v>#N/A</v>
      </c>
      <c r="R87" s="30" t="e">
        <f t="shared" si="74"/>
        <v>#N/A</v>
      </c>
      <c r="S87" s="30" t="e">
        <f t="shared" si="75"/>
        <v>#N/A</v>
      </c>
      <c r="T87" s="30" t="e">
        <f t="shared" si="76"/>
        <v>#N/A</v>
      </c>
      <c r="U87" s="30" t="e">
        <f t="shared" si="77"/>
        <v>#N/A</v>
      </c>
      <c r="V87" s="30" t="e">
        <f t="shared" si="78"/>
        <v>#N/A</v>
      </c>
      <c r="W87" s="30" t="e">
        <f t="shared" si="79"/>
        <v>#N/A</v>
      </c>
      <c r="X87" s="30" t="e">
        <f>IF(AND($D87=1,(""&amp;loteAnalise)=(""&amp;loteCarregado),COUNTIFS(regAnalito,selAnalito,regNivel,1,regData,$C87,regRep1,"&lt;&gt;")&gt;0),SUMIFS(regRep1,regAnalito,selAnalito,regNivel,1,regData,$C87),NA())</f>
        <v>#N/A</v>
      </c>
      <c r="Y87" s="30" t="e">
        <f>IF(AND($D87=1,(""&amp;loteAnalise)=(""&amp;loteCarregado),COUNTIFS(regAnalito,selAnalito,regNivel,1,regData,$C87,regRep2,"&lt;&gt;")&gt;0),SUMIFS(regRep2,regAnalito,selAnalito,regNivel,1,regData,$C87),NA())</f>
        <v>#N/A</v>
      </c>
      <c r="Z87" s="30" t="e">
        <f>IF(AND($D87=1,(""&amp;loteAnalise)=(""&amp;loteCarregado),COUNTIFS(regAnalito,selAnalito,regNivel,1,regData,$C87,regRep3,"&lt;&gt;")&gt;0),SUMIFS(regRep3,regAnalito,selAnalito,regNivel,1,regData,$C87),NA())</f>
        <v>#N/A</v>
      </c>
      <c r="AA87" s="30" t="e">
        <f>IF(AND($D87=1,COUNTIFS(regAnalito,selAnalito,regData,$C87,regCalib,"Sim")&gt;0),$BT$1,NA())</f>
        <v>#N/A</v>
      </c>
      <c r="AB87" s="30" t="str">
        <f>IF($B87="","",IF(INDEX(engValN2,$A87)="","",INDEX(engValN2,$A87)))</f>
        <v/>
      </c>
      <c r="AC87" s="30" t="str">
        <f t="shared" si="80"/>
        <v/>
      </c>
      <c r="AD87" s="30" t="e">
        <f t="shared" si="81"/>
        <v>#N/A</v>
      </c>
      <c r="AE87" s="30" t="e">
        <f t="shared" si="82"/>
        <v>#N/A</v>
      </c>
      <c r="AF87" s="30" t="e">
        <f t="shared" si="83"/>
        <v>#N/A</v>
      </c>
      <c r="AG87" s="30">
        <f>IF($AB87="",0,IFERROR(INDEX(engDados,MATCH(selAnalito&amp;"|"&amp;$B87,engChave,0),10),0))</f>
        <v>0</v>
      </c>
      <c r="AH87" s="30">
        <f>IF($AB87="",0,IFERROR(INDEX(engDados,MATCH(selAnalito&amp;"|"&amp;$B87,engChave,0),11),0))</f>
        <v>0</v>
      </c>
      <c r="AI87" s="30">
        <f>IF($AB87="",0,IFERROR(INDEX(engDados,MATCH(selAnalito&amp;"|"&amp;$B87,engChave,0),12),0))</f>
        <v>0</v>
      </c>
      <c r="AJ87" s="30">
        <f>IF($AB87="",0,IFERROR(INDEX(engDados,MATCH(selAnalito&amp;"|"&amp;$B87,engChave,0),13),0))</f>
        <v>0</v>
      </c>
      <c r="AK87" s="30">
        <f>IF($AB87="",0,IFERROR(INDEX(engDados,MATCH(selAnalito&amp;"|"&amp;$B87,engChave,0),14),0))</f>
        <v>0</v>
      </c>
      <c r="AL87" s="30" t="str">
        <f>IF($AB87="","",IFERROR(INDEX(engDados,MATCH(selAnalito&amp;"|"&amp;$B87,engChave,0),16),""))</f>
        <v/>
      </c>
      <c r="AM87" s="30" t="e">
        <f t="shared" si="84"/>
        <v>#N/A</v>
      </c>
      <c r="AN87" s="30" t="e">
        <f t="shared" si="85"/>
        <v>#N/A</v>
      </c>
      <c r="AO87" s="30" t="e">
        <f t="shared" si="86"/>
        <v>#N/A</v>
      </c>
      <c r="AP87" s="30" t="e">
        <f t="shared" si="87"/>
        <v>#N/A</v>
      </c>
      <c r="AQ87" s="30" t="e">
        <f t="shared" si="88"/>
        <v>#N/A</v>
      </c>
      <c r="AR87" s="30" t="e">
        <f t="shared" si="89"/>
        <v>#N/A</v>
      </c>
      <c r="AS87" s="30" t="e">
        <f t="shared" si="90"/>
        <v>#N/A</v>
      </c>
      <c r="AT87" s="30" t="e">
        <f>IF(AND($D87=1,(""&amp;loteAnalise)=(""&amp;loteCarregado),COUNTIFS(regAnalito,selAnalito,regNivel,2,regData,$C87,regRep1,"&lt;&gt;")&gt;0),SUMIFS(regRep1,regAnalito,selAnalito,regNivel,2,regData,$C87),NA())</f>
        <v>#N/A</v>
      </c>
      <c r="AU87" s="30" t="e">
        <f>IF(AND($D87=1,(""&amp;loteAnalise)=(""&amp;loteCarregado),COUNTIFS(regAnalito,selAnalito,regNivel,2,regData,$C87,regRep2,"&lt;&gt;")&gt;0),SUMIFS(regRep2,regAnalito,selAnalito,regNivel,2,regData,$C87),NA())</f>
        <v>#N/A</v>
      </c>
      <c r="AV87" s="30" t="e">
        <f>IF(AND($D87=1,(""&amp;loteAnalise)=(""&amp;loteCarregado),COUNTIFS(regAnalito,selAnalito,regNivel,2,regData,$C87,regRep3,"&lt;&gt;")&gt;0),SUMIFS(regRep3,regAnalito,selAnalito,regNivel,2,regData,$C87),NA())</f>
        <v>#N/A</v>
      </c>
      <c r="AW87" s="30" t="e">
        <f>IF(AND($D87=1,COUNTIFS(regAnalito,selAnalito,regData,$C87,regCalib,"Sim")&gt;0),$BV$1,NA())</f>
        <v>#N/A</v>
      </c>
      <c r="AX87" s="30" t="str">
        <f>IF($B87="","",IF(INDEX(engValN3,$A87)="","",INDEX(engValN3,$A87)))</f>
        <v/>
      </c>
      <c r="AY87" s="30" t="str">
        <f t="shared" si="91"/>
        <v/>
      </c>
      <c r="AZ87" s="30" t="e">
        <f t="shared" si="92"/>
        <v>#N/A</v>
      </c>
      <c r="BA87" s="30" t="e">
        <f t="shared" si="93"/>
        <v>#N/A</v>
      </c>
      <c r="BB87" s="30" t="e">
        <f t="shared" si="94"/>
        <v>#N/A</v>
      </c>
      <c r="BC87" s="30">
        <f>IF($AX87="",0,IFERROR(INDEX(engDados,MATCH(selAnalito&amp;"|"&amp;$B87,engChave,0),17),0))</f>
        <v>0</v>
      </c>
      <c r="BD87" s="30">
        <f>IF($AX87="",0,IFERROR(INDEX(engDados,MATCH(selAnalito&amp;"|"&amp;$B87,engChave,0),18),0))</f>
        <v>0</v>
      </c>
      <c r="BE87" s="30">
        <f>IF($AX87="",0,IFERROR(INDEX(engDados,MATCH(selAnalito&amp;"|"&amp;$B87,engChave,0),19),0))</f>
        <v>0</v>
      </c>
      <c r="BF87" s="30">
        <f>IF($AX87="",0,IFERROR(INDEX(engDados,MATCH(selAnalito&amp;"|"&amp;$B87,engChave,0),20),0))</f>
        <v>0</v>
      </c>
      <c r="BG87" s="30">
        <f>IF($AX87="",0,IFERROR(INDEX(engDados,MATCH(selAnalito&amp;"|"&amp;$B87,engChave,0),21),0))</f>
        <v>0</v>
      </c>
      <c r="BH87" s="30" t="str">
        <f>IF($AX87="","",IFERROR(INDEX(engDados,MATCH(selAnalito&amp;"|"&amp;$B87,engChave,0),23),""))</f>
        <v/>
      </c>
      <c r="BI87" s="30" t="e">
        <f t="shared" si="95"/>
        <v>#N/A</v>
      </c>
      <c r="BJ87" s="30" t="e">
        <f t="shared" si="96"/>
        <v>#N/A</v>
      </c>
      <c r="BK87" s="30" t="e">
        <f t="shared" si="97"/>
        <v>#N/A</v>
      </c>
      <c r="BL87" s="30" t="e">
        <f t="shared" si="98"/>
        <v>#N/A</v>
      </c>
      <c r="BM87" s="30" t="e">
        <f t="shared" si="99"/>
        <v>#N/A</v>
      </c>
      <c r="BN87" s="30" t="e">
        <f t="shared" si="100"/>
        <v>#N/A</v>
      </c>
      <c r="BO87" s="30" t="e">
        <f t="shared" si="101"/>
        <v>#N/A</v>
      </c>
      <c r="BP87" s="30" t="e">
        <f>IF(AND($D87=1,(""&amp;loteAnalise)=(""&amp;loteCarregado),COUNTIFS(regAnalito,selAnalito,regNivel,3,regData,$C87,regRep1,"&lt;&gt;")&gt;0),SUMIFS(regRep1,regAnalito,selAnalito,regNivel,3,regData,$C87),NA())</f>
        <v>#N/A</v>
      </c>
      <c r="BQ87" s="30" t="e">
        <f>IF(AND($D87=1,(""&amp;loteAnalise)=(""&amp;loteCarregado),COUNTIFS(regAnalito,selAnalito,regNivel,3,regData,$C87,regRep2,"&lt;&gt;")&gt;0),SUMIFS(regRep2,regAnalito,selAnalito,regNivel,3,regData,$C87),NA())</f>
        <v>#N/A</v>
      </c>
      <c r="BR87" s="30" t="e">
        <f>IF(AND($D87=1,(""&amp;loteAnalise)=(""&amp;loteCarregado),COUNTIFS(regAnalito,selAnalito,regNivel,3,regData,$C87,regRep3,"&lt;&gt;")&gt;0),SUMIFS(regRep3,regAnalito,selAnalito,regNivel,3,regData,$C87),NA())</f>
        <v>#N/A</v>
      </c>
      <c r="BS87" s="30" t="e">
        <f>IF(AND($D87=1,COUNTIFS(regAnalito,selAnalito,regData,$C87,regCalib,"Sim")&gt;0),$BX$1,NA())</f>
        <v>#N/A</v>
      </c>
    </row>
    <row r="88" spans="1:71" x14ac:dyDescent="0.3">
      <c r="A88" s="30">
        <v>86</v>
      </c>
      <c r="B88" s="30" t="str">
        <f>IF(OR(selAnalito="",(""&amp;engAnalito)&lt;&gt;(""&amp;selAnalito),(""&amp;engLote)&lt;&gt;(""&amp;loteAnalise),$A88&gt;N(engNRun)),"",INDEX(engRUN,$A88))</f>
        <v/>
      </c>
      <c r="C88" s="43" t="str">
        <f>IF($B88="","",IF(INDEX(engData,$A88)="","",INDEX(engData,$A88)))</f>
        <v/>
      </c>
      <c r="D88" s="30">
        <f>IF($C88="",0,IF(AND(OR(filtroDe="",INT($C88)&gt;=INT(filtroDe)),OR(filtroAte="",INT($C88)&lt;=INT(filtroAte))),1,0))</f>
        <v>0</v>
      </c>
      <c r="E88" s="30" t="e">
        <f t="shared" si="68"/>
        <v>#N/A</v>
      </c>
      <c r="F88" s="30" t="str">
        <f>IF($B88="","",IF(INDEX(engValN1,$A88)="","",INDEX(engValN1,$A88)))</f>
        <v/>
      </c>
      <c r="G88" s="30" t="str">
        <f t="shared" si="69"/>
        <v/>
      </c>
      <c r="H88" s="30" t="e">
        <f t="shared" si="70"/>
        <v>#N/A</v>
      </c>
      <c r="I88" s="30" t="e">
        <f t="shared" si="71"/>
        <v>#N/A</v>
      </c>
      <c r="J88" s="30" t="e">
        <f t="shared" si="72"/>
        <v>#N/A</v>
      </c>
      <c r="K88" s="30">
        <f>IF($F88="",0,IFERROR(INDEX(engDados,MATCH(selAnalito&amp;"|"&amp;$B88,engChave,0),3),0))</f>
        <v>0</v>
      </c>
      <c r="L88" s="30">
        <f>IF($F88="",0,IFERROR(INDEX(engDados,MATCH(selAnalito&amp;"|"&amp;$B88,engChave,0),4),0))</f>
        <v>0</v>
      </c>
      <c r="M88" s="30">
        <f>IF($F88="",0,IFERROR(INDEX(engDados,MATCH(selAnalito&amp;"|"&amp;$B88,engChave,0),5),0))</f>
        <v>0</v>
      </c>
      <c r="N88" s="30">
        <f>IF($F88="",0,IFERROR(INDEX(engDados,MATCH(selAnalito&amp;"|"&amp;$B88,engChave,0),6),0))</f>
        <v>0</v>
      </c>
      <c r="O88" s="30">
        <f>IF($F88="",0,IFERROR(INDEX(engDados,MATCH(selAnalito&amp;"|"&amp;$B88,engChave,0),7),0))</f>
        <v>0</v>
      </c>
      <c r="P88" s="30" t="str">
        <f>IF($F88="","",IFERROR(INDEX(engDados,MATCH(selAnalito&amp;"|"&amp;$B88,engChave,0),9),""))</f>
        <v/>
      </c>
      <c r="Q88" s="30" t="e">
        <f t="shared" si="73"/>
        <v>#N/A</v>
      </c>
      <c r="R88" s="30" t="e">
        <f t="shared" si="74"/>
        <v>#N/A</v>
      </c>
      <c r="S88" s="30" t="e">
        <f t="shared" si="75"/>
        <v>#N/A</v>
      </c>
      <c r="T88" s="30" t="e">
        <f t="shared" si="76"/>
        <v>#N/A</v>
      </c>
      <c r="U88" s="30" t="e">
        <f t="shared" si="77"/>
        <v>#N/A</v>
      </c>
      <c r="V88" s="30" t="e">
        <f t="shared" si="78"/>
        <v>#N/A</v>
      </c>
      <c r="W88" s="30" t="e">
        <f t="shared" si="79"/>
        <v>#N/A</v>
      </c>
      <c r="X88" s="30" t="e">
        <f>IF(AND($D88=1,(""&amp;loteAnalise)=(""&amp;loteCarregado),COUNTIFS(regAnalito,selAnalito,regNivel,1,regData,$C88,regRep1,"&lt;&gt;")&gt;0),SUMIFS(regRep1,regAnalito,selAnalito,regNivel,1,regData,$C88),NA())</f>
        <v>#N/A</v>
      </c>
      <c r="Y88" s="30" t="e">
        <f>IF(AND($D88=1,(""&amp;loteAnalise)=(""&amp;loteCarregado),COUNTIFS(regAnalito,selAnalito,regNivel,1,regData,$C88,regRep2,"&lt;&gt;")&gt;0),SUMIFS(regRep2,regAnalito,selAnalito,regNivel,1,regData,$C88),NA())</f>
        <v>#N/A</v>
      </c>
      <c r="Z88" s="30" t="e">
        <f>IF(AND($D88=1,(""&amp;loteAnalise)=(""&amp;loteCarregado),COUNTIFS(regAnalito,selAnalito,regNivel,1,regData,$C88,regRep3,"&lt;&gt;")&gt;0),SUMIFS(regRep3,regAnalito,selAnalito,regNivel,1,regData,$C88),NA())</f>
        <v>#N/A</v>
      </c>
      <c r="AA88" s="30" t="e">
        <f>IF(AND($D88=1,COUNTIFS(regAnalito,selAnalito,regData,$C88,regCalib,"Sim")&gt;0),$BT$1,NA())</f>
        <v>#N/A</v>
      </c>
      <c r="AB88" s="30" t="str">
        <f>IF($B88="","",IF(INDEX(engValN2,$A88)="","",INDEX(engValN2,$A88)))</f>
        <v/>
      </c>
      <c r="AC88" s="30" t="str">
        <f t="shared" si="80"/>
        <v/>
      </c>
      <c r="AD88" s="30" t="e">
        <f t="shared" si="81"/>
        <v>#N/A</v>
      </c>
      <c r="AE88" s="30" t="e">
        <f t="shared" si="82"/>
        <v>#N/A</v>
      </c>
      <c r="AF88" s="30" t="e">
        <f t="shared" si="83"/>
        <v>#N/A</v>
      </c>
      <c r="AG88" s="30">
        <f>IF($AB88="",0,IFERROR(INDEX(engDados,MATCH(selAnalito&amp;"|"&amp;$B88,engChave,0),10),0))</f>
        <v>0</v>
      </c>
      <c r="AH88" s="30">
        <f>IF($AB88="",0,IFERROR(INDEX(engDados,MATCH(selAnalito&amp;"|"&amp;$B88,engChave,0),11),0))</f>
        <v>0</v>
      </c>
      <c r="AI88" s="30">
        <f>IF($AB88="",0,IFERROR(INDEX(engDados,MATCH(selAnalito&amp;"|"&amp;$B88,engChave,0),12),0))</f>
        <v>0</v>
      </c>
      <c r="AJ88" s="30">
        <f>IF($AB88="",0,IFERROR(INDEX(engDados,MATCH(selAnalito&amp;"|"&amp;$B88,engChave,0),13),0))</f>
        <v>0</v>
      </c>
      <c r="AK88" s="30">
        <f>IF($AB88="",0,IFERROR(INDEX(engDados,MATCH(selAnalito&amp;"|"&amp;$B88,engChave,0),14),0))</f>
        <v>0</v>
      </c>
      <c r="AL88" s="30" t="str">
        <f>IF($AB88="","",IFERROR(INDEX(engDados,MATCH(selAnalito&amp;"|"&amp;$B88,engChave,0),16),""))</f>
        <v/>
      </c>
      <c r="AM88" s="30" t="e">
        <f t="shared" si="84"/>
        <v>#N/A</v>
      </c>
      <c r="AN88" s="30" t="e">
        <f t="shared" si="85"/>
        <v>#N/A</v>
      </c>
      <c r="AO88" s="30" t="e">
        <f t="shared" si="86"/>
        <v>#N/A</v>
      </c>
      <c r="AP88" s="30" t="e">
        <f t="shared" si="87"/>
        <v>#N/A</v>
      </c>
      <c r="AQ88" s="30" t="e">
        <f t="shared" si="88"/>
        <v>#N/A</v>
      </c>
      <c r="AR88" s="30" t="e">
        <f t="shared" si="89"/>
        <v>#N/A</v>
      </c>
      <c r="AS88" s="30" t="e">
        <f t="shared" si="90"/>
        <v>#N/A</v>
      </c>
      <c r="AT88" s="30" t="e">
        <f>IF(AND($D88=1,(""&amp;loteAnalise)=(""&amp;loteCarregado),COUNTIFS(regAnalito,selAnalito,regNivel,2,regData,$C88,regRep1,"&lt;&gt;")&gt;0),SUMIFS(regRep1,regAnalito,selAnalito,regNivel,2,regData,$C88),NA())</f>
        <v>#N/A</v>
      </c>
      <c r="AU88" s="30" t="e">
        <f>IF(AND($D88=1,(""&amp;loteAnalise)=(""&amp;loteCarregado),COUNTIFS(regAnalito,selAnalito,regNivel,2,regData,$C88,regRep2,"&lt;&gt;")&gt;0),SUMIFS(regRep2,regAnalito,selAnalito,regNivel,2,regData,$C88),NA())</f>
        <v>#N/A</v>
      </c>
      <c r="AV88" s="30" t="e">
        <f>IF(AND($D88=1,(""&amp;loteAnalise)=(""&amp;loteCarregado),COUNTIFS(regAnalito,selAnalito,regNivel,2,regData,$C88,regRep3,"&lt;&gt;")&gt;0),SUMIFS(regRep3,regAnalito,selAnalito,regNivel,2,regData,$C88),NA())</f>
        <v>#N/A</v>
      </c>
      <c r="AW88" s="30" t="e">
        <f>IF(AND($D88=1,COUNTIFS(regAnalito,selAnalito,regData,$C88,regCalib,"Sim")&gt;0),$BV$1,NA())</f>
        <v>#N/A</v>
      </c>
      <c r="AX88" s="30" t="str">
        <f>IF($B88="","",IF(INDEX(engValN3,$A88)="","",INDEX(engValN3,$A88)))</f>
        <v/>
      </c>
      <c r="AY88" s="30" t="str">
        <f t="shared" si="91"/>
        <v/>
      </c>
      <c r="AZ88" s="30" t="e">
        <f t="shared" si="92"/>
        <v>#N/A</v>
      </c>
      <c r="BA88" s="30" t="e">
        <f t="shared" si="93"/>
        <v>#N/A</v>
      </c>
      <c r="BB88" s="30" t="e">
        <f t="shared" si="94"/>
        <v>#N/A</v>
      </c>
      <c r="BC88" s="30">
        <f>IF($AX88="",0,IFERROR(INDEX(engDados,MATCH(selAnalito&amp;"|"&amp;$B88,engChave,0),17),0))</f>
        <v>0</v>
      </c>
      <c r="BD88" s="30">
        <f>IF($AX88="",0,IFERROR(INDEX(engDados,MATCH(selAnalito&amp;"|"&amp;$B88,engChave,0),18),0))</f>
        <v>0</v>
      </c>
      <c r="BE88" s="30">
        <f>IF($AX88="",0,IFERROR(INDEX(engDados,MATCH(selAnalito&amp;"|"&amp;$B88,engChave,0),19),0))</f>
        <v>0</v>
      </c>
      <c r="BF88" s="30">
        <f>IF($AX88="",0,IFERROR(INDEX(engDados,MATCH(selAnalito&amp;"|"&amp;$B88,engChave,0),20),0))</f>
        <v>0</v>
      </c>
      <c r="BG88" s="30">
        <f>IF($AX88="",0,IFERROR(INDEX(engDados,MATCH(selAnalito&amp;"|"&amp;$B88,engChave,0),21),0))</f>
        <v>0</v>
      </c>
      <c r="BH88" s="30" t="str">
        <f>IF($AX88="","",IFERROR(INDEX(engDados,MATCH(selAnalito&amp;"|"&amp;$B88,engChave,0),23),""))</f>
        <v/>
      </c>
      <c r="BI88" s="30" t="e">
        <f t="shared" si="95"/>
        <v>#N/A</v>
      </c>
      <c r="BJ88" s="30" t="e">
        <f t="shared" si="96"/>
        <v>#N/A</v>
      </c>
      <c r="BK88" s="30" t="e">
        <f t="shared" si="97"/>
        <v>#N/A</v>
      </c>
      <c r="BL88" s="30" t="e">
        <f t="shared" si="98"/>
        <v>#N/A</v>
      </c>
      <c r="BM88" s="30" t="e">
        <f t="shared" si="99"/>
        <v>#N/A</v>
      </c>
      <c r="BN88" s="30" t="e">
        <f t="shared" si="100"/>
        <v>#N/A</v>
      </c>
      <c r="BO88" s="30" t="e">
        <f t="shared" si="101"/>
        <v>#N/A</v>
      </c>
      <c r="BP88" s="30" t="e">
        <f>IF(AND($D88=1,(""&amp;loteAnalise)=(""&amp;loteCarregado),COUNTIFS(regAnalito,selAnalito,regNivel,3,regData,$C88,regRep1,"&lt;&gt;")&gt;0),SUMIFS(regRep1,regAnalito,selAnalito,regNivel,3,regData,$C88),NA())</f>
        <v>#N/A</v>
      </c>
      <c r="BQ88" s="30" t="e">
        <f>IF(AND($D88=1,(""&amp;loteAnalise)=(""&amp;loteCarregado),COUNTIFS(regAnalito,selAnalito,regNivel,3,regData,$C88,regRep2,"&lt;&gt;")&gt;0),SUMIFS(regRep2,regAnalito,selAnalito,regNivel,3,regData,$C88),NA())</f>
        <v>#N/A</v>
      </c>
      <c r="BR88" s="30" t="e">
        <f>IF(AND($D88=1,(""&amp;loteAnalise)=(""&amp;loteCarregado),COUNTIFS(regAnalito,selAnalito,regNivel,3,regData,$C88,regRep3,"&lt;&gt;")&gt;0),SUMIFS(regRep3,regAnalito,selAnalito,regNivel,3,regData,$C88),NA())</f>
        <v>#N/A</v>
      </c>
      <c r="BS88" s="30" t="e">
        <f>IF(AND($D88=1,COUNTIFS(regAnalito,selAnalito,regData,$C88,regCalib,"Sim")&gt;0),$BX$1,NA())</f>
        <v>#N/A</v>
      </c>
    </row>
    <row r="89" spans="1:71" x14ac:dyDescent="0.3">
      <c r="A89" s="30">
        <v>87</v>
      </c>
      <c r="B89" s="30" t="str">
        <f>IF(OR(selAnalito="",(""&amp;engAnalito)&lt;&gt;(""&amp;selAnalito),(""&amp;engLote)&lt;&gt;(""&amp;loteAnalise),$A89&gt;N(engNRun)),"",INDEX(engRUN,$A89))</f>
        <v/>
      </c>
      <c r="C89" s="43" t="str">
        <f>IF($B89="","",IF(INDEX(engData,$A89)="","",INDEX(engData,$A89)))</f>
        <v/>
      </c>
      <c r="D89" s="30">
        <f>IF($C89="",0,IF(AND(OR(filtroDe="",INT($C89)&gt;=INT(filtroDe)),OR(filtroAte="",INT($C89)&lt;=INT(filtroAte))),1,0))</f>
        <v>0</v>
      </c>
      <c r="E89" s="30" t="e">
        <f t="shared" si="68"/>
        <v>#N/A</v>
      </c>
      <c r="F89" s="30" t="str">
        <f>IF($B89="","",IF(INDEX(engValN1,$A89)="","",INDEX(engValN1,$A89)))</f>
        <v/>
      </c>
      <c r="G89" s="30" t="str">
        <f t="shared" si="69"/>
        <v/>
      </c>
      <c r="H89" s="30" t="e">
        <f t="shared" si="70"/>
        <v>#N/A</v>
      </c>
      <c r="I89" s="30" t="e">
        <f t="shared" si="71"/>
        <v>#N/A</v>
      </c>
      <c r="J89" s="30" t="e">
        <f t="shared" si="72"/>
        <v>#N/A</v>
      </c>
      <c r="K89" s="30">
        <f>IF($F89="",0,IFERROR(INDEX(engDados,MATCH(selAnalito&amp;"|"&amp;$B89,engChave,0),3),0))</f>
        <v>0</v>
      </c>
      <c r="L89" s="30">
        <f>IF($F89="",0,IFERROR(INDEX(engDados,MATCH(selAnalito&amp;"|"&amp;$B89,engChave,0),4),0))</f>
        <v>0</v>
      </c>
      <c r="M89" s="30">
        <f>IF($F89="",0,IFERROR(INDEX(engDados,MATCH(selAnalito&amp;"|"&amp;$B89,engChave,0),5),0))</f>
        <v>0</v>
      </c>
      <c r="N89" s="30">
        <f>IF($F89="",0,IFERROR(INDEX(engDados,MATCH(selAnalito&amp;"|"&amp;$B89,engChave,0),6),0))</f>
        <v>0</v>
      </c>
      <c r="O89" s="30">
        <f>IF($F89="",0,IFERROR(INDEX(engDados,MATCH(selAnalito&amp;"|"&amp;$B89,engChave,0),7),0))</f>
        <v>0</v>
      </c>
      <c r="P89" s="30" t="str">
        <f>IF($F89="","",IFERROR(INDEX(engDados,MATCH(selAnalito&amp;"|"&amp;$B89,engChave,0),9),""))</f>
        <v/>
      </c>
      <c r="Q89" s="30" t="e">
        <f t="shared" si="73"/>
        <v>#N/A</v>
      </c>
      <c r="R89" s="30" t="e">
        <f t="shared" si="74"/>
        <v>#N/A</v>
      </c>
      <c r="S89" s="30" t="e">
        <f t="shared" si="75"/>
        <v>#N/A</v>
      </c>
      <c r="T89" s="30" t="e">
        <f t="shared" si="76"/>
        <v>#N/A</v>
      </c>
      <c r="U89" s="30" t="e">
        <f t="shared" si="77"/>
        <v>#N/A</v>
      </c>
      <c r="V89" s="30" t="e">
        <f t="shared" si="78"/>
        <v>#N/A</v>
      </c>
      <c r="W89" s="30" t="e">
        <f t="shared" si="79"/>
        <v>#N/A</v>
      </c>
      <c r="X89" s="30" t="e">
        <f>IF(AND($D89=1,(""&amp;loteAnalise)=(""&amp;loteCarregado),COUNTIFS(regAnalito,selAnalito,regNivel,1,regData,$C89,regRep1,"&lt;&gt;")&gt;0),SUMIFS(regRep1,regAnalito,selAnalito,regNivel,1,regData,$C89),NA())</f>
        <v>#N/A</v>
      </c>
      <c r="Y89" s="30" t="e">
        <f>IF(AND($D89=1,(""&amp;loteAnalise)=(""&amp;loteCarregado),COUNTIFS(regAnalito,selAnalito,regNivel,1,regData,$C89,regRep2,"&lt;&gt;")&gt;0),SUMIFS(regRep2,regAnalito,selAnalito,regNivel,1,regData,$C89),NA())</f>
        <v>#N/A</v>
      </c>
      <c r="Z89" s="30" t="e">
        <f>IF(AND($D89=1,(""&amp;loteAnalise)=(""&amp;loteCarregado),COUNTIFS(regAnalito,selAnalito,regNivel,1,regData,$C89,regRep3,"&lt;&gt;")&gt;0),SUMIFS(regRep3,regAnalito,selAnalito,regNivel,1,regData,$C89),NA())</f>
        <v>#N/A</v>
      </c>
      <c r="AA89" s="30" t="e">
        <f>IF(AND($D89=1,COUNTIFS(regAnalito,selAnalito,regData,$C89,regCalib,"Sim")&gt;0),$BT$1,NA())</f>
        <v>#N/A</v>
      </c>
      <c r="AB89" s="30" t="str">
        <f>IF($B89="","",IF(INDEX(engValN2,$A89)="","",INDEX(engValN2,$A89)))</f>
        <v/>
      </c>
      <c r="AC89" s="30" t="str">
        <f t="shared" si="80"/>
        <v/>
      </c>
      <c r="AD89" s="30" t="e">
        <f t="shared" si="81"/>
        <v>#N/A</v>
      </c>
      <c r="AE89" s="30" t="e">
        <f t="shared" si="82"/>
        <v>#N/A</v>
      </c>
      <c r="AF89" s="30" t="e">
        <f t="shared" si="83"/>
        <v>#N/A</v>
      </c>
      <c r="AG89" s="30">
        <f>IF($AB89="",0,IFERROR(INDEX(engDados,MATCH(selAnalito&amp;"|"&amp;$B89,engChave,0),10),0))</f>
        <v>0</v>
      </c>
      <c r="AH89" s="30">
        <f>IF($AB89="",0,IFERROR(INDEX(engDados,MATCH(selAnalito&amp;"|"&amp;$B89,engChave,0),11),0))</f>
        <v>0</v>
      </c>
      <c r="AI89" s="30">
        <f>IF($AB89="",0,IFERROR(INDEX(engDados,MATCH(selAnalito&amp;"|"&amp;$B89,engChave,0),12),0))</f>
        <v>0</v>
      </c>
      <c r="AJ89" s="30">
        <f>IF($AB89="",0,IFERROR(INDEX(engDados,MATCH(selAnalito&amp;"|"&amp;$B89,engChave,0),13),0))</f>
        <v>0</v>
      </c>
      <c r="AK89" s="30">
        <f>IF($AB89="",0,IFERROR(INDEX(engDados,MATCH(selAnalito&amp;"|"&amp;$B89,engChave,0),14),0))</f>
        <v>0</v>
      </c>
      <c r="AL89" s="30" t="str">
        <f>IF($AB89="","",IFERROR(INDEX(engDados,MATCH(selAnalito&amp;"|"&amp;$B89,engChave,0),16),""))</f>
        <v/>
      </c>
      <c r="AM89" s="30" t="e">
        <f t="shared" si="84"/>
        <v>#N/A</v>
      </c>
      <c r="AN89" s="30" t="e">
        <f t="shared" si="85"/>
        <v>#N/A</v>
      </c>
      <c r="AO89" s="30" t="e">
        <f t="shared" si="86"/>
        <v>#N/A</v>
      </c>
      <c r="AP89" s="30" t="e">
        <f t="shared" si="87"/>
        <v>#N/A</v>
      </c>
      <c r="AQ89" s="30" t="e">
        <f t="shared" si="88"/>
        <v>#N/A</v>
      </c>
      <c r="AR89" s="30" t="e">
        <f t="shared" si="89"/>
        <v>#N/A</v>
      </c>
      <c r="AS89" s="30" t="e">
        <f t="shared" si="90"/>
        <v>#N/A</v>
      </c>
      <c r="AT89" s="30" t="e">
        <f>IF(AND($D89=1,(""&amp;loteAnalise)=(""&amp;loteCarregado),COUNTIFS(regAnalito,selAnalito,regNivel,2,regData,$C89,regRep1,"&lt;&gt;")&gt;0),SUMIFS(regRep1,regAnalito,selAnalito,regNivel,2,regData,$C89),NA())</f>
        <v>#N/A</v>
      </c>
      <c r="AU89" s="30" t="e">
        <f>IF(AND($D89=1,(""&amp;loteAnalise)=(""&amp;loteCarregado),COUNTIFS(regAnalito,selAnalito,regNivel,2,regData,$C89,regRep2,"&lt;&gt;")&gt;0),SUMIFS(regRep2,regAnalito,selAnalito,regNivel,2,regData,$C89),NA())</f>
        <v>#N/A</v>
      </c>
      <c r="AV89" s="30" t="e">
        <f>IF(AND($D89=1,(""&amp;loteAnalise)=(""&amp;loteCarregado),COUNTIFS(regAnalito,selAnalito,regNivel,2,regData,$C89,regRep3,"&lt;&gt;")&gt;0),SUMIFS(regRep3,regAnalito,selAnalito,regNivel,2,regData,$C89),NA())</f>
        <v>#N/A</v>
      </c>
      <c r="AW89" s="30" t="e">
        <f>IF(AND($D89=1,COUNTIFS(regAnalito,selAnalito,regData,$C89,regCalib,"Sim")&gt;0),$BV$1,NA())</f>
        <v>#N/A</v>
      </c>
      <c r="AX89" s="30" t="str">
        <f>IF($B89="","",IF(INDEX(engValN3,$A89)="","",INDEX(engValN3,$A89)))</f>
        <v/>
      </c>
      <c r="AY89" s="30" t="str">
        <f t="shared" si="91"/>
        <v/>
      </c>
      <c r="AZ89" s="30" t="e">
        <f t="shared" si="92"/>
        <v>#N/A</v>
      </c>
      <c r="BA89" s="30" t="e">
        <f t="shared" si="93"/>
        <v>#N/A</v>
      </c>
      <c r="BB89" s="30" t="e">
        <f t="shared" si="94"/>
        <v>#N/A</v>
      </c>
      <c r="BC89" s="30">
        <f>IF($AX89="",0,IFERROR(INDEX(engDados,MATCH(selAnalito&amp;"|"&amp;$B89,engChave,0),17),0))</f>
        <v>0</v>
      </c>
      <c r="BD89" s="30">
        <f>IF($AX89="",0,IFERROR(INDEX(engDados,MATCH(selAnalito&amp;"|"&amp;$B89,engChave,0),18),0))</f>
        <v>0</v>
      </c>
      <c r="BE89" s="30">
        <f>IF($AX89="",0,IFERROR(INDEX(engDados,MATCH(selAnalito&amp;"|"&amp;$B89,engChave,0),19),0))</f>
        <v>0</v>
      </c>
      <c r="BF89" s="30">
        <f>IF($AX89="",0,IFERROR(INDEX(engDados,MATCH(selAnalito&amp;"|"&amp;$B89,engChave,0),20),0))</f>
        <v>0</v>
      </c>
      <c r="BG89" s="30">
        <f>IF($AX89="",0,IFERROR(INDEX(engDados,MATCH(selAnalito&amp;"|"&amp;$B89,engChave,0),21),0))</f>
        <v>0</v>
      </c>
      <c r="BH89" s="30" t="str">
        <f>IF($AX89="","",IFERROR(INDEX(engDados,MATCH(selAnalito&amp;"|"&amp;$B89,engChave,0),23),""))</f>
        <v/>
      </c>
      <c r="BI89" s="30" t="e">
        <f t="shared" si="95"/>
        <v>#N/A</v>
      </c>
      <c r="BJ89" s="30" t="e">
        <f t="shared" si="96"/>
        <v>#N/A</v>
      </c>
      <c r="BK89" s="30" t="e">
        <f t="shared" si="97"/>
        <v>#N/A</v>
      </c>
      <c r="BL89" s="30" t="e">
        <f t="shared" si="98"/>
        <v>#N/A</v>
      </c>
      <c r="BM89" s="30" t="e">
        <f t="shared" si="99"/>
        <v>#N/A</v>
      </c>
      <c r="BN89" s="30" t="e">
        <f t="shared" si="100"/>
        <v>#N/A</v>
      </c>
      <c r="BO89" s="30" t="e">
        <f t="shared" si="101"/>
        <v>#N/A</v>
      </c>
      <c r="BP89" s="30" t="e">
        <f>IF(AND($D89=1,(""&amp;loteAnalise)=(""&amp;loteCarregado),COUNTIFS(regAnalito,selAnalito,regNivel,3,regData,$C89,regRep1,"&lt;&gt;")&gt;0),SUMIFS(regRep1,regAnalito,selAnalito,regNivel,3,regData,$C89),NA())</f>
        <v>#N/A</v>
      </c>
      <c r="BQ89" s="30" t="e">
        <f>IF(AND($D89=1,(""&amp;loteAnalise)=(""&amp;loteCarregado),COUNTIFS(regAnalito,selAnalito,regNivel,3,regData,$C89,regRep2,"&lt;&gt;")&gt;0),SUMIFS(regRep2,regAnalito,selAnalito,regNivel,3,regData,$C89),NA())</f>
        <v>#N/A</v>
      </c>
      <c r="BR89" s="30" t="e">
        <f>IF(AND($D89=1,(""&amp;loteAnalise)=(""&amp;loteCarregado),COUNTIFS(regAnalito,selAnalito,regNivel,3,regData,$C89,regRep3,"&lt;&gt;")&gt;0),SUMIFS(regRep3,regAnalito,selAnalito,regNivel,3,regData,$C89),NA())</f>
        <v>#N/A</v>
      </c>
      <c r="BS89" s="30" t="e">
        <f>IF(AND($D89=1,COUNTIFS(regAnalito,selAnalito,regData,$C89,regCalib,"Sim")&gt;0),$BX$1,NA())</f>
        <v>#N/A</v>
      </c>
    </row>
    <row r="90" spans="1:71" x14ac:dyDescent="0.3">
      <c r="A90" s="30">
        <v>88</v>
      </c>
      <c r="B90" s="30" t="str">
        <f>IF(OR(selAnalito="",(""&amp;engAnalito)&lt;&gt;(""&amp;selAnalito),(""&amp;engLote)&lt;&gt;(""&amp;loteAnalise),$A90&gt;N(engNRun)),"",INDEX(engRUN,$A90))</f>
        <v/>
      </c>
      <c r="C90" s="43" t="str">
        <f>IF($B90="","",IF(INDEX(engData,$A90)="","",INDEX(engData,$A90)))</f>
        <v/>
      </c>
      <c r="D90" s="30">
        <f>IF($C90="",0,IF(AND(OR(filtroDe="",INT($C90)&gt;=INT(filtroDe)),OR(filtroAte="",INT($C90)&lt;=INT(filtroAte))),1,0))</f>
        <v>0</v>
      </c>
      <c r="E90" s="30" t="e">
        <f t="shared" si="68"/>
        <v>#N/A</v>
      </c>
      <c r="F90" s="30" t="str">
        <f>IF($B90="","",IF(INDEX(engValN1,$A90)="","",INDEX(engValN1,$A90)))</f>
        <v/>
      </c>
      <c r="G90" s="30" t="str">
        <f t="shared" si="69"/>
        <v/>
      </c>
      <c r="H90" s="30" t="e">
        <f t="shared" si="70"/>
        <v>#N/A</v>
      </c>
      <c r="I90" s="30" t="e">
        <f t="shared" si="71"/>
        <v>#N/A</v>
      </c>
      <c r="J90" s="30" t="e">
        <f t="shared" si="72"/>
        <v>#N/A</v>
      </c>
      <c r="K90" s="30">
        <f>IF($F90="",0,IFERROR(INDEX(engDados,MATCH(selAnalito&amp;"|"&amp;$B90,engChave,0),3),0))</f>
        <v>0</v>
      </c>
      <c r="L90" s="30">
        <f>IF($F90="",0,IFERROR(INDEX(engDados,MATCH(selAnalito&amp;"|"&amp;$B90,engChave,0),4),0))</f>
        <v>0</v>
      </c>
      <c r="M90" s="30">
        <f>IF($F90="",0,IFERROR(INDEX(engDados,MATCH(selAnalito&amp;"|"&amp;$B90,engChave,0),5),0))</f>
        <v>0</v>
      </c>
      <c r="N90" s="30">
        <f>IF($F90="",0,IFERROR(INDEX(engDados,MATCH(selAnalito&amp;"|"&amp;$B90,engChave,0),6),0))</f>
        <v>0</v>
      </c>
      <c r="O90" s="30">
        <f>IF($F90="",0,IFERROR(INDEX(engDados,MATCH(selAnalito&amp;"|"&amp;$B90,engChave,0),7),0))</f>
        <v>0</v>
      </c>
      <c r="P90" s="30" t="str">
        <f>IF($F90="","",IFERROR(INDEX(engDados,MATCH(selAnalito&amp;"|"&amp;$B90,engChave,0),9),""))</f>
        <v/>
      </c>
      <c r="Q90" s="30" t="e">
        <f t="shared" si="73"/>
        <v>#N/A</v>
      </c>
      <c r="R90" s="30" t="e">
        <f t="shared" si="74"/>
        <v>#N/A</v>
      </c>
      <c r="S90" s="30" t="e">
        <f t="shared" si="75"/>
        <v>#N/A</v>
      </c>
      <c r="T90" s="30" t="e">
        <f t="shared" si="76"/>
        <v>#N/A</v>
      </c>
      <c r="U90" s="30" t="e">
        <f t="shared" si="77"/>
        <v>#N/A</v>
      </c>
      <c r="V90" s="30" t="e">
        <f t="shared" si="78"/>
        <v>#N/A</v>
      </c>
      <c r="W90" s="30" t="e">
        <f t="shared" si="79"/>
        <v>#N/A</v>
      </c>
      <c r="X90" s="30" t="e">
        <f>IF(AND($D90=1,(""&amp;loteAnalise)=(""&amp;loteCarregado),COUNTIFS(regAnalito,selAnalito,regNivel,1,regData,$C90,regRep1,"&lt;&gt;")&gt;0),SUMIFS(regRep1,regAnalito,selAnalito,regNivel,1,regData,$C90),NA())</f>
        <v>#N/A</v>
      </c>
      <c r="Y90" s="30" t="e">
        <f>IF(AND($D90=1,(""&amp;loteAnalise)=(""&amp;loteCarregado),COUNTIFS(regAnalito,selAnalito,regNivel,1,regData,$C90,regRep2,"&lt;&gt;")&gt;0),SUMIFS(regRep2,regAnalito,selAnalito,regNivel,1,regData,$C90),NA())</f>
        <v>#N/A</v>
      </c>
      <c r="Z90" s="30" t="e">
        <f>IF(AND($D90=1,(""&amp;loteAnalise)=(""&amp;loteCarregado),COUNTIFS(regAnalito,selAnalito,regNivel,1,regData,$C90,regRep3,"&lt;&gt;")&gt;0),SUMIFS(regRep3,regAnalito,selAnalito,regNivel,1,regData,$C90),NA())</f>
        <v>#N/A</v>
      </c>
      <c r="AA90" s="30" t="e">
        <f>IF(AND($D90=1,COUNTIFS(regAnalito,selAnalito,regData,$C90,regCalib,"Sim")&gt;0),$BT$1,NA())</f>
        <v>#N/A</v>
      </c>
      <c r="AB90" s="30" t="str">
        <f>IF($B90="","",IF(INDEX(engValN2,$A90)="","",INDEX(engValN2,$A90)))</f>
        <v/>
      </c>
      <c r="AC90" s="30" t="str">
        <f t="shared" si="80"/>
        <v/>
      </c>
      <c r="AD90" s="30" t="e">
        <f t="shared" si="81"/>
        <v>#N/A</v>
      </c>
      <c r="AE90" s="30" t="e">
        <f t="shared" si="82"/>
        <v>#N/A</v>
      </c>
      <c r="AF90" s="30" t="e">
        <f t="shared" si="83"/>
        <v>#N/A</v>
      </c>
      <c r="AG90" s="30">
        <f>IF($AB90="",0,IFERROR(INDEX(engDados,MATCH(selAnalito&amp;"|"&amp;$B90,engChave,0),10),0))</f>
        <v>0</v>
      </c>
      <c r="AH90" s="30">
        <f>IF($AB90="",0,IFERROR(INDEX(engDados,MATCH(selAnalito&amp;"|"&amp;$B90,engChave,0),11),0))</f>
        <v>0</v>
      </c>
      <c r="AI90" s="30">
        <f>IF($AB90="",0,IFERROR(INDEX(engDados,MATCH(selAnalito&amp;"|"&amp;$B90,engChave,0),12),0))</f>
        <v>0</v>
      </c>
      <c r="AJ90" s="30">
        <f>IF($AB90="",0,IFERROR(INDEX(engDados,MATCH(selAnalito&amp;"|"&amp;$B90,engChave,0),13),0))</f>
        <v>0</v>
      </c>
      <c r="AK90" s="30">
        <f>IF($AB90="",0,IFERROR(INDEX(engDados,MATCH(selAnalito&amp;"|"&amp;$B90,engChave,0),14),0))</f>
        <v>0</v>
      </c>
      <c r="AL90" s="30" t="str">
        <f>IF($AB90="","",IFERROR(INDEX(engDados,MATCH(selAnalito&amp;"|"&amp;$B90,engChave,0),16),""))</f>
        <v/>
      </c>
      <c r="AM90" s="30" t="e">
        <f t="shared" si="84"/>
        <v>#N/A</v>
      </c>
      <c r="AN90" s="30" t="e">
        <f t="shared" si="85"/>
        <v>#N/A</v>
      </c>
      <c r="AO90" s="30" t="e">
        <f t="shared" si="86"/>
        <v>#N/A</v>
      </c>
      <c r="AP90" s="30" t="e">
        <f t="shared" si="87"/>
        <v>#N/A</v>
      </c>
      <c r="AQ90" s="30" t="e">
        <f t="shared" si="88"/>
        <v>#N/A</v>
      </c>
      <c r="AR90" s="30" t="e">
        <f t="shared" si="89"/>
        <v>#N/A</v>
      </c>
      <c r="AS90" s="30" t="e">
        <f t="shared" si="90"/>
        <v>#N/A</v>
      </c>
      <c r="AT90" s="30" t="e">
        <f>IF(AND($D90=1,(""&amp;loteAnalise)=(""&amp;loteCarregado),COUNTIFS(regAnalito,selAnalito,regNivel,2,regData,$C90,regRep1,"&lt;&gt;")&gt;0),SUMIFS(regRep1,regAnalito,selAnalito,regNivel,2,regData,$C90),NA())</f>
        <v>#N/A</v>
      </c>
      <c r="AU90" s="30" t="e">
        <f>IF(AND($D90=1,(""&amp;loteAnalise)=(""&amp;loteCarregado),COUNTIFS(regAnalito,selAnalito,regNivel,2,regData,$C90,regRep2,"&lt;&gt;")&gt;0),SUMIFS(regRep2,regAnalito,selAnalito,regNivel,2,regData,$C90),NA())</f>
        <v>#N/A</v>
      </c>
      <c r="AV90" s="30" t="e">
        <f>IF(AND($D90=1,(""&amp;loteAnalise)=(""&amp;loteCarregado),COUNTIFS(regAnalito,selAnalito,regNivel,2,regData,$C90,regRep3,"&lt;&gt;")&gt;0),SUMIFS(regRep3,regAnalito,selAnalito,regNivel,2,regData,$C90),NA())</f>
        <v>#N/A</v>
      </c>
      <c r="AW90" s="30" t="e">
        <f>IF(AND($D90=1,COUNTIFS(regAnalito,selAnalito,regData,$C90,regCalib,"Sim")&gt;0),$BV$1,NA())</f>
        <v>#N/A</v>
      </c>
      <c r="AX90" s="30" t="str">
        <f>IF($B90="","",IF(INDEX(engValN3,$A90)="","",INDEX(engValN3,$A90)))</f>
        <v/>
      </c>
      <c r="AY90" s="30" t="str">
        <f t="shared" si="91"/>
        <v/>
      </c>
      <c r="AZ90" s="30" t="e">
        <f t="shared" si="92"/>
        <v>#N/A</v>
      </c>
      <c r="BA90" s="30" t="e">
        <f t="shared" si="93"/>
        <v>#N/A</v>
      </c>
      <c r="BB90" s="30" t="e">
        <f t="shared" si="94"/>
        <v>#N/A</v>
      </c>
      <c r="BC90" s="30">
        <f>IF($AX90="",0,IFERROR(INDEX(engDados,MATCH(selAnalito&amp;"|"&amp;$B90,engChave,0),17),0))</f>
        <v>0</v>
      </c>
      <c r="BD90" s="30">
        <f>IF($AX90="",0,IFERROR(INDEX(engDados,MATCH(selAnalito&amp;"|"&amp;$B90,engChave,0),18),0))</f>
        <v>0</v>
      </c>
      <c r="BE90" s="30">
        <f>IF($AX90="",0,IFERROR(INDEX(engDados,MATCH(selAnalito&amp;"|"&amp;$B90,engChave,0),19),0))</f>
        <v>0</v>
      </c>
      <c r="BF90" s="30">
        <f>IF($AX90="",0,IFERROR(INDEX(engDados,MATCH(selAnalito&amp;"|"&amp;$B90,engChave,0),20),0))</f>
        <v>0</v>
      </c>
      <c r="BG90" s="30">
        <f>IF($AX90="",0,IFERROR(INDEX(engDados,MATCH(selAnalito&amp;"|"&amp;$B90,engChave,0),21),0))</f>
        <v>0</v>
      </c>
      <c r="BH90" s="30" t="str">
        <f>IF($AX90="","",IFERROR(INDEX(engDados,MATCH(selAnalito&amp;"|"&amp;$B90,engChave,0),23),""))</f>
        <v/>
      </c>
      <c r="BI90" s="30" t="e">
        <f t="shared" si="95"/>
        <v>#N/A</v>
      </c>
      <c r="BJ90" s="30" t="e">
        <f t="shared" si="96"/>
        <v>#N/A</v>
      </c>
      <c r="BK90" s="30" t="e">
        <f t="shared" si="97"/>
        <v>#N/A</v>
      </c>
      <c r="BL90" s="30" t="e">
        <f t="shared" si="98"/>
        <v>#N/A</v>
      </c>
      <c r="BM90" s="30" t="e">
        <f t="shared" si="99"/>
        <v>#N/A</v>
      </c>
      <c r="BN90" s="30" t="e">
        <f t="shared" si="100"/>
        <v>#N/A</v>
      </c>
      <c r="BO90" s="30" t="e">
        <f t="shared" si="101"/>
        <v>#N/A</v>
      </c>
      <c r="BP90" s="30" t="e">
        <f>IF(AND($D90=1,(""&amp;loteAnalise)=(""&amp;loteCarregado),COUNTIFS(regAnalito,selAnalito,regNivel,3,regData,$C90,regRep1,"&lt;&gt;")&gt;0),SUMIFS(regRep1,regAnalito,selAnalito,regNivel,3,regData,$C90),NA())</f>
        <v>#N/A</v>
      </c>
      <c r="BQ90" s="30" t="e">
        <f>IF(AND($D90=1,(""&amp;loteAnalise)=(""&amp;loteCarregado),COUNTIFS(regAnalito,selAnalito,regNivel,3,regData,$C90,regRep2,"&lt;&gt;")&gt;0),SUMIFS(regRep2,regAnalito,selAnalito,regNivel,3,regData,$C90),NA())</f>
        <v>#N/A</v>
      </c>
      <c r="BR90" s="30" t="e">
        <f>IF(AND($D90=1,(""&amp;loteAnalise)=(""&amp;loteCarregado),COUNTIFS(regAnalito,selAnalito,regNivel,3,regData,$C90,regRep3,"&lt;&gt;")&gt;0),SUMIFS(regRep3,regAnalito,selAnalito,regNivel,3,regData,$C90),NA())</f>
        <v>#N/A</v>
      </c>
      <c r="BS90" s="30" t="e">
        <f>IF(AND($D90=1,COUNTIFS(regAnalito,selAnalito,regData,$C90,regCalib,"Sim")&gt;0),$BX$1,NA())</f>
        <v>#N/A</v>
      </c>
    </row>
    <row r="91" spans="1:71" x14ac:dyDescent="0.3">
      <c r="A91" s="30">
        <v>89</v>
      </c>
      <c r="B91" s="30" t="str">
        <f>IF(OR(selAnalito="",(""&amp;engAnalito)&lt;&gt;(""&amp;selAnalito),(""&amp;engLote)&lt;&gt;(""&amp;loteAnalise),$A91&gt;N(engNRun)),"",INDEX(engRUN,$A91))</f>
        <v/>
      </c>
      <c r="C91" s="43" t="str">
        <f>IF($B91="","",IF(INDEX(engData,$A91)="","",INDEX(engData,$A91)))</f>
        <v/>
      </c>
      <c r="D91" s="30">
        <f>IF($C91="",0,IF(AND(OR(filtroDe="",INT($C91)&gt;=INT(filtroDe)),OR(filtroAte="",INT($C91)&lt;=INT(filtroAte))),1,0))</f>
        <v>0</v>
      </c>
      <c r="E91" s="30" t="e">
        <f t="shared" si="68"/>
        <v>#N/A</v>
      </c>
      <c r="F91" s="30" t="str">
        <f>IF($B91="","",IF(INDEX(engValN1,$A91)="","",INDEX(engValN1,$A91)))</f>
        <v/>
      </c>
      <c r="G91" s="30" t="str">
        <f t="shared" si="69"/>
        <v/>
      </c>
      <c r="H91" s="30" t="e">
        <f t="shared" si="70"/>
        <v>#N/A</v>
      </c>
      <c r="I91" s="30" t="e">
        <f t="shared" si="71"/>
        <v>#N/A</v>
      </c>
      <c r="J91" s="30" t="e">
        <f t="shared" si="72"/>
        <v>#N/A</v>
      </c>
      <c r="K91" s="30">
        <f>IF($F91="",0,IFERROR(INDEX(engDados,MATCH(selAnalito&amp;"|"&amp;$B91,engChave,0),3),0))</f>
        <v>0</v>
      </c>
      <c r="L91" s="30">
        <f>IF($F91="",0,IFERROR(INDEX(engDados,MATCH(selAnalito&amp;"|"&amp;$B91,engChave,0),4),0))</f>
        <v>0</v>
      </c>
      <c r="M91" s="30">
        <f>IF($F91="",0,IFERROR(INDEX(engDados,MATCH(selAnalito&amp;"|"&amp;$B91,engChave,0),5),0))</f>
        <v>0</v>
      </c>
      <c r="N91" s="30">
        <f>IF($F91="",0,IFERROR(INDEX(engDados,MATCH(selAnalito&amp;"|"&amp;$B91,engChave,0),6),0))</f>
        <v>0</v>
      </c>
      <c r="O91" s="30">
        <f>IF($F91="",0,IFERROR(INDEX(engDados,MATCH(selAnalito&amp;"|"&amp;$B91,engChave,0),7),0))</f>
        <v>0</v>
      </c>
      <c r="P91" s="30" t="str">
        <f>IF($F91="","",IFERROR(INDEX(engDados,MATCH(selAnalito&amp;"|"&amp;$B91,engChave,0),9),""))</f>
        <v/>
      </c>
      <c r="Q91" s="30" t="e">
        <f t="shared" si="73"/>
        <v>#N/A</v>
      </c>
      <c r="R91" s="30" t="e">
        <f t="shared" si="74"/>
        <v>#N/A</v>
      </c>
      <c r="S91" s="30" t="e">
        <f t="shared" si="75"/>
        <v>#N/A</v>
      </c>
      <c r="T91" s="30" t="e">
        <f t="shared" si="76"/>
        <v>#N/A</v>
      </c>
      <c r="U91" s="30" t="e">
        <f t="shared" si="77"/>
        <v>#N/A</v>
      </c>
      <c r="V91" s="30" t="e">
        <f t="shared" si="78"/>
        <v>#N/A</v>
      </c>
      <c r="W91" s="30" t="e">
        <f t="shared" si="79"/>
        <v>#N/A</v>
      </c>
      <c r="X91" s="30" t="e">
        <f>IF(AND($D91=1,(""&amp;loteAnalise)=(""&amp;loteCarregado),COUNTIFS(regAnalito,selAnalito,regNivel,1,regData,$C91,regRep1,"&lt;&gt;")&gt;0),SUMIFS(regRep1,regAnalito,selAnalito,regNivel,1,regData,$C91),NA())</f>
        <v>#N/A</v>
      </c>
      <c r="Y91" s="30" t="e">
        <f>IF(AND($D91=1,(""&amp;loteAnalise)=(""&amp;loteCarregado),COUNTIFS(regAnalito,selAnalito,regNivel,1,regData,$C91,regRep2,"&lt;&gt;")&gt;0),SUMIFS(regRep2,regAnalito,selAnalito,regNivel,1,regData,$C91),NA())</f>
        <v>#N/A</v>
      </c>
      <c r="Z91" s="30" t="e">
        <f>IF(AND($D91=1,(""&amp;loteAnalise)=(""&amp;loteCarregado),COUNTIFS(regAnalito,selAnalito,regNivel,1,regData,$C91,regRep3,"&lt;&gt;")&gt;0),SUMIFS(regRep3,regAnalito,selAnalito,regNivel,1,regData,$C91),NA())</f>
        <v>#N/A</v>
      </c>
      <c r="AA91" s="30" t="e">
        <f>IF(AND($D91=1,COUNTIFS(regAnalito,selAnalito,regData,$C91,regCalib,"Sim")&gt;0),$BT$1,NA())</f>
        <v>#N/A</v>
      </c>
      <c r="AB91" s="30" t="str">
        <f>IF($B91="","",IF(INDEX(engValN2,$A91)="","",INDEX(engValN2,$A91)))</f>
        <v/>
      </c>
      <c r="AC91" s="30" t="str">
        <f t="shared" si="80"/>
        <v/>
      </c>
      <c r="AD91" s="30" t="e">
        <f t="shared" si="81"/>
        <v>#N/A</v>
      </c>
      <c r="AE91" s="30" t="e">
        <f t="shared" si="82"/>
        <v>#N/A</v>
      </c>
      <c r="AF91" s="30" t="e">
        <f t="shared" si="83"/>
        <v>#N/A</v>
      </c>
      <c r="AG91" s="30">
        <f>IF($AB91="",0,IFERROR(INDEX(engDados,MATCH(selAnalito&amp;"|"&amp;$B91,engChave,0),10),0))</f>
        <v>0</v>
      </c>
      <c r="AH91" s="30">
        <f>IF($AB91="",0,IFERROR(INDEX(engDados,MATCH(selAnalito&amp;"|"&amp;$B91,engChave,0),11),0))</f>
        <v>0</v>
      </c>
      <c r="AI91" s="30">
        <f>IF($AB91="",0,IFERROR(INDEX(engDados,MATCH(selAnalito&amp;"|"&amp;$B91,engChave,0),12),0))</f>
        <v>0</v>
      </c>
      <c r="AJ91" s="30">
        <f>IF($AB91="",0,IFERROR(INDEX(engDados,MATCH(selAnalito&amp;"|"&amp;$B91,engChave,0),13),0))</f>
        <v>0</v>
      </c>
      <c r="AK91" s="30">
        <f>IF($AB91="",0,IFERROR(INDEX(engDados,MATCH(selAnalito&amp;"|"&amp;$B91,engChave,0),14),0))</f>
        <v>0</v>
      </c>
      <c r="AL91" s="30" t="str">
        <f>IF($AB91="","",IFERROR(INDEX(engDados,MATCH(selAnalito&amp;"|"&amp;$B91,engChave,0),16),""))</f>
        <v/>
      </c>
      <c r="AM91" s="30" t="e">
        <f t="shared" si="84"/>
        <v>#N/A</v>
      </c>
      <c r="AN91" s="30" t="e">
        <f t="shared" si="85"/>
        <v>#N/A</v>
      </c>
      <c r="AO91" s="30" t="e">
        <f t="shared" si="86"/>
        <v>#N/A</v>
      </c>
      <c r="AP91" s="30" t="e">
        <f t="shared" si="87"/>
        <v>#N/A</v>
      </c>
      <c r="AQ91" s="30" t="e">
        <f t="shared" si="88"/>
        <v>#N/A</v>
      </c>
      <c r="AR91" s="30" t="e">
        <f t="shared" si="89"/>
        <v>#N/A</v>
      </c>
      <c r="AS91" s="30" t="e">
        <f t="shared" si="90"/>
        <v>#N/A</v>
      </c>
      <c r="AT91" s="30" t="e">
        <f>IF(AND($D91=1,(""&amp;loteAnalise)=(""&amp;loteCarregado),COUNTIFS(regAnalito,selAnalito,regNivel,2,regData,$C91,regRep1,"&lt;&gt;")&gt;0),SUMIFS(regRep1,regAnalito,selAnalito,regNivel,2,regData,$C91),NA())</f>
        <v>#N/A</v>
      </c>
      <c r="AU91" s="30" t="e">
        <f>IF(AND($D91=1,(""&amp;loteAnalise)=(""&amp;loteCarregado),COUNTIFS(regAnalito,selAnalito,regNivel,2,regData,$C91,regRep2,"&lt;&gt;")&gt;0),SUMIFS(regRep2,regAnalito,selAnalito,regNivel,2,regData,$C91),NA())</f>
        <v>#N/A</v>
      </c>
      <c r="AV91" s="30" t="e">
        <f>IF(AND($D91=1,(""&amp;loteAnalise)=(""&amp;loteCarregado),COUNTIFS(regAnalito,selAnalito,regNivel,2,regData,$C91,regRep3,"&lt;&gt;")&gt;0),SUMIFS(regRep3,regAnalito,selAnalito,regNivel,2,regData,$C91),NA())</f>
        <v>#N/A</v>
      </c>
      <c r="AW91" s="30" t="e">
        <f>IF(AND($D91=1,COUNTIFS(regAnalito,selAnalito,regData,$C91,regCalib,"Sim")&gt;0),$BV$1,NA())</f>
        <v>#N/A</v>
      </c>
      <c r="AX91" s="30" t="str">
        <f>IF($B91="","",IF(INDEX(engValN3,$A91)="","",INDEX(engValN3,$A91)))</f>
        <v/>
      </c>
      <c r="AY91" s="30" t="str">
        <f t="shared" si="91"/>
        <v/>
      </c>
      <c r="AZ91" s="30" t="e">
        <f t="shared" si="92"/>
        <v>#N/A</v>
      </c>
      <c r="BA91" s="30" t="e">
        <f t="shared" si="93"/>
        <v>#N/A</v>
      </c>
      <c r="BB91" s="30" t="e">
        <f t="shared" si="94"/>
        <v>#N/A</v>
      </c>
      <c r="BC91" s="30">
        <f>IF($AX91="",0,IFERROR(INDEX(engDados,MATCH(selAnalito&amp;"|"&amp;$B91,engChave,0),17),0))</f>
        <v>0</v>
      </c>
      <c r="BD91" s="30">
        <f>IF($AX91="",0,IFERROR(INDEX(engDados,MATCH(selAnalito&amp;"|"&amp;$B91,engChave,0),18),0))</f>
        <v>0</v>
      </c>
      <c r="BE91" s="30">
        <f>IF($AX91="",0,IFERROR(INDEX(engDados,MATCH(selAnalito&amp;"|"&amp;$B91,engChave,0),19),0))</f>
        <v>0</v>
      </c>
      <c r="BF91" s="30">
        <f>IF($AX91="",0,IFERROR(INDEX(engDados,MATCH(selAnalito&amp;"|"&amp;$B91,engChave,0),20),0))</f>
        <v>0</v>
      </c>
      <c r="BG91" s="30">
        <f>IF($AX91="",0,IFERROR(INDEX(engDados,MATCH(selAnalito&amp;"|"&amp;$B91,engChave,0),21),0))</f>
        <v>0</v>
      </c>
      <c r="BH91" s="30" t="str">
        <f>IF($AX91="","",IFERROR(INDEX(engDados,MATCH(selAnalito&amp;"|"&amp;$B91,engChave,0),23),""))</f>
        <v/>
      </c>
      <c r="BI91" s="30" t="e">
        <f t="shared" si="95"/>
        <v>#N/A</v>
      </c>
      <c r="BJ91" s="30" t="e">
        <f t="shared" si="96"/>
        <v>#N/A</v>
      </c>
      <c r="BK91" s="30" t="e">
        <f t="shared" si="97"/>
        <v>#N/A</v>
      </c>
      <c r="BL91" s="30" t="e">
        <f t="shared" si="98"/>
        <v>#N/A</v>
      </c>
      <c r="BM91" s="30" t="e">
        <f t="shared" si="99"/>
        <v>#N/A</v>
      </c>
      <c r="BN91" s="30" t="e">
        <f t="shared" si="100"/>
        <v>#N/A</v>
      </c>
      <c r="BO91" s="30" t="e">
        <f t="shared" si="101"/>
        <v>#N/A</v>
      </c>
      <c r="BP91" s="30" t="e">
        <f>IF(AND($D91=1,(""&amp;loteAnalise)=(""&amp;loteCarregado),COUNTIFS(regAnalito,selAnalito,regNivel,3,regData,$C91,regRep1,"&lt;&gt;")&gt;0),SUMIFS(regRep1,regAnalito,selAnalito,regNivel,3,regData,$C91),NA())</f>
        <v>#N/A</v>
      </c>
      <c r="BQ91" s="30" t="e">
        <f>IF(AND($D91=1,(""&amp;loteAnalise)=(""&amp;loteCarregado),COUNTIFS(regAnalito,selAnalito,regNivel,3,regData,$C91,regRep2,"&lt;&gt;")&gt;0),SUMIFS(regRep2,regAnalito,selAnalito,regNivel,3,regData,$C91),NA())</f>
        <v>#N/A</v>
      </c>
      <c r="BR91" s="30" t="e">
        <f>IF(AND($D91=1,(""&amp;loteAnalise)=(""&amp;loteCarregado),COUNTIFS(regAnalito,selAnalito,regNivel,3,regData,$C91,regRep3,"&lt;&gt;")&gt;0),SUMIFS(regRep3,regAnalito,selAnalito,regNivel,3,regData,$C91),NA())</f>
        <v>#N/A</v>
      </c>
      <c r="BS91" s="30" t="e">
        <f>IF(AND($D91=1,COUNTIFS(regAnalito,selAnalito,regData,$C91,regCalib,"Sim")&gt;0),$BX$1,NA())</f>
        <v>#N/A</v>
      </c>
    </row>
    <row r="92" spans="1:71" x14ac:dyDescent="0.3">
      <c r="A92" s="30">
        <v>90</v>
      </c>
      <c r="B92" s="30" t="str">
        <f>IF(OR(selAnalito="",(""&amp;engAnalito)&lt;&gt;(""&amp;selAnalito),(""&amp;engLote)&lt;&gt;(""&amp;loteAnalise),$A92&gt;N(engNRun)),"",INDEX(engRUN,$A92))</f>
        <v/>
      </c>
      <c r="C92" s="43" t="str">
        <f>IF($B92="","",IF(INDEX(engData,$A92)="","",INDEX(engData,$A92)))</f>
        <v/>
      </c>
      <c r="D92" s="30">
        <f>IF($C92="",0,IF(AND(OR(filtroDe="",INT($C92)&gt;=INT(filtroDe)),OR(filtroAte="",INT($C92)&lt;=INT(filtroAte))),1,0))</f>
        <v>0</v>
      </c>
      <c r="E92" s="30" t="e">
        <f t="shared" si="68"/>
        <v>#N/A</v>
      </c>
      <c r="F92" s="30" t="str">
        <f>IF($B92="","",IF(INDEX(engValN1,$A92)="","",INDEX(engValN1,$A92)))</f>
        <v/>
      </c>
      <c r="G92" s="30" t="str">
        <f t="shared" si="69"/>
        <v/>
      </c>
      <c r="H92" s="30" t="e">
        <f t="shared" si="70"/>
        <v>#N/A</v>
      </c>
      <c r="I92" s="30" t="e">
        <f t="shared" si="71"/>
        <v>#N/A</v>
      </c>
      <c r="J92" s="30" t="e">
        <f t="shared" si="72"/>
        <v>#N/A</v>
      </c>
      <c r="K92" s="30">
        <f>IF($F92="",0,IFERROR(INDEX(engDados,MATCH(selAnalito&amp;"|"&amp;$B92,engChave,0),3),0))</f>
        <v>0</v>
      </c>
      <c r="L92" s="30">
        <f>IF($F92="",0,IFERROR(INDEX(engDados,MATCH(selAnalito&amp;"|"&amp;$B92,engChave,0),4),0))</f>
        <v>0</v>
      </c>
      <c r="M92" s="30">
        <f>IF($F92="",0,IFERROR(INDEX(engDados,MATCH(selAnalito&amp;"|"&amp;$B92,engChave,0),5),0))</f>
        <v>0</v>
      </c>
      <c r="N92" s="30">
        <f>IF($F92="",0,IFERROR(INDEX(engDados,MATCH(selAnalito&amp;"|"&amp;$B92,engChave,0),6),0))</f>
        <v>0</v>
      </c>
      <c r="O92" s="30">
        <f>IF($F92="",0,IFERROR(INDEX(engDados,MATCH(selAnalito&amp;"|"&amp;$B92,engChave,0),7),0))</f>
        <v>0</v>
      </c>
      <c r="P92" s="30" t="str">
        <f>IF($F92="","",IFERROR(INDEX(engDados,MATCH(selAnalito&amp;"|"&amp;$B92,engChave,0),9),""))</f>
        <v/>
      </c>
      <c r="Q92" s="30" t="e">
        <f t="shared" si="73"/>
        <v>#N/A</v>
      </c>
      <c r="R92" s="30" t="e">
        <f t="shared" si="74"/>
        <v>#N/A</v>
      </c>
      <c r="S92" s="30" t="e">
        <f t="shared" si="75"/>
        <v>#N/A</v>
      </c>
      <c r="T92" s="30" t="e">
        <f t="shared" si="76"/>
        <v>#N/A</v>
      </c>
      <c r="U92" s="30" t="e">
        <f t="shared" si="77"/>
        <v>#N/A</v>
      </c>
      <c r="V92" s="30" t="e">
        <f t="shared" si="78"/>
        <v>#N/A</v>
      </c>
      <c r="W92" s="30" t="e">
        <f t="shared" si="79"/>
        <v>#N/A</v>
      </c>
      <c r="X92" s="30" t="e">
        <f>IF(AND($D92=1,(""&amp;loteAnalise)=(""&amp;loteCarregado),COUNTIFS(regAnalito,selAnalito,regNivel,1,regData,$C92,regRep1,"&lt;&gt;")&gt;0),SUMIFS(regRep1,regAnalito,selAnalito,regNivel,1,regData,$C92),NA())</f>
        <v>#N/A</v>
      </c>
      <c r="Y92" s="30" t="e">
        <f>IF(AND($D92=1,(""&amp;loteAnalise)=(""&amp;loteCarregado),COUNTIFS(regAnalito,selAnalito,regNivel,1,regData,$C92,regRep2,"&lt;&gt;")&gt;0),SUMIFS(regRep2,regAnalito,selAnalito,regNivel,1,regData,$C92),NA())</f>
        <v>#N/A</v>
      </c>
      <c r="Z92" s="30" t="e">
        <f>IF(AND($D92=1,(""&amp;loteAnalise)=(""&amp;loteCarregado),COUNTIFS(regAnalito,selAnalito,regNivel,1,regData,$C92,regRep3,"&lt;&gt;")&gt;0),SUMIFS(regRep3,regAnalito,selAnalito,regNivel,1,regData,$C92),NA())</f>
        <v>#N/A</v>
      </c>
      <c r="AA92" s="30" t="e">
        <f>IF(AND($D92=1,COUNTIFS(regAnalito,selAnalito,regData,$C92,regCalib,"Sim")&gt;0),$BT$1,NA())</f>
        <v>#N/A</v>
      </c>
      <c r="AB92" s="30" t="str">
        <f>IF($B92="","",IF(INDEX(engValN2,$A92)="","",INDEX(engValN2,$A92)))</f>
        <v/>
      </c>
      <c r="AC92" s="30" t="str">
        <f t="shared" si="80"/>
        <v/>
      </c>
      <c r="AD92" s="30" t="e">
        <f t="shared" si="81"/>
        <v>#N/A</v>
      </c>
      <c r="AE92" s="30" t="e">
        <f t="shared" si="82"/>
        <v>#N/A</v>
      </c>
      <c r="AF92" s="30" t="e">
        <f t="shared" si="83"/>
        <v>#N/A</v>
      </c>
      <c r="AG92" s="30">
        <f>IF($AB92="",0,IFERROR(INDEX(engDados,MATCH(selAnalito&amp;"|"&amp;$B92,engChave,0),10),0))</f>
        <v>0</v>
      </c>
      <c r="AH92" s="30">
        <f>IF($AB92="",0,IFERROR(INDEX(engDados,MATCH(selAnalito&amp;"|"&amp;$B92,engChave,0),11),0))</f>
        <v>0</v>
      </c>
      <c r="AI92" s="30">
        <f>IF($AB92="",0,IFERROR(INDEX(engDados,MATCH(selAnalito&amp;"|"&amp;$B92,engChave,0),12),0))</f>
        <v>0</v>
      </c>
      <c r="AJ92" s="30">
        <f>IF($AB92="",0,IFERROR(INDEX(engDados,MATCH(selAnalito&amp;"|"&amp;$B92,engChave,0),13),0))</f>
        <v>0</v>
      </c>
      <c r="AK92" s="30">
        <f>IF($AB92="",0,IFERROR(INDEX(engDados,MATCH(selAnalito&amp;"|"&amp;$B92,engChave,0),14),0))</f>
        <v>0</v>
      </c>
      <c r="AL92" s="30" t="str">
        <f>IF($AB92="","",IFERROR(INDEX(engDados,MATCH(selAnalito&amp;"|"&amp;$B92,engChave,0),16),""))</f>
        <v/>
      </c>
      <c r="AM92" s="30" t="e">
        <f t="shared" si="84"/>
        <v>#N/A</v>
      </c>
      <c r="AN92" s="30" t="e">
        <f t="shared" si="85"/>
        <v>#N/A</v>
      </c>
      <c r="AO92" s="30" t="e">
        <f t="shared" si="86"/>
        <v>#N/A</v>
      </c>
      <c r="AP92" s="30" t="e">
        <f t="shared" si="87"/>
        <v>#N/A</v>
      </c>
      <c r="AQ92" s="30" t="e">
        <f t="shared" si="88"/>
        <v>#N/A</v>
      </c>
      <c r="AR92" s="30" t="e">
        <f t="shared" si="89"/>
        <v>#N/A</v>
      </c>
      <c r="AS92" s="30" t="e">
        <f t="shared" si="90"/>
        <v>#N/A</v>
      </c>
      <c r="AT92" s="30" t="e">
        <f>IF(AND($D92=1,(""&amp;loteAnalise)=(""&amp;loteCarregado),COUNTIFS(regAnalito,selAnalito,regNivel,2,regData,$C92,regRep1,"&lt;&gt;")&gt;0),SUMIFS(regRep1,regAnalito,selAnalito,regNivel,2,regData,$C92),NA())</f>
        <v>#N/A</v>
      </c>
      <c r="AU92" s="30" t="e">
        <f>IF(AND($D92=1,(""&amp;loteAnalise)=(""&amp;loteCarregado),COUNTIFS(regAnalito,selAnalito,regNivel,2,regData,$C92,regRep2,"&lt;&gt;")&gt;0),SUMIFS(regRep2,regAnalito,selAnalito,regNivel,2,regData,$C92),NA())</f>
        <v>#N/A</v>
      </c>
      <c r="AV92" s="30" t="e">
        <f>IF(AND($D92=1,(""&amp;loteAnalise)=(""&amp;loteCarregado),COUNTIFS(regAnalito,selAnalito,regNivel,2,regData,$C92,regRep3,"&lt;&gt;")&gt;0),SUMIFS(regRep3,regAnalito,selAnalito,regNivel,2,regData,$C92),NA())</f>
        <v>#N/A</v>
      </c>
      <c r="AW92" s="30" t="e">
        <f>IF(AND($D92=1,COUNTIFS(regAnalito,selAnalito,regData,$C92,regCalib,"Sim")&gt;0),$BV$1,NA())</f>
        <v>#N/A</v>
      </c>
      <c r="AX92" s="30" t="str">
        <f>IF($B92="","",IF(INDEX(engValN3,$A92)="","",INDEX(engValN3,$A92)))</f>
        <v/>
      </c>
      <c r="AY92" s="30" t="str">
        <f t="shared" si="91"/>
        <v/>
      </c>
      <c r="AZ92" s="30" t="e">
        <f t="shared" si="92"/>
        <v>#N/A</v>
      </c>
      <c r="BA92" s="30" t="e">
        <f t="shared" si="93"/>
        <v>#N/A</v>
      </c>
      <c r="BB92" s="30" t="e">
        <f t="shared" si="94"/>
        <v>#N/A</v>
      </c>
      <c r="BC92" s="30">
        <f>IF($AX92="",0,IFERROR(INDEX(engDados,MATCH(selAnalito&amp;"|"&amp;$B92,engChave,0),17),0))</f>
        <v>0</v>
      </c>
      <c r="BD92" s="30">
        <f>IF($AX92="",0,IFERROR(INDEX(engDados,MATCH(selAnalito&amp;"|"&amp;$B92,engChave,0),18),0))</f>
        <v>0</v>
      </c>
      <c r="BE92" s="30">
        <f>IF($AX92="",0,IFERROR(INDEX(engDados,MATCH(selAnalito&amp;"|"&amp;$B92,engChave,0),19),0))</f>
        <v>0</v>
      </c>
      <c r="BF92" s="30">
        <f>IF($AX92="",0,IFERROR(INDEX(engDados,MATCH(selAnalito&amp;"|"&amp;$B92,engChave,0),20),0))</f>
        <v>0</v>
      </c>
      <c r="BG92" s="30">
        <f>IF($AX92="",0,IFERROR(INDEX(engDados,MATCH(selAnalito&amp;"|"&amp;$B92,engChave,0),21),0))</f>
        <v>0</v>
      </c>
      <c r="BH92" s="30" t="str">
        <f>IF($AX92="","",IFERROR(INDEX(engDados,MATCH(selAnalito&amp;"|"&amp;$B92,engChave,0),23),""))</f>
        <v/>
      </c>
      <c r="BI92" s="30" t="e">
        <f t="shared" si="95"/>
        <v>#N/A</v>
      </c>
      <c r="BJ92" s="30" t="e">
        <f t="shared" si="96"/>
        <v>#N/A</v>
      </c>
      <c r="BK92" s="30" t="e">
        <f t="shared" si="97"/>
        <v>#N/A</v>
      </c>
      <c r="BL92" s="30" t="e">
        <f t="shared" si="98"/>
        <v>#N/A</v>
      </c>
      <c r="BM92" s="30" t="e">
        <f t="shared" si="99"/>
        <v>#N/A</v>
      </c>
      <c r="BN92" s="30" t="e">
        <f t="shared" si="100"/>
        <v>#N/A</v>
      </c>
      <c r="BO92" s="30" t="e">
        <f t="shared" si="101"/>
        <v>#N/A</v>
      </c>
      <c r="BP92" s="30" t="e">
        <f>IF(AND($D92=1,(""&amp;loteAnalise)=(""&amp;loteCarregado),COUNTIFS(regAnalito,selAnalito,regNivel,3,regData,$C92,regRep1,"&lt;&gt;")&gt;0),SUMIFS(regRep1,regAnalito,selAnalito,regNivel,3,regData,$C92),NA())</f>
        <v>#N/A</v>
      </c>
      <c r="BQ92" s="30" t="e">
        <f>IF(AND($D92=1,(""&amp;loteAnalise)=(""&amp;loteCarregado),COUNTIFS(regAnalito,selAnalito,regNivel,3,regData,$C92,regRep2,"&lt;&gt;")&gt;0),SUMIFS(regRep2,regAnalito,selAnalito,regNivel,3,regData,$C92),NA())</f>
        <v>#N/A</v>
      </c>
      <c r="BR92" s="30" t="e">
        <f>IF(AND($D92=1,(""&amp;loteAnalise)=(""&amp;loteCarregado),COUNTIFS(regAnalito,selAnalito,regNivel,3,regData,$C92,regRep3,"&lt;&gt;")&gt;0),SUMIFS(regRep3,regAnalito,selAnalito,regNivel,3,regData,$C92),NA())</f>
        <v>#N/A</v>
      </c>
      <c r="BS92" s="30" t="e">
        <f>IF(AND($D92=1,COUNTIFS(regAnalito,selAnalito,regData,$C92,regCalib,"Sim")&gt;0),$BX$1,NA())</f>
        <v>#N/A</v>
      </c>
    </row>
    <row r="93" spans="1:71" x14ac:dyDescent="0.3">
      <c r="A93" s="30">
        <v>91</v>
      </c>
      <c r="B93" s="30" t="str">
        <f>IF(OR(selAnalito="",(""&amp;engAnalito)&lt;&gt;(""&amp;selAnalito),(""&amp;engLote)&lt;&gt;(""&amp;loteAnalise),$A93&gt;N(engNRun)),"",INDEX(engRUN,$A93))</f>
        <v/>
      </c>
      <c r="C93" s="43" t="str">
        <f>IF($B93="","",IF(INDEX(engData,$A93)="","",INDEX(engData,$A93)))</f>
        <v/>
      </c>
      <c r="D93" s="30">
        <f>IF($C93="",0,IF(AND(OR(filtroDe="",INT($C93)&gt;=INT(filtroDe)),OR(filtroAte="",INT($C93)&lt;=INT(filtroAte))),1,0))</f>
        <v>0</v>
      </c>
      <c r="E93" s="30" t="e">
        <f t="shared" si="68"/>
        <v>#N/A</v>
      </c>
      <c r="F93" s="30" t="str">
        <f>IF($B93="","",IF(INDEX(engValN1,$A93)="","",INDEX(engValN1,$A93)))</f>
        <v/>
      </c>
      <c r="G93" s="30" t="str">
        <f t="shared" si="69"/>
        <v/>
      </c>
      <c r="H93" s="30" t="e">
        <f t="shared" si="70"/>
        <v>#N/A</v>
      </c>
      <c r="I93" s="30" t="e">
        <f t="shared" si="71"/>
        <v>#N/A</v>
      </c>
      <c r="J93" s="30" t="e">
        <f t="shared" si="72"/>
        <v>#N/A</v>
      </c>
      <c r="K93" s="30">
        <f>IF($F93="",0,IFERROR(INDEX(engDados,MATCH(selAnalito&amp;"|"&amp;$B93,engChave,0),3),0))</f>
        <v>0</v>
      </c>
      <c r="L93" s="30">
        <f>IF($F93="",0,IFERROR(INDEX(engDados,MATCH(selAnalito&amp;"|"&amp;$B93,engChave,0),4),0))</f>
        <v>0</v>
      </c>
      <c r="M93" s="30">
        <f>IF($F93="",0,IFERROR(INDEX(engDados,MATCH(selAnalito&amp;"|"&amp;$B93,engChave,0),5),0))</f>
        <v>0</v>
      </c>
      <c r="N93" s="30">
        <f>IF($F93="",0,IFERROR(INDEX(engDados,MATCH(selAnalito&amp;"|"&amp;$B93,engChave,0),6),0))</f>
        <v>0</v>
      </c>
      <c r="O93" s="30">
        <f>IF($F93="",0,IFERROR(INDEX(engDados,MATCH(selAnalito&amp;"|"&amp;$B93,engChave,0),7),0))</f>
        <v>0</v>
      </c>
      <c r="P93" s="30" t="str">
        <f>IF($F93="","",IFERROR(INDEX(engDados,MATCH(selAnalito&amp;"|"&amp;$B93,engChave,0),9),""))</f>
        <v/>
      </c>
      <c r="Q93" s="30" t="e">
        <f t="shared" si="73"/>
        <v>#N/A</v>
      </c>
      <c r="R93" s="30" t="e">
        <f t="shared" si="74"/>
        <v>#N/A</v>
      </c>
      <c r="S93" s="30" t="e">
        <f t="shared" si="75"/>
        <v>#N/A</v>
      </c>
      <c r="T93" s="30" t="e">
        <f t="shared" si="76"/>
        <v>#N/A</v>
      </c>
      <c r="U93" s="30" t="e">
        <f t="shared" si="77"/>
        <v>#N/A</v>
      </c>
      <c r="V93" s="30" t="e">
        <f t="shared" si="78"/>
        <v>#N/A</v>
      </c>
      <c r="W93" s="30" t="e">
        <f t="shared" si="79"/>
        <v>#N/A</v>
      </c>
      <c r="X93" s="30" t="e">
        <f>IF(AND($D93=1,(""&amp;loteAnalise)=(""&amp;loteCarregado),COUNTIFS(regAnalito,selAnalito,regNivel,1,regData,$C93,regRep1,"&lt;&gt;")&gt;0),SUMIFS(regRep1,regAnalito,selAnalito,regNivel,1,regData,$C93),NA())</f>
        <v>#N/A</v>
      </c>
      <c r="Y93" s="30" t="e">
        <f>IF(AND($D93=1,(""&amp;loteAnalise)=(""&amp;loteCarregado),COUNTIFS(regAnalito,selAnalito,regNivel,1,regData,$C93,regRep2,"&lt;&gt;")&gt;0),SUMIFS(regRep2,regAnalito,selAnalito,regNivel,1,regData,$C93),NA())</f>
        <v>#N/A</v>
      </c>
      <c r="Z93" s="30" t="e">
        <f>IF(AND($D93=1,(""&amp;loteAnalise)=(""&amp;loteCarregado),COUNTIFS(regAnalito,selAnalito,regNivel,1,regData,$C93,regRep3,"&lt;&gt;")&gt;0),SUMIFS(regRep3,regAnalito,selAnalito,regNivel,1,regData,$C93),NA())</f>
        <v>#N/A</v>
      </c>
      <c r="AA93" s="30" t="e">
        <f>IF(AND($D93=1,COUNTIFS(regAnalito,selAnalito,regData,$C93,regCalib,"Sim")&gt;0),$BT$1,NA())</f>
        <v>#N/A</v>
      </c>
      <c r="AB93" s="30" t="str">
        <f>IF($B93="","",IF(INDEX(engValN2,$A93)="","",INDEX(engValN2,$A93)))</f>
        <v/>
      </c>
      <c r="AC93" s="30" t="str">
        <f t="shared" si="80"/>
        <v/>
      </c>
      <c r="AD93" s="30" t="e">
        <f t="shared" si="81"/>
        <v>#N/A</v>
      </c>
      <c r="AE93" s="30" t="e">
        <f t="shared" si="82"/>
        <v>#N/A</v>
      </c>
      <c r="AF93" s="30" t="e">
        <f t="shared" si="83"/>
        <v>#N/A</v>
      </c>
      <c r="AG93" s="30">
        <f>IF($AB93="",0,IFERROR(INDEX(engDados,MATCH(selAnalito&amp;"|"&amp;$B93,engChave,0),10),0))</f>
        <v>0</v>
      </c>
      <c r="AH93" s="30">
        <f>IF($AB93="",0,IFERROR(INDEX(engDados,MATCH(selAnalito&amp;"|"&amp;$B93,engChave,0),11),0))</f>
        <v>0</v>
      </c>
      <c r="AI93" s="30">
        <f>IF($AB93="",0,IFERROR(INDEX(engDados,MATCH(selAnalito&amp;"|"&amp;$B93,engChave,0),12),0))</f>
        <v>0</v>
      </c>
      <c r="AJ93" s="30">
        <f>IF($AB93="",0,IFERROR(INDEX(engDados,MATCH(selAnalito&amp;"|"&amp;$B93,engChave,0),13),0))</f>
        <v>0</v>
      </c>
      <c r="AK93" s="30">
        <f>IF($AB93="",0,IFERROR(INDEX(engDados,MATCH(selAnalito&amp;"|"&amp;$B93,engChave,0),14),0))</f>
        <v>0</v>
      </c>
      <c r="AL93" s="30" t="str">
        <f>IF($AB93="","",IFERROR(INDEX(engDados,MATCH(selAnalito&amp;"|"&amp;$B93,engChave,0),16),""))</f>
        <v/>
      </c>
      <c r="AM93" s="30" t="e">
        <f t="shared" si="84"/>
        <v>#N/A</v>
      </c>
      <c r="AN93" s="30" t="e">
        <f t="shared" si="85"/>
        <v>#N/A</v>
      </c>
      <c r="AO93" s="30" t="e">
        <f t="shared" si="86"/>
        <v>#N/A</v>
      </c>
      <c r="AP93" s="30" t="e">
        <f t="shared" si="87"/>
        <v>#N/A</v>
      </c>
      <c r="AQ93" s="30" t="e">
        <f t="shared" si="88"/>
        <v>#N/A</v>
      </c>
      <c r="AR93" s="30" t="e">
        <f t="shared" si="89"/>
        <v>#N/A</v>
      </c>
      <c r="AS93" s="30" t="e">
        <f t="shared" si="90"/>
        <v>#N/A</v>
      </c>
      <c r="AT93" s="30" t="e">
        <f>IF(AND($D93=1,(""&amp;loteAnalise)=(""&amp;loteCarregado),COUNTIFS(regAnalito,selAnalito,regNivel,2,regData,$C93,regRep1,"&lt;&gt;")&gt;0),SUMIFS(regRep1,regAnalito,selAnalito,regNivel,2,regData,$C93),NA())</f>
        <v>#N/A</v>
      </c>
      <c r="AU93" s="30" t="e">
        <f>IF(AND($D93=1,(""&amp;loteAnalise)=(""&amp;loteCarregado),COUNTIFS(regAnalito,selAnalito,regNivel,2,regData,$C93,regRep2,"&lt;&gt;")&gt;0),SUMIFS(regRep2,regAnalito,selAnalito,regNivel,2,regData,$C93),NA())</f>
        <v>#N/A</v>
      </c>
      <c r="AV93" s="30" t="e">
        <f>IF(AND($D93=1,(""&amp;loteAnalise)=(""&amp;loteCarregado),COUNTIFS(regAnalito,selAnalito,regNivel,2,regData,$C93,regRep3,"&lt;&gt;")&gt;0),SUMIFS(regRep3,regAnalito,selAnalito,regNivel,2,regData,$C93),NA())</f>
        <v>#N/A</v>
      </c>
      <c r="AW93" s="30" t="e">
        <f>IF(AND($D93=1,COUNTIFS(regAnalito,selAnalito,regData,$C93,regCalib,"Sim")&gt;0),$BV$1,NA())</f>
        <v>#N/A</v>
      </c>
      <c r="AX93" s="30" t="str">
        <f>IF($B93="","",IF(INDEX(engValN3,$A93)="","",INDEX(engValN3,$A93)))</f>
        <v/>
      </c>
      <c r="AY93" s="30" t="str">
        <f t="shared" si="91"/>
        <v/>
      </c>
      <c r="AZ93" s="30" t="e">
        <f t="shared" si="92"/>
        <v>#N/A</v>
      </c>
      <c r="BA93" s="30" t="e">
        <f t="shared" si="93"/>
        <v>#N/A</v>
      </c>
      <c r="BB93" s="30" t="e">
        <f t="shared" si="94"/>
        <v>#N/A</v>
      </c>
      <c r="BC93" s="30">
        <f>IF($AX93="",0,IFERROR(INDEX(engDados,MATCH(selAnalito&amp;"|"&amp;$B93,engChave,0),17),0))</f>
        <v>0</v>
      </c>
      <c r="BD93" s="30">
        <f>IF($AX93="",0,IFERROR(INDEX(engDados,MATCH(selAnalito&amp;"|"&amp;$B93,engChave,0),18),0))</f>
        <v>0</v>
      </c>
      <c r="BE93" s="30">
        <f>IF($AX93="",0,IFERROR(INDEX(engDados,MATCH(selAnalito&amp;"|"&amp;$B93,engChave,0),19),0))</f>
        <v>0</v>
      </c>
      <c r="BF93" s="30">
        <f>IF($AX93="",0,IFERROR(INDEX(engDados,MATCH(selAnalito&amp;"|"&amp;$B93,engChave,0),20),0))</f>
        <v>0</v>
      </c>
      <c r="BG93" s="30">
        <f>IF($AX93="",0,IFERROR(INDEX(engDados,MATCH(selAnalito&amp;"|"&amp;$B93,engChave,0),21),0))</f>
        <v>0</v>
      </c>
      <c r="BH93" s="30" t="str">
        <f>IF($AX93="","",IFERROR(INDEX(engDados,MATCH(selAnalito&amp;"|"&amp;$B93,engChave,0),23),""))</f>
        <v/>
      </c>
      <c r="BI93" s="30" t="e">
        <f t="shared" si="95"/>
        <v>#N/A</v>
      </c>
      <c r="BJ93" s="30" t="e">
        <f t="shared" si="96"/>
        <v>#N/A</v>
      </c>
      <c r="BK93" s="30" t="e">
        <f t="shared" si="97"/>
        <v>#N/A</v>
      </c>
      <c r="BL93" s="30" t="e">
        <f t="shared" si="98"/>
        <v>#N/A</v>
      </c>
      <c r="BM93" s="30" t="e">
        <f t="shared" si="99"/>
        <v>#N/A</v>
      </c>
      <c r="BN93" s="30" t="e">
        <f t="shared" si="100"/>
        <v>#N/A</v>
      </c>
      <c r="BO93" s="30" t="e">
        <f t="shared" si="101"/>
        <v>#N/A</v>
      </c>
      <c r="BP93" s="30" t="e">
        <f>IF(AND($D93=1,(""&amp;loteAnalise)=(""&amp;loteCarregado),COUNTIFS(regAnalito,selAnalito,regNivel,3,regData,$C93,regRep1,"&lt;&gt;")&gt;0),SUMIFS(regRep1,regAnalito,selAnalito,regNivel,3,regData,$C93),NA())</f>
        <v>#N/A</v>
      </c>
      <c r="BQ93" s="30" t="e">
        <f>IF(AND($D93=1,(""&amp;loteAnalise)=(""&amp;loteCarregado),COUNTIFS(regAnalito,selAnalito,regNivel,3,regData,$C93,regRep2,"&lt;&gt;")&gt;0),SUMIFS(regRep2,regAnalito,selAnalito,regNivel,3,regData,$C93),NA())</f>
        <v>#N/A</v>
      </c>
      <c r="BR93" s="30" t="e">
        <f>IF(AND($D93=1,(""&amp;loteAnalise)=(""&amp;loteCarregado),COUNTIFS(regAnalito,selAnalito,regNivel,3,regData,$C93,regRep3,"&lt;&gt;")&gt;0),SUMIFS(regRep3,regAnalito,selAnalito,regNivel,3,regData,$C93),NA())</f>
        <v>#N/A</v>
      </c>
      <c r="BS93" s="30" t="e">
        <f>IF(AND($D93=1,COUNTIFS(regAnalito,selAnalito,regData,$C93,regCalib,"Sim")&gt;0),$BX$1,NA())</f>
        <v>#N/A</v>
      </c>
    </row>
    <row r="94" spans="1:71" x14ac:dyDescent="0.3">
      <c r="A94" s="30">
        <v>92</v>
      </c>
      <c r="B94" s="30" t="str">
        <f>IF(OR(selAnalito="",(""&amp;engAnalito)&lt;&gt;(""&amp;selAnalito),(""&amp;engLote)&lt;&gt;(""&amp;loteAnalise),$A94&gt;N(engNRun)),"",INDEX(engRUN,$A94))</f>
        <v/>
      </c>
      <c r="C94" s="43" t="str">
        <f>IF($B94="","",IF(INDEX(engData,$A94)="","",INDEX(engData,$A94)))</f>
        <v/>
      </c>
      <c r="D94" s="30">
        <f>IF($C94="",0,IF(AND(OR(filtroDe="",INT($C94)&gt;=INT(filtroDe)),OR(filtroAte="",INT($C94)&lt;=INT(filtroAte))),1,0))</f>
        <v>0</v>
      </c>
      <c r="E94" s="30" t="e">
        <f t="shared" si="68"/>
        <v>#N/A</v>
      </c>
      <c r="F94" s="30" t="str">
        <f>IF($B94="","",IF(INDEX(engValN1,$A94)="","",INDEX(engValN1,$A94)))</f>
        <v/>
      </c>
      <c r="G94" s="30" t="str">
        <f t="shared" si="69"/>
        <v/>
      </c>
      <c r="H94" s="30" t="e">
        <f t="shared" si="70"/>
        <v>#N/A</v>
      </c>
      <c r="I94" s="30" t="e">
        <f t="shared" si="71"/>
        <v>#N/A</v>
      </c>
      <c r="J94" s="30" t="e">
        <f t="shared" si="72"/>
        <v>#N/A</v>
      </c>
      <c r="K94" s="30">
        <f>IF($F94="",0,IFERROR(INDEX(engDados,MATCH(selAnalito&amp;"|"&amp;$B94,engChave,0),3),0))</f>
        <v>0</v>
      </c>
      <c r="L94" s="30">
        <f>IF($F94="",0,IFERROR(INDEX(engDados,MATCH(selAnalito&amp;"|"&amp;$B94,engChave,0),4),0))</f>
        <v>0</v>
      </c>
      <c r="M94" s="30">
        <f>IF($F94="",0,IFERROR(INDEX(engDados,MATCH(selAnalito&amp;"|"&amp;$B94,engChave,0),5),0))</f>
        <v>0</v>
      </c>
      <c r="N94" s="30">
        <f>IF($F94="",0,IFERROR(INDEX(engDados,MATCH(selAnalito&amp;"|"&amp;$B94,engChave,0),6),0))</f>
        <v>0</v>
      </c>
      <c r="O94" s="30">
        <f>IF($F94="",0,IFERROR(INDEX(engDados,MATCH(selAnalito&amp;"|"&amp;$B94,engChave,0),7),0))</f>
        <v>0</v>
      </c>
      <c r="P94" s="30" t="str">
        <f>IF($F94="","",IFERROR(INDEX(engDados,MATCH(selAnalito&amp;"|"&amp;$B94,engChave,0),9),""))</f>
        <v/>
      </c>
      <c r="Q94" s="30" t="e">
        <f t="shared" si="73"/>
        <v>#N/A</v>
      </c>
      <c r="R94" s="30" t="e">
        <f t="shared" si="74"/>
        <v>#N/A</v>
      </c>
      <c r="S94" s="30" t="e">
        <f t="shared" si="75"/>
        <v>#N/A</v>
      </c>
      <c r="T94" s="30" t="e">
        <f t="shared" si="76"/>
        <v>#N/A</v>
      </c>
      <c r="U94" s="30" t="e">
        <f t="shared" si="77"/>
        <v>#N/A</v>
      </c>
      <c r="V94" s="30" t="e">
        <f t="shared" si="78"/>
        <v>#N/A</v>
      </c>
      <c r="W94" s="30" t="e">
        <f t="shared" si="79"/>
        <v>#N/A</v>
      </c>
      <c r="X94" s="30" t="e">
        <f>IF(AND($D94=1,(""&amp;loteAnalise)=(""&amp;loteCarregado),COUNTIFS(regAnalito,selAnalito,regNivel,1,regData,$C94,regRep1,"&lt;&gt;")&gt;0),SUMIFS(regRep1,regAnalito,selAnalito,regNivel,1,regData,$C94),NA())</f>
        <v>#N/A</v>
      </c>
      <c r="Y94" s="30" t="e">
        <f>IF(AND($D94=1,(""&amp;loteAnalise)=(""&amp;loteCarregado),COUNTIFS(regAnalito,selAnalito,regNivel,1,regData,$C94,regRep2,"&lt;&gt;")&gt;0),SUMIFS(regRep2,regAnalito,selAnalito,regNivel,1,regData,$C94),NA())</f>
        <v>#N/A</v>
      </c>
      <c r="Z94" s="30" t="e">
        <f>IF(AND($D94=1,(""&amp;loteAnalise)=(""&amp;loteCarregado),COUNTIFS(regAnalito,selAnalito,regNivel,1,regData,$C94,regRep3,"&lt;&gt;")&gt;0),SUMIFS(regRep3,regAnalito,selAnalito,regNivel,1,regData,$C94),NA())</f>
        <v>#N/A</v>
      </c>
      <c r="AA94" s="30" t="e">
        <f>IF(AND($D94=1,COUNTIFS(regAnalito,selAnalito,regData,$C94,regCalib,"Sim")&gt;0),$BT$1,NA())</f>
        <v>#N/A</v>
      </c>
      <c r="AB94" s="30" t="str">
        <f>IF($B94="","",IF(INDEX(engValN2,$A94)="","",INDEX(engValN2,$A94)))</f>
        <v/>
      </c>
      <c r="AC94" s="30" t="str">
        <f t="shared" si="80"/>
        <v/>
      </c>
      <c r="AD94" s="30" t="e">
        <f t="shared" si="81"/>
        <v>#N/A</v>
      </c>
      <c r="AE94" s="30" t="e">
        <f t="shared" si="82"/>
        <v>#N/A</v>
      </c>
      <c r="AF94" s="30" t="e">
        <f t="shared" si="83"/>
        <v>#N/A</v>
      </c>
      <c r="AG94" s="30">
        <f>IF($AB94="",0,IFERROR(INDEX(engDados,MATCH(selAnalito&amp;"|"&amp;$B94,engChave,0),10),0))</f>
        <v>0</v>
      </c>
      <c r="AH94" s="30">
        <f>IF($AB94="",0,IFERROR(INDEX(engDados,MATCH(selAnalito&amp;"|"&amp;$B94,engChave,0),11),0))</f>
        <v>0</v>
      </c>
      <c r="AI94" s="30">
        <f>IF($AB94="",0,IFERROR(INDEX(engDados,MATCH(selAnalito&amp;"|"&amp;$B94,engChave,0),12),0))</f>
        <v>0</v>
      </c>
      <c r="AJ94" s="30">
        <f>IF($AB94="",0,IFERROR(INDEX(engDados,MATCH(selAnalito&amp;"|"&amp;$B94,engChave,0),13),0))</f>
        <v>0</v>
      </c>
      <c r="AK94" s="30">
        <f>IF($AB94="",0,IFERROR(INDEX(engDados,MATCH(selAnalito&amp;"|"&amp;$B94,engChave,0),14),0))</f>
        <v>0</v>
      </c>
      <c r="AL94" s="30" t="str">
        <f>IF($AB94="","",IFERROR(INDEX(engDados,MATCH(selAnalito&amp;"|"&amp;$B94,engChave,0),16),""))</f>
        <v/>
      </c>
      <c r="AM94" s="30" t="e">
        <f t="shared" si="84"/>
        <v>#N/A</v>
      </c>
      <c r="AN94" s="30" t="e">
        <f t="shared" si="85"/>
        <v>#N/A</v>
      </c>
      <c r="AO94" s="30" t="e">
        <f t="shared" si="86"/>
        <v>#N/A</v>
      </c>
      <c r="AP94" s="30" t="e">
        <f t="shared" si="87"/>
        <v>#N/A</v>
      </c>
      <c r="AQ94" s="30" t="e">
        <f t="shared" si="88"/>
        <v>#N/A</v>
      </c>
      <c r="AR94" s="30" t="e">
        <f t="shared" si="89"/>
        <v>#N/A</v>
      </c>
      <c r="AS94" s="30" t="e">
        <f t="shared" si="90"/>
        <v>#N/A</v>
      </c>
      <c r="AT94" s="30" t="e">
        <f>IF(AND($D94=1,(""&amp;loteAnalise)=(""&amp;loteCarregado),COUNTIFS(regAnalito,selAnalito,regNivel,2,regData,$C94,regRep1,"&lt;&gt;")&gt;0),SUMIFS(regRep1,regAnalito,selAnalito,regNivel,2,regData,$C94),NA())</f>
        <v>#N/A</v>
      </c>
      <c r="AU94" s="30" t="e">
        <f>IF(AND($D94=1,(""&amp;loteAnalise)=(""&amp;loteCarregado),COUNTIFS(regAnalito,selAnalito,regNivel,2,regData,$C94,regRep2,"&lt;&gt;")&gt;0),SUMIFS(regRep2,regAnalito,selAnalito,regNivel,2,regData,$C94),NA())</f>
        <v>#N/A</v>
      </c>
      <c r="AV94" s="30" t="e">
        <f>IF(AND($D94=1,(""&amp;loteAnalise)=(""&amp;loteCarregado),COUNTIFS(regAnalito,selAnalito,regNivel,2,regData,$C94,regRep3,"&lt;&gt;")&gt;0),SUMIFS(regRep3,regAnalito,selAnalito,regNivel,2,regData,$C94),NA())</f>
        <v>#N/A</v>
      </c>
      <c r="AW94" s="30" t="e">
        <f>IF(AND($D94=1,COUNTIFS(regAnalito,selAnalito,regData,$C94,regCalib,"Sim")&gt;0),$BV$1,NA())</f>
        <v>#N/A</v>
      </c>
      <c r="AX94" s="30" t="str">
        <f>IF($B94="","",IF(INDEX(engValN3,$A94)="","",INDEX(engValN3,$A94)))</f>
        <v/>
      </c>
      <c r="AY94" s="30" t="str">
        <f t="shared" si="91"/>
        <v/>
      </c>
      <c r="AZ94" s="30" t="e">
        <f t="shared" si="92"/>
        <v>#N/A</v>
      </c>
      <c r="BA94" s="30" t="e">
        <f t="shared" si="93"/>
        <v>#N/A</v>
      </c>
      <c r="BB94" s="30" t="e">
        <f t="shared" si="94"/>
        <v>#N/A</v>
      </c>
      <c r="BC94" s="30">
        <f>IF($AX94="",0,IFERROR(INDEX(engDados,MATCH(selAnalito&amp;"|"&amp;$B94,engChave,0),17),0))</f>
        <v>0</v>
      </c>
      <c r="BD94" s="30">
        <f>IF($AX94="",0,IFERROR(INDEX(engDados,MATCH(selAnalito&amp;"|"&amp;$B94,engChave,0),18),0))</f>
        <v>0</v>
      </c>
      <c r="BE94" s="30">
        <f>IF($AX94="",0,IFERROR(INDEX(engDados,MATCH(selAnalito&amp;"|"&amp;$B94,engChave,0),19),0))</f>
        <v>0</v>
      </c>
      <c r="BF94" s="30">
        <f>IF($AX94="",0,IFERROR(INDEX(engDados,MATCH(selAnalito&amp;"|"&amp;$B94,engChave,0),20),0))</f>
        <v>0</v>
      </c>
      <c r="BG94" s="30">
        <f>IF($AX94="",0,IFERROR(INDEX(engDados,MATCH(selAnalito&amp;"|"&amp;$B94,engChave,0),21),0))</f>
        <v>0</v>
      </c>
      <c r="BH94" s="30" t="str">
        <f>IF($AX94="","",IFERROR(INDEX(engDados,MATCH(selAnalito&amp;"|"&amp;$B94,engChave,0),23),""))</f>
        <v/>
      </c>
      <c r="BI94" s="30" t="e">
        <f t="shared" si="95"/>
        <v>#N/A</v>
      </c>
      <c r="BJ94" s="30" t="e">
        <f t="shared" si="96"/>
        <v>#N/A</v>
      </c>
      <c r="BK94" s="30" t="e">
        <f t="shared" si="97"/>
        <v>#N/A</v>
      </c>
      <c r="BL94" s="30" t="e">
        <f t="shared" si="98"/>
        <v>#N/A</v>
      </c>
      <c r="BM94" s="30" t="e">
        <f t="shared" si="99"/>
        <v>#N/A</v>
      </c>
      <c r="BN94" s="30" t="e">
        <f t="shared" si="100"/>
        <v>#N/A</v>
      </c>
      <c r="BO94" s="30" t="e">
        <f t="shared" si="101"/>
        <v>#N/A</v>
      </c>
      <c r="BP94" s="30" t="e">
        <f>IF(AND($D94=1,(""&amp;loteAnalise)=(""&amp;loteCarregado),COUNTIFS(regAnalito,selAnalito,regNivel,3,regData,$C94,regRep1,"&lt;&gt;")&gt;0),SUMIFS(regRep1,regAnalito,selAnalito,regNivel,3,regData,$C94),NA())</f>
        <v>#N/A</v>
      </c>
      <c r="BQ94" s="30" t="e">
        <f>IF(AND($D94=1,(""&amp;loteAnalise)=(""&amp;loteCarregado),COUNTIFS(regAnalito,selAnalito,regNivel,3,regData,$C94,regRep2,"&lt;&gt;")&gt;0),SUMIFS(regRep2,regAnalito,selAnalito,regNivel,3,regData,$C94),NA())</f>
        <v>#N/A</v>
      </c>
      <c r="BR94" s="30" t="e">
        <f>IF(AND($D94=1,(""&amp;loteAnalise)=(""&amp;loteCarregado),COUNTIFS(regAnalito,selAnalito,regNivel,3,regData,$C94,regRep3,"&lt;&gt;")&gt;0),SUMIFS(regRep3,regAnalito,selAnalito,regNivel,3,regData,$C94),NA())</f>
        <v>#N/A</v>
      </c>
      <c r="BS94" s="30" t="e">
        <f>IF(AND($D94=1,COUNTIFS(regAnalito,selAnalito,regData,$C94,regCalib,"Sim")&gt;0),$BX$1,NA())</f>
        <v>#N/A</v>
      </c>
    </row>
    <row r="95" spans="1:71" x14ac:dyDescent="0.3">
      <c r="A95" s="30">
        <v>93</v>
      </c>
      <c r="B95" s="30" t="str">
        <f>IF(OR(selAnalito="",(""&amp;engAnalito)&lt;&gt;(""&amp;selAnalito),(""&amp;engLote)&lt;&gt;(""&amp;loteAnalise),$A95&gt;N(engNRun)),"",INDEX(engRUN,$A95))</f>
        <v/>
      </c>
      <c r="C95" s="43" t="str">
        <f>IF($B95="","",IF(INDEX(engData,$A95)="","",INDEX(engData,$A95)))</f>
        <v/>
      </c>
      <c r="D95" s="30">
        <f>IF($C95="",0,IF(AND(OR(filtroDe="",INT($C95)&gt;=INT(filtroDe)),OR(filtroAte="",INT($C95)&lt;=INT(filtroAte))),1,0))</f>
        <v>0</v>
      </c>
      <c r="E95" s="30" t="e">
        <f t="shared" si="68"/>
        <v>#N/A</v>
      </c>
      <c r="F95" s="30" t="str">
        <f>IF($B95="","",IF(INDEX(engValN1,$A95)="","",INDEX(engValN1,$A95)))</f>
        <v/>
      </c>
      <c r="G95" s="30" t="str">
        <f t="shared" si="69"/>
        <v/>
      </c>
      <c r="H95" s="30" t="e">
        <f t="shared" si="70"/>
        <v>#N/A</v>
      </c>
      <c r="I95" s="30" t="e">
        <f t="shared" si="71"/>
        <v>#N/A</v>
      </c>
      <c r="J95" s="30" t="e">
        <f t="shared" si="72"/>
        <v>#N/A</v>
      </c>
      <c r="K95" s="30">
        <f>IF($F95="",0,IFERROR(INDEX(engDados,MATCH(selAnalito&amp;"|"&amp;$B95,engChave,0),3),0))</f>
        <v>0</v>
      </c>
      <c r="L95" s="30">
        <f>IF($F95="",0,IFERROR(INDEX(engDados,MATCH(selAnalito&amp;"|"&amp;$B95,engChave,0),4),0))</f>
        <v>0</v>
      </c>
      <c r="M95" s="30">
        <f>IF($F95="",0,IFERROR(INDEX(engDados,MATCH(selAnalito&amp;"|"&amp;$B95,engChave,0),5),0))</f>
        <v>0</v>
      </c>
      <c r="N95" s="30">
        <f>IF($F95="",0,IFERROR(INDEX(engDados,MATCH(selAnalito&amp;"|"&amp;$B95,engChave,0),6),0))</f>
        <v>0</v>
      </c>
      <c r="O95" s="30">
        <f>IF($F95="",0,IFERROR(INDEX(engDados,MATCH(selAnalito&amp;"|"&amp;$B95,engChave,0),7),0))</f>
        <v>0</v>
      </c>
      <c r="P95" s="30" t="str">
        <f>IF($F95="","",IFERROR(INDEX(engDados,MATCH(selAnalito&amp;"|"&amp;$B95,engChave,0),9),""))</f>
        <v/>
      </c>
      <c r="Q95" s="30" t="e">
        <f t="shared" si="73"/>
        <v>#N/A</v>
      </c>
      <c r="R95" s="30" t="e">
        <f t="shared" si="74"/>
        <v>#N/A</v>
      </c>
      <c r="S95" s="30" t="e">
        <f t="shared" si="75"/>
        <v>#N/A</v>
      </c>
      <c r="T95" s="30" t="e">
        <f t="shared" si="76"/>
        <v>#N/A</v>
      </c>
      <c r="U95" s="30" t="e">
        <f t="shared" si="77"/>
        <v>#N/A</v>
      </c>
      <c r="V95" s="30" t="e">
        <f t="shared" si="78"/>
        <v>#N/A</v>
      </c>
      <c r="W95" s="30" t="e">
        <f t="shared" si="79"/>
        <v>#N/A</v>
      </c>
      <c r="X95" s="30" t="e">
        <f>IF(AND($D95=1,(""&amp;loteAnalise)=(""&amp;loteCarregado),COUNTIFS(regAnalito,selAnalito,regNivel,1,regData,$C95,regRep1,"&lt;&gt;")&gt;0),SUMIFS(regRep1,regAnalito,selAnalito,regNivel,1,regData,$C95),NA())</f>
        <v>#N/A</v>
      </c>
      <c r="Y95" s="30" t="e">
        <f>IF(AND($D95=1,(""&amp;loteAnalise)=(""&amp;loteCarregado),COUNTIFS(regAnalito,selAnalito,regNivel,1,regData,$C95,regRep2,"&lt;&gt;")&gt;0),SUMIFS(regRep2,regAnalito,selAnalito,regNivel,1,regData,$C95),NA())</f>
        <v>#N/A</v>
      </c>
      <c r="Z95" s="30" t="e">
        <f>IF(AND($D95=1,(""&amp;loteAnalise)=(""&amp;loteCarregado),COUNTIFS(regAnalito,selAnalito,regNivel,1,regData,$C95,regRep3,"&lt;&gt;")&gt;0),SUMIFS(regRep3,regAnalito,selAnalito,regNivel,1,regData,$C95),NA())</f>
        <v>#N/A</v>
      </c>
      <c r="AA95" s="30" t="e">
        <f>IF(AND($D95=1,COUNTIFS(regAnalito,selAnalito,regData,$C95,regCalib,"Sim")&gt;0),$BT$1,NA())</f>
        <v>#N/A</v>
      </c>
      <c r="AB95" s="30" t="str">
        <f>IF($B95="","",IF(INDEX(engValN2,$A95)="","",INDEX(engValN2,$A95)))</f>
        <v/>
      </c>
      <c r="AC95" s="30" t="str">
        <f t="shared" si="80"/>
        <v/>
      </c>
      <c r="AD95" s="30" t="e">
        <f t="shared" si="81"/>
        <v>#N/A</v>
      </c>
      <c r="AE95" s="30" t="e">
        <f t="shared" si="82"/>
        <v>#N/A</v>
      </c>
      <c r="AF95" s="30" t="e">
        <f t="shared" si="83"/>
        <v>#N/A</v>
      </c>
      <c r="AG95" s="30">
        <f>IF($AB95="",0,IFERROR(INDEX(engDados,MATCH(selAnalito&amp;"|"&amp;$B95,engChave,0),10),0))</f>
        <v>0</v>
      </c>
      <c r="AH95" s="30">
        <f>IF($AB95="",0,IFERROR(INDEX(engDados,MATCH(selAnalito&amp;"|"&amp;$B95,engChave,0),11),0))</f>
        <v>0</v>
      </c>
      <c r="AI95" s="30">
        <f>IF($AB95="",0,IFERROR(INDEX(engDados,MATCH(selAnalito&amp;"|"&amp;$B95,engChave,0),12),0))</f>
        <v>0</v>
      </c>
      <c r="AJ95" s="30">
        <f>IF($AB95="",0,IFERROR(INDEX(engDados,MATCH(selAnalito&amp;"|"&amp;$B95,engChave,0),13),0))</f>
        <v>0</v>
      </c>
      <c r="AK95" s="30">
        <f>IF($AB95="",0,IFERROR(INDEX(engDados,MATCH(selAnalito&amp;"|"&amp;$B95,engChave,0),14),0))</f>
        <v>0</v>
      </c>
      <c r="AL95" s="30" t="str">
        <f>IF($AB95="","",IFERROR(INDEX(engDados,MATCH(selAnalito&amp;"|"&amp;$B95,engChave,0),16),""))</f>
        <v/>
      </c>
      <c r="AM95" s="30" t="e">
        <f t="shared" si="84"/>
        <v>#N/A</v>
      </c>
      <c r="AN95" s="30" t="e">
        <f t="shared" si="85"/>
        <v>#N/A</v>
      </c>
      <c r="AO95" s="30" t="e">
        <f t="shared" si="86"/>
        <v>#N/A</v>
      </c>
      <c r="AP95" s="30" t="e">
        <f t="shared" si="87"/>
        <v>#N/A</v>
      </c>
      <c r="AQ95" s="30" t="e">
        <f t="shared" si="88"/>
        <v>#N/A</v>
      </c>
      <c r="AR95" s="30" t="e">
        <f t="shared" si="89"/>
        <v>#N/A</v>
      </c>
      <c r="AS95" s="30" t="e">
        <f t="shared" si="90"/>
        <v>#N/A</v>
      </c>
      <c r="AT95" s="30" t="e">
        <f>IF(AND($D95=1,(""&amp;loteAnalise)=(""&amp;loteCarregado),COUNTIFS(regAnalito,selAnalito,regNivel,2,regData,$C95,regRep1,"&lt;&gt;")&gt;0),SUMIFS(regRep1,regAnalito,selAnalito,regNivel,2,regData,$C95),NA())</f>
        <v>#N/A</v>
      </c>
      <c r="AU95" s="30" t="e">
        <f>IF(AND($D95=1,(""&amp;loteAnalise)=(""&amp;loteCarregado),COUNTIFS(regAnalito,selAnalito,regNivel,2,regData,$C95,regRep2,"&lt;&gt;")&gt;0),SUMIFS(regRep2,regAnalito,selAnalito,regNivel,2,regData,$C95),NA())</f>
        <v>#N/A</v>
      </c>
      <c r="AV95" s="30" t="e">
        <f>IF(AND($D95=1,(""&amp;loteAnalise)=(""&amp;loteCarregado),COUNTIFS(regAnalito,selAnalito,regNivel,2,regData,$C95,regRep3,"&lt;&gt;")&gt;0),SUMIFS(regRep3,regAnalito,selAnalito,regNivel,2,regData,$C95),NA())</f>
        <v>#N/A</v>
      </c>
      <c r="AW95" s="30" t="e">
        <f>IF(AND($D95=1,COUNTIFS(regAnalito,selAnalito,regData,$C95,regCalib,"Sim")&gt;0),$BV$1,NA())</f>
        <v>#N/A</v>
      </c>
      <c r="AX95" s="30" t="str">
        <f>IF($B95="","",IF(INDEX(engValN3,$A95)="","",INDEX(engValN3,$A95)))</f>
        <v/>
      </c>
      <c r="AY95" s="30" t="str">
        <f t="shared" si="91"/>
        <v/>
      </c>
      <c r="AZ95" s="30" t="e">
        <f t="shared" si="92"/>
        <v>#N/A</v>
      </c>
      <c r="BA95" s="30" t="e">
        <f t="shared" si="93"/>
        <v>#N/A</v>
      </c>
      <c r="BB95" s="30" t="e">
        <f t="shared" si="94"/>
        <v>#N/A</v>
      </c>
      <c r="BC95" s="30">
        <f>IF($AX95="",0,IFERROR(INDEX(engDados,MATCH(selAnalito&amp;"|"&amp;$B95,engChave,0),17),0))</f>
        <v>0</v>
      </c>
      <c r="BD95" s="30">
        <f>IF($AX95="",0,IFERROR(INDEX(engDados,MATCH(selAnalito&amp;"|"&amp;$B95,engChave,0),18),0))</f>
        <v>0</v>
      </c>
      <c r="BE95" s="30">
        <f>IF($AX95="",0,IFERROR(INDEX(engDados,MATCH(selAnalito&amp;"|"&amp;$B95,engChave,0),19),0))</f>
        <v>0</v>
      </c>
      <c r="BF95" s="30">
        <f>IF($AX95="",0,IFERROR(INDEX(engDados,MATCH(selAnalito&amp;"|"&amp;$B95,engChave,0),20),0))</f>
        <v>0</v>
      </c>
      <c r="BG95" s="30">
        <f>IF($AX95="",0,IFERROR(INDEX(engDados,MATCH(selAnalito&amp;"|"&amp;$B95,engChave,0),21),0))</f>
        <v>0</v>
      </c>
      <c r="BH95" s="30" t="str">
        <f>IF($AX95="","",IFERROR(INDEX(engDados,MATCH(selAnalito&amp;"|"&amp;$B95,engChave,0),23),""))</f>
        <v/>
      </c>
      <c r="BI95" s="30" t="e">
        <f t="shared" si="95"/>
        <v>#N/A</v>
      </c>
      <c r="BJ95" s="30" t="e">
        <f t="shared" si="96"/>
        <v>#N/A</v>
      </c>
      <c r="BK95" s="30" t="e">
        <f t="shared" si="97"/>
        <v>#N/A</v>
      </c>
      <c r="BL95" s="30" t="e">
        <f t="shared" si="98"/>
        <v>#N/A</v>
      </c>
      <c r="BM95" s="30" t="e">
        <f t="shared" si="99"/>
        <v>#N/A</v>
      </c>
      <c r="BN95" s="30" t="e">
        <f t="shared" si="100"/>
        <v>#N/A</v>
      </c>
      <c r="BO95" s="30" t="e">
        <f t="shared" si="101"/>
        <v>#N/A</v>
      </c>
      <c r="BP95" s="30" t="e">
        <f>IF(AND($D95=1,(""&amp;loteAnalise)=(""&amp;loteCarregado),COUNTIFS(regAnalito,selAnalito,regNivel,3,regData,$C95,regRep1,"&lt;&gt;")&gt;0),SUMIFS(regRep1,regAnalito,selAnalito,regNivel,3,regData,$C95),NA())</f>
        <v>#N/A</v>
      </c>
      <c r="BQ95" s="30" t="e">
        <f>IF(AND($D95=1,(""&amp;loteAnalise)=(""&amp;loteCarregado),COUNTIFS(regAnalito,selAnalito,regNivel,3,regData,$C95,regRep2,"&lt;&gt;")&gt;0),SUMIFS(regRep2,regAnalito,selAnalito,regNivel,3,regData,$C95),NA())</f>
        <v>#N/A</v>
      </c>
      <c r="BR95" s="30" t="e">
        <f>IF(AND($D95=1,(""&amp;loteAnalise)=(""&amp;loteCarregado),COUNTIFS(regAnalito,selAnalito,regNivel,3,regData,$C95,regRep3,"&lt;&gt;")&gt;0),SUMIFS(regRep3,regAnalito,selAnalito,regNivel,3,regData,$C95),NA())</f>
        <v>#N/A</v>
      </c>
      <c r="BS95" s="30" t="e">
        <f>IF(AND($D95=1,COUNTIFS(regAnalito,selAnalito,regData,$C95,regCalib,"Sim")&gt;0),$BX$1,NA())</f>
        <v>#N/A</v>
      </c>
    </row>
    <row r="96" spans="1:71" x14ac:dyDescent="0.3">
      <c r="A96" s="30">
        <v>94</v>
      </c>
      <c r="B96" s="30" t="str">
        <f>IF(OR(selAnalito="",(""&amp;engAnalito)&lt;&gt;(""&amp;selAnalito),(""&amp;engLote)&lt;&gt;(""&amp;loteAnalise),$A96&gt;N(engNRun)),"",INDEX(engRUN,$A96))</f>
        <v/>
      </c>
      <c r="C96" s="43" t="str">
        <f>IF($B96="","",IF(INDEX(engData,$A96)="","",INDEX(engData,$A96)))</f>
        <v/>
      </c>
      <c r="D96" s="30">
        <f>IF($C96="",0,IF(AND(OR(filtroDe="",INT($C96)&gt;=INT(filtroDe)),OR(filtroAte="",INT($C96)&lt;=INT(filtroAte))),1,0))</f>
        <v>0</v>
      </c>
      <c r="E96" s="30" t="e">
        <f t="shared" si="68"/>
        <v>#N/A</v>
      </c>
      <c r="F96" s="30" t="str">
        <f>IF($B96="","",IF(INDEX(engValN1,$A96)="","",INDEX(engValN1,$A96)))</f>
        <v/>
      </c>
      <c r="G96" s="30" t="str">
        <f t="shared" si="69"/>
        <v/>
      </c>
      <c r="H96" s="30" t="e">
        <f t="shared" si="70"/>
        <v>#N/A</v>
      </c>
      <c r="I96" s="30" t="e">
        <f t="shared" si="71"/>
        <v>#N/A</v>
      </c>
      <c r="J96" s="30" t="e">
        <f t="shared" si="72"/>
        <v>#N/A</v>
      </c>
      <c r="K96" s="30">
        <f>IF($F96="",0,IFERROR(INDEX(engDados,MATCH(selAnalito&amp;"|"&amp;$B96,engChave,0),3),0))</f>
        <v>0</v>
      </c>
      <c r="L96" s="30">
        <f>IF($F96="",0,IFERROR(INDEX(engDados,MATCH(selAnalito&amp;"|"&amp;$B96,engChave,0),4),0))</f>
        <v>0</v>
      </c>
      <c r="M96" s="30">
        <f>IF($F96="",0,IFERROR(INDEX(engDados,MATCH(selAnalito&amp;"|"&amp;$B96,engChave,0),5),0))</f>
        <v>0</v>
      </c>
      <c r="N96" s="30">
        <f>IF($F96="",0,IFERROR(INDEX(engDados,MATCH(selAnalito&amp;"|"&amp;$B96,engChave,0),6),0))</f>
        <v>0</v>
      </c>
      <c r="O96" s="30">
        <f>IF($F96="",0,IFERROR(INDEX(engDados,MATCH(selAnalito&amp;"|"&amp;$B96,engChave,0),7),0))</f>
        <v>0</v>
      </c>
      <c r="P96" s="30" t="str">
        <f>IF($F96="","",IFERROR(INDEX(engDados,MATCH(selAnalito&amp;"|"&amp;$B96,engChave,0),9),""))</f>
        <v/>
      </c>
      <c r="Q96" s="30" t="e">
        <f t="shared" si="73"/>
        <v>#N/A</v>
      </c>
      <c r="R96" s="30" t="e">
        <f t="shared" si="74"/>
        <v>#N/A</v>
      </c>
      <c r="S96" s="30" t="e">
        <f t="shared" si="75"/>
        <v>#N/A</v>
      </c>
      <c r="T96" s="30" t="e">
        <f t="shared" si="76"/>
        <v>#N/A</v>
      </c>
      <c r="U96" s="30" t="e">
        <f t="shared" si="77"/>
        <v>#N/A</v>
      </c>
      <c r="V96" s="30" t="e">
        <f t="shared" si="78"/>
        <v>#N/A</v>
      </c>
      <c r="W96" s="30" t="e">
        <f t="shared" si="79"/>
        <v>#N/A</v>
      </c>
      <c r="X96" s="30" t="e">
        <f>IF(AND($D96=1,(""&amp;loteAnalise)=(""&amp;loteCarregado),COUNTIFS(regAnalito,selAnalito,regNivel,1,regData,$C96,regRep1,"&lt;&gt;")&gt;0),SUMIFS(regRep1,regAnalito,selAnalito,regNivel,1,regData,$C96),NA())</f>
        <v>#N/A</v>
      </c>
      <c r="Y96" s="30" t="e">
        <f>IF(AND($D96=1,(""&amp;loteAnalise)=(""&amp;loteCarregado),COUNTIFS(regAnalito,selAnalito,regNivel,1,regData,$C96,regRep2,"&lt;&gt;")&gt;0),SUMIFS(regRep2,regAnalito,selAnalito,regNivel,1,regData,$C96),NA())</f>
        <v>#N/A</v>
      </c>
      <c r="Z96" s="30" t="e">
        <f>IF(AND($D96=1,(""&amp;loteAnalise)=(""&amp;loteCarregado),COUNTIFS(regAnalito,selAnalito,regNivel,1,regData,$C96,regRep3,"&lt;&gt;")&gt;0),SUMIFS(regRep3,regAnalito,selAnalito,regNivel,1,regData,$C96),NA())</f>
        <v>#N/A</v>
      </c>
      <c r="AA96" s="30" t="e">
        <f>IF(AND($D96=1,COUNTIFS(regAnalito,selAnalito,regData,$C96,regCalib,"Sim")&gt;0),$BT$1,NA())</f>
        <v>#N/A</v>
      </c>
      <c r="AB96" s="30" t="str">
        <f>IF($B96="","",IF(INDEX(engValN2,$A96)="","",INDEX(engValN2,$A96)))</f>
        <v/>
      </c>
      <c r="AC96" s="30" t="str">
        <f t="shared" si="80"/>
        <v/>
      </c>
      <c r="AD96" s="30" t="e">
        <f t="shared" si="81"/>
        <v>#N/A</v>
      </c>
      <c r="AE96" s="30" t="e">
        <f t="shared" si="82"/>
        <v>#N/A</v>
      </c>
      <c r="AF96" s="30" t="e">
        <f t="shared" si="83"/>
        <v>#N/A</v>
      </c>
      <c r="AG96" s="30">
        <f>IF($AB96="",0,IFERROR(INDEX(engDados,MATCH(selAnalito&amp;"|"&amp;$B96,engChave,0),10),0))</f>
        <v>0</v>
      </c>
      <c r="AH96" s="30">
        <f>IF($AB96="",0,IFERROR(INDEX(engDados,MATCH(selAnalito&amp;"|"&amp;$B96,engChave,0),11),0))</f>
        <v>0</v>
      </c>
      <c r="AI96" s="30">
        <f>IF($AB96="",0,IFERROR(INDEX(engDados,MATCH(selAnalito&amp;"|"&amp;$B96,engChave,0),12),0))</f>
        <v>0</v>
      </c>
      <c r="AJ96" s="30">
        <f>IF($AB96="",0,IFERROR(INDEX(engDados,MATCH(selAnalito&amp;"|"&amp;$B96,engChave,0),13),0))</f>
        <v>0</v>
      </c>
      <c r="AK96" s="30">
        <f>IF($AB96="",0,IFERROR(INDEX(engDados,MATCH(selAnalito&amp;"|"&amp;$B96,engChave,0),14),0))</f>
        <v>0</v>
      </c>
      <c r="AL96" s="30" t="str">
        <f>IF($AB96="","",IFERROR(INDEX(engDados,MATCH(selAnalito&amp;"|"&amp;$B96,engChave,0),16),""))</f>
        <v/>
      </c>
      <c r="AM96" s="30" t="e">
        <f t="shared" si="84"/>
        <v>#N/A</v>
      </c>
      <c r="AN96" s="30" t="e">
        <f t="shared" si="85"/>
        <v>#N/A</v>
      </c>
      <c r="AO96" s="30" t="e">
        <f t="shared" si="86"/>
        <v>#N/A</v>
      </c>
      <c r="AP96" s="30" t="e">
        <f t="shared" si="87"/>
        <v>#N/A</v>
      </c>
      <c r="AQ96" s="30" t="e">
        <f t="shared" si="88"/>
        <v>#N/A</v>
      </c>
      <c r="AR96" s="30" t="e">
        <f t="shared" si="89"/>
        <v>#N/A</v>
      </c>
      <c r="AS96" s="30" t="e">
        <f t="shared" si="90"/>
        <v>#N/A</v>
      </c>
      <c r="AT96" s="30" t="e">
        <f>IF(AND($D96=1,(""&amp;loteAnalise)=(""&amp;loteCarregado),COUNTIFS(regAnalito,selAnalito,regNivel,2,regData,$C96,regRep1,"&lt;&gt;")&gt;0),SUMIFS(regRep1,regAnalito,selAnalito,regNivel,2,regData,$C96),NA())</f>
        <v>#N/A</v>
      </c>
      <c r="AU96" s="30" t="e">
        <f>IF(AND($D96=1,(""&amp;loteAnalise)=(""&amp;loteCarregado),COUNTIFS(regAnalito,selAnalito,regNivel,2,regData,$C96,regRep2,"&lt;&gt;")&gt;0),SUMIFS(regRep2,regAnalito,selAnalito,regNivel,2,regData,$C96),NA())</f>
        <v>#N/A</v>
      </c>
      <c r="AV96" s="30" t="e">
        <f>IF(AND($D96=1,(""&amp;loteAnalise)=(""&amp;loteCarregado),COUNTIFS(regAnalito,selAnalito,regNivel,2,regData,$C96,regRep3,"&lt;&gt;")&gt;0),SUMIFS(regRep3,regAnalito,selAnalito,regNivel,2,regData,$C96),NA())</f>
        <v>#N/A</v>
      </c>
      <c r="AW96" s="30" t="e">
        <f>IF(AND($D96=1,COUNTIFS(regAnalito,selAnalito,regData,$C96,regCalib,"Sim")&gt;0),$BV$1,NA())</f>
        <v>#N/A</v>
      </c>
      <c r="AX96" s="30" t="str">
        <f>IF($B96="","",IF(INDEX(engValN3,$A96)="","",INDEX(engValN3,$A96)))</f>
        <v/>
      </c>
      <c r="AY96" s="30" t="str">
        <f t="shared" si="91"/>
        <v/>
      </c>
      <c r="AZ96" s="30" t="e">
        <f t="shared" si="92"/>
        <v>#N/A</v>
      </c>
      <c r="BA96" s="30" t="e">
        <f t="shared" si="93"/>
        <v>#N/A</v>
      </c>
      <c r="BB96" s="30" t="e">
        <f t="shared" si="94"/>
        <v>#N/A</v>
      </c>
      <c r="BC96" s="30">
        <f>IF($AX96="",0,IFERROR(INDEX(engDados,MATCH(selAnalito&amp;"|"&amp;$B96,engChave,0),17),0))</f>
        <v>0</v>
      </c>
      <c r="BD96" s="30">
        <f>IF($AX96="",0,IFERROR(INDEX(engDados,MATCH(selAnalito&amp;"|"&amp;$B96,engChave,0),18),0))</f>
        <v>0</v>
      </c>
      <c r="BE96" s="30">
        <f>IF($AX96="",0,IFERROR(INDEX(engDados,MATCH(selAnalito&amp;"|"&amp;$B96,engChave,0),19),0))</f>
        <v>0</v>
      </c>
      <c r="BF96" s="30">
        <f>IF($AX96="",0,IFERROR(INDEX(engDados,MATCH(selAnalito&amp;"|"&amp;$B96,engChave,0),20),0))</f>
        <v>0</v>
      </c>
      <c r="BG96" s="30">
        <f>IF($AX96="",0,IFERROR(INDEX(engDados,MATCH(selAnalito&amp;"|"&amp;$B96,engChave,0),21),0))</f>
        <v>0</v>
      </c>
      <c r="BH96" s="30" t="str">
        <f>IF($AX96="","",IFERROR(INDEX(engDados,MATCH(selAnalito&amp;"|"&amp;$B96,engChave,0),23),""))</f>
        <v/>
      </c>
      <c r="BI96" s="30" t="e">
        <f t="shared" si="95"/>
        <v>#N/A</v>
      </c>
      <c r="BJ96" s="30" t="e">
        <f t="shared" si="96"/>
        <v>#N/A</v>
      </c>
      <c r="BK96" s="30" t="e">
        <f t="shared" si="97"/>
        <v>#N/A</v>
      </c>
      <c r="BL96" s="30" t="e">
        <f t="shared" si="98"/>
        <v>#N/A</v>
      </c>
      <c r="BM96" s="30" t="e">
        <f t="shared" si="99"/>
        <v>#N/A</v>
      </c>
      <c r="BN96" s="30" t="e">
        <f t="shared" si="100"/>
        <v>#N/A</v>
      </c>
      <c r="BO96" s="30" t="e">
        <f t="shared" si="101"/>
        <v>#N/A</v>
      </c>
      <c r="BP96" s="30" t="e">
        <f>IF(AND($D96=1,(""&amp;loteAnalise)=(""&amp;loteCarregado),COUNTIFS(regAnalito,selAnalito,regNivel,3,regData,$C96,regRep1,"&lt;&gt;")&gt;0),SUMIFS(regRep1,regAnalito,selAnalito,regNivel,3,regData,$C96),NA())</f>
        <v>#N/A</v>
      </c>
      <c r="BQ96" s="30" t="e">
        <f>IF(AND($D96=1,(""&amp;loteAnalise)=(""&amp;loteCarregado),COUNTIFS(regAnalito,selAnalito,regNivel,3,regData,$C96,regRep2,"&lt;&gt;")&gt;0),SUMIFS(regRep2,regAnalito,selAnalito,regNivel,3,regData,$C96),NA())</f>
        <v>#N/A</v>
      </c>
      <c r="BR96" s="30" t="e">
        <f>IF(AND($D96=1,(""&amp;loteAnalise)=(""&amp;loteCarregado),COUNTIFS(regAnalito,selAnalito,regNivel,3,regData,$C96,regRep3,"&lt;&gt;")&gt;0),SUMIFS(regRep3,regAnalito,selAnalito,regNivel,3,regData,$C96),NA())</f>
        <v>#N/A</v>
      </c>
      <c r="BS96" s="30" t="e">
        <f>IF(AND($D96=1,COUNTIFS(regAnalito,selAnalito,regData,$C96,regCalib,"Sim")&gt;0),$BX$1,NA())</f>
        <v>#N/A</v>
      </c>
    </row>
    <row r="97" spans="1:71" x14ac:dyDescent="0.3">
      <c r="A97" s="30">
        <v>95</v>
      </c>
      <c r="B97" s="30" t="str">
        <f>IF(OR(selAnalito="",(""&amp;engAnalito)&lt;&gt;(""&amp;selAnalito),(""&amp;engLote)&lt;&gt;(""&amp;loteAnalise),$A97&gt;N(engNRun)),"",INDEX(engRUN,$A97))</f>
        <v/>
      </c>
      <c r="C97" s="43" t="str">
        <f>IF($B97="","",IF(INDEX(engData,$A97)="","",INDEX(engData,$A97)))</f>
        <v/>
      </c>
      <c r="D97" s="30">
        <f>IF($C97="",0,IF(AND(OR(filtroDe="",INT($C97)&gt;=INT(filtroDe)),OR(filtroAte="",INT($C97)&lt;=INT(filtroAte))),1,0))</f>
        <v>0</v>
      </c>
      <c r="E97" s="30" t="e">
        <f t="shared" si="68"/>
        <v>#N/A</v>
      </c>
      <c r="F97" s="30" t="str">
        <f>IF($B97="","",IF(INDEX(engValN1,$A97)="","",INDEX(engValN1,$A97)))</f>
        <v/>
      </c>
      <c r="G97" s="30" t="str">
        <f t="shared" si="69"/>
        <v/>
      </c>
      <c r="H97" s="30" t="e">
        <f t="shared" si="70"/>
        <v>#N/A</v>
      </c>
      <c r="I97" s="30" t="e">
        <f t="shared" si="71"/>
        <v>#N/A</v>
      </c>
      <c r="J97" s="30" t="e">
        <f t="shared" si="72"/>
        <v>#N/A</v>
      </c>
      <c r="K97" s="30">
        <f>IF($F97="",0,IFERROR(INDEX(engDados,MATCH(selAnalito&amp;"|"&amp;$B97,engChave,0),3),0))</f>
        <v>0</v>
      </c>
      <c r="L97" s="30">
        <f>IF($F97="",0,IFERROR(INDEX(engDados,MATCH(selAnalito&amp;"|"&amp;$B97,engChave,0),4),0))</f>
        <v>0</v>
      </c>
      <c r="M97" s="30">
        <f>IF($F97="",0,IFERROR(INDEX(engDados,MATCH(selAnalito&amp;"|"&amp;$B97,engChave,0),5),0))</f>
        <v>0</v>
      </c>
      <c r="N97" s="30">
        <f>IF($F97="",0,IFERROR(INDEX(engDados,MATCH(selAnalito&amp;"|"&amp;$B97,engChave,0),6),0))</f>
        <v>0</v>
      </c>
      <c r="O97" s="30">
        <f>IF($F97="",0,IFERROR(INDEX(engDados,MATCH(selAnalito&amp;"|"&amp;$B97,engChave,0),7),0))</f>
        <v>0</v>
      </c>
      <c r="P97" s="30" t="str">
        <f>IF($F97="","",IFERROR(INDEX(engDados,MATCH(selAnalito&amp;"|"&amp;$B97,engChave,0),9),""))</f>
        <v/>
      </c>
      <c r="Q97" s="30" t="e">
        <f t="shared" si="73"/>
        <v>#N/A</v>
      </c>
      <c r="R97" s="30" t="e">
        <f t="shared" si="74"/>
        <v>#N/A</v>
      </c>
      <c r="S97" s="30" t="e">
        <f t="shared" si="75"/>
        <v>#N/A</v>
      </c>
      <c r="T97" s="30" t="e">
        <f t="shared" si="76"/>
        <v>#N/A</v>
      </c>
      <c r="U97" s="30" t="e">
        <f t="shared" si="77"/>
        <v>#N/A</v>
      </c>
      <c r="V97" s="30" t="e">
        <f t="shared" si="78"/>
        <v>#N/A</v>
      </c>
      <c r="W97" s="30" t="e">
        <f t="shared" si="79"/>
        <v>#N/A</v>
      </c>
      <c r="X97" s="30" t="e">
        <f>IF(AND($D97=1,(""&amp;loteAnalise)=(""&amp;loteCarregado),COUNTIFS(regAnalito,selAnalito,regNivel,1,regData,$C97,regRep1,"&lt;&gt;")&gt;0),SUMIFS(regRep1,regAnalito,selAnalito,regNivel,1,regData,$C97),NA())</f>
        <v>#N/A</v>
      </c>
      <c r="Y97" s="30" t="e">
        <f>IF(AND($D97=1,(""&amp;loteAnalise)=(""&amp;loteCarregado),COUNTIFS(regAnalito,selAnalito,regNivel,1,regData,$C97,regRep2,"&lt;&gt;")&gt;0),SUMIFS(regRep2,regAnalito,selAnalito,regNivel,1,regData,$C97),NA())</f>
        <v>#N/A</v>
      </c>
      <c r="Z97" s="30" t="e">
        <f>IF(AND($D97=1,(""&amp;loteAnalise)=(""&amp;loteCarregado),COUNTIFS(regAnalito,selAnalito,regNivel,1,regData,$C97,regRep3,"&lt;&gt;")&gt;0),SUMIFS(regRep3,regAnalito,selAnalito,regNivel,1,regData,$C97),NA())</f>
        <v>#N/A</v>
      </c>
      <c r="AA97" s="30" t="e">
        <f>IF(AND($D97=1,COUNTIFS(regAnalito,selAnalito,regData,$C97,regCalib,"Sim")&gt;0),$BT$1,NA())</f>
        <v>#N/A</v>
      </c>
      <c r="AB97" s="30" t="str">
        <f>IF($B97="","",IF(INDEX(engValN2,$A97)="","",INDEX(engValN2,$A97)))</f>
        <v/>
      </c>
      <c r="AC97" s="30" t="str">
        <f t="shared" si="80"/>
        <v/>
      </c>
      <c r="AD97" s="30" t="e">
        <f t="shared" si="81"/>
        <v>#N/A</v>
      </c>
      <c r="AE97" s="30" t="e">
        <f t="shared" si="82"/>
        <v>#N/A</v>
      </c>
      <c r="AF97" s="30" t="e">
        <f t="shared" si="83"/>
        <v>#N/A</v>
      </c>
      <c r="AG97" s="30">
        <f>IF($AB97="",0,IFERROR(INDEX(engDados,MATCH(selAnalito&amp;"|"&amp;$B97,engChave,0),10),0))</f>
        <v>0</v>
      </c>
      <c r="AH97" s="30">
        <f>IF($AB97="",0,IFERROR(INDEX(engDados,MATCH(selAnalito&amp;"|"&amp;$B97,engChave,0),11),0))</f>
        <v>0</v>
      </c>
      <c r="AI97" s="30">
        <f>IF($AB97="",0,IFERROR(INDEX(engDados,MATCH(selAnalito&amp;"|"&amp;$B97,engChave,0),12),0))</f>
        <v>0</v>
      </c>
      <c r="AJ97" s="30">
        <f>IF($AB97="",0,IFERROR(INDEX(engDados,MATCH(selAnalito&amp;"|"&amp;$B97,engChave,0),13),0))</f>
        <v>0</v>
      </c>
      <c r="AK97" s="30">
        <f>IF($AB97="",0,IFERROR(INDEX(engDados,MATCH(selAnalito&amp;"|"&amp;$B97,engChave,0),14),0))</f>
        <v>0</v>
      </c>
      <c r="AL97" s="30" t="str">
        <f>IF($AB97="","",IFERROR(INDEX(engDados,MATCH(selAnalito&amp;"|"&amp;$B97,engChave,0),16),""))</f>
        <v/>
      </c>
      <c r="AM97" s="30" t="e">
        <f t="shared" si="84"/>
        <v>#N/A</v>
      </c>
      <c r="AN97" s="30" t="e">
        <f t="shared" si="85"/>
        <v>#N/A</v>
      </c>
      <c r="AO97" s="30" t="e">
        <f t="shared" si="86"/>
        <v>#N/A</v>
      </c>
      <c r="AP97" s="30" t="e">
        <f t="shared" si="87"/>
        <v>#N/A</v>
      </c>
      <c r="AQ97" s="30" t="e">
        <f t="shared" si="88"/>
        <v>#N/A</v>
      </c>
      <c r="AR97" s="30" t="e">
        <f t="shared" si="89"/>
        <v>#N/A</v>
      </c>
      <c r="AS97" s="30" t="e">
        <f t="shared" si="90"/>
        <v>#N/A</v>
      </c>
      <c r="AT97" s="30" t="e">
        <f>IF(AND($D97=1,(""&amp;loteAnalise)=(""&amp;loteCarregado),COUNTIFS(regAnalito,selAnalito,regNivel,2,regData,$C97,regRep1,"&lt;&gt;")&gt;0),SUMIFS(regRep1,regAnalito,selAnalito,regNivel,2,regData,$C97),NA())</f>
        <v>#N/A</v>
      </c>
      <c r="AU97" s="30" t="e">
        <f>IF(AND($D97=1,(""&amp;loteAnalise)=(""&amp;loteCarregado),COUNTIFS(regAnalito,selAnalito,regNivel,2,regData,$C97,regRep2,"&lt;&gt;")&gt;0),SUMIFS(regRep2,regAnalito,selAnalito,regNivel,2,regData,$C97),NA())</f>
        <v>#N/A</v>
      </c>
      <c r="AV97" s="30" t="e">
        <f>IF(AND($D97=1,(""&amp;loteAnalise)=(""&amp;loteCarregado),COUNTIFS(regAnalito,selAnalito,regNivel,2,regData,$C97,regRep3,"&lt;&gt;")&gt;0),SUMIFS(regRep3,regAnalito,selAnalito,regNivel,2,regData,$C97),NA())</f>
        <v>#N/A</v>
      </c>
      <c r="AW97" s="30" t="e">
        <f>IF(AND($D97=1,COUNTIFS(regAnalito,selAnalito,regData,$C97,regCalib,"Sim")&gt;0),$BV$1,NA())</f>
        <v>#N/A</v>
      </c>
      <c r="AX97" s="30" t="str">
        <f>IF($B97="","",IF(INDEX(engValN3,$A97)="","",INDEX(engValN3,$A97)))</f>
        <v/>
      </c>
      <c r="AY97" s="30" t="str">
        <f t="shared" si="91"/>
        <v/>
      </c>
      <c r="AZ97" s="30" t="e">
        <f t="shared" si="92"/>
        <v>#N/A</v>
      </c>
      <c r="BA97" s="30" t="e">
        <f t="shared" si="93"/>
        <v>#N/A</v>
      </c>
      <c r="BB97" s="30" t="e">
        <f t="shared" si="94"/>
        <v>#N/A</v>
      </c>
      <c r="BC97" s="30">
        <f>IF($AX97="",0,IFERROR(INDEX(engDados,MATCH(selAnalito&amp;"|"&amp;$B97,engChave,0),17),0))</f>
        <v>0</v>
      </c>
      <c r="BD97" s="30">
        <f>IF($AX97="",0,IFERROR(INDEX(engDados,MATCH(selAnalito&amp;"|"&amp;$B97,engChave,0),18),0))</f>
        <v>0</v>
      </c>
      <c r="BE97" s="30">
        <f>IF($AX97="",0,IFERROR(INDEX(engDados,MATCH(selAnalito&amp;"|"&amp;$B97,engChave,0),19),0))</f>
        <v>0</v>
      </c>
      <c r="BF97" s="30">
        <f>IF($AX97="",0,IFERROR(INDEX(engDados,MATCH(selAnalito&amp;"|"&amp;$B97,engChave,0),20),0))</f>
        <v>0</v>
      </c>
      <c r="BG97" s="30">
        <f>IF($AX97="",0,IFERROR(INDEX(engDados,MATCH(selAnalito&amp;"|"&amp;$B97,engChave,0),21),0))</f>
        <v>0</v>
      </c>
      <c r="BH97" s="30" t="str">
        <f>IF($AX97="","",IFERROR(INDEX(engDados,MATCH(selAnalito&amp;"|"&amp;$B97,engChave,0),23),""))</f>
        <v/>
      </c>
      <c r="BI97" s="30" t="e">
        <f t="shared" si="95"/>
        <v>#N/A</v>
      </c>
      <c r="BJ97" s="30" t="e">
        <f t="shared" si="96"/>
        <v>#N/A</v>
      </c>
      <c r="BK97" s="30" t="e">
        <f t="shared" si="97"/>
        <v>#N/A</v>
      </c>
      <c r="BL97" s="30" t="e">
        <f t="shared" si="98"/>
        <v>#N/A</v>
      </c>
      <c r="BM97" s="30" t="e">
        <f t="shared" si="99"/>
        <v>#N/A</v>
      </c>
      <c r="BN97" s="30" t="e">
        <f t="shared" si="100"/>
        <v>#N/A</v>
      </c>
      <c r="BO97" s="30" t="e">
        <f t="shared" si="101"/>
        <v>#N/A</v>
      </c>
      <c r="BP97" s="30" t="e">
        <f>IF(AND($D97=1,(""&amp;loteAnalise)=(""&amp;loteCarregado),COUNTIFS(regAnalito,selAnalito,regNivel,3,regData,$C97,regRep1,"&lt;&gt;")&gt;0),SUMIFS(regRep1,regAnalito,selAnalito,regNivel,3,regData,$C97),NA())</f>
        <v>#N/A</v>
      </c>
      <c r="BQ97" s="30" t="e">
        <f>IF(AND($D97=1,(""&amp;loteAnalise)=(""&amp;loteCarregado),COUNTIFS(regAnalito,selAnalito,regNivel,3,regData,$C97,regRep2,"&lt;&gt;")&gt;0),SUMIFS(regRep2,regAnalito,selAnalito,regNivel,3,regData,$C97),NA())</f>
        <v>#N/A</v>
      </c>
      <c r="BR97" s="30" t="e">
        <f>IF(AND($D97=1,(""&amp;loteAnalise)=(""&amp;loteCarregado),COUNTIFS(regAnalito,selAnalito,regNivel,3,regData,$C97,regRep3,"&lt;&gt;")&gt;0),SUMIFS(regRep3,regAnalito,selAnalito,regNivel,3,regData,$C97),NA())</f>
        <v>#N/A</v>
      </c>
      <c r="BS97" s="30" t="e">
        <f>IF(AND($D97=1,COUNTIFS(regAnalito,selAnalito,regData,$C97,regCalib,"Sim")&gt;0),$BX$1,NA())</f>
        <v>#N/A</v>
      </c>
    </row>
    <row r="98" spans="1:71" x14ac:dyDescent="0.3">
      <c r="A98" s="30">
        <v>96</v>
      </c>
      <c r="B98" s="30" t="str">
        <f>IF(OR(selAnalito="",(""&amp;engAnalito)&lt;&gt;(""&amp;selAnalito),(""&amp;engLote)&lt;&gt;(""&amp;loteAnalise),$A98&gt;N(engNRun)),"",INDEX(engRUN,$A98))</f>
        <v/>
      </c>
      <c r="C98" s="43" t="str">
        <f>IF($B98="","",IF(INDEX(engData,$A98)="","",INDEX(engData,$A98)))</f>
        <v/>
      </c>
      <c r="D98" s="30">
        <f>IF($C98="",0,IF(AND(OR(filtroDe="",INT($C98)&gt;=INT(filtroDe)),OR(filtroAte="",INT($C98)&lt;=INT(filtroAte))),1,0))</f>
        <v>0</v>
      </c>
      <c r="E98" s="30" t="e">
        <f t="shared" si="68"/>
        <v>#N/A</v>
      </c>
      <c r="F98" s="30" t="str">
        <f>IF($B98="","",IF(INDEX(engValN1,$A98)="","",INDEX(engValN1,$A98)))</f>
        <v/>
      </c>
      <c r="G98" s="30" t="str">
        <f t="shared" si="69"/>
        <v/>
      </c>
      <c r="H98" s="30" t="e">
        <f t="shared" si="70"/>
        <v>#N/A</v>
      </c>
      <c r="I98" s="30" t="e">
        <f t="shared" si="71"/>
        <v>#N/A</v>
      </c>
      <c r="J98" s="30" t="e">
        <f t="shared" si="72"/>
        <v>#N/A</v>
      </c>
      <c r="K98" s="30">
        <f>IF($F98="",0,IFERROR(INDEX(engDados,MATCH(selAnalito&amp;"|"&amp;$B98,engChave,0),3),0))</f>
        <v>0</v>
      </c>
      <c r="L98" s="30">
        <f>IF($F98="",0,IFERROR(INDEX(engDados,MATCH(selAnalito&amp;"|"&amp;$B98,engChave,0),4),0))</f>
        <v>0</v>
      </c>
      <c r="M98" s="30">
        <f>IF($F98="",0,IFERROR(INDEX(engDados,MATCH(selAnalito&amp;"|"&amp;$B98,engChave,0),5),0))</f>
        <v>0</v>
      </c>
      <c r="N98" s="30">
        <f>IF($F98="",0,IFERROR(INDEX(engDados,MATCH(selAnalito&amp;"|"&amp;$B98,engChave,0),6),0))</f>
        <v>0</v>
      </c>
      <c r="O98" s="30">
        <f>IF($F98="",0,IFERROR(INDEX(engDados,MATCH(selAnalito&amp;"|"&amp;$B98,engChave,0),7),0))</f>
        <v>0</v>
      </c>
      <c r="P98" s="30" t="str">
        <f>IF($F98="","",IFERROR(INDEX(engDados,MATCH(selAnalito&amp;"|"&amp;$B98,engChave,0),9),""))</f>
        <v/>
      </c>
      <c r="Q98" s="30" t="e">
        <f t="shared" si="73"/>
        <v>#N/A</v>
      </c>
      <c r="R98" s="30" t="e">
        <f t="shared" si="74"/>
        <v>#N/A</v>
      </c>
      <c r="S98" s="30" t="e">
        <f t="shared" si="75"/>
        <v>#N/A</v>
      </c>
      <c r="T98" s="30" t="e">
        <f t="shared" si="76"/>
        <v>#N/A</v>
      </c>
      <c r="U98" s="30" t="e">
        <f t="shared" si="77"/>
        <v>#N/A</v>
      </c>
      <c r="V98" s="30" t="e">
        <f t="shared" si="78"/>
        <v>#N/A</v>
      </c>
      <c r="W98" s="30" t="e">
        <f t="shared" si="79"/>
        <v>#N/A</v>
      </c>
      <c r="X98" s="30" t="e">
        <f>IF(AND($D98=1,(""&amp;loteAnalise)=(""&amp;loteCarregado),COUNTIFS(regAnalito,selAnalito,regNivel,1,regData,$C98,regRep1,"&lt;&gt;")&gt;0),SUMIFS(regRep1,regAnalito,selAnalito,regNivel,1,regData,$C98),NA())</f>
        <v>#N/A</v>
      </c>
      <c r="Y98" s="30" t="e">
        <f>IF(AND($D98=1,(""&amp;loteAnalise)=(""&amp;loteCarregado),COUNTIFS(regAnalito,selAnalito,regNivel,1,regData,$C98,regRep2,"&lt;&gt;")&gt;0),SUMIFS(regRep2,regAnalito,selAnalito,regNivel,1,regData,$C98),NA())</f>
        <v>#N/A</v>
      </c>
      <c r="Z98" s="30" t="e">
        <f>IF(AND($D98=1,(""&amp;loteAnalise)=(""&amp;loteCarregado),COUNTIFS(regAnalito,selAnalito,regNivel,1,regData,$C98,regRep3,"&lt;&gt;")&gt;0),SUMIFS(regRep3,regAnalito,selAnalito,regNivel,1,regData,$C98),NA())</f>
        <v>#N/A</v>
      </c>
      <c r="AA98" s="30" t="e">
        <f>IF(AND($D98=1,COUNTIFS(regAnalito,selAnalito,regData,$C98,regCalib,"Sim")&gt;0),$BT$1,NA())</f>
        <v>#N/A</v>
      </c>
      <c r="AB98" s="30" t="str">
        <f>IF($B98="","",IF(INDEX(engValN2,$A98)="","",INDEX(engValN2,$A98)))</f>
        <v/>
      </c>
      <c r="AC98" s="30" t="str">
        <f t="shared" si="80"/>
        <v/>
      </c>
      <c r="AD98" s="30" t="e">
        <f t="shared" si="81"/>
        <v>#N/A</v>
      </c>
      <c r="AE98" s="30" t="e">
        <f t="shared" si="82"/>
        <v>#N/A</v>
      </c>
      <c r="AF98" s="30" t="e">
        <f t="shared" si="83"/>
        <v>#N/A</v>
      </c>
      <c r="AG98" s="30">
        <f>IF($AB98="",0,IFERROR(INDEX(engDados,MATCH(selAnalito&amp;"|"&amp;$B98,engChave,0),10),0))</f>
        <v>0</v>
      </c>
      <c r="AH98" s="30">
        <f>IF($AB98="",0,IFERROR(INDEX(engDados,MATCH(selAnalito&amp;"|"&amp;$B98,engChave,0),11),0))</f>
        <v>0</v>
      </c>
      <c r="AI98" s="30">
        <f>IF($AB98="",0,IFERROR(INDEX(engDados,MATCH(selAnalito&amp;"|"&amp;$B98,engChave,0),12),0))</f>
        <v>0</v>
      </c>
      <c r="AJ98" s="30">
        <f>IF($AB98="",0,IFERROR(INDEX(engDados,MATCH(selAnalito&amp;"|"&amp;$B98,engChave,0),13),0))</f>
        <v>0</v>
      </c>
      <c r="AK98" s="30">
        <f>IF($AB98="",0,IFERROR(INDEX(engDados,MATCH(selAnalito&amp;"|"&amp;$B98,engChave,0),14),0))</f>
        <v>0</v>
      </c>
      <c r="AL98" s="30" t="str">
        <f>IF($AB98="","",IFERROR(INDEX(engDados,MATCH(selAnalito&amp;"|"&amp;$B98,engChave,0),16),""))</f>
        <v/>
      </c>
      <c r="AM98" s="30" t="e">
        <f t="shared" si="84"/>
        <v>#N/A</v>
      </c>
      <c r="AN98" s="30" t="e">
        <f t="shared" si="85"/>
        <v>#N/A</v>
      </c>
      <c r="AO98" s="30" t="e">
        <f t="shared" si="86"/>
        <v>#N/A</v>
      </c>
      <c r="AP98" s="30" t="e">
        <f t="shared" si="87"/>
        <v>#N/A</v>
      </c>
      <c r="AQ98" s="30" t="e">
        <f t="shared" si="88"/>
        <v>#N/A</v>
      </c>
      <c r="AR98" s="30" t="e">
        <f t="shared" si="89"/>
        <v>#N/A</v>
      </c>
      <c r="AS98" s="30" t="e">
        <f t="shared" si="90"/>
        <v>#N/A</v>
      </c>
      <c r="AT98" s="30" t="e">
        <f>IF(AND($D98=1,(""&amp;loteAnalise)=(""&amp;loteCarregado),COUNTIFS(regAnalito,selAnalito,regNivel,2,regData,$C98,regRep1,"&lt;&gt;")&gt;0),SUMIFS(regRep1,regAnalito,selAnalito,regNivel,2,regData,$C98),NA())</f>
        <v>#N/A</v>
      </c>
      <c r="AU98" s="30" t="e">
        <f>IF(AND($D98=1,(""&amp;loteAnalise)=(""&amp;loteCarregado),COUNTIFS(regAnalito,selAnalito,regNivel,2,regData,$C98,regRep2,"&lt;&gt;")&gt;0),SUMIFS(regRep2,regAnalito,selAnalito,regNivel,2,regData,$C98),NA())</f>
        <v>#N/A</v>
      </c>
      <c r="AV98" s="30" t="e">
        <f>IF(AND($D98=1,(""&amp;loteAnalise)=(""&amp;loteCarregado),COUNTIFS(regAnalito,selAnalito,regNivel,2,regData,$C98,regRep3,"&lt;&gt;")&gt;0),SUMIFS(regRep3,regAnalito,selAnalito,regNivel,2,regData,$C98),NA())</f>
        <v>#N/A</v>
      </c>
      <c r="AW98" s="30" t="e">
        <f>IF(AND($D98=1,COUNTIFS(regAnalito,selAnalito,regData,$C98,regCalib,"Sim")&gt;0),$BV$1,NA())</f>
        <v>#N/A</v>
      </c>
      <c r="AX98" s="30" t="str">
        <f>IF($B98="","",IF(INDEX(engValN3,$A98)="","",INDEX(engValN3,$A98)))</f>
        <v/>
      </c>
      <c r="AY98" s="30" t="str">
        <f t="shared" si="91"/>
        <v/>
      </c>
      <c r="AZ98" s="30" t="e">
        <f t="shared" si="92"/>
        <v>#N/A</v>
      </c>
      <c r="BA98" s="30" t="e">
        <f t="shared" si="93"/>
        <v>#N/A</v>
      </c>
      <c r="BB98" s="30" t="e">
        <f t="shared" si="94"/>
        <v>#N/A</v>
      </c>
      <c r="BC98" s="30">
        <f>IF($AX98="",0,IFERROR(INDEX(engDados,MATCH(selAnalito&amp;"|"&amp;$B98,engChave,0),17),0))</f>
        <v>0</v>
      </c>
      <c r="BD98" s="30">
        <f>IF($AX98="",0,IFERROR(INDEX(engDados,MATCH(selAnalito&amp;"|"&amp;$B98,engChave,0),18),0))</f>
        <v>0</v>
      </c>
      <c r="BE98" s="30">
        <f>IF($AX98="",0,IFERROR(INDEX(engDados,MATCH(selAnalito&amp;"|"&amp;$B98,engChave,0),19),0))</f>
        <v>0</v>
      </c>
      <c r="BF98" s="30">
        <f>IF($AX98="",0,IFERROR(INDEX(engDados,MATCH(selAnalito&amp;"|"&amp;$B98,engChave,0),20),0))</f>
        <v>0</v>
      </c>
      <c r="BG98" s="30">
        <f>IF($AX98="",0,IFERROR(INDEX(engDados,MATCH(selAnalito&amp;"|"&amp;$B98,engChave,0),21),0))</f>
        <v>0</v>
      </c>
      <c r="BH98" s="30" t="str">
        <f>IF($AX98="","",IFERROR(INDEX(engDados,MATCH(selAnalito&amp;"|"&amp;$B98,engChave,0),23),""))</f>
        <v/>
      </c>
      <c r="BI98" s="30" t="e">
        <f t="shared" si="95"/>
        <v>#N/A</v>
      </c>
      <c r="BJ98" s="30" t="e">
        <f t="shared" si="96"/>
        <v>#N/A</v>
      </c>
      <c r="BK98" s="30" t="e">
        <f t="shared" si="97"/>
        <v>#N/A</v>
      </c>
      <c r="BL98" s="30" t="e">
        <f t="shared" si="98"/>
        <v>#N/A</v>
      </c>
      <c r="BM98" s="30" t="e">
        <f t="shared" si="99"/>
        <v>#N/A</v>
      </c>
      <c r="BN98" s="30" t="e">
        <f t="shared" si="100"/>
        <v>#N/A</v>
      </c>
      <c r="BO98" s="30" t="e">
        <f t="shared" si="101"/>
        <v>#N/A</v>
      </c>
      <c r="BP98" s="30" t="e">
        <f>IF(AND($D98=1,(""&amp;loteAnalise)=(""&amp;loteCarregado),COUNTIFS(regAnalito,selAnalito,regNivel,3,regData,$C98,regRep1,"&lt;&gt;")&gt;0),SUMIFS(regRep1,regAnalito,selAnalito,regNivel,3,regData,$C98),NA())</f>
        <v>#N/A</v>
      </c>
      <c r="BQ98" s="30" t="e">
        <f>IF(AND($D98=1,(""&amp;loteAnalise)=(""&amp;loteCarregado),COUNTIFS(regAnalito,selAnalito,regNivel,3,regData,$C98,regRep2,"&lt;&gt;")&gt;0),SUMIFS(regRep2,regAnalito,selAnalito,regNivel,3,regData,$C98),NA())</f>
        <v>#N/A</v>
      </c>
      <c r="BR98" s="30" t="e">
        <f>IF(AND($D98=1,(""&amp;loteAnalise)=(""&amp;loteCarregado),COUNTIFS(regAnalito,selAnalito,regNivel,3,regData,$C98,regRep3,"&lt;&gt;")&gt;0),SUMIFS(regRep3,regAnalito,selAnalito,regNivel,3,regData,$C98),NA())</f>
        <v>#N/A</v>
      </c>
      <c r="BS98" s="30" t="e">
        <f>IF(AND($D98=1,COUNTIFS(regAnalito,selAnalito,regData,$C98,regCalib,"Sim")&gt;0),$BX$1,NA())</f>
        <v>#N/A</v>
      </c>
    </row>
    <row r="99" spans="1:71" x14ac:dyDescent="0.3">
      <c r="A99" s="30">
        <v>97</v>
      </c>
      <c r="B99" s="30" t="str">
        <f>IF(OR(selAnalito="",(""&amp;engAnalito)&lt;&gt;(""&amp;selAnalito),(""&amp;engLote)&lt;&gt;(""&amp;loteAnalise),$A99&gt;N(engNRun)),"",INDEX(engRUN,$A99))</f>
        <v/>
      </c>
      <c r="C99" s="43" t="str">
        <f>IF($B99="","",IF(INDEX(engData,$A99)="","",INDEX(engData,$A99)))</f>
        <v/>
      </c>
      <c r="D99" s="30">
        <f>IF($C99="",0,IF(AND(OR(filtroDe="",INT($C99)&gt;=INT(filtroDe)),OR(filtroAte="",INT($C99)&lt;=INT(filtroAte))),1,0))</f>
        <v>0</v>
      </c>
      <c r="E99" s="30" t="e">
        <f t="shared" ref="E99:E130" si="102">IF(OR($B99="",$D99=0),NA(),$A99)</f>
        <v>#N/A</v>
      </c>
      <c r="F99" s="30" t="str">
        <f>IF($B99="","",IF(INDEX(engValN1,$A99)="","",INDEX(engValN1,$A99)))</f>
        <v/>
      </c>
      <c r="G99" s="30" t="str">
        <f t="shared" ref="G99:G130" si="103">IF(OR($F99="",$BU$1=""),"",($F99-$BT$1)/$BU$1)</f>
        <v/>
      </c>
      <c r="H99" s="30" t="e">
        <f t="shared" ref="H99:H130" si="104">IF(AND($F99&lt;&gt;"",$D99=1),$F99,NA())</f>
        <v>#N/A</v>
      </c>
      <c r="I99" s="30" t="e">
        <f t="shared" ref="I99:I130" si="105">IF(AND($F99&lt;&gt;"",$D99=1,$P99="OK"),$F99,NA())</f>
        <v>#N/A</v>
      </c>
      <c r="J99" s="30" t="e">
        <f t="shared" ref="J99:J130" si="106">IF(AND($F99&lt;&gt;"",$D99=1,$P99="REJEITADO"),$F99,NA())</f>
        <v>#N/A</v>
      </c>
      <c r="K99" s="30">
        <f>IF($F99="",0,IFERROR(INDEX(engDados,MATCH(selAnalito&amp;"|"&amp;$B99,engChave,0),3),0))</f>
        <v>0</v>
      </c>
      <c r="L99" s="30">
        <f>IF($F99="",0,IFERROR(INDEX(engDados,MATCH(selAnalito&amp;"|"&amp;$B99,engChave,0),4),0))</f>
        <v>0</v>
      </c>
      <c r="M99" s="30">
        <f>IF($F99="",0,IFERROR(INDEX(engDados,MATCH(selAnalito&amp;"|"&amp;$B99,engChave,0),5),0))</f>
        <v>0</v>
      </c>
      <c r="N99" s="30">
        <f>IF($F99="",0,IFERROR(INDEX(engDados,MATCH(selAnalito&amp;"|"&amp;$B99,engChave,0),6),0))</f>
        <v>0</v>
      </c>
      <c r="O99" s="30">
        <f>IF($F99="",0,IFERROR(INDEX(engDados,MATCH(selAnalito&amp;"|"&amp;$B99,engChave,0),7),0))</f>
        <v>0</v>
      </c>
      <c r="P99" s="30" t="str">
        <f>IF($F99="","",IFERROR(INDEX(engDados,MATCH(selAnalito&amp;"|"&amp;$B99,engChave,0),9),""))</f>
        <v/>
      </c>
      <c r="Q99" s="30" t="e">
        <f t="shared" ref="Q99:Q130" si="107">IF(AND($D99=1,$BT$1&lt;&gt;""),$BT$1+(-3)*$BU$1,NA())</f>
        <v>#N/A</v>
      </c>
      <c r="R99" s="30" t="e">
        <f t="shared" ref="R99:R130" si="108">IF(AND($D99=1,$BT$1&lt;&gt;""),$BT$1+(-2)*$BU$1,NA())</f>
        <v>#N/A</v>
      </c>
      <c r="S99" s="30" t="e">
        <f t="shared" ref="S99:S130" si="109">IF(AND($D99=1,$BT$1&lt;&gt;""),$BT$1+(-1)*$BU$1,NA())</f>
        <v>#N/A</v>
      </c>
      <c r="T99" s="30" t="e">
        <f t="shared" ref="T99:T130" si="110">IF(AND($D99=1,$BT$1&lt;&gt;""),$BT$1,NA())</f>
        <v>#N/A</v>
      </c>
      <c r="U99" s="30" t="e">
        <f t="shared" ref="U99:U130" si="111">IF(AND($D99=1,$BT$1&lt;&gt;""),$BT$1+(1)*$BU$1,NA())</f>
        <v>#N/A</v>
      </c>
      <c r="V99" s="30" t="e">
        <f t="shared" ref="V99:V130" si="112">IF(AND($D99=1,$BT$1&lt;&gt;""),$BT$1+(2)*$BU$1,NA())</f>
        <v>#N/A</v>
      </c>
      <c r="W99" s="30" t="e">
        <f t="shared" ref="W99:W130" si="113">IF(AND($D99=1,$BT$1&lt;&gt;""),$BT$1+(3)*$BU$1,NA())</f>
        <v>#N/A</v>
      </c>
      <c r="X99" s="30" t="e">
        <f>IF(AND($D99=1,(""&amp;loteAnalise)=(""&amp;loteCarregado),COUNTIFS(regAnalito,selAnalito,regNivel,1,regData,$C99,regRep1,"&lt;&gt;")&gt;0),SUMIFS(regRep1,regAnalito,selAnalito,regNivel,1,regData,$C99),NA())</f>
        <v>#N/A</v>
      </c>
      <c r="Y99" s="30" t="e">
        <f>IF(AND($D99=1,(""&amp;loteAnalise)=(""&amp;loteCarregado),COUNTIFS(regAnalito,selAnalito,regNivel,1,regData,$C99,regRep2,"&lt;&gt;")&gt;0),SUMIFS(regRep2,regAnalito,selAnalito,regNivel,1,regData,$C99),NA())</f>
        <v>#N/A</v>
      </c>
      <c r="Z99" s="30" t="e">
        <f>IF(AND($D99=1,(""&amp;loteAnalise)=(""&amp;loteCarregado),COUNTIFS(regAnalito,selAnalito,regNivel,1,regData,$C99,regRep3,"&lt;&gt;")&gt;0),SUMIFS(regRep3,regAnalito,selAnalito,regNivel,1,regData,$C99),NA())</f>
        <v>#N/A</v>
      </c>
      <c r="AA99" s="30" t="e">
        <f>IF(AND($D99=1,COUNTIFS(regAnalito,selAnalito,regData,$C99,regCalib,"Sim")&gt;0),$BT$1,NA())</f>
        <v>#N/A</v>
      </c>
      <c r="AB99" s="30" t="str">
        <f>IF($B99="","",IF(INDEX(engValN2,$A99)="","",INDEX(engValN2,$A99)))</f>
        <v/>
      </c>
      <c r="AC99" s="30" t="str">
        <f t="shared" ref="AC99:AC130" si="114">IF(OR($AB99="",$BW$1=""),"",($AB99-$BV$1)/$BW$1)</f>
        <v/>
      </c>
      <c r="AD99" s="30" t="e">
        <f t="shared" ref="AD99:AD130" si="115">IF(AND($AB99&lt;&gt;"",$D99=1),$AB99,NA())</f>
        <v>#N/A</v>
      </c>
      <c r="AE99" s="30" t="e">
        <f t="shared" ref="AE99:AE130" si="116">IF(AND($AB99&lt;&gt;"",$D99=1,$AL99="OK"),$AB99,NA())</f>
        <v>#N/A</v>
      </c>
      <c r="AF99" s="30" t="e">
        <f t="shared" ref="AF99:AF130" si="117">IF(AND($AB99&lt;&gt;"",$D99=1,$AL99="REJEITADO"),$AB99,NA())</f>
        <v>#N/A</v>
      </c>
      <c r="AG99" s="30">
        <f>IF($AB99="",0,IFERROR(INDEX(engDados,MATCH(selAnalito&amp;"|"&amp;$B99,engChave,0),10),0))</f>
        <v>0</v>
      </c>
      <c r="AH99" s="30">
        <f>IF($AB99="",0,IFERROR(INDEX(engDados,MATCH(selAnalito&amp;"|"&amp;$B99,engChave,0),11),0))</f>
        <v>0</v>
      </c>
      <c r="AI99" s="30">
        <f>IF($AB99="",0,IFERROR(INDEX(engDados,MATCH(selAnalito&amp;"|"&amp;$B99,engChave,0),12),0))</f>
        <v>0</v>
      </c>
      <c r="AJ99" s="30">
        <f>IF($AB99="",0,IFERROR(INDEX(engDados,MATCH(selAnalito&amp;"|"&amp;$B99,engChave,0),13),0))</f>
        <v>0</v>
      </c>
      <c r="AK99" s="30">
        <f>IF($AB99="",0,IFERROR(INDEX(engDados,MATCH(selAnalito&amp;"|"&amp;$B99,engChave,0),14),0))</f>
        <v>0</v>
      </c>
      <c r="AL99" s="30" t="str">
        <f>IF($AB99="","",IFERROR(INDEX(engDados,MATCH(selAnalito&amp;"|"&amp;$B99,engChave,0),16),""))</f>
        <v/>
      </c>
      <c r="AM99" s="30" t="e">
        <f t="shared" ref="AM99:AM130" si="118">IF(AND($D99=1,$BV$1&lt;&gt;""),$BV$1+(-3)*$BW$1,NA())</f>
        <v>#N/A</v>
      </c>
      <c r="AN99" s="30" t="e">
        <f t="shared" ref="AN99:AN130" si="119">IF(AND($D99=1,$BV$1&lt;&gt;""),$BV$1+(-2)*$BW$1,NA())</f>
        <v>#N/A</v>
      </c>
      <c r="AO99" s="30" t="e">
        <f t="shared" ref="AO99:AO130" si="120">IF(AND($D99=1,$BV$1&lt;&gt;""),$BV$1+(-1)*$BW$1,NA())</f>
        <v>#N/A</v>
      </c>
      <c r="AP99" s="30" t="e">
        <f t="shared" ref="AP99:AP130" si="121">IF(AND($D99=1,$BV$1&lt;&gt;""),$BV$1,NA())</f>
        <v>#N/A</v>
      </c>
      <c r="AQ99" s="30" t="e">
        <f t="shared" ref="AQ99:AQ130" si="122">IF(AND($D99=1,$BV$1&lt;&gt;""),$BV$1+(1)*$BW$1,NA())</f>
        <v>#N/A</v>
      </c>
      <c r="AR99" s="30" t="e">
        <f t="shared" ref="AR99:AR130" si="123">IF(AND($D99=1,$BV$1&lt;&gt;""),$BV$1+(2)*$BW$1,NA())</f>
        <v>#N/A</v>
      </c>
      <c r="AS99" s="30" t="e">
        <f t="shared" ref="AS99:AS130" si="124">IF(AND($D99=1,$BV$1&lt;&gt;""),$BV$1+(3)*$BW$1,NA())</f>
        <v>#N/A</v>
      </c>
      <c r="AT99" s="30" t="e">
        <f>IF(AND($D99=1,(""&amp;loteAnalise)=(""&amp;loteCarregado),COUNTIFS(regAnalito,selAnalito,regNivel,2,regData,$C99,regRep1,"&lt;&gt;")&gt;0),SUMIFS(regRep1,regAnalito,selAnalito,regNivel,2,regData,$C99),NA())</f>
        <v>#N/A</v>
      </c>
      <c r="AU99" s="30" t="e">
        <f>IF(AND($D99=1,(""&amp;loteAnalise)=(""&amp;loteCarregado),COUNTIFS(regAnalito,selAnalito,regNivel,2,regData,$C99,regRep2,"&lt;&gt;")&gt;0),SUMIFS(regRep2,regAnalito,selAnalito,regNivel,2,regData,$C99),NA())</f>
        <v>#N/A</v>
      </c>
      <c r="AV99" s="30" t="e">
        <f>IF(AND($D99=1,(""&amp;loteAnalise)=(""&amp;loteCarregado),COUNTIFS(regAnalito,selAnalito,regNivel,2,regData,$C99,regRep3,"&lt;&gt;")&gt;0),SUMIFS(regRep3,regAnalito,selAnalito,regNivel,2,regData,$C99),NA())</f>
        <v>#N/A</v>
      </c>
      <c r="AW99" s="30" t="e">
        <f>IF(AND($D99=1,COUNTIFS(regAnalito,selAnalito,regData,$C99,regCalib,"Sim")&gt;0),$BV$1,NA())</f>
        <v>#N/A</v>
      </c>
      <c r="AX99" s="30" t="str">
        <f>IF($B99="","",IF(INDEX(engValN3,$A99)="","",INDEX(engValN3,$A99)))</f>
        <v/>
      </c>
      <c r="AY99" s="30" t="str">
        <f t="shared" ref="AY99:AY130" si="125">IF(OR($AX99="",$BY$1=""),"",($AX99-$BX$1)/$BY$1)</f>
        <v/>
      </c>
      <c r="AZ99" s="30" t="e">
        <f t="shared" ref="AZ99:AZ130" si="126">IF(AND($AX99&lt;&gt;"",$D99=1),$AX99,NA())</f>
        <v>#N/A</v>
      </c>
      <c r="BA99" s="30" t="e">
        <f t="shared" ref="BA99:BA130" si="127">IF(AND($AX99&lt;&gt;"",$D99=1,$BH99="OK"),$AX99,NA())</f>
        <v>#N/A</v>
      </c>
      <c r="BB99" s="30" t="e">
        <f t="shared" ref="BB99:BB130" si="128">IF(AND($AX99&lt;&gt;"",$D99=1,$BH99="REJEITADO"),$AX99,NA())</f>
        <v>#N/A</v>
      </c>
      <c r="BC99" s="30">
        <f>IF($AX99="",0,IFERROR(INDEX(engDados,MATCH(selAnalito&amp;"|"&amp;$B99,engChave,0),17),0))</f>
        <v>0</v>
      </c>
      <c r="BD99" s="30">
        <f>IF($AX99="",0,IFERROR(INDEX(engDados,MATCH(selAnalito&amp;"|"&amp;$B99,engChave,0),18),0))</f>
        <v>0</v>
      </c>
      <c r="BE99" s="30">
        <f>IF($AX99="",0,IFERROR(INDEX(engDados,MATCH(selAnalito&amp;"|"&amp;$B99,engChave,0),19),0))</f>
        <v>0</v>
      </c>
      <c r="BF99" s="30">
        <f>IF($AX99="",0,IFERROR(INDEX(engDados,MATCH(selAnalito&amp;"|"&amp;$B99,engChave,0),20),0))</f>
        <v>0</v>
      </c>
      <c r="BG99" s="30">
        <f>IF($AX99="",0,IFERROR(INDEX(engDados,MATCH(selAnalito&amp;"|"&amp;$B99,engChave,0),21),0))</f>
        <v>0</v>
      </c>
      <c r="BH99" s="30" t="str">
        <f>IF($AX99="","",IFERROR(INDEX(engDados,MATCH(selAnalito&amp;"|"&amp;$B99,engChave,0),23),""))</f>
        <v/>
      </c>
      <c r="BI99" s="30" t="e">
        <f t="shared" ref="BI99:BI130" si="129">IF(AND($D99=1,$BX$1&lt;&gt;""),$BX$1+(-3)*$BY$1,NA())</f>
        <v>#N/A</v>
      </c>
      <c r="BJ99" s="30" t="e">
        <f t="shared" ref="BJ99:BJ130" si="130">IF(AND($D99=1,$BX$1&lt;&gt;""),$BX$1+(-2)*$BY$1,NA())</f>
        <v>#N/A</v>
      </c>
      <c r="BK99" s="30" t="e">
        <f t="shared" ref="BK99:BK130" si="131">IF(AND($D99=1,$BX$1&lt;&gt;""),$BX$1+(-1)*$BY$1,NA())</f>
        <v>#N/A</v>
      </c>
      <c r="BL99" s="30" t="e">
        <f t="shared" ref="BL99:BL130" si="132">IF(AND($D99=1,$BX$1&lt;&gt;""),$BX$1,NA())</f>
        <v>#N/A</v>
      </c>
      <c r="BM99" s="30" t="e">
        <f t="shared" ref="BM99:BM130" si="133">IF(AND($D99=1,$BX$1&lt;&gt;""),$BX$1+(1)*$BY$1,NA())</f>
        <v>#N/A</v>
      </c>
      <c r="BN99" s="30" t="e">
        <f t="shared" ref="BN99:BN130" si="134">IF(AND($D99=1,$BX$1&lt;&gt;""),$BX$1+(2)*$BY$1,NA())</f>
        <v>#N/A</v>
      </c>
      <c r="BO99" s="30" t="e">
        <f t="shared" ref="BO99:BO130" si="135">IF(AND($D99=1,$BX$1&lt;&gt;""),$BX$1+(3)*$BY$1,NA())</f>
        <v>#N/A</v>
      </c>
      <c r="BP99" s="30" t="e">
        <f>IF(AND($D99=1,(""&amp;loteAnalise)=(""&amp;loteCarregado),COUNTIFS(regAnalito,selAnalito,regNivel,3,regData,$C99,regRep1,"&lt;&gt;")&gt;0),SUMIFS(regRep1,regAnalito,selAnalito,regNivel,3,regData,$C99),NA())</f>
        <v>#N/A</v>
      </c>
      <c r="BQ99" s="30" t="e">
        <f>IF(AND($D99=1,(""&amp;loteAnalise)=(""&amp;loteCarregado),COUNTIFS(regAnalito,selAnalito,regNivel,3,regData,$C99,regRep2,"&lt;&gt;")&gt;0),SUMIFS(regRep2,regAnalito,selAnalito,regNivel,3,regData,$C99),NA())</f>
        <v>#N/A</v>
      </c>
      <c r="BR99" s="30" t="e">
        <f>IF(AND($D99=1,(""&amp;loteAnalise)=(""&amp;loteCarregado),COUNTIFS(regAnalito,selAnalito,regNivel,3,regData,$C99,regRep3,"&lt;&gt;")&gt;0),SUMIFS(regRep3,regAnalito,selAnalito,regNivel,3,regData,$C99),NA())</f>
        <v>#N/A</v>
      </c>
      <c r="BS99" s="30" t="e">
        <f>IF(AND($D99=1,COUNTIFS(regAnalito,selAnalito,regData,$C99,regCalib,"Sim")&gt;0),$BX$1,NA())</f>
        <v>#N/A</v>
      </c>
    </row>
    <row r="100" spans="1:71" x14ac:dyDescent="0.3">
      <c r="A100" s="30">
        <v>98</v>
      </c>
      <c r="B100" s="30" t="str">
        <f>IF(OR(selAnalito="",(""&amp;engAnalito)&lt;&gt;(""&amp;selAnalito),(""&amp;engLote)&lt;&gt;(""&amp;loteAnalise),$A100&gt;N(engNRun)),"",INDEX(engRUN,$A100))</f>
        <v/>
      </c>
      <c r="C100" s="43" t="str">
        <f>IF($B100="","",IF(INDEX(engData,$A100)="","",INDEX(engData,$A100)))</f>
        <v/>
      </c>
      <c r="D100" s="30">
        <f>IF($C100="",0,IF(AND(OR(filtroDe="",INT($C100)&gt;=INT(filtroDe)),OR(filtroAte="",INT($C100)&lt;=INT(filtroAte))),1,0))</f>
        <v>0</v>
      </c>
      <c r="E100" s="30" t="e">
        <f t="shared" si="102"/>
        <v>#N/A</v>
      </c>
      <c r="F100" s="30" t="str">
        <f>IF($B100="","",IF(INDEX(engValN1,$A100)="","",INDEX(engValN1,$A100)))</f>
        <v/>
      </c>
      <c r="G100" s="30" t="str">
        <f t="shared" si="103"/>
        <v/>
      </c>
      <c r="H100" s="30" t="e">
        <f t="shared" si="104"/>
        <v>#N/A</v>
      </c>
      <c r="I100" s="30" t="e">
        <f t="shared" si="105"/>
        <v>#N/A</v>
      </c>
      <c r="J100" s="30" t="e">
        <f t="shared" si="106"/>
        <v>#N/A</v>
      </c>
      <c r="K100" s="30">
        <f>IF($F100="",0,IFERROR(INDEX(engDados,MATCH(selAnalito&amp;"|"&amp;$B100,engChave,0),3),0))</f>
        <v>0</v>
      </c>
      <c r="L100" s="30">
        <f>IF($F100="",0,IFERROR(INDEX(engDados,MATCH(selAnalito&amp;"|"&amp;$B100,engChave,0),4),0))</f>
        <v>0</v>
      </c>
      <c r="M100" s="30">
        <f>IF($F100="",0,IFERROR(INDEX(engDados,MATCH(selAnalito&amp;"|"&amp;$B100,engChave,0),5),0))</f>
        <v>0</v>
      </c>
      <c r="N100" s="30">
        <f>IF($F100="",0,IFERROR(INDEX(engDados,MATCH(selAnalito&amp;"|"&amp;$B100,engChave,0),6),0))</f>
        <v>0</v>
      </c>
      <c r="O100" s="30">
        <f>IF($F100="",0,IFERROR(INDEX(engDados,MATCH(selAnalito&amp;"|"&amp;$B100,engChave,0),7),0))</f>
        <v>0</v>
      </c>
      <c r="P100" s="30" t="str">
        <f>IF($F100="","",IFERROR(INDEX(engDados,MATCH(selAnalito&amp;"|"&amp;$B100,engChave,0),9),""))</f>
        <v/>
      </c>
      <c r="Q100" s="30" t="e">
        <f t="shared" si="107"/>
        <v>#N/A</v>
      </c>
      <c r="R100" s="30" t="e">
        <f t="shared" si="108"/>
        <v>#N/A</v>
      </c>
      <c r="S100" s="30" t="e">
        <f t="shared" si="109"/>
        <v>#N/A</v>
      </c>
      <c r="T100" s="30" t="e">
        <f t="shared" si="110"/>
        <v>#N/A</v>
      </c>
      <c r="U100" s="30" t="e">
        <f t="shared" si="111"/>
        <v>#N/A</v>
      </c>
      <c r="V100" s="30" t="e">
        <f t="shared" si="112"/>
        <v>#N/A</v>
      </c>
      <c r="W100" s="30" t="e">
        <f t="shared" si="113"/>
        <v>#N/A</v>
      </c>
      <c r="X100" s="30" t="e">
        <f>IF(AND($D100=1,(""&amp;loteAnalise)=(""&amp;loteCarregado),COUNTIFS(regAnalito,selAnalito,regNivel,1,regData,$C100,regRep1,"&lt;&gt;")&gt;0),SUMIFS(regRep1,regAnalito,selAnalito,regNivel,1,regData,$C100),NA())</f>
        <v>#N/A</v>
      </c>
      <c r="Y100" s="30" t="e">
        <f>IF(AND($D100=1,(""&amp;loteAnalise)=(""&amp;loteCarregado),COUNTIFS(regAnalito,selAnalito,regNivel,1,regData,$C100,regRep2,"&lt;&gt;")&gt;0),SUMIFS(regRep2,regAnalito,selAnalito,regNivel,1,regData,$C100),NA())</f>
        <v>#N/A</v>
      </c>
      <c r="Z100" s="30" t="e">
        <f>IF(AND($D100=1,(""&amp;loteAnalise)=(""&amp;loteCarregado),COUNTIFS(regAnalito,selAnalito,regNivel,1,regData,$C100,regRep3,"&lt;&gt;")&gt;0),SUMIFS(regRep3,regAnalito,selAnalito,regNivel,1,regData,$C100),NA())</f>
        <v>#N/A</v>
      </c>
      <c r="AA100" s="30" t="e">
        <f>IF(AND($D100=1,COUNTIFS(regAnalito,selAnalito,regData,$C100,regCalib,"Sim")&gt;0),$BT$1,NA())</f>
        <v>#N/A</v>
      </c>
      <c r="AB100" s="30" t="str">
        <f>IF($B100="","",IF(INDEX(engValN2,$A100)="","",INDEX(engValN2,$A100)))</f>
        <v/>
      </c>
      <c r="AC100" s="30" t="str">
        <f t="shared" si="114"/>
        <v/>
      </c>
      <c r="AD100" s="30" t="e">
        <f t="shared" si="115"/>
        <v>#N/A</v>
      </c>
      <c r="AE100" s="30" t="e">
        <f t="shared" si="116"/>
        <v>#N/A</v>
      </c>
      <c r="AF100" s="30" t="e">
        <f t="shared" si="117"/>
        <v>#N/A</v>
      </c>
      <c r="AG100" s="30">
        <f>IF($AB100="",0,IFERROR(INDEX(engDados,MATCH(selAnalito&amp;"|"&amp;$B100,engChave,0),10),0))</f>
        <v>0</v>
      </c>
      <c r="AH100" s="30">
        <f>IF($AB100="",0,IFERROR(INDEX(engDados,MATCH(selAnalito&amp;"|"&amp;$B100,engChave,0),11),0))</f>
        <v>0</v>
      </c>
      <c r="AI100" s="30">
        <f>IF($AB100="",0,IFERROR(INDEX(engDados,MATCH(selAnalito&amp;"|"&amp;$B100,engChave,0),12),0))</f>
        <v>0</v>
      </c>
      <c r="AJ100" s="30">
        <f>IF($AB100="",0,IFERROR(INDEX(engDados,MATCH(selAnalito&amp;"|"&amp;$B100,engChave,0),13),0))</f>
        <v>0</v>
      </c>
      <c r="AK100" s="30">
        <f>IF($AB100="",0,IFERROR(INDEX(engDados,MATCH(selAnalito&amp;"|"&amp;$B100,engChave,0),14),0))</f>
        <v>0</v>
      </c>
      <c r="AL100" s="30" t="str">
        <f>IF($AB100="","",IFERROR(INDEX(engDados,MATCH(selAnalito&amp;"|"&amp;$B100,engChave,0),16),""))</f>
        <v/>
      </c>
      <c r="AM100" s="30" t="e">
        <f t="shared" si="118"/>
        <v>#N/A</v>
      </c>
      <c r="AN100" s="30" t="e">
        <f t="shared" si="119"/>
        <v>#N/A</v>
      </c>
      <c r="AO100" s="30" t="e">
        <f t="shared" si="120"/>
        <v>#N/A</v>
      </c>
      <c r="AP100" s="30" t="e">
        <f t="shared" si="121"/>
        <v>#N/A</v>
      </c>
      <c r="AQ100" s="30" t="e">
        <f t="shared" si="122"/>
        <v>#N/A</v>
      </c>
      <c r="AR100" s="30" t="e">
        <f t="shared" si="123"/>
        <v>#N/A</v>
      </c>
      <c r="AS100" s="30" t="e">
        <f t="shared" si="124"/>
        <v>#N/A</v>
      </c>
      <c r="AT100" s="30" t="e">
        <f>IF(AND($D100=1,(""&amp;loteAnalise)=(""&amp;loteCarregado),COUNTIFS(regAnalito,selAnalito,regNivel,2,regData,$C100,regRep1,"&lt;&gt;")&gt;0),SUMIFS(regRep1,regAnalito,selAnalito,regNivel,2,regData,$C100),NA())</f>
        <v>#N/A</v>
      </c>
      <c r="AU100" s="30" t="e">
        <f>IF(AND($D100=1,(""&amp;loteAnalise)=(""&amp;loteCarregado),COUNTIFS(regAnalito,selAnalito,regNivel,2,regData,$C100,regRep2,"&lt;&gt;")&gt;0),SUMIFS(regRep2,regAnalito,selAnalito,regNivel,2,regData,$C100),NA())</f>
        <v>#N/A</v>
      </c>
      <c r="AV100" s="30" t="e">
        <f>IF(AND($D100=1,(""&amp;loteAnalise)=(""&amp;loteCarregado),COUNTIFS(regAnalito,selAnalito,regNivel,2,regData,$C100,regRep3,"&lt;&gt;")&gt;0),SUMIFS(regRep3,regAnalito,selAnalito,regNivel,2,regData,$C100),NA())</f>
        <v>#N/A</v>
      </c>
      <c r="AW100" s="30" t="e">
        <f>IF(AND($D100=1,COUNTIFS(regAnalito,selAnalito,regData,$C100,regCalib,"Sim")&gt;0),$BV$1,NA())</f>
        <v>#N/A</v>
      </c>
      <c r="AX100" s="30" t="str">
        <f>IF($B100="","",IF(INDEX(engValN3,$A100)="","",INDEX(engValN3,$A100)))</f>
        <v/>
      </c>
      <c r="AY100" s="30" t="str">
        <f t="shared" si="125"/>
        <v/>
      </c>
      <c r="AZ100" s="30" t="e">
        <f t="shared" si="126"/>
        <v>#N/A</v>
      </c>
      <c r="BA100" s="30" t="e">
        <f t="shared" si="127"/>
        <v>#N/A</v>
      </c>
      <c r="BB100" s="30" t="e">
        <f t="shared" si="128"/>
        <v>#N/A</v>
      </c>
      <c r="BC100" s="30">
        <f>IF($AX100="",0,IFERROR(INDEX(engDados,MATCH(selAnalito&amp;"|"&amp;$B100,engChave,0),17),0))</f>
        <v>0</v>
      </c>
      <c r="BD100" s="30">
        <f>IF($AX100="",0,IFERROR(INDEX(engDados,MATCH(selAnalito&amp;"|"&amp;$B100,engChave,0),18),0))</f>
        <v>0</v>
      </c>
      <c r="BE100" s="30">
        <f>IF($AX100="",0,IFERROR(INDEX(engDados,MATCH(selAnalito&amp;"|"&amp;$B100,engChave,0),19),0))</f>
        <v>0</v>
      </c>
      <c r="BF100" s="30">
        <f>IF($AX100="",0,IFERROR(INDEX(engDados,MATCH(selAnalito&amp;"|"&amp;$B100,engChave,0),20),0))</f>
        <v>0</v>
      </c>
      <c r="BG100" s="30">
        <f>IF($AX100="",0,IFERROR(INDEX(engDados,MATCH(selAnalito&amp;"|"&amp;$B100,engChave,0),21),0))</f>
        <v>0</v>
      </c>
      <c r="BH100" s="30" t="str">
        <f>IF($AX100="","",IFERROR(INDEX(engDados,MATCH(selAnalito&amp;"|"&amp;$B100,engChave,0),23),""))</f>
        <v/>
      </c>
      <c r="BI100" s="30" t="e">
        <f t="shared" si="129"/>
        <v>#N/A</v>
      </c>
      <c r="BJ100" s="30" t="e">
        <f t="shared" si="130"/>
        <v>#N/A</v>
      </c>
      <c r="BK100" s="30" t="e">
        <f t="shared" si="131"/>
        <v>#N/A</v>
      </c>
      <c r="BL100" s="30" t="e">
        <f t="shared" si="132"/>
        <v>#N/A</v>
      </c>
      <c r="BM100" s="30" t="e">
        <f t="shared" si="133"/>
        <v>#N/A</v>
      </c>
      <c r="BN100" s="30" t="e">
        <f t="shared" si="134"/>
        <v>#N/A</v>
      </c>
      <c r="BO100" s="30" t="e">
        <f t="shared" si="135"/>
        <v>#N/A</v>
      </c>
      <c r="BP100" s="30" t="e">
        <f>IF(AND($D100=1,(""&amp;loteAnalise)=(""&amp;loteCarregado),COUNTIFS(regAnalito,selAnalito,regNivel,3,regData,$C100,regRep1,"&lt;&gt;")&gt;0),SUMIFS(regRep1,regAnalito,selAnalito,regNivel,3,regData,$C100),NA())</f>
        <v>#N/A</v>
      </c>
      <c r="BQ100" s="30" t="e">
        <f>IF(AND($D100=1,(""&amp;loteAnalise)=(""&amp;loteCarregado),COUNTIFS(regAnalito,selAnalito,regNivel,3,regData,$C100,regRep2,"&lt;&gt;")&gt;0),SUMIFS(regRep2,regAnalito,selAnalito,regNivel,3,regData,$C100),NA())</f>
        <v>#N/A</v>
      </c>
      <c r="BR100" s="30" t="e">
        <f>IF(AND($D100=1,(""&amp;loteAnalise)=(""&amp;loteCarregado),COUNTIFS(regAnalito,selAnalito,regNivel,3,regData,$C100,regRep3,"&lt;&gt;")&gt;0),SUMIFS(regRep3,regAnalito,selAnalito,regNivel,3,regData,$C100),NA())</f>
        <v>#N/A</v>
      </c>
      <c r="BS100" s="30" t="e">
        <f>IF(AND($D100=1,COUNTIFS(regAnalito,selAnalito,regData,$C100,regCalib,"Sim")&gt;0),$BX$1,NA())</f>
        <v>#N/A</v>
      </c>
    </row>
    <row r="101" spans="1:71" x14ac:dyDescent="0.3">
      <c r="A101" s="30">
        <v>99</v>
      </c>
      <c r="B101" s="30" t="str">
        <f>IF(OR(selAnalito="",(""&amp;engAnalito)&lt;&gt;(""&amp;selAnalito),(""&amp;engLote)&lt;&gt;(""&amp;loteAnalise),$A101&gt;N(engNRun)),"",INDEX(engRUN,$A101))</f>
        <v/>
      </c>
      <c r="C101" s="43" t="str">
        <f>IF($B101="","",IF(INDEX(engData,$A101)="","",INDEX(engData,$A101)))</f>
        <v/>
      </c>
      <c r="D101" s="30">
        <f>IF($C101="",0,IF(AND(OR(filtroDe="",INT($C101)&gt;=INT(filtroDe)),OR(filtroAte="",INT($C101)&lt;=INT(filtroAte))),1,0))</f>
        <v>0</v>
      </c>
      <c r="E101" s="30" t="e">
        <f t="shared" si="102"/>
        <v>#N/A</v>
      </c>
      <c r="F101" s="30" t="str">
        <f>IF($B101="","",IF(INDEX(engValN1,$A101)="","",INDEX(engValN1,$A101)))</f>
        <v/>
      </c>
      <c r="G101" s="30" t="str">
        <f t="shared" si="103"/>
        <v/>
      </c>
      <c r="H101" s="30" t="e">
        <f t="shared" si="104"/>
        <v>#N/A</v>
      </c>
      <c r="I101" s="30" t="e">
        <f t="shared" si="105"/>
        <v>#N/A</v>
      </c>
      <c r="J101" s="30" t="e">
        <f t="shared" si="106"/>
        <v>#N/A</v>
      </c>
      <c r="K101" s="30">
        <f>IF($F101="",0,IFERROR(INDEX(engDados,MATCH(selAnalito&amp;"|"&amp;$B101,engChave,0),3),0))</f>
        <v>0</v>
      </c>
      <c r="L101" s="30">
        <f>IF($F101="",0,IFERROR(INDEX(engDados,MATCH(selAnalito&amp;"|"&amp;$B101,engChave,0),4),0))</f>
        <v>0</v>
      </c>
      <c r="M101" s="30">
        <f>IF($F101="",0,IFERROR(INDEX(engDados,MATCH(selAnalito&amp;"|"&amp;$B101,engChave,0),5),0))</f>
        <v>0</v>
      </c>
      <c r="N101" s="30">
        <f>IF($F101="",0,IFERROR(INDEX(engDados,MATCH(selAnalito&amp;"|"&amp;$B101,engChave,0),6),0))</f>
        <v>0</v>
      </c>
      <c r="O101" s="30">
        <f>IF($F101="",0,IFERROR(INDEX(engDados,MATCH(selAnalito&amp;"|"&amp;$B101,engChave,0),7),0))</f>
        <v>0</v>
      </c>
      <c r="P101" s="30" t="str">
        <f>IF($F101="","",IFERROR(INDEX(engDados,MATCH(selAnalito&amp;"|"&amp;$B101,engChave,0),9),""))</f>
        <v/>
      </c>
      <c r="Q101" s="30" t="e">
        <f t="shared" si="107"/>
        <v>#N/A</v>
      </c>
      <c r="R101" s="30" t="e">
        <f t="shared" si="108"/>
        <v>#N/A</v>
      </c>
      <c r="S101" s="30" t="e">
        <f t="shared" si="109"/>
        <v>#N/A</v>
      </c>
      <c r="T101" s="30" t="e">
        <f t="shared" si="110"/>
        <v>#N/A</v>
      </c>
      <c r="U101" s="30" t="e">
        <f t="shared" si="111"/>
        <v>#N/A</v>
      </c>
      <c r="V101" s="30" t="e">
        <f t="shared" si="112"/>
        <v>#N/A</v>
      </c>
      <c r="W101" s="30" t="e">
        <f t="shared" si="113"/>
        <v>#N/A</v>
      </c>
      <c r="X101" s="30" t="e">
        <f>IF(AND($D101=1,(""&amp;loteAnalise)=(""&amp;loteCarregado),COUNTIFS(regAnalito,selAnalito,regNivel,1,regData,$C101,regRep1,"&lt;&gt;")&gt;0),SUMIFS(regRep1,regAnalito,selAnalito,regNivel,1,regData,$C101),NA())</f>
        <v>#N/A</v>
      </c>
      <c r="Y101" s="30" t="e">
        <f>IF(AND($D101=1,(""&amp;loteAnalise)=(""&amp;loteCarregado),COUNTIFS(regAnalito,selAnalito,regNivel,1,regData,$C101,regRep2,"&lt;&gt;")&gt;0),SUMIFS(regRep2,regAnalito,selAnalito,regNivel,1,regData,$C101),NA())</f>
        <v>#N/A</v>
      </c>
      <c r="Z101" s="30" t="e">
        <f>IF(AND($D101=1,(""&amp;loteAnalise)=(""&amp;loteCarregado),COUNTIFS(regAnalito,selAnalito,regNivel,1,regData,$C101,regRep3,"&lt;&gt;")&gt;0),SUMIFS(regRep3,regAnalito,selAnalito,regNivel,1,regData,$C101),NA())</f>
        <v>#N/A</v>
      </c>
      <c r="AA101" s="30" t="e">
        <f>IF(AND($D101=1,COUNTIFS(regAnalito,selAnalito,regData,$C101,regCalib,"Sim")&gt;0),$BT$1,NA())</f>
        <v>#N/A</v>
      </c>
      <c r="AB101" s="30" t="str">
        <f>IF($B101="","",IF(INDEX(engValN2,$A101)="","",INDEX(engValN2,$A101)))</f>
        <v/>
      </c>
      <c r="AC101" s="30" t="str">
        <f t="shared" si="114"/>
        <v/>
      </c>
      <c r="AD101" s="30" t="e">
        <f t="shared" si="115"/>
        <v>#N/A</v>
      </c>
      <c r="AE101" s="30" t="e">
        <f t="shared" si="116"/>
        <v>#N/A</v>
      </c>
      <c r="AF101" s="30" t="e">
        <f t="shared" si="117"/>
        <v>#N/A</v>
      </c>
      <c r="AG101" s="30">
        <f>IF($AB101="",0,IFERROR(INDEX(engDados,MATCH(selAnalito&amp;"|"&amp;$B101,engChave,0),10),0))</f>
        <v>0</v>
      </c>
      <c r="AH101" s="30">
        <f>IF($AB101="",0,IFERROR(INDEX(engDados,MATCH(selAnalito&amp;"|"&amp;$B101,engChave,0),11),0))</f>
        <v>0</v>
      </c>
      <c r="AI101" s="30">
        <f>IF($AB101="",0,IFERROR(INDEX(engDados,MATCH(selAnalito&amp;"|"&amp;$B101,engChave,0),12),0))</f>
        <v>0</v>
      </c>
      <c r="AJ101" s="30">
        <f>IF($AB101="",0,IFERROR(INDEX(engDados,MATCH(selAnalito&amp;"|"&amp;$B101,engChave,0),13),0))</f>
        <v>0</v>
      </c>
      <c r="AK101" s="30">
        <f>IF($AB101="",0,IFERROR(INDEX(engDados,MATCH(selAnalito&amp;"|"&amp;$B101,engChave,0),14),0))</f>
        <v>0</v>
      </c>
      <c r="AL101" s="30" t="str">
        <f>IF($AB101="","",IFERROR(INDEX(engDados,MATCH(selAnalito&amp;"|"&amp;$B101,engChave,0),16),""))</f>
        <v/>
      </c>
      <c r="AM101" s="30" t="e">
        <f t="shared" si="118"/>
        <v>#N/A</v>
      </c>
      <c r="AN101" s="30" t="e">
        <f t="shared" si="119"/>
        <v>#N/A</v>
      </c>
      <c r="AO101" s="30" t="e">
        <f t="shared" si="120"/>
        <v>#N/A</v>
      </c>
      <c r="AP101" s="30" t="e">
        <f t="shared" si="121"/>
        <v>#N/A</v>
      </c>
      <c r="AQ101" s="30" t="e">
        <f t="shared" si="122"/>
        <v>#N/A</v>
      </c>
      <c r="AR101" s="30" t="e">
        <f t="shared" si="123"/>
        <v>#N/A</v>
      </c>
      <c r="AS101" s="30" t="e">
        <f t="shared" si="124"/>
        <v>#N/A</v>
      </c>
      <c r="AT101" s="30" t="e">
        <f>IF(AND($D101=1,(""&amp;loteAnalise)=(""&amp;loteCarregado),COUNTIFS(regAnalito,selAnalito,regNivel,2,regData,$C101,regRep1,"&lt;&gt;")&gt;0),SUMIFS(regRep1,regAnalito,selAnalito,regNivel,2,regData,$C101),NA())</f>
        <v>#N/A</v>
      </c>
      <c r="AU101" s="30" t="e">
        <f>IF(AND($D101=1,(""&amp;loteAnalise)=(""&amp;loteCarregado),COUNTIFS(regAnalito,selAnalito,regNivel,2,regData,$C101,regRep2,"&lt;&gt;")&gt;0),SUMIFS(regRep2,regAnalito,selAnalito,regNivel,2,regData,$C101),NA())</f>
        <v>#N/A</v>
      </c>
      <c r="AV101" s="30" t="e">
        <f>IF(AND($D101=1,(""&amp;loteAnalise)=(""&amp;loteCarregado),COUNTIFS(regAnalito,selAnalito,regNivel,2,regData,$C101,regRep3,"&lt;&gt;")&gt;0),SUMIFS(regRep3,regAnalito,selAnalito,regNivel,2,regData,$C101),NA())</f>
        <v>#N/A</v>
      </c>
      <c r="AW101" s="30" t="e">
        <f>IF(AND($D101=1,COUNTIFS(regAnalito,selAnalito,regData,$C101,regCalib,"Sim")&gt;0),$BV$1,NA())</f>
        <v>#N/A</v>
      </c>
      <c r="AX101" s="30" t="str">
        <f>IF($B101="","",IF(INDEX(engValN3,$A101)="","",INDEX(engValN3,$A101)))</f>
        <v/>
      </c>
      <c r="AY101" s="30" t="str">
        <f t="shared" si="125"/>
        <v/>
      </c>
      <c r="AZ101" s="30" t="e">
        <f t="shared" si="126"/>
        <v>#N/A</v>
      </c>
      <c r="BA101" s="30" t="e">
        <f t="shared" si="127"/>
        <v>#N/A</v>
      </c>
      <c r="BB101" s="30" t="e">
        <f t="shared" si="128"/>
        <v>#N/A</v>
      </c>
      <c r="BC101" s="30">
        <f>IF($AX101="",0,IFERROR(INDEX(engDados,MATCH(selAnalito&amp;"|"&amp;$B101,engChave,0),17),0))</f>
        <v>0</v>
      </c>
      <c r="BD101" s="30">
        <f>IF($AX101="",0,IFERROR(INDEX(engDados,MATCH(selAnalito&amp;"|"&amp;$B101,engChave,0),18),0))</f>
        <v>0</v>
      </c>
      <c r="BE101" s="30">
        <f>IF($AX101="",0,IFERROR(INDEX(engDados,MATCH(selAnalito&amp;"|"&amp;$B101,engChave,0),19),0))</f>
        <v>0</v>
      </c>
      <c r="BF101" s="30">
        <f>IF($AX101="",0,IFERROR(INDEX(engDados,MATCH(selAnalito&amp;"|"&amp;$B101,engChave,0),20),0))</f>
        <v>0</v>
      </c>
      <c r="BG101" s="30">
        <f>IF($AX101="",0,IFERROR(INDEX(engDados,MATCH(selAnalito&amp;"|"&amp;$B101,engChave,0),21),0))</f>
        <v>0</v>
      </c>
      <c r="BH101" s="30" t="str">
        <f>IF($AX101="","",IFERROR(INDEX(engDados,MATCH(selAnalito&amp;"|"&amp;$B101,engChave,0),23),""))</f>
        <v/>
      </c>
      <c r="BI101" s="30" t="e">
        <f t="shared" si="129"/>
        <v>#N/A</v>
      </c>
      <c r="BJ101" s="30" t="e">
        <f t="shared" si="130"/>
        <v>#N/A</v>
      </c>
      <c r="BK101" s="30" t="e">
        <f t="shared" si="131"/>
        <v>#N/A</v>
      </c>
      <c r="BL101" s="30" t="e">
        <f t="shared" si="132"/>
        <v>#N/A</v>
      </c>
      <c r="BM101" s="30" t="e">
        <f t="shared" si="133"/>
        <v>#N/A</v>
      </c>
      <c r="BN101" s="30" t="e">
        <f t="shared" si="134"/>
        <v>#N/A</v>
      </c>
      <c r="BO101" s="30" t="e">
        <f t="shared" si="135"/>
        <v>#N/A</v>
      </c>
      <c r="BP101" s="30" t="e">
        <f>IF(AND($D101=1,(""&amp;loteAnalise)=(""&amp;loteCarregado),COUNTIFS(regAnalito,selAnalito,regNivel,3,regData,$C101,regRep1,"&lt;&gt;")&gt;0),SUMIFS(regRep1,regAnalito,selAnalito,regNivel,3,regData,$C101),NA())</f>
        <v>#N/A</v>
      </c>
      <c r="BQ101" s="30" t="e">
        <f>IF(AND($D101=1,(""&amp;loteAnalise)=(""&amp;loteCarregado),COUNTIFS(regAnalito,selAnalito,regNivel,3,regData,$C101,regRep2,"&lt;&gt;")&gt;0),SUMIFS(regRep2,regAnalito,selAnalito,regNivel,3,regData,$C101),NA())</f>
        <v>#N/A</v>
      </c>
      <c r="BR101" s="30" t="e">
        <f>IF(AND($D101=1,(""&amp;loteAnalise)=(""&amp;loteCarregado),COUNTIFS(regAnalito,selAnalito,regNivel,3,regData,$C101,regRep3,"&lt;&gt;")&gt;0),SUMIFS(regRep3,regAnalito,selAnalito,regNivel,3,regData,$C101),NA())</f>
        <v>#N/A</v>
      </c>
      <c r="BS101" s="30" t="e">
        <f>IF(AND($D101=1,COUNTIFS(regAnalito,selAnalito,regData,$C101,regCalib,"Sim")&gt;0),$BX$1,NA())</f>
        <v>#N/A</v>
      </c>
    </row>
    <row r="102" spans="1:71" x14ac:dyDescent="0.3">
      <c r="A102" s="30">
        <v>100</v>
      </c>
      <c r="B102" s="30" t="str">
        <f>IF(OR(selAnalito="",(""&amp;engAnalito)&lt;&gt;(""&amp;selAnalito),(""&amp;engLote)&lt;&gt;(""&amp;loteAnalise),$A102&gt;N(engNRun)),"",INDEX(engRUN,$A102))</f>
        <v/>
      </c>
      <c r="C102" s="43" t="str">
        <f>IF($B102="","",IF(INDEX(engData,$A102)="","",INDEX(engData,$A102)))</f>
        <v/>
      </c>
      <c r="D102" s="30">
        <f>IF($C102="",0,IF(AND(OR(filtroDe="",INT($C102)&gt;=INT(filtroDe)),OR(filtroAte="",INT($C102)&lt;=INT(filtroAte))),1,0))</f>
        <v>0</v>
      </c>
      <c r="E102" s="30" t="e">
        <f t="shared" si="102"/>
        <v>#N/A</v>
      </c>
      <c r="F102" s="30" t="str">
        <f>IF($B102="","",IF(INDEX(engValN1,$A102)="","",INDEX(engValN1,$A102)))</f>
        <v/>
      </c>
      <c r="G102" s="30" t="str">
        <f t="shared" si="103"/>
        <v/>
      </c>
      <c r="H102" s="30" t="e">
        <f t="shared" si="104"/>
        <v>#N/A</v>
      </c>
      <c r="I102" s="30" t="e">
        <f t="shared" si="105"/>
        <v>#N/A</v>
      </c>
      <c r="J102" s="30" t="e">
        <f t="shared" si="106"/>
        <v>#N/A</v>
      </c>
      <c r="K102" s="30">
        <f>IF($F102="",0,IFERROR(INDEX(engDados,MATCH(selAnalito&amp;"|"&amp;$B102,engChave,0),3),0))</f>
        <v>0</v>
      </c>
      <c r="L102" s="30">
        <f>IF($F102="",0,IFERROR(INDEX(engDados,MATCH(selAnalito&amp;"|"&amp;$B102,engChave,0),4),0))</f>
        <v>0</v>
      </c>
      <c r="M102" s="30">
        <f>IF($F102="",0,IFERROR(INDEX(engDados,MATCH(selAnalito&amp;"|"&amp;$B102,engChave,0),5),0))</f>
        <v>0</v>
      </c>
      <c r="N102" s="30">
        <f>IF($F102="",0,IFERROR(INDEX(engDados,MATCH(selAnalito&amp;"|"&amp;$B102,engChave,0),6),0))</f>
        <v>0</v>
      </c>
      <c r="O102" s="30">
        <f>IF($F102="",0,IFERROR(INDEX(engDados,MATCH(selAnalito&amp;"|"&amp;$B102,engChave,0),7),0))</f>
        <v>0</v>
      </c>
      <c r="P102" s="30" t="str">
        <f>IF($F102="","",IFERROR(INDEX(engDados,MATCH(selAnalito&amp;"|"&amp;$B102,engChave,0),9),""))</f>
        <v/>
      </c>
      <c r="Q102" s="30" t="e">
        <f t="shared" si="107"/>
        <v>#N/A</v>
      </c>
      <c r="R102" s="30" t="e">
        <f t="shared" si="108"/>
        <v>#N/A</v>
      </c>
      <c r="S102" s="30" t="e">
        <f t="shared" si="109"/>
        <v>#N/A</v>
      </c>
      <c r="T102" s="30" t="e">
        <f t="shared" si="110"/>
        <v>#N/A</v>
      </c>
      <c r="U102" s="30" t="e">
        <f t="shared" si="111"/>
        <v>#N/A</v>
      </c>
      <c r="V102" s="30" t="e">
        <f t="shared" si="112"/>
        <v>#N/A</v>
      </c>
      <c r="W102" s="30" t="e">
        <f t="shared" si="113"/>
        <v>#N/A</v>
      </c>
      <c r="X102" s="30" t="e">
        <f>IF(AND($D102=1,(""&amp;loteAnalise)=(""&amp;loteCarregado),COUNTIFS(regAnalito,selAnalito,regNivel,1,regData,$C102,regRep1,"&lt;&gt;")&gt;0),SUMIFS(regRep1,regAnalito,selAnalito,regNivel,1,regData,$C102),NA())</f>
        <v>#N/A</v>
      </c>
      <c r="Y102" s="30" t="e">
        <f>IF(AND($D102=1,(""&amp;loteAnalise)=(""&amp;loteCarregado),COUNTIFS(regAnalito,selAnalito,regNivel,1,regData,$C102,regRep2,"&lt;&gt;")&gt;0),SUMIFS(regRep2,regAnalito,selAnalito,regNivel,1,regData,$C102),NA())</f>
        <v>#N/A</v>
      </c>
      <c r="Z102" s="30" t="e">
        <f>IF(AND($D102=1,(""&amp;loteAnalise)=(""&amp;loteCarregado),COUNTIFS(regAnalito,selAnalito,regNivel,1,regData,$C102,regRep3,"&lt;&gt;")&gt;0),SUMIFS(regRep3,regAnalito,selAnalito,regNivel,1,regData,$C102),NA())</f>
        <v>#N/A</v>
      </c>
      <c r="AA102" s="30" t="e">
        <f>IF(AND($D102=1,COUNTIFS(regAnalito,selAnalito,regData,$C102,regCalib,"Sim")&gt;0),$BT$1,NA())</f>
        <v>#N/A</v>
      </c>
      <c r="AB102" s="30" t="str">
        <f>IF($B102="","",IF(INDEX(engValN2,$A102)="","",INDEX(engValN2,$A102)))</f>
        <v/>
      </c>
      <c r="AC102" s="30" t="str">
        <f t="shared" si="114"/>
        <v/>
      </c>
      <c r="AD102" s="30" t="e">
        <f t="shared" si="115"/>
        <v>#N/A</v>
      </c>
      <c r="AE102" s="30" t="e">
        <f t="shared" si="116"/>
        <v>#N/A</v>
      </c>
      <c r="AF102" s="30" t="e">
        <f t="shared" si="117"/>
        <v>#N/A</v>
      </c>
      <c r="AG102" s="30">
        <f>IF($AB102="",0,IFERROR(INDEX(engDados,MATCH(selAnalito&amp;"|"&amp;$B102,engChave,0),10),0))</f>
        <v>0</v>
      </c>
      <c r="AH102" s="30">
        <f>IF($AB102="",0,IFERROR(INDEX(engDados,MATCH(selAnalito&amp;"|"&amp;$B102,engChave,0),11),0))</f>
        <v>0</v>
      </c>
      <c r="AI102" s="30">
        <f>IF($AB102="",0,IFERROR(INDEX(engDados,MATCH(selAnalito&amp;"|"&amp;$B102,engChave,0),12),0))</f>
        <v>0</v>
      </c>
      <c r="AJ102" s="30">
        <f>IF($AB102="",0,IFERROR(INDEX(engDados,MATCH(selAnalito&amp;"|"&amp;$B102,engChave,0),13),0))</f>
        <v>0</v>
      </c>
      <c r="AK102" s="30">
        <f>IF($AB102="",0,IFERROR(INDEX(engDados,MATCH(selAnalito&amp;"|"&amp;$B102,engChave,0),14),0))</f>
        <v>0</v>
      </c>
      <c r="AL102" s="30" t="str">
        <f>IF($AB102="","",IFERROR(INDEX(engDados,MATCH(selAnalito&amp;"|"&amp;$B102,engChave,0),16),""))</f>
        <v/>
      </c>
      <c r="AM102" s="30" t="e">
        <f t="shared" si="118"/>
        <v>#N/A</v>
      </c>
      <c r="AN102" s="30" t="e">
        <f t="shared" si="119"/>
        <v>#N/A</v>
      </c>
      <c r="AO102" s="30" t="e">
        <f t="shared" si="120"/>
        <v>#N/A</v>
      </c>
      <c r="AP102" s="30" t="e">
        <f t="shared" si="121"/>
        <v>#N/A</v>
      </c>
      <c r="AQ102" s="30" t="e">
        <f t="shared" si="122"/>
        <v>#N/A</v>
      </c>
      <c r="AR102" s="30" t="e">
        <f t="shared" si="123"/>
        <v>#N/A</v>
      </c>
      <c r="AS102" s="30" t="e">
        <f t="shared" si="124"/>
        <v>#N/A</v>
      </c>
      <c r="AT102" s="30" t="e">
        <f>IF(AND($D102=1,(""&amp;loteAnalise)=(""&amp;loteCarregado),COUNTIFS(regAnalito,selAnalito,regNivel,2,regData,$C102,regRep1,"&lt;&gt;")&gt;0),SUMIFS(regRep1,regAnalito,selAnalito,regNivel,2,regData,$C102),NA())</f>
        <v>#N/A</v>
      </c>
      <c r="AU102" s="30" t="e">
        <f>IF(AND($D102=1,(""&amp;loteAnalise)=(""&amp;loteCarregado),COUNTIFS(regAnalito,selAnalito,regNivel,2,regData,$C102,regRep2,"&lt;&gt;")&gt;0),SUMIFS(regRep2,regAnalito,selAnalito,regNivel,2,regData,$C102),NA())</f>
        <v>#N/A</v>
      </c>
      <c r="AV102" s="30" t="e">
        <f>IF(AND($D102=1,(""&amp;loteAnalise)=(""&amp;loteCarregado),COUNTIFS(regAnalito,selAnalito,regNivel,2,regData,$C102,regRep3,"&lt;&gt;")&gt;0),SUMIFS(regRep3,regAnalito,selAnalito,regNivel,2,regData,$C102),NA())</f>
        <v>#N/A</v>
      </c>
      <c r="AW102" s="30" t="e">
        <f>IF(AND($D102=1,COUNTIFS(regAnalito,selAnalito,regData,$C102,regCalib,"Sim")&gt;0),$BV$1,NA())</f>
        <v>#N/A</v>
      </c>
      <c r="AX102" s="30" t="str">
        <f>IF($B102="","",IF(INDEX(engValN3,$A102)="","",INDEX(engValN3,$A102)))</f>
        <v/>
      </c>
      <c r="AY102" s="30" t="str">
        <f t="shared" si="125"/>
        <v/>
      </c>
      <c r="AZ102" s="30" t="e">
        <f t="shared" si="126"/>
        <v>#N/A</v>
      </c>
      <c r="BA102" s="30" t="e">
        <f t="shared" si="127"/>
        <v>#N/A</v>
      </c>
      <c r="BB102" s="30" t="e">
        <f t="shared" si="128"/>
        <v>#N/A</v>
      </c>
      <c r="BC102" s="30">
        <f>IF($AX102="",0,IFERROR(INDEX(engDados,MATCH(selAnalito&amp;"|"&amp;$B102,engChave,0),17),0))</f>
        <v>0</v>
      </c>
      <c r="BD102" s="30">
        <f>IF($AX102="",0,IFERROR(INDEX(engDados,MATCH(selAnalito&amp;"|"&amp;$B102,engChave,0),18),0))</f>
        <v>0</v>
      </c>
      <c r="BE102" s="30">
        <f>IF($AX102="",0,IFERROR(INDEX(engDados,MATCH(selAnalito&amp;"|"&amp;$B102,engChave,0),19),0))</f>
        <v>0</v>
      </c>
      <c r="BF102" s="30">
        <f>IF($AX102="",0,IFERROR(INDEX(engDados,MATCH(selAnalito&amp;"|"&amp;$B102,engChave,0),20),0))</f>
        <v>0</v>
      </c>
      <c r="BG102" s="30">
        <f>IF($AX102="",0,IFERROR(INDEX(engDados,MATCH(selAnalito&amp;"|"&amp;$B102,engChave,0),21),0))</f>
        <v>0</v>
      </c>
      <c r="BH102" s="30" t="str">
        <f>IF($AX102="","",IFERROR(INDEX(engDados,MATCH(selAnalito&amp;"|"&amp;$B102,engChave,0),23),""))</f>
        <v/>
      </c>
      <c r="BI102" s="30" t="e">
        <f t="shared" si="129"/>
        <v>#N/A</v>
      </c>
      <c r="BJ102" s="30" t="e">
        <f t="shared" si="130"/>
        <v>#N/A</v>
      </c>
      <c r="BK102" s="30" t="e">
        <f t="shared" si="131"/>
        <v>#N/A</v>
      </c>
      <c r="BL102" s="30" t="e">
        <f t="shared" si="132"/>
        <v>#N/A</v>
      </c>
      <c r="BM102" s="30" t="e">
        <f t="shared" si="133"/>
        <v>#N/A</v>
      </c>
      <c r="BN102" s="30" t="e">
        <f t="shared" si="134"/>
        <v>#N/A</v>
      </c>
      <c r="BO102" s="30" t="e">
        <f t="shared" si="135"/>
        <v>#N/A</v>
      </c>
      <c r="BP102" s="30" t="e">
        <f>IF(AND($D102=1,(""&amp;loteAnalise)=(""&amp;loteCarregado),COUNTIFS(regAnalito,selAnalito,regNivel,3,regData,$C102,regRep1,"&lt;&gt;")&gt;0),SUMIFS(regRep1,regAnalito,selAnalito,regNivel,3,regData,$C102),NA())</f>
        <v>#N/A</v>
      </c>
      <c r="BQ102" s="30" t="e">
        <f>IF(AND($D102=1,(""&amp;loteAnalise)=(""&amp;loteCarregado),COUNTIFS(regAnalito,selAnalito,regNivel,3,regData,$C102,regRep2,"&lt;&gt;")&gt;0),SUMIFS(regRep2,regAnalito,selAnalito,regNivel,3,regData,$C102),NA())</f>
        <v>#N/A</v>
      </c>
      <c r="BR102" s="30" t="e">
        <f>IF(AND($D102=1,(""&amp;loteAnalise)=(""&amp;loteCarregado),COUNTIFS(regAnalito,selAnalito,regNivel,3,regData,$C102,regRep3,"&lt;&gt;")&gt;0),SUMIFS(regRep3,regAnalito,selAnalito,regNivel,3,regData,$C102),NA())</f>
        <v>#N/A</v>
      </c>
      <c r="BS102" s="30" t="e">
        <f>IF(AND($D102=1,COUNTIFS(regAnalito,selAnalito,regData,$C102,regCalib,"Sim")&gt;0),$BX$1,NA())</f>
        <v>#N/A</v>
      </c>
    </row>
    <row r="103" spans="1:71" x14ac:dyDescent="0.3">
      <c r="A103" s="30">
        <v>101</v>
      </c>
      <c r="B103" s="30" t="str">
        <f>IF(OR(selAnalito="",(""&amp;engAnalito)&lt;&gt;(""&amp;selAnalito),(""&amp;engLote)&lt;&gt;(""&amp;loteAnalise),$A103&gt;N(engNRun)),"",INDEX(engRUN,$A103))</f>
        <v/>
      </c>
      <c r="C103" s="43" t="str">
        <f>IF($B103="","",IF(INDEX(engData,$A103)="","",INDEX(engData,$A103)))</f>
        <v/>
      </c>
      <c r="D103" s="30">
        <f>IF($C103="",0,IF(AND(OR(filtroDe="",INT($C103)&gt;=INT(filtroDe)),OR(filtroAte="",INT($C103)&lt;=INT(filtroAte))),1,0))</f>
        <v>0</v>
      </c>
      <c r="E103" s="30" t="e">
        <f t="shared" si="102"/>
        <v>#N/A</v>
      </c>
      <c r="F103" s="30" t="str">
        <f>IF($B103="","",IF(INDEX(engValN1,$A103)="","",INDEX(engValN1,$A103)))</f>
        <v/>
      </c>
      <c r="G103" s="30" t="str">
        <f t="shared" si="103"/>
        <v/>
      </c>
      <c r="H103" s="30" t="e">
        <f t="shared" si="104"/>
        <v>#N/A</v>
      </c>
      <c r="I103" s="30" t="e">
        <f t="shared" si="105"/>
        <v>#N/A</v>
      </c>
      <c r="J103" s="30" t="e">
        <f t="shared" si="106"/>
        <v>#N/A</v>
      </c>
      <c r="K103" s="30">
        <f>IF($F103="",0,IFERROR(INDEX(engDados,MATCH(selAnalito&amp;"|"&amp;$B103,engChave,0),3),0))</f>
        <v>0</v>
      </c>
      <c r="L103" s="30">
        <f>IF($F103="",0,IFERROR(INDEX(engDados,MATCH(selAnalito&amp;"|"&amp;$B103,engChave,0),4),0))</f>
        <v>0</v>
      </c>
      <c r="M103" s="30">
        <f>IF($F103="",0,IFERROR(INDEX(engDados,MATCH(selAnalito&amp;"|"&amp;$B103,engChave,0),5),0))</f>
        <v>0</v>
      </c>
      <c r="N103" s="30">
        <f>IF($F103="",0,IFERROR(INDEX(engDados,MATCH(selAnalito&amp;"|"&amp;$B103,engChave,0),6),0))</f>
        <v>0</v>
      </c>
      <c r="O103" s="30">
        <f>IF($F103="",0,IFERROR(INDEX(engDados,MATCH(selAnalito&amp;"|"&amp;$B103,engChave,0),7),0))</f>
        <v>0</v>
      </c>
      <c r="P103" s="30" t="str">
        <f>IF($F103="","",IFERROR(INDEX(engDados,MATCH(selAnalito&amp;"|"&amp;$B103,engChave,0),9),""))</f>
        <v/>
      </c>
      <c r="Q103" s="30" t="e">
        <f t="shared" si="107"/>
        <v>#N/A</v>
      </c>
      <c r="R103" s="30" t="e">
        <f t="shared" si="108"/>
        <v>#N/A</v>
      </c>
      <c r="S103" s="30" t="e">
        <f t="shared" si="109"/>
        <v>#N/A</v>
      </c>
      <c r="T103" s="30" t="e">
        <f t="shared" si="110"/>
        <v>#N/A</v>
      </c>
      <c r="U103" s="30" t="e">
        <f t="shared" si="111"/>
        <v>#N/A</v>
      </c>
      <c r="V103" s="30" t="e">
        <f t="shared" si="112"/>
        <v>#N/A</v>
      </c>
      <c r="W103" s="30" t="e">
        <f t="shared" si="113"/>
        <v>#N/A</v>
      </c>
      <c r="X103" s="30" t="e">
        <f>IF(AND($D103=1,(""&amp;loteAnalise)=(""&amp;loteCarregado),COUNTIFS(regAnalito,selAnalito,regNivel,1,regData,$C103,regRep1,"&lt;&gt;")&gt;0),SUMIFS(regRep1,regAnalito,selAnalito,regNivel,1,regData,$C103),NA())</f>
        <v>#N/A</v>
      </c>
      <c r="Y103" s="30" t="e">
        <f>IF(AND($D103=1,(""&amp;loteAnalise)=(""&amp;loteCarregado),COUNTIFS(regAnalito,selAnalito,regNivel,1,regData,$C103,regRep2,"&lt;&gt;")&gt;0),SUMIFS(regRep2,regAnalito,selAnalito,regNivel,1,regData,$C103),NA())</f>
        <v>#N/A</v>
      </c>
      <c r="Z103" s="30" t="e">
        <f>IF(AND($D103=1,(""&amp;loteAnalise)=(""&amp;loteCarregado),COUNTIFS(regAnalito,selAnalito,regNivel,1,regData,$C103,regRep3,"&lt;&gt;")&gt;0),SUMIFS(regRep3,regAnalito,selAnalito,regNivel,1,regData,$C103),NA())</f>
        <v>#N/A</v>
      </c>
      <c r="AA103" s="30" t="e">
        <f>IF(AND($D103=1,COUNTIFS(regAnalito,selAnalito,regData,$C103,regCalib,"Sim")&gt;0),$BT$1,NA())</f>
        <v>#N/A</v>
      </c>
      <c r="AB103" s="30" t="str">
        <f>IF($B103="","",IF(INDEX(engValN2,$A103)="","",INDEX(engValN2,$A103)))</f>
        <v/>
      </c>
      <c r="AC103" s="30" t="str">
        <f t="shared" si="114"/>
        <v/>
      </c>
      <c r="AD103" s="30" t="e">
        <f t="shared" si="115"/>
        <v>#N/A</v>
      </c>
      <c r="AE103" s="30" t="e">
        <f t="shared" si="116"/>
        <v>#N/A</v>
      </c>
      <c r="AF103" s="30" t="e">
        <f t="shared" si="117"/>
        <v>#N/A</v>
      </c>
      <c r="AG103" s="30">
        <f>IF($AB103="",0,IFERROR(INDEX(engDados,MATCH(selAnalito&amp;"|"&amp;$B103,engChave,0),10),0))</f>
        <v>0</v>
      </c>
      <c r="AH103" s="30">
        <f>IF($AB103="",0,IFERROR(INDEX(engDados,MATCH(selAnalito&amp;"|"&amp;$B103,engChave,0),11),0))</f>
        <v>0</v>
      </c>
      <c r="AI103" s="30">
        <f>IF($AB103="",0,IFERROR(INDEX(engDados,MATCH(selAnalito&amp;"|"&amp;$B103,engChave,0),12),0))</f>
        <v>0</v>
      </c>
      <c r="AJ103" s="30">
        <f>IF($AB103="",0,IFERROR(INDEX(engDados,MATCH(selAnalito&amp;"|"&amp;$B103,engChave,0),13),0))</f>
        <v>0</v>
      </c>
      <c r="AK103" s="30">
        <f>IF($AB103="",0,IFERROR(INDEX(engDados,MATCH(selAnalito&amp;"|"&amp;$B103,engChave,0),14),0))</f>
        <v>0</v>
      </c>
      <c r="AL103" s="30" t="str">
        <f>IF($AB103="","",IFERROR(INDEX(engDados,MATCH(selAnalito&amp;"|"&amp;$B103,engChave,0),16),""))</f>
        <v/>
      </c>
      <c r="AM103" s="30" t="e">
        <f t="shared" si="118"/>
        <v>#N/A</v>
      </c>
      <c r="AN103" s="30" t="e">
        <f t="shared" si="119"/>
        <v>#N/A</v>
      </c>
      <c r="AO103" s="30" t="e">
        <f t="shared" si="120"/>
        <v>#N/A</v>
      </c>
      <c r="AP103" s="30" t="e">
        <f t="shared" si="121"/>
        <v>#N/A</v>
      </c>
      <c r="AQ103" s="30" t="e">
        <f t="shared" si="122"/>
        <v>#N/A</v>
      </c>
      <c r="AR103" s="30" t="e">
        <f t="shared" si="123"/>
        <v>#N/A</v>
      </c>
      <c r="AS103" s="30" t="e">
        <f t="shared" si="124"/>
        <v>#N/A</v>
      </c>
      <c r="AT103" s="30" t="e">
        <f>IF(AND($D103=1,(""&amp;loteAnalise)=(""&amp;loteCarregado),COUNTIFS(regAnalito,selAnalito,regNivel,2,regData,$C103,regRep1,"&lt;&gt;")&gt;0),SUMIFS(regRep1,regAnalito,selAnalito,regNivel,2,regData,$C103),NA())</f>
        <v>#N/A</v>
      </c>
      <c r="AU103" s="30" t="e">
        <f>IF(AND($D103=1,(""&amp;loteAnalise)=(""&amp;loteCarregado),COUNTIFS(regAnalito,selAnalito,regNivel,2,regData,$C103,regRep2,"&lt;&gt;")&gt;0),SUMIFS(regRep2,regAnalito,selAnalito,regNivel,2,regData,$C103),NA())</f>
        <v>#N/A</v>
      </c>
      <c r="AV103" s="30" t="e">
        <f>IF(AND($D103=1,(""&amp;loteAnalise)=(""&amp;loteCarregado),COUNTIFS(regAnalito,selAnalito,regNivel,2,regData,$C103,regRep3,"&lt;&gt;")&gt;0),SUMIFS(regRep3,regAnalito,selAnalito,regNivel,2,regData,$C103),NA())</f>
        <v>#N/A</v>
      </c>
      <c r="AW103" s="30" t="e">
        <f>IF(AND($D103=1,COUNTIFS(regAnalito,selAnalito,regData,$C103,regCalib,"Sim")&gt;0),$BV$1,NA())</f>
        <v>#N/A</v>
      </c>
      <c r="AX103" s="30" t="str">
        <f>IF($B103="","",IF(INDEX(engValN3,$A103)="","",INDEX(engValN3,$A103)))</f>
        <v/>
      </c>
      <c r="AY103" s="30" t="str">
        <f t="shared" si="125"/>
        <v/>
      </c>
      <c r="AZ103" s="30" t="e">
        <f t="shared" si="126"/>
        <v>#N/A</v>
      </c>
      <c r="BA103" s="30" t="e">
        <f t="shared" si="127"/>
        <v>#N/A</v>
      </c>
      <c r="BB103" s="30" t="e">
        <f t="shared" si="128"/>
        <v>#N/A</v>
      </c>
      <c r="BC103" s="30">
        <f>IF($AX103="",0,IFERROR(INDEX(engDados,MATCH(selAnalito&amp;"|"&amp;$B103,engChave,0),17),0))</f>
        <v>0</v>
      </c>
      <c r="BD103" s="30">
        <f>IF($AX103="",0,IFERROR(INDEX(engDados,MATCH(selAnalito&amp;"|"&amp;$B103,engChave,0),18),0))</f>
        <v>0</v>
      </c>
      <c r="BE103" s="30">
        <f>IF($AX103="",0,IFERROR(INDEX(engDados,MATCH(selAnalito&amp;"|"&amp;$B103,engChave,0),19),0))</f>
        <v>0</v>
      </c>
      <c r="BF103" s="30">
        <f>IF($AX103="",0,IFERROR(INDEX(engDados,MATCH(selAnalito&amp;"|"&amp;$B103,engChave,0),20),0))</f>
        <v>0</v>
      </c>
      <c r="BG103" s="30">
        <f>IF($AX103="",0,IFERROR(INDEX(engDados,MATCH(selAnalito&amp;"|"&amp;$B103,engChave,0),21),0))</f>
        <v>0</v>
      </c>
      <c r="BH103" s="30" t="str">
        <f>IF($AX103="","",IFERROR(INDEX(engDados,MATCH(selAnalito&amp;"|"&amp;$B103,engChave,0),23),""))</f>
        <v/>
      </c>
      <c r="BI103" s="30" t="e">
        <f t="shared" si="129"/>
        <v>#N/A</v>
      </c>
      <c r="BJ103" s="30" t="e">
        <f t="shared" si="130"/>
        <v>#N/A</v>
      </c>
      <c r="BK103" s="30" t="e">
        <f t="shared" si="131"/>
        <v>#N/A</v>
      </c>
      <c r="BL103" s="30" t="e">
        <f t="shared" si="132"/>
        <v>#N/A</v>
      </c>
      <c r="BM103" s="30" t="e">
        <f t="shared" si="133"/>
        <v>#N/A</v>
      </c>
      <c r="BN103" s="30" t="e">
        <f t="shared" si="134"/>
        <v>#N/A</v>
      </c>
      <c r="BO103" s="30" t="e">
        <f t="shared" si="135"/>
        <v>#N/A</v>
      </c>
      <c r="BP103" s="30" t="e">
        <f>IF(AND($D103=1,(""&amp;loteAnalise)=(""&amp;loteCarregado),COUNTIFS(regAnalito,selAnalito,regNivel,3,regData,$C103,regRep1,"&lt;&gt;")&gt;0),SUMIFS(regRep1,regAnalito,selAnalito,regNivel,3,regData,$C103),NA())</f>
        <v>#N/A</v>
      </c>
      <c r="BQ103" s="30" t="e">
        <f>IF(AND($D103=1,(""&amp;loteAnalise)=(""&amp;loteCarregado),COUNTIFS(regAnalito,selAnalito,regNivel,3,regData,$C103,regRep2,"&lt;&gt;")&gt;0),SUMIFS(regRep2,regAnalito,selAnalito,regNivel,3,regData,$C103),NA())</f>
        <v>#N/A</v>
      </c>
      <c r="BR103" s="30" t="e">
        <f>IF(AND($D103=1,(""&amp;loteAnalise)=(""&amp;loteCarregado),COUNTIFS(regAnalito,selAnalito,regNivel,3,regData,$C103,regRep3,"&lt;&gt;")&gt;0),SUMIFS(regRep3,regAnalito,selAnalito,regNivel,3,regData,$C103),NA())</f>
        <v>#N/A</v>
      </c>
      <c r="BS103" s="30" t="e">
        <f>IF(AND($D103=1,COUNTIFS(regAnalito,selAnalito,regData,$C103,regCalib,"Sim")&gt;0),$BX$1,NA())</f>
        <v>#N/A</v>
      </c>
    </row>
    <row r="104" spans="1:71" x14ac:dyDescent="0.3">
      <c r="A104" s="30">
        <v>102</v>
      </c>
      <c r="B104" s="30" t="str">
        <f>IF(OR(selAnalito="",(""&amp;engAnalito)&lt;&gt;(""&amp;selAnalito),(""&amp;engLote)&lt;&gt;(""&amp;loteAnalise),$A104&gt;N(engNRun)),"",INDEX(engRUN,$A104))</f>
        <v/>
      </c>
      <c r="C104" s="43" t="str">
        <f>IF($B104="","",IF(INDEX(engData,$A104)="","",INDEX(engData,$A104)))</f>
        <v/>
      </c>
      <c r="D104" s="30">
        <f>IF($C104="",0,IF(AND(OR(filtroDe="",INT($C104)&gt;=INT(filtroDe)),OR(filtroAte="",INT($C104)&lt;=INT(filtroAte))),1,0))</f>
        <v>0</v>
      </c>
      <c r="E104" s="30" t="e">
        <f t="shared" si="102"/>
        <v>#N/A</v>
      </c>
      <c r="F104" s="30" t="str">
        <f>IF($B104="","",IF(INDEX(engValN1,$A104)="","",INDEX(engValN1,$A104)))</f>
        <v/>
      </c>
      <c r="G104" s="30" t="str">
        <f t="shared" si="103"/>
        <v/>
      </c>
      <c r="H104" s="30" t="e">
        <f t="shared" si="104"/>
        <v>#N/A</v>
      </c>
      <c r="I104" s="30" t="e">
        <f t="shared" si="105"/>
        <v>#N/A</v>
      </c>
      <c r="J104" s="30" t="e">
        <f t="shared" si="106"/>
        <v>#N/A</v>
      </c>
      <c r="K104" s="30">
        <f>IF($F104="",0,IFERROR(INDEX(engDados,MATCH(selAnalito&amp;"|"&amp;$B104,engChave,0),3),0))</f>
        <v>0</v>
      </c>
      <c r="L104" s="30">
        <f>IF($F104="",0,IFERROR(INDEX(engDados,MATCH(selAnalito&amp;"|"&amp;$B104,engChave,0),4),0))</f>
        <v>0</v>
      </c>
      <c r="M104" s="30">
        <f>IF($F104="",0,IFERROR(INDEX(engDados,MATCH(selAnalito&amp;"|"&amp;$B104,engChave,0),5),0))</f>
        <v>0</v>
      </c>
      <c r="N104" s="30">
        <f>IF($F104="",0,IFERROR(INDEX(engDados,MATCH(selAnalito&amp;"|"&amp;$B104,engChave,0),6),0))</f>
        <v>0</v>
      </c>
      <c r="O104" s="30">
        <f>IF($F104="",0,IFERROR(INDEX(engDados,MATCH(selAnalito&amp;"|"&amp;$B104,engChave,0),7),0))</f>
        <v>0</v>
      </c>
      <c r="P104" s="30" t="str">
        <f>IF($F104="","",IFERROR(INDEX(engDados,MATCH(selAnalito&amp;"|"&amp;$B104,engChave,0),9),""))</f>
        <v/>
      </c>
      <c r="Q104" s="30" t="e">
        <f t="shared" si="107"/>
        <v>#N/A</v>
      </c>
      <c r="R104" s="30" t="e">
        <f t="shared" si="108"/>
        <v>#N/A</v>
      </c>
      <c r="S104" s="30" t="e">
        <f t="shared" si="109"/>
        <v>#N/A</v>
      </c>
      <c r="T104" s="30" t="e">
        <f t="shared" si="110"/>
        <v>#N/A</v>
      </c>
      <c r="U104" s="30" t="e">
        <f t="shared" si="111"/>
        <v>#N/A</v>
      </c>
      <c r="V104" s="30" t="e">
        <f t="shared" si="112"/>
        <v>#N/A</v>
      </c>
      <c r="W104" s="30" t="e">
        <f t="shared" si="113"/>
        <v>#N/A</v>
      </c>
      <c r="X104" s="30" t="e">
        <f>IF(AND($D104=1,(""&amp;loteAnalise)=(""&amp;loteCarregado),COUNTIFS(regAnalito,selAnalito,regNivel,1,regData,$C104,regRep1,"&lt;&gt;")&gt;0),SUMIFS(regRep1,regAnalito,selAnalito,regNivel,1,regData,$C104),NA())</f>
        <v>#N/A</v>
      </c>
      <c r="Y104" s="30" t="e">
        <f>IF(AND($D104=1,(""&amp;loteAnalise)=(""&amp;loteCarregado),COUNTIFS(regAnalito,selAnalito,regNivel,1,regData,$C104,regRep2,"&lt;&gt;")&gt;0),SUMIFS(regRep2,regAnalito,selAnalito,regNivel,1,regData,$C104),NA())</f>
        <v>#N/A</v>
      </c>
      <c r="Z104" s="30" t="e">
        <f>IF(AND($D104=1,(""&amp;loteAnalise)=(""&amp;loteCarregado),COUNTIFS(regAnalito,selAnalito,regNivel,1,regData,$C104,regRep3,"&lt;&gt;")&gt;0),SUMIFS(regRep3,regAnalito,selAnalito,regNivel,1,regData,$C104),NA())</f>
        <v>#N/A</v>
      </c>
      <c r="AA104" s="30" t="e">
        <f>IF(AND($D104=1,COUNTIFS(regAnalito,selAnalito,regData,$C104,regCalib,"Sim")&gt;0),$BT$1,NA())</f>
        <v>#N/A</v>
      </c>
      <c r="AB104" s="30" t="str">
        <f>IF($B104="","",IF(INDEX(engValN2,$A104)="","",INDEX(engValN2,$A104)))</f>
        <v/>
      </c>
      <c r="AC104" s="30" t="str">
        <f t="shared" si="114"/>
        <v/>
      </c>
      <c r="AD104" s="30" t="e">
        <f t="shared" si="115"/>
        <v>#N/A</v>
      </c>
      <c r="AE104" s="30" t="e">
        <f t="shared" si="116"/>
        <v>#N/A</v>
      </c>
      <c r="AF104" s="30" t="e">
        <f t="shared" si="117"/>
        <v>#N/A</v>
      </c>
      <c r="AG104" s="30">
        <f>IF($AB104="",0,IFERROR(INDEX(engDados,MATCH(selAnalito&amp;"|"&amp;$B104,engChave,0),10),0))</f>
        <v>0</v>
      </c>
      <c r="AH104" s="30">
        <f>IF($AB104="",0,IFERROR(INDEX(engDados,MATCH(selAnalito&amp;"|"&amp;$B104,engChave,0),11),0))</f>
        <v>0</v>
      </c>
      <c r="AI104" s="30">
        <f>IF($AB104="",0,IFERROR(INDEX(engDados,MATCH(selAnalito&amp;"|"&amp;$B104,engChave,0),12),0))</f>
        <v>0</v>
      </c>
      <c r="AJ104" s="30">
        <f>IF($AB104="",0,IFERROR(INDEX(engDados,MATCH(selAnalito&amp;"|"&amp;$B104,engChave,0),13),0))</f>
        <v>0</v>
      </c>
      <c r="AK104" s="30">
        <f>IF($AB104="",0,IFERROR(INDEX(engDados,MATCH(selAnalito&amp;"|"&amp;$B104,engChave,0),14),0))</f>
        <v>0</v>
      </c>
      <c r="AL104" s="30" t="str">
        <f>IF($AB104="","",IFERROR(INDEX(engDados,MATCH(selAnalito&amp;"|"&amp;$B104,engChave,0),16),""))</f>
        <v/>
      </c>
      <c r="AM104" s="30" t="e">
        <f t="shared" si="118"/>
        <v>#N/A</v>
      </c>
      <c r="AN104" s="30" t="e">
        <f t="shared" si="119"/>
        <v>#N/A</v>
      </c>
      <c r="AO104" s="30" t="e">
        <f t="shared" si="120"/>
        <v>#N/A</v>
      </c>
      <c r="AP104" s="30" t="e">
        <f t="shared" si="121"/>
        <v>#N/A</v>
      </c>
      <c r="AQ104" s="30" t="e">
        <f t="shared" si="122"/>
        <v>#N/A</v>
      </c>
      <c r="AR104" s="30" t="e">
        <f t="shared" si="123"/>
        <v>#N/A</v>
      </c>
      <c r="AS104" s="30" t="e">
        <f t="shared" si="124"/>
        <v>#N/A</v>
      </c>
      <c r="AT104" s="30" t="e">
        <f>IF(AND($D104=1,(""&amp;loteAnalise)=(""&amp;loteCarregado),COUNTIFS(regAnalito,selAnalito,regNivel,2,regData,$C104,regRep1,"&lt;&gt;")&gt;0),SUMIFS(regRep1,regAnalito,selAnalito,regNivel,2,regData,$C104),NA())</f>
        <v>#N/A</v>
      </c>
      <c r="AU104" s="30" t="e">
        <f>IF(AND($D104=1,(""&amp;loteAnalise)=(""&amp;loteCarregado),COUNTIFS(regAnalito,selAnalito,regNivel,2,regData,$C104,regRep2,"&lt;&gt;")&gt;0),SUMIFS(regRep2,regAnalito,selAnalito,regNivel,2,regData,$C104),NA())</f>
        <v>#N/A</v>
      </c>
      <c r="AV104" s="30" t="e">
        <f>IF(AND($D104=1,(""&amp;loteAnalise)=(""&amp;loteCarregado),COUNTIFS(regAnalito,selAnalito,regNivel,2,regData,$C104,regRep3,"&lt;&gt;")&gt;0),SUMIFS(regRep3,regAnalito,selAnalito,regNivel,2,regData,$C104),NA())</f>
        <v>#N/A</v>
      </c>
      <c r="AW104" s="30" t="e">
        <f>IF(AND($D104=1,COUNTIFS(regAnalito,selAnalito,regData,$C104,regCalib,"Sim")&gt;0),$BV$1,NA())</f>
        <v>#N/A</v>
      </c>
      <c r="AX104" s="30" t="str">
        <f>IF($B104="","",IF(INDEX(engValN3,$A104)="","",INDEX(engValN3,$A104)))</f>
        <v/>
      </c>
      <c r="AY104" s="30" t="str">
        <f t="shared" si="125"/>
        <v/>
      </c>
      <c r="AZ104" s="30" t="e">
        <f t="shared" si="126"/>
        <v>#N/A</v>
      </c>
      <c r="BA104" s="30" t="e">
        <f t="shared" si="127"/>
        <v>#N/A</v>
      </c>
      <c r="BB104" s="30" t="e">
        <f t="shared" si="128"/>
        <v>#N/A</v>
      </c>
      <c r="BC104" s="30">
        <f>IF($AX104="",0,IFERROR(INDEX(engDados,MATCH(selAnalito&amp;"|"&amp;$B104,engChave,0),17),0))</f>
        <v>0</v>
      </c>
      <c r="BD104" s="30">
        <f>IF($AX104="",0,IFERROR(INDEX(engDados,MATCH(selAnalito&amp;"|"&amp;$B104,engChave,0),18),0))</f>
        <v>0</v>
      </c>
      <c r="BE104" s="30">
        <f>IF($AX104="",0,IFERROR(INDEX(engDados,MATCH(selAnalito&amp;"|"&amp;$B104,engChave,0),19),0))</f>
        <v>0</v>
      </c>
      <c r="BF104" s="30">
        <f>IF($AX104="",0,IFERROR(INDEX(engDados,MATCH(selAnalito&amp;"|"&amp;$B104,engChave,0),20),0))</f>
        <v>0</v>
      </c>
      <c r="BG104" s="30">
        <f>IF($AX104="",0,IFERROR(INDEX(engDados,MATCH(selAnalito&amp;"|"&amp;$B104,engChave,0),21),0))</f>
        <v>0</v>
      </c>
      <c r="BH104" s="30" t="str">
        <f>IF($AX104="","",IFERROR(INDEX(engDados,MATCH(selAnalito&amp;"|"&amp;$B104,engChave,0),23),""))</f>
        <v/>
      </c>
      <c r="BI104" s="30" t="e">
        <f t="shared" si="129"/>
        <v>#N/A</v>
      </c>
      <c r="BJ104" s="30" t="e">
        <f t="shared" si="130"/>
        <v>#N/A</v>
      </c>
      <c r="BK104" s="30" t="e">
        <f t="shared" si="131"/>
        <v>#N/A</v>
      </c>
      <c r="BL104" s="30" t="e">
        <f t="shared" si="132"/>
        <v>#N/A</v>
      </c>
      <c r="BM104" s="30" t="e">
        <f t="shared" si="133"/>
        <v>#N/A</v>
      </c>
      <c r="BN104" s="30" t="e">
        <f t="shared" si="134"/>
        <v>#N/A</v>
      </c>
      <c r="BO104" s="30" t="e">
        <f t="shared" si="135"/>
        <v>#N/A</v>
      </c>
      <c r="BP104" s="30" t="e">
        <f>IF(AND($D104=1,(""&amp;loteAnalise)=(""&amp;loteCarregado),COUNTIFS(regAnalito,selAnalito,regNivel,3,regData,$C104,regRep1,"&lt;&gt;")&gt;0),SUMIFS(regRep1,regAnalito,selAnalito,regNivel,3,regData,$C104),NA())</f>
        <v>#N/A</v>
      </c>
      <c r="BQ104" s="30" t="e">
        <f>IF(AND($D104=1,(""&amp;loteAnalise)=(""&amp;loteCarregado),COUNTIFS(regAnalito,selAnalito,regNivel,3,regData,$C104,regRep2,"&lt;&gt;")&gt;0),SUMIFS(regRep2,regAnalito,selAnalito,regNivel,3,regData,$C104),NA())</f>
        <v>#N/A</v>
      </c>
      <c r="BR104" s="30" t="e">
        <f>IF(AND($D104=1,(""&amp;loteAnalise)=(""&amp;loteCarregado),COUNTIFS(regAnalito,selAnalito,regNivel,3,regData,$C104,regRep3,"&lt;&gt;")&gt;0),SUMIFS(regRep3,regAnalito,selAnalito,regNivel,3,regData,$C104),NA())</f>
        <v>#N/A</v>
      </c>
      <c r="BS104" s="30" t="e">
        <f>IF(AND($D104=1,COUNTIFS(regAnalito,selAnalito,regData,$C104,regCalib,"Sim")&gt;0),$BX$1,NA())</f>
        <v>#N/A</v>
      </c>
    </row>
    <row r="105" spans="1:71" x14ac:dyDescent="0.3">
      <c r="A105" s="30">
        <v>103</v>
      </c>
      <c r="B105" s="30" t="str">
        <f>IF(OR(selAnalito="",(""&amp;engAnalito)&lt;&gt;(""&amp;selAnalito),(""&amp;engLote)&lt;&gt;(""&amp;loteAnalise),$A105&gt;N(engNRun)),"",INDEX(engRUN,$A105))</f>
        <v/>
      </c>
      <c r="C105" s="43" t="str">
        <f>IF($B105="","",IF(INDEX(engData,$A105)="","",INDEX(engData,$A105)))</f>
        <v/>
      </c>
      <c r="D105" s="30">
        <f>IF($C105="",0,IF(AND(OR(filtroDe="",INT($C105)&gt;=INT(filtroDe)),OR(filtroAte="",INT($C105)&lt;=INT(filtroAte))),1,0))</f>
        <v>0</v>
      </c>
      <c r="E105" s="30" t="e">
        <f t="shared" si="102"/>
        <v>#N/A</v>
      </c>
      <c r="F105" s="30" t="str">
        <f>IF($B105="","",IF(INDEX(engValN1,$A105)="","",INDEX(engValN1,$A105)))</f>
        <v/>
      </c>
      <c r="G105" s="30" t="str">
        <f t="shared" si="103"/>
        <v/>
      </c>
      <c r="H105" s="30" t="e">
        <f t="shared" si="104"/>
        <v>#N/A</v>
      </c>
      <c r="I105" s="30" t="e">
        <f t="shared" si="105"/>
        <v>#N/A</v>
      </c>
      <c r="J105" s="30" t="e">
        <f t="shared" si="106"/>
        <v>#N/A</v>
      </c>
      <c r="K105" s="30">
        <f>IF($F105="",0,IFERROR(INDEX(engDados,MATCH(selAnalito&amp;"|"&amp;$B105,engChave,0),3),0))</f>
        <v>0</v>
      </c>
      <c r="L105" s="30">
        <f>IF($F105="",0,IFERROR(INDEX(engDados,MATCH(selAnalito&amp;"|"&amp;$B105,engChave,0),4),0))</f>
        <v>0</v>
      </c>
      <c r="M105" s="30">
        <f>IF($F105="",0,IFERROR(INDEX(engDados,MATCH(selAnalito&amp;"|"&amp;$B105,engChave,0),5),0))</f>
        <v>0</v>
      </c>
      <c r="N105" s="30">
        <f>IF($F105="",0,IFERROR(INDEX(engDados,MATCH(selAnalito&amp;"|"&amp;$B105,engChave,0),6),0))</f>
        <v>0</v>
      </c>
      <c r="O105" s="30">
        <f>IF($F105="",0,IFERROR(INDEX(engDados,MATCH(selAnalito&amp;"|"&amp;$B105,engChave,0),7),0))</f>
        <v>0</v>
      </c>
      <c r="P105" s="30" t="str">
        <f>IF($F105="","",IFERROR(INDEX(engDados,MATCH(selAnalito&amp;"|"&amp;$B105,engChave,0),9),""))</f>
        <v/>
      </c>
      <c r="Q105" s="30" t="e">
        <f t="shared" si="107"/>
        <v>#N/A</v>
      </c>
      <c r="R105" s="30" t="e">
        <f t="shared" si="108"/>
        <v>#N/A</v>
      </c>
      <c r="S105" s="30" t="e">
        <f t="shared" si="109"/>
        <v>#N/A</v>
      </c>
      <c r="T105" s="30" t="e">
        <f t="shared" si="110"/>
        <v>#N/A</v>
      </c>
      <c r="U105" s="30" t="e">
        <f t="shared" si="111"/>
        <v>#N/A</v>
      </c>
      <c r="V105" s="30" t="e">
        <f t="shared" si="112"/>
        <v>#N/A</v>
      </c>
      <c r="W105" s="30" t="e">
        <f t="shared" si="113"/>
        <v>#N/A</v>
      </c>
      <c r="X105" s="30" t="e">
        <f>IF(AND($D105=1,(""&amp;loteAnalise)=(""&amp;loteCarregado),COUNTIFS(regAnalito,selAnalito,regNivel,1,regData,$C105,regRep1,"&lt;&gt;")&gt;0),SUMIFS(regRep1,regAnalito,selAnalito,regNivel,1,regData,$C105),NA())</f>
        <v>#N/A</v>
      </c>
      <c r="Y105" s="30" t="e">
        <f>IF(AND($D105=1,(""&amp;loteAnalise)=(""&amp;loteCarregado),COUNTIFS(regAnalito,selAnalito,regNivel,1,regData,$C105,regRep2,"&lt;&gt;")&gt;0),SUMIFS(regRep2,regAnalito,selAnalito,regNivel,1,regData,$C105),NA())</f>
        <v>#N/A</v>
      </c>
      <c r="Z105" s="30" t="e">
        <f>IF(AND($D105=1,(""&amp;loteAnalise)=(""&amp;loteCarregado),COUNTIFS(regAnalito,selAnalito,regNivel,1,regData,$C105,regRep3,"&lt;&gt;")&gt;0),SUMIFS(regRep3,regAnalito,selAnalito,regNivel,1,regData,$C105),NA())</f>
        <v>#N/A</v>
      </c>
      <c r="AA105" s="30" t="e">
        <f>IF(AND($D105=1,COUNTIFS(regAnalito,selAnalito,regData,$C105,regCalib,"Sim")&gt;0),$BT$1,NA())</f>
        <v>#N/A</v>
      </c>
      <c r="AB105" s="30" t="str">
        <f>IF($B105="","",IF(INDEX(engValN2,$A105)="","",INDEX(engValN2,$A105)))</f>
        <v/>
      </c>
      <c r="AC105" s="30" t="str">
        <f t="shared" si="114"/>
        <v/>
      </c>
      <c r="AD105" s="30" t="e">
        <f t="shared" si="115"/>
        <v>#N/A</v>
      </c>
      <c r="AE105" s="30" t="e">
        <f t="shared" si="116"/>
        <v>#N/A</v>
      </c>
      <c r="AF105" s="30" t="e">
        <f t="shared" si="117"/>
        <v>#N/A</v>
      </c>
      <c r="AG105" s="30">
        <f>IF($AB105="",0,IFERROR(INDEX(engDados,MATCH(selAnalito&amp;"|"&amp;$B105,engChave,0),10),0))</f>
        <v>0</v>
      </c>
      <c r="AH105" s="30">
        <f>IF($AB105="",0,IFERROR(INDEX(engDados,MATCH(selAnalito&amp;"|"&amp;$B105,engChave,0),11),0))</f>
        <v>0</v>
      </c>
      <c r="AI105" s="30">
        <f>IF($AB105="",0,IFERROR(INDEX(engDados,MATCH(selAnalito&amp;"|"&amp;$B105,engChave,0),12),0))</f>
        <v>0</v>
      </c>
      <c r="AJ105" s="30">
        <f>IF($AB105="",0,IFERROR(INDEX(engDados,MATCH(selAnalito&amp;"|"&amp;$B105,engChave,0),13),0))</f>
        <v>0</v>
      </c>
      <c r="AK105" s="30">
        <f>IF($AB105="",0,IFERROR(INDEX(engDados,MATCH(selAnalito&amp;"|"&amp;$B105,engChave,0),14),0))</f>
        <v>0</v>
      </c>
      <c r="AL105" s="30" t="str">
        <f>IF($AB105="","",IFERROR(INDEX(engDados,MATCH(selAnalito&amp;"|"&amp;$B105,engChave,0),16),""))</f>
        <v/>
      </c>
      <c r="AM105" s="30" t="e">
        <f t="shared" si="118"/>
        <v>#N/A</v>
      </c>
      <c r="AN105" s="30" t="e">
        <f t="shared" si="119"/>
        <v>#N/A</v>
      </c>
      <c r="AO105" s="30" t="e">
        <f t="shared" si="120"/>
        <v>#N/A</v>
      </c>
      <c r="AP105" s="30" t="e">
        <f t="shared" si="121"/>
        <v>#N/A</v>
      </c>
      <c r="AQ105" s="30" t="e">
        <f t="shared" si="122"/>
        <v>#N/A</v>
      </c>
      <c r="AR105" s="30" t="e">
        <f t="shared" si="123"/>
        <v>#N/A</v>
      </c>
      <c r="AS105" s="30" t="e">
        <f t="shared" si="124"/>
        <v>#N/A</v>
      </c>
      <c r="AT105" s="30" t="e">
        <f>IF(AND($D105=1,(""&amp;loteAnalise)=(""&amp;loteCarregado),COUNTIFS(regAnalito,selAnalito,regNivel,2,regData,$C105,regRep1,"&lt;&gt;")&gt;0),SUMIFS(regRep1,regAnalito,selAnalito,regNivel,2,regData,$C105),NA())</f>
        <v>#N/A</v>
      </c>
      <c r="AU105" s="30" t="e">
        <f>IF(AND($D105=1,(""&amp;loteAnalise)=(""&amp;loteCarregado),COUNTIFS(regAnalito,selAnalito,regNivel,2,regData,$C105,regRep2,"&lt;&gt;")&gt;0),SUMIFS(regRep2,regAnalito,selAnalito,regNivel,2,regData,$C105),NA())</f>
        <v>#N/A</v>
      </c>
      <c r="AV105" s="30" t="e">
        <f>IF(AND($D105=1,(""&amp;loteAnalise)=(""&amp;loteCarregado),COUNTIFS(regAnalito,selAnalito,regNivel,2,regData,$C105,regRep3,"&lt;&gt;")&gt;0),SUMIFS(regRep3,regAnalito,selAnalito,regNivel,2,regData,$C105),NA())</f>
        <v>#N/A</v>
      </c>
      <c r="AW105" s="30" t="e">
        <f>IF(AND($D105=1,COUNTIFS(regAnalito,selAnalito,regData,$C105,regCalib,"Sim")&gt;0),$BV$1,NA())</f>
        <v>#N/A</v>
      </c>
      <c r="AX105" s="30" t="str">
        <f>IF($B105="","",IF(INDEX(engValN3,$A105)="","",INDEX(engValN3,$A105)))</f>
        <v/>
      </c>
      <c r="AY105" s="30" t="str">
        <f t="shared" si="125"/>
        <v/>
      </c>
      <c r="AZ105" s="30" t="e">
        <f t="shared" si="126"/>
        <v>#N/A</v>
      </c>
      <c r="BA105" s="30" t="e">
        <f t="shared" si="127"/>
        <v>#N/A</v>
      </c>
      <c r="BB105" s="30" t="e">
        <f t="shared" si="128"/>
        <v>#N/A</v>
      </c>
      <c r="BC105" s="30">
        <f>IF($AX105="",0,IFERROR(INDEX(engDados,MATCH(selAnalito&amp;"|"&amp;$B105,engChave,0),17),0))</f>
        <v>0</v>
      </c>
      <c r="BD105" s="30">
        <f>IF($AX105="",0,IFERROR(INDEX(engDados,MATCH(selAnalito&amp;"|"&amp;$B105,engChave,0),18),0))</f>
        <v>0</v>
      </c>
      <c r="BE105" s="30">
        <f>IF($AX105="",0,IFERROR(INDEX(engDados,MATCH(selAnalito&amp;"|"&amp;$B105,engChave,0),19),0))</f>
        <v>0</v>
      </c>
      <c r="BF105" s="30">
        <f>IF($AX105="",0,IFERROR(INDEX(engDados,MATCH(selAnalito&amp;"|"&amp;$B105,engChave,0),20),0))</f>
        <v>0</v>
      </c>
      <c r="BG105" s="30">
        <f>IF($AX105="",0,IFERROR(INDEX(engDados,MATCH(selAnalito&amp;"|"&amp;$B105,engChave,0),21),0))</f>
        <v>0</v>
      </c>
      <c r="BH105" s="30" t="str">
        <f>IF($AX105="","",IFERROR(INDEX(engDados,MATCH(selAnalito&amp;"|"&amp;$B105,engChave,0),23),""))</f>
        <v/>
      </c>
      <c r="BI105" s="30" t="e">
        <f t="shared" si="129"/>
        <v>#N/A</v>
      </c>
      <c r="BJ105" s="30" t="e">
        <f t="shared" si="130"/>
        <v>#N/A</v>
      </c>
      <c r="BK105" s="30" t="e">
        <f t="shared" si="131"/>
        <v>#N/A</v>
      </c>
      <c r="BL105" s="30" t="e">
        <f t="shared" si="132"/>
        <v>#N/A</v>
      </c>
      <c r="BM105" s="30" t="e">
        <f t="shared" si="133"/>
        <v>#N/A</v>
      </c>
      <c r="BN105" s="30" t="e">
        <f t="shared" si="134"/>
        <v>#N/A</v>
      </c>
      <c r="BO105" s="30" t="e">
        <f t="shared" si="135"/>
        <v>#N/A</v>
      </c>
      <c r="BP105" s="30" t="e">
        <f>IF(AND($D105=1,(""&amp;loteAnalise)=(""&amp;loteCarregado),COUNTIFS(regAnalito,selAnalito,regNivel,3,regData,$C105,regRep1,"&lt;&gt;")&gt;0),SUMIFS(regRep1,regAnalito,selAnalito,regNivel,3,regData,$C105),NA())</f>
        <v>#N/A</v>
      </c>
      <c r="BQ105" s="30" t="e">
        <f>IF(AND($D105=1,(""&amp;loteAnalise)=(""&amp;loteCarregado),COUNTIFS(regAnalito,selAnalito,regNivel,3,regData,$C105,regRep2,"&lt;&gt;")&gt;0),SUMIFS(regRep2,regAnalito,selAnalito,regNivel,3,regData,$C105),NA())</f>
        <v>#N/A</v>
      </c>
      <c r="BR105" s="30" t="e">
        <f>IF(AND($D105=1,(""&amp;loteAnalise)=(""&amp;loteCarregado),COUNTIFS(regAnalito,selAnalito,regNivel,3,regData,$C105,regRep3,"&lt;&gt;")&gt;0),SUMIFS(regRep3,regAnalito,selAnalito,regNivel,3,regData,$C105),NA())</f>
        <v>#N/A</v>
      </c>
      <c r="BS105" s="30" t="e">
        <f>IF(AND($D105=1,COUNTIFS(regAnalito,selAnalito,regData,$C105,regCalib,"Sim")&gt;0),$BX$1,NA())</f>
        <v>#N/A</v>
      </c>
    </row>
    <row r="106" spans="1:71" x14ac:dyDescent="0.3">
      <c r="A106" s="30">
        <v>104</v>
      </c>
      <c r="B106" s="30" t="str">
        <f>IF(OR(selAnalito="",(""&amp;engAnalito)&lt;&gt;(""&amp;selAnalito),(""&amp;engLote)&lt;&gt;(""&amp;loteAnalise),$A106&gt;N(engNRun)),"",INDEX(engRUN,$A106))</f>
        <v/>
      </c>
      <c r="C106" s="43" t="str">
        <f>IF($B106="","",IF(INDEX(engData,$A106)="","",INDEX(engData,$A106)))</f>
        <v/>
      </c>
      <c r="D106" s="30">
        <f>IF($C106="",0,IF(AND(OR(filtroDe="",INT($C106)&gt;=INT(filtroDe)),OR(filtroAte="",INT($C106)&lt;=INT(filtroAte))),1,0))</f>
        <v>0</v>
      </c>
      <c r="E106" s="30" t="e">
        <f t="shared" si="102"/>
        <v>#N/A</v>
      </c>
      <c r="F106" s="30" t="str">
        <f>IF($B106="","",IF(INDEX(engValN1,$A106)="","",INDEX(engValN1,$A106)))</f>
        <v/>
      </c>
      <c r="G106" s="30" t="str">
        <f t="shared" si="103"/>
        <v/>
      </c>
      <c r="H106" s="30" t="e">
        <f t="shared" si="104"/>
        <v>#N/A</v>
      </c>
      <c r="I106" s="30" t="e">
        <f t="shared" si="105"/>
        <v>#N/A</v>
      </c>
      <c r="J106" s="30" t="e">
        <f t="shared" si="106"/>
        <v>#N/A</v>
      </c>
      <c r="K106" s="30">
        <f>IF($F106="",0,IFERROR(INDEX(engDados,MATCH(selAnalito&amp;"|"&amp;$B106,engChave,0),3),0))</f>
        <v>0</v>
      </c>
      <c r="L106" s="30">
        <f>IF($F106="",0,IFERROR(INDEX(engDados,MATCH(selAnalito&amp;"|"&amp;$B106,engChave,0),4),0))</f>
        <v>0</v>
      </c>
      <c r="M106" s="30">
        <f>IF($F106="",0,IFERROR(INDEX(engDados,MATCH(selAnalito&amp;"|"&amp;$B106,engChave,0),5),0))</f>
        <v>0</v>
      </c>
      <c r="N106" s="30">
        <f>IF($F106="",0,IFERROR(INDEX(engDados,MATCH(selAnalito&amp;"|"&amp;$B106,engChave,0),6),0))</f>
        <v>0</v>
      </c>
      <c r="O106" s="30">
        <f>IF($F106="",0,IFERROR(INDEX(engDados,MATCH(selAnalito&amp;"|"&amp;$B106,engChave,0),7),0))</f>
        <v>0</v>
      </c>
      <c r="P106" s="30" t="str">
        <f>IF($F106="","",IFERROR(INDEX(engDados,MATCH(selAnalito&amp;"|"&amp;$B106,engChave,0),9),""))</f>
        <v/>
      </c>
      <c r="Q106" s="30" t="e">
        <f t="shared" si="107"/>
        <v>#N/A</v>
      </c>
      <c r="R106" s="30" t="e">
        <f t="shared" si="108"/>
        <v>#N/A</v>
      </c>
      <c r="S106" s="30" t="e">
        <f t="shared" si="109"/>
        <v>#N/A</v>
      </c>
      <c r="T106" s="30" t="e">
        <f t="shared" si="110"/>
        <v>#N/A</v>
      </c>
      <c r="U106" s="30" t="e">
        <f t="shared" si="111"/>
        <v>#N/A</v>
      </c>
      <c r="V106" s="30" t="e">
        <f t="shared" si="112"/>
        <v>#N/A</v>
      </c>
      <c r="W106" s="30" t="e">
        <f t="shared" si="113"/>
        <v>#N/A</v>
      </c>
      <c r="X106" s="30" t="e">
        <f>IF(AND($D106=1,(""&amp;loteAnalise)=(""&amp;loteCarregado),COUNTIFS(regAnalito,selAnalito,regNivel,1,regData,$C106,regRep1,"&lt;&gt;")&gt;0),SUMIFS(regRep1,regAnalito,selAnalito,regNivel,1,regData,$C106),NA())</f>
        <v>#N/A</v>
      </c>
      <c r="Y106" s="30" t="e">
        <f>IF(AND($D106=1,(""&amp;loteAnalise)=(""&amp;loteCarregado),COUNTIFS(regAnalito,selAnalito,regNivel,1,regData,$C106,regRep2,"&lt;&gt;")&gt;0),SUMIFS(regRep2,regAnalito,selAnalito,regNivel,1,regData,$C106),NA())</f>
        <v>#N/A</v>
      </c>
      <c r="Z106" s="30" t="e">
        <f>IF(AND($D106=1,(""&amp;loteAnalise)=(""&amp;loteCarregado),COUNTIFS(regAnalito,selAnalito,regNivel,1,regData,$C106,regRep3,"&lt;&gt;")&gt;0),SUMIFS(regRep3,regAnalito,selAnalito,regNivel,1,regData,$C106),NA())</f>
        <v>#N/A</v>
      </c>
      <c r="AA106" s="30" t="e">
        <f>IF(AND($D106=1,COUNTIFS(regAnalito,selAnalito,regData,$C106,regCalib,"Sim")&gt;0),$BT$1,NA())</f>
        <v>#N/A</v>
      </c>
      <c r="AB106" s="30" t="str">
        <f>IF($B106="","",IF(INDEX(engValN2,$A106)="","",INDEX(engValN2,$A106)))</f>
        <v/>
      </c>
      <c r="AC106" s="30" t="str">
        <f t="shared" si="114"/>
        <v/>
      </c>
      <c r="AD106" s="30" t="e">
        <f t="shared" si="115"/>
        <v>#N/A</v>
      </c>
      <c r="AE106" s="30" t="e">
        <f t="shared" si="116"/>
        <v>#N/A</v>
      </c>
      <c r="AF106" s="30" t="e">
        <f t="shared" si="117"/>
        <v>#N/A</v>
      </c>
      <c r="AG106" s="30">
        <f>IF($AB106="",0,IFERROR(INDEX(engDados,MATCH(selAnalito&amp;"|"&amp;$B106,engChave,0),10),0))</f>
        <v>0</v>
      </c>
      <c r="AH106" s="30">
        <f>IF($AB106="",0,IFERROR(INDEX(engDados,MATCH(selAnalito&amp;"|"&amp;$B106,engChave,0),11),0))</f>
        <v>0</v>
      </c>
      <c r="AI106" s="30">
        <f>IF($AB106="",0,IFERROR(INDEX(engDados,MATCH(selAnalito&amp;"|"&amp;$B106,engChave,0),12),0))</f>
        <v>0</v>
      </c>
      <c r="AJ106" s="30">
        <f>IF($AB106="",0,IFERROR(INDEX(engDados,MATCH(selAnalito&amp;"|"&amp;$B106,engChave,0),13),0))</f>
        <v>0</v>
      </c>
      <c r="AK106" s="30">
        <f>IF($AB106="",0,IFERROR(INDEX(engDados,MATCH(selAnalito&amp;"|"&amp;$B106,engChave,0),14),0))</f>
        <v>0</v>
      </c>
      <c r="AL106" s="30" t="str">
        <f>IF($AB106="","",IFERROR(INDEX(engDados,MATCH(selAnalito&amp;"|"&amp;$B106,engChave,0),16),""))</f>
        <v/>
      </c>
      <c r="AM106" s="30" t="e">
        <f t="shared" si="118"/>
        <v>#N/A</v>
      </c>
      <c r="AN106" s="30" t="e">
        <f t="shared" si="119"/>
        <v>#N/A</v>
      </c>
      <c r="AO106" s="30" t="e">
        <f t="shared" si="120"/>
        <v>#N/A</v>
      </c>
      <c r="AP106" s="30" t="e">
        <f t="shared" si="121"/>
        <v>#N/A</v>
      </c>
      <c r="AQ106" s="30" t="e">
        <f t="shared" si="122"/>
        <v>#N/A</v>
      </c>
      <c r="AR106" s="30" t="e">
        <f t="shared" si="123"/>
        <v>#N/A</v>
      </c>
      <c r="AS106" s="30" t="e">
        <f t="shared" si="124"/>
        <v>#N/A</v>
      </c>
      <c r="AT106" s="30" t="e">
        <f>IF(AND($D106=1,(""&amp;loteAnalise)=(""&amp;loteCarregado),COUNTIFS(regAnalito,selAnalito,regNivel,2,regData,$C106,regRep1,"&lt;&gt;")&gt;0),SUMIFS(regRep1,regAnalito,selAnalito,regNivel,2,regData,$C106),NA())</f>
        <v>#N/A</v>
      </c>
      <c r="AU106" s="30" t="e">
        <f>IF(AND($D106=1,(""&amp;loteAnalise)=(""&amp;loteCarregado),COUNTIFS(regAnalito,selAnalito,regNivel,2,regData,$C106,regRep2,"&lt;&gt;")&gt;0),SUMIFS(regRep2,regAnalito,selAnalito,regNivel,2,regData,$C106),NA())</f>
        <v>#N/A</v>
      </c>
      <c r="AV106" s="30" t="e">
        <f>IF(AND($D106=1,(""&amp;loteAnalise)=(""&amp;loteCarregado),COUNTIFS(regAnalito,selAnalito,regNivel,2,regData,$C106,regRep3,"&lt;&gt;")&gt;0),SUMIFS(regRep3,regAnalito,selAnalito,regNivel,2,regData,$C106),NA())</f>
        <v>#N/A</v>
      </c>
      <c r="AW106" s="30" t="e">
        <f>IF(AND($D106=1,COUNTIFS(regAnalito,selAnalito,regData,$C106,regCalib,"Sim")&gt;0),$BV$1,NA())</f>
        <v>#N/A</v>
      </c>
      <c r="AX106" s="30" t="str">
        <f>IF($B106="","",IF(INDEX(engValN3,$A106)="","",INDEX(engValN3,$A106)))</f>
        <v/>
      </c>
      <c r="AY106" s="30" t="str">
        <f t="shared" si="125"/>
        <v/>
      </c>
      <c r="AZ106" s="30" t="e">
        <f t="shared" si="126"/>
        <v>#N/A</v>
      </c>
      <c r="BA106" s="30" t="e">
        <f t="shared" si="127"/>
        <v>#N/A</v>
      </c>
      <c r="BB106" s="30" t="e">
        <f t="shared" si="128"/>
        <v>#N/A</v>
      </c>
      <c r="BC106" s="30">
        <f>IF($AX106="",0,IFERROR(INDEX(engDados,MATCH(selAnalito&amp;"|"&amp;$B106,engChave,0),17),0))</f>
        <v>0</v>
      </c>
      <c r="BD106" s="30">
        <f>IF($AX106="",0,IFERROR(INDEX(engDados,MATCH(selAnalito&amp;"|"&amp;$B106,engChave,0),18),0))</f>
        <v>0</v>
      </c>
      <c r="BE106" s="30">
        <f>IF($AX106="",0,IFERROR(INDEX(engDados,MATCH(selAnalito&amp;"|"&amp;$B106,engChave,0),19),0))</f>
        <v>0</v>
      </c>
      <c r="BF106" s="30">
        <f>IF($AX106="",0,IFERROR(INDEX(engDados,MATCH(selAnalito&amp;"|"&amp;$B106,engChave,0),20),0))</f>
        <v>0</v>
      </c>
      <c r="BG106" s="30">
        <f>IF($AX106="",0,IFERROR(INDEX(engDados,MATCH(selAnalito&amp;"|"&amp;$B106,engChave,0),21),0))</f>
        <v>0</v>
      </c>
      <c r="BH106" s="30" t="str">
        <f>IF($AX106="","",IFERROR(INDEX(engDados,MATCH(selAnalito&amp;"|"&amp;$B106,engChave,0),23),""))</f>
        <v/>
      </c>
      <c r="BI106" s="30" t="e">
        <f t="shared" si="129"/>
        <v>#N/A</v>
      </c>
      <c r="BJ106" s="30" t="e">
        <f t="shared" si="130"/>
        <v>#N/A</v>
      </c>
      <c r="BK106" s="30" t="e">
        <f t="shared" si="131"/>
        <v>#N/A</v>
      </c>
      <c r="BL106" s="30" t="e">
        <f t="shared" si="132"/>
        <v>#N/A</v>
      </c>
      <c r="BM106" s="30" t="e">
        <f t="shared" si="133"/>
        <v>#N/A</v>
      </c>
      <c r="BN106" s="30" t="e">
        <f t="shared" si="134"/>
        <v>#N/A</v>
      </c>
      <c r="BO106" s="30" t="e">
        <f t="shared" si="135"/>
        <v>#N/A</v>
      </c>
      <c r="BP106" s="30" t="e">
        <f>IF(AND($D106=1,(""&amp;loteAnalise)=(""&amp;loteCarregado),COUNTIFS(regAnalito,selAnalito,regNivel,3,regData,$C106,regRep1,"&lt;&gt;")&gt;0),SUMIFS(regRep1,regAnalito,selAnalito,regNivel,3,regData,$C106),NA())</f>
        <v>#N/A</v>
      </c>
      <c r="BQ106" s="30" t="e">
        <f>IF(AND($D106=1,(""&amp;loteAnalise)=(""&amp;loteCarregado),COUNTIFS(regAnalito,selAnalito,regNivel,3,regData,$C106,regRep2,"&lt;&gt;")&gt;0),SUMIFS(regRep2,regAnalito,selAnalito,regNivel,3,regData,$C106),NA())</f>
        <v>#N/A</v>
      </c>
      <c r="BR106" s="30" t="e">
        <f>IF(AND($D106=1,(""&amp;loteAnalise)=(""&amp;loteCarregado),COUNTIFS(regAnalito,selAnalito,regNivel,3,regData,$C106,regRep3,"&lt;&gt;")&gt;0),SUMIFS(regRep3,regAnalito,selAnalito,regNivel,3,regData,$C106),NA())</f>
        <v>#N/A</v>
      </c>
      <c r="BS106" s="30" t="e">
        <f>IF(AND($D106=1,COUNTIFS(regAnalito,selAnalito,regData,$C106,regCalib,"Sim")&gt;0),$BX$1,NA())</f>
        <v>#N/A</v>
      </c>
    </row>
    <row r="107" spans="1:71" x14ac:dyDescent="0.3">
      <c r="A107" s="30">
        <v>105</v>
      </c>
      <c r="B107" s="30" t="str">
        <f>IF(OR(selAnalito="",(""&amp;engAnalito)&lt;&gt;(""&amp;selAnalito),(""&amp;engLote)&lt;&gt;(""&amp;loteAnalise),$A107&gt;N(engNRun)),"",INDEX(engRUN,$A107))</f>
        <v/>
      </c>
      <c r="C107" s="43" t="str">
        <f>IF($B107="","",IF(INDEX(engData,$A107)="","",INDEX(engData,$A107)))</f>
        <v/>
      </c>
      <c r="D107" s="30">
        <f>IF($C107="",0,IF(AND(OR(filtroDe="",INT($C107)&gt;=INT(filtroDe)),OR(filtroAte="",INT($C107)&lt;=INT(filtroAte))),1,0))</f>
        <v>0</v>
      </c>
      <c r="E107" s="30" t="e">
        <f t="shared" si="102"/>
        <v>#N/A</v>
      </c>
      <c r="F107" s="30" t="str">
        <f>IF($B107="","",IF(INDEX(engValN1,$A107)="","",INDEX(engValN1,$A107)))</f>
        <v/>
      </c>
      <c r="G107" s="30" t="str">
        <f t="shared" si="103"/>
        <v/>
      </c>
      <c r="H107" s="30" t="e">
        <f t="shared" si="104"/>
        <v>#N/A</v>
      </c>
      <c r="I107" s="30" t="e">
        <f t="shared" si="105"/>
        <v>#N/A</v>
      </c>
      <c r="J107" s="30" t="e">
        <f t="shared" si="106"/>
        <v>#N/A</v>
      </c>
      <c r="K107" s="30">
        <f>IF($F107="",0,IFERROR(INDEX(engDados,MATCH(selAnalito&amp;"|"&amp;$B107,engChave,0),3),0))</f>
        <v>0</v>
      </c>
      <c r="L107" s="30">
        <f>IF($F107="",0,IFERROR(INDEX(engDados,MATCH(selAnalito&amp;"|"&amp;$B107,engChave,0),4),0))</f>
        <v>0</v>
      </c>
      <c r="M107" s="30">
        <f>IF($F107="",0,IFERROR(INDEX(engDados,MATCH(selAnalito&amp;"|"&amp;$B107,engChave,0),5),0))</f>
        <v>0</v>
      </c>
      <c r="N107" s="30">
        <f>IF($F107="",0,IFERROR(INDEX(engDados,MATCH(selAnalito&amp;"|"&amp;$B107,engChave,0),6),0))</f>
        <v>0</v>
      </c>
      <c r="O107" s="30">
        <f>IF($F107="",0,IFERROR(INDEX(engDados,MATCH(selAnalito&amp;"|"&amp;$B107,engChave,0),7),0))</f>
        <v>0</v>
      </c>
      <c r="P107" s="30" t="str">
        <f>IF($F107="","",IFERROR(INDEX(engDados,MATCH(selAnalito&amp;"|"&amp;$B107,engChave,0),9),""))</f>
        <v/>
      </c>
      <c r="Q107" s="30" t="e">
        <f t="shared" si="107"/>
        <v>#N/A</v>
      </c>
      <c r="R107" s="30" t="e">
        <f t="shared" si="108"/>
        <v>#N/A</v>
      </c>
      <c r="S107" s="30" t="e">
        <f t="shared" si="109"/>
        <v>#N/A</v>
      </c>
      <c r="T107" s="30" t="e">
        <f t="shared" si="110"/>
        <v>#N/A</v>
      </c>
      <c r="U107" s="30" t="e">
        <f t="shared" si="111"/>
        <v>#N/A</v>
      </c>
      <c r="V107" s="30" t="e">
        <f t="shared" si="112"/>
        <v>#N/A</v>
      </c>
      <c r="W107" s="30" t="e">
        <f t="shared" si="113"/>
        <v>#N/A</v>
      </c>
      <c r="X107" s="30" t="e">
        <f>IF(AND($D107=1,(""&amp;loteAnalise)=(""&amp;loteCarregado),COUNTIFS(regAnalito,selAnalito,regNivel,1,regData,$C107,regRep1,"&lt;&gt;")&gt;0),SUMIFS(regRep1,regAnalito,selAnalito,regNivel,1,regData,$C107),NA())</f>
        <v>#N/A</v>
      </c>
      <c r="Y107" s="30" t="e">
        <f>IF(AND($D107=1,(""&amp;loteAnalise)=(""&amp;loteCarregado),COUNTIFS(regAnalito,selAnalito,regNivel,1,regData,$C107,regRep2,"&lt;&gt;")&gt;0),SUMIFS(regRep2,regAnalito,selAnalito,regNivel,1,regData,$C107),NA())</f>
        <v>#N/A</v>
      </c>
      <c r="Z107" s="30" t="e">
        <f>IF(AND($D107=1,(""&amp;loteAnalise)=(""&amp;loteCarregado),COUNTIFS(regAnalito,selAnalito,regNivel,1,regData,$C107,regRep3,"&lt;&gt;")&gt;0),SUMIFS(regRep3,regAnalito,selAnalito,regNivel,1,regData,$C107),NA())</f>
        <v>#N/A</v>
      </c>
      <c r="AA107" s="30" t="e">
        <f>IF(AND($D107=1,COUNTIFS(regAnalito,selAnalito,regData,$C107,regCalib,"Sim")&gt;0),$BT$1,NA())</f>
        <v>#N/A</v>
      </c>
      <c r="AB107" s="30" t="str">
        <f>IF($B107="","",IF(INDEX(engValN2,$A107)="","",INDEX(engValN2,$A107)))</f>
        <v/>
      </c>
      <c r="AC107" s="30" t="str">
        <f t="shared" si="114"/>
        <v/>
      </c>
      <c r="AD107" s="30" t="e">
        <f t="shared" si="115"/>
        <v>#N/A</v>
      </c>
      <c r="AE107" s="30" t="e">
        <f t="shared" si="116"/>
        <v>#N/A</v>
      </c>
      <c r="AF107" s="30" t="e">
        <f t="shared" si="117"/>
        <v>#N/A</v>
      </c>
      <c r="AG107" s="30">
        <f>IF($AB107="",0,IFERROR(INDEX(engDados,MATCH(selAnalito&amp;"|"&amp;$B107,engChave,0),10),0))</f>
        <v>0</v>
      </c>
      <c r="AH107" s="30">
        <f>IF($AB107="",0,IFERROR(INDEX(engDados,MATCH(selAnalito&amp;"|"&amp;$B107,engChave,0),11),0))</f>
        <v>0</v>
      </c>
      <c r="AI107" s="30">
        <f>IF($AB107="",0,IFERROR(INDEX(engDados,MATCH(selAnalito&amp;"|"&amp;$B107,engChave,0),12),0))</f>
        <v>0</v>
      </c>
      <c r="AJ107" s="30">
        <f>IF($AB107="",0,IFERROR(INDEX(engDados,MATCH(selAnalito&amp;"|"&amp;$B107,engChave,0),13),0))</f>
        <v>0</v>
      </c>
      <c r="AK107" s="30">
        <f>IF($AB107="",0,IFERROR(INDEX(engDados,MATCH(selAnalito&amp;"|"&amp;$B107,engChave,0),14),0))</f>
        <v>0</v>
      </c>
      <c r="AL107" s="30" t="str">
        <f>IF($AB107="","",IFERROR(INDEX(engDados,MATCH(selAnalito&amp;"|"&amp;$B107,engChave,0),16),""))</f>
        <v/>
      </c>
      <c r="AM107" s="30" t="e">
        <f t="shared" si="118"/>
        <v>#N/A</v>
      </c>
      <c r="AN107" s="30" t="e">
        <f t="shared" si="119"/>
        <v>#N/A</v>
      </c>
      <c r="AO107" s="30" t="e">
        <f t="shared" si="120"/>
        <v>#N/A</v>
      </c>
      <c r="AP107" s="30" t="e">
        <f t="shared" si="121"/>
        <v>#N/A</v>
      </c>
      <c r="AQ107" s="30" t="e">
        <f t="shared" si="122"/>
        <v>#N/A</v>
      </c>
      <c r="AR107" s="30" t="e">
        <f t="shared" si="123"/>
        <v>#N/A</v>
      </c>
      <c r="AS107" s="30" t="e">
        <f t="shared" si="124"/>
        <v>#N/A</v>
      </c>
      <c r="AT107" s="30" t="e">
        <f>IF(AND($D107=1,(""&amp;loteAnalise)=(""&amp;loteCarregado),COUNTIFS(regAnalito,selAnalito,regNivel,2,regData,$C107,regRep1,"&lt;&gt;")&gt;0),SUMIFS(regRep1,regAnalito,selAnalito,regNivel,2,regData,$C107),NA())</f>
        <v>#N/A</v>
      </c>
      <c r="AU107" s="30" t="e">
        <f>IF(AND($D107=1,(""&amp;loteAnalise)=(""&amp;loteCarregado),COUNTIFS(regAnalito,selAnalito,regNivel,2,regData,$C107,regRep2,"&lt;&gt;")&gt;0),SUMIFS(regRep2,regAnalito,selAnalito,regNivel,2,regData,$C107),NA())</f>
        <v>#N/A</v>
      </c>
      <c r="AV107" s="30" t="e">
        <f>IF(AND($D107=1,(""&amp;loteAnalise)=(""&amp;loteCarregado),COUNTIFS(regAnalito,selAnalito,regNivel,2,regData,$C107,regRep3,"&lt;&gt;")&gt;0),SUMIFS(regRep3,regAnalito,selAnalito,regNivel,2,regData,$C107),NA())</f>
        <v>#N/A</v>
      </c>
      <c r="AW107" s="30" t="e">
        <f>IF(AND($D107=1,COUNTIFS(regAnalito,selAnalito,regData,$C107,regCalib,"Sim")&gt;0),$BV$1,NA())</f>
        <v>#N/A</v>
      </c>
      <c r="AX107" s="30" t="str">
        <f>IF($B107="","",IF(INDEX(engValN3,$A107)="","",INDEX(engValN3,$A107)))</f>
        <v/>
      </c>
      <c r="AY107" s="30" t="str">
        <f t="shared" si="125"/>
        <v/>
      </c>
      <c r="AZ107" s="30" t="e">
        <f t="shared" si="126"/>
        <v>#N/A</v>
      </c>
      <c r="BA107" s="30" t="e">
        <f t="shared" si="127"/>
        <v>#N/A</v>
      </c>
      <c r="BB107" s="30" t="e">
        <f t="shared" si="128"/>
        <v>#N/A</v>
      </c>
      <c r="BC107" s="30">
        <f>IF($AX107="",0,IFERROR(INDEX(engDados,MATCH(selAnalito&amp;"|"&amp;$B107,engChave,0),17),0))</f>
        <v>0</v>
      </c>
      <c r="BD107" s="30">
        <f>IF($AX107="",0,IFERROR(INDEX(engDados,MATCH(selAnalito&amp;"|"&amp;$B107,engChave,0),18),0))</f>
        <v>0</v>
      </c>
      <c r="BE107" s="30">
        <f>IF($AX107="",0,IFERROR(INDEX(engDados,MATCH(selAnalito&amp;"|"&amp;$B107,engChave,0),19),0))</f>
        <v>0</v>
      </c>
      <c r="BF107" s="30">
        <f>IF($AX107="",0,IFERROR(INDEX(engDados,MATCH(selAnalito&amp;"|"&amp;$B107,engChave,0),20),0))</f>
        <v>0</v>
      </c>
      <c r="BG107" s="30">
        <f>IF($AX107="",0,IFERROR(INDEX(engDados,MATCH(selAnalito&amp;"|"&amp;$B107,engChave,0),21),0))</f>
        <v>0</v>
      </c>
      <c r="BH107" s="30" t="str">
        <f>IF($AX107="","",IFERROR(INDEX(engDados,MATCH(selAnalito&amp;"|"&amp;$B107,engChave,0),23),""))</f>
        <v/>
      </c>
      <c r="BI107" s="30" t="e">
        <f t="shared" si="129"/>
        <v>#N/A</v>
      </c>
      <c r="BJ107" s="30" t="e">
        <f t="shared" si="130"/>
        <v>#N/A</v>
      </c>
      <c r="BK107" s="30" t="e">
        <f t="shared" si="131"/>
        <v>#N/A</v>
      </c>
      <c r="BL107" s="30" t="e">
        <f t="shared" si="132"/>
        <v>#N/A</v>
      </c>
      <c r="BM107" s="30" t="e">
        <f t="shared" si="133"/>
        <v>#N/A</v>
      </c>
      <c r="BN107" s="30" t="e">
        <f t="shared" si="134"/>
        <v>#N/A</v>
      </c>
      <c r="BO107" s="30" t="e">
        <f t="shared" si="135"/>
        <v>#N/A</v>
      </c>
      <c r="BP107" s="30" t="e">
        <f>IF(AND($D107=1,(""&amp;loteAnalise)=(""&amp;loteCarregado),COUNTIFS(regAnalito,selAnalito,regNivel,3,regData,$C107,regRep1,"&lt;&gt;")&gt;0),SUMIFS(regRep1,regAnalito,selAnalito,regNivel,3,regData,$C107),NA())</f>
        <v>#N/A</v>
      </c>
      <c r="BQ107" s="30" t="e">
        <f>IF(AND($D107=1,(""&amp;loteAnalise)=(""&amp;loteCarregado),COUNTIFS(regAnalito,selAnalito,regNivel,3,regData,$C107,regRep2,"&lt;&gt;")&gt;0),SUMIFS(regRep2,regAnalito,selAnalito,regNivel,3,regData,$C107),NA())</f>
        <v>#N/A</v>
      </c>
      <c r="BR107" s="30" t="e">
        <f>IF(AND($D107=1,(""&amp;loteAnalise)=(""&amp;loteCarregado),COUNTIFS(regAnalito,selAnalito,regNivel,3,regData,$C107,regRep3,"&lt;&gt;")&gt;0),SUMIFS(regRep3,regAnalito,selAnalito,regNivel,3,regData,$C107),NA())</f>
        <v>#N/A</v>
      </c>
      <c r="BS107" s="30" t="e">
        <f>IF(AND($D107=1,COUNTIFS(regAnalito,selAnalito,regData,$C107,regCalib,"Sim")&gt;0),$BX$1,NA())</f>
        <v>#N/A</v>
      </c>
    </row>
    <row r="108" spans="1:71" x14ac:dyDescent="0.3">
      <c r="A108" s="30">
        <v>106</v>
      </c>
      <c r="B108" s="30" t="str">
        <f>IF(OR(selAnalito="",(""&amp;engAnalito)&lt;&gt;(""&amp;selAnalito),(""&amp;engLote)&lt;&gt;(""&amp;loteAnalise),$A108&gt;N(engNRun)),"",INDEX(engRUN,$A108))</f>
        <v/>
      </c>
      <c r="C108" s="43" t="str">
        <f>IF($B108="","",IF(INDEX(engData,$A108)="","",INDEX(engData,$A108)))</f>
        <v/>
      </c>
      <c r="D108" s="30">
        <f>IF($C108="",0,IF(AND(OR(filtroDe="",INT($C108)&gt;=INT(filtroDe)),OR(filtroAte="",INT($C108)&lt;=INT(filtroAte))),1,0))</f>
        <v>0</v>
      </c>
      <c r="E108" s="30" t="e">
        <f t="shared" si="102"/>
        <v>#N/A</v>
      </c>
      <c r="F108" s="30" t="str">
        <f>IF($B108="","",IF(INDEX(engValN1,$A108)="","",INDEX(engValN1,$A108)))</f>
        <v/>
      </c>
      <c r="G108" s="30" t="str">
        <f t="shared" si="103"/>
        <v/>
      </c>
      <c r="H108" s="30" t="e">
        <f t="shared" si="104"/>
        <v>#N/A</v>
      </c>
      <c r="I108" s="30" t="e">
        <f t="shared" si="105"/>
        <v>#N/A</v>
      </c>
      <c r="J108" s="30" t="e">
        <f t="shared" si="106"/>
        <v>#N/A</v>
      </c>
      <c r="K108" s="30">
        <f>IF($F108="",0,IFERROR(INDEX(engDados,MATCH(selAnalito&amp;"|"&amp;$B108,engChave,0),3),0))</f>
        <v>0</v>
      </c>
      <c r="L108" s="30">
        <f>IF($F108="",0,IFERROR(INDEX(engDados,MATCH(selAnalito&amp;"|"&amp;$B108,engChave,0),4),0))</f>
        <v>0</v>
      </c>
      <c r="M108" s="30">
        <f>IF($F108="",0,IFERROR(INDEX(engDados,MATCH(selAnalito&amp;"|"&amp;$B108,engChave,0),5),0))</f>
        <v>0</v>
      </c>
      <c r="N108" s="30">
        <f>IF($F108="",0,IFERROR(INDEX(engDados,MATCH(selAnalito&amp;"|"&amp;$B108,engChave,0),6),0))</f>
        <v>0</v>
      </c>
      <c r="O108" s="30">
        <f>IF($F108="",0,IFERROR(INDEX(engDados,MATCH(selAnalito&amp;"|"&amp;$B108,engChave,0),7),0))</f>
        <v>0</v>
      </c>
      <c r="P108" s="30" t="str">
        <f>IF($F108="","",IFERROR(INDEX(engDados,MATCH(selAnalito&amp;"|"&amp;$B108,engChave,0),9),""))</f>
        <v/>
      </c>
      <c r="Q108" s="30" t="e">
        <f t="shared" si="107"/>
        <v>#N/A</v>
      </c>
      <c r="R108" s="30" t="e">
        <f t="shared" si="108"/>
        <v>#N/A</v>
      </c>
      <c r="S108" s="30" t="e">
        <f t="shared" si="109"/>
        <v>#N/A</v>
      </c>
      <c r="T108" s="30" t="e">
        <f t="shared" si="110"/>
        <v>#N/A</v>
      </c>
      <c r="U108" s="30" t="e">
        <f t="shared" si="111"/>
        <v>#N/A</v>
      </c>
      <c r="V108" s="30" t="e">
        <f t="shared" si="112"/>
        <v>#N/A</v>
      </c>
      <c r="W108" s="30" t="e">
        <f t="shared" si="113"/>
        <v>#N/A</v>
      </c>
      <c r="X108" s="30" t="e">
        <f>IF(AND($D108=1,(""&amp;loteAnalise)=(""&amp;loteCarregado),COUNTIFS(regAnalito,selAnalito,regNivel,1,regData,$C108,regRep1,"&lt;&gt;")&gt;0),SUMIFS(regRep1,regAnalito,selAnalito,regNivel,1,regData,$C108),NA())</f>
        <v>#N/A</v>
      </c>
      <c r="Y108" s="30" t="e">
        <f>IF(AND($D108=1,(""&amp;loteAnalise)=(""&amp;loteCarregado),COUNTIFS(regAnalito,selAnalito,regNivel,1,regData,$C108,regRep2,"&lt;&gt;")&gt;0),SUMIFS(regRep2,regAnalito,selAnalito,regNivel,1,regData,$C108),NA())</f>
        <v>#N/A</v>
      </c>
      <c r="Z108" s="30" t="e">
        <f>IF(AND($D108=1,(""&amp;loteAnalise)=(""&amp;loteCarregado),COUNTIFS(regAnalito,selAnalito,regNivel,1,regData,$C108,regRep3,"&lt;&gt;")&gt;0),SUMIFS(regRep3,regAnalito,selAnalito,regNivel,1,regData,$C108),NA())</f>
        <v>#N/A</v>
      </c>
      <c r="AA108" s="30" t="e">
        <f>IF(AND($D108=1,COUNTIFS(regAnalito,selAnalito,regData,$C108,regCalib,"Sim")&gt;0),$BT$1,NA())</f>
        <v>#N/A</v>
      </c>
      <c r="AB108" s="30" t="str">
        <f>IF($B108="","",IF(INDEX(engValN2,$A108)="","",INDEX(engValN2,$A108)))</f>
        <v/>
      </c>
      <c r="AC108" s="30" t="str">
        <f t="shared" si="114"/>
        <v/>
      </c>
      <c r="AD108" s="30" t="e">
        <f t="shared" si="115"/>
        <v>#N/A</v>
      </c>
      <c r="AE108" s="30" t="e">
        <f t="shared" si="116"/>
        <v>#N/A</v>
      </c>
      <c r="AF108" s="30" t="e">
        <f t="shared" si="117"/>
        <v>#N/A</v>
      </c>
      <c r="AG108" s="30">
        <f>IF($AB108="",0,IFERROR(INDEX(engDados,MATCH(selAnalito&amp;"|"&amp;$B108,engChave,0),10),0))</f>
        <v>0</v>
      </c>
      <c r="AH108" s="30">
        <f>IF($AB108="",0,IFERROR(INDEX(engDados,MATCH(selAnalito&amp;"|"&amp;$B108,engChave,0),11),0))</f>
        <v>0</v>
      </c>
      <c r="AI108" s="30">
        <f>IF($AB108="",0,IFERROR(INDEX(engDados,MATCH(selAnalito&amp;"|"&amp;$B108,engChave,0),12),0))</f>
        <v>0</v>
      </c>
      <c r="AJ108" s="30">
        <f>IF($AB108="",0,IFERROR(INDEX(engDados,MATCH(selAnalito&amp;"|"&amp;$B108,engChave,0),13),0))</f>
        <v>0</v>
      </c>
      <c r="AK108" s="30">
        <f>IF($AB108="",0,IFERROR(INDEX(engDados,MATCH(selAnalito&amp;"|"&amp;$B108,engChave,0),14),0))</f>
        <v>0</v>
      </c>
      <c r="AL108" s="30" t="str">
        <f>IF($AB108="","",IFERROR(INDEX(engDados,MATCH(selAnalito&amp;"|"&amp;$B108,engChave,0),16),""))</f>
        <v/>
      </c>
      <c r="AM108" s="30" t="e">
        <f t="shared" si="118"/>
        <v>#N/A</v>
      </c>
      <c r="AN108" s="30" t="e">
        <f t="shared" si="119"/>
        <v>#N/A</v>
      </c>
      <c r="AO108" s="30" t="e">
        <f t="shared" si="120"/>
        <v>#N/A</v>
      </c>
      <c r="AP108" s="30" t="e">
        <f t="shared" si="121"/>
        <v>#N/A</v>
      </c>
      <c r="AQ108" s="30" t="e">
        <f t="shared" si="122"/>
        <v>#N/A</v>
      </c>
      <c r="AR108" s="30" t="e">
        <f t="shared" si="123"/>
        <v>#N/A</v>
      </c>
      <c r="AS108" s="30" t="e">
        <f t="shared" si="124"/>
        <v>#N/A</v>
      </c>
      <c r="AT108" s="30" t="e">
        <f>IF(AND($D108=1,(""&amp;loteAnalise)=(""&amp;loteCarregado),COUNTIFS(regAnalito,selAnalito,regNivel,2,regData,$C108,regRep1,"&lt;&gt;")&gt;0),SUMIFS(regRep1,regAnalito,selAnalito,regNivel,2,regData,$C108),NA())</f>
        <v>#N/A</v>
      </c>
      <c r="AU108" s="30" t="e">
        <f>IF(AND($D108=1,(""&amp;loteAnalise)=(""&amp;loteCarregado),COUNTIFS(regAnalito,selAnalito,regNivel,2,regData,$C108,regRep2,"&lt;&gt;")&gt;0),SUMIFS(regRep2,regAnalito,selAnalito,regNivel,2,regData,$C108),NA())</f>
        <v>#N/A</v>
      </c>
      <c r="AV108" s="30" t="e">
        <f>IF(AND($D108=1,(""&amp;loteAnalise)=(""&amp;loteCarregado),COUNTIFS(regAnalito,selAnalito,regNivel,2,regData,$C108,regRep3,"&lt;&gt;")&gt;0),SUMIFS(regRep3,regAnalito,selAnalito,regNivel,2,regData,$C108),NA())</f>
        <v>#N/A</v>
      </c>
      <c r="AW108" s="30" t="e">
        <f>IF(AND($D108=1,COUNTIFS(regAnalito,selAnalito,regData,$C108,regCalib,"Sim")&gt;0),$BV$1,NA())</f>
        <v>#N/A</v>
      </c>
      <c r="AX108" s="30" t="str">
        <f>IF($B108="","",IF(INDEX(engValN3,$A108)="","",INDEX(engValN3,$A108)))</f>
        <v/>
      </c>
      <c r="AY108" s="30" t="str">
        <f t="shared" si="125"/>
        <v/>
      </c>
      <c r="AZ108" s="30" t="e">
        <f t="shared" si="126"/>
        <v>#N/A</v>
      </c>
      <c r="BA108" s="30" t="e">
        <f t="shared" si="127"/>
        <v>#N/A</v>
      </c>
      <c r="BB108" s="30" t="e">
        <f t="shared" si="128"/>
        <v>#N/A</v>
      </c>
      <c r="BC108" s="30">
        <f>IF($AX108="",0,IFERROR(INDEX(engDados,MATCH(selAnalito&amp;"|"&amp;$B108,engChave,0),17),0))</f>
        <v>0</v>
      </c>
      <c r="BD108" s="30">
        <f>IF($AX108="",0,IFERROR(INDEX(engDados,MATCH(selAnalito&amp;"|"&amp;$B108,engChave,0),18),0))</f>
        <v>0</v>
      </c>
      <c r="BE108" s="30">
        <f>IF($AX108="",0,IFERROR(INDEX(engDados,MATCH(selAnalito&amp;"|"&amp;$B108,engChave,0),19),0))</f>
        <v>0</v>
      </c>
      <c r="BF108" s="30">
        <f>IF($AX108="",0,IFERROR(INDEX(engDados,MATCH(selAnalito&amp;"|"&amp;$B108,engChave,0),20),0))</f>
        <v>0</v>
      </c>
      <c r="BG108" s="30">
        <f>IF($AX108="",0,IFERROR(INDEX(engDados,MATCH(selAnalito&amp;"|"&amp;$B108,engChave,0),21),0))</f>
        <v>0</v>
      </c>
      <c r="BH108" s="30" t="str">
        <f>IF($AX108="","",IFERROR(INDEX(engDados,MATCH(selAnalito&amp;"|"&amp;$B108,engChave,0),23),""))</f>
        <v/>
      </c>
      <c r="BI108" s="30" t="e">
        <f t="shared" si="129"/>
        <v>#N/A</v>
      </c>
      <c r="BJ108" s="30" t="e">
        <f t="shared" si="130"/>
        <v>#N/A</v>
      </c>
      <c r="BK108" s="30" t="e">
        <f t="shared" si="131"/>
        <v>#N/A</v>
      </c>
      <c r="BL108" s="30" t="e">
        <f t="shared" si="132"/>
        <v>#N/A</v>
      </c>
      <c r="BM108" s="30" t="e">
        <f t="shared" si="133"/>
        <v>#N/A</v>
      </c>
      <c r="BN108" s="30" t="e">
        <f t="shared" si="134"/>
        <v>#N/A</v>
      </c>
      <c r="BO108" s="30" t="e">
        <f t="shared" si="135"/>
        <v>#N/A</v>
      </c>
      <c r="BP108" s="30" t="e">
        <f>IF(AND($D108=1,(""&amp;loteAnalise)=(""&amp;loteCarregado),COUNTIFS(regAnalito,selAnalito,regNivel,3,regData,$C108,regRep1,"&lt;&gt;")&gt;0),SUMIFS(regRep1,regAnalito,selAnalito,regNivel,3,regData,$C108),NA())</f>
        <v>#N/A</v>
      </c>
      <c r="BQ108" s="30" t="e">
        <f>IF(AND($D108=1,(""&amp;loteAnalise)=(""&amp;loteCarregado),COUNTIFS(regAnalito,selAnalito,regNivel,3,regData,$C108,regRep2,"&lt;&gt;")&gt;0),SUMIFS(regRep2,regAnalito,selAnalito,regNivel,3,regData,$C108),NA())</f>
        <v>#N/A</v>
      </c>
      <c r="BR108" s="30" t="e">
        <f>IF(AND($D108=1,(""&amp;loteAnalise)=(""&amp;loteCarregado),COUNTIFS(regAnalito,selAnalito,regNivel,3,regData,$C108,regRep3,"&lt;&gt;")&gt;0),SUMIFS(regRep3,regAnalito,selAnalito,regNivel,3,regData,$C108),NA())</f>
        <v>#N/A</v>
      </c>
      <c r="BS108" s="30" t="e">
        <f>IF(AND($D108=1,COUNTIFS(regAnalito,selAnalito,regData,$C108,regCalib,"Sim")&gt;0),$BX$1,NA())</f>
        <v>#N/A</v>
      </c>
    </row>
    <row r="109" spans="1:71" x14ac:dyDescent="0.3">
      <c r="A109" s="30">
        <v>107</v>
      </c>
      <c r="B109" s="30" t="str">
        <f>IF(OR(selAnalito="",(""&amp;engAnalito)&lt;&gt;(""&amp;selAnalito),(""&amp;engLote)&lt;&gt;(""&amp;loteAnalise),$A109&gt;N(engNRun)),"",INDEX(engRUN,$A109))</f>
        <v/>
      </c>
      <c r="C109" s="43" t="str">
        <f>IF($B109="","",IF(INDEX(engData,$A109)="","",INDEX(engData,$A109)))</f>
        <v/>
      </c>
      <c r="D109" s="30">
        <f>IF($C109="",0,IF(AND(OR(filtroDe="",INT($C109)&gt;=INT(filtroDe)),OR(filtroAte="",INT($C109)&lt;=INT(filtroAte))),1,0))</f>
        <v>0</v>
      </c>
      <c r="E109" s="30" t="e">
        <f t="shared" si="102"/>
        <v>#N/A</v>
      </c>
      <c r="F109" s="30" t="str">
        <f>IF($B109="","",IF(INDEX(engValN1,$A109)="","",INDEX(engValN1,$A109)))</f>
        <v/>
      </c>
      <c r="G109" s="30" t="str">
        <f t="shared" si="103"/>
        <v/>
      </c>
      <c r="H109" s="30" t="e">
        <f t="shared" si="104"/>
        <v>#N/A</v>
      </c>
      <c r="I109" s="30" t="e">
        <f t="shared" si="105"/>
        <v>#N/A</v>
      </c>
      <c r="J109" s="30" t="e">
        <f t="shared" si="106"/>
        <v>#N/A</v>
      </c>
      <c r="K109" s="30">
        <f>IF($F109="",0,IFERROR(INDEX(engDados,MATCH(selAnalito&amp;"|"&amp;$B109,engChave,0),3),0))</f>
        <v>0</v>
      </c>
      <c r="L109" s="30">
        <f>IF($F109="",0,IFERROR(INDEX(engDados,MATCH(selAnalito&amp;"|"&amp;$B109,engChave,0),4),0))</f>
        <v>0</v>
      </c>
      <c r="M109" s="30">
        <f>IF($F109="",0,IFERROR(INDEX(engDados,MATCH(selAnalito&amp;"|"&amp;$B109,engChave,0),5),0))</f>
        <v>0</v>
      </c>
      <c r="N109" s="30">
        <f>IF($F109="",0,IFERROR(INDEX(engDados,MATCH(selAnalito&amp;"|"&amp;$B109,engChave,0),6),0))</f>
        <v>0</v>
      </c>
      <c r="O109" s="30">
        <f>IF($F109="",0,IFERROR(INDEX(engDados,MATCH(selAnalito&amp;"|"&amp;$B109,engChave,0),7),0))</f>
        <v>0</v>
      </c>
      <c r="P109" s="30" t="str">
        <f>IF($F109="","",IFERROR(INDEX(engDados,MATCH(selAnalito&amp;"|"&amp;$B109,engChave,0),9),""))</f>
        <v/>
      </c>
      <c r="Q109" s="30" t="e">
        <f t="shared" si="107"/>
        <v>#N/A</v>
      </c>
      <c r="R109" s="30" t="e">
        <f t="shared" si="108"/>
        <v>#N/A</v>
      </c>
      <c r="S109" s="30" t="e">
        <f t="shared" si="109"/>
        <v>#N/A</v>
      </c>
      <c r="T109" s="30" t="e">
        <f t="shared" si="110"/>
        <v>#N/A</v>
      </c>
      <c r="U109" s="30" t="e">
        <f t="shared" si="111"/>
        <v>#N/A</v>
      </c>
      <c r="V109" s="30" t="e">
        <f t="shared" si="112"/>
        <v>#N/A</v>
      </c>
      <c r="W109" s="30" t="e">
        <f t="shared" si="113"/>
        <v>#N/A</v>
      </c>
      <c r="X109" s="30" t="e">
        <f>IF(AND($D109=1,(""&amp;loteAnalise)=(""&amp;loteCarregado),COUNTIFS(regAnalito,selAnalito,regNivel,1,regData,$C109,regRep1,"&lt;&gt;")&gt;0),SUMIFS(regRep1,regAnalito,selAnalito,regNivel,1,regData,$C109),NA())</f>
        <v>#N/A</v>
      </c>
      <c r="Y109" s="30" t="e">
        <f>IF(AND($D109=1,(""&amp;loteAnalise)=(""&amp;loteCarregado),COUNTIFS(regAnalito,selAnalito,regNivel,1,regData,$C109,regRep2,"&lt;&gt;")&gt;0),SUMIFS(regRep2,regAnalito,selAnalito,regNivel,1,regData,$C109),NA())</f>
        <v>#N/A</v>
      </c>
      <c r="Z109" s="30" t="e">
        <f>IF(AND($D109=1,(""&amp;loteAnalise)=(""&amp;loteCarregado),COUNTIFS(regAnalito,selAnalito,regNivel,1,regData,$C109,regRep3,"&lt;&gt;")&gt;0),SUMIFS(regRep3,regAnalito,selAnalito,regNivel,1,regData,$C109),NA())</f>
        <v>#N/A</v>
      </c>
      <c r="AA109" s="30" t="e">
        <f>IF(AND($D109=1,COUNTIFS(regAnalito,selAnalito,regData,$C109,regCalib,"Sim")&gt;0),$BT$1,NA())</f>
        <v>#N/A</v>
      </c>
      <c r="AB109" s="30" t="str">
        <f>IF($B109="","",IF(INDEX(engValN2,$A109)="","",INDEX(engValN2,$A109)))</f>
        <v/>
      </c>
      <c r="AC109" s="30" t="str">
        <f t="shared" si="114"/>
        <v/>
      </c>
      <c r="AD109" s="30" t="e">
        <f t="shared" si="115"/>
        <v>#N/A</v>
      </c>
      <c r="AE109" s="30" t="e">
        <f t="shared" si="116"/>
        <v>#N/A</v>
      </c>
      <c r="AF109" s="30" t="e">
        <f t="shared" si="117"/>
        <v>#N/A</v>
      </c>
      <c r="AG109" s="30">
        <f>IF($AB109="",0,IFERROR(INDEX(engDados,MATCH(selAnalito&amp;"|"&amp;$B109,engChave,0),10),0))</f>
        <v>0</v>
      </c>
      <c r="AH109" s="30">
        <f>IF($AB109="",0,IFERROR(INDEX(engDados,MATCH(selAnalito&amp;"|"&amp;$B109,engChave,0),11),0))</f>
        <v>0</v>
      </c>
      <c r="AI109" s="30">
        <f>IF($AB109="",0,IFERROR(INDEX(engDados,MATCH(selAnalito&amp;"|"&amp;$B109,engChave,0),12),0))</f>
        <v>0</v>
      </c>
      <c r="AJ109" s="30">
        <f>IF($AB109="",0,IFERROR(INDEX(engDados,MATCH(selAnalito&amp;"|"&amp;$B109,engChave,0),13),0))</f>
        <v>0</v>
      </c>
      <c r="AK109" s="30">
        <f>IF($AB109="",0,IFERROR(INDEX(engDados,MATCH(selAnalito&amp;"|"&amp;$B109,engChave,0),14),0))</f>
        <v>0</v>
      </c>
      <c r="AL109" s="30" t="str">
        <f>IF($AB109="","",IFERROR(INDEX(engDados,MATCH(selAnalito&amp;"|"&amp;$B109,engChave,0),16),""))</f>
        <v/>
      </c>
      <c r="AM109" s="30" t="e">
        <f t="shared" si="118"/>
        <v>#N/A</v>
      </c>
      <c r="AN109" s="30" t="e">
        <f t="shared" si="119"/>
        <v>#N/A</v>
      </c>
      <c r="AO109" s="30" t="e">
        <f t="shared" si="120"/>
        <v>#N/A</v>
      </c>
      <c r="AP109" s="30" t="e">
        <f t="shared" si="121"/>
        <v>#N/A</v>
      </c>
      <c r="AQ109" s="30" t="e">
        <f t="shared" si="122"/>
        <v>#N/A</v>
      </c>
      <c r="AR109" s="30" t="e">
        <f t="shared" si="123"/>
        <v>#N/A</v>
      </c>
      <c r="AS109" s="30" t="e">
        <f t="shared" si="124"/>
        <v>#N/A</v>
      </c>
      <c r="AT109" s="30" t="e">
        <f>IF(AND($D109=1,(""&amp;loteAnalise)=(""&amp;loteCarregado),COUNTIFS(regAnalito,selAnalito,regNivel,2,regData,$C109,regRep1,"&lt;&gt;")&gt;0),SUMIFS(regRep1,regAnalito,selAnalito,regNivel,2,regData,$C109),NA())</f>
        <v>#N/A</v>
      </c>
      <c r="AU109" s="30" t="e">
        <f>IF(AND($D109=1,(""&amp;loteAnalise)=(""&amp;loteCarregado),COUNTIFS(regAnalito,selAnalito,regNivel,2,regData,$C109,regRep2,"&lt;&gt;")&gt;0),SUMIFS(regRep2,regAnalito,selAnalito,regNivel,2,regData,$C109),NA())</f>
        <v>#N/A</v>
      </c>
      <c r="AV109" s="30" t="e">
        <f>IF(AND($D109=1,(""&amp;loteAnalise)=(""&amp;loteCarregado),COUNTIFS(regAnalito,selAnalito,regNivel,2,regData,$C109,regRep3,"&lt;&gt;")&gt;0),SUMIFS(regRep3,regAnalito,selAnalito,regNivel,2,regData,$C109),NA())</f>
        <v>#N/A</v>
      </c>
      <c r="AW109" s="30" t="e">
        <f>IF(AND($D109=1,COUNTIFS(regAnalito,selAnalito,regData,$C109,regCalib,"Sim")&gt;0),$BV$1,NA())</f>
        <v>#N/A</v>
      </c>
      <c r="AX109" s="30" t="str">
        <f>IF($B109="","",IF(INDEX(engValN3,$A109)="","",INDEX(engValN3,$A109)))</f>
        <v/>
      </c>
      <c r="AY109" s="30" t="str">
        <f t="shared" si="125"/>
        <v/>
      </c>
      <c r="AZ109" s="30" t="e">
        <f t="shared" si="126"/>
        <v>#N/A</v>
      </c>
      <c r="BA109" s="30" t="e">
        <f t="shared" si="127"/>
        <v>#N/A</v>
      </c>
      <c r="BB109" s="30" t="e">
        <f t="shared" si="128"/>
        <v>#N/A</v>
      </c>
      <c r="BC109" s="30">
        <f>IF($AX109="",0,IFERROR(INDEX(engDados,MATCH(selAnalito&amp;"|"&amp;$B109,engChave,0),17),0))</f>
        <v>0</v>
      </c>
      <c r="BD109" s="30">
        <f>IF($AX109="",0,IFERROR(INDEX(engDados,MATCH(selAnalito&amp;"|"&amp;$B109,engChave,0),18),0))</f>
        <v>0</v>
      </c>
      <c r="BE109" s="30">
        <f>IF($AX109="",0,IFERROR(INDEX(engDados,MATCH(selAnalito&amp;"|"&amp;$B109,engChave,0),19),0))</f>
        <v>0</v>
      </c>
      <c r="BF109" s="30">
        <f>IF($AX109="",0,IFERROR(INDEX(engDados,MATCH(selAnalito&amp;"|"&amp;$B109,engChave,0),20),0))</f>
        <v>0</v>
      </c>
      <c r="BG109" s="30">
        <f>IF($AX109="",0,IFERROR(INDEX(engDados,MATCH(selAnalito&amp;"|"&amp;$B109,engChave,0),21),0))</f>
        <v>0</v>
      </c>
      <c r="BH109" s="30" t="str">
        <f>IF($AX109="","",IFERROR(INDEX(engDados,MATCH(selAnalito&amp;"|"&amp;$B109,engChave,0),23),""))</f>
        <v/>
      </c>
      <c r="BI109" s="30" t="e">
        <f t="shared" si="129"/>
        <v>#N/A</v>
      </c>
      <c r="BJ109" s="30" t="e">
        <f t="shared" si="130"/>
        <v>#N/A</v>
      </c>
      <c r="BK109" s="30" t="e">
        <f t="shared" si="131"/>
        <v>#N/A</v>
      </c>
      <c r="BL109" s="30" t="e">
        <f t="shared" si="132"/>
        <v>#N/A</v>
      </c>
      <c r="BM109" s="30" t="e">
        <f t="shared" si="133"/>
        <v>#N/A</v>
      </c>
      <c r="BN109" s="30" t="e">
        <f t="shared" si="134"/>
        <v>#N/A</v>
      </c>
      <c r="BO109" s="30" t="e">
        <f t="shared" si="135"/>
        <v>#N/A</v>
      </c>
      <c r="BP109" s="30" t="e">
        <f>IF(AND($D109=1,(""&amp;loteAnalise)=(""&amp;loteCarregado),COUNTIFS(regAnalito,selAnalito,regNivel,3,regData,$C109,regRep1,"&lt;&gt;")&gt;0),SUMIFS(regRep1,regAnalito,selAnalito,regNivel,3,regData,$C109),NA())</f>
        <v>#N/A</v>
      </c>
      <c r="BQ109" s="30" t="e">
        <f>IF(AND($D109=1,(""&amp;loteAnalise)=(""&amp;loteCarregado),COUNTIFS(regAnalito,selAnalito,regNivel,3,regData,$C109,regRep2,"&lt;&gt;")&gt;0),SUMIFS(regRep2,regAnalito,selAnalito,regNivel,3,regData,$C109),NA())</f>
        <v>#N/A</v>
      </c>
      <c r="BR109" s="30" t="e">
        <f>IF(AND($D109=1,(""&amp;loteAnalise)=(""&amp;loteCarregado),COUNTIFS(regAnalito,selAnalito,regNivel,3,regData,$C109,regRep3,"&lt;&gt;")&gt;0),SUMIFS(regRep3,regAnalito,selAnalito,regNivel,3,regData,$C109),NA())</f>
        <v>#N/A</v>
      </c>
      <c r="BS109" s="30" t="e">
        <f>IF(AND($D109=1,COUNTIFS(regAnalito,selAnalito,regData,$C109,regCalib,"Sim")&gt;0),$BX$1,NA())</f>
        <v>#N/A</v>
      </c>
    </row>
    <row r="110" spans="1:71" x14ac:dyDescent="0.3">
      <c r="A110" s="30">
        <v>108</v>
      </c>
      <c r="B110" s="30" t="str">
        <f>IF(OR(selAnalito="",(""&amp;engAnalito)&lt;&gt;(""&amp;selAnalito),(""&amp;engLote)&lt;&gt;(""&amp;loteAnalise),$A110&gt;N(engNRun)),"",INDEX(engRUN,$A110))</f>
        <v/>
      </c>
      <c r="C110" s="43" t="str">
        <f>IF($B110="","",IF(INDEX(engData,$A110)="","",INDEX(engData,$A110)))</f>
        <v/>
      </c>
      <c r="D110" s="30">
        <f>IF($C110="",0,IF(AND(OR(filtroDe="",INT($C110)&gt;=INT(filtroDe)),OR(filtroAte="",INT($C110)&lt;=INT(filtroAte))),1,0))</f>
        <v>0</v>
      </c>
      <c r="E110" s="30" t="e">
        <f t="shared" si="102"/>
        <v>#N/A</v>
      </c>
      <c r="F110" s="30" t="str">
        <f>IF($B110="","",IF(INDEX(engValN1,$A110)="","",INDEX(engValN1,$A110)))</f>
        <v/>
      </c>
      <c r="G110" s="30" t="str">
        <f t="shared" si="103"/>
        <v/>
      </c>
      <c r="H110" s="30" t="e">
        <f t="shared" si="104"/>
        <v>#N/A</v>
      </c>
      <c r="I110" s="30" t="e">
        <f t="shared" si="105"/>
        <v>#N/A</v>
      </c>
      <c r="J110" s="30" t="e">
        <f t="shared" si="106"/>
        <v>#N/A</v>
      </c>
      <c r="K110" s="30">
        <f>IF($F110="",0,IFERROR(INDEX(engDados,MATCH(selAnalito&amp;"|"&amp;$B110,engChave,0),3),0))</f>
        <v>0</v>
      </c>
      <c r="L110" s="30">
        <f>IF($F110="",0,IFERROR(INDEX(engDados,MATCH(selAnalito&amp;"|"&amp;$B110,engChave,0),4),0))</f>
        <v>0</v>
      </c>
      <c r="M110" s="30">
        <f>IF($F110="",0,IFERROR(INDEX(engDados,MATCH(selAnalito&amp;"|"&amp;$B110,engChave,0),5),0))</f>
        <v>0</v>
      </c>
      <c r="N110" s="30">
        <f>IF($F110="",0,IFERROR(INDEX(engDados,MATCH(selAnalito&amp;"|"&amp;$B110,engChave,0),6),0))</f>
        <v>0</v>
      </c>
      <c r="O110" s="30">
        <f>IF($F110="",0,IFERROR(INDEX(engDados,MATCH(selAnalito&amp;"|"&amp;$B110,engChave,0),7),0))</f>
        <v>0</v>
      </c>
      <c r="P110" s="30" t="str">
        <f>IF($F110="","",IFERROR(INDEX(engDados,MATCH(selAnalito&amp;"|"&amp;$B110,engChave,0),9),""))</f>
        <v/>
      </c>
      <c r="Q110" s="30" t="e">
        <f t="shared" si="107"/>
        <v>#N/A</v>
      </c>
      <c r="R110" s="30" t="e">
        <f t="shared" si="108"/>
        <v>#N/A</v>
      </c>
      <c r="S110" s="30" t="e">
        <f t="shared" si="109"/>
        <v>#N/A</v>
      </c>
      <c r="T110" s="30" t="e">
        <f t="shared" si="110"/>
        <v>#N/A</v>
      </c>
      <c r="U110" s="30" t="e">
        <f t="shared" si="111"/>
        <v>#N/A</v>
      </c>
      <c r="V110" s="30" t="e">
        <f t="shared" si="112"/>
        <v>#N/A</v>
      </c>
      <c r="W110" s="30" t="e">
        <f t="shared" si="113"/>
        <v>#N/A</v>
      </c>
      <c r="X110" s="30" t="e">
        <f>IF(AND($D110=1,(""&amp;loteAnalise)=(""&amp;loteCarregado),COUNTIFS(regAnalito,selAnalito,regNivel,1,regData,$C110,regRep1,"&lt;&gt;")&gt;0),SUMIFS(regRep1,regAnalito,selAnalito,regNivel,1,regData,$C110),NA())</f>
        <v>#N/A</v>
      </c>
      <c r="Y110" s="30" t="e">
        <f>IF(AND($D110=1,(""&amp;loteAnalise)=(""&amp;loteCarregado),COUNTIFS(regAnalito,selAnalito,regNivel,1,regData,$C110,regRep2,"&lt;&gt;")&gt;0),SUMIFS(regRep2,regAnalito,selAnalito,regNivel,1,regData,$C110),NA())</f>
        <v>#N/A</v>
      </c>
      <c r="Z110" s="30" t="e">
        <f>IF(AND($D110=1,(""&amp;loteAnalise)=(""&amp;loteCarregado),COUNTIFS(regAnalito,selAnalito,regNivel,1,regData,$C110,regRep3,"&lt;&gt;")&gt;0),SUMIFS(regRep3,regAnalito,selAnalito,regNivel,1,regData,$C110),NA())</f>
        <v>#N/A</v>
      </c>
      <c r="AA110" s="30" t="e">
        <f>IF(AND($D110=1,COUNTIFS(regAnalito,selAnalito,regData,$C110,regCalib,"Sim")&gt;0),$BT$1,NA())</f>
        <v>#N/A</v>
      </c>
      <c r="AB110" s="30" t="str">
        <f>IF($B110="","",IF(INDEX(engValN2,$A110)="","",INDEX(engValN2,$A110)))</f>
        <v/>
      </c>
      <c r="AC110" s="30" t="str">
        <f t="shared" si="114"/>
        <v/>
      </c>
      <c r="AD110" s="30" t="e">
        <f t="shared" si="115"/>
        <v>#N/A</v>
      </c>
      <c r="AE110" s="30" t="e">
        <f t="shared" si="116"/>
        <v>#N/A</v>
      </c>
      <c r="AF110" s="30" t="e">
        <f t="shared" si="117"/>
        <v>#N/A</v>
      </c>
      <c r="AG110" s="30">
        <f>IF($AB110="",0,IFERROR(INDEX(engDados,MATCH(selAnalito&amp;"|"&amp;$B110,engChave,0),10),0))</f>
        <v>0</v>
      </c>
      <c r="AH110" s="30">
        <f>IF($AB110="",0,IFERROR(INDEX(engDados,MATCH(selAnalito&amp;"|"&amp;$B110,engChave,0),11),0))</f>
        <v>0</v>
      </c>
      <c r="AI110" s="30">
        <f>IF($AB110="",0,IFERROR(INDEX(engDados,MATCH(selAnalito&amp;"|"&amp;$B110,engChave,0),12),0))</f>
        <v>0</v>
      </c>
      <c r="AJ110" s="30">
        <f>IF($AB110="",0,IFERROR(INDEX(engDados,MATCH(selAnalito&amp;"|"&amp;$B110,engChave,0),13),0))</f>
        <v>0</v>
      </c>
      <c r="AK110" s="30">
        <f>IF($AB110="",0,IFERROR(INDEX(engDados,MATCH(selAnalito&amp;"|"&amp;$B110,engChave,0),14),0))</f>
        <v>0</v>
      </c>
      <c r="AL110" s="30" t="str">
        <f>IF($AB110="","",IFERROR(INDEX(engDados,MATCH(selAnalito&amp;"|"&amp;$B110,engChave,0),16),""))</f>
        <v/>
      </c>
      <c r="AM110" s="30" t="e">
        <f t="shared" si="118"/>
        <v>#N/A</v>
      </c>
      <c r="AN110" s="30" t="e">
        <f t="shared" si="119"/>
        <v>#N/A</v>
      </c>
      <c r="AO110" s="30" t="e">
        <f t="shared" si="120"/>
        <v>#N/A</v>
      </c>
      <c r="AP110" s="30" t="e">
        <f t="shared" si="121"/>
        <v>#N/A</v>
      </c>
      <c r="AQ110" s="30" t="e">
        <f t="shared" si="122"/>
        <v>#N/A</v>
      </c>
      <c r="AR110" s="30" t="e">
        <f t="shared" si="123"/>
        <v>#N/A</v>
      </c>
      <c r="AS110" s="30" t="e">
        <f t="shared" si="124"/>
        <v>#N/A</v>
      </c>
      <c r="AT110" s="30" t="e">
        <f>IF(AND($D110=1,(""&amp;loteAnalise)=(""&amp;loteCarregado),COUNTIFS(regAnalito,selAnalito,regNivel,2,regData,$C110,regRep1,"&lt;&gt;")&gt;0),SUMIFS(regRep1,regAnalito,selAnalito,regNivel,2,regData,$C110),NA())</f>
        <v>#N/A</v>
      </c>
      <c r="AU110" s="30" t="e">
        <f>IF(AND($D110=1,(""&amp;loteAnalise)=(""&amp;loteCarregado),COUNTIFS(regAnalito,selAnalito,regNivel,2,regData,$C110,regRep2,"&lt;&gt;")&gt;0),SUMIFS(regRep2,regAnalito,selAnalito,regNivel,2,regData,$C110),NA())</f>
        <v>#N/A</v>
      </c>
      <c r="AV110" s="30" t="e">
        <f>IF(AND($D110=1,(""&amp;loteAnalise)=(""&amp;loteCarregado),COUNTIFS(regAnalito,selAnalito,regNivel,2,regData,$C110,regRep3,"&lt;&gt;")&gt;0),SUMIFS(regRep3,regAnalito,selAnalito,regNivel,2,regData,$C110),NA())</f>
        <v>#N/A</v>
      </c>
      <c r="AW110" s="30" t="e">
        <f>IF(AND($D110=1,COUNTIFS(regAnalito,selAnalito,regData,$C110,regCalib,"Sim")&gt;0),$BV$1,NA())</f>
        <v>#N/A</v>
      </c>
      <c r="AX110" s="30" t="str">
        <f>IF($B110="","",IF(INDEX(engValN3,$A110)="","",INDEX(engValN3,$A110)))</f>
        <v/>
      </c>
      <c r="AY110" s="30" t="str">
        <f t="shared" si="125"/>
        <v/>
      </c>
      <c r="AZ110" s="30" t="e">
        <f t="shared" si="126"/>
        <v>#N/A</v>
      </c>
      <c r="BA110" s="30" t="e">
        <f t="shared" si="127"/>
        <v>#N/A</v>
      </c>
      <c r="BB110" s="30" t="e">
        <f t="shared" si="128"/>
        <v>#N/A</v>
      </c>
      <c r="BC110" s="30">
        <f>IF($AX110="",0,IFERROR(INDEX(engDados,MATCH(selAnalito&amp;"|"&amp;$B110,engChave,0),17),0))</f>
        <v>0</v>
      </c>
      <c r="BD110" s="30">
        <f>IF($AX110="",0,IFERROR(INDEX(engDados,MATCH(selAnalito&amp;"|"&amp;$B110,engChave,0),18),0))</f>
        <v>0</v>
      </c>
      <c r="BE110" s="30">
        <f>IF($AX110="",0,IFERROR(INDEX(engDados,MATCH(selAnalito&amp;"|"&amp;$B110,engChave,0),19),0))</f>
        <v>0</v>
      </c>
      <c r="BF110" s="30">
        <f>IF($AX110="",0,IFERROR(INDEX(engDados,MATCH(selAnalito&amp;"|"&amp;$B110,engChave,0),20),0))</f>
        <v>0</v>
      </c>
      <c r="BG110" s="30">
        <f>IF($AX110="",0,IFERROR(INDEX(engDados,MATCH(selAnalito&amp;"|"&amp;$B110,engChave,0),21),0))</f>
        <v>0</v>
      </c>
      <c r="BH110" s="30" t="str">
        <f>IF($AX110="","",IFERROR(INDEX(engDados,MATCH(selAnalito&amp;"|"&amp;$B110,engChave,0),23),""))</f>
        <v/>
      </c>
      <c r="BI110" s="30" t="e">
        <f t="shared" si="129"/>
        <v>#N/A</v>
      </c>
      <c r="BJ110" s="30" t="e">
        <f t="shared" si="130"/>
        <v>#N/A</v>
      </c>
      <c r="BK110" s="30" t="e">
        <f t="shared" si="131"/>
        <v>#N/A</v>
      </c>
      <c r="BL110" s="30" t="e">
        <f t="shared" si="132"/>
        <v>#N/A</v>
      </c>
      <c r="BM110" s="30" t="e">
        <f t="shared" si="133"/>
        <v>#N/A</v>
      </c>
      <c r="BN110" s="30" t="e">
        <f t="shared" si="134"/>
        <v>#N/A</v>
      </c>
      <c r="BO110" s="30" t="e">
        <f t="shared" si="135"/>
        <v>#N/A</v>
      </c>
      <c r="BP110" s="30" t="e">
        <f>IF(AND($D110=1,(""&amp;loteAnalise)=(""&amp;loteCarregado),COUNTIFS(regAnalito,selAnalito,regNivel,3,regData,$C110,regRep1,"&lt;&gt;")&gt;0),SUMIFS(regRep1,regAnalito,selAnalito,regNivel,3,regData,$C110),NA())</f>
        <v>#N/A</v>
      </c>
      <c r="BQ110" s="30" t="e">
        <f>IF(AND($D110=1,(""&amp;loteAnalise)=(""&amp;loteCarregado),COUNTIFS(regAnalito,selAnalito,regNivel,3,regData,$C110,regRep2,"&lt;&gt;")&gt;0),SUMIFS(regRep2,regAnalito,selAnalito,regNivel,3,regData,$C110),NA())</f>
        <v>#N/A</v>
      </c>
      <c r="BR110" s="30" t="e">
        <f>IF(AND($D110=1,(""&amp;loteAnalise)=(""&amp;loteCarregado),COUNTIFS(regAnalito,selAnalito,regNivel,3,regData,$C110,regRep3,"&lt;&gt;")&gt;0),SUMIFS(regRep3,regAnalito,selAnalito,regNivel,3,regData,$C110),NA())</f>
        <v>#N/A</v>
      </c>
      <c r="BS110" s="30" t="e">
        <f>IF(AND($D110=1,COUNTIFS(regAnalito,selAnalito,regData,$C110,regCalib,"Sim")&gt;0),$BX$1,NA())</f>
        <v>#N/A</v>
      </c>
    </row>
    <row r="111" spans="1:71" x14ac:dyDescent="0.3">
      <c r="A111" s="30">
        <v>109</v>
      </c>
      <c r="B111" s="30" t="str">
        <f>IF(OR(selAnalito="",(""&amp;engAnalito)&lt;&gt;(""&amp;selAnalito),(""&amp;engLote)&lt;&gt;(""&amp;loteAnalise),$A111&gt;N(engNRun)),"",INDEX(engRUN,$A111))</f>
        <v/>
      </c>
      <c r="C111" s="43" t="str">
        <f>IF($B111="","",IF(INDEX(engData,$A111)="","",INDEX(engData,$A111)))</f>
        <v/>
      </c>
      <c r="D111" s="30">
        <f>IF($C111="",0,IF(AND(OR(filtroDe="",INT($C111)&gt;=INT(filtroDe)),OR(filtroAte="",INT($C111)&lt;=INT(filtroAte))),1,0))</f>
        <v>0</v>
      </c>
      <c r="E111" s="30" t="e">
        <f t="shared" si="102"/>
        <v>#N/A</v>
      </c>
      <c r="F111" s="30" t="str">
        <f>IF($B111="","",IF(INDEX(engValN1,$A111)="","",INDEX(engValN1,$A111)))</f>
        <v/>
      </c>
      <c r="G111" s="30" t="str">
        <f t="shared" si="103"/>
        <v/>
      </c>
      <c r="H111" s="30" t="e">
        <f t="shared" si="104"/>
        <v>#N/A</v>
      </c>
      <c r="I111" s="30" t="e">
        <f t="shared" si="105"/>
        <v>#N/A</v>
      </c>
      <c r="J111" s="30" t="e">
        <f t="shared" si="106"/>
        <v>#N/A</v>
      </c>
      <c r="K111" s="30">
        <f>IF($F111="",0,IFERROR(INDEX(engDados,MATCH(selAnalito&amp;"|"&amp;$B111,engChave,0),3),0))</f>
        <v>0</v>
      </c>
      <c r="L111" s="30">
        <f>IF($F111="",0,IFERROR(INDEX(engDados,MATCH(selAnalito&amp;"|"&amp;$B111,engChave,0),4),0))</f>
        <v>0</v>
      </c>
      <c r="M111" s="30">
        <f>IF($F111="",0,IFERROR(INDEX(engDados,MATCH(selAnalito&amp;"|"&amp;$B111,engChave,0),5),0))</f>
        <v>0</v>
      </c>
      <c r="N111" s="30">
        <f>IF($F111="",0,IFERROR(INDEX(engDados,MATCH(selAnalito&amp;"|"&amp;$B111,engChave,0),6),0))</f>
        <v>0</v>
      </c>
      <c r="O111" s="30">
        <f>IF($F111="",0,IFERROR(INDEX(engDados,MATCH(selAnalito&amp;"|"&amp;$B111,engChave,0),7),0))</f>
        <v>0</v>
      </c>
      <c r="P111" s="30" t="str">
        <f>IF($F111="","",IFERROR(INDEX(engDados,MATCH(selAnalito&amp;"|"&amp;$B111,engChave,0),9),""))</f>
        <v/>
      </c>
      <c r="Q111" s="30" t="e">
        <f t="shared" si="107"/>
        <v>#N/A</v>
      </c>
      <c r="R111" s="30" t="e">
        <f t="shared" si="108"/>
        <v>#N/A</v>
      </c>
      <c r="S111" s="30" t="e">
        <f t="shared" si="109"/>
        <v>#N/A</v>
      </c>
      <c r="T111" s="30" t="e">
        <f t="shared" si="110"/>
        <v>#N/A</v>
      </c>
      <c r="U111" s="30" t="e">
        <f t="shared" si="111"/>
        <v>#N/A</v>
      </c>
      <c r="V111" s="30" t="e">
        <f t="shared" si="112"/>
        <v>#N/A</v>
      </c>
      <c r="W111" s="30" t="e">
        <f t="shared" si="113"/>
        <v>#N/A</v>
      </c>
      <c r="X111" s="30" t="e">
        <f>IF(AND($D111=1,(""&amp;loteAnalise)=(""&amp;loteCarregado),COUNTIFS(regAnalito,selAnalito,regNivel,1,regData,$C111,regRep1,"&lt;&gt;")&gt;0),SUMIFS(regRep1,regAnalito,selAnalito,regNivel,1,regData,$C111),NA())</f>
        <v>#N/A</v>
      </c>
      <c r="Y111" s="30" t="e">
        <f>IF(AND($D111=1,(""&amp;loteAnalise)=(""&amp;loteCarregado),COUNTIFS(regAnalito,selAnalito,regNivel,1,regData,$C111,regRep2,"&lt;&gt;")&gt;0),SUMIFS(regRep2,regAnalito,selAnalito,regNivel,1,regData,$C111),NA())</f>
        <v>#N/A</v>
      </c>
      <c r="Z111" s="30" t="e">
        <f>IF(AND($D111=1,(""&amp;loteAnalise)=(""&amp;loteCarregado),COUNTIFS(regAnalito,selAnalito,regNivel,1,regData,$C111,regRep3,"&lt;&gt;")&gt;0),SUMIFS(regRep3,regAnalito,selAnalito,regNivel,1,regData,$C111),NA())</f>
        <v>#N/A</v>
      </c>
      <c r="AA111" s="30" t="e">
        <f>IF(AND($D111=1,COUNTIFS(regAnalito,selAnalito,regData,$C111,regCalib,"Sim")&gt;0),$BT$1,NA())</f>
        <v>#N/A</v>
      </c>
      <c r="AB111" s="30" t="str">
        <f>IF($B111="","",IF(INDEX(engValN2,$A111)="","",INDEX(engValN2,$A111)))</f>
        <v/>
      </c>
      <c r="AC111" s="30" t="str">
        <f t="shared" si="114"/>
        <v/>
      </c>
      <c r="AD111" s="30" t="e">
        <f t="shared" si="115"/>
        <v>#N/A</v>
      </c>
      <c r="AE111" s="30" t="e">
        <f t="shared" si="116"/>
        <v>#N/A</v>
      </c>
      <c r="AF111" s="30" t="e">
        <f t="shared" si="117"/>
        <v>#N/A</v>
      </c>
      <c r="AG111" s="30">
        <f>IF($AB111="",0,IFERROR(INDEX(engDados,MATCH(selAnalito&amp;"|"&amp;$B111,engChave,0),10),0))</f>
        <v>0</v>
      </c>
      <c r="AH111" s="30">
        <f>IF($AB111="",0,IFERROR(INDEX(engDados,MATCH(selAnalito&amp;"|"&amp;$B111,engChave,0),11),0))</f>
        <v>0</v>
      </c>
      <c r="AI111" s="30">
        <f>IF($AB111="",0,IFERROR(INDEX(engDados,MATCH(selAnalito&amp;"|"&amp;$B111,engChave,0),12),0))</f>
        <v>0</v>
      </c>
      <c r="AJ111" s="30">
        <f>IF($AB111="",0,IFERROR(INDEX(engDados,MATCH(selAnalito&amp;"|"&amp;$B111,engChave,0),13),0))</f>
        <v>0</v>
      </c>
      <c r="AK111" s="30">
        <f>IF($AB111="",0,IFERROR(INDEX(engDados,MATCH(selAnalito&amp;"|"&amp;$B111,engChave,0),14),0))</f>
        <v>0</v>
      </c>
      <c r="AL111" s="30" t="str">
        <f>IF($AB111="","",IFERROR(INDEX(engDados,MATCH(selAnalito&amp;"|"&amp;$B111,engChave,0),16),""))</f>
        <v/>
      </c>
      <c r="AM111" s="30" t="e">
        <f t="shared" si="118"/>
        <v>#N/A</v>
      </c>
      <c r="AN111" s="30" t="e">
        <f t="shared" si="119"/>
        <v>#N/A</v>
      </c>
      <c r="AO111" s="30" t="e">
        <f t="shared" si="120"/>
        <v>#N/A</v>
      </c>
      <c r="AP111" s="30" t="e">
        <f t="shared" si="121"/>
        <v>#N/A</v>
      </c>
      <c r="AQ111" s="30" t="e">
        <f t="shared" si="122"/>
        <v>#N/A</v>
      </c>
      <c r="AR111" s="30" t="e">
        <f t="shared" si="123"/>
        <v>#N/A</v>
      </c>
      <c r="AS111" s="30" t="e">
        <f t="shared" si="124"/>
        <v>#N/A</v>
      </c>
      <c r="AT111" s="30" t="e">
        <f>IF(AND($D111=1,(""&amp;loteAnalise)=(""&amp;loteCarregado),COUNTIFS(regAnalito,selAnalito,regNivel,2,regData,$C111,regRep1,"&lt;&gt;")&gt;0),SUMIFS(regRep1,regAnalito,selAnalito,regNivel,2,regData,$C111),NA())</f>
        <v>#N/A</v>
      </c>
      <c r="AU111" s="30" t="e">
        <f>IF(AND($D111=1,(""&amp;loteAnalise)=(""&amp;loteCarregado),COUNTIFS(regAnalito,selAnalito,regNivel,2,regData,$C111,regRep2,"&lt;&gt;")&gt;0),SUMIFS(regRep2,regAnalito,selAnalito,regNivel,2,regData,$C111),NA())</f>
        <v>#N/A</v>
      </c>
      <c r="AV111" s="30" t="e">
        <f>IF(AND($D111=1,(""&amp;loteAnalise)=(""&amp;loteCarregado),COUNTIFS(regAnalito,selAnalito,regNivel,2,regData,$C111,regRep3,"&lt;&gt;")&gt;0),SUMIFS(regRep3,regAnalito,selAnalito,regNivel,2,regData,$C111),NA())</f>
        <v>#N/A</v>
      </c>
      <c r="AW111" s="30" t="e">
        <f>IF(AND($D111=1,COUNTIFS(regAnalito,selAnalito,regData,$C111,regCalib,"Sim")&gt;0),$BV$1,NA())</f>
        <v>#N/A</v>
      </c>
      <c r="AX111" s="30" t="str">
        <f>IF($B111="","",IF(INDEX(engValN3,$A111)="","",INDEX(engValN3,$A111)))</f>
        <v/>
      </c>
      <c r="AY111" s="30" t="str">
        <f t="shared" si="125"/>
        <v/>
      </c>
      <c r="AZ111" s="30" t="e">
        <f t="shared" si="126"/>
        <v>#N/A</v>
      </c>
      <c r="BA111" s="30" t="e">
        <f t="shared" si="127"/>
        <v>#N/A</v>
      </c>
      <c r="BB111" s="30" t="e">
        <f t="shared" si="128"/>
        <v>#N/A</v>
      </c>
      <c r="BC111" s="30">
        <f>IF($AX111="",0,IFERROR(INDEX(engDados,MATCH(selAnalito&amp;"|"&amp;$B111,engChave,0),17),0))</f>
        <v>0</v>
      </c>
      <c r="BD111" s="30">
        <f>IF($AX111="",0,IFERROR(INDEX(engDados,MATCH(selAnalito&amp;"|"&amp;$B111,engChave,0),18),0))</f>
        <v>0</v>
      </c>
      <c r="BE111" s="30">
        <f>IF($AX111="",0,IFERROR(INDEX(engDados,MATCH(selAnalito&amp;"|"&amp;$B111,engChave,0),19),0))</f>
        <v>0</v>
      </c>
      <c r="BF111" s="30">
        <f>IF($AX111="",0,IFERROR(INDEX(engDados,MATCH(selAnalito&amp;"|"&amp;$B111,engChave,0),20),0))</f>
        <v>0</v>
      </c>
      <c r="BG111" s="30">
        <f>IF($AX111="",0,IFERROR(INDEX(engDados,MATCH(selAnalito&amp;"|"&amp;$B111,engChave,0),21),0))</f>
        <v>0</v>
      </c>
      <c r="BH111" s="30" t="str">
        <f>IF($AX111="","",IFERROR(INDEX(engDados,MATCH(selAnalito&amp;"|"&amp;$B111,engChave,0),23),""))</f>
        <v/>
      </c>
      <c r="BI111" s="30" t="e">
        <f t="shared" si="129"/>
        <v>#N/A</v>
      </c>
      <c r="BJ111" s="30" t="e">
        <f t="shared" si="130"/>
        <v>#N/A</v>
      </c>
      <c r="BK111" s="30" t="e">
        <f t="shared" si="131"/>
        <v>#N/A</v>
      </c>
      <c r="BL111" s="30" t="e">
        <f t="shared" si="132"/>
        <v>#N/A</v>
      </c>
      <c r="BM111" s="30" t="e">
        <f t="shared" si="133"/>
        <v>#N/A</v>
      </c>
      <c r="BN111" s="30" t="e">
        <f t="shared" si="134"/>
        <v>#N/A</v>
      </c>
      <c r="BO111" s="30" t="e">
        <f t="shared" si="135"/>
        <v>#N/A</v>
      </c>
      <c r="BP111" s="30" t="e">
        <f>IF(AND($D111=1,(""&amp;loteAnalise)=(""&amp;loteCarregado),COUNTIFS(regAnalito,selAnalito,regNivel,3,regData,$C111,regRep1,"&lt;&gt;")&gt;0),SUMIFS(regRep1,regAnalito,selAnalito,regNivel,3,regData,$C111),NA())</f>
        <v>#N/A</v>
      </c>
      <c r="BQ111" s="30" t="e">
        <f>IF(AND($D111=1,(""&amp;loteAnalise)=(""&amp;loteCarregado),COUNTIFS(regAnalito,selAnalito,regNivel,3,regData,$C111,regRep2,"&lt;&gt;")&gt;0),SUMIFS(regRep2,regAnalito,selAnalito,regNivel,3,regData,$C111),NA())</f>
        <v>#N/A</v>
      </c>
      <c r="BR111" s="30" t="e">
        <f>IF(AND($D111=1,(""&amp;loteAnalise)=(""&amp;loteCarregado),COUNTIFS(regAnalito,selAnalito,regNivel,3,regData,$C111,regRep3,"&lt;&gt;")&gt;0),SUMIFS(regRep3,regAnalito,selAnalito,regNivel,3,regData,$C111),NA())</f>
        <v>#N/A</v>
      </c>
      <c r="BS111" s="30" t="e">
        <f>IF(AND($D111=1,COUNTIFS(regAnalito,selAnalito,regData,$C111,regCalib,"Sim")&gt;0),$BX$1,NA())</f>
        <v>#N/A</v>
      </c>
    </row>
    <row r="112" spans="1:71" x14ac:dyDescent="0.3">
      <c r="A112" s="30">
        <v>110</v>
      </c>
      <c r="B112" s="30" t="str">
        <f>IF(OR(selAnalito="",(""&amp;engAnalito)&lt;&gt;(""&amp;selAnalito),(""&amp;engLote)&lt;&gt;(""&amp;loteAnalise),$A112&gt;N(engNRun)),"",INDEX(engRUN,$A112))</f>
        <v/>
      </c>
      <c r="C112" s="43" t="str">
        <f>IF($B112="","",IF(INDEX(engData,$A112)="","",INDEX(engData,$A112)))</f>
        <v/>
      </c>
      <c r="D112" s="30">
        <f>IF($C112="",0,IF(AND(OR(filtroDe="",INT($C112)&gt;=INT(filtroDe)),OR(filtroAte="",INT($C112)&lt;=INT(filtroAte))),1,0))</f>
        <v>0</v>
      </c>
      <c r="E112" s="30" t="e">
        <f t="shared" si="102"/>
        <v>#N/A</v>
      </c>
      <c r="F112" s="30" t="str">
        <f>IF($B112="","",IF(INDEX(engValN1,$A112)="","",INDEX(engValN1,$A112)))</f>
        <v/>
      </c>
      <c r="G112" s="30" t="str">
        <f t="shared" si="103"/>
        <v/>
      </c>
      <c r="H112" s="30" t="e">
        <f t="shared" si="104"/>
        <v>#N/A</v>
      </c>
      <c r="I112" s="30" t="e">
        <f t="shared" si="105"/>
        <v>#N/A</v>
      </c>
      <c r="J112" s="30" t="e">
        <f t="shared" si="106"/>
        <v>#N/A</v>
      </c>
      <c r="K112" s="30">
        <f>IF($F112="",0,IFERROR(INDEX(engDados,MATCH(selAnalito&amp;"|"&amp;$B112,engChave,0),3),0))</f>
        <v>0</v>
      </c>
      <c r="L112" s="30">
        <f>IF($F112="",0,IFERROR(INDEX(engDados,MATCH(selAnalito&amp;"|"&amp;$B112,engChave,0),4),0))</f>
        <v>0</v>
      </c>
      <c r="M112" s="30">
        <f>IF($F112="",0,IFERROR(INDEX(engDados,MATCH(selAnalito&amp;"|"&amp;$B112,engChave,0),5),0))</f>
        <v>0</v>
      </c>
      <c r="N112" s="30">
        <f>IF($F112="",0,IFERROR(INDEX(engDados,MATCH(selAnalito&amp;"|"&amp;$B112,engChave,0),6),0))</f>
        <v>0</v>
      </c>
      <c r="O112" s="30">
        <f>IF($F112="",0,IFERROR(INDEX(engDados,MATCH(selAnalito&amp;"|"&amp;$B112,engChave,0),7),0))</f>
        <v>0</v>
      </c>
      <c r="P112" s="30" t="str">
        <f>IF($F112="","",IFERROR(INDEX(engDados,MATCH(selAnalito&amp;"|"&amp;$B112,engChave,0),9),""))</f>
        <v/>
      </c>
      <c r="Q112" s="30" t="e">
        <f t="shared" si="107"/>
        <v>#N/A</v>
      </c>
      <c r="R112" s="30" t="e">
        <f t="shared" si="108"/>
        <v>#N/A</v>
      </c>
      <c r="S112" s="30" t="e">
        <f t="shared" si="109"/>
        <v>#N/A</v>
      </c>
      <c r="T112" s="30" t="e">
        <f t="shared" si="110"/>
        <v>#N/A</v>
      </c>
      <c r="U112" s="30" t="e">
        <f t="shared" si="111"/>
        <v>#N/A</v>
      </c>
      <c r="V112" s="30" t="e">
        <f t="shared" si="112"/>
        <v>#N/A</v>
      </c>
      <c r="W112" s="30" t="e">
        <f t="shared" si="113"/>
        <v>#N/A</v>
      </c>
      <c r="X112" s="30" t="e">
        <f>IF(AND($D112=1,(""&amp;loteAnalise)=(""&amp;loteCarregado),COUNTIFS(regAnalito,selAnalito,regNivel,1,regData,$C112,regRep1,"&lt;&gt;")&gt;0),SUMIFS(regRep1,regAnalito,selAnalito,regNivel,1,regData,$C112),NA())</f>
        <v>#N/A</v>
      </c>
      <c r="Y112" s="30" t="e">
        <f>IF(AND($D112=1,(""&amp;loteAnalise)=(""&amp;loteCarregado),COUNTIFS(regAnalito,selAnalito,regNivel,1,regData,$C112,regRep2,"&lt;&gt;")&gt;0),SUMIFS(regRep2,regAnalito,selAnalito,regNivel,1,regData,$C112),NA())</f>
        <v>#N/A</v>
      </c>
      <c r="Z112" s="30" t="e">
        <f>IF(AND($D112=1,(""&amp;loteAnalise)=(""&amp;loteCarregado),COUNTIFS(regAnalito,selAnalito,regNivel,1,regData,$C112,regRep3,"&lt;&gt;")&gt;0),SUMIFS(regRep3,regAnalito,selAnalito,regNivel,1,regData,$C112),NA())</f>
        <v>#N/A</v>
      </c>
      <c r="AA112" s="30" t="e">
        <f>IF(AND($D112=1,COUNTIFS(regAnalito,selAnalito,regData,$C112,regCalib,"Sim")&gt;0),$BT$1,NA())</f>
        <v>#N/A</v>
      </c>
      <c r="AB112" s="30" t="str">
        <f>IF($B112="","",IF(INDEX(engValN2,$A112)="","",INDEX(engValN2,$A112)))</f>
        <v/>
      </c>
      <c r="AC112" s="30" t="str">
        <f t="shared" si="114"/>
        <v/>
      </c>
      <c r="AD112" s="30" t="e">
        <f t="shared" si="115"/>
        <v>#N/A</v>
      </c>
      <c r="AE112" s="30" t="e">
        <f t="shared" si="116"/>
        <v>#N/A</v>
      </c>
      <c r="AF112" s="30" t="e">
        <f t="shared" si="117"/>
        <v>#N/A</v>
      </c>
      <c r="AG112" s="30">
        <f>IF($AB112="",0,IFERROR(INDEX(engDados,MATCH(selAnalito&amp;"|"&amp;$B112,engChave,0),10),0))</f>
        <v>0</v>
      </c>
      <c r="AH112" s="30">
        <f>IF($AB112="",0,IFERROR(INDEX(engDados,MATCH(selAnalito&amp;"|"&amp;$B112,engChave,0),11),0))</f>
        <v>0</v>
      </c>
      <c r="AI112" s="30">
        <f>IF($AB112="",0,IFERROR(INDEX(engDados,MATCH(selAnalito&amp;"|"&amp;$B112,engChave,0),12),0))</f>
        <v>0</v>
      </c>
      <c r="AJ112" s="30">
        <f>IF($AB112="",0,IFERROR(INDEX(engDados,MATCH(selAnalito&amp;"|"&amp;$B112,engChave,0),13),0))</f>
        <v>0</v>
      </c>
      <c r="AK112" s="30">
        <f>IF($AB112="",0,IFERROR(INDEX(engDados,MATCH(selAnalito&amp;"|"&amp;$B112,engChave,0),14),0))</f>
        <v>0</v>
      </c>
      <c r="AL112" s="30" t="str">
        <f>IF($AB112="","",IFERROR(INDEX(engDados,MATCH(selAnalito&amp;"|"&amp;$B112,engChave,0),16),""))</f>
        <v/>
      </c>
      <c r="AM112" s="30" t="e">
        <f t="shared" si="118"/>
        <v>#N/A</v>
      </c>
      <c r="AN112" s="30" t="e">
        <f t="shared" si="119"/>
        <v>#N/A</v>
      </c>
      <c r="AO112" s="30" t="e">
        <f t="shared" si="120"/>
        <v>#N/A</v>
      </c>
      <c r="AP112" s="30" t="e">
        <f t="shared" si="121"/>
        <v>#N/A</v>
      </c>
      <c r="AQ112" s="30" t="e">
        <f t="shared" si="122"/>
        <v>#N/A</v>
      </c>
      <c r="AR112" s="30" t="e">
        <f t="shared" si="123"/>
        <v>#N/A</v>
      </c>
      <c r="AS112" s="30" t="e">
        <f t="shared" si="124"/>
        <v>#N/A</v>
      </c>
      <c r="AT112" s="30" t="e">
        <f>IF(AND($D112=1,(""&amp;loteAnalise)=(""&amp;loteCarregado),COUNTIFS(regAnalito,selAnalito,regNivel,2,regData,$C112,regRep1,"&lt;&gt;")&gt;0),SUMIFS(regRep1,regAnalito,selAnalito,regNivel,2,regData,$C112),NA())</f>
        <v>#N/A</v>
      </c>
      <c r="AU112" s="30" t="e">
        <f>IF(AND($D112=1,(""&amp;loteAnalise)=(""&amp;loteCarregado),COUNTIFS(regAnalito,selAnalito,regNivel,2,regData,$C112,regRep2,"&lt;&gt;")&gt;0),SUMIFS(regRep2,regAnalito,selAnalito,regNivel,2,regData,$C112),NA())</f>
        <v>#N/A</v>
      </c>
      <c r="AV112" s="30" t="e">
        <f>IF(AND($D112=1,(""&amp;loteAnalise)=(""&amp;loteCarregado),COUNTIFS(regAnalito,selAnalito,regNivel,2,regData,$C112,regRep3,"&lt;&gt;")&gt;0),SUMIFS(regRep3,regAnalito,selAnalito,regNivel,2,regData,$C112),NA())</f>
        <v>#N/A</v>
      </c>
      <c r="AW112" s="30" t="e">
        <f>IF(AND($D112=1,COUNTIFS(regAnalito,selAnalito,regData,$C112,regCalib,"Sim")&gt;0),$BV$1,NA())</f>
        <v>#N/A</v>
      </c>
      <c r="AX112" s="30" t="str">
        <f>IF($B112="","",IF(INDEX(engValN3,$A112)="","",INDEX(engValN3,$A112)))</f>
        <v/>
      </c>
      <c r="AY112" s="30" t="str">
        <f t="shared" si="125"/>
        <v/>
      </c>
      <c r="AZ112" s="30" t="e">
        <f t="shared" si="126"/>
        <v>#N/A</v>
      </c>
      <c r="BA112" s="30" t="e">
        <f t="shared" si="127"/>
        <v>#N/A</v>
      </c>
      <c r="BB112" s="30" t="e">
        <f t="shared" si="128"/>
        <v>#N/A</v>
      </c>
      <c r="BC112" s="30">
        <f>IF($AX112="",0,IFERROR(INDEX(engDados,MATCH(selAnalito&amp;"|"&amp;$B112,engChave,0),17),0))</f>
        <v>0</v>
      </c>
      <c r="BD112" s="30">
        <f>IF($AX112="",0,IFERROR(INDEX(engDados,MATCH(selAnalito&amp;"|"&amp;$B112,engChave,0),18),0))</f>
        <v>0</v>
      </c>
      <c r="BE112" s="30">
        <f>IF($AX112="",0,IFERROR(INDEX(engDados,MATCH(selAnalito&amp;"|"&amp;$B112,engChave,0),19),0))</f>
        <v>0</v>
      </c>
      <c r="BF112" s="30">
        <f>IF($AX112="",0,IFERROR(INDEX(engDados,MATCH(selAnalito&amp;"|"&amp;$B112,engChave,0),20),0))</f>
        <v>0</v>
      </c>
      <c r="BG112" s="30">
        <f>IF($AX112="",0,IFERROR(INDEX(engDados,MATCH(selAnalito&amp;"|"&amp;$B112,engChave,0),21),0))</f>
        <v>0</v>
      </c>
      <c r="BH112" s="30" t="str">
        <f>IF($AX112="","",IFERROR(INDEX(engDados,MATCH(selAnalito&amp;"|"&amp;$B112,engChave,0),23),""))</f>
        <v/>
      </c>
      <c r="BI112" s="30" t="e">
        <f t="shared" si="129"/>
        <v>#N/A</v>
      </c>
      <c r="BJ112" s="30" t="e">
        <f t="shared" si="130"/>
        <v>#N/A</v>
      </c>
      <c r="BK112" s="30" t="e">
        <f t="shared" si="131"/>
        <v>#N/A</v>
      </c>
      <c r="BL112" s="30" t="e">
        <f t="shared" si="132"/>
        <v>#N/A</v>
      </c>
      <c r="BM112" s="30" t="e">
        <f t="shared" si="133"/>
        <v>#N/A</v>
      </c>
      <c r="BN112" s="30" t="e">
        <f t="shared" si="134"/>
        <v>#N/A</v>
      </c>
      <c r="BO112" s="30" t="e">
        <f t="shared" si="135"/>
        <v>#N/A</v>
      </c>
      <c r="BP112" s="30" t="e">
        <f>IF(AND($D112=1,(""&amp;loteAnalise)=(""&amp;loteCarregado),COUNTIFS(regAnalito,selAnalito,regNivel,3,regData,$C112,regRep1,"&lt;&gt;")&gt;0),SUMIFS(regRep1,regAnalito,selAnalito,regNivel,3,regData,$C112),NA())</f>
        <v>#N/A</v>
      </c>
      <c r="BQ112" s="30" t="e">
        <f>IF(AND($D112=1,(""&amp;loteAnalise)=(""&amp;loteCarregado),COUNTIFS(regAnalito,selAnalito,regNivel,3,regData,$C112,regRep2,"&lt;&gt;")&gt;0),SUMIFS(regRep2,regAnalito,selAnalito,regNivel,3,regData,$C112),NA())</f>
        <v>#N/A</v>
      </c>
      <c r="BR112" s="30" t="e">
        <f>IF(AND($D112=1,(""&amp;loteAnalise)=(""&amp;loteCarregado),COUNTIFS(regAnalito,selAnalito,regNivel,3,regData,$C112,regRep3,"&lt;&gt;")&gt;0),SUMIFS(regRep3,regAnalito,selAnalito,regNivel,3,regData,$C112),NA())</f>
        <v>#N/A</v>
      </c>
      <c r="BS112" s="30" t="e">
        <f>IF(AND($D112=1,COUNTIFS(regAnalito,selAnalito,regData,$C112,regCalib,"Sim")&gt;0),$BX$1,NA())</f>
        <v>#N/A</v>
      </c>
    </row>
    <row r="113" spans="1:71" x14ac:dyDescent="0.3">
      <c r="A113" s="30">
        <v>111</v>
      </c>
      <c r="B113" s="30" t="str">
        <f>IF(OR(selAnalito="",(""&amp;engAnalito)&lt;&gt;(""&amp;selAnalito),(""&amp;engLote)&lt;&gt;(""&amp;loteAnalise),$A113&gt;N(engNRun)),"",INDEX(engRUN,$A113))</f>
        <v/>
      </c>
      <c r="C113" s="43" t="str">
        <f>IF($B113="","",IF(INDEX(engData,$A113)="","",INDEX(engData,$A113)))</f>
        <v/>
      </c>
      <c r="D113" s="30">
        <f>IF($C113="",0,IF(AND(OR(filtroDe="",INT($C113)&gt;=INT(filtroDe)),OR(filtroAte="",INT($C113)&lt;=INT(filtroAte))),1,0))</f>
        <v>0</v>
      </c>
      <c r="E113" s="30" t="e">
        <f t="shared" si="102"/>
        <v>#N/A</v>
      </c>
      <c r="F113" s="30" t="str">
        <f>IF($B113="","",IF(INDEX(engValN1,$A113)="","",INDEX(engValN1,$A113)))</f>
        <v/>
      </c>
      <c r="G113" s="30" t="str">
        <f t="shared" si="103"/>
        <v/>
      </c>
      <c r="H113" s="30" t="e">
        <f t="shared" si="104"/>
        <v>#N/A</v>
      </c>
      <c r="I113" s="30" t="e">
        <f t="shared" si="105"/>
        <v>#N/A</v>
      </c>
      <c r="J113" s="30" t="e">
        <f t="shared" si="106"/>
        <v>#N/A</v>
      </c>
      <c r="K113" s="30">
        <f>IF($F113="",0,IFERROR(INDEX(engDados,MATCH(selAnalito&amp;"|"&amp;$B113,engChave,0),3),0))</f>
        <v>0</v>
      </c>
      <c r="L113" s="30">
        <f>IF($F113="",0,IFERROR(INDEX(engDados,MATCH(selAnalito&amp;"|"&amp;$B113,engChave,0),4),0))</f>
        <v>0</v>
      </c>
      <c r="M113" s="30">
        <f>IF($F113="",0,IFERROR(INDEX(engDados,MATCH(selAnalito&amp;"|"&amp;$B113,engChave,0),5),0))</f>
        <v>0</v>
      </c>
      <c r="N113" s="30">
        <f>IF($F113="",0,IFERROR(INDEX(engDados,MATCH(selAnalito&amp;"|"&amp;$B113,engChave,0),6),0))</f>
        <v>0</v>
      </c>
      <c r="O113" s="30">
        <f>IF($F113="",0,IFERROR(INDEX(engDados,MATCH(selAnalito&amp;"|"&amp;$B113,engChave,0),7),0))</f>
        <v>0</v>
      </c>
      <c r="P113" s="30" t="str">
        <f>IF($F113="","",IFERROR(INDEX(engDados,MATCH(selAnalito&amp;"|"&amp;$B113,engChave,0),9),""))</f>
        <v/>
      </c>
      <c r="Q113" s="30" t="e">
        <f t="shared" si="107"/>
        <v>#N/A</v>
      </c>
      <c r="R113" s="30" t="e">
        <f t="shared" si="108"/>
        <v>#N/A</v>
      </c>
      <c r="S113" s="30" t="e">
        <f t="shared" si="109"/>
        <v>#N/A</v>
      </c>
      <c r="T113" s="30" t="e">
        <f t="shared" si="110"/>
        <v>#N/A</v>
      </c>
      <c r="U113" s="30" t="e">
        <f t="shared" si="111"/>
        <v>#N/A</v>
      </c>
      <c r="V113" s="30" t="e">
        <f t="shared" si="112"/>
        <v>#N/A</v>
      </c>
      <c r="W113" s="30" t="e">
        <f t="shared" si="113"/>
        <v>#N/A</v>
      </c>
      <c r="X113" s="30" t="e">
        <f>IF(AND($D113=1,(""&amp;loteAnalise)=(""&amp;loteCarregado),COUNTIFS(regAnalito,selAnalito,regNivel,1,regData,$C113,regRep1,"&lt;&gt;")&gt;0),SUMIFS(regRep1,regAnalito,selAnalito,regNivel,1,regData,$C113),NA())</f>
        <v>#N/A</v>
      </c>
      <c r="Y113" s="30" t="e">
        <f>IF(AND($D113=1,(""&amp;loteAnalise)=(""&amp;loteCarregado),COUNTIFS(regAnalito,selAnalito,regNivel,1,regData,$C113,regRep2,"&lt;&gt;")&gt;0),SUMIFS(regRep2,regAnalito,selAnalito,regNivel,1,regData,$C113),NA())</f>
        <v>#N/A</v>
      </c>
      <c r="Z113" s="30" t="e">
        <f>IF(AND($D113=1,(""&amp;loteAnalise)=(""&amp;loteCarregado),COUNTIFS(regAnalito,selAnalito,regNivel,1,regData,$C113,regRep3,"&lt;&gt;")&gt;0),SUMIFS(regRep3,regAnalito,selAnalito,regNivel,1,regData,$C113),NA())</f>
        <v>#N/A</v>
      </c>
      <c r="AA113" s="30" t="e">
        <f>IF(AND($D113=1,COUNTIFS(regAnalito,selAnalito,regData,$C113,regCalib,"Sim")&gt;0),$BT$1,NA())</f>
        <v>#N/A</v>
      </c>
      <c r="AB113" s="30" t="str">
        <f>IF($B113="","",IF(INDEX(engValN2,$A113)="","",INDEX(engValN2,$A113)))</f>
        <v/>
      </c>
      <c r="AC113" s="30" t="str">
        <f t="shared" si="114"/>
        <v/>
      </c>
      <c r="AD113" s="30" t="e">
        <f t="shared" si="115"/>
        <v>#N/A</v>
      </c>
      <c r="AE113" s="30" t="e">
        <f t="shared" si="116"/>
        <v>#N/A</v>
      </c>
      <c r="AF113" s="30" t="e">
        <f t="shared" si="117"/>
        <v>#N/A</v>
      </c>
      <c r="AG113" s="30">
        <f>IF($AB113="",0,IFERROR(INDEX(engDados,MATCH(selAnalito&amp;"|"&amp;$B113,engChave,0),10),0))</f>
        <v>0</v>
      </c>
      <c r="AH113" s="30">
        <f>IF($AB113="",0,IFERROR(INDEX(engDados,MATCH(selAnalito&amp;"|"&amp;$B113,engChave,0),11),0))</f>
        <v>0</v>
      </c>
      <c r="AI113" s="30">
        <f>IF($AB113="",0,IFERROR(INDEX(engDados,MATCH(selAnalito&amp;"|"&amp;$B113,engChave,0),12),0))</f>
        <v>0</v>
      </c>
      <c r="AJ113" s="30">
        <f>IF($AB113="",0,IFERROR(INDEX(engDados,MATCH(selAnalito&amp;"|"&amp;$B113,engChave,0),13),0))</f>
        <v>0</v>
      </c>
      <c r="AK113" s="30">
        <f>IF($AB113="",0,IFERROR(INDEX(engDados,MATCH(selAnalito&amp;"|"&amp;$B113,engChave,0),14),0))</f>
        <v>0</v>
      </c>
      <c r="AL113" s="30" t="str">
        <f>IF($AB113="","",IFERROR(INDEX(engDados,MATCH(selAnalito&amp;"|"&amp;$B113,engChave,0),16),""))</f>
        <v/>
      </c>
      <c r="AM113" s="30" t="e">
        <f t="shared" si="118"/>
        <v>#N/A</v>
      </c>
      <c r="AN113" s="30" t="e">
        <f t="shared" si="119"/>
        <v>#N/A</v>
      </c>
      <c r="AO113" s="30" t="e">
        <f t="shared" si="120"/>
        <v>#N/A</v>
      </c>
      <c r="AP113" s="30" t="e">
        <f t="shared" si="121"/>
        <v>#N/A</v>
      </c>
      <c r="AQ113" s="30" t="e">
        <f t="shared" si="122"/>
        <v>#N/A</v>
      </c>
      <c r="AR113" s="30" t="e">
        <f t="shared" si="123"/>
        <v>#N/A</v>
      </c>
      <c r="AS113" s="30" t="e">
        <f t="shared" si="124"/>
        <v>#N/A</v>
      </c>
      <c r="AT113" s="30" t="e">
        <f>IF(AND($D113=1,(""&amp;loteAnalise)=(""&amp;loteCarregado),COUNTIFS(regAnalito,selAnalito,regNivel,2,regData,$C113,regRep1,"&lt;&gt;")&gt;0),SUMIFS(regRep1,regAnalito,selAnalito,regNivel,2,regData,$C113),NA())</f>
        <v>#N/A</v>
      </c>
      <c r="AU113" s="30" t="e">
        <f>IF(AND($D113=1,(""&amp;loteAnalise)=(""&amp;loteCarregado),COUNTIFS(regAnalito,selAnalito,regNivel,2,regData,$C113,regRep2,"&lt;&gt;")&gt;0),SUMIFS(regRep2,regAnalito,selAnalito,regNivel,2,regData,$C113),NA())</f>
        <v>#N/A</v>
      </c>
      <c r="AV113" s="30" t="e">
        <f>IF(AND($D113=1,(""&amp;loteAnalise)=(""&amp;loteCarregado),COUNTIFS(regAnalito,selAnalito,regNivel,2,regData,$C113,regRep3,"&lt;&gt;")&gt;0),SUMIFS(regRep3,regAnalito,selAnalito,regNivel,2,regData,$C113),NA())</f>
        <v>#N/A</v>
      </c>
      <c r="AW113" s="30" t="e">
        <f>IF(AND($D113=1,COUNTIFS(regAnalito,selAnalito,regData,$C113,regCalib,"Sim")&gt;0),$BV$1,NA())</f>
        <v>#N/A</v>
      </c>
      <c r="AX113" s="30" t="str">
        <f>IF($B113="","",IF(INDEX(engValN3,$A113)="","",INDEX(engValN3,$A113)))</f>
        <v/>
      </c>
      <c r="AY113" s="30" t="str">
        <f t="shared" si="125"/>
        <v/>
      </c>
      <c r="AZ113" s="30" t="e">
        <f t="shared" si="126"/>
        <v>#N/A</v>
      </c>
      <c r="BA113" s="30" t="e">
        <f t="shared" si="127"/>
        <v>#N/A</v>
      </c>
      <c r="BB113" s="30" t="e">
        <f t="shared" si="128"/>
        <v>#N/A</v>
      </c>
      <c r="BC113" s="30">
        <f>IF($AX113="",0,IFERROR(INDEX(engDados,MATCH(selAnalito&amp;"|"&amp;$B113,engChave,0),17),0))</f>
        <v>0</v>
      </c>
      <c r="BD113" s="30">
        <f>IF($AX113="",0,IFERROR(INDEX(engDados,MATCH(selAnalito&amp;"|"&amp;$B113,engChave,0),18),0))</f>
        <v>0</v>
      </c>
      <c r="BE113" s="30">
        <f>IF($AX113="",0,IFERROR(INDEX(engDados,MATCH(selAnalito&amp;"|"&amp;$B113,engChave,0),19),0))</f>
        <v>0</v>
      </c>
      <c r="BF113" s="30">
        <f>IF($AX113="",0,IFERROR(INDEX(engDados,MATCH(selAnalito&amp;"|"&amp;$B113,engChave,0),20),0))</f>
        <v>0</v>
      </c>
      <c r="BG113" s="30">
        <f>IF($AX113="",0,IFERROR(INDEX(engDados,MATCH(selAnalito&amp;"|"&amp;$B113,engChave,0),21),0))</f>
        <v>0</v>
      </c>
      <c r="BH113" s="30" t="str">
        <f>IF($AX113="","",IFERROR(INDEX(engDados,MATCH(selAnalito&amp;"|"&amp;$B113,engChave,0),23),""))</f>
        <v/>
      </c>
      <c r="BI113" s="30" t="e">
        <f t="shared" si="129"/>
        <v>#N/A</v>
      </c>
      <c r="BJ113" s="30" t="e">
        <f t="shared" si="130"/>
        <v>#N/A</v>
      </c>
      <c r="BK113" s="30" t="e">
        <f t="shared" si="131"/>
        <v>#N/A</v>
      </c>
      <c r="BL113" s="30" t="e">
        <f t="shared" si="132"/>
        <v>#N/A</v>
      </c>
      <c r="BM113" s="30" t="e">
        <f t="shared" si="133"/>
        <v>#N/A</v>
      </c>
      <c r="BN113" s="30" t="e">
        <f t="shared" si="134"/>
        <v>#N/A</v>
      </c>
      <c r="BO113" s="30" t="e">
        <f t="shared" si="135"/>
        <v>#N/A</v>
      </c>
      <c r="BP113" s="30" t="e">
        <f>IF(AND($D113=1,(""&amp;loteAnalise)=(""&amp;loteCarregado),COUNTIFS(regAnalito,selAnalito,regNivel,3,regData,$C113,regRep1,"&lt;&gt;")&gt;0),SUMIFS(regRep1,regAnalito,selAnalito,regNivel,3,regData,$C113),NA())</f>
        <v>#N/A</v>
      </c>
      <c r="BQ113" s="30" t="e">
        <f>IF(AND($D113=1,(""&amp;loteAnalise)=(""&amp;loteCarregado),COUNTIFS(regAnalito,selAnalito,regNivel,3,regData,$C113,regRep2,"&lt;&gt;")&gt;0),SUMIFS(regRep2,regAnalito,selAnalito,regNivel,3,regData,$C113),NA())</f>
        <v>#N/A</v>
      </c>
      <c r="BR113" s="30" t="e">
        <f>IF(AND($D113=1,(""&amp;loteAnalise)=(""&amp;loteCarregado),COUNTIFS(regAnalito,selAnalito,regNivel,3,regData,$C113,regRep3,"&lt;&gt;")&gt;0),SUMIFS(regRep3,regAnalito,selAnalito,regNivel,3,regData,$C113),NA())</f>
        <v>#N/A</v>
      </c>
      <c r="BS113" s="30" t="e">
        <f>IF(AND($D113=1,COUNTIFS(regAnalito,selAnalito,regData,$C113,regCalib,"Sim")&gt;0),$BX$1,NA())</f>
        <v>#N/A</v>
      </c>
    </row>
    <row r="114" spans="1:71" x14ac:dyDescent="0.3">
      <c r="A114" s="30">
        <v>112</v>
      </c>
      <c r="B114" s="30" t="str">
        <f>IF(OR(selAnalito="",(""&amp;engAnalito)&lt;&gt;(""&amp;selAnalito),(""&amp;engLote)&lt;&gt;(""&amp;loteAnalise),$A114&gt;N(engNRun)),"",INDEX(engRUN,$A114))</f>
        <v/>
      </c>
      <c r="C114" s="43" t="str">
        <f>IF($B114="","",IF(INDEX(engData,$A114)="","",INDEX(engData,$A114)))</f>
        <v/>
      </c>
      <c r="D114" s="30">
        <f>IF($C114="",0,IF(AND(OR(filtroDe="",INT($C114)&gt;=INT(filtroDe)),OR(filtroAte="",INT($C114)&lt;=INT(filtroAte))),1,0))</f>
        <v>0</v>
      </c>
      <c r="E114" s="30" t="e">
        <f t="shared" si="102"/>
        <v>#N/A</v>
      </c>
      <c r="F114" s="30" t="str">
        <f>IF($B114="","",IF(INDEX(engValN1,$A114)="","",INDEX(engValN1,$A114)))</f>
        <v/>
      </c>
      <c r="G114" s="30" t="str">
        <f t="shared" si="103"/>
        <v/>
      </c>
      <c r="H114" s="30" t="e">
        <f t="shared" si="104"/>
        <v>#N/A</v>
      </c>
      <c r="I114" s="30" t="e">
        <f t="shared" si="105"/>
        <v>#N/A</v>
      </c>
      <c r="J114" s="30" t="e">
        <f t="shared" si="106"/>
        <v>#N/A</v>
      </c>
      <c r="K114" s="30">
        <f>IF($F114="",0,IFERROR(INDEX(engDados,MATCH(selAnalito&amp;"|"&amp;$B114,engChave,0),3),0))</f>
        <v>0</v>
      </c>
      <c r="L114" s="30">
        <f>IF($F114="",0,IFERROR(INDEX(engDados,MATCH(selAnalito&amp;"|"&amp;$B114,engChave,0),4),0))</f>
        <v>0</v>
      </c>
      <c r="M114" s="30">
        <f>IF($F114="",0,IFERROR(INDEX(engDados,MATCH(selAnalito&amp;"|"&amp;$B114,engChave,0),5),0))</f>
        <v>0</v>
      </c>
      <c r="N114" s="30">
        <f>IF($F114="",0,IFERROR(INDEX(engDados,MATCH(selAnalito&amp;"|"&amp;$B114,engChave,0),6),0))</f>
        <v>0</v>
      </c>
      <c r="O114" s="30">
        <f>IF($F114="",0,IFERROR(INDEX(engDados,MATCH(selAnalito&amp;"|"&amp;$B114,engChave,0),7),0))</f>
        <v>0</v>
      </c>
      <c r="P114" s="30" t="str">
        <f>IF($F114="","",IFERROR(INDEX(engDados,MATCH(selAnalito&amp;"|"&amp;$B114,engChave,0),9),""))</f>
        <v/>
      </c>
      <c r="Q114" s="30" t="e">
        <f t="shared" si="107"/>
        <v>#N/A</v>
      </c>
      <c r="R114" s="30" t="e">
        <f t="shared" si="108"/>
        <v>#N/A</v>
      </c>
      <c r="S114" s="30" t="e">
        <f t="shared" si="109"/>
        <v>#N/A</v>
      </c>
      <c r="T114" s="30" t="e">
        <f t="shared" si="110"/>
        <v>#N/A</v>
      </c>
      <c r="U114" s="30" t="e">
        <f t="shared" si="111"/>
        <v>#N/A</v>
      </c>
      <c r="V114" s="30" t="e">
        <f t="shared" si="112"/>
        <v>#N/A</v>
      </c>
      <c r="W114" s="30" t="e">
        <f t="shared" si="113"/>
        <v>#N/A</v>
      </c>
      <c r="X114" s="30" t="e">
        <f>IF(AND($D114=1,(""&amp;loteAnalise)=(""&amp;loteCarregado),COUNTIFS(regAnalito,selAnalito,regNivel,1,regData,$C114,regRep1,"&lt;&gt;")&gt;0),SUMIFS(regRep1,regAnalito,selAnalito,regNivel,1,regData,$C114),NA())</f>
        <v>#N/A</v>
      </c>
      <c r="Y114" s="30" t="e">
        <f>IF(AND($D114=1,(""&amp;loteAnalise)=(""&amp;loteCarregado),COUNTIFS(regAnalito,selAnalito,regNivel,1,regData,$C114,regRep2,"&lt;&gt;")&gt;0),SUMIFS(regRep2,regAnalito,selAnalito,regNivel,1,regData,$C114),NA())</f>
        <v>#N/A</v>
      </c>
      <c r="Z114" s="30" t="e">
        <f>IF(AND($D114=1,(""&amp;loteAnalise)=(""&amp;loteCarregado),COUNTIFS(regAnalito,selAnalito,regNivel,1,regData,$C114,regRep3,"&lt;&gt;")&gt;0),SUMIFS(regRep3,regAnalito,selAnalito,regNivel,1,regData,$C114),NA())</f>
        <v>#N/A</v>
      </c>
      <c r="AA114" s="30" t="e">
        <f>IF(AND($D114=1,COUNTIFS(regAnalito,selAnalito,regData,$C114,regCalib,"Sim")&gt;0),$BT$1,NA())</f>
        <v>#N/A</v>
      </c>
      <c r="AB114" s="30" t="str">
        <f>IF($B114="","",IF(INDEX(engValN2,$A114)="","",INDEX(engValN2,$A114)))</f>
        <v/>
      </c>
      <c r="AC114" s="30" t="str">
        <f t="shared" si="114"/>
        <v/>
      </c>
      <c r="AD114" s="30" t="e">
        <f t="shared" si="115"/>
        <v>#N/A</v>
      </c>
      <c r="AE114" s="30" t="e">
        <f t="shared" si="116"/>
        <v>#N/A</v>
      </c>
      <c r="AF114" s="30" t="e">
        <f t="shared" si="117"/>
        <v>#N/A</v>
      </c>
      <c r="AG114" s="30">
        <f>IF($AB114="",0,IFERROR(INDEX(engDados,MATCH(selAnalito&amp;"|"&amp;$B114,engChave,0),10),0))</f>
        <v>0</v>
      </c>
      <c r="AH114" s="30">
        <f>IF($AB114="",0,IFERROR(INDEX(engDados,MATCH(selAnalito&amp;"|"&amp;$B114,engChave,0),11),0))</f>
        <v>0</v>
      </c>
      <c r="AI114" s="30">
        <f>IF($AB114="",0,IFERROR(INDEX(engDados,MATCH(selAnalito&amp;"|"&amp;$B114,engChave,0),12),0))</f>
        <v>0</v>
      </c>
      <c r="AJ114" s="30">
        <f>IF($AB114="",0,IFERROR(INDEX(engDados,MATCH(selAnalito&amp;"|"&amp;$B114,engChave,0),13),0))</f>
        <v>0</v>
      </c>
      <c r="AK114" s="30">
        <f>IF($AB114="",0,IFERROR(INDEX(engDados,MATCH(selAnalito&amp;"|"&amp;$B114,engChave,0),14),0))</f>
        <v>0</v>
      </c>
      <c r="AL114" s="30" t="str">
        <f>IF($AB114="","",IFERROR(INDEX(engDados,MATCH(selAnalito&amp;"|"&amp;$B114,engChave,0),16),""))</f>
        <v/>
      </c>
      <c r="AM114" s="30" t="e">
        <f t="shared" si="118"/>
        <v>#N/A</v>
      </c>
      <c r="AN114" s="30" t="e">
        <f t="shared" si="119"/>
        <v>#N/A</v>
      </c>
      <c r="AO114" s="30" t="e">
        <f t="shared" si="120"/>
        <v>#N/A</v>
      </c>
      <c r="AP114" s="30" t="e">
        <f t="shared" si="121"/>
        <v>#N/A</v>
      </c>
      <c r="AQ114" s="30" t="e">
        <f t="shared" si="122"/>
        <v>#N/A</v>
      </c>
      <c r="AR114" s="30" t="e">
        <f t="shared" si="123"/>
        <v>#N/A</v>
      </c>
      <c r="AS114" s="30" t="e">
        <f t="shared" si="124"/>
        <v>#N/A</v>
      </c>
      <c r="AT114" s="30" t="e">
        <f>IF(AND($D114=1,(""&amp;loteAnalise)=(""&amp;loteCarregado),COUNTIFS(regAnalito,selAnalito,regNivel,2,regData,$C114,regRep1,"&lt;&gt;")&gt;0),SUMIFS(regRep1,regAnalito,selAnalito,regNivel,2,regData,$C114),NA())</f>
        <v>#N/A</v>
      </c>
      <c r="AU114" s="30" t="e">
        <f>IF(AND($D114=1,(""&amp;loteAnalise)=(""&amp;loteCarregado),COUNTIFS(regAnalito,selAnalito,regNivel,2,regData,$C114,regRep2,"&lt;&gt;")&gt;0),SUMIFS(regRep2,regAnalito,selAnalito,regNivel,2,regData,$C114),NA())</f>
        <v>#N/A</v>
      </c>
      <c r="AV114" s="30" t="e">
        <f>IF(AND($D114=1,(""&amp;loteAnalise)=(""&amp;loteCarregado),COUNTIFS(regAnalito,selAnalito,regNivel,2,regData,$C114,regRep3,"&lt;&gt;")&gt;0),SUMIFS(regRep3,regAnalito,selAnalito,regNivel,2,regData,$C114),NA())</f>
        <v>#N/A</v>
      </c>
      <c r="AW114" s="30" t="e">
        <f>IF(AND($D114=1,COUNTIFS(regAnalito,selAnalito,regData,$C114,regCalib,"Sim")&gt;0),$BV$1,NA())</f>
        <v>#N/A</v>
      </c>
      <c r="AX114" s="30" t="str">
        <f>IF($B114="","",IF(INDEX(engValN3,$A114)="","",INDEX(engValN3,$A114)))</f>
        <v/>
      </c>
      <c r="AY114" s="30" t="str">
        <f t="shared" si="125"/>
        <v/>
      </c>
      <c r="AZ114" s="30" t="e">
        <f t="shared" si="126"/>
        <v>#N/A</v>
      </c>
      <c r="BA114" s="30" t="e">
        <f t="shared" si="127"/>
        <v>#N/A</v>
      </c>
      <c r="BB114" s="30" t="e">
        <f t="shared" si="128"/>
        <v>#N/A</v>
      </c>
      <c r="BC114" s="30">
        <f>IF($AX114="",0,IFERROR(INDEX(engDados,MATCH(selAnalito&amp;"|"&amp;$B114,engChave,0),17),0))</f>
        <v>0</v>
      </c>
      <c r="BD114" s="30">
        <f>IF($AX114="",0,IFERROR(INDEX(engDados,MATCH(selAnalito&amp;"|"&amp;$B114,engChave,0),18),0))</f>
        <v>0</v>
      </c>
      <c r="BE114" s="30">
        <f>IF($AX114="",0,IFERROR(INDEX(engDados,MATCH(selAnalito&amp;"|"&amp;$B114,engChave,0),19),0))</f>
        <v>0</v>
      </c>
      <c r="BF114" s="30">
        <f>IF($AX114="",0,IFERROR(INDEX(engDados,MATCH(selAnalito&amp;"|"&amp;$B114,engChave,0),20),0))</f>
        <v>0</v>
      </c>
      <c r="BG114" s="30">
        <f>IF($AX114="",0,IFERROR(INDEX(engDados,MATCH(selAnalito&amp;"|"&amp;$B114,engChave,0),21),0))</f>
        <v>0</v>
      </c>
      <c r="BH114" s="30" t="str">
        <f>IF($AX114="","",IFERROR(INDEX(engDados,MATCH(selAnalito&amp;"|"&amp;$B114,engChave,0),23),""))</f>
        <v/>
      </c>
      <c r="BI114" s="30" t="e">
        <f t="shared" si="129"/>
        <v>#N/A</v>
      </c>
      <c r="BJ114" s="30" t="e">
        <f t="shared" si="130"/>
        <v>#N/A</v>
      </c>
      <c r="BK114" s="30" t="e">
        <f t="shared" si="131"/>
        <v>#N/A</v>
      </c>
      <c r="BL114" s="30" t="e">
        <f t="shared" si="132"/>
        <v>#N/A</v>
      </c>
      <c r="BM114" s="30" t="e">
        <f t="shared" si="133"/>
        <v>#N/A</v>
      </c>
      <c r="BN114" s="30" t="e">
        <f t="shared" si="134"/>
        <v>#N/A</v>
      </c>
      <c r="BO114" s="30" t="e">
        <f t="shared" si="135"/>
        <v>#N/A</v>
      </c>
      <c r="BP114" s="30" t="e">
        <f>IF(AND($D114=1,(""&amp;loteAnalise)=(""&amp;loteCarregado),COUNTIFS(regAnalito,selAnalito,regNivel,3,regData,$C114,regRep1,"&lt;&gt;")&gt;0),SUMIFS(regRep1,regAnalito,selAnalito,regNivel,3,regData,$C114),NA())</f>
        <v>#N/A</v>
      </c>
      <c r="BQ114" s="30" t="e">
        <f>IF(AND($D114=1,(""&amp;loteAnalise)=(""&amp;loteCarregado),COUNTIFS(regAnalito,selAnalito,regNivel,3,regData,$C114,regRep2,"&lt;&gt;")&gt;0),SUMIFS(regRep2,regAnalito,selAnalito,regNivel,3,regData,$C114),NA())</f>
        <v>#N/A</v>
      </c>
      <c r="BR114" s="30" t="e">
        <f>IF(AND($D114=1,(""&amp;loteAnalise)=(""&amp;loteCarregado),COUNTIFS(regAnalito,selAnalito,regNivel,3,regData,$C114,regRep3,"&lt;&gt;")&gt;0),SUMIFS(regRep3,regAnalito,selAnalito,regNivel,3,regData,$C114),NA())</f>
        <v>#N/A</v>
      </c>
      <c r="BS114" s="30" t="e">
        <f>IF(AND($D114=1,COUNTIFS(regAnalito,selAnalito,regData,$C114,regCalib,"Sim")&gt;0),$BX$1,NA())</f>
        <v>#N/A</v>
      </c>
    </row>
    <row r="115" spans="1:71" x14ac:dyDescent="0.3">
      <c r="A115" s="30">
        <v>113</v>
      </c>
      <c r="B115" s="30" t="str">
        <f>IF(OR(selAnalito="",(""&amp;engAnalito)&lt;&gt;(""&amp;selAnalito),(""&amp;engLote)&lt;&gt;(""&amp;loteAnalise),$A115&gt;N(engNRun)),"",INDEX(engRUN,$A115))</f>
        <v/>
      </c>
      <c r="C115" s="43" t="str">
        <f>IF($B115="","",IF(INDEX(engData,$A115)="","",INDEX(engData,$A115)))</f>
        <v/>
      </c>
      <c r="D115" s="30">
        <f>IF($C115="",0,IF(AND(OR(filtroDe="",INT($C115)&gt;=INT(filtroDe)),OR(filtroAte="",INT($C115)&lt;=INT(filtroAte))),1,0))</f>
        <v>0</v>
      </c>
      <c r="E115" s="30" t="e">
        <f t="shared" si="102"/>
        <v>#N/A</v>
      </c>
      <c r="F115" s="30" t="str">
        <f>IF($B115="","",IF(INDEX(engValN1,$A115)="","",INDEX(engValN1,$A115)))</f>
        <v/>
      </c>
      <c r="G115" s="30" t="str">
        <f t="shared" si="103"/>
        <v/>
      </c>
      <c r="H115" s="30" t="e">
        <f t="shared" si="104"/>
        <v>#N/A</v>
      </c>
      <c r="I115" s="30" t="e">
        <f t="shared" si="105"/>
        <v>#N/A</v>
      </c>
      <c r="J115" s="30" t="e">
        <f t="shared" si="106"/>
        <v>#N/A</v>
      </c>
      <c r="K115" s="30">
        <f>IF($F115="",0,IFERROR(INDEX(engDados,MATCH(selAnalito&amp;"|"&amp;$B115,engChave,0),3),0))</f>
        <v>0</v>
      </c>
      <c r="L115" s="30">
        <f>IF($F115="",0,IFERROR(INDEX(engDados,MATCH(selAnalito&amp;"|"&amp;$B115,engChave,0),4),0))</f>
        <v>0</v>
      </c>
      <c r="M115" s="30">
        <f>IF($F115="",0,IFERROR(INDEX(engDados,MATCH(selAnalito&amp;"|"&amp;$B115,engChave,0),5),0))</f>
        <v>0</v>
      </c>
      <c r="N115" s="30">
        <f>IF($F115="",0,IFERROR(INDEX(engDados,MATCH(selAnalito&amp;"|"&amp;$B115,engChave,0),6),0))</f>
        <v>0</v>
      </c>
      <c r="O115" s="30">
        <f>IF($F115="",0,IFERROR(INDEX(engDados,MATCH(selAnalito&amp;"|"&amp;$B115,engChave,0),7),0))</f>
        <v>0</v>
      </c>
      <c r="P115" s="30" t="str">
        <f>IF($F115="","",IFERROR(INDEX(engDados,MATCH(selAnalito&amp;"|"&amp;$B115,engChave,0),9),""))</f>
        <v/>
      </c>
      <c r="Q115" s="30" t="e">
        <f t="shared" si="107"/>
        <v>#N/A</v>
      </c>
      <c r="R115" s="30" t="e">
        <f t="shared" si="108"/>
        <v>#N/A</v>
      </c>
      <c r="S115" s="30" t="e">
        <f t="shared" si="109"/>
        <v>#N/A</v>
      </c>
      <c r="T115" s="30" t="e">
        <f t="shared" si="110"/>
        <v>#N/A</v>
      </c>
      <c r="U115" s="30" t="e">
        <f t="shared" si="111"/>
        <v>#N/A</v>
      </c>
      <c r="V115" s="30" t="e">
        <f t="shared" si="112"/>
        <v>#N/A</v>
      </c>
      <c r="W115" s="30" t="e">
        <f t="shared" si="113"/>
        <v>#N/A</v>
      </c>
      <c r="X115" s="30" t="e">
        <f>IF(AND($D115=1,(""&amp;loteAnalise)=(""&amp;loteCarregado),COUNTIFS(regAnalito,selAnalito,regNivel,1,regData,$C115,regRep1,"&lt;&gt;")&gt;0),SUMIFS(regRep1,regAnalito,selAnalito,regNivel,1,regData,$C115),NA())</f>
        <v>#N/A</v>
      </c>
      <c r="Y115" s="30" t="e">
        <f>IF(AND($D115=1,(""&amp;loteAnalise)=(""&amp;loteCarregado),COUNTIFS(regAnalito,selAnalito,regNivel,1,regData,$C115,regRep2,"&lt;&gt;")&gt;0),SUMIFS(regRep2,regAnalito,selAnalito,regNivel,1,regData,$C115),NA())</f>
        <v>#N/A</v>
      </c>
      <c r="Z115" s="30" t="e">
        <f>IF(AND($D115=1,(""&amp;loteAnalise)=(""&amp;loteCarregado),COUNTIFS(regAnalito,selAnalito,regNivel,1,regData,$C115,regRep3,"&lt;&gt;")&gt;0),SUMIFS(regRep3,regAnalito,selAnalito,regNivel,1,regData,$C115),NA())</f>
        <v>#N/A</v>
      </c>
      <c r="AA115" s="30" t="e">
        <f>IF(AND($D115=1,COUNTIFS(regAnalito,selAnalito,regData,$C115,regCalib,"Sim")&gt;0),$BT$1,NA())</f>
        <v>#N/A</v>
      </c>
      <c r="AB115" s="30" t="str">
        <f>IF($B115="","",IF(INDEX(engValN2,$A115)="","",INDEX(engValN2,$A115)))</f>
        <v/>
      </c>
      <c r="AC115" s="30" t="str">
        <f t="shared" si="114"/>
        <v/>
      </c>
      <c r="AD115" s="30" t="e">
        <f t="shared" si="115"/>
        <v>#N/A</v>
      </c>
      <c r="AE115" s="30" t="e">
        <f t="shared" si="116"/>
        <v>#N/A</v>
      </c>
      <c r="AF115" s="30" t="e">
        <f t="shared" si="117"/>
        <v>#N/A</v>
      </c>
      <c r="AG115" s="30">
        <f>IF($AB115="",0,IFERROR(INDEX(engDados,MATCH(selAnalito&amp;"|"&amp;$B115,engChave,0),10),0))</f>
        <v>0</v>
      </c>
      <c r="AH115" s="30">
        <f>IF($AB115="",0,IFERROR(INDEX(engDados,MATCH(selAnalito&amp;"|"&amp;$B115,engChave,0),11),0))</f>
        <v>0</v>
      </c>
      <c r="AI115" s="30">
        <f>IF($AB115="",0,IFERROR(INDEX(engDados,MATCH(selAnalito&amp;"|"&amp;$B115,engChave,0),12),0))</f>
        <v>0</v>
      </c>
      <c r="AJ115" s="30">
        <f>IF($AB115="",0,IFERROR(INDEX(engDados,MATCH(selAnalito&amp;"|"&amp;$B115,engChave,0),13),0))</f>
        <v>0</v>
      </c>
      <c r="AK115" s="30">
        <f>IF($AB115="",0,IFERROR(INDEX(engDados,MATCH(selAnalito&amp;"|"&amp;$B115,engChave,0),14),0))</f>
        <v>0</v>
      </c>
      <c r="AL115" s="30" t="str">
        <f>IF($AB115="","",IFERROR(INDEX(engDados,MATCH(selAnalito&amp;"|"&amp;$B115,engChave,0),16),""))</f>
        <v/>
      </c>
      <c r="AM115" s="30" t="e">
        <f t="shared" si="118"/>
        <v>#N/A</v>
      </c>
      <c r="AN115" s="30" t="e">
        <f t="shared" si="119"/>
        <v>#N/A</v>
      </c>
      <c r="AO115" s="30" t="e">
        <f t="shared" si="120"/>
        <v>#N/A</v>
      </c>
      <c r="AP115" s="30" t="e">
        <f t="shared" si="121"/>
        <v>#N/A</v>
      </c>
      <c r="AQ115" s="30" t="e">
        <f t="shared" si="122"/>
        <v>#N/A</v>
      </c>
      <c r="AR115" s="30" t="e">
        <f t="shared" si="123"/>
        <v>#N/A</v>
      </c>
      <c r="AS115" s="30" t="e">
        <f t="shared" si="124"/>
        <v>#N/A</v>
      </c>
      <c r="AT115" s="30" t="e">
        <f>IF(AND($D115=1,(""&amp;loteAnalise)=(""&amp;loteCarregado),COUNTIFS(regAnalito,selAnalito,regNivel,2,regData,$C115,regRep1,"&lt;&gt;")&gt;0),SUMIFS(regRep1,regAnalito,selAnalito,regNivel,2,regData,$C115),NA())</f>
        <v>#N/A</v>
      </c>
      <c r="AU115" s="30" t="e">
        <f>IF(AND($D115=1,(""&amp;loteAnalise)=(""&amp;loteCarregado),COUNTIFS(regAnalito,selAnalito,regNivel,2,regData,$C115,regRep2,"&lt;&gt;")&gt;0),SUMIFS(regRep2,regAnalito,selAnalito,regNivel,2,regData,$C115),NA())</f>
        <v>#N/A</v>
      </c>
      <c r="AV115" s="30" t="e">
        <f>IF(AND($D115=1,(""&amp;loteAnalise)=(""&amp;loteCarregado),COUNTIFS(regAnalito,selAnalito,regNivel,2,regData,$C115,regRep3,"&lt;&gt;")&gt;0),SUMIFS(regRep3,regAnalito,selAnalito,regNivel,2,regData,$C115),NA())</f>
        <v>#N/A</v>
      </c>
      <c r="AW115" s="30" t="e">
        <f>IF(AND($D115=1,COUNTIFS(regAnalito,selAnalito,regData,$C115,regCalib,"Sim")&gt;0),$BV$1,NA())</f>
        <v>#N/A</v>
      </c>
      <c r="AX115" s="30" t="str">
        <f>IF($B115="","",IF(INDEX(engValN3,$A115)="","",INDEX(engValN3,$A115)))</f>
        <v/>
      </c>
      <c r="AY115" s="30" t="str">
        <f t="shared" si="125"/>
        <v/>
      </c>
      <c r="AZ115" s="30" t="e">
        <f t="shared" si="126"/>
        <v>#N/A</v>
      </c>
      <c r="BA115" s="30" t="e">
        <f t="shared" si="127"/>
        <v>#N/A</v>
      </c>
      <c r="BB115" s="30" t="e">
        <f t="shared" si="128"/>
        <v>#N/A</v>
      </c>
      <c r="BC115" s="30">
        <f>IF($AX115="",0,IFERROR(INDEX(engDados,MATCH(selAnalito&amp;"|"&amp;$B115,engChave,0),17),0))</f>
        <v>0</v>
      </c>
      <c r="BD115" s="30">
        <f>IF($AX115="",0,IFERROR(INDEX(engDados,MATCH(selAnalito&amp;"|"&amp;$B115,engChave,0),18),0))</f>
        <v>0</v>
      </c>
      <c r="BE115" s="30">
        <f>IF($AX115="",0,IFERROR(INDEX(engDados,MATCH(selAnalito&amp;"|"&amp;$B115,engChave,0),19),0))</f>
        <v>0</v>
      </c>
      <c r="BF115" s="30">
        <f>IF($AX115="",0,IFERROR(INDEX(engDados,MATCH(selAnalito&amp;"|"&amp;$B115,engChave,0),20),0))</f>
        <v>0</v>
      </c>
      <c r="BG115" s="30">
        <f>IF($AX115="",0,IFERROR(INDEX(engDados,MATCH(selAnalito&amp;"|"&amp;$B115,engChave,0),21),0))</f>
        <v>0</v>
      </c>
      <c r="BH115" s="30" t="str">
        <f>IF($AX115="","",IFERROR(INDEX(engDados,MATCH(selAnalito&amp;"|"&amp;$B115,engChave,0),23),""))</f>
        <v/>
      </c>
      <c r="BI115" s="30" t="e">
        <f t="shared" si="129"/>
        <v>#N/A</v>
      </c>
      <c r="BJ115" s="30" t="e">
        <f t="shared" si="130"/>
        <v>#N/A</v>
      </c>
      <c r="BK115" s="30" t="e">
        <f t="shared" si="131"/>
        <v>#N/A</v>
      </c>
      <c r="BL115" s="30" t="e">
        <f t="shared" si="132"/>
        <v>#N/A</v>
      </c>
      <c r="BM115" s="30" t="e">
        <f t="shared" si="133"/>
        <v>#N/A</v>
      </c>
      <c r="BN115" s="30" t="e">
        <f t="shared" si="134"/>
        <v>#N/A</v>
      </c>
      <c r="BO115" s="30" t="e">
        <f t="shared" si="135"/>
        <v>#N/A</v>
      </c>
      <c r="BP115" s="30" t="e">
        <f>IF(AND($D115=1,(""&amp;loteAnalise)=(""&amp;loteCarregado),COUNTIFS(regAnalito,selAnalito,regNivel,3,regData,$C115,regRep1,"&lt;&gt;")&gt;0),SUMIFS(regRep1,regAnalito,selAnalito,regNivel,3,regData,$C115),NA())</f>
        <v>#N/A</v>
      </c>
      <c r="BQ115" s="30" t="e">
        <f>IF(AND($D115=1,(""&amp;loteAnalise)=(""&amp;loteCarregado),COUNTIFS(regAnalito,selAnalito,regNivel,3,regData,$C115,regRep2,"&lt;&gt;")&gt;0),SUMIFS(regRep2,regAnalito,selAnalito,regNivel,3,regData,$C115),NA())</f>
        <v>#N/A</v>
      </c>
      <c r="BR115" s="30" t="e">
        <f>IF(AND($D115=1,(""&amp;loteAnalise)=(""&amp;loteCarregado),COUNTIFS(regAnalito,selAnalito,regNivel,3,regData,$C115,regRep3,"&lt;&gt;")&gt;0),SUMIFS(regRep3,regAnalito,selAnalito,regNivel,3,regData,$C115),NA())</f>
        <v>#N/A</v>
      </c>
      <c r="BS115" s="30" t="e">
        <f>IF(AND($D115=1,COUNTIFS(regAnalito,selAnalito,regData,$C115,regCalib,"Sim")&gt;0),$BX$1,NA())</f>
        <v>#N/A</v>
      </c>
    </row>
    <row r="116" spans="1:71" x14ac:dyDescent="0.3">
      <c r="A116" s="30">
        <v>114</v>
      </c>
      <c r="B116" s="30" t="str">
        <f>IF(OR(selAnalito="",(""&amp;engAnalito)&lt;&gt;(""&amp;selAnalito),(""&amp;engLote)&lt;&gt;(""&amp;loteAnalise),$A116&gt;N(engNRun)),"",INDEX(engRUN,$A116))</f>
        <v/>
      </c>
      <c r="C116" s="43" t="str">
        <f>IF($B116="","",IF(INDEX(engData,$A116)="","",INDEX(engData,$A116)))</f>
        <v/>
      </c>
      <c r="D116" s="30">
        <f>IF($C116="",0,IF(AND(OR(filtroDe="",INT($C116)&gt;=INT(filtroDe)),OR(filtroAte="",INT($C116)&lt;=INT(filtroAte))),1,0))</f>
        <v>0</v>
      </c>
      <c r="E116" s="30" t="e">
        <f t="shared" si="102"/>
        <v>#N/A</v>
      </c>
      <c r="F116" s="30" t="str">
        <f>IF($B116="","",IF(INDEX(engValN1,$A116)="","",INDEX(engValN1,$A116)))</f>
        <v/>
      </c>
      <c r="G116" s="30" t="str">
        <f t="shared" si="103"/>
        <v/>
      </c>
      <c r="H116" s="30" t="e">
        <f t="shared" si="104"/>
        <v>#N/A</v>
      </c>
      <c r="I116" s="30" t="e">
        <f t="shared" si="105"/>
        <v>#N/A</v>
      </c>
      <c r="J116" s="30" t="e">
        <f t="shared" si="106"/>
        <v>#N/A</v>
      </c>
      <c r="K116" s="30">
        <f>IF($F116="",0,IFERROR(INDEX(engDados,MATCH(selAnalito&amp;"|"&amp;$B116,engChave,0),3),0))</f>
        <v>0</v>
      </c>
      <c r="L116" s="30">
        <f>IF($F116="",0,IFERROR(INDEX(engDados,MATCH(selAnalito&amp;"|"&amp;$B116,engChave,0),4),0))</f>
        <v>0</v>
      </c>
      <c r="M116" s="30">
        <f>IF($F116="",0,IFERROR(INDEX(engDados,MATCH(selAnalito&amp;"|"&amp;$B116,engChave,0),5),0))</f>
        <v>0</v>
      </c>
      <c r="N116" s="30">
        <f>IF($F116="",0,IFERROR(INDEX(engDados,MATCH(selAnalito&amp;"|"&amp;$B116,engChave,0),6),0))</f>
        <v>0</v>
      </c>
      <c r="O116" s="30">
        <f>IF($F116="",0,IFERROR(INDEX(engDados,MATCH(selAnalito&amp;"|"&amp;$B116,engChave,0),7),0))</f>
        <v>0</v>
      </c>
      <c r="P116" s="30" t="str">
        <f>IF($F116="","",IFERROR(INDEX(engDados,MATCH(selAnalito&amp;"|"&amp;$B116,engChave,0),9),""))</f>
        <v/>
      </c>
      <c r="Q116" s="30" t="e">
        <f t="shared" si="107"/>
        <v>#N/A</v>
      </c>
      <c r="R116" s="30" t="e">
        <f t="shared" si="108"/>
        <v>#N/A</v>
      </c>
      <c r="S116" s="30" t="e">
        <f t="shared" si="109"/>
        <v>#N/A</v>
      </c>
      <c r="T116" s="30" t="e">
        <f t="shared" si="110"/>
        <v>#N/A</v>
      </c>
      <c r="U116" s="30" t="e">
        <f t="shared" si="111"/>
        <v>#N/A</v>
      </c>
      <c r="V116" s="30" t="e">
        <f t="shared" si="112"/>
        <v>#N/A</v>
      </c>
      <c r="W116" s="30" t="e">
        <f t="shared" si="113"/>
        <v>#N/A</v>
      </c>
      <c r="X116" s="30" t="e">
        <f>IF(AND($D116=1,(""&amp;loteAnalise)=(""&amp;loteCarregado),COUNTIFS(regAnalito,selAnalito,regNivel,1,regData,$C116,regRep1,"&lt;&gt;")&gt;0),SUMIFS(regRep1,regAnalito,selAnalito,regNivel,1,regData,$C116),NA())</f>
        <v>#N/A</v>
      </c>
      <c r="Y116" s="30" t="e">
        <f>IF(AND($D116=1,(""&amp;loteAnalise)=(""&amp;loteCarregado),COUNTIFS(regAnalito,selAnalito,regNivel,1,regData,$C116,regRep2,"&lt;&gt;")&gt;0),SUMIFS(regRep2,regAnalito,selAnalito,regNivel,1,regData,$C116),NA())</f>
        <v>#N/A</v>
      </c>
      <c r="Z116" s="30" t="e">
        <f>IF(AND($D116=1,(""&amp;loteAnalise)=(""&amp;loteCarregado),COUNTIFS(regAnalito,selAnalito,regNivel,1,regData,$C116,regRep3,"&lt;&gt;")&gt;0),SUMIFS(regRep3,regAnalito,selAnalito,regNivel,1,regData,$C116),NA())</f>
        <v>#N/A</v>
      </c>
      <c r="AA116" s="30" t="e">
        <f>IF(AND($D116=1,COUNTIFS(regAnalito,selAnalito,regData,$C116,regCalib,"Sim")&gt;0),$BT$1,NA())</f>
        <v>#N/A</v>
      </c>
      <c r="AB116" s="30" t="str">
        <f>IF($B116="","",IF(INDEX(engValN2,$A116)="","",INDEX(engValN2,$A116)))</f>
        <v/>
      </c>
      <c r="AC116" s="30" t="str">
        <f t="shared" si="114"/>
        <v/>
      </c>
      <c r="AD116" s="30" t="e">
        <f t="shared" si="115"/>
        <v>#N/A</v>
      </c>
      <c r="AE116" s="30" t="e">
        <f t="shared" si="116"/>
        <v>#N/A</v>
      </c>
      <c r="AF116" s="30" t="e">
        <f t="shared" si="117"/>
        <v>#N/A</v>
      </c>
      <c r="AG116" s="30">
        <f>IF($AB116="",0,IFERROR(INDEX(engDados,MATCH(selAnalito&amp;"|"&amp;$B116,engChave,0),10),0))</f>
        <v>0</v>
      </c>
      <c r="AH116" s="30">
        <f>IF($AB116="",0,IFERROR(INDEX(engDados,MATCH(selAnalito&amp;"|"&amp;$B116,engChave,0),11),0))</f>
        <v>0</v>
      </c>
      <c r="AI116" s="30">
        <f>IF($AB116="",0,IFERROR(INDEX(engDados,MATCH(selAnalito&amp;"|"&amp;$B116,engChave,0),12),0))</f>
        <v>0</v>
      </c>
      <c r="AJ116" s="30">
        <f>IF($AB116="",0,IFERROR(INDEX(engDados,MATCH(selAnalito&amp;"|"&amp;$B116,engChave,0),13),0))</f>
        <v>0</v>
      </c>
      <c r="AK116" s="30">
        <f>IF($AB116="",0,IFERROR(INDEX(engDados,MATCH(selAnalito&amp;"|"&amp;$B116,engChave,0),14),0))</f>
        <v>0</v>
      </c>
      <c r="AL116" s="30" t="str">
        <f>IF($AB116="","",IFERROR(INDEX(engDados,MATCH(selAnalito&amp;"|"&amp;$B116,engChave,0),16),""))</f>
        <v/>
      </c>
      <c r="AM116" s="30" t="e">
        <f t="shared" si="118"/>
        <v>#N/A</v>
      </c>
      <c r="AN116" s="30" t="e">
        <f t="shared" si="119"/>
        <v>#N/A</v>
      </c>
      <c r="AO116" s="30" t="e">
        <f t="shared" si="120"/>
        <v>#N/A</v>
      </c>
      <c r="AP116" s="30" t="e">
        <f t="shared" si="121"/>
        <v>#N/A</v>
      </c>
      <c r="AQ116" s="30" t="e">
        <f t="shared" si="122"/>
        <v>#N/A</v>
      </c>
      <c r="AR116" s="30" t="e">
        <f t="shared" si="123"/>
        <v>#N/A</v>
      </c>
      <c r="AS116" s="30" t="e">
        <f t="shared" si="124"/>
        <v>#N/A</v>
      </c>
      <c r="AT116" s="30" t="e">
        <f>IF(AND($D116=1,(""&amp;loteAnalise)=(""&amp;loteCarregado),COUNTIFS(regAnalito,selAnalito,regNivel,2,regData,$C116,regRep1,"&lt;&gt;")&gt;0),SUMIFS(regRep1,regAnalito,selAnalito,regNivel,2,regData,$C116),NA())</f>
        <v>#N/A</v>
      </c>
      <c r="AU116" s="30" t="e">
        <f>IF(AND($D116=1,(""&amp;loteAnalise)=(""&amp;loteCarregado),COUNTIFS(regAnalito,selAnalito,regNivel,2,regData,$C116,regRep2,"&lt;&gt;")&gt;0),SUMIFS(regRep2,regAnalito,selAnalito,regNivel,2,regData,$C116),NA())</f>
        <v>#N/A</v>
      </c>
      <c r="AV116" s="30" t="e">
        <f>IF(AND($D116=1,(""&amp;loteAnalise)=(""&amp;loteCarregado),COUNTIFS(regAnalito,selAnalito,regNivel,2,regData,$C116,regRep3,"&lt;&gt;")&gt;0),SUMIFS(regRep3,regAnalito,selAnalito,regNivel,2,regData,$C116),NA())</f>
        <v>#N/A</v>
      </c>
      <c r="AW116" s="30" t="e">
        <f>IF(AND($D116=1,COUNTIFS(regAnalito,selAnalito,regData,$C116,regCalib,"Sim")&gt;0),$BV$1,NA())</f>
        <v>#N/A</v>
      </c>
      <c r="AX116" s="30" t="str">
        <f>IF($B116="","",IF(INDEX(engValN3,$A116)="","",INDEX(engValN3,$A116)))</f>
        <v/>
      </c>
      <c r="AY116" s="30" t="str">
        <f t="shared" si="125"/>
        <v/>
      </c>
      <c r="AZ116" s="30" t="e">
        <f t="shared" si="126"/>
        <v>#N/A</v>
      </c>
      <c r="BA116" s="30" t="e">
        <f t="shared" si="127"/>
        <v>#N/A</v>
      </c>
      <c r="BB116" s="30" t="e">
        <f t="shared" si="128"/>
        <v>#N/A</v>
      </c>
      <c r="BC116" s="30">
        <f>IF($AX116="",0,IFERROR(INDEX(engDados,MATCH(selAnalito&amp;"|"&amp;$B116,engChave,0),17),0))</f>
        <v>0</v>
      </c>
      <c r="BD116" s="30">
        <f>IF($AX116="",0,IFERROR(INDEX(engDados,MATCH(selAnalito&amp;"|"&amp;$B116,engChave,0),18),0))</f>
        <v>0</v>
      </c>
      <c r="BE116" s="30">
        <f>IF($AX116="",0,IFERROR(INDEX(engDados,MATCH(selAnalito&amp;"|"&amp;$B116,engChave,0),19),0))</f>
        <v>0</v>
      </c>
      <c r="BF116" s="30">
        <f>IF($AX116="",0,IFERROR(INDEX(engDados,MATCH(selAnalito&amp;"|"&amp;$B116,engChave,0),20),0))</f>
        <v>0</v>
      </c>
      <c r="BG116" s="30">
        <f>IF($AX116="",0,IFERROR(INDEX(engDados,MATCH(selAnalito&amp;"|"&amp;$B116,engChave,0),21),0))</f>
        <v>0</v>
      </c>
      <c r="BH116" s="30" t="str">
        <f>IF($AX116="","",IFERROR(INDEX(engDados,MATCH(selAnalito&amp;"|"&amp;$B116,engChave,0),23),""))</f>
        <v/>
      </c>
      <c r="BI116" s="30" t="e">
        <f t="shared" si="129"/>
        <v>#N/A</v>
      </c>
      <c r="BJ116" s="30" t="e">
        <f t="shared" si="130"/>
        <v>#N/A</v>
      </c>
      <c r="BK116" s="30" t="e">
        <f t="shared" si="131"/>
        <v>#N/A</v>
      </c>
      <c r="BL116" s="30" t="e">
        <f t="shared" si="132"/>
        <v>#N/A</v>
      </c>
      <c r="BM116" s="30" t="e">
        <f t="shared" si="133"/>
        <v>#N/A</v>
      </c>
      <c r="BN116" s="30" t="e">
        <f t="shared" si="134"/>
        <v>#N/A</v>
      </c>
      <c r="BO116" s="30" t="e">
        <f t="shared" si="135"/>
        <v>#N/A</v>
      </c>
      <c r="BP116" s="30" t="e">
        <f>IF(AND($D116=1,(""&amp;loteAnalise)=(""&amp;loteCarregado),COUNTIFS(regAnalito,selAnalito,regNivel,3,regData,$C116,regRep1,"&lt;&gt;")&gt;0),SUMIFS(regRep1,regAnalito,selAnalito,regNivel,3,regData,$C116),NA())</f>
        <v>#N/A</v>
      </c>
      <c r="BQ116" s="30" t="e">
        <f>IF(AND($D116=1,(""&amp;loteAnalise)=(""&amp;loteCarregado),COUNTIFS(regAnalito,selAnalito,regNivel,3,regData,$C116,regRep2,"&lt;&gt;")&gt;0),SUMIFS(regRep2,regAnalito,selAnalito,regNivel,3,regData,$C116),NA())</f>
        <v>#N/A</v>
      </c>
      <c r="BR116" s="30" t="e">
        <f>IF(AND($D116=1,(""&amp;loteAnalise)=(""&amp;loteCarregado),COUNTIFS(regAnalito,selAnalito,regNivel,3,regData,$C116,regRep3,"&lt;&gt;")&gt;0),SUMIFS(regRep3,regAnalito,selAnalito,regNivel,3,regData,$C116),NA())</f>
        <v>#N/A</v>
      </c>
      <c r="BS116" s="30" t="e">
        <f>IF(AND($D116=1,COUNTIFS(regAnalito,selAnalito,regData,$C116,regCalib,"Sim")&gt;0),$BX$1,NA())</f>
        <v>#N/A</v>
      </c>
    </row>
    <row r="117" spans="1:71" x14ac:dyDescent="0.3">
      <c r="A117" s="30">
        <v>115</v>
      </c>
      <c r="B117" s="30" t="str">
        <f>IF(OR(selAnalito="",(""&amp;engAnalito)&lt;&gt;(""&amp;selAnalito),(""&amp;engLote)&lt;&gt;(""&amp;loteAnalise),$A117&gt;N(engNRun)),"",INDEX(engRUN,$A117))</f>
        <v/>
      </c>
      <c r="C117" s="43" t="str">
        <f>IF($B117="","",IF(INDEX(engData,$A117)="","",INDEX(engData,$A117)))</f>
        <v/>
      </c>
      <c r="D117" s="30">
        <f>IF($C117="",0,IF(AND(OR(filtroDe="",INT($C117)&gt;=INT(filtroDe)),OR(filtroAte="",INT($C117)&lt;=INT(filtroAte))),1,0))</f>
        <v>0</v>
      </c>
      <c r="E117" s="30" t="e">
        <f t="shared" si="102"/>
        <v>#N/A</v>
      </c>
      <c r="F117" s="30" t="str">
        <f>IF($B117="","",IF(INDEX(engValN1,$A117)="","",INDEX(engValN1,$A117)))</f>
        <v/>
      </c>
      <c r="G117" s="30" t="str">
        <f t="shared" si="103"/>
        <v/>
      </c>
      <c r="H117" s="30" t="e">
        <f t="shared" si="104"/>
        <v>#N/A</v>
      </c>
      <c r="I117" s="30" t="e">
        <f t="shared" si="105"/>
        <v>#N/A</v>
      </c>
      <c r="J117" s="30" t="e">
        <f t="shared" si="106"/>
        <v>#N/A</v>
      </c>
      <c r="K117" s="30">
        <f>IF($F117="",0,IFERROR(INDEX(engDados,MATCH(selAnalito&amp;"|"&amp;$B117,engChave,0),3),0))</f>
        <v>0</v>
      </c>
      <c r="L117" s="30">
        <f>IF($F117="",0,IFERROR(INDEX(engDados,MATCH(selAnalito&amp;"|"&amp;$B117,engChave,0),4),0))</f>
        <v>0</v>
      </c>
      <c r="M117" s="30">
        <f>IF($F117="",0,IFERROR(INDEX(engDados,MATCH(selAnalito&amp;"|"&amp;$B117,engChave,0),5),0))</f>
        <v>0</v>
      </c>
      <c r="N117" s="30">
        <f>IF($F117="",0,IFERROR(INDEX(engDados,MATCH(selAnalito&amp;"|"&amp;$B117,engChave,0),6),0))</f>
        <v>0</v>
      </c>
      <c r="O117" s="30">
        <f>IF($F117="",0,IFERROR(INDEX(engDados,MATCH(selAnalito&amp;"|"&amp;$B117,engChave,0),7),0))</f>
        <v>0</v>
      </c>
      <c r="P117" s="30" t="str">
        <f>IF($F117="","",IFERROR(INDEX(engDados,MATCH(selAnalito&amp;"|"&amp;$B117,engChave,0),9),""))</f>
        <v/>
      </c>
      <c r="Q117" s="30" t="e">
        <f t="shared" si="107"/>
        <v>#N/A</v>
      </c>
      <c r="R117" s="30" t="e">
        <f t="shared" si="108"/>
        <v>#N/A</v>
      </c>
      <c r="S117" s="30" t="e">
        <f t="shared" si="109"/>
        <v>#N/A</v>
      </c>
      <c r="T117" s="30" t="e">
        <f t="shared" si="110"/>
        <v>#N/A</v>
      </c>
      <c r="U117" s="30" t="e">
        <f t="shared" si="111"/>
        <v>#N/A</v>
      </c>
      <c r="V117" s="30" t="e">
        <f t="shared" si="112"/>
        <v>#N/A</v>
      </c>
      <c r="W117" s="30" t="e">
        <f t="shared" si="113"/>
        <v>#N/A</v>
      </c>
      <c r="X117" s="30" t="e">
        <f>IF(AND($D117=1,(""&amp;loteAnalise)=(""&amp;loteCarregado),COUNTIFS(regAnalito,selAnalito,regNivel,1,regData,$C117,regRep1,"&lt;&gt;")&gt;0),SUMIFS(regRep1,regAnalito,selAnalito,regNivel,1,regData,$C117),NA())</f>
        <v>#N/A</v>
      </c>
      <c r="Y117" s="30" t="e">
        <f>IF(AND($D117=1,(""&amp;loteAnalise)=(""&amp;loteCarregado),COUNTIFS(regAnalito,selAnalito,regNivel,1,regData,$C117,regRep2,"&lt;&gt;")&gt;0),SUMIFS(regRep2,regAnalito,selAnalito,regNivel,1,regData,$C117),NA())</f>
        <v>#N/A</v>
      </c>
      <c r="Z117" s="30" t="e">
        <f>IF(AND($D117=1,(""&amp;loteAnalise)=(""&amp;loteCarregado),COUNTIFS(regAnalito,selAnalito,regNivel,1,regData,$C117,regRep3,"&lt;&gt;")&gt;0),SUMIFS(regRep3,regAnalito,selAnalito,regNivel,1,regData,$C117),NA())</f>
        <v>#N/A</v>
      </c>
      <c r="AA117" s="30" t="e">
        <f>IF(AND($D117=1,COUNTIFS(regAnalito,selAnalito,regData,$C117,regCalib,"Sim")&gt;0),$BT$1,NA())</f>
        <v>#N/A</v>
      </c>
      <c r="AB117" s="30" t="str">
        <f>IF($B117="","",IF(INDEX(engValN2,$A117)="","",INDEX(engValN2,$A117)))</f>
        <v/>
      </c>
      <c r="AC117" s="30" t="str">
        <f t="shared" si="114"/>
        <v/>
      </c>
      <c r="AD117" s="30" t="e">
        <f t="shared" si="115"/>
        <v>#N/A</v>
      </c>
      <c r="AE117" s="30" t="e">
        <f t="shared" si="116"/>
        <v>#N/A</v>
      </c>
      <c r="AF117" s="30" t="e">
        <f t="shared" si="117"/>
        <v>#N/A</v>
      </c>
      <c r="AG117" s="30">
        <f>IF($AB117="",0,IFERROR(INDEX(engDados,MATCH(selAnalito&amp;"|"&amp;$B117,engChave,0),10),0))</f>
        <v>0</v>
      </c>
      <c r="AH117" s="30">
        <f>IF($AB117="",0,IFERROR(INDEX(engDados,MATCH(selAnalito&amp;"|"&amp;$B117,engChave,0),11),0))</f>
        <v>0</v>
      </c>
      <c r="AI117" s="30">
        <f>IF($AB117="",0,IFERROR(INDEX(engDados,MATCH(selAnalito&amp;"|"&amp;$B117,engChave,0),12),0))</f>
        <v>0</v>
      </c>
      <c r="AJ117" s="30">
        <f>IF($AB117="",0,IFERROR(INDEX(engDados,MATCH(selAnalito&amp;"|"&amp;$B117,engChave,0),13),0))</f>
        <v>0</v>
      </c>
      <c r="AK117" s="30">
        <f>IF($AB117="",0,IFERROR(INDEX(engDados,MATCH(selAnalito&amp;"|"&amp;$B117,engChave,0),14),0))</f>
        <v>0</v>
      </c>
      <c r="AL117" s="30" t="str">
        <f>IF($AB117="","",IFERROR(INDEX(engDados,MATCH(selAnalito&amp;"|"&amp;$B117,engChave,0),16),""))</f>
        <v/>
      </c>
      <c r="AM117" s="30" t="e">
        <f t="shared" si="118"/>
        <v>#N/A</v>
      </c>
      <c r="AN117" s="30" t="e">
        <f t="shared" si="119"/>
        <v>#N/A</v>
      </c>
      <c r="AO117" s="30" t="e">
        <f t="shared" si="120"/>
        <v>#N/A</v>
      </c>
      <c r="AP117" s="30" t="e">
        <f t="shared" si="121"/>
        <v>#N/A</v>
      </c>
      <c r="AQ117" s="30" t="e">
        <f t="shared" si="122"/>
        <v>#N/A</v>
      </c>
      <c r="AR117" s="30" t="e">
        <f t="shared" si="123"/>
        <v>#N/A</v>
      </c>
      <c r="AS117" s="30" t="e">
        <f t="shared" si="124"/>
        <v>#N/A</v>
      </c>
      <c r="AT117" s="30" t="e">
        <f>IF(AND($D117=1,(""&amp;loteAnalise)=(""&amp;loteCarregado),COUNTIFS(regAnalito,selAnalito,regNivel,2,regData,$C117,regRep1,"&lt;&gt;")&gt;0),SUMIFS(regRep1,regAnalito,selAnalito,regNivel,2,regData,$C117),NA())</f>
        <v>#N/A</v>
      </c>
      <c r="AU117" s="30" t="e">
        <f>IF(AND($D117=1,(""&amp;loteAnalise)=(""&amp;loteCarregado),COUNTIFS(regAnalito,selAnalito,regNivel,2,regData,$C117,regRep2,"&lt;&gt;")&gt;0),SUMIFS(regRep2,regAnalito,selAnalito,regNivel,2,regData,$C117),NA())</f>
        <v>#N/A</v>
      </c>
      <c r="AV117" s="30" t="e">
        <f>IF(AND($D117=1,(""&amp;loteAnalise)=(""&amp;loteCarregado),COUNTIFS(regAnalito,selAnalito,regNivel,2,regData,$C117,regRep3,"&lt;&gt;")&gt;0),SUMIFS(regRep3,regAnalito,selAnalito,regNivel,2,regData,$C117),NA())</f>
        <v>#N/A</v>
      </c>
      <c r="AW117" s="30" t="e">
        <f>IF(AND($D117=1,COUNTIFS(regAnalito,selAnalito,regData,$C117,regCalib,"Sim")&gt;0),$BV$1,NA())</f>
        <v>#N/A</v>
      </c>
      <c r="AX117" s="30" t="str">
        <f>IF($B117="","",IF(INDEX(engValN3,$A117)="","",INDEX(engValN3,$A117)))</f>
        <v/>
      </c>
      <c r="AY117" s="30" t="str">
        <f t="shared" si="125"/>
        <v/>
      </c>
      <c r="AZ117" s="30" t="e">
        <f t="shared" si="126"/>
        <v>#N/A</v>
      </c>
      <c r="BA117" s="30" t="e">
        <f t="shared" si="127"/>
        <v>#N/A</v>
      </c>
      <c r="BB117" s="30" t="e">
        <f t="shared" si="128"/>
        <v>#N/A</v>
      </c>
      <c r="BC117" s="30">
        <f>IF($AX117="",0,IFERROR(INDEX(engDados,MATCH(selAnalito&amp;"|"&amp;$B117,engChave,0),17),0))</f>
        <v>0</v>
      </c>
      <c r="BD117" s="30">
        <f>IF($AX117="",0,IFERROR(INDEX(engDados,MATCH(selAnalito&amp;"|"&amp;$B117,engChave,0),18),0))</f>
        <v>0</v>
      </c>
      <c r="BE117" s="30">
        <f>IF($AX117="",0,IFERROR(INDEX(engDados,MATCH(selAnalito&amp;"|"&amp;$B117,engChave,0),19),0))</f>
        <v>0</v>
      </c>
      <c r="BF117" s="30">
        <f>IF($AX117="",0,IFERROR(INDEX(engDados,MATCH(selAnalito&amp;"|"&amp;$B117,engChave,0),20),0))</f>
        <v>0</v>
      </c>
      <c r="BG117" s="30">
        <f>IF($AX117="",0,IFERROR(INDEX(engDados,MATCH(selAnalito&amp;"|"&amp;$B117,engChave,0),21),0))</f>
        <v>0</v>
      </c>
      <c r="BH117" s="30" t="str">
        <f>IF($AX117="","",IFERROR(INDEX(engDados,MATCH(selAnalito&amp;"|"&amp;$B117,engChave,0),23),""))</f>
        <v/>
      </c>
      <c r="BI117" s="30" t="e">
        <f t="shared" si="129"/>
        <v>#N/A</v>
      </c>
      <c r="BJ117" s="30" t="e">
        <f t="shared" si="130"/>
        <v>#N/A</v>
      </c>
      <c r="BK117" s="30" t="e">
        <f t="shared" si="131"/>
        <v>#N/A</v>
      </c>
      <c r="BL117" s="30" t="e">
        <f t="shared" si="132"/>
        <v>#N/A</v>
      </c>
      <c r="BM117" s="30" t="e">
        <f t="shared" si="133"/>
        <v>#N/A</v>
      </c>
      <c r="BN117" s="30" t="e">
        <f t="shared" si="134"/>
        <v>#N/A</v>
      </c>
      <c r="BO117" s="30" t="e">
        <f t="shared" si="135"/>
        <v>#N/A</v>
      </c>
      <c r="BP117" s="30" t="e">
        <f>IF(AND($D117=1,(""&amp;loteAnalise)=(""&amp;loteCarregado),COUNTIFS(regAnalito,selAnalito,regNivel,3,regData,$C117,regRep1,"&lt;&gt;")&gt;0),SUMIFS(regRep1,regAnalito,selAnalito,regNivel,3,regData,$C117),NA())</f>
        <v>#N/A</v>
      </c>
      <c r="BQ117" s="30" t="e">
        <f>IF(AND($D117=1,(""&amp;loteAnalise)=(""&amp;loteCarregado),COUNTIFS(regAnalito,selAnalito,regNivel,3,regData,$C117,regRep2,"&lt;&gt;")&gt;0),SUMIFS(regRep2,regAnalito,selAnalito,regNivel,3,regData,$C117),NA())</f>
        <v>#N/A</v>
      </c>
      <c r="BR117" s="30" t="e">
        <f>IF(AND($D117=1,(""&amp;loteAnalise)=(""&amp;loteCarregado),COUNTIFS(regAnalito,selAnalito,regNivel,3,regData,$C117,regRep3,"&lt;&gt;")&gt;0),SUMIFS(regRep3,regAnalito,selAnalito,regNivel,3,regData,$C117),NA())</f>
        <v>#N/A</v>
      </c>
      <c r="BS117" s="30" t="e">
        <f>IF(AND($D117=1,COUNTIFS(regAnalito,selAnalito,regData,$C117,regCalib,"Sim")&gt;0),$BX$1,NA())</f>
        <v>#N/A</v>
      </c>
    </row>
    <row r="118" spans="1:71" x14ac:dyDescent="0.3">
      <c r="A118" s="30">
        <v>116</v>
      </c>
      <c r="B118" s="30" t="str">
        <f>IF(OR(selAnalito="",(""&amp;engAnalito)&lt;&gt;(""&amp;selAnalito),(""&amp;engLote)&lt;&gt;(""&amp;loteAnalise),$A118&gt;N(engNRun)),"",INDEX(engRUN,$A118))</f>
        <v/>
      </c>
      <c r="C118" s="43" t="str">
        <f>IF($B118="","",IF(INDEX(engData,$A118)="","",INDEX(engData,$A118)))</f>
        <v/>
      </c>
      <c r="D118" s="30">
        <f>IF($C118="",0,IF(AND(OR(filtroDe="",INT($C118)&gt;=INT(filtroDe)),OR(filtroAte="",INT($C118)&lt;=INT(filtroAte))),1,0))</f>
        <v>0</v>
      </c>
      <c r="E118" s="30" t="e">
        <f t="shared" si="102"/>
        <v>#N/A</v>
      </c>
      <c r="F118" s="30" t="str">
        <f>IF($B118="","",IF(INDEX(engValN1,$A118)="","",INDEX(engValN1,$A118)))</f>
        <v/>
      </c>
      <c r="G118" s="30" t="str">
        <f t="shared" si="103"/>
        <v/>
      </c>
      <c r="H118" s="30" t="e">
        <f t="shared" si="104"/>
        <v>#N/A</v>
      </c>
      <c r="I118" s="30" t="e">
        <f t="shared" si="105"/>
        <v>#N/A</v>
      </c>
      <c r="J118" s="30" t="e">
        <f t="shared" si="106"/>
        <v>#N/A</v>
      </c>
      <c r="K118" s="30">
        <f>IF($F118="",0,IFERROR(INDEX(engDados,MATCH(selAnalito&amp;"|"&amp;$B118,engChave,0),3),0))</f>
        <v>0</v>
      </c>
      <c r="L118" s="30">
        <f>IF($F118="",0,IFERROR(INDEX(engDados,MATCH(selAnalito&amp;"|"&amp;$B118,engChave,0),4),0))</f>
        <v>0</v>
      </c>
      <c r="M118" s="30">
        <f>IF($F118="",0,IFERROR(INDEX(engDados,MATCH(selAnalito&amp;"|"&amp;$B118,engChave,0),5),0))</f>
        <v>0</v>
      </c>
      <c r="N118" s="30">
        <f>IF($F118="",0,IFERROR(INDEX(engDados,MATCH(selAnalito&amp;"|"&amp;$B118,engChave,0),6),0))</f>
        <v>0</v>
      </c>
      <c r="O118" s="30">
        <f>IF($F118="",0,IFERROR(INDEX(engDados,MATCH(selAnalito&amp;"|"&amp;$B118,engChave,0),7),0))</f>
        <v>0</v>
      </c>
      <c r="P118" s="30" t="str">
        <f>IF($F118="","",IFERROR(INDEX(engDados,MATCH(selAnalito&amp;"|"&amp;$B118,engChave,0),9),""))</f>
        <v/>
      </c>
      <c r="Q118" s="30" t="e">
        <f t="shared" si="107"/>
        <v>#N/A</v>
      </c>
      <c r="R118" s="30" t="e">
        <f t="shared" si="108"/>
        <v>#N/A</v>
      </c>
      <c r="S118" s="30" t="e">
        <f t="shared" si="109"/>
        <v>#N/A</v>
      </c>
      <c r="T118" s="30" t="e">
        <f t="shared" si="110"/>
        <v>#N/A</v>
      </c>
      <c r="U118" s="30" t="e">
        <f t="shared" si="111"/>
        <v>#N/A</v>
      </c>
      <c r="V118" s="30" t="e">
        <f t="shared" si="112"/>
        <v>#N/A</v>
      </c>
      <c r="W118" s="30" t="e">
        <f t="shared" si="113"/>
        <v>#N/A</v>
      </c>
      <c r="X118" s="30" t="e">
        <f>IF(AND($D118=1,(""&amp;loteAnalise)=(""&amp;loteCarregado),COUNTIFS(regAnalito,selAnalito,regNivel,1,regData,$C118,regRep1,"&lt;&gt;")&gt;0),SUMIFS(regRep1,regAnalito,selAnalito,regNivel,1,regData,$C118),NA())</f>
        <v>#N/A</v>
      </c>
      <c r="Y118" s="30" t="e">
        <f>IF(AND($D118=1,(""&amp;loteAnalise)=(""&amp;loteCarregado),COUNTIFS(regAnalito,selAnalito,regNivel,1,regData,$C118,regRep2,"&lt;&gt;")&gt;0),SUMIFS(regRep2,regAnalito,selAnalito,regNivel,1,regData,$C118),NA())</f>
        <v>#N/A</v>
      </c>
      <c r="Z118" s="30" t="e">
        <f>IF(AND($D118=1,(""&amp;loteAnalise)=(""&amp;loteCarregado),COUNTIFS(regAnalito,selAnalito,regNivel,1,regData,$C118,regRep3,"&lt;&gt;")&gt;0),SUMIFS(regRep3,regAnalito,selAnalito,regNivel,1,regData,$C118),NA())</f>
        <v>#N/A</v>
      </c>
      <c r="AA118" s="30" t="e">
        <f>IF(AND($D118=1,COUNTIFS(regAnalito,selAnalito,regData,$C118,regCalib,"Sim")&gt;0),$BT$1,NA())</f>
        <v>#N/A</v>
      </c>
      <c r="AB118" s="30" t="str">
        <f>IF($B118="","",IF(INDEX(engValN2,$A118)="","",INDEX(engValN2,$A118)))</f>
        <v/>
      </c>
      <c r="AC118" s="30" t="str">
        <f t="shared" si="114"/>
        <v/>
      </c>
      <c r="AD118" s="30" t="e">
        <f t="shared" si="115"/>
        <v>#N/A</v>
      </c>
      <c r="AE118" s="30" t="e">
        <f t="shared" si="116"/>
        <v>#N/A</v>
      </c>
      <c r="AF118" s="30" t="e">
        <f t="shared" si="117"/>
        <v>#N/A</v>
      </c>
      <c r="AG118" s="30">
        <f>IF($AB118="",0,IFERROR(INDEX(engDados,MATCH(selAnalito&amp;"|"&amp;$B118,engChave,0),10),0))</f>
        <v>0</v>
      </c>
      <c r="AH118" s="30">
        <f>IF($AB118="",0,IFERROR(INDEX(engDados,MATCH(selAnalito&amp;"|"&amp;$B118,engChave,0),11),0))</f>
        <v>0</v>
      </c>
      <c r="AI118" s="30">
        <f>IF($AB118="",0,IFERROR(INDEX(engDados,MATCH(selAnalito&amp;"|"&amp;$B118,engChave,0),12),0))</f>
        <v>0</v>
      </c>
      <c r="AJ118" s="30">
        <f>IF($AB118="",0,IFERROR(INDEX(engDados,MATCH(selAnalito&amp;"|"&amp;$B118,engChave,0),13),0))</f>
        <v>0</v>
      </c>
      <c r="AK118" s="30">
        <f>IF($AB118="",0,IFERROR(INDEX(engDados,MATCH(selAnalito&amp;"|"&amp;$B118,engChave,0),14),0))</f>
        <v>0</v>
      </c>
      <c r="AL118" s="30" t="str">
        <f>IF($AB118="","",IFERROR(INDEX(engDados,MATCH(selAnalito&amp;"|"&amp;$B118,engChave,0),16),""))</f>
        <v/>
      </c>
      <c r="AM118" s="30" t="e">
        <f t="shared" si="118"/>
        <v>#N/A</v>
      </c>
      <c r="AN118" s="30" t="e">
        <f t="shared" si="119"/>
        <v>#N/A</v>
      </c>
      <c r="AO118" s="30" t="e">
        <f t="shared" si="120"/>
        <v>#N/A</v>
      </c>
      <c r="AP118" s="30" t="e">
        <f t="shared" si="121"/>
        <v>#N/A</v>
      </c>
      <c r="AQ118" s="30" t="e">
        <f t="shared" si="122"/>
        <v>#N/A</v>
      </c>
      <c r="AR118" s="30" t="e">
        <f t="shared" si="123"/>
        <v>#N/A</v>
      </c>
      <c r="AS118" s="30" t="e">
        <f t="shared" si="124"/>
        <v>#N/A</v>
      </c>
      <c r="AT118" s="30" t="e">
        <f>IF(AND($D118=1,(""&amp;loteAnalise)=(""&amp;loteCarregado),COUNTIFS(regAnalito,selAnalito,regNivel,2,regData,$C118,regRep1,"&lt;&gt;")&gt;0),SUMIFS(regRep1,regAnalito,selAnalito,regNivel,2,regData,$C118),NA())</f>
        <v>#N/A</v>
      </c>
      <c r="AU118" s="30" t="e">
        <f>IF(AND($D118=1,(""&amp;loteAnalise)=(""&amp;loteCarregado),COUNTIFS(regAnalito,selAnalito,regNivel,2,regData,$C118,regRep2,"&lt;&gt;")&gt;0),SUMIFS(regRep2,regAnalito,selAnalito,regNivel,2,regData,$C118),NA())</f>
        <v>#N/A</v>
      </c>
      <c r="AV118" s="30" t="e">
        <f>IF(AND($D118=1,(""&amp;loteAnalise)=(""&amp;loteCarregado),COUNTIFS(regAnalito,selAnalito,regNivel,2,regData,$C118,regRep3,"&lt;&gt;")&gt;0),SUMIFS(regRep3,regAnalito,selAnalito,regNivel,2,regData,$C118),NA())</f>
        <v>#N/A</v>
      </c>
      <c r="AW118" s="30" t="e">
        <f>IF(AND($D118=1,COUNTIFS(regAnalito,selAnalito,regData,$C118,regCalib,"Sim")&gt;0),$BV$1,NA())</f>
        <v>#N/A</v>
      </c>
      <c r="AX118" s="30" t="str">
        <f>IF($B118="","",IF(INDEX(engValN3,$A118)="","",INDEX(engValN3,$A118)))</f>
        <v/>
      </c>
      <c r="AY118" s="30" t="str">
        <f t="shared" si="125"/>
        <v/>
      </c>
      <c r="AZ118" s="30" t="e">
        <f t="shared" si="126"/>
        <v>#N/A</v>
      </c>
      <c r="BA118" s="30" t="e">
        <f t="shared" si="127"/>
        <v>#N/A</v>
      </c>
      <c r="BB118" s="30" t="e">
        <f t="shared" si="128"/>
        <v>#N/A</v>
      </c>
      <c r="BC118" s="30">
        <f>IF($AX118="",0,IFERROR(INDEX(engDados,MATCH(selAnalito&amp;"|"&amp;$B118,engChave,0),17),0))</f>
        <v>0</v>
      </c>
      <c r="BD118" s="30">
        <f>IF($AX118="",0,IFERROR(INDEX(engDados,MATCH(selAnalito&amp;"|"&amp;$B118,engChave,0),18),0))</f>
        <v>0</v>
      </c>
      <c r="BE118" s="30">
        <f>IF($AX118="",0,IFERROR(INDEX(engDados,MATCH(selAnalito&amp;"|"&amp;$B118,engChave,0),19),0))</f>
        <v>0</v>
      </c>
      <c r="BF118" s="30">
        <f>IF($AX118="",0,IFERROR(INDEX(engDados,MATCH(selAnalito&amp;"|"&amp;$B118,engChave,0),20),0))</f>
        <v>0</v>
      </c>
      <c r="BG118" s="30">
        <f>IF($AX118="",0,IFERROR(INDEX(engDados,MATCH(selAnalito&amp;"|"&amp;$B118,engChave,0),21),0))</f>
        <v>0</v>
      </c>
      <c r="BH118" s="30" t="str">
        <f>IF($AX118="","",IFERROR(INDEX(engDados,MATCH(selAnalito&amp;"|"&amp;$B118,engChave,0),23),""))</f>
        <v/>
      </c>
      <c r="BI118" s="30" t="e">
        <f t="shared" si="129"/>
        <v>#N/A</v>
      </c>
      <c r="BJ118" s="30" t="e">
        <f t="shared" si="130"/>
        <v>#N/A</v>
      </c>
      <c r="BK118" s="30" t="e">
        <f t="shared" si="131"/>
        <v>#N/A</v>
      </c>
      <c r="BL118" s="30" t="e">
        <f t="shared" si="132"/>
        <v>#N/A</v>
      </c>
      <c r="BM118" s="30" t="e">
        <f t="shared" si="133"/>
        <v>#N/A</v>
      </c>
      <c r="BN118" s="30" t="e">
        <f t="shared" si="134"/>
        <v>#N/A</v>
      </c>
      <c r="BO118" s="30" t="e">
        <f t="shared" si="135"/>
        <v>#N/A</v>
      </c>
      <c r="BP118" s="30" t="e">
        <f>IF(AND($D118=1,(""&amp;loteAnalise)=(""&amp;loteCarregado),COUNTIFS(regAnalito,selAnalito,regNivel,3,regData,$C118,regRep1,"&lt;&gt;")&gt;0),SUMIFS(regRep1,regAnalito,selAnalito,regNivel,3,regData,$C118),NA())</f>
        <v>#N/A</v>
      </c>
      <c r="BQ118" s="30" t="e">
        <f>IF(AND($D118=1,(""&amp;loteAnalise)=(""&amp;loteCarregado),COUNTIFS(regAnalito,selAnalito,regNivel,3,regData,$C118,regRep2,"&lt;&gt;")&gt;0),SUMIFS(regRep2,regAnalito,selAnalito,regNivel,3,regData,$C118),NA())</f>
        <v>#N/A</v>
      </c>
      <c r="BR118" s="30" t="e">
        <f>IF(AND($D118=1,(""&amp;loteAnalise)=(""&amp;loteCarregado),COUNTIFS(regAnalito,selAnalito,regNivel,3,regData,$C118,regRep3,"&lt;&gt;")&gt;0),SUMIFS(regRep3,regAnalito,selAnalito,regNivel,3,regData,$C118),NA())</f>
        <v>#N/A</v>
      </c>
      <c r="BS118" s="30" t="e">
        <f>IF(AND($D118=1,COUNTIFS(regAnalito,selAnalito,regData,$C118,regCalib,"Sim")&gt;0),$BX$1,NA())</f>
        <v>#N/A</v>
      </c>
    </row>
    <row r="119" spans="1:71" x14ac:dyDescent="0.3">
      <c r="A119" s="30">
        <v>117</v>
      </c>
      <c r="B119" s="30" t="str">
        <f>IF(OR(selAnalito="",(""&amp;engAnalito)&lt;&gt;(""&amp;selAnalito),(""&amp;engLote)&lt;&gt;(""&amp;loteAnalise),$A119&gt;N(engNRun)),"",INDEX(engRUN,$A119))</f>
        <v/>
      </c>
      <c r="C119" s="43" t="str">
        <f>IF($B119="","",IF(INDEX(engData,$A119)="","",INDEX(engData,$A119)))</f>
        <v/>
      </c>
      <c r="D119" s="30">
        <f>IF($C119="",0,IF(AND(OR(filtroDe="",INT($C119)&gt;=INT(filtroDe)),OR(filtroAte="",INT($C119)&lt;=INT(filtroAte))),1,0))</f>
        <v>0</v>
      </c>
      <c r="E119" s="30" t="e">
        <f t="shared" si="102"/>
        <v>#N/A</v>
      </c>
      <c r="F119" s="30" t="str">
        <f>IF($B119="","",IF(INDEX(engValN1,$A119)="","",INDEX(engValN1,$A119)))</f>
        <v/>
      </c>
      <c r="G119" s="30" t="str">
        <f t="shared" si="103"/>
        <v/>
      </c>
      <c r="H119" s="30" t="e">
        <f t="shared" si="104"/>
        <v>#N/A</v>
      </c>
      <c r="I119" s="30" t="e">
        <f t="shared" si="105"/>
        <v>#N/A</v>
      </c>
      <c r="J119" s="30" t="e">
        <f t="shared" si="106"/>
        <v>#N/A</v>
      </c>
      <c r="K119" s="30">
        <f>IF($F119="",0,IFERROR(INDEX(engDados,MATCH(selAnalito&amp;"|"&amp;$B119,engChave,0),3),0))</f>
        <v>0</v>
      </c>
      <c r="L119" s="30">
        <f>IF($F119="",0,IFERROR(INDEX(engDados,MATCH(selAnalito&amp;"|"&amp;$B119,engChave,0),4),0))</f>
        <v>0</v>
      </c>
      <c r="M119" s="30">
        <f>IF($F119="",0,IFERROR(INDEX(engDados,MATCH(selAnalito&amp;"|"&amp;$B119,engChave,0),5),0))</f>
        <v>0</v>
      </c>
      <c r="N119" s="30">
        <f>IF($F119="",0,IFERROR(INDEX(engDados,MATCH(selAnalito&amp;"|"&amp;$B119,engChave,0),6),0))</f>
        <v>0</v>
      </c>
      <c r="O119" s="30">
        <f>IF($F119="",0,IFERROR(INDEX(engDados,MATCH(selAnalito&amp;"|"&amp;$B119,engChave,0),7),0))</f>
        <v>0</v>
      </c>
      <c r="P119" s="30" t="str">
        <f>IF($F119="","",IFERROR(INDEX(engDados,MATCH(selAnalito&amp;"|"&amp;$B119,engChave,0),9),""))</f>
        <v/>
      </c>
      <c r="Q119" s="30" t="e">
        <f t="shared" si="107"/>
        <v>#N/A</v>
      </c>
      <c r="R119" s="30" t="e">
        <f t="shared" si="108"/>
        <v>#N/A</v>
      </c>
      <c r="S119" s="30" t="e">
        <f t="shared" si="109"/>
        <v>#N/A</v>
      </c>
      <c r="T119" s="30" t="e">
        <f t="shared" si="110"/>
        <v>#N/A</v>
      </c>
      <c r="U119" s="30" t="e">
        <f t="shared" si="111"/>
        <v>#N/A</v>
      </c>
      <c r="V119" s="30" t="e">
        <f t="shared" si="112"/>
        <v>#N/A</v>
      </c>
      <c r="W119" s="30" t="e">
        <f t="shared" si="113"/>
        <v>#N/A</v>
      </c>
      <c r="X119" s="30" t="e">
        <f>IF(AND($D119=1,(""&amp;loteAnalise)=(""&amp;loteCarregado),COUNTIFS(regAnalito,selAnalito,regNivel,1,regData,$C119,regRep1,"&lt;&gt;")&gt;0),SUMIFS(regRep1,regAnalito,selAnalito,regNivel,1,regData,$C119),NA())</f>
        <v>#N/A</v>
      </c>
      <c r="Y119" s="30" t="e">
        <f>IF(AND($D119=1,(""&amp;loteAnalise)=(""&amp;loteCarregado),COUNTIFS(regAnalito,selAnalito,regNivel,1,regData,$C119,regRep2,"&lt;&gt;")&gt;0),SUMIFS(regRep2,regAnalito,selAnalito,regNivel,1,regData,$C119),NA())</f>
        <v>#N/A</v>
      </c>
      <c r="Z119" s="30" t="e">
        <f>IF(AND($D119=1,(""&amp;loteAnalise)=(""&amp;loteCarregado),COUNTIFS(regAnalito,selAnalito,regNivel,1,regData,$C119,regRep3,"&lt;&gt;")&gt;0),SUMIFS(regRep3,regAnalito,selAnalito,regNivel,1,regData,$C119),NA())</f>
        <v>#N/A</v>
      </c>
      <c r="AA119" s="30" t="e">
        <f>IF(AND($D119=1,COUNTIFS(regAnalito,selAnalito,regData,$C119,regCalib,"Sim")&gt;0),$BT$1,NA())</f>
        <v>#N/A</v>
      </c>
      <c r="AB119" s="30" t="str">
        <f>IF($B119="","",IF(INDEX(engValN2,$A119)="","",INDEX(engValN2,$A119)))</f>
        <v/>
      </c>
      <c r="AC119" s="30" t="str">
        <f t="shared" si="114"/>
        <v/>
      </c>
      <c r="AD119" s="30" t="e">
        <f t="shared" si="115"/>
        <v>#N/A</v>
      </c>
      <c r="AE119" s="30" t="e">
        <f t="shared" si="116"/>
        <v>#N/A</v>
      </c>
      <c r="AF119" s="30" t="e">
        <f t="shared" si="117"/>
        <v>#N/A</v>
      </c>
      <c r="AG119" s="30">
        <f>IF($AB119="",0,IFERROR(INDEX(engDados,MATCH(selAnalito&amp;"|"&amp;$B119,engChave,0),10),0))</f>
        <v>0</v>
      </c>
      <c r="AH119" s="30">
        <f>IF($AB119="",0,IFERROR(INDEX(engDados,MATCH(selAnalito&amp;"|"&amp;$B119,engChave,0),11),0))</f>
        <v>0</v>
      </c>
      <c r="AI119" s="30">
        <f>IF($AB119="",0,IFERROR(INDEX(engDados,MATCH(selAnalito&amp;"|"&amp;$B119,engChave,0),12),0))</f>
        <v>0</v>
      </c>
      <c r="AJ119" s="30">
        <f>IF($AB119="",0,IFERROR(INDEX(engDados,MATCH(selAnalito&amp;"|"&amp;$B119,engChave,0),13),0))</f>
        <v>0</v>
      </c>
      <c r="AK119" s="30">
        <f>IF($AB119="",0,IFERROR(INDEX(engDados,MATCH(selAnalito&amp;"|"&amp;$B119,engChave,0),14),0))</f>
        <v>0</v>
      </c>
      <c r="AL119" s="30" t="str">
        <f>IF($AB119="","",IFERROR(INDEX(engDados,MATCH(selAnalito&amp;"|"&amp;$B119,engChave,0),16),""))</f>
        <v/>
      </c>
      <c r="AM119" s="30" t="e">
        <f t="shared" si="118"/>
        <v>#N/A</v>
      </c>
      <c r="AN119" s="30" t="e">
        <f t="shared" si="119"/>
        <v>#N/A</v>
      </c>
      <c r="AO119" s="30" t="e">
        <f t="shared" si="120"/>
        <v>#N/A</v>
      </c>
      <c r="AP119" s="30" t="e">
        <f t="shared" si="121"/>
        <v>#N/A</v>
      </c>
      <c r="AQ119" s="30" t="e">
        <f t="shared" si="122"/>
        <v>#N/A</v>
      </c>
      <c r="AR119" s="30" t="e">
        <f t="shared" si="123"/>
        <v>#N/A</v>
      </c>
      <c r="AS119" s="30" t="e">
        <f t="shared" si="124"/>
        <v>#N/A</v>
      </c>
      <c r="AT119" s="30" t="e">
        <f>IF(AND($D119=1,(""&amp;loteAnalise)=(""&amp;loteCarregado),COUNTIFS(regAnalito,selAnalito,regNivel,2,regData,$C119,regRep1,"&lt;&gt;")&gt;0),SUMIFS(regRep1,regAnalito,selAnalito,regNivel,2,regData,$C119),NA())</f>
        <v>#N/A</v>
      </c>
      <c r="AU119" s="30" t="e">
        <f>IF(AND($D119=1,(""&amp;loteAnalise)=(""&amp;loteCarregado),COUNTIFS(regAnalito,selAnalito,regNivel,2,regData,$C119,regRep2,"&lt;&gt;")&gt;0),SUMIFS(regRep2,regAnalito,selAnalito,regNivel,2,regData,$C119),NA())</f>
        <v>#N/A</v>
      </c>
      <c r="AV119" s="30" t="e">
        <f>IF(AND($D119=1,(""&amp;loteAnalise)=(""&amp;loteCarregado),COUNTIFS(regAnalito,selAnalito,regNivel,2,regData,$C119,regRep3,"&lt;&gt;")&gt;0),SUMIFS(regRep3,regAnalito,selAnalito,regNivel,2,regData,$C119),NA())</f>
        <v>#N/A</v>
      </c>
      <c r="AW119" s="30" t="e">
        <f>IF(AND($D119=1,COUNTIFS(regAnalito,selAnalito,regData,$C119,regCalib,"Sim")&gt;0),$BV$1,NA())</f>
        <v>#N/A</v>
      </c>
      <c r="AX119" s="30" t="str">
        <f>IF($B119="","",IF(INDEX(engValN3,$A119)="","",INDEX(engValN3,$A119)))</f>
        <v/>
      </c>
      <c r="AY119" s="30" t="str">
        <f t="shared" si="125"/>
        <v/>
      </c>
      <c r="AZ119" s="30" t="e">
        <f t="shared" si="126"/>
        <v>#N/A</v>
      </c>
      <c r="BA119" s="30" t="e">
        <f t="shared" si="127"/>
        <v>#N/A</v>
      </c>
      <c r="BB119" s="30" t="e">
        <f t="shared" si="128"/>
        <v>#N/A</v>
      </c>
      <c r="BC119" s="30">
        <f>IF($AX119="",0,IFERROR(INDEX(engDados,MATCH(selAnalito&amp;"|"&amp;$B119,engChave,0),17),0))</f>
        <v>0</v>
      </c>
      <c r="BD119" s="30">
        <f>IF($AX119="",0,IFERROR(INDEX(engDados,MATCH(selAnalito&amp;"|"&amp;$B119,engChave,0),18),0))</f>
        <v>0</v>
      </c>
      <c r="BE119" s="30">
        <f>IF($AX119="",0,IFERROR(INDEX(engDados,MATCH(selAnalito&amp;"|"&amp;$B119,engChave,0),19),0))</f>
        <v>0</v>
      </c>
      <c r="BF119" s="30">
        <f>IF($AX119="",0,IFERROR(INDEX(engDados,MATCH(selAnalito&amp;"|"&amp;$B119,engChave,0),20),0))</f>
        <v>0</v>
      </c>
      <c r="BG119" s="30">
        <f>IF($AX119="",0,IFERROR(INDEX(engDados,MATCH(selAnalito&amp;"|"&amp;$B119,engChave,0),21),0))</f>
        <v>0</v>
      </c>
      <c r="BH119" s="30" t="str">
        <f>IF($AX119="","",IFERROR(INDEX(engDados,MATCH(selAnalito&amp;"|"&amp;$B119,engChave,0),23),""))</f>
        <v/>
      </c>
      <c r="BI119" s="30" t="e">
        <f t="shared" si="129"/>
        <v>#N/A</v>
      </c>
      <c r="BJ119" s="30" t="e">
        <f t="shared" si="130"/>
        <v>#N/A</v>
      </c>
      <c r="BK119" s="30" t="e">
        <f t="shared" si="131"/>
        <v>#N/A</v>
      </c>
      <c r="BL119" s="30" t="e">
        <f t="shared" si="132"/>
        <v>#N/A</v>
      </c>
      <c r="BM119" s="30" t="e">
        <f t="shared" si="133"/>
        <v>#N/A</v>
      </c>
      <c r="BN119" s="30" t="e">
        <f t="shared" si="134"/>
        <v>#N/A</v>
      </c>
      <c r="BO119" s="30" t="e">
        <f t="shared" si="135"/>
        <v>#N/A</v>
      </c>
      <c r="BP119" s="30" t="e">
        <f>IF(AND($D119=1,(""&amp;loteAnalise)=(""&amp;loteCarregado),COUNTIFS(regAnalito,selAnalito,regNivel,3,regData,$C119,regRep1,"&lt;&gt;")&gt;0),SUMIFS(regRep1,regAnalito,selAnalito,regNivel,3,regData,$C119),NA())</f>
        <v>#N/A</v>
      </c>
      <c r="BQ119" s="30" t="e">
        <f>IF(AND($D119=1,(""&amp;loteAnalise)=(""&amp;loteCarregado),COUNTIFS(regAnalito,selAnalito,regNivel,3,regData,$C119,regRep2,"&lt;&gt;")&gt;0),SUMIFS(regRep2,regAnalito,selAnalito,regNivel,3,regData,$C119),NA())</f>
        <v>#N/A</v>
      </c>
      <c r="BR119" s="30" t="e">
        <f>IF(AND($D119=1,(""&amp;loteAnalise)=(""&amp;loteCarregado),COUNTIFS(regAnalito,selAnalito,regNivel,3,regData,$C119,regRep3,"&lt;&gt;")&gt;0),SUMIFS(regRep3,regAnalito,selAnalito,regNivel,3,regData,$C119),NA())</f>
        <v>#N/A</v>
      </c>
      <c r="BS119" s="30" t="e">
        <f>IF(AND($D119=1,COUNTIFS(regAnalito,selAnalito,regData,$C119,regCalib,"Sim")&gt;0),$BX$1,NA())</f>
        <v>#N/A</v>
      </c>
    </row>
    <row r="120" spans="1:71" x14ac:dyDescent="0.3">
      <c r="A120" s="30">
        <v>118</v>
      </c>
      <c r="B120" s="30" t="str">
        <f>IF(OR(selAnalito="",(""&amp;engAnalito)&lt;&gt;(""&amp;selAnalito),(""&amp;engLote)&lt;&gt;(""&amp;loteAnalise),$A120&gt;N(engNRun)),"",INDEX(engRUN,$A120))</f>
        <v/>
      </c>
      <c r="C120" s="43" t="str">
        <f>IF($B120="","",IF(INDEX(engData,$A120)="","",INDEX(engData,$A120)))</f>
        <v/>
      </c>
      <c r="D120" s="30">
        <f>IF($C120="",0,IF(AND(OR(filtroDe="",INT($C120)&gt;=INT(filtroDe)),OR(filtroAte="",INT($C120)&lt;=INT(filtroAte))),1,0))</f>
        <v>0</v>
      </c>
      <c r="E120" s="30" t="e">
        <f t="shared" si="102"/>
        <v>#N/A</v>
      </c>
      <c r="F120" s="30" t="str">
        <f>IF($B120="","",IF(INDEX(engValN1,$A120)="","",INDEX(engValN1,$A120)))</f>
        <v/>
      </c>
      <c r="G120" s="30" t="str">
        <f t="shared" si="103"/>
        <v/>
      </c>
      <c r="H120" s="30" t="e">
        <f t="shared" si="104"/>
        <v>#N/A</v>
      </c>
      <c r="I120" s="30" t="e">
        <f t="shared" si="105"/>
        <v>#N/A</v>
      </c>
      <c r="J120" s="30" t="e">
        <f t="shared" si="106"/>
        <v>#N/A</v>
      </c>
      <c r="K120" s="30">
        <f>IF($F120="",0,IFERROR(INDEX(engDados,MATCH(selAnalito&amp;"|"&amp;$B120,engChave,0),3),0))</f>
        <v>0</v>
      </c>
      <c r="L120" s="30">
        <f>IF($F120="",0,IFERROR(INDEX(engDados,MATCH(selAnalito&amp;"|"&amp;$B120,engChave,0),4),0))</f>
        <v>0</v>
      </c>
      <c r="M120" s="30">
        <f>IF($F120="",0,IFERROR(INDEX(engDados,MATCH(selAnalito&amp;"|"&amp;$B120,engChave,0),5),0))</f>
        <v>0</v>
      </c>
      <c r="N120" s="30">
        <f>IF($F120="",0,IFERROR(INDEX(engDados,MATCH(selAnalito&amp;"|"&amp;$B120,engChave,0),6),0))</f>
        <v>0</v>
      </c>
      <c r="O120" s="30">
        <f>IF($F120="",0,IFERROR(INDEX(engDados,MATCH(selAnalito&amp;"|"&amp;$B120,engChave,0),7),0))</f>
        <v>0</v>
      </c>
      <c r="P120" s="30" t="str">
        <f>IF($F120="","",IFERROR(INDEX(engDados,MATCH(selAnalito&amp;"|"&amp;$B120,engChave,0),9),""))</f>
        <v/>
      </c>
      <c r="Q120" s="30" t="e">
        <f t="shared" si="107"/>
        <v>#N/A</v>
      </c>
      <c r="R120" s="30" t="e">
        <f t="shared" si="108"/>
        <v>#N/A</v>
      </c>
      <c r="S120" s="30" t="e">
        <f t="shared" si="109"/>
        <v>#N/A</v>
      </c>
      <c r="T120" s="30" t="e">
        <f t="shared" si="110"/>
        <v>#N/A</v>
      </c>
      <c r="U120" s="30" t="e">
        <f t="shared" si="111"/>
        <v>#N/A</v>
      </c>
      <c r="V120" s="30" t="e">
        <f t="shared" si="112"/>
        <v>#N/A</v>
      </c>
      <c r="W120" s="30" t="e">
        <f t="shared" si="113"/>
        <v>#N/A</v>
      </c>
      <c r="X120" s="30" t="e">
        <f>IF(AND($D120=1,(""&amp;loteAnalise)=(""&amp;loteCarregado),COUNTIFS(regAnalito,selAnalito,regNivel,1,regData,$C120,regRep1,"&lt;&gt;")&gt;0),SUMIFS(regRep1,regAnalito,selAnalito,regNivel,1,regData,$C120),NA())</f>
        <v>#N/A</v>
      </c>
      <c r="Y120" s="30" t="e">
        <f>IF(AND($D120=1,(""&amp;loteAnalise)=(""&amp;loteCarregado),COUNTIFS(regAnalito,selAnalito,regNivel,1,regData,$C120,regRep2,"&lt;&gt;")&gt;0),SUMIFS(regRep2,regAnalito,selAnalito,regNivel,1,regData,$C120),NA())</f>
        <v>#N/A</v>
      </c>
      <c r="Z120" s="30" t="e">
        <f>IF(AND($D120=1,(""&amp;loteAnalise)=(""&amp;loteCarregado),COUNTIFS(regAnalito,selAnalito,regNivel,1,regData,$C120,regRep3,"&lt;&gt;")&gt;0),SUMIFS(regRep3,regAnalito,selAnalito,regNivel,1,regData,$C120),NA())</f>
        <v>#N/A</v>
      </c>
      <c r="AA120" s="30" t="e">
        <f>IF(AND($D120=1,COUNTIFS(regAnalito,selAnalito,regData,$C120,regCalib,"Sim")&gt;0),$BT$1,NA())</f>
        <v>#N/A</v>
      </c>
      <c r="AB120" s="30" t="str">
        <f>IF($B120="","",IF(INDEX(engValN2,$A120)="","",INDEX(engValN2,$A120)))</f>
        <v/>
      </c>
      <c r="AC120" s="30" t="str">
        <f t="shared" si="114"/>
        <v/>
      </c>
      <c r="AD120" s="30" t="e">
        <f t="shared" si="115"/>
        <v>#N/A</v>
      </c>
      <c r="AE120" s="30" t="e">
        <f t="shared" si="116"/>
        <v>#N/A</v>
      </c>
      <c r="AF120" s="30" t="e">
        <f t="shared" si="117"/>
        <v>#N/A</v>
      </c>
      <c r="AG120" s="30">
        <f>IF($AB120="",0,IFERROR(INDEX(engDados,MATCH(selAnalito&amp;"|"&amp;$B120,engChave,0),10),0))</f>
        <v>0</v>
      </c>
      <c r="AH120" s="30">
        <f>IF($AB120="",0,IFERROR(INDEX(engDados,MATCH(selAnalito&amp;"|"&amp;$B120,engChave,0),11),0))</f>
        <v>0</v>
      </c>
      <c r="AI120" s="30">
        <f>IF($AB120="",0,IFERROR(INDEX(engDados,MATCH(selAnalito&amp;"|"&amp;$B120,engChave,0),12),0))</f>
        <v>0</v>
      </c>
      <c r="AJ120" s="30">
        <f>IF($AB120="",0,IFERROR(INDEX(engDados,MATCH(selAnalito&amp;"|"&amp;$B120,engChave,0),13),0))</f>
        <v>0</v>
      </c>
      <c r="AK120" s="30">
        <f>IF($AB120="",0,IFERROR(INDEX(engDados,MATCH(selAnalito&amp;"|"&amp;$B120,engChave,0),14),0))</f>
        <v>0</v>
      </c>
      <c r="AL120" s="30" t="str">
        <f>IF($AB120="","",IFERROR(INDEX(engDados,MATCH(selAnalito&amp;"|"&amp;$B120,engChave,0),16),""))</f>
        <v/>
      </c>
      <c r="AM120" s="30" t="e">
        <f t="shared" si="118"/>
        <v>#N/A</v>
      </c>
      <c r="AN120" s="30" t="e">
        <f t="shared" si="119"/>
        <v>#N/A</v>
      </c>
      <c r="AO120" s="30" t="e">
        <f t="shared" si="120"/>
        <v>#N/A</v>
      </c>
      <c r="AP120" s="30" t="e">
        <f t="shared" si="121"/>
        <v>#N/A</v>
      </c>
      <c r="AQ120" s="30" t="e">
        <f t="shared" si="122"/>
        <v>#N/A</v>
      </c>
      <c r="AR120" s="30" t="e">
        <f t="shared" si="123"/>
        <v>#N/A</v>
      </c>
      <c r="AS120" s="30" t="e">
        <f t="shared" si="124"/>
        <v>#N/A</v>
      </c>
      <c r="AT120" s="30" t="e">
        <f>IF(AND($D120=1,(""&amp;loteAnalise)=(""&amp;loteCarregado),COUNTIFS(regAnalito,selAnalito,regNivel,2,regData,$C120,regRep1,"&lt;&gt;")&gt;0),SUMIFS(regRep1,regAnalito,selAnalito,regNivel,2,regData,$C120),NA())</f>
        <v>#N/A</v>
      </c>
      <c r="AU120" s="30" t="e">
        <f>IF(AND($D120=1,(""&amp;loteAnalise)=(""&amp;loteCarregado),COUNTIFS(regAnalito,selAnalito,regNivel,2,regData,$C120,regRep2,"&lt;&gt;")&gt;0),SUMIFS(regRep2,regAnalito,selAnalito,regNivel,2,regData,$C120),NA())</f>
        <v>#N/A</v>
      </c>
      <c r="AV120" s="30" t="e">
        <f>IF(AND($D120=1,(""&amp;loteAnalise)=(""&amp;loteCarregado),COUNTIFS(regAnalito,selAnalito,regNivel,2,regData,$C120,regRep3,"&lt;&gt;")&gt;0),SUMIFS(regRep3,regAnalito,selAnalito,regNivel,2,regData,$C120),NA())</f>
        <v>#N/A</v>
      </c>
      <c r="AW120" s="30" t="e">
        <f>IF(AND($D120=1,COUNTIFS(regAnalito,selAnalito,regData,$C120,regCalib,"Sim")&gt;0),$BV$1,NA())</f>
        <v>#N/A</v>
      </c>
      <c r="AX120" s="30" t="str">
        <f>IF($B120="","",IF(INDEX(engValN3,$A120)="","",INDEX(engValN3,$A120)))</f>
        <v/>
      </c>
      <c r="AY120" s="30" t="str">
        <f t="shared" si="125"/>
        <v/>
      </c>
      <c r="AZ120" s="30" t="e">
        <f t="shared" si="126"/>
        <v>#N/A</v>
      </c>
      <c r="BA120" s="30" t="e">
        <f t="shared" si="127"/>
        <v>#N/A</v>
      </c>
      <c r="BB120" s="30" t="e">
        <f t="shared" si="128"/>
        <v>#N/A</v>
      </c>
      <c r="BC120" s="30">
        <f>IF($AX120="",0,IFERROR(INDEX(engDados,MATCH(selAnalito&amp;"|"&amp;$B120,engChave,0),17),0))</f>
        <v>0</v>
      </c>
      <c r="BD120" s="30">
        <f>IF($AX120="",0,IFERROR(INDEX(engDados,MATCH(selAnalito&amp;"|"&amp;$B120,engChave,0),18),0))</f>
        <v>0</v>
      </c>
      <c r="BE120" s="30">
        <f>IF($AX120="",0,IFERROR(INDEX(engDados,MATCH(selAnalito&amp;"|"&amp;$B120,engChave,0),19),0))</f>
        <v>0</v>
      </c>
      <c r="BF120" s="30">
        <f>IF($AX120="",0,IFERROR(INDEX(engDados,MATCH(selAnalito&amp;"|"&amp;$B120,engChave,0),20),0))</f>
        <v>0</v>
      </c>
      <c r="BG120" s="30">
        <f>IF($AX120="",0,IFERROR(INDEX(engDados,MATCH(selAnalito&amp;"|"&amp;$B120,engChave,0),21),0))</f>
        <v>0</v>
      </c>
      <c r="BH120" s="30" t="str">
        <f>IF($AX120="","",IFERROR(INDEX(engDados,MATCH(selAnalito&amp;"|"&amp;$B120,engChave,0),23),""))</f>
        <v/>
      </c>
      <c r="BI120" s="30" t="e">
        <f t="shared" si="129"/>
        <v>#N/A</v>
      </c>
      <c r="BJ120" s="30" t="e">
        <f t="shared" si="130"/>
        <v>#N/A</v>
      </c>
      <c r="BK120" s="30" t="e">
        <f t="shared" si="131"/>
        <v>#N/A</v>
      </c>
      <c r="BL120" s="30" t="e">
        <f t="shared" si="132"/>
        <v>#N/A</v>
      </c>
      <c r="BM120" s="30" t="e">
        <f t="shared" si="133"/>
        <v>#N/A</v>
      </c>
      <c r="BN120" s="30" t="e">
        <f t="shared" si="134"/>
        <v>#N/A</v>
      </c>
      <c r="BO120" s="30" t="e">
        <f t="shared" si="135"/>
        <v>#N/A</v>
      </c>
      <c r="BP120" s="30" t="e">
        <f>IF(AND($D120=1,(""&amp;loteAnalise)=(""&amp;loteCarregado),COUNTIFS(regAnalito,selAnalito,regNivel,3,regData,$C120,regRep1,"&lt;&gt;")&gt;0),SUMIFS(regRep1,regAnalito,selAnalito,regNivel,3,regData,$C120),NA())</f>
        <v>#N/A</v>
      </c>
      <c r="BQ120" s="30" t="e">
        <f>IF(AND($D120=1,(""&amp;loteAnalise)=(""&amp;loteCarregado),COUNTIFS(regAnalito,selAnalito,regNivel,3,regData,$C120,regRep2,"&lt;&gt;")&gt;0),SUMIFS(regRep2,regAnalito,selAnalito,regNivel,3,regData,$C120),NA())</f>
        <v>#N/A</v>
      </c>
      <c r="BR120" s="30" t="e">
        <f>IF(AND($D120=1,(""&amp;loteAnalise)=(""&amp;loteCarregado),COUNTIFS(regAnalito,selAnalito,regNivel,3,regData,$C120,regRep3,"&lt;&gt;")&gt;0),SUMIFS(regRep3,regAnalito,selAnalito,regNivel,3,regData,$C120),NA())</f>
        <v>#N/A</v>
      </c>
      <c r="BS120" s="30" t="e">
        <f>IF(AND($D120=1,COUNTIFS(regAnalito,selAnalito,regData,$C120,regCalib,"Sim")&gt;0),$BX$1,NA())</f>
        <v>#N/A</v>
      </c>
    </row>
    <row r="121" spans="1:71" x14ac:dyDescent="0.3">
      <c r="A121" s="30">
        <v>119</v>
      </c>
      <c r="B121" s="30" t="str">
        <f>IF(OR(selAnalito="",(""&amp;engAnalito)&lt;&gt;(""&amp;selAnalito),(""&amp;engLote)&lt;&gt;(""&amp;loteAnalise),$A121&gt;N(engNRun)),"",INDEX(engRUN,$A121))</f>
        <v/>
      </c>
      <c r="C121" s="43" t="str">
        <f>IF($B121="","",IF(INDEX(engData,$A121)="","",INDEX(engData,$A121)))</f>
        <v/>
      </c>
      <c r="D121" s="30">
        <f>IF($C121="",0,IF(AND(OR(filtroDe="",INT($C121)&gt;=INT(filtroDe)),OR(filtroAte="",INT($C121)&lt;=INT(filtroAte))),1,0))</f>
        <v>0</v>
      </c>
      <c r="E121" s="30" t="e">
        <f t="shared" si="102"/>
        <v>#N/A</v>
      </c>
      <c r="F121" s="30" t="str">
        <f>IF($B121="","",IF(INDEX(engValN1,$A121)="","",INDEX(engValN1,$A121)))</f>
        <v/>
      </c>
      <c r="G121" s="30" t="str">
        <f t="shared" si="103"/>
        <v/>
      </c>
      <c r="H121" s="30" t="e">
        <f t="shared" si="104"/>
        <v>#N/A</v>
      </c>
      <c r="I121" s="30" t="e">
        <f t="shared" si="105"/>
        <v>#N/A</v>
      </c>
      <c r="J121" s="30" t="e">
        <f t="shared" si="106"/>
        <v>#N/A</v>
      </c>
      <c r="K121" s="30">
        <f>IF($F121="",0,IFERROR(INDEX(engDados,MATCH(selAnalito&amp;"|"&amp;$B121,engChave,0),3),0))</f>
        <v>0</v>
      </c>
      <c r="L121" s="30">
        <f>IF($F121="",0,IFERROR(INDEX(engDados,MATCH(selAnalito&amp;"|"&amp;$B121,engChave,0),4),0))</f>
        <v>0</v>
      </c>
      <c r="M121" s="30">
        <f>IF($F121="",0,IFERROR(INDEX(engDados,MATCH(selAnalito&amp;"|"&amp;$B121,engChave,0),5),0))</f>
        <v>0</v>
      </c>
      <c r="N121" s="30">
        <f>IF($F121="",0,IFERROR(INDEX(engDados,MATCH(selAnalito&amp;"|"&amp;$B121,engChave,0),6),0))</f>
        <v>0</v>
      </c>
      <c r="O121" s="30">
        <f>IF($F121="",0,IFERROR(INDEX(engDados,MATCH(selAnalito&amp;"|"&amp;$B121,engChave,0),7),0))</f>
        <v>0</v>
      </c>
      <c r="P121" s="30" t="str">
        <f>IF($F121="","",IFERROR(INDEX(engDados,MATCH(selAnalito&amp;"|"&amp;$B121,engChave,0),9),""))</f>
        <v/>
      </c>
      <c r="Q121" s="30" t="e">
        <f t="shared" si="107"/>
        <v>#N/A</v>
      </c>
      <c r="R121" s="30" t="e">
        <f t="shared" si="108"/>
        <v>#N/A</v>
      </c>
      <c r="S121" s="30" t="e">
        <f t="shared" si="109"/>
        <v>#N/A</v>
      </c>
      <c r="T121" s="30" t="e">
        <f t="shared" si="110"/>
        <v>#N/A</v>
      </c>
      <c r="U121" s="30" t="e">
        <f t="shared" si="111"/>
        <v>#N/A</v>
      </c>
      <c r="V121" s="30" t="e">
        <f t="shared" si="112"/>
        <v>#N/A</v>
      </c>
      <c r="W121" s="30" t="e">
        <f t="shared" si="113"/>
        <v>#N/A</v>
      </c>
      <c r="X121" s="30" t="e">
        <f>IF(AND($D121=1,(""&amp;loteAnalise)=(""&amp;loteCarregado),COUNTIFS(regAnalito,selAnalito,regNivel,1,regData,$C121,regRep1,"&lt;&gt;")&gt;0),SUMIFS(regRep1,regAnalito,selAnalito,regNivel,1,regData,$C121),NA())</f>
        <v>#N/A</v>
      </c>
      <c r="Y121" s="30" t="e">
        <f>IF(AND($D121=1,(""&amp;loteAnalise)=(""&amp;loteCarregado),COUNTIFS(regAnalito,selAnalito,regNivel,1,regData,$C121,regRep2,"&lt;&gt;")&gt;0),SUMIFS(regRep2,regAnalito,selAnalito,regNivel,1,regData,$C121),NA())</f>
        <v>#N/A</v>
      </c>
      <c r="Z121" s="30" t="e">
        <f>IF(AND($D121=1,(""&amp;loteAnalise)=(""&amp;loteCarregado),COUNTIFS(regAnalito,selAnalito,regNivel,1,regData,$C121,regRep3,"&lt;&gt;")&gt;0),SUMIFS(regRep3,regAnalito,selAnalito,regNivel,1,regData,$C121),NA())</f>
        <v>#N/A</v>
      </c>
      <c r="AA121" s="30" t="e">
        <f>IF(AND($D121=1,COUNTIFS(regAnalito,selAnalito,regData,$C121,regCalib,"Sim")&gt;0),$BT$1,NA())</f>
        <v>#N/A</v>
      </c>
      <c r="AB121" s="30" t="str">
        <f>IF($B121="","",IF(INDEX(engValN2,$A121)="","",INDEX(engValN2,$A121)))</f>
        <v/>
      </c>
      <c r="AC121" s="30" t="str">
        <f t="shared" si="114"/>
        <v/>
      </c>
      <c r="AD121" s="30" t="e">
        <f t="shared" si="115"/>
        <v>#N/A</v>
      </c>
      <c r="AE121" s="30" t="e">
        <f t="shared" si="116"/>
        <v>#N/A</v>
      </c>
      <c r="AF121" s="30" t="e">
        <f t="shared" si="117"/>
        <v>#N/A</v>
      </c>
      <c r="AG121" s="30">
        <f>IF($AB121="",0,IFERROR(INDEX(engDados,MATCH(selAnalito&amp;"|"&amp;$B121,engChave,0),10),0))</f>
        <v>0</v>
      </c>
      <c r="AH121" s="30">
        <f>IF($AB121="",0,IFERROR(INDEX(engDados,MATCH(selAnalito&amp;"|"&amp;$B121,engChave,0),11),0))</f>
        <v>0</v>
      </c>
      <c r="AI121" s="30">
        <f>IF($AB121="",0,IFERROR(INDEX(engDados,MATCH(selAnalito&amp;"|"&amp;$B121,engChave,0),12),0))</f>
        <v>0</v>
      </c>
      <c r="AJ121" s="30">
        <f>IF($AB121="",0,IFERROR(INDEX(engDados,MATCH(selAnalito&amp;"|"&amp;$B121,engChave,0),13),0))</f>
        <v>0</v>
      </c>
      <c r="AK121" s="30">
        <f>IF($AB121="",0,IFERROR(INDEX(engDados,MATCH(selAnalito&amp;"|"&amp;$B121,engChave,0),14),0))</f>
        <v>0</v>
      </c>
      <c r="AL121" s="30" t="str">
        <f>IF($AB121="","",IFERROR(INDEX(engDados,MATCH(selAnalito&amp;"|"&amp;$B121,engChave,0),16),""))</f>
        <v/>
      </c>
      <c r="AM121" s="30" t="e">
        <f t="shared" si="118"/>
        <v>#N/A</v>
      </c>
      <c r="AN121" s="30" t="e">
        <f t="shared" si="119"/>
        <v>#N/A</v>
      </c>
      <c r="AO121" s="30" t="e">
        <f t="shared" si="120"/>
        <v>#N/A</v>
      </c>
      <c r="AP121" s="30" t="e">
        <f t="shared" si="121"/>
        <v>#N/A</v>
      </c>
      <c r="AQ121" s="30" t="e">
        <f t="shared" si="122"/>
        <v>#N/A</v>
      </c>
      <c r="AR121" s="30" t="e">
        <f t="shared" si="123"/>
        <v>#N/A</v>
      </c>
      <c r="AS121" s="30" t="e">
        <f t="shared" si="124"/>
        <v>#N/A</v>
      </c>
      <c r="AT121" s="30" t="e">
        <f>IF(AND($D121=1,(""&amp;loteAnalise)=(""&amp;loteCarregado),COUNTIFS(regAnalito,selAnalito,regNivel,2,regData,$C121,regRep1,"&lt;&gt;")&gt;0),SUMIFS(regRep1,regAnalito,selAnalito,regNivel,2,regData,$C121),NA())</f>
        <v>#N/A</v>
      </c>
      <c r="AU121" s="30" t="e">
        <f>IF(AND($D121=1,(""&amp;loteAnalise)=(""&amp;loteCarregado),COUNTIFS(regAnalito,selAnalito,regNivel,2,regData,$C121,regRep2,"&lt;&gt;")&gt;0),SUMIFS(regRep2,regAnalito,selAnalito,regNivel,2,regData,$C121),NA())</f>
        <v>#N/A</v>
      </c>
      <c r="AV121" s="30" t="e">
        <f>IF(AND($D121=1,(""&amp;loteAnalise)=(""&amp;loteCarregado),COUNTIFS(regAnalito,selAnalito,regNivel,2,regData,$C121,regRep3,"&lt;&gt;")&gt;0),SUMIFS(regRep3,regAnalito,selAnalito,regNivel,2,regData,$C121),NA())</f>
        <v>#N/A</v>
      </c>
      <c r="AW121" s="30" t="e">
        <f>IF(AND($D121=1,COUNTIFS(regAnalito,selAnalito,regData,$C121,regCalib,"Sim")&gt;0),$BV$1,NA())</f>
        <v>#N/A</v>
      </c>
      <c r="AX121" s="30" t="str">
        <f>IF($B121="","",IF(INDEX(engValN3,$A121)="","",INDEX(engValN3,$A121)))</f>
        <v/>
      </c>
      <c r="AY121" s="30" t="str">
        <f t="shared" si="125"/>
        <v/>
      </c>
      <c r="AZ121" s="30" t="e">
        <f t="shared" si="126"/>
        <v>#N/A</v>
      </c>
      <c r="BA121" s="30" t="e">
        <f t="shared" si="127"/>
        <v>#N/A</v>
      </c>
      <c r="BB121" s="30" t="e">
        <f t="shared" si="128"/>
        <v>#N/A</v>
      </c>
      <c r="BC121" s="30">
        <f>IF($AX121="",0,IFERROR(INDEX(engDados,MATCH(selAnalito&amp;"|"&amp;$B121,engChave,0),17),0))</f>
        <v>0</v>
      </c>
      <c r="BD121" s="30">
        <f>IF($AX121="",0,IFERROR(INDEX(engDados,MATCH(selAnalito&amp;"|"&amp;$B121,engChave,0),18),0))</f>
        <v>0</v>
      </c>
      <c r="BE121" s="30">
        <f>IF($AX121="",0,IFERROR(INDEX(engDados,MATCH(selAnalito&amp;"|"&amp;$B121,engChave,0),19),0))</f>
        <v>0</v>
      </c>
      <c r="BF121" s="30">
        <f>IF($AX121="",0,IFERROR(INDEX(engDados,MATCH(selAnalito&amp;"|"&amp;$B121,engChave,0),20),0))</f>
        <v>0</v>
      </c>
      <c r="BG121" s="30">
        <f>IF($AX121="",0,IFERROR(INDEX(engDados,MATCH(selAnalito&amp;"|"&amp;$B121,engChave,0),21),0))</f>
        <v>0</v>
      </c>
      <c r="BH121" s="30" t="str">
        <f>IF($AX121="","",IFERROR(INDEX(engDados,MATCH(selAnalito&amp;"|"&amp;$B121,engChave,0),23),""))</f>
        <v/>
      </c>
      <c r="BI121" s="30" t="e">
        <f t="shared" si="129"/>
        <v>#N/A</v>
      </c>
      <c r="BJ121" s="30" t="e">
        <f t="shared" si="130"/>
        <v>#N/A</v>
      </c>
      <c r="BK121" s="30" t="e">
        <f t="shared" si="131"/>
        <v>#N/A</v>
      </c>
      <c r="BL121" s="30" t="e">
        <f t="shared" si="132"/>
        <v>#N/A</v>
      </c>
      <c r="BM121" s="30" t="e">
        <f t="shared" si="133"/>
        <v>#N/A</v>
      </c>
      <c r="BN121" s="30" t="e">
        <f t="shared" si="134"/>
        <v>#N/A</v>
      </c>
      <c r="BO121" s="30" t="e">
        <f t="shared" si="135"/>
        <v>#N/A</v>
      </c>
      <c r="BP121" s="30" t="e">
        <f>IF(AND($D121=1,(""&amp;loteAnalise)=(""&amp;loteCarregado),COUNTIFS(regAnalito,selAnalito,regNivel,3,regData,$C121,regRep1,"&lt;&gt;")&gt;0),SUMIFS(regRep1,regAnalito,selAnalito,regNivel,3,regData,$C121),NA())</f>
        <v>#N/A</v>
      </c>
      <c r="BQ121" s="30" t="e">
        <f>IF(AND($D121=1,(""&amp;loteAnalise)=(""&amp;loteCarregado),COUNTIFS(regAnalito,selAnalito,regNivel,3,regData,$C121,regRep2,"&lt;&gt;")&gt;0),SUMIFS(regRep2,regAnalito,selAnalito,regNivel,3,regData,$C121),NA())</f>
        <v>#N/A</v>
      </c>
      <c r="BR121" s="30" t="e">
        <f>IF(AND($D121=1,(""&amp;loteAnalise)=(""&amp;loteCarregado),COUNTIFS(regAnalito,selAnalito,regNivel,3,regData,$C121,regRep3,"&lt;&gt;")&gt;0),SUMIFS(regRep3,regAnalito,selAnalito,regNivel,3,regData,$C121),NA())</f>
        <v>#N/A</v>
      </c>
      <c r="BS121" s="30" t="e">
        <f>IF(AND($D121=1,COUNTIFS(regAnalito,selAnalito,regData,$C121,regCalib,"Sim")&gt;0),$BX$1,NA())</f>
        <v>#N/A</v>
      </c>
    </row>
    <row r="122" spans="1:71" x14ac:dyDescent="0.3">
      <c r="A122" s="30">
        <v>120</v>
      </c>
      <c r="B122" s="30" t="str">
        <f>IF(OR(selAnalito="",(""&amp;engAnalito)&lt;&gt;(""&amp;selAnalito),(""&amp;engLote)&lt;&gt;(""&amp;loteAnalise),$A122&gt;N(engNRun)),"",INDEX(engRUN,$A122))</f>
        <v/>
      </c>
      <c r="C122" s="43" t="str">
        <f>IF($B122="","",IF(INDEX(engData,$A122)="","",INDEX(engData,$A122)))</f>
        <v/>
      </c>
      <c r="D122" s="30">
        <f>IF($C122="",0,IF(AND(OR(filtroDe="",INT($C122)&gt;=INT(filtroDe)),OR(filtroAte="",INT($C122)&lt;=INT(filtroAte))),1,0))</f>
        <v>0</v>
      </c>
      <c r="E122" s="30" t="e">
        <f t="shared" si="102"/>
        <v>#N/A</v>
      </c>
      <c r="F122" s="30" t="str">
        <f>IF($B122="","",IF(INDEX(engValN1,$A122)="","",INDEX(engValN1,$A122)))</f>
        <v/>
      </c>
      <c r="G122" s="30" t="str">
        <f t="shared" si="103"/>
        <v/>
      </c>
      <c r="H122" s="30" t="e">
        <f t="shared" si="104"/>
        <v>#N/A</v>
      </c>
      <c r="I122" s="30" t="e">
        <f t="shared" si="105"/>
        <v>#N/A</v>
      </c>
      <c r="J122" s="30" t="e">
        <f t="shared" si="106"/>
        <v>#N/A</v>
      </c>
      <c r="K122" s="30">
        <f>IF($F122="",0,IFERROR(INDEX(engDados,MATCH(selAnalito&amp;"|"&amp;$B122,engChave,0),3),0))</f>
        <v>0</v>
      </c>
      <c r="L122" s="30">
        <f>IF($F122="",0,IFERROR(INDEX(engDados,MATCH(selAnalito&amp;"|"&amp;$B122,engChave,0),4),0))</f>
        <v>0</v>
      </c>
      <c r="M122" s="30">
        <f>IF($F122="",0,IFERROR(INDEX(engDados,MATCH(selAnalito&amp;"|"&amp;$B122,engChave,0),5),0))</f>
        <v>0</v>
      </c>
      <c r="N122" s="30">
        <f>IF($F122="",0,IFERROR(INDEX(engDados,MATCH(selAnalito&amp;"|"&amp;$B122,engChave,0),6),0))</f>
        <v>0</v>
      </c>
      <c r="O122" s="30">
        <f>IF($F122="",0,IFERROR(INDEX(engDados,MATCH(selAnalito&amp;"|"&amp;$B122,engChave,0),7),0))</f>
        <v>0</v>
      </c>
      <c r="P122" s="30" t="str">
        <f>IF($F122="","",IFERROR(INDEX(engDados,MATCH(selAnalito&amp;"|"&amp;$B122,engChave,0),9),""))</f>
        <v/>
      </c>
      <c r="Q122" s="30" t="e">
        <f t="shared" si="107"/>
        <v>#N/A</v>
      </c>
      <c r="R122" s="30" t="e">
        <f t="shared" si="108"/>
        <v>#N/A</v>
      </c>
      <c r="S122" s="30" t="e">
        <f t="shared" si="109"/>
        <v>#N/A</v>
      </c>
      <c r="T122" s="30" t="e">
        <f t="shared" si="110"/>
        <v>#N/A</v>
      </c>
      <c r="U122" s="30" t="e">
        <f t="shared" si="111"/>
        <v>#N/A</v>
      </c>
      <c r="V122" s="30" t="e">
        <f t="shared" si="112"/>
        <v>#N/A</v>
      </c>
      <c r="W122" s="30" t="e">
        <f t="shared" si="113"/>
        <v>#N/A</v>
      </c>
      <c r="X122" s="30" t="e">
        <f>IF(AND($D122=1,(""&amp;loteAnalise)=(""&amp;loteCarregado),COUNTIFS(regAnalito,selAnalito,regNivel,1,regData,$C122,regRep1,"&lt;&gt;")&gt;0),SUMIFS(regRep1,regAnalito,selAnalito,regNivel,1,regData,$C122),NA())</f>
        <v>#N/A</v>
      </c>
      <c r="Y122" s="30" t="e">
        <f>IF(AND($D122=1,(""&amp;loteAnalise)=(""&amp;loteCarregado),COUNTIFS(regAnalito,selAnalito,regNivel,1,regData,$C122,regRep2,"&lt;&gt;")&gt;0),SUMIFS(regRep2,regAnalito,selAnalito,regNivel,1,regData,$C122),NA())</f>
        <v>#N/A</v>
      </c>
      <c r="Z122" s="30" t="e">
        <f>IF(AND($D122=1,(""&amp;loteAnalise)=(""&amp;loteCarregado),COUNTIFS(regAnalito,selAnalito,regNivel,1,regData,$C122,regRep3,"&lt;&gt;")&gt;0),SUMIFS(regRep3,regAnalito,selAnalito,regNivel,1,regData,$C122),NA())</f>
        <v>#N/A</v>
      </c>
      <c r="AA122" s="30" t="e">
        <f>IF(AND($D122=1,COUNTIFS(regAnalito,selAnalito,regData,$C122,regCalib,"Sim")&gt;0),$BT$1,NA())</f>
        <v>#N/A</v>
      </c>
      <c r="AB122" s="30" t="str">
        <f>IF($B122="","",IF(INDEX(engValN2,$A122)="","",INDEX(engValN2,$A122)))</f>
        <v/>
      </c>
      <c r="AC122" s="30" t="str">
        <f t="shared" si="114"/>
        <v/>
      </c>
      <c r="AD122" s="30" t="e">
        <f t="shared" si="115"/>
        <v>#N/A</v>
      </c>
      <c r="AE122" s="30" t="e">
        <f t="shared" si="116"/>
        <v>#N/A</v>
      </c>
      <c r="AF122" s="30" t="e">
        <f t="shared" si="117"/>
        <v>#N/A</v>
      </c>
      <c r="AG122" s="30">
        <f>IF($AB122="",0,IFERROR(INDEX(engDados,MATCH(selAnalito&amp;"|"&amp;$B122,engChave,0),10),0))</f>
        <v>0</v>
      </c>
      <c r="AH122" s="30">
        <f>IF($AB122="",0,IFERROR(INDEX(engDados,MATCH(selAnalito&amp;"|"&amp;$B122,engChave,0),11),0))</f>
        <v>0</v>
      </c>
      <c r="AI122" s="30">
        <f>IF($AB122="",0,IFERROR(INDEX(engDados,MATCH(selAnalito&amp;"|"&amp;$B122,engChave,0),12),0))</f>
        <v>0</v>
      </c>
      <c r="AJ122" s="30">
        <f>IF($AB122="",0,IFERROR(INDEX(engDados,MATCH(selAnalito&amp;"|"&amp;$B122,engChave,0),13),0))</f>
        <v>0</v>
      </c>
      <c r="AK122" s="30">
        <f>IF($AB122="",0,IFERROR(INDEX(engDados,MATCH(selAnalito&amp;"|"&amp;$B122,engChave,0),14),0))</f>
        <v>0</v>
      </c>
      <c r="AL122" s="30" t="str">
        <f>IF($AB122="","",IFERROR(INDEX(engDados,MATCH(selAnalito&amp;"|"&amp;$B122,engChave,0),16),""))</f>
        <v/>
      </c>
      <c r="AM122" s="30" t="e">
        <f t="shared" si="118"/>
        <v>#N/A</v>
      </c>
      <c r="AN122" s="30" t="e">
        <f t="shared" si="119"/>
        <v>#N/A</v>
      </c>
      <c r="AO122" s="30" t="e">
        <f t="shared" si="120"/>
        <v>#N/A</v>
      </c>
      <c r="AP122" s="30" t="e">
        <f t="shared" si="121"/>
        <v>#N/A</v>
      </c>
      <c r="AQ122" s="30" t="e">
        <f t="shared" si="122"/>
        <v>#N/A</v>
      </c>
      <c r="AR122" s="30" t="e">
        <f t="shared" si="123"/>
        <v>#N/A</v>
      </c>
      <c r="AS122" s="30" t="e">
        <f t="shared" si="124"/>
        <v>#N/A</v>
      </c>
      <c r="AT122" s="30" t="e">
        <f>IF(AND($D122=1,(""&amp;loteAnalise)=(""&amp;loteCarregado),COUNTIFS(regAnalito,selAnalito,regNivel,2,regData,$C122,regRep1,"&lt;&gt;")&gt;0),SUMIFS(regRep1,regAnalito,selAnalito,regNivel,2,regData,$C122),NA())</f>
        <v>#N/A</v>
      </c>
      <c r="AU122" s="30" t="e">
        <f>IF(AND($D122=1,(""&amp;loteAnalise)=(""&amp;loteCarregado),COUNTIFS(regAnalito,selAnalito,regNivel,2,regData,$C122,regRep2,"&lt;&gt;")&gt;0),SUMIFS(regRep2,regAnalito,selAnalito,regNivel,2,regData,$C122),NA())</f>
        <v>#N/A</v>
      </c>
      <c r="AV122" s="30" t="e">
        <f>IF(AND($D122=1,(""&amp;loteAnalise)=(""&amp;loteCarregado),COUNTIFS(regAnalito,selAnalito,regNivel,2,regData,$C122,regRep3,"&lt;&gt;")&gt;0),SUMIFS(regRep3,regAnalito,selAnalito,regNivel,2,regData,$C122),NA())</f>
        <v>#N/A</v>
      </c>
      <c r="AW122" s="30" t="e">
        <f>IF(AND($D122=1,COUNTIFS(regAnalito,selAnalito,regData,$C122,regCalib,"Sim")&gt;0),$BV$1,NA())</f>
        <v>#N/A</v>
      </c>
      <c r="AX122" s="30" t="str">
        <f>IF($B122="","",IF(INDEX(engValN3,$A122)="","",INDEX(engValN3,$A122)))</f>
        <v/>
      </c>
      <c r="AY122" s="30" t="str">
        <f t="shared" si="125"/>
        <v/>
      </c>
      <c r="AZ122" s="30" t="e">
        <f t="shared" si="126"/>
        <v>#N/A</v>
      </c>
      <c r="BA122" s="30" t="e">
        <f t="shared" si="127"/>
        <v>#N/A</v>
      </c>
      <c r="BB122" s="30" t="e">
        <f t="shared" si="128"/>
        <v>#N/A</v>
      </c>
      <c r="BC122" s="30">
        <f>IF($AX122="",0,IFERROR(INDEX(engDados,MATCH(selAnalito&amp;"|"&amp;$B122,engChave,0),17),0))</f>
        <v>0</v>
      </c>
      <c r="BD122" s="30">
        <f>IF($AX122="",0,IFERROR(INDEX(engDados,MATCH(selAnalito&amp;"|"&amp;$B122,engChave,0),18),0))</f>
        <v>0</v>
      </c>
      <c r="BE122" s="30">
        <f>IF($AX122="",0,IFERROR(INDEX(engDados,MATCH(selAnalito&amp;"|"&amp;$B122,engChave,0),19),0))</f>
        <v>0</v>
      </c>
      <c r="BF122" s="30">
        <f>IF($AX122="",0,IFERROR(INDEX(engDados,MATCH(selAnalito&amp;"|"&amp;$B122,engChave,0),20),0))</f>
        <v>0</v>
      </c>
      <c r="BG122" s="30">
        <f>IF($AX122="",0,IFERROR(INDEX(engDados,MATCH(selAnalito&amp;"|"&amp;$B122,engChave,0),21),0))</f>
        <v>0</v>
      </c>
      <c r="BH122" s="30" t="str">
        <f>IF($AX122="","",IFERROR(INDEX(engDados,MATCH(selAnalito&amp;"|"&amp;$B122,engChave,0),23),""))</f>
        <v/>
      </c>
      <c r="BI122" s="30" t="e">
        <f t="shared" si="129"/>
        <v>#N/A</v>
      </c>
      <c r="BJ122" s="30" t="e">
        <f t="shared" si="130"/>
        <v>#N/A</v>
      </c>
      <c r="BK122" s="30" t="e">
        <f t="shared" si="131"/>
        <v>#N/A</v>
      </c>
      <c r="BL122" s="30" t="e">
        <f t="shared" si="132"/>
        <v>#N/A</v>
      </c>
      <c r="BM122" s="30" t="e">
        <f t="shared" si="133"/>
        <v>#N/A</v>
      </c>
      <c r="BN122" s="30" t="e">
        <f t="shared" si="134"/>
        <v>#N/A</v>
      </c>
      <c r="BO122" s="30" t="e">
        <f t="shared" si="135"/>
        <v>#N/A</v>
      </c>
      <c r="BP122" s="30" t="e">
        <f>IF(AND($D122=1,(""&amp;loteAnalise)=(""&amp;loteCarregado),COUNTIFS(regAnalito,selAnalito,regNivel,3,regData,$C122,regRep1,"&lt;&gt;")&gt;0),SUMIFS(regRep1,regAnalito,selAnalito,regNivel,3,regData,$C122),NA())</f>
        <v>#N/A</v>
      </c>
      <c r="BQ122" s="30" t="e">
        <f>IF(AND($D122=1,(""&amp;loteAnalise)=(""&amp;loteCarregado),COUNTIFS(regAnalito,selAnalito,regNivel,3,regData,$C122,regRep2,"&lt;&gt;")&gt;0),SUMIFS(regRep2,regAnalito,selAnalito,regNivel,3,regData,$C122),NA())</f>
        <v>#N/A</v>
      </c>
      <c r="BR122" s="30" t="e">
        <f>IF(AND($D122=1,(""&amp;loteAnalise)=(""&amp;loteCarregado),COUNTIFS(regAnalito,selAnalito,regNivel,3,regData,$C122,regRep3,"&lt;&gt;")&gt;0),SUMIFS(regRep3,regAnalito,selAnalito,regNivel,3,regData,$C122),NA())</f>
        <v>#N/A</v>
      </c>
      <c r="BS122" s="30" t="e">
        <f>IF(AND($D122=1,COUNTIFS(regAnalito,selAnalito,regData,$C122,regCalib,"Sim")&gt;0),$BX$1,NA())</f>
        <v>#N/A</v>
      </c>
    </row>
    <row r="123" spans="1:71" x14ac:dyDescent="0.3">
      <c r="A123" s="30">
        <v>121</v>
      </c>
      <c r="B123" s="30" t="str">
        <f>IF(OR(selAnalito="",(""&amp;engAnalito)&lt;&gt;(""&amp;selAnalito),(""&amp;engLote)&lt;&gt;(""&amp;loteAnalise),$A123&gt;N(engNRun)),"",INDEX(engRUN,$A123))</f>
        <v/>
      </c>
      <c r="C123" s="43" t="str">
        <f>IF($B123="","",IF(INDEX(engData,$A123)="","",INDEX(engData,$A123)))</f>
        <v/>
      </c>
      <c r="D123" s="30">
        <f>IF($C123="",0,IF(AND(OR(filtroDe="",INT($C123)&gt;=INT(filtroDe)),OR(filtroAte="",INT($C123)&lt;=INT(filtroAte))),1,0))</f>
        <v>0</v>
      </c>
      <c r="E123" s="30" t="e">
        <f t="shared" si="102"/>
        <v>#N/A</v>
      </c>
      <c r="F123" s="30" t="str">
        <f>IF($B123="","",IF(INDEX(engValN1,$A123)="","",INDEX(engValN1,$A123)))</f>
        <v/>
      </c>
      <c r="G123" s="30" t="str">
        <f t="shared" si="103"/>
        <v/>
      </c>
      <c r="H123" s="30" t="e">
        <f t="shared" si="104"/>
        <v>#N/A</v>
      </c>
      <c r="I123" s="30" t="e">
        <f t="shared" si="105"/>
        <v>#N/A</v>
      </c>
      <c r="J123" s="30" t="e">
        <f t="shared" si="106"/>
        <v>#N/A</v>
      </c>
      <c r="K123" s="30">
        <f>IF($F123="",0,IFERROR(INDEX(engDados,MATCH(selAnalito&amp;"|"&amp;$B123,engChave,0),3),0))</f>
        <v>0</v>
      </c>
      <c r="L123" s="30">
        <f>IF($F123="",0,IFERROR(INDEX(engDados,MATCH(selAnalito&amp;"|"&amp;$B123,engChave,0),4),0))</f>
        <v>0</v>
      </c>
      <c r="M123" s="30">
        <f>IF($F123="",0,IFERROR(INDEX(engDados,MATCH(selAnalito&amp;"|"&amp;$B123,engChave,0),5),0))</f>
        <v>0</v>
      </c>
      <c r="N123" s="30">
        <f>IF($F123="",0,IFERROR(INDEX(engDados,MATCH(selAnalito&amp;"|"&amp;$B123,engChave,0),6),0))</f>
        <v>0</v>
      </c>
      <c r="O123" s="30">
        <f>IF($F123="",0,IFERROR(INDEX(engDados,MATCH(selAnalito&amp;"|"&amp;$B123,engChave,0),7),0))</f>
        <v>0</v>
      </c>
      <c r="P123" s="30" t="str">
        <f>IF($F123="","",IFERROR(INDEX(engDados,MATCH(selAnalito&amp;"|"&amp;$B123,engChave,0),9),""))</f>
        <v/>
      </c>
      <c r="Q123" s="30" t="e">
        <f t="shared" si="107"/>
        <v>#N/A</v>
      </c>
      <c r="R123" s="30" t="e">
        <f t="shared" si="108"/>
        <v>#N/A</v>
      </c>
      <c r="S123" s="30" t="e">
        <f t="shared" si="109"/>
        <v>#N/A</v>
      </c>
      <c r="T123" s="30" t="e">
        <f t="shared" si="110"/>
        <v>#N/A</v>
      </c>
      <c r="U123" s="30" t="e">
        <f t="shared" si="111"/>
        <v>#N/A</v>
      </c>
      <c r="V123" s="30" t="e">
        <f t="shared" si="112"/>
        <v>#N/A</v>
      </c>
      <c r="W123" s="30" t="e">
        <f t="shared" si="113"/>
        <v>#N/A</v>
      </c>
      <c r="X123" s="30" t="e">
        <f>IF(AND($D123=1,(""&amp;loteAnalise)=(""&amp;loteCarregado),COUNTIFS(regAnalito,selAnalito,regNivel,1,regData,$C123,regRep1,"&lt;&gt;")&gt;0),SUMIFS(regRep1,regAnalito,selAnalito,regNivel,1,regData,$C123),NA())</f>
        <v>#N/A</v>
      </c>
      <c r="Y123" s="30" t="e">
        <f>IF(AND($D123=1,(""&amp;loteAnalise)=(""&amp;loteCarregado),COUNTIFS(regAnalito,selAnalito,regNivel,1,regData,$C123,regRep2,"&lt;&gt;")&gt;0),SUMIFS(regRep2,regAnalito,selAnalito,regNivel,1,regData,$C123),NA())</f>
        <v>#N/A</v>
      </c>
      <c r="Z123" s="30" t="e">
        <f>IF(AND($D123=1,(""&amp;loteAnalise)=(""&amp;loteCarregado),COUNTIFS(regAnalito,selAnalito,regNivel,1,regData,$C123,regRep3,"&lt;&gt;")&gt;0),SUMIFS(regRep3,regAnalito,selAnalito,regNivel,1,regData,$C123),NA())</f>
        <v>#N/A</v>
      </c>
      <c r="AA123" s="30" t="e">
        <f>IF(AND($D123=1,COUNTIFS(regAnalito,selAnalito,regData,$C123,regCalib,"Sim")&gt;0),$BT$1,NA())</f>
        <v>#N/A</v>
      </c>
      <c r="AB123" s="30" t="str">
        <f>IF($B123="","",IF(INDEX(engValN2,$A123)="","",INDEX(engValN2,$A123)))</f>
        <v/>
      </c>
      <c r="AC123" s="30" t="str">
        <f t="shared" si="114"/>
        <v/>
      </c>
      <c r="AD123" s="30" t="e">
        <f t="shared" si="115"/>
        <v>#N/A</v>
      </c>
      <c r="AE123" s="30" t="e">
        <f t="shared" si="116"/>
        <v>#N/A</v>
      </c>
      <c r="AF123" s="30" t="e">
        <f t="shared" si="117"/>
        <v>#N/A</v>
      </c>
      <c r="AG123" s="30">
        <f>IF($AB123="",0,IFERROR(INDEX(engDados,MATCH(selAnalito&amp;"|"&amp;$B123,engChave,0),10),0))</f>
        <v>0</v>
      </c>
      <c r="AH123" s="30">
        <f>IF($AB123="",0,IFERROR(INDEX(engDados,MATCH(selAnalito&amp;"|"&amp;$B123,engChave,0),11),0))</f>
        <v>0</v>
      </c>
      <c r="AI123" s="30">
        <f>IF($AB123="",0,IFERROR(INDEX(engDados,MATCH(selAnalito&amp;"|"&amp;$B123,engChave,0),12),0))</f>
        <v>0</v>
      </c>
      <c r="AJ123" s="30">
        <f>IF($AB123="",0,IFERROR(INDEX(engDados,MATCH(selAnalito&amp;"|"&amp;$B123,engChave,0),13),0))</f>
        <v>0</v>
      </c>
      <c r="AK123" s="30">
        <f>IF($AB123="",0,IFERROR(INDEX(engDados,MATCH(selAnalito&amp;"|"&amp;$B123,engChave,0),14),0))</f>
        <v>0</v>
      </c>
      <c r="AL123" s="30" t="str">
        <f>IF($AB123="","",IFERROR(INDEX(engDados,MATCH(selAnalito&amp;"|"&amp;$B123,engChave,0),16),""))</f>
        <v/>
      </c>
      <c r="AM123" s="30" t="e">
        <f t="shared" si="118"/>
        <v>#N/A</v>
      </c>
      <c r="AN123" s="30" t="e">
        <f t="shared" si="119"/>
        <v>#N/A</v>
      </c>
      <c r="AO123" s="30" t="e">
        <f t="shared" si="120"/>
        <v>#N/A</v>
      </c>
      <c r="AP123" s="30" t="e">
        <f t="shared" si="121"/>
        <v>#N/A</v>
      </c>
      <c r="AQ123" s="30" t="e">
        <f t="shared" si="122"/>
        <v>#N/A</v>
      </c>
      <c r="AR123" s="30" t="e">
        <f t="shared" si="123"/>
        <v>#N/A</v>
      </c>
      <c r="AS123" s="30" t="e">
        <f t="shared" si="124"/>
        <v>#N/A</v>
      </c>
      <c r="AT123" s="30" t="e">
        <f>IF(AND($D123=1,(""&amp;loteAnalise)=(""&amp;loteCarregado),COUNTIFS(regAnalito,selAnalito,regNivel,2,regData,$C123,regRep1,"&lt;&gt;")&gt;0),SUMIFS(regRep1,regAnalito,selAnalito,regNivel,2,regData,$C123),NA())</f>
        <v>#N/A</v>
      </c>
      <c r="AU123" s="30" t="e">
        <f>IF(AND($D123=1,(""&amp;loteAnalise)=(""&amp;loteCarregado),COUNTIFS(regAnalito,selAnalito,regNivel,2,regData,$C123,regRep2,"&lt;&gt;")&gt;0),SUMIFS(regRep2,regAnalito,selAnalito,regNivel,2,regData,$C123),NA())</f>
        <v>#N/A</v>
      </c>
      <c r="AV123" s="30" t="e">
        <f>IF(AND($D123=1,(""&amp;loteAnalise)=(""&amp;loteCarregado),COUNTIFS(regAnalito,selAnalito,regNivel,2,regData,$C123,regRep3,"&lt;&gt;")&gt;0),SUMIFS(regRep3,regAnalito,selAnalito,regNivel,2,regData,$C123),NA())</f>
        <v>#N/A</v>
      </c>
      <c r="AW123" s="30" t="e">
        <f>IF(AND($D123=1,COUNTIFS(regAnalito,selAnalito,regData,$C123,regCalib,"Sim")&gt;0),$BV$1,NA())</f>
        <v>#N/A</v>
      </c>
      <c r="AX123" s="30" t="str">
        <f>IF($B123="","",IF(INDEX(engValN3,$A123)="","",INDEX(engValN3,$A123)))</f>
        <v/>
      </c>
      <c r="AY123" s="30" t="str">
        <f t="shared" si="125"/>
        <v/>
      </c>
      <c r="AZ123" s="30" t="e">
        <f t="shared" si="126"/>
        <v>#N/A</v>
      </c>
      <c r="BA123" s="30" t="e">
        <f t="shared" si="127"/>
        <v>#N/A</v>
      </c>
      <c r="BB123" s="30" t="e">
        <f t="shared" si="128"/>
        <v>#N/A</v>
      </c>
      <c r="BC123" s="30">
        <f>IF($AX123="",0,IFERROR(INDEX(engDados,MATCH(selAnalito&amp;"|"&amp;$B123,engChave,0),17),0))</f>
        <v>0</v>
      </c>
      <c r="BD123" s="30">
        <f>IF($AX123="",0,IFERROR(INDEX(engDados,MATCH(selAnalito&amp;"|"&amp;$B123,engChave,0),18),0))</f>
        <v>0</v>
      </c>
      <c r="BE123" s="30">
        <f>IF($AX123="",0,IFERROR(INDEX(engDados,MATCH(selAnalito&amp;"|"&amp;$B123,engChave,0),19),0))</f>
        <v>0</v>
      </c>
      <c r="BF123" s="30">
        <f>IF($AX123="",0,IFERROR(INDEX(engDados,MATCH(selAnalito&amp;"|"&amp;$B123,engChave,0),20),0))</f>
        <v>0</v>
      </c>
      <c r="BG123" s="30">
        <f>IF($AX123="",0,IFERROR(INDEX(engDados,MATCH(selAnalito&amp;"|"&amp;$B123,engChave,0),21),0))</f>
        <v>0</v>
      </c>
      <c r="BH123" s="30" t="str">
        <f>IF($AX123="","",IFERROR(INDEX(engDados,MATCH(selAnalito&amp;"|"&amp;$B123,engChave,0),23),""))</f>
        <v/>
      </c>
      <c r="BI123" s="30" t="e">
        <f t="shared" si="129"/>
        <v>#N/A</v>
      </c>
      <c r="BJ123" s="30" t="e">
        <f t="shared" si="130"/>
        <v>#N/A</v>
      </c>
      <c r="BK123" s="30" t="e">
        <f t="shared" si="131"/>
        <v>#N/A</v>
      </c>
      <c r="BL123" s="30" t="e">
        <f t="shared" si="132"/>
        <v>#N/A</v>
      </c>
      <c r="BM123" s="30" t="e">
        <f t="shared" si="133"/>
        <v>#N/A</v>
      </c>
      <c r="BN123" s="30" t="e">
        <f t="shared" si="134"/>
        <v>#N/A</v>
      </c>
      <c r="BO123" s="30" t="e">
        <f t="shared" si="135"/>
        <v>#N/A</v>
      </c>
      <c r="BP123" s="30" t="e">
        <f>IF(AND($D123=1,(""&amp;loteAnalise)=(""&amp;loteCarregado),COUNTIFS(regAnalito,selAnalito,regNivel,3,regData,$C123,regRep1,"&lt;&gt;")&gt;0),SUMIFS(regRep1,regAnalito,selAnalito,regNivel,3,regData,$C123),NA())</f>
        <v>#N/A</v>
      </c>
      <c r="BQ123" s="30" t="e">
        <f>IF(AND($D123=1,(""&amp;loteAnalise)=(""&amp;loteCarregado),COUNTIFS(regAnalito,selAnalito,regNivel,3,regData,$C123,regRep2,"&lt;&gt;")&gt;0),SUMIFS(regRep2,regAnalito,selAnalito,regNivel,3,regData,$C123),NA())</f>
        <v>#N/A</v>
      </c>
      <c r="BR123" s="30" t="e">
        <f>IF(AND($D123=1,(""&amp;loteAnalise)=(""&amp;loteCarregado),COUNTIFS(regAnalito,selAnalito,regNivel,3,regData,$C123,regRep3,"&lt;&gt;")&gt;0),SUMIFS(regRep3,regAnalito,selAnalito,regNivel,3,regData,$C123),NA())</f>
        <v>#N/A</v>
      </c>
      <c r="BS123" s="30" t="e">
        <f>IF(AND($D123=1,COUNTIFS(regAnalito,selAnalito,regData,$C123,regCalib,"Sim")&gt;0),$BX$1,NA())</f>
        <v>#N/A</v>
      </c>
    </row>
    <row r="124" spans="1:71" x14ac:dyDescent="0.3">
      <c r="A124" s="30">
        <v>122</v>
      </c>
      <c r="B124" s="30" t="str">
        <f>IF(OR(selAnalito="",(""&amp;engAnalito)&lt;&gt;(""&amp;selAnalito),(""&amp;engLote)&lt;&gt;(""&amp;loteAnalise),$A124&gt;N(engNRun)),"",INDEX(engRUN,$A124))</f>
        <v/>
      </c>
      <c r="C124" s="43" t="str">
        <f>IF($B124="","",IF(INDEX(engData,$A124)="","",INDEX(engData,$A124)))</f>
        <v/>
      </c>
      <c r="D124" s="30">
        <f>IF($C124="",0,IF(AND(OR(filtroDe="",INT($C124)&gt;=INT(filtroDe)),OR(filtroAte="",INT($C124)&lt;=INT(filtroAte))),1,0))</f>
        <v>0</v>
      </c>
      <c r="E124" s="30" t="e">
        <f t="shared" si="102"/>
        <v>#N/A</v>
      </c>
      <c r="F124" s="30" t="str">
        <f>IF($B124="","",IF(INDEX(engValN1,$A124)="","",INDEX(engValN1,$A124)))</f>
        <v/>
      </c>
      <c r="G124" s="30" t="str">
        <f t="shared" si="103"/>
        <v/>
      </c>
      <c r="H124" s="30" t="e">
        <f t="shared" si="104"/>
        <v>#N/A</v>
      </c>
      <c r="I124" s="30" t="e">
        <f t="shared" si="105"/>
        <v>#N/A</v>
      </c>
      <c r="J124" s="30" t="e">
        <f t="shared" si="106"/>
        <v>#N/A</v>
      </c>
      <c r="K124" s="30">
        <f>IF($F124="",0,IFERROR(INDEX(engDados,MATCH(selAnalito&amp;"|"&amp;$B124,engChave,0),3),0))</f>
        <v>0</v>
      </c>
      <c r="L124" s="30">
        <f>IF($F124="",0,IFERROR(INDEX(engDados,MATCH(selAnalito&amp;"|"&amp;$B124,engChave,0),4),0))</f>
        <v>0</v>
      </c>
      <c r="M124" s="30">
        <f>IF($F124="",0,IFERROR(INDEX(engDados,MATCH(selAnalito&amp;"|"&amp;$B124,engChave,0),5),0))</f>
        <v>0</v>
      </c>
      <c r="N124" s="30">
        <f>IF($F124="",0,IFERROR(INDEX(engDados,MATCH(selAnalito&amp;"|"&amp;$B124,engChave,0),6),0))</f>
        <v>0</v>
      </c>
      <c r="O124" s="30">
        <f>IF($F124="",0,IFERROR(INDEX(engDados,MATCH(selAnalito&amp;"|"&amp;$B124,engChave,0),7),0))</f>
        <v>0</v>
      </c>
      <c r="P124" s="30" t="str">
        <f>IF($F124="","",IFERROR(INDEX(engDados,MATCH(selAnalito&amp;"|"&amp;$B124,engChave,0),9),""))</f>
        <v/>
      </c>
      <c r="Q124" s="30" t="e">
        <f t="shared" si="107"/>
        <v>#N/A</v>
      </c>
      <c r="R124" s="30" t="e">
        <f t="shared" si="108"/>
        <v>#N/A</v>
      </c>
      <c r="S124" s="30" t="e">
        <f t="shared" si="109"/>
        <v>#N/A</v>
      </c>
      <c r="T124" s="30" t="e">
        <f t="shared" si="110"/>
        <v>#N/A</v>
      </c>
      <c r="U124" s="30" t="e">
        <f t="shared" si="111"/>
        <v>#N/A</v>
      </c>
      <c r="V124" s="30" t="e">
        <f t="shared" si="112"/>
        <v>#N/A</v>
      </c>
      <c r="W124" s="30" t="e">
        <f t="shared" si="113"/>
        <v>#N/A</v>
      </c>
      <c r="X124" s="30" t="e">
        <f>IF(AND($D124=1,(""&amp;loteAnalise)=(""&amp;loteCarregado),COUNTIFS(regAnalito,selAnalito,regNivel,1,regData,$C124,regRep1,"&lt;&gt;")&gt;0),SUMIFS(regRep1,regAnalito,selAnalito,regNivel,1,regData,$C124),NA())</f>
        <v>#N/A</v>
      </c>
      <c r="Y124" s="30" t="e">
        <f>IF(AND($D124=1,(""&amp;loteAnalise)=(""&amp;loteCarregado),COUNTIFS(regAnalito,selAnalito,regNivel,1,regData,$C124,regRep2,"&lt;&gt;")&gt;0),SUMIFS(regRep2,regAnalito,selAnalito,regNivel,1,regData,$C124),NA())</f>
        <v>#N/A</v>
      </c>
      <c r="Z124" s="30" t="e">
        <f>IF(AND($D124=1,(""&amp;loteAnalise)=(""&amp;loteCarregado),COUNTIFS(regAnalito,selAnalito,regNivel,1,regData,$C124,regRep3,"&lt;&gt;")&gt;0),SUMIFS(regRep3,regAnalito,selAnalito,regNivel,1,regData,$C124),NA())</f>
        <v>#N/A</v>
      </c>
      <c r="AA124" s="30" t="e">
        <f>IF(AND($D124=1,COUNTIFS(regAnalito,selAnalito,regData,$C124,regCalib,"Sim")&gt;0),$BT$1,NA())</f>
        <v>#N/A</v>
      </c>
      <c r="AB124" s="30" t="str">
        <f>IF($B124="","",IF(INDEX(engValN2,$A124)="","",INDEX(engValN2,$A124)))</f>
        <v/>
      </c>
      <c r="AC124" s="30" t="str">
        <f t="shared" si="114"/>
        <v/>
      </c>
      <c r="AD124" s="30" t="e">
        <f t="shared" si="115"/>
        <v>#N/A</v>
      </c>
      <c r="AE124" s="30" t="e">
        <f t="shared" si="116"/>
        <v>#N/A</v>
      </c>
      <c r="AF124" s="30" t="e">
        <f t="shared" si="117"/>
        <v>#N/A</v>
      </c>
      <c r="AG124" s="30">
        <f>IF($AB124="",0,IFERROR(INDEX(engDados,MATCH(selAnalito&amp;"|"&amp;$B124,engChave,0),10),0))</f>
        <v>0</v>
      </c>
      <c r="AH124" s="30">
        <f>IF($AB124="",0,IFERROR(INDEX(engDados,MATCH(selAnalito&amp;"|"&amp;$B124,engChave,0),11),0))</f>
        <v>0</v>
      </c>
      <c r="AI124" s="30">
        <f>IF($AB124="",0,IFERROR(INDEX(engDados,MATCH(selAnalito&amp;"|"&amp;$B124,engChave,0),12),0))</f>
        <v>0</v>
      </c>
      <c r="AJ124" s="30">
        <f>IF($AB124="",0,IFERROR(INDEX(engDados,MATCH(selAnalito&amp;"|"&amp;$B124,engChave,0),13),0))</f>
        <v>0</v>
      </c>
      <c r="AK124" s="30">
        <f>IF($AB124="",0,IFERROR(INDEX(engDados,MATCH(selAnalito&amp;"|"&amp;$B124,engChave,0),14),0))</f>
        <v>0</v>
      </c>
      <c r="AL124" s="30" t="str">
        <f>IF($AB124="","",IFERROR(INDEX(engDados,MATCH(selAnalito&amp;"|"&amp;$B124,engChave,0),16),""))</f>
        <v/>
      </c>
      <c r="AM124" s="30" t="e">
        <f t="shared" si="118"/>
        <v>#N/A</v>
      </c>
      <c r="AN124" s="30" t="e">
        <f t="shared" si="119"/>
        <v>#N/A</v>
      </c>
      <c r="AO124" s="30" t="e">
        <f t="shared" si="120"/>
        <v>#N/A</v>
      </c>
      <c r="AP124" s="30" t="e">
        <f t="shared" si="121"/>
        <v>#N/A</v>
      </c>
      <c r="AQ124" s="30" t="e">
        <f t="shared" si="122"/>
        <v>#N/A</v>
      </c>
      <c r="AR124" s="30" t="e">
        <f t="shared" si="123"/>
        <v>#N/A</v>
      </c>
      <c r="AS124" s="30" t="e">
        <f t="shared" si="124"/>
        <v>#N/A</v>
      </c>
      <c r="AT124" s="30" t="e">
        <f>IF(AND($D124=1,(""&amp;loteAnalise)=(""&amp;loteCarregado),COUNTIFS(regAnalito,selAnalito,regNivel,2,regData,$C124,regRep1,"&lt;&gt;")&gt;0),SUMIFS(regRep1,regAnalito,selAnalito,regNivel,2,regData,$C124),NA())</f>
        <v>#N/A</v>
      </c>
      <c r="AU124" s="30" t="e">
        <f>IF(AND($D124=1,(""&amp;loteAnalise)=(""&amp;loteCarregado),COUNTIFS(regAnalito,selAnalito,regNivel,2,regData,$C124,regRep2,"&lt;&gt;")&gt;0),SUMIFS(regRep2,regAnalito,selAnalito,regNivel,2,regData,$C124),NA())</f>
        <v>#N/A</v>
      </c>
      <c r="AV124" s="30" t="e">
        <f>IF(AND($D124=1,(""&amp;loteAnalise)=(""&amp;loteCarregado),COUNTIFS(regAnalito,selAnalito,regNivel,2,regData,$C124,regRep3,"&lt;&gt;")&gt;0),SUMIFS(regRep3,regAnalito,selAnalito,regNivel,2,regData,$C124),NA())</f>
        <v>#N/A</v>
      </c>
      <c r="AW124" s="30" t="e">
        <f>IF(AND($D124=1,COUNTIFS(regAnalito,selAnalito,regData,$C124,regCalib,"Sim")&gt;0),$BV$1,NA())</f>
        <v>#N/A</v>
      </c>
      <c r="AX124" s="30" t="str">
        <f>IF($B124="","",IF(INDEX(engValN3,$A124)="","",INDEX(engValN3,$A124)))</f>
        <v/>
      </c>
      <c r="AY124" s="30" t="str">
        <f t="shared" si="125"/>
        <v/>
      </c>
      <c r="AZ124" s="30" t="e">
        <f t="shared" si="126"/>
        <v>#N/A</v>
      </c>
      <c r="BA124" s="30" t="e">
        <f t="shared" si="127"/>
        <v>#N/A</v>
      </c>
      <c r="BB124" s="30" t="e">
        <f t="shared" si="128"/>
        <v>#N/A</v>
      </c>
      <c r="BC124" s="30">
        <f>IF($AX124="",0,IFERROR(INDEX(engDados,MATCH(selAnalito&amp;"|"&amp;$B124,engChave,0),17),0))</f>
        <v>0</v>
      </c>
      <c r="BD124" s="30">
        <f>IF($AX124="",0,IFERROR(INDEX(engDados,MATCH(selAnalito&amp;"|"&amp;$B124,engChave,0),18),0))</f>
        <v>0</v>
      </c>
      <c r="BE124" s="30">
        <f>IF($AX124="",0,IFERROR(INDEX(engDados,MATCH(selAnalito&amp;"|"&amp;$B124,engChave,0),19),0))</f>
        <v>0</v>
      </c>
      <c r="BF124" s="30">
        <f>IF($AX124="",0,IFERROR(INDEX(engDados,MATCH(selAnalito&amp;"|"&amp;$B124,engChave,0),20),0))</f>
        <v>0</v>
      </c>
      <c r="BG124" s="30">
        <f>IF($AX124="",0,IFERROR(INDEX(engDados,MATCH(selAnalito&amp;"|"&amp;$B124,engChave,0),21),0))</f>
        <v>0</v>
      </c>
      <c r="BH124" s="30" t="str">
        <f>IF($AX124="","",IFERROR(INDEX(engDados,MATCH(selAnalito&amp;"|"&amp;$B124,engChave,0),23),""))</f>
        <v/>
      </c>
      <c r="BI124" s="30" t="e">
        <f t="shared" si="129"/>
        <v>#N/A</v>
      </c>
      <c r="BJ124" s="30" t="e">
        <f t="shared" si="130"/>
        <v>#N/A</v>
      </c>
      <c r="BK124" s="30" t="e">
        <f t="shared" si="131"/>
        <v>#N/A</v>
      </c>
      <c r="BL124" s="30" t="e">
        <f t="shared" si="132"/>
        <v>#N/A</v>
      </c>
      <c r="BM124" s="30" t="e">
        <f t="shared" si="133"/>
        <v>#N/A</v>
      </c>
      <c r="BN124" s="30" t="e">
        <f t="shared" si="134"/>
        <v>#N/A</v>
      </c>
      <c r="BO124" s="30" t="e">
        <f t="shared" si="135"/>
        <v>#N/A</v>
      </c>
      <c r="BP124" s="30" t="e">
        <f>IF(AND($D124=1,(""&amp;loteAnalise)=(""&amp;loteCarregado),COUNTIFS(regAnalito,selAnalito,regNivel,3,regData,$C124,regRep1,"&lt;&gt;")&gt;0),SUMIFS(regRep1,regAnalito,selAnalito,regNivel,3,regData,$C124),NA())</f>
        <v>#N/A</v>
      </c>
      <c r="BQ124" s="30" t="e">
        <f>IF(AND($D124=1,(""&amp;loteAnalise)=(""&amp;loteCarregado),COUNTIFS(regAnalito,selAnalito,regNivel,3,regData,$C124,regRep2,"&lt;&gt;")&gt;0),SUMIFS(regRep2,regAnalito,selAnalito,regNivel,3,regData,$C124),NA())</f>
        <v>#N/A</v>
      </c>
      <c r="BR124" s="30" t="e">
        <f>IF(AND($D124=1,(""&amp;loteAnalise)=(""&amp;loteCarregado),COUNTIFS(regAnalito,selAnalito,regNivel,3,regData,$C124,regRep3,"&lt;&gt;")&gt;0),SUMIFS(regRep3,regAnalito,selAnalito,regNivel,3,regData,$C124),NA())</f>
        <v>#N/A</v>
      </c>
      <c r="BS124" s="30" t="e">
        <f>IF(AND($D124=1,COUNTIFS(regAnalito,selAnalito,regData,$C124,regCalib,"Sim")&gt;0),$BX$1,NA())</f>
        <v>#N/A</v>
      </c>
    </row>
    <row r="125" spans="1:71" x14ac:dyDescent="0.3">
      <c r="A125" s="30">
        <v>123</v>
      </c>
      <c r="B125" s="30" t="str">
        <f>IF(OR(selAnalito="",(""&amp;engAnalito)&lt;&gt;(""&amp;selAnalito),(""&amp;engLote)&lt;&gt;(""&amp;loteAnalise),$A125&gt;N(engNRun)),"",INDEX(engRUN,$A125))</f>
        <v/>
      </c>
      <c r="C125" s="43" t="str">
        <f>IF($B125="","",IF(INDEX(engData,$A125)="","",INDEX(engData,$A125)))</f>
        <v/>
      </c>
      <c r="D125" s="30">
        <f>IF($C125="",0,IF(AND(OR(filtroDe="",INT($C125)&gt;=INT(filtroDe)),OR(filtroAte="",INT($C125)&lt;=INT(filtroAte))),1,0))</f>
        <v>0</v>
      </c>
      <c r="E125" s="30" t="e">
        <f t="shared" si="102"/>
        <v>#N/A</v>
      </c>
      <c r="F125" s="30" t="str">
        <f>IF($B125="","",IF(INDEX(engValN1,$A125)="","",INDEX(engValN1,$A125)))</f>
        <v/>
      </c>
      <c r="G125" s="30" t="str">
        <f t="shared" si="103"/>
        <v/>
      </c>
      <c r="H125" s="30" t="e">
        <f t="shared" si="104"/>
        <v>#N/A</v>
      </c>
      <c r="I125" s="30" t="e">
        <f t="shared" si="105"/>
        <v>#N/A</v>
      </c>
      <c r="J125" s="30" t="e">
        <f t="shared" si="106"/>
        <v>#N/A</v>
      </c>
      <c r="K125" s="30">
        <f>IF($F125="",0,IFERROR(INDEX(engDados,MATCH(selAnalito&amp;"|"&amp;$B125,engChave,0),3),0))</f>
        <v>0</v>
      </c>
      <c r="L125" s="30">
        <f>IF($F125="",0,IFERROR(INDEX(engDados,MATCH(selAnalito&amp;"|"&amp;$B125,engChave,0),4),0))</f>
        <v>0</v>
      </c>
      <c r="M125" s="30">
        <f>IF($F125="",0,IFERROR(INDEX(engDados,MATCH(selAnalito&amp;"|"&amp;$B125,engChave,0),5),0))</f>
        <v>0</v>
      </c>
      <c r="N125" s="30">
        <f>IF($F125="",0,IFERROR(INDEX(engDados,MATCH(selAnalito&amp;"|"&amp;$B125,engChave,0),6),0))</f>
        <v>0</v>
      </c>
      <c r="O125" s="30">
        <f>IF($F125="",0,IFERROR(INDEX(engDados,MATCH(selAnalito&amp;"|"&amp;$B125,engChave,0),7),0))</f>
        <v>0</v>
      </c>
      <c r="P125" s="30" t="str">
        <f>IF($F125="","",IFERROR(INDEX(engDados,MATCH(selAnalito&amp;"|"&amp;$B125,engChave,0),9),""))</f>
        <v/>
      </c>
      <c r="Q125" s="30" t="e">
        <f t="shared" si="107"/>
        <v>#N/A</v>
      </c>
      <c r="R125" s="30" t="e">
        <f t="shared" si="108"/>
        <v>#N/A</v>
      </c>
      <c r="S125" s="30" t="e">
        <f t="shared" si="109"/>
        <v>#N/A</v>
      </c>
      <c r="T125" s="30" t="e">
        <f t="shared" si="110"/>
        <v>#N/A</v>
      </c>
      <c r="U125" s="30" t="e">
        <f t="shared" si="111"/>
        <v>#N/A</v>
      </c>
      <c r="V125" s="30" t="e">
        <f t="shared" si="112"/>
        <v>#N/A</v>
      </c>
      <c r="W125" s="30" t="e">
        <f t="shared" si="113"/>
        <v>#N/A</v>
      </c>
      <c r="X125" s="30" t="e">
        <f>IF(AND($D125=1,(""&amp;loteAnalise)=(""&amp;loteCarregado),COUNTIFS(regAnalito,selAnalito,regNivel,1,regData,$C125,regRep1,"&lt;&gt;")&gt;0),SUMIFS(regRep1,regAnalito,selAnalito,regNivel,1,regData,$C125),NA())</f>
        <v>#N/A</v>
      </c>
      <c r="Y125" s="30" t="e">
        <f>IF(AND($D125=1,(""&amp;loteAnalise)=(""&amp;loteCarregado),COUNTIFS(regAnalito,selAnalito,regNivel,1,regData,$C125,regRep2,"&lt;&gt;")&gt;0),SUMIFS(regRep2,regAnalito,selAnalito,regNivel,1,regData,$C125),NA())</f>
        <v>#N/A</v>
      </c>
      <c r="Z125" s="30" t="e">
        <f>IF(AND($D125=1,(""&amp;loteAnalise)=(""&amp;loteCarregado),COUNTIFS(regAnalito,selAnalito,regNivel,1,regData,$C125,regRep3,"&lt;&gt;")&gt;0),SUMIFS(regRep3,regAnalito,selAnalito,regNivel,1,regData,$C125),NA())</f>
        <v>#N/A</v>
      </c>
      <c r="AA125" s="30" t="e">
        <f>IF(AND($D125=1,COUNTIFS(regAnalito,selAnalito,regData,$C125,regCalib,"Sim")&gt;0),$BT$1,NA())</f>
        <v>#N/A</v>
      </c>
      <c r="AB125" s="30" t="str">
        <f>IF($B125="","",IF(INDEX(engValN2,$A125)="","",INDEX(engValN2,$A125)))</f>
        <v/>
      </c>
      <c r="AC125" s="30" t="str">
        <f t="shared" si="114"/>
        <v/>
      </c>
      <c r="AD125" s="30" t="e">
        <f t="shared" si="115"/>
        <v>#N/A</v>
      </c>
      <c r="AE125" s="30" t="e">
        <f t="shared" si="116"/>
        <v>#N/A</v>
      </c>
      <c r="AF125" s="30" t="e">
        <f t="shared" si="117"/>
        <v>#N/A</v>
      </c>
      <c r="AG125" s="30">
        <f>IF($AB125="",0,IFERROR(INDEX(engDados,MATCH(selAnalito&amp;"|"&amp;$B125,engChave,0),10),0))</f>
        <v>0</v>
      </c>
      <c r="AH125" s="30">
        <f>IF($AB125="",0,IFERROR(INDEX(engDados,MATCH(selAnalito&amp;"|"&amp;$B125,engChave,0),11),0))</f>
        <v>0</v>
      </c>
      <c r="AI125" s="30">
        <f>IF($AB125="",0,IFERROR(INDEX(engDados,MATCH(selAnalito&amp;"|"&amp;$B125,engChave,0),12),0))</f>
        <v>0</v>
      </c>
      <c r="AJ125" s="30">
        <f>IF($AB125="",0,IFERROR(INDEX(engDados,MATCH(selAnalito&amp;"|"&amp;$B125,engChave,0),13),0))</f>
        <v>0</v>
      </c>
      <c r="AK125" s="30">
        <f>IF($AB125="",0,IFERROR(INDEX(engDados,MATCH(selAnalito&amp;"|"&amp;$B125,engChave,0),14),0))</f>
        <v>0</v>
      </c>
      <c r="AL125" s="30" t="str">
        <f>IF($AB125="","",IFERROR(INDEX(engDados,MATCH(selAnalito&amp;"|"&amp;$B125,engChave,0),16),""))</f>
        <v/>
      </c>
      <c r="AM125" s="30" t="e">
        <f t="shared" si="118"/>
        <v>#N/A</v>
      </c>
      <c r="AN125" s="30" t="e">
        <f t="shared" si="119"/>
        <v>#N/A</v>
      </c>
      <c r="AO125" s="30" t="e">
        <f t="shared" si="120"/>
        <v>#N/A</v>
      </c>
      <c r="AP125" s="30" t="e">
        <f t="shared" si="121"/>
        <v>#N/A</v>
      </c>
      <c r="AQ125" s="30" t="e">
        <f t="shared" si="122"/>
        <v>#N/A</v>
      </c>
      <c r="AR125" s="30" t="e">
        <f t="shared" si="123"/>
        <v>#N/A</v>
      </c>
      <c r="AS125" s="30" t="e">
        <f t="shared" si="124"/>
        <v>#N/A</v>
      </c>
      <c r="AT125" s="30" t="e">
        <f>IF(AND($D125=1,(""&amp;loteAnalise)=(""&amp;loteCarregado),COUNTIFS(regAnalito,selAnalito,regNivel,2,regData,$C125,regRep1,"&lt;&gt;")&gt;0),SUMIFS(regRep1,regAnalito,selAnalito,regNivel,2,regData,$C125),NA())</f>
        <v>#N/A</v>
      </c>
      <c r="AU125" s="30" t="e">
        <f>IF(AND($D125=1,(""&amp;loteAnalise)=(""&amp;loteCarregado),COUNTIFS(regAnalito,selAnalito,regNivel,2,regData,$C125,regRep2,"&lt;&gt;")&gt;0),SUMIFS(regRep2,regAnalito,selAnalito,regNivel,2,regData,$C125),NA())</f>
        <v>#N/A</v>
      </c>
      <c r="AV125" s="30" t="e">
        <f>IF(AND($D125=1,(""&amp;loteAnalise)=(""&amp;loteCarregado),COUNTIFS(regAnalito,selAnalito,regNivel,2,regData,$C125,regRep3,"&lt;&gt;")&gt;0),SUMIFS(regRep3,regAnalito,selAnalito,regNivel,2,regData,$C125),NA())</f>
        <v>#N/A</v>
      </c>
      <c r="AW125" s="30" t="e">
        <f>IF(AND($D125=1,COUNTIFS(regAnalito,selAnalito,regData,$C125,regCalib,"Sim")&gt;0),$BV$1,NA())</f>
        <v>#N/A</v>
      </c>
      <c r="AX125" s="30" t="str">
        <f>IF($B125="","",IF(INDEX(engValN3,$A125)="","",INDEX(engValN3,$A125)))</f>
        <v/>
      </c>
      <c r="AY125" s="30" t="str">
        <f t="shared" si="125"/>
        <v/>
      </c>
      <c r="AZ125" s="30" t="e">
        <f t="shared" si="126"/>
        <v>#N/A</v>
      </c>
      <c r="BA125" s="30" t="e">
        <f t="shared" si="127"/>
        <v>#N/A</v>
      </c>
      <c r="BB125" s="30" t="e">
        <f t="shared" si="128"/>
        <v>#N/A</v>
      </c>
      <c r="BC125" s="30">
        <f>IF($AX125="",0,IFERROR(INDEX(engDados,MATCH(selAnalito&amp;"|"&amp;$B125,engChave,0),17),0))</f>
        <v>0</v>
      </c>
      <c r="BD125" s="30">
        <f>IF($AX125="",0,IFERROR(INDEX(engDados,MATCH(selAnalito&amp;"|"&amp;$B125,engChave,0),18),0))</f>
        <v>0</v>
      </c>
      <c r="BE125" s="30">
        <f>IF($AX125="",0,IFERROR(INDEX(engDados,MATCH(selAnalito&amp;"|"&amp;$B125,engChave,0),19),0))</f>
        <v>0</v>
      </c>
      <c r="BF125" s="30">
        <f>IF($AX125="",0,IFERROR(INDEX(engDados,MATCH(selAnalito&amp;"|"&amp;$B125,engChave,0),20),0))</f>
        <v>0</v>
      </c>
      <c r="BG125" s="30">
        <f>IF($AX125="",0,IFERROR(INDEX(engDados,MATCH(selAnalito&amp;"|"&amp;$B125,engChave,0),21),0))</f>
        <v>0</v>
      </c>
      <c r="BH125" s="30" t="str">
        <f>IF($AX125="","",IFERROR(INDEX(engDados,MATCH(selAnalito&amp;"|"&amp;$B125,engChave,0),23),""))</f>
        <v/>
      </c>
      <c r="BI125" s="30" t="e">
        <f t="shared" si="129"/>
        <v>#N/A</v>
      </c>
      <c r="BJ125" s="30" t="e">
        <f t="shared" si="130"/>
        <v>#N/A</v>
      </c>
      <c r="BK125" s="30" t="e">
        <f t="shared" si="131"/>
        <v>#N/A</v>
      </c>
      <c r="BL125" s="30" t="e">
        <f t="shared" si="132"/>
        <v>#N/A</v>
      </c>
      <c r="BM125" s="30" t="e">
        <f t="shared" si="133"/>
        <v>#N/A</v>
      </c>
      <c r="BN125" s="30" t="e">
        <f t="shared" si="134"/>
        <v>#N/A</v>
      </c>
      <c r="BO125" s="30" t="e">
        <f t="shared" si="135"/>
        <v>#N/A</v>
      </c>
      <c r="BP125" s="30" t="e">
        <f>IF(AND($D125=1,(""&amp;loteAnalise)=(""&amp;loteCarregado),COUNTIFS(regAnalito,selAnalito,regNivel,3,regData,$C125,regRep1,"&lt;&gt;")&gt;0),SUMIFS(regRep1,regAnalito,selAnalito,regNivel,3,regData,$C125),NA())</f>
        <v>#N/A</v>
      </c>
      <c r="BQ125" s="30" t="e">
        <f>IF(AND($D125=1,(""&amp;loteAnalise)=(""&amp;loteCarregado),COUNTIFS(regAnalito,selAnalito,regNivel,3,regData,$C125,regRep2,"&lt;&gt;")&gt;0),SUMIFS(regRep2,regAnalito,selAnalito,regNivel,3,regData,$C125),NA())</f>
        <v>#N/A</v>
      </c>
      <c r="BR125" s="30" t="e">
        <f>IF(AND($D125=1,(""&amp;loteAnalise)=(""&amp;loteCarregado),COUNTIFS(regAnalito,selAnalito,regNivel,3,regData,$C125,regRep3,"&lt;&gt;")&gt;0),SUMIFS(regRep3,regAnalito,selAnalito,regNivel,3,regData,$C125),NA())</f>
        <v>#N/A</v>
      </c>
      <c r="BS125" s="30" t="e">
        <f>IF(AND($D125=1,COUNTIFS(regAnalito,selAnalito,regData,$C125,regCalib,"Sim")&gt;0),$BX$1,NA())</f>
        <v>#N/A</v>
      </c>
    </row>
    <row r="126" spans="1:71" x14ac:dyDescent="0.3">
      <c r="A126" s="30">
        <v>124</v>
      </c>
      <c r="B126" s="30" t="str">
        <f>IF(OR(selAnalito="",(""&amp;engAnalito)&lt;&gt;(""&amp;selAnalito),(""&amp;engLote)&lt;&gt;(""&amp;loteAnalise),$A126&gt;N(engNRun)),"",INDEX(engRUN,$A126))</f>
        <v/>
      </c>
      <c r="C126" s="43" t="str">
        <f>IF($B126="","",IF(INDEX(engData,$A126)="","",INDEX(engData,$A126)))</f>
        <v/>
      </c>
      <c r="D126" s="30">
        <f>IF($C126="",0,IF(AND(OR(filtroDe="",INT($C126)&gt;=INT(filtroDe)),OR(filtroAte="",INT($C126)&lt;=INT(filtroAte))),1,0))</f>
        <v>0</v>
      </c>
      <c r="E126" s="30" t="e">
        <f t="shared" si="102"/>
        <v>#N/A</v>
      </c>
      <c r="F126" s="30" t="str">
        <f>IF($B126="","",IF(INDEX(engValN1,$A126)="","",INDEX(engValN1,$A126)))</f>
        <v/>
      </c>
      <c r="G126" s="30" t="str">
        <f t="shared" si="103"/>
        <v/>
      </c>
      <c r="H126" s="30" t="e">
        <f t="shared" si="104"/>
        <v>#N/A</v>
      </c>
      <c r="I126" s="30" t="e">
        <f t="shared" si="105"/>
        <v>#N/A</v>
      </c>
      <c r="J126" s="30" t="e">
        <f t="shared" si="106"/>
        <v>#N/A</v>
      </c>
      <c r="K126" s="30">
        <f>IF($F126="",0,IFERROR(INDEX(engDados,MATCH(selAnalito&amp;"|"&amp;$B126,engChave,0),3),0))</f>
        <v>0</v>
      </c>
      <c r="L126" s="30">
        <f>IF($F126="",0,IFERROR(INDEX(engDados,MATCH(selAnalito&amp;"|"&amp;$B126,engChave,0),4),0))</f>
        <v>0</v>
      </c>
      <c r="M126" s="30">
        <f>IF($F126="",0,IFERROR(INDEX(engDados,MATCH(selAnalito&amp;"|"&amp;$B126,engChave,0),5),0))</f>
        <v>0</v>
      </c>
      <c r="N126" s="30">
        <f>IF($F126="",0,IFERROR(INDEX(engDados,MATCH(selAnalito&amp;"|"&amp;$B126,engChave,0),6),0))</f>
        <v>0</v>
      </c>
      <c r="O126" s="30">
        <f>IF($F126="",0,IFERROR(INDEX(engDados,MATCH(selAnalito&amp;"|"&amp;$B126,engChave,0),7),0))</f>
        <v>0</v>
      </c>
      <c r="P126" s="30" t="str">
        <f>IF($F126="","",IFERROR(INDEX(engDados,MATCH(selAnalito&amp;"|"&amp;$B126,engChave,0),9),""))</f>
        <v/>
      </c>
      <c r="Q126" s="30" t="e">
        <f t="shared" si="107"/>
        <v>#N/A</v>
      </c>
      <c r="R126" s="30" t="e">
        <f t="shared" si="108"/>
        <v>#N/A</v>
      </c>
      <c r="S126" s="30" t="e">
        <f t="shared" si="109"/>
        <v>#N/A</v>
      </c>
      <c r="T126" s="30" t="e">
        <f t="shared" si="110"/>
        <v>#N/A</v>
      </c>
      <c r="U126" s="30" t="e">
        <f t="shared" si="111"/>
        <v>#N/A</v>
      </c>
      <c r="V126" s="30" t="e">
        <f t="shared" si="112"/>
        <v>#N/A</v>
      </c>
      <c r="W126" s="30" t="e">
        <f t="shared" si="113"/>
        <v>#N/A</v>
      </c>
      <c r="X126" s="30" t="e">
        <f>IF(AND($D126=1,(""&amp;loteAnalise)=(""&amp;loteCarregado),COUNTIFS(regAnalito,selAnalito,regNivel,1,regData,$C126,regRep1,"&lt;&gt;")&gt;0),SUMIFS(regRep1,regAnalito,selAnalito,regNivel,1,regData,$C126),NA())</f>
        <v>#N/A</v>
      </c>
      <c r="Y126" s="30" t="e">
        <f>IF(AND($D126=1,(""&amp;loteAnalise)=(""&amp;loteCarregado),COUNTIFS(regAnalito,selAnalito,regNivel,1,regData,$C126,regRep2,"&lt;&gt;")&gt;0),SUMIFS(regRep2,regAnalito,selAnalito,regNivel,1,regData,$C126),NA())</f>
        <v>#N/A</v>
      </c>
      <c r="Z126" s="30" t="e">
        <f>IF(AND($D126=1,(""&amp;loteAnalise)=(""&amp;loteCarregado),COUNTIFS(regAnalito,selAnalito,regNivel,1,regData,$C126,regRep3,"&lt;&gt;")&gt;0),SUMIFS(regRep3,regAnalito,selAnalito,regNivel,1,regData,$C126),NA())</f>
        <v>#N/A</v>
      </c>
      <c r="AA126" s="30" t="e">
        <f>IF(AND($D126=1,COUNTIFS(regAnalito,selAnalito,regData,$C126,regCalib,"Sim")&gt;0),$BT$1,NA())</f>
        <v>#N/A</v>
      </c>
      <c r="AB126" s="30" t="str">
        <f>IF($B126="","",IF(INDEX(engValN2,$A126)="","",INDEX(engValN2,$A126)))</f>
        <v/>
      </c>
      <c r="AC126" s="30" t="str">
        <f t="shared" si="114"/>
        <v/>
      </c>
      <c r="AD126" s="30" t="e">
        <f t="shared" si="115"/>
        <v>#N/A</v>
      </c>
      <c r="AE126" s="30" t="e">
        <f t="shared" si="116"/>
        <v>#N/A</v>
      </c>
      <c r="AF126" s="30" t="e">
        <f t="shared" si="117"/>
        <v>#N/A</v>
      </c>
      <c r="AG126" s="30">
        <f>IF($AB126="",0,IFERROR(INDEX(engDados,MATCH(selAnalito&amp;"|"&amp;$B126,engChave,0),10),0))</f>
        <v>0</v>
      </c>
      <c r="AH126" s="30">
        <f>IF($AB126="",0,IFERROR(INDEX(engDados,MATCH(selAnalito&amp;"|"&amp;$B126,engChave,0),11),0))</f>
        <v>0</v>
      </c>
      <c r="AI126" s="30">
        <f>IF($AB126="",0,IFERROR(INDEX(engDados,MATCH(selAnalito&amp;"|"&amp;$B126,engChave,0),12),0))</f>
        <v>0</v>
      </c>
      <c r="AJ126" s="30">
        <f>IF($AB126="",0,IFERROR(INDEX(engDados,MATCH(selAnalito&amp;"|"&amp;$B126,engChave,0),13),0))</f>
        <v>0</v>
      </c>
      <c r="AK126" s="30">
        <f>IF($AB126="",0,IFERROR(INDEX(engDados,MATCH(selAnalito&amp;"|"&amp;$B126,engChave,0),14),0))</f>
        <v>0</v>
      </c>
      <c r="AL126" s="30" t="str">
        <f>IF($AB126="","",IFERROR(INDEX(engDados,MATCH(selAnalito&amp;"|"&amp;$B126,engChave,0),16),""))</f>
        <v/>
      </c>
      <c r="AM126" s="30" t="e">
        <f t="shared" si="118"/>
        <v>#N/A</v>
      </c>
      <c r="AN126" s="30" t="e">
        <f t="shared" si="119"/>
        <v>#N/A</v>
      </c>
      <c r="AO126" s="30" t="e">
        <f t="shared" si="120"/>
        <v>#N/A</v>
      </c>
      <c r="AP126" s="30" t="e">
        <f t="shared" si="121"/>
        <v>#N/A</v>
      </c>
      <c r="AQ126" s="30" t="e">
        <f t="shared" si="122"/>
        <v>#N/A</v>
      </c>
      <c r="AR126" s="30" t="e">
        <f t="shared" si="123"/>
        <v>#N/A</v>
      </c>
      <c r="AS126" s="30" t="e">
        <f t="shared" si="124"/>
        <v>#N/A</v>
      </c>
      <c r="AT126" s="30" t="e">
        <f>IF(AND($D126=1,(""&amp;loteAnalise)=(""&amp;loteCarregado),COUNTIFS(regAnalito,selAnalito,regNivel,2,regData,$C126,regRep1,"&lt;&gt;")&gt;0),SUMIFS(regRep1,regAnalito,selAnalito,regNivel,2,regData,$C126),NA())</f>
        <v>#N/A</v>
      </c>
      <c r="AU126" s="30" t="e">
        <f>IF(AND($D126=1,(""&amp;loteAnalise)=(""&amp;loteCarregado),COUNTIFS(regAnalito,selAnalito,regNivel,2,regData,$C126,regRep2,"&lt;&gt;")&gt;0),SUMIFS(regRep2,regAnalito,selAnalito,regNivel,2,regData,$C126),NA())</f>
        <v>#N/A</v>
      </c>
      <c r="AV126" s="30" t="e">
        <f>IF(AND($D126=1,(""&amp;loteAnalise)=(""&amp;loteCarregado),COUNTIFS(regAnalito,selAnalito,regNivel,2,regData,$C126,regRep3,"&lt;&gt;")&gt;0),SUMIFS(regRep3,regAnalito,selAnalito,regNivel,2,regData,$C126),NA())</f>
        <v>#N/A</v>
      </c>
      <c r="AW126" s="30" t="e">
        <f>IF(AND($D126=1,COUNTIFS(regAnalito,selAnalito,regData,$C126,regCalib,"Sim")&gt;0),$BV$1,NA())</f>
        <v>#N/A</v>
      </c>
      <c r="AX126" s="30" t="str">
        <f>IF($B126="","",IF(INDEX(engValN3,$A126)="","",INDEX(engValN3,$A126)))</f>
        <v/>
      </c>
      <c r="AY126" s="30" t="str">
        <f t="shared" si="125"/>
        <v/>
      </c>
      <c r="AZ126" s="30" t="e">
        <f t="shared" si="126"/>
        <v>#N/A</v>
      </c>
      <c r="BA126" s="30" t="e">
        <f t="shared" si="127"/>
        <v>#N/A</v>
      </c>
      <c r="BB126" s="30" t="e">
        <f t="shared" si="128"/>
        <v>#N/A</v>
      </c>
      <c r="BC126" s="30">
        <f>IF($AX126="",0,IFERROR(INDEX(engDados,MATCH(selAnalito&amp;"|"&amp;$B126,engChave,0),17),0))</f>
        <v>0</v>
      </c>
      <c r="BD126" s="30">
        <f>IF($AX126="",0,IFERROR(INDEX(engDados,MATCH(selAnalito&amp;"|"&amp;$B126,engChave,0),18),0))</f>
        <v>0</v>
      </c>
      <c r="BE126" s="30">
        <f>IF($AX126="",0,IFERROR(INDEX(engDados,MATCH(selAnalito&amp;"|"&amp;$B126,engChave,0),19),0))</f>
        <v>0</v>
      </c>
      <c r="BF126" s="30">
        <f>IF($AX126="",0,IFERROR(INDEX(engDados,MATCH(selAnalito&amp;"|"&amp;$B126,engChave,0),20),0))</f>
        <v>0</v>
      </c>
      <c r="BG126" s="30">
        <f>IF($AX126="",0,IFERROR(INDEX(engDados,MATCH(selAnalito&amp;"|"&amp;$B126,engChave,0),21),0))</f>
        <v>0</v>
      </c>
      <c r="BH126" s="30" t="str">
        <f>IF($AX126="","",IFERROR(INDEX(engDados,MATCH(selAnalito&amp;"|"&amp;$B126,engChave,0),23),""))</f>
        <v/>
      </c>
      <c r="BI126" s="30" t="e">
        <f t="shared" si="129"/>
        <v>#N/A</v>
      </c>
      <c r="BJ126" s="30" t="e">
        <f t="shared" si="130"/>
        <v>#N/A</v>
      </c>
      <c r="BK126" s="30" t="e">
        <f t="shared" si="131"/>
        <v>#N/A</v>
      </c>
      <c r="BL126" s="30" t="e">
        <f t="shared" si="132"/>
        <v>#N/A</v>
      </c>
      <c r="BM126" s="30" t="e">
        <f t="shared" si="133"/>
        <v>#N/A</v>
      </c>
      <c r="BN126" s="30" t="e">
        <f t="shared" si="134"/>
        <v>#N/A</v>
      </c>
      <c r="BO126" s="30" t="e">
        <f t="shared" si="135"/>
        <v>#N/A</v>
      </c>
      <c r="BP126" s="30" t="e">
        <f>IF(AND($D126=1,(""&amp;loteAnalise)=(""&amp;loteCarregado),COUNTIFS(regAnalito,selAnalito,regNivel,3,regData,$C126,regRep1,"&lt;&gt;")&gt;0),SUMIFS(regRep1,regAnalito,selAnalito,regNivel,3,regData,$C126),NA())</f>
        <v>#N/A</v>
      </c>
      <c r="BQ126" s="30" t="e">
        <f>IF(AND($D126=1,(""&amp;loteAnalise)=(""&amp;loteCarregado),COUNTIFS(regAnalito,selAnalito,regNivel,3,regData,$C126,regRep2,"&lt;&gt;")&gt;0),SUMIFS(regRep2,regAnalito,selAnalito,regNivel,3,regData,$C126),NA())</f>
        <v>#N/A</v>
      </c>
      <c r="BR126" s="30" t="e">
        <f>IF(AND($D126=1,(""&amp;loteAnalise)=(""&amp;loteCarregado),COUNTIFS(regAnalito,selAnalito,regNivel,3,regData,$C126,regRep3,"&lt;&gt;")&gt;0),SUMIFS(regRep3,regAnalito,selAnalito,regNivel,3,regData,$C126),NA())</f>
        <v>#N/A</v>
      </c>
      <c r="BS126" s="30" t="e">
        <f>IF(AND($D126=1,COUNTIFS(regAnalito,selAnalito,regData,$C126,regCalib,"Sim")&gt;0),$BX$1,NA())</f>
        <v>#N/A</v>
      </c>
    </row>
    <row r="127" spans="1:71" x14ac:dyDescent="0.3">
      <c r="A127" s="30">
        <v>125</v>
      </c>
      <c r="B127" s="30" t="str">
        <f>IF(OR(selAnalito="",(""&amp;engAnalito)&lt;&gt;(""&amp;selAnalito),(""&amp;engLote)&lt;&gt;(""&amp;loteAnalise),$A127&gt;N(engNRun)),"",INDEX(engRUN,$A127))</f>
        <v/>
      </c>
      <c r="C127" s="43" t="str">
        <f>IF($B127="","",IF(INDEX(engData,$A127)="","",INDEX(engData,$A127)))</f>
        <v/>
      </c>
      <c r="D127" s="30">
        <f>IF($C127="",0,IF(AND(OR(filtroDe="",INT($C127)&gt;=INT(filtroDe)),OR(filtroAte="",INT($C127)&lt;=INT(filtroAte))),1,0))</f>
        <v>0</v>
      </c>
      <c r="E127" s="30" t="e">
        <f t="shared" si="102"/>
        <v>#N/A</v>
      </c>
      <c r="F127" s="30" t="str">
        <f>IF($B127="","",IF(INDEX(engValN1,$A127)="","",INDEX(engValN1,$A127)))</f>
        <v/>
      </c>
      <c r="G127" s="30" t="str">
        <f t="shared" si="103"/>
        <v/>
      </c>
      <c r="H127" s="30" t="e">
        <f t="shared" si="104"/>
        <v>#N/A</v>
      </c>
      <c r="I127" s="30" t="e">
        <f t="shared" si="105"/>
        <v>#N/A</v>
      </c>
      <c r="J127" s="30" t="e">
        <f t="shared" si="106"/>
        <v>#N/A</v>
      </c>
      <c r="K127" s="30">
        <f>IF($F127="",0,IFERROR(INDEX(engDados,MATCH(selAnalito&amp;"|"&amp;$B127,engChave,0),3),0))</f>
        <v>0</v>
      </c>
      <c r="L127" s="30">
        <f>IF($F127="",0,IFERROR(INDEX(engDados,MATCH(selAnalito&amp;"|"&amp;$B127,engChave,0),4),0))</f>
        <v>0</v>
      </c>
      <c r="M127" s="30">
        <f>IF($F127="",0,IFERROR(INDEX(engDados,MATCH(selAnalito&amp;"|"&amp;$B127,engChave,0),5),0))</f>
        <v>0</v>
      </c>
      <c r="N127" s="30">
        <f>IF($F127="",0,IFERROR(INDEX(engDados,MATCH(selAnalito&amp;"|"&amp;$B127,engChave,0),6),0))</f>
        <v>0</v>
      </c>
      <c r="O127" s="30">
        <f>IF($F127="",0,IFERROR(INDEX(engDados,MATCH(selAnalito&amp;"|"&amp;$B127,engChave,0),7),0))</f>
        <v>0</v>
      </c>
      <c r="P127" s="30" t="str">
        <f>IF($F127="","",IFERROR(INDEX(engDados,MATCH(selAnalito&amp;"|"&amp;$B127,engChave,0),9),""))</f>
        <v/>
      </c>
      <c r="Q127" s="30" t="e">
        <f t="shared" si="107"/>
        <v>#N/A</v>
      </c>
      <c r="R127" s="30" t="e">
        <f t="shared" si="108"/>
        <v>#N/A</v>
      </c>
      <c r="S127" s="30" t="e">
        <f t="shared" si="109"/>
        <v>#N/A</v>
      </c>
      <c r="T127" s="30" t="e">
        <f t="shared" si="110"/>
        <v>#N/A</v>
      </c>
      <c r="U127" s="30" t="e">
        <f t="shared" si="111"/>
        <v>#N/A</v>
      </c>
      <c r="V127" s="30" t="e">
        <f t="shared" si="112"/>
        <v>#N/A</v>
      </c>
      <c r="W127" s="30" t="e">
        <f t="shared" si="113"/>
        <v>#N/A</v>
      </c>
      <c r="X127" s="30" t="e">
        <f>IF(AND($D127=1,(""&amp;loteAnalise)=(""&amp;loteCarregado),COUNTIFS(regAnalito,selAnalito,regNivel,1,regData,$C127,regRep1,"&lt;&gt;")&gt;0),SUMIFS(regRep1,regAnalito,selAnalito,regNivel,1,regData,$C127),NA())</f>
        <v>#N/A</v>
      </c>
      <c r="Y127" s="30" t="e">
        <f>IF(AND($D127=1,(""&amp;loteAnalise)=(""&amp;loteCarregado),COUNTIFS(regAnalito,selAnalito,regNivel,1,regData,$C127,regRep2,"&lt;&gt;")&gt;0),SUMIFS(regRep2,regAnalito,selAnalito,regNivel,1,regData,$C127),NA())</f>
        <v>#N/A</v>
      </c>
      <c r="Z127" s="30" t="e">
        <f>IF(AND($D127=1,(""&amp;loteAnalise)=(""&amp;loteCarregado),COUNTIFS(regAnalito,selAnalito,regNivel,1,regData,$C127,regRep3,"&lt;&gt;")&gt;0),SUMIFS(regRep3,regAnalito,selAnalito,regNivel,1,regData,$C127),NA())</f>
        <v>#N/A</v>
      </c>
      <c r="AA127" s="30" t="e">
        <f>IF(AND($D127=1,COUNTIFS(regAnalito,selAnalito,regData,$C127,regCalib,"Sim")&gt;0),$BT$1,NA())</f>
        <v>#N/A</v>
      </c>
      <c r="AB127" s="30" t="str">
        <f>IF($B127="","",IF(INDEX(engValN2,$A127)="","",INDEX(engValN2,$A127)))</f>
        <v/>
      </c>
      <c r="AC127" s="30" t="str">
        <f t="shared" si="114"/>
        <v/>
      </c>
      <c r="AD127" s="30" t="e">
        <f t="shared" si="115"/>
        <v>#N/A</v>
      </c>
      <c r="AE127" s="30" t="e">
        <f t="shared" si="116"/>
        <v>#N/A</v>
      </c>
      <c r="AF127" s="30" t="e">
        <f t="shared" si="117"/>
        <v>#N/A</v>
      </c>
      <c r="AG127" s="30">
        <f>IF($AB127="",0,IFERROR(INDEX(engDados,MATCH(selAnalito&amp;"|"&amp;$B127,engChave,0),10),0))</f>
        <v>0</v>
      </c>
      <c r="AH127" s="30">
        <f>IF($AB127="",0,IFERROR(INDEX(engDados,MATCH(selAnalito&amp;"|"&amp;$B127,engChave,0),11),0))</f>
        <v>0</v>
      </c>
      <c r="AI127" s="30">
        <f>IF($AB127="",0,IFERROR(INDEX(engDados,MATCH(selAnalito&amp;"|"&amp;$B127,engChave,0),12),0))</f>
        <v>0</v>
      </c>
      <c r="AJ127" s="30">
        <f>IF($AB127="",0,IFERROR(INDEX(engDados,MATCH(selAnalito&amp;"|"&amp;$B127,engChave,0),13),0))</f>
        <v>0</v>
      </c>
      <c r="AK127" s="30">
        <f>IF($AB127="",0,IFERROR(INDEX(engDados,MATCH(selAnalito&amp;"|"&amp;$B127,engChave,0),14),0))</f>
        <v>0</v>
      </c>
      <c r="AL127" s="30" t="str">
        <f>IF($AB127="","",IFERROR(INDEX(engDados,MATCH(selAnalito&amp;"|"&amp;$B127,engChave,0),16),""))</f>
        <v/>
      </c>
      <c r="AM127" s="30" t="e">
        <f t="shared" si="118"/>
        <v>#N/A</v>
      </c>
      <c r="AN127" s="30" t="e">
        <f t="shared" si="119"/>
        <v>#N/A</v>
      </c>
      <c r="AO127" s="30" t="e">
        <f t="shared" si="120"/>
        <v>#N/A</v>
      </c>
      <c r="AP127" s="30" t="e">
        <f t="shared" si="121"/>
        <v>#N/A</v>
      </c>
      <c r="AQ127" s="30" t="e">
        <f t="shared" si="122"/>
        <v>#N/A</v>
      </c>
      <c r="AR127" s="30" t="e">
        <f t="shared" si="123"/>
        <v>#N/A</v>
      </c>
      <c r="AS127" s="30" t="e">
        <f t="shared" si="124"/>
        <v>#N/A</v>
      </c>
      <c r="AT127" s="30" t="e">
        <f>IF(AND($D127=1,(""&amp;loteAnalise)=(""&amp;loteCarregado),COUNTIFS(regAnalito,selAnalito,regNivel,2,regData,$C127,regRep1,"&lt;&gt;")&gt;0),SUMIFS(regRep1,regAnalito,selAnalito,regNivel,2,regData,$C127),NA())</f>
        <v>#N/A</v>
      </c>
      <c r="AU127" s="30" t="e">
        <f>IF(AND($D127=1,(""&amp;loteAnalise)=(""&amp;loteCarregado),COUNTIFS(regAnalito,selAnalito,regNivel,2,regData,$C127,regRep2,"&lt;&gt;")&gt;0),SUMIFS(regRep2,regAnalito,selAnalito,regNivel,2,regData,$C127),NA())</f>
        <v>#N/A</v>
      </c>
      <c r="AV127" s="30" t="e">
        <f>IF(AND($D127=1,(""&amp;loteAnalise)=(""&amp;loteCarregado),COUNTIFS(regAnalito,selAnalito,regNivel,2,regData,$C127,regRep3,"&lt;&gt;")&gt;0),SUMIFS(regRep3,regAnalito,selAnalito,regNivel,2,regData,$C127),NA())</f>
        <v>#N/A</v>
      </c>
      <c r="AW127" s="30" t="e">
        <f>IF(AND($D127=1,COUNTIFS(regAnalito,selAnalito,regData,$C127,regCalib,"Sim")&gt;0),$BV$1,NA())</f>
        <v>#N/A</v>
      </c>
      <c r="AX127" s="30" t="str">
        <f>IF($B127="","",IF(INDEX(engValN3,$A127)="","",INDEX(engValN3,$A127)))</f>
        <v/>
      </c>
      <c r="AY127" s="30" t="str">
        <f t="shared" si="125"/>
        <v/>
      </c>
      <c r="AZ127" s="30" t="e">
        <f t="shared" si="126"/>
        <v>#N/A</v>
      </c>
      <c r="BA127" s="30" t="e">
        <f t="shared" si="127"/>
        <v>#N/A</v>
      </c>
      <c r="BB127" s="30" t="e">
        <f t="shared" si="128"/>
        <v>#N/A</v>
      </c>
      <c r="BC127" s="30">
        <f>IF($AX127="",0,IFERROR(INDEX(engDados,MATCH(selAnalito&amp;"|"&amp;$B127,engChave,0),17),0))</f>
        <v>0</v>
      </c>
      <c r="BD127" s="30">
        <f>IF($AX127="",0,IFERROR(INDEX(engDados,MATCH(selAnalito&amp;"|"&amp;$B127,engChave,0),18),0))</f>
        <v>0</v>
      </c>
      <c r="BE127" s="30">
        <f>IF($AX127="",0,IFERROR(INDEX(engDados,MATCH(selAnalito&amp;"|"&amp;$B127,engChave,0),19),0))</f>
        <v>0</v>
      </c>
      <c r="BF127" s="30">
        <f>IF($AX127="",0,IFERROR(INDEX(engDados,MATCH(selAnalito&amp;"|"&amp;$B127,engChave,0),20),0))</f>
        <v>0</v>
      </c>
      <c r="BG127" s="30">
        <f>IF($AX127="",0,IFERROR(INDEX(engDados,MATCH(selAnalito&amp;"|"&amp;$B127,engChave,0),21),0))</f>
        <v>0</v>
      </c>
      <c r="BH127" s="30" t="str">
        <f>IF($AX127="","",IFERROR(INDEX(engDados,MATCH(selAnalito&amp;"|"&amp;$B127,engChave,0),23),""))</f>
        <v/>
      </c>
      <c r="BI127" s="30" t="e">
        <f t="shared" si="129"/>
        <v>#N/A</v>
      </c>
      <c r="BJ127" s="30" t="e">
        <f t="shared" si="130"/>
        <v>#N/A</v>
      </c>
      <c r="BK127" s="30" t="e">
        <f t="shared" si="131"/>
        <v>#N/A</v>
      </c>
      <c r="BL127" s="30" t="e">
        <f t="shared" si="132"/>
        <v>#N/A</v>
      </c>
      <c r="BM127" s="30" t="e">
        <f t="shared" si="133"/>
        <v>#N/A</v>
      </c>
      <c r="BN127" s="30" t="e">
        <f t="shared" si="134"/>
        <v>#N/A</v>
      </c>
      <c r="BO127" s="30" t="e">
        <f t="shared" si="135"/>
        <v>#N/A</v>
      </c>
      <c r="BP127" s="30" t="e">
        <f>IF(AND($D127=1,(""&amp;loteAnalise)=(""&amp;loteCarregado),COUNTIFS(regAnalito,selAnalito,regNivel,3,regData,$C127,regRep1,"&lt;&gt;")&gt;0),SUMIFS(regRep1,regAnalito,selAnalito,regNivel,3,regData,$C127),NA())</f>
        <v>#N/A</v>
      </c>
      <c r="BQ127" s="30" t="e">
        <f>IF(AND($D127=1,(""&amp;loteAnalise)=(""&amp;loteCarregado),COUNTIFS(regAnalito,selAnalito,regNivel,3,regData,$C127,regRep2,"&lt;&gt;")&gt;0),SUMIFS(regRep2,regAnalito,selAnalito,regNivel,3,regData,$C127),NA())</f>
        <v>#N/A</v>
      </c>
      <c r="BR127" s="30" t="e">
        <f>IF(AND($D127=1,(""&amp;loteAnalise)=(""&amp;loteCarregado),COUNTIFS(regAnalito,selAnalito,regNivel,3,regData,$C127,regRep3,"&lt;&gt;")&gt;0),SUMIFS(regRep3,regAnalito,selAnalito,regNivel,3,regData,$C127),NA())</f>
        <v>#N/A</v>
      </c>
      <c r="BS127" s="30" t="e">
        <f>IF(AND($D127=1,COUNTIFS(regAnalito,selAnalito,regData,$C127,regCalib,"Sim")&gt;0),$BX$1,NA())</f>
        <v>#N/A</v>
      </c>
    </row>
    <row r="128" spans="1:71" x14ac:dyDescent="0.3">
      <c r="A128" s="30">
        <v>126</v>
      </c>
      <c r="B128" s="30" t="str">
        <f>IF(OR(selAnalito="",(""&amp;engAnalito)&lt;&gt;(""&amp;selAnalito),(""&amp;engLote)&lt;&gt;(""&amp;loteAnalise),$A128&gt;N(engNRun)),"",INDEX(engRUN,$A128))</f>
        <v/>
      </c>
      <c r="C128" s="43" t="str">
        <f>IF($B128="","",IF(INDEX(engData,$A128)="","",INDEX(engData,$A128)))</f>
        <v/>
      </c>
      <c r="D128" s="30">
        <f>IF($C128="",0,IF(AND(OR(filtroDe="",INT($C128)&gt;=INT(filtroDe)),OR(filtroAte="",INT($C128)&lt;=INT(filtroAte))),1,0))</f>
        <v>0</v>
      </c>
      <c r="E128" s="30" t="e">
        <f t="shared" si="102"/>
        <v>#N/A</v>
      </c>
      <c r="F128" s="30" t="str">
        <f>IF($B128="","",IF(INDEX(engValN1,$A128)="","",INDEX(engValN1,$A128)))</f>
        <v/>
      </c>
      <c r="G128" s="30" t="str">
        <f t="shared" si="103"/>
        <v/>
      </c>
      <c r="H128" s="30" t="e">
        <f t="shared" si="104"/>
        <v>#N/A</v>
      </c>
      <c r="I128" s="30" t="e">
        <f t="shared" si="105"/>
        <v>#N/A</v>
      </c>
      <c r="J128" s="30" t="e">
        <f t="shared" si="106"/>
        <v>#N/A</v>
      </c>
      <c r="K128" s="30">
        <f>IF($F128="",0,IFERROR(INDEX(engDados,MATCH(selAnalito&amp;"|"&amp;$B128,engChave,0),3),0))</f>
        <v>0</v>
      </c>
      <c r="L128" s="30">
        <f>IF($F128="",0,IFERROR(INDEX(engDados,MATCH(selAnalito&amp;"|"&amp;$B128,engChave,0),4),0))</f>
        <v>0</v>
      </c>
      <c r="M128" s="30">
        <f>IF($F128="",0,IFERROR(INDEX(engDados,MATCH(selAnalito&amp;"|"&amp;$B128,engChave,0),5),0))</f>
        <v>0</v>
      </c>
      <c r="N128" s="30">
        <f>IF($F128="",0,IFERROR(INDEX(engDados,MATCH(selAnalito&amp;"|"&amp;$B128,engChave,0),6),0))</f>
        <v>0</v>
      </c>
      <c r="O128" s="30">
        <f>IF($F128="",0,IFERROR(INDEX(engDados,MATCH(selAnalito&amp;"|"&amp;$B128,engChave,0),7),0))</f>
        <v>0</v>
      </c>
      <c r="P128" s="30" t="str">
        <f>IF($F128="","",IFERROR(INDEX(engDados,MATCH(selAnalito&amp;"|"&amp;$B128,engChave,0),9),""))</f>
        <v/>
      </c>
      <c r="Q128" s="30" t="e">
        <f t="shared" si="107"/>
        <v>#N/A</v>
      </c>
      <c r="R128" s="30" t="e">
        <f t="shared" si="108"/>
        <v>#N/A</v>
      </c>
      <c r="S128" s="30" t="e">
        <f t="shared" si="109"/>
        <v>#N/A</v>
      </c>
      <c r="T128" s="30" t="e">
        <f t="shared" si="110"/>
        <v>#N/A</v>
      </c>
      <c r="U128" s="30" t="e">
        <f t="shared" si="111"/>
        <v>#N/A</v>
      </c>
      <c r="V128" s="30" t="e">
        <f t="shared" si="112"/>
        <v>#N/A</v>
      </c>
      <c r="W128" s="30" t="e">
        <f t="shared" si="113"/>
        <v>#N/A</v>
      </c>
      <c r="X128" s="30" t="e">
        <f>IF(AND($D128=1,(""&amp;loteAnalise)=(""&amp;loteCarregado),COUNTIFS(regAnalito,selAnalito,regNivel,1,regData,$C128,regRep1,"&lt;&gt;")&gt;0),SUMIFS(regRep1,regAnalito,selAnalito,regNivel,1,regData,$C128),NA())</f>
        <v>#N/A</v>
      </c>
      <c r="Y128" s="30" t="e">
        <f>IF(AND($D128=1,(""&amp;loteAnalise)=(""&amp;loteCarregado),COUNTIFS(regAnalito,selAnalito,regNivel,1,regData,$C128,regRep2,"&lt;&gt;")&gt;0),SUMIFS(regRep2,regAnalito,selAnalito,regNivel,1,regData,$C128),NA())</f>
        <v>#N/A</v>
      </c>
      <c r="Z128" s="30" t="e">
        <f>IF(AND($D128=1,(""&amp;loteAnalise)=(""&amp;loteCarregado),COUNTIFS(regAnalito,selAnalito,regNivel,1,regData,$C128,regRep3,"&lt;&gt;")&gt;0),SUMIFS(regRep3,regAnalito,selAnalito,regNivel,1,regData,$C128),NA())</f>
        <v>#N/A</v>
      </c>
      <c r="AA128" s="30" t="e">
        <f>IF(AND($D128=1,COUNTIFS(regAnalito,selAnalito,regData,$C128,regCalib,"Sim")&gt;0),$BT$1,NA())</f>
        <v>#N/A</v>
      </c>
      <c r="AB128" s="30" t="str">
        <f>IF($B128="","",IF(INDEX(engValN2,$A128)="","",INDEX(engValN2,$A128)))</f>
        <v/>
      </c>
      <c r="AC128" s="30" t="str">
        <f t="shared" si="114"/>
        <v/>
      </c>
      <c r="AD128" s="30" t="e">
        <f t="shared" si="115"/>
        <v>#N/A</v>
      </c>
      <c r="AE128" s="30" t="e">
        <f t="shared" si="116"/>
        <v>#N/A</v>
      </c>
      <c r="AF128" s="30" t="e">
        <f t="shared" si="117"/>
        <v>#N/A</v>
      </c>
      <c r="AG128" s="30">
        <f>IF($AB128="",0,IFERROR(INDEX(engDados,MATCH(selAnalito&amp;"|"&amp;$B128,engChave,0),10),0))</f>
        <v>0</v>
      </c>
      <c r="AH128" s="30">
        <f>IF($AB128="",0,IFERROR(INDEX(engDados,MATCH(selAnalito&amp;"|"&amp;$B128,engChave,0),11),0))</f>
        <v>0</v>
      </c>
      <c r="AI128" s="30">
        <f>IF($AB128="",0,IFERROR(INDEX(engDados,MATCH(selAnalito&amp;"|"&amp;$B128,engChave,0),12),0))</f>
        <v>0</v>
      </c>
      <c r="AJ128" s="30">
        <f>IF($AB128="",0,IFERROR(INDEX(engDados,MATCH(selAnalito&amp;"|"&amp;$B128,engChave,0),13),0))</f>
        <v>0</v>
      </c>
      <c r="AK128" s="30">
        <f>IF($AB128="",0,IFERROR(INDEX(engDados,MATCH(selAnalito&amp;"|"&amp;$B128,engChave,0),14),0))</f>
        <v>0</v>
      </c>
      <c r="AL128" s="30" t="str">
        <f>IF($AB128="","",IFERROR(INDEX(engDados,MATCH(selAnalito&amp;"|"&amp;$B128,engChave,0),16),""))</f>
        <v/>
      </c>
      <c r="AM128" s="30" t="e">
        <f t="shared" si="118"/>
        <v>#N/A</v>
      </c>
      <c r="AN128" s="30" t="e">
        <f t="shared" si="119"/>
        <v>#N/A</v>
      </c>
      <c r="AO128" s="30" t="e">
        <f t="shared" si="120"/>
        <v>#N/A</v>
      </c>
      <c r="AP128" s="30" t="e">
        <f t="shared" si="121"/>
        <v>#N/A</v>
      </c>
      <c r="AQ128" s="30" t="e">
        <f t="shared" si="122"/>
        <v>#N/A</v>
      </c>
      <c r="AR128" s="30" t="e">
        <f t="shared" si="123"/>
        <v>#N/A</v>
      </c>
      <c r="AS128" s="30" t="e">
        <f t="shared" si="124"/>
        <v>#N/A</v>
      </c>
      <c r="AT128" s="30" t="e">
        <f>IF(AND($D128=1,(""&amp;loteAnalise)=(""&amp;loteCarregado),COUNTIFS(regAnalito,selAnalito,regNivel,2,regData,$C128,regRep1,"&lt;&gt;")&gt;0),SUMIFS(regRep1,regAnalito,selAnalito,regNivel,2,regData,$C128),NA())</f>
        <v>#N/A</v>
      </c>
      <c r="AU128" s="30" t="e">
        <f>IF(AND($D128=1,(""&amp;loteAnalise)=(""&amp;loteCarregado),COUNTIFS(regAnalito,selAnalito,regNivel,2,regData,$C128,regRep2,"&lt;&gt;")&gt;0),SUMIFS(regRep2,regAnalito,selAnalito,regNivel,2,regData,$C128),NA())</f>
        <v>#N/A</v>
      </c>
      <c r="AV128" s="30" t="e">
        <f>IF(AND($D128=1,(""&amp;loteAnalise)=(""&amp;loteCarregado),COUNTIFS(regAnalito,selAnalito,regNivel,2,regData,$C128,regRep3,"&lt;&gt;")&gt;0),SUMIFS(regRep3,regAnalito,selAnalito,regNivel,2,regData,$C128),NA())</f>
        <v>#N/A</v>
      </c>
      <c r="AW128" s="30" t="e">
        <f>IF(AND($D128=1,COUNTIFS(regAnalito,selAnalito,regData,$C128,regCalib,"Sim")&gt;0),$BV$1,NA())</f>
        <v>#N/A</v>
      </c>
      <c r="AX128" s="30" t="str">
        <f>IF($B128="","",IF(INDEX(engValN3,$A128)="","",INDEX(engValN3,$A128)))</f>
        <v/>
      </c>
      <c r="AY128" s="30" t="str">
        <f t="shared" si="125"/>
        <v/>
      </c>
      <c r="AZ128" s="30" t="e">
        <f t="shared" si="126"/>
        <v>#N/A</v>
      </c>
      <c r="BA128" s="30" t="e">
        <f t="shared" si="127"/>
        <v>#N/A</v>
      </c>
      <c r="BB128" s="30" t="e">
        <f t="shared" si="128"/>
        <v>#N/A</v>
      </c>
      <c r="BC128" s="30">
        <f>IF($AX128="",0,IFERROR(INDEX(engDados,MATCH(selAnalito&amp;"|"&amp;$B128,engChave,0),17),0))</f>
        <v>0</v>
      </c>
      <c r="BD128" s="30">
        <f>IF($AX128="",0,IFERROR(INDEX(engDados,MATCH(selAnalito&amp;"|"&amp;$B128,engChave,0),18),0))</f>
        <v>0</v>
      </c>
      <c r="BE128" s="30">
        <f>IF($AX128="",0,IFERROR(INDEX(engDados,MATCH(selAnalito&amp;"|"&amp;$B128,engChave,0),19),0))</f>
        <v>0</v>
      </c>
      <c r="BF128" s="30">
        <f>IF($AX128="",0,IFERROR(INDEX(engDados,MATCH(selAnalito&amp;"|"&amp;$B128,engChave,0),20),0))</f>
        <v>0</v>
      </c>
      <c r="BG128" s="30">
        <f>IF($AX128="",0,IFERROR(INDEX(engDados,MATCH(selAnalito&amp;"|"&amp;$B128,engChave,0),21),0))</f>
        <v>0</v>
      </c>
      <c r="BH128" s="30" t="str">
        <f>IF($AX128="","",IFERROR(INDEX(engDados,MATCH(selAnalito&amp;"|"&amp;$B128,engChave,0),23),""))</f>
        <v/>
      </c>
      <c r="BI128" s="30" t="e">
        <f t="shared" si="129"/>
        <v>#N/A</v>
      </c>
      <c r="BJ128" s="30" t="e">
        <f t="shared" si="130"/>
        <v>#N/A</v>
      </c>
      <c r="BK128" s="30" t="e">
        <f t="shared" si="131"/>
        <v>#N/A</v>
      </c>
      <c r="BL128" s="30" t="e">
        <f t="shared" si="132"/>
        <v>#N/A</v>
      </c>
      <c r="BM128" s="30" t="e">
        <f t="shared" si="133"/>
        <v>#N/A</v>
      </c>
      <c r="BN128" s="30" t="e">
        <f t="shared" si="134"/>
        <v>#N/A</v>
      </c>
      <c r="BO128" s="30" t="e">
        <f t="shared" si="135"/>
        <v>#N/A</v>
      </c>
      <c r="BP128" s="30" t="e">
        <f>IF(AND($D128=1,(""&amp;loteAnalise)=(""&amp;loteCarregado),COUNTIFS(regAnalito,selAnalito,regNivel,3,regData,$C128,regRep1,"&lt;&gt;")&gt;0),SUMIFS(regRep1,regAnalito,selAnalito,regNivel,3,regData,$C128),NA())</f>
        <v>#N/A</v>
      </c>
      <c r="BQ128" s="30" t="e">
        <f>IF(AND($D128=1,(""&amp;loteAnalise)=(""&amp;loteCarregado),COUNTIFS(regAnalito,selAnalito,regNivel,3,regData,$C128,regRep2,"&lt;&gt;")&gt;0),SUMIFS(regRep2,regAnalito,selAnalito,regNivel,3,regData,$C128),NA())</f>
        <v>#N/A</v>
      </c>
      <c r="BR128" s="30" t="e">
        <f>IF(AND($D128=1,(""&amp;loteAnalise)=(""&amp;loteCarregado),COUNTIFS(regAnalito,selAnalito,regNivel,3,regData,$C128,regRep3,"&lt;&gt;")&gt;0),SUMIFS(regRep3,regAnalito,selAnalito,regNivel,3,regData,$C128),NA())</f>
        <v>#N/A</v>
      </c>
      <c r="BS128" s="30" t="e">
        <f>IF(AND($D128=1,COUNTIFS(regAnalito,selAnalito,regData,$C128,regCalib,"Sim")&gt;0),$BX$1,NA())</f>
        <v>#N/A</v>
      </c>
    </row>
    <row r="129" spans="1:71" x14ac:dyDescent="0.3">
      <c r="A129" s="30">
        <v>127</v>
      </c>
      <c r="B129" s="30" t="str">
        <f>IF(OR(selAnalito="",(""&amp;engAnalito)&lt;&gt;(""&amp;selAnalito),(""&amp;engLote)&lt;&gt;(""&amp;loteAnalise),$A129&gt;N(engNRun)),"",INDEX(engRUN,$A129))</f>
        <v/>
      </c>
      <c r="C129" s="43" t="str">
        <f>IF($B129="","",IF(INDEX(engData,$A129)="","",INDEX(engData,$A129)))</f>
        <v/>
      </c>
      <c r="D129" s="30">
        <f>IF($C129="",0,IF(AND(OR(filtroDe="",INT($C129)&gt;=INT(filtroDe)),OR(filtroAte="",INT($C129)&lt;=INT(filtroAte))),1,0))</f>
        <v>0</v>
      </c>
      <c r="E129" s="30" t="e">
        <f t="shared" si="102"/>
        <v>#N/A</v>
      </c>
      <c r="F129" s="30" t="str">
        <f>IF($B129="","",IF(INDEX(engValN1,$A129)="","",INDEX(engValN1,$A129)))</f>
        <v/>
      </c>
      <c r="G129" s="30" t="str">
        <f t="shared" si="103"/>
        <v/>
      </c>
      <c r="H129" s="30" t="e">
        <f t="shared" si="104"/>
        <v>#N/A</v>
      </c>
      <c r="I129" s="30" t="e">
        <f t="shared" si="105"/>
        <v>#N/A</v>
      </c>
      <c r="J129" s="30" t="e">
        <f t="shared" si="106"/>
        <v>#N/A</v>
      </c>
      <c r="K129" s="30">
        <f>IF($F129="",0,IFERROR(INDEX(engDados,MATCH(selAnalito&amp;"|"&amp;$B129,engChave,0),3),0))</f>
        <v>0</v>
      </c>
      <c r="L129" s="30">
        <f>IF($F129="",0,IFERROR(INDEX(engDados,MATCH(selAnalito&amp;"|"&amp;$B129,engChave,0),4),0))</f>
        <v>0</v>
      </c>
      <c r="M129" s="30">
        <f>IF($F129="",0,IFERROR(INDEX(engDados,MATCH(selAnalito&amp;"|"&amp;$B129,engChave,0),5),0))</f>
        <v>0</v>
      </c>
      <c r="N129" s="30">
        <f>IF($F129="",0,IFERROR(INDEX(engDados,MATCH(selAnalito&amp;"|"&amp;$B129,engChave,0),6),0))</f>
        <v>0</v>
      </c>
      <c r="O129" s="30">
        <f>IF($F129="",0,IFERROR(INDEX(engDados,MATCH(selAnalito&amp;"|"&amp;$B129,engChave,0),7),0))</f>
        <v>0</v>
      </c>
      <c r="P129" s="30" t="str">
        <f>IF($F129="","",IFERROR(INDEX(engDados,MATCH(selAnalito&amp;"|"&amp;$B129,engChave,0),9),""))</f>
        <v/>
      </c>
      <c r="Q129" s="30" t="e">
        <f t="shared" si="107"/>
        <v>#N/A</v>
      </c>
      <c r="R129" s="30" t="e">
        <f t="shared" si="108"/>
        <v>#N/A</v>
      </c>
      <c r="S129" s="30" t="e">
        <f t="shared" si="109"/>
        <v>#N/A</v>
      </c>
      <c r="T129" s="30" t="e">
        <f t="shared" si="110"/>
        <v>#N/A</v>
      </c>
      <c r="U129" s="30" t="e">
        <f t="shared" si="111"/>
        <v>#N/A</v>
      </c>
      <c r="V129" s="30" t="e">
        <f t="shared" si="112"/>
        <v>#N/A</v>
      </c>
      <c r="W129" s="30" t="e">
        <f t="shared" si="113"/>
        <v>#N/A</v>
      </c>
      <c r="X129" s="30" t="e">
        <f>IF(AND($D129=1,(""&amp;loteAnalise)=(""&amp;loteCarregado),COUNTIFS(regAnalito,selAnalito,regNivel,1,regData,$C129,regRep1,"&lt;&gt;")&gt;0),SUMIFS(regRep1,regAnalito,selAnalito,regNivel,1,regData,$C129),NA())</f>
        <v>#N/A</v>
      </c>
      <c r="Y129" s="30" t="e">
        <f>IF(AND($D129=1,(""&amp;loteAnalise)=(""&amp;loteCarregado),COUNTIFS(regAnalito,selAnalito,regNivel,1,regData,$C129,regRep2,"&lt;&gt;")&gt;0),SUMIFS(regRep2,regAnalito,selAnalito,regNivel,1,regData,$C129),NA())</f>
        <v>#N/A</v>
      </c>
      <c r="Z129" s="30" t="e">
        <f>IF(AND($D129=1,(""&amp;loteAnalise)=(""&amp;loteCarregado),COUNTIFS(regAnalito,selAnalito,regNivel,1,regData,$C129,regRep3,"&lt;&gt;")&gt;0),SUMIFS(regRep3,regAnalito,selAnalito,regNivel,1,regData,$C129),NA())</f>
        <v>#N/A</v>
      </c>
      <c r="AA129" s="30" t="e">
        <f>IF(AND($D129=1,COUNTIFS(regAnalito,selAnalito,regData,$C129,regCalib,"Sim")&gt;0),$BT$1,NA())</f>
        <v>#N/A</v>
      </c>
      <c r="AB129" s="30" t="str">
        <f>IF($B129="","",IF(INDEX(engValN2,$A129)="","",INDEX(engValN2,$A129)))</f>
        <v/>
      </c>
      <c r="AC129" s="30" t="str">
        <f t="shared" si="114"/>
        <v/>
      </c>
      <c r="AD129" s="30" t="e">
        <f t="shared" si="115"/>
        <v>#N/A</v>
      </c>
      <c r="AE129" s="30" t="e">
        <f t="shared" si="116"/>
        <v>#N/A</v>
      </c>
      <c r="AF129" s="30" t="e">
        <f t="shared" si="117"/>
        <v>#N/A</v>
      </c>
      <c r="AG129" s="30">
        <f>IF($AB129="",0,IFERROR(INDEX(engDados,MATCH(selAnalito&amp;"|"&amp;$B129,engChave,0),10),0))</f>
        <v>0</v>
      </c>
      <c r="AH129" s="30">
        <f>IF($AB129="",0,IFERROR(INDEX(engDados,MATCH(selAnalito&amp;"|"&amp;$B129,engChave,0),11),0))</f>
        <v>0</v>
      </c>
      <c r="AI129" s="30">
        <f>IF($AB129="",0,IFERROR(INDEX(engDados,MATCH(selAnalito&amp;"|"&amp;$B129,engChave,0),12),0))</f>
        <v>0</v>
      </c>
      <c r="AJ129" s="30">
        <f>IF($AB129="",0,IFERROR(INDEX(engDados,MATCH(selAnalito&amp;"|"&amp;$B129,engChave,0),13),0))</f>
        <v>0</v>
      </c>
      <c r="AK129" s="30">
        <f>IF($AB129="",0,IFERROR(INDEX(engDados,MATCH(selAnalito&amp;"|"&amp;$B129,engChave,0),14),0))</f>
        <v>0</v>
      </c>
      <c r="AL129" s="30" t="str">
        <f>IF($AB129="","",IFERROR(INDEX(engDados,MATCH(selAnalito&amp;"|"&amp;$B129,engChave,0),16),""))</f>
        <v/>
      </c>
      <c r="AM129" s="30" t="e">
        <f t="shared" si="118"/>
        <v>#N/A</v>
      </c>
      <c r="AN129" s="30" t="e">
        <f t="shared" si="119"/>
        <v>#N/A</v>
      </c>
      <c r="AO129" s="30" t="e">
        <f t="shared" si="120"/>
        <v>#N/A</v>
      </c>
      <c r="AP129" s="30" t="e">
        <f t="shared" si="121"/>
        <v>#N/A</v>
      </c>
      <c r="AQ129" s="30" t="e">
        <f t="shared" si="122"/>
        <v>#N/A</v>
      </c>
      <c r="AR129" s="30" t="e">
        <f t="shared" si="123"/>
        <v>#N/A</v>
      </c>
      <c r="AS129" s="30" t="e">
        <f t="shared" si="124"/>
        <v>#N/A</v>
      </c>
      <c r="AT129" s="30" t="e">
        <f>IF(AND($D129=1,(""&amp;loteAnalise)=(""&amp;loteCarregado),COUNTIFS(regAnalito,selAnalito,regNivel,2,regData,$C129,regRep1,"&lt;&gt;")&gt;0),SUMIFS(regRep1,regAnalito,selAnalito,regNivel,2,regData,$C129),NA())</f>
        <v>#N/A</v>
      </c>
      <c r="AU129" s="30" t="e">
        <f>IF(AND($D129=1,(""&amp;loteAnalise)=(""&amp;loteCarregado),COUNTIFS(regAnalito,selAnalito,regNivel,2,regData,$C129,regRep2,"&lt;&gt;")&gt;0),SUMIFS(regRep2,regAnalito,selAnalito,regNivel,2,regData,$C129),NA())</f>
        <v>#N/A</v>
      </c>
      <c r="AV129" s="30" t="e">
        <f>IF(AND($D129=1,(""&amp;loteAnalise)=(""&amp;loteCarregado),COUNTIFS(regAnalito,selAnalito,regNivel,2,regData,$C129,regRep3,"&lt;&gt;")&gt;0),SUMIFS(regRep3,regAnalito,selAnalito,regNivel,2,regData,$C129),NA())</f>
        <v>#N/A</v>
      </c>
      <c r="AW129" s="30" t="e">
        <f>IF(AND($D129=1,COUNTIFS(regAnalito,selAnalito,regData,$C129,regCalib,"Sim")&gt;0),$BV$1,NA())</f>
        <v>#N/A</v>
      </c>
      <c r="AX129" s="30" t="str">
        <f>IF($B129="","",IF(INDEX(engValN3,$A129)="","",INDEX(engValN3,$A129)))</f>
        <v/>
      </c>
      <c r="AY129" s="30" t="str">
        <f t="shared" si="125"/>
        <v/>
      </c>
      <c r="AZ129" s="30" t="e">
        <f t="shared" si="126"/>
        <v>#N/A</v>
      </c>
      <c r="BA129" s="30" t="e">
        <f t="shared" si="127"/>
        <v>#N/A</v>
      </c>
      <c r="BB129" s="30" t="e">
        <f t="shared" si="128"/>
        <v>#N/A</v>
      </c>
      <c r="BC129" s="30">
        <f>IF($AX129="",0,IFERROR(INDEX(engDados,MATCH(selAnalito&amp;"|"&amp;$B129,engChave,0),17),0))</f>
        <v>0</v>
      </c>
      <c r="BD129" s="30">
        <f>IF($AX129="",0,IFERROR(INDEX(engDados,MATCH(selAnalito&amp;"|"&amp;$B129,engChave,0),18),0))</f>
        <v>0</v>
      </c>
      <c r="BE129" s="30">
        <f>IF($AX129="",0,IFERROR(INDEX(engDados,MATCH(selAnalito&amp;"|"&amp;$B129,engChave,0),19),0))</f>
        <v>0</v>
      </c>
      <c r="BF129" s="30">
        <f>IF($AX129="",0,IFERROR(INDEX(engDados,MATCH(selAnalito&amp;"|"&amp;$B129,engChave,0),20),0))</f>
        <v>0</v>
      </c>
      <c r="BG129" s="30">
        <f>IF($AX129="",0,IFERROR(INDEX(engDados,MATCH(selAnalito&amp;"|"&amp;$B129,engChave,0),21),0))</f>
        <v>0</v>
      </c>
      <c r="BH129" s="30" t="str">
        <f>IF($AX129="","",IFERROR(INDEX(engDados,MATCH(selAnalito&amp;"|"&amp;$B129,engChave,0),23),""))</f>
        <v/>
      </c>
      <c r="BI129" s="30" t="e">
        <f t="shared" si="129"/>
        <v>#N/A</v>
      </c>
      <c r="BJ129" s="30" t="e">
        <f t="shared" si="130"/>
        <v>#N/A</v>
      </c>
      <c r="BK129" s="30" t="e">
        <f t="shared" si="131"/>
        <v>#N/A</v>
      </c>
      <c r="BL129" s="30" t="e">
        <f t="shared" si="132"/>
        <v>#N/A</v>
      </c>
      <c r="BM129" s="30" t="e">
        <f t="shared" si="133"/>
        <v>#N/A</v>
      </c>
      <c r="BN129" s="30" t="e">
        <f t="shared" si="134"/>
        <v>#N/A</v>
      </c>
      <c r="BO129" s="30" t="e">
        <f t="shared" si="135"/>
        <v>#N/A</v>
      </c>
      <c r="BP129" s="30" t="e">
        <f>IF(AND($D129=1,(""&amp;loteAnalise)=(""&amp;loteCarregado),COUNTIFS(regAnalito,selAnalito,regNivel,3,regData,$C129,regRep1,"&lt;&gt;")&gt;0),SUMIFS(regRep1,regAnalito,selAnalito,regNivel,3,regData,$C129),NA())</f>
        <v>#N/A</v>
      </c>
      <c r="BQ129" s="30" t="e">
        <f>IF(AND($D129=1,(""&amp;loteAnalise)=(""&amp;loteCarregado),COUNTIFS(regAnalito,selAnalito,regNivel,3,regData,$C129,regRep2,"&lt;&gt;")&gt;0),SUMIFS(regRep2,regAnalito,selAnalito,regNivel,3,regData,$C129),NA())</f>
        <v>#N/A</v>
      </c>
      <c r="BR129" s="30" t="e">
        <f>IF(AND($D129=1,(""&amp;loteAnalise)=(""&amp;loteCarregado),COUNTIFS(regAnalito,selAnalito,regNivel,3,regData,$C129,regRep3,"&lt;&gt;")&gt;0),SUMIFS(regRep3,regAnalito,selAnalito,regNivel,3,regData,$C129),NA())</f>
        <v>#N/A</v>
      </c>
      <c r="BS129" s="30" t="e">
        <f>IF(AND($D129=1,COUNTIFS(regAnalito,selAnalito,regData,$C129,regCalib,"Sim")&gt;0),$BX$1,NA())</f>
        <v>#N/A</v>
      </c>
    </row>
    <row r="130" spans="1:71" x14ac:dyDescent="0.3">
      <c r="A130" s="30">
        <v>128</v>
      </c>
      <c r="B130" s="30" t="str">
        <f>IF(OR(selAnalito="",(""&amp;engAnalito)&lt;&gt;(""&amp;selAnalito),(""&amp;engLote)&lt;&gt;(""&amp;loteAnalise),$A130&gt;N(engNRun)),"",INDEX(engRUN,$A130))</f>
        <v/>
      </c>
      <c r="C130" s="43" t="str">
        <f>IF($B130="","",IF(INDEX(engData,$A130)="","",INDEX(engData,$A130)))</f>
        <v/>
      </c>
      <c r="D130" s="30">
        <f>IF($C130="",0,IF(AND(OR(filtroDe="",INT($C130)&gt;=INT(filtroDe)),OR(filtroAte="",INT($C130)&lt;=INT(filtroAte))),1,0))</f>
        <v>0</v>
      </c>
      <c r="E130" s="30" t="e">
        <f t="shared" si="102"/>
        <v>#N/A</v>
      </c>
      <c r="F130" s="30" t="str">
        <f>IF($B130="","",IF(INDEX(engValN1,$A130)="","",INDEX(engValN1,$A130)))</f>
        <v/>
      </c>
      <c r="G130" s="30" t="str">
        <f t="shared" si="103"/>
        <v/>
      </c>
      <c r="H130" s="30" t="e">
        <f t="shared" si="104"/>
        <v>#N/A</v>
      </c>
      <c r="I130" s="30" t="e">
        <f t="shared" si="105"/>
        <v>#N/A</v>
      </c>
      <c r="J130" s="30" t="e">
        <f t="shared" si="106"/>
        <v>#N/A</v>
      </c>
      <c r="K130" s="30">
        <f>IF($F130="",0,IFERROR(INDEX(engDados,MATCH(selAnalito&amp;"|"&amp;$B130,engChave,0),3),0))</f>
        <v>0</v>
      </c>
      <c r="L130" s="30">
        <f>IF($F130="",0,IFERROR(INDEX(engDados,MATCH(selAnalito&amp;"|"&amp;$B130,engChave,0),4),0))</f>
        <v>0</v>
      </c>
      <c r="M130" s="30">
        <f>IF($F130="",0,IFERROR(INDEX(engDados,MATCH(selAnalito&amp;"|"&amp;$B130,engChave,0),5),0))</f>
        <v>0</v>
      </c>
      <c r="N130" s="30">
        <f>IF($F130="",0,IFERROR(INDEX(engDados,MATCH(selAnalito&amp;"|"&amp;$B130,engChave,0),6),0))</f>
        <v>0</v>
      </c>
      <c r="O130" s="30">
        <f>IF($F130="",0,IFERROR(INDEX(engDados,MATCH(selAnalito&amp;"|"&amp;$B130,engChave,0),7),0))</f>
        <v>0</v>
      </c>
      <c r="P130" s="30" t="str">
        <f>IF($F130="","",IFERROR(INDEX(engDados,MATCH(selAnalito&amp;"|"&amp;$B130,engChave,0),9),""))</f>
        <v/>
      </c>
      <c r="Q130" s="30" t="e">
        <f t="shared" si="107"/>
        <v>#N/A</v>
      </c>
      <c r="R130" s="30" t="e">
        <f t="shared" si="108"/>
        <v>#N/A</v>
      </c>
      <c r="S130" s="30" t="e">
        <f t="shared" si="109"/>
        <v>#N/A</v>
      </c>
      <c r="T130" s="30" t="e">
        <f t="shared" si="110"/>
        <v>#N/A</v>
      </c>
      <c r="U130" s="30" t="e">
        <f t="shared" si="111"/>
        <v>#N/A</v>
      </c>
      <c r="V130" s="30" t="e">
        <f t="shared" si="112"/>
        <v>#N/A</v>
      </c>
      <c r="W130" s="30" t="e">
        <f t="shared" si="113"/>
        <v>#N/A</v>
      </c>
      <c r="X130" s="30" t="e">
        <f>IF(AND($D130=1,(""&amp;loteAnalise)=(""&amp;loteCarregado),COUNTIFS(regAnalito,selAnalito,regNivel,1,regData,$C130,regRep1,"&lt;&gt;")&gt;0),SUMIFS(regRep1,regAnalito,selAnalito,regNivel,1,regData,$C130),NA())</f>
        <v>#N/A</v>
      </c>
      <c r="Y130" s="30" t="e">
        <f>IF(AND($D130=1,(""&amp;loteAnalise)=(""&amp;loteCarregado),COUNTIFS(regAnalito,selAnalito,regNivel,1,regData,$C130,regRep2,"&lt;&gt;")&gt;0),SUMIFS(regRep2,regAnalito,selAnalito,regNivel,1,regData,$C130),NA())</f>
        <v>#N/A</v>
      </c>
      <c r="Z130" s="30" t="e">
        <f>IF(AND($D130=1,(""&amp;loteAnalise)=(""&amp;loteCarregado),COUNTIFS(regAnalito,selAnalito,regNivel,1,regData,$C130,regRep3,"&lt;&gt;")&gt;0),SUMIFS(regRep3,regAnalito,selAnalito,regNivel,1,regData,$C130),NA())</f>
        <v>#N/A</v>
      </c>
      <c r="AA130" s="30" t="e">
        <f>IF(AND($D130=1,COUNTIFS(regAnalito,selAnalito,regData,$C130,regCalib,"Sim")&gt;0),$BT$1,NA())</f>
        <v>#N/A</v>
      </c>
      <c r="AB130" s="30" t="str">
        <f>IF($B130="","",IF(INDEX(engValN2,$A130)="","",INDEX(engValN2,$A130)))</f>
        <v/>
      </c>
      <c r="AC130" s="30" t="str">
        <f t="shared" si="114"/>
        <v/>
      </c>
      <c r="AD130" s="30" t="e">
        <f t="shared" si="115"/>
        <v>#N/A</v>
      </c>
      <c r="AE130" s="30" t="e">
        <f t="shared" si="116"/>
        <v>#N/A</v>
      </c>
      <c r="AF130" s="30" t="e">
        <f t="shared" si="117"/>
        <v>#N/A</v>
      </c>
      <c r="AG130" s="30">
        <f>IF($AB130="",0,IFERROR(INDEX(engDados,MATCH(selAnalito&amp;"|"&amp;$B130,engChave,0),10),0))</f>
        <v>0</v>
      </c>
      <c r="AH130" s="30">
        <f>IF($AB130="",0,IFERROR(INDEX(engDados,MATCH(selAnalito&amp;"|"&amp;$B130,engChave,0),11),0))</f>
        <v>0</v>
      </c>
      <c r="AI130" s="30">
        <f>IF($AB130="",0,IFERROR(INDEX(engDados,MATCH(selAnalito&amp;"|"&amp;$B130,engChave,0),12),0))</f>
        <v>0</v>
      </c>
      <c r="AJ130" s="30">
        <f>IF($AB130="",0,IFERROR(INDEX(engDados,MATCH(selAnalito&amp;"|"&amp;$B130,engChave,0),13),0))</f>
        <v>0</v>
      </c>
      <c r="AK130" s="30">
        <f>IF($AB130="",0,IFERROR(INDEX(engDados,MATCH(selAnalito&amp;"|"&amp;$B130,engChave,0),14),0))</f>
        <v>0</v>
      </c>
      <c r="AL130" s="30" t="str">
        <f>IF($AB130="","",IFERROR(INDEX(engDados,MATCH(selAnalito&amp;"|"&amp;$B130,engChave,0),16),""))</f>
        <v/>
      </c>
      <c r="AM130" s="30" t="e">
        <f t="shared" si="118"/>
        <v>#N/A</v>
      </c>
      <c r="AN130" s="30" t="e">
        <f t="shared" si="119"/>
        <v>#N/A</v>
      </c>
      <c r="AO130" s="30" t="e">
        <f t="shared" si="120"/>
        <v>#N/A</v>
      </c>
      <c r="AP130" s="30" t="e">
        <f t="shared" si="121"/>
        <v>#N/A</v>
      </c>
      <c r="AQ130" s="30" t="e">
        <f t="shared" si="122"/>
        <v>#N/A</v>
      </c>
      <c r="AR130" s="30" t="e">
        <f t="shared" si="123"/>
        <v>#N/A</v>
      </c>
      <c r="AS130" s="30" t="e">
        <f t="shared" si="124"/>
        <v>#N/A</v>
      </c>
      <c r="AT130" s="30" t="e">
        <f>IF(AND($D130=1,(""&amp;loteAnalise)=(""&amp;loteCarregado),COUNTIFS(regAnalito,selAnalito,regNivel,2,regData,$C130,regRep1,"&lt;&gt;")&gt;0),SUMIFS(regRep1,regAnalito,selAnalito,regNivel,2,regData,$C130),NA())</f>
        <v>#N/A</v>
      </c>
      <c r="AU130" s="30" t="e">
        <f>IF(AND($D130=1,(""&amp;loteAnalise)=(""&amp;loteCarregado),COUNTIFS(regAnalito,selAnalito,regNivel,2,regData,$C130,regRep2,"&lt;&gt;")&gt;0),SUMIFS(regRep2,regAnalito,selAnalito,regNivel,2,regData,$C130),NA())</f>
        <v>#N/A</v>
      </c>
      <c r="AV130" s="30" t="e">
        <f>IF(AND($D130=1,(""&amp;loteAnalise)=(""&amp;loteCarregado),COUNTIFS(regAnalito,selAnalito,regNivel,2,regData,$C130,regRep3,"&lt;&gt;")&gt;0),SUMIFS(regRep3,regAnalito,selAnalito,regNivel,2,regData,$C130),NA())</f>
        <v>#N/A</v>
      </c>
      <c r="AW130" s="30" t="e">
        <f>IF(AND($D130=1,COUNTIFS(regAnalito,selAnalito,regData,$C130,regCalib,"Sim")&gt;0),$BV$1,NA())</f>
        <v>#N/A</v>
      </c>
      <c r="AX130" s="30" t="str">
        <f>IF($B130="","",IF(INDEX(engValN3,$A130)="","",INDEX(engValN3,$A130)))</f>
        <v/>
      </c>
      <c r="AY130" s="30" t="str">
        <f t="shared" si="125"/>
        <v/>
      </c>
      <c r="AZ130" s="30" t="e">
        <f t="shared" si="126"/>
        <v>#N/A</v>
      </c>
      <c r="BA130" s="30" t="e">
        <f t="shared" si="127"/>
        <v>#N/A</v>
      </c>
      <c r="BB130" s="30" t="e">
        <f t="shared" si="128"/>
        <v>#N/A</v>
      </c>
      <c r="BC130" s="30">
        <f>IF($AX130="",0,IFERROR(INDEX(engDados,MATCH(selAnalito&amp;"|"&amp;$B130,engChave,0),17),0))</f>
        <v>0</v>
      </c>
      <c r="BD130" s="30">
        <f>IF($AX130="",0,IFERROR(INDEX(engDados,MATCH(selAnalito&amp;"|"&amp;$B130,engChave,0),18),0))</f>
        <v>0</v>
      </c>
      <c r="BE130" s="30">
        <f>IF($AX130="",0,IFERROR(INDEX(engDados,MATCH(selAnalito&amp;"|"&amp;$B130,engChave,0),19),0))</f>
        <v>0</v>
      </c>
      <c r="BF130" s="30">
        <f>IF($AX130="",0,IFERROR(INDEX(engDados,MATCH(selAnalito&amp;"|"&amp;$B130,engChave,0),20),0))</f>
        <v>0</v>
      </c>
      <c r="BG130" s="30">
        <f>IF($AX130="",0,IFERROR(INDEX(engDados,MATCH(selAnalito&amp;"|"&amp;$B130,engChave,0),21),0))</f>
        <v>0</v>
      </c>
      <c r="BH130" s="30" t="str">
        <f>IF($AX130="","",IFERROR(INDEX(engDados,MATCH(selAnalito&amp;"|"&amp;$B130,engChave,0),23),""))</f>
        <v/>
      </c>
      <c r="BI130" s="30" t="e">
        <f t="shared" si="129"/>
        <v>#N/A</v>
      </c>
      <c r="BJ130" s="30" t="e">
        <f t="shared" si="130"/>
        <v>#N/A</v>
      </c>
      <c r="BK130" s="30" t="e">
        <f t="shared" si="131"/>
        <v>#N/A</v>
      </c>
      <c r="BL130" s="30" t="e">
        <f t="shared" si="132"/>
        <v>#N/A</v>
      </c>
      <c r="BM130" s="30" t="e">
        <f t="shared" si="133"/>
        <v>#N/A</v>
      </c>
      <c r="BN130" s="30" t="e">
        <f t="shared" si="134"/>
        <v>#N/A</v>
      </c>
      <c r="BO130" s="30" t="e">
        <f t="shared" si="135"/>
        <v>#N/A</v>
      </c>
      <c r="BP130" s="30" t="e">
        <f>IF(AND($D130=1,(""&amp;loteAnalise)=(""&amp;loteCarregado),COUNTIFS(regAnalito,selAnalito,regNivel,3,regData,$C130,regRep1,"&lt;&gt;")&gt;0),SUMIFS(regRep1,regAnalito,selAnalito,regNivel,3,regData,$C130),NA())</f>
        <v>#N/A</v>
      </c>
      <c r="BQ130" s="30" t="e">
        <f>IF(AND($D130=1,(""&amp;loteAnalise)=(""&amp;loteCarregado),COUNTIFS(regAnalito,selAnalito,regNivel,3,regData,$C130,regRep2,"&lt;&gt;")&gt;0),SUMIFS(regRep2,regAnalito,selAnalito,regNivel,3,regData,$C130),NA())</f>
        <v>#N/A</v>
      </c>
      <c r="BR130" s="30" t="e">
        <f>IF(AND($D130=1,(""&amp;loteAnalise)=(""&amp;loteCarregado),COUNTIFS(regAnalito,selAnalito,regNivel,3,regData,$C130,regRep3,"&lt;&gt;")&gt;0),SUMIFS(regRep3,regAnalito,selAnalito,regNivel,3,regData,$C130),NA())</f>
        <v>#N/A</v>
      </c>
      <c r="BS130" s="30" t="e">
        <f>IF(AND($D130=1,COUNTIFS(regAnalito,selAnalito,regData,$C130,regCalib,"Sim")&gt;0),$BX$1,NA())</f>
        <v>#N/A</v>
      </c>
    </row>
    <row r="131" spans="1:71" x14ac:dyDescent="0.3">
      <c r="A131" s="30">
        <v>129</v>
      </c>
      <c r="B131" s="30" t="str">
        <f>IF(OR(selAnalito="",(""&amp;engAnalito)&lt;&gt;(""&amp;selAnalito),(""&amp;engLote)&lt;&gt;(""&amp;loteAnalise),$A131&gt;N(engNRun)),"",INDEX(engRUN,$A131))</f>
        <v/>
      </c>
      <c r="C131" s="43" t="str">
        <f>IF($B131="","",IF(INDEX(engData,$A131)="","",INDEX(engData,$A131)))</f>
        <v/>
      </c>
      <c r="D131" s="30">
        <f>IF($C131="",0,IF(AND(OR(filtroDe="",INT($C131)&gt;=INT(filtroDe)),OR(filtroAte="",INT($C131)&lt;=INT(filtroAte))),1,0))</f>
        <v>0</v>
      </c>
      <c r="E131" s="30" t="e">
        <f t="shared" ref="E131:E162" si="136">IF(OR($B131="",$D131=0),NA(),$A131)</f>
        <v>#N/A</v>
      </c>
      <c r="F131" s="30" t="str">
        <f>IF($B131="","",IF(INDEX(engValN1,$A131)="","",INDEX(engValN1,$A131)))</f>
        <v/>
      </c>
      <c r="G131" s="30" t="str">
        <f t="shared" ref="G131:G162" si="137">IF(OR($F131="",$BU$1=""),"",($F131-$BT$1)/$BU$1)</f>
        <v/>
      </c>
      <c r="H131" s="30" t="e">
        <f t="shared" ref="H131:H162" si="138">IF(AND($F131&lt;&gt;"",$D131=1),$F131,NA())</f>
        <v>#N/A</v>
      </c>
      <c r="I131" s="30" t="e">
        <f t="shared" ref="I131:I162" si="139">IF(AND($F131&lt;&gt;"",$D131=1,$P131="OK"),$F131,NA())</f>
        <v>#N/A</v>
      </c>
      <c r="J131" s="30" t="e">
        <f t="shared" ref="J131:J162" si="140">IF(AND($F131&lt;&gt;"",$D131=1,$P131="REJEITADO"),$F131,NA())</f>
        <v>#N/A</v>
      </c>
      <c r="K131" s="30">
        <f>IF($F131="",0,IFERROR(INDEX(engDados,MATCH(selAnalito&amp;"|"&amp;$B131,engChave,0),3),0))</f>
        <v>0</v>
      </c>
      <c r="L131" s="30">
        <f>IF($F131="",0,IFERROR(INDEX(engDados,MATCH(selAnalito&amp;"|"&amp;$B131,engChave,0),4),0))</f>
        <v>0</v>
      </c>
      <c r="M131" s="30">
        <f>IF($F131="",0,IFERROR(INDEX(engDados,MATCH(selAnalito&amp;"|"&amp;$B131,engChave,0),5),0))</f>
        <v>0</v>
      </c>
      <c r="N131" s="30">
        <f>IF($F131="",0,IFERROR(INDEX(engDados,MATCH(selAnalito&amp;"|"&amp;$B131,engChave,0),6),0))</f>
        <v>0</v>
      </c>
      <c r="O131" s="30">
        <f>IF($F131="",0,IFERROR(INDEX(engDados,MATCH(selAnalito&amp;"|"&amp;$B131,engChave,0),7),0))</f>
        <v>0</v>
      </c>
      <c r="P131" s="30" t="str">
        <f>IF($F131="","",IFERROR(INDEX(engDados,MATCH(selAnalito&amp;"|"&amp;$B131,engChave,0),9),""))</f>
        <v/>
      </c>
      <c r="Q131" s="30" t="e">
        <f t="shared" ref="Q131:Q162" si="141">IF(AND($D131=1,$BT$1&lt;&gt;""),$BT$1+(-3)*$BU$1,NA())</f>
        <v>#N/A</v>
      </c>
      <c r="R131" s="30" t="e">
        <f t="shared" ref="R131:R162" si="142">IF(AND($D131=1,$BT$1&lt;&gt;""),$BT$1+(-2)*$BU$1,NA())</f>
        <v>#N/A</v>
      </c>
      <c r="S131" s="30" t="e">
        <f t="shared" ref="S131:S162" si="143">IF(AND($D131=1,$BT$1&lt;&gt;""),$BT$1+(-1)*$BU$1,NA())</f>
        <v>#N/A</v>
      </c>
      <c r="T131" s="30" t="e">
        <f t="shared" ref="T131:T162" si="144">IF(AND($D131=1,$BT$1&lt;&gt;""),$BT$1,NA())</f>
        <v>#N/A</v>
      </c>
      <c r="U131" s="30" t="e">
        <f t="shared" ref="U131:U162" si="145">IF(AND($D131=1,$BT$1&lt;&gt;""),$BT$1+(1)*$BU$1,NA())</f>
        <v>#N/A</v>
      </c>
      <c r="V131" s="30" t="e">
        <f t="shared" ref="V131:V162" si="146">IF(AND($D131=1,$BT$1&lt;&gt;""),$BT$1+(2)*$BU$1,NA())</f>
        <v>#N/A</v>
      </c>
      <c r="W131" s="30" t="e">
        <f t="shared" ref="W131:W162" si="147">IF(AND($D131=1,$BT$1&lt;&gt;""),$BT$1+(3)*$BU$1,NA())</f>
        <v>#N/A</v>
      </c>
      <c r="X131" s="30" t="e">
        <f>IF(AND($D131=1,(""&amp;loteAnalise)=(""&amp;loteCarregado),COUNTIFS(regAnalito,selAnalito,regNivel,1,regData,$C131,regRep1,"&lt;&gt;")&gt;0),SUMIFS(regRep1,regAnalito,selAnalito,regNivel,1,regData,$C131),NA())</f>
        <v>#N/A</v>
      </c>
      <c r="Y131" s="30" t="e">
        <f>IF(AND($D131=1,(""&amp;loteAnalise)=(""&amp;loteCarregado),COUNTIFS(regAnalito,selAnalito,regNivel,1,regData,$C131,regRep2,"&lt;&gt;")&gt;0),SUMIFS(regRep2,regAnalito,selAnalito,regNivel,1,regData,$C131),NA())</f>
        <v>#N/A</v>
      </c>
      <c r="Z131" s="30" t="e">
        <f>IF(AND($D131=1,(""&amp;loteAnalise)=(""&amp;loteCarregado),COUNTIFS(regAnalito,selAnalito,regNivel,1,regData,$C131,regRep3,"&lt;&gt;")&gt;0),SUMIFS(regRep3,regAnalito,selAnalito,regNivel,1,regData,$C131),NA())</f>
        <v>#N/A</v>
      </c>
      <c r="AA131" s="30" t="e">
        <f>IF(AND($D131=1,COUNTIFS(regAnalito,selAnalito,regData,$C131,regCalib,"Sim")&gt;0),$BT$1,NA())</f>
        <v>#N/A</v>
      </c>
      <c r="AB131" s="30" t="str">
        <f>IF($B131="","",IF(INDEX(engValN2,$A131)="","",INDEX(engValN2,$A131)))</f>
        <v/>
      </c>
      <c r="AC131" s="30" t="str">
        <f t="shared" ref="AC131:AC162" si="148">IF(OR($AB131="",$BW$1=""),"",($AB131-$BV$1)/$BW$1)</f>
        <v/>
      </c>
      <c r="AD131" s="30" t="e">
        <f t="shared" ref="AD131:AD162" si="149">IF(AND($AB131&lt;&gt;"",$D131=1),$AB131,NA())</f>
        <v>#N/A</v>
      </c>
      <c r="AE131" s="30" t="e">
        <f t="shared" ref="AE131:AE162" si="150">IF(AND($AB131&lt;&gt;"",$D131=1,$AL131="OK"),$AB131,NA())</f>
        <v>#N/A</v>
      </c>
      <c r="AF131" s="30" t="e">
        <f t="shared" ref="AF131:AF162" si="151">IF(AND($AB131&lt;&gt;"",$D131=1,$AL131="REJEITADO"),$AB131,NA())</f>
        <v>#N/A</v>
      </c>
      <c r="AG131" s="30">
        <f>IF($AB131="",0,IFERROR(INDEX(engDados,MATCH(selAnalito&amp;"|"&amp;$B131,engChave,0),10),0))</f>
        <v>0</v>
      </c>
      <c r="AH131" s="30">
        <f>IF($AB131="",0,IFERROR(INDEX(engDados,MATCH(selAnalito&amp;"|"&amp;$B131,engChave,0),11),0))</f>
        <v>0</v>
      </c>
      <c r="AI131" s="30">
        <f>IF($AB131="",0,IFERROR(INDEX(engDados,MATCH(selAnalito&amp;"|"&amp;$B131,engChave,0),12),0))</f>
        <v>0</v>
      </c>
      <c r="AJ131" s="30">
        <f>IF($AB131="",0,IFERROR(INDEX(engDados,MATCH(selAnalito&amp;"|"&amp;$B131,engChave,0),13),0))</f>
        <v>0</v>
      </c>
      <c r="AK131" s="30">
        <f>IF($AB131="",0,IFERROR(INDEX(engDados,MATCH(selAnalito&amp;"|"&amp;$B131,engChave,0),14),0))</f>
        <v>0</v>
      </c>
      <c r="AL131" s="30" t="str">
        <f>IF($AB131="","",IFERROR(INDEX(engDados,MATCH(selAnalito&amp;"|"&amp;$B131,engChave,0),16),""))</f>
        <v/>
      </c>
      <c r="AM131" s="30" t="e">
        <f t="shared" ref="AM131:AM162" si="152">IF(AND($D131=1,$BV$1&lt;&gt;""),$BV$1+(-3)*$BW$1,NA())</f>
        <v>#N/A</v>
      </c>
      <c r="AN131" s="30" t="e">
        <f t="shared" ref="AN131:AN162" si="153">IF(AND($D131=1,$BV$1&lt;&gt;""),$BV$1+(-2)*$BW$1,NA())</f>
        <v>#N/A</v>
      </c>
      <c r="AO131" s="30" t="e">
        <f t="shared" ref="AO131:AO162" si="154">IF(AND($D131=1,$BV$1&lt;&gt;""),$BV$1+(-1)*$BW$1,NA())</f>
        <v>#N/A</v>
      </c>
      <c r="AP131" s="30" t="e">
        <f t="shared" ref="AP131:AP162" si="155">IF(AND($D131=1,$BV$1&lt;&gt;""),$BV$1,NA())</f>
        <v>#N/A</v>
      </c>
      <c r="AQ131" s="30" t="e">
        <f t="shared" ref="AQ131:AQ162" si="156">IF(AND($D131=1,$BV$1&lt;&gt;""),$BV$1+(1)*$BW$1,NA())</f>
        <v>#N/A</v>
      </c>
      <c r="AR131" s="30" t="e">
        <f t="shared" ref="AR131:AR162" si="157">IF(AND($D131=1,$BV$1&lt;&gt;""),$BV$1+(2)*$BW$1,NA())</f>
        <v>#N/A</v>
      </c>
      <c r="AS131" s="30" t="e">
        <f t="shared" ref="AS131:AS162" si="158">IF(AND($D131=1,$BV$1&lt;&gt;""),$BV$1+(3)*$BW$1,NA())</f>
        <v>#N/A</v>
      </c>
      <c r="AT131" s="30" t="e">
        <f>IF(AND($D131=1,(""&amp;loteAnalise)=(""&amp;loteCarregado),COUNTIFS(regAnalito,selAnalito,regNivel,2,regData,$C131,regRep1,"&lt;&gt;")&gt;0),SUMIFS(regRep1,regAnalito,selAnalito,regNivel,2,regData,$C131),NA())</f>
        <v>#N/A</v>
      </c>
      <c r="AU131" s="30" t="e">
        <f>IF(AND($D131=1,(""&amp;loteAnalise)=(""&amp;loteCarregado),COUNTIFS(regAnalito,selAnalito,regNivel,2,regData,$C131,regRep2,"&lt;&gt;")&gt;0),SUMIFS(regRep2,regAnalito,selAnalito,regNivel,2,regData,$C131),NA())</f>
        <v>#N/A</v>
      </c>
      <c r="AV131" s="30" t="e">
        <f>IF(AND($D131=1,(""&amp;loteAnalise)=(""&amp;loteCarregado),COUNTIFS(regAnalito,selAnalito,regNivel,2,regData,$C131,regRep3,"&lt;&gt;")&gt;0),SUMIFS(regRep3,regAnalito,selAnalito,regNivel,2,regData,$C131),NA())</f>
        <v>#N/A</v>
      </c>
      <c r="AW131" s="30" t="e">
        <f>IF(AND($D131=1,COUNTIFS(regAnalito,selAnalito,regData,$C131,regCalib,"Sim")&gt;0),$BV$1,NA())</f>
        <v>#N/A</v>
      </c>
      <c r="AX131" s="30" t="str">
        <f>IF($B131="","",IF(INDEX(engValN3,$A131)="","",INDEX(engValN3,$A131)))</f>
        <v/>
      </c>
      <c r="AY131" s="30" t="str">
        <f t="shared" ref="AY131:AY162" si="159">IF(OR($AX131="",$BY$1=""),"",($AX131-$BX$1)/$BY$1)</f>
        <v/>
      </c>
      <c r="AZ131" s="30" t="e">
        <f t="shared" ref="AZ131:AZ162" si="160">IF(AND($AX131&lt;&gt;"",$D131=1),$AX131,NA())</f>
        <v>#N/A</v>
      </c>
      <c r="BA131" s="30" t="e">
        <f t="shared" ref="BA131:BA162" si="161">IF(AND($AX131&lt;&gt;"",$D131=1,$BH131="OK"),$AX131,NA())</f>
        <v>#N/A</v>
      </c>
      <c r="BB131" s="30" t="e">
        <f t="shared" ref="BB131:BB162" si="162">IF(AND($AX131&lt;&gt;"",$D131=1,$BH131="REJEITADO"),$AX131,NA())</f>
        <v>#N/A</v>
      </c>
      <c r="BC131" s="30">
        <f>IF($AX131="",0,IFERROR(INDEX(engDados,MATCH(selAnalito&amp;"|"&amp;$B131,engChave,0),17),0))</f>
        <v>0</v>
      </c>
      <c r="BD131" s="30">
        <f>IF($AX131="",0,IFERROR(INDEX(engDados,MATCH(selAnalito&amp;"|"&amp;$B131,engChave,0),18),0))</f>
        <v>0</v>
      </c>
      <c r="BE131" s="30">
        <f>IF($AX131="",0,IFERROR(INDEX(engDados,MATCH(selAnalito&amp;"|"&amp;$B131,engChave,0),19),0))</f>
        <v>0</v>
      </c>
      <c r="BF131" s="30">
        <f>IF($AX131="",0,IFERROR(INDEX(engDados,MATCH(selAnalito&amp;"|"&amp;$B131,engChave,0),20),0))</f>
        <v>0</v>
      </c>
      <c r="BG131" s="30">
        <f>IF($AX131="",0,IFERROR(INDEX(engDados,MATCH(selAnalito&amp;"|"&amp;$B131,engChave,0),21),0))</f>
        <v>0</v>
      </c>
      <c r="BH131" s="30" t="str">
        <f>IF($AX131="","",IFERROR(INDEX(engDados,MATCH(selAnalito&amp;"|"&amp;$B131,engChave,0),23),""))</f>
        <v/>
      </c>
      <c r="BI131" s="30" t="e">
        <f t="shared" ref="BI131:BI162" si="163">IF(AND($D131=1,$BX$1&lt;&gt;""),$BX$1+(-3)*$BY$1,NA())</f>
        <v>#N/A</v>
      </c>
      <c r="BJ131" s="30" t="e">
        <f t="shared" ref="BJ131:BJ162" si="164">IF(AND($D131=1,$BX$1&lt;&gt;""),$BX$1+(-2)*$BY$1,NA())</f>
        <v>#N/A</v>
      </c>
      <c r="BK131" s="30" t="e">
        <f t="shared" ref="BK131:BK162" si="165">IF(AND($D131=1,$BX$1&lt;&gt;""),$BX$1+(-1)*$BY$1,NA())</f>
        <v>#N/A</v>
      </c>
      <c r="BL131" s="30" t="e">
        <f t="shared" ref="BL131:BL162" si="166">IF(AND($D131=1,$BX$1&lt;&gt;""),$BX$1,NA())</f>
        <v>#N/A</v>
      </c>
      <c r="BM131" s="30" t="e">
        <f t="shared" ref="BM131:BM162" si="167">IF(AND($D131=1,$BX$1&lt;&gt;""),$BX$1+(1)*$BY$1,NA())</f>
        <v>#N/A</v>
      </c>
      <c r="BN131" s="30" t="e">
        <f t="shared" ref="BN131:BN162" si="168">IF(AND($D131=1,$BX$1&lt;&gt;""),$BX$1+(2)*$BY$1,NA())</f>
        <v>#N/A</v>
      </c>
      <c r="BO131" s="30" t="e">
        <f t="shared" ref="BO131:BO162" si="169">IF(AND($D131=1,$BX$1&lt;&gt;""),$BX$1+(3)*$BY$1,NA())</f>
        <v>#N/A</v>
      </c>
      <c r="BP131" s="30" t="e">
        <f>IF(AND($D131=1,(""&amp;loteAnalise)=(""&amp;loteCarregado),COUNTIFS(regAnalito,selAnalito,regNivel,3,regData,$C131,regRep1,"&lt;&gt;")&gt;0),SUMIFS(regRep1,regAnalito,selAnalito,regNivel,3,regData,$C131),NA())</f>
        <v>#N/A</v>
      </c>
      <c r="BQ131" s="30" t="e">
        <f>IF(AND($D131=1,(""&amp;loteAnalise)=(""&amp;loteCarregado),COUNTIFS(regAnalito,selAnalito,regNivel,3,regData,$C131,regRep2,"&lt;&gt;")&gt;0),SUMIFS(regRep2,regAnalito,selAnalito,regNivel,3,regData,$C131),NA())</f>
        <v>#N/A</v>
      </c>
      <c r="BR131" s="30" t="e">
        <f>IF(AND($D131=1,(""&amp;loteAnalise)=(""&amp;loteCarregado),COUNTIFS(regAnalito,selAnalito,regNivel,3,regData,$C131,regRep3,"&lt;&gt;")&gt;0),SUMIFS(regRep3,regAnalito,selAnalito,regNivel,3,regData,$C131),NA())</f>
        <v>#N/A</v>
      </c>
      <c r="BS131" s="30" t="e">
        <f>IF(AND($D131=1,COUNTIFS(regAnalito,selAnalito,regData,$C131,regCalib,"Sim")&gt;0),$BX$1,NA())</f>
        <v>#N/A</v>
      </c>
    </row>
    <row r="132" spans="1:71" x14ac:dyDescent="0.3">
      <c r="A132" s="30">
        <v>130</v>
      </c>
      <c r="B132" s="30" t="str">
        <f>IF(OR(selAnalito="",(""&amp;engAnalito)&lt;&gt;(""&amp;selAnalito),(""&amp;engLote)&lt;&gt;(""&amp;loteAnalise),$A132&gt;N(engNRun)),"",INDEX(engRUN,$A132))</f>
        <v/>
      </c>
      <c r="C132" s="43" t="str">
        <f>IF($B132="","",IF(INDEX(engData,$A132)="","",INDEX(engData,$A132)))</f>
        <v/>
      </c>
      <c r="D132" s="30">
        <f>IF($C132="",0,IF(AND(OR(filtroDe="",INT($C132)&gt;=INT(filtroDe)),OR(filtroAte="",INT($C132)&lt;=INT(filtroAte))),1,0))</f>
        <v>0</v>
      </c>
      <c r="E132" s="30" t="e">
        <f t="shared" si="136"/>
        <v>#N/A</v>
      </c>
      <c r="F132" s="30" t="str">
        <f>IF($B132="","",IF(INDEX(engValN1,$A132)="","",INDEX(engValN1,$A132)))</f>
        <v/>
      </c>
      <c r="G132" s="30" t="str">
        <f t="shared" si="137"/>
        <v/>
      </c>
      <c r="H132" s="30" t="e">
        <f t="shared" si="138"/>
        <v>#N/A</v>
      </c>
      <c r="I132" s="30" t="e">
        <f t="shared" si="139"/>
        <v>#N/A</v>
      </c>
      <c r="J132" s="30" t="e">
        <f t="shared" si="140"/>
        <v>#N/A</v>
      </c>
      <c r="K132" s="30">
        <f>IF($F132="",0,IFERROR(INDEX(engDados,MATCH(selAnalito&amp;"|"&amp;$B132,engChave,0),3),0))</f>
        <v>0</v>
      </c>
      <c r="L132" s="30">
        <f>IF($F132="",0,IFERROR(INDEX(engDados,MATCH(selAnalito&amp;"|"&amp;$B132,engChave,0),4),0))</f>
        <v>0</v>
      </c>
      <c r="M132" s="30">
        <f>IF($F132="",0,IFERROR(INDEX(engDados,MATCH(selAnalito&amp;"|"&amp;$B132,engChave,0),5),0))</f>
        <v>0</v>
      </c>
      <c r="N132" s="30">
        <f>IF($F132="",0,IFERROR(INDEX(engDados,MATCH(selAnalito&amp;"|"&amp;$B132,engChave,0),6),0))</f>
        <v>0</v>
      </c>
      <c r="O132" s="30">
        <f>IF($F132="",0,IFERROR(INDEX(engDados,MATCH(selAnalito&amp;"|"&amp;$B132,engChave,0),7),0))</f>
        <v>0</v>
      </c>
      <c r="P132" s="30" t="str">
        <f>IF($F132="","",IFERROR(INDEX(engDados,MATCH(selAnalito&amp;"|"&amp;$B132,engChave,0),9),""))</f>
        <v/>
      </c>
      <c r="Q132" s="30" t="e">
        <f t="shared" si="141"/>
        <v>#N/A</v>
      </c>
      <c r="R132" s="30" t="e">
        <f t="shared" si="142"/>
        <v>#N/A</v>
      </c>
      <c r="S132" s="30" t="e">
        <f t="shared" si="143"/>
        <v>#N/A</v>
      </c>
      <c r="T132" s="30" t="e">
        <f t="shared" si="144"/>
        <v>#N/A</v>
      </c>
      <c r="U132" s="30" t="e">
        <f t="shared" si="145"/>
        <v>#N/A</v>
      </c>
      <c r="V132" s="30" t="e">
        <f t="shared" si="146"/>
        <v>#N/A</v>
      </c>
      <c r="W132" s="30" t="e">
        <f t="shared" si="147"/>
        <v>#N/A</v>
      </c>
      <c r="X132" s="30" t="e">
        <f>IF(AND($D132=1,(""&amp;loteAnalise)=(""&amp;loteCarregado),COUNTIFS(regAnalito,selAnalito,regNivel,1,regData,$C132,regRep1,"&lt;&gt;")&gt;0),SUMIFS(regRep1,regAnalito,selAnalito,regNivel,1,regData,$C132),NA())</f>
        <v>#N/A</v>
      </c>
      <c r="Y132" s="30" t="e">
        <f>IF(AND($D132=1,(""&amp;loteAnalise)=(""&amp;loteCarregado),COUNTIFS(regAnalito,selAnalito,regNivel,1,regData,$C132,regRep2,"&lt;&gt;")&gt;0),SUMIFS(regRep2,regAnalito,selAnalito,regNivel,1,regData,$C132),NA())</f>
        <v>#N/A</v>
      </c>
      <c r="Z132" s="30" t="e">
        <f>IF(AND($D132=1,(""&amp;loteAnalise)=(""&amp;loteCarregado),COUNTIFS(regAnalito,selAnalito,regNivel,1,regData,$C132,regRep3,"&lt;&gt;")&gt;0),SUMIFS(regRep3,regAnalito,selAnalito,regNivel,1,regData,$C132),NA())</f>
        <v>#N/A</v>
      </c>
      <c r="AA132" s="30" t="e">
        <f>IF(AND($D132=1,COUNTIFS(regAnalito,selAnalito,regData,$C132,regCalib,"Sim")&gt;0),$BT$1,NA())</f>
        <v>#N/A</v>
      </c>
      <c r="AB132" s="30" t="str">
        <f>IF($B132="","",IF(INDEX(engValN2,$A132)="","",INDEX(engValN2,$A132)))</f>
        <v/>
      </c>
      <c r="AC132" s="30" t="str">
        <f t="shared" si="148"/>
        <v/>
      </c>
      <c r="AD132" s="30" t="e">
        <f t="shared" si="149"/>
        <v>#N/A</v>
      </c>
      <c r="AE132" s="30" t="e">
        <f t="shared" si="150"/>
        <v>#N/A</v>
      </c>
      <c r="AF132" s="30" t="e">
        <f t="shared" si="151"/>
        <v>#N/A</v>
      </c>
      <c r="AG132" s="30">
        <f>IF($AB132="",0,IFERROR(INDEX(engDados,MATCH(selAnalito&amp;"|"&amp;$B132,engChave,0),10),0))</f>
        <v>0</v>
      </c>
      <c r="AH132" s="30">
        <f>IF($AB132="",0,IFERROR(INDEX(engDados,MATCH(selAnalito&amp;"|"&amp;$B132,engChave,0),11),0))</f>
        <v>0</v>
      </c>
      <c r="AI132" s="30">
        <f>IF($AB132="",0,IFERROR(INDEX(engDados,MATCH(selAnalito&amp;"|"&amp;$B132,engChave,0),12),0))</f>
        <v>0</v>
      </c>
      <c r="AJ132" s="30">
        <f>IF($AB132="",0,IFERROR(INDEX(engDados,MATCH(selAnalito&amp;"|"&amp;$B132,engChave,0),13),0))</f>
        <v>0</v>
      </c>
      <c r="AK132" s="30">
        <f>IF($AB132="",0,IFERROR(INDEX(engDados,MATCH(selAnalito&amp;"|"&amp;$B132,engChave,0),14),0))</f>
        <v>0</v>
      </c>
      <c r="AL132" s="30" t="str">
        <f>IF($AB132="","",IFERROR(INDEX(engDados,MATCH(selAnalito&amp;"|"&amp;$B132,engChave,0),16),""))</f>
        <v/>
      </c>
      <c r="AM132" s="30" t="e">
        <f t="shared" si="152"/>
        <v>#N/A</v>
      </c>
      <c r="AN132" s="30" t="e">
        <f t="shared" si="153"/>
        <v>#N/A</v>
      </c>
      <c r="AO132" s="30" t="e">
        <f t="shared" si="154"/>
        <v>#N/A</v>
      </c>
      <c r="AP132" s="30" t="e">
        <f t="shared" si="155"/>
        <v>#N/A</v>
      </c>
      <c r="AQ132" s="30" t="e">
        <f t="shared" si="156"/>
        <v>#N/A</v>
      </c>
      <c r="AR132" s="30" t="e">
        <f t="shared" si="157"/>
        <v>#N/A</v>
      </c>
      <c r="AS132" s="30" t="e">
        <f t="shared" si="158"/>
        <v>#N/A</v>
      </c>
      <c r="AT132" s="30" t="e">
        <f>IF(AND($D132=1,(""&amp;loteAnalise)=(""&amp;loteCarregado),COUNTIFS(regAnalito,selAnalito,regNivel,2,regData,$C132,regRep1,"&lt;&gt;")&gt;0),SUMIFS(regRep1,regAnalito,selAnalito,regNivel,2,regData,$C132),NA())</f>
        <v>#N/A</v>
      </c>
      <c r="AU132" s="30" t="e">
        <f>IF(AND($D132=1,(""&amp;loteAnalise)=(""&amp;loteCarregado),COUNTIFS(regAnalito,selAnalito,regNivel,2,regData,$C132,regRep2,"&lt;&gt;")&gt;0),SUMIFS(regRep2,regAnalito,selAnalito,regNivel,2,regData,$C132),NA())</f>
        <v>#N/A</v>
      </c>
      <c r="AV132" s="30" t="e">
        <f>IF(AND($D132=1,(""&amp;loteAnalise)=(""&amp;loteCarregado),COUNTIFS(regAnalito,selAnalito,regNivel,2,regData,$C132,regRep3,"&lt;&gt;")&gt;0),SUMIFS(regRep3,regAnalito,selAnalito,regNivel,2,regData,$C132),NA())</f>
        <v>#N/A</v>
      </c>
      <c r="AW132" s="30" t="e">
        <f>IF(AND($D132=1,COUNTIFS(regAnalito,selAnalito,regData,$C132,regCalib,"Sim")&gt;0),$BV$1,NA())</f>
        <v>#N/A</v>
      </c>
      <c r="AX132" s="30" t="str">
        <f>IF($B132="","",IF(INDEX(engValN3,$A132)="","",INDEX(engValN3,$A132)))</f>
        <v/>
      </c>
      <c r="AY132" s="30" t="str">
        <f t="shared" si="159"/>
        <v/>
      </c>
      <c r="AZ132" s="30" t="e">
        <f t="shared" si="160"/>
        <v>#N/A</v>
      </c>
      <c r="BA132" s="30" t="e">
        <f t="shared" si="161"/>
        <v>#N/A</v>
      </c>
      <c r="BB132" s="30" t="e">
        <f t="shared" si="162"/>
        <v>#N/A</v>
      </c>
      <c r="BC132" s="30">
        <f>IF($AX132="",0,IFERROR(INDEX(engDados,MATCH(selAnalito&amp;"|"&amp;$B132,engChave,0),17),0))</f>
        <v>0</v>
      </c>
      <c r="BD132" s="30">
        <f>IF($AX132="",0,IFERROR(INDEX(engDados,MATCH(selAnalito&amp;"|"&amp;$B132,engChave,0),18),0))</f>
        <v>0</v>
      </c>
      <c r="BE132" s="30">
        <f>IF($AX132="",0,IFERROR(INDEX(engDados,MATCH(selAnalito&amp;"|"&amp;$B132,engChave,0),19),0))</f>
        <v>0</v>
      </c>
      <c r="BF132" s="30">
        <f>IF($AX132="",0,IFERROR(INDEX(engDados,MATCH(selAnalito&amp;"|"&amp;$B132,engChave,0),20),0))</f>
        <v>0</v>
      </c>
      <c r="BG132" s="30">
        <f>IF($AX132="",0,IFERROR(INDEX(engDados,MATCH(selAnalito&amp;"|"&amp;$B132,engChave,0),21),0))</f>
        <v>0</v>
      </c>
      <c r="BH132" s="30" t="str">
        <f>IF($AX132="","",IFERROR(INDEX(engDados,MATCH(selAnalito&amp;"|"&amp;$B132,engChave,0),23),""))</f>
        <v/>
      </c>
      <c r="BI132" s="30" t="e">
        <f t="shared" si="163"/>
        <v>#N/A</v>
      </c>
      <c r="BJ132" s="30" t="e">
        <f t="shared" si="164"/>
        <v>#N/A</v>
      </c>
      <c r="BK132" s="30" t="e">
        <f t="shared" si="165"/>
        <v>#N/A</v>
      </c>
      <c r="BL132" s="30" t="e">
        <f t="shared" si="166"/>
        <v>#N/A</v>
      </c>
      <c r="BM132" s="30" t="e">
        <f t="shared" si="167"/>
        <v>#N/A</v>
      </c>
      <c r="BN132" s="30" t="e">
        <f t="shared" si="168"/>
        <v>#N/A</v>
      </c>
      <c r="BO132" s="30" t="e">
        <f t="shared" si="169"/>
        <v>#N/A</v>
      </c>
      <c r="BP132" s="30" t="e">
        <f>IF(AND($D132=1,(""&amp;loteAnalise)=(""&amp;loteCarregado),COUNTIFS(regAnalito,selAnalito,regNivel,3,regData,$C132,regRep1,"&lt;&gt;")&gt;0),SUMIFS(regRep1,regAnalito,selAnalito,regNivel,3,regData,$C132),NA())</f>
        <v>#N/A</v>
      </c>
      <c r="BQ132" s="30" t="e">
        <f>IF(AND($D132=1,(""&amp;loteAnalise)=(""&amp;loteCarregado),COUNTIFS(regAnalito,selAnalito,regNivel,3,regData,$C132,regRep2,"&lt;&gt;")&gt;0),SUMIFS(regRep2,regAnalito,selAnalito,regNivel,3,regData,$C132),NA())</f>
        <v>#N/A</v>
      </c>
      <c r="BR132" s="30" t="e">
        <f>IF(AND($D132=1,(""&amp;loteAnalise)=(""&amp;loteCarregado),COUNTIFS(regAnalito,selAnalito,regNivel,3,regData,$C132,regRep3,"&lt;&gt;")&gt;0),SUMIFS(regRep3,regAnalito,selAnalito,regNivel,3,regData,$C132),NA())</f>
        <v>#N/A</v>
      </c>
      <c r="BS132" s="30" t="e">
        <f>IF(AND($D132=1,COUNTIFS(regAnalito,selAnalito,regData,$C132,regCalib,"Sim")&gt;0),$BX$1,NA())</f>
        <v>#N/A</v>
      </c>
    </row>
    <row r="133" spans="1:71" x14ac:dyDescent="0.3">
      <c r="A133" s="30">
        <v>131</v>
      </c>
      <c r="B133" s="30" t="str">
        <f>IF(OR(selAnalito="",(""&amp;engAnalito)&lt;&gt;(""&amp;selAnalito),(""&amp;engLote)&lt;&gt;(""&amp;loteAnalise),$A133&gt;N(engNRun)),"",INDEX(engRUN,$A133))</f>
        <v/>
      </c>
      <c r="C133" s="43" t="str">
        <f>IF($B133="","",IF(INDEX(engData,$A133)="","",INDEX(engData,$A133)))</f>
        <v/>
      </c>
      <c r="D133" s="30">
        <f>IF($C133="",0,IF(AND(OR(filtroDe="",INT($C133)&gt;=INT(filtroDe)),OR(filtroAte="",INT($C133)&lt;=INT(filtroAte))),1,0))</f>
        <v>0</v>
      </c>
      <c r="E133" s="30" t="e">
        <f t="shared" si="136"/>
        <v>#N/A</v>
      </c>
      <c r="F133" s="30" t="str">
        <f>IF($B133="","",IF(INDEX(engValN1,$A133)="","",INDEX(engValN1,$A133)))</f>
        <v/>
      </c>
      <c r="G133" s="30" t="str">
        <f t="shared" si="137"/>
        <v/>
      </c>
      <c r="H133" s="30" t="e">
        <f t="shared" si="138"/>
        <v>#N/A</v>
      </c>
      <c r="I133" s="30" t="e">
        <f t="shared" si="139"/>
        <v>#N/A</v>
      </c>
      <c r="J133" s="30" t="e">
        <f t="shared" si="140"/>
        <v>#N/A</v>
      </c>
      <c r="K133" s="30">
        <f>IF($F133="",0,IFERROR(INDEX(engDados,MATCH(selAnalito&amp;"|"&amp;$B133,engChave,0),3),0))</f>
        <v>0</v>
      </c>
      <c r="L133" s="30">
        <f>IF($F133="",0,IFERROR(INDEX(engDados,MATCH(selAnalito&amp;"|"&amp;$B133,engChave,0),4),0))</f>
        <v>0</v>
      </c>
      <c r="M133" s="30">
        <f>IF($F133="",0,IFERROR(INDEX(engDados,MATCH(selAnalito&amp;"|"&amp;$B133,engChave,0),5),0))</f>
        <v>0</v>
      </c>
      <c r="N133" s="30">
        <f>IF($F133="",0,IFERROR(INDEX(engDados,MATCH(selAnalito&amp;"|"&amp;$B133,engChave,0),6),0))</f>
        <v>0</v>
      </c>
      <c r="O133" s="30">
        <f>IF($F133="",0,IFERROR(INDEX(engDados,MATCH(selAnalito&amp;"|"&amp;$B133,engChave,0),7),0))</f>
        <v>0</v>
      </c>
      <c r="P133" s="30" t="str">
        <f>IF($F133="","",IFERROR(INDEX(engDados,MATCH(selAnalito&amp;"|"&amp;$B133,engChave,0),9),""))</f>
        <v/>
      </c>
      <c r="Q133" s="30" t="e">
        <f t="shared" si="141"/>
        <v>#N/A</v>
      </c>
      <c r="R133" s="30" t="e">
        <f t="shared" si="142"/>
        <v>#N/A</v>
      </c>
      <c r="S133" s="30" t="e">
        <f t="shared" si="143"/>
        <v>#N/A</v>
      </c>
      <c r="T133" s="30" t="e">
        <f t="shared" si="144"/>
        <v>#N/A</v>
      </c>
      <c r="U133" s="30" t="e">
        <f t="shared" si="145"/>
        <v>#N/A</v>
      </c>
      <c r="V133" s="30" t="e">
        <f t="shared" si="146"/>
        <v>#N/A</v>
      </c>
      <c r="W133" s="30" t="e">
        <f t="shared" si="147"/>
        <v>#N/A</v>
      </c>
      <c r="X133" s="30" t="e">
        <f>IF(AND($D133=1,(""&amp;loteAnalise)=(""&amp;loteCarregado),COUNTIFS(regAnalito,selAnalito,regNivel,1,regData,$C133,regRep1,"&lt;&gt;")&gt;0),SUMIFS(regRep1,regAnalito,selAnalito,regNivel,1,regData,$C133),NA())</f>
        <v>#N/A</v>
      </c>
      <c r="Y133" s="30" t="e">
        <f>IF(AND($D133=1,(""&amp;loteAnalise)=(""&amp;loteCarregado),COUNTIFS(regAnalito,selAnalito,regNivel,1,regData,$C133,regRep2,"&lt;&gt;")&gt;0),SUMIFS(regRep2,regAnalito,selAnalito,regNivel,1,regData,$C133),NA())</f>
        <v>#N/A</v>
      </c>
      <c r="Z133" s="30" t="e">
        <f>IF(AND($D133=1,(""&amp;loteAnalise)=(""&amp;loteCarregado),COUNTIFS(regAnalito,selAnalito,regNivel,1,regData,$C133,regRep3,"&lt;&gt;")&gt;0),SUMIFS(regRep3,regAnalito,selAnalito,regNivel,1,regData,$C133),NA())</f>
        <v>#N/A</v>
      </c>
      <c r="AA133" s="30" t="e">
        <f>IF(AND($D133=1,COUNTIFS(regAnalito,selAnalito,regData,$C133,regCalib,"Sim")&gt;0),$BT$1,NA())</f>
        <v>#N/A</v>
      </c>
      <c r="AB133" s="30" t="str">
        <f>IF($B133="","",IF(INDEX(engValN2,$A133)="","",INDEX(engValN2,$A133)))</f>
        <v/>
      </c>
      <c r="AC133" s="30" t="str">
        <f t="shared" si="148"/>
        <v/>
      </c>
      <c r="AD133" s="30" t="e">
        <f t="shared" si="149"/>
        <v>#N/A</v>
      </c>
      <c r="AE133" s="30" t="e">
        <f t="shared" si="150"/>
        <v>#N/A</v>
      </c>
      <c r="AF133" s="30" t="e">
        <f t="shared" si="151"/>
        <v>#N/A</v>
      </c>
      <c r="AG133" s="30">
        <f>IF($AB133="",0,IFERROR(INDEX(engDados,MATCH(selAnalito&amp;"|"&amp;$B133,engChave,0),10),0))</f>
        <v>0</v>
      </c>
      <c r="AH133" s="30">
        <f>IF($AB133="",0,IFERROR(INDEX(engDados,MATCH(selAnalito&amp;"|"&amp;$B133,engChave,0),11),0))</f>
        <v>0</v>
      </c>
      <c r="AI133" s="30">
        <f>IF($AB133="",0,IFERROR(INDEX(engDados,MATCH(selAnalito&amp;"|"&amp;$B133,engChave,0),12),0))</f>
        <v>0</v>
      </c>
      <c r="AJ133" s="30">
        <f>IF($AB133="",0,IFERROR(INDEX(engDados,MATCH(selAnalito&amp;"|"&amp;$B133,engChave,0),13),0))</f>
        <v>0</v>
      </c>
      <c r="AK133" s="30">
        <f>IF($AB133="",0,IFERROR(INDEX(engDados,MATCH(selAnalito&amp;"|"&amp;$B133,engChave,0),14),0))</f>
        <v>0</v>
      </c>
      <c r="AL133" s="30" t="str">
        <f>IF($AB133="","",IFERROR(INDEX(engDados,MATCH(selAnalito&amp;"|"&amp;$B133,engChave,0),16),""))</f>
        <v/>
      </c>
      <c r="AM133" s="30" t="e">
        <f t="shared" si="152"/>
        <v>#N/A</v>
      </c>
      <c r="AN133" s="30" t="e">
        <f t="shared" si="153"/>
        <v>#N/A</v>
      </c>
      <c r="AO133" s="30" t="e">
        <f t="shared" si="154"/>
        <v>#N/A</v>
      </c>
      <c r="AP133" s="30" t="e">
        <f t="shared" si="155"/>
        <v>#N/A</v>
      </c>
      <c r="AQ133" s="30" t="e">
        <f t="shared" si="156"/>
        <v>#N/A</v>
      </c>
      <c r="AR133" s="30" t="e">
        <f t="shared" si="157"/>
        <v>#N/A</v>
      </c>
      <c r="AS133" s="30" t="e">
        <f t="shared" si="158"/>
        <v>#N/A</v>
      </c>
      <c r="AT133" s="30" t="e">
        <f>IF(AND($D133=1,(""&amp;loteAnalise)=(""&amp;loteCarregado),COUNTIFS(regAnalito,selAnalito,regNivel,2,regData,$C133,regRep1,"&lt;&gt;")&gt;0),SUMIFS(regRep1,regAnalito,selAnalito,regNivel,2,regData,$C133),NA())</f>
        <v>#N/A</v>
      </c>
      <c r="AU133" s="30" t="e">
        <f>IF(AND($D133=1,(""&amp;loteAnalise)=(""&amp;loteCarregado),COUNTIFS(regAnalito,selAnalito,regNivel,2,regData,$C133,regRep2,"&lt;&gt;")&gt;0),SUMIFS(regRep2,regAnalito,selAnalito,regNivel,2,regData,$C133),NA())</f>
        <v>#N/A</v>
      </c>
      <c r="AV133" s="30" t="e">
        <f>IF(AND($D133=1,(""&amp;loteAnalise)=(""&amp;loteCarregado),COUNTIFS(regAnalito,selAnalito,regNivel,2,regData,$C133,regRep3,"&lt;&gt;")&gt;0),SUMIFS(regRep3,regAnalito,selAnalito,regNivel,2,regData,$C133),NA())</f>
        <v>#N/A</v>
      </c>
      <c r="AW133" s="30" t="e">
        <f>IF(AND($D133=1,COUNTIFS(regAnalito,selAnalito,regData,$C133,regCalib,"Sim")&gt;0),$BV$1,NA())</f>
        <v>#N/A</v>
      </c>
      <c r="AX133" s="30" t="str">
        <f>IF($B133="","",IF(INDEX(engValN3,$A133)="","",INDEX(engValN3,$A133)))</f>
        <v/>
      </c>
      <c r="AY133" s="30" t="str">
        <f t="shared" si="159"/>
        <v/>
      </c>
      <c r="AZ133" s="30" t="e">
        <f t="shared" si="160"/>
        <v>#N/A</v>
      </c>
      <c r="BA133" s="30" t="e">
        <f t="shared" si="161"/>
        <v>#N/A</v>
      </c>
      <c r="BB133" s="30" t="e">
        <f t="shared" si="162"/>
        <v>#N/A</v>
      </c>
      <c r="BC133" s="30">
        <f>IF($AX133="",0,IFERROR(INDEX(engDados,MATCH(selAnalito&amp;"|"&amp;$B133,engChave,0),17),0))</f>
        <v>0</v>
      </c>
      <c r="BD133" s="30">
        <f>IF($AX133="",0,IFERROR(INDEX(engDados,MATCH(selAnalito&amp;"|"&amp;$B133,engChave,0),18),0))</f>
        <v>0</v>
      </c>
      <c r="BE133" s="30">
        <f>IF($AX133="",0,IFERROR(INDEX(engDados,MATCH(selAnalito&amp;"|"&amp;$B133,engChave,0),19),0))</f>
        <v>0</v>
      </c>
      <c r="BF133" s="30">
        <f>IF($AX133="",0,IFERROR(INDEX(engDados,MATCH(selAnalito&amp;"|"&amp;$B133,engChave,0),20),0))</f>
        <v>0</v>
      </c>
      <c r="BG133" s="30">
        <f>IF($AX133="",0,IFERROR(INDEX(engDados,MATCH(selAnalito&amp;"|"&amp;$B133,engChave,0),21),0))</f>
        <v>0</v>
      </c>
      <c r="BH133" s="30" t="str">
        <f>IF($AX133="","",IFERROR(INDEX(engDados,MATCH(selAnalito&amp;"|"&amp;$B133,engChave,0),23),""))</f>
        <v/>
      </c>
      <c r="BI133" s="30" t="e">
        <f t="shared" si="163"/>
        <v>#N/A</v>
      </c>
      <c r="BJ133" s="30" t="e">
        <f t="shared" si="164"/>
        <v>#N/A</v>
      </c>
      <c r="BK133" s="30" t="e">
        <f t="shared" si="165"/>
        <v>#N/A</v>
      </c>
      <c r="BL133" s="30" t="e">
        <f t="shared" si="166"/>
        <v>#N/A</v>
      </c>
      <c r="BM133" s="30" t="e">
        <f t="shared" si="167"/>
        <v>#N/A</v>
      </c>
      <c r="BN133" s="30" t="e">
        <f t="shared" si="168"/>
        <v>#N/A</v>
      </c>
      <c r="BO133" s="30" t="e">
        <f t="shared" si="169"/>
        <v>#N/A</v>
      </c>
      <c r="BP133" s="30" t="e">
        <f>IF(AND($D133=1,(""&amp;loteAnalise)=(""&amp;loteCarregado),COUNTIFS(regAnalito,selAnalito,regNivel,3,regData,$C133,regRep1,"&lt;&gt;")&gt;0),SUMIFS(regRep1,regAnalito,selAnalito,regNivel,3,regData,$C133),NA())</f>
        <v>#N/A</v>
      </c>
      <c r="BQ133" s="30" t="e">
        <f>IF(AND($D133=1,(""&amp;loteAnalise)=(""&amp;loteCarregado),COUNTIFS(regAnalito,selAnalito,regNivel,3,regData,$C133,regRep2,"&lt;&gt;")&gt;0),SUMIFS(regRep2,regAnalito,selAnalito,regNivel,3,regData,$C133),NA())</f>
        <v>#N/A</v>
      </c>
      <c r="BR133" s="30" t="e">
        <f>IF(AND($D133=1,(""&amp;loteAnalise)=(""&amp;loteCarregado),COUNTIFS(regAnalito,selAnalito,regNivel,3,regData,$C133,regRep3,"&lt;&gt;")&gt;0),SUMIFS(regRep3,regAnalito,selAnalito,regNivel,3,regData,$C133),NA())</f>
        <v>#N/A</v>
      </c>
      <c r="BS133" s="30" t="e">
        <f>IF(AND($D133=1,COUNTIFS(regAnalito,selAnalito,regData,$C133,regCalib,"Sim")&gt;0),$BX$1,NA())</f>
        <v>#N/A</v>
      </c>
    </row>
    <row r="134" spans="1:71" x14ac:dyDescent="0.3">
      <c r="A134" s="30">
        <v>132</v>
      </c>
      <c r="B134" s="30" t="str">
        <f>IF(OR(selAnalito="",(""&amp;engAnalito)&lt;&gt;(""&amp;selAnalito),(""&amp;engLote)&lt;&gt;(""&amp;loteAnalise),$A134&gt;N(engNRun)),"",INDEX(engRUN,$A134))</f>
        <v/>
      </c>
      <c r="C134" s="43" t="str">
        <f>IF($B134="","",IF(INDEX(engData,$A134)="","",INDEX(engData,$A134)))</f>
        <v/>
      </c>
      <c r="D134" s="30">
        <f>IF($C134="",0,IF(AND(OR(filtroDe="",INT($C134)&gt;=INT(filtroDe)),OR(filtroAte="",INT($C134)&lt;=INT(filtroAte))),1,0))</f>
        <v>0</v>
      </c>
      <c r="E134" s="30" t="e">
        <f t="shared" si="136"/>
        <v>#N/A</v>
      </c>
      <c r="F134" s="30" t="str">
        <f>IF($B134="","",IF(INDEX(engValN1,$A134)="","",INDEX(engValN1,$A134)))</f>
        <v/>
      </c>
      <c r="G134" s="30" t="str">
        <f t="shared" si="137"/>
        <v/>
      </c>
      <c r="H134" s="30" t="e">
        <f t="shared" si="138"/>
        <v>#N/A</v>
      </c>
      <c r="I134" s="30" t="e">
        <f t="shared" si="139"/>
        <v>#N/A</v>
      </c>
      <c r="J134" s="30" t="e">
        <f t="shared" si="140"/>
        <v>#N/A</v>
      </c>
      <c r="K134" s="30">
        <f>IF($F134="",0,IFERROR(INDEX(engDados,MATCH(selAnalito&amp;"|"&amp;$B134,engChave,0),3),0))</f>
        <v>0</v>
      </c>
      <c r="L134" s="30">
        <f>IF($F134="",0,IFERROR(INDEX(engDados,MATCH(selAnalito&amp;"|"&amp;$B134,engChave,0),4),0))</f>
        <v>0</v>
      </c>
      <c r="M134" s="30">
        <f>IF($F134="",0,IFERROR(INDEX(engDados,MATCH(selAnalito&amp;"|"&amp;$B134,engChave,0),5),0))</f>
        <v>0</v>
      </c>
      <c r="N134" s="30">
        <f>IF($F134="",0,IFERROR(INDEX(engDados,MATCH(selAnalito&amp;"|"&amp;$B134,engChave,0),6),0))</f>
        <v>0</v>
      </c>
      <c r="O134" s="30">
        <f>IF($F134="",0,IFERROR(INDEX(engDados,MATCH(selAnalito&amp;"|"&amp;$B134,engChave,0),7),0))</f>
        <v>0</v>
      </c>
      <c r="P134" s="30" t="str">
        <f>IF($F134="","",IFERROR(INDEX(engDados,MATCH(selAnalito&amp;"|"&amp;$B134,engChave,0),9),""))</f>
        <v/>
      </c>
      <c r="Q134" s="30" t="e">
        <f t="shared" si="141"/>
        <v>#N/A</v>
      </c>
      <c r="R134" s="30" t="e">
        <f t="shared" si="142"/>
        <v>#N/A</v>
      </c>
      <c r="S134" s="30" t="e">
        <f t="shared" si="143"/>
        <v>#N/A</v>
      </c>
      <c r="T134" s="30" t="e">
        <f t="shared" si="144"/>
        <v>#N/A</v>
      </c>
      <c r="U134" s="30" t="e">
        <f t="shared" si="145"/>
        <v>#N/A</v>
      </c>
      <c r="V134" s="30" t="e">
        <f t="shared" si="146"/>
        <v>#N/A</v>
      </c>
      <c r="W134" s="30" t="e">
        <f t="shared" si="147"/>
        <v>#N/A</v>
      </c>
      <c r="X134" s="30" t="e">
        <f>IF(AND($D134=1,(""&amp;loteAnalise)=(""&amp;loteCarregado),COUNTIFS(regAnalito,selAnalito,regNivel,1,regData,$C134,regRep1,"&lt;&gt;")&gt;0),SUMIFS(regRep1,regAnalito,selAnalito,regNivel,1,regData,$C134),NA())</f>
        <v>#N/A</v>
      </c>
      <c r="Y134" s="30" t="e">
        <f>IF(AND($D134=1,(""&amp;loteAnalise)=(""&amp;loteCarregado),COUNTIFS(regAnalito,selAnalito,regNivel,1,regData,$C134,regRep2,"&lt;&gt;")&gt;0),SUMIFS(regRep2,regAnalito,selAnalito,regNivel,1,regData,$C134),NA())</f>
        <v>#N/A</v>
      </c>
      <c r="Z134" s="30" t="e">
        <f>IF(AND($D134=1,(""&amp;loteAnalise)=(""&amp;loteCarregado),COUNTIFS(regAnalito,selAnalito,regNivel,1,regData,$C134,regRep3,"&lt;&gt;")&gt;0),SUMIFS(regRep3,regAnalito,selAnalito,regNivel,1,regData,$C134),NA())</f>
        <v>#N/A</v>
      </c>
      <c r="AA134" s="30" t="e">
        <f>IF(AND($D134=1,COUNTIFS(regAnalito,selAnalito,regData,$C134,regCalib,"Sim")&gt;0),$BT$1,NA())</f>
        <v>#N/A</v>
      </c>
      <c r="AB134" s="30" t="str">
        <f>IF($B134="","",IF(INDEX(engValN2,$A134)="","",INDEX(engValN2,$A134)))</f>
        <v/>
      </c>
      <c r="AC134" s="30" t="str">
        <f t="shared" si="148"/>
        <v/>
      </c>
      <c r="AD134" s="30" t="e">
        <f t="shared" si="149"/>
        <v>#N/A</v>
      </c>
      <c r="AE134" s="30" t="e">
        <f t="shared" si="150"/>
        <v>#N/A</v>
      </c>
      <c r="AF134" s="30" t="e">
        <f t="shared" si="151"/>
        <v>#N/A</v>
      </c>
      <c r="AG134" s="30">
        <f>IF($AB134="",0,IFERROR(INDEX(engDados,MATCH(selAnalito&amp;"|"&amp;$B134,engChave,0),10),0))</f>
        <v>0</v>
      </c>
      <c r="AH134" s="30">
        <f>IF($AB134="",0,IFERROR(INDEX(engDados,MATCH(selAnalito&amp;"|"&amp;$B134,engChave,0),11),0))</f>
        <v>0</v>
      </c>
      <c r="AI134" s="30">
        <f>IF($AB134="",0,IFERROR(INDEX(engDados,MATCH(selAnalito&amp;"|"&amp;$B134,engChave,0),12),0))</f>
        <v>0</v>
      </c>
      <c r="AJ134" s="30">
        <f>IF($AB134="",0,IFERROR(INDEX(engDados,MATCH(selAnalito&amp;"|"&amp;$B134,engChave,0),13),0))</f>
        <v>0</v>
      </c>
      <c r="AK134" s="30">
        <f>IF($AB134="",0,IFERROR(INDEX(engDados,MATCH(selAnalito&amp;"|"&amp;$B134,engChave,0),14),0))</f>
        <v>0</v>
      </c>
      <c r="AL134" s="30" t="str">
        <f>IF($AB134="","",IFERROR(INDEX(engDados,MATCH(selAnalito&amp;"|"&amp;$B134,engChave,0),16),""))</f>
        <v/>
      </c>
      <c r="AM134" s="30" t="e">
        <f t="shared" si="152"/>
        <v>#N/A</v>
      </c>
      <c r="AN134" s="30" t="e">
        <f t="shared" si="153"/>
        <v>#N/A</v>
      </c>
      <c r="AO134" s="30" t="e">
        <f t="shared" si="154"/>
        <v>#N/A</v>
      </c>
      <c r="AP134" s="30" t="e">
        <f t="shared" si="155"/>
        <v>#N/A</v>
      </c>
      <c r="AQ134" s="30" t="e">
        <f t="shared" si="156"/>
        <v>#N/A</v>
      </c>
      <c r="AR134" s="30" t="e">
        <f t="shared" si="157"/>
        <v>#N/A</v>
      </c>
      <c r="AS134" s="30" t="e">
        <f t="shared" si="158"/>
        <v>#N/A</v>
      </c>
      <c r="AT134" s="30" t="e">
        <f>IF(AND($D134=1,(""&amp;loteAnalise)=(""&amp;loteCarregado),COUNTIFS(regAnalito,selAnalito,regNivel,2,regData,$C134,regRep1,"&lt;&gt;")&gt;0),SUMIFS(regRep1,regAnalito,selAnalito,regNivel,2,regData,$C134),NA())</f>
        <v>#N/A</v>
      </c>
      <c r="AU134" s="30" t="e">
        <f>IF(AND($D134=1,(""&amp;loteAnalise)=(""&amp;loteCarregado),COUNTIFS(regAnalito,selAnalito,regNivel,2,regData,$C134,regRep2,"&lt;&gt;")&gt;0),SUMIFS(regRep2,regAnalito,selAnalito,regNivel,2,regData,$C134),NA())</f>
        <v>#N/A</v>
      </c>
      <c r="AV134" s="30" t="e">
        <f>IF(AND($D134=1,(""&amp;loteAnalise)=(""&amp;loteCarregado),COUNTIFS(regAnalito,selAnalito,regNivel,2,regData,$C134,regRep3,"&lt;&gt;")&gt;0),SUMIFS(regRep3,regAnalito,selAnalito,regNivel,2,regData,$C134),NA())</f>
        <v>#N/A</v>
      </c>
      <c r="AW134" s="30" t="e">
        <f>IF(AND($D134=1,COUNTIFS(regAnalito,selAnalito,regData,$C134,regCalib,"Sim")&gt;0),$BV$1,NA())</f>
        <v>#N/A</v>
      </c>
      <c r="AX134" s="30" t="str">
        <f>IF($B134="","",IF(INDEX(engValN3,$A134)="","",INDEX(engValN3,$A134)))</f>
        <v/>
      </c>
      <c r="AY134" s="30" t="str">
        <f t="shared" si="159"/>
        <v/>
      </c>
      <c r="AZ134" s="30" t="e">
        <f t="shared" si="160"/>
        <v>#N/A</v>
      </c>
      <c r="BA134" s="30" t="e">
        <f t="shared" si="161"/>
        <v>#N/A</v>
      </c>
      <c r="BB134" s="30" t="e">
        <f t="shared" si="162"/>
        <v>#N/A</v>
      </c>
      <c r="BC134" s="30">
        <f>IF($AX134="",0,IFERROR(INDEX(engDados,MATCH(selAnalito&amp;"|"&amp;$B134,engChave,0),17),0))</f>
        <v>0</v>
      </c>
      <c r="BD134" s="30">
        <f>IF($AX134="",0,IFERROR(INDEX(engDados,MATCH(selAnalito&amp;"|"&amp;$B134,engChave,0),18),0))</f>
        <v>0</v>
      </c>
      <c r="BE134" s="30">
        <f>IF($AX134="",0,IFERROR(INDEX(engDados,MATCH(selAnalito&amp;"|"&amp;$B134,engChave,0),19),0))</f>
        <v>0</v>
      </c>
      <c r="BF134" s="30">
        <f>IF($AX134="",0,IFERROR(INDEX(engDados,MATCH(selAnalito&amp;"|"&amp;$B134,engChave,0),20),0))</f>
        <v>0</v>
      </c>
      <c r="BG134" s="30">
        <f>IF($AX134="",0,IFERROR(INDEX(engDados,MATCH(selAnalito&amp;"|"&amp;$B134,engChave,0),21),0))</f>
        <v>0</v>
      </c>
      <c r="BH134" s="30" t="str">
        <f>IF($AX134="","",IFERROR(INDEX(engDados,MATCH(selAnalito&amp;"|"&amp;$B134,engChave,0),23),""))</f>
        <v/>
      </c>
      <c r="BI134" s="30" t="e">
        <f t="shared" si="163"/>
        <v>#N/A</v>
      </c>
      <c r="BJ134" s="30" t="e">
        <f t="shared" si="164"/>
        <v>#N/A</v>
      </c>
      <c r="BK134" s="30" t="e">
        <f t="shared" si="165"/>
        <v>#N/A</v>
      </c>
      <c r="BL134" s="30" t="e">
        <f t="shared" si="166"/>
        <v>#N/A</v>
      </c>
      <c r="BM134" s="30" t="e">
        <f t="shared" si="167"/>
        <v>#N/A</v>
      </c>
      <c r="BN134" s="30" t="e">
        <f t="shared" si="168"/>
        <v>#N/A</v>
      </c>
      <c r="BO134" s="30" t="e">
        <f t="shared" si="169"/>
        <v>#N/A</v>
      </c>
      <c r="BP134" s="30" t="e">
        <f>IF(AND($D134=1,(""&amp;loteAnalise)=(""&amp;loteCarregado),COUNTIFS(regAnalito,selAnalito,regNivel,3,regData,$C134,regRep1,"&lt;&gt;")&gt;0),SUMIFS(regRep1,regAnalito,selAnalito,regNivel,3,regData,$C134),NA())</f>
        <v>#N/A</v>
      </c>
      <c r="BQ134" s="30" t="e">
        <f>IF(AND($D134=1,(""&amp;loteAnalise)=(""&amp;loteCarregado),COUNTIFS(regAnalito,selAnalito,regNivel,3,regData,$C134,regRep2,"&lt;&gt;")&gt;0),SUMIFS(regRep2,regAnalito,selAnalito,regNivel,3,regData,$C134),NA())</f>
        <v>#N/A</v>
      </c>
      <c r="BR134" s="30" t="e">
        <f>IF(AND($D134=1,(""&amp;loteAnalise)=(""&amp;loteCarregado),COUNTIFS(regAnalito,selAnalito,regNivel,3,regData,$C134,regRep3,"&lt;&gt;")&gt;0),SUMIFS(regRep3,regAnalito,selAnalito,regNivel,3,regData,$C134),NA())</f>
        <v>#N/A</v>
      </c>
      <c r="BS134" s="30" t="e">
        <f>IF(AND($D134=1,COUNTIFS(regAnalito,selAnalito,regData,$C134,regCalib,"Sim")&gt;0),$BX$1,NA())</f>
        <v>#N/A</v>
      </c>
    </row>
    <row r="135" spans="1:71" x14ac:dyDescent="0.3">
      <c r="A135" s="30">
        <v>133</v>
      </c>
      <c r="B135" s="30" t="str">
        <f>IF(OR(selAnalito="",(""&amp;engAnalito)&lt;&gt;(""&amp;selAnalito),(""&amp;engLote)&lt;&gt;(""&amp;loteAnalise),$A135&gt;N(engNRun)),"",INDEX(engRUN,$A135))</f>
        <v/>
      </c>
      <c r="C135" s="43" t="str">
        <f>IF($B135="","",IF(INDEX(engData,$A135)="","",INDEX(engData,$A135)))</f>
        <v/>
      </c>
      <c r="D135" s="30">
        <f>IF($C135="",0,IF(AND(OR(filtroDe="",INT($C135)&gt;=INT(filtroDe)),OR(filtroAte="",INT($C135)&lt;=INT(filtroAte))),1,0))</f>
        <v>0</v>
      </c>
      <c r="E135" s="30" t="e">
        <f t="shared" si="136"/>
        <v>#N/A</v>
      </c>
      <c r="F135" s="30" t="str">
        <f>IF($B135="","",IF(INDEX(engValN1,$A135)="","",INDEX(engValN1,$A135)))</f>
        <v/>
      </c>
      <c r="G135" s="30" t="str">
        <f t="shared" si="137"/>
        <v/>
      </c>
      <c r="H135" s="30" t="e">
        <f t="shared" si="138"/>
        <v>#N/A</v>
      </c>
      <c r="I135" s="30" t="e">
        <f t="shared" si="139"/>
        <v>#N/A</v>
      </c>
      <c r="J135" s="30" t="e">
        <f t="shared" si="140"/>
        <v>#N/A</v>
      </c>
      <c r="K135" s="30">
        <f>IF($F135="",0,IFERROR(INDEX(engDados,MATCH(selAnalito&amp;"|"&amp;$B135,engChave,0),3),0))</f>
        <v>0</v>
      </c>
      <c r="L135" s="30">
        <f>IF($F135="",0,IFERROR(INDEX(engDados,MATCH(selAnalito&amp;"|"&amp;$B135,engChave,0),4),0))</f>
        <v>0</v>
      </c>
      <c r="M135" s="30">
        <f>IF($F135="",0,IFERROR(INDEX(engDados,MATCH(selAnalito&amp;"|"&amp;$B135,engChave,0),5),0))</f>
        <v>0</v>
      </c>
      <c r="N135" s="30">
        <f>IF($F135="",0,IFERROR(INDEX(engDados,MATCH(selAnalito&amp;"|"&amp;$B135,engChave,0),6),0))</f>
        <v>0</v>
      </c>
      <c r="O135" s="30">
        <f>IF($F135="",0,IFERROR(INDEX(engDados,MATCH(selAnalito&amp;"|"&amp;$B135,engChave,0),7),0))</f>
        <v>0</v>
      </c>
      <c r="P135" s="30" t="str">
        <f>IF($F135="","",IFERROR(INDEX(engDados,MATCH(selAnalito&amp;"|"&amp;$B135,engChave,0),9),""))</f>
        <v/>
      </c>
      <c r="Q135" s="30" t="e">
        <f t="shared" si="141"/>
        <v>#N/A</v>
      </c>
      <c r="R135" s="30" t="e">
        <f t="shared" si="142"/>
        <v>#N/A</v>
      </c>
      <c r="S135" s="30" t="e">
        <f t="shared" si="143"/>
        <v>#N/A</v>
      </c>
      <c r="T135" s="30" t="e">
        <f t="shared" si="144"/>
        <v>#N/A</v>
      </c>
      <c r="U135" s="30" t="e">
        <f t="shared" si="145"/>
        <v>#N/A</v>
      </c>
      <c r="V135" s="30" t="e">
        <f t="shared" si="146"/>
        <v>#N/A</v>
      </c>
      <c r="W135" s="30" t="e">
        <f t="shared" si="147"/>
        <v>#N/A</v>
      </c>
      <c r="X135" s="30" t="e">
        <f>IF(AND($D135=1,(""&amp;loteAnalise)=(""&amp;loteCarregado),COUNTIFS(regAnalito,selAnalito,regNivel,1,regData,$C135,regRep1,"&lt;&gt;")&gt;0),SUMIFS(regRep1,regAnalito,selAnalito,regNivel,1,regData,$C135),NA())</f>
        <v>#N/A</v>
      </c>
      <c r="Y135" s="30" t="e">
        <f>IF(AND($D135=1,(""&amp;loteAnalise)=(""&amp;loteCarregado),COUNTIFS(regAnalito,selAnalito,regNivel,1,regData,$C135,regRep2,"&lt;&gt;")&gt;0),SUMIFS(regRep2,regAnalito,selAnalito,regNivel,1,regData,$C135),NA())</f>
        <v>#N/A</v>
      </c>
      <c r="Z135" s="30" t="e">
        <f>IF(AND($D135=1,(""&amp;loteAnalise)=(""&amp;loteCarregado),COUNTIFS(regAnalito,selAnalito,regNivel,1,regData,$C135,regRep3,"&lt;&gt;")&gt;0),SUMIFS(regRep3,regAnalito,selAnalito,regNivel,1,regData,$C135),NA())</f>
        <v>#N/A</v>
      </c>
      <c r="AA135" s="30" t="e">
        <f>IF(AND($D135=1,COUNTIFS(regAnalito,selAnalito,regData,$C135,regCalib,"Sim")&gt;0),$BT$1,NA())</f>
        <v>#N/A</v>
      </c>
      <c r="AB135" s="30" t="str">
        <f>IF($B135="","",IF(INDEX(engValN2,$A135)="","",INDEX(engValN2,$A135)))</f>
        <v/>
      </c>
      <c r="AC135" s="30" t="str">
        <f t="shared" si="148"/>
        <v/>
      </c>
      <c r="AD135" s="30" t="e">
        <f t="shared" si="149"/>
        <v>#N/A</v>
      </c>
      <c r="AE135" s="30" t="e">
        <f t="shared" si="150"/>
        <v>#N/A</v>
      </c>
      <c r="AF135" s="30" t="e">
        <f t="shared" si="151"/>
        <v>#N/A</v>
      </c>
      <c r="AG135" s="30">
        <f>IF($AB135="",0,IFERROR(INDEX(engDados,MATCH(selAnalito&amp;"|"&amp;$B135,engChave,0),10),0))</f>
        <v>0</v>
      </c>
      <c r="AH135" s="30">
        <f>IF($AB135="",0,IFERROR(INDEX(engDados,MATCH(selAnalito&amp;"|"&amp;$B135,engChave,0),11),0))</f>
        <v>0</v>
      </c>
      <c r="AI135" s="30">
        <f>IF($AB135="",0,IFERROR(INDEX(engDados,MATCH(selAnalito&amp;"|"&amp;$B135,engChave,0),12),0))</f>
        <v>0</v>
      </c>
      <c r="AJ135" s="30">
        <f>IF($AB135="",0,IFERROR(INDEX(engDados,MATCH(selAnalito&amp;"|"&amp;$B135,engChave,0),13),0))</f>
        <v>0</v>
      </c>
      <c r="AK135" s="30">
        <f>IF($AB135="",0,IFERROR(INDEX(engDados,MATCH(selAnalito&amp;"|"&amp;$B135,engChave,0),14),0))</f>
        <v>0</v>
      </c>
      <c r="AL135" s="30" t="str">
        <f>IF($AB135="","",IFERROR(INDEX(engDados,MATCH(selAnalito&amp;"|"&amp;$B135,engChave,0),16),""))</f>
        <v/>
      </c>
      <c r="AM135" s="30" t="e">
        <f t="shared" si="152"/>
        <v>#N/A</v>
      </c>
      <c r="AN135" s="30" t="e">
        <f t="shared" si="153"/>
        <v>#N/A</v>
      </c>
      <c r="AO135" s="30" t="e">
        <f t="shared" si="154"/>
        <v>#N/A</v>
      </c>
      <c r="AP135" s="30" t="e">
        <f t="shared" si="155"/>
        <v>#N/A</v>
      </c>
      <c r="AQ135" s="30" t="e">
        <f t="shared" si="156"/>
        <v>#N/A</v>
      </c>
      <c r="AR135" s="30" t="e">
        <f t="shared" si="157"/>
        <v>#N/A</v>
      </c>
      <c r="AS135" s="30" t="e">
        <f t="shared" si="158"/>
        <v>#N/A</v>
      </c>
      <c r="AT135" s="30" t="e">
        <f>IF(AND($D135=1,(""&amp;loteAnalise)=(""&amp;loteCarregado),COUNTIFS(regAnalito,selAnalito,regNivel,2,regData,$C135,regRep1,"&lt;&gt;")&gt;0),SUMIFS(regRep1,regAnalito,selAnalito,regNivel,2,regData,$C135),NA())</f>
        <v>#N/A</v>
      </c>
      <c r="AU135" s="30" t="e">
        <f>IF(AND($D135=1,(""&amp;loteAnalise)=(""&amp;loteCarregado),COUNTIFS(regAnalito,selAnalito,regNivel,2,regData,$C135,regRep2,"&lt;&gt;")&gt;0),SUMIFS(regRep2,regAnalito,selAnalito,regNivel,2,regData,$C135),NA())</f>
        <v>#N/A</v>
      </c>
      <c r="AV135" s="30" t="e">
        <f>IF(AND($D135=1,(""&amp;loteAnalise)=(""&amp;loteCarregado),COUNTIFS(regAnalito,selAnalito,regNivel,2,regData,$C135,regRep3,"&lt;&gt;")&gt;0),SUMIFS(regRep3,regAnalito,selAnalito,regNivel,2,regData,$C135),NA())</f>
        <v>#N/A</v>
      </c>
      <c r="AW135" s="30" t="e">
        <f>IF(AND($D135=1,COUNTIFS(regAnalito,selAnalito,regData,$C135,regCalib,"Sim")&gt;0),$BV$1,NA())</f>
        <v>#N/A</v>
      </c>
      <c r="AX135" s="30" t="str">
        <f>IF($B135="","",IF(INDEX(engValN3,$A135)="","",INDEX(engValN3,$A135)))</f>
        <v/>
      </c>
      <c r="AY135" s="30" t="str">
        <f t="shared" si="159"/>
        <v/>
      </c>
      <c r="AZ135" s="30" t="e">
        <f t="shared" si="160"/>
        <v>#N/A</v>
      </c>
      <c r="BA135" s="30" t="e">
        <f t="shared" si="161"/>
        <v>#N/A</v>
      </c>
      <c r="BB135" s="30" t="e">
        <f t="shared" si="162"/>
        <v>#N/A</v>
      </c>
      <c r="BC135" s="30">
        <f>IF($AX135="",0,IFERROR(INDEX(engDados,MATCH(selAnalito&amp;"|"&amp;$B135,engChave,0),17),0))</f>
        <v>0</v>
      </c>
      <c r="BD135" s="30">
        <f>IF($AX135="",0,IFERROR(INDEX(engDados,MATCH(selAnalito&amp;"|"&amp;$B135,engChave,0),18),0))</f>
        <v>0</v>
      </c>
      <c r="BE135" s="30">
        <f>IF($AX135="",0,IFERROR(INDEX(engDados,MATCH(selAnalito&amp;"|"&amp;$B135,engChave,0),19),0))</f>
        <v>0</v>
      </c>
      <c r="BF135" s="30">
        <f>IF($AX135="",0,IFERROR(INDEX(engDados,MATCH(selAnalito&amp;"|"&amp;$B135,engChave,0),20),0))</f>
        <v>0</v>
      </c>
      <c r="BG135" s="30">
        <f>IF($AX135="",0,IFERROR(INDEX(engDados,MATCH(selAnalito&amp;"|"&amp;$B135,engChave,0),21),0))</f>
        <v>0</v>
      </c>
      <c r="BH135" s="30" t="str">
        <f>IF($AX135="","",IFERROR(INDEX(engDados,MATCH(selAnalito&amp;"|"&amp;$B135,engChave,0),23),""))</f>
        <v/>
      </c>
      <c r="BI135" s="30" t="e">
        <f t="shared" si="163"/>
        <v>#N/A</v>
      </c>
      <c r="BJ135" s="30" t="e">
        <f t="shared" si="164"/>
        <v>#N/A</v>
      </c>
      <c r="BK135" s="30" t="e">
        <f t="shared" si="165"/>
        <v>#N/A</v>
      </c>
      <c r="BL135" s="30" t="e">
        <f t="shared" si="166"/>
        <v>#N/A</v>
      </c>
      <c r="BM135" s="30" t="e">
        <f t="shared" si="167"/>
        <v>#N/A</v>
      </c>
      <c r="BN135" s="30" t="e">
        <f t="shared" si="168"/>
        <v>#N/A</v>
      </c>
      <c r="BO135" s="30" t="e">
        <f t="shared" si="169"/>
        <v>#N/A</v>
      </c>
      <c r="BP135" s="30" t="e">
        <f>IF(AND($D135=1,(""&amp;loteAnalise)=(""&amp;loteCarregado),COUNTIFS(regAnalito,selAnalito,regNivel,3,regData,$C135,regRep1,"&lt;&gt;")&gt;0),SUMIFS(regRep1,regAnalito,selAnalito,regNivel,3,regData,$C135),NA())</f>
        <v>#N/A</v>
      </c>
      <c r="BQ135" s="30" t="e">
        <f>IF(AND($D135=1,(""&amp;loteAnalise)=(""&amp;loteCarregado),COUNTIFS(regAnalito,selAnalito,regNivel,3,regData,$C135,regRep2,"&lt;&gt;")&gt;0),SUMIFS(regRep2,regAnalito,selAnalito,regNivel,3,regData,$C135),NA())</f>
        <v>#N/A</v>
      </c>
      <c r="BR135" s="30" t="e">
        <f>IF(AND($D135=1,(""&amp;loteAnalise)=(""&amp;loteCarregado),COUNTIFS(regAnalito,selAnalito,regNivel,3,regData,$C135,regRep3,"&lt;&gt;")&gt;0),SUMIFS(regRep3,regAnalito,selAnalito,regNivel,3,regData,$C135),NA())</f>
        <v>#N/A</v>
      </c>
      <c r="BS135" s="30" t="e">
        <f>IF(AND($D135=1,COUNTIFS(regAnalito,selAnalito,regData,$C135,regCalib,"Sim")&gt;0),$BX$1,NA())</f>
        <v>#N/A</v>
      </c>
    </row>
    <row r="136" spans="1:71" x14ac:dyDescent="0.3">
      <c r="A136" s="30">
        <v>134</v>
      </c>
      <c r="B136" s="30" t="str">
        <f>IF(OR(selAnalito="",(""&amp;engAnalito)&lt;&gt;(""&amp;selAnalito),(""&amp;engLote)&lt;&gt;(""&amp;loteAnalise),$A136&gt;N(engNRun)),"",INDEX(engRUN,$A136))</f>
        <v/>
      </c>
      <c r="C136" s="43" t="str">
        <f>IF($B136="","",IF(INDEX(engData,$A136)="","",INDEX(engData,$A136)))</f>
        <v/>
      </c>
      <c r="D136" s="30">
        <f>IF($C136="",0,IF(AND(OR(filtroDe="",INT($C136)&gt;=INT(filtroDe)),OR(filtroAte="",INT($C136)&lt;=INT(filtroAte))),1,0))</f>
        <v>0</v>
      </c>
      <c r="E136" s="30" t="e">
        <f t="shared" si="136"/>
        <v>#N/A</v>
      </c>
      <c r="F136" s="30" t="str">
        <f>IF($B136="","",IF(INDEX(engValN1,$A136)="","",INDEX(engValN1,$A136)))</f>
        <v/>
      </c>
      <c r="G136" s="30" t="str">
        <f t="shared" si="137"/>
        <v/>
      </c>
      <c r="H136" s="30" t="e">
        <f t="shared" si="138"/>
        <v>#N/A</v>
      </c>
      <c r="I136" s="30" t="e">
        <f t="shared" si="139"/>
        <v>#N/A</v>
      </c>
      <c r="J136" s="30" t="e">
        <f t="shared" si="140"/>
        <v>#N/A</v>
      </c>
      <c r="K136" s="30">
        <f>IF($F136="",0,IFERROR(INDEX(engDados,MATCH(selAnalito&amp;"|"&amp;$B136,engChave,0),3),0))</f>
        <v>0</v>
      </c>
      <c r="L136" s="30">
        <f>IF($F136="",0,IFERROR(INDEX(engDados,MATCH(selAnalito&amp;"|"&amp;$B136,engChave,0),4),0))</f>
        <v>0</v>
      </c>
      <c r="M136" s="30">
        <f>IF($F136="",0,IFERROR(INDEX(engDados,MATCH(selAnalito&amp;"|"&amp;$B136,engChave,0),5),0))</f>
        <v>0</v>
      </c>
      <c r="N136" s="30">
        <f>IF($F136="",0,IFERROR(INDEX(engDados,MATCH(selAnalito&amp;"|"&amp;$B136,engChave,0),6),0))</f>
        <v>0</v>
      </c>
      <c r="O136" s="30">
        <f>IF($F136="",0,IFERROR(INDEX(engDados,MATCH(selAnalito&amp;"|"&amp;$B136,engChave,0),7),0))</f>
        <v>0</v>
      </c>
      <c r="P136" s="30" t="str">
        <f>IF($F136="","",IFERROR(INDEX(engDados,MATCH(selAnalito&amp;"|"&amp;$B136,engChave,0),9),""))</f>
        <v/>
      </c>
      <c r="Q136" s="30" t="e">
        <f t="shared" si="141"/>
        <v>#N/A</v>
      </c>
      <c r="R136" s="30" t="e">
        <f t="shared" si="142"/>
        <v>#N/A</v>
      </c>
      <c r="S136" s="30" t="e">
        <f t="shared" si="143"/>
        <v>#N/A</v>
      </c>
      <c r="T136" s="30" t="e">
        <f t="shared" si="144"/>
        <v>#N/A</v>
      </c>
      <c r="U136" s="30" t="e">
        <f t="shared" si="145"/>
        <v>#N/A</v>
      </c>
      <c r="V136" s="30" t="e">
        <f t="shared" si="146"/>
        <v>#N/A</v>
      </c>
      <c r="W136" s="30" t="e">
        <f t="shared" si="147"/>
        <v>#N/A</v>
      </c>
      <c r="X136" s="30" t="e">
        <f>IF(AND($D136=1,(""&amp;loteAnalise)=(""&amp;loteCarregado),COUNTIFS(regAnalito,selAnalito,regNivel,1,regData,$C136,regRep1,"&lt;&gt;")&gt;0),SUMIFS(regRep1,regAnalito,selAnalito,regNivel,1,regData,$C136),NA())</f>
        <v>#N/A</v>
      </c>
      <c r="Y136" s="30" t="e">
        <f>IF(AND($D136=1,(""&amp;loteAnalise)=(""&amp;loteCarregado),COUNTIFS(regAnalito,selAnalito,regNivel,1,regData,$C136,regRep2,"&lt;&gt;")&gt;0),SUMIFS(regRep2,regAnalito,selAnalito,regNivel,1,regData,$C136),NA())</f>
        <v>#N/A</v>
      </c>
      <c r="Z136" s="30" t="e">
        <f>IF(AND($D136=1,(""&amp;loteAnalise)=(""&amp;loteCarregado),COUNTIFS(regAnalito,selAnalito,regNivel,1,regData,$C136,regRep3,"&lt;&gt;")&gt;0),SUMIFS(regRep3,regAnalito,selAnalito,regNivel,1,regData,$C136),NA())</f>
        <v>#N/A</v>
      </c>
      <c r="AA136" s="30" t="e">
        <f>IF(AND($D136=1,COUNTIFS(regAnalito,selAnalito,regData,$C136,regCalib,"Sim")&gt;0),$BT$1,NA())</f>
        <v>#N/A</v>
      </c>
      <c r="AB136" s="30" t="str">
        <f>IF($B136="","",IF(INDEX(engValN2,$A136)="","",INDEX(engValN2,$A136)))</f>
        <v/>
      </c>
      <c r="AC136" s="30" t="str">
        <f t="shared" si="148"/>
        <v/>
      </c>
      <c r="AD136" s="30" t="e">
        <f t="shared" si="149"/>
        <v>#N/A</v>
      </c>
      <c r="AE136" s="30" t="e">
        <f t="shared" si="150"/>
        <v>#N/A</v>
      </c>
      <c r="AF136" s="30" t="e">
        <f t="shared" si="151"/>
        <v>#N/A</v>
      </c>
      <c r="AG136" s="30">
        <f>IF($AB136="",0,IFERROR(INDEX(engDados,MATCH(selAnalito&amp;"|"&amp;$B136,engChave,0),10),0))</f>
        <v>0</v>
      </c>
      <c r="AH136" s="30">
        <f>IF($AB136="",0,IFERROR(INDEX(engDados,MATCH(selAnalito&amp;"|"&amp;$B136,engChave,0),11),0))</f>
        <v>0</v>
      </c>
      <c r="AI136" s="30">
        <f>IF($AB136="",0,IFERROR(INDEX(engDados,MATCH(selAnalito&amp;"|"&amp;$B136,engChave,0),12),0))</f>
        <v>0</v>
      </c>
      <c r="AJ136" s="30">
        <f>IF($AB136="",0,IFERROR(INDEX(engDados,MATCH(selAnalito&amp;"|"&amp;$B136,engChave,0),13),0))</f>
        <v>0</v>
      </c>
      <c r="AK136" s="30">
        <f>IF($AB136="",0,IFERROR(INDEX(engDados,MATCH(selAnalito&amp;"|"&amp;$B136,engChave,0),14),0))</f>
        <v>0</v>
      </c>
      <c r="AL136" s="30" t="str">
        <f>IF($AB136="","",IFERROR(INDEX(engDados,MATCH(selAnalito&amp;"|"&amp;$B136,engChave,0),16),""))</f>
        <v/>
      </c>
      <c r="AM136" s="30" t="e">
        <f t="shared" si="152"/>
        <v>#N/A</v>
      </c>
      <c r="AN136" s="30" t="e">
        <f t="shared" si="153"/>
        <v>#N/A</v>
      </c>
      <c r="AO136" s="30" t="e">
        <f t="shared" si="154"/>
        <v>#N/A</v>
      </c>
      <c r="AP136" s="30" t="e">
        <f t="shared" si="155"/>
        <v>#N/A</v>
      </c>
      <c r="AQ136" s="30" t="e">
        <f t="shared" si="156"/>
        <v>#N/A</v>
      </c>
      <c r="AR136" s="30" t="e">
        <f t="shared" si="157"/>
        <v>#N/A</v>
      </c>
      <c r="AS136" s="30" t="e">
        <f t="shared" si="158"/>
        <v>#N/A</v>
      </c>
      <c r="AT136" s="30" t="e">
        <f>IF(AND($D136=1,(""&amp;loteAnalise)=(""&amp;loteCarregado),COUNTIFS(regAnalito,selAnalito,regNivel,2,regData,$C136,regRep1,"&lt;&gt;")&gt;0),SUMIFS(regRep1,regAnalito,selAnalito,regNivel,2,regData,$C136),NA())</f>
        <v>#N/A</v>
      </c>
      <c r="AU136" s="30" t="e">
        <f>IF(AND($D136=1,(""&amp;loteAnalise)=(""&amp;loteCarregado),COUNTIFS(regAnalito,selAnalito,regNivel,2,regData,$C136,regRep2,"&lt;&gt;")&gt;0),SUMIFS(regRep2,regAnalito,selAnalito,regNivel,2,regData,$C136),NA())</f>
        <v>#N/A</v>
      </c>
      <c r="AV136" s="30" t="e">
        <f>IF(AND($D136=1,(""&amp;loteAnalise)=(""&amp;loteCarregado),COUNTIFS(regAnalito,selAnalito,regNivel,2,regData,$C136,regRep3,"&lt;&gt;")&gt;0),SUMIFS(regRep3,regAnalito,selAnalito,regNivel,2,regData,$C136),NA())</f>
        <v>#N/A</v>
      </c>
      <c r="AW136" s="30" t="e">
        <f>IF(AND($D136=1,COUNTIFS(regAnalito,selAnalito,regData,$C136,regCalib,"Sim")&gt;0),$BV$1,NA())</f>
        <v>#N/A</v>
      </c>
      <c r="AX136" s="30" t="str">
        <f>IF($B136="","",IF(INDEX(engValN3,$A136)="","",INDEX(engValN3,$A136)))</f>
        <v/>
      </c>
      <c r="AY136" s="30" t="str">
        <f t="shared" si="159"/>
        <v/>
      </c>
      <c r="AZ136" s="30" t="e">
        <f t="shared" si="160"/>
        <v>#N/A</v>
      </c>
      <c r="BA136" s="30" t="e">
        <f t="shared" si="161"/>
        <v>#N/A</v>
      </c>
      <c r="BB136" s="30" t="e">
        <f t="shared" si="162"/>
        <v>#N/A</v>
      </c>
      <c r="BC136" s="30">
        <f>IF($AX136="",0,IFERROR(INDEX(engDados,MATCH(selAnalito&amp;"|"&amp;$B136,engChave,0),17),0))</f>
        <v>0</v>
      </c>
      <c r="BD136" s="30">
        <f>IF($AX136="",0,IFERROR(INDEX(engDados,MATCH(selAnalito&amp;"|"&amp;$B136,engChave,0),18),0))</f>
        <v>0</v>
      </c>
      <c r="BE136" s="30">
        <f>IF($AX136="",0,IFERROR(INDEX(engDados,MATCH(selAnalito&amp;"|"&amp;$B136,engChave,0),19),0))</f>
        <v>0</v>
      </c>
      <c r="BF136" s="30">
        <f>IF($AX136="",0,IFERROR(INDEX(engDados,MATCH(selAnalito&amp;"|"&amp;$B136,engChave,0),20),0))</f>
        <v>0</v>
      </c>
      <c r="BG136" s="30">
        <f>IF($AX136="",0,IFERROR(INDEX(engDados,MATCH(selAnalito&amp;"|"&amp;$B136,engChave,0),21),0))</f>
        <v>0</v>
      </c>
      <c r="BH136" s="30" t="str">
        <f>IF($AX136="","",IFERROR(INDEX(engDados,MATCH(selAnalito&amp;"|"&amp;$B136,engChave,0),23),""))</f>
        <v/>
      </c>
      <c r="BI136" s="30" t="e">
        <f t="shared" si="163"/>
        <v>#N/A</v>
      </c>
      <c r="BJ136" s="30" t="e">
        <f t="shared" si="164"/>
        <v>#N/A</v>
      </c>
      <c r="BK136" s="30" t="e">
        <f t="shared" si="165"/>
        <v>#N/A</v>
      </c>
      <c r="BL136" s="30" t="e">
        <f t="shared" si="166"/>
        <v>#N/A</v>
      </c>
      <c r="BM136" s="30" t="e">
        <f t="shared" si="167"/>
        <v>#N/A</v>
      </c>
      <c r="BN136" s="30" t="e">
        <f t="shared" si="168"/>
        <v>#N/A</v>
      </c>
      <c r="BO136" s="30" t="e">
        <f t="shared" si="169"/>
        <v>#N/A</v>
      </c>
      <c r="BP136" s="30" t="e">
        <f>IF(AND($D136=1,(""&amp;loteAnalise)=(""&amp;loteCarregado),COUNTIFS(regAnalito,selAnalito,regNivel,3,regData,$C136,regRep1,"&lt;&gt;")&gt;0),SUMIFS(regRep1,regAnalito,selAnalito,regNivel,3,regData,$C136),NA())</f>
        <v>#N/A</v>
      </c>
      <c r="BQ136" s="30" t="e">
        <f>IF(AND($D136=1,(""&amp;loteAnalise)=(""&amp;loteCarregado),COUNTIFS(regAnalito,selAnalito,regNivel,3,regData,$C136,regRep2,"&lt;&gt;")&gt;0),SUMIFS(regRep2,regAnalito,selAnalito,regNivel,3,regData,$C136),NA())</f>
        <v>#N/A</v>
      </c>
      <c r="BR136" s="30" t="e">
        <f>IF(AND($D136=1,(""&amp;loteAnalise)=(""&amp;loteCarregado),COUNTIFS(regAnalito,selAnalito,regNivel,3,regData,$C136,regRep3,"&lt;&gt;")&gt;0),SUMIFS(regRep3,regAnalito,selAnalito,regNivel,3,regData,$C136),NA())</f>
        <v>#N/A</v>
      </c>
      <c r="BS136" s="30" t="e">
        <f>IF(AND($D136=1,COUNTIFS(regAnalito,selAnalito,regData,$C136,regCalib,"Sim")&gt;0),$BX$1,NA())</f>
        <v>#N/A</v>
      </c>
    </row>
    <row r="137" spans="1:71" x14ac:dyDescent="0.3">
      <c r="A137" s="30">
        <v>135</v>
      </c>
      <c r="B137" s="30" t="str">
        <f>IF(OR(selAnalito="",(""&amp;engAnalito)&lt;&gt;(""&amp;selAnalito),(""&amp;engLote)&lt;&gt;(""&amp;loteAnalise),$A137&gt;N(engNRun)),"",INDEX(engRUN,$A137))</f>
        <v/>
      </c>
      <c r="C137" s="43" t="str">
        <f>IF($B137="","",IF(INDEX(engData,$A137)="","",INDEX(engData,$A137)))</f>
        <v/>
      </c>
      <c r="D137" s="30">
        <f>IF($C137="",0,IF(AND(OR(filtroDe="",INT($C137)&gt;=INT(filtroDe)),OR(filtroAte="",INT($C137)&lt;=INT(filtroAte))),1,0))</f>
        <v>0</v>
      </c>
      <c r="E137" s="30" t="e">
        <f t="shared" si="136"/>
        <v>#N/A</v>
      </c>
      <c r="F137" s="30" t="str">
        <f>IF($B137="","",IF(INDEX(engValN1,$A137)="","",INDEX(engValN1,$A137)))</f>
        <v/>
      </c>
      <c r="G137" s="30" t="str">
        <f t="shared" si="137"/>
        <v/>
      </c>
      <c r="H137" s="30" t="e">
        <f t="shared" si="138"/>
        <v>#N/A</v>
      </c>
      <c r="I137" s="30" t="e">
        <f t="shared" si="139"/>
        <v>#N/A</v>
      </c>
      <c r="J137" s="30" t="e">
        <f t="shared" si="140"/>
        <v>#N/A</v>
      </c>
      <c r="K137" s="30">
        <f>IF($F137="",0,IFERROR(INDEX(engDados,MATCH(selAnalito&amp;"|"&amp;$B137,engChave,0),3),0))</f>
        <v>0</v>
      </c>
      <c r="L137" s="30">
        <f>IF($F137="",0,IFERROR(INDEX(engDados,MATCH(selAnalito&amp;"|"&amp;$B137,engChave,0),4),0))</f>
        <v>0</v>
      </c>
      <c r="M137" s="30">
        <f>IF($F137="",0,IFERROR(INDEX(engDados,MATCH(selAnalito&amp;"|"&amp;$B137,engChave,0),5),0))</f>
        <v>0</v>
      </c>
      <c r="N137" s="30">
        <f>IF($F137="",0,IFERROR(INDEX(engDados,MATCH(selAnalito&amp;"|"&amp;$B137,engChave,0),6),0))</f>
        <v>0</v>
      </c>
      <c r="O137" s="30">
        <f>IF($F137="",0,IFERROR(INDEX(engDados,MATCH(selAnalito&amp;"|"&amp;$B137,engChave,0),7),0))</f>
        <v>0</v>
      </c>
      <c r="P137" s="30" t="str">
        <f>IF($F137="","",IFERROR(INDEX(engDados,MATCH(selAnalito&amp;"|"&amp;$B137,engChave,0),9),""))</f>
        <v/>
      </c>
      <c r="Q137" s="30" t="e">
        <f t="shared" si="141"/>
        <v>#N/A</v>
      </c>
      <c r="R137" s="30" t="e">
        <f t="shared" si="142"/>
        <v>#N/A</v>
      </c>
      <c r="S137" s="30" t="e">
        <f t="shared" si="143"/>
        <v>#N/A</v>
      </c>
      <c r="T137" s="30" t="e">
        <f t="shared" si="144"/>
        <v>#N/A</v>
      </c>
      <c r="U137" s="30" t="e">
        <f t="shared" si="145"/>
        <v>#N/A</v>
      </c>
      <c r="V137" s="30" t="e">
        <f t="shared" si="146"/>
        <v>#N/A</v>
      </c>
      <c r="W137" s="30" t="e">
        <f t="shared" si="147"/>
        <v>#N/A</v>
      </c>
      <c r="X137" s="30" t="e">
        <f>IF(AND($D137=1,(""&amp;loteAnalise)=(""&amp;loteCarregado),COUNTIFS(regAnalito,selAnalito,regNivel,1,regData,$C137,regRep1,"&lt;&gt;")&gt;0),SUMIFS(regRep1,regAnalito,selAnalito,regNivel,1,regData,$C137),NA())</f>
        <v>#N/A</v>
      </c>
      <c r="Y137" s="30" t="e">
        <f>IF(AND($D137=1,(""&amp;loteAnalise)=(""&amp;loteCarregado),COUNTIFS(regAnalito,selAnalito,regNivel,1,regData,$C137,regRep2,"&lt;&gt;")&gt;0),SUMIFS(regRep2,regAnalito,selAnalito,regNivel,1,regData,$C137),NA())</f>
        <v>#N/A</v>
      </c>
      <c r="Z137" s="30" t="e">
        <f>IF(AND($D137=1,(""&amp;loteAnalise)=(""&amp;loteCarregado),COUNTIFS(regAnalito,selAnalito,regNivel,1,regData,$C137,regRep3,"&lt;&gt;")&gt;0),SUMIFS(regRep3,regAnalito,selAnalito,regNivel,1,regData,$C137),NA())</f>
        <v>#N/A</v>
      </c>
      <c r="AA137" s="30" t="e">
        <f>IF(AND($D137=1,COUNTIFS(regAnalito,selAnalito,regData,$C137,regCalib,"Sim")&gt;0),$BT$1,NA())</f>
        <v>#N/A</v>
      </c>
      <c r="AB137" s="30" t="str">
        <f>IF($B137="","",IF(INDEX(engValN2,$A137)="","",INDEX(engValN2,$A137)))</f>
        <v/>
      </c>
      <c r="AC137" s="30" t="str">
        <f t="shared" si="148"/>
        <v/>
      </c>
      <c r="AD137" s="30" t="e">
        <f t="shared" si="149"/>
        <v>#N/A</v>
      </c>
      <c r="AE137" s="30" t="e">
        <f t="shared" si="150"/>
        <v>#N/A</v>
      </c>
      <c r="AF137" s="30" t="e">
        <f t="shared" si="151"/>
        <v>#N/A</v>
      </c>
      <c r="AG137" s="30">
        <f>IF($AB137="",0,IFERROR(INDEX(engDados,MATCH(selAnalito&amp;"|"&amp;$B137,engChave,0),10),0))</f>
        <v>0</v>
      </c>
      <c r="AH137" s="30">
        <f>IF($AB137="",0,IFERROR(INDEX(engDados,MATCH(selAnalito&amp;"|"&amp;$B137,engChave,0),11),0))</f>
        <v>0</v>
      </c>
      <c r="AI137" s="30">
        <f>IF($AB137="",0,IFERROR(INDEX(engDados,MATCH(selAnalito&amp;"|"&amp;$B137,engChave,0),12),0))</f>
        <v>0</v>
      </c>
      <c r="AJ137" s="30">
        <f>IF($AB137="",0,IFERROR(INDEX(engDados,MATCH(selAnalito&amp;"|"&amp;$B137,engChave,0),13),0))</f>
        <v>0</v>
      </c>
      <c r="AK137" s="30">
        <f>IF($AB137="",0,IFERROR(INDEX(engDados,MATCH(selAnalito&amp;"|"&amp;$B137,engChave,0),14),0))</f>
        <v>0</v>
      </c>
      <c r="AL137" s="30" t="str">
        <f>IF($AB137="","",IFERROR(INDEX(engDados,MATCH(selAnalito&amp;"|"&amp;$B137,engChave,0),16),""))</f>
        <v/>
      </c>
      <c r="AM137" s="30" t="e">
        <f t="shared" si="152"/>
        <v>#N/A</v>
      </c>
      <c r="AN137" s="30" t="e">
        <f t="shared" si="153"/>
        <v>#N/A</v>
      </c>
      <c r="AO137" s="30" t="e">
        <f t="shared" si="154"/>
        <v>#N/A</v>
      </c>
      <c r="AP137" s="30" t="e">
        <f t="shared" si="155"/>
        <v>#N/A</v>
      </c>
      <c r="AQ137" s="30" t="e">
        <f t="shared" si="156"/>
        <v>#N/A</v>
      </c>
      <c r="AR137" s="30" t="e">
        <f t="shared" si="157"/>
        <v>#N/A</v>
      </c>
      <c r="AS137" s="30" t="e">
        <f t="shared" si="158"/>
        <v>#N/A</v>
      </c>
      <c r="AT137" s="30" t="e">
        <f>IF(AND($D137=1,(""&amp;loteAnalise)=(""&amp;loteCarregado),COUNTIFS(regAnalito,selAnalito,regNivel,2,regData,$C137,regRep1,"&lt;&gt;")&gt;0),SUMIFS(regRep1,regAnalito,selAnalito,regNivel,2,regData,$C137),NA())</f>
        <v>#N/A</v>
      </c>
      <c r="AU137" s="30" t="e">
        <f>IF(AND($D137=1,(""&amp;loteAnalise)=(""&amp;loteCarregado),COUNTIFS(regAnalito,selAnalito,regNivel,2,regData,$C137,regRep2,"&lt;&gt;")&gt;0),SUMIFS(regRep2,regAnalito,selAnalito,regNivel,2,regData,$C137),NA())</f>
        <v>#N/A</v>
      </c>
      <c r="AV137" s="30" t="e">
        <f>IF(AND($D137=1,(""&amp;loteAnalise)=(""&amp;loteCarregado),COUNTIFS(regAnalito,selAnalito,regNivel,2,regData,$C137,regRep3,"&lt;&gt;")&gt;0),SUMIFS(regRep3,regAnalito,selAnalito,regNivel,2,regData,$C137),NA())</f>
        <v>#N/A</v>
      </c>
      <c r="AW137" s="30" t="e">
        <f>IF(AND($D137=1,COUNTIFS(regAnalito,selAnalito,regData,$C137,regCalib,"Sim")&gt;0),$BV$1,NA())</f>
        <v>#N/A</v>
      </c>
      <c r="AX137" s="30" t="str">
        <f>IF($B137="","",IF(INDEX(engValN3,$A137)="","",INDEX(engValN3,$A137)))</f>
        <v/>
      </c>
      <c r="AY137" s="30" t="str">
        <f t="shared" si="159"/>
        <v/>
      </c>
      <c r="AZ137" s="30" t="e">
        <f t="shared" si="160"/>
        <v>#N/A</v>
      </c>
      <c r="BA137" s="30" t="e">
        <f t="shared" si="161"/>
        <v>#N/A</v>
      </c>
      <c r="BB137" s="30" t="e">
        <f t="shared" si="162"/>
        <v>#N/A</v>
      </c>
      <c r="BC137" s="30">
        <f>IF($AX137="",0,IFERROR(INDEX(engDados,MATCH(selAnalito&amp;"|"&amp;$B137,engChave,0),17),0))</f>
        <v>0</v>
      </c>
      <c r="BD137" s="30">
        <f>IF($AX137="",0,IFERROR(INDEX(engDados,MATCH(selAnalito&amp;"|"&amp;$B137,engChave,0),18),0))</f>
        <v>0</v>
      </c>
      <c r="BE137" s="30">
        <f>IF($AX137="",0,IFERROR(INDEX(engDados,MATCH(selAnalito&amp;"|"&amp;$B137,engChave,0),19),0))</f>
        <v>0</v>
      </c>
      <c r="BF137" s="30">
        <f>IF($AX137="",0,IFERROR(INDEX(engDados,MATCH(selAnalito&amp;"|"&amp;$B137,engChave,0),20),0))</f>
        <v>0</v>
      </c>
      <c r="BG137" s="30">
        <f>IF($AX137="",0,IFERROR(INDEX(engDados,MATCH(selAnalito&amp;"|"&amp;$B137,engChave,0),21),0))</f>
        <v>0</v>
      </c>
      <c r="BH137" s="30" t="str">
        <f>IF($AX137="","",IFERROR(INDEX(engDados,MATCH(selAnalito&amp;"|"&amp;$B137,engChave,0),23),""))</f>
        <v/>
      </c>
      <c r="BI137" s="30" t="e">
        <f t="shared" si="163"/>
        <v>#N/A</v>
      </c>
      <c r="BJ137" s="30" t="e">
        <f t="shared" si="164"/>
        <v>#N/A</v>
      </c>
      <c r="BK137" s="30" t="e">
        <f t="shared" si="165"/>
        <v>#N/A</v>
      </c>
      <c r="BL137" s="30" t="e">
        <f t="shared" si="166"/>
        <v>#N/A</v>
      </c>
      <c r="BM137" s="30" t="e">
        <f t="shared" si="167"/>
        <v>#N/A</v>
      </c>
      <c r="BN137" s="30" t="e">
        <f t="shared" si="168"/>
        <v>#N/A</v>
      </c>
      <c r="BO137" s="30" t="e">
        <f t="shared" si="169"/>
        <v>#N/A</v>
      </c>
      <c r="BP137" s="30" t="e">
        <f>IF(AND($D137=1,(""&amp;loteAnalise)=(""&amp;loteCarregado),COUNTIFS(regAnalito,selAnalito,regNivel,3,regData,$C137,regRep1,"&lt;&gt;")&gt;0),SUMIFS(regRep1,regAnalito,selAnalito,regNivel,3,regData,$C137),NA())</f>
        <v>#N/A</v>
      </c>
      <c r="BQ137" s="30" t="e">
        <f>IF(AND($D137=1,(""&amp;loteAnalise)=(""&amp;loteCarregado),COUNTIFS(regAnalito,selAnalito,regNivel,3,regData,$C137,regRep2,"&lt;&gt;")&gt;0),SUMIFS(regRep2,regAnalito,selAnalito,regNivel,3,regData,$C137),NA())</f>
        <v>#N/A</v>
      </c>
      <c r="BR137" s="30" t="e">
        <f>IF(AND($D137=1,(""&amp;loteAnalise)=(""&amp;loteCarregado),COUNTIFS(regAnalito,selAnalito,regNivel,3,regData,$C137,regRep3,"&lt;&gt;")&gt;0),SUMIFS(regRep3,regAnalito,selAnalito,regNivel,3,regData,$C137),NA())</f>
        <v>#N/A</v>
      </c>
      <c r="BS137" s="30" t="e">
        <f>IF(AND($D137=1,COUNTIFS(regAnalito,selAnalito,regData,$C137,regCalib,"Sim")&gt;0),$BX$1,NA())</f>
        <v>#N/A</v>
      </c>
    </row>
    <row r="138" spans="1:71" x14ac:dyDescent="0.3">
      <c r="A138" s="30">
        <v>136</v>
      </c>
      <c r="B138" s="30" t="str">
        <f>IF(OR(selAnalito="",(""&amp;engAnalito)&lt;&gt;(""&amp;selAnalito),(""&amp;engLote)&lt;&gt;(""&amp;loteAnalise),$A138&gt;N(engNRun)),"",INDEX(engRUN,$A138))</f>
        <v/>
      </c>
      <c r="C138" s="43" t="str">
        <f>IF($B138="","",IF(INDEX(engData,$A138)="","",INDEX(engData,$A138)))</f>
        <v/>
      </c>
      <c r="D138" s="30">
        <f>IF($C138="",0,IF(AND(OR(filtroDe="",INT($C138)&gt;=INT(filtroDe)),OR(filtroAte="",INT($C138)&lt;=INT(filtroAte))),1,0))</f>
        <v>0</v>
      </c>
      <c r="E138" s="30" t="e">
        <f t="shared" si="136"/>
        <v>#N/A</v>
      </c>
      <c r="F138" s="30" t="str">
        <f>IF($B138="","",IF(INDEX(engValN1,$A138)="","",INDEX(engValN1,$A138)))</f>
        <v/>
      </c>
      <c r="G138" s="30" t="str">
        <f t="shared" si="137"/>
        <v/>
      </c>
      <c r="H138" s="30" t="e">
        <f t="shared" si="138"/>
        <v>#N/A</v>
      </c>
      <c r="I138" s="30" t="e">
        <f t="shared" si="139"/>
        <v>#N/A</v>
      </c>
      <c r="J138" s="30" t="e">
        <f t="shared" si="140"/>
        <v>#N/A</v>
      </c>
      <c r="K138" s="30">
        <f>IF($F138="",0,IFERROR(INDEX(engDados,MATCH(selAnalito&amp;"|"&amp;$B138,engChave,0),3),0))</f>
        <v>0</v>
      </c>
      <c r="L138" s="30">
        <f>IF($F138="",0,IFERROR(INDEX(engDados,MATCH(selAnalito&amp;"|"&amp;$B138,engChave,0),4),0))</f>
        <v>0</v>
      </c>
      <c r="M138" s="30">
        <f>IF($F138="",0,IFERROR(INDEX(engDados,MATCH(selAnalito&amp;"|"&amp;$B138,engChave,0),5),0))</f>
        <v>0</v>
      </c>
      <c r="N138" s="30">
        <f>IF($F138="",0,IFERROR(INDEX(engDados,MATCH(selAnalito&amp;"|"&amp;$B138,engChave,0),6),0))</f>
        <v>0</v>
      </c>
      <c r="O138" s="30">
        <f>IF($F138="",0,IFERROR(INDEX(engDados,MATCH(selAnalito&amp;"|"&amp;$B138,engChave,0),7),0))</f>
        <v>0</v>
      </c>
      <c r="P138" s="30" t="str">
        <f>IF($F138="","",IFERROR(INDEX(engDados,MATCH(selAnalito&amp;"|"&amp;$B138,engChave,0),9),""))</f>
        <v/>
      </c>
      <c r="Q138" s="30" t="e">
        <f t="shared" si="141"/>
        <v>#N/A</v>
      </c>
      <c r="R138" s="30" t="e">
        <f t="shared" si="142"/>
        <v>#N/A</v>
      </c>
      <c r="S138" s="30" t="e">
        <f t="shared" si="143"/>
        <v>#N/A</v>
      </c>
      <c r="T138" s="30" t="e">
        <f t="shared" si="144"/>
        <v>#N/A</v>
      </c>
      <c r="U138" s="30" t="e">
        <f t="shared" si="145"/>
        <v>#N/A</v>
      </c>
      <c r="V138" s="30" t="e">
        <f t="shared" si="146"/>
        <v>#N/A</v>
      </c>
      <c r="W138" s="30" t="e">
        <f t="shared" si="147"/>
        <v>#N/A</v>
      </c>
      <c r="X138" s="30" t="e">
        <f>IF(AND($D138=1,(""&amp;loteAnalise)=(""&amp;loteCarregado),COUNTIFS(regAnalito,selAnalito,regNivel,1,regData,$C138,regRep1,"&lt;&gt;")&gt;0),SUMIFS(regRep1,regAnalito,selAnalito,regNivel,1,regData,$C138),NA())</f>
        <v>#N/A</v>
      </c>
      <c r="Y138" s="30" t="e">
        <f>IF(AND($D138=1,(""&amp;loteAnalise)=(""&amp;loteCarregado),COUNTIFS(regAnalito,selAnalito,regNivel,1,regData,$C138,regRep2,"&lt;&gt;")&gt;0),SUMIFS(regRep2,regAnalito,selAnalito,regNivel,1,regData,$C138),NA())</f>
        <v>#N/A</v>
      </c>
      <c r="Z138" s="30" t="e">
        <f>IF(AND($D138=1,(""&amp;loteAnalise)=(""&amp;loteCarregado),COUNTIFS(regAnalito,selAnalito,regNivel,1,regData,$C138,regRep3,"&lt;&gt;")&gt;0),SUMIFS(regRep3,regAnalito,selAnalito,regNivel,1,regData,$C138),NA())</f>
        <v>#N/A</v>
      </c>
      <c r="AA138" s="30" t="e">
        <f>IF(AND($D138=1,COUNTIFS(regAnalito,selAnalito,regData,$C138,regCalib,"Sim")&gt;0),$BT$1,NA())</f>
        <v>#N/A</v>
      </c>
      <c r="AB138" s="30" t="str">
        <f>IF($B138="","",IF(INDEX(engValN2,$A138)="","",INDEX(engValN2,$A138)))</f>
        <v/>
      </c>
      <c r="AC138" s="30" t="str">
        <f t="shared" si="148"/>
        <v/>
      </c>
      <c r="AD138" s="30" t="e">
        <f t="shared" si="149"/>
        <v>#N/A</v>
      </c>
      <c r="AE138" s="30" t="e">
        <f t="shared" si="150"/>
        <v>#N/A</v>
      </c>
      <c r="AF138" s="30" t="e">
        <f t="shared" si="151"/>
        <v>#N/A</v>
      </c>
      <c r="AG138" s="30">
        <f>IF($AB138="",0,IFERROR(INDEX(engDados,MATCH(selAnalito&amp;"|"&amp;$B138,engChave,0),10),0))</f>
        <v>0</v>
      </c>
      <c r="AH138" s="30">
        <f>IF($AB138="",0,IFERROR(INDEX(engDados,MATCH(selAnalito&amp;"|"&amp;$B138,engChave,0),11),0))</f>
        <v>0</v>
      </c>
      <c r="AI138" s="30">
        <f>IF($AB138="",0,IFERROR(INDEX(engDados,MATCH(selAnalito&amp;"|"&amp;$B138,engChave,0),12),0))</f>
        <v>0</v>
      </c>
      <c r="AJ138" s="30">
        <f>IF($AB138="",0,IFERROR(INDEX(engDados,MATCH(selAnalito&amp;"|"&amp;$B138,engChave,0),13),0))</f>
        <v>0</v>
      </c>
      <c r="AK138" s="30">
        <f>IF($AB138="",0,IFERROR(INDEX(engDados,MATCH(selAnalito&amp;"|"&amp;$B138,engChave,0),14),0))</f>
        <v>0</v>
      </c>
      <c r="AL138" s="30" t="str">
        <f>IF($AB138="","",IFERROR(INDEX(engDados,MATCH(selAnalito&amp;"|"&amp;$B138,engChave,0),16),""))</f>
        <v/>
      </c>
      <c r="AM138" s="30" t="e">
        <f t="shared" si="152"/>
        <v>#N/A</v>
      </c>
      <c r="AN138" s="30" t="e">
        <f t="shared" si="153"/>
        <v>#N/A</v>
      </c>
      <c r="AO138" s="30" t="e">
        <f t="shared" si="154"/>
        <v>#N/A</v>
      </c>
      <c r="AP138" s="30" t="e">
        <f t="shared" si="155"/>
        <v>#N/A</v>
      </c>
      <c r="AQ138" s="30" t="e">
        <f t="shared" si="156"/>
        <v>#N/A</v>
      </c>
      <c r="AR138" s="30" t="e">
        <f t="shared" si="157"/>
        <v>#N/A</v>
      </c>
      <c r="AS138" s="30" t="e">
        <f t="shared" si="158"/>
        <v>#N/A</v>
      </c>
      <c r="AT138" s="30" t="e">
        <f>IF(AND($D138=1,(""&amp;loteAnalise)=(""&amp;loteCarregado),COUNTIFS(regAnalito,selAnalito,regNivel,2,regData,$C138,regRep1,"&lt;&gt;")&gt;0),SUMIFS(regRep1,regAnalito,selAnalito,regNivel,2,regData,$C138),NA())</f>
        <v>#N/A</v>
      </c>
      <c r="AU138" s="30" t="e">
        <f>IF(AND($D138=1,(""&amp;loteAnalise)=(""&amp;loteCarregado),COUNTIFS(regAnalito,selAnalito,regNivel,2,regData,$C138,regRep2,"&lt;&gt;")&gt;0),SUMIFS(regRep2,regAnalito,selAnalito,regNivel,2,regData,$C138),NA())</f>
        <v>#N/A</v>
      </c>
      <c r="AV138" s="30" t="e">
        <f>IF(AND($D138=1,(""&amp;loteAnalise)=(""&amp;loteCarregado),COUNTIFS(regAnalito,selAnalito,regNivel,2,regData,$C138,regRep3,"&lt;&gt;")&gt;0),SUMIFS(regRep3,regAnalito,selAnalito,regNivel,2,regData,$C138),NA())</f>
        <v>#N/A</v>
      </c>
      <c r="AW138" s="30" t="e">
        <f>IF(AND($D138=1,COUNTIFS(regAnalito,selAnalito,regData,$C138,regCalib,"Sim")&gt;0),$BV$1,NA())</f>
        <v>#N/A</v>
      </c>
      <c r="AX138" s="30" t="str">
        <f>IF($B138="","",IF(INDEX(engValN3,$A138)="","",INDEX(engValN3,$A138)))</f>
        <v/>
      </c>
      <c r="AY138" s="30" t="str">
        <f t="shared" si="159"/>
        <v/>
      </c>
      <c r="AZ138" s="30" t="e">
        <f t="shared" si="160"/>
        <v>#N/A</v>
      </c>
      <c r="BA138" s="30" t="e">
        <f t="shared" si="161"/>
        <v>#N/A</v>
      </c>
      <c r="BB138" s="30" t="e">
        <f t="shared" si="162"/>
        <v>#N/A</v>
      </c>
      <c r="BC138" s="30">
        <f>IF($AX138="",0,IFERROR(INDEX(engDados,MATCH(selAnalito&amp;"|"&amp;$B138,engChave,0),17),0))</f>
        <v>0</v>
      </c>
      <c r="BD138" s="30">
        <f>IF($AX138="",0,IFERROR(INDEX(engDados,MATCH(selAnalito&amp;"|"&amp;$B138,engChave,0),18),0))</f>
        <v>0</v>
      </c>
      <c r="BE138" s="30">
        <f>IF($AX138="",0,IFERROR(INDEX(engDados,MATCH(selAnalito&amp;"|"&amp;$B138,engChave,0),19),0))</f>
        <v>0</v>
      </c>
      <c r="BF138" s="30">
        <f>IF($AX138="",0,IFERROR(INDEX(engDados,MATCH(selAnalito&amp;"|"&amp;$B138,engChave,0),20),0))</f>
        <v>0</v>
      </c>
      <c r="BG138" s="30">
        <f>IF($AX138="",0,IFERROR(INDEX(engDados,MATCH(selAnalito&amp;"|"&amp;$B138,engChave,0),21),0))</f>
        <v>0</v>
      </c>
      <c r="BH138" s="30" t="str">
        <f>IF($AX138="","",IFERROR(INDEX(engDados,MATCH(selAnalito&amp;"|"&amp;$B138,engChave,0),23),""))</f>
        <v/>
      </c>
      <c r="BI138" s="30" t="e">
        <f t="shared" si="163"/>
        <v>#N/A</v>
      </c>
      <c r="BJ138" s="30" t="e">
        <f t="shared" si="164"/>
        <v>#N/A</v>
      </c>
      <c r="BK138" s="30" t="e">
        <f t="shared" si="165"/>
        <v>#N/A</v>
      </c>
      <c r="BL138" s="30" t="e">
        <f t="shared" si="166"/>
        <v>#N/A</v>
      </c>
      <c r="BM138" s="30" t="e">
        <f t="shared" si="167"/>
        <v>#N/A</v>
      </c>
      <c r="BN138" s="30" t="e">
        <f t="shared" si="168"/>
        <v>#N/A</v>
      </c>
      <c r="BO138" s="30" t="e">
        <f t="shared" si="169"/>
        <v>#N/A</v>
      </c>
      <c r="BP138" s="30" t="e">
        <f>IF(AND($D138=1,(""&amp;loteAnalise)=(""&amp;loteCarregado),COUNTIFS(regAnalito,selAnalito,regNivel,3,regData,$C138,regRep1,"&lt;&gt;")&gt;0),SUMIFS(regRep1,regAnalito,selAnalito,regNivel,3,regData,$C138),NA())</f>
        <v>#N/A</v>
      </c>
      <c r="BQ138" s="30" t="e">
        <f>IF(AND($D138=1,(""&amp;loteAnalise)=(""&amp;loteCarregado),COUNTIFS(regAnalito,selAnalito,regNivel,3,regData,$C138,regRep2,"&lt;&gt;")&gt;0),SUMIFS(regRep2,regAnalito,selAnalito,regNivel,3,regData,$C138),NA())</f>
        <v>#N/A</v>
      </c>
      <c r="BR138" s="30" t="e">
        <f>IF(AND($D138=1,(""&amp;loteAnalise)=(""&amp;loteCarregado),COUNTIFS(regAnalito,selAnalito,regNivel,3,regData,$C138,regRep3,"&lt;&gt;")&gt;0),SUMIFS(regRep3,regAnalito,selAnalito,regNivel,3,regData,$C138),NA())</f>
        <v>#N/A</v>
      </c>
      <c r="BS138" s="30" t="e">
        <f>IF(AND($D138=1,COUNTIFS(regAnalito,selAnalito,regData,$C138,regCalib,"Sim")&gt;0),$BX$1,NA())</f>
        <v>#N/A</v>
      </c>
    </row>
    <row r="139" spans="1:71" x14ac:dyDescent="0.3">
      <c r="A139" s="30">
        <v>137</v>
      </c>
      <c r="B139" s="30" t="str">
        <f>IF(OR(selAnalito="",(""&amp;engAnalito)&lt;&gt;(""&amp;selAnalito),(""&amp;engLote)&lt;&gt;(""&amp;loteAnalise),$A139&gt;N(engNRun)),"",INDEX(engRUN,$A139))</f>
        <v/>
      </c>
      <c r="C139" s="43" t="str">
        <f>IF($B139="","",IF(INDEX(engData,$A139)="","",INDEX(engData,$A139)))</f>
        <v/>
      </c>
      <c r="D139" s="30">
        <f>IF($C139="",0,IF(AND(OR(filtroDe="",INT($C139)&gt;=INT(filtroDe)),OR(filtroAte="",INT($C139)&lt;=INT(filtroAte))),1,0))</f>
        <v>0</v>
      </c>
      <c r="E139" s="30" t="e">
        <f t="shared" si="136"/>
        <v>#N/A</v>
      </c>
      <c r="F139" s="30" t="str">
        <f>IF($B139="","",IF(INDEX(engValN1,$A139)="","",INDEX(engValN1,$A139)))</f>
        <v/>
      </c>
      <c r="G139" s="30" t="str">
        <f t="shared" si="137"/>
        <v/>
      </c>
      <c r="H139" s="30" t="e">
        <f t="shared" si="138"/>
        <v>#N/A</v>
      </c>
      <c r="I139" s="30" t="e">
        <f t="shared" si="139"/>
        <v>#N/A</v>
      </c>
      <c r="J139" s="30" t="e">
        <f t="shared" si="140"/>
        <v>#N/A</v>
      </c>
      <c r="K139" s="30">
        <f>IF($F139="",0,IFERROR(INDEX(engDados,MATCH(selAnalito&amp;"|"&amp;$B139,engChave,0),3),0))</f>
        <v>0</v>
      </c>
      <c r="L139" s="30">
        <f>IF($F139="",0,IFERROR(INDEX(engDados,MATCH(selAnalito&amp;"|"&amp;$B139,engChave,0),4),0))</f>
        <v>0</v>
      </c>
      <c r="M139" s="30">
        <f>IF($F139="",0,IFERROR(INDEX(engDados,MATCH(selAnalito&amp;"|"&amp;$B139,engChave,0),5),0))</f>
        <v>0</v>
      </c>
      <c r="N139" s="30">
        <f>IF($F139="",0,IFERROR(INDEX(engDados,MATCH(selAnalito&amp;"|"&amp;$B139,engChave,0),6),0))</f>
        <v>0</v>
      </c>
      <c r="O139" s="30">
        <f>IF($F139="",0,IFERROR(INDEX(engDados,MATCH(selAnalito&amp;"|"&amp;$B139,engChave,0),7),0))</f>
        <v>0</v>
      </c>
      <c r="P139" s="30" t="str">
        <f>IF($F139="","",IFERROR(INDEX(engDados,MATCH(selAnalito&amp;"|"&amp;$B139,engChave,0),9),""))</f>
        <v/>
      </c>
      <c r="Q139" s="30" t="e">
        <f t="shared" si="141"/>
        <v>#N/A</v>
      </c>
      <c r="R139" s="30" t="e">
        <f t="shared" si="142"/>
        <v>#N/A</v>
      </c>
      <c r="S139" s="30" t="e">
        <f t="shared" si="143"/>
        <v>#N/A</v>
      </c>
      <c r="T139" s="30" t="e">
        <f t="shared" si="144"/>
        <v>#N/A</v>
      </c>
      <c r="U139" s="30" t="e">
        <f t="shared" si="145"/>
        <v>#N/A</v>
      </c>
      <c r="V139" s="30" t="e">
        <f t="shared" si="146"/>
        <v>#N/A</v>
      </c>
      <c r="W139" s="30" t="e">
        <f t="shared" si="147"/>
        <v>#N/A</v>
      </c>
      <c r="X139" s="30" t="e">
        <f>IF(AND($D139=1,(""&amp;loteAnalise)=(""&amp;loteCarregado),COUNTIFS(regAnalito,selAnalito,regNivel,1,regData,$C139,regRep1,"&lt;&gt;")&gt;0),SUMIFS(regRep1,regAnalito,selAnalito,regNivel,1,regData,$C139),NA())</f>
        <v>#N/A</v>
      </c>
      <c r="Y139" s="30" t="e">
        <f>IF(AND($D139=1,(""&amp;loteAnalise)=(""&amp;loteCarregado),COUNTIFS(regAnalito,selAnalito,regNivel,1,regData,$C139,regRep2,"&lt;&gt;")&gt;0),SUMIFS(regRep2,regAnalito,selAnalito,regNivel,1,regData,$C139),NA())</f>
        <v>#N/A</v>
      </c>
      <c r="Z139" s="30" t="e">
        <f>IF(AND($D139=1,(""&amp;loteAnalise)=(""&amp;loteCarregado),COUNTIFS(regAnalito,selAnalito,regNivel,1,regData,$C139,regRep3,"&lt;&gt;")&gt;0),SUMIFS(regRep3,regAnalito,selAnalito,regNivel,1,regData,$C139),NA())</f>
        <v>#N/A</v>
      </c>
      <c r="AA139" s="30" t="e">
        <f>IF(AND($D139=1,COUNTIFS(regAnalito,selAnalito,regData,$C139,regCalib,"Sim")&gt;0),$BT$1,NA())</f>
        <v>#N/A</v>
      </c>
      <c r="AB139" s="30" t="str">
        <f>IF($B139="","",IF(INDEX(engValN2,$A139)="","",INDEX(engValN2,$A139)))</f>
        <v/>
      </c>
      <c r="AC139" s="30" t="str">
        <f t="shared" si="148"/>
        <v/>
      </c>
      <c r="AD139" s="30" t="e">
        <f t="shared" si="149"/>
        <v>#N/A</v>
      </c>
      <c r="AE139" s="30" t="e">
        <f t="shared" si="150"/>
        <v>#N/A</v>
      </c>
      <c r="AF139" s="30" t="e">
        <f t="shared" si="151"/>
        <v>#N/A</v>
      </c>
      <c r="AG139" s="30">
        <f>IF($AB139="",0,IFERROR(INDEX(engDados,MATCH(selAnalito&amp;"|"&amp;$B139,engChave,0),10),0))</f>
        <v>0</v>
      </c>
      <c r="AH139" s="30">
        <f>IF($AB139="",0,IFERROR(INDEX(engDados,MATCH(selAnalito&amp;"|"&amp;$B139,engChave,0),11),0))</f>
        <v>0</v>
      </c>
      <c r="AI139" s="30">
        <f>IF($AB139="",0,IFERROR(INDEX(engDados,MATCH(selAnalito&amp;"|"&amp;$B139,engChave,0),12),0))</f>
        <v>0</v>
      </c>
      <c r="AJ139" s="30">
        <f>IF($AB139="",0,IFERROR(INDEX(engDados,MATCH(selAnalito&amp;"|"&amp;$B139,engChave,0),13),0))</f>
        <v>0</v>
      </c>
      <c r="AK139" s="30">
        <f>IF($AB139="",0,IFERROR(INDEX(engDados,MATCH(selAnalito&amp;"|"&amp;$B139,engChave,0),14),0))</f>
        <v>0</v>
      </c>
      <c r="AL139" s="30" t="str">
        <f>IF($AB139="","",IFERROR(INDEX(engDados,MATCH(selAnalito&amp;"|"&amp;$B139,engChave,0),16),""))</f>
        <v/>
      </c>
      <c r="AM139" s="30" t="e">
        <f t="shared" si="152"/>
        <v>#N/A</v>
      </c>
      <c r="AN139" s="30" t="e">
        <f t="shared" si="153"/>
        <v>#N/A</v>
      </c>
      <c r="AO139" s="30" t="e">
        <f t="shared" si="154"/>
        <v>#N/A</v>
      </c>
      <c r="AP139" s="30" t="e">
        <f t="shared" si="155"/>
        <v>#N/A</v>
      </c>
      <c r="AQ139" s="30" t="e">
        <f t="shared" si="156"/>
        <v>#N/A</v>
      </c>
      <c r="AR139" s="30" t="e">
        <f t="shared" si="157"/>
        <v>#N/A</v>
      </c>
      <c r="AS139" s="30" t="e">
        <f t="shared" si="158"/>
        <v>#N/A</v>
      </c>
      <c r="AT139" s="30" t="e">
        <f>IF(AND($D139=1,(""&amp;loteAnalise)=(""&amp;loteCarregado),COUNTIFS(regAnalito,selAnalito,regNivel,2,regData,$C139,regRep1,"&lt;&gt;")&gt;0),SUMIFS(regRep1,regAnalito,selAnalito,regNivel,2,regData,$C139),NA())</f>
        <v>#N/A</v>
      </c>
      <c r="AU139" s="30" t="e">
        <f>IF(AND($D139=1,(""&amp;loteAnalise)=(""&amp;loteCarregado),COUNTIFS(regAnalito,selAnalito,regNivel,2,regData,$C139,regRep2,"&lt;&gt;")&gt;0),SUMIFS(regRep2,regAnalito,selAnalito,regNivel,2,regData,$C139),NA())</f>
        <v>#N/A</v>
      </c>
      <c r="AV139" s="30" t="e">
        <f>IF(AND($D139=1,(""&amp;loteAnalise)=(""&amp;loteCarregado),COUNTIFS(regAnalito,selAnalito,regNivel,2,regData,$C139,regRep3,"&lt;&gt;")&gt;0),SUMIFS(regRep3,regAnalito,selAnalito,regNivel,2,regData,$C139),NA())</f>
        <v>#N/A</v>
      </c>
      <c r="AW139" s="30" t="e">
        <f>IF(AND($D139=1,COUNTIFS(regAnalito,selAnalito,regData,$C139,regCalib,"Sim")&gt;0),$BV$1,NA())</f>
        <v>#N/A</v>
      </c>
      <c r="AX139" s="30" t="str">
        <f>IF($B139="","",IF(INDEX(engValN3,$A139)="","",INDEX(engValN3,$A139)))</f>
        <v/>
      </c>
      <c r="AY139" s="30" t="str">
        <f t="shared" si="159"/>
        <v/>
      </c>
      <c r="AZ139" s="30" t="e">
        <f t="shared" si="160"/>
        <v>#N/A</v>
      </c>
      <c r="BA139" s="30" t="e">
        <f t="shared" si="161"/>
        <v>#N/A</v>
      </c>
      <c r="BB139" s="30" t="e">
        <f t="shared" si="162"/>
        <v>#N/A</v>
      </c>
      <c r="BC139" s="30">
        <f>IF($AX139="",0,IFERROR(INDEX(engDados,MATCH(selAnalito&amp;"|"&amp;$B139,engChave,0),17),0))</f>
        <v>0</v>
      </c>
      <c r="BD139" s="30">
        <f>IF($AX139="",0,IFERROR(INDEX(engDados,MATCH(selAnalito&amp;"|"&amp;$B139,engChave,0),18),0))</f>
        <v>0</v>
      </c>
      <c r="BE139" s="30">
        <f>IF($AX139="",0,IFERROR(INDEX(engDados,MATCH(selAnalito&amp;"|"&amp;$B139,engChave,0),19),0))</f>
        <v>0</v>
      </c>
      <c r="BF139" s="30">
        <f>IF($AX139="",0,IFERROR(INDEX(engDados,MATCH(selAnalito&amp;"|"&amp;$B139,engChave,0),20),0))</f>
        <v>0</v>
      </c>
      <c r="BG139" s="30">
        <f>IF($AX139="",0,IFERROR(INDEX(engDados,MATCH(selAnalito&amp;"|"&amp;$B139,engChave,0),21),0))</f>
        <v>0</v>
      </c>
      <c r="BH139" s="30" t="str">
        <f>IF($AX139="","",IFERROR(INDEX(engDados,MATCH(selAnalito&amp;"|"&amp;$B139,engChave,0),23),""))</f>
        <v/>
      </c>
      <c r="BI139" s="30" t="e">
        <f t="shared" si="163"/>
        <v>#N/A</v>
      </c>
      <c r="BJ139" s="30" t="e">
        <f t="shared" si="164"/>
        <v>#N/A</v>
      </c>
      <c r="BK139" s="30" t="e">
        <f t="shared" si="165"/>
        <v>#N/A</v>
      </c>
      <c r="BL139" s="30" t="e">
        <f t="shared" si="166"/>
        <v>#N/A</v>
      </c>
      <c r="BM139" s="30" t="e">
        <f t="shared" si="167"/>
        <v>#N/A</v>
      </c>
      <c r="BN139" s="30" t="e">
        <f t="shared" si="168"/>
        <v>#N/A</v>
      </c>
      <c r="BO139" s="30" t="e">
        <f t="shared" si="169"/>
        <v>#N/A</v>
      </c>
      <c r="BP139" s="30" t="e">
        <f>IF(AND($D139=1,(""&amp;loteAnalise)=(""&amp;loteCarregado),COUNTIFS(regAnalito,selAnalito,regNivel,3,regData,$C139,regRep1,"&lt;&gt;")&gt;0),SUMIFS(regRep1,regAnalito,selAnalito,regNivel,3,regData,$C139),NA())</f>
        <v>#N/A</v>
      </c>
      <c r="BQ139" s="30" t="e">
        <f>IF(AND($D139=1,(""&amp;loteAnalise)=(""&amp;loteCarregado),COUNTIFS(regAnalito,selAnalito,regNivel,3,regData,$C139,regRep2,"&lt;&gt;")&gt;0),SUMIFS(regRep2,regAnalito,selAnalito,regNivel,3,regData,$C139),NA())</f>
        <v>#N/A</v>
      </c>
      <c r="BR139" s="30" t="e">
        <f>IF(AND($D139=1,(""&amp;loteAnalise)=(""&amp;loteCarregado),COUNTIFS(regAnalito,selAnalito,regNivel,3,regData,$C139,regRep3,"&lt;&gt;")&gt;0),SUMIFS(regRep3,regAnalito,selAnalito,regNivel,3,regData,$C139),NA())</f>
        <v>#N/A</v>
      </c>
      <c r="BS139" s="30" t="e">
        <f>IF(AND($D139=1,COUNTIFS(regAnalito,selAnalito,regData,$C139,regCalib,"Sim")&gt;0),$BX$1,NA())</f>
        <v>#N/A</v>
      </c>
    </row>
    <row r="140" spans="1:71" x14ac:dyDescent="0.3">
      <c r="A140" s="30">
        <v>138</v>
      </c>
      <c r="B140" s="30" t="str">
        <f>IF(OR(selAnalito="",(""&amp;engAnalito)&lt;&gt;(""&amp;selAnalito),(""&amp;engLote)&lt;&gt;(""&amp;loteAnalise),$A140&gt;N(engNRun)),"",INDEX(engRUN,$A140))</f>
        <v/>
      </c>
      <c r="C140" s="43" t="str">
        <f>IF($B140="","",IF(INDEX(engData,$A140)="","",INDEX(engData,$A140)))</f>
        <v/>
      </c>
      <c r="D140" s="30">
        <f>IF($C140="",0,IF(AND(OR(filtroDe="",INT($C140)&gt;=INT(filtroDe)),OR(filtroAte="",INT($C140)&lt;=INT(filtroAte))),1,0))</f>
        <v>0</v>
      </c>
      <c r="E140" s="30" t="e">
        <f t="shared" si="136"/>
        <v>#N/A</v>
      </c>
      <c r="F140" s="30" t="str">
        <f>IF($B140="","",IF(INDEX(engValN1,$A140)="","",INDEX(engValN1,$A140)))</f>
        <v/>
      </c>
      <c r="G140" s="30" t="str">
        <f t="shared" si="137"/>
        <v/>
      </c>
      <c r="H140" s="30" t="e">
        <f t="shared" si="138"/>
        <v>#N/A</v>
      </c>
      <c r="I140" s="30" t="e">
        <f t="shared" si="139"/>
        <v>#N/A</v>
      </c>
      <c r="J140" s="30" t="e">
        <f t="shared" si="140"/>
        <v>#N/A</v>
      </c>
      <c r="K140" s="30">
        <f>IF($F140="",0,IFERROR(INDEX(engDados,MATCH(selAnalito&amp;"|"&amp;$B140,engChave,0),3),0))</f>
        <v>0</v>
      </c>
      <c r="L140" s="30">
        <f>IF($F140="",0,IFERROR(INDEX(engDados,MATCH(selAnalito&amp;"|"&amp;$B140,engChave,0),4),0))</f>
        <v>0</v>
      </c>
      <c r="M140" s="30">
        <f>IF($F140="",0,IFERROR(INDEX(engDados,MATCH(selAnalito&amp;"|"&amp;$B140,engChave,0),5),0))</f>
        <v>0</v>
      </c>
      <c r="N140" s="30">
        <f>IF($F140="",0,IFERROR(INDEX(engDados,MATCH(selAnalito&amp;"|"&amp;$B140,engChave,0),6),0))</f>
        <v>0</v>
      </c>
      <c r="O140" s="30">
        <f>IF($F140="",0,IFERROR(INDEX(engDados,MATCH(selAnalito&amp;"|"&amp;$B140,engChave,0),7),0))</f>
        <v>0</v>
      </c>
      <c r="P140" s="30" t="str">
        <f>IF($F140="","",IFERROR(INDEX(engDados,MATCH(selAnalito&amp;"|"&amp;$B140,engChave,0),9),""))</f>
        <v/>
      </c>
      <c r="Q140" s="30" t="e">
        <f t="shared" si="141"/>
        <v>#N/A</v>
      </c>
      <c r="R140" s="30" t="e">
        <f t="shared" si="142"/>
        <v>#N/A</v>
      </c>
      <c r="S140" s="30" t="e">
        <f t="shared" si="143"/>
        <v>#N/A</v>
      </c>
      <c r="T140" s="30" t="e">
        <f t="shared" si="144"/>
        <v>#N/A</v>
      </c>
      <c r="U140" s="30" t="e">
        <f t="shared" si="145"/>
        <v>#N/A</v>
      </c>
      <c r="V140" s="30" t="e">
        <f t="shared" si="146"/>
        <v>#N/A</v>
      </c>
      <c r="W140" s="30" t="e">
        <f t="shared" si="147"/>
        <v>#N/A</v>
      </c>
      <c r="X140" s="30" t="e">
        <f>IF(AND($D140=1,(""&amp;loteAnalise)=(""&amp;loteCarregado),COUNTIFS(regAnalito,selAnalito,regNivel,1,regData,$C140,regRep1,"&lt;&gt;")&gt;0),SUMIFS(regRep1,regAnalito,selAnalito,regNivel,1,regData,$C140),NA())</f>
        <v>#N/A</v>
      </c>
      <c r="Y140" s="30" t="e">
        <f>IF(AND($D140=1,(""&amp;loteAnalise)=(""&amp;loteCarregado),COUNTIFS(regAnalito,selAnalito,regNivel,1,regData,$C140,regRep2,"&lt;&gt;")&gt;0),SUMIFS(regRep2,regAnalito,selAnalito,regNivel,1,regData,$C140),NA())</f>
        <v>#N/A</v>
      </c>
      <c r="Z140" s="30" t="e">
        <f>IF(AND($D140=1,(""&amp;loteAnalise)=(""&amp;loteCarregado),COUNTIFS(regAnalito,selAnalito,regNivel,1,regData,$C140,regRep3,"&lt;&gt;")&gt;0),SUMIFS(regRep3,regAnalito,selAnalito,regNivel,1,regData,$C140),NA())</f>
        <v>#N/A</v>
      </c>
      <c r="AA140" s="30" t="e">
        <f>IF(AND($D140=1,COUNTIFS(regAnalito,selAnalito,regData,$C140,regCalib,"Sim")&gt;0),$BT$1,NA())</f>
        <v>#N/A</v>
      </c>
      <c r="AB140" s="30" t="str">
        <f>IF($B140="","",IF(INDEX(engValN2,$A140)="","",INDEX(engValN2,$A140)))</f>
        <v/>
      </c>
      <c r="AC140" s="30" t="str">
        <f t="shared" si="148"/>
        <v/>
      </c>
      <c r="AD140" s="30" t="e">
        <f t="shared" si="149"/>
        <v>#N/A</v>
      </c>
      <c r="AE140" s="30" t="e">
        <f t="shared" si="150"/>
        <v>#N/A</v>
      </c>
      <c r="AF140" s="30" t="e">
        <f t="shared" si="151"/>
        <v>#N/A</v>
      </c>
      <c r="AG140" s="30">
        <f>IF($AB140="",0,IFERROR(INDEX(engDados,MATCH(selAnalito&amp;"|"&amp;$B140,engChave,0),10),0))</f>
        <v>0</v>
      </c>
      <c r="AH140" s="30">
        <f>IF($AB140="",0,IFERROR(INDEX(engDados,MATCH(selAnalito&amp;"|"&amp;$B140,engChave,0),11),0))</f>
        <v>0</v>
      </c>
      <c r="AI140" s="30">
        <f>IF($AB140="",0,IFERROR(INDEX(engDados,MATCH(selAnalito&amp;"|"&amp;$B140,engChave,0),12),0))</f>
        <v>0</v>
      </c>
      <c r="AJ140" s="30">
        <f>IF($AB140="",0,IFERROR(INDEX(engDados,MATCH(selAnalito&amp;"|"&amp;$B140,engChave,0),13),0))</f>
        <v>0</v>
      </c>
      <c r="AK140" s="30">
        <f>IF($AB140="",0,IFERROR(INDEX(engDados,MATCH(selAnalito&amp;"|"&amp;$B140,engChave,0),14),0))</f>
        <v>0</v>
      </c>
      <c r="AL140" s="30" t="str">
        <f>IF($AB140="","",IFERROR(INDEX(engDados,MATCH(selAnalito&amp;"|"&amp;$B140,engChave,0),16),""))</f>
        <v/>
      </c>
      <c r="AM140" s="30" t="e">
        <f t="shared" si="152"/>
        <v>#N/A</v>
      </c>
      <c r="AN140" s="30" t="e">
        <f t="shared" si="153"/>
        <v>#N/A</v>
      </c>
      <c r="AO140" s="30" t="e">
        <f t="shared" si="154"/>
        <v>#N/A</v>
      </c>
      <c r="AP140" s="30" t="e">
        <f t="shared" si="155"/>
        <v>#N/A</v>
      </c>
      <c r="AQ140" s="30" t="e">
        <f t="shared" si="156"/>
        <v>#N/A</v>
      </c>
      <c r="AR140" s="30" t="e">
        <f t="shared" si="157"/>
        <v>#N/A</v>
      </c>
      <c r="AS140" s="30" t="e">
        <f t="shared" si="158"/>
        <v>#N/A</v>
      </c>
      <c r="AT140" s="30" t="e">
        <f>IF(AND($D140=1,(""&amp;loteAnalise)=(""&amp;loteCarregado),COUNTIFS(regAnalito,selAnalito,regNivel,2,regData,$C140,regRep1,"&lt;&gt;")&gt;0),SUMIFS(regRep1,regAnalito,selAnalito,regNivel,2,regData,$C140),NA())</f>
        <v>#N/A</v>
      </c>
      <c r="AU140" s="30" t="e">
        <f>IF(AND($D140=1,(""&amp;loteAnalise)=(""&amp;loteCarregado),COUNTIFS(regAnalito,selAnalito,regNivel,2,regData,$C140,regRep2,"&lt;&gt;")&gt;0),SUMIFS(regRep2,regAnalito,selAnalito,regNivel,2,regData,$C140),NA())</f>
        <v>#N/A</v>
      </c>
      <c r="AV140" s="30" t="e">
        <f>IF(AND($D140=1,(""&amp;loteAnalise)=(""&amp;loteCarregado),COUNTIFS(regAnalito,selAnalito,regNivel,2,regData,$C140,regRep3,"&lt;&gt;")&gt;0),SUMIFS(regRep3,regAnalito,selAnalito,regNivel,2,regData,$C140),NA())</f>
        <v>#N/A</v>
      </c>
      <c r="AW140" s="30" t="e">
        <f>IF(AND($D140=1,COUNTIFS(regAnalito,selAnalito,regData,$C140,regCalib,"Sim")&gt;0),$BV$1,NA())</f>
        <v>#N/A</v>
      </c>
      <c r="AX140" s="30" t="str">
        <f>IF($B140="","",IF(INDEX(engValN3,$A140)="","",INDEX(engValN3,$A140)))</f>
        <v/>
      </c>
      <c r="AY140" s="30" t="str">
        <f t="shared" si="159"/>
        <v/>
      </c>
      <c r="AZ140" s="30" t="e">
        <f t="shared" si="160"/>
        <v>#N/A</v>
      </c>
      <c r="BA140" s="30" t="e">
        <f t="shared" si="161"/>
        <v>#N/A</v>
      </c>
      <c r="BB140" s="30" t="e">
        <f t="shared" si="162"/>
        <v>#N/A</v>
      </c>
      <c r="BC140" s="30">
        <f>IF($AX140="",0,IFERROR(INDEX(engDados,MATCH(selAnalito&amp;"|"&amp;$B140,engChave,0),17),0))</f>
        <v>0</v>
      </c>
      <c r="BD140" s="30">
        <f>IF($AX140="",0,IFERROR(INDEX(engDados,MATCH(selAnalito&amp;"|"&amp;$B140,engChave,0),18),0))</f>
        <v>0</v>
      </c>
      <c r="BE140" s="30">
        <f>IF($AX140="",0,IFERROR(INDEX(engDados,MATCH(selAnalito&amp;"|"&amp;$B140,engChave,0),19),0))</f>
        <v>0</v>
      </c>
      <c r="BF140" s="30">
        <f>IF($AX140="",0,IFERROR(INDEX(engDados,MATCH(selAnalito&amp;"|"&amp;$B140,engChave,0),20),0))</f>
        <v>0</v>
      </c>
      <c r="BG140" s="30">
        <f>IF($AX140="",0,IFERROR(INDEX(engDados,MATCH(selAnalito&amp;"|"&amp;$B140,engChave,0),21),0))</f>
        <v>0</v>
      </c>
      <c r="BH140" s="30" t="str">
        <f>IF($AX140="","",IFERROR(INDEX(engDados,MATCH(selAnalito&amp;"|"&amp;$B140,engChave,0),23),""))</f>
        <v/>
      </c>
      <c r="BI140" s="30" t="e">
        <f t="shared" si="163"/>
        <v>#N/A</v>
      </c>
      <c r="BJ140" s="30" t="e">
        <f t="shared" si="164"/>
        <v>#N/A</v>
      </c>
      <c r="BK140" s="30" t="e">
        <f t="shared" si="165"/>
        <v>#N/A</v>
      </c>
      <c r="BL140" s="30" t="e">
        <f t="shared" si="166"/>
        <v>#N/A</v>
      </c>
      <c r="BM140" s="30" t="e">
        <f t="shared" si="167"/>
        <v>#N/A</v>
      </c>
      <c r="BN140" s="30" t="e">
        <f t="shared" si="168"/>
        <v>#N/A</v>
      </c>
      <c r="BO140" s="30" t="e">
        <f t="shared" si="169"/>
        <v>#N/A</v>
      </c>
      <c r="BP140" s="30" t="e">
        <f>IF(AND($D140=1,(""&amp;loteAnalise)=(""&amp;loteCarregado),COUNTIFS(regAnalito,selAnalito,regNivel,3,regData,$C140,regRep1,"&lt;&gt;")&gt;0),SUMIFS(regRep1,regAnalito,selAnalito,regNivel,3,regData,$C140),NA())</f>
        <v>#N/A</v>
      </c>
      <c r="BQ140" s="30" t="e">
        <f>IF(AND($D140=1,(""&amp;loteAnalise)=(""&amp;loteCarregado),COUNTIFS(regAnalito,selAnalito,regNivel,3,regData,$C140,regRep2,"&lt;&gt;")&gt;0),SUMIFS(regRep2,regAnalito,selAnalito,regNivel,3,regData,$C140),NA())</f>
        <v>#N/A</v>
      </c>
      <c r="BR140" s="30" t="e">
        <f>IF(AND($D140=1,(""&amp;loteAnalise)=(""&amp;loteCarregado),COUNTIFS(regAnalito,selAnalito,regNivel,3,regData,$C140,regRep3,"&lt;&gt;")&gt;0),SUMIFS(regRep3,regAnalito,selAnalito,regNivel,3,regData,$C140),NA())</f>
        <v>#N/A</v>
      </c>
      <c r="BS140" s="30" t="e">
        <f>IF(AND($D140=1,COUNTIFS(regAnalito,selAnalito,regData,$C140,regCalib,"Sim")&gt;0),$BX$1,NA())</f>
        <v>#N/A</v>
      </c>
    </row>
    <row r="141" spans="1:71" x14ac:dyDescent="0.3">
      <c r="A141" s="30">
        <v>139</v>
      </c>
      <c r="B141" s="30" t="str">
        <f>IF(OR(selAnalito="",(""&amp;engAnalito)&lt;&gt;(""&amp;selAnalito),(""&amp;engLote)&lt;&gt;(""&amp;loteAnalise),$A141&gt;N(engNRun)),"",INDEX(engRUN,$A141))</f>
        <v/>
      </c>
      <c r="C141" s="43" t="str">
        <f>IF($B141="","",IF(INDEX(engData,$A141)="","",INDEX(engData,$A141)))</f>
        <v/>
      </c>
      <c r="D141" s="30">
        <f>IF($C141="",0,IF(AND(OR(filtroDe="",INT($C141)&gt;=INT(filtroDe)),OR(filtroAte="",INT($C141)&lt;=INT(filtroAte))),1,0))</f>
        <v>0</v>
      </c>
      <c r="E141" s="30" t="e">
        <f t="shared" si="136"/>
        <v>#N/A</v>
      </c>
      <c r="F141" s="30" t="str">
        <f>IF($B141="","",IF(INDEX(engValN1,$A141)="","",INDEX(engValN1,$A141)))</f>
        <v/>
      </c>
      <c r="G141" s="30" t="str">
        <f t="shared" si="137"/>
        <v/>
      </c>
      <c r="H141" s="30" t="e">
        <f t="shared" si="138"/>
        <v>#N/A</v>
      </c>
      <c r="I141" s="30" t="e">
        <f t="shared" si="139"/>
        <v>#N/A</v>
      </c>
      <c r="J141" s="30" t="e">
        <f t="shared" si="140"/>
        <v>#N/A</v>
      </c>
      <c r="K141" s="30">
        <f>IF($F141="",0,IFERROR(INDEX(engDados,MATCH(selAnalito&amp;"|"&amp;$B141,engChave,0),3),0))</f>
        <v>0</v>
      </c>
      <c r="L141" s="30">
        <f>IF($F141="",0,IFERROR(INDEX(engDados,MATCH(selAnalito&amp;"|"&amp;$B141,engChave,0),4),0))</f>
        <v>0</v>
      </c>
      <c r="M141" s="30">
        <f>IF($F141="",0,IFERROR(INDEX(engDados,MATCH(selAnalito&amp;"|"&amp;$B141,engChave,0),5),0))</f>
        <v>0</v>
      </c>
      <c r="N141" s="30">
        <f>IF($F141="",0,IFERROR(INDEX(engDados,MATCH(selAnalito&amp;"|"&amp;$B141,engChave,0),6),0))</f>
        <v>0</v>
      </c>
      <c r="O141" s="30">
        <f>IF($F141="",0,IFERROR(INDEX(engDados,MATCH(selAnalito&amp;"|"&amp;$B141,engChave,0),7),0))</f>
        <v>0</v>
      </c>
      <c r="P141" s="30" t="str">
        <f>IF($F141="","",IFERROR(INDEX(engDados,MATCH(selAnalito&amp;"|"&amp;$B141,engChave,0),9),""))</f>
        <v/>
      </c>
      <c r="Q141" s="30" t="e">
        <f t="shared" si="141"/>
        <v>#N/A</v>
      </c>
      <c r="R141" s="30" t="e">
        <f t="shared" si="142"/>
        <v>#N/A</v>
      </c>
      <c r="S141" s="30" t="e">
        <f t="shared" si="143"/>
        <v>#N/A</v>
      </c>
      <c r="T141" s="30" t="e">
        <f t="shared" si="144"/>
        <v>#N/A</v>
      </c>
      <c r="U141" s="30" t="e">
        <f t="shared" si="145"/>
        <v>#N/A</v>
      </c>
      <c r="V141" s="30" t="e">
        <f t="shared" si="146"/>
        <v>#N/A</v>
      </c>
      <c r="W141" s="30" t="e">
        <f t="shared" si="147"/>
        <v>#N/A</v>
      </c>
      <c r="X141" s="30" t="e">
        <f>IF(AND($D141=1,(""&amp;loteAnalise)=(""&amp;loteCarregado),COUNTIFS(regAnalito,selAnalito,regNivel,1,regData,$C141,regRep1,"&lt;&gt;")&gt;0),SUMIFS(regRep1,regAnalito,selAnalito,regNivel,1,regData,$C141),NA())</f>
        <v>#N/A</v>
      </c>
      <c r="Y141" s="30" t="e">
        <f>IF(AND($D141=1,(""&amp;loteAnalise)=(""&amp;loteCarregado),COUNTIFS(regAnalito,selAnalito,regNivel,1,regData,$C141,regRep2,"&lt;&gt;")&gt;0),SUMIFS(regRep2,regAnalito,selAnalito,regNivel,1,regData,$C141),NA())</f>
        <v>#N/A</v>
      </c>
      <c r="Z141" s="30" t="e">
        <f>IF(AND($D141=1,(""&amp;loteAnalise)=(""&amp;loteCarregado),COUNTIFS(regAnalito,selAnalito,regNivel,1,regData,$C141,regRep3,"&lt;&gt;")&gt;0),SUMIFS(regRep3,regAnalito,selAnalito,regNivel,1,regData,$C141),NA())</f>
        <v>#N/A</v>
      </c>
      <c r="AA141" s="30" t="e">
        <f>IF(AND($D141=1,COUNTIFS(regAnalito,selAnalito,regData,$C141,regCalib,"Sim")&gt;0),$BT$1,NA())</f>
        <v>#N/A</v>
      </c>
      <c r="AB141" s="30" t="str">
        <f>IF($B141="","",IF(INDEX(engValN2,$A141)="","",INDEX(engValN2,$A141)))</f>
        <v/>
      </c>
      <c r="AC141" s="30" t="str">
        <f t="shared" si="148"/>
        <v/>
      </c>
      <c r="AD141" s="30" t="e">
        <f t="shared" si="149"/>
        <v>#N/A</v>
      </c>
      <c r="AE141" s="30" t="e">
        <f t="shared" si="150"/>
        <v>#N/A</v>
      </c>
      <c r="AF141" s="30" t="e">
        <f t="shared" si="151"/>
        <v>#N/A</v>
      </c>
      <c r="AG141" s="30">
        <f>IF($AB141="",0,IFERROR(INDEX(engDados,MATCH(selAnalito&amp;"|"&amp;$B141,engChave,0),10),0))</f>
        <v>0</v>
      </c>
      <c r="AH141" s="30">
        <f>IF($AB141="",0,IFERROR(INDEX(engDados,MATCH(selAnalito&amp;"|"&amp;$B141,engChave,0),11),0))</f>
        <v>0</v>
      </c>
      <c r="AI141" s="30">
        <f>IF($AB141="",0,IFERROR(INDEX(engDados,MATCH(selAnalito&amp;"|"&amp;$B141,engChave,0),12),0))</f>
        <v>0</v>
      </c>
      <c r="AJ141" s="30">
        <f>IF($AB141="",0,IFERROR(INDEX(engDados,MATCH(selAnalito&amp;"|"&amp;$B141,engChave,0),13),0))</f>
        <v>0</v>
      </c>
      <c r="AK141" s="30">
        <f>IF($AB141="",0,IFERROR(INDEX(engDados,MATCH(selAnalito&amp;"|"&amp;$B141,engChave,0),14),0))</f>
        <v>0</v>
      </c>
      <c r="AL141" s="30" t="str">
        <f>IF($AB141="","",IFERROR(INDEX(engDados,MATCH(selAnalito&amp;"|"&amp;$B141,engChave,0),16),""))</f>
        <v/>
      </c>
      <c r="AM141" s="30" t="e">
        <f t="shared" si="152"/>
        <v>#N/A</v>
      </c>
      <c r="AN141" s="30" t="e">
        <f t="shared" si="153"/>
        <v>#N/A</v>
      </c>
      <c r="AO141" s="30" t="e">
        <f t="shared" si="154"/>
        <v>#N/A</v>
      </c>
      <c r="AP141" s="30" t="e">
        <f t="shared" si="155"/>
        <v>#N/A</v>
      </c>
      <c r="AQ141" s="30" t="e">
        <f t="shared" si="156"/>
        <v>#N/A</v>
      </c>
      <c r="AR141" s="30" t="e">
        <f t="shared" si="157"/>
        <v>#N/A</v>
      </c>
      <c r="AS141" s="30" t="e">
        <f t="shared" si="158"/>
        <v>#N/A</v>
      </c>
      <c r="AT141" s="30" t="e">
        <f>IF(AND($D141=1,(""&amp;loteAnalise)=(""&amp;loteCarregado),COUNTIFS(regAnalito,selAnalito,regNivel,2,regData,$C141,regRep1,"&lt;&gt;")&gt;0),SUMIFS(regRep1,regAnalito,selAnalito,regNivel,2,regData,$C141),NA())</f>
        <v>#N/A</v>
      </c>
      <c r="AU141" s="30" t="e">
        <f>IF(AND($D141=1,(""&amp;loteAnalise)=(""&amp;loteCarregado),COUNTIFS(regAnalito,selAnalito,regNivel,2,regData,$C141,regRep2,"&lt;&gt;")&gt;0),SUMIFS(regRep2,regAnalito,selAnalito,regNivel,2,regData,$C141),NA())</f>
        <v>#N/A</v>
      </c>
      <c r="AV141" s="30" t="e">
        <f>IF(AND($D141=1,(""&amp;loteAnalise)=(""&amp;loteCarregado),COUNTIFS(regAnalito,selAnalito,regNivel,2,regData,$C141,regRep3,"&lt;&gt;")&gt;0),SUMIFS(regRep3,regAnalito,selAnalito,regNivel,2,regData,$C141),NA())</f>
        <v>#N/A</v>
      </c>
      <c r="AW141" s="30" t="e">
        <f>IF(AND($D141=1,COUNTIFS(regAnalito,selAnalito,regData,$C141,regCalib,"Sim")&gt;0),$BV$1,NA())</f>
        <v>#N/A</v>
      </c>
      <c r="AX141" s="30" t="str">
        <f>IF($B141="","",IF(INDEX(engValN3,$A141)="","",INDEX(engValN3,$A141)))</f>
        <v/>
      </c>
      <c r="AY141" s="30" t="str">
        <f t="shared" si="159"/>
        <v/>
      </c>
      <c r="AZ141" s="30" t="e">
        <f t="shared" si="160"/>
        <v>#N/A</v>
      </c>
      <c r="BA141" s="30" t="e">
        <f t="shared" si="161"/>
        <v>#N/A</v>
      </c>
      <c r="BB141" s="30" t="e">
        <f t="shared" si="162"/>
        <v>#N/A</v>
      </c>
      <c r="BC141" s="30">
        <f>IF($AX141="",0,IFERROR(INDEX(engDados,MATCH(selAnalito&amp;"|"&amp;$B141,engChave,0),17),0))</f>
        <v>0</v>
      </c>
      <c r="BD141" s="30">
        <f>IF($AX141="",0,IFERROR(INDEX(engDados,MATCH(selAnalito&amp;"|"&amp;$B141,engChave,0),18),0))</f>
        <v>0</v>
      </c>
      <c r="BE141" s="30">
        <f>IF($AX141="",0,IFERROR(INDEX(engDados,MATCH(selAnalito&amp;"|"&amp;$B141,engChave,0),19),0))</f>
        <v>0</v>
      </c>
      <c r="BF141" s="30">
        <f>IF($AX141="",0,IFERROR(INDEX(engDados,MATCH(selAnalito&amp;"|"&amp;$B141,engChave,0),20),0))</f>
        <v>0</v>
      </c>
      <c r="BG141" s="30">
        <f>IF($AX141="",0,IFERROR(INDEX(engDados,MATCH(selAnalito&amp;"|"&amp;$B141,engChave,0),21),0))</f>
        <v>0</v>
      </c>
      <c r="BH141" s="30" t="str">
        <f>IF($AX141="","",IFERROR(INDEX(engDados,MATCH(selAnalito&amp;"|"&amp;$B141,engChave,0),23),""))</f>
        <v/>
      </c>
      <c r="BI141" s="30" t="e">
        <f t="shared" si="163"/>
        <v>#N/A</v>
      </c>
      <c r="BJ141" s="30" t="e">
        <f t="shared" si="164"/>
        <v>#N/A</v>
      </c>
      <c r="BK141" s="30" t="e">
        <f t="shared" si="165"/>
        <v>#N/A</v>
      </c>
      <c r="BL141" s="30" t="e">
        <f t="shared" si="166"/>
        <v>#N/A</v>
      </c>
      <c r="BM141" s="30" t="e">
        <f t="shared" si="167"/>
        <v>#N/A</v>
      </c>
      <c r="BN141" s="30" t="e">
        <f t="shared" si="168"/>
        <v>#N/A</v>
      </c>
      <c r="BO141" s="30" t="e">
        <f t="shared" si="169"/>
        <v>#N/A</v>
      </c>
      <c r="BP141" s="30" t="e">
        <f>IF(AND($D141=1,(""&amp;loteAnalise)=(""&amp;loteCarregado),COUNTIFS(regAnalito,selAnalito,regNivel,3,regData,$C141,regRep1,"&lt;&gt;")&gt;0),SUMIFS(regRep1,regAnalito,selAnalito,regNivel,3,regData,$C141),NA())</f>
        <v>#N/A</v>
      </c>
      <c r="BQ141" s="30" t="e">
        <f>IF(AND($D141=1,(""&amp;loteAnalise)=(""&amp;loteCarregado),COUNTIFS(regAnalito,selAnalito,regNivel,3,regData,$C141,regRep2,"&lt;&gt;")&gt;0),SUMIFS(regRep2,regAnalito,selAnalito,regNivel,3,regData,$C141),NA())</f>
        <v>#N/A</v>
      </c>
      <c r="BR141" s="30" t="e">
        <f>IF(AND($D141=1,(""&amp;loteAnalise)=(""&amp;loteCarregado),COUNTIFS(regAnalito,selAnalito,regNivel,3,regData,$C141,regRep3,"&lt;&gt;")&gt;0),SUMIFS(regRep3,regAnalito,selAnalito,regNivel,3,regData,$C141),NA())</f>
        <v>#N/A</v>
      </c>
      <c r="BS141" s="30" t="e">
        <f>IF(AND($D141=1,COUNTIFS(regAnalito,selAnalito,regData,$C141,regCalib,"Sim")&gt;0),$BX$1,NA())</f>
        <v>#N/A</v>
      </c>
    </row>
    <row r="142" spans="1:71" x14ac:dyDescent="0.3">
      <c r="A142" s="30">
        <v>140</v>
      </c>
      <c r="B142" s="30" t="str">
        <f>IF(OR(selAnalito="",(""&amp;engAnalito)&lt;&gt;(""&amp;selAnalito),(""&amp;engLote)&lt;&gt;(""&amp;loteAnalise),$A142&gt;N(engNRun)),"",INDEX(engRUN,$A142))</f>
        <v/>
      </c>
      <c r="C142" s="43" t="str">
        <f>IF($B142="","",IF(INDEX(engData,$A142)="","",INDEX(engData,$A142)))</f>
        <v/>
      </c>
      <c r="D142" s="30">
        <f>IF($C142="",0,IF(AND(OR(filtroDe="",INT($C142)&gt;=INT(filtroDe)),OR(filtroAte="",INT($C142)&lt;=INT(filtroAte))),1,0))</f>
        <v>0</v>
      </c>
      <c r="E142" s="30" t="e">
        <f t="shared" si="136"/>
        <v>#N/A</v>
      </c>
      <c r="F142" s="30" t="str">
        <f>IF($B142="","",IF(INDEX(engValN1,$A142)="","",INDEX(engValN1,$A142)))</f>
        <v/>
      </c>
      <c r="G142" s="30" t="str">
        <f t="shared" si="137"/>
        <v/>
      </c>
      <c r="H142" s="30" t="e">
        <f t="shared" si="138"/>
        <v>#N/A</v>
      </c>
      <c r="I142" s="30" t="e">
        <f t="shared" si="139"/>
        <v>#N/A</v>
      </c>
      <c r="J142" s="30" t="e">
        <f t="shared" si="140"/>
        <v>#N/A</v>
      </c>
      <c r="K142" s="30">
        <f>IF($F142="",0,IFERROR(INDEX(engDados,MATCH(selAnalito&amp;"|"&amp;$B142,engChave,0),3),0))</f>
        <v>0</v>
      </c>
      <c r="L142" s="30">
        <f>IF($F142="",0,IFERROR(INDEX(engDados,MATCH(selAnalito&amp;"|"&amp;$B142,engChave,0),4),0))</f>
        <v>0</v>
      </c>
      <c r="M142" s="30">
        <f>IF($F142="",0,IFERROR(INDEX(engDados,MATCH(selAnalito&amp;"|"&amp;$B142,engChave,0),5),0))</f>
        <v>0</v>
      </c>
      <c r="N142" s="30">
        <f>IF($F142="",0,IFERROR(INDEX(engDados,MATCH(selAnalito&amp;"|"&amp;$B142,engChave,0),6),0))</f>
        <v>0</v>
      </c>
      <c r="O142" s="30">
        <f>IF($F142="",0,IFERROR(INDEX(engDados,MATCH(selAnalito&amp;"|"&amp;$B142,engChave,0),7),0))</f>
        <v>0</v>
      </c>
      <c r="P142" s="30" t="str">
        <f>IF($F142="","",IFERROR(INDEX(engDados,MATCH(selAnalito&amp;"|"&amp;$B142,engChave,0),9),""))</f>
        <v/>
      </c>
      <c r="Q142" s="30" t="e">
        <f t="shared" si="141"/>
        <v>#N/A</v>
      </c>
      <c r="R142" s="30" t="e">
        <f t="shared" si="142"/>
        <v>#N/A</v>
      </c>
      <c r="S142" s="30" t="e">
        <f t="shared" si="143"/>
        <v>#N/A</v>
      </c>
      <c r="T142" s="30" t="e">
        <f t="shared" si="144"/>
        <v>#N/A</v>
      </c>
      <c r="U142" s="30" t="e">
        <f t="shared" si="145"/>
        <v>#N/A</v>
      </c>
      <c r="V142" s="30" t="e">
        <f t="shared" si="146"/>
        <v>#N/A</v>
      </c>
      <c r="W142" s="30" t="e">
        <f t="shared" si="147"/>
        <v>#N/A</v>
      </c>
      <c r="X142" s="30" t="e">
        <f>IF(AND($D142=1,(""&amp;loteAnalise)=(""&amp;loteCarregado),COUNTIFS(regAnalito,selAnalito,regNivel,1,regData,$C142,regRep1,"&lt;&gt;")&gt;0),SUMIFS(regRep1,regAnalito,selAnalito,regNivel,1,regData,$C142),NA())</f>
        <v>#N/A</v>
      </c>
      <c r="Y142" s="30" t="e">
        <f>IF(AND($D142=1,(""&amp;loteAnalise)=(""&amp;loteCarregado),COUNTIFS(regAnalito,selAnalito,regNivel,1,regData,$C142,regRep2,"&lt;&gt;")&gt;0),SUMIFS(regRep2,regAnalito,selAnalito,regNivel,1,regData,$C142),NA())</f>
        <v>#N/A</v>
      </c>
      <c r="Z142" s="30" t="e">
        <f>IF(AND($D142=1,(""&amp;loteAnalise)=(""&amp;loteCarregado),COUNTIFS(regAnalito,selAnalito,regNivel,1,regData,$C142,regRep3,"&lt;&gt;")&gt;0),SUMIFS(regRep3,regAnalito,selAnalito,regNivel,1,regData,$C142),NA())</f>
        <v>#N/A</v>
      </c>
      <c r="AA142" s="30" t="e">
        <f>IF(AND($D142=1,COUNTIFS(regAnalito,selAnalito,regData,$C142,regCalib,"Sim")&gt;0),$BT$1,NA())</f>
        <v>#N/A</v>
      </c>
      <c r="AB142" s="30" t="str">
        <f>IF($B142="","",IF(INDEX(engValN2,$A142)="","",INDEX(engValN2,$A142)))</f>
        <v/>
      </c>
      <c r="AC142" s="30" t="str">
        <f t="shared" si="148"/>
        <v/>
      </c>
      <c r="AD142" s="30" t="e">
        <f t="shared" si="149"/>
        <v>#N/A</v>
      </c>
      <c r="AE142" s="30" t="e">
        <f t="shared" si="150"/>
        <v>#N/A</v>
      </c>
      <c r="AF142" s="30" t="e">
        <f t="shared" si="151"/>
        <v>#N/A</v>
      </c>
      <c r="AG142" s="30">
        <f>IF($AB142="",0,IFERROR(INDEX(engDados,MATCH(selAnalito&amp;"|"&amp;$B142,engChave,0),10),0))</f>
        <v>0</v>
      </c>
      <c r="AH142" s="30">
        <f>IF($AB142="",0,IFERROR(INDEX(engDados,MATCH(selAnalito&amp;"|"&amp;$B142,engChave,0),11),0))</f>
        <v>0</v>
      </c>
      <c r="AI142" s="30">
        <f>IF($AB142="",0,IFERROR(INDEX(engDados,MATCH(selAnalito&amp;"|"&amp;$B142,engChave,0),12),0))</f>
        <v>0</v>
      </c>
      <c r="AJ142" s="30">
        <f>IF($AB142="",0,IFERROR(INDEX(engDados,MATCH(selAnalito&amp;"|"&amp;$B142,engChave,0),13),0))</f>
        <v>0</v>
      </c>
      <c r="AK142" s="30">
        <f>IF($AB142="",0,IFERROR(INDEX(engDados,MATCH(selAnalito&amp;"|"&amp;$B142,engChave,0),14),0))</f>
        <v>0</v>
      </c>
      <c r="AL142" s="30" t="str">
        <f>IF($AB142="","",IFERROR(INDEX(engDados,MATCH(selAnalito&amp;"|"&amp;$B142,engChave,0),16),""))</f>
        <v/>
      </c>
      <c r="AM142" s="30" t="e">
        <f t="shared" si="152"/>
        <v>#N/A</v>
      </c>
      <c r="AN142" s="30" t="e">
        <f t="shared" si="153"/>
        <v>#N/A</v>
      </c>
      <c r="AO142" s="30" t="e">
        <f t="shared" si="154"/>
        <v>#N/A</v>
      </c>
      <c r="AP142" s="30" t="e">
        <f t="shared" si="155"/>
        <v>#N/A</v>
      </c>
      <c r="AQ142" s="30" t="e">
        <f t="shared" si="156"/>
        <v>#N/A</v>
      </c>
      <c r="AR142" s="30" t="e">
        <f t="shared" si="157"/>
        <v>#N/A</v>
      </c>
      <c r="AS142" s="30" t="e">
        <f t="shared" si="158"/>
        <v>#N/A</v>
      </c>
      <c r="AT142" s="30" t="e">
        <f>IF(AND($D142=1,(""&amp;loteAnalise)=(""&amp;loteCarregado),COUNTIFS(regAnalito,selAnalito,regNivel,2,regData,$C142,regRep1,"&lt;&gt;")&gt;0),SUMIFS(regRep1,regAnalito,selAnalito,regNivel,2,regData,$C142),NA())</f>
        <v>#N/A</v>
      </c>
      <c r="AU142" s="30" t="e">
        <f>IF(AND($D142=1,(""&amp;loteAnalise)=(""&amp;loteCarregado),COUNTIFS(regAnalito,selAnalito,regNivel,2,regData,$C142,regRep2,"&lt;&gt;")&gt;0),SUMIFS(regRep2,regAnalito,selAnalito,regNivel,2,regData,$C142),NA())</f>
        <v>#N/A</v>
      </c>
      <c r="AV142" s="30" t="e">
        <f>IF(AND($D142=1,(""&amp;loteAnalise)=(""&amp;loteCarregado),COUNTIFS(regAnalito,selAnalito,regNivel,2,regData,$C142,regRep3,"&lt;&gt;")&gt;0),SUMIFS(regRep3,regAnalito,selAnalito,regNivel,2,regData,$C142),NA())</f>
        <v>#N/A</v>
      </c>
      <c r="AW142" s="30" t="e">
        <f>IF(AND($D142=1,COUNTIFS(regAnalito,selAnalito,regData,$C142,regCalib,"Sim")&gt;0),$BV$1,NA())</f>
        <v>#N/A</v>
      </c>
      <c r="AX142" s="30" t="str">
        <f>IF($B142="","",IF(INDEX(engValN3,$A142)="","",INDEX(engValN3,$A142)))</f>
        <v/>
      </c>
      <c r="AY142" s="30" t="str">
        <f t="shared" si="159"/>
        <v/>
      </c>
      <c r="AZ142" s="30" t="e">
        <f t="shared" si="160"/>
        <v>#N/A</v>
      </c>
      <c r="BA142" s="30" t="e">
        <f t="shared" si="161"/>
        <v>#N/A</v>
      </c>
      <c r="BB142" s="30" t="e">
        <f t="shared" si="162"/>
        <v>#N/A</v>
      </c>
      <c r="BC142" s="30">
        <f>IF($AX142="",0,IFERROR(INDEX(engDados,MATCH(selAnalito&amp;"|"&amp;$B142,engChave,0),17),0))</f>
        <v>0</v>
      </c>
      <c r="BD142" s="30">
        <f>IF($AX142="",0,IFERROR(INDEX(engDados,MATCH(selAnalito&amp;"|"&amp;$B142,engChave,0),18),0))</f>
        <v>0</v>
      </c>
      <c r="BE142" s="30">
        <f>IF($AX142="",0,IFERROR(INDEX(engDados,MATCH(selAnalito&amp;"|"&amp;$B142,engChave,0),19),0))</f>
        <v>0</v>
      </c>
      <c r="BF142" s="30">
        <f>IF($AX142="",0,IFERROR(INDEX(engDados,MATCH(selAnalito&amp;"|"&amp;$B142,engChave,0),20),0))</f>
        <v>0</v>
      </c>
      <c r="BG142" s="30">
        <f>IF($AX142="",0,IFERROR(INDEX(engDados,MATCH(selAnalito&amp;"|"&amp;$B142,engChave,0),21),0))</f>
        <v>0</v>
      </c>
      <c r="BH142" s="30" t="str">
        <f>IF($AX142="","",IFERROR(INDEX(engDados,MATCH(selAnalito&amp;"|"&amp;$B142,engChave,0),23),""))</f>
        <v/>
      </c>
      <c r="BI142" s="30" t="e">
        <f t="shared" si="163"/>
        <v>#N/A</v>
      </c>
      <c r="BJ142" s="30" t="e">
        <f t="shared" si="164"/>
        <v>#N/A</v>
      </c>
      <c r="BK142" s="30" t="e">
        <f t="shared" si="165"/>
        <v>#N/A</v>
      </c>
      <c r="BL142" s="30" t="e">
        <f t="shared" si="166"/>
        <v>#N/A</v>
      </c>
      <c r="BM142" s="30" t="e">
        <f t="shared" si="167"/>
        <v>#N/A</v>
      </c>
      <c r="BN142" s="30" t="e">
        <f t="shared" si="168"/>
        <v>#N/A</v>
      </c>
      <c r="BO142" s="30" t="e">
        <f t="shared" si="169"/>
        <v>#N/A</v>
      </c>
      <c r="BP142" s="30" t="e">
        <f>IF(AND($D142=1,(""&amp;loteAnalise)=(""&amp;loteCarregado),COUNTIFS(regAnalito,selAnalito,regNivel,3,regData,$C142,regRep1,"&lt;&gt;")&gt;0),SUMIFS(regRep1,regAnalito,selAnalito,regNivel,3,regData,$C142),NA())</f>
        <v>#N/A</v>
      </c>
      <c r="BQ142" s="30" t="e">
        <f>IF(AND($D142=1,(""&amp;loteAnalise)=(""&amp;loteCarregado),COUNTIFS(regAnalito,selAnalito,regNivel,3,regData,$C142,regRep2,"&lt;&gt;")&gt;0),SUMIFS(regRep2,regAnalito,selAnalito,regNivel,3,regData,$C142),NA())</f>
        <v>#N/A</v>
      </c>
      <c r="BR142" s="30" t="e">
        <f>IF(AND($D142=1,(""&amp;loteAnalise)=(""&amp;loteCarregado),COUNTIFS(regAnalito,selAnalito,regNivel,3,regData,$C142,regRep3,"&lt;&gt;")&gt;0),SUMIFS(regRep3,regAnalito,selAnalito,regNivel,3,regData,$C142),NA())</f>
        <v>#N/A</v>
      </c>
      <c r="BS142" s="30" t="e">
        <f>IF(AND($D142=1,COUNTIFS(regAnalito,selAnalito,regData,$C142,regCalib,"Sim")&gt;0),$BX$1,NA())</f>
        <v>#N/A</v>
      </c>
    </row>
    <row r="143" spans="1:71" x14ac:dyDescent="0.3">
      <c r="A143" s="30">
        <v>141</v>
      </c>
      <c r="B143" s="30" t="str">
        <f>IF(OR(selAnalito="",(""&amp;engAnalito)&lt;&gt;(""&amp;selAnalito),(""&amp;engLote)&lt;&gt;(""&amp;loteAnalise),$A143&gt;N(engNRun)),"",INDEX(engRUN,$A143))</f>
        <v/>
      </c>
      <c r="C143" s="43" t="str">
        <f>IF($B143="","",IF(INDEX(engData,$A143)="","",INDEX(engData,$A143)))</f>
        <v/>
      </c>
      <c r="D143" s="30">
        <f>IF($C143="",0,IF(AND(OR(filtroDe="",INT($C143)&gt;=INT(filtroDe)),OR(filtroAte="",INT($C143)&lt;=INT(filtroAte))),1,0))</f>
        <v>0</v>
      </c>
      <c r="E143" s="30" t="e">
        <f t="shared" si="136"/>
        <v>#N/A</v>
      </c>
      <c r="F143" s="30" t="str">
        <f>IF($B143="","",IF(INDEX(engValN1,$A143)="","",INDEX(engValN1,$A143)))</f>
        <v/>
      </c>
      <c r="G143" s="30" t="str">
        <f t="shared" si="137"/>
        <v/>
      </c>
      <c r="H143" s="30" t="e">
        <f t="shared" si="138"/>
        <v>#N/A</v>
      </c>
      <c r="I143" s="30" t="e">
        <f t="shared" si="139"/>
        <v>#N/A</v>
      </c>
      <c r="J143" s="30" t="e">
        <f t="shared" si="140"/>
        <v>#N/A</v>
      </c>
      <c r="K143" s="30">
        <f>IF($F143="",0,IFERROR(INDEX(engDados,MATCH(selAnalito&amp;"|"&amp;$B143,engChave,0),3),0))</f>
        <v>0</v>
      </c>
      <c r="L143" s="30">
        <f>IF($F143="",0,IFERROR(INDEX(engDados,MATCH(selAnalito&amp;"|"&amp;$B143,engChave,0),4),0))</f>
        <v>0</v>
      </c>
      <c r="M143" s="30">
        <f>IF($F143="",0,IFERROR(INDEX(engDados,MATCH(selAnalito&amp;"|"&amp;$B143,engChave,0),5),0))</f>
        <v>0</v>
      </c>
      <c r="N143" s="30">
        <f>IF($F143="",0,IFERROR(INDEX(engDados,MATCH(selAnalito&amp;"|"&amp;$B143,engChave,0),6),0))</f>
        <v>0</v>
      </c>
      <c r="O143" s="30">
        <f>IF($F143="",0,IFERROR(INDEX(engDados,MATCH(selAnalito&amp;"|"&amp;$B143,engChave,0),7),0))</f>
        <v>0</v>
      </c>
      <c r="P143" s="30" t="str">
        <f>IF($F143="","",IFERROR(INDEX(engDados,MATCH(selAnalito&amp;"|"&amp;$B143,engChave,0),9),""))</f>
        <v/>
      </c>
      <c r="Q143" s="30" t="e">
        <f t="shared" si="141"/>
        <v>#N/A</v>
      </c>
      <c r="R143" s="30" t="e">
        <f t="shared" si="142"/>
        <v>#N/A</v>
      </c>
      <c r="S143" s="30" t="e">
        <f t="shared" si="143"/>
        <v>#N/A</v>
      </c>
      <c r="T143" s="30" t="e">
        <f t="shared" si="144"/>
        <v>#N/A</v>
      </c>
      <c r="U143" s="30" t="e">
        <f t="shared" si="145"/>
        <v>#N/A</v>
      </c>
      <c r="V143" s="30" t="e">
        <f t="shared" si="146"/>
        <v>#N/A</v>
      </c>
      <c r="W143" s="30" t="e">
        <f t="shared" si="147"/>
        <v>#N/A</v>
      </c>
      <c r="X143" s="30" t="e">
        <f>IF(AND($D143=1,(""&amp;loteAnalise)=(""&amp;loteCarregado),COUNTIFS(regAnalito,selAnalito,regNivel,1,regData,$C143,regRep1,"&lt;&gt;")&gt;0),SUMIFS(regRep1,regAnalito,selAnalito,regNivel,1,regData,$C143),NA())</f>
        <v>#N/A</v>
      </c>
      <c r="Y143" s="30" t="e">
        <f>IF(AND($D143=1,(""&amp;loteAnalise)=(""&amp;loteCarregado),COUNTIFS(regAnalito,selAnalito,regNivel,1,regData,$C143,regRep2,"&lt;&gt;")&gt;0),SUMIFS(regRep2,regAnalito,selAnalito,regNivel,1,regData,$C143),NA())</f>
        <v>#N/A</v>
      </c>
      <c r="Z143" s="30" t="e">
        <f>IF(AND($D143=1,(""&amp;loteAnalise)=(""&amp;loteCarregado),COUNTIFS(regAnalito,selAnalito,regNivel,1,regData,$C143,regRep3,"&lt;&gt;")&gt;0),SUMIFS(regRep3,regAnalito,selAnalito,regNivel,1,regData,$C143),NA())</f>
        <v>#N/A</v>
      </c>
      <c r="AA143" s="30" t="e">
        <f>IF(AND($D143=1,COUNTIFS(regAnalito,selAnalito,regData,$C143,regCalib,"Sim")&gt;0),$BT$1,NA())</f>
        <v>#N/A</v>
      </c>
      <c r="AB143" s="30" t="str">
        <f>IF($B143="","",IF(INDEX(engValN2,$A143)="","",INDEX(engValN2,$A143)))</f>
        <v/>
      </c>
      <c r="AC143" s="30" t="str">
        <f t="shared" si="148"/>
        <v/>
      </c>
      <c r="AD143" s="30" t="e">
        <f t="shared" si="149"/>
        <v>#N/A</v>
      </c>
      <c r="AE143" s="30" t="e">
        <f t="shared" si="150"/>
        <v>#N/A</v>
      </c>
      <c r="AF143" s="30" t="e">
        <f t="shared" si="151"/>
        <v>#N/A</v>
      </c>
      <c r="AG143" s="30">
        <f>IF($AB143="",0,IFERROR(INDEX(engDados,MATCH(selAnalito&amp;"|"&amp;$B143,engChave,0),10),0))</f>
        <v>0</v>
      </c>
      <c r="AH143" s="30">
        <f>IF($AB143="",0,IFERROR(INDEX(engDados,MATCH(selAnalito&amp;"|"&amp;$B143,engChave,0),11),0))</f>
        <v>0</v>
      </c>
      <c r="AI143" s="30">
        <f>IF($AB143="",0,IFERROR(INDEX(engDados,MATCH(selAnalito&amp;"|"&amp;$B143,engChave,0),12),0))</f>
        <v>0</v>
      </c>
      <c r="AJ143" s="30">
        <f>IF($AB143="",0,IFERROR(INDEX(engDados,MATCH(selAnalito&amp;"|"&amp;$B143,engChave,0),13),0))</f>
        <v>0</v>
      </c>
      <c r="AK143" s="30">
        <f>IF($AB143="",0,IFERROR(INDEX(engDados,MATCH(selAnalito&amp;"|"&amp;$B143,engChave,0),14),0))</f>
        <v>0</v>
      </c>
      <c r="AL143" s="30" t="str">
        <f>IF($AB143="","",IFERROR(INDEX(engDados,MATCH(selAnalito&amp;"|"&amp;$B143,engChave,0),16),""))</f>
        <v/>
      </c>
      <c r="AM143" s="30" t="e">
        <f t="shared" si="152"/>
        <v>#N/A</v>
      </c>
      <c r="AN143" s="30" t="e">
        <f t="shared" si="153"/>
        <v>#N/A</v>
      </c>
      <c r="AO143" s="30" t="e">
        <f t="shared" si="154"/>
        <v>#N/A</v>
      </c>
      <c r="AP143" s="30" t="e">
        <f t="shared" si="155"/>
        <v>#N/A</v>
      </c>
      <c r="AQ143" s="30" t="e">
        <f t="shared" si="156"/>
        <v>#N/A</v>
      </c>
      <c r="AR143" s="30" t="e">
        <f t="shared" si="157"/>
        <v>#N/A</v>
      </c>
      <c r="AS143" s="30" t="e">
        <f t="shared" si="158"/>
        <v>#N/A</v>
      </c>
      <c r="AT143" s="30" t="e">
        <f>IF(AND($D143=1,(""&amp;loteAnalise)=(""&amp;loteCarregado),COUNTIFS(regAnalito,selAnalito,regNivel,2,regData,$C143,regRep1,"&lt;&gt;")&gt;0),SUMIFS(regRep1,regAnalito,selAnalito,regNivel,2,regData,$C143),NA())</f>
        <v>#N/A</v>
      </c>
      <c r="AU143" s="30" t="e">
        <f>IF(AND($D143=1,(""&amp;loteAnalise)=(""&amp;loteCarregado),COUNTIFS(regAnalito,selAnalito,regNivel,2,regData,$C143,regRep2,"&lt;&gt;")&gt;0),SUMIFS(regRep2,regAnalito,selAnalito,regNivel,2,regData,$C143),NA())</f>
        <v>#N/A</v>
      </c>
      <c r="AV143" s="30" t="e">
        <f>IF(AND($D143=1,(""&amp;loteAnalise)=(""&amp;loteCarregado),COUNTIFS(regAnalito,selAnalito,regNivel,2,regData,$C143,regRep3,"&lt;&gt;")&gt;0),SUMIFS(regRep3,regAnalito,selAnalito,regNivel,2,regData,$C143),NA())</f>
        <v>#N/A</v>
      </c>
      <c r="AW143" s="30" t="e">
        <f>IF(AND($D143=1,COUNTIFS(regAnalito,selAnalito,regData,$C143,regCalib,"Sim")&gt;0),$BV$1,NA())</f>
        <v>#N/A</v>
      </c>
      <c r="AX143" s="30" t="str">
        <f>IF($B143="","",IF(INDEX(engValN3,$A143)="","",INDEX(engValN3,$A143)))</f>
        <v/>
      </c>
      <c r="AY143" s="30" t="str">
        <f t="shared" si="159"/>
        <v/>
      </c>
      <c r="AZ143" s="30" t="e">
        <f t="shared" si="160"/>
        <v>#N/A</v>
      </c>
      <c r="BA143" s="30" t="e">
        <f t="shared" si="161"/>
        <v>#N/A</v>
      </c>
      <c r="BB143" s="30" t="e">
        <f t="shared" si="162"/>
        <v>#N/A</v>
      </c>
      <c r="BC143" s="30">
        <f>IF($AX143="",0,IFERROR(INDEX(engDados,MATCH(selAnalito&amp;"|"&amp;$B143,engChave,0),17),0))</f>
        <v>0</v>
      </c>
      <c r="BD143" s="30">
        <f>IF($AX143="",0,IFERROR(INDEX(engDados,MATCH(selAnalito&amp;"|"&amp;$B143,engChave,0),18),0))</f>
        <v>0</v>
      </c>
      <c r="BE143" s="30">
        <f>IF($AX143="",0,IFERROR(INDEX(engDados,MATCH(selAnalito&amp;"|"&amp;$B143,engChave,0),19),0))</f>
        <v>0</v>
      </c>
      <c r="BF143" s="30">
        <f>IF($AX143="",0,IFERROR(INDEX(engDados,MATCH(selAnalito&amp;"|"&amp;$B143,engChave,0),20),0))</f>
        <v>0</v>
      </c>
      <c r="BG143" s="30">
        <f>IF($AX143="",0,IFERROR(INDEX(engDados,MATCH(selAnalito&amp;"|"&amp;$B143,engChave,0),21),0))</f>
        <v>0</v>
      </c>
      <c r="BH143" s="30" t="str">
        <f>IF($AX143="","",IFERROR(INDEX(engDados,MATCH(selAnalito&amp;"|"&amp;$B143,engChave,0),23),""))</f>
        <v/>
      </c>
      <c r="BI143" s="30" t="e">
        <f t="shared" si="163"/>
        <v>#N/A</v>
      </c>
      <c r="BJ143" s="30" t="e">
        <f t="shared" si="164"/>
        <v>#N/A</v>
      </c>
      <c r="BK143" s="30" t="e">
        <f t="shared" si="165"/>
        <v>#N/A</v>
      </c>
      <c r="BL143" s="30" t="e">
        <f t="shared" si="166"/>
        <v>#N/A</v>
      </c>
      <c r="BM143" s="30" t="e">
        <f t="shared" si="167"/>
        <v>#N/A</v>
      </c>
      <c r="BN143" s="30" t="e">
        <f t="shared" si="168"/>
        <v>#N/A</v>
      </c>
      <c r="BO143" s="30" t="e">
        <f t="shared" si="169"/>
        <v>#N/A</v>
      </c>
      <c r="BP143" s="30" t="e">
        <f>IF(AND($D143=1,(""&amp;loteAnalise)=(""&amp;loteCarregado),COUNTIFS(regAnalito,selAnalito,regNivel,3,regData,$C143,regRep1,"&lt;&gt;")&gt;0),SUMIFS(regRep1,regAnalito,selAnalito,regNivel,3,regData,$C143),NA())</f>
        <v>#N/A</v>
      </c>
      <c r="BQ143" s="30" t="e">
        <f>IF(AND($D143=1,(""&amp;loteAnalise)=(""&amp;loteCarregado),COUNTIFS(regAnalito,selAnalito,regNivel,3,regData,$C143,regRep2,"&lt;&gt;")&gt;0),SUMIFS(regRep2,regAnalito,selAnalito,regNivel,3,regData,$C143),NA())</f>
        <v>#N/A</v>
      </c>
      <c r="BR143" s="30" t="e">
        <f>IF(AND($D143=1,(""&amp;loteAnalise)=(""&amp;loteCarregado),COUNTIFS(regAnalito,selAnalito,regNivel,3,regData,$C143,regRep3,"&lt;&gt;")&gt;0),SUMIFS(regRep3,regAnalito,selAnalito,regNivel,3,regData,$C143),NA())</f>
        <v>#N/A</v>
      </c>
      <c r="BS143" s="30" t="e">
        <f>IF(AND($D143=1,COUNTIFS(regAnalito,selAnalito,regData,$C143,regCalib,"Sim")&gt;0),$BX$1,NA())</f>
        <v>#N/A</v>
      </c>
    </row>
    <row r="144" spans="1:71" x14ac:dyDescent="0.3">
      <c r="A144" s="30">
        <v>142</v>
      </c>
      <c r="B144" s="30" t="str">
        <f>IF(OR(selAnalito="",(""&amp;engAnalito)&lt;&gt;(""&amp;selAnalito),(""&amp;engLote)&lt;&gt;(""&amp;loteAnalise),$A144&gt;N(engNRun)),"",INDEX(engRUN,$A144))</f>
        <v/>
      </c>
      <c r="C144" s="43" t="str">
        <f>IF($B144="","",IF(INDEX(engData,$A144)="","",INDEX(engData,$A144)))</f>
        <v/>
      </c>
      <c r="D144" s="30">
        <f>IF($C144="",0,IF(AND(OR(filtroDe="",INT($C144)&gt;=INT(filtroDe)),OR(filtroAte="",INT($C144)&lt;=INT(filtroAte))),1,0))</f>
        <v>0</v>
      </c>
      <c r="E144" s="30" t="e">
        <f t="shared" si="136"/>
        <v>#N/A</v>
      </c>
      <c r="F144" s="30" t="str">
        <f>IF($B144="","",IF(INDEX(engValN1,$A144)="","",INDEX(engValN1,$A144)))</f>
        <v/>
      </c>
      <c r="G144" s="30" t="str">
        <f t="shared" si="137"/>
        <v/>
      </c>
      <c r="H144" s="30" t="e">
        <f t="shared" si="138"/>
        <v>#N/A</v>
      </c>
      <c r="I144" s="30" t="e">
        <f t="shared" si="139"/>
        <v>#N/A</v>
      </c>
      <c r="J144" s="30" t="e">
        <f t="shared" si="140"/>
        <v>#N/A</v>
      </c>
      <c r="K144" s="30">
        <f>IF($F144="",0,IFERROR(INDEX(engDados,MATCH(selAnalito&amp;"|"&amp;$B144,engChave,0),3),0))</f>
        <v>0</v>
      </c>
      <c r="L144" s="30">
        <f>IF($F144="",0,IFERROR(INDEX(engDados,MATCH(selAnalito&amp;"|"&amp;$B144,engChave,0),4),0))</f>
        <v>0</v>
      </c>
      <c r="M144" s="30">
        <f>IF($F144="",0,IFERROR(INDEX(engDados,MATCH(selAnalito&amp;"|"&amp;$B144,engChave,0),5),0))</f>
        <v>0</v>
      </c>
      <c r="N144" s="30">
        <f>IF($F144="",0,IFERROR(INDEX(engDados,MATCH(selAnalito&amp;"|"&amp;$B144,engChave,0),6),0))</f>
        <v>0</v>
      </c>
      <c r="O144" s="30">
        <f>IF($F144="",0,IFERROR(INDEX(engDados,MATCH(selAnalito&amp;"|"&amp;$B144,engChave,0),7),0))</f>
        <v>0</v>
      </c>
      <c r="P144" s="30" t="str">
        <f>IF($F144="","",IFERROR(INDEX(engDados,MATCH(selAnalito&amp;"|"&amp;$B144,engChave,0),9),""))</f>
        <v/>
      </c>
      <c r="Q144" s="30" t="e">
        <f t="shared" si="141"/>
        <v>#N/A</v>
      </c>
      <c r="R144" s="30" t="e">
        <f t="shared" si="142"/>
        <v>#N/A</v>
      </c>
      <c r="S144" s="30" t="e">
        <f t="shared" si="143"/>
        <v>#N/A</v>
      </c>
      <c r="T144" s="30" t="e">
        <f t="shared" si="144"/>
        <v>#N/A</v>
      </c>
      <c r="U144" s="30" t="e">
        <f t="shared" si="145"/>
        <v>#N/A</v>
      </c>
      <c r="V144" s="30" t="e">
        <f t="shared" si="146"/>
        <v>#N/A</v>
      </c>
      <c r="W144" s="30" t="e">
        <f t="shared" si="147"/>
        <v>#N/A</v>
      </c>
      <c r="X144" s="30" t="e">
        <f>IF(AND($D144=1,(""&amp;loteAnalise)=(""&amp;loteCarregado),COUNTIFS(regAnalito,selAnalito,regNivel,1,regData,$C144,regRep1,"&lt;&gt;")&gt;0),SUMIFS(regRep1,regAnalito,selAnalito,regNivel,1,regData,$C144),NA())</f>
        <v>#N/A</v>
      </c>
      <c r="Y144" s="30" t="e">
        <f>IF(AND($D144=1,(""&amp;loteAnalise)=(""&amp;loteCarregado),COUNTIFS(regAnalito,selAnalito,regNivel,1,regData,$C144,regRep2,"&lt;&gt;")&gt;0),SUMIFS(regRep2,regAnalito,selAnalito,regNivel,1,regData,$C144),NA())</f>
        <v>#N/A</v>
      </c>
      <c r="Z144" s="30" t="e">
        <f>IF(AND($D144=1,(""&amp;loteAnalise)=(""&amp;loteCarregado),COUNTIFS(regAnalito,selAnalito,regNivel,1,regData,$C144,regRep3,"&lt;&gt;")&gt;0),SUMIFS(regRep3,regAnalito,selAnalito,regNivel,1,regData,$C144),NA())</f>
        <v>#N/A</v>
      </c>
      <c r="AA144" s="30" t="e">
        <f>IF(AND($D144=1,COUNTIFS(regAnalito,selAnalito,regData,$C144,regCalib,"Sim")&gt;0),$BT$1,NA())</f>
        <v>#N/A</v>
      </c>
      <c r="AB144" s="30" t="str">
        <f>IF($B144="","",IF(INDEX(engValN2,$A144)="","",INDEX(engValN2,$A144)))</f>
        <v/>
      </c>
      <c r="AC144" s="30" t="str">
        <f t="shared" si="148"/>
        <v/>
      </c>
      <c r="AD144" s="30" t="e">
        <f t="shared" si="149"/>
        <v>#N/A</v>
      </c>
      <c r="AE144" s="30" t="e">
        <f t="shared" si="150"/>
        <v>#N/A</v>
      </c>
      <c r="AF144" s="30" t="e">
        <f t="shared" si="151"/>
        <v>#N/A</v>
      </c>
      <c r="AG144" s="30">
        <f>IF($AB144="",0,IFERROR(INDEX(engDados,MATCH(selAnalito&amp;"|"&amp;$B144,engChave,0),10),0))</f>
        <v>0</v>
      </c>
      <c r="AH144" s="30">
        <f>IF($AB144="",0,IFERROR(INDEX(engDados,MATCH(selAnalito&amp;"|"&amp;$B144,engChave,0),11),0))</f>
        <v>0</v>
      </c>
      <c r="AI144" s="30">
        <f>IF($AB144="",0,IFERROR(INDEX(engDados,MATCH(selAnalito&amp;"|"&amp;$B144,engChave,0),12),0))</f>
        <v>0</v>
      </c>
      <c r="AJ144" s="30">
        <f>IF($AB144="",0,IFERROR(INDEX(engDados,MATCH(selAnalito&amp;"|"&amp;$B144,engChave,0),13),0))</f>
        <v>0</v>
      </c>
      <c r="AK144" s="30">
        <f>IF($AB144="",0,IFERROR(INDEX(engDados,MATCH(selAnalito&amp;"|"&amp;$B144,engChave,0),14),0))</f>
        <v>0</v>
      </c>
      <c r="AL144" s="30" t="str">
        <f>IF($AB144="","",IFERROR(INDEX(engDados,MATCH(selAnalito&amp;"|"&amp;$B144,engChave,0),16),""))</f>
        <v/>
      </c>
      <c r="AM144" s="30" t="e">
        <f t="shared" si="152"/>
        <v>#N/A</v>
      </c>
      <c r="AN144" s="30" t="e">
        <f t="shared" si="153"/>
        <v>#N/A</v>
      </c>
      <c r="AO144" s="30" t="e">
        <f t="shared" si="154"/>
        <v>#N/A</v>
      </c>
      <c r="AP144" s="30" t="e">
        <f t="shared" si="155"/>
        <v>#N/A</v>
      </c>
      <c r="AQ144" s="30" t="e">
        <f t="shared" si="156"/>
        <v>#N/A</v>
      </c>
      <c r="AR144" s="30" t="e">
        <f t="shared" si="157"/>
        <v>#N/A</v>
      </c>
      <c r="AS144" s="30" t="e">
        <f t="shared" si="158"/>
        <v>#N/A</v>
      </c>
      <c r="AT144" s="30" t="e">
        <f>IF(AND($D144=1,(""&amp;loteAnalise)=(""&amp;loteCarregado),COUNTIFS(regAnalito,selAnalito,regNivel,2,regData,$C144,regRep1,"&lt;&gt;")&gt;0),SUMIFS(regRep1,regAnalito,selAnalito,regNivel,2,regData,$C144),NA())</f>
        <v>#N/A</v>
      </c>
      <c r="AU144" s="30" t="e">
        <f>IF(AND($D144=1,(""&amp;loteAnalise)=(""&amp;loteCarregado),COUNTIFS(regAnalito,selAnalito,regNivel,2,regData,$C144,regRep2,"&lt;&gt;")&gt;0),SUMIFS(regRep2,regAnalito,selAnalito,regNivel,2,regData,$C144),NA())</f>
        <v>#N/A</v>
      </c>
      <c r="AV144" s="30" t="e">
        <f>IF(AND($D144=1,(""&amp;loteAnalise)=(""&amp;loteCarregado),COUNTIFS(regAnalito,selAnalito,regNivel,2,regData,$C144,regRep3,"&lt;&gt;")&gt;0),SUMIFS(regRep3,regAnalito,selAnalito,regNivel,2,regData,$C144),NA())</f>
        <v>#N/A</v>
      </c>
      <c r="AW144" s="30" t="e">
        <f>IF(AND($D144=1,COUNTIFS(regAnalito,selAnalito,regData,$C144,regCalib,"Sim")&gt;0),$BV$1,NA())</f>
        <v>#N/A</v>
      </c>
      <c r="AX144" s="30" t="str">
        <f>IF($B144="","",IF(INDEX(engValN3,$A144)="","",INDEX(engValN3,$A144)))</f>
        <v/>
      </c>
      <c r="AY144" s="30" t="str">
        <f t="shared" si="159"/>
        <v/>
      </c>
      <c r="AZ144" s="30" t="e">
        <f t="shared" si="160"/>
        <v>#N/A</v>
      </c>
      <c r="BA144" s="30" t="e">
        <f t="shared" si="161"/>
        <v>#N/A</v>
      </c>
      <c r="BB144" s="30" t="e">
        <f t="shared" si="162"/>
        <v>#N/A</v>
      </c>
      <c r="BC144" s="30">
        <f>IF($AX144="",0,IFERROR(INDEX(engDados,MATCH(selAnalito&amp;"|"&amp;$B144,engChave,0),17),0))</f>
        <v>0</v>
      </c>
      <c r="BD144" s="30">
        <f>IF($AX144="",0,IFERROR(INDEX(engDados,MATCH(selAnalito&amp;"|"&amp;$B144,engChave,0),18),0))</f>
        <v>0</v>
      </c>
      <c r="BE144" s="30">
        <f>IF($AX144="",0,IFERROR(INDEX(engDados,MATCH(selAnalito&amp;"|"&amp;$B144,engChave,0),19),0))</f>
        <v>0</v>
      </c>
      <c r="BF144" s="30">
        <f>IF($AX144="",0,IFERROR(INDEX(engDados,MATCH(selAnalito&amp;"|"&amp;$B144,engChave,0),20),0))</f>
        <v>0</v>
      </c>
      <c r="BG144" s="30">
        <f>IF($AX144="",0,IFERROR(INDEX(engDados,MATCH(selAnalito&amp;"|"&amp;$B144,engChave,0),21),0))</f>
        <v>0</v>
      </c>
      <c r="BH144" s="30" t="str">
        <f>IF($AX144="","",IFERROR(INDEX(engDados,MATCH(selAnalito&amp;"|"&amp;$B144,engChave,0),23),""))</f>
        <v/>
      </c>
      <c r="BI144" s="30" t="e">
        <f t="shared" si="163"/>
        <v>#N/A</v>
      </c>
      <c r="BJ144" s="30" t="e">
        <f t="shared" si="164"/>
        <v>#N/A</v>
      </c>
      <c r="BK144" s="30" t="e">
        <f t="shared" si="165"/>
        <v>#N/A</v>
      </c>
      <c r="BL144" s="30" t="e">
        <f t="shared" si="166"/>
        <v>#N/A</v>
      </c>
      <c r="BM144" s="30" t="e">
        <f t="shared" si="167"/>
        <v>#N/A</v>
      </c>
      <c r="BN144" s="30" t="e">
        <f t="shared" si="168"/>
        <v>#N/A</v>
      </c>
      <c r="BO144" s="30" t="e">
        <f t="shared" si="169"/>
        <v>#N/A</v>
      </c>
      <c r="BP144" s="30" t="e">
        <f>IF(AND($D144=1,(""&amp;loteAnalise)=(""&amp;loteCarregado),COUNTIFS(regAnalito,selAnalito,regNivel,3,regData,$C144,regRep1,"&lt;&gt;")&gt;0),SUMIFS(regRep1,regAnalito,selAnalito,regNivel,3,regData,$C144),NA())</f>
        <v>#N/A</v>
      </c>
      <c r="BQ144" s="30" t="e">
        <f>IF(AND($D144=1,(""&amp;loteAnalise)=(""&amp;loteCarregado),COUNTIFS(regAnalito,selAnalito,regNivel,3,regData,$C144,regRep2,"&lt;&gt;")&gt;0),SUMIFS(regRep2,regAnalito,selAnalito,regNivel,3,regData,$C144),NA())</f>
        <v>#N/A</v>
      </c>
      <c r="BR144" s="30" t="e">
        <f>IF(AND($D144=1,(""&amp;loteAnalise)=(""&amp;loteCarregado),COUNTIFS(regAnalito,selAnalito,regNivel,3,regData,$C144,regRep3,"&lt;&gt;")&gt;0),SUMIFS(regRep3,regAnalito,selAnalito,regNivel,3,regData,$C144),NA())</f>
        <v>#N/A</v>
      </c>
      <c r="BS144" s="30" t="e">
        <f>IF(AND($D144=1,COUNTIFS(regAnalito,selAnalito,regData,$C144,regCalib,"Sim")&gt;0),$BX$1,NA())</f>
        <v>#N/A</v>
      </c>
    </row>
    <row r="145" spans="1:71" x14ac:dyDescent="0.3">
      <c r="A145" s="30">
        <v>143</v>
      </c>
      <c r="B145" s="30" t="str">
        <f>IF(OR(selAnalito="",(""&amp;engAnalito)&lt;&gt;(""&amp;selAnalito),(""&amp;engLote)&lt;&gt;(""&amp;loteAnalise),$A145&gt;N(engNRun)),"",INDEX(engRUN,$A145))</f>
        <v/>
      </c>
      <c r="C145" s="43" t="str">
        <f>IF($B145="","",IF(INDEX(engData,$A145)="","",INDEX(engData,$A145)))</f>
        <v/>
      </c>
      <c r="D145" s="30">
        <f>IF($C145="",0,IF(AND(OR(filtroDe="",INT($C145)&gt;=INT(filtroDe)),OR(filtroAte="",INT($C145)&lt;=INT(filtroAte))),1,0))</f>
        <v>0</v>
      </c>
      <c r="E145" s="30" t="e">
        <f t="shared" si="136"/>
        <v>#N/A</v>
      </c>
      <c r="F145" s="30" t="str">
        <f>IF($B145="","",IF(INDEX(engValN1,$A145)="","",INDEX(engValN1,$A145)))</f>
        <v/>
      </c>
      <c r="G145" s="30" t="str">
        <f t="shared" si="137"/>
        <v/>
      </c>
      <c r="H145" s="30" t="e">
        <f t="shared" si="138"/>
        <v>#N/A</v>
      </c>
      <c r="I145" s="30" t="e">
        <f t="shared" si="139"/>
        <v>#N/A</v>
      </c>
      <c r="J145" s="30" t="e">
        <f t="shared" si="140"/>
        <v>#N/A</v>
      </c>
      <c r="K145" s="30">
        <f>IF($F145="",0,IFERROR(INDEX(engDados,MATCH(selAnalito&amp;"|"&amp;$B145,engChave,0),3),0))</f>
        <v>0</v>
      </c>
      <c r="L145" s="30">
        <f>IF($F145="",0,IFERROR(INDEX(engDados,MATCH(selAnalito&amp;"|"&amp;$B145,engChave,0),4),0))</f>
        <v>0</v>
      </c>
      <c r="M145" s="30">
        <f>IF($F145="",0,IFERROR(INDEX(engDados,MATCH(selAnalito&amp;"|"&amp;$B145,engChave,0),5),0))</f>
        <v>0</v>
      </c>
      <c r="N145" s="30">
        <f>IF($F145="",0,IFERROR(INDEX(engDados,MATCH(selAnalito&amp;"|"&amp;$B145,engChave,0),6),0))</f>
        <v>0</v>
      </c>
      <c r="O145" s="30">
        <f>IF($F145="",0,IFERROR(INDEX(engDados,MATCH(selAnalito&amp;"|"&amp;$B145,engChave,0),7),0))</f>
        <v>0</v>
      </c>
      <c r="P145" s="30" t="str">
        <f>IF($F145="","",IFERROR(INDEX(engDados,MATCH(selAnalito&amp;"|"&amp;$B145,engChave,0),9),""))</f>
        <v/>
      </c>
      <c r="Q145" s="30" t="e">
        <f t="shared" si="141"/>
        <v>#N/A</v>
      </c>
      <c r="R145" s="30" t="e">
        <f t="shared" si="142"/>
        <v>#N/A</v>
      </c>
      <c r="S145" s="30" t="e">
        <f t="shared" si="143"/>
        <v>#N/A</v>
      </c>
      <c r="T145" s="30" t="e">
        <f t="shared" si="144"/>
        <v>#N/A</v>
      </c>
      <c r="U145" s="30" t="e">
        <f t="shared" si="145"/>
        <v>#N/A</v>
      </c>
      <c r="V145" s="30" t="e">
        <f t="shared" si="146"/>
        <v>#N/A</v>
      </c>
      <c r="W145" s="30" t="e">
        <f t="shared" si="147"/>
        <v>#N/A</v>
      </c>
      <c r="X145" s="30" t="e">
        <f>IF(AND($D145=1,(""&amp;loteAnalise)=(""&amp;loteCarregado),COUNTIFS(regAnalito,selAnalito,regNivel,1,regData,$C145,regRep1,"&lt;&gt;")&gt;0),SUMIFS(regRep1,regAnalito,selAnalito,regNivel,1,regData,$C145),NA())</f>
        <v>#N/A</v>
      </c>
      <c r="Y145" s="30" t="e">
        <f>IF(AND($D145=1,(""&amp;loteAnalise)=(""&amp;loteCarregado),COUNTIFS(regAnalito,selAnalito,regNivel,1,regData,$C145,regRep2,"&lt;&gt;")&gt;0),SUMIFS(regRep2,regAnalito,selAnalito,regNivel,1,regData,$C145),NA())</f>
        <v>#N/A</v>
      </c>
      <c r="Z145" s="30" t="e">
        <f>IF(AND($D145=1,(""&amp;loteAnalise)=(""&amp;loteCarregado),COUNTIFS(regAnalito,selAnalito,regNivel,1,regData,$C145,regRep3,"&lt;&gt;")&gt;0),SUMIFS(regRep3,regAnalito,selAnalito,regNivel,1,regData,$C145),NA())</f>
        <v>#N/A</v>
      </c>
      <c r="AA145" s="30" t="e">
        <f>IF(AND($D145=1,COUNTIFS(regAnalito,selAnalito,regData,$C145,regCalib,"Sim")&gt;0),$BT$1,NA())</f>
        <v>#N/A</v>
      </c>
      <c r="AB145" s="30" t="str">
        <f>IF($B145="","",IF(INDEX(engValN2,$A145)="","",INDEX(engValN2,$A145)))</f>
        <v/>
      </c>
      <c r="AC145" s="30" t="str">
        <f t="shared" si="148"/>
        <v/>
      </c>
      <c r="AD145" s="30" t="e">
        <f t="shared" si="149"/>
        <v>#N/A</v>
      </c>
      <c r="AE145" s="30" t="e">
        <f t="shared" si="150"/>
        <v>#N/A</v>
      </c>
      <c r="AF145" s="30" t="e">
        <f t="shared" si="151"/>
        <v>#N/A</v>
      </c>
      <c r="AG145" s="30">
        <f>IF($AB145="",0,IFERROR(INDEX(engDados,MATCH(selAnalito&amp;"|"&amp;$B145,engChave,0),10),0))</f>
        <v>0</v>
      </c>
      <c r="AH145" s="30">
        <f>IF($AB145="",0,IFERROR(INDEX(engDados,MATCH(selAnalito&amp;"|"&amp;$B145,engChave,0),11),0))</f>
        <v>0</v>
      </c>
      <c r="AI145" s="30">
        <f>IF($AB145="",0,IFERROR(INDEX(engDados,MATCH(selAnalito&amp;"|"&amp;$B145,engChave,0),12),0))</f>
        <v>0</v>
      </c>
      <c r="AJ145" s="30">
        <f>IF($AB145="",0,IFERROR(INDEX(engDados,MATCH(selAnalito&amp;"|"&amp;$B145,engChave,0),13),0))</f>
        <v>0</v>
      </c>
      <c r="AK145" s="30">
        <f>IF($AB145="",0,IFERROR(INDEX(engDados,MATCH(selAnalito&amp;"|"&amp;$B145,engChave,0),14),0))</f>
        <v>0</v>
      </c>
      <c r="AL145" s="30" t="str">
        <f>IF($AB145="","",IFERROR(INDEX(engDados,MATCH(selAnalito&amp;"|"&amp;$B145,engChave,0),16),""))</f>
        <v/>
      </c>
      <c r="AM145" s="30" t="e">
        <f t="shared" si="152"/>
        <v>#N/A</v>
      </c>
      <c r="AN145" s="30" t="e">
        <f t="shared" si="153"/>
        <v>#N/A</v>
      </c>
      <c r="AO145" s="30" t="e">
        <f t="shared" si="154"/>
        <v>#N/A</v>
      </c>
      <c r="AP145" s="30" t="e">
        <f t="shared" si="155"/>
        <v>#N/A</v>
      </c>
      <c r="AQ145" s="30" t="e">
        <f t="shared" si="156"/>
        <v>#N/A</v>
      </c>
      <c r="AR145" s="30" t="e">
        <f t="shared" si="157"/>
        <v>#N/A</v>
      </c>
      <c r="AS145" s="30" t="e">
        <f t="shared" si="158"/>
        <v>#N/A</v>
      </c>
      <c r="AT145" s="30" t="e">
        <f>IF(AND($D145=1,(""&amp;loteAnalise)=(""&amp;loteCarregado),COUNTIFS(regAnalito,selAnalito,regNivel,2,regData,$C145,regRep1,"&lt;&gt;")&gt;0),SUMIFS(regRep1,regAnalito,selAnalito,regNivel,2,regData,$C145),NA())</f>
        <v>#N/A</v>
      </c>
      <c r="AU145" s="30" t="e">
        <f>IF(AND($D145=1,(""&amp;loteAnalise)=(""&amp;loteCarregado),COUNTIFS(regAnalito,selAnalito,regNivel,2,regData,$C145,regRep2,"&lt;&gt;")&gt;0),SUMIFS(regRep2,regAnalito,selAnalito,regNivel,2,regData,$C145),NA())</f>
        <v>#N/A</v>
      </c>
      <c r="AV145" s="30" t="e">
        <f>IF(AND($D145=1,(""&amp;loteAnalise)=(""&amp;loteCarregado),COUNTIFS(regAnalito,selAnalito,regNivel,2,regData,$C145,regRep3,"&lt;&gt;")&gt;0),SUMIFS(regRep3,regAnalito,selAnalito,regNivel,2,regData,$C145),NA())</f>
        <v>#N/A</v>
      </c>
      <c r="AW145" s="30" t="e">
        <f>IF(AND($D145=1,COUNTIFS(regAnalito,selAnalito,regData,$C145,regCalib,"Sim")&gt;0),$BV$1,NA())</f>
        <v>#N/A</v>
      </c>
      <c r="AX145" s="30" t="str">
        <f>IF($B145="","",IF(INDEX(engValN3,$A145)="","",INDEX(engValN3,$A145)))</f>
        <v/>
      </c>
      <c r="AY145" s="30" t="str">
        <f t="shared" si="159"/>
        <v/>
      </c>
      <c r="AZ145" s="30" t="e">
        <f t="shared" si="160"/>
        <v>#N/A</v>
      </c>
      <c r="BA145" s="30" t="e">
        <f t="shared" si="161"/>
        <v>#N/A</v>
      </c>
      <c r="BB145" s="30" t="e">
        <f t="shared" si="162"/>
        <v>#N/A</v>
      </c>
      <c r="BC145" s="30">
        <f>IF($AX145="",0,IFERROR(INDEX(engDados,MATCH(selAnalito&amp;"|"&amp;$B145,engChave,0),17),0))</f>
        <v>0</v>
      </c>
      <c r="BD145" s="30">
        <f>IF($AX145="",0,IFERROR(INDEX(engDados,MATCH(selAnalito&amp;"|"&amp;$B145,engChave,0),18),0))</f>
        <v>0</v>
      </c>
      <c r="BE145" s="30">
        <f>IF($AX145="",0,IFERROR(INDEX(engDados,MATCH(selAnalito&amp;"|"&amp;$B145,engChave,0),19),0))</f>
        <v>0</v>
      </c>
      <c r="BF145" s="30">
        <f>IF($AX145="",0,IFERROR(INDEX(engDados,MATCH(selAnalito&amp;"|"&amp;$B145,engChave,0),20),0))</f>
        <v>0</v>
      </c>
      <c r="BG145" s="30">
        <f>IF($AX145="",0,IFERROR(INDEX(engDados,MATCH(selAnalito&amp;"|"&amp;$B145,engChave,0),21),0))</f>
        <v>0</v>
      </c>
      <c r="BH145" s="30" t="str">
        <f>IF($AX145="","",IFERROR(INDEX(engDados,MATCH(selAnalito&amp;"|"&amp;$B145,engChave,0),23),""))</f>
        <v/>
      </c>
      <c r="BI145" s="30" t="e">
        <f t="shared" si="163"/>
        <v>#N/A</v>
      </c>
      <c r="BJ145" s="30" t="e">
        <f t="shared" si="164"/>
        <v>#N/A</v>
      </c>
      <c r="BK145" s="30" t="e">
        <f t="shared" si="165"/>
        <v>#N/A</v>
      </c>
      <c r="BL145" s="30" t="e">
        <f t="shared" si="166"/>
        <v>#N/A</v>
      </c>
      <c r="BM145" s="30" t="e">
        <f t="shared" si="167"/>
        <v>#N/A</v>
      </c>
      <c r="BN145" s="30" t="e">
        <f t="shared" si="168"/>
        <v>#N/A</v>
      </c>
      <c r="BO145" s="30" t="e">
        <f t="shared" si="169"/>
        <v>#N/A</v>
      </c>
      <c r="BP145" s="30" t="e">
        <f>IF(AND($D145=1,(""&amp;loteAnalise)=(""&amp;loteCarregado),COUNTIFS(regAnalito,selAnalito,regNivel,3,regData,$C145,regRep1,"&lt;&gt;")&gt;0),SUMIFS(regRep1,regAnalito,selAnalito,regNivel,3,regData,$C145),NA())</f>
        <v>#N/A</v>
      </c>
      <c r="BQ145" s="30" t="e">
        <f>IF(AND($D145=1,(""&amp;loteAnalise)=(""&amp;loteCarregado),COUNTIFS(regAnalito,selAnalito,regNivel,3,regData,$C145,regRep2,"&lt;&gt;")&gt;0),SUMIFS(regRep2,regAnalito,selAnalito,regNivel,3,regData,$C145),NA())</f>
        <v>#N/A</v>
      </c>
      <c r="BR145" s="30" t="e">
        <f>IF(AND($D145=1,(""&amp;loteAnalise)=(""&amp;loteCarregado),COUNTIFS(regAnalito,selAnalito,regNivel,3,regData,$C145,regRep3,"&lt;&gt;")&gt;0),SUMIFS(regRep3,regAnalito,selAnalito,regNivel,3,regData,$C145),NA())</f>
        <v>#N/A</v>
      </c>
      <c r="BS145" s="30" t="e">
        <f>IF(AND($D145=1,COUNTIFS(regAnalito,selAnalito,regData,$C145,regCalib,"Sim")&gt;0),$BX$1,NA())</f>
        <v>#N/A</v>
      </c>
    </row>
    <row r="146" spans="1:71" x14ac:dyDescent="0.3">
      <c r="A146" s="30">
        <v>144</v>
      </c>
      <c r="B146" s="30" t="str">
        <f>IF(OR(selAnalito="",(""&amp;engAnalito)&lt;&gt;(""&amp;selAnalito),(""&amp;engLote)&lt;&gt;(""&amp;loteAnalise),$A146&gt;N(engNRun)),"",INDEX(engRUN,$A146))</f>
        <v/>
      </c>
      <c r="C146" s="43" t="str">
        <f>IF($B146="","",IF(INDEX(engData,$A146)="","",INDEX(engData,$A146)))</f>
        <v/>
      </c>
      <c r="D146" s="30">
        <f>IF($C146="",0,IF(AND(OR(filtroDe="",INT($C146)&gt;=INT(filtroDe)),OR(filtroAte="",INT($C146)&lt;=INT(filtroAte))),1,0))</f>
        <v>0</v>
      </c>
      <c r="E146" s="30" t="e">
        <f t="shared" si="136"/>
        <v>#N/A</v>
      </c>
      <c r="F146" s="30" t="str">
        <f>IF($B146="","",IF(INDEX(engValN1,$A146)="","",INDEX(engValN1,$A146)))</f>
        <v/>
      </c>
      <c r="G146" s="30" t="str">
        <f t="shared" si="137"/>
        <v/>
      </c>
      <c r="H146" s="30" t="e">
        <f t="shared" si="138"/>
        <v>#N/A</v>
      </c>
      <c r="I146" s="30" t="e">
        <f t="shared" si="139"/>
        <v>#N/A</v>
      </c>
      <c r="J146" s="30" t="e">
        <f t="shared" si="140"/>
        <v>#N/A</v>
      </c>
      <c r="K146" s="30">
        <f>IF($F146="",0,IFERROR(INDEX(engDados,MATCH(selAnalito&amp;"|"&amp;$B146,engChave,0),3),0))</f>
        <v>0</v>
      </c>
      <c r="L146" s="30">
        <f>IF($F146="",0,IFERROR(INDEX(engDados,MATCH(selAnalito&amp;"|"&amp;$B146,engChave,0),4),0))</f>
        <v>0</v>
      </c>
      <c r="M146" s="30">
        <f>IF($F146="",0,IFERROR(INDEX(engDados,MATCH(selAnalito&amp;"|"&amp;$B146,engChave,0),5),0))</f>
        <v>0</v>
      </c>
      <c r="N146" s="30">
        <f>IF($F146="",0,IFERROR(INDEX(engDados,MATCH(selAnalito&amp;"|"&amp;$B146,engChave,0),6),0))</f>
        <v>0</v>
      </c>
      <c r="O146" s="30">
        <f>IF($F146="",0,IFERROR(INDEX(engDados,MATCH(selAnalito&amp;"|"&amp;$B146,engChave,0),7),0))</f>
        <v>0</v>
      </c>
      <c r="P146" s="30" t="str">
        <f>IF($F146="","",IFERROR(INDEX(engDados,MATCH(selAnalito&amp;"|"&amp;$B146,engChave,0),9),""))</f>
        <v/>
      </c>
      <c r="Q146" s="30" t="e">
        <f t="shared" si="141"/>
        <v>#N/A</v>
      </c>
      <c r="R146" s="30" t="e">
        <f t="shared" si="142"/>
        <v>#N/A</v>
      </c>
      <c r="S146" s="30" t="e">
        <f t="shared" si="143"/>
        <v>#N/A</v>
      </c>
      <c r="T146" s="30" t="e">
        <f t="shared" si="144"/>
        <v>#N/A</v>
      </c>
      <c r="U146" s="30" t="e">
        <f t="shared" si="145"/>
        <v>#N/A</v>
      </c>
      <c r="V146" s="30" t="e">
        <f t="shared" si="146"/>
        <v>#N/A</v>
      </c>
      <c r="W146" s="30" t="e">
        <f t="shared" si="147"/>
        <v>#N/A</v>
      </c>
      <c r="X146" s="30" t="e">
        <f>IF(AND($D146=1,(""&amp;loteAnalise)=(""&amp;loteCarregado),COUNTIFS(regAnalito,selAnalito,regNivel,1,regData,$C146,regRep1,"&lt;&gt;")&gt;0),SUMIFS(regRep1,regAnalito,selAnalito,regNivel,1,regData,$C146),NA())</f>
        <v>#N/A</v>
      </c>
      <c r="Y146" s="30" t="e">
        <f>IF(AND($D146=1,(""&amp;loteAnalise)=(""&amp;loteCarregado),COUNTIFS(regAnalito,selAnalito,regNivel,1,regData,$C146,regRep2,"&lt;&gt;")&gt;0),SUMIFS(regRep2,regAnalito,selAnalito,regNivel,1,regData,$C146),NA())</f>
        <v>#N/A</v>
      </c>
      <c r="Z146" s="30" t="e">
        <f>IF(AND($D146=1,(""&amp;loteAnalise)=(""&amp;loteCarregado),COUNTIFS(regAnalito,selAnalito,regNivel,1,regData,$C146,regRep3,"&lt;&gt;")&gt;0),SUMIFS(regRep3,regAnalito,selAnalito,regNivel,1,regData,$C146),NA())</f>
        <v>#N/A</v>
      </c>
      <c r="AA146" s="30" t="e">
        <f>IF(AND($D146=1,COUNTIFS(regAnalito,selAnalito,regData,$C146,regCalib,"Sim")&gt;0),$BT$1,NA())</f>
        <v>#N/A</v>
      </c>
      <c r="AB146" s="30" t="str">
        <f>IF($B146="","",IF(INDEX(engValN2,$A146)="","",INDEX(engValN2,$A146)))</f>
        <v/>
      </c>
      <c r="AC146" s="30" t="str">
        <f t="shared" si="148"/>
        <v/>
      </c>
      <c r="AD146" s="30" t="e">
        <f t="shared" si="149"/>
        <v>#N/A</v>
      </c>
      <c r="AE146" s="30" t="e">
        <f t="shared" si="150"/>
        <v>#N/A</v>
      </c>
      <c r="AF146" s="30" t="e">
        <f t="shared" si="151"/>
        <v>#N/A</v>
      </c>
      <c r="AG146" s="30">
        <f>IF($AB146="",0,IFERROR(INDEX(engDados,MATCH(selAnalito&amp;"|"&amp;$B146,engChave,0),10),0))</f>
        <v>0</v>
      </c>
      <c r="AH146" s="30">
        <f>IF($AB146="",0,IFERROR(INDEX(engDados,MATCH(selAnalito&amp;"|"&amp;$B146,engChave,0),11),0))</f>
        <v>0</v>
      </c>
      <c r="AI146" s="30">
        <f>IF($AB146="",0,IFERROR(INDEX(engDados,MATCH(selAnalito&amp;"|"&amp;$B146,engChave,0),12),0))</f>
        <v>0</v>
      </c>
      <c r="AJ146" s="30">
        <f>IF($AB146="",0,IFERROR(INDEX(engDados,MATCH(selAnalito&amp;"|"&amp;$B146,engChave,0),13),0))</f>
        <v>0</v>
      </c>
      <c r="AK146" s="30">
        <f>IF($AB146="",0,IFERROR(INDEX(engDados,MATCH(selAnalito&amp;"|"&amp;$B146,engChave,0),14),0))</f>
        <v>0</v>
      </c>
      <c r="AL146" s="30" t="str">
        <f>IF($AB146="","",IFERROR(INDEX(engDados,MATCH(selAnalito&amp;"|"&amp;$B146,engChave,0),16),""))</f>
        <v/>
      </c>
      <c r="AM146" s="30" t="e">
        <f t="shared" si="152"/>
        <v>#N/A</v>
      </c>
      <c r="AN146" s="30" t="e">
        <f t="shared" si="153"/>
        <v>#N/A</v>
      </c>
      <c r="AO146" s="30" t="e">
        <f t="shared" si="154"/>
        <v>#N/A</v>
      </c>
      <c r="AP146" s="30" t="e">
        <f t="shared" si="155"/>
        <v>#N/A</v>
      </c>
      <c r="AQ146" s="30" t="e">
        <f t="shared" si="156"/>
        <v>#N/A</v>
      </c>
      <c r="AR146" s="30" t="e">
        <f t="shared" si="157"/>
        <v>#N/A</v>
      </c>
      <c r="AS146" s="30" t="e">
        <f t="shared" si="158"/>
        <v>#N/A</v>
      </c>
      <c r="AT146" s="30" t="e">
        <f>IF(AND($D146=1,(""&amp;loteAnalise)=(""&amp;loteCarregado),COUNTIFS(regAnalito,selAnalito,regNivel,2,regData,$C146,regRep1,"&lt;&gt;")&gt;0),SUMIFS(regRep1,regAnalito,selAnalito,regNivel,2,regData,$C146),NA())</f>
        <v>#N/A</v>
      </c>
      <c r="AU146" s="30" t="e">
        <f>IF(AND($D146=1,(""&amp;loteAnalise)=(""&amp;loteCarregado),COUNTIFS(regAnalito,selAnalito,regNivel,2,regData,$C146,regRep2,"&lt;&gt;")&gt;0),SUMIFS(regRep2,regAnalito,selAnalito,regNivel,2,regData,$C146),NA())</f>
        <v>#N/A</v>
      </c>
      <c r="AV146" s="30" t="e">
        <f>IF(AND($D146=1,(""&amp;loteAnalise)=(""&amp;loteCarregado),COUNTIFS(regAnalito,selAnalito,regNivel,2,regData,$C146,regRep3,"&lt;&gt;")&gt;0),SUMIFS(regRep3,regAnalito,selAnalito,regNivel,2,regData,$C146),NA())</f>
        <v>#N/A</v>
      </c>
      <c r="AW146" s="30" t="e">
        <f>IF(AND($D146=1,COUNTIFS(regAnalito,selAnalito,regData,$C146,regCalib,"Sim")&gt;0),$BV$1,NA())</f>
        <v>#N/A</v>
      </c>
      <c r="AX146" s="30" t="str">
        <f>IF($B146="","",IF(INDEX(engValN3,$A146)="","",INDEX(engValN3,$A146)))</f>
        <v/>
      </c>
      <c r="AY146" s="30" t="str">
        <f t="shared" si="159"/>
        <v/>
      </c>
      <c r="AZ146" s="30" t="e">
        <f t="shared" si="160"/>
        <v>#N/A</v>
      </c>
      <c r="BA146" s="30" t="e">
        <f t="shared" si="161"/>
        <v>#N/A</v>
      </c>
      <c r="BB146" s="30" t="e">
        <f t="shared" si="162"/>
        <v>#N/A</v>
      </c>
      <c r="BC146" s="30">
        <f>IF($AX146="",0,IFERROR(INDEX(engDados,MATCH(selAnalito&amp;"|"&amp;$B146,engChave,0),17),0))</f>
        <v>0</v>
      </c>
      <c r="BD146" s="30">
        <f>IF($AX146="",0,IFERROR(INDEX(engDados,MATCH(selAnalito&amp;"|"&amp;$B146,engChave,0),18),0))</f>
        <v>0</v>
      </c>
      <c r="BE146" s="30">
        <f>IF($AX146="",0,IFERROR(INDEX(engDados,MATCH(selAnalito&amp;"|"&amp;$B146,engChave,0),19),0))</f>
        <v>0</v>
      </c>
      <c r="BF146" s="30">
        <f>IF($AX146="",0,IFERROR(INDEX(engDados,MATCH(selAnalito&amp;"|"&amp;$B146,engChave,0),20),0))</f>
        <v>0</v>
      </c>
      <c r="BG146" s="30">
        <f>IF($AX146="",0,IFERROR(INDEX(engDados,MATCH(selAnalito&amp;"|"&amp;$B146,engChave,0),21),0))</f>
        <v>0</v>
      </c>
      <c r="BH146" s="30" t="str">
        <f>IF($AX146="","",IFERROR(INDEX(engDados,MATCH(selAnalito&amp;"|"&amp;$B146,engChave,0),23),""))</f>
        <v/>
      </c>
      <c r="BI146" s="30" t="e">
        <f t="shared" si="163"/>
        <v>#N/A</v>
      </c>
      <c r="BJ146" s="30" t="e">
        <f t="shared" si="164"/>
        <v>#N/A</v>
      </c>
      <c r="BK146" s="30" t="e">
        <f t="shared" si="165"/>
        <v>#N/A</v>
      </c>
      <c r="BL146" s="30" t="e">
        <f t="shared" si="166"/>
        <v>#N/A</v>
      </c>
      <c r="BM146" s="30" t="e">
        <f t="shared" si="167"/>
        <v>#N/A</v>
      </c>
      <c r="BN146" s="30" t="e">
        <f t="shared" si="168"/>
        <v>#N/A</v>
      </c>
      <c r="BO146" s="30" t="e">
        <f t="shared" si="169"/>
        <v>#N/A</v>
      </c>
      <c r="BP146" s="30" t="e">
        <f>IF(AND($D146=1,(""&amp;loteAnalise)=(""&amp;loteCarregado),COUNTIFS(regAnalito,selAnalito,regNivel,3,regData,$C146,regRep1,"&lt;&gt;")&gt;0),SUMIFS(regRep1,regAnalito,selAnalito,regNivel,3,regData,$C146),NA())</f>
        <v>#N/A</v>
      </c>
      <c r="BQ146" s="30" t="e">
        <f>IF(AND($D146=1,(""&amp;loteAnalise)=(""&amp;loteCarregado),COUNTIFS(regAnalito,selAnalito,regNivel,3,regData,$C146,regRep2,"&lt;&gt;")&gt;0),SUMIFS(regRep2,regAnalito,selAnalito,regNivel,3,regData,$C146),NA())</f>
        <v>#N/A</v>
      </c>
      <c r="BR146" s="30" t="e">
        <f>IF(AND($D146=1,(""&amp;loteAnalise)=(""&amp;loteCarregado),COUNTIFS(regAnalito,selAnalito,regNivel,3,regData,$C146,regRep3,"&lt;&gt;")&gt;0),SUMIFS(regRep3,regAnalito,selAnalito,regNivel,3,regData,$C146),NA())</f>
        <v>#N/A</v>
      </c>
      <c r="BS146" s="30" t="e">
        <f>IF(AND($D146=1,COUNTIFS(regAnalito,selAnalito,regData,$C146,regCalib,"Sim")&gt;0),$BX$1,NA())</f>
        <v>#N/A</v>
      </c>
    </row>
    <row r="147" spans="1:71" x14ac:dyDescent="0.3">
      <c r="A147" s="30">
        <v>145</v>
      </c>
      <c r="B147" s="30" t="str">
        <f>IF(OR(selAnalito="",(""&amp;engAnalito)&lt;&gt;(""&amp;selAnalito),(""&amp;engLote)&lt;&gt;(""&amp;loteAnalise),$A147&gt;N(engNRun)),"",INDEX(engRUN,$A147))</f>
        <v/>
      </c>
      <c r="C147" s="43" t="str">
        <f>IF($B147="","",IF(INDEX(engData,$A147)="","",INDEX(engData,$A147)))</f>
        <v/>
      </c>
      <c r="D147" s="30">
        <f>IF($C147="",0,IF(AND(OR(filtroDe="",INT($C147)&gt;=INT(filtroDe)),OR(filtroAte="",INT($C147)&lt;=INT(filtroAte))),1,0))</f>
        <v>0</v>
      </c>
      <c r="E147" s="30" t="e">
        <f t="shared" si="136"/>
        <v>#N/A</v>
      </c>
      <c r="F147" s="30" t="str">
        <f>IF($B147="","",IF(INDEX(engValN1,$A147)="","",INDEX(engValN1,$A147)))</f>
        <v/>
      </c>
      <c r="G147" s="30" t="str">
        <f t="shared" si="137"/>
        <v/>
      </c>
      <c r="H147" s="30" t="e">
        <f t="shared" si="138"/>
        <v>#N/A</v>
      </c>
      <c r="I147" s="30" t="e">
        <f t="shared" si="139"/>
        <v>#N/A</v>
      </c>
      <c r="J147" s="30" t="e">
        <f t="shared" si="140"/>
        <v>#N/A</v>
      </c>
      <c r="K147" s="30">
        <f>IF($F147="",0,IFERROR(INDEX(engDados,MATCH(selAnalito&amp;"|"&amp;$B147,engChave,0),3),0))</f>
        <v>0</v>
      </c>
      <c r="L147" s="30">
        <f>IF($F147="",0,IFERROR(INDEX(engDados,MATCH(selAnalito&amp;"|"&amp;$B147,engChave,0),4),0))</f>
        <v>0</v>
      </c>
      <c r="M147" s="30">
        <f>IF($F147="",0,IFERROR(INDEX(engDados,MATCH(selAnalito&amp;"|"&amp;$B147,engChave,0),5),0))</f>
        <v>0</v>
      </c>
      <c r="N147" s="30">
        <f>IF($F147="",0,IFERROR(INDEX(engDados,MATCH(selAnalito&amp;"|"&amp;$B147,engChave,0),6),0))</f>
        <v>0</v>
      </c>
      <c r="O147" s="30">
        <f>IF($F147="",0,IFERROR(INDEX(engDados,MATCH(selAnalito&amp;"|"&amp;$B147,engChave,0),7),0))</f>
        <v>0</v>
      </c>
      <c r="P147" s="30" t="str">
        <f>IF($F147="","",IFERROR(INDEX(engDados,MATCH(selAnalito&amp;"|"&amp;$B147,engChave,0),9),""))</f>
        <v/>
      </c>
      <c r="Q147" s="30" t="e">
        <f t="shared" si="141"/>
        <v>#N/A</v>
      </c>
      <c r="R147" s="30" t="e">
        <f t="shared" si="142"/>
        <v>#N/A</v>
      </c>
      <c r="S147" s="30" t="e">
        <f t="shared" si="143"/>
        <v>#N/A</v>
      </c>
      <c r="T147" s="30" t="e">
        <f t="shared" si="144"/>
        <v>#N/A</v>
      </c>
      <c r="U147" s="30" t="e">
        <f t="shared" si="145"/>
        <v>#N/A</v>
      </c>
      <c r="V147" s="30" t="e">
        <f t="shared" si="146"/>
        <v>#N/A</v>
      </c>
      <c r="W147" s="30" t="e">
        <f t="shared" si="147"/>
        <v>#N/A</v>
      </c>
      <c r="X147" s="30" t="e">
        <f>IF(AND($D147=1,(""&amp;loteAnalise)=(""&amp;loteCarregado),COUNTIFS(regAnalito,selAnalito,regNivel,1,regData,$C147,regRep1,"&lt;&gt;")&gt;0),SUMIFS(regRep1,regAnalito,selAnalito,regNivel,1,regData,$C147),NA())</f>
        <v>#N/A</v>
      </c>
      <c r="Y147" s="30" t="e">
        <f>IF(AND($D147=1,(""&amp;loteAnalise)=(""&amp;loteCarregado),COUNTIFS(regAnalito,selAnalito,regNivel,1,regData,$C147,regRep2,"&lt;&gt;")&gt;0),SUMIFS(regRep2,regAnalito,selAnalito,regNivel,1,regData,$C147),NA())</f>
        <v>#N/A</v>
      </c>
      <c r="Z147" s="30" t="e">
        <f>IF(AND($D147=1,(""&amp;loteAnalise)=(""&amp;loteCarregado),COUNTIFS(regAnalito,selAnalito,regNivel,1,regData,$C147,regRep3,"&lt;&gt;")&gt;0),SUMIFS(regRep3,regAnalito,selAnalito,regNivel,1,regData,$C147),NA())</f>
        <v>#N/A</v>
      </c>
      <c r="AA147" s="30" t="e">
        <f>IF(AND($D147=1,COUNTIFS(regAnalito,selAnalito,regData,$C147,regCalib,"Sim")&gt;0),$BT$1,NA())</f>
        <v>#N/A</v>
      </c>
      <c r="AB147" s="30" t="str">
        <f>IF($B147="","",IF(INDEX(engValN2,$A147)="","",INDEX(engValN2,$A147)))</f>
        <v/>
      </c>
      <c r="AC147" s="30" t="str">
        <f t="shared" si="148"/>
        <v/>
      </c>
      <c r="AD147" s="30" t="e">
        <f t="shared" si="149"/>
        <v>#N/A</v>
      </c>
      <c r="AE147" s="30" t="e">
        <f t="shared" si="150"/>
        <v>#N/A</v>
      </c>
      <c r="AF147" s="30" t="e">
        <f t="shared" si="151"/>
        <v>#N/A</v>
      </c>
      <c r="AG147" s="30">
        <f>IF($AB147="",0,IFERROR(INDEX(engDados,MATCH(selAnalito&amp;"|"&amp;$B147,engChave,0),10),0))</f>
        <v>0</v>
      </c>
      <c r="AH147" s="30">
        <f>IF($AB147="",0,IFERROR(INDEX(engDados,MATCH(selAnalito&amp;"|"&amp;$B147,engChave,0),11),0))</f>
        <v>0</v>
      </c>
      <c r="AI147" s="30">
        <f>IF($AB147="",0,IFERROR(INDEX(engDados,MATCH(selAnalito&amp;"|"&amp;$B147,engChave,0),12),0))</f>
        <v>0</v>
      </c>
      <c r="AJ147" s="30">
        <f>IF($AB147="",0,IFERROR(INDEX(engDados,MATCH(selAnalito&amp;"|"&amp;$B147,engChave,0),13),0))</f>
        <v>0</v>
      </c>
      <c r="AK147" s="30">
        <f>IF($AB147="",0,IFERROR(INDEX(engDados,MATCH(selAnalito&amp;"|"&amp;$B147,engChave,0),14),0))</f>
        <v>0</v>
      </c>
      <c r="AL147" s="30" t="str">
        <f>IF($AB147="","",IFERROR(INDEX(engDados,MATCH(selAnalito&amp;"|"&amp;$B147,engChave,0),16),""))</f>
        <v/>
      </c>
      <c r="AM147" s="30" t="e">
        <f t="shared" si="152"/>
        <v>#N/A</v>
      </c>
      <c r="AN147" s="30" t="e">
        <f t="shared" si="153"/>
        <v>#N/A</v>
      </c>
      <c r="AO147" s="30" t="e">
        <f t="shared" si="154"/>
        <v>#N/A</v>
      </c>
      <c r="AP147" s="30" t="e">
        <f t="shared" si="155"/>
        <v>#N/A</v>
      </c>
      <c r="AQ147" s="30" t="e">
        <f t="shared" si="156"/>
        <v>#N/A</v>
      </c>
      <c r="AR147" s="30" t="e">
        <f t="shared" si="157"/>
        <v>#N/A</v>
      </c>
      <c r="AS147" s="30" t="e">
        <f t="shared" si="158"/>
        <v>#N/A</v>
      </c>
      <c r="AT147" s="30" t="e">
        <f>IF(AND($D147=1,(""&amp;loteAnalise)=(""&amp;loteCarregado),COUNTIFS(regAnalito,selAnalito,regNivel,2,regData,$C147,regRep1,"&lt;&gt;")&gt;0),SUMIFS(regRep1,regAnalito,selAnalito,regNivel,2,regData,$C147),NA())</f>
        <v>#N/A</v>
      </c>
      <c r="AU147" s="30" t="e">
        <f>IF(AND($D147=1,(""&amp;loteAnalise)=(""&amp;loteCarregado),COUNTIFS(regAnalito,selAnalito,regNivel,2,regData,$C147,regRep2,"&lt;&gt;")&gt;0),SUMIFS(regRep2,regAnalito,selAnalito,regNivel,2,regData,$C147),NA())</f>
        <v>#N/A</v>
      </c>
      <c r="AV147" s="30" t="e">
        <f>IF(AND($D147=1,(""&amp;loteAnalise)=(""&amp;loteCarregado),COUNTIFS(regAnalito,selAnalito,regNivel,2,regData,$C147,regRep3,"&lt;&gt;")&gt;0),SUMIFS(regRep3,regAnalito,selAnalito,regNivel,2,regData,$C147),NA())</f>
        <v>#N/A</v>
      </c>
      <c r="AW147" s="30" t="e">
        <f>IF(AND($D147=1,COUNTIFS(regAnalito,selAnalito,regData,$C147,regCalib,"Sim")&gt;0),$BV$1,NA())</f>
        <v>#N/A</v>
      </c>
      <c r="AX147" s="30" t="str">
        <f>IF($B147="","",IF(INDEX(engValN3,$A147)="","",INDEX(engValN3,$A147)))</f>
        <v/>
      </c>
      <c r="AY147" s="30" t="str">
        <f t="shared" si="159"/>
        <v/>
      </c>
      <c r="AZ147" s="30" t="e">
        <f t="shared" si="160"/>
        <v>#N/A</v>
      </c>
      <c r="BA147" s="30" t="e">
        <f t="shared" si="161"/>
        <v>#N/A</v>
      </c>
      <c r="BB147" s="30" t="e">
        <f t="shared" si="162"/>
        <v>#N/A</v>
      </c>
      <c r="BC147" s="30">
        <f>IF($AX147="",0,IFERROR(INDEX(engDados,MATCH(selAnalito&amp;"|"&amp;$B147,engChave,0),17),0))</f>
        <v>0</v>
      </c>
      <c r="BD147" s="30">
        <f>IF($AX147="",0,IFERROR(INDEX(engDados,MATCH(selAnalito&amp;"|"&amp;$B147,engChave,0),18),0))</f>
        <v>0</v>
      </c>
      <c r="BE147" s="30">
        <f>IF($AX147="",0,IFERROR(INDEX(engDados,MATCH(selAnalito&amp;"|"&amp;$B147,engChave,0),19),0))</f>
        <v>0</v>
      </c>
      <c r="BF147" s="30">
        <f>IF($AX147="",0,IFERROR(INDEX(engDados,MATCH(selAnalito&amp;"|"&amp;$B147,engChave,0),20),0))</f>
        <v>0</v>
      </c>
      <c r="BG147" s="30">
        <f>IF($AX147="",0,IFERROR(INDEX(engDados,MATCH(selAnalito&amp;"|"&amp;$B147,engChave,0),21),0))</f>
        <v>0</v>
      </c>
      <c r="BH147" s="30" t="str">
        <f>IF($AX147="","",IFERROR(INDEX(engDados,MATCH(selAnalito&amp;"|"&amp;$B147,engChave,0),23),""))</f>
        <v/>
      </c>
      <c r="BI147" s="30" t="e">
        <f t="shared" si="163"/>
        <v>#N/A</v>
      </c>
      <c r="BJ147" s="30" t="e">
        <f t="shared" si="164"/>
        <v>#N/A</v>
      </c>
      <c r="BK147" s="30" t="e">
        <f t="shared" si="165"/>
        <v>#N/A</v>
      </c>
      <c r="BL147" s="30" t="e">
        <f t="shared" si="166"/>
        <v>#N/A</v>
      </c>
      <c r="BM147" s="30" t="e">
        <f t="shared" si="167"/>
        <v>#N/A</v>
      </c>
      <c r="BN147" s="30" t="e">
        <f t="shared" si="168"/>
        <v>#N/A</v>
      </c>
      <c r="BO147" s="30" t="e">
        <f t="shared" si="169"/>
        <v>#N/A</v>
      </c>
      <c r="BP147" s="30" t="e">
        <f>IF(AND($D147=1,(""&amp;loteAnalise)=(""&amp;loteCarregado),COUNTIFS(regAnalito,selAnalito,regNivel,3,regData,$C147,regRep1,"&lt;&gt;")&gt;0),SUMIFS(regRep1,regAnalito,selAnalito,regNivel,3,regData,$C147),NA())</f>
        <v>#N/A</v>
      </c>
      <c r="BQ147" s="30" t="e">
        <f>IF(AND($D147=1,(""&amp;loteAnalise)=(""&amp;loteCarregado),COUNTIFS(regAnalito,selAnalito,regNivel,3,regData,$C147,regRep2,"&lt;&gt;")&gt;0),SUMIFS(regRep2,regAnalito,selAnalito,regNivel,3,regData,$C147),NA())</f>
        <v>#N/A</v>
      </c>
      <c r="BR147" s="30" t="e">
        <f>IF(AND($D147=1,(""&amp;loteAnalise)=(""&amp;loteCarregado),COUNTIFS(regAnalito,selAnalito,regNivel,3,regData,$C147,regRep3,"&lt;&gt;")&gt;0),SUMIFS(regRep3,regAnalito,selAnalito,regNivel,3,regData,$C147),NA())</f>
        <v>#N/A</v>
      </c>
      <c r="BS147" s="30" t="e">
        <f>IF(AND($D147=1,COUNTIFS(regAnalito,selAnalito,regData,$C147,regCalib,"Sim")&gt;0),$BX$1,NA())</f>
        <v>#N/A</v>
      </c>
    </row>
    <row r="148" spans="1:71" x14ac:dyDescent="0.3">
      <c r="A148" s="30">
        <v>146</v>
      </c>
      <c r="B148" s="30" t="str">
        <f>IF(OR(selAnalito="",(""&amp;engAnalito)&lt;&gt;(""&amp;selAnalito),(""&amp;engLote)&lt;&gt;(""&amp;loteAnalise),$A148&gt;N(engNRun)),"",INDEX(engRUN,$A148))</f>
        <v/>
      </c>
      <c r="C148" s="43" t="str">
        <f>IF($B148="","",IF(INDEX(engData,$A148)="","",INDEX(engData,$A148)))</f>
        <v/>
      </c>
      <c r="D148" s="30">
        <f>IF($C148="",0,IF(AND(OR(filtroDe="",INT($C148)&gt;=INT(filtroDe)),OR(filtroAte="",INT($C148)&lt;=INT(filtroAte))),1,0))</f>
        <v>0</v>
      </c>
      <c r="E148" s="30" t="e">
        <f t="shared" si="136"/>
        <v>#N/A</v>
      </c>
      <c r="F148" s="30" t="str">
        <f>IF($B148="","",IF(INDEX(engValN1,$A148)="","",INDEX(engValN1,$A148)))</f>
        <v/>
      </c>
      <c r="G148" s="30" t="str">
        <f t="shared" si="137"/>
        <v/>
      </c>
      <c r="H148" s="30" t="e">
        <f t="shared" si="138"/>
        <v>#N/A</v>
      </c>
      <c r="I148" s="30" t="e">
        <f t="shared" si="139"/>
        <v>#N/A</v>
      </c>
      <c r="J148" s="30" t="e">
        <f t="shared" si="140"/>
        <v>#N/A</v>
      </c>
      <c r="K148" s="30">
        <f>IF($F148="",0,IFERROR(INDEX(engDados,MATCH(selAnalito&amp;"|"&amp;$B148,engChave,0),3),0))</f>
        <v>0</v>
      </c>
      <c r="L148" s="30">
        <f>IF($F148="",0,IFERROR(INDEX(engDados,MATCH(selAnalito&amp;"|"&amp;$B148,engChave,0),4),0))</f>
        <v>0</v>
      </c>
      <c r="M148" s="30">
        <f>IF($F148="",0,IFERROR(INDEX(engDados,MATCH(selAnalito&amp;"|"&amp;$B148,engChave,0),5),0))</f>
        <v>0</v>
      </c>
      <c r="N148" s="30">
        <f>IF($F148="",0,IFERROR(INDEX(engDados,MATCH(selAnalito&amp;"|"&amp;$B148,engChave,0),6),0))</f>
        <v>0</v>
      </c>
      <c r="O148" s="30">
        <f>IF($F148="",0,IFERROR(INDEX(engDados,MATCH(selAnalito&amp;"|"&amp;$B148,engChave,0),7),0))</f>
        <v>0</v>
      </c>
      <c r="P148" s="30" t="str">
        <f>IF($F148="","",IFERROR(INDEX(engDados,MATCH(selAnalito&amp;"|"&amp;$B148,engChave,0),9),""))</f>
        <v/>
      </c>
      <c r="Q148" s="30" t="e">
        <f t="shared" si="141"/>
        <v>#N/A</v>
      </c>
      <c r="R148" s="30" t="e">
        <f t="shared" si="142"/>
        <v>#N/A</v>
      </c>
      <c r="S148" s="30" t="e">
        <f t="shared" si="143"/>
        <v>#N/A</v>
      </c>
      <c r="T148" s="30" t="e">
        <f t="shared" si="144"/>
        <v>#N/A</v>
      </c>
      <c r="U148" s="30" t="e">
        <f t="shared" si="145"/>
        <v>#N/A</v>
      </c>
      <c r="V148" s="30" t="e">
        <f t="shared" si="146"/>
        <v>#N/A</v>
      </c>
      <c r="W148" s="30" t="e">
        <f t="shared" si="147"/>
        <v>#N/A</v>
      </c>
      <c r="X148" s="30" t="e">
        <f>IF(AND($D148=1,(""&amp;loteAnalise)=(""&amp;loteCarregado),COUNTIFS(regAnalito,selAnalito,regNivel,1,regData,$C148,regRep1,"&lt;&gt;")&gt;0),SUMIFS(regRep1,regAnalito,selAnalito,regNivel,1,regData,$C148),NA())</f>
        <v>#N/A</v>
      </c>
      <c r="Y148" s="30" t="e">
        <f>IF(AND($D148=1,(""&amp;loteAnalise)=(""&amp;loteCarregado),COUNTIFS(regAnalito,selAnalito,regNivel,1,regData,$C148,regRep2,"&lt;&gt;")&gt;0),SUMIFS(regRep2,regAnalito,selAnalito,regNivel,1,regData,$C148),NA())</f>
        <v>#N/A</v>
      </c>
      <c r="Z148" s="30" t="e">
        <f>IF(AND($D148=1,(""&amp;loteAnalise)=(""&amp;loteCarregado),COUNTIFS(regAnalito,selAnalito,regNivel,1,regData,$C148,regRep3,"&lt;&gt;")&gt;0),SUMIFS(regRep3,regAnalito,selAnalito,regNivel,1,regData,$C148),NA())</f>
        <v>#N/A</v>
      </c>
      <c r="AA148" s="30" t="e">
        <f>IF(AND($D148=1,COUNTIFS(regAnalito,selAnalito,regData,$C148,regCalib,"Sim")&gt;0),$BT$1,NA())</f>
        <v>#N/A</v>
      </c>
      <c r="AB148" s="30" t="str">
        <f>IF($B148="","",IF(INDEX(engValN2,$A148)="","",INDEX(engValN2,$A148)))</f>
        <v/>
      </c>
      <c r="AC148" s="30" t="str">
        <f t="shared" si="148"/>
        <v/>
      </c>
      <c r="AD148" s="30" t="e">
        <f t="shared" si="149"/>
        <v>#N/A</v>
      </c>
      <c r="AE148" s="30" t="e">
        <f t="shared" si="150"/>
        <v>#N/A</v>
      </c>
      <c r="AF148" s="30" t="e">
        <f t="shared" si="151"/>
        <v>#N/A</v>
      </c>
      <c r="AG148" s="30">
        <f>IF($AB148="",0,IFERROR(INDEX(engDados,MATCH(selAnalito&amp;"|"&amp;$B148,engChave,0),10),0))</f>
        <v>0</v>
      </c>
      <c r="AH148" s="30">
        <f>IF($AB148="",0,IFERROR(INDEX(engDados,MATCH(selAnalito&amp;"|"&amp;$B148,engChave,0),11),0))</f>
        <v>0</v>
      </c>
      <c r="AI148" s="30">
        <f>IF($AB148="",0,IFERROR(INDEX(engDados,MATCH(selAnalito&amp;"|"&amp;$B148,engChave,0),12),0))</f>
        <v>0</v>
      </c>
      <c r="AJ148" s="30">
        <f>IF($AB148="",0,IFERROR(INDEX(engDados,MATCH(selAnalito&amp;"|"&amp;$B148,engChave,0),13),0))</f>
        <v>0</v>
      </c>
      <c r="AK148" s="30">
        <f>IF($AB148="",0,IFERROR(INDEX(engDados,MATCH(selAnalito&amp;"|"&amp;$B148,engChave,0),14),0))</f>
        <v>0</v>
      </c>
      <c r="AL148" s="30" t="str">
        <f>IF($AB148="","",IFERROR(INDEX(engDados,MATCH(selAnalito&amp;"|"&amp;$B148,engChave,0),16),""))</f>
        <v/>
      </c>
      <c r="AM148" s="30" t="e">
        <f t="shared" si="152"/>
        <v>#N/A</v>
      </c>
      <c r="AN148" s="30" t="e">
        <f t="shared" si="153"/>
        <v>#N/A</v>
      </c>
      <c r="AO148" s="30" t="e">
        <f t="shared" si="154"/>
        <v>#N/A</v>
      </c>
      <c r="AP148" s="30" t="e">
        <f t="shared" si="155"/>
        <v>#N/A</v>
      </c>
      <c r="AQ148" s="30" t="e">
        <f t="shared" si="156"/>
        <v>#N/A</v>
      </c>
      <c r="AR148" s="30" t="e">
        <f t="shared" si="157"/>
        <v>#N/A</v>
      </c>
      <c r="AS148" s="30" t="e">
        <f t="shared" si="158"/>
        <v>#N/A</v>
      </c>
      <c r="AT148" s="30" t="e">
        <f>IF(AND($D148=1,(""&amp;loteAnalise)=(""&amp;loteCarregado),COUNTIFS(regAnalito,selAnalito,regNivel,2,regData,$C148,regRep1,"&lt;&gt;")&gt;0),SUMIFS(regRep1,regAnalito,selAnalito,regNivel,2,regData,$C148),NA())</f>
        <v>#N/A</v>
      </c>
      <c r="AU148" s="30" t="e">
        <f>IF(AND($D148=1,(""&amp;loteAnalise)=(""&amp;loteCarregado),COUNTIFS(regAnalito,selAnalito,regNivel,2,regData,$C148,regRep2,"&lt;&gt;")&gt;0),SUMIFS(regRep2,regAnalito,selAnalito,regNivel,2,regData,$C148),NA())</f>
        <v>#N/A</v>
      </c>
      <c r="AV148" s="30" t="e">
        <f>IF(AND($D148=1,(""&amp;loteAnalise)=(""&amp;loteCarregado),COUNTIFS(regAnalito,selAnalito,regNivel,2,regData,$C148,regRep3,"&lt;&gt;")&gt;0),SUMIFS(regRep3,regAnalito,selAnalito,regNivel,2,regData,$C148),NA())</f>
        <v>#N/A</v>
      </c>
      <c r="AW148" s="30" t="e">
        <f>IF(AND($D148=1,COUNTIFS(regAnalito,selAnalito,regData,$C148,regCalib,"Sim")&gt;0),$BV$1,NA())</f>
        <v>#N/A</v>
      </c>
      <c r="AX148" s="30" t="str">
        <f>IF($B148="","",IF(INDEX(engValN3,$A148)="","",INDEX(engValN3,$A148)))</f>
        <v/>
      </c>
      <c r="AY148" s="30" t="str">
        <f t="shared" si="159"/>
        <v/>
      </c>
      <c r="AZ148" s="30" t="e">
        <f t="shared" si="160"/>
        <v>#N/A</v>
      </c>
      <c r="BA148" s="30" t="e">
        <f t="shared" si="161"/>
        <v>#N/A</v>
      </c>
      <c r="BB148" s="30" t="e">
        <f t="shared" si="162"/>
        <v>#N/A</v>
      </c>
      <c r="BC148" s="30">
        <f>IF($AX148="",0,IFERROR(INDEX(engDados,MATCH(selAnalito&amp;"|"&amp;$B148,engChave,0),17),0))</f>
        <v>0</v>
      </c>
      <c r="BD148" s="30">
        <f>IF($AX148="",0,IFERROR(INDEX(engDados,MATCH(selAnalito&amp;"|"&amp;$B148,engChave,0),18),0))</f>
        <v>0</v>
      </c>
      <c r="BE148" s="30">
        <f>IF($AX148="",0,IFERROR(INDEX(engDados,MATCH(selAnalito&amp;"|"&amp;$B148,engChave,0),19),0))</f>
        <v>0</v>
      </c>
      <c r="BF148" s="30">
        <f>IF($AX148="",0,IFERROR(INDEX(engDados,MATCH(selAnalito&amp;"|"&amp;$B148,engChave,0),20),0))</f>
        <v>0</v>
      </c>
      <c r="BG148" s="30">
        <f>IF($AX148="",0,IFERROR(INDEX(engDados,MATCH(selAnalito&amp;"|"&amp;$B148,engChave,0),21),0))</f>
        <v>0</v>
      </c>
      <c r="BH148" s="30" t="str">
        <f>IF($AX148="","",IFERROR(INDEX(engDados,MATCH(selAnalito&amp;"|"&amp;$B148,engChave,0),23),""))</f>
        <v/>
      </c>
      <c r="BI148" s="30" t="e">
        <f t="shared" si="163"/>
        <v>#N/A</v>
      </c>
      <c r="BJ148" s="30" t="e">
        <f t="shared" si="164"/>
        <v>#N/A</v>
      </c>
      <c r="BK148" s="30" t="e">
        <f t="shared" si="165"/>
        <v>#N/A</v>
      </c>
      <c r="BL148" s="30" t="e">
        <f t="shared" si="166"/>
        <v>#N/A</v>
      </c>
      <c r="BM148" s="30" t="e">
        <f t="shared" si="167"/>
        <v>#N/A</v>
      </c>
      <c r="BN148" s="30" t="e">
        <f t="shared" si="168"/>
        <v>#N/A</v>
      </c>
      <c r="BO148" s="30" t="e">
        <f t="shared" si="169"/>
        <v>#N/A</v>
      </c>
      <c r="BP148" s="30" t="e">
        <f>IF(AND($D148=1,(""&amp;loteAnalise)=(""&amp;loteCarregado),COUNTIFS(regAnalito,selAnalito,regNivel,3,regData,$C148,regRep1,"&lt;&gt;")&gt;0),SUMIFS(regRep1,regAnalito,selAnalito,regNivel,3,regData,$C148),NA())</f>
        <v>#N/A</v>
      </c>
      <c r="BQ148" s="30" t="e">
        <f>IF(AND($D148=1,(""&amp;loteAnalise)=(""&amp;loteCarregado),COUNTIFS(regAnalito,selAnalito,regNivel,3,regData,$C148,regRep2,"&lt;&gt;")&gt;0),SUMIFS(regRep2,regAnalito,selAnalito,regNivel,3,regData,$C148),NA())</f>
        <v>#N/A</v>
      </c>
      <c r="BR148" s="30" t="e">
        <f>IF(AND($D148=1,(""&amp;loteAnalise)=(""&amp;loteCarregado),COUNTIFS(regAnalito,selAnalito,regNivel,3,regData,$C148,regRep3,"&lt;&gt;")&gt;0),SUMIFS(regRep3,regAnalito,selAnalito,regNivel,3,regData,$C148),NA())</f>
        <v>#N/A</v>
      </c>
      <c r="BS148" s="30" t="e">
        <f>IF(AND($D148=1,COUNTIFS(regAnalito,selAnalito,regData,$C148,regCalib,"Sim")&gt;0),$BX$1,NA())</f>
        <v>#N/A</v>
      </c>
    </row>
    <row r="149" spans="1:71" x14ac:dyDescent="0.3">
      <c r="A149" s="30">
        <v>147</v>
      </c>
      <c r="B149" s="30" t="str">
        <f>IF(OR(selAnalito="",(""&amp;engAnalito)&lt;&gt;(""&amp;selAnalito),(""&amp;engLote)&lt;&gt;(""&amp;loteAnalise),$A149&gt;N(engNRun)),"",INDEX(engRUN,$A149))</f>
        <v/>
      </c>
      <c r="C149" s="43" t="str">
        <f>IF($B149="","",IF(INDEX(engData,$A149)="","",INDEX(engData,$A149)))</f>
        <v/>
      </c>
      <c r="D149" s="30">
        <f>IF($C149="",0,IF(AND(OR(filtroDe="",INT($C149)&gt;=INT(filtroDe)),OR(filtroAte="",INT($C149)&lt;=INT(filtroAte))),1,0))</f>
        <v>0</v>
      </c>
      <c r="E149" s="30" t="e">
        <f t="shared" si="136"/>
        <v>#N/A</v>
      </c>
      <c r="F149" s="30" t="str">
        <f>IF($B149="","",IF(INDEX(engValN1,$A149)="","",INDEX(engValN1,$A149)))</f>
        <v/>
      </c>
      <c r="G149" s="30" t="str">
        <f t="shared" si="137"/>
        <v/>
      </c>
      <c r="H149" s="30" t="e">
        <f t="shared" si="138"/>
        <v>#N/A</v>
      </c>
      <c r="I149" s="30" t="e">
        <f t="shared" si="139"/>
        <v>#N/A</v>
      </c>
      <c r="J149" s="30" t="e">
        <f t="shared" si="140"/>
        <v>#N/A</v>
      </c>
      <c r="K149" s="30">
        <f>IF($F149="",0,IFERROR(INDEX(engDados,MATCH(selAnalito&amp;"|"&amp;$B149,engChave,0),3),0))</f>
        <v>0</v>
      </c>
      <c r="L149" s="30">
        <f>IF($F149="",0,IFERROR(INDEX(engDados,MATCH(selAnalito&amp;"|"&amp;$B149,engChave,0),4),0))</f>
        <v>0</v>
      </c>
      <c r="M149" s="30">
        <f>IF($F149="",0,IFERROR(INDEX(engDados,MATCH(selAnalito&amp;"|"&amp;$B149,engChave,0),5),0))</f>
        <v>0</v>
      </c>
      <c r="N149" s="30">
        <f>IF($F149="",0,IFERROR(INDEX(engDados,MATCH(selAnalito&amp;"|"&amp;$B149,engChave,0),6),0))</f>
        <v>0</v>
      </c>
      <c r="O149" s="30">
        <f>IF($F149="",0,IFERROR(INDEX(engDados,MATCH(selAnalito&amp;"|"&amp;$B149,engChave,0),7),0))</f>
        <v>0</v>
      </c>
      <c r="P149" s="30" t="str">
        <f>IF($F149="","",IFERROR(INDEX(engDados,MATCH(selAnalito&amp;"|"&amp;$B149,engChave,0),9),""))</f>
        <v/>
      </c>
      <c r="Q149" s="30" t="e">
        <f t="shared" si="141"/>
        <v>#N/A</v>
      </c>
      <c r="R149" s="30" t="e">
        <f t="shared" si="142"/>
        <v>#N/A</v>
      </c>
      <c r="S149" s="30" t="e">
        <f t="shared" si="143"/>
        <v>#N/A</v>
      </c>
      <c r="T149" s="30" t="e">
        <f t="shared" si="144"/>
        <v>#N/A</v>
      </c>
      <c r="U149" s="30" t="e">
        <f t="shared" si="145"/>
        <v>#N/A</v>
      </c>
      <c r="V149" s="30" t="e">
        <f t="shared" si="146"/>
        <v>#N/A</v>
      </c>
      <c r="W149" s="30" t="e">
        <f t="shared" si="147"/>
        <v>#N/A</v>
      </c>
      <c r="X149" s="30" t="e">
        <f>IF(AND($D149=1,(""&amp;loteAnalise)=(""&amp;loteCarregado),COUNTIFS(regAnalito,selAnalito,regNivel,1,regData,$C149,regRep1,"&lt;&gt;")&gt;0),SUMIFS(regRep1,regAnalito,selAnalito,regNivel,1,regData,$C149),NA())</f>
        <v>#N/A</v>
      </c>
      <c r="Y149" s="30" t="e">
        <f>IF(AND($D149=1,(""&amp;loteAnalise)=(""&amp;loteCarregado),COUNTIFS(regAnalito,selAnalito,regNivel,1,regData,$C149,regRep2,"&lt;&gt;")&gt;0),SUMIFS(regRep2,regAnalito,selAnalito,regNivel,1,regData,$C149),NA())</f>
        <v>#N/A</v>
      </c>
      <c r="Z149" s="30" t="e">
        <f>IF(AND($D149=1,(""&amp;loteAnalise)=(""&amp;loteCarregado),COUNTIFS(regAnalito,selAnalito,regNivel,1,regData,$C149,regRep3,"&lt;&gt;")&gt;0),SUMIFS(regRep3,regAnalito,selAnalito,regNivel,1,regData,$C149),NA())</f>
        <v>#N/A</v>
      </c>
      <c r="AA149" s="30" t="e">
        <f>IF(AND($D149=1,COUNTIFS(regAnalito,selAnalito,regData,$C149,regCalib,"Sim")&gt;0),$BT$1,NA())</f>
        <v>#N/A</v>
      </c>
      <c r="AB149" s="30" t="str">
        <f>IF($B149="","",IF(INDEX(engValN2,$A149)="","",INDEX(engValN2,$A149)))</f>
        <v/>
      </c>
      <c r="AC149" s="30" t="str">
        <f t="shared" si="148"/>
        <v/>
      </c>
      <c r="AD149" s="30" t="e">
        <f t="shared" si="149"/>
        <v>#N/A</v>
      </c>
      <c r="AE149" s="30" t="e">
        <f t="shared" si="150"/>
        <v>#N/A</v>
      </c>
      <c r="AF149" s="30" t="e">
        <f t="shared" si="151"/>
        <v>#N/A</v>
      </c>
      <c r="AG149" s="30">
        <f>IF($AB149="",0,IFERROR(INDEX(engDados,MATCH(selAnalito&amp;"|"&amp;$B149,engChave,0),10),0))</f>
        <v>0</v>
      </c>
      <c r="AH149" s="30">
        <f>IF($AB149="",0,IFERROR(INDEX(engDados,MATCH(selAnalito&amp;"|"&amp;$B149,engChave,0),11),0))</f>
        <v>0</v>
      </c>
      <c r="AI149" s="30">
        <f>IF($AB149="",0,IFERROR(INDEX(engDados,MATCH(selAnalito&amp;"|"&amp;$B149,engChave,0),12),0))</f>
        <v>0</v>
      </c>
      <c r="AJ149" s="30">
        <f>IF($AB149="",0,IFERROR(INDEX(engDados,MATCH(selAnalito&amp;"|"&amp;$B149,engChave,0),13),0))</f>
        <v>0</v>
      </c>
      <c r="AK149" s="30">
        <f>IF($AB149="",0,IFERROR(INDEX(engDados,MATCH(selAnalito&amp;"|"&amp;$B149,engChave,0),14),0))</f>
        <v>0</v>
      </c>
      <c r="AL149" s="30" t="str">
        <f>IF($AB149="","",IFERROR(INDEX(engDados,MATCH(selAnalito&amp;"|"&amp;$B149,engChave,0),16),""))</f>
        <v/>
      </c>
      <c r="AM149" s="30" t="e">
        <f t="shared" si="152"/>
        <v>#N/A</v>
      </c>
      <c r="AN149" s="30" t="e">
        <f t="shared" si="153"/>
        <v>#N/A</v>
      </c>
      <c r="AO149" s="30" t="e">
        <f t="shared" si="154"/>
        <v>#N/A</v>
      </c>
      <c r="AP149" s="30" t="e">
        <f t="shared" si="155"/>
        <v>#N/A</v>
      </c>
      <c r="AQ149" s="30" t="e">
        <f t="shared" si="156"/>
        <v>#N/A</v>
      </c>
      <c r="AR149" s="30" t="e">
        <f t="shared" si="157"/>
        <v>#N/A</v>
      </c>
      <c r="AS149" s="30" t="e">
        <f t="shared" si="158"/>
        <v>#N/A</v>
      </c>
      <c r="AT149" s="30" t="e">
        <f>IF(AND($D149=1,(""&amp;loteAnalise)=(""&amp;loteCarregado),COUNTIFS(regAnalito,selAnalito,regNivel,2,regData,$C149,regRep1,"&lt;&gt;")&gt;0),SUMIFS(regRep1,regAnalito,selAnalito,regNivel,2,regData,$C149),NA())</f>
        <v>#N/A</v>
      </c>
      <c r="AU149" s="30" t="e">
        <f>IF(AND($D149=1,(""&amp;loteAnalise)=(""&amp;loteCarregado),COUNTIFS(regAnalito,selAnalito,regNivel,2,regData,$C149,regRep2,"&lt;&gt;")&gt;0),SUMIFS(regRep2,regAnalito,selAnalito,regNivel,2,regData,$C149),NA())</f>
        <v>#N/A</v>
      </c>
      <c r="AV149" s="30" t="e">
        <f>IF(AND($D149=1,(""&amp;loteAnalise)=(""&amp;loteCarregado),COUNTIFS(regAnalito,selAnalito,regNivel,2,regData,$C149,regRep3,"&lt;&gt;")&gt;0),SUMIFS(regRep3,regAnalito,selAnalito,regNivel,2,regData,$C149),NA())</f>
        <v>#N/A</v>
      </c>
      <c r="AW149" s="30" t="e">
        <f>IF(AND($D149=1,COUNTIFS(regAnalito,selAnalito,regData,$C149,regCalib,"Sim")&gt;0),$BV$1,NA())</f>
        <v>#N/A</v>
      </c>
      <c r="AX149" s="30" t="str">
        <f>IF($B149="","",IF(INDEX(engValN3,$A149)="","",INDEX(engValN3,$A149)))</f>
        <v/>
      </c>
      <c r="AY149" s="30" t="str">
        <f t="shared" si="159"/>
        <v/>
      </c>
      <c r="AZ149" s="30" t="e">
        <f t="shared" si="160"/>
        <v>#N/A</v>
      </c>
      <c r="BA149" s="30" t="e">
        <f t="shared" si="161"/>
        <v>#N/A</v>
      </c>
      <c r="BB149" s="30" t="e">
        <f t="shared" si="162"/>
        <v>#N/A</v>
      </c>
      <c r="BC149" s="30">
        <f>IF($AX149="",0,IFERROR(INDEX(engDados,MATCH(selAnalito&amp;"|"&amp;$B149,engChave,0),17),0))</f>
        <v>0</v>
      </c>
      <c r="BD149" s="30">
        <f>IF($AX149="",0,IFERROR(INDEX(engDados,MATCH(selAnalito&amp;"|"&amp;$B149,engChave,0),18),0))</f>
        <v>0</v>
      </c>
      <c r="BE149" s="30">
        <f>IF($AX149="",0,IFERROR(INDEX(engDados,MATCH(selAnalito&amp;"|"&amp;$B149,engChave,0),19),0))</f>
        <v>0</v>
      </c>
      <c r="BF149" s="30">
        <f>IF($AX149="",0,IFERROR(INDEX(engDados,MATCH(selAnalito&amp;"|"&amp;$B149,engChave,0),20),0))</f>
        <v>0</v>
      </c>
      <c r="BG149" s="30">
        <f>IF($AX149="",0,IFERROR(INDEX(engDados,MATCH(selAnalito&amp;"|"&amp;$B149,engChave,0),21),0))</f>
        <v>0</v>
      </c>
      <c r="BH149" s="30" t="str">
        <f>IF($AX149="","",IFERROR(INDEX(engDados,MATCH(selAnalito&amp;"|"&amp;$B149,engChave,0),23),""))</f>
        <v/>
      </c>
      <c r="BI149" s="30" t="e">
        <f t="shared" si="163"/>
        <v>#N/A</v>
      </c>
      <c r="BJ149" s="30" t="e">
        <f t="shared" si="164"/>
        <v>#N/A</v>
      </c>
      <c r="BK149" s="30" t="e">
        <f t="shared" si="165"/>
        <v>#N/A</v>
      </c>
      <c r="BL149" s="30" t="e">
        <f t="shared" si="166"/>
        <v>#N/A</v>
      </c>
      <c r="BM149" s="30" t="e">
        <f t="shared" si="167"/>
        <v>#N/A</v>
      </c>
      <c r="BN149" s="30" t="e">
        <f t="shared" si="168"/>
        <v>#N/A</v>
      </c>
      <c r="BO149" s="30" t="e">
        <f t="shared" si="169"/>
        <v>#N/A</v>
      </c>
      <c r="BP149" s="30" t="e">
        <f>IF(AND($D149=1,(""&amp;loteAnalise)=(""&amp;loteCarregado),COUNTIFS(regAnalito,selAnalito,regNivel,3,regData,$C149,regRep1,"&lt;&gt;")&gt;0),SUMIFS(regRep1,regAnalito,selAnalito,regNivel,3,regData,$C149),NA())</f>
        <v>#N/A</v>
      </c>
      <c r="BQ149" s="30" t="e">
        <f>IF(AND($D149=1,(""&amp;loteAnalise)=(""&amp;loteCarregado),COUNTIFS(regAnalito,selAnalito,regNivel,3,regData,$C149,regRep2,"&lt;&gt;")&gt;0),SUMIFS(regRep2,regAnalito,selAnalito,regNivel,3,regData,$C149),NA())</f>
        <v>#N/A</v>
      </c>
      <c r="BR149" s="30" t="e">
        <f>IF(AND($D149=1,(""&amp;loteAnalise)=(""&amp;loteCarregado),COUNTIFS(regAnalito,selAnalito,regNivel,3,regData,$C149,regRep3,"&lt;&gt;")&gt;0),SUMIFS(regRep3,regAnalito,selAnalito,regNivel,3,regData,$C149),NA())</f>
        <v>#N/A</v>
      </c>
      <c r="BS149" s="30" t="e">
        <f>IF(AND($D149=1,COUNTIFS(regAnalito,selAnalito,regData,$C149,regCalib,"Sim")&gt;0),$BX$1,NA())</f>
        <v>#N/A</v>
      </c>
    </row>
    <row r="150" spans="1:71" x14ac:dyDescent="0.3">
      <c r="A150" s="30">
        <v>148</v>
      </c>
      <c r="B150" s="30" t="str">
        <f>IF(OR(selAnalito="",(""&amp;engAnalito)&lt;&gt;(""&amp;selAnalito),(""&amp;engLote)&lt;&gt;(""&amp;loteAnalise),$A150&gt;N(engNRun)),"",INDEX(engRUN,$A150))</f>
        <v/>
      </c>
      <c r="C150" s="43" t="str">
        <f>IF($B150="","",IF(INDEX(engData,$A150)="","",INDEX(engData,$A150)))</f>
        <v/>
      </c>
      <c r="D150" s="30">
        <f>IF($C150="",0,IF(AND(OR(filtroDe="",INT($C150)&gt;=INT(filtroDe)),OR(filtroAte="",INT($C150)&lt;=INT(filtroAte))),1,0))</f>
        <v>0</v>
      </c>
      <c r="E150" s="30" t="e">
        <f t="shared" si="136"/>
        <v>#N/A</v>
      </c>
      <c r="F150" s="30" t="str">
        <f>IF($B150="","",IF(INDEX(engValN1,$A150)="","",INDEX(engValN1,$A150)))</f>
        <v/>
      </c>
      <c r="G150" s="30" t="str">
        <f t="shared" si="137"/>
        <v/>
      </c>
      <c r="H150" s="30" t="e">
        <f t="shared" si="138"/>
        <v>#N/A</v>
      </c>
      <c r="I150" s="30" t="e">
        <f t="shared" si="139"/>
        <v>#N/A</v>
      </c>
      <c r="J150" s="30" t="e">
        <f t="shared" si="140"/>
        <v>#N/A</v>
      </c>
      <c r="K150" s="30">
        <f>IF($F150="",0,IFERROR(INDEX(engDados,MATCH(selAnalito&amp;"|"&amp;$B150,engChave,0),3),0))</f>
        <v>0</v>
      </c>
      <c r="L150" s="30">
        <f>IF($F150="",0,IFERROR(INDEX(engDados,MATCH(selAnalito&amp;"|"&amp;$B150,engChave,0),4),0))</f>
        <v>0</v>
      </c>
      <c r="M150" s="30">
        <f>IF($F150="",0,IFERROR(INDEX(engDados,MATCH(selAnalito&amp;"|"&amp;$B150,engChave,0),5),0))</f>
        <v>0</v>
      </c>
      <c r="N150" s="30">
        <f>IF($F150="",0,IFERROR(INDEX(engDados,MATCH(selAnalito&amp;"|"&amp;$B150,engChave,0),6),0))</f>
        <v>0</v>
      </c>
      <c r="O150" s="30">
        <f>IF($F150="",0,IFERROR(INDEX(engDados,MATCH(selAnalito&amp;"|"&amp;$B150,engChave,0),7),0))</f>
        <v>0</v>
      </c>
      <c r="P150" s="30" t="str">
        <f>IF($F150="","",IFERROR(INDEX(engDados,MATCH(selAnalito&amp;"|"&amp;$B150,engChave,0),9),""))</f>
        <v/>
      </c>
      <c r="Q150" s="30" t="e">
        <f t="shared" si="141"/>
        <v>#N/A</v>
      </c>
      <c r="R150" s="30" t="e">
        <f t="shared" si="142"/>
        <v>#N/A</v>
      </c>
      <c r="S150" s="30" t="e">
        <f t="shared" si="143"/>
        <v>#N/A</v>
      </c>
      <c r="T150" s="30" t="e">
        <f t="shared" si="144"/>
        <v>#N/A</v>
      </c>
      <c r="U150" s="30" t="e">
        <f t="shared" si="145"/>
        <v>#N/A</v>
      </c>
      <c r="V150" s="30" t="e">
        <f t="shared" si="146"/>
        <v>#N/A</v>
      </c>
      <c r="W150" s="30" t="e">
        <f t="shared" si="147"/>
        <v>#N/A</v>
      </c>
      <c r="X150" s="30" t="e">
        <f>IF(AND($D150=1,(""&amp;loteAnalise)=(""&amp;loteCarregado),COUNTIFS(regAnalito,selAnalito,regNivel,1,regData,$C150,regRep1,"&lt;&gt;")&gt;0),SUMIFS(regRep1,regAnalito,selAnalito,regNivel,1,regData,$C150),NA())</f>
        <v>#N/A</v>
      </c>
      <c r="Y150" s="30" t="e">
        <f>IF(AND($D150=1,(""&amp;loteAnalise)=(""&amp;loteCarregado),COUNTIFS(regAnalito,selAnalito,regNivel,1,regData,$C150,regRep2,"&lt;&gt;")&gt;0),SUMIFS(regRep2,regAnalito,selAnalito,regNivel,1,regData,$C150),NA())</f>
        <v>#N/A</v>
      </c>
      <c r="Z150" s="30" t="e">
        <f>IF(AND($D150=1,(""&amp;loteAnalise)=(""&amp;loteCarregado),COUNTIFS(regAnalito,selAnalito,regNivel,1,regData,$C150,regRep3,"&lt;&gt;")&gt;0),SUMIFS(regRep3,regAnalito,selAnalito,regNivel,1,regData,$C150),NA())</f>
        <v>#N/A</v>
      </c>
      <c r="AA150" s="30" t="e">
        <f>IF(AND($D150=1,COUNTIFS(regAnalito,selAnalito,regData,$C150,regCalib,"Sim")&gt;0),$BT$1,NA())</f>
        <v>#N/A</v>
      </c>
      <c r="AB150" s="30" t="str">
        <f>IF($B150="","",IF(INDEX(engValN2,$A150)="","",INDEX(engValN2,$A150)))</f>
        <v/>
      </c>
      <c r="AC150" s="30" t="str">
        <f t="shared" si="148"/>
        <v/>
      </c>
      <c r="AD150" s="30" t="e">
        <f t="shared" si="149"/>
        <v>#N/A</v>
      </c>
      <c r="AE150" s="30" t="e">
        <f t="shared" si="150"/>
        <v>#N/A</v>
      </c>
      <c r="AF150" s="30" t="e">
        <f t="shared" si="151"/>
        <v>#N/A</v>
      </c>
      <c r="AG150" s="30">
        <f>IF($AB150="",0,IFERROR(INDEX(engDados,MATCH(selAnalito&amp;"|"&amp;$B150,engChave,0),10),0))</f>
        <v>0</v>
      </c>
      <c r="AH150" s="30">
        <f>IF($AB150="",0,IFERROR(INDEX(engDados,MATCH(selAnalito&amp;"|"&amp;$B150,engChave,0),11),0))</f>
        <v>0</v>
      </c>
      <c r="AI150" s="30">
        <f>IF($AB150="",0,IFERROR(INDEX(engDados,MATCH(selAnalito&amp;"|"&amp;$B150,engChave,0),12),0))</f>
        <v>0</v>
      </c>
      <c r="AJ150" s="30">
        <f>IF($AB150="",0,IFERROR(INDEX(engDados,MATCH(selAnalito&amp;"|"&amp;$B150,engChave,0),13),0))</f>
        <v>0</v>
      </c>
      <c r="AK150" s="30">
        <f>IF($AB150="",0,IFERROR(INDEX(engDados,MATCH(selAnalito&amp;"|"&amp;$B150,engChave,0),14),0))</f>
        <v>0</v>
      </c>
      <c r="AL150" s="30" t="str">
        <f>IF($AB150="","",IFERROR(INDEX(engDados,MATCH(selAnalito&amp;"|"&amp;$B150,engChave,0),16),""))</f>
        <v/>
      </c>
      <c r="AM150" s="30" t="e">
        <f t="shared" si="152"/>
        <v>#N/A</v>
      </c>
      <c r="AN150" s="30" t="e">
        <f t="shared" si="153"/>
        <v>#N/A</v>
      </c>
      <c r="AO150" s="30" t="e">
        <f t="shared" si="154"/>
        <v>#N/A</v>
      </c>
      <c r="AP150" s="30" t="e">
        <f t="shared" si="155"/>
        <v>#N/A</v>
      </c>
      <c r="AQ150" s="30" t="e">
        <f t="shared" si="156"/>
        <v>#N/A</v>
      </c>
      <c r="AR150" s="30" t="e">
        <f t="shared" si="157"/>
        <v>#N/A</v>
      </c>
      <c r="AS150" s="30" t="e">
        <f t="shared" si="158"/>
        <v>#N/A</v>
      </c>
      <c r="AT150" s="30" t="e">
        <f>IF(AND($D150=1,(""&amp;loteAnalise)=(""&amp;loteCarregado),COUNTIFS(regAnalito,selAnalito,regNivel,2,regData,$C150,regRep1,"&lt;&gt;")&gt;0),SUMIFS(regRep1,regAnalito,selAnalito,regNivel,2,regData,$C150),NA())</f>
        <v>#N/A</v>
      </c>
      <c r="AU150" s="30" t="e">
        <f>IF(AND($D150=1,(""&amp;loteAnalise)=(""&amp;loteCarregado),COUNTIFS(regAnalito,selAnalito,regNivel,2,regData,$C150,regRep2,"&lt;&gt;")&gt;0),SUMIFS(regRep2,regAnalito,selAnalito,regNivel,2,regData,$C150),NA())</f>
        <v>#N/A</v>
      </c>
      <c r="AV150" s="30" t="e">
        <f>IF(AND($D150=1,(""&amp;loteAnalise)=(""&amp;loteCarregado),COUNTIFS(regAnalito,selAnalito,regNivel,2,regData,$C150,regRep3,"&lt;&gt;")&gt;0),SUMIFS(regRep3,regAnalito,selAnalito,regNivel,2,regData,$C150),NA())</f>
        <v>#N/A</v>
      </c>
      <c r="AW150" s="30" t="e">
        <f>IF(AND($D150=1,COUNTIFS(regAnalito,selAnalito,regData,$C150,regCalib,"Sim")&gt;0),$BV$1,NA())</f>
        <v>#N/A</v>
      </c>
      <c r="AX150" s="30" t="str">
        <f>IF($B150="","",IF(INDEX(engValN3,$A150)="","",INDEX(engValN3,$A150)))</f>
        <v/>
      </c>
      <c r="AY150" s="30" t="str">
        <f t="shared" si="159"/>
        <v/>
      </c>
      <c r="AZ150" s="30" t="e">
        <f t="shared" si="160"/>
        <v>#N/A</v>
      </c>
      <c r="BA150" s="30" t="e">
        <f t="shared" si="161"/>
        <v>#N/A</v>
      </c>
      <c r="BB150" s="30" t="e">
        <f t="shared" si="162"/>
        <v>#N/A</v>
      </c>
      <c r="BC150" s="30">
        <f>IF($AX150="",0,IFERROR(INDEX(engDados,MATCH(selAnalito&amp;"|"&amp;$B150,engChave,0),17),0))</f>
        <v>0</v>
      </c>
      <c r="BD150" s="30">
        <f>IF($AX150="",0,IFERROR(INDEX(engDados,MATCH(selAnalito&amp;"|"&amp;$B150,engChave,0),18),0))</f>
        <v>0</v>
      </c>
      <c r="BE150" s="30">
        <f>IF($AX150="",0,IFERROR(INDEX(engDados,MATCH(selAnalito&amp;"|"&amp;$B150,engChave,0),19),0))</f>
        <v>0</v>
      </c>
      <c r="BF150" s="30">
        <f>IF($AX150="",0,IFERROR(INDEX(engDados,MATCH(selAnalito&amp;"|"&amp;$B150,engChave,0),20),0))</f>
        <v>0</v>
      </c>
      <c r="BG150" s="30">
        <f>IF($AX150="",0,IFERROR(INDEX(engDados,MATCH(selAnalito&amp;"|"&amp;$B150,engChave,0),21),0))</f>
        <v>0</v>
      </c>
      <c r="BH150" s="30" t="str">
        <f>IF($AX150="","",IFERROR(INDEX(engDados,MATCH(selAnalito&amp;"|"&amp;$B150,engChave,0),23),""))</f>
        <v/>
      </c>
      <c r="BI150" s="30" t="e">
        <f t="shared" si="163"/>
        <v>#N/A</v>
      </c>
      <c r="BJ150" s="30" t="e">
        <f t="shared" si="164"/>
        <v>#N/A</v>
      </c>
      <c r="BK150" s="30" t="e">
        <f t="shared" si="165"/>
        <v>#N/A</v>
      </c>
      <c r="BL150" s="30" t="e">
        <f t="shared" si="166"/>
        <v>#N/A</v>
      </c>
      <c r="BM150" s="30" t="e">
        <f t="shared" si="167"/>
        <v>#N/A</v>
      </c>
      <c r="BN150" s="30" t="e">
        <f t="shared" si="168"/>
        <v>#N/A</v>
      </c>
      <c r="BO150" s="30" t="e">
        <f t="shared" si="169"/>
        <v>#N/A</v>
      </c>
      <c r="BP150" s="30" t="e">
        <f>IF(AND($D150=1,(""&amp;loteAnalise)=(""&amp;loteCarregado),COUNTIFS(regAnalito,selAnalito,regNivel,3,regData,$C150,regRep1,"&lt;&gt;")&gt;0),SUMIFS(regRep1,regAnalito,selAnalito,regNivel,3,regData,$C150),NA())</f>
        <v>#N/A</v>
      </c>
      <c r="BQ150" s="30" t="e">
        <f>IF(AND($D150=1,(""&amp;loteAnalise)=(""&amp;loteCarregado),COUNTIFS(regAnalito,selAnalito,regNivel,3,regData,$C150,regRep2,"&lt;&gt;")&gt;0),SUMIFS(regRep2,regAnalito,selAnalito,regNivel,3,regData,$C150),NA())</f>
        <v>#N/A</v>
      </c>
      <c r="BR150" s="30" t="e">
        <f>IF(AND($D150=1,(""&amp;loteAnalise)=(""&amp;loteCarregado),COUNTIFS(regAnalito,selAnalito,regNivel,3,regData,$C150,regRep3,"&lt;&gt;")&gt;0),SUMIFS(regRep3,regAnalito,selAnalito,regNivel,3,regData,$C150),NA())</f>
        <v>#N/A</v>
      </c>
      <c r="BS150" s="30" t="e">
        <f>IF(AND($D150=1,COUNTIFS(regAnalito,selAnalito,regData,$C150,regCalib,"Sim")&gt;0),$BX$1,NA())</f>
        <v>#N/A</v>
      </c>
    </row>
    <row r="151" spans="1:71" x14ac:dyDescent="0.3">
      <c r="A151" s="30">
        <v>149</v>
      </c>
      <c r="B151" s="30" t="str">
        <f>IF(OR(selAnalito="",(""&amp;engAnalito)&lt;&gt;(""&amp;selAnalito),(""&amp;engLote)&lt;&gt;(""&amp;loteAnalise),$A151&gt;N(engNRun)),"",INDEX(engRUN,$A151))</f>
        <v/>
      </c>
      <c r="C151" s="43" t="str">
        <f>IF($B151="","",IF(INDEX(engData,$A151)="","",INDEX(engData,$A151)))</f>
        <v/>
      </c>
      <c r="D151" s="30">
        <f>IF($C151="",0,IF(AND(OR(filtroDe="",INT($C151)&gt;=INT(filtroDe)),OR(filtroAte="",INT($C151)&lt;=INT(filtroAte))),1,0))</f>
        <v>0</v>
      </c>
      <c r="E151" s="30" t="e">
        <f t="shared" si="136"/>
        <v>#N/A</v>
      </c>
      <c r="F151" s="30" t="str">
        <f>IF($B151="","",IF(INDEX(engValN1,$A151)="","",INDEX(engValN1,$A151)))</f>
        <v/>
      </c>
      <c r="G151" s="30" t="str">
        <f t="shared" si="137"/>
        <v/>
      </c>
      <c r="H151" s="30" t="e">
        <f t="shared" si="138"/>
        <v>#N/A</v>
      </c>
      <c r="I151" s="30" t="e">
        <f t="shared" si="139"/>
        <v>#N/A</v>
      </c>
      <c r="J151" s="30" t="e">
        <f t="shared" si="140"/>
        <v>#N/A</v>
      </c>
      <c r="K151" s="30">
        <f>IF($F151="",0,IFERROR(INDEX(engDados,MATCH(selAnalito&amp;"|"&amp;$B151,engChave,0),3),0))</f>
        <v>0</v>
      </c>
      <c r="L151" s="30">
        <f>IF($F151="",0,IFERROR(INDEX(engDados,MATCH(selAnalito&amp;"|"&amp;$B151,engChave,0),4),0))</f>
        <v>0</v>
      </c>
      <c r="M151" s="30">
        <f>IF($F151="",0,IFERROR(INDEX(engDados,MATCH(selAnalito&amp;"|"&amp;$B151,engChave,0),5),0))</f>
        <v>0</v>
      </c>
      <c r="N151" s="30">
        <f>IF($F151="",0,IFERROR(INDEX(engDados,MATCH(selAnalito&amp;"|"&amp;$B151,engChave,0),6),0))</f>
        <v>0</v>
      </c>
      <c r="O151" s="30">
        <f>IF($F151="",0,IFERROR(INDEX(engDados,MATCH(selAnalito&amp;"|"&amp;$B151,engChave,0),7),0))</f>
        <v>0</v>
      </c>
      <c r="P151" s="30" t="str">
        <f>IF($F151="","",IFERROR(INDEX(engDados,MATCH(selAnalito&amp;"|"&amp;$B151,engChave,0),9),""))</f>
        <v/>
      </c>
      <c r="Q151" s="30" t="e">
        <f t="shared" si="141"/>
        <v>#N/A</v>
      </c>
      <c r="R151" s="30" t="e">
        <f t="shared" si="142"/>
        <v>#N/A</v>
      </c>
      <c r="S151" s="30" t="e">
        <f t="shared" si="143"/>
        <v>#N/A</v>
      </c>
      <c r="T151" s="30" t="e">
        <f t="shared" si="144"/>
        <v>#N/A</v>
      </c>
      <c r="U151" s="30" t="e">
        <f t="shared" si="145"/>
        <v>#N/A</v>
      </c>
      <c r="V151" s="30" t="e">
        <f t="shared" si="146"/>
        <v>#N/A</v>
      </c>
      <c r="W151" s="30" t="e">
        <f t="shared" si="147"/>
        <v>#N/A</v>
      </c>
      <c r="X151" s="30" t="e">
        <f>IF(AND($D151=1,(""&amp;loteAnalise)=(""&amp;loteCarregado),COUNTIFS(regAnalito,selAnalito,regNivel,1,regData,$C151,regRep1,"&lt;&gt;")&gt;0),SUMIFS(regRep1,regAnalito,selAnalito,regNivel,1,regData,$C151),NA())</f>
        <v>#N/A</v>
      </c>
      <c r="Y151" s="30" t="e">
        <f>IF(AND($D151=1,(""&amp;loteAnalise)=(""&amp;loteCarregado),COUNTIFS(regAnalito,selAnalito,regNivel,1,regData,$C151,regRep2,"&lt;&gt;")&gt;0),SUMIFS(regRep2,regAnalito,selAnalito,regNivel,1,regData,$C151),NA())</f>
        <v>#N/A</v>
      </c>
      <c r="Z151" s="30" t="e">
        <f>IF(AND($D151=1,(""&amp;loteAnalise)=(""&amp;loteCarregado),COUNTIFS(regAnalito,selAnalito,regNivel,1,regData,$C151,regRep3,"&lt;&gt;")&gt;0),SUMIFS(regRep3,regAnalito,selAnalito,regNivel,1,regData,$C151),NA())</f>
        <v>#N/A</v>
      </c>
      <c r="AA151" s="30" t="e">
        <f>IF(AND($D151=1,COUNTIFS(regAnalito,selAnalito,regData,$C151,regCalib,"Sim")&gt;0),$BT$1,NA())</f>
        <v>#N/A</v>
      </c>
      <c r="AB151" s="30" t="str">
        <f>IF($B151="","",IF(INDEX(engValN2,$A151)="","",INDEX(engValN2,$A151)))</f>
        <v/>
      </c>
      <c r="AC151" s="30" t="str">
        <f t="shared" si="148"/>
        <v/>
      </c>
      <c r="AD151" s="30" t="e">
        <f t="shared" si="149"/>
        <v>#N/A</v>
      </c>
      <c r="AE151" s="30" t="e">
        <f t="shared" si="150"/>
        <v>#N/A</v>
      </c>
      <c r="AF151" s="30" t="e">
        <f t="shared" si="151"/>
        <v>#N/A</v>
      </c>
      <c r="AG151" s="30">
        <f>IF($AB151="",0,IFERROR(INDEX(engDados,MATCH(selAnalito&amp;"|"&amp;$B151,engChave,0),10),0))</f>
        <v>0</v>
      </c>
      <c r="AH151" s="30">
        <f>IF($AB151="",0,IFERROR(INDEX(engDados,MATCH(selAnalito&amp;"|"&amp;$B151,engChave,0),11),0))</f>
        <v>0</v>
      </c>
      <c r="AI151" s="30">
        <f>IF($AB151="",0,IFERROR(INDEX(engDados,MATCH(selAnalito&amp;"|"&amp;$B151,engChave,0),12),0))</f>
        <v>0</v>
      </c>
      <c r="AJ151" s="30">
        <f>IF($AB151="",0,IFERROR(INDEX(engDados,MATCH(selAnalito&amp;"|"&amp;$B151,engChave,0),13),0))</f>
        <v>0</v>
      </c>
      <c r="AK151" s="30">
        <f>IF($AB151="",0,IFERROR(INDEX(engDados,MATCH(selAnalito&amp;"|"&amp;$B151,engChave,0),14),0))</f>
        <v>0</v>
      </c>
      <c r="AL151" s="30" t="str">
        <f>IF($AB151="","",IFERROR(INDEX(engDados,MATCH(selAnalito&amp;"|"&amp;$B151,engChave,0),16),""))</f>
        <v/>
      </c>
      <c r="AM151" s="30" t="e">
        <f t="shared" si="152"/>
        <v>#N/A</v>
      </c>
      <c r="AN151" s="30" t="e">
        <f t="shared" si="153"/>
        <v>#N/A</v>
      </c>
      <c r="AO151" s="30" t="e">
        <f t="shared" si="154"/>
        <v>#N/A</v>
      </c>
      <c r="AP151" s="30" t="e">
        <f t="shared" si="155"/>
        <v>#N/A</v>
      </c>
      <c r="AQ151" s="30" t="e">
        <f t="shared" si="156"/>
        <v>#N/A</v>
      </c>
      <c r="AR151" s="30" t="e">
        <f t="shared" si="157"/>
        <v>#N/A</v>
      </c>
      <c r="AS151" s="30" t="e">
        <f t="shared" si="158"/>
        <v>#N/A</v>
      </c>
      <c r="AT151" s="30" t="e">
        <f>IF(AND($D151=1,(""&amp;loteAnalise)=(""&amp;loteCarregado),COUNTIFS(regAnalito,selAnalito,regNivel,2,regData,$C151,regRep1,"&lt;&gt;")&gt;0),SUMIFS(regRep1,regAnalito,selAnalito,regNivel,2,regData,$C151),NA())</f>
        <v>#N/A</v>
      </c>
      <c r="AU151" s="30" t="e">
        <f>IF(AND($D151=1,(""&amp;loteAnalise)=(""&amp;loteCarregado),COUNTIFS(regAnalito,selAnalito,regNivel,2,regData,$C151,regRep2,"&lt;&gt;")&gt;0),SUMIFS(regRep2,regAnalito,selAnalito,regNivel,2,regData,$C151),NA())</f>
        <v>#N/A</v>
      </c>
      <c r="AV151" s="30" t="e">
        <f>IF(AND($D151=1,(""&amp;loteAnalise)=(""&amp;loteCarregado),COUNTIFS(regAnalito,selAnalito,regNivel,2,regData,$C151,regRep3,"&lt;&gt;")&gt;0),SUMIFS(regRep3,regAnalito,selAnalito,regNivel,2,regData,$C151),NA())</f>
        <v>#N/A</v>
      </c>
      <c r="AW151" s="30" t="e">
        <f>IF(AND($D151=1,COUNTIFS(regAnalito,selAnalito,regData,$C151,regCalib,"Sim")&gt;0),$BV$1,NA())</f>
        <v>#N/A</v>
      </c>
      <c r="AX151" s="30" t="str">
        <f>IF($B151="","",IF(INDEX(engValN3,$A151)="","",INDEX(engValN3,$A151)))</f>
        <v/>
      </c>
      <c r="AY151" s="30" t="str">
        <f t="shared" si="159"/>
        <v/>
      </c>
      <c r="AZ151" s="30" t="e">
        <f t="shared" si="160"/>
        <v>#N/A</v>
      </c>
      <c r="BA151" s="30" t="e">
        <f t="shared" si="161"/>
        <v>#N/A</v>
      </c>
      <c r="BB151" s="30" t="e">
        <f t="shared" si="162"/>
        <v>#N/A</v>
      </c>
      <c r="BC151" s="30">
        <f>IF($AX151="",0,IFERROR(INDEX(engDados,MATCH(selAnalito&amp;"|"&amp;$B151,engChave,0),17),0))</f>
        <v>0</v>
      </c>
      <c r="BD151" s="30">
        <f>IF($AX151="",0,IFERROR(INDEX(engDados,MATCH(selAnalito&amp;"|"&amp;$B151,engChave,0),18),0))</f>
        <v>0</v>
      </c>
      <c r="BE151" s="30">
        <f>IF($AX151="",0,IFERROR(INDEX(engDados,MATCH(selAnalito&amp;"|"&amp;$B151,engChave,0),19),0))</f>
        <v>0</v>
      </c>
      <c r="BF151" s="30">
        <f>IF($AX151="",0,IFERROR(INDEX(engDados,MATCH(selAnalito&amp;"|"&amp;$B151,engChave,0),20),0))</f>
        <v>0</v>
      </c>
      <c r="BG151" s="30">
        <f>IF($AX151="",0,IFERROR(INDEX(engDados,MATCH(selAnalito&amp;"|"&amp;$B151,engChave,0),21),0))</f>
        <v>0</v>
      </c>
      <c r="BH151" s="30" t="str">
        <f>IF($AX151="","",IFERROR(INDEX(engDados,MATCH(selAnalito&amp;"|"&amp;$B151,engChave,0),23),""))</f>
        <v/>
      </c>
      <c r="BI151" s="30" t="e">
        <f t="shared" si="163"/>
        <v>#N/A</v>
      </c>
      <c r="BJ151" s="30" t="e">
        <f t="shared" si="164"/>
        <v>#N/A</v>
      </c>
      <c r="BK151" s="30" t="e">
        <f t="shared" si="165"/>
        <v>#N/A</v>
      </c>
      <c r="BL151" s="30" t="e">
        <f t="shared" si="166"/>
        <v>#N/A</v>
      </c>
      <c r="BM151" s="30" t="e">
        <f t="shared" si="167"/>
        <v>#N/A</v>
      </c>
      <c r="BN151" s="30" t="e">
        <f t="shared" si="168"/>
        <v>#N/A</v>
      </c>
      <c r="BO151" s="30" t="e">
        <f t="shared" si="169"/>
        <v>#N/A</v>
      </c>
      <c r="BP151" s="30" t="e">
        <f>IF(AND($D151=1,(""&amp;loteAnalise)=(""&amp;loteCarregado),COUNTIFS(regAnalito,selAnalito,regNivel,3,regData,$C151,regRep1,"&lt;&gt;")&gt;0),SUMIFS(regRep1,regAnalito,selAnalito,regNivel,3,regData,$C151),NA())</f>
        <v>#N/A</v>
      </c>
      <c r="BQ151" s="30" t="e">
        <f>IF(AND($D151=1,(""&amp;loteAnalise)=(""&amp;loteCarregado),COUNTIFS(regAnalito,selAnalito,regNivel,3,regData,$C151,regRep2,"&lt;&gt;")&gt;0),SUMIFS(regRep2,regAnalito,selAnalito,regNivel,3,regData,$C151),NA())</f>
        <v>#N/A</v>
      </c>
      <c r="BR151" s="30" t="e">
        <f>IF(AND($D151=1,(""&amp;loteAnalise)=(""&amp;loteCarregado),COUNTIFS(regAnalito,selAnalito,regNivel,3,regData,$C151,regRep3,"&lt;&gt;")&gt;0),SUMIFS(regRep3,regAnalito,selAnalito,regNivel,3,regData,$C151),NA())</f>
        <v>#N/A</v>
      </c>
      <c r="BS151" s="30" t="e">
        <f>IF(AND($D151=1,COUNTIFS(regAnalito,selAnalito,regData,$C151,regCalib,"Sim")&gt;0),$BX$1,NA())</f>
        <v>#N/A</v>
      </c>
    </row>
    <row r="152" spans="1:71" x14ac:dyDescent="0.3">
      <c r="A152" s="30">
        <v>150</v>
      </c>
      <c r="B152" s="30" t="str">
        <f>IF(OR(selAnalito="",(""&amp;engAnalito)&lt;&gt;(""&amp;selAnalito),(""&amp;engLote)&lt;&gt;(""&amp;loteAnalise),$A152&gt;N(engNRun)),"",INDEX(engRUN,$A152))</f>
        <v/>
      </c>
      <c r="C152" s="43" t="str">
        <f>IF($B152="","",IF(INDEX(engData,$A152)="","",INDEX(engData,$A152)))</f>
        <v/>
      </c>
      <c r="D152" s="30">
        <f>IF($C152="",0,IF(AND(OR(filtroDe="",INT($C152)&gt;=INT(filtroDe)),OR(filtroAte="",INT($C152)&lt;=INT(filtroAte))),1,0))</f>
        <v>0</v>
      </c>
      <c r="E152" s="30" t="e">
        <f t="shared" si="136"/>
        <v>#N/A</v>
      </c>
      <c r="F152" s="30" t="str">
        <f>IF($B152="","",IF(INDEX(engValN1,$A152)="","",INDEX(engValN1,$A152)))</f>
        <v/>
      </c>
      <c r="G152" s="30" t="str">
        <f t="shared" si="137"/>
        <v/>
      </c>
      <c r="H152" s="30" t="e">
        <f t="shared" si="138"/>
        <v>#N/A</v>
      </c>
      <c r="I152" s="30" t="e">
        <f t="shared" si="139"/>
        <v>#N/A</v>
      </c>
      <c r="J152" s="30" t="e">
        <f t="shared" si="140"/>
        <v>#N/A</v>
      </c>
      <c r="K152" s="30">
        <f>IF($F152="",0,IFERROR(INDEX(engDados,MATCH(selAnalito&amp;"|"&amp;$B152,engChave,0),3),0))</f>
        <v>0</v>
      </c>
      <c r="L152" s="30">
        <f>IF($F152="",0,IFERROR(INDEX(engDados,MATCH(selAnalito&amp;"|"&amp;$B152,engChave,0),4),0))</f>
        <v>0</v>
      </c>
      <c r="M152" s="30">
        <f>IF($F152="",0,IFERROR(INDEX(engDados,MATCH(selAnalito&amp;"|"&amp;$B152,engChave,0),5),0))</f>
        <v>0</v>
      </c>
      <c r="N152" s="30">
        <f>IF($F152="",0,IFERROR(INDEX(engDados,MATCH(selAnalito&amp;"|"&amp;$B152,engChave,0),6),0))</f>
        <v>0</v>
      </c>
      <c r="O152" s="30">
        <f>IF($F152="",0,IFERROR(INDEX(engDados,MATCH(selAnalito&amp;"|"&amp;$B152,engChave,0),7),0))</f>
        <v>0</v>
      </c>
      <c r="P152" s="30" t="str">
        <f>IF($F152="","",IFERROR(INDEX(engDados,MATCH(selAnalito&amp;"|"&amp;$B152,engChave,0),9),""))</f>
        <v/>
      </c>
      <c r="Q152" s="30" t="e">
        <f t="shared" si="141"/>
        <v>#N/A</v>
      </c>
      <c r="R152" s="30" t="e">
        <f t="shared" si="142"/>
        <v>#N/A</v>
      </c>
      <c r="S152" s="30" t="e">
        <f t="shared" si="143"/>
        <v>#N/A</v>
      </c>
      <c r="T152" s="30" t="e">
        <f t="shared" si="144"/>
        <v>#N/A</v>
      </c>
      <c r="U152" s="30" t="e">
        <f t="shared" si="145"/>
        <v>#N/A</v>
      </c>
      <c r="V152" s="30" t="e">
        <f t="shared" si="146"/>
        <v>#N/A</v>
      </c>
      <c r="W152" s="30" t="e">
        <f t="shared" si="147"/>
        <v>#N/A</v>
      </c>
      <c r="X152" s="30" t="e">
        <f>IF(AND($D152=1,(""&amp;loteAnalise)=(""&amp;loteCarregado),COUNTIFS(regAnalito,selAnalito,regNivel,1,regData,$C152,regRep1,"&lt;&gt;")&gt;0),SUMIFS(regRep1,regAnalito,selAnalito,regNivel,1,regData,$C152),NA())</f>
        <v>#N/A</v>
      </c>
      <c r="Y152" s="30" t="e">
        <f>IF(AND($D152=1,(""&amp;loteAnalise)=(""&amp;loteCarregado),COUNTIFS(regAnalito,selAnalito,regNivel,1,regData,$C152,regRep2,"&lt;&gt;")&gt;0),SUMIFS(regRep2,regAnalito,selAnalito,regNivel,1,regData,$C152),NA())</f>
        <v>#N/A</v>
      </c>
      <c r="Z152" s="30" t="e">
        <f>IF(AND($D152=1,(""&amp;loteAnalise)=(""&amp;loteCarregado),COUNTIFS(regAnalito,selAnalito,regNivel,1,regData,$C152,regRep3,"&lt;&gt;")&gt;0),SUMIFS(regRep3,regAnalito,selAnalito,regNivel,1,regData,$C152),NA())</f>
        <v>#N/A</v>
      </c>
      <c r="AA152" s="30" t="e">
        <f>IF(AND($D152=1,COUNTIFS(regAnalito,selAnalito,regData,$C152,regCalib,"Sim")&gt;0),$BT$1,NA())</f>
        <v>#N/A</v>
      </c>
      <c r="AB152" s="30" t="str">
        <f>IF($B152="","",IF(INDEX(engValN2,$A152)="","",INDEX(engValN2,$A152)))</f>
        <v/>
      </c>
      <c r="AC152" s="30" t="str">
        <f t="shared" si="148"/>
        <v/>
      </c>
      <c r="AD152" s="30" t="e">
        <f t="shared" si="149"/>
        <v>#N/A</v>
      </c>
      <c r="AE152" s="30" t="e">
        <f t="shared" si="150"/>
        <v>#N/A</v>
      </c>
      <c r="AF152" s="30" t="e">
        <f t="shared" si="151"/>
        <v>#N/A</v>
      </c>
      <c r="AG152" s="30">
        <f>IF($AB152="",0,IFERROR(INDEX(engDados,MATCH(selAnalito&amp;"|"&amp;$B152,engChave,0),10),0))</f>
        <v>0</v>
      </c>
      <c r="AH152" s="30">
        <f>IF($AB152="",0,IFERROR(INDEX(engDados,MATCH(selAnalito&amp;"|"&amp;$B152,engChave,0),11),0))</f>
        <v>0</v>
      </c>
      <c r="AI152" s="30">
        <f>IF($AB152="",0,IFERROR(INDEX(engDados,MATCH(selAnalito&amp;"|"&amp;$B152,engChave,0),12),0))</f>
        <v>0</v>
      </c>
      <c r="AJ152" s="30">
        <f>IF($AB152="",0,IFERROR(INDEX(engDados,MATCH(selAnalito&amp;"|"&amp;$B152,engChave,0),13),0))</f>
        <v>0</v>
      </c>
      <c r="AK152" s="30">
        <f>IF($AB152="",0,IFERROR(INDEX(engDados,MATCH(selAnalito&amp;"|"&amp;$B152,engChave,0),14),0))</f>
        <v>0</v>
      </c>
      <c r="AL152" s="30" t="str">
        <f>IF($AB152="","",IFERROR(INDEX(engDados,MATCH(selAnalito&amp;"|"&amp;$B152,engChave,0),16),""))</f>
        <v/>
      </c>
      <c r="AM152" s="30" t="e">
        <f t="shared" si="152"/>
        <v>#N/A</v>
      </c>
      <c r="AN152" s="30" t="e">
        <f t="shared" si="153"/>
        <v>#N/A</v>
      </c>
      <c r="AO152" s="30" t="e">
        <f t="shared" si="154"/>
        <v>#N/A</v>
      </c>
      <c r="AP152" s="30" t="e">
        <f t="shared" si="155"/>
        <v>#N/A</v>
      </c>
      <c r="AQ152" s="30" t="e">
        <f t="shared" si="156"/>
        <v>#N/A</v>
      </c>
      <c r="AR152" s="30" t="e">
        <f t="shared" si="157"/>
        <v>#N/A</v>
      </c>
      <c r="AS152" s="30" t="e">
        <f t="shared" si="158"/>
        <v>#N/A</v>
      </c>
      <c r="AT152" s="30" t="e">
        <f>IF(AND($D152=1,(""&amp;loteAnalise)=(""&amp;loteCarregado),COUNTIFS(regAnalito,selAnalito,regNivel,2,regData,$C152,regRep1,"&lt;&gt;")&gt;0),SUMIFS(regRep1,regAnalito,selAnalito,regNivel,2,regData,$C152),NA())</f>
        <v>#N/A</v>
      </c>
      <c r="AU152" s="30" t="e">
        <f>IF(AND($D152=1,(""&amp;loteAnalise)=(""&amp;loteCarregado),COUNTIFS(regAnalito,selAnalito,regNivel,2,regData,$C152,regRep2,"&lt;&gt;")&gt;0),SUMIFS(regRep2,regAnalito,selAnalito,regNivel,2,regData,$C152),NA())</f>
        <v>#N/A</v>
      </c>
      <c r="AV152" s="30" t="e">
        <f>IF(AND($D152=1,(""&amp;loteAnalise)=(""&amp;loteCarregado),COUNTIFS(regAnalito,selAnalito,regNivel,2,regData,$C152,regRep3,"&lt;&gt;")&gt;0),SUMIFS(regRep3,regAnalito,selAnalito,regNivel,2,regData,$C152),NA())</f>
        <v>#N/A</v>
      </c>
      <c r="AW152" s="30" t="e">
        <f>IF(AND($D152=1,COUNTIFS(regAnalito,selAnalito,regData,$C152,regCalib,"Sim")&gt;0),$BV$1,NA())</f>
        <v>#N/A</v>
      </c>
      <c r="AX152" s="30" t="str">
        <f>IF($B152="","",IF(INDEX(engValN3,$A152)="","",INDEX(engValN3,$A152)))</f>
        <v/>
      </c>
      <c r="AY152" s="30" t="str">
        <f t="shared" si="159"/>
        <v/>
      </c>
      <c r="AZ152" s="30" t="e">
        <f t="shared" si="160"/>
        <v>#N/A</v>
      </c>
      <c r="BA152" s="30" t="e">
        <f t="shared" si="161"/>
        <v>#N/A</v>
      </c>
      <c r="BB152" s="30" t="e">
        <f t="shared" si="162"/>
        <v>#N/A</v>
      </c>
      <c r="BC152" s="30">
        <f>IF($AX152="",0,IFERROR(INDEX(engDados,MATCH(selAnalito&amp;"|"&amp;$B152,engChave,0),17),0))</f>
        <v>0</v>
      </c>
      <c r="BD152" s="30">
        <f>IF($AX152="",0,IFERROR(INDEX(engDados,MATCH(selAnalito&amp;"|"&amp;$B152,engChave,0),18),0))</f>
        <v>0</v>
      </c>
      <c r="BE152" s="30">
        <f>IF($AX152="",0,IFERROR(INDEX(engDados,MATCH(selAnalito&amp;"|"&amp;$B152,engChave,0),19),0))</f>
        <v>0</v>
      </c>
      <c r="BF152" s="30">
        <f>IF($AX152="",0,IFERROR(INDEX(engDados,MATCH(selAnalito&amp;"|"&amp;$B152,engChave,0),20),0))</f>
        <v>0</v>
      </c>
      <c r="BG152" s="30">
        <f>IF($AX152="",0,IFERROR(INDEX(engDados,MATCH(selAnalito&amp;"|"&amp;$B152,engChave,0),21),0))</f>
        <v>0</v>
      </c>
      <c r="BH152" s="30" t="str">
        <f>IF($AX152="","",IFERROR(INDEX(engDados,MATCH(selAnalito&amp;"|"&amp;$B152,engChave,0),23),""))</f>
        <v/>
      </c>
      <c r="BI152" s="30" t="e">
        <f t="shared" si="163"/>
        <v>#N/A</v>
      </c>
      <c r="BJ152" s="30" t="e">
        <f t="shared" si="164"/>
        <v>#N/A</v>
      </c>
      <c r="BK152" s="30" t="e">
        <f t="shared" si="165"/>
        <v>#N/A</v>
      </c>
      <c r="BL152" s="30" t="e">
        <f t="shared" si="166"/>
        <v>#N/A</v>
      </c>
      <c r="BM152" s="30" t="e">
        <f t="shared" si="167"/>
        <v>#N/A</v>
      </c>
      <c r="BN152" s="30" t="e">
        <f t="shared" si="168"/>
        <v>#N/A</v>
      </c>
      <c r="BO152" s="30" t="e">
        <f t="shared" si="169"/>
        <v>#N/A</v>
      </c>
      <c r="BP152" s="30" t="e">
        <f>IF(AND($D152=1,(""&amp;loteAnalise)=(""&amp;loteCarregado),COUNTIFS(regAnalito,selAnalito,regNivel,3,regData,$C152,regRep1,"&lt;&gt;")&gt;0),SUMIFS(regRep1,regAnalito,selAnalito,regNivel,3,regData,$C152),NA())</f>
        <v>#N/A</v>
      </c>
      <c r="BQ152" s="30" t="e">
        <f>IF(AND($D152=1,(""&amp;loteAnalise)=(""&amp;loteCarregado),COUNTIFS(regAnalito,selAnalito,regNivel,3,regData,$C152,regRep2,"&lt;&gt;")&gt;0),SUMIFS(regRep2,regAnalito,selAnalito,regNivel,3,regData,$C152),NA())</f>
        <v>#N/A</v>
      </c>
      <c r="BR152" s="30" t="e">
        <f>IF(AND($D152=1,(""&amp;loteAnalise)=(""&amp;loteCarregado),COUNTIFS(regAnalito,selAnalito,regNivel,3,regData,$C152,regRep3,"&lt;&gt;")&gt;0),SUMIFS(regRep3,regAnalito,selAnalito,regNivel,3,regData,$C152),NA())</f>
        <v>#N/A</v>
      </c>
      <c r="BS152" s="30" t="e">
        <f>IF(AND($D152=1,COUNTIFS(regAnalito,selAnalito,regData,$C152,regCalib,"Sim")&gt;0),$BX$1,NA())</f>
        <v>#N/A</v>
      </c>
    </row>
    <row r="153" spans="1:71" x14ac:dyDescent="0.3">
      <c r="A153" s="30">
        <v>151</v>
      </c>
      <c r="B153" s="30" t="str">
        <f>IF(OR(selAnalito="",(""&amp;engAnalito)&lt;&gt;(""&amp;selAnalito),(""&amp;engLote)&lt;&gt;(""&amp;loteAnalise),$A153&gt;N(engNRun)),"",INDEX(engRUN,$A153))</f>
        <v/>
      </c>
      <c r="C153" s="43" t="str">
        <f>IF($B153="","",IF(INDEX(engData,$A153)="","",INDEX(engData,$A153)))</f>
        <v/>
      </c>
      <c r="D153" s="30">
        <f>IF($C153="",0,IF(AND(OR(filtroDe="",INT($C153)&gt;=INT(filtroDe)),OR(filtroAte="",INT($C153)&lt;=INT(filtroAte))),1,0))</f>
        <v>0</v>
      </c>
      <c r="E153" s="30" t="e">
        <f t="shared" si="136"/>
        <v>#N/A</v>
      </c>
      <c r="F153" s="30" t="str">
        <f>IF($B153="","",IF(INDEX(engValN1,$A153)="","",INDEX(engValN1,$A153)))</f>
        <v/>
      </c>
      <c r="G153" s="30" t="str">
        <f t="shared" si="137"/>
        <v/>
      </c>
      <c r="H153" s="30" t="e">
        <f t="shared" si="138"/>
        <v>#N/A</v>
      </c>
      <c r="I153" s="30" t="e">
        <f t="shared" si="139"/>
        <v>#N/A</v>
      </c>
      <c r="J153" s="30" t="e">
        <f t="shared" si="140"/>
        <v>#N/A</v>
      </c>
      <c r="K153" s="30">
        <f>IF($F153="",0,IFERROR(INDEX(engDados,MATCH(selAnalito&amp;"|"&amp;$B153,engChave,0),3),0))</f>
        <v>0</v>
      </c>
      <c r="L153" s="30">
        <f>IF($F153="",0,IFERROR(INDEX(engDados,MATCH(selAnalito&amp;"|"&amp;$B153,engChave,0),4),0))</f>
        <v>0</v>
      </c>
      <c r="M153" s="30">
        <f>IF($F153="",0,IFERROR(INDEX(engDados,MATCH(selAnalito&amp;"|"&amp;$B153,engChave,0),5),0))</f>
        <v>0</v>
      </c>
      <c r="N153" s="30">
        <f>IF($F153="",0,IFERROR(INDEX(engDados,MATCH(selAnalito&amp;"|"&amp;$B153,engChave,0),6),0))</f>
        <v>0</v>
      </c>
      <c r="O153" s="30">
        <f>IF($F153="",0,IFERROR(INDEX(engDados,MATCH(selAnalito&amp;"|"&amp;$B153,engChave,0),7),0))</f>
        <v>0</v>
      </c>
      <c r="P153" s="30" t="str">
        <f>IF($F153="","",IFERROR(INDEX(engDados,MATCH(selAnalito&amp;"|"&amp;$B153,engChave,0),9),""))</f>
        <v/>
      </c>
      <c r="Q153" s="30" t="e">
        <f t="shared" si="141"/>
        <v>#N/A</v>
      </c>
      <c r="R153" s="30" t="e">
        <f t="shared" si="142"/>
        <v>#N/A</v>
      </c>
      <c r="S153" s="30" t="e">
        <f t="shared" si="143"/>
        <v>#N/A</v>
      </c>
      <c r="T153" s="30" t="e">
        <f t="shared" si="144"/>
        <v>#N/A</v>
      </c>
      <c r="U153" s="30" t="e">
        <f t="shared" si="145"/>
        <v>#N/A</v>
      </c>
      <c r="V153" s="30" t="e">
        <f t="shared" si="146"/>
        <v>#N/A</v>
      </c>
      <c r="W153" s="30" t="e">
        <f t="shared" si="147"/>
        <v>#N/A</v>
      </c>
      <c r="X153" s="30" t="e">
        <f>IF(AND($D153=1,(""&amp;loteAnalise)=(""&amp;loteCarregado),COUNTIFS(regAnalito,selAnalito,regNivel,1,regData,$C153,regRep1,"&lt;&gt;")&gt;0),SUMIFS(regRep1,regAnalito,selAnalito,regNivel,1,regData,$C153),NA())</f>
        <v>#N/A</v>
      </c>
      <c r="Y153" s="30" t="e">
        <f>IF(AND($D153=1,(""&amp;loteAnalise)=(""&amp;loteCarregado),COUNTIFS(regAnalito,selAnalito,regNivel,1,regData,$C153,regRep2,"&lt;&gt;")&gt;0),SUMIFS(regRep2,regAnalito,selAnalito,regNivel,1,regData,$C153),NA())</f>
        <v>#N/A</v>
      </c>
      <c r="Z153" s="30" t="e">
        <f>IF(AND($D153=1,(""&amp;loteAnalise)=(""&amp;loteCarregado),COUNTIFS(regAnalito,selAnalito,regNivel,1,regData,$C153,regRep3,"&lt;&gt;")&gt;0),SUMIFS(regRep3,regAnalito,selAnalito,regNivel,1,regData,$C153),NA())</f>
        <v>#N/A</v>
      </c>
      <c r="AA153" s="30" t="e">
        <f>IF(AND($D153=1,COUNTIFS(regAnalito,selAnalito,regData,$C153,regCalib,"Sim")&gt;0),$BT$1,NA())</f>
        <v>#N/A</v>
      </c>
      <c r="AB153" s="30" t="str">
        <f>IF($B153="","",IF(INDEX(engValN2,$A153)="","",INDEX(engValN2,$A153)))</f>
        <v/>
      </c>
      <c r="AC153" s="30" t="str">
        <f t="shared" si="148"/>
        <v/>
      </c>
      <c r="AD153" s="30" t="e">
        <f t="shared" si="149"/>
        <v>#N/A</v>
      </c>
      <c r="AE153" s="30" t="e">
        <f t="shared" si="150"/>
        <v>#N/A</v>
      </c>
      <c r="AF153" s="30" t="e">
        <f t="shared" si="151"/>
        <v>#N/A</v>
      </c>
      <c r="AG153" s="30">
        <f>IF($AB153="",0,IFERROR(INDEX(engDados,MATCH(selAnalito&amp;"|"&amp;$B153,engChave,0),10),0))</f>
        <v>0</v>
      </c>
      <c r="AH153" s="30">
        <f>IF($AB153="",0,IFERROR(INDEX(engDados,MATCH(selAnalito&amp;"|"&amp;$B153,engChave,0),11),0))</f>
        <v>0</v>
      </c>
      <c r="AI153" s="30">
        <f>IF($AB153="",0,IFERROR(INDEX(engDados,MATCH(selAnalito&amp;"|"&amp;$B153,engChave,0),12),0))</f>
        <v>0</v>
      </c>
      <c r="AJ153" s="30">
        <f>IF($AB153="",0,IFERROR(INDEX(engDados,MATCH(selAnalito&amp;"|"&amp;$B153,engChave,0),13),0))</f>
        <v>0</v>
      </c>
      <c r="AK153" s="30">
        <f>IF($AB153="",0,IFERROR(INDEX(engDados,MATCH(selAnalito&amp;"|"&amp;$B153,engChave,0),14),0))</f>
        <v>0</v>
      </c>
      <c r="AL153" s="30" t="str">
        <f>IF($AB153="","",IFERROR(INDEX(engDados,MATCH(selAnalito&amp;"|"&amp;$B153,engChave,0),16),""))</f>
        <v/>
      </c>
      <c r="AM153" s="30" t="e">
        <f t="shared" si="152"/>
        <v>#N/A</v>
      </c>
      <c r="AN153" s="30" t="e">
        <f t="shared" si="153"/>
        <v>#N/A</v>
      </c>
      <c r="AO153" s="30" t="e">
        <f t="shared" si="154"/>
        <v>#N/A</v>
      </c>
      <c r="AP153" s="30" t="e">
        <f t="shared" si="155"/>
        <v>#N/A</v>
      </c>
      <c r="AQ153" s="30" t="e">
        <f t="shared" si="156"/>
        <v>#N/A</v>
      </c>
      <c r="AR153" s="30" t="e">
        <f t="shared" si="157"/>
        <v>#N/A</v>
      </c>
      <c r="AS153" s="30" t="e">
        <f t="shared" si="158"/>
        <v>#N/A</v>
      </c>
      <c r="AT153" s="30" t="e">
        <f>IF(AND($D153=1,(""&amp;loteAnalise)=(""&amp;loteCarregado),COUNTIFS(regAnalito,selAnalito,regNivel,2,regData,$C153,regRep1,"&lt;&gt;")&gt;0),SUMIFS(regRep1,regAnalito,selAnalito,regNivel,2,regData,$C153),NA())</f>
        <v>#N/A</v>
      </c>
      <c r="AU153" s="30" t="e">
        <f>IF(AND($D153=1,(""&amp;loteAnalise)=(""&amp;loteCarregado),COUNTIFS(regAnalito,selAnalito,regNivel,2,regData,$C153,regRep2,"&lt;&gt;")&gt;0),SUMIFS(regRep2,regAnalito,selAnalito,regNivel,2,regData,$C153),NA())</f>
        <v>#N/A</v>
      </c>
      <c r="AV153" s="30" t="e">
        <f>IF(AND($D153=1,(""&amp;loteAnalise)=(""&amp;loteCarregado),COUNTIFS(regAnalito,selAnalito,regNivel,2,regData,$C153,regRep3,"&lt;&gt;")&gt;0),SUMIFS(regRep3,regAnalito,selAnalito,regNivel,2,regData,$C153),NA())</f>
        <v>#N/A</v>
      </c>
      <c r="AW153" s="30" t="e">
        <f>IF(AND($D153=1,COUNTIFS(regAnalito,selAnalito,regData,$C153,regCalib,"Sim")&gt;0),$BV$1,NA())</f>
        <v>#N/A</v>
      </c>
      <c r="AX153" s="30" t="str">
        <f>IF($B153="","",IF(INDEX(engValN3,$A153)="","",INDEX(engValN3,$A153)))</f>
        <v/>
      </c>
      <c r="AY153" s="30" t="str">
        <f t="shared" si="159"/>
        <v/>
      </c>
      <c r="AZ153" s="30" t="e">
        <f t="shared" si="160"/>
        <v>#N/A</v>
      </c>
      <c r="BA153" s="30" t="e">
        <f t="shared" si="161"/>
        <v>#N/A</v>
      </c>
      <c r="BB153" s="30" t="e">
        <f t="shared" si="162"/>
        <v>#N/A</v>
      </c>
      <c r="BC153" s="30">
        <f>IF($AX153="",0,IFERROR(INDEX(engDados,MATCH(selAnalito&amp;"|"&amp;$B153,engChave,0),17),0))</f>
        <v>0</v>
      </c>
      <c r="BD153" s="30">
        <f>IF($AX153="",0,IFERROR(INDEX(engDados,MATCH(selAnalito&amp;"|"&amp;$B153,engChave,0),18),0))</f>
        <v>0</v>
      </c>
      <c r="BE153" s="30">
        <f>IF($AX153="",0,IFERROR(INDEX(engDados,MATCH(selAnalito&amp;"|"&amp;$B153,engChave,0),19),0))</f>
        <v>0</v>
      </c>
      <c r="BF153" s="30">
        <f>IF($AX153="",0,IFERROR(INDEX(engDados,MATCH(selAnalito&amp;"|"&amp;$B153,engChave,0),20),0))</f>
        <v>0</v>
      </c>
      <c r="BG153" s="30">
        <f>IF($AX153="",0,IFERROR(INDEX(engDados,MATCH(selAnalito&amp;"|"&amp;$B153,engChave,0),21),0))</f>
        <v>0</v>
      </c>
      <c r="BH153" s="30" t="str">
        <f>IF($AX153="","",IFERROR(INDEX(engDados,MATCH(selAnalito&amp;"|"&amp;$B153,engChave,0),23),""))</f>
        <v/>
      </c>
      <c r="BI153" s="30" t="e">
        <f t="shared" si="163"/>
        <v>#N/A</v>
      </c>
      <c r="BJ153" s="30" t="e">
        <f t="shared" si="164"/>
        <v>#N/A</v>
      </c>
      <c r="BK153" s="30" t="e">
        <f t="shared" si="165"/>
        <v>#N/A</v>
      </c>
      <c r="BL153" s="30" t="e">
        <f t="shared" si="166"/>
        <v>#N/A</v>
      </c>
      <c r="BM153" s="30" t="e">
        <f t="shared" si="167"/>
        <v>#N/A</v>
      </c>
      <c r="BN153" s="30" t="e">
        <f t="shared" si="168"/>
        <v>#N/A</v>
      </c>
      <c r="BO153" s="30" t="e">
        <f t="shared" si="169"/>
        <v>#N/A</v>
      </c>
      <c r="BP153" s="30" t="e">
        <f>IF(AND($D153=1,(""&amp;loteAnalise)=(""&amp;loteCarregado),COUNTIFS(regAnalito,selAnalito,regNivel,3,regData,$C153,regRep1,"&lt;&gt;")&gt;0),SUMIFS(regRep1,regAnalito,selAnalito,regNivel,3,regData,$C153),NA())</f>
        <v>#N/A</v>
      </c>
      <c r="BQ153" s="30" t="e">
        <f>IF(AND($D153=1,(""&amp;loteAnalise)=(""&amp;loteCarregado),COUNTIFS(regAnalito,selAnalito,regNivel,3,regData,$C153,regRep2,"&lt;&gt;")&gt;0),SUMIFS(regRep2,regAnalito,selAnalito,regNivel,3,regData,$C153),NA())</f>
        <v>#N/A</v>
      </c>
      <c r="BR153" s="30" t="e">
        <f>IF(AND($D153=1,(""&amp;loteAnalise)=(""&amp;loteCarregado),COUNTIFS(regAnalito,selAnalito,regNivel,3,regData,$C153,regRep3,"&lt;&gt;")&gt;0),SUMIFS(regRep3,regAnalito,selAnalito,regNivel,3,regData,$C153),NA())</f>
        <v>#N/A</v>
      </c>
      <c r="BS153" s="30" t="e">
        <f>IF(AND($D153=1,COUNTIFS(regAnalito,selAnalito,regData,$C153,regCalib,"Sim")&gt;0),$BX$1,NA())</f>
        <v>#N/A</v>
      </c>
    </row>
    <row r="154" spans="1:71" x14ac:dyDescent="0.3">
      <c r="A154" s="30">
        <v>152</v>
      </c>
      <c r="B154" s="30" t="str">
        <f>IF(OR(selAnalito="",(""&amp;engAnalito)&lt;&gt;(""&amp;selAnalito),(""&amp;engLote)&lt;&gt;(""&amp;loteAnalise),$A154&gt;N(engNRun)),"",INDEX(engRUN,$A154))</f>
        <v/>
      </c>
      <c r="C154" s="43" t="str">
        <f>IF($B154="","",IF(INDEX(engData,$A154)="","",INDEX(engData,$A154)))</f>
        <v/>
      </c>
      <c r="D154" s="30">
        <f>IF($C154="",0,IF(AND(OR(filtroDe="",INT($C154)&gt;=INT(filtroDe)),OR(filtroAte="",INT($C154)&lt;=INT(filtroAte))),1,0))</f>
        <v>0</v>
      </c>
      <c r="E154" s="30" t="e">
        <f t="shared" si="136"/>
        <v>#N/A</v>
      </c>
      <c r="F154" s="30" t="str">
        <f>IF($B154="","",IF(INDEX(engValN1,$A154)="","",INDEX(engValN1,$A154)))</f>
        <v/>
      </c>
      <c r="G154" s="30" t="str">
        <f t="shared" si="137"/>
        <v/>
      </c>
      <c r="H154" s="30" t="e">
        <f t="shared" si="138"/>
        <v>#N/A</v>
      </c>
      <c r="I154" s="30" t="e">
        <f t="shared" si="139"/>
        <v>#N/A</v>
      </c>
      <c r="J154" s="30" t="e">
        <f t="shared" si="140"/>
        <v>#N/A</v>
      </c>
      <c r="K154" s="30">
        <f>IF($F154="",0,IFERROR(INDEX(engDados,MATCH(selAnalito&amp;"|"&amp;$B154,engChave,0),3),0))</f>
        <v>0</v>
      </c>
      <c r="L154" s="30">
        <f>IF($F154="",0,IFERROR(INDEX(engDados,MATCH(selAnalito&amp;"|"&amp;$B154,engChave,0),4),0))</f>
        <v>0</v>
      </c>
      <c r="M154" s="30">
        <f>IF($F154="",0,IFERROR(INDEX(engDados,MATCH(selAnalito&amp;"|"&amp;$B154,engChave,0),5),0))</f>
        <v>0</v>
      </c>
      <c r="N154" s="30">
        <f>IF($F154="",0,IFERROR(INDEX(engDados,MATCH(selAnalito&amp;"|"&amp;$B154,engChave,0),6),0))</f>
        <v>0</v>
      </c>
      <c r="O154" s="30">
        <f>IF($F154="",0,IFERROR(INDEX(engDados,MATCH(selAnalito&amp;"|"&amp;$B154,engChave,0),7),0))</f>
        <v>0</v>
      </c>
      <c r="P154" s="30" t="str">
        <f>IF($F154="","",IFERROR(INDEX(engDados,MATCH(selAnalito&amp;"|"&amp;$B154,engChave,0),9),""))</f>
        <v/>
      </c>
      <c r="Q154" s="30" t="e">
        <f t="shared" si="141"/>
        <v>#N/A</v>
      </c>
      <c r="R154" s="30" t="e">
        <f t="shared" si="142"/>
        <v>#N/A</v>
      </c>
      <c r="S154" s="30" t="e">
        <f t="shared" si="143"/>
        <v>#N/A</v>
      </c>
      <c r="T154" s="30" t="e">
        <f t="shared" si="144"/>
        <v>#N/A</v>
      </c>
      <c r="U154" s="30" t="e">
        <f t="shared" si="145"/>
        <v>#N/A</v>
      </c>
      <c r="V154" s="30" t="e">
        <f t="shared" si="146"/>
        <v>#N/A</v>
      </c>
      <c r="W154" s="30" t="e">
        <f t="shared" si="147"/>
        <v>#N/A</v>
      </c>
      <c r="X154" s="30" t="e">
        <f>IF(AND($D154=1,(""&amp;loteAnalise)=(""&amp;loteCarregado),COUNTIFS(regAnalito,selAnalito,regNivel,1,regData,$C154,regRep1,"&lt;&gt;")&gt;0),SUMIFS(regRep1,regAnalito,selAnalito,regNivel,1,regData,$C154),NA())</f>
        <v>#N/A</v>
      </c>
      <c r="Y154" s="30" t="e">
        <f>IF(AND($D154=1,(""&amp;loteAnalise)=(""&amp;loteCarregado),COUNTIFS(regAnalito,selAnalito,regNivel,1,regData,$C154,regRep2,"&lt;&gt;")&gt;0),SUMIFS(regRep2,regAnalito,selAnalito,regNivel,1,regData,$C154),NA())</f>
        <v>#N/A</v>
      </c>
      <c r="Z154" s="30" t="e">
        <f>IF(AND($D154=1,(""&amp;loteAnalise)=(""&amp;loteCarregado),COUNTIFS(regAnalito,selAnalito,regNivel,1,regData,$C154,regRep3,"&lt;&gt;")&gt;0),SUMIFS(regRep3,regAnalito,selAnalito,regNivel,1,regData,$C154),NA())</f>
        <v>#N/A</v>
      </c>
      <c r="AA154" s="30" t="e">
        <f>IF(AND($D154=1,COUNTIFS(regAnalito,selAnalito,regData,$C154,regCalib,"Sim")&gt;0),$BT$1,NA())</f>
        <v>#N/A</v>
      </c>
      <c r="AB154" s="30" t="str">
        <f>IF($B154="","",IF(INDEX(engValN2,$A154)="","",INDEX(engValN2,$A154)))</f>
        <v/>
      </c>
      <c r="AC154" s="30" t="str">
        <f t="shared" si="148"/>
        <v/>
      </c>
      <c r="AD154" s="30" t="e">
        <f t="shared" si="149"/>
        <v>#N/A</v>
      </c>
      <c r="AE154" s="30" t="e">
        <f t="shared" si="150"/>
        <v>#N/A</v>
      </c>
      <c r="AF154" s="30" t="e">
        <f t="shared" si="151"/>
        <v>#N/A</v>
      </c>
      <c r="AG154" s="30">
        <f>IF($AB154="",0,IFERROR(INDEX(engDados,MATCH(selAnalito&amp;"|"&amp;$B154,engChave,0),10),0))</f>
        <v>0</v>
      </c>
      <c r="AH154" s="30">
        <f>IF($AB154="",0,IFERROR(INDEX(engDados,MATCH(selAnalito&amp;"|"&amp;$B154,engChave,0),11),0))</f>
        <v>0</v>
      </c>
      <c r="AI154" s="30">
        <f>IF($AB154="",0,IFERROR(INDEX(engDados,MATCH(selAnalito&amp;"|"&amp;$B154,engChave,0),12),0))</f>
        <v>0</v>
      </c>
      <c r="AJ154" s="30">
        <f>IF($AB154="",0,IFERROR(INDEX(engDados,MATCH(selAnalito&amp;"|"&amp;$B154,engChave,0),13),0))</f>
        <v>0</v>
      </c>
      <c r="AK154" s="30">
        <f>IF($AB154="",0,IFERROR(INDEX(engDados,MATCH(selAnalito&amp;"|"&amp;$B154,engChave,0),14),0))</f>
        <v>0</v>
      </c>
      <c r="AL154" s="30" t="str">
        <f>IF($AB154="","",IFERROR(INDEX(engDados,MATCH(selAnalito&amp;"|"&amp;$B154,engChave,0),16),""))</f>
        <v/>
      </c>
      <c r="AM154" s="30" t="e">
        <f t="shared" si="152"/>
        <v>#N/A</v>
      </c>
      <c r="AN154" s="30" t="e">
        <f t="shared" si="153"/>
        <v>#N/A</v>
      </c>
      <c r="AO154" s="30" t="e">
        <f t="shared" si="154"/>
        <v>#N/A</v>
      </c>
      <c r="AP154" s="30" t="e">
        <f t="shared" si="155"/>
        <v>#N/A</v>
      </c>
      <c r="AQ154" s="30" t="e">
        <f t="shared" si="156"/>
        <v>#N/A</v>
      </c>
      <c r="AR154" s="30" t="e">
        <f t="shared" si="157"/>
        <v>#N/A</v>
      </c>
      <c r="AS154" s="30" t="e">
        <f t="shared" si="158"/>
        <v>#N/A</v>
      </c>
      <c r="AT154" s="30" t="e">
        <f>IF(AND($D154=1,(""&amp;loteAnalise)=(""&amp;loteCarregado),COUNTIFS(regAnalito,selAnalito,regNivel,2,regData,$C154,regRep1,"&lt;&gt;")&gt;0),SUMIFS(regRep1,regAnalito,selAnalito,regNivel,2,regData,$C154),NA())</f>
        <v>#N/A</v>
      </c>
      <c r="AU154" s="30" t="e">
        <f>IF(AND($D154=1,(""&amp;loteAnalise)=(""&amp;loteCarregado),COUNTIFS(regAnalito,selAnalito,regNivel,2,regData,$C154,regRep2,"&lt;&gt;")&gt;0),SUMIFS(regRep2,regAnalito,selAnalito,regNivel,2,regData,$C154),NA())</f>
        <v>#N/A</v>
      </c>
      <c r="AV154" s="30" t="e">
        <f>IF(AND($D154=1,(""&amp;loteAnalise)=(""&amp;loteCarregado),COUNTIFS(regAnalito,selAnalito,regNivel,2,regData,$C154,regRep3,"&lt;&gt;")&gt;0),SUMIFS(regRep3,regAnalito,selAnalito,regNivel,2,regData,$C154),NA())</f>
        <v>#N/A</v>
      </c>
      <c r="AW154" s="30" t="e">
        <f>IF(AND($D154=1,COUNTIFS(regAnalito,selAnalito,regData,$C154,regCalib,"Sim")&gt;0),$BV$1,NA())</f>
        <v>#N/A</v>
      </c>
      <c r="AX154" s="30" t="str">
        <f>IF($B154="","",IF(INDEX(engValN3,$A154)="","",INDEX(engValN3,$A154)))</f>
        <v/>
      </c>
      <c r="AY154" s="30" t="str">
        <f t="shared" si="159"/>
        <v/>
      </c>
      <c r="AZ154" s="30" t="e">
        <f t="shared" si="160"/>
        <v>#N/A</v>
      </c>
      <c r="BA154" s="30" t="e">
        <f t="shared" si="161"/>
        <v>#N/A</v>
      </c>
      <c r="BB154" s="30" t="e">
        <f t="shared" si="162"/>
        <v>#N/A</v>
      </c>
      <c r="BC154" s="30">
        <f>IF($AX154="",0,IFERROR(INDEX(engDados,MATCH(selAnalito&amp;"|"&amp;$B154,engChave,0),17),0))</f>
        <v>0</v>
      </c>
      <c r="BD154" s="30">
        <f>IF($AX154="",0,IFERROR(INDEX(engDados,MATCH(selAnalito&amp;"|"&amp;$B154,engChave,0),18),0))</f>
        <v>0</v>
      </c>
      <c r="BE154" s="30">
        <f>IF($AX154="",0,IFERROR(INDEX(engDados,MATCH(selAnalito&amp;"|"&amp;$B154,engChave,0),19),0))</f>
        <v>0</v>
      </c>
      <c r="BF154" s="30">
        <f>IF($AX154="",0,IFERROR(INDEX(engDados,MATCH(selAnalito&amp;"|"&amp;$B154,engChave,0),20),0))</f>
        <v>0</v>
      </c>
      <c r="BG154" s="30">
        <f>IF($AX154="",0,IFERROR(INDEX(engDados,MATCH(selAnalito&amp;"|"&amp;$B154,engChave,0),21),0))</f>
        <v>0</v>
      </c>
      <c r="BH154" s="30" t="str">
        <f>IF($AX154="","",IFERROR(INDEX(engDados,MATCH(selAnalito&amp;"|"&amp;$B154,engChave,0),23),""))</f>
        <v/>
      </c>
      <c r="BI154" s="30" t="e">
        <f t="shared" si="163"/>
        <v>#N/A</v>
      </c>
      <c r="BJ154" s="30" t="e">
        <f t="shared" si="164"/>
        <v>#N/A</v>
      </c>
      <c r="BK154" s="30" t="e">
        <f t="shared" si="165"/>
        <v>#N/A</v>
      </c>
      <c r="BL154" s="30" t="e">
        <f t="shared" si="166"/>
        <v>#N/A</v>
      </c>
      <c r="BM154" s="30" t="e">
        <f t="shared" si="167"/>
        <v>#N/A</v>
      </c>
      <c r="BN154" s="30" t="e">
        <f t="shared" si="168"/>
        <v>#N/A</v>
      </c>
      <c r="BO154" s="30" t="e">
        <f t="shared" si="169"/>
        <v>#N/A</v>
      </c>
      <c r="BP154" s="30" t="e">
        <f>IF(AND($D154=1,(""&amp;loteAnalise)=(""&amp;loteCarregado),COUNTIFS(regAnalito,selAnalito,regNivel,3,regData,$C154,regRep1,"&lt;&gt;")&gt;0),SUMIFS(regRep1,regAnalito,selAnalito,regNivel,3,regData,$C154),NA())</f>
        <v>#N/A</v>
      </c>
      <c r="BQ154" s="30" t="e">
        <f>IF(AND($D154=1,(""&amp;loteAnalise)=(""&amp;loteCarregado),COUNTIFS(regAnalito,selAnalito,regNivel,3,regData,$C154,regRep2,"&lt;&gt;")&gt;0),SUMIFS(regRep2,regAnalito,selAnalito,regNivel,3,regData,$C154),NA())</f>
        <v>#N/A</v>
      </c>
      <c r="BR154" s="30" t="e">
        <f>IF(AND($D154=1,(""&amp;loteAnalise)=(""&amp;loteCarregado),COUNTIFS(regAnalito,selAnalito,regNivel,3,regData,$C154,regRep3,"&lt;&gt;")&gt;0),SUMIFS(regRep3,regAnalito,selAnalito,regNivel,3,regData,$C154),NA())</f>
        <v>#N/A</v>
      </c>
      <c r="BS154" s="30" t="e">
        <f>IF(AND($D154=1,COUNTIFS(regAnalito,selAnalito,regData,$C154,regCalib,"Sim")&gt;0),$BX$1,NA())</f>
        <v>#N/A</v>
      </c>
    </row>
    <row r="155" spans="1:71" x14ac:dyDescent="0.3">
      <c r="A155" s="30">
        <v>153</v>
      </c>
      <c r="B155" s="30" t="str">
        <f>IF(OR(selAnalito="",(""&amp;engAnalito)&lt;&gt;(""&amp;selAnalito),(""&amp;engLote)&lt;&gt;(""&amp;loteAnalise),$A155&gt;N(engNRun)),"",INDEX(engRUN,$A155))</f>
        <v/>
      </c>
      <c r="C155" s="43" t="str">
        <f>IF($B155="","",IF(INDEX(engData,$A155)="","",INDEX(engData,$A155)))</f>
        <v/>
      </c>
      <c r="D155" s="30">
        <f>IF($C155="",0,IF(AND(OR(filtroDe="",INT($C155)&gt;=INT(filtroDe)),OR(filtroAte="",INT($C155)&lt;=INT(filtroAte))),1,0))</f>
        <v>0</v>
      </c>
      <c r="E155" s="30" t="e">
        <f t="shared" si="136"/>
        <v>#N/A</v>
      </c>
      <c r="F155" s="30" t="str">
        <f>IF($B155="","",IF(INDEX(engValN1,$A155)="","",INDEX(engValN1,$A155)))</f>
        <v/>
      </c>
      <c r="G155" s="30" t="str">
        <f t="shared" si="137"/>
        <v/>
      </c>
      <c r="H155" s="30" t="e">
        <f t="shared" si="138"/>
        <v>#N/A</v>
      </c>
      <c r="I155" s="30" t="e">
        <f t="shared" si="139"/>
        <v>#N/A</v>
      </c>
      <c r="J155" s="30" t="e">
        <f t="shared" si="140"/>
        <v>#N/A</v>
      </c>
      <c r="K155" s="30">
        <f>IF($F155="",0,IFERROR(INDEX(engDados,MATCH(selAnalito&amp;"|"&amp;$B155,engChave,0),3),0))</f>
        <v>0</v>
      </c>
      <c r="L155" s="30">
        <f>IF($F155="",0,IFERROR(INDEX(engDados,MATCH(selAnalito&amp;"|"&amp;$B155,engChave,0),4),0))</f>
        <v>0</v>
      </c>
      <c r="M155" s="30">
        <f>IF($F155="",0,IFERROR(INDEX(engDados,MATCH(selAnalito&amp;"|"&amp;$B155,engChave,0),5),0))</f>
        <v>0</v>
      </c>
      <c r="N155" s="30">
        <f>IF($F155="",0,IFERROR(INDEX(engDados,MATCH(selAnalito&amp;"|"&amp;$B155,engChave,0),6),0))</f>
        <v>0</v>
      </c>
      <c r="O155" s="30">
        <f>IF($F155="",0,IFERROR(INDEX(engDados,MATCH(selAnalito&amp;"|"&amp;$B155,engChave,0),7),0))</f>
        <v>0</v>
      </c>
      <c r="P155" s="30" t="str">
        <f>IF($F155="","",IFERROR(INDEX(engDados,MATCH(selAnalito&amp;"|"&amp;$B155,engChave,0),9),""))</f>
        <v/>
      </c>
      <c r="Q155" s="30" t="e">
        <f t="shared" si="141"/>
        <v>#N/A</v>
      </c>
      <c r="R155" s="30" t="e">
        <f t="shared" si="142"/>
        <v>#N/A</v>
      </c>
      <c r="S155" s="30" t="e">
        <f t="shared" si="143"/>
        <v>#N/A</v>
      </c>
      <c r="T155" s="30" t="e">
        <f t="shared" si="144"/>
        <v>#N/A</v>
      </c>
      <c r="U155" s="30" t="e">
        <f t="shared" si="145"/>
        <v>#N/A</v>
      </c>
      <c r="V155" s="30" t="e">
        <f t="shared" si="146"/>
        <v>#N/A</v>
      </c>
      <c r="W155" s="30" t="e">
        <f t="shared" si="147"/>
        <v>#N/A</v>
      </c>
      <c r="X155" s="30" t="e">
        <f>IF(AND($D155=1,(""&amp;loteAnalise)=(""&amp;loteCarregado),COUNTIFS(regAnalito,selAnalito,regNivel,1,regData,$C155,regRep1,"&lt;&gt;")&gt;0),SUMIFS(regRep1,regAnalito,selAnalito,regNivel,1,regData,$C155),NA())</f>
        <v>#N/A</v>
      </c>
      <c r="Y155" s="30" t="e">
        <f>IF(AND($D155=1,(""&amp;loteAnalise)=(""&amp;loteCarregado),COUNTIFS(regAnalito,selAnalito,regNivel,1,regData,$C155,regRep2,"&lt;&gt;")&gt;0),SUMIFS(regRep2,regAnalito,selAnalito,regNivel,1,regData,$C155),NA())</f>
        <v>#N/A</v>
      </c>
      <c r="Z155" s="30" t="e">
        <f>IF(AND($D155=1,(""&amp;loteAnalise)=(""&amp;loteCarregado),COUNTIFS(regAnalito,selAnalito,regNivel,1,regData,$C155,regRep3,"&lt;&gt;")&gt;0),SUMIFS(regRep3,regAnalito,selAnalito,regNivel,1,regData,$C155),NA())</f>
        <v>#N/A</v>
      </c>
      <c r="AA155" s="30" t="e">
        <f>IF(AND($D155=1,COUNTIFS(regAnalito,selAnalito,regData,$C155,regCalib,"Sim")&gt;0),$BT$1,NA())</f>
        <v>#N/A</v>
      </c>
      <c r="AB155" s="30" t="str">
        <f>IF($B155="","",IF(INDEX(engValN2,$A155)="","",INDEX(engValN2,$A155)))</f>
        <v/>
      </c>
      <c r="AC155" s="30" t="str">
        <f t="shared" si="148"/>
        <v/>
      </c>
      <c r="AD155" s="30" t="e">
        <f t="shared" si="149"/>
        <v>#N/A</v>
      </c>
      <c r="AE155" s="30" t="e">
        <f t="shared" si="150"/>
        <v>#N/A</v>
      </c>
      <c r="AF155" s="30" t="e">
        <f t="shared" si="151"/>
        <v>#N/A</v>
      </c>
      <c r="AG155" s="30">
        <f>IF($AB155="",0,IFERROR(INDEX(engDados,MATCH(selAnalito&amp;"|"&amp;$B155,engChave,0),10),0))</f>
        <v>0</v>
      </c>
      <c r="AH155" s="30">
        <f>IF($AB155="",0,IFERROR(INDEX(engDados,MATCH(selAnalito&amp;"|"&amp;$B155,engChave,0),11),0))</f>
        <v>0</v>
      </c>
      <c r="AI155" s="30">
        <f>IF($AB155="",0,IFERROR(INDEX(engDados,MATCH(selAnalito&amp;"|"&amp;$B155,engChave,0),12),0))</f>
        <v>0</v>
      </c>
      <c r="AJ155" s="30">
        <f>IF($AB155="",0,IFERROR(INDEX(engDados,MATCH(selAnalito&amp;"|"&amp;$B155,engChave,0),13),0))</f>
        <v>0</v>
      </c>
      <c r="AK155" s="30">
        <f>IF($AB155="",0,IFERROR(INDEX(engDados,MATCH(selAnalito&amp;"|"&amp;$B155,engChave,0),14),0))</f>
        <v>0</v>
      </c>
      <c r="AL155" s="30" t="str">
        <f>IF($AB155="","",IFERROR(INDEX(engDados,MATCH(selAnalito&amp;"|"&amp;$B155,engChave,0),16),""))</f>
        <v/>
      </c>
      <c r="AM155" s="30" t="e">
        <f t="shared" si="152"/>
        <v>#N/A</v>
      </c>
      <c r="AN155" s="30" t="e">
        <f t="shared" si="153"/>
        <v>#N/A</v>
      </c>
      <c r="AO155" s="30" t="e">
        <f t="shared" si="154"/>
        <v>#N/A</v>
      </c>
      <c r="AP155" s="30" t="e">
        <f t="shared" si="155"/>
        <v>#N/A</v>
      </c>
      <c r="AQ155" s="30" t="e">
        <f t="shared" si="156"/>
        <v>#N/A</v>
      </c>
      <c r="AR155" s="30" t="e">
        <f t="shared" si="157"/>
        <v>#N/A</v>
      </c>
      <c r="AS155" s="30" t="e">
        <f t="shared" si="158"/>
        <v>#N/A</v>
      </c>
      <c r="AT155" s="30" t="e">
        <f>IF(AND($D155=1,(""&amp;loteAnalise)=(""&amp;loteCarregado),COUNTIFS(regAnalito,selAnalito,regNivel,2,regData,$C155,regRep1,"&lt;&gt;")&gt;0),SUMIFS(regRep1,regAnalito,selAnalito,regNivel,2,regData,$C155),NA())</f>
        <v>#N/A</v>
      </c>
      <c r="AU155" s="30" t="e">
        <f>IF(AND($D155=1,(""&amp;loteAnalise)=(""&amp;loteCarregado),COUNTIFS(regAnalito,selAnalito,regNivel,2,regData,$C155,regRep2,"&lt;&gt;")&gt;0),SUMIFS(regRep2,regAnalito,selAnalito,regNivel,2,regData,$C155),NA())</f>
        <v>#N/A</v>
      </c>
      <c r="AV155" s="30" t="e">
        <f>IF(AND($D155=1,(""&amp;loteAnalise)=(""&amp;loteCarregado),COUNTIFS(regAnalito,selAnalito,regNivel,2,regData,$C155,regRep3,"&lt;&gt;")&gt;0),SUMIFS(regRep3,regAnalito,selAnalito,regNivel,2,regData,$C155),NA())</f>
        <v>#N/A</v>
      </c>
      <c r="AW155" s="30" t="e">
        <f>IF(AND($D155=1,COUNTIFS(regAnalito,selAnalito,regData,$C155,regCalib,"Sim")&gt;0),$BV$1,NA())</f>
        <v>#N/A</v>
      </c>
      <c r="AX155" s="30" t="str">
        <f>IF($B155="","",IF(INDEX(engValN3,$A155)="","",INDEX(engValN3,$A155)))</f>
        <v/>
      </c>
      <c r="AY155" s="30" t="str">
        <f t="shared" si="159"/>
        <v/>
      </c>
      <c r="AZ155" s="30" t="e">
        <f t="shared" si="160"/>
        <v>#N/A</v>
      </c>
      <c r="BA155" s="30" t="e">
        <f t="shared" si="161"/>
        <v>#N/A</v>
      </c>
      <c r="BB155" s="30" t="e">
        <f t="shared" si="162"/>
        <v>#N/A</v>
      </c>
      <c r="BC155" s="30">
        <f>IF($AX155="",0,IFERROR(INDEX(engDados,MATCH(selAnalito&amp;"|"&amp;$B155,engChave,0),17),0))</f>
        <v>0</v>
      </c>
      <c r="BD155" s="30">
        <f>IF($AX155="",0,IFERROR(INDEX(engDados,MATCH(selAnalito&amp;"|"&amp;$B155,engChave,0),18),0))</f>
        <v>0</v>
      </c>
      <c r="BE155" s="30">
        <f>IF($AX155="",0,IFERROR(INDEX(engDados,MATCH(selAnalito&amp;"|"&amp;$B155,engChave,0),19),0))</f>
        <v>0</v>
      </c>
      <c r="BF155" s="30">
        <f>IF($AX155="",0,IFERROR(INDEX(engDados,MATCH(selAnalito&amp;"|"&amp;$B155,engChave,0),20),0))</f>
        <v>0</v>
      </c>
      <c r="BG155" s="30">
        <f>IF($AX155="",0,IFERROR(INDEX(engDados,MATCH(selAnalito&amp;"|"&amp;$B155,engChave,0),21),0))</f>
        <v>0</v>
      </c>
      <c r="BH155" s="30" t="str">
        <f>IF($AX155="","",IFERROR(INDEX(engDados,MATCH(selAnalito&amp;"|"&amp;$B155,engChave,0),23),""))</f>
        <v/>
      </c>
      <c r="BI155" s="30" t="e">
        <f t="shared" si="163"/>
        <v>#N/A</v>
      </c>
      <c r="BJ155" s="30" t="e">
        <f t="shared" si="164"/>
        <v>#N/A</v>
      </c>
      <c r="BK155" s="30" t="e">
        <f t="shared" si="165"/>
        <v>#N/A</v>
      </c>
      <c r="BL155" s="30" t="e">
        <f t="shared" si="166"/>
        <v>#N/A</v>
      </c>
      <c r="BM155" s="30" t="e">
        <f t="shared" si="167"/>
        <v>#N/A</v>
      </c>
      <c r="BN155" s="30" t="e">
        <f t="shared" si="168"/>
        <v>#N/A</v>
      </c>
      <c r="BO155" s="30" t="e">
        <f t="shared" si="169"/>
        <v>#N/A</v>
      </c>
      <c r="BP155" s="30" t="e">
        <f>IF(AND($D155=1,(""&amp;loteAnalise)=(""&amp;loteCarregado),COUNTIFS(regAnalito,selAnalito,regNivel,3,regData,$C155,regRep1,"&lt;&gt;")&gt;0),SUMIFS(regRep1,regAnalito,selAnalito,regNivel,3,regData,$C155),NA())</f>
        <v>#N/A</v>
      </c>
      <c r="BQ155" s="30" t="e">
        <f>IF(AND($D155=1,(""&amp;loteAnalise)=(""&amp;loteCarregado),COUNTIFS(regAnalito,selAnalito,regNivel,3,regData,$C155,regRep2,"&lt;&gt;")&gt;0),SUMIFS(regRep2,regAnalito,selAnalito,regNivel,3,regData,$C155),NA())</f>
        <v>#N/A</v>
      </c>
      <c r="BR155" s="30" t="e">
        <f>IF(AND($D155=1,(""&amp;loteAnalise)=(""&amp;loteCarregado),COUNTIFS(regAnalito,selAnalito,regNivel,3,regData,$C155,regRep3,"&lt;&gt;")&gt;0),SUMIFS(regRep3,regAnalito,selAnalito,regNivel,3,regData,$C155),NA())</f>
        <v>#N/A</v>
      </c>
      <c r="BS155" s="30" t="e">
        <f>IF(AND($D155=1,COUNTIFS(regAnalito,selAnalito,regData,$C155,regCalib,"Sim")&gt;0),$BX$1,NA())</f>
        <v>#N/A</v>
      </c>
    </row>
    <row r="156" spans="1:71" x14ac:dyDescent="0.3">
      <c r="A156" s="30">
        <v>154</v>
      </c>
      <c r="B156" s="30" t="str">
        <f>IF(OR(selAnalito="",(""&amp;engAnalito)&lt;&gt;(""&amp;selAnalito),(""&amp;engLote)&lt;&gt;(""&amp;loteAnalise),$A156&gt;N(engNRun)),"",INDEX(engRUN,$A156))</f>
        <v/>
      </c>
      <c r="C156" s="43" t="str">
        <f>IF($B156="","",IF(INDEX(engData,$A156)="","",INDEX(engData,$A156)))</f>
        <v/>
      </c>
      <c r="D156" s="30">
        <f>IF($C156="",0,IF(AND(OR(filtroDe="",INT($C156)&gt;=INT(filtroDe)),OR(filtroAte="",INT($C156)&lt;=INT(filtroAte))),1,0))</f>
        <v>0</v>
      </c>
      <c r="E156" s="30" t="e">
        <f t="shared" si="136"/>
        <v>#N/A</v>
      </c>
      <c r="F156" s="30" t="str">
        <f>IF($B156="","",IF(INDEX(engValN1,$A156)="","",INDEX(engValN1,$A156)))</f>
        <v/>
      </c>
      <c r="G156" s="30" t="str">
        <f t="shared" si="137"/>
        <v/>
      </c>
      <c r="H156" s="30" t="e">
        <f t="shared" si="138"/>
        <v>#N/A</v>
      </c>
      <c r="I156" s="30" t="e">
        <f t="shared" si="139"/>
        <v>#N/A</v>
      </c>
      <c r="J156" s="30" t="e">
        <f t="shared" si="140"/>
        <v>#N/A</v>
      </c>
      <c r="K156" s="30">
        <f>IF($F156="",0,IFERROR(INDEX(engDados,MATCH(selAnalito&amp;"|"&amp;$B156,engChave,0),3),0))</f>
        <v>0</v>
      </c>
      <c r="L156" s="30">
        <f>IF($F156="",0,IFERROR(INDEX(engDados,MATCH(selAnalito&amp;"|"&amp;$B156,engChave,0),4),0))</f>
        <v>0</v>
      </c>
      <c r="M156" s="30">
        <f>IF($F156="",0,IFERROR(INDEX(engDados,MATCH(selAnalito&amp;"|"&amp;$B156,engChave,0),5),0))</f>
        <v>0</v>
      </c>
      <c r="N156" s="30">
        <f>IF($F156="",0,IFERROR(INDEX(engDados,MATCH(selAnalito&amp;"|"&amp;$B156,engChave,0),6),0))</f>
        <v>0</v>
      </c>
      <c r="O156" s="30">
        <f>IF($F156="",0,IFERROR(INDEX(engDados,MATCH(selAnalito&amp;"|"&amp;$B156,engChave,0),7),0))</f>
        <v>0</v>
      </c>
      <c r="P156" s="30" t="str">
        <f>IF($F156="","",IFERROR(INDEX(engDados,MATCH(selAnalito&amp;"|"&amp;$B156,engChave,0),9),""))</f>
        <v/>
      </c>
      <c r="Q156" s="30" t="e">
        <f t="shared" si="141"/>
        <v>#N/A</v>
      </c>
      <c r="R156" s="30" t="e">
        <f t="shared" si="142"/>
        <v>#N/A</v>
      </c>
      <c r="S156" s="30" t="e">
        <f t="shared" si="143"/>
        <v>#N/A</v>
      </c>
      <c r="T156" s="30" t="e">
        <f t="shared" si="144"/>
        <v>#N/A</v>
      </c>
      <c r="U156" s="30" t="e">
        <f t="shared" si="145"/>
        <v>#N/A</v>
      </c>
      <c r="V156" s="30" t="e">
        <f t="shared" si="146"/>
        <v>#N/A</v>
      </c>
      <c r="W156" s="30" t="e">
        <f t="shared" si="147"/>
        <v>#N/A</v>
      </c>
      <c r="X156" s="30" t="e">
        <f>IF(AND($D156=1,(""&amp;loteAnalise)=(""&amp;loteCarregado),COUNTIFS(regAnalito,selAnalito,regNivel,1,regData,$C156,regRep1,"&lt;&gt;")&gt;0),SUMIFS(regRep1,regAnalito,selAnalito,regNivel,1,regData,$C156),NA())</f>
        <v>#N/A</v>
      </c>
      <c r="Y156" s="30" t="e">
        <f>IF(AND($D156=1,(""&amp;loteAnalise)=(""&amp;loteCarregado),COUNTIFS(regAnalito,selAnalito,regNivel,1,regData,$C156,regRep2,"&lt;&gt;")&gt;0),SUMIFS(regRep2,regAnalito,selAnalito,regNivel,1,regData,$C156),NA())</f>
        <v>#N/A</v>
      </c>
      <c r="Z156" s="30" t="e">
        <f>IF(AND($D156=1,(""&amp;loteAnalise)=(""&amp;loteCarregado),COUNTIFS(regAnalito,selAnalito,regNivel,1,regData,$C156,regRep3,"&lt;&gt;")&gt;0),SUMIFS(regRep3,regAnalito,selAnalito,regNivel,1,regData,$C156),NA())</f>
        <v>#N/A</v>
      </c>
      <c r="AA156" s="30" t="e">
        <f>IF(AND($D156=1,COUNTIFS(regAnalito,selAnalito,regData,$C156,regCalib,"Sim")&gt;0),$BT$1,NA())</f>
        <v>#N/A</v>
      </c>
      <c r="AB156" s="30" t="str">
        <f>IF($B156="","",IF(INDEX(engValN2,$A156)="","",INDEX(engValN2,$A156)))</f>
        <v/>
      </c>
      <c r="AC156" s="30" t="str">
        <f t="shared" si="148"/>
        <v/>
      </c>
      <c r="AD156" s="30" t="e">
        <f t="shared" si="149"/>
        <v>#N/A</v>
      </c>
      <c r="AE156" s="30" t="e">
        <f t="shared" si="150"/>
        <v>#N/A</v>
      </c>
      <c r="AF156" s="30" t="e">
        <f t="shared" si="151"/>
        <v>#N/A</v>
      </c>
      <c r="AG156" s="30">
        <f>IF($AB156="",0,IFERROR(INDEX(engDados,MATCH(selAnalito&amp;"|"&amp;$B156,engChave,0),10),0))</f>
        <v>0</v>
      </c>
      <c r="AH156" s="30">
        <f>IF($AB156="",0,IFERROR(INDEX(engDados,MATCH(selAnalito&amp;"|"&amp;$B156,engChave,0),11),0))</f>
        <v>0</v>
      </c>
      <c r="AI156" s="30">
        <f>IF($AB156="",0,IFERROR(INDEX(engDados,MATCH(selAnalito&amp;"|"&amp;$B156,engChave,0),12),0))</f>
        <v>0</v>
      </c>
      <c r="AJ156" s="30">
        <f>IF($AB156="",0,IFERROR(INDEX(engDados,MATCH(selAnalito&amp;"|"&amp;$B156,engChave,0),13),0))</f>
        <v>0</v>
      </c>
      <c r="AK156" s="30">
        <f>IF($AB156="",0,IFERROR(INDEX(engDados,MATCH(selAnalito&amp;"|"&amp;$B156,engChave,0),14),0))</f>
        <v>0</v>
      </c>
      <c r="AL156" s="30" t="str">
        <f>IF($AB156="","",IFERROR(INDEX(engDados,MATCH(selAnalito&amp;"|"&amp;$B156,engChave,0),16),""))</f>
        <v/>
      </c>
      <c r="AM156" s="30" t="e">
        <f t="shared" si="152"/>
        <v>#N/A</v>
      </c>
      <c r="AN156" s="30" t="e">
        <f t="shared" si="153"/>
        <v>#N/A</v>
      </c>
      <c r="AO156" s="30" t="e">
        <f t="shared" si="154"/>
        <v>#N/A</v>
      </c>
      <c r="AP156" s="30" t="e">
        <f t="shared" si="155"/>
        <v>#N/A</v>
      </c>
      <c r="AQ156" s="30" t="e">
        <f t="shared" si="156"/>
        <v>#N/A</v>
      </c>
      <c r="AR156" s="30" t="e">
        <f t="shared" si="157"/>
        <v>#N/A</v>
      </c>
      <c r="AS156" s="30" t="e">
        <f t="shared" si="158"/>
        <v>#N/A</v>
      </c>
      <c r="AT156" s="30" t="e">
        <f>IF(AND($D156=1,(""&amp;loteAnalise)=(""&amp;loteCarregado),COUNTIFS(regAnalito,selAnalito,regNivel,2,regData,$C156,regRep1,"&lt;&gt;")&gt;0),SUMIFS(regRep1,regAnalito,selAnalito,regNivel,2,regData,$C156),NA())</f>
        <v>#N/A</v>
      </c>
      <c r="AU156" s="30" t="e">
        <f>IF(AND($D156=1,(""&amp;loteAnalise)=(""&amp;loteCarregado),COUNTIFS(regAnalito,selAnalito,regNivel,2,regData,$C156,regRep2,"&lt;&gt;")&gt;0),SUMIFS(regRep2,regAnalito,selAnalito,regNivel,2,regData,$C156),NA())</f>
        <v>#N/A</v>
      </c>
      <c r="AV156" s="30" t="e">
        <f>IF(AND($D156=1,(""&amp;loteAnalise)=(""&amp;loteCarregado),COUNTIFS(regAnalito,selAnalito,regNivel,2,regData,$C156,regRep3,"&lt;&gt;")&gt;0),SUMIFS(regRep3,regAnalito,selAnalito,regNivel,2,regData,$C156),NA())</f>
        <v>#N/A</v>
      </c>
      <c r="AW156" s="30" t="e">
        <f>IF(AND($D156=1,COUNTIFS(regAnalito,selAnalito,regData,$C156,regCalib,"Sim")&gt;0),$BV$1,NA())</f>
        <v>#N/A</v>
      </c>
      <c r="AX156" s="30" t="str">
        <f>IF($B156="","",IF(INDEX(engValN3,$A156)="","",INDEX(engValN3,$A156)))</f>
        <v/>
      </c>
      <c r="AY156" s="30" t="str">
        <f t="shared" si="159"/>
        <v/>
      </c>
      <c r="AZ156" s="30" t="e">
        <f t="shared" si="160"/>
        <v>#N/A</v>
      </c>
      <c r="BA156" s="30" t="e">
        <f t="shared" si="161"/>
        <v>#N/A</v>
      </c>
      <c r="BB156" s="30" t="e">
        <f t="shared" si="162"/>
        <v>#N/A</v>
      </c>
      <c r="BC156" s="30">
        <f>IF($AX156="",0,IFERROR(INDEX(engDados,MATCH(selAnalito&amp;"|"&amp;$B156,engChave,0),17),0))</f>
        <v>0</v>
      </c>
      <c r="BD156" s="30">
        <f>IF($AX156="",0,IFERROR(INDEX(engDados,MATCH(selAnalito&amp;"|"&amp;$B156,engChave,0),18),0))</f>
        <v>0</v>
      </c>
      <c r="BE156" s="30">
        <f>IF($AX156="",0,IFERROR(INDEX(engDados,MATCH(selAnalito&amp;"|"&amp;$B156,engChave,0),19),0))</f>
        <v>0</v>
      </c>
      <c r="BF156" s="30">
        <f>IF($AX156="",0,IFERROR(INDEX(engDados,MATCH(selAnalito&amp;"|"&amp;$B156,engChave,0),20),0))</f>
        <v>0</v>
      </c>
      <c r="BG156" s="30">
        <f>IF($AX156="",0,IFERROR(INDEX(engDados,MATCH(selAnalito&amp;"|"&amp;$B156,engChave,0),21),0))</f>
        <v>0</v>
      </c>
      <c r="BH156" s="30" t="str">
        <f>IF($AX156="","",IFERROR(INDEX(engDados,MATCH(selAnalito&amp;"|"&amp;$B156,engChave,0),23),""))</f>
        <v/>
      </c>
      <c r="BI156" s="30" t="e">
        <f t="shared" si="163"/>
        <v>#N/A</v>
      </c>
      <c r="BJ156" s="30" t="e">
        <f t="shared" si="164"/>
        <v>#N/A</v>
      </c>
      <c r="BK156" s="30" t="e">
        <f t="shared" si="165"/>
        <v>#N/A</v>
      </c>
      <c r="BL156" s="30" t="e">
        <f t="shared" si="166"/>
        <v>#N/A</v>
      </c>
      <c r="BM156" s="30" t="e">
        <f t="shared" si="167"/>
        <v>#N/A</v>
      </c>
      <c r="BN156" s="30" t="e">
        <f t="shared" si="168"/>
        <v>#N/A</v>
      </c>
      <c r="BO156" s="30" t="e">
        <f t="shared" si="169"/>
        <v>#N/A</v>
      </c>
      <c r="BP156" s="30" t="e">
        <f>IF(AND($D156=1,(""&amp;loteAnalise)=(""&amp;loteCarregado),COUNTIFS(regAnalito,selAnalito,regNivel,3,regData,$C156,regRep1,"&lt;&gt;")&gt;0),SUMIFS(regRep1,regAnalito,selAnalito,regNivel,3,regData,$C156),NA())</f>
        <v>#N/A</v>
      </c>
      <c r="BQ156" s="30" t="e">
        <f>IF(AND($D156=1,(""&amp;loteAnalise)=(""&amp;loteCarregado),COUNTIFS(regAnalito,selAnalito,regNivel,3,regData,$C156,regRep2,"&lt;&gt;")&gt;0),SUMIFS(regRep2,regAnalito,selAnalito,regNivel,3,regData,$C156),NA())</f>
        <v>#N/A</v>
      </c>
      <c r="BR156" s="30" t="e">
        <f>IF(AND($D156=1,(""&amp;loteAnalise)=(""&amp;loteCarregado),COUNTIFS(regAnalito,selAnalito,regNivel,3,regData,$C156,regRep3,"&lt;&gt;")&gt;0),SUMIFS(regRep3,regAnalito,selAnalito,regNivel,3,regData,$C156),NA())</f>
        <v>#N/A</v>
      </c>
      <c r="BS156" s="30" t="e">
        <f>IF(AND($D156=1,COUNTIFS(regAnalito,selAnalito,regData,$C156,regCalib,"Sim")&gt;0),$BX$1,NA())</f>
        <v>#N/A</v>
      </c>
    </row>
    <row r="157" spans="1:71" x14ac:dyDescent="0.3">
      <c r="A157" s="30">
        <v>155</v>
      </c>
      <c r="B157" s="30" t="str">
        <f>IF(OR(selAnalito="",(""&amp;engAnalito)&lt;&gt;(""&amp;selAnalito),(""&amp;engLote)&lt;&gt;(""&amp;loteAnalise),$A157&gt;N(engNRun)),"",INDEX(engRUN,$A157))</f>
        <v/>
      </c>
      <c r="C157" s="43" t="str">
        <f>IF($B157="","",IF(INDEX(engData,$A157)="","",INDEX(engData,$A157)))</f>
        <v/>
      </c>
      <c r="D157" s="30">
        <f>IF($C157="",0,IF(AND(OR(filtroDe="",INT($C157)&gt;=INT(filtroDe)),OR(filtroAte="",INT($C157)&lt;=INT(filtroAte))),1,0))</f>
        <v>0</v>
      </c>
      <c r="E157" s="30" t="e">
        <f t="shared" si="136"/>
        <v>#N/A</v>
      </c>
      <c r="F157" s="30" t="str">
        <f>IF($B157="","",IF(INDEX(engValN1,$A157)="","",INDEX(engValN1,$A157)))</f>
        <v/>
      </c>
      <c r="G157" s="30" t="str">
        <f t="shared" si="137"/>
        <v/>
      </c>
      <c r="H157" s="30" t="e">
        <f t="shared" si="138"/>
        <v>#N/A</v>
      </c>
      <c r="I157" s="30" t="e">
        <f t="shared" si="139"/>
        <v>#N/A</v>
      </c>
      <c r="J157" s="30" t="e">
        <f t="shared" si="140"/>
        <v>#N/A</v>
      </c>
      <c r="K157" s="30">
        <f>IF($F157="",0,IFERROR(INDEX(engDados,MATCH(selAnalito&amp;"|"&amp;$B157,engChave,0),3),0))</f>
        <v>0</v>
      </c>
      <c r="L157" s="30">
        <f>IF($F157="",0,IFERROR(INDEX(engDados,MATCH(selAnalito&amp;"|"&amp;$B157,engChave,0),4),0))</f>
        <v>0</v>
      </c>
      <c r="M157" s="30">
        <f>IF($F157="",0,IFERROR(INDEX(engDados,MATCH(selAnalito&amp;"|"&amp;$B157,engChave,0),5),0))</f>
        <v>0</v>
      </c>
      <c r="N157" s="30">
        <f>IF($F157="",0,IFERROR(INDEX(engDados,MATCH(selAnalito&amp;"|"&amp;$B157,engChave,0),6),0))</f>
        <v>0</v>
      </c>
      <c r="O157" s="30">
        <f>IF($F157="",0,IFERROR(INDEX(engDados,MATCH(selAnalito&amp;"|"&amp;$B157,engChave,0),7),0))</f>
        <v>0</v>
      </c>
      <c r="P157" s="30" t="str">
        <f>IF($F157="","",IFERROR(INDEX(engDados,MATCH(selAnalito&amp;"|"&amp;$B157,engChave,0),9),""))</f>
        <v/>
      </c>
      <c r="Q157" s="30" t="e">
        <f t="shared" si="141"/>
        <v>#N/A</v>
      </c>
      <c r="R157" s="30" t="e">
        <f t="shared" si="142"/>
        <v>#N/A</v>
      </c>
      <c r="S157" s="30" t="e">
        <f t="shared" si="143"/>
        <v>#N/A</v>
      </c>
      <c r="T157" s="30" t="e">
        <f t="shared" si="144"/>
        <v>#N/A</v>
      </c>
      <c r="U157" s="30" t="e">
        <f t="shared" si="145"/>
        <v>#N/A</v>
      </c>
      <c r="V157" s="30" t="e">
        <f t="shared" si="146"/>
        <v>#N/A</v>
      </c>
      <c r="W157" s="30" t="e">
        <f t="shared" si="147"/>
        <v>#N/A</v>
      </c>
      <c r="X157" s="30" t="e">
        <f>IF(AND($D157=1,(""&amp;loteAnalise)=(""&amp;loteCarregado),COUNTIFS(regAnalito,selAnalito,regNivel,1,regData,$C157,regRep1,"&lt;&gt;")&gt;0),SUMIFS(regRep1,regAnalito,selAnalito,regNivel,1,regData,$C157),NA())</f>
        <v>#N/A</v>
      </c>
      <c r="Y157" s="30" t="e">
        <f>IF(AND($D157=1,(""&amp;loteAnalise)=(""&amp;loteCarregado),COUNTIFS(regAnalito,selAnalito,regNivel,1,regData,$C157,regRep2,"&lt;&gt;")&gt;0),SUMIFS(regRep2,regAnalito,selAnalito,regNivel,1,regData,$C157),NA())</f>
        <v>#N/A</v>
      </c>
      <c r="Z157" s="30" t="e">
        <f>IF(AND($D157=1,(""&amp;loteAnalise)=(""&amp;loteCarregado),COUNTIFS(regAnalito,selAnalito,regNivel,1,regData,$C157,regRep3,"&lt;&gt;")&gt;0),SUMIFS(regRep3,regAnalito,selAnalito,regNivel,1,regData,$C157),NA())</f>
        <v>#N/A</v>
      </c>
      <c r="AA157" s="30" t="e">
        <f>IF(AND($D157=1,COUNTIFS(regAnalito,selAnalito,regData,$C157,regCalib,"Sim")&gt;0),$BT$1,NA())</f>
        <v>#N/A</v>
      </c>
      <c r="AB157" s="30" t="str">
        <f>IF($B157="","",IF(INDEX(engValN2,$A157)="","",INDEX(engValN2,$A157)))</f>
        <v/>
      </c>
      <c r="AC157" s="30" t="str">
        <f t="shared" si="148"/>
        <v/>
      </c>
      <c r="AD157" s="30" t="e">
        <f t="shared" si="149"/>
        <v>#N/A</v>
      </c>
      <c r="AE157" s="30" t="e">
        <f t="shared" si="150"/>
        <v>#N/A</v>
      </c>
      <c r="AF157" s="30" t="e">
        <f t="shared" si="151"/>
        <v>#N/A</v>
      </c>
      <c r="AG157" s="30">
        <f>IF($AB157="",0,IFERROR(INDEX(engDados,MATCH(selAnalito&amp;"|"&amp;$B157,engChave,0),10),0))</f>
        <v>0</v>
      </c>
      <c r="AH157" s="30">
        <f>IF($AB157="",0,IFERROR(INDEX(engDados,MATCH(selAnalito&amp;"|"&amp;$B157,engChave,0),11),0))</f>
        <v>0</v>
      </c>
      <c r="AI157" s="30">
        <f>IF($AB157="",0,IFERROR(INDEX(engDados,MATCH(selAnalito&amp;"|"&amp;$B157,engChave,0),12),0))</f>
        <v>0</v>
      </c>
      <c r="AJ157" s="30">
        <f>IF($AB157="",0,IFERROR(INDEX(engDados,MATCH(selAnalito&amp;"|"&amp;$B157,engChave,0),13),0))</f>
        <v>0</v>
      </c>
      <c r="AK157" s="30">
        <f>IF($AB157="",0,IFERROR(INDEX(engDados,MATCH(selAnalito&amp;"|"&amp;$B157,engChave,0),14),0))</f>
        <v>0</v>
      </c>
      <c r="AL157" s="30" t="str">
        <f>IF($AB157="","",IFERROR(INDEX(engDados,MATCH(selAnalito&amp;"|"&amp;$B157,engChave,0),16),""))</f>
        <v/>
      </c>
      <c r="AM157" s="30" t="e">
        <f t="shared" si="152"/>
        <v>#N/A</v>
      </c>
      <c r="AN157" s="30" t="e">
        <f t="shared" si="153"/>
        <v>#N/A</v>
      </c>
      <c r="AO157" s="30" t="e">
        <f t="shared" si="154"/>
        <v>#N/A</v>
      </c>
      <c r="AP157" s="30" t="e">
        <f t="shared" si="155"/>
        <v>#N/A</v>
      </c>
      <c r="AQ157" s="30" t="e">
        <f t="shared" si="156"/>
        <v>#N/A</v>
      </c>
      <c r="AR157" s="30" t="e">
        <f t="shared" si="157"/>
        <v>#N/A</v>
      </c>
      <c r="AS157" s="30" t="e">
        <f t="shared" si="158"/>
        <v>#N/A</v>
      </c>
      <c r="AT157" s="30" t="e">
        <f>IF(AND($D157=1,(""&amp;loteAnalise)=(""&amp;loteCarregado),COUNTIFS(regAnalito,selAnalito,regNivel,2,regData,$C157,regRep1,"&lt;&gt;")&gt;0),SUMIFS(regRep1,regAnalito,selAnalito,regNivel,2,regData,$C157),NA())</f>
        <v>#N/A</v>
      </c>
      <c r="AU157" s="30" t="e">
        <f>IF(AND($D157=1,(""&amp;loteAnalise)=(""&amp;loteCarregado),COUNTIFS(regAnalito,selAnalito,regNivel,2,regData,$C157,regRep2,"&lt;&gt;")&gt;0),SUMIFS(regRep2,regAnalito,selAnalito,regNivel,2,regData,$C157),NA())</f>
        <v>#N/A</v>
      </c>
      <c r="AV157" s="30" t="e">
        <f>IF(AND($D157=1,(""&amp;loteAnalise)=(""&amp;loteCarregado),COUNTIFS(regAnalito,selAnalito,regNivel,2,regData,$C157,regRep3,"&lt;&gt;")&gt;0),SUMIFS(regRep3,regAnalito,selAnalito,regNivel,2,regData,$C157),NA())</f>
        <v>#N/A</v>
      </c>
      <c r="AW157" s="30" t="e">
        <f>IF(AND($D157=1,COUNTIFS(regAnalito,selAnalito,regData,$C157,regCalib,"Sim")&gt;0),$BV$1,NA())</f>
        <v>#N/A</v>
      </c>
      <c r="AX157" s="30" t="str">
        <f>IF($B157="","",IF(INDEX(engValN3,$A157)="","",INDEX(engValN3,$A157)))</f>
        <v/>
      </c>
      <c r="AY157" s="30" t="str">
        <f t="shared" si="159"/>
        <v/>
      </c>
      <c r="AZ157" s="30" t="e">
        <f t="shared" si="160"/>
        <v>#N/A</v>
      </c>
      <c r="BA157" s="30" t="e">
        <f t="shared" si="161"/>
        <v>#N/A</v>
      </c>
      <c r="BB157" s="30" t="e">
        <f t="shared" si="162"/>
        <v>#N/A</v>
      </c>
      <c r="BC157" s="30">
        <f>IF($AX157="",0,IFERROR(INDEX(engDados,MATCH(selAnalito&amp;"|"&amp;$B157,engChave,0),17),0))</f>
        <v>0</v>
      </c>
      <c r="BD157" s="30">
        <f>IF($AX157="",0,IFERROR(INDEX(engDados,MATCH(selAnalito&amp;"|"&amp;$B157,engChave,0),18),0))</f>
        <v>0</v>
      </c>
      <c r="BE157" s="30">
        <f>IF($AX157="",0,IFERROR(INDEX(engDados,MATCH(selAnalito&amp;"|"&amp;$B157,engChave,0),19),0))</f>
        <v>0</v>
      </c>
      <c r="BF157" s="30">
        <f>IF($AX157="",0,IFERROR(INDEX(engDados,MATCH(selAnalito&amp;"|"&amp;$B157,engChave,0),20),0))</f>
        <v>0</v>
      </c>
      <c r="BG157" s="30">
        <f>IF($AX157="",0,IFERROR(INDEX(engDados,MATCH(selAnalito&amp;"|"&amp;$B157,engChave,0),21),0))</f>
        <v>0</v>
      </c>
      <c r="BH157" s="30" t="str">
        <f>IF($AX157="","",IFERROR(INDEX(engDados,MATCH(selAnalito&amp;"|"&amp;$B157,engChave,0),23),""))</f>
        <v/>
      </c>
      <c r="BI157" s="30" t="e">
        <f t="shared" si="163"/>
        <v>#N/A</v>
      </c>
      <c r="BJ157" s="30" t="e">
        <f t="shared" si="164"/>
        <v>#N/A</v>
      </c>
      <c r="BK157" s="30" t="e">
        <f t="shared" si="165"/>
        <v>#N/A</v>
      </c>
      <c r="BL157" s="30" t="e">
        <f t="shared" si="166"/>
        <v>#N/A</v>
      </c>
      <c r="BM157" s="30" t="e">
        <f t="shared" si="167"/>
        <v>#N/A</v>
      </c>
      <c r="BN157" s="30" t="e">
        <f t="shared" si="168"/>
        <v>#N/A</v>
      </c>
      <c r="BO157" s="30" t="e">
        <f t="shared" si="169"/>
        <v>#N/A</v>
      </c>
      <c r="BP157" s="30" t="e">
        <f>IF(AND($D157=1,(""&amp;loteAnalise)=(""&amp;loteCarregado),COUNTIFS(regAnalito,selAnalito,regNivel,3,regData,$C157,regRep1,"&lt;&gt;")&gt;0),SUMIFS(regRep1,regAnalito,selAnalito,regNivel,3,regData,$C157),NA())</f>
        <v>#N/A</v>
      </c>
      <c r="BQ157" s="30" t="e">
        <f>IF(AND($D157=1,(""&amp;loteAnalise)=(""&amp;loteCarregado),COUNTIFS(regAnalito,selAnalito,regNivel,3,regData,$C157,regRep2,"&lt;&gt;")&gt;0),SUMIFS(regRep2,regAnalito,selAnalito,regNivel,3,regData,$C157),NA())</f>
        <v>#N/A</v>
      </c>
      <c r="BR157" s="30" t="e">
        <f>IF(AND($D157=1,(""&amp;loteAnalise)=(""&amp;loteCarregado),COUNTIFS(regAnalito,selAnalito,regNivel,3,regData,$C157,regRep3,"&lt;&gt;")&gt;0),SUMIFS(regRep3,regAnalito,selAnalito,regNivel,3,regData,$C157),NA())</f>
        <v>#N/A</v>
      </c>
      <c r="BS157" s="30" t="e">
        <f>IF(AND($D157=1,COUNTIFS(regAnalito,selAnalito,regData,$C157,regCalib,"Sim")&gt;0),$BX$1,NA())</f>
        <v>#N/A</v>
      </c>
    </row>
    <row r="158" spans="1:71" x14ac:dyDescent="0.3">
      <c r="A158" s="30">
        <v>156</v>
      </c>
      <c r="B158" s="30" t="str">
        <f>IF(OR(selAnalito="",(""&amp;engAnalito)&lt;&gt;(""&amp;selAnalito),(""&amp;engLote)&lt;&gt;(""&amp;loteAnalise),$A158&gt;N(engNRun)),"",INDEX(engRUN,$A158))</f>
        <v/>
      </c>
      <c r="C158" s="43" t="str">
        <f>IF($B158="","",IF(INDEX(engData,$A158)="","",INDEX(engData,$A158)))</f>
        <v/>
      </c>
      <c r="D158" s="30">
        <f>IF($C158="",0,IF(AND(OR(filtroDe="",INT($C158)&gt;=INT(filtroDe)),OR(filtroAte="",INT($C158)&lt;=INT(filtroAte))),1,0))</f>
        <v>0</v>
      </c>
      <c r="E158" s="30" t="e">
        <f t="shared" si="136"/>
        <v>#N/A</v>
      </c>
      <c r="F158" s="30" t="str">
        <f>IF($B158="","",IF(INDEX(engValN1,$A158)="","",INDEX(engValN1,$A158)))</f>
        <v/>
      </c>
      <c r="G158" s="30" t="str">
        <f t="shared" si="137"/>
        <v/>
      </c>
      <c r="H158" s="30" t="e">
        <f t="shared" si="138"/>
        <v>#N/A</v>
      </c>
      <c r="I158" s="30" t="e">
        <f t="shared" si="139"/>
        <v>#N/A</v>
      </c>
      <c r="J158" s="30" t="e">
        <f t="shared" si="140"/>
        <v>#N/A</v>
      </c>
      <c r="K158" s="30">
        <f>IF($F158="",0,IFERROR(INDEX(engDados,MATCH(selAnalito&amp;"|"&amp;$B158,engChave,0),3),0))</f>
        <v>0</v>
      </c>
      <c r="L158" s="30">
        <f>IF($F158="",0,IFERROR(INDEX(engDados,MATCH(selAnalito&amp;"|"&amp;$B158,engChave,0),4),0))</f>
        <v>0</v>
      </c>
      <c r="M158" s="30">
        <f>IF($F158="",0,IFERROR(INDEX(engDados,MATCH(selAnalito&amp;"|"&amp;$B158,engChave,0),5),0))</f>
        <v>0</v>
      </c>
      <c r="N158" s="30">
        <f>IF($F158="",0,IFERROR(INDEX(engDados,MATCH(selAnalito&amp;"|"&amp;$B158,engChave,0),6),0))</f>
        <v>0</v>
      </c>
      <c r="O158" s="30">
        <f>IF($F158="",0,IFERROR(INDEX(engDados,MATCH(selAnalito&amp;"|"&amp;$B158,engChave,0),7),0))</f>
        <v>0</v>
      </c>
      <c r="P158" s="30" t="str">
        <f>IF($F158="","",IFERROR(INDEX(engDados,MATCH(selAnalito&amp;"|"&amp;$B158,engChave,0),9),""))</f>
        <v/>
      </c>
      <c r="Q158" s="30" t="e">
        <f t="shared" si="141"/>
        <v>#N/A</v>
      </c>
      <c r="R158" s="30" t="e">
        <f t="shared" si="142"/>
        <v>#N/A</v>
      </c>
      <c r="S158" s="30" t="e">
        <f t="shared" si="143"/>
        <v>#N/A</v>
      </c>
      <c r="T158" s="30" t="e">
        <f t="shared" si="144"/>
        <v>#N/A</v>
      </c>
      <c r="U158" s="30" t="e">
        <f t="shared" si="145"/>
        <v>#N/A</v>
      </c>
      <c r="V158" s="30" t="e">
        <f t="shared" si="146"/>
        <v>#N/A</v>
      </c>
      <c r="W158" s="30" t="e">
        <f t="shared" si="147"/>
        <v>#N/A</v>
      </c>
      <c r="X158" s="30" t="e">
        <f>IF(AND($D158=1,(""&amp;loteAnalise)=(""&amp;loteCarregado),COUNTIFS(regAnalito,selAnalito,regNivel,1,regData,$C158,regRep1,"&lt;&gt;")&gt;0),SUMIFS(regRep1,regAnalito,selAnalito,regNivel,1,regData,$C158),NA())</f>
        <v>#N/A</v>
      </c>
      <c r="Y158" s="30" t="e">
        <f>IF(AND($D158=1,(""&amp;loteAnalise)=(""&amp;loteCarregado),COUNTIFS(regAnalito,selAnalito,regNivel,1,regData,$C158,regRep2,"&lt;&gt;")&gt;0),SUMIFS(regRep2,regAnalito,selAnalito,regNivel,1,regData,$C158),NA())</f>
        <v>#N/A</v>
      </c>
      <c r="Z158" s="30" t="e">
        <f>IF(AND($D158=1,(""&amp;loteAnalise)=(""&amp;loteCarregado),COUNTIFS(regAnalito,selAnalito,regNivel,1,regData,$C158,regRep3,"&lt;&gt;")&gt;0),SUMIFS(regRep3,regAnalito,selAnalito,regNivel,1,regData,$C158),NA())</f>
        <v>#N/A</v>
      </c>
      <c r="AA158" s="30" t="e">
        <f>IF(AND($D158=1,COUNTIFS(regAnalito,selAnalito,regData,$C158,regCalib,"Sim")&gt;0),$BT$1,NA())</f>
        <v>#N/A</v>
      </c>
      <c r="AB158" s="30" t="str">
        <f>IF($B158="","",IF(INDEX(engValN2,$A158)="","",INDEX(engValN2,$A158)))</f>
        <v/>
      </c>
      <c r="AC158" s="30" t="str">
        <f t="shared" si="148"/>
        <v/>
      </c>
      <c r="AD158" s="30" t="e">
        <f t="shared" si="149"/>
        <v>#N/A</v>
      </c>
      <c r="AE158" s="30" t="e">
        <f t="shared" si="150"/>
        <v>#N/A</v>
      </c>
      <c r="AF158" s="30" t="e">
        <f t="shared" si="151"/>
        <v>#N/A</v>
      </c>
      <c r="AG158" s="30">
        <f>IF($AB158="",0,IFERROR(INDEX(engDados,MATCH(selAnalito&amp;"|"&amp;$B158,engChave,0),10),0))</f>
        <v>0</v>
      </c>
      <c r="AH158" s="30">
        <f>IF($AB158="",0,IFERROR(INDEX(engDados,MATCH(selAnalito&amp;"|"&amp;$B158,engChave,0),11),0))</f>
        <v>0</v>
      </c>
      <c r="AI158" s="30">
        <f>IF($AB158="",0,IFERROR(INDEX(engDados,MATCH(selAnalito&amp;"|"&amp;$B158,engChave,0),12),0))</f>
        <v>0</v>
      </c>
      <c r="AJ158" s="30">
        <f>IF($AB158="",0,IFERROR(INDEX(engDados,MATCH(selAnalito&amp;"|"&amp;$B158,engChave,0),13),0))</f>
        <v>0</v>
      </c>
      <c r="AK158" s="30">
        <f>IF($AB158="",0,IFERROR(INDEX(engDados,MATCH(selAnalito&amp;"|"&amp;$B158,engChave,0),14),0))</f>
        <v>0</v>
      </c>
      <c r="AL158" s="30" t="str">
        <f>IF($AB158="","",IFERROR(INDEX(engDados,MATCH(selAnalito&amp;"|"&amp;$B158,engChave,0),16),""))</f>
        <v/>
      </c>
      <c r="AM158" s="30" t="e">
        <f t="shared" si="152"/>
        <v>#N/A</v>
      </c>
      <c r="AN158" s="30" t="e">
        <f t="shared" si="153"/>
        <v>#N/A</v>
      </c>
      <c r="AO158" s="30" t="e">
        <f t="shared" si="154"/>
        <v>#N/A</v>
      </c>
      <c r="AP158" s="30" t="e">
        <f t="shared" si="155"/>
        <v>#N/A</v>
      </c>
      <c r="AQ158" s="30" t="e">
        <f t="shared" si="156"/>
        <v>#N/A</v>
      </c>
      <c r="AR158" s="30" t="e">
        <f t="shared" si="157"/>
        <v>#N/A</v>
      </c>
      <c r="AS158" s="30" t="e">
        <f t="shared" si="158"/>
        <v>#N/A</v>
      </c>
      <c r="AT158" s="30" t="e">
        <f>IF(AND($D158=1,(""&amp;loteAnalise)=(""&amp;loteCarregado),COUNTIFS(regAnalito,selAnalito,regNivel,2,regData,$C158,regRep1,"&lt;&gt;")&gt;0),SUMIFS(regRep1,regAnalito,selAnalito,regNivel,2,regData,$C158),NA())</f>
        <v>#N/A</v>
      </c>
      <c r="AU158" s="30" t="e">
        <f>IF(AND($D158=1,(""&amp;loteAnalise)=(""&amp;loteCarregado),COUNTIFS(regAnalito,selAnalito,regNivel,2,regData,$C158,regRep2,"&lt;&gt;")&gt;0),SUMIFS(regRep2,regAnalito,selAnalito,regNivel,2,regData,$C158),NA())</f>
        <v>#N/A</v>
      </c>
      <c r="AV158" s="30" t="e">
        <f>IF(AND($D158=1,(""&amp;loteAnalise)=(""&amp;loteCarregado),COUNTIFS(regAnalito,selAnalito,regNivel,2,regData,$C158,regRep3,"&lt;&gt;")&gt;0),SUMIFS(regRep3,regAnalito,selAnalito,regNivel,2,regData,$C158),NA())</f>
        <v>#N/A</v>
      </c>
      <c r="AW158" s="30" t="e">
        <f>IF(AND($D158=1,COUNTIFS(regAnalito,selAnalito,regData,$C158,regCalib,"Sim")&gt;0),$BV$1,NA())</f>
        <v>#N/A</v>
      </c>
      <c r="AX158" s="30" t="str">
        <f>IF($B158="","",IF(INDEX(engValN3,$A158)="","",INDEX(engValN3,$A158)))</f>
        <v/>
      </c>
      <c r="AY158" s="30" t="str">
        <f t="shared" si="159"/>
        <v/>
      </c>
      <c r="AZ158" s="30" t="e">
        <f t="shared" si="160"/>
        <v>#N/A</v>
      </c>
      <c r="BA158" s="30" t="e">
        <f t="shared" si="161"/>
        <v>#N/A</v>
      </c>
      <c r="BB158" s="30" t="e">
        <f t="shared" si="162"/>
        <v>#N/A</v>
      </c>
      <c r="BC158" s="30">
        <f>IF($AX158="",0,IFERROR(INDEX(engDados,MATCH(selAnalito&amp;"|"&amp;$B158,engChave,0),17),0))</f>
        <v>0</v>
      </c>
      <c r="BD158" s="30">
        <f>IF($AX158="",0,IFERROR(INDEX(engDados,MATCH(selAnalito&amp;"|"&amp;$B158,engChave,0),18),0))</f>
        <v>0</v>
      </c>
      <c r="BE158" s="30">
        <f>IF($AX158="",0,IFERROR(INDEX(engDados,MATCH(selAnalito&amp;"|"&amp;$B158,engChave,0),19),0))</f>
        <v>0</v>
      </c>
      <c r="BF158" s="30">
        <f>IF($AX158="",0,IFERROR(INDEX(engDados,MATCH(selAnalito&amp;"|"&amp;$B158,engChave,0),20),0))</f>
        <v>0</v>
      </c>
      <c r="BG158" s="30">
        <f>IF($AX158="",0,IFERROR(INDEX(engDados,MATCH(selAnalito&amp;"|"&amp;$B158,engChave,0),21),0))</f>
        <v>0</v>
      </c>
      <c r="BH158" s="30" t="str">
        <f>IF($AX158="","",IFERROR(INDEX(engDados,MATCH(selAnalito&amp;"|"&amp;$B158,engChave,0),23),""))</f>
        <v/>
      </c>
      <c r="BI158" s="30" t="e">
        <f t="shared" si="163"/>
        <v>#N/A</v>
      </c>
      <c r="BJ158" s="30" t="e">
        <f t="shared" si="164"/>
        <v>#N/A</v>
      </c>
      <c r="BK158" s="30" t="e">
        <f t="shared" si="165"/>
        <v>#N/A</v>
      </c>
      <c r="BL158" s="30" t="e">
        <f t="shared" si="166"/>
        <v>#N/A</v>
      </c>
      <c r="BM158" s="30" t="e">
        <f t="shared" si="167"/>
        <v>#N/A</v>
      </c>
      <c r="BN158" s="30" t="e">
        <f t="shared" si="168"/>
        <v>#N/A</v>
      </c>
      <c r="BO158" s="30" t="e">
        <f t="shared" si="169"/>
        <v>#N/A</v>
      </c>
      <c r="BP158" s="30" t="e">
        <f>IF(AND($D158=1,(""&amp;loteAnalise)=(""&amp;loteCarregado),COUNTIFS(regAnalito,selAnalito,regNivel,3,regData,$C158,regRep1,"&lt;&gt;")&gt;0),SUMIFS(regRep1,regAnalito,selAnalito,regNivel,3,regData,$C158),NA())</f>
        <v>#N/A</v>
      </c>
      <c r="BQ158" s="30" t="e">
        <f>IF(AND($D158=1,(""&amp;loteAnalise)=(""&amp;loteCarregado),COUNTIFS(regAnalito,selAnalito,regNivel,3,regData,$C158,regRep2,"&lt;&gt;")&gt;0),SUMIFS(regRep2,regAnalito,selAnalito,regNivel,3,regData,$C158),NA())</f>
        <v>#N/A</v>
      </c>
      <c r="BR158" s="30" t="e">
        <f>IF(AND($D158=1,(""&amp;loteAnalise)=(""&amp;loteCarregado),COUNTIFS(regAnalito,selAnalito,regNivel,3,regData,$C158,regRep3,"&lt;&gt;")&gt;0),SUMIFS(regRep3,regAnalito,selAnalito,regNivel,3,regData,$C158),NA())</f>
        <v>#N/A</v>
      </c>
      <c r="BS158" s="30" t="e">
        <f>IF(AND($D158=1,COUNTIFS(regAnalito,selAnalito,regData,$C158,regCalib,"Sim")&gt;0),$BX$1,NA())</f>
        <v>#N/A</v>
      </c>
    </row>
    <row r="159" spans="1:71" x14ac:dyDescent="0.3">
      <c r="A159" s="30">
        <v>157</v>
      </c>
      <c r="B159" s="30" t="str">
        <f>IF(OR(selAnalito="",(""&amp;engAnalito)&lt;&gt;(""&amp;selAnalito),(""&amp;engLote)&lt;&gt;(""&amp;loteAnalise),$A159&gt;N(engNRun)),"",INDEX(engRUN,$A159))</f>
        <v/>
      </c>
      <c r="C159" s="43" t="str">
        <f>IF($B159="","",IF(INDEX(engData,$A159)="","",INDEX(engData,$A159)))</f>
        <v/>
      </c>
      <c r="D159" s="30">
        <f>IF($C159="",0,IF(AND(OR(filtroDe="",INT($C159)&gt;=INT(filtroDe)),OR(filtroAte="",INT($C159)&lt;=INT(filtroAte))),1,0))</f>
        <v>0</v>
      </c>
      <c r="E159" s="30" t="e">
        <f t="shared" si="136"/>
        <v>#N/A</v>
      </c>
      <c r="F159" s="30" t="str">
        <f>IF($B159="","",IF(INDEX(engValN1,$A159)="","",INDEX(engValN1,$A159)))</f>
        <v/>
      </c>
      <c r="G159" s="30" t="str">
        <f t="shared" si="137"/>
        <v/>
      </c>
      <c r="H159" s="30" t="e">
        <f t="shared" si="138"/>
        <v>#N/A</v>
      </c>
      <c r="I159" s="30" t="e">
        <f t="shared" si="139"/>
        <v>#N/A</v>
      </c>
      <c r="J159" s="30" t="e">
        <f t="shared" si="140"/>
        <v>#N/A</v>
      </c>
      <c r="K159" s="30">
        <f>IF($F159="",0,IFERROR(INDEX(engDados,MATCH(selAnalito&amp;"|"&amp;$B159,engChave,0),3),0))</f>
        <v>0</v>
      </c>
      <c r="L159" s="30">
        <f>IF($F159="",0,IFERROR(INDEX(engDados,MATCH(selAnalito&amp;"|"&amp;$B159,engChave,0),4),0))</f>
        <v>0</v>
      </c>
      <c r="M159" s="30">
        <f>IF($F159="",0,IFERROR(INDEX(engDados,MATCH(selAnalito&amp;"|"&amp;$B159,engChave,0),5),0))</f>
        <v>0</v>
      </c>
      <c r="N159" s="30">
        <f>IF($F159="",0,IFERROR(INDEX(engDados,MATCH(selAnalito&amp;"|"&amp;$B159,engChave,0),6),0))</f>
        <v>0</v>
      </c>
      <c r="O159" s="30">
        <f>IF($F159="",0,IFERROR(INDEX(engDados,MATCH(selAnalito&amp;"|"&amp;$B159,engChave,0),7),0))</f>
        <v>0</v>
      </c>
      <c r="P159" s="30" t="str">
        <f>IF($F159="","",IFERROR(INDEX(engDados,MATCH(selAnalito&amp;"|"&amp;$B159,engChave,0),9),""))</f>
        <v/>
      </c>
      <c r="Q159" s="30" t="e">
        <f t="shared" si="141"/>
        <v>#N/A</v>
      </c>
      <c r="R159" s="30" t="e">
        <f t="shared" si="142"/>
        <v>#N/A</v>
      </c>
      <c r="S159" s="30" t="e">
        <f t="shared" si="143"/>
        <v>#N/A</v>
      </c>
      <c r="T159" s="30" t="e">
        <f t="shared" si="144"/>
        <v>#N/A</v>
      </c>
      <c r="U159" s="30" t="e">
        <f t="shared" si="145"/>
        <v>#N/A</v>
      </c>
      <c r="V159" s="30" t="e">
        <f t="shared" si="146"/>
        <v>#N/A</v>
      </c>
      <c r="W159" s="30" t="e">
        <f t="shared" si="147"/>
        <v>#N/A</v>
      </c>
      <c r="X159" s="30" t="e">
        <f>IF(AND($D159=1,(""&amp;loteAnalise)=(""&amp;loteCarregado),COUNTIFS(regAnalito,selAnalito,regNivel,1,regData,$C159,regRep1,"&lt;&gt;")&gt;0),SUMIFS(regRep1,regAnalito,selAnalito,regNivel,1,regData,$C159),NA())</f>
        <v>#N/A</v>
      </c>
      <c r="Y159" s="30" t="e">
        <f>IF(AND($D159=1,(""&amp;loteAnalise)=(""&amp;loteCarregado),COUNTIFS(regAnalito,selAnalito,regNivel,1,regData,$C159,regRep2,"&lt;&gt;")&gt;0),SUMIFS(regRep2,regAnalito,selAnalito,regNivel,1,regData,$C159),NA())</f>
        <v>#N/A</v>
      </c>
      <c r="Z159" s="30" t="e">
        <f>IF(AND($D159=1,(""&amp;loteAnalise)=(""&amp;loteCarregado),COUNTIFS(regAnalito,selAnalito,regNivel,1,regData,$C159,regRep3,"&lt;&gt;")&gt;0),SUMIFS(regRep3,regAnalito,selAnalito,regNivel,1,regData,$C159),NA())</f>
        <v>#N/A</v>
      </c>
      <c r="AA159" s="30" t="e">
        <f>IF(AND($D159=1,COUNTIFS(regAnalito,selAnalito,regData,$C159,regCalib,"Sim")&gt;0),$BT$1,NA())</f>
        <v>#N/A</v>
      </c>
      <c r="AB159" s="30" t="str">
        <f>IF($B159="","",IF(INDEX(engValN2,$A159)="","",INDEX(engValN2,$A159)))</f>
        <v/>
      </c>
      <c r="AC159" s="30" t="str">
        <f t="shared" si="148"/>
        <v/>
      </c>
      <c r="AD159" s="30" t="e">
        <f t="shared" si="149"/>
        <v>#N/A</v>
      </c>
      <c r="AE159" s="30" t="e">
        <f t="shared" si="150"/>
        <v>#N/A</v>
      </c>
      <c r="AF159" s="30" t="e">
        <f t="shared" si="151"/>
        <v>#N/A</v>
      </c>
      <c r="AG159" s="30">
        <f>IF($AB159="",0,IFERROR(INDEX(engDados,MATCH(selAnalito&amp;"|"&amp;$B159,engChave,0),10),0))</f>
        <v>0</v>
      </c>
      <c r="AH159" s="30">
        <f>IF($AB159="",0,IFERROR(INDEX(engDados,MATCH(selAnalito&amp;"|"&amp;$B159,engChave,0),11),0))</f>
        <v>0</v>
      </c>
      <c r="AI159" s="30">
        <f>IF($AB159="",0,IFERROR(INDEX(engDados,MATCH(selAnalito&amp;"|"&amp;$B159,engChave,0),12),0))</f>
        <v>0</v>
      </c>
      <c r="AJ159" s="30">
        <f>IF($AB159="",0,IFERROR(INDEX(engDados,MATCH(selAnalito&amp;"|"&amp;$B159,engChave,0),13),0))</f>
        <v>0</v>
      </c>
      <c r="AK159" s="30">
        <f>IF($AB159="",0,IFERROR(INDEX(engDados,MATCH(selAnalito&amp;"|"&amp;$B159,engChave,0),14),0))</f>
        <v>0</v>
      </c>
      <c r="AL159" s="30" t="str">
        <f>IF($AB159="","",IFERROR(INDEX(engDados,MATCH(selAnalito&amp;"|"&amp;$B159,engChave,0),16),""))</f>
        <v/>
      </c>
      <c r="AM159" s="30" t="e">
        <f t="shared" si="152"/>
        <v>#N/A</v>
      </c>
      <c r="AN159" s="30" t="e">
        <f t="shared" si="153"/>
        <v>#N/A</v>
      </c>
      <c r="AO159" s="30" t="e">
        <f t="shared" si="154"/>
        <v>#N/A</v>
      </c>
      <c r="AP159" s="30" t="e">
        <f t="shared" si="155"/>
        <v>#N/A</v>
      </c>
      <c r="AQ159" s="30" t="e">
        <f t="shared" si="156"/>
        <v>#N/A</v>
      </c>
      <c r="AR159" s="30" t="e">
        <f t="shared" si="157"/>
        <v>#N/A</v>
      </c>
      <c r="AS159" s="30" t="e">
        <f t="shared" si="158"/>
        <v>#N/A</v>
      </c>
      <c r="AT159" s="30" t="e">
        <f>IF(AND($D159=1,(""&amp;loteAnalise)=(""&amp;loteCarregado),COUNTIFS(regAnalito,selAnalito,regNivel,2,regData,$C159,regRep1,"&lt;&gt;")&gt;0),SUMIFS(regRep1,regAnalito,selAnalito,regNivel,2,regData,$C159),NA())</f>
        <v>#N/A</v>
      </c>
      <c r="AU159" s="30" t="e">
        <f>IF(AND($D159=1,(""&amp;loteAnalise)=(""&amp;loteCarregado),COUNTIFS(regAnalito,selAnalito,regNivel,2,regData,$C159,regRep2,"&lt;&gt;")&gt;0),SUMIFS(regRep2,regAnalito,selAnalito,regNivel,2,regData,$C159),NA())</f>
        <v>#N/A</v>
      </c>
      <c r="AV159" s="30" t="e">
        <f>IF(AND($D159=1,(""&amp;loteAnalise)=(""&amp;loteCarregado),COUNTIFS(regAnalito,selAnalito,regNivel,2,regData,$C159,regRep3,"&lt;&gt;")&gt;0),SUMIFS(regRep3,regAnalito,selAnalito,regNivel,2,regData,$C159),NA())</f>
        <v>#N/A</v>
      </c>
      <c r="AW159" s="30" t="e">
        <f>IF(AND($D159=1,COUNTIFS(regAnalito,selAnalito,regData,$C159,regCalib,"Sim")&gt;0),$BV$1,NA())</f>
        <v>#N/A</v>
      </c>
      <c r="AX159" s="30" t="str">
        <f>IF($B159="","",IF(INDEX(engValN3,$A159)="","",INDEX(engValN3,$A159)))</f>
        <v/>
      </c>
      <c r="AY159" s="30" t="str">
        <f t="shared" si="159"/>
        <v/>
      </c>
      <c r="AZ159" s="30" t="e">
        <f t="shared" si="160"/>
        <v>#N/A</v>
      </c>
      <c r="BA159" s="30" t="e">
        <f t="shared" si="161"/>
        <v>#N/A</v>
      </c>
      <c r="BB159" s="30" t="e">
        <f t="shared" si="162"/>
        <v>#N/A</v>
      </c>
      <c r="BC159" s="30">
        <f>IF($AX159="",0,IFERROR(INDEX(engDados,MATCH(selAnalito&amp;"|"&amp;$B159,engChave,0),17),0))</f>
        <v>0</v>
      </c>
      <c r="BD159" s="30">
        <f>IF($AX159="",0,IFERROR(INDEX(engDados,MATCH(selAnalito&amp;"|"&amp;$B159,engChave,0),18),0))</f>
        <v>0</v>
      </c>
      <c r="BE159" s="30">
        <f>IF($AX159="",0,IFERROR(INDEX(engDados,MATCH(selAnalito&amp;"|"&amp;$B159,engChave,0),19),0))</f>
        <v>0</v>
      </c>
      <c r="BF159" s="30">
        <f>IF($AX159="",0,IFERROR(INDEX(engDados,MATCH(selAnalito&amp;"|"&amp;$B159,engChave,0),20),0))</f>
        <v>0</v>
      </c>
      <c r="BG159" s="30">
        <f>IF($AX159="",0,IFERROR(INDEX(engDados,MATCH(selAnalito&amp;"|"&amp;$B159,engChave,0),21),0))</f>
        <v>0</v>
      </c>
      <c r="BH159" s="30" t="str">
        <f>IF($AX159="","",IFERROR(INDEX(engDados,MATCH(selAnalito&amp;"|"&amp;$B159,engChave,0),23),""))</f>
        <v/>
      </c>
      <c r="BI159" s="30" t="e">
        <f t="shared" si="163"/>
        <v>#N/A</v>
      </c>
      <c r="BJ159" s="30" t="e">
        <f t="shared" si="164"/>
        <v>#N/A</v>
      </c>
      <c r="BK159" s="30" t="e">
        <f t="shared" si="165"/>
        <v>#N/A</v>
      </c>
      <c r="BL159" s="30" t="e">
        <f t="shared" si="166"/>
        <v>#N/A</v>
      </c>
      <c r="BM159" s="30" t="e">
        <f t="shared" si="167"/>
        <v>#N/A</v>
      </c>
      <c r="BN159" s="30" t="e">
        <f t="shared" si="168"/>
        <v>#N/A</v>
      </c>
      <c r="BO159" s="30" t="e">
        <f t="shared" si="169"/>
        <v>#N/A</v>
      </c>
      <c r="BP159" s="30" t="e">
        <f>IF(AND($D159=1,(""&amp;loteAnalise)=(""&amp;loteCarregado),COUNTIFS(regAnalito,selAnalito,regNivel,3,regData,$C159,regRep1,"&lt;&gt;")&gt;0),SUMIFS(regRep1,regAnalito,selAnalito,regNivel,3,regData,$C159),NA())</f>
        <v>#N/A</v>
      </c>
      <c r="BQ159" s="30" t="e">
        <f>IF(AND($D159=1,(""&amp;loteAnalise)=(""&amp;loteCarregado),COUNTIFS(regAnalito,selAnalito,regNivel,3,regData,$C159,regRep2,"&lt;&gt;")&gt;0),SUMIFS(regRep2,regAnalito,selAnalito,regNivel,3,regData,$C159),NA())</f>
        <v>#N/A</v>
      </c>
      <c r="BR159" s="30" t="e">
        <f>IF(AND($D159=1,(""&amp;loteAnalise)=(""&amp;loteCarregado),COUNTIFS(regAnalito,selAnalito,regNivel,3,regData,$C159,regRep3,"&lt;&gt;")&gt;0),SUMIFS(regRep3,regAnalito,selAnalito,regNivel,3,regData,$C159),NA())</f>
        <v>#N/A</v>
      </c>
      <c r="BS159" s="30" t="e">
        <f>IF(AND($D159=1,COUNTIFS(regAnalito,selAnalito,regData,$C159,regCalib,"Sim")&gt;0),$BX$1,NA())</f>
        <v>#N/A</v>
      </c>
    </row>
    <row r="160" spans="1:71" x14ac:dyDescent="0.3">
      <c r="A160" s="30">
        <v>158</v>
      </c>
      <c r="B160" s="30" t="str">
        <f>IF(OR(selAnalito="",(""&amp;engAnalito)&lt;&gt;(""&amp;selAnalito),(""&amp;engLote)&lt;&gt;(""&amp;loteAnalise),$A160&gt;N(engNRun)),"",INDEX(engRUN,$A160))</f>
        <v/>
      </c>
      <c r="C160" s="43" t="str">
        <f>IF($B160="","",IF(INDEX(engData,$A160)="","",INDEX(engData,$A160)))</f>
        <v/>
      </c>
      <c r="D160" s="30">
        <f>IF($C160="",0,IF(AND(OR(filtroDe="",INT($C160)&gt;=INT(filtroDe)),OR(filtroAte="",INT($C160)&lt;=INT(filtroAte))),1,0))</f>
        <v>0</v>
      </c>
      <c r="E160" s="30" t="e">
        <f t="shared" si="136"/>
        <v>#N/A</v>
      </c>
      <c r="F160" s="30" t="str">
        <f>IF($B160="","",IF(INDEX(engValN1,$A160)="","",INDEX(engValN1,$A160)))</f>
        <v/>
      </c>
      <c r="G160" s="30" t="str">
        <f t="shared" si="137"/>
        <v/>
      </c>
      <c r="H160" s="30" t="e">
        <f t="shared" si="138"/>
        <v>#N/A</v>
      </c>
      <c r="I160" s="30" t="e">
        <f t="shared" si="139"/>
        <v>#N/A</v>
      </c>
      <c r="J160" s="30" t="e">
        <f t="shared" si="140"/>
        <v>#N/A</v>
      </c>
      <c r="K160" s="30">
        <f>IF($F160="",0,IFERROR(INDEX(engDados,MATCH(selAnalito&amp;"|"&amp;$B160,engChave,0),3),0))</f>
        <v>0</v>
      </c>
      <c r="L160" s="30">
        <f>IF($F160="",0,IFERROR(INDEX(engDados,MATCH(selAnalito&amp;"|"&amp;$B160,engChave,0),4),0))</f>
        <v>0</v>
      </c>
      <c r="M160" s="30">
        <f>IF($F160="",0,IFERROR(INDEX(engDados,MATCH(selAnalito&amp;"|"&amp;$B160,engChave,0),5),0))</f>
        <v>0</v>
      </c>
      <c r="N160" s="30">
        <f>IF($F160="",0,IFERROR(INDEX(engDados,MATCH(selAnalito&amp;"|"&amp;$B160,engChave,0),6),0))</f>
        <v>0</v>
      </c>
      <c r="O160" s="30">
        <f>IF($F160="",0,IFERROR(INDEX(engDados,MATCH(selAnalito&amp;"|"&amp;$B160,engChave,0),7),0))</f>
        <v>0</v>
      </c>
      <c r="P160" s="30" t="str">
        <f>IF($F160="","",IFERROR(INDEX(engDados,MATCH(selAnalito&amp;"|"&amp;$B160,engChave,0),9),""))</f>
        <v/>
      </c>
      <c r="Q160" s="30" t="e">
        <f t="shared" si="141"/>
        <v>#N/A</v>
      </c>
      <c r="R160" s="30" t="e">
        <f t="shared" si="142"/>
        <v>#N/A</v>
      </c>
      <c r="S160" s="30" t="e">
        <f t="shared" si="143"/>
        <v>#N/A</v>
      </c>
      <c r="T160" s="30" t="e">
        <f t="shared" si="144"/>
        <v>#N/A</v>
      </c>
      <c r="U160" s="30" t="e">
        <f t="shared" si="145"/>
        <v>#N/A</v>
      </c>
      <c r="V160" s="30" t="e">
        <f t="shared" si="146"/>
        <v>#N/A</v>
      </c>
      <c r="W160" s="30" t="e">
        <f t="shared" si="147"/>
        <v>#N/A</v>
      </c>
      <c r="X160" s="30" t="e">
        <f>IF(AND($D160=1,(""&amp;loteAnalise)=(""&amp;loteCarregado),COUNTIFS(regAnalito,selAnalito,regNivel,1,regData,$C160,regRep1,"&lt;&gt;")&gt;0),SUMIFS(regRep1,regAnalito,selAnalito,regNivel,1,regData,$C160),NA())</f>
        <v>#N/A</v>
      </c>
      <c r="Y160" s="30" t="e">
        <f>IF(AND($D160=1,(""&amp;loteAnalise)=(""&amp;loteCarregado),COUNTIFS(regAnalito,selAnalito,regNivel,1,regData,$C160,regRep2,"&lt;&gt;")&gt;0),SUMIFS(regRep2,regAnalito,selAnalito,regNivel,1,regData,$C160),NA())</f>
        <v>#N/A</v>
      </c>
      <c r="Z160" s="30" t="e">
        <f>IF(AND($D160=1,(""&amp;loteAnalise)=(""&amp;loteCarregado),COUNTIFS(regAnalito,selAnalito,regNivel,1,regData,$C160,regRep3,"&lt;&gt;")&gt;0),SUMIFS(regRep3,regAnalito,selAnalito,regNivel,1,regData,$C160),NA())</f>
        <v>#N/A</v>
      </c>
      <c r="AA160" s="30" t="e">
        <f>IF(AND($D160=1,COUNTIFS(regAnalito,selAnalito,regData,$C160,regCalib,"Sim")&gt;0),$BT$1,NA())</f>
        <v>#N/A</v>
      </c>
      <c r="AB160" s="30" t="str">
        <f>IF($B160="","",IF(INDEX(engValN2,$A160)="","",INDEX(engValN2,$A160)))</f>
        <v/>
      </c>
      <c r="AC160" s="30" t="str">
        <f t="shared" si="148"/>
        <v/>
      </c>
      <c r="AD160" s="30" t="e">
        <f t="shared" si="149"/>
        <v>#N/A</v>
      </c>
      <c r="AE160" s="30" t="e">
        <f t="shared" si="150"/>
        <v>#N/A</v>
      </c>
      <c r="AF160" s="30" t="e">
        <f t="shared" si="151"/>
        <v>#N/A</v>
      </c>
      <c r="AG160" s="30">
        <f>IF($AB160="",0,IFERROR(INDEX(engDados,MATCH(selAnalito&amp;"|"&amp;$B160,engChave,0),10),0))</f>
        <v>0</v>
      </c>
      <c r="AH160" s="30">
        <f>IF($AB160="",0,IFERROR(INDEX(engDados,MATCH(selAnalito&amp;"|"&amp;$B160,engChave,0),11),0))</f>
        <v>0</v>
      </c>
      <c r="AI160" s="30">
        <f>IF($AB160="",0,IFERROR(INDEX(engDados,MATCH(selAnalito&amp;"|"&amp;$B160,engChave,0),12),0))</f>
        <v>0</v>
      </c>
      <c r="AJ160" s="30">
        <f>IF($AB160="",0,IFERROR(INDEX(engDados,MATCH(selAnalito&amp;"|"&amp;$B160,engChave,0),13),0))</f>
        <v>0</v>
      </c>
      <c r="AK160" s="30">
        <f>IF($AB160="",0,IFERROR(INDEX(engDados,MATCH(selAnalito&amp;"|"&amp;$B160,engChave,0),14),0))</f>
        <v>0</v>
      </c>
      <c r="AL160" s="30" t="str">
        <f>IF($AB160="","",IFERROR(INDEX(engDados,MATCH(selAnalito&amp;"|"&amp;$B160,engChave,0),16),""))</f>
        <v/>
      </c>
      <c r="AM160" s="30" t="e">
        <f t="shared" si="152"/>
        <v>#N/A</v>
      </c>
      <c r="AN160" s="30" t="e">
        <f t="shared" si="153"/>
        <v>#N/A</v>
      </c>
      <c r="AO160" s="30" t="e">
        <f t="shared" si="154"/>
        <v>#N/A</v>
      </c>
      <c r="AP160" s="30" t="e">
        <f t="shared" si="155"/>
        <v>#N/A</v>
      </c>
      <c r="AQ160" s="30" t="e">
        <f t="shared" si="156"/>
        <v>#N/A</v>
      </c>
      <c r="AR160" s="30" t="e">
        <f t="shared" si="157"/>
        <v>#N/A</v>
      </c>
      <c r="AS160" s="30" t="e">
        <f t="shared" si="158"/>
        <v>#N/A</v>
      </c>
      <c r="AT160" s="30" t="e">
        <f>IF(AND($D160=1,(""&amp;loteAnalise)=(""&amp;loteCarregado),COUNTIFS(regAnalito,selAnalito,regNivel,2,regData,$C160,regRep1,"&lt;&gt;")&gt;0),SUMIFS(regRep1,regAnalito,selAnalito,regNivel,2,regData,$C160),NA())</f>
        <v>#N/A</v>
      </c>
      <c r="AU160" s="30" t="e">
        <f>IF(AND($D160=1,(""&amp;loteAnalise)=(""&amp;loteCarregado),COUNTIFS(regAnalito,selAnalito,regNivel,2,regData,$C160,regRep2,"&lt;&gt;")&gt;0),SUMIFS(regRep2,regAnalito,selAnalito,regNivel,2,regData,$C160),NA())</f>
        <v>#N/A</v>
      </c>
      <c r="AV160" s="30" t="e">
        <f>IF(AND($D160=1,(""&amp;loteAnalise)=(""&amp;loteCarregado),COUNTIFS(regAnalito,selAnalito,regNivel,2,regData,$C160,regRep3,"&lt;&gt;")&gt;0),SUMIFS(regRep3,regAnalito,selAnalito,regNivel,2,regData,$C160),NA())</f>
        <v>#N/A</v>
      </c>
      <c r="AW160" s="30" t="e">
        <f>IF(AND($D160=1,COUNTIFS(regAnalito,selAnalito,regData,$C160,regCalib,"Sim")&gt;0),$BV$1,NA())</f>
        <v>#N/A</v>
      </c>
      <c r="AX160" s="30" t="str">
        <f>IF($B160="","",IF(INDEX(engValN3,$A160)="","",INDEX(engValN3,$A160)))</f>
        <v/>
      </c>
      <c r="AY160" s="30" t="str">
        <f t="shared" si="159"/>
        <v/>
      </c>
      <c r="AZ160" s="30" t="e">
        <f t="shared" si="160"/>
        <v>#N/A</v>
      </c>
      <c r="BA160" s="30" t="e">
        <f t="shared" si="161"/>
        <v>#N/A</v>
      </c>
      <c r="BB160" s="30" t="e">
        <f t="shared" si="162"/>
        <v>#N/A</v>
      </c>
      <c r="BC160" s="30">
        <f>IF($AX160="",0,IFERROR(INDEX(engDados,MATCH(selAnalito&amp;"|"&amp;$B160,engChave,0),17),0))</f>
        <v>0</v>
      </c>
      <c r="BD160" s="30">
        <f>IF($AX160="",0,IFERROR(INDEX(engDados,MATCH(selAnalito&amp;"|"&amp;$B160,engChave,0),18),0))</f>
        <v>0</v>
      </c>
      <c r="BE160" s="30">
        <f>IF($AX160="",0,IFERROR(INDEX(engDados,MATCH(selAnalito&amp;"|"&amp;$B160,engChave,0),19),0))</f>
        <v>0</v>
      </c>
      <c r="BF160" s="30">
        <f>IF($AX160="",0,IFERROR(INDEX(engDados,MATCH(selAnalito&amp;"|"&amp;$B160,engChave,0),20),0))</f>
        <v>0</v>
      </c>
      <c r="BG160" s="30">
        <f>IF($AX160="",0,IFERROR(INDEX(engDados,MATCH(selAnalito&amp;"|"&amp;$B160,engChave,0),21),0))</f>
        <v>0</v>
      </c>
      <c r="BH160" s="30" t="str">
        <f>IF($AX160="","",IFERROR(INDEX(engDados,MATCH(selAnalito&amp;"|"&amp;$B160,engChave,0),23),""))</f>
        <v/>
      </c>
      <c r="BI160" s="30" t="e">
        <f t="shared" si="163"/>
        <v>#N/A</v>
      </c>
      <c r="BJ160" s="30" t="e">
        <f t="shared" si="164"/>
        <v>#N/A</v>
      </c>
      <c r="BK160" s="30" t="e">
        <f t="shared" si="165"/>
        <v>#N/A</v>
      </c>
      <c r="BL160" s="30" t="e">
        <f t="shared" si="166"/>
        <v>#N/A</v>
      </c>
      <c r="BM160" s="30" t="e">
        <f t="shared" si="167"/>
        <v>#N/A</v>
      </c>
      <c r="BN160" s="30" t="e">
        <f t="shared" si="168"/>
        <v>#N/A</v>
      </c>
      <c r="BO160" s="30" t="e">
        <f t="shared" si="169"/>
        <v>#N/A</v>
      </c>
      <c r="BP160" s="30" t="e">
        <f>IF(AND($D160=1,(""&amp;loteAnalise)=(""&amp;loteCarregado),COUNTIFS(regAnalito,selAnalito,regNivel,3,regData,$C160,regRep1,"&lt;&gt;")&gt;0),SUMIFS(regRep1,regAnalito,selAnalito,regNivel,3,regData,$C160),NA())</f>
        <v>#N/A</v>
      </c>
      <c r="BQ160" s="30" t="e">
        <f>IF(AND($D160=1,(""&amp;loteAnalise)=(""&amp;loteCarregado),COUNTIFS(regAnalito,selAnalito,regNivel,3,regData,$C160,regRep2,"&lt;&gt;")&gt;0),SUMIFS(regRep2,regAnalito,selAnalito,regNivel,3,regData,$C160),NA())</f>
        <v>#N/A</v>
      </c>
      <c r="BR160" s="30" t="e">
        <f>IF(AND($D160=1,(""&amp;loteAnalise)=(""&amp;loteCarregado),COUNTIFS(regAnalito,selAnalito,regNivel,3,regData,$C160,regRep3,"&lt;&gt;")&gt;0),SUMIFS(regRep3,regAnalito,selAnalito,regNivel,3,regData,$C160),NA())</f>
        <v>#N/A</v>
      </c>
      <c r="BS160" s="30" t="e">
        <f>IF(AND($D160=1,COUNTIFS(regAnalito,selAnalito,regData,$C160,regCalib,"Sim")&gt;0),$BX$1,NA())</f>
        <v>#N/A</v>
      </c>
    </row>
    <row r="161" spans="1:71" x14ac:dyDescent="0.3">
      <c r="A161" s="30">
        <v>159</v>
      </c>
      <c r="B161" s="30" t="str">
        <f>IF(OR(selAnalito="",(""&amp;engAnalito)&lt;&gt;(""&amp;selAnalito),(""&amp;engLote)&lt;&gt;(""&amp;loteAnalise),$A161&gt;N(engNRun)),"",INDEX(engRUN,$A161))</f>
        <v/>
      </c>
      <c r="C161" s="43" t="str">
        <f>IF($B161="","",IF(INDEX(engData,$A161)="","",INDEX(engData,$A161)))</f>
        <v/>
      </c>
      <c r="D161" s="30">
        <f>IF($C161="",0,IF(AND(OR(filtroDe="",INT($C161)&gt;=INT(filtroDe)),OR(filtroAte="",INT($C161)&lt;=INT(filtroAte))),1,0))</f>
        <v>0</v>
      </c>
      <c r="E161" s="30" t="e">
        <f t="shared" si="136"/>
        <v>#N/A</v>
      </c>
      <c r="F161" s="30" t="str">
        <f>IF($B161="","",IF(INDEX(engValN1,$A161)="","",INDEX(engValN1,$A161)))</f>
        <v/>
      </c>
      <c r="G161" s="30" t="str">
        <f t="shared" si="137"/>
        <v/>
      </c>
      <c r="H161" s="30" t="e">
        <f t="shared" si="138"/>
        <v>#N/A</v>
      </c>
      <c r="I161" s="30" t="e">
        <f t="shared" si="139"/>
        <v>#N/A</v>
      </c>
      <c r="J161" s="30" t="e">
        <f t="shared" si="140"/>
        <v>#N/A</v>
      </c>
      <c r="K161" s="30">
        <f>IF($F161="",0,IFERROR(INDEX(engDados,MATCH(selAnalito&amp;"|"&amp;$B161,engChave,0),3),0))</f>
        <v>0</v>
      </c>
      <c r="L161" s="30">
        <f>IF($F161="",0,IFERROR(INDEX(engDados,MATCH(selAnalito&amp;"|"&amp;$B161,engChave,0),4),0))</f>
        <v>0</v>
      </c>
      <c r="M161" s="30">
        <f>IF($F161="",0,IFERROR(INDEX(engDados,MATCH(selAnalito&amp;"|"&amp;$B161,engChave,0),5),0))</f>
        <v>0</v>
      </c>
      <c r="N161" s="30">
        <f>IF($F161="",0,IFERROR(INDEX(engDados,MATCH(selAnalito&amp;"|"&amp;$B161,engChave,0),6),0))</f>
        <v>0</v>
      </c>
      <c r="O161" s="30">
        <f>IF($F161="",0,IFERROR(INDEX(engDados,MATCH(selAnalito&amp;"|"&amp;$B161,engChave,0),7),0))</f>
        <v>0</v>
      </c>
      <c r="P161" s="30" t="str">
        <f>IF($F161="","",IFERROR(INDEX(engDados,MATCH(selAnalito&amp;"|"&amp;$B161,engChave,0),9),""))</f>
        <v/>
      </c>
      <c r="Q161" s="30" t="e">
        <f t="shared" si="141"/>
        <v>#N/A</v>
      </c>
      <c r="R161" s="30" t="e">
        <f t="shared" si="142"/>
        <v>#N/A</v>
      </c>
      <c r="S161" s="30" t="e">
        <f t="shared" si="143"/>
        <v>#N/A</v>
      </c>
      <c r="T161" s="30" t="e">
        <f t="shared" si="144"/>
        <v>#N/A</v>
      </c>
      <c r="U161" s="30" t="e">
        <f t="shared" si="145"/>
        <v>#N/A</v>
      </c>
      <c r="V161" s="30" t="e">
        <f t="shared" si="146"/>
        <v>#N/A</v>
      </c>
      <c r="W161" s="30" t="e">
        <f t="shared" si="147"/>
        <v>#N/A</v>
      </c>
      <c r="X161" s="30" t="e">
        <f>IF(AND($D161=1,(""&amp;loteAnalise)=(""&amp;loteCarregado),COUNTIFS(regAnalito,selAnalito,regNivel,1,regData,$C161,regRep1,"&lt;&gt;")&gt;0),SUMIFS(regRep1,regAnalito,selAnalito,regNivel,1,regData,$C161),NA())</f>
        <v>#N/A</v>
      </c>
      <c r="Y161" s="30" t="e">
        <f>IF(AND($D161=1,(""&amp;loteAnalise)=(""&amp;loteCarregado),COUNTIFS(regAnalito,selAnalito,regNivel,1,regData,$C161,regRep2,"&lt;&gt;")&gt;0),SUMIFS(regRep2,regAnalito,selAnalito,regNivel,1,regData,$C161),NA())</f>
        <v>#N/A</v>
      </c>
      <c r="Z161" s="30" t="e">
        <f>IF(AND($D161=1,(""&amp;loteAnalise)=(""&amp;loteCarregado),COUNTIFS(regAnalito,selAnalito,regNivel,1,regData,$C161,regRep3,"&lt;&gt;")&gt;0),SUMIFS(regRep3,regAnalito,selAnalito,regNivel,1,regData,$C161),NA())</f>
        <v>#N/A</v>
      </c>
      <c r="AA161" s="30" t="e">
        <f>IF(AND($D161=1,COUNTIFS(regAnalito,selAnalito,regData,$C161,regCalib,"Sim")&gt;0),$BT$1,NA())</f>
        <v>#N/A</v>
      </c>
      <c r="AB161" s="30" t="str">
        <f>IF($B161="","",IF(INDEX(engValN2,$A161)="","",INDEX(engValN2,$A161)))</f>
        <v/>
      </c>
      <c r="AC161" s="30" t="str">
        <f t="shared" si="148"/>
        <v/>
      </c>
      <c r="AD161" s="30" t="e">
        <f t="shared" si="149"/>
        <v>#N/A</v>
      </c>
      <c r="AE161" s="30" t="e">
        <f t="shared" si="150"/>
        <v>#N/A</v>
      </c>
      <c r="AF161" s="30" t="e">
        <f t="shared" si="151"/>
        <v>#N/A</v>
      </c>
      <c r="AG161" s="30">
        <f>IF($AB161="",0,IFERROR(INDEX(engDados,MATCH(selAnalito&amp;"|"&amp;$B161,engChave,0),10),0))</f>
        <v>0</v>
      </c>
      <c r="AH161" s="30">
        <f>IF($AB161="",0,IFERROR(INDEX(engDados,MATCH(selAnalito&amp;"|"&amp;$B161,engChave,0),11),0))</f>
        <v>0</v>
      </c>
      <c r="AI161" s="30">
        <f>IF($AB161="",0,IFERROR(INDEX(engDados,MATCH(selAnalito&amp;"|"&amp;$B161,engChave,0),12),0))</f>
        <v>0</v>
      </c>
      <c r="AJ161" s="30">
        <f>IF($AB161="",0,IFERROR(INDEX(engDados,MATCH(selAnalito&amp;"|"&amp;$B161,engChave,0),13),0))</f>
        <v>0</v>
      </c>
      <c r="AK161" s="30">
        <f>IF($AB161="",0,IFERROR(INDEX(engDados,MATCH(selAnalito&amp;"|"&amp;$B161,engChave,0),14),0))</f>
        <v>0</v>
      </c>
      <c r="AL161" s="30" t="str">
        <f>IF($AB161="","",IFERROR(INDEX(engDados,MATCH(selAnalito&amp;"|"&amp;$B161,engChave,0),16),""))</f>
        <v/>
      </c>
      <c r="AM161" s="30" t="e">
        <f t="shared" si="152"/>
        <v>#N/A</v>
      </c>
      <c r="AN161" s="30" t="e">
        <f t="shared" si="153"/>
        <v>#N/A</v>
      </c>
      <c r="AO161" s="30" t="e">
        <f t="shared" si="154"/>
        <v>#N/A</v>
      </c>
      <c r="AP161" s="30" t="e">
        <f t="shared" si="155"/>
        <v>#N/A</v>
      </c>
      <c r="AQ161" s="30" t="e">
        <f t="shared" si="156"/>
        <v>#N/A</v>
      </c>
      <c r="AR161" s="30" t="e">
        <f t="shared" si="157"/>
        <v>#N/A</v>
      </c>
      <c r="AS161" s="30" t="e">
        <f t="shared" si="158"/>
        <v>#N/A</v>
      </c>
      <c r="AT161" s="30" t="e">
        <f>IF(AND($D161=1,(""&amp;loteAnalise)=(""&amp;loteCarregado),COUNTIFS(regAnalito,selAnalito,regNivel,2,regData,$C161,regRep1,"&lt;&gt;")&gt;0),SUMIFS(regRep1,regAnalito,selAnalito,regNivel,2,regData,$C161),NA())</f>
        <v>#N/A</v>
      </c>
      <c r="AU161" s="30" t="e">
        <f>IF(AND($D161=1,(""&amp;loteAnalise)=(""&amp;loteCarregado),COUNTIFS(regAnalito,selAnalito,regNivel,2,regData,$C161,regRep2,"&lt;&gt;")&gt;0),SUMIFS(regRep2,regAnalito,selAnalito,regNivel,2,regData,$C161),NA())</f>
        <v>#N/A</v>
      </c>
      <c r="AV161" s="30" t="e">
        <f>IF(AND($D161=1,(""&amp;loteAnalise)=(""&amp;loteCarregado),COUNTIFS(regAnalito,selAnalito,regNivel,2,regData,$C161,regRep3,"&lt;&gt;")&gt;0),SUMIFS(regRep3,regAnalito,selAnalito,regNivel,2,regData,$C161),NA())</f>
        <v>#N/A</v>
      </c>
      <c r="AW161" s="30" t="e">
        <f>IF(AND($D161=1,COUNTIFS(regAnalito,selAnalito,regData,$C161,regCalib,"Sim")&gt;0),$BV$1,NA())</f>
        <v>#N/A</v>
      </c>
      <c r="AX161" s="30" t="str">
        <f>IF($B161="","",IF(INDEX(engValN3,$A161)="","",INDEX(engValN3,$A161)))</f>
        <v/>
      </c>
      <c r="AY161" s="30" t="str">
        <f t="shared" si="159"/>
        <v/>
      </c>
      <c r="AZ161" s="30" t="e">
        <f t="shared" si="160"/>
        <v>#N/A</v>
      </c>
      <c r="BA161" s="30" t="e">
        <f t="shared" si="161"/>
        <v>#N/A</v>
      </c>
      <c r="BB161" s="30" t="e">
        <f t="shared" si="162"/>
        <v>#N/A</v>
      </c>
      <c r="BC161" s="30">
        <f>IF($AX161="",0,IFERROR(INDEX(engDados,MATCH(selAnalito&amp;"|"&amp;$B161,engChave,0),17),0))</f>
        <v>0</v>
      </c>
      <c r="BD161" s="30">
        <f>IF($AX161="",0,IFERROR(INDEX(engDados,MATCH(selAnalito&amp;"|"&amp;$B161,engChave,0),18),0))</f>
        <v>0</v>
      </c>
      <c r="BE161" s="30">
        <f>IF($AX161="",0,IFERROR(INDEX(engDados,MATCH(selAnalito&amp;"|"&amp;$B161,engChave,0),19),0))</f>
        <v>0</v>
      </c>
      <c r="BF161" s="30">
        <f>IF($AX161="",0,IFERROR(INDEX(engDados,MATCH(selAnalito&amp;"|"&amp;$B161,engChave,0),20),0))</f>
        <v>0</v>
      </c>
      <c r="BG161" s="30">
        <f>IF($AX161="",0,IFERROR(INDEX(engDados,MATCH(selAnalito&amp;"|"&amp;$B161,engChave,0),21),0))</f>
        <v>0</v>
      </c>
      <c r="BH161" s="30" t="str">
        <f>IF($AX161="","",IFERROR(INDEX(engDados,MATCH(selAnalito&amp;"|"&amp;$B161,engChave,0),23),""))</f>
        <v/>
      </c>
      <c r="BI161" s="30" t="e">
        <f t="shared" si="163"/>
        <v>#N/A</v>
      </c>
      <c r="BJ161" s="30" t="e">
        <f t="shared" si="164"/>
        <v>#N/A</v>
      </c>
      <c r="BK161" s="30" t="e">
        <f t="shared" si="165"/>
        <v>#N/A</v>
      </c>
      <c r="BL161" s="30" t="e">
        <f t="shared" si="166"/>
        <v>#N/A</v>
      </c>
      <c r="BM161" s="30" t="e">
        <f t="shared" si="167"/>
        <v>#N/A</v>
      </c>
      <c r="BN161" s="30" t="e">
        <f t="shared" si="168"/>
        <v>#N/A</v>
      </c>
      <c r="BO161" s="30" t="e">
        <f t="shared" si="169"/>
        <v>#N/A</v>
      </c>
      <c r="BP161" s="30" t="e">
        <f>IF(AND($D161=1,(""&amp;loteAnalise)=(""&amp;loteCarregado),COUNTIFS(regAnalito,selAnalito,regNivel,3,regData,$C161,regRep1,"&lt;&gt;")&gt;0),SUMIFS(regRep1,regAnalito,selAnalito,regNivel,3,regData,$C161),NA())</f>
        <v>#N/A</v>
      </c>
      <c r="BQ161" s="30" t="e">
        <f>IF(AND($D161=1,(""&amp;loteAnalise)=(""&amp;loteCarregado),COUNTIFS(regAnalito,selAnalito,regNivel,3,regData,$C161,regRep2,"&lt;&gt;")&gt;0),SUMIFS(regRep2,regAnalito,selAnalito,regNivel,3,regData,$C161),NA())</f>
        <v>#N/A</v>
      </c>
      <c r="BR161" s="30" t="e">
        <f>IF(AND($D161=1,(""&amp;loteAnalise)=(""&amp;loteCarregado),COUNTIFS(regAnalito,selAnalito,regNivel,3,regData,$C161,regRep3,"&lt;&gt;")&gt;0),SUMIFS(regRep3,regAnalito,selAnalito,regNivel,3,regData,$C161),NA())</f>
        <v>#N/A</v>
      </c>
      <c r="BS161" s="30" t="e">
        <f>IF(AND($D161=1,COUNTIFS(regAnalito,selAnalito,regData,$C161,regCalib,"Sim")&gt;0),$BX$1,NA())</f>
        <v>#N/A</v>
      </c>
    </row>
    <row r="162" spans="1:71" x14ac:dyDescent="0.3">
      <c r="A162" s="30">
        <v>160</v>
      </c>
      <c r="B162" s="30" t="str">
        <f>IF(OR(selAnalito="",(""&amp;engAnalito)&lt;&gt;(""&amp;selAnalito),(""&amp;engLote)&lt;&gt;(""&amp;loteAnalise),$A162&gt;N(engNRun)),"",INDEX(engRUN,$A162))</f>
        <v/>
      </c>
      <c r="C162" s="43" t="str">
        <f>IF($B162="","",IF(INDEX(engData,$A162)="","",INDEX(engData,$A162)))</f>
        <v/>
      </c>
      <c r="D162" s="30">
        <f>IF($C162="",0,IF(AND(OR(filtroDe="",INT($C162)&gt;=INT(filtroDe)),OR(filtroAte="",INT($C162)&lt;=INT(filtroAte))),1,0))</f>
        <v>0</v>
      </c>
      <c r="E162" s="30" t="e">
        <f t="shared" si="136"/>
        <v>#N/A</v>
      </c>
      <c r="F162" s="30" t="str">
        <f>IF($B162="","",IF(INDEX(engValN1,$A162)="","",INDEX(engValN1,$A162)))</f>
        <v/>
      </c>
      <c r="G162" s="30" t="str">
        <f t="shared" si="137"/>
        <v/>
      </c>
      <c r="H162" s="30" t="e">
        <f t="shared" si="138"/>
        <v>#N/A</v>
      </c>
      <c r="I162" s="30" t="e">
        <f t="shared" si="139"/>
        <v>#N/A</v>
      </c>
      <c r="J162" s="30" t="e">
        <f t="shared" si="140"/>
        <v>#N/A</v>
      </c>
      <c r="K162" s="30">
        <f>IF($F162="",0,IFERROR(INDEX(engDados,MATCH(selAnalito&amp;"|"&amp;$B162,engChave,0),3),0))</f>
        <v>0</v>
      </c>
      <c r="L162" s="30">
        <f>IF($F162="",0,IFERROR(INDEX(engDados,MATCH(selAnalito&amp;"|"&amp;$B162,engChave,0),4),0))</f>
        <v>0</v>
      </c>
      <c r="M162" s="30">
        <f>IF($F162="",0,IFERROR(INDEX(engDados,MATCH(selAnalito&amp;"|"&amp;$B162,engChave,0),5),0))</f>
        <v>0</v>
      </c>
      <c r="N162" s="30">
        <f>IF($F162="",0,IFERROR(INDEX(engDados,MATCH(selAnalito&amp;"|"&amp;$B162,engChave,0),6),0))</f>
        <v>0</v>
      </c>
      <c r="O162" s="30">
        <f>IF($F162="",0,IFERROR(INDEX(engDados,MATCH(selAnalito&amp;"|"&amp;$B162,engChave,0),7),0))</f>
        <v>0</v>
      </c>
      <c r="P162" s="30" t="str">
        <f>IF($F162="","",IFERROR(INDEX(engDados,MATCH(selAnalito&amp;"|"&amp;$B162,engChave,0),9),""))</f>
        <v/>
      </c>
      <c r="Q162" s="30" t="e">
        <f t="shared" si="141"/>
        <v>#N/A</v>
      </c>
      <c r="R162" s="30" t="e">
        <f t="shared" si="142"/>
        <v>#N/A</v>
      </c>
      <c r="S162" s="30" t="e">
        <f t="shared" si="143"/>
        <v>#N/A</v>
      </c>
      <c r="T162" s="30" t="e">
        <f t="shared" si="144"/>
        <v>#N/A</v>
      </c>
      <c r="U162" s="30" t="e">
        <f t="shared" si="145"/>
        <v>#N/A</v>
      </c>
      <c r="V162" s="30" t="e">
        <f t="shared" si="146"/>
        <v>#N/A</v>
      </c>
      <c r="W162" s="30" t="e">
        <f t="shared" si="147"/>
        <v>#N/A</v>
      </c>
      <c r="X162" s="30" t="e">
        <f>IF(AND($D162=1,(""&amp;loteAnalise)=(""&amp;loteCarregado),COUNTIFS(regAnalito,selAnalito,regNivel,1,regData,$C162,regRep1,"&lt;&gt;")&gt;0),SUMIFS(regRep1,regAnalito,selAnalito,regNivel,1,regData,$C162),NA())</f>
        <v>#N/A</v>
      </c>
      <c r="Y162" s="30" t="e">
        <f>IF(AND($D162=1,(""&amp;loteAnalise)=(""&amp;loteCarregado),COUNTIFS(regAnalito,selAnalito,regNivel,1,regData,$C162,regRep2,"&lt;&gt;")&gt;0),SUMIFS(regRep2,regAnalito,selAnalito,regNivel,1,regData,$C162),NA())</f>
        <v>#N/A</v>
      </c>
      <c r="Z162" s="30" t="e">
        <f>IF(AND($D162=1,(""&amp;loteAnalise)=(""&amp;loteCarregado),COUNTIFS(regAnalito,selAnalito,regNivel,1,regData,$C162,regRep3,"&lt;&gt;")&gt;0),SUMIFS(regRep3,regAnalito,selAnalito,regNivel,1,regData,$C162),NA())</f>
        <v>#N/A</v>
      </c>
      <c r="AA162" s="30" t="e">
        <f>IF(AND($D162=1,COUNTIFS(regAnalito,selAnalito,regData,$C162,regCalib,"Sim")&gt;0),$BT$1,NA())</f>
        <v>#N/A</v>
      </c>
      <c r="AB162" s="30" t="str">
        <f>IF($B162="","",IF(INDEX(engValN2,$A162)="","",INDEX(engValN2,$A162)))</f>
        <v/>
      </c>
      <c r="AC162" s="30" t="str">
        <f t="shared" si="148"/>
        <v/>
      </c>
      <c r="AD162" s="30" t="e">
        <f t="shared" si="149"/>
        <v>#N/A</v>
      </c>
      <c r="AE162" s="30" t="e">
        <f t="shared" si="150"/>
        <v>#N/A</v>
      </c>
      <c r="AF162" s="30" t="e">
        <f t="shared" si="151"/>
        <v>#N/A</v>
      </c>
      <c r="AG162" s="30">
        <f>IF($AB162="",0,IFERROR(INDEX(engDados,MATCH(selAnalito&amp;"|"&amp;$B162,engChave,0),10),0))</f>
        <v>0</v>
      </c>
      <c r="AH162" s="30">
        <f>IF($AB162="",0,IFERROR(INDEX(engDados,MATCH(selAnalito&amp;"|"&amp;$B162,engChave,0),11),0))</f>
        <v>0</v>
      </c>
      <c r="AI162" s="30">
        <f>IF($AB162="",0,IFERROR(INDEX(engDados,MATCH(selAnalito&amp;"|"&amp;$B162,engChave,0),12),0))</f>
        <v>0</v>
      </c>
      <c r="AJ162" s="30">
        <f>IF($AB162="",0,IFERROR(INDEX(engDados,MATCH(selAnalito&amp;"|"&amp;$B162,engChave,0),13),0))</f>
        <v>0</v>
      </c>
      <c r="AK162" s="30">
        <f>IF($AB162="",0,IFERROR(INDEX(engDados,MATCH(selAnalito&amp;"|"&amp;$B162,engChave,0),14),0))</f>
        <v>0</v>
      </c>
      <c r="AL162" s="30" t="str">
        <f>IF($AB162="","",IFERROR(INDEX(engDados,MATCH(selAnalito&amp;"|"&amp;$B162,engChave,0),16),""))</f>
        <v/>
      </c>
      <c r="AM162" s="30" t="e">
        <f t="shared" si="152"/>
        <v>#N/A</v>
      </c>
      <c r="AN162" s="30" t="e">
        <f t="shared" si="153"/>
        <v>#N/A</v>
      </c>
      <c r="AO162" s="30" t="e">
        <f t="shared" si="154"/>
        <v>#N/A</v>
      </c>
      <c r="AP162" s="30" t="e">
        <f t="shared" si="155"/>
        <v>#N/A</v>
      </c>
      <c r="AQ162" s="30" t="e">
        <f t="shared" si="156"/>
        <v>#N/A</v>
      </c>
      <c r="AR162" s="30" t="e">
        <f t="shared" si="157"/>
        <v>#N/A</v>
      </c>
      <c r="AS162" s="30" t="e">
        <f t="shared" si="158"/>
        <v>#N/A</v>
      </c>
      <c r="AT162" s="30" t="e">
        <f>IF(AND($D162=1,(""&amp;loteAnalise)=(""&amp;loteCarregado),COUNTIFS(regAnalito,selAnalito,regNivel,2,regData,$C162,regRep1,"&lt;&gt;")&gt;0),SUMIFS(regRep1,regAnalito,selAnalito,regNivel,2,regData,$C162),NA())</f>
        <v>#N/A</v>
      </c>
      <c r="AU162" s="30" t="e">
        <f>IF(AND($D162=1,(""&amp;loteAnalise)=(""&amp;loteCarregado),COUNTIFS(regAnalito,selAnalito,regNivel,2,regData,$C162,regRep2,"&lt;&gt;")&gt;0),SUMIFS(regRep2,regAnalito,selAnalito,regNivel,2,regData,$C162),NA())</f>
        <v>#N/A</v>
      </c>
      <c r="AV162" s="30" t="e">
        <f>IF(AND($D162=1,(""&amp;loteAnalise)=(""&amp;loteCarregado),COUNTIFS(regAnalito,selAnalito,regNivel,2,regData,$C162,regRep3,"&lt;&gt;")&gt;0),SUMIFS(regRep3,regAnalito,selAnalito,regNivel,2,regData,$C162),NA())</f>
        <v>#N/A</v>
      </c>
      <c r="AW162" s="30" t="e">
        <f>IF(AND($D162=1,COUNTIFS(regAnalito,selAnalito,regData,$C162,regCalib,"Sim")&gt;0),$BV$1,NA())</f>
        <v>#N/A</v>
      </c>
      <c r="AX162" s="30" t="str">
        <f>IF($B162="","",IF(INDEX(engValN3,$A162)="","",INDEX(engValN3,$A162)))</f>
        <v/>
      </c>
      <c r="AY162" s="30" t="str">
        <f t="shared" si="159"/>
        <v/>
      </c>
      <c r="AZ162" s="30" t="e">
        <f t="shared" si="160"/>
        <v>#N/A</v>
      </c>
      <c r="BA162" s="30" t="e">
        <f t="shared" si="161"/>
        <v>#N/A</v>
      </c>
      <c r="BB162" s="30" t="e">
        <f t="shared" si="162"/>
        <v>#N/A</v>
      </c>
      <c r="BC162" s="30">
        <f>IF($AX162="",0,IFERROR(INDEX(engDados,MATCH(selAnalito&amp;"|"&amp;$B162,engChave,0),17),0))</f>
        <v>0</v>
      </c>
      <c r="BD162" s="30">
        <f>IF($AX162="",0,IFERROR(INDEX(engDados,MATCH(selAnalito&amp;"|"&amp;$B162,engChave,0),18),0))</f>
        <v>0</v>
      </c>
      <c r="BE162" s="30">
        <f>IF($AX162="",0,IFERROR(INDEX(engDados,MATCH(selAnalito&amp;"|"&amp;$B162,engChave,0),19),0))</f>
        <v>0</v>
      </c>
      <c r="BF162" s="30">
        <f>IF($AX162="",0,IFERROR(INDEX(engDados,MATCH(selAnalito&amp;"|"&amp;$B162,engChave,0),20),0))</f>
        <v>0</v>
      </c>
      <c r="BG162" s="30">
        <f>IF($AX162="",0,IFERROR(INDEX(engDados,MATCH(selAnalito&amp;"|"&amp;$B162,engChave,0),21),0))</f>
        <v>0</v>
      </c>
      <c r="BH162" s="30" t="str">
        <f>IF($AX162="","",IFERROR(INDEX(engDados,MATCH(selAnalito&amp;"|"&amp;$B162,engChave,0),23),""))</f>
        <v/>
      </c>
      <c r="BI162" s="30" t="e">
        <f t="shared" si="163"/>
        <v>#N/A</v>
      </c>
      <c r="BJ162" s="30" t="e">
        <f t="shared" si="164"/>
        <v>#N/A</v>
      </c>
      <c r="BK162" s="30" t="e">
        <f t="shared" si="165"/>
        <v>#N/A</v>
      </c>
      <c r="BL162" s="30" t="e">
        <f t="shared" si="166"/>
        <v>#N/A</v>
      </c>
      <c r="BM162" s="30" t="e">
        <f t="shared" si="167"/>
        <v>#N/A</v>
      </c>
      <c r="BN162" s="30" t="e">
        <f t="shared" si="168"/>
        <v>#N/A</v>
      </c>
      <c r="BO162" s="30" t="e">
        <f t="shared" si="169"/>
        <v>#N/A</v>
      </c>
      <c r="BP162" s="30" t="e">
        <f>IF(AND($D162=1,(""&amp;loteAnalise)=(""&amp;loteCarregado),COUNTIFS(regAnalito,selAnalito,regNivel,3,regData,$C162,regRep1,"&lt;&gt;")&gt;0),SUMIFS(regRep1,regAnalito,selAnalito,regNivel,3,regData,$C162),NA())</f>
        <v>#N/A</v>
      </c>
      <c r="BQ162" s="30" t="e">
        <f>IF(AND($D162=1,(""&amp;loteAnalise)=(""&amp;loteCarregado),COUNTIFS(regAnalito,selAnalito,regNivel,3,regData,$C162,regRep2,"&lt;&gt;")&gt;0),SUMIFS(regRep2,regAnalito,selAnalito,regNivel,3,regData,$C162),NA())</f>
        <v>#N/A</v>
      </c>
      <c r="BR162" s="30" t="e">
        <f>IF(AND($D162=1,(""&amp;loteAnalise)=(""&amp;loteCarregado),COUNTIFS(regAnalito,selAnalito,regNivel,3,regData,$C162,regRep3,"&lt;&gt;")&gt;0),SUMIFS(regRep3,regAnalito,selAnalito,regNivel,3,regData,$C162),NA())</f>
        <v>#N/A</v>
      </c>
      <c r="BS162" s="30" t="e">
        <f>IF(AND($D162=1,COUNTIFS(regAnalito,selAnalito,regData,$C162,regCalib,"Sim")&gt;0),$BX$1,NA())</f>
        <v>#N/A</v>
      </c>
    </row>
    <row r="163" spans="1:71" x14ac:dyDescent="0.3">
      <c r="A163" s="30">
        <v>161</v>
      </c>
      <c r="B163" s="30" t="str">
        <f>IF(OR(selAnalito="",(""&amp;engAnalito)&lt;&gt;(""&amp;selAnalito),(""&amp;engLote)&lt;&gt;(""&amp;loteAnalise),$A163&gt;N(engNRun)),"",INDEX(engRUN,$A163))</f>
        <v/>
      </c>
      <c r="C163" s="43" t="str">
        <f>IF($B163="","",IF(INDEX(engData,$A163)="","",INDEX(engData,$A163)))</f>
        <v/>
      </c>
      <c r="D163" s="30">
        <f>IF($C163="",0,IF(AND(OR(filtroDe="",INT($C163)&gt;=INT(filtroDe)),OR(filtroAte="",INT($C163)&lt;=INT(filtroAte))),1,0))</f>
        <v>0</v>
      </c>
      <c r="E163" s="30" t="e">
        <f t="shared" ref="E163:E182" si="170">IF(OR($B163="",$D163=0),NA(),$A163)</f>
        <v>#N/A</v>
      </c>
      <c r="F163" s="30" t="str">
        <f>IF($B163="","",IF(INDEX(engValN1,$A163)="","",INDEX(engValN1,$A163)))</f>
        <v/>
      </c>
      <c r="G163" s="30" t="str">
        <f t="shared" ref="G163:G182" si="171">IF(OR($F163="",$BU$1=""),"",($F163-$BT$1)/$BU$1)</f>
        <v/>
      </c>
      <c r="H163" s="30" t="e">
        <f t="shared" ref="H163:H182" si="172">IF(AND($F163&lt;&gt;"",$D163=1),$F163,NA())</f>
        <v>#N/A</v>
      </c>
      <c r="I163" s="30" t="e">
        <f t="shared" ref="I163:I182" si="173">IF(AND($F163&lt;&gt;"",$D163=1,$P163="OK"),$F163,NA())</f>
        <v>#N/A</v>
      </c>
      <c r="J163" s="30" t="e">
        <f t="shared" ref="J163:J182" si="174">IF(AND($F163&lt;&gt;"",$D163=1,$P163="REJEITADO"),$F163,NA())</f>
        <v>#N/A</v>
      </c>
      <c r="K163" s="30">
        <f>IF($F163="",0,IFERROR(INDEX(engDados,MATCH(selAnalito&amp;"|"&amp;$B163,engChave,0),3),0))</f>
        <v>0</v>
      </c>
      <c r="L163" s="30">
        <f>IF($F163="",0,IFERROR(INDEX(engDados,MATCH(selAnalito&amp;"|"&amp;$B163,engChave,0),4),0))</f>
        <v>0</v>
      </c>
      <c r="M163" s="30">
        <f>IF($F163="",0,IFERROR(INDEX(engDados,MATCH(selAnalito&amp;"|"&amp;$B163,engChave,0),5),0))</f>
        <v>0</v>
      </c>
      <c r="N163" s="30">
        <f>IF($F163="",0,IFERROR(INDEX(engDados,MATCH(selAnalito&amp;"|"&amp;$B163,engChave,0),6),0))</f>
        <v>0</v>
      </c>
      <c r="O163" s="30">
        <f>IF($F163="",0,IFERROR(INDEX(engDados,MATCH(selAnalito&amp;"|"&amp;$B163,engChave,0),7),0))</f>
        <v>0</v>
      </c>
      <c r="P163" s="30" t="str">
        <f>IF($F163="","",IFERROR(INDEX(engDados,MATCH(selAnalito&amp;"|"&amp;$B163,engChave,0),9),""))</f>
        <v/>
      </c>
      <c r="Q163" s="30" t="e">
        <f t="shared" ref="Q163:Q182" si="175">IF(AND($D163=1,$BT$1&lt;&gt;""),$BT$1+(-3)*$BU$1,NA())</f>
        <v>#N/A</v>
      </c>
      <c r="R163" s="30" t="e">
        <f t="shared" ref="R163:R182" si="176">IF(AND($D163=1,$BT$1&lt;&gt;""),$BT$1+(-2)*$BU$1,NA())</f>
        <v>#N/A</v>
      </c>
      <c r="S163" s="30" t="e">
        <f t="shared" ref="S163:S182" si="177">IF(AND($D163=1,$BT$1&lt;&gt;""),$BT$1+(-1)*$BU$1,NA())</f>
        <v>#N/A</v>
      </c>
      <c r="T163" s="30" t="e">
        <f t="shared" ref="T163:T182" si="178">IF(AND($D163=1,$BT$1&lt;&gt;""),$BT$1,NA())</f>
        <v>#N/A</v>
      </c>
      <c r="U163" s="30" t="e">
        <f t="shared" ref="U163:U182" si="179">IF(AND($D163=1,$BT$1&lt;&gt;""),$BT$1+(1)*$BU$1,NA())</f>
        <v>#N/A</v>
      </c>
      <c r="V163" s="30" t="e">
        <f t="shared" ref="V163:V182" si="180">IF(AND($D163=1,$BT$1&lt;&gt;""),$BT$1+(2)*$BU$1,NA())</f>
        <v>#N/A</v>
      </c>
      <c r="W163" s="30" t="e">
        <f t="shared" ref="W163:W182" si="181">IF(AND($D163=1,$BT$1&lt;&gt;""),$BT$1+(3)*$BU$1,NA())</f>
        <v>#N/A</v>
      </c>
      <c r="X163" s="30" t="e">
        <f>IF(AND($D163=1,(""&amp;loteAnalise)=(""&amp;loteCarregado),COUNTIFS(regAnalito,selAnalito,regNivel,1,regData,$C163,regRep1,"&lt;&gt;")&gt;0),SUMIFS(regRep1,regAnalito,selAnalito,regNivel,1,regData,$C163),NA())</f>
        <v>#N/A</v>
      </c>
      <c r="Y163" s="30" t="e">
        <f>IF(AND($D163=1,(""&amp;loteAnalise)=(""&amp;loteCarregado),COUNTIFS(regAnalito,selAnalito,regNivel,1,regData,$C163,regRep2,"&lt;&gt;")&gt;0),SUMIFS(regRep2,regAnalito,selAnalito,regNivel,1,regData,$C163),NA())</f>
        <v>#N/A</v>
      </c>
      <c r="Z163" s="30" t="e">
        <f>IF(AND($D163=1,(""&amp;loteAnalise)=(""&amp;loteCarregado),COUNTIFS(regAnalito,selAnalito,regNivel,1,regData,$C163,regRep3,"&lt;&gt;")&gt;0),SUMIFS(regRep3,regAnalito,selAnalito,regNivel,1,regData,$C163),NA())</f>
        <v>#N/A</v>
      </c>
      <c r="AA163" s="30" t="e">
        <f>IF(AND($D163=1,COUNTIFS(regAnalito,selAnalito,regData,$C163,regCalib,"Sim")&gt;0),$BT$1,NA())</f>
        <v>#N/A</v>
      </c>
      <c r="AB163" s="30" t="str">
        <f>IF($B163="","",IF(INDEX(engValN2,$A163)="","",INDEX(engValN2,$A163)))</f>
        <v/>
      </c>
      <c r="AC163" s="30" t="str">
        <f t="shared" ref="AC163:AC182" si="182">IF(OR($AB163="",$BW$1=""),"",($AB163-$BV$1)/$BW$1)</f>
        <v/>
      </c>
      <c r="AD163" s="30" t="e">
        <f t="shared" ref="AD163:AD182" si="183">IF(AND($AB163&lt;&gt;"",$D163=1),$AB163,NA())</f>
        <v>#N/A</v>
      </c>
      <c r="AE163" s="30" t="e">
        <f t="shared" ref="AE163:AE182" si="184">IF(AND($AB163&lt;&gt;"",$D163=1,$AL163="OK"),$AB163,NA())</f>
        <v>#N/A</v>
      </c>
      <c r="AF163" s="30" t="e">
        <f t="shared" ref="AF163:AF182" si="185">IF(AND($AB163&lt;&gt;"",$D163=1,$AL163="REJEITADO"),$AB163,NA())</f>
        <v>#N/A</v>
      </c>
      <c r="AG163" s="30">
        <f>IF($AB163="",0,IFERROR(INDEX(engDados,MATCH(selAnalito&amp;"|"&amp;$B163,engChave,0),10),0))</f>
        <v>0</v>
      </c>
      <c r="AH163" s="30">
        <f>IF($AB163="",0,IFERROR(INDEX(engDados,MATCH(selAnalito&amp;"|"&amp;$B163,engChave,0),11),0))</f>
        <v>0</v>
      </c>
      <c r="AI163" s="30">
        <f>IF($AB163="",0,IFERROR(INDEX(engDados,MATCH(selAnalito&amp;"|"&amp;$B163,engChave,0),12),0))</f>
        <v>0</v>
      </c>
      <c r="AJ163" s="30">
        <f>IF($AB163="",0,IFERROR(INDEX(engDados,MATCH(selAnalito&amp;"|"&amp;$B163,engChave,0),13),0))</f>
        <v>0</v>
      </c>
      <c r="AK163" s="30">
        <f>IF($AB163="",0,IFERROR(INDEX(engDados,MATCH(selAnalito&amp;"|"&amp;$B163,engChave,0),14),0))</f>
        <v>0</v>
      </c>
      <c r="AL163" s="30" t="str">
        <f>IF($AB163="","",IFERROR(INDEX(engDados,MATCH(selAnalito&amp;"|"&amp;$B163,engChave,0),16),""))</f>
        <v/>
      </c>
      <c r="AM163" s="30" t="e">
        <f t="shared" ref="AM163:AM182" si="186">IF(AND($D163=1,$BV$1&lt;&gt;""),$BV$1+(-3)*$BW$1,NA())</f>
        <v>#N/A</v>
      </c>
      <c r="AN163" s="30" t="e">
        <f t="shared" ref="AN163:AN182" si="187">IF(AND($D163=1,$BV$1&lt;&gt;""),$BV$1+(-2)*$BW$1,NA())</f>
        <v>#N/A</v>
      </c>
      <c r="AO163" s="30" t="e">
        <f t="shared" ref="AO163:AO182" si="188">IF(AND($D163=1,$BV$1&lt;&gt;""),$BV$1+(-1)*$BW$1,NA())</f>
        <v>#N/A</v>
      </c>
      <c r="AP163" s="30" t="e">
        <f t="shared" ref="AP163:AP182" si="189">IF(AND($D163=1,$BV$1&lt;&gt;""),$BV$1,NA())</f>
        <v>#N/A</v>
      </c>
      <c r="AQ163" s="30" t="e">
        <f t="shared" ref="AQ163:AQ182" si="190">IF(AND($D163=1,$BV$1&lt;&gt;""),$BV$1+(1)*$BW$1,NA())</f>
        <v>#N/A</v>
      </c>
      <c r="AR163" s="30" t="e">
        <f t="shared" ref="AR163:AR182" si="191">IF(AND($D163=1,$BV$1&lt;&gt;""),$BV$1+(2)*$BW$1,NA())</f>
        <v>#N/A</v>
      </c>
      <c r="AS163" s="30" t="e">
        <f t="shared" ref="AS163:AS182" si="192">IF(AND($D163=1,$BV$1&lt;&gt;""),$BV$1+(3)*$BW$1,NA())</f>
        <v>#N/A</v>
      </c>
      <c r="AT163" s="30" t="e">
        <f>IF(AND($D163=1,(""&amp;loteAnalise)=(""&amp;loteCarregado),COUNTIFS(regAnalito,selAnalito,regNivel,2,regData,$C163,regRep1,"&lt;&gt;")&gt;0),SUMIFS(regRep1,regAnalito,selAnalito,regNivel,2,regData,$C163),NA())</f>
        <v>#N/A</v>
      </c>
      <c r="AU163" s="30" t="e">
        <f>IF(AND($D163=1,(""&amp;loteAnalise)=(""&amp;loteCarregado),COUNTIFS(regAnalito,selAnalito,regNivel,2,regData,$C163,regRep2,"&lt;&gt;")&gt;0),SUMIFS(regRep2,regAnalito,selAnalito,regNivel,2,regData,$C163),NA())</f>
        <v>#N/A</v>
      </c>
      <c r="AV163" s="30" t="e">
        <f>IF(AND($D163=1,(""&amp;loteAnalise)=(""&amp;loteCarregado),COUNTIFS(regAnalito,selAnalito,regNivel,2,regData,$C163,regRep3,"&lt;&gt;")&gt;0),SUMIFS(regRep3,regAnalito,selAnalito,regNivel,2,regData,$C163),NA())</f>
        <v>#N/A</v>
      </c>
      <c r="AW163" s="30" t="e">
        <f>IF(AND($D163=1,COUNTIFS(regAnalito,selAnalito,regData,$C163,regCalib,"Sim")&gt;0),$BV$1,NA())</f>
        <v>#N/A</v>
      </c>
      <c r="AX163" s="30" t="str">
        <f>IF($B163="","",IF(INDEX(engValN3,$A163)="","",INDEX(engValN3,$A163)))</f>
        <v/>
      </c>
      <c r="AY163" s="30" t="str">
        <f t="shared" ref="AY163:AY182" si="193">IF(OR($AX163="",$BY$1=""),"",($AX163-$BX$1)/$BY$1)</f>
        <v/>
      </c>
      <c r="AZ163" s="30" t="e">
        <f t="shared" ref="AZ163:AZ182" si="194">IF(AND($AX163&lt;&gt;"",$D163=1),$AX163,NA())</f>
        <v>#N/A</v>
      </c>
      <c r="BA163" s="30" t="e">
        <f t="shared" ref="BA163:BA182" si="195">IF(AND($AX163&lt;&gt;"",$D163=1,$BH163="OK"),$AX163,NA())</f>
        <v>#N/A</v>
      </c>
      <c r="BB163" s="30" t="e">
        <f t="shared" ref="BB163:BB182" si="196">IF(AND($AX163&lt;&gt;"",$D163=1,$BH163="REJEITADO"),$AX163,NA())</f>
        <v>#N/A</v>
      </c>
      <c r="BC163" s="30">
        <f>IF($AX163="",0,IFERROR(INDEX(engDados,MATCH(selAnalito&amp;"|"&amp;$B163,engChave,0),17),0))</f>
        <v>0</v>
      </c>
      <c r="BD163" s="30">
        <f>IF($AX163="",0,IFERROR(INDEX(engDados,MATCH(selAnalito&amp;"|"&amp;$B163,engChave,0),18),0))</f>
        <v>0</v>
      </c>
      <c r="BE163" s="30">
        <f>IF($AX163="",0,IFERROR(INDEX(engDados,MATCH(selAnalito&amp;"|"&amp;$B163,engChave,0),19),0))</f>
        <v>0</v>
      </c>
      <c r="BF163" s="30">
        <f>IF($AX163="",0,IFERROR(INDEX(engDados,MATCH(selAnalito&amp;"|"&amp;$B163,engChave,0),20),0))</f>
        <v>0</v>
      </c>
      <c r="BG163" s="30">
        <f>IF($AX163="",0,IFERROR(INDEX(engDados,MATCH(selAnalito&amp;"|"&amp;$B163,engChave,0),21),0))</f>
        <v>0</v>
      </c>
      <c r="BH163" s="30" t="str">
        <f>IF($AX163="","",IFERROR(INDEX(engDados,MATCH(selAnalito&amp;"|"&amp;$B163,engChave,0),23),""))</f>
        <v/>
      </c>
      <c r="BI163" s="30" t="e">
        <f t="shared" ref="BI163:BI182" si="197">IF(AND($D163=1,$BX$1&lt;&gt;""),$BX$1+(-3)*$BY$1,NA())</f>
        <v>#N/A</v>
      </c>
      <c r="BJ163" s="30" t="e">
        <f t="shared" ref="BJ163:BJ182" si="198">IF(AND($D163=1,$BX$1&lt;&gt;""),$BX$1+(-2)*$BY$1,NA())</f>
        <v>#N/A</v>
      </c>
      <c r="BK163" s="30" t="e">
        <f t="shared" ref="BK163:BK182" si="199">IF(AND($D163=1,$BX$1&lt;&gt;""),$BX$1+(-1)*$BY$1,NA())</f>
        <v>#N/A</v>
      </c>
      <c r="BL163" s="30" t="e">
        <f t="shared" ref="BL163:BL182" si="200">IF(AND($D163=1,$BX$1&lt;&gt;""),$BX$1,NA())</f>
        <v>#N/A</v>
      </c>
      <c r="BM163" s="30" t="e">
        <f t="shared" ref="BM163:BM182" si="201">IF(AND($D163=1,$BX$1&lt;&gt;""),$BX$1+(1)*$BY$1,NA())</f>
        <v>#N/A</v>
      </c>
      <c r="BN163" s="30" t="e">
        <f t="shared" ref="BN163:BN182" si="202">IF(AND($D163=1,$BX$1&lt;&gt;""),$BX$1+(2)*$BY$1,NA())</f>
        <v>#N/A</v>
      </c>
      <c r="BO163" s="30" t="e">
        <f t="shared" ref="BO163:BO182" si="203">IF(AND($D163=1,$BX$1&lt;&gt;""),$BX$1+(3)*$BY$1,NA())</f>
        <v>#N/A</v>
      </c>
      <c r="BP163" s="30" t="e">
        <f>IF(AND($D163=1,(""&amp;loteAnalise)=(""&amp;loteCarregado),COUNTIFS(regAnalito,selAnalito,regNivel,3,regData,$C163,regRep1,"&lt;&gt;")&gt;0),SUMIFS(regRep1,regAnalito,selAnalito,regNivel,3,regData,$C163),NA())</f>
        <v>#N/A</v>
      </c>
      <c r="BQ163" s="30" t="e">
        <f>IF(AND($D163=1,(""&amp;loteAnalise)=(""&amp;loteCarregado),COUNTIFS(regAnalito,selAnalito,regNivel,3,regData,$C163,regRep2,"&lt;&gt;")&gt;0),SUMIFS(regRep2,regAnalito,selAnalito,regNivel,3,regData,$C163),NA())</f>
        <v>#N/A</v>
      </c>
      <c r="BR163" s="30" t="e">
        <f>IF(AND($D163=1,(""&amp;loteAnalise)=(""&amp;loteCarregado),COUNTIFS(regAnalito,selAnalito,regNivel,3,regData,$C163,regRep3,"&lt;&gt;")&gt;0),SUMIFS(regRep3,regAnalito,selAnalito,regNivel,3,regData,$C163),NA())</f>
        <v>#N/A</v>
      </c>
      <c r="BS163" s="30" t="e">
        <f>IF(AND($D163=1,COUNTIFS(regAnalito,selAnalito,regData,$C163,regCalib,"Sim")&gt;0),$BX$1,NA())</f>
        <v>#N/A</v>
      </c>
    </row>
    <row r="164" spans="1:71" x14ac:dyDescent="0.3">
      <c r="A164" s="30">
        <v>162</v>
      </c>
      <c r="B164" s="30" t="str">
        <f>IF(OR(selAnalito="",(""&amp;engAnalito)&lt;&gt;(""&amp;selAnalito),(""&amp;engLote)&lt;&gt;(""&amp;loteAnalise),$A164&gt;N(engNRun)),"",INDEX(engRUN,$A164))</f>
        <v/>
      </c>
      <c r="C164" s="43" t="str">
        <f>IF($B164="","",IF(INDEX(engData,$A164)="","",INDEX(engData,$A164)))</f>
        <v/>
      </c>
      <c r="D164" s="30">
        <f>IF($C164="",0,IF(AND(OR(filtroDe="",INT($C164)&gt;=INT(filtroDe)),OR(filtroAte="",INT($C164)&lt;=INT(filtroAte))),1,0))</f>
        <v>0</v>
      </c>
      <c r="E164" s="30" t="e">
        <f t="shared" si="170"/>
        <v>#N/A</v>
      </c>
      <c r="F164" s="30" t="str">
        <f>IF($B164="","",IF(INDEX(engValN1,$A164)="","",INDEX(engValN1,$A164)))</f>
        <v/>
      </c>
      <c r="G164" s="30" t="str">
        <f t="shared" si="171"/>
        <v/>
      </c>
      <c r="H164" s="30" t="e">
        <f t="shared" si="172"/>
        <v>#N/A</v>
      </c>
      <c r="I164" s="30" t="e">
        <f t="shared" si="173"/>
        <v>#N/A</v>
      </c>
      <c r="J164" s="30" t="e">
        <f t="shared" si="174"/>
        <v>#N/A</v>
      </c>
      <c r="K164" s="30">
        <f>IF($F164="",0,IFERROR(INDEX(engDados,MATCH(selAnalito&amp;"|"&amp;$B164,engChave,0),3),0))</f>
        <v>0</v>
      </c>
      <c r="L164" s="30">
        <f>IF($F164="",0,IFERROR(INDEX(engDados,MATCH(selAnalito&amp;"|"&amp;$B164,engChave,0),4),0))</f>
        <v>0</v>
      </c>
      <c r="M164" s="30">
        <f>IF($F164="",0,IFERROR(INDEX(engDados,MATCH(selAnalito&amp;"|"&amp;$B164,engChave,0),5),0))</f>
        <v>0</v>
      </c>
      <c r="N164" s="30">
        <f>IF($F164="",0,IFERROR(INDEX(engDados,MATCH(selAnalito&amp;"|"&amp;$B164,engChave,0),6),0))</f>
        <v>0</v>
      </c>
      <c r="O164" s="30">
        <f>IF($F164="",0,IFERROR(INDEX(engDados,MATCH(selAnalito&amp;"|"&amp;$B164,engChave,0),7),0))</f>
        <v>0</v>
      </c>
      <c r="P164" s="30" t="str">
        <f>IF($F164="","",IFERROR(INDEX(engDados,MATCH(selAnalito&amp;"|"&amp;$B164,engChave,0),9),""))</f>
        <v/>
      </c>
      <c r="Q164" s="30" t="e">
        <f t="shared" si="175"/>
        <v>#N/A</v>
      </c>
      <c r="R164" s="30" t="e">
        <f t="shared" si="176"/>
        <v>#N/A</v>
      </c>
      <c r="S164" s="30" t="e">
        <f t="shared" si="177"/>
        <v>#N/A</v>
      </c>
      <c r="T164" s="30" t="e">
        <f t="shared" si="178"/>
        <v>#N/A</v>
      </c>
      <c r="U164" s="30" t="e">
        <f t="shared" si="179"/>
        <v>#N/A</v>
      </c>
      <c r="V164" s="30" t="e">
        <f t="shared" si="180"/>
        <v>#N/A</v>
      </c>
      <c r="W164" s="30" t="e">
        <f t="shared" si="181"/>
        <v>#N/A</v>
      </c>
      <c r="X164" s="30" t="e">
        <f>IF(AND($D164=1,(""&amp;loteAnalise)=(""&amp;loteCarregado),COUNTIFS(regAnalito,selAnalito,regNivel,1,regData,$C164,regRep1,"&lt;&gt;")&gt;0),SUMIFS(regRep1,regAnalito,selAnalito,regNivel,1,regData,$C164),NA())</f>
        <v>#N/A</v>
      </c>
      <c r="Y164" s="30" t="e">
        <f>IF(AND($D164=1,(""&amp;loteAnalise)=(""&amp;loteCarregado),COUNTIFS(regAnalito,selAnalito,regNivel,1,regData,$C164,regRep2,"&lt;&gt;")&gt;0),SUMIFS(regRep2,regAnalito,selAnalito,regNivel,1,regData,$C164),NA())</f>
        <v>#N/A</v>
      </c>
      <c r="Z164" s="30" t="e">
        <f>IF(AND($D164=1,(""&amp;loteAnalise)=(""&amp;loteCarregado),COUNTIFS(regAnalito,selAnalito,regNivel,1,regData,$C164,regRep3,"&lt;&gt;")&gt;0),SUMIFS(regRep3,regAnalito,selAnalito,regNivel,1,regData,$C164),NA())</f>
        <v>#N/A</v>
      </c>
      <c r="AA164" s="30" t="e">
        <f>IF(AND($D164=1,COUNTIFS(regAnalito,selAnalito,regData,$C164,regCalib,"Sim")&gt;0),$BT$1,NA())</f>
        <v>#N/A</v>
      </c>
      <c r="AB164" s="30" t="str">
        <f>IF($B164="","",IF(INDEX(engValN2,$A164)="","",INDEX(engValN2,$A164)))</f>
        <v/>
      </c>
      <c r="AC164" s="30" t="str">
        <f t="shared" si="182"/>
        <v/>
      </c>
      <c r="AD164" s="30" t="e">
        <f t="shared" si="183"/>
        <v>#N/A</v>
      </c>
      <c r="AE164" s="30" t="e">
        <f t="shared" si="184"/>
        <v>#N/A</v>
      </c>
      <c r="AF164" s="30" t="e">
        <f t="shared" si="185"/>
        <v>#N/A</v>
      </c>
      <c r="AG164" s="30">
        <f>IF($AB164="",0,IFERROR(INDEX(engDados,MATCH(selAnalito&amp;"|"&amp;$B164,engChave,0),10),0))</f>
        <v>0</v>
      </c>
      <c r="AH164" s="30">
        <f>IF($AB164="",0,IFERROR(INDEX(engDados,MATCH(selAnalito&amp;"|"&amp;$B164,engChave,0),11),0))</f>
        <v>0</v>
      </c>
      <c r="AI164" s="30">
        <f>IF($AB164="",0,IFERROR(INDEX(engDados,MATCH(selAnalito&amp;"|"&amp;$B164,engChave,0),12),0))</f>
        <v>0</v>
      </c>
      <c r="AJ164" s="30">
        <f>IF($AB164="",0,IFERROR(INDEX(engDados,MATCH(selAnalito&amp;"|"&amp;$B164,engChave,0),13),0))</f>
        <v>0</v>
      </c>
      <c r="AK164" s="30">
        <f>IF($AB164="",0,IFERROR(INDEX(engDados,MATCH(selAnalito&amp;"|"&amp;$B164,engChave,0),14),0))</f>
        <v>0</v>
      </c>
      <c r="AL164" s="30" t="str">
        <f>IF($AB164="","",IFERROR(INDEX(engDados,MATCH(selAnalito&amp;"|"&amp;$B164,engChave,0),16),""))</f>
        <v/>
      </c>
      <c r="AM164" s="30" t="e">
        <f t="shared" si="186"/>
        <v>#N/A</v>
      </c>
      <c r="AN164" s="30" t="e">
        <f t="shared" si="187"/>
        <v>#N/A</v>
      </c>
      <c r="AO164" s="30" t="e">
        <f t="shared" si="188"/>
        <v>#N/A</v>
      </c>
      <c r="AP164" s="30" t="e">
        <f t="shared" si="189"/>
        <v>#N/A</v>
      </c>
      <c r="AQ164" s="30" t="e">
        <f t="shared" si="190"/>
        <v>#N/A</v>
      </c>
      <c r="AR164" s="30" t="e">
        <f t="shared" si="191"/>
        <v>#N/A</v>
      </c>
      <c r="AS164" s="30" t="e">
        <f t="shared" si="192"/>
        <v>#N/A</v>
      </c>
      <c r="AT164" s="30" t="e">
        <f>IF(AND($D164=1,(""&amp;loteAnalise)=(""&amp;loteCarregado),COUNTIFS(regAnalito,selAnalito,regNivel,2,regData,$C164,regRep1,"&lt;&gt;")&gt;0),SUMIFS(regRep1,regAnalito,selAnalito,regNivel,2,regData,$C164),NA())</f>
        <v>#N/A</v>
      </c>
      <c r="AU164" s="30" t="e">
        <f>IF(AND($D164=1,(""&amp;loteAnalise)=(""&amp;loteCarregado),COUNTIFS(regAnalito,selAnalito,regNivel,2,regData,$C164,regRep2,"&lt;&gt;")&gt;0),SUMIFS(regRep2,regAnalito,selAnalito,regNivel,2,regData,$C164),NA())</f>
        <v>#N/A</v>
      </c>
      <c r="AV164" s="30" t="e">
        <f>IF(AND($D164=1,(""&amp;loteAnalise)=(""&amp;loteCarregado),COUNTIFS(regAnalito,selAnalito,regNivel,2,regData,$C164,regRep3,"&lt;&gt;")&gt;0),SUMIFS(regRep3,regAnalito,selAnalito,regNivel,2,regData,$C164),NA())</f>
        <v>#N/A</v>
      </c>
      <c r="AW164" s="30" t="e">
        <f>IF(AND($D164=1,COUNTIFS(regAnalito,selAnalito,regData,$C164,regCalib,"Sim")&gt;0),$BV$1,NA())</f>
        <v>#N/A</v>
      </c>
      <c r="AX164" s="30" t="str">
        <f>IF($B164="","",IF(INDEX(engValN3,$A164)="","",INDEX(engValN3,$A164)))</f>
        <v/>
      </c>
      <c r="AY164" s="30" t="str">
        <f t="shared" si="193"/>
        <v/>
      </c>
      <c r="AZ164" s="30" t="e">
        <f t="shared" si="194"/>
        <v>#N/A</v>
      </c>
      <c r="BA164" s="30" t="e">
        <f t="shared" si="195"/>
        <v>#N/A</v>
      </c>
      <c r="BB164" s="30" t="e">
        <f t="shared" si="196"/>
        <v>#N/A</v>
      </c>
      <c r="BC164" s="30">
        <f>IF($AX164="",0,IFERROR(INDEX(engDados,MATCH(selAnalito&amp;"|"&amp;$B164,engChave,0),17),0))</f>
        <v>0</v>
      </c>
      <c r="BD164" s="30">
        <f>IF($AX164="",0,IFERROR(INDEX(engDados,MATCH(selAnalito&amp;"|"&amp;$B164,engChave,0),18),0))</f>
        <v>0</v>
      </c>
      <c r="BE164" s="30">
        <f>IF($AX164="",0,IFERROR(INDEX(engDados,MATCH(selAnalito&amp;"|"&amp;$B164,engChave,0),19),0))</f>
        <v>0</v>
      </c>
      <c r="BF164" s="30">
        <f>IF($AX164="",0,IFERROR(INDEX(engDados,MATCH(selAnalito&amp;"|"&amp;$B164,engChave,0),20),0))</f>
        <v>0</v>
      </c>
      <c r="BG164" s="30">
        <f>IF($AX164="",0,IFERROR(INDEX(engDados,MATCH(selAnalito&amp;"|"&amp;$B164,engChave,0),21),0))</f>
        <v>0</v>
      </c>
      <c r="BH164" s="30" t="str">
        <f>IF($AX164="","",IFERROR(INDEX(engDados,MATCH(selAnalito&amp;"|"&amp;$B164,engChave,0),23),""))</f>
        <v/>
      </c>
      <c r="BI164" s="30" t="e">
        <f t="shared" si="197"/>
        <v>#N/A</v>
      </c>
      <c r="BJ164" s="30" t="e">
        <f t="shared" si="198"/>
        <v>#N/A</v>
      </c>
      <c r="BK164" s="30" t="e">
        <f t="shared" si="199"/>
        <v>#N/A</v>
      </c>
      <c r="BL164" s="30" t="e">
        <f t="shared" si="200"/>
        <v>#N/A</v>
      </c>
      <c r="BM164" s="30" t="e">
        <f t="shared" si="201"/>
        <v>#N/A</v>
      </c>
      <c r="BN164" s="30" t="e">
        <f t="shared" si="202"/>
        <v>#N/A</v>
      </c>
      <c r="BO164" s="30" t="e">
        <f t="shared" si="203"/>
        <v>#N/A</v>
      </c>
      <c r="BP164" s="30" t="e">
        <f>IF(AND($D164=1,(""&amp;loteAnalise)=(""&amp;loteCarregado),COUNTIFS(regAnalito,selAnalito,regNivel,3,regData,$C164,regRep1,"&lt;&gt;")&gt;0),SUMIFS(regRep1,regAnalito,selAnalito,regNivel,3,regData,$C164),NA())</f>
        <v>#N/A</v>
      </c>
      <c r="BQ164" s="30" t="e">
        <f>IF(AND($D164=1,(""&amp;loteAnalise)=(""&amp;loteCarregado),COUNTIFS(regAnalito,selAnalito,regNivel,3,regData,$C164,regRep2,"&lt;&gt;")&gt;0),SUMIFS(regRep2,regAnalito,selAnalito,regNivel,3,regData,$C164),NA())</f>
        <v>#N/A</v>
      </c>
      <c r="BR164" s="30" t="e">
        <f>IF(AND($D164=1,(""&amp;loteAnalise)=(""&amp;loteCarregado),COUNTIFS(regAnalito,selAnalito,regNivel,3,regData,$C164,regRep3,"&lt;&gt;")&gt;0),SUMIFS(regRep3,regAnalito,selAnalito,regNivel,3,regData,$C164),NA())</f>
        <v>#N/A</v>
      </c>
      <c r="BS164" s="30" t="e">
        <f>IF(AND($D164=1,COUNTIFS(regAnalito,selAnalito,regData,$C164,regCalib,"Sim")&gt;0),$BX$1,NA())</f>
        <v>#N/A</v>
      </c>
    </row>
    <row r="165" spans="1:71" x14ac:dyDescent="0.3">
      <c r="A165" s="30">
        <v>163</v>
      </c>
      <c r="B165" s="30" t="str">
        <f>IF(OR(selAnalito="",(""&amp;engAnalito)&lt;&gt;(""&amp;selAnalito),(""&amp;engLote)&lt;&gt;(""&amp;loteAnalise),$A165&gt;N(engNRun)),"",INDEX(engRUN,$A165))</f>
        <v/>
      </c>
      <c r="C165" s="43" t="str">
        <f>IF($B165="","",IF(INDEX(engData,$A165)="","",INDEX(engData,$A165)))</f>
        <v/>
      </c>
      <c r="D165" s="30">
        <f>IF($C165="",0,IF(AND(OR(filtroDe="",INT($C165)&gt;=INT(filtroDe)),OR(filtroAte="",INT($C165)&lt;=INT(filtroAte))),1,0))</f>
        <v>0</v>
      </c>
      <c r="E165" s="30" t="e">
        <f t="shared" si="170"/>
        <v>#N/A</v>
      </c>
      <c r="F165" s="30" t="str">
        <f>IF($B165="","",IF(INDEX(engValN1,$A165)="","",INDEX(engValN1,$A165)))</f>
        <v/>
      </c>
      <c r="G165" s="30" t="str">
        <f t="shared" si="171"/>
        <v/>
      </c>
      <c r="H165" s="30" t="e">
        <f t="shared" si="172"/>
        <v>#N/A</v>
      </c>
      <c r="I165" s="30" t="e">
        <f t="shared" si="173"/>
        <v>#N/A</v>
      </c>
      <c r="J165" s="30" t="e">
        <f t="shared" si="174"/>
        <v>#N/A</v>
      </c>
      <c r="K165" s="30">
        <f>IF($F165="",0,IFERROR(INDEX(engDados,MATCH(selAnalito&amp;"|"&amp;$B165,engChave,0),3),0))</f>
        <v>0</v>
      </c>
      <c r="L165" s="30">
        <f>IF($F165="",0,IFERROR(INDEX(engDados,MATCH(selAnalito&amp;"|"&amp;$B165,engChave,0),4),0))</f>
        <v>0</v>
      </c>
      <c r="M165" s="30">
        <f>IF($F165="",0,IFERROR(INDEX(engDados,MATCH(selAnalito&amp;"|"&amp;$B165,engChave,0),5),0))</f>
        <v>0</v>
      </c>
      <c r="N165" s="30">
        <f>IF($F165="",0,IFERROR(INDEX(engDados,MATCH(selAnalito&amp;"|"&amp;$B165,engChave,0),6),0))</f>
        <v>0</v>
      </c>
      <c r="O165" s="30">
        <f>IF($F165="",0,IFERROR(INDEX(engDados,MATCH(selAnalito&amp;"|"&amp;$B165,engChave,0),7),0))</f>
        <v>0</v>
      </c>
      <c r="P165" s="30" t="str">
        <f>IF($F165="","",IFERROR(INDEX(engDados,MATCH(selAnalito&amp;"|"&amp;$B165,engChave,0),9),""))</f>
        <v/>
      </c>
      <c r="Q165" s="30" t="e">
        <f t="shared" si="175"/>
        <v>#N/A</v>
      </c>
      <c r="R165" s="30" t="e">
        <f t="shared" si="176"/>
        <v>#N/A</v>
      </c>
      <c r="S165" s="30" t="e">
        <f t="shared" si="177"/>
        <v>#N/A</v>
      </c>
      <c r="T165" s="30" t="e">
        <f t="shared" si="178"/>
        <v>#N/A</v>
      </c>
      <c r="U165" s="30" t="e">
        <f t="shared" si="179"/>
        <v>#N/A</v>
      </c>
      <c r="V165" s="30" t="e">
        <f t="shared" si="180"/>
        <v>#N/A</v>
      </c>
      <c r="W165" s="30" t="e">
        <f t="shared" si="181"/>
        <v>#N/A</v>
      </c>
      <c r="X165" s="30" t="e">
        <f>IF(AND($D165=1,(""&amp;loteAnalise)=(""&amp;loteCarregado),COUNTIFS(regAnalito,selAnalito,regNivel,1,regData,$C165,regRep1,"&lt;&gt;")&gt;0),SUMIFS(regRep1,regAnalito,selAnalito,regNivel,1,regData,$C165),NA())</f>
        <v>#N/A</v>
      </c>
      <c r="Y165" s="30" t="e">
        <f>IF(AND($D165=1,(""&amp;loteAnalise)=(""&amp;loteCarregado),COUNTIFS(regAnalito,selAnalito,regNivel,1,regData,$C165,regRep2,"&lt;&gt;")&gt;0),SUMIFS(regRep2,regAnalito,selAnalito,regNivel,1,regData,$C165),NA())</f>
        <v>#N/A</v>
      </c>
      <c r="Z165" s="30" t="e">
        <f>IF(AND($D165=1,(""&amp;loteAnalise)=(""&amp;loteCarregado),COUNTIFS(regAnalito,selAnalito,regNivel,1,regData,$C165,regRep3,"&lt;&gt;")&gt;0),SUMIFS(regRep3,regAnalito,selAnalito,regNivel,1,regData,$C165),NA())</f>
        <v>#N/A</v>
      </c>
      <c r="AA165" s="30" t="e">
        <f>IF(AND($D165=1,COUNTIFS(regAnalito,selAnalito,regData,$C165,regCalib,"Sim")&gt;0),$BT$1,NA())</f>
        <v>#N/A</v>
      </c>
      <c r="AB165" s="30" t="str">
        <f>IF($B165="","",IF(INDEX(engValN2,$A165)="","",INDEX(engValN2,$A165)))</f>
        <v/>
      </c>
      <c r="AC165" s="30" t="str">
        <f t="shared" si="182"/>
        <v/>
      </c>
      <c r="AD165" s="30" t="e">
        <f t="shared" si="183"/>
        <v>#N/A</v>
      </c>
      <c r="AE165" s="30" t="e">
        <f t="shared" si="184"/>
        <v>#N/A</v>
      </c>
      <c r="AF165" s="30" t="e">
        <f t="shared" si="185"/>
        <v>#N/A</v>
      </c>
      <c r="AG165" s="30">
        <f>IF($AB165="",0,IFERROR(INDEX(engDados,MATCH(selAnalito&amp;"|"&amp;$B165,engChave,0),10),0))</f>
        <v>0</v>
      </c>
      <c r="AH165" s="30">
        <f>IF($AB165="",0,IFERROR(INDEX(engDados,MATCH(selAnalito&amp;"|"&amp;$B165,engChave,0),11),0))</f>
        <v>0</v>
      </c>
      <c r="AI165" s="30">
        <f>IF($AB165="",0,IFERROR(INDEX(engDados,MATCH(selAnalito&amp;"|"&amp;$B165,engChave,0),12),0))</f>
        <v>0</v>
      </c>
      <c r="AJ165" s="30">
        <f>IF($AB165="",0,IFERROR(INDEX(engDados,MATCH(selAnalito&amp;"|"&amp;$B165,engChave,0),13),0))</f>
        <v>0</v>
      </c>
      <c r="AK165" s="30">
        <f>IF($AB165="",0,IFERROR(INDEX(engDados,MATCH(selAnalito&amp;"|"&amp;$B165,engChave,0),14),0))</f>
        <v>0</v>
      </c>
      <c r="AL165" s="30" t="str">
        <f>IF($AB165="","",IFERROR(INDEX(engDados,MATCH(selAnalito&amp;"|"&amp;$B165,engChave,0),16),""))</f>
        <v/>
      </c>
      <c r="AM165" s="30" t="e">
        <f t="shared" si="186"/>
        <v>#N/A</v>
      </c>
      <c r="AN165" s="30" t="e">
        <f t="shared" si="187"/>
        <v>#N/A</v>
      </c>
      <c r="AO165" s="30" t="e">
        <f t="shared" si="188"/>
        <v>#N/A</v>
      </c>
      <c r="AP165" s="30" t="e">
        <f t="shared" si="189"/>
        <v>#N/A</v>
      </c>
      <c r="AQ165" s="30" t="e">
        <f t="shared" si="190"/>
        <v>#N/A</v>
      </c>
      <c r="AR165" s="30" t="e">
        <f t="shared" si="191"/>
        <v>#N/A</v>
      </c>
      <c r="AS165" s="30" t="e">
        <f t="shared" si="192"/>
        <v>#N/A</v>
      </c>
      <c r="AT165" s="30" t="e">
        <f>IF(AND($D165=1,(""&amp;loteAnalise)=(""&amp;loteCarregado),COUNTIFS(regAnalito,selAnalito,regNivel,2,regData,$C165,regRep1,"&lt;&gt;")&gt;0),SUMIFS(regRep1,regAnalito,selAnalito,regNivel,2,regData,$C165),NA())</f>
        <v>#N/A</v>
      </c>
      <c r="AU165" s="30" t="e">
        <f>IF(AND($D165=1,(""&amp;loteAnalise)=(""&amp;loteCarregado),COUNTIFS(regAnalito,selAnalito,regNivel,2,regData,$C165,regRep2,"&lt;&gt;")&gt;0),SUMIFS(regRep2,regAnalito,selAnalito,regNivel,2,regData,$C165),NA())</f>
        <v>#N/A</v>
      </c>
      <c r="AV165" s="30" t="e">
        <f>IF(AND($D165=1,(""&amp;loteAnalise)=(""&amp;loteCarregado),COUNTIFS(regAnalito,selAnalito,regNivel,2,regData,$C165,regRep3,"&lt;&gt;")&gt;0),SUMIFS(regRep3,regAnalito,selAnalito,regNivel,2,regData,$C165),NA())</f>
        <v>#N/A</v>
      </c>
      <c r="AW165" s="30" t="e">
        <f>IF(AND($D165=1,COUNTIFS(regAnalito,selAnalito,regData,$C165,regCalib,"Sim")&gt;0),$BV$1,NA())</f>
        <v>#N/A</v>
      </c>
      <c r="AX165" s="30" t="str">
        <f>IF($B165="","",IF(INDEX(engValN3,$A165)="","",INDEX(engValN3,$A165)))</f>
        <v/>
      </c>
      <c r="AY165" s="30" t="str">
        <f t="shared" si="193"/>
        <v/>
      </c>
      <c r="AZ165" s="30" t="e">
        <f t="shared" si="194"/>
        <v>#N/A</v>
      </c>
      <c r="BA165" s="30" t="e">
        <f t="shared" si="195"/>
        <v>#N/A</v>
      </c>
      <c r="BB165" s="30" t="e">
        <f t="shared" si="196"/>
        <v>#N/A</v>
      </c>
      <c r="BC165" s="30">
        <f>IF($AX165="",0,IFERROR(INDEX(engDados,MATCH(selAnalito&amp;"|"&amp;$B165,engChave,0),17),0))</f>
        <v>0</v>
      </c>
      <c r="BD165" s="30">
        <f>IF($AX165="",0,IFERROR(INDEX(engDados,MATCH(selAnalito&amp;"|"&amp;$B165,engChave,0),18),0))</f>
        <v>0</v>
      </c>
      <c r="BE165" s="30">
        <f>IF($AX165="",0,IFERROR(INDEX(engDados,MATCH(selAnalito&amp;"|"&amp;$B165,engChave,0),19),0))</f>
        <v>0</v>
      </c>
      <c r="BF165" s="30">
        <f>IF($AX165="",0,IFERROR(INDEX(engDados,MATCH(selAnalito&amp;"|"&amp;$B165,engChave,0),20),0))</f>
        <v>0</v>
      </c>
      <c r="BG165" s="30">
        <f>IF($AX165="",0,IFERROR(INDEX(engDados,MATCH(selAnalito&amp;"|"&amp;$B165,engChave,0),21),0))</f>
        <v>0</v>
      </c>
      <c r="BH165" s="30" t="str">
        <f>IF($AX165="","",IFERROR(INDEX(engDados,MATCH(selAnalito&amp;"|"&amp;$B165,engChave,0),23),""))</f>
        <v/>
      </c>
      <c r="BI165" s="30" t="e">
        <f t="shared" si="197"/>
        <v>#N/A</v>
      </c>
      <c r="BJ165" s="30" t="e">
        <f t="shared" si="198"/>
        <v>#N/A</v>
      </c>
      <c r="BK165" s="30" t="e">
        <f t="shared" si="199"/>
        <v>#N/A</v>
      </c>
      <c r="BL165" s="30" t="e">
        <f t="shared" si="200"/>
        <v>#N/A</v>
      </c>
      <c r="BM165" s="30" t="e">
        <f t="shared" si="201"/>
        <v>#N/A</v>
      </c>
      <c r="BN165" s="30" t="e">
        <f t="shared" si="202"/>
        <v>#N/A</v>
      </c>
      <c r="BO165" s="30" t="e">
        <f t="shared" si="203"/>
        <v>#N/A</v>
      </c>
      <c r="BP165" s="30" t="e">
        <f>IF(AND($D165=1,(""&amp;loteAnalise)=(""&amp;loteCarregado),COUNTIFS(regAnalito,selAnalito,regNivel,3,regData,$C165,regRep1,"&lt;&gt;")&gt;0),SUMIFS(regRep1,regAnalito,selAnalito,regNivel,3,regData,$C165),NA())</f>
        <v>#N/A</v>
      </c>
      <c r="BQ165" s="30" t="e">
        <f>IF(AND($D165=1,(""&amp;loteAnalise)=(""&amp;loteCarregado),COUNTIFS(regAnalito,selAnalito,regNivel,3,regData,$C165,regRep2,"&lt;&gt;")&gt;0),SUMIFS(regRep2,regAnalito,selAnalito,regNivel,3,regData,$C165),NA())</f>
        <v>#N/A</v>
      </c>
      <c r="BR165" s="30" t="e">
        <f>IF(AND($D165=1,(""&amp;loteAnalise)=(""&amp;loteCarregado),COUNTIFS(regAnalito,selAnalito,regNivel,3,regData,$C165,regRep3,"&lt;&gt;")&gt;0),SUMIFS(regRep3,regAnalito,selAnalito,regNivel,3,regData,$C165),NA())</f>
        <v>#N/A</v>
      </c>
      <c r="BS165" s="30" t="e">
        <f>IF(AND($D165=1,COUNTIFS(regAnalito,selAnalito,regData,$C165,regCalib,"Sim")&gt;0),$BX$1,NA())</f>
        <v>#N/A</v>
      </c>
    </row>
    <row r="166" spans="1:71" x14ac:dyDescent="0.3">
      <c r="A166" s="30">
        <v>164</v>
      </c>
      <c r="B166" s="30" t="str">
        <f>IF(OR(selAnalito="",(""&amp;engAnalito)&lt;&gt;(""&amp;selAnalito),(""&amp;engLote)&lt;&gt;(""&amp;loteAnalise),$A166&gt;N(engNRun)),"",INDEX(engRUN,$A166))</f>
        <v/>
      </c>
      <c r="C166" s="43" t="str">
        <f>IF($B166="","",IF(INDEX(engData,$A166)="","",INDEX(engData,$A166)))</f>
        <v/>
      </c>
      <c r="D166" s="30">
        <f>IF($C166="",0,IF(AND(OR(filtroDe="",INT($C166)&gt;=INT(filtroDe)),OR(filtroAte="",INT($C166)&lt;=INT(filtroAte))),1,0))</f>
        <v>0</v>
      </c>
      <c r="E166" s="30" t="e">
        <f t="shared" si="170"/>
        <v>#N/A</v>
      </c>
      <c r="F166" s="30" t="str">
        <f>IF($B166="","",IF(INDEX(engValN1,$A166)="","",INDEX(engValN1,$A166)))</f>
        <v/>
      </c>
      <c r="G166" s="30" t="str">
        <f t="shared" si="171"/>
        <v/>
      </c>
      <c r="H166" s="30" t="e">
        <f t="shared" si="172"/>
        <v>#N/A</v>
      </c>
      <c r="I166" s="30" t="e">
        <f t="shared" si="173"/>
        <v>#N/A</v>
      </c>
      <c r="J166" s="30" t="e">
        <f t="shared" si="174"/>
        <v>#N/A</v>
      </c>
      <c r="K166" s="30">
        <f>IF($F166="",0,IFERROR(INDEX(engDados,MATCH(selAnalito&amp;"|"&amp;$B166,engChave,0),3),0))</f>
        <v>0</v>
      </c>
      <c r="L166" s="30">
        <f>IF($F166="",0,IFERROR(INDEX(engDados,MATCH(selAnalito&amp;"|"&amp;$B166,engChave,0),4),0))</f>
        <v>0</v>
      </c>
      <c r="M166" s="30">
        <f>IF($F166="",0,IFERROR(INDEX(engDados,MATCH(selAnalito&amp;"|"&amp;$B166,engChave,0),5),0))</f>
        <v>0</v>
      </c>
      <c r="N166" s="30">
        <f>IF($F166="",0,IFERROR(INDEX(engDados,MATCH(selAnalito&amp;"|"&amp;$B166,engChave,0),6),0))</f>
        <v>0</v>
      </c>
      <c r="O166" s="30">
        <f>IF($F166="",0,IFERROR(INDEX(engDados,MATCH(selAnalito&amp;"|"&amp;$B166,engChave,0),7),0))</f>
        <v>0</v>
      </c>
      <c r="P166" s="30" t="str">
        <f>IF($F166="","",IFERROR(INDEX(engDados,MATCH(selAnalito&amp;"|"&amp;$B166,engChave,0),9),""))</f>
        <v/>
      </c>
      <c r="Q166" s="30" t="e">
        <f t="shared" si="175"/>
        <v>#N/A</v>
      </c>
      <c r="R166" s="30" t="e">
        <f t="shared" si="176"/>
        <v>#N/A</v>
      </c>
      <c r="S166" s="30" t="e">
        <f t="shared" si="177"/>
        <v>#N/A</v>
      </c>
      <c r="T166" s="30" t="e">
        <f t="shared" si="178"/>
        <v>#N/A</v>
      </c>
      <c r="U166" s="30" t="e">
        <f t="shared" si="179"/>
        <v>#N/A</v>
      </c>
      <c r="V166" s="30" t="e">
        <f t="shared" si="180"/>
        <v>#N/A</v>
      </c>
      <c r="W166" s="30" t="e">
        <f t="shared" si="181"/>
        <v>#N/A</v>
      </c>
      <c r="X166" s="30" t="e">
        <f>IF(AND($D166=1,(""&amp;loteAnalise)=(""&amp;loteCarregado),COUNTIFS(regAnalito,selAnalito,regNivel,1,regData,$C166,regRep1,"&lt;&gt;")&gt;0),SUMIFS(regRep1,regAnalito,selAnalito,regNivel,1,regData,$C166),NA())</f>
        <v>#N/A</v>
      </c>
      <c r="Y166" s="30" t="e">
        <f>IF(AND($D166=1,(""&amp;loteAnalise)=(""&amp;loteCarregado),COUNTIFS(regAnalito,selAnalito,regNivel,1,regData,$C166,regRep2,"&lt;&gt;")&gt;0),SUMIFS(regRep2,regAnalito,selAnalito,regNivel,1,regData,$C166),NA())</f>
        <v>#N/A</v>
      </c>
      <c r="Z166" s="30" t="e">
        <f>IF(AND($D166=1,(""&amp;loteAnalise)=(""&amp;loteCarregado),COUNTIFS(regAnalito,selAnalito,regNivel,1,regData,$C166,regRep3,"&lt;&gt;")&gt;0),SUMIFS(regRep3,regAnalito,selAnalito,regNivel,1,regData,$C166),NA())</f>
        <v>#N/A</v>
      </c>
      <c r="AA166" s="30" t="e">
        <f>IF(AND($D166=1,COUNTIFS(regAnalito,selAnalito,regData,$C166,regCalib,"Sim")&gt;0),$BT$1,NA())</f>
        <v>#N/A</v>
      </c>
      <c r="AB166" s="30" t="str">
        <f>IF($B166="","",IF(INDEX(engValN2,$A166)="","",INDEX(engValN2,$A166)))</f>
        <v/>
      </c>
      <c r="AC166" s="30" t="str">
        <f t="shared" si="182"/>
        <v/>
      </c>
      <c r="AD166" s="30" t="e">
        <f t="shared" si="183"/>
        <v>#N/A</v>
      </c>
      <c r="AE166" s="30" t="e">
        <f t="shared" si="184"/>
        <v>#N/A</v>
      </c>
      <c r="AF166" s="30" t="e">
        <f t="shared" si="185"/>
        <v>#N/A</v>
      </c>
      <c r="AG166" s="30">
        <f>IF($AB166="",0,IFERROR(INDEX(engDados,MATCH(selAnalito&amp;"|"&amp;$B166,engChave,0),10),0))</f>
        <v>0</v>
      </c>
      <c r="AH166" s="30">
        <f>IF($AB166="",0,IFERROR(INDEX(engDados,MATCH(selAnalito&amp;"|"&amp;$B166,engChave,0),11),0))</f>
        <v>0</v>
      </c>
      <c r="AI166" s="30">
        <f>IF($AB166="",0,IFERROR(INDEX(engDados,MATCH(selAnalito&amp;"|"&amp;$B166,engChave,0),12),0))</f>
        <v>0</v>
      </c>
      <c r="AJ166" s="30">
        <f>IF($AB166="",0,IFERROR(INDEX(engDados,MATCH(selAnalito&amp;"|"&amp;$B166,engChave,0),13),0))</f>
        <v>0</v>
      </c>
      <c r="AK166" s="30">
        <f>IF($AB166="",0,IFERROR(INDEX(engDados,MATCH(selAnalito&amp;"|"&amp;$B166,engChave,0),14),0))</f>
        <v>0</v>
      </c>
      <c r="AL166" s="30" t="str">
        <f>IF($AB166="","",IFERROR(INDEX(engDados,MATCH(selAnalito&amp;"|"&amp;$B166,engChave,0),16),""))</f>
        <v/>
      </c>
      <c r="AM166" s="30" t="e">
        <f t="shared" si="186"/>
        <v>#N/A</v>
      </c>
      <c r="AN166" s="30" t="e">
        <f t="shared" si="187"/>
        <v>#N/A</v>
      </c>
      <c r="AO166" s="30" t="e">
        <f t="shared" si="188"/>
        <v>#N/A</v>
      </c>
      <c r="AP166" s="30" t="e">
        <f t="shared" si="189"/>
        <v>#N/A</v>
      </c>
      <c r="AQ166" s="30" t="e">
        <f t="shared" si="190"/>
        <v>#N/A</v>
      </c>
      <c r="AR166" s="30" t="e">
        <f t="shared" si="191"/>
        <v>#N/A</v>
      </c>
      <c r="AS166" s="30" t="e">
        <f t="shared" si="192"/>
        <v>#N/A</v>
      </c>
      <c r="AT166" s="30" t="e">
        <f>IF(AND($D166=1,(""&amp;loteAnalise)=(""&amp;loteCarregado),COUNTIFS(regAnalito,selAnalito,regNivel,2,regData,$C166,regRep1,"&lt;&gt;")&gt;0),SUMIFS(regRep1,regAnalito,selAnalito,regNivel,2,regData,$C166),NA())</f>
        <v>#N/A</v>
      </c>
      <c r="AU166" s="30" t="e">
        <f>IF(AND($D166=1,(""&amp;loteAnalise)=(""&amp;loteCarregado),COUNTIFS(regAnalito,selAnalito,regNivel,2,regData,$C166,regRep2,"&lt;&gt;")&gt;0),SUMIFS(regRep2,regAnalito,selAnalito,regNivel,2,regData,$C166),NA())</f>
        <v>#N/A</v>
      </c>
      <c r="AV166" s="30" t="e">
        <f>IF(AND($D166=1,(""&amp;loteAnalise)=(""&amp;loteCarregado),COUNTIFS(regAnalito,selAnalito,regNivel,2,regData,$C166,regRep3,"&lt;&gt;")&gt;0),SUMIFS(regRep3,regAnalito,selAnalito,regNivel,2,regData,$C166),NA())</f>
        <v>#N/A</v>
      </c>
      <c r="AW166" s="30" t="e">
        <f>IF(AND($D166=1,COUNTIFS(regAnalito,selAnalito,regData,$C166,regCalib,"Sim")&gt;0),$BV$1,NA())</f>
        <v>#N/A</v>
      </c>
      <c r="AX166" s="30" t="str">
        <f>IF($B166="","",IF(INDEX(engValN3,$A166)="","",INDEX(engValN3,$A166)))</f>
        <v/>
      </c>
      <c r="AY166" s="30" t="str">
        <f t="shared" si="193"/>
        <v/>
      </c>
      <c r="AZ166" s="30" t="e">
        <f t="shared" si="194"/>
        <v>#N/A</v>
      </c>
      <c r="BA166" s="30" t="e">
        <f t="shared" si="195"/>
        <v>#N/A</v>
      </c>
      <c r="BB166" s="30" t="e">
        <f t="shared" si="196"/>
        <v>#N/A</v>
      </c>
      <c r="BC166" s="30">
        <f>IF($AX166="",0,IFERROR(INDEX(engDados,MATCH(selAnalito&amp;"|"&amp;$B166,engChave,0),17),0))</f>
        <v>0</v>
      </c>
      <c r="BD166" s="30">
        <f>IF($AX166="",0,IFERROR(INDEX(engDados,MATCH(selAnalito&amp;"|"&amp;$B166,engChave,0),18),0))</f>
        <v>0</v>
      </c>
      <c r="BE166" s="30">
        <f>IF($AX166="",0,IFERROR(INDEX(engDados,MATCH(selAnalito&amp;"|"&amp;$B166,engChave,0),19),0))</f>
        <v>0</v>
      </c>
      <c r="BF166" s="30">
        <f>IF($AX166="",0,IFERROR(INDEX(engDados,MATCH(selAnalito&amp;"|"&amp;$B166,engChave,0),20),0))</f>
        <v>0</v>
      </c>
      <c r="BG166" s="30">
        <f>IF($AX166="",0,IFERROR(INDEX(engDados,MATCH(selAnalito&amp;"|"&amp;$B166,engChave,0),21),0))</f>
        <v>0</v>
      </c>
      <c r="BH166" s="30" t="str">
        <f>IF($AX166="","",IFERROR(INDEX(engDados,MATCH(selAnalito&amp;"|"&amp;$B166,engChave,0),23),""))</f>
        <v/>
      </c>
      <c r="BI166" s="30" t="e">
        <f t="shared" si="197"/>
        <v>#N/A</v>
      </c>
      <c r="BJ166" s="30" t="e">
        <f t="shared" si="198"/>
        <v>#N/A</v>
      </c>
      <c r="BK166" s="30" t="e">
        <f t="shared" si="199"/>
        <v>#N/A</v>
      </c>
      <c r="BL166" s="30" t="e">
        <f t="shared" si="200"/>
        <v>#N/A</v>
      </c>
      <c r="BM166" s="30" t="e">
        <f t="shared" si="201"/>
        <v>#N/A</v>
      </c>
      <c r="BN166" s="30" t="e">
        <f t="shared" si="202"/>
        <v>#N/A</v>
      </c>
      <c r="BO166" s="30" t="e">
        <f t="shared" si="203"/>
        <v>#N/A</v>
      </c>
      <c r="BP166" s="30" t="e">
        <f>IF(AND($D166=1,(""&amp;loteAnalise)=(""&amp;loteCarregado),COUNTIFS(regAnalito,selAnalito,regNivel,3,regData,$C166,regRep1,"&lt;&gt;")&gt;0),SUMIFS(regRep1,regAnalito,selAnalito,regNivel,3,regData,$C166),NA())</f>
        <v>#N/A</v>
      </c>
      <c r="BQ166" s="30" t="e">
        <f>IF(AND($D166=1,(""&amp;loteAnalise)=(""&amp;loteCarregado),COUNTIFS(regAnalito,selAnalito,regNivel,3,regData,$C166,regRep2,"&lt;&gt;")&gt;0),SUMIFS(regRep2,regAnalito,selAnalito,regNivel,3,regData,$C166),NA())</f>
        <v>#N/A</v>
      </c>
      <c r="BR166" s="30" t="e">
        <f>IF(AND($D166=1,(""&amp;loteAnalise)=(""&amp;loteCarregado),COUNTIFS(regAnalito,selAnalito,regNivel,3,regData,$C166,regRep3,"&lt;&gt;")&gt;0),SUMIFS(regRep3,regAnalito,selAnalito,regNivel,3,regData,$C166),NA())</f>
        <v>#N/A</v>
      </c>
      <c r="BS166" s="30" t="e">
        <f>IF(AND($D166=1,COUNTIFS(regAnalito,selAnalito,regData,$C166,regCalib,"Sim")&gt;0),$BX$1,NA())</f>
        <v>#N/A</v>
      </c>
    </row>
    <row r="167" spans="1:71" x14ac:dyDescent="0.3">
      <c r="A167" s="30">
        <v>165</v>
      </c>
      <c r="B167" s="30" t="str">
        <f>IF(OR(selAnalito="",(""&amp;engAnalito)&lt;&gt;(""&amp;selAnalito),(""&amp;engLote)&lt;&gt;(""&amp;loteAnalise),$A167&gt;N(engNRun)),"",INDEX(engRUN,$A167))</f>
        <v/>
      </c>
      <c r="C167" s="43" t="str">
        <f>IF($B167="","",IF(INDEX(engData,$A167)="","",INDEX(engData,$A167)))</f>
        <v/>
      </c>
      <c r="D167" s="30">
        <f>IF($C167="",0,IF(AND(OR(filtroDe="",INT($C167)&gt;=INT(filtroDe)),OR(filtroAte="",INT($C167)&lt;=INT(filtroAte))),1,0))</f>
        <v>0</v>
      </c>
      <c r="E167" s="30" t="e">
        <f t="shared" si="170"/>
        <v>#N/A</v>
      </c>
      <c r="F167" s="30" t="str">
        <f>IF($B167="","",IF(INDEX(engValN1,$A167)="","",INDEX(engValN1,$A167)))</f>
        <v/>
      </c>
      <c r="G167" s="30" t="str">
        <f t="shared" si="171"/>
        <v/>
      </c>
      <c r="H167" s="30" t="e">
        <f t="shared" si="172"/>
        <v>#N/A</v>
      </c>
      <c r="I167" s="30" t="e">
        <f t="shared" si="173"/>
        <v>#N/A</v>
      </c>
      <c r="J167" s="30" t="e">
        <f t="shared" si="174"/>
        <v>#N/A</v>
      </c>
      <c r="K167" s="30">
        <f>IF($F167="",0,IFERROR(INDEX(engDados,MATCH(selAnalito&amp;"|"&amp;$B167,engChave,0),3),0))</f>
        <v>0</v>
      </c>
      <c r="L167" s="30">
        <f>IF($F167="",0,IFERROR(INDEX(engDados,MATCH(selAnalito&amp;"|"&amp;$B167,engChave,0),4),0))</f>
        <v>0</v>
      </c>
      <c r="M167" s="30">
        <f>IF($F167="",0,IFERROR(INDEX(engDados,MATCH(selAnalito&amp;"|"&amp;$B167,engChave,0),5),0))</f>
        <v>0</v>
      </c>
      <c r="N167" s="30">
        <f>IF($F167="",0,IFERROR(INDEX(engDados,MATCH(selAnalito&amp;"|"&amp;$B167,engChave,0),6),0))</f>
        <v>0</v>
      </c>
      <c r="O167" s="30">
        <f>IF($F167="",0,IFERROR(INDEX(engDados,MATCH(selAnalito&amp;"|"&amp;$B167,engChave,0),7),0))</f>
        <v>0</v>
      </c>
      <c r="P167" s="30" t="str">
        <f>IF($F167="","",IFERROR(INDEX(engDados,MATCH(selAnalito&amp;"|"&amp;$B167,engChave,0),9),""))</f>
        <v/>
      </c>
      <c r="Q167" s="30" t="e">
        <f t="shared" si="175"/>
        <v>#N/A</v>
      </c>
      <c r="R167" s="30" t="e">
        <f t="shared" si="176"/>
        <v>#N/A</v>
      </c>
      <c r="S167" s="30" t="e">
        <f t="shared" si="177"/>
        <v>#N/A</v>
      </c>
      <c r="T167" s="30" t="e">
        <f t="shared" si="178"/>
        <v>#N/A</v>
      </c>
      <c r="U167" s="30" t="e">
        <f t="shared" si="179"/>
        <v>#N/A</v>
      </c>
      <c r="V167" s="30" t="e">
        <f t="shared" si="180"/>
        <v>#N/A</v>
      </c>
      <c r="W167" s="30" t="e">
        <f t="shared" si="181"/>
        <v>#N/A</v>
      </c>
      <c r="X167" s="30" t="e">
        <f>IF(AND($D167=1,(""&amp;loteAnalise)=(""&amp;loteCarregado),COUNTIFS(regAnalito,selAnalito,regNivel,1,regData,$C167,regRep1,"&lt;&gt;")&gt;0),SUMIFS(regRep1,regAnalito,selAnalito,regNivel,1,regData,$C167),NA())</f>
        <v>#N/A</v>
      </c>
      <c r="Y167" s="30" t="e">
        <f>IF(AND($D167=1,(""&amp;loteAnalise)=(""&amp;loteCarregado),COUNTIFS(regAnalito,selAnalito,regNivel,1,regData,$C167,regRep2,"&lt;&gt;")&gt;0),SUMIFS(regRep2,regAnalito,selAnalito,regNivel,1,regData,$C167),NA())</f>
        <v>#N/A</v>
      </c>
      <c r="Z167" s="30" t="e">
        <f>IF(AND($D167=1,(""&amp;loteAnalise)=(""&amp;loteCarregado),COUNTIFS(regAnalito,selAnalito,regNivel,1,regData,$C167,regRep3,"&lt;&gt;")&gt;0),SUMIFS(regRep3,regAnalito,selAnalito,regNivel,1,regData,$C167),NA())</f>
        <v>#N/A</v>
      </c>
      <c r="AA167" s="30" t="e">
        <f>IF(AND($D167=1,COUNTIFS(regAnalito,selAnalito,regData,$C167,regCalib,"Sim")&gt;0),$BT$1,NA())</f>
        <v>#N/A</v>
      </c>
      <c r="AB167" s="30" t="str">
        <f>IF($B167="","",IF(INDEX(engValN2,$A167)="","",INDEX(engValN2,$A167)))</f>
        <v/>
      </c>
      <c r="AC167" s="30" t="str">
        <f t="shared" si="182"/>
        <v/>
      </c>
      <c r="AD167" s="30" t="e">
        <f t="shared" si="183"/>
        <v>#N/A</v>
      </c>
      <c r="AE167" s="30" t="e">
        <f t="shared" si="184"/>
        <v>#N/A</v>
      </c>
      <c r="AF167" s="30" t="e">
        <f t="shared" si="185"/>
        <v>#N/A</v>
      </c>
      <c r="AG167" s="30">
        <f>IF($AB167="",0,IFERROR(INDEX(engDados,MATCH(selAnalito&amp;"|"&amp;$B167,engChave,0),10),0))</f>
        <v>0</v>
      </c>
      <c r="AH167" s="30">
        <f>IF($AB167="",0,IFERROR(INDEX(engDados,MATCH(selAnalito&amp;"|"&amp;$B167,engChave,0),11),0))</f>
        <v>0</v>
      </c>
      <c r="AI167" s="30">
        <f>IF($AB167="",0,IFERROR(INDEX(engDados,MATCH(selAnalito&amp;"|"&amp;$B167,engChave,0),12),0))</f>
        <v>0</v>
      </c>
      <c r="AJ167" s="30">
        <f>IF($AB167="",0,IFERROR(INDEX(engDados,MATCH(selAnalito&amp;"|"&amp;$B167,engChave,0),13),0))</f>
        <v>0</v>
      </c>
      <c r="AK167" s="30">
        <f>IF($AB167="",0,IFERROR(INDEX(engDados,MATCH(selAnalito&amp;"|"&amp;$B167,engChave,0),14),0))</f>
        <v>0</v>
      </c>
      <c r="AL167" s="30" t="str">
        <f>IF($AB167="","",IFERROR(INDEX(engDados,MATCH(selAnalito&amp;"|"&amp;$B167,engChave,0),16),""))</f>
        <v/>
      </c>
      <c r="AM167" s="30" t="e">
        <f t="shared" si="186"/>
        <v>#N/A</v>
      </c>
      <c r="AN167" s="30" t="e">
        <f t="shared" si="187"/>
        <v>#N/A</v>
      </c>
      <c r="AO167" s="30" t="e">
        <f t="shared" si="188"/>
        <v>#N/A</v>
      </c>
      <c r="AP167" s="30" t="e">
        <f t="shared" si="189"/>
        <v>#N/A</v>
      </c>
      <c r="AQ167" s="30" t="e">
        <f t="shared" si="190"/>
        <v>#N/A</v>
      </c>
      <c r="AR167" s="30" t="e">
        <f t="shared" si="191"/>
        <v>#N/A</v>
      </c>
      <c r="AS167" s="30" t="e">
        <f t="shared" si="192"/>
        <v>#N/A</v>
      </c>
      <c r="AT167" s="30" t="e">
        <f>IF(AND($D167=1,(""&amp;loteAnalise)=(""&amp;loteCarregado),COUNTIFS(regAnalito,selAnalito,regNivel,2,regData,$C167,regRep1,"&lt;&gt;")&gt;0),SUMIFS(regRep1,regAnalito,selAnalito,regNivel,2,regData,$C167),NA())</f>
        <v>#N/A</v>
      </c>
      <c r="AU167" s="30" t="e">
        <f>IF(AND($D167=1,(""&amp;loteAnalise)=(""&amp;loteCarregado),COUNTIFS(regAnalito,selAnalito,regNivel,2,regData,$C167,regRep2,"&lt;&gt;")&gt;0),SUMIFS(regRep2,regAnalito,selAnalito,regNivel,2,regData,$C167),NA())</f>
        <v>#N/A</v>
      </c>
      <c r="AV167" s="30" t="e">
        <f>IF(AND($D167=1,(""&amp;loteAnalise)=(""&amp;loteCarregado),COUNTIFS(regAnalito,selAnalito,regNivel,2,regData,$C167,regRep3,"&lt;&gt;")&gt;0),SUMIFS(regRep3,regAnalito,selAnalito,regNivel,2,regData,$C167),NA())</f>
        <v>#N/A</v>
      </c>
      <c r="AW167" s="30" t="e">
        <f>IF(AND($D167=1,COUNTIFS(regAnalito,selAnalito,regData,$C167,regCalib,"Sim")&gt;0),$BV$1,NA())</f>
        <v>#N/A</v>
      </c>
      <c r="AX167" s="30" t="str">
        <f>IF($B167="","",IF(INDEX(engValN3,$A167)="","",INDEX(engValN3,$A167)))</f>
        <v/>
      </c>
      <c r="AY167" s="30" t="str">
        <f t="shared" si="193"/>
        <v/>
      </c>
      <c r="AZ167" s="30" t="e">
        <f t="shared" si="194"/>
        <v>#N/A</v>
      </c>
      <c r="BA167" s="30" t="e">
        <f t="shared" si="195"/>
        <v>#N/A</v>
      </c>
      <c r="BB167" s="30" t="e">
        <f t="shared" si="196"/>
        <v>#N/A</v>
      </c>
      <c r="BC167" s="30">
        <f>IF($AX167="",0,IFERROR(INDEX(engDados,MATCH(selAnalito&amp;"|"&amp;$B167,engChave,0),17),0))</f>
        <v>0</v>
      </c>
      <c r="BD167" s="30">
        <f>IF($AX167="",0,IFERROR(INDEX(engDados,MATCH(selAnalito&amp;"|"&amp;$B167,engChave,0),18),0))</f>
        <v>0</v>
      </c>
      <c r="BE167" s="30">
        <f>IF($AX167="",0,IFERROR(INDEX(engDados,MATCH(selAnalito&amp;"|"&amp;$B167,engChave,0),19),0))</f>
        <v>0</v>
      </c>
      <c r="BF167" s="30">
        <f>IF($AX167="",0,IFERROR(INDEX(engDados,MATCH(selAnalito&amp;"|"&amp;$B167,engChave,0),20),0))</f>
        <v>0</v>
      </c>
      <c r="BG167" s="30">
        <f>IF($AX167="",0,IFERROR(INDEX(engDados,MATCH(selAnalito&amp;"|"&amp;$B167,engChave,0),21),0))</f>
        <v>0</v>
      </c>
      <c r="BH167" s="30" t="str">
        <f>IF($AX167="","",IFERROR(INDEX(engDados,MATCH(selAnalito&amp;"|"&amp;$B167,engChave,0),23),""))</f>
        <v/>
      </c>
      <c r="BI167" s="30" t="e">
        <f t="shared" si="197"/>
        <v>#N/A</v>
      </c>
      <c r="BJ167" s="30" t="e">
        <f t="shared" si="198"/>
        <v>#N/A</v>
      </c>
      <c r="BK167" s="30" t="e">
        <f t="shared" si="199"/>
        <v>#N/A</v>
      </c>
      <c r="BL167" s="30" t="e">
        <f t="shared" si="200"/>
        <v>#N/A</v>
      </c>
      <c r="BM167" s="30" t="e">
        <f t="shared" si="201"/>
        <v>#N/A</v>
      </c>
      <c r="BN167" s="30" t="e">
        <f t="shared" si="202"/>
        <v>#N/A</v>
      </c>
      <c r="BO167" s="30" t="e">
        <f t="shared" si="203"/>
        <v>#N/A</v>
      </c>
      <c r="BP167" s="30" t="e">
        <f>IF(AND($D167=1,(""&amp;loteAnalise)=(""&amp;loteCarregado),COUNTIFS(regAnalito,selAnalito,regNivel,3,regData,$C167,regRep1,"&lt;&gt;")&gt;0),SUMIFS(regRep1,regAnalito,selAnalito,regNivel,3,regData,$C167),NA())</f>
        <v>#N/A</v>
      </c>
      <c r="BQ167" s="30" t="e">
        <f>IF(AND($D167=1,(""&amp;loteAnalise)=(""&amp;loteCarregado),COUNTIFS(regAnalito,selAnalito,regNivel,3,regData,$C167,regRep2,"&lt;&gt;")&gt;0),SUMIFS(regRep2,regAnalito,selAnalito,regNivel,3,regData,$C167),NA())</f>
        <v>#N/A</v>
      </c>
      <c r="BR167" s="30" t="e">
        <f>IF(AND($D167=1,(""&amp;loteAnalise)=(""&amp;loteCarregado),COUNTIFS(regAnalito,selAnalito,regNivel,3,regData,$C167,regRep3,"&lt;&gt;")&gt;0),SUMIFS(regRep3,regAnalito,selAnalito,regNivel,3,regData,$C167),NA())</f>
        <v>#N/A</v>
      </c>
      <c r="BS167" s="30" t="e">
        <f>IF(AND($D167=1,COUNTIFS(regAnalito,selAnalito,regData,$C167,regCalib,"Sim")&gt;0),$BX$1,NA())</f>
        <v>#N/A</v>
      </c>
    </row>
    <row r="168" spans="1:71" x14ac:dyDescent="0.3">
      <c r="A168" s="30">
        <v>166</v>
      </c>
      <c r="B168" s="30" t="str">
        <f>IF(OR(selAnalito="",(""&amp;engAnalito)&lt;&gt;(""&amp;selAnalito),(""&amp;engLote)&lt;&gt;(""&amp;loteAnalise),$A168&gt;N(engNRun)),"",INDEX(engRUN,$A168))</f>
        <v/>
      </c>
      <c r="C168" s="43" t="str">
        <f>IF($B168="","",IF(INDEX(engData,$A168)="","",INDEX(engData,$A168)))</f>
        <v/>
      </c>
      <c r="D168" s="30">
        <f>IF($C168="",0,IF(AND(OR(filtroDe="",INT($C168)&gt;=INT(filtroDe)),OR(filtroAte="",INT($C168)&lt;=INT(filtroAte))),1,0))</f>
        <v>0</v>
      </c>
      <c r="E168" s="30" t="e">
        <f t="shared" si="170"/>
        <v>#N/A</v>
      </c>
      <c r="F168" s="30" t="str">
        <f>IF($B168="","",IF(INDEX(engValN1,$A168)="","",INDEX(engValN1,$A168)))</f>
        <v/>
      </c>
      <c r="G168" s="30" t="str">
        <f t="shared" si="171"/>
        <v/>
      </c>
      <c r="H168" s="30" t="e">
        <f t="shared" si="172"/>
        <v>#N/A</v>
      </c>
      <c r="I168" s="30" t="e">
        <f t="shared" si="173"/>
        <v>#N/A</v>
      </c>
      <c r="J168" s="30" t="e">
        <f t="shared" si="174"/>
        <v>#N/A</v>
      </c>
      <c r="K168" s="30">
        <f>IF($F168="",0,IFERROR(INDEX(engDados,MATCH(selAnalito&amp;"|"&amp;$B168,engChave,0),3),0))</f>
        <v>0</v>
      </c>
      <c r="L168" s="30">
        <f>IF($F168="",0,IFERROR(INDEX(engDados,MATCH(selAnalito&amp;"|"&amp;$B168,engChave,0),4),0))</f>
        <v>0</v>
      </c>
      <c r="M168" s="30">
        <f>IF($F168="",0,IFERROR(INDEX(engDados,MATCH(selAnalito&amp;"|"&amp;$B168,engChave,0),5),0))</f>
        <v>0</v>
      </c>
      <c r="N168" s="30">
        <f>IF($F168="",0,IFERROR(INDEX(engDados,MATCH(selAnalito&amp;"|"&amp;$B168,engChave,0),6),0))</f>
        <v>0</v>
      </c>
      <c r="O168" s="30">
        <f>IF($F168="",0,IFERROR(INDEX(engDados,MATCH(selAnalito&amp;"|"&amp;$B168,engChave,0),7),0))</f>
        <v>0</v>
      </c>
      <c r="P168" s="30" t="str">
        <f>IF($F168="","",IFERROR(INDEX(engDados,MATCH(selAnalito&amp;"|"&amp;$B168,engChave,0),9),""))</f>
        <v/>
      </c>
      <c r="Q168" s="30" t="e">
        <f t="shared" si="175"/>
        <v>#N/A</v>
      </c>
      <c r="R168" s="30" t="e">
        <f t="shared" si="176"/>
        <v>#N/A</v>
      </c>
      <c r="S168" s="30" t="e">
        <f t="shared" si="177"/>
        <v>#N/A</v>
      </c>
      <c r="T168" s="30" t="e">
        <f t="shared" si="178"/>
        <v>#N/A</v>
      </c>
      <c r="U168" s="30" t="e">
        <f t="shared" si="179"/>
        <v>#N/A</v>
      </c>
      <c r="V168" s="30" t="e">
        <f t="shared" si="180"/>
        <v>#N/A</v>
      </c>
      <c r="W168" s="30" t="e">
        <f t="shared" si="181"/>
        <v>#N/A</v>
      </c>
      <c r="X168" s="30" t="e">
        <f>IF(AND($D168=1,(""&amp;loteAnalise)=(""&amp;loteCarregado),COUNTIFS(regAnalito,selAnalito,regNivel,1,regData,$C168,regRep1,"&lt;&gt;")&gt;0),SUMIFS(regRep1,regAnalito,selAnalito,regNivel,1,regData,$C168),NA())</f>
        <v>#N/A</v>
      </c>
      <c r="Y168" s="30" t="e">
        <f>IF(AND($D168=1,(""&amp;loteAnalise)=(""&amp;loteCarregado),COUNTIFS(regAnalito,selAnalito,regNivel,1,regData,$C168,regRep2,"&lt;&gt;")&gt;0),SUMIFS(regRep2,regAnalito,selAnalito,regNivel,1,regData,$C168),NA())</f>
        <v>#N/A</v>
      </c>
      <c r="Z168" s="30" t="e">
        <f>IF(AND($D168=1,(""&amp;loteAnalise)=(""&amp;loteCarregado),COUNTIFS(regAnalito,selAnalito,regNivel,1,regData,$C168,regRep3,"&lt;&gt;")&gt;0),SUMIFS(regRep3,regAnalito,selAnalito,regNivel,1,regData,$C168),NA())</f>
        <v>#N/A</v>
      </c>
      <c r="AA168" s="30" t="e">
        <f>IF(AND($D168=1,COUNTIFS(regAnalito,selAnalito,regData,$C168,regCalib,"Sim")&gt;0),$BT$1,NA())</f>
        <v>#N/A</v>
      </c>
      <c r="AB168" s="30" t="str">
        <f>IF($B168="","",IF(INDEX(engValN2,$A168)="","",INDEX(engValN2,$A168)))</f>
        <v/>
      </c>
      <c r="AC168" s="30" t="str">
        <f t="shared" si="182"/>
        <v/>
      </c>
      <c r="AD168" s="30" t="e">
        <f t="shared" si="183"/>
        <v>#N/A</v>
      </c>
      <c r="AE168" s="30" t="e">
        <f t="shared" si="184"/>
        <v>#N/A</v>
      </c>
      <c r="AF168" s="30" t="e">
        <f t="shared" si="185"/>
        <v>#N/A</v>
      </c>
      <c r="AG168" s="30">
        <f>IF($AB168="",0,IFERROR(INDEX(engDados,MATCH(selAnalito&amp;"|"&amp;$B168,engChave,0),10),0))</f>
        <v>0</v>
      </c>
      <c r="AH168" s="30">
        <f>IF($AB168="",0,IFERROR(INDEX(engDados,MATCH(selAnalito&amp;"|"&amp;$B168,engChave,0),11),0))</f>
        <v>0</v>
      </c>
      <c r="AI168" s="30">
        <f>IF($AB168="",0,IFERROR(INDEX(engDados,MATCH(selAnalito&amp;"|"&amp;$B168,engChave,0),12),0))</f>
        <v>0</v>
      </c>
      <c r="AJ168" s="30">
        <f>IF($AB168="",0,IFERROR(INDEX(engDados,MATCH(selAnalito&amp;"|"&amp;$B168,engChave,0),13),0))</f>
        <v>0</v>
      </c>
      <c r="AK168" s="30">
        <f>IF($AB168="",0,IFERROR(INDEX(engDados,MATCH(selAnalito&amp;"|"&amp;$B168,engChave,0),14),0))</f>
        <v>0</v>
      </c>
      <c r="AL168" s="30" t="str">
        <f>IF($AB168="","",IFERROR(INDEX(engDados,MATCH(selAnalito&amp;"|"&amp;$B168,engChave,0),16),""))</f>
        <v/>
      </c>
      <c r="AM168" s="30" t="e">
        <f t="shared" si="186"/>
        <v>#N/A</v>
      </c>
      <c r="AN168" s="30" t="e">
        <f t="shared" si="187"/>
        <v>#N/A</v>
      </c>
      <c r="AO168" s="30" t="e">
        <f t="shared" si="188"/>
        <v>#N/A</v>
      </c>
      <c r="AP168" s="30" t="e">
        <f t="shared" si="189"/>
        <v>#N/A</v>
      </c>
      <c r="AQ168" s="30" t="e">
        <f t="shared" si="190"/>
        <v>#N/A</v>
      </c>
      <c r="AR168" s="30" t="e">
        <f t="shared" si="191"/>
        <v>#N/A</v>
      </c>
      <c r="AS168" s="30" t="e">
        <f t="shared" si="192"/>
        <v>#N/A</v>
      </c>
      <c r="AT168" s="30" t="e">
        <f>IF(AND($D168=1,(""&amp;loteAnalise)=(""&amp;loteCarregado),COUNTIFS(regAnalito,selAnalito,regNivel,2,regData,$C168,regRep1,"&lt;&gt;")&gt;0),SUMIFS(regRep1,regAnalito,selAnalito,regNivel,2,regData,$C168),NA())</f>
        <v>#N/A</v>
      </c>
      <c r="AU168" s="30" t="e">
        <f>IF(AND($D168=1,(""&amp;loteAnalise)=(""&amp;loteCarregado),COUNTIFS(regAnalito,selAnalito,regNivel,2,regData,$C168,regRep2,"&lt;&gt;")&gt;0),SUMIFS(regRep2,regAnalito,selAnalito,regNivel,2,regData,$C168),NA())</f>
        <v>#N/A</v>
      </c>
      <c r="AV168" s="30" t="e">
        <f>IF(AND($D168=1,(""&amp;loteAnalise)=(""&amp;loteCarregado),COUNTIFS(regAnalito,selAnalito,regNivel,2,regData,$C168,regRep3,"&lt;&gt;")&gt;0),SUMIFS(regRep3,regAnalito,selAnalito,regNivel,2,regData,$C168),NA())</f>
        <v>#N/A</v>
      </c>
      <c r="AW168" s="30" t="e">
        <f>IF(AND($D168=1,COUNTIFS(regAnalito,selAnalito,regData,$C168,regCalib,"Sim")&gt;0),$BV$1,NA())</f>
        <v>#N/A</v>
      </c>
      <c r="AX168" s="30" t="str">
        <f>IF($B168="","",IF(INDEX(engValN3,$A168)="","",INDEX(engValN3,$A168)))</f>
        <v/>
      </c>
      <c r="AY168" s="30" t="str">
        <f t="shared" si="193"/>
        <v/>
      </c>
      <c r="AZ168" s="30" t="e">
        <f t="shared" si="194"/>
        <v>#N/A</v>
      </c>
      <c r="BA168" s="30" t="e">
        <f t="shared" si="195"/>
        <v>#N/A</v>
      </c>
      <c r="BB168" s="30" t="e">
        <f t="shared" si="196"/>
        <v>#N/A</v>
      </c>
      <c r="BC168" s="30">
        <f>IF($AX168="",0,IFERROR(INDEX(engDados,MATCH(selAnalito&amp;"|"&amp;$B168,engChave,0),17),0))</f>
        <v>0</v>
      </c>
      <c r="BD168" s="30">
        <f>IF($AX168="",0,IFERROR(INDEX(engDados,MATCH(selAnalito&amp;"|"&amp;$B168,engChave,0),18),0))</f>
        <v>0</v>
      </c>
      <c r="BE168" s="30">
        <f>IF($AX168="",0,IFERROR(INDEX(engDados,MATCH(selAnalito&amp;"|"&amp;$B168,engChave,0),19),0))</f>
        <v>0</v>
      </c>
      <c r="BF168" s="30">
        <f>IF($AX168="",0,IFERROR(INDEX(engDados,MATCH(selAnalito&amp;"|"&amp;$B168,engChave,0),20),0))</f>
        <v>0</v>
      </c>
      <c r="BG168" s="30">
        <f>IF($AX168="",0,IFERROR(INDEX(engDados,MATCH(selAnalito&amp;"|"&amp;$B168,engChave,0),21),0))</f>
        <v>0</v>
      </c>
      <c r="BH168" s="30" t="str">
        <f>IF($AX168="","",IFERROR(INDEX(engDados,MATCH(selAnalito&amp;"|"&amp;$B168,engChave,0),23),""))</f>
        <v/>
      </c>
      <c r="BI168" s="30" t="e">
        <f t="shared" si="197"/>
        <v>#N/A</v>
      </c>
      <c r="BJ168" s="30" t="e">
        <f t="shared" si="198"/>
        <v>#N/A</v>
      </c>
      <c r="BK168" s="30" t="e">
        <f t="shared" si="199"/>
        <v>#N/A</v>
      </c>
      <c r="BL168" s="30" t="e">
        <f t="shared" si="200"/>
        <v>#N/A</v>
      </c>
      <c r="BM168" s="30" t="e">
        <f t="shared" si="201"/>
        <v>#N/A</v>
      </c>
      <c r="BN168" s="30" t="e">
        <f t="shared" si="202"/>
        <v>#N/A</v>
      </c>
      <c r="BO168" s="30" t="e">
        <f t="shared" si="203"/>
        <v>#N/A</v>
      </c>
      <c r="BP168" s="30" t="e">
        <f>IF(AND($D168=1,(""&amp;loteAnalise)=(""&amp;loteCarregado),COUNTIFS(regAnalito,selAnalito,regNivel,3,regData,$C168,regRep1,"&lt;&gt;")&gt;0),SUMIFS(regRep1,regAnalito,selAnalito,regNivel,3,regData,$C168),NA())</f>
        <v>#N/A</v>
      </c>
      <c r="BQ168" s="30" t="e">
        <f>IF(AND($D168=1,(""&amp;loteAnalise)=(""&amp;loteCarregado),COUNTIFS(regAnalito,selAnalito,regNivel,3,regData,$C168,regRep2,"&lt;&gt;")&gt;0),SUMIFS(regRep2,regAnalito,selAnalito,regNivel,3,regData,$C168),NA())</f>
        <v>#N/A</v>
      </c>
      <c r="BR168" s="30" t="e">
        <f>IF(AND($D168=1,(""&amp;loteAnalise)=(""&amp;loteCarregado),COUNTIFS(regAnalito,selAnalito,regNivel,3,regData,$C168,regRep3,"&lt;&gt;")&gt;0),SUMIFS(regRep3,regAnalito,selAnalito,regNivel,3,regData,$C168),NA())</f>
        <v>#N/A</v>
      </c>
      <c r="BS168" s="30" t="e">
        <f>IF(AND($D168=1,COUNTIFS(regAnalito,selAnalito,regData,$C168,regCalib,"Sim")&gt;0),$BX$1,NA())</f>
        <v>#N/A</v>
      </c>
    </row>
    <row r="169" spans="1:71" x14ac:dyDescent="0.3">
      <c r="A169" s="30">
        <v>167</v>
      </c>
      <c r="B169" s="30" t="str">
        <f>IF(OR(selAnalito="",(""&amp;engAnalito)&lt;&gt;(""&amp;selAnalito),(""&amp;engLote)&lt;&gt;(""&amp;loteAnalise),$A169&gt;N(engNRun)),"",INDEX(engRUN,$A169))</f>
        <v/>
      </c>
      <c r="C169" s="43" t="str">
        <f>IF($B169="","",IF(INDEX(engData,$A169)="","",INDEX(engData,$A169)))</f>
        <v/>
      </c>
      <c r="D169" s="30">
        <f>IF($C169="",0,IF(AND(OR(filtroDe="",INT($C169)&gt;=INT(filtroDe)),OR(filtroAte="",INT($C169)&lt;=INT(filtroAte))),1,0))</f>
        <v>0</v>
      </c>
      <c r="E169" s="30" t="e">
        <f t="shared" si="170"/>
        <v>#N/A</v>
      </c>
      <c r="F169" s="30" t="str">
        <f>IF($B169="","",IF(INDEX(engValN1,$A169)="","",INDEX(engValN1,$A169)))</f>
        <v/>
      </c>
      <c r="G169" s="30" t="str">
        <f t="shared" si="171"/>
        <v/>
      </c>
      <c r="H169" s="30" t="e">
        <f t="shared" si="172"/>
        <v>#N/A</v>
      </c>
      <c r="I169" s="30" t="e">
        <f t="shared" si="173"/>
        <v>#N/A</v>
      </c>
      <c r="J169" s="30" t="e">
        <f t="shared" si="174"/>
        <v>#N/A</v>
      </c>
      <c r="K169" s="30">
        <f>IF($F169="",0,IFERROR(INDEX(engDados,MATCH(selAnalito&amp;"|"&amp;$B169,engChave,0),3),0))</f>
        <v>0</v>
      </c>
      <c r="L169" s="30">
        <f>IF($F169="",0,IFERROR(INDEX(engDados,MATCH(selAnalito&amp;"|"&amp;$B169,engChave,0),4),0))</f>
        <v>0</v>
      </c>
      <c r="M169" s="30">
        <f>IF($F169="",0,IFERROR(INDEX(engDados,MATCH(selAnalito&amp;"|"&amp;$B169,engChave,0),5),0))</f>
        <v>0</v>
      </c>
      <c r="N169" s="30">
        <f>IF($F169="",0,IFERROR(INDEX(engDados,MATCH(selAnalito&amp;"|"&amp;$B169,engChave,0),6),0))</f>
        <v>0</v>
      </c>
      <c r="O169" s="30">
        <f>IF($F169="",0,IFERROR(INDEX(engDados,MATCH(selAnalito&amp;"|"&amp;$B169,engChave,0),7),0))</f>
        <v>0</v>
      </c>
      <c r="P169" s="30" t="str">
        <f>IF($F169="","",IFERROR(INDEX(engDados,MATCH(selAnalito&amp;"|"&amp;$B169,engChave,0),9),""))</f>
        <v/>
      </c>
      <c r="Q169" s="30" t="e">
        <f t="shared" si="175"/>
        <v>#N/A</v>
      </c>
      <c r="R169" s="30" t="e">
        <f t="shared" si="176"/>
        <v>#N/A</v>
      </c>
      <c r="S169" s="30" t="e">
        <f t="shared" si="177"/>
        <v>#N/A</v>
      </c>
      <c r="T169" s="30" t="e">
        <f t="shared" si="178"/>
        <v>#N/A</v>
      </c>
      <c r="U169" s="30" t="e">
        <f t="shared" si="179"/>
        <v>#N/A</v>
      </c>
      <c r="V169" s="30" t="e">
        <f t="shared" si="180"/>
        <v>#N/A</v>
      </c>
      <c r="W169" s="30" t="e">
        <f t="shared" si="181"/>
        <v>#N/A</v>
      </c>
      <c r="X169" s="30" t="e">
        <f>IF(AND($D169=1,(""&amp;loteAnalise)=(""&amp;loteCarregado),COUNTIFS(regAnalito,selAnalito,regNivel,1,regData,$C169,regRep1,"&lt;&gt;")&gt;0),SUMIFS(regRep1,regAnalito,selAnalito,regNivel,1,regData,$C169),NA())</f>
        <v>#N/A</v>
      </c>
      <c r="Y169" s="30" t="e">
        <f>IF(AND($D169=1,(""&amp;loteAnalise)=(""&amp;loteCarregado),COUNTIFS(regAnalito,selAnalito,regNivel,1,regData,$C169,regRep2,"&lt;&gt;")&gt;0),SUMIFS(regRep2,regAnalito,selAnalito,regNivel,1,regData,$C169),NA())</f>
        <v>#N/A</v>
      </c>
      <c r="Z169" s="30" t="e">
        <f>IF(AND($D169=1,(""&amp;loteAnalise)=(""&amp;loteCarregado),COUNTIFS(regAnalito,selAnalito,regNivel,1,regData,$C169,regRep3,"&lt;&gt;")&gt;0),SUMIFS(regRep3,regAnalito,selAnalito,regNivel,1,regData,$C169),NA())</f>
        <v>#N/A</v>
      </c>
      <c r="AA169" s="30" t="e">
        <f>IF(AND($D169=1,COUNTIFS(regAnalito,selAnalito,regData,$C169,regCalib,"Sim")&gt;0),$BT$1,NA())</f>
        <v>#N/A</v>
      </c>
      <c r="AB169" s="30" t="str">
        <f>IF($B169="","",IF(INDEX(engValN2,$A169)="","",INDEX(engValN2,$A169)))</f>
        <v/>
      </c>
      <c r="AC169" s="30" t="str">
        <f t="shared" si="182"/>
        <v/>
      </c>
      <c r="AD169" s="30" t="e">
        <f t="shared" si="183"/>
        <v>#N/A</v>
      </c>
      <c r="AE169" s="30" t="e">
        <f t="shared" si="184"/>
        <v>#N/A</v>
      </c>
      <c r="AF169" s="30" t="e">
        <f t="shared" si="185"/>
        <v>#N/A</v>
      </c>
      <c r="AG169" s="30">
        <f>IF($AB169="",0,IFERROR(INDEX(engDados,MATCH(selAnalito&amp;"|"&amp;$B169,engChave,0),10),0))</f>
        <v>0</v>
      </c>
      <c r="AH169" s="30">
        <f>IF($AB169="",0,IFERROR(INDEX(engDados,MATCH(selAnalito&amp;"|"&amp;$B169,engChave,0),11),0))</f>
        <v>0</v>
      </c>
      <c r="AI169" s="30">
        <f>IF($AB169="",0,IFERROR(INDEX(engDados,MATCH(selAnalito&amp;"|"&amp;$B169,engChave,0),12),0))</f>
        <v>0</v>
      </c>
      <c r="AJ169" s="30">
        <f>IF($AB169="",0,IFERROR(INDEX(engDados,MATCH(selAnalito&amp;"|"&amp;$B169,engChave,0),13),0))</f>
        <v>0</v>
      </c>
      <c r="AK169" s="30">
        <f>IF($AB169="",0,IFERROR(INDEX(engDados,MATCH(selAnalito&amp;"|"&amp;$B169,engChave,0),14),0))</f>
        <v>0</v>
      </c>
      <c r="AL169" s="30" t="str">
        <f>IF($AB169="","",IFERROR(INDEX(engDados,MATCH(selAnalito&amp;"|"&amp;$B169,engChave,0),16),""))</f>
        <v/>
      </c>
      <c r="AM169" s="30" t="e">
        <f t="shared" si="186"/>
        <v>#N/A</v>
      </c>
      <c r="AN169" s="30" t="e">
        <f t="shared" si="187"/>
        <v>#N/A</v>
      </c>
      <c r="AO169" s="30" t="e">
        <f t="shared" si="188"/>
        <v>#N/A</v>
      </c>
      <c r="AP169" s="30" t="e">
        <f t="shared" si="189"/>
        <v>#N/A</v>
      </c>
      <c r="AQ169" s="30" t="e">
        <f t="shared" si="190"/>
        <v>#N/A</v>
      </c>
      <c r="AR169" s="30" t="e">
        <f t="shared" si="191"/>
        <v>#N/A</v>
      </c>
      <c r="AS169" s="30" t="e">
        <f t="shared" si="192"/>
        <v>#N/A</v>
      </c>
      <c r="AT169" s="30" t="e">
        <f>IF(AND($D169=1,(""&amp;loteAnalise)=(""&amp;loteCarregado),COUNTIFS(regAnalito,selAnalito,regNivel,2,regData,$C169,regRep1,"&lt;&gt;")&gt;0),SUMIFS(regRep1,regAnalito,selAnalito,regNivel,2,regData,$C169),NA())</f>
        <v>#N/A</v>
      </c>
      <c r="AU169" s="30" t="e">
        <f>IF(AND($D169=1,(""&amp;loteAnalise)=(""&amp;loteCarregado),COUNTIFS(regAnalito,selAnalito,regNivel,2,regData,$C169,regRep2,"&lt;&gt;")&gt;0),SUMIFS(regRep2,regAnalito,selAnalito,regNivel,2,regData,$C169),NA())</f>
        <v>#N/A</v>
      </c>
      <c r="AV169" s="30" t="e">
        <f>IF(AND($D169=1,(""&amp;loteAnalise)=(""&amp;loteCarregado),COUNTIFS(regAnalito,selAnalito,regNivel,2,regData,$C169,regRep3,"&lt;&gt;")&gt;0),SUMIFS(regRep3,regAnalito,selAnalito,regNivel,2,regData,$C169),NA())</f>
        <v>#N/A</v>
      </c>
      <c r="AW169" s="30" t="e">
        <f>IF(AND($D169=1,COUNTIFS(regAnalito,selAnalito,regData,$C169,regCalib,"Sim")&gt;0),$BV$1,NA())</f>
        <v>#N/A</v>
      </c>
      <c r="AX169" s="30" t="str">
        <f>IF($B169="","",IF(INDEX(engValN3,$A169)="","",INDEX(engValN3,$A169)))</f>
        <v/>
      </c>
      <c r="AY169" s="30" t="str">
        <f t="shared" si="193"/>
        <v/>
      </c>
      <c r="AZ169" s="30" t="e">
        <f t="shared" si="194"/>
        <v>#N/A</v>
      </c>
      <c r="BA169" s="30" t="e">
        <f t="shared" si="195"/>
        <v>#N/A</v>
      </c>
      <c r="BB169" s="30" t="e">
        <f t="shared" si="196"/>
        <v>#N/A</v>
      </c>
      <c r="BC169" s="30">
        <f>IF($AX169="",0,IFERROR(INDEX(engDados,MATCH(selAnalito&amp;"|"&amp;$B169,engChave,0),17),0))</f>
        <v>0</v>
      </c>
      <c r="BD169" s="30">
        <f>IF($AX169="",0,IFERROR(INDEX(engDados,MATCH(selAnalito&amp;"|"&amp;$B169,engChave,0),18),0))</f>
        <v>0</v>
      </c>
      <c r="BE169" s="30">
        <f>IF($AX169="",0,IFERROR(INDEX(engDados,MATCH(selAnalito&amp;"|"&amp;$B169,engChave,0),19),0))</f>
        <v>0</v>
      </c>
      <c r="BF169" s="30">
        <f>IF($AX169="",0,IFERROR(INDEX(engDados,MATCH(selAnalito&amp;"|"&amp;$B169,engChave,0),20),0))</f>
        <v>0</v>
      </c>
      <c r="BG169" s="30">
        <f>IF($AX169="",0,IFERROR(INDEX(engDados,MATCH(selAnalito&amp;"|"&amp;$B169,engChave,0),21),0))</f>
        <v>0</v>
      </c>
      <c r="BH169" s="30" t="str">
        <f>IF($AX169="","",IFERROR(INDEX(engDados,MATCH(selAnalito&amp;"|"&amp;$B169,engChave,0),23),""))</f>
        <v/>
      </c>
      <c r="BI169" s="30" t="e">
        <f t="shared" si="197"/>
        <v>#N/A</v>
      </c>
      <c r="BJ169" s="30" t="e">
        <f t="shared" si="198"/>
        <v>#N/A</v>
      </c>
      <c r="BK169" s="30" t="e">
        <f t="shared" si="199"/>
        <v>#N/A</v>
      </c>
      <c r="BL169" s="30" t="e">
        <f t="shared" si="200"/>
        <v>#N/A</v>
      </c>
      <c r="BM169" s="30" t="e">
        <f t="shared" si="201"/>
        <v>#N/A</v>
      </c>
      <c r="BN169" s="30" t="e">
        <f t="shared" si="202"/>
        <v>#N/A</v>
      </c>
      <c r="BO169" s="30" t="e">
        <f t="shared" si="203"/>
        <v>#N/A</v>
      </c>
      <c r="BP169" s="30" t="e">
        <f>IF(AND($D169=1,(""&amp;loteAnalise)=(""&amp;loteCarregado),COUNTIFS(regAnalito,selAnalito,regNivel,3,regData,$C169,regRep1,"&lt;&gt;")&gt;0),SUMIFS(regRep1,regAnalito,selAnalito,regNivel,3,regData,$C169),NA())</f>
        <v>#N/A</v>
      </c>
      <c r="BQ169" s="30" t="e">
        <f>IF(AND($D169=1,(""&amp;loteAnalise)=(""&amp;loteCarregado),COUNTIFS(regAnalito,selAnalito,regNivel,3,regData,$C169,regRep2,"&lt;&gt;")&gt;0),SUMIFS(regRep2,regAnalito,selAnalito,regNivel,3,regData,$C169),NA())</f>
        <v>#N/A</v>
      </c>
      <c r="BR169" s="30" t="e">
        <f>IF(AND($D169=1,(""&amp;loteAnalise)=(""&amp;loteCarregado),COUNTIFS(regAnalito,selAnalito,regNivel,3,regData,$C169,regRep3,"&lt;&gt;")&gt;0),SUMIFS(regRep3,regAnalito,selAnalito,regNivel,3,regData,$C169),NA())</f>
        <v>#N/A</v>
      </c>
      <c r="BS169" s="30" t="e">
        <f>IF(AND($D169=1,COUNTIFS(regAnalito,selAnalito,regData,$C169,regCalib,"Sim")&gt;0),$BX$1,NA())</f>
        <v>#N/A</v>
      </c>
    </row>
    <row r="170" spans="1:71" x14ac:dyDescent="0.3">
      <c r="A170" s="30">
        <v>168</v>
      </c>
      <c r="B170" s="30" t="str">
        <f>IF(OR(selAnalito="",(""&amp;engAnalito)&lt;&gt;(""&amp;selAnalito),(""&amp;engLote)&lt;&gt;(""&amp;loteAnalise),$A170&gt;N(engNRun)),"",INDEX(engRUN,$A170))</f>
        <v/>
      </c>
      <c r="C170" s="43" t="str">
        <f>IF($B170="","",IF(INDEX(engData,$A170)="","",INDEX(engData,$A170)))</f>
        <v/>
      </c>
      <c r="D170" s="30">
        <f>IF($C170="",0,IF(AND(OR(filtroDe="",INT($C170)&gt;=INT(filtroDe)),OR(filtroAte="",INT($C170)&lt;=INT(filtroAte))),1,0))</f>
        <v>0</v>
      </c>
      <c r="E170" s="30" t="e">
        <f t="shared" si="170"/>
        <v>#N/A</v>
      </c>
      <c r="F170" s="30" t="str">
        <f>IF($B170="","",IF(INDEX(engValN1,$A170)="","",INDEX(engValN1,$A170)))</f>
        <v/>
      </c>
      <c r="G170" s="30" t="str">
        <f t="shared" si="171"/>
        <v/>
      </c>
      <c r="H170" s="30" t="e">
        <f t="shared" si="172"/>
        <v>#N/A</v>
      </c>
      <c r="I170" s="30" t="e">
        <f t="shared" si="173"/>
        <v>#N/A</v>
      </c>
      <c r="J170" s="30" t="e">
        <f t="shared" si="174"/>
        <v>#N/A</v>
      </c>
      <c r="K170" s="30">
        <f>IF($F170="",0,IFERROR(INDEX(engDados,MATCH(selAnalito&amp;"|"&amp;$B170,engChave,0),3),0))</f>
        <v>0</v>
      </c>
      <c r="L170" s="30">
        <f>IF($F170="",0,IFERROR(INDEX(engDados,MATCH(selAnalito&amp;"|"&amp;$B170,engChave,0),4),0))</f>
        <v>0</v>
      </c>
      <c r="M170" s="30">
        <f>IF($F170="",0,IFERROR(INDEX(engDados,MATCH(selAnalito&amp;"|"&amp;$B170,engChave,0),5),0))</f>
        <v>0</v>
      </c>
      <c r="N170" s="30">
        <f>IF($F170="",0,IFERROR(INDEX(engDados,MATCH(selAnalito&amp;"|"&amp;$B170,engChave,0),6),0))</f>
        <v>0</v>
      </c>
      <c r="O170" s="30">
        <f>IF($F170="",0,IFERROR(INDEX(engDados,MATCH(selAnalito&amp;"|"&amp;$B170,engChave,0),7),0))</f>
        <v>0</v>
      </c>
      <c r="P170" s="30" t="str">
        <f>IF($F170="","",IFERROR(INDEX(engDados,MATCH(selAnalito&amp;"|"&amp;$B170,engChave,0),9),""))</f>
        <v/>
      </c>
      <c r="Q170" s="30" t="e">
        <f t="shared" si="175"/>
        <v>#N/A</v>
      </c>
      <c r="R170" s="30" t="e">
        <f t="shared" si="176"/>
        <v>#N/A</v>
      </c>
      <c r="S170" s="30" t="e">
        <f t="shared" si="177"/>
        <v>#N/A</v>
      </c>
      <c r="T170" s="30" t="e">
        <f t="shared" si="178"/>
        <v>#N/A</v>
      </c>
      <c r="U170" s="30" t="e">
        <f t="shared" si="179"/>
        <v>#N/A</v>
      </c>
      <c r="V170" s="30" t="e">
        <f t="shared" si="180"/>
        <v>#N/A</v>
      </c>
      <c r="W170" s="30" t="e">
        <f t="shared" si="181"/>
        <v>#N/A</v>
      </c>
      <c r="X170" s="30" t="e">
        <f>IF(AND($D170=1,(""&amp;loteAnalise)=(""&amp;loteCarregado),COUNTIFS(regAnalito,selAnalito,regNivel,1,regData,$C170,regRep1,"&lt;&gt;")&gt;0),SUMIFS(regRep1,regAnalito,selAnalito,regNivel,1,regData,$C170),NA())</f>
        <v>#N/A</v>
      </c>
      <c r="Y170" s="30" t="e">
        <f>IF(AND($D170=1,(""&amp;loteAnalise)=(""&amp;loteCarregado),COUNTIFS(regAnalito,selAnalito,regNivel,1,regData,$C170,regRep2,"&lt;&gt;")&gt;0),SUMIFS(regRep2,regAnalito,selAnalito,regNivel,1,regData,$C170),NA())</f>
        <v>#N/A</v>
      </c>
      <c r="Z170" s="30" t="e">
        <f>IF(AND($D170=1,(""&amp;loteAnalise)=(""&amp;loteCarregado),COUNTIFS(regAnalito,selAnalito,regNivel,1,regData,$C170,regRep3,"&lt;&gt;")&gt;0),SUMIFS(regRep3,regAnalito,selAnalito,regNivel,1,regData,$C170),NA())</f>
        <v>#N/A</v>
      </c>
      <c r="AA170" s="30" t="e">
        <f>IF(AND($D170=1,COUNTIFS(regAnalito,selAnalito,regData,$C170,regCalib,"Sim")&gt;0),$BT$1,NA())</f>
        <v>#N/A</v>
      </c>
      <c r="AB170" s="30" t="str">
        <f>IF($B170="","",IF(INDEX(engValN2,$A170)="","",INDEX(engValN2,$A170)))</f>
        <v/>
      </c>
      <c r="AC170" s="30" t="str">
        <f t="shared" si="182"/>
        <v/>
      </c>
      <c r="AD170" s="30" t="e">
        <f t="shared" si="183"/>
        <v>#N/A</v>
      </c>
      <c r="AE170" s="30" t="e">
        <f t="shared" si="184"/>
        <v>#N/A</v>
      </c>
      <c r="AF170" s="30" t="e">
        <f t="shared" si="185"/>
        <v>#N/A</v>
      </c>
      <c r="AG170" s="30">
        <f>IF($AB170="",0,IFERROR(INDEX(engDados,MATCH(selAnalito&amp;"|"&amp;$B170,engChave,0),10),0))</f>
        <v>0</v>
      </c>
      <c r="AH170" s="30">
        <f>IF($AB170="",0,IFERROR(INDEX(engDados,MATCH(selAnalito&amp;"|"&amp;$B170,engChave,0),11),0))</f>
        <v>0</v>
      </c>
      <c r="AI170" s="30">
        <f>IF($AB170="",0,IFERROR(INDEX(engDados,MATCH(selAnalito&amp;"|"&amp;$B170,engChave,0),12),0))</f>
        <v>0</v>
      </c>
      <c r="AJ170" s="30">
        <f>IF($AB170="",0,IFERROR(INDEX(engDados,MATCH(selAnalito&amp;"|"&amp;$B170,engChave,0),13),0))</f>
        <v>0</v>
      </c>
      <c r="AK170" s="30">
        <f>IF($AB170="",0,IFERROR(INDEX(engDados,MATCH(selAnalito&amp;"|"&amp;$B170,engChave,0),14),0))</f>
        <v>0</v>
      </c>
      <c r="AL170" s="30" t="str">
        <f>IF($AB170="","",IFERROR(INDEX(engDados,MATCH(selAnalito&amp;"|"&amp;$B170,engChave,0),16),""))</f>
        <v/>
      </c>
      <c r="AM170" s="30" t="e">
        <f t="shared" si="186"/>
        <v>#N/A</v>
      </c>
      <c r="AN170" s="30" t="e">
        <f t="shared" si="187"/>
        <v>#N/A</v>
      </c>
      <c r="AO170" s="30" t="e">
        <f t="shared" si="188"/>
        <v>#N/A</v>
      </c>
      <c r="AP170" s="30" t="e">
        <f t="shared" si="189"/>
        <v>#N/A</v>
      </c>
      <c r="AQ170" s="30" t="e">
        <f t="shared" si="190"/>
        <v>#N/A</v>
      </c>
      <c r="AR170" s="30" t="e">
        <f t="shared" si="191"/>
        <v>#N/A</v>
      </c>
      <c r="AS170" s="30" t="e">
        <f t="shared" si="192"/>
        <v>#N/A</v>
      </c>
      <c r="AT170" s="30" t="e">
        <f>IF(AND($D170=1,(""&amp;loteAnalise)=(""&amp;loteCarregado),COUNTIFS(regAnalito,selAnalito,regNivel,2,regData,$C170,regRep1,"&lt;&gt;")&gt;0),SUMIFS(regRep1,regAnalito,selAnalito,regNivel,2,regData,$C170),NA())</f>
        <v>#N/A</v>
      </c>
      <c r="AU170" s="30" t="e">
        <f>IF(AND($D170=1,(""&amp;loteAnalise)=(""&amp;loteCarregado),COUNTIFS(regAnalito,selAnalito,regNivel,2,regData,$C170,regRep2,"&lt;&gt;")&gt;0),SUMIFS(regRep2,regAnalito,selAnalito,regNivel,2,regData,$C170),NA())</f>
        <v>#N/A</v>
      </c>
      <c r="AV170" s="30" t="e">
        <f>IF(AND($D170=1,(""&amp;loteAnalise)=(""&amp;loteCarregado),COUNTIFS(regAnalito,selAnalito,regNivel,2,regData,$C170,regRep3,"&lt;&gt;")&gt;0),SUMIFS(regRep3,regAnalito,selAnalito,regNivel,2,regData,$C170),NA())</f>
        <v>#N/A</v>
      </c>
      <c r="AW170" s="30" t="e">
        <f>IF(AND($D170=1,COUNTIFS(regAnalito,selAnalito,regData,$C170,regCalib,"Sim")&gt;0),$BV$1,NA())</f>
        <v>#N/A</v>
      </c>
      <c r="AX170" s="30" t="str">
        <f>IF($B170="","",IF(INDEX(engValN3,$A170)="","",INDEX(engValN3,$A170)))</f>
        <v/>
      </c>
      <c r="AY170" s="30" t="str">
        <f t="shared" si="193"/>
        <v/>
      </c>
      <c r="AZ170" s="30" t="e">
        <f t="shared" si="194"/>
        <v>#N/A</v>
      </c>
      <c r="BA170" s="30" t="e">
        <f t="shared" si="195"/>
        <v>#N/A</v>
      </c>
      <c r="BB170" s="30" t="e">
        <f t="shared" si="196"/>
        <v>#N/A</v>
      </c>
      <c r="BC170" s="30">
        <f>IF($AX170="",0,IFERROR(INDEX(engDados,MATCH(selAnalito&amp;"|"&amp;$B170,engChave,0),17),0))</f>
        <v>0</v>
      </c>
      <c r="BD170" s="30">
        <f>IF($AX170="",0,IFERROR(INDEX(engDados,MATCH(selAnalito&amp;"|"&amp;$B170,engChave,0),18),0))</f>
        <v>0</v>
      </c>
      <c r="BE170" s="30">
        <f>IF($AX170="",0,IFERROR(INDEX(engDados,MATCH(selAnalito&amp;"|"&amp;$B170,engChave,0),19),0))</f>
        <v>0</v>
      </c>
      <c r="BF170" s="30">
        <f>IF($AX170="",0,IFERROR(INDEX(engDados,MATCH(selAnalito&amp;"|"&amp;$B170,engChave,0),20),0))</f>
        <v>0</v>
      </c>
      <c r="BG170" s="30">
        <f>IF($AX170="",0,IFERROR(INDEX(engDados,MATCH(selAnalito&amp;"|"&amp;$B170,engChave,0),21),0))</f>
        <v>0</v>
      </c>
      <c r="BH170" s="30" t="str">
        <f>IF($AX170="","",IFERROR(INDEX(engDados,MATCH(selAnalito&amp;"|"&amp;$B170,engChave,0),23),""))</f>
        <v/>
      </c>
      <c r="BI170" s="30" t="e">
        <f t="shared" si="197"/>
        <v>#N/A</v>
      </c>
      <c r="BJ170" s="30" t="e">
        <f t="shared" si="198"/>
        <v>#N/A</v>
      </c>
      <c r="BK170" s="30" t="e">
        <f t="shared" si="199"/>
        <v>#N/A</v>
      </c>
      <c r="BL170" s="30" t="e">
        <f t="shared" si="200"/>
        <v>#N/A</v>
      </c>
      <c r="BM170" s="30" t="e">
        <f t="shared" si="201"/>
        <v>#N/A</v>
      </c>
      <c r="BN170" s="30" t="e">
        <f t="shared" si="202"/>
        <v>#N/A</v>
      </c>
      <c r="BO170" s="30" t="e">
        <f t="shared" si="203"/>
        <v>#N/A</v>
      </c>
      <c r="BP170" s="30" t="e">
        <f>IF(AND($D170=1,(""&amp;loteAnalise)=(""&amp;loteCarregado),COUNTIFS(regAnalito,selAnalito,regNivel,3,regData,$C170,regRep1,"&lt;&gt;")&gt;0),SUMIFS(regRep1,regAnalito,selAnalito,regNivel,3,regData,$C170),NA())</f>
        <v>#N/A</v>
      </c>
      <c r="BQ170" s="30" t="e">
        <f>IF(AND($D170=1,(""&amp;loteAnalise)=(""&amp;loteCarregado),COUNTIFS(regAnalito,selAnalito,regNivel,3,regData,$C170,regRep2,"&lt;&gt;")&gt;0),SUMIFS(regRep2,regAnalito,selAnalito,regNivel,3,regData,$C170),NA())</f>
        <v>#N/A</v>
      </c>
      <c r="BR170" s="30" t="e">
        <f>IF(AND($D170=1,(""&amp;loteAnalise)=(""&amp;loteCarregado),COUNTIFS(regAnalito,selAnalito,regNivel,3,regData,$C170,regRep3,"&lt;&gt;")&gt;0),SUMIFS(regRep3,regAnalito,selAnalito,regNivel,3,regData,$C170),NA())</f>
        <v>#N/A</v>
      </c>
      <c r="BS170" s="30" t="e">
        <f>IF(AND($D170=1,COUNTIFS(regAnalito,selAnalito,regData,$C170,regCalib,"Sim")&gt;0),$BX$1,NA())</f>
        <v>#N/A</v>
      </c>
    </row>
    <row r="171" spans="1:71" x14ac:dyDescent="0.3">
      <c r="A171" s="30">
        <v>169</v>
      </c>
      <c r="B171" s="30" t="str">
        <f>IF(OR(selAnalito="",(""&amp;engAnalito)&lt;&gt;(""&amp;selAnalito),(""&amp;engLote)&lt;&gt;(""&amp;loteAnalise),$A171&gt;N(engNRun)),"",INDEX(engRUN,$A171))</f>
        <v/>
      </c>
      <c r="C171" s="43" t="str">
        <f>IF($B171="","",IF(INDEX(engData,$A171)="","",INDEX(engData,$A171)))</f>
        <v/>
      </c>
      <c r="D171" s="30">
        <f>IF($C171="",0,IF(AND(OR(filtroDe="",INT($C171)&gt;=INT(filtroDe)),OR(filtroAte="",INT($C171)&lt;=INT(filtroAte))),1,0))</f>
        <v>0</v>
      </c>
      <c r="E171" s="30" t="e">
        <f t="shared" si="170"/>
        <v>#N/A</v>
      </c>
      <c r="F171" s="30" t="str">
        <f>IF($B171="","",IF(INDEX(engValN1,$A171)="","",INDEX(engValN1,$A171)))</f>
        <v/>
      </c>
      <c r="G171" s="30" t="str">
        <f t="shared" si="171"/>
        <v/>
      </c>
      <c r="H171" s="30" t="e">
        <f t="shared" si="172"/>
        <v>#N/A</v>
      </c>
      <c r="I171" s="30" t="e">
        <f t="shared" si="173"/>
        <v>#N/A</v>
      </c>
      <c r="J171" s="30" t="e">
        <f t="shared" si="174"/>
        <v>#N/A</v>
      </c>
      <c r="K171" s="30">
        <f>IF($F171="",0,IFERROR(INDEX(engDados,MATCH(selAnalito&amp;"|"&amp;$B171,engChave,0),3),0))</f>
        <v>0</v>
      </c>
      <c r="L171" s="30">
        <f>IF($F171="",0,IFERROR(INDEX(engDados,MATCH(selAnalito&amp;"|"&amp;$B171,engChave,0),4),0))</f>
        <v>0</v>
      </c>
      <c r="M171" s="30">
        <f>IF($F171="",0,IFERROR(INDEX(engDados,MATCH(selAnalito&amp;"|"&amp;$B171,engChave,0),5),0))</f>
        <v>0</v>
      </c>
      <c r="N171" s="30">
        <f>IF($F171="",0,IFERROR(INDEX(engDados,MATCH(selAnalito&amp;"|"&amp;$B171,engChave,0),6),0))</f>
        <v>0</v>
      </c>
      <c r="O171" s="30">
        <f>IF($F171="",0,IFERROR(INDEX(engDados,MATCH(selAnalito&amp;"|"&amp;$B171,engChave,0),7),0))</f>
        <v>0</v>
      </c>
      <c r="P171" s="30" t="str">
        <f>IF($F171="","",IFERROR(INDEX(engDados,MATCH(selAnalito&amp;"|"&amp;$B171,engChave,0),9),""))</f>
        <v/>
      </c>
      <c r="Q171" s="30" t="e">
        <f t="shared" si="175"/>
        <v>#N/A</v>
      </c>
      <c r="R171" s="30" t="e">
        <f t="shared" si="176"/>
        <v>#N/A</v>
      </c>
      <c r="S171" s="30" t="e">
        <f t="shared" si="177"/>
        <v>#N/A</v>
      </c>
      <c r="T171" s="30" t="e">
        <f t="shared" si="178"/>
        <v>#N/A</v>
      </c>
      <c r="U171" s="30" t="e">
        <f t="shared" si="179"/>
        <v>#N/A</v>
      </c>
      <c r="V171" s="30" t="e">
        <f t="shared" si="180"/>
        <v>#N/A</v>
      </c>
      <c r="W171" s="30" t="e">
        <f t="shared" si="181"/>
        <v>#N/A</v>
      </c>
      <c r="X171" s="30" t="e">
        <f>IF(AND($D171=1,(""&amp;loteAnalise)=(""&amp;loteCarregado),COUNTIFS(regAnalito,selAnalito,regNivel,1,regData,$C171,regRep1,"&lt;&gt;")&gt;0),SUMIFS(regRep1,regAnalito,selAnalito,regNivel,1,regData,$C171),NA())</f>
        <v>#N/A</v>
      </c>
      <c r="Y171" s="30" t="e">
        <f>IF(AND($D171=1,(""&amp;loteAnalise)=(""&amp;loteCarregado),COUNTIFS(regAnalito,selAnalito,regNivel,1,regData,$C171,regRep2,"&lt;&gt;")&gt;0),SUMIFS(regRep2,regAnalito,selAnalito,regNivel,1,regData,$C171),NA())</f>
        <v>#N/A</v>
      </c>
      <c r="Z171" s="30" t="e">
        <f>IF(AND($D171=1,(""&amp;loteAnalise)=(""&amp;loteCarregado),COUNTIFS(regAnalito,selAnalito,regNivel,1,regData,$C171,regRep3,"&lt;&gt;")&gt;0),SUMIFS(regRep3,regAnalito,selAnalito,regNivel,1,regData,$C171),NA())</f>
        <v>#N/A</v>
      </c>
      <c r="AA171" s="30" t="e">
        <f>IF(AND($D171=1,COUNTIFS(regAnalito,selAnalito,regData,$C171,regCalib,"Sim")&gt;0),$BT$1,NA())</f>
        <v>#N/A</v>
      </c>
      <c r="AB171" s="30" t="str">
        <f>IF($B171="","",IF(INDEX(engValN2,$A171)="","",INDEX(engValN2,$A171)))</f>
        <v/>
      </c>
      <c r="AC171" s="30" t="str">
        <f t="shared" si="182"/>
        <v/>
      </c>
      <c r="AD171" s="30" t="e">
        <f t="shared" si="183"/>
        <v>#N/A</v>
      </c>
      <c r="AE171" s="30" t="e">
        <f t="shared" si="184"/>
        <v>#N/A</v>
      </c>
      <c r="AF171" s="30" t="e">
        <f t="shared" si="185"/>
        <v>#N/A</v>
      </c>
      <c r="AG171" s="30">
        <f>IF($AB171="",0,IFERROR(INDEX(engDados,MATCH(selAnalito&amp;"|"&amp;$B171,engChave,0),10),0))</f>
        <v>0</v>
      </c>
      <c r="AH171" s="30">
        <f>IF($AB171="",0,IFERROR(INDEX(engDados,MATCH(selAnalito&amp;"|"&amp;$B171,engChave,0),11),0))</f>
        <v>0</v>
      </c>
      <c r="AI171" s="30">
        <f>IF($AB171="",0,IFERROR(INDEX(engDados,MATCH(selAnalito&amp;"|"&amp;$B171,engChave,0),12),0))</f>
        <v>0</v>
      </c>
      <c r="AJ171" s="30">
        <f>IF($AB171="",0,IFERROR(INDEX(engDados,MATCH(selAnalito&amp;"|"&amp;$B171,engChave,0),13),0))</f>
        <v>0</v>
      </c>
      <c r="AK171" s="30">
        <f>IF($AB171="",0,IFERROR(INDEX(engDados,MATCH(selAnalito&amp;"|"&amp;$B171,engChave,0),14),0))</f>
        <v>0</v>
      </c>
      <c r="AL171" s="30" t="str">
        <f>IF($AB171="","",IFERROR(INDEX(engDados,MATCH(selAnalito&amp;"|"&amp;$B171,engChave,0),16),""))</f>
        <v/>
      </c>
      <c r="AM171" s="30" t="e">
        <f t="shared" si="186"/>
        <v>#N/A</v>
      </c>
      <c r="AN171" s="30" t="e">
        <f t="shared" si="187"/>
        <v>#N/A</v>
      </c>
      <c r="AO171" s="30" t="e">
        <f t="shared" si="188"/>
        <v>#N/A</v>
      </c>
      <c r="AP171" s="30" t="e">
        <f t="shared" si="189"/>
        <v>#N/A</v>
      </c>
      <c r="AQ171" s="30" t="e">
        <f t="shared" si="190"/>
        <v>#N/A</v>
      </c>
      <c r="AR171" s="30" t="e">
        <f t="shared" si="191"/>
        <v>#N/A</v>
      </c>
      <c r="AS171" s="30" t="e">
        <f t="shared" si="192"/>
        <v>#N/A</v>
      </c>
      <c r="AT171" s="30" t="e">
        <f>IF(AND($D171=1,(""&amp;loteAnalise)=(""&amp;loteCarregado),COUNTIFS(regAnalito,selAnalito,regNivel,2,regData,$C171,regRep1,"&lt;&gt;")&gt;0),SUMIFS(regRep1,regAnalito,selAnalito,regNivel,2,regData,$C171),NA())</f>
        <v>#N/A</v>
      </c>
      <c r="AU171" s="30" t="e">
        <f>IF(AND($D171=1,(""&amp;loteAnalise)=(""&amp;loteCarregado),COUNTIFS(regAnalito,selAnalito,regNivel,2,regData,$C171,regRep2,"&lt;&gt;")&gt;0),SUMIFS(regRep2,regAnalito,selAnalito,regNivel,2,regData,$C171),NA())</f>
        <v>#N/A</v>
      </c>
      <c r="AV171" s="30" t="e">
        <f>IF(AND($D171=1,(""&amp;loteAnalise)=(""&amp;loteCarregado),COUNTIFS(regAnalito,selAnalito,regNivel,2,regData,$C171,regRep3,"&lt;&gt;")&gt;0),SUMIFS(regRep3,regAnalito,selAnalito,regNivel,2,regData,$C171),NA())</f>
        <v>#N/A</v>
      </c>
      <c r="AW171" s="30" t="e">
        <f>IF(AND($D171=1,COUNTIFS(regAnalito,selAnalito,regData,$C171,regCalib,"Sim")&gt;0),$BV$1,NA())</f>
        <v>#N/A</v>
      </c>
      <c r="AX171" s="30" t="str">
        <f>IF($B171="","",IF(INDEX(engValN3,$A171)="","",INDEX(engValN3,$A171)))</f>
        <v/>
      </c>
      <c r="AY171" s="30" t="str">
        <f t="shared" si="193"/>
        <v/>
      </c>
      <c r="AZ171" s="30" t="e">
        <f t="shared" si="194"/>
        <v>#N/A</v>
      </c>
      <c r="BA171" s="30" t="e">
        <f t="shared" si="195"/>
        <v>#N/A</v>
      </c>
      <c r="BB171" s="30" t="e">
        <f t="shared" si="196"/>
        <v>#N/A</v>
      </c>
      <c r="BC171" s="30">
        <f>IF($AX171="",0,IFERROR(INDEX(engDados,MATCH(selAnalito&amp;"|"&amp;$B171,engChave,0),17),0))</f>
        <v>0</v>
      </c>
      <c r="BD171" s="30">
        <f>IF($AX171="",0,IFERROR(INDEX(engDados,MATCH(selAnalito&amp;"|"&amp;$B171,engChave,0),18),0))</f>
        <v>0</v>
      </c>
      <c r="BE171" s="30">
        <f>IF($AX171="",0,IFERROR(INDEX(engDados,MATCH(selAnalito&amp;"|"&amp;$B171,engChave,0),19),0))</f>
        <v>0</v>
      </c>
      <c r="BF171" s="30">
        <f>IF($AX171="",0,IFERROR(INDEX(engDados,MATCH(selAnalito&amp;"|"&amp;$B171,engChave,0),20),0))</f>
        <v>0</v>
      </c>
      <c r="BG171" s="30">
        <f>IF($AX171="",0,IFERROR(INDEX(engDados,MATCH(selAnalito&amp;"|"&amp;$B171,engChave,0),21),0))</f>
        <v>0</v>
      </c>
      <c r="BH171" s="30" t="str">
        <f>IF($AX171="","",IFERROR(INDEX(engDados,MATCH(selAnalito&amp;"|"&amp;$B171,engChave,0),23),""))</f>
        <v/>
      </c>
      <c r="BI171" s="30" t="e">
        <f t="shared" si="197"/>
        <v>#N/A</v>
      </c>
      <c r="BJ171" s="30" t="e">
        <f t="shared" si="198"/>
        <v>#N/A</v>
      </c>
      <c r="BK171" s="30" t="e">
        <f t="shared" si="199"/>
        <v>#N/A</v>
      </c>
      <c r="BL171" s="30" t="e">
        <f t="shared" si="200"/>
        <v>#N/A</v>
      </c>
      <c r="BM171" s="30" t="e">
        <f t="shared" si="201"/>
        <v>#N/A</v>
      </c>
      <c r="BN171" s="30" t="e">
        <f t="shared" si="202"/>
        <v>#N/A</v>
      </c>
      <c r="BO171" s="30" t="e">
        <f t="shared" si="203"/>
        <v>#N/A</v>
      </c>
      <c r="BP171" s="30" t="e">
        <f>IF(AND($D171=1,(""&amp;loteAnalise)=(""&amp;loteCarregado),COUNTIFS(regAnalito,selAnalito,regNivel,3,regData,$C171,regRep1,"&lt;&gt;")&gt;0),SUMIFS(regRep1,regAnalito,selAnalito,regNivel,3,regData,$C171),NA())</f>
        <v>#N/A</v>
      </c>
      <c r="BQ171" s="30" t="e">
        <f>IF(AND($D171=1,(""&amp;loteAnalise)=(""&amp;loteCarregado),COUNTIFS(regAnalito,selAnalito,regNivel,3,regData,$C171,regRep2,"&lt;&gt;")&gt;0),SUMIFS(regRep2,regAnalito,selAnalito,regNivel,3,regData,$C171),NA())</f>
        <v>#N/A</v>
      </c>
      <c r="BR171" s="30" t="e">
        <f>IF(AND($D171=1,(""&amp;loteAnalise)=(""&amp;loteCarregado),COUNTIFS(regAnalito,selAnalito,regNivel,3,regData,$C171,regRep3,"&lt;&gt;")&gt;0),SUMIFS(regRep3,regAnalito,selAnalito,regNivel,3,regData,$C171),NA())</f>
        <v>#N/A</v>
      </c>
      <c r="BS171" s="30" t="e">
        <f>IF(AND($D171=1,COUNTIFS(regAnalito,selAnalito,regData,$C171,regCalib,"Sim")&gt;0),$BX$1,NA())</f>
        <v>#N/A</v>
      </c>
    </row>
    <row r="172" spans="1:71" x14ac:dyDescent="0.3">
      <c r="A172" s="30">
        <v>170</v>
      </c>
      <c r="B172" s="30" t="str">
        <f>IF(OR(selAnalito="",(""&amp;engAnalito)&lt;&gt;(""&amp;selAnalito),(""&amp;engLote)&lt;&gt;(""&amp;loteAnalise),$A172&gt;N(engNRun)),"",INDEX(engRUN,$A172))</f>
        <v/>
      </c>
      <c r="C172" s="43" t="str">
        <f>IF($B172="","",IF(INDEX(engData,$A172)="","",INDEX(engData,$A172)))</f>
        <v/>
      </c>
      <c r="D172" s="30">
        <f>IF($C172="",0,IF(AND(OR(filtroDe="",INT($C172)&gt;=INT(filtroDe)),OR(filtroAte="",INT($C172)&lt;=INT(filtroAte))),1,0))</f>
        <v>0</v>
      </c>
      <c r="E172" s="30" t="e">
        <f t="shared" si="170"/>
        <v>#N/A</v>
      </c>
      <c r="F172" s="30" t="str">
        <f>IF($B172="","",IF(INDEX(engValN1,$A172)="","",INDEX(engValN1,$A172)))</f>
        <v/>
      </c>
      <c r="G172" s="30" t="str">
        <f t="shared" si="171"/>
        <v/>
      </c>
      <c r="H172" s="30" t="e">
        <f t="shared" si="172"/>
        <v>#N/A</v>
      </c>
      <c r="I172" s="30" t="e">
        <f t="shared" si="173"/>
        <v>#N/A</v>
      </c>
      <c r="J172" s="30" t="e">
        <f t="shared" si="174"/>
        <v>#N/A</v>
      </c>
      <c r="K172" s="30">
        <f>IF($F172="",0,IFERROR(INDEX(engDados,MATCH(selAnalito&amp;"|"&amp;$B172,engChave,0),3),0))</f>
        <v>0</v>
      </c>
      <c r="L172" s="30">
        <f>IF($F172="",0,IFERROR(INDEX(engDados,MATCH(selAnalito&amp;"|"&amp;$B172,engChave,0),4),0))</f>
        <v>0</v>
      </c>
      <c r="M172" s="30">
        <f>IF($F172="",0,IFERROR(INDEX(engDados,MATCH(selAnalito&amp;"|"&amp;$B172,engChave,0),5),0))</f>
        <v>0</v>
      </c>
      <c r="N172" s="30">
        <f>IF($F172="",0,IFERROR(INDEX(engDados,MATCH(selAnalito&amp;"|"&amp;$B172,engChave,0),6),0))</f>
        <v>0</v>
      </c>
      <c r="O172" s="30">
        <f>IF($F172="",0,IFERROR(INDEX(engDados,MATCH(selAnalito&amp;"|"&amp;$B172,engChave,0),7),0))</f>
        <v>0</v>
      </c>
      <c r="P172" s="30" t="str">
        <f>IF($F172="","",IFERROR(INDEX(engDados,MATCH(selAnalito&amp;"|"&amp;$B172,engChave,0),9),""))</f>
        <v/>
      </c>
      <c r="Q172" s="30" t="e">
        <f t="shared" si="175"/>
        <v>#N/A</v>
      </c>
      <c r="R172" s="30" t="e">
        <f t="shared" si="176"/>
        <v>#N/A</v>
      </c>
      <c r="S172" s="30" t="e">
        <f t="shared" si="177"/>
        <v>#N/A</v>
      </c>
      <c r="T172" s="30" t="e">
        <f t="shared" si="178"/>
        <v>#N/A</v>
      </c>
      <c r="U172" s="30" t="e">
        <f t="shared" si="179"/>
        <v>#N/A</v>
      </c>
      <c r="V172" s="30" t="e">
        <f t="shared" si="180"/>
        <v>#N/A</v>
      </c>
      <c r="W172" s="30" t="e">
        <f t="shared" si="181"/>
        <v>#N/A</v>
      </c>
      <c r="X172" s="30" t="e">
        <f>IF(AND($D172=1,(""&amp;loteAnalise)=(""&amp;loteCarregado),COUNTIFS(regAnalito,selAnalito,regNivel,1,regData,$C172,regRep1,"&lt;&gt;")&gt;0),SUMIFS(regRep1,regAnalito,selAnalito,regNivel,1,regData,$C172),NA())</f>
        <v>#N/A</v>
      </c>
      <c r="Y172" s="30" t="e">
        <f>IF(AND($D172=1,(""&amp;loteAnalise)=(""&amp;loteCarregado),COUNTIFS(regAnalito,selAnalito,regNivel,1,regData,$C172,regRep2,"&lt;&gt;")&gt;0),SUMIFS(regRep2,regAnalito,selAnalito,regNivel,1,regData,$C172),NA())</f>
        <v>#N/A</v>
      </c>
      <c r="Z172" s="30" t="e">
        <f>IF(AND($D172=1,(""&amp;loteAnalise)=(""&amp;loteCarregado),COUNTIFS(regAnalito,selAnalito,regNivel,1,regData,$C172,regRep3,"&lt;&gt;")&gt;0),SUMIFS(regRep3,regAnalito,selAnalito,regNivel,1,regData,$C172),NA())</f>
        <v>#N/A</v>
      </c>
      <c r="AA172" s="30" t="e">
        <f>IF(AND($D172=1,COUNTIFS(regAnalito,selAnalito,regData,$C172,regCalib,"Sim")&gt;0),$BT$1,NA())</f>
        <v>#N/A</v>
      </c>
      <c r="AB172" s="30" t="str">
        <f>IF($B172="","",IF(INDEX(engValN2,$A172)="","",INDEX(engValN2,$A172)))</f>
        <v/>
      </c>
      <c r="AC172" s="30" t="str">
        <f t="shared" si="182"/>
        <v/>
      </c>
      <c r="AD172" s="30" t="e">
        <f t="shared" si="183"/>
        <v>#N/A</v>
      </c>
      <c r="AE172" s="30" t="e">
        <f t="shared" si="184"/>
        <v>#N/A</v>
      </c>
      <c r="AF172" s="30" t="e">
        <f t="shared" si="185"/>
        <v>#N/A</v>
      </c>
      <c r="AG172" s="30">
        <f>IF($AB172="",0,IFERROR(INDEX(engDados,MATCH(selAnalito&amp;"|"&amp;$B172,engChave,0),10),0))</f>
        <v>0</v>
      </c>
      <c r="AH172" s="30">
        <f>IF($AB172="",0,IFERROR(INDEX(engDados,MATCH(selAnalito&amp;"|"&amp;$B172,engChave,0),11),0))</f>
        <v>0</v>
      </c>
      <c r="AI172" s="30">
        <f>IF($AB172="",0,IFERROR(INDEX(engDados,MATCH(selAnalito&amp;"|"&amp;$B172,engChave,0),12),0))</f>
        <v>0</v>
      </c>
      <c r="AJ172" s="30">
        <f>IF($AB172="",0,IFERROR(INDEX(engDados,MATCH(selAnalito&amp;"|"&amp;$B172,engChave,0),13),0))</f>
        <v>0</v>
      </c>
      <c r="AK172" s="30">
        <f>IF($AB172="",0,IFERROR(INDEX(engDados,MATCH(selAnalito&amp;"|"&amp;$B172,engChave,0),14),0))</f>
        <v>0</v>
      </c>
      <c r="AL172" s="30" t="str">
        <f>IF($AB172="","",IFERROR(INDEX(engDados,MATCH(selAnalito&amp;"|"&amp;$B172,engChave,0),16),""))</f>
        <v/>
      </c>
      <c r="AM172" s="30" t="e">
        <f t="shared" si="186"/>
        <v>#N/A</v>
      </c>
      <c r="AN172" s="30" t="e">
        <f t="shared" si="187"/>
        <v>#N/A</v>
      </c>
      <c r="AO172" s="30" t="e">
        <f t="shared" si="188"/>
        <v>#N/A</v>
      </c>
      <c r="AP172" s="30" t="e">
        <f t="shared" si="189"/>
        <v>#N/A</v>
      </c>
      <c r="AQ172" s="30" t="e">
        <f t="shared" si="190"/>
        <v>#N/A</v>
      </c>
      <c r="AR172" s="30" t="e">
        <f t="shared" si="191"/>
        <v>#N/A</v>
      </c>
      <c r="AS172" s="30" t="e">
        <f t="shared" si="192"/>
        <v>#N/A</v>
      </c>
      <c r="AT172" s="30" t="e">
        <f>IF(AND($D172=1,(""&amp;loteAnalise)=(""&amp;loteCarregado),COUNTIFS(regAnalito,selAnalito,regNivel,2,regData,$C172,regRep1,"&lt;&gt;")&gt;0),SUMIFS(regRep1,regAnalito,selAnalito,regNivel,2,regData,$C172),NA())</f>
        <v>#N/A</v>
      </c>
      <c r="AU172" s="30" t="e">
        <f>IF(AND($D172=1,(""&amp;loteAnalise)=(""&amp;loteCarregado),COUNTIFS(regAnalito,selAnalito,regNivel,2,regData,$C172,regRep2,"&lt;&gt;")&gt;0),SUMIFS(regRep2,regAnalito,selAnalito,regNivel,2,regData,$C172),NA())</f>
        <v>#N/A</v>
      </c>
      <c r="AV172" s="30" t="e">
        <f>IF(AND($D172=1,(""&amp;loteAnalise)=(""&amp;loteCarregado),COUNTIFS(regAnalito,selAnalito,regNivel,2,regData,$C172,regRep3,"&lt;&gt;")&gt;0),SUMIFS(regRep3,regAnalito,selAnalito,regNivel,2,regData,$C172),NA())</f>
        <v>#N/A</v>
      </c>
      <c r="AW172" s="30" t="e">
        <f>IF(AND($D172=1,COUNTIFS(regAnalito,selAnalito,regData,$C172,regCalib,"Sim")&gt;0),$BV$1,NA())</f>
        <v>#N/A</v>
      </c>
      <c r="AX172" s="30" t="str">
        <f>IF($B172="","",IF(INDEX(engValN3,$A172)="","",INDEX(engValN3,$A172)))</f>
        <v/>
      </c>
      <c r="AY172" s="30" t="str">
        <f t="shared" si="193"/>
        <v/>
      </c>
      <c r="AZ172" s="30" t="e">
        <f t="shared" si="194"/>
        <v>#N/A</v>
      </c>
      <c r="BA172" s="30" t="e">
        <f t="shared" si="195"/>
        <v>#N/A</v>
      </c>
      <c r="BB172" s="30" t="e">
        <f t="shared" si="196"/>
        <v>#N/A</v>
      </c>
      <c r="BC172" s="30">
        <f>IF($AX172="",0,IFERROR(INDEX(engDados,MATCH(selAnalito&amp;"|"&amp;$B172,engChave,0),17),0))</f>
        <v>0</v>
      </c>
      <c r="BD172" s="30">
        <f>IF($AX172="",0,IFERROR(INDEX(engDados,MATCH(selAnalito&amp;"|"&amp;$B172,engChave,0),18),0))</f>
        <v>0</v>
      </c>
      <c r="BE172" s="30">
        <f>IF($AX172="",0,IFERROR(INDEX(engDados,MATCH(selAnalito&amp;"|"&amp;$B172,engChave,0),19),0))</f>
        <v>0</v>
      </c>
      <c r="BF172" s="30">
        <f>IF($AX172="",0,IFERROR(INDEX(engDados,MATCH(selAnalito&amp;"|"&amp;$B172,engChave,0),20),0))</f>
        <v>0</v>
      </c>
      <c r="BG172" s="30">
        <f>IF($AX172="",0,IFERROR(INDEX(engDados,MATCH(selAnalito&amp;"|"&amp;$B172,engChave,0),21),0))</f>
        <v>0</v>
      </c>
      <c r="BH172" s="30" t="str">
        <f>IF($AX172="","",IFERROR(INDEX(engDados,MATCH(selAnalito&amp;"|"&amp;$B172,engChave,0),23),""))</f>
        <v/>
      </c>
      <c r="BI172" s="30" t="e">
        <f t="shared" si="197"/>
        <v>#N/A</v>
      </c>
      <c r="BJ172" s="30" t="e">
        <f t="shared" si="198"/>
        <v>#N/A</v>
      </c>
      <c r="BK172" s="30" t="e">
        <f t="shared" si="199"/>
        <v>#N/A</v>
      </c>
      <c r="BL172" s="30" t="e">
        <f t="shared" si="200"/>
        <v>#N/A</v>
      </c>
      <c r="BM172" s="30" t="e">
        <f t="shared" si="201"/>
        <v>#N/A</v>
      </c>
      <c r="BN172" s="30" t="e">
        <f t="shared" si="202"/>
        <v>#N/A</v>
      </c>
      <c r="BO172" s="30" t="e">
        <f t="shared" si="203"/>
        <v>#N/A</v>
      </c>
      <c r="BP172" s="30" t="e">
        <f>IF(AND($D172=1,(""&amp;loteAnalise)=(""&amp;loteCarregado),COUNTIFS(regAnalito,selAnalito,regNivel,3,regData,$C172,regRep1,"&lt;&gt;")&gt;0),SUMIFS(regRep1,regAnalito,selAnalito,regNivel,3,regData,$C172),NA())</f>
        <v>#N/A</v>
      </c>
      <c r="BQ172" s="30" t="e">
        <f>IF(AND($D172=1,(""&amp;loteAnalise)=(""&amp;loteCarregado),COUNTIFS(regAnalito,selAnalito,regNivel,3,regData,$C172,regRep2,"&lt;&gt;")&gt;0),SUMIFS(regRep2,regAnalito,selAnalito,regNivel,3,regData,$C172),NA())</f>
        <v>#N/A</v>
      </c>
      <c r="BR172" s="30" t="e">
        <f>IF(AND($D172=1,(""&amp;loteAnalise)=(""&amp;loteCarregado),COUNTIFS(regAnalito,selAnalito,regNivel,3,regData,$C172,regRep3,"&lt;&gt;")&gt;0),SUMIFS(regRep3,regAnalito,selAnalito,regNivel,3,regData,$C172),NA())</f>
        <v>#N/A</v>
      </c>
      <c r="BS172" s="30" t="e">
        <f>IF(AND($D172=1,COUNTIFS(regAnalito,selAnalito,regData,$C172,regCalib,"Sim")&gt;0),$BX$1,NA())</f>
        <v>#N/A</v>
      </c>
    </row>
    <row r="173" spans="1:71" x14ac:dyDescent="0.3">
      <c r="A173" s="30">
        <v>171</v>
      </c>
      <c r="B173" s="30" t="str">
        <f>IF(OR(selAnalito="",(""&amp;engAnalito)&lt;&gt;(""&amp;selAnalito),(""&amp;engLote)&lt;&gt;(""&amp;loteAnalise),$A173&gt;N(engNRun)),"",INDEX(engRUN,$A173))</f>
        <v/>
      </c>
      <c r="C173" s="43" t="str">
        <f>IF($B173="","",IF(INDEX(engData,$A173)="","",INDEX(engData,$A173)))</f>
        <v/>
      </c>
      <c r="D173" s="30">
        <f>IF($C173="",0,IF(AND(OR(filtroDe="",INT($C173)&gt;=INT(filtroDe)),OR(filtroAte="",INT($C173)&lt;=INT(filtroAte))),1,0))</f>
        <v>0</v>
      </c>
      <c r="E173" s="30" t="e">
        <f t="shared" si="170"/>
        <v>#N/A</v>
      </c>
      <c r="F173" s="30" t="str">
        <f>IF($B173="","",IF(INDEX(engValN1,$A173)="","",INDEX(engValN1,$A173)))</f>
        <v/>
      </c>
      <c r="G173" s="30" t="str">
        <f t="shared" si="171"/>
        <v/>
      </c>
      <c r="H173" s="30" t="e">
        <f t="shared" si="172"/>
        <v>#N/A</v>
      </c>
      <c r="I173" s="30" t="e">
        <f t="shared" si="173"/>
        <v>#N/A</v>
      </c>
      <c r="J173" s="30" t="e">
        <f t="shared" si="174"/>
        <v>#N/A</v>
      </c>
      <c r="K173" s="30">
        <f>IF($F173="",0,IFERROR(INDEX(engDados,MATCH(selAnalito&amp;"|"&amp;$B173,engChave,0),3),0))</f>
        <v>0</v>
      </c>
      <c r="L173" s="30">
        <f>IF($F173="",0,IFERROR(INDEX(engDados,MATCH(selAnalito&amp;"|"&amp;$B173,engChave,0),4),0))</f>
        <v>0</v>
      </c>
      <c r="M173" s="30">
        <f>IF($F173="",0,IFERROR(INDEX(engDados,MATCH(selAnalito&amp;"|"&amp;$B173,engChave,0),5),0))</f>
        <v>0</v>
      </c>
      <c r="N173" s="30">
        <f>IF($F173="",0,IFERROR(INDEX(engDados,MATCH(selAnalito&amp;"|"&amp;$B173,engChave,0),6),0))</f>
        <v>0</v>
      </c>
      <c r="O173" s="30">
        <f>IF($F173="",0,IFERROR(INDEX(engDados,MATCH(selAnalito&amp;"|"&amp;$B173,engChave,0),7),0))</f>
        <v>0</v>
      </c>
      <c r="P173" s="30" t="str">
        <f>IF($F173="","",IFERROR(INDEX(engDados,MATCH(selAnalito&amp;"|"&amp;$B173,engChave,0),9),""))</f>
        <v/>
      </c>
      <c r="Q173" s="30" t="e">
        <f t="shared" si="175"/>
        <v>#N/A</v>
      </c>
      <c r="R173" s="30" t="e">
        <f t="shared" si="176"/>
        <v>#N/A</v>
      </c>
      <c r="S173" s="30" t="e">
        <f t="shared" si="177"/>
        <v>#N/A</v>
      </c>
      <c r="T173" s="30" t="e">
        <f t="shared" si="178"/>
        <v>#N/A</v>
      </c>
      <c r="U173" s="30" t="e">
        <f t="shared" si="179"/>
        <v>#N/A</v>
      </c>
      <c r="V173" s="30" t="e">
        <f t="shared" si="180"/>
        <v>#N/A</v>
      </c>
      <c r="W173" s="30" t="e">
        <f t="shared" si="181"/>
        <v>#N/A</v>
      </c>
      <c r="X173" s="30" t="e">
        <f>IF(AND($D173=1,(""&amp;loteAnalise)=(""&amp;loteCarregado),COUNTIFS(regAnalito,selAnalito,regNivel,1,regData,$C173,regRep1,"&lt;&gt;")&gt;0),SUMIFS(regRep1,regAnalito,selAnalito,regNivel,1,regData,$C173),NA())</f>
        <v>#N/A</v>
      </c>
      <c r="Y173" s="30" t="e">
        <f>IF(AND($D173=1,(""&amp;loteAnalise)=(""&amp;loteCarregado),COUNTIFS(regAnalito,selAnalito,regNivel,1,regData,$C173,regRep2,"&lt;&gt;")&gt;0),SUMIFS(regRep2,regAnalito,selAnalito,regNivel,1,regData,$C173),NA())</f>
        <v>#N/A</v>
      </c>
      <c r="Z173" s="30" t="e">
        <f>IF(AND($D173=1,(""&amp;loteAnalise)=(""&amp;loteCarregado),COUNTIFS(regAnalito,selAnalito,regNivel,1,regData,$C173,regRep3,"&lt;&gt;")&gt;0),SUMIFS(regRep3,regAnalito,selAnalito,regNivel,1,regData,$C173),NA())</f>
        <v>#N/A</v>
      </c>
      <c r="AA173" s="30" t="e">
        <f>IF(AND($D173=1,COUNTIFS(regAnalito,selAnalito,regData,$C173,regCalib,"Sim")&gt;0),$BT$1,NA())</f>
        <v>#N/A</v>
      </c>
      <c r="AB173" s="30" t="str">
        <f>IF($B173="","",IF(INDEX(engValN2,$A173)="","",INDEX(engValN2,$A173)))</f>
        <v/>
      </c>
      <c r="AC173" s="30" t="str">
        <f t="shared" si="182"/>
        <v/>
      </c>
      <c r="AD173" s="30" t="e">
        <f t="shared" si="183"/>
        <v>#N/A</v>
      </c>
      <c r="AE173" s="30" t="e">
        <f t="shared" si="184"/>
        <v>#N/A</v>
      </c>
      <c r="AF173" s="30" t="e">
        <f t="shared" si="185"/>
        <v>#N/A</v>
      </c>
      <c r="AG173" s="30">
        <f>IF($AB173="",0,IFERROR(INDEX(engDados,MATCH(selAnalito&amp;"|"&amp;$B173,engChave,0),10),0))</f>
        <v>0</v>
      </c>
      <c r="AH173" s="30">
        <f>IF($AB173="",0,IFERROR(INDEX(engDados,MATCH(selAnalito&amp;"|"&amp;$B173,engChave,0),11),0))</f>
        <v>0</v>
      </c>
      <c r="AI173" s="30">
        <f>IF($AB173="",0,IFERROR(INDEX(engDados,MATCH(selAnalito&amp;"|"&amp;$B173,engChave,0),12),0))</f>
        <v>0</v>
      </c>
      <c r="AJ173" s="30">
        <f>IF($AB173="",0,IFERROR(INDEX(engDados,MATCH(selAnalito&amp;"|"&amp;$B173,engChave,0),13),0))</f>
        <v>0</v>
      </c>
      <c r="AK173" s="30">
        <f>IF($AB173="",0,IFERROR(INDEX(engDados,MATCH(selAnalito&amp;"|"&amp;$B173,engChave,0),14),0))</f>
        <v>0</v>
      </c>
      <c r="AL173" s="30" t="str">
        <f>IF($AB173="","",IFERROR(INDEX(engDados,MATCH(selAnalito&amp;"|"&amp;$B173,engChave,0),16),""))</f>
        <v/>
      </c>
      <c r="AM173" s="30" t="e">
        <f t="shared" si="186"/>
        <v>#N/A</v>
      </c>
      <c r="AN173" s="30" t="e">
        <f t="shared" si="187"/>
        <v>#N/A</v>
      </c>
      <c r="AO173" s="30" t="e">
        <f t="shared" si="188"/>
        <v>#N/A</v>
      </c>
      <c r="AP173" s="30" t="e">
        <f t="shared" si="189"/>
        <v>#N/A</v>
      </c>
      <c r="AQ173" s="30" t="e">
        <f t="shared" si="190"/>
        <v>#N/A</v>
      </c>
      <c r="AR173" s="30" t="e">
        <f t="shared" si="191"/>
        <v>#N/A</v>
      </c>
      <c r="AS173" s="30" t="e">
        <f t="shared" si="192"/>
        <v>#N/A</v>
      </c>
      <c r="AT173" s="30" t="e">
        <f>IF(AND($D173=1,(""&amp;loteAnalise)=(""&amp;loteCarregado),COUNTIFS(regAnalito,selAnalito,regNivel,2,regData,$C173,regRep1,"&lt;&gt;")&gt;0),SUMIFS(regRep1,regAnalito,selAnalito,regNivel,2,regData,$C173),NA())</f>
        <v>#N/A</v>
      </c>
      <c r="AU173" s="30" t="e">
        <f>IF(AND($D173=1,(""&amp;loteAnalise)=(""&amp;loteCarregado),COUNTIFS(regAnalito,selAnalito,regNivel,2,regData,$C173,regRep2,"&lt;&gt;")&gt;0),SUMIFS(regRep2,regAnalito,selAnalito,regNivel,2,regData,$C173),NA())</f>
        <v>#N/A</v>
      </c>
      <c r="AV173" s="30" t="e">
        <f>IF(AND($D173=1,(""&amp;loteAnalise)=(""&amp;loteCarregado),COUNTIFS(regAnalito,selAnalito,regNivel,2,regData,$C173,regRep3,"&lt;&gt;")&gt;0),SUMIFS(regRep3,regAnalito,selAnalito,regNivel,2,regData,$C173),NA())</f>
        <v>#N/A</v>
      </c>
      <c r="AW173" s="30" t="e">
        <f>IF(AND($D173=1,COUNTIFS(regAnalito,selAnalito,regData,$C173,regCalib,"Sim")&gt;0),$BV$1,NA())</f>
        <v>#N/A</v>
      </c>
      <c r="AX173" s="30" t="str">
        <f>IF($B173="","",IF(INDEX(engValN3,$A173)="","",INDEX(engValN3,$A173)))</f>
        <v/>
      </c>
      <c r="AY173" s="30" t="str">
        <f t="shared" si="193"/>
        <v/>
      </c>
      <c r="AZ173" s="30" t="e">
        <f t="shared" si="194"/>
        <v>#N/A</v>
      </c>
      <c r="BA173" s="30" t="e">
        <f t="shared" si="195"/>
        <v>#N/A</v>
      </c>
      <c r="BB173" s="30" t="e">
        <f t="shared" si="196"/>
        <v>#N/A</v>
      </c>
      <c r="BC173" s="30">
        <f>IF($AX173="",0,IFERROR(INDEX(engDados,MATCH(selAnalito&amp;"|"&amp;$B173,engChave,0),17),0))</f>
        <v>0</v>
      </c>
      <c r="BD173" s="30">
        <f>IF($AX173="",0,IFERROR(INDEX(engDados,MATCH(selAnalito&amp;"|"&amp;$B173,engChave,0),18),0))</f>
        <v>0</v>
      </c>
      <c r="BE173" s="30">
        <f>IF($AX173="",0,IFERROR(INDEX(engDados,MATCH(selAnalito&amp;"|"&amp;$B173,engChave,0),19),0))</f>
        <v>0</v>
      </c>
      <c r="BF173" s="30">
        <f>IF($AX173="",0,IFERROR(INDEX(engDados,MATCH(selAnalito&amp;"|"&amp;$B173,engChave,0),20),0))</f>
        <v>0</v>
      </c>
      <c r="BG173" s="30">
        <f>IF($AX173="",0,IFERROR(INDEX(engDados,MATCH(selAnalito&amp;"|"&amp;$B173,engChave,0),21),0))</f>
        <v>0</v>
      </c>
      <c r="BH173" s="30" t="str">
        <f>IF($AX173="","",IFERROR(INDEX(engDados,MATCH(selAnalito&amp;"|"&amp;$B173,engChave,0),23),""))</f>
        <v/>
      </c>
      <c r="BI173" s="30" t="e">
        <f t="shared" si="197"/>
        <v>#N/A</v>
      </c>
      <c r="BJ173" s="30" t="e">
        <f t="shared" si="198"/>
        <v>#N/A</v>
      </c>
      <c r="BK173" s="30" t="e">
        <f t="shared" si="199"/>
        <v>#N/A</v>
      </c>
      <c r="BL173" s="30" t="e">
        <f t="shared" si="200"/>
        <v>#N/A</v>
      </c>
      <c r="BM173" s="30" t="e">
        <f t="shared" si="201"/>
        <v>#N/A</v>
      </c>
      <c r="BN173" s="30" t="e">
        <f t="shared" si="202"/>
        <v>#N/A</v>
      </c>
      <c r="BO173" s="30" t="e">
        <f t="shared" si="203"/>
        <v>#N/A</v>
      </c>
      <c r="BP173" s="30" t="e">
        <f>IF(AND($D173=1,(""&amp;loteAnalise)=(""&amp;loteCarregado),COUNTIFS(regAnalito,selAnalito,regNivel,3,regData,$C173,regRep1,"&lt;&gt;")&gt;0),SUMIFS(regRep1,regAnalito,selAnalito,regNivel,3,regData,$C173),NA())</f>
        <v>#N/A</v>
      </c>
      <c r="BQ173" s="30" t="e">
        <f>IF(AND($D173=1,(""&amp;loteAnalise)=(""&amp;loteCarregado),COUNTIFS(regAnalito,selAnalito,regNivel,3,regData,$C173,regRep2,"&lt;&gt;")&gt;0),SUMIFS(regRep2,regAnalito,selAnalito,regNivel,3,regData,$C173),NA())</f>
        <v>#N/A</v>
      </c>
      <c r="BR173" s="30" t="e">
        <f>IF(AND($D173=1,(""&amp;loteAnalise)=(""&amp;loteCarregado),COUNTIFS(regAnalito,selAnalito,regNivel,3,regData,$C173,regRep3,"&lt;&gt;")&gt;0),SUMIFS(regRep3,regAnalito,selAnalito,regNivel,3,regData,$C173),NA())</f>
        <v>#N/A</v>
      </c>
      <c r="BS173" s="30" t="e">
        <f>IF(AND($D173=1,COUNTIFS(regAnalito,selAnalito,regData,$C173,regCalib,"Sim")&gt;0),$BX$1,NA())</f>
        <v>#N/A</v>
      </c>
    </row>
    <row r="174" spans="1:71" x14ac:dyDescent="0.3">
      <c r="A174" s="30">
        <v>172</v>
      </c>
      <c r="B174" s="30" t="str">
        <f>IF(OR(selAnalito="",(""&amp;engAnalito)&lt;&gt;(""&amp;selAnalito),(""&amp;engLote)&lt;&gt;(""&amp;loteAnalise),$A174&gt;N(engNRun)),"",INDEX(engRUN,$A174))</f>
        <v/>
      </c>
      <c r="C174" s="43" t="str">
        <f>IF($B174="","",IF(INDEX(engData,$A174)="","",INDEX(engData,$A174)))</f>
        <v/>
      </c>
      <c r="D174" s="30">
        <f>IF($C174="",0,IF(AND(OR(filtroDe="",INT($C174)&gt;=INT(filtroDe)),OR(filtroAte="",INT($C174)&lt;=INT(filtroAte))),1,0))</f>
        <v>0</v>
      </c>
      <c r="E174" s="30" t="e">
        <f t="shared" si="170"/>
        <v>#N/A</v>
      </c>
      <c r="F174" s="30" t="str">
        <f>IF($B174="","",IF(INDEX(engValN1,$A174)="","",INDEX(engValN1,$A174)))</f>
        <v/>
      </c>
      <c r="G174" s="30" t="str">
        <f t="shared" si="171"/>
        <v/>
      </c>
      <c r="H174" s="30" t="e">
        <f t="shared" si="172"/>
        <v>#N/A</v>
      </c>
      <c r="I174" s="30" t="e">
        <f t="shared" si="173"/>
        <v>#N/A</v>
      </c>
      <c r="J174" s="30" t="e">
        <f t="shared" si="174"/>
        <v>#N/A</v>
      </c>
      <c r="K174" s="30">
        <f>IF($F174="",0,IFERROR(INDEX(engDados,MATCH(selAnalito&amp;"|"&amp;$B174,engChave,0),3),0))</f>
        <v>0</v>
      </c>
      <c r="L174" s="30">
        <f>IF($F174="",0,IFERROR(INDEX(engDados,MATCH(selAnalito&amp;"|"&amp;$B174,engChave,0),4),0))</f>
        <v>0</v>
      </c>
      <c r="M174" s="30">
        <f>IF($F174="",0,IFERROR(INDEX(engDados,MATCH(selAnalito&amp;"|"&amp;$B174,engChave,0),5),0))</f>
        <v>0</v>
      </c>
      <c r="N174" s="30">
        <f>IF($F174="",0,IFERROR(INDEX(engDados,MATCH(selAnalito&amp;"|"&amp;$B174,engChave,0),6),0))</f>
        <v>0</v>
      </c>
      <c r="O174" s="30">
        <f>IF($F174="",0,IFERROR(INDEX(engDados,MATCH(selAnalito&amp;"|"&amp;$B174,engChave,0),7),0))</f>
        <v>0</v>
      </c>
      <c r="P174" s="30" t="str">
        <f>IF($F174="","",IFERROR(INDEX(engDados,MATCH(selAnalito&amp;"|"&amp;$B174,engChave,0),9),""))</f>
        <v/>
      </c>
      <c r="Q174" s="30" t="e">
        <f t="shared" si="175"/>
        <v>#N/A</v>
      </c>
      <c r="R174" s="30" t="e">
        <f t="shared" si="176"/>
        <v>#N/A</v>
      </c>
      <c r="S174" s="30" t="e">
        <f t="shared" si="177"/>
        <v>#N/A</v>
      </c>
      <c r="T174" s="30" t="e">
        <f t="shared" si="178"/>
        <v>#N/A</v>
      </c>
      <c r="U174" s="30" t="e">
        <f t="shared" si="179"/>
        <v>#N/A</v>
      </c>
      <c r="V174" s="30" t="e">
        <f t="shared" si="180"/>
        <v>#N/A</v>
      </c>
      <c r="W174" s="30" t="e">
        <f t="shared" si="181"/>
        <v>#N/A</v>
      </c>
      <c r="X174" s="30" t="e">
        <f>IF(AND($D174=1,(""&amp;loteAnalise)=(""&amp;loteCarregado),COUNTIFS(regAnalito,selAnalito,regNivel,1,regData,$C174,regRep1,"&lt;&gt;")&gt;0),SUMIFS(regRep1,regAnalito,selAnalito,regNivel,1,regData,$C174),NA())</f>
        <v>#N/A</v>
      </c>
      <c r="Y174" s="30" t="e">
        <f>IF(AND($D174=1,(""&amp;loteAnalise)=(""&amp;loteCarregado),COUNTIFS(regAnalito,selAnalito,regNivel,1,regData,$C174,regRep2,"&lt;&gt;")&gt;0),SUMIFS(regRep2,regAnalito,selAnalito,regNivel,1,regData,$C174),NA())</f>
        <v>#N/A</v>
      </c>
      <c r="Z174" s="30" t="e">
        <f>IF(AND($D174=1,(""&amp;loteAnalise)=(""&amp;loteCarregado),COUNTIFS(regAnalito,selAnalito,regNivel,1,regData,$C174,regRep3,"&lt;&gt;")&gt;0),SUMIFS(regRep3,regAnalito,selAnalito,regNivel,1,regData,$C174),NA())</f>
        <v>#N/A</v>
      </c>
      <c r="AA174" s="30" t="e">
        <f>IF(AND($D174=1,COUNTIFS(regAnalito,selAnalito,regData,$C174,regCalib,"Sim")&gt;0),$BT$1,NA())</f>
        <v>#N/A</v>
      </c>
      <c r="AB174" s="30" t="str">
        <f>IF($B174="","",IF(INDEX(engValN2,$A174)="","",INDEX(engValN2,$A174)))</f>
        <v/>
      </c>
      <c r="AC174" s="30" t="str">
        <f t="shared" si="182"/>
        <v/>
      </c>
      <c r="AD174" s="30" t="e">
        <f t="shared" si="183"/>
        <v>#N/A</v>
      </c>
      <c r="AE174" s="30" t="e">
        <f t="shared" si="184"/>
        <v>#N/A</v>
      </c>
      <c r="AF174" s="30" t="e">
        <f t="shared" si="185"/>
        <v>#N/A</v>
      </c>
      <c r="AG174" s="30">
        <f>IF($AB174="",0,IFERROR(INDEX(engDados,MATCH(selAnalito&amp;"|"&amp;$B174,engChave,0),10),0))</f>
        <v>0</v>
      </c>
      <c r="AH174" s="30">
        <f>IF($AB174="",0,IFERROR(INDEX(engDados,MATCH(selAnalito&amp;"|"&amp;$B174,engChave,0),11),0))</f>
        <v>0</v>
      </c>
      <c r="AI174" s="30">
        <f>IF($AB174="",0,IFERROR(INDEX(engDados,MATCH(selAnalito&amp;"|"&amp;$B174,engChave,0),12),0))</f>
        <v>0</v>
      </c>
      <c r="AJ174" s="30">
        <f>IF($AB174="",0,IFERROR(INDEX(engDados,MATCH(selAnalito&amp;"|"&amp;$B174,engChave,0),13),0))</f>
        <v>0</v>
      </c>
      <c r="AK174" s="30">
        <f>IF($AB174="",0,IFERROR(INDEX(engDados,MATCH(selAnalito&amp;"|"&amp;$B174,engChave,0),14),0))</f>
        <v>0</v>
      </c>
      <c r="AL174" s="30" t="str">
        <f>IF($AB174="","",IFERROR(INDEX(engDados,MATCH(selAnalito&amp;"|"&amp;$B174,engChave,0),16),""))</f>
        <v/>
      </c>
      <c r="AM174" s="30" t="e">
        <f t="shared" si="186"/>
        <v>#N/A</v>
      </c>
      <c r="AN174" s="30" t="e">
        <f t="shared" si="187"/>
        <v>#N/A</v>
      </c>
      <c r="AO174" s="30" t="e">
        <f t="shared" si="188"/>
        <v>#N/A</v>
      </c>
      <c r="AP174" s="30" t="e">
        <f t="shared" si="189"/>
        <v>#N/A</v>
      </c>
      <c r="AQ174" s="30" t="e">
        <f t="shared" si="190"/>
        <v>#N/A</v>
      </c>
      <c r="AR174" s="30" t="e">
        <f t="shared" si="191"/>
        <v>#N/A</v>
      </c>
      <c r="AS174" s="30" t="e">
        <f t="shared" si="192"/>
        <v>#N/A</v>
      </c>
      <c r="AT174" s="30" t="e">
        <f>IF(AND($D174=1,(""&amp;loteAnalise)=(""&amp;loteCarregado),COUNTIFS(regAnalito,selAnalito,regNivel,2,regData,$C174,regRep1,"&lt;&gt;")&gt;0),SUMIFS(regRep1,regAnalito,selAnalito,regNivel,2,regData,$C174),NA())</f>
        <v>#N/A</v>
      </c>
      <c r="AU174" s="30" t="e">
        <f>IF(AND($D174=1,(""&amp;loteAnalise)=(""&amp;loteCarregado),COUNTIFS(regAnalito,selAnalito,regNivel,2,regData,$C174,regRep2,"&lt;&gt;")&gt;0),SUMIFS(regRep2,regAnalito,selAnalito,regNivel,2,regData,$C174),NA())</f>
        <v>#N/A</v>
      </c>
      <c r="AV174" s="30" t="e">
        <f>IF(AND($D174=1,(""&amp;loteAnalise)=(""&amp;loteCarregado),COUNTIFS(regAnalito,selAnalito,regNivel,2,regData,$C174,regRep3,"&lt;&gt;")&gt;0),SUMIFS(regRep3,regAnalito,selAnalito,regNivel,2,regData,$C174),NA())</f>
        <v>#N/A</v>
      </c>
      <c r="AW174" s="30" t="e">
        <f>IF(AND($D174=1,COUNTIFS(regAnalito,selAnalito,regData,$C174,regCalib,"Sim")&gt;0),$BV$1,NA())</f>
        <v>#N/A</v>
      </c>
      <c r="AX174" s="30" t="str">
        <f>IF($B174="","",IF(INDEX(engValN3,$A174)="","",INDEX(engValN3,$A174)))</f>
        <v/>
      </c>
      <c r="AY174" s="30" t="str">
        <f t="shared" si="193"/>
        <v/>
      </c>
      <c r="AZ174" s="30" t="e">
        <f t="shared" si="194"/>
        <v>#N/A</v>
      </c>
      <c r="BA174" s="30" t="e">
        <f t="shared" si="195"/>
        <v>#N/A</v>
      </c>
      <c r="BB174" s="30" t="e">
        <f t="shared" si="196"/>
        <v>#N/A</v>
      </c>
      <c r="BC174" s="30">
        <f>IF($AX174="",0,IFERROR(INDEX(engDados,MATCH(selAnalito&amp;"|"&amp;$B174,engChave,0),17),0))</f>
        <v>0</v>
      </c>
      <c r="BD174" s="30">
        <f>IF($AX174="",0,IFERROR(INDEX(engDados,MATCH(selAnalito&amp;"|"&amp;$B174,engChave,0),18),0))</f>
        <v>0</v>
      </c>
      <c r="BE174" s="30">
        <f>IF($AX174="",0,IFERROR(INDEX(engDados,MATCH(selAnalito&amp;"|"&amp;$B174,engChave,0),19),0))</f>
        <v>0</v>
      </c>
      <c r="BF174" s="30">
        <f>IF($AX174="",0,IFERROR(INDEX(engDados,MATCH(selAnalito&amp;"|"&amp;$B174,engChave,0),20),0))</f>
        <v>0</v>
      </c>
      <c r="BG174" s="30">
        <f>IF($AX174="",0,IFERROR(INDEX(engDados,MATCH(selAnalito&amp;"|"&amp;$B174,engChave,0),21),0))</f>
        <v>0</v>
      </c>
      <c r="BH174" s="30" t="str">
        <f>IF($AX174="","",IFERROR(INDEX(engDados,MATCH(selAnalito&amp;"|"&amp;$B174,engChave,0),23),""))</f>
        <v/>
      </c>
      <c r="BI174" s="30" t="e">
        <f t="shared" si="197"/>
        <v>#N/A</v>
      </c>
      <c r="BJ174" s="30" t="e">
        <f t="shared" si="198"/>
        <v>#N/A</v>
      </c>
      <c r="BK174" s="30" t="e">
        <f t="shared" si="199"/>
        <v>#N/A</v>
      </c>
      <c r="BL174" s="30" t="e">
        <f t="shared" si="200"/>
        <v>#N/A</v>
      </c>
      <c r="BM174" s="30" t="e">
        <f t="shared" si="201"/>
        <v>#N/A</v>
      </c>
      <c r="BN174" s="30" t="e">
        <f t="shared" si="202"/>
        <v>#N/A</v>
      </c>
      <c r="BO174" s="30" t="e">
        <f t="shared" si="203"/>
        <v>#N/A</v>
      </c>
      <c r="BP174" s="30" t="e">
        <f>IF(AND($D174=1,(""&amp;loteAnalise)=(""&amp;loteCarregado),COUNTIFS(regAnalito,selAnalito,regNivel,3,regData,$C174,regRep1,"&lt;&gt;")&gt;0),SUMIFS(regRep1,regAnalito,selAnalito,regNivel,3,regData,$C174),NA())</f>
        <v>#N/A</v>
      </c>
      <c r="BQ174" s="30" t="e">
        <f>IF(AND($D174=1,(""&amp;loteAnalise)=(""&amp;loteCarregado),COUNTIFS(regAnalito,selAnalito,regNivel,3,regData,$C174,regRep2,"&lt;&gt;")&gt;0),SUMIFS(regRep2,regAnalito,selAnalito,regNivel,3,regData,$C174),NA())</f>
        <v>#N/A</v>
      </c>
      <c r="BR174" s="30" t="e">
        <f>IF(AND($D174=1,(""&amp;loteAnalise)=(""&amp;loteCarregado),COUNTIFS(regAnalito,selAnalito,regNivel,3,regData,$C174,regRep3,"&lt;&gt;")&gt;0),SUMIFS(regRep3,regAnalito,selAnalito,regNivel,3,regData,$C174),NA())</f>
        <v>#N/A</v>
      </c>
      <c r="BS174" s="30" t="e">
        <f>IF(AND($D174=1,COUNTIFS(regAnalito,selAnalito,regData,$C174,regCalib,"Sim")&gt;0),$BX$1,NA())</f>
        <v>#N/A</v>
      </c>
    </row>
    <row r="175" spans="1:71" x14ac:dyDescent="0.3">
      <c r="A175" s="30">
        <v>173</v>
      </c>
      <c r="B175" s="30" t="str">
        <f>IF(OR(selAnalito="",(""&amp;engAnalito)&lt;&gt;(""&amp;selAnalito),(""&amp;engLote)&lt;&gt;(""&amp;loteAnalise),$A175&gt;N(engNRun)),"",INDEX(engRUN,$A175))</f>
        <v/>
      </c>
      <c r="C175" s="43" t="str">
        <f>IF($B175="","",IF(INDEX(engData,$A175)="","",INDEX(engData,$A175)))</f>
        <v/>
      </c>
      <c r="D175" s="30">
        <f>IF($C175="",0,IF(AND(OR(filtroDe="",INT($C175)&gt;=INT(filtroDe)),OR(filtroAte="",INT($C175)&lt;=INT(filtroAte))),1,0))</f>
        <v>0</v>
      </c>
      <c r="E175" s="30" t="e">
        <f t="shared" si="170"/>
        <v>#N/A</v>
      </c>
      <c r="F175" s="30" t="str">
        <f>IF($B175="","",IF(INDEX(engValN1,$A175)="","",INDEX(engValN1,$A175)))</f>
        <v/>
      </c>
      <c r="G175" s="30" t="str">
        <f t="shared" si="171"/>
        <v/>
      </c>
      <c r="H175" s="30" t="e">
        <f t="shared" si="172"/>
        <v>#N/A</v>
      </c>
      <c r="I175" s="30" t="e">
        <f t="shared" si="173"/>
        <v>#N/A</v>
      </c>
      <c r="J175" s="30" t="e">
        <f t="shared" si="174"/>
        <v>#N/A</v>
      </c>
      <c r="K175" s="30">
        <f>IF($F175="",0,IFERROR(INDEX(engDados,MATCH(selAnalito&amp;"|"&amp;$B175,engChave,0),3),0))</f>
        <v>0</v>
      </c>
      <c r="L175" s="30">
        <f>IF($F175="",0,IFERROR(INDEX(engDados,MATCH(selAnalito&amp;"|"&amp;$B175,engChave,0),4),0))</f>
        <v>0</v>
      </c>
      <c r="M175" s="30">
        <f>IF($F175="",0,IFERROR(INDEX(engDados,MATCH(selAnalito&amp;"|"&amp;$B175,engChave,0),5),0))</f>
        <v>0</v>
      </c>
      <c r="N175" s="30">
        <f>IF($F175="",0,IFERROR(INDEX(engDados,MATCH(selAnalito&amp;"|"&amp;$B175,engChave,0),6),0))</f>
        <v>0</v>
      </c>
      <c r="O175" s="30">
        <f>IF($F175="",0,IFERROR(INDEX(engDados,MATCH(selAnalito&amp;"|"&amp;$B175,engChave,0),7),0))</f>
        <v>0</v>
      </c>
      <c r="P175" s="30" t="str">
        <f>IF($F175="","",IFERROR(INDEX(engDados,MATCH(selAnalito&amp;"|"&amp;$B175,engChave,0),9),""))</f>
        <v/>
      </c>
      <c r="Q175" s="30" t="e">
        <f t="shared" si="175"/>
        <v>#N/A</v>
      </c>
      <c r="R175" s="30" t="e">
        <f t="shared" si="176"/>
        <v>#N/A</v>
      </c>
      <c r="S175" s="30" t="e">
        <f t="shared" si="177"/>
        <v>#N/A</v>
      </c>
      <c r="T175" s="30" t="e">
        <f t="shared" si="178"/>
        <v>#N/A</v>
      </c>
      <c r="U175" s="30" t="e">
        <f t="shared" si="179"/>
        <v>#N/A</v>
      </c>
      <c r="V175" s="30" t="e">
        <f t="shared" si="180"/>
        <v>#N/A</v>
      </c>
      <c r="W175" s="30" t="e">
        <f t="shared" si="181"/>
        <v>#N/A</v>
      </c>
      <c r="X175" s="30" t="e">
        <f>IF(AND($D175=1,(""&amp;loteAnalise)=(""&amp;loteCarregado),COUNTIFS(regAnalito,selAnalito,regNivel,1,regData,$C175,regRep1,"&lt;&gt;")&gt;0),SUMIFS(regRep1,regAnalito,selAnalito,regNivel,1,regData,$C175),NA())</f>
        <v>#N/A</v>
      </c>
      <c r="Y175" s="30" t="e">
        <f>IF(AND($D175=1,(""&amp;loteAnalise)=(""&amp;loteCarregado),COUNTIFS(regAnalito,selAnalito,regNivel,1,regData,$C175,regRep2,"&lt;&gt;")&gt;0),SUMIFS(regRep2,regAnalito,selAnalito,regNivel,1,regData,$C175),NA())</f>
        <v>#N/A</v>
      </c>
      <c r="Z175" s="30" t="e">
        <f>IF(AND($D175=1,(""&amp;loteAnalise)=(""&amp;loteCarregado),COUNTIFS(regAnalito,selAnalito,regNivel,1,regData,$C175,regRep3,"&lt;&gt;")&gt;0),SUMIFS(regRep3,regAnalito,selAnalito,regNivel,1,regData,$C175),NA())</f>
        <v>#N/A</v>
      </c>
      <c r="AA175" s="30" t="e">
        <f>IF(AND($D175=1,COUNTIFS(regAnalito,selAnalito,regData,$C175,regCalib,"Sim")&gt;0),$BT$1,NA())</f>
        <v>#N/A</v>
      </c>
      <c r="AB175" s="30" t="str">
        <f>IF($B175="","",IF(INDEX(engValN2,$A175)="","",INDEX(engValN2,$A175)))</f>
        <v/>
      </c>
      <c r="AC175" s="30" t="str">
        <f t="shared" si="182"/>
        <v/>
      </c>
      <c r="AD175" s="30" t="e">
        <f t="shared" si="183"/>
        <v>#N/A</v>
      </c>
      <c r="AE175" s="30" t="e">
        <f t="shared" si="184"/>
        <v>#N/A</v>
      </c>
      <c r="AF175" s="30" t="e">
        <f t="shared" si="185"/>
        <v>#N/A</v>
      </c>
      <c r="AG175" s="30">
        <f>IF($AB175="",0,IFERROR(INDEX(engDados,MATCH(selAnalito&amp;"|"&amp;$B175,engChave,0),10),0))</f>
        <v>0</v>
      </c>
      <c r="AH175" s="30">
        <f>IF($AB175="",0,IFERROR(INDEX(engDados,MATCH(selAnalito&amp;"|"&amp;$B175,engChave,0),11),0))</f>
        <v>0</v>
      </c>
      <c r="AI175" s="30">
        <f>IF($AB175="",0,IFERROR(INDEX(engDados,MATCH(selAnalito&amp;"|"&amp;$B175,engChave,0),12),0))</f>
        <v>0</v>
      </c>
      <c r="AJ175" s="30">
        <f>IF($AB175="",0,IFERROR(INDEX(engDados,MATCH(selAnalito&amp;"|"&amp;$B175,engChave,0),13),0))</f>
        <v>0</v>
      </c>
      <c r="AK175" s="30">
        <f>IF($AB175="",0,IFERROR(INDEX(engDados,MATCH(selAnalito&amp;"|"&amp;$B175,engChave,0),14),0))</f>
        <v>0</v>
      </c>
      <c r="AL175" s="30" t="str">
        <f>IF($AB175="","",IFERROR(INDEX(engDados,MATCH(selAnalito&amp;"|"&amp;$B175,engChave,0),16),""))</f>
        <v/>
      </c>
      <c r="AM175" s="30" t="e">
        <f t="shared" si="186"/>
        <v>#N/A</v>
      </c>
      <c r="AN175" s="30" t="e">
        <f t="shared" si="187"/>
        <v>#N/A</v>
      </c>
      <c r="AO175" s="30" t="e">
        <f t="shared" si="188"/>
        <v>#N/A</v>
      </c>
      <c r="AP175" s="30" t="e">
        <f t="shared" si="189"/>
        <v>#N/A</v>
      </c>
      <c r="AQ175" s="30" t="e">
        <f t="shared" si="190"/>
        <v>#N/A</v>
      </c>
      <c r="AR175" s="30" t="e">
        <f t="shared" si="191"/>
        <v>#N/A</v>
      </c>
      <c r="AS175" s="30" t="e">
        <f t="shared" si="192"/>
        <v>#N/A</v>
      </c>
      <c r="AT175" s="30" t="e">
        <f>IF(AND($D175=1,(""&amp;loteAnalise)=(""&amp;loteCarregado),COUNTIFS(regAnalito,selAnalito,regNivel,2,regData,$C175,regRep1,"&lt;&gt;")&gt;0),SUMIFS(regRep1,regAnalito,selAnalito,regNivel,2,regData,$C175),NA())</f>
        <v>#N/A</v>
      </c>
      <c r="AU175" s="30" t="e">
        <f>IF(AND($D175=1,(""&amp;loteAnalise)=(""&amp;loteCarregado),COUNTIFS(regAnalito,selAnalito,regNivel,2,regData,$C175,regRep2,"&lt;&gt;")&gt;0),SUMIFS(regRep2,regAnalito,selAnalito,regNivel,2,regData,$C175),NA())</f>
        <v>#N/A</v>
      </c>
      <c r="AV175" s="30" t="e">
        <f>IF(AND($D175=1,(""&amp;loteAnalise)=(""&amp;loteCarregado),COUNTIFS(regAnalito,selAnalito,regNivel,2,regData,$C175,regRep3,"&lt;&gt;")&gt;0),SUMIFS(regRep3,regAnalito,selAnalito,regNivel,2,regData,$C175),NA())</f>
        <v>#N/A</v>
      </c>
      <c r="AW175" s="30" t="e">
        <f>IF(AND($D175=1,COUNTIFS(regAnalito,selAnalito,regData,$C175,regCalib,"Sim")&gt;0),$BV$1,NA())</f>
        <v>#N/A</v>
      </c>
      <c r="AX175" s="30" t="str">
        <f>IF($B175="","",IF(INDEX(engValN3,$A175)="","",INDEX(engValN3,$A175)))</f>
        <v/>
      </c>
      <c r="AY175" s="30" t="str">
        <f t="shared" si="193"/>
        <v/>
      </c>
      <c r="AZ175" s="30" t="e">
        <f t="shared" si="194"/>
        <v>#N/A</v>
      </c>
      <c r="BA175" s="30" t="e">
        <f t="shared" si="195"/>
        <v>#N/A</v>
      </c>
      <c r="BB175" s="30" t="e">
        <f t="shared" si="196"/>
        <v>#N/A</v>
      </c>
      <c r="BC175" s="30">
        <f>IF($AX175="",0,IFERROR(INDEX(engDados,MATCH(selAnalito&amp;"|"&amp;$B175,engChave,0),17),0))</f>
        <v>0</v>
      </c>
      <c r="BD175" s="30">
        <f>IF($AX175="",0,IFERROR(INDEX(engDados,MATCH(selAnalito&amp;"|"&amp;$B175,engChave,0),18),0))</f>
        <v>0</v>
      </c>
      <c r="BE175" s="30">
        <f>IF($AX175="",0,IFERROR(INDEX(engDados,MATCH(selAnalito&amp;"|"&amp;$B175,engChave,0),19),0))</f>
        <v>0</v>
      </c>
      <c r="BF175" s="30">
        <f>IF($AX175="",0,IFERROR(INDEX(engDados,MATCH(selAnalito&amp;"|"&amp;$B175,engChave,0),20),0))</f>
        <v>0</v>
      </c>
      <c r="BG175" s="30">
        <f>IF($AX175="",0,IFERROR(INDEX(engDados,MATCH(selAnalito&amp;"|"&amp;$B175,engChave,0),21),0))</f>
        <v>0</v>
      </c>
      <c r="BH175" s="30" t="str">
        <f>IF($AX175="","",IFERROR(INDEX(engDados,MATCH(selAnalito&amp;"|"&amp;$B175,engChave,0),23),""))</f>
        <v/>
      </c>
      <c r="BI175" s="30" t="e">
        <f t="shared" si="197"/>
        <v>#N/A</v>
      </c>
      <c r="BJ175" s="30" t="e">
        <f t="shared" si="198"/>
        <v>#N/A</v>
      </c>
      <c r="BK175" s="30" t="e">
        <f t="shared" si="199"/>
        <v>#N/A</v>
      </c>
      <c r="BL175" s="30" t="e">
        <f t="shared" si="200"/>
        <v>#N/A</v>
      </c>
      <c r="BM175" s="30" t="e">
        <f t="shared" si="201"/>
        <v>#N/A</v>
      </c>
      <c r="BN175" s="30" t="e">
        <f t="shared" si="202"/>
        <v>#N/A</v>
      </c>
      <c r="BO175" s="30" t="e">
        <f t="shared" si="203"/>
        <v>#N/A</v>
      </c>
      <c r="BP175" s="30" t="e">
        <f>IF(AND($D175=1,(""&amp;loteAnalise)=(""&amp;loteCarregado),COUNTIFS(regAnalito,selAnalito,regNivel,3,regData,$C175,regRep1,"&lt;&gt;")&gt;0),SUMIFS(regRep1,regAnalito,selAnalito,regNivel,3,regData,$C175),NA())</f>
        <v>#N/A</v>
      </c>
      <c r="BQ175" s="30" t="e">
        <f>IF(AND($D175=1,(""&amp;loteAnalise)=(""&amp;loteCarregado),COUNTIFS(regAnalito,selAnalito,regNivel,3,regData,$C175,regRep2,"&lt;&gt;")&gt;0),SUMIFS(regRep2,regAnalito,selAnalito,regNivel,3,regData,$C175),NA())</f>
        <v>#N/A</v>
      </c>
      <c r="BR175" s="30" t="e">
        <f>IF(AND($D175=1,(""&amp;loteAnalise)=(""&amp;loteCarregado),COUNTIFS(regAnalito,selAnalito,regNivel,3,regData,$C175,regRep3,"&lt;&gt;")&gt;0),SUMIFS(regRep3,regAnalito,selAnalito,regNivel,3,regData,$C175),NA())</f>
        <v>#N/A</v>
      </c>
      <c r="BS175" s="30" t="e">
        <f>IF(AND($D175=1,COUNTIFS(regAnalito,selAnalito,regData,$C175,regCalib,"Sim")&gt;0),$BX$1,NA())</f>
        <v>#N/A</v>
      </c>
    </row>
    <row r="176" spans="1:71" x14ac:dyDescent="0.3">
      <c r="A176" s="30">
        <v>174</v>
      </c>
      <c r="B176" s="30" t="str">
        <f>IF(OR(selAnalito="",(""&amp;engAnalito)&lt;&gt;(""&amp;selAnalito),(""&amp;engLote)&lt;&gt;(""&amp;loteAnalise),$A176&gt;N(engNRun)),"",INDEX(engRUN,$A176))</f>
        <v/>
      </c>
      <c r="C176" s="43" t="str">
        <f>IF($B176="","",IF(INDEX(engData,$A176)="","",INDEX(engData,$A176)))</f>
        <v/>
      </c>
      <c r="D176" s="30">
        <f>IF($C176="",0,IF(AND(OR(filtroDe="",INT($C176)&gt;=INT(filtroDe)),OR(filtroAte="",INT($C176)&lt;=INT(filtroAte))),1,0))</f>
        <v>0</v>
      </c>
      <c r="E176" s="30" t="e">
        <f t="shared" si="170"/>
        <v>#N/A</v>
      </c>
      <c r="F176" s="30" t="str">
        <f>IF($B176="","",IF(INDEX(engValN1,$A176)="","",INDEX(engValN1,$A176)))</f>
        <v/>
      </c>
      <c r="G176" s="30" t="str">
        <f t="shared" si="171"/>
        <v/>
      </c>
      <c r="H176" s="30" t="e">
        <f t="shared" si="172"/>
        <v>#N/A</v>
      </c>
      <c r="I176" s="30" t="e">
        <f t="shared" si="173"/>
        <v>#N/A</v>
      </c>
      <c r="J176" s="30" t="e">
        <f t="shared" si="174"/>
        <v>#N/A</v>
      </c>
      <c r="K176" s="30">
        <f>IF($F176="",0,IFERROR(INDEX(engDados,MATCH(selAnalito&amp;"|"&amp;$B176,engChave,0),3),0))</f>
        <v>0</v>
      </c>
      <c r="L176" s="30">
        <f>IF($F176="",0,IFERROR(INDEX(engDados,MATCH(selAnalito&amp;"|"&amp;$B176,engChave,0),4),0))</f>
        <v>0</v>
      </c>
      <c r="M176" s="30">
        <f>IF($F176="",0,IFERROR(INDEX(engDados,MATCH(selAnalito&amp;"|"&amp;$B176,engChave,0),5),0))</f>
        <v>0</v>
      </c>
      <c r="N176" s="30">
        <f>IF($F176="",0,IFERROR(INDEX(engDados,MATCH(selAnalito&amp;"|"&amp;$B176,engChave,0),6),0))</f>
        <v>0</v>
      </c>
      <c r="O176" s="30">
        <f>IF($F176="",0,IFERROR(INDEX(engDados,MATCH(selAnalito&amp;"|"&amp;$B176,engChave,0),7),0))</f>
        <v>0</v>
      </c>
      <c r="P176" s="30" t="str">
        <f>IF($F176="","",IFERROR(INDEX(engDados,MATCH(selAnalito&amp;"|"&amp;$B176,engChave,0),9),""))</f>
        <v/>
      </c>
      <c r="Q176" s="30" t="e">
        <f t="shared" si="175"/>
        <v>#N/A</v>
      </c>
      <c r="R176" s="30" t="e">
        <f t="shared" si="176"/>
        <v>#N/A</v>
      </c>
      <c r="S176" s="30" t="e">
        <f t="shared" si="177"/>
        <v>#N/A</v>
      </c>
      <c r="T176" s="30" t="e">
        <f t="shared" si="178"/>
        <v>#N/A</v>
      </c>
      <c r="U176" s="30" t="e">
        <f t="shared" si="179"/>
        <v>#N/A</v>
      </c>
      <c r="V176" s="30" t="e">
        <f t="shared" si="180"/>
        <v>#N/A</v>
      </c>
      <c r="W176" s="30" t="e">
        <f t="shared" si="181"/>
        <v>#N/A</v>
      </c>
      <c r="X176" s="30" t="e">
        <f>IF(AND($D176=1,(""&amp;loteAnalise)=(""&amp;loteCarregado),COUNTIFS(regAnalito,selAnalito,regNivel,1,regData,$C176,regRep1,"&lt;&gt;")&gt;0),SUMIFS(regRep1,regAnalito,selAnalito,regNivel,1,regData,$C176),NA())</f>
        <v>#N/A</v>
      </c>
      <c r="Y176" s="30" t="e">
        <f>IF(AND($D176=1,(""&amp;loteAnalise)=(""&amp;loteCarregado),COUNTIFS(regAnalito,selAnalito,regNivel,1,regData,$C176,regRep2,"&lt;&gt;")&gt;0),SUMIFS(regRep2,regAnalito,selAnalito,regNivel,1,regData,$C176),NA())</f>
        <v>#N/A</v>
      </c>
      <c r="Z176" s="30" t="e">
        <f>IF(AND($D176=1,(""&amp;loteAnalise)=(""&amp;loteCarregado),COUNTIFS(regAnalito,selAnalito,regNivel,1,regData,$C176,regRep3,"&lt;&gt;")&gt;0),SUMIFS(regRep3,regAnalito,selAnalito,regNivel,1,regData,$C176),NA())</f>
        <v>#N/A</v>
      </c>
      <c r="AA176" s="30" t="e">
        <f>IF(AND($D176=1,COUNTIFS(regAnalito,selAnalito,regData,$C176,regCalib,"Sim")&gt;0),$BT$1,NA())</f>
        <v>#N/A</v>
      </c>
      <c r="AB176" s="30" t="str">
        <f>IF($B176="","",IF(INDEX(engValN2,$A176)="","",INDEX(engValN2,$A176)))</f>
        <v/>
      </c>
      <c r="AC176" s="30" t="str">
        <f t="shared" si="182"/>
        <v/>
      </c>
      <c r="AD176" s="30" t="e">
        <f t="shared" si="183"/>
        <v>#N/A</v>
      </c>
      <c r="AE176" s="30" t="e">
        <f t="shared" si="184"/>
        <v>#N/A</v>
      </c>
      <c r="AF176" s="30" t="e">
        <f t="shared" si="185"/>
        <v>#N/A</v>
      </c>
      <c r="AG176" s="30">
        <f>IF($AB176="",0,IFERROR(INDEX(engDados,MATCH(selAnalito&amp;"|"&amp;$B176,engChave,0),10),0))</f>
        <v>0</v>
      </c>
      <c r="AH176" s="30">
        <f>IF($AB176="",0,IFERROR(INDEX(engDados,MATCH(selAnalito&amp;"|"&amp;$B176,engChave,0),11),0))</f>
        <v>0</v>
      </c>
      <c r="AI176" s="30">
        <f>IF($AB176="",0,IFERROR(INDEX(engDados,MATCH(selAnalito&amp;"|"&amp;$B176,engChave,0),12),0))</f>
        <v>0</v>
      </c>
      <c r="AJ176" s="30">
        <f>IF($AB176="",0,IFERROR(INDEX(engDados,MATCH(selAnalito&amp;"|"&amp;$B176,engChave,0),13),0))</f>
        <v>0</v>
      </c>
      <c r="AK176" s="30">
        <f>IF($AB176="",0,IFERROR(INDEX(engDados,MATCH(selAnalito&amp;"|"&amp;$B176,engChave,0),14),0))</f>
        <v>0</v>
      </c>
      <c r="AL176" s="30" t="str">
        <f>IF($AB176="","",IFERROR(INDEX(engDados,MATCH(selAnalito&amp;"|"&amp;$B176,engChave,0),16),""))</f>
        <v/>
      </c>
      <c r="AM176" s="30" t="e">
        <f t="shared" si="186"/>
        <v>#N/A</v>
      </c>
      <c r="AN176" s="30" t="e">
        <f t="shared" si="187"/>
        <v>#N/A</v>
      </c>
      <c r="AO176" s="30" t="e">
        <f t="shared" si="188"/>
        <v>#N/A</v>
      </c>
      <c r="AP176" s="30" t="e">
        <f t="shared" si="189"/>
        <v>#N/A</v>
      </c>
      <c r="AQ176" s="30" t="e">
        <f t="shared" si="190"/>
        <v>#N/A</v>
      </c>
      <c r="AR176" s="30" t="e">
        <f t="shared" si="191"/>
        <v>#N/A</v>
      </c>
      <c r="AS176" s="30" t="e">
        <f t="shared" si="192"/>
        <v>#N/A</v>
      </c>
      <c r="AT176" s="30" t="e">
        <f>IF(AND($D176=1,(""&amp;loteAnalise)=(""&amp;loteCarregado),COUNTIFS(regAnalito,selAnalito,regNivel,2,regData,$C176,regRep1,"&lt;&gt;")&gt;0),SUMIFS(regRep1,regAnalito,selAnalito,regNivel,2,regData,$C176),NA())</f>
        <v>#N/A</v>
      </c>
      <c r="AU176" s="30" t="e">
        <f>IF(AND($D176=1,(""&amp;loteAnalise)=(""&amp;loteCarregado),COUNTIFS(regAnalito,selAnalito,regNivel,2,regData,$C176,regRep2,"&lt;&gt;")&gt;0),SUMIFS(regRep2,regAnalito,selAnalito,regNivel,2,regData,$C176),NA())</f>
        <v>#N/A</v>
      </c>
      <c r="AV176" s="30" t="e">
        <f>IF(AND($D176=1,(""&amp;loteAnalise)=(""&amp;loteCarregado),COUNTIFS(regAnalito,selAnalito,regNivel,2,regData,$C176,regRep3,"&lt;&gt;")&gt;0),SUMIFS(regRep3,regAnalito,selAnalito,regNivel,2,regData,$C176),NA())</f>
        <v>#N/A</v>
      </c>
      <c r="AW176" s="30" t="e">
        <f>IF(AND($D176=1,COUNTIFS(regAnalito,selAnalito,regData,$C176,regCalib,"Sim")&gt;0),$BV$1,NA())</f>
        <v>#N/A</v>
      </c>
      <c r="AX176" s="30" t="str">
        <f>IF($B176="","",IF(INDEX(engValN3,$A176)="","",INDEX(engValN3,$A176)))</f>
        <v/>
      </c>
      <c r="AY176" s="30" t="str">
        <f t="shared" si="193"/>
        <v/>
      </c>
      <c r="AZ176" s="30" t="e">
        <f t="shared" si="194"/>
        <v>#N/A</v>
      </c>
      <c r="BA176" s="30" t="e">
        <f t="shared" si="195"/>
        <v>#N/A</v>
      </c>
      <c r="BB176" s="30" t="e">
        <f t="shared" si="196"/>
        <v>#N/A</v>
      </c>
      <c r="BC176" s="30">
        <f>IF($AX176="",0,IFERROR(INDEX(engDados,MATCH(selAnalito&amp;"|"&amp;$B176,engChave,0),17),0))</f>
        <v>0</v>
      </c>
      <c r="BD176" s="30">
        <f>IF($AX176="",0,IFERROR(INDEX(engDados,MATCH(selAnalito&amp;"|"&amp;$B176,engChave,0),18),0))</f>
        <v>0</v>
      </c>
      <c r="BE176" s="30">
        <f>IF($AX176="",0,IFERROR(INDEX(engDados,MATCH(selAnalito&amp;"|"&amp;$B176,engChave,0),19),0))</f>
        <v>0</v>
      </c>
      <c r="BF176" s="30">
        <f>IF($AX176="",0,IFERROR(INDEX(engDados,MATCH(selAnalito&amp;"|"&amp;$B176,engChave,0),20),0))</f>
        <v>0</v>
      </c>
      <c r="BG176" s="30">
        <f>IF($AX176="",0,IFERROR(INDEX(engDados,MATCH(selAnalito&amp;"|"&amp;$B176,engChave,0),21),0))</f>
        <v>0</v>
      </c>
      <c r="BH176" s="30" t="str">
        <f>IF($AX176="","",IFERROR(INDEX(engDados,MATCH(selAnalito&amp;"|"&amp;$B176,engChave,0),23),""))</f>
        <v/>
      </c>
      <c r="BI176" s="30" t="e">
        <f t="shared" si="197"/>
        <v>#N/A</v>
      </c>
      <c r="BJ176" s="30" t="e">
        <f t="shared" si="198"/>
        <v>#N/A</v>
      </c>
      <c r="BK176" s="30" t="e">
        <f t="shared" si="199"/>
        <v>#N/A</v>
      </c>
      <c r="BL176" s="30" t="e">
        <f t="shared" si="200"/>
        <v>#N/A</v>
      </c>
      <c r="BM176" s="30" t="e">
        <f t="shared" si="201"/>
        <v>#N/A</v>
      </c>
      <c r="BN176" s="30" t="e">
        <f t="shared" si="202"/>
        <v>#N/A</v>
      </c>
      <c r="BO176" s="30" t="e">
        <f t="shared" si="203"/>
        <v>#N/A</v>
      </c>
      <c r="BP176" s="30" t="e">
        <f>IF(AND($D176=1,(""&amp;loteAnalise)=(""&amp;loteCarregado),COUNTIFS(regAnalito,selAnalito,regNivel,3,regData,$C176,regRep1,"&lt;&gt;")&gt;0),SUMIFS(regRep1,regAnalito,selAnalito,regNivel,3,regData,$C176),NA())</f>
        <v>#N/A</v>
      </c>
      <c r="BQ176" s="30" t="e">
        <f>IF(AND($D176=1,(""&amp;loteAnalise)=(""&amp;loteCarregado),COUNTIFS(regAnalito,selAnalito,regNivel,3,regData,$C176,regRep2,"&lt;&gt;")&gt;0),SUMIFS(regRep2,regAnalito,selAnalito,regNivel,3,regData,$C176),NA())</f>
        <v>#N/A</v>
      </c>
      <c r="BR176" s="30" t="e">
        <f>IF(AND($D176=1,(""&amp;loteAnalise)=(""&amp;loteCarregado),COUNTIFS(regAnalito,selAnalito,regNivel,3,regData,$C176,regRep3,"&lt;&gt;")&gt;0),SUMIFS(regRep3,regAnalito,selAnalito,regNivel,3,regData,$C176),NA())</f>
        <v>#N/A</v>
      </c>
      <c r="BS176" s="30" t="e">
        <f>IF(AND($D176=1,COUNTIFS(regAnalito,selAnalito,regData,$C176,regCalib,"Sim")&gt;0),$BX$1,NA())</f>
        <v>#N/A</v>
      </c>
    </row>
    <row r="177" spans="1:71" x14ac:dyDescent="0.3">
      <c r="A177" s="30">
        <v>175</v>
      </c>
      <c r="B177" s="30" t="str">
        <f>IF(OR(selAnalito="",(""&amp;engAnalito)&lt;&gt;(""&amp;selAnalito),(""&amp;engLote)&lt;&gt;(""&amp;loteAnalise),$A177&gt;N(engNRun)),"",INDEX(engRUN,$A177))</f>
        <v/>
      </c>
      <c r="C177" s="43" t="str">
        <f>IF($B177="","",IF(INDEX(engData,$A177)="","",INDEX(engData,$A177)))</f>
        <v/>
      </c>
      <c r="D177" s="30">
        <f>IF($C177="",0,IF(AND(OR(filtroDe="",INT($C177)&gt;=INT(filtroDe)),OR(filtroAte="",INT($C177)&lt;=INT(filtroAte))),1,0))</f>
        <v>0</v>
      </c>
      <c r="E177" s="30" t="e">
        <f t="shared" si="170"/>
        <v>#N/A</v>
      </c>
      <c r="F177" s="30" t="str">
        <f>IF($B177="","",IF(INDEX(engValN1,$A177)="","",INDEX(engValN1,$A177)))</f>
        <v/>
      </c>
      <c r="G177" s="30" t="str">
        <f t="shared" si="171"/>
        <v/>
      </c>
      <c r="H177" s="30" t="e">
        <f t="shared" si="172"/>
        <v>#N/A</v>
      </c>
      <c r="I177" s="30" t="e">
        <f t="shared" si="173"/>
        <v>#N/A</v>
      </c>
      <c r="J177" s="30" t="e">
        <f t="shared" si="174"/>
        <v>#N/A</v>
      </c>
      <c r="K177" s="30">
        <f>IF($F177="",0,IFERROR(INDEX(engDados,MATCH(selAnalito&amp;"|"&amp;$B177,engChave,0),3),0))</f>
        <v>0</v>
      </c>
      <c r="L177" s="30">
        <f>IF($F177="",0,IFERROR(INDEX(engDados,MATCH(selAnalito&amp;"|"&amp;$B177,engChave,0),4),0))</f>
        <v>0</v>
      </c>
      <c r="M177" s="30">
        <f>IF($F177="",0,IFERROR(INDEX(engDados,MATCH(selAnalito&amp;"|"&amp;$B177,engChave,0),5),0))</f>
        <v>0</v>
      </c>
      <c r="N177" s="30">
        <f>IF($F177="",0,IFERROR(INDEX(engDados,MATCH(selAnalito&amp;"|"&amp;$B177,engChave,0),6),0))</f>
        <v>0</v>
      </c>
      <c r="O177" s="30">
        <f>IF($F177="",0,IFERROR(INDEX(engDados,MATCH(selAnalito&amp;"|"&amp;$B177,engChave,0),7),0))</f>
        <v>0</v>
      </c>
      <c r="P177" s="30" t="str">
        <f>IF($F177="","",IFERROR(INDEX(engDados,MATCH(selAnalito&amp;"|"&amp;$B177,engChave,0),9),""))</f>
        <v/>
      </c>
      <c r="Q177" s="30" t="e">
        <f t="shared" si="175"/>
        <v>#N/A</v>
      </c>
      <c r="R177" s="30" t="e">
        <f t="shared" si="176"/>
        <v>#N/A</v>
      </c>
      <c r="S177" s="30" t="e">
        <f t="shared" si="177"/>
        <v>#N/A</v>
      </c>
      <c r="T177" s="30" t="e">
        <f t="shared" si="178"/>
        <v>#N/A</v>
      </c>
      <c r="U177" s="30" t="e">
        <f t="shared" si="179"/>
        <v>#N/A</v>
      </c>
      <c r="V177" s="30" t="e">
        <f t="shared" si="180"/>
        <v>#N/A</v>
      </c>
      <c r="W177" s="30" t="e">
        <f t="shared" si="181"/>
        <v>#N/A</v>
      </c>
      <c r="X177" s="30" t="e">
        <f>IF(AND($D177=1,(""&amp;loteAnalise)=(""&amp;loteCarregado),COUNTIFS(regAnalito,selAnalito,regNivel,1,regData,$C177,regRep1,"&lt;&gt;")&gt;0),SUMIFS(regRep1,regAnalito,selAnalito,regNivel,1,regData,$C177),NA())</f>
        <v>#N/A</v>
      </c>
      <c r="Y177" s="30" t="e">
        <f>IF(AND($D177=1,(""&amp;loteAnalise)=(""&amp;loteCarregado),COUNTIFS(regAnalito,selAnalito,regNivel,1,regData,$C177,regRep2,"&lt;&gt;")&gt;0),SUMIFS(regRep2,regAnalito,selAnalito,regNivel,1,regData,$C177),NA())</f>
        <v>#N/A</v>
      </c>
      <c r="Z177" s="30" t="e">
        <f>IF(AND($D177=1,(""&amp;loteAnalise)=(""&amp;loteCarregado),COUNTIFS(regAnalito,selAnalito,regNivel,1,regData,$C177,regRep3,"&lt;&gt;")&gt;0),SUMIFS(regRep3,regAnalito,selAnalito,regNivel,1,regData,$C177),NA())</f>
        <v>#N/A</v>
      </c>
      <c r="AA177" s="30" t="e">
        <f>IF(AND($D177=1,COUNTIFS(regAnalito,selAnalito,regData,$C177,regCalib,"Sim")&gt;0),$BT$1,NA())</f>
        <v>#N/A</v>
      </c>
      <c r="AB177" s="30" t="str">
        <f>IF($B177="","",IF(INDEX(engValN2,$A177)="","",INDEX(engValN2,$A177)))</f>
        <v/>
      </c>
      <c r="AC177" s="30" t="str">
        <f t="shared" si="182"/>
        <v/>
      </c>
      <c r="AD177" s="30" t="e">
        <f t="shared" si="183"/>
        <v>#N/A</v>
      </c>
      <c r="AE177" s="30" t="e">
        <f t="shared" si="184"/>
        <v>#N/A</v>
      </c>
      <c r="AF177" s="30" t="e">
        <f t="shared" si="185"/>
        <v>#N/A</v>
      </c>
      <c r="AG177" s="30">
        <f>IF($AB177="",0,IFERROR(INDEX(engDados,MATCH(selAnalito&amp;"|"&amp;$B177,engChave,0),10),0))</f>
        <v>0</v>
      </c>
      <c r="AH177" s="30">
        <f>IF($AB177="",0,IFERROR(INDEX(engDados,MATCH(selAnalito&amp;"|"&amp;$B177,engChave,0),11),0))</f>
        <v>0</v>
      </c>
      <c r="AI177" s="30">
        <f>IF($AB177="",0,IFERROR(INDEX(engDados,MATCH(selAnalito&amp;"|"&amp;$B177,engChave,0),12),0))</f>
        <v>0</v>
      </c>
      <c r="AJ177" s="30">
        <f>IF($AB177="",0,IFERROR(INDEX(engDados,MATCH(selAnalito&amp;"|"&amp;$B177,engChave,0),13),0))</f>
        <v>0</v>
      </c>
      <c r="AK177" s="30">
        <f>IF($AB177="",0,IFERROR(INDEX(engDados,MATCH(selAnalito&amp;"|"&amp;$B177,engChave,0),14),0))</f>
        <v>0</v>
      </c>
      <c r="AL177" s="30" t="str">
        <f>IF($AB177="","",IFERROR(INDEX(engDados,MATCH(selAnalito&amp;"|"&amp;$B177,engChave,0),16),""))</f>
        <v/>
      </c>
      <c r="AM177" s="30" t="e">
        <f t="shared" si="186"/>
        <v>#N/A</v>
      </c>
      <c r="AN177" s="30" t="e">
        <f t="shared" si="187"/>
        <v>#N/A</v>
      </c>
      <c r="AO177" s="30" t="e">
        <f t="shared" si="188"/>
        <v>#N/A</v>
      </c>
      <c r="AP177" s="30" t="e">
        <f t="shared" si="189"/>
        <v>#N/A</v>
      </c>
      <c r="AQ177" s="30" t="e">
        <f t="shared" si="190"/>
        <v>#N/A</v>
      </c>
      <c r="AR177" s="30" t="e">
        <f t="shared" si="191"/>
        <v>#N/A</v>
      </c>
      <c r="AS177" s="30" t="e">
        <f t="shared" si="192"/>
        <v>#N/A</v>
      </c>
      <c r="AT177" s="30" t="e">
        <f>IF(AND($D177=1,(""&amp;loteAnalise)=(""&amp;loteCarregado),COUNTIFS(regAnalito,selAnalito,regNivel,2,regData,$C177,regRep1,"&lt;&gt;")&gt;0),SUMIFS(regRep1,regAnalito,selAnalito,regNivel,2,regData,$C177),NA())</f>
        <v>#N/A</v>
      </c>
      <c r="AU177" s="30" t="e">
        <f>IF(AND($D177=1,(""&amp;loteAnalise)=(""&amp;loteCarregado),COUNTIFS(regAnalito,selAnalito,regNivel,2,regData,$C177,regRep2,"&lt;&gt;")&gt;0),SUMIFS(regRep2,regAnalito,selAnalito,regNivel,2,regData,$C177),NA())</f>
        <v>#N/A</v>
      </c>
      <c r="AV177" s="30" t="e">
        <f>IF(AND($D177=1,(""&amp;loteAnalise)=(""&amp;loteCarregado),COUNTIFS(regAnalito,selAnalito,regNivel,2,regData,$C177,regRep3,"&lt;&gt;")&gt;0),SUMIFS(regRep3,regAnalito,selAnalito,regNivel,2,regData,$C177),NA())</f>
        <v>#N/A</v>
      </c>
      <c r="AW177" s="30" t="e">
        <f>IF(AND($D177=1,COUNTIFS(regAnalito,selAnalito,regData,$C177,regCalib,"Sim")&gt;0),$BV$1,NA())</f>
        <v>#N/A</v>
      </c>
      <c r="AX177" s="30" t="str">
        <f>IF($B177="","",IF(INDEX(engValN3,$A177)="","",INDEX(engValN3,$A177)))</f>
        <v/>
      </c>
      <c r="AY177" s="30" t="str">
        <f t="shared" si="193"/>
        <v/>
      </c>
      <c r="AZ177" s="30" t="e">
        <f t="shared" si="194"/>
        <v>#N/A</v>
      </c>
      <c r="BA177" s="30" t="e">
        <f t="shared" si="195"/>
        <v>#N/A</v>
      </c>
      <c r="BB177" s="30" t="e">
        <f t="shared" si="196"/>
        <v>#N/A</v>
      </c>
      <c r="BC177" s="30">
        <f>IF($AX177="",0,IFERROR(INDEX(engDados,MATCH(selAnalito&amp;"|"&amp;$B177,engChave,0),17),0))</f>
        <v>0</v>
      </c>
      <c r="BD177" s="30">
        <f>IF($AX177="",0,IFERROR(INDEX(engDados,MATCH(selAnalito&amp;"|"&amp;$B177,engChave,0),18),0))</f>
        <v>0</v>
      </c>
      <c r="BE177" s="30">
        <f>IF($AX177="",0,IFERROR(INDEX(engDados,MATCH(selAnalito&amp;"|"&amp;$B177,engChave,0),19),0))</f>
        <v>0</v>
      </c>
      <c r="BF177" s="30">
        <f>IF($AX177="",0,IFERROR(INDEX(engDados,MATCH(selAnalito&amp;"|"&amp;$B177,engChave,0),20),0))</f>
        <v>0</v>
      </c>
      <c r="BG177" s="30">
        <f>IF($AX177="",0,IFERROR(INDEX(engDados,MATCH(selAnalito&amp;"|"&amp;$B177,engChave,0),21),0))</f>
        <v>0</v>
      </c>
      <c r="BH177" s="30" t="str">
        <f>IF($AX177="","",IFERROR(INDEX(engDados,MATCH(selAnalito&amp;"|"&amp;$B177,engChave,0),23),""))</f>
        <v/>
      </c>
      <c r="BI177" s="30" t="e">
        <f t="shared" si="197"/>
        <v>#N/A</v>
      </c>
      <c r="BJ177" s="30" t="e">
        <f t="shared" si="198"/>
        <v>#N/A</v>
      </c>
      <c r="BK177" s="30" t="e">
        <f t="shared" si="199"/>
        <v>#N/A</v>
      </c>
      <c r="BL177" s="30" t="e">
        <f t="shared" si="200"/>
        <v>#N/A</v>
      </c>
      <c r="BM177" s="30" t="e">
        <f t="shared" si="201"/>
        <v>#N/A</v>
      </c>
      <c r="BN177" s="30" t="e">
        <f t="shared" si="202"/>
        <v>#N/A</v>
      </c>
      <c r="BO177" s="30" t="e">
        <f t="shared" si="203"/>
        <v>#N/A</v>
      </c>
      <c r="BP177" s="30" t="e">
        <f>IF(AND($D177=1,(""&amp;loteAnalise)=(""&amp;loteCarregado),COUNTIFS(regAnalito,selAnalito,regNivel,3,regData,$C177,regRep1,"&lt;&gt;")&gt;0),SUMIFS(regRep1,regAnalito,selAnalito,regNivel,3,regData,$C177),NA())</f>
        <v>#N/A</v>
      </c>
      <c r="BQ177" s="30" t="e">
        <f>IF(AND($D177=1,(""&amp;loteAnalise)=(""&amp;loteCarregado),COUNTIFS(regAnalito,selAnalito,regNivel,3,regData,$C177,regRep2,"&lt;&gt;")&gt;0),SUMIFS(regRep2,regAnalito,selAnalito,regNivel,3,regData,$C177),NA())</f>
        <v>#N/A</v>
      </c>
      <c r="BR177" s="30" t="e">
        <f>IF(AND($D177=1,(""&amp;loteAnalise)=(""&amp;loteCarregado),COUNTIFS(regAnalito,selAnalito,regNivel,3,regData,$C177,regRep3,"&lt;&gt;")&gt;0),SUMIFS(regRep3,regAnalito,selAnalito,regNivel,3,regData,$C177),NA())</f>
        <v>#N/A</v>
      </c>
      <c r="BS177" s="30" t="e">
        <f>IF(AND($D177=1,COUNTIFS(regAnalito,selAnalito,regData,$C177,regCalib,"Sim")&gt;0),$BX$1,NA())</f>
        <v>#N/A</v>
      </c>
    </row>
    <row r="178" spans="1:71" x14ac:dyDescent="0.3">
      <c r="A178" s="30">
        <v>176</v>
      </c>
      <c r="B178" s="30" t="str">
        <f>IF(OR(selAnalito="",(""&amp;engAnalito)&lt;&gt;(""&amp;selAnalito),(""&amp;engLote)&lt;&gt;(""&amp;loteAnalise),$A178&gt;N(engNRun)),"",INDEX(engRUN,$A178))</f>
        <v/>
      </c>
      <c r="C178" s="43" t="str">
        <f>IF($B178="","",IF(INDEX(engData,$A178)="","",INDEX(engData,$A178)))</f>
        <v/>
      </c>
      <c r="D178" s="30">
        <f>IF($C178="",0,IF(AND(OR(filtroDe="",INT($C178)&gt;=INT(filtroDe)),OR(filtroAte="",INT($C178)&lt;=INT(filtroAte))),1,0))</f>
        <v>0</v>
      </c>
      <c r="E178" s="30" t="e">
        <f t="shared" si="170"/>
        <v>#N/A</v>
      </c>
      <c r="F178" s="30" t="str">
        <f>IF($B178="","",IF(INDEX(engValN1,$A178)="","",INDEX(engValN1,$A178)))</f>
        <v/>
      </c>
      <c r="G178" s="30" t="str">
        <f t="shared" si="171"/>
        <v/>
      </c>
      <c r="H178" s="30" t="e">
        <f t="shared" si="172"/>
        <v>#N/A</v>
      </c>
      <c r="I178" s="30" t="e">
        <f t="shared" si="173"/>
        <v>#N/A</v>
      </c>
      <c r="J178" s="30" t="e">
        <f t="shared" si="174"/>
        <v>#N/A</v>
      </c>
      <c r="K178" s="30">
        <f>IF($F178="",0,IFERROR(INDEX(engDados,MATCH(selAnalito&amp;"|"&amp;$B178,engChave,0),3),0))</f>
        <v>0</v>
      </c>
      <c r="L178" s="30">
        <f>IF($F178="",0,IFERROR(INDEX(engDados,MATCH(selAnalito&amp;"|"&amp;$B178,engChave,0),4),0))</f>
        <v>0</v>
      </c>
      <c r="M178" s="30">
        <f>IF($F178="",0,IFERROR(INDEX(engDados,MATCH(selAnalito&amp;"|"&amp;$B178,engChave,0),5),0))</f>
        <v>0</v>
      </c>
      <c r="N178" s="30">
        <f>IF($F178="",0,IFERROR(INDEX(engDados,MATCH(selAnalito&amp;"|"&amp;$B178,engChave,0),6),0))</f>
        <v>0</v>
      </c>
      <c r="O178" s="30">
        <f>IF($F178="",0,IFERROR(INDEX(engDados,MATCH(selAnalito&amp;"|"&amp;$B178,engChave,0),7),0))</f>
        <v>0</v>
      </c>
      <c r="P178" s="30" t="str">
        <f>IF($F178="","",IFERROR(INDEX(engDados,MATCH(selAnalito&amp;"|"&amp;$B178,engChave,0),9),""))</f>
        <v/>
      </c>
      <c r="Q178" s="30" t="e">
        <f t="shared" si="175"/>
        <v>#N/A</v>
      </c>
      <c r="R178" s="30" t="e">
        <f t="shared" si="176"/>
        <v>#N/A</v>
      </c>
      <c r="S178" s="30" t="e">
        <f t="shared" si="177"/>
        <v>#N/A</v>
      </c>
      <c r="T178" s="30" t="e">
        <f t="shared" si="178"/>
        <v>#N/A</v>
      </c>
      <c r="U178" s="30" t="e">
        <f t="shared" si="179"/>
        <v>#N/A</v>
      </c>
      <c r="V178" s="30" t="e">
        <f t="shared" si="180"/>
        <v>#N/A</v>
      </c>
      <c r="W178" s="30" t="e">
        <f t="shared" si="181"/>
        <v>#N/A</v>
      </c>
      <c r="X178" s="30" t="e">
        <f>IF(AND($D178=1,(""&amp;loteAnalise)=(""&amp;loteCarregado),COUNTIFS(regAnalito,selAnalito,regNivel,1,regData,$C178,regRep1,"&lt;&gt;")&gt;0),SUMIFS(regRep1,regAnalito,selAnalito,regNivel,1,regData,$C178),NA())</f>
        <v>#N/A</v>
      </c>
      <c r="Y178" s="30" t="e">
        <f>IF(AND($D178=1,(""&amp;loteAnalise)=(""&amp;loteCarregado),COUNTIFS(regAnalito,selAnalito,regNivel,1,regData,$C178,regRep2,"&lt;&gt;")&gt;0),SUMIFS(regRep2,regAnalito,selAnalito,regNivel,1,regData,$C178),NA())</f>
        <v>#N/A</v>
      </c>
      <c r="Z178" s="30" t="e">
        <f>IF(AND($D178=1,(""&amp;loteAnalise)=(""&amp;loteCarregado),COUNTIFS(regAnalito,selAnalito,regNivel,1,regData,$C178,regRep3,"&lt;&gt;")&gt;0),SUMIFS(regRep3,regAnalito,selAnalito,regNivel,1,regData,$C178),NA())</f>
        <v>#N/A</v>
      </c>
      <c r="AA178" s="30" t="e">
        <f>IF(AND($D178=1,COUNTIFS(regAnalito,selAnalito,regData,$C178,regCalib,"Sim")&gt;0),$BT$1,NA())</f>
        <v>#N/A</v>
      </c>
      <c r="AB178" s="30" t="str">
        <f>IF($B178="","",IF(INDEX(engValN2,$A178)="","",INDEX(engValN2,$A178)))</f>
        <v/>
      </c>
      <c r="AC178" s="30" t="str">
        <f t="shared" si="182"/>
        <v/>
      </c>
      <c r="AD178" s="30" t="e">
        <f t="shared" si="183"/>
        <v>#N/A</v>
      </c>
      <c r="AE178" s="30" t="e">
        <f t="shared" si="184"/>
        <v>#N/A</v>
      </c>
      <c r="AF178" s="30" t="e">
        <f t="shared" si="185"/>
        <v>#N/A</v>
      </c>
      <c r="AG178" s="30">
        <f>IF($AB178="",0,IFERROR(INDEX(engDados,MATCH(selAnalito&amp;"|"&amp;$B178,engChave,0),10),0))</f>
        <v>0</v>
      </c>
      <c r="AH178" s="30">
        <f>IF($AB178="",0,IFERROR(INDEX(engDados,MATCH(selAnalito&amp;"|"&amp;$B178,engChave,0),11),0))</f>
        <v>0</v>
      </c>
      <c r="AI178" s="30">
        <f>IF($AB178="",0,IFERROR(INDEX(engDados,MATCH(selAnalito&amp;"|"&amp;$B178,engChave,0),12),0))</f>
        <v>0</v>
      </c>
      <c r="AJ178" s="30">
        <f>IF($AB178="",0,IFERROR(INDEX(engDados,MATCH(selAnalito&amp;"|"&amp;$B178,engChave,0),13),0))</f>
        <v>0</v>
      </c>
      <c r="AK178" s="30">
        <f>IF($AB178="",0,IFERROR(INDEX(engDados,MATCH(selAnalito&amp;"|"&amp;$B178,engChave,0),14),0))</f>
        <v>0</v>
      </c>
      <c r="AL178" s="30" t="str">
        <f>IF($AB178="","",IFERROR(INDEX(engDados,MATCH(selAnalito&amp;"|"&amp;$B178,engChave,0),16),""))</f>
        <v/>
      </c>
      <c r="AM178" s="30" t="e">
        <f t="shared" si="186"/>
        <v>#N/A</v>
      </c>
      <c r="AN178" s="30" t="e">
        <f t="shared" si="187"/>
        <v>#N/A</v>
      </c>
      <c r="AO178" s="30" t="e">
        <f t="shared" si="188"/>
        <v>#N/A</v>
      </c>
      <c r="AP178" s="30" t="e">
        <f t="shared" si="189"/>
        <v>#N/A</v>
      </c>
      <c r="AQ178" s="30" t="e">
        <f t="shared" si="190"/>
        <v>#N/A</v>
      </c>
      <c r="AR178" s="30" t="e">
        <f t="shared" si="191"/>
        <v>#N/A</v>
      </c>
      <c r="AS178" s="30" t="e">
        <f t="shared" si="192"/>
        <v>#N/A</v>
      </c>
      <c r="AT178" s="30" t="e">
        <f>IF(AND($D178=1,(""&amp;loteAnalise)=(""&amp;loteCarregado),COUNTIFS(regAnalito,selAnalito,regNivel,2,regData,$C178,regRep1,"&lt;&gt;")&gt;0),SUMIFS(regRep1,regAnalito,selAnalito,regNivel,2,regData,$C178),NA())</f>
        <v>#N/A</v>
      </c>
      <c r="AU178" s="30" t="e">
        <f>IF(AND($D178=1,(""&amp;loteAnalise)=(""&amp;loteCarregado),COUNTIFS(regAnalito,selAnalito,regNivel,2,regData,$C178,regRep2,"&lt;&gt;")&gt;0),SUMIFS(regRep2,regAnalito,selAnalito,regNivel,2,regData,$C178),NA())</f>
        <v>#N/A</v>
      </c>
      <c r="AV178" s="30" t="e">
        <f>IF(AND($D178=1,(""&amp;loteAnalise)=(""&amp;loteCarregado),COUNTIFS(regAnalito,selAnalito,regNivel,2,regData,$C178,regRep3,"&lt;&gt;")&gt;0),SUMIFS(regRep3,regAnalito,selAnalito,regNivel,2,regData,$C178),NA())</f>
        <v>#N/A</v>
      </c>
      <c r="AW178" s="30" t="e">
        <f>IF(AND($D178=1,COUNTIFS(regAnalito,selAnalito,regData,$C178,regCalib,"Sim")&gt;0),$BV$1,NA())</f>
        <v>#N/A</v>
      </c>
      <c r="AX178" s="30" t="str">
        <f>IF($B178="","",IF(INDEX(engValN3,$A178)="","",INDEX(engValN3,$A178)))</f>
        <v/>
      </c>
      <c r="AY178" s="30" t="str">
        <f t="shared" si="193"/>
        <v/>
      </c>
      <c r="AZ178" s="30" t="e">
        <f t="shared" si="194"/>
        <v>#N/A</v>
      </c>
      <c r="BA178" s="30" t="e">
        <f t="shared" si="195"/>
        <v>#N/A</v>
      </c>
      <c r="BB178" s="30" t="e">
        <f t="shared" si="196"/>
        <v>#N/A</v>
      </c>
      <c r="BC178" s="30">
        <f>IF($AX178="",0,IFERROR(INDEX(engDados,MATCH(selAnalito&amp;"|"&amp;$B178,engChave,0),17),0))</f>
        <v>0</v>
      </c>
      <c r="BD178" s="30">
        <f>IF($AX178="",0,IFERROR(INDEX(engDados,MATCH(selAnalito&amp;"|"&amp;$B178,engChave,0),18),0))</f>
        <v>0</v>
      </c>
      <c r="BE178" s="30">
        <f>IF($AX178="",0,IFERROR(INDEX(engDados,MATCH(selAnalito&amp;"|"&amp;$B178,engChave,0),19),0))</f>
        <v>0</v>
      </c>
      <c r="BF178" s="30">
        <f>IF($AX178="",0,IFERROR(INDEX(engDados,MATCH(selAnalito&amp;"|"&amp;$B178,engChave,0),20),0))</f>
        <v>0</v>
      </c>
      <c r="BG178" s="30">
        <f>IF($AX178="",0,IFERROR(INDEX(engDados,MATCH(selAnalito&amp;"|"&amp;$B178,engChave,0),21),0))</f>
        <v>0</v>
      </c>
      <c r="BH178" s="30" t="str">
        <f>IF($AX178="","",IFERROR(INDEX(engDados,MATCH(selAnalito&amp;"|"&amp;$B178,engChave,0),23),""))</f>
        <v/>
      </c>
      <c r="BI178" s="30" t="e">
        <f t="shared" si="197"/>
        <v>#N/A</v>
      </c>
      <c r="BJ178" s="30" t="e">
        <f t="shared" si="198"/>
        <v>#N/A</v>
      </c>
      <c r="BK178" s="30" t="e">
        <f t="shared" si="199"/>
        <v>#N/A</v>
      </c>
      <c r="BL178" s="30" t="e">
        <f t="shared" si="200"/>
        <v>#N/A</v>
      </c>
      <c r="BM178" s="30" t="e">
        <f t="shared" si="201"/>
        <v>#N/A</v>
      </c>
      <c r="BN178" s="30" t="e">
        <f t="shared" si="202"/>
        <v>#N/A</v>
      </c>
      <c r="BO178" s="30" t="e">
        <f t="shared" si="203"/>
        <v>#N/A</v>
      </c>
      <c r="BP178" s="30" t="e">
        <f>IF(AND($D178=1,(""&amp;loteAnalise)=(""&amp;loteCarregado),COUNTIFS(regAnalito,selAnalito,regNivel,3,regData,$C178,regRep1,"&lt;&gt;")&gt;0),SUMIFS(regRep1,regAnalito,selAnalito,regNivel,3,regData,$C178),NA())</f>
        <v>#N/A</v>
      </c>
      <c r="BQ178" s="30" t="e">
        <f>IF(AND($D178=1,(""&amp;loteAnalise)=(""&amp;loteCarregado),COUNTIFS(regAnalito,selAnalito,regNivel,3,regData,$C178,regRep2,"&lt;&gt;")&gt;0),SUMIFS(regRep2,regAnalito,selAnalito,regNivel,3,regData,$C178),NA())</f>
        <v>#N/A</v>
      </c>
      <c r="BR178" s="30" t="e">
        <f>IF(AND($D178=1,(""&amp;loteAnalise)=(""&amp;loteCarregado),COUNTIFS(regAnalito,selAnalito,regNivel,3,regData,$C178,regRep3,"&lt;&gt;")&gt;0),SUMIFS(regRep3,regAnalito,selAnalito,regNivel,3,regData,$C178),NA())</f>
        <v>#N/A</v>
      </c>
      <c r="BS178" s="30" t="e">
        <f>IF(AND($D178=1,COUNTIFS(regAnalito,selAnalito,regData,$C178,regCalib,"Sim")&gt;0),$BX$1,NA())</f>
        <v>#N/A</v>
      </c>
    </row>
    <row r="179" spans="1:71" x14ac:dyDescent="0.3">
      <c r="A179" s="30">
        <v>177</v>
      </c>
      <c r="B179" s="30" t="str">
        <f>IF(OR(selAnalito="",(""&amp;engAnalito)&lt;&gt;(""&amp;selAnalito),(""&amp;engLote)&lt;&gt;(""&amp;loteAnalise),$A179&gt;N(engNRun)),"",INDEX(engRUN,$A179))</f>
        <v/>
      </c>
      <c r="C179" s="43" t="str">
        <f>IF($B179="","",IF(INDEX(engData,$A179)="","",INDEX(engData,$A179)))</f>
        <v/>
      </c>
      <c r="D179" s="30">
        <f>IF($C179="",0,IF(AND(OR(filtroDe="",INT($C179)&gt;=INT(filtroDe)),OR(filtroAte="",INT($C179)&lt;=INT(filtroAte))),1,0))</f>
        <v>0</v>
      </c>
      <c r="E179" s="30" t="e">
        <f t="shared" si="170"/>
        <v>#N/A</v>
      </c>
      <c r="F179" s="30" t="str">
        <f>IF($B179="","",IF(INDEX(engValN1,$A179)="","",INDEX(engValN1,$A179)))</f>
        <v/>
      </c>
      <c r="G179" s="30" t="str">
        <f t="shared" si="171"/>
        <v/>
      </c>
      <c r="H179" s="30" t="e">
        <f t="shared" si="172"/>
        <v>#N/A</v>
      </c>
      <c r="I179" s="30" t="e">
        <f t="shared" si="173"/>
        <v>#N/A</v>
      </c>
      <c r="J179" s="30" t="e">
        <f t="shared" si="174"/>
        <v>#N/A</v>
      </c>
      <c r="K179" s="30">
        <f>IF($F179="",0,IFERROR(INDEX(engDados,MATCH(selAnalito&amp;"|"&amp;$B179,engChave,0),3),0))</f>
        <v>0</v>
      </c>
      <c r="L179" s="30">
        <f>IF($F179="",0,IFERROR(INDEX(engDados,MATCH(selAnalito&amp;"|"&amp;$B179,engChave,0),4),0))</f>
        <v>0</v>
      </c>
      <c r="M179" s="30">
        <f>IF($F179="",0,IFERROR(INDEX(engDados,MATCH(selAnalito&amp;"|"&amp;$B179,engChave,0),5),0))</f>
        <v>0</v>
      </c>
      <c r="N179" s="30">
        <f>IF($F179="",0,IFERROR(INDEX(engDados,MATCH(selAnalito&amp;"|"&amp;$B179,engChave,0),6),0))</f>
        <v>0</v>
      </c>
      <c r="O179" s="30">
        <f>IF($F179="",0,IFERROR(INDEX(engDados,MATCH(selAnalito&amp;"|"&amp;$B179,engChave,0),7),0))</f>
        <v>0</v>
      </c>
      <c r="P179" s="30" t="str">
        <f>IF($F179="","",IFERROR(INDEX(engDados,MATCH(selAnalito&amp;"|"&amp;$B179,engChave,0),9),""))</f>
        <v/>
      </c>
      <c r="Q179" s="30" t="e">
        <f t="shared" si="175"/>
        <v>#N/A</v>
      </c>
      <c r="R179" s="30" t="e">
        <f t="shared" si="176"/>
        <v>#N/A</v>
      </c>
      <c r="S179" s="30" t="e">
        <f t="shared" si="177"/>
        <v>#N/A</v>
      </c>
      <c r="T179" s="30" t="e">
        <f t="shared" si="178"/>
        <v>#N/A</v>
      </c>
      <c r="U179" s="30" t="e">
        <f t="shared" si="179"/>
        <v>#N/A</v>
      </c>
      <c r="V179" s="30" t="e">
        <f t="shared" si="180"/>
        <v>#N/A</v>
      </c>
      <c r="W179" s="30" t="e">
        <f t="shared" si="181"/>
        <v>#N/A</v>
      </c>
      <c r="X179" s="30" t="e">
        <f>IF(AND($D179=1,(""&amp;loteAnalise)=(""&amp;loteCarregado),COUNTIFS(regAnalito,selAnalito,regNivel,1,regData,$C179,regRep1,"&lt;&gt;")&gt;0),SUMIFS(regRep1,regAnalito,selAnalito,regNivel,1,regData,$C179),NA())</f>
        <v>#N/A</v>
      </c>
      <c r="Y179" s="30" t="e">
        <f>IF(AND($D179=1,(""&amp;loteAnalise)=(""&amp;loteCarregado),COUNTIFS(regAnalito,selAnalito,regNivel,1,regData,$C179,regRep2,"&lt;&gt;")&gt;0),SUMIFS(regRep2,regAnalito,selAnalito,regNivel,1,regData,$C179),NA())</f>
        <v>#N/A</v>
      </c>
      <c r="Z179" s="30" t="e">
        <f>IF(AND($D179=1,(""&amp;loteAnalise)=(""&amp;loteCarregado),COUNTIFS(regAnalito,selAnalito,regNivel,1,regData,$C179,regRep3,"&lt;&gt;")&gt;0),SUMIFS(regRep3,regAnalito,selAnalito,regNivel,1,regData,$C179),NA())</f>
        <v>#N/A</v>
      </c>
      <c r="AA179" s="30" t="e">
        <f>IF(AND($D179=1,COUNTIFS(regAnalito,selAnalito,regData,$C179,regCalib,"Sim")&gt;0),$BT$1,NA())</f>
        <v>#N/A</v>
      </c>
      <c r="AB179" s="30" t="str">
        <f>IF($B179="","",IF(INDEX(engValN2,$A179)="","",INDEX(engValN2,$A179)))</f>
        <v/>
      </c>
      <c r="AC179" s="30" t="str">
        <f t="shared" si="182"/>
        <v/>
      </c>
      <c r="AD179" s="30" t="e">
        <f t="shared" si="183"/>
        <v>#N/A</v>
      </c>
      <c r="AE179" s="30" t="e">
        <f t="shared" si="184"/>
        <v>#N/A</v>
      </c>
      <c r="AF179" s="30" t="e">
        <f t="shared" si="185"/>
        <v>#N/A</v>
      </c>
      <c r="AG179" s="30">
        <f>IF($AB179="",0,IFERROR(INDEX(engDados,MATCH(selAnalito&amp;"|"&amp;$B179,engChave,0),10),0))</f>
        <v>0</v>
      </c>
      <c r="AH179" s="30">
        <f>IF($AB179="",0,IFERROR(INDEX(engDados,MATCH(selAnalito&amp;"|"&amp;$B179,engChave,0),11),0))</f>
        <v>0</v>
      </c>
      <c r="AI179" s="30">
        <f>IF($AB179="",0,IFERROR(INDEX(engDados,MATCH(selAnalito&amp;"|"&amp;$B179,engChave,0),12),0))</f>
        <v>0</v>
      </c>
      <c r="AJ179" s="30">
        <f>IF($AB179="",0,IFERROR(INDEX(engDados,MATCH(selAnalito&amp;"|"&amp;$B179,engChave,0),13),0))</f>
        <v>0</v>
      </c>
      <c r="AK179" s="30">
        <f>IF($AB179="",0,IFERROR(INDEX(engDados,MATCH(selAnalito&amp;"|"&amp;$B179,engChave,0),14),0))</f>
        <v>0</v>
      </c>
      <c r="AL179" s="30" t="str">
        <f>IF($AB179="","",IFERROR(INDEX(engDados,MATCH(selAnalito&amp;"|"&amp;$B179,engChave,0),16),""))</f>
        <v/>
      </c>
      <c r="AM179" s="30" t="e">
        <f t="shared" si="186"/>
        <v>#N/A</v>
      </c>
      <c r="AN179" s="30" t="e">
        <f t="shared" si="187"/>
        <v>#N/A</v>
      </c>
      <c r="AO179" s="30" t="e">
        <f t="shared" si="188"/>
        <v>#N/A</v>
      </c>
      <c r="AP179" s="30" t="e">
        <f t="shared" si="189"/>
        <v>#N/A</v>
      </c>
      <c r="AQ179" s="30" t="e">
        <f t="shared" si="190"/>
        <v>#N/A</v>
      </c>
      <c r="AR179" s="30" t="e">
        <f t="shared" si="191"/>
        <v>#N/A</v>
      </c>
      <c r="AS179" s="30" t="e">
        <f t="shared" si="192"/>
        <v>#N/A</v>
      </c>
      <c r="AT179" s="30" t="e">
        <f>IF(AND($D179=1,(""&amp;loteAnalise)=(""&amp;loteCarregado),COUNTIFS(regAnalito,selAnalito,regNivel,2,regData,$C179,regRep1,"&lt;&gt;")&gt;0),SUMIFS(regRep1,regAnalito,selAnalito,regNivel,2,regData,$C179),NA())</f>
        <v>#N/A</v>
      </c>
      <c r="AU179" s="30" t="e">
        <f>IF(AND($D179=1,(""&amp;loteAnalise)=(""&amp;loteCarregado),COUNTIFS(regAnalito,selAnalito,regNivel,2,regData,$C179,regRep2,"&lt;&gt;")&gt;0),SUMIFS(regRep2,regAnalito,selAnalito,regNivel,2,regData,$C179),NA())</f>
        <v>#N/A</v>
      </c>
      <c r="AV179" s="30" t="e">
        <f>IF(AND($D179=1,(""&amp;loteAnalise)=(""&amp;loteCarregado),COUNTIFS(regAnalito,selAnalito,regNivel,2,regData,$C179,regRep3,"&lt;&gt;")&gt;0),SUMIFS(regRep3,regAnalito,selAnalito,regNivel,2,regData,$C179),NA())</f>
        <v>#N/A</v>
      </c>
      <c r="AW179" s="30" t="e">
        <f>IF(AND($D179=1,COUNTIFS(regAnalito,selAnalito,regData,$C179,regCalib,"Sim")&gt;0),$BV$1,NA())</f>
        <v>#N/A</v>
      </c>
      <c r="AX179" s="30" t="str">
        <f>IF($B179="","",IF(INDEX(engValN3,$A179)="","",INDEX(engValN3,$A179)))</f>
        <v/>
      </c>
      <c r="AY179" s="30" t="str">
        <f t="shared" si="193"/>
        <v/>
      </c>
      <c r="AZ179" s="30" t="e">
        <f t="shared" si="194"/>
        <v>#N/A</v>
      </c>
      <c r="BA179" s="30" t="e">
        <f t="shared" si="195"/>
        <v>#N/A</v>
      </c>
      <c r="BB179" s="30" t="e">
        <f t="shared" si="196"/>
        <v>#N/A</v>
      </c>
      <c r="BC179" s="30">
        <f>IF($AX179="",0,IFERROR(INDEX(engDados,MATCH(selAnalito&amp;"|"&amp;$B179,engChave,0),17),0))</f>
        <v>0</v>
      </c>
      <c r="BD179" s="30">
        <f>IF($AX179="",0,IFERROR(INDEX(engDados,MATCH(selAnalito&amp;"|"&amp;$B179,engChave,0),18),0))</f>
        <v>0</v>
      </c>
      <c r="BE179" s="30">
        <f>IF($AX179="",0,IFERROR(INDEX(engDados,MATCH(selAnalito&amp;"|"&amp;$B179,engChave,0),19),0))</f>
        <v>0</v>
      </c>
      <c r="BF179" s="30">
        <f>IF($AX179="",0,IFERROR(INDEX(engDados,MATCH(selAnalito&amp;"|"&amp;$B179,engChave,0),20),0))</f>
        <v>0</v>
      </c>
      <c r="BG179" s="30">
        <f>IF($AX179="",0,IFERROR(INDEX(engDados,MATCH(selAnalito&amp;"|"&amp;$B179,engChave,0),21),0))</f>
        <v>0</v>
      </c>
      <c r="BH179" s="30" t="str">
        <f>IF($AX179="","",IFERROR(INDEX(engDados,MATCH(selAnalito&amp;"|"&amp;$B179,engChave,0),23),""))</f>
        <v/>
      </c>
      <c r="BI179" s="30" t="e">
        <f t="shared" si="197"/>
        <v>#N/A</v>
      </c>
      <c r="BJ179" s="30" t="e">
        <f t="shared" si="198"/>
        <v>#N/A</v>
      </c>
      <c r="BK179" s="30" t="e">
        <f t="shared" si="199"/>
        <v>#N/A</v>
      </c>
      <c r="BL179" s="30" t="e">
        <f t="shared" si="200"/>
        <v>#N/A</v>
      </c>
      <c r="BM179" s="30" t="e">
        <f t="shared" si="201"/>
        <v>#N/A</v>
      </c>
      <c r="BN179" s="30" t="e">
        <f t="shared" si="202"/>
        <v>#N/A</v>
      </c>
      <c r="BO179" s="30" t="e">
        <f t="shared" si="203"/>
        <v>#N/A</v>
      </c>
      <c r="BP179" s="30" t="e">
        <f>IF(AND($D179=1,(""&amp;loteAnalise)=(""&amp;loteCarregado),COUNTIFS(regAnalito,selAnalito,regNivel,3,regData,$C179,regRep1,"&lt;&gt;")&gt;0),SUMIFS(regRep1,regAnalito,selAnalito,regNivel,3,regData,$C179),NA())</f>
        <v>#N/A</v>
      </c>
      <c r="BQ179" s="30" t="e">
        <f>IF(AND($D179=1,(""&amp;loteAnalise)=(""&amp;loteCarregado),COUNTIFS(regAnalito,selAnalito,regNivel,3,regData,$C179,regRep2,"&lt;&gt;")&gt;0),SUMIFS(regRep2,regAnalito,selAnalito,regNivel,3,regData,$C179),NA())</f>
        <v>#N/A</v>
      </c>
      <c r="BR179" s="30" t="e">
        <f>IF(AND($D179=1,(""&amp;loteAnalise)=(""&amp;loteCarregado),COUNTIFS(regAnalito,selAnalito,regNivel,3,regData,$C179,regRep3,"&lt;&gt;")&gt;0),SUMIFS(regRep3,regAnalito,selAnalito,regNivel,3,regData,$C179),NA())</f>
        <v>#N/A</v>
      </c>
      <c r="BS179" s="30" t="e">
        <f>IF(AND($D179=1,COUNTIFS(regAnalito,selAnalito,regData,$C179,regCalib,"Sim")&gt;0),$BX$1,NA())</f>
        <v>#N/A</v>
      </c>
    </row>
    <row r="180" spans="1:71" x14ac:dyDescent="0.3">
      <c r="A180" s="30">
        <v>178</v>
      </c>
      <c r="B180" s="30" t="str">
        <f>IF(OR(selAnalito="",(""&amp;engAnalito)&lt;&gt;(""&amp;selAnalito),(""&amp;engLote)&lt;&gt;(""&amp;loteAnalise),$A180&gt;N(engNRun)),"",INDEX(engRUN,$A180))</f>
        <v/>
      </c>
      <c r="C180" s="43" t="str">
        <f>IF($B180="","",IF(INDEX(engData,$A180)="","",INDEX(engData,$A180)))</f>
        <v/>
      </c>
      <c r="D180" s="30">
        <f>IF($C180="",0,IF(AND(OR(filtroDe="",INT($C180)&gt;=INT(filtroDe)),OR(filtroAte="",INT($C180)&lt;=INT(filtroAte))),1,0))</f>
        <v>0</v>
      </c>
      <c r="E180" s="30" t="e">
        <f t="shared" si="170"/>
        <v>#N/A</v>
      </c>
      <c r="F180" s="30" t="str">
        <f>IF($B180="","",IF(INDEX(engValN1,$A180)="","",INDEX(engValN1,$A180)))</f>
        <v/>
      </c>
      <c r="G180" s="30" t="str">
        <f t="shared" si="171"/>
        <v/>
      </c>
      <c r="H180" s="30" t="e">
        <f t="shared" si="172"/>
        <v>#N/A</v>
      </c>
      <c r="I180" s="30" t="e">
        <f t="shared" si="173"/>
        <v>#N/A</v>
      </c>
      <c r="J180" s="30" t="e">
        <f t="shared" si="174"/>
        <v>#N/A</v>
      </c>
      <c r="K180" s="30">
        <f>IF($F180="",0,IFERROR(INDEX(engDados,MATCH(selAnalito&amp;"|"&amp;$B180,engChave,0),3),0))</f>
        <v>0</v>
      </c>
      <c r="L180" s="30">
        <f>IF($F180="",0,IFERROR(INDEX(engDados,MATCH(selAnalito&amp;"|"&amp;$B180,engChave,0),4),0))</f>
        <v>0</v>
      </c>
      <c r="M180" s="30">
        <f>IF($F180="",0,IFERROR(INDEX(engDados,MATCH(selAnalito&amp;"|"&amp;$B180,engChave,0),5),0))</f>
        <v>0</v>
      </c>
      <c r="N180" s="30">
        <f>IF($F180="",0,IFERROR(INDEX(engDados,MATCH(selAnalito&amp;"|"&amp;$B180,engChave,0),6),0))</f>
        <v>0</v>
      </c>
      <c r="O180" s="30">
        <f>IF($F180="",0,IFERROR(INDEX(engDados,MATCH(selAnalito&amp;"|"&amp;$B180,engChave,0),7),0))</f>
        <v>0</v>
      </c>
      <c r="P180" s="30" t="str">
        <f>IF($F180="","",IFERROR(INDEX(engDados,MATCH(selAnalito&amp;"|"&amp;$B180,engChave,0),9),""))</f>
        <v/>
      </c>
      <c r="Q180" s="30" t="e">
        <f t="shared" si="175"/>
        <v>#N/A</v>
      </c>
      <c r="R180" s="30" t="e">
        <f t="shared" si="176"/>
        <v>#N/A</v>
      </c>
      <c r="S180" s="30" t="e">
        <f t="shared" si="177"/>
        <v>#N/A</v>
      </c>
      <c r="T180" s="30" t="e">
        <f t="shared" si="178"/>
        <v>#N/A</v>
      </c>
      <c r="U180" s="30" t="e">
        <f t="shared" si="179"/>
        <v>#N/A</v>
      </c>
      <c r="V180" s="30" t="e">
        <f t="shared" si="180"/>
        <v>#N/A</v>
      </c>
      <c r="W180" s="30" t="e">
        <f t="shared" si="181"/>
        <v>#N/A</v>
      </c>
      <c r="X180" s="30" t="e">
        <f>IF(AND($D180=1,(""&amp;loteAnalise)=(""&amp;loteCarregado),COUNTIFS(regAnalito,selAnalito,regNivel,1,regData,$C180,regRep1,"&lt;&gt;")&gt;0),SUMIFS(regRep1,regAnalito,selAnalito,regNivel,1,regData,$C180),NA())</f>
        <v>#N/A</v>
      </c>
      <c r="Y180" s="30" t="e">
        <f>IF(AND($D180=1,(""&amp;loteAnalise)=(""&amp;loteCarregado),COUNTIFS(regAnalito,selAnalito,regNivel,1,regData,$C180,regRep2,"&lt;&gt;")&gt;0),SUMIFS(regRep2,regAnalito,selAnalito,regNivel,1,regData,$C180),NA())</f>
        <v>#N/A</v>
      </c>
      <c r="Z180" s="30" t="e">
        <f>IF(AND($D180=1,(""&amp;loteAnalise)=(""&amp;loteCarregado),COUNTIFS(regAnalito,selAnalito,regNivel,1,regData,$C180,regRep3,"&lt;&gt;")&gt;0),SUMIFS(regRep3,regAnalito,selAnalito,regNivel,1,regData,$C180),NA())</f>
        <v>#N/A</v>
      </c>
      <c r="AA180" s="30" t="e">
        <f>IF(AND($D180=1,COUNTIFS(regAnalito,selAnalito,regData,$C180,regCalib,"Sim")&gt;0),$BT$1,NA())</f>
        <v>#N/A</v>
      </c>
      <c r="AB180" s="30" t="str">
        <f>IF($B180="","",IF(INDEX(engValN2,$A180)="","",INDEX(engValN2,$A180)))</f>
        <v/>
      </c>
      <c r="AC180" s="30" t="str">
        <f t="shared" si="182"/>
        <v/>
      </c>
      <c r="AD180" s="30" t="e">
        <f t="shared" si="183"/>
        <v>#N/A</v>
      </c>
      <c r="AE180" s="30" t="e">
        <f t="shared" si="184"/>
        <v>#N/A</v>
      </c>
      <c r="AF180" s="30" t="e">
        <f t="shared" si="185"/>
        <v>#N/A</v>
      </c>
      <c r="AG180" s="30">
        <f>IF($AB180="",0,IFERROR(INDEX(engDados,MATCH(selAnalito&amp;"|"&amp;$B180,engChave,0),10),0))</f>
        <v>0</v>
      </c>
      <c r="AH180" s="30">
        <f>IF($AB180="",0,IFERROR(INDEX(engDados,MATCH(selAnalito&amp;"|"&amp;$B180,engChave,0),11),0))</f>
        <v>0</v>
      </c>
      <c r="AI180" s="30">
        <f>IF($AB180="",0,IFERROR(INDEX(engDados,MATCH(selAnalito&amp;"|"&amp;$B180,engChave,0),12),0))</f>
        <v>0</v>
      </c>
      <c r="AJ180" s="30">
        <f>IF($AB180="",0,IFERROR(INDEX(engDados,MATCH(selAnalito&amp;"|"&amp;$B180,engChave,0),13),0))</f>
        <v>0</v>
      </c>
      <c r="AK180" s="30">
        <f>IF($AB180="",0,IFERROR(INDEX(engDados,MATCH(selAnalito&amp;"|"&amp;$B180,engChave,0),14),0))</f>
        <v>0</v>
      </c>
      <c r="AL180" s="30" t="str">
        <f>IF($AB180="","",IFERROR(INDEX(engDados,MATCH(selAnalito&amp;"|"&amp;$B180,engChave,0),16),""))</f>
        <v/>
      </c>
      <c r="AM180" s="30" t="e">
        <f t="shared" si="186"/>
        <v>#N/A</v>
      </c>
      <c r="AN180" s="30" t="e">
        <f t="shared" si="187"/>
        <v>#N/A</v>
      </c>
      <c r="AO180" s="30" t="e">
        <f t="shared" si="188"/>
        <v>#N/A</v>
      </c>
      <c r="AP180" s="30" t="e">
        <f t="shared" si="189"/>
        <v>#N/A</v>
      </c>
      <c r="AQ180" s="30" t="e">
        <f t="shared" si="190"/>
        <v>#N/A</v>
      </c>
      <c r="AR180" s="30" t="e">
        <f t="shared" si="191"/>
        <v>#N/A</v>
      </c>
      <c r="AS180" s="30" t="e">
        <f t="shared" si="192"/>
        <v>#N/A</v>
      </c>
      <c r="AT180" s="30" t="e">
        <f>IF(AND($D180=1,(""&amp;loteAnalise)=(""&amp;loteCarregado),COUNTIFS(regAnalito,selAnalito,regNivel,2,regData,$C180,regRep1,"&lt;&gt;")&gt;0),SUMIFS(regRep1,regAnalito,selAnalito,regNivel,2,regData,$C180),NA())</f>
        <v>#N/A</v>
      </c>
      <c r="AU180" s="30" t="e">
        <f>IF(AND($D180=1,(""&amp;loteAnalise)=(""&amp;loteCarregado),COUNTIFS(regAnalito,selAnalito,regNivel,2,regData,$C180,regRep2,"&lt;&gt;")&gt;0),SUMIFS(regRep2,regAnalito,selAnalito,regNivel,2,regData,$C180),NA())</f>
        <v>#N/A</v>
      </c>
      <c r="AV180" s="30" t="e">
        <f>IF(AND($D180=1,(""&amp;loteAnalise)=(""&amp;loteCarregado),COUNTIFS(regAnalito,selAnalito,regNivel,2,regData,$C180,regRep3,"&lt;&gt;")&gt;0),SUMIFS(regRep3,regAnalito,selAnalito,regNivel,2,regData,$C180),NA())</f>
        <v>#N/A</v>
      </c>
      <c r="AW180" s="30" t="e">
        <f>IF(AND($D180=1,COUNTIFS(regAnalito,selAnalito,regData,$C180,regCalib,"Sim")&gt;0),$BV$1,NA())</f>
        <v>#N/A</v>
      </c>
      <c r="AX180" s="30" t="str">
        <f>IF($B180="","",IF(INDEX(engValN3,$A180)="","",INDEX(engValN3,$A180)))</f>
        <v/>
      </c>
      <c r="AY180" s="30" t="str">
        <f t="shared" si="193"/>
        <v/>
      </c>
      <c r="AZ180" s="30" t="e">
        <f t="shared" si="194"/>
        <v>#N/A</v>
      </c>
      <c r="BA180" s="30" t="e">
        <f t="shared" si="195"/>
        <v>#N/A</v>
      </c>
      <c r="BB180" s="30" t="e">
        <f t="shared" si="196"/>
        <v>#N/A</v>
      </c>
      <c r="BC180" s="30">
        <f>IF($AX180="",0,IFERROR(INDEX(engDados,MATCH(selAnalito&amp;"|"&amp;$B180,engChave,0),17),0))</f>
        <v>0</v>
      </c>
      <c r="BD180" s="30">
        <f>IF($AX180="",0,IFERROR(INDEX(engDados,MATCH(selAnalito&amp;"|"&amp;$B180,engChave,0),18),0))</f>
        <v>0</v>
      </c>
      <c r="BE180" s="30">
        <f>IF($AX180="",0,IFERROR(INDEX(engDados,MATCH(selAnalito&amp;"|"&amp;$B180,engChave,0),19),0))</f>
        <v>0</v>
      </c>
      <c r="BF180" s="30">
        <f>IF($AX180="",0,IFERROR(INDEX(engDados,MATCH(selAnalito&amp;"|"&amp;$B180,engChave,0),20),0))</f>
        <v>0</v>
      </c>
      <c r="BG180" s="30">
        <f>IF($AX180="",0,IFERROR(INDEX(engDados,MATCH(selAnalito&amp;"|"&amp;$B180,engChave,0),21),0))</f>
        <v>0</v>
      </c>
      <c r="BH180" s="30" t="str">
        <f>IF($AX180="","",IFERROR(INDEX(engDados,MATCH(selAnalito&amp;"|"&amp;$B180,engChave,0),23),""))</f>
        <v/>
      </c>
      <c r="BI180" s="30" t="e">
        <f t="shared" si="197"/>
        <v>#N/A</v>
      </c>
      <c r="BJ180" s="30" t="e">
        <f t="shared" si="198"/>
        <v>#N/A</v>
      </c>
      <c r="BK180" s="30" t="e">
        <f t="shared" si="199"/>
        <v>#N/A</v>
      </c>
      <c r="BL180" s="30" t="e">
        <f t="shared" si="200"/>
        <v>#N/A</v>
      </c>
      <c r="BM180" s="30" t="e">
        <f t="shared" si="201"/>
        <v>#N/A</v>
      </c>
      <c r="BN180" s="30" t="e">
        <f t="shared" si="202"/>
        <v>#N/A</v>
      </c>
      <c r="BO180" s="30" t="e">
        <f t="shared" si="203"/>
        <v>#N/A</v>
      </c>
      <c r="BP180" s="30" t="e">
        <f>IF(AND($D180=1,(""&amp;loteAnalise)=(""&amp;loteCarregado),COUNTIFS(regAnalito,selAnalito,regNivel,3,regData,$C180,regRep1,"&lt;&gt;")&gt;0),SUMIFS(regRep1,regAnalito,selAnalito,regNivel,3,regData,$C180),NA())</f>
        <v>#N/A</v>
      </c>
      <c r="BQ180" s="30" t="e">
        <f>IF(AND($D180=1,(""&amp;loteAnalise)=(""&amp;loteCarregado),COUNTIFS(regAnalito,selAnalito,regNivel,3,regData,$C180,regRep2,"&lt;&gt;")&gt;0),SUMIFS(regRep2,regAnalito,selAnalito,regNivel,3,regData,$C180),NA())</f>
        <v>#N/A</v>
      </c>
      <c r="BR180" s="30" t="e">
        <f>IF(AND($D180=1,(""&amp;loteAnalise)=(""&amp;loteCarregado),COUNTIFS(regAnalito,selAnalito,regNivel,3,regData,$C180,regRep3,"&lt;&gt;")&gt;0),SUMIFS(regRep3,regAnalito,selAnalito,regNivel,3,regData,$C180),NA())</f>
        <v>#N/A</v>
      </c>
      <c r="BS180" s="30" t="e">
        <f>IF(AND($D180=1,COUNTIFS(regAnalito,selAnalito,regData,$C180,regCalib,"Sim")&gt;0),$BX$1,NA())</f>
        <v>#N/A</v>
      </c>
    </row>
    <row r="181" spans="1:71" x14ac:dyDescent="0.3">
      <c r="A181" s="30">
        <v>179</v>
      </c>
      <c r="B181" s="30" t="str">
        <f>IF(OR(selAnalito="",(""&amp;engAnalito)&lt;&gt;(""&amp;selAnalito),(""&amp;engLote)&lt;&gt;(""&amp;loteAnalise),$A181&gt;N(engNRun)),"",INDEX(engRUN,$A181))</f>
        <v/>
      </c>
      <c r="C181" s="43" t="str">
        <f>IF($B181="","",IF(INDEX(engData,$A181)="","",INDEX(engData,$A181)))</f>
        <v/>
      </c>
      <c r="D181" s="30">
        <f>IF($C181="",0,IF(AND(OR(filtroDe="",INT($C181)&gt;=INT(filtroDe)),OR(filtroAte="",INT($C181)&lt;=INT(filtroAte))),1,0))</f>
        <v>0</v>
      </c>
      <c r="E181" s="30" t="e">
        <f t="shared" si="170"/>
        <v>#N/A</v>
      </c>
      <c r="F181" s="30" t="str">
        <f>IF($B181="","",IF(INDEX(engValN1,$A181)="","",INDEX(engValN1,$A181)))</f>
        <v/>
      </c>
      <c r="G181" s="30" t="str">
        <f t="shared" si="171"/>
        <v/>
      </c>
      <c r="H181" s="30" t="e">
        <f t="shared" si="172"/>
        <v>#N/A</v>
      </c>
      <c r="I181" s="30" t="e">
        <f t="shared" si="173"/>
        <v>#N/A</v>
      </c>
      <c r="J181" s="30" t="e">
        <f t="shared" si="174"/>
        <v>#N/A</v>
      </c>
      <c r="K181" s="30">
        <f>IF($F181="",0,IFERROR(INDEX(engDados,MATCH(selAnalito&amp;"|"&amp;$B181,engChave,0),3),0))</f>
        <v>0</v>
      </c>
      <c r="L181" s="30">
        <f>IF($F181="",0,IFERROR(INDEX(engDados,MATCH(selAnalito&amp;"|"&amp;$B181,engChave,0),4),0))</f>
        <v>0</v>
      </c>
      <c r="M181" s="30">
        <f>IF($F181="",0,IFERROR(INDEX(engDados,MATCH(selAnalito&amp;"|"&amp;$B181,engChave,0),5),0))</f>
        <v>0</v>
      </c>
      <c r="N181" s="30">
        <f>IF($F181="",0,IFERROR(INDEX(engDados,MATCH(selAnalito&amp;"|"&amp;$B181,engChave,0),6),0))</f>
        <v>0</v>
      </c>
      <c r="O181" s="30">
        <f>IF($F181="",0,IFERROR(INDEX(engDados,MATCH(selAnalito&amp;"|"&amp;$B181,engChave,0),7),0))</f>
        <v>0</v>
      </c>
      <c r="P181" s="30" t="str">
        <f>IF($F181="","",IFERROR(INDEX(engDados,MATCH(selAnalito&amp;"|"&amp;$B181,engChave,0),9),""))</f>
        <v/>
      </c>
      <c r="Q181" s="30" t="e">
        <f t="shared" si="175"/>
        <v>#N/A</v>
      </c>
      <c r="R181" s="30" t="e">
        <f t="shared" si="176"/>
        <v>#N/A</v>
      </c>
      <c r="S181" s="30" t="e">
        <f t="shared" si="177"/>
        <v>#N/A</v>
      </c>
      <c r="T181" s="30" t="e">
        <f t="shared" si="178"/>
        <v>#N/A</v>
      </c>
      <c r="U181" s="30" t="e">
        <f t="shared" si="179"/>
        <v>#N/A</v>
      </c>
      <c r="V181" s="30" t="e">
        <f t="shared" si="180"/>
        <v>#N/A</v>
      </c>
      <c r="W181" s="30" t="e">
        <f t="shared" si="181"/>
        <v>#N/A</v>
      </c>
      <c r="X181" s="30" t="e">
        <f>IF(AND($D181=1,(""&amp;loteAnalise)=(""&amp;loteCarregado),COUNTIFS(regAnalito,selAnalito,regNivel,1,regData,$C181,regRep1,"&lt;&gt;")&gt;0),SUMIFS(regRep1,regAnalito,selAnalito,regNivel,1,regData,$C181),NA())</f>
        <v>#N/A</v>
      </c>
      <c r="Y181" s="30" t="e">
        <f>IF(AND($D181=1,(""&amp;loteAnalise)=(""&amp;loteCarregado),COUNTIFS(regAnalito,selAnalito,regNivel,1,regData,$C181,regRep2,"&lt;&gt;")&gt;0),SUMIFS(regRep2,regAnalito,selAnalito,regNivel,1,regData,$C181),NA())</f>
        <v>#N/A</v>
      </c>
      <c r="Z181" s="30" t="e">
        <f>IF(AND($D181=1,(""&amp;loteAnalise)=(""&amp;loteCarregado),COUNTIFS(regAnalito,selAnalito,regNivel,1,regData,$C181,regRep3,"&lt;&gt;")&gt;0),SUMIFS(regRep3,regAnalito,selAnalito,regNivel,1,regData,$C181),NA())</f>
        <v>#N/A</v>
      </c>
      <c r="AA181" s="30" t="e">
        <f>IF(AND($D181=1,COUNTIFS(regAnalito,selAnalito,regData,$C181,regCalib,"Sim")&gt;0),$BT$1,NA())</f>
        <v>#N/A</v>
      </c>
      <c r="AB181" s="30" t="str">
        <f>IF($B181="","",IF(INDEX(engValN2,$A181)="","",INDEX(engValN2,$A181)))</f>
        <v/>
      </c>
      <c r="AC181" s="30" t="str">
        <f t="shared" si="182"/>
        <v/>
      </c>
      <c r="AD181" s="30" t="e">
        <f t="shared" si="183"/>
        <v>#N/A</v>
      </c>
      <c r="AE181" s="30" t="e">
        <f t="shared" si="184"/>
        <v>#N/A</v>
      </c>
      <c r="AF181" s="30" t="e">
        <f t="shared" si="185"/>
        <v>#N/A</v>
      </c>
      <c r="AG181" s="30">
        <f>IF($AB181="",0,IFERROR(INDEX(engDados,MATCH(selAnalito&amp;"|"&amp;$B181,engChave,0),10),0))</f>
        <v>0</v>
      </c>
      <c r="AH181" s="30">
        <f>IF($AB181="",0,IFERROR(INDEX(engDados,MATCH(selAnalito&amp;"|"&amp;$B181,engChave,0),11),0))</f>
        <v>0</v>
      </c>
      <c r="AI181" s="30">
        <f>IF($AB181="",0,IFERROR(INDEX(engDados,MATCH(selAnalito&amp;"|"&amp;$B181,engChave,0),12),0))</f>
        <v>0</v>
      </c>
      <c r="AJ181" s="30">
        <f>IF($AB181="",0,IFERROR(INDEX(engDados,MATCH(selAnalito&amp;"|"&amp;$B181,engChave,0),13),0))</f>
        <v>0</v>
      </c>
      <c r="AK181" s="30">
        <f>IF($AB181="",0,IFERROR(INDEX(engDados,MATCH(selAnalito&amp;"|"&amp;$B181,engChave,0),14),0))</f>
        <v>0</v>
      </c>
      <c r="AL181" s="30" t="str">
        <f>IF($AB181="","",IFERROR(INDEX(engDados,MATCH(selAnalito&amp;"|"&amp;$B181,engChave,0),16),""))</f>
        <v/>
      </c>
      <c r="AM181" s="30" t="e">
        <f t="shared" si="186"/>
        <v>#N/A</v>
      </c>
      <c r="AN181" s="30" t="e">
        <f t="shared" si="187"/>
        <v>#N/A</v>
      </c>
      <c r="AO181" s="30" t="e">
        <f t="shared" si="188"/>
        <v>#N/A</v>
      </c>
      <c r="AP181" s="30" t="e">
        <f t="shared" si="189"/>
        <v>#N/A</v>
      </c>
      <c r="AQ181" s="30" t="e">
        <f t="shared" si="190"/>
        <v>#N/A</v>
      </c>
      <c r="AR181" s="30" t="e">
        <f t="shared" si="191"/>
        <v>#N/A</v>
      </c>
      <c r="AS181" s="30" t="e">
        <f t="shared" si="192"/>
        <v>#N/A</v>
      </c>
      <c r="AT181" s="30" t="e">
        <f>IF(AND($D181=1,(""&amp;loteAnalise)=(""&amp;loteCarregado),COUNTIFS(regAnalito,selAnalito,regNivel,2,regData,$C181,regRep1,"&lt;&gt;")&gt;0),SUMIFS(regRep1,regAnalito,selAnalito,regNivel,2,regData,$C181),NA())</f>
        <v>#N/A</v>
      </c>
      <c r="AU181" s="30" t="e">
        <f>IF(AND($D181=1,(""&amp;loteAnalise)=(""&amp;loteCarregado),COUNTIFS(regAnalito,selAnalito,regNivel,2,regData,$C181,regRep2,"&lt;&gt;")&gt;0),SUMIFS(regRep2,regAnalito,selAnalito,regNivel,2,regData,$C181),NA())</f>
        <v>#N/A</v>
      </c>
      <c r="AV181" s="30" t="e">
        <f>IF(AND($D181=1,(""&amp;loteAnalise)=(""&amp;loteCarregado),COUNTIFS(regAnalito,selAnalito,regNivel,2,regData,$C181,regRep3,"&lt;&gt;")&gt;0),SUMIFS(regRep3,regAnalito,selAnalito,regNivel,2,regData,$C181),NA())</f>
        <v>#N/A</v>
      </c>
      <c r="AW181" s="30" t="e">
        <f>IF(AND($D181=1,COUNTIFS(regAnalito,selAnalito,regData,$C181,regCalib,"Sim")&gt;0),$BV$1,NA())</f>
        <v>#N/A</v>
      </c>
      <c r="AX181" s="30" t="str">
        <f>IF($B181="","",IF(INDEX(engValN3,$A181)="","",INDEX(engValN3,$A181)))</f>
        <v/>
      </c>
      <c r="AY181" s="30" t="str">
        <f t="shared" si="193"/>
        <v/>
      </c>
      <c r="AZ181" s="30" t="e">
        <f t="shared" si="194"/>
        <v>#N/A</v>
      </c>
      <c r="BA181" s="30" t="e">
        <f t="shared" si="195"/>
        <v>#N/A</v>
      </c>
      <c r="BB181" s="30" t="e">
        <f t="shared" si="196"/>
        <v>#N/A</v>
      </c>
      <c r="BC181" s="30">
        <f>IF($AX181="",0,IFERROR(INDEX(engDados,MATCH(selAnalito&amp;"|"&amp;$B181,engChave,0),17),0))</f>
        <v>0</v>
      </c>
      <c r="BD181" s="30">
        <f>IF($AX181="",0,IFERROR(INDEX(engDados,MATCH(selAnalito&amp;"|"&amp;$B181,engChave,0),18),0))</f>
        <v>0</v>
      </c>
      <c r="BE181" s="30">
        <f>IF($AX181="",0,IFERROR(INDEX(engDados,MATCH(selAnalito&amp;"|"&amp;$B181,engChave,0),19),0))</f>
        <v>0</v>
      </c>
      <c r="BF181" s="30">
        <f>IF($AX181="",0,IFERROR(INDEX(engDados,MATCH(selAnalito&amp;"|"&amp;$B181,engChave,0),20),0))</f>
        <v>0</v>
      </c>
      <c r="BG181" s="30">
        <f>IF($AX181="",0,IFERROR(INDEX(engDados,MATCH(selAnalito&amp;"|"&amp;$B181,engChave,0),21),0))</f>
        <v>0</v>
      </c>
      <c r="BH181" s="30" t="str">
        <f>IF($AX181="","",IFERROR(INDEX(engDados,MATCH(selAnalito&amp;"|"&amp;$B181,engChave,0),23),""))</f>
        <v/>
      </c>
      <c r="BI181" s="30" t="e">
        <f t="shared" si="197"/>
        <v>#N/A</v>
      </c>
      <c r="BJ181" s="30" t="e">
        <f t="shared" si="198"/>
        <v>#N/A</v>
      </c>
      <c r="BK181" s="30" t="e">
        <f t="shared" si="199"/>
        <v>#N/A</v>
      </c>
      <c r="BL181" s="30" t="e">
        <f t="shared" si="200"/>
        <v>#N/A</v>
      </c>
      <c r="BM181" s="30" t="e">
        <f t="shared" si="201"/>
        <v>#N/A</v>
      </c>
      <c r="BN181" s="30" t="e">
        <f t="shared" si="202"/>
        <v>#N/A</v>
      </c>
      <c r="BO181" s="30" t="e">
        <f t="shared" si="203"/>
        <v>#N/A</v>
      </c>
      <c r="BP181" s="30" t="e">
        <f>IF(AND($D181=1,(""&amp;loteAnalise)=(""&amp;loteCarregado),COUNTIFS(regAnalito,selAnalito,regNivel,3,regData,$C181,regRep1,"&lt;&gt;")&gt;0),SUMIFS(regRep1,regAnalito,selAnalito,regNivel,3,regData,$C181),NA())</f>
        <v>#N/A</v>
      </c>
      <c r="BQ181" s="30" t="e">
        <f>IF(AND($D181=1,(""&amp;loteAnalise)=(""&amp;loteCarregado),COUNTIFS(regAnalito,selAnalito,regNivel,3,regData,$C181,regRep2,"&lt;&gt;")&gt;0),SUMIFS(regRep2,regAnalito,selAnalito,regNivel,3,regData,$C181),NA())</f>
        <v>#N/A</v>
      </c>
      <c r="BR181" s="30" t="e">
        <f>IF(AND($D181=1,(""&amp;loteAnalise)=(""&amp;loteCarregado),COUNTIFS(regAnalito,selAnalito,regNivel,3,regData,$C181,regRep3,"&lt;&gt;")&gt;0),SUMIFS(regRep3,regAnalito,selAnalito,regNivel,3,regData,$C181),NA())</f>
        <v>#N/A</v>
      </c>
      <c r="BS181" s="30" t="e">
        <f>IF(AND($D181=1,COUNTIFS(regAnalito,selAnalito,regData,$C181,regCalib,"Sim")&gt;0),$BX$1,NA())</f>
        <v>#N/A</v>
      </c>
    </row>
    <row r="182" spans="1:71" x14ac:dyDescent="0.3">
      <c r="A182" s="30">
        <v>180</v>
      </c>
      <c r="B182" s="30" t="str">
        <f>IF(OR(selAnalito="",(""&amp;engAnalito)&lt;&gt;(""&amp;selAnalito),(""&amp;engLote)&lt;&gt;(""&amp;loteAnalise),$A182&gt;N(engNRun)),"",INDEX(engRUN,$A182))</f>
        <v/>
      </c>
      <c r="C182" s="43" t="str">
        <f>IF($B182="","",IF(INDEX(engData,$A182)="","",INDEX(engData,$A182)))</f>
        <v/>
      </c>
      <c r="D182" s="30">
        <f>IF($C182="",0,IF(AND(OR(filtroDe="",INT($C182)&gt;=INT(filtroDe)),OR(filtroAte="",INT($C182)&lt;=INT(filtroAte))),1,0))</f>
        <v>0</v>
      </c>
      <c r="E182" s="30" t="e">
        <f t="shared" si="170"/>
        <v>#N/A</v>
      </c>
      <c r="F182" s="30" t="str">
        <f>IF($B182="","",IF(INDEX(engValN1,$A182)="","",INDEX(engValN1,$A182)))</f>
        <v/>
      </c>
      <c r="G182" s="30" t="str">
        <f t="shared" si="171"/>
        <v/>
      </c>
      <c r="H182" s="30" t="e">
        <f t="shared" si="172"/>
        <v>#N/A</v>
      </c>
      <c r="I182" s="30" t="e">
        <f t="shared" si="173"/>
        <v>#N/A</v>
      </c>
      <c r="J182" s="30" t="e">
        <f t="shared" si="174"/>
        <v>#N/A</v>
      </c>
      <c r="K182" s="30">
        <f>IF($F182="",0,IFERROR(INDEX(engDados,MATCH(selAnalito&amp;"|"&amp;$B182,engChave,0),3),0))</f>
        <v>0</v>
      </c>
      <c r="L182" s="30">
        <f>IF($F182="",0,IFERROR(INDEX(engDados,MATCH(selAnalito&amp;"|"&amp;$B182,engChave,0),4),0))</f>
        <v>0</v>
      </c>
      <c r="M182" s="30">
        <f>IF($F182="",0,IFERROR(INDEX(engDados,MATCH(selAnalito&amp;"|"&amp;$B182,engChave,0),5),0))</f>
        <v>0</v>
      </c>
      <c r="N182" s="30">
        <f>IF($F182="",0,IFERROR(INDEX(engDados,MATCH(selAnalito&amp;"|"&amp;$B182,engChave,0),6),0))</f>
        <v>0</v>
      </c>
      <c r="O182" s="30">
        <f>IF($F182="",0,IFERROR(INDEX(engDados,MATCH(selAnalito&amp;"|"&amp;$B182,engChave,0),7),0))</f>
        <v>0</v>
      </c>
      <c r="P182" s="30" t="str">
        <f>IF($F182="","",IFERROR(INDEX(engDados,MATCH(selAnalito&amp;"|"&amp;$B182,engChave,0),9),""))</f>
        <v/>
      </c>
      <c r="Q182" s="30" t="e">
        <f t="shared" si="175"/>
        <v>#N/A</v>
      </c>
      <c r="R182" s="30" t="e">
        <f t="shared" si="176"/>
        <v>#N/A</v>
      </c>
      <c r="S182" s="30" t="e">
        <f t="shared" si="177"/>
        <v>#N/A</v>
      </c>
      <c r="T182" s="30" t="e">
        <f t="shared" si="178"/>
        <v>#N/A</v>
      </c>
      <c r="U182" s="30" t="e">
        <f t="shared" si="179"/>
        <v>#N/A</v>
      </c>
      <c r="V182" s="30" t="e">
        <f t="shared" si="180"/>
        <v>#N/A</v>
      </c>
      <c r="W182" s="30" t="e">
        <f t="shared" si="181"/>
        <v>#N/A</v>
      </c>
      <c r="X182" s="30" t="e">
        <f>IF(AND($D182=1,(""&amp;loteAnalise)=(""&amp;loteCarregado),COUNTIFS(regAnalito,selAnalito,regNivel,1,regData,$C182,regRep1,"&lt;&gt;")&gt;0),SUMIFS(regRep1,regAnalito,selAnalito,regNivel,1,regData,$C182),NA())</f>
        <v>#N/A</v>
      </c>
      <c r="Y182" s="30" t="e">
        <f>IF(AND($D182=1,(""&amp;loteAnalise)=(""&amp;loteCarregado),COUNTIFS(regAnalito,selAnalito,regNivel,1,regData,$C182,regRep2,"&lt;&gt;")&gt;0),SUMIFS(regRep2,regAnalito,selAnalito,regNivel,1,regData,$C182),NA())</f>
        <v>#N/A</v>
      </c>
      <c r="Z182" s="30" t="e">
        <f>IF(AND($D182=1,(""&amp;loteAnalise)=(""&amp;loteCarregado),COUNTIFS(regAnalito,selAnalito,regNivel,1,regData,$C182,regRep3,"&lt;&gt;")&gt;0),SUMIFS(regRep3,regAnalito,selAnalito,regNivel,1,regData,$C182),NA())</f>
        <v>#N/A</v>
      </c>
      <c r="AA182" s="30" t="e">
        <f>IF(AND($D182=1,COUNTIFS(regAnalito,selAnalito,regData,$C182,regCalib,"Sim")&gt;0),$BT$1,NA())</f>
        <v>#N/A</v>
      </c>
      <c r="AB182" s="30" t="str">
        <f>IF($B182="","",IF(INDEX(engValN2,$A182)="","",INDEX(engValN2,$A182)))</f>
        <v/>
      </c>
      <c r="AC182" s="30" t="str">
        <f t="shared" si="182"/>
        <v/>
      </c>
      <c r="AD182" s="30" t="e">
        <f t="shared" si="183"/>
        <v>#N/A</v>
      </c>
      <c r="AE182" s="30" t="e">
        <f t="shared" si="184"/>
        <v>#N/A</v>
      </c>
      <c r="AF182" s="30" t="e">
        <f t="shared" si="185"/>
        <v>#N/A</v>
      </c>
      <c r="AG182" s="30">
        <f>IF($AB182="",0,IFERROR(INDEX(engDados,MATCH(selAnalito&amp;"|"&amp;$B182,engChave,0),10),0))</f>
        <v>0</v>
      </c>
      <c r="AH182" s="30">
        <f>IF($AB182="",0,IFERROR(INDEX(engDados,MATCH(selAnalito&amp;"|"&amp;$B182,engChave,0),11),0))</f>
        <v>0</v>
      </c>
      <c r="AI182" s="30">
        <f>IF($AB182="",0,IFERROR(INDEX(engDados,MATCH(selAnalito&amp;"|"&amp;$B182,engChave,0),12),0))</f>
        <v>0</v>
      </c>
      <c r="AJ182" s="30">
        <f>IF($AB182="",0,IFERROR(INDEX(engDados,MATCH(selAnalito&amp;"|"&amp;$B182,engChave,0),13),0))</f>
        <v>0</v>
      </c>
      <c r="AK182" s="30">
        <f>IF($AB182="",0,IFERROR(INDEX(engDados,MATCH(selAnalito&amp;"|"&amp;$B182,engChave,0),14),0))</f>
        <v>0</v>
      </c>
      <c r="AL182" s="30" t="str">
        <f>IF($AB182="","",IFERROR(INDEX(engDados,MATCH(selAnalito&amp;"|"&amp;$B182,engChave,0),16),""))</f>
        <v/>
      </c>
      <c r="AM182" s="30" t="e">
        <f t="shared" si="186"/>
        <v>#N/A</v>
      </c>
      <c r="AN182" s="30" t="e">
        <f t="shared" si="187"/>
        <v>#N/A</v>
      </c>
      <c r="AO182" s="30" t="e">
        <f t="shared" si="188"/>
        <v>#N/A</v>
      </c>
      <c r="AP182" s="30" t="e">
        <f t="shared" si="189"/>
        <v>#N/A</v>
      </c>
      <c r="AQ182" s="30" t="e">
        <f t="shared" si="190"/>
        <v>#N/A</v>
      </c>
      <c r="AR182" s="30" t="e">
        <f t="shared" si="191"/>
        <v>#N/A</v>
      </c>
      <c r="AS182" s="30" t="e">
        <f t="shared" si="192"/>
        <v>#N/A</v>
      </c>
      <c r="AT182" s="30" t="e">
        <f>IF(AND($D182=1,(""&amp;loteAnalise)=(""&amp;loteCarregado),COUNTIFS(regAnalito,selAnalito,regNivel,2,regData,$C182,regRep1,"&lt;&gt;")&gt;0),SUMIFS(regRep1,regAnalito,selAnalito,regNivel,2,regData,$C182),NA())</f>
        <v>#N/A</v>
      </c>
      <c r="AU182" s="30" t="e">
        <f>IF(AND($D182=1,(""&amp;loteAnalise)=(""&amp;loteCarregado),COUNTIFS(regAnalito,selAnalito,regNivel,2,regData,$C182,regRep2,"&lt;&gt;")&gt;0),SUMIFS(regRep2,regAnalito,selAnalito,regNivel,2,regData,$C182),NA())</f>
        <v>#N/A</v>
      </c>
      <c r="AV182" s="30" t="e">
        <f>IF(AND($D182=1,(""&amp;loteAnalise)=(""&amp;loteCarregado),COUNTIFS(regAnalito,selAnalito,regNivel,2,regData,$C182,regRep3,"&lt;&gt;")&gt;0),SUMIFS(regRep3,regAnalito,selAnalito,regNivel,2,regData,$C182),NA())</f>
        <v>#N/A</v>
      </c>
      <c r="AW182" s="30" t="e">
        <f>IF(AND($D182=1,COUNTIFS(regAnalito,selAnalito,regData,$C182,regCalib,"Sim")&gt;0),$BV$1,NA())</f>
        <v>#N/A</v>
      </c>
      <c r="AX182" s="30" t="str">
        <f>IF($B182="","",IF(INDEX(engValN3,$A182)="","",INDEX(engValN3,$A182)))</f>
        <v/>
      </c>
      <c r="AY182" s="30" t="str">
        <f t="shared" si="193"/>
        <v/>
      </c>
      <c r="AZ182" s="30" t="e">
        <f t="shared" si="194"/>
        <v>#N/A</v>
      </c>
      <c r="BA182" s="30" t="e">
        <f t="shared" si="195"/>
        <v>#N/A</v>
      </c>
      <c r="BB182" s="30" t="e">
        <f t="shared" si="196"/>
        <v>#N/A</v>
      </c>
      <c r="BC182" s="30">
        <f>IF($AX182="",0,IFERROR(INDEX(engDados,MATCH(selAnalito&amp;"|"&amp;$B182,engChave,0),17),0))</f>
        <v>0</v>
      </c>
      <c r="BD182" s="30">
        <f>IF($AX182="",0,IFERROR(INDEX(engDados,MATCH(selAnalito&amp;"|"&amp;$B182,engChave,0),18),0))</f>
        <v>0</v>
      </c>
      <c r="BE182" s="30">
        <f>IF($AX182="",0,IFERROR(INDEX(engDados,MATCH(selAnalito&amp;"|"&amp;$B182,engChave,0),19),0))</f>
        <v>0</v>
      </c>
      <c r="BF182" s="30">
        <f>IF($AX182="",0,IFERROR(INDEX(engDados,MATCH(selAnalito&amp;"|"&amp;$B182,engChave,0),20),0))</f>
        <v>0</v>
      </c>
      <c r="BG182" s="30">
        <f>IF($AX182="",0,IFERROR(INDEX(engDados,MATCH(selAnalito&amp;"|"&amp;$B182,engChave,0),21),0))</f>
        <v>0</v>
      </c>
      <c r="BH182" s="30" t="str">
        <f>IF($AX182="","",IFERROR(INDEX(engDados,MATCH(selAnalito&amp;"|"&amp;$B182,engChave,0),23),""))</f>
        <v/>
      </c>
      <c r="BI182" s="30" t="e">
        <f t="shared" si="197"/>
        <v>#N/A</v>
      </c>
      <c r="BJ182" s="30" t="e">
        <f t="shared" si="198"/>
        <v>#N/A</v>
      </c>
      <c r="BK182" s="30" t="e">
        <f t="shared" si="199"/>
        <v>#N/A</v>
      </c>
      <c r="BL182" s="30" t="e">
        <f t="shared" si="200"/>
        <v>#N/A</v>
      </c>
      <c r="BM182" s="30" t="e">
        <f t="shared" si="201"/>
        <v>#N/A</v>
      </c>
      <c r="BN182" s="30" t="e">
        <f t="shared" si="202"/>
        <v>#N/A</v>
      </c>
      <c r="BO182" s="30" t="e">
        <f t="shared" si="203"/>
        <v>#N/A</v>
      </c>
      <c r="BP182" s="30" t="e">
        <f>IF(AND($D182=1,(""&amp;loteAnalise)=(""&amp;loteCarregado),COUNTIFS(regAnalito,selAnalito,regNivel,3,regData,$C182,regRep1,"&lt;&gt;")&gt;0),SUMIFS(regRep1,regAnalito,selAnalito,regNivel,3,regData,$C182),NA())</f>
        <v>#N/A</v>
      </c>
      <c r="BQ182" s="30" t="e">
        <f>IF(AND($D182=1,(""&amp;loteAnalise)=(""&amp;loteCarregado),COUNTIFS(regAnalito,selAnalito,regNivel,3,regData,$C182,regRep2,"&lt;&gt;")&gt;0),SUMIFS(regRep2,regAnalito,selAnalito,regNivel,3,regData,$C182),NA())</f>
        <v>#N/A</v>
      </c>
      <c r="BR182" s="30" t="e">
        <f>IF(AND($D182=1,(""&amp;loteAnalise)=(""&amp;loteCarregado),COUNTIFS(regAnalito,selAnalito,regNivel,3,regData,$C182,regRep3,"&lt;&gt;")&gt;0),SUMIFS(regRep3,regAnalito,selAnalito,regNivel,3,regData,$C182),NA())</f>
        <v>#N/A</v>
      </c>
      <c r="BS182" s="30" t="e">
        <f>IF(AND($D182=1,COUNTIFS(regAnalito,selAnalito,regData,$C182,regCalib,"Sim")&gt;0),$BX$1,NA())</f>
        <v>#N/A</v>
      </c>
    </row>
  </sheetData>
  <sheetProtection algorithmName="SHA-512" hashValue="YiRlzG84v2EzrUfieJRpSpvabjeVF5Oh45ReFaUDr5yUcJ7TuKJliJj0OJwoRrtG4jd3UwCKx4GRnOlY7p7tAw==" saltValue="Xh5HvuzSuwXNqJBhYbpq+g==" spinCount="100000" sheet="1" scenarios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W87"/>
  <sheetViews>
    <sheetView showGridLines="0" zoomScale="70" zoomScaleNormal="70" workbookViewId="0">
      <selection activeCell="U6" sqref="U6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9.6640625" customWidth="1"/>
    <col min="11" max="11" width="15.6640625" customWidth="1"/>
    <col min="12" max="12" width="16.6640625" customWidth="1"/>
    <col min="13" max="13" width="15.6640625" style="74" customWidth="1"/>
    <col min="14" max="14" width="13.6640625" customWidth="1"/>
    <col min="15" max="15" width="22.6640625" customWidth="1"/>
    <col min="16" max="16" width="24.6640625" customWidth="1"/>
    <col min="17" max="17" width="18.6640625" customWidth="1"/>
    <col min="18" max="18" width="7" customWidth="1"/>
    <col min="19" max="20" width="18.77734375" customWidth="1"/>
    <col min="21" max="21" width="22.77734375" customWidth="1"/>
  </cols>
  <sheetData>
    <row r="1" spans="1:23" ht="40.200000000000003" customHeight="1" x14ac:dyDescent="0.3">
      <c r="A1" s="182" t="s">
        <v>249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25"/>
      <c r="W1" s="125"/>
    </row>
    <row r="2" spans="1:23" ht="19.95" customHeight="1" x14ac:dyDescent="0.3">
      <c r="A2" s="183" t="s">
        <v>4740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</row>
    <row r="3" spans="1:23" ht="17.399999999999999" customHeight="1" x14ac:dyDescent="0.3">
      <c r="A3" s="134" t="s">
        <v>250</v>
      </c>
      <c r="B3" s="157">
        <v>2</v>
      </c>
      <c r="C3" s="194" t="str">
        <f>IFERROR(INDEX(Analitos!$A$4:$A$43,$B$3),"")</f>
        <v>RBC</v>
      </c>
      <c r="D3" s="195"/>
      <c r="F3" s="134" t="s">
        <v>251</v>
      </c>
      <c r="G3" s="135"/>
      <c r="H3" s="196" t="s">
        <v>15</v>
      </c>
      <c r="I3" s="197"/>
      <c r="J3" s="134" t="s">
        <v>289</v>
      </c>
      <c r="K3" s="139">
        <v>2025</v>
      </c>
      <c r="O3" s="185" t="str">
        <f>IF(OR(Calc!$BT$1="",Calc!$BV$1="",Calc!$BX$1=""),"⛔ LOTE "&amp;loteAnalise&amp;" · "&amp;selAnalito&amp;": SEM MÉDIA/DP em "&amp;IF(AND(Calc!$BT$1="",Calc!$BV$1="",Calc!$BX$1=""),"N1, N2 e N3",TRIM(IF(Calc!$BT$1="","N1 ","")&amp;IF(Calc!$BV$1="","N2 ","")&amp;IF(Calc!$BX$1="","N3","")))&amp;" — cadastre na aba Analitos. ","Lote "&amp;loteAnalise&amp;" · alvo N1 "&amp;FIXED(Calc!$BT$1,Calc!$CI$1)&amp;" ± "&amp;FIXED(Calc!$BU$1,Calc!$CI$1+1)&amp;" · N2 "&amp;FIXED(Calc!$BV$1,Calc!$CI$1)&amp;" ± "&amp;FIXED(Calc!$BW$1,Calc!$CI$1+1)&amp;" · N3 "&amp;FIXED(Calc!$BX$1,Calc!$CI$1)&amp;" ± "&amp;FIXED(Calc!$BY$1,Calc!$CI$1+1)&amp;". ")&amp;IF(AND(COUNTIF(Calc!$D$3:$D$182,1)=0,selAnalito&lt;&gt;""),"Nenhuma corrida deste lote no período"&amp;IF(engLotesPer&lt;&gt;""," (com dados: "&amp;engLotesPer&amp;")","")&amp;". ","")&amp;IF(N(engCortadas)&gt;0,"⚠ "&amp;engCortadas&amp;" corrida(s) antigas do período fora do gráfico (máx. 180). ","")&amp;IF(OR($G$3&lt;&gt;"",$G$4&lt;&gt;""),"Filtro "&amp;IF($G$3&lt;&gt;"",TEXT($G$3,"dd/mm/aa"),"início")&amp;" a "&amp;IF($G$4&lt;&gt;"",TEXT($G$4,"dd/mm/aa"),"hoje"),"Sem filtro de data")</f>
        <v>Lote 522611 · alvo N1 2,3066 ± 0,02190 · N2 4,3769 ± 0,03500 · N3 5,1228 ± 0,03450. Sem filtro de data</v>
      </c>
      <c r="P3" s="186"/>
      <c r="Q3" s="186"/>
      <c r="R3" s="186"/>
      <c r="S3" s="186"/>
      <c r="T3" s="186"/>
      <c r="U3" s="186"/>
    </row>
    <row r="4" spans="1:23" ht="14.4" customHeight="1" x14ac:dyDescent="0.3">
      <c r="A4" s="198" t="s">
        <v>252</v>
      </c>
      <c r="B4" s="166"/>
      <c r="C4" s="199" t="str">
        <f>"Analito "&amp;$B$3&amp;" de "&amp;SUMPRODUCT(--(Analitos!$A$4:$A$43&lt;&gt;""))&amp;"  ·  Lançamentos no lote: "&amp;loteAtivo</f>
        <v>Analito 2 de 28  ·  Lançamentos no lote: 522611</v>
      </c>
      <c r="D4" s="200"/>
      <c r="E4" s="200"/>
      <c r="F4" s="134" t="s">
        <v>253</v>
      </c>
      <c r="G4" s="136"/>
      <c r="H4" s="137" t="s">
        <v>4706</v>
      </c>
      <c r="J4" s="134" t="s">
        <v>4741</v>
      </c>
      <c r="K4" s="138" t="s">
        <v>4742</v>
      </c>
      <c r="O4" s="186"/>
      <c r="P4" s="186"/>
      <c r="Q4" s="186"/>
      <c r="R4" s="186"/>
      <c r="S4" s="186"/>
      <c r="T4" s="186"/>
      <c r="U4" s="186"/>
    </row>
    <row r="5" spans="1:23" ht="14.4" customHeight="1" x14ac:dyDescent="0.35">
      <c r="A5" s="184" t="s">
        <v>254</v>
      </c>
      <c r="B5" s="173"/>
      <c r="C5" s="173"/>
      <c r="D5" s="173"/>
      <c r="E5" s="173"/>
      <c r="F5" s="173"/>
      <c r="G5" s="173"/>
      <c r="H5" s="173"/>
      <c r="I5" s="173"/>
      <c r="J5" s="173"/>
      <c r="L5" s="184" t="s">
        <v>255</v>
      </c>
      <c r="M5" s="173"/>
      <c r="N5" s="173"/>
      <c r="O5" s="173"/>
      <c r="P5" s="173"/>
      <c r="Q5" s="173"/>
      <c r="R5" s="173"/>
      <c r="S5" s="173"/>
      <c r="T5" s="173"/>
      <c r="U5" s="173"/>
    </row>
    <row r="6" spans="1:23" ht="28.2" customHeight="1" x14ac:dyDescent="0.3">
      <c r="A6" s="140" t="s">
        <v>174</v>
      </c>
      <c r="B6" s="141" t="s">
        <v>256</v>
      </c>
      <c r="C6" s="141" t="s">
        <v>257</v>
      </c>
      <c r="D6" s="141" t="s">
        <v>258</v>
      </c>
      <c r="E6" s="141" t="s">
        <v>259</v>
      </c>
      <c r="F6" s="141" t="s">
        <v>260</v>
      </c>
      <c r="G6" s="141" t="s">
        <v>261</v>
      </c>
      <c r="H6" s="141" t="s">
        <v>262</v>
      </c>
      <c r="I6" s="141" t="s">
        <v>263</v>
      </c>
      <c r="J6" s="142" t="s">
        <v>264</v>
      </c>
      <c r="L6" s="140" t="s">
        <v>174</v>
      </c>
      <c r="M6" s="141" t="s">
        <v>265</v>
      </c>
      <c r="N6" s="141" t="s">
        <v>266</v>
      </c>
      <c r="O6" s="141" t="s">
        <v>267</v>
      </c>
      <c r="P6" s="141" t="s">
        <v>268</v>
      </c>
      <c r="Q6" s="141" t="s">
        <v>269</v>
      </c>
      <c r="R6" s="141" t="s">
        <v>270</v>
      </c>
      <c r="S6" s="141" t="s">
        <v>4384</v>
      </c>
      <c r="T6" s="141" t="s">
        <v>311</v>
      </c>
      <c r="U6" s="142" t="s">
        <v>4385</v>
      </c>
    </row>
    <row r="7" spans="1:23" ht="16.95" customHeight="1" x14ac:dyDescent="0.3">
      <c r="A7" s="240" t="s">
        <v>271</v>
      </c>
      <c r="B7" s="241">
        <f>IF(INDEX(engPainel,1,2)="","",INDEX(engPainel,1,2))</f>
        <v>25</v>
      </c>
      <c r="C7" s="145">
        <f>IF(INDEX(engPainel,1,3)="","",INDEX(engPainel,1,3))</f>
        <v>2.304872</v>
      </c>
      <c r="D7" s="145">
        <f>IF(INDEX(engPainel,1,4)="","",INDEX(engPainel,1,4))</f>
        <v>1.8678765126920675E-2</v>
      </c>
      <c r="E7" s="146">
        <f>IF(INDEX(engPainel,1,5)="","",INDEX(engPainel,1,5))</f>
        <v>0.81040357672446339</v>
      </c>
      <c r="F7" s="146">
        <f>IF(INDEX(engPainel,1,6)="","",INDEX(engPainel,1,6))</f>
        <v>4</v>
      </c>
      <c r="G7" s="146">
        <f>IFERROR(INDEX(Estatística!$G$14:$G$133,MATCH(selAnalito&amp;"|"&amp;1,Estatística!$AB$14:$AB$133,0)),"")</f>
        <v>1.5336201252767589</v>
      </c>
      <c r="H7" s="146">
        <f>IF($E7="","",$E7*1.65+ABS(IF(ISNUMBER($G7),$G7,0)))</f>
        <v>2.8707860268721235</v>
      </c>
      <c r="I7" s="147">
        <f>IF(OR($E7="",$E7=0,$F7=""),"",($F7-ABS(IF(ISNUMBER($G7),$G7,0)))/$E7)</f>
        <v>3.0433970746920931</v>
      </c>
      <c r="J7" s="245" t="str">
        <f>IF(Calc!$BT$1="","SEM MÉDIA/DP",IF(INDEX(engPainel,1,10)="","",INDEX(engPainel,1,10)))</f>
        <v>OK</v>
      </c>
      <c r="L7" s="143" t="s">
        <v>271</v>
      </c>
      <c r="M7" s="144">
        <f>IF(INDEX(engPainel,1,13)="","",INDEX(engPainel,1,13))</f>
        <v>0</v>
      </c>
      <c r="N7" s="144">
        <f>IF(INDEX(engPainel,1,16)="","",INDEX(engPainel,1,16))</f>
        <v>0</v>
      </c>
      <c r="O7" s="144">
        <f>IF(INDEX(engPainel,1,17)="","",INDEX(engPainel,1,17))</f>
        <v>0</v>
      </c>
      <c r="P7" s="144">
        <f>IF(INDEX(engPainel,1,14)="","",INDEX(engPainel,1,14))</f>
        <v>0</v>
      </c>
      <c r="Q7" s="144">
        <f>IF(INDEX(engPainel,1,15)="","",INDEX(engPainel,1,15))</f>
        <v>0</v>
      </c>
      <c r="R7" s="144">
        <f>IF(INDEX(engPainel,1,18)="","",INDEX(engPainel,1,18))</f>
        <v>0</v>
      </c>
      <c r="S7" s="153" t="str">
        <f>IF(INDEX(engPainel,1,19)="","",INDEX(engPainel,1,19))</f>
        <v>—</v>
      </c>
      <c r="T7" s="153" t="str">
        <f>IF(INDEX(engPainel,1,20)="","",INDEX(engPainel,1,20))</f>
        <v/>
      </c>
      <c r="U7" s="156" t="str">
        <f>IF(INDEX(engPainel,1,21)="","",INDEX(engPainel,1,21))</f>
        <v/>
      </c>
    </row>
    <row r="8" spans="1:23" ht="16.95" customHeight="1" x14ac:dyDescent="0.3">
      <c r="A8" s="240" t="s">
        <v>272</v>
      </c>
      <c r="B8" s="241">
        <f>IF(INDEX(engPainel,2,2)="","",INDEX(engPainel,2,2))</f>
        <v>25</v>
      </c>
      <c r="C8" s="145">
        <f>IF(INDEX(engPainel,2,3)="","",INDEX(engPainel,2,3))</f>
        <v>4.371264</v>
      </c>
      <c r="D8" s="145">
        <f>IF(INDEX(engPainel,2,4)="","",INDEX(engPainel,2,4))</f>
        <v>2.954837671796318E-2</v>
      </c>
      <c r="E8" s="146">
        <f>IF(INDEX(engPainel,2,5)="","",INDEX(engPainel,2,5))</f>
        <v>0.67596870648771568</v>
      </c>
      <c r="F8" s="146">
        <f>IF(INDEX(engPainel,2,6)="","",INDEX(engPainel,2,6))</f>
        <v>4</v>
      </c>
      <c r="G8" s="146">
        <f>IFERROR(INDEX(Estatística!$G$14:$G$133,MATCH(selAnalito&amp;"|"&amp;2,Estatística!$AB$14:$AB$133,0)),"")</f>
        <v>1.5336201252767589</v>
      </c>
      <c r="H8" s="146">
        <f>IF($E8="","",$E8*1.65+ABS(IF(ISNUMBER($G8),$G8,0)))</f>
        <v>2.6489684909814897</v>
      </c>
      <c r="I8" s="147">
        <f>IF(OR($E8="",$E8=0,$F8=""),"",($F8-ABS(IF(ISNUMBER($G8),$G8,0)))/$E8)</f>
        <v>3.6486598433504001</v>
      </c>
      <c r="J8" s="245" t="str">
        <f>IF(Calc!$BV$1="","SEM MÉDIA/DP",IF(INDEX(engPainel,2,10)="","",INDEX(engPainel,2,10)))</f>
        <v>OK</v>
      </c>
      <c r="L8" s="143" t="s">
        <v>272</v>
      </c>
      <c r="M8" s="144">
        <f>IF(INDEX(engPainel,2,13)="","",INDEX(engPainel,2,13))</f>
        <v>0</v>
      </c>
      <c r="N8" s="144">
        <f>IF(INDEX(engPainel,2,16)="","",INDEX(engPainel,2,16))</f>
        <v>0</v>
      </c>
      <c r="O8" s="144">
        <f>IF(INDEX(engPainel,2,17)="","",INDEX(engPainel,2,17))</f>
        <v>0</v>
      </c>
      <c r="P8" s="144">
        <f>IF(INDEX(engPainel,2,14)="","",INDEX(engPainel,2,14))</f>
        <v>0</v>
      </c>
      <c r="Q8" s="144">
        <f>IF(INDEX(engPainel,2,15)="","",INDEX(engPainel,2,15))</f>
        <v>0</v>
      </c>
      <c r="R8" s="144">
        <f>IF(INDEX(engPainel,2,18)="","",INDEX(engPainel,2,18))</f>
        <v>0</v>
      </c>
      <c r="S8" s="153" t="str">
        <f>IF(INDEX(engPainel,2,19)="","",INDEX(engPainel,2,19))</f>
        <v>—</v>
      </c>
      <c r="T8" s="153" t="str">
        <f>IF(INDEX(engPainel,2,20)="","",INDEX(engPainel,2,20))</f>
        <v/>
      </c>
      <c r="U8" s="156" t="str">
        <f>IF(INDEX(engPainel,2,21)="","",INDEX(engPainel,2,21))</f>
        <v/>
      </c>
    </row>
    <row r="9" spans="1:23" ht="16.95" customHeight="1" x14ac:dyDescent="0.3">
      <c r="A9" s="242" t="s">
        <v>273</v>
      </c>
      <c r="B9" s="243">
        <f>IF(INDEX(engPainel,3,2)="","",INDEX(engPainel,3,2))</f>
        <v>25</v>
      </c>
      <c r="C9" s="150">
        <f>IF(INDEX(engPainel,3,3)="","",INDEX(engPainel,3,3))</f>
        <v>5.1196200000000003</v>
      </c>
      <c r="D9" s="150">
        <f>IF(INDEX(engPainel,3,4)="","",INDEX(engPainel,3,4))</f>
        <v>3.4443298816073623E-2</v>
      </c>
      <c r="E9" s="151">
        <f>IF(INDEX(engPainel,3,5)="","",INDEX(engPainel,3,5))</f>
        <v>0.67277061219531176</v>
      </c>
      <c r="F9" s="151">
        <f>IF(INDEX(engPainel,3,6)="","",INDEX(engPainel,3,6))</f>
        <v>4</v>
      </c>
      <c r="G9" s="151">
        <f>IFERROR(INDEX(Estatística!$G$14:$G$133,MATCH(selAnalito&amp;"|"&amp;3,Estatística!$AB$14:$AB$133,0)),"")</f>
        <v>1.5336201252767589</v>
      </c>
      <c r="H9" s="151">
        <f>IF($E9="","",$E9*1.65+ABS(IF(ISNUMBER($G9),$G9,0)))</f>
        <v>2.6436916353990232</v>
      </c>
      <c r="I9" s="152">
        <f>IF(OR($E9="",$E9=0,$F9=""),"",($F9-ABS(IF(ISNUMBER($G9),$G9,0)))/$E9)</f>
        <v>3.6660041773751373</v>
      </c>
      <c r="J9" s="244" t="str">
        <f>IF(Calc!$BX$1="","SEM MÉDIA/DP",IF(INDEX(engPainel,3,10)="","",INDEX(engPainel,3,10)))</f>
        <v>OK</v>
      </c>
      <c r="L9" s="148" t="s">
        <v>273</v>
      </c>
      <c r="M9" s="149">
        <f>IF(INDEX(engPainel,3,13)="","",INDEX(engPainel,3,13))</f>
        <v>0</v>
      </c>
      <c r="N9" s="149">
        <f>IF(INDEX(engPainel,3,16)="","",INDEX(engPainel,3,16))</f>
        <v>0</v>
      </c>
      <c r="O9" s="149">
        <f>IF(INDEX(engPainel,3,17)="","",INDEX(engPainel,3,17))</f>
        <v>0</v>
      </c>
      <c r="P9" s="149">
        <f>IF(INDEX(engPainel,3,14)="","",INDEX(engPainel,3,14))</f>
        <v>0</v>
      </c>
      <c r="Q9" s="149">
        <f>IF(INDEX(engPainel,3,15)="","",INDEX(engPainel,3,15))</f>
        <v>0</v>
      </c>
      <c r="R9" s="149">
        <f>IF(INDEX(engPainel,3,18)="","",INDEX(engPainel,3,18))</f>
        <v>0</v>
      </c>
      <c r="S9" s="154" t="str">
        <f>IF(INDEX(engPainel,3,19)="","",INDEX(engPainel,3,19))</f>
        <v>—</v>
      </c>
      <c r="T9" s="154" t="str">
        <f>IF(INDEX(engPainel,3,20)="","",INDEX(engPainel,3,20))</f>
        <v/>
      </c>
      <c r="U9" s="155" t="str">
        <f>IF(INDEX(engPainel,3,21)="","",INDEX(engPainel,3,21))</f>
        <v/>
      </c>
    </row>
    <row r="42" spans="1:21" ht="19.95" customHeight="1" x14ac:dyDescent="0.3">
      <c r="A42" s="187" t="s">
        <v>1004</v>
      </c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</row>
    <row r="43" spans="1:21" ht="22.05" customHeight="1" x14ac:dyDescent="0.3">
      <c r="A43" s="189" t="s">
        <v>1005</v>
      </c>
      <c r="B43" s="190"/>
      <c r="C43" s="190"/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</row>
    <row r="44" spans="1:21" ht="25.95" customHeight="1" x14ac:dyDescent="0.3">
      <c r="A44" s="191" t="s">
        <v>174</v>
      </c>
      <c r="B44" s="192"/>
      <c r="C44" s="193" t="s">
        <v>1006</v>
      </c>
      <c r="D44" s="192"/>
      <c r="E44" s="193" t="s">
        <v>1007</v>
      </c>
      <c r="F44" s="192"/>
      <c r="G44" s="192"/>
      <c r="H44" s="193" t="s">
        <v>260</v>
      </c>
      <c r="I44" s="192"/>
      <c r="J44" s="141" t="s">
        <v>263</v>
      </c>
      <c r="K44" s="193" t="s">
        <v>311</v>
      </c>
      <c r="L44" s="192"/>
      <c r="M44" s="193" t="s">
        <v>997</v>
      </c>
      <c r="N44" s="192"/>
      <c r="O44" s="142" t="s">
        <v>998</v>
      </c>
    </row>
    <row r="45" spans="1:21" ht="16.05" customHeight="1" x14ac:dyDescent="0.35">
      <c r="A45" s="246" t="s">
        <v>271</v>
      </c>
      <c r="B45" s="202"/>
      <c r="C45" s="203">
        <f>IFERROR(INDEX(Estatística!$F$14:$F$133,MATCH(selAnalito&amp;"|"&amp;1,Estatística!$AB$14:$AB$133,0)),"")</f>
        <v>0.81040357672446339</v>
      </c>
      <c r="D45" s="202"/>
      <c r="E45" s="203">
        <f>IFERROR(INDEX(Estatística!$G$14:$G$133,MATCH(selAnalito&amp;"|"&amp;1,Estatística!$AB$14:$AB$133,0)),"")</f>
        <v>1.5336201252767589</v>
      </c>
      <c r="F45" s="202"/>
      <c r="G45" s="202"/>
      <c r="H45" s="203">
        <f>IFERROR(INDEX(Estatística!$K$14:$K$133,MATCH(selAnalito&amp;"|"&amp;1,Estatística!$AB$14:$AB$133,0)),"")</f>
        <v>4</v>
      </c>
      <c r="I45" s="202"/>
      <c r="J45" s="158">
        <f>IFERROR(INDEX(Estatística!$L$14:$L$133,MATCH(selAnalito&amp;"|"&amp;1,Estatística!$AB$14:$AB$133,0)),"")</f>
        <v>3.0433970746920931</v>
      </c>
      <c r="K45" s="247" t="str">
        <f>IFERROR(INDEX(Estatística!$M$14:$M$133,MATCH(selAnalito&amp;"|"&amp;1,Estatística!$AB$14:$AB$133,0)),"")</f>
        <v>Marginal</v>
      </c>
      <c r="L45" s="202"/>
      <c r="M45" s="201">
        <f>IFERROR(INDEX(Estatística!$V$14:$V$133,MATCH(selAnalito&amp;"|"&amp;1,Estatística!$AB$14:$AB$133,0)),"")</f>
        <v>61367.231512688079</v>
      </c>
      <c r="N45" s="202"/>
      <c r="O45" s="161">
        <f>IFERROR(INDEX(Estatística!$W$14:$W$133,MATCH(selAnalito&amp;"|"&amp;1,Estatística!$AB$14:$AB$133,0)),"")</f>
        <v>93.863276848731189</v>
      </c>
    </row>
    <row r="46" spans="1:21" ht="16.05" customHeight="1" x14ac:dyDescent="0.35">
      <c r="A46" s="246" t="s">
        <v>272</v>
      </c>
      <c r="B46" s="202"/>
      <c r="C46" s="203">
        <f>IFERROR(INDEX(Estatística!$F$14:$F$133,MATCH(selAnalito&amp;"|"&amp;2,Estatística!$AB$14:$AB$133,0)),"")</f>
        <v>0.67596870648771568</v>
      </c>
      <c r="D46" s="202"/>
      <c r="E46" s="203">
        <f>IFERROR(INDEX(Estatística!$G$14:$G$133,MATCH(selAnalito&amp;"|"&amp;2,Estatística!$AB$14:$AB$133,0)),"")</f>
        <v>1.5336201252767589</v>
      </c>
      <c r="F46" s="202"/>
      <c r="G46" s="202"/>
      <c r="H46" s="203">
        <f>IFERROR(INDEX(Estatística!$K$14:$K$133,MATCH(selAnalito&amp;"|"&amp;2,Estatística!$AB$14:$AB$133,0)),"")</f>
        <v>4</v>
      </c>
      <c r="I46" s="202"/>
      <c r="J46" s="158">
        <f>IFERROR(INDEX(Estatística!$L$14:$L$133,MATCH(selAnalito&amp;"|"&amp;2,Estatística!$AB$14:$AB$133,0)),"")</f>
        <v>3.6486598433504001</v>
      </c>
      <c r="K46" s="247" t="str">
        <f>IFERROR(INDEX(Estatística!$M$14:$M$133,MATCH(selAnalito&amp;"|"&amp;2,Estatística!$AB$14:$AB$133,0)),"")</f>
        <v>Marginal</v>
      </c>
      <c r="L46" s="202"/>
      <c r="M46" s="201">
        <f>IFERROR(INDEX(Estatística!$V$14:$V$133,MATCH(selAnalito&amp;"|"&amp;2,Estatística!$AB$14:$AB$133,0)),"")</f>
        <v>15830.687059919968</v>
      </c>
      <c r="N46" s="202"/>
      <c r="O46" s="161">
        <f>IFERROR(INDEX(Estatística!$W$14:$W$133,MATCH(selAnalito&amp;"|"&amp;2,Estatística!$AB$14:$AB$133,0)),"")</f>
        <v>98.416931294008009</v>
      </c>
    </row>
    <row r="47" spans="1:21" ht="16.05" customHeight="1" x14ac:dyDescent="0.35">
      <c r="A47" s="248" t="s">
        <v>273</v>
      </c>
      <c r="B47" s="205"/>
      <c r="C47" s="208">
        <f>IFERROR(INDEX(Estatística!$F$14:$F$133,MATCH(selAnalito&amp;"|"&amp;3,Estatística!$AB$14:$AB$133,0)),"")</f>
        <v>0.67277061219531176</v>
      </c>
      <c r="D47" s="205"/>
      <c r="E47" s="208">
        <f>IFERROR(INDEX(Estatística!$G$14:$G$133,MATCH(selAnalito&amp;"|"&amp;3,Estatística!$AB$14:$AB$133,0)),"")</f>
        <v>1.5336201252767589</v>
      </c>
      <c r="F47" s="205"/>
      <c r="G47" s="205"/>
      <c r="H47" s="208">
        <f>IFERROR(INDEX(Estatística!$K$14:$K$133,MATCH(selAnalito&amp;"|"&amp;3,Estatística!$AB$14:$AB$133,0)),"")</f>
        <v>4</v>
      </c>
      <c r="I47" s="205"/>
      <c r="J47" s="159">
        <f>IFERROR(INDEX(Estatística!$L$14:$L$133,MATCH(selAnalito&amp;"|"&amp;3,Estatística!$AB$14:$AB$133,0)),"")</f>
        <v>3.6660041773751373</v>
      </c>
      <c r="K47" s="249" t="str">
        <f>IFERROR(INDEX(Estatística!$M$14:$M$133,MATCH(selAnalito&amp;"|"&amp;3,Estatística!$AB$14:$AB$133,0)),"")</f>
        <v>Marginal</v>
      </c>
      <c r="L47" s="205"/>
      <c r="M47" s="204">
        <f>IFERROR(INDEX(Estatística!$V$14:$V$133,MATCH(selAnalito&amp;"|"&amp;3,Estatística!$AB$14:$AB$133,0)),"")</f>
        <v>15155.43386187479</v>
      </c>
      <c r="N47" s="205"/>
      <c r="O47" s="160">
        <f>IFERROR(INDEX(Estatística!$W$14:$W$133,MATCH(selAnalito&amp;"|"&amp;3,Estatística!$AB$14:$AB$133,0)),"")</f>
        <v>98.484456613812526</v>
      </c>
    </row>
    <row r="48" spans="1:21" ht="22.05" customHeight="1" x14ac:dyDescent="0.3">
      <c r="A48" s="206" t="s">
        <v>996</v>
      </c>
      <c r="B48" s="207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</row>
    <row r="49" spans="1:21" ht="32.1" customHeight="1" x14ac:dyDescent="0.3"/>
    <row r="50" spans="1:21" ht="19.95" customHeight="1" x14ac:dyDescent="0.3">
      <c r="A50" s="250" t="s">
        <v>1008</v>
      </c>
      <c r="B50" s="251"/>
      <c r="C50" s="251"/>
      <c r="D50" s="251"/>
      <c r="E50" s="251"/>
      <c r="F50" s="251"/>
      <c r="G50" s="251"/>
      <c r="H50" s="251"/>
      <c r="I50" s="251"/>
      <c r="J50" s="251"/>
      <c r="K50" s="251"/>
      <c r="L50" s="251"/>
      <c r="M50" s="251"/>
      <c r="N50" s="251"/>
      <c r="O50" s="251"/>
      <c r="P50" s="251"/>
      <c r="Q50" s="188"/>
      <c r="R50" s="188"/>
      <c r="S50" s="188"/>
      <c r="T50" s="188"/>
      <c r="U50" s="188"/>
    </row>
    <row r="51" spans="1:21" ht="25.95" customHeight="1" x14ac:dyDescent="0.3">
      <c r="A51" s="191" t="s">
        <v>174</v>
      </c>
      <c r="B51" s="192"/>
      <c r="C51" s="193" t="s">
        <v>263</v>
      </c>
      <c r="D51" s="192"/>
      <c r="E51" s="193" t="s">
        <v>1009</v>
      </c>
      <c r="F51" s="192"/>
      <c r="G51" s="192"/>
      <c r="H51" s="192"/>
      <c r="I51" s="193" t="s">
        <v>1010</v>
      </c>
      <c r="J51" s="192"/>
      <c r="K51" s="141" t="s">
        <v>1011</v>
      </c>
      <c r="L51" s="193" t="s">
        <v>1012</v>
      </c>
      <c r="M51" s="192"/>
      <c r="N51" s="192"/>
      <c r="O51" s="192"/>
      <c r="P51" s="142" t="s">
        <v>1013</v>
      </c>
    </row>
    <row r="52" spans="1:21" ht="16.05" customHeight="1" x14ac:dyDescent="0.35">
      <c r="A52" s="246" t="s">
        <v>271</v>
      </c>
      <c r="B52" s="202"/>
      <c r="C52" s="203">
        <f>IFERROR(INDEX(Estatística!$L$14:$L$133,MATCH(selAnalito&amp;"|"&amp;1,Estatística!$AB$14:$AB$133,0)),"")</f>
        <v>3.0433970746920931</v>
      </c>
      <c r="D52" s="202"/>
      <c r="E52" s="247" t="str">
        <f>IFERROR(INDEX(Estatística!$X$14:$X$133,MATCH(selAnalito&amp;"|"&amp;1,Estatística!$AB$14:$AB$133,0)),"")</f>
        <v>1_3s / 2of3_2s / R_4s / 3_1s / 6x</v>
      </c>
      <c r="F52" s="202"/>
      <c r="G52" s="202"/>
      <c r="H52" s="202"/>
      <c r="I52" s="247">
        <f>IFERROR(INDEX(Estatística!$Y$14:$Y$133,MATCH(selAnalito&amp;"|"&amp;1,Estatística!$AB$14:$AB$133,0)),"")</f>
        <v>6</v>
      </c>
      <c r="J52" s="202"/>
      <c r="K52" s="252">
        <f>IFERROR(INDEX(Estatística!$Z$14:$Z$133,MATCH(selAnalito&amp;"|"&amp;1,Estatística!$AB$14:$AB$133,0)),"")</f>
        <v>1</v>
      </c>
      <c r="L52" s="247" t="str">
        <f>IF(NOT(ISNUMBER($C52)),"",mPlanoQC.PlanoQC($C52,"FREQUENCIA"))</f>
        <v>N=6 / R=1, ou N=3 / R=2 conforme a estrategia operacional do laboratorio</v>
      </c>
      <c r="M52" s="202"/>
      <c r="N52" s="202"/>
      <c r="O52" s="202"/>
      <c r="P52" s="255" t="str">
        <f>IFERROR(INDEX(Estatística!$AA$14:$AA$133,MATCH(selAnalito&amp;"|"&amp;1,Estatística!$AB$14:$AB$133,0)),"")</f>
        <v>TOTAL</v>
      </c>
    </row>
    <row r="53" spans="1:21" ht="16.05" customHeight="1" x14ac:dyDescent="0.35">
      <c r="A53" s="246" t="s">
        <v>272</v>
      </c>
      <c r="B53" s="202"/>
      <c r="C53" s="203">
        <f>IFERROR(INDEX(Estatística!$L$14:$L$133,MATCH(selAnalito&amp;"|"&amp;2,Estatística!$AB$14:$AB$133,0)),"")</f>
        <v>3.6486598433504001</v>
      </c>
      <c r="D53" s="202"/>
      <c r="E53" s="247" t="str">
        <f>IFERROR(INDEX(Estatística!$X$14:$X$133,MATCH(selAnalito&amp;"|"&amp;2,Estatística!$AB$14:$AB$133,0)),"")</f>
        <v>1_3s / 2of3_2s / R_4s / 3_1s / 6x</v>
      </c>
      <c r="F53" s="202"/>
      <c r="G53" s="202"/>
      <c r="H53" s="202"/>
      <c r="I53" s="247">
        <f>IFERROR(INDEX(Estatística!$Y$14:$Y$133,MATCH(selAnalito&amp;"|"&amp;2,Estatística!$AB$14:$AB$133,0)),"")</f>
        <v>6</v>
      </c>
      <c r="J53" s="202"/>
      <c r="K53" s="252">
        <f>IFERROR(INDEX(Estatística!$Z$14:$Z$133,MATCH(selAnalito&amp;"|"&amp;2,Estatística!$AB$14:$AB$133,0)),"")</f>
        <v>1</v>
      </c>
      <c r="L53" s="247" t="str">
        <f>IF(NOT(ISNUMBER($C53)),"",mPlanoQC.PlanoQC($C53,"FREQUENCIA"))</f>
        <v>N=6 / R=1, ou N=3 / R=2 conforme a estrategia operacional do laboratorio</v>
      </c>
      <c r="M53" s="202"/>
      <c r="N53" s="202"/>
      <c r="O53" s="202"/>
      <c r="P53" s="255" t="str">
        <f>IFERROR(INDEX(Estatística!$AA$14:$AA$133,MATCH(selAnalito&amp;"|"&amp;2,Estatística!$AB$14:$AB$133,0)),"")</f>
        <v>TOTAL</v>
      </c>
    </row>
    <row r="54" spans="1:21" ht="16.05" customHeight="1" x14ac:dyDescent="0.35">
      <c r="A54" s="248" t="s">
        <v>273</v>
      </c>
      <c r="B54" s="205"/>
      <c r="C54" s="208">
        <f>IFERROR(INDEX(Estatística!$L$14:$L$133,MATCH(selAnalito&amp;"|"&amp;3,Estatística!$AB$14:$AB$133,0)),"")</f>
        <v>3.6660041773751373</v>
      </c>
      <c r="D54" s="205"/>
      <c r="E54" s="249" t="str">
        <f>IFERROR(INDEX(Estatística!$X$14:$X$133,MATCH(selAnalito&amp;"|"&amp;3,Estatística!$AB$14:$AB$133,0)),"")</f>
        <v>1_3s / 2of3_2s / R_4s / 3_1s / 6x</v>
      </c>
      <c r="F54" s="205"/>
      <c r="G54" s="205"/>
      <c r="H54" s="205"/>
      <c r="I54" s="249">
        <f>IFERROR(INDEX(Estatística!$Y$14:$Y$133,MATCH(selAnalito&amp;"|"&amp;3,Estatística!$AB$14:$AB$133,0)),"")</f>
        <v>6</v>
      </c>
      <c r="J54" s="205"/>
      <c r="K54" s="253">
        <f>IFERROR(INDEX(Estatística!$Z$14:$Z$133,MATCH(selAnalito&amp;"|"&amp;3,Estatística!$AB$14:$AB$133,0)),"")</f>
        <v>1</v>
      </c>
      <c r="L54" s="249" t="str">
        <f>IF(NOT(ISNUMBER($C54)),"",mPlanoQC.PlanoQC($C54,"FREQUENCIA"))</f>
        <v>N=6 / R=1, ou N=3 / R=2 conforme a estrategia operacional do laboratorio</v>
      </c>
      <c r="M54" s="205"/>
      <c r="N54" s="205"/>
      <c r="O54" s="205"/>
      <c r="P54" s="254" t="str">
        <f>IFERROR(INDEX(Estatística!$AA$14:$AA$133,MATCH(selAnalito&amp;"|"&amp;3,Estatística!$AB$14:$AB$133,0)),"")</f>
        <v>TOTAL</v>
      </c>
    </row>
    <row r="55" spans="1:21" ht="22.05" customHeight="1" x14ac:dyDescent="0.3">
      <c r="A55" s="206" t="s">
        <v>995</v>
      </c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</row>
    <row r="56" spans="1:21" ht="22.05" customHeight="1" x14ac:dyDescent="0.3">
      <c r="A56" s="209" t="s">
        <v>1014</v>
      </c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</row>
    <row r="57" spans="1:21" ht="15" customHeight="1" x14ac:dyDescent="0.3">
      <c r="A57" s="209" t="s">
        <v>1015</v>
      </c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</row>
    <row r="59" spans="1:21" ht="19.95" customHeight="1" x14ac:dyDescent="0.3">
      <c r="A59" s="250" t="s">
        <v>1016</v>
      </c>
      <c r="B59" s="251"/>
      <c r="C59" s="251"/>
      <c r="D59" s="251"/>
      <c r="E59" s="251"/>
      <c r="F59" s="251"/>
      <c r="G59" s="251"/>
      <c r="H59" s="251"/>
      <c r="I59" s="251"/>
      <c r="J59" s="251"/>
      <c r="K59" s="251"/>
      <c r="L59" s="251"/>
      <c r="M59" s="188"/>
      <c r="N59" s="188"/>
      <c r="O59" s="188"/>
      <c r="P59" s="188"/>
      <c r="Q59" s="188"/>
      <c r="R59" s="188"/>
      <c r="S59" s="188"/>
      <c r="T59" s="188"/>
      <c r="U59" s="188"/>
    </row>
    <row r="60" spans="1:21" ht="25.95" customHeight="1" x14ac:dyDescent="0.3">
      <c r="A60" s="191" t="s">
        <v>174</v>
      </c>
      <c r="B60" s="192"/>
      <c r="C60" s="193" t="s">
        <v>262</v>
      </c>
      <c r="D60" s="192"/>
      <c r="E60" s="193" t="s">
        <v>260</v>
      </c>
      <c r="F60" s="192"/>
      <c r="G60" s="192"/>
      <c r="H60" s="193" t="s">
        <v>1017</v>
      </c>
      <c r="I60" s="192"/>
      <c r="J60" s="141" t="s">
        <v>1018</v>
      </c>
      <c r="K60" s="193" t="s">
        <v>1019</v>
      </c>
      <c r="L60" s="211"/>
    </row>
    <row r="61" spans="1:21" ht="16.05" customHeight="1" x14ac:dyDescent="0.35">
      <c r="A61" s="246" t="s">
        <v>271</v>
      </c>
      <c r="B61" s="202"/>
      <c r="C61" s="203">
        <f>IFERROR(INDEX(Estatística!$H$14:$H$133,MATCH(selAnalito&amp;"|"&amp;1,Estatística!$AB$14:$AB$133,0)),"")</f>
        <v>2.8707860268721235</v>
      </c>
      <c r="D61" s="202"/>
      <c r="E61" s="203">
        <f>IFERROR(INDEX(Estatística!$K$14:$K$133,MATCH(selAnalito&amp;"|"&amp;1,Estatística!$AB$14:$AB$133,0)),"")</f>
        <v>4</v>
      </c>
      <c r="F61" s="202"/>
      <c r="G61" s="202"/>
      <c r="H61" s="203">
        <f>IFERROR(INDEX(Estatística!$N$14:$N$133,MATCH(selAnalito&amp;"|"&amp;1,Estatística!$AB$14:$AB$133,0)),"")</f>
        <v>1.1292139731278765</v>
      </c>
      <c r="I61" s="202"/>
      <c r="J61" s="158">
        <f>IFERROR(INDEX(Estatística!$O$14:$O$133,MATCH(selAnalito&amp;"|"&amp;1,Estatística!$AB$14:$AB$133,0)),"")</f>
        <v>28.230349328196912</v>
      </c>
      <c r="K61" s="247" t="str">
        <f>IFERROR(INDEX(Estatística!$P$14:$P$133,MATCH(selAnalito&amp;"|"&amp;1,Estatística!$AB$14:$AB$133,0)),"")</f>
        <v>Dentro do orcamento</v>
      </c>
      <c r="L61" s="212"/>
    </row>
    <row r="62" spans="1:21" ht="16.05" customHeight="1" x14ac:dyDescent="0.35">
      <c r="A62" s="246" t="s">
        <v>272</v>
      </c>
      <c r="B62" s="202"/>
      <c r="C62" s="203">
        <f>IFERROR(INDEX(Estatística!$H$14:$H$133,MATCH(selAnalito&amp;"|"&amp;2,Estatística!$AB$14:$AB$133,0)),"")</f>
        <v>2.6489684909814897</v>
      </c>
      <c r="D62" s="202"/>
      <c r="E62" s="203">
        <f>IFERROR(INDEX(Estatística!$K$14:$K$133,MATCH(selAnalito&amp;"|"&amp;2,Estatística!$AB$14:$AB$133,0)),"")</f>
        <v>4</v>
      </c>
      <c r="F62" s="202"/>
      <c r="G62" s="202"/>
      <c r="H62" s="203">
        <f>IFERROR(INDEX(Estatística!$N$14:$N$133,MATCH(selAnalito&amp;"|"&amp;2,Estatística!$AB$14:$AB$133,0)),"")</f>
        <v>1.3510315090185103</v>
      </c>
      <c r="I62" s="202"/>
      <c r="J62" s="158">
        <f>IFERROR(INDEX(Estatística!$O$14:$O$133,MATCH(selAnalito&amp;"|"&amp;2,Estatística!$AB$14:$AB$133,0)),"")</f>
        <v>33.775787725462756</v>
      </c>
      <c r="K62" s="247" t="str">
        <f>IFERROR(INDEX(Estatística!$P$14:$P$133,MATCH(selAnalito&amp;"|"&amp;2,Estatística!$AB$14:$AB$133,0)),"")</f>
        <v>Dentro do orcamento</v>
      </c>
      <c r="L62" s="212"/>
    </row>
    <row r="63" spans="1:21" ht="16.05" customHeight="1" x14ac:dyDescent="0.35">
      <c r="A63" s="248" t="s">
        <v>273</v>
      </c>
      <c r="B63" s="205"/>
      <c r="C63" s="208">
        <f>IFERROR(INDEX(Estatística!$H$14:$H$133,MATCH(selAnalito&amp;"|"&amp;3,Estatística!$AB$14:$AB$133,0)),"")</f>
        <v>2.6436916353990232</v>
      </c>
      <c r="D63" s="205"/>
      <c r="E63" s="208">
        <f>IFERROR(INDEX(Estatística!$K$14:$K$133,MATCH(selAnalito&amp;"|"&amp;3,Estatística!$AB$14:$AB$133,0)),"")</f>
        <v>4</v>
      </c>
      <c r="F63" s="205"/>
      <c r="G63" s="205"/>
      <c r="H63" s="208">
        <f>IFERROR(INDEX(Estatística!$N$14:$N$133,MATCH(selAnalito&amp;"|"&amp;3,Estatística!$AB$14:$AB$133,0)),"")</f>
        <v>1.3563083646009768</v>
      </c>
      <c r="I63" s="205"/>
      <c r="J63" s="159">
        <f>IFERROR(INDEX(Estatística!$O$14:$O$133,MATCH(selAnalito&amp;"|"&amp;3,Estatística!$AB$14:$AB$133,0)),"")</f>
        <v>33.907709115024417</v>
      </c>
      <c r="K63" s="249" t="str">
        <f>IFERROR(INDEX(Estatística!$P$14:$P$133,MATCH(selAnalito&amp;"|"&amp;3,Estatística!$AB$14:$AB$133,0)),"")</f>
        <v>Dentro do orcamento</v>
      </c>
      <c r="L63" s="217"/>
    </row>
    <row r="65" spans="1:21" ht="19.95" customHeight="1" x14ac:dyDescent="0.3">
      <c r="A65" s="250" t="s">
        <v>1020</v>
      </c>
      <c r="B65" s="251"/>
      <c r="C65" s="251"/>
      <c r="D65" s="251"/>
      <c r="E65" s="251"/>
      <c r="F65" s="188"/>
      <c r="G65" s="188"/>
      <c r="H65" s="188"/>
      <c r="I65" s="188"/>
      <c r="J65" s="188"/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88"/>
    </row>
    <row r="66" spans="1:21" ht="16.05" customHeight="1" x14ac:dyDescent="0.35">
      <c r="A66" s="213" t="s">
        <v>1021</v>
      </c>
      <c r="B66" s="214"/>
      <c r="C66" s="214"/>
      <c r="D66" s="214"/>
      <c r="E66" s="163">
        <f>COUNTIF(Estatística!$P$14:$P$133,"ETp excedido")</f>
        <v>9</v>
      </c>
    </row>
    <row r="67" spans="1:21" ht="16.05" customHeight="1" x14ac:dyDescent="0.35">
      <c r="A67" s="213" t="s">
        <v>1022</v>
      </c>
      <c r="B67" s="214"/>
      <c r="C67" s="214"/>
      <c r="D67" s="214"/>
      <c r="E67" s="163">
        <f>COUNTIF(Estatística!$P$14:$P$133,"Margem critica")</f>
        <v>0</v>
      </c>
    </row>
    <row r="68" spans="1:21" ht="16.05" customHeight="1" x14ac:dyDescent="0.35">
      <c r="A68" s="215" t="s">
        <v>1023</v>
      </c>
      <c r="B68" s="216"/>
      <c r="C68" s="216"/>
      <c r="D68" s="216"/>
      <c r="E68" s="162">
        <f>COUNTIF(Estatística!$P$14:$P$133,"Dentro do orcamento")</f>
        <v>30</v>
      </c>
    </row>
    <row r="70" spans="1:21" ht="19.95" customHeight="1" x14ac:dyDescent="0.3">
      <c r="A70" s="250" t="s">
        <v>1024</v>
      </c>
      <c r="B70" s="251"/>
      <c r="C70" s="251"/>
      <c r="D70" s="251"/>
      <c r="E70" s="251"/>
      <c r="F70" s="251"/>
      <c r="G70" s="251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88"/>
      <c r="T70" s="188"/>
      <c r="U70" s="188"/>
    </row>
    <row r="71" spans="1:21" ht="25.95" customHeight="1" x14ac:dyDescent="0.3">
      <c r="A71" s="191" t="s">
        <v>263</v>
      </c>
      <c r="B71" s="192"/>
      <c r="C71" s="193" t="s">
        <v>997</v>
      </c>
      <c r="D71" s="192"/>
      <c r="E71" s="193" t="s">
        <v>1025</v>
      </c>
      <c r="F71" s="192"/>
      <c r="G71" s="211"/>
    </row>
    <row r="72" spans="1:21" ht="16.05" customHeight="1" x14ac:dyDescent="0.35">
      <c r="A72" s="218">
        <v>6</v>
      </c>
      <c r="B72" s="202"/>
      <c r="C72" s="219">
        <f>mPlanoQC.DPMdoSigma($A72)</f>
        <v>3.3976731247387093</v>
      </c>
      <c r="D72" s="202"/>
      <c r="E72" s="220">
        <f>mPlanoQC.RendimentoDoSigma($A72)</f>
        <v>99.999660232687532</v>
      </c>
      <c r="F72" s="202"/>
      <c r="G72" s="212"/>
    </row>
    <row r="73" spans="1:21" ht="16.05" customHeight="1" x14ac:dyDescent="0.35">
      <c r="A73" s="218">
        <v>5.5</v>
      </c>
      <c r="B73" s="202"/>
      <c r="C73" s="219">
        <f>mPlanoQC.DPMdoSigma($A73)</f>
        <v>31.671241833119979</v>
      </c>
      <c r="D73" s="202"/>
      <c r="E73" s="220">
        <f>mPlanoQC.RendimentoDoSigma($A73)</f>
        <v>99.996832875816693</v>
      </c>
      <c r="F73" s="202"/>
      <c r="G73" s="212"/>
    </row>
    <row r="74" spans="1:21" ht="16.05" customHeight="1" x14ac:dyDescent="0.35">
      <c r="A74" s="218">
        <v>5</v>
      </c>
      <c r="B74" s="202"/>
      <c r="C74" s="219">
        <f>mPlanoQC.DPMdoSigma($A74)</f>
        <v>232.62907903554009</v>
      </c>
      <c r="D74" s="202"/>
      <c r="E74" s="220">
        <f>mPlanoQC.RendimentoDoSigma($A74)</f>
        <v>99.976737092096442</v>
      </c>
      <c r="F74" s="202"/>
      <c r="G74" s="212"/>
    </row>
    <row r="75" spans="1:21" ht="16.05" customHeight="1" x14ac:dyDescent="0.35">
      <c r="A75" s="218">
        <v>4.5</v>
      </c>
      <c r="B75" s="202"/>
      <c r="C75" s="219">
        <f>mPlanoQC.DPMdoSigma($A75)</f>
        <v>1349.8980316301036</v>
      </c>
      <c r="D75" s="202"/>
      <c r="E75" s="220">
        <f>mPlanoQC.RendimentoDoSigma($A75)</f>
        <v>99.865010196836991</v>
      </c>
      <c r="F75" s="202"/>
      <c r="G75" s="212"/>
    </row>
    <row r="76" spans="1:21" ht="16.05" customHeight="1" x14ac:dyDescent="0.35">
      <c r="A76" s="218">
        <v>4</v>
      </c>
      <c r="B76" s="202"/>
      <c r="C76" s="219">
        <f>mPlanoQC.DPMdoSigma($A76)</f>
        <v>6209.6653257761591</v>
      </c>
      <c r="D76" s="202"/>
      <c r="E76" s="220">
        <f>mPlanoQC.RendimentoDoSigma($A76)</f>
        <v>99.379033467422389</v>
      </c>
      <c r="F76" s="202"/>
      <c r="G76" s="212"/>
    </row>
    <row r="77" spans="1:21" ht="16.05" customHeight="1" x14ac:dyDescent="0.35">
      <c r="A77" s="218">
        <v>3.5</v>
      </c>
      <c r="B77" s="202"/>
      <c r="C77" s="219">
        <f>mPlanoQC.DPMdoSigma($A77)</f>
        <v>22750.131948179209</v>
      </c>
      <c r="D77" s="202"/>
      <c r="E77" s="220">
        <f>mPlanoQC.RendimentoDoSigma($A77)</f>
        <v>97.724986805182084</v>
      </c>
      <c r="F77" s="202"/>
      <c r="G77" s="212"/>
    </row>
    <row r="78" spans="1:21" ht="16.05" customHeight="1" x14ac:dyDescent="0.35">
      <c r="A78" s="218">
        <v>3</v>
      </c>
      <c r="B78" s="202"/>
      <c r="C78" s="219">
        <f>mPlanoQC.DPMdoSigma($A78)</f>
        <v>66807.201268858087</v>
      </c>
      <c r="D78" s="202"/>
      <c r="E78" s="220">
        <f>mPlanoQC.RendimentoDoSigma($A78)</f>
        <v>93.319279873114198</v>
      </c>
      <c r="F78" s="202"/>
      <c r="G78" s="212"/>
    </row>
    <row r="79" spans="1:21" ht="16.05" customHeight="1" x14ac:dyDescent="0.35">
      <c r="A79" s="218">
        <v>2.5</v>
      </c>
      <c r="B79" s="202"/>
      <c r="C79" s="219">
        <f>mPlanoQC.DPMdoSigma($A79)</f>
        <v>158655.25393145697</v>
      </c>
      <c r="D79" s="202"/>
      <c r="E79" s="220">
        <f>mPlanoQC.RendimentoDoSigma($A79)</f>
        <v>84.134474606854297</v>
      </c>
      <c r="F79" s="202"/>
      <c r="G79" s="212"/>
    </row>
    <row r="80" spans="1:21" ht="16.05" customHeight="1" x14ac:dyDescent="0.35">
      <c r="A80" s="223">
        <v>2</v>
      </c>
      <c r="B80" s="205"/>
      <c r="C80" s="224">
        <f>mPlanoQC.DPMdoSigma($A80)</f>
        <v>308537.5387259869</v>
      </c>
      <c r="D80" s="205"/>
      <c r="E80" s="225">
        <f>mPlanoQC.RendimentoDoSigma($A80)</f>
        <v>69.146246127401312</v>
      </c>
      <c r="F80" s="205"/>
      <c r="G80" s="217"/>
    </row>
    <row r="82" spans="1:21" ht="19.95" customHeight="1" x14ac:dyDescent="0.3">
      <c r="A82" s="187" t="s">
        <v>1026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188"/>
      <c r="U82" s="188"/>
    </row>
    <row r="83" spans="1:21" ht="15" customHeight="1" x14ac:dyDescent="0.3">
      <c r="A83" s="189" t="s">
        <v>1027</v>
      </c>
      <c r="B83" s="190"/>
      <c r="C83" s="190"/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</row>
    <row r="84" spans="1:21" ht="15" customHeight="1" x14ac:dyDescent="0.3">
      <c r="A84" s="221" t="s">
        <v>1028</v>
      </c>
      <c r="B84" s="222"/>
      <c r="C84" s="222"/>
      <c r="D84" s="222"/>
      <c r="E84" s="222"/>
      <c r="F84" s="222"/>
      <c r="G84" s="222"/>
      <c r="H84" s="222"/>
      <c r="I84" s="222"/>
      <c r="J84" s="222"/>
      <c r="K84" s="222"/>
      <c r="L84" s="222"/>
      <c r="M84" s="222"/>
      <c r="N84" s="222"/>
      <c r="O84" s="222"/>
    </row>
    <row r="85" spans="1:21" ht="15" customHeight="1" x14ac:dyDescent="0.3">
      <c r="A85" s="221" t="s">
        <v>1029</v>
      </c>
      <c r="B85" s="222"/>
      <c r="C85" s="222"/>
      <c r="D85" s="222"/>
      <c r="E85" s="222"/>
      <c r="F85" s="222"/>
      <c r="G85" s="222"/>
      <c r="H85" s="222"/>
      <c r="I85" s="222"/>
      <c r="J85" s="222"/>
      <c r="K85" s="222"/>
      <c r="L85" s="222"/>
      <c r="M85" s="222"/>
      <c r="N85" s="222"/>
      <c r="O85" s="222"/>
    </row>
    <row r="86" spans="1:21" ht="15" customHeight="1" x14ac:dyDescent="0.3">
      <c r="A86" s="221" t="s">
        <v>1030</v>
      </c>
      <c r="B86" s="222"/>
      <c r="C86" s="222"/>
      <c r="D86" s="222"/>
      <c r="E86" s="222"/>
      <c r="F86" s="222"/>
      <c r="G86" s="222"/>
      <c r="H86" s="222"/>
      <c r="I86" s="222"/>
      <c r="J86" s="222"/>
      <c r="K86" s="222"/>
      <c r="L86" s="222"/>
      <c r="M86" s="222"/>
      <c r="N86" s="222"/>
      <c r="O86" s="222"/>
    </row>
    <row r="87" spans="1:21" ht="15" customHeight="1" x14ac:dyDescent="0.3">
      <c r="A87" s="221" t="s">
        <v>1031</v>
      </c>
      <c r="B87" s="222"/>
      <c r="C87" s="222"/>
      <c r="D87" s="222"/>
      <c r="E87" s="222"/>
      <c r="F87" s="222"/>
      <c r="G87" s="222"/>
      <c r="H87" s="222"/>
      <c r="I87" s="222"/>
      <c r="J87" s="222"/>
      <c r="K87" s="222"/>
      <c r="L87" s="222"/>
      <c r="M87" s="222"/>
      <c r="N87" s="222"/>
      <c r="O87" s="222"/>
    </row>
  </sheetData>
  <sheetProtection algorithmName="SHA-512" hashValue="+jprkXk661K+E38FGjyclNpGAqh/Tp85DY3Se8bWaaW+sEFz4wJt1D5WyW4IvvT+JsH7+q0H5GHdmSDxuI8ajA==" saltValue="RRXpgdjqgp8+f6wQacbRPA==" spinCount="100000" sheet="1" scenarios="1"/>
  <mergeCells count="122">
    <mergeCell ref="A87:O87"/>
    <mergeCell ref="A82:U82"/>
    <mergeCell ref="A83:O83"/>
    <mergeCell ref="A84:O84"/>
    <mergeCell ref="A85:O85"/>
    <mergeCell ref="A86:O86"/>
    <mergeCell ref="A79:B79"/>
    <mergeCell ref="C79:D79"/>
    <mergeCell ref="E79:G79"/>
    <mergeCell ref="A80:B80"/>
    <mergeCell ref="C80:D80"/>
    <mergeCell ref="E80:G80"/>
    <mergeCell ref="A77:B77"/>
    <mergeCell ref="C77:D77"/>
    <mergeCell ref="E77:G77"/>
    <mergeCell ref="A78:B78"/>
    <mergeCell ref="C78:D78"/>
    <mergeCell ref="E78:G78"/>
    <mergeCell ref="A75:B75"/>
    <mergeCell ref="C75:D75"/>
    <mergeCell ref="E75:G75"/>
    <mergeCell ref="A76:B76"/>
    <mergeCell ref="C76:D76"/>
    <mergeCell ref="E76:G76"/>
    <mergeCell ref="A73:B73"/>
    <mergeCell ref="C73:D73"/>
    <mergeCell ref="E73:G73"/>
    <mergeCell ref="A74:B74"/>
    <mergeCell ref="C74:D74"/>
    <mergeCell ref="E74:G74"/>
    <mergeCell ref="A71:B71"/>
    <mergeCell ref="C71:D71"/>
    <mergeCell ref="E71:G71"/>
    <mergeCell ref="A72:B72"/>
    <mergeCell ref="C72:D72"/>
    <mergeCell ref="E72:G72"/>
    <mergeCell ref="A65:U65"/>
    <mergeCell ref="A66:D66"/>
    <mergeCell ref="A67:D67"/>
    <mergeCell ref="A68:D68"/>
    <mergeCell ref="A70:U70"/>
    <mergeCell ref="A63:B63"/>
    <mergeCell ref="C63:D63"/>
    <mergeCell ref="E63:G63"/>
    <mergeCell ref="H63:I63"/>
    <mergeCell ref="K63:L63"/>
    <mergeCell ref="A62:B62"/>
    <mergeCell ref="C62:D62"/>
    <mergeCell ref="E62:G62"/>
    <mergeCell ref="H62:I62"/>
    <mergeCell ref="K62:L62"/>
    <mergeCell ref="A61:B61"/>
    <mergeCell ref="C61:D61"/>
    <mergeCell ref="E61:G61"/>
    <mergeCell ref="H61:I61"/>
    <mergeCell ref="K61:L61"/>
    <mergeCell ref="A55:O55"/>
    <mergeCell ref="A56:O56"/>
    <mergeCell ref="A57:O57"/>
    <mergeCell ref="A59:U59"/>
    <mergeCell ref="A60:B60"/>
    <mergeCell ref="C60:D60"/>
    <mergeCell ref="E60:G60"/>
    <mergeCell ref="H60:I60"/>
    <mergeCell ref="K60:L60"/>
    <mergeCell ref="A54:B54"/>
    <mergeCell ref="C54:D54"/>
    <mergeCell ref="E54:H54"/>
    <mergeCell ref="I54:J54"/>
    <mergeCell ref="L54:O54"/>
    <mergeCell ref="A53:B53"/>
    <mergeCell ref="C53:D53"/>
    <mergeCell ref="E53:H53"/>
    <mergeCell ref="I53:J53"/>
    <mergeCell ref="L53:O53"/>
    <mergeCell ref="A52:B52"/>
    <mergeCell ref="C52:D52"/>
    <mergeCell ref="E52:H52"/>
    <mergeCell ref="I52:J52"/>
    <mergeCell ref="L52:O52"/>
    <mergeCell ref="M47:N47"/>
    <mergeCell ref="A48:O48"/>
    <mergeCell ref="A50:U50"/>
    <mergeCell ref="A51:B51"/>
    <mergeCell ref="C51:D51"/>
    <mergeCell ref="E51:H51"/>
    <mergeCell ref="I51:J51"/>
    <mergeCell ref="L51:O51"/>
    <mergeCell ref="A47:B47"/>
    <mergeCell ref="C47:D47"/>
    <mergeCell ref="E47:G47"/>
    <mergeCell ref="H47:I47"/>
    <mergeCell ref="K47:L47"/>
    <mergeCell ref="M45:N45"/>
    <mergeCell ref="A46:B46"/>
    <mergeCell ref="C46:D46"/>
    <mergeCell ref="E46:G46"/>
    <mergeCell ref="H46:I46"/>
    <mergeCell ref="K46:L46"/>
    <mergeCell ref="M46:N46"/>
    <mergeCell ref="A45:B45"/>
    <mergeCell ref="C45:D45"/>
    <mergeCell ref="E45:G45"/>
    <mergeCell ref="H45:I45"/>
    <mergeCell ref="K45:L45"/>
    <mergeCell ref="A1:U1"/>
    <mergeCell ref="A2:U2"/>
    <mergeCell ref="L5:U5"/>
    <mergeCell ref="O3:U4"/>
    <mergeCell ref="A42:U42"/>
    <mergeCell ref="A43:O43"/>
    <mergeCell ref="A44:B44"/>
    <mergeCell ref="C44:D44"/>
    <mergeCell ref="E44:G44"/>
    <mergeCell ref="H44:I44"/>
    <mergeCell ref="K44:L44"/>
    <mergeCell ref="M44:N44"/>
    <mergeCell ref="C3:D3"/>
    <mergeCell ref="H3:I3"/>
    <mergeCell ref="A4:B4"/>
    <mergeCell ref="A5:J5"/>
    <mergeCell ref="C4:E4"/>
  </mergeCells>
  <conditionalFormatting sqref="I7:I9">
    <cfRule type="cellIs" dxfId="20" priority="1" stopIfTrue="1" operator="greaterThanOrEqual">
      <formula>4</formula>
    </cfRule>
    <cfRule type="cellIs" dxfId="19" priority="2" stopIfTrue="1" operator="lessThan">
      <formula>3</formula>
    </cfRule>
  </conditionalFormatting>
  <conditionalFormatting sqref="J7:J9">
    <cfRule type="cellIs" dxfId="18" priority="3" stopIfTrue="1" operator="equal">
      <formula>"OK"</formula>
    </cfRule>
    <cfRule type="cellIs" dxfId="17" priority="4" stopIfTrue="1" operator="equal">
      <formula>"REJEITADO"</formula>
    </cfRule>
    <cfRule type="cellIs" dxfId="16" priority="5" stopIfTrue="1" operator="equal">
      <formula>"SEM MÉDIA/DP"</formula>
    </cfRule>
  </conditionalFormatting>
  <conditionalFormatting sqref="M7:R9">
    <cfRule type="cellIs" dxfId="15" priority="6" stopIfTrue="1" operator="equal">
      <formula>0</formula>
    </cfRule>
  </conditionalFormatting>
  <conditionalFormatting sqref="M7:Q9">
    <cfRule type="cellIs" dxfId="14" priority="7" stopIfTrue="1" operator="greaterThan">
      <formula>0</formula>
    </cfRule>
  </conditionalFormatting>
  <conditionalFormatting sqref="M6">
    <cfRule type="expression" dxfId="13" priority="8" stopIfTrue="1">
      <formula>SUM($M$7:$M$9)&gt;0</formula>
    </cfRule>
    <cfRule type="expression" dxfId="12" priority="9" stopIfTrue="1">
      <formula>SUMPRODUCT((regrasRotulos=M6)*regrasAtivas)=1</formula>
    </cfRule>
  </conditionalFormatting>
  <conditionalFormatting sqref="N6">
    <cfRule type="expression" dxfId="11" priority="10" stopIfTrue="1">
      <formula>SUM($N$7:$N$9)&gt;0</formula>
    </cfRule>
    <cfRule type="expression" dxfId="10" priority="11" stopIfTrue="1">
      <formula>SUMPRODUCT((regrasRotulos=N6)*regrasAtivas)=1</formula>
    </cfRule>
  </conditionalFormatting>
  <conditionalFormatting sqref="O6">
    <cfRule type="expression" dxfId="9" priority="12" stopIfTrue="1">
      <formula>SUM($O$7:$O$9)&gt;0</formula>
    </cfRule>
    <cfRule type="expression" dxfId="8" priority="13" stopIfTrue="1">
      <formula>SUMPRODUCT((regrasRotulos=O6)*regrasAtivas)=1</formula>
    </cfRule>
  </conditionalFormatting>
  <conditionalFormatting sqref="P6">
    <cfRule type="expression" dxfId="7" priority="14" stopIfTrue="1">
      <formula>SUM($P$7:$P$9)&gt;0</formula>
    </cfRule>
    <cfRule type="expression" dxfId="6" priority="15" stopIfTrue="1">
      <formula>SUMPRODUCT((regrasRotulos=P6)*regrasAtivas)=1</formula>
    </cfRule>
  </conditionalFormatting>
  <conditionalFormatting sqref="Q6">
    <cfRule type="expression" dxfId="5" priority="16" stopIfTrue="1">
      <formula>SUM($Q$7:$Q$9)&gt;0</formula>
    </cfRule>
    <cfRule type="expression" dxfId="4" priority="17" stopIfTrue="1">
      <formula>SUMPRODUCT((regrasRotulos=Q6)*regrasAtivas)=1</formula>
    </cfRule>
  </conditionalFormatting>
  <conditionalFormatting sqref="O3:U4">
    <cfRule type="expression" dxfId="2" priority="18" stopIfTrue="1">
      <formula>LEFT($O$3,1)="⛔"</formula>
    </cfRule>
    <cfRule type="expression" dxfId="1" priority="19" stopIfTrue="1">
      <formula>ISNUMBER(SEARCH("Nenhuma corrida",$O$3))</formula>
    </cfRule>
    <cfRule type="expression" dxfId="0" priority="20" stopIfTrue="1">
      <formula>$O$3&lt;&gt;""</formula>
    </cfRule>
  </conditionalFormatting>
  <dataValidations count="5">
    <dataValidation type="whole" operator="greaterThanOrEqual" allowBlank="1" showInputMessage="1" showErrorMessage="1" sqref="B3" xr:uid="{DF51B2D8-A970-44D8-AC89-84E507B7C27D}">
      <formula1>1</formula1>
    </dataValidation>
    <dataValidation type="list" allowBlank="1" showInputMessage="1" promptTitle="Lote em análise" prompt="Escolha o lote. Média, DP, limites, gráfico, Westgard e Estatística passam a usar SÓ os parâmetros deste lote." sqref="H3" xr:uid="{DA8C9729-6246-480D-925C-AAD978967DD6}">
      <formula1>lstLotes</formula1>
    </dataValidation>
    <dataValidation type="list" allowBlank="1" showInputMessage="1" promptTitle="Ano" prompt="Ano do período. Ano + Período preenchem as datas De/Até (G3/G4)." sqref="K3" xr:uid="{87FF74FD-0EDB-454A-8565-FFA7672AFF3D}">
      <formula1>lstAnosCIQ</formula1>
    </dataValidation>
    <dataValidation type="list" allowBlank="1" showInputMessage="1" promptTitle="Período" prompt="Tudo = todos os anos · Ano inteiro = o ano de K3 · T1..T4 = trimestre · S1/S2 = semestre · Jan..Dez = mês._x000a_Escolher aqui reescreve De/Até. Para um intervalo qualquer, digite direto em G3/G4." sqref="K4" xr:uid="{B2FF6649-0388-4FD3-AC2B-C1A012753C69}">
      <formula1>"Tudo (sem filtro),Ano inteiro,T1,T2,T3,T4,S1,S2,Jan,Fev,Mar,Abr,Mai,Jun,Jul,Ago,Set,Out,Nov,Dez"</formula1>
    </dataValidation>
    <dataValidation type="list" allowBlank="1" showInputMessage="1" promptTitle="Analito" prompt="Escolha o analito na lista (ou use o spinner ▲▼)." sqref="C3" xr:uid="{4C26B5F5-9DCE-4333-9DB4-FC512E504970}">
      <formula1>lstAnalitos</formula1>
    </dataValidation>
  </dataValidations>
  <hyperlinks>
    <hyperlink ref="A84" r:id="rId1" tooltip="Westgard et al., 2018 — Sigma metrics e tabela Sigma × DPM ↗" xr:uid="{9D718407-795A-4B4C-BD8E-B1D02CF97A4E}"/>
    <hyperlink ref="A85" r:id="rId2" tooltip="Westgard &amp; Westgard, 2019 — Sigma Rules with Run Sizes ↗" xr:uid="{3B6D52A7-0763-464D-842C-880195260DF5}"/>
    <hyperlink ref="A86" r:id="rId3" tooltip="Peng et al., 2021 — aplicação prática de regras, N e run size ↗" xr:uid="{E7757F7E-77F6-452E-9990-B729F8660E31}"/>
    <hyperlink ref="A87" r:id="rId4" tooltip="CLSI C24-Ed4 — SQC baseado em risco (base conceitual) ↗" xr:uid="{24FC6740-C729-49ED-AE5E-9FBE37FCBBBC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PainelMudou">
                <anchor>
                  <from>
                    <xdr:col>4</xdr:col>
                    <xdr:colOff>22860</xdr:colOff>
                    <xdr:row>2</xdr:row>
                    <xdr:rowOff>0</xdr:rowOff>
                  </from>
                  <to>
                    <xdr:col>4</xdr:col>
                    <xdr:colOff>281940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T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20" ht="40.200000000000003" customHeight="1" x14ac:dyDescent="0.3">
      <c r="A1" s="169" t="s">
        <v>274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25"/>
      <c r="O1" s="125"/>
      <c r="P1" s="125"/>
      <c r="Q1" s="125"/>
      <c r="R1" s="125"/>
      <c r="S1" s="125"/>
      <c r="T1" s="125"/>
    </row>
    <row r="2" spans="1:20" ht="19.95" customHeight="1" x14ac:dyDescent="0.3">
      <c r="A2" s="178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</row>
    <row r="3" spans="1:20" ht="28.2" customHeight="1" x14ac:dyDescent="0.3">
      <c r="A3" s="15" t="s">
        <v>275</v>
      </c>
      <c r="B3" s="15" t="s">
        <v>173</v>
      </c>
      <c r="C3" s="15" t="s">
        <v>88</v>
      </c>
      <c r="D3" s="15" t="s">
        <v>174</v>
      </c>
      <c r="E3" s="15" t="s">
        <v>276</v>
      </c>
      <c r="F3" s="15" t="s">
        <v>277</v>
      </c>
      <c r="G3" s="15" t="s">
        <v>278</v>
      </c>
      <c r="H3" s="15" t="s">
        <v>279</v>
      </c>
      <c r="I3" s="15" t="s">
        <v>280</v>
      </c>
      <c r="J3" s="15" t="s">
        <v>281</v>
      </c>
      <c r="K3" s="15" t="s">
        <v>282</v>
      </c>
      <c r="L3" s="15" t="s">
        <v>283</v>
      </c>
      <c r="M3" s="15" t="s">
        <v>264</v>
      </c>
    </row>
    <row r="4" spans="1:20" ht="22.2" customHeight="1" x14ac:dyDescent="0.3">
      <c r="A4" s="35">
        <v>1</v>
      </c>
      <c r="B4" s="40">
        <v>45796</v>
      </c>
      <c r="C4" s="46" t="s">
        <v>122</v>
      </c>
      <c r="D4" s="39">
        <v>1</v>
      </c>
      <c r="E4" s="39">
        <v>20</v>
      </c>
      <c r="F4" s="39">
        <v>3.0567000000000002</v>
      </c>
      <c r="G4" s="39">
        <v>3.0249000000000001</v>
      </c>
      <c r="H4" s="39">
        <v>3.0091000000000001</v>
      </c>
      <c r="I4" s="39" t="s">
        <v>351</v>
      </c>
      <c r="J4" s="47" t="s">
        <v>284</v>
      </c>
      <c r="K4" s="48"/>
      <c r="L4" s="48"/>
      <c r="M4" s="37" t="s">
        <v>285</v>
      </c>
    </row>
    <row r="5" spans="1:20" ht="22.2" customHeight="1" x14ac:dyDescent="0.3">
      <c r="A5" s="35">
        <v>2</v>
      </c>
      <c r="B5" s="40">
        <v>45803</v>
      </c>
      <c r="C5" s="46" t="s">
        <v>122</v>
      </c>
      <c r="D5" s="39"/>
      <c r="E5" s="39"/>
      <c r="F5" s="39"/>
      <c r="G5" s="39"/>
      <c r="H5" s="39"/>
      <c r="I5" s="39" t="s">
        <v>286</v>
      </c>
      <c r="J5" s="47" t="s">
        <v>287</v>
      </c>
      <c r="K5" s="48"/>
      <c r="L5" s="48"/>
      <c r="M5" s="37" t="s">
        <v>285</v>
      </c>
    </row>
    <row r="6" spans="1:20" ht="22.2" customHeight="1" x14ac:dyDescent="0.3">
      <c r="A6" s="35">
        <v>3</v>
      </c>
      <c r="B6" s="40"/>
      <c r="C6" s="46"/>
      <c r="D6" s="39"/>
      <c r="E6" s="39"/>
      <c r="F6" s="39"/>
      <c r="G6" s="39"/>
      <c r="H6" s="39"/>
      <c r="I6" s="39"/>
      <c r="J6" s="47"/>
      <c r="K6" s="48"/>
      <c r="L6" s="48"/>
      <c r="M6" s="37"/>
    </row>
    <row r="7" spans="1:20" ht="22.2" customHeight="1" x14ac:dyDescent="0.3">
      <c r="A7" s="35">
        <v>4</v>
      </c>
      <c r="B7" s="40"/>
      <c r="C7" s="46"/>
      <c r="D7" s="39"/>
      <c r="E7" s="39"/>
      <c r="F7" s="39"/>
      <c r="G7" s="39"/>
      <c r="H7" s="39"/>
      <c r="I7" s="39"/>
      <c r="J7" s="47"/>
      <c r="K7" s="48"/>
      <c r="L7" s="48"/>
      <c r="M7" s="37"/>
    </row>
    <row r="8" spans="1:20" ht="22.2" customHeight="1" x14ac:dyDescent="0.3">
      <c r="A8" s="35">
        <v>5</v>
      </c>
      <c r="B8" s="40"/>
      <c r="C8" s="46"/>
      <c r="D8" s="39"/>
      <c r="E8" s="39"/>
      <c r="F8" s="39"/>
      <c r="G8" s="39"/>
      <c r="H8" s="39"/>
      <c r="I8" s="39"/>
      <c r="J8" s="47"/>
      <c r="K8" s="48"/>
      <c r="L8" s="48"/>
      <c r="M8" s="37"/>
    </row>
    <row r="9" spans="1:20" ht="22.2" customHeight="1" x14ac:dyDescent="0.3">
      <c r="A9" s="35">
        <v>6</v>
      </c>
      <c r="B9" s="40"/>
      <c r="C9" s="46"/>
      <c r="D9" s="39"/>
      <c r="E9" s="39"/>
      <c r="F9" s="39"/>
      <c r="G9" s="39"/>
      <c r="H9" s="39"/>
      <c r="I9" s="39"/>
      <c r="J9" s="47"/>
      <c r="K9" s="48"/>
      <c r="L9" s="48"/>
      <c r="M9" s="37"/>
    </row>
    <row r="10" spans="1:20" ht="22.2" customHeight="1" x14ac:dyDescent="0.3">
      <c r="A10" s="35">
        <v>7</v>
      </c>
      <c r="B10" s="40"/>
      <c r="C10" s="46"/>
      <c r="D10" s="39"/>
      <c r="E10" s="39"/>
      <c r="F10" s="39"/>
      <c r="G10" s="39"/>
      <c r="H10" s="39"/>
      <c r="I10" s="39"/>
      <c r="J10" s="47"/>
      <c r="K10" s="48"/>
      <c r="L10" s="48"/>
      <c r="M10" s="37"/>
    </row>
    <row r="11" spans="1:20" ht="22.2" customHeight="1" x14ac:dyDescent="0.3">
      <c r="A11" s="35">
        <v>8</v>
      </c>
      <c r="B11" s="40"/>
      <c r="C11" s="46"/>
      <c r="D11" s="39"/>
      <c r="E11" s="39"/>
      <c r="F11" s="39"/>
      <c r="G11" s="39"/>
      <c r="H11" s="39"/>
      <c r="I11" s="39"/>
      <c r="J11" s="47"/>
      <c r="K11" s="48"/>
      <c r="L11" s="48"/>
      <c r="M11" s="37"/>
    </row>
    <row r="12" spans="1:20" ht="22.2" customHeight="1" x14ac:dyDescent="0.3">
      <c r="A12" s="35">
        <v>9</v>
      </c>
      <c r="B12" s="40"/>
      <c r="C12" s="46"/>
      <c r="D12" s="39"/>
      <c r="E12" s="39"/>
      <c r="F12" s="39"/>
      <c r="G12" s="39"/>
      <c r="H12" s="39"/>
      <c r="I12" s="39"/>
      <c r="J12" s="47"/>
      <c r="K12" s="48"/>
      <c r="L12" s="48"/>
      <c r="M12" s="37"/>
    </row>
    <row r="13" spans="1:20" ht="22.2" customHeight="1" x14ac:dyDescent="0.3">
      <c r="A13" s="35">
        <v>10</v>
      </c>
      <c r="B13" s="40"/>
      <c r="C13" s="46"/>
      <c r="D13" s="39"/>
      <c r="E13" s="39"/>
      <c r="F13" s="39"/>
      <c r="G13" s="39"/>
      <c r="H13" s="39"/>
      <c r="I13" s="39"/>
      <c r="J13" s="47"/>
      <c r="K13" s="48"/>
      <c r="L13" s="48"/>
      <c r="M13" s="37"/>
    </row>
    <row r="14" spans="1:20" ht="22.2" customHeight="1" x14ac:dyDescent="0.3">
      <c r="A14" s="35">
        <v>11</v>
      </c>
      <c r="B14" s="40"/>
      <c r="C14" s="46"/>
      <c r="D14" s="39"/>
      <c r="E14" s="39"/>
      <c r="F14" s="39"/>
      <c r="G14" s="39"/>
      <c r="H14" s="39"/>
      <c r="I14" s="39"/>
      <c r="J14" s="47"/>
      <c r="K14" s="48"/>
      <c r="L14" s="48"/>
      <c r="M14" s="37"/>
    </row>
    <row r="15" spans="1:20" ht="22.2" customHeight="1" x14ac:dyDescent="0.3">
      <c r="A15" s="35">
        <v>12</v>
      </c>
      <c r="B15" s="40"/>
      <c r="C15" s="46"/>
      <c r="D15" s="39"/>
      <c r="E15" s="39"/>
      <c r="F15" s="39"/>
      <c r="G15" s="39"/>
      <c r="H15" s="39"/>
      <c r="I15" s="39"/>
      <c r="J15" s="47"/>
      <c r="K15" s="48"/>
      <c r="L15" s="48"/>
      <c r="M15" s="37"/>
    </row>
    <row r="16" spans="1:20" ht="22.2" customHeight="1" x14ac:dyDescent="0.3">
      <c r="A16" s="35">
        <v>13</v>
      </c>
      <c r="B16" s="40"/>
      <c r="C16" s="46"/>
      <c r="D16" s="39"/>
      <c r="E16" s="39"/>
      <c r="F16" s="39"/>
      <c r="G16" s="39"/>
      <c r="H16" s="39"/>
      <c r="I16" s="39"/>
      <c r="J16" s="47"/>
      <c r="K16" s="48"/>
      <c r="L16" s="48"/>
      <c r="M16" s="37"/>
    </row>
    <row r="17" spans="1:13" ht="22.2" customHeight="1" x14ac:dyDescent="0.3">
      <c r="A17" s="35">
        <v>14</v>
      </c>
      <c r="B17" s="40"/>
      <c r="C17" s="46"/>
      <c r="D17" s="39"/>
      <c r="E17" s="39"/>
      <c r="F17" s="39"/>
      <c r="G17" s="39"/>
      <c r="H17" s="39"/>
      <c r="I17" s="39"/>
      <c r="J17" s="47"/>
      <c r="K17" s="48"/>
      <c r="L17" s="48"/>
      <c r="M17" s="37"/>
    </row>
    <row r="18" spans="1:13" ht="22.2" customHeight="1" x14ac:dyDescent="0.3">
      <c r="A18" s="35">
        <v>15</v>
      </c>
      <c r="B18" s="40"/>
      <c r="C18" s="46"/>
      <c r="D18" s="39"/>
      <c r="E18" s="39"/>
      <c r="F18" s="39"/>
      <c r="G18" s="39"/>
      <c r="H18" s="39"/>
      <c r="I18" s="39"/>
      <c r="J18" s="47"/>
      <c r="K18" s="48"/>
      <c r="L18" s="48"/>
      <c r="M18" s="37"/>
    </row>
    <row r="19" spans="1:13" ht="22.2" customHeight="1" x14ac:dyDescent="0.3">
      <c r="A19" s="35">
        <v>16</v>
      </c>
      <c r="B19" s="40"/>
      <c r="C19" s="46"/>
      <c r="D19" s="39"/>
      <c r="E19" s="39"/>
      <c r="F19" s="39"/>
      <c r="G19" s="39"/>
      <c r="H19" s="39"/>
      <c r="I19" s="39"/>
      <c r="J19" s="47"/>
      <c r="K19" s="48"/>
      <c r="L19" s="48"/>
      <c r="M19" s="37"/>
    </row>
    <row r="20" spans="1:13" ht="22.2" customHeight="1" x14ac:dyDescent="0.3">
      <c r="A20" s="35">
        <v>17</v>
      </c>
      <c r="B20" s="40"/>
      <c r="C20" s="46"/>
      <c r="D20" s="39"/>
      <c r="E20" s="39"/>
      <c r="F20" s="39"/>
      <c r="G20" s="39"/>
      <c r="H20" s="39"/>
      <c r="I20" s="39"/>
      <c r="J20" s="47"/>
      <c r="K20" s="48"/>
      <c r="L20" s="48"/>
      <c r="M20" s="37"/>
    </row>
    <row r="21" spans="1:13" ht="22.2" customHeight="1" x14ac:dyDescent="0.3">
      <c r="A21" s="35">
        <v>18</v>
      </c>
      <c r="B21" s="40"/>
      <c r="C21" s="46"/>
      <c r="D21" s="39"/>
      <c r="E21" s="39"/>
      <c r="F21" s="39"/>
      <c r="G21" s="39"/>
      <c r="H21" s="39"/>
      <c r="I21" s="39"/>
      <c r="J21" s="47"/>
      <c r="K21" s="48"/>
      <c r="L21" s="48"/>
      <c r="M21" s="37"/>
    </row>
    <row r="22" spans="1:13" ht="22.2" customHeight="1" x14ac:dyDescent="0.3">
      <c r="A22" s="35">
        <v>19</v>
      </c>
      <c r="B22" s="40"/>
      <c r="C22" s="46"/>
      <c r="D22" s="39"/>
      <c r="E22" s="39"/>
      <c r="F22" s="39"/>
      <c r="G22" s="39"/>
      <c r="H22" s="39"/>
      <c r="I22" s="39"/>
      <c r="J22" s="47"/>
      <c r="K22" s="48"/>
      <c r="L22" s="48"/>
      <c r="M22" s="37"/>
    </row>
    <row r="23" spans="1:13" ht="22.2" customHeight="1" x14ac:dyDescent="0.3">
      <c r="A23" s="35">
        <v>20</v>
      </c>
      <c r="B23" s="40"/>
      <c r="C23" s="46"/>
      <c r="D23" s="39"/>
      <c r="E23" s="39"/>
      <c r="F23" s="39"/>
      <c r="G23" s="39"/>
      <c r="H23" s="39"/>
      <c r="I23" s="39"/>
      <c r="J23" s="47"/>
      <c r="K23" s="48"/>
      <c r="L23" s="48"/>
      <c r="M23" s="37"/>
    </row>
    <row r="24" spans="1:13" ht="22.2" customHeight="1" x14ac:dyDescent="0.3">
      <c r="A24" s="35">
        <v>21</v>
      </c>
      <c r="B24" s="40"/>
      <c r="C24" s="46"/>
      <c r="D24" s="39"/>
      <c r="E24" s="39"/>
      <c r="F24" s="39"/>
      <c r="G24" s="39"/>
      <c r="H24" s="39"/>
      <c r="I24" s="39"/>
      <c r="J24" s="47"/>
      <c r="K24" s="48"/>
      <c r="L24" s="48"/>
      <c r="M24" s="37"/>
    </row>
    <row r="25" spans="1:13" ht="22.2" customHeight="1" x14ac:dyDescent="0.3">
      <c r="A25" s="35">
        <v>22</v>
      </c>
      <c r="B25" s="40"/>
      <c r="C25" s="46"/>
      <c r="D25" s="39"/>
      <c r="E25" s="39"/>
      <c r="F25" s="39"/>
      <c r="G25" s="39"/>
      <c r="H25" s="39"/>
      <c r="I25" s="39"/>
      <c r="J25" s="47"/>
      <c r="K25" s="48"/>
      <c r="L25" s="48"/>
      <c r="M25" s="37"/>
    </row>
    <row r="26" spans="1:13" ht="22.2" customHeight="1" x14ac:dyDescent="0.3">
      <c r="A26" s="35">
        <v>23</v>
      </c>
      <c r="B26" s="40"/>
      <c r="C26" s="46"/>
      <c r="D26" s="39"/>
      <c r="E26" s="39"/>
      <c r="F26" s="39"/>
      <c r="G26" s="39"/>
      <c r="H26" s="39"/>
      <c r="I26" s="39"/>
      <c r="J26" s="47"/>
      <c r="K26" s="48"/>
      <c r="L26" s="48"/>
      <c r="M26" s="37"/>
    </row>
    <row r="27" spans="1:13" ht="22.2" customHeight="1" x14ac:dyDescent="0.3">
      <c r="A27" s="35">
        <v>24</v>
      </c>
      <c r="B27" s="40"/>
      <c r="C27" s="46"/>
      <c r="D27" s="39"/>
      <c r="E27" s="39"/>
      <c r="F27" s="39"/>
      <c r="G27" s="39"/>
      <c r="H27" s="39"/>
      <c r="I27" s="39"/>
      <c r="J27" s="47"/>
      <c r="K27" s="48"/>
      <c r="L27" s="48"/>
      <c r="M27" s="37"/>
    </row>
    <row r="28" spans="1:13" ht="22.2" customHeight="1" x14ac:dyDescent="0.3">
      <c r="A28" s="35">
        <v>25</v>
      </c>
      <c r="B28" s="40"/>
      <c r="C28" s="46"/>
      <c r="D28" s="39"/>
      <c r="E28" s="39"/>
      <c r="F28" s="39"/>
      <c r="G28" s="39"/>
      <c r="H28" s="39"/>
      <c r="I28" s="39"/>
      <c r="J28" s="47"/>
      <c r="K28" s="48"/>
      <c r="L28" s="48"/>
      <c r="M28" s="37"/>
    </row>
    <row r="29" spans="1:13" ht="22.2" customHeight="1" x14ac:dyDescent="0.3">
      <c r="A29" s="35">
        <v>26</v>
      </c>
      <c r="B29" s="40"/>
      <c r="C29" s="46"/>
      <c r="D29" s="39"/>
      <c r="E29" s="39"/>
      <c r="F29" s="39"/>
      <c r="G29" s="39"/>
      <c r="H29" s="39"/>
      <c r="I29" s="39"/>
      <c r="J29" s="47"/>
      <c r="K29" s="48"/>
      <c r="L29" s="48"/>
      <c r="M29" s="37"/>
    </row>
    <row r="30" spans="1:13" ht="22.2" customHeight="1" x14ac:dyDescent="0.3">
      <c r="A30" s="35">
        <v>27</v>
      </c>
      <c r="B30" s="40"/>
      <c r="C30" s="46"/>
      <c r="D30" s="39"/>
      <c r="E30" s="39"/>
      <c r="F30" s="39"/>
      <c r="G30" s="39"/>
      <c r="H30" s="39"/>
      <c r="I30" s="39"/>
      <c r="J30" s="47"/>
      <c r="K30" s="48"/>
      <c r="L30" s="48"/>
      <c r="M30" s="37"/>
    </row>
    <row r="31" spans="1:13" ht="22.2" customHeight="1" x14ac:dyDescent="0.3">
      <c r="A31" s="35">
        <v>28</v>
      </c>
      <c r="B31" s="40"/>
      <c r="C31" s="46"/>
      <c r="D31" s="39"/>
      <c r="E31" s="39"/>
      <c r="F31" s="39"/>
      <c r="G31" s="39"/>
      <c r="H31" s="39"/>
      <c r="I31" s="39"/>
      <c r="J31" s="47"/>
      <c r="K31" s="48"/>
      <c r="L31" s="48"/>
      <c r="M31" s="37"/>
    </row>
    <row r="32" spans="1:13" ht="22.2" customHeight="1" x14ac:dyDescent="0.3">
      <c r="A32" s="35">
        <v>29</v>
      </c>
      <c r="B32" s="40"/>
      <c r="C32" s="46"/>
      <c r="D32" s="39"/>
      <c r="E32" s="39"/>
      <c r="F32" s="39"/>
      <c r="G32" s="39"/>
      <c r="H32" s="39"/>
      <c r="I32" s="39"/>
      <c r="J32" s="47"/>
      <c r="K32" s="48"/>
      <c r="L32" s="48"/>
      <c r="M32" s="37"/>
    </row>
    <row r="33" spans="1:13" ht="22.2" customHeight="1" x14ac:dyDescent="0.3">
      <c r="A33" s="35">
        <v>30</v>
      </c>
      <c r="B33" s="40"/>
      <c r="C33" s="46"/>
      <c r="D33" s="39"/>
      <c r="E33" s="39"/>
      <c r="F33" s="39"/>
      <c r="G33" s="39"/>
      <c r="H33" s="39"/>
      <c r="I33" s="39"/>
      <c r="J33" s="47"/>
      <c r="K33" s="48"/>
      <c r="L33" s="48"/>
      <c r="M33" s="37"/>
    </row>
    <row r="34" spans="1:13" ht="22.2" customHeight="1" x14ac:dyDescent="0.3">
      <c r="A34" s="35">
        <v>31</v>
      </c>
      <c r="B34" s="40"/>
      <c r="C34" s="46"/>
      <c r="D34" s="39"/>
      <c r="E34" s="39"/>
      <c r="F34" s="39"/>
      <c r="G34" s="39"/>
      <c r="H34" s="39"/>
      <c r="I34" s="39"/>
      <c r="J34" s="47"/>
      <c r="K34" s="48"/>
      <c r="L34" s="48"/>
      <c r="M34" s="37"/>
    </row>
    <row r="35" spans="1:13" ht="22.2" customHeight="1" x14ac:dyDescent="0.3">
      <c r="A35" s="35">
        <v>32</v>
      </c>
      <c r="B35" s="40"/>
      <c r="C35" s="46"/>
      <c r="D35" s="39"/>
      <c r="E35" s="39"/>
      <c r="F35" s="39"/>
      <c r="G35" s="39"/>
      <c r="H35" s="39"/>
      <c r="I35" s="39"/>
      <c r="J35" s="47"/>
      <c r="K35" s="48"/>
      <c r="L35" s="48"/>
      <c r="M35" s="37"/>
    </row>
    <row r="36" spans="1:13" ht="22.2" customHeight="1" x14ac:dyDescent="0.3">
      <c r="A36" s="35">
        <v>33</v>
      </c>
      <c r="B36" s="40"/>
      <c r="C36" s="46"/>
      <c r="D36" s="39"/>
      <c r="E36" s="39"/>
      <c r="F36" s="39"/>
      <c r="G36" s="39"/>
      <c r="H36" s="39"/>
      <c r="I36" s="39"/>
      <c r="J36" s="47"/>
      <c r="K36" s="48"/>
      <c r="L36" s="48"/>
      <c r="M36" s="37"/>
    </row>
    <row r="37" spans="1:13" ht="22.2" customHeight="1" x14ac:dyDescent="0.3">
      <c r="A37" s="35">
        <v>34</v>
      </c>
      <c r="B37" s="40"/>
      <c r="C37" s="46"/>
      <c r="D37" s="39"/>
      <c r="E37" s="39"/>
      <c r="F37" s="39"/>
      <c r="G37" s="39"/>
      <c r="H37" s="39"/>
      <c r="I37" s="39"/>
      <c r="J37" s="47"/>
      <c r="K37" s="48"/>
      <c r="L37" s="48"/>
      <c r="M37" s="37"/>
    </row>
    <row r="38" spans="1:13" ht="22.2" customHeight="1" x14ac:dyDescent="0.3">
      <c r="A38" s="35">
        <v>35</v>
      </c>
      <c r="B38" s="40"/>
      <c r="C38" s="46"/>
      <c r="D38" s="39"/>
      <c r="E38" s="39"/>
      <c r="F38" s="39"/>
      <c r="G38" s="39"/>
      <c r="H38" s="39"/>
      <c r="I38" s="39"/>
      <c r="J38" s="47"/>
      <c r="K38" s="48"/>
      <c r="L38" s="48"/>
      <c r="M38" s="37"/>
    </row>
    <row r="39" spans="1:13" ht="22.2" customHeight="1" x14ac:dyDescent="0.3">
      <c r="A39" s="35">
        <v>36</v>
      </c>
      <c r="B39" s="40"/>
      <c r="C39" s="46"/>
      <c r="D39" s="39"/>
      <c r="E39" s="39"/>
      <c r="F39" s="39"/>
      <c r="G39" s="39"/>
      <c r="H39" s="39"/>
      <c r="I39" s="39"/>
      <c r="J39" s="47"/>
      <c r="K39" s="48"/>
      <c r="L39" s="48"/>
      <c r="M39" s="37"/>
    </row>
    <row r="40" spans="1:13" ht="22.2" customHeight="1" x14ac:dyDescent="0.3">
      <c r="A40" s="35">
        <v>37</v>
      </c>
      <c r="B40" s="40"/>
      <c r="C40" s="46"/>
      <c r="D40" s="39"/>
      <c r="E40" s="39"/>
      <c r="F40" s="39"/>
      <c r="G40" s="39"/>
      <c r="H40" s="39"/>
      <c r="I40" s="39"/>
      <c r="J40" s="47"/>
      <c r="K40" s="48"/>
      <c r="L40" s="48"/>
      <c r="M40" s="37"/>
    </row>
    <row r="41" spans="1:13" ht="22.2" customHeight="1" x14ac:dyDescent="0.3">
      <c r="A41" s="35">
        <v>38</v>
      </c>
      <c r="B41" s="40"/>
      <c r="C41" s="46"/>
      <c r="D41" s="39"/>
      <c r="E41" s="39"/>
      <c r="F41" s="39"/>
      <c r="G41" s="39"/>
      <c r="H41" s="39"/>
      <c r="I41" s="39"/>
      <c r="J41" s="47"/>
      <c r="K41" s="48"/>
      <c r="L41" s="48"/>
      <c r="M41" s="37"/>
    </row>
    <row r="42" spans="1:13" ht="22.2" customHeight="1" x14ac:dyDescent="0.3">
      <c r="A42" s="35">
        <v>39</v>
      </c>
      <c r="B42" s="40"/>
      <c r="C42" s="46"/>
      <c r="D42" s="39"/>
      <c r="E42" s="39"/>
      <c r="F42" s="39"/>
      <c r="G42" s="39"/>
      <c r="H42" s="39"/>
      <c r="I42" s="39"/>
      <c r="J42" s="47"/>
      <c r="K42" s="48"/>
      <c r="L42" s="48"/>
      <c r="M42" s="37"/>
    </row>
    <row r="43" spans="1:13" ht="22.2" customHeight="1" x14ac:dyDescent="0.3">
      <c r="A43" s="35">
        <v>40</v>
      </c>
      <c r="B43" s="40"/>
      <c r="C43" s="46"/>
      <c r="D43" s="39"/>
      <c r="E43" s="39"/>
      <c r="F43" s="39"/>
      <c r="G43" s="39"/>
      <c r="H43" s="39"/>
      <c r="I43" s="39"/>
      <c r="J43" s="47"/>
      <c r="K43" s="48"/>
      <c r="L43" s="48"/>
      <c r="M43" s="37"/>
    </row>
    <row r="44" spans="1:13" ht="22.2" customHeight="1" x14ac:dyDescent="0.3">
      <c r="A44" s="35">
        <v>41</v>
      </c>
      <c r="B44" s="40"/>
      <c r="C44" s="46"/>
      <c r="D44" s="39"/>
      <c r="E44" s="39"/>
      <c r="F44" s="39"/>
      <c r="G44" s="39"/>
      <c r="H44" s="39"/>
      <c r="I44" s="39"/>
      <c r="J44" s="47"/>
      <c r="K44" s="48"/>
      <c r="L44" s="48"/>
      <c r="M44" s="37"/>
    </row>
    <row r="45" spans="1:13" ht="22.2" customHeight="1" x14ac:dyDescent="0.3">
      <c r="A45" s="35">
        <v>42</v>
      </c>
      <c r="B45" s="40"/>
      <c r="C45" s="46"/>
      <c r="D45" s="39"/>
      <c r="E45" s="39"/>
      <c r="F45" s="39"/>
      <c r="G45" s="39"/>
      <c r="H45" s="39"/>
      <c r="I45" s="39"/>
      <c r="J45" s="47"/>
      <c r="K45" s="48"/>
      <c r="L45" s="48"/>
      <c r="M45" s="37"/>
    </row>
    <row r="46" spans="1:13" ht="22.2" customHeight="1" x14ac:dyDescent="0.3">
      <c r="A46" s="35">
        <v>43</v>
      </c>
      <c r="B46" s="40"/>
      <c r="C46" s="46"/>
      <c r="D46" s="39"/>
      <c r="E46" s="39"/>
      <c r="F46" s="39"/>
      <c r="G46" s="39"/>
      <c r="H46" s="39"/>
      <c r="I46" s="39"/>
      <c r="J46" s="47"/>
      <c r="K46" s="48"/>
      <c r="L46" s="48"/>
      <c r="M46" s="37"/>
    </row>
    <row r="47" spans="1:13" ht="22.2" customHeight="1" x14ac:dyDescent="0.3">
      <c r="A47" s="35">
        <v>44</v>
      </c>
      <c r="B47" s="40"/>
      <c r="C47" s="46"/>
      <c r="D47" s="39"/>
      <c r="E47" s="39"/>
      <c r="F47" s="39"/>
      <c r="G47" s="39"/>
      <c r="H47" s="39"/>
      <c r="I47" s="39"/>
      <c r="J47" s="47"/>
      <c r="K47" s="48"/>
      <c r="L47" s="48"/>
      <c r="M47" s="37"/>
    </row>
    <row r="48" spans="1:13" ht="22.2" customHeight="1" x14ac:dyDescent="0.3">
      <c r="A48" s="35">
        <v>45</v>
      </c>
      <c r="B48" s="40"/>
      <c r="C48" s="46"/>
      <c r="D48" s="39"/>
      <c r="E48" s="39"/>
      <c r="F48" s="39"/>
      <c r="G48" s="39"/>
      <c r="H48" s="39"/>
      <c r="I48" s="39"/>
      <c r="J48" s="47"/>
      <c r="K48" s="48"/>
      <c r="L48" s="48"/>
      <c r="M48" s="37"/>
    </row>
    <row r="49" spans="1:13" ht="22.2" customHeight="1" x14ac:dyDescent="0.3">
      <c r="A49" s="35">
        <v>46</v>
      </c>
      <c r="B49" s="40"/>
      <c r="C49" s="46"/>
      <c r="D49" s="39"/>
      <c r="E49" s="39"/>
      <c r="F49" s="39"/>
      <c r="G49" s="39"/>
      <c r="H49" s="39"/>
      <c r="I49" s="39"/>
      <c r="J49" s="47"/>
      <c r="K49" s="48"/>
      <c r="L49" s="48"/>
      <c r="M49" s="37"/>
    </row>
    <row r="50" spans="1:13" ht="22.2" customHeight="1" x14ac:dyDescent="0.3">
      <c r="A50" s="35">
        <v>47</v>
      </c>
      <c r="B50" s="40"/>
      <c r="C50" s="46"/>
      <c r="D50" s="39"/>
      <c r="E50" s="39"/>
      <c r="F50" s="39"/>
      <c r="G50" s="39"/>
      <c r="H50" s="39"/>
      <c r="I50" s="39"/>
      <c r="J50" s="47"/>
      <c r="K50" s="48"/>
      <c r="L50" s="48"/>
      <c r="M50" s="37"/>
    </row>
    <row r="51" spans="1:13" ht="22.2" customHeight="1" x14ac:dyDescent="0.3">
      <c r="A51" s="35">
        <v>48</v>
      </c>
      <c r="B51" s="40"/>
      <c r="C51" s="46"/>
      <c r="D51" s="39"/>
      <c r="E51" s="39"/>
      <c r="F51" s="39"/>
      <c r="G51" s="39"/>
      <c r="H51" s="39"/>
      <c r="I51" s="39"/>
      <c r="J51" s="47"/>
      <c r="K51" s="48"/>
      <c r="L51" s="48"/>
      <c r="M51" s="37"/>
    </row>
    <row r="52" spans="1:13" ht="22.2" customHeight="1" x14ac:dyDescent="0.3">
      <c r="A52" s="35">
        <v>49</v>
      </c>
      <c r="B52" s="40"/>
      <c r="C52" s="46"/>
      <c r="D52" s="39"/>
      <c r="E52" s="39"/>
      <c r="F52" s="39"/>
      <c r="G52" s="39"/>
      <c r="H52" s="39"/>
      <c r="I52" s="39"/>
      <c r="J52" s="47"/>
      <c r="K52" s="48"/>
      <c r="L52" s="48"/>
      <c r="M52" s="37"/>
    </row>
    <row r="53" spans="1:13" ht="22.2" customHeight="1" x14ac:dyDescent="0.3">
      <c r="A53" s="35">
        <v>50</v>
      </c>
      <c r="B53" s="40"/>
      <c r="C53" s="46"/>
      <c r="D53" s="39"/>
      <c r="E53" s="39"/>
      <c r="F53" s="39"/>
      <c r="G53" s="39"/>
      <c r="H53" s="39"/>
      <c r="I53" s="39"/>
      <c r="J53" s="47"/>
      <c r="K53" s="48"/>
      <c r="L53" s="48"/>
      <c r="M53" s="37"/>
    </row>
    <row r="54" spans="1:13" ht="22.2" customHeight="1" x14ac:dyDescent="0.3">
      <c r="A54" s="35">
        <v>51</v>
      </c>
      <c r="B54" s="40"/>
      <c r="C54" s="46"/>
      <c r="D54" s="39"/>
      <c r="E54" s="39"/>
      <c r="F54" s="39"/>
      <c r="G54" s="39"/>
      <c r="H54" s="39"/>
      <c r="I54" s="39"/>
      <c r="J54" s="47"/>
      <c r="K54" s="48"/>
      <c r="L54" s="48"/>
      <c r="M54" s="37"/>
    </row>
    <row r="55" spans="1:13" ht="22.2" customHeight="1" x14ac:dyDescent="0.3">
      <c r="A55" s="35">
        <v>52</v>
      </c>
      <c r="B55" s="40"/>
      <c r="C55" s="46"/>
      <c r="D55" s="39"/>
      <c r="E55" s="39"/>
      <c r="F55" s="39"/>
      <c r="G55" s="39"/>
      <c r="H55" s="39"/>
      <c r="I55" s="39"/>
      <c r="J55" s="47"/>
      <c r="K55" s="48"/>
      <c r="L55" s="48"/>
      <c r="M55" s="37"/>
    </row>
    <row r="56" spans="1:13" ht="22.2" customHeight="1" x14ac:dyDescent="0.3">
      <c r="A56" s="35">
        <v>53</v>
      </c>
      <c r="B56" s="40"/>
      <c r="C56" s="46"/>
      <c r="D56" s="39"/>
      <c r="E56" s="39"/>
      <c r="F56" s="39"/>
      <c r="G56" s="39"/>
      <c r="H56" s="39"/>
      <c r="I56" s="39"/>
      <c r="J56" s="47"/>
      <c r="K56" s="48"/>
      <c r="L56" s="48"/>
      <c r="M56" s="37"/>
    </row>
    <row r="57" spans="1:13" ht="22.2" customHeight="1" x14ac:dyDescent="0.3">
      <c r="A57" s="35">
        <v>54</v>
      </c>
      <c r="B57" s="40"/>
      <c r="C57" s="46"/>
      <c r="D57" s="39"/>
      <c r="E57" s="39"/>
      <c r="F57" s="39"/>
      <c r="G57" s="39"/>
      <c r="H57" s="39"/>
      <c r="I57" s="39"/>
      <c r="J57" s="47"/>
      <c r="K57" s="48"/>
      <c r="L57" s="48"/>
      <c r="M57" s="37"/>
    </row>
    <row r="58" spans="1:13" ht="22.2" customHeight="1" x14ac:dyDescent="0.3">
      <c r="A58" s="35">
        <v>55</v>
      </c>
      <c r="B58" s="40"/>
      <c r="C58" s="46"/>
      <c r="D58" s="39"/>
      <c r="E58" s="39"/>
      <c r="F58" s="39"/>
      <c r="G58" s="39"/>
      <c r="H58" s="39"/>
      <c r="I58" s="39"/>
      <c r="J58" s="47"/>
      <c r="K58" s="48"/>
      <c r="L58" s="48"/>
      <c r="M58" s="37"/>
    </row>
    <row r="59" spans="1:13" ht="22.2" customHeight="1" x14ac:dyDescent="0.3">
      <c r="A59" s="35">
        <v>56</v>
      </c>
      <c r="B59" s="40"/>
      <c r="C59" s="46"/>
      <c r="D59" s="39"/>
      <c r="E59" s="39"/>
      <c r="F59" s="39"/>
      <c r="G59" s="39"/>
      <c r="H59" s="39"/>
      <c r="I59" s="39"/>
      <c r="J59" s="47"/>
      <c r="K59" s="48"/>
      <c r="L59" s="48"/>
      <c r="M59" s="37"/>
    </row>
    <row r="60" spans="1:13" ht="22.2" customHeight="1" x14ac:dyDescent="0.3">
      <c r="A60" s="35">
        <v>57</v>
      </c>
      <c r="B60" s="40"/>
      <c r="C60" s="46"/>
      <c r="D60" s="39"/>
      <c r="E60" s="39"/>
      <c r="F60" s="39"/>
      <c r="G60" s="39"/>
      <c r="H60" s="39"/>
      <c r="I60" s="39"/>
      <c r="J60" s="47"/>
      <c r="K60" s="48"/>
      <c r="L60" s="48"/>
      <c r="M60" s="37"/>
    </row>
    <row r="61" spans="1:13" ht="22.2" customHeight="1" x14ac:dyDescent="0.3">
      <c r="A61" s="35">
        <v>58</v>
      </c>
      <c r="B61" s="40"/>
      <c r="C61" s="46"/>
      <c r="D61" s="39"/>
      <c r="E61" s="39"/>
      <c r="F61" s="39"/>
      <c r="G61" s="39"/>
      <c r="H61" s="39"/>
      <c r="I61" s="39"/>
      <c r="J61" s="47"/>
      <c r="K61" s="48"/>
      <c r="L61" s="48"/>
      <c r="M61" s="37"/>
    </row>
    <row r="62" spans="1:13" ht="22.2" customHeight="1" x14ac:dyDescent="0.3">
      <c r="A62" s="35">
        <v>59</v>
      </c>
      <c r="B62" s="40"/>
      <c r="C62" s="46"/>
      <c r="D62" s="39"/>
      <c r="E62" s="39"/>
      <c r="F62" s="39"/>
      <c r="G62" s="39"/>
      <c r="H62" s="39"/>
      <c r="I62" s="39"/>
      <c r="J62" s="47"/>
      <c r="K62" s="48"/>
      <c r="L62" s="48"/>
      <c r="M62" s="37"/>
    </row>
    <row r="63" spans="1:13" ht="22.2" customHeight="1" x14ac:dyDescent="0.3">
      <c r="A63" s="35">
        <v>60</v>
      </c>
      <c r="B63" s="40"/>
      <c r="C63" s="46"/>
      <c r="D63" s="39"/>
      <c r="E63" s="39"/>
      <c r="F63" s="39"/>
      <c r="G63" s="39"/>
      <c r="H63" s="39"/>
      <c r="I63" s="39"/>
      <c r="J63" s="47"/>
      <c r="K63" s="48"/>
      <c r="L63" s="48"/>
      <c r="M63" s="37"/>
    </row>
    <row r="64" spans="1:13" ht="22.2" customHeight="1" x14ac:dyDescent="0.3">
      <c r="A64" s="35">
        <v>61</v>
      </c>
      <c r="B64" s="40"/>
      <c r="C64" s="46"/>
      <c r="D64" s="39"/>
      <c r="E64" s="39"/>
      <c r="F64" s="39"/>
      <c r="G64" s="39"/>
      <c r="H64" s="39"/>
      <c r="I64" s="39"/>
      <c r="J64" s="47"/>
      <c r="K64" s="48"/>
      <c r="L64" s="48"/>
      <c r="M64" s="37"/>
    </row>
    <row r="65" spans="1:13" ht="22.2" customHeight="1" x14ac:dyDescent="0.3">
      <c r="A65" s="35">
        <v>62</v>
      </c>
      <c r="B65" s="40"/>
      <c r="C65" s="46"/>
      <c r="D65" s="39"/>
      <c r="E65" s="39"/>
      <c r="F65" s="39"/>
      <c r="G65" s="39"/>
      <c r="H65" s="39"/>
      <c r="I65" s="39"/>
      <c r="J65" s="47"/>
      <c r="K65" s="48"/>
      <c r="L65" s="48"/>
      <c r="M65" s="37"/>
    </row>
    <row r="66" spans="1:13" ht="22.2" customHeight="1" x14ac:dyDescent="0.3">
      <c r="A66" s="35">
        <v>63</v>
      </c>
      <c r="B66" s="40"/>
      <c r="C66" s="46"/>
      <c r="D66" s="39"/>
      <c r="E66" s="39"/>
      <c r="F66" s="39"/>
      <c r="G66" s="39"/>
      <c r="H66" s="39"/>
      <c r="I66" s="39"/>
      <c r="J66" s="47"/>
      <c r="K66" s="48"/>
      <c r="L66" s="48"/>
      <c r="M66" s="37"/>
    </row>
    <row r="67" spans="1:13" ht="22.2" customHeight="1" x14ac:dyDescent="0.3">
      <c r="A67" s="35">
        <v>64</v>
      </c>
      <c r="B67" s="40"/>
      <c r="C67" s="46"/>
      <c r="D67" s="39"/>
      <c r="E67" s="39"/>
      <c r="F67" s="39"/>
      <c r="G67" s="39"/>
      <c r="H67" s="39"/>
      <c r="I67" s="39"/>
      <c r="J67" s="47"/>
      <c r="K67" s="48"/>
      <c r="L67" s="48"/>
      <c r="M67" s="37"/>
    </row>
    <row r="68" spans="1:13" ht="22.2" customHeight="1" x14ac:dyDescent="0.3">
      <c r="A68" s="35">
        <v>65</v>
      </c>
      <c r="B68" s="40"/>
      <c r="C68" s="46"/>
      <c r="D68" s="39"/>
      <c r="E68" s="39"/>
      <c r="F68" s="39"/>
      <c r="G68" s="39"/>
      <c r="H68" s="39"/>
      <c r="I68" s="39"/>
      <c r="J68" s="47"/>
      <c r="K68" s="48"/>
      <c r="L68" s="48"/>
      <c r="M68" s="37"/>
    </row>
    <row r="69" spans="1:13" ht="22.2" customHeight="1" x14ac:dyDescent="0.3">
      <c r="A69" s="35">
        <v>66</v>
      </c>
      <c r="B69" s="40"/>
      <c r="C69" s="46"/>
      <c r="D69" s="39"/>
      <c r="E69" s="39"/>
      <c r="F69" s="39"/>
      <c r="G69" s="39"/>
      <c r="H69" s="39"/>
      <c r="I69" s="39"/>
      <c r="J69" s="47"/>
      <c r="K69" s="48"/>
      <c r="L69" s="48"/>
      <c r="M69" s="37"/>
    </row>
    <row r="70" spans="1:13" ht="22.2" customHeight="1" x14ac:dyDescent="0.3">
      <c r="A70" s="35">
        <v>67</v>
      </c>
      <c r="B70" s="40"/>
      <c r="C70" s="46"/>
      <c r="D70" s="39"/>
      <c r="E70" s="39"/>
      <c r="F70" s="39"/>
      <c r="G70" s="39"/>
      <c r="H70" s="39"/>
      <c r="I70" s="39"/>
      <c r="J70" s="47"/>
      <c r="K70" s="48"/>
      <c r="L70" s="48"/>
      <c r="M70" s="37"/>
    </row>
    <row r="71" spans="1:13" ht="22.2" customHeight="1" x14ac:dyDescent="0.3">
      <c r="A71" s="35">
        <v>68</v>
      </c>
      <c r="B71" s="40"/>
      <c r="C71" s="46"/>
      <c r="D71" s="39"/>
      <c r="E71" s="39"/>
      <c r="F71" s="39"/>
      <c r="G71" s="39"/>
      <c r="H71" s="39"/>
      <c r="I71" s="39"/>
      <c r="J71" s="47"/>
      <c r="K71" s="48"/>
      <c r="L71" s="48"/>
      <c r="M71" s="37"/>
    </row>
    <row r="72" spans="1:13" ht="22.2" customHeight="1" x14ac:dyDescent="0.3">
      <c r="A72" s="35">
        <v>69</v>
      </c>
      <c r="B72" s="40"/>
      <c r="C72" s="46"/>
      <c r="D72" s="39"/>
      <c r="E72" s="39"/>
      <c r="F72" s="39"/>
      <c r="G72" s="39"/>
      <c r="H72" s="39"/>
      <c r="I72" s="39"/>
      <c r="J72" s="47"/>
      <c r="K72" s="48"/>
      <c r="L72" s="48"/>
      <c r="M72" s="37"/>
    </row>
    <row r="73" spans="1:13" ht="22.2" customHeight="1" x14ac:dyDescent="0.3">
      <c r="A73" s="35">
        <v>70</v>
      </c>
      <c r="B73" s="40"/>
      <c r="C73" s="46"/>
      <c r="D73" s="39"/>
      <c r="E73" s="39"/>
      <c r="F73" s="39"/>
      <c r="G73" s="39"/>
      <c r="H73" s="39"/>
      <c r="I73" s="39"/>
      <c r="J73" s="47"/>
      <c r="K73" s="48"/>
      <c r="L73" s="48"/>
      <c r="M73" s="37"/>
    </row>
    <row r="74" spans="1:13" ht="22.2" customHeight="1" x14ac:dyDescent="0.3">
      <c r="A74" s="35">
        <v>71</v>
      </c>
      <c r="B74" s="40"/>
      <c r="C74" s="46"/>
      <c r="D74" s="39"/>
      <c r="E74" s="39"/>
      <c r="F74" s="39"/>
      <c r="G74" s="39"/>
      <c r="H74" s="39"/>
      <c r="I74" s="39"/>
      <c r="J74" s="47"/>
      <c r="K74" s="48"/>
      <c r="L74" s="48"/>
      <c r="M74" s="37"/>
    </row>
    <row r="75" spans="1:13" ht="22.2" customHeight="1" x14ac:dyDescent="0.3">
      <c r="A75" s="35">
        <v>72</v>
      </c>
      <c r="B75" s="40"/>
      <c r="C75" s="46"/>
      <c r="D75" s="39"/>
      <c r="E75" s="39"/>
      <c r="F75" s="39"/>
      <c r="G75" s="39"/>
      <c r="H75" s="39"/>
      <c r="I75" s="39"/>
      <c r="J75" s="47"/>
      <c r="K75" s="48"/>
      <c r="L75" s="48"/>
      <c r="M75" s="37"/>
    </row>
    <row r="76" spans="1:13" ht="22.2" customHeight="1" x14ac:dyDescent="0.3">
      <c r="A76" s="35">
        <v>73</v>
      </c>
      <c r="B76" s="40"/>
      <c r="C76" s="46"/>
      <c r="D76" s="39"/>
      <c r="E76" s="39"/>
      <c r="F76" s="39"/>
      <c r="G76" s="39"/>
      <c r="H76" s="39"/>
      <c r="I76" s="39"/>
      <c r="J76" s="47"/>
      <c r="K76" s="48"/>
      <c r="L76" s="48"/>
      <c r="M76" s="37"/>
    </row>
    <row r="77" spans="1:13" ht="22.2" customHeight="1" x14ac:dyDescent="0.3">
      <c r="A77" s="35">
        <v>74</v>
      </c>
      <c r="B77" s="40"/>
      <c r="C77" s="46"/>
      <c r="D77" s="39"/>
      <c r="E77" s="39"/>
      <c r="F77" s="39"/>
      <c r="G77" s="39"/>
      <c r="H77" s="39"/>
      <c r="I77" s="39"/>
      <c r="J77" s="47"/>
      <c r="K77" s="48"/>
      <c r="L77" s="48"/>
      <c r="M77" s="37"/>
    </row>
    <row r="78" spans="1:13" ht="22.2" customHeight="1" x14ac:dyDescent="0.3">
      <c r="A78" s="35">
        <v>75</v>
      </c>
      <c r="B78" s="40"/>
      <c r="C78" s="46"/>
      <c r="D78" s="39"/>
      <c r="E78" s="39"/>
      <c r="F78" s="39"/>
      <c r="G78" s="39"/>
      <c r="H78" s="39"/>
      <c r="I78" s="39"/>
      <c r="J78" s="47"/>
      <c r="K78" s="48"/>
      <c r="L78" s="48"/>
      <c r="M78" s="37"/>
    </row>
    <row r="79" spans="1:13" ht="22.2" customHeight="1" x14ac:dyDescent="0.3">
      <c r="A79" s="35">
        <v>76</v>
      </c>
      <c r="B79" s="40"/>
      <c r="C79" s="46"/>
      <c r="D79" s="39"/>
      <c r="E79" s="39"/>
      <c r="F79" s="39"/>
      <c r="G79" s="39"/>
      <c r="H79" s="39"/>
      <c r="I79" s="39"/>
      <c r="J79" s="47"/>
      <c r="K79" s="48"/>
      <c r="L79" s="48"/>
      <c r="M79" s="37"/>
    </row>
    <row r="80" spans="1:13" ht="22.2" customHeight="1" x14ac:dyDescent="0.3">
      <c r="A80" s="35">
        <v>77</v>
      </c>
      <c r="B80" s="40"/>
      <c r="C80" s="46"/>
      <c r="D80" s="39"/>
      <c r="E80" s="39"/>
      <c r="F80" s="39"/>
      <c r="G80" s="39"/>
      <c r="H80" s="39"/>
      <c r="I80" s="39"/>
      <c r="J80" s="47"/>
      <c r="K80" s="48"/>
      <c r="L80" s="48"/>
      <c r="M80" s="37"/>
    </row>
    <row r="81" spans="1:13" ht="22.2" customHeight="1" x14ac:dyDescent="0.3">
      <c r="A81" s="35">
        <v>78</v>
      </c>
      <c r="B81" s="40"/>
      <c r="C81" s="46"/>
      <c r="D81" s="39"/>
      <c r="E81" s="39"/>
      <c r="F81" s="39"/>
      <c r="G81" s="39"/>
      <c r="H81" s="39"/>
      <c r="I81" s="39"/>
      <c r="J81" s="47"/>
      <c r="K81" s="48"/>
      <c r="L81" s="48"/>
      <c r="M81" s="37"/>
    </row>
    <row r="82" spans="1:13" ht="22.2" customHeight="1" x14ac:dyDescent="0.3">
      <c r="A82" s="35">
        <v>79</v>
      </c>
      <c r="B82" s="40"/>
      <c r="C82" s="46"/>
      <c r="D82" s="39"/>
      <c r="E82" s="39"/>
      <c r="F82" s="39"/>
      <c r="G82" s="39"/>
      <c r="H82" s="39"/>
      <c r="I82" s="39"/>
      <c r="J82" s="47"/>
      <c r="K82" s="48"/>
      <c r="L82" s="48"/>
      <c r="M82" s="37"/>
    </row>
    <row r="83" spans="1:13" ht="22.2" customHeight="1" x14ac:dyDescent="0.3">
      <c r="A83" s="35">
        <v>80</v>
      </c>
      <c r="B83" s="40"/>
      <c r="C83" s="46"/>
      <c r="D83" s="39"/>
      <c r="E83" s="39"/>
      <c r="F83" s="39"/>
      <c r="G83" s="39"/>
      <c r="H83" s="39"/>
      <c r="I83" s="39"/>
      <c r="J83" s="47"/>
      <c r="K83" s="48"/>
      <c r="L83" s="48"/>
      <c r="M83" s="37"/>
    </row>
    <row r="84" spans="1:13" ht="22.2" customHeight="1" x14ac:dyDescent="0.3">
      <c r="A84" s="35">
        <v>81</v>
      </c>
      <c r="B84" s="40"/>
      <c r="C84" s="46"/>
      <c r="D84" s="39"/>
      <c r="E84" s="39"/>
      <c r="F84" s="39"/>
      <c r="G84" s="39"/>
      <c r="H84" s="39"/>
      <c r="I84" s="39"/>
      <c r="J84" s="47"/>
      <c r="K84" s="48"/>
      <c r="L84" s="48"/>
      <c r="M84" s="37"/>
    </row>
    <row r="85" spans="1:13" ht="22.2" customHeight="1" x14ac:dyDescent="0.3">
      <c r="A85" s="35">
        <v>82</v>
      </c>
      <c r="B85" s="40"/>
      <c r="C85" s="46"/>
      <c r="D85" s="39"/>
      <c r="E85" s="39"/>
      <c r="F85" s="39"/>
      <c r="G85" s="39"/>
      <c r="H85" s="39"/>
      <c r="I85" s="39"/>
      <c r="J85" s="47"/>
      <c r="K85" s="48"/>
      <c r="L85" s="48"/>
      <c r="M85" s="37"/>
    </row>
    <row r="86" spans="1:13" ht="22.2" customHeight="1" x14ac:dyDescent="0.3">
      <c r="A86" s="35">
        <v>83</v>
      </c>
      <c r="B86" s="40"/>
      <c r="C86" s="46"/>
      <c r="D86" s="39"/>
      <c r="E86" s="39"/>
      <c r="F86" s="39"/>
      <c r="G86" s="39"/>
      <c r="H86" s="39"/>
      <c r="I86" s="39"/>
      <c r="J86" s="47"/>
      <c r="K86" s="48"/>
      <c r="L86" s="48"/>
      <c r="M86" s="37"/>
    </row>
    <row r="87" spans="1:13" ht="22.2" customHeight="1" x14ac:dyDescent="0.3">
      <c r="A87" s="35">
        <v>84</v>
      </c>
      <c r="B87" s="40"/>
      <c r="C87" s="46"/>
      <c r="D87" s="39"/>
      <c r="E87" s="39"/>
      <c r="F87" s="39"/>
      <c r="G87" s="39"/>
      <c r="H87" s="39"/>
      <c r="I87" s="39"/>
      <c r="J87" s="47"/>
      <c r="K87" s="48"/>
      <c r="L87" s="48"/>
      <c r="M87" s="37"/>
    </row>
    <row r="88" spans="1:13" ht="22.2" customHeight="1" x14ac:dyDescent="0.3">
      <c r="A88" s="35">
        <v>85</v>
      </c>
      <c r="B88" s="40"/>
      <c r="C88" s="46"/>
      <c r="D88" s="39"/>
      <c r="E88" s="39"/>
      <c r="F88" s="39"/>
      <c r="G88" s="39"/>
      <c r="H88" s="39"/>
      <c r="I88" s="39"/>
      <c r="J88" s="47"/>
      <c r="K88" s="48"/>
      <c r="L88" s="48"/>
      <c r="M88" s="37"/>
    </row>
    <row r="89" spans="1:13" ht="22.2" customHeight="1" x14ac:dyDescent="0.3">
      <c r="A89" s="35">
        <v>86</v>
      </c>
      <c r="B89" s="40"/>
      <c r="C89" s="46"/>
      <c r="D89" s="39"/>
      <c r="E89" s="39"/>
      <c r="F89" s="39"/>
      <c r="G89" s="39"/>
      <c r="H89" s="39"/>
      <c r="I89" s="39"/>
      <c r="J89" s="47"/>
      <c r="K89" s="48"/>
      <c r="L89" s="48"/>
      <c r="M89" s="37"/>
    </row>
    <row r="90" spans="1:13" ht="22.2" customHeight="1" x14ac:dyDescent="0.3">
      <c r="A90" s="35">
        <v>87</v>
      </c>
      <c r="B90" s="40"/>
      <c r="C90" s="46"/>
      <c r="D90" s="39"/>
      <c r="E90" s="39"/>
      <c r="F90" s="39"/>
      <c r="G90" s="39"/>
      <c r="H90" s="39"/>
      <c r="I90" s="39"/>
      <c r="J90" s="47"/>
      <c r="K90" s="48"/>
      <c r="L90" s="48"/>
      <c r="M90" s="37"/>
    </row>
    <row r="91" spans="1:13" ht="22.2" customHeight="1" x14ac:dyDescent="0.3">
      <c r="A91" s="35">
        <v>88</v>
      </c>
      <c r="B91" s="40"/>
      <c r="C91" s="46"/>
      <c r="D91" s="39"/>
      <c r="E91" s="39"/>
      <c r="F91" s="39"/>
      <c r="G91" s="39"/>
      <c r="H91" s="39"/>
      <c r="I91" s="39"/>
      <c r="J91" s="47"/>
      <c r="K91" s="48"/>
      <c r="L91" s="48"/>
      <c r="M91" s="37"/>
    </row>
    <row r="92" spans="1:13" ht="22.2" customHeight="1" x14ac:dyDescent="0.3">
      <c r="A92" s="35">
        <v>89</v>
      </c>
      <c r="B92" s="40"/>
      <c r="C92" s="46"/>
      <c r="D92" s="39"/>
      <c r="E92" s="39"/>
      <c r="F92" s="39"/>
      <c r="G92" s="39"/>
      <c r="H92" s="39"/>
      <c r="I92" s="39"/>
      <c r="J92" s="47"/>
      <c r="K92" s="48"/>
      <c r="L92" s="48"/>
      <c r="M92" s="37"/>
    </row>
    <row r="93" spans="1:13" ht="22.2" customHeight="1" x14ac:dyDescent="0.3">
      <c r="A93" s="35">
        <v>90</v>
      </c>
      <c r="B93" s="40"/>
      <c r="C93" s="46"/>
      <c r="D93" s="39"/>
      <c r="E93" s="39"/>
      <c r="F93" s="39"/>
      <c r="G93" s="39"/>
      <c r="H93" s="39"/>
      <c r="I93" s="39"/>
      <c r="J93" s="47"/>
      <c r="K93" s="48"/>
      <c r="L93" s="48"/>
      <c r="M93" s="37"/>
    </row>
    <row r="94" spans="1:13" ht="22.2" customHeight="1" x14ac:dyDescent="0.3">
      <c r="A94" s="35">
        <v>91</v>
      </c>
      <c r="B94" s="40"/>
      <c r="C94" s="46"/>
      <c r="D94" s="39"/>
      <c r="E94" s="39"/>
      <c r="F94" s="39"/>
      <c r="G94" s="39"/>
      <c r="H94" s="39"/>
      <c r="I94" s="39"/>
      <c r="J94" s="47"/>
      <c r="K94" s="48"/>
      <c r="L94" s="48"/>
      <c r="M94" s="37"/>
    </row>
    <row r="95" spans="1:13" ht="22.2" customHeight="1" x14ac:dyDescent="0.3">
      <c r="A95" s="35">
        <v>92</v>
      </c>
      <c r="B95" s="40"/>
      <c r="C95" s="46"/>
      <c r="D95" s="39"/>
      <c r="E95" s="39"/>
      <c r="F95" s="39"/>
      <c r="G95" s="39"/>
      <c r="H95" s="39"/>
      <c r="I95" s="39"/>
      <c r="J95" s="47"/>
      <c r="K95" s="48"/>
      <c r="L95" s="48"/>
      <c r="M95" s="37"/>
    </row>
    <row r="96" spans="1:13" ht="22.2" customHeight="1" x14ac:dyDescent="0.3">
      <c r="A96" s="35">
        <v>93</v>
      </c>
      <c r="B96" s="40"/>
      <c r="C96" s="46"/>
      <c r="D96" s="39"/>
      <c r="E96" s="39"/>
      <c r="F96" s="39"/>
      <c r="G96" s="39"/>
      <c r="H96" s="39"/>
      <c r="I96" s="39"/>
      <c r="J96" s="47"/>
      <c r="K96" s="48"/>
      <c r="L96" s="48"/>
      <c r="M96" s="37"/>
    </row>
    <row r="97" spans="1:13" ht="22.2" customHeight="1" x14ac:dyDescent="0.3">
      <c r="A97" s="35">
        <v>94</v>
      </c>
      <c r="B97" s="40"/>
      <c r="C97" s="46"/>
      <c r="D97" s="39"/>
      <c r="E97" s="39"/>
      <c r="F97" s="39"/>
      <c r="G97" s="39"/>
      <c r="H97" s="39"/>
      <c r="I97" s="39"/>
      <c r="J97" s="47"/>
      <c r="K97" s="48"/>
      <c r="L97" s="48"/>
      <c r="M97" s="37"/>
    </row>
    <row r="98" spans="1:13" ht="22.2" customHeight="1" x14ac:dyDescent="0.3">
      <c r="A98" s="35">
        <v>95</v>
      </c>
      <c r="B98" s="40"/>
      <c r="C98" s="46"/>
      <c r="D98" s="39"/>
      <c r="E98" s="39"/>
      <c r="F98" s="39"/>
      <c r="G98" s="39"/>
      <c r="H98" s="39"/>
      <c r="I98" s="39"/>
      <c r="J98" s="47"/>
      <c r="K98" s="48"/>
      <c r="L98" s="48"/>
      <c r="M98" s="37"/>
    </row>
    <row r="99" spans="1:13" ht="22.2" customHeight="1" x14ac:dyDescent="0.3">
      <c r="A99" s="35">
        <v>96</v>
      </c>
      <c r="B99" s="40"/>
      <c r="C99" s="46"/>
      <c r="D99" s="39"/>
      <c r="E99" s="39"/>
      <c r="F99" s="39"/>
      <c r="G99" s="39"/>
      <c r="H99" s="39"/>
      <c r="I99" s="39"/>
      <c r="J99" s="47"/>
      <c r="K99" s="48"/>
      <c r="L99" s="48"/>
      <c r="M99" s="37"/>
    </row>
    <row r="100" spans="1:13" ht="22.2" customHeight="1" x14ac:dyDescent="0.3">
      <c r="A100" s="35">
        <v>97</v>
      </c>
      <c r="B100" s="40"/>
      <c r="C100" s="46"/>
      <c r="D100" s="39"/>
      <c r="E100" s="39"/>
      <c r="F100" s="39"/>
      <c r="G100" s="39"/>
      <c r="H100" s="39"/>
      <c r="I100" s="39"/>
      <c r="J100" s="47"/>
      <c r="K100" s="48"/>
      <c r="L100" s="48"/>
      <c r="M100" s="37"/>
    </row>
    <row r="101" spans="1:13" ht="22.2" customHeight="1" x14ac:dyDescent="0.3">
      <c r="A101" s="35">
        <v>98</v>
      </c>
      <c r="B101" s="40"/>
      <c r="C101" s="46"/>
      <c r="D101" s="39"/>
      <c r="E101" s="39"/>
      <c r="F101" s="39"/>
      <c r="G101" s="39"/>
      <c r="H101" s="39"/>
      <c r="I101" s="39"/>
      <c r="J101" s="47"/>
      <c r="K101" s="48"/>
      <c r="L101" s="48"/>
      <c r="M101" s="37"/>
    </row>
    <row r="102" spans="1:13" ht="22.2" customHeight="1" x14ac:dyDescent="0.3">
      <c r="A102" s="35">
        <v>99</v>
      </c>
      <c r="B102" s="40"/>
      <c r="C102" s="46"/>
      <c r="D102" s="39"/>
      <c r="E102" s="39"/>
      <c r="F102" s="39"/>
      <c r="G102" s="39"/>
      <c r="H102" s="39"/>
      <c r="I102" s="39"/>
      <c r="J102" s="47"/>
      <c r="K102" s="48"/>
      <c r="L102" s="48"/>
      <c r="M102" s="37"/>
    </row>
    <row r="103" spans="1:13" ht="22.2" customHeight="1" x14ac:dyDescent="0.3">
      <c r="A103" s="35">
        <v>100</v>
      </c>
      <c r="B103" s="40"/>
      <c r="C103" s="46"/>
      <c r="D103" s="39"/>
      <c r="E103" s="39"/>
      <c r="F103" s="39"/>
      <c r="G103" s="39"/>
      <c r="H103" s="39"/>
      <c r="I103" s="39"/>
      <c r="J103" s="47"/>
      <c r="K103" s="48"/>
      <c r="L103" s="48"/>
      <c r="M103" s="37"/>
    </row>
    <row r="104" spans="1:13" ht="22.2" customHeight="1" x14ac:dyDescent="0.3">
      <c r="A104" s="35">
        <v>101</v>
      </c>
      <c r="B104" s="40"/>
      <c r="C104" s="46"/>
      <c r="D104" s="39"/>
      <c r="E104" s="39"/>
      <c r="F104" s="39"/>
      <c r="G104" s="39"/>
      <c r="H104" s="39"/>
      <c r="I104" s="39"/>
      <c r="J104" s="47"/>
      <c r="K104" s="48"/>
      <c r="L104" s="48"/>
      <c r="M104" s="37"/>
    </row>
    <row r="105" spans="1:13" ht="22.2" customHeight="1" x14ac:dyDescent="0.3">
      <c r="A105" s="35">
        <v>102</v>
      </c>
      <c r="B105" s="40"/>
      <c r="C105" s="46"/>
      <c r="D105" s="39"/>
      <c r="E105" s="39"/>
      <c r="F105" s="39"/>
      <c r="G105" s="39"/>
      <c r="H105" s="39"/>
      <c r="I105" s="39"/>
      <c r="J105" s="47"/>
      <c r="K105" s="48"/>
      <c r="L105" s="48"/>
      <c r="M105" s="37"/>
    </row>
    <row r="106" spans="1:13" ht="22.2" customHeight="1" x14ac:dyDescent="0.3">
      <c r="A106" s="35">
        <v>103</v>
      </c>
      <c r="B106" s="40"/>
      <c r="C106" s="46"/>
      <c r="D106" s="39"/>
      <c r="E106" s="39"/>
      <c r="F106" s="39"/>
      <c r="G106" s="39"/>
      <c r="H106" s="39"/>
      <c r="I106" s="39"/>
      <c r="J106" s="47"/>
      <c r="K106" s="48"/>
      <c r="L106" s="48"/>
      <c r="M106" s="37"/>
    </row>
    <row r="107" spans="1:13" ht="22.2" customHeight="1" x14ac:dyDescent="0.3">
      <c r="A107" s="35">
        <v>104</v>
      </c>
      <c r="B107" s="40"/>
      <c r="C107" s="46"/>
      <c r="D107" s="39"/>
      <c r="E107" s="39"/>
      <c r="F107" s="39"/>
      <c r="G107" s="39"/>
      <c r="H107" s="39"/>
      <c r="I107" s="39"/>
      <c r="J107" s="47"/>
      <c r="K107" s="48"/>
      <c r="L107" s="48"/>
      <c r="M107" s="37"/>
    </row>
    <row r="108" spans="1:13" ht="22.2" customHeight="1" x14ac:dyDescent="0.3">
      <c r="A108" s="35">
        <v>105</v>
      </c>
      <c r="B108" s="40"/>
      <c r="C108" s="46"/>
      <c r="D108" s="39"/>
      <c r="E108" s="39"/>
      <c r="F108" s="39"/>
      <c r="G108" s="39"/>
      <c r="H108" s="39"/>
      <c r="I108" s="39"/>
      <c r="J108" s="47"/>
      <c r="K108" s="48"/>
      <c r="L108" s="48"/>
      <c r="M108" s="37"/>
    </row>
    <row r="109" spans="1:13" ht="22.2" customHeight="1" x14ac:dyDescent="0.3">
      <c r="A109" s="35">
        <v>106</v>
      </c>
      <c r="B109" s="40"/>
      <c r="C109" s="46"/>
      <c r="D109" s="39"/>
      <c r="E109" s="39"/>
      <c r="F109" s="39"/>
      <c r="G109" s="39"/>
      <c r="H109" s="39"/>
      <c r="I109" s="39"/>
      <c r="J109" s="47"/>
      <c r="K109" s="48"/>
      <c r="L109" s="48"/>
      <c r="M109" s="37"/>
    </row>
    <row r="110" spans="1:13" ht="22.2" customHeight="1" x14ac:dyDescent="0.3">
      <c r="A110" s="35">
        <v>107</v>
      </c>
      <c r="B110" s="40"/>
      <c r="C110" s="46"/>
      <c r="D110" s="39"/>
      <c r="E110" s="39"/>
      <c r="F110" s="39"/>
      <c r="G110" s="39"/>
      <c r="H110" s="39"/>
      <c r="I110" s="39"/>
      <c r="J110" s="47"/>
      <c r="K110" s="48"/>
      <c r="L110" s="48"/>
      <c r="M110" s="37"/>
    </row>
    <row r="111" spans="1:13" ht="22.2" customHeight="1" x14ac:dyDescent="0.3">
      <c r="A111" s="35">
        <v>108</v>
      </c>
      <c r="B111" s="40"/>
      <c r="C111" s="46"/>
      <c r="D111" s="39"/>
      <c r="E111" s="39"/>
      <c r="F111" s="39"/>
      <c r="G111" s="39"/>
      <c r="H111" s="39"/>
      <c r="I111" s="39"/>
      <c r="J111" s="47"/>
      <c r="K111" s="48"/>
      <c r="L111" s="48"/>
      <c r="M111" s="37"/>
    </row>
    <row r="112" spans="1:13" ht="22.2" customHeight="1" x14ac:dyDescent="0.3">
      <c r="A112" s="35">
        <v>109</v>
      </c>
      <c r="B112" s="40"/>
      <c r="C112" s="46"/>
      <c r="D112" s="39"/>
      <c r="E112" s="39"/>
      <c r="F112" s="39"/>
      <c r="G112" s="39"/>
      <c r="H112" s="39"/>
      <c r="I112" s="39"/>
      <c r="J112" s="47"/>
      <c r="K112" s="48"/>
      <c r="L112" s="48"/>
      <c r="M112" s="37"/>
    </row>
    <row r="113" spans="1:13" ht="22.2" customHeight="1" x14ac:dyDescent="0.3">
      <c r="A113" s="35">
        <v>110</v>
      </c>
      <c r="B113" s="40"/>
      <c r="C113" s="46"/>
      <c r="D113" s="39"/>
      <c r="E113" s="39"/>
      <c r="F113" s="39"/>
      <c r="G113" s="39"/>
      <c r="H113" s="39"/>
      <c r="I113" s="39"/>
      <c r="J113" s="47"/>
      <c r="K113" s="48"/>
      <c r="L113" s="48"/>
      <c r="M113" s="37"/>
    </row>
    <row r="114" spans="1:13" ht="22.2" customHeight="1" x14ac:dyDescent="0.3">
      <c r="A114" s="35">
        <v>111</v>
      </c>
      <c r="B114" s="40"/>
      <c r="C114" s="46"/>
      <c r="D114" s="39"/>
      <c r="E114" s="39"/>
      <c r="F114" s="39"/>
      <c r="G114" s="39"/>
      <c r="H114" s="39"/>
      <c r="I114" s="39"/>
      <c r="J114" s="47"/>
      <c r="K114" s="48"/>
      <c r="L114" s="48"/>
      <c r="M114" s="37"/>
    </row>
    <row r="115" spans="1:13" ht="22.2" customHeight="1" x14ac:dyDescent="0.3">
      <c r="A115" s="35">
        <v>112</v>
      </c>
      <c r="B115" s="40"/>
      <c r="C115" s="46"/>
      <c r="D115" s="39"/>
      <c r="E115" s="39"/>
      <c r="F115" s="39"/>
      <c r="G115" s="39"/>
      <c r="H115" s="39"/>
      <c r="I115" s="39"/>
      <c r="J115" s="47"/>
      <c r="K115" s="48"/>
      <c r="L115" s="48"/>
      <c r="M115" s="37"/>
    </row>
    <row r="116" spans="1:13" ht="22.2" customHeight="1" x14ac:dyDescent="0.3">
      <c r="A116" s="35">
        <v>113</v>
      </c>
      <c r="B116" s="40"/>
      <c r="C116" s="46"/>
      <c r="D116" s="39"/>
      <c r="E116" s="39"/>
      <c r="F116" s="39"/>
      <c r="G116" s="39"/>
      <c r="H116" s="39"/>
      <c r="I116" s="39"/>
      <c r="J116" s="47"/>
      <c r="K116" s="48"/>
      <c r="L116" s="48"/>
      <c r="M116" s="37"/>
    </row>
    <row r="117" spans="1:13" ht="22.2" customHeight="1" x14ac:dyDescent="0.3">
      <c r="A117" s="35">
        <v>114</v>
      </c>
      <c r="B117" s="40"/>
      <c r="C117" s="46"/>
      <c r="D117" s="39"/>
      <c r="E117" s="39"/>
      <c r="F117" s="39"/>
      <c r="G117" s="39"/>
      <c r="H117" s="39"/>
      <c r="I117" s="39"/>
      <c r="J117" s="47"/>
      <c r="K117" s="48"/>
      <c r="L117" s="48"/>
      <c r="M117" s="37"/>
    </row>
    <row r="118" spans="1:13" ht="22.2" customHeight="1" x14ac:dyDescent="0.3">
      <c r="A118" s="35">
        <v>115</v>
      </c>
      <c r="B118" s="40"/>
      <c r="C118" s="46"/>
      <c r="D118" s="39"/>
      <c r="E118" s="39"/>
      <c r="F118" s="39"/>
      <c r="G118" s="39"/>
      <c r="H118" s="39"/>
      <c r="I118" s="39"/>
      <c r="J118" s="47"/>
      <c r="K118" s="48"/>
      <c r="L118" s="48"/>
      <c r="M118" s="37"/>
    </row>
    <row r="119" spans="1:13" ht="22.2" customHeight="1" x14ac:dyDescent="0.3">
      <c r="A119" s="35">
        <v>116</v>
      </c>
      <c r="B119" s="40"/>
      <c r="C119" s="46"/>
      <c r="D119" s="39"/>
      <c r="E119" s="39"/>
      <c r="F119" s="39"/>
      <c r="G119" s="39"/>
      <c r="H119" s="39"/>
      <c r="I119" s="39"/>
      <c r="J119" s="47"/>
      <c r="K119" s="48"/>
      <c r="L119" s="48"/>
      <c r="M119" s="37"/>
    </row>
    <row r="120" spans="1:13" ht="22.2" customHeight="1" x14ac:dyDescent="0.3">
      <c r="A120" s="35">
        <v>117</v>
      </c>
      <c r="B120" s="40"/>
      <c r="C120" s="46"/>
      <c r="D120" s="39"/>
      <c r="E120" s="39"/>
      <c r="F120" s="39"/>
      <c r="G120" s="39"/>
      <c r="H120" s="39"/>
      <c r="I120" s="39"/>
      <c r="J120" s="47"/>
      <c r="K120" s="48"/>
      <c r="L120" s="48"/>
      <c r="M120" s="37"/>
    </row>
    <row r="121" spans="1:13" ht="22.2" customHeight="1" x14ac:dyDescent="0.3">
      <c r="A121" s="35">
        <v>118</v>
      </c>
      <c r="B121" s="40"/>
      <c r="C121" s="46"/>
      <c r="D121" s="39"/>
      <c r="E121" s="39"/>
      <c r="F121" s="39"/>
      <c r="G121" s="39"/>
      <c r="H121" s="39"/>
      <c r="I121" s="39"/>
      <c r="J121" s="47"/>
      <c r="K121" s="48"/>
      <c r="L121" s="48"/>
      <c r="M121" s="37"/>
    </row>
    <row r="122" spans="1:13" ht="22.2" customHeight="1" x14ac:dyDescent="0.3">
      <c r="A122" s="35">
        <v>119</v>
      </c>
      <c r="B122" s="40"/>
      <c r="C122" s="46"/>
      <c r="D122" s="39"/>
      <c r="E122" s="39"/>
      <c r="F122" s="39"/>
      <c r="G122" s="39"/>
      <c r="H122" s="39"/>
      <c r="I122" s="39"/>
      <c r="J122" s="47"/>
      <c r="K122" s="48"/>
      <c r="L122" s="48"/>
      <c r="M122" s="37"/>
    </row>
    <row r="123" spans="1:13" ht="22.2" customHeight="1" x14ac:dyDescent="0.3">
      <c r="A123" s="35">
        <v>120</v>
      </c>
      <c r="B123" s="40"/>
      <c r="C123" s="46"/>
      <c r="D123" s="39"/>
      <c r="E123" s="39"/>
      <c r="F123" s="39"/>
      <c r="G123" s="39"/>
      <c r="H123" s="39"/>
      <c r="I123" s="39"/>
      <c r="J123" s="47"/>
      <c r="K123" s="48"/>
      <c r="L123" s="48"/>
      <c r="M123" s="37"/>
    </row>
    <row r="124" spans="1:13" ht="22.2" customHeight="1" x14ac:dyDescent="0.3">
      <c r="A124" s="35">
        <v>121</v>
      </c>
      <c r="B124" s="40"/>
      <c r="C124" s="46"/>
      <c r="D124" s="39"/>
      <c r="E124" s="39"/>
      <c r="F124" s="39"/>
      <c r="G124" s="39"/>
      <c r="H124" s="39"/>
      <c r="I124" s="39"/>
      <c r="J124" s="47"/>
      <c r="K124" s="48"/>
      <c r="L124" s="48"/>
      <c r="M124" s="37"/>
    </row>
    <row r="125" spans="1:13" ht="22.2" customHeight="1" x14ac:dyDescent="0.3">
      <c r="A125" s="35">
        <v>122</v>
      </c>
      <c r="B125" s="40"/>
      <c r="C125" s="46"/>
      <c r="D125" s="39"/>
      <c r="E125" s="39"/>
      <c r="F125" s="39"/>
      <c r="G125" s="39"/>
      <c r="H125" s="39"/>
      <c r="I125" s="39"/>
      <c r="J125" s="47"/>
      <c r="K125" s="48"/>
      <c r="L125" s="48"/>
      <c r="M125" s="37"/>
    </row>
    <row r="126" spans="1:13" ht="22.2" customHeight="1" x14ac:dyDescent="0.3">
      <c r="A126" s="35">
        <v>123</v>
      </c>
      <c r="B126" s="40"/>
      <c r="C126" s="46"/>
      <c r="D126" s="39"/>
      <c r="E126" s="39"/>
      <c r="F126" s="39"/>
      <c r="G126" s="39"/>
      <c r="H126" s="39"/>
      <c r="I126" s="39"/>
      <c r="J126" s="47"/>
      <c r="K126" s="48"/>
      <c r="L126" s="48"/>
      <c r="M126" s="37"/>
    </row>
    <row r="127" spans="1:13" ht="22.2" customHeight="1" x14ac:dyDescent="0.3">
      <c r="A127" s="35">
        <v>124</v>
      </c>
      <c r="B127" s="40"/>
      <c r="C127" s="46"/>
      <c r="D127" s="39"/>
      <c r="E127" s="39"/>
      <c r="F127" s="39"/>
      <c r="G127" s="39"/>
      <c r="H127" s="39"/>
      <c r="I127" s="39"/>
      <c r="J127" s="47"/>
      <c r="K127" s="48"/>
      <c r="L127" s="48"/>
      <c r="M127" s="37"/>
    </row>
    <row r="128" spans="1:13" ht="22.2" customHeight="1" x14ac:dyDescent="0.3">
      <c r="A128" s="35">
        <v>125</v>
      </c>
      <c r="B128" s="40"/>
      <c r="C128" s="46"/>
      <c r="D128" s="39"/>
      <c r="E128" s="39"/>
      <c r="F128" s="39"/>
      <c r="G128" s="39"/>
      <c r="H128" s="39"/>
      <c r="I128" s="39"/>
      <c r="J128" s="47"/>
      <c r="K128" s="48"/>
      <c r="L128" s="48"/>
      <c r="M128" s="37"/>
    </row>
    <row r="129" spans="1:13" ht="22.2" customHeight="1" x14ac:dyDescent="0.3">
      <c r="A129" s="35">
        <v>126</v>
      </c>
      <c r="B129" s="40"/>
      <c r="C129" s="46"/>
      <c r="D129" s="39"/>
      <c r="E129" s="39"/>
      <c r="F129" s="39"/>
      <c r="G129" s="39"/>
      <c r="H129" s="39"/>
      <c r="I129" s="39"/>
      <c r="J129" s="47"/>
      <c r="K129" s="48"/>
      <c r="L129" s="48"/>
      <c r="M129" s="37"/>
    </row>
    <row r="130" spans="1:13" ht="22.2" customHeight="1" x14ac:dyDescent="0.3">
      <c r="A130" s="35">
        <v>127</v>
      </c>
      <c r="B130" s="40"/>
      <c r="C130" s="46"/>
      <c r="D130" s="39"/>
      <c r="E130" s="39"/>
      <c r="F130" s="39"/>
      <c r="G130" s="39"/>
      <c r="H130" s="39"/>
      <c r="I130" s="39"/>
      <c r="J130" s="47"/>
      <c r="K130" s="48"/>
      <c r="L130" s="48"/>
      <c r="M130" s="37"/>
    </row>
    <row r="131" spans="1:13" ht="22.2" customHeight="1" x14ac:dyDescent="0.3">
      <c r="A131" s="35">
        <v>128</v>
      </c>
      <c r="B131" s="40"/>
      <c r="C131" s="46"/>
      <c r="D131" s="39"/>
      <c r="E131" s="39"/>
      <c r="F131" s="39"/>
      <c r="G131" s="39"/>
      <c r="H131" s="39"/>
      <c r="I131" s="39"/>
      <c r="J131" s="47"/>
      <c r="K131" s="48"/>
      <c r="L131" s="48"/>
      <c r="M131" s="37"/>
    </row>
    <row r="132" spans="1:13" ht="22.2" customHeight="1" x14ac:dyDescent="0.3">
      <c r="A132" s="35">
        <v>129</v>
      </c>
      <c r="B132" s="40"/>
      <c r="C132" s="46"/>
      <c r="D132" s="39"/>
      <c r="E132" s="39"/>
      <c r="F132" s="39"/>
      <c r="G132" s="39"/>
      <c r="H132" s="39"/>
      <c r="I132" s="39"/>
      <c r="J132" s="47"/>
      <c r="K132" s="48"/>
      <c r="L132" s="48"/>
      <c r="M132" s="37"/>
    </row>
    <row r="133" spans="1:13" ht="22.2" customHeight="1" x14ac:dyDescent="0.3">
      <c r="A133" s="35">
        <v>130</v>
      </c>
      <c r="B133" s="40"/>
      <c r="C133" s="46"/>
      <c r="D133" s="39"/>
      <c r="E133" s="39"/>
      <c r="F133" s="39"/>
      <c r="G133" s="39"/>
      <c r="H133" s="39"/>
      <c r="I133" s="39"/>
      <c r="J133" s="47"/>
      <c r="K133" s="48"/>
      <c r="L133" s="48"/>
      <c r="M133" s="37"/>
    </row>
    <row r="134" spans="1:13" ht="22.2" customHeight="1" x14ac:dyDescent="0.3">
      <c r="A134" s="35">
        <v>131</v>
      </c>
      <c r="B134" s="40"/>
      <c r="C134" s="46"/>
      <c r="D134" s="39"/>
      <c r="E134" s="39"/>
      <c r="F134" s="39"/>
      <c r="G134" s="39"/>
      <c r="H134" s="39"/>
      <c r="I134" s="39"/>
      <c r="J134" s="47"/>
      <c r="K134" s="48"/>
      <c r="L134" s="48"/>
      <c r="M134" s="37"/>
    </row>
    <row r="135" spans="1:13" ht="22.2" customHeight="1" x14ac:dyDescent="0.3">
      <c r="A135" s="35">
        <v>132</v>
      </c>
      <c r="B135" s="40"/>
      <c r="C135" s="46"/>
      <c r="D135" s="39"/>
      <c r="E135" s="39"/>
      <c r="F135" s="39"/>
      <c r="G135" s="39"/>
      <c r="H135" s="39"/>
      <c r="I135" s="39"/>
      <c r="J135" s="47"/>
      <c r="K135" s="48"/>
      <c r="L135" s="48"/>
      <c r="M135" s="37"/>
    </row>
    <row r="136" spans="1:13" ht="22.2" customHeight="1" x14ac:dyDescent="0.3">
      <c r="A136" s="35">
        <v>133</v>
      </c>
      <c r="B136" s="40"/>
      <c r="C136" s="46"/>
      <c r="D136" s="39"/>
      <c r="E136" s="39"/>
      <c r="F136" s="39"/>
      <c r="G136" s="39"/>
      <c r="H136" s="39"/>
      <c r="I136" s="39"/>
      <c r="J136" s="47"/>
      <c r="K136" s="48"/>
      <c r="L136" s="48"/>
      <c r="M136" s="37"/>
    </row>
    <row r="137" spans="1:13" ht="22.2" customHeight="1" x14ac:dyDescent="0.3">
      <c r="A137" s="35">
        <v>134</v>
      </c>
      <c r="B137" s="40"/>
      <c r="C137" s="46"/>
      <c r="D137" s="39"/>
      <c r="E137" s="39"/>
      <c r="F137" s="39"/>
      <c r="G137" s="39"/>
      <c r="H137" s="39"/>
      <c r="I137" s="39"/>
      <c r="J137" s="47"/>
      <c r="K137" s="48"/>
      <c r="L137" s="48"/>
      <c r="M137" s="37"/>
    </row>
    <row r="138" spans="1:13" ht="22.2" customHeight="1" x14ac:dyDescent="0.3">
      <c r="A138" s="35">
        <v>135</v>
      </c>
      <c r="B138" s="40"/>
      <c r="C138" s="46"/>
      <c r="D138" s="39"/>
      <c r="E138" s="39"/>
      <c r="F138" s="39"/>
      <c r="G138" s="39"/>
      <c r="H138" s="39"/>
      <c r="I138" s="39"/>
      <c r="J138" s="47"/>
      <c r="K138" s="48"/>
      <c r="L138" s="48"/>
      <c r="M138" s="37"/>
    </row>
    <row r="139" spans="1:13" ht="22.2" customHeight="1" x14ac:dyDescent="0.3">
      <c r="A139" s="35">
        <v>136</v>
      </c>
      <c r="B139" s="40"/>
      <c r="C139" s="46"/>
      <c r="D139" s="39"/>
      <c r="E139" s="39"/>
      <c r="F139" s="39"/>
      <c r="G139" s="39"/>
      <c r="H139" s="39"/>
      <c r="I139" s="39"/>
      <c r="J139" s="47"/>
      <c r="K139" s="48"/>
      <c r="L139" s="48"/>
      <c r="M139" s="37"/>
    </row>
    <row r="140" spans="1:13" ht="22.2" customHeight="1" x14ac:dyDescent="0.3">
      <c r="A140" s="35">
        <v>137</v>
      </c>
      <c r="B140" s="40"/>
      <c r="C140" s="46"/>
      <c r="D140" s="39"/>
      <c r="E140" s="39"/>
      <c r="F140" s="39"/>
      <c r="G140" s="39"/>
      <c r="H140" s="39"/>
      <c r="I140" s="39"/>
      <c r="J140" s="47"/>
      <c r="K140" s="48"/>
      <c r="L140" s="48"/>
      <c r="M140" s="37"/>
    </row>
    <row r="141" spans="1:13" ht="22.2" customHeight="1" x14ac:dyDescent="0.3">
      <c r="A141" s="35">
        <v>138</v>
      </c>
      <c r="B141" s="40"/>
      <c r="C141" s="46"/>
      <c r="D141" s="39"/>
      <c r="E141" s="39"/>
      <c r="F141" s="39"/>
      <c r="G141" s="39"/>
      <c r="H141" s="39"/>
      <c r="I141" s="39"/>
      <c r="J141" s="47"/>
      <c r="K141" s="48"/>
      <c r="L141" s="48"/>
      <c r="M141" s="37"/>
    </row>
    <row r="142" spans="1:13" ht="22.2" customHeight="1" x14ac:dyDescent="0.3">
      <c r="A142" s="35">
        <v>139</v>
      </c>
      <c r="B142" s="40"/>
      <c r="C142" s="46"/>
      <c r="D142" s="39"/>
      <c r="E142" s="39"/>
      <c r="F142" s="39"/>
      <c r="G142" s="39"/>
      <c r="H142" s="39"/>
      <c r="I142" s="39"/>
      <c r="J142" s="47"/>
      <c r="K142" s="48"/>
      <c r="L142" s="48"/>
      <c r="M142" s="37"/>
    </row>
    <row r="143" spans="1:13" ht="22.2" customHeight="1" x14ac:dyDescent="0.3">
      <c r="A143" s="35">
        <v>140</v>
      </c>
      <c r="B143" s="40"/>
      <c r="C143" s="46"/>
      <c r="D143" s="39"/>
      <c r="E143" s="39"/>
      <c r="F143" s="39"/>
      <c r="G143" s="39"/>
      <c r="H143" s="39"/>
      <c r="I143" s="39"/>
      <c r="J143" s="47"/>
      <c r="K143" s="48"/>
      <c r="L143" s="48"/>
      <c r="M143" s="37"/>
    </row>
    <row r="144" spans="1:13" ht="22.2" customHeight="1" x14ac:dyDescent="0.3">
      <c r="A144" s="35">
        <v>141</v>
      </c>
      <c r="B144" s="40"/>
      <c r="C144" s="46"/>
      <c r="D144" s="39"/>
      <c r="E144" s="39"/>
      <c r="F144" s="39"/>
      <c r="G144" s="39"/>
      <c r="H144" s="39"/>
      <c r="I144" s="39"/>
      <c r="J144" s="47"/>
      <c r="K144" s="48"/>
      <c r="L144" s="48"/>
      <c r="M144" s="37"/>
    </row>
    <row r="145" spans="1:13" ht="22.2" customHeight="1" x14ac:dyDescent="0.3">
      <c r="A145" s="35">
        <v>142</v>
      </c>
      <c r="B145" s="40"/>
      <c r="C145" s="46"/>
      <c r="D145" s="39"/>
      <c r="E145" s="39"/>
      <c r="F145" s="39"/>
      <c r="G145" s="39"/>
      <c r="H145" s="39"/>
      <c r="I145" s="39"/>
      <c r="J145" s="47"/>
      <c r="K145" s="48"/>
      <c r="L145" s="48"/>
      <c r="M145" s="37"/>
    </row>
    <row r="146" spans="1:13" ht="22.2" customHeight="1" x14ac:dyDescent="0.3">
      <c r="A146" s="35">
        <v>143</v>
      </c>
      <c r="B146" s="40"/>
      <c r="C146" s="46"/>
      <c r="D146" s="39"/>
      <c r="E146" s="39"/>
      <c r="F146" s="39"/>
      <c r="G146" s="39"/>
      <c r="H146" s="39"/>
      <c r="I146" s="39"/>
      <c r="J146" s="47"/>
      <c r="K146" s="48"/>
      <c r="L146" s="48"/>
      <c r="M146" s="37"/>
    </row>
    <row r="147" spans="1:13" ht="22.2" customHeight="1" x14ac:dyDescent="0.3">
      <c r="A147" s="35">
        <v>144</v>
      </c>
      <c r="B147" s="40"/>
      <c r="C147" s="46"/>
      <c r="D147" s="39"/>
      <c r="E147" s="39"/>
      <c r="F147" s="39"/>
      <c r="G147" s="39"/>
      <c r="H147" s="39"/>
      <c r="I147" s="39"/>
      <c r="J147" s="47"/>
      <c r="K147" s="48"/>
      <c r="L147" s="48"/>
      <c r="M147" s="37"/>
    </row>
    <row r="148" spans="1:13" ht="22.2" customHeight="1" x14ac:dyDescent="0.3">
      <c r="A148" s="35">
        <v>145</v>
      </c>
      <c r="B148" s="40"/>
      <c r="C148" s="46"/>
      <c r="D148" s="39"/>
      <c r="E148" s="39"/>
      <c r="F148" s="39"/>
      <c r="G148" s="39"/>
      <c r="H148" s="39"/>
      <c r="I148" s="39"/>
      <c r="J148" s="47"/>
      <c r="K148" s="48"/>
      <c r="L148" s="48"/>
      <c r="M148" s="37"/>
    </row>
    <row r="149" spans="1:13" ht="22.2" customHeight="1" x14ac:dyDescent="0.3">
      <c r="A149" s="35">
        <v>146</v>
      </c>
      <c r="B149" s="40"/>
      <c r="C149" s="46"/>
      <c r="D149" s="39"/>
      <c r="E149" s="39"/>
      <c r="F149" s="39"/>
      <c r="G149" s="39"/>
      <c r="H149" s="39"/>
      <c r="I149" s="39"/>
      <c r="J149" s="47"/>
      <c r="K149" s="48"/>
      <c r="L149" s="48"/>
      <c r="M149" s="37"/>
    </row>
    <row r="150" spans="1:13" ht="22.2" customHeight="1" x14ac:dyDescent="0.3">
      <c r="A150" s="35">
        <v>147</v>
      </c>
      <c r="B150" s="40"/>
      <c r="C150" s="46"/>
      <c r="D150" s="39"/>
      <c r="E150" s="39"/>
      <c r="F150" s="39"/>
      <c r="G150" s="39"/>
      <c r="H150" s="39"/>
      <c r="I150" s="39"/>
      <c r="J150" s="47"/>
      <c r="K150" s="48"/>
      <c r="L150" s="48"/>
      <c r="M150" s="37"/>
    </row>
    <row r="151" spans="1:13" ht="22.2" customHeight="1" x14ac:dyDescent="0.3">
      <c r="A151" s="35">
        <v>148</v>
      </c>
      <c r="B151" s="40"/>
      <c r="C151" s="46"/>
      <c r="D151" s="39"/>
      <c r="E151" s="39"/>
      <c r="F151" s="39"/>
      <c r="G151" s="39"/>
      <c r="H151" s="39"/>
      <c r="I151" s="39"/>
      <c r="J151" s="47"/>
      <c r="K151" s="48"/>
      <c r="L151" s="48"/>
      <c r="M151" s="37"/>
    </row>
    <row r="152" spans="1:13" ht="22.2" customHeight="1" x14ac:dyDescent="0.3">
      <c r="A152" s="35">
        <v>149</v>
      </c>
      <c r="B152" s="40"/>
      <c r="C152" s="46"/>
      <c r="D152" s="39"/>
      <c r="E152" s="39"/>
      <c r="F152" s="39"/>
      <c r="G152" s="39"/>
      <c r="H152" s="39"/>
      <c r="I152" s="39"/>
      <c r="J152" s="47"/>
      <c r="K152" s="48"/>
      <c r="L152" s="48"/>
      <c r="M152" s="37"/>
    </row>
    <row r="153" spans="1:13" ht="22.2" customHeight="1" x14ac:dyDescent="0.3">
      <c r="A153" s="35">
        <v>150</v>
      </c>
      <c r="B153" s="40"/>
      <c r="C153" s="46"/>
      <c r="D153" s="39"/>
      <c r="E153" s="39"/>
      <c r="F153" s="39"/>
      <c r="G153" s="39"/>
      <c r="H153" s="39"/>
      <c r="I153" s="39"/>
      <c r="J153" s="47"/>
      <c r="K153" s="48"/>
      <c r="L153" s="48"/>
      <c r="M153" s="37"/>
    </row>
    <row r="154" spans="1:13" ht="22.2" customHeight="1" x14ac:dyDescent="0.3">
      <c r="A154" s="35">
        <v>151</v>
      </c>
      <c r="B154" s="40"/>
      <c r="C154" s="46"/>
      <c r="D154" s="39"/>
      <c r="E154" s="39"/>
      <c r="F154" s="39"/>
      <c r="G154" s="39"/>
      <c r="H154" s="39"/>
      <c r="I154" s="39"/>
      <c r="J154" s="47"/>
      <c r="K154" s="48"/>
      <c r="L154" s="48"/>
      <c r="M154" s="37"/>
    </row>
    <row r="155" spans="1:13" ht="22.2" customHeight="1" x14ac:dyDescent="0.3">
      <c r="A155" s="35">
        <v>152</v>
      </c>
      <c r="B155" s="40"/>
      <c r="C155" s="46"/>
      <c r="D155" s="39"/>
      <c r="E155" s="39"/>
      <c r="F155" s="39"/>
      <c r="G155" s="39"/>
      <c r="H155" s="39"/>
      <c r="I155" s="39"/>
      <c r="J155" s="47"/>
      <c r="K155" s="48"/>
      <c r="L155" s="48"/>
      <c r="M155" s="37"/>
    </row>
    <row r="156" spans="1:13" ht="22.2" customHeight="1" x14ac:dyDescent="0.3">
      <c r="A156" s="35">
        <v>153</v>
      </c>
      <c r="B156" s="40"/>
      <c r="C156" s="46"/>
      <c r="D156" s="39"/>
      <c r="E156" s="39"/>
      <c r="F156" s="39"/>
      <c r="G156" s="39"/>
      <c r="H156" s="39"/>
      <c r="I156" s="39"/>
      <c r="J156" s="47"/>
      <c r="K156" s="48"/>
      <c r="L156" s="48"/>
      <c r="M156" s="37"/>
    </row>
    <row r="157" spans="1:13" ht="22.2" customHeight="1" x14ac:dyDescent="0.3">
      <c r="A157" s="35">
        <v>154</v>
      </c>
      <c r="B157" s="40"/>
      <c r="C157" s="46"/>
      <c r="D157" s="39"/>
      <c r="E157" s="39"/>
      <c r="F157" s="39"/>
      <c r="G157" s="39"/>
      <c r="H157" s="39"/>
      <c r="I157" s="39"/>
      <c r="J157" s="47"/>
      <c r="K157" s="48"/>
      <c r="L157" s="48"/>
      <c r="M157" s="37"/>
    </row>
    <row r="158" spans="1:13" ht="22.2" customHeight="1" x14ac:dyDescent="0.3">
      <c r="A158" s="35">
        <v>155</v>
      </c>
      <c r="B158" s="40"/>
      <c r="C158" s="46"/>
      <c r="D158" s="39"/>
      <c r="E158" s="39"/>
      <c r="F158" s="39"/>
      <c r="G158" s="39"/>
      <c r="H158" s="39"/>
      <c r="I158" s="39"/>
      <c r="J158" s="47"/>
      <c r="K158" s="48"/>
      <c r="L158" s="48"/>
      <c r="M158" s="37"/>
    </row>
    <row r="159" spans="1:13" ht="22.2" customHeight="1" x14ac:dyDescent="0.3">
      <c r="A159" s="35">
        <v>156</v>
      </c>
      <c r="B159" s="40"/>
      <c r="C159" s="46"/>
      <c r="D159" s="39"/>
      <c r="E159" s="39"/>
      <c r="F159" s="39"/>
      <c r="G159" s="39"/>
      <c r="H159" s="39"/>
      <c r="I159" s="39"/>
      <c r="J159" s="47"/>
      <c r="K159" s="48"/>
      <c r="L159" s="48"/>
      <c r="M159" s="37"/>
    </row>
    <row r="160" spans="1:13" ht="22.2" customHeight="1" x14ac:dyDescent="0.3">
      <c r="A160" s="35">
        <v>157</v>
      </c>
      <c r="B160" s="40"/>
      <c r="C160" s="46"/>
      <c r="D160" s="39"/>
      <c r="E160" s="39"/>
      <c r="F160" s="39"/>
      <c r="G160" s="39"/>
      <c r="H160" s="39"/>
      <c r="I160" s="39"/>
      <c r="J160" s="47"/>
      <c r="K160" s="48"/>
      <c r="L160" s="48"/>
      <c r="M160" s="37"/>
    </row>
    <row r="161" spans="1:13" ht="22.2" customHeight="1" x14ac:dyDescent="0.3">
      <c r="A161" s="35">
        <v>158</v>
      </c>
      <c r="B161" s="40"/>
      <c r="C161" s="46"/>
      <c r="D161" s="39"/>
      <c r="E161" s="39"/>
      <c r="F161" s="39"/>
      <c r="G161" s="39"/>
      <c r="H161" s="39"/>
      <c r="I161" s="39"/>
      <c r="J161" s="47"/>
      <c r="K161" s="48"/>
      <c r="L161" s="48"/>
      <c r="M161" s="37"/>
    </row>
    <row r="162" spans="1:13" ht="22.2" customHeight="1" x14ac:dyDescent="0.3">
      <c r="A162" s="35">
        <v>159</v>
      </c>
      <c r="B162" s="40"/>
      <c r="C162" s="46"/>
      <c r="D162" s="39"/>
      <c r="E162" s="39"/>
      <c r="F162" s="39"/>
      <c r="G162" s="39"/>
      <c r="H162" s="39"/>
      <c r="I162" s="39"/>
      <c r="J162" s="47"/>
      <c r="K162" s="48"/>
      <c r="L162" s="48"/>
      <c r="M162" s="37"/>
    </row>
    <row r="163" spans="1:13" ht="22.2" customHeight="1" x14ac:dyDescent="0.3">
      <c r="A163" s="35">
        <v>160</v>
      </c>
      <c r="B163" s="40"/>
      <c r="C163" s="46"/>
      <c r="D163" s="39"/>
      <c r="E163" s="39"/>
      <c r="F163" s="39"/>
      <c r="G163" s="39"/>
      <c r="H163" s="39"/>
      <c r="I163" s="39"/>
      <c r="J163" s="47"/>
      <c r="K163" s="48"/>
      <c r="L163" s="48"/>
      <c r="M163" s="37"/>
    </row>
    <row r="164" spans="1:13" ht="22.2" customHeight="1" x14ac:dyDescent="0.3">
      <c r="A164" s="35">
        <v>161</v>
      </c>
      <c r="B164" s="40"/>
      <c r="C164" s="46"/>
      <c r="D164" s="39"/>
      <c r="E164" s="39"/>
      <c r="F164" s="39"/>
      <c r="G164" s="39"/>
      <c r="H164" s="39"/>
      <c r="I164" s="39"/>
      <c r="J164" s="47"/>
      <c r="K164" s="48"/>
      <c r="L164" s="48"/>
      <c r="M164" s="37"/>
    </row>
    <row r="165" spans="1:13" ht="22.2" customHeight="1" x14ac:dyDescent="0.3">
      <c r="A165" s="35">
        <v>162</v>
      </c>
      <c r="B165" s="40"/>
      <c r="C165" s="46"/>
      <c r="D165" s="39"/>
      <c r="E165" s="39"/>
      <c r="F165" s="39"/>
      <c r="G165" s="39"/>
      <c r="H165" s="39"/>
      <c r="I165" s="39"/>
      <c r="J165" s="47"/>
      <c r="K165" s="48"/>
      <c r="L165" s="48"/>
      <c r="M165" s="37"/>
    </row>
    <row r="166" spans="1:13" ht="22.2" customHeight="1" x14ac:dyDescent="0.3">
      <c r="A166" s="35">
        <v>163</v>
      </c>
      <c r="B166" s="40"/>
      <c r="C166" s="46"/>
      <c r="D166" s="39"/>
      <c r="E166" s="39"/>
      <c r="F166" s="39"/>
      <c r="G166" s="39"/>
      <c r="H166" s="39"/>
      <c r="I166" s="39"/>
      <c r="J166" s="47"/>
      <c r="K166" s="48"/>
      <c r="L166" s="48"/>
      <c r="M166" s="37"/>
    </row>
    <row r="167" spans="1:13" ht="22.2" customHeight="1" x14ac:dyDescent="0.3">
      <c r="A167" s="35">
        <v>164</v>
      </c>
      <c r="B167" s="40"/>
      <c r="C167" s="46"/>
      <c r="D167" s="39"/>
      <c r="E167" s="39"/>
      <c r="F167" s="39"/>
      <c r="G167" s="39"/>
      <c r="H167" s="39"/>
      <c r="I167" s="39"/>
      <c r="J167" s="47"/>
      <c r="K167" s="48"/>
      <c r="L167" s="48"/>
      <c r="M167" s="37"/>
    </row>
    <row r="168" spans="1:13" ht="22.2" customHeight="1" x14ac:dyDescent="0.3">
      <c r="A168" s="35">
        <v>165</v>
      </c>
      <c r="B168" s="40"/>
      <c r="C168" s="46"/>
      <c r="D168" s="39"/>
      <c r="E168" s="39"/>
      <c r="F168" s="39"/>
      <c r="G168" s="39"/>
      <c r="H168" s="39"/>
      <c r="I168" s="39"/>
      <c r="J168" s="47"/>
      <c r="K168" s="48"/>
      <c r="L168" s="48"/>
      <c r="M168" s="37"/>
    </row>
    <row r="169" spans="1:13" ht="22.2" customHeight="1" x14ac:dyDescent="0.3">
      <c r="A169" s="35">
        <v>166</v>
      </c>
      <c r="B169" s="40"/>
      <c r="C169" s="46"/>
      <c r="D169" s="39"/>
      <c r="E169" s="39"/>
      <c r="F169" s="39"/>
      <c r="G169" s="39"/>
      <c r="H169" s="39"/>
      <c r="I169" s="39"/>
      <c r="J169" s="47"/>
      <c r="K169" s="48"/>
      <c r="L169" s="48"/>
      <c r="M169" s="37"/>
    </row>
    <row r="170" spans="1:13" ht="22.2" customHeight="1" x14ac:dyDescent="0.3">
      <c r="A170" s="35">
        <v>167</v>
      </c>
      <c r="B170" s="40"/>
      <c r="C170" s="46"/>
      <c r="D170" s="39"/>
      <c r="E170" s="39"/>
      <c r="F170" s="39"/>
      <c r="G170" s="39"/>
      <c r="H170" s="39"/>
      <c r="I170" s="39"/>
      <c r="J170" s="47"/>
      <c r="K170" s="48"/>
      <c r="L170" s="48"/>
      <c r="M170" s="37"/>
    </row>
    <row r="171" spans="1:13" ht="22.2" customHeight="1" x14ac:dyDescent="0.3">
      <c r="A171" s="35">
        <v>168</v>
      </c>
      <c r="B171" s="40"/>
      <c r="C171" s="46"/>
      <c r="D171" s="39"/>
      <c r="E171" s="39"/>
      <c r="F171" s="39"/>
      <c r="G171" s="39"/>
      <c r="H171" s="39"/>
      <c r="I171" s="39"/>
      <c r="J171" s="47"/>
      <c r="K171" s="48"/>
      <c r="L171" s="48"/>
      <c r="M171" s="37"/>
    </row>
    <row r="172" spans="1:13" ht="22.2" customHeight="1" x14ac:dyDescent="0.3">
      <c r="A172" s="35">
        <v>169</v>
      </c>
      <c r="B172" s="40"/>
      <c r="C172" s="46"/>
      <c r="D172" s="39"/>
      <c r="E172" s="39"/>
      <c r="F172" s="39"/>
      <c r="G172" s="39"/>
      <c r="H172" s="39"/>
      <c r="I172" s="39"/>
      <c r="J172" s="47"/>
      <c r="K172" s="48"/>
      <c r="L172" s="48"/>
      <c r="M172" s="37"/>
    </row>
    <row r="173" spans="1:13" ht="22.2" customHeight="1" x14ac:dyDescent="0.3">
      <c r="A173" s="35">
        <v>170</v>
      </c>
      <c r="B173" s="40"/>
      <c r="C173" s="46"/>
      <c r="D173" s="39"/>
      <c r="E173" s="39"/>
      <c r="F173" s="39"/>
      <c r="G173" s="39"/>
      <c r="H173" s="39"/>
      <c r="I173" s="39"/>
      <c r="J173" s="47"/>
      <c r="K173" s="48"/>
      <c r="L173" s="48"/>
      <c r="M173" s="37"/>
    </row>
    <row r="174" spans="1:13" ht="22.2" customHeight="1" x14ac:dyDescent="0.3">
      <c r="A174" s="35">
        <v>171</v>
      </c>
      <c r="B174" s="40"/>
      <c r="C174" s="46"/>
      <c r="D174" s="39"/>
      <c r="E174" s="39"/>
      <c r="F174" s="39"/>
      <c r="G174" s="39"/>
      <c r="H174" s="39"/>
      <c r="I174" s="39"/>
      <c r="J174" s="47"/>
      <c r="K174" s="48"/>
      <c r="L174" s="48"/>
      <c r="M174" s="37"/>
    </row>
    <row r="175" spans="1:13" ht="22.2" customHeight="1" x14ac:dyDescent="0.3">
      <c r="A175" s="35">
        <v>172</v>
      </c>
      <c r="B175" s="40"/>
      <c r="C175" s="46"/>
      <c r="D175" s="39"/>
      <c r="E175" s="39"/>
      <c r="F175" s="39"/>
      <c r="G175" s="39"/>
      <c r="H175" s="39"/>
      <c r="I175" s="39"/>
      <c r="J175" s="47"/>
      <c r="K175" s="48"/>
      <c r="L175" s="48"/>
      <c r="M175" s="37"/>
    </row>
    <row r="176" spans="1:13" ht="22.2" customHeight="1" x14ac:dyDescent="0.3">
      <c r="A176" s="35">
        <v>173</v>
      </c>
      <c r="B176" s="40"/>
      <c r="C176" s="46"/>
      <c r="D176" s="39"/>
      <c r="E176" s="39"/>
      <c r="F176" s="39"/>
      <c r="G176" s="39"/>
      <c r="H176" s="39"/>
      <c r="I176" s="39"/>
      <c r="J176" s="47"/>
      <c r="K176" s="48"/>
      <c r="L176" s="48"/>
      <c r="M176" s="37"/>
    </row>
    <row r="177" spans="1:13" ht="22.2" customHeight="1" x14ac:dyDescent="0.3">
      <c r="A177" s="35">
        <v>174</v>
      </c>
      <c r="B177" s="40"/>
      <c r="C177" s="46"/>
      <c r="D177" s="39"/>
      <c r="E177" s="39"/>
      <c r="F177" s="39"/>
      <c r="G177" s="39"/>
      <c r="H177" s="39"/>
      <c r="I177" s="39"/>
      <c r="J177" s="47"/>
      <c r="K177" s="48"/>
      <c r="L177" s="48"/>
      <c r="M177" s="37"/>
    </row>
    <row r="178" spans="1:13" ht="22.2" customHeight="1" x14ac:dyDescent="0.3">
      <c r="A178" s="35">
        <v>175</v>
      </c>
      <c r="B178" s="40"/>
      <c r="C178" s="46"/>
      <c r="D178" s="39"/>
      <c r="E178" s="39"/>
      <c r="F178" s="39"/>
      <c r="G178" s="39"/>
      <c r="H178" s="39"/>
      <c r="I178" s="39"/>
      <c r="J178" s="47"/>
      <c r="K178" s="48"/>
      <c r="L178" s="48"/>
      <c r="M178" s="37"/>
    </row>
    <row r="179" spans="1:13" ht="22.2" customHeight="1" x14ac:dyDescent="0.3">
      <c r="A179" s="35">
        <v>176</v>
      </c>
      <c r="B179" s="40"/>
      <c r="C179" s="46"/>
      <c r="D179" s="39"/>
      <c r="E179" s="39"/>
      <c r="F179" s="39"/>
      <c r="G179" s="39"/>
      <c r="H179" s="39"/>
      <c r="I179" s="39"/>
      <c r="J179" s="47"/>
      <c r="K179" s="48"/>
      <c r="L179" s="48"/>
      <c r="M179" s="37"/>
    </row>
    <row r="180" spans="1:13" ht="22.2" customHeight="1" x14ac:dyDescent="0.3">
      <c r="A180" s="35">
        <v>177</v>
      </c>
      <c r="B180" s="40"/>
      <c r="C180" s="46"/>
      <c r="D180" s="39"/>
      <c r="E180" s="39"/>
      <c r="F180" s="39"/>
      <c r="G180" s="39"/>
      <c r="H180" s="39"/>
      <c r="I180" s="39"/>
      <c r="J180" s="47"/>
      <c r="K180" s="48"/>
      <c r="L180" s="48"/>
      <c r="M180" s="37"/>
    </row>
    <row r="181" spans="1:13" ht="22.2" customHeight="1" x14ac:dyDescent="0.3">
      <c r="A181" s="35">
        <v>178</v>
      </c>
      <c r="B181" s="40"/>
      <c r="C181" s="46"/>
      <c r="D181" s="39"/>
      <c r="E181" s="39"/>
      <c r="F181" s="39"/>
      <c r="G181" s="39"/>
      <c r="H181" s="39"/>
      <c r="I181" s="39"/>
      <c r="J181" s="47"/>
      <c r="K181" s="48"/>
      <c r="L181" s="48"/>
      <c r="M181" s="37"/>
    </row>
    <row r="182" spans="1:13" ht="22.2" customHeight="1" x14ac:dyDescent="0.3">
      <c r="A182" s="35">
        <v>179</v>
      </c>
      <c r="B182" s="40"/>
      <c r="C182" s="46"/>
      <c r="D182" s="39"/>
      <c r="E182" s="39"/>
      <c r="F182" s="39"/>
      <c r="G182" s="39"/>
      <c r="H182" s="39"/>
      <c r="I182" s="39"/>
      <c r="J182" s="47"/>
      <c r="K182" s="48"/>
      <c r="L182" s="48"/>
      <c r="M182" s="37"/>
    </row>
    <row r="183" spans="1:13" ht="22.2" customHeight="1" x14ac:dyDescent="0.3">
      <c r="A183" s="35">
        <v>180</v>
      </c>
      <c r="B183" s="40"/>
      <c r="C183" s="46"/>
      <c r="D183" s="39"/>
      <c r="E183" s="39"/>
      <c r="F183" s="39"/>
      <c r="G183" s="39"/>
      <c r="H183" s="39"/>
      <c r="I183" s="39"/>
      <c r="J183" s="47"/>
      <c r="K183" s="48"/>
      <c r="L183" s="48"/>
      <c r="M183" s="37"/>
    </row>
    <row r="184" spans="1:13" ht="22.2" customHeight="1" x14ac:dyDescent="0.3">
      <c r="A184" s="35">
        <v>181</v>
      </c>
      <c r="B184" s="40"/>
      <c r="C184" s="46"/>
      <c r="D184" s="39"/>
      <c r="E184" s="39"/>
      <c r="F184" s="39"/>
      <c r="G184" s="39"/>
      <c r="H184" s="39"/>
      <c r="I184" s="39"/>
      <c r="J184" s="47"/>
      <c r="K184" s="48"/>
      <c r="L184" s="48"/>
      <c r="M184" s="37"/>
    </row>
    <row r="185" spans="1:13" ht="22.2" customHeight="1" x14ac:dyDescent="0.3">
      <c r="A185" s="35">
        <v>182</v>
      </c>
      <c r="B185" s="40"/>
      <c r="C185" s="46"/>
      <c r="D185" s="39"/>
      <c r="E185" s="39"/>
      <c r="F185" s="39"/>
      <c r="G185" s="39"/>
      <c r="H185" s="39"/>
      <c r="I185" s="39"/>
      <c r="J185" s="47"/>
      <c r="K185" s="48"/>
      <c r="L185" s="48"/>
      <c r="M185" s="37"/>
    </row>
    <row r="186" spans="1:13" ht="22.2" customHeight="1" x14ac:dyDescent="0.3">
      <c r="A186" s="35">
        <v>183</v>
      </c>
      <c r="B186" s="40"/>
      <c r="C186" s="46"/>
      <c r="D186" s="39"/>
      <c r="E186" s="39"/>
      <c r="F186" s="39"/>
      <c r="G186" s="39"/>
      <c r="H186" s="39"/>
      <c r="I186" s="39"/>
      <c r="J186" s="47"/>
      <c r="K186" s="48"/>
      <c r="L186" s="48"/>
      <c r="M186" s="37"/>
    </row>
    <row r="187" spans="1:13" ht="22.2" customHeight="1" x14ac:dyDescent="0.3">
      <c r="A187" s="35">
        <v>184</v>
      </c>
      <c r="B187" s="40"/>
      <c r="C187" s="46"/>
      <c r="D187" s="39"/>
      <c r="E187" s="39"/>
      <c r="F187" s="39"/>
      <c r="G187" s="39"/>
      <c r="H187" s="39"/>
      <c r="I187" s="39"/>
      <c r="J187" s="47"/>
      <c r="K187" s="48"/>
      <c r="L187" s="48"/>
      <c r="M187" s="37"/>
    </row>
    <row r="188" spans="1:13" ht="22.2" customHeight="1" x14ac:dyDescent="0.3">
      <c r="A188" s="35">
        <v>185</v>
      </c>
      <c r="B188" s="40"/>
      <c r="C188" s="46"/>
      <c r="D188" s="39"/>
      <c r="E188" s="39"/>
      <c r="F188" s="39"/>
      <c r="G188" s="39"/>
      <c r="H188" s="39"/>
      <c r="I188" s="39"/>
      <c r="J188" s="47"/>
      <c r="K188" s="48"/>
      <c r="L188" s="48"/>
      <c r="M188" s="37"/>
    </row>
    <row r="189" spans="1:13" ht="22.2" customHeight="1" x14ac:dyDescent="0.3">
      <c r="A189" s="35">
        <v>186</v>
      </c>
      <c r="B189" s="40"/>
      <c r="C189" s="46"/>
      <c r="D189" s="39"/>
      <c r="E189" s="39"/>
      <c r="F189" s="39"/>
      <c r="G189" s="39"/>
      <c r="H189" s="39"/>
      <c r="I189" s="39"/>
      <c r="J189" s="47"/>
      <c r="K189" s="48"/>
      <c r="L189" s="48"/>
      <c r="M189" s="37"/>
    </row>
    <row r="190" spans="1:13" ht="22.2" customHeight="1" x14ac:dyDescent="0.3">
      <c r="A190" s="35">
        <v>187</v>
      </c>
      <c r="B190" s="40"/>
      <c r="C190" s="46"/>
      <c r="D190" s="39"/>
      <c r="E190" s="39"/>
      <c r="F190" s="39"/>
      <c r="G190" s="39"/>
      <c r="H190" s="39"/>
      <c r="I190" s="39"/>
      <c r="J190" s="47"/>
      <c r="K190" s="48"/>
      <c r="L190" s="48"/>
      <c r="M190" s="37"/>
    </row>
    <row r="191" spans="1:13" ht="22.2" customHeight="1" x14ac:dyDescent="0.3">
      <c r="A191" s="35">
        <v>188</v>
      </c>
      <c r="B191" s="40"/>
      <c r="C191" s="46"/>
      <c r="D191" s="39"/>
      <c r="E191" s="39"/>
      <c r="F191" s="39"/>
      <c r="G191" s="39"/>
      <c r="H191" s="39"/>
      <c r="I191" s="39"/>
      <c r="J191" s="47"/>
      <c r="K191" s="48"/>
      <c r="L191" s="48"/>
      <c r="M191" s="37"/>
    </row>
    <row r="192" spans="1:13" ht="22.2" customHeight="1" x14ac:dyDescent="0.3">
      <c r="A192" s="35">
        <v>189</v>
      </c>
      <c r="B192" s="40"/>
      <c r="C192" s="46"/>
      <c r="D192" s="39"/>
      <c r="E192" s="39"/>
      <c r="F192" s="39"/>
      <c r="G192" s="39"/>
      <c r="H192" s="39"/>
      <c r="I192" s="39"/>
      <c r="J192" s="47"/>
      <c r="K192" s="48"/>
      <c r="L192" s="48"/>
      <c r="M192" s="37"/>
    </row>
    <row r="193" spans="1:13" ht="22.2" customHeight="1" x14ac:dyDescent="0.3">
      <c r="A193" s="35">
        <v>190</v>
      </c>
      <c r="B193" s="40"/>
      <c r="C193" s="46"/>
      <c r="D193" s="39"/>
      <c r="E193" s="39"/>
      <c r="F193" s="39"/>
      <c r="G193" s="39"/>
      <c r="H193" s="39"/>
      <c r="I193" s="39"/>
      <c r="J193" s="47"/>
      <c r="K193" s="48"/>
      <c r="L193" s="48"/>
      <c r="M193" s="37"/>
    </row>
    <row r="194" spans="1:13" ht="22.2" customHeight="1" x14ac:dyDescent="0.3">
      <c r="A194" s="35">
        <v>191</v>
      </c>
      <c r="B194" s="40"/>
      <c r="C194" s="46"/>
      <c r="D194" s="39"/>
      <c r="E194" s="39"/>
      <c r="F194" s="39"/>
      <c r="G194" s="39"/>
      <c r="H194" s="39"/>
      <c r="I194" s="39"/>
      <c r="J194" s="47"/>
      <c r="K194" s="48"/>
      <c r="L194" s="48"/>
      <c r="M194" s="37"/>
    </row>
    <row r="195" spans="1:13" ht="22.2" customHeight="1" x14ac:dyDescent="0.3">
      <c r="A195" s="35">
        <v>192</v>
      </c>
      <c r="B195" s="40"/>
      <c r="C195" s="46"/>
      <c r="D195" s="39"/>
      <c r="E195" s="39"/>
      <c r="F195" s="39"/>
      <c r="G195" s="39"/>
      <c r="H195" s="39"/>
      <c r="I195" s="39"/>
      <c r="J195" s="47"/>
      <c r="K195" s="48"/>
      <c r="L195" s="48"/>
      <c r="M195" s="37"/>
    </row>
    <row r="196" spans="1:13" ht="22.2" customHeight="1" x14ac:dyDescent="0.3">
      <c r="A196" s="35">
        <v>193</v>
      </c>
      <c r="B196" s="40"/>
      <c r="C196" s="46"/>
      <c r="D196" s="39"/>
      <c r="E196" s="39"/>
      <c r="F196" s="39"/>
      <c r="G196" s="39"/>
      <c r="H196" s="39"/>
      <c r="I196" s="39"/>
      <c r="J196" s="47"/>
      <c r="K196" s="48"/>
      <c r="L196" s="48"/>
      <c r="M196" s="37"/>
    </row>
    <row r="197" spans="1:13" ht="22.2" customHeight="1" x14ac:dyDescent="0.3">
      <c r="A197" s="35">
        <v>194</v>
      </c>
      <c r="B197" s="40"/>
      <c r="C197" s="46"/>
      <c r="D197" s="39"/>
      <c r="E197" s="39"/>
      <c r="F197" s="39"/>
      <c r="G197" s="39"/>
      <c r="H197" s="39"/>
      <c r="I197" s="39"/>
      <c r="J197" s="47"/>
      <c r="K197" s="48"/>
      <c r="L197" s="48"/>
      <c r="M197" s="37"/>
    </row>
    <row r="198" spans="1:13" ht="22.2" customHeight="1" x14ac:dyDescent="0.3">
      <c r="A198" s="35">
        <v>195</v>
      </c>
      <c r="B198" s="40"/>
      <c r="C198" s="46"/>
      <c r="D198" s="39"/>
      <c r="E198" s="39"/>
      <c r="F198" s="39"/>
      <c r="G198" s="39"/>
      <c r="H198" s="39"/>
      <c r="I198" s="39"/>
      <c r="J198" s="47"/>
      <c r="K198" s="48"/>
      <c r="L198" s="48"/>
      <c r="M198" s="37"/>
    </row>
    <row r="199" spans="1:13" ht="22.2" customHeight="1" x14ac:dyDescent="0.3">
      <c r="A199" s="35">
        <v>196</v>
      </c>
      <c r="B199" s="40"/>
      <c r="C199" s="46"/>
      <c r="D199" s="39"/>
      <c r="E199" s="39"/>
      <c r="F199" s="39"/>
      <c r="G199" s="39"/>
      <c r="H199" s="39"/>
      <c r="I199" s="39"/>
      <c r="J199" s="47"/>
      <c r="K199" s="48"/>
      <c r="L199" s="48"/>
      <c r="M199" s="37"/>
    </row>
    <row r="200" spans="1:13" ht="22.2" customHeight="1" x14ac:dyDescent="0.3">
      <c r="A200" s="35">
        <v>197</v>
      </c>
      <c r="B200" s="40"/>
      <c r="C200" s="46"/>
      <c r="D200" s="39"/>
      <c r="E200" s="39"/>
      <c r="F200" s="39"/>
      <c r="G200" s="39"/>
      <c r="H200" s="39"/>
      <c r="I200" s="39"/>
      <c r="J200" s="47"/>
      <c r="K200" s="48"/>
      <c r="L200" s="48"/>
      <c r="M200" s="37"/>
    </row>
    <row r="201" spans="1:13" ht="22.2" customHeight="1" x14ac:dyDescent="0.3">
      <c r="A201" s="35">
        <v>198</v>
      </c>
      <c r="B201" s="40"/>
      <c r="C201" s="46"/>
      <c r="D201" s="39"/>
      <c r="E201" s="39"/>
      <c r="F201" s="39"/>
      <c r="G201" s="39"/>
      <c r="H201" s="39"/>
      <c r="I201" s="39"/>
      <c r="J201" s="47"/>
      <c r="K201" s="48"/>
      <c r="L201" s="48"/>
      <c r="M201" s="37"/>
    </row>
    <row r="202" spans="1:13" ht="22.2" customHeight="1" x14ac:dyDescent="0.3">
      <c r="A202" s="35">
        <v>199</v>
      </c>
      <c r="B202" s="40"/>
      <c r="C202" s="46"/>
      <c r="D202" s="39"/>
      <c r="E202" s="39"/>
      <c r="F202" s="39"/>
      <c r="G202" s="39"/>
      <c r="H202" s="39"/>
      <c r="I202" s="39"/>
      <c r="J202" s="47"/>
      <c r="K202" s="48"/>
      <c r="L202" s="48"/>
      <c r="M202" s="37"/>
    </row>
    <row r="203" spans="1:13" ht="22.2" customHeight="1" x14ac:dyDescent="0.3">
      <c r="A203" s="35">
        <v>200</v>
      </c>
      <c r="B203" s="40"/>
      <c r="C203" s="46"/>
      <c r="D203" s="39"/>
      <c r="E203" s="39"/>
      <c r="F203" s="39"/>
      <c r="G203" s="39"/>
      <c r="H203" s="39"/>
      <c r="I203" s="39"/>
      <c r="J203" s="47"/>
      <c r="K203" s="48"/>
      <c r="L203" s="48"/>
      <c r="M203" s="37"/>
    </row>
  </sheetData>
  <sheetProtection algorithmName="SHA-512" hashValue="DbVFdsvk8UKK/8EmsuE+/OOtY6EE8oITK+u0behsHyiqLm1ibycfazoL7aBuUzrSnzNm80XG2yfu99iI4MPNbQ==" saltValue="fuyhBRd4Kjq+7sxN4eHPIw==" spinCount="100000" sheet="1" scenarios="1"/>
  <mergeCells count="2">
    <mergeCell ref="A2:M2"/>
    <mergeCell ref="A1:M1"/>
  </mergeCells>
  <conditionalFormatting sqref="I4:I203">
    <cfRule type="cellIs" dxfId="67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6" ht="40.200000000000003" customHeight="1" x14ac:dyDescent="0.3">
      <c r="A1" s="226" t="s">
        <v>412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</row>
    <row r="2" spans="1:16" ht="19.95" customHeight="1" x14ac:dyDescent="0.3">
      <c r="A2" s="168" t="s">
        <v>288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</row>
    <row r="3" spans="1:16" ht="28.2" customHeight="1" x14ac:dyDescent="0.3">
      <c r="A3" s="15" t="s">
        <v>88</v>
      </c>
      <c r="B3" s="15" t="s">
        <v>289</v>
      </c>
      <c r="C3" s="15" t="s">
        <v>290</v>
      </c>
      <c r="D3" s="15" t="s">
        <v>173</v>
      </c>
      <c r="E3" s="15" t="s">
        <v>291</v>
      </c>
      <c r="F3" s="15" t="s">
        <v>292</v>
      </c>
      <c r="G3" s="15" t="s">
        <v>293</v>
      </c>
      <c r="H3" s="15" t="s">
        <v>294</v>
      </c>
      <c r="I3" s="15" t="s">
        <v>295</v>
      </c>
      <c r="J3" s="15" t="s">
        <v>296</v>
      </c>
      <c r="K3" s="15" t="s">
        <v>297</v>
      </c>
      <c r="L3" s="15" t="s">
        <v>298</v>
      </c>
      <c r="M3" s="15" t="s">
        <v>264</v>
      </c>
      <c r="N3" s="15" t="s">
        <v>261</v>
      </c>
      <c r="O3" s="15" t="s">
        <v>299</v>
      </c>
      <c r="P3" s="76" t="s">
        <v>970</v>
      </c>
    </row>
    <row r="4" spans="1:16" x14ac:dyDescent="0.3">
      <c r="A4" s="52" t="s">
        <v>122</v>
      </c>
      <c r="B4" s="39">
        <v>2025</v>
      </c>
      <c r="C4" s="39" t="s">
        <v>967</v>
      </c>
      <c r="D4" s="36">
        <v>45726</v>
      </c>
      <c r="E4" s="23" t="s">
        <v>300</v>
      </c>
      <c r="F4" s="37" t="s">
        <v>301</v>
      </c>
      <c r="G4" s="39">
        <v>16.810099999999998</v>
      </c>
      <c r="H4" s="39">
        <v>16.529399999999999</v>
      </c>
      <c r="I4" s="39">
        <v>0.49590000000000001</v>
      </c>
      <c r="J4" s="49">
        <f t="shared" ref="J4:J35" si="0">IF(OR($G4="",$H4="",$I4="",$I4=0),"",($G4-$H4)/$I4)</f>
        <v>0.56604154063319112</v>
      </c>
      <c r="K4" s="39">
        <v>15.041700000000001</v>
      </c>
      <c r="L4" s="39">
        <v>18.017099999999999</v>
      </c>
      <c r="M4" s="5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1">
        <f t="shared" ref="N4:N35" si="2">IF(OR($G4="",$H4="",$H4=0),"",($G4-$H4)/$H4*100)</f>
        <v>1.698186262054276</v>
      </c>
      <c r="O4" s="51">
        <f t="shared" ref="O4:O35" si="3">IF($N4="","",ABS($N4))</f>
        <v>1.698186262054276</v>
      </c>
      <c r="P4" t="str">
        <f t="shared" ref="P4:P67" si="4">IF($J4="","",IF(ABS($J4)&lt;=2,"OK","FORA (|SDI|&gt;2)"))</f>
        <v>OK</v>
      </c>
    </row>
    <row r="5" spans="1:16" x14ac:dyDescent="0.3">
      <c r="A5" s="52" t="s">
        <v>122</v>
      </c>
      <c r="B5" s="39">
        <v>2025</v>
      </c>
      <c r="C5" s="39" t="s">
        <v>967</v>
      </c>
      <c r="D5" s="36">
        <v>45726</v>
      </c>
      <c r="E5" s="23" t="s">
        <v>300</v>
      </c>
      <c r="F5" s="37" t="s">
        <v>302</v>
      </c>
      <c r="G5" s="39">
        <v>16.872599999999998</v>
      </c>
      <c r="H5" s="39">
        <v>16.726199999999999</v>
      </c>
      <c r="I5" s="39">
        <v>0.50180000000000002</v>
      </c>
      <c r="J5" s="49">
        <f t="shared" si="0"/>
        <v>0.29174970107612563</v>
      </c>
      <c r="K5" s="39">
        <v>15.220800000000001</v>
      </c>
      <c r="L5" s="39">
        <v>18.2316</v>
      </c>
      <c r="M5" s="50" t="str">
        <f t="shared" si="1"/>
        <v>OK</v>
      </c>
      <c r="N5" s="51">
        <f t="shared" si="2"/>
        <v>0.8752735229759292</v>
      </c>
      <c r="O5" s="51">
        <f t="shared" si="3"/>
        <v>0.8752735229759292</v>
      </c>
      <c r="P5" t="str">
        <f t="shared" si="4"/>
        <v>OK</v>
      </c>
    </row>
    <row r="6" spans="1:16" x14ac:dyDescent="0.3">
      <c r="A6" s="52" t="s">
        <v>122</v>
      </c>
      <c r="B6" s="39">
        <v>2025</v>
      </c>
      <c r="C6" s="39" t="s">
        <v>967</v>
      </c>
      <c r="D6" s="36">
        <v>45726</v>
      </c>
      <c r="E6" s="23" t="s">
        <v>300</v>
      </c>
      <c r="F6" s="37" t="s">
        <v>303</v>
      </c>
      <c r="G6" s="39">
        <v>16.617599999999999</v>
      </c>
      <c r="H6" s="39">
        <v>16.474599999999999</v>
      </c>
      <c r="I6" s="39">
        <v>0.49419999999999997</v>
      </c>
      <c r="J6" s="49">
        <f t="shared" si="0"/>
        <v>0.28935653581546072</v>
      </c>
      <c r="K6" s="39">
        <v>14.992000000000001</v>
      </c>
      <c r="L6" s="39">
        <v>17.9572</v>
      </c>
      <c r="M6" s="50" t="str">
        <f t="shared" si="1"/>
        <v>OK</v>
      </c>
      <c r="N6" s="51">
        <f t="shared" si="2"/>
        <v>0.86800286501645374</v>
      </c>
      <c r="O6" s="51">
        <f t="shared" si="3"/>
        <v>0.86800286501645374</v>
      </c>
      <c r="P6" t="str">
        <f t="shared" si="4"/>
        <v>OK</v>
      </c>
    </row>
    <row r="7" spans="1:16" x14ac:dyDescent="0.3">
      <c r="A7" s="52" t="s">
        <v>122</v>
      </c>
      <c r="B7" s="39">
        <v>2025</v>
      </c>
      <c r="C7" s="39" t="s">
        <v>967</v>
      </c>
      <c r="D7" s="36">
        <v>45726</v>
      </c>
      <c r="E7" s="23" t="s">
        <v>300</v>
      </c>
      <c r="F7" s="37" t="s">
        <v>304</v>
      </c>
      <c r="G7" s="39">
        <v>16.796600000000002</v>
      </c>
      <c r="H7" s="39">
        <v>16.617899999999999</v>
      </c>
      <c r="I7" s="39">
        <v>0.4985</v>
      </c>
      <c r="J7" s="49">
        <f t="shared" si="0"/>
        <v>0.35847542627884199</v>
      </c>
      <c r="K7" s="39">
        <v>15.122400000000001</v>
      </c>
      <c r="L7" s="39">
        <v>18.113399999999999</v>
      </c>
      <c r="M7" s="50" t="str">
        <f t="shared" si="1"/>
        <v>OK</v>
      </c>
      <c r="N7" s="51">
        <f t="shared" si="2"/>
        <v>1.0753464637529577</v>
      </c>
      <c r="O7" s="51">
        <f t="shared" si="3"/>
        <v>1.0753464637529577</v>
      </c>
      <c r="P7" t="str">
        <f t="shared" si="4"/>
        <v>OK</v>
      </c>
    </row>
    <row r="8" spans="1:16" x14ac:dyDescent="0.3">
      <c r="A8" s="52" t="s">
        <v>122</v>
      </c>
      <c r="B8" s="39">
        <v>2025</v>
      </c>
      <c r="C8" s="39" t="s">
        <v>967</v>
      </c>
      <c r="D8" s="36">
        <v>45726</v>
      </c>
      <c r="E8" s="23" t="s">
        <v>300</v>
      </c>
      <c r="F8" s="37" t="s">
        <v>305</v>
      </c>
      <c r="G8" s="39">
        <v>16.695</v>
      </c>
      <c r="H8" s="39">
        <v>16.647200000000002</v>
      </c>
      <c r="I8" s="39">
        <v>0.49940000000000001</v>
      </c>
      <c r="J8" s="49">
        <f t="shared" si="0"/>
        <v>9.5714857829392735E-2</v>
      </c>
      <c r="K8" s="39">
        <v>15.148999999999999</v>
      </c>
      <c r="L8" s="39">
        <v>18.145399999999999</v>
      </c>
      <c r="M8" s="50" t="str">
        <f t="shared" si="1"/>
        <v>OK</v>
      </c>
      <c r="N8" s="51">
        <f t="shared" si="2"/>
        <v>0.287135374116961</v>
      </c>
      <c r="O8" s="51">
        <f t="shared" si="3"/>
        <v>0.287135374116961</v>
      </c>
      <c r="P8" t="str">
        <f t="shared" si="4"/>
        <v>OK</v>
      </c>
    </row>
    <row r="9" spans="1:16" x14ac:dyDescent="0.3">
      <c r="A9" s="52" t="s">
        <v>122</v>
      </c>
      <c r="B9" s="39">
        <v>2025</v>
      </c>
      <c r="C9" s="39" t="s">
        <v>968</v>
      </c>
      <c r="D9" s="36">
        <v>45818</v>
      </c>
      <c r="E9" s="23" t="s">
        <v>300</v>
      </c>
      <c r="F9" s="37" t="s">
        <v>301</v>
      </c>
      <c r="G9" s="39">
        <v>16.960100000000001</v>
      </c>
      <c r="H9" s="39">
        <v>16.782599999999999</v>
      </c>
      <c r="I9" s="39">
        <v>0.50349999999999995</v>
      </c>
      <c r="J9" s="49">
        <f t="shared" si="0"/>
        <v>0.35253227408143401</v>
      </c>
      <c r="K9" s="39">
        <v>15.2721</v>
      </c>
      <c r="L9" s="39">
        <v>18.293099999999999</v>
      </c>
      <c r="M9" s="50" t="str">
        <f t="shared" si="1"/>
        <v>OK</v>
      </c>
      <c r="N9" s="51">
        <f t="shared" si="2"/>
        <v>1.0576430350482167</v>
      </c>
      <c r="O9" s="51">
        <f t="shared" si="3"/>
        <v>1.0576430350482167</v>
      </c>
      <c r="P9" t="str">
        <f t="shared" si="4"/>
        <v>OK</v>
      </c>
    </row>
    <row r="10" spans="1:16" x14ac:dyDescent="0.3">
      <c r="A10" s="52" t="s">
        <v>122</v>
      </c>
      <c r="B10" s="39">
        <v>2025</v>
      </c>
      <c r="C10" s="39" t="s">
        <v>968</v>
      </c>
      <c r="D10" s="36">
        <v>45818</v>
      </c>
      <c r="E10" s="23" t="s">
        <v>300</v>
      </c>
      <c r="F10" s="37" t="s">
        <v>302</v>
      </c>
      <c r="G10" s="39">
        <v>16.809200000000001</v>
      </c>
      <c r="H10" s="39">
        <v>16.636199999999999</v>
      </c>
      <c r="I10" s="39">
        <v>0.49909999999999999</v>
      </c>
      <c r="J10" s="49">
        <f t="shared" si="0"/>
        <v>0.34662392306151435</v>
      </c>
      <c r="K10" s="39">
        <v>15.1389</v>
      </c>
      <c r="L10" s="39">
        <v>18.133500000000002</v>
      </c>
      <c r="M10" s="50" t="str">
        <f t="shared" si="1"/>
        <v>OK</v>
      </c>
      <c r="N10" s="51">
        <f t="shared" si="2"/>
        <v>1.03990093891635</v>
      </c>
      <c r="O10" s="51">
        <f t="shared" si="3"/>
        <v>1.03990093891635</v>
      </c>
      <c r="P10" t="str">
        <f t="shared" si="4"/>
        <v>OK</v>
      </c>
    </row>
    <row r="11" spans="1:16" x14ac:dyDescent="0.3">
      <c r="A11" s="52" t="s">
        <v>122</v>
      </c>
      <c r="B11" s="39">
        <v>2025</v>
      </c>
      <c r="C11" s="39" t="s">
        <v>968</v>
      </c>
      <c r="D11" s="36">
        <v>45818</v>
      </c>
      <c r="E11" s="23" t="s">
        <v>300</v>
      </c>
      <c r="F11" s="37" t="s">
        <v>303</v>
      </c>
      <c r="G11" s="39">
        <v>16.675799999999999</v>
      </c>
      <c r="H11" s="39">
        <v>16.461200000000002</v>
      </c>
      <c r="I11" s="39">
        <v>0.49380000000000002</v>
      </c>
      <c r="J11" s="49">
        <f t="shared" si="0"/>
        <v>0.43458890238962583</v>
      </c>
      <c r="K11" s="39">
        <v>14.979799999999999</v>
      </c>
      <c r="L11" s="39">
        <v>17.942599999999999</v>
      </c>
      <c r="M11" s="50" t="str">
        <f t="shared" si="1"/>
        <v>OK</v>
      </c>
      <c r="N11" s="51">
        <f t="shared" si="2"/>
        <v>1.3036716642771924</v>
      </c>
      <c r="O11" s="51">
        <f t="shared" si="3"/>
        <v>1.3036716642771924</v>
      </c>
      <c r="P11" t="str">
        <f t="shared" si="4"/>
        <v>OK</v>
      </c>
    </row>
    <row r="12" spans="1:16" x14ac:dyDescent="0.3">
      <c r="A12" s="52" t="s">
        <v>122</v>
      </c>
      <c r="B12" s="39">
        <v>2025</v>
      </c>
      <c r="C12" s="39" t="s">
        <v>968</v>
      </c>
      <c r="D12" s="36">
        <v>45818</v>
      </c>
      <c r="E12" s="23" t="s">
        <v>300</v>
      </c>
      <c r="F12" s="37" t="s">
        <v>304</v>
      </c>
      <c r="G12" s="39">
        <v>16.828399999999998</v>
      </c>
      <c r="H12" s="39">
        <v>16.66</v>
      </c>
      <c r="I12" s="39">
        <v>0.49980000000000002</v>
      </c>
      <c r="J12" s="49">
        <f t="shared" si="0"/>
        <v>0.33693477390956045</v>
      </c>
      <c r="K12" s="39">
        <v>15.160600000000001</v>
      </c>
      <c r="L12" s="39">
        <v>18.159400000000002</v>
      </c>
      <c r="M12" s="50" t="str">
        <f t="shared" si="1"/>
        <v>OK</v>
      </c>
      <c r="N12" s="51">
        <f t="shared" si="2"/>
        <v>1.0108043217286815</v>
      </c>
      <c r="O12" s="51">
        <f t="shared" si="3"/>
        <v>1.0108043217286815</v>
      </c>
      <c r="P12" t="str">
        <f t="shared" si="4"/>
        <v>OK</v>
      </c>
    </row>
    <row r="13" spans="1:16" x14ac:dyDescent="0.3">
      <c r="A13" s="52" t="s">
        <v>122</v>
      </c>
      <c r="B13" s="39">
        <v>2025</v>
      </c>
      <c r="C13" s="39" t="s">
        <v>968</v>
      </c>
      <c r="D13" s="36">
        <v>45818</v>
      </c>
      <c r="E13" s="23" t="s">
        <v>300</v>
      </c>
      <c r="F13" s="37" t="s">
        <v>305</v>
      </c>
      <c r="G13" s="39">
        <v>16.729800000000001</v>
      </c>
      <c r="H13" s="39">
        <v>16.4985</v>
      </c>
      <c r="I13" s="39">
        <v>0.495</v>
      </c>
      <c r="J13" s="49">
        <f t="shared" si="0"/>
        <v>0.46727272727272917</v>
      </c>
      <c r="K13" s="39">
        <v>15.013500000000001</v>
      </c>
      <c r="L13" s="39">
        <v>17.983499999999999</v>
      </c>
      <c r="M13" s="50" t="str">
        <f t="shared" si="1"/>
        <v>OK</v>
      </c>
      <c r="N13" s="51">
        <f t="shared" si="2"/>
        <v>1.4019456314210441</v>
      </c>
      <c r="O13" s="51">
        <f t="shared" si="3"/>
        <v>1.4019456314210441</v>
      </c>
      <c r="P13" t="str">
        <f t="shared" si="4"/>
        <v>OK</v>
      </c>
    </row>
    <row r="14" spans="1:16" x14ac:dyDescent="0.3">
      <c r="A14" s="52" t="s">
        <v>122</v>
      </c>
      <c r="B14" s="39">
        <v>2025</v>
      </c>
      <c r="C14" s="39" t="s">
        <v>969</v>
      </c>
      <c r="D14" s="36">
        <v>45910</v>
      </c>
      <c r="E14" s="23" t="s">
        <v>300</v>
      </c>
      <c r="F14" s="37" t="s">
        <v>301</v>
      </c>
      <c r="G14" s="39">
        <v>16.451000000000001</v>
      </c>
      <c r="H14" s="39">
        <v>16.38</v>
      </c>
      <c r="I14" s="39">
        <v>0.4914</v>
      </c>
      <c r="J14" s="49">
        <f t="shared" si="0"/>
        <v>0.14448514448514754</v>
      </c>
      <c r="K14" s="39">
        <v>14.905799999999999</v>
      </c>
      <c r="L14" s="39">
        <v>17.854199999999999</v>
      </c>
      <c r="M14" s="50" t="str">
        <f t="shared" si="1"/>
        <v>OK</v>
      </c>
      <c r="N14" s="51">
        <f t="shared" si="2"/>
        <v>0.43345543345544268</v>
      </c>
      <c r="O14" s="51">
        <f t="shared" si="3"/>
        <v>0.43345543345544268</v>
      </c>
      <c r="P14" t="str">
        <f t="shared" si="4"/>
        <v>OK</v>
      </c>
    </row>
    <row r="15" spans="1:16" x14ac:dyDescent="0.3">
      <c r="A15" s="52" t="s">
        <v>122</v>
      </c>
      <c r="B15" s="39">
        <v>2025</v>
      </c>
      <c r="C15" s="39" t="s">
        <v>969</v>
      </c>
      <c r="D15" s="36">
        <v>45910</v>
      </c>
      <c r="E15" s="23" t="s">
        <v>300</v>
      </c>
      <c r="F15" s="37" t="s">
        <v>302</v>
      </c>
      <c r="G15" s="39">
        <v>16.7226</v>
      </c>
      <c r="H15" s="39">
        <v>16.589099999999998</v>
      </c>
      <c r="I15" s="39">
        <v>0.49769999999999998</v>
      </c>
      <c r="J15" s="49">
        <f t="shared" si="0"/>
        <v>0.26823387582881558</v>
      </c>
      <c r="K15" s="39">
        <v>15.096</v>
      </c>
      <c r="L15" s="39">
        <v>18.0822</v>
      </c>
      <c r="M15" s="50" t="str">
        <f t="shared" si="1"/>
        <v>OK</v>
      </c>
      <c r="N15" s="51">
        <f t="shared" si="2"/>
        <v>0.80474528455432504</v>
      </c>
      <c r="O15" s="51">
        <f t="shared" si="3"/>
        <v>0.80474528455432504</v>
      </c>
      <c r="P15" t="str">
        <f t="shared" si="4"/>
        <v>OK</v>
      </c>
    </row>
    <row r="16" spans="1:16" x14ac:dyDescent="0.3">
      <c r="A16" s="52" t="s">
        <v>122</v>
      </c>
      <c r="B16" s="39">
        <v>2025</v>
      </c>
      <c r="C16" s="39" t="s">
        <v>969</v>
      </c>
      <c r="D16" s="36">
        <v>45910</v>
      </c>
      <c r="E16" s="23" t="s">
        <v>300</v>
      </c>
      <c r="F16" s="37" t="s">
        <v>303</v>
      </c>
      <c r="G16" s="39">
        <v>16.326699999999999</v>
      </c>
      <c r="H16" s="39">
        <v>16.206499999999998</v>
      </c>
      <c r="I16" s="39">
        <v>0.48620000000000002</v>
      </c>
      <c r="J16" s="49">
        <f t="shared" si="0"/>
        <v>0.24722336487042476</v>
      </c>
      <c r="K16" s="39">
        <v>14.7479</v>
      </c>
      <c r="L16" s="39">
        <v>17.665099999999999</v>
      </c>
      <c r="M16" s="50" t="str">
        <f t="shared" si="1"/>
        <v>OK</v>
      </c>
      <c r="N16" s="51">
        <f t="shared" si="2"/>
        <v>0.74167772190170944</v>
      </c>
      <c r="O16" s="51">
        <f t="shared" si="3"/>
        <v>0.74167772190170944</v>
      </c>
      <c r="P16" t="str">
        <f t="shared" si="4"/>
        <v>OK</v>
      </c>
    </row>
    <row r="17" spans="1:16" x14ac:dyDescent="0.3">
      <c r="A17" s="52" t="s">
        <v>122</v>
      </c>
      <c r="B17" s="39">
        <v>2025</v>
      </c>
      <c r="C17" s="39" t="s">
        <v>969</v>
      </c>
      <c r="D17" s="36">
        <v>45910</v>
      </c>
      <c r="E17" s="23" t="s">
        <v>300</v>
      </c>
      <c r="F17" s="37" t="s">
        <v>304</v>
      </c>
      <c r="G17" s="39">
        <v>16.5411</v>
      </c>
      <c r="H17" s="39">
        <v>16.4465</v>
      </c>
      <c r="I17" s="39">
        <v>0.49340000000000001</v>
      </c>
      <c r="J17" s="49">
        <f t="shared" si="0"/>
        <v>0.19173084718281272</v>
      </c>
      <c r="K17" s="39">
        <v>14.9663</v>
      </c>
      <c r="L17" s="39">
        <v>17.9267</v>
      </c>
      <c r="M17" s="50" t="str">
        <f t="shared" si="1"/>
        <v>OK</v>
      </c>
      <c r="N17" s="51">
        <f t="shared" si="2"/>
        <v>0.57519837047395983</v>
      </c>
      <c r="O17" s="51">
        <f t="shared" si="3"/>
        <v>0.57519837047395983</v>
      </c>
      <c r="P17" t="str">
        <f t="shared" si="4"/>
        <v>OK</v>
      </c>
    </row>
    <row r="18" spans="1:16" x14ac:dyDescent="0.3">
      <c r="A18" s="52" t="s">
        <v>122</v>
      </c>
      <c r="B18" s="39">
        <v>2025</v>
      </c>
      <c r="C18" s="39" t="s">
        <v>969</v>
      </c>
      <c r="D18" s="36">
        <v>45910</v>
      </c>
      <c r="E18" s="23" t="s">
        <v>300</v>
      </c>
      <c r="F18" s="37" t="s">
        <v>305</v>
      </c>
      <c r="G18" s="39">
        <v>16.4589</v>
      </c>
      <c r="H18" s="39">
        <v>16.277200000000001</v>
      </c>
      <c r="I18" s="39">
        <v>0.48830000000000001</v>
      </c>
      <c r="J18" s="49">
        <f t="shared" si="0"/>
        <v>0.3721073110792531</v>
      </c>
      <c r="K18" s="39">
        <v>14.8123</v>
      </c>
      <c r="L18" s="39">
        <v>17.742100000000001</v>
      </c>
      <c r="M18" s="50" t="str">
        <f t="shared" si="1"/>
        <v>OK</v>
      </c>
      <c r="N18" s="51">
        <f t="shared" si="2"/>
        <v>1.1162853562037656</v>
      </c>
      <c r="O18" s="51">
        <f t="shared" si="3"/>
        <v>1.1162853562037656</v>
      </c>
      <c r="P18" t="str">
        <f t="shared" si="4"/>
        <v>OK</v>
      </c>
    </row>
    <row r="19" spans="1:16" x14ac:dyDescent="0.3">
      <c r="A19" s="52" t="s">
        <v>125</v>
      </c>
      <c r="B19" s="39">
        <v>2025</v>
      </c>
      <c r="C19" s="39" t="s">
        <v>967</v>
      </c>
      <c r="D19" s="36">
        <v>45726</v>
      </c>
      <c r="E19" s="23" t="s">
        <v>300</v>
      </c>
      <c r="F19" s="37" t="s">
        <v>301</v>
      </c>
      <c r="G19" s="39">
        <v>5.2108999999999996</v>
      </c>
      <c r="H19" s="39">
        <v>5.1687000000000003</v>
      </c>
      <c r="I19" s="39">
        <v>0.15509999999999999</v>
      </c>
      <c r="J19" s="49">
        <f t="shared" si="0"/>
        <v>0.27208252740167216</v>
      </c>
      <c r="K19" s="39">
        <v>4.7034000000000002</v>
      </c>
      <c r="L19" s="39">
        <v>5.6340000000000003</v>
      </c>
      <c r="M19" s="50" t="str">
        <f t="shared" si="1"/>
        <v>OK</v>
      </c>
      <c r="N19" s="51">
        <f t="shared" si="2"/>
        <v>0.81645287983437509</v>
      </c>
      <c r="O19" s="51">
        <f t="shared" si="3"/>
        <v>0.81645287983437509</v>
      </c>
      <c r="P19" t="str">
        <f t="shared" si="4"/>
        <v>OK</v>
      </c>
    </row>
    <row r="20" spans="1:16" x14ac:dyDescent="0.3">
      <c r="A20" s="52" t="s">
        <v>125</v>
      </c>
      <c r="B20" s="39">
        <v>2025</v>
      </c>
      <c r="C20" s="39" t="s">
        <v>967</v>
      </c>
      <c r="D20" s="36">
        <v>45726</v>
      </c>
      <c r="E20" s="23" t="s">
        <v>300</v>
      </c>
      <c r="F20" s="37" t="s">
        <v>302</v>
      </c>
      <c r="G20" s="39">
        <v>5.1375000000000002</v>
      </c>
      <c r="H20" s="39">
        <v>5.0846999999999998</v>
      </c>
      <c r="I20" s="39">
        <v>0.1525</v>
      </c>
      <c r="J20" s="49">
        <f t="shared" si="0"/>
        <v>0.34622950819672393</v>
      </c>
      <c r="K20" s="39">
        <v>4.6272000000000002</v>
      </c>
      <c r="L20" s="39">
        <v>5.5422000000000002</v>
      </c>
      <c r="M20" s="50" t="str">
        <f t="shared" si="1"/>
        <v>OK</v>
      </c>
      <c r="N20" s="51">
        <f t="shared" si="2"/>
        <v>1.038409345684119</v>
      </c>
      <c r="O20" s="51">
        <f t="shared" si="3"/>
        <v>1.038409345684119</v>
      </c>
      <c r="P20" t="str">
        <f t="shared" si="4"/>
        <v>OK</v>
      </c>
    </row>
    <row r="21" spans="1:16" x14ac:dyDescent="0.3">
      <c r="A21" s="52" t="s">
        <v>125</v>
      </c>
      <c r="B21" s="39">
        <v>2025</v>
      </c>
      <c r="C21" s="39" t="s">
        <v>967</v>
      </c>
      <c r="D21" s="36">
        <v>45726</v>
      </c>
      <c r="E21" s="23" t="s">
        <v>300</v>
      </c>
      <c r="F21" s="37" t="s">
        <v>303</v>
      </c>
      <c r="G21" s="39">
        <v>5.2004000000000001</v>
      </c>
      <c r="H21" s="39">
        <v>5.1595000000000004</v>
      </c>
      <c r="I21" s="39">
        <v>0.15479999999999999</v>
      </c>
      <c r="J21" s="49">
        <f t="shared" si="0"/>
        <v>0.26421188630490772</v>
      </c>
      <c r="K21" s="39">
        <v>4.6951000000000001</v>
      </c>
      <c r="L21" s="39">
        <v>5.6238999999999999</v>
      </c>
      <c r="M21" s="50" t="str">
        <f t="shared" si="1"/>
        <v>OK</v>
      </c>
      <c r="N21" s="51">
        <f t="shared" si="2"/>
        <v>0.79271247213876761</v>
      </c>
      <c r="O21" s="51">
        <f t="shared" si="3"/>
        <v>0.79271247213876761</v>
      </c>
      <c r="P21" t="str">
        <f t="shared" si="4"/>
        <v>OK</v>
      </c>
    </row>
    <row r="22" spans="1:16" x14ac:dyDescent="0.3">
      <c r="A22" s="52" t="s">
        <v>125</v>
      </c>
      <c r="B22" s="39">
        <v>2025</v>
      </c>
      <c r="C22" s="39" t="s">
        <v>967</v>
      </c>
      <c r="D22" s="36">
        <v>45726</v>
      </c>
      <c r="E22" s="23" t="s">
        <v>300</v>
      </c>
      <c r="F22" s="37" t="s">
        <v>304</v>
      </c>
      <c r="G22" s="39">
        <v>5.2164000000000001</v>
      </c>
      <c r="H22" s="39">
        <v>5.1506999999999996</v>
      </c>
      <c r="I22" s="39">
        <v>0.1545</v>
      </c>
      <c r="J22" s="49">
        <f t="shared" si="0"/>
        <v>0.42524271844660544</v>
      </c>
      <c r="K22" s="39">
        <v>4.6871999999999998</v>
      </c>
      <c r="L22" s="39">
        <v>5.6142000000000003</v>
      </c>
      <c r="M22" s="50" t="str">
        <f t="shared" si="1"/>
        <v>OK</v>
      </c>
      <c r="N22" s="51">
        <f t="shared" si="2"/>
        <v>1.2755547789620933</v>
      </c>
      <c r="O22" s="51">
        <f t="shared" si="3"/>
        <v>1.2755547789620933</v>
      </c>
      <c r="P22" t="str">
        <f t="shared" si="4"/>
        <v>OK</v>
      </c>
    </row>
    <row r="23" spans="1:16" x14ac:dyDescent="0.3">
      <c r="A23" s="52" t="s">
        <v>125</v>
      </c>
      <c r="B23" s="39">
        <v>2025</v>
      </c>
      <c r="C23" s="39" t="s">
        <v>967</v>
      </c>
      <c r="D23" s="36">
        <v>45726</v>
      </c>
      <c r="E23" s="23" t="s">
        <v>300</v>
      </c>
      <c r="F23" s="37" t="s">
        <v>305</v>
      </c>
      <c r="G23" s="39">
        <v>5.1432000000000002</v>
      </c>
      <c r="H23" s="39">
        <v>5.1121999999999996</v>
      </c>
      <c r="I23" s="39">
        <v>0.15340000000000001</v>
      </c>
      <c r="J23" s="49">
        <f t="shared" si="0"/>
        <v>0.20208604954368045</v>
      </c>
      <c r="K23" s="39">
        <v>4.6520000000000001</v>
      </c>
      <c r="L23" s="39">
        <v>5.5724</v>
      </c>
      <c r="M23" s="50" t="str">
        <f t="shared" si="1"/>
        <v>OK</v>
      </c>
      <c r="N23" s="51">
        <f t="shared" si="2"/>
        <v>0.60639255115215729</v>
      </c>
      <c r="O23" s="51">
        <f t="shared" si="3"/>
        <v>0.60639255115215729</v>
      </c>
      <c r="P23" t="str">
        <f t="shared" si="4"/>
        <v>OK</v>
      </c>
    </row>
    <row r="24" spans="1:16" x14ac:dyDescent="0.3">
      <c r="A24" s="52" t="s">
        <v>125</v>
      </c>
      <c r="B24" s="39">
        <v>2025</v>
      </c>
      <c r="C24" s="39" t="s">
        <v>968</v>
      </c>
      <c r="D24" s="36">
        <v>45818</v>
      </c>
      <c r="E24" s="23" t="s">
        <v>300</v>
      </c>
      <c r="F24" s="37" t="s">
        <v>301</v>
      </c>
      <c r="G24" s="39">
        <v>5.1913999999999998</v>
      </c>
      <c r="H24" s="39">
        <v>5.1406000000000001</v>
      </c>
      <c r="I24" s="39">
        <v>0.1542</v>
      </c>
      <c r="J24" s="49">
        <f t="shared" si="0"/>
        <v>0.32944228274967402</v>
      </c>
      <c r="K24" s="39">
        <v>4.6779999999999999</v>
      </c>
      <c r="L24" s="39">
        <v>5.6032000000000002</v>
      </c>
      <c r="M24" s="50" t="str">
        <f t="shared" si="1"/>
        <v>OK</v>
      </c>
      <c r="N24" s="51">
        <f t="shared" si="2"/>
        <v>0.98821149282184439</v>
      </c>
      <c r="O24" s="51">
        <f t="shared" si="3"/>
        <v>0.98821149282184439</v>
      </c>
      <c r="P24" t="str">
        <f t="shared" si="4"/>
        <v>OK</v>
      </c>
    </row>
    <row r="25" spans="1:16" x14ac:dyDescent="0.3">
      <c r="A25" s="52" t="s">
        <v>125</v>
      </c>
      <c r="B25" s="39">
        <v>2025</v>
      </c>
      <c r="C25" s="39" t="s">
        <v>968</v>
      </c>
      <c r="D25" s="36">
        <v>45818</v>
      </c>
      <c r="E25" s="23" t="s">
        <v>300</v>
      </c>
      <c r="F25" s="37" t="s">
        <v>302</v>
      </c>
      <c r="G25" s="39">
        <v>5.2016999999999998</v>
      </c>
      <c r="H25" s="39">
        <v>5.1790000000000003</v>
      </c>
      <c r="I25" s="39">
        <v>0.15540000000000001</v>
      </c>
      <c r="J25" s="49">
        <f t="shared" si="0"/>
        <v>0.14607464607464285</v>
      </c>
      <c r="K25" s="39">
        <v>4.7127999999999997</v>
      </c>
      <c r="L25" s="39">
        <v>5.6452</v>
      </c>
      <c r="M25" s="50" t="str">
        <f t="shared" si="1"/>
        <v>OK</v>
      </c>
      <c r="N25" s="51">
        <f t="shared" si="2"/>
        <v>0.43830855377485028</v>
      </c>
      <c r="O25" s="51">
        <f t="shared" si="3"/>
        <v>0.43830855377485028</v>
      </c>
      <c r="P25" t="str">
        <f t="shared" si="4"/>
        <v>OK</v>
      </c>
    </row>
    <row r="26" spans="1:16" x14ac:dyDescent="0.3">
      <c r="A26" s="52" t="s">
        <v>125</v>
      </c>
      <c r="B26" s="39">
        <v>2025</v>
      </c>
      <c r="C26" s="39" t="s">
        <v>968</v>
      </c>
      <c r="D26" s="36">
        <v>45818</v>
      </c>
      <c r="E26" s="23" t="s">
        <v>300</v>
      </c>
      <c r="F26" s="37" t="s">
        <v>303</v>
      </c>
      <c r="G26" s="39">
        <v>5.1193</v>
      </c>
      <c r="H26" s="39">
        <v>5.0888999999999998</v>
      </c>
      <c r="I26" s="39">
        <v>0.1527</v>
      </c>
      <c r="J26" s="49">
        <f t="shared" si="0"/>
        <v>0.19908316961362282</v>
      </c>
      <c r="K26" s="39">
        <v>4.6307999999999998</v>
      </c>
      <c r="L26" s="39">
        <v>5.5469999999999997</v>
      </c>
      <c r="M26" s="50" t="str">
        <f t="shared" si="1"/>
        <v>OK</v>
      </c>
      <c r="N26" s="51">
        <f t="shared" si="2"/>
        <v>0.59737860834365397</v>
      </c>
      <c r="O26" s="51">
        <f t="shared" si="3"/>
        <v>0.59737860834365397</v>
      </c>
      <c r="P26" t="str">
        <f t="shared" si="4"/>
        <v>OK</v>
      </c>
    </row>
    <row r="27" spans="1:16" x14ac:dyDescent="0.3">
      <c r="A27" s="52" t="s">
        <v>125</v>
      </c>
      <c r="B27" s="39">
        <v>2025</v>
      </c>
      <c r="C27" s="39" t="s">
        <v>968</v>
      </c>
      <c r="D27" s="36">
        <v>45818</v>
      </c>
      <c r="E27" s="23" t="s">
        <v>300</v>
      </c>
      <c r="F27" s="37" t="s">
        <v>304</v>
      </c>
      <c r="G27" s="39">
        <v>5.0815000000000001</v>
      </c>
      <c r="H27" s="39">
        <v>5.0339</v>
      </c>
      <c r="I27" s="39">
        <v>0.151</v>
      </c>
      <c r="J27" s="49">
        <f t="shared" si="0"/>
        <v>0.31523178807947078</v>
      </c>
      <c r="K27" s="39">
        <v>4.5808999999999997</v>
      </c>
      <c r="L27" s="39">
        <v>5.4869000000000003</v>
      </c>
      <c r="M27" s="50" t="str">
        <f t="shared" si="1"/>
        <v>OK</v>
      </c>
      <c r="N27" s="51">
        <f t="shared" si="2"/>
        <v>0.94558890720912381</v>
      </c>
      <c r="O27" s="51">
        <f t="shared" si="3"/>
        <v>0.94558890720912381</v>
      </c>
      <c r="P27" t="str">
        <f t="shared" si="4"/>
        <v>OK</v>
      </c>
    </row>
    <row r="28" spans="1:16" x14ac:dyDescent="0.3">
      <c r="A28" s="52" t="s">
        <v>125</v>
      </c>
      <c r="B28" s="39">
        <v>2025</v>
      </c>
      <c r="C28" s="39" t="s">
        <v>968</v>
      </c>
      <c r="D28" s="36">
        <v>45818</v>
      </c>
      <c r="E28" s="23" t="s">
        <v>300</v>
      </c>
      <c r="F28" s="37" t="s">
        <v>305</v>
      </c>
      <c r="G28" s="39">
        <v>5.1825000000000001</v>
      </c>
      <c r="H28" s="39">
        <v>5.1497999999999999</v>
      </c>
      <c r="I28" s="39">
        <v>0.1545</v>
      </c>
      <c r="J28" s="49">
        <f t="shared" si="0"/>
        <v>0.21165048543689433</v>
      </c>
      <c r="K28" s="39">
        <v>4.6863000000000001</v>
      </c>
      <c r="L28" s="39">
        <v>5.6132999999999997</v>
      </c>
      <c r="M28" s="50" t="str">
        <f t="shared" si="1"/>
        <v>OK</v>
      </c>
      <c r="N28" s="51">
        <f t="shared" si="2"/>
        <v>0.63497611557730738</v>
      </c>
      <c r="O28" s="51">
        <f t="shared" si="3"/>
        <v>0.63497611557730738</v>
      </c>
      <c r="P28" t="str">
        <f t="shared" si="4"/>
        <v>OK</v>
      </c>
    </row>
    <row r="29" spans="1:16" x14ac:dyDescent="0.3">
      <c r="A29" s="52" t="s">
        <v>125</v>
      </c>
      <c r="B29" s="39">
        <v>2025</v>
      </c>
      <c r="C29" s="39" t="s">
        <v>969</v>
      </c>
      <c r="D29" s="36">
        <v>45910</v>
      </c>
      <c r="E29" s="23" t="s">
        <v>300</v>
      </c>
      <c r="F29" s="37" t="s">
        <v>301</v>
      </c>
      <c r="G29" s="39">
        <v>5.2557999999999998</v>
      </c>
      <c r="H29" s="39">
        <v>5.1936999999999998</v>
      </c>
      <c r="I29" s="39">
        <v>0.15579999999999999</v>
      </c>
      <c r="J29" s="49">
        <f t="shared" si="0"/>
        <v>0.39858793324775382</v>
      </c>
      <c r="K29" s="39">
        <v>4.7263000000000002</v>
      </c>
      <c r="L29" s="39">
        <v>5.6611000000000002</v>
      </c>
      <c r="M29" s="50" t="str">
        <f t="shared" si="1"/>
        <v>OK</v>
      </c>
      <c r="N29" s="51">
        <f t="shared" si="2"/>
        <v>1.1956793807882635</v>
      </c>
      <c r="O29" s="51">
        <f t="shared" si="3"/>
        <v>1.1956793807882635</v>
      </c>
      <c r="P29" t="str">
        <f t="shared" si="4"/>
        <v>OK</v>
      </c>
    </row>
    <row r="30" spans="1:16" x14ac:dyDescent="0.3">
      <c r="A30" s="52" t="s">
        <v>125</v>
      </c>
      <c r="B30" s="39">
        <v>2025</v>
      </c>
      <c r="C30" s="39" t="s">
        <v>969</v>
      </c>
      <c r="D30" s="36">
        <v>45910</v>
      </c>
      <c r="E30" s="23" t="s">
        <v>300</v>
      </c>
      <c r="F30" s="37" t="s">
        <v>302</v>
      </c>
      <c r="G30" s="39">
        <v>5.2087000000000003</v>
      </c>
      <c r="H30" s="39">
        <v>5.1548999999999996</v>
      </c>
      <c r="I30" s="39">
        <v>0.15459999999999999</v>
      </c>
      <c r="J30" s="49">
        <f t="shared" si="0"/>
        <v>0.34799482535576159</v>
      </c>
      <c r="K30" s="39">
        <v>4.6910999999999996</v>
      </c>
      <c r="L30" s="39">
        <v>5.6186999999999996</v>
      </c>
      <c r="M30" s="50" t="str">
        <f t="shared" si="1"/>
        <v>OK</v>
      </c>
      <c r="N30" s="51">
        <f t="shared" si="2"/>
        <v>1.043667190440178</v>
      </c>
      <c r="O30" s="51">
        <f t="shared" si="3"/>
        <v>1.043667190440178</v>
      </c>
      <c r="P30" t="str">
        <f t="shared" si="4"/>
        <v>OK</v>
      </c>
    </row>
    <row r="31" spans="1:16" x14ac:dyDescent="0.3">
      <c r="A31" s="52" t="s">
        <v>125</v>
      </c>
      <c r="B31" s="39">
        <v>2025</v>
      </c>
      <c r="C31" s="39" t="s">
        <v>969</v>
      </c>
      <c r="D31" s="36">
        <v>45910</v>
      </c>
      <c r="E31" s="23" t="s">
        <v>300</v>
      </c>
      <c r="F31" s="37" t="s">
        <v>303</v>
      </c>
      <c r="G31" s="39">
        <v>5.1933999999999996</v>
      </c>
      <c r="H31" s="39">
        <v>5.1717000000000004</v>
      </c>
      <c r="I31" s="39">
        <v>0.1552</v>
      </c>
      <c r="J31" s="49">
        <f t="shared" si="0"/>
        <v>0.1398195876288606</v>
      </c>
      <c r="K31" s="39">
        <v>4.7061000000000002</v>
      </c>
      <c r="L31" s="39">
        <v>5.6372999999999998</v>
      </c>
      <c r="M31" s="50" t="str">
        <f t="shared" si="1"/>
        <v>OK</v>
      </c>
      <c r="N31" s="51">
        <f t="shared" si="2"/>
        <v>0.41959123692401268</v>
      </c>
      <c r="O31" s="51">
        <f t="shared" si="3"/>
        <v>0.41959123692401268</v>
      </c>
      <c r="P31" t="str">
        <f t="shared" si="4"/>
        <v>OK</v>
      </c>
    </row>
    <row r="32" spans="1:16" x14ac:dyDescent="0.3">
      <c r="A32" s="52" t="s">
        <v>125</v>
      </c>
      <c r="B32" s="39">
        <v>2025</v>
      </c>
      <c r="C32" s="39" t="s">
        <v>969</v>
      </c>
      <c r="D32" s="36">
        <v>45910</v>
      </c>
      <c r="E32" s="23" t="s">
        <v>300</v>
      </c>
      <c r="F32" s="37" t="s">
        <v>304</v>
      </c>
      <c r="G32" s="39">
        <v>5.2118000000000002</v>
      </c>
      <c r="H32" s="39">
        <v>5.1542000000000003</v>
      </c>
      <c r="I32" s="39">
        <v>0.15459999999999999</v>
      </c>
      <c r="J32" s="49">
        <f t="shared" si="0"/>
        <v>0.37257438551099531</v>
      </c>
      <c r="K32" s="39">
        <v>4.6904000000000003</v>
      </c>
      <c r="L32" s="39">
        <v>5.6180000000000003</v>
      </c>
      <c r="M32" s="50" t="str">
        <f t="shared" si="1"/>
        <v>OK</v>
      </c>
      <c r="N32" s="51">
        <f t="shared" si="2"/>
        <v>1.1175352140002304</v>
      </c>
      <c r="O32" s="51">
        <f t="shared" si="3"/>
        <v>1.1175352140002304</v>
      </c>
      <c r="P32" t="str">
        <f t="shared" si="4"/>
        <v>OK</v>
      </c>
    </row>
    <row r="33" spans="1:16" x14ac:dyDescent="0.3">
      <c r="A33" s="52" t="s">
        <v>125</v>
      </c>
      <c r="B33" s="39">
        <v>2025</v>
      </c>
      <c r="C33" s="39" t="s">
        <v>969</v>
      </c>
      <c r="D33" s="36">
        <v>45910</v>
      </c>
      <c r="E33" s="23" t="s">
        <v>300</v>
      </c>
      <c r="F33" s="37" t="s">
        <v>305</v>
      </c>
      <c r="G33" s="39">
        <v>5.0838000000000001</v>
      </c>
      <c r="H33" s="39">
        <v>5.0321999999999996</v>
      </c>
      <c r="I33" s="39">
        <v>0.151</v>
      </c>
      <c r="J33" s="49">
        <f t="shared" si="0"/>
        <v>0.34172185430463931</v>
      </c>
      <c r="K33" s="39">
        <v>4.5792000000000002</v>
      </c>
      <c r="L33" s="39">
        <v>5.4851999999999999</v>
      </c>
      <c r="M33" s="50" t="str">
        <f t="shared" si="1"/>
        <v>OK</v>
      </c>
      <c r="N33" s="51">
        <f t="shared" si="2"/>
        <v>1.0253964468820902</v>
      </c>
      <c r="O33" s="51">
        <f t="shared" si="3"/>
        <v>1.0253964468820902</v>
      </c>
      <c r="P33" t="str">
        <f t="shared" si="4"/>
        <v>OK</v>
      </c>
    </row>
    <row r="34" spans="1:16" x14ac:dyDescent="0.3">
      <c r="A34" s="52" t="s">
        <v>127</v>
      </c>
      <c r="B34" s="39">
        <v>2025</v>
      </c>
      <c r="C34" s="39" t="s">
        <v>967</v>
      </c>
      <c r="D34" s="36">
        <v>45726</v>
      </c>
      <c r="E34" s="23" t="s">
        <v>300</v>
      </c>
      <c r="F34" s="37" t="s">
        <v>301</v>
      </c>
      <c r="G34" s="39">
        <v>15.679399999999999</v>
      </c>
      <c r="H34" s="39">
        <v>15.5265</v>
      </c>
      <c r="I34" s="39">
        <v>0.46579999999999999</v>
      </c>
      <c r="J34" s="49">
        <f t="shared" si="0"/>
        <v>0.32825246887075771</v>
      </c>
      <c r="K34" s="39">
        <v>14.129099999999999</v>
      </c>
      <c r="L34" s="39">
        <v>16.9239</v>
      </c>
      <c r="M34" s="50" t="str">
        <f t="shared" si="1"/>
        <v>OK</v>
      </c>
      <c r="N34" s="51">
        <f t="shared" si="2"/>
        <v>0.98476797732907562</v>
      </c>
      <c r="O34" s="51">
        <f t="shared" si="3"/>
        <v>0.98476797732907562</v>
      </c>
      <c r="P34" t="str">
        <f t="shared" si="4"/>
        <v>OK</v>
      </c>
    </row>
    <row r="35" spans="1:16" x14ac:dyDescent="0.3">
      <c r="A35" s="52" t="s">
        <v>127</v>
      </c>
      <c r="B35" s="39">
        <v>2025</v>
      </c>
      <c r="C35" s="39" t="s">
        <v>967</v>
      </c>
      <c r="D35" s="36">
        <v>45726</v>
      </c>
      <c r="E35" s="23" t="s">
        <v>300</v>
      </c>
      <c r="F35" s="37" t="s">
        <v>302</v>
      </c>
      <c r="G35" s="39">
        <v>15.6126</v>
      </c>
      <c r="H35" s="39">
        <v>15.497199999999999</v>
      </c>
      <c r="I35" s="39">
        <v>0.46489999999999998</v>
      </c>
      <c r="J35" s="49">
        <f t="shared" si="0"/>
        <v>0.24822542482254475</v>
      </c>
      <c r="K35" s="39">
        <v>14.102499999999999</v>
      </c>
      <c r="L35" s="39">
        <v>16.8919</v>
      </c>
      <c r="M35" s="50" t="str">
        <f t="shared" si="1"/>
        <v>OK</v>
      </c>
      <c r="N35" s="51">
        <f t="shared" si="2"/>
        <v>0.74465064656841917</v>
      </c>
      <c r="O35" s="51">
        <f t="shared" si="3"/>
        <v>0.74465064656841917</v>
      </c>
      <c r="P35" t="str">
        <f t="shared" si="4"/>
        <v>OK</v>
      </c>
    </row>
    <row r="36" spans="1:16" x14ac:dyDescent="0.3">
      <c r="A36" s="52" t="s">
        <v>127</v>
      </c>
      <c r="B36" s="39">
        <v>2025</v>
      </c>
      <c r="C36" s="39" t="s">
        <v>967</v>
      </c>
      <c r="D36" s="36">
        <v>45726</v>
      </c>
      <c r="E36" s="23" t="s">
        <v>300</v>
      </c>
      <c r="F36" s="37" t="s">
        <v>303</v>
      </c>
      <c r="G36" s="39">
        <v>15.695</v>
      </c>
      <c r="H36" s="39">
        <v>15.6189</v>
      </c>
      <c r="I36" s="39">
        <v>0.46860000000000002</v>
      </c>
      <c r="J36" s="49">
        <f t="shared" ref="J36:J67" si="5">IF(OR($G36="",$H36="",$I36="",$I36=0),"",($G36-$H36)/$I36)</f>
        <v>0.16239863422962073</v>
      </c>
      <c r="K36" s="39">
        <v>14.213100000000001</v>
      </c>
      <c r="L36" s="39">
        <v>17.024699999999999</v>
      </c>
      <c r="M36" s="5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1">
        <f t="shared" ref="N36:N67" si="7">IF(OR($G36="",$H36="",$H36=0),"",($G36-$H36)/$H36*100)</f>
        <v>0.48723021467581118</v>
      </c>
      <c r="O36" s="51">
        <f t="shared" ref="O36:O67" si="8">IF($N36="","",ABS($N36))</f>
        <v>0.48723021467581118</v>
      </c>
      <c r="P36" t="str">
        <f t="shared" si="4"/>
        <v>OK</v>
      </c>
    </row>
    <row r="37" spans="1:16" x14ac:dyDescent="0.3">
      <c r="A37" s="52" t="s">
        <v>127</v>
      </c>
      <c r="B37" s="39">
        <v>2025</v>
      </c>
      <c r="C37" s="39" t="s">
        <v>967</v>
      </c>
      <c r="D37" s="36">
        <v>45726</v>
      </c>
      <c r="E37" s="23" t="s">
        <v>300</v>
      </c>
      <c r="F37" s="37" t="s">
        <v>304</v>
      </c>
      <c r="G37" s="39">
        <v>15.7712</v>
      </c>
      <c r="H37" s="39">
        <v>15.6587</v>
      </c>
      <c r="I37" s="39">
        <v>0.4698</v>
      </c>
      <c r="J37" s="49">
        <f t="shared" si="5"/>
        <v>0.23946360153256857</v>
      </c>
      <c r="K37" s="39">
        <v>14.2493</v>
      </c>
      <c r="L37" s="39">
        <v>17.068100000000001</v>
      </c>
      <c r="M37" s="50" t="str">
        <f t="shared" si="6"/>
        <v>OK</v>
      </c>
      <c r="N37" s="51">
        <f t="shared" si="7"/>
        <v>0.71845044607790376</v>
      </c>
      <c r="O37" s="51">
        <f t="shared" si="8"/>
        <v>0.71845044607790376</v>
      </c>
      <c r="P37" t="str">
        <f t="shared" si="4"/>
        <v>OK</v>
      </c>
    </row>
    <row r="38" spans="1:16" x14ac:dyDescent="0.3">
      <c r="A38" s="52" t="s">
        <v>127</v>
      </c>
      <c r="B38" s="39">
        <v>2025</v>
      </c>
      <c r="C38" s="39" t="s">
        <v>967</v>
      </c>
      <c r="D38" s="36">
        <v>45726</v>
      </c>
      <c r="E38" s="23" t="s">
        <v>300</v>
      </c>
      <c r="F38" s="37" t="s">
        <v>305</v>
      </c>
      <c r="G38" s="39">
        <v>15.734999999999999</v>
      </c>
      <c r="H38" s="39">
        <v>15.642200000000001</v>
      </c>
      <c r="I38" s="39">
        <v>0.46929999999999999</v>
      </c>
      <c r="J38" s="49">
        <f t="shared" si="5"/>
        <v>0.19774131685488741</v>
      </c>
      <c r="K38" s="39">
        <v>14.234299999999999</v>
      </c>
      <c r="L38" s="39">
        <v>17.0501</v>
      </c>
      <c r="M38" s="50" t="str">
        <f t="shared" si="6"/>
        <v>OK</v>
      </c>
      <c r="N38" s="51">
        <f t="shared" si="7"/>
        <v>0.59326693176150835</v>
      </c>
      <c r="O38" s="51">
        <f t="shared" si="8"/>
        <v>0.59326693176150835</v>
      </c>
      <c r="P38" t="str">
        <f t="shared" si="4"/>
        <v>OK</v>
      </c>
    </row>
    <row r="39" spans="1:16" x14ac:dyDescent="0.3">
      <c r="A39" s="52" t="s">
        <v>127</v>
      </c>
      <c r="B39" s="39">
        <v>2025</v>
      </c>
      <c r="C39" s="39" t="s">
        <v>968</v>
      </c>
      <c r="D39" s="36">
        <v>45818</v>
      </c>
      <c r="E39" s="23" t="s">
        <v>300</v>
      </c>
      <c r="F39" s="37" t="s">
        <v>301</v>
      </c>
      <c r="G39" s="39">
        <v>15.8812</v>
      </c>
      <c r="H39" s="39">
        <v>15.7346</v>
      </c>
      <c r="I39" s="39">
        <v>0.47199999999999998</v>
      </c>
      <c r="J39" s="49">
        <f t="shared" si="5"/>
        <v>0.31059322033898179</v>
      </c>
      <c r="K39" s="39">
        <v>14.3186</v>
      </c>
      <c r="L39" s="39">
        <v>17.150600000000001</v>
      </c>
      <c r="M39" s="50" t="str">
        <f t="shared" si="6"/>
        <v>OK</v>
      </c>
      <c r="N39" s="51">
        <f t="shared" si="7"/>
        <v>0.93170465089674592</v>
      </c>
      <c r="O39" s="51">
        <f t="shared" si="8"/>
        <v>0.93170465089674592</v>
      </c>
      <c r="P39" t="str">
        <f t="shared" si="4"/>
        <v>OK</v>
      </c>
    </row>
    <row r="40" spans="1:16" x14ac:dyDescent="0.3">
      <c r="A40" s="52" t="s">
        <v>127</v>
      </c>
      <c r="B40" s="39">
        <v>2025</v>
      </c>
      <c r="C40" s="39" t="s">
        <v>968</v>
      </c>
      <c r="D40" s="36">
        <v>45818</v>
      </c>
      <c r="E40" s="23" t="s">
        <v>300</v>
      </c>
      <c r="F40" s="37" t="s">
        <v>302</v>
      </c>
      <c r="G40" s="39">
        <v>15.6838</v>
      </c>
      <c r="H40" s="39">
        <v>15.537800000000001</v>
      </c>
      <c r="I40" s="39">
        <v>0.46610000000000001</v>
      </c>
      <c r="J40" s="49">
        <f t="shared" si="5"/>
        <v>0.31323750268182582</v>
      </c>
      <c r="K40" s="39">
        <v>14.1395</v>
      </c>
      <c r="L40" s="39">
        <v>16.9361</v>
      </c>
      <c r="M40" s="50" t="str">
        <f t="shared" si="6"/>
        <v>OK</v>
      </c>
      <c r="N40" s="51">
        <f t="shared" si="7"/>
        <v>0.9396439650400894</v>
      </c>
      <c r="O40" s="51">
        <f t="shared" si="8"/>
        <v>0.9396439650400894</v>
      </c>
      <c r="P40" t="str">
        <f t="shared" si="4"/>
        <v>OK</v>
      </c>
    </row>
    <row r="41" spans="1:16" x14ac:dyDescent="0.3">
      <c r="A41" s="52" t="s">
        <v>127</v>
      </c>
      <c r="B41" s="39">
        <v>2025</v>
      </c>
      <c r="C41" s="39" t="s">
        <v>968</v>
      </c>
      <c r="D41" s="36">
        <v>45818</v>
      </c>
      <c r="E41" s="23" t="s">
        <v>300</v>
      </c>
      <c r="F41" s="37" t="s">
        <v>303</v>
      </c>
      <c r="G41" s="39">
        <v>15.964499999999999</v>
      </c>
      <c r="H41" s="39">
        <v>15.7616</v>
      </c>
      <c r="I41" s="39">
        <v>0.4728</v>
      </c>
      <c r="J41" s="49">
        <f t="shared" si="5"/>
        <v>0.42914551607444934</v>
      </c>
      <c r="K41" s="39">
        <v>14.3432</v>
      </c>
      <c r="L41" s="39">
        <v>17.18</v>
      </c>
      <c r="M41" s="50" t="str">
        <f t="shared" si="6"/>
        <v>OK</v>
      </c>
      <c r="N41" s="51">
        <f t="shared" si="7"/>
        <v>1.2873058572733709</v>
      </c>
      <c r="O41" s="51">
        <f t="shared" si="8"/>
        <v>1.2873058572733709</v>
      </c>
      <c r="P41" t="str">
        <f t="shared" si="4"/>
        <v>OK</v>
      </c>
    </row>
    <row r="42" spans="1:16" x14ac:dyDescent="0.3">
      <c r="A42" s="52" t="s">
        <v>127</v>
      </c>
      <c r="B42" s="39">
        <v>2025</v>
      </c>
      <c r="C42" s="39" t="s">
        <v>968</v>
      </c>
      <c r="D42" s="36">
        <v>45818</v>
      </c>
      <c r="E42" s="23" t="s">
        <v>300</v>
      </c>
      <c r="F42" s="37" t="s">
        <v>304</v>
      </c>
      <c r="G42" s="39">
        <v>15.476100000000001</v>
      </c>
      <c r="H42" s="39">
        <v>15.320600000000001</v>
      </c>
      <c r="I42" s="39">
        <v>0.45960000000000001</v>
      </c>
      <c r="J42" s="49">
        <f t="shared" si="5"/>
        <v>0.33833768494342897</v>
      </c>
      <c r="K42" s="39">
        <v>13.941800000000001</v>
      </c>
      <c r="L42" s="39">
        <v>16.699400000000001</v>
      </c>
      <c r="M42" s="50" t="str">
        <f t="shared" si="6"/>
        <v>OK</v>
      </c>
      <c r="N42" s="51">
        <f t="shared" si="7"/>
        <v>1.014973303917601</v>
      </c>
      <c r="O42" s="51">
        <f t="shared" si="8"/>
        <v>1.014973303917601</v>
      </c>
      <c r="P42" t="str">
        <f t="shared" si="4"/>
        <v>OK</v>
      </c>
    </row>
    <row r="43" spans="1:16" x14ac:dyDescent="0.3">
      <c r="A43" s="52" t="s">
        <v>127</v>
      </c>
      <c r="B43" s="39">
        <v>2025</v>
      </c>
      <c r="C43" s="39" t="s">
        <v>968</v>
      </c>
      <c r="D43" s="36">
        <v>45818</v>
      </c>
      <c r="E43" s="23" t="s">
        <v>300</v>
      </c>
      <c r="F43" s="37" t="s">
        <v>305</v>
      </c>
      <c r="G43" s="39">
        <v>15.7508</v>
      </c>
      <c r="H43" s="39">
        <v>15.6379</v>
      </c>
      <c r="I43" s="39">
        <v>0.46910000000000002</v>
      </c>
      <c r="J43" s="49">
        <f t="shared" si="5"/>
        <v>0.24067363035600037</v>
      </c>
      <c r="K43" s="39">
        <v>14.230600000000001</v>
      </c>
      <c r="L43" s="39">
        <v>17.045200000000001</v>
      </c>
      <c r="M43" s="50" t="str">
        <f t="shared" si="6"/>
        <v>OK</v>
      </c>
      <c r="N43" s="51">
        <f t="shared" si="7"/>
        <v>0.72196394656571394</v>
      </c>
      <c r="O43" s="51">
        <f t="shared" si="8"/>
        <v>0.72196394656571394</v>
      </c>
      <c r="P43" t="str">
        <f t="shared" si="4"/>
        <v>OK</v>
      </c>
    </row>
    <row r="44" spans="1:16" x14ac:dyDescent="0.3">
      <c r="A44" s="52" t="s">
        <v>127</v>
      </c>
      <c r="B44" s="39">
        <v>2025</v>
      </c>
      <c r="C44" s="39" t="s">
        <v>969</v>
      </c>
      <c r="D44" s="36">
        <v>45910</v>
      </c>
      <c r="E44" s="23" t="s">
        <v>300</v>
      </c>
      <c r="F44" s="37" t="s">
        <v>301</v>
      </c>
      <c r="G44" s="39">
        <v>15.5825</v>
      </c>
      <c r="H44" s="39">
        <v>15.408799999999999</v>
      </c>
      <c r="I44" s="39">
        <v>0.46229999999999999</v>
      </c>
      <c r="J44" s="49">
        <f t="shared" si="5"/>
        <v>0.37573004542504906</v>
      </c>
      <c r="K44" s="39">
        <v>14.0219</v>
      </c>
      <c r="L44" s="39">
        <v>16.7957</v>
      </c>
      <c r="M44" s="50" t="str">
        <f t="shared" si="6"/>
        <v>OK</v>
      </c>
      <c r="N44" s="51">
        <f t="shared" si="7"/>
        <v>1.1272779191111586</v>
      </c>
      <c r="O44" s="51">
        <f t="shared" si="8"/>
        <v>1.1272779191111586</v>
      </c>
      <c r="P44" t="str">
        <f t="shared" si="4"/>
        <v>OK</v>
      </c>
    </row>
    <row r="45" spans="1:16" x14ac:dyDescent="0.3">
      <c r="A45" s="52" t="s">
        <v>127</v>
      </c>
      <c r="B45" s="39">
        <v>2025</v>
      </c>
      <c r="C45" s="39" t="s">
        <v>969</v>
      </c>
      <c r="D45" s="36">
        <v>45910</v>
      </c>
      <c r="E45" s="23" t="s">
        <v>300</v>
      </c>
      <c r="F45" s="37" t="s">
        <v>302</v>
      </c>
      <c r="G45" s="39">
        <v>15.5105</v>
      </c>
      <c r="H45" s="39">
        <v>15.3691</v>
      </c>
      <c r="I45" s="39">
        <v>0.46110000000000001</v>
      </c>
      <c r="J45" s="49">
        <f t="shared" si="5"/>
        <v>0.3066579917588394</v>
      </c>
      <c r="K45" s="39">
        <v>13.985799999999999</v>
      </c>
      <c r="L45" s="39">
        <v>16.752400000000002</v>
      </c>
      <c r="M45" s="50" t="str">
        <f t="shared" si="6"/>
        <v>OK</v>
      </c>
      <c r="N45" s="51">
        <f t="shared" si="7"/>
        <v>0.92002784808479909</v>
      </c>
      <c r="O45" s="51">
        <f t="shared" si="8"/>
        <v>0.92002784808479909</v>
      </c>
      <c r="P45" t="str">
        <f t="shared" si="4"/>
        <v>OK</v>
      </c>
    </row>
    <row r="46" spans="1:16" x14ac:dyDescent="0.3">
      <c r="A46" s="52" t="s">
        <v>127</v>
      </c>
      <c r="B46" s="39">
        <v>2025</v>
      </c>
      <c r="C46" s="39" t="s">
        <v>969</v>
      </c>
      <c r="D46" s="36">
        <v>45910</v>
      </c>
      <c r="E46" s="23" t="s">
        <v>300</v>
      </c>
      <c r="F46" s="37" t="s">
        <v>303</v>
      </c>
      <c r="G46" s="39">
        <v>15.8108</v>
      </c>
      <c r="H46" s="39">
        <v>15.7682</v>
      </c>
      <c r="I46" s="39">
        <v>0.47299999999999998</v>
      </c>
      <c r="J46" s="49">
        <f t="shared" si="5"/>
        <v>9.0063424947146295E-2</v>
      </c>
      <c r="K46" s="39">
        <v>14.3492</v>
      </c>
      <c r="L46" s="39">
        <v>17.187200000000001</v>
      </c>
      <c r="M46" s="50" t="str">
        <f t="shared" si="6"/>
        <v>OK</v>
      </c>
      <c r="N46" s="51">
        <f t="shared" si="7"/>
        <v>0.27016400096396664</v>
      </c>
      <c r="O46" s="51">
        <f t="shared" si="8"/>
        <v>0.27016400096396664</v>
      </c>
      <c r="P46" t="str">
        <f t="shared" si="4"/>
        <v>OK</v>
      </c>
    </row>
    <row r="47" spans="1:16" x14ac:dyDescent="0.3">
      <c r="A47" s="52" t="s">
        <v>127</v>
      </c>
      <c r="B47" s="39">
        <v>2025</v>
      </c>
      <c r="C47" s="39" t="s">
        <v>969</v>
      </c>
      <c r="D47" s="36">
        <v>45910</v>
      </c>
      <c r="E47" s="23" t="s">
        <v>300</v>
      </c>
      <c r="F47" s="37" t="s">
        <v>304</v>
      </c>
      <c r="G47" s="39">
        <v>15.5738</v>
      </c>
      <c r="H47" s="39">
        <v>15.5184</v>
      </c>
      <c r="I47" s="39">
        <v>0.46560000000000001</v>
      </c>
      <c r="J47" s="49">
        <f t="shared" si="5"/>
        <v>0.11898625429553385</v>
      </c>
      <c r="K47" s="39">
        <v>14.121600000000001</v>
      </c>
      <c r="L47" s="39">
        <v>16.915199999999999</v>
      </c>
      <c r="M47" s="50" t="str">
        <f t="shared" si="6"/>
        <v>OK</v>
      </c>
      <c r="N47" s="51">
        <f t="shared" si="7"/>
        <v>0.35699556655325654</v>
      </c>
      <c r="O47" s="51">
        <f t="shared" si="8"/>
        <v>0.35699556655325654</v>
      </c>
      <c r="P47" t="str">
        <f t="shared" si="4"/>
        <v>OK</v>
      </c>
    </row>
    <row r="48" spans="1:16" x14ac:dyDescent="0.3">
      <c r="A48" s="52" t="s">
        <v>127</v>
      </c>
      <c r="B48" s="39">
        <v>2025</v>
      </c>
      <c r="C48" s="39" t="s">
        <v>969</v>
      </c>
      <c r="D48" s="36">
        <v>45910</v>
      </c>
      <c r="E48" s="23" t="s">
        <v>300</v>
      </c>
      <c r="F48" s="37" t="s">
        <v>305</v>
      </c>
      <c r="G48" s="39">
        <v>15.791399999999999</v>
      </c>
      <c r="H48" s="39">
        <v>15.6035</v>
      </c>
      <c r="I48" s="39">
        <v>0.46810000000000002</v>
      </c>
      <c r="J48" s="49">
        <f t="shared" si="5"/>
        <v>0.40140995513778904</v>
      </c>
      <c r="K48" s="39">
        <v>14.199199999999999</v>
      </c>
      <c r="L48" s="39">
        <v>17.0078</v>
      </c>
      <c r="M48" s="50" t="str">
        <f t="shared" si="6"/>
        <v>OK</v>
      </c>
      <c r="N48" s="51">
        <f t="shared" si="7"/>
        <v>1.2042170025955656</v>
      </c>
      <c r="O48" s="51">
        <f t="shared" si="8"/>
        <v>1.2042170025955656</v>
      </c>
      <c r="P48" t="str">
        <f t="shared" si="4"/>
        <v>OK</v>
      </c>
    </row>
    <row r="49" spans="1:16" x14ac:dyDescent="0.3">
      <c r="A49" s="52" t="s">
        <v>128</v>
      </c>
      <c r="B49" s="39">
        <v>2025</v>
      </c>
      <c r="C49" s="39" t="s">
        <v>967</v>
      </c>
      <c r="D49" s="36">
        <v>45726</v>
      </c>
      <c r="E49" s="23" t="s">
        <v>300</v>
      </c>
      <c r="F49" s="37" t="s">
        <v>301</v>
      </c>
      <c r="G49" s="39">
        <v>46.004300000000001</v>
      </c>
      <c r="H49" s="39">
        <v>45.819099999999999</v>
      </c>
      <c r="I49" s="39">
        <v>1.3746</v>
      </c>
      <c r="J49" s="49">
        <f t="shared" si="5"/>
        <v>0.13473010330278029</v>
      </c>
      <c r="K49" s="39">
        <v>41.695300000000003</v>
      </c>
      <c r="L49" s="39">
        <v>49.942900000000002</v>
      </c>
      <c r="M49" s="50" t="str">
        <f t="shared" si="6"/>
        <v>OK</v>
      </c>
      <c r="N49" s="51">
        <f t="shared" si="7"/>
        <v>0.40419824920175607</v>
      </c>
      <c r="O49" s="51">
        <f t="shared" si="8"/>
        <v>0.40419824920175607</v>
      </c>
      <c r="P49" t="str">
        <f t="shared" si="4"/>
        <v>OK</v>
      </c>
    </row>
    <row r="50" spans="1:16" x14ac:dyDescent="0.3">
      <c r="A50" s="52" t="s">
        <v>128</v>
      </c>
      <c r="B50" s="39">
        <v>2025</v>
      </c>
      <c r="C50" s="39" t="s">
        <v>967</v>
      </c>
      <c r="D50" s="36">
        <v>45726</v>
      </c>
      <c r="E50" s="23" t="s">
        <v>300</v>
      </c>
      <c r="F50" s="37" t="s">
        <v>302</v>
      </c>
      <c r="G50" s="39">
        <v>45.453200000000002</v>
      </c>
      <c r="H50" s="39">
        <v>44.652099999999997</v>
      </c>
      <c r="I50" s="39">
        <v>1.3395999999999999</v>
      </c>
      <c r="J50" s="49">
        <f t="shared" si="5"/>
        <v>0.59801433263661186</v>
      </c>
      <c r="K50" s="39">
        <v>40.633299999999998</v>
      </c>
      <c r="L50" s="39">
        <v>48.670900000000003</v>
      </c>
      <c r="M50" s="50" t="str">
        <f t="shared" si="6"/>
        <v>OK</v>
      </c>
      <c r="N50" s="51">
        <f t="shared" si="7"/>
        <v>1.7940925510782368</v>
      </c>
      <c r="O50" s="51">
        <f t="shared" si="8"/>
        <v>1.7940925510782368</v>
      </c>
      <c r="P50" t="str">
        <f t="shared" si="4"/>
        <v>OK</v>
      </c>
    </row>
    <row r="51" spans="1:16" x14ac:dyDescent="0.3">
      <c r="A51" s="52" t="s">
        <v>128</v>
      </c>
      <c r="B51" s="39">
        <v>2025</v>
      </c>
      <c r="C51" s="39" t="s">
        <v>967</v>
      </c>
      <c r="D51" s="36">
        <v>45726</v>
      </c>
      <c r="E51" s="23" t="s">
        <v>300</v>
      </c>
      <c r="F51" s="37" t="s">
        <v>303</v>
      </c>
      <c r="G51" s="39">
        <v>46.365900000000003</v>
      </c>
      <c r="H51" s="39">
        <v>45.619599999999998</v>
      </c>
      <c r="I51" s="39">
        <v>1.3686</v>
      </c>
      <c r="J51" s="49">
        <f t="shared" si="5"/>
        <v>0.54530176823031207</v>
      </c>
      <c r="K51" s="39">
        <v>41.513800000000003</v>
      </c>
      <c r="L51" s="39">
        <v>49.7254</v>
      </c>
      <c r="M51" s="50" t="str">
        <f t="shared" si="6"/>
        <v>OK</v>
      </c>
      <c r="N51" s="51">
        <f t="shared" si="7"/>
        <v>1.6359196485721161</v>
      </c>
      <c r="O51" s="51">
        <f t="shared" si="8"/>
        <v>1.6359196485721161</v>
      </c>
      <c r="P51" t="str">
        <f t="shared" si="4"/>
        <v>OK</v>
      </c>
    </row>
    <row r="52" spans="1:16" x14ac:dyDescent="0.3">
      <c r="A52" s="52" t="s">
        <v>128</v>
      </c>
      <c r="B52" s="39">
        <v>2025</v>
      </c>
      <c r="C52" s="39" t="s">
        <v>967</v>
      </c>
      <c r="D52" s="36">
        <v>45726</v>
      </c>
      <c r="E52" s="23" t="s">
        <v>300</v>
      </c>
      <c r="F52" s="37" t="s">
        <v>304</v>
      </c>
      <c r="G52" s="39">
        <v>45.273400000000002</v>
      </c>
      <c r="H52" s="39">
        <v>44.575200000000002</v>
      </c>
      <c r="I52" s="39">
        <v>1.3372999999999999</v>
      </c>
      <c r="J52" s="49">
        <f t="shared" si="5"/>
        <v>0.52209676213265532</v>
      </c>
      <c r="K52" s="39">
        <v>40.563299999999998</v>
      </c>
      <c r="L52" s="39">
        <v>48.5871</v>
      </c>
      <c r="M52" s="50" t="str">
        <f t="shared" si="6"/>
        <v>OK</v>
      </c>
      <c r="N52" s="51">
        <f t="shared" si="7"/>
        <v>1.5663418223586207</v>
      </c>
      <c r="O52" s="51">
        <f t="shared" si="8"/>
        <v>1.5663418223586207</v>
      </c>
      <c r="P52" t="str">
        <f t="shared" si="4"/>
        <v>OK</v>
      </c>
    </row>
    <row r="53" spans="1:16" x14ac:dyDescent="0.3">
      <c r="A53" s="52" t="s">
        <v>128</v>
      </c>
      <c r="B53" s="39">
        <v>2025</v>
      </c>
      <c r="C53" s="39" t="s">
        <v>967</v>
      </c>
      <c r="D53" s="36">
        <v>45726</v>
      </c>
      <c r="E53" s="23" t="s">
        <v>300</v>
      </c>
      <c r="F53" s="37" t="s">
        <v>305</v>
      </c>
      <c r="G53" s="39">
        <v>45.4803</v>
      </c>
      <c r="H53" s="39">
        <v>44.902900000000002</v>
      </c>
      <c r="I53" s="39">
        <v>1.3471</v>
      </c>
      <c r="J53" s="49">
        <f t="shared" si="5"/>
        <v>0.42862445252764997</v>
      </c>
      <c r="K53" s="39">
        <v>40.861600000000003</v>
      </c>
      <c r="L53" s="39">
        <v>48.944200000000002</v>
      </c>
      <c r="M53" s="50" t="str">
        <f t="shared" si="6"/>
        <v>OK</v>
      </c>
      <c r="N53" s="51">
        <f t="shared" si="7"/>
        <v>1.2858857668435606</v>
      </c>
      <c r="O53" s="51">
        <f t="shared" si="8"/>
        <v>1.2858857668435606</v>
      </c>
      <c r="P53" t="str">
        <f t="shared" si="4"/>
        <v>OK</v>
      </c>
    </row>
    <row r="54" spans="1:16" x14ac:dyDescent="0.3">
      <c r="A54" s="52" t="s">
        <v>128</v>
      </c>
      <c r="B54" s="39">
        <v>2025</v>
      </c>
      <c r="C54" s="39" t="s">
        <v>968</v>
      </c>
      <c r="D54" s="36">
        <v>45818</v>
      </c>
      <c r="E54" s="23" t="s">
        <v>300</v>
      </c>
      <c r="F54" s="37" t="s">
        <v>301</v>
      </c>
      <c r="G54" s="39">
        <v>45.301299999999998</v>
      </c>
      <c r="H54" s="39">
        <v>44.580500000000001</v>
      </c>
      <c r="I54" s="39">
        <v>1.3373999999999999</v>
      </c>
      <c r="J54" s="49">
        <f t="shared" si="5"/>
        <v>0.53895618363989606</v>
      </c>
      <c r="K54" s="39">
        <v>40.568300000000001</v>
      </c>
      <c r="L54" s="39">
        <v>48.592700000000001</v>
      </c>
      <c r="M54" s="50" t="str">
        <f t="shared" si="6"/>
        <v>OK</v>
      </c>
      <c r="N54" s="51">
        <f t="shared" si="7"/>
        <v>1.6168504166619868</v>
      </c>
      <c r="O54" s="51">
        <f t="shared" si="8"/>
        <v>1.6168504166619868</v>
      </c>
      <c r="P54" t="str">
        <f t="shared" si="4"/>
        <v>OK</v>
      </c>
    </row>
    <row r="55" spans="1:16" x14ac:dyDescent="0.3">
      <c r="A55" s="52" t="s">
        <v>128</v>
      </c>
      <c r="B55" s="39">
        <v>2025</v>
      </c>
      <c r="C55" s="39" t="s">
        <v>968</v>
      </c>
      <c r="D55" s="36">
        <v>45818</v>
      </c>
      <c r="E55" s="23" t="s">
        <v>300</v>
      </c>
      <c r="F55" s="37" t="s">
        <v>302</v>
      </c>
      <c r="G55" s="39">
        <v>45.655799999999999</v>
      </c>
      <c r="H55" s="39">
        <v>45.0486</v>
      </c>
      <c r="I55" s="39">
        <v>1.3514999999999999</v>
      </c>
      <c r="J55" s="49">
        <f t="shared" si="5"/>
        <v>0.44927857935626997</v>
      </c>
      <c r="K55" s="39">
        <v>40.994100000000003</v>
      </c>
      <c r="L55" s="39">
        <v>49.103099999999998</v>
      </c>
      <c r="M55" s="50" t="str">
        <f t="shared" si="6"/>
        <v>OK</v>
      </c>
      <c r="N55" s="51">
        <f t="shared" si="7"/>
        <v>1.3478776254977931</v>
      </c>
      <c r="O55" s="51">
        <f t="shared" si="8"/>
        <v>1.3478776254977931</v>
      </c>
      <c r="P55" t="str">
        <f t="shared" si="4"/>
        <v>OK</v>
      </c>
    </row>
    <row r="56" spans="1:16" x14ac:dyDescent="0.3">
      <c r="A56" s="52" t="s">
        <v>128</v>
      </c>
      <c r="B56" s="39">
        <v>2025</v>
      </c>
      <c r="C56" s="39" t="s">
        <v>968</v>
      </c>
      <c r="D56" s="36">
        <v>45818</v>
      </c>
      <c r="E56" s="23" t="s">
        <v>300</v>
      </c>
      <c r="F56" s="37" t="s">
        <v>303</v>
      </c>
      <c r="G56" s="39">
        <v>45.115699999999997</v>
      </c>
      <c r="H56" s="39">
        <v>44.8108</v>
      </c>
      <c r="I56" s="39">
        <v>1.3443000000000001</v>
      </c>
      <c r="J56" s="49">
        <f t="shared" si="5"/>
        <v>0.22680949192888222</v>
      </c>
      <c r="K56" s="39">
        <v>40.777900000000002</v>
      </c>
      <c r="L56" s="39">
        <v>48.843699999999998</v>
      </c>
      <c r="M56" s="50" t="str">
        <f t="shared" si="6"/>
        <v>OK</v>
      </c>
      <c r="N56" s="51">
        <f t="shared" si="7"/>
        <v>0.68041632820658504</v>
      </c>
      <c r="O56" s="51">
        <f t="shared" si="8"/>
        <v>0.68041632820658504</v>
      </c>
      <c r="P56" t="str">
        <f t="shared" si="4"/>
        <v>OK</v>
      </c>
    </row>
    <row r="57" spans="1:16" x14ac:dyDescent="0.3">
      <c r="A57" s="52" t="s">
        <v>128</v>
      </c>
      <c r="B57" s="39">
        <v>2025</v>
      </c>
      <c r="C57" s="39" t="s">
        <v>968</v>
      </c>
      <c r="D57" s="36">
        <v>45818</v>
      </c>
      <c r="E57" s="23" t="s">
        <v>300</v>
      </c>
      <c r="F57" s="37" t="s">
        <v>304</v>
      </c>
      <c r="G57" s="39">
        <v>45.619599999999998</v>
      </c>
      <c r="H57" s="39">
        <v>44.692</v>
      </c>
      <c r="I57" s="39">
        <v>1.3408</v>
      </c>
      <c r="J57" s="49">
        <f t="shared" si="5"/>
        <v>0.69182577565632319</v>
      </c>
      <c r="K57" s="39">
        <v>40.669600000000003</v>
      </c>
      <c r="L57" s="39">
        <v>48.714399999999998</v>
      </c>
      <c r="M57" s="50" t="str">
        <f t="shared" si="6"/>
        <v>OK</v>
      </c>
      <c r="N57" s="51">
        <f t="shared" si="7"/>
        <v>2.0755392463975615</v>
      </c>
      <c r="O57" s="51">
        <f t="shared" si="8"/>
        <v>2.0755392463975615</v>
      </c>
      <c r="P57" t="str">
        <f t="shared" si="4"/>
        <v>OK</v>
      </c>
    </row>
    <row r="58" spans="1:16" x14ac:dyDescent="0.3">
      <c r="A58" s="52" t="s">
        <v>128</v>
      </c>
      <c r="B58" s="39">
        <v>2025</v>
      </c>
      <c r="C58" s="39" t="s">
        <v>968</v>
      </c>
      <c r="D58" s="36">
        <v>45818</v>
      </c>
      <c r="E58" s="23" t="s">
        <v>300</v>
      </c>
      <c r="F58" s="37" t="s">
        <v>305</v>
      </c>
      <c r="G58" s="39">
        <v>45.091000000000001</v>
      </c>
      <c r="H58" s="39">
        <v>44.824800000000003</v>
      </c>
      <c r="I58" s="39">
        <v>1.3447</v>
      </c>
      <c r="J58" s="49">
        <f t="shared" si="5"/>
        <v>0.19796237078902193</v>
      </c>
      <c r="K58" s="39">
        <v>40.790700000000001</v>
      </c>
      <c r="L58" s="39">
        <v>48.858899999999998</v>
      </c>
      <c r="M58" s="50" t="str">
        <f t="shared" si="6"/>
        <v>OK</v>
      </c>
      <c r="N58" s="51">
        <f t="shared" si="7"/>
        <v>0.59386768039120696</v>
      </c>
      <c r="O58" s="51">
        <f t="shared" si="8"/>
        <v>0.59386768039120696</v>
      </c>
      <c r="P58" t="str">
        <f t="shared" si="4"/>
        <v>OK</v>
      </c>
    </row>
    <row r="59" spans="1:16" x14ac:dyDescent="0.3">
      <c r="A59" s="52" t="s">
        <v>128</v>
      </c>
      <c r="B59" s="39">
        <v>2025</v>
      </c>
      <c r="C59" s="39" t="s">
        <v>969</v>
      </c>
      <c r="D59" s="36">
        <v>45910</v>
      </c>
      <c r="E59" s="23" t="s">
        <v>300</v>
      </c>
      <c r="F59" s="37" t="s">
        <v>301</v>
      </c>
      <c r="G59" s="39">
        <v>46.2819</v>
      </c>
      <c r="H59" s="39">
        <v>45.509599999999999</v>
      </c>
      <c r="I59" s="39">
        <v>1.3653</v>
      </c>
      <c r="J59" s="49">
        <f t="shared" si="5"/>
        <v>0.56566322419981052</v>
      </c>
      <c r="K59" s="39">
        <v>41.413699999999999</v>
      </c>
      <c r="L59" s="39">
        <v>49.605499999999999</v>
      </c>
      <c r="M59" s="50" t="str">
        <f t="shared" si="6"/>
        <v>OK</v>
      </c>
      <c r="N59" s="51">
        <f t="shared" si="7"/>
        <v>1.6970045880429652</v>
      </c>
      <c r="O59" s="51">
        <f t="shared" si="8"/>
        <v>1.6970045880429652</v>
      </c>
      <c r="P59" t="str">
        <f t="shared" si="4"/>
        <v>OK</v>
      </c>
    </row>
    <row r="60" spans="1:16" x14ac:dyDescent="0.3">
      <c r="A60" s="52" t="s">
        <v>128</v>
      </c>
      <c r="B60" s="39">
        <v>2025</v>
      </c>
      <c r="C60" s="39" t="s">
        <v>969</v>
      </c>
      <c r="D60" s="36">
        <v>45910</v>
      </c>
      <c r="E60" s="23" t="s">
        <v>300</v>
      </c>
      <c r="F60" s="37" t="s">
        <v>302</v>
      </c>
      <c r="G60" s="39">
        <v>46.5152</v>
      </c>
      <c r="H60" s="39">
        <v>45.857100000000003</v>
      </c>
      <c r="I60" s="39">
        <v>1.3756999999999999</v>
      </c>
      <c r="J60" s="49">
        <f t="shared" si="5"/>
        <v>0.47837464563494764</v>
      </c>
      <c r="K60" s="39">
        <v>41.73</v>
      </c>
      <c r="L60" s="39">
        <v>49.984200000000001</v>
      </c>
      <c r="M60" s="50" t="str">
        <f t="shared" si="6"/>
        <v>OK</v>
      </c>
      <c r="N60" s="51">
        <f t="shared" si="7"/>
        <v>1.4351103754925572</v>
      </c>
      <c r="O60" s="51">
        <f t="shared" si="8"/>
        <v>1.4351103754925572</v>
      </c>
      <c r="P60" t="str">
        <f t="shared" si="4"/>
        <v>OK</v>
      </c>
    </row>
    <row r="61" spans="1:16" x14ac:dyDescent="0.3">
      <c r="A61" s="52" t="s">
        <v>128</v>
      </c>
      <c r="B61" s="39">
        <v>2025</v>
      </c>
      <c r="C61" s="39" t="s">
        <v>969</v>
      </c>
      <c r="D61" s="36">
        <v>45910</v>
      </c>
      <c r="E61" s="23" t="s">
        <v>300</v>
      </c>
      <c r="F61" s="37" t="s">
        <v>303</v>
      </c>
      <c r="G61" s="39">
        <v>44.966500000000003</v>
      </c>
      <c r="H61" s="39">
        <v>44.703099999999999</v>
      </c>
      <c r="I61" s="39">
        <v>1.3411</v>
      </c>
      <c r="J61" s="49">
        <f t="shared" si="5"/>
        <v>0.19640593542614593</v>
      </c>
      <c r="K61" s="39">
        <v>40.6798</v>
      </c>
      <c r="L61" s="39">
        <v>48.726399999999998</v>
      </c>
      <c r="M61" s="50" t="str">
        <f t="shared" si="6"/>
        <v>OK</v>
      </c>
      <c r="N61" s="51">
        <f t="shared" si="7"/>
        <v>0.58922088177330945</v>
      </c>
      <c r="O61" s="51">
        <f t="shared" si="8"/>
        <v>0.58922088177330945</v>
      </c>
      <c r="P61" t="str">
        <f t="shared" si="4"/>
        <v>OK</v>
      </c>
    </row>
    <row r="62" spans="1:16" x14ac:dyDescent="0.3">
      <c r="A62" s="52" t="s">
        <v>128</v>
      </c>
      <c r="B62" s="39">
        <v>2025</v>
      </c>
      <c r="C62" s="39" t="s">
        <v>969</v>
      </c>
      <c r="D62" s="36">
        <v>45910</v>
      </c>
      <c r="E62" s="23" t="s">
        <v>300</v>
      </c>
      <c r="F62" s="37" t="s">
        <v>304</v>
      </c>
      <c r="G62" s="39">
        <v>46.796799999999998</v>
      </c>
      <c r="H62" s="39">
        <v>45.504899999999999</v>
      </c>
      <c r="I62" s="39">
        <v>1.3651</v>
      </c>
      <c r="J62" s="49">
        <f t="shared" si="5"/>
        <v>0.94637755475789198</v>
      </c>
      <c r="K62" s="39">
        <v>41.409599999999998</v>
      </c>
      <c r="L62" s="39">
        <v>49.600200000000001</v>
      </c>
      <c r="M62" s="50" t="str">
        <f t="shared" si="6"/>
        <v>OK</v>
      </c>
      <c r="N62" s="51">
        <f t="shared" si="7"/>
        <v>2.8390349171188123</v>
      </c>
      <c r="O62" s="51">
        <f t="shared" si="8"/>
        <v>2.8390349171188123</v>
      </c>
      <c r="P62" t="str">
        <f t="shared" si="4"/>
        <v>OK</v>
      </c>
    </row>
    <row r="63" spans="1:16" x14ac:dyDescent="0.3">
      <c r="A63" s="52" t="s">
        <v>128</v>
      </c>
      <c r="B63" s="39">
        <v>2025</v>
      </c>
      <c r="C63" s="39" t="s">
        <v>969</v>
      </c>
      <c r="D63" s="36">
        <v>45910</v>
      </c>
      <c r="E63" s="23" t="s">
        <v>300</v>
      </c>
      <c r="F63" s="37" t="s">
        <v>305</v>
      </c>
      <c r="G63" s="39">
        <v>45.003900000000002</v>
      </c>
      <c r="H63" s="39">
        <v>44.541699999999999</v>
      </c>
      <c r="I63" s="39">
        <v>1.3363</v>
      </c>
      <c r="J63" s="49">
        <f t="shared" si="5"/>
        <v>0.34588041607423692</v>
      </c>
      <c r="K63" s="39">
        <v>40.532800000000002</v>
      </c>
      <c r="L63" s="39">
        <v>48.550600000000003</v>
      </c>
      <c r="M63" s="50" t="str">
        <f t="shared" si="6"/>
        <v>OK</v>
      </c>
      <c r="N63" s="51">
        <f t="shared" si="7"/>
        <v>1.0376792982755549</v>
      </c>
      <c r="O63" s="51">
        <f t="shared" si="8"/>
        <v>1.0376792982755549</v>
      </c>
      <c r="P63" t="str">
        <f t="shared" si="4"/>
        <v>OK</v>
      </c>
    </row>
    <row r="64" spans="1:16" x14ac:dyDescent="0.3">
      <c r="A64" s="52" t="s">
        <v>129</v>
      </c>
      <c r="B64" s="39">
        <v>2025</v>
      </c>
      <c r="C64" s="39" t="s">
        <v>967</v>
      </c>
      <c r="D64" s="36">
        <v>45726</v>
      </c>
      <c r="E64" s="23" t="s">
        <v>300</v>
      </c>
      <c r="F64" s="37" t="s">
        <v>301</v>
      </c>
      <c r="G64" s="39">
        <v>88.894999999999996</v>
      </c>
      <c r="H64" s="39">
        <v>88.188199999999995</v>
      </c>
      <c r="I64" s="39">
        <v>2.6456</v>
      </c>
      <c r="J64" s="49">
        <f t="shared" si="5"/>
        <v>0.26716056849108</v>
      </c>
      <c r="K64" s="39">
        <v>80.251400000000004</v>
      </c>
      <c r="L64" s="39">
        <v>96.125</v>
      </c>
      <c r="M64" s="50" t="str">
        <f t="shared" si="6"/>
        <v>OK</v>
      </c>
      <c r="N64" s="51">
        <f t="shared" si="7"/>
        <v>0.80146777006447711</v>
      </c>
      <c r="O64" s="51">
        <f t="shared" si="8"/>
        <v>0.80146777006447711</v>
      </c>
      <c r="P64" t="str">
        <f t="shared" si="4"/>
        <v>OK</v>
      </c>
    </row>
    <row r="65" spans="1:16" x14ac:dyDescent="0.3">
      <c r="A65" s="52" t="s">
        <v>129</v>
      </c>
      <c r="B65" s="39">
        <v>2025</v>
      </c>
      <c r="C65" s="39" t="s">
        <v>967</v>
      </c>
      <c r="D65" s="36">
        <v>45726</v>
      </c>
      <c r="E65" s="23" t="s">
        <v>300</v>
      </c>
      <c r="F65" s="37" t="s">
        <v>302</v>
      </c>
      <c r="G65" s="39">
        <v>88.330600000000004</v>
      </c>
      <c r="H65" s="39">
        <v>87.428299999999993</v>
      </c>
      <c r="I65" s="39">
        <v>2.6227999999999998</v>
      </c>
      <c r="J65" s="49">
        <f t="shared" si="5"/>
        <v>0.34402165624523834</v>
      </c>
      <c r="K65" s="39">
        <v>79.559899999999999</v>
      </c>
      <c r="L65" s="39">
        <v>95.296700000000001</v>
      </c>
      <c r="M65" s="50" t="str">
        <f t="shared" si="6"/>
        <v>OK</v>
      </c>
      <c r="N65" s="51">
        <f t="shared" si="7"/>
        <v>1.0320456877235529</v>
      </c>
      <c r="O65" s="51">
        <f t="shared" si="8"/>
        <v>1.0320456877235529</v>
      </c>
      <c r="P65" t="str">
        <f t="shared" si="4"/>
        <v>OK</v>
      </c>
    </row>
    <row r="66" spans="1:16" x14ac:dyDescent="0.3">
      <c r="A66" s="52" t="s">
        <v>129</v>
      </c>
      <c r="B66" s="39">
        <v>2025</v>
      </c>
      <c r="C66" s="39" t="s">
        <v>967</v>
      </c>
      <c r="D66" s="36">
        <v>45726</v>
      </c>
      <c r="E66" s="23" t="s">
        <v>300</v>
      </c>
      <c r="F66" s="37" t="s">
        <v>303</v>
      </c>
      <c r="G66" s="39">
        <v>89.349400000000003</v>
      </c>
      <c r="H66" s="39">
        <v>87.833799999999997</v>
      </c>
      <c r="I66" s="39">
        <v>2.6349999999999998</v>
      </c>
      <c r="J66" s="49">
        <f t="shared" si="5"/>
        <v>0.57518026565465141</v>
      </c>
      <c r="K66" s="39">
        <v>79.928799999999995</v>
      </c>
      <c r="L66" s="39">
        <v>95.738799999999998</v>
      </c>
      <c r="M66" s="50" t="str">
        <f t="shared" si="6"/>
        <v>OK</v>
      </c>
      <c r="N66" s="51">
        <f t="shared" si="7"/>
        <v>1.7255316290539706</v>
      </c>
      <c r="O66" s="51">
        <f t="shared" si="8"/>
        <v>1.7255316290539706</v>
      </c>
      <c r="P66" t="str">
        <f t="shared" si="4"/>
        <v>OK</v>
      </c>
    </row>
    <row r="67" spans="1:16" x14ac:dyDescent="0.3">
      <c r="A67" s="52" t="s">
        <v>129</v>
      </c>
      <c r="B67" s="39">
        <v>2025</v>
      </c>
      <c r="C67" s="39" t="s">
        <v>967</v>
      </c>
      <c r="D67" s="36">
        <v>45726</v>
      </c>
      <c r="E67" s="23" t="s">
        <v>300</v>
      </c>
      <c r="F67" s="37" t="s">
        <v>304</v>
      </c>
      <c r="G67" s="39">
        <v>89.123900000000006</v>
      </c>
      <c r="H67" s="39">
        <v>87.684899999999999</v>
      </c>
      <c r="I67" s="39">
        <v>2.6305000000000001</v>
      </c>
      <c r="J67" s="49">
        <f t="shared" si="5"/>
        <v>0.54704428815814754</v>
      </c>
      <c r="K67" s="39">
        <v>79.793400000000005</v>
      </c>
      <c r="L67" s="39">
        <v>95.576400000000007</v>
      </c>
      <c r="M67" s="50" t="str">
        <f t="shared" si="6"/>
        <v>OK</v>
      </c>
      <c r="N67" s="51">
        <f t="shared" si="7"/>
        <v>1.6411035423431026</v>
      </c>
      <c r="O67" s="51">
        <f t="shared" si="8"/>
        <v>1.6411035423431026</v>
      </c>
      <c r="P67" t="str">
        <f t="shared" si="4"/>
        <v>OK</v>
      </c>
    </row>
    <row r="68" spans="1:16" x14ac:dyDescent="0.3">
      <c r="A68" s="52" t="s">
        <v>129</v>
      </c>
      <c r="B68" s="39">
        <v>2025</v>
      </c>
      <c r="C68" s="39" t="s">
        <v>967</v>
      </c>
      <c r="D68" s="36">
        <v>45726</v>
      </c>
      <c r="E68" s="23" t="s">
        <v>300</v>
      </c>
      <c r="F68" s="37" t="s">
        <v>305</v>
      </c>
      <c r="G68" s="39">
        <v>88.482299999999995</v>
      </c>
      <c r="H68" s="39">
        <v>87.297399999999996</v>
      </c>
      <c r="I68" s="39">
        <v>2.6189</v>
      </c>
      <c r="J68" s="49">
        <f t="shared" ref="J68:J93" si="9">IF(OR($G68="",$H68="",$I68="",$I68=0),"",($G68-$H68)/$I68)</f>
        <v>0.45244186490511246</v>
      </c>
      <c r="K68" s="39">
        <v>79.440700000000007</v>
      </c>
      <c r="L68" s="39">
        <v>95.1541</v>
      </c>
      <c r="M68" s="5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1">
        <f t="shared" ref="N68:N93" si="11">IF(OR($G68="",$H68="",$H68=0),"",($G68-$H68)/$H68*100)</f>
        <v>1.3573141926334564</v>
      </c>
      <c r="O68" s="51">
        <f t="shared" ref="O68:O93" si="12">IF($N68="","",ABS($N68))</f>
        <v>1.3573141926334564</v>
      </c>
      <c r="P68" t="str">
        <f t="shared" ref="P68:P131" si="13">IF($J68="","",IF(ABS($J68)&lt;=2,"OK","FORA (|SDI|&gt;2)"))</f>
        <v>OK</v>
      </c>
    </row>
    <row r="69" spans="1:16" x14ac:dyDescent="0.3">
      <c r="A69" s="52" t="s">
        <v>129</v>
      </c>
      <c r="B69" s="39">
        <v>2025</v>
      </c>
      <c r="C69" s="39" t="s">
        <v>968</v>
      </c>
      <c r="D69" s="36">
        <v>45818</v>
      </c>
      <c r="E69" s="23" t="s">
        <v>300</v>
      </c>
      <c r="F69" s="37" t="s">
        <v>301</v>
      </c>
      <c r="G69" s="39">
        <v>86.223399999999998</v>
      </c>
      <c r="H69" s="39">
        <v>85.790999999999997</v>
      </c>
      <c r="I69" s="39">
        <v>2.5737000000000001</v>
      </c>
      <c r="J69" s="49">
        <f t="shared" si="9"/>
        <v>0.16800714924039367</v>
      </c>
      <c r="K69" s="39">
        <v>78.069900000000004</v>
      </c>
      <c r="L69" s="39">
        <v>93.512100000000004</v>
      </c>
      <c r="M69" s="50" t="str">
        <f t="shared" si="10"/>
        <v>OK</v>
      </c>
      <c r="N69" s="51">
        <f t="shared" si="11"/>
        <v>0.5040155727290756</v>
      </c>
      <c r="O69" s="51">
        <f t="shared" si="12"/>
        <v>0.5040155727290756</v>
      </c>
      <c r="P69" t="str">
        <f t="shared" si="13"/>
        <v>OK</v>
      </c>
    </row>
    <row r="70" spans="1:16" x14ac:dyDescent="0.3">
      <c r="A70" s="52" t="s">
        <v>129</v>
      </c>
      <c r="B70" s="39">
        <v>2025</v>
      </c>
      <c r="C70" s="39" t="s">
        <v>968</v>
      </c>
      <c r="D70" s="36">
        <v>45818</v>
      </c>
      <c r="E70" s="23" t="s">
        <v>300</v>
      </c>
      <c r="F70" s="37" t="s">
        <v>302</v>
      </c>
      <c r="G70" s="39">
        <v>89.173400000000001</v>
      </c>
      <c r="H70" s="39">
        <v>88.363299999999995</v>
      </c>
      <c r="I70" s="39">
        <v>2.6509</v>
      </c>
      <c r="J70" s="49">
        <f t="shared" si="9"/>
        <v>0.30559432645516826</v>
      </c>
      <c r="K70" s="39">
        <v>80.410600000000002</v>
      </c>
      <c r="L70" s="39">
        <v>96.316000000000003</v>
      </c>
      <c r="M70" s="50" t="str">
        <f t="shared" si="10"/>
        <v>OK</v>
      </c>
      <c r="N70" s="51">
        <f t="shared" si="11"/>
        <v>0.91678332520402206</v>
      </c>
      <c r="O70" s="51">
        <f t="shared" si="12"/>
        <v>0.91678332520402206</v>
      </c>
      <c r="P70" t="str">
        <f t="shared" si="13"/>
        <v>OK</v>
      </c>
    </row>
    <row r="71" spans="1:16" x14ac:dyDescent="0.3">
      <c r="A71" s="52" t="s">
        <v>129</v>
      </c>
      <c r="B71" s="39">
        <v>2025</v>
      </c>
      <c r="C71" s="39" t="s">
        <v>968</v>
      </c>
      <c r="D71" s="36">
        <v>45818</v>
      </c>
      <c r="E71" s="23" t="s">
        <v>300</v>
      </c>
      <c r="F71" s="37" t="s">
        <v>303</v>
      </c>
      <c r="G71" s="39">
        <v>89.461500000000001</v>
      </c>
      <c r="H71" s="39">
        <v>88.173900000000003</v>
      </c>
      <c r="I71" s="39">
        <v>2.6452</v>
      </c>
      <c r="J71" s="49">
        <f t="shared" si="9"/>
        <v>0.48676848631483355</v>
      </c>
      <c r="K71" s="39">
        <v>80.238299999999995</v>
      </c>
      <c r="L71" s="39">
        <v>96.109499999999997</v>
      </c>
      <c r="M71" s="50" t="str">
        <f t="shared" si="10"/>
        <v>OK</v>
      </c>
      <c r="N71" s="51">
        <f t="shared" si="11"/>
        <v>1.4602960740082922</v>
      </c>
      <c r="O71" s="51">
        <f t="shared" si="12"/>
        <v>1.4602960740082922</v>
      </c>
      <c r="P71" t="str">
        <f t="shared" si="13"/>
        <v>OK</v>
      </c>
    </row>
    <row r="72" spans="1:16" x14ac:dyDescent="0.3">
      <c r="A72" s="52" t="s">
        <v>129</v>
      </c>
      <c r="B72" s="39">
        <v>2025</v>
      </c>
      <c r="C72" s="39" t="s">
        <v>968</v>
      </c>
      <c r="D72" s="36">
        <v>45818</v>
      </c>
      <c r="E72" s="23" t="s">
        <v>300</v>
      </c>
      <c r="F72" s="37" t="s">
        <v>304</v>
      </c>
      <c r="G72" s="39">
        <v>90.236699999999999</v>
      </c>
      <c r="H72" s="39">
        <v>88.824700000000007</v>
      </c>
      <c r="I72" s="39">
        <v>2.6646999999999998</v>
      </c>
      <c r="J72" s="49">
        <f t="shared" si="9"/>
        <v>0.52989079446091192</v>
      </c>
      <c r="K72" s="39">
        <v>80.830600000000004</v>
      </c>
      <c r="L72" s="39">
        <v>96.818799999999996</v>
      </c>
      <c r="M72" s="50" t="str">
        <f t="shared" si="10"/>
        <v>OK</v>
      </c>
      <c r="N72" s="51">
        <f t="shared" si="11"/>
        <v>1.5896479245074757</v>
      </c>
      <c r="O72" s="51">
        <f t="shared" si="12"/>
        <v>1.5896479245074757</v>
      </c>
      <c r="P72" t="str">
        <f t="shared" si="13"/>
        <v>OK</v>
      </c>
    </row>
    <row r="73" spans="1:16" x14ac:dyDescent="0.3">
      <c r="A73" s="52" t="s">
        <v>129</v>
      </c>
      <c r="B73" s="39">
        <v>2025</v>
      </c>
      <c r="C73" s="39" t="s">
        <v>968</v>
      </c>
      <c r="D73" s="36">
        <v>45818</v>
      </c>
      <c r="E73" s="23" t="s">
        <v>300</v>
      </c>
      <c r="F73" s="37" t="s">
        <v>305</v>
      </c>
      <c r="G73" s="39">
        <v>89.572299999999998</v>
      </c>
      <c r="H73" s="39">
        <v>88.557100000000005</v>
      </c>
      <c r="I73" s="39">
        <v>2.6566999999999998</v>
      </c>
      <c r="J73" s="49">
        <f t="shared" si="9"/>
        <v>0.38212820416305682</v>
      </c>
      <c r="K73" s="39">
        <v>80.587000000000003</v>
      </c>
      <c r="L73" s="39">
        <v>96.527199999999993</v>
      </c>
      <c r="M73" s="50" t="str">
        <f t="shared" si="10"/>
        <v>OK</v>
      </c>
      <c r="N73" s="51">
        <f t="shared" si="11"/>
        <v>1.1463790029257879</v>
      </c>
      <c r="O73" s="51">
        <f t="shared" si="12"/>
        <v>1.1463790029257879</v>
      </c>
      <c r="P73" t="str">
        <f t="shared" si="13"/>
        <v>OK</v>
      </c>
    </row>
    <row r="74" spans="1:16" x14ac:dyDescent="0.3">
      <c r="A74" s="52" t="s">
        <v>129</v>
      </c>
      <c r="B74" s="39">
        <v>2025</v>
      </c>
      <c r="C74" s="39" t="s">
        <v>969</v>
      </c>
      <c r="D74" s="36">
        <v>45910</v>
      </c>
      <c r="E74" s="23" t="s">
        <v>300</v>
      </c>
      <c r="F74" s="37" t="s">
        <v>301</v>
      </c>
      <c r="G74" s="39">
        <v>87.792400000000001</v>
      </c>
      <c r="H74" s="39">
        <v>87.053399999999996</v>
      </c>
      <c r="I74" s="39">
        <v>2.6116000000000001</v>
      </c>
      <c r="J74" s="49">
        <f t="shared" si="9"/>
        <v>0.28296829529790329</v>
      </c>
      <c r="K74" s="39">
        <v>79.218599999999995</v>
      </c>
      <c r="L74" s="39">
        <v>94.888199999999998</v>
      </c>
      <c r="M74" s="50" t="str">
        <f t="shared" si="10"/>
        <v>OK</v>
      </c>
      <c r="N74" s="51">
        <f t="shared" si="11"/>
        <v>0.84890423579091034</v>
      </c>
      <c r="O74" s="51">
        <f t="shared" si="12"/>
        <v>0.84890423579091034</v>
      </c>
      <c r="P74" t="str">
        <f t="shared" si="13"/>
        <v>OK</v>
      </c>
    </row>
    <row r="75" spans="1:16" x14ac:dyDescent="0.3">
      <c r="A75" s="52" t="s">
        <v>129</v>
      </c>
      <c r="B75" s="39">
        <v>2025</v>
      </c>
      <c r="C75" s="39" t="s">
        <v>969</v>
      </c>
      <c r="D75" s="36">
        <v>45910</v>
      </c>
      <c r="E75" s="23" t="s">
        <v>300</v>
      </c>
      <c r="F75" s="37" t="s">
        <v>302</v>
      </c>
      <c r="G75" s="39">
        <v>87.811400000000006</v>
      </c>
      <c r="H75" s="39">
        <v>87.237700000000004</v>
      </c>
      <c r="I75" s="39">
        <v>2.6171000000000002</v>
      </c>
      <c r="J75" s="49">
        <f t="shared" si="9"/>
        <v>0.21921210500172034</v>
      </c>
      <c r="K75" s="39">
        <v>79.386399999999995</v>
      </c>
      <c r="L75" s="39">
        <v>95.088999999999999</v>
      </c>
      <c r="M75" s="50" t="str">
        <f t="shared" si="10"/>
        <v>OK</v>
      </c>
      <c r="N75" s="51">
        <f t="shared" si="11"/>
        <v>0.65762852528207683</v>
      </c>
      <c r="O75" s="51">
        <f t="shared" si="12"/>
        <v>0.65762852528207683</v>
      </c>
      <c r="P75" t="str">
        <f t="shared" si="13"/>
        <v>OK</v>
      </c>
    </row>
    <row r="76" spans="1:16" x14ac:dyDescent="0.3">
      <c r="A76" s="52" t="s">
        <v>129</v>
      </c>
      <c r="B76" s="39">
        <v>2025</v>
      </c>
      <c r="C76" s="39" t="s">
        <v>969</v>
      </c>
      <c r="D76" s="36">
        <v>45910</v>
      </c>
      <c r="E76" s="23" t="s">
        <v>300</v>
      </c>
      <c r="F76" s="37" t="s">
        <v>303</v>
      </c>
      <c r="G76" s="39">
        <v>88.193100000000001</v>
      </c>
      <c r="H76" s="39">
        <v>87.185599999999994</v>
      </c>
      <c r="I76" s="39">
        <v>2.6156000000000001</v>
      </c>
      <c r="J76" s="49">
        <f t="shared" si="9"/>
        <v>0.38518886679920755</v>
      </c>
      <c r="K76" s="39">
        <v>79.338800000000006</v>
      </c>
      <c r="L76" s="39">
        <v>95.032399999999996</v>
      </c>
      <c r="M76" s="50" t="str">
        <f t="shared" si="10"/>
        <v>OK</v>
      </c>
      <c r="N76" s="51">
        <f t="shared" si="11"/>
        <v>1.1555807381035486</v>
      </c>
      <c r="O76" s="51">
        <f t="shared" si="12"/>
        <v>1.1555807381035486</v>
      </c>
      <c r="P76" t="str">
        <f t="shared" si="13"/>
        <v>OK</v>
      </c>
    </row>
    <row r="77" spans="1:16" x14ac:dyDescent="0.3">
      <c r="A77" s="52" t="s">
        <v>129</v>
      </c>
      <c r="B77" s="39">
        <v>2025</v>
      </c>
      <c r="C77" s="39" t="s">
        <v>969</v>
      </c>
      <c r="D77" s="36">
        <v>45910</v>
      </c>
      <c r="E77" s="23" t="s">
        <v>300</v>
      </c>
      <c r="F77" s="37" t="s">
        <v>304</v>
      </c>
      <c r="G77" s="39">
        <v>88.797799999999995</v>
      </c>
      <c r="H77" s="39">
        <v>87.886099999999999</v>
      </c>
      <c r="I77" s="39">
        <v>2.6366000000000001</v>
      </c>
      <c r="J77" s="49">
        <f t="shared" si="9"/>
        <v>0.34578623985435641</v>
      </c>
      <c r="K77" s="39">
        <v>79.976299999999995</v>
      </c>
      <c r="L77" s="39">
        <v>95.795900000000003</v>
      </c>
      <c r="M77" s="50" t="str">
        <f t="shared" si="10"/>
        <v>OK</v>
      </c>
      <c r="N77" s="51">
        <f t="shared" si="11"/>
        <v>1.0373654081817218</v>
      </c>
      <c r="O77" s="51">
        <f t="shared" si="12"/>
        <v>1.0373654081817218</v>
      </c>
      <c r="P77" t="str">
        <f t="shared" si="13"/>
        <v>OK</v>
      </c>
    </row>
    <row r="78" spans="1:16" x14ac:dyDescent="0.3">
      <c r="A78" s="52" t="s">
        <v>129</v>
      </c>
      <c r="B78" s="39">
        <v>2025</v>
      </c>
      <c r="C78" s="39" t="s">
        <v>969</v>
      </c>
      <c r="D78" s="36">
        <v>45910</v>
      </c>
      <c r="E78" s="23" t="s">
        <v>300</v>
      </c>
      <c r="F78" s="37" t="s">
        <v>305</v>
      </c>
      <c r="G78" s="39">
        <v>86.980999999999995</v>
      </c>
      <c r="H78" s="39">
        <v>85.979100000000003</v>
      </c>
      <c r="I78" s="39">
        <v>2.5794000000000001</v>
      </c>
      <c r="J78" s="49">
        <f t="shared" si="9"/>
        <v>0.38842366441807863</v>
      </c>
      <c r="K78" s="39">
        <v>78.240899999999996</v>
      </c>
      <c r="L78" s="39">
        <v>93.717299999999994</v>
      </c>
      <c r="M78" s="50" t="str">
        <f t="shared" si="10"/>
        <v>OK</v>
      </c>
      <c r="N78" s="51">
        <f t="shared" si="11"/>
        <v>1.1652831909149921</v>
      </c>
      <c r="O78" s="51">
        <f t="shared" si="12"/>
        <v>1.1652831909149921</v>
      </c>
      <c r="P78" t="str">
        <f t="shared" si="13"/>
        <v>OK</v>
      </c>
    </row>
    <row r="79" spans="1:16" x14ac:dyDescent="0.3">
      <c r="A79" s="52" t="s">
        <v>130</v>
      </c>
      <c r="B79" s="39">
        <v>2025</v>
      </c>
      <c r="C79" s="39" t="s">
        <v>967</v>
      </c>
      <c r="D79" s="36">
        <v>45726</v>
      </c>
      <c r="E79" s="23" t="s">
        <v>300</v>
      </c>
      <c r="F79" s="37" t="s">
        <v>301</v>
      </c>
      <c r="G79" s="39">
        <v>30.723700000000001</v>
      </c>
      <c r="H79" s="39">
        <v>30.461600000000001</v>
      </c>
      <c r="I79" s="39">
        <v>0.91379999999999995</v>
      </c>
      <c r="J79" s="49">
        <f t="shared" si="9"/>
        <v>0.28682425038301623</v>
      </c>
      <c r="K79" s="39">
        <v>27.720199999999998</v>
      </c>
      <c r="L79" s="39">
        <v>33.203000000000003</v>
      </c>
      <c r="M79" s="50" t="str">
        <f t="shared" si="10"/>
        <v>OK</v>
      </c>
      <c r="N79" s="51">
        <f t="shared" si="11"/>
        <v>0.86042755469180943</v>
      </c>
      <c r="O79" s="51">
        <f t="shared" si="12"/>
        <v>0.86042755469180943</v>
      </c>
      <c r="P79" t="str">
        <f t="shared" si="13"/>
        <v>OK</v>
      </c>
    </row>
    <row r="80" spans="1:16" x14ac:dyDescent="0.3">
      <c r="A80" s="52" t="s">
        <v>130</v>
      </c>
      <c r="B80" s="39">
        <v>2025</v>
      </c>
      <c r="C80" s="39" t="s">
        <v>967</v>
      </c>
      <c r="D80" s="36">
        <v>45726</v>
      </c>
      <c r="E80" s="23" t="s">
        <v>300</v>
      </c>
      <c r="F80" s="37" t="s">
        <v>302</v>
      </c>
      <c r="G80" s="39">
        <v>30.704899999999999</v>
      </c>
      <c r="H80" s="39">
        <v>30.5687</v>
      </c>
      <c r="I80" s="39">
        <v>0.91710000000000003</v>
      </c>
      <c r="J80" s="49">
        <f t="shared" si="9"/>
        <v>0.14851161269218052</v>
      </c>
      <c r="K80" s="39">
        <v>27.817399999999999</v>
      </c>
      <c r="L80" s="39">
        <v>33.32</v>
      </c>
      <c r="M80" s="50" t="str">
        <f t="shared" si="10"/>
        <v>OK</v>
      </c>
      <c r="N80" s="51">
        <f t="shared" si="11"/>
        <v>0.44555378540794588</v>
      </c>
      <c r="O80" s="51">
        <f t="shared" si="12"/>
        <v>0.44555378540794588</v>
      </c>
      <c r="P80" t="str">
        <f t="shared" si="13"/>
        <v>OK</v>
      </c>
    </row>
    <row r="81" spans="1:16" x14ac:dyDescent="0.3">
      <c r="A81" s="52" t="s">
        <v>130</v>
      </c>
      <c r="B81" s="39">
        <v>2025</v>
      </c>
      <c r="C81" s="39" t="s">
        <v>967</v>
      </c>
      <c r="D81" s="36">
        <v>45726</v>
      </c>
      <c r="E81" s="23" t="s">
        <v>300</v>
      </c>
      <c r="F81" s="37" t="s">
        <v>303</v>
      </c>
      <c r="G81" s="39">
        <v>30.499700000000001</v>
      </c>
      <c r="H81" s="39">
        <v>30.173100000000002</v>
      </c>
      <c r="I81" s="39">
        <v>0.9052</v>
      </c>
      <c r="J81" s="49">
        <f t="shared" si="9"/>
        <v>0.36080424215642853</v>
      </c>
      <c r="K81" s="39">
        <v>27.4575</v>
      </c>
      <c r="L81" s="39">
        <v>32.8887</v>
      </c>
      <c r="M81" s="50" t="str">
        <f t="shared" si="10"/>
        <v>OK</v>
      </c>
      <c r="N81" s="51">
        <f t="shared" si="11"/>
        <v>1.0824210969373351</v>
      </c>
      <c r="O81" s="51">
        <f t="shared" si="12"/>
        <v>1.0824210969373351</v>
      </c>
      <c r="P81" t="str">
        <f t="shared" si="13"/>
        <v>OK</v>
      </c>
    </row>
    <row r="82" spans="1:16" x14ac:dyDescent="0.3">
      <c r="A82" s="52" t="s">
        <v>130</v>
      </c>
      <c r="B82" s="39">
        <v>2025</v>
      </c>
      <c r="C82" s="39" t="s">
        <v>967</v>
      </c>
      <c r="D82" s="36">
        <v>45726</v>
      </c>
      <c r="E82" s="23" t="s">
        <v>300</v>
      </c>
      <c r="F82" s="37" t="s">
        <v>304</v>
      </c>
      <c r="G82" s="39">
        <v>30.941400000000002</v>
      </c>
      <c r="H82" s="39">
        <v>30.623100000000001</v>
      </c>
      <c r="I82" s="39">
        <v>0.91869999999999996</v>
      </c>
      <c r="J82" s="49">
        <f t="shared" si="9"/>
        <v>0.34646783498421757</v>
      </c>
      <c r="K82" s="39">
        <v>27.867000000000001</v>
      </c>
      <c r="L82" s="39">
        <v>33.379199999999997</v>
      </c>
      <c r="M82" s="50" t="str">
        <f t="shared" si="10"/>
        <v>OK</v>
      </c>
      <c r="N82" s="51">
        <f t="shared" si="11"/>
        <v>1.0394114247088007</v>
      </c>
      <c r="O82" s="51">
        <f t="shared" si="12"/>
        <v>1.0394114247088007</v>
      </c>
      <c r="P82" t="str">
        <f t="shared" si="13"/>
        <v>OK</v>
      </c>
    </row>
    <row r="83" spans="1:16" x14ac:dyDescent="0.3">
      <c r="A83" s="52" t="s">
        <v>130</v>
      </c>
      <c r="B83" s="39">
        <v>2025</v>
      </c>
      <c r="C83" s="39" t="s">
        <v>967</v>
      </c>
      <c r="D83" s="36">
        <v>45726</v>
      </c>
      <c r="E83" s="23" t="s">
        <v>300</v>
      </c>
      <c r="F83" s="37" t="s">
        <v>305</v>
      </c>
      <c r="G83" s="39">
        <v>31.165600000000001</v>
      </c>
      <c r="H83" s="39">
        <v>31.040299999999998</v>
      </c>
      <c r="I83" s="39">
        <v>0.93120000000000003</v>
      </c>
      <c r="J83" s="49">
        <f t="shared" si="9"/>
        <v>0.13455756013746009</v>
      </c>
      <c r="K83" s="39">
        <v>28.246700000000001</v>
      </c>
      <c r="L83" s="39">
        <v>33.8339</v>
      </c>
      <c r="M83" s="50" t="str">
        <f t="shared" si="10"/>
        <v>OK</v>
      </c>
      <c r="N83" s="51">
        <f t="shared" si="11"/>
        <v>0.4036687789744392</v>
      </c>
      <c r="O83" s="51">
        <f t="shared" si="12"/>
        <v>0.4036687789744392</v>
      </c>
      <c r="P83" t="str">
        <f t="shared" si="13"/>
        <v>OK</v>
      </c>
    </row>
    <row r="84" spans="1:16" x14ac:dyDescent="0.3">
      <c r="A84" s="52" t="s">
        <v>130</v>
      </c>
      <c r="B84" s="39">
        <v>2025</v>
      </c>
      <c r="C84" s="39" t="s">
        <v>968</v>
      </c>
      <c r="D84" s="36">
        <v>45818</v>
      </c>
      <c r="E84" s="23" t="s">
        <v>300</v>
      </c>
      <c r="F84" s="37" t="s">
        <v>301</v>
      </c>
      <c r="G84" s="39">
        <v>30.726800000000001</v>
      </c>
      <c r="H84" s="39">
        <v>30.510200000000001</v>
      </c>
      <c r="I84" s="39">
        <v>0.9153</v>
      </c>
      <c r="J84" s="49">
        <f t="shared" si="9"/>
        <v>0.23664372336938674</v>
      </c>
      <c r="K84" s="39">
        <v>27.764299999999999</v>
      </c>
      <c r="L84" s="39">
        <v>33.256100000000004</v>
      </c>
      <c r="M84" s="50" t="str">
        <f t="shared" si="10"/>
        <v>OK</v>
      </c>
      <c r="N84" s="51">
        <f t="shared" si="11"/>
        <v>0.7099265163781282</v>
      </c>
      <c r="O84" s="51">
        <f t="shared" si="12"/>
        <v>0.7099265163781282</v>
      </c>
      <c r="P84" t="str">
        <f t="shared" si="13"/>
        <v>OK</v>
      </c>
    </row>
    <row r="85" spans="1:16" x14ac:dyDescent="0.3">
      <c r="A85" s="52" t="s">
        <v>130</v>
      </c>
      <c r="B85" s="39">
        <v>2025</v>
      </c>
      <c r="C85" s="39" t="s">
        <v>968</v>
      </c>
      <c r="D85" s="36">
        <v>45818</v>
      </c>
      <c r="E85" s="23" t="s">
        <v>300</v>
      </c>
      <c r="F85" s="37" t="s">
        <v>302</v>
      </c>
      <c r="G85" s="39">
        <v>30.786300000000001</v>
      </c>
      <c r="H85" s="39">
        <v>30.563199999999998</v>
      </c>
      <c r="I85" s="39">
        <v>0.91690000000000005</v>
      </c>
      <c r="J85" s="49">
        <f t="shared" si="9"/>
        <v>0.24331988221180312</v>
      </c>
      <c r="K85" s="39">
        <v>27.8125</v>
      </c>
      <c r="L85" s="39">
        <v>33.313899999999997</v>
      </c>
      <c r="M85" s="50" t="str">
        <f t="shared" si="10"/>
        <v>OK</v>
      </c>
      <c r="N85" s="51">
        <f t="shared" si="11"/>
        <v>0.72996283111716798</v>
      </c>
      <c r="O85" s="51">
        <f t="shared" si="12"/>
        <v>0.72996283111716798</v>
      </c>
      <c r="P85" t="str">
        <f t="shared" si="13"/>
        <v>OK</v>
      </c>
    </row>
    <row r="86" spans="1:16" x14ac:dyDescent="0.3">
      <c r="A86" s="52" t="s">
        <v>130</v>
      </c>
      <c r="B86" s="39">
        <v>2025</v>
      </c>
      <c r="C86" s="39" t="s">
        <v>968</v>
      </c>
      <c r="D86" s="36">
        <v>45818</v>
      </c>
      <c r="E86" s="23" t="s">
        <v>300</v>
      </c>
      <c r="F86" s="37" t="s">
        <v>303</v>
      </c>
      <c r="G86" s="39">
        <v>30.65</v>
      </c>
      <c r="H86" s="39">
        <v>30.454499999999999</v>
      </c>
      <c r="I86" s="39">
        <v>0.91359999999999997</v>
      </c>
      <c r="J86" s="49">
        <f t="shared" si="9"/>
        <v>0.21398861646234579</v>
      </c>
      <c r="K86" s="39">
        <v>27.713699999999999</v>
      </c>
      <c r="L86" s="39">
        <v>33.195300000000003</v>
      </c>
      <c r="M86" s="50" t="str">
        <f t="shared" si="10"/>
        <v>OK</v>
      </c>
      <c r="N86" s="51">
        <f t="shared" si="11"/>
        <v>0.64194125662873835</v>
      </c>
      <c r="O86" s="51">
        <f t="shared" si="12"/>
        <v>0.64194125662873835</v>
      </c>
      <c r="P86" t="str">
        <f t="shared" si="13"/>
        <v>OK</v>
      </c>
    </row>
    <row r="87" spans="1:16" x14ac:dyDescent="0.3">
      <c r="A87" s="52" t="s">
        <v>130</v>
      </c>
      <c r="B87" s="39">
        <v>2025</v>
      </c>
      <c r="C87" s="39" t="s">
        <v>968</v>
      </c>
      <c r="D87" s="36">
        <v>45818</v>
      </c>
      <c r="E87" s="23" t="s">
        <v>300</v>
      </c>
      <c r="F87" s="37" t="s">
        <v>304</v>
      </c>
      <c r="G87" s="39">
        <v>30.104099999999999</v>
      </c>
      <c r="H87" s="39">
        <v>29.936399999999999</v>
      </c>
      <c r="I87" s="39">
        <v>0.89810000000000001</v>
      </c>
      <c r="J87" s="49">
        <f t="shared" si="9"/>
        <v>0.18672753590914148</v>
      </c>
      <c r="K87" s="39">
        <v>27.242100000000001</v>
      </c>
      <c r="L87" s="39">
        <v>32.630699999999997</v>
      </c>
      <c r="M87" s="50" t="str">
        <f t="shared" si="10"/>
        <v>OK</v>
      </c>
      <c r="N87" s="51">
        <f t="shared" si="11"/>
        <v>0.560187597707139</v>
      </c>
      <c r="O87" s="51">
        <f t="shared" si="12"/>
        <v>0.560187597707139</v>
      </c>
      <c r="P87" t="str">
        <f t="shared" si="13"/>
        <v>OK</v>
      </c>
    </row>
    <row r="88" spans="1:16" x14ac:dyDescent="0.3">
      <c r="A88" s="52" t="s">
        <v>130</v>
      </c>
      <c r="B88" s="39">
        <v>2025</v>
      </c>
      <c r="C88" s="39" t="s">
        <v>968</v>
      </c>
      <c r="D88" s="36">
        <v>45818</v>
      </c>
      <c r="E88" s="23" t="s">
        <v>300</v>
      </c>
      <c r="F88" s="37" t="s">
        <v>305</v>
      </c>
      <c r="G88" s="39">
        <v>30.356000000000002</v>
      </c>
      <c r="H88" s="39">
        <v>30.165900000000001</v>
      </c>
      <c r="I88" s="39">
        <v>0.90500000000000003</v>
      </c>
      <c r="J88" s="49">
        <f t="shared" si="9"/>
        <v>0.21005524861878569</v>
      </c>
      <c r="K88" s="39">
        <v>27.450900000000001</v>
      </c>
      <c r="L88" s="39">
        <v>32.880899999999997</v>
      </c>
      <c r="M88" s="50" t="str">
        <f t="shared" si="10"/>
        <v>OK</v>
      </c>
      <c r="N88" s="51">
        <f t="shared" si="11"/>
        <v>0.63018176152543448</v>
      </c>
      <c r="O88" s="51">
        <f t="shared" si="12"/>
        <v>0.63018176152543448</v>
      </c>
      <c r="P88" t="str">
        <f t="shared" si="13"/>
        <v>OK</v>
      </c>
    </row>
    <row r="89" spans="1:16" x14ac:dyDescent="0.3">
      <c r="A89" s="52" t="s">
        <v>130</v>
      </c>
      <c r="B89" s="39">
        <v>2025</v>
      </c>
      <c r="C89" s="39" t="s">
        <v>969</v>
      </c>
      <c r="D89" s="36">
        <v>45910</v>
      </c>
      <c r="E89" s="23" t="s">
        <v>300</v>
      </c>
      <c r="F89" s="37" t="s">
        <v>301</v>
      </c>
      <c r="G89" s="39">
        <v>30.477399999999999</v>
      </c>
      <c r="H89" s="39">
        <v>30.251000000000001</v>
      </c>
      <c r="I89" s="39">
        <v>0.90749999999999997</v>
      </c>
      <c r="J89" s="49">
        <f t="shared" si="9"/>
        <v>0.24947658402203654</v>
      </c>
      <c r="K89" s="39">
        <v>27.528500000000001</v>
      </c>
      <c r="L89" s="39">
        <v>32.973500000000001</v>
      </c>
      <c r="M89" s="50" t="str">
        <f t="shared" si="10"/>
        <v>OK</v>
      </c>
      <c r="N89" s="51">
        <f t="shared" si="11"/>
        <v>0.74840501140457549</v>
      </c>
      <c r="O89" s="51">
        <f t="shared" si="12"/>
        <v>0.74840501140457549</v>
      </c>
      <c r="P89" t="str">
        <f t="shared" si="13"/>
        <v>OK</v>
      </c>
    </row>
    <row r="90" spans="1:16" x14ac:dyDescent="0.3">
      <c r="A90" s="52" t="s">
        <v>130</v>
      </c>
      <c r="B90" s="39">
        <v>2025</v>
      </c>
      <c r="C90" s="39" t="s">
        <v>969</v>
      </c>
      <c r="D90" s="36">
        <v>45910</v>
      </c>
      <c r="E90" s="23" t="s">
        <v>300</v>
      </c>
      <c r="F90" s="37" t="s">
        <v>302</v>
      </c>
      <c r="G90" s="39">
        <v>30.848600000000001</v>
      </c>
      <c r="H90" s="39">
        <v>30.641999999999999</v>
      </c>
      <c r="I90" s="39">
        <v>0.91930000000000001</v>
      </c>
      <c r="J90" s="49">
        <f t="shared" si="9"/>
        <v>0.22473621233547447</v>
      </c>
      <c r="K90" s="39">
        <v>27.8841</v>
      </c>
      <c r="L90" s="39">
        <v>33.399900000000002</v>
      </c>
      <c r="M90" s="50" t="str">
        <f t="shared" si="10"/>
        <v>OK</v>
      </c>
      <c r="N90" s="51">
        <f t="shared" si="11"/>
        <v>0.67423797402258878</v>
      </c>
      <c r="O90" s="51">
        <f t="shared" si="12"/>
        <v>0.67423797402258878</v>
      </c>
      <c r="P90" t="str">
        <f t="shared" si="13"/>
        <v>OK</v>
      </c>
    </row>
    <row r="91" spans="1:16" x14ac:dyDescent="0.3">
      <c r="A91" s="52" t="s">
        <v>130</v>
      </c>
      <c r="B91" s="39">
        <v>2025</v>
      </c>
      <c r="C91" s="39" t="s">
        <v>969</v>
      </c>
      <c r="D91" s="36">
        <v>45910</v>
      </c>
      <c r="E91" s="23" t="s">
        <v>300</v>
      </c>
      <c r="F91" s="37" t="s">
        <v>303</v>
      </c>
      <c r="G91" s="39">
        <v>30.678899999999999</v>
      </c>
      <c r="H91" s="39">
        <v>30.4892</v>
      </c>
      <c r="I91" s="39">
        <v>0.91469999999999996</v>
      </c>
      <c r="J91" s="49">
        <f t="shared" si="9"/>
        <v>0.20739040122444347</v>
      </c>
      <c r="K91" s="39">
        <v>27.745100000000001</v>
      </c>
      <c r="L91" s="39">
        <v>33.2333</v>
      </c>
      <c r="M91" s="50" t="str">
        <f t="shared" si="10"/>
        <v>OK</v>
      </c>
      <c r="N91" s="51">
        <f t="shared" si="11"/>
        <v>0.62218752869868155</v>
      </c>
      <c r="O91" s="51">
        <f t="shared" si="12"/>
        <v>0.62218752869868155</v>
      </c>
      <c r="P91" t="str">
        <f t="shared" si="13"/>
        <v>OK</v>
      </c>
    </row>
    <row r="92" spans="1:16" x14ac:dyDescent="0.3">
      <c r="A92" s="52" t="s">
        <v>130</v>
      </c>
      <c r="B92" s="39">
        <v>2025</v>
      </c>
      <c r="C92" s="39" t="s">
        <v>969</v>
      </c>
      <c r="D92" s="36">
        <v>45910</v>
      </c>
      <c r="E92" s="23" t="s">
        <v>300</v>
      </c>
      <c r="F92" s="37" t="s">
        <v>304</v>
      </c>
      <c r="G92" s="39">
        <v>30.426600000000001</v>
      </c>
      <c r="H92" s="39">
        <v>30.257000000000001</v>
      </c>
      <c r="I92" s="39">
        <v>0.90769999999999995</v>
      </c>
      <c r="J92" s="49">
        <f t="shared" si="9"/>
        <v>0.18684587418750589</v>
      </c>
      <c r="K92" s="39">
        <v>27.533899999999999</v>
      </c>
      <c r="L92" s="39">
        <v>32.9801</v>
      </c>
      <c r="M92" s="50" t="str">
        <f t="shared" si="10"/>
        <v>OK</v>
      </c>
      <c r="N92" s="51">
        <f t="shared" si="11"/>
        <v>0.56053144726839765</v>
      </c>
      <c r="O92" s="51">
        <f t="shared" si="12"/>
        <v>0.56053144726839765</v>
      </c>
      <c r="P92" t="str">
        <f t="shared" si="13"/>
        <v>OK</v>
      </c>
    </row>
    <row r="93" spans="1:16" x14ac:dyDescent="0.3">
      <c r="A93" s="52" t="s">
        <v>130</v>
      </c>
      <c r="B93" s="39">
        <v>2025</v>
      </c>
      <c r="C93" s="39" t="s">
        <v>969</v>
      </c>
      <c r="D93" s="36">
        <v>45910</v>
      </c>
      <c r="E93" s="23" t="s">
        <v>300</v>
      </c>
      <c r="F93" s="37" t="s">
        <v>305</v>
      </c>
      <c r="G93" s="39">
        <v>30.452100000000002</v>
      </c>
      <c r="H93" s="39">
        <v>30.2425</v>
      </c>
      <c r="I93" s="39">
        <v>0.9073</v>
      </c>
      <c r="J93" s="49">
        <f t="shared" si="9"/>
        <v>0.23101509974650258</v>
      </c>
      <c r="K93" s="39">
        <v>27.520600000000002</v>
      </c>
      <c r="L93" s="39">
        <v>32.964399999999998</v>
      </c>
      <c r="M93" s="50" t="str">
        <f t="shared" si="10"/>
        <v>OK</v>
      </c>
      <c r="N93" s="51">
        <f t="shared" si="11"/>
        <v>0.69306439613127813</v>
      </c>
      <c r="O93" s="51">
        <f t="shared" si="12"/>
        <v>0.69306439613127813</v>
      </c>
      <c r="P93" t="str">
        <f t="shared" si="13"/>
        <v>OK</v>
      </c>
    </row>
    <row r="94" spans="1:16" x14ac:dyDescent="0.3">
      <c r="A94" s="10"/>
      <c r="B94" s="10"/>
      <c r="C94" s="10"/>
      <c r="D94" s="10"/>
      <c r="E94" s="10"/>
      <c r="F94" s="10"/>
      <c r="G94" s="10"/>
      <c r="H94" s="10"/>
      <c r="I94" s="10"/>
      <c r="K94" s="10"/>
      <c r="L94" s="10"/>
      <c r="P94" t="str">
        <f t="shared" si="13"/>
        <v/>
      </c>
    </row>
    <row r="95" spans="1:16" x14ac:dyDescent="0.3">
      <c r="A95" s="10"/>
      <c r="B95" s="10"/>
      <c r="C95" s="10"/>
      <c r="D95" s="10"/>
      <c r="E95" s="10"/>
      <c r="F95" s="10"/>
      <c r="G95" s="10"/>
      <c r="H95" s="10"/>
      <c r="I95" s="10"/>
      <c r="K95" s="10"/>
      <c r="L95" s="10"/>
      <c r="P95" t="str">
        <f t="shared" si="13"/>
        <v/>
      </c>
    </row>
    <row r="96" spans="1:16" x14ac:dyDescent="0.3">
      <c r="A96" s="10"/>
      <c r="B96" s="10"/>
      <c r="C96" s="10"/>
      <c r="D96" s="10"/>
      <c r="E96" s="10"/>
      <c r="F96" s="10"/>
      <c r="G96" s="10"/>
      <c r="H96" s="10"/>
      <c r="I96" s="10"/>
      <c r="K96" s="10"/>
      <c r="L96" s="10"/>
      <c r="P96" t="str">
        <f t="shared" si="13"/>
        <v/>
      </c>
    </row>
    <row r="97" spans="1:16" x14ac:dyDescent="0.3">
      <c r="A97" s="10"/>
      <c r="B97" s="10"/>
      <c r="C97" s="10"/>
      <c r="D97" s="10"/>
      <c r="E97" s="10"/>
      <c r="F97" s="10"/>
      <c r="G97" s="10"/>
      <c r="H97" s="10"/>
      <c r="I97" s="10"/>
      <c r="K97" s="10"/>
      <c r="L97" s="10"/>
      <c r="P97" t="str">
        <f t="shared" si="13"/>
        <v/>
      </c>
    </row>
    <row r="98" spans="1:16" x14ac:dyDescent="0.3">
      <c r="A98" s="10"/>
      <c r="B98" s="10"/>
      <c r="C98" s="10"/>
      <c r="D98" s="10"/>
      <c r="E98" s="10"/>
      <c r="F98" s="10"/>
      <c r="G98" s="10"/>
      <c r="H98" s="10"/>
      <c r="I98" s="10"/>
      <c r="K98" s="10"/>
      <c r="L98" s="10"/>
      <c r="P98" t="str">
        <f t="shared" si="13"/>
        <v/>
      </c>
    </row>
    <row r="99" spans="1:16" x14ac:dyDescent="0.3">
      <c r="A99" s="10"/>
      <c r="B99" s="10"/>
      <c r="C99" s="10"/>
      <c r="D99" s="10"/>
      <c r="E99" s="10"/>
      <c r="F99" s="10"/>
      <c r="G99" s="10"/>
      <c r="H99" s="10"/>
      <c r="I99" s="10"/>
      <c r="K99" s="10"/>
      <c r="L99" s="10"/>
      <c r="P99" t="str">
        <f t="shared" si="13"/>
        <v/>
      </c>
    </row>
    <row r="100" spans="1:16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K100" s="10"/>
      <c r="L100" s="10"/>
      <c r="P100" t="str">
        <f t="shared" si="13"/>
        <v/>
      </c>
    </row>
    <row r="101" spans="1:16" x14ac:dyDescent="0.3">
      <c r="A101" s="10"/>
      <c r="B101" s="10"/>
      <c r="C101" s="10"/>
      <c r="D101" s="10"/>
      <c r="E101" s="10"/>
      <c r="F101" s="10"/>
      <c r="G101" s="10"/>
      <c r="H101" s="10"/>
      <c r="I101" s="10"/>
      <c r="K101" s="10"/>
      <c r="L101" s="10"/>
      <c r="P101" t="str">
        <f t="shared" si="13"/>
        <v/>
      </c>
    </row>
    <row r="102" spans="1:16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K102" s="10"/>
      <c r="L102" s="10"/>
      <c r="P102" t="str">
        <f t="shared" si="13"/>
        <v/>
      </c>
    </row>
    <row r="103" spans="1:16" x14ac:dyDescent="0.3">
      <c r="A103" s="10"/>
      <c r="B103" s="10"/>
      <c r="C103" s="10"/>
      <c r="D103" s="10"/>
      <c r="E103" s="10"/>
      <c r="F103" s="10"/>
      <c r="G103" s="10"/>
      <c r="H103" s="10"/>
      <c r="I103" s="10"/>
      <c r="K103" s="10"/>
      <c r="L103" s="10"/>
      <c r="P103" t="str">
        <f t="shared" si="13"/>
        <v/>
      </c>
    </row>
    <row r="104" spans="1:16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K104" s="10"/>
      <c r="L104" s="10"/>
      <c r="P104" t="str">
        <f t="shared" si="13"/>
        <v/>
      </c>
    </row>
    <row r="105" spans="1:16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K105" s="10"/>
      <c r="L105" s="10"/>
      <c r="P105" t="str">
        <f t="shared" si="13"/>
        <v/>
      </c>
    </row>
    <row r="106" spans="1:16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K106" s="10"/>
      <c r="L106" s="10"/>
      <c r="P106" t="str">
        <f t="shared" si="13"/>
        <v/>
      </c>
    </row>
    <row r="107" spans="1:16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K107" s="10"/>
      <c r="L107" s="10"/>
      <c r="P107" t="str">
        <f t="shared" si="13"/>
        <v/>
      </c>
    </row>
    <row r="108" spans="1:16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K108" s="10"/>
      <c r="L108" s="10"/>
      <c r="P108" t="str">
        <f t="shared" si="13"/>
        <v/>
      </c>
    </row>
    <row r="109" spans="1:16" x14ac:dyDescent="0.3">
      <c r="A109" s="10"/>
      <c r="B109" s="10"/>
      <c r="C109" s="10"/>
      <c r="D109" s="10"/>
      <c r="E109" s="10"/>
      <c r="F109" s="10"/>
      <c r="G109" s="10"/>
      <c r="H109" s="10"/>
      <c r="I109" s="10"/>
      <c r="K109" s="10"/>
      <c r="L109" s="10"/>
      <c r="P109" t="str">
        <f t="shared" si="13"/>
        <v/>
      </c>
    </row>
    <row r="110" spans="1:16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K110" s="10"/>
      <c r="L110" s="10"/>
      <c r="P110" t="str">
        <f t="shared" si="13"/>
        <v/>
      </c>
    </row>
    <row r="111" spans="1:16" x14ac:dyDescent="0.3">
      <c r="A111" s="10"/>
      <c r="B111" s="10"/>
      <c r="C111" s="10"/>
      <c r="D111" s="10"/>
      <c r="E111" s="10"/>
      <c r="F111" s="10"/>
      <c r="G111" s="10"/>
      <c r="H111" s="10"/>
      <c r="I111" s="10"/>
      <c r="K111" s="10"/>
      <c r="L111" s="10"/>
      <c r="P111" t="str">
        <f t="shared" si="13"/>
        <v/>
      </c>
    </row>
    <row r="112" spans="1:16" x14ac:dyDescent="0.3">
      <c r="A112" s="10"/>
      <c r="B112" s="10"/>
      <c r="C112" s="10"/>
      <c r="D112" s="10"/>
      <c r="E112" s="10"/>
      <c r="F112" s="10"/>
      <c r="G112" s="10"/>
      <c r="H112" s="10"/>
      <c r="I112" s="10"/>
      <c r="K112" s="10"/>
      <c r="L112" s="10"/>
      <c r="P112" t="str">
        <f t="shared" si="13"/>
        <v/>
      </c>
    </row>
    <row r="113" spans="1:16" x14ac:dyDescent="0.3">
      <c r="A113" s="10"/>
      <c r="B113" s="10"/>
      <c r="C113" s="10"/>
      <c r="D113" s="10"/>
      <c r="E113" s="10"/>
      <c r="F113" s="10"/>
      <c r="G113" s="10"/>
      <c r="H113" s="10"/>
      <c r="I113" s="10"/>
      <c r="K113" s="10"/>
      <c r="L113" s="10"/>
      <c r="P113" t="str">
        <f t="shared" si="13"/>
        <v/>
      </c>
    </row>
    <row r="114" spans="1:16" x14ac:dyDescent="0.3">
      <c r="A114" s="10"/>
      <c r="B114" s="10"/>
      <c r="C114" s="10"/>
      <c r="D114" s="10"/>
      <c r="E114" s="10"/>
      <c r="F114" s="10"/>
      <c r="G114" s="10"/>
      <c r="H114" s="10"/>
      <c r="I114" s="10"/>
      <c r="K114" s="10"/>
      <c r="L114" s="10"/>
      <c r="P114" t="str">
        <f t="shared" si="13"/>
        <v/>
      </c>
    </row>
    <row r="115" spans="1:16" x14ac:dyDescent="0.3">
      <c r="A115" s="10"/>
      <c r="B115" s="10"/>
      <c r="C115" s="10"/>
      <c r="D115" s="10"/>
      <c r="E115" s="10"/>
      <c r="F115" s="10"/>
      <c r="G115" s="10"/>
      <c r="H115" s="10"/>
      <c r="I115" s="10"/>
      <c r="K115" s="10"/>
      <c r="L115" s="10"/>
      <c r="P115" t="str">
        <f t="shared" si="13"/>
        <v/>
      </c>
    </row>
    <row r="116" spans="1:16" x14ac:dyDescent="0.3">
      <c r="A116" s="10"/>
      <c r="B116" s="10"/>
      <c r="C116" s="10"/>
      <c r="D116" s="10"/>
      <c r="E116" s="10"/>
      <c r="F116" s="10"/>
      <c r="G116" s="10"/>
      <c r="H116" s="10"/>
      <c r="I116" s="10"/>
      <c r="K116" s="10"/>
      <c r="L116" s="10"/>
      <c r="P116" t="str">
        <f t="shared" si="13"/>
        <v/>
      </c>
    </row>
    <row r="117" spans="1:16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K117" s="10"/>
      <c r="L117" s="10"/>
      <c r="P117" t="str">
        <f t="shared" si="13"/>
        <v/>
      </c>
    </row>
    <row r="118" spans="1:16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K118" s="10"/>
      <c r="L118" s="10"/>
      <c r="P118" t="str">
        <f t="shared" si="13"/>
        <v/>
      </c>
    </row>
    <row r="119" spans="1:16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K119" s="10"/>
      <c r="L119" s="10"/>
      <c r="P119" t="str">
        <f t="shared" si="13"/>
        <v/>
      </c>
    </row>
    <row r="120" spans="1:16" x14ac:dyDescent="0.3">
      <c r="A120" s="10"/>
      <c r="B120" s="10"/>
      <c r="C120" s="10"/>
      <c r="D120" s="10"/>
      <c r="E120" s="10"/>
      <c r="F120" s="10"/>
      <c r="G120" s="10"/>
      <c r="H120" s="10"/>
      <c r="I120" s="10"/>
      <c r="K120" s="10"/>
      <c r="L120" s="10"/>
      <c r="P120" t="str">
        <f t="shared" si="13"/>
        <v/>
      </c>
    </row>
    <row r="121" spans="1:16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K121" s="10"/>
      <c r="L121" s="10"/>
      <c r="P121" t="str">
        <f t="shared" si="13"/>
        <v/>
      </c>
    </row>
    <row r="122" spans="1:16" x14ac:dyDescent="0.3">
      <c r="A122" s="10"/>
      <c r="B122" s="10"/>
      <c r="C122" s="10"/>
      <c r="D122" s="10"/>
      <c r="E122" s="10"/>
      <c r="F122" s="10"/>
      <c r="G122" s="10"/>
      <c r="H122" s="10"/>
      <c r="I122" s="10"/>
      <c r="K122" s="10"/>
      <c r="L122" s="10"/>
      <c r="P122" t="str">
        <f t="shared" si="13"/>
        <v/>
      </c>
    </row>
    <row r="123" spans="1:16" x14ac:dyDescent="0.3">
      <c r="A123" s="10"/>
      <c r="B123" s="10"/>
      <c r="C123" s="10"/>
      <c r="D123" s="10"/>
      <c r="E123" s="10"/>
      <c r="F123" s="10"/>
      <c r="G123" s="10"/>
      <c r="H123" s="10"/>
      <c r="I123" s="10"/>
      <c r="K123" s="10"/>
      <c r="L123" s="10"/>
      <c r="P123" t="str">
        <f t="shared" si="13"/>
        <v/>
      </c>
    </row>
    <row r="124" spans="1:16" x14ac:dyDescent="0.3">
      <c r="A124" s="10"/>
      <c r="B124" s="10"/>
      <c r="C124" s="10"/>
      <c r="D124" s="10"/>
      <c r="E124" s="10"/>
      <c r="F124" s="10"/>
      <c r="G124" s="10"/>
      <c r="H124" s="10"/>
      <c r="I124" s="10"/>
      <c r="K124" s="10"/>
      <c r="L124" s="10"/>
      <c r="P124" t="str">
        <f t="shared" si="13"/>
        <v/>
      </c>
    </row>
    <row r="125" spans="1:16" x14ac:dyDescent="0.3">
      <c r="A125" s="10"/>
      <c r="B125" s="10"/>
      <c r="C125" s="10"/>
      <c r="D125" s="10"/>
      <c r="E125" s="10"/>
      <c r="F125" s="10"/>
      <c r="G125" s="10"/>
      <c r="H125" s="10"/>
      <c r="I125" s="10"/>
      <c r="K125" s="10"/>
      <c r="L125" s="10"/>
      <c r="P125" t="str">
        <f t="shared" si="13"/>
        <v/>
      </c>
    </row>
    <row r="126" spans="1:16" x14ac:dyDescent="0.3">
      <c r="A126" s="10"/>
      <c r="B126" s="10"/>
      <c r="C126" s="10"/>
      <c r="D126" s="10"/>
      <c r="E126" s="10"/>
      <c r="F126" s="10"/>
      <c r="G126" s="10"/>
      <c r="H126" s="10"/>
      <c r="I126" s="10"/>
      <c r="K126" s="10"/>
      <c r="L126" s="10"/>
      <c r="P126" t="str">
        <f t="shared" si="13"/>
        <v/>
      </c>
    </row>
    <row r="127" spans="1:16" x14ac:dyDescent="0.3">
      <c r="A127" s="10"/>
      <c r="B127" s="10"/>
      <c r="C127" s="10"/>
      <c r="D127" s="10"/>
      <c r="E127" s="10"/>
      <c r="F127" s="10"/>
      <c r="G127" s="10"/>
      <c r="H127" s="10"/>
      <c r="I127" s="10"/>
      <c r="K127" s="10"/>
      <c r="L127" s="10"/>
      <c r="P127" t="str">
        <f t="shared" si="13"/>
        <v/>
      </c>
    </row>
    <row r="128" spans="1:16" x14ac:dyDescent="0.3">
      <c r="A128" s="10"/>
      <c r="B128" s="10"/>
      <c r="C128" s="10"/>
      <c r="D128" s="10"/>
      <c r="E128" s="10"/>
      <c r="F128" s="10"/>
      <c r="G128" s="10"/>
      <c r="H128" s="10"/>
      <c r="I128" s="10"/>
      <c r="K128" s="10"/>
      <c r="L128" s="10"/>
      <c r="P128" t="str">
        <f t="shared" si="13"/>
        <v/>
      </c>
    </row>
    <row r="129" spans="1:16" x14ac:dyDescent="0.3">
      <c r="A129" s="10"/>
      <c r="B129" s="10"/>
      <c r="C129" s="10"/>
      <c r="D129" s="10"/>
      <c r="E129" s="10"/>
      <c r="F129" s="10"/>
      <c r="G129" s="10"/>
      <c r="H129" s="10"/>
      <c r="I129" s="10"/>
      <c r="K129" s="10"/>
      <c r="L129" s="10"/>
      <c r="P129" t="str">
        <f t="shared" si="13"/>
        <v/>
      </c>
    </row>
    <row r="130" spans="1:16" x14ac:dyDescent="0.3">
      <c r="A130" s="10"/>
      <c r="B130" s="10"/>
      <c r="C130" s="10"/>
      <c r="D130" s="10"/>
      <c r="E130" s="10"/>
      <c r="F130" s="10"/>
      <c r="G130" s="10"/>
      <c r="H130" s="10"/>
      <c r="I130" s="10"/>
      <c r="K130" s="10"/>
      <c r="L130" s="10"/>
      <c r="P130" t="str">
        <f t="shared" si="13"/>
        <v/>
      </c>
    </row>
    <row r="131" spans="1:16" x14ac:dyDescent="0.3">
      <c r="A131" s="10"/>
      <c r="B131" s="10"/>
      <c r="C131" s="10"/>
      <c r="D131" s="10"/>
      <c r="E131" s="10"/>
      <c r="F131" s="10"/>
      <c r="G131" s="10"/>
      <c r="H131" s="10"/>
      <c r="I131" s="10"/>
      <c r="K131" s="10"/>
      <c r="L131" s="10"/>
      <c r="P131" t="str">
        <f t="shared" si="13"/>
        <v/>
      </c>
    </row>
    <row r="132" spans="1:16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K132" s="10"/>
      <c r="L132" s="10"/>
      <c r="P132" t="str">
        <f t="shared" ref="P132:P195" si="14">IF($J132="","",IF(ABS($J132)&lt;=2,"OK","FORA (|SDI|&gt;2)"))</f>
        <v/>
      </c>
    </row>
    <row r="133" spans="1:16" x14ac:dyDescent="0.3">
      <c r="A133" s="10"/>
      <c r="B133" s="10"/>
      <c r="C133" s="10"/>
      <c r="D133" s="10"/>
      <c r="E133" s="10"/>
      <c r="F133" s="10"/>
      <c r="G133" s="10"/>
      <c r="H133" s="10"/>
      <c r="I133" s="10"/>
      <c r="K133" s="10"/>
      <c r="L133" s="10"/>
      <c r="P133" t="str">
        <f t="shared" si="14"/>
        <v/>
      </c>
    </row>
    <row r="134" spans="1:16" x14ac:dyDescent="0.3">
      <c r="A134" s="10"/>
      <c r="B134" s="10"/>
      <c r="C134" s="10"/>
      <c r="D134" s="10"/>
      <c r="E134" s="10"/>
      <c r="F134" s="10"/>
      <c r="G134" s="10"/>
      <c r="H134" s="10"/>
      <c r="I134" s="10"/>
      <c r="K134" s="10"/>
      <c r="L134" s="10"/>
      <c r="P134" t="str">
        <f t="shared" si="14"/>
        <v/>
      </c>
    </row>
    <row r="135" spans="1:16" x14ac:dyDescent="0.3">
      <c r="A135" s="10"/>
      <c r="B135" s="10"/>
      <c r="C135" s="10"/>
      <c r="D135" s="10"/>
      <c r="E135" s="10"/>
      <c r="F135" s="10"/>
      <c r="G135" s="10"/>
      <c r="H135" s="10"/>
      <c r="I135" s="10"/>
      <c r="K135" s="10"/>
      <c r="L135" s="10"/>
      <c r="P135" t="str">
        <f t="shared" si="14"/>
        <v/>
      </c>
    </row>
    <row r="136" spans="1:16" x14ac:dyDescent="0.3">
      <c r="A136" s="10"/>
      <c r="B136" s="10"/>
      <c r="C136" s="10"/>
      <c r="D136" s="10"/>
      <c r="E136" s="10"/>
      <c r="F136" s="10"/>
      <c r="G136" s="10"/>
      <c r="H136" s="10"/>
      <c r="I136" s="10"/>
      <c r="K136" s="10"/>
      <c r="L136" s="10"/>
      <c r="P136" t="str">
        <f t="shared" si="14"/>
        <v/>
      </c>
    </row>
    <row r="137" spans="1:16" x14ac:dyDescent="0.3">
      <c r="A137" s="10"/>
      <c r="B137" s="10"/>
      <c r="C137" s="10"/>
      <c r="D137" s="10"/>
      <c r="E137" s="10"/>
      <c r="F137" s="10"/>
      <c r="G137" s="10"/>
      <c r="H137" s="10"/>
      <c r="I137" s="10"/>
      <c r="K137" s="10"/>
      <c r="L137" s="10"/>
      <c r="P137" t="str">
        <f t="shared" si="14"/>
        <v/>
      </c>
    </row>
    <row r="138" spans="1:16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K138" s="10"/>
      <c r="L138" s="10"/>
      <c r="P138" t="str">
        <f t="shared" si="14"/>
        <v/>
      </c>
    </row>
    <row r="139" spans="1:16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K139" s="10"/>
      <c r="L139" s="10"/>
      <c r="P139" t="str">
        <f t="shared" si="14"/>
        <v/>
      </c>
    </row>
    <row r="140" spans="1:16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K140" s="10"/>
      <c r="L140" s="10"/>
      <c r="P140" t="str">
        <f t="shared" si="14"/>
        <v/>
      </c>
    </row>
    <row r="141" spans="1:16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K141" s="10"/>
      <c r="L141" s="10"/>
      <c r="P141" t="str">
        <f t="shared" si="14"/>
        <v/>
      </c>
    </row>
    <row r="142" spans="1:16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K142" s="10"/>
      <c r="L142" s="10"/>
      <c r="P142" t="str">
        <f t="shared" si="14"/>
        <v/>
      </c>
    </row>
    <row r="143" spans="1:16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K143" s="10"/>
      <c r="L143" s="10"/>
      <c r="P143" t="str">
        <f t="shared" si="14"/>
        <v/>
      </c>
    </row>
    <row r="144" spans="1:16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K144" s="10"/>
      <c r="L144" s="10"/>
      <c r="P144" t="str">
        <f t="shared" si="14"/>
        <v/>
      </c>
    </row>
    <row r="145" spans="1:16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K145" s="10"/>
      <c r="L145" s="10"/>
      <c r="P145" t="str">
        <f t="shared" si="14"/>
        <v/>
      </c>
    </row>
    <row r="146" spans="1:16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K146" s="10"/>
      <c r="L146" s="10"/>
      <c r="P146" t="str">
        <f t="shared" si="14"/>
        <v/>
      </c>
    </row>
    <row r="147" spans="1:16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K147" s="10"/>
      <c r="L147" s="10"/>
      <c r="P147" t="str">
        <f t="shared" si="14"/>
        <v/>
      </c>
    </row>
    <row r="148" spans="1:16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K148" s="10"/>
      <c r="L148" s="10"/>
      <c r="P148" t="str">
        <f t="shared" si="14"/>
        <v/>
      </c>
    </row>
    <row r="149" spans="1:16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K149" s="10"/>
      <c r="L149" s="10"/>
      <c r="P149" t="str">
        <f t="shared" si="14"/>
        <v/>
      </c>
    </row>
    <row r="150" spans="1:16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K150" s="10"/>
      <c r="L150" s="10"/>
      <c r="P150" t="str">
        <f t="shared" si="14"/>
        <v/>
      </c>
    </row>
    <row r="151" spans="1:16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K151" s="10"/>
      <c r="L151" s="10"/>
      <c r="P151" t="str">
        <f t="shared" si="14"/>
        <v/>
      </c>
    </row>
    <row r="152" spans="1:16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K152" s="10"/>
      <c r="L152" s="10"/>
      <c r="P152" t="str">
        <f t="shared" si="14"/>
        <v/>
      </c>
    </row>
    <row r="153" spans="1:16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K153" s="10"/>
      <c r="L153" s="10"/>
      <c r="P153" t="str">
        <f t="shared" si="14"/>
        <v/>
      </c>
    </row>
    <row r="154" spans="1:16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K154" s="10"/>
      <c r="L154" s="10"/>
      <c r="P154" t="str">
        <f t="shared" si="14"/>
        <v/>
      </c>
    </row>
    <row r="155" spans="1:16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K155" s="10"/>
      <c r="L155" s="10"/>
      <c r="P155" t="str">
        <f t="shared" si="14"/>
        <v/>
      </c>
    </row>
    <row r="156" spans="1:16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K156" s="10"/>
      <c r="L156" s="10"/>
      <c r="P156" t="str">
        <f t="shared" si="14"/>
        <v/>
      </c>
    </row>
    <row r="157" spans="1:16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K157" s="10"/>
      <c r="L157" s="10"/>
      <c r="P157" t="str">
        <f t="shared" si="14"/>
        <v/>
      </c>
    </row>
    <row r="158" spans="1:16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K158" s="10"/>
      <c r="L158" s="10"/>
      <c r="P158" t="str">
        <f t="shared" si="14"/>
        <v/>
      </c>
    </row>
    <row r="159" spans="1:16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K159" s="10"/>
      <c r="L159" s="10"/>
      <c r="P159" t="str">
        <f t="shared" si="14"/>
        <v/>
      </c>
    </row>
    <row r="160" spans="1:16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K160" s="10"/>
      <c r="L160" s="10"/>
      <c r="P160" t="str">
        <f t="shared" si="14"/>
        <v/>
      </c>
    </row>
    <row r="161" spans="1:16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K161" s="10"/>
      <c r="L161" s="10"/>
      <c r="P161" t="str">
        <f t="shared" si="14"/>
        <v/>
      </c>
    </row>
    <row r="162" spans="1:16" x14ac:dyDescent="0.3">
      <c r="A162" s="10"/>
      <c r="B162" s="10"/>
      <c r="C162" s="10"/>
      <c r="D162" s="10"/>
      <c r="E162" s="10"/>
      <c r="F162" s="10"/>
      <c r="G162" s="10"/>
      <c r="H162" s="10"/>
      <c r="I162" s="10"/>
      <c r="K162" s="10"/>
      <c r="L162" s="10"/>
      <c r="P162" t="str">
        <f t="shared" si="14"/>
        <v/>
      </c>
    </row>
    <row r="163" spans="1:16" x14ac:dyDescent="0.3">
      <c r="A163" s="10"/>
      <c r="B163" s="10"/>
      <c r="C163" s="10"/>
      <c r="D163" s="10"/>
      <c r="E163" s="10"/>
      <c r="F163" s="10"/>
      <c r="G163" s="10"/>
      <c r="H163" s="10"/>
      <c r="I163" s="10"/>
      <c r="K163" s="10"/>
      <c r="L163" s="10"/>
      <c r="P163" t="str">
        <f t="shared" si="14"/>
        <v/>
      </c>
    </row>
    <row r="164" spans="1:16" x14ac:dyDescent="0.3">
      <c r="A164" s="10"/>
      <c r="B164" s="10"/>
      <c r="C164" s="10"/>
      <c r="D164" s="10"/>
      <c r="E164" s="10"/>
      <c r="F164" s="10"/>
      <c r="G164" s="10"/>
      <c r="H164" s="10"/>
      <c r="I164" s="10"/>
      <c r="K164" s="10"/>
      <c r="L164" s="10"/>
      <c r="P164" t="str">
        <f t="shared" si="14"/>
        <v/>
      </c>
    </row>
    <row r="165" spans="1:16" x14ac:dyDescent="0.3">
      <c r="A165" s="10"/>
      <c r="B165" s="10"/>
      <c r="C165" s="10"/>
      <c r="D165" s="10"/>
      <c r="E165" s="10"/>
      <c r="F165" s="10"/>
      <c r="G165" s="10"/>
      <c r="H165" s="10"/>
      <c r="I165" s="10"/>
      <c r="K165" s="10"/>
      <c r="L165" s="10"/>
      <c r="P165" t="str">
        <f t="shared" si="14"/>
        <v/>
      </c>
    </row>
    <row r="166" spans="1:16" x14ac:dyDescent="0.3">
      <c r="A166" s="10"/>
      <c r="B166" s="10"/>
      <c r="C166" s="10"/>
      <c r="D166" s="10"/>
      <c r="E166" s="10"/>
      <c r="F166" s="10"/>
      <c r="G166" s="10"/>
      <c r="H166" s="10"/>
      <c r="I166" s="10"/>
      <c r="K166" s="10"/>
      <c r="L166" s="10"/>
      <c r="P166" t="str">
        <f t="shared" si="14"/>
        <v/>
      </c>
    </row>
    <row r="167" spans="1:16" x14ac:dyDescent="0.3">
      <c r="A167" s="10"/>
      <c r="B167" s="10"/>
      <c r="C167" s="10"/>
      <c r="D167" s="10"/>
      <c r="E167" s="10"/>
      <c r="F167" s="10"/>
      <c r="G167" s="10"/>
      <c r="H167" s="10"/>
      <c r="I167" s="10"/>
      <c r="K167" s="10"/>
      <c r="L167" s="10"/>
      <c r="P167" t="str">
        <f t="shared" si="14"/>
        <v/>
      </c>
    </row>
    <row r="168" spans="1:16" x14ac:dyDescent="0.3">
      <c r="A168" s="10"/>
      <c r="B168" s="10"/>
      <c r="C168" s="10"/>
      <c r="D168" s="10"/>
      <c r="E168" s="10"/>
      <c r="F168" s="10"/>
      <c r="G168" s="10"/>
      <c r="H168" s="10"/>
      <c r="I168" s="10"/>
      <c r="K168" s="10"/>
      <c r="L168" s="10"/>
      <c r="P168" t="str">
        <f t="shared" si="14"/>
        <v/>
      </c>
    </row>
    <row r="169" spans="1:16" x14ac:dyDescent="0.3">
      <c r="A169" s="10"/>
      <c r="B169" s="10"/>
      <c r="C169" s="10"/>
      <c r="D169" s="10"/>
      <c r="E169" s="10"/>
      <c r="F169" s="10"/>
      <c r="G169" s="10"/>
      <c r="H169" s="10"/>
      <c r="I169" s="10"/>
      <c r="K169" s="10"/>
      <c r="L169" s="10"/>
      <c r="P169" t="str">
        <f t="shared" si="14"/>
        <v/>
      </c>
    </row>
    <row r="170" spans="1:16" x14ac:dyDescent="0.3">
      <c r="A170" s="10"/>
      <c r="B170" s="10"/>
      <c r="C170" s="10"/>
      <c r="D170" s="10"/>
      <c r="E170" s="10"/>
      <c r="F170" s="10"/>
      <c r="G170" s="10"/>
      <c r="H170" s="10"/>
      <c r="I170" s="10"/>
      <c r="K170" s="10"/>
      <c r="L170" s="10"/>
      <c r="P170" t="str">
        <f t="shared" si="14"/>
        <v/>
      </c>
    </row>
    <row r="171" spans="1:16" x14ac:dyDescent="0.3">
      <c r="A171" s="10"/>
      <c r="B171" s="10"/>
      <c r="C171" s="10"/>
      <c r="D171" s="10"/>
      <c r="E171" s="10"/>
      <c r="F171" s="10"/>
      <c r="G171" s="10"/>
      <c r="H171" s="10"/>
      <c r="I171" s="10"/>
      <c r="K171" s="10"/>
      <c r="L171" s="10"/>
      <c r="P171" t="str">
        <f t="shared" si="14"/>
        <v/>
      </c>
    </row>
    <row r="172" spans="1:16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K172" s="10"/>
      <c r="L172" s="10"/>
      <c r="P172" t="str">
        <f t="shared" si="14"/>
        <v/>
      </c>
    </row>
    <row r="173" spans="1:16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K173" s="10"/>
      <c r="L173" s="10"/>
      <c r="P173" t="str">
        <f t="shared" si="14"/>
        <v/>
      </c>
    </row>
    <row r="174" spans="1:16" x14ac:dyDescent="0.3">
      <c r="A174" s="10"/>
      <c r="B174" s="10"/>
      <c r="C174" s="10"/>
      <c r="D174" s="10"/>
      <c r="E174" s="10"/>
      <c r="F174" s="10"/>
      <c r="G174" s="10"/>
      <c r="H174" s="10"/>
      <c r="I174" s="10"/>
      <c r="K174" s="10"/>
      <c r="L174" s="10"/>
      <c r="P174" t="str">
        <f t="shared" si="14"/>
        <v/>
      </c>
    </row>
    <row r="175" spans="1:16" x14ac:dyDescent="0.3">
      <c r="A175" s="10"/>
      <c r="B175" s="10"/>
      <c r="C175" s="10"/>
      <c r="D175" s="10"/>
      <c r="E175" s="10"/>
      <c r="F175" s="10"/>
      <c r="G175" s="10"/>
      <c r="H175" s="10"/>
      <c r="I175" s="10"/>
      <c r="K175" s="10"/>
      <c r="L175" s="10"/>
      <c r="P175" t="str">
        <f t="shared" si="14"/>
        <v/>
      </c>
    </row>
    <row r="176" spans="1:16" x14ac:dyDescent="0.3">
      <c r="A176" s="10"/>
      <c r="B176" s="10"/>
      <c r="C176" s="10"/>
      <c r="D176" s="10"/>
      <c r="E176" s="10"/>
      <c r="F176" s="10"/>
      <c r="G176" s="10"/>
      <c r="H176" s="10"/>
      <c r="I176" s="10"/>
      <c r="K176" s="10"/>
      <c r="L176" s="10"/>
      <c r="P176" t="str">
        <f t="shared" si="14"/>
        <v/>
      </c>
    </row>
    <row r="177" spans="1:16" x14ac:dyDescent="0.3">
      <c r="A177" s="10"/>
      <c r="B177" s="10"/>
      <c r="C177" s="10"/>
      <c r="D177" s="10"/>
      <c r="E177" s="10"/>
      <c r="F177" s="10"/>
      <c r="G177" s="10"/>
      <c r="H177" s="10"/>
      <c r="I177" s="10"/>
      <c r="K177" s="10"/>
      <c r="L177" s="10"/>
      <c r="P177" t="str">
        <f t="shared" si="14"/>
        <v/>
      </c>
    </row>
    <row r="178" spans="1:16" x14ac:dyDescent="0.3">
      <c r="A178" s="10"/>
      <c r="B178" s="10"/>
      <c r="C178" s="10"/>
      <c r="D178" s="10"/>
      <c r="E178" s="10"/>
      <c r="F178" s="10"/>
      <c r="G178" s="10"/>
      <c r="H178" s="10"/>
      <c r="I178" s="10"/>
      <c r="K178" s="10"/>
      <c r="L178" s="10"/>
      <c r="P178" t="str">
        <f t="shared" si="14"/>
        <v/>
      </c>
    </row>
    <row r="179" spans="1:16" x14ac:dyDescent="0.3">
      <c r="A179" s="10"/>
      <c r="B179" s="10"/>
      <c r="C179" s="10"/>
      <c r="D179" s="10"/>
      <c r="E179" s="10"/>
      <c r="F179" s="10"/>
      <c r="G179" s="10"/>
      <c r="H179" s="10"/>
      <c r="I179" s="10"/>
      <c r="K179" s="10"/>
      <c r="L179" s="10"/>
      <c r="P179" t="str">
        <f t="shared" si="14"/>
        <v/>
      </c>
    </row>
    <row r="180" spans="1:16" x14ac:dyDescent="0.3">
      <c r="A180" s="10"/>
      <c r="B180" s="10"/>
      <c r="C180" s="10"/>
      <c r="D180" s="10"/>
      <c r="E180" s="10"/>
      <c r="F180" s="10"/>
      <c r="G180" s="10"/>
      <c r="H180" s="10"/>
      <c r="I180" s="10"/>
      <c r="K180" s="10"/>
      <c r="L180" s="10"/>
      <c r="P180" t="str">
        <f t="shared" si="14"/>
        <v/>
      </c>
    </row>
    <row r="181" spans="1:16" x14ac:dyDescent="0.3">
      <c r="A181" s="10"/>
      <c r="B181" s="10"/>
      <c r="C181" s="10"/>
      <c r="D181" s="10"/>
      <c r="E181" s="10"/>
      <c r="F181" s="10"/>
      <c r="G181" s="10"/>
      <c r="H181" s="10"/>
      <c r="I181" s="10"/>
      <c r="K181" s="10"/>
      <c r="L181" s="10"/>
      <c r="P181" t="str">
        <f t="shared" si="14"/>
        <v/>
      </c>
    </row>
    <row r="182" spans="1:16" x14ac:dyDescent="0.3">
      <c r="A182" s="10"/>
      <c r="B182" s="10"/>
      <c r="C182" s="10"/>
      <c r="D182" s="10"/>
      <c r="E182" s="10"/>
      <c r="F182" s="10"/>
      <c r="G182" s="10"/>
      <c r="H182" s="10"/>
      <c r="I182" s="10"/>
      <c r="K182" s="10"/>
      <c r="L182" s="10"/>
      <c r="P182" t="str">
        <f t="shared" si="14"/>
        <v/>
      </c>
    </row>
    <row r="183" spans="1:16" x14ac:dyDescent="0.3">
      <c r="A183" s="10"/>
      <c r="B183" s="10"/>
      <c r="C183" s="10"/>
      <c r="D183" s="10"/>
      <c r="E183" s="10"/>
      <c r="F183" s="10"/>
      <c r="G183" s="10"/>
      <c r="H183" s="10"/>
      <c r="I183" s="10"/>
      <c r="K183" s="10"/>
      <c r="L183" s="10"/>
      <c r="P183" t="str">
        <f t="shared" si="14"/>
        <v/>
      </c>
    </row>
    <row r="184" spans="1:16" x14ac:dyDescent="0.3">
      <c r="A184" s="10"/>
      <c r="B184" s="10"/>
      <c r="C184" s="10"/>
      <c r="D184" s="10"/>
      <c r="E184" s="10"/>
      <c r="F184" s="10"/>
      <c r="G184" s="10"/>
      <c r="H184" s="10"/>
      <c r="I184" s="10"/>
      <c r="K184" s="10"/>
      <c r="L184" s="10"/>
      <c r="P184" t="str">
        <f t="shared" si="14"/>
        <v/>
      </c>
    </row>
    <row r="185" spans="1:16" x14ac:dyDescent="0.3">
      <c r="A185" s="10"/>
      <c r="B185" s="10"/>
      <c r="C185" s="10"/>
      <c r="D185" s="10"/>
      <c r="E185" s="10"/>
      <c r="F185" s="10"/>
      <c r="G185" s="10"/>
      <c r="H185" s="10"/>
      <c r="I185" s="10"/>
      <c r="K185" s="10"/>
      <c r="L185" s="10"/>
      <c r="P185" t="str">
        <f t="shared" si="14"/>
        <v/>
      </c>
    </row>
    <row r="186" spans="1:16" x14ac:dyDescent="0.3">
      <c r="A186" s="10"/>
      <c r="B186" s="10"/>
      <c r="C186" s="10"/>
      <c r="D186" s="10"/>
      <c r="E186" s="10"/>
      <c r="F186" s="10"/>
      <c r="G186" s="10"/>
      <c r="H186" s="10"/>
      <c r="I186" s="10"/>
      <c r="K186" s="10"/>
      <c r="L186" s="10"/>
      <c r="P186" t="str">
        <f t="shared" si="14"/>
        <v/>
      </c>
    </row>
    <row r="187" spans="1:16" x14ac:dyDescent="0.3">
      <c r="A187" s="10"/>
      <c r="B187" s="10"/>
      <c r="C187" s="10"/>
      <c r="D187" s="10"/>
      <c r="E187" s="10"/>
      <c r="F187" s="10"/>
      <c r="G187" s="10"/>
      <c r="H187" s="10"/>
      <c r="I187" s="10"/>
      <c r="K187" s="10"/>
      <c r="L187" s="10"/>
      <c r="P187" t="str">
        <f t="shared" si="14"/>
        <v/>
      </c>
    </row>
    <row r="188" spans="1:16" x14ac:dyDescent="0.3">
      <c r="A188" s="10"/>
      <c r="B188" s="10"/>
      <c r="C188" s="10"/>
      <c r="D188" s="10"/>
      <c r="E188" s="10"/>
      <c r="F188" s="10"/>
      <c r="G188" s="10"/>
      <c r="H188" s="10"/>
      <c r="I188" s="10"/>
      <c r="K188" s="10"/>
      <c r="L188" s="10"/>
      <c r="P188" t="str">
        <f t="shared" si="14"/>
        <v/>
      </c>
    </row>
    <row r="189" spans="1:16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K189" s="10"/>
      <c r="L189" s="10"/>
      <c r="P189" t="str">
        <f t="shared" si="14"/>
        <v/>
      </c>
    </row>
    <row r="190" spans="1:16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K190" s="10"/>
      <c r="L190" s="10"/>
      <c r="P190" t="str">
        <f t="shared" si="14"/>
        <v/>
      </c>
    </row>
    <row r="191" spans="1:16" x14ac:dyDescent="0.3">
      <c r="A191" s="10"/>
      <c r="B191" s="10"/>
      <c r="C191" s="10"/>
      <c r="D191" s="10"/>
      <c r="E191" s="10"/>
      <c r="F191" s="10"/>
      <c r="G191" s="10"/>
      <c r="H191" s="10"/>
      <c r="I191" s="10"/>
      <c r="K191" s="10"/>
      <c r="L191" s="10"/>
      <c r="P191" t="str">
        <f t="shared" si="14"/>
        <v/>
      </c>
    </row>
    <row r="192" spans="1:16" x14ac:dyDescent="0.3">
      <c r="A192" s="10"/>
      <c r="B192" s="10"/>
      <c r="C192" s="10"/>
      <c r="D192" s="10"/>
      <c r="E192" s="10"/>
      <c r="F192" s="10"/>
      <c r="G192" s="10"/>
      <c r="H192" s="10"/>
      <c r="I192" s="10"/>
      <c r="K192" s="10"/>
      <c r="L192" s="10"/>
      <c r="P192" t="str">
        <f t="shared" si="14"/>
        <v/>
      </c>
    </row>
    <row r="193" spans="1:16" x14ac:dyDescent="0.3">
      <c r="A193" s="10"/>
      <c r="B193" s="10"/>
      <c r="C193" s="10"/>
      <c r="D193" s="10"/>
      <c r="E193" s="10"/>
      <c r="F193" s="10"/>
      <c r="G193" s="10"/>
      <c r="H193" s="10"/>
      <c r="I193" s="10"/>
      <c r="K193" s="10"/>
      <c r="L193" s="10"/>
      <c r="P193" t="str">
        <f t="shared" si="14"/>
        <v/>
      </c>
    </row>
    <row r="194" spans="1:16" x14ac:dyDescent="0.3">
      <c r="A194" s="10"/>
      <c r="B194" s="10"/>
      <c r="C194" s="10"/>
      <c r="D194" s="10"/>
      <c r="E194" s="10"/>
      <c r="F194" s="10"/>
      <c r="G194" s="10"/>
      <c r="H194" s="10"/>
      <c r="I194" s="10"/>
      <c r="K194" s="10"/>
      <c r="L194" s="10"/>
      <c r="P194" t="str">
        <f t="shared" si="14"/>
        <v/>
      </c>
    </row>
    <row r="195" spans="1:16" x14ac:dyDescent="0.3">
      <c r="A195" s="10"/>
      <c r="B195" s="10"/>
      <c r="C195" s="10"/>
      <c r="D195" s="10"/>
      <c r="E195" s="10"/>
      <c r="F195" s="10"/>
      <c r="G195" s="10"/>
      <c r="H195" s="10"/>
      <c r="I195" s="10"/>
      <c r="K195" s="10"/>
      <c r="L195" s="10"/>
      <c r="P195" t="str">
        <f t="shared" si="14"/>
        <v/>
      </c>
    </row>
    <row r="196" spans="1:16" x14ac:dyDescent="0.3">
      <c r="A196" s="10"/>
      <c r="B196" s="10"/>
      <c r="C196" s="10"/>
      <c r="D196" s="10"/>
      <c r="E196" s="10"/>
      <c r="F196" s="10"/>
      <c r="G196" s="10"/>
      <c r="H196" s="10"/>
      <c r="I196" s="10"/>
      <c r="K196" s="10"/>
      <c r="L196" s="10"/>
      <c r="P196" t="str">
        <f t="shared" ref="P196:P259" si="15">IF($J196="","",IF(ABS($J196)&lt;=2,"OK","FORA (|SDI|&gt;2)"))</f>
        <v/>
      </c>
    </row>
    <row r="197" spans="1:16" x14ac:dyDescent="0.3">
      <c r="A197" s="10"/>
      <c r="B197" s="10"/>
      <c r="C197" s="10"/>
      <c r="D197" s="10"/>
      <c r="E197" s="10"/>
      <c r="F197" s="10"/>
      <c r="G197" s="10"/>
      <c r="H197" s="10"/>
      <c r="I197" s="10"/>
      <c r="K197" s="10"/>
      <c r="L197" s="10"/>
      <c r="P197" t="str">
        <f t="shared" si="15"/>
        <v/>
      </c>
    </row>
    <row r="198" spans="1:16" x14ac:dyDescent="0.3">
      <c r="A198" s="10"/>
      <c r="B198" s="10"/>
      <c r="C198" s="10"/>
      <c r="D198" s="10"/>
      <c r="E198" s="10"/>
      <c r="F198" s="10"/>
      <c r="G198" s="10"/>
      <c r="H198" s="10"/>
      <c r="I198" s="10"/>
      <c r="K198" s="10"/>
      <c r="L198" s="10"/>
      <c r="P198" t="str">
        <f t="shared" si="15"/>
        <v/>
      </c>
    </row>
    <row r="199" spans="1:16" x14ac:dyDescent="0.3">
      <c r="A199" s="10"/>
      <c r="B199" s="10"/>
      <c r="C199" s="10"/>
      <c r="D199" s="10"/>
      <c r="E199" s="10"/>
      <c r="F199" s="10"/>
      <c r="G199" s="10"/>
      <c r="H199" s="10"/>
      <c r="I199" s="10"/>
      <c r="K199" s="10"/>
      <c r="L199" s="10"/>
      <c r="P199" t="str">
        <f t="shared" si="15"/>
        <v/>
      </c>
    </row>
    <row r="200" spans="1:16" x14ac:dyDescent="0.3">
      <c r="A200" s="10"/>
      <c r="B200" s="10"/>
      <c r="C200" s="10"/>
      <c r="D200" s="10"/>
      <c r="E200" s="10"/>
      <c r="F200" s="10"/>
      <c r="G200" s="10"/>
      <c r="H200" s="10"/>
      <c r="I200" s="10"/>
      <c r="K200" s="10"/>
      <c r="L200" s="10"/>
      <c r="P200" t="str">
        <f t="shared" si="15"/>
        <v/>
      </c>
    </row>
    <row r="201" spans="1:16" x14ac:dyDescent="0.3">
      <c r="A201" s="10"/>
      <c r="B201" s="10"/>
      <c r="C201" s="10"/>
      <c r="D201" s="10"/>
      <c r="E201" s="10"/>
      <c r="F201" s="10"/>
      <c r="G201" s="10"/>
      <c r="H201" s="10"/>
      <c r="I201" s="10"/>
      <c r="K201" s="10"/>
      <c r="L201" s="10"/>
      <c r="P201" t="str">
        <f t="shared" si="15"/>
        <v/>
      </c>
    </row>
    <row r="202" spans="1:16" x14ac:dyDescent="0.3">
      <c r="A202" s="10"/>
      <c r="B202" s="10"/>
      <c r="C202" s="10"/>
      <c r="D202" s="10"/>
      <c r="E202" s="10"/>
      <c r="F202" s="10"/>
      <c r="G202" s="10"/>
      <c r="H202" s="10"/>
      <c r="I202" s="10"/>
      <c r="K202" s="10"/>
      <c r="L202" s="10"/>
      <c r="P202" t="str">
        <f t="shared" si="15"/>
        <v/>
      </c>
    </row>
    <row r="203" spans="1:16" x14ac:dyDescent="0.3">
      <c r="A203" s="10"/>
      <c r="B203" s="10"/>
      <c r="C203" s="10"/>
      <c r="D203" s="10"/>
      <c r="E203" s="10"/>
      <c r="F203" s="10"/>
      <c r="G203" s="10"/>
      <c r="H203" s="10"/>
      <c r="I203" s="10"/>
      <c r="K203" s="10"/>
      <c r="L203" s="10"/>
      <c r="P203" t="str">
        <f t="shared" si="15"/>
        <v/>
      </c>
    </row>
    <row r="204" spans="1:16" x14ac:dyDescent="0.3">
      <c r="A204" s="10"/>
      <c r="B204" s="10"/>
      <c r="C204" s="10"/>
      <c r="D204" s="10"/>
      <c r="E204" s="10"/>
      <c r="F204" s="10"/>
      <c r="G204" s="10"/>
      <c r="H204" s="10"/>
      <c r="I204" s="10"/>
      <c r="K204" s="10"/>
      <c r="L204" s="10"/>
      <c r="P204" t="str">
        <f t="shared" si="15"/>
        <v/>
      </c>
    </row>
    <row r="205" spans="1:16" x14ac:dyDescent="0.3">
      <c r="A205" s="10"/>
      <c r="B205" s="10"/>
      <c r="C205" s="10"/>
      <c r="D205" s="10"/>
      <c r="E205" s="10"/>
      <c r="F205" s="10"/>
      <c r="G205" s="10"/>
      <c r="H205" s="10"/>
      <c r="I205" s="10"/>
      <c r="K205" s="10"/>
      <c r="L205" s="10"/>
      <c r="P205" t="str">
        <f t="shared" si="15"/>
        <v/>
      </c>
    </row>
    <row r="206" spans="1:16" x14ac:dyDescent="0.3">
      <c r="A206" s="10"/>
      <c r="B206" s="10"/>
      <c r="C206" s="10"/>
      <c r="D206" s="10"/>
      <c r="E206" s="10"/>
      <c r="F206" s="10"/>
      <c r="G206" s="10"/>
      <c r="H206" s="10"/>
      <c r="I206" s="10"/>
      <c r="K206" s="10"/>
      <c r="L206" s="10"/>
      <c r="P206" t="str">
        <f t="shared" si="15"/>
        <v/>
      </c>
    </row>
    <row r="207" spans="1:16" x14ac:dyDescent="0.3">
      <c r="A207" s="10"/>
      <c r="B207" s="10"/>
      <c r="C207" s="10"/>
      <c r="D207" s="10"/>
      <c r="E207" s="10"/>
      <c r="F207" s="10"/>
      <c r="G207" s="10"/>
      <c r="H207" s="10"/>
      <c r="I207" s="10"/>
      <c r="K207" s="10"/>
      <c r="L207" s="10"/>
      <c r="P207" t="str">
        <f t="shared" si="15"/>
        <v/>
      </c>
    </row>
    <row r="208" spans="1:16" x14ac:dyDescent="0.3">
      <c r="A208" s="10"/>
      <c r="B208" s="10"/>
      <c r="C208" s="10"/>
      <c r="D208" s="10"/>
      <c r="E208" s="10"/>
      <c r="F208" s="10"/>
      <c r="G208" s="10"/>
      <c r="H208" s="10"/>
      <c r="I208" s="10"/>
      <c r="K208" s="10"/>
      <c r="L208" s="10"/>
      <c r="P208" t="str">
        <f t="shared" si="15"/>
        <v/>
      </c>
    </row>
    <row r="209" spans="1:16" x14ac:dyDescent="0.3">
      <c r="A209" s="10"/>
      <c r="B209" s="10"/>
      <c r="C209" s="10"/>
      <c r="D209" s="10"/>
      <c r="E209" s="10"/>
      <c r="F209" s="10"/>
      <c r="G209" s="10"/>
      <c r="H209" s="10"/>
      <c r="I209" s="10"/>
      <c r="K209" s="10"/>
      <c r="L209" s="10"/>
      <c r="P209" t="str">
        <f t="shared" si="15"/>
        <v/>
      </c>
    </row>
    <row r="210" spans="1:16" x14ac:dyDescent="0.3">
      <c r="A210" s="10"/>
      <c r="B210" s="10"/>
      <c r="C210" s="10"/>
      <c r="D210" s="10"/>
      <c r="E210" s="10"/>
      <c r="F210" s="10"/>
      <c r="G210" s="10"/>
      <c r="H210" s="10"/>
      <c r="I210" s="10"/>
      <c r="K210" s="10"/>
      <c r="L210" s="10"/>
      <c r="P210" t="str">
        <f t="shared" si="15"/>
        <v/>
      </c>
    </row>
    <row r="211" spans="1:16" x14ac:dyDescent="0.3">
      <c r="A211" s="10"/>
      <c r="B211" s="10"/>
      <c r="C211" s="10"/>
      <c r="D211" s="10"/>
      <c r="E211" s="10"/>
      <c r="F211" s="10"/>
      <c r="G211" s="10"/>
      <c r="H211" s="10"/>
      <c r="I211" s="10"/>
      <c r="K211" s="10"/>
      <c r="L211" s="10"/>
      <c r="P211" t="str">
        <f t="shared" si="15"/>
        <v/>
      </c>
    </row>
    <row r="212" spans="1:16" x14ac:dyDescent="0.3">
      <c r="A212" s="10"/>
      <c r="B212" s="10"/>
      <c r="C212" s="10"/>
      <c r="D212" s="10"/>
      <c r="E212" s="10"/>
      <c r="F212" s="10"/>
      <c r="G212" s="10"/>
      <c r="H212" s="10"/>
      <c r="I212" s="10"/>
      <c r="K212" s="10"/>
      <c r="L212" s="10"/>
      <c r="P212" t="str">
        <f t="shared" si="15"/>
        <v/>
      </c>
    </row>
    <row r="213" spans="1:16" x14ac:dyDescent="0.3">
      <c r="A213" s="10"/>
      <c r="B213" s="10"/>
      <c r="C213" s="10"/>
      <c r="D213" s="10"/>
      <c r="E213" s="10"/>
      <c r="F213" s="10"/>
      <c r="G213" s="10"/>
      <c r="H213" s="10"/>
      <c r="I213" s="10"/>
      <c r="K213" s="10"/>
      <c r="L213" s="10"/>
      <c r="P213" t="str">
        <f t="shared" si="15"/>
        <v/>
      </c>
    </row>
    <row r="214" spans="1:16" x14ac:dyDescent="0.3">
      <c r="A214" s="10"/>
      <c r="B214" s="10"/>
      <c r="C214" s="10"/>
      <c r="D214" s="10"/>
      <c r="E214" s="10"/>
      <c r="F214" s="10"/>
      <c r="G214" s="10"/>
      <c r="H214" s="10"/>
      <c r="I214" s="10"/>
      <c r="K214" s="10"/>
      <c r="L214" s="10"/>
      <c r="P214" t="str">
        <f t="shared" si="15"/>
        <v/>
      </c>
    </row>
    <row r="215" spans="1:16" x14ac:dyDescent="0.3">
      <c r="A215" s="10"/>
      <c r="B215" s="10"/>
      <c r="C215" s="10"/>
      <c r="D215" s="10"/>
      <c r="E215" s="10"/>
      <c r="F215" s="10"/>
      <c r="G215" s="10"/>
      <c r="H215" s="10"/>
      <c r="I215" s="10"/>
      <c r="K215" s="10"/>
      <c r="L215" s="10"/>
      <c r="P215" t="str">
        <f t="shared" si="15"/>
        <v/>
      </c>
    </row>
    <row r="216" spans="1:16" x14ac:dyDescent="0.3">
      <c r="A216" s="10"/>
      <c r="B216" s="10"/>
      <c r="C216" s="10"/>
      <c r="D216" s="10"/>
      <c r="E216" s="10"/>
      <c r="F216" s="10"/>
      <c r="G216" s="10"/>
      <c r="H216" s="10"/>
      <c r="I216" s="10"/>
      <c r="K216" s="10"/>
      <c r="L216" s="10"/>
      <c r="P216" t="str">
        <f t="shared" si="15"/>
        <v/>
      </c>
    </row>
    <row r="217" spans="1:16" x14ac:dyDescent="0.3">
      <c r="A217" s="10"/>
      <c r="B217" s="10"/>
      <c r="C217" s="10"/>
      <c r="D217" s="10"/>
      <c r="E217" s="10"/>
      <c r="F217" s="10"/>
      <c r="G217" s="10"/>
      <c r="H217" s="10"/>
      <c r="I217" s="10"/>
      <c r="K217" s="10"/>
      <c r="L217" s="10"/>
      <c r="P217" t="str">
        <f t="shared" si="15"/>
        <v/>
      </c>
    </row>
    <row r="218" spans="1:16" x14ac:dyDescent="0.3">
      <c r="A218" s="10"/>
      <c r="B218" s="10"/>
      <c r="C218" s="10"/>
      <c r="D218" s="10"/>
      <c r="E218" s="10"/>
      <c r="F218" s="10"/>
      <c r="G218" s="10"/>
      <c r="H218" s="10"/>
      <c r="I218" s="10"/>
      <c r="K218" s="10"/>
      <c r="L218" s="10"/>
      <c r="P218" t="str">
        <f t="shared" si="15"/>
        <v/>
      </c>
    </row>
    <row r="219" spans="1:16" x14ac:dyDescent="0.3">
      <c r="A219" s="10"/>
      <c r="B219" s="10"/>
      <c r="C219" s="10"/>
      <c r="D219" s="10"/>
      <c r="E219" s="10"/>
      <c r="F219" s="10"/>
      <c r="G219" s="10"/>
      <c r="H219" s="10"/>
      <c r="I219" s="10"/>
      <c r="K219" s="10"/>
      <c r="L219" s="10"/>
      <c r="P219" t="str">
        <f t="shared" si="15"/>
        <v/>
      </c>
    </row>
    <row r="220" spans="1:16" x14ac:dyDescent="0.3">
      <c r="A220" s="10"/>
      <c r="B220" s="10"/>
      <c r="C220" s="10"/>
      <c r="D220" s="10"/>
      <c r="E220" s="10"/>
      <c r="F220" s="10"/>
      <c r="G220" s="10"/>
      <c r="H220" s="10"/>
      <c r="I220" s="10"/>
      <c r="K220" s="10"/>
      <c r="L220" s="10"/>
      <c r="P220" t="str">
        <f t="shared" si="15"/>
        <v/>
      </c>
    </row>
    <row r="221" spans="1:16" x14ac:dyDescent="0.3">
      <c r="A221" s="10"/>
      <c r="B221" s="10"/>
      <c r="C221" s="10"/>
      <c r="D221" s="10"/>
      <c r="E221" s="10"/>
      <c r="F221" s="10"/>
      <c r="G221" s="10"/>
      <c r="H221" s="10"/>
      <c r="I221" s="10"/>
      <c r="K221" s="10"/>
      <c r="L221" s="10"/>
      <c r="P221" t="str">
        <f t="shared" si="15"/>
        <v/>
      </c>
    </row>
    <row r="222" spans="1:16" x14ac:dyDescent="0.3">
      <c r="A222" s="10"/>
      <c r="B222" s="10"/>
      <c r="C222" s="10"/>
      <c r="D222" s="10"/>
      <c r="E222" s="10"/>
      <c r="F222" s="10"/>
      <c r="G222" s="10"/>
      <c r="H222" s="10"/>
      <c r="I222" s="10"/>
      <c r="K222" s="10"/>
      <c r="L222" s="10"/>
      <c r="P222" t="str">
        <f t="shared" si="15"/>
        <v/>
      </c>
    </row>
    <row r="223" spans="1:16" x14ac:dyDescent="0.3">
      <c r="A223" s="10"/>
      <c r="B223" s="10"/>
      <c r="C223" s="10"/>
      <c r="D223" s="10"/>
      <c r="E223" s="10"/>
      <c r="F223" s="10"/>
      <c r="G223" s="10"/>
      <c r="H223" s="10"/>
      <c r="I223" s="10"/>
      <c r="K223" s="10"/>
      <c r="L223" s="10"/>
      <c r="P223" t="str">
        <f t="shared" si="15"/>
        <v/>
      </c>
    </row>
    <row r="224" spans="1:16" x14ac:dyDescent="0.3">
      <c r="A224" s="10"/>
      <c r="B224" s="10"/>
      <c r="C224" s="10"/>
      <c r="D224" s="10"/>
      <c r="E224" s="10"/>
      <c r="F224" s="10"/>
      <c r="G224" s="10"/>
      <c r="H224" s="10"/>
      <c r="I224" s="10"/>
      <c r="K224" s="10"/>
      <c r="L224" s="10"/>
      <c r="P224" t="str">
        <f t="shared" si="15"/>
        <v/>
      </c>
    </row>
    <row r="225" spans="1:16" x14ac:dyDescent="0.3">
      <c r="A225" s="10"/>
      <c r="B225" s="10"/>
      <c r="C225" s="10"/>
      <c r="D225" s="10"/>
      <c r="E225" s="10"/>
      <c r="F225" s="10"/>
      <c r="G225" s="10"/>
      <c r="H225" s="10"/>
      <c r="I225" s="10"/>
      <c r="K225" s="10"/>
      <c r="L225" s="10"/>
      <c r="P225" t="str">
        <f t="shared" si="15"/>
        <v/>
      </c>
    </row>
    <row r="226" spans="1:16" x14ac:dyDescent="0.3">
      <c r="A226" s="10"/>
      <c r="B226" s="10"/>
      <c r="C226" s="10"/>
      <c r="D226" s="10"/>
      <c r="E226" s="10"/>
      <c r="F226" s="10"/>
      <c r="G226" s="10"/>
      <c r="H226" s="10"/>
      <c r="I226" s="10"/>
      <c r="K226" s="10"/>
      <c r="L226" s="10"/>
      <c r="P226" t="str">
        <f t="shared" si="15"/>
        <v/>
      </c>
    </row>
    <row r="227" spans="1:16" x14ac:dyDescent="0.3">
      <c r="A227" s="10"/>
      <c r="B227" s="10"/>
      <c r="C227" s="10"/>
      <c r="D227" s="10"/>
      <c r="E227" s="10"/>
      <c r="F227" s="10"/>
      <c r="G227" s="10"/>
      <c r="H227" s="10"/>
      <c r="I227" s="10"/>
      <c r="K227" s="10"/>
      <c r="L227" s="10"/>
      <c r="P227" t="str">
        <f t="shared" si="15"/>
        <v/>
      </c>
    </row>
    <row r="228" spans="1:16" x14ac:dyDescent="0.3">
      <c r="A228" s="10"/>
      <c r="B228" s="10"/>
      <c r="C228" s="10"/>
      <c r="D228" s="10"/>
      <c r="E228" s="10"/>
      <c r="F228" s="10"/>
      <c r="G228" s="10"/>
      <c r="H228" s="10"/>
      <c r="I228" s="10"/>
      <c r="K228" s="10"/>
      <c r="L228" s="10"/>
      <c r="P228" t="str">
        <f t="shared" si="15"/>
        <v/>
      </c>
    </row>
    <row r="229" spans="1:16" x14ac:dyDescent="0.3">
      <c r="A229" s="10"/>
      <c r="B229" s="10"/>
      <c r="C229" s="10"/>
      <c r="D229" s="10"/>
      <c r="E229" s="10"/>
      <c r="F229" s="10"/>
      <c r="G229" s="10"/>
      <c r="H229" s="10"/>
      <c r="I229" s="10"/>
      <c r="K229" s="10"/>
      <c r="L229" s="10"/>
      <c r="P229" t="str">
        <f t="shared" si="15"/>
        <v/>
      </c>
    </row>
    <row r="230" spans="1:16" x14ac:dyDescent="0.3">
      <c r="A230" s="10"/>
      <c r="B230" s="10"/>
      <c r="C230" s="10"/>
      <c r="D230" s="10"/>
      <c r="E230" s="10"/>
      <c r="F230" s="10"/>
      <c r="G230" s="10"/>
      <c r="H230" s="10"/>
      <c r="I230" s="10"/>
      <c r="K230" s="10"/>
      <c r="L230" s="10"/>
      <c r="P230" t="str">
        <f t="shared" si="15"/>
        <v/>
      </c>
    </row>
    <row r="231" spans="1:16" x14ac:dyDescent="0.3">
      <c r="A231" s="10"/>
      <c r="B231" s="10"/>
      <c r="C231" s="10"/>
      <c r="D231" s="10"/>
      <c r="E231" s="10"/>
      <c r="F231" s="10"/>
      <c r="G231" s="10"/>
      <c r="H231" s="10"/>
      <c r="I231" s="10"/>
      <c r="K231" s="10"/>
      <c r="L231" s="10"/>
      <c r="P231" t="str">
        <f t="shared" si="15"/>
        <v/>
      </c>
    </row>
    <row r="232" spans="1:16" x14ac:dyDescent="0.3">
      <c r="A232" s="10"/>
      <c r="B232" s="10"/>
      <c r="C232" s="10"/>
      <c r="D232" s="10"/>
      <c r="E232" s="10"/>
      <c r="F232" s="10"/>
      <c r="G232" s="10"/>
      <c r="H232" s="10"/>
      <c r="I232" s="10"/>
      <c r="K232" s="10"/>
      <c r="L232" s="10"/>
      <c r="P232" t="str">
        <f t="shared" si="15"/>
        <v/>
      </c>
    </row>
    <row r="233" spans="1:16" x14ac:dyDescent="0.3">
      <c r="A233" s="10"/>
      <c r="B233" s="10"/>
      <c r="C233" s="10"/>
      <c r="D233" s="10"/>
      <c r="E233" s="10"/>
      <c r="F233" s="10"/>
      <c r="G233" s="10"/>
      <c r="H233" s="10"/>
      <c r="I233" s="10"/>
      <c r="K233" s="10"/>
      <c r="L233" s="10"/>
      <c r="P233" t="str">
        <f t="shared" si="15"/>
        <v/>
      </c>
    </row>
    <row r="234" spans="1:16" x14ac:dyDescent="0.3">
      <c r="A234" s="10"/>
      <c r="B234" s="10"/>
      <c r="C234" s="10"/>
      <c r="D234" s="10"/>
      <c r="E234" s="10"/>
      <c r="F234" s="10"/>
      <c r="G234" s="10"/>
      <c r="H234" s="10"/>
      <c r="I234" s="10"/>
      <c r="K234" s="10"/>
      <c r="L234" s="10"/>
      <c r="P234" t="str">
        <f t="shared" si="15"/>
        <v/>
      </c>
    </row>
    <row r="235" spans="1:16" x14ac:dyDescent="0.3">
      <c r="A235" s="10"/>
      <c r="B235" s="10"/>
      <c r="C235" s="10"/>
      <c r="D235" s="10"/>
      <c r="E235" s="10"/>
      <c r="F235" s="10"/>
      <c r="G235" s="10"/>
      <c r="H235" s="10"/>
      <c r="I235" s="10"/>
      <c r="K235" s="10"/>
      <c r="L235" s="10"/>
      <c r="P235" t="str">
        <f t="shared" si="15"/>
        <v/>
      </c>
    </row>
    <row r="236" spans="1:16" x14ac:dyDescent="0.3">
      <c r="A236" s="10"/>
      <c r="B236" s="10"/>
      <c r="C236" s="10"/>
      <c r="D236" s="10"/>
      <c r="E236" s="10"/>
      <c r="F236" s="10"/>
      <c r="G236" s="10"/>
      <c r="H236" s="10"/>
      <c r="I236" s="10"/>
      <c r="K236" s="10"/>
      <c r="L236" s="10"/>
      <c r="P236" t="str">
        <f t="shared" si="15"/>
        <v/>
      </c>
    </row>
    <row r="237" spans="1:16" x14ac:dyDescent="0.3">
      <c r="A237" s="10"/>
      <c r="B237" s="10"/>
      <c r="C237" s="10"/>
      <c r="D237" s="10"/>
      <c r="E237" s="10"/>
      <c r="F237" s="10"/>
      <c r="G237" s="10"/>
      <c r="H237" s="10"/>
      <c r="I237" s="10"/>
      <c r="K237" s="10"/>
      <c r="L237" s="10"/>
      <c r="P237" t="str">
        <f t="shared" si="15"/>
        <v/>
      </c>
    </row>
    <row r="238" spans="1:16" x14ac:dyDescent="0.3">
      <c r="A238" s="10"/>
      <c r="B238" s="10"/>
      <c r="C238" s="10"/>
      <c r="D238" s="10"/>
      <c r="E238" s="10"/>
      <c r="F238" s="10"/>
      <c r="G238" s="10"/>
      <c r="H238" s="10"/>
      <c r="I238" s="10"/>
      <c r="K238" s="10"/>
      <c r="L238" s="10"/>
      <c r="P238" t="str">
        <f t="shared" si="15"/>
        <v/>
      </c>
    </row>
    <row r="239" spans="1:16" x14ac:dyDescent="0.3">
      <c r="A239" s="10"/>
      <c r="B239" s="10"/>
      <c r="C239" s="10"/>
      <c r="D239" s="10"/>
      <c r="E239" s="10"/>
      <c r="F239" s="10"/>
      <c r="G239" s="10"/>
      <c r="H239" s="10"/>
      <c r="I239" s="10"/>
      <c r="K239" s="10"/>
      <c r="L239" s="10"/>
      <c r="P239" t="str">
        <f t="shared" si="15"/>
        <v/>
      </c>
    </row>
    <row r="240" spans="1:16" x14ac:dyDescent="0.3">
      <c r="A240" s="10"/>
      <c r="B240" s="10"/>
      <c r="C240" s="10"/>
      <c r="D240" s="10"/>
      <c r="E240" s="10"/>
      <c r="F240" s="10"/>
      <c r="G240" s="10"/>
      <c r="H240" s="10"/>
      <c r="I240" s="10"/>
      <c r="K240" s="10"/>
      <c r="L240" s="10"/>
      <c r="P240" t="str">
        <f t="shared" si="15"/>
        <v/>
      </c>
    </row>
    <row r="241" spans="1:16" x14ac:dyDescent="0.3">
      <c r="A241" s="10"/>
      <c r="B241" s="10"/>
      <c r="C241" s="10"/>
      <c r="D241" s="10"/>
      <c r="E241" s="10"/>
      <c r="F241" s="10"/>
      <c r="G241" s="10"/>
      <c r="H241" s="10"/>
      <c r="I241" s="10"/>
      <c r="K241" s="10"/>
      <c r="L241" s="10"/>
      <c r="P241" t="str">
        <f t="shared" si="15"/>
        <v/>
      </c>
    </row>
    <row r="242" spans="1:16" x14ac:dyDescent="0.3">
      <c r="A242" s="10"/>
      <c r="B242" s="10"/>
      <c r="C242" s="10"/>
      <c r="D242" s="10"/>
      <c r="E242" s="10"/>
      <c r="F242" s="10"/>
      <c r="G242" s="10"/>
      <c r="H242" s="10"/>
      <c r="I242" s="10"/>
      <c r="K242" s="10"/>
      <c r="L242" s="10"/>
      <c r="P242" t="str">
        <f t="shared" si="15"/>
        <v/>
      </c>
    </row>
    <row r="243" spans="1:16" x14ac:dyDescent="0.3">
      <c r="A243" s="10"/>
      <c r="B243" s="10"/>
      <c r="C243" s="10"/>
      <c r="D243" s="10"/>
      <c r="E243" s="10"/>
      <c r="F243" s="10"/>
      <c r="G243" s="10"/>
      <c r="H243" s="10"/>
      <c r="I243" s="10"/>
      <c r="K243" s="10"/>
      <c r="L243" s="10"/>
      <c r="P243" t="str">
        <f t="shared" si="15"/>
        <v/>
      </c>
    </row>
    <row r="244" spans="1:16" x14ac:dyDescent="0.3">
      <c r="A244" s="10"/>
      <c r="B244" s="10"/>
      <c r="C244" s="10"/>
      <c r="D244" s="10"/>
      <c r="E244" s="10"/>
      <c r="F244" s="10"/>
      <c r="G244" s="10"/>
      <c r="H244" s="10"/>
      <c r="I244" s="10"/>
      <c r="K244" s="10"/>
      <c r="L244" s="10"/>
      <c r="P244" t="str">
        <f t="shared" si="15"/>
        <v/>
      </c>
    </row>
    <row r="245" spans="1:16" x14ac:dyDescent="0.3">
      <c r="A245" s="10"/>
      <c r="B245" s="10"/>
      <c r="C245" s="10"/>
      <c r="D245" s="10"/>
      <c r="E245" s="10"/>
      <c r="F245" s="10"/>
      <c r="G245" s="10"/>
      <c r="H245" s="10"/>
      <c r="I245" s="10"/>
      <c r="K245" s="10"/>
      <c r="L245" s="10"/>
      <c r="P245" t="str">
        <f t="shared" si="15"/>
        <v/>
      </c>
    </row>
    <row r="246" spans="1:16" x14ac:dyDescent="0.3">
      <c r="A246" s="10"/>
      <c r="B246" s="10"/>
      <c r="C246" s="10"/>
      <c r="D246" s="10"/>
      <c r="E246" s="10"/>
      <c r="F246" s="10"/>
      <c r="G246" s="10"/>
      <c r="H246" s="10"/>
      <c r="I246" s="10"/>
      <c r="K246" s="10"/>
      <c r="L246" s="10"/>
      <c r="P246" t="str">
        <f t="shared" si="15"/>
        <v/>
      </c>
    </row>
    <row r="247" spans="1:16" x14ac:dyDescent="0.3">
      <c r="A247" s="10"/>
      <c r="B247" s="10"/>
      <c r="C247" s="10"/>
      <c r="D247" s="10"/>
      <c r="E247" s="10"/>
      <c r="F247" s="10"/>
      <c r="G247" s="10"/>
      <c r="H247" s="10"/>
      <c r="I247" s="10"/>
      <c r="K247" s="10"/>
      <c r="L247" s="10"/>
      <c r="P247" t="str">
        <f t="shared" si="15"/>
        <v/>
      </c>
    </row>
    <row r="248" spans="1:16" x14ac:dyDescent="0.3">
      <c r="A248" s="10"/>
      <c r="B248" s="10"/>
      <c r="C248" s="10"/>
      <c r="D248" s="10"/>
      <c r="E248" s="10"/>
      <c r="F248" s="10"/>
      <c r="G248" s="10"/>
      <c r="H248" s="10"/>
      <c r="I248" s="10"/>
      <c r="K248" s="10"/>
      <c r="L248" s="10"/>
      <c r="P248" t="str">
        <f t="shared" si="15"/>
        <v/>
      </c>
    </row>
    <row r="249" spans="1:16" x14ac:dyDescent="0.3">
      <c r="A249" s="10"/>
      <c r="B249" s="10"/>
      <c r="C249" s="10"/>
      <c r="D249" s="10"/>
      <c r="E249" s="10"/>
      <c r="F249" s="10"/>
      <c r="G249" s="10"/>
      <c r="H249" s="10"/>
      <c r="I249" s="10"/>
      <c r="K249" s="10"/>
      <c r="L249" s="10"/>
      <c r="P249" t="str">
        <f t="shared" si="15"/>
        <v/>
      </c>
    </row>
    <row r="250" spans="1:16" x14ac:dyDescent="0.3">
      <c r="A250" s="10"/>
      <c r="B250" s="10"/>
      <c r="C250" s="10"/>
      <c r="D250" s="10"/>
      <c r="E250" s="10"/>
      <c r="F250" s="10"/>
      <c r="G250" s="10"/>
      <c r="H250" s="10"/>
      <c r="I250" s="10"/>
      <c r="K250" s="10"/>
      <c r="L250" s="10"/>
      <c r="P250" t="str">
        <f t="shared" si="15"/>
        <v/>
      </c>
    </row>
    <row r="251" spans="1:16" x14ac:dyDescent="0.3">
      <c r="A251" s="10"/>
      <c r="B251" s="10"/>
      <c r="C251" s="10"/>
      <c r="D251" s="10"/>
      <c r="E251" s="10"/>
      <c r="F251" s="10"/>
      <c r="G251" s="10"/>
      <c r="H251" s="10"/>
      <c r="I251" s="10"/>
      <c r="K251" s="10"/>
      <c r="L251" s="10"/>
      <c r="P251" t="str">
        <f t="shared" si="15"/>
        <v/>
      </c>
    </row>
    <row r="252" spans="1:16" x14ac:dyDescent="0.3">
      <c r="A252" s="10"/>
      <c r="B252" s="10"/>
      <c r="C252" s="10"/>
      <c r="D252" s="10"/>
      <c r="E252" s="10"/>
      <c r="F252" s="10"/>
      <c r="G252" s="10"/>
      <c r="H252" s="10"/>
      <c r="I252" s="10"/>
      <c r="K252" s="10"/>
      <c r="L252" s="10"/>
      <c r="P252" t="str">
        <f t="shared" si="15"/>
        <v/>
      </c>
    </row>
    <row r="253" spans="1:16" x14ac:dyDescent="0.3">
      <c r="A253" s="10"/>
      <c r="B253" s="10"/>
      <c r="C253" s="10"/>
      <c r="D253" s="10"/>
      <c r="E253" s="10"/>
      <c r="F253" s="10"/>
      <c r="G253" s="10"/>
      <c r="H253" s="10"/>
      <c r="I253" s="10"/>
      <c r="K253" s="10"/>
      <c r="L253" s="10"/>
      <c r="P253" t="str">
        <f t="shared" si="15"/>
        <v/>
      </c>
    </row>
    <row r="254" spans="1:16" x14ac:dyDescent="0.3">
      <c r="A254" s="10"/>
      <c r="B254" s="10"/>
      <c r="C254" s="10"/>
      <c r="D254" s="10"/>
      <c r="E254" s="10"/>
      <c r="F254" s="10"/>
      <c r="G254" s="10"/>
      <c r="H254" s="10"/>
      <c r="I254" s="10"/>
      <c r="K254" s="10"/>
      <c r="L254" s="10"/>
      <c r="P254" t="str">
        <f t="shared" si="15"/>
        <v/>
      </c>
    </row>
    <row r="255" spans="1:16" x14ac:dyDescent="0.3">
      <c r="A255" s="10"/>
      <c r="B255" s="10"/>
      <c r="C255" s="10"/>
      <c r="D255" s="10"/>
      <c r="E255" s="10"/>
      <c r="F255" s="10"/>
      <c r="G255" s="10"/>
      <c r="H255" s="10"/>
      <c r="I255" s="10"/>
      <c r="K255" s="10"/>
      <c r="L255" s="10"/>
      <c r="P255" t="str">
        <f t="shared" si="15"/>
        <v/>
      </c>
    </row>
    <row r="256" spans="1:16" x14ac:dyDescent="0.3">
      <c r="A256" s="10"/>
      <c r="B256" s="10"/>
      <c r="C256" s="10"/>
      <c r="D256" s="10"/>
      <c r="E256" s="10"/>
      <c r="F256" s="10"/>
      <c r="G256" s="10"/>
      <c r="H256" s="10"/>
      <c r="I256" s="10"/>
      <c r="K256" s="10"/>
      <c r="L256" s="10"/>
      <c r="P256" t="str">
        <f t="shared" si="15"/>
        <v/>
      </c>
    </row>
    <row r="257" spans="1:16" x14ac:dyDescent="0.3">
      <c r="A257" s="10"/>
      <c r="B257" s="10"/>
      <c r="C257" s="10"/>
      <c r="D257" s="10"/>
      <c r="E257" s="10"/>
      <c r="F257" s="10"/>
      <c r="G257" s="10"/>
      <c r="H257" s="10"/>
      <c r="I257" s="10"/>
      <c r="K257" s="10"/>
      <c r="L257" s="10"/>
      <c r="P257" t="str">
        <f t="shared" si="15"/>
        <v/>
      </c>
    </row>
    <row r="258" spans="1:16" x14ac:dyDescent="0.3">
      <c r="A258" s="10"/>
      <c r="B258" s="10"/>
      <c r="C258" s="10"/>
      <c r="D258" s="10"/>
      <c r="E258" s="10"/>
      <c r="F258" s="10"/>
      <c r="G258" s="10"/>
      <c r="H258" s="10"/>
      <c r="I258" s="10"/>
      <c r="K258" s="10"/>
      <c r="L258" s="10"/>
      <c r="P258" t="str">
        <f t="shared" si="15"/>
        <v/>
      </c>
    </row>
    <row r="259" spans="1:16" x14ac:dyDescent="0.3">
      <c r="A259" s="10"/>
      <c r="B259" s="10"/>
      <c r="C259" s="10"/>
      <c r="D259" s="10"/>
      <c r="E259" s="10"/>
      <c r="F259" s="10"/>
      <c r="G259" s="10"/>
      <c r="H259" s="10"/>
      <c r="I259" s="10"/>
      <c r="K259" s="10"/>
      <c r="L259" s="10"/>
      <c r="P259" t="str">
        <f t="shared" si="15"/>
        <v/>
      </c>
    </row>
    <row r="260" spans="1:16" x14ac:dyDescent="0.3">
      <c r="A260" s="10"/>
      <c r="B260" s="10"/>
      <c r="C260" s="10"/>
      <c r="D260" s="10"/>
      <c r="E260" s="10"/>
      <c r="F260" s="10"/>
      <c r="G260" s="10"/>
      <c r="H260" s="10"/>
      <c r="I260" s="10"/>
      <c r="K260" s="10"/>
      <c r="L260" s="10"/>
      <c r="P260" t="str">
        <f t="shared" ref="P260:P323" si="16">IF($J260="","",IF(ABS($J260)&lt;=2,"OK","FORA (|SDI|&gt;2)"))</f>
        <v/>
      </c>
    </row>
    <row r="261" spans="1:16" x14ac:dyDescent="0.3">
      <c r="A261" s="10"/>
      <c r="B261" s="10"/>
      <c r="C261" s="10"/>
      <c r="D261" s="10"/>
      <c r="E261" s="10"/>
      <c r="F261" s="10"/>
      <c r="G261" s="10"/>
      <c r="H261" s="10"/>
      <c r="I261" s="10"/>
      <c r="K261" s="10"/>
      <c r="L261" s="10"/>
      <c r="P261" t="str">
        <f t="shared" si="16"/>
        <v/>
      </c>
    </row>
    <row r="262" spans="1:16" x14ac:dyDescent="0.3">
      <c r="A262" s="10"/>
      <c r="B262" s="10"/>
      <c r="C262" s="10"/>
      <c r="D262" s="10"/>
      <c r="E262" s="10"/>
      <c r="F262" s="10"/>
      <c r="G262" s="10"/>
      <c r="H262" s="10"/>
      <c r="I262" s="10"/>
      <c r="K262" s="10"/>
      <c r="L262" s="10"/>
      <c r="P262" t="str">
        <f t="shared" si="16"/>
        <v/>
      </c>
    </row>
    <row r="263" spans="1:16" x14ac:dyDescent="0.3">
      <c r="A263" s="10"/>
      <c r="B263" s="10"/>
      <c r="C263" s="10"/>
      <c r="D263" s="10"/>
      <c r="E263" s="10"/>
      <c r="F263" s="10"/>
      <c r="G263" s="10"/>
      <c r="H263" s="10"/>
      <c r="I263" s="10"/>
      <c r="K263" s="10"/>
      <c r="L263" s="10"/>
      <c r="P263" t="str">
        <f t="shared" si="16"/>
        <v/>
      </c>
    </row>
    <row r="264" spans="1:16" x14ac:dyDescent="0.3">
      <c r="A264" s="10"/>
      <c r="B264" s="10"/>
      <c r="C264" s="10"/>
      <c r="D264" s="10"/>
      <c r="E264" s="10"/>
      <c r="F264" s="10"/>
      <c r="G264" s="10"/>
      <c r="H264" s="10"/>
      <c r="I264" s="10"/>
      <c r="K264" s="10"/>
      <c r="L264" s="10"/>
      <c r="P264" t="str">
        <f t="shared" si="16"/>
        <v/>
      </c>
    </row>
    <row r="265" spans="1:16" x14ac:dyDescent="0.3">
      <c r="A265" s="10"/>
      <c r="B265" s="10"/>
      <c r="C265" s="10"/>
      <c r="D265" s="10"/>
      <c r="E265" s="10"/>
      <c r="F265" s="10"/>
      <c r="G265" s="10"/>
      <c r="H265" s="10"/>
      <c r="I265" s="10"/>
      <c r="K265" s="10"/>
      <c r="L265" s="10"/>
      <c r="P265" t="str">
        <f t="shared" si="16"/>
        <v/>
      </c>
    </row>
    <row r="266" spans="1:16" x14ac:dyDescent="0.3">
      <c r="A266" s="10"/>
      <c r="B266" s="10"/>
      <c r="C266" s="10"/>
      <c r="D266" s="10"/>
      <c r="E266" s="10"/>
      <c r="F266" s="10"/>
      <c r="G266" s="10"/>
      <c r="H266" s="10"/>
      <c r="I266" s="10"/>
      <c r="K266" s="10"/>
      <c r="L266" s="10"/>
      <c r="P266" t="str">
        <f t="shared" si="16"/>
        <v/>
      </c>
    </row>
    <row r="267" spans="1:16" x14ac:dyDescent="0.3">
      <c r="A267" s="10"/>
      <c r="B267" s="10"/>
      <c r="C267" s="10"/>
      <c r="D267" s="10"/>
      <c r="E267" s="10"/>
      <c r="F267" s="10"/>
      <c r="G267" s="10"/>
      <c r="H267" s="10"/>
      <c r="I267" s="10"/>
      <c r="K267" s="10"/>
      <c r="L267" s="10"/>
      <c r="P267" t="str">
        <f t="shared" si="16"/>
        <v/>
      </c>
    </row>
    <row r="268" spans="1:16" x14ac:dyDescent="0.3">
      <c r="A268" s="10"/>
      <c r="B268" s="10"/>
      <c r="C268" s="10"/>
      <c r="D268" s="10"/>
      <c r="E268" s="10"/>
      <c r="F268" s="10"/>
      <c r="G268" s="10"/>
      <c r="H268" s="10"/>
      <c r="I268" s="10"/>
      <c r="K268" s="10"/>
      <c r="L268" s="10"/>
      <c r="P268" t="str">
        <f t="shared" si="16"/>
        <v/>
      </c>
    </row>
    <row r="269" spans="1:16" x14ac:dyDescent="0.3">
      <c r="A269" s="10"/>
      <c r="B269" s="10"/>
      <c r="C269" s="10"/>
      <c r="D269" s="10"/>
      <c r="E269" s="10"/>
      <c r="F269" s="10"/>
      <c r="G269" s="10"/>
      <c r="H269" s="10"/>
      <c r="I269" s="10"/>
      <c r="K269" s="10"/>
      <c r="L269" s="10"/>
      <c r="P269" t="str">
        <f t="shared" si="16"/>
        <v/>
      </c>
    </row>
    <row r="270" spans="1:16" x14ac:dyDescent="0.3">
      <c r="A270" s="10"/>
      <c r="B270" s="10"/>
      <c r="C270" s="10"/>
      <c r="D270" s="10"/>
      <c r="E270" s="10"/>
      <c r="F270" s="10"/>
      <c r="G270" s="10"/>
      <c r="H270" s="10"/>
      <c r="I270" s="10"/>
      <c r="K270" s="10"/>
      <c r="L270" s="10"/>
      <c r="P270" t="str">
        <f t="shared" si="16"/>
        <v/>
      </c>
    </row>
    <row r="271" spans="1:16" x14ac:dyDescent="0.3">
      <c r="A271" s="10"/>
      <c r="B271" s="10"/>
      <c r="C271" s="10"/>
      <c r="D271" s="10"/>
      <c r="E271" s="10"/>
      <c r="F271" s="10"/>
      <c r="G271" s="10"/>
      <c r="H271" s="10"/>
      <c r="I271" s="10"/>
      <c r="K271" s="10"/>
      <c r="L271" s="10"/>
      <c r="P271" t="str">
        <f t="shared" si="16"/>
        <v/>
      </c>
    </row>
    <row r="272" spans="1:16" x14ac:dyDescent="0.3">
      <c r="A272" s="10"/>
      <c r="B272" s="10"/>
      <c r="C272" s="10"/>
      <c r="D272" s="10"/>
      <c r="E272" s="10"/>
      <c r="F272" s="10"/>
      <c r="G272" s="10"/>
      <c r="H272" s="10"/>
      <c r="I272" s="10"/>
      <c r="K272" s="10"/>
      <c r="L272" s="10"/>
      <c r="P272" t="str">
        <f t="shared" si="16"/>
        <v/>
      </c>
    </row>
    <row r="273" spans="1:16" x14ac:dyDescent="0.3">
      <c r="A273" s="10"/>
      <c r="B273" s="10"/>
      <c r="C273" s="10"/>
      <c r="D273" s="10"/>
      <c r="E273" s="10"/>
      <c r="F273" s="10"/>
      <c r="G273" s="10"/>
      <c r="H273" s="10"/>
      <c r="I273" s="10"/>
      <c r="K273" s="10"/>
      <c r="L273" s="10"/>
      <c r="P273" t="str">
        <f t="shared" si="16"/>
        <v/>
      </c>
    </row>
    <row r="274" spans="1:16" x14ac:dyDescent="0.3">
      <c r="A274" s="10"/>
      <c r="B274" s="10"/>
      <c r="C274" s="10"/>
      <c r="D274" s="10"/>
      <c r="E274" s="10"/>
      <c r="F274" s="10"/>
      <c r="G274" s="10"/>
      <c r="H274" s="10"/>
      <c r="I274" s="10"/>
      <c r="K274" s="10"/>
      <c r="L274" s="10"/>
      <c r="P274" t="str">
        <f t="shared" si="16"/>
        <v/>
      </c>
    </row>
    <row r="275" spans="1:16" x14ac:dyDescent="0.3">
      <c r="A275" s="10"/>
      <c r="B275" s="10"/>
      <c r="C275" s="10"/>
      <c r="D275" s="10"/>
      <c r="E275" s="10"/>
      <c r="F275" s="10"/>
      <c r="G275" s="10"/>
      <c r="H275" s="10"/>
      <c r="I275" s="10"/>
      <c r="K275" s="10"/>
      <c r="L275" s="10"/>
      <c r="P275" t="str">
        <f t="shared" si="16"/>
        <v/>
      </c>
    </row>
    <row r="276" spans="1:16" x14ac:dyDescent="0.3">
      <c r="A276" s="10"/>
      <c r="B276" s="10"/>
      <c r="C276" s="10"/>
      <c r="D276" s="10"/>
      <c r="E276" s="10"/>
      <c r="F276" s="10"/>
      <c r="G276" s="10"/>
      <c r="H276" s="10"/>
      <c r="I276" s="10"/>
      <c r="K276" s="10"/>
      <c r="L276" s="10"/>
      <c r="P276" t="str">
        <f t="shared" si="16"/>
        <v/>
      </c>
    </row>
    <row r="277" spans="1:16" x14ac:dyDescent="0.3">
      <c r="A277" s="10"/>
      <c r="B277" s="10"/>
      <c r="C277" s="10"/>
      <c r="D277" s="10"/>
      <c r="E277" s="10"/>
      <c r="F277" s="10"/>
      <c r="G277" s="10"/>
      <c r="H277" s="10"/>
      <c r="I277" s="10"/>
      <c r="K277" s="10"/>
      <c r="L277" s="10"/>
      <c r="P277" t="str">
        <f t="shared" si="16"/>
        <v/>
      </c>
    </row>
    <row r="278" spans="1:16" x14ac:dyDescent="0.3">
      <c r="A278" s="10"/>
      <c r="B278" s="10"/>
      <c r="C278" s="10"/>
      <c r="D278" s="10"/>
      <c r="E278" s="10"/>
      <c r="F278" s="10"/>
      <c r="G278" s="10"/>
      <c r="H278" s="10"/>
      <c r="I278" s="10"/>
      <c r="K278" s="10"/>
      <c r="L278" s="10"/>
      <c r="P278" t="str">
        <f t="shared" si="16"/>
        <v/>
      </c>
    </row>
    <row r="279" spans="1:16" x14ac:dyDescent="0.3">
      <c r="A279" s="10"/>
      <c r="B279" s="10"/>
      <c r="C279" s="10"/>
      <c r="D279" s="10"/>
      <c r="E279" s="10"/>
      <c r="F279" s="10"/>
      <c r="G279" s="10"/>
      <c r="H279" s="10"/>
      <c r="I279" s="10"/>
      <c r="K279" s="10"/>
      <c r="L279" s="10"/>
      <c r="P279" t="str">
        <f t="shared" si="16"/>
        <v/>
      </c>
    </row>
    <row r="280" spans="1:16" x14ac:dyDescent="0.3">
      <c r="A280" s="10"/>
      <c r="B280" s="10"/>
      <c r="C280" s="10"/>
      <c r="D280" s="10"/>
      <c r="E280" s="10"/>
      <c r="F280" s="10"/>
      <c r="G280" s="10"/>
      <c r="H280" s="10"/>
      <c r="I280" s="10"/>
      <c r="K280" s="10"/>
      <c r="L280" s="10"/>
      <c r="P280" t="str">
        <f t="shared" si="16"/>
        <v/>
      </c>
    </row>
    <row r="281" spans="1:16" x14ac:dyDescent="0.3">
      <c r="A281" s="10"/>
      <c r="B281" s="10"/>
      <c r="C281" s="10"/>
      <c r="D281" s="10"/>
      <c r="E281" s="10"/>
      <c r="F281" s="10"/>
      <c r="G281" s="10"/>
      <c r="H281" s="10"/>
      <c r="I281" s="10"/>
      <c r="K281" s="10"/>
      <c r="L281" s="10"/>
      <c r="P281" t="str">
        <f t="shared" si="16"/>
        <v/>
      </c>
    </row>
    <row r="282" spans="1:16" x14ac:dyDescent="0.3">
      <c r="A282" s="10"/>
      <c r="B282" s="10"/>
      <c r="C282" s="10"/>
      <c r="D282" s="10"/>
      <c r="E282" s="10"/>
      <c r="F282" s="10"/>
      <c r="G282" s="10"/>
      <c r="H282" s="10"/>
      <c r="I282" s="10"/>
      <c r="K282" s="10"/>
      <c r="L282" s="10"/>
      <c r="P282" t="str">
        <f t="shared" si="16"/>
        <v/>
      </c>
    </row>
    <row r="283" spans="1:16" x14ac:dyDescent="0.3">
      <c r="A283" s="10"/>
      <c r="B283" s="10"/>
      <c r="C283" s="10"/>
      <c r="D283" s="10"/>
      <c r="E283" s="10"/>
      <c r="F283" s="10"/>
      <c r="G283" s="10"/>
      <c r="H283" s="10"/>
      <c r="I283" s="10"/>
      <c r="K283" s="10"/>
      <c r="L283" s="10"/>
      <c r="P283" t="str">
        <f t="shared" si="16"/>
        <v/>
      </c>
    </row>
    <row r="284" spans="1:16" x14ac:dyDescent="0.3">
      <c r="A284" s="10"/>
      <c r="B284" s="10"/>
      <c r="C284" s="10"/>
      <c r="D284" s="10"/>
      <c r="E284" s="10"/>
      <c r="F284" s="10"/>
      <c r="G284" s="10"/>
      <c r="H284" s="10"/>
      <c r="I284" s="10"/>
      <c r="K284" s="10"/>
      <c r="L284" s="10"/>
      <c r="P284" t="str">
        <f t="shared" si="16"/>
        <v/>
      </c>
    </row>
    <row r="285" spans="1:16" x14ac:dyDescent="0.3">
      <c r="A285" s="10"/>
      <c r="B285" s="10"/>
      <c r="C285" s="10"/>
      <c r="D285" s="10"/>
      <c r="E285" s="10"/>
      <c r="F285" s="10"/>
      <c r="G285" s="10"/>
      <c r="H285" s="10"/>
      <c r="I285" s="10"/>
      <c r="K285" s="10"/>
      <c r="L285" s="10"/>
      <c r="P285" t="str">
        <f t="shared" si="16"/>
        <v/>
      </c>
    </row>
    <row r="286" spans="1:16" x14ac:dyDescent="0.3">
      <c r="A286" s="10"/>
      <c r="B286" s="10"/>
      <c r="C286" s="10"/>
      <c r="D286" s="10"/>
      <c r="E286" s="10"/>
      <c r="F286" s="10"/>
      <c r="G286" s="10"/>
      <c r="H286" s="10"/>
      <c r="I286" s="10"/>
      <c r="K286" s="10"/>
      <c r="L286" s="10"/>
      <c r="P286" t="str">
        <f t="shared" si="16"/>
        <v/>
      </c>
    </row>
    <row r="287" spans="1:16" x14ac:dyDescent="0.3">
      <c r="A287" s="10"/>
      <c r="B287" s="10"/>
      <c r="C287" s="10"/>
      <c r="D287" s="10"/>
      <c r="E287" s="10"/>
      <c r="F287" s="10"/>
      <c r="G287" s="10"/>
      <c r="H287" s="10"/>
      <c r="I287" s="10"/>
      <c r="K287" s="10"/>
      <c r="L287" s="10"/>
      <c r="P287" t="str">
        <f t="shared" si="16"/>
        <v/>
      </c>
    </row>
    <row r="288" spans="1:16" x14ac:dyDescent="0.3">
      <c r="A288" s="10"/>
      <c r="B288" s="10"/>
      <c r="C288" s="10"/>
      <c r="D288" s="10"/>
      <c r="E288" s="10"/>
      <c r="F288" s="10"/>
      <c r="G288" s="10"/>
      <c r="H288" s="10"/>
      <c r="I288" s="10"/>
      <c r="K288" s="10"/>
      <c r="L288" s="10"/>
      <c r="P288" t="str">
        <f t="shared" si="16"/>
        <v/>
      </c>
    </row>
    <row r="289" spans="1:16" x14ac:dyDescent="0.3">
      <c r="A289" s="10"/>
      <c r="B289" s="10"/>
      <c r="C289" s="10"/>
      <c r="D289" s="10"/>
      <c r="E289" s="10"/>
      <c r="F289" s="10"/>
      <c r="G289" s="10"/>
      <c r="H289" s="10"/>
      <c r="I289" s="10"/>
      <c r="K289" s="10"/>
      <c r="L289" s="10"/>
      <c r="P289" t="str">
        <f t="shared" si="16"/>
        <v/>
      </c>
    </row>
    <row r="290" spans="1:16" x14ac:dyDescent="0.3">
      <c r="A290" s="10"/>
      <c r="B290" s="10"/>
      <c r="C290" s="10"/>
      <c r="D290" s="10"/>
      <c r="E290" s="10"/>
      <c r="F290" s="10"/>
      <c r="G290" s="10"/>
      <c r="H290" s="10"/>
      <c r="I290" s="10"/>
      <c r="K290" s="10"/>
      <c r="L290" s="10"/>
      <c r="P290" t="str">
        <f t="shared" si="16"/>
        <v/>
      </c>
    </row>
    <row r="291" spans="1:16" x14ac:dyDescent="0.3">
      <c r="A291" s="10"/>
      <c r="B291" s="10"/>
      <c r="C291" s="10"/>
      <c r="D291" s="10"/>
      <c r="E291" s="10"/>
      <c r="F291" s="10"/>
      <c r="G291" s="10"/>
      <c r="H291" s="10"/>
      <c r="I291" s="10"/>
      <c r="K291" s="10"/>
      <c r="L291" s="10"/>
      <c r="P291" t="str">
        <f t="shared" si="16"/>
        <v/>
      </c>
    </row>
    <row r="292" spans="1:16" x14ac:dyDescent="0.3">
      <c r="A292" s="10"/>
      <c r="B292" s="10"/>
      <c r="C292" s="10"/>
      <c r="D292" s="10"/>
      <c r="E292" s="10"/>
      <c r="F292" s="10"/>
      <c r="G292" s="10"/>
      <c r="H292" s="10"/>
      <c r="I292" s="10"/>
      <c r="K292" s="10"/>
      <c r="L292" s="10"/>
      <c r="P292" t="str">
        <f t="shared" si="16"/>
        <v/>
      </c>
    </row>
    <row r="293" spans="1:16" x14ac:dyDescent="0.3">
      <c r="A293" s="10"/>
      <c r="B293" s="10"/>
      <c r="C293" s="10"/>
      <c r="D293" s="10"/>
      <c r="E293" s="10"/>
      <c r="F293" s="10"/>
      <c r="G293" s="10"/>
      <c r="H293" s="10"/>
      <c r="I293" s="10"/>
      <c r="K293" s="10"/>
      <c r="L293" s="10"/>
      <c r="P293" t="str">
        <f t="shared" si="16"/>
        <v/>
      </c>
    </row>
    <row r="294" spans="1:16" x14ac:dyDescent="0.3">
      <c r="A294" s="10"/>
      <c r="B294" s="10"/>
      <c r="C294" s="10"/>
      <c r="D294" s="10"/>
      <c r="E294" s="10"/>
      <c r="F294" s="10"/>
      <c r="G294" s="10"/>
      <c r="H294" s="10"/>
      <c r="I294" s="10"/>
      <c r="K294" s="10"/>
      <c r="L294" s="10"/>
      <c r="P294" t="str">
        <f t="shared" si="16"/>
        <v/>
      </c>
    </row>
    <row r="295" spans="1:16" x14ac:dyDescent="0.3">
      <c r="A295" s="10"/>
      <c r="B295" s="10"/>
      <c r="C295" s="10"/>
      <c r="D295" s="10"/>
      <c r="E295" s="10"/>
      <c r="F295" s="10"/>
      <c r="G295" s="10"/>
      <c r="H295" s="10"/>
      <c r="I295" s="10"/>
      <c r="K295" s="10"/>
      <c r="L295" s="10"/>
      <c r="P295" t="str">
        <f t="shared" si="16"/>
        <v/>
      </c>
    </row>
    <row r="296" spans="1:16" x14ac:dyDescent="0.3">
      <c r="A296" s="10"/>
      <c r="B296" s="10"/>
      <c r="C296" s="10"/>
      <c r="D296" s="10"/>
      <c r="E296" s="10"/>
      <c r="F296" s="10"/>
      <c r="G296" s="10"/>
      <c r="H296" s="10"/>
      <c r="I296" s="10"/>
      <c r="K296" s="10"/>
      <c r="L296" s="10"/>
      <c r="P296" t="str">
        <f t="shared" si="16"/>
        <v/>
      </c>
    </row>
    <row r="297" spans="1:16" x14ac:dyDescent="0.3">
      <c r="A297" s="10"/>
      <c r="B297" s="10"/>
      <c r="C297" s="10"/>
      <c r="D297" s="10"/>
      <c r="E297" s="10"/>
      <c r="F297" s="10"/>
      <c r="G297" s="10"/>
      <c r="H297" s="10"/>
      <c r="I297" s="10"/>
      <c r="K297" s="10"/>
      <c r="L297" s="10"/>
      <c r="P297" t="str">
        <f t="shared" si="16"/>
        <v/>
      </c>
    </row>
    <row r="298" spans="1:16" x14ac:dyDescent="0.3">
      <c r="A298" s="10"/>
      <c r="B298" s="10"/>
      <c r="C298" s="10"/>
      <c r="D298" s="10"/>
      <c r="E298" s="10"/>
      <c r="F298" s="10"/>
      <c r="G298" s="10"/>
      <c r="H298" s="10"/>
      <c r="I298" s="10"/>
      <c r="K298" s="10"/>
      <c r="L298" s="10"/>
      <c r="P298" t="str">
        <f t="shared" si="16"/>
        <v/>
      </c>
    </row>
    <row r="299" spans="1:16" x14ac:dyDescent="0.3">
      <c r="A299" s="10"/>
      <c r="B299" s="10"/>
      <c r="C299" s="10"/>
      <c r="D299" s="10"/>
      <c r="E299" s="10"/>
      <c r="F299" s="10"/>
      <c r="G299" s="10"/>
      <c r="H299" s="10"/>
      <c r="I299" s="10"/>
      <c r="K299" s="10"/>
      <c r="L299" s="10"/>
      <c r="P299" t="str">
        <f t="shared" si="16"/>
        <v/>
      </c>
    </row>
    <row r="300" spans="1:16" x14ac:dyDescent="0.3">
      <c r="A300" s="10"/>
      <c r="B300" s="10"/>
      <c r="C300" s="10"/>
      <c r="D300" s="10"/>
      <c r="E300" s="10"/>
      <c r="F300" s="10"/>
      <c r="G300" s="10"/>
      <c r="H300" s="10"/>
      <c r="I300" s="10"/>
      <c r="K300" s="10"/>
      <c r="L300" s="10"/>
      <c r="P300" t="str">
        <f t="shared" si="16"/>
        <v/>
      </c>
    </row>
    <row r="301" spans="1:16" x14ac:dyDescent="0.3">
      <c r="A301" s="10"/>
      <c r="B301" s="10"/>
      <c r="C301" s="10"/>
      <c r="D301" s="10"/>
      <c r="E301" s="10"/>
      <c r="F301" s="10"/>
      <c r="G301" s="10"/>
      <c r="H301" s="10"/>
      <c r="I301" s="10"/>
      <c r="K301" s="10"/>
      <c r="L301" s="10"/>
      <c r="P301" t="str">
        <f t="shared" si="16"/>
        <v/>
      </c>
    </row>
    <row r="302" spans="1:16" x14ac:dyDescent="0.3">
      <c r="A302" s="10"/>
      <c r="B302" s="10"/>
      <c r="C302" s="10"/>
      <c r="D302" s="10"/>
      <c r="E302" s="10"/>
      <c r="F302" s="10"/>
      <c r="G302" s="10"/>
      <c r="H302" s="10"/>
      <c r="I302" s="10"/>
      <c r="K302" s="10"/>
      <c r="L302" s="10"/>
      <c r="P302" t="str">
        <f t="shared" si="16"/>
        <v/>
      </c>
    </row>
    <row r="303" spans="1:16" x14ac:dyDescent="0.3">
      <c r="A303" s="10"/>
      <c r="B303" s="10"/>
      <c r="C303" s="10"/>
      <c r="D303" s="10"/>
      <c r="E303" s="10"/>
      <c r="F303" s="10"/>
      <c r="G303" s="10"/>
      <c r="H303" s="10"/>
      <c r="I303" s="10"/>
      <c r="K303" s="10"/>
      <c r="L303" s="10"/>
      <c r="P303" t="str">
        <f t="shared" si="16"/>
        <v/>
      </c>
    </row>
    <row r="304" spans="1:16" x14ac:dyDescent="0.3">
      <c r="A304" s="10"/>
      <c r="B304" s="10"/>
      <c r="C304" s="10"/>
      <c r="D304" s="10"/>
      <c r="E304" s="10"/>
      <c r="F304" s="10"/>
      <c r="G304" s="10"/>
      <c r="H304" s="10"/>
      <c r="I304" s="10"/>
      <c r="K304" s="10"/>
      <c r="L304" s="10"/>
      <c r="P304" t="str">
        <f t="shared" si="16"/>
        <v/>
      </c>
    </row>
    <row r="305" spans="1:16" x14ac:dyDescent="0.3">
      <c r="A305" s="10"/>
      <c r="B305" s="10"/>
      <c r="C305" s="10"/>
      <c r="D305" s="10"/>
      <c r="E305" s="10"/>
      <c r="F305" s="10"/>
      <c r="G305" s="10"/>
      <c r="H305" s="10"/>
      <c r="I305" s="10"/>
      <c r="K305" s="10"/>
      <c r="L305" s="10"/>
      <c r="P305" t="str">
        <f t="shared" si="16"/>
        <v/>
      </c>
    </row>
    <row r="306" spans="1:16" x14ac:dyDescent="0.3">
      <c r="A306" s="10"/>
      <c r="B306" s="10"/>
      <c r="C306" s="10"/>
      <c r="D306" s="10"/>
      <c r="E306" s="10"/>
      <c r="F306" s="10"/>
      <c r="G306" s="10"/>
      <c r="H306" s="10"/>
      <c r="I306" s="10"/>
      <c r="K306" s="10"/>
      <c r="L306" s="10"/>
      <c r="P306" t="str">
        <f t="shared" si="16"/>
        <v/>
      </c>
    </row>
    <row r="307" spans="1:16" x14ac:dyDescent="0.3">
      <c r="A307" s="10"/>
      <c r="B307" s="10"/>
      <c r="C307" s="10"/>
      <c r="D307" s="10"/>
      <c r="E307" s="10"/>
      <c r="F307" s="10"/>
      <c r="G307" s="10"/>
      <c r="H307" s="10"/>
      <c r="I307" s="10"/>
      <c r="K307" s="10"/>
      <c r="L307" s="10"/>
      <c r="P307" t="str">
        <f t="shared" si="16"/>
        <v/>
      </c>
    </row>
    <row r="308" spans="1:16" x14ac:dyDescent="0.3">
      <c r="A308" s="10"/>
      <c r="B308" s="10"/>
      <c r="C308" s="10"/>
      <c r="D308" s="10"/>
      <c r="E308" s="10"/>
      <c r="F308" s="10"/>
      <c r="G308" s="10"/>
      <c r="H308" s="10"/>
      <c r="I308" s="10"/>
      <c r="K308" s="10"/>
      <c r="L308" s="10"/>
      <c r="P308" t="str">
        <f t="shared" si="16"/>
        <v/>
      </c>
    </row>
    <row r="309" spans="1:16" x14ac:dyDescent="0.3">
      <c r="A309" s="10"/>
      <c r="B309" s="10"/>
      <c r="C309" s="10"/>
      <c r="D309" s="10"/>
      <c r="E309" s="10"/>
      <c r="F309" s="10"/>
      <c r="G309" s="10"/>
      <c r="H309" s="10"/>
      <c r="I309" s="10"/>
      <c r="K309" s="10"/>
      <c r="L309" s="10"/>
      <c r="P309" t="str">
        <f t="shared" si="16"/>
        <v/>
      </c>
    </row>
    <row r="310" spans="1:16" x14ac:dyDescent="0.3">
      <c r="A310" s="10"/>
      <c r="B310" s="10"/>
      <c r="C310" s="10"/>
      <c r="D310" s="10"/>
      <c r="E310" s="10"/>
      <c r="F310" s="10"/>
      <c r="G310" s="10"/>
      <c r="H310" s="10"/>
      <c r="I310" s="10"/>
      <c r="K310" s="10"/>
      <c r="L310" s="10"/>
      <c r="P310" t="str">
        <f t="shared" si="16"/>
        <v/>
      </c>
    </row>
    <row r="311" spans="1:16" x14ac:dyDescent="0.3">
      <c r="A311" s="10"/>
      <c r="B311" s="10"/>
      <c r="C311" s="10"/>
      <c r="D311" s="10"/>
      <c r="E311" s="10"/>
      <c r="F311" s="10"/>
      <c r="G311" s="10"/>
      <c r="H311" s="10"/>
      <c r="I311" s="10"/>
      <c r="K311" s="10"/>
      <c r="L311" s="10"/>
      <c r="P311" t="str">
        <f t="shared" si="16"/>
        <v/>
      </c>
    </row>
    <row r="312" spans="1:16" x14ac:dyDescent="0.3">
      <c r="A312" s="10"/>
      <c r="B312" s="10"/>
      <c r="C312" s="10"/>
      <c r="D312" s="10"/>
      <c r="E312" s="10"/>
      <c r="F312" s="10"/>
      <c r="G312" s="10"/>
      <c r="H312" s="10"/>
      <c r="I312" s="10"/>
      <c r="K312" s="10"/>
      <c r="L312" s="10"/>
      <c r="P312" t="str">
        <f t="shared" si="16"/>
        <v/>
      </c>
    </row>
    <row r="313" spans="1:16" x14ac:dyDescent="0.3">
      <c r="A313" s="10"/>
      <c r="B313" s="10"/>
      <c r="C313" s="10"/>
      <c r="D313" s="10"/>
      <c r="E313" s="10"/>
      <c r="F313" s="10"/>
      <c r="G313" s="10"/>
      <c r="H313" s="10"/>
      <c r="I313" s="10"/>
      <c r="K313" s="10"/>
      <c r="L313" s="10"/>
      <c r="P313" t="str">
        <f t="shared" si="16"/>
        <v/>
      </c>
    </row>
    <row r="314" spans="1:16" x14ac:dyDescent="0.3">
      <c r="A314" s="10"/>
      <c r="B314" s="10"/>
      <c r="C314" s="10"/>
      <c r="D314" s="10"/>
      <c r="E314" s="10"/>
      <c r="F314" s="10"/>
      <c r="G314" s="10"/>
      <c r="H314" s="10"/>
      <c r="I314" s="10"/>
      <c r="K314" s="10"/>
      <c r="L314" s="10"/>
      <c r="P314" t="str">
        <f t="shared" si="16"/>
        <v/>
      </c>
    </row>
    <row r="315" spans="1:16" x14ac:dyDescent="0.3">
      <c r="A315" s="10"/>
      <c r="B315" s="10"/>
      <c r="C315" s="10"/>
      <c r="D315" s="10"/>
      <c r="E315" s="10"/>
      <c r="F315" s="10"/>
      <c r="G315" s="10"/>
      <c r="H315" s="10"/>
      <c r="I315" s="10"/>
      <c r="K315" s="10"/>
      <c r="L315" s="10"/>
      <c r="P315" t="str">
        <f t="shared" si="16"/>
        <v/>
      </c>
    </row>
    <row r="316" spans="1:16" x14ac:dyDescent="0.3">
      <c r="A316" s="10"/>
      <c r="B316" s="10"/>
      <c r="C316" s="10"/>
      <c r="D316" s="10"/>
      <c r="E316" s="10"/>
      <c r="F316" s="10"/>
      <c r="G316" s="10"/>
      <c r="H316" s="10"/>
      <c r="I316" s="10"/>
      <c r="K316" s="10"/>
      <c r="L316" s="10"/>
      <c r="P316" t="str">
        <f t="shared" si="16"/>
        <v/>
      </c>
    </row>
    <row r="317" spans="1:16" x14ac:dyDescent="0.3">
      <c r="A317" s="10"/>
      <c r="B317" s="10"/>
      <c r="C317" s="10"/>
      <c r="D317" s="10"/>
      <c r="E317" s="10"/>
      <c r="F317" s="10"/>
      <c r="G317" s="10"/>
      <c r="H317" s="10"/>
      <c r="I317" s="10"/>
      <c r="K317" s="10"/>
      <c r="L317" s="10"/>
      <c r="P317" t="str">
        <f t="shared" si="16"/>
        <v/>
      </c>
    </row>
    <row r="318" spans="1:16" x14ac:dyDescent="0.3">
      <c r="A318" s="10"/>
      <c r="B318" s="10"/>
      <c r="C318" s="10"/>
      <c r="D318" s="10"/>
      <c r="E318" s="10"/>
      <c r="F318" s="10"/>
      <c r="G318" s="10"/>
      <c r="H318" s="10"/>
      <c r="I318" s="10"/>
      <c r="K318" s="10"/>
      <c r="L318" s="10"/>
      <c r="P318" t="str">
        <f t="shared" si="16"/>
        <v/>
      </c>
    </row>
    <row r="319" spans="1:16" x14ac:dyDescent="0.3">
      <c r="A319" s="10"/>
      <c r="B319" s="10"/>
      <c r="C319" s="10"/>
      <c r="D319" s="10"/>
      <c r="E319" s="10"/>
      <c r="F319" s="10"/>
      <c r="G319" s="10"/>
      <c r="H319" s="10"/>
      <c r="I319" s="10"/>
      <c r="K319" s="10"/>
      <c r="L319" s="10"/>
      <c r="P319" t="str">
        <f t="shared" si="16"/>
        <v/>
      </c>
    </row>
    <row r="320" spans="1:16" x14ac:dyDescent="0.3">
      <c r="A320" s="10"/>
      <c r="B320" s="10"/>
      <c r="C320" s="10"/>
      <c r="D320" s="10"/>
      <c r="E320" s="10"/>
      <c r="F320" s="10"/>
      <c r="G320" s="10"/>
      <c r="H320" s="10"/>
      <c r="I320" s="10"/>
      <c r="K320" s="10"/>
      <c r="L320" s="10"/>
      <c r="P320" t="str">
        <f t="shared" si="16"/>
        <v/>
      </c>
    </row>
    <row r="321" spans="1:16" x14ac:dyDescent="0.3">
      <c r="A321" s="10"/>
      <c r="B321" s="10"/>
      <c r="C321" s="10"/>
      <c r="D321" s="10"/>
      <c r="E321" s="10"/>
      <c r="F321" s="10"/>
      <c r="G321" s="10"/>
      <c r="H321" s="10"/>
      <c r="I321" s="10"/>
      <c r="K321" s="10"/>
      <c r="L321" s="10"/>
      <c r="P321" t="str">
        <f t="shared" si="16"/>
        <v/>
      </c>
    </row>
    <row r="322" spans="1:16" x14ac:dyDescent="0.3">
      <c r="A322" s="10"/>
      <c r="B322" s="10"/>
      <c r="C322" s="10"/>
      <c r="D322" s="10"/>
      <c r="E322" s="10"/>
      <c r="F322" s="10"/>
      <c r="G322" s="10"/>
      <c r="H322" s="10"/>
      <c r="I322" s="10"/>
      <c r="K322" s="10"/>
      <c r="L322" s="10"/>
      <c r="P322" t="str">
        <f t="shared" si="16"/>
        <v/>
      </c>
    </row>
    <row r="323" spans="1:16" x14ac:dyDescent="0.3">
      <c r="A323" s="10"/>
      <c r="B323" s="10"/>
      <c r="C323" s="10"/>
      <c r="D323" s="10"/>
      <c r="E323" s="10"/>
      <c r="F323" s="10"/>
      <c r="G323" s="10"/>
      <c r="H323" s="10"/>
      <c r="I323" s="10"/>
      <c r="K323" s="10"/>
      <c r="L323" s="10"/>
      <c r="P323" t="str">
        <f t="shared" si="16"/>
        <v/>
      </c>
    </row>
    <row r="324" spans="1:16" x14ac:dyDescent="0.3">
      <c r="A324" s="10"/>
      <c r="B324" s="10"/>
      <c r="C324" s="10"/>
      <c r="D324" s="10"/>
      <c r="E324" s="10"/>
      <c r="F324" s="10"/>
      <c r="G324" s="10"/>
      <c r="H324" s="10"/>
      <c r="I324" s="10"/>
      <c r="K324" s="10"/>
      <c r="L324" s="10"/>
      <c r="P324" t="str">
        <f t="shared" ref="P324:P387" si="17">IF($J324="","",IF(ABS($J324)&lt;=2,"OK","FORA (|SDI|&gt;2)"))</f>
        <v/>
      </c>
    </row>
    <row r="325" spans="1:16" x14ac:dyDescent="0.3">
      <c r="A325" s="10"/>
      <c r="B325" s="10"/>
      <c r="C325" s="10"/>
      <c r="D325" s="10"/>
      <c r="E325" s="10"/>
      <c r="F325" s="10"/>
      <c r="G325" s="10"/>
      <c r="H325" s="10"/>
      <c r="I325" s="10"/>
      <c r="K325" s="10"/>
      <c r="L325" s="10"/>
      <c r="P325" t="str">
        <f t="shared" si="17"/>
        <v/>
      </c>
    </row>
    <row r="326" spans="1:16" x14ac:dyDescent="0.3">
      <c r="A326" s="10"/>
      <c r="B326" s="10"/>
      <c r="C326" s="10"/>
      <c r="D326" s="10"/>
      <c r="E326" s="10"/>
      <c r="F326" s="10"/>
      <c r="G326" s="10"/>
      <c r="H326" s="10"/>
      <c r="I326" s="10"/>
      <c r="K326" s="10"/>
      <c r="L326" s="10"/>
      <c r="P326" t="str">
        <f t="shared" si="17"/>
        <v/>
      </c>
    </row>
    <row r="327" spans="1:16" x14ac:dyDescent="0.3">
      <c r="A327" s="10"/>
      <c r="B327" s="10"/>
      <c r="C327" s="10"/>
      <c r="D327" s="10"/>
      <c r="E327" s="10"/>
      <c r="F327" s="10"/>
      <c r="G327" s="10"/>
      <c r="H327" s="10"/>
      <c r="I327" s="10"/>
      <c r="K327" s="10"/>
      <c r="L327" s="10"/>
      <c r="P327" t="str">
        <f t="shared" si="17"/>
        <v/>
      </c>
    </row>
    <row r="328" spans="1:16" x14ac:dyDescent="0.3">
      <c r="A328" s="10"/>
      <c r="B328" s="10"/>
      <c r="C328" s="10"/>
      <c r="D328" s="10"/>
      <c r="E328" s="10"/>
      <c r="F328" s="10"/>
      <c r="G328" s="10"/>
      <c r="H328" s="10"/>
      <c r="I328" s="10"/>
      <c r="K328" s="10"/>
      <c r="L328" s="10"/>
      <c r="P328" t="str">
        <f t="shared" si="17"/>
        <v/>
      </c>
    </row>
    <row r="329" spans="1:16" x14ac:dyDescent="0.3">
      <c r="A329" s="10"/>
      <c r="B329" s="10"/>
      <c r="C329" s="10"/>
      <c r="D329" s="10"/>
      <c r="E329" s="10"/>
      <c r="F329" s="10"/>
      <c r="G329" s="10"/>
      <c r="H329" s="10"/>
      <c r="I329" s="10"/>
      <c r="K329" s="10"/>
      <c r="L329" s="10"/>
      <c r="P329" t="str">
        <f t="shared" si="17"/>
        <v/>
      </c>
    </row>
    <row r="330" spans="1:16" x14ac:dyDescent="0.3">
      <c r="A330" s="10"/>
      <c r="B330" s="10"/>
      <c r="C330" s="10"/>
      <c r="D330" s="10"/>
      <c r="E330" s="10"/>
      <c r="F330" s="10"/>
      <c r="G330" s="10"/>
      <c r="H330" s="10"/>
      <c r="I330" s="10"/>
      <c r="K330" s="10"/>
      <c r="L330" s="10"/>
      <c r="P330" t="str">
        <f t="shared" si="17"/>
        <v/>
      </c>
    </row>
    <row r="331" spans="1:16" x14ac:dyDescent="0.3">
      <c r="A331" s="10"/>
      <c r="B331" s="10"/>
      <c r="C331" s="10"/>
      <c r="D331" s="10"/>
      <c r="E331" s="10"/>
      <c r="F331" s="10"/>
      <c r="G331" s="10"/>
      <c r="H331" s="10"/>
      <c r="I331" s="10"/>
      <c r="K331" s="10"/>
      <c r="L331" s="10"/>
      <c r="P331" t="str">
        <f t="shared" si="17"/>
        <v/>
      </c>
    </row>
    <row r="332" spans="1:16" x14ac:dyDescent="0.3">
      <c r="A332" s="10"/>
      <c r="B332" s="10"/>
      <c r="C332" s="10"/>
      <c r="D332" s="10"/>
      <c r="E332" s="10"/>
      <c r="F332" s="10"/>
      <c r="G332" s="10"/>
      <c r="H332" s="10"/>
      <c r="I332" s="10"/>
      <c r="K332" s="10"/>
      <c r="L332" s="10"/>
      <c r="P332" t="str">
        <f t="shared" si="17"/>
        <v/>
      </c>
    </row>
    <row r="333" spans="1:16" x14ac:dyDescent="0.3">
      <c r="A333" s="10"/>
      <c r="B333" s="10"/>
      <c r="C333" s="10"/>
      <c r="D333" s="10"/>
      <c r="E333" s="10"/>
      <c r="F333" s="10"/>
      <c r="G333" s="10"/>
      <c r="H333" s="10"/>
      <c r="I333" s="10"/>
      <c r="K333" s="10"/>
      <c r="L333" s="10"/>
      <c r="P333" t="str">
        <f t="shared" si="17"/>
        <v/>
      </c>
    </row>
    <row r="334" spans="1:16" x14ac:dyDescent="0.3">
      <c r="A334" s="10"/>
      <c r="B334" s="10"/>
      <c r="C334" s="10"/>
      <c r="D334" s="10"/>
      <c r="E334" s="10"/>
      <c r="F334" s="10"/>
      <c r="G334" s="10"/>
      <c r="H334" s="10"/>
      <c r="I334" s="10"/>
      <c r="K334" s="10"/>
      <c r="L334" s="10"/>
      <c r="P334" t="str">
        <f t="shared" si="17"/>
        <v/>
      </c>
    </row>
    <row r="335" spans="1:16" x14ac:dyDescent="0.3">
      <c r="A335" s="10"/>
      <c r="B335" s="10"/>
      <c r="C335" s="10"/>
      <c r="D335" s="10"/>
      <c r="E335" s="10"/>
      <c r="F335" s="10"/>
      <c r="G335" s="10"/>
      <c r="H335" s="10"/>
      <c r="I335" s="10"/>
      <c r="K335" s="10"/>
      <c r="L335" s="10"/>
      <c r="P335" t="str">
        <f t="shared" si="17"/>
        <v/>
      </c>
    </row>
    <row r="336" spans="1:16" x14ac:dyDescent="0.3">
      <c r="A336" s="10"/>
      <c r="B336" s="10"/>
      <c r="C336" s="10"/>
      <c r="D336" s="10"/>
      <c r="E336" s="10"/>
      <c r="F336" s="10"/>
      <c r="G336" s="10"/>
      <c r="H336" s="10"/>
      <c r="I336" s="10"/>
      <c r="K336" s="10"/>
      <c r="L336" s="10"/>
      <c r="P336" t="str">
        <f t="shared" si="17"/>
        <v/>
      </c>
    </row>
    <row r="337" spans="1:16" x14ac:dyDescent="0.3">
      <c r="A337" s="10"/>
      <c r="B337" s="10"/>
      <c r="C337" s="10"/>
      <c r="D337" s="10"/>
      <c r="E337" s="10"/>
      <c r="F337" s="10"/>
      <c r="G337" s="10"/>
      <c r="H337" s="10"/>
      <c r="I337" s="10"/>
      <c r="K337" s="10"/>
      <c r="L337" s="10"/>
      <c r="P337" t="str">
        <f t="shared" si="17"/>
        <v/>
      </c>
    </row>
    <row r="338" spans="1:16" x14ac:dyDescent="0.3">
      <c r="A338" s="10"/>
      <c r="B338" s="10"/>
      <c r="C338" s="10"/>
      <c r="D338" s="10"/>
      <c r="E338" s="10"/>
      <c r="F338" s="10"/>
      <c r="G338" s="10"/>
      <c r="H338" s="10"/>
      <c r="I338" s="10"/>
      <c r="K338" s="10"/>
      <c r="L338" s="10"/>
      <c r="P338" t="str">
        <f t="shared" si="17"/>
        <v/>
      </c>
    </row>
    <row r="339" spans="1:16" x14ac:dyDescent="0.3">
      <c r="A339" s="10"/>
      <c r="B339" s="10"/>
      <c r="C339" s="10"/>
      <c r="D339" s="10"/>
      <c r="E339" s="10"/>
      <c r="F339" s="10"/>
      <c r="G339" s="10"/>
      <c r="H339" s="10"/>
      <c r="I339" s="10"/>
      <c r="K339" s="10"/>
      <c r="L339" s="10"/>
      <c r="P339" t="str">
        <f t="shared" si="17"/>
        <v/>
      </c>
    </row>
    <row r="340" spans="1:16" x14ac:dyDescent="0.3">
      <c r="A340" s="10"/>
      <c r="B340" s="10"/>
      <c r="C340" s="10"/>
      <c r="D340" s="10"/>
      <c r="E340" s="10"/>
      <c r="F340" s="10"/>
      <c r="G340" s="10"/>
      <c r="H340" s="10"/>
      <c r="I340" s="10"/>
      <c r="K340" s="10"/>
      <c r="L340" s="10"/>
      <c r="P340" t="str">
        <f t="shared" si="17"/>
        <v/>
      </c>
    </row>
    <row r="341" spans="1:16" x14ac:dyDescent="0.3">
      <c r="A341" s="10"/>
      <c r="B341" s="10"/>
      <c r="C341" s="10"/>
      <c r="D341" s="10"/>
      <c r="E341" s="10"/>
      <c r="F341" s="10"/>
      <c r="G341" s="10"/>
      <c r="H341" s="10"/>
      <c r="I341" s="10"/>
      <c r="K341" s="10"/>
      <c r="L341" s="10"/>
      <c r="P341" t="str">
        <f t="shared" si="17"/>
        <v/>
      </c>
    </row>
    <row r="342" spans="1:16" x14ac:dyDescent="0.3">
      <c r="A342" s="10"/>
      <c r="B342" s="10"/>
      <c r="C342" s="10"/>
      <c r="D342" s="10"/>
      <c r="E342" s="10"/>
      <c r="F342" s="10"/>
      <c r="G342" s="10"/>
      <c r="H342" s="10"/>
      <c r="I342" s="10"/>
      <c r="K342" s="10"/>
      <c r="L342" s="10"/>
      <c r="P342" t="str">
        <f t="shared" si="17"/>
        <v/>
      </c>
    </row>
    <row r="343" spans="1:16" x14ac:dyDescent="0.3">
      <c r="A343" s="10"/>
      <c r="B343" s="10"/>
      <c r="C343" s="10"/>
      <c r="D343" s="10"/>
      <c r="E343" s="10"/>
      <c r="F343" s="10"/>
      <c r="G343" s="10"/>
      <c r="H343" s="10"/>
      <c r="I343" s="10"/>
      <c r="K343" s="10"/>
      <c r="L343" s="10"/>
      <c r="P343" t="str">
        <f t="shared" si="17"/>
        <v/>
      </c>
    </row>
    <row r="344" spans="1:16" x14ac:dyDescent="0.3">
      <c r="A344" s="10"/>
      <c r="B344" s="10"/>
      <c r="C344" s="10"/>
      <c r="D344" s="10"/>
      <c r="E344" s="10"/>
      <c r="F344" s="10"/>
      <c r="G344" s="10"/>
      <c r="H344" s="10"/>
      <c r="I344" s="10"/>
      <c r="K344" s="10"/>
      <c r="L344" s="10"/>
      <c r="P344" t="str">
        <f t="shared" si="17"/>
        <v/>
      </c>
    </row>
    <row r="345" spans="1:16" x14ac:dyDescent="0.3">
      <c r="A345" s="10"/>
      <c r="B345" s="10"/>
      <c r="C345" s="10"/>
      <c r="D345" s="10"/>
      <c r="E345" s="10"/>
      <c r="F345" s="10"/>
      <c r="G345" s="10"/>
      <c r="H345" s="10"/>
      <c r="I345" s="10"/>
      <c r="K345" s="10"/>
      <c r="L345" s="10"/>
      <c r="P345" t="str">
        <f t="shared" si="17"/>
        <v/>
      </c>
    </row>
    <row r="346" spans="1:16" x14ac:dyDescent="0.3">
      <c r="A346" s="10"/>
      <c r="B346" s="10"/>
      <c r="C346" s="10"/>
      <c r="D346" s="10"/>
      <c r="E346" s="10"/>
      <c r="F346" s="10"/>
      <c r="G346" s="10"/>
      <c r="H346" s="10"/>
      <c r="I346" s="10"/>
      <c r="K346" s="10"/>
      <c r="L346" s="10"/>
      <c r="P346" t="str">
        <f t="shared" si="17"/>
        <v/>
      </c>
    </row>
    <row r="347" spans="1:16" x14ac:dyDescent="0.3">
      <c r="A347" s="10"/>
      <c r="B347" s="10"/>
      <c r="C347" s="10"/>
      <c r="D347" s="10"/>
      <c r="E347" s="10"/>
      <c r="F347" s="10"/>
      <c r="G347" s="10"/>
      <c r="H347" s="10"/>
      <c r="I347" s="10"/>
      <c r="K347" s="10"/>
      <c r="L347" s="10"/>
      <c r="P347" t="str">
        <f t="shared" si="17"/>
        <v/>
      </c>
    </row>
    <row r="348" spans="1:16" x14ac:dyDescent="0.3">
      <c r="A348" s="10"/>
      <c r="B348" s="10"/>
      <c r="C348" s="10"/>
      <c r="D348" s="10"/>
      <c r="E348" s="10"/>
      <c r="F348" s="10"/>
      <c r="G348" s="10"/>
      <c r="H348" s="10"/>
      <c r="I348" s="10"/>
      <c r="K348" s="10"/>
      <c r="L348" s="10"/>
      <c r="P348" t="str">
        <f t="shared" si="17"/>
        <v/>
      </c>
    </row>
    <row r="349" spans="1:16" x14ac:dyDescent="0.3">
      <c r="A349" s="10"/>
      <c r="B349" s="10"/>
      <c r="C349" s="10"/>
      <c r="D349" s="10"/>
      <c r="E349" s="10"/>
      <c r="F349" s="10"/>
      <c r="G349" s="10"/>
      <c r="H349" s="10"/>
      <c r="I349" s="10"/>
      <c r="K349" s="10"/>
      <c r="L349" s="10"/>
      <c r="P349" t="str">
        <f t="shared" si="17"/>
        <v/>
      </c>
    </row>
    <row r="350" spans="1:16" x14ac:dyDescent="0.3">
      <c r="A350" s="10"/>
      <c r="B350" s="10"/>
      <c r="C350" s="10"/>
      <c r="D350" s="10"/>
      <c r="E350" s="10"/>
      <c r="F350" s="10"/>
      <c r="G350" s="10"/>
      <c r="H350" s="10"/>
      <c r="I350" s="10"/>
      <c r="K350" s="10"/>
      <c r="L350" s="10"/>
      <c r="P350" t="str">
        <f t="shared" si="17"/>
        <v/>
      </c>
    </row>
    <row r="351" spans="1:16" x14ac:dyDescent="0.3">
      <c r="A351" s="10"/>
      <c r="B351" s="10"/>
      <c r="C351" s="10"/>
      <c r="D351" s="10"/>
      <c r="E351" s="10"/>
      <c r="F351" s="10"/>
      <c r="G351" s="10"/>
      <c r="H351" s="10"/>
      <c r="I351" s="10"/>
      <c r="K351" s="10"/>
      <c r="L351" s="10"/>
      <c r="P351" t="str">
        <f t="shared" si="17"/>
        <v/>
      </c>
    </row>
    <row r="352" spans="1:16" x14ac:dyDescent="0.3">
      <c r="A352" s="10"/>
      <c r="B352" s="10"/>
      <c r="C352" s="10"/>
      <c r="D352" s="10"/>
      <c r="E352" s="10"/>
      <c r="F352" s="10"/>
      <c r="G352" s="10"/>
      <c r="H352" s="10"/>
      <c r="I352" s="10"/>
      <c r="K352" s="10"/>
      <c r="L352" s="10"/>
      <c r="P352" t="str">
        <f t="shared" si="17"/>
        <v/>
      </c>
    </row>
    <row r="353" spans="1:16" x14ac:dyDescent="0.3">
      <c r="A353" s="10"/>
      <c r="B353" s="10"/>
      <c r="C353" s="10"/>
      <c r="D353" s="10"/>
      <c r="E353" s="10"/>
      <c r="F353" s="10"/>
      <c r="G353" s="10"/>
      <c r="H353" s="10"/>
      <c r="I353" s="10"/>
      <c r="K353" s="10"/>
      <c r="L353" s="10"/>
      <c r="P353" t="str">
        <f t="shared" si="17"/>
        <v/>
      </c>
    </row>
    <row r="354" spans="1:16" x14ac:dyDescent="0.3">
      <c r="A354" s="10"/>
      <c r="B354" s="10"/>
      <c r="C354" s="10"/>
      <c r="D354" s="10"/>
      <c r="E354" s="10"/>
      <c r="F354" s="10"/>
      <c r="G354" s="10"/>
      <c r="H354" s="10"/>
      <c r="I354" s="10"/>
      <c r="K354" s="10"/>
      <c r="L354" s="10"/>
      <c r="P354" t="str">
        <f t="shared" si="17"/>
        <v/>
      </c>
    </row>
    <row r="355" spans="1:16" x14ac:dyDescent="0.3">
      <c r="A355" s="10"/>
      <c r="B355" s="10"/>
      <c r="C355" s="10"/>
      <c r="D355" s="10"/>
      <c r="E355" s="10"/>
      <c r="F355" s="10"/>
      <c r="G355" s="10"/>
      <c r="H355" s="10"/>
      <c r="I355" s="10"/>
      <c r="K355" s="10"/>
      <c r="L355" s="10"/>
      <c r="P355" t="str">
        <f t="shared" si="17"/>
        <v/>
      </c>
    </row>
    <row r="356" spans="1:16" x14ac:dyDescent="0.3">
      <c r="A356" s="10"/>
      <c r="B356" s="10"/>
      <c r="C356" s="10"/>
      <c r="D356" s="10"/>
      <c r="E356" s="10"/>
      <c r="F356" s="10"/>
      <c r="G356" s="10"/>
      <c r="H356" s="10"/>
      <c r="I356" s="10"/>
      <c r="K356" s="10"/>
      <c r="L356" s="10"/>
      <c r="P356" t="str">
        <f t="shared" si="17"/>
        <v/>
      </c>
    </row>
    <row r="357" spans="1:16" x14ac:dyDescent="0.3">
      <c r="A357" s="10"/>
      <c r="B357" s="10"/>
      <c r="C357" s="10"/>
      <c r="D357" s="10"/>
      <c r="E357" s="10"/>
      <c r="F357" s="10"/>
      <c r="G357" s="10"/>
      <c r="H357" s="10"/>
      <c r="I357" s="10"/>
      <c r="K357" s="10"/>
      <c r="L357" s="10"/>
      <c r="P357" t="str">
        <f t="shared" si="17"/>
        <v/>
      </c>
    </row>
    <row r="358" spans="1:16" x14ac:dyDescent="0.3">
      <c r="A358" s="10"/>
      <c r="B358" s="10"/>
      <c r="C358" s="10"/>
      <c r="D358" s="10"/>
      <c r="E358" s="10"/>
      <c r="F358" s="10"/>
      <c r="G358" s="10"/>
      <c r="H358" s="10"/>
      <c r="I358" s="10"/>
      <c r="K358" s="10"/>
      <c r="L358" s="10"/>
      <c r="P358" t="str">
        <f t="shared" si="17"/>
        <v/>
      </c>
    </row>
    <row r="359" spans="1:16" x14ac:dyDescent="0.3">
      <c r="A359" s="10"/>
      <c r="B359" s="10"/>
      <c r="C359" s="10"/>
      <c r="D359" s="10"/>
      <c r="E359" s="10"/>
      <c r="F359" s="10"/>
      <c r="G359" s="10"/>
      <c r="H359" s="10"/>
      <c r="I359" s="10"/>
      <c r="K359" s="10"/>
      <c r="L359" s="10"/>
      <c r="P359" t="str">
        <f t="shared" si="17"/>
        <v/>
      </c>
    </row>
    <row r="360" spans="1:16" x14ac:dyDescent="0.3">
      <c r="A360" s="10"/>
      <c r="B360" s="10"/>
      <c r="C360" s="10"/>
      <c r="D360" s="10"/>
      <c r="E360" s="10"/>
      <c r="F360" s="10"/>
      <c r="G360" s="10"/>
      <c r="H360" s="10"/>
      <c r="I360" s="10"/>
      <c r="K360" s="10"/>
      <c r="L360" s="10"/>
      <c r="P360" t="str">
        <f t="shared" si="17"/>
        <v/>
      </c>
    </row>
    <row r="361" spans="1:16" x14ac:dyDescent="0.3">
      <c r="A361" s="10"/>
      <c r="B361" s="10"/>
      <c r="C361" s="10"/>
      <c r="D361" s="10"/>
      <c r="E361" s="10"/>
      <c r="F361" s="10"/>
      <c r="G361" s="10"/>
      <c r="H361" s="10"/>
      <c r="I361" s="10"/>
      <c r="K361" s="10"/>
      <c r="L361" s="10"/>
      <c r="P361" t="str">
        <f t="shared" si="17"/>
        <v/>
      </c>
    </row>
    <row r="362" spans="1:16" x14ac:dyDescent="0.3">
      <c r="A362" s="10"/>
      <c r="B362" s="10"/>
      <c r="C362" s="10"/>
      <c r="D362" s="10"/>
      <c r="E362" s="10"/>
      <c r="F362" s="10"/>
      <c r="G362" s="10"/>
      <c r="H362" s="10"/>
      <c r="I362" s="10"/>
      <c r="K362" s="10"/>
      <c r="L362" s="10"/>
      <c r="P362" t="str">
        <f t="shared" si="17"/>
        <v/>
      </c>
    </row>
    <row r="363" spans="1:16" x14ac:dyDescent="0.3">
      <c r="A363" s="10"/>
      <c r="B363" s="10"/>
      <c r="C363" s="10"/>
      <c r="D363" s="10"/>
      <c r="E363" s="10"/>
      <c r="F363" s="10"/>
      <c r="G363" s="10"/>
      <c r="H363" s="10"/>
      <c r="I363" s="10"/>
      <c r="K363" s="10"/>
      <c r="L363" s="10"/>
      <c r="P363" t="str">
        <f t="shared" si="17"/>
        <v/>
      </c>
    </row>
    <row r="364" spans="1:16" x14ac:dyDescent="0.3">
      <c r="A364" s="10"/>
      <c r="B364" s="10"/>
      <c r="C364" s="10"/>
      <c r="D364" s="10"/>
      <c r="E364" s="10"/>
      <c r="F364" s="10"/>
      <c r="G364" s="10"/>
      <c r="H364" s="10"/>
      <c r="I364" s="10"/>
      <c r="K364" s="10"/>
      <c r="L364" s="10"/>
      <c r="P364" t="str">
        <f t="shared" si="17"/>
        <v/>
      </c>
    </row>
    <row r="365" spans="1:16" x14ac:dyDescent="0.3">
      <c r="A365" s="10"/>
      <c r="B365" s="10"/>
      <c r="C365" s="10"/>
      <c r="D365" s="10"/>
      <c r="E365" s="10"/>
      <c r="F365" s="10"/>
      <c r="G365" s="10"/>
      <c r="H365" s="10"/>
      <c r="I365" s="10"/>
      <c r="K365" s="10"/>
      <c r="L365" s="10"/>
      <c r="P365" t="str">
        <f t="shared" si="17"/>
        <v/>
      </c>
    </row>
    <row r="366" spans="1:16" x14ac:dyDescent="0.3">
      <c r="A366" s="10"/>
      <c r="B366" s="10"/>
      <c r="C366" s="10"/>
      <c r="D366" s="10"/>
      <c r="E366" s="10"/>
      <c r="F366" s="10"/>
      <c r="G366" s="10"/>
      <c r="H366" s="10"/>
      <c r="I366" s="10"/>
      <c r="K366" s="10"/>
      <c r="L366" s="10"/>
      <c r="P366" t="str">
        <f t="shared" si="17"/>
        <v/>
      </c>
    </row>
    <row r="367" spans="1:16" x14ac:dyDescent="0.3">
      <c r="A367" s="10"/>
      <c r="B367" s="10"/>
      <c r="C367" s="10"/>
      <c r="D367" s="10"/>
      <c r="E367" s="10"/>
      <c r="F367" s="10"/>
      <c r="G367" s="10"/>
      <c r="H367" s="10"/>
      <c r="I367" s="10"/>
      <c r="K367" s="10"/>
      <c r="L367" s="10"/>
      <c r="P367" t="str">
        <f t="shared" si="17"/>
        <v/>
      </c>
    </row>
    <row r="368" spans="1:16" x14ac:dyDescent="0.3">
      <c r="A368" s="10"/>
      <c r="B368" s="10"/>
      <c r="C368" s="10"/>
      <c r="D368" s="10"/>
      <c r="E368" s="10"/>
      <c r="F368" s="10"/>
      <c r="G368" s="10"/>
      <c r="H368" s="10"/>
      <c r="I368" s="10"/>
      <c r="K368" s="10"/>
      <c r="L368" s="10"/>
      <c r="P368" t="str">
        <f t="shared" si="17"/>
        <v/>
      </c>
    </row>
    <row r="369" spans="1:16" x14ac:dyDescent="0.3">
      <c r="A369" s="10"/>
      <c r="B369" s="10"/>
      <c r="C369" s="10"/>
      <c r="D369" s="10"/>
      <c r="E369" s="10"/>
      <c r="F369" s="10"/>
      <c r="G369" s="10"/>
      <c r="H369" s="10"/>
      <c r="I369" s="10"/>
      <c r="K369" s="10"/>
      <c r="L369" s="10"/>
      <c r="P369" t="str">
        <f t="shared" si="17"/>
        <v/>
      </c>
    </row>
    <row r="370" spans="1:16" x14ac:dyDescent="0.3">
      <c r="A370" s="10"/>
      <c r="B370" s="10"/>
      <c r="C370" s="10"/>
      <c r="D370" s="10"/>
      <c r="E370" s="10"/>
      <c r="F370" s="10"/>
      <c r="G370" s="10"/>
      <c r="H370" s="10"/>
      <c r="I370" s="10"/>
      <c r="K370" s="10"/>
      <c r="L370" s="10"/>
      <c r="P370" t="str">
        <f t="shared" si="17"/>
        <v/>
      </c>
    </row>
    <row r="371" spans="1:16" x14ac:dyDescent="0.3">
      <c r="A371" s="10"/>
      <c r="B371" s="10"/>
      <c r="C371" s="10"/>
      <c r="D371" s="10"/>
      <c r="E371" s="10"/>
      <c r="F371" s="10"/>
      <c r="G371" s="10"/>
      <c r="H371" s="10"/>
      <c r="I371" s="10"/>
      <c r="K371" s="10"/>
      <c r="L371" s="10"/>
      <c r="P371" t="str">
        <f t="shared" si="17"/>
        <v/>
      </c>
    </row>
    <row r="372" spans="1:16" x14ac:dyDescent="0.3">
      <c r="A372" s="10"/>
      <c r="B372" s="10"/>
      <c r="C372" s="10"/>
      <c r="D372" s="10"/>
      <c r="E372" s="10"/>
      <c r="F372" s="10"/>
      <c r="G372" s="10"/>
      <c r="H372" s="10"/>
      <c r="I372" s="10"/>
      <c r="K372" s="10"/>
      <c r="L372" s="10"/>
      <c r="P372" t="str">
        <f t="shared" si="17"/>
        <v/>
      </c>
    </row>
    <row r="373" spans="1:16" x14ac:dyDescent="0.3">
      <c r="A373" s="10"/>
      <c r="B373" s="10"/>
      <c r="C373" s="10"/>
      <c r="D373" s="10"/>
      <c r="E373" s="10"/>
      <c r="F373" s="10"/>
      <c r="G373" s="10"/>
      <c r="H373" s="10"/>
      <c r="I373" s="10"/>
      <c r="K373" s="10"/>
      <c r="L373" s="10"/>
      <c r="P373" t="str">
        <f t="shared" si="17"/>
        <v/>
      </c>
    </row>
    <row r="374" spans="1:16" x14ac:dyDescent="0.3">
      <c r="A374" s="10"/>
      <c r="B374" s="10"/>
      <c r="C374" s="10"/>
      <c r="D374" s="10"/>
      <c r="E374" s="10"/>
      <c r="F374" s="10"/>
      <c r="G374" s="10"/>
      <c r="H374" s="10"/>
      <c r="I374" s="10"/>
      <c r="K374" s="10"/>
      <c r="L374" s="10"/>
      <c r="P374" t="str">
        <f t="shared" si="17"/>
        <v/>
      </c>
    </row>
    <row r="375" spans="1:16" x14ac:dyDescent="0.3">
      <c r="A375" s="10"/>
      <c r="B375" s="10"/>
      <c r="C375" s="10"/>
      <c r="D375" s="10"/>
      <c r="E375" s="10"/>
      <c r="F375" s="10"/>
      <c r="G375" s="10"/>
      <c r="H375" s="10"/>
      <c r="I375" s="10"/>
      <c r="K375" s="10"/>
      <c r="L375" s="10"/>
      <c r="P375" t="str">
        <f t="shared" si="17"/>
        <v/>
      </c>
    </row>
    <row r="376" spans="1:16" x14ac:dyDescent="0.3">
      <c r="A376" s="10"/>
      <c r="B376" s="10"/>
      <c r="C376" s="10"/>
      <c r="D376" s="10"/>
      <c r="E376" s="10"/>
      <c r="F376" s="10"/>
      <c r="G376" s="10"/>
      <c r="H376" s="10"/>
      <c r="I376" s="10"/>
      <c r="K376" s="10"/>
      <c r="L376" s="10"/>
      <c r="P376" t="str">
        <f t="shared" si="17"/>
        <v/>
      </c>
    </row>
    <row r="377" spans="1:16" x14ac:dyDescent="0.3">
      <c r="A377" s="10"/>
      <c r="B377" s="10"/>
      <c r="C377" s="10"/>
      <c r="D377" s="10"/>
      <c r="E377" s="10"/>
      <c r="F377" s="10"/>
      <c r="G377" s="10"/>
      <c r="H377" s="10"/>
      <c r="I377" s="10"/>
      <c r="K377" s="10"/>
      <c r="L377" s="10"/>
      <c r="P377" t="str">
        <f t="shared" si="17"/>
        <v/>
      </c>
    </row>
    <row r="378" spans="1:16" x14ac:dyDescent="0.3">
      <c r="A378" s="10"/>
      <c r="B378" s="10"/>
      <c r="C378" s="10"/>
      <c r="D378" s="10"/>
      <c r="E378" s="10"/>
      <c r="F378" s="10"/>
      <c r="G378" s="10"/>
      <c r="H378" s="10"/>
      <c r="I378" s="10"/>
      <c r="K378" s="10"/>
      <c r="L378" s="10"/>
      <c r="P378" t="str">
        <f t="shared" si="17"/>
        <v/>
      </c>
    </row>
    <row r="379" spans="1:16" x14ac:dyDescent="0.3">
      <c r="A379" s="10"/>
      <c r="B379" s="10"/>
      <c r="C379" s="10"/>
      <c r="D379" s="10"/>
      <c r="E379" s="10"/>
      <c r="F379" s="10"/>
      <c r="G379" s="10"/>
      <c r="H379" s="10"/>
      <c r="I379" s="10"/>
      <c r="K379" s="10"/>
      <c r="L379" s="10"/>
      <c r="P379" t="str">
        <f t="shared" si="17"/>
        <v/>
      </c>
    </row>
    <row r="380" spans="1:16" x14ac:dyDescent="0.3">
      <c r="A380" s="10"/>
      <c r="B380" s="10"/>
      <c r="C380" s="10"/>
      <c r="D380" s="10"/>
      <c r="E380" s="10"/>
      <c r="F380" s="10"/>
      <c r="G380" s="10"/>
      <c r="H380" s="10"/>
      <c r="I380" s="10"/>
      <c r="K380" s="10"/>
      <c r="L380" s="10"/>
      <c r="P380" t="str">
        <f t="shared" si="17"/>
        <v/>
      </c>
    </row>
    <row r="381" spans="1:16" x14ac:dyDescent="0.3">
      <c r="A381" s="10"/>
      <c r="B381" s="10"/>
      <c r="C381" s="10"/>
      <c r="D381" s="10"/>
      <c r="E381" s="10"/>
      <c r="F381" s="10"/>
      <c r="G381" s="10"/>
      <c r="H381" s="10"/>
      <c r="I381" s="10"/>
      <c r="K381" s="10"/>
      <c r="L381" s="10"/>
      <c r="P381" t="str">
        <f t="shared" si="17"/>
        <v/>
      </c>
    </row>
    <row r="382" spans="1:16" x14ac:dyDescent="0.3">
      <c r="A382" s="10"/>
      <c r="B382" s="10"/>
      <c r="C382" s="10"/>
      <c r="D382" s="10"/>
      <c r="E382" s="10"/>
      <c r="F382" s="10"/>
      <c r="G382" s="10"/>
      <c r="H382" s="10"/>
      <c r="I382" s="10"/>
      <c r="K382" s="10"/>
      <c r="L382" s="10"/>
      <c r="P382" t="str">
        <f t="shared" si="17"/>
        <v/>
      </c>
    </row>
    <row r="383" spans="1:16" x14ac:dyDescent="0.3">
      <c r="A383" s="10"/>
      <c r="B383" s="10"/>
      <c r="C383" s="10"/>
      <c r="D383" s="10"/>
      <c r="E383" s="10"/>
      <c r="F383" s="10"/>
      <c r="G383" s="10"/>
      <c r="H383" s="10"/>
      <c r="I383" s="10"/>
      <c r="K383" s="10"/>
      <c r="L383" s="10"/>
      <c r="P383" t="str">
        <f t="shared" si="17"/>
        <v/>
      </c>
    </row>
    <row r="384" spans="1:16" x14ac:dyDescent="0.3">
      <c r="A384" s="10"/>
      <c r="B384" s="10"/>
      <c r="C384" s="10"/>
      <c r="D384" s="10"/>
      <c r="E384" s="10"/>
      <c r="F384" s="10"/>
      <c r="G384" s="10"/>
      <c r="H384" s="10"/>
      <c r="I384" s="10"/>
      <c r="K384" s="10"/>
      <c r="L384" s="10"/>
      <c r="P384" t="str">
        <f t="shared" si="17"/>
        <v/>
      </c>
    </row>
    <row r="385" spans="1:16" x14ac:dyDescent="0.3">
      <c r="A385" s="10"/>
      <c r="B385" s="10"/>
      <c r="C385" s="10"/>
      <c r="D385" s="10"/>
      <c r="E385" s="10"/>
      <c r="F385" s="10"/>
      <c r="G385" s="10"/>
      <c r="H385" s="10"/>
      <c r="I385" s="10"/>
      <c r="K385" s="10"/>
      <c r="L385" s="10"/>
      <c r="P385" t="str">
        <f t="shared" si="17"/>
        <v/>
      </c>
    </row>
    <row r="386" spans="1:16" x14ac:dyDescent="0.3">
      <c r="A386" s="10"/>
      <c r="B386" s="10"/>
      <c r="C386" s="10"/>
      <c r="D386" s="10"/>
      <c r="E386" s="10"/>
      <c r="F386" s="10"/>
      <c r="G386" s="10"/>
      <c r="H386" s="10"/>
      <c r="I386" s="10"/>
      <c r="K386" s="10"/>
      <c r="L386" s="10"/>
      <c r="P386" t="str">
        <f t="shared" si="17"/>
        <v/>
      </c>
    </row>
    <row r="387" spans="1:16" x14ac:dyDescent="0.3">
      <c r="A387" s="10"/>
      <c r="B387" s="10"/>
      <c r="C387" s="10"/>
      <c r="D387" s="10"/>
      <c r="E387" s="10"/>
      <c r="F387" s="10"/>
      <c r="G387" s="10"/>
      <c r="H387" s="10"/>
      <c r="I387" s="10"/>
      <c r="K387" s="10"/>
      <c r="L387" s="10"/>
      <c r="P387" t="str">
        <f t="shared" si="17"/>
        <v/>
      </c>
    </row>
    <row r="388" spans="1:16" x14ac:dyDescent="0.3">
      <c r="A388" s="10"/>
      <c r="B388" s="10"/>
      <c r="C388" s="10"/>
      <c r="D388" s="10"/>
      <c r="E388" s="10"/>
      <c r="F388" s="10"/>
      <c r="G388" s="10"/>
      <c r="H388" s="10"/>
      <c r="I388" s="10"/>
      <c r="K388" s="10"/>
      <c r="L388" s="10"/>
      <c r="P388" t="str">
        <f t="shared" ref="P388:P451" si="18">IF($J388="","",IF(ABS($J388)&lt;=2,"OK","FORA (|SDI|&gt;2)"))</f>
        <v/>
      </c>
    </row>
    <row r="389" spans="1:16" x14ac:dyDescent="0.3">
      <c r="A389" s="10"/>
      <c r="B389" s="10"/>
      <c r="C389" s="10"/>
      <c r="D389" s="10"/>
      <c r="E389" s="10"/>
      <c r="F389" s="10"/>
      <c r="G389" s="10"/>
      <c r="H389" s="10"/>
      <c r="I389" s="10"/>
      <c r="K389" s="10"/>
      <c r="L389" s="10"/>
      <c r="P389" t="str">
        <f t="shared" si="18"/>
        <v/>
      </c>
    </row>
    <row r="390" spans="1:16" x14ac:dyDescent="0.3">
      <c r="A390" s="10"/>
      <c r="B390" s="10"/>
      <c r="C390" s="10"/>
      <c r="D390" s="10"/>
      <c r="E390" s="10"/>
      <c r="F390" s="10"/>
      <c r="G390" s="10"/>
      <c r="H390" s="10"/>
      <c r="I390" s="10"/>
      <c r="K390" s="10"/>
      <c r="L390" s="10"/>
      <c r="P390" t="str">
        <f t="shared" si="18"/>
        <v/>
      </c>
    </row>
    <row r="391" spans="1:16" x14ac:dyDescent="0.3">
      <c r="A391" s="10"/>
      <c r="B391" s="10"/>
      <c r="C391" s="10"/>
      <c r="D391" s="10"/>
      <c r="E391" s="10"/>
      <c r="F391" s="10"/>
      <c r="G391" s="10"/>
      <c r="H391" s="10"/>
      <c r="I391" s="10"/>
      <c r="K391" s="10"/>
      <c r="L391" s="10"/>
      <c r="P391" t="str">
        <f t="shared" si="18"/>
        <v/>
      </c>
    </row>
    <row r="392" spans="1:16" x14ac:dyDescent="0.3">
      <c r="A392" s="10"/>
      <c r="B392" s="10"/>
      <c r="C392" s="10"/>
      <c r="D392" s="10"/>
      <c r="E392" s="10"/>
      <c r="F392" s="10"/>
      <c r="G392" s="10"/>
      <c r="H392" s="10"/>
      <c r="I392" s="10"/>
      <c r="K392" s="10"/>
      <c r="L392" s="10"/>
      <c r="P392" t="str">
        <f t="shared" si="18"/>
        <v/>
      </c>
    </row>
    <row r="393" spans="1:16" x14ac:dyDescent="0.3">
      <c r="A393" s="10"/>
      <c r="B393" s="10"/>
      <c r="C393" s="10"/>
      <c r="D393" s="10"/>
      <c r="E393" s="10"/>
      <c r="F393" s="10"/>
      <c r="G393" s="10"/>
      <c r="H393" s="10"/>
      <c r="I393" s="10"/>
      <c r="K393" s="10"/>
      <c r="L393" s="10"/>
      <c r="P393" t="str">
        <f t="shared" si="18"/>
        <v/>
      </c>
    </row>
    <row r="394" spans="1:16" x14ac:dyDescent="0.3">
      <c r="A394" s="10"/>
      <c r="B394" s="10"/>
      <c r="C394" s="10"/>
      <c r="D394" s="10"/>
      <c r="E394" s="10"/>
      <c r="F394" s="10"/>
      <c r="G394" s="10"/>
      <c r="H394" s="10"/>
      <c r="I394" s="10"/>
      <c r="K394" s="10"/>
      <c r="L394" s="10"/>
      <c r="P394" t="str">
        <f t="shared" si="18"/>
        <v/>
      </c>
    </row>
    <row r="395" spans="1:16" x14ac:dyDescent="0.3">
      <c r="A395" s="10"/>
      <c r="B395" s="10"/>
      <c r="C395" s="10"/>
      <c r="D395" s="10"/>
      <c r="E395" s="10"/>
      <c r="F395" s="10"/>
      <c r="G395" s="10"/>
      <c r="H395" s="10"/>
      <c r="I395" s="10"/>
      <c r="K395" s="10"/>
      <c r="L395" s="10"/>
      <c r="P395" t="str">
        <f t="shared" si="18"/>
        <v/>
      </c>
    </row>
    <row r="396" spans="1:16" x14ac:dyDescent="0.3">
      <c r="A396" s="10"/>
      <c r="B396" s="10"/>
      <c r="C396" s="10"/>
      <c r="D396" s="10"/>
      <c r="E396" s="10"/>
      <c r="F396" s="10"/>
      <c r="G396" s="10"/>
      <c r="H396" s="10"/>
      <c r="I396" s="10"/>
      <c r="K396" s="10"/>
      <c r="L396" s="10"/>
      <c r="P396" t="str">
        <f t="shared" si="18"/>
        <v/>
      </c>
    </row>
    <row r="397" spans="1:16" x14ac:dyDescent="0.3">
      <c r="A397" s="10"/>
      <c r="B397" s="10"/>
      <c r="C397" s="10"/>
      <c r="D397" s="10"/>
      <c r="E397" s="10"/>
      <c r="F397" s="10"/>
      <c r="G397" s="10"/>
      <c r="H397" s="10"/>
      <c r="I397" s="10"/>
      <c r="K397" s="10"/>
      <c r="L397" s="10"/>
      <c r="P397" t="str">
        <f t="shared" si="18"/>
        <v/>
      </c>
    </row>
    <row r="398" spans="1:16" x14ac:dyDescent="0.3">
      <c r="A398" s="10"/>
      <c r="B398" s="10"/>
      <c r="C398" s="10"/>
      <c r="D398" s="10"/>
      <c r="E398" s="10"/>
      <c r="F398" s="10"/>
      <c r="G398" s="10"/>
      <c r="H398" s="10"/>
      <c r="I398" s="10"/>
      <c r="K398" s="10"/>
      <c r="L398" s="10"/>
      <c r="P398" t="str">
        <f t="shared" si="18"/>
        <v/>
      </c>
    </row>
    <row r="399" spans="1:16" x14ac:dyDescent="0.3">
      <c r="A399" s="10"/>
      <c r="B399" s="10"/>
      <c r="C399" s="10"/>
      <c r="D399" s="10"/>
      <c r="E399" s="10"/>
      <c r="F399" s="10"/>
      <c r="G399" s="10"/>
      <c r="H399" s="10"/>
      <c r="I399" s="10"/>
      <c r="K399" s="10"/>
      <c r="L399" s="10"/>
      <c r="P399" t="str">
        <f t="shared" si="18"/>
        <v/>
      </c>
    </row>
    <row r="400" spans="1:16" x14ac:dyDescent="0.3">
      <c r="A400" s="10"/>
      <c r="B400" s="10"/>
      <c r="C400" s="10"/>
      <c r="D400" s="10"/>
      <c r="E400" s="10"/>
      <c r="F400" s="10"/>
      <c r="G400" s="10"/>
      <c r="H400" s="10"/>
      <c r="I400" s="10"/>
      <c r="K400" s="10"/>
      <c r="L400" s="10"/>
      <c r="P400" t="str">
        <f t="shared" si="18"/>
        <v/>
      </c>
    </row>
    <row r="401" spans="1:16" x14ac:dyDescent="0.3">
      <c r="A401" s="10"/>
      <c r="B401" s="10"/>
      <c r="C401" s="10"/>
      <c r="D401" s="10"/>
      <c r="E401" s="10"/>
      <c r="F401" s="10"/>
      <c r="G401" s="10"/>
      <c r="H401" s="10"/>
      <c r="I401" s="10"/>
      <c r="K401" s="10"/>
      <c r="L401" s="10"/>
      <c r="P401" t="str">
        <f t="shared" si="18"/>
        <v/>
      </c>
    </row>
    <row r="402" spans="1:16" x14ac:dyDescent="0.3">
      <c r="A402" s="10"/>
      <c r="B402" s="10"/>
      <c r="C402" s="10"/>
      <c r="D402" s="10"/>
      <c r="E402" s="10"/>
      <c r="F402" s="10"/>
      <c r="G402" s="10"/>
      <c r="H402" s="10"/>
      <c r="I402" s="10"/>
      <c r="K402" s="10"/>
      <c r="L402" s="10"/>
      <c r="P402" t="str">
        <f t="shared" si="18"/>
        <v/>
      </c>
    </row>
    <row r="403" spans="1:16" x14ac:dyDescent="0.3">
      <c r="A403" s="10"/>
      <c r="B403" s="10"/>
      <c r="C403" s="10"/>
      <c r="D403" s="10"/>
      <c r="E403" s="10"/>
      <c r="F403" s="10"/>
      <c r="G403" s="10"/>
      <c r="H403" s="10"/>
      <c r="I403" s="10"/>
      <c r="K403" s="10"/>
      <c r="L403" s="10"/>
      <c r="P403" t="str">
        <f t="shared" si="18"/>
        <v/>
      </c>
    </row>
    <row r="404" spans="1:16" x14ac:dyDescent="0.3">
      <c r="A404" s="10"/>
      <c r="B404" s="10"/>
      <c r="C404" s="10"/>
      <c r="D404" s="10"/>
      <c r="E404" s="10"/>
      <c r="F404" s="10"/>
      <c r="G404" s="10"/>
      <c r="H404" s="10"/>
      <c r="I404" s="10"/>
      <c r="K404" s="10"/>
      <c r="L404" s="10"/>
      <c r="P404" t="str">
        <f t="shared" si="18"/>
        <v/>
      </c>
    </row>
    <row r="405" spans="1:16" x14ac:dyDescent="0.3">
      <c r="A405" s="10"/>
      <c r="B405" s="10"/>
      <c r="C405" s="10"/>
      <c r="D405" s="10"/>
      <c r="E405" s="10"/>
      <c r="F405" s="10"/>
      <c r="G405" s="10"/>
      <c r="H405" s="10"/>
      <c r="I405" s="10"/>
      <c r="K405" s="10"/>
      <c r="L405" s="10"/>
      <c r="P405" t="str">
        <f t="shared" si="18"/>
        <v/>
      </c>
    </row>
    <row r="406" spans="1:16" x14ac:dyDescent="0.3">
      <c r="A406" s="10"/>
      <c r="B406" s="10"/>
      <c r="C406" s="10"/>
      <c r="D406" s="10"/>
      <c r="E406" s="10"/>
      <c r="F406" s="10"/>
      <c r="G406" s="10"/>
      <c r="H406" s="10"/>
      <c r="I406" s="10"/>
      <c r="K406" s="10"/>
      <c r="L406" s="10"/>
      <c r="P406" t="str">
        <f t="shared" si="18"/>
        <v/>
      </c>
    </row>
    <row r="407" spans="1:16" x14ac:dyDescent="0.3">
      <c r="A407" s="10"/>
      <c r="B407" s="10"/>
      <c r="C407" s="10"/>
      <c r="D407" s="10"/>
      <c r="E407" s="10"/>
      <c r="F407" s="10"/>
      <c r="G407" s="10"/>
      <c r="H407" s="10"/>
      <c r="I407" s="10"/>
      <c r="K407" s="10"/>
      <c r="L407" s="10"/>
      <c r="P407" t="str">
        <f t="shared" si="18"/>
        <v/>
      </c>
    </row>
    <row r="408" spans="1:16" x14ac:dyDescent="0.3">
      <c r="A408" s="10"/>
      <c r="B408" s="10"/>
      <c r="C408" s="10"/>
      <c r="D408" s="10"/>
      <c r="E408" s="10"/>
      <c r="F408" s="10"/>
      <c r="G408" s="10"/>
      <c r="H408" s="10"/>
      <c r="I408" s="10"/>
      <c r="K408" s="10"/>
      <c r="L408" s="10"/>
      <c r="P408" t="str">
        <f t="shared" si="18"/>
        <v/>
      </c>
    </row>
    <row r="409" spans="1:16" x14ac:dyDescent="0.3">
      <c r="A409" s="10"/>
      <c r="B409" s="10"/>
      <c r="C409" s="10"/>
      <c r="D409" s="10"/>
      <c r="E409" s="10"/>
      <c r="F409" s="10"/>
      <c r="G409" s="10"/>
      <c r="H409" s="10"/>
      <c r="I409" s="10"/>
      <c r="K409" s="10"/>
      <c r="L409" s="10"/>
      <c r="P409" t="str">
        <f t="shared" si="18"/>
        <v/>
      </c>
    </row>
    <row r="410" spans="1:16" x14ac:dyDescent="0.3">
      <c r="A410" s="10"/>
      <c r="B410" s="10"/>
      <c r="C410" s="10"/>
      <c r="D410" s="10"/>
      <c r="E410" s="10"/>
      <c r="F410" s="10"/>
      <c r="G410" s="10"/>
      <c r="H410" s="10"/>
      <c r="I410" s="10"/>
      <c r="K410" s="10"/>
      <c r="L410" s="10"/>
      <c r="P410" t="str">
        <f t="shared" si="18"/>
        <v/>
      </c>
    </row>
    <row r="411" spans="1:16" x14ac:dyDescent="0.3">
      <c r="A411" s="10"/>
      <c r="B411" s="10"/>
      <c r="C411" s="10"/>
      <c r="D411" s="10"/>
      <c r="E411" s="10"/>
      <c r="F411" s="10"/>
      <c r="G411" s="10"/>
      <c r="H411" s="10"/>
      <c r="I411" s="10"/>
      <c r="K411" s="10"/>
      <c r="L411" s="10"/>
      <c r="P411" t="str">
        <f t="shared" si="18"/>
        <v/>
      </c>
    </row>
    <row r="412" spans="1:16" x14ac:dyDescent="0.3">
      <c r="A412" s="10"/>
      <c r="B412" s="10"/>
      <c r="C412" s="10"/>
      <c r="D412" s="10"/>
      <c r="E412" s="10"/>
      <c r="F412" s="10"/>
      <c r="G412" s="10"/>
      <c r="H412" s="10"/>
      <c r="I412" s="10"/>
      <c r="K412" s="10"/>
      <c r="L412" s="10"/>
      <c r="P412" t="str">
        <f t="shared" si="18"/>
        <v/>
      </c>
    </row>
    <row r="413" spans="1:16" x14ac:dyDescent="0.3">
      <c r="A413" s="10"/>
      <c r="B413" s="10"/>
      <c r="C413" s="10"/>
      <c r="D413" s="10"/>
      <c r="E413" s="10"/>
      <c r="F413" s="10"/>
      <c r="G413" s="10"/>
      <c r="H413" s="10"/>
      <c r="I413" s="10"/>
      <c r="K413" s="10"/>
      <c r="L413" s="10"/>
      <c r="P413" t="str">
        <f t="shared" si="18"/>
        <v/>
      </c>
    </row>
    <row r="414" spans="1:16" x14ac:dyDescent="0.3">
      <c r="A414" s="10"/>
      <c r="B414" s="10"/>
      <c r="C414" s="10"/>
      <c r="D414" s="10"/>
      <c r="E414" s="10"/>
      <c r="F414" s="10"/>
      <c r="G414" s="10"/>
      <c r="H414" s="10"/>
      <c r="I414" s="10"/>
      <c r="K414" s="10"/>
      <c r="L414" s="10"/>
      <c r="P414" t="str">
        <f t="shared" si="18"/>
        <v/>
      </c>
    </row>
    <row r="415" spans="1:16" x14ac:dyDescent="0.3">
      <c r="A415" s="10"/>
      <c r="B415" s="10"/>
      <c r="C415" s="10"/>
      <c r="D415" s="10"/>
      <c r="E415" s="10"/>
      <c r="F415" s="10"/>
      <c r="G415" s="10"/>
      <c r="H415" s="10"/>
      <c r="I415" s="10"/>
      <c r="K415" s="10"/>
      <c r="L415" s="10"/>
      <c r="P415" t="str">
        <f t="shared" si="18"/>
        <v/>
      </c>
    </row>
    <row r="416" spans="1:16" x14ac:dyDescent="0.3">
      <c r="A416" s="10"/>
      <c r="B416" s="10"/>
      <c r="C416" s="10"/>
      <c r="D416" s="10"/>
      <c r="E416" s="10"/>
      <c r="F416" s="10"/>
      <c r="G416" s="10"/>
      <c r="H416" s="10"/>
      <c r="I416" s="10"/>
      <c r="K416" s="10"/>
      <c r="L416" s="10"/>
      <c r="P416" t="str">
        <f t="shared" si="18"/>
        <v/>
      </c>
    </row>
    <row r="417" spans="1:16" x14ac:dyDescent="0.3">
      <c r="A417" s="10"/>
      <c r="B417" s="10"/>
      <c r="C417" s="10"/>
      <c r="D417" s="10"/>
      <c r="E417" s="10"/>
      <c r="F417" s="10"/>
      <c r="G417" s="10"/>
      <c r="H417" s="10"/>
      <c r="I417" s="10"/>
      <c r="K417" s="10"/>
      <c r="L417" s="10"/>
      <c r="P417" t="str">
        <f t="shared" si="18"/>
        <v/>
      </c>
    </row>
    <row r="418" spans="1:16" x14ac:dyDescent="0.3">
      <c r="A418" s="10"/>
      <c r="B418" s="10"/>
      <c r="C418" s="10"/>
      <c r="D418" s="10"/>
      <c r="E418" s="10"/>
      <c r="F418" s="10"/>
      <c r="G418" s="10"/>
      <c r="H418" s="10"/>
      <c r="I418" s="10"/>
      <c r="K418" s="10"/>
      <c r="L418" s="10"/>
      <c r="P418" t="str">
        <f t="shared" si="18"/>
        <v/>
      </c>
    </row>
    <row r="419" spans="1:16" x14ac:dyDescent="0.3">
      <c r="A419" s="10"/>
      <c r="B419" s="10"/>
      <c r="C419" s="10"/>
      <c r="D419" s="10"/>
      <c r="E419" s="10"/>
      <c r="F419" s="10"/>
      <c r="G419" s="10"/>
      <c r="H419" s="10"/>
      <c r="I419" s="10"/>
      <c r="K419" s="10"/>
      <c r="L419" s="10"/>
      <c r="P419" t="str">
        <f t="shared" si="18"/>
        <v/>
      </c>
    </row>
    <row r="420" spans="1:16" x14ac:dyDescent="0.3">
      <c r="A420" s="10"/>
      <c r="B420" s="10"/>
      <c r="C420" s="10"/>
      <c r="D420" s="10"/>
      <c r="E420" s="10"/>
      <c r="F420" s="10"/>
      <c r="G420" s="10"/>
      <c r="H420" s="10"/>
      <c r="I420" s="10"/>
      <c r="K420" s="10"/>
      <c r="L420" s="10"/>
      <c r="P420" t="str">
        <f t="shared" si="18"/>
        <v/>
      </c>
    </row>
    <row r="421" spans="1:16" x14ac:dyDescent="0.3">
      <c r="A421" s="10"/>
      <c r="B421" s="10"/>
      <c r="C421" s="10"/>
      <c r="D421" s="10"/>
      <c r="E421" s="10"/>
      <c r="F421" s="10"/>
      <c r="G421" s="10"/>
      <c r="H421" s="10"/>
      <c r="I421" s="10"/>
      <c r="K421" s="10"/>
      <c r="L421" s="10"/>
      <c r="P421" t="str">
        <f t="shared" si="18"/>
        <v/>
      </c>
    </row>
    <row r="422" spans="1:16" x14ac:dyDescent="0.3">
      <c r="A422" s="10"/>
      <c r="B422" s="10"/>
      <c r="C422" s="10"/>
      <c r="D422" s="10"/>
      <c r="E422" s="10"/>
      <c r="F422" s="10"/>
      <c r="G422" s="10"/>
      <c r="H422" s="10"/>
      <c r="I422" s="10"/>
      <c r="K422" s="10"/>
      <c r="L422" s="10"/>
      <c r="P422" t="str">
        <f t="shared" si="18"/>
        <v/>
      </c>
    </row>
    <row r="423" spans="1:16" x14ac:dyDescent="0.3">
      <c r="A423" s="10"/>
      <c r="B423" s="10"/>
      <c r="C423" s="10"/>
      <c r="D423" s="10"/>
      <c r="E423" s="10"/>
      <c r="F423" s="10"/>
      <c r="G423" s="10"/>
      <c r="H423" s="10"/>
      <c r="I423" s="10"/>
      <c r="K423" s="10"/>
      <c r="L423" s="10"/>
      <c r="P423" t="str">
        <f t="shared" si="18"/>
        <v/>
      </c>
    </row>
    <row r="424" spans="1:16" x14ac:dyDescent="0.3">
      <c r="A424" s="10"/>
      <c r="B424" s="10"/>
      <c r="C424" s="10"/>
      <c r="D424" s="10"/>
      <c r="E424" s="10"/>
      <c r="F424" s="10"/>
      <c r="G424" s="10"/>
      <c r="H424" s="10"/>
      <c r="I424" s="10"/>
      <c r="K424" s="10"/>
      <c r="L424" s="10"/>
      <c r="P424" t="str">
        <f t="shared" si="18"/>
        <v/>
      </c>
    </row>
    <row r="425" spans="1:16" x14ac:dyDescent="0.3">
      <c r="A425" s="10"/>
      <c r="B425" s="10"/>
      <c r="C425" s="10"/>
      <c r="D425" s="10"/>
      <c r="E425" s="10"/>
      <c r="F425" s="10"/>
      <c r="G425" s="10"/>
      <c r="H425" s="10"/>
      <c r="I425" s="10"/>
      <c r="K425" s="10"/>
      <c r="L425" s="10"/>
      <c r="P425" t="str">
        <f t="shared" si="18"/>
        <v/>
      </c>
    </row>
    <row r="426" spans="1:16" x14ac:dyDescent="0.3">
      <c r="A426" s="10"/>
      <c r="B426" s="10"/>
      <c r="C426" s="10"/>
      <c r="D426" s="10"/>
      <c r="E426" s="10"/>
      <c r="F426" s="10"/>
      <c r="G426" s="10"/>
      <c r="H426" s="10"/>
      <c r="I426" s="10"/>
      <c r="K426" s="10"/>
      <c r="L426" s="10"/>
      <c r="P426" t="str">
        <f t="shared" si="18"/>
        <v/>
      </c>
    </row>
    <row r="427" spans="1:16" x14ac:dyDescent="0.3">
      <c r="A427" s="10"/>
      <c r="B427" s="10"/>
      <c r="C427" s="10"/>
      <c r="D427" s="10"/>
      <c r="E427" s="10"/>
      <c r="F427" s="10"/>
      <c r="G427" s="10"/>
      <c r="H427" s="10"/>
      <c r="I427" s="10"/>
      <c r="K427" s="10"/>
      <c r="L427" s="10"/>
      <c r="P427" t="str">
        <f t="shared" si="18"/>
        <v/>
      </c>
    </row>
    <row r="428" spans="1:16" x14ac:dyDescent="0.3">
      <c r="A428" s="10"/>
      <c r="B428" s="10"/>
      <c r="C428" s="10"/>
      <c r="D428" s="10"/>
      <c r="E428" s="10"/>
      <c r="F428" s="10"/>
      <c r="G428" s="10"/>
      <c r="H428" s="10"/>
      <c r="I428" s="10"/>
      <c r="K428" s="10"/>
      <c r="L428" s="10"/>
      <c r="P428" t="str">
        <f t="shared" si="18"/>
        <v/>
      </c>
    </row>
    <row r="429" spans="1:16" x14ac:dyDescent="0.3">
      <c r="A429" s="10"/>
      <c r="B429" s="10"/>
      <c r="C429" s="10"/>
      <c r="D429" s="10"/>
      <c r="E429" s="10"/>
      <c r="F429" s="10"/>
      <c r="G429" s="10"/>
      <c r="H429" s="10"/>
      <c r="I429" s="10"/>
      <c r="K429" s="10"/>
      <c r="L429" s="10"/>
      <c r="P429" t="str">
        <f t="shared" si="18"/>
        <v/>
      </c>
    </row>
    <row r="430" spans="1:16" x14ac:dyDescent="0.3">
      <c r="A430" s="10"/>
      <c r="B430" s="10"/>
      <c r="C430" s="10"/>
      <c r="D430" s="10"/>
      <c r="E430" s="10"/>
      <c r="F430" s="10"/>
      <c r="G430" s="10"/>
      <c r="H430" s="10"/>
      <c r="I430" s="10"/>
      <c r="K430" s="10"/>
      <c r="L430" s="10"/>
      <c r="P430" t="str">
        <f t="shared" si="18"/>
        <v/>
      </c>
    </row>
    <row r="431" spans="1:16" x14ac:dyDescent="0.3">
      <c r="A431" s="10"/>
      <c r="B431" s="10"/>
      <c r="C431" s="10"/>
      <c r="D431" s="10"/>
      <c r="E431" s="10"/>
      <c r="F431" s="10"/>
      <c r="G431" s="10"/>
      <c r="H431" s="10"/>
      <c r="I431" s="10"/>
      <c r="K431" s="10"/>
      <c r="L431" s="10"/>
      <c r="P431" t="str">
        <f t="shared" si="18"/>
        <v/>
      </c>
    </row>
    <row r="432" spans="1:16" x14ac:dyDescent="0.3">
      <c r="A432" s="10"/>
      <c r="B432" s="10"/>
      <c r="C432" s="10"/>
      <c r="D432" s="10"/>
      <c r="E432" s="10"/>
      <c r="F432" s="10"/>
      <c r="G432" s="10"/>
      <c r="H432" s="10"/>
      <c r="I432" s="10"/>
      <c r="K432" s="10"/>
      <c r="L432" s="10"/>
      <c r="P432" t="str">
        <f t="shared" si="18"/>
        <v/>
      </c>
    </row>
    <row r="433" spans="1:16" x14ac:dyDescent="0.3">
      <c r="A433" s="10"/>
      <c r="B433" s="10"/>
      <c r="C433" s="10"/>
      <c r="D433" s="10"/>
      <c r="E433" s="10"/>
      <c r="F433" s="10"/>
      <c r="G433" s="10"/>
      <c r="H433" s="10"/>
      <c r="I433" s="10"/>
      <c r="K433" s="10"/>
      <c r="L433" s="10"/>
      <c r="P433" t="str">
        <f t="shared" si="18"/>
        <v/>
      </c>
    </row>
    <row r="434" spans="1:16" x14ac:dyDescent="0.3">
      <c r="A434" s="10"/>
      <c r="B434" s="10"/>
      <c r="C434" s="10"/>
      <c r="D434" s="10"/>
      <c r="E434" s="10"/>
      <c r="F434" s="10"/>
      <c r="G434" s="10"/>
      <c r="H434" s="10"/>
      <c r="I434" s="10"/>
      <c r="K434" s="10"/>
      <c r="L434" s="10"/>
      <c r="P434" t="str">
        <f t="shared" si="18"/>
        <v/>
      </c>
    </row>
    <row r="435" spans="1:16" x14ac:dyDescent="0.3">
      <c r="A435" s="10"/>
      <c r="B435" s="10"/>
      <c r="C435" s="10"/>
      <c r="D435" s="10"/>
      <c r="E435" s="10"/>
      <c r="F435" s="10"/>
      <c r="G435" s="10"/>
      <c r="H435" s="10"/>
      <c r="I435" s="10"/>
      <c r="K435" s="10"/>
      <c r="L435" s="10"/>
      <c r="P435" t="str">
        <f t="shared" si="18"/>
        <v/>
      </c>
    </row>
    <row r="436" spans="1:16" x14ac:dyDescent="0.3">
      <c r="A436" s="10"/>
      <c r="B436" s="10"/>
      <c r="C436" s="10"/>
      <c r="D436" s="10"/>
      <c r="E436" s="10"/>
      <c r="F436" s="10"/>
      <c r="G436" s="10"/>
      <c r="H436" s="10"/>
      <c r="I436" s="10"/>
      <c r="K436" s="10"/>
      <c r="L436" s="10"/>
      <c r="P436" t="str">
        <f t="shared" si="18"/>
        <v/>
      </c>
    </row>
    <row r="437" spans="1:16" x14ac:dyDescent="0.3">
      <c r="A437" s="10"/>
      <c r="B437" s="10"/>
      <c r="C437" s="10"/>
      <c r="D437" s="10"/>
      <c r="E437" s="10"/>
      <c r="F437" s="10"/>
      <c r="G437" s="10"/>
      <c r="H437" s="10"/>
      <c r="I437" s="10"/>
      <c r="K437" s="10"/>
      <c r="L437" s="10"/>
      <c r="P437" t="str">
        <f t="shared" si="18"/>
        <v/>
      </c>
    </row>
    <row r="438" spans="1:16" x14ac:dyDescent="0.3">
      <c r="A438" s="10"/>
      <c r="B438" s="10"/>
      <c r="C438" s="10"/>
      <c r="D438" s="10"/>
      <c r="E438" s="10"/>
      <c r="F438" s="10"/>
      <c r="G438" s="10"/>
      <c r="H438" s="10"/>
      <c r="I438" s="10"/>
      <c r="K438" s="10"/>
      <c r="L438" s="10"/>
      <c r="P438" t="str">
        <f t="shared" si="18"/>
        <v/>
      </c>
    </row>
    <row r="439" spans="1:16" x14ac:dyDescent="0.3">
      <c r="A439" s="10"/>
      <c r="B439" s="10"/>
      <c r="C439" s="10"/>
      <c r="D439" s="10"/>
      <c r="E439" s="10"/>
      <c r="F439" s="10"/>
      <c r="G439" s="10"/>
      <c r="H439" s="10"/>
      <c r="I439" s="10"/>
      <c r="K439" s="10"/>
      <c r="L439" s="10"/>
      <c r="P439" t="str">
        <f t="shared" si="18"/>
        <v/>
      </c>
    </row>
    <row r="440" spans="1:16" x14ac:dyDescent="0.3">
      <c r="A440" s="10"/>
      <c r="B440" s="10"/>
      <c r="C440" s="10"/>
      <c r="D440" s="10"/>
      <c r="E440" s="10"/>
      <c r="F440" s="10"/>
      <c r="G440" s="10"/>
      <c r="H440" s="10"/>
      <c r="I440" s="10"/>
      <c r="K440" s="10"/>
      <c r="L440" s="10"/>
      <c r="P440" t="str">
        <f t="shared" si="18"/>
        <v/>
      </c>
    </row>
    <row r="441" spans="1:16" x14ac:dyDescent="0.3">
      <c r="A441" s="10"/>
      <c r="B441" s="10"/>
      <c r="C441" s="10"/>
      <c r="D441" s="10"/>
      <c r="E441" s="10"/>
      <c r="F441" s="10"/>
      <c r="G441" s="10"/>
      <c r="H441" s="10"/>
      <c r="I441" s="10"/>
      <c r="K441" s="10"/>
      <c r="L441" s="10"/>
      <c r="P441" t="str">
        <f t="shared" si="18"/>
        <v/>
      </c>
    </row>
    <row r="442" spans="1:16" x14ac:dyDescent="0.3">
      <c r="A442" s="10"/>
      <c r="B442" s="10"/>
      <c r="C442" s="10"/>
      <c r="D442" s="10"/>
      <c r="E442" s="10"/>
      <c r="F442" s="10"/>
      <c r="G442" s="10"/>
      <c r="H442" s="10"/>
      <c r="I442" s="10"/>
      <c r="K442" s="10"/>
      <c r="L442" s="10"/>
      <c r="P442" t="str">
        <f t="shared" si="18"/>
        <v/>
      </c>
    </row>
    <row r="443" spans="1:16" x14ac:dyDescent="0.3">
      <c r="A443" s="10"/>
      <c r="B443" s="10"/>
      <c r="C443" s="10"/>
      <c r="D443" s="10"/>
      <c r="E443" s="10"/>
      <c r="F443" s="10"/>
      <c r="G443" s="10"/>
      <c r="H443" s="10"/>
      <c r="I443" s="10"/>
      <c r="K443" s="10"/>
      <c r="L443" s="10"/>
      <c r="P443" t="str">
        <f t="shared" si="18"/>
        <v/>
      </c>
    </row>
    <row r="444" spans="1:16" x14ac:dyDescent="0.3">
      <c r="A444" s="10"/>
      <c r="B444" s="10"/>
      <c r="C444" s="10"/>
      <c r="D444" s="10"/>
      <c r="E444" s="10"/>
      <c r="F444" s="10"/>
      <c r="G444" s="10"/>
      <c r="H444" s="10"/>
      <c r="I444" s="10"/>
      <c r="K444" s="10"/>
      <c r="L444" s="10"/>
      <c r="P444" t="str">
        <f t="shared" si="18"/>
        <v/>
      </c>
    </row>
    <row r="445" spans="1:16" x14ac:dyDescent="0.3">
      <c r="A445" s="10"/>
      <c r="B445" s="10"/>
      <c r="C445" s="10"/>
      <c r="D445" s="10"/>
      <c r="E445" s="10"/>
      <c r="F445" s="10"/>
      <c r="G445" s="10"/>
      <c r="H445" s="10"/>
      <c r="I445" s="10"/>
      <c r="K445" s="10"/>
      <c r="L445" s="10"/>
      <c r="P445" t="str">
        <f t="shared" si="18"/>
        <v/>
      </c>
    </row>
    <row r="446" spans="1:16" x14ac:dyDescent="0.3">
      <c r="A446" s="10"/>
      <c r="B446" s="10"/>
      <c r="C446" s="10"/>
      <c r="D446" s="10"/>
      <c r="E446" s="10"/>
      <c r="F446" s="10"/>
      <c r="G446" s="10"/>
      <c r="H446" s="10"/>
      <c r="I446" s="10"/>
      <c r="K446" s="10"/>
      <c r="L446" s="10"/>
      <c r="P446" t="str">
        <f t="shared" si="18"/>
        <v/>
      </c>
    </row>
    <row r="447" spans="1:16" x14ac:dyDescent="0.3">
      <c r="A447" s="10"/>
      <c r="B447" s="10"/>
      <c r="C447" s="10"/>
      <c r="D447" s="10"/>
      <c r="E447" s="10"/>
      <c r="F447" s="10"/>
      <c r="G447" s="10"/>
      <c r="H447" s="10"/>
      <c r="I447" s="10"/>
      <c r="K447" s="10"/>
      <c r="L447" s="10"/>
      <c r="P447" t="str">
        <f t="shared" si="18"/>
        <v/>
      </c>
    </row>
    <row r="448" spans="1:16" x14ac:dyDescent="0.3">
      <c r="A448" s="10"/>
      <c r="B448" s="10"/>
      <c r="C448" s="10"/>
      <c r="D448" s="10"/>
      <c r="E448" s="10"/>
      <c r="F448" s="10"/>
      <c r="G448" s="10"/>
      <c r="H448" s="10"/>
      <c r="I448" s="10"/>
      <c r="K448" s="10"/>
      <c r="L448" s="10"/>
      <c r="P448" t="str">
        <f t="shared" si="18"/>
        <v/>
      </c>
    </row>
    <row r="449" spans="1:16" x14ac:dyDescent="0.3">
      <c r="A449" s="10"/>
      <c r="B449" s="10"/>
      <c r="C449" s="10"/>
      <c r="D449" s="10"/>
      <c r="E449" s="10"/>
      <c r="F449" s="10"/>
      <c r="G449" s="10"/>
      <c r="H449" s="10"/>
      <c r="I449" s="10"/>
      <c r="K449" s="10"/>
      <c r="L449" s="10"/>
      <c r="P449" t="str">
        <f t="shared" si="18"/>
        <v/>
      </c>
    </row>
    <row r="450" spans="1:16" x14ac:dyDescent="0.3">
      <c r="A450" s="10"/>
      <c r="B450" s="10"/>
      <c r="C450" s="10"/>
      <c r="D450" s="10"/>
      <c r="E450" s="10"/>
      <c r="F450" s="10"/>
      <c r="G450" s="10"/>
      <c r="H450" s="10"/>
      <c r="I450" s="10"/>
      <c r="K450" s="10"/>
      <c r="L450" s="10"/>
      <c r="P450" t="str">
        <f t="shared" si="18"/>
        <v/>
      </c>
    </row>
    <row r="451" spans="1:16" x14ac:dyDescent="0.3">
      <c r="A451" s="10"/>
      <c r="B451" s="10"/>
      <c r="C451" s="10"/>
      <c r="D451" s="10"/>
      <c r="E451" s="10"/>
      <c r="F451" s="10"/>
      <c r="G451" s="10"/>
      <c r="H451" s="10"/>
      <c r="I451" s="10"/>
      <c r="K451" s="10"/>
      <c r="L451" s="10"/>
      <c r="P451" t="str">
        <f t="shared" si="18"/>
        <v/>
      </c>
    </row>
    <row r="452" spans="1:16" x14ac:dyDescent="0.3">
      <c r="A452" s="10"/>
      <c r="B452" s="10"/>
      <c r="C452" s="10"/>
      <c r="D452" s="10"/>
      <c r="E452" s="10"/>
      <c r="F452" s="10"/>
      <c r="G452" s="10"/>
      <c r="H452" s="10"/>
      <c r="I452" s="10"/>
      <c r="K452" s="10"/>
      <c r="L452" s="10"/>
      <c r="P452" t="str">
        <f t="shared" ref="P452:P515" si="19">IF($J452="","",IF(ABS($J452)&lt;=2,"OK","FORA (|SDI|&gt;2)"))</f>
        <v/>
      </c>
    </row>
    <row r="453" spans="1:16" x14ac:dyDescent="0.3">
      <c r="A453" s="10"/>
      <c r="B453" s="10"/>
      <c r="C453" s="10"/>
      <c r="D453" s="10"/>
      <c r="E453" s="10"/>
      <c r="F453" s="10"/>
      <c r="G453" s="10"/>
      <c r="H453" s="10"/>
      <c r="I453" s="10"/>
      <c r="K453" s="10"/>
      <c r="L453" s="10"/>
      <c r="P453" t="str">
        <f t="shared" si="19"/>
        <v/>
      </c>
    </row>
    <row r="454" spans="1:16" x14ac:dyDescent="0.3">
      <c r="A454" s="10"/>
      <c r="B454" s="10"/>
      <c r="C454" s="10"/>
      <c r="D454" s="10"/>
      <c r="E454" s="10"/>
      <c r="F454" s="10"/>
      <c r="G454" s="10"/>
      <c r="H454" s="10"/>
      <c r="I454" s="10"/>
      <c r="K454" s="10"/>
      <c r="L454" s="10"/>
      <c r="P454" t="str">
        <f t="shared" si="19"/>
        <v/>
      </c>
    </row>
    <row r="455" spans="1:16" x14ac:dyDescent="0.3">
      <c r="A455" s="10"/>
      <c r="B455" s="10"/>
      <c r="C455" s="10"/>
      <c r="D455" s="10"/>
      <c r="E455" s="10"/>
      <c r="F455" s="10"/>
      <c r="G455" s="10"/>
      <c r="H455" s="10"/>
      <c r="I455" s="10"/>
      <c r="K455" s="10"/>
      <c r="L455" s="10"/>
      <c r="P455" t="str">
        <f t="shared" si="19"/>
        <v/>
      </c>
    </row>
    <row r="456" spans="1:16" x14ac:dyDescent="0.3">
      <c r="A456" s="10"/>
      <c r="B456" s="10"/>
      <c r="C456" s="10"/>
      <c r="D456" s="10"/>
      <c r="E456" s="10"/>
      <c r="F456" s="10"/>
      <c r="G456" s="10"/>
      <c r="H456" s="10"/>
      <c r="I456" s="10"/>
      <c r="K456" s="10"/>
      <c r="L456" s="10"/>
      <c r="P456" t="str">
        <f t="shared" si="19"/>
        <v/>
      </c>
    </row>
    <row r="457" spans="1:16" x14ac:dyDescent="0.3">
      <c r="A457" s="10"/>
      <c r="B457" s="10"/>
      <c r="C457" s="10"/>
      <c r="D457" s="10"/>
      <c r="E457" s="10"/>
      <c r="F457" s="10"/>
      <c r="G457" s="10"/>
      <c r="H457" s="10"/>
      <c r="I457" s="10"/>
      <c r="K457" s="10"/>
      <c r="L457" s="10"/>
      <c r="P457" t="str">
        <f t="shared" si="19"/>
        <v/>
      </c>
    </row>
    <row r="458" spans="1:16" x14ac:dyDescent="0.3">
      <c r="A458" s="10"/>
      <c r="B458" s="10"/>
      <c r="C458" s="10"/>
      <c r="D458" s="10"/>
      <c r="E458" s="10"/>
      <c r="F458" s="10"/>
      <c r="G458" s="10"/>
      <c r="H458" s="10"/>
      <c r="I458" s="10"/>
      <c r="K458" s="10"/>
      <c r="L458" s="10"/>
      <c r="P458" t="str">
        <f t="shared" si="19"/>
        <v/>
      </c>
    </row>
    <row r="459" spans="1:16" x14ac:dyDescent="0.3">
      <c r="A459" s="10"/>
      <c r="B459" s="10"/>
      <c r="C459" s="10"/>
      <c r="D459" s="10"/>
      <c r="E459" s="10"/>
      <c r="F459" s="10"/>
      <c r="G459" s="10"/>
      <c r="H459" s="10"/>
      <c r="I459" s="10"/>
      <c r="K459" s="10"/>
      <c r="L459" s="10"/>
      <c r="P459" t="str">
        <f t="shared" si="19"/>
        <v/>
      </c>
    </row>
    <row r="460" spans="1:16" x14ac:dyDescent="0.3">
      <c r="A460" s="10"/>
      <c r="B460" s="10"/>
      <c r="C460" s="10"/>
      <c r="D460" s="10"/>
      <c r="E460" s="10"/>
      <c r="F460" s="10"/>
      <c r="G460" s="10"/>
      <c r="H460" s="10"/>
      <c r="I460" s="10"/>
      <c r="K460" s="10"/>
      <c r="L460" s="10"/>
      <c r="P460" t="str">
        <f t="shared" si="19"/>
        <v/>
      </c>
    </row>
    <row r="461" spans="1:16" x14ac:dyDescent="0.3">
      <c r="A461" s="10"/>
      <c r="B461" s="10"/>
      <c r="C461" s="10"/>
      <c r="D461" s="10"/>
      <c r="E461" s="10"/>
      <c r="F461" s="10"/>
      <c r="G461" s="10"/>
      <c r="H461" s="10"/>
      <c r="I461" s="10"/>
      <c r="K461" s="10"/>
      <c r="L461" s="10"/>
      <c r="P461" t="str">
        <f t="shared" si="19"/>
        <v/>
      </c>
    </row>
    <row r="462" spans="1:16" x14ac:dyDescent="0.3">
      <c r="A462" s="10"/>
      <c r="B462" s="10"/>
      <c r="C462" s="10"/>
      <c r="D462" s="10"/>
      <c r="E462" s="10"/>
      <c r="F462" s="10"/>
      <c r="G462" s="10"/>
      <c r="H462" s="10"/>
      <c r="I462" s="10"/>
      <c r="K462" s="10"/>
      <c r="L462" s="10"/>
      <c r="P462" t="str">
        <f t="shared" si="19"/>
        <v/>
      </c>
    </row>
    <row r="463" spans="1:16" x14ac:dyDescent="0.3">
      <c r="A463" s="10"/>
      <c r="B463" s="10"/>
      <c r="C463" s="10"/>
      <c r="D463" s="10"/>
      <c r="E463" s="10"/>
      <c r="F463" s="10"/>
      <c r="G463" s="10"/>
      <c r="H463" s="10"/>
      <c r="I463" s="10"/>
      <c r="K463" s="10"/>
      <c r="L463" s="10"/>
      <c r="P463" t="str">
        <f t="shared" si="19"/>
        <v/>
      </c>
    </row>
    <row r="464" spans="1:16" x14ac:dyDescent="0.3">
      <c r="A464" s="10"/>
      <c r="B464" s="10"/>
      <c r="C464" s="10"/>
      <c r="D464" s="10"/>
      <c r="E464" s="10"/>
      <c r="F464" s="10"/>
      <c r="G464" s="10"/>
      <c r="H464" s="10"/>
      <c r="I464" s="10"/>
      <c r="K464" s="10"/>
      <c r="L464" s="10"/>
      <c r="P464" t="str">
        <f t="shared" si="19"/>
        <v/>
      </c>
    </row>
    <row r="465" spans="1:16" x14ac:dyDescent="0.3">
      <c r="A465" s="10"/>
      <c r="B465" s="10"/>
      <c r="C465" s="10"/>
      <c r="D465" s="10"/>
      <c r="E465" s="10"/>
      <c r="F465" s="10"/>
      <c r="G465" s="10"/>
      <c r="H465" s="10"/>
      <c r="I465" s="10"/>
      <c r="K465" s="10"/>
      <c r="L465" s="10"/>
      <c r="P465" t="str">
        <f t="shared" si="19"/>
        <v/>
      </c>
    </row>
    <row r="466" spans="1:16" x14ac:dyDescent="0.3">
      <c r="A466" s="10"/>
      <c r="B466" s="10"/>
      <c r="C466" s="10"/>
      <c r="D466" s="10"/>
      <c r="E466" s="10"/>
      <c r="F466" s="10"/>
      <c r="G466" s="10"/>
      <c r="H466" s="10"/>
      <c r="I466" s="10"/>
      <c r="K466" s="10"/>
      <c r="L466" s="10"/>
      <c r="P466" t="str">
        <f t="shared" si="19"/>
        <v/>
      </c>
    </row>
    <row r="467" spans="1:16" x14ac:dyDescent="0.3">
      <c r="A467" s="10"/>
      <c r="B467" s="10"/>
      <c r="C467" s="10"/>
      <c r="D467" s="10"/>
      <c r="E467" s="10"/>
      <c r="F467" s="10"/>
      <c r="G467" s="10"/>
      <c r="H467" s="10"/>
      <c r="I467" s="10"/>
      <c r="K467" s="10"/>
      <c r="L467" s="10"/>
      <c r="P467" t="str">
        <f t="shared" si="19"/>
        <v/>
      </c>
    </row>
    <row r="468" spans="1:16" x14ac:dyDescent="0.3">
      <c r="A468" s="10"/>
      <c r="B468" s="10"/>
      <c r="C468" s="10"/>
      <c r="D468" s="10"/>
      <c r="E468" s="10"/>
      <c r="F468" s="10"/>
      <c r="G468" s="10"/>
      <c r="H468" s="10"/>
      <c r="I468" s="10"/>
      <c r="K468" s="10"/>
      <c r="L468" s="10"/>
      <c r="P468" t="str">
        <f t="shared" si="19"/>
        <v/>
      </c>
    </row>
    <row r="469" spans="1:16" x14ac:dyDescent="0.3">
      <c r="A469" s="10"/>
      <c r="B469" s="10"/>
      <c r="C469" s="10"/>
      <c r="D469" s="10"/>
      <c r="E469" s="10"/>
      <c r="F469" s="10"/>
      <c r="G469" s="10"/>
      <c r="H469" s="10"/>
      <c r="I469" s="10"/>
      <c r="K469" s="10"/>
      <c r="L469" s="10"/>
      <c r="P469" t="str">
        <f t="shared" si="19"/>
        <v/>
      </c>
    </row>
    <row r="470" spans="1:16" x14ac:dyDescent="0.3">
      <c r="A470" s="10"/>
      <c r="B470" s="10"/>
      <c r="C470" s="10"/>
      <c r="D470" s="10"/>
      <c r="E470" s="10"/>
      <c r="F470" s="10"/>
      <c r="G470" s="10"/>
      <c r="H470" s="10"/>
      <c r="I470" s="10"/>
      <c r="K470" s="10"/>
      <c r="L470" s="10"/>
      <c r="P470" t="str">
        <f t="shared" si="19"/>
        <v/>
      </c>
    </row>
    <row r="471" spans="1:16" x14ac:dyDescent="0.3">
      <c r="A471" s="10"/>
      <c r="B471" s="10"/>
      <c r="C471" s="10"/>
      <c r="D471" s="10"/>
      <c r="E471" s="10"/>
      <c r="F471" s="10"/>
      <c r="G471" s="10"/>
      <c r="H471" s="10"/>
      <c r="I471" s="10"/>
      <c r="K471" s="10"/>
      <c r="L471" s="10"/>
      <c r="P471" t="str">
        <f t="shared" si="19"/>
        <v/>
      </c>
    </row>
    <row r="472" spans="1:16" x14ac:dyDescent="0.3">
      <c r="A472" s="10"/>
      <c r="B472" s="10"/>
      <c r="C472" s="10"/>
      <c r="D472" s="10"/>
      <c r="E472" s="10"/>
      <c r="F472" s="10"/>
      <c r="G472" s="10"/>
      <c r="H472" s="10"/>
      <c r="I472" s="10"/>
      <c r="K472" s="10"/>
      <c r="L472" s="10"/>
      <c r="P472" t="str">
        <f t="shared" si="19"/>
        <v/>
      </c>
    </row>
    <row r="473" spans="1:16" x14ac:dyDescent="0.3">
      <c r="A473" s="10"/>
      <c r="B473" s="10"/>
      <c r="C473" s="10"/>
      <c r="D473" s="10"/>
      <c r="E473" s="10"/>
      <c r="F473" s="10"/>
      <c r="G473" s="10"/>
      <c r="H473" s="10"/>
      <c r="I473" s="10"/>
      <c r="K473" s="10"/>
      <c r="L473" s="10"/>
      <c r="P473" t="str">
        <f t="shared" si="19"/>
        <v/>
      </c>
    </row>
    <row r="474" spans="1:16" x14ac:dyDescent="0.3">
      <c r="A474" s="10"/>
      <c r="B474" s="10"/>
      <c r="C474" s="10"/>
      <c r="D474" s="10"/>
      <c r="E474" s="10"/>
      <c r="F474" s="10"/>
      <c r="G474" s="10"/>
      <c r="H474" s="10"/>
      <c r="I474" s="10"/>
      <c r="K474" s="10"/>
      <c r="L474" s="10"/>
      <c r="P474" t="str">
        <f t="shared" si="19"/>
        <v/>
      </c>
    </row>
    <row r="475" spans="1:16" x14ac:dyDescent="0.3">
      <c r="A475" s="10"/>
      <c r="B475" s="10"/>
      <c r="C475" s="10"/>
      <c r="D475" s="10"/>
      <c r="E475" s="10"/>
      <c r="F475" s="10"/>
      <c r="G475" s="10"/>
      <c r="H475" s="10"/>
      <c r="I475" s="10"/>
      <c r="K475" s="10"/>
      <c r="L475" s="10"/>
      <c r="P475" t="str">
        <f t="shared" si="19"/>
        <v/>
      </c>
    </row>
    <row r="476" spans="1:16" x14ac:dyDescent="0.3">
      <c r="A476" s="10"/>
      <c r="B476" s="10"/>
      <c r="C476" s="10"/>
      <c r="D476" s="10"/>
      <c r="E476" s="10"/>
      <c r="F476" s="10"/>
      <c r="G476" s="10"/>
      <c r="H476" s="10"/>
      <c r="I476" s="10"/>
      <c r="K476" s="10"/>
      <c r="L476" s="10"/>
      <c r="P476" t="str">
        <f t="shared" si="19"/>
        <v/>
      </c>
    </row>
    <row r="477" spans="1:16" x14ac:dyDescent="0.3">
      <c r="A477" s="10"/>
      <c r="B477" s="10"/>
      <c r="C477" s="10"/>
      <c r="D477" s="10"/>
      <c r="E477" s="10"/>
      <c r="F477" s="10"/>
      <c r="G477" s="10"/>
      <c r="H477" s="10"/>
      <c r="I477" s="10"/>
      <c r="K477" s="10"/>
      <c r="L477" s="10"/>
      <c r="P477" t="str">
        <f t="shared" si="19"/>
        <v/>
      </c>
    </row>
    <row r="478" spans="1:16" x14ac:dyDescent="0.3">
      <c r="A478" s="10"/>
      <c r="B478" s="10"/>
      <c r="C478" s="10"/>
      <c r="D478" s="10"/>
      <c r="E478" s="10"/>
      <c r="F478" s="10"/>
      <c r="G478" s="10"/>
      <c r="H478" s="10"/>
      <c r="I478" s="10"/>
      <c r="K478" s="10"/>
      <c r="L478" s="10"/>
      <c r="P478" t="str">
        <f t="shared" si="19"/>
        <v/>
      </c>
    </row>
    <row r="479" spans="1:16" x14ac:dyDescent="0.3">
      <c r="A479" s="10"/>
      <c r="B479" s="10"/>
      <c r="C479" s="10"/>
      <c r="D479" s="10"/>
      <c r="E479" s="10"/>
      <c r="F479" s="10"/>
      <c r="G479" s="10"/>
      <c r="H479" s="10"/>
      <c r="I479" s="10"/>
      <c r="K479" s="10"/>
      <c r="L479" s="10"/>
      <c r="P479" t="str">
        <f t="shared" si="19"/>
        <v/>
      </c>
    </row>
    <row r="480" spans="1:16" x14ac:dyDescent="0.3">
      <c r="A480" s="10"/>
      <c r="B480" s="10"/>
      <c r="C480" s="10"/>
      <c r="D480" s="10"/>
      <c r="E480" s="10"/>
      <c r="F480" s="10"/>
      <c r="G480" s="10"/>
      <c r="H480" s="10"/>
      <c r="I480" s="10"/>
      <c r="K480" s="10"/>
      <c r="L480" s="10"/>
      <c r="P480" t="str">
        <f t="shared" si="19"/>
        <v/>
      </c>
    </row>
    <row r="481" spans="1:16" x14ac:dyDescent="0.3">
      <c r="A481" s="10"/>
      <c r="B481" s="10"/>
      <c r="C481" s="10"/>
      <c r="D481" s="10"/>
      <c r="E481" s="10"/>
      <c r="F481" s="10"/>
      <c r="G481" s="10"/>
      <c r="H481" s="10"/>
      <c r="I481" s="10"/>
      <c r="K481" s="10"/>
      <c r="L481" s="10"/>
      <c r="P481" t="str">
        <f t="shared" si="19"/>
        <v/>
      </c>
    </row>
    <row r="482" spans="1:16" x14ac:dyDescent="0.3">
      <c r="A482" s="10"/>
      <c r="B482" s="10"/>
      <c r="C482" s="10"/>
      <c r="D482" s="10"/>
      <c r="E482" s="10"/>
      <c r="F482" s="10"/>
      <c r="G482" s="10"/>
      <c r="H482" s="10"/>
      <c r="I482" s="10"/>
      <c r="K482" s="10"/>
      <c r="L482" s="10"/>
      <c r="P482" t="str">
        <f t="shared" si="19"/>
        <v/>
      </c>
    </row>
    <row r="483" spans="1:16" x14ac:dyDescent="0.3">
      <c r="A483" s="10"/>
      <c r="B483" s="10"/>
      <c r="C483" s="10"/>
      <c r="D483" s="10"/>
      <c r="E483" s="10"/>
      <c r="F483" s="10"/>
      <c r="G483" s="10"/>
      <c r="H483" s="10"/>
      <c r="I483" s="10"/>
      <c r="K483" s="10"/>
      <c r="L483" s="10"/>
      <c r="P483" t="str">
        <f t="shared" si="19"/>
        <v/>
      </c>
    </row>
    <row r="484" spans="1:16" x14ac:dyDescent="0.3">
      <c r="A484" s="10"/>
      <c r="B484" s="10"/>
      <c r="C484" s="10"/>
      <c r="D484" s="10"/>
      <c r="E484" s="10"/>
      <c r="F484" s="10"/>
      <c r="G484" s="10"/>
      <c r="H484" s="10"/>
      <c r="I484" s="10"/>
      <c r="K484" s="10"/>
      <c r="L484" s="10"/>
      <c r="P484" t="str">
        <f t="shared" si="19"/>
        <v/>
      </c>
    </row>
    <row r="485" spans="1:16" x14ac:dyDescent="0.3">
      <c r="A485" s="10"/>
      <c r="B485" s="10"/>
      <c r="C485" s="10"/>
      <c r="D485" s="10"/>
      <c r="E485" s="10"/>
      <c r="F485" s="10"/>
      <c r="G485" s="10"/>
      <c r="H485" s="10"/>
      <c r="I485" s="10"/>
      <c r="K485" s="10"/>
      <c r="L485" s="10"/>
      <c r="P485" t="str">
        <f t="shared" si="19"/>
        <v/>
      </c>
    </row>
    <row r="486" spans="1:16" x14ac:dyDescent="0.3">
      <c r="A486" s="10"/>
      <c r="B486" s="10"/>
      <c r="C486" s="10"/>
      <c r="D486" s="10"/>
      <c r="E486" s="10"/>
      <c r="F486" s="10"/>
      <c r="G486" s="10"/>
      <c r="H486" s="10"/>
      <c r="I486" s="10"/>
      <c r="K486" s="10"/>
      <c r="L486" s="10"/>
      <c r="P486" t="str">
        <f t="shared" si="19"/>
        <v/>
      </c>
    </row>
    <row r="487" spans="1:16" x14ac:dyDescent="0.3">
      <c r="A487" s="10"/>
      <c r="B487" s="10"/>
      <c r="C487" s="10"/>
      <c r="D487" s="10"/>
      <c r="E487" s="10"/>
      <c r="F487" s="10"/>
      <c r="G487" s="10"/>
      <c r="H487" s="10"/>
      <c r="I487" s="10"/>
      <c r="K487" s="10"/>
      <c r="L487" s="10"/>
      <c r="P487" t="str">
        <f t="shared" si="19"/>
        <v/>
      </c>
    </row>
    <row r="488" spans="1:16" x14ac:dyDescent="0.3">
      <c r="A488" s="10"/>
      <c r="B488" s="10"/>
      <c r="C488" s="10"/>
      <c r="D488" s="10"/>
      <c r="E488" s="10"/>
      <c r="F488" s="10"/>
      <c r="G488" s="10"/>
      <c r="H488" s="10"/>
      <c r="I488" s="10"/>
      <c r="K488" s="10"/>
      <c r="L488" s="10"/>
      <c r="P488" t="str">
        <f t="shared" si="19"/>
        <v/>
      </c>
    </row>
    <row r="489" spans="1:16" x14ac:dyDescent="0.3">
      <c r="A489" s="10"/>
      <c r="B489" s="10"/>
      <c r="C489" s="10"/>
      <c r="D489" s="10"/>
      <c r="E489" s="10"/>
      <c r="F489" s="10"/>
      <c r="G489" s="10"/>
      <c r="H489" s="10"/>
      <c r="I489" s="10"/>
      <c r="K489" s="10"/>
      <c r="L489" s="10"/>
      <c r="P489" t="str">
        <f t="shared" si="19"/>
        <v/>
      </c>
    </row>
    <row r="490" spans="1:16" x14ac:dyDescent="0.3">
      <c r="A490" s="10"/>
      <c r="B490" s="10"/>
      <c r="C490" s="10"/>
      <c r="D490" s="10"/>
      <c r="E490" s="10"/>
      <c r="F490" s="10"/>
      <c r="G490" s="10"/>
      <c r="H490" s="10"/>
      <c r="I490" s="10"/>
      <c r="K490" s="10"/>
      <c r="L490" s="10"/>
      <c r="P490" t="str">
        <f t="shared" si="19"/>
        <v/>
      </c>
    </row>
    <row r="491" spans="1:16" x14ac:dyDescent="0.3">
      <c r="A491" s="10"/>
      <c r="B491" s="10"/>
      <c r="C491" s="10"/>
      <c r="D491" s="10"/>
      <c r="E491" s="10"/>
      <c r="F491" s="10"/>
      <c r="G491" s="10"/>
      <c r="H491" s="10"/>
      <c r="I491" s="10"/>
      <c r="K491" s="10"/>
      <c r="L491" s="10"/>
      <c r="P491" t="str">
        <f t="shared" si="19"/>
        <v/>
      </c>
    </row>
    <row r="492" spans="1:16" x14ac:dyDescent="0.3">
      <c r="A492" s="10"/>
      <c r="B492" s="10"/>
      <c r="C492" s="10"/>
      <c r="D492" s="10"/>
      <c r="E492" s="10"/>
      <c r="F492" s="10"/>
      <c r="G492" s="10"/>
      <c r="H492" s="10"/>
      <c r="I492" s="10"/>
      <c r="K492" s="10"/>
      <c r="L492" s="10"/>
      <c r="P492" t="str">
        <f t="shared" si="19"/>
        <v/>
      </c>
    </row>
    <row r="493" spans="1:16" x14ac:dyDescent="0.3">
      <c r="A493" s="10"/>
      <c r="B493" s="10"/>
      <c r="C493" s="10"/>
      <c r="D493" s="10"/>
      <c r="E493" s="10"/>
      <c r="F493" s="10"/>
      <c r="G493" s="10"/>
      <c r="H493" s="10"/>
      <c r="I493" s="10"/>
      <c r="K493" s="10"/>
      <c r="L493" s="10"/>
      <c r="P493" t="str">
        <f t="shared" si="19"/>
        <v/>
      </c>
    </row>
    <row r="494" spans="1:16" x14ac:dyDescent="0.3">
      <c r="A494" s="10"/>
      <c r="B494" s="10"/>
      <c r="C494" s="10"/>
      <c r="D494" s="10"/>
      <c r="E494" s="10"/>
      <c r="F494" s="10"/>
      <c r="G494" s="10"/>
      <c r="H494" s="10"/>
      <c r="I494" s="10"/>
      <c r="K494" s="10"/>
      <c r="L494" s="10"/>
      <c r="P494" t="str">
        <f t="shared" si="19"/>
        <v/>
      </c>
    </row>
    <row r="495" spans="1:16" x14ac:dyDescent="0.3">
      <c r="A495" s="10"/>
      <c r="B495" s="10"/>
      <c r="C495" s="10"/>
      <c r="D495" s="10"/>
      <c r="E495" s="10"/>
      <c r="F495" s="10"/>
      <c r="G495" s="10"/>
      <c r="H495" s="10"/>
      <c r="I495" s="10"/>
      <c r="K495" s="10"/>
      <c r="L495" s="10"/>
      <c r="P495" t="str">
        <f t="shared" si="19"/>
        <v/>
      </c>
    </row>
    <row r="496" spans="1:16" x14ac:dyDescent="0.3">
      <c r="A496" s="10"/>
      <c r="B496" s="10"/>
      <c r="C496" s="10"/>
      <c r="D496" s="10"/>
      <c r="E496" s="10"/>
      <c r="F496" s="10"/>
      <c r="G496" s="10"/>
      <c r="H496" s="10"/>
      <c r="I496" s="10"/>
      <c r="K496" s="10"/>
      <c r="L496" s="10"/>
      <c r="P496" t="str">
        <f t="shared" si="19"/>
        <v/>
      </c>
    </row>
    <row r="497" spans="1:16" x14ac:dyDescent="0.3">
      <c r="A497" s="10"/>
      <c r="B497" s="10"/>
      <c r="C497" s="10"/>
      <c r="D497" s="10"/>
      <c r="E497" s="10"/>
      <c r="F497" s="10"/>
      <c r="G497" s="10"/>
      <c r="H497" s="10"/>
      <c r="I497" s="10"/>
      <c r="K497" s="10"/>
      <c r="L497" s="10"/>
      <c r="P497" t="str">
        <f t="shared" si="19"/>
        <v/>
      </c>
    </row>
    <row r="498" spans="1:16" x14ac:dyDescent="0.3">
      <c r="A498" s="10"/>
      <c r="B498" s="10"/>
      <c r="C498" s="10"/>
      <c r="D498" s="10"/>
      <c r="E498" s="10"/>
      <c r="F498" s="10"/>
      <c r="G498" s="10"/>
      <c r="H498" s="10"/>
      <c r="I498" s="10"/>
      <c r="K498" s="10"/>
      <c r="L498" s="10"/>
      <c r="P498" t="str">
        <f t="shared" si="19"/>
        <v/>
      </c>
    </row>
    <row r="499" spans="1:16" x14ac:dyDescent="0.3">
      <c r="A499" s="10"/>
      <c r="B499" s="10"/>
      <c r="C499" s="10"/>
      <c r="D499" s="10"/>
      <c r="E499" s="10"/>
      <c r="F499" s="10"/>
      <c r="G499" s="10"/>
      <c r="H499" s="10"/>
      <c r="I499" s="10"/>
      <c r="K499" s="10"/>
      <c r="L499" s="10"/>
      <c r="P499" t="str">
        <f t="shared" si="19"/>
        <v/>
      </c>
    </row>
    <row r="500" spans="1:16" x14ac:dyDescent="0.3">
      <c r="A500" s="10"/>
      <c r="B500" s="10"/>
      <c r="C500" s="10"/>
      <c r="D500" s="10"/>
      <c r="E500" s="10"/>
      <c r="F500" s="10"/>
      <c r="G500" s="10"/>
      <c r="H500" s="10"/>
      <c r="I500" s="10"/>
      <c r="K500" s="10"/>
      <c r="L500" s="10"/>
      <c r="P500" t="str">
        <f t="shared" si="19"/>
        <v/>
      </c>
    </row>
    <row r="501" spans="1:16" x14ac:dyDescent="0.3">
      <c r="A501" s="10"/>
      <c r="B501" s="10"/>
      <c r="C501" s="10"/>
      <c r="D501" s="10"/>
      <c r="E501" s="10"/>
      <c r="F501" s="10"/>
      <c r="G501" s="10"/>
      <c r="H501" s="10"/>
      <c r="I501" s="10"/>
      <c r="K501" s="10"/>
      <c r="L501" s="10"/>
      <c r="P501" t="str">
        <f t="shared" si="19"/>
        <v/>
      </c>
    </row>
    <row r="502" spans="1:16" x14ac:dyDescent="0.3">
      <c r="A502" s="10"/>
      <c r="B502" s="10"/>
      <c r="C502" s="10"/>
      <c r="D502" s="10"/>
      <c r="E502" s="10"/>
      <c r="F502" s="10"/>
      <c r="G502" s="10"/>
      <c r="H502" s="10"/>
      <c r="I502" s="10"/>
      <c r="K502" s="10"/>
      <c r="L502" s="10"/>
      <c r="P502" t="str">
        <f t="shared" si="19"/>
        <v/>
      </c>
    </row>
    <row r="503" spans="1:16" x14ac:dyDescent="0.3">
      <c r="A503" s="10"/>
      <c r="B503" s="10"/>
      <c r="C503" s="10"/>
      <c r="D503" s="10"/>
      <c r="E503" s="10"/>
      <c r="F503" s="10"/>
      <c r="G503" s="10"/>
      <c r="H503" s="10"/>
      <c r="I503" s="10"/>
      <c r="K503" s="10"/>
      <c r="L503" s="10"/>
      <c r="P503" t="str">
        <f t="shared" si="19"/>
        <v/>
      </c>
    </row>
    <row r="504" spans="1:16" x14ac:dyDescent="0.3">
      <c r="A504" s="10"/>
      <c r="B504" s="10"/>
      <c r="C504" s="10"/>
      <c r="D504" s="10"/>
      <c r="E504" s="10"/>
      <c r="F504" s="10"/>
      <c r="G504" s="10"/>
      <c r="H504" s="10"/>
      <c r="I504" s="10"/>
      <c r="K504" s="10"/>
      <c r="L504" s="10"/>
      <c r="P504" t="str">
        <f t="shared" si="19"/>
        <v/>
      </c>
    </row>
    <row r="505" spans="1:16" x14ac:dyDescent="0.3">
      <c r="A505" s="10"/>
      <c r="B505" s="10"/>
      <c r="C505" s="10"/>
      <c r="D505" s="10"/>
      <c r="E505" s="10"/>
      <c r="F505" s="10"/>
      <c r="G505" s="10"/>
      <c r="H505" s="10"/>
      <c r="I505" s="10"/>
      <c r="K505" s="10"/>
      <c r="L505" s="10"/>
      <c r="P505" t="str">
        <f t="shared" si="19"/>
        <v/>
      </c>
    </row>
    <row r="506" spans="1:16" x14ac:dyDescent="0.3">
      <c r="A506" s="10"/>
      <c r="B506" s="10"/>
      <c r="C506" s="10"/>
      <c r="D506" s="10"/>
      <c r="E506" s="10"/>
      <c r="F506" s="10"/>
      <c r="G506" s="10"/>
      <c r="H506" s="10"/>
      <c r="I506" s="10"/>
      <c r="K506" s="10"/>
      <c r="L506" s="10"/>
      <c r="P506" t="str">
        <f t="shared" si="19"/>
        <v/>
      </c>
    </row>
    <row r="507" spans="1:16" x14ac:dyDescent="0.3">
      <c r="A507" s="10"/>
      <c r="B507" s="10"/>
      <c r="C507" s="10"/>
      <c r="D507" s="10"/>
      <c r="E507" s="10"/>
      <c r="F507" s="10"/>
      <c r="G507" s="10"/>
      <c r="H507" s="10"/>
      <c r="I507" s="10"/>
      <c r="K507" s="10"/>
      <c r="L507" s="10"/>
      <c r="P507" t="str">
        <f t="shared" si="19"/>
        <v/>
      </c>
    </row>
    <row r="508" spans="1:16" x14ac:dyDescent="0.3">
      <c r="A508" s="10"/>
      <c r="B508" s="10"/>
      <c r="C508" s="10"/>
      <c r="D508" s="10"/>
      <c r="E508" s="10"/>
      <c r="F508" s="10"/>
      <c r="G508" s="10"/>
      <c r="H508" s="10"/>
      <c r="I508" s="10"/>
      <c r="K508" s="10"/>
      <c r="L508" s="10"/>
      <c r="P508" t="str">
        <f t="shared" si="19"/>
        <v/>
      </c>
    </row>
    <row r="509" spans="1:16" x14ac:dyDescent="0.3">
      <c r="A509" s="10"/>
      <c r="B509" s="10"/>
      <c r="C509" s="10"/>
      <c r="D509" s="10"/>
      <c r="E509" s="10"/>
      <c r="F509" s="10"/>
      <c r="G509" s="10"/>
      <c r="H509" s="10"/>
      <c r="I509" s="10"/>
      <c r="K509" s="10"/>
      <c r="L509" s="10"/>
      <c r="P509" t="str">
        <f t="shared" si="19"/>
        <v/>
      </c>
    </row>
    <row r="510" spans="1:16" x14ac:dyDescent="0.3">
      <c r="A510" s="10"/>
      <c r="B510" s="10"/>
      <c r="C510" s="10"/>
      <c r="D510" s="10"/>
      <c r="E510" s="10"/>
      <c r="F510" s="10"/>
      <c r="G510" s="10"/>
      <c r="H510" s="10"/>
      <c r="I510" s="10"/>
      <c r="K510" s="10"/>
      <c r="L510" s="10"/>
      <c r="P510" t="str">
        <f t="shared" si="19"/>
        <v/>
      </c>
    </row>
    <row r="511" spans="1:16" x14ac:dyDescent="0.3">
      <c r="A511" s="10"/>
      <c r="B511" s="10"/>
      <c r="C511" s="10"/>
      <c r="D511" s="10"/>
      <c r="E511" s="10"/>
      <c r="F511" s="10"/>
      <c r="G511" s="10"/>
      <c r="H511" s="10"/>
      <c r="I511" s="10"/>
      <c r="K511" s="10"/>
      <c r="L511" s="10"/>
      <c r="P511" t="str">
        <f t="shared" si="19"/>
        <v/>
      </c>
    </row>
    <row r="512" spans="1:16" x14ac:dyDescent="0.3">
      <c r="A512" s="10"/>
      <c r="B512" s="10"/>
      <c r="C512" s="10"/>
      <c r="D512" s="10"/>
      <c r="E512" s="10"/>
      <c r="F512" s="10"/>
      <c r="G512" s="10"/>
      <c r="H512" s="10"/>
      <c r="I512" s="10"/>
      <c r="K512" s="10"/>
      <c r="L512" s="10"/>
      <c r="P512" t="str">
        <f t="shared" si="19"/>
        <v/>
      </c>
    </row>
    <row r="513" spans="1:16" x14ac:dyDescent="0.3">
      <c r="A513" s="10"/>
      <c r="B513" s="10"/>
      <c r="C513" s="10"/>
      <c r="D513" s="10"/>
      <c r="E513" s="10"/>
      <c r="F513" s="10"/>
      <c r="G513" s="10"/>
      <c r="H513" s="10"/>
      <c r="I513" s="10"/>
      <c r="K513" s="10"/>
      <c r="L513" s="10"/>
      <c r="P513" t="str">
        <f t="shared" si="19"/>
        <v/>
      </c>
    </row>
    <row r="514" spans="1:16" x14ac:dyDescent="0.3">
      <c r="A514" s="10"/>
      <c r="B514" s="10"/>
      <c r="C514" s="10"/>
      <c r="D514" s="10"/>
      <c r="E514" s="10"/>
      <c r="F514" s="10"/>
      <c r="G514" s="10"/>
      <c r="H514" s="10"/>
      <c r="I514" s="10"/>
      <c r="K514" s="10"/>
      <c r="L514" s="10"/>
      <c r="P514" t="str">
        <f t="shared" si="19"/>
        <v/>
      </c>
    </row>
    <row r="515" spans="1:16" x14ac:dyDescent="0.3">
      <c r="A515" s="10"/>
      <c r="B515" s="10"/>
      <c r="C515" s="10"/>
      <c r="D515" s="10"/>
      <c r="E515" s="10"/>
      <c r="F515" s="10"/>
      <c r="G515" s="10"/>
      <c r="H515" s="10"/>
      <c r="I515" s="10"/>
      <c r="K515" s="10"/>
      <c r="L515" s="10"/>
      <c r="P515" t="str">
        <f t="shared" si="19"/>
        <v/>
      </c>
    </row>
    <row r="516" spans="1:16" x14ac:dyDescent="0.3">
      <c r="A516" s="10"/>
      <c r="B516" s="10"/>
      <c r="C516" s="10"/>
      <c r="D516" s="10"/>
      <c r="E516" s="10"/>
      <c r="F516" s="10"/>
      <c r="G516" s="10"/>
      <c r="H516" s="10"/>
      <c r="I516" s="10"/>
      <c r="K516" s="10"/>
      <c r="L516" s="10"/>
      <c r="P516" t="str">
        <f t="shared" ref="P516:P579" si="20">IF($J516="","",IF(ABS($J516)&lt;=2,"OK","FORA (|SDI|&gt;2)"))</f>
        <v/>
      </c>
    </row>
    <row r="517" spans="1:16" x14ac:dyDescent="0.3">
      <c r="A517" s="10"/>
      <c r="B517" s="10"/>
      <c r="C517" s="10"/>
      <c r="D517" s="10"/>
      <c r="E517" s="10"/>
      <c r="F517" s="10"/>
      <c r="G517" s="10"/>
      <c r="H517" s="10"/>
      <c r="I517" s="10"/>
      <c r="K517" s="10"/>
      <c r="L517" s="10"/>
      <c r="P517" t="str">
        <f t="shared" si="20"/>
        <v/>
      </c>
    </row>
    <row r="518" spans="1:16" x14ac:dyDescent="0.3">
      <c r="A518" s="10"/>
      <c r="B518" s="10"/>
      <c r="C518" s="10"/>
      <c r="D518" s="10"/>
      <c r="E518" s="10"/>
      <c r="F518" s="10"/>
      <c r="G518" s="10"/>
      <c r="H518" s="10"/>
      <c r="I518" s="10"/>
      <c r="K518" s="10"/>
      <c r="L518" s="10"/>
      <c r="P518" t="str">
        <f t="shared" si="20"/>
        <v/>
      </c>
    </row>
    <row r="519" spans="1:16" x14ac:dyDescent="0.3">
      <c r="A519" s="10"/>
      <c r="B519" s="10"/>
      <c r="C519" s="10"/>
      <c r="D519" s="10"/>
      <c r="E519" s="10"/>
      <c r="F519" s="10"/>
      <c r="G519" s="10"/>
      <c r="H519" s="10"/>
      <c r="I519" s="10"/>
      <c r="K519" s="10"/>
      <c r="L519" s="10"/>
      <c r="P519" t="str">
        <f t="shared" si="20"/>
        <v/>
      </c>
    </row>
    <row r="520" spans="1:16" x14ac:dyDescent="0.3">
      <c r="A520" s="10"/>
      <c r="B520" s="10"/>
      <c r="C520" s="10"/>
      <c r="D520" s="10"/>
      <c r="E520" s="10"/>
      <c r="F520" s="10"/>
      <c r="G520" s="10"/>
      <c r="H520" s="10"/>
      <c r="I520" s="10"/>
      <c r="K520" s="10"/>
      <c r="L520" s="10"/>
      <c r="P520" t="str">
        <f t="shared" si="20"/>
        <v/>
      </c>
    </row>
    <row r="521" spans="1:16" x14ac:dyDescent="0.3">
      <c r="A521" s="10"/>
      <c r="B521" s="10"/>
      <c r="C521" s="10"/>
      <c r="D521" s="10"/>
      <c r="E521" s="10"/>
      <c r="F521" s="10"/>
      <c r="G521" s="10"/>
      <c r="H521" s="10"/>
      <c r="I521" s="10"/>
      <c r="K521" s="10"/>
      <c r="L521" s="10"/>
      <c r="P521" t="str">
        <f t="shared" si="20"/>
        <v/>
      </c>
    </row>
    <row r="522" spans="1:16" x14ac:dyDescent="0.3">
      <c r="A522" s="10"/>
      <c r="B522" s="10"/>
      <c r="C522" s="10"/>
      <c r="D522" s="10"/>
      <c r="E522" s="10"/>
      <c r="F522" s="10"/>
      <c r="G522" s="10"/>
      <c r="H522" s="10"/>
      <c r="I522" s="10"/>
      <c r="K522" s="10"/>
      <c r="L522" s="10"/>
      <c r="P522" t="str">
        <f t="shared" si="20"/>
        <v/>
      </c>
    </row>
    <row r="523" spans="1:16" x14ac:dyDescent="0.3">
      <c r="A523" s="10"/>
      <c r="B523" s="10"/>
      <c r="C523" s="10"/>
      <c r="D523" s="10"/>
      <c r="E523" s="10"/>
      <c r="F523" s="10"/>
      <c r="G523" s="10"/>
      <c r="H523" s="10"/>
      <c r="I523" s="10"/>
      <c r="K523" s="10"/>
      <c r="L523" s="10"/>
      <c r="P523" t="str">
        <f t="shared" si="20"/>
        <v/>
      </c>
    </row>
    <row r="524" spans="1:16" x14ac:dyDescent="0.3">
      <c r="A524" s="10"/>
      <c r="B524" s="10"/>
      <c r="C524" s="10"/>
      <c r="D524" s="10"/>
      <c r="E524" s="10"/>
      <c r="F524" s="10"/>
      <c r="G524" s="10"/>
      <c r="H524" s="10"/>
      <c r="I524" s="10"/>
      <c r="K524" s="10"/>
      <c r="L524" s="10"/>
      <c r="P524" t="str">
        <f t="shared" si="20"/>
        <v/>
      </c>
    </row>
    <row r="525" spans="1:16" x14ac:dyDescent="0.3">
      <c r="A525" s="10"/>
      <c r="B525" s="10"/>
      <c r="C525" s="10"/>
      <c r="D525" s="10"/>
      <c r="E525" s="10"/>
      <c r="F525" s="10"/>
      <c r="G525" s="10"/>
      <c r="H525" s="10"/>
      <c r="I525" s="10"/>
      <c r="K525" s="10"/>
      <c r="L525" s="10"/>
      <c r="P525" t="str">
        <f t="shared" si="20"/>
        <v/>
      </c>
    </row>
    <row r="526" spans="1:16" x14ac:dyDescent="0.3">
      <c r="A526" s="10"/>
      <c r="B526" s="10"/>
      <c r="C526" s="10"/>
      <c r="D526" s="10"/>
      <c r="E526" s="10"/>
      <c r="F526" s="10"/>
      <c r="G526" s="10"/>
      <c r="H526" s="10"/>
      <c r="I526" s="10"/>
      <c r="K526" s="10"/>
      <c r="L526" s="10"/>
      <c r="P526" t="str">
        <f t="shared" si="20"/>
        <v/>
      </c>
    </row>
    <row r="527" spans="1:16" x14ac:dyDescent="0.3">
      <c r="A527" s="10"/>
      <c r="B527" s="10"/>
      <c r="C527" s="10"/>
      <c r="D527" s="10"/>
      <c r="E527" s="10"/>
      <c r="F527" s="10"/>
      <c r="G527" s="10"/>
      <c r="H527" s="10"/>
      <c r="I527" s="10"/>
      <c r="K527" s="10"/>
      <c r="L527" s="10"/>
      <c r="P527" t="str">
        <f t="shared" si="20"/>
        <v/>
      </c>
    </row>
    <row r="528" spans="1:16" x14ac:dyDescent="0.3">
      <c r="A528" s="10"/>
      <c r="B528" s="10"/>
      <c r="C528" s="10"/>
      <c r="D528" s="10"/>
      <c r="E528" s="10"/>
      <c r="F528" s="10"/>
      <c r="G528" s="10"/>
      <c r="H528" s="10"/>
      <c r="I528" s="10"/>
      <c r="K528" s="10"/>
      <c r="L528" s="10"/>
      <c r="P528" t="str">
        <f t="shared" si="20"/>
        <v/>
      </c>
    </row>
    <row r="529" spans="1:16" x14ac:dyDescent="0.3">
      <c r="A529" s="10"/>
      <c r="B529" s="10"/>
      <c r="C529" s="10"/>
      <c r="D529" s="10"/>
      <c r="E529" s="10"/>
      <c r="F529" s="10"/>
      <c r="G529" s="10"/>
      <c r="H529" s="10"/>
      <c r="I529" s="10"/>
      <c r="K529" s="10"/>
      <c r="L529" s="10"/>
      <c r="P529" t="str">
        <f t="shared" si="20"/>
        <v/>
      </c>
    </row>
    <row r="530" spans="1:16" x14ac:dyDescent="0.3">
      <c r="A530" s="10"/>
      <c r="B530" s="10"/>
      <c r="C530" s="10"/>
      <c r="D530" s="10"/>
      <c r="E530" s="10"/>
      <c r="F530" s="10"/>
      <c r="G530" s="10"/>
      <c r="H530" s="10"/>
      <c r="I530" s="10"/>
      <c r="K530" s="10"/>
      <c r="L530" s="10"/>
      <c r="P530" t="str">
        <f t="shared" si="20"/>
        <v/>
      </c>
    </row>
    <row r="531" spans="1:16" x14ac:dyDescent="0.3">
      <c r="A531" s="10"/>
      <c r="B531" s="10"/>
      <c r="C531" s="10"/>
      <c r="D531" s="10"/>
      <c r="E531" s="10"/>
      <c r="F531" s="10"/>
      <c r="G531" s="10"/>
      <c r="H531" s="10"/>
      <c r="I531" s="10"/>
      <c r="K531" s="10"/>
      <c r="L531" s="10"/>
      <c r="P531" t="str">
        <f t="shared" si="20"/>
        <v/>
      </c>
    </row>
    <row r="532" spans="1:16" x14ac:dyDescent="0.3">
      <c r="A532" s="10"/>
      <c r="B532" s="10"/>
      <c r="C532" s="10"/>
      <c r="D532" s="10"/>
      <c r="E532" s="10"/>
      <c r="F532" s="10"/>
      <c r="G532" s="10"/>
      <c r="H532" s="10"/>
      <c r="I532" s="10"/>
      <c r="K532" s="10"/>
      <c r="L532" s="10"/>
      <c r="P532" t="str">
        <f t="shared" si="20"/>
        <v/>
      </c>
    </row>
    <row r="533" spans="1:16" x14ac:dyDescent="0.3">
      <c r="A533" s="10"/>
      <c r="B533" s="10"/>
      <c r="C533" s="10"/>
      <c r="D533" s="10"/>
      <c r="E533" s="10"/>
      <c r="F533" s="10"/>
      <c r="G533" s="10"/>
      <c r="H533" s="10"/>
      <c r="I533" s="10"/>
      <c r="K533" s="10"/>
      <c r="L533" s="10"/>
      <c r="P533" t="str">
        <f t="shared" si="20"/>
        <v/>
      </c>
    </row>
    <row r="534" spans="1:16" x14ac:dyDescent="0.3">
      <c r="A534" s="10"/>
      <c r="B534" s="10"/>
      <c r="C534" s="10"/>
      <c r="D534" s="10"/>
      <c r="E534" s="10"/>
      <c r="F534" s="10"/>
      <c r="G534" s="10"/>
      <c r="H534" s="10"/>
      <c r="I534" s="10"/>
      <c r="K534" s="10"/>
      <c r="L534" s="10"/>
      <c r="P534" t="str">
        <f t="shared" si="20"/>
        <v/>
      </c>
    </row>
    <row r="535" spans="1:16" x14ac:dyDescent="0.3">
      <c r="A535" s="10"/>
      <c r="B535" s="10"/>
      <c r="C535" s="10"/>
      <c r="D535" s="10"/>
      <c r="E535" s="10"/>
      <c r="F535" s="10"/>
      <c r="G535" s="10"/>
      <c r="H535" s="10"/>
      <c r="I535" s="10"/>
      <c r="K535" s="10"/>
      <c r="L535" s="10"/>
      <c r="P535" t="str">
        <f t="shared" si="20"/>
        <v/>
      </c>
    </row>
    <row r="536" spans="1:16" x14ac:dyDescent="0.3">
      <c r="A536" s="10"/>
      <c r="B536" s="10"/>
      <c r="C536" s="10"/>
      <c r="D536" s="10"/>
      <c r="E536" s="10"/>
      <c r="F536" s="10"/>
      <c r="G536" s="10"/>
      <c r="H536" s="10"/>
      <c r="I536" s="10"/>
      <c r="K536" s="10"/>
      <c r="L536" s="10"/>
      <c r="P536" t="str">
        <f t="shared" si="20"/>
        <v/>
      </c>
    </row>
    <row r="537" spans="1:16" x14ac:dyDescent="0.3">
      <c r="A537" s="10"/>
      <c r="B537" s="10"/>
      <c r="C537" s="10"/>
      <c r="D537" s="10"/>
      <c r="E537" s="10"/>
      <c r="F537" s="10"/>
      <c r="G537" s="10"/>
      <c r="H537" s="10"/>
      <c r="I537" s="10"/>
      <c r="K537" s="10"/>
      <c r="L537" s="10"/>
      <c r="P537" t="str">
        <f t="shared" si="20"/>
        <v/>
      </c>
    </row>
    <row r="538" spans="1:16" x14ac:dyDescent="0.3">
      <c r="A538" s="10"/>
      <c r="B538" s="10"/>
      <c r="C538" s="10"/>
      <c r="D538" s="10"/>
      <c r="E538" s="10"/>
      <c r="F538" s="10"/>
      <c r="G538" s="10"/>
      <c r="H538" s="10"/>
      <c r="I538" s="10"/>
      <c r="K538" s="10"/>
      <c r="L538" s="10"/>
      <c r="P538" t="str">
        <f t="shared" si="20"/>
        <v/>
      </c>
    </row>
    <row r="539" spans="1:16" x14ac:dyDescent="0.3">
      <c r="A539" s="10"/>
      <c r="B539" s="10"/>
      <c r="C539" s="10"/>
      <c r="D539" s="10"/>
      <c r="E539" s="10"/>
      <c r="F539" s="10"/>
      <c r="G539" s="10"/>
      <c r="H539" s="10"/>
      <c r="I539" s="10"/>
      <c r="K539" s="10"/>
      <c r="L539" s="10"/>
      <c r="P539" t="str">
        <f t="shared" si="20"/>
        <v/>
      </c>
    </row>
    <row r="540" spans="1:16" x14ac:dyDescent="0.3">
      <c r="A540" s="10"/>
      <c r="B540" s="10"/>
      <c r="C540" s="10"/>
      <c r="D540" s="10"/>
      <c r="E540" s="10"/>
      <c r="F540" s="10"/>
      <c r="G540" s="10"/>
      <c r="H540" s="10"/>
      <c r="I540" s="10"/>
      <c r="K540" s="10"/>
      <c r="L540" s="10"/>
      <c r="P540" t="str">
        <f t="shared" si="20"/>
        <v/>
      </c>
    </row>
    <row r="541" spans="1:16" x14ac:dyDescent="0.3">
      <c r="A541" s="10"/>
      <c r="B541" s="10"/>
      <c r="C541" s="10"/>
      <c r="D541" s="10"/>
      <c r="E541" s="10"/>
      <c r="F541" s="10"/>
      <c r="G541" s="10"/>
      <c r="H541" s="10"/>
      <c r="I541" s="10"/>
      <c r="K541" s="10"/>
      <c r="L541" s="10"/>
      <c r="P541" t="str">
        <f t="shared" si="20"/>
        <v/>
      </c>
    </row>
    <row r="542" spans="1:16" x14ac:dyDescent="0.3">
      <c r="A542" s="10"/>
      <c r="B542" s="10"/>
      <c r="C542" s="10"/>
      <c r="D542" s="10"/>
      <c r="E542" s="10"/>
      <c r="F542" s="10"/>
      <c r="G542" s="10"/>
      <c r="H542" s="10"/>
      <c r="I542" s="10"/>
      <c r="K542" s="10"/>
      <c r="L542" s="10"/>
      <c r="P542" t="str">
        <f t="shared" si="20"/>
        <v/>
      </c>
    </row>
    <row r="543" spans="1:16" x14ac:dyDescent="0.3">
      <c r="A543" s="10"/>
      <c r="B543" s="10"/>
      <c r="C543" s="10"/>
      <c r="D543" s="10"/>
      <c r="E543" s="10"/>
      <c r="F543" s="10"/>
      <c r="G543" s="10"/>
      <c r="H543" s="10"/>
      <c r="I543" s="10"/>
      <c r="K543" s="10"/>
      <c r="L543" s="10"/>
      <c r="P543" t="str">
        <f t="shared" si="20"/>
        <v/>
      </c>
    </row>
    <row r="544" spans="1:16" x14ac:dyDescent="0.3">
      <c r="A544" s="10"/>
      <c r="B544" s="10"/>
      <c r="C544" s="10"/>
      <c r="D544" s="10"/>
      <c r="E544" s="10"/>
      <c r="F544" s="10"/>
      <c r="G544" s="10"/>
      <c r="H544" s="10"/>
      <c r="I544" s="10"/>
      <c r="K544" s="10"/>
      <c r="L544" s="10"/>
      <c r="P544" t="str">
        <f t="shared" si="20"/>
        <v/>
      </c>
    </row>
    <row r="545" spans="1:16" x14ac:dyDescent="0.3">
      <c r="A545" s="10"/>
      <c r="B545" s="10"/>
      <c r="C545" s="10"/>
      <c r="D545" s="10"/>
      <c r="E545" s="10"/>
      <c r="F545" s="10"/>
      <c r="G545" s="10"/>
      <c r="H545" s="10"/>
      <c r="I545" s="10"/>
      <c r="K545" s="10"/>
      <c r="L545" s="10"/>
      <c r="P545" t="str">
        <f t="shared" si="20"/>
        <v/>
      </c>
    </row>
    <row r="546" spans="1:16" x14ac:dyDescent="0.3">
      <c r="A546" s="10"/>
      <c r="B546" s="10"/>
      <c r="C546" s="10"/>
      <c r="D546" s="10"/>
      <c r="E546" s="10"/>
      <c r="F546" s="10"/>
      <c r="G546" s="10"/>
      <c r="H546" s="10"/>
      <c r="I546" s="10"/>
      <c r="K546" s="10"/>
      <c r="L546" s="10"/>
      <c r="P546" t="str">
        <f t="shared" si="20"/>
        <v/>
      </c>
    </row>
    <row r="547" spans="1:16" x14ac:dyDescent="0.3">
      <c r="A547" s="10"/>
      <c r="B547" s="10"/>
      <c r="C547" s="10"/>
      <c r="D547" s="10"/>
      <c r="E547" s="10"/>
      <c r="F547" s="10"/>
      <c r="G547" s="10"/>
      <c r="H547" s="10"/>
      <c r="I547" s="10"/>
      <c r="K547" s="10"/>
      <c r="L547" s="10"/>
      <c r="P547" t="str">
        <f t="shared" si="20"/>
        <v/>
      </c>
    </row>
    <row r="548" spans="1:16" x14ac:dyDescent="0.3">
      <c r="A548" s="10"/>
      <c r="B548" s="10"/>
      <c r="C548" s="10"/>
      <c r="D548" s="10"/>
      <c r="E548" s="10"/>
      <c r="F548" s="10"/>
      <c r="G548" s="10"/>
      <c r="H548" s="10"/>
      <c r="I548" s="10"/>
      <c r="K548" s="10"/>
      <c r="L548" s="10"/>
      <c r="P548" t="str">
        <f t="shared" si="20"/>
        <v/>
      </c>
    </row>
    <row r="549" spans="1:16" x14ac:dyDescent="0.3">
      <c r="A549" s="10"/>
      <c r="B549" s="10"/>
      <c r="C549" s="10"/>
      <c r="D549" s="10"/>
      <c r="E549" s="10"/>
      <c r="F549" s="10"/>
      <c r="G549" s="10"/>
      <c r="H549" s="10"/>
      <c r="I549" s="10"/>
      <c r="K549" s="10"/>
      <c r="L549" s="10"/>
      <c r="P549" t="str">
        <f t="shared" si="20"/>
        <v/>
      </c>
    </row>
    <row r="550" spans="1:16" x14ac:dyDescent="0.3">
      <c r="A550" s="10"/>
      <c r="B550" s="10"/>
      <c r="C550" s="10"/>
      <c r="D550" s="10"/>
      <c r="E550" s="10"/>
      <c r="F550" s="10"/>
      <c r="G550" s="10"/>
      <c r="H550" s="10"/>
      <c r="I550" s="10"/>
      <c r="K550" s="10"/>
      <c r="L550" s="10"/>
      <c r="P550" t="str">
        <f t="shared" si="20"/>
        <v/>
      </c>
    </row>
    <row r="551" spans="1:16" x14ac:dyDescent="0.3">
      <c r="A551" s="10"/>
      <c r="B551" s="10"/>
      <c r="C551" s="10"/>
      <c r="D551" s="10"/>
      <c r="E551" s="10"/>
      <c r="F551" s="10"/>
      <c r="G551" s="10"/>
      <c r="H551" s="10"/>
      <c r="I551" s="10"/>
      <c r="K551" s="10"/>
      <c r="L551" s="10"/>
      <c r="P551" t="str">
        <f t="shared" si="20"/>
        <v/>
      </c>
    </row>
    <row r="552" spans="1:16" x14ac:dyDescent="0.3">
      <c r="A552" s="10"/>
      <c r="B552" s="10"/>
      <c r="C552" s="10"/>
      <c r="D552" s="10"/>
      <c r="E552" s="10"/>
      <c r="F552" s="10"/>
      <c r="G552" s="10"/>
      <c r="H552" s="10"/>
      <c r="I552" s="10"/>
      <c r="K552" s="10"/>
      <c r="L552" s="10"/>
      <c r="P552" t="str">
        <f t="shared" si="20"/>
        <v/>
      </c>
    </row>
    <row r="553" spans="1:16" x14ac:dyDescent="0.3">
      <c r="A553" s="10"/>
      <c r="B553" s="10"/>
      <c r="C553" s="10"/>
      <c r="D553" s="10"/>
      <c r="E553" s="10"/>
      <c r="F553" s="10"/>
      <c r="G553" s="10"/>
      <c r="H553" s="10"/>
      <c r="I553" s="10"/>
      <c r="K553" s="10"/>
      <c r="L553" s="10"/>
      <c r="P553" t="str">
        <f t="shared" si="20"/>
        <v/>
      </c>
    </row>
    <row r="554" spans="1:16" x14ac:dyDescent="0.3">
      <c r="A554" s="10"/>
      <c r="B554" s="10"/>
      <c r="C554" s="10"/>
      <c r="D554" s="10"/>
      <c r="E554" s="10"/>
      <c r="F554" s="10"/>
      <c r="G554" s="10"/>
      <c r="H554" s="10"/>
      <c r="I554" s="10"/>
      <c r="K554" s="10"/>
      <c r="L554" s="10"/>
      <c r="P554" t="str">
        <f t="shared" si="20"/>
        <v/>
      </c>
    </row>
    <row r="555" spans="1:16" x14ac:dyDescent="0.3">
      <c r="A555" s="10"/>
      <c r="B555" s="10"/>
      <c r="C555" s="10"/>
      <c r="D555" s="10"/>
      <c r="E555" s="10"/>
      <c r="F555" s="10"/>
      <c r="G555" s="10"/>
      <c r="H555" s="10"/>
      <c r="I555" s="10"/>
      <c r="K555" s="10"/>
      <c r="L555" s="10"/>
      <c r="P555" t="str">
        <f t="shared" si="20"/>
        <v/>
      </c>
    </row>
    <row r="556" spans="1:16" x14ac:dyDescent="0.3">
      <c r="A556" s="10"/>
      <c r="B556" s="10"/>
      <c r="C556" s="10"/>
      <c r="D556" s="10"/>
      <c r="E556" s="10"/>
      <c r="F556" s="10"/>
      <c r="G556" s="10"/>
      <c r="H556" s="10"/>
      <c r="I556" s="10"/>
      <c r="K556" s="10"/>
      <c r="L556" s="10"/>
      <c r="P556" t="str">
        <f t="shared" si="20"/>
        <v/>
      </c>
    </row>
    <row r="557" spans="1:16" x14ac:dyDescent="0.3">
      <c r="A557" s="10"/>
      <c r="B557" s="10"/>
      <c r="C557" s="10"/>
      <c r="D557" s="10"/>
      <c r="E557" s="10"/>
      <c r="F557" s="10"/>
      <c r="G557" s="10"/>
      <c r="H557" s="10"/>
      <c r="I557" s="10"/>
      <c r="K557" s="10"/>
      <c r="L557" s="10"/>
      <c r="P557" t="str">
        <f t="shared" si="20"/>
        <v/>
      </c>
    </row>
    <row r="558" spans="1:16" x14ac:dyDescent="0.3">
      <c r="A558" s="10"/>
      <c r="B558" s="10"/>
      <c r="C558" s="10"/>
      <c r="D558" s="10"/>
      <c r="E558" s="10"/>
      <c r="F558" s="10"/>
      <c r="G558" s="10"/>
      <c r="H558" s="10"/>
      <c r="I558" s="10"/>
      <c r="K558" s="10"/>
      <c r="L558" s="10"/>
      <c r="P558" t="str">
        <f t="shared" si="20"/>
        <v/>
      </c>
    </row>
    <row r="559" spans="1:16" x14ac:dyDescent="0.3">
      <c r="A559" s="10"/>
      <c r="B559" s="10"/>
      <c r="C559" s="10"/>
      <c r="D559" s="10"/>
      <c r="E559" s="10"/>
      <c r="F559" s="10"/>
      <c r="G559" s="10"/>
      <c r="H559" s="10"/>
      <c r="I559" s="10"/>
      <c r="K559" s="10"/>
      <c r="L559" s="10"/>
      <c r="P559" t="str">
        <f t="shared" si="20"/>
        <v/>
      </c>
    </row>
    <row r="560" spans="1:16" x14ac:dyDescent="0.3">
      <c r="A560" s="10"/>
      <c r="B560" s="10"/>
      <c r="C560" s="10"/>
      <c r="D560" s="10"/>
      <c r="E560" s="10"/>
      <c r="F560" s="10"/>
      <c r="G560" s="10"/>
      <c r="H560" s="10"/>
      <c r="I560" s="10"/>
      <c r="K560" s="10"/>
      <c r="L560" s="10"/>
      <c r="P560" t="str">
        <f t="shared" si="20"/>
        <v/>
      </c>
    </row>
    <row r="561" spans="1:16" x14ac:dyDescent="0.3">
      <c r="A561" s="10"/>
      <c r="B561" s="10"/>
      <c r="C561" s="10"/>
      <c r="D561" s="10"/>
      <c r="E561" s="10"/>
      <c r="F561" s="10"/>
      <c r="G561" s="10"/>
      <c r="H561" s="10"/>
      <c r="I561" s="10"/>
      <c r="K561" s="10"/>
      <c r="L561" s="10"/>
      <c r="P561" t="str">
        <f t="shared" si="20"/>
        <v/>
      </c>
    </row>
    <row r="562" spans="1:16" x14ac:dyDescent="0.3">
      <c r="A562" s="10"/>
      <c r="B562" s="10"/>
      <c r="C562" s="10"/>
      <c r="D562" s="10"/>
      <c r="E562" s="10"/>
      <c r="F562" s="10"/>
      <c r="G562" s="10"/>
      <c r="H562" s="10"/>
      <c r="I562" s="10"/>
      <c r="K562" s="10"/>
      <c r="L562" s="10"/>
      <c r="P562" t="str">
        <f t="shared" si="20"/>
        <v/>
      </c>
    </row>
    <row r="563" spans="1:16" x14ac:dyDescent="0.3">
      <c r="A563" s="10"/>
      <c r="B563" s="10"/>
      <c r="C563" s="10"/>
      <c r="D563" s="10"/>
      <c r="E563" s="10"/>
      <c r="F563" s="10"/>
      <c r="G563" s="10"/>
      <c r="H563" s="10"/>
      <c r="I563" s="10"/>
      <c r="K563" s="10"/>
      <c r="L563" s="10"/>
      <c r="P563" t="str">
        <f t="shared" si="20"/>
        <v/>
      </c>
    </row>
    <row r="564" spans="1:16" x14ac:dyDescent="0.3">
      <c r="A564" s="10"/>
      <c r="B564" s="10"/>
      <c r="C564" s="10"/>
      <c r="D564" s="10"/>
      <c r="E564" s="10"/>
      <c r="F564" s="10"/>
      <c r="G564" s="10"/>
      <c r="H564" s="10"/>
      <c r="I564" s="10"/>
      <c r="K564" s="10"/>
      <c r="L564" s="10"/>
      <c r="P564" t="str">
        <f t="shared" si="20"/>
        <v/>
      </c>
    </row>
    <row r="565" spans="1:16" x14ac:dyDescent="0.3">
      <c r="A565" s="10"/>
      <c r="B565" s="10"/>
      <c r="C565" s="10"/>
      <c r="D565" s="10"/>
      <c r="E565" s="10"/>
      <c r="F565" s="10"/>
      <c r="G565" s="10"/>
      <c r="H565" s="10"/>
      <c r="I565" s="10"/>
      <c r="K565" s="10"/>
      <c r="L565" s="10"/>
      <c r="P565" t="str">
        <f t="shared" si="20"/>
        <v/>
      </c>
    </row>
    <row r="566" spans="1:16" x14ac:dyDescent="0.3">
      <c r="A566" s="10"/>
      <c r="B566" s="10"/>
      <c r="C566" s="10"/>
      <c r="D566" s="10"/>
      <c r="E566" s="10"/>
      <c r="F566" s="10"/>
      <c r="G566" s="10"/>
      <c r="H566" s="10"/>
      <c r="I566" s="10"/>
      <c r="K566" s="10"/>
      <c r="L566" s="10"/>
      <c r="P566" t="str">
        <f t="shared" si="20"/>
        <v/>
      </c>
    </row>
    <row r="567" spans="1:16" x14ac:dyDescent="0.3">
      <c r="A567" s="10"/>
      <c r="B567" s="10"/>
      <c r="C567" s="10"/>
      <c r="D567" s="10"/>
      <c r="E567" s="10"/>
      <c r="F567" s="10"/>
      <c r="G567" s="10"/>
      <c r="H567" s="10"/>
      <c r="I567" s="10"/>
      <c r="K567" s="10"/>
      <c r="L567" s="10"/>
      <c r="P567" t="str">
        <f t="shared" si="20"/>
        <v/>
      </c>
    </row>
    <row r="568" spans="1:16" x14ac:dyDescent="0.3">
      <c r="A568" s="10"/>
      <c r="B568" s="10"/>
      <c r="C568" s="10"/>
      <c r="D568" s="10"/>
      <c r="E568" s="10"/>
      <c r="F568" s="10"/>
      <c r="G568" s="10"/>
      <c r="H568" s="10"/>
      <c r="I568" s="10"/>
      <c r="K568" s="10"/>
      <c r="L568" s="10"/>
      <c r="P568" t="str">
        <f t="shared" si="20"/>
        <v/>
      </c>
    </row>
    <row r="569" spans="1:16" x14ac:dyDescent="0.3">
      <c r="A569" s="10"/>
      <c r="B569" s="10"/>
      <c r="C569" s="10"/>
      <c r="D569" s="10"/>
      <c r="E569" s="10"/>
      <c r="F569" s="10"/>
      <c r="G569" s="10"/>
      <c r="H569" s="10"/>
      <c r="I569" s="10"/>
      <c r="K569" s="10"/>
      <c r="L569" s="10"/>
      <c r="P569" t="str">
        <f t="shared" si="20"/>
        <v/>
      </c>
    </row>
    <row r="570" spans="1:16" x14ac:dyDescent="0.3">
      <c r="A570" s="10"/>
      <c r="B570" s="10"/>
      <c r="C570" s="10"/>
      <c r="D570" s="10"/>
      <c r="E570" s="10"/>
      <c r="F570" s="10"/>
      <c r="G570" s="10"/>
      <c r="H570" s="10"/>
      <c r="I570" s="10"/>
      <c r="K570" s="10"/>
      <c r="L570" s="10"/>
      <c r="P570" t="str">
        <f t="shared" si="20"/>
        <v/>
      </c>
    </row>
    <row r="571" spans="1:16" x14ac:dyDescent="0.3">
      <c r="A571" s="10"/>
      <c r="B571" s="10"/>
      <c r="C571" s="10"/>
      <c r="D571" s="10"/>
      <c r="E571" s="10"/>
      <c r="F571" s="10"/>
      <c r="G571" s="10"/>
      <c r="H571" s="10"/>
      <c r="I571" s="10"/>
      <c r="K571" s="10"/>
      <c r="L571" s="10"/>
      <c r="P571" t="str">
        <f t="shared" si="20"/>
        <v/>
      </c>
    </row>
    <row r="572" spans="1:16" x14ac:dyDescent="0.3">
      <c r="A572" s="10"/>
      <c r="B572" s="10"/>
      <c r="C572" s="10"/>
      <c r="D572" s="10"/>
      <c r="E572" s="10"/>
      <c r="F572" s="10"/>
      <c r="G572" s="10"/>
      <c r="H572" s="10"/>
      <c r="I572" s="10"/>
      <c r="K572" s="10"/>
      <c r="L572" s="10"/>
      <c r="P572" t="str">
        <f t="shared" si="20"/>
        <v/>
      </c>
    </row>
    <row r="573" spans="1:16" x14ac:dyDescent="0.3">
      <c r="A573" s="10"/>
      <c r="B573" s="10"/>
      <c r="C573" s="10"/>
      <c r="D573" s="10"/>
      <c r="E573" s="10"/>
      <c r="F573" s="10"/>
      <c r="G573" s="10"/>
      <c r="H573" s="10"/>
      <c r="I573" s="10"/>
      <c r="K573" s="10"/>
      <c r="L573" s="10"/>
      <c r="P573" t="str">
        <f t="shared" si="20"/>
        <v/>
      </c>
    </row>
    <row r="574" spans="1:16" x14ac:dyDescent="0.3">
      <c r="A574" s="10"/>
      <c r="B574" s="10"/>
      <c r="C574" s="10"/>
      <c r="D574" s="10"/>
      <c r="E574" s="10"/>
      <c r="F574" s="10"/>
      <c r="G574" s="10"/>
      <c r="H574" s="10"/>
      <c r="I574" s="10"/>
      <c r="K574" s="10"/>
      <c r="L574" s="10"/>
      <c r="P574" t="str">
        <f t="shared" si="20"/>
        <v/>
      </c>
    </row>
    <row r="575" spans="1:16" x14ac:dyDescent="0.3">
      <c r="A575" s="10"/>
      <c r="B575" s="10"/>
      <c r="C575" s="10"/>
      <c r="D575" s="10"/>
      <c r="E575" s="10"/>
      <c r="F575" s="10"/>
      <c r="G575" s="10"/>
      <c r="H575" s="10"/>
      <c r="I575" s="10"/>
      <c r="K575" s="10"/>
      <c r="L575" s="10"/>
      <c r="P575" t="str">
        <f t="shared" si="20"/>
        <v/>
      </c>
    </row>
    <row r="576" spans="1:16" x14ac:dyDescent="0.3">
      <c r="A576" s="10"/>
      <c r="B576" s="10"/>
      <c r="C576" s="10"/>
      <c r="D576" s="10"/>
      <c r="E576" s="10"/>
      <c r="F576" s="10"/>
      <c r="G576" s="10"/>
      <c r="H576" s="10"/>
      <c r="I576" s="10"/>
      <c r="K576" s="10"/>
      <c r="L576" s="10"/>
      <c r="P576" t="str">
        <f t="shared" si="20"/>
        <v/>
      </c>
    </row>
    <row r="577" spans="1:16" x14ac:dyDescent="0.3">
      <c r="A577" s="10"/>
      <c r="B577" s="10"/>
      <c r="C577" s="10"/>
      <c r="D577" s="10"/>
      <c r="E577" s="10"/>
      <c r="F577" s="10"/>
      <c r="G577" s="10"/>
      <c r="H577" s="10"/>
      <c r="I577" s="10"/>
      <c r="K577" s="10"/>
      <c r="L577" s="10"/>
      <c r="P577" t="str">
        <f t="shared" si="20"/>
        <v/>
      </c>
    </row>
    <row r="578" spans="1:16" x14ac:dyDescent="0.3">
      <c r="A578" s="10"/>
      <c r="B578" s="10"/>
      <c r="C578" s="10"/>
      <c r="D578" s="10"/>
      <c r="E578" s="10"/>
      <c r="F578" s="10"/>
      <c r="G578" s="10"/>
      <c r="H578" s="10"/>
      <c r="I578" s="10"/>
      <c r="K578" s="10"/>
      <c r="L578" s="10"/>
      <c r="P578" t="str">
        <f t="shared" si="20"/>
        <v/>
      </c>
    </row>
    <row r="579" spans="1:16" x14ac:dyDescent="0.3">
      <c r="A579" s="10"/>
      <c r="B579" s="10"/>
      <c r="C579" s="10"/>
      <c r="D579" s="10"/>
      <c r="E579" s="10"/>
      <c r="F579" s="10"/>
      <c r="G579" s="10"/>
      <c r="H579" s="10"/>
      <c r="I579" s="10"/>
      <c r="K579" s="10"/>
      <c r="L579" s="10"/>
      <c r="P579" t="str">
        <f t="shared" si="20"/>
        <v/>
      </c>
    </row>
    <row r="580" spans="1:16" x14ac:dyDescent="0.3">
      <c r="A580" s="10"/>
      <c r="B580" s="10"/>
      <c r="C580" s="10"/>
      <c r="D580" s="10"/>
      <c r="E580" s="10"/>
      <c r="F580" s="10"/>
      <c r="G580" s="10"/>
      <c r="H580" s="10"/>
      <c r="I580" s="10"/>
      <c r="K580" s="10"/>
      <c r="L580" s="10"/>
      <c r="P580" t="str">
        <f t="shared" ref="P580:P643" si="21">IF($J580="","",IF(ABS($J580)&lt;=2,"OK","FORA (|SDI|&gt;2)"))</f>
        <v/>
      </c>
    </row>
    <row r="581" spans="1:16" x14ac:dyDescent="0.3">
      <c r="A581" s="10"/>
      <c r="B581" s="10"/>
      <c r="C581" s="10"/>
      <c r="D581" s="10"/>
      <c r="E581" s="10"/>
      <c r="F581" s="10"/>
      <c r="G581" s="10"/>
      <c r="H581" s="10"/>
      <c r="I581" s="10"/>
      <c r="K581" s="10"/>
      <c r="L581" s="10"/>
      <c r="P581" t="str">
        <f t="shared" si="21"/>
        <v/>
      </c>
    </row>
    <row r="582" spans="1:16" x14ac:dyDescent="0.3">
      <c r="A582" s="10"/>
      <c r="B582" s="10"/>
      <c r="C582" s="10"/>
      <c r="D582" s="10"/>
      <c r="E582" s="10"/>
      <c r="F582" s="10"/>
      <c r="G582" s="10"/>
      <c r="H582" s="10"/>
      <c r="I582" s="10"/>
      <c r="K582" s="10"/>
      <c r="L582" s="10"/>
      <c r="P582" t="str">
        <f t="shared" si="21"/>
        <v/>
      </c>
    </row>
    <row r="583" spans="1:16" x14ac:dyDescent="0.3">
      <c r="A583" s="10"/>
      <c r="B583" s="10"/>
      <c r="C583" s="10"/>
      <c r="D583" s="10"/>
      <c r="E583" s="10"/>
      <c r="F583" s="10"/>
      <c r="G583" s="10"/>
      <c r="H583" s="10"/>
      <c r="I583" s="10"/>
      <c r="K583" s="10"/>
      <c r="L583" s="10"/>
      <c r="P583" t="str">
        <f t="shared" si="21"/>
        <v/>
      </c>
    </row>
    <row r="584" spans="1:16" x14ac:dyDescent="0.3">
      <c r="A584" s="10"/>
      <c r="B584" s="10"/>
      <c r="C584" s="10"/>
      <c r="D584" s="10"/>
      <c r="E584" s="10"/>
      <c r="F584" s="10"/>
      <c r="G584" s="10"/>
      <c r="H584" s="10"/>
      <c r="I584" s="10"/>
      <c r="K584" s="10"/>
      <c r="L584" s="10"/>
      <c r="P584" t="str">
        <f t="shared" si="21"/>
        <v/>
      </c>
    </row>
    <row r="585" spans="1:16" x14ac:dyDescent="0.3">
      <c r="A585" s="10"/>
      <c r="B585" s="10"/>
      <c r="C585" s="10"/>
      <c r="D585" s="10"/>
      <c r="E585" s="10"/>
      <c r="F585" s="10"/>
      <c r="G585" s="10"/>
      <c r="H585" s="10"/>
      <c r="I585" s="10"/>
      <c r="K585" s="10"/>
      <c r="L585" s="10"/>
      <c r="P585" t="str">
        <f t="shared" si="21"/>
        <v/>
      </c>
    </row>
    <row r="586" spans="1:16" x14ac:dyDescent="0.3">
      <c r="A586" s="10"/>
      <c r="B586" s="10"/>
      <c r="C586" s="10"/>
      <c r="D586" s="10"/>
      <c r="E586" s="10"/>
      <c r="F586" s="10"/>
      <c r="G586" s="10"/>
      <c r="H586" s="10"/>
      <c r="I586" s="10"/>
      <c r="K586" s="10"/>
      <c r="L586" s="10"/>
      <c r="P586" t="str">
        <f t="shared" si="21"/>
        <v/>
      </c>
    </row>
    <row r="587" spans="1:16" x14ac:dyDescent="0.3">
      <c r="A587" s="10"/>
      <c r="B587" s="10"/>
      <c r="C587" s="10"/>
      <c r="D587" s="10"/>
      <c r="E587" s="10"/>
      <c r="F587" s="10"/>
      <c r="G587" s="10"/>
      <c r="H587" s="10"/>
      <c r="I587" s="10"/>
      <c r="K587" s="10"/>
      <c r="L587" s="10"/>
      <c r="P587" t="str">
        <f t="shared" si="21"/>
        <v/>
      </c>
    </row>
    <row r="588" spans="1:16" x14ac:dyDescent="0.3">
      <c r="A588" s="10"/>
      <c r="B588" s="10"/>
      <c r="C588" s="10"/>
      <c r="D588" s="10"/>
      <c r="E588" s="10"/>
      <c r="F588" s="10"/>
      <c r="G588" s="10"/>
      <c r="H588" s="10"/>
      <c r="I588" s="10"/>
      <c r="K588" s="10"/>
      <c r="L588" s="10"/>
      <c r="P588" t="str">
        <f t="shared" si="21"/>
        <v/>
      </c>
    </row>
    <row r="589" spans="1:16" x14ac:dyDescent="0.3">
      <c r="A589" s="10"/>
      <c r="B589" s="10"/>
      <c r="C589" s="10"/>
      <c r="D589" s="10"/>
      <c r="E589" s="10"/>
      <c r="F589" s="10"/>
      <c r="G589" s="10"/>
      <c r="H589" s="10"/>
      <c r="I589" s="10"/>
      <c r="K589" s="10"/>
      <c r="L589" s="10"/>
      <c r="P589" t="str">
        <f t="shared" si="21"/>
        <v/>
      </c>
    </row>
    <row r="590" spans="1:16" x14ac:dyDescent="0.3">
      <c r="A590" s="10"/>
      <c r="B590" s="10"/>
      <c r="C590" s="10"/>
      <c r="D590" s="10"/>
      <c r="E590" s="10"/>
      <c r="F590" s="10"/>
      <c r="G590" s="10"/>
      <c r="H590" s="10"/>
      <c r="I590" s="10"/>
      <c r="K590" s="10"/>
      <c r="L590" s="10"/>
      <c r="P590" t="str">
        <f t="shared" si="21"/>
        <v/>
      </c>
    </row>
    <row r="591" spans="1:16" x14ac:dyDescent="0.3">
      <c r="A591" s="10"/>
      <c r="B591" s="10"/>
      <c r="C591" s="10"/>
      <c r="D591" s="10"/>
      <c r="E591" s="10"/>
      <c r="F591" s="10"/>
      <c r="G591" s="10"/>
      <c r="H591" s="10"/>
      <c r="I591" s="10"/>
      <c r="K591" s="10"/>
      <c r="L591" s="10"/>
      <c r="P591" t="str">
        <f t="shared" si="21"/>
        <v/>
      </c>
    </row>
    <row r="592" spans="1:16" x14ac:dyDescent="0.3">
      <c r="A592" s="10"/>
      <c r="B592" s="10"/>
      <c r="C592" s="10"/>
      <c r="D592" s="10"/>
      <c r="E592" s="10"/>
      <c r="F592" s="10"/>
      <c r="G592" s="10"/>
      <c r="H592" s="10"/>
      <c r="I592" s="10"/>
      <c r="K592" s="10"/>
      <c r="L592" s="10"/>
      <c r="P592" t="str">
        <f t="shared" si="21"/>
        <v/>
      </c>
    </row>
    <row r="593" spans="1:16" x14ac:dyDescent="0.3">
      <c r="A593" s="10"/>
      <c r="B593" s="10"/>
      <c r="C593" s="10"/>
      <c r="D593" s="10"/>
      <c r="E593" s="10"/>
      <c r="F593" s="10"/>
      <c r="G593" s="10"/>
      <c r="H593" s="10"/>
      <c r="I593" s="10"/>
      <c r="K593" s="10"/>
      <c r="L593" s="10"/>
      <c r="P593" t="str">
        <f t="shared" si="21"/>
        <v/>
      </c>
    </row>
    <row r="594" spans="1:16" x14ac:dyDescent="0.3">
      <c r="A594" s="10"/>
      <c r="B594" s="10"/>
      <c r="C594" s="10"/>
      <c r="D594" s="10"/>
      <c r="E594" s="10"/>
      <c r="F594" s="10"/>
      <c r="G594" s="10"/>
      <c r="H594" s="10"/>
      <c r="I594" s="10"/>
      <c r="K594" s="10"/>
      <c r="L594" s="10"/>
      <c r="P594" t="str">
        <f t="shared" si="21"/>
        <v/>
      </c>
    </row>
    <row r="595" spans="1:16" x14ac:dyDescent="0.3">
      <c r="A595" s="10"/>
      <c r="B595" s="10"/>
      <c r="C595" s="10"/>
      <c r="D595" s="10"/>
      <c r="E595" s="10"/>
      <c r="F595" s="10"/>
      <c r="G595" s="10"/>
      <c r="H595" s="10"/>
      <c r="I595" s="10"/>
      <c r="K595" s="10"/>
      <c r="L595" s="10"/>
      <c r="P595" t="str">
        <f t="shared" si="21"/>
        <v/>
      </c>
    </row>
    <row r="596" spans="1:16" x14ac:dyDescent="0.3">
      <c r="A596" s="10"/>
      <c r="B596" s="10"/>
      <c r="C596" s="10"/>
      <c r="D596" s="10"/>
      <c r="E596" s="10"/>
      <c r="F596" s="10"/>
      <c r="G596" s="10"/>
      <c r="H596" s="10"/>
      <c r="I596" s="10"/>
      <c r="K596" s="10"/>
      <c r="L596" s="10"/>
      <c r="P596" t="str">
        <f t="shared" si="21"/>
        <v/>
      </c>
    </row>
    <row r="597" spans="1:16" x14ac:dyDescent="0.3">
      <c r="A597" s="10"/>
      <c r="B597" s="10"/>
      <c r="C597" s="10"/>
      <c r="D597" s="10"/>
      <c r="E597" s="10"/>
      <c r="F597" s="10"/>
      <c r="G597" s="10"/>
      <c r="H597" s="10"/>
      <c r="I597" s="10"/>
      <c r="K597" s="10"/>
      <c r="L597" s="10"/>
      <c r="P597" t="str">
        <f t="shared" si="21"/>
        <v/>
      </c>
    </row>
    <row r="598" spans="1:16" x14ac:dyDescent="0.3">
      <c r="A598" s="10"/>
      <c r="B598" s="10"/>
      <c r="C598" s="10"/>
      <c r="D598" s="10"/>
      <c r="E598" s="10"/>
      <c r="F598" s="10"/>
      <c r="G598" s="10"/>
      <c r="H598" s="10"/>
      <c r="I598" s="10"/>
      <c r="K598" s="10"/>
      <c r="L598" s="10"/>
      <c r="P598" t="str">
        <f t="shared" si="21"/>
        <v/>
      </c>
    </row>
    <row r="599" spans="1:16" x14ac:dyDescent="0.3">
      <c r="A599" s="10"/>
      <c r="B599" s="10"/>
      <c r="C599" s="10"/>
      <c r="D599" s="10"/>
      <c r="E599" s="10"/>
      <c r="F599" s="10"/>
      <c r="G599" s="10"/>
      <c r="H599" s="10"/>
      <c r="I599" s="10"/>
      <c r="K599" s="10"/>
      <c r="L599" s="10"/>
      <c r="P599" t="str">
        <f t="shared" si="21"/>
        <v/>
      </c>
    </row>
    <row r="600" spans="1:16" x14ac:dyDescent="0.3">
      <c r="A600" s="10"/>
      <c r="B600" s="10"/>
      <c r="C600" s="10"/>
      <c r="D600" s="10"/>
      <c r="E600" s="10"/>
      <c r="F600" s="10"/>
      <c r="G600" s="10"/>
      <c r="H600" s="10"/>
      <c r="I600" s="10"/>
      <c r="K600" s="10"/>
      <c r="L600" s="10"/>
      <c r="P600" t="str">
        <f t="shared" si="21"/>
        <v/>
      </c>
    </row>
    <row r="601" spans="1:16" x14ac:dyDescent="0.3">
      <c r="A601" s="10"/>
      <c r="B601" s="10"/>
      <c r="C601" s="10"/>
      <c r="D601" s="10"/>
      <c r="E601" s="10"/>
      <c r="F601" s="10"/>
      <c r="G601" s="10"/>
      <c r="H601" s="10"/>
      <c r="I601" s="10"/>
      <c r="K601" s="10"/>
      <c r="L601" s="10"/>
      <c r="P601" t="str">
        <f t="shared" si="21"/>
        <v/>
      </c>
    </row>
    <row r="602" spans="1:16" x14ac:dyDescent="0.3">
      <c r="A602" s="10"/>
      <c r="B602" s="10"/>
      <c r="C602" s="10"/>
      <c r="D602" s="10"/>
      <c r="E602" s="10"/>
      <c r="F602" s="10"/>
      <c r="G602" s="10"/>
      <c r="H602" s="10"/>
      <c r="I602" s="10"/>
      <c r="K602" s="10"/>
      <c r="L602" s="10"/>
      <c r="P602" t="str">
        <f t="shared" si="21"/>
        <v/>
      </c>
    </row>
    <row r="603" spans="1:16" x14ac:dyDescent="0.3">
      <c r="A603" s="10"/>
      <c r="B603" s="10"/>
      <c r="C603" s="10"/>
      <c r="D603" s="10"/>
      <c r="E603" s="10"/>
      <c r="F603" s="10"/>
      <c r="G603" s="10"/>
      <c r="H603" s="10"/>
      <c r="I603" s="10"/>
      <c r="K603" s="10"/>
      <c r="L603" s="10"/>
      <c r="P603" t="str">
        <f t="shared" si="21"/>
        <v/>
      </c>
    </row>
    <row r="604" spans="1:16" x14ac:dyDescent="0.3">
      <c r="A604" s="10"/>
      <c r="B604" s="10"/>
      <c r="C604" s="10"/>
      <c r="D604" s="10"/>
      <c r="E604" s="10"/>
      <c r="F604" s="10"/>
      <c r="G604" s="10"/>
      <c r="H604" s="10"/>
      <c r="I604" s="10"/>
      <c r="K604" s="10"/>
      <c r="L604" s="10"/>
      <c r="P604" t="str">
        <f t="shared" si="21"/>
        <v/>
      </c>
    </row>
    <row r="605" spans="1:16" x14ac:dyDescent="0.3">
      <c r="A605" s="10"/>
      <c r="B605" s="10"/>
      <c r="C605" s="10"/>
      <c r="D605" s="10"/>
      <c r="E605" s="10"/>
      <c r="F605" s="10"/>
      <c r="G605" s="10"/>
      <c r="H605" s="10"/>
      <c r="I605" s="10"/>
      <c r="K605" s="10"/>
      <c r="L605" s="10"/>
      <c r="P605" t="str">
        <f t="shared" si="21"/>
        <v/>
      </c>
    </row>
    <row r="606" spans="1:16" x14ac:dyDescent="0.3">
      <c r="A606" s="10"/>
      <c r="B606" s="10"/>
      <c r="C606" s="10"/>
      <c r="D606" s="10"/>
      <c r="E606" s="10"/>
      <c r="F606" s="10"/>
      <c r="G606" s="10"/>
      <c r="H606" s="10"/>
      <c r="I606" s="10"/>
      <c r="K606" s="10"/>
      <c r="L606" s="10"/>
      <c r="P606" t="str">
        <f t="shared" si="21"/>
        <v/>
      </c>
    </row>
    <row r="607" spans="1:16" x14ac:dyDescent="0.3">
      <c r="A607" s="10"/>
      <c r="B607" s="10"/>
      <c r="C607" s="10"/>
      <c r="D607" s="10"/>
      <c r="E607" s="10"/>
      <c r="F607" s="10"/>
      <c r="G607" s="10"/>
      <c r="H607" s="10"/>
      <c r="I607" s="10"/>
      <c r="K607" s="10"/>
      <c r="L607" s="10"/>
      <c r="P607" t="str">
        <f t="shared" si="21"/>
        <v/>
      </c>
    </row>
    <row r="608" spans="1:16" x14ac:dyDescent="0.3">
      <c r="A608" s="10"/>
      <c r="B608" s="10"/>
      <c r="C608" s="10"/>
      <c r="D608" s="10"/>
      <c r="E608" s="10"/>
      <c r="F608" s="10"/>
      <c r="G608" s="10"/>
      <c r="H608" s="10"/>
      <c r="I608" s="10"/>
      <c r="K608" s="10"/>
      <c r="L608" s="10"/>
      <c r="P608" t="str">
        <f t="shared" si="21"/>
        <v/>
      </c>
    </row>
    <row r="609" spans="1:16" x14ac:dyDescent="0.3">
      <c r="A609" s="10"/>
      <c r="B609" s="10"/>
      <c r="C609" s="10"/>
      <c r="D609" s="10"/>
      <c r="E609" s="10"/>
      <c r="F609" s="10"/>
      <c r="G609" s="10"/>
      <c r="H609" s="10"/>
      <c r="I609" s="10"/>
      <c r="K609" s="10"/>
      <c r="L609" s="10"/>
      <c r="P609" t="str">
        <f t="shared" si="21"/>
        <v/>
      </c>
    </row>
    <row r="610" spans="1:16" x14ac:dyDescent="0.3">
      <c r="A610" s="10"/>
      <c r="B610" s="10"/>
      <c r="C610" s="10"/>
      <c r="D610" s="10"/>
      <c r="E610" s="10"/>
      <c r="F610" s="10"/>
      <c r="G610" s="10"/>
      <c r="H610" s="10"/>
      <c r="I610" s="10"/>
      <c r="K610" s="10"/>
      <c r="L610" s="10"/>
      <c r="P610" t="str">
        <f t="shared" si="21"/>
        <v/>
      </c>
    </row>
    <row r="611" spans="1:16" x14ac:dyDescent="0.3">
      <c r="A611" s="10"/>
      <c r="B611" s="10"/>
      <c r="C611" s="10"/>
      <c r="D611" s="10"/>
      <c r="E611" s="10"/>
      <c r="F611" s="10"/>
      <c r="G611" s="10"/>
      <c r="H611" s="10"/>
      <c r="I611" s="10"/>
      <c r="K611" s="10"/>
      <c r="L611" s="10"/>
      <c r="P611" t="str">
        <f t="shared" si="21"/>
        <v/>
      </c>
    </row>
    <row r="612" spans="1:16" x14ac:dyDescent="0.3">
      <c r="A612" s="10"/>
      <c r="B612" s="10"/>
      <c r="C612" s="10"/>
      <c r="D612" s="10"/>
      <c r="E612" s="10"/>
      <c r="F612" s="10"/>
      <c r="G612" s="10"/>
      <c r="H612" s="10"/>
      <c r="I612" s="10"/>
      <c r="K612" s="10"/>
      <c r="L612" s="10"/>
      <c r="P612" t="str">
        <f t="shared" si="21"/>
        <v/>
      </c>
    </row>
    <row r="613" spans="1:16" x14ac:dyDescent="0.3">
      <c r="A613" s="10"/>
      <c r="B613" s="10"/>
      <c r="C613" s="10"/>
      <c r="D613" s="10"/>
      <c r="E613" s="10"/>
      <c r="F613" s="10"/>
      <c r="G613" s="10"/>
      <c r="H613" s="10"/>
      <c r="I613" s="10"/>
      <c r="K613" s="10"/>
      <c r="L613" s="10"/>
      <c r="P613" t="str">
        <f t="shared" si="21"/>
        <v/>
      </c>
    </row>
    <row r="614" spans="1:16" x14ac:dyDescent="0.3">
      <c r="A614" s="10"/>
      <c r="B614" s="10"/>
      <c r="C614" s="10"/>
      <c r="D614" s="10"/>
      <c r="E614" s="10"/>
      <c r="F614" s="10"/>
      <c r="G614" s="10"/>
      <c r="H614" s="10"/>
      <c r="I614" s="10"/>
      <c r="K614" s="10"/>
      <c r="L614" s="10"/>
      <c r="P614" t="str">
        <f t="shared" si="21"/>
        <v/>
      </c>
    </row>
    <row r="615" spans="1:16" x14ac:dyDescent="0.3">
      <c r="A615" s="10"/>
      <c r="B615" s="10"/>
      <c r="C615" s="10"/>
      <c r="D615" s="10"/>
      <c r="E615" s="10"/>
      <c r="F615" s="10"/>
      <c r="G615" s="10"/>
      <c r="H615" s="10"/>
      <c r="I615" s="10"/>
      <c r="K615" s="10"/>
      <c r="L615" s="10"/>
      <c r="P615" t="str">
        <f t="shared" si="21"/>
        <v/>
      </c>
    </row>
    <row r="616" spans="1:16" x14ac:dyDescent="0.3">
      <c r="A616" s="10"/>
      <c r="B616" s="10"/>
      <c r="C616" s="10"/>
      <c r="D616" s="10"/>
      <c r="E616" s="10"/>
      <c r="F616" s="10"/>
      <c r="G616" s="10"/>
      <c r="H616" s="10"/>
      <c r="I616" s="10"/>
      <c r="K616" s="10"/>
      <c r="L616" s="10"/>
      <c r="P616" t="str">
        <f t="shared" si="21"/>
        <v/>
      </c>
    </row>
    <row r="617" spans="1:16" x14ac:dyDescent="0.3">
      <c r="A617" s="10"/>
      <c r="B617" s="10"/>
      <c r="C617" s="10"/>
      <c r="D617" s="10"/>
      <c r="E617" s="10"/>
      <c r="F617" s="10"/>
      <c r="G617" s="10"/>
      <c r="H617" s="10"/>
      <c r="I617" s="10"/>
      <c r="K617" s="10"/>
      <c r="L617" s="10"/>
      <c r="P617" t="str">
        <f t="shared" si="21"/>
        <v/>
      </c>
    </row>
    <row r="618" spans="1:16" x14ac:dyDescent="0.3">
      <c r="A618" s="10"/>
      <c r="B618" s="10"/>
      <c r="C618" s="10"/>
      <c r="D618" s="10"/>
      <c r="E618" s="10"/>
      <c r="F618" s="10"/>
      <c r="G618" s="10"/>
      <c r="H618" s="10"/>
      <c r="I618" s="10"/>
      <c r="K618" s="10"/>
      <c r="L618" s="10"/>
      <c r="P618" t="str">
        <f t="shared" si="21"/>
        <v/>
      </c>
    </row>
    <row r="619" spans="1:16" x14ac:dyDescent="0.3">
      <c r="A619" s="10"/>
      <c r="B619" s="10"/>
      <c r="C619" s="10"/>
      <c r="D619" s="10"/>
      <c r="E619" s="10"/>
      <c r="F619" s="10"/>
      <c r="G619" s="10"/>
      <c r="H619" s="10"/>
      <c r="I619" s="10"/>
      <c r="K619" s="10"/>
      <c r="L619" s="10"/>
      <c r="P619" t="str">
        <f t="shared" si="21"/>
        <v/>
      </c>
    </row>
    <row r="620" spans="1:16" x14ac:dyDescent="0.3">
      <c r="A620" s="10"/>
      <c r="B620" s="10"/>
      <c r="C620" s="10"/>
      <c r="D620" s="10"/>
      <c r="E620" s="10"/>
      <c r="F620" s="10"/>
      <c r="G620" s="10"/>
      <c r="H620" s="10"/>
      <c r="I620" s="10"/>
      <c r="K620" s="10"/>
      <c r="L620" s="10"/>
      <c r="P620" t="str">
        <f t="shared" si="21"/>
        <v/>
      </c>
    </row>
    <row r="621" spans="1:16" x14ac:dyDescent="0.3">
      <c r="A621" s="10"/>
      <c r="B621" s="10"/>
      <c r="C621" s="10"/>
      <c r="D621" s="10"/>
      <c r="E621" s="10"/>
      <c r="F621" s="10"/>
      <c r="G621" s="10"/>
      <c r="H621" s="10"/>
      <c r="I621" s="10"/>
      <c r="K621" s="10"/>
      <c r="L621" s="10"/>
      <c r="P621" t="str">
        <f t="shared" si="21"/>
        <v/>
      </c>
    </row>
    <row r="622" spans="1:16" x14ac:dyDescent="0.3">
      <c r="A622" s="10"/>
      <c r="B622" s="10"/>
      <c r="C622" s="10"/>
      <c r="D622" s="10"/>
      <c r="E622" s="10"/>
      <c r="F622" s="10"/>
      <c r="G622" s="10"/>
      <c r="H622" s="10"/>
      <c r="I622" s="10"/>
      <c r="K622" s="10"/>
      <c r="L622" s="10"/>
      <c r="P622" t="str">
        <f t="shared" si="21"/>
        <v/>
      </c>
    </row>
    <row r="623" spans="1:16" x14ac:dyDescent="0.3">
      <c r="A623" s="10"/>
      <c r="B623" s="10"/>
      <c r="C623" s="10"/>
      <c r="D623" s="10"/>
      <c r="E623" s="10"/>
      <c r="F623" s="10"/>
      <c r="G623" s="10"/>
      <c r="H623" s="10"/>
      <c r="I623" s="10"/>
      <c r="K623" s="10"/>
      <c r="L623" s="10"/>
      <c r="P623" t="str">
        <f t="shared" si="21"/>
        <v/>
      </c>
    </row>
    <row r="624" spans="1:16" x14ac:dyDescent="0.3">
      <c r="A624" s="10"/>
      <c r="B624" s="10"/>
      <c r="C624" s="10"/>
      <c r="D624" s="10"/>
      <c r="E624" s="10"/>
      <c r="F624" s="10"/>
      <c r="G624" s="10"/>
      <c r="H624" s="10"/>
      <c r="I624" s="10"/>
      <c r="K624" s="10"/>
      <c r="L624" s="10"/>
      <c r="P624" t="str">
        <f t="shared" si="21"/>
        <v/>
      </c>
    </row>
    <row r="625" spans="1:16" x14ac:dyDescent="0.3">
      <c r="A625" s="10"/>
      <c r="B625" s="10"/>
      <c r="C625" s="10"/>
      <c r="D625" s="10"/>
      <c r="E625" s="10"/>
      <c r="F625" s="10"/>
      <c r="G625" s="10"/>
      <c r="H625" s="10"/>
      <c r="I625" s="10"/>
      <c r="K625" s="10"/>
      <c r="L625" s="10"/>
      <c r="P625" t="str">
        <f t="shared" si="21"/>
        <v/>
      </c>
    </row>
    <row r="626" spans="1:16" x14ac:dyDescent="0.3">
      <c r="A626" s="10"/>
      <c r="B626" s="10"/>
      <c r="C626" s="10"/>
      <c r="D626" s="10"/>
      <c r="E626" s="10"/>
      <c r="F626" s="10"/>
      <c r="G626" s="10"/>
      <c r="H626" s="10"/>
      <c r="I626" s="10"/>
      <c r="K626" s="10"/>
      <c r="L626" s="10"/>
      <c r="P626" t="str">
        <f t="shared" si="21"/>
        <v/>
      </c>
    </row>
    <row r="627" spans="1:16" x14ac:dyDescent="0.3">
      <c r="A627" s="10"/>
      <c r="B627" s="10"/>
      <c r="C627" s="10"/>
      <c r="D627" s="10"/>
      <c r="E627" s="10"/>
      <c r="F627" s="10"/>
      <c r="G627" s="10"/>
      <c r="H627" s="10"/>
      <c r="I627" s="10"/>
      <c r="K627" s="10"/>
      <c r="L627" s="10"/>
      <c r="P627" t="str">
        <f t="shared" si="21"/>
        <v/>
      </c>
    </row>
    <row r="628" spans="1:16" x14ac:dyDescent="0.3">
      <c r="A628" s="10"/>
      <c r="B628" s="10"/>
      <c r="C628" s="10"/>
      <c r="D628" s="10"/>
      <c r="E628" s="10"/>
      <c r="F628" s="10"/>
      <c r="G628" s="10"/>
      <c r="H628" s="10"/>
      <c r="I628" s="10"/>
      <c r="K628" s="10"/>
      <c r="L628" s="10"/>
      <c r="P628" t="str">
        <f t="shared" si="21"/>
        <v/>
      </c>
    </row>
    <row r="629" spans="1:16" x14ac:dyDescent="0.3">
      <c r="A629" s="10"/>
      <c r="B629" s="10"/>
      <c r="C629" s="10"/>
      <c r="D629" s="10"/>
      <c r="E629" s="10"/>
      <c r="F629" s="10"/>
      <c r="G629" s="10"/>
      <c r="H629" s="10"/>
      <c r="I629" s="10"/>
      <c r="K629" s="10"/>
      <c r="L629" s="10"/>
      <c r="P629" t="str">
        <f t="shared" si="21"/>
        <v/>
      </c>
    </row>
    <row r="630" spans="1:16" x14ac:dyDescent="0.3">
      <c r="A630" s="10"/>
      <c r="B630" s="10"/>
      <c r="C630" s="10"/>
      <c r="D630" s="10"/>
      <c r="E630" s="10"/>
      <c r="F630" s="10"/>
      <c r="G630" s="10"/>
      <c r="H630" s="10"/>
      <c r="I630" s="10"/>
      <c r="K630" s="10"/>
      <c r="L630" s="10"/>
      <c r="P630" t="str">
        <f t="shared" si="21"/>
        <v/>
      </c>
    </row>
    <row r="631" spans="1:16" x14ac:dyDescent="0.3">
      <c r="A631" s="10"/>
      <c r="B631" s="10"/>
      <c r="C631" s="10"/>
      <c r="D631" s="10"/>
      <c r="E631" s="10"/>
      <c r="F631" s="10"/>
      <c r="G631" s="10"/>
      <c r="H631" s="10"/>
      <c r="I631" s="10"/>
      <c r="K631" s="10"/>
      <c r="L631" s="10"/>
      <c r="P631" t="str">
        <f t="shared" si="21"/>
        <v/>
      </c>
    </row>
    <row r="632" spans="1:16" x14ac:dyDescent="0.3">
      <c r="A632" s="10"/>
      <c r="B632" s="10"/>
      <c r="C632" s="10"/>
      <c r="D632" s="10"/>
      <c r="E632" s="10"/>
      <c r="F632" s="10"/>
      <c r="G632" s="10"/>
      <c r="H632" s="10"/>
      <c r="I632" s="10"/>
      <c r="K632" s="10"/>
      <c r="L632" s="10"/>
      <c r="P632" t="str">
        <f t="shared" si="21"/>
        <v/>
      </c>
    </row>
    <row r="633" spans="1:16" x14ac:dyDescent="0.3">
      <c r="A633" s="10"/>
      <c r="B633" s="10"/>
      <c r="C633" s="10"/>
      <c r="D633" s="10"/>
      <c r="E633" s="10"/>
      <c r="F633" s="10"/>
      <c r="G633" s="10"/>
      <c r="H633" s="10"/>
      <c r="I633" s="10"/>
      <c r="K633" s="10"/>
      <c r="L633" s="10"/>
      <c r="P633" t="str">
        <f t="shared" si="21"/>
        <v/>
      </c>
    </row>
    <row r="634" spans="1:16" x14ac:dyDescent="0.3">
      <c r="A634" s="10"/>
      <c r="B634" s="10"/>
      <c r="C634" s="10"/>
      <c r="D634" s="10"/>
      <c r="E634" s="10"/>
      <c r="F634" s="10"/>
      <c r="G634" s="10"/>
      <c r="H634" s="10"/>
      <c r="I634" s="10"/>
      <c r="K634" s="10"/>
      <c r="L634" s="10"/>
      <c r="P634" t="str">
        <f t="shared" si="21"/>
        <v/>
      </c>
    </row>
    <row r="635" spans="1:16" x14ac:dyDescent="0.3">
      <c r="A635" s="10"/>
      <c r="B635" s="10"/>
      <c r="C635" s="10"/>
      <c r="D635" s="10"/>
      <c r="E635" s="10"/>
      <c r="F635" s="10"/>
      <c r="G635" s="10"/>
      <c r="H635" s="10"/>
      <c r="I635" s="10"/>
      <c r="K635" s="10"/>
      <c r="L635" s="10"/>
      <c r="P635" t="str">
        <f t="shared" si="21"/>
        <v/>
      </c>
    </row>
    <row r="636" spans="1:16" x14ac:dyDescent="0.3">
      <c r="A636" s="10"/>
      <c r="B636" s="10"/>
      <c r="C636" s="10"/>
      <c r="D636" s="10"/>
      <c r="E636" s="10"/>
      <c r="F636" s="10"/>
      <c r="G636" s="10"/>
      <c r="H636" s="10"/>
      <c r="I636" s="10"/>
      <c r="K636" s="10"/>
      <c r="L636" s="10"/>
      <c r="P636" t="str">
        <f t="shared" si="21"/>
        <v/>
      </c>
    </row>
    <row r="637" spans="1:16" x14ac:dyDescent="0.3">
      <c r="A637" s="10"/>
      <c r="B637" s="10"/>
      <c r="C637" s="10"/>
      <c r="D637" s="10"/>
      <c r="E637" s="10"/>
      <c r="F637" s="10"/>
      <c r="G637" s="10"/>
      <c r="H637" s="10"/>
      <c r="I637" s="10"/>
      <c r="K637" s="10"/>
      <c r="L637" s="10"/>
      <c r="P637" t="str">
        <f t="shared" si="21"/>
        <v/>
      </c>
    </row>
    <row r="638" spans="1:16" x14ac:dyDescent="0.3">
      <c r="A638" s="10"/>
      <c r="B638" s="10"/>
      <c r="C638" s="10"/>
      <c r="D638" s="10"/>
      <c r="E638" s="10"/>
      <c r="F638" s="10"/>
      <c r="G638" s="10"/>
      <c r="H638" s="10"/>
      <c r="I638" s="10"/>
      <c r="K638" s="10"/>
      <c r="L638" s="10"/>
      <c r="P638" t="str">
        <f t="shared" si="21"/>
        <v/>
      </c>
    </row>
    <row r="639" spans="1:16" x14ac:dyDescent="0.3">
      <c r="A639" s="10"/>
      <c r="B639" s="10"/>
      <c r="C639" s="10"/>
      <c r="D639" s="10"/>
      <c r="E639" s="10"/>
      <c r="F639" s="10"/>
      <c r="G639" s="10"/>
      <c r="H639" s="10"/>
      <c r="I639" s="10"/>
      <c r="K639" s="10"/>
      <c r="L639" s="10"/>
      <c r="P639" t="str">
        <f t="shared" si="21"/>
        <v/>
      </c>
    </row>
    <row r="640" spans="1:16" x14ac:dyDescent="0.3">
      <c r="A640" s="10"/>
      <c r="B640" s="10"/>
      <c r="C640" s="10"/>
      <c r="D640" s="10"/>
      <c r="E640" s="10"/>
      <c r="F640" s="10"/>
      <c r="G640" s="10"/>
      <c r="H640" s="10"/>
      <c r="I640" s="10"/>
      <c r="K640" s="10"/>
      <c r="L640" s="10"/>
      <c r="P640" t="str">
        <f t="shared" si="21"/>
        <v/>
      </c>
    </row>
    <row r="641" spans="1:16" x14ac:dyDescent="0.3">
      <c r="A641" s="10"/>
      <c r="B641" s="10"/>
      <c r="C641" s="10"/>
      <c r="D641" s="10"/>
      <c r="E641" s="10"/>
      <c r="F641" s="10"/>
      <c r="G641" s="10"/>
      <c r="H641" s="10"/>
      <c r="I641" s="10"/>
      <c r="K641" s="10"/>
      <c r="L641" s="10"/>
      <c r="P641" t="str">
        <f t="shared" si="21"/>
        <v/>
      </c>
    </row>
    <row r="642" spans="1:16" x14ac:dyDescent="0.3">
      <c r="A642" s="10"/>
      <c r="B642" s="10"/>
      <c r="C642" s="10"/>
      <c r="D642" s="10"/>
      <c r="E642" s="10"/>
      <c r="F642" s="10"/>
      <c r="G642" s="10"/>
      <c r="H642" s="10"/>
      <c r="I642" s="10"/>
      <c r="K642" s="10"/>
      <c r="L642" s="10"/>
      <c r="P642" t="str">
        <f t="shared" si="21"/>
        <v/>
      </c>
    </row>
    <row r="643" spans="1:16" x14ac:dyDescent="0.3">
      <c r="A643" s="10"/>
      <c r="B643" s="10"/>
      <c r="C643" s="10"/>
      <c r="D643" s="10"/>
      <c r="E643" s="10"/>
      <c r="F643" s="10"/>
      <c r="G643" s="10"/>
      <c r="H643" s="10"/>
      <c r="I643" s="10"/>
      <c r="K643" s="10"/>
      <c r="L643" s="10"/>
      <c r="P643" t="str">
        <f t="shared" si="21"/>
        <v/>
      </c>
    </row>
    <row r="644" spans="1:16" x14ac:dyDescent="0.3">
      <c r="A644" s="10"/>
      <c r="B644" s="10"/>
      <c r="C644" s="10"/>
      <c r="D644" s="10"/>
      <c r="E644" s="10"/>
      <c r="F644" s="10"/>
      <c r="G644" s="10"/>
      <c r="H644" s="10"/>
      <c r="I644" s="10"/>
      <c r="K644" s="10"/>
      <c r="L644" s="10"/>
      <c r="P644" t="str">
        <f t="shared" ref="P644:P707" si="22">IF($J644="","",IF(ABS($J644)&lt;=2,"OK","FORA (|SDI|&gt;2)"))</f>
        <v/>
      </c>
    </row>
    <row r="645" spans="1:16" x14ac:dyDescent="0.3">
      <c r="A645" s="10"/>
      <c r="B645" s="10"/>
      <c r="C645" s="10"/>
      <c r="D645" s="10"/>
      <c r="E645" s="10"/>
      <c r="F645" s="10"/>
      <c r="G645" s="10"/>
      <c r="H645" s="10"/>
      <c r="I645" s="10"/>
      <c r="K645" s="10"/>
      <c r="L645" s="10"/>
      <c r="P645" t="str">
        <f t="shared" si="22"/>
        <v/>
      </c>
    </row>
    <row r="646" spans="1:16" x14ac:dyDescent="0.3">
      <c r="A646" s="10"/>
      <c r="B646" s="10"/>
      <c r="C646" s="10"/>
      <c r="D646" s="10"/>
      <c r="E646" s="10"/>
      <c r="F646" s="10"/>
      <c r="G646" s="10"/>
      <c r="H646" s="10"/>
      <c r="I646" s="10"/>
      <c r="K646" s="10"/>
      <c r="L646" s="10"/>
      <c r="P646" t="str">
        <f t="shared" si="22"/>
        <v/>
      </c>
    </row>
    <row r="647" spans="1:16" x14ac:dyDescent="0.3">
      <c r="A647" s="10"/>
      <c r="B647" s="10"/>
      <c r="C647" s="10"/>
      <c r="D647" s="10"/>
      <c r="E647" s="10"/>
      <c r="F647" s="10"/>
      <c r="G647" s="10"/>
      <c r="H647" s="10"/>
      <c r="I647" s="10"/>
      <c r="K647" s="10"/>
      <c r="L647" s="10"/>
      <c r="P647" t="str">
        <f t="shared" si="22"/>
        <v/>
      </c>
    </row>
    <row r="648" spans="1:16" x14ac:dyDescent="0.3">
      <c r="A648" s="10"/>
      <c r="B648" s="10"/>
      <c r="C648" s="10"/>
      <c r="D648" s="10"/>
      <c r="E648" s="10"/>
      <c r="F648" s="10"/>
      <c r="G648" s="10"/>
      <c r="H648" s="10"/>
      <c r="I648" s="10"/>
      <c r="K648" s="10"/>
      <c r="L648" s="10"/>
      <c r="P648" t="str">
        <f t="shared" si="22"/>
        <v/>
      </c>
    </row>
    <row r="649" spans="1:16" x14ac:dyDescent="0.3">
      <c r="A649" s="10"/>
      <c r="B649" s="10"/>
      <c r="C649" s="10"/>
      <c r="D649" s="10"/>
      <c r="E649" s="10"/>
      <c r="F649" s="10"/>
      <c r="G649" s="10"/>
      <c r="H649" s="10"/>
      <c r="I649" s="10"/>
      <c r="K649" s="10"/>
      <c r="L649" s="10"/>
      <c r="P649" t="str">
        <f t="shared" si="22"/>
        <v/>
      </c>
    </row>
    <row r="650" spans="1:16" x14ac:dyDescent="0.3">
      <c r="A650" s="10"/>
      <c r="B650" s="10"/>
      <c r="C650" s="10"/>
      <c r="D650" s="10"/>
      <c r="E650" s="10"/>
      <c r="F650" s="10"/>
      <c r="G650" s="10"/>
      <c r="H650" s="10"/>
      <c r="I650" s="10"/>
      <c r="K650" s="10"/>
      <c r="L650" s="10"/>
      <c r="P650" t="str">
        <f t="shared" si="22"/>
        <v/>
      </c>
    </row>
    <row r="651" spans="1:16" x14ac:dyDescent="0.3">
      <c r="A651" s="10"/>
      <c r="B651" s="10"/>
      <c r="C651" s="10"/>
      <c r="D651" s="10"/>
      <c r="E651" s="10"/>
      <c r="F651" s="10"/>
      <c r="G651" s="10"/>
      <c r="H651" s="10"/>
      <c r="I651" s="10"/>
      <c r="K651" s="10"/>
      <c r="L651" s="10"/>
      <c r="P651" t="str">
        <f t="shared" si="22"/>
        <v/>
      </c>
    </row>
    <row r="652" spans="1:16" x14ac:dyDescent="0.3">
      <c r="A652" s="10"/>
      <c r="B652" s="10"/>
      <c r="C652" s="10"/>
      <c r="D652" s="10"/>
      <c r="E652" s="10"/>
      <c r="F652" s="10"/>
      <c r="G652" s="10"/>
      <c r="H652" s="10"/>
      <c r="I652" s="10"/>
      <c r="K652" s="10"/>
      <c r="L652" s="10"/>
      <c r="P652" t="str">
        <f t="shared" si="22"/>
        <v/>
      </c>
    </row>
    <row r="653" spans="1:16" x14ac:dyDescent="0.3">
      <c r="A653" s="10"/>
      <c r="B653" s="10"/>
      <c r="C653" s="10"/>
      <c r="D653" s="10"/>
      <c r="E653" s="10"/>
      <c r="F653" s="10"/>
      <c r="G653" s="10"/>
      <c r="H653" s="10"/>
      <c r="I653" s="10"/>
      <c r="K653" s="10"/>
      <c r="L653" s="10"/>
      <c r="P653" t="str">
        <f t="shared" si="22"/>
        <v/>
      </c>
    </row>
    <row r="654" spans="1:16" x14ac:dyDescent="0.3">
      <c r="A654" s="10"/>
      <c r="B654" s="10"/>
      <c r="C654" s="10"/>
      <c r="D654" s="10"/>
      <c r="E654" s="10"/>
      <c r="F654" s="10"/>
      <c r="G654" s="10"/>
      <c r="H654" s="10"/>
      <c r="I654" s="10"/>
      <c r="K654" s="10"/>
      <c r="L654" s="10"/>
      <c r="P654" t="str">
        <f t="shared" si="22"/>
        <v/>
      </c>
    </row>
    <row r="655" spans="1:16" x14ac:dyDescent="0.3">
      <c r="A655" s="10"/>
      <c r="B655" s="10"/>
      <c r="C655" s="10"/>
      <c r="D655" s="10"/>
      <c r="E655" s="10"/>
      <c r="F655" s="10"/>
      <c r="G655" s="10"/>
      <c r="H655" s="10"/>
      <c r="I655" s="10"/>
      <c r="K655" s="10"/>
      <c r="L655" s="10"/>
      <c r="P655" t="str">
        <f t="shared" si="22"/>
        <v/>
      </c>
    </row>
    <row r="656" spans="1:16" x14ac:dyDescent="0.3">
      <c r="A656" s="10"/>
      <c r="B656" s="10"/>
      <c r="C656" s="10"/>
      <c r="D656" s="10"/>
      <c r="E656" s="10"/>
      <c r="F656" s="10"/>
      <c r="G656" s="10"/>
      <c r="H656" s="10"/>
      <c r="I656" s="10"/>
      <c r="K656" s="10"/>
      <c r="L656" s="10"/>
      <c r="P656" t="str">
        <f t="shared" si="22"/>
        <v/>
      </c>
    </row>
    <row r="657" spans="1:16" x14ac:dyDescent="0.3">
      <c r="A657" s="10"/>
      <c r="B657" s="10"/>
      <c r="C657" s="10"/>
      <c r="D657" s="10"/>
      <c r="E657" s="10"/>
      <c r="F657" s="10"/>
      <c r="G657" s="10"/>
      <c r="H657" s="10"/>
      <c r="I657" s="10"/>
      <c r="K657" s="10"/>
      <c r="L657" s="10"/>
      <c r="P657" t="str">
        <f t="shared" si="22"/>
        <v/>
      </c>
    </row>
    <row r="658" spans="1:16" x14ac:dyDescent="0.3">
      <c r="A658" s="10"/>
      <c r="B658" s="10"/>
      <c r="C658" s="10"/>
      <c r="D658" s="10"/>
      <c r="E658" s="10"/>
      <c r="F658" s="10"/>
      <c r="G658" s="10"/>
      <c r="H658" s="10"/>
      <c r="I658" s="10"/>
      <c r="K658" s="10"/>
      <c r="L658" s="10"/>
      <c r="P658" t="str">
        <f t="shared" si="22"/>
        <v/>
      </c>
    </row>
    <row r="659" spans="1:16" x14ac:dyDescent="0.3">
      <c r="A659" s="10"/>
      <c r="B659" s="10"/>
      <c r="C659" s="10"/>
      <c r="D659" s="10"/>
      <c r="E659" s="10"/>
      <c r="F659" s="10"/>
      <c r="G659" s="10"/>
      <c r="H659" s="10"/>
      <c r="I659" s="10"/>
      <c r="K659" s="10"/>
      <c r="L659" s="10"/>
      <c r="P659" t="str">
        <f t="shared" si="22"/>
        <v/>
      </c>
    </row>
    <row r="660" spans="1:16" x14ac:dyDescent="0.3">
      <c r="A660" s="10"/>
      <c r="B660" s="10"/>
      <c r="C660" s="10"/>
      <c r="D660" s="10"/>
      <c r="E660" s="10"/>
      <c r="F660" s="10"/>
      <c r="G660" s="10"/>
      <c r="H660" s="10"/>
      <c r="I660" s="10"/>
      <c r="K660" s="10"/>
      <c r="L660" s="10"/>
      <c r="P660" t="str">
        <f t="shared" si="22"/>
        <v/>
      </c>
    </row>
    <row r="661" spans="1:16" x14ac:dyDescent="0.3">
      <c r="A661" s="10"/>
      <c r="B661" s="10"/>
      <c r="C661" s="10"/>
      <c r="D661" s="10"/>
      <c r="E661" s="10"/>
      <c r="F661" s="10"/>
      <c r="G661" s="10"/>
      <c r="H661" s="10"/>
      <c r="I661" s="10"/>
      <c r="K661" s="10"/>
      <c r="L661" s="10"/>
      <c r="P661" t="str">
        <f t="shared" si="22"/>
        <v/>
      </c>
    </row>
    <row r="662" spans="1:16" x14ac:dyDescent="0.3">
      <c r="A662" s="10"/>
      <c r="B662" s="10"/>
      <c r="C662" s="10"/>
      <c r="D662" s="10"/>
      <c r="E662" s="10"/>
      <c r="F662" s="10"/>
      <c r="G662" s="10"/>
      <c r="H662" s="10"/>
      <c r="I662" s="10"/>
      <c r="K662" s="10"/>
      <c r="L662" s="10"/>
      <c r="P662" t="str">
        <f t="shared" si="22"/>
        <v/>
      </c>
    </row>
    <row r="663" spans="1:16" x14ac:dyDescent="0.3">
      <c r="A663" s="10"/>
      <c r="B663" s="10"/>
      <c r="C663" s="10"/>
      <c r="D663" s="10"/>
      <c r="E663" s="10"/>
      <c r="F663" s="10"/>
      <c r="G663" s="10"/>
      <c r="H663" s="10"/>
      <c r="I663" s="10"/>
      <c r="K663" s="10"/>
      <c r="L663" s="10"/>
      <c r="P663" t="str">
        <f t="shared" si="22"/>
        <v/>
      </c>
    </row>
    <row r="664" spans="1:16" x14ac:dyDescent="0.3">
      <c r="A664" s="10"/>
      <c r="B664" s="10"/>
      <c r="C664" s="10"/>
      <c r="D664" s="10"/>
      <c r="E664" s="10"/>
      <c r="F664" s="10"/>
      <c r="G664" s="10"/>
      <c r="H664" s="10"/>
      <c r="I664" s="10"/>
      <c r="K664" s="10"/>
      <c r="L664" s="10"/>
      <c r="P664" t="str">
        <f t="shared" si="22"/>
        <v/>
      </c>
    </row>
    <row r="665" spans="1:16" x14ac:dyDescent="0.3">
      <c r="A665" s="10"/>
      <c r="B665" s="10"/>
      <c r="C665" s="10"/>
      <c r="D665" s="10"/>
      <c r="E665" s="10"/>
      <c r="F665" s="10"/>
      <c r="G665" s="10"/>
      <c r="H665" s="10"/>
      <c r="I665" s="10"/>
      <c r="K665" s="10"/>
      <c r="L665" s="10"/>
      <c r="P665" t="str">
        <f t="shared" si="22"/>
        <v/>
      </c>
    </row>
    <row r="666" spans="1:16" x14ac:dyDescent="0.3">
      <c r="A666" s="10"/>
      <c r="B666" s="10"/>
      <c r="C666" s="10"/>
      <c r="D666" s="10"/>
      <c r="E666" s="10"/>
      <c r="F666" s="10"/>
      <c r="G666" s="10"/>
      <c r="H666" s="10"/>
      <c r="I666" s="10"/>
      <c r="K666" s="10"/>
      <c r="L666" s="10"/>
      <c r="P666" t="str">
        <f t="shared" si="22"/>
        <v/>
      </c>
    </row>
    <row r="667" spans="1:16" x14ac:dyDescent="0.3">
      <c r="A667" s="10"/>
      <c r="B667" s="10"/>
      <c r="C667" s="10"/>
      <c r="D667" s="10"/>
      <c r="E667" s="10"/>
      <c r="F667" s="10"/>
      <c r="G667" s="10"/>
      <c r="H667" s="10"/>
      <c r="I667" s="10"/>
      <c r="K667" s="10"/>
      <c r="L667" s="10"/>
      <c r="P667" t="str">
        <f t="shared" si="22"/>
        <v/>
      </c>
    </row>
    <row r="668" spans="1:16" x14ac:dyDescent="0.3">
      <c r="A668" s="10"/>
      <c r="B668" s="10"/>
      <c r="C668" s="10"/>
      <c r="D668" s="10"/>
      <c r="E668" s="10"/>
      <c r="F668" s="10"/>
      <c r="G668" s="10"/>
      <c r="H668" s="10"/>
      <c r="I668" s="10"/>
      <c r="K668" s="10"/>
      <c r="L668" s="10"/>
      <c r="P668" t="str">
        <f t="shared" si="22"/>
        <v/>
      </c>
    </row>
    <row r="669" spans="1:16" x14ac:dyDescent="0.3">
      <c r="A669" s="10"/>
      <c r="B669" s="10"/>
      <c r="C669" s="10"/>
      <c r="D669" s="10"/>
      <c r="E669" s="10"/>
      <c r="F669" s="10"/>
      <c r="G669" s="10"/>
      <c r="H669" s="10"/>
      <c r="I669" s="10"/>
      <c r="K669" s="10"/>
      <c r="L669" s="10"/>
      <c r="P669" t="str">
        <f t="shared" si="22"/>
        <v/>
      </c>
    </row>
    <row r="670" spans="1:16" x14ac:dyDescent="0.3">
      <c r="A670" s="10"/>
      <c r="B670" s="10"/>
      <c r="C670" s="10"/>
      <c r="D670" s="10"/>
      <c r="E670" s="10"/>
      <c r="F670" s="10"/>
      <c r="G670" s="10"/>
      <c r="H670" s="10"/>
      <c r="I670" s="10"/>
      <c r="K670" s="10"/>
      <c r="L670" s="10"/>
      <c r="P670" t="str">
        <f t="shared" si="22"/>
        <v/>
      </c>
    </row>
    <row r="671" spans="1:16" x14ac:dyDescent="0.3">
      <c r="A671" s="10"/>
      <c r="B671" s="10"/>
      <c r="C671" s="10"/>
      <c r="D671" s="10"/>
      <c r="E671" s="10"/>
      <c r="F671" s="10"/>
      <c r="G671" s="10"/>
      <c r="H671" s="10"/>
      <c r="I671" s="10"/>
      <c r="K671" s="10"/>
      <c r="L671" s="10"/>
      <c r="P671" t="str">
        <f t="shared" si="22"/>
        <v/>
      </c>
    </row>
    <row r="672" spans="1:16" x14ac:dyDescent="0.3">
      <c r="A672" s="10"/>
      <c r="B672" s="10"/>
      <c r="C672" s="10"/>
      <c r="D672" s="10"/>
      <c r="E672" s="10"/>
      <c r="F672" s="10"/>
      <c r="G672" s="10"/>
      <c r="H672" s="10"/>
      <c r="I672" s="10"/>
      <c r="K672" s="10"/>
      <c r="L672" s="10"/>
      <c r="P672" t="str">
        <f t="shared" si="22"/>
        <v/>
      </c>
    </row>
    <row r="673" spans="1:16" x14ac:dyDescent="0.3">
      <c r="A673" s="10"/>
      <c r="B673" s="10"/>
      <c r="C673" s="10"/>
      <c r="D673" s="10"/>
      <c r="E673" s="10"/>
      <c r="F673" s="10"/>
      <c r="G673" s="10"/>
      <c r="H673" s="10"/>
      <c r="I673" s="10"/>
      <c r="K673" s="10"/>
      <c r="L673" s="10"/>
      <c r="P673" t="str">
        <f t="shared" si="22"/>
        <v/>
      </c>
    </row>
    <row r="674" spans="1:16" x14ac:dyDescent="0.3">
      <c r="A674" s="10"/>
      <c r="B674" s="10"/>
      <c r="C674" s="10"/>
      <c r="D674" s="10"/>
      <c r="E674" s="10"/>
      <c r="F674" s="10"/>
      <c r="G674" s="10"/>
      <c r="H674" s="10"/>
      <c r="I674" s="10"/>
      <c r="K674" s="10"/>
      <c r="L674" s="10"/>
      <c r="P674" t="str">
        <f t="shared" si="22"/>
        <v/>
      </c>
    </row>
    <row r="675" spans="1:16" x14ac:dyDescent="0.3">
      <c r="A675" s="10"/>
      <c r="B675" s="10"/>
      <c r="C675" s="10"/>
      <c r="D675" s="10"/>
      <c r="E675" s="10"/>
      <c r="F675" s="10"/>
      <c r="G675" s="10"/>
      <c r="H675" s="10"/>
      <c r="I675" s="10"/>
      <c r="K675" s="10"/>
      <c r="L675" s="10"/>
      <c r="P675" t="str">
        <f t="shared" si="22"/>
        <v/>
      </c>
    </row>
    <row r="676" spans="1:16" x14ac:dyDescent="0.3">
      <c r="A676" s="10"/>
      <c r="B676" s="10"/>
      <c r="C676" s="10"/>
      <c r="D676" s="10"/>
      <c r="E676" s="10"/>
      <c r="F676" s="10"/>
      <c r="G676" s="10"/>
      <c r="H676" s="10"/>
      <c r="I676" s="10"/>
      <c r="K676" s="10"/>
      <c r="L676" s="10"/>
      <c r="P676" t="str">
        <f t="shared" si="22"/>
        <v/>
      </c>
    </row>
    <row r="677" spans="1:16" x14ac:dyDescent="0.3">
      <c r="A677" s="10"/>
      <c r="B677" s="10"/>
      <c r="C677" s="10"/>
      <c r="D677" s="10"/>
      <c r="E677" s="10"/>
      <c r="F677" s="10"/>
      <c r="G677" s="10"/>
      <c r="H677" s="10"/>
      <c r="I677" s="10"/>
      <c r="K677" s="10"/>
      <c r="L677" s="10"/>
      <c r="P677" t="str">
        <f t="shared" si="22"/>
        <v/>
      </c>
    </row>
    <row r="678" spans="1:16" x14ac:dyDescent="0.3">
      <c r="A678" s="10"/>
      <c r="B678" s="10"/>
      <c r="C678" s="10"/>
      <c r="D678" s="10"/>
      <c r="E678" s="10"/>
      <c r="F678" s="10"/>
      <c r="G678" s="10"/>
      <c r="H678" s="10"/>
      <c r="I678" s="10"/>
      <c r="K678" s="10"/>
      <c r="L678" s="10"/>
      <c r="P678" t="str">
        <f t="shared" si="22"/>
        <v/>
      </c>
    </row>
    <row r="679" spans="1:16" x14ac:dyDescent="0.3">
      <c r="A679" s="10"/>
      <c r="B679" s="10"/>
      <c r="C679" s="10"/>
      <c r="D679" s="10"/>
      <c r="E679" s="10"/>
      <c r="F679" s="10"/>
      <c r="G679" s="10"/>
      <c r="H679" s="10"/>
      <c r="I679" s="10"/>
      <c r="K679" s="10"/>
      <c r="L679" s="10"/>
      <c r="P679" t="str">
        <f t="shared" si="22"/>
        <v/>
      </c>
    </row>
    <row r="680" spans="1:16" x14ac:dyDescent="0.3">
      <c r="A680" s="10"/>
      <c r="B680" s="10"/>
      <c r="C680" s="10"/>
      <c r="D680" s="10"/>
      <c r="E680" s="10"/>
      <c r="F680" s="10"/>
      <c r="G680" s="10"/>
      <c r="H680" s="10"/>
      <c r="I680" s="10"/>
      <c r="K680" s="10"/>
      <c r="L680" s="10"/>
      <c r="P680" t="str">
        <f t="shared" si="22"/>
        <v/>
      </c>
    </row>
    <row r="681" spans="1:16" x14ac:dyDescent="0.3">
      <c r="A681" s="10"/>
      <c r="B681" s="10"/>
      <c r="C681" s="10"/>
      <c r="D681" s="10"/>
      <c r="E681" s="10"/>
      <c r="F681" s="10"/>
      <c r="G681" s="10"/>
      <c r="H681" s="10"/>
      <c r="I681" s="10"/>
      <c r="K681" s="10"/>
      <c r="L681" s="10"/>
      <c r="P681" t="str">
        <f t="shared" si="22"/>
        <v/>
      </c>
    </row>
    <row r="682" spans="1:16" x14ac:dyDescent="0.3">
      <c r="A682" s="10"/>
      <c r="B682" s="10"/>
      <c r="C682" s="10"/>
      <c r="D682" s="10"/>
      <c r="E682" s="10"/>
      <c r="F682" s="10"/>
      <c r="G682" s="10"/>
      <c r="H682" s="10"/>
      <c r="I682" s="10"/>
      <c r="K682" s="10"/>
      <c r="L682" s="10"/>
      <c r="P682" t="str">
        <f t="shared" si="22"/>
        <v/>
      </c>
    </row>
    <row r="683" spans="1:16" x14ac:dyDescent="0.3">
      <c r="A683" s="10"/>
      <c r="B683" s="10"/>
      <c r="C683" s="10"/>
      <c r="D683" s="10"/>
      <c r="E683" s="10"/>
      <c r="F683" s="10"/>
      <c r="G683" s="10"/>
      <c r="H683" s="10"/>
      <c r="I683" s="10"/>
      <c r="K683" s="10"/>
      <c r="L683" s="10"/>
      <c r="P683" t="str">
        <f t="shared" si="22"/>
        <v/>
      </c>
    </row>
    <row r="684" spans="1:16" x14ac:dyDescent="0.3">
      <c r="A684" s="10"/>
      <c r="B684" s="10"/>
      <c r="C684" s="10"/>
      <c r="D684" s="10"/>
      <c r="E684" s="10"/>
      <c r="F684" s="10"/>
      <c r="G684" s="10"/>
      <c r="H684" s="10"/>
      <c r="I684" s="10"/>
      <c r="K684" s="10"/>
      <c r="L684" s="10"/>
      <c r="P684" t="str">
        <f t="shared" si="22"/>
        <v/>
      </c>
    </row>
    <row r="685" spans="1:16" x14ac:dyDescent="0.3">
      <c r="A685" s="10"/>
      <c r="B685" s="10"/>
      <c r="C685" s="10"/>
      <c r="D685" s="10"/>
      <c r="E685" s="10"/>
      <c r="F685" s="10"/>
      <c r="G685" s="10"/>
      <c r="H685" s="10"/>
      <c r="I685" s="10"/>
      <c r="K685" s="10"/>
      <c r="L685" s="10"/>
      <c r="P685" t="str">
        <f t="shared" si="22"/>
        <v/>
      </c>
    </row>
    <row r="686" spans="1:16" x14ac:dyDescent="0.3">
      <c r="A686" s="10"/>
      <c r="B686" s="10"/>
      <c r="C686" s="10"/>
      <c r="D686" s="10"/>
      <c r="E686" s="10"/>
      <c r="F686" s="10"/>
      <c r="G686" s="10"/>
      <c r="H686" s="10"/>
      <c r="I686" s="10"/>
      <c r="K686" s="10"/>
      <c r="L686" s="10"/>
      <c r="P686" t="str">
        <f t="shared" si="22"/>
        <v/>
      </c>
    </row>
    <row r="687" spans="1:16" x14ac:dyDescent="0.3">
      <c r="A687" s="10"/>
      <c r="B687" s="10"/>
      <c r="C687" s="10"/>
      <c r="D687" s="10"/>
      <c r="E687" s="10"/>
      <c r="F687" s="10"/>
      <c r="G687" s="10"/>
      <c r="H687" s="10"/>
      <c r="I687" s="10"/>
      <c r="K687" s="10"/>
      <c r="L687" s="10"/>
      <c r="P687" t="str">
        <f t="shared" si="22"/>
        <v/>
      </c>
    </row>
    <row r="688" spans="1:16" x14ac:dyDescent="0.3">
      <c r="A688" s="10"/>
      <c r="B688" s="10"/>
      <c r="C688" s="10"/>
      <c r="D688" s="10"/>
      <c r="E688" s="10"/>
      <c r="F688" s="10"/>
      <c r="G688" s="10"/>
      <c r="H688" s="10"/>
      <c r="I688" s="10"/>
      <c r="K688" s="10"/>
      <c r="L688" s="10"/>
      <c r="P688" t="str">
        <f t="shared" si="22"/>
        <v/>
      </c>
    </row>
    <row r="689" spans="1:16" x14ac:dyDescent="0.3">
      <c r="A689" s="10"/>
      <c r="B689" s="10"/>
      <c r="C689" s="10"/>
      <c r="D689" s="10"/>
      <c r="E689" s="10"/>
      <c r="F689" s="10"/>
      <c r="G689" s="10"/>
      <c r="H689" s="10"/>
      <c r="I689" s="10"/>
      <c r="K689" s="10"/>
      <c r="L689" s="10"/>
      <c r="P689" t="str">
        <f t="shared" si="22"/>
        <v/>
      </c>
    </row>
    <row r="690" spans="1:16" x14ac:dyDescent="0.3">
      <c r="A690" s="10"/>
      <c r="B690" s="10"/>
      <c r="C690" s="10"/>
      <c r="D690" s="10"/>
      <c r="E690" s="10"/>
      <c r="F690" s="10"/>
      <c r="G690" s="10"/>
      <c r="H690" s="10"/>
      <c r="I690" s="10"/>
      <c r="K690" s="10"/>
      <c r="L690" s="10"/>
      <c r="P690" t="str">
        <f t="shared" si="22"/>
        <v/>
      </c>
    </row>
    <row r="691" spans="1:16" x14ac:dyDescent="0.3">
      <c r="A691" s="10"/>
      <c r="B691" s="10"/>
      <c r="C691" s="10"/>
      <c r="D691" s="10"/>
      <c r="E691" s="10"/>
      <c r="F691" s="10"/>
      <c r="G691" s="10"/>
      <c r="H691" s="10"/>
      <c r="I691" s="10"/>
      <c r="K691" s="10"/>
      <c r="L691" s="10"/>
      <c r="P691" t="str">
        <f t="shared" si="22"/>
        <v/>
      </c>
    </row>
    <row r="692" spans="1:16" x14ac:dyDescent="0.3">
      <c r="A692" s="10"/>
      <c r="B692" s="10"/>
      <c r="C692" s="10"/>
      <c r="D692" s="10"/>
      <c r="E692" s="10"/>
      <c r="F692" s="10"/>
      <c r="G692" s="10"/>
      <c r="H692" s="10"/>
      <c r="I692" s="10"/>
      <c r="K692" s="10"/>
      <c r="L692" s="10"/>
      <c r="P692" t="str">
        <f t="shared" si="22"/>
        <v/>
      </c>
    </row>
    <row r="693" spans="1:16" x14ac:dyDescent="0.3">
      <c r="A693" s="10"/>
      <c r="B693" s="10"/>
      <c r="C693" s="10"/>
      <c r="D693" s="10"/>
      <c r="E693" s="10"/>
      <c r="F693" s="10"/>
      <c r="G693" s="10"/>
      <c r="H693" s="10"/>
      <c r="I693" s="10"/>
      <c r="K693" s="10"/>
      <c r="L693" s="10"/>
      <c r="P693" t="str">
        <f t="shared" si="22"/>
        <v/>
      </c>
    </row>
    <row r="694" spans="1:16" x14ac:dyDescent="0.3">
      <c r="A694" s="10"/>
      <c r="B694" s="10"/>
      <c r="C694" s="10"/>
      <c r="D694" s="10"/>
      <c r="E694" s="10"/>
      <c r="F694" s="10"/>
      <c r="G694" s="10"/>
      <c r="H694" s="10"/>
      <c r="I694" s="10"/>
      <c r="K694" s="10"/>
      <c r="L694" s="10"/>
      <c r="P694" t="str">
        <f t="shared" si="22"/>
        <v/>
      </c>
    </row>
    <row r="695" spans="1:16" x14ac:dyDescent="0.3">
      <c r="A695" s="10"/>
      <c r="B695" s="10"/>
      <c r="C695" s="10"/>
      <c r="D695" s="10"/>
      <c r="E695" s="10"/>
      <c r="F695" s="10"/>
      <c r="G695" s="10"/>
      <c r="H695" s="10"/>
      <c r="I695" s="10"/>
      <c r="K695" s="10"/>
      <c r="L695" s="10"/>
      <c r="P695" t="str">
        <f t="shared" si="22"/>
        <v/>
      </c>
    </row>
    <row r="696" spans="1:16" x14ac:dyDescent="0.3">
      <c r="A696" s="10"/>
      <c r="B696" s="10"/>
      <c r="C696" s="10"/>
      <c r="D696" s="10"/>
      <c r="E696" s="10"/>
      <c r="F696" s="10"/>
      <c r="G696" s="10"/>
      <c r="H696" s="10"/>
      <c r="I696" s="10"/>
      <c r="K696" s="10"/>
      <c r="L696" s="10"/>
      <c r="P696" t="str">
        <f t="shared" si="22"/>
        <v/>
      </c>
    </row>
    <row r="697" spans="1:16" x14ac:dyDescent="0.3">
      <c r="A697" s="10"/>
      <c r="B697" s="10"/>
      <c r="C697" s="10"/>
      <c r="D697" s="10"/>
      <c r="E697" s="10"/>
      <c r="F697" s="10"/>
      <c r="G697" s="10"/>
      <c r="H697" s="10"/>
      <c r="I697" s="10"/>
      <c r="K697" s="10"/>
      <c r="L697" s="10"/>
      <c r="P697" t="str">
        <f t="shared" si="22"/>
        <v/>
      </c>
    </row>
    <row r="698" spans="1:16" x14ac:dyDescent="0.3">
      <c r="A698" s="10"/>
      <c r="B698" s="10"/>
      <c r="C698" s="10"/>
      <c r="D698" s="10"/>
      <c r="E698" s="10"/>
      <c r="F698" s="10"/>
      <c r="G698" s="10"/>
      <c r="H698" s="10"/>
      <c r="I698" s="10"/>
      <c r="K698" s="10"/>
      <c r="L698" s="10"/>
      <c r="P698" t="str">
        <f t="shared" si="22"/>
        <v/>
      </c>
    </row>
    <row r="699" spans="1:16" x14ac:dyDescent="0.3">
      <c r="A699" s="10"/>
      <c r="B699" s="10"/>
      <c r="C699" s="10"/>
      <c r="D699" s="10"/>
      <c r="E699" s="10"/>
      <c r="F699" s="10"/>
      <c r="G699" s="10"/>
      <c r="H699" s="10"/>
      <c r="I699" s="10"/>
      <c r="K699" s="10"/>
      <c r="L699" s="10"/>
      <c r="P699" t="str">
        <f t="shared" si="22"/>
        <v/>
      </c>
    </row>
    <row r="700" spans="1:16" x14ac:dyDescent="0.3">
      <c r="A700" s="10"/>
      <c r="B700" s="10"/>
      <c r="C700" s="10"/>
      <c r="D700" s="10"/>
      <c r="E700" s="10"/>
      <c r="F700" s="10"/>
      <c r="G700" s="10"/>
      <c r="H700" s="10"/>
      <c r="I700" s="10"/>
      <c r="K700" s="10"/>
      <c r="L700" s="10"/>
      <c r="P700" t="str">
        <f t="shared" si="22"/>
        <v/>
      </c>
    </row>
    <row r="701" spans="1:16" x14ac:dyDescent="0.3">
      <c r="A701" s="10"/>
      <c r="B701" s="10"/>
      <c r="C701" s="10"/>
      <c r="D701" s="10"/>
      <c r="E701" s="10"/>
      <c r="F701" s="10"/>
      <c r="G701" s="10"/>
      <c r="H701" s="10"/>
      <c r="I701" s="10"/>
      <c r="K701" s="10"/>
      <c r="L701" s="10"/>
      <c r="P701" t="str">
        <f t="shared" si="22"/>
        <v/>
      </c>
    </row>
    <row r="702" spans="1:16" x14ac:dyDescent="0.3">
      <c r="A702" s="10"/>
      <c r="B702" s="10"/>
      <c r="C702" s="10"/>
      <c r="D702" s="10"/>
      <c r="E702" s="10"/>
      <c r="F702" s="10"/>
      <c r="G702" s="10"/>
      <c r="H702" s="10"/>
      <c r="I702" s="10"/>
      <c r="K702" s="10"/>
      <c r="L702" s="10"/>
      <c r="P702" t="str">
        <f t="shared" si="22"/>
        <v/>
      </c>
    </row>
    <row r="703" spans="1:16" x14ac:dyDescent="0.3">
      <c r="A703" s="10"/>
      <c r="B703" s="10"/>
      <c r="C703" s="10"/>
      <c r="D703" s="10"/>
      <c r="E703" s="10"/>
      <c r="F703" s="10"/>
      <c r="G703" s="10"/>
      <c r="H703" s="10"/>
      <c r="I703" s="10"/>
      <c r="K703" s="10"/>
      <c r="L703" s="10"/>
      <c r="P703" t="str">
        <f t="shared" si="22"/>
        <v/>
      </c>
    </row>
    <row r="704" spans="1:16" x14ac:dyDescent="0.3">
      <c r="A704" s="10"/>
      <c r="B704" s="10"/>
      <c r="C704" s="10"/>
      <c r="D704" s="10"/>
      <c r="E704" s="10"/>
      <c r="F704" s="10"/>
      <c r="G704" s="10"/>
      <c r="H704" s="10"/>
      <c r="I704" s="10"/>
      <c r="K704" s="10"/>
      <c r="L704" s="10"/>
      <c r="P704" t="str">
        <f t="shared" si="22"/>
        <v/>
      </c>
    </row>
    <row r="705" spans="1:16" x14ac:dyDescent="0.3">
      <c r="A705" s="10"/>
      <c r="B705" s="10"/>
      <c r="C705" s="10"/>
      <c r="D705" s="10"/>
      <c r="E705" s="10"/>
      <c r="F705" s="10"/>
      <c r="G705" s="10"/>
      <c r="H705" s="10"/>
      <c r="I705" s="10"/>
      <c r="K705" s="10"/>
      <c r="L705" s="10"/>
      <c r="P705" t="str">
        <f t="shared" si="22"/>
        <v/>
      </c>
    </row>
    <row r="706" spans="1:16" x14ac:dyDescent="0.3">
      <c r="A706" s="10"/>
      <c r="B706" s="10"/>
      <c r="C706" s="10"/>
      <c r="D706" s="10"/>
      <c r="E706" s="10"/>
      <c r="F706" s="10"/>
      <c r="G706" s="10"/>
      <c r="H706" s="10"/>
      <c r="I706" s="10"/>
      <c r="K706" s="10"/>
      <c r="L706" s="10"/>
      <c r="P706" t="str">
        <f t="shared" si="22"/>
        <v/>
      </c>
    </row>
    <row r="707" spans="1:16" x14ac:dyDescent="0.3">
      <c r="A707" s="10"/>
      <c r="B707" s="10"/>
      <c r="C707" s="10"/>
      <c r="D707" s="10"/>
      <c r="E707" s="10"/>
      <c r="F707" s="10"/>
      <c r="G707" s="10"/>
      <c r="H707" s="10"/>
      <c r="I707" s="10"/>
      <c r="K707" s="10"/>
      <c r="L707" s="10"/>
      <c r="P707" t="str">
        <f t="shared" si="22"/>
        <v/>
      </c>
    </row>
    <row r="708" spans="1:16" x14ac:dyDescent="0.3">
      <c r="A708" s="10"/>
      <c r="B708" s="10"/>
      <c r="C708" s="10"/>
      <c r="D708" s="10"/>
      <c r="E708" s="10"/>
      <c r="F708" s="10"/>
      <c r="G708" s="10"/>
      <c r="H708" s="10"/>
      <c r="I708" s="10"/>
      <c r="K708" s="10"/>
      <c r="L708" s="10"/>
      <c r="P708" t="str">
        <f t="shared" ref="P708:P771" si="23">IF($J708="","",IF(ABS($J708)&lt;=2,"OK","FORA (|SDI|&gt;2)"))</f>
        <v/>
      </c>
    </row>
    <row r="709" spans="1:16" x14ac:dyDescent="0.3">
      <c r="A709" s="10"/>
      <c r="B709" s="10"/>
      <c r="C709" s="10"/>
      <c r="D709" s="10"/>
      <c r="E709" s="10"/>
      <c r="F709" s="10"/>
      <c r="G709" s="10"/>
      <c r="H709" s="10"/>
      <c r="I709" s="10"/>
      <c r="K709" s="10"/>
      <c r="L709" s="10"/>
      <c r="P709" t="str">
        <f t="shared" si="23"/>
        <v/>
      </c>
    </row>
    <row r="710" spans="1:16" x14ac:dyDescent="0.3">
      <c r="A710" s="10"/>
      <c r="B710" s="10"/>
      <c r="C710" s="10"/>
      <c r="D710" s="10"/>
      <c r="E710" s="10"/>
      <c r="F710" s="10"/>
      <c r="G710" s="10"/>
      <c r="H710" s="10"/>
      <c r="I710" s="10"/>
      <c r="K710" s="10"/>
      <c r="L710" s="10"/>
      <c r="P710" t="str">
        <f t="shared" si="23"/>
        <v/>
      </c>
    </row>
    <row r="711" spans="1:16" x14ac:dyDescent="0.3">
      <c r="A711" s="10"/>
      <c r="B711" s="10"/>
      <c r="C711" s="10"/>
      <c r="D711" s="10"/>
      <c r="E711" s="10"/>
      <c r="F711" s="10"/>
      <c r="G711" s="10"/>
      <c r="H711" s="10"/>
      <c r="I711" s="10"/>
      <c r="K711" s="10"/>
      <c r="L711" s="10"/>
      <c r="P711" t="str">
        <f t="shared" si="23"/>
        <v/>
      </c>
    </row>
    <row r="712" spans="1:16" x14ac:dyDescent="0.3">
      <c r="A712" s="10"/>
      <c r="B712" s="10"/>
      <c r="C712" s="10"/>
      <c r="D712" s="10"/>
      <c r="E712" s="10"/>
      <c r="F712" s="10"/>
      <c r="G712" s="10"/>
      <c r="H712" s="10"/>
      <c r="I712" s="10"/>
      <c r="K712" s="10"/>
      <c r="L712" s="10"/>
      <c r="P712" t="str">
        <f t="shared" si="23"/>
        <v/>
      </c>
    </row>
    <row r="713" spans="1:16" x14ac:dyDescent="0.3">
      <c r="A713" s="10"/>
      <c r="B713" s="10"/>
      <c r="C713" s="10"/>
      <c r="D713" s="10"/>
      <c r="E713" s="10"/>
      <c r="F713" s="10"/>
      <c r="G713" s="10"/>
      <c r="H713" s="10"/>
      <c r="I713" s="10"/>
      <c r="K713" s="10"/>
      <c r="L713" s="10"/>
      <c r="P713" t="str">
        <f t="shared" si="23"/>
        <v/>
      </c>
    </row>
    <row r="714" spans="1:16" x14ac:dyDescent="0.3">
      <c r="A714" s="10"/>
      <c r="B714" s="10"/>
      <c r="C714" s="10"/>
      <c r="D714" s="10"/>
      <c r="E714" s="10"/>
      <c r="F714" s="10"/>
      <c r="G714" s="10"/>
      <c r="H714" s="10"/>
      <c r="I714" s="10"/>
      <c r="K714" s="10"/>
      <c r="L714" s="10"/>
      <c r="P714" t="str">
        <f t="shared" si="23"/>
        <v/>
      </c>
    </row>
    <row r="715" spans="1:16" x14ac:dyDescent="0.3">
      <c r="A715" s="10"/>
      <c r="B715" s="10"/>
      <c r="C715" s="10"/>
      <c r="D715" s="10"/>
      <c r="E715" s="10"/>
      <c r="F715" s="10"/>
      <c r="G715" s="10"/>
      <c r="H715" s="10"/>
      <c r="I715" s="10"/>
      <c r="K715" s="10"/>
      <c r="L715" s="10"/>
      <c r="P715" t="str">
        <f t="shared" si="23"/>
        <v/>
      </c>
    </row>
    <row r="716" spans="1:16" x14ac:dyDescent="0.3">
      <c r="A716" s="10"/>
      <c r="B716" s="10"/>
      <c r="C716" s="10"/>
      <c r="D716" s="10"/>
      <c r="E716" s="10"/>
      <c r="F716" s="10"/>
      <c r="G716" s="10"/>
      <c r="H716" s="10"/>
      <c r="I716" s="10"/>
      <c r="K716" s="10"/>
      <c r="L716" s="10"/>
      <c r="P716" t="str">
        <f t="shared" si="23"/>
        <v/>
      </c>
    </row>
    <row r="717" spans="1:16" x14ac:dyDescent="0.3">
      <c r="A717" s="10"/>
      <c r="B717" s="10"/>
      <c r="C717" s="10"/>
      <c r="D717" s="10"/>
      <c r="E717" s="10"/>
      <c r="F717" s="10"/>
      <c r="G717" s="10"/>
      <c r="H717" s="10"/>
      <c r="I717" s="10"/>
      <c r="K717" s="10"/>
      <c r="L717" s="10"/>
      <c r="P717" t="str">
        <f t="shared" si="23"/>
        <v/>
      </c>
    </row>
    <row r="718" spans="1:16" x14ac:dyDescent="0.3">
      <c r="A718" s="10"/>
      <c r="B718" s="10"/>
      <c r="C718" s="10"/>
      <c r="D718" s="10"/>
      <c r="E718" s="10"/>
      <c r="F718" s="10"/>
      <c r="G718" s="10"/>
      <c r="H718" s="10"/>
      <c r="I718" s="10"/>
      <c r="K718" s="10"/>
      <c r="L718" s="10"/>
      <c r="P718" t="str">
        <f t="shared" si="23"/>
        <v/>
      </c>
    </row>
    <row r="719" spans="1:16" x14ac:dyDescent="0.3">
      <c r="A719" s="10"/>
      <c r="B719" s="10"/>
      <c r="C719" s="10"/>
      <c r="D719" s="10"/>
      <c r="E719" s="10"/>
      <c r="F719" s="10"/>
      <c r="G719" s="10"/>
      <c r="H719" s="10"/>
      <c r="I719" s="10"/>
      <c r="K719" s="10"/>
      <c r="L719" s="10"/>
      <c r="P719" t="str">
        <f t="shared" si="23"/>
        <v/>
      </c>
    </row>
    <row r="720" spans="1:16" x14ac:dyDescent="0.3">
      <c r="A720" s="10"/>
      <c r="B720" s="10"/>
      <c r="C720" s="10"/>
      <c r="D720" s="10"/>
      <c r="E720" s="10"/>
      <c r="F720" s="10"/>
      <c r="G720" s="10"/>
      <c r="H720" s="10"/>
      <c r="I720" s="10"/>
      <c r="K720" s="10"/>
      <c r="L720" s="10"/>
      <c r="P720" t="str">
        <f t="shared" si="23"/>
        <v/>
      </c>
    </row>
    <row r="721" spans="1:16" x14ac:dyDescent="0.3">
      <c r="A721" s="10"/>
      <c r="B721" s="10"/>
      <c r="C721" s="10"/>
      <c r="D721" s="10"/>
      <c r="E721" s="10"/>
      <c r="F721" s="10"/>
      <c r="G721" s="10"/>
      <c r="H721" s="10"/>
      <c r="I721" s="10"/>
      <c r="K721" s="10"/>
      <c r="L721" s="10"/>
      <c r="P721" t="str">
        <f t="shared" si="23"/>
        <v/>
      </c>
    </row>
    <row r="722" spans="1:16" x14ac:dyDescent="0.3">
      <c r="A722" s="10"/>
      <c r="B722" s="10"/>
      <c r="C722" s="10"/>
      <c r="D722" s="10"/>
      <c r="E722" s="10"/>
      <c r="F722" s="10"/>
      <c r="G722" s="10"/>
      <c r="H722" s="10"/>
      <c r="I722" s="10"/>
      <c r="K722" s="10"/>
      <c r="L722" s="10"/>
      <c r="P722" t="str">
        <f t="shared" si="23"/>
        <v/>
      </c>
    </row>
    <row r="723" spans="1:16" x14ac:dyDescent="0.3">
      <c r="A723" s="10"/>
      <c r="B723" s="10"/>
      <c r="C723" s="10"/>
      <c r="D723" s="10"/>
      <c r="E723" s="10"/>
      <c r="F723" s="10"/>
      <c r="G723" s="10"/>
      <c r="H723" s="10"/>
      <c r="I723" s="10"/>
      <c r="K723" s="10"/>
      <c r="L723" s="10"/>
      <c r="P723" t="str">
        <f t="shared" si="23"/>
        <v/>
      </c>
    </row>
    <row r="724" spans="1:16" x14ac:dyDescent="0.3">
      <c r="A724" s="10"/>
      <c r="B724" s="10"/>
      <c r="C724" s="10"/>
      <c r="D724" s="10"/>
      <c r="E724" s="10"/>
      <c r="F724" s="10"/>
      <c r="G724" s="10"/>
      <c r="H724" s="10"/>
      <c r="I724" s="10"/>
      <c r="K724" s="10"/>
      <c r="L724" s="10"/>
      <c r="P724" t="str">
        <f t="shared" si="23"/>
        <v/>
      </c>
    </row>
    <row r="725" spans="1:16" x14ac:dyDescent="0.3">
      <c r="A725" s="10"/>
      <c r="B725" s="10"/>
      <c r="C725" s="10"/>
      <c r="D725" s="10"/>
      <c r="E725" s="10"/>
      <c r="F725" s="10"/>
      <c r="G725" s="10"/>
      <c r="H725" s="10"/>
      <c r="I725" s="10"/>
      <c r="K725" s="10"/>
      <c r="L725" s="10"/>
      <c r="P725" t="str">
        <f t="shared" si="23"/>
        <v/>
      </c>
    </row>
    <row r="726" spans="1:16" x14ac:dyDescent="0.3">
      <c r="A726" s="10"/>
      <c r="B726" s="10"/>
      <c r="C726" s="10"/>
      <c r="D726" s="10"/>
      <c r="E726" s="10"/>
      <c r="F726" s="10"/>
      <c r="G726" s="10"/>
      <c r="H726" s="10"/>
      <c r="I726" s="10"/>
      <c r="K726" s="10"/>
      <c r="L726" s="10"/>
      <c r="P726" t="str">
        <f t="shared" si="23"/>
        <v/>
      </c>
    </row>
    <row r="727" spans="1:16" x14ac:dyDescent="0.3">
      <c r="A727" s="10"/>
      <c r="B727" s="10"/>
      <c r="C727" s="10"/>
      <c r="D727" s="10"/>
      <c r="E727" s="10"/>
      <c r="F727" s="10"/>
      <c r="G727" s="10"/>
      <c r="H727" s="10"/>
      <c r="I727" s="10"/>
      <c r="K727" s="10"/>
      <c r="L727" s="10"/>
      <c r="P727" t="str">
        <f t="shared" si="23"/>
        <v/>
      </c>
    </row>
    <row r="728" spans="1:16" x14ac:dyDescent="0.3">
      <c r="A728" s="10"/>
      <c r="B728" s="10"/>
      <c r="C728" s="10"/>
      <c r="D728" s="10"/>
      <c r="E728" s="10"/>
      <c r="F728" s="10"/>
      <c r="G728" s="10"/>
      <c r="H728" s="10"/>
      <c r="I728" s="10"/>
      <c r="K728" s="10"/>
      <c r="L728" s="10"/>
      <c r="P728" t="str">
        <f t="shared" si="23"/>
        <v/>
      </c>
    </row>
    <row r="729" spans="1:16" x14ac:dyDescent="0.3">
      <c r="A729" s="10"/>
      <c r="B729" s="10"/>
      <c r="C729" s="10"/>
      <c r="D729" s="10"/>
      <c r="E729" s="10"/>
      <c r="F729" s="10"/>
      <c r="G729" s="10"/>
      <c r="H729" s="10"/>
      <c r="I729" s="10"/>
      <c r="K729" s="10"/>
      <c r="L729" s="10"/>
      <c r="P729" t="str">
        <f t="shared" si="23"/>
        <v/>
      </c>
    </row>
    <row r="730" spans="1:16" x14ac:dyDescent="0.3">
      <c r="A730" s="10"/>
      <c r="B730" s="10"/>
      <c r="C730" s="10"/>
      <c r="D730" s="10"/>
      <c r="E730" s="10"/>
      <c r="F730" s="10"/>
      <c r="G730" s="10"/>
      <c r="H730" s="10"/>
      <c r="I730" s="10"/>
      <c r="K730" s="10"/>
      <c r="L730" s="10"/>
      <c r="P730" t="str">
        <f t="shared" si="23"/>
        <v/>
      </c>
    </row>
    <row r="731" spans="1:16" x14ac:dyDescent="0.3">
      <c r="A731" s="10"/>
      <c r="B731" s="10"/>
      <c r="C731" s="10"/>
      <c r="D731" s="10"/>
      <c r="E731" s="10"/>
      <c r="F731" s="10"/>
      <c r="G731" s="10"/>
      <c r="H731" s="10"/>
      <c r="I731" s="10"/>
      <c r="K731" s="10"/>
      <c r="L731" s="10"/>
      <c r="P731" t="str">
        <f t="shared" si="23"/>
        <v/>
      </c>
    </row>
    <row r="732" spans="1:16" x14ac:dyDescent="0.3">
      <c r="A732" s="10"/>
      <c r="B732" s="10"/>
      <c r="C732" s="10"/>
      <c r="D732" s="10"/>
      <c r="E732" s="10"/>
      <c r="F732" s="10"/>
      <c r="G732" s="10"/>
      <c r="H732" s="10"/>
      <c r="I732" s="10"/>
      <c r="K732" s="10"/>
      <c r="L732" s="10"/>
      <c r="P732" t="str">
        <f t="shared" si="23"/>
        <v/>
      </c>
    </row>
    <row r="733" spans="1:16" x14ac:dyDescent="0.3">
      <c r="A733" s="10"/>
      <c r="B733" s="10"/>
      <c r="C733" s="10"/>
      <c r="D733" s="10"/>
      <c r="E733" s="10"/>
      <c r="F733" s="10"/>
      <c r="G733" s="10"/>
      <c r="H733" s="10"/>
      <c r="I733" s="10"/>
      <c r="K733" s="10"/>
      <c r="L733" s="10"/>
      <c r="P733" t="str">
        <f t="shared" si="23"/>
        <v/>
      </c>
    </row>
    <row r="734" spans="1:16" x14ac:dyDescent="0.3">
      <c r="A734" s="10"/>
      <c r="B734" s="10"/>
      <c r="C734" s="10"/>
      <c r="D734" s="10"/>
      <c r="E734" s="10"/>
      <c r="F734" s="10"/>
      <c r="G734" s="10"/>
      <c r="H734" s="10"/>
      <c r="I734" s="10"/>
      <c r="K734" s="10"/>
      <c r="L734" s="10"/>
      <c r="P734" t="str">
        <f t="shared" si="23"/>
        <v/>
      </c>
    </row>
    <row r="735" spans="1:16" x14ac:dyDescent="0.3">
      <c r="A735" s="10"/>
      <c r="B735" s="10"/>
      <c r="C735" s="10"/>
      <c r="D735" s="10"/>
      <c r="E735" s="10"/>
      <c r="F735" s="10"/>
      <c r="G735" s="10"/>
      <c r="H735" s="10"/>
      <c r="I735" s="10"/>
      <c r="K735" s="10"/>
      <c r="L735" s="10"/>
      <c r="P735" t="str">
        <f t="shared" si="23"/>
        <v/>
      </c>
    </row>
    <row r="736" spans="1:16" x14ac:dyDescent="0.3">
      <c r="A736" s="10"/>
      <c r="B736" s="10"/>
      <c r="C736" s="10"/>
      <c r="D736" s="10"/>
      <c r="E736" s="10"/>
      <c r="F736" s="10"/>
      <c r="G736" s="10"/>
      <c r="H736" s="10"/>
      <c r="I736" s="10"/>
      <c r="K736" s="10"/>
      <c r="L736" s="10"/>
      <c r="P736" t="str">
        <f t="shared" si="23"/>
        <v/>
      </c>
    </row>
    <row r="737" spans="1:16" x14ac:dyDescent="0.3">
      <c r="A737" s="10"/>
      <c r="B737" s="10"/>
      <c r="C737" s="10"/>
      <c r="D737" s="10"/>
      <c r="E737" s="10"/>
      <c r="F737" s="10"/>
      <c r="G737" s="10"/>
      <c r="H737" s="10"/>
      <c r="I737" s="10"/>
      <c r="K737" s="10"/>
      <c r="L737" s="10"/>
      <c r="P737" t="str">
        <f t="shared" si="23"/>
        <v/>
      </c>
    </row>
    <row r="738" spans="1:16" x14ac:dyDescent="0.3">
      <c r="A738" s="10"/>
      <c r="B738" s="10"/>
      <c r="C738" s="10"/>
      <c r="D738" s="10"/>
      <c r="E738" s="10"/>
      <c r="F738" s="10"/>
      <c r="G738" s="10"/>
      <c r="H738" s="10"/>
      <c r="I738" s="10"/>
      <c r="K738" s="10"/>
      <c r="L738" s="10"/>
      <c r="P738" t="str">
        <f t="shared" si="23"/>
        <v/>
      </c>
    </row>
    <row r="739" spans="1:16" x14ac:dyDescent="0.3">
      <c r="A739" s="10"/>
      <c r="B739" s="10"/>
      <c r="C739" s="10"/>
      <c r="D739" s="10"/>
      <c r="E739" s="10"/>
      <c r="F739" s="10"/>
      <c r="G739" s="10"/>
      <c r="H739" s="10"/>
      <c r="I739" s="10"/>
      <c r="K739" s="10"/>
      <c r="L739" s="10"/>
      <c r="P739" t="str">
        <f t="shared" si="23"/>
        <v/>
      </c>
    </row>
    <row r="740" spans="1:16" x14ac:dyDescent="0.3">
      <c r="A740" s="10"/>
      <c r="B740" s="10"/>
      <c r="C740" s="10"/>
      <c r="D740" s="10"/>
      <c r="E740" s="10"/>
      <c r="F740" s="10"/>
      <c r="G740" s="10"/>
      <c r="H740" s="10"/>
      <c r="I740" s="10"/>
      <c r="K740" s="10"/>
      <c r="L740" s="10"/>
      <c r="P740" t="str">
        <f t="shared" si="23"/>
        <v/>
      </c>
    </row>
    <row r="741" spans="1:16" x14ac:dyDescent="0.3">
      <c r="A741" s="10"/>
      <c r="B741" s="10"/>
      <c r="C741" s="10"/>
      <c r="D741" s="10"/>
      <c r="E741" s="10"/>
      <c r="F741" s="10"/>
      <c r="G741" s="10"/>
      <c r="H741" s="10"/>
      <c r="I741" s="10"/>
      <c r="K741" s="10"/>
      <c r="L741" s="10"/>
      <c r="P741" t="str">
        <f t="shared" si="23"/>
        <v/>
      </c>
    </row>
    <row r="742" spans="1:16" x14ac:dyDescent="0.3">
      <c r="A742" s="10"/>
      <c r="B742" s="10"/>
      <c r="C742" s="10"/>
      <c r="D742" s="10"/>
      <c r="E742" s="10"/>
      <c r="F742" s="10"/>
      <c r="G742" s="10"/>
      <c r="H742" s="10"/>
      <c r="I742" s="10"/>
      <c r="K742" s="10"/>
      <c r="L742" s="10"/>
      <c r="P742" t="str">
        <f t="shared" si="23"/>
        <v/>
      </c>
    </row>
    <row r="743" spans="1:16" x14ac:dyDescent="0.3">
      <c r="A743" s="10"/>
      <c r="B743" s="10"/>
      <c r="C743" s="10"/>
      <c r="D743" s="10"/>
      <c r="E743" s="10"/>
      <c r="F743" s="10"/>
      <c r="G743" s="10"/>
      <c r="H743" s="10"/>
      <c r="I743" s="10"/>
      <c r="K743" s="10"/>
      <c r="L743" s="10"/>
      <c r="P743" t="str">
        <f t="shared" si="23"/>
        <v/>
      </c>
    </row>
    <row r="744" spans="1:16" x14ac:dyDescent="0.3">
      <c r="A744" s="10"/>
      <c r="B744" s="10"/>
      <c r="C744" s="10"/>
      <c r="D744" s="10"/>
      <c r="E744" s="10"/>
      <c r="F744" s="10"/>
      <c r="G744" s="10"/>
      <c r="H744" s="10"/>
      <c r="I744" s="10"/>
      <c r="K744" s="10"/>
      <c r="L744" s="10"/>
      <c r="P744" t="str">
        <f t="shared" si="23"/>
        <v/>
      </c>
    </row>
    <row r="745" spans="1:16" x14ac:dyDescent="0.3">
      <c r="A745" s="10"/>
      <c r="B745" s="10"/>
      <c r="C745" s="10"/>
      <c r="D745" s="10"/>
      <c r="E745" s="10"/>
      <c r="F745" s="10"/>
      <c r="G745" s="10"/>
      <c r="H745" s="10"/>
      <c r="I745" s="10"/>
      <c r="K745" s="10"/>
      <c r="L745" s="10"/>
      <c r="P745" t="str">
        <f t="shared" si="23"/>
        <v/>
      </c>
    </row>
    <row r="746" spans="1:16" x14ac:dyDescent="0.3">
      <c r="A746" s="10"/>
      <c r="B746" s="10"/>
      <c r="C746" s="10"/>
      <c r="D746" s="10"/>
      <c r="E746" s="10"/>
      <c r="F746" s="10"/>
      <c r="G746" s="10"/>
      <c r="H746" s="10"/>
      <c r="I746" s="10"/>
      <c r="K746" s="10"/>
      <c r="L746" s="10"/>
      <c r="P746" t="str">
        <f t="shared" si="23"/>
        <v/>
      </c>
    </row>
    <row r="747" spans="1:16" x14ac:dyDescent="0.3">
      <c r="A747" s="10"/>
      <c r="B747" s="10"/>
      <c r="C747" s="10"/>
      <c r="D747" s="10"/>
      <c r="E747" s="10"/>
      <c r="F747" s="10"/>
      <c r="G747" s="10"/>
      <c r="H747" s="10"/>
      <c r="I747" s="10"/>
      <c r="K747" s="10"/>
      <c r="L747" s="10"/>
      <c r="P747" t="str">
        <f t="shared" si="23"/>
        <v/>
      </c>
    </row>
    <row r="748" spans="1:16" x14ac:dyDescent="0.3">
      <c r="A748" s="10"/>
      <c r="B748" s="10"/>
      <c r="C748" s="10"/>
      <c r="D748" s="10"/>
      <c r="E748" s="10"/>
      <c r="F748" s="10"/>
      <c r="G748" s="10"/>
      <c r="H748" s="10"/>
      <c r="I748" s="10"/>
      <c r="K748" s="10"/>
      <c r="L748" s="10"/>
      <c r="P748" t="str">
        <f t="shared" si="23"/>
        <v/>
      </c>
    </row>
    <row r="749" spans="1:16" x14ac:dyDescent="0.3">
      <c r="A749" s="10"/>
      <c r="B749" s="10"/>
      <c r="C749" s="10"/>
      <c r="D749" s="10"/>
      <c r="E749" s="10"/>
      <c r="F749" s="10"/>
      <c r="G749" s="10"/>
      <c r="H749" s="10"/>
      <c r="I749" s="10"/>
      <c r="K749" s="10"/>
      <c r="L749" s="10"/>
      <c r="P749" t="str">
        <f t="shared" si="23"/>
        <v/>
      </c>
    </row>
    <row r="750" spans="1:16" x14ac:dyDescent="0.3">
      <c r="A750" s="10"/>
      <c r="B750" s="10"/>
      <c r="C750" s="10"/>
      <c r="D750" s="10"/>
      <c r="E750" s="10"/>
      <c r="F750" s="10"/>
      <c r="G750" s="10"/>
      <c r="H750" s="10"/>
      <c r="I750" s="10"/>
      <c r="K750" s="10"/>
      <c r="L750" s="10"/>
      <c r="P750" t="str">
        <f t="shared" si="23"/>
        <v/>
      </c>
    </row>
    <row r="751" spans="1:16" x14ac:dyDescent="0.3">
      <c r="A751" s="10"/>
      <c r="B751" s="10"/>
      <c r="C751" s="10"/>
      <c r="D751" s="10"/>
      <c r="E751" s="10"/>
      <c r="F751" s="10"/>
      <c r="G751" s="10"/>
      <c r="H751" s="10"/>
      <c r="I751" s="10"/>
      <c r="K751" s="10"/>
      <c r="L751" s="10"/>
      <c r="P751" t="str">
        <f t="shared" si="23"/>
        <v/>
      </c>
    </row>
    <row r="752" spans="1:16" x14ac:dyDescent="0.3">
      <c r="A752" s="10"/>
      <c r="B752" s="10"/>
      <c r="C752" s="10"/>
      <c r="D752" s="10"/>
      <c r="E752" s="10"/>
      <c r="F752" s="10"/>
      <c r="G752" s="10"/>
      <c r="H752" s="10"/>
      <c r="I752" s="10"/>
      <c r="K752" s="10"/>
      <c r="L752" s="10"/>
      <c r="P752" t="str">
        <f t="shared" si="23"/>
        <v/>
      </c>
    </row>
    <row r="753" spans="1:16" x14ac:dyDescent="0.3">
      <c r="A753" s="10"/>
      <c r="B753" s="10"/>
      <c r="C753" s="10"/>
      <c r="D753" s="10"/>
      <c r="E753" s="10"/>
      <c r="F753" s="10"/>
      <c r="G753" s="10"/>
      <c r="H753" s="10"/>
      <c r="I753" s="10"/>
      <c r="K753" s="10"/>
      <c r="L753" s="10"/>
      <c r="P753" t="str">
        <f t="shared" si="23"/>
        <v/>
      </c>
    </row>
    <row r="754" spans="1:16" x14ac:dyDescent="0.3">
      <c r="A754" s="10"/>
      <c r="B754" s="10"/>
      <c r="C754" s="10"/>
      <c r="D754" s="10"/>
      <c r="E754" s="10"/>
      <c r="F754" s="10"/>
      <c r="G754" s="10"/>
      <c r="H754" s="10"/>
      <c r="I754" s="10"/>
      <c r="K754" s="10"/>
      <c r="L754" s="10"/>
      <c r="P754" t="str">
        <f t="shared" si="23"/>
        <v/>
      </c>
    </row>
    <row r="755" spans="1:16" x14ac:dyDescent="0.3">
      <c r="A755" s="10"/>
      <c r="B755" s="10"/>
      <c r="C755" s="10"/>
      <c r="D755" s="10"/>
      <c r="E755" s="10"/>
      <c r="F755" s="10"/>
      <c r="G755" s="10"/>
      <c r="H755" s="10"/>
      <c r="I755" s="10"/>
      <c r="K755" s="10"/>
      <c r="L755" s="10"/>
      <c r="P755" t="str">
        <f t="shared" si="23"/>
        <v/>
      </c>
    </row>
    <row r="756" spans="1:16" x14ac:dyDescent="0.3">
      <c r="A756" s="10"/>
      <c r="B756" s="10"/>
      <c r="C756" s="10"/>
      <c r="D756" s="10"/>
      <c r="E756" s="10"/>
      <c r="F756" s="10"/>
      <c r="G756" s="10"/>
      <c r="H756" s="10"/>
      <c r="I756" s="10"/>
      <c r="K756" s="10"/>
      <c r="L756" s="10"/>
      <c r="P756" t="str">
        <f t="shared" si="23"/>
        <v/>
      </c>
    </row>
    <row r="757" spans="1:16" x14ac:dyDescent="0.3">
      <c r="A757" s="10"/>
      <c r="B757" s="10"/>
      <c r="C757" s="10"/>
      <c r="D757" s="10"/>
      <c r="E757" s="10"/>
      <c r="F757" s="10"/>
      <c r="G757" s="10"/>
      <c r="H757" s="10"/>
      <c r="I757" s="10"/>
      <c r="K757" s="10"/>
      <c r="L757" s="10"/>
      <c r="P757" t="str">
        <f t="shared" si="23"/>
        <v/>
      </c>
    </row>
    <row r="758" spans="1:16" x14ac:dyDescent="0.3">
      <c r="A758" s="10"/>
      <c r="B758" s="10"/>
      <c r="C758" s="10"/>
      <c r="D758" s="10"/>
      <c r="E758" s="10"/>
      <c r="F758" s="10"/>
      <c r="G758" s="10"/>
      <c r="H758" s="10"/>
      <c r="I758" s="10"/>
      <c r="K758" s="10"/>
      <c r="L758" s="10"/>
      <c r="P758" t="str">
        <f t="shared" si="23"/>
        <v/>
      </c>
    </row>
    <row r="759" spans="1:16" x14ac:dyDescent="0.3">
      <c r="A759" s="10"/>
      <c r="B759" s="10"/>
      <c r="C759" s="10"/>
      <c r="D759" s="10"/>
      <c r="E759" s="10"/>
      <c r="F759" s="10"/>
      <c r="G759" s="10"/>
      <c r="H759" s="10"/>
      <c r="I759" s="10"/>
      <c r="K759" s="10"/>
      <c r="L759" s="10"/>
      <c r="P759" t="str">
        <f t="shared" si="23"/>
        <v/>
      </c>
    </row>
    <row r="760" spans="1:16" x14ac:dyDescent="0.3">
      <c r="A760" s="10"/>
      <c r="B760" s="10"/>
      <c r="C760" s="10"/>
      <c r="D760" s="10"/>
      <c r="E760" s="10"/>
      <c r="F760" s="10"/>
      <c r="G760" s="10"/>
      <c r="H760" s="10"/>
      <c r="I760" s="10"/>
      <c r="K760" s="10"/>
      <c r="L760" s="10"/>
      <c r="P760" t="str">
        <f t="shared" si="23"/>
        <v/>
      </c>
    </row>
    <row r="761" spans="1:16" x14ac:dyDescent="0.3">
      <c r="A761" s="10"/>
      <c r="B761" s="10"/>
      <c r="C761" s="10"/>
      <c r="D761" s="10"/>
      <c r="E761" s="10"/>
      <c r="F761" s="10"/>
      <c r="G761" s="10"/>
      <c r="H761" s="10"/>
      <c r="I761" s="10"/>
      <c r="K761" s="10"/>
      <c r="L761" s="10"/>
      <c r="P761" t="str">
        <f t="shared" si="23"/>
        <v/>
      </c>
    </row>
    <row r="762" spans="1:16" x14ac:dyDescent="0.3">
      <c r="A762" s="10"/>
      <c r="B762" s="10"/>
      <c r="C762" s="10"/>
      <c r="D762" s="10"/>
      <c r="E762" s="10"/>
      <c r="F762" s="10"/>
      <c r="G762" s="10"/>
      <c r="H762" s="10"/>
      <c r="I762" s="10"/>
      <c r="K762" s="10"/>
      <c r="L762" s="10"/>
      <c r="P762" t="str">
        <f t="shared" si="23"/>
        <v/>
      </c>
    </row>
    <row r="763" spans="1:16" x14ac:dyDescent="0.3">
      <c r="A763" s="10"/>
      <c r="B763" s="10"/>
      <c r="C763" s="10"/>
      <c r="D763" s="10"/>
      <c r="E763" s="10"/>
      <c r="F763" s="10"/>
      <c r="G763" s="10"/>
      <c r="H763" s="10"/>
      <c r="I763" s="10"/>
      <c r="K763" s="10"/>
      <c r="L763" s="10"/>
      <c r="P763" t="str">
        <f t="shared" si="23"/>
        <v/>
      </c>
    </row>
    <row r="764" spans="1:16" x14ac:dyDescent="0.3">
      <c r="A764" s="10"/>
      <c r="B764" s="10"/>
      <c r="C764" s="10"/>
      <c r="D764" s="10"/>
      <c r="E764" s="10"/>
      <c r="F764" s="10"/>
      <c r="G764" s="10"/>
      <c r="H764" s="10"/>
      <c r="I764" s="10"/>
      <c r="K764" s="10"/>
      <c r="L764" s="10"/>
      <c r="P764" t="str">
        <f t="shared" si="23"/>
        <v/>
      </c>
    </row>
    <row r="765" spans="1:16" x14ac:dyDescent="0.3">
      <c r="A765" s="10"/>
      <c r="B765" s="10"/>
      <c r="C765" s="10"/>
      <c r="D765" s="10"/>
      <c r="E765" s="10"/>
      <c r="F765" s="10"/>
      <c r="G765" s="10"/>
      <c r="H765" s="10"/>
      <c r="I765" s="10"/>
      <c r="K765" s="10"/>
      <c r="L765" s="10"/>
      <c r="P765" t="str">
        <f t="shared" si="23"/>
        <v/>
      </c>
    </row>
    <row r="766" spans="1:16" x14ac:dyDescent="0.3">
      <c r="A766" s="10"/>
      <c r="B766" s="10"/>
      <c r="C766" s="10"/>
      <c r="D766" s="10"/>
      <c r="E766" s="10"/>
      <c r="F766" s="10"/>
      <c r="G766" s="10"/>
      <c r="H766" s="10"/>
      <c r="I766" s="10"/>
      <c r="K766" s="10"/>
      <c r="L766" s="10"/>
      <c r="P766" t="str">
        <f t="shared" si="23"/>
        <v/>
      </c>
    </row>
    <row r="767" spans="1:16" x14ac:dyDescent="0.3">
      <c r="A767" s="10"/>
      <c r="B767" s="10"/>
      <c r="C767" s="10"/>
      <c r="D767" s="10"/>
      <c r="E767" s="10"/>
      <c r="F767" s="10"/>
      <c r="G767" s="10"/>
      <c r="H767" s="10"/>
      <c r="I767" s="10"/>
      <c r="K767" s="10"/>
      <c r="L767" s="10"/>
      <c r="P767" t="str">
        <f t="shared" si="23"/>
        <v/>
      </c>
    </row>
    <row r="768" spans="1:16" x14ac:dyDescent="0.3">
      <c r="A768" s="10"/>
      <c r="B768" s="10"/>
      <c r="C768" s="10"/>
      <c r="D768" s="10"/>
      <c r="E768" s="10"/>
      <c r="F768" s="10"/>
      <c r="G768" s="10"/>
      <c r="H768" s="10"/>
      <c r="I768" s="10"/>
      <c r="K768" s="10"/>
      <c r="L768" s="10"/>
      <c r="P768" t="str">
        <f t="shared" si="23"/>
        <v/>
      </c>
    </row>
    <row r="769" spans="1:16" x14ac:dyDescent="0.3">
      <c r="A769" s="10"/>
      <c r="B769" s="10"/>
      <c r="C769" s="10"/>
      <c r="D769" s="10"/>
      <c r="E769" s="10"/>
      <c r="F769" s="10"/>
      <c r="G769" s="10"/>
      <c r="H769" s="10"/>
      <c r="I769" s="10"/>
      <c r="K769" s="10"/>
      <c r="L769" s="10"/>
      <c r="P769" t="str">
        <f t="shared" si="23"/>
        <v/>
      </c>
    </row>
    <row r="770" spans="1:16" x14ac:dyDescent="0.3">
      <c r="A770" s="10"/>
      <c r="B770" s="10"/>
      <c r="C770" s="10"/>
      <c r="D770" s="10"/>
      <c r="E770" s="10"/>
      <c r="F770" s="10"/>
      <c r="G770" s="10"/>
      <c r="H770" s="10"/>
      <c r="I770" s="10"/>
      <c r="K770" s="10"/>
      <c r="L770" s="10"/>
      <c r="P770" t="str">
        <f t="shared" si="23"/>
        <v/>
      </c>
    </row>
    <row r="771" spans="1:16" x14ac:dyDescent="0.3">
      <c r="A771" s="10"/>
      <c r="B771" s="10"/>
      <c r="C771" s="10"/>
      <c r="D771" s="10"/>
      <c r="E771" s="10"/>
      <c r="F771" s="10"/>
      <c r="G771" s="10"/>
      <c r="H771" s="10"/>
      <c r="I771" s="10"/>
      <c r="K771" s="10"/>
      <c r="L771" s="10"/>
      <c r="P771" t="str">
        <f t="shared" si="23"/>
        <v/>
      </c>
    </row>
    <row r="772" spans="1:16" x14ac:dyDescent="0.3">
      <c r="A772" s="10"/>
      <c r="B772" s="10"/>
      <c r="C772" s="10"/>
      <c r="D772" s="10"/>
      <c r="E772" s="10"/>
      <c r="F772" s="10"/>
      <c r="G772" s="10"/>
      <c r="H772" s="10"/>
      <c r="I772" s="10"/>
      <c r="K772" s="10"/>
      <c r="L772" s="10"/>
      <c r="P772" t="str">
        <f t="shared" ref="P772:P835" si="24">IF($J772="","",IF(ABS($J772)&lt;=2,"OK","FORA (|SDI|&gt;2)"))</f>
        <v/>
      </c>
    </row>
    <row r="773" spans="1:16" x14ac:dyDescent="0.3">
      <c r="A773" s="10"/>
      <c r="B773" s="10"/>
      <c r="C773" s="10"/>
      <c r="D773" s="10"/>
      <c r="E773" s="10"/>
      <c r="F773" s="10"/>
      <c r="G773" s="10"/>
      <c r="H773" s="10"/>
      <c r="I773" s="10"/>
      <c r="K773" s="10"/>
      <c r="L773" s="10"/>
      <c r="P773" t="str">
        <f t="shared" si="24"/>
        <v/>
      </c>
    </row>
    <row r="774" spans="1:16" x14ac:dyDescent="0.3">
      <c r="A774" s="10"/>
      <c r="B774" s="10"/>
      <c r="C774" s="10"/>
      <c r="D774" s="10"/>
      <c r="E774" s="10"/>
      <c r="F774" s="10"/>
      <c r="G774" s="10"/>
      <c r="H774" s="10"/>
      <c r="I774" s="10"/>
      <c r="K774" s="10"/>
      <c r="L774" s="10"/>
      <c r="P774" t="str">
        <f t="shared" si="24"/>
        <v/>
      </c>
    </row>
    <row r="775" spans="1:16" x14ac:dyDescent="0.3">
      <c r="A775" s="10"/>
      <c r="B775" s="10"/>
      <c r="C775" s="10"/>
      <c r="D775" s="10"/>
      <c r="E775" s="10"/>
      <c r="F775" s="10"/>
      <c r="G775" s="10"/>
      <c r="H775" s="10"/>
      <c r="I775" s="10"/>
      <c r="K775" s="10"/>
      <c r="L775" s="10"/>
      <c r="P775" t="str">
        <f t="shared" si="24"/>
        <v/>
      </c>
    </row>
    <row r="776" spans="1:16" x14ac:dyDescent="0.3">
      <c r="A776" s="10"/>
      <c r="B776" s="10"/>
      <c r="C776" s="10"/>
      <c r="D776" s="10"/>
      <c r="E776" s="10"/>
      <c r="F776" s="10"/>
      <c r="G776" s="10"/>
      <c r="H776" s="10"/>
      <c r="I776" s="10"/>
      <c r="K776" s="10"/>
      <c r="L776" s="10"/>
      <c r="P776" t="str">
        <f t="shared" si="24"/>
        <v/>
      </c>
    </row>
    <row r="777" spans="1:16" x14ac:dyDescent="0.3">
      <c r="A777" s="10"/>
      <c r="B777" s="10"/>
      <c r="C777" s="10"/>
      <c r="D777" s="10"/>
      <c r="E777" s="10"/>
      <c r="F777" s="10"/>
      <c r="G777" s="10"/>
      <c r="H777" s="10"/>
      <c r="I777" s="10"/>
      <c r="K777" s="10"/>
      <c r="L777" s="10"/>
      <c r="P777" t="str">
        <f t="shared" si="24"/>
        <v/>
      </c>
    </row>
    <row r="778" spans="1:16" x14ac:dyDescent="0.3">
      <c r="A778" s="10"/>
      <c r="B778" s="10"/>
      <c r="C778" s="10"/>
      <c r="D778" s="10"/>
      <c r="E778" s="10"/>
      <c r="F778" s="10"/>
      <c r="G778" s="10"/>
      <c r="H778" s="10"/>
      <c r="I778" s="10"/>
      <c r="K778" s="10"/>
      <c r="L778" s="10"/>
      <c r="P778" t="str">
        <f t="shared" si="24"/>
        <v/>
      </c>
    </row>
    <row r="779" spans="1:16" x14ac:dyDescent="0.3">
      <c r="A779" s="10"/>
      <c r="B779" s="10"/>
      <c r="C779" s="10"/>
      <c r="D779" s="10"/>
      <c r="E779" s="10"/>
      <c r="F779" s="10"/>
      <c r="G779" s="10"/>
      <c r="H779" s="10"/>
      <c r="I779" s="10"/>
      <c r="K779" s="10"/>
      <c r="L779" s="10"/>
      <c r="P779" t="str">
        <f t="shared" si="24"/>
        <v/>
      </c>
    </row>
    <row r="780" spans="1:16" x14ac:dyDescent="0.3">
      <c r="A780" s="10"/>
      <c r="B780" s="10"/>
      <c r="C780" s="10"/>
      <c r="D780" s="10"/>
      <c r="E780" s="10"/>
      <c r="F780" s="10"/>
      <c r="G780" s="10"/>
      <c r="H780" s="10"/>
      <c r="I780" s="10"/>
      <c r="K780" s="10"/>
      <c r="L780" s="10"/>
      <c r="P780" t="str">
        <f t="shared" si="24"/>
        <v/>
      </c>
    </row>
    <row r="781" spans="1:16" x14ac:dyDescent="0.3">
      <c r="A781" s="10"/>
      <c r="B781" s="10"/>
      <c r="C781" s="10"/>
      <c r="D781" s="10"/>
      <c r="E781" s="10"/>
      <c r="F781" s="10"/>
      <c r="G781" s="10"/>
      <c r="H781" s="10"/>
      <c r="I781" s="10"/>
      <c r="K781" s="10"/>
      <c r="L781" s="10"/>
      <c r="P781" t="str">
        <f t="shared" si="24"/>
        <v/>
      </c>
    </row>
    <row r="782" spans="1:16" x14ac:dyDescent="0.3">
      <c r="A782" s="10"/>
      <c r="B782" s="10"/>
      <c r="C782" s="10"/>
      <c r="D782" s="10"/>
      <c r="E782" s="10"/>
      <c r="F782" s="10"/>
      <c r="G782" s="10"/>
      <c r="H782" s="10"/>
      <c r="I782" s="10"/>
      <c r="K782" s="10"/>
      <c r="L782" s="10"/>
      <c r="P782" t="str">
        <f t="shared" si="24"/>
        <v/>
      </c>
    </row>
    <row r="783" spans="1:16" x14ac:dyDescent="0.3">
      <c r="A783" s="10"/>
      <c r="B783" s="10"/>
      <c r="C783" s="10"/>
      <c r="D783" s="10"/>
      <c r="E783" s="10"/>
      <c r="F783" s="10"/>
      <c r="G783" s="10"/>
      <c r="H783" s="10"/>
      <c r="I783" s="10"/>
      <c r="K783" s="10"/>
      <c r="L783" s="10"/>
      <c r="P783" t="str">
        <f t="shared" si="24"/>
        <v/>
      </c>
    </row>
    <row r="784" spans="1:16" x14ac:dyDescent="0.3">
      <c r="A784" s="10"/>
      <c r="B784" s="10"/>
      <c r="C784" s="10"/>
      <c r="D784" s="10"/>
      <c r="E784" s="10"/>
      <c r="F784" s="10"/>
      <c r="G784" s="10"/>
      <c r="H784" s="10"/>
      <c r="I784" s="10"/>
      <c r="K784" s="10"/>
      <c r="L784" s="10"/>
      <c r="P784" t="str">
        <f t="shared" si="24"/>
        <v/>
      </c>
    </row>
    <row r="785" spans="1:16" x14ac:dyDescent="0.3">
      <c r="A785" s="10"/>
      <c r="B785" s="10"/>
      <c r="C785" s="10"/>
      <c r="D785" s="10"/>
      <c r="E785" s="10"/>
      <c r="F785" s="10"/>
      <c r="G785" s="10"/>
      <c r="H785" s="10"/>
      <c r="I785" s="10"/>
      <c r="K785" s="10"/>
      <c r="L785" s="10"/>
      <c r="P785" t="str">
        <f t="shared" si="24"/>
        <v/>
      </c>
    </row>
    <row r="786" spans="1:16" x14ac:dyDescent="0.3">
      <c r="A786" s="10"/>
      <c r="B786" s="10"/>
      <c r="C786" s="10"/>
      <c r="D786" s="10"/>
      <c r="E786" s="10"/>
      <c r="F786" s="10"/>
      <c r="G786" s="10"/>
      <c r="H786" s="10"/>
      <c r="I786" s="10"/>
      <c r="K786" s="10"/>
      <c r="L786" s="10"/>
      <c r="P786" t="str">
        <f t="shared" si="24"/>
        <v/>
      </c>
    </row>
    <row r="787" spans="1:16" x14ac:dyDescent="0.3">
      <c r="A787" s="10"/>
      <c r="B787" s="10"/>
      <c r="C787" s="10"/>
      <c r="D787" s="10"/>
      <c r="E787" s="10"/>
      <c r="F787" s="10"/>
      <c r="G787" s="10"/>
      <c r="H787" s="10"/>
      <c r="I787" s="10"/>
      <c r="K787" s="10"/>
      <c r="L787" s="10"/>
      <c r="P787" t="str">
        <f t="shared" si="24"/>
        <v/>
      </c>
    </row>
    <row r="788" spans="1:16" x14ac:dyDescent="0.3">
      <c r="A788" s="10"/>
      <c r="B788" s="10"/>
      <c r="C788" s="10"/>
      <c r="D788" s="10"/>
      <c r="E788" s="10"/>
      <c r="F788" s="10"/>
      <c r="G788" s="10"/>
      <c r="H788" s="10"/>
      <c r="I788" s="10"/>
      <c r="K788" s="10"/>
      <c r="L788" s="10"/>
      <c r="P788" t="str">
        <f t="shared" si="24"/>
        <v/>
      </c>
    </row>
    <row r="789" spans="1:16" x14ac:dyDescent="0.3">
      <c r="A789" s="10"/>
      <c r="B789" s="10"/>
      <c r="C789" s="10"/>
      <c r="D789" s="10"/>
      <c r="E789" s="10"/>
      <c r="F789" s="10"/>
      <c r="G789" s="10"/>
      <c r="H789" s="10"/>
      <c r="I789" s="10"/>
      <c r="K789" s="10"/>
      <c r="L789" s="10"/>
      <c r="P789" t="str">
        <f t="shared" si="24"/>
        <v/>
      </c>
    </row>
    <row r="790" spans="1:16" x14ac:dyDescent="0.3">
      <c r="A790" s="10"/>
      <c r="B790" s="10"/>
      <c r="C790" s="10"/>
      <c r="D790" s="10"/>
      <c r="E790" s="10"/>
      <c r="F790" s="10"/>
      <c r="G790" s="10"/>
      <c r="H790" s="10"/>
      <c r="I790" s="10"/>
      <c r="K790" s="10"/>
      <c r="L790" s="10"/>
      <c r="P790" t="str">
        <f t="shared" si="24"/>
        <v/>
      </c>
    </row>
    <row r="791" spans="1:16" x14ac:dyDescent="0.3">
      <c r="A791" s="10"/>
      <c r="B791" s="10"/>
      <c r="C791" s="10"/>
      <c r="D791" s="10"/>
      <c r="E791" s="10"/>
      <c r="F791" s="10"/>
      <c r="G791" s="10"/>
      <c r="H791" s="10"/>
      <c r="I791" s="10"/>
      <c r="K791" s="10"/>
      <c r="L791" s="10"/>
      <c r="P791" t="str">
        <f t="shared" si="24"/>
        <v/>
      </c>
    </row>
    <row r="792" spans="1:16" x14ac:dyDescent="0.3">
      <c r="A792" s="10"/>
      <c r="B792" s="10"/>
      <c r="C792" s="10"/>
      <c r="D792" s="10"/>
      <c r="E792" s="10"/>
      <c r="F792" s="10"/>
      <c r="G792" s="10"/>
      <c r="H792" s="10"/>
      <c r="I792" s="10"/>
      <c r="K792" s="10"/>
      <c r="L792" s="10"/>
      <c r="P792" t="str">
        <f t="shared" si="24"/>
        <v/>
      </c>
    </row>
    <row r="793" spans="1:16" x14ac:dyDescent="0.3">
      <c r="A793" s="10"/>
      <c r="B793" s="10"/>
      <c r="C793" s="10"/>
      <c r="D793" s="10"/>
      <c r="E793" s="10"/>
      <c r="F793" s="10"/>
      <c r="G793" s="10"/>
      <c r="H793" s="10"/>
      <c r="I793" s="10"/>
      <c r="K793" s="10"/>
      <c r="L793" s="10"/>
      <c r="P793" t="str">
        <f t="shared" si="24"/>
        <v/>
      </c>
    </row>
    <row r="794" spans="1:16" x14ac:dyDescent="0.3">
      <c r="A794" s="10"/>
      <c r="B794" s="10"/>
      <c r="C794" s="10"/>
      <c r="D794" s="10"/>
      <c r="E794" s="10"/>
      <c r="F794" s="10"/>
      <c r="G794" s="10"/>
      <c r="H794" s="10"/>
      <c r="I794" s="10"/>
      <c r="K794" s="10"/>
      <c r="L794" s="10"/>
      <c r="P794" t="str">
        <f t="shared" si="24"/>
        <v/>
      </c>
    </row>
    <row r="795" spans="1:16" x14ac:dyDescent="0.3">
      <c r="A795" s="10"/>
      <c r="B795" s="10"/>
      <c r="C795" s="10"/>
      <c r="D795" s="10"/>
      <c r="E795" s="10"/>
      <c r="F795" s="10"/>
      <c r="G795" s="10"/>
      <c r="H795" s="10"/>
      <c r="I795" s="10"/>
      <c r="K795" s="10"/>
      <c r="L795" s="10"/>
      <c r="P795" t="str">
        <f t="shared" si="24"/>
        <v/>
      </c>
    </row>
    <row r="796" spans="1:16" x14ac:dyDescent="0.3">
      <c r="A796" s="10"/>
      <c r="B796" s="10"/>
      <c r="C796" s="10"/>
      <c r="D796" s="10"/>
      <c r="E796" s="10"/>
      <c r="F796" s="10"/>
      <c r="G796" s="10"/>
      <c r="H796" s="10"/>
      <c r="I796" s="10"/>
      <c r="K796" s="10"/>
      <c r="L796" s="10"/>
      <c r="P796" t="str">
        <f t="shared" si="24"/>
        <v/>
      </c>
    </row>
    <row r="797" spans="1:16" x14ac:dyDescent="0.3">
      <c r="A797" s="10"/>
      <c r="B797" s="10"/>
      <c r="C797" s="10"/>
      <c r="D797" s="10"/>
      <c r="E797" s="10"/>
      <c r="F797" s="10"/>
      <c r="G797" s="10"/>
      <c r="H797" s="10"/>
      <c r="I797" s="10"/>
      <c r="K797" s="10"/>
      <c r="L797" s="10"/>
      <c r="P797" t="str">
        <f t="shared" si="24"/>
        <v/>
      </c>
    </row>
    <row r="798" spans="1:16" x14ac:dyDescent="0.3">
      <c r="A798" s="10"/>
      <c r="B798" s="10"/>
      <c r="C798" s="10"/>
      <c r="D798" s="10"/>
      <c r="E798" s="10"/>
      <c r="F798" s="10"/>
      <c r="G798" s="10"/>
      <c r="H798" s="10"/>
      <c r="I798" s="10"/>
      <c r="K798" s="10"/>
      <c r="L798" s="10"/>
      <c r="P798" t="str">
        <f t="shared" si="24"/>
        <v/>
      </c>
    </row>
    <row r="799" spans="1:16" x14ac:dyDescent="0.3">
      <c r="A799" s="10"/>
      <c r="B799" s="10"/>
      <c r="C799" s="10"/>
      <c r="D799" s="10"/>
      <c r="E799" s="10"/>
      <c r="F799" s="10"/>
      <c r="G799" s="10"/>
      <c r="H799" s="10"/>
      <c r="I799" s="10"/>
      <c r="K799" s="10"/>
      <c r="L799" s="10"/>
      <c r="P799" t="str">
        <f t="shared" si="24"/>
        <v/>
      </c>
    </row>
    <row r="800" spans="1:16" x14ac:dyDescent="0.3">
      <c r="A800" s="10"/>
      <c r="B800" s="10"/>
      <c r="C800" s="10"/>
      <c r="D800" s="10"/>
      <c r="E800" s="10"/>
      <c r="F800" s="10"/>
      <c r="G800" s="10"/>
      <c r="H800" s="10"/>
      <c r="I800" s="10"/>
      <c r="K800" s="10"/>
      <c r="L800" s="10"/>
      <c r="P800" t="str">
        <f t="shared" si="24"/>
        <v/>
      </c>
    </row>
    <row r="801" spans="1:16" x14ac:dyDescent="0.3">
      <c r="A801" s="10"/>
      <c r="B801" s="10"/>
      <c r="C801" s="10"/>
      <c r="D801" s="10"/>
      <c r="E801" s="10"/>
      <c r="F801" s="10"/>
      <c r="G801" s="10"/>
      <c r="H801" s="10"/>
      <c r="I801" s="10"/>
      <c r="K801" s="10"/>
      <c r="L801" s="10"/>
      <c r="P801" t="str">
        <f t="shared" si="24"/>
        <v/>
      </c>
    </row>
    <row r="802" spans="1:16" x14ac:dyDescent="0.3">
      <c r="A802" s="10"/>
      <c r="B802" s="10"/>
      <c r="C802" s="10"/>
      <c r="D802" s="10"/>
      <c r="E802" s="10"/>
      <c r="F802" s="10"/>
      <c r="G802" s="10"/>
      <c r="H802" s="10"/>
      <c r="I802" s="10"/>
      <c r="K802" s="10"/>
      <c r="L802" s="10"/>
      <c r="P802" t="str">
        <f t="shared" si="24"/>
        <v/>
      </c>
    </row>
    <row r="803" spans="1:16" x14ac:dyDescent="0.3">
      <c r="A803" s="10"/>
      <c r="B803" s="10"/>
      <c r="C803" s="10"/>
      <c r="D803" s="10"/>
      <c r="E803" s="10"/>
      <c r="F803" s="10"/>
      <c r="G803" s="10"/>
      <c r="H803" s="10"/>
      <c r="I803" s="10"/>
      <c r="K803" s="10"/>
      <c r="L803" s="10"/>
      <c r="P803" t="str">
        <f t="shared" si="24"/>
        <v/>
      </c>
    </row>
    <row r="804" spans="1:16" x14ac:dyDescent="0.3">
      <c r="A804" s="10"/>
      <c r="B804" s="10"/>
      <c r="C804" s="10"/>
      <c r="D804" s="10"/>
      <c r="E804" s="10"/>
      <c r="F804" s="10"/>
      <c r="G804" s="10"/>
      <c r="H804" s="10"/>
      <c r="I804" s="10"/>
      <c r="K804" s="10"/>
      <c r="L804" s="10"/>
      <c r="P804" t="str">
        <f t="shared" si="24"/>
        <v/>
      </c>
    </row>
    <row r="805" spans="1:16" x14ac:dyDescent="0.3">
      <c r="A805" s="10"/>
      <c r="B805" s="10"/>
      <c r="C805" s="10"/>
      <c r="D805" s="10"/>
      <c r="E805" s="10"/>
      <c r="F805" s="10"/>
      <c r="G805" s="10"/>
      <c r="H805" s="10"/>
      <c r="I805" s="10"/>
      <c r="K805" s="10"/>
      <c r="L805" s="10"/>
      <c r="P805" t="str">
        <f t="shared" si="24"/>
        <v/>
      </c>
    </row>
    <row r="806" spans="1:16" x14ac:dyDescent="0.3">
      <c r="A806" s="10"/>
      <c r="B806" s="10"/>
      <c r="C806" s="10"/>
      <c r="D806" s="10"/>
      <c r="E806" s="10"/>
      <c r="F806" s="10"/>
      <c r="G806" s="10"/>
      <c r="H806" s="10"/>
      <c r="I806" s="10"/>
      <c r="K806" s="10"/>
      <c r="L806" s="10"/>
      <c r="P806" t="str">
        <f t="shared" si="24"/>
        <v/>
      </c>
    </row>
    <row r="807" spans="1:16" x14ac:dyDescent="0.3">
      <c r="A807" s="10"/>
      <c r="B807" s="10"/>
      <c r="C807" s="10"/>
      <c r="D807" s="10"/>
      <c r="E807" s="10"/>
      <c r="F807" s="10"/>
      <c r="G807" s="10"/>
      <c r="H807" s="10"/>
      <c r="I807" s="10"/>
      <c r="K807" s="10"/>
      <c r="L807" s="10"/>
      <c r="P807" t="str">
        <f t="shared" si="24"/>
        <v/>
      </c>
    </row>
    <row r="808" spans="1:16" x14ac:dyDescent="0.3">
      <c r="A808" s="10"/>
      <c r="B808" s="10"/>
      <c r="C808" s="10"/>
      <c r="D808" s="10"/>
      <c r="E808" s="10"/>
      <c r="F808" s="10"/>
      <c r="G808" s="10"/>
      <c r="H808" s="10"/>
      <c r="I808" s="10"/>
      <c r="K808" s="10"/>
      <c r="L808" s="10"/>
      <c r="P808" t="str">
        <f t="shared" si="24"/>
        <v/>
      </c>
    </row>
    <row r="809" spans="1:16" x14ac:dyDescent="0.3">
      <c r="A809" s="10"/>
      <c r="B809" s="10"/>
      <c r="C809" s="10"/>
      <c r="D809" s="10"/>
      <c r="E809" s="10"/>
      <c r="F809" s="10"/>
      <c r="G809" s="10"/>
      <c r="H809" s="10"/>
      <c r="I809" s="10"/>
      <c r="K809" s="10"/>
      <c r="L809" s="10"/>
      <c r="P809" t="str">
        <f t="shared" si="24"/>
        <v/>
      </c>
    </row>
    <row r="810" spans="1:16" x14ac:dyDescent="0.3">
      <c r="A810" s="10"/>
      <c r="B810" s="10"/>
      <c r="C810" s="10"/>
      <c r="D810" s="10"/>
      <c r="E810" s="10"/>
      <c r="F810" s="10"/>
      <c r="G810" s="10"/>
      <c r="H810" s="10"/>
      <c r="I810" s="10"/>
      <c r="K810" s="10"/>
      <c r="L810" s="10"/>
      <c r="P810" t="str">
        <f t="shared" si="24"/>
        <v/>
      </c>
    </row>
    <row r="811" spans="1:16" x14ac:dyDescent="0.3">
      <c r="A811" s="10"/>
      <c r="B811" s="10"/>
      <c r="C811" s="10"/>
      <c r="D811" s="10"/>
      <c r="E811" s="10"/>
      <c r="F811" s="10"/>
      <c r="G811" s="10"/>
      <c r="H811" s="10"/>
      <c r="I811" s="10"/>
      <c r="K811" s="10"/>
      <c r="L811" s="10"/>
      <c r="P811" t="str">
        <f t="shared" si="24"/>
        <v/>
      </c>
    </row>
    <row r="812" spans="1:16" x14ac:dyDescent="0.3">
      <c r="A812" s="10"/>
      <c r="B812" s="10"/>
      <c r="C812" s="10"/>
      <c r="D812" s="10"/>
      <c r="E812" s="10"/>
      <c r="F812" s="10"/>
      <c r="G812" s="10"/>
      <c r="H812" s="10"/>
      <c r="I812" s="10"/>
      <c r="K812" s="10"/>
      <c r="L812" s="10"/>
      <c r="P812" t="str">
        <f t="shared" si="24"/>
        <v/>
      </c>
    </row>
    <row r="813" spans="1:16" x14ac:dyDescent="0.3">
      <c r="A813" s="10"/>
      <c r="B813" s="10"/>
      <c r="C813" s="10"/>
      <c r="D813" s="10"/>
      <c r="E813" s="10"/>
      <c r="F813" s="10"/>
      <c r="G813" s="10"/>
      <c r="H813" s="10"/>
      <c r="I813" s="10"/>
      <c r="K813" s="10"/>
      <c r="L813" s="10"/>
      <c r="P813" t="str">
        <f t="shared" si="24"/>
        <v/>
      </c>
    </row>
    <row r="814" spans="1:16" x14ac:dyDescent="0.3">
      <c r="A814" s="10"/>
      <c r="B814" s="10"/>
      <c r="C814" s="10"/>
      <c r="D814" s="10"/>
      <c r="E814" s="10"/>
      <c r="F814" s="10"/>
      <c r="G814" s="10"/>
      <c r="H814" s="10"/>
      <c r="I814" s="10"/>
      <c r="K814" s="10"/>
      <c r="L814" s="10"/>
      <c r="P814" t="str">
        <f t="shared" si="24"/>
        <v/>
      </c>
    </row>
    <row r="815" spans="1:16" x14ac:dyDescent="0.3">
      <c r="A815" s="10"/>
      <c r="B815" s="10"/>
      <c r="C815" s="10"/>
      <c r="D815" s="10"/>
      <c r="E815" s="10"/>
      <c r="F815" s="10"/>
      <c r="G815" s="10"/>
      <c r="H815" s="10"/>
      <c r="I815" s="10"/>
      <c r="K815" s="10"/>
      <c r="L815" s="10"/>
      <c r="P815" t="str">
        <f t="shared" si="24"/>
        <v/>
      </c>
    </row>
    <row r="816" spans="1:16" x14ac:dyDescent="0.3">
      <c r="A816" s="10"/>
      <c r="B816" s="10"/>
      <c r="C816" s="10"/>
      <c r="D816" s="10"/>
      <c r="E816" s="10"/>
      <c r="F816" s="10"/>
      <c r="G816" s="10"/>
      <c r="H816" s="10"/>
      <c r="I816" s="10"/>
      <c r="K816" s="10"/>
      <c r="L816" s="10"/>
      <c r="P816" t="str">
        <f t="shared" si="24"/>
        <v/>
      </c>
    </row>
    <row r="817" spans="1:16" x14ac:dyDescent="0.3">
      <c r="A817" s="10"/>
      <c r="B817" s="10"/>
      <c r="C817" s="10"/>
      <c r="D817" s="10"/>
      <c r="E817" s="10"/>
      <c r="F817" s="10"/>
      <c r="G817" s="10"/>
      <c r="H817" s="10"/>
      <c r="I817" s="10"/>
      <c r="K817" s="10"/>
      <c r="L817" s="10"/>
      <c r="P817" t="str">
        <f t="shared" si="24"/>
        <v/>
      </c>
    </row>
    <row r="818" spans="1:16" x14ac:dyDescent="0.3">
      <c r="A818" s="10"/>
      <c r="B818" s="10"/>
      <c r="C818" s="10"/>
      <c r="D818" s="10"/>
      <c r="E818" s="10"/>
      <c r="F818" s="10"/>
      <c r="G818" s="10"/>
      <c r="H818" s="10"/>
      <c r="I818" s="10"/>
      <c r="K818" s="10"/>
      <c r="L818" s="10"/>
      <c r="P818" t="str">
        <f t="shared" si="24"/>
        <v/>
      </c>
    </row>
    <row r="819" spans="1:16" x14ac:dyDescent="0.3">
      <c r="A819" s="10"/>
      <c r="B819" s="10"/>
      <c r="C819" s="10"/>
      <c r="D819" s="10"/>
      <c r="E819" s="10"/>
      <c r="F819" s="10"/>
      <c r="G819" s="10"/>
      <c r="H819" s="10"/>
      <c r="I819" s="10"/>
      <c r="K819" s="10"/>
      <c r="L819" s="10"/>
      <c r="P819" t="str">
        <f t="shared" si="24"/>
        <v/>
      </c>
    </row>
    <row r="820" spans="1:16" x14ac:dyDescent="0.3">
      <c r="A820" s="10"/>
      <c r="B820" s="10"/>
      <c r="C820" s="10"/>
      <c r="D820" s="10"/>
      <c r="E820" s="10"/>
      <c r="F820" s="10"/>
      <c r="G820" s="10"/>
      <c r="H820" s="10"/>
      <c r="I820" s="10"/>
      <c r="K820" s="10"/>
      <c r="L820" s="10"/>
      <c r="P820" t="str">
        <f t="shared" si="24"/>
        <v/>
      </c>
    </row>
    <row r="821" spans="1:16" x14ac:dyDescent="0.3">
      <c r="A821" s="10"/>
      <c r="B821" s="10"/>
      <c r="C821" s="10"/>
      <c r="D821" s="10"/>
      <c r="E821" s="10"/>
      <c r="F821" s="10"/>
      <c r="G821" s="10"/>
      <c r="H821" s="10"/>
      <c r="I821" s="10"/>
      <c r="K821" s="10"/>
      <c r="L821" s="10"/>
      <c r="P821" t="str">
        <f t="shared" si="24"/>
        <v/>
      </c>
    </row>
    <row r="822" spans="1:16" x14ac:dyDescent="0.3">
      <c r="A822" s="10"/>
      <c r="B822" s="10"/>
      <c r="C822" s="10"/>
      <c r="D822" s="10"/>
      <c r="E822" s="10"/>
      <c r="F822" s="10"/>
      <c r="G822" s="10"/>
      <c r="H822" s="10"/>
      <c r="I822" s="10"/>
      <c r="K822" s="10"/>
      <c r="L822" s="10"/>
      <c r="P822" t="str">
        <f t="shared" si="24"/>
        <v/>
      </c>
    </row>
    <row r="823" spans="1:16" x14ac:dyDescent="0.3">
      <c r="A823" s="10"/>
      <c r="B823" s="10"/>
      <c r="C823" s="10"/>
      <c r="D823" s="10"/>
      <c r="E823" s="10"/>
      <c r="F823" s="10"/>
      <c r="G823" s="10"/>
      <c r="H823" s="10"/>
      <c r="I823" s="10"/>
      <c r="K823" s="10"/>
      <c r="L823" s="10"/>
      <c r="P823" t="str">
        <f t="shared" si="24"/>
        <v/>
      </c>
    </row>
    <row r="824" spans="1:16" x14ac:dyDescent="0.3">
      <c r="A824" s="10"/>
      <c r="B824" s="10"/>
      <c r="C824" s="10"/>
      <c r="D824" s="10"/>
      <c r="E824" s="10"/>
      <c r="F824" s="10"/>
      <c r="G824" s="10"/>
      <c r="H824" s="10"/>
      <c r="I824" s="10"/>
      <c r="K824" s="10"/>
      <c r="L824" s="10"/>
      <c r="P824" t="str">
        <f t="shared" si="24"/>
        <v/>
      </c>
    </row>
    <row r="825" spans="1:16" x14ac:dyDescent="0.3">
      <c r="A825" s="10"/>
      <c r="B825" s="10"/>
      <c r="C825" s="10"/>
      <c r="D825" s="10"/>
      <c r="E825" s="10"/>
      <c r="F825" s="10"/>
      <c r="G825" s="10"/>
      <c r="H825" s="10"/>
      <c r="I825" s="10"/>
      <c r="K825" s="10"/>
      <c r="L825" s="10"/>
      <c r="P825" t="str">
        <f t="shared" si="24"/>
        <v/>
      </c>
    </row>
    <row r="826" spans="1:16" x14ac:dyDescent="0.3">
      <c r="A826" s="10"/>
      <c r="B826" s="10"/>
      <c r="C826" s="10"/>
      <c r="D826" s="10"/>
      <c r="E826" s="10"/>
      <c r="F826" s="10"/>
      <c r="G826" s="10"/>
      <c r="H826" s="10"/>
      <c r="I826" s="10"/>
      <c r="K826" s="10"/>
      <c r="L826" s="10"/>
      <c r="P826" t="str">
        <f t="shared" si="24"/>
        <v/>
      </c>
    </row>
    <row r="827" spans="1:16" x14ac:dyDescent="0.3">
      <c r="A827" s="10"/>
      <c r="B827" s="10"/>
      <c r="C827" s="10"/>
      <c r="D827" s="10"/>
      <c r="E827" s="10"/>
      <c r="F827" s="10"/>
      <c r="G827" s="10"/>
      <c r="H827" s="10"/>
      <c r="I827" s="10"/>
      <c r="K827" s="10"/>
      <c r="L827" s="10"/>
      <c r="P827" t="str">
        <f t="shared" si="24"/>
        <v/>
      </c>
    </row>
    <row r="828" spans="1:16" x14ac:dyDescent="0.3">
      <c r="A828" s="10"/>
      <c r="B828" s="10"/>
      <c r="C828" s="10"/>
      <c r="D828" s="10"/>
      <c r="E828" s="10"/>
      <c r="F828" s="10"/>
      <c r="G828" s="10"/>
      <c r="H828" s="10"/>
      <c r="I828" s="10"/>
      <c r="K828" s="10"/>
      <c r="L828" s="10"/>
      <c r="P828" t="str">
        <f t="shared" si="24"/>
        <v/>
      </c>
    </row>
    <row r="829" spans="1:16" x14ac:dyDescent="0.3">
      <c r="A829" s="10"/>
      <c r="B829" s="10"/>
      <c r="C829" s="10"/>
      <c r="D829" s="10"/>
      <c r="E829" s="10"/>
      <c r="F829" s="10"/>
      <c r="G829" s="10"/>
      <c r="H829" s="10"/>
      <c r="I829" s="10"/>
      <c r="K829" s="10"/>
      <c r="L829" s="10"/>
      <c r="P829" t="str">
        <f t="shared" si="24"/>
        <v/>
      </c>
    </row>
    <row r="830" spans="1:16" x14ac:dyDescent="0.3">
      <c r="A830" s="10"/>
      <c r="B830" s="10"/>
      <c r="C830" s="10"/>
      <c r="D830" s="10"/>
      <c r="E830" s="10"/>
      <c r="F830" s="10"/>
      <c r="G830" s="10"/>
      <c r="H830" s="10"/>
      <c r="I830" s="10"/>
      <c r="K830" s="10"/>
      <c r="L830" s="10"/>
      <c r="P830" t="str">
        <f t="shared" si="24"/>
        <v/>
      </c>
    </row>
    <row r="831" spans="1:16" x14ac:dyDescent="0.3">
      <c r="A831" s="10"/>
      <c r="B831" s="10"/>
      <c r="C831" s="10"/>
      <c r="D831" s="10"/>
      <c r="E831" s="10"/>
      <c r="F831" s="10"/>
      <c r="G831" s="10"/>
      <c r="H831" s="10"/>
      <c r="I831" s="10"/>
      <c r="K831" s="10"/>
      <c r="L831" s="10"/>
      <c r="P831" t="str">
        <f t="shared" si="24"/>
        <v/>
      </c>
    </row>
    <row r="832" spans="1:16" x14ac:dyDescent="0.3">
      <c r="A832" s="10"/>
      <c r="B832" s="10"/>
      <c r="C832" s="10"/>
      <c r="D832" s="10"/>
      <c r="E832" s="10"/>
      <c r="F832" s="10"/>
      <c r="G832" s="10"/>
      <c r="H832" s="10"/>
      <c r="I832" s="10"/>
      <c r="K832" s="10"/>
      <c r="L832" s="10"/>
      <c r="P832" t="str">
        <f t="shared" si="24"/>
        <v/>
      </c>
    </row>
    <row r="833" spans="1:16" x14ac:dyDescent="0.3">
      <c r="A833" s="10"/>
      <c r="B833" s="10"/>
      <c r="C833" s="10"/>
      <c r="D833" s="10"/>
      <c r="E833" s="10"/>
      <c r="F833" s="10"/>
      <c r="G833" s="10"/>
      <c r="H833" s="10"/>
      <c r="I833" s="10"/>
      <c r="K833" s="10"/>
      <c r="L833" s="10"/>
      <c r="P833" t="str">
        <f t="shared" si="24"/>
        <v/>
      </c>
    </row>
    <row r="834" spans="1:16" x14ac:dyDescent="0.3">
      <c r="A834" s="10"/>
      <c r="B834" s="10"/>
      <c r="C834" s="10"/>
      <c r="D834" s="10"/>
      <c r="E834" s="10"/>
      <c r="F834" s="10"/>
      <c r="G834" s="10"/>
      <c r="H834" s="10"/>
      <c r="I834" s="10"/>
      <c r="K834" s="10"/>
      <c r="L834" s="10"/>
      <c r="P834" t="str">
        <f t="shared" si="24"/>
        <v/>
      </c>
    </row>
    <row r="835" spans="1:16" x14ac:dyDescent="0.3">
      <c r="A835" s="10"/>
      <c r="B835" s="10"/>
      <c r="C835" s="10"/>
      <c r="D835" s="10"/>
      <c r="E835" s="10"/>
      <c r="F835" s="10"/>
      <c r="G835" s="10"/>
      <c r="H835" s="10"/>
      <c r="I835" s="10"/>
      <c r="K835" s="10"/>
      <c r="L835" s="10"/>
      <c r="P835" t="str">
        <f t="shared" si="24"/>
        <v/>
      </c>
    </row>
    <row r="836" spans="1:16" x14ac:dyDescent="0.3">
      <c r="A836" s="10"/>
      <c r="B836" s="10"/>
      <c r="C836" s="10"/>
      <c r="D836" s="10"/>
      <c r="E836" s="10"/>
      <c r="F836" s="10"/>
      <c r="G836" s="10"/>
      <c r="H836" s="10"/>
      <c r="I836" s="10"/>
      <c r="K836" s="10"/>
      <c r="L836" s="10"/>
      <c r="P836" t="str">
        <f t="shared" ref="P836:P899" si="25">IF($J836="","",IF(ABS($J836)&lt;=2,"OK","FORA (|SDI|&gt;2)"))</f>
        <v/>
      </c>
    </row>
    <row r="837" spans="1:16" x14ac:dyDescent="0.3">
      <c r="A837" s="10"/>
      <c r="B837" s="10"/>
      <c r="C837" s="10"/>
      <c r="D837" s="10"/>
      <c r="E837" s="10"/>
      <c r="F837" s="10"/>
      <c r="G837" s="10"/>
      <c r="H837" s="10"/>
      <c r="I837" s="10"/>
      <c r="K837" s="10"/>
      <c r="L837" s="10"/>
      <c r="P837" t="str">
        <f t="shared" si="25"/>
        <v/>
      </c>
    </row>
    <row r="838" spans="1:16" x14ac:dyDescent="0.3">
      <c r="A838" s="10"/>
      <c r="B838" s="10"/>
      <c r="C838" s="10"/>
      <c r="D838" s="10"/>
      <c r="E838" s="10"/>
      <c r="F838" s="10"/>
      <c r="G838" s="10"/>
      <c r="H838" s="10"/>
      <c r="I838" s="10"/>
      <c r="K838" s="10"/>
      <c r="L838" s="10"/>
      <c r="P838" t="str">
        <f t="shared" si="25"/>
        <v/>
      </c>
    </row>
    <row r="839" spans="1:16" x14ac:dyDescent="0.3">
      <c r="A839" s="10"/>
      <c r="B839" s="10"/>
      <c r="C839" s="10"/>
      <c r="D839" s="10"/>
      <c r="E839" s="10"/>
      <c r="F839" s="10"/>
      <c r="G839" s="10"/>
      <c r="H839" s="10"/>
      <c r="I839" s="10"/>
      <c r="K839" s="10"/>
      <c r="L839" s="10"/>
      <c r="P839" t="str">
        <f t="shared" si="25"/>
        <v/>
      </c>
    </row>
    <row r="840" spans="1:16" x14ac:dyDescent="0.3">
      <c r="A840" s="10"/>
      <c r="B840" s="10"/>
      <c r="C840" s="10"/>
      <c r="D840" s="10"/>
      <c r="E840" s="10"/>
      <c r="F840" s="10"/>
      <c r="G840" s="10"/>
      <c r="H840" s="10"/>
      <c r="I840" s="10"/>
      <c r="K840" s="10"/>
      <c r="L840" s="10"/>
      <c r="P840" t="str">
        <f t="shared" si="25"/>
        <v/>
      </c>
    </row>
    <row r="841" spans="1:16" x14ac:dyDescent="0.3">
      <c r="A841" s="10"/>
      <c r="B841" s="10"/>
      <c r="C841" s="10"/>
      <c r="D841" s="10"/>
      <c r="E841" s="10"/>
      <c r="F841" s="10"/>
      <c r="G841" s="10"/>
      <c r="H841" s="10"/>
      <c r="I841" s="10"/>
      <c r="K841" s="10"/>
      <c r="L841" s="10"/>
      <c r="P841" t="str">
        <f t="shared" si="25"/>
        <v/>
      </c>
    </row>
    <row r="842" spans="1:16" x14ac:dyDescent="0.3">
      <c r="A842" s="10"/>
      <c r="B842" s="10"/>
      <c r="C842" s="10"/>
      <c r="D842" s="10"/>
      <c r="E842" s="10"/>
      <c r="F842" s="10"/>
      <c r="G842" s="10"/>
      <c r="H842" s="10"/>
      <c r="I842" s="10"/>
      <c r="K842" s="10"/>
      <c r="L842" s="10"/>
      <c r="P842" t="str">
        <f t="shared" si="25"/>
        <v/>
      </c>
    </row>
    <row r="843" spans="1:16" x14ac:dyDescent="0.3">
      <c r="A843" s="10"/>
      <c r="B843" s="10"/>
      <c r="C843" s="10"/>
      <c r="D843" s="10"/>
      <c r="E843" s="10"/>
      <c r="F843" s="10"/>
      <c r="G843" s="10"/>
      <c r="H843" s="10"/>
      <c r="I843" s="10"/>
      <c r="K843" s="10"/>
      <c r="L843" s="10"/>
      <c r="P843" t="str">
        <f t="shared" si="25"/>
        <v/>
      </c>
    </row>
    <row r="844" spans="1:16" x14ac:dyDescent="0.3">
      <c r="A844" s="10"/>
      <c r="B844" s="10"/>
      <c r="C844" s="10"/>
      <c r="D844" s="10"/>
      <c r="E844" s="10"/>
      <c r="F844" s="10"/>
      <c r="G844" s="10"/>
      <c r="H844" s="10"/>
      <c r="I844" s="10"/>
      <c r="K844" s="10"/>
      <c r="L844" s="10"/>
      <c r="P844" t="str">
        <f t="shared" si="25"/>
        <v/>
      </c>
    </row>
    <row r="845" spans="1:16" x14ac:dyDescent="0.3">
      <c r="A845" s="10"/>
      <c r="B845" s="10"/>
      <c r="C845" s="10"/>
      <c r="D845" s="10"/>
      <c r="E845" s="10"/>
      <c r="F845" s="10"/>
      <c r="G845" s="10"/>
      <c r="H845" s="10"/>
      <c r="I845" s="10"/>
      <c r="K845" s="10"/>
      <c r="L845" s="10"/>
      <c r="P845" t="str">
        <f t="shared" si="25"/>
        <v/>
      </c>
    </row>
    <row r="846" spans="1:16" x14ac:dyDescent="0.3">
      <c r="A846" s="10"/>
      <c r="B846" s="10"/>
      <c r="C846" s="10"/>
      <c r="D846" s="10"/>
      <c r="E846" s="10"/>
      <c r="F846" s="10"/>
      <c r="G846" s="10"/>
      <c r="H846" s="10"/>
      <c r="I846" s="10"/>
      <c r="K846" s="10"/>
      <c r="L846" s="10"/>
      <c r="P846" t="str">
        <f t="shared" si="25"/>
        <v/>
      </c>
    </row>
    <row r="847" spans="1:16" x14ac:dyDescent="0.3">
      <c r="A847" s="10"/>
      <c r="B847" s="10"/>
      <c r="C847" s="10"/>
      <c r="D847" s="10"/>
      <c r="E847" s="10"/>
      <c r="F847" s="10"/>
      <c r="G847" s="10"/>
      <c r="H847" s="10"/>
      <c r="I847" s="10"/>
      <c r="K847" s="10"/>
      <c r="L847" s="10"/>
      <c r="P847" t="str">
        <f t="shared" si="25"/>
        <v/>
      </c>
    </row>
    <row r="848" spans="1:16" x14ac:dyDescent="0.3">
      <c r="A848" s="10"/>
      <c r="B848" s="10"/>
      <c r="C848" s="10"/>
      <c r="D848" s="10"/>
      <c r="E848" s="10"/>
      <c r="F848" s="10"/>
      <c r="G848" s="10"/>
      <c r="H848" s="10"/>
      <c r="I848" s="10"/>
      <c r="K848" s="10"/>
      <c r="L848" s="10"/>
      <c r="P848" t="str">
        <f t="shared" si="25"/>
        <v/>
      </c>
    </row>
    <row r="849" spans="1:16" x14ac:dyDescent="0.3">
      <c r="A849" s="10"/>
      <c r="B849" s="10"/>
      <c r="C849" s="10"/>
      <c r="D849" s="10"/>
      <c r="E849" s="10"/>
      <c r="F849" s="10"/>
      <c r="G849" s="10"/>
      <c r="H849" s="10"/>
      <c r="I849" s="10"/>
      <c r="K849" s="10"/>
      <c r="L849" s="10"/>
      <c r="P849" t="str">
        <f t="shared" si="25"/>
        <v/>
      </c>
    </row>
    <row r="850" spans="1:16" x14ac:dyDescent="0.3">
      <c r="A850" s="10"/>
      <c r="B850" s="10"/>
      <c r="C850" s="10"/>
      <c r="D850" s="10"/>
      <c r="E850" s="10"/>
      <c r="F850" s="10"/>
      <c r="G850" s="10"/>
      <c r="H850" s="10"/>
      <c r="I850" s="10"/>
      <c r="K850" s="10"/>
      <c r="L850" s="10"/>
      <c r="P850" t="str">
        <f t="shared" si="25"/>
        <v/>
      </c>
    </row>
    <row r="851" spans="1:16" x14ac:dyDescent="0.3">
      <c r="A851" s="10"/>
      <c r="B851" s="10"/>
      <c r="C851" s="10"/>
      <c r="D851" s="10"/>
      <c r="E851" s="10"/>
      <c r="F851" s="10"/>
      <c r="G851" s="10"/>
      <c r="H851" s="10"/>
      <c r="I851" s="10"/>
      <c r="K851" s="10"/>
      <c r="L851" s="10"/>
      <c r="P851" t="str">
        <f t="shared" si="25"/>
        <v/>
      </c>
    </row>
    <row r="852" spans="1:16" x14ac:dyDescent="0.3">
      <c r="A852" s="10"/>
      <c r="B852" s="10"/>
      <c r="C852" s="10"/>
      <c r="D852" s="10"/>
      <c r="E852" s="10"/>
      <c r="F852" s="10"/>
      <c r="G852" s="10"/>
      <c r="H852" s="10"/>
      <c r="I852" s="10"/>
      <c r="K852" s="10"/>
      <c r="L852" s="10"/>
      <c r="P852" t="str">
        <f t="shared" si="25"/>
        <v/>
      </c>
    </row>
    <row r="853" spans="1:16" x14ac:dyDescent="0.3">
      <c r="A853" s="10"/>
      <c r="B853" s="10"/>
      <c r="C853" s="10"/>
      <c r="D853" s="10"/>
      <c r="E853" s="10"/>
      <c r="F853" s="10"/>
      <c r="G853" s="10"/>
      <c r="H853" s="10"/>
      <c r="I853" s="10"/>
      <c r="K853" s="10"/>
      <c r="L853" s="10"/>
      <c r="P853" t="str">
        <f t="shared" si="25"/>
        <v/>
      </c>
    </row>
    <row r="854" spans="1:16" x14ac:dyDescent="0.3">
      <c r="A854" s="10"/>
      <c r="B854" s="10"/>
      <c r="C854" s="10"/>
      <c r="D854" s="10"/>
      <c r="E854" s="10"/>
      <c r="F854" s="10"/>
      <c r="G854" s="10"/>
      <c r="H854" s="10"/>
      <c r="I854" s="10"/>
      <c r="K854" s="10"/>
      <c r="L854" s="10"/>
      <c r="P854" t="str">
        <f t="shared" si="25"/>
        <v/>
      </c>
    </row>
    <row r="855" spans="1:16" x14ac:dyDescent="0.3">
      <c r="A855" s="10"/>
      <c r="B855" s="10"/>
      <c r="C855" s="10"/>
      <c r="D855" s="10"/>
      <c r="E855" s="10"/>
      <c r="F855" s="10"/>
      <c r="G855" s="10"/>
      <c r="H855" s="10"/>
      <c r="I855" s="10"/>
      <c r="K855" s="10"/>
      <c r="L855" s="10"/>
      <c r="P855" t="str">
        <f t="shared" si="25"/>
        <v/>
      </c>
    </row>
    <row r="856" spans="1:16" x14ac:dyDescent="0.3">
      <c r="A856" s="10"/>
      <c r="B856" s="10"/>
      <c r="C856" s="10"/>
      <c r="D856" s="10"/>
      <c r="E856" s="10"/>
      <c r="F856" s="10"/>
      <c r="G856" s="10"/>
      <c r="H856" s="10"/>
      <c r="I856" s="10"/>
      <c r="K856" s="10"/>
      <c r="L856" s="10"/>
      <c r="P856" t="str">
        <f t="shared" si="25"/>
        <v/>
      </c>
    </row>
    <row r="857" spans="1:16" x14ac:dyDescent="0.3">
      <c r="A857" s="10"/>
      <c r="B857" s="10"/>
      <c r="C857" s="10"/>
      <c r="D857" s="10"/>
      <c r="E857" s="10"/>
      <c r="F857" s="10"/>
      <c r="G857" s="10"/>
      <c r="H857" s="10"/>
      <c r="I857" s="10"/>
      <c r="K857" s="10"/>
      <c r="L857" s="10"/>
      <c r="P857" t="str">
        <f t="shared" si="25"/>
        <v/>
      </c>
    </row>
    <row r="858" spans="1:16" x14ac:dyDescent="0.3">
      <c r="A858" s="10"/>
      <c r="B858" s="10"/>
      <c r="C858" s="10"/>
      <c r="D858" s="10"/>
      <c r="E858" s="10"/>
      <c r="F858" s="10"/>
      <c r="G858" s="10"/>
      <c r="H858" s="10"/>
      <c r="I858" s="10"/>
      <c r="K858" s="10"/>
      <c r="L858" s="10"/>
      <c r="P858" t="str">
        <f t="shared" si="25"/>
        <v/>
      </c>
    </row>
    <row r="859" spans="1:16" x14ac:dyDescent="0.3">
      <c r="A859" s="10"/>
      <c r="B859" s="10"/>
      <c r="C859" s="10"/>
      <c r="D859" s="10"/>
      <c r="E859" s="10"/>
      <c r="F859" s="10"/>
      <c r="G859" s="10"/>
      <c r="H859" s="10"/>
      <c r="I859" s="10"/>
      <c r="K859" s="10"/>
      <c r="L859" s="10"/>
      <c r="P859" t="str">
        <f t="shared" si="25"/>
        <v/>
      </c>
    </row>
    <row r="860" spans="1:16" x14ac:dyDescent="0.3">
      <c r="A860" s="10"/>
      <c r="B860" s="10"/>
      <c r="C860" s="10"/>
      <c r="D860" s="10"/>
      <c r="E860" s="10"/>
      <c r="F860" s="10"/>
      <c r="G860" s="10"/>
      <c r="H860" s="10"/>
      <c r="I860" s="10"/>
      <c r="K860" s="10"/>
      <c r="L860" s="10"/>
      <c r="P860" t="str">
        <f t="shared" si="25"/>
        <v/>
      </c>
    </row>
    <row r="861" spans="1:16" x14ac:dyDescent="0.3">
      <c r="A861" s="10"/>
      <c r="B861" s="10"/>
      <c r="C861" s="10"/>
      <c r="D861" s="10"/>
      <c r="E861" s="10"/>
      <c r="F861" s="10"/>
      <c r="G861" s="10"/>
      <c r="H861" s="10"/>
      <c r="I861" s="10"/>
      <c r="K861" s="10"/>
      <c r="L861" s="10"/>
      <c r="P861" t="str">
        <f t="shared" si="25"/>
        <v/>
      </c>
    </row>
    <row r="862" spans="1:16" x14ac:dyDescent="0.3">
      <c r="A862" s="10"/>
      <c r="B862" s="10"/>
      <c r="C862" s="10"/>
      <c r="D862" s="10"/>
      <c r="E862" s="10"/>
      <c r="F862" s="10"/>
      <c r="G862" s="10"/>
      <c r="H862" s="10"/>
      <c r="I862" s="10"/>
      <c r="K862" s="10"/>
      <c r="L862" s="10"/>
      <c r="P862" t="str">
        <f t="shared" si="25"/>
        <v/>
      </c>
    </row>
    <row r="863" spans="1:16" x14ac:dyDescent="0.3">
      <c r="A863" s="10"/>
      <c r="B863" s="10"/>
      <c r="C863" s="10"/>
      <c r="D863" s="10"/>
      <c r="E863" s="10"/>
      <c r="F863" s="10"/>
      <c r="G863" s="10"/>
      <c r="H863" s="10"/>
      <c r="I863" s="10"/>
      <c r="K863" s="10"/>
      <c r="L863" s="10"/>
      <c r="P863" t="str">
        <f t="shared" si="25"/>
        <v/>
      </c>
    </row>
    <row r="864" spans="1:16" x14ac:dyDescent="0.3">
      <c r="A864" s="10"/>
      <c r="B864" s="10"/>
      <c r="C864" s="10"/>
      <c r="D864" s="10"/>
      <c r="E864" s="10"/>
      <c r="F864" s="10"/>
      <c r="G864" s="10"/>
      <c r="H864" s="10"/>
      <c r="I864" s="10"/>
      <c r="K864" s="10"/>
      <c r="L864" s="10"/>
      <c r="P864" t="str">
        <f t="shared" si="25"/>
        <v/>
      </c>
    </row>
    <row r="865" spans="1:16" x14ac:dyDescent="0.3">
      <c r="A865" s="10"/>
      <c r="B865" s="10"/>
      <c r="C865" s="10"/>
      <c r="D865" s="10"/>
      <c r="E865" s="10"/>
      <c r="F865" s="10"/>
      <c r="G865" s="10"/>
      <c r="H865" s="10"/>
      <c r="I865" s="10"/>
      <c r="K865" s="10"/>
      <c r="L865" s="10"/>
      <c r="P865" t="str">
        <f t="shared" si="25"/>
        <v/>
      </c>
    </row>
    <row r="866" spans="1:16" x14ac:dyDescent="0.3">
      <c r="A866" s="10"/>
      <c r="B866" s="10"/>
      <c r="C866" s="10"/>
      <c r="D866" s="10"/>
      <c r="E866" s="10"/>
      <c r="F866" s="10"/>
      <c r="G866" s="10"/>
      <c r="H866" s="10"/>
      <c r="I866" s="10"/>
      <c r="K866" s="10"/>
      <c r="L866" s="10"/>
      <c r="P866" t="str">
        <f t="shared" si="25"/>
        <v/>
      </c>
    </row>
    <row r="867" spans="1:16" x14ac:dyDescent="0.3">
      <c r="A867" s="10"/>
      <c r="B867" s="10"/>
      <c r="C867" s="10"/>
      <c r="D867" s="10"/>
      <c r="E867" s="10"/>
      <c r="F867" s="10"/>
      <c r="G867" s="10"/>
      <c r="H867" s="10"/>
      <c r="I867" s="10"/>
      <c r="K867" s="10"/>
      <c r="L867" s="10"/>
      <c r="P867" t="str">
        <f t="shared" si="25"/>
        <v/>
      </c>
    </row>
    <row r="868" spans="1:16" x14ac:dyDescent="0.3">
      <c r="A868" s="10"/>
      <c r="B868" s="10"/>
      <c r="C868" s="10"/>
      <c r="D868" s="10"/>
      <c r="E868" s="10"/>
      <c r="F868" s="10"/>
      <c r="G868" s="10"/>
      <c r="H868" s="10"/>
      <c r="I868" s="10"/>
      <c r="K868" s="10"/>
      <c r="L868" s="10"/>
      <c r="P868" t="str">
        <f t="shared" si="25"/>
        <v/>
      </c>
    </row>
    <row r="869" spans="1:16" x14ac:dyDescent="0.3">
      <c r="A869" s="10"/>
      <c r="B869" s="10"/>
      <c r="C869" s="10"/>
      <c r="D869" s="10"/>
      <c r="E869" s="10"/>
      <c r="F869" s="10"/>
      <c r="G869" s="10"/>
      <c r="H869" s="10"/>
      <c r="I869" s="10"/>
      <c r="K869" s="10"/>
      <c r="L869" s="10"/>
      <c r="P869" t="str">
        <f t="shared" si="25"/>
        <v/>
      </c>
    </row>
    <row r="870" spans="1:16" x14ac:dyDescent="0.3">
      <c r="A870" s="10"/>
      <c r="B870" s="10"/>
      <c r="C870" s="10"/>
      <c r="D870" s="10"/>
      <c r="E870" s="10"/>
      <c r="F870" s="10"/>
      <c r="G870" s="10"/>
      <c r="H870" s="10"/>
      <c r="I870" s="10"/>
      <c r="K870" s="10"/>
      <c r="L870" s="10"/>
      <c r="P870" t="str">
        <f t="shared" si="25"/>
        <v/>
      </c>
    </row>
    <row r="871" spans="1:16" x14ac:dyDescent="0.3">
      <c r="A871" s="10"/>
      <c r="B871" s="10"/>
      <c r="C871" s="10"/>
      <c r="D871" s="10"/>
      <c r="E871" s="10"/>
      <c r="F871" s="10"/>
      <c r="G871" s="10"/>
      <c r="H871" s="10"/>
      <c r="I871" s="10"/>
      <c r="K871" s="10"/>
      <c r="L871" s="10"/>
      <c r="P871" t="str">
        <f t="shared" si="25"/>
        <v/>
      </c>
    </row>
    <row r="872" spans="1:16" x14ac:dyDescent="0.3">
      <c r="A872" s="10"/>
      <c r="B872" s="10"/>
      <c r="C872" s="10"/>
      <c r="D872" s="10"/>
      <c r="E872" s="10"/>
      <c r="F872" s="10"/>
      <c r="G872" s="10"/>
      <c r="H872" s="10"/>
      <c r="I872" s="10"/>
      <c r="K872" s="10"/>
      <c r="L872" s="10"/>
      <c r="P872" t="str">
        <f t="shared" si="25"/>
        <v/>
      </c>
    </row>
    <row r="873" spans="1:16" x14ac:dyDescent="0.3">
      <c r="A873" s="10"/>
      <c r="B873" s="10"/>
      <c r="C873" s="10"/>
      <c r="D873" s="10"/>
      <c r="E873" s="10"/>
      <c r="F873" s="10"/>
      <c r="G873" s="10"/>
      <c r="H873" s="10"/>
      <c r="I873" s="10"/>
      <c r="K873" s="10"/>
      <c r="L873" s="10"/>
      <c r="P873" t="str">
        <f t="shared" si="25"/>
        <v/>
      </c>
    </row>
    <row r="874" spans="1:16" x14ac:dyDescent="0.3">
      <c r="A874" s="10"/>
      <c r="B874" s="10"/>
      <c r="C874" s="10"/>
      <c r="D874" s="10"/>
      <c r="E874" s="10"/>
      <c r="F874" s="10"/>
      <c r="G874" s="10"/>
      <c r="H874" s="10"/>
      <c r="I874" s="10"/>
      <c r="K874" s="10"/>
      <c r="L874" s="10"/>
      <c r="P874" t="str">
        <f t="shared" si="25"/>
        <v/>
      </c>
    </row>
    <row r="875" spans="1:16" x14ac:dyDescent="0.3">
      <c r="A875" s="10"/>
      <c r="B875" s="10"/>
      <c r="C875" s="10"/>
      <c r="D875" s="10"/>
      <c r="E875" s="10"/>
      <c r="F875" s="10"/>
      <c r="G875" s="10"/>
      <c r="H875" s="10"/>
      <c r="I875" s="10"/>
      <c r="K875" s="10"/>
      <c r="L875" s="10"/>
      <c r="P875" t="str">
        <f t="shared" si="25"/>
        <v/>
      </c>
    </row>
    <row r="876" spans="1:16" x14ac:dyDescent="0.3">
      <c r="A876" s="10"/>
      <c r="B876" s="10"/>
      <c r="C876" s="10"/>
      <c r="D876" s="10"/>
      <c r="E876" s="10"/>
      <c r="F876" s="10"/>
      <c r="G876" s="10"/>
      <c r="H876" s="10"/>
      <c r="I876" s="10"/>
      <c r="K876" s="10"/>
      <c r="L876" s="10"/>
      <c r="P876" t="str">
        <f t="shared" si="25"/>
        <v/>
      </c>
    </row>
    <row r="877" spans="1:16" x14ac:dyDescent="0.3">
      <c r="A877" s="10"/>
      <c r="B877" s="10"/>
      <c r="C877" s="10"/>
      <c r="D877" s="10"/>
      <c r="E877" s="10"/>
      <c r="F877" s="10"/>
      <c r="G877" s="10"/>
      <c r="H877" s="10"/>
      <c r="I877" s="10"/>
      <c r="K877" s="10"/>
      <c r="L877" s="10"/>
      <c r="P877" t="str">
        <f t="shared" si="25"/>
        <v/>
      </c>
    </row>
    <row r="878" spans="1:16" x14ac:dyDescent="0.3">
      <c r="A878" s="10"/>
      <c r="B878" s="10"/>
      <c r="C878" s="10"/>
      <c r="D878" s="10"/>
      <c r="E878" s="10"/>
      <c r="F878" s="10"/>
      <c r="G878" s="10"/>
      <c r="H878" s="10"/>
      <c r="I878" s="10"/>
      <c r="K878" s="10"/>
      <c r="L878" s="10"/>
      <c r="P878" t="str">
        <f t="shared" si="25"/>
        <v/>
      </c>
    </row>
    <row r="879" spans="1:16" x14ac:dyDescent="0.3">
      <c r="A879" s="10"/>
      <c r="B879" s="10"/>
      <c r="C879" s="10"/>
      <c r="D879" s="10"/>
      <c r="E879" s="10"/>
      <c r="F879" s="10"/>
      <c r="G879" s="10"/>
      <c r="H879" s="10"/>
      <c r="I879" s="10"/>
      <c r="K879" s="10"/>
      <c r="L879" s="10"/>
      <c r="P879" t="str">
        <f t="shared" si="25"/>
        <v/>
      </c>
    </row>
    <row r="880" spans="1:16" x14ac:dyDescent="0.3">
      <c r="A880" s="10"/>
      <c r="B880" s="10"/>
      <c r="C880" s="10"/>
      <c r="D880" s="10"/>
      <c r="E880" s="10"/>
      <c r="F880" s="10"/>
      <c r="G880" s="10"/>
      <c r="H880" s="10"/>
      <c r="I880" s="10"/>
      <c r="K880" s="10"/>
      <c r="L880" s="10"/>
      <c r="P880" t="str">
        <f t="shared" si="25"/>
        <v/>
      </c>
    </row>
    <row r="881" spans="1:16" x14ac:dyDescent="0.3">
      <c r="A881" s="10"/>
      <c r="B881" s="10"/>
      <c r="C881" s="10"/>
      <c r="D881" s="10"/>
      <c r="E881" s="10"/>
      <c r="F881" s="10"/>
      <c r="G881" s="10"/>
      <c r="H881" s="10"/>
      <c r="I881" s="10"/>
      <c r="K881" s="10"/>
      <c r="L881" s="10"/>
      <c r="P881" t="str">
        <f t="shared" si="25"/>
        <v/>
      </c>
    </row>
    <row r="882" spans="1:16" x14ac:dyDescent="0.3">
      <c r="A882" s="10"/>
      <c r="B882" s="10"/>
      <c r="C882" s="10"/>
      <c r="D882" s="10"/>
      <c r="E882" s="10"/>
      <c r="F882" s="10"/>
      <c r="G882" s="10"/>
      <c r="H882" s="10"/>
      <c r="I882" s="10"/>
      <c r="K882" s="10"/>
      <c r="L882" s="10"/>
      <c r="P882" t="str">
        <f t="shared" si="25"/>
        <v/>
      </c>
    </row>
    <row r="883" spans="1:16" x14ac:dyDescent="0.3">
      <c r="A883" s="10"/>
      <c r="B883" s="10"/>
      <c r="C883" s="10"/>
      <c r="D883" s="10"/>
      <c r="E883" s="10"/>
      <c r="F883" s="10"/>
      <c r="G883" s="10"/>
      <c r="H883" s="10"/>
      <c r="I883" s="10"/>
      <c r="K883" s="10"/>
      <c r="L883" s="10"/>
      <c r="P883" t="str">
        <f t="shared" si="25"/>
        <v/>
      </c>
    </row>
    <row r="884" spans="1:16" x14ac:dyDescent="0.3">
      <c r="A884" s="10"/>
      <c r="B884" s="10"/>
      <c r="C884" s="10"/>
      <c r="D884" s="10"/>
      <c r="E884" s="10"/>
      <c r="F884" s="10"/>
      <c r="G884" s="10"/>
      <c r="H884" s="10"/>
      <c r="I884" s="10"/>
      <c r="K884" s="10"/>
      <c r="L884" s="10"/>
      <c r="P884" t="str">
        <f t="shared" si="25"/>
        <v/>
      </c>
    </row>
    <row r="885" spans="1:16" x14ac:dyDescent="0.3">
      <c r="A885" s="10"/>
      <c r="B885" s="10"/>
      <c r="C885" s="10"/>
      <c r="D885" s="10"/>
      <c r="E885" s="10"/>
      <c r="F885" s="10"/>
      <c r="G885" s="10"/>
      <c r="H885" s="10"/>
      <c r="I885" s="10"/>
      <c r="K885" s="10"/>
      <c r="L885" s="10"/>
      <c r="P885" t="str">
        <f t="shared" si="25"/>
        <v/>
      </c>
    </row>
    <row r="886" spans="1:16" x14ac:dyDescent="0.3">
      <c r="A886" s="10"/>
      <c r="B886" s="10"/>
      <c r="C886" s="10"/>
      <c r="D886" s="10"/>
      <c r="E886" s="10"/>
      <c r="F886" s="10"/>
      <c r="G886" s="10"/>
      <c r="H886" s="10"/>
      <c r="I886" s="10"/>
      <c r="K886" s="10"/>
      <c r="L886" s="10"/>
      <c r="P886" t="str">
        <f t="shared" si="25"/>
        <v/>
      </c>
    </row>
    <row r="887" spans="1:16" x14ac:dyDescent="0.3">
      <c r="A887" s="10"/>
      <c r="B887" s="10"/>
      <c r="C887" s="10"/>
      <c r="D887" s="10"/>
      <c r="E887" s="10"/>
      <c r="F887" s="10"/>
      <c r="G887" s="10"/>
      <c r="H887" s="10"/>
      <c r="I887" s="10"/>
      <c r="K887" s="10"/>
      <c r="L887" s="10"/>
      <c r="P887" t="str">
        <f t="shared" si="25"/>
        <v/>
      </c>
    </row>
    <row r="888" spans="1:16" x14ac:dyDescent="0.3">
      <c r="A888" s="10"/>
      <c r="B888" s="10"/>
      <c r="C888" s="10"/>
      <c r="D888" s="10"/>
      <c r="E888" s="10"/>
      <c r="F888" s="10"/>
      <c r="G888" s="10"/>
      <c r="H888" s="10"/>
      <c r="I888" s="10"/>
      <c r="K888" s="10"/>
      <c r="L888" s="10"/>
      <c r="P888" t="str">
        <f t="shared" si="25"/>
        <v/>
      </c>
    </row>
    <row r="889" spans="1:16" x14ac:dyDescent="0.3">
      <c r="A889" s="10"/>
      <c r="B889" s="10"/>
      <c r="C889" s="10"/>
      <c r="D889" s="10"/>
      <c r="E889" s="10"/>
      <c r="F889" s="10"/>
      <c r="G889" s="10"/>
      <c r="H889" s="10"/>
      <c r="I889" s="10"/>
      <c r="K889" s="10"/>
      <c r="L889" s="10"/>
      <c r="P889" t="str">
        <f t="shared" si="25"/>
        <v/>
      </c>
    </row>
    <row r="890" spans="1:16" x14ac:dyDescent="0.3">
      <c r="A890" s="10"/>
      <c r="B890" s="10"/>
      <c r="C890" s="10"/>
      <c r="D890" s="10"/>
      <c r="E890" s="10"/>
      <c r="F890" s="10"/>
      <c r="G890" s="10"/>
      <c r="H890" s="10"/>
      <c r="I890" s="10"/>
      <c r="K890" s="10"/>
      <c r="L890" s="10"/>
      <c r="P890" t="str">
        <f t="shared" si="25"/>
        <v/>
      </c>
    </row>
    <row r="891" spans="1:16" x14ac:dyDescent="0.3">
      <c r="A891" s="10"/>
      <c r="B891" s="10"/>
      <c r="C891" s="10"/>
      <c r="D891" s="10"/>
      <c r="E891" s="10"/>
      <c r="F891" s="10"/>
      <c r="G891" s="10"/>
      <c r="H891" s="10"/>
      <c r="I891" s="10"/>
      <c r="K891" s="10"/>
      <c r="L891" s="10"/>
      <c r="P891" t="str">
        <f t="shared" si="25"/>
        <v/>
      </c>
    </row>
    <row r="892" spans="1:16" x14ac:dyDescent="0.3">
      <c r="A892" s="10"/>
      <c r="B892" s="10"/>
      <c r="C892" s="10"/>
      <c r="D892" s="10"/>
      <c r="E892" s="10"/>
      <c r="F892" s="10"/>
      <c r="G892" s="10"/>
      <c r="H892" s="10"/>
      <c r="I892" s="10"/>
      <c r="K892" s="10"/>
      <c r="L892" s="10"/>
      <c r="P892" t="str">
        <f t="shared" si="25"/>
        <v/>
      </c>
    </row>
    <row r="893" spans="1:16" x14ac:dyDescent="0.3">
      <c r="A893" s="10"/>
      <c r="B893" s="10"/>
      <c r="C893" s="10"/>
      <c r="D893" s="10"/>
      <c r="E893" s="10"/>
      <c r="F893" s="10"/>
      <c r="G893" s="10"/>
      <c r="H893" s="10"/>
      <c r="I893" s="10"/>
      <c r="K893" s="10"/>
      <c r="L893" s="10"/>
      <c r="P893" t="str">
        <f t="shared" si="25"/>
        <v/>
      </c>
    </row>
    <row r="894" spans="1:16" x14ac:dyDescent="0.3">
      <c r="A894" s="10"/>
      <c r="B894" s="10"/>
      <c r="C894" s="10"/>
      <c r="D894" s="10"/>
      <c r="E894" s="10"/>
      <c r="F894" s="10"/>
      <c r="G894" s="10"/>
      <c r="H894" s="10"/>
      <c r="I894" s="10"/>
      <c r="K894" s="10"/>
      <c r="L894" s="10"/>
      <c r="P894" t="str">
        <f t="shared" si="25"/>
        <v/>
      </c>
    </row>
    <row r="895" spans="1:16" x14ac:dyDescent="0.3">
      <c r="A895" s="10"/>
      <c r="B895" s="10"/>
      <c r="C895" s="10"/>
      <c r="D895" s="10"/>
      <c r="E895" s="10"/>
      <c r="F895" s="10"/>
      <c r="G895" s="10"/>
      <c r="H895" s="10"/>
      <c r="I895" s="10"/>
      <c r="K895" s="10"/>
      <c r="L895" s="10"/>
      <c r="P895" t="str">
        <f t="shared" si="25"/>
        <v/>
      </c>
    </row>
    <row r="896" spans="1:16" x14ac:dyDescent="0.3">
      <c r="A896" s="10"/>
      <c r="B896" s="10"/>
      <c r="C896" s="10"/>
      <c r="D896" s="10"/>
      <c r="E896" s="10"/>
      <c r="F896" s="10"/>
      <c r="G896" s="10"/>
      <c r="H896" s="10"/>
      <c r="I896" s="10"/>
      <c r="K896" s="10"/>
      <c r="L896" s="10"/>
      <c r="P896" t="str">
        <f t="shared" si="25"/>
        <v/>
      </c>
    </row>
    <row r="897" spans="1:16" x14ac:dyDescent="0.3">
      <c r="A897" s="10"/>
      <c r="B897" s="10"/>
      <c r="C897" s="10"/>
      <c r="D897" s="10"/>
      <c r="E897" s="10"/>
      <c r="F897" s="10"/>
      <c r="G897" s="10"/>
      <c r="H897" s="10"/>
      <c r="I897" s="10"/>
      <c r="K897" s="10"/>
      <c r="L897" s="10"/>
      <c r="P897" t="str">
        <f t="shared" si="25"/>
        <v/>
      </c>
    </row>
    <row r="898" spans="1:16" x14ac:dyDescent="0.3">
      <c r="A898" s="10"/>
      <c r="B898" s="10"/>
      <c r="C898" s="10"/>
      <c r="D898" s="10"/>
      <c r="E898" s="10"/>
      <c r="F898" s="10"/>
      <c r="G898" s="10"/>
      <c r="H898" s="10"/>
      <c r="I898" s="10"/>
      <c r="K898" s="10"/>
      <c r="L898" s="10"/>
      <c r="P898" t="str">
        <f t="shared" si="25"/>
        <v/>
      </c>
    </row>
    <row r="899" spans="1:16" x14ac:dyDescent="0.3">
      <c r="A899" s="10"/>
      <c r="B899" s="10"/>
      <c r="C899" s="10"/>
      <c r="D899" s="10"/>
      <c r="E899" s="10"/>
      <c r="F899" s="10"/>
      <c r="G899" s="10"/>
      <c r="H899" s="10"/>
      <c r="I899" s="10"/>
      <c r="K899" s="10"/>
      <c r="L899" s="10"/>
      <c r="P899" t="str">
        <f t="shared" si="25"/>
        <v/>
      </c>
    </row>
    <row r="900" spans="1:16" x14ac:dyDescent="0.3">
      <c r="A900" s="10"/>
      <c r="B900" s="10"/>
      <c r="C900" s="10"/>
      <c r="D900" s="10"/>
      <c r="E900" s="10"/>
      <c r="F900" s="10"/>
      <c r="G900" s="10"/>
      <c r="H900" s="10"/>
      <c r="I900" s="10"/>
      <c r="K900" s="10"/>
      <c r="L900" s="10"/>
      <c r="P900" t="str">
        <f t="shared" ref="P900:P963" si="26">IF($J900="","",IF(ABS($J900)&lt;=2,"OK","FORA (|SDI|&gt;2)"))</f>
        <v/>
      </c>
    </row>
    <row r="901" spans="1:16" x14ac:dyDescent="0.3">
      <c r="A901" s="10"/>
      <c r="B901" s="10"/>
      <c r="C901" s="10"/>
      <c r="D901" s="10"/>
      <c r="E901" s="10"/>
      <c r="F901" s="10"/>
      <c r="G901" s="10"/>
      <c r="H901" s="10"/>
      <c r="I901" s="10"/>
      <c r="K901" s="10"/>
      <c r="L901" s="10"/>
      <c r="P901" t="str">
        <f t="shared" si="26"/>
        <v/>
      </c>
    </row>
    <row r="902" spans="1:16" x14ac:dyDescent="0.3">
      <c r="A902" s="10"/>
      <c r="B902" s="10"/>
      <c r="C902" s="10"/>
      <c r="D902" s="10"/>
      <c r="E902" s="10"/>
      <c r="F902" s="10"/>
      <c r="G902" s="10"/>
      <c r="H902" s="10"/>
      <c r="I902" s="10"/>
      <c r="K902" s="10"/>
      <c r="L902" s="10"/>
      <c r="P902" t="str">
        <f t="shared" si="26"/>
        <v/>
      </c>
    </row>
    <row r="903" spans="1:16" x14ac:dyDescent="0.3">
      <c r="A903" s="10"/>
      <c r="B903" s="10"/>
      <c r="C903" s="10"/>
      <c r="D903" s="10"/>
      <c r="E903" s="10"/>
      <c r="F903" s="10"/>
      <c r="G903" s="10"/>
      <c r="H903" s="10"/>
      <c r="I903" s="10"/>
      <c r="K903" s="10"/>
      <c r="L903" s="10"/>
      <c r="P903" t="str">
        <f t="shared" si="26"/>
        <v/>
      </c>
    </row>
    <row r="904" spans="1:16" x14ac:dyDescent="0.3">
      <c r="A904" s="10"/>
      <c r="B904" s="10"/>
      <c r="C904" s="10"/>
      <c r="D904" s="10"/>
      <c r="E904" s="10"/>
      <c r="F904" s="10"/>
      <c r="G904" s="10"/>
      <c r="H904" s="10"/>
      <c r="I904" s="10"/>
      <c r="K904" s="10"/>
      <c r="L904" s="10"/>
      <c r="P904" t="str">
        <f t="shared" si="26"/>
        <v/>
      </c>
    </row>
    <row r="905" spans="1:16" x14ac:dyDescent="0.3">
      <c r="A905" s="10"/>
      <c r="B905" s="10"/>
      <c r="C905" s="10"/>
      <c r="D905" s="10"/>
      <c r="E905" s="10"/>
      <c r="F905" s="10"/>
      <c r="G905" s="10"/>
      <c r="H905" s="10"/>
      <c r="I905" s="10"/>
      <c r="K905" s="10"/>
      <c r="L905" s="10"/>
      <c r="P905" t="str">
        <f t="shared" si="26"/>
        <v/>
      </c>
    </row>
    <row r="906" spans="1:16" x14ac:dyDescent="0.3">
      <c r="A906" s="10"/>
      <c r="B906" s="10"/>
      <c r="C906" s="10"/>
      <c r="D906" s="10"/>
      <c r="E906" s="10"/>
      <c r="F906" s="10"/>
      <c r="G906" s="10"/>
      <c r="H906" s="10"/>
      <c r="I906" s="10"/>
      <c r="K906" s="10"/>
      <c r="L906" s="10"/>
      <c r="P906" t="str">
        <f t="shared" si="26"/>
        <v/>
      </c>
    </row>
    <row r="907" spans="1:16" x14ac:dyDescent="0.3">
      <c r="A907" s="10"/>
      <c r="B907" s="10"/>
      <c r="C907" s="10"/>
      <c r="D907" s="10"/>
      <c r="E907" s="10"/>
      <c r="F907" s="10"/>
      <c r="G907" s="10"/>
      <c r="H907" s="10"/>
      <c r="I907" s="10"/>
      <c r="K907" s="10"/>
      <c r="L907" s="10"/>
      <c r="P907" t="str">
        <f t="shared" si="26"/>
        <v/>
      </c>
    </row>
    <row r="908" spans="1:16" x14ac:dyDescent="0.3">
      <c r="A908" s="10"/>
      <c r="B908" s="10"/>
      <c r="C908" s="10"/>
      <c r="D908" s="10"/>
      <c r="E908" s="10"/>
      <c r="F908" s="10"/>
      <c r="G908" s="10"/>
      <c r="H908" s="10"/>
      <c r="I908" s="10"/>
      <c r="K908" s="10"/>
      <c r="L908" s="10"/>
      <c r="P908" t="str">
        <f t="shared" si="26"/>
        <v/>
      </c>
    </row>
    <row r="909" spans="1:16" x14ac:dyDescent="0.3">
      <c r="A909" s="10"/>
      <c r="B909" s="10"/>
      <c r="C909" s="10"/>
      <c r="D909" s="10"/>
      <c r="E909" s="10"/>
      <c r="F909" s="10"/>
      <c r="G909" s="10"/>
      <c r="H909" s="10"/>
      <c r="I909" s="10"/>
      <c r="K909" s="10"/>
      <c r="L909" s="10"/>
      <c r="P909" t="str">
        <f t="shared" si="26"/>
        <v/>
      </c>
    </row>
    <row r="910" spans="1:16" x14ac:dyDescent="0.3">
      <c r="A910" s="10"/>
      <c r="B910" s="10"/>
      <c r="C910" s="10"/>
      <c r="D910" s="10"/>
      <c r="E910" s="10"/>
      <c r="F910" s="10"/>
      <c r="G910" s="10"/>
      <c r="H910" s="10"/>
      <c r="I910" s="10"/>
      <c r="K910" s="10"/>
      <c r="L910" s="10"/>
      <c r="P910" t="str">
        <f t="shared" si="26"/>
        <v/>
      </c>
    </row>
    <row r="911" spans="1:16" x14ac:dyDescent="0.3">
      <c r="A911" s="10"/>
      <c r="B911" s="10"/>
      <c r="C911" s="10"/>
      <c r="D911" s="10"/>
      <c r="E911" s="10"/>
      <c r="F911" s="10"/>
      <c r="G911" s="10"/>
      <c r="H911" s="10"/>
      <c r="I911" s="10"/>
      <c r="K911" s="10"/>
      <c r="L911" s="10"/>
      <c r="P911" t="str">
        <f t="shared" si="26"/>
        <v/>
      </c>
    </row>
    <row r="912" spans="1:16" x14ac:dyDescent="0.3">
      <c r="A912" s="10"/>
      <c r="B912" s="10"/>
      <c r="C912" s="10"/>
      <c r="D912" s="10"/>
      <c r="E912" s="10"/>
      <c r="F912" s="10"/>
      <c r="G912" s="10"/>
      <c r="H912" s="10"/>
      <c r="I912" s="10"/>
      <c r="K912" s="10"/>
      <c r="L912" s="10"/>
      <c r="P912" t="str">
        <f t="shared" si="26"/>
        <v/>
      </c>
    </row>
    <row r="913" spans="1:16" x14ac:dyDescent="0.3">
      <c r="A913" s="10"/>
      <c r="B913" s="10"/>
      <c r="C913" s="10"/>
      <c r="D913" s="10"/>
      <c r="E913" s="10"/>
      <c r="F913" s="10"/>
      <c r="G913" s="10"/>
      <c r="H913" s="10"/>
      <c r="I913" s="10"/>
      <c r="K913" s="10"/>
      <c r="L913" s="10"/>
      <c r="P913" t="str">
        <f t="shared" si="26"/>
        <v/>
      </c>
    </row>
    <row r="914" spans="1:16" x14ac:dyDescent="0.3">
      <c r="A914" s="10"/>
      <c r="B914" s="10"/>
      <c r="C914" s="10"/>
      <c r="D914" s="10"/>
      <c r="E914" s="10"/>
      <c r="F914" s="10"/>
      <c r="G914" s="10"/>
      <c r="H914" s="10"/>
      <c r="I914" s="10"/>
      <c r="K914" s="10"/>
      <c r="L914" s="10"/>
      <c r="P914" t="str">
        <f t="shared" si="26"/>
        <v/>
      </c>
    </row>
    <row r="915" spans="1:16" x14ac:dyDescent="0.3">
      <c r="A915" s="10"/>
      <c r="B915" s="10"/>
      <c r="C915" s="10"/>
      <c r="D915" s="10"/>
      <c r="E915" s="10"/>
      <c r="F915" s="10"/>
      <c r="G915" s="10"/>
      <c r="H915" s="10"/>
      <c r="I915" s="10"/>
      <c r="K915" s="10"/>
      <c r="L915" s="10"/>
      <c r="P915" t="str">
        <f t="shared" si="26"/>
        <v/>
      </c>
    </row>
    <row r="916" spans="1:16" x14ac:dyDescent="0.3">
      <c r="A916" s="10"/>
      <c r="B916" s="10"/>
      <c r="C916" s="10"/>
      <c r="D916" s="10"/>
      <c r="E916" s="10"/>
      <c r="F916" s="10"/>
      <c r="G916" s="10"/>
      <c r="H916" s="10"/>
      <c r="I916" s="10"/>
      <c r="K916" s="10"/>
      <c r="L916" s="10"/>
      <c r="P916" t="str">
        <f t="shared" si="26"/>
        <v/>
      </c>
    </row>
    <row r="917" spans="1:16" x14ac:dyDescent="0.3">
      <c r="A917" s="10"/>
      <c r="B917" s="10"/>
      <c r="C917" s="10"/>
      <c r="D917" s="10"/>
      <c r="E917" s="10"/>
      <c r="F917" s="10"/>
      <c r="G917" s="10"/>
      <c r="H917" s="10"/>
      <c r="I917" s="10"/>
      <c r="K917" s="10"/>
      <c r="L917" s="10"/>
      <c r="P917" t="str">
        <f t="shared" si="26"/>
        <v/>
      </c>
    </row>
    <row r="918" spans="1:16" x14ac:dyDescent="0.3">
      <c r="A918" s="10"/>
      <c r="B918" s="10"/>
      <c r="C918" s="10"/>
      <c r="D918" s="10"/>
      <c r="E918" s="10"/>
      <c r="F918" s="10"/>
      <c r="G918" s="10"/>
      <c r="H918" s="10"/>
      <c r="I918" s="10"/>
      <c r="K918" s="10"/>
      <c r="L918" s="10"/>
      <c r="P918" t="str">
        <f t="shared" si="26"/>
        <v/>
      </c>
    </row>
    <row r="919" spans="1:16" x14ac:dyDescent="0.3">
      <c r="A919" s="10"/>
      <c r="B919" s="10"/>
      <c r="C919" s="10"/>
      <c r="D919" s="10"/>
      <c r="E919" s="10"/>
      <c r="F919" s="10"/>
      <c r="G919" s="10"/>
      <c r="H919" s="10"/>
      <c r="I919" s="10"/>
      <c r="K919" s="10"/>
      <c r="L919" s="10"/>
      <c r="P919" t="str">
        <f t="shared" si="26"/>
        <v/>
      </c>
    </row>
    <row r="920" spans="1:16" x14ac:dyDescent="0.3">
      <c r="A920" s="10"/>
      <c r="B920" s="10"/>
      <c r="C920" s="10"/>
      <c r="D920" s="10"/>
      <c r="E920" s="10"/>
      <c r="F920" s="10"/>
      <c r="G920" s="10"/>
      <c r="H920" s="10"/>
      <c r="I920" s="10"/>
      <c r="K920" s="10"/>
      <c r="L920" s="10"/>
      <c r="P920" t="str">
        <f t="shared" si="26"/>
        <v/>
      </c>
    </row>
    <row r="921" spans="1:16" x14ac:dyDescent="0.3">
      <c r="A921" s="10"/>
      <c r="B921" s="10"/>
      <c r="C921" s="10"/>
      <c r="D921" s="10"/>
      <c r="E921" s="10"/>
      <c r="F921" s="10"/>
      <c r="G921" s="10"/>
      <c r="H921" s="10"/>
      <c r="I921" s="10"/>
      <c r="K921" s="10"/>
      <c r="L921" s="10"/>
      <c r="P921" t="str">
        <f t="shared" si="26"/>
        <v/>
      </c>
    </row>
    <row r="922" spans="1:16" x14ac:dyDescent="0.3">
      <c r="A922" s="10"/>
      <c r="B922" s="10"/>
      <c r="C922" s="10"/>
      <c r="D922" s="10"/>
      <c r="E922" s="10"/>
      <c r="F922" s="10"/>
      <c r="G922" s="10"/>
      <c r="H922" s="10"/>
      <c r="I922" s="10"/>
      <c r="K922" s="10"/>
      <c r="L922" s="10"/>
      <c r="P922" t="str">
        <f t="shared" si="26"/>
        <v/>
      </c>
    </row>
    <row r="923" spans="1:16" x14ac:dyDescent="0.3">
      <c r="A923" s="10"/>
      <c r="B923" s="10"/>
      <c r="C923" s="10"/>
      <c r="D923" s="10"/>
      <c r="E923" s="10"/>
      <c r="F923" s="10"/>
      <c r="G923" s="10"/>
      <c r="H923" s="10"/>
      <c r="I923" s="10"/>
      <c r="K923" s="10"/>
      <c r="L923" s="10"/>
      <c r="P923" t="str">
        <f t="shared" si="26"/>
        <v/>
      </c>
    </row>
    <row r="924" spans="1:16" x14ac:dyDescent="0.3">
      <c r="A924" s="10"/>
      <c r="B924" s="10"/>
      <c r="C924" s="10"/>
      <c r="D924" s="10"/>
      <c r="E924" s="10"/>
      <c r="F924" s="10"/>
      <c r="G924" s="10"/>
      <c r="H924" s="10"/>
      <c r="I924" s="10"/>
      <c r="K924" s="10"/>
      <c r="L924" s="10"/>
      <c r="P924" t="str">
        <f t="shared" si="26"/>
        <v/>
      </c>
    </row>
    <row r="925" spans="1:16" x14ac:dyDescent="0.3">
      <c r="A925" s="10"/>
      <c r="B925" s="10"/>
      <c r="C925" s="10"/>
      <c r="D925" s="10"/>
      <c r="E925" s="10"/>
      <c r="F925" s="10"/>
      <c r="G925" s="10"/>
      <c r="H925" s="10"/>
      <c r="I925" s="10"/>
      <c r="K925" s="10"/>
      <c r="L925" s="10"/>
      <c r="P925" t="str">
        <f t="shared" si="26"/>
        <v/>
      </c>
    </row>
    <row r="926" spans="1:16" x14ac:dyDescent="0.3">
      <c r="A926" s="10"/>
      <c r="B926" s="10"/>
      <c r="C926" s="10"/>
      <c r="D926" s="10"/>
      <c r="E926" s="10"/>
      <c r="F926" s="10"/>
      <c r="G926" s="10"/>
      <c r="H926" s="10"/>
      <c r="I926" s="10"/>
      <c r="K926" s="10"/>
      <c r="L926" s="10"/>
      <c r="P926" t="str">
        <f t="shared" si="26"/>
        <v/>
      </c>
    </row>
    <row r="927" spans="1:16" x14ac:dyDescent="0.3">
      <c r="A927" s="10"/>
      <c r="B927" s="10"/>
      <c r="C927" s="10"/>
      <c r="D927" s="10"/>
      <c r="E927" s="10"/>
      <c r="F927" s="10"/>
      <c r="G927" s="10"/>
      <c r="H927" s="10"/>
      <c r="I927" s="10"/>
      <c r="K927" s="10"/>
      <c r="L927" s="10"/>
      <c r="P927" t="str">
        <f t="shared" si="26"/>
        <v/>
      </c>
    </row>
    <row r="928" spans="1:16" x14ac:dyDescent="0.3">
      <c r="A928" s="10"/>
      <c r="B928" s="10"/>
      <c r="C928" s="10"/>
      <c r="D928" s="10"/>
      <c r="E928" s="10"/>
      <c r="F928" s="10"/>
      <c r="G928" s="10"/>
      <c r="H928" s="10"/>
      <c r="I928" s="10"/>
      <c r="K928" s="10"/>
      <c r="L928" s="10"/>
      <c r="P928" t="str">
        <f t="shared" si="26"/>
        <v/>
      </c>
    </row>
    <row r="929" spans="1:16" x14ac:dyDescent="0.3">
      <c r="A929" s="10"/>
      <c r="B929" s="10"/>
      <c r="C929" s="10"/>
      <c r="D929" s="10"/>
      <c r="E929" s="10"/>
      <c r="F929" s="10"/>
      <c r="G929" s="10"/>
      <c r="H929" s="10"/>
      <c r="I929" s="10"/>
      <c r="K929" s="10"/>
      <c r="L929" s="10"/>
      <c r="P929" t="str">
        <f t="shared" si="26"/>
        <v/>
      </c>
    </row>
    <row r="930" spans="1:16" x14ac:dyDescent="0.3">
      <c r="A930" s="10"/>
      <c r="B930" s="10"/>
      <c r="C930" s="10"/>
      <c r="D930" s="10"/>
      <c r="E930" s="10"/>
      <c r="F930" s="10"/>
      <c r="G930" s="10"/>
      <c r="H930" s="10"/>
      <c r="I930" s="10"/>
      <c r="K930" s="10"/>
      <c r="L930" s="10"/>
      <c r="P930" t="str">
        <f t="shared" si="26"/>
        <v/>
      </c>
    </row>
    <row r="931" spans="1:16" x14ac:dyDescent="0.3">
      <c r="A931" s="10"/>
      <c r="B931" s="10"/>
      <c r="C931" s="10"/>
      <c r="D931" s="10"/>
      <c r="E931" s="10"/>
      <c r="F931" s="10"/>
      <c r="G931" s="10"/>
      <c r="H931" s="10"/>
      <c r="I931" s="10"/>
      <c r="K931" s="10"/>
      <c r="L931" s="10"/>
      <c r="P931" t="str">
        <f t="shared" si="26"/>
        <v/>
      </c>
    </row>
    <row r="932" spans="1:16" x14ac:dyDescent="0.3">
      <c r="A932" s="10"/>
      <c r="B932" s="10"/>
      <c r="C932" s="10"/>
      <c r="D932" s="10"/>
      <c r="E932" s="10"/>
      <c r="F932" s="10"/>
      <c r="G932" s="10"/>
      <c r="H932" s="10"/>
      <c r="I932" s="10"/>
      <c r="K932" s="10"/>
      <c r="L932" s="10"/>
      <c r="P932" t="str">
        <f t="shared" si="26"/>
        <v/>
      </c>
    </row>
    <row r="933" spans="1:16" x14ac:dyDescent="0.3">
      <c r="A933" s="10"/>
      <c r="B933" s="10"/>
      <c r="C933" s="10"/>
      <c r="D933" s="10"/>
      <c r="E933" s="10"/>
      <c r="F933" s="10"/>
      <c r="G933" s="10"/>
      <c r="H933" s="10"/>
      <c r="I933" s="10"/>
      <c r="K933" s="10"/>
      <c r="L933" s="10"/>
      <c r="P933" t="str">
        <f t="shared" si="26"/>
        <v/>
      </c>
    </row>
    <row r="934" spans="1:16" x14ac:dyDescent="0.3">
      <c r="A934" s="10"/>
      <c r="B934" s="10"/>
      <c r="C934" s="10"/>
      <c r="D934" s="10"/>
      <c r="E934" s="10"/>
      <c r="F934" s="10"/>
      <c r="G934" s="10"/>
      <c r="H934" s="10"/>
      <c r="I934" s="10"/>
      <c r="K934" s="10"/>
      <c r="L934" s="10"/>
      <c r="P934" t="str">
        <f t="shared" si="26"/>
        <v/>
      </c>
    </row>
    <row r="935" spans="1:16" x14ac:dyDescent="0.3">
      <c r="A935" s="10"/>
      <c r="B935" s="10"/>
      <c r="C935" s="10"/>
      <c r="D935" s="10"/>
      <c r="E935" s="10"/>
      <c r="F935" s="10"/>
      <c r="G935" s="10"/>
      <c r="H935" s="10"/>
      <c r="I935" s="10"/>
      <c r="K935" s="10"/>
      <c r="L935" s="10"/>
      <c r="P935" t="str">
        <f t="shared" si="26"/>
        <v/>
      </c>
    </row>
    <row r="936" spans="1:16" x14ac:dyDescent="0.3">
      <c r="A936" s="10"/>
      <c r="B936" s="10"/>
      <c r="C936" s="10"/>
      <c r="D936" s="10"/>
      <c r="E936" s="10"/>
      <c r="F936" s="10"/>
      <c r="G936" s="10"/>
      <c r="H936" s="10"/>
      <c r="I936" s="10"/>
      <c r="K936" s="10"/>
      <c r="L936" s="10"/>
      <c r="P936" t="str">
        <f t="shared" si="26"/>
        <v/>
      </c>
    </row>
    <row r="937" spans="1:16" x14ac:dyDescent="0.3">
      <c r="A937" s="10"/>
      <c r="B937" s="10"/>
      <c r="C937" s="10"/>
      <c r="D937" s="10"/>
      <c r="E937" s="10"/>
      <c r="F937" s="10"/>
      <c r="G937" s="10"/>
      <c r="H937" s="10"/>
      <c r="I937" s="10"/>
      <c r="K937" s="10"/>
      <c r="L937" s="10"/>
      <c r="P937" t="str">
        <f t="shared" si="26"/>
        <v/>
      </c>
    </row>
    <row r="938" spans="1:16" x14ac:dyDescent="0.3">
      <c r="A938" s="10"/>
      <c r="B938" s="10"/>
      <c r="C938" s="10"/>
      <c r="D938" s="10"/>
      <c r="E938" s="10"/>
      <c r="F938" s="10"/>
      <c r="G938" s="10"/>
      <c r="H938" s="10"/>
      <c r="I938" s="10"/>
      <c r="K938" s="10"/>
      <c r="L938" s="10"/>
      <c r="P938" t="str">
        <f t="shared" si="26"/>
        <v/>
      </c>
    </row>
    <row r="939" spans="1:16" x14ac:dyDescent="0.3">
      <c r="A939" s="10"/>
      <c r="B939" s="10"/>
      <c r="C939" s="10"/>
      <c r="D939" s="10"/>
      <c r="E939" s="10"/>
      <c r="F939" s="10"/>
      <c r="G939" s="10"/>
      <c r="H939" s="10"/>
      <c r="I939" s="10"/>
      <c r="K939" s="10"/>
      <c r="L939" s="10"/>
      <c r="P939" t="str">
        <f t="shared" si="26"/>
        <v/>
      </c>
    </row>
    <row r="940" spans="1:16" x14ac:dyDescent="0.3">
      <c r="A940" s="10"/>
      <c r="B940" s="10"/>
      <c r="C940" s="10"/>
      <c r="D940" s="10"/>
      <c r="E940" s="10"/>
      <c r="F940" s="10"/>
      <c r="G940" s="10"/>
      <c r="H940" s="10"/>
      <c r="I940" s="10"/>
      <c r="K940" s="10"/>
      <c r="L940" s="10"/>
      <c r="P940" t="str">
        <f t="shared" si="26"/>
        <v/>
      </c>
    </row>
    <row r="941" spans="1:16" x14ac:dyDescent="0.3">
      <c r="A941" s="10"/>
      <c r="B941" s="10"/>
      <c r="C941" s="10"/>
      <c r="D941" s="10"/>
      <c r="E941" s="10"/>
      <c r="F941" s="10"/>
      <c r="G941" s="10"/>
      <c r="H941" s="10"/>
      <c r="I941" s="10"/>
      <c r="K941" s="10"/>
      <c r="L941" s="10"/>
      <c r="P941" t="str">
        <f t="shared" si="26"/>
        <v/>
      </c>
    </row>
    <row r="942" spans="1:16" x14ac:dyDescent="0.3">
      <c r="A942" s="10"/>
      <c r="B942" s="10"/>
      <c r="C942" s="10"/>
      <c r="D942" s="10"/>
      <c r="E942" s="10"/>
      <c r="F942" s="10"/>
      <c r="G942" s="10"/>
      <c r="H942" s="10"/>
      <c r="I942" s="10"/>
      <c r="K942" s="10"/>
      <c r="L942" s="10"/>
      <c r="P942" t="str">
        <f t="shared" si="26"/>
        <v/>
      </c>
    </row>
    <row r="943" spans="1:16" x14ac:dyDescent="0.3">
      <c r="A943" s="10"/>
      <c r="B943" s="10"/>
      <c r="C943" s="10"/>
      <c r="D943" s="10"/>
      <c r="E943" s="10"/>
      <c r="F943" s="10"/>
      <c r="G943" s="10"/>
      <c r="H943" s="10"/>
      <c r="I943" s="10"/>
      <c r="K943" s="10"/>
      <c r="L943" s="10"/>
      <c r="P943" t="str">
        <f t="shared" si="26"/>
        <v/>
      </c>
    </row>
    <row r="944" spans="1:16" x14ac:dyDescent="0.3">
      <c r="A944" s="10"/>
      <c r="B944" s="10"/>
      <c r="C944" s="10"/>
      <c r="D944" s="10"/>
      <c r="E944" s="10"/>
      <c r="F944" s="10"/>
      <c r="G944" s="10"/>
      <c r="H944" s="10"/>
      <c r="I944" s="10"/>
      <c r="K944" s="10"/>
      <c r="L944" s="10"/>
      <c r="P944" t="str">
        <f t="shared" si="26"/>
        <v/>
      </c>
    </row>
    <row r="945" spans="1:16" x14ac:dyDescent="0.3">
      <c r="A945" s="10"/>
      <c r="B945" s="10"/>
      <c r="C945" s="10"/>
      <c r="D945" s="10"/>
      <c r="E945" s="10"/>
      <c r="F945" s="10"/>
      <c r="G945" s="10"/>
      <c r="H945" s="10"/>
      <c r="I945" s="10"/>
      <c r="K945" s="10"/>
      <c r="L945" s="10"/>
      <c r="P945" t="str">
        <f t="shared" si="26"/>
        <v/>
      </c>
    </row>
    <row r="946" spans="1:16" x14ac:dyDescent="0.3">
      <c r="A946" s="10"/>
      <c r="B946" s="10"/>
      <c r="C946" s="10"/>
      <c r="D946" s="10"/>
      <c r="E946" s="10"/>
      <c r="F946" s="10"/>
      <c r="G946" s="10"/>
      <c r="H946" s="10"/>
      <c r="I946" s="10"/>
      <c r="K946" s="10"/>
      <c r="L946" s="10"/>
      <c r="P946" t="str">
        <f t="shared" si="26"/>
        <v/>
      </c>
    </row>
    <row r="947" spans="1:16" x14ac:dyDescent="0.3">
      <c r="A947" s="10"/>
      <c r="B947" s="10"/>
      <c r="C947" s="10"/>
      <c r="D947" s="10"/>
      <c r="E947" s="10"/>
      <c r="F947" s="10"/>
      <c r="G947" s="10"/>
      <c r="H947" s="10"/>
      <c r="I947" s="10"/>
      <c r="K947" s="10"/>
      <c r="L947" s="10"/>
      <c r="P947" t="str">
        <f t="shared" si="26"/>
        <v/>
      </c>
    </row>
    <row r="948" spans="1:16" x14ac:dyDescent="0.3">
      <c r="A948" s="10"/>
      <c r="B948" s="10"/>
      <c r="C948" s="10"/>
      <c r="D948" s="10"/>
      <c r="E948" s="10"/>
      <c r="F948" s="10"/>
      <c r="G948" s="10"/>
      <c r="H948" s="10"/>
      <c r="I948" s="10"/>
      <c r="K948" s="10"/>
      <c r="L948" s="10"/>
      <c r="P948" t="str">
        <f t="shared" si="26"/>
        <v/>
      </c>
    </row>
    <row r="949" spans="1:16" x14ac:dyDescent="0.3">
      <c r="A949" s="10"/>
      <c r="B949" s="10"/>
      <c r="C949" s="10"/>
      <c r="D949" s="10"/>
      <c r="E949" s="10"/>
      <c r="F949" s="10"/>
      <c r="G949" s="10"/>
      <c r="H949" s="10"/>
      <c r="I949" s="10"/>
      <c r="K949" s="10"/>
      <c r="L949" s="10"/>
      <c r="P949" t="str">
        <f t="shared" si="26"/>
        <v/>
      </c>
    </row>
    <row r="950" spans="1:16" x14ac:dyDescent="0.3">
      <c r="A950" s="10"/>
      <c r="B950" s="10"/>
      <c r="C950" s="10"/>
      <c r="D950" s="10"/>
      <c r="E950" s="10"/>
      <c r="F950" s="10"/>
      <c r="G950" s="10"/>
      <c r="H950" s="10"/>
      <c r="I950" s="10"/>
      <c r="K950" s="10"/>
      <c r="L950" s="10"/>
      <c r="P950" t="str">
        <f t="shared" si="26"/>
        <v/>
      </c>
    </row>
    <row r="951" spans="1:16" x14ac:dyDescent="0.3">
      <c r="A951" s="10"/>
      <c r="B951" s="10"/>
      <c r="C951" s="10"/>
      <c r="D951" s="10"/>
      <c r="E951" s="10"/>
      <c r="F951" s="10"/>
      <c r="G951" s="10"/>
      <c r="H951" s="10"/>
      <c r="I951" s="10"/>
      <c r="K951" s="10"/>
      <c r="L951" s="10"/>
      <c r="P951" t="str">
        <f t="shared" si="26"/>
        <v/>
      </c>
    </row>
    <row r="952" spans="1:16" x14ac:dyDescent="0.3">
      <c r="A952" s="10"/>
      <c r="B952" s="10"/>
      <c r="C952" s="10"/>
      <c r="D952" s="10"/>
      <c r="E952" s="10"/>
      <c r="F952" s="10"/>
      <c r="G952" s="10"/>
      <c r="H952" s="10"/>
      <c r="I952" s="10"/>
      <c r="K952" s="10"/>
      <c r="L952" s="10"/>
      <c r="P952" t="str">
        <f t="shared" si="26"/>
        <v/>
      </c>
    </row>
    <row r="953" spans="1:16" x14ac:dyDescent="0.3">
      <c r="A953" s="10"/>
      <c r="B953" s="10"/>
      <c r="C953" s="10"/>
      <c r="D953" s="10"/>
      <c r="E953" s="10"/>
      <c r="F953" s="10"/>
      <c r="G953" s="10"/>
      <c r="H953" s="10"/>
      <c r="I953" s="10"/>
      <c r="K953" s="10"/>
      <c r="L953" s="10"/>
      <c r="P953" t="str">
        <f t="shared" si="26"/>
        <v/>
      </c>
    </row>
    <row r="954" spans="1:16" x14ac:dyDescent="0.3">
      <c r="A954" s="10"/>
      <c r="B954" s="10"/>
      <c r="C954" s="10"/>
      <c r="D954" s="10"/>
      <c r="E954" s="10"/>
      <c r="F954" s="10"/>
      <c r="G954" s="10"/>
      <c r="H954" s="10"/>
      <c r="I954" s="10"/>
      <c r="K954" s="10"/>
      <c r="L954" s="10"/>
      <c r="P954" t="str">
        <f t="shared" si="26"/>
        <v/>
      </c>
    </row>
    <row r="955" spans="1:16" x14ac:dyDescent="0.3">
      <c r="A955" s="10"/>
      <c r="B955" s="10"/>
      <c r="C955" s="10"/>
      <c r="D955" s="10"/>
      <c r="E955" s="10"/>
      <c r="F955" s="10"/>
      <c r="G955" s="10"/>
      <c r="H955" s="10"/>
      <c r="I955" s="10"/>
      <c r="K955" s="10"/>
      <c r="L955" s="10"/>
      <c r="P955" t="str">
        <f t="shared" si="26"/>
        <v/>
      </c>
    </row>
    <row r="956" spans="1:16" x14ac:dyDescent="0.3">
      <c r="A956" s="10"/>
      <c r="B956" s="10"/>
      <c r="C956" s="10"/>
      <c r="D956" s="10"/>
      <c r="E956" s="10"/>
      <c r="F956" s="10"/>
      <c r="G956" s="10"/>
      <c r="H956" s="10"/>
      <c r="I956" s="10"/>
      <c r="K956" s="10"/>
      <c r="L956" s="10"/>
      <c r="P956" t="str">
        <f t="shared" si="26"/>
        <v/>
      </c>
    </row>
    <row r="957" spans="1:16" x14ac:dyDescent="0.3">
      <c r="A957" s="10"/>
      <c r="B957" s="10"/>
      <c r="C957" s="10"/>
      <c r="D957" s="10"/>
      <c r="E957" s="10"/>
      <c r="F957" s="10"/>
      <c r="G957" s="10"/>
      <c r="H957" s="10"/>
      <c r="I957" s="10"/>
      <c r="K957" s="10"/>
      <c r="L957" s="10"/>
      <c r="P957" t="str">
        <f t="shared" si="26"/>
        <v/>
      </c>
    </row>
    <row r="958" spans="1:16" x14ac:dyDescent="0.3">
      <c r="A958" s="10"/>
      <c r="B958" s="10"/>
      <c r="C958" s="10"/>
      <c r="D958" s="10"/>
      <c r="E958" s="10"/>
      <c r="F958" s="10"/>
      <c r="G958" s="10"/>
      <c r="H958" s="10"/>
      <c r="I958" s="10"/>
      <c r="K958" s="10"/>
      <c r="L958" s="10"/>
      <c r="P958" t="str">
        <f t="shared" si="26"/>
        <v/>
      </c>
    </row>
    <row r="959" spans="1:16" x14ac:dyDescent="0.3">
      <c r="A959" s="10"/>
      <c r="B959" s="10"/>
      <c r="C959" s="10"/>
      <c r="D959" s="10"/>
      <c r="E959" s="10"/>
      <c r="F959" s="10"/>
      <c r="G959" s="10"/>
      <c r="H959" s="10"/>
      <c r="I959" s="10"/>
      <c r="K959" s="10"/>
      <c r="L959" s="10"/>
      <c r="P959" t="str">
        <f t="shared" si="26"/>
        <v/>
      </c>
    </row>
    <row r="960" spans="1:16" x14ac:dyDescent="0.3">
      <c r="A960" s="10"/>
      <c r="B960" s="10"/>
      <c r="C960" s="10"/>
      <c r="D960" s="10"/>
      <c r="E960" s="10"/>
      <c r="F960" s="10"/>
      <c r="G960" s="10"/>
      <c r="H960" s="10"/>
      <c r="I960" s="10"/>
      <c r="K960" s="10"/>
      <c r="L960" s="10"/>
      <c r="P960" t="str">
        <f t="shared" si="26"/>
        <v/>
      </c>
    </row>
    <row r="961" spans="1:16" x14ac:dyDescent="0.3">
      <c r="A961" s="10"/>
      <c r="B961" s="10"/>
      <c r="C961" s="10"/>
      <c r="D961" s="10"/>
      <c r="E961" s="10"/>
      <c r="F961" s="10"/>
      <c r="G961" s="10"/>
      <c r="H961" s="10"/>
      <c r="I961" s="10"/>
      <c r="K961" s="10"/>
      <c r="L961" s="10"/>
      <c r="P961" t="str">
        <f t="shared" si="26"/>
        <v/>
      </c>
    </row>
    <row r="962" spans="1:16" x14ac:dyDescent="0.3">
      <c r="A962" s="10"/>
      <c r="B962" s="10"/>
      <c r="C962" s="10"/>
      <c r="D962" s="10"/>
      <c r="E962" s="10"/>
      <c r="F962" s="10"/>
      <c r="G962" s="10"/>
      <c r="H962" s="10"/>
      <c r="I962" s="10"/>
      <c r="K962" s="10"/>
      <c r="L962" s="10"/>
      <c r="P962" t="str">
        <f t="shared" si="26"/>
        <v/>
      </c>
    </row>
    <row r="963" spans="1:16" x14ac:dyDescent="0.3">
      <c r="A963" s="10"/>
      <c r="B963" s="10"/>
      <c r="C963" s="10"/>
      <c r="D963" s="10"/>
      <c r="E963" s="10"/>
      <c r="F963" s="10"/>
      <c r="G963" s="10"/>
      <c r="H963" s="10"/>
      <c r="I963" s="10"/>
      <c r="K963" s="10"/>
      <c r="L963" s="10"/>
      <c r="P963" t="str">
        <f t="shared" si="26"/>
        <v/>
      </c>
    </row>
    <row r="964" spans="1:16" x14ac:dyDescent="0.3">
      <c r="A964" s="10"/>
      <c r="B964" s="10"/>
      <c r="C964" s="10"/>
      <c r="D964" s="10"/>
      <c r="E964" s="10"/>
      <c r="F964" s="10"/>
      <c r="G964" s="10"/>
      <c r="H964" s="10"/>
      <c r="I964" s="10"/>
      <c r="K964" s="10"/>
      <c r="L964" s="10"/>
      <c r="P964" t="str">
        <f t="shared" ref="P964:P1003" si="27">IF($J964="","",IF(ABS($J964)&lt;=2,"OK","FORA (|SDI|&gt;2)"))</f>
        <v/>
      </c>
    </row>
    <row r="965" spans="1:16" x14ac:dyDescent="0.3">
      <c r="A965" s="10"/>
      <c r="B965" s="10"/>
      <c r="C965" s="10"/>
      <c r="D965" s="10"/>
      <c r="E965" s="10"/>
      <c r="F965" s="10"/>
      <c r="G965" s="10"/>
      <c r="H965" s="10"/>
      <c r="I965" s="10"/>
      <c r="K965" s="10"/>
      <c r="L965" s="10"/>
      <c r="P965" t="str">
        <f t="shared" si="27"/>
        <v/>
      </c>
    </row>
    <row r="966" spans="1:16" x14ac:dyDescent="0.3">
      <c r="A966" s="10"/>
      <c r="B966" s="10"/>
      <c r="C966" s="10"/>
      <c r="D966" s="10"/>
      <c r="E966" s="10"/>
      <c r="F966" s="10"/>
      <c r="G966" s="10"/>
      <c r="H966" s="10"/>
      <c r="I966" s="10"/>
      <c r="K966" s="10"/>
      <c r="L966" s="10"/>
      <c r="P966" t="str">
        <f t="shared" si="27"/>
        <v/>
      </c>
    </row>
    <row r="967" spans="1:16" x14ac:dyDescent="0.3">
      <c r="A967" s="10"/>
      <c r="B967" s="10"/>
      <c r="C967" s="10"/>
      <c r="D967" s="10"/>
      <c r="E967" s="10"/>
      <c r="F967" s="10"/>
      <c r="G967" s="10"/>
      <c r="H967" s="10"/>
      <c r="I967" s="10"/>
      <c r="K967" s="10"/>
      <c r="L967" s="10"/>
      <c r="P967" t="str">
        <f t="shared" si="27"/>
        <v/>
      </c>
    </row>
    <row r="968" spans="1:16" x14ac:dyDescent="0.3">
      <c r="A968" s="10"/>
      <c r="B968" s="10"/>
      <c r="C968" s="10"/>
      <c r="D968" s="10"/>
      <c r="E968" s="10"/>
      <c r="F968" s="10"/>
      <c r="G968" s="10"/>
      <c r="H968" s="10"/>
      <c r="I968" s="10"/>
      <c r="K968" s="10"/>
      <c r="L968" s="10"/>
      <c r="P968" t="str">
        <f t="shared" si="27"/>
        <v/>
      </c>
    </row>
    <row r="969" spans="1:16" x14ac:dyDescent="0.3">
      <c r="A969" s="10"/>
      <c r="B969" s="10"/>
      <c r="C969" s="10"/>
      <c r="D969" s="10"/>
      <c r="E969" s="10"/>
      <c r="F969" s="10"/>
      <c r="G969" s="10"/>
      <c r="H969" s="10"/>
      <c r="I969" s="10"/>
      <c r="K969" s="10"/>
      <c r="L969" s="10"/>
      <c r="P969" t="str">
        <f t="shared" si="27"/>
        <v/>
      </c>
    </row>
    <row r="970" spans="1:16" x14ac:dyDescent="0.3">
      <c r="A970" s="10"/>
      <c r="B970" s="10"/>
      <c r="C970" s="10"/>
      <c r="D970" s="10"/>
      <c r="E970" s="10"/>
      <c r="F970" s="10"/>
      <c r="G970" s="10"/>
      <c r="H970" s="10"/>
      <c r="I970" s="10"/>
      <c r="K970" s="10"/>
      <c r="L970" s="10"/>
      <c r="P970" t="str">
        <f t="shared" si="27"/>
        <v/>
      </c>
    </row>
    <row r="971" spans="1:16" x14ac:dyDescent="0.3">
      <c r="A971" s="10"/>
      <c r="B971" s="10"/>
      <c r="C971" s="10"/>
      <c r="D971" s="10"/>
      <c r="E971" s="10"/>
      <c r="F971" s="10"/>
      <c r="G971" s="10"/>
      <c r="H971" s="10"/>
      <c r="I971" s="10"/>
      <c r="K971" s="10"/>
      <c r="L971" s="10"/>
      <c r="P971" t="str">
        <f t="shared" si="27"/>
        <v/>
      </c>
    </row>
    <row r="972" spans="1:16" x14ac:dyDescent="0.3">
      <c r="A972" s="10"/>
      <c r="B972" s="10"/>
      <c r="C972" s="10"/>
      <c r="D972" s="10"/>
      <c r="E972" s="10"/>
      <c r="F972" s="10"/>
      <c r="G972" s="10"/>
      <c r="H972" s="10"/>
      <c r="I972" s="10"/>
      <c r="K972" s="10"/>
      <c r="L972" s="10"/>
      <c r="P972" t="str">
        <f t="shared" si="27"/>
        <v/>
      </c>
    </row>
    <row r="973" spans="1:16" x14ac:dyDescent="0.3">
      <c r="A973" s="10"/>
      <c r="B973" s="10"/>
      <c r="C973" s="10"/>
      <c r="D973" s="10"/>
      <c r="E973" s="10"/>
      <c r="F973" s="10"/>
      <c r="G973" s="10"/>
      <c r="H973" s="10"/>
      <c r="I973" s="10"/>
      <c r="K973" s="10"/>
      <c r="L973" s="10"/>
      <c r="P973" t="str">
        <f t="shared" si="27"/>
        <v/>
      </c>
    </row>
    <row r="974" spans="1:16" x14ac:dyDescent="0.3">
      <c r="A974" s="10"/>
      <c r="B974" s="10"/>
      <c r="C974" s="10"/>
      <c r="D974" s="10"/>
      <c r="E974" s="10"/>
      <c r="F974" s="10"/>
      <c r="G974" s="10"/>
      <c r="H974" s="10"/>
      <c r="I974" s="10"/>
      <c r="K974" s="10"/>
      <c r="L974" s="10"/>
      <c r="P974" t="str">
        <f t="shared" si="27"/>
        <v/>
      </c>
    </row>
    <row r="975" spans="1:16" x14ac:dyDescent="0.3">
      <c r="A975" s="10"/>
      <c r="B975" s="10"/>
      <c r="C975" s="10"/>
      <c r="D975" s="10"/>
      <c r="E975" s="10"/>
      <c r="F975" s="10"/>
      <c r="G975" s="10"/>
      <c r="H975" s="10"/>
      <c r="I975" s="10"/>
      <c r="K975" s="10"/>
      <c r="L975" s="10"/>
      <c r="P975" t="str">
        <f t="shared" si="27"/>
        <v/>
      </c>
    </row>
    <row r="976" spans="1:16" x14ac:dyDescent="0.3">
      <c r="A976" s="10"/>
      <c r="B976" s="10"/>
      <c r="C976" s="10"/>
      <c r="D976" s="10"/>
      <c r="E976" s="10"/>
      <c r="F976" s="10"/>
      <c r="G976" s="10"/>
      <c r="H976" s="10"/>
      <c r="I976" s="10"/>
      <c r="K976" s="10"/>
      <c r="L976" s="10"/>
      <c r="P976" t="str">
        <f t="shared" si="27"/>
        <v/>
      </c>
    </row>
    <row r="977" spans="1:16" x14ac:dyDescent="0.3">
      <c r="A977" s="10"/>
      <c r="B977" s="10"/>
      <c r="C977" s="10"/>
      <c r="D977" s="10"/>
      <c r="E977" s="10"/>
      <c r="F977" s="10"/>
      <c r="G977" s="10"/>
      <c r="H977" s="10"/>
      <c r="I977" s="10"/>
      <c r="K977" s="10"/>
      <c r="L977" s="10"/>
      <c r="P977" t="str">
        <f t="shared" si="27"/>
        <v/>
      </c>
    </row>
    <row r="978" spans="1:16" x14ac:dyDescent="0.3">
      <c r="A978" s="10"/>
      <c r="B978" s="10"/>
      <c r="C978" s="10"/>
      <c r="D978" s="10"/>
      <c r="E978" s="10"/>
      <c r="F978" s="10"/>
      <c r="G978" s="10"/>
      <c r="H978" s="10"/>
      <c r="I978" s="10"/>
      <c r="K978" s="10"/>
      <c r="L978" s="10"/>
      <c r="P978" t="str">
        <f t="shared" si="27"/>
        <v/>
      </c>
    </row>
    <row r="979" spans="1:16" x14ac:dyDescent="0.3">
      <c r="A979" s="10"/>
      <c r="B979" s="10"/>
      <c r="C979" s="10"/>
      <c r="D979" s="10"/>
      <c r="E979" s="10"/>
      <c r="F979" s="10"/>
      <c r="G979" s="10"/>
      <c r="H979" s="10"/>
      <c r="I979" s="10"/>
      <c r="K979" s="10"/>
      <c r="L979" s="10"/>
      <c r="P979" t="str">
        <f t="shared" si="27"/>
        <v/>
      </c>
    </row>
    <row r="980" spans="1:16" x14ac:dyDescent="0.3">
      <c r="A980" s="10"/>
      <c r="B980" s="10"/>
      <c r="C980" s="10"/>
      <c r="D980" s="10"/>
      <c r="E980" s="10"/>
      <c r="F980" s="10"/>
      <c r="G980" s="10"/>
      <c r="H980" s="10"/>
      <c r="I980" s="10"/>
      <c r="K980" s="10"/>
      <c r="L980" s="10"/>
      <c r="P980" t="str">
        <f t="shared" si="27"/>
        <v/>
      </c>
    </row>
    <row r="981" spans="1:16" x14ac:dyDescent="0.3">
      <c r="A981" s="10"/>
      <c r="B981" s="10"/>
      <c r="C981" s="10"/>
      <c r="D981" s="10"/>
      <c r="E981" s="10"/>
      <c r="F981" s="10"/>
      <c r="G981" s="10"/>
      <c r="H981" s="10"/>
      <c r="I981" s="10"/>
      <c r="K981" s="10"/>
      <c r="L981" s="10"/>
      <c r="P981" t="str">
        <f t="shared" si="27"/>
        <v/>
      </c>
    </row>
    <row r="982" spans="1:16" x14ac:dyDescent="0.3">
      <c r="A982" s="10"/>
      <c r="B982" s="10"/>
      <c r="C982" s="10"/>
      <c r="D982" s="10"/>
      <c r="E982" s="10"/>
      <c r="F982" s="10"/>
      <c r="G982" s="10"/>
      <c r="H982" s="10"/>
      <c r="I982" s="10"/>
      <c r="K982" s="10"/>
      <c r="L982" s="10"/>
      <c r="P982" t="str">
        <f t="shared" si="27"/>
        <v/>
      </c>
    </row>
    <row r="983" spans="1:16" x14ac:dyDescent="0.3">
      <c r="A983" s="10"/>
      <c r="B983" s="10"/>
      <c r="C983" s="10"/>
      <c r="D983" s="10"/>
      <c r="E983" s="10"/>
      <c r="F983" s="10"/>
      <c r="G983" s="10"/>
      <c r="H983" s="10"/>
      <c r="I983" s="10"/>
      <c r="K983" s="10"/>
      <c r="L983" s="10"/>
      <c r="P983" t="str">
        <f t="shared" si="27"/>
        <v/>
      </c>
    </row>
    <row r="984" spans="1:16" x14ac:dyDescent="0.3">
      <c r="A984" s="10"/>
      <c r="B984" s="10"/>
      <c r="C984" s="10"/>
      <c r="D984" s="10"/>
      <c r="E984" s="10"/>
      <c r="F984" s="10"/>
      <c r="G984" s="10"/>
      <c r="H984" s="10"/>
      <c r="I984" s="10"/>
      <c r="K984" s="10"/>
      <c r="L984" s="10"/>
      <c r="P984" t="str">
        <f t="shared" si="27"/>
        <v/>
      </c>
    </row>
    <row r="985" spans="1:16" x14ac:dyDescent="0.3">
      <c r="A985" s="10"/>
      <c r="B985" s="10"/>
      <c r="C985" s="10"/>
      <c r="D985" s="10"/>
      <c r="E985" s="10"/>
      <c r="F985" s="10"/>
      <c r="G985" s="10"/>
      <c r="H985" s="10"/>
      <c r="I985" s="10"/>
      <c r="K985" s="10"/>
      <c r="L985" s="10"/>
      <c r="P985" t="str">
        <f t="shared" si="27"/>
        <v/>
      </c>
    </row>
    <row r="986" spans="1:16" x14ac:dyDescent="0.3">
      <c r="A986" s="10"/>
      <c r="B986" s="10"/>
      <c r="C986" s="10"/>
      <c r="D986" s="10"/>
      <c r="E986" s="10"/>
      <c r="F986" s="10"/>
      <c r="G986" s="10"/>
      <c r="H986" s="10"/>
      <c r="I986" s="10"/>
      <c r="K986" s="10"/>
      <c r="L986" s="10"/>
      <c r="P986" t="str">
        <f t="shared" si="27"/>
        <v/>
      </c>
    </row>
    <row r="987" spans="1:16" x14ac:dyDescent="0.3">
      <c r="A987" s="10"/>
      <c r="B987" s="10"/>
      <c r="C987" s="10"/>
      <c r="D987" s="10"/>
      <c r="E987" s="10"/>
      <c r="F987" s="10"/>
      <c r="G987" s="10"/>
      <c r="H987" s="10"/>
      <c r="I987" s="10"/>
      <c r="K987" s="10"/>
      <c r="L987" s="10"/>
      <c r="P987" t="str">
        <f t="shared" si="27"/>
        <v/>
      </c>
    </row>
    <row r="988" spans="1:16" x14ac:dyDescent="0.3">
      <c r="A988" s="10"/>
      <c r="B988" s="10"/>
      <c r="C988" s="10"/>
      <c r="D988" s="10"/>
      <c r="E988" s="10"/>
      <c r="F988" s="10"/>
      <c r="G988" s="10"/>
      <c r="H988" s="10"/>
      <c r="I988" s="10"/>
      <c r="K988" s="10"/>
      <c r="L988" s="10"/>
      <c r="P988" t="str">
        <f t="shared" si="27"/>
        <v/>
      </c>
    </row>
    <row r="989" spans="1:16" x14ac:dyDescent="0.3">
      <c r="A989" s="10"/>
      <c r="B989" s="10"/>
      <c r="C989" s="10"/>
      <c r="D989" s="10"/>
      <c r="E989" s="10"/>
      <c r="F989" s="10"/>
      <c r="G989" s="10"/>
      <c r="H989" s="10"/>
      <c r="I989" s="10"/>
      <c r="K989" s="10"/>
      <c r="L989" s="10"/>
      <c r="P989" t="str">
        <f t="shared" si="27"/>
        <v/>
      </c>
    </row>
    <row r="990" spans="1:16" x14ac:dyDescent="0.3">
      <c r="A990" s="10"/>
      <c r="B990" s="10"/>
      <c r="C990" s="10"/>
      <c r="D990" s="10"/>
      <c r="E990" s="10"/>
      <c r="F990" s="10"/>
      <c r="G990" s="10"/>
      <c r="H990" s="10"/>
      <c r="I990" s="10"/>
      <c r="K990" s="10"/>
      <c r="L990" s="10"/>
      <c r="P990" t="str">
        <f t="shared" si="27"/>
        <v/>
      </c>
    </row>
    <row r="991" spans="1:16" x14ac:dyDescent="0.3">
      <c r="A991" s="10"/>
      <c r="B991" s="10"/>
      <c r="C991" s="10"/>
      <c r="D991" s="10"/>
      <c r="E991" s="10"/>
      <c r="F991" s="10"/>
      <c r="G991" s="10"/>
      <c r="H991" s="10"/>
      <c r="I991" s="10"/>
      <c r="K991" s="10"/>
      <c r="L991" s="10"/>
      <c r="P991" t="str">
        <f t="shared" si="27"/>
        <v/>
      </c>
    </row>
    <row r="992" spans="1:16" x14ac:dyDescent="0.3">
      <c r="A992" s="10"/>
      <c r="B992" s="10"/>
      <c r="C992" s="10"/>
      <c r="D992" s="10"/>
      <c r="E992" s="10"/>
      <c r="F992" s="10"/>
      <c r="G992" s="10"/>
      <c r="H992" s="10"/>
      <c r="I992" s="10"/>
      <c r="K992" s="10"/>
      <c r="L992" s="10"/>
      <c r="P992" t="str">
        <f t="shared" si="27"/>
        <v/>
      </c>
    </row>
    <row r="993" spans="1:16" x14ac:dyDescent="0.3">
      <c r="A993" s="10"/>
      <c r="B993" s="10"/>
      <c r="C993" s="10"/>
      <c r="D993" s="10"/>
      <c r="E993" s="10"/>
      <c r="F993" s="10"/>
      <c r="G993" s="10"/>
      <c r="H993" s="10"/>
      <c r="I993" s="10"/>
      <c r="K993" s="10"/>
      <c r="L993" s="10"/>
      <c r="P993" t="str">
        <f t="shared" si="27"/>
        <v/>
      </c>
    </row>
    <row r="994" spans="1:16" x14ac:dyDescent="0.3">
      <c r="A994" s="10"/>
      <c r="B994" s="10"/>
      <c r="C994" s="10"/>
      <c r="D994" s="10"/>
      <c r="E994" s="10"/>
      <c r="F994" s="10"/>
      <c r="G994" s="10"/>
      <c r="H994" s="10"/>
      <c r="I994" s="10"/>
      <c r="K994" s="10"/>
      <c r="L994" s="10"/>
      <c r="P994" t="str">
        <f t="shared" si="27"/>
        <v/>
      </c>
    </row>
    <row r="995" spans="1:16" x14ac:dyDescent="0.3">
      <c r="A995" s="10"/>
      <c r="B995" s="10"/>
      <c r="C995" s="10"/>
      <c r="D995" s="10"/>
      <c r="E995" s="10"/>
      <c r="F995" s="10"/>
      <c r="G995" s="10"/>
      <c r="H995" s="10"/>
      <c r="I995" s="10"/>
      <c r="K995" s="10"/>
      <c r="L995" s="10"/>
      <c r="P995" t="str">
        <f t="shared" si="27"/>
        <v/>
      </c>
    </row>
    <row r="996" spans="1:16" x14ac:dyDescent="0.3">
      <c r="A996" s="10"/>
      <c r="B996" s="10"/>
      <c r="C996" s="10"/>
      <c r="D996" s="10"/>
      <c r="E996" s="10"/>
      <c r="F996" s="10"/>
      <c r="G996" s="10"/>
      <c r="H996" s="10"/>
      <c r="I996" s="10"/>
      <c r="K996" s="10"/>
      <c r="L996" s="10"/>
      <c r="P996" t="str">
        <f t="shared" si="27"/>
        <v/>
      </c>
    </row>
    <row r="997" spans="1:16" x14ac:dyDescent="0.3">
      <c r="A997" s="10"/>
      <c r="B997" s="10"/>
      <c r="C997" s="10"/>
      <c r="D997" s="10"/>
      <c r="E997" s="10"/>
      <c r="F997" s="10"/>
      <c r="G997" s="10"/>
      <c r="H997" s="10"/>
      <c r="I997" s="10"/>
      <c r="K997" s="10"/>
      <c r="L997" s="10"/>
      <c r="P997" t="str">
        <f t="shared" si="27"/>
        <v/>
      </c>
    </row>
    <row r="998" spans="1:16" x14ac:dyDescent="0.3">
      <c r="A998" s="10"/>
      <c r="B998" s="10"/>
      <c r="C998" s="10"/>
      <c r="D998" s="10"/>
      <c r="E998" s="10"/>
      <c r="F998" s="10"/>
      <c r="G998" s="10"/>
      <c r="H998" s="10"/>
      <c r="I998" s="10"/>
      <c r="K998" s="10"/>
      <c r="L998" s="10"/>
      <c r="P998" t="str">
        <f t="shared" si="27"/>
        <v/>
      </c>
    </row>
    <row r="999" spans="1:16" x14ac:dyDescent="0.3">
      <c r="A999" s="10"/>
      <c r="B999" s="10"/>
      <c r="C999" s="10"/>
      <c r="D999" s="10"/>
      <c r="E999" s="10"/>
      <c r="F999" s="10"/>
      <c r="G999" s="10"/>
      <c r="H999" s="10"/>
      <c r="I999" s="10"/>
      <c r="K999" s="10"/>
      <c r="L999" s="10"/>
      <c r="P999" t="str">
        <f t="shared" si="27"/>
        <v/>
      </c>
    </row>
    <row r="1000" spans="1:16" x14ac:dyDescent="0.3">
      <c r="A1000" s="10"/>
      <c r="B1000" s="10"/>
      <c r="C1000" s="10"/>
      <c r="D1000" s="10"/>
      <c r="E1000" s="10"/>
      <c r="F1000" s="10"/>
      <c r="G1000" s="10"/>
      <c r="H1000" s="10"/>
      <c r="I1000" s="10"/>
      <c r="K1000" s="10"/>
      <c r="L1000" s="10"/>
      <c r="P1000" t="str">
        <f t="shared" si="27"/>
        <v/>
      </c>
    </row>
    <row r="1001" spans="1:16" x14ac:dyDescent="0.3">
      <c r="A1001" s="10"/>
      <c r="B1001" s="10"/>
      <c r="C1001" s="10"/>
      <c r="D1001" s="10"/>
      <c r="E1001" s="10"/>
      <c r="F1001" s="10"/>
      <c r="G1001" s="10"/>
      <c r="H1001" s="10"/>
      <c r="I1001" s="10"/>
      <c r="K1001" s="10"/>
      <c r="L1001" s="10"/>
      <c r="P1001" t="str">
        <f t="shared" si="27"/>
        <v/>
      </c>
    </row>
    <row r="1002" spans="1:16" x14ac:dyDescent="0.3">
      <c r="A1002" s="10"/>
      <c r="B1002" s="10"/>
      <c r="C1002" s="10"/>
      <c r="D1002" s="10"/>
      <c r="E1002" s="10"/>
      <c r="F1002" s="10"/>
      <c r="G1002" s="10"/>
      <c r="H1002" s="10"/>
      <c r="I1002" s="10"/>
      <c r="K1002" s="10"/>
      <c r="L1002" s="10"/>
      <c r="P1002" t="str">
        <f t="shared" si="27"/>
        <v/>
      </c>
    </row>
    <row r="1003" spans="1:16" x14ac:dyDescent="0.3">
      <c r="A1003" s="10"/>
      <c r="B1003" s="10"/>
      <c r="C1003" s="10"/>
      <c r="D1003" s="10"/>
      <c r="E1003" s="10"/>
      <c r="F1003" s="10"/>
      <c r="G1003" s="10"/>
      <c r="H1003" s="10"/>
      <c r="I1003" s="10"/>
      <c r="K1003" s="10"/>
      <c r="L1003" s="10"/>
      <c r="P1003" t="str">
        <f t="shared" si="27"/>
        <v/>
      </c>
    </row>
  </sheetData>
  <sheetProtection algorithmName="SHA-512" hashValue="AqZaqNJOBkCeyaFG8EsM7cNV/CutcbL/G5ZyP/dqpOsSBKwM3ehN55m3+EkumU1lvYLFfYJFmi80qCPTf0oBRQ==" saltValue="UxLxFmR8qle4YaO2suyH9w==" spinCount="100000" sheet="1" scenarios="1"/>
  <mergeCells count="2">
    <mergeCell ref="A1:O1"/>
    <mergeCell ref="A2:O2"/>
  </mergeCells>
  <conditionalFormatting sqref="M4:M1003">
    <cfRule type="cellIs" dxfId="66" priority="1" operator="equal">
      <formula>"OK"</formula>
    </cfRule>
    <cfRule type="cellIs" dxfId="65" priority="2" operator="equal">
      <formula>"OK-BIAS"</formula>
    </cfRule>
    <cfRule type="cellIs" dxfId="64" priority="3" operator="equal">
      <formula>"REJEITADO"</formula>
    </cfRule>
  </conditionalFormatting>
  <dataValidations count="2">
    <dataValidation type="list" allowBlank="1" showInputMessage="1" showErrorMessage="1" sqref="C4:C1003" xr:uid="{498D7164-5082-483E-99FB-EF748B61AF20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4:E1003" xr:uid="{BB678CDA-84E1-41E7-B851-6BDBD987CA8F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C77C-FE95-4009-870B-5DDCC102ADBC}">
  <sheetPr codeName="Planilha19">
    <tabColor rgb="FF263B4D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6640625" customWidth="1"/>
    <col min="2" max="2" width="17.44140625" customWidth="1"/>
    <col min="3" max="3" width="8.6640625" customWidth="1"/>
    <col min="4" max="4" width="27.6640625" customWidth="1"/>
    <col min="5" max="5" width="11.6640625" customWidth="1"/>
    <col min="6" max="6" width="15.6640625" customWidth="1"/>
    <col min="7" max="7" width="19.6640625" customWidth="1"/>
    <col min="8" max="8" width="11.6640625" customWidth="1"/>
    <col min="9" max="9" width="9.6640625" customWidth="1"/>
    <col min="10" max="10" width="15.88671875" customWidth="1"/>
    <col min="11" max="11" width="16.6640625" customWidth="1"/>
    <col min="12" max="12" width="15.6640625" customWidth="1"/>
    <col min="13" max="13" width="17" customWidth="1"/>
    <col min="14" max="14" width="17.6640625" customWidth="1"/>
    <col min="15" max="16" width="12.6640625" customWidth="1"/>
    <col min="17" max="17" width="14.5546875" customWidth="1"/>
    <col min="18" max="18" width="48.6640625" customWidth="1"/>
    <col min="19" max="19" width="15.88671875" hidden="1" customWidth="1"/>
    <col min="20" max="21" width="16.1093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7.9" customHeight="1" x14ac:dyDescent="0.3">
      <c r="A1" s="88" t="s">
        <v>291</v>
      </c>
      <c r="B1" s="88" t="s">
        <v>381</v>
      </c>
      <c r="C1" s="88" t="s">
        <v>289</v>
      </c>
      <c r="D1" s="88" t="s">
        <v>88</v>
      </c>
      <c r="E1" s="88" t="s">
        <v>292</v>
      </c>
      <c r="F1" s="88" t="s">
        <v>382</v>
      </c>
      <c r="G1" s="88" t="s">
        <v>383</v>
      </c>
      <c r="H1" s="88" t="s">
        <v>384</v>
      </c>
      <c r="I1" s="88" t="s">
        <v>296</v>
      </c>
      <c r="J1" s="88" t="s">
        <v>385</v>
      </c>
      <c r="K1" s="88" t="s">
        <v>386</v>
      </c>
      <c r="L1" s="88" t="s">
        <v>387</v>
      </c>
      <c r="M1" s="88" t="s">
        <v>388</v>
      </c>
      <c r="N1" s="88" t="s">
        <v>389</v>
      </c>
      <c r="O1" s="88" t="s">
        <v>390</v>
      </c>
      <c r="P1" s="88" t="s">
        <v>391</v>
      </c>
      <c r="Q1" s="88" t="s">
        <v>392</v>
      </c>
      <c r="R1" s="88" t="s">
        <v>393</v>
      </c>
      <c r="S1" s="89" t="s">
        <v>394</v>
      </c>
      <c r="T1" s="89" t="s">
        <v>395</v>
      </c>
      <c r="U1" s="89" t="s">
        <v>396</v>
      </c>
      <c r="V1" s="89" t="s">
        <v>934</v>
      </c>
      <c r="W1" s="89" t="s">
        <v>935</v>
      </c>
      <c r="X1" s="89" t="s">
        <v>936</v>
      </c>
      <c r="Z1" s="76" t="s">
        <v>965</v>
      </c>
    </row>
    <row r="2" spans="1:26" x14ac:dyDescent="0.3">
      <c r="A2" t="s">
        <v>397</v>
      </c>
      <c r="B2" t="s">
        <v>434</v>
      </c>
      <c r="C2" s="81">
        <v>2025</v>
      </c>
      <c r="D2" t="s">
        <v>413</v>
      </c>
      <c r="E2" t="s">
        <v>435</v>
      </c>
      <c r="F2" s="85">
        <v>4.8</v>
      </c>
      <c r="G2" s="86">
        <v>4.82</v>
      </c>
      <c r="H2" s="86">
        <v>0.12</v>
      </c>
      <c r="I2" s="87">
        <v>-0.2</v>
      </c>
      <c r="J2" s="85">
        <v>4.4000000000000004</v>
      </c>
      <c r="K2" s="85">
        <v>5.2</v>
      </c>
      <c r="L2" t="s">
        <v>436</v>
      </c>
      <c r="M2" s="81">
        <v>3292</v>
      </c>
      <c r="N2" t="s">
        <v>437</v>
      </c>
      <c r="O2" s="85">
        <f t="shared" ref="O2:O65" si="0">IFERROR((F2-G2)/G2*100,"")</f>
        <v>-0.4149377593361091</v>
      </c>
      <c r="P2" s="85">
        <f t="shared" ref="P2:P65" si="1">IF(O2="","",ABS(O2))</f>
        <v>0.4149377593361091</v>
      </c>
      <c r="Q2" s="81"/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3">
      <c r="A3" t="s">
        <v>397</v>
      </c>
      <c r="B3" t="s">
        <v>434</v>
      </c>
      <c r="C3" s="81">
        <v>2025</v>
      </c>
      <c r="D3" t="s">
        <v>413</v>
      </c>
      <c r="E3" t="s">
        <v>438</v>
      </c>
      <c r="F3" s="85">
        <v>4.7</v>
      </c>
      <c r="G3" s="86">
        <v>4.82</v>
      </c>
      <c r="H3" s="86">
        <v>0.12</v>
      </c>
      <c r="I3" s="87">
        <v>-1.1000000000000001</v>
      </c>
      <c r="J3" s="85">
        <v>4.4000000000000004</v>
      </c>
      <c r="K3" s="85">
        <v>5.2</v>
      </c>
      <c r="L3" t="s">
        <v>436</v>
      </c>
      <c r="M3" s="81">
        <v>3295</v>
      </c>
      <c r="N3" t="s">
        <v>437</v>
      </c>
      <c r="O3" s="85">
        <f t="shared" si="0"/>
        <v>-2.4896265560165993</v>
      </c>
      <c r="P3" s="85">
        <f t="shared" si="1"/>
        <v>2.4896265560165993</v>
      </c>
      <c r="Q3" s="81"/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76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397</v>
      </c>
      <c r="B4" t="s">
        <v>434</v>
      </c>
      <c r="C4" s="81">
        <v>2025</v>
      </c>
      <c r="D4" t="s">
        <v>413</v>
      </c>
      <c r="E4" t="s">
        <v>439</v>
      </c>
      <c r="F4" s="85">
        <v>4.9000000000000004</v>
      </c>
      <c r="G4" s="86">
        <v>4.82</v>
      </c>
      <c r="H4" s="86">
        <v>0.16</v>
      </c>
      <c r="I4" s="87">
        <v>0.5</v>
      </c>
      <c r="J4" s="85">
        <v>4.3</v>
      </c>
      <c r="K4" s="85">
        <v>5.4</v>
      </c>
      <c r="L4" t="s">
        <v>436</v>
      </c>
      <c r="M4" s="81">
        <v>3281</v>
      </c>
      <c r="N4" t="s">
        <v>437</v>
      </c>
      <c r="O4" s="85">
        <f t="shared" si="0"/>
        <v>1.6597510373443998</v>
      </c>
      <c r="P4" s="85">
        <f t="shared" si="1"/>
        <v>1.6597510373443998</v>
      </c>
      <c r="Q4" s="81"/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397</v>
      </c>
      <c r="B5" t="s">
        <v>434</v>
      </c>
      <c r="C5" s="81">
        <v>2025</v>
      </c>
      <c r="D5" t="s">
        <v>413</v>
      </c>
      <c r="E5" t="s">
        <v>440</v>
      </c>
      <c r="F5" s="85">
        <v>4.8</v>
      </c>
      <c r="G5" s="86">
        <v>4.78</v>
      </c>
      <c r="H5" s="86">
        <v>0.17</v>
      </c>
      <c r="I5" s="87">
        <v>0.1</v>
      </c>
      <c r="J5" s="85">
        <v>4.2</v>
      </c>
      <c r="K5" s="85">
        <v>5.3</v>
      </c>
      <c r="L5" t="s">
        <v>436</v>
      </c>
      <c r="M5" s="81">
        <v>3279</v>
      </c>
      <c r="N5" t="s">
        <v>437</v>
      </c>
      <c r="O5" s="85">
        <f t="shared" si="0"/>
        <v>0.41841004184099523</v>
      </c>
      <c r="P5" s="85">
        <f t="shared" si="1"/>
        <v>0.41841004184099523</v>
      </c>
      <c r="Q5" s="81"/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397</v>
      </c>
      <c r="B6" t="s">
        <v>434</v>
      </c>
      <c r="C6" s="81">
        <v>2025</v>
      </c>
      <c r="D6" t="s">
        <v>413</v>
      </c>
      <c r="E6" t="s">
        <v>441</v>
      </c>
      <c r="F6" s="85">
        <v>5</v>
      </c>
      <c r="G6" s="86">
        <v>4.8099999999999996</v>
      </c>
      <c r="H6" s="86">
        <v>0.13</v>
      </c>
      <c r="I6" s="87">
        <v>1.5</v>
      </c>
      <c r="J6" s="85">
        <v>4.4000000000000004</v>
      </c>
      <c r="K6" s="85">
        <v>5.2</v>
      </c>
      <c r="L6" t="s">
        <v>436</v>
      </c>
      <c r="M6" s="81">
        <v>3295</v>
      </c>
      <c r="N6" t="s">
        <v>437</v>
      </c>
      <c r="O6" s="85">
        <f t="shared" si="0"/>
        <v>3.9501039501039585</v>
      </c>
      <c r="P6" s="85">
        <f t="shared" si="1"/>
        <v>3.9501039501039585</v>
      </c>
      <c r="Q6" s="81"/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397</v>
      </c>
      <c r="B7" t="s">
        <v>434</v>
      </c>
      <c r="C7" s="81">
        <v>2025</v>
      </c>
      <c r="D7" t="s">
        <v>414</v>
      </c>
      <c r="E7" t="s">
        <v>435</v>
      </c>
      <c r="F7" s="85">
        <v>0.3</v>
      </c>
      <c r="G7" s="86">
        <v>0.30199999999999999</v>
      </c>
      <c r="H7" s="86">
        <v>0.01</v>
      </c>
      <c r="I7" s="87">
        <v>-0.2</v>
      </c>
      <c r="J7" s="85">
        <v>0.27</v>
      </c>
      <c r="K7" s="85">
        <v>0.34</v>
      </c>
      <c r="L7" t="s">
        <v>436</v>
      </c>
      <c r="M7" s="81">
        <v>3289</v>
      </c>
      <c r="N7" t="s">
        <v>442</v>
      </c>
      <c r="O7" s="85">
        <f t="shared" si="0"/>
        <v>-0.66225165562913968</v>
      </c>
      <c r="P7" s="85">
        <f t="shared" si="1"/>
        <v>0.66225165562913968</v>
      </c>
      <c r="Q7" s="81"/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397</v>
      </c>
      <c r="B8" t="s">
        <v>434</v>
      </c>
      <c r="C8" s="81">
        <v>2025</v>
      </c>
      <c r="D8" t="s">
        <v>414</v>
      </c>
      <c r="E8" t="s">
        <v>438</v>
      </c>
      <c r="F8" s="85">
        <v>0.8</v>
      </c>
      <c r="G8" s="86">
        <v>0.82699999999999996</v>
      </c>
      <c r="H8" s="86">
        <v>2.3E-2</v>
      </c>
      <c r="I8" s="87">
        <v>-1.2</v>
      </c>
      <c r="J8" s="85">
        <v>0.75</v>
      </c>
      <c r="K8" s="85">
        <v>0.9</v>
      </c>
      <c r="L8" t="s">
        <v>436</v>
      </c>
      <c r="M8" s="81">
        <v>3285</v>
      </c>
      <c r="N8" t="s">
        <v>442</v>
      </c>
      <c r="O8" s="85">
        <f t="shared" si="0"/>
        <v>-3.2648125755743553</v>
      </c>
      <c r="P8" s="85">
        <f t="shared" si="1"/>
        <v>3.2648125755743553</v>
      </c>
      <c r="Q8" s="81"/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397</v>
      </c>
      <c r="B9" t="s">
        <v>434</v>
      </c>
      <c r="C9" s="81">
        <v>2025</v>
      </c>
      <c r="D9" t="s">
        <v>414</v>
      </c>
      <c r="E9" t="s">
        <v>439</v>
      </c>
      <c r="F9" s="85">
        <v>0.13</v>
      </c>
      <c r="G9" s="86">
        <v>0.13600000000000001</v>
      </c>
      <c r="H9" s="86">
        <v>6.0000000000000001E-3</v>
      </c>
      <c r="I9" s="87">
        <v>-1</v>
      </c>
      <c r="J9" s="85">
        <v>0.11</v>
      </c>
      <c r="K9" s="85">
        <v>0.16</v>
      </c>
      <c r="L9" t="s">
        <v>436</v>
      </c>
      <c r="M9" s="81">
        <v>3293</v>
      </c>
      <c r="N9" t="s">
        <v>442</v>
      </c>
      <c r="O9" s="85">
        <f t="shared" si="0"/>
        <v>-4.4117647058823568</v>
      </c>
      <c r="P9" s="85">
        <f t="shared" si="1"/>
        <v>4.4117647058823568</v>
      </c>
      <c r="Q9" s="81"/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397</v>
      </c>
      <c r="B10" t="s">
        <v>434</v>
      </c>
      <c r="C10" s="81">
        <v>2025</v>
      </c>
      <c r="D10" t="s">
        <v>414</v>
      </c>
      <c r="E10" t="s">
        <v>440</v>
      </c>
      <c r="F10" s="85">
        <v>0.14000000000000001</v>
      </c>
      <c r="G10" s="86">
        <v>0.13800000000000001</v>
      </c>
      <c r="H10" s="86">
        <v>7.0000000000000001E-3</v>
      </c>
      <c r="I10" s="87">
        <v>0.2</v>
      </c>
      <c r="J10" s="85">
        <v>0.11</v>
      </c>
      <c r="K10" s="85">
        <v>0.16</v>
      </c>
      <c r="L10" t="s">
        <v>436</v>
      </c>
      <c r="M10" s="81">
        <v>3281</v>
      </c>
      <c r="N10" t="s">
        <v>442</v>
      </c>
      <c r="O10" s="85">
        <f t="shared" si="0"/>
        <v>1.4492753623188419</v>
      </c>
      <c r="P10" s="85">
        <f t="shared" si="1"/>
        <v>1.4492753623188419</v>
      </c>
      <c r="Q10" s="81"/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397</v>
      </c>
      <c r="B11" t="s">
        <v>434</v>
      </c>
      <c r="C11" s="81">
        <v>2025</v>
      </c>
      <c r="D11" t="s">
        <v>414</v>
      </c>
      <c r="E11" t="s">
        <v>441</v>
      </c>
      <c r="F11" s="85">
        <v>0.38</v>
      </c>
      <c r="G11" s="86">
        <v>0.378</v>
      </c>
      <c r="H11" s="86">
        <v>1.2E-2</v>
      </c>
      <c r="I11" s="87">
        <v>0.2</v>
      </c>
      <c r="J11" s="85">
        <v>0.34</v>
      </c>
      <c r="K11" s="85">
        <v>0.42</v>
      </c>
      <c r="L11" t="s">
        <v>436</v>
      </c>
      <c r="M11" s="81">
        <v>3283</v>
      </c>
      <c r="N11" t="s">
        <v>442</v>
      </c>
      <c r="O11" s="85">
        <f t="shared" si="0"/>
        <v>0.52910052910052963</v>
      </c>
      <c r="P11" s="85">
        <f t="shared" si="1"/>
        <v>0.52910052910052963</v>
      </c>
      <c r="Q11" s="81"/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397</v>
      </c>
      <c r="B12" t="s">
        <v>434</v>
      </c>
      <c r="C12" s="81">
        <v>2025</v>
      </c>
      <c r="D12" t="s">
        <v>415</v>
      </c>
      <c r="E12" t="s">
        <v>435</v>
      </c>
      <c r="F12" s="85">
        <v>11.8</v>
      </c>
      <c r="G12" s="86">
        <v>10.77</v>
      </c>
      <c r="H12" s="86">
        <v>0.78</v>
      </c>
      <c r="I12" s="87">
        <v>1.3</v>
      </c>
      <c r="J12" s="85">
        <v>8.4</v>
      </c>
      <c r="K12" s="85">
        <v>13.2</v>
      </c>
      <c r="L12" t="s">
        <v>436</v>
      </c>
      <c r="M12" s="81">
        <v>3305</v>
      </c>
      <c r="N12" t="s">
        <v>437</v>
      </c>
      <c r="O12" s="85">
        <f t="shared" si="0"/>
        <v>9.5636025998143097</v>
      </c>
      <c r="P12" s="85">
        <f t="shared" si="1"/>
        <v>9.5636025998143097</v>
      </c>
      <c r="Q12" s="81"/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397</v>
      </c>
      <c r="B13" t="s">
        <v>434</v>
      </c>
      <c r="C13" s="81">
        <v>2025</v>
      </c>
      <c r="D13" t="s">
        <v>415</v>
      </c>
      <c r="E13" t="s">
        <v>438</v>
      </c>
      <c r="F13" s="85">
        <v>11</v>
      </c>
      <c r="G13" s="86">
        <v>11.58</v>
      </c>
      <c r="H13" s="86">
        <v>0.81</v>
      </c>
      <c r="I13" s="87">
        <v>-0.7</v>
      </c>
      <c r="J13" s="85">
        <v>9.1</v>
      </c>
      <c r="K13" s="85">
        <v>14</v>
      </c>
      <c r="L13" t="s">
        <v>436</v>
      </c>
      <c r="M13" s="81">
        <v>3306</v>
      </c>
      <c r="N13" t="s">
        <v>437</v>
      </c>
      <c r="O13" s="85">
        <f t="shared" si="0"/>
        <v>-5.0086355785837657</v>
      </c>
      <c r="P13" s="85">
        <f t="shared" si="1"/>
        <v>5.0086355785837657</v>
      </c>
      <c r="Q13" s="81"/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397</v>
      </c>
      <c r="B14" t="s">
        <v>434</v>
      </c>
      <c r="C14" s="81">
        <v>2025</v>
      </c>
      <c r="D14" t="s">
        <v>415</v>
      </c>
      <c r="E14" t="s">
        <v>439</v>
      </c>
      <c r="F14" s="85">
        <v>9</v>
      </c>
      <c r="G14" s="86">
        <v>9.89</v>
      </c>
      <c r="H14" s="86">
        <v>0.69</v>
      </c>
      <c r="I14" s="87">
        <v>-1.3</v>
      </c>
      <c r="J14" s="85">
        <v>7.8</v>
      </c>
      <c r="K14" s="85">
        <v>12</v>
      </c>
      <c r="L14" t="s">
        <v>436</v>
      </c>
      <c r="M14" s="81">
        <v>3304</v>
      </c>
      <c r="N14" t="s">
        <v>437</v>
      </c>
      <c r="O14" s="85">
        <f t="shared" si="0"/>
        <v>-8.9989888776542024</v>
      </c>
      <c r="P14" s="85">
        <f t="shared" si="1"/>
        <v>8.9989888776542024</v>
      </c>
      <c r="Q14" s="81"/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397</v>
      </c>
      <c r="B15" t="s">
        <v>434</v>
      </c>
      <c r="C15" s="81">
        <v>2025</v>
      </c>
      <c r="D15" t="s">
        <v>415</v>
      </c>
      <c r="E15" t="s">
        <v>440</v>
      </c>
      <c r="F15" s="85">
        <v>11.7</v>
      </c>
      <c r="G15" s="86">
        <v>10.74</v>
      </c>
      <c r="H15" s="86">
        <v>0.78</v>
      </c>
      <c r="I15" s="87">
        <v>1.2</v>
      </c>
      <c r="J15" s="85">
        <v>8.3000000000000007</v>
      </c>
      <c r="K15" s="85">
        <v>13.1</v>
      </c>
      <c r="L15" t="s">
        <v>436</v>
      </c>
      <c r="M15" s="81">
        <v>3294</v>
      </c>
      <c r="N15" t="s">
        <v>437</v>
      </c>
      <c r="O15" s="85">
        <f t="shared" si="0"/>
        <v>8.9385474860335101</v>
      </c>
      <c r="P15" s="85">
        <f t="shared" si="1"/>
        <v>8.9385474860335101</v>
      </c>
      <c r="Q15" s="81"/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397</v>
      </c>
      <c r="B16" t="s">
        <v>434</v>
      </c>
      <c r="C16" s="81">
        <v>2025</v>
      </c>
      <c r="D16" t="s">
        <v>415</v>
      </c>
      <c r="E16" t="s">
        <v>441</v>
      </c>
      <c r="F16" s="85">
        <v>9.6</v>
      </c>
      <c r="G16" s="86">
        <v>10.74</v>
      </c>
      <c r="H16" s="86">
        <v>0.76</v>
      </c>
      <c r="I16" s="87">
        <v>-1.5</v>
      </c>
      <c r="J16" s="85">
        <v>8.4</v>
      </c>
      <c r="K16" s="85">
        <v>13.1</v>
      </c>
      <c r="L16" t="s">
        <v>436</v>
      </c>
      <c r="M16" s="81">
        <v>3308</v>
      </c>
      <c r="N16" t="s">
        <v>437</v>
      </c>
      <c r="O16" s="85">
        <f t="shared" si="0"/>
        <v>-10.61452513966481</v>
      </c>
      <c r="P16" s="85">
        <f t="shared" si="1"/>
        <v>10.61452513966481</v>
      </c>
      <c r="Q16" s="81"/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397</v>
      </c>
      <c r="B17" t="s">
        <v>434</v>
      </c>
      <c r="C17" s="81">
        <v>2025</v>
      </c>
      <c r="D17" t="s">
        <v>416</v>
      </c>
      <c r="E17" t="s">
        <v>435</v>
      </c>
      <c r="F17" s="85">
        <v>0.73</v>
      </c>
      <c r="G17" s="86">
        <v>0.67500000000000004</v>
      </c>
      <c r="H17" s="86">
        <v>5.0999999999999997E-2</v>
      </c>
      <c r="I17" s="87">
        <v>1.1000000000000001</v>
      </c>
      <c r="J17" s="85">
        <v>0.52</v>
      </c>
      <c r="K17" s="85">
        <v>0.83</v>
      </c>
      <c r="L17" t="s">
        <v>436</v>
      </c>
      <c r="M17" s="81">
        <v>3301</v>
      </c>
      <c r="N17" t="s">
        <v>442</v>
      </c>
      <c r="O17" s="85">
        <f t="shared" si="0"/>
        <v>8.1481481481481399</v>
      </c>
      <c r="P17" s="85">
        <f t="shared" si="1"/>
        <v>8.1481481481481399</v>
      </c>
      <c r="Q17" s="81"/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397</v>
      </c>
      <c r="B18" t="s">
        <v>434</v>
      </c>
      <c r="C18" s="81">
        <v>2025</v>
      </c>
      <c r="D18" t="s">
        <v>416</v>
      </c>
      <c r="E18" t="s">
        <v>438</v>
      </c>
      <c r="F18" s="85">
        <v>1.86</v>
      </c>
      <c r="G18" s="86">
        <v>1.986</v>
      </c>
      <c r="H18" s="86">
        <v>0.14099999999999999</v>
      </c>
      <c r="I18" s="87">
        <v>-0.9</v>
      </c>
      <c r="J18" s="85">
        <v>1.56</v>
      </c>
      <c r="K18" s="85">
        <v>2.41</v>
      </c>
      <c r="L18" t="s">
        <v>436</v>
      </c>
      <c r="M18" s="81">
        <v>3302</v>
      </c>
      <c r="N18" t="s">
        <v>442</v>
      </c>
      <c r="O18" s="85">
        <f t="shared" si="0"/>
        <v>-6.3444108761329252</v>
      </c>
      <c r="P18" s="85">
        <f t="shared" si="1"/>
        <v>6.3444108761329252</v>
      </c>
      <c r="Q18" s="81"/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397</v>
      </c>
      <c r="B19" t="s">
        <v>434</v>
      </c>
      <c r="C19" s="81">
        <v>2025</v>
      </c>
      <c r="D19" t="s">
        <v>416</v>
      </c>
      <c r="E19" t="s">
        <v>439</v>
      </c>
      <c r="F19" s="85">
        <v>0.24</v>
      </c>
      <c r="G19" s="86">
        <v>0.28000000000000003</v>
      </c>
      <c r="H19" s="86">
        <v>2.1000000000000001E-2</v>
      </c>
      <c r="I19" s="87">
        <v>-1.9</v>
      </c>
      <c r="J19" s="85">
        <v>0.21</v>
      </c>
      <c r="K19" s="85">
        <v>0.35</v>
      </c>
      <c r="L19" t="s">
        <v>436</v>
      </c>
      <c r="M19" s="81">
        <v>3300</v>
      </c>
      <c r="N19" t="s">
        <v>442</v>
      </c>
      <c r="O19" s="85">
        <f t="shared" si="0"/>
        <v>-14.285714285714295</v>
      </c>
      <c r="P19" s="85">
        <f t="shared" si="1"/>
        <v>14.285714285714295</v>
      </c>
      <c r="Q19" s="81"/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397</v>
      </c>
      <c r="B20" t="s">
        <v>434</v>
      </c>
      <c r="C20" s="81">
        <v>2025</v>
      </c>
      <c r="D20" t="s">
        <v>416</v>
      </c>
      <c r="E20" t="s">
        <v>440</v>
      </c>
      <c r="F20" s="85">
        <v>0.34</v>
      </c>
      <c r="G20" s="86">
        <v>0.311</v>
      </c>
      <c r="H20" s="86">
        <v>2.4E-2</v>
      </c>
      <c r="I20" s="87">
        <v>1.2</v>
      </c>
      <c r="J20" s="85">
        <v>0.23</v>
      </c>
      <c r="K20" s="85">
        <v>0.39</v>
      </c>
      <c r="L20" t="s">
        <v>436</v>
      </c>
      <c r="M20" s="81">
        <v>3289</v>
      </c>
      <c r="N20" t="s">
        <v>442</v>
      </c>
      <c r="O20" s="85">
        <f t="shared" si="0"/>
        <v>9.3247588424437389</v>
      </c>
      <c r="P20" s="85">
        <f t="shared" si="1"/>
        <v>9.3247588424437389</v>
      </c>
      <c r="Q20" s="81"/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397</v>
      </c>
      <c r="B21" t="s">
        <v>434</v>
      </c>
      <c r="C21" s="81">
        <v>2025</v>
      </c>
      <c r="D21" t="s">
        <v>416</v>
      </c>
      <c r="E21" t="s">
        <v>441</v>
      </c>
      <c r="F21" s="85">
        <v>0.73</v>
      </c>
      <c r="G21" s="86">
        <v>0.84399999999999997</v>
      </c>
      <c r="H21" s="86">
        <v>6.2E-2</v>
      </c>
      <c r="I21" s="87">
        <v>-1.9</v>
      </c>
      <c r="J21" s="85">
        <v>0.65</v>
      </c>
      <c r="K21" s="85">
        <v>1.03</v>
      </c>
      <c r="L21" t="s">
        <v>436</v>
      </c>
      <c r="M21" s="81">
        <v>3301</v>
      </c>
      <c r="N21" t="s">
        <v>442</v>
      </c>
      <c r="O21" s="85">
        <f t="shared" si="0"/>
        <v>-13.507109004739334</v>
      </c>
      <c r="P21" s="85">
        <f t="shared" si="1"/>
        <v>13.507109004739334</v>
      </c>
      <c r="Q21" s="81"/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397</v>
      </c>
      <c r="B22" t="s">
        <v>434</v>
      </c>
      <c r="C22" s="81">
        <v>2025</v>
      </c>
      <c r="D22" t="s">
        <v>417</v>
      </c>
      <c r="E22" t="s">
        <v>435</v>
      </c>
      <c r="F22" s="85">
        <v>34.200000000000003</v>
      </c>
      <c r="G22" s="86">
        <v>34.468000000000004</v>
      </c>
      <c r="H22" s="86">
        <v>0.46899999999999997</v>
      </c>
      <c r="I22" s="87">
        <v>-0.6</v>
      </c>
      <c r="J22" s="85">
        <v>33.08</v>
      </c>
      <c r="K22" s="85">
        <v>35.85</v>
      </c>
      <c r="L22" t="s">
        <v>436</v>
      </c>
      <c r="M22" s="81">
        <v>3306</v>
      </c>
      <c r="N22" t="s">
        <v>437</v>
      </c>
      <c r="O22" s="85">
        <f t="shared" si="0"/>
        <v>-0.77753278403156745</v>
      </c>
      <c r="P22" s="85">
        <f t="shared" si="1"/>
        <v>0.77753278403156745</v>
      </c>
      <c r="Q22" s="81"/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397</v>
      </c>
      <c r="B23" t="s">
        <v>434</v>
      </c>
      <c r="C23" s="81">
        <v>2025</v>
      </c>
      <c r="D23" t="s">
        <v>417</v>
      </c>
      <c r="E23" t="s">
        <v>438</v>
      </c>
      <c r="F23" s="85">
        <v>45.3</v>
      </c>
      <c r="G23" s="86">
        <v>45.926000000000002</v>
      </c>
      <c r="H23" s="86">
        <v>0.61399999999999999</v>
      </c>
      <c r="I23" s="87">
        <v>-1</v>
      </c>
      <c r="J23" s="85">
        <v>44.08</v>
      </c>
      <c r="K23" s="85">
        <v>47.77</v>
      </c>
      <c r="L23" t="s">
        <v>436</v>
      </c>
      <c r="M23" s="81">
        <v>3304</v>
      </c>
      <c r="N23" t="s">
        <v>437</v>
      </c>
      <c r="O23" s="85">
        <f t="shared" si="0"/>
        <v>-1.3630623176414334</v>
      </c>
      <c r="P23" s="85">
        <f t="shared" si="1"/>
        <v>1.3630623176414334</v>
      </c>
      <c r="Q23" s="81"/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397</v>
      </c>
      <c r="B24" t="s">
        <v>434</v>
      </c>
      <c r="C24" s="81">
        <v>2025</v>
      </c>
      <c r="D24" t="s">
        <v>417</v>
      </c>
      <c r="E24" t="s">
        <v>439</v>
      </c>
      <c r="F24" s="85">
        <v>15.9</v>
      </c>
      <c r="G24" s="86">
        <v>16.236999999999998</v>
      </c>
      <c r="H24" s="86">
        <v>0.26700000000000002</v>
      </c>
      <c r="I24" s="87">
        <v>-1.3</v>
      </c>
      <c r="J24" s="85">
        <v>15.58</v>
      </c>
      <c r="K24" s="85">
        <v>16.89</v>
      </c>
      <c r="L24" t="s">
        <v>436</v>
      </c>
      <c r="M24" s="81">
        <v>3308</v>
      </c>
      <c r="N24" t="s">
        <v>437</v>
      </c>
      <c r="O24" s="85">
        <f t="shared" si="0"/>
        <v>-2.0755065590934163</v>
      </c>
      <c r="P24" s="85">
        <f t="shared" si="1"/>
        <v>2.0755065590934163</v>
      </c>
      <c r="Q24" s="81"/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397</v>
      </c>
      <c r="B25" t="s">
        <v>434</v>
      </c>
      <c r="C25" s="81">
        <v>2025</v>
      </c>
      <c r="D25" t="s">
        <v>417</v>
      </c>
      <c r="E25" t="s">
        <v>440</v>
      </c>
      <c r="F25" s="85">
        <v>44.1</v>
      </c>
      <c r="G25" s="86">
        <v>44.316000000000003</v>
      </c>
      <c r="H25" s="86">
        <v>0.60199999999999998</v>
      </c>
      <c r="I25" s="87">
        <v>-0.4</v>
      </c>
      <c r="J25" s="85">
        <v>42.54</v>
      </c>
      <c r="K25" s="85">
        <v>46.09</v>
      </c>
      <c r="L25" t="s">
        <v>436</v>
      </c>
      <c r="M25" s="81">
        <v>3307</v>
      </c>
      <c r="N25" t="s">
        <v>437</v>
      </c>
      <c r="O25" s="85">
        <f t="shared" si="0"/>
        <v>-0.48740861088546145</v>
      </c>
      <c r="P25" s="85">
        <f t="shared" si="1"/>
        <v>0.48740861088546145</v>
      </c>
      <c r="Q25" s="81"/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397</v>
      </c>
      <c r="B26" t="s">
        <v>434</v>
      </c>
      <c r="C26" s="81">
        <v>2025</v>
      </c>
      <c r="D26" t="s">
        <v>417</v>
      </c>
      <c r="E26" t="s">
        <v>441</v>
      </c>
      <c r="F26" s="85">
        <v>17.3</v>
      </c>
      <c r="G26" s="86">
        <v>17.547000000000001</v>
      </c>
      <c r="H26" s="86">
        <v>0.28100000000000003</v>
      </c>
      <c r="I26" s="87">
        <v>-0.9</v>
      </c>
      <c r="J26" s="85">
        <v>16.84</v>
      </c>
      <c r="K26" s="85">
        <v>18.25</v>
      </c>
      <c r="L26" t="s">
        <v>436</v>
      </c>
      <c r="M26" s="81">
        <v>3309</v>
      </c>
      <c r="N26" t="s">
        <v>437</v>
      </c>
      <c r="O26" s="85">
        <f t="shared" si="0"/>
        <v>-1.4076480310024497</v>
      </c>
      <c r="P26" s="85">
        <f t="shared" si="1"/>
        <v>1.4076480310024497</v>
      </c>
      <c r="Q26" s="81"/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397</v>
      </c>
      <c r="B27" t="s">
        <v>434</v>
      </c>
      <c r="C27" s="81">
        <v>2025</v>
      </c>
      <c r="D27" t="s">
        <v>418</v>
      </c>
      <c r="E27" t="s">
        <v>435</v>
      </c>
      <c r="F27" s="85">
        <v>12</v>
      </c>
      <c r="G27" s="86">
        <v>11.75</v>
      </c>
      <c r="H27" s="86">
        <v>0.11</v>
      </c>
      <c r="I27" s="87">
        <v>2.4</v>
      </c>
      <c r="J27" s="85">
        <v>11.2</v>
      </c>
      <c r="K27" s="85">
        <v>12.3</v>
      </c>
      <c r="L27" t="s">
        <v>436</v>
      </c>
      <c r="M27" s="81">
        <v>3365</v>
      </c>
      <c r="N27" t="s">
        <v>443</v>
      </c>
      <c r="O27" s="85">
        <f t="shared" si="0"/>
        <v>2.1276595744680851</v>
      </c>
      <c r="P27" s="85">
        <f t="shared" si="1"/>
        <v>2.1276595744680851</v>
      </c>
      <c r="Q27" s="81"/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397</v>
      </c>
      <c r="B28" t="s">
        <v>434</v>
      </c>
      <c r="C28" s="81">
        <v>2025</v>
      </c>
      <c r="D28" t="s">
        <v>418</v>
      </c>
      <c r="E28" t="s">
        <v>438</v>
      </c>
      <c r="F28" s="85">
        <v>16.100000000000001</v>
      </c>
      <c r="G28" s="86">
        <v>15.9</v>
      </c>
      <c r="H28" s="86">
        <v>0.15</v>
      </c>
      <c r="I28" s="87">
        <v>1.3</v>
      </c>
      <c r="J28" s="85">
        <v>15.2</v>
      </c>
      <c r="K28" s="85">
        <v>16.600000000000001</v>
      </c>
      <c r="L28" t="s">
        <v>436</v>
      </c>
      <c r="M28" s="81">
        <v>3385</v>
      </c>
      <c r="N28" t="s">
        <v>443</v>
      </c>
      <c r="O28" s="85">
        <f t="shared" si="0"/>
        <v>1.2578616352201324</v>
      </c>
      <c r="P28" s="85">
        <f t="shared" si="1"/>
        <v>1.2578616352201324</v>
      </c>
      <c r="Q28" s="81"/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397</v>
      </c>
      <c r="B29" t="s">
        <v>434</v>
      </c>
      <c r="C29" s="81">
        <v>2025</v>
      </c>
      <c r="D29" t="s">
        <v>418</v>
      </c>
      <c r="E29" t="s">
        <v>439</v>
      </c>
      <c r="F29" s="85">
        <v>5.5</v>
      </c>
      <c r="G29" s="86">
        <v>5.39</v>
      </c>
      <c r="H29" s="86">
        <v>7.0000000000000007E-2</v>
      </c>
      <c r="I29" s="87">
        <v>1.5</v>
      </c>
      <c r="J29" s="85">
        <v>5.0999999999999996</v>
      </c>
      <c r="K29" s="85">
        <v>5.7</v>
      </c>
      <c r="L29" t="s">
        <v>436</v>
      </c>
      <c r="M29" s="81">
        <v>3403</v>
      </c>
      <c r="N29" t="s">
        <v>443</v>
      </c>
      <c r="O29" s="85">
        <f t="shared" si="0"/>
        <v>2.0408163265306185</v>
      </c>
      <c r="P29" s="85">
        <f t="shared" si="1"/>
        <v>2.0408163265306185</v>
      </c>
      <c r="Q29" s="81"/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397</v>
      </c>
      <c r="B30" t="s">
        <v>434</v>
      </c>
      <c r="C30" s="81">
        <v>2025</v>
      </c>
      <c r="D30" t="s">
        <v>418</v>
      </c>
      <c r="E30" t="s">
        <v>440</v>
      </c>
      <c r="F30" s="85">
        <v>15.5</v>
      </c>
      <c r="G30" s="86">
        <v>15.11</v>
      </c>
      <c r="H30" s="86">
        <v>0.15</v>
      </c>
      <c r="I30" s="87">
        <v>2.7</v>
      </c>
      <c r="J30" s="85">
        <v>14.5</v>
      </c>
      <c r="K30" s="85">
        <v>15.8</v>
      </c>
      <c r="L30" t="s">
        <v>436</v>
      </c>
      <c r="M30" s="81">
        <v>3396</v>
      </c>
      <c r="N30" t="s">
        <v>443</v>
      </c>
      <c r="O30" s="85">
        <f t="shared" si="0"/>
        <v>2.5810721376571846</v>
      </c>
      <c r="P30" s="85">
        <f t="shared" si="1"/>
        <v>2.5810721376571846</v>
      </c>
      <c r="Q30" s="81"/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397</v>
      </c>
      <c r="B31" t="s">
        <v>434</v>
      </c>
      <c r="C31" s="81">
        <v>2025</v>
      </c>
      <c r="D31" t="s">
        <v>418</v>
      </c>
      <c r="E31" t="s">
        <v>441</v>
      </c>
      <c r="F31" s="85">
        <v>6.3</v>
      </c>
      <c r="G31" s="86">
        <v>6.07</v>
      </c>
      <c r="H31" s="86">
        <v>0.08</v>
      </c>
      <c r="I31" s="87">
        <v>3</v>
      </c>
      <c r="J31" s="85">
        <v>5.8</v>
      </c>
      <c r="K31" s="85">
        <v>6.4</v>
      </c>
      <c r="L31" t="s">
        <v>436</v>
      </c>
      <c r="M31" s="81">
        <v>3392</v>
      </c>
      <c r="N31" t="s">
        <v>443</v>
      </c>
      <c r="O31" s="85">
        <f t="shared" si="0"/>
        <v>3.7891268533772573</v>
      </c>
      <c r="P31" s="85">
        <f t="shared" si="1"/>
        <v>3.7891268533772573</v>
      </c>
      <c r="Q31" s="81"/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397</v>
      </c>
      <c r="B32" t="s">
        <v>434</v>
      </c>
      <c r="C32" s="81">
        <v>2025</v>
      </c>
      <c r="D32" t="s">
        <v>419</v>
      </c>
      <c r="E32" t="s">
        <v>435</v>
      </c>
      <c r="F32" s="85">
        <v>11.6</v>
      </c>
      <c r="G32" s="86">
        <v>11.41</v>
      </c>
      <c r="H32" s="86">
        <v>0.38</v>
      </c>
      <c r="I32" s="87">
        <v>0.5</v>
      </c>
      <c r="J32" s="85"/>
      <c r="K32" s="85"/>
      <c r="L32" t="s">
        <v>444</v>
      </c>
      <c r="M32" s="81">
        <v>3122</v>
      </c>
      <c r="N32" t="s">
        <v>437</v>
      </c>
      <c r="O32" s="85">
        <f t="shared" si="0"/>
        <v>1.665205959684483</v>
      </c>
      <c r="P32" s="85">
        <f t="shared" si="1"/>
        <v>1.665205959684483</v>
      </c>
      <c r="Q32" s="81"/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NAO AVALIADO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397</v>
      </c>
      <c r="B33" t="s">
        <v>434</v>
      </c>
      <c r="C33" s="81">
        <v>2025</v>
      </c>
      <c r="D33" t="s">
        <v>419</v>
      </c>
      <c r="E33" t="s">
        <v>438</v>
      </c>
      <c r="F33" s="85">
        <v>11.8</v>
      </c>
      <c r="G33" s="86">
        <v>12.21</v>
      </c>
      <c r="H33" s="86">
        <v>0.38</v>
      </c>
      <c r="I33" s="87">
        <v>-1.1000000000000001</v>
      </c>
      <c r="J33" s="85"/>
      <c r="K33" s="85"/>
      <c r="L33" t="s">
        <v>444</v>
      </c>
      <c r="M33" s="81">
        <v>3129</v>
      </c>
      <c r="N33" t="s">
        <v>437</v>
      </c>
      <c r="O33" s="85">
        <f t="shared" si="0"/>
        <v>-3.3579033579033588</v>
      </c>
      <c r="P33" s="85">
        <f t="shared" si="1"/>
        <v>3.3579033579033588</v>
      </c>
      <c r="Q33" s="81"/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NAO AVALIADO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397</v>
      </c>
      <c r="B34" t="s">
        <v>434</v>
      </c>
      <c r="C34" s="81">
        <v>2025</v>
      </c>
      <c r="D34" t="s">
        <v>419</v>
      </c>
      <c r="E34" t="s">
        <v>439</v>
      </c>
      <c r="F34" s="85">
        <v>9.6999999999999993</v>
      </c>
      <c r="G34" s="86">
        <v>10.32</v>
      </c>
      <c r="H34" s="86">
        <v>0.37</v>
      </c>
      <c r="I34" s="87">
        <v>-1.7</v>
      </c>
      <c r="J34" s="85"/>
      <c r="K34" s="85"/>
      <c r="L34" t="s">
        <v>444</v>
      </c>
      <c r="M34" s="81">
        <v>3120</v>
      </c>
      <c r="N34" t="s">
        <v>437</v>
      </c>
      <c r="O34" s="85">
        <f t="shared" si="0"/>
        <v>-6.007751937984505</v>
      </c>
      <c r="P34" s="85">
        <f t="shared" si="1"/>
        <v>6.007751937984505</v>
      </c>
      <c r="Q34" s="81"/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NAO AVALIADO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397</v>
      </c>
      <c r="B35" t="s">
        <v>434</v>
      </c>
      <c r="C35" s="81">
        <v>2025</v>
      </c>
      <c r="D35" t="s">
        <v>419</v>
      </c>
      <c r="E35" t="s">
        <v>440</v>
      </c>
      <c r="F35" s="85">
        <v>11</v>
      </c>
      <c r="G35" s="86">
        <v>11.34</v>
      </c>
      <c r="H35" s="86">
        <v>0.42</v>
      </c>
      <c r="I35" s="87">
        <v>-0.8</v>
      </c>
      <c r="J35" s="85"/>
      <c r="K35" s="85"/>
      <c r="L35" t="s">
        <v>444</v>
      </c>
      <c r="M35" s="81">
        <v>3113</v>
      </c>
      <c r="N35" t="s">
        <v>437</v>
      </c>
      <c r="O35" s="85">
        <f t="shared" si="0"/>
        <v>-2.9982363315696636</v>
      </c>
      <c r="P35" s="85">
        <f t="shared" si="1"/>
        <v>2.9982363315696636</v>
      </c>
      <c r="Q35" s="81"/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NAO AVALIADO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397</v>
      </c>
      <c r="B36" t="s">
        <v>434</v>
      </c>
      <c r="C36" s="81">
        <v>2025</v>
      </c>
      <c r="D36" t="s">
        <v>419</v>
      </c>
      <c r="E36" t="s">
        <v>441</v>
      </c>
      <c r="F36" s="85">
        <v>10.9</v>
      </c>
      <c r="G36" s="86">
        <v>11.33</v>
      </c>
      <c r="H36" s="86">
        <v>0.33</v>
      </c>
      <c r="I36" s="87">
        <v>-1.3</v>
      </c>
      <c r="J36" s="85"/>
      <c r="K36" s="85"/>
      <c r="L36" t="s">
        <v>444</v>
      </c>
      <c r="M36" s="81">
        <v>3126</v>
      </c>
      <c r="N36" t="s">
        <v>437</v>
      </c>
      <c r="O36" s="85">
        <f t="shared" si="0"/>
        <v>-3.7952338923212681</v>
      </c>
      <c r="P36" s="85">
        <f t="shared" si="1"/>
        <v>3.7952338923212681</v>
      </c>
      <c r="Q36" s="81"/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NAO AVALIADO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397</v>
      </c>
      <c r="B37" t="s">
        <v>434</v>
      </c>
      <c r="C37" s="81">
        <v>2025</v>
      </c>
      <c r="D37" t="s">
        <v>420</v>
      </c>
      <c r="E37" t="s">
        <v>435</v>
      </c>
      <c r="F37" s="85">
        <v>0.72</v>
      </c>
      <c r="G37" s="86">
        <v>0.71499999999999997</v>
      </c>
      <c r="H37" s="86">
        <v>2.8000000000000001E-2</v>
      </c>
      <c r="I37" s="87">
        <v>0.2</v>
      </c>
      <c r="J37" s="85"/>
      <c r="K37" s="85"/>
      <c r="L37" t="s">
        <v>444</v>
      </c>
      <c r="M37" s="81">
        <v>3108</v>
      </c>
      <c r="N37" t="s">
        <v>442</v>
      </c>
      <c r="O37" s="85">
        <f t="shared" si="0"/>
        <v>0.69930069930070005</v>
      </c>
      <c r="P37" s="85">
        <f t="shared" si="1"/>
        <v>0.69930069930070005</v>
      </c>
      <c r="Q37" s="81"/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NAO AVALIADO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397</v>
      </c>
      <c r="B38" t="s">
        <v>434</v>
      </c>
      <c r="C38" s="81">
        <v>2025</v>
      </c>
      <c r="D38" t="s">
        <v>420</v>
      </c>
      <c r="E38" t="s">
        <v>438</v>
      </c>
      <c r="F38" s="85">
        <v>2</v>
      </c>
      <c r="G38" s="86">
        <v>2.093</v>
      </c>
      <c r="H38" s="86">
        <v>7.0999999999999994E-2</v>
      </c>
      <c r="I38" s="87">
        <v>-1.3</v>
      </c>
      <c r="J38" s="85"/>
      <c r="K38" s="85"/>
      <c r="L38" t="s">
        <v>444</v>
      </c>
      <c r="M38" s="81">
        <v>3105</v>
      </c>
      <c r="N38" t="s">
        <v>442</v>
      </c>
      <c r="O38" s="85">
        <f t="shared" si="0"/>
        <v>-4.4433827042522678</v>
      </c>
      <c r="P38" s="85">
        <f t="shared" si="1"/>
        <v>4.4433827042522678</v>
      </c>
      <c r="Q38" s="81"/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NAO AVALIADO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397</v>
      </c>
      <c r="B39" t="s">
        <v>434</v>
      </c>
      <c r="C39" s="81">
        <v>2025</v>
      </c>
      <c r="D39" t="s">
        <v>420</v>
      </c>
      <c r="E39" t="s">
        <v>439</v>
      </c>
      <c r="F39" s="85">
        <v>0.26</v>
      </c>
      <c r="G39" s="86">
        <v>0.29199999999999998</v>
      </c>
      <c r="H39" s="86">
        <v>1.2999999999999999E-2</v>
      </c>
      <c r="I39" s="87">
        <v>-2.5</v>
      </c>
      <c r="J39" s="85"/>
      <c r="K39" s="85"/>
      <c r="L39" t="s">
        <v>444</v>
      </c>
      <c r="M39" s="81">
        <v>3108</v>
      </c>
      <c r="N39" t="s">
        <v>442</v>
      </c>
      <c r="O39" s="85">
        <f t="shared" si="0"/>
        <v>-10.958904109589032</v>
      </c>
      <c r="P39" s="85">
        <f t="shared" si="1"/>
        <v>10.958904109589032</v>
      </c>
      <c r="Q39" s="81"/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NAO AVALIADO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397</v>
      </c>
      <c r="B40" t="s">
        <v>434</v>
      </c>
      <c r="C40" s="81">
        <v>2025</v>
      </c>
      <c r="D40" t="s">
        <v>420</v>
      </c>
      <c r="E40" t="s">
        <v>440</v>
      </c>
      <c r="F40" s="85">
        <v>0.32</v>
      </c>
      <c r="G40" s="86">
        <v>0.32900000000000001</v>
      </c>
      <c r="H40" s="86">
        <v>1.4999999999999999E-2</v>
      </c>
      <c r="I40" s="87">
        <v>-0.6</v>
      </c>
      <c r="J40" s="85"/>
      <c r="K40" s="85"/>
      <c r="L40" t="s">
        <v>444</v>
      </c>
      <c r="M40" s="81">
        <v>3097</v>
      </c>
      <c r="N40" t="s">
        <v>442</v>
      </c>
      <c r="O40" s="85">
        <f t="shared" si="0"/>
        <v>-2.7355623100303976</v>
      </c>
      <c r="P40" s="85">
        <f t="shared" si="1"/>
        <v>2.7355623100303976</v>
      </c>
      <c r="Q40" s="81"/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NAO AVALIADO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397</v>
      </c>
      <c r="B41" t="s">
        <v>434</v>
      </c>
      <c r="C41" s="81">
        <v>2025</v>
      </c>
      <c r="D41" t="s">
        <v>420</v>
      </c>
      <c r="E41" t="s">
        <v>441</v>
      </c>
      <c r="F41" s="85">
        <v>0.83</v>
      </c>
      <c r="G41" s="86">
        <v>0.89</v>
      </c>
      <c r="H41" s="86">
        <v>3.1E-2</v>
      </c>
      <c r="I41" s="87">
        <v>-1.9</v>
      </c>
      <c r="J41" s="85"/>
      <c r="K41" s="85"/>
      <c r="L41" t="s">
        <v>444</v>
      </c>
      <c r="M41" s="81">
        <v>3112</v>
      </c>
      <c r="N41" t="s">
        <v>442</v>
      </c>
      <c r="O41" s="85">
        <f t="shared" si="0"/>
        <v>-6.741573033707871</v>
      </c>
      <c r="P41" s="85">
        <f t="shared" si="1"/>
        <v>6.741573033707871</v>
      </c>
      <c r="Q41" s="81"/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NAO AVALIADO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397</v>
      </c>
      <c r="B42" t="s">
        <v>434</v>
      </c>
      <c r="C42" s="81">
        <v>2025</v>
      </c>
      <c r="D42" t="s">
        <v>421</v>
      </c>
      <c r="E42" t="s">
        <v>435</v>
      </c>
      <c r="F42" s="85">
        <v>19.899999999999999</v>
      </c>
      <c r="G42" s="86">
        <v>20.010000000000002</v>
      </c>
      <c r="H42" s="86">
        <v>0.74</v>
      </c>
      <c r="I42" s="87">
        <v>-0.1</v>
      </c>
      <c r="J42" s="85"/>
      <c r="K42" s="85"/>
      <c r="L42" t="s">
        <v>444</v>
      </c>
      <c r="M42" s="81">
        <v>2402</v>
      </c>
      <c r="N42" t="s">
        <v>437</v>
      </c>
      <c r="O42" s="85">
        <f t="shared" si="0"/>
        <v>-0.54972513743129925</v>
      </c>
      <c r="P42" s="85">
        <f t="shared" si="1"/>
        <v>0.54972513743129925</v>
      </c>
      <c r="Q42" s="81"/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NAO AVALIADO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397</v>
      </c>
      <c r="B43" t="s">
        <v>434</v>
      </c>
      <c r="C43" s="81">
        <v>2025</v>
      </c>
      <c r="D43" t="s">
        <v>421</v>
      </c>
      <c r="E43" t="s">
        <v>438</v>
      </c>
      <c r="F43" s="85">
        <v>20</v>
      </c>
      <c r="G43" s="86">
        <v>20.03</v>
      </c>
      <c r="H43" s="86">
        <v>0.76</v>
      </c>
      <c r="I43" s="87">
        <v>0</v>
      </c>
      <c r="J43" s="85"/>
      <c r="K43" s="85"/>
      <c r="L43" t="s">
        <v>444</v>
      </c>
      <c r="M43" s="81">
        <v>2409</v>
      </c>
      <c r="N43" t="s">
        <v>437</v>
      </c>
      <c r="O43" s="85">
        <f t="shared" si="0"/>
        <v>-0.1497753369945139</v>
      </c>
      <c r="P43" s="85">
        <f t="shared" si="1"/>
        <v>0.1497753369945139</v>
      </c>
      <c r="Q43" s="81"/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NAO AVALIADO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397</v>
      </c>
      <c r="B44" t="s">
        <v>434</v>
      </c>
      <c r="C44" s="81">
        <v>2025</v>
      </c>
      <c r="D44" t="s">
        <v>421</v>
      </c>
      <c r="E44" t="s">
        <v>439</v>
      </c>
      <c r="F44" s="85">
        <v>19.5</v>
      </c>
      <c r="G44" s="86">
        <v>19.989999999999998</v>
      </c>
      <c r="H44" s="86">
        <v>0.57999999999999996</v>
      </c>
      <c r="I44" s="87">
        <v>-0.8</v>
      </c>
      <c r="J44" s="85"/>
      <c r="K44" s="85"/>
      <c r="L44" t="s">
        <v>444</v>
      </c>
      <c r="M44" s="81">
        <v>2397</v>
      </c>
      <c r="N44" t="s">
        <v>437</v>
      </c>
      <c r="O44" s="85">
        <f t="shared" si="0"/>
        <v>-2.4512256128063954</v>
      </c>
      <c r="P44" s="85">
        <f t="shared" si="1"/>
        <v>2.4512256128063954</v>
      </c>
      <c r="Q44" s="81"/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NAO AVALIADO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397</v>
      </c>
      <c r="B45" t="s">
        <v>434</v>
      </c>
      <c r="C45" s="81">
        <v>2025</v>
      </c>
      <c r="D45" t="s">
        <v>421</v>
      </c>
      <c r="E45" t="s">
        <v>440</v>
      </c>
      <c r="F45" s="85">
        <v>20.8</v>
      </c>
      <c r="G45" s="86">
        <v>20.010000000000002</v>
      </c>
      <c r="H45" s="86">
        <v>0.65</v>
      </c>
      <c r="I45" s="87">
        <v>1.2</v>
      </c>
      <c r="J45" s="85"/>
      <c r="K45" s="85"/>
      <c r="L45" t="s">
        <v>444</v>
      </c>
      <c r="M45" s="81">
        <v>2401</v>
      </c>
      <c r="N45" t="s">
        <v>437</v>
      </c>
      <c r="O45" s="85">
        <f t="shared" si="0"/>
        <v>3.948025987006492</v>
      </c>
      <c r="P45" s="85">
        <f t="shared" si="1"/>
        <v>3.948025987006492</v>
      </c>
      <c r="Q45" s="81"/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NAO AVALIADO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397</v>
      </c>
      <c r="B46" t="s">
        <v>434</v>
      </c>
      <c r="C46" s="81">
        <v>2025</v>
      </c>
      <c r="D46" t="s">
        <v>421</v>
      </c>
      <c r="E46" t="s">
        <v>441</v>
      </c>
      <c r="F46" s="85">
        <v>20.6</v>
      </c>
      <c r="G46" s="86">
        <v>20</v>
      </c>
      <c r="H46" s="86">
        <v>0.79</v>
      </c>
      <c r="I46" s="87">
        <v>0.8</v>
      </c>
      <c r="J46" s="85"/>
      <c r="K46" s="85"/>
      <c r="L46" t="s">
        <v>444</v>
      </c>
      <c r="M46" s="81">
        <v>2405</v>
      </c>
      <c r="N46" t="s">
        <v>437</v>
      </c>
      <c r="O46" s="85">
        <f t="shared" si="0"/>
        <v>3.0000000000000071</v>
      </c>
      <c r="P46" s="85">
        <f t="shared" si="1"/>
        <v>3.0000000000000071</v>
      </c>
      <c r="Q46" s="81"/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NAO AVALIADO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397</v>
      </c>
      <c r="B47" t="s">
        <v>434</v>
      </c>
      <c r="C47" s="81">
        <v>2025</v>
      </c>
      <c r="D47" t="s">
        <v>422</v>
      </c>
      <c r="E47" t="s">
        <v>435</v>
      </c>
      <c r="F47" s="85">
        <v>28.2</v>
      </c>
      <c r="G47" s="86">
        <v>27.94</v>
      </c>
      <c r="H47" s="86">
        <v>1.07</v>
      </c>
      <c r="I47" s="87">
        <v>0.2</v>
      </c>
      <c r="J47" s="85">
        <v>24.7</v>
      </c>
      <c r="K47" s="85">
        <v>31.2</v>
      </c>
      <c r="L47" t="s">
        <v>436</v>
      </c>
      <c r="M47" s="81">
        <v>3347</v>
      </c>
      <c r="N47" t="s">
        <v>437</v>
      </c>
      <c r="O47" s="85">
        <f t="shared" si="0"/>
        <v>0.93056549749462414</v>
      </c>
      <c r="P47" s="85">
        <f t="shared" si="1"/>
        <v>0.93056549749462414</v>
      </c>
      <c r="Q47" s="81"/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397</v>
      </c>
      <c r="B48" t="s">
        <v>434</v>
      </c>
      <c r="C48" s="81">
        <v>2025</v>
      </c>
      <c r="D48" t="s">
        <v>422</v>
      </c>
      <c r="E48" t="s">
        <v>438</v>
      </c>
      <c r="F48" s="85">
        <v>24.6</v>
      </c>
      <c r="G48" s="86">
        <v>23.88</v>
      </c>
      <c r="H48" s="86">
        <v>0.84</v>
      </c>
      <c r="I48" s="87">
        <v>0.9</v>
      </c>
      <c r="J48" s="85">
        <v>21.3</v>
      </c>
      <c r="K48" s="85">
        <v>26.4</v>
      </c>
      <c r="L48" t="s">
        <v>436</v>
      </c>
      <c r="M48" s="81">
        <v>3353</v>
      </c>
      <c r="N48" t="s">
        <v>437</v>
      </c>
      <c r="O48" s="85">
        <f t="shared" si="0"/>
        <v>3.0150753768844325</v>
      </c>
      <c r="P48" s="85">
        <f t="shared" si="1"/>
        <v>3.0150753768844325</v>
      </c>
      <c r="Q48" s="81"/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397</v>
      </c>
      <c r="B49" t="s">
        <v>434</v>
      </c>
      <c r="C49" s="81">
        <v>2025</v>
      </c>
      <c r="D49" t="s">
        <v>422</v>
      </c>
      <c r="E49" t="s">
        <v>439</v>
      </c>
      <c r="F49" s="85">
        <v>36.700000000000003</v>
      </c>
      <c r="G49" s="86">
        <v>32.93</v>
      </c>
      <c r="H49" s="86">
        <v>1.45</v>
      </c>
      <c r="I49" s="87">
        <v>2.6</v>
      </c>
      <c r="J49" s="85">
        <v>28.5</v>
      </c>
      <c r="K49" s="85">
        <v>37.299999999999997</v>
      </c>
      <c r="L49" t="s">
        <v>436</v>
      </c>
      <c r="M49" s="81">
        <v>3343</v>
      </c>
      <c r="N49" t="s">
        <v>437</v>
      </c>
      <c r="O49" s="85">
        <f t="shared" si="0"/>
        <v>11.448527178864266</v>
      </c>
      <c r="P49" s="85">
        <f t="shared" si="1"/>
        <v>11.448527178864266</v>
      </c>
      <c r="Q49" s="81"/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397</v>
      </c>
      <c r="B50" t="s">
        <v>434</v>
      </c>
      <c r="C50" s="81">
        <v>2025</v>
      </c>
      <c r="D50" t="s">
        <v>422</v>
      </c>
      <c r="E50" t="s">
        <v>440</v>
      </c>
      <c r="F50" s="85">
        <v>29.3</v>
      </c>
      <c r="G50" s="86">
        <v>27.55</v>
      </c>
      <c r="H50" s="86">
        <v>1.1499999999999999</v>
      </c>
      <c r="I50" s="87">
        <v>1.5</v>
      </c>
      <c r="J50" s="85">
        <v>24.1</v>
      </c>
      <c r="K50" s="85">
        <v>31.1</v>
      </c>
      <c r="L50" t="s">
        <v>436</v>
      </c>
      <c r="M50" s="81">
        <v>3337</v>
      </c>
      <c r="N50" t="s">
        <v>437</v>
      </c>
      <c r="O50" s="85">
        <f t="shared" si="0"/>
        <v>6.3520871143375679</v>
      </c>
      <c r="P50" s="85">
        <f t="shared" si="1"/>
        <v>6.3520871143375679</v>
      </c>
      <c r="Q50" s="81"/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397</v>
      </c>
      <c r="B51" t="s">
        <v>434</v>
      </c>
      <c r="C51" s="81">
        <v>2025</v>
      </c>
      <c r="D51" t="s">
        <v>422</v>
      </c>
      <c r="E51" t="s">
        <v>441</v>
      </c>
      <c r="F51" s="85">
        <v>28.5</v>
      </c>
      <c r="G51" s="86">
        <v>27.37</v>
      </c>
      <c r="H51" s="86">
        <v>0.93</v>
      </c>
      <c r="I51" s="87">
        <v>1.2</v>
      </c>
      <c r="J51" s="85">
        <v>24.5</v>
      </c>
      <c r="K51" s="85">
        <v>30.2</v>
      </c>
      <c r="L51" t="s">
        <v>436</v>
      </c>
      <c r="M51" s="81">
        <v>3346</v>
      </c>
      <c r="N51" t="s">
        <v>437</v>
      </c>
      <c r="O51" s="85">
        <f t="shared" si="0"/>
        <v>4.1286079649250969</v>
      </c>
      <c r="P51" s="85">
        <f t="shared" si="1"/>
        <v>4.1286079649250969</v>
      </c>
      <c r="Q51" s="81"/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397</v>
      </c>
      <c r="B52" t="s">
        <v>434</v>
      </c>
      <c r="C52" s="81">
        <v>2025</v>
      </c>
      <c r="D52" t="s">
        <v>423</v>
      </c>
      <c r="E52" t="s">
        <v>435</v>
      </c>
      <c r="F52" s="85">
        <v>1.75</v>
      </c>
      <c r="G52" s="86">
        <v>1.7509999999999999</v>
      </c>
      <c r="H52" s="86">
        <v>7.5999999999999998E-2</v>
      </c>
      <c r="I52" s="87">
        <v>0</v>
      </c>
      <c r="J52" s="85">
        <v>1.52</v>
      </c>
      <c r="K52" s="85">
        <v>1.98</v>
      </c>
      <c r="L52" t="s">
        <v>436</v>
      </c>
      <c r="M52" s="81">
        <v>3347</v>
      </c>
      <c r="N52" t="s">
        <v>442</v>
      </c>
      <c r="O52" s="85">
        <f t="shared" si="0"/>
        <v>-5.711022272986236E-2</v>
      </c>
      <c r="P52" s="85">
        <f t="shared" si="1"/>
        <v>5.711022272986236E-2</v>
      </c>
      <c r="Q52" s="81"/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397</v>
      </c>
      <c r="B53" t="s">
        <v>434</v>
      </c>
      <c r="C53" s="81">
        <v>2025</v>
      </c>
      <c r="D53" t="s">
        <v>423</v>
      </c>
      <c r="E53" t="s">
        <v>438</v>
      </c>
      <c r="F53" s="85">
        <v>4.16</v>
      </c>
      <c r="G53" s="86">
        <v>4.093</v>
      </c>
      <c r="H53" s="86">
        <v>0.159</v>
      </c>
      <c r="I53" s="87">
        <v>0.4</v>
      </c>
      <c r="J53" s="85">
        <v>3.61</v>
      </c>
      <c r="K53" s="85">
        <v>4.57</v>
      </c>
      <c r="L53" t="s">
        <v>436</v>
      </c>
      <c r="M53" s="81">
        <v>3347</v>
      </c>
      <c r="N53" t="s">
        <v>442</v>
      </c>
      <c r="O53" s="85">
        <f t="shared" si="0"/>
        <v>1.6369411189836349</v>
      </c>
      <c r="P53" s="85">
        <f t="shared" si="1"/>
        <v>1.6369411189836349</v>
      </c>
      <c r="Q53" s="81"/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397</v>
      </c>
      <c r="B54" t="s">
        <v>434</v>
      </c>
      <c r="C54" s="81">
        <v>2025</v>
      </c>
      <c r="D54" t="s">
        <v>423</v>
      </c>
      <c r="E54" t="s">
        <v>439</v>
      </c>
      <c r="F54" s="85">
        <v>0.98</v>
      </c>
      <c r="G54" s="86">
        <v>0.93200000000000005</v>
      </c>
      <c r="H54" s="86">
        <v>4.7E-2</v>
      </c>
      <c r="I54" s="87">
        <v>1</v>
      </c>
      <c r="J54" s="85">
        <v>0.78</v>
      </c>
      <c r="K54" s="85">
        <v>1.08</v>
      </c>
      <c r="L54" t="s">
        <v>436</v>
      </c>
      <c r="M54" s="81">
        <v>3347</v>
      </c>
      <c r="N54" t="s">
        <v>442</v>
      </c>
      <c r="O54" s="85">
        <f t="shared" si="0"/>
        <v>5.1502145922746703</v>
      </c>
      <c r="P54" s="85">
        <f t="shared" si="1"/>
        <v>5.1502145922746703</v>
      </c>
      <c r="Q54" s="81"/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397</v>
      </c>
      <c r="B55" t="s">
        <v>434</v>
      </c>
      <c r="C55" s="81">
        <v>2025</v>
      </c>
      <c r="D55" t="s">
        <v>423</v>
      </c>
      <c r="E55" t="s">
        <v>440</v>
      </c>
      <c r="F55" s="85">
        <v>0.85</v>
      </c>
      <c r="G55" s="86">
        <v>0.79900000000000004</v>
      </c>
      <c r="H55" s="86">
        <v>0.04</v>
      </c>
      <c r="I55" s="87">
        <v>1.3</v>
      </c>
      <c r="J55" s="85">
        <v>0.67</v>
      </c>
      <c r="K55" s="85">
        <v>0.92</v>
      </c>
      <c r="L55" t="s">
        <v>436</v>
      </c>
      <c r="M55" s="81">
        <v>3356</v>
      </c>
      <c r="N55" t="s">
        <v>442</v>
      </c>
      <c r="O55" s="85">
        <f t="shared" si="0"/>
        <v>6.3829787234042463</v>
      </c>
      <c r="P55" s="85">
        <f t="shared" si="1"/>
        <v>6.3829787234042463</v>
      </c>
      <c r="Q55" s="81"/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397</v>
      </c>
      <c r="B56" t="s">
        <v>434</v>
      </c>
      <c r="C56" s="81">
        <v>2025</v>
      </c>
      <c r="D56" t="s">
        <v>423</v>
      </c>
      <c r="E56" t="s">
        <v>441</v>
      </c>
      <c r="F56" s="85">
        <v>2.16</v>
      </c>
      <c r="G56" s="86">
        <v>2.15</v>
      </c>
      <c r="H56" s="86">
        <v>8.3000000000000004E-2</v>
      </c>
      <c r="I56" s="87">
        <v>0.1</v>
      </c>
      <c r="J56" s="85">
        <v>1.9</v>
      </c>
      <c r="K56" s="85">
        <v>2.4</v>
      </c>
      <c r="L56" t="s">
        <v>436</v>
      </c>
      <c r="M56" s="81">
        <v>3342</v>
      </c>
      <c r="N56" t="s">
        <v>442</v>
      </c>
      <c r="O56" s="85">
        <f t="shared" si="0"/>
        <v>0.4651162790697782</v>
      </c>
      <c r="P56" s="85">
        <f t="shared" si="1"/>
        <v>0.4651162790697782</v>
      </c>
      <c r="Q56" s="81"/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397</v>
      </c>
      <c r="B57" t="s">
        <v>434</v>
      </c>
      <c r="C57" s="81">
        <v>2025</v>
      </c>
      <c r="D57" t="s">
        <v>130</v>
      </c>
      <c r="E57" t="s">
        <v>435</v>
      </c>
      <c r="F57" s="85">
        <v>27.9</v>
      </c>
      <c r="G57" s="86">
        <v>27.6</v>
      </c>
      <c r="H57" s="86">
        <v>0.32</v>
      </c>
      <c r="I57" s="87">
        <v>0.9</v>
      </c>
      <c r="J57" s="85">
        <v>26.6</v>
      </c>
      <c r="K57" s="85">
        <v>28.6</v>
      </c>
      <c r="L57" t="s">
        <v>436</v>
      </c>
      <c r="M57" s="81">
        <v>3337</v>
      </c>
      <c r="N57" t="s">
        <v>445</v>
      </c>
      <c r="O57" s="85">
        <f t="shared" si="0"/>
        <v>1.0869565217391199</v>
      </c>
      <c r="P57" s="85">
        <f t="shared" si="1"/>
        <v>1.0869565217391199</v>
      </c>
      <c r="Q57" s="81"/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397</v>
      </c>
      <c r="B58" t="s">
        <v>434</v>
      </c>
      <c r="C58" s="81">
        <v>2025</v>
      </c>
      <c r="D58" t="s">
        <v>130</v>
      </c>
      <c r="E58" t="s">
        <v>438</v>
      </c>
      <c r="F58" s="85">
        <v>30.8</v>
      </c>
      <c r="G58" s="86">
        <v>30.51</v>
      </c>
      <c r="H58" s="86">
        <v>0.35</v>
      </c>
      <c r="I58" s="87">
        <v>0.8</v>
      </c>
      <c r="J58" s="85">
        <v>29.4</v>
      </c>
      <c r="K58" s="85">
        <v>31.6</v>
      </c>
      <c r="L58" t="s">
        <v>436</v>
      </c>
      <c r="M58" s="81">
        <v>3338</v>
      </c>
      <c r="N58" t="s">
        <v>445</v>
      </c>
      <c r="O58" s="85">
        <f t="shared" si="0"/>
        <v>0.95050803015404495</v>
      </c>
      <c r="P58" s="85">
        <f t="shared" si="1"/>
        <v>0.95050803015404495</v>
      </c>
      <c r="Q58" s="81"/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397</v>
      </c>
      <c r="B59" t="s">
        <v>434</v>
      </c>
      <c r="C59" s="81">
        <v>2025</v>
      </c>
      <c r="D59" t="s">
        <v>130</v>
      </c>
      <c r="E59" t="s">
        <v>439</v>
      </c>
      <c r="F59" s="85">
        <v>24.8</v>
      </c>
      <c r="G59" s="86">
        <v>24.36</v>
      </c>
      <c r="H59" s="86">
        <v>0.34</v>
      </c>
      <c r="I59" s="87">
        <v>1.3</v>
      </c>
      <c r="J59" s="85">
        <v>23.3</v>
      </c>
      <c r="K59" s="85">
        <v>25.4</v>
      </c>
      <c r="L59" t="s">
        <v>436</v>
      </c>
      <c r="M59" s="81">
        <v>3347</v>
      </c>
      <c r="N59" t="s">
        <v>445</v>
      </c>
      <c r="O59" s="85">
        <f t="shared" si="0"/>
        <v>1.8062397372742254</v>
      </c>
      <c r="P59" s="85">
        <f t="shared" si="1"/>
        <v>1.8062397372742254</v>
      </c>
      <c r="Q59" s="81"/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397</v>
      </c>
      <c r="B60" t="s">
        <v>434</v>
      </c>
      <c r="C60" s="81">
        <v>2025</v>
      </c>
      <c r="D60" t="s">
        <v>130</v>
      </c>
      <c r="E60" t="s">
        <v>440</v>
      </c>
      <c r="F60" s="85">
        <v>29.2</v>
      </c>
      <c r="G60" s="86">
        <v>28.87</v>
      </c>
      <c r="H60" s="86">
        <v>0.33</v>
      </c>
      <c r="I60" s="87">
        <v>1</v>
      </c>
      <c r="J60" s="85">
        <v>27.8</v>
      </c>
      <c r="K60" s="85">
        <v>29.9</v>
      </c>
      <c r="L60" t="s">
        <v>436</v>
      </c>
      <c r="M60" s="81">
        <v>3337</v>
      </c>
      <c r="N60" t="s">
        <v>445</v>
      </c>
      <c r="O60" s="85">
        <f t="shared" si="0"/>
        <v>1.143055074471764</v>
      </c>
      <c r="P60" s="85">
        <f t="shared" si="1"/>
        <v>1.143055074471764</v>
      </c>
      <c r="Q60" s="81"/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397</v>
      </c>
      <c r="B61" t="s">
        <v>434</v>
      </c>
      <c r="C61" s="81">
        <v>2025</v>
      </c>
      <c r="D61" t="s">
        <v>130</v>
      </c>
      <c r="E61" t="s">
        <v>441</v>
      </c>
      <c r="F61" s="85">
        <v>26</v>
      </c>
      <c r="G61" s="86">
        <v>25.27</v>
      </c>
      <c r="H61" s="86">
        <v>0.32</v>
      </c>
      <c r="I61" s="87">
        <v>2.2999999999999998</v>
      </c>
      <c r="J61" s="85">
        <v>24.2</v>
      </c>
      <c r="K61" s="85">
        <v>26.3</v>
      </c>
      <c r="L61" t="s">
        <v>436</v>
      </c>
      <c r="M61" s="81">
        <v>3330</v>
      </c>
      <c r="N61" t="s">
        <v>445</v>
      </c>
      <c r="O61" s="85">
        <f t="shared" si="0"/>
        <v>2.8888009497427798</v>
      </c>
      <c r="P61" s="85">
        <f t="shared" si="1"/>
        <v>2.8888009497427798</v>
      </c>
      <c r="Q61" s="81"/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397</v>
      </c>
      <c r="B62" t="s">
        <v>434</v>
      </c>
      <c r="C62" s="81">
        <v>2025</v>
      </c>
      <c r="D62" t="s">
        <v>131</v>
      </c>
      <c r="E62" t="s">
        <v>435</v>
      </c>
      <c r="F62" s="85">
        <v>35.1</v>
      </c>
      <c r="G62" s="86">
        <v>34.08</v>
      </c>
      <c r="H62" s="86">
        <v>0.5</v>
      </c>
      <c r="I62" s="87">
        <v>2</v>
      </c>
      <c r="J62" s="85">
        <v>32.5</v>
      </c>
      <c r="K62" s="85">
        <v>35.6</v>
      </c>
      <c r="L62" t="s">
        <v>436</v>
      </c>
      <c r="M62" s="81">
        <v>3358</v>
      </c>
      <c r="N62" t="s">
        <v>443</v>
      </c>
      <c r="O62" s="85">
        <f t="shared" si="0"/>
        <v>2.9929577464788824</v>
      </c>
      <c r="P62" s="85">
        <f t="shared" si="1"/>
        <v>2.9929577464788824</v>
      </c>
      <c r="Q62" s="81"/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397</v>
      </c>
      <c r="B63" t="s">
        <v>434</v>
      </c>
      <c r="C63" s="81">
        <v>2025</v>
      </c>
      <c r="D63" t="s">
        <v>131</v>
      </c>
      <c r="E63" t="s">
        <v>438</v>
      </c>
      <c r="F63" s="85">
        <v>35.5</v>
      </c>
      <c r="G63" s="86">
        <v>34.630000000000003</v>
      </c>
      <c r="H63" s="86">
        <v>0.5</v>
      </c>
      <c r="I63" s="87">
        <v>1.7</v>
      </c>
      <c r="J63" s="85">
        <v>33.1</v>
      </c>
      <c r="K63" s="85">
        <v>36.200000000000003</v>
      </c>
      <c r="L63" t="s">
        <v>436</v>
      </c>
      <c r="M63" s="81">
        <v>3357</v>
      </c>
      <c r="N63" t="s">
        <v>443</v>
      </c>
      <c r="O63" s="85">
        <f t="shared" si="0"/>
        <v>2.5122725960150083</v>
      </c>
      <c r="P63" s="85">
        <f t="shared" si="1"/>
        <v>2.5122725960150083</v>
      </c>
      <c r="Q63" s="81"/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397</v>
      </c>
      <c r="B64" t="s">
        <v>434</v>
      </c>
      <c r="C64" s="81">
        <v>2025</v>
      </c>
      <c r="D64" t="s">
        <v>131</v>
      </c>
      <c r="E64" t="s">
        <v>439</v>
      </c>
      <c r="F64" s="85">
        <v>34.6</v>
      </c>
      <c r="G64" s="86">
        <v>33.159999999999997</v>
      </c>
      <c r="H64" s="86">
        <v>0.59</v>
      </c>
      <c r="I64" s="87">
        <v>2.4</v>
      </c>
      <c r="J64" s="85">
        <v>31.3</v>
      </c>
      <c r="K64" s="85">
        <v>35</v>
      </c>
      <c r="L64" t="s">
        <v>436</v>
      </c>
      <c r="M64" s="81">
        <v>3360</v>
      </c>
      <c r="N64" t="s">
        <v>443</v>
      </c>
      <c r="O64" s="85">
        <f t="shared" si="0"/>
        <v>4.3425814234017039</v>
      </c>
      <c r="P64" s="85">
        <f t="shared" si="1"/>
        <v>4.3425814234017039</v>
      </c>
      <c r="Q64" s="81"/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397</v>
      </c>
      <c r="B65" t="s">
        <v>434</v>
      </c>
      <c r="C65" s="81">
        <v>2025</v>
      </c>
      <c r="D65" t="s">
        <v>131</v>
      </c>
      <c r="E65" t="s">
        <v>440</v>
      </c>
      <c r="F65" s="85">
        <v>35.1</v>
      </c>
      <c r="G65" s="86">
        <v>34.11</v>
      </c>
      <c r="H65" s="86">
        <v>0.5</v>
      </c>
      <c r="I65" s="87">
        <v>2</v>
      </c>
      <c r="J65" s="85">
        <v>32.5</v>
      </c>
      <c r="K65" s="85">
        <v>35.700000000000003</v>
      </c>
      <c r="L65" t="s">
        <v>436</v>
      </c>
      <c r="M65" s="81">
        <v>3361</v>
      </c>
      <c r="N65" t="s">
        <v>443</v>
      </c>
      <c r="O65" s="85">
        <f t="shared" si="0"/>
        <v>2.9023746701847024</v>
      </c>
      <c r="P65" s="85">
        <f t="shared" si="1"/>
        <v>2.9023746701847024</v>
      </c>
      <c r="Q65" s="81"/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397</v>
      </c>
      <c r="B66" t="s">
        <v>434</v>
      </c>
      <c r="C66" s="81">
        <v>2025</v>
      </c>
      <c r="D66" t="s">
        <v>131</v>
      </c>
      <c r="E66" t="s">
        <v>441</v>
      </c>
      <c r="F66" s="85">
        <v>36.4</v>
      </c>
      <c r="G66" s="86">
        <v>34.590000000000003</v>
      </c>
      <c r="H66" s="86">
        <v>0.56999999999999995</v>
      </c>
      <c r="I66" s="87">
        <v>3.2</v>
      </c>
      <c r="J66" s="85">
        <v>32.799999999999997</v>
      </c>
      <c r="K66" s="85">
        <v>36.299999999999997</v>
      </c>
      <c r="L66" t="s">
        <v>446</v>
      </c>
      <c r="M66" s="81">
        <v>3346</v>
      </c>
      <c r="N66" t="s">
        <v>443</v>
      </c>
      <c r="O66" s="85">
        <f t="shared" ref="O66:O129" si="2">IFERROR((F66-G66)/G66*100,"")</f>
        <v>5.232726221451272</v>
      </c>
      <c r="P66" s="85">
        <f t="shared" ref="P66:P129" si="3">IF(O66="","",ABS(O66))</f>
        <v>5.232726221451272</v>
      </c>
      <c r="Q66" s="81"/>
      <c r="S66">
        <f>IF($W66&lt;&gt;"NAO ACEITO","",COUNTIFS($W$2:$W66,"NAO ACEITO"))</f>
        <v>1</v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NAO ACEITO</v>
      </c>
      <c r="X66">
        <f>IF(OR($D66="",$W66&lt;&gt;"NAO ACEITO"),"",IF(COUNTIFS($D$2:$D66,$D66,$W$2:$W66,"NAO ACEITO")=1,1,0))</f>
        <v>1</v>
      </c>
    </row>
    <row r="67" spans="1:24" x14ac:dyDescent="0.3">
      <c r="A67" t="s">
        <v>397</v>
      </c>
      <c r="B67" t="s">
        <v>434</v>
      </c>
      <c r="C67" s="81">
        <v>2025</v>
      </c>
      <c r="D67" t="s">
        <v>129</v>
      </c>
      <c r="E67" t="s">
        <v>435</v>
      </c>
      <c r="F67" s="85">
        <v>79.5</v>
      </c>
      <c r="G67" s="86">
        <v>80.959999999999994</v>
      </c>
      <c r="H67" s="86">
        <v>0.81</v>
      </c>
      <c r="I67" s="87">
        <v>-1.8</v>
      </c>
      <c r="J67" s="85">
        <v>78.5</v>
      </c>
      <c r="K67" s="85">
        <v>83.4</v>
      </c>
      <c r="L67" t="s">
        <v>436</v>
      </c>
      <c r="M67" s="81">
        <v>3366</v>
      </c>
      <c r="N67" t="s">
        <v>447</v>
      </c>
      <c r="O67" s="85">
        <f t="shared" si="2"/>
        <v>-1.8033596837944588</v>
      </c>
      <c r="P67" s="85">
        <f t="shared" si="3"/>
        <v>1.8033596837944588</v>
      </c>
      <c r="Q67" s="81"/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397</v>
      </c>
      <c r="B68" t="s">
        <v>434</v>
      </c>
      <c r="C68" s="81">
        <v>2025</v>
      </c>
      <c r="D68" t="s">
        <v>129</v>
      </c>
      <c r="E68" t="s">
        <v>438</v>
      </c>
      <c r="F68" s="85">
        <v>86.6</v>
      </c>
      <c r="G68" s="86">
        <v>88.12</v>
      </c>
      <c r="H68" s="86">
        <v>0.88</v>
      </c>
      <c r="I68" s="87">
        <v>-1.7</v>
      </c>
      <c r="J68" s="85">
        <v>85.4</v>
      </c>
      <c r="K68" s="85">
        <v>90.8</v>
      </c>
      <c r="L68" t="s">
        <v>436</v>
      </c>
      <c r="M68" s="81">
        <v>3364</v>
      </c>
      <c r="N68" t="s">
        <v>447</v>
      </c>
      <c r="O68" s="85">
        <f t="shared" si="2"/>
        <v>-1.7249205628688269</v>
      </c>
      <c r="P68" s="85">
        <f t="shared" si="3"/>
        <v>1.7249205628688269</v>
      </c>
      <c r="Q68" s="81"/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397</v>
      </c>
      <c r="B69" t="s">
        <v>434</v>
      </c>
      <c r="C69" s="81">
        <v>2025</v>
      </c>
      <c r="D69" t="s">
        <v>129</v>
      </c>
      <c r="E69" t="s">
        <v>439</v>
      </c>
      <c r="F69" s="85">
        <v>71.599999999999994</v>
      </c>
      <c r="G69" s="86">
        <v>73.44</v>
      </c>
      <c r="H69" s="86">
        <v>0.83</v>
      </c>
      <c r="I69" s="87">
        <v>-2.2000000000000002</v>
      </c>
      <c r="J69" s="85">
        <v>70.900000000000006</v>
      </c>
      <c r="K69" s="85">
        <v>76</v>
      </c>
      <c r="L69" t="s">
        <v>436</v>
      </c>
      <c r="M69" s="81">
        <v>3359</v>
      </c>
      <c r="N69" t="s">
        <v>447</v>
      </c>
      <c r="O69" s="85">
        <f t="shared" si="2"/>
        <v>-2.5054466230936869</v>
      </c>
      <c r="P69" s="85">
        <f t="shared" si="3"/>
        <v>2.5054466230936869</v>
      </c>
      <c r="Q69" s="81"/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397</v>
      </c>
      <c r="B70" t="s">
        <v>434</v>
      </c>
      <c r="C70" s="81">
        <v>2025</v>
      </c>
      <c r="D70" t="s">
        <v>129</v>
      </c>
      <c r="E70" t="s">
        <v>440</v>
      </c>
      <c r="F70" s="85">
        <v>83.1</v>
      </c>
      <c r="G70" s="86">
        <v>84.65</v>
      </c>
      <c r="H70" s="86">
        <v>0.87</v>
      </c>
      <c r="I70" s="87">
        <v>-1.8</v>
      </c>
      <c r="J70" s="85">
        <v>82</v>
      </c>
      <c r="K70" s="85">
        <v>87.3</v>
      </c>
      <c r="L70" t="s">
        <v>436</v>
      </c>
      <c r="M70" s="81">
        <v>3365</v>
      </c>
      <c r="N70" t="s">
        <v>447</v>
      </c>
      <c r="O70" s="85">
        <f t="shared" si="2"/>
        <v>-1.8310691080921575</v>
      </c>
      <c r="P70" s="85">
        <f t="shared" si="3"/>
        <v>1.8310691080921575</v>
      </c>
      <c r="Q70" s="81"/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397</v>
      </c>
      <c r="B71" t="s">
        <v>434</v>
      </c>
      <c r="C71" s="81">
        <v>2025</v>
      </c>
      <c r="D71" t="s">
        <v>129</v>
      </c>
      <c r="E71" t="s">
        <v>441</v>
      </c>
      <c r="F71" s="85">
        <v>71.5</v>
      </c>
      <c r="G71" s="86">
        <v>73.12</v>
      </c>
      <c r="H71" s="86">
        <v>0.79</v>
      </c>
      <c r="I71" s="87">
        <v>-2</v>
      </c>
      <c r="J71" s="85">
        <v>70.7</v>
      </c>
      <c r="K71" s="85">
        <v>75.5</v>
      </c>
      <c r="L71" t="s">
        <v>436</v>
      </c>
      <c r="M71" s="81">
        <v>3359</v>
      </c>
      <c r="N71" t="s">
        <v>447</v>
      </c>
      <c r="O71" s="85">
        <f t="shared" si="2"/>
        <v>-2.2155361050328288</v>
      </c>
      <c r="P71" s="85">
        <f t="shared" si="3"/>
        <v>2.2155361050328288</v>
      </c>
      <c r="Q71" s="81"/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397</v>
      </c>
      <c r="B72" t="s">
        <v>434</v>
      </c>
      <c r="C72" s="81">
        <v>2025</v>
      </c>
      <c r="D72" t="s">
        <v>149</v>
      </c>
      <c r="E72" t="s">
        <v>435</v>
      </c>
      <c r="F72" s="85">
        <v>9.4</v>
      </c>
      <c r="G72" s="86">
        <v>9.48</v>
      </c>
      <c r="H72" s="86">
        <v>0.15</v>
      </c>
      <c r="I72" s="87">
        <v>-0.5</v>
      </c>
      <c r="J72" s="85">
        <v>9</v>
      </c>
      <c r="K72" s="85">
        <v>10</v>
      </c>
      <c r="L72" t="s">
        <v>436</v>
      </c>
      <c r="M72" s="81">
        <v>3192</v>
      </c>
      <c r="N72" t="s">
        <v>447</v>
      </c>
      <c r="O72" s="85">
        <f t="shared" si="2"/>
        <v>-0.84388185654008518</v>
      </c>
      <c r="P72" s="85">
        <f t="shared" si="3"/>
        <v>0.84388185654008518</v>
      </c>
      <c r="Q72" s="81"/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397</v>
      </c>
      <c r="B73" t="s">
        <v>434</v>
      </c>
      <c r="C73" s="81">
        <v>2025</v>
      </c>
      <c r="D73" t="s">
        <v>149</v>
      </c>
      <c r="E73" t="s">
        <v>438</v>
      </c>
      <c r="F73" s="85">
        <v>9</v>
      </c>
      <c r="G73" s="86">
        <v>9.33</v>
      </c>
      <c r="H73" s="86">
        <v>0.13</v>
      </c>
      <c r="I73" s="87">
        <v>-2.5</v>
      </c>
      <c r="J73" s="85">
        <v>8.9</v>
      </c>
      <c r="K73" s="85">
        <v>9.8000000000000007</v>
      </c>
      <c r="L73" t="s">
        <v>436</v>
      </c>
      <c r="M73" s="81">
        <v>3190</v>
      </c>
      <c r="N73" t="s">
        <v>447</v>
      </c>
      <c r="O73" s="85">
        <f t="shared" si="2"/>
        <v>-3.5369774919614154</v>
      </c>
      <c r="P73" s="85">
        <f t="shared" si="3"/>
        <v>3.5369774919614154</v>
      </c>
      <c r="Q73" s="81"/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397</v>
      </c>
      <c r="B74" t="s">
        <v>434</v>
      </c>
      <c r="C74" s="81">
        <v>2025</v>
      </c>
      <c r="D74" t="s">
        <v>149</v>
      </c>
      <c r="E74" t="s">
        <v>439</v>
      </c>
      <c r="F74" s="85">
        <v>9.9</v>
      </c>
      <c r="G74" s="86">
        <v>9.84</v>
      </c>
      <c r="H74" s="86">
        <v>0.25</v>
      </c>
      <c r="I74" s="87">
        <v>0.2</v>
      </c>
      <c r="J74" s="85">
        <v>9</v>
      </c>
      <c r="K74" s="85">
        <v>10.6</v>
      </c>
      <c r="L74" t="s">
        <v>436</v>
      </c>
      <c r="M74" s="81">
        <v>3193</v>
      </c>
      <c r="N74" t="s">
        <v>447</v>
      </c>
      <c r="O74" s="85">
        <f t="shared" si="2"/>
        <v>0.6097560975609807</v>
      </c>
      <c r="P74" s="85">
        <f t="shared" si="3"/>
        <v>0.6097560975609807</v>
      </c>
      <c r="Q74" s="81"/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397</v>
      </c>
      <c r="B75" t="s">
        <v>434</v>
      </c>
      <c r="C75" s="81">
        <v>2025</v>
      </c>
      <c r="D75" t="s">
        <v>149</v>
      </c>
      <c r="E75" t="s">
        <v>440</v>
      </c>
      <c r="F75" s="85">
        <v>9.1999999999999993</v>
      </c>
      <c r="G75" s="86">
        <v>9.4700000000000006</v>
      </c>
      <c r="H75" s="86">
        <v>0.19</v>
      </c>
      <c r="I75" s="87">
        <v>-1.4</v>
      </c>
      <c r="J75" s="85">
        <v>8.8000000000000007</v>
      </c>
      <c r="K75" s="85">
        <v>10.1</v>
      </c>
      <c r="L75" t="s">
        <v>436</v>
      </c>
      <c r="M75" s="81">
        <v>3185</v>
      </c>
      <c r="N75" t="s">
        <v>447</v>
      </c>
      <c r="O75" s="85">
        <f t="shared" si="2"/>
        <v>-2.8511087645195494</v>
      </c>
      <c r="P75" s="85">
        <f t="shared" si="3"/>
        <v>2.8511087645195494</v>
      </c>
      <c r="Q75" s="81"/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397</v>
      </c>
      <c r="B76" t="s">
        <v>434</v>
      </c>
      <c r="C76" s="81">
        <v>2025</v>
      </c>
      <c r="D76" t="s">
        <v>149</v>
      </c>
      <c r="E76" t="s">
        <v>441</v>
      </c>
      <c r="F76" s="85">
        <v>9.4</v>
      </c>
      <c r="G76" s="86">
        <v>9.6</v>
      </c>
      <c r="H76" s="86">
        <v>0.14000000000000001</v>
      </c>
      <c r="I76" s="87">
        <v>-1.4</v>
      </c>
      <c r="J76" s="85">
        <v>9.1</v>
      </c>
      <c r="K76" s="85">
        <v>10.1</v>
      </c>
      <c r="L76" t="s">
        <v>436</v>
      </c>
      <c r="M76" s="81">
        <v>3203</v>
      </c>
      <c r="N76" t="s">
        <v>447</v>
      </c>
      <c r="O76" s="85">
        <f t="shared" si="2"/>
        <v>-2.0833333333333259</v>
      </c>
      <c r="P76" s="85">
        <f t="shared" si="3"/>
        <v>2.0833333333333259</v>
      </c>
      <c r="Q76" s="81"/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397</v>
      </c>
      <c r="B77" t="s">
        <v>434</v>
      </c>
      <c r="C77" s="81">
        <v>2025</v>
      </c>
      <c r="D77" t="s">
        <v>424</v>
      </c>
      <c r="E77" t="s">
        <v>435</v>
      </c>
      <c r="F77" s="85">
        <v>12.1</v>
      </c>
      <c r="G77" s="86">
        <v>11.51</v>
      </c>
      <c r="H77" s="86">
        <v>1</v>
      </c>
      <c r="I77" s="87">
        <v>0.6</v>
      </c>
      <c r="J77" s="85">
        <v>8.5</v>
      </c>
      <c r="K77" s="85">
        <v>14.5</v>
      </c>
      <c r="L77" t="s">
        <v>436</v>
      </c>
      <c r="M77" s="81">
        <v>3303</v>
      </c>
      <c r="N77" t="s">
        <v>437</v>
      </c>
      <c r="O77" s="85">
        <f t="shared" si="2"/>
        <v>5.1259774109470015</v>
      </c>
      <c r="P77" s="85">
        <f t="shared" si="3"/>
        <v>5.1259774109470015</v>
      </c>
      <c r="Q77" s="81"/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397</v>
      </c>
      <c r="B78" t="s">
        <v>434</v>
      </c>
      <c r="C78" s="81">
        <v>2025</v>
      </c>
      <c r="D78" t="s">
        <v>424</v>
      </c>
      <c r="E78" t="s">
        <v>438</v>
      </c>
      <c r="F78" s="85">
        <v>12.1</v>
      </c>
      <c r="G78" s="86">
        <v>11.24</v>
      </c>
      <c r="H78" s="86">
        <v>0.86</v>
      </c>
      <c r="I78" s="87">
        <v>1</v>
      </c>
      <c r="J78" s="85">
        <v>8.6</v>
      </c>
      <c r="K78" s="85">
        <v>13.9</v>
      </c>
      <c r="L78" t="s">
        <v>436</v>
      </c>
      <c r="M78" s="81">
        <v>3305</v>
      </c>
      <c r="N78" t="s">
        <v>437</v>
      </c>
      <c r="O78" s="85">
        <f t="shared" si="2"/>
        <v>7.6512455516014182</v>
      </c>
      <c r="P78" s="85">
        <f t="shared" si="3"/>
        <v>7.6512455516014182</v>
      </c>
      <c r="Q78" s="81"/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397</v>
      </c>
      <c r="B79" t="s">
        <v>434</v>
      </c>
      <c r="C79" s="81">
        <v>2025</v>
      </c>
      <c r="D79" t="s">
        <v>424</v>
      </c>
      <c r="E79" t="s">
        <v>439</v>
      </c>
      <c r="F79" s="85">
        <v>10.5</v>
      </c>
      <c r="G79" s="86">
        <v>12.02</v>
      </c>
      <c r="H79" s="86">
        <v>1.27</v>
      </c>
      <c r="I79" s="87">
        <v>-1.2</v>
      </c>
      <c r="J79" s="85">
        <v>8.1999999999999993</v>
      </c>
      <c r="K79" s="85">
        <v>15.9</v>
      </c>
      <c r="L79" t="s">
        <v>436</v>
      </c>
      <c r="M79" s="81">
        <v>3311</v>
      </c>
      <c r="N79" t="s">
        <v>437</v>
      </c>
      <c r="O79" s="85">
        <f t="shared" si="2"/>
        <v>-12.645590682196337</v>
      </c>
      <c r="P79" s="85">
        <f t="shared" si="3"/>
        <v>12.645590682196337</v>
      </c>
      <c r="Q79" s="81"/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397</v>
      </c>
      <c r="B80" t="s">
        <v>434</v>
      </c>
      <c r="C80" s="81">
        <v>2025</v>
      </c>
      <c r="D80" t="s">
        <v>424</v>
      </c>
      <c r="E80" t="s">
        <v>440</v>
      </c>
      <c r="F80" s="85">
        <v>12.4</v>
      </c>
      <c r="G80" s="86">
        <v>12.36</v>
      </c>
      <c r="H80" s="86">
        <v>1.01</v>
      </c>
      <c r="I80" s="87">
        <v>0</v>
      </c>
      <c r="J80" s="85">
        <v>9.3000000000000007</v>
      </c>
      <c r="K80" s="85">
        <v>15.4</v>
      </c>
      <c r="L80" t="s">
        <v>436</v>
      </c>
      <c r="M80" s="81">
        <v>3287</v>
      </c>
      <c r="N80" t="s">
        <v>437</v>
      </c>
      <c r="O80" s="85">
        <f t="shared" si="2"/>
        <v>0.32362459546926314</v>
      </c>
      <c r="P80" s="85">
        <f t="shared" si="3"/>
        <v>0.32362459546926314</v>
      </c>
      <c r="Q80" s="81"/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397</v>
      </c>
      <c r="B81" t="s">
        <v>434</v>
      </c>
      <c r="C81" s="81">
        <v>2025</v>
      </c>
      <c r="D81" t="s">
        <v>424</v>
      </c>
      <c r="E81" t="s">
        <v>441</v>
      </c>
      <c r="F81" s="85">
        <v>12</v>
      </c>
      <c r="G81" s="86">
        <v>12.34</v>
      </c>
      <c r="H81" s="86">
        <v>0.88</v>
      </c>
      <c r="I81" s="87">
        <v>-0.4</v>
      </c>
      <c r="J81" s="85">
        <v>9.6</v>
      </c>
      <c r="K81" s="85">
        <v>15</v>
      </c>
      <c r="L81" t="s">
        <v>436</v>
      </c>
      <c r="M81" s="81">
        <v>3307</v>
      </c>
      <c r="N81" t="s">
        <v>437</v>
      </c>
      <c r="O81" s="85">
        <f t="shared" si="2"/>
        <v>-2.7552674230145855</v>
      </c>
      <c r="P81" s="85">
        <f t="shared" si="3"/>
        <v>2.7552674230145855</v>
      </c>
      <c r="Q81" s="81"/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397</v>
      </c>
      <c r="B82" t="s">
        <v>434</v>
      </c>
      <c r="C82" s="81">
        <v>2025</v>
      </c>
      <c r="D82" t="s">
        <v>425</v>
      </c>
      <c r="E82" t="s">
        <v>435</v>
      </c>
      <c r="F82" s="85">
        <v>0.75</v>
      </c>
      <c r="G82" s="86">
        <v>0.72099999999999997</v>
      </c>
      <c r="H82" s="86">
        <v>6.5000000000000002E-2</v>
      </c>
      <c r="I82" s="87">
        <v>0.5</v>
      </c>
      <c r="J82" s="85">
        <v>0.52</v>
      </c>
      <c r="K82" s="85">
        <v>0.92</v>
      </c>
      <c r="L82" t="s">
        <v>436</v>
      </c>
      <c r="M82" s="81">
        <v>3308</v>
      </c>
      <c r="N82" t="s">
        <v>442</v>
      </c>
      <c r="O82" s="85">
        <f t="shared" si="2"/>
        <v>4.0221914008321811</v>
      </c>
      <c r="P82" s="85">
        <f t="shared" si="3"/>
        <v>4.0221914008321811</v>
      </c>
      <c r="Q82" s="81"/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397</v>
      </c>
      <c r="B83" t="s">
        <v>434</v>
      </c>
      <c r="C83" s="81">
        <v>2025</v>
      </c>
      <c r="D83" t="s">
        <v>425</v>
      </c>
      <c r="E83" t="s">
        <v>438</v>
      </c>
      <c r="F83" s="85">
        <v>2.0499999999999998</v>
      </c>
      <c r="G83" s="86">
        <v>1.9259999999999999</v>
      </c>
      <c r="H83" s="86">
        <v>0.151</v>
      </c>
      <c r="I83" s="87">
        <v>0.8</v>
      </c>
      <c r="J83" s="85">
        <v>1.47</v>
      </c>
      <c r="K83" s="85">
        <v>2.38</v>
      </c>
      <c r="L83" t="s">
        <v>436</v>
      </c>
      <c r="M83" s="81">
        <v>3298</v>
      </c>
      <c r="N83" t="s">
        <v>442</v>
      </c>
      <c r="O83" s="85">
        <f t="shared" si="2"/>
        <v>6.438213914849424</v>
      </c>
      <c r="P83" s="85">
        <f t="shared" si="3"/>
        <v>6.438213914849424</v>
      </c>
      <c r="Q83" s="81"/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397</v>
      </c>
      <c r="B84" t="s">
        <v>434</v>
      </c>
      <c r="C84" s="81">
        <v>2025</v>
      </c>
      <c r="D84" t="s">
        <v>425</v>
      </c>
      <c r="E84" t="s">
        <v>439</v>
      </c>
      <c r="F84" s="85">
        <v>0.28000000000000003</v>
      </c>
      <c r="G84" s="86">
        <v>0.34</v>
      </c>
      <c r="H84" s="86">
        <v>3.7999999999999999E-2</v>
      </c>
      <c r="I84" s="87">
        <v>-1.6</v>
      </c>
      <c r="J84" s="85">
        <v>0.22</v>
      </c>
      <c r="K84" s="85">
        <v>0.46</v>
      </c>
      <c r="L84" t="s">
        <v>436</v>
      </c>
      <c r="M84" s="81">
        <v>3326</v>
      </c>
      <c r="N84" t="s">
        <v>442</v>
      </c>
      <c r="O84" s="85">
        <f t="shared" si="2"/>
        <v>-17.647058823529409</v>
      </c>
      <c r="P84" s="85">
        <f t="shared" si="3"/>
        <v>17.647058823529409</v>
      </c>
      <c r="Q84" s="81"/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397</v>
      </c>
      <c r="B85" t="s">
        <v>434</v>
      </c>
      <c r="C85" s="81">
        <v>2025</v>
      </c>
      <c r="D85" t="s">
        <v>425</v>
      </c>
      <c r="E85" t="s">
        <v>440</v>
      </c>
      <c r="F85" s="85">
        <v>0.36</v>
      </c>
      <c r="G85" s="86">
        <v>0.35799999999999998</v>
      </c>
      <c r="H85" s="86">
        <v>3.2000000000000001E-2</v>
      </c>
      <c r="I85" s="87">
        <v>0.1</v>
      </c>
      <c r="J85" s="85">
        <v>0.26</v>
      </c>
      <c r="K85" s="85">
        <v>0.46</v>
      </c>
      <c r="L85" t="s">
        <v>436</v>
      </c>
      <c r="M85" s="81">
        <v>3301</v>
      </c>
      <c r="N85" t="s">
        <v>442</v>
      </c>
      <c r="O85" s="85">
        <f t="shared" si="2"/>
        <v>0.55865921787709549</v>
      </c>
      <c r="P85" s="85">
        <f t="shared" si="3"/>
        <v>0.55865921787709549</v>
      </c>
      <c r="Q85" s="81"/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397</v>
      </c>
      <c r="B86" t="s">
        <v>434</v>
      </c>
      <c r="C86" s="81">
        <v>2025</v>
      </c>
      <c r="D86" t="s">
        <v>425</v>
      </c>
      <c r="E86" t="s">
        <v>441</v>
      </c>
      <c r="F86" s="85">
        <v>0.92</v>
      </c>
      <c r="G86" s="86">
        <v>0.96799999999999997</v>
      </c>
      <c r="H86" s="86">
        <v>7.2999999999999995E-2</v>
      </c>
      <c r="I86" s="87">
        <v>-0.7</v>
      </c>
      <c r="J86" s="85">
        <v>0.74</v>
      </c>
      <c r="K86" s="85">
        <v>1.19</v>
      </c>
      <c r="L86" t="s">
        <v>436</v>
      </c>
      <c r="M86" s="81">
        <v>3310</v>
      </c>
      <c r="N86" t="s">
        <v>442</v>
      </c>
      <c r="O86" s="85">
        <f t="shared" si="2"/>
        <v>-4.9586776859504065</v>
      </c>
      <c r="P86" s="85">
        <f t="shared" si="3"/>
        <v>4.9586776859504065</v>
      </c>
      <c r="Q86" s="81"/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397</v>
      </c>
      <c r="B87" t="s">
        <v>434</v>
      </c>
      <c r="C87" s="81">
        <v>2025</v>
      </c>
      <c r="D87" t="s">
        <v>426</v>
      </c>
      <c r="E87" t="s">
        <v>435</v>
      </c>
      <c r="F87" s="85">
        <v>43.1</v>
      </c>
      <c r="G87" s="86">
        <v>44.93</v>
      </c>
      <c r="H87" s="86">
        <v>0.96</v>
      </c>
      <c r="I87" s="87">
        <v>-1.9</v>
      </c>
      <c r="J87" s="85">
        <v>42</v>
      </c>
      <c r="K87" s="85">
        <v>47.9</v>
      </c>
      <c r="L87" t="s">
        <v>436</v>
      </c>
      <c r="M87" s="81">
        <v>3303</v>
      </c>
      <c r="N87" t="s">
        <v>437</v>
      </c>
      <c r="O87" s="85">
        <f t="shared" si="2"/>
        <v>-4.0730024482528338</v>
      </c>
      <c r="P87" s="85">
        <f t="shared" si="3"/>
        <v>4.0730024482528338</v>
      </c>
      <c r="Q87" s="81"/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397</v>
      </c>
      <c r="B88" t="s">
        <v>434</v>
      </c>
      <c r="C88" s="81">
        <v>2025</v>
      </c>
      <c r="D88" t="s">
        <v>426</v>
      </c>
      <c r="E88" t="s">
        <v>438</v>
      </c>
      <c r="F88" s="85">
        <v>47.6</v>
      </c>
      <c r="G88" s="86">
        <v>48.46</v>
      </c>
      <c r="H88" s="86">
        <v>0.91</v>
      </c>
      <c r="I88" s="87">
        <v>-0.9</v>
      </c>
      <c r="J88" s="85">
        <v>45.7</v>
      </c>
      <c r="K88" s="85">
        <v>51.2</v>
      </c>
      <c r="L88" t="s">
        <v>436</v>
      </c>
      <c r="M88" s="81">
        <v>3304</v>
      </c>
      <c r="N88" t="s">
        <v>437</v>
      </c>
      <c r="O88" s="85">
        <f t="shared" si="2"/>
        <v>-1.7746595130004115</v>
      </c>
      <c r="P88" s="85">
        <f t="shared" si="3"/>
        <v>1.7746595130004115</v>
      </c>
      <c r="Q88" s="81"/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397</v>
      </c>
      <c r="B89" t="s">
        <v>434</v>
      </c>
      <c r="C89" s="81">
        <v>2025</v>
      </c>
      <c r="D89" t="s">
        <v>426</v>
      </c>
      <c r="E89" t="s">
        <v>439</v>
      </c>
      <c r="F89" s="85">
        <v>38.9</v>
      </c>
      <c r="G89" s="86">
        <v>40.299999999999997</v>
      </c>
      <c r="H89" s="86">
        <v>1.1299999999999999</v>
      </c>
      <c r="I89" s="87">
        <v>-1.2</v>
      </c>
      <c r="J89" s="85">
        <v>36.9</v>
      </c>
      <c r="K89" s="85">
        <v>43.7</v>
      </c>
      <c r="L89" t="s">
        <v>436</v>
      </c>
      <c r="M89" s="81">
        <v>3301</v>
      </c>
      <c r="N89" t="s">
        <v>437</v>
      </c>
      <c r="O89" s="85">
        <f t="shared" si="2"/>
        <v>-3.4739454094292772</v>
      </c>
      <c r="P89" s="85">
        <f t="shared" si="3"/>
        <v>3.4739454094292772</v>
      </c>
      <c r="Q89" s="81"/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397</v>
      </c>
      <c r="B90" t="s">
        <v>434</v>
      </c>
      <c r="C90" s="81">
        <v>2025</v>
      </c>
      <c r="D90" t="s">
        <v>426</v>
      </c>
      <c r="E90" t="s">
        <v>440</v>
      </c>
      <c r="F90" s="85">
        <v>41.8</v>
      </c>
      <c r="G90" s="86">
        <v>44.56</v>
      </c>
      <c r="H90" s="86">
        <v>1.1299999999999999</v>
      </c>
      <c r="I90" s="87">
        <v>-2.4</v>
      </c>
      <c r="J90" s="85">
        <v>41.4</v>
      </c>
      <c r="K90" s="85">
        <v>48</v>
      </c>
      <c r="L90" t="s">
        <v>436</v>
      </c>
      <c r="M90" s="81">
        <v>3289</v>
      </c>
      <c r="N90" t="s">
        <v>437</v>
      </c>
      <c r="O90" s="85">
        <f t="shared" si="2"/>
        <v>-6.1938958707360969</v>
      </c>
      <c r="P90" s="85">
        <f t="shared" si="3"/>
        <v>6.1938958707360969</v>
      </c>
      <c r="Q90" s="81"/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397</v>
      </c>
      <c r="B91" t="s">
        <v>434</v>
      </c>
      <c r="C91" s="81">
        <v>2025</v>
      </c>
      <c r="D91" t="s">
        <v>426</v>
      </c>
      <c r="E91" t="s">
        <v>441</v>
      </c>
      <c r="F91" s="85">
        <v>44.9</v>
      </c>
      <c r="G91" s="86">
        <v>44.74</v>
      </c>
      <c r="H91" s="86">
        <v>0.91</v>
      </c>
      <c r="I91" s="87">
        <v>0.2</v>
      </c>
      <c r="J91" s="85">
        <v>42</v>
      </c>
      <c r="K91" s="85">
        <v>47.5</v>
      </c>
      <c r="L91" t="s">
        <v>436</v>
      </c>
      <c r="M91" s="81">
        <v>3307</v>
      </c>
      <c r="N91" t="s">
        <v>437</v>
      </c>
      <c r="O91" s="85">
        <f t="shared" si="2"/>
        <v>0.35762181493070316</v>
      </c>
      <c r="P91" s="85">
        <f t="shared" si="3"/>
        <v>0.35762181493070316</v>
      </c>
      <c r="Q91" s="81"/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397</v>
      </c>
      <c r="B92" t="s">
        <v>434</v>
      </c>
      <c r="C92" s="81">
        <v>2025</v>
      </c>
      <c r="D92" t="s">
        <v>427</v>
      </c>
      <c r="E92" t="s">
        <v>435</v>
      </c>
      <c r="F92" s="85">
        <v>2.68</v>
      </c>
      <c r="G92" s="86">
        <v>2.8159999999999998</v>
      </c>
      <c r="H92" s="86">
        <v>8.3000000000000004E-2</v>
      </c>
      <c r="I92" s="87">
        <v>-1.6</v>
      </c>
      <c r="J92" s="85">
        <v>2.56</v>
      </c>
      <c r="K92" s="85">
        <v>3.07</v>
      </c>
      <c r="L92" t="s">
        <v>436</v>
      </c>
      <c r="M92" s="81">
        <v>3301</v>
      </c>
      <c r="N92" t="s">
        <v>442</v>
      </c>
      <c r="O92" s="85">
        <f t="shared" si="2"/>
        <v>-4.8295454545454435</v>
      </c>
      <c r="P92" s="85">
        <f t="shared" si="3"/>
        <v>4.8295454545454435</v>
      </c>
      <c r="Q92" s="81"/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397</v>
      </c>
      <c r="B93" t="s">
        <v>434</v>
      </c>
      <c r="C93" s="81">
        <v>2025</v>
      </c>
      <c r="D93" t="s">
        <v>427</v>
      </c>
      <c r="E93" t="s">
        <v>438</v>
      </c>
      <c r="F93" s="85">
        <v>8.02</v>
      </c>
      <c r="G93" s="86">
        <v>8.3070000000000004</v>
      </c>
      <c r="H93" s="86">
        <v>0.20100000000000001</v>
      </c>
      <c r="I93" s="87">
        <v>-1.4</v>
      </c>
      <c r="J93" s="85">
        <v>7.7</v>
      </c>
      <c r="K93" s="85">
        <v>8.91</v>
      </c>
      <c r="L93" t="s">
        <v>436</v>
      </c>
      <c r="M93" s="81">
        <v>3302</v>
      </c>
      <c r="N93" t="s">
        <v>442</v>
      </c>
      <c r="O93" s="85">
        <f t="shared" si="2"/>
        <v>-3.4549175394245917</v>
      </c>
      <c r="P93" s="85">
        <f t="shared" si="3"/>
        <v>3.4549175394245917</v>
      </c>
      <c r="Q93" s="81"/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397</v>
      </c>
      <c r="B94" t="s">
        <v>434</v>
      </c>
      <c r="C94" s="81">
        <v>2025</v>
      </c>
      <c r="D94" t="s">
        <v>427</v>
      </c>
      <c r="E94" t="s">
        <v>439</v>
      </c>
      <c r="F94" s="85">
        <v>1.04</v>
      </c>
      <c r="G94" s="86">
        <v>1.141</v>
      </c>
      <c r="H94" s="86">
        <v>4.2000000000000003E-2</v>
      </c>
      <c r="I94" s="87">
        <v>-2.4</v>
      </c>
      <c r="J94" s="85">
        <v>1.01</v>
      </c>
      <c r="K94" s="85">
        <v>1.27</v>
      </c>
      <c r="L94" t="s">
        <v>436</v>
      </c>
      <c r="M94" s="81">
        <v>3306</v>
      </c>
      <c r="N94" t="s">
        <v>442</v>
      </c>
      <c r="O94" s="85">
        <f t="shared" si="2"/>
        <v>-8.8518843120070088</v>
      </c>
      <c r="P94" s="85">
        <f t="shared" si="3"/>
        <v>8.8518843120070088</v>
      </c>
      <c r="Q94" s="81"/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397</v>
      </c>
      <c r="B95" t="s">
        <v>434</v>
      </c>
      <c r="C95" s="81">
        <v>2025</v>
      </c>
      <c r="D95" t="s">
        <v>427</v>
      </c>
      <c r="E95" t="s">
        <v>440</v>
      </c>
      <c r="F95" s="85">
        <v>1.21</v>
      </c>
      <c r="G95" s="86">
        <v>1.292</v>
      </c>
      <c r="H95" s="86">
        <v>4.4999999999999998E-2</v>
      </c>
      <c r="I95" s="87">
        <v>-1.8</v>
      </c>
      <c r="J95" s="85">
        <v>1.1499999999999999</v>
      </c>
      <c r="K95" s="85">
        <v>1.43</v>
      </c>
      <c r="L95" t="s">
        <v>436</v>
      </c>
      <c r="M95" s="81">
        <v>3294</v>
      </c>
      <c r="N95" t="s">
        <v>442</v>
      </c>
      <c r="O95" s="85">
        <f t="shared" si="2"/>
        <v>-6.3467492260061968</v>
      </c>
      <c r="P95" s="85">
        <f t="shared" si="3"/>
        <v>6.3467492260061968</v>
      </c>
      <c r="Q95" s="81"/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397</v>
      </c>
      <c r="B96" t="s">
        <v>434</v>
      </c>
      <c r="C96" s="81">
        <v>2025</v>
      </c>
      <c r="D96" t="s">
        <v>427</v>
      </c>
      <c r="E96" t="s">
        <v>441</v>
      </c>
      <c r="F96" s="85">
        <v>3.41</v>
      </c>
      <c r="G96" s="86">
        <v>3.5150000000000001</v>
      </c>
      <c r="H96" s="86">
        <v>9.6000000000000002E-2</v>
      </c>
      <c r="I96" s="87">
        <v>-1.1000000000000001</v>
      </c>
      <c r="J96" s="85">
        <v>3.22</v>
      </c>
      <c r="K96" s="85">
        <v>3.81</v>
      </c>
      <c r="L96" t="s">
        <v>436</v>
      </c>
      <c r="M96" s="81">
        <v>3306</v>
      </c>
      <c r="N96" t="s">
        <v>442</v>
      </c>
      <c r="O96" s="85">
        <f t="shared" si="2"/>
        <v>-2.9871977240398286</v>
      </c>
      <c r="P96" s="85">
        <f t="shared" si="3"/>
        <v>2.9871977240398286</v>
      </c>
      <c r="Q96" s="81"/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397</v>
      </c>
      <c r="B97" t="s">
        <v>434</v>
      </c>
      <c r="C97" s="81">
        <v>2025</v>
      </c>
      <c r="D97" t="s">
        <v>428</v>
      </c>
      <c r="E97" t="s">
        <v>435</v>
      </c>
      <c r="F97" s="85">
        <v>207</v>
      </c>
      <c r="G97" s="86">
        <v>208.2</v>
      </c>
      <c r="H97" s="86">
        <v>5.9</v>
      </c>
      <c r="I97" s="87">
        <v>-0.2</v>
      </c>
      <c r="J97" s="85">
        <v>156</v>
      </c>
      <c r="K97" s="85">
        <v>261</v>
      </c>
      <c r="L97" t="s">
        <v>436</v>
      </c>
      <c r="M97" s="81">
        <v>3390</v>
      </c>
      <c r="N97" t="s">
        <v>442</v>
      </c>
      <c r="O97" s="85">
        <f t="shared" si="2"/>
        <v>-0.57636887608068621</v>
      </c>
      <c r="P97" s="85">
        <f t="shared" si="3"/>
        <v>0.57636887608068621</v>
      </c>
      <c r="Q97" s="81"/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397</v>
      </c>
      <c r="B98" t="s">
        <v>434</v>
      </c>
      <c r="C98" s="81">
        <v>2025</v>
      </c>
      <c r="D98" t="s">
        <v>428</v>
      </c>
      <c r="E98" t="s">
        <v>438</v>
      </c>
      <c r="F98" s="85">
        <v>496</v>
      </c>
      <c r="G98" s="86">
        <v>494.8</v>
      </c>
      <c r="H98" s="86">
        <v>10.6</v>
      </c>
      <c r="I98" s="87">
        <v>0.1</v>
      </c>
      <c r="J98" s="85">
        <v>371</v>
      </c>
      <c r="K98" s="85">
        <v>619</v>
      </c>
      <c r="L98" t="s">
        <v>436</v>
      </c>
      <c r="M98" s="81">
        <v>3390</v>
      </c>
      <c r="N98" t="s">
        <v>442</v>
      </c>
      <c r="O98" s="85">
        <f t="shared" si="2"/>
        <v>0.24252223120452476</v>
      </c>
      <c r="P98" s="85">
        <f t="shared" si="3"/>
        <v>0.24252223120452476</v>
      </c>
      <c r="Q98" s="81"/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397</v>
      </c>
      <c r="B99" t="s">
        <v>434</v>
      </c>
      <c r="C99" s="81">
        <v>2025</v>
      </c>
      <c r="D99" t="s">
        <v>428</v>
      </c>
      <c r="E99" t="s">
        <v>439</v>
      </c>
      <c r="F99" s="85">
        <v>52</v>
      </c>
      <c r="G99" s="86">
        <v>50.8</v>
      </c>
      <c r="H99" s="86">
        <v>2.7</v>
      </c>
      <c r="I99" s="87">
        <v>0.4</v>
      </c>
      <c r="J99" s="85">
        <v>38</v>
      </c>
      <c r="K99" s="85">
        <v>64</v>
      </c>
      <c r="L99" t="s">
        <v>436</v>
      </c>
      <c r="M99" s="81">
        <v>3384</v>
      </c>
      <c r="N99" t="s">
        <v>442</v>
      </c>
      <c r="O99" s="85">
        <f t="shared" si="2"/>
        <v>2.3622047244094548</v>
      </c>
      <c r="P99" s="85">
        <f t="shared" si="3"/>
        <v>2.3622047244094548</v>
      </c>
      <c r="Q99" s="81"/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397</v>
      </c>
      <c r="B100" t="s">
        <v>434</v>
      </c>
      <c r="C100" s="81">
        <v>2025</v>
      </c>
      <c r="D100" t="s">
        <v>428</v>
      </c>
      <c r="E100" t="s">
        <v>440</v>
      </c>
      <c r="F100" s="85">
        <v>121</v>
      </c>
      <c r="G100" s="86">
        <v>120.8</v>
      </c>
      <c r="H100" s="86">
        <v>4.4000000000000004</v>
      </c>
      <c r="I100" s="87">
        <v>0</v>
      </c>
      <c r="J100" s="85">
        <v>90</v>
      </c>
      <c r="K100" s="85">
        <v>152</v>
      </c>
      <c r="L100" t="s">
        <v>436</v>
      </c>
      <c r="M100" s="81">
        <v>3376</v>
      </c>
      <c r="N100" t="s">
        <v>442</v>
      </c>
      <c r="O100" s="85">
        <f t="shared" si="2"/>
        <v>0.16556291390728714</v>
      </c>
      <c r="P100" s="85">
        <f t="shared" si="3"/>
        <v>0.16556291390728714</v>
      </c>
      <c r="Q100" s="81"/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397</v>
      </c>
      <c r="B101" t="s">
        <v>434</v>
      </c>
      <c r="C101" s="81">
        <v>2025</v>
      </c>
      <c r="D101" t="s">
        <v>428</v>
      </c>
      <c r="E101" t="s">
        <v>441</v>
      </c>
      <c r="F101" s="85">
        <v>291</v>
      </c>
      <c r="G101" s="86">
        <v>299.2</v>
      </c>
      <c r="H101" s="86">
        <v>9</v>
      </c>
      <c r="I101" s="87">
        <v>-0.9</v>
      </c>
      <c r="J101" s="85">
        <v>224</v>
      </c>
      <c r="K101" s="85">
        <v>375</v>
      </c>
      <c r="L101" t="s">
        <v>436</v>
      </c>
      <c r="M101" s="81">
        <v>3388</v>
      </c>
      <c r="N101" t="s">
        <v>442</v>
      </c>
      <c r="O101" s="85">
        <f t="shared" si="2"/>
        <v>-2.740641711229943</v>
      </c>
      <c r="P101" s="85">
        <f t="shared" si="3"/>
        <v>2.740641711229943</v>
      </c>
      <c r="Q101" s="81"/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397</v>
      </c>
      <c r="B102" t="s">
        <v>434</v>
      </c>
      <c r="C102" s="81">
        <v>2025</v>
      </c>
      <c r="D102" t="s">
        <v>429</v>
      </c>
      <c r="E102" t="s">
        <v>435</v>
      </c>
      <c r="F102" s="85">
        <v>16.399999999999999</v>
      </c>
      <c r="G102" s="86">
        <v>16.190000000000001</v>
      </c>
      <c r="H102" s="86">
        <v>0.11</v>
      </c>
      <c r="I102" s="87">
        <v>1.9</v>
      </c>
      <c r="J102" s="85">
        <v>15.8</v>
      </c>
      <c r="K102" s="85">
        <v>16.600000000000001</v>
      </c>
      <c r="L102" t="s">
        <v>436</v>
      </c>
      <c r="M102" s="81">
        <v>2837</v>
      </c>
      <c r="N102" t="s">
        <v>437</v>
      </c>
      <c r="O102" s="85">
        <f t="shared" si="2"/>
        <v>1.2970969734403786</v>
      </c>
      <c r="P102" s="85">
        <f t="shared" si="3"/>
        <v>1.2970969734403786</v>
      </c>
      <c r="Q102" s="81"/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397</v>
      </c>
      <c r="B103" t="s">
        <v>434</v>
      </c>
      <c r="C103" s="81">
        <v>2025</v>
      </c>
      <c r="D103" t="s">
        <v>429</v>
      </c>
      <c r="E103" t="s">
        <v>438</v>
      </c>
      <c r="F103" s="85">
        <v>15</v>
      </c>
      <c r="G103" s="86">
        <v>14.84</v>
      </c>
      <c r="H103" s="86">
        <v>0.13</v>
      </c>
      <c r="I103" s="87">
        <v>1.3</v>
      </c>
      <c r="J103" s="85">
        <v>14.4</v>
      </c>
      <c r="K103" s="85">
        <v>15.3</v>
      </c>
      <c r="L103" t="s">
        <v>436</v>
      </c>
      <c r="M103" s="81">
        <v>2842</v>
      </c>
      <c r="N103" t="s">
        <v>437</v>
      </c>
      <c r="O103" s="85">
        <f t="shared" si="2"/>
        <v>1.078167115902966</v>
      </c>
      <c r="P103" s="85">
        <f t="shared" si="3"/>
        <v>1.078167115902966</v>
      </c>
      <c r="Q103" s="81"/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397</v>
      </c>
      <c r="B104" t="s">
        <v>434</v>
      </c>
      <c r="C104" s="81">
        <v>2025</v>
      </c>
      <c r="D104" t="s">
        <v>429</v>
      </c>
      <c r="E104" t="s">
        <v>439</v>
      </c>
      <c r="F104" s="85">
        <v>18.899999999999999</v>
      </c>
      <c r="G104" s="86">
        <v>18.559999999999999</v>
      </c>
      <c r="H104" s="86">
        <v>0.13</v>
      </c>
      <c r="I104" s="87">
        <v>2.6</v>
      </c>
      <c r="J104" s="85">
        <v>18.100000000000001</v>
      </c>
      <c r="K104" s="85">
        <v>19</v>
      </c>
      <c r="L104" t="s">
        <v>436</v>
      </c>
      <c r="M104" s="81">
        <v>2836</v>
      </c>
      <c r="N104" t="s">
        <v>437</v>
      </c>
      <c r="O104" s="85">
        <f t="shared" si="2"/>
        <v>1.8318965517241375</v>
      </c>
      <c r="P104" s="85">
        <f t="shared" si="3"/>
        <v>1.8318965517241375</v>
      </c>
      <c r="Q104" s="81"/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397</v>
      </c>
      <c r="B105" t="s">
        <v>434</v>
      </c>
      <c r="C105" s="81">
        <v>2025</v>
      </c>
      <c r="D105" t="s">
        <v>429</v>
      </c>
      <c r="E105" t="s">
        <v>440</v>
      </c>
      <c r="F105" s="85">
        <v>15</v>
      </c>
      <c r="G105" s="86">
        <v>14.86</v>
      </c>
      <c r="H105" s="86">
        <v>0.12</v>
      </c>
      <c r="I105" s="87">
        <v>1.2</v>
      </c>
      <c r="J105" s="85">
        <v>14.5</v>
      </c>
      <c r="K105" s="85">
        <v>15.3</v>
      </c>
      <c r="L105" t="s">
        <v>436</v>
      </c>
      <c r="M105" s="81">
        <v>2827</v>
      </c>
      <c r="N105" t="s">
        <v>437</v>
      </c>
      <c r="O105" s="85">
        <f t="shared" si="2"/>
        <v>0.94212651413190152</v>
      </c>
      <c r="P105" s="85">
        <f t="shared" si="3"/>
        <v>0.94212651413190152</v>
      </c>
      <c r="Q105" s="81"/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397</v>
      </c>
      <c r="B106" t="s">
        <v>434</v>
      </c>
      <c r="C106" s="81">
        <v>2025</v>
      </c>
      <c r="D106" t="s">
        <v>429</v>
      </c>
      <c r="E106" t="s">
        <v>441</v>
      </c>
      <c r="F106" s="85">
        <v>17.899999999999999</v>
      </c>
      <c r="G106" s="86">
        <v>17.600000000000001</v>
      </c>
      <c r="H106" s="86">
        <v>0.13</v>
      </c>
      <c r="I106" s="87">
        <v>2.4</v>
      </c>
      <c r="J106" s="85">
        <v>17.2</v>
      </c>
      <c r="K106" s="85">
        <v>18</v>
      </c>
      <c r="L106" t="s">
        <v>436</v>
      </c>
      <c r="M106" s="81">
        <v>2832</v>
      </c>
      <c r="N106" t="s">
        <v>437</v>
      </c>
      <c r="O106" s="85">
        <f t="shared" si="2"/>
        <v>1.7045454545454382</v>
      </c>
      <c r="P106" s="85">
        <f t="shared" si="3"/>
        <v>1.7045454545454382</v>
      </c>
      <c r="Q106" s="81"/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397</v>
      </c>
      <c r="B107" t="s">
        <v>434</v>
      </c>
      <c r="C107" s="81">
        <v>2025</v>
      </c>
      <c r="D107" t="s">
        <v>430</v>
      </c>
      <c r="E107" t="s">
        <v>435</v>
      </c>
      <c r="F107" s="85">
        <v>4.3</v>
      </c>
      <c r="G107" s="86">
        <v>4.2569999999999997</v>
      </c>
      <c r="H107" s="86">
        <v>4.1000000000000002E-2</v>
      </c>
      <c r="I107" s="87">
        <v>1</v>
      </c>
      <c r="J107" s="85">
        <v>4.08</v>
      </c>
      <c r="K107" s="85">
        <v>4.43</v>
      </c>
      <c r="L107" t="s">
        <v>436</v>
      </c>
      <c r="M107" s="81">
        <v>3378</v>
      </c>
      <c r="N107" t="s">
        <v>448</v>
      </c>
      <c r="O107" s="85">
        <f t="shared" si="2"/>
        <v>1.0101010101010137</v>
      </c>
      <c r="P107" s="85">
        <f t="shared" si="3"/>
        <v>1.0101010101010137</v>
      </c>
      <c r="Q107" s="81"/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397</v>
      </c>
      <c r="B108" t="s">
        <v>434</v>
      </c>
      <c r="C108" s="81">
        <v>2025</v>
      </c>
      <c r="D108" t="s">
        <v>430</v>
      </c>
      <c r="E108" t="s">
        <v>438</v>
      </c>
      <c r="F108" s="85">
        <v>5.23</v>
      </c>
      <c r="G108" s="86">
        <v>5.2119999999999997</v>
      </c>
      <c r="H108" s="86">
        <v>5.0999999999999997E-2</v>
      </c>
      <c r="I108" s="87">
        <v>0.3</v>
      </c>
      <c r="J108" s="85">
        <v>5</v>
      </c>
      <c r="K108" s="85">
        <v>5.43</v>
      </c>
      <c r="L108" t="s">
        <v>436</v>
      </c>
      <c r="M108" s="81">
        <v>3377</v>
      </c>
      <c r="N108" t="s">
        <v>448</v>
      </c>
      <c r="O108" s="85">
        <f t="shared" si="2"/>
        <v>0.34535686876440297</v>
      </c>
      <c r="P108" s="85">
        <f t="shared" si="3"/>
        <v>0.34535686876440297</v>
      </c>
      <c r="Q108" s="81"/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397</v>
      </c>
      <c r="B109" t="s">
        <v>434</v>
      </c>
      <c r="C109" s="81">
        <v>2025</v>
      </c>
      <c r="D109" t="s">
        <v>430</v>
      </c>
      <c r="E109" t="s">
        <v>439</v>
      </c>
      <c r="F109" s="85">
        <v>2.2200000000000002</v>
      </c>
      <c r="G109" s="86">
        <v>2.2109999999999999</v>
      </c>
      <c r="H109" s="86">
        <v>2.8000000000000001E-2</v>
      </c>
      <c r="I109" s="87">
        <v>0.3</v>
      </c>
      <c r="J109" s="85">
        <v>2.12</v>
      </c>
      <c r="K109" s="85">
        <v>2.2999999999999998</v>
      </c>
      <c r="L109" t="s">
        <v>436</v>
      </c>
      <c r="M109" s="81">
        <v>3382</v>
      </c>
      <c r="N109" t="s">
        <v>448</v>
      </c>
      <c r="O109" s="85">
        <f t="shared" si="2"/>
        <v>0.40705563093624342</v>
      </c>
      <c r="P109" s="85">
        <f t="shared" si="3"/>
        <v>0.40705563093624342</v>
      </c>
      <c r="Q109" s="81"/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397</v>
      </c>
      <c r="B110" t="s">
        <v>434</v>
      </c>
      <c r="C110" s="81">
        <v>2025</v>
      </c>
      <c r="D110" t="s">
        <v>430</v>
      </c>
      <c r="E110" t="s">
        <v>440</v>
      </c>
      <c r="F110" s="85">
        <v>5.31</v>
      </c>
      <c r="G110" s="86">
        <v>5.2350000000000003</v>
      </c>
      <c r="H110" s="86">
        <v>0.05</v>
      </c>
      <c r="I110" s="87">
        <v>1.5</v>
      </c>
      <c r="J110" s="85">
        <v>5.0199999999999996</v>
      </c>
      <c r="K110" s="85">
        <v>5.45</v>
      </c>
      <c r="L110" t="s">
        <v>436</v>
      </c>
      <c r="M110" s="81">
        <v>3373</v>
      </c>
      <c r="N110" t="s">
        <v>448</v>
      </c>
      <c r="O110" s="85">
        <f t="shared" si="2"/>
        <v>1.4326647564469779</v>
      </c>
      <c r="P110" s="85">
        <f t="shared" si="3"/>
        <v>1.4326647564469779</v>
      </c>
      <c r="Q110" s="81"/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397</v>
      </c>
      <c r="B111" t="s">
        <v>434</v>
      </c>
      <c r="C111" s="81">
        <v>2025</v>
      </c>
      <c r="D111" t="s">
        <v>430</v>
      </c>
      <c r="E111" t="s">
        <v>441</v>
      </c>
      <c r="F111" s="85">
        <v>2.42</v>
      </c>
      <c r="G111" s="86">
        <v>2.4</v>
      </c>
      <c r="H111" s="86">
        <v>0.03</v>
      </c>
      <c r="I111" s="87">
        <v>0.7</v>
      </c>
      <c r="J111" s="85">
        <v>2.2999999999999998</v>
      </c>
      <c r="K111" s="85">
        <v>2.5</v>
      </c>
      <c r="L111" t="s">
        <v>436</v>
      </c>
      <c r="M111" s="81">
        <v>3386</v>
      </c>
      <c r="N111" t="s">
        <v>448</v>
      </c>
      <c r="O111" s="85">
        <f t="shared" si="2"/>
        <v>0.83333333333333415</v>
      </c>
      <c r="P111" s="85">
        <f t="shared" si="3"/>
        <v>0.83333333333333415</v>
      </c>
      <c r="Q111" s="81"/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397</v>
      </c>
      <c r="B112" t="s">
        <v>434</v>
      </c>
      <c r="C112" s="81">
        <v>2025</v>
      </c>
      <c r="D112" t="s">
        <v>431</v>
      </c>
      <c r="E112" t="s">
        <v>435</v>
      </c>
      <c r="F112" s="85">
        <v>6.2</v>
      </c>
      <c r="G112" s="86">
        <v>6.27</v>
      </c>
      <c r="H112" s="86">
        <v>0.12</v>
      </c>
      <c r="I112" s="87">
        <v>-0.6</v>
      </c>
      <c r="J112" s="85">
        <v>5.6</v>
      </c>
      <c r="K112" s="85">
        <v>6.9</v>
      </c>
      <c r="L112" t="s">
        <v>436</v>
      </c>
      <c r="M112" s="81">
        <v>3391</v>
      </c>
      <c r="N112" t="s">
        <v>442</v>
      </c>
      <c r="O112" s="85">
        <f t="shared" si="2"/>
        <v>-1.1164274322168963</v>
      </c>
      <c r="P112" s="85">
        <f t="shared" si="3"/>
        <v>1.1164274322168963</v>
      </c>
      <c r="Q112" s="81"/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397</v>
      </c>
      <c r="B113" t="s">
        <v>434</v>
      </c>
      <c r="C113" s="81">
        <v>2025</v>
      </c>
      <c r="D113" t="s">
        <v>431</v>
      </c>
      <c r="E113" t="s">
        <v>438</v>
      </c>
      <c r="F113" s="85">
        <v>16.899999999999999</v>
      </c>
      <c r="G113" s="86">
        <v>17.149999999999999</v>
      </c>
      <c r="H113" s="86">
        <v>0.27</v>
      </c>
      <c r="I113" s="87">
        <v>-0.9</v>
      </c>
      <c r="J113" s="85">
        <v>15.4</v>
      </c>
      <c r="K113" s="85">
        <v>18.899999999999999</v>
      </c>
      <c r="L113" t="s">
        <v>436</v>
      </c>
      <c r="M113" s="81">
        <v>3383</v>
      </c>
      <c r="N113" t="s">
        <v>442</v>
      </c>
      <c r="O113" s="85">
        <f t="shared" si="2"/>
        <v>-1.457725947521866</v>
      </c>
      <c r="P113" s="85">
        <f t="shared" si="3"/>
        <v>1.457725947521866</v>
      </c>
      <c r="Q113" s="81"/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397</v>
      </c>
      <c r="B114" t="s">
        <v>434</v>
      </c>
      <c r="C114" s="81">
        <v>2025</v>
      </c>
      <c r="D114" t="s">
        <v>431</v>
      </c>
      <c r="E114" t="s">
        <v>439</v>
      </c>
      <c r="F114" s="85">
        <v>2.7</v>
      </c>
      <c r="G114" s="86">
        <v>2.83</v>
      </c>
      <c r="H114" s="86">
        <v>7.0000000000000007E-2</v>
      </c>
      <c r="I114" s="87">
        <v>-1.8</v>
      </c>
      <c r="J114" s="85">
        <v>2.5</v>
      </c>
      <c r="K114" s="85">
        <v>3.2</v>
      </c>
      <c r="L114" t="s">
        <v>436</v>
      </c>
      <c r="M114" s="81">
        <v>3378</v>
      </c>
      <c r="N114" t="s">
        <v>442</v>
      </c>
      <c r="O114" s="85">
        <f t="shared" si="2"/>
        <v>-4.5936395759717277</v>
      </c>
      <c r="P114" s="85">
        <f t="shared" si="3"/>
        <v>4.5936395759717277</v>
      </c>
      <c r="Q114" s="81"/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397</v>
      </c>
      <c r="B115" t="s">
        <v>434</v>
      </c>
      <c r="C115" s="81">
        <v>2025</v>
      </c>
      <c r="D115" t="s">
        <v>431</v>
      </c>
      <c r="E115" t="s">
        <v>440</v>
      </c>
      <c r="F115" s="85">
        <v>2.9</v>
      </c>
      <c r="G115" s="86">
        <v>2.9</v>
      </c>
      <c r="H115" s="86">
        <v>0.08</v>
      </c>
      <c r="I115" s="87">
        <v>0</v>
      </c>
      <c r="J115" s="85">
        <v>2.6</v>
      </c>
      <c r="K115" s="85">
        <v>3.2</v>
      </c>
      <c r="L115" t="s">
        <v>436</v>
      </c>
      <c r="M115" s="81">
        <v>3396</v>
      </c>
      <c r="N115" t="s">
        <v>442</v>
      </c>
      <c r="O115" s="85">
        <f t="shared" si="2"/>
        <v>0</v>
      </c>
      <c r="P115" s="85">
        <f t="shared" si="3"/>
        <v>0</v>
      </c>
      <c r="Q115" s="81"/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397</v>
      </c>
      <c r="B116" t="s">
        <v>434</v>
      </c>
      <c r="C116" s="81">
        <v>2025</v>
      </c>
      <c r="D116" t="s">
        <v>431</v>
      </c>
      <c r="E116" t="s">
        <v>441</v>
      </c>
      <c r="F116" s="85">
        <v>7.6</v>
      </c>
      <c r="G116" s="86">
        <v>7.86</v>
      </c>
      <c r="H116" s="86">
        <v>0.14000000000000001</v>
      </c>
      <c r="I116" s="87">
        <v>-1.8</v>
      </c>
      <c r="J116" s="85">
        <v>7</v>
      </c>
      <c r="K116" s="85">
        <v>8.6999999999999993</v>
      </c>
      <c r="L116" t="s">
        <v>436</v>
      </c>
      <c r="M116" s="81">
        <v>3386</v>
      </c>
      <c r="N116" t="s">
        <v>442</v>
      </c>
      <c r="O116" s="85">
        <f t="shared" si="2"/>
        <v>-3.3078880407124771</v>
      </c>
      <c r="P116" s="85">
        <f t="shared" si="3"/>
        <v>3.3078880407124771</v>
      </c>
      <c r="Q116" s="81"/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397</v>
      </c>
      <c r="B117" t="s">
        <v>434</v>
      </c>
      <c r="C117" s="81">
        <v>2025</v>
      </c>
      <c r="D117" t="s">
        <v>432</v>
      </c>
      <c r="E117" t="s">
        <v>435</v>
      </c>
      <c r="F117" s="85">
        <v>0.38</v>
      </c>
      <c r="G117" s="86">
        <v>0.377</v>
      </c>
      <c r="H117" s="86">
        <v>2.1999999999999999E-2</v>
      </c>
      <c r="I117" s="87">
        <v>0.1</v>
      </c>
      <c r="J117" s="85"/>
      <c r="K117" s="85"/>
      <c r="L117" t="s">
        <v>444</v>
      </c>
      <c r="M117" s="81">
        <v>2919</v>
      </c>
      <c r="N117" t="s">
        <v>442</v>
      </c>
      <c r="O117" s="85">
        <f t="shared" si="2"/>
        <v>0.79575596816976202</v>
      </c>
      <c r="P117" s="85">
        <f t="shared" si="3"/>
        <v>0.79575596816976202</v>
      </c>
      <c r="Q117" s="81"/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NAO AVALIADO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397</v>
      </c>
      <c r="B118" t="s">
        <v>434</v>
      </c>
      <c r="C118" s="81">
        <v>2025</v>
      </c>
      <c r="D118" t="s">
        <v>432</v>
      </c>
      <c r="E118" t="s">
        <v>438</v>
      </c>
      <c r="F118" s="85">
        <v>1.03</v>
      </c>
      <c r="G118" s="86">
        <v>1.0049999999999999</v>
      </c>
      <c r="H118" s="86">
        <v>3.6999999999999998E-2</v>
      </c>
      <c r="I118" s="87">
        <v>0.7</v>
      </c>
      <c r="J118" s="85"/>
      <c r="K118" s="85"/>
      <c r="L118" t="s">
        <v>444</v>
      </c>
      <c r="M118" s="81">
        <v>2919</v>
      </c>
      <c r="N118" t="s">
        <v>442</v>
      </c>
      <c r="O118" s="85">
        <f t="shared" si="2"/>
        <v>2.4875621890547399</v>
      </c>
      <c r="P118" s="85">
        <f t="shared" si="3"/>
        <v>2.4875621890547399</v>
      </c>
      <c r="Q118" s="81"/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NAO AVALIADO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397</v>
      </c>
      <c r="B119" t="s">
        <v>434</v>
      </c>
      <c r="C119" s="81">
        <v>2025</v>
      </c>
      <c r="D119" t="s">
        <v>432</v>
      </c>
      <c r="E119" t="s">
        <v>439</v>
      </c>
      <c r="F119" s="85">
        <v>0.13</v>
      </c>
      <c r="G119" s="86">
        <v>0.13900000000000001</v>
      </c>
      <c r="H119" s="86">
        <v>1.4E-2</v>
      </c>
      <c r="I119" s="87">
        <v>-0.6</v>
      </c>
      <c r="J119" s="85"/>
      <c r="K119" s="85"/>
      <c r="L119" t="s">
        <v>444</v>
      </c>
      <c r="M119" s="81">
        <v>2925</v>
      </c>
      <c r="N119" t="s">
        <v>442</v>
      </c>
      <c r="O119" s="85">
        <f t="shared" si="2"/>
        <v>-6.474820143884898</v>
      </c>
      <c r="P119" s="85">
        <f t="shared" si="3"/>
        <v>6.474820143884898</v>
      </c>
      <c r="Q119" s="81"/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NAO AVALIADO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397</v>
      </c>
      <c r="B120" t="s">
        <v>434</v>
      </c>
      <c r="C120" s="81">
        <v>2025</v>
      </c>
      <c r="D120" t="s">
        <v>432</v>
      </c>
      <c r="E120" t="s">
        <v>440</v>
      </c>
      <c r="F120" s="85">
        <v>0</v>
      </c>
      <c r="G120" s="86">
        <v>2E-3</v>
      </c>
      <c r="H120" s="86">
        <v>4.0000000000000001E-3</v>
      </c>
      <c r="I120" s="87">
        <v>-0.5</v>
      </c>
      <c r="J120" s="85"/>
      <c r="K120" s="85"/>
      <c r="L120" t="s">
        <v>444</v>
      </c>
      <c r="M120" s="81">
        <v>2936</v>
      </c>
      <c r="N120" t="s">
        <v>442</v>
      </c>
      <c r="O120" s="85">
        <f t="shared" si="2"/>
        <v>-100</v>
      </c>
      <c r="P120" s="85">
        <f t="shared" si="3"/>
        <v>100</v>
      </c>
      <c r="Q120" s="81"/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NAO AVALIADO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397</v>
      </c>
      <c r="B121" t="s">
        <v>434</v>
      </c>
      <c r="C121" s="81">
        <v>2025</v>
      </c>
      <c r="D121" t="s">
        <v>432</v>
      </c>
      <c r="E121" t="s">
        <v>441</v>
      </c>
      <c r="F121" s="85">
        <v>0.01</v>
      </c>
      <c r="G121" s="86">
        <v>5.0000000000000001E-3</v>
      </c>
      <c r="H121" s="86">
        <v>6.0000000000000001E-3</v>
      </c>
      <c r="I121" s="87">
        <v>0.8</v>
      </c>
      <c r="J121" s="85"/>
      <c r="K121" s="85"/>
      <c r="L121" t="s">
        <v>444</v>
      </c>
      <c r="M121" s="81">
        <v>2962</v>
      </c>
      <c r="N121" t="s">
        <v>442</v>
      </c>
      <c r="O121" s="85">
        <f t="shared" si="2"/>
        <v>100</v>
      </c>
      <c r="P121" s="85">
        <f t="shared" si="3"/>
        <v>100</v>
      </c>
      <c r="Q121" s="81"/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NAO AVALIADO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397</v>
      </c>
      <c r="B122" t="s">
        <v>434</v>
      </c>
      <c r="C122" s="81">
        <v>2025</v>
      </c>
      <c r="D122" t="s">
        <v>433</v>
      </c>
      <c r="E122" t="s">
        <v>435</v>
      </c>
      <c r="F122" s="85">
        <v>6.1</v>
      </c>
      <c r="G122" s="86">
        <v>6.02</v>
      </c>
      <c r="H122" s="86">
        <v>0.35</v>
      </c>
      <c r="I122" s="87">
        <v>0.2</v>
      </c>
      <c r="J122" s="85"/>
      <c r="K122" s="85"/>
      <c r="L122" t="s">
        <v>444</v>
      </c>
      <c r="M122" s="81">
        <v>3044</v>
      </c>
      <c r="N122" t="s">
        <v>449</v>
      </c>
      <c r="O122" s="85">
        <f t="shared" si="2"/>
        <v>1.328903654485051</v>
      </c>
      <c r="P122" s="85">
        <f t="shared" si="3"/>
        <v>1.328903654485051</v>
      </c>
      <c r="Q122" s="81"/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NAO AVALIADO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397</v>
      </c>
      <c r="B123" t="s">
        <v>434</v>
      </c>
      <c r="C123" s="81">
        <v>2025</v>
      </c>
      <c r="D123" t="s">
        <v>433</v>
      </c>
      <c r="E123" t="s">
        <v>438</v>
      </c>
      <c r="F123" s="85">
        <v>6.1</v>
      </c>
      <c r="G123" s="86">
        <v>5.87</v>
      </c>
      <c r="H123" s="86">
        <v>0.21</v>
      </c>
      <c r="I123" s="87">
        <v>1.1000000000000001</v>
      </c>
      <c r="J123" s="85"/>
      <c r="K123" s="85"/>
      <c r="L123" t="s">
        <v>444</v>
      </c>
      <c r="M123" s="81">
        <v>3048</v>
      </c>
      <c r="N123" t="s">
        <v>449</v>
      </c>
      <c r="O123" s="85">
        <f t="shared" si="2"/>
        <v>3.918228279386704</v>
      </c>
      <c r="P123" s="85">
        <f t="shared" si="3"/>
        <v>3.918228279386704</v>
      </c>
      <c r="Q123" s="81"/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NAO AVALIADO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397</v>
      </c>
      <c r="B124" t="s">
        <v>434</v>
      </c>
      <c r="C124" s="81">
        <v>2025</v>
      </c>
      <c r="D124" t="s">
        <v>433</v>
      </c>
      <c r="E124" t="s">
        <v>439</v>
      </c>
      <c r="F124" s="85">
        <v>4.9000000000000004</v>
      </c>
      <c r="G124" s="86">
        <v>4.91</v>
      </c>
      <c r="H124" s="86">
        <v>0.48</v>
      </c>
      <c r="I124" s="87">
        <v>0</v>
      </c>
      <c r="J124" s="85"/>
      <c r="K124" s="85"/>
      <c r="L124" t="s">
        <v>444</v>
      </c>
      <c r="M124" s="81">
        <v>3045</v>
      </c>
      <c r="N124" t="s">
        <v>449</v>
      </c>
      <c r="O124" s="85">
        <f t="shared" si="2"/>
        <v>-0.20366598778003639</v>
      </c>
      <c r="P124" s="85">
        <f t="shared" si="3"/>
        <v>0.20366598778003639</v>
      </c>
      <c r="Q124" s="81"/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NAO AVALIADO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397</v>
      </c>
      <c r="B125" t="s">
        <v>434</v>
      </c>
      <c r="C125" s="81">
        <v>2025</v>
      </c>
      <c r="D125" t="s">
        <v>433</v>
      </c>
      <c r="E125" t="s">
        <v>440</v>
      </c>
      <c r="F125" s="85">
        <v>0</v>
      </c>
      <c r="G125" s="86">
        <v>0.05</v>
      </c>
      <c r="H125" s="86">
        <v>0.12</v>
      </c>
      <c r="I125" s="87">
        <v>-0.4</v>
      </c>
      <c r="J125" s="85"/>
      <c r="K125" s="85"/>
      <c r="L125" t="s">
        <v>444</v>
      </c>
      <c r="M125" s="81">
        <v>3078</v>
      </c>
      <c r="N125" t="s">
        <v>449</v>
      </c>
      <c r="O125" s="85">
        <f t="shared" si="2"/>
        <v>-100</v>
      </c>
      <c r="P125" s="85">
        <f t="shared" si="3"/>
        <v>100</v>
      </c>
      <c r="Q125" s="81"/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NAO AVALIADO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397</v>
      </c>
      <c r="B126" t="s">
        <v>434</v>
      </c>
      <c r="C126" s="81">
        <v>2025</v>
      </c>
      <c r="D126" t="s">
        <v>433</v>
      </c>
      <c r="E126" t="s">
        <v>441</v>
      </c>
      <c r="F126" s="85">
        <v>0.1</v>
      </c>
      <c r="G126" s="86">
        <v>0.04</v>
      </c>
      <c r="H126" s="86">
        <v>0.05</v>
      </c>
      <c r="I126" s="87">
        <v>1.2</v>
      </c>
      <c r="J126" s="85"/>
      <c r="K126" s="85"/>
      <c r="L126" t="s">
        <v>444</v>
      </c>
      <c r="M126" s="81">
        <v>3008</v>
      </c>
      <c r="N126" t="s">
        <v>449</v>
      </c>
      <c r="O126" s="85">
        <f t="shared" si="2"/>
        <v>150</v>
      </c>
      <c r="P126" s="85">
        <f t="shared" si="3"/>
        <v>150</v>
      </c>
      <c r="Q126" s="81"/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NAO AVALIADO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397</v>
      </c>
      <c r="B127" t="s">
        <v>450</v>
      </c>
      <c r="C127" s="81">
        <v>2025</v>
      </c>
      <c r="D127" t="s">
        <v>413</v>
      </c>
      <c r="E127" t="s">
        <v>451</v>
      </c>
      <c r="F127" s="85">
        <v>5</v>
      </c>
      <c r="G127" s="86">
        <v>4.82</v>
      </c>
      <c r="H127" s="86">
        <v>0.12</v>
      </c>
      <c r="I127" s="87">
        <v>1.5</v>
      </c>
      <c r="J127" s="85">
        <v>4.4000000000000004</v>
      </c>
      <c r="K127" s="85">
        <v>5.2</v>
      </c>
      <c r="L127" t="s">
        <v>436</v>
      </c>
      <c r="M127" s="81">
        <v>3381</v>
      </c>
      <c r="N127" t="s">
        <v>437</v>
      </c>
      <c r="O127" s="85">
        <f t="shared" si="2"/>
        <v>3.7344398340248901</v>
      </c>
      <c r="P127" s="85">
        <f t="shared" si="3"/>
        <v>3.7344398340248901</v>
      </c>
      <c r="Q127" s="81"/>
      <c r="S127" t="str">
        <f>IF($W127&lt;&gt;"NAO ACEITO","",COUNTIFS($W$2:$W127,"NAO ACEITO"))</f>
        <v/>
      </c>
      <c r="T127">
        <f>IF($B127="","",IF(COUNTIF($B$2:$B127,$B127)=1,MAX($T$1:$T126)+1,""))</f>
        <v>2</v>
      </c>
      <c r="U127" t="str">
        <f>IF($D127="","",IF(COUNTIF($D$2:$D127,$D127)=1,MAX($U$1:$U126)+1,""))</f>
        <v/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397</v>
      </c>
      <c r="B128" t="s">
        <v>450</v>
      </c>
      <c r="C128" s="81">
        <v>2025</v>
      </c>
      <c r="D128" t="s">
        <v>413</v>
      </c>
      <c r="E128" t="s">
        <v>452</v>
      </c>
      <c r="F128" s="85">
        <v>4.8</v>
      </c>
      <c r="G128" s="86">
        <v>4.8099999999999996</v>
      </c>
      <c r="H128" s="86">
        <v>0.17</v>
      </c>
      <c r="I128" s="87">
        <v>0</v>
      </c>
      <c r="J128" s="85">
        <v>4.2</v>
      </c>
      <c r="K128" s="85">
        <v>5.4</v>
      </c>
      <c r="L128" t="s">
        <v>436</v>
      </c>
      <c r="M128" s="81">
        <v>3392</v>
      </c>
      <c r="N128" t="s">
        <v>437</v>
      </c>
      <c r="O128" s="85">
        <f t="shared" si="2"/>
        <v>-0.2079002079002035</v>
      </c>
      <c r="P128" s="85">
        <f t="shared" si="3"/>
        <v>0.2079002079002035</v>
      </c>
      <c r="Q128" s="81"/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397</v>
      </c>
      <c r="B129" t="s">
        <v>450</v>
      </c>
      <c r="C129" s="81">
        <v>2025</v>
      </c>
      <c r="D129" t="s">
        <v>413</v>
      </c>
      <c r="E129" t="s">
        <v>453</v>
      </c>
      <c r="F129" s="85">
        <v>4.5999999999999996</v>
      </c>
      <c r="G129" s="86">
        <v>4.8099999999999996</v>
      </c>
      <c r="H129" s="86">
        <v>0.12</v>
      </c>
      <c r="I129" s="87">
        <v>-1.7</v>
      </c>
      <c r="J129" s="85">
        <v>4.4000000000000004</v>
      </c>
      <c r="K129" s="85">
        <v>5.2</v>
      </c>
      <c r="L129" t="s">
        <v>436</v>
      </c>
      <c r="M129" s="81">
        <v>3386</v>
      </c>
      <c r="N129" t="s">
        <v>437</v>
      </c>
      <c r="O129" s="85">
        <f t="shared" si="2"/>
        <v>-4.365904365904365</v>
      </c>
      <c r="P129" s="85">
        <f t="shared" si="3"/>
        <v>4.365904365904365</v>
      </c>
      <c r="Q129" s="81"/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397</v>
      </c>
      <c r="B130" t="s">
        <v>450</v>
      </c>
      <c r="C130" s="81">
        <v>2025</v>
      </c>
      <c r="D130" t="s">
        <v>413</v>
      </c>
      <c r="E130" t="s">
        <v>454</v>
      </c>
      <c r="F130" s="85">
        <v>4.9000000000000004</v>
      </c>
      <c r="G130" s="86">
        <v>4.8099999999999996</v>
      </c>
      <c r="H130" s="86">
        <v>0.13</v>
      </c>
      <c r="I130" s="87">
        <v>0.7</v>
      </c>
      <c r="J130" s="85">
        <v>4.4000000000000004</v>
      </c>
      <c r="K130" s="85">
        <v>5.2</v>
      </c>
      <c r="L130" t="s">
        <v>436</v>
      </c>
      <c r="M130" s="81">
        <v>3385</v>
      </c>
      <c r="N130" t="s">
        <v>437</v>
      </c>
      <c r="O130" s="85">
        <f t="shared" ref="O130:O193" si="4">IFERROR((F130-G130)/G130*100,"")</f>
        <v>1.8711018711018867</v>
      </c>
      <c r="P130" s="85">
        <f t="shared" ref="P130:P193" si="5">IF(O130="","",ABS(O130))</f>
        <v>1.8711018711018867</v>
      </c>
      <c r="Q130" s="81"/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397</v>
      </c>
      <c r="B131" t="s">
        <v>450</v>
      </c>
      <c r="C131" s="81">
        <v>2025</v>
      </c>
      <c r="D131" t="s">
        <v>413</v>
      </c>
      <c r="E131" t="s">
        <v>455</v>
      </c>
      <c r="F131" s="85">
        <v>5</v>
      </c>
      <c r="G131" s="86">
        <v>4.8</v>
      </c>
      <c r="H131" s="86">
        <v>0.17</v>
      </c>
      <c r="I131" s="87">
        <v>1.2</v>
      </c>
      <c r="J131" s="85">
        <v>4.2</v>
      </c>
      <c r="K131" s="85">
        <v>5.4</v>
      </c>
      <c r="L131" t="s">
        <v>436</v>
      </c>
      <c r="M131" s="81">
        <v>3381</v>
      </c>
      <c r="N131" t="s">
        <v>437</v>
      </c>
      <c r="O131" s="85">
        <f t="shared" si="4"/>
        <v>4.1666666666666705</v>
      </c>
      <c r="P131" s="85">
        <f t="shared" si="5"/>
        <v>4.1666666666666705</v>
      </c>
      <c r="Q131" s="81"/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397</v>
      </c>
      <c r="B132" t="s">
        <v>450</v>
      </c>
      <c r="C132" s="81">
        <v>2025</v>
      </c>
      <c r="D132" t="s">
        <v>414</v>
      </c>
      <c r="E132" t="s">
        <v>451</v>
      </c>
      <c r="F132" s="85">
        <v>0.37</v>
      </c>
      <c r="G132" s="86">
        <v>0.36899999999999999</v>
      </c>
      <c r="H132" s="86">
        <v>1.2999999999999999E-2</v>
      </c>
      <c r="I132" s="87">
        <v>0</v>
      </c>
      <c r="J132" s="85">
        <v>0.33</v>
      </c>
      <c r="K132" s="85">
        <v>0.41</v>
      </c>
      <c r="L132" t="s">
        <v>436</v>
      </c>
      <c r="M132" s="81">
        <v>3389</v>
      </c>
      <c r="N132" t="s">
        <v>442</v>
      </c>
      <c r="O132" s="85">
        <f t="shared" si="4"/>
        <v>0.27100271002710052</v>
      </c>
      <c r="P132" s="85">
        <f t="shared" si="5"/>
        <v>0.27100271002710052</v>
      </c>
      <c r="Q132" s="81"/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 t="str">
        <f>IF($D132="","",IF(COUNTIF($D$2:$D132,$D132)=1,MAX($U$1:$U131)+1,""))</f>
        <v/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397</v>
      </c>
      <c r="B133" t="s">
        <v>450</v>
      </c>
      <c r="C133" s="81">
        <v>2025</v>
      </c>
      <c r="D133" t="s">
        <v>414</v>
      </c>
      <c r="E133" t="s">
        <v>452</v>
      </c>
      <c r="F133" s="85">
        <v>0.13</v>
      </c>
      <c r="G133" s="86">
        <v>0.13600000000000001</v>
      </c>
      <c r="H133" s="86">
        <v>7.0000000000000001E-3</v>
      </c>
      <c r="I133" s="87">
        <v>-0.9</v>
      </c>
      <c r="J133" s="85">
        <v>0.11</v>
      </c>
      <c r="K133" s="85">
        <v>0.16</v>
      </c>
      <c r="L133" t="s">
        <v>436</v>
      </c>
      <c r="M133" s="81">
        <v>3391</v>
      </c>
      <c r="N133" t="s">
        <v>442</v>
      </c>
      <c r="O133" s="85">
        <f t="shared" si="4"/>
        <v>-4.4117647058823568</v>
      </c>
      <c r="P133" s="85">
        <f t="shared" si="5"/>
        <v>4.4117647058823568</v>
      </c>
      <c r="Q133" s="81"/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397</v>
      </c>
      <c r="B134" t="s">
        <v>450</v>
      </c>
      <c r="C134" s="81">
        <v>2025</v>
      </c>
      <c r="D134" t="s">
        <v>414</v>
      </c>
      <c r="E134" t="s">
        <v>453</v>
      </c>
      <c r="F134" s="85">
        <v>0.78</v>
      </c>
      <c r="G134" s="86">
        <v>0.80900000000000005</v>
      </c>
      <c r="H134" s="86">
        <v>2.3E-2</v>
      </c>
      <c r="I134" s="87">
        <v>-1.3</v>
      </c>
      <c r="J134" s="85">
        <v>0.73</v>
      </c>
      <c r="K134" s="85">
        <v>0.88</v>
      </c>
      <c r="L134" t="s">
        <v>436</v>
      </c>
      <c r="M134" s="81">
        <v>3373</v>
      </c>
      <c r="N134" t="s">
        <v>442</v>
      </c>
      <c r="O134" s="85">
        <f t="shared" si="4"/>
        <v>-3.5846724351050714</v>
      </c>
      <c r="P134" s="85">
        <f t="shared" si="5"/>
        <v>3.5846724351050714</v>
      </c>
      <c r="Q134" s="81"/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397</v>
      </c>
      <c r="B135" t="s">
        <v>450</v>
      </c>
      <c r="C135" s="81">
        <v>2025</v>
      </c>
      <c r="D135" t="s">
        <v>414</v>
      </c>
      <c r="E135" t="s">
        <v>454</v>
      </c>
      <c r="F135" s="85">
        <v>0.33</v>
      </c>
      <c r="G135" s="86">
        <v>0.32900000000000001</v>
      </c>
      <c r="H135" s="86">
        <v>1.0999999999999999E-2</v>
      </c>
      <c r="I135" s="87">
        <v>0.1</v>
      </c>
      <c r="J135" s="85">
        <v>0.28999999999999998</v>
      </c>
      <c r="K135" s="85">
        <v>0.37</v>
      </c>
      <c r="L135" t="s">
        <v>436</v>
      </c>
      <c r="M135" s="81">
        <v>3381</v>
      </c>
      <c r="N135" t="s">
        <v>442</v>
      </c>
      <c r="O135" s="85">
        <f t="shared" si="4"/>
        <v>0.30395136778115528</v>
      </c>
      <c r="P135" s="85">
        <f t="shared" si="5"/>
        <v>0.30395136778115528</v>
      </c>
      <c r="Q135" s="81"/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397</v>
      </c>
      <c r="B136" t="s">
        <v>450</v>
      </c>
      <c r="C136" s="81">
        <v>2025</v>
      </c>
      <c r="D136" t="s">
        <v>414</v>
      </c>
      <c r="E136" t="s">
        <v>455</v>
      </c>
      <c r="F136" s="85">
        <v>0.14000000000000001</v>
      </c>
      <c r="G136" s="86">
        <v>0.13600000000000001</v>
      </c>
      <c r="H136" s="86">
        <v>7.0000000000000001E-3</v>
      </c>
      <c r="I136" s="87">
        <v>0.6</v>
      </c>
      <c r="J136" s="85">
        <v>0.11</v>
      </c>
      <c r="K136" s="85">
        <v>0.16</v>
      </c>
      <c r="L136" t="s">
        <v>436</v>
      </c>
      <c r="M136" s="81">
        <v>3381</v>
      </c>
      <c r="N136" t="s">
        <v>442</v>
      </c>
      <c r="O136" s="85">
        <f t="shared" si="4"/>
        <v>2.9411764705882377</v>
      </c>
      <c r="P136" s="85">
        <f t="shared" si="5"/>
        <v>2.9411764705882377</v>
      </c>
      <c r="Q136" s="81"/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397</v>
      </c>
      <c r="B137" t="s">
        <v>450</v>
      </c>
      <c r="C137" s="81">
        <v>2025</v>
      </c>
      <c r="D137" t="s">
        <v>415</v>
      </c>
      <c r="E137" t="s">
        <v>451</v>
      </c>
      <c r="F137" s="85">
        <v>12</v>
      </c>
      <c r="G137" s="86">
        <v>10.64</v>
      </c>
      <c r="H137" s="86">
        <v>0.82</v>
      </c>
      <c r="I137" s="87">
        <v>1.7</v>
      </c>
      <c r="J137" s="85">
        <v>8.1</v>
      </c>
      <c r="K137" s="85">
        <v>13.2</v>
      </c>
      <c r="L137" t="s">
        <v>436</v>
      </c>
      <c r="M137" s="81">
        <v>3402</v>
      </c>
      <c r="N137" t="s">
        <v>437</v>
      </c>
      <c r="O137" s="85">
        <f t="shared" si="4"/>
        <v>12.781954887218038</v>
      </c>
      <c r="P137" s="85">
        <f t="shared" si="5"/>
        <v>12.781954887218038</v>
      </c>
      <c r="Q137" s="81"/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 t="str">
        <f>IF($D137="","",IF(COUNTIF($D$2:$D137,$D137)=1,MAX($U$1:$U136)+1,""))</f>
        <v/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397</v>
      </c>
      <c r="B138" t="s">
        <v>450</v>
      </c>
      <c r="C138" s="81">
        <v>2025</v>
      </c>
      <c r="D138" t="s">
        <v>415</v>
      </c>
      <c r="E138" t="s">
        <v>452</v>
      </c>
      <c r="F138" s="85">
        <v>11</v>
      </c>
      <c r="G138" s="86">
        <v>9.9499999999999993</v>
      </c>
      <c r="H138" s="86">
        <v>0.7</v>
      </c>
      <c r="I138" s="87">
        <v>1.5</v>
      </c>
      <c r="J138" s="85">
        <v>7.8</v>
      </c>
      <c r="K138" s="85">
        <v>12.4</v>
      </c>
      <c r="L138" t="s">
        <v>436</v>
      </c>
      <c r="M138" s="81">
        <v>3401</v>
      </c>
      <c r="N138" t="s">
        <v>437</v>
      </c>
      <c r="O138" s="85">
        <f t="shared" si="4"/>
        <v>10.552763819095485</v>
      </c>
      <c r="P138" s="85">
        <f t="shared" si="5"/>
        <v>10.552763819095485</v>
      </c>
      <c r="Q138" s="81"/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397</v>
      </c>
      <c r="B139" t="s">
        <v>450</v>
      </c>
      <c r="C139" s="81">
        <v>2025</v>
      </c>
      <c r="D139" t="s">
        <v>415</v>
      </c>
      <c r="E139" t="s">
        <v>453</v>
      </c>
      <c r="F139" s="85">
        <v>12.1</v>
      </c>
      <c r="G139" s="86">
        <v>11.57</v>
      </c>
      <c r="H139" s="86">
        <v>0.81</v>
      </c>
      <c r="I139" s="87">
        <v>0.6</v>
      </c>
      <c r="J139" s="85">
        <v>9.1</v>
      </c>
      <c r="K139" s="85">
        <v>14.1</v>
      </c>
      <c r="L139" t="s">
        <v>436</v>
      </c>
      <c r="M139" s="81">
        <v>3402</v>
      </c>
      <c r="N139" t="s">
        <v>437</v>
      </c>
      <c r="O139" s="85">
        <f t="shared" si="4"/>
        <v>4.58081244598098</v>
      </c>
      <c r="P139" s="85">
        <f t="shared" si="5"/>
        <v>4.58081244598098</v>
      </c>
      <c r="Q139" s="81"/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397</v>
      </c>
      <c r="B140" t="s">
        <v>450</v>
      </c>
      <c r="C140" s="81">
        <v>2025</v>
      </c>
      <c r="D140" t="s">
        <v>415</v>
      </c>
      <c r="E140" t="s">
        <v>454</v>
      </c>
      <c r="F140" s="85">
        <v>9.9</v>
      </c>
      <c r="G140" s="86">
        <v>10.77</v>
      </c>
      <c r="H140" s="86">
        <v>0.74</v>
      </c>
      <c r="I140" s="87">
        <v>-1.2</v>
      </c>
      <c r="J140" s="85">
        <v>8.5</v>
      </c>
      <c r="K140" s="85">
        <v>13</v>
      </c>
      <c r="L140" t="s">
        <v>436</v>
      </c>
      <c r="M140" s="81">
        <v>3396</v>
      </c>
      <c r="N140" t="s">
        <v>437</v>
      </c>
      <c r="O140" s="85">
        <f t="shared" si="4"/>
        <v>-8.0779944289693528</v>
      </c>
      <c r="P140" s="85">
        <f t="shared" si="5"/>
        <v>8.0779944289693528</v>
      </c>
      <c r="Q140" s="81"/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397</v>
      </c>
      <c r="B141" t="s">
        <v>450</v>
      </c>
      <c r="C141" s="81">
        <v>2025</v>
      </c>
      <c r="D141" t="s">
        <v>415</v>
      </c>
      <c r="E141" t="s">
        <v>455</v>
      </c>
      <c r="F141" s="85">
        <v>10.1</v>
      </c>
      <c r="G141" s="86">
        <v>10.65</v>
      </c>
      <c r="H141" s="86">
        <v>0.85</v>
      </c>
      <c r="I141" s="87">
        <v>-0.7</v>
      </c>
      <c r="J141" s="85">
        <v>8.1</v>
      </c>
      <c r="K141" s="85">
        <v>13.2</v>
      </c>
      <c r="L141" t="s">
        <v>436</v>
      </c>
      <c r="M141" s="81">
        <v>3400</v>
      </c>
      <c r="N141" t="s">
        <v>437</v>
      </c>
      <c r="O141" s="85">
        <f t="shared" si="4"/>
        <v>-5.1643192488262972</v>
      </c>
      <c r="P141" s="85">
        <f t="shared" si="5"/>
        <v>5.1643192488262972</v>
      </c>
      <c r="Q141" s="81"/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397</v>
      </c>
      <c r="B142" t="s">
        <v>450</v>
      </c>
      <c r="C142" s="81">
        <v>2025</v>
      </c>
      <c r="D142" t="s">
        <v>416</v>
      </c>
      <c r="E142" t="s">
        <v>451</v>
      </c>
      <c r="F142" s="85">
        <v>0.89</v>
      </c>
      <c r="G142" s="86">
        <v>0.81499999999999995</v>
      </c>
      <c r="H142" s="86">
        <v>6.5000000000000002E-2</v>
      </c>
      <c r="I142" s="87">
        <v>1.2</v>
      </c>
      <c r="J142" s="85">
        <v>0.62</v>
      </c>
      <c r="K142" s="85">
        <v>1.01</v>
      </c>
      <c r="L142" t="s">
        <v>436</v>
      </c>
      <c r="M142" s="81">
        <v>3397</v>
      </c>
      <c r="N142" t="s">
        <v>442</v>
      </c>
      <c r="O142" s="85">
        <f t="shared" si="4"/>
        <v>9.2024539877300704</v>
      </c>
      <c r="P142" s="85">
        <f t="shared" si="5"/>
        <v>9.2024539877300704</v>
      </c>
      <c r="Q142" s="81"/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 t="str">
        <f>IF($D142="","",IF(COUNTIF($D$2:$D142,$D142)=1,MAX($U$1:$U141)+1,""))</f>
        <v/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397</v>
      </c>
      <c r="B143" t="s">
        <v>450</v>
      </c>
      <c r="C143" s="81">
        <v>2025</v>
      </c>
      <c r="D143" t="s">
        <v>416</v>
      </c>
      <c r="E143" t="s">
        <v>452</v>
      </c>
      <c r="F143" s="85">
        <v>0.3</v>
      </c>
      <c r="G143" s="86">
        <v>0.28100000000000003</v>
      </c>
      <c r="H143" s="86">
        <v>2.1000000000000001E-2</v>
      </c>
      <c r="I143" s="87">
        <v>0.9</v>
      </c>
      <c r="J143" s="85">
        <v>0.21</v>
      </c>
      <c r="K143" s="85">
        <v>0.35</v>
      </c>
      <c r="L143" t="s">
        <v>436</v>
      </c>
      <c r="M143" s="81">
        <v>3398</v>
      </c>
      <c r="N143" t="s">
        <v>442</v>
      </c>
      <c r="O143" s="85">
        <f t="shared" si="4"/>
        <v>6.7615658362989173</v>
      </c>
      <c r="P143" s="85">
        <f t="shared" si="5"/>
        <v>6.7615658362989173</v>
      </c>
      <c r="Q143" s="81"/>
      <c r="S143" t="str">
        <f>IF($W143&lt;&gt;"NAO ACEITO","",COUNTIFS($W$2:$W143,"NAO ACEITO"))</f>
        <v/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ACEITO</v>
      </c>
      <c r="X143" t="str">
        <f>IF(OR($D143="",$W143&lt;&gt;"NAO ACEITO"),"",IF(COUNTIFS($D$2:$D143,$D143,$W$2:$W143,"NAO ACEITO")=1,1,0))</f>
        <v/>
      </c>
    </row>
    <row r="144" spans="1:24" x14ac:dyDescent="0.3">
      <c r="A144" t="s">
        <v>397</v>
      </c>
      <c r="B144" t="s">
        <v>450</v>
      </c>
      <c r="C144" s="81">
        <v>2025</v>
      </c>
      <c r="D144" t="s">
        <v>416</v>
      </c>
      <c r="E144" t="s">
        <v>453</v>
      </c>
      <c r="F144" s="85">
        <v>2.0299999999999998</v>
      </c>
      <c r="G144" s="86">
        <v>1.9510000000000001</v>
      </c>
      <c r="H144" s="86">
        <v>0.13900000000000001</v>
      </c>
      <c r="I144" s="87">
        <v>0.6</v>
      </c>
      <c r="J144" s="85">
        <v>1.53</v>
      </c>
      <c r="K144" s="85">
        <v>2.37</v>
      </c>
      <c r="L144" t="s">
        <v>436</v>
      </c>
      <c r="M144" s="81">
        <v>3394</v>
      </c>
      <c r="N144" t="s">
        <v>442</v>
      </c>
      <c r="O144" s="85">
        <f t="shared" si="4"/>
        <v>4.0492055356227441</v>
      </c>
      <c r="P144" s="85">
        <f t="shared" si="5"/>
        <v>4.0492055356227441</v>
      </c>
      <c r="Q144" s="81"/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397</v>
      </c>
      <c r="B145" t="s">
        <v>450</v>
      </c>
      <c r="C145" s="81">
        <v>2025</v>
      </c>
      <c r="D145" t="s">
        <v>416</v>
      </c>
      <c r="E145" t="s">
        <v>454</v>
      </c>
      <c r="F145" s="85">
        <v>0.67</v>
      </c>
      <c r="G145" s="86">
        <v>0.73699999999999999</v>
      </c>
      <c r="H145" s="86">
        <v>5.2999999999999999E-2</v>
      </c>
      <c r="I145" s="87">
        <v>-1.3</v>
      </c>
      <c r="J145" s="85">
        <v>0.56999999999999995</v>
      </c>
      <c r="K145" s="85">
        <v>0.9</v>
      </c>
      <c r="L145" t="s">
        <v>436</v>
      </c>
      <c r="M145" s="81">
        <v>3391</v>
      </c>
      <c r="N145" t="s">
        <v>442</v>
      </c>
      <c r="O145" s="85">
        <f t="shared" si="4"/>
        <v>-9.0909090909090846</v>
      </c>
      <c r="P145" s="85">
        <f t="shared" si="5"/>
        <v>9.0909090909090846</v>
      </c>
      <c r="Q145" s="81"/>
      <c r="S145" t="str">
        <f>IF($W145&lt;&gt;"NAO ACEITO","",COUNTIFS($W$2:$W145,"NAO ACEITO"))</f>
        <v/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ACEITO</v>
      </c>
      <c r="X145" t="str">
        <f>IF(OR($D145="",$W145&lt;&gt;"NAO ACEITO"),"",IF(COUNTIFS($D$2:$D145,$D145,$W$2:$W145,"NAO ACEITO")=1,1,0))</f>
        <v/>
      </c>
    </row>
    <row r="146" spans="1:24" x14ac:dyDescent="0.3">
      <c r="A146" t="s">
        <v>397</v>
      </c>
      <c r="B146" t="s">
        <v>450</v>
      </c>
      <c r="C146" s="81">
        <v>2025</v>
      </c>
      <c r="D146" t="s">
        <v>416</v>
      </c>
      <c r="E146" t="s">
        <v>455</v>
      </c>
      <c r="F146" s="85">
        <v>0.28000000000000003</v>
      </c>
      <c r="G146" s="86">
        <v>0.30199999999999999</v>
      </c>
      <c r="H146" s="86">
        <v>2.5000000000000001E-2</v>
      </c>
      <c r="I146" s="87">
        <v>-0.9</v>
      </c>
      <c r="J146" s="85">
        <v>0.22</v>
      </c>
      <c r="K146" s="85">
        <v>0.38</v>
      </c>
      <c r="L146" t="s">
        <v>436</v>
      </c>
      <c r="M146" s="81">
        <v>3393</v>
      </c>
      <c r="N146" t="s">
        <v>442</v>
      </c>
      <c r="O146" s="85">
        <f t="shared" si="4"/>
        <v>-7.2847682119205182</v>
      </c>
      <c r="P146" s="85">
        <f t="shared" si="5"/>
        <v>7.2847682119205182</v>
      </c>
      <c r="Q146" s="81"/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397</v>
      </c>
      <c r="B147" t="s">
        <v>450</v>
      </c>
      <c r="C147" s="81">
        <v>2025</v>
      </c>
      <c r="D147" t="s">
        <v>417</v>
      </c>
      <c r="E147" t="s">
        <v>451</v>
      </c>
      <c r="F147" s="85">
        <v>17.8</v>
      </c>
      <c r="G147" s="86">
        <v>17.61</v>
      </c>
      <c r="H147" s="86">
        <v>0.28000000000000003</v>
      </c>
      <c r="I147" s="87">
        <v>0.7</v>
      </c>
      <c r="J147" s="85">
        <v>16.899999999999999</v>
      </c>
      <c r="K147" s="85">
        <v>18.32</v>
      </c>
      <c r="L147" t="s">
        <v>436</v>
      </c>
      <c r="M147" s="81">
        <v>3348</v>
      </c>
      <c r="N147" t="s">
        <v>437</v>
      </c>
      <c r="O147" s="85">
        <f t="shared" si="4"/>
        <v>1.0789324247586671</v>
      </c>
      <c r="P147" s="85">
        <f t="shared" si="5"/>
        <v>1.0789324247586671</v>
      </c>
      <c r="Q147" s="81"/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 t="str">
        <f>IF($D147="","",IF(COUNTIF($D$2:$D147,$D147)=1,MAX($U$1:$U146)+1,""))</f>
        <v/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397</v>
      </c>
      <c r="B148" t="s">
        <v>450</v>
      </c>
      <c r="C148" s="81">
        <v>2025</v>
      </c>
      <c r="D148" t="s">
        <v>417</v>
      </c>
      <c r="E148" t="s">
        <v>452</v>
      </c>
      <c r="F148" s="85">
        <v>16.7</v>
      </c>
      <c r="G148" s="86">
        <v>16.510000000000002</v>
      </c>
      <c r="H148" s="86">
        <v>0.27500000000000002</v>
      </c>
      <c r="I148" s="87">
        <v>0.7</v>
      </c>
      <c r="J148" s="85">
        <v>15.84</v>
      </c>
      <c r="K148" s="85">
        <v>17.18</v>
      </c>
      <c r="L148" t="s">
        <v>436</v>
      </c>
      <c r="M148" s="81">
        <v>3346</v>
      </c>
      <c r="N148" t="s">
        <v>437</v>
      </c>
      <c r="O148" s="85">
        <f t="shared" si="4"/>
        <v>1.1508176862507431</v>
      </c>
      <c r="P148" s="85">
        <f t="shared" si="5"/>
        <v>1.1508176862507431</v>
      </c>
      <c r="Q148" s="81"/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397</v>
      </c>
      <c r="B149" t="s">
        <v>450</v>
      </c>
      <c r="C149" s="81">
        <v>2025</v>
      </c>
      <c r="D149" t="s">
        <v>417</v>
      </c>
      <c r="E149" t="s">
        <v>453</v>
      </c>
      <c r="F149" s="85">
        <v>47.9</v>
      </c>
      <c r="G149" s="86">
        <v>46.999000000000002</v>
      </c>
      <c r="H149" s="86">
        <v>0.64</v>
      </c>
      <c r="I149" s="87">
        <v>1.4</v>
      </c>
      <c r="J149" s="85">
        <v>45.11</v>
      </c>
      <c r="K149" s="85">
        <v>48.88</v>
      </c>
      <c r="L149" t="s">
        <v>436</v>
      </c>
      <c r="M149" s="81">
        <v>3343</v>
      </c>
      <c r="N149" t="s">
        <v>437</v>
      </c>
      <c r="O149" s="85">
        <f t="shared" si="4"/>
        <v>1.9170620651503143</v>
      </c>
      <c r="P149" s="85">
        <f t="shared" si="5"/>
        <v>1.9170620651503143</v>
      </c>
      <c r="Q149" s="81"/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397</v>
      </c>
      <c r="B150" t="s">
        <v>450</v>
      </c>
      <c r="C150" s="81">
        <v>2025</v>
      </c>
      <c r="D150" t="s">
        <v>417</v>
      </c>
      <c r="E150" t="s">
        <v>454</v>
      </c>
      <c r="F150" s="85">
        <v>37.4</v>
      </c>
      <c r="G150" s="86">
        <v>36.682000000000002</v>
      </c>
      <c r="H150" s="86">
        <v>0.50800000000000001</v>
      </c>
      <c r="I150" s="87">
        <v>1.4</v>
      </c>
      <c r="J150" s="85">
        <v>35.21</v>
      </c>
      <c r="K150" s="85">
        <v>38.15</v>
      </c>
      <c r="L150" t="s">
        <v>436</v>
      </c>
      <c r="M150" s="81">
        <v>3342</v>
      </c>
      <c r="N150" t="s">
        <v>437</v>
      </c>
      <c r="O150" s="85">
        <f t="shared" si="4"/>
        <v>1.9573632844446771</v>
      </c>
      <c r="P150" s="85">
        <f t="shared" si="5"/>
        <v>1.9573632844446771</v>
      </c>
      <c r="Q150" s="81"/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397</v>
      </c>
      <c r="B151" t="s">
        <v>450</v>
      </c>
      <c r="C151" s="81">
        <v>2025</v>
      </c>
      <c r="D151" t="s">
        <v>417</v>
      </c>
      <c r="E151" t="s">
        <v>455</v>
      </c>
      <c r="F151" s="85">
        <v>44.5</v>
      </c>
      <c r="G151" s="86">
        <v>43.874000000000002</v>
      </c>
      <c r="H151" s="86">
        <v>0.59399999999999997</v>
      </c>
      <c r="I151" s="87">
        <v>1.1000000000000001</v>
      </c>
      <c r="J151" s="85">
        <v>42.11</v>
      </c>
      <c r="K151" s="85">
        <v>45.63</v>
      </c>
      <c r="L151" t="s">
        <v>436</v>
      </c>
      <c r="M151" s="81">
        <v>3335</v>
      </c>
      <c r="N151" t="s">
        <v>437</v>
      </c>
      <c r="O151" s="85">
        <f t="shared" si="4"/>
        <v>1.4268131467383818</v>
      </c>
      <c r="P151" s="85">
        <f t="shared" si="5"/>
        <v>1.4268131467383818</v>
      </c>
      <c r="Q151" s="81"/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397</v>
      </c>
      <c r="B152" t="s">
        <v>450</v>
      </c>
      <c r="C152" s="81">
        <v>2025</v>
      </c>
      <c r="D152" t="s">
        <v>418</v>
      </c>
      <c r="E152" t="s">
        <v>451</v>
      </c>
      <c r="F152" s="85">
        <v>6.2</v>
      </c>
      <c r="G152" s="86">
        <v>6.12</v>
      </c>
      <c r="H152" s="86">
        <v>0.08</v>
      </c>
      <c r="I152" s="87">
        <v>1</v>
      </c>
      <c r="J152" s="85">
        <v>5.8</v>
      </c>
      <c r="K152" s="85">
        <v>6.4</v>
      </c>
      <c r="L152" t="s">
        <v>436</v>
      </c>
      <c r="M152" s="81">
        <v>3492</v>
      </c>
      <c r="N152" t="s">
        <v>443</v>
      </c>
      <c r="O152" s="85">
        <f t="shared" si="4"/>
        <v>1.3071895424836613</v>
      </c>
      <c r="P152" s="85">
        <f t="shared" si="5"/>
        <v>1.3071895424836613</v>
      </c>
      <c r="Q152" s="81"/>
      <c r="S152" t="str">
        <f>IF($W152&lt;&gt;"NAO ACEITO","",COUNTIFS($W$2:$W152,"NAO ACEITO"))</f>
        <v/>
      </c>
      <c r="T152" t="str">
        <f>IF($B152="","",IF(COUNTIF($B$2:$B152,$B152)=1,MAX($T$1:$T151)+1,""))</f>
        <v/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397</v>
      </c>
      <c r="B153" t="s">
        <v>450</v>
      </c>
      <c r="C153" s="81">
        <v>2025</v>
      </c>
      <c r="D153" t="s">
        <v>418</v>
      </c>
      <c r="E153" t="s">
        <v>452</v>
      </c>
      <c r="F153" s="85">
        <v>5.5</v>
      </c>
      <c r="G153" s="86">
        <v>5.51</v>
      </c>
      <c r="H153" s="86">
        <v>7.0000000000000007E-2</v>
      </c>
      <c r="I153" s="87">
        <v>-0.2</v>
      </c>
      <c r="J153" s="85">
        <v>5.2</v>
      </c>
      <c r="K153" s="85">
        <v>5.8</v>
      </c>
      <c r="L153" t="s">
        <v>436</v>
      </c>
      <c r="M153" s="81">
        <v>3505</v>
      </c>
      <c r="N153" t="s">
        <v>443</v>
      </c>
      <c r="O153" s="85">
        <f t="shared" si="4"/>
        <v>-0.1814882032667838</v>
      </c>
      <c r="P153" s="85">
        <f t="shared" si="5"/>
        <v>0.1814882032667838</v>
      </c>
      <c r="Q153" s="81"/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397</v>
      </c>
      <c r="B154" t="s">
        <v>450</v>
      </c>
      <c r="C154" s="81">
        <v>2025</v>
      </c>
      <c r="D154" t="s">
        <v>418</v>
      </c>
      <c r="E154" t="s">
        <v>453</v>
      </c>
      <c r="F154" s="85">
        <v>16.5</v>
      </c>
      <c r="G154" s="86">
        <v>16.3</v>
      </c>
      <c r="H154" s="86">
        <v>0.15</v>
      </c>
      <c r="I154" s="87">
        <v>1.3</v>
      </c>
      <c r="J154" s="85">
        <v>15.6</v>
      </c>
      <c r="K154" s="85">
        <v>17</v>
      </c>
      <c r="L154" t="s">
        <v>436</v>
      </c>
      <c r="M154" s="81">
        <v>3499</v>
      </c>
      <c r="N154" t="s">
        <v>443</v>
      </c>
      <c r="O154" s="85">
        <f t="shared" si="4"/>
        <v>1.2269938650306704</v>
      </c>
      <c r="P154" s="85">
        <f t="shared" si="5"/>
        <v>1.2269938650306704</v>
      </c>
      <c r="Q154" s="81"/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397</v>
      </c>
      <c r="B155" t="s">
        <v>450</v>
      </c>
      <c r="C155" s="81">
        <v>2025</v>
      </c>
      <c r="D155" t="s">
        <v>418</v>
      </c>
      <c r="E155" t="s">
        <v>454</v>
      </c>
      <c r="F155" s="85">
        <v>12.8</v>
      </c>
      <c r="G155" s="86">
        <v>12.68</v>
      </c>
      <c r="H155" s="86">
        <v>0.12</v>
      </c>
      <c r="I155" s="87">
        <v>1</v>
      </c>
      <c r="J155" s="85">
        <v>12.1</v>
      </c>
      <c r="K155" s="85">
        <v>13.2</v>
      </c>
      <c r="L155" t="s">
        <v>436</v>
      </c>
      <c r="M155" s="81">
        <v>3507</v>
      </c>
      <c r="N155" t="s">
        <v>443</v>
      </c>
      <c r="O155" s="85">
        <f t="shared" si="4"/>
        <v>0.94637223974764184</v>
      </c>
      <c r="P155" s="85">
        <f t="shared" si="5"/>
        <v>0.94637223974764184</v>
      </c>
      <c r="Q155" s="81"/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397</v>
      </c>
      <c r="B156" t="s">
        <v>450</v>
      </c>
      <c r="C156" s="81">
        <v>2025</v>
      </c>
      <c r="D156" t="s">
        <v>418</v>
      </c>
      <c r="E156" t="s">
        <v>455</v>
      </c>
      <c r="F156" s="85">
        <v>15.5</v>
      </c>
      <c r="G156" s="86">
        <v>15.21</v>
      </c>
      <c r="H156" s="86">
        <v>0.14000000000000001</v>
      </c>
      <c r="I156" s="87">
        <v>2.1</v>
      </c>
      <c r="J156" s="85">
        <v>14.5</v>
      </c>
      <c r="K156" s="85">
        <v>15.9</v>
      </c>
      <c r="L156" t="s">
        <v>436</v>
      </c>
      <c r="M156" s="81">
        <v>3500</v>
      </c>
      <c r="N156" t="s">
        <v>443</v>
      </c>
      <c r="O156" s="85">
        <f t="shared" si="4"/>
        <v>1.906640368178824</v>
      </c>
      <c r="P156" s="85">
        <f t="shared" si="5"/>
        <v>1.906640368178824</v>
      </c>
      <c r="Q156" s="81"/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397</v>
      </c>
      <c r="B157" t="s">
        <v>450</v>
      </c>
      <c r="C157" s="81">
        <v>2025</v>
      </c>
      <c r="D157" t="s">
        <v>419</v>
      </c>
      <c r="E157" t="s">
        <v>451</v>
      </c>
      <c r="F157" s="85">
        <v>11.3</v>
      </c>
      <c r="G157" s="86">
        <v>11.37</v>
      </c>
      <c r="H157" s="86">
        <v>0.34</v>
      </c>
      <c r="I157" s="87">
        <v>-0.2</v>
      </c>
      <c r="J157" s="85"/>
      <c r="K157" s="85"/>
      <c r="L157" t="s">
        <v>444</v>
      </c>
      <c r="M157" s="81">
        <v>3220</v>
      </c>
      <c r="N157" t="s">
        <v>437</v>
      </c>
      <c r="O157" s="85">
        <f t="shared" si="4"/>
        <v>-0.61565523306946801</v>
      </c>
      <c r="P157" s="85">
        <f t="shared" si="5"/>
        <v>0.61565523306946801</v>
      </c>
      <c r="Q157" s="81"/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NAO AVALIADO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397</v>
      </c>
      <c r="B158" t="s">
        <v>450</v>
      </c>
      <c r="C158" s="81">
        <v>2025</v>
      </c>
      <c r="D158" t="s">
        <v>419</v>
      </c>
      <c r="E158" t="s">
        <v>452</v>
      </c>
      <c r="F158" s="85">
        <v>10.3</v>
      </c>
      <c r="G158" s="86">
        <v>10.39</v>
      </c>
      <c r="H158" s="86">
        <v>0.37</v>
      </c>
      <c r="I158" s="87">
        <v>-0.2</v>
      </c>
      <c r="J158" s="85"/>
      <c r="K158" s="85"/>
      <c r="L158" t="s">
        <v>444</v>
      </c>
      <c r="M158" s="81">
        <v>3215</v>
      </c>
      <c r="N158" t="s">
        <v>437</v>
      </c>
      <c r="O158" s="85">
        <f t="shared" si="4"/>
        <v>-0.86621751684311699</v>
      </c>
      <c r="P158" s="85">
        <f t="shared" si="5"/>
        <v>0.86621751684311699</v>
      </c>
      <c r="Q158" s="81"/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NAO AVALIADO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397</v>
      </c>
      <c r="B159" t="s">
        <v>450</v>
      </c>
      <c r="C159" s="81">
        <v>2025</v>
      </c>
      <c r="D159" t="s">
        <v>419</v>
      </c>
      <c r="E159" t="s">
        <v>453</v>
      </c>
      <c r="F159" s="85">
        <v>12</v>
      </c>
      <c r="G159" s="86">
        <v>12.22</v>
      </c>
      <c r="H159" s="86">
        <v>0.35</v>
      </c>
      <c r="I159" s="87">
        <v>-0.6</v>
      </c>
      <c r="J159" s="85"/>
      <c r="K159" s="85"/>
      <c r="L159" t="s">
        <v>444</v>
      </c>
      <c r="M159" s="81">
        <v>3217</v>
      </c>
      <c r="N159" t="s">
        <v>437</v>
      </c>
      <c r="O159" s="85">
        <f t="shared" si="4"/>
        <v>-1.8003273322422311</v>
      </c>
      <c r="P159" s="85">
        <f t="shared" si="5"/>
        <v>1.8003273322422311</v>
      </c>
      <c r="Q159" s="81"/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NAO AVALIADO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397</v>
      </c>
      <c r="B160" t="s">
        <v>450</v>
      </c>
      <c r="C160" s="81">
        <v>2025</v>
      </c>
      <c r="D160" t="s">
        <v>419</v>
      </c>
      <c r="E160" t="s">
        <v>454</v>
      </c>
      <c r="F160" s="85">
        <v>11.3</v>
      </c>
      <c r="G160" s="86">
        <v>11.3</v>
      </c>
      <c r="H160" s="86">
        <v>0.34</v>
      </c>
      <c r="I160" s="87">
        <v>0</v>
      </c>
      <c r="J160" s="85"/>
      <c r="K160" s="85"/>
      <c r="L160" t="s">
        <v>444</v>
      </c>
      <c r="M160" s="81">
        <v>3217</v>
      </c>
      <c r="N160" t="s">
        <v>437</v>
      </c>
      <c r="O160" s="85">
        <f t="shared" si="4"/>
        <v>0</v>
      </c>
      <c r="P160" s="85">
        <f t="shared" si="5"/>
        <v>0</v>
      </c>
      <c r="Q160" s="81"/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NAO AVALIADO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397</v>
      </c>
      <c r="B161" t="s">
        <v>450</v>
      </c>
      <c r="C161" s="81">
        <v>2025</v>
      </c>
      <c r="D161" t="s">
        <v>419</v>
      </c>
      <c r="E161" t="s">
        <v>455</v>
      </c>
      <c r="F161" s="85">
        <v>11.2</v>
      </c>
      <c r="G161" s="86">
        <v>11.38</v>
      </c>
      <c r="H161" s="86">
        <v>0.41</v>
      </c>
      <c r="I161" s="87">
        <v>-0.4</v>
      </c>
      <c r="J161" s="85"/>
      <c r="K161" s="85"/>
      <c r="L161" t="s">
        <v>444</v>
      </c>
      <c r="M161" s="81">
        <v>3217</v>
      </c>
      <c r="N161" t="s">
        <v>437</v>
      </c>
      <c r="O161" s="85">
        <f t="shared" si="4"/>
        <v>-1.5817223198594152</v>
      </c>
      <c r="P161" s="85">
        <f t="shared" si="5"/>
        <v>1.5817223198594152</v>
      </c>
      <c r="Q161" s="81"/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NAO AVALIADO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397</v>
      </c>
      <c r="B162" t="s">
        <v>450</v>
      </c>
      <c r="C162" s="81">
        <v>2025</v>
      </c>
      <c r="D162" t="s">
        <v>420</v>
      </c>
      <c r="E162" t="s">
        <v>451</v>
      </c>
      <c r="F162" s="85">
        <v>0.84</v>
      </c>
      <c r="G162" s="86">
        <v>0.871</v>
      </c>
      <c r="H162" s="86">
        <v>3.1E-2</v>
      </c>
      <c r="I162" s="87">
        <v>-1</v>
      </c>
      <c r="J162" s="85"/>
      <c r="K162" s="85"/>
      <c r="L162" t="s">
        <v>444</v>
      </c>
      <c r="M162" s="81">
        <v>3198</v>
      </c>
      <c r="N162" t="s">
        <v>442</v>
      </c>
      <c r="O162" s="85">
        <f t="shared" si="4"/>
        <v>-3.5591274397244579</v>
      </c>
      <c r="P162" s="85">
        <f t="shared" si="5"/>
        <v>3.5591274397244579</v>
      </c>
      <c r="Q162" s="81"/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NAO AVALIADO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397</v>
      </c>
      <c r="B163" t="s">
        <v>450</v>
      </c>
      <c r="C163" s="81">
        <v>2025</v>
      </c>
      <c r="D163" t="s">
        <v>420</v>
      </c>
      <c r="E163" t="s">
        <v>452</v>
      </c>
      <c r="F163" s="85">
        <v>0.28000000000000003</v>
      </c>
      <c r="G163" s="86">
        <v>0.29399999999999998</v>
      </c>
      <c r="H163" s="86">
        <v>1.2999999999999999E-2</v>
      </c>
      <c r="I163" s="87">
        <v>-1.1000000000000001</v>
      </c>
      <c r="J163" s="85"/>
      <c r="K163" s="85"/>
      <c r="L163" t="s">
        <v>444</v>
      </c>
      <c r="M163" s="81">
        <v>3197</v>
      </c>
      <c r="N163" t="s">
        <v>442</v>
      </c>
      <c r="O163" s="85">
        <f t="shared" si="4"/>
        <v>-4.7619047619047477</v>
      </c>
      <c r="P163" s="85">
        <f t="shared" si="5"/>
        <v>4.7619047619047477</v>
      </c>
      <c r="Q163" s="81"/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NAO AVALIADO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397</v>
      </c>
      <c r="B164" t="s">
        <v>450</v>
      </c>
      <c r="C164" s="81">
        <v>2025</v>
      </c>
      <c r="D164" t="s">
        <v>420</v>
      </c>
      <c r="E164" t="s">
        <v>453</v>
      </c>
      <c r="F164" s="85">
        <v>2.0099999999999998</v>
      </c>
      <c r="G164" s="86">
        <v>2.0590000000000002</v>
      </c>
      <c r="H164" s="86">
        <v>6.6000000000000003E-2</v>
      </c>
      <c r="I164" s="87">
        <v>-0.7</v>
      </c>
      <c r="J164" s="85"/>
      <c r="K164" s="85"/>
      <c r="L164" t="s">
        <v>444</v>
      </c>
      <c r="M164" s="81">
        <v>3191</v>
      </c>
      <c r="N164" t="s">
        <v>442</v>
      </c>
      <c r="O164" s="85">
        <f t="shared" si="4"/>
        <v>-2.3797960174842339</v>
      </c>
      <c r="P164" s="85">
        <f t="shared" si="5"/>
        <v>2.3797960174842339</v>
      </c>
      <c r="Q164" s="81"/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NAO AVALIADO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397</v>
      </c>
      <c r="B165" t="s">
        <v>450</v>
      </c>
      <c r="C165" s="81">
        <v>2025</v>
      </c>
      <c r="D165" t="s">
        <v>420</v>
      </c>
      <c r="E165" t="s">
        <v>454</v>
      </c>
      <c r="F165" s="85">
        <v>0.76</v>
      </c>
      <c r="G165" s="86">
        <v>0.77300000000000002</v>
      </c>
      <c r="H165" s="86">
        <v>2.7E-2</v>
      </c>
      <c r="I165" s="87">
        <v>-0.5</v>
      </c>
      <c r="J165" s="85"/>
      <c r="K165" s="85"/>
      <c r="L165" t="s">
        <v>444</v>
      </c>
      <c r="M165" s="81">
        <v>3192</v>
      </c>
      <c r="N165" t="s">
        <v>442</v>
      </c>
      <c r="O165" s="85">
        <f t="shared" si="4"/>
        <v>-1.6817593790426923</v>
      </c>
      <c r="P165" s="85">
        <f t="shared" si="5"/>
        <v>1.6817593790426923</v>
      </c>
      <c r="Q165" s="81"/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NAO AVALIADO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397</v>
      </c>
      <c r="B166" t="s">
        <v>450</v>
      </c>
      <c r="C166" s="81">
        <v>2025</v>
      </c>
      <c r="D166" t="s">
        <v>420</v>
      </c>
      <c r="E166" t="s">
        <v>455</v>
      </c>
      <c r="F166" s="85">
        <v>0.31</v>
      </c>
      <c r="G166" s="86">
        <v>0.32200000000000001</v>
      </c>
      <c r="H166" s="86">
        <v>1.4E-2</v>
      </c>
      <c r="I166" s="87">
        <v>-0.9</v>
      </c>
      <c r="J166" s="85"/>
      <c r="K166" s="85"/>
      <c r="L166" t="s">
        <v>444</v>
      </c>
      <c r="M166" s="81">
        <v>3198</v>
      </c>
      <c r="N166" t="s">
        <v>442</v>
      </c>
      <c r="O166" s="85">
        <f t="shared" si="4"/>
        <v>-3.7267080745341645</v>
      </c>
      <c r="P166" s="85">
        <f t="shared" si="5"/>
        <v>3.7267080745341645</v>
      </c>
      <c r="Q166" s="81"/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NAO AVALIADO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397</v>
      </c>
      <c r="B167" t="s">
        <v>450</v>
      </c>
      <c r="C167" s="81">
        <v>2025</v>
      </c>
      <c r="D167" t="s">
        <v>421</v>
      </c>
      <c r="E167" t="s">
        <v>451</v>
      </c>
      <c r="F167" s="85">
        <v>20</v>
      </c>
      <c r="G167" s="86">
        <v>20.010000000000002</v>
      </c>
      <c r="H167" s="86">
        <v>0.79</v>
      </c>
      <c r="I167" s="87">
        <v>0</v>
      </c>
      <c r="J167" s="85"/>
      <c r="K167" s="85"/>
      <c r="L167" t="s">
        <v>444</v>
      </c>
      <c r="M167" s="81">
        <v>2451</v>
      </c>
      <c r="N167" t="s">
        <v>437</v>
      </c>
      <c r="O167" s="85">
        <f t="shared" si="4"/>
        <v>-4.9975012493760927E-2</v>
      </c>
      <c r="P167" s="85">
        <f t="shared" si="5"/>
        <v>4.9975012493760927E-2</v>
      </c>
      <c r="Q167" s="81"/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NAO AVALIADO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397</v>
      </c>
      <c r="B168" t="s">
        <v>450</v>
      </c>
      <c r="C168" s="81">
        <v>2025</v>
      </c>
      <c r="D168" t="s">
        <v>421</v>
      </c>
      <c r="E168" t="s">
        <v>452</v>
      </c>
      <c r="F168" s="85">
        <v>20</v>
      </c>
      <c r="G168" s="86">
        <v>20</v>
      </c>
      <c r="H168" s="86">
        <v>0.56999999999999995</v>
      </c>
      <c r="I168" s="87">
        <v>0</v>
      </c>
      <c r="J168" s="85"/>
      <c r="K168" s="85"/>
      <c r="L168" t="s">
        <v>444</v>
      </c>
      <c r="M168" s="81">
        <v>2450</v>
      </c>
      <c r="N168" t="s">
        <v>437</v>
      </c>
      <c r="O168" s="85">
        <f t="shared" si="4"/>
        <v>0</v>
      </c>
      <c r="P168" s="85">
        <f t="shared" si="5"/>
        <v>0</v>
      </c>
      <c r="Q168" s="81"/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NAO AVALIADO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397</v>
      </c>
      <c r="B169" t="s">
        <v>450</v>
      </c>
      <c r="C169" s="81">
        <v>2025</v>
      </c>
      <c r="D169" t="s">
        <v>421</v>
      </c>
      <c r="E169" t="s">
        <v>453</v>
      </c>
      <c r="F169" s="85">
        <v>19</v>
      </c>
      <c r="G169" s="86">
        <v>20.02</v>
      </c>
      <c r="H169" s="86">
        <v>0.68</v>
      </c>
      <c r="I169" s="87">
        <v>-1.5</v>
      </c>
      <c r="J169" s="85"/>
      <c r="K169" s="85"/>
      <c r="L169" t="s">
        <v>444</v>
      </c>
      <c r="M169" s="81">
        <v>2452</v>
      </c>
      <c r="N169" t="s">
        <v>437</v>
      </c>
      <c r="O169" s="85">
        <f t="shared" si="4"/>
        <v>-5.0949050949050934</v>
      </c>
      <c r="P169" s="85">
        <f t="shared" si="5"/>
        <v>5.0949050949050934</v>
      </c>
      <c r="Q169" s="81"/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NAO AVALIADO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397</v>
      </c>
      <c r="B170" t="s">
        <v>450</v>
      </c>
      <c r="C170" s="81">
        <v>2025</v>
      </c>
      <c r="D170" t="s">
        <v>421</v>
      </c>
      <c r="E170" t="s">
        <v>454</v>
      </c>
      <c r="F170" s="85">
        <v>20</v>
      </c>
      <c r="G170" s="86">
        <v>20.02</v>
      </c>
      <c r="H170" s="86">
        <v>0.64</v>
      </c>
      <c r="I170" s="87">
        <v>0</v>
      </c>
      <c r="J170" s="85"/>
      <c r="K170" s="85"/>
      <c r="L170" t="s">
        <v>444</v>
      </c>
      <c r="M170" s="81">
        <v>2454</v>
      </c>
      <c r="N170" t="s">
        <v>437</v>
      </c>
      <c r="O170" s="85">
        <f t="shared" si="4"/>
        <v>-9.990009990009778E-2</v>
      </c>
      <c r="P170" s="85">
        <f t="shared" si="5"/>
        <v>9.990009990009778E-2</v>
      </c>
      <c r="Q170" s="81"/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NAO AVALIADO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397</v>
      </c>
      <c r="B171" t="s">
        <v>450</v>
      </c>
      <c r="C171" s="81">
        <v>2025</v>
      </c>
      <c r="D171" t="s">
        <v>421</v>
      </c>
      <c r="E171" t="s">
        <v>455</v>
      </c>
      <c r="F171" s="85">
        <v>20.3</v>
      </c>
      <c r="G171" s="86">
        <v>20.010000000000002</v>
      </c>
      <c r="H171" s="86">
        <v>0.63</v>
      </c>
      <c r="I171" s="87">
        <v>0.5</v>
      </c>
      <c r="J171" s="85"/>
      <c r="K171" s="85"/>
      <c r="L171" t="s">
        <v>444</v>
      </c>
      <c r="M171" s="81">
        <v>2450</v>
      </c>
      <c r="N171" t="s">
        <v>437</v>
      </c>
      <c r="O171" s="85">
        <f t="shared" si="4"/>
        <v>1.4492753623188364</v>
      </c>
      <c r="P171" s="85">
        <f t="shared" si="5"/>
        <v>1.4492753623188364</v>
      </c>
      <c r="Q171" s="81"/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NAO AVALIADO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397</v>
      </c>
      <c r="B172" t="s">
        <v>450</v>
      </c>
      <c r="C172" s="81">
        <v>2025</v>
      </c>
      <c r="D172" t="s">
        <v>422</v>
      </c>
      <c r="E172" t="s">
        <v>451</v>
      </c>
      <c r="F172" s="85">
        <v>28.5</v>
      </c>
      <c r="G172" s="86">
        <v>28.6</v>
      </c>
      <c r="H172" s="86">
        <v>1.18</v>
      </c>
      <c r="I172" s="87">
        <v>-0.1</v>
      </c>
      <c r="J172" s="85">
        <v>25</v>
      </c>
      <c r="K172" s="85">
        <v>32.200000000000003</v>
      </c>
      <c r="L172" t="s">
        <v>436</v>
      </c>
      <c r="M172" s="81">
        <v>3459</v>
      </c>
      <c r="N172" t="s">
        <v>437</v>
      </c>
      <c r="O172" s="85">
        <f t="shared" si="4"/>
        <v>-0.34965034965035457</v>
      </c>
      <c r="P172" s="85">
        <f t="shared" si="5"/>
        <v>0.34965034965035457</v>
      </c>
      <c r="Q172" s="81"/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397</v>
      </c>
      <c r="B173" t="s">
        <v>450</v>
      </c>
      <c r="C173" s="81">
        <v>2025</v>
      </c>
      <c r="D173" t="s">
        <v>422</v>
      </c>
      <c r="E173" t="s">
        <v>452</v>
      </c>
      <c r="F173" s="85">
        <v>31.3</v>
      </c>
      <c r="G173" s="86">
        <v>32.020000000000003</v>
      </c>
      <c r="H173" s="86">
        <v>1.31</v>
      </c>
      <c r="I173" s="87">
        <v>-0.5</v>
      </c>
      <c r="J173" s="85">
        <v>28</v>
      </c>
      <c r="K173" s="85">
        <v>36</v>
      </c>
      <c r="L173" t="s">
        <v>436</v>
      </c>
      <c r="M173" s="81">
        <v>3431</v>
      </c>
      <c r="N173" t="s">
        <v>437</v>
      </c>
      <c r="O173" s="85">
        <f t="shared" si="4"/>
        <v>-2.2485946283572842</v>
      </c>
      <c r="P173" s="85">
        <f t="shared" si="5"/>
        <v>2.2485946283572842</v>
      </c>
      <c r="Q173" s="81"/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397</v>
      </c>
      <c r="B174" t="s">
        <v>450</v>
      </c>
      <c r="C174" s="81">
        <v>2025</v>
      </c>
      <c r="D174" t="s">
        <v>422</v>
      </c>
      <c r="E174" t="s">
        <v>453</v>
      </c>
      <c r="F174" s="85">
        <v>22.8</v>
      </c>
      <c r="G174" s="86">
        <v>23.93</v>
      </c>
      <c r="H174" s="86">
        <v>0.88</v>
      </c>
      <c r="I174" s="87">
        <v>-1.3</v>
      </c>
      <c r="J174" s="85">
        <v>21.2</v>
      </c>
      <c r="K174" s="85">
        <v>26.6</v>
      </c>
      <c r="L174" t="s">
        <v>436</v>
      </c>
      <c r="M174" s="81">
        <v>3435</v>
      </c>
      <c r="N174" t="s">
        <v>437</v>
      </c>
      <c r="O174" s="85">
        <f t="shared" si="4"/>
        <v>-4.7221061429168367</v>
      </c>
      <c r="P174" s="85">
        <f t="shared" si="5"/>
        <v>4.7221061429168367</v>
      </c>
      <c r="Q174" s="81"/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397</v>
      </c>
      <c r="B175" t="s">
        <v>450</v>
      </c>
      <c r="C175" s="81">
        <v>2025</v>
      </c>
      <c r="D175" t="s">
        <v>422</v>
      </c>
      <c r="E175" t="s">
        <v>454</v>
      </c>
      <c r="F175" s="85">
        <v>27.7</v>
      </c>
      <c r="G175" s="86">
        <v>27.82</v>
      </c>
      <c r="H175" s="86">
        <v>1.1200000000000001</v>
      </c>
      <c r="I175" s="87">
        <v>-0.4</v>
      </c>
      <c r="J175" s="85">
        <v>24.4</v>
      </c>
      <c r="K175" s="85">
        <v>31.2</v>
      </c>
      <c r="L175" t="s">
        <v>436</v>
      </c>
      <c r="M175" s="81">
        <v>3445</v>
      </c>
      <c r="N175" t="s">
        <v>437</v>
      </c>
      <c r="O175" s="85">
        <f t="shared" si="4"/>
        <v>-0.43134435657800496</v>
      </c>
      <c r="P175" s="85">
        <f t="shared" si="5"/>
        <v>0.43134435657800496</v>
      </c>
      <c r="Q175" s="81"/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397</v>
      </c>
      <c r="B176" t="s">
        <v>450</v>
      </c>
      <c r="C176" s="81">
        <v>2025</v>
      </c>
      <c r="D176" t="s">
        <v>422</v>
      </c>
      <c r="E176" t="s">
        <v>455</v>
      </c>
      <c r="F176" s="85">
        <v>29.5</v>
      </c>
      <c r="G176" s="86">
        <v>28.7</v>
      </c>
      <c r="H176" s="86">
        <v>1.36</v>
      </c>
      <c r="I176" s="87">
        <v>0.6</v>
      </c>
      <c r="J176" s="85">
        <v>24.6</v>
      </c>
      <c r="K176" s="85">
        <v>32.799999999999997</v>
      </c>
      <c r="L176" t="s">
        <v>436</v>
      </c>
      <c r="M176" s="81">
        <v>3453</v>
      </c>
      <c r="N176" t="s">
        <v>437</v>
      </c>
      <c r="O176" s="85">
        <f t="shared" si="4"/>
        <v>2.7874564459930338</v>
      </c>
      <c r="P176" s="85">
        <f t="shared" si="5"/>
        <v>2.7874564459930338</v>
      </c>
      <c r="Q176" s="81"/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397</v>
      </c>
      <c r="B177" t="s">
        <v>450</v>
      </c>
      <c r="C177" s="81">
        <v>2025</v>
      </c>
      <c r="D177" t="s">
        <v>423</v>
      </c>
      <c r="E177" t="s">
        <v>451</v>
      </c>
      <c r="F177" s="85">
        <v>2.12</v>
      </c>
      <c r="G177" s="86">
        <v>2.1909999999999998</v>
      </c>
      <c r="H177" s="86">
        <v>9.9000000000000005E-2</v>
      </c>
      <c r="I177" s="87">
        <v>-0.7</v>
      </c>
      <c r="J177" s="85">
        <v>1.89</v>
      </c>
      <c r="K177" s="85">
        <v>2.4900000000000002</v>
      </c>
      <c r="L177" t="s">
        <v>436</v>
      </c>
      <c r="M177" s="81">
        <v>3446</v>
      </c>
      <c r="N177" t="s">
        <v>442</v>
      </c>
      <c r="O177" s="85">
        <f t="shared" si="4"/>
        <v>-3.2405294386124939</v>
      </c>
      <c r="P177" s="85">
        <f t="shared" si="5"/>
        <v>3.2405294386124939</v>
      </c>
      <c r="Q177" s="81"/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397</v>
      </c>
      <c r="B178" t="s">
        <v>450</v>
      </c>
      <c r="C178" s="81">
        <v>2025</v>
      </c>
      <c r="D178" t="s">
        <v>423</v>
      </c>
      <c r="E178" t="s">
        <v>452</v>
      </c>
      <c r="F178" s="85">
        <v>0.85</v>
      </c>
      <c r="G178" s="86">
        <v>0.90500000000000003</v>
      </c>
      <c r="H178" s="86">
        <v>4.3999999999999997E-2</v>
      </c>
      <c r="I178" s="87">
        <v>-1.3</v>
      </c>
      <c r="J178" s="85">
        <v>0.77</v>
      </c>
      <c r="K178" s="85">
        <v>1.04</v>
      </c>
      <c r="L178" t="s">
        <v>436</v>
      </c>
      <c r="M178" s="81">
        <v>3431</v>
      </c>
      <c r="N178" t="s">
        <v>442</v>
      </c>
      <c r="O178" s="85">
        <f t="shared" si="4"/>
        <v>-6.0773480662983479</v>
      </c>
      <c r="P178" s="85">
        <f t="shared" si="5"/>
        <v>6.0773480662983479</v>
      </c>
      <c r="Q178" s="81"/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397</v>
      </c>
      <c r="B179" t="s">
        <v>450</v>
      </c>
      <c r="C179" s="81">
        <v>2025</v>
      </c>
      <c r="D179" t="s">
        <v>423</v>
      </c>
      <c r="E179" t="s">
        <v>453</v>
      </c>
      <c r="F179" s="85">
        <v>3.83</v>
      </c>
      <c r="G179" s="86">
        <v>4.03</v>
      </c>
      <c r="H179" s="86">
        <v>0.16300000000000001</v>
      </c>
      <c r="I179" s="87">
        <v>-1.2</v>
      </c>
      <c r="J179" s="85">
        <v>3.54</v>
      </c>
      <c r="K179" s="85">
        <v>4.5199999999999996</v>
      </c>
      <c r="L179" t="s">
        <v>436</v>
      </c>
      <c r="M179" s="81">
        <v>3433</v>
      </c>
      <c r="N179" t="s">
        <v>442</v>
      </c>
      <c r="O179" s="85">
        <f t="shared" si="4"/>
        <v>-4.9627791563275476</v>
      </c>
      <c r="P179" s="85">
        <f t="shared" si="5"/>
        <v>4.9627791563275476</v>
      </c>
      <c r="Q179" s="81"/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397</v>
      </c>
      <c r="B180" t="s">
        <v>450</v>
      </c>
      <c r="C180" s="81">
        <v>2025</v>
      </c>
      <c r="D180" t="s">
        <v>423</v>
      </c>
      <c r="E180" t="s">
        <v>454</v>
      </c>
      <c r="F180" s="85">
        <v>1.87</v>
      </c>
      <c r="G180" s="86">
        <v>1.9019999999999999</v>
      </c>
      <c r="H180" s="86">
        <v>8.6999999999999994E-2</v>
      </c>
      <c r="I180" s="87">
        <v>-0.4</v>
      </c>
      <c r="J180" s="85">
        <v>1.64</v>
      </c>
      <c r="K180" s="85">
        <v>2.17</v>
      </c>
      <c r="L180" t="s">
        <v>436</v>
      </c>
      <c r="M180" s="81">
        <v>3446</v>
      </c>
      <c r="N180" t="s">
        <v>442</v>
      </c>
      <c r="O180" s="85">
        <f t="shared" si="4"/>
        <v>-1.6824395373291172</v>
      </c>
      <c r="P180" s="85">
        <f t="shared" si="5"/>
        <v>1.6824395373291172</v>
      </c>
      <c r="Q180" s="81"/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397</v>
      </c>
      <c r="B181" t="s">
        <v>450</v>
      </c>
      <c r="C181" s="81">
        <v>2025</v>
      </c>
      <c r="D181" t="s">
        <v>423</v>
      </c>
      <c r="E181" t="s">
        <v>455</v>
      </c>
      <c r="F181" s="85">
        <v>0.82</v>
      </c>
      <c r="G181" s="86">
        <v>0.81299999999999994</v>
      </c>
      <c r="H181" s="86">
        <v>4.4999999999999998E-2</v>
      </c>
      <c r="I181" s="87">
        <v>0.2</v>
      </c>
      <c r="J181" s="85">
        <v>0.67</v>
      </c>
      <c r="K181" s="85">
        <v>0.95</v>
      </c>
      <c r="L181" t="s">
        <v>436</v>
      </c>
      <c r="M181" s="81">
        <v>3453</v>
      </c>
      <c r="N181" t="s">
        <v>442</v>
      </c>
      <c r="O181" s="85">
        <f t="shared" si="4"/>
        <v>0.86100861008610163</v>
      </c>
      <c r="P181" s="85">
        <f t="shared" si="5"/>
        <v>0.86100861008610163</v>
      </c>
      <c r="Q181" s="81"/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397</v>
      </c>
      <c r="B182" t="s">
        <v>450</v>
      </c>
      <c r="C182" s="81">
        <v>2025</v>
      </c>
      <c r="D182" t="s">
        <v>130</v>
      </c>
      <c r="E182" t="s">
        <v>451</v>
      </c>
      <c r="F182" s="85">
        <v>25.6</v>
      </c>
      <c r="G182" s="86">
        <v>25.44</v>
      </c>
      <c r="H182" s="86">
        <v>0.34</v>
      </c>
      <c r="I182" s="87">
        <v>0.5</v>
      </c>
      <c r="J182" s="85">
        <v>24.4</v>
      </c>
      <c r="K182" s="85">
        <v>26.5</v>
      </c>
      <c r="L182" t="s">
        <v>436</v>
      </c>
      <c r="M182" s="81">
        <v>3435</v>
      </c>
      <c r="N182" t="s">
        <v>445</v>
      </c>
      <c r="O182" s="85">
        <f t="shared" si="4"/>
        <v>0.62893081761006342</v>
      </c>
      <c r="P182" s="85">
        <f t="shared" si="5"/>
        <v>0.62893081761006342</v>
      </c>
      <c r="Q182" s="81"/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397</v>
      </c>
      <c r="B183" t="s">
        <v>450</v>
      </c>
      <c r="C183" s="81">
        <v>2025</v>
      </c>
      <c r="D183" t="s">
        <v>130</v>
      </c>
      <c r="E183" t="s">
        <v>452</v>
      </c>
      <c r="F183" s="85">
        <v>24.2</v>
      </c>
      <c r="G183" s="86">
        <v>24.53</v>
      </c>
      <c r="H183" s="86">
        <v>0.34</v>
      </c>
      <c r="I183" s="87">
        <v>-1</v>
      </c>
      <c r="J183" s="85">
        <v>23.5</v>
      </c>
      <c r="K183" s="85">
        <v>25.6</v>
      </c>
      <c r="L183" t="s">
        <v>436</v>
      </c>
      <c r="M183" s="81">
        <v>3451</v>
      </c>
      <c r="N183" t="s">
        <v>445</v>
      </c>
      <c r="O183" s="85">
        <f t="shared" si="4"/>
        <v>-1.3452914798206352</v>
      </c>
      <c r="P183" s="85">
        <f t="shared" si="5"/>
        <v>1.3452914798206352</v>
      </c>
      <c r="Q183" s="81"/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397</v>
      </c>
      <c r="B184" t="s">
        <v>450</v>
      </c>
      <c r="C184" s="81">
        <v>2025</v>
      </c>
      <c r="D184" t="s">
        <v>130</v>
      </c>
      <c r="E184" t="s">
        <v>453</v>
      </c>
      <c r="F184" s="85">
        <v>30.8</v>
      </c>
      <c r="G184" s="86">
        <v>31.09</v>
      </c>
      <c r="H184" s="86">
        <v>0.36</v>
      </c>
      <c r="I184" s="87">
        <v>-0.8</v>
      </c>
      <c r="J184" s="85">
        <v>30</v>
      </c>
      <c r="K184" s="85">
        <v>32.200000000000003</v>
      </c>
      <c r="L184" t="s">
        <v>436</v>
      </c>
      <c r="M184" s="81">
        <v>3450</v>
      </c>
      <c r="N184" t="s">
        <v>445</v>
      </c>
      <c r="O184" s="85">
        <f t="shared" si="4"/>
        <v>-0.93277581215824756</v>
      </c>
      <c r="P184" s="85">
        <f t="shared" si="5"/>
        <v>0.93277581215824756</v>
      </c>
      <c r="Q184" s="81"/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397</v>
      </c>
      <c r="B185" t="s">
        <v>450</v>
      </c>
      <c r="C185" s="81">
        <v>2025</v>
      </c>
      <c r="D185" t="s">
        <v>130</v>
      </c>
      <c r="E185" t="s">
        <v>454</v>
      </c>
      <c r="F185" s="85">
        <v>29</v>
      </c>
      <c r="G185" s="86">
        <v>29.26</v>
      </c>
      <c r="H185" s="86">
        <v>0.34</v>
      </c>
      <c r="I185" s="87">
        <v>-0.8</v>
      </c>
      <c r="J185" s="85">
        <v>28.2</v>
      </c>
      <c r="K185" s="85">
        <v>30.3</v>
      </c>
      <c r="L185" t="s">
        <v>436</v>
      </c>
      <c r="M185" s="81">
        <v>3441</v>
      </c>
      <c r="N185" t="s">
        <v>445</v>
      </c>
      <c r="O185" s="85">
        <f t="shared" si="4"/>
        <v>-0.88858509911142014</v>
      </c>
      <c r="P185" s="85">
        <f t="shared" si="5"/>
        <v>0.88858509911142014</v>
      </c>
      <c r="Q185" s="81"/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397</v>
      </c>
      <c r="B186" t="s">
        <v>450</v>
      </c>
      <c r="C186" s="81">
        <v>2025</v>
      </c>
      <c r="D186" t="s">
        <v>130</v>
      </c>
      <c r="E186" t="s">
        <v>455</v>
      </c>
      <c r="F186" s="85">
        <v>29.3</v>
      </c>
      <c r="G186" s="86">
        <v>29.32</v>
      </c>
      <c r="H186" s="86">
        <v>0.34</v>
      </c>
      <c r="I186" s="87">
        <v>-0.1</v>
      </c>
      <c r="J186" s="85">
        <v>28.3</v>
      </c>
      <c r="K186" s="85">
        <v>30.4</v>
      </c>
      <c r="L186" t="s">
        <v>436</v>
      </c>
      <c r="M186" s="81">
        <v>3446</v>
      </c>
      <c r="N186" t="s">
        <v>445</v>
      </c>
      <c r="O186" s="85">
        <f t="shared" si="4"/>
        <v>-6.8212824010912596E-2</v>
      </c>
      <c r="P186" s="85">
        <f t="shared" si="5"/>
        <v>6.8212824010912596E-2</v>
      </c>
      <c r="Q186" s="81"/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397</v>
      </c>
      <c r="B187" t="s">
        <v>450</v>
      </c>
      <c r="C187" s="81">
        <v>2025</v>
      </c>
      <c r="D187" t="s">
        <v>131</v>
      </c>
      <c r="E187" t="s">
        <v>451</v>
      </c>
      <c r="F187" s="85">
        <v>34.799999999999997</v>
      </c>
      <c r="G187" s="86">
        <v>34.78</v>
      </c>
      <c r="H187" s="86">
        <v>0.56999999999999995</v>
      </c>
      <c r="I187" s="87">
        <v>0</v>
      </c>
      <c r="J187" s="85">
        <v>33</v>
      </c>
      <c r="K187" s="85">
        <v>36.5</v>
      </c>
      <c r="L187" t="s">
        <v>436</v>
      </c>
      <c r="M187" s="81">
        <v>3461</v>
      </c>
      <c r="N187" t="s">
        <v>443</v>
      </c>
      <c r="O187" s="85">
        <f t="shared" si="4"/>
        <v>5.7504312823450324E-2</v>
      </c>
      <c r="P187" s="85">
        <f t="shared" si="5"/>
        <v>5.7504312823450324E-2</v>
      </c>
      <c r="Q187" s="81"/>
      <c r="S187" t="str">
        <f>IF($W187&lt;&gt;"NAO ACEITO","",COUNTIFS($W$2:$W187,"NAO ACEITO"))</f>
        <v/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ACEITO</v>
      </c>
      <c r="X187" t="str">
        <f>IF(OR($D187="",$W187&lt;&gt;"NAO ACEITO"),"",IF(COUNTIFS($D$2:$D187,$D187,$W$2:$W187,"NAO ACEITO")=1,1,0))</f>
        <v/>
      </c>
    </row>
    <row r="188" spans="1:24" x14ac:dyDescent="0.3">
      <c r="A188" t="s">
        <v>397</v>
      </c>
      <c r="B188" t="s">
        <v>450</v>
      </c>
      <c r="C188" s="81">
        <v>2025</v>
      </c>
      <c r="D188" t="s">
        <v>131</v>
      </c>
      <c r="E188" t="s">
        <v>452</v>
      </c>
      <c r="F188" s="85">
        <v>32.9</v>
      </c>
      <c r="G188" s="86">
        <v>33.369999999999997</v>
      </c>
      <c r="H188" s="86">
        <v>0.56000000000000005</v>
      </c>
      <c r="I188" s="87">
        <v>-0.8</v>
      </c>
      <c r="J188" s="85">
        <v>31.6</v>
      </c>
      <c r="K188" s="85">
        <v>35.1</v>
      </c>
      <c r="L188" t="s">
        <v>436</v>
      </c>
      <c r="M188" s="81">
        <v>3459</v>
      </c>
      <c r="N188" t="s">
        <v>443</v>
      </c>
      <c r="O188" s="85">
        <f t="shared" si="4"/>
        <v>-1.4084507042253489</v>
      </c>
      <c r="P188" s="85">
        <f t="shared" si="5"/>
        <v>1.4084507042253489</v>
      </c>
      <c r="Q188" s="81"/>
      <c r="S188" t="str">
        <f>IF($W188&lt;&gt;"NAO ACEITO","",COUNTIFS($W$2:$W188,"NAO ACEITO"))</f>
        <v/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ACEITO</v>
      </c>
      <c r="X188" t="str">
        <f>IF(OR($D188="",$W188&lt;&gt;"NAO ACEITO"),"",IF(COUNTIFS($D$2:$D188,$D188,$W$2:$W188,"NAO ACEITO")=1,1,0))</f>
        <v/>
      </c>
    </row>
    <row r="189" spans="1:24" x14ac:dyDescent="0.3">
      <c r="A189" t="s">
        <v>397</v>
      </c>
      <c r="B189" t="s">
        <v>450</v>
      </c>
      <c r="C189" s="81">
        <v>2025</v>
      </c>
      <c r="D189" t="s">
        <v>131</v>
      </c>
      <c r="E189" t="s">
        <v>453</v>
      </c>
      <c r="F189" s="85">
        <v>34.4</v>
      </c>
      <c r="G189" s="86">
        <v>34.69</v>
      </c>
      <c r="H189" s="86">
        <v>0.5</v>
      </c>
      <c r="I189" s="87">
        <v>-0.6</v>
      </c>
      <c r="J189" s="85">
        <v>33.1</v>
      </c>
      <c r="K189" s="85">
        <v>36.200000000000003</v>
      </c>
      <c r="L189" t="s">
        <v>436</v>
      </c>
      <c r="M189" s="81">
        <v>3459</v>
      </c>
      <c r="N189" t="s">
        <v>443</v>
      </c>
      <c r="O189" s="85">
        <f t="shared" si="4"/>
        <v>-0.83597578552896856</v>
      </c>
      <c r="P189" s="85">
        <f t="shared" si="5"/>
        <v>0.83597578552896856</v>
      </c>
      <c r="Q189" s="81"/>
      <c r="S189" t="str">
        <f>IF($W189&lt;&gt;"NAO ACEITO","",COUNTIFS($W$2:$W189,"NAO ACEITO"))</f>
        <v/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ACEITO</v>
      </c>
      <c r="X189" t="str">
        <f>IF(OR($D189="",$W189&lt;&gt;"NAO ACEITO"),"",IF(COUNTIFS($D$2:$D189,$D189,$W$2:$W189,"NAO ACEITO")=1,1,0))</f>
        <v/>
      </c>
    </row>
    <row r="190" spans="1:24" x14ac:dyDescent="0.3">
      <c r="A190" t="s">
        <v>397</v>
      </c>
      <c r="B190" t="s">
        <v>450</v>
      </c>
      <c r="C190" s="81">
        <v>2025</v>
      </c>
      <c r="D190" t="s">
        <v>131</v>
      </c>
      <c r="E190" t="s">
        <v>454</v>
      </c>
      <c r="F190" s="85">
        <v>34.200000000000003</v>
      </c>
      <c r="G190" s="86">
        <v>34.56</v>
      </c>
      <c r="H190" s="86">
        <v>0.51</v>
      </c>
      <c r="I190" s="87">
        <v>-0.7</v>
      </c>
      <c r="J190" s="85">
        <v>33</v>
      </c>
      <c r="K190" s="85">
        <v>36.200000000000003</v>
      </c>
      <c r="L190" t="s">
        <v>436</v>
      </c>
      <c r="M190" s="81">
        <v>3464</v>
      </c>
      <c r="N190" t="s">
        <v>443</v>
      </c>
      <c r="O190" s="85">
        <f t="shared" si="4"/>
        <v>-1.041666666666665</v>
      </c>
      <c r="P190" s="85">
        <f t="shared" si="5"/>
        <v>1.041666666666665</v>
      </c>
      <c r="Q190" s="81"/>
      <c r="S190" t="str">
        <f>IF($W190&lt;&gt;"NAO ACEITO","",COUNTIFS($W$2:$W190,"NAO ACEITO"))</f>
        <v/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ACEITO</v>
      </c>
      <c r="X190" t="str">
        <f>IF(OR($D190="",$W190&lt;&gt;"NAO ACEITO"),"",IF(COUNTIFS($D$2:$D190,$D190,$W$2:$W190,"NAO ACEITO")=1,1,0))</f>
        <v/>
      </c>
    </row>
    <row r="191" spans="1:24" x14ac:dyDescent="0.3">
      <c r="A191" t="s">
        <v>397</v>
      </c>
      <c r="B191" t="s">
        <v>450</v>
      </c>
      <c r="C191" s="81">
        <v>2025</v>
      </c>
      <c r="D191" t="s">
        <v>131</v>
      </c>
      <c r="E191" t="s">
        <v>455</v>
      </c>
      <c r="F191" s="85">
        <v>34.799999999999997</v>
      </c>
      <c r="G191" s="86">
        <v>34.659999999999997</v>
      </c>
      <c r="H191" s="86">
        <v>0.5</v>
      </c>
      <c r="I191" s="87">
        <v>0.3</v>
      </c>
      <c r="J191" s="85">
        <v>33.1</v>
      </c>
      <c r="K191" s="85">
        <v>36.200000000000003</v>
      </c>
      <c r="L191" t="s">
        <v>436</v>
      </c>
      <c r="M191" s="81">
        <v>3459</v>
      </c>
      <c r="N191" t="s">
        <v>443</v>
      </c>
      <c r="O191" s="85">
        <f t="shared" si="4"/>
        <v>0.40392383150606059</v>
      </c>
      <c r="P191" s="85">
        <f t="shared" si="5"/>
        <v>0.40392383150606059</v>
      </c>
      <c r="Q191" s="81"/>
      <c r="S191" t="str">
        <f>IF($W191&lt;&gt;"NAO ACEITO","",COUNTIFS($W$2:$W191,"NAO ACEITO"))</f>
        <v/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ACEITO</v>
      </c>
      <c r="X191" t="str">
        <f>IF(OR($D191="",$W191&lt;&gt;"NAO ACEITO"),"",IF(COUNTIFS($D$2:$D191,$D191,$W$2:$W191,"NAO ACEITO")=1,1,0))</f>
        <v/>
      </c>
    </row>
    <row r="192" spans="1:24" x14ac:dyDescent="0.3">
      <c r="A192" t="s">
        <v>397</v>
      </c>
      <c r="B192" t="s">
        <v>450</v>
      </c>
      <c r="C192" s="81">
        <v>2025</v>
      </c>
      <c r="D192" t="s">
        <v>129</v>
      </c>
      <c r="E192" t="s">
        <v>451</v>
      </c>
      <c r="F192" s="85">
        <v>73.599999999999994</v>
      </c>
      <c r="G192" s="86">
        <v>73.22</v>
      </c>
      <c r="H192" s="86">
        <v>0.79</v>
      </c>
      <c r="I192" s="87">
        <v>0.5</v>
      </c>
      <c r="J192" s="85">
        <v>70.8</v>
      </c>
      <c r="K192" s="85">
        <v>75.599999999999994</v>
      </c>
      <c r="L192" t="s">
        <v>436</v>
      </c>
      <c r="M192" s="81">
        <v>3467</v>
      </c>
      <c r="N192" t="s">
        <v>447</v>
      </c>
      <c r="O192" s="85">
        <f t="shared" si="4"/>
        <v>0.51898388418464281</v>
      </c>
      <c r="P192" s="85">
        <f t="shared" si="5"/>
        <v>0.51898388418464281</v>
      </c>
      <c r="Q192" s="81"/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397</v>
      </c>
      <c r="B193" t="s">
        <v>450</v>
      </c>
      <c r="C193" s="81">
        <v>2025</v>
      </c>
      <c r="D193" t="s">
        <v>129</v>
      </c>
      <c r="E193" t="s">
        <v>452</v>
      </c>
      <c r="F193" s="85">
        <v>73.599999999999994</v>
      </c>
      <c r="G193" s="86">
        <v>73.47</v>
      </c>
      <c r="H193" s="86">
        <v>0.8</v>
      </c>
      <c r="I193" s="87">
        <v>0.2</v>
      </c>
      <c r="J193" s="85">
        <v>71</v>
      </c>
      <c r="K193" s="85">
        <v>75.900000000000006</v>
      </c>
      <c r="L193" t="s">
        <v>436</v>
      </c>
      <c r="M193" s="81">
        <v>3470</v>
      </c>
      <c r="N193" t="s">
        <v>447</v>
      </c>
      <c r="O193" s="85">
        <f t="shared" si="4"/>
        <v>0.17694296991968894</v>
      </c>
      <c r="P193" s="85">
        <f t="shared" si="5"/>
        <v>0.17694296991968894</v>
      </c>
      <c r="Q193" s="81"/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397</v>
      </c>
      <c r="B194" t="s">
        <v>450</v>
      </c>
      <c r="C194" s="81">
        <v>2025</v>
      </c>
      <c r="D194" t="s">
        <v>129</v>
      </c>
      <c r="E194" t="s">
        <v>453</v>
      </c>
      <c r="F194" s="85">
        <v>89.5</v>
      </c>
      <c r="G194" s="86">
        <v>89.64</v>
      </c>
      <c r="H194" s="86">
        <v>0.91</v>
      </c>
      <c r="I194" s="87">
        <v>-0.2</v>
      </c>
      <c r="J194" s="85">
        <v>86.9</v>
      </c>
      <c r="K194" s="85">
        <v>92.4</v>
      </c>
      <c r="L194" t="s">
        <v>436</v>
      </c>
      <c r="M194" s="81">
        <v>3465</v>
      </c>
      <c r="N194" t="s">
        <v>447</v>
      </c>
      <c r="O194" s="85">
        <f t="shared" ref="O194:O257" si="6">IFERROR((F194-G194)/G194*100,"")</f>
        <v>-0.15618027666220502</v>
      </c>
      <c r="P194" s="85">
        <f t="shared" ref="P194:P257" si="7">IF(O194="","",ABS(O194))</f>
        <v>0.15618027666220502</v>
      </c>
      <c r="Q194" s="81"/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397</v>
      </c>
      <c r="B195" t="s">
        <v>450</v>
      </c>
      <c r="C195" s="81">
        <v>2025</v>
      </c>
      <c r="D195" t="s">
        <v>129</v>
      </c>
      <c r="E195" t="s">
        <v>454</v>
      </c>
      <c r="F195" s="85">
        <v>84.8</v>
      </c>
      <c r="G195" s="86">
        <v>84.67</v>
      </c>
      <c r="H195" s="86">
        <v>0.87</v>
      </c>
      <c r="I195" s="87">
        <v>0.2</v>
      </c>
      <c r="J195" s="85">
        <v>82</v>
      </c>
      <c r="K195" s="85">
        <v>87.3</v>
      </c>
      <c r="L195" t="s">
        <v>436</v>
      </c>
      <c r="M195" s="81">
        <v>3461</v>
      </c>
      <c r="N195" t="s">
        <v>447</v>
      </c>
      <c r="O195" s="85">
        <f t="shared" si="6"/>
        <v>0.153537262312502</v>
      </c>
      <c r="P195" s="85">
        <f t="shared" si="7"/>
        <v>0.153537262312502</v>
      </c>
      <c r="Q195" s="81"/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397</v>
      </c>
      <c r="B196" t="s">
        <v>450</v>
      </c>
      <c r="C196" s="81">
        <v>2025</v>
      </c>
      <c r="D196" t="s">
        <v>129</v>
      </c>
      <c r="E196" t="s">
        <v>455</v>
      </c>
      <c r="F196" s="85">
        <v>84.1</v>
      </c>
      <c r="G196" s="86">
        <v>84.6</v>
      </c>
      <c r="H196" s="86">
        <v>0.86</v>
      </c>
      <c r="I196" s="87">
        <v>-0.6</v>
      </c>
      <c r="J196" s="85">
        <v>82</v>
      </c>
      <c r="K196" s="85">
        <v>87.2</v>
      </c>
      <c r="L196" t="s">
        <v>436</v>
      </c>
      <c r="M196" s="81">
        <v>3468</v>
      </c>
      <c r="N196" t="s">
        <v>447</v>
      </c>
      <c r="O196" s="85">
        <f t="shared" si="6"/>
        <v>-0.59101654846335705</v>
      </c>
      <c r="P196" s="85">
        <f t="shared" si="7"/>
        <v>0.59101654846335705</v>
      </c>
      <c r="Q196" s="81"/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397</v>
      </c>
      <c r="B197" t="s">
        <v>450</v>
      </c>
      <c r="C197" s="81">
        <v>2025</v>
      </c>
      <c r="D197" t="s">
        <v>149</v>
      </c>
      <c r="E197" t="s">
        <v>451</v>
      </c>
      <c r="F197" s="85">
        <v>9.6999999999999993</v>
      </c>
      <c r="G197" s="86">
        <v>9.9499999999999993</v>
      </c>
      <c r="H197" s="86">
        <v>0.2</v>
      </c>
      <c r="I197" s="87">
        <v>-1.3</v>
      </c>
      <c r="J197" s="85">
        <v>9.3000000000000007</v>
      </c>
      <c r="K197" s="85">
        <v>10.6</v>
      </c>
      <c r="L197" t="s">
        <v>436</v>
      </c>
      <c r="M197" s="81">
        <v>3311</v>
      </c>
      <c r="N197" t="s">
        <v>447</v>
      </c>
      <c r="O197" s="85">
        <f t="shared" si="6"/>
        <v>-2.512562814070352</v>
      </c>
      <c r="P197" s="85">
        <f t="shared" si="7"/>
        <v>2.512562814070352</v>
      </c>
      <c r="Q197" s="81"/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397</v>
      </c>
      <c r="B198" t="s">
        <v>450</v>
      </c>
      <c r="C198" s="81">
        <v>2025</v>
      </c>
      <c r="D198" t="s">
        <v>149</v>
      </c>
      <c r="E198" t="s">
        <v>452</v>
      </c>
      <c r="F198" s="85">
        <v>9.9</v>
      </c>
      <c r="G198" s="86">
        <v>10.36</v>
      </c>
      <c r="H198" s="86">
        <v>0.37</v>
      </c>
      <c r="I198" s="87">
        <v>-1.2</v>
      </c>
      <c r="J198" s="85">
        <v>9.1999999999999993</v>
      </c>
      <c r="K198" s="85">
        <v>11.5</v>
      </c>
      <c r="L198" t="s">
        <v>436</v>
      </c>
      <c r="M198" s="81">
        <v>3316</v>
      </c>
      <c r="N198" t="s">
        <v>447</v>
      </c>
      <c r="O198" s="85">
        <f t="shared" si="6"/>
        <v>-4.4401544401544317</v>
      </c>
      <c r="P198" s="85">
        <f t="shared" si="7"/>
        <v>4.4401544401544317</v>
      </c>
      <c r="Q198" s="81"/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397</v>
      </c>
      <c r="B199" t="s">
        <v>450</v>
      </c>
      <c r="C199" s="81">
        <v>2025</v>
      </c>
      <c r="D199" t="s">
        <v>149</v>
      </c>
      <c r="E199" t="s">
        <v>453</v>
      </c>
      <c r="F199" s="85">
        <v>9.3000000000000007</v>
      </c>
      <c r="G199" s="86">
        <v>9.58</v>
      </c>
      <c r="H199" s="86">
        <v>0.16</v>
      </c>
      <c r="I199" s="87">
        <v>-1.8</v>
      </c>
      <c r="J199" s="85">
        <v>9.1</v>
      </c>
      <c r="K199" s="85">
        <v>10.1</v>
      </c>
      <c r="L199" t="s">
        <v>436</v>
      </c>
      <c r="M199" s="81">
        <v>3299</v>
      </c>
      <c r="N199" t="s">
        <v>447</v>
      </c>
      <c r="O199" s="85">
        <f t="shared" si="6"/>
        <v>-2.9227557411273422</v>
      </c>
      <c r="P199" s="85">
        <f t="shared" si="7"/>
        <v>2.9227557411273422</v>
      </c>
      <c r="Q199" s="81"/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397</v>
      </c>
      <c r="B200" t="s">
        <v>450</v>
      </c>
      <c r="C200" s="81">
        <v>2025</v>
      </c>
      <c r="D200" t="s">
        <v>149</v>
      </c>
      <c r="E200" t="s">
        <v>454</v>
      </c>
      <c r="F200" s="85">
        <v>9.5</v>
      </c>
      <c r="G200" s="86">
        <v>9.82</v>
      </c>
      <c r="H200" s="86">
        <v>0.21</v>
      </c>
      <c r="I200" s="87">
        <v>-1.5</v>
      </c>
      <c r="J200" s="85">
        <v>9.4</v>
      </c>
      <c r="K200" s="85">
        <v>10.5</v>
      </c>
      <c r="L200" t="s">
        <v>436</v>
      </c>
      <c r="M200" s="81">
        <v>3304</v>
      </c>
      <c r="N200" t="s">
        <v>447</v>
      </c>
      <c r="O200" s="85">
        <f t="shared" si="6"/>
        <v>-3.2586558044806542</v>
      </c>
      <c r="P200" s="85">
        <f t="shared" si="7"/>
        <v>3.2586558044806542</v>
      </c>
      <c r="Q200" s="81"/>
      <c r="S200" t="str">
        <f>IF($W200&lt;&gt;"NAO ACEITO","",COUNTIFS($W$2:$W200,"NAO ACEITO"))</f>
        <v/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ACEITO</v>
      </c>
      <c r="X200" t="str">
        <f>IF(OR($D200="",$W200&lt;&gt;"NAO ACEITO"),"",IF(COUNTIFS($D$2:$D200,$D200,$W$2:$W200,"NAO ACEITO")=1,1,0))</f>
        <v/>
      </c>
    </row>
    <row r="201" spans="1:24" x14ac:dyDescent="0.3">
      <c r="A201" t="s">
        <v>397</v>
      </c>
      <c r="B201" t="s">
        <v>450</v>
      </c>
      <c r="C201" s="81">
        <v>2025</v>
      </c>
      <c r="D201" t="s">
        <v>149</v>
      </c>
      <c r="E201" t="s">
        <v>455</v>
      </c>
      <c r="F201" s="85">
        <v>9.4</v>
      </c>
      <c r="G201" s="86">
        <v>9.77</v>
      </c>
      <c r="H201" s="86">
        <v>0.24</v>
      </c>
      <c r="I201" s="87">
        <v>-1.6</v>
      </c>
      <c r="J201" s="85">
        <v>9</v>
      </c>
      <c r="K201" s="85">
        <v>10.5</v>
      </c>
      <c r="L201" t="s">
        <v>436</v>
      </c>
      <c r="M201" s="81">
        <v>3305</v>
      </c>
      <c r="N201" t="s">
        <v>447</v>
      </c>
      <c r="O201" s="85">
        <f t="shared" si="6"/>
        <v>-3.7871033776867886</v>
      </c>
      <c r="P201" s="85">
        <f t="shared" si="7"/>
        <v>3.7871033776867886</v>
      </c>
      <c r="Q201" s="81"/>
      <c r="S201" t="str">
        <f>IF($W201&lt;&gt;"NAO ACEITO","",COUNTIFS($W$2:$W201,"NAO ACEITO"))</f>
        <v/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ACEITO</v>
      </c>
      <c r="X201" t="str">
        <f>IF(OR($D201="",$W201&lt;&gt;"NAO ACEITO"),"",IF(COUNTIFS($D$2:$D201,$D201,$W$2:$W201,"NAO ACEITO")=1,1,0))</f>
        <v/>
      </c>
    </row>
    <row r="202" spans="1:24" x14ac:dyDescent="0.3">
      <c r="A202" t="s">
        <v>397</v>
      </c>
      <c r="B202" t="s">
        <v>450</v>
      </c>
      <c r="C202" s="81">
        <v>2025</v>
      </c>
      <c r="D202" t="s">
        <v>424</v>
      </c>
      <c r="E202" t="s">
        <v>451</v>
      </c>
      <c r="F202" s="85">
        <v>11.4</v>
      </c>
      <c r="G202" s="86">
        <v>11.01</v>
      </c>
      <c r="H202" s="86">
        <v>1.1399999999999999</v>
      </c>
      <c r="I202" s="87">
        <v>0.3</v>
      </c>
      <c r="J202" s="85">
        <v>7.5</v>
      </c>
      <c r="K202" s="85">
        <v>14.5</v>
      </c>
      <c r="L202" t="s">
        <v>436</v>
      </c>
      <c r="M202" s="81">
        <v>3422</v>
      </c>
      <c r="N202" t="s">
        <v>437</v>
      </c>
      <c r="O202" s="85">
        <f t="shared" si="6"/>
        <v>3.5422343324250734</v>
      </c>
      <c r="P202" s="85">
        <f t="shared" si="7"/>
        <v>3.5422343324250734</v>
      </c>
      <c r="Q202" s="81"/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397</v>
      </c>
      <c r="B203" t="s">
        <v>450</v>
      </c>
      <c r="C203" s="81">
        <v>2025</v>
      </c>
      <c r="D203" t="s">
        <v>424</v>
      </c>
      <c r="E203" t="s">
        <v>452</v>
      </c>
      <c r="F203" s="85">
        <v>12.9</v>
      </c>
      <c r="G203" s="86">
        <v>12.55</v>
      </c>
      <c r="H203" s="86">
        <v>1.1499999999999999</v>
      </c>
      <c r="I203" s="87">
        <v>0.3</v>
      </c>
      <c r="J203" s="85">
        <v>9.1</v>
      </c>
      <c r="K203" s="85">
        <v>16</v>
      </c>
      <c r="L203" t="s">
        <v>436</v>
      </c>
      <c r="M203" s="81">
        <v>3426</v>
      </c>
      <c r="N203" t="s">
        <v>437</v>
      </c>
      <c r="O203" s="85">
        <f t="shared" si="6"/>
        <v>2.7888446215139413</v>
      </c>
      <c r="P203" s="85">
        <f t="shared" si="7"/>
        <v>2.7888446215139413</v>
      </c>
      <c r="Q203" s="81"/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397</v>
      </c>
      <c r="B204" t="s">
        <v>450</v>
      </c>
      <c r="C204" s="81">
        <v>2025</v>
      </c>
      <c r="D204" t="s">
        <v>424</v>
      </c>
      <c r="E204" t="s">
        <v>453</v>
      </c>
      <c r="F204" s="85">
        <v>12.4</v>
      </c>
      <c r="G204" s="86">
        <v>11.03</v>
      </c>
      <c r="H204" s="86">
        <v>0.88</v>
      </c>
      <c r="I204" s="87">
        <v>1.6</v>
      </c>
      <c r="J204" s="85">
        <v>8.3000000000000007</v>
      </c>
      <c r="K204" s="85">
        <v>13.7</v>
      </c>
      <c r="L204" t="s">
        <v>436</v>
      </c>
      <c r="M204" s="81">
        <v>3412</v>
      </c>
      <c r="N204" t="s">
        <v>437</v>
      </c>
      <c r="O204" s="85">
        <f t="shared" si="6"/>
        <v>12.42067089755214</v>
      </c>
      <c r="P204" s="85">
        <f t="shared" si="7"/>
        <v>12.42067089755214</v>
      </c>
      <c r="Q204" s="81"/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397</v>
      </c>
      <c r="B205" t="s">
        <v>450</v>
      </c>
      <c r="C205" s="81">
        <v>2025</v>
      </c>
      <c r="D205" t="s">
        <v>424</v>
      </c>
      <c r="E205" t="s">
        <v>454</v>
      </c>
      <c r="F205" s="85">
        <v>12.7</v>
      </c>
      <c r="G205" s="86">
        <v>11.94</v>
      </c>
      <c r="H205" s="86">
        <v>1.04</v>
      </c>
      <c r="I205" s="87">
        <v>0.7</v>
      </c>
      <c r="J205" s="85">
        <v>8.8000000000000007</v>
      </c>
      <c r="K205" s="85">
        <v>15.1</v>
      </c>
      <c r="L205" t="s">
        <v>436</v>
      </c>
      <c r="M205" s="81">
        <v>3411</v>
      </c>
      <c r="N205" t="s">
        <v>437</v>
      </c>
      <c r="O205" s="85">
        <f t="shared" si="6"/>
        <v>6.365159128978223</v>
      </c>
      <c r="P205" s="85">
        <f t="shared" si="7"/>
        <v>6.365159128978223</v>
      </c>
      <c r="Q205" s="81"/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397</v>
      </c>
      <c r="B206" t="s">
        <v>450</v>
      </c>
      <c r="C206" s="81">
        <v>2025</v>
      </c>
      <c r="D206" t="s">
        <v>424</v>
      </c>
      <c r="E206" t="s">
        <v>455</v>
      </c>
      <c r="F206" s="85">
        <v>10.4</v>
      </c>
      <c r="G206" s="86">
        <v>10.98</v>
      </c>
      <c r="H206" s="86">
        <v>1.22</v>
      </c>
      <c r="I206" s="87">
        <v>-0.5</v>
      </c>
      <c r="J206" s="85">
        <v>7.3</v>
      </c>
      <c r="K206" s="85">
        <v>14.7</v>
      </c>
      <c r="L206" t="s">
        <v>436</v>
      </c>
      <c r="M206" s="81">
        <v>3406</v>
      </c>
      <c r="N206" t="s">
        <v>437</v>
      </c>
      <c r="O206" s="85">
        <f t="shared" si="6"/>
        <v>-5.2823315118397094</v>
      </c>
      <c r="P206" s="85">
        <f t="shared" si="7"/>
        <v>5.2823315118397094</v>
      </c>
      <c r="Q206" s="81"/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397</v>
      </c>
      <c r="B207" t="s">
        <v>450</v>
      </c>
      <c r="C207" s="81">
        <v>2025</v>
      </c>
      <c r="D207" t="s">
        <v>425</v>
      </c>
      <c r="E207" t="s">
        <v>451</v>
      </c>
      <c r="F207" s="85">
        <v>0.85</v>
      </c>
      <c r="G207" s="86">
        <v>0.84299999999999997</v>
      </c>
      <c r="H207" s="86">
        <v>0.09</v>
      </c>
      <c r="I207" s="87">
        <v>0.1</v>
      </c>
      <c r="J207" s="85">
        <v>0.56999999999999995</v>
      </c>
      <c r="K207" s="85">
        <v>1.1200000000000001</v>
      </c>
      <c r="L207" t="s">
        <v>436</v>
      </c>
      <c r="M207" s="81">
        <v>3422</v>
      </c>
      <c r="N207" t="s">
        <v>442</v>
      </c>
      <c r="O207" s="85">
        <f t="shared" si="6"/>
        <v>0.8303677342823258</v>
      </c>
      <c r="P207" s="85">
        <f t="shared" si="7"/>
        <v>0.8303677342823258</v>
      </c>
      <c r="Q207" s="81"/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397</v>
      </c>
      <c r="B208" t="s">
        <v>450</v>
      </c>
      <c r="C208" s="81">
        <v>2025</v>
      </c>
      <c r="D208" t="s">
        <v>425</v>
      </c>
      <c r="E208" t="s">
        <v>452</v>
      </c>
      <c r="F208" s="85">
        <v>0.35</v>
      </c>
      <c r="G208" s="86">
        <v>0.35499999999999998</v>
      </c>
      <c r="H208" s="86">
        <v>3.4000000000000002E-2</v>
      </c>
      <c r="I208" s="87">
        <v>-0.1</v>
      </c>
      <c r="J208" s="85">
        <v>0.25</v>
      </c>
      <c r="K208" s="85">
        <v>0.46</v>
      </c>
      <c r="L208" t="s">
        <v>436</v>
      </c>
      <c r="M208" s="81">
        <v>3435</v>
      </c>
      <c r="N208" t="s">
        <v>442</v>
      </c>
      <c r="O208" s="85">
        <f t="shared" si="6"/>
        <v>-1.4084507042253533</v>
      </c>
      <c r="P208" s="85">
        <f t="shared" si="7"/>
        <v>1.4084507042253533</v>
      </c>
      <c r="Q208" s="81"/>
      <c r="S208" t="str">
        <f>IF($W208&lt;&gt;"NAO ACEITO","",COUNTIFS($W$2:$W208,"NAO ACEITO"))</f>
        <v/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ACEITO</v>
      </c>
      <c r="X208" t="str">
        <f>IF(OR($D208="",$W208&lt;&gt;"NAO ACEITO"),"",IF(COUNTIFS($D$2:$D208,$D208,$W$2:$W208,"NAO ACEITO")=1,1,0))</f>
        <v/>
      </c>
    </row>
    <row r="209" spans="1:24" x14ac:dyDescent="0.3">
      <c r="A209" t="s">
        <v>397</v>
      </c>
      <c r="B209" t="s">
        <v>450</v>
      </c>
      <c r="C209" s="81">
        <v>2025</v>
      </c>
      <c r="D209" t="s">
        <v>425</v>
      </c>
      <c r="E209" t="s">
        <v>453</v>
      </c>
      <c r="F209" s="85">
        <v>2.08</v>
      </c>
      <c r="G209" s="86">
        <v>1.8580000000000001</v>
      </c>
      <c r="H209" s="86">
        <v>0.151</v>
      </c>
      <c r="I209" s="87">
        <v>1.5</v>
      </c>
      <c r="J209" s="85">
        <v>1.4</v>
      </c>
      <c r="K209" s="85">
        <v>2.3199999999999998</v>
      </c>
      <c r="L209" t="s">
        <v>436</v>
      </c>
      <c r="M209" s="81">
        <v>3402</v>
      </c>
      <c r="N209" t="s">
        <v>442</v>
      </c>
      <c r="O209" s="85">
        <f t="shared" si="6"/>
        <v>11.948331539289557</v>
      </c>
      <c r="P209" s="85">
        <f t="shared" si="7"/>
        <v>11.948331539289557</v>
      </c>
      <c r="Q209" s="81"/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397</v>
      </c>
      <c r="B210" t="s">
        <v>450</v>
      </c>
      <c r="C210" s="81">
        <v>2025</v>
      </c>
      <c r="D210" t="s">
        <v>425</v>
      </c>
      <c r="E210" t="s">
        <v>454</v>
      </c>
      <c r="F210" s="85">
        <v>0.86</v>
      </c>
      <c r="G210" s="86">
        <v>0.81599999999999995</v>
      </c>
      <c r="H210" s="86">
        <v>7.3999999999999996E-2</v>
      </c>
      <c r="I210" s="87">
        <v>0.6</v>
      </c>
      <c r="J210" s="85">
        <v>0.59</v>
      </c>
      <c r="K210" s="85">
        <v>1.04</v>
      </c>
      <c r="L210" t="s">
        <v>436</v>
      </c>
      <c r="M210" s="81">
        <v>3416</v>
      </c>
      <c r="N210" t="s">
        <v>442</v>
      </c>
      <c r="O210" s="85">
        <f t="shared" si="6"/>
        <v>5.3921568627451029</v>
      </c>
      <c r="P210" s="85">
        <f t="shared" si="7"/>
        <v>5.3921568627451029</v>
      </c>
      <c r="Q210" s="81"/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397</v>
      </c>
      <c r="B211" t="s">
        <v>450</v>
      </c>
      <c r="C211" s="81">
        <v>2025</v>
      </c>
      <c r="D211" t="s">
        <v>425</v>
      </c>
      <c r="E211" t="s">
        <v>455</v>
      </c>
      <c r="F211" s="85">
        <v>0.28999999999999998</v>
      </c>
      <c r="G211" s="86">
        <v>0.31</v>
      </c>
      <c r="H211" s="86">
        <v>3.6999999999999998E-2</v>
      </c>
      <c r="I211" s="87">
        <v>-0.5</v>
      </c>
      <c r="J211" s="85">
        <v>0.2</v>
      </c>
      <c r="K211" s="85">
        <v>0.42</v>
      </c>
      <c r="L211" t="s">
        <v>436</v>
      </c>
      <c r="M211" s="81">
        <v>3418</v>
      </c>
      <c r="N211" t="s">
        <v>442</v>
      </c>
      <c r="O211" s="85">
        <f t="shared" si="6"/>
        <v>-6.4516129032258114</v>
      </c>
      <c r="P211" s="85">
        <f t="shared" si="7"/>
        <v>6.4516129032258114</v>
      </c>
      <c r="Q211" s="81"/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397</v>
      </c>
      <c r="B212" t="s">
        <v>450</v>
      </c>
      <c r="C212" s="81">
        <v>2025</v>
      </c>
      <c r="D212" t="s">
        <v>426</v>
      </c>
      <c r="E212" t="s">
        <v>451</v>
      </c>
      <c r="F212" s="85">
        <v>43.1</v>
      </c>
      <c r="G212" s="86">
        <v>44.93</v>
      </c>
      <c r="H212" s="86">
        <v>0.97</v>
      </c>
      <c r="I212" s="87">
        <v>-1.9</v>
      </c>
      <c r="J212" s="85">
        <v>42</v>
      </c>
      <c r="K212" s="85">
        <v>47.9</v>
      </c>
      <c r="L212" t="s">
        <v>436</v>
      </c>
      <c r="M212" s="81">
        <v>3403</v>
      </c>
      <c r="N212" t="s">
        <v>437</v>
      </c>
      <c r="O212" s="85">
        <f t="shared" si="6"/>
        <v>-4.0730024482528338</v>
      </c>
      <c r="P212" s="85">
        <f t="shared" si="7"/>
        <v>4.0730024482528338</v>
      </c>
      <c r="Q212" s="81"/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397</v>
      </c>
      <c r="B213" t="s">
        <v>450</v>
      </c>
      <c r="C213" s="81">
        <v>2025</v>
      </c>
      <c r="D213" t="s">
        <v>426</v>
      </c>
      <c r="E213" t="s">
        <v>452</v>
      </c>
      <c r="F213" s="85">
        <v>40</v>
      </c>
      <c r="G213" s="86">
        <v>40.65</v>
      </c>
      <c r="H213" s="86">
        <v>1.07</v>
      </c>
      <c r="I213" s="87">
        <v>-0.6</v>
      </c>
      <c r="J213" s="85">
        <v>37.4</v>
      </c>
      <c r="K213" s="85">
        <v>43.9</v>
      </c>
      <c r="L213" t="s">
        <v>436</v>
      </c>
      <c r="M213" s="81">
        <v>3389</v>
      </c>
      <c r="N213" t="s">
        <v>437</v>
      </c>
      <c r="O213" s="85">
        <f t="shared" si="6"/>
        <v>-1.5990159901598984</v>
      </c>
      <c r="P213" s="85">
        <f t="shared" si="7"/>
        <v>1.5990159901598984</v>
      </c>
      <c r="Q213" s="81"/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397</v>
      </c>
      <c r="B214" t="s">
        <v>450</v>
      </c>
      <c r="C214" s="81">
        <v>2025</v>
      </c>
      <c r="D214" t="s">
        <v>426</v>
      </c>
      <c r="E214" t="s">
        <v>453</v>
      </c>
      <c r="F214" s="85">
        <v>48.1</v>
      </c>
      <c r="G214" s="86">
        <v>48.64</v>
      </c>
      <c r="H214" s="86">
        <v>0.91</v>
      </c>
      <c r="I214" s="87">
        <v>-0.6</v>
      </c>
      <c r="J214" s="85">
        <v>45.9</v>
      </c>
      <c r="K214" s="85">
        <v>51.4</v>
      </c>
      <c r="L214" t="s">
        <v>436</v>
      </c>
      <c r="M214" s="81">
        <v>3394</v>
      </c>
      <c r="N214" t="s">
        <v>437</v>
      </c>
      <c r="O214" s="85">
        <f t="shared" si="6"/>
        <v>-1.1101973684210509</v>
      </c>
      <c r="P214" s="85">
        <f t="shared" si="7"/>
        <v>1.1101973684210509</v>
      </c>
      <c r="Q214" s="81"/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397</v>
      </c>
      <c r="B215" t="s">
        <v>450</v>
      </c>
      <c r="C215" s="81">
        <v>2025</v>
      </c>
      <c r="D215" t="s">
        <v>426</v>
      </c>
      <c r="E215" t="s">
        <v>454</v>
      </c>
      <c r="F215" s="85">
        <v>44.8</v>
      </c>
      <c r="G215" s="86">
        <v>44.62</v>
      </c>
      <c r="H215" s="86">
        <v>0.92</v>
      </c>
      <c r="I215" s="87">
        <v>0.2</v>
      </c>
      <c r="J215" s="85">
        <v>41.8</v>
      </c>
      <c r="K215" s="85">
        <v>47.4</v>
      </c>
      <c r="L215" t="s">
        <v>436</v>
      </c>
      <c r="M215" s="81">
        <v>3395</v>
      </c>
      <c r="N215" t="s">
        <v>437</v>
      </c>
      <c r="O215" s="85">
        <f t="shared" si="6"/>
        <v>0.40340654415060451</v>
      </c>
      <c r="P215" s="85">
        <f t="shared" si="7"/>
        <v>0.40340654415060451</v>
      </c>
      <c r="Q215" s="81"/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397</v>
      </c>
      <c r="B216" t="s">
        <v>450</v>
      </c>
      <c r="C216" s="81">
        <v>2025</v>
      </c>
      <c r="D216" t="s">
        <v>426</v>
      </c>
      <c r="E216" t="s">
        <v>455</v>
      </c>
      <c r="F216" s="85">
        <v>45</v>
      </c>
      <c r="G216" s="86">
        <v>44.86</v>
      </c>
      <c r="H216" s="86">
        <v>1.18</v>
      </c>
      <c r="I216" s="87">
        <v>0.1</v>
      </c>
      <c r="J216" s="85">
        <v>41.3</v>
      </c>
      <c r="K216" s="85">
        <v>48.4</v>
      </c>
      <c r="L216" t="s">
        <v>436</v>
      </c>
      <c r="M216" s="81">
        <v>3399</v>
      </c>
      <c r="N216" t="s">
        <v>437</v>
      </c>
      <c r="O216" s="85">
        <f t="shared" si="6"/>
        <v>0.31208203299153048</v>
      </c>
      <c r="P216" s="85">
        <f t="shared" si="7"/>
        <v>0.31208203299153048</v>
      </c>
      <c r="Q216" s="81"/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397</v>
      </c>
      <c r="B217" t="s">
        <v>450</v>
      </c>
      <c r="C217" s="81">
        <v>2025</v>
      </c>
      <c r="D217" t="s">
        <v>427</v>
      </c>
      <c r="E217" t="s">
        <v>451</v>
      </c>
      <c r="F217" s="85">
        <v>3.21</v>
      </c>
      <c r="G217" s="86">
        <v>3.4420000000000002</v>
      </c>
      <c r="H217" s="86">
        <v>0.10100000000000001</v>
      </c>
      <c r="I217" s="87">
        <v>-2.2999999999999998</v>
      </c>
      <c r="J217" s="85">
        <v>3.13</v>
      </c>
      <c r="K217" s="85">
        <v>3.75</v>
      </c>
      <c r="L217" t="s">
        <v>436</v>
      </c>
      <c r="M217" s="81">
        <v>3398</v>
      </c>
      <c r="N217" t="s">
        <v>442</v>
      </c>
      <c r="O217" s="85">
        <f t="shared" si="6"/>
        <v>-6.740267286461366</v>
      </c>
      <c r="P217" s="85">
        <f t="shared" si="7"/>
        <v>6.740267286461366</v>
      </c>
      <c r="Q217" s="81"/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397</v>
      </c>
      <c r="B218" t="s">
        <v>450</v>
      </c>
      <c r="C218" s="81">
        <v>2025</v>
      </c>
      <c r="D218" t="s">
        <v>427</v>
      </c>
      <c r="E218" t="s">
        <v>452</v>
      </c>
      <c r="F218" s="85">
        <v>1.0900000000000001</v>
      </c>
      <c r="G218" s="86">
        <v>1.1499999999999999</v>
      </c>
      <c r="H218" s="86">
        <v>4.3999999999999997E-2</v>
      </c>
      <c r="I218" s="87">
        <v>-1.4</v>
      </c>
      <c r="J218" s="85">
        <v>1.01</v>
      </c>
      <c r="K218" s="85">
        <v>1.29</v>
      </c>
      <c r="L218" t="s">
        <v>436</v>
      </c>
      <c r="M218" s="81">
        <v>3404</v>
      </c>
      <c r="N218" t="s">
        <v>442</v>
      </c>
      <c r="O218" s="85">
        <f t="shared" si="6"/>
        <v>-5.217391304347812</v>
      </c>
      <c r="P218" s="85">
        <f t="shared" si="7"/>
        <v>5.217391304347812</v>
      </c>
      <c r="Q218" s="81"/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397</v>
      </c>
      <c r="B219" t="s">
        <v>450</v>
      </c>
      <c r="C219" s="81">
        <v>2025</v>
      </c>
      <c r="D219" t="s">
        <v>427</v>
      </c>
      <c r="E219" t="s">
        <v>453</v>
      </c>
      <c r="F219" s="85">
        <v>8.08</v>
      </c>
      <c r="G219" s="86">
        <v>8.1959999999999997</v>
      </c>
      <c r="H219" s="86">
        <v>0.19700000000000001</v>
      </c>
      <c r="I219" s="87">
        <v>-0.6</v>
      </c>
      <c r="J219" s="85">
        <v>7.6</v>
      </c>
      <c r="K219" s="85">
        <v>8.7899999999999991</v>
      </c>
      <c r="L219" t="s">
        <v>436</v>
      </c>
      <c r="M219" s="81">
        <v>3394</v>
      </c>
      <c r="N219" t="s">
        <v>442</v>
      </c>
      <c r="O219" s="85">
        <f t="shared" si="6"/>
        <v>-1.4153245485602692</v>
      </c>
      <c r="P219" s="85">
        <f t="shared" si="7"/>
        <v>1.4153245485602692</v>
      </c>
      <c r="Q219" s="81"/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397</v>
      </c>
      <c r="B220" t="s">
        <v>450</v>
      </c>
      <c r="C220" s="81">
        <v>2025</v>
      </c>
      <c r="D220" t="s">
        <v>427</v>
      </c>
      <c r="E220" t="s">
        <v>454</v>
      </c>
      <c r="F220" s="85">
        <v>3.02</v>
      </c>
      <c r="G220" s="86">
        <v>3.0510000000000002</v>
      </c>
      <c r="H220" s="86">
        <v>8.4000000000000005E-2</v>
      </c>
      <c r="I220" s="87">
        <v>-0.4</v>
      </c>
      <c r="J220" s="85">
        <v>2.79</v>
      </c>
      <c r="K220" s="85">
        <v>3.31</v>
      </c>
      <c r="L220" t="s">
        <v>436</v>
      </c>
      <c r="M220" s="81">
        <v>3392</v>
      </c>
      <c r="N220" t="s">
        <v>442</v>
      </c>
      <c r="O220" s="85">
        <f t="shared" si="6"/>
        <v>-1.0160603080957109</v>
      </c>
      <c r="P220" s="85">
        <f t="shared" si="7"/>
        <v>1.0160603080957109</v>
      </c>
      <c r="Q220" s="81"/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397</v>
      </c>
      <c r="B221" t="s">
        <v>450</v>
      </c>
      <c r="C221" s="81">
        <v>2025</v>
      </c>
      <c r="D221" t="s">
        <v>427</v>
      </c>
      <c r="E221" t="s">
        <v>455</v>
      </c>
      <c r="F221" s="85">
        <v>1.25</v>
      </c>
      <c r="G221" s="86">
        <v>1.2709999999999999</v>
      </c>
      <c r="H221" s="86">
        <v>5.0999999999999997E-2</v>
      </c>
      <c r="I221" s="87">
        <v>-0.4</v>
      </c>
      <c r="J221" s="85">
        <v>1.1100000000000001</v>
      </c>
      <c r="K221" s="85">
        <v>1.43</v>
      </c>
      <c r="L221" t="s">
        <v>436</v>
      </c>
      <c r="M221" s="81">
        <v>3405</v>
      </c>
      <c r="N221" t="s">
        <v>442</v>
      </c>
      <c r="O221" s="85">
        <f t="shared" si="6"/>
        <v>-1.6522423288748946</v>
      </c>
      <c r="P221" s="85">
        <f t="shared" si="7"/>
        <v>1.6522423288748946</v>
      </c>
      <c r="Q221" s="81"/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397</v>
      </c>
      <c r="B222" t="s">
        <v>450</v>
      </c>
      <c r="C222" s="81">
        <v>2025</v>
      </c>
      <c r="D222" t="s">
        <v>428</v>
      </c>
      <c r="E222" t="s">
        <v>451</v>
      </c>
      <c r="F222" s="85">
        <v>312</v>
      </c>
      <c r="G222" s="86">
        <v>290.5</v>
      </c>
      <c r="H222" s="86">
        <v>13</v>
      </c>
      <c r="I222" s="87">
        <v>1.7</v>
      </c>
      <c r="J222" s="85">
        <v>217</v>
      </c>
      <c r="K222" s="85">
        <v>364</v>
      </c>
      <c r="L222" t="s">
        <v>436</v>
      </c>
      <c r="M222" s="81">
        <v>3493</v>
      </c>
      <c r="N222" t="s">
        <v>442</v>
      </c>
      <c r="O222" s="85">
        <f t="shared" si="6"/>
        <v>7.4010327022375213</v>
      </c>
      <c r="P222" s="85">
        <f t="shared" si="7"/>
        <v>7.4010327022375213</v>
      </c>
      <c r="Q222" s="81"/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397</v>
      </c>
      <c r="B223" t="s">
        <v>450</v>
      </c>
      <c r="C223" s="81">
        <v>2025</v>
      </c>
      <c r="D223" t="s">
        <v>428</v>
      </c>
      <c r="E223" t="s">
        <v>452</v>
      </c>
      <c r="F223" s="85">
        <v>52</v>
      </c>
      <c r="G223" s="86">
        <v>49</v>
      </c>
      <c r="H223" s="86">
        <v>3.4</v>
      </c>
      <c r="I223" s="87">
        <v>0.9</v>
      </c>
      <c r="J223" s="85">
        <v>36</v>
      </c>
      <c r="K223" s="85">
        <v>62</v>
      </c>
      <c r="L223" t="s">
        <v>436</v>
      </c>
      <c r="M223" s="81">
        <v>3496</v>
      </c>
      <c r="N223" t="s">
        <v>442</v>
      </c>
      <c r="O223" s="85">
        <f t="shared" si="6"/>
        <v>6.1224489795918364</v>
      </c>
      <c r="P223" s="85">
        <f t="shared" si="7"/>
        <v>6.1224489795918364</v>
      </c>
      <c r="Q223" s="81"/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397</v>
      </c>
      <c r="B224" t="s">
        <v>450</v>
      </c>
      <c r="C224" s="81">
        <v>2025</v>
      </c>
      <c r="D224" t="s">
        <v>428</v>
      </c>
      <c r="E224" t="s">
        <v>453</v>
      </c>
      <c r="F224" s="85">
        <v>538</v>
      </c>
      <c r="G224" s="86">
        <v>495.9</v>
      </c>
      <c r="H224" s="86">
        <v>11.6</v>
      </c>
      <c r="I224" s="87">
        <v>3.6</v>
      </c>
      <c r="J224" s="85">
        <v>371</v>
      </c>
      <c r="K224" s="85">
        <v>620</v>
      </c>
      <c r="L224" t="s">
        <v>436</v>
      </c>
      <c r="M224" s="81">
        <v>3477</v>
      </c>
      <c r="N224" t="s">
        <v>442</v>
      </c>
      <c r="O224" s="85">
        <f t="shared" si="6"/>
        <v>8.489614841701961</v>
      </c>
      <c r="P224" s="85">
        <f t="shared" si="7"/>
        <v>8.489614841701961</v>
      </c>
      <c r="Q224" s="81"/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397</v>
      </c>
      <c r="B225" t="s">
        <v>450</v>
      </c>
      <c r="C225" s="81">
        <v>2025</v>
      </c>
      <c r="D225" t="s">
        <v>428</v>
      </c>
      <c r="E225" t="s">
        <v>454</v>
      </c>
      <c r="F225" s="85">
        <v>226</v>
      </c>
      <c r="G225" s="86">
        <v>203.8</v>
      </c>
      <c r="H225" s="86">
        <v>7</v>
      </c>
      <c r="I225" s="87">
        <v>3.2</v>
      </c>
      <c r="J225" s="85">
        <v>152</v>
      </c>
      <c r="K225" s="85">
        <v>255</v>
      </c>
      <c r="L225" t="s">
        <v>436</v>
      </c>
      <c r="M225" s="81">
        <v>3489</v>
      </c>
      <c r="N225" t="s">
        <v>442</v>
      </c>
      <c r="O225" s="85">
        <f t="shared" si="6"/>
        <v>10.893032384690867</v>
      </c>
      <c r="P225" s="85">
        <f t="shared" si="7"/>
        <v>10.893032384690867</v>
      </c>
      <c r="Q225" s="81"/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397</v>
      </c>
      <c r="B226" t="s">
        <v>450</v>
      </c>
      <c r="C226" s="81">
        <v>2025</v>
      </c>
      <c r="D226" t="s">
        <v>428</v>
      </c>
      <c r="E226" t="s">
        <v>455</v>
      </c>
      <c r="F226" s="85">
        <v>127</v>
      </c>
      <c r="G226" s="86">
        <v>121.8</v>
      </c>
      <c r="H226" s="86">
        <v>4.5999999999999996</v>
      </c>
      <c r="I226" s="87">
        <v>1.1000000000000001</v>
      </c>
      <c r="J226" s="85">
        <v>91</v>
      </c>
      <c r="K226" s="85">
        <v>153</v>
      </c>
      <c r="L226" t="s">
        <v>436</v>
      </c>
      <c r="M226" s="81">
        <v>3494</v>
      </c>
      <c r="N226" t="s">
        <v>442</v>
      </c>
      <c r="O226" s="85">
        <f t="shared" si="6"/>
        <v>4.269293924466341</v>
      </c>
      <c r="P226" s="85">
        <f t="shared" si="7"/>
        <v>4.269293924466341</v>
      </c>
      <c r="Q226" s="81"/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397</v>
      </c>
      <c r="B227" t="s">
        <v>450</v>
      </c>
      <c r="C227" s="81">
        <v>2025</v>
      </c>
      <c r="D227" t="s">
        <v>429</v>
      </c>
      <c r="E227" t="s">
        <v>451</v>
      </c>
      <c r="F227" s="85">
        <v>17.899999999999999</v>
      </c>
      <c r="G227" s="86">
        <v>17.89</v>
      </c>
      <c r="H227" s="86">
        <v>0.14000000000000001</v>
      </c>
      <c r="I227" s="87">
        <v>0.1</v>
      </c>
      <c r="J227" s="85">
        <v>17.399999999999999</v>
      </c>
      <c r="K227" s="85">
        <v>18.399999999999999</v>
      </c>
      <c r="L227" t="s">
        <v>436</v>
      </c>
      <c r="M227" s="81">
        <v>2908</v>
      </c>
      <c r="N227" t="s">
        <v>437</v>
      </c>
      <c r="O227" s="85">
        <f t="shared" si="6"/>
        <v>5.5897149245377364E-2</v>
      </c>
      <c r="P227" s="85">
        <f t="shared" si="7"/>
        <v>5.5897149245377364E-2</v>
      </c>
      <c r="Q227" s="81"/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397</v>
      </c>
      <c r="B228" t="s">
        <v>450</v>
      </c>
      <c r="C228" s="81">
        <v>2025</v>
      </c>
      <c r="D228" t="s">
        <v>429</v>
      </c>
      <c r="E228" t="s">
        <v>452</v>
      </c>
      <c r="F228" s="85">
        <v>17.8</v>
      </c>
      <c r="G228" s="86">
        <v>17.68</v>
      </c>
      <c r="H228" s="86">
        <v>0.13</v>
      </c>
      <c r="I228" s="87">
        <v>0.9</v>
      </c>
      <c r="J228" s="85">
        <v>17.2</v>
      </c>
      <c r="K228" s="85">
        <v>18.100000000000001</v>
      </c>
      <c r="L228" t="s">
        <v>436</v>
      </c>
      <c r="M228" s="81">
        <v>2907</v>
      </c>
      <c r="N228" t="s">
        <v>437</v>
      </c>
      <c r="O228" s="85">
        <f t="shared" si="6"/>
        <v>0.67873303167421384</v>
      </c>
      <c r="P228" s="85">
        <f t="shared" si="7"/>
        <v>0.67873303167421384</v>
      </c>
      <c r="Q228" s="81"/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397</v>
      </c>
      <c r="B229" t="s">
        <v>450</v>
      </c>
      <c r="C229" s="81">
        <v>2025</v>
      </c>
      <c r="D229" t="s">
        <v>429</v>
      </c>
      <c r="E229" t="s">
        <v>453</v>
      </c>
      <c r="F229" s="85">
        <v>15.4</v>
      </c>
      <c r="G229" s="86">
        <v>15.41</v>
      </c>
      <c r="H229" s="86">
        <v>0.18</v>
      </c>
      <c r="I229" s="87">
        <v>0</v>
      </c>
      <c r="J229" s="85">
        <v>14.8</v>
      </c>
      <c r="K229" s="85">
        <v>16</v>
      </c>
      <c r="L229" t="s">
        <v>436</v>
      </c>
      <c r="M229" s="81">
        <v>2901</v>
      </c>
      <c r="N229" t="s">
        <v>437</v>
      </c>
      <c r="O229" s="85">
        <f t="shared" si="6"/>
        <v>-6.4892926670991474E-2</v>
      </c>
      <c r="P229" s="85">
        <f t="shared" si="7"/>
        <v>6.4892926670991474E-2</v>
      </c>
      <c r="Q229" s="81"/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397</v>
      </c>
      <c r="B230" t="s">
        <v>450</v>
      </c>
      <c r="C230" s="81">
        <v>2025</v>
      </c>
      <c r="D230" t="s">
        <v>429</v>
      </c>
      <c r="E230" t="s">
        <v>454</v>
      </c>
      <c r="F230" s="85">
        <v>15.3</v>
      </c>
      <c r="G230" s="86">
        <v>15.23</v>
      </c>
      <c r="H230" s="86">
        <v>0.13</v>
      </c>
      <c r="I230" s="87">
        <v>0.5</v>
      </c>
      <c r="J230" s="85">
        <v>14.8</v>
      </c>
      <c r="K230" s="85">
        <v>15.7</v>
      </c>
      <c r="L230" t="s">
        <v>436</v>
      </c>
      <c r="M230" s="81">
        <v>2900</v>
      </c>
      <c r="N230" t="s">
        <v>437</v>
      </c>
      <c r="O230" s="85">
        <f t="shared" si="6"/>
        <v>0.45961917268549102</v>
      </c>
      <c r="P230" s="85">
        <f t="shared" si="7"/>
        <v>0.45961917268549102</v>
      </c>
      <c r="Q230" s="81"/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397</v>
      </c>
      <c r="B231" t="s">
        <v>450</v>
      </c>
      <c r="C231" s="81">
        <v>2025</v>
      </c>
      <c r="D231" t="s">
        <v>429</v>
      </c>
      <c r="E231" t="s">
        <v>455</v>
      </c>
      <c r="F231" s="85">
        <v>15.1</v>
      </c>
      <c r="G231" s="86">
        <v>15</v>
      </c>
      <c r="H231" s="86">
        <v>0.12</v>
      </c>
      <c r="I231" s="87">
        <v>0.9</v>
      </c>
      <c r="J231" s="85">
        <v>14.6</v>
      </c>
      <c r="K231" s="85">
        <v>15.4</v>
      </c>
      <c r="L231" t="s">
        <v>436</v>
      </c>
      <c r="M231" s="81">
        <v>2904</v>
      </c>
      <c r="N231" t="s">
        <v>437</v>
      </c>
      <c r="O231" s="85">
        <f t="shared" si="6"/>
        <v>0.6666666666666643</v>
      </c>
      <c r="P231" s="85">
        <f t="shared" si="7"/>
        <v>0.6666666666666643</v>
      </c>
      <c r="Q231" s="81"/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397</v>
      </c>
      <c r="B232" t="s">
        <v>450</v>
      </c>
      <c r="C232" s="81">
        <v>2025</v>
      </c>
      <c r="D232" t="s">
        <v>430</v>
      </c>
      <c r="E232" t="s">
        <v>451</v>
      </c>
      <c r="F232" s="85">
        <v>2.42</v>
      </c>
      <c r="G232" s="86">
        <v>2.4060000000000001</v>
      </c>
      <c r="H232" s="86">
        <v>2.9000000000000001E-2</v>
      </c>
      <c r="I232" s="87">
        <v>0.5</v>
      </c>
      <c r="J232" s="85">
        <v>2.2999999999999998</v>
      </c>
      <c r="K232" s="85">
        <v>2.5099999999999998</v>
      </c>
      <c r="L232" t="s">
        <v>436</v>
      </c>
      <c r="M232" s="81">
        <v>3494</v>
      </c>
      <c r="N232" t="s">
        <v>448</v>
      </c>
      <c r="O232" s="85">
        <f t="shared" si="6"/>
        <v>0.58187863674147089</v>
      </c>
      <c r="P232" s="85">
        <f t="shared" si="7"/>
        <v>0.58187863674147089</v>
      </c>
      <c r="Q232" s="81"/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397</v>
      </c>
      <c r="B233" t="s">
        <v>450</v>
      </c>
      <c r="C233" s="81">
        <v>2025</v>
      </c>
      <c r="D233" t="s">
        <v>430</v>
      </c>
      <c r="E233" t="s">
        <v>452</v>
      </c>
      <c r="F233" s="85">
        <v>2.27</v>
      </c>
      <c r="G233" s="86">
        <v>2.2469999999999999</v>
      </c>
      <c r="H233" s="86">
        <v>2.9000000000000001E-2</v>
      </c>
      <c r="I233" s="87">
        <v>0.8</v>
      </c>
      <c r="J233" s="85">
        <v>2.15</v>
      </c>
      <c r="K233" s="85">
        <v>2.34</v>
      </c>
      <c r="L233" t="s">
        <v>436</v>
      </c>
      <c r="M233" s="81">
        <v>3499</v>
      </c>
      <c r="N233" t="s">
        <v>448</v>
      </c>
      <c r="O233" s="85">
        <f t="shared" si="6"/>
        <v>1.0235870048954221</v>
      </c>
      <c r="P233" s="85">
        <f t="shared" si="7"/>
        <v>1.0235870048954221</v>
      </c>
      <c r="Q233" s="81"/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397</v>
      </c>
      <c r="B234" t="s">
        <v>450</v>
      </c>
      <c r="C234" s="81">
        <v>2025</v>
      </c>
      <c r="D234" t="s">
        <v>430</v>
      </c>
      <c r="E234" t="s">
        <v>453</v>
      </c>
      <c r="F234" s="85">
        <v>5.35</v>
      </c>
      <c r="G234" s="86">
        <v>5.2439999999999998</v>
      </c>
      <c r="H234" s="86">
        <v>5.2999999999999999E-2</v>
      </c>
      <c r="I234" s="87">
        <v>2</v>
      </c>
      <c r="J234" s="85">
        <v>5.03</v>
      </c>
      <c r="K234" s="85">
        <v>5.46</v>
      </c>
      <c r="L234" t="s">
        <v>436</v>
      </c>
      <c r="M234" s="81">
        <v>3495</v>
      </c>
      <c r="N234" t="s">
        <v>448</v>
      </c>
      <c r="O234" s="85">
        <f t="shared" si="6"/>
        <v>2.0213577421815385</v>
      </c>
      <c r="P234" s="85">
        <f t="shared" si="7"/>
        <v>2.0213577421815385</v>
      </c>
      <c r="Q234" s="81"/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397</v>
      </c>
      <c r="B235" t="s">
        <v>450</v>
      </c>
      <c r="C235" s="81">
        <v>2025</v>
      </c>
      <c r="D235" t="s">
        <v>430</v>
      </c>
      <c r="E235" t="s">
        <v>454</v>
      </c>
      <c r="F235" s="85">
        <v>4.41</v>
      </c>
      <c r="G235" s="86">
        <v>4.3330000000000002</v>
      </c>
      <c r="H235" s="86">
        <v>4.2999999999999997E-2</v>
      </c>
      <c r="I235" s="87">
        <v>1.8</v>
      </c>
      <c r="J235" s="85">
        <v>4.1500000000000004</v>
      </c>
      <c r="K235" s="85">
        <v>4.51</v>
      </c>
      <c r="L235" t="s">
        <v>436</v>
      </c>
      <c r="M235" s="81">
        <v>3490</v>
      </c>
      <c r="N235" t="s">
        <v>448</v>
      </c>
      <c r="O235" s="85">
        <f t="shared" si="6"/>
        <v>1.7770597738287552</v>
      </c>
      <c r="P235" s="85">
        <f t="shared" si="7"/>
        <v>1.7770597738287552</v>
      </c>
      <c r="Q235" s="81"/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397</v>
      </c>
      <c r="B236" t="s">
        <v>450</v>
      </c>
      <c r="C236" s="81">
        <v>2025</v>
      </c>
      <c r="D236" t="s">
        <v>430</v>
      </c>
      <c r="E236" t="s">
        <v>455</v>
      </c>
      <c r="F236" s="85">
        <v>5.29</v>
      </c>
      <c r="G236" s="86">
        <v>5.1859999999999999</v>
      </c>
      <c r="H236" s="86">
        <v>0.05</v>
      </c>
      <c r="I236" s="87">
        <v>2.1</v>
      </c>
      <c r="J236" s="85">
        <v>4.97</v>
      </c>
      <c r="K236" s="85">
        <v>5.4</v>
      </c>
      <c r="L236" t="s">
        <v>436</v>
      </c>
      <c r="M236" s="81">
        <v>3489</v>
      </c>
      <c r="N236" t="s">
        <v>448</v>
      </c>
      <c r="O236" s="85">
        <f t="shared" si="6"/>
        <v>2.0053991515618992</v>
      </c>
      <c r="P236" s="85">
        <f t="shared" si="7"/>
        <v>2.0053991515618992</v>
      </c>
      <c r="Q236" s="81"/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397</v>
      </c>
      <c r="B237" t="s">
        <v>450</v>
      </c>
      <c r="C237" s="81">
        <v>2025</v>
      </c>
      <c r="D237" t="s">
        <v>431</v>
      </c>
      <c r="E237" t="s">
        <v>451</v>
      </c>
      <c r="F237" s="85">
        <v>7.4</v>
      </c>
      <c r="G237" s="86">
        <v>7.66</v>
      </c>
      <c r="H237" s="86">
        <v>0.14000000000000001</v>
      </c>
      <c r="I237" s="87">
        <v>-1.8</v>
      </c>
      <c r="J237" s="85">
        <v>6.8</v>
      </c>
      <c r="K237" s="85">
        <v>8.5</v>
      </c>
      <c r="L237" t="s">
        <v>436</v>
      </c>
      <c r="M237" s="81">
        <v>3501</v>
      </c>
      <c r="N237" t="s">
        <v>442</v>
      </c>
      <c r="O237" s="85">
        <f t="shared" si="6"/>
        <v>-3.3942558746736262</v>
      </c>
      <c r="P237" s="85">
        <f t="shared" si="7"/>
        <v>3.3942558746736262</v>
      </c>
      <c r="Q237" s="81"/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397</v>
      </c>
      <c r="B238" t="s">
        <v>450</v>
      </c>
      <c r="C238" s="81">
        <v>2025</v>
      </c>
      <c r="D238" t="s">
        <v>431</v>
      </c>
      <c r="E238" t="s">
        <v>452</v>
      </c>
      <c r="F238" s="85">
        <v>2.7</v>
      </c>
      <c r="G238" s="86">
        <v>2.83</v>
      </c>
      <c r="H238" s="86">
        <v>7.0000000000000007E-2</v>
      </c>
      <c r="I238" s="87">
        <v>-1.8</v>
      </c>
      <c r="J238" s="85">
        <v>2.5</v>
      </c>
      <c r="K238" s="85">
        <v>3.2</v>
      </c>
      <c r="L238" t="s">
        <v>436</v>
      </c>
      <c r="M238" s="81">
        <v>3492</v>
      </c>
      <c r="N238" t="s">
        <v>442</v>
      </c>
      <c r="O238" s="85">
        <f t="shared" si="6"/>
        <v>-4.5936395759717277</v>
      </c>
      <c r="P238" s="85">
        <f t="shared" si="7"/>
        <v>4.5936395759717277</v>
      </c>
      <c r="Q238" s="81"/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397</v>
      </c>
      <c r="B239" t="s">
        <v>450</v>
      </c>
      <c r="C239" s="81">
        <v>2025</v>
      </c>
      <c r="D239" t="s">
        <v>431</v>
      </c>
      <c r="E239" t="s">
        <v>453</v>
      </c>
      <c r="F239" s="85">
        <v>16.8</v>
      </c>
      <c r="G239" s="86">
        <v>16.850000000000001</v>
      </c>
      <c r="H239" s="86">
        <v>0.26</v>
      </c>
      <c r="I239" s="87">
        <v>-0.2</v>
      </c>
      <c r="J239" s="85">
        <v>15.1</v>
      </c>
      <c r="K239" s="85">
        <v>18.600000000000001</v>
      </c>
      <c r="L239" t="s">
        <v>436</v>
      </c>
      <c r="M239" s="81">
        <v>3491</v>
      </c>
      <c r="N239" t="s">
        <v>442</v>
      </c>
      <c r="O239" s="85">
        <f t="shared" si="6"/>
        <v>-0.29673590504451458</v>
      </c>
      <c r="P239" s="85">
        <f t="shared" si="7"/>
        <v>0.29673590504451458</v>
      </c>
      <c r="Q239" s="81"/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397</v>
      </c>
      <c r="B240" t="s">
        <v>450</v>
      </c>
      <c r="C240" s="81">
        <v>2025</v>
      </c>
      <c r="D240" t="s">
        <v>431</v>
      </c>
      <c r="E240" t="s">
        <v>454</v>
      </c>
      <c r="F240" s="85">
        <v>6.8</v>
      </c>
      <c r="G240" s="86">
        <v>6.84</v>
      </c>
      <c r="H240" s="86">
        <v>0.13</v>
      </c>
      <c r="I240" s="87">
        <v>-0.3</v>
      </c>
      <c r="J240" s="85">
        <v>6.1</v>
      </c>
      <c r="K240" s="85">
        <v>7.6</v>
      </c>
      <c r="L240" t="s">
        <v>436</v>
      </c>
      <c r="M240" s="81">
        <v>3496</v>
      </c>
      <c r="N240" t="s">
        <v>442</v>
      </c>
      <c r="O240" s="85">
        <f t="shared" si="6"/>
        <v>-0.58479532163742742</v>
      </c>
      <c r="P240" s="85">
        <f t="shared" si="7"/>
        <v>0.58479532163742742</v>
      </c>
      <c r="Q240" s="81"/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397</v>
      </c>
      <c r="B241" t="s">
        <v>450</v>
      </c>
      <c r="C241" s="81">
        <v>2025</v>
      </c>
      <c r="D241" t="s">
        <v>431</v>
      </c>
      <c r="E241" t="s">
        <v>455</v>
      </c>
      <c r="F241" s="85">
        <v>2.8</v>
      </c>
      <c r="G241" s="86">
        <v>2.83</v>
      </c>
      <c r="H241" s="86">
        <v>7.0000000000000007E-2</v>
      </c>
      <c r="I241" s="87">
        <v>-0.5</v>
      </c>
      <c r="J241" s="85">
        <v>2.5</v>
      </c>
      <c r="K241" s="85">
        <v>3.2</v>
      </c>
      <c r="L241" t="s">
        <v>436</v>
      </c>
      <c r="M241" s="81">
        <v>3491</v>
      </c>
      <c r="N241" t="s">
        <v>442</v>
      </c>
      <c r="O241" s="85">
        <f t="shared" si="6"/>
        <v>-1.0600706713781005</v>
      </c>
      <c r="P241" s="85">
        <f t="shared" si="7"/>
        <v>1.0600706713781005</v>
      </c>
      <c r="Q241" s="81"/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397</v>
      </c>
      <c r="B242" t="s">
        <v>450</v>
      </c>
      <c r="C242" s="81">
        <v>2025</v>
      </c>
      <c r="D242" t="s">
        <v>432</v>
      </c>
      <c r="E242" t="s">
        <v>451</v>
      </c>
      <c r="F242" s="85">
        <v>0</v>
      </c>
      <c r="G242" s="86">
        <v>4.0000000000000001E-3</v>
      </c>
      <c r="H242" s="86">
        <v>5.0000000000000001E-3</v>
      </c>
      <c r="I242" s="87">
        <v>-0.8</v>
      </c>
      <c r="J242" s="85"/>
      <c r="K242" s="85"/>
      <c r="L242" t="s">
        <v>444</v>
      </c>
      <c r="M242" s="81">
        <v>3035</v>
      </c>
      <c r="N242" t="s">
        <v>442</v>
      </c>
      <c r="O242" s="85">
        <f t="shared" si="6"/>
        <v>-100</v>
      </c>
      <c r="P242" s="85">
        <f t="shared" si="7"/>
        <v>100</v>
      </c>
      <c r="Q242" s="81"/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NAO AVALIADO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397</v>
      </c>
      <c r="B243" t="s">
        <v>450</v>
      </c>
      <c r="C243" s="81">
        <v>2025</v>
      </c>
      <c r="D243" t="s">
        <v>432</v>
      </c>
      <c r="E243" t="s">
        <v>452</v>
      </c>
      <c r="F243" s="85">
        <v>0.13</v>
      </c>
      <c r="G243" s="86">
        <v>0.14000000000000001</v>
      </c>
      <c r="H243" s="86">
        <v>1.4E-2</v>
      </c>
      <c r="I243" s="87">
        <v>-0.7</v>
      </c>
      <c r="J243" s="85"/>
      <c r="K243" s="85"/>
      <c r="L243" t="s">
        <v>444</v>
      </c>
      <c r="M243" s="81">
        <v>3017</v>
      </c>
      <c r="N243" t="s">
        <v>442</v>
      </c>
      <c r="O243" s="85">
        <f t="shared" si="6"/>
        <v>-7.1428571428571477</v>
      </c>
      <c r="P243" s="85">
        <f t="shared" si="7"/>
        <v>7.1428571428571477</v>
      </c>
      <c r="Q243" s="81"/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NAO AVALIADO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397</v>
      </c>
      <c r="B244" t="s">
        <v>450</v>
      </c>
      <c r="C244" s="81">
        <v>2025</v>
      </c>
      <c r="D244" t="s">
        <v>432</v>
      </c>
      <c r="E244" t="s">
        <v>453</v>
      </c>
      <c r="F244" s="85">
        <v>1.07</v>
      </c>
      <c r="G244" s="86">
        <v>1.0669999999999999</v>
      </c>
      <c r="H244" s="86">
        <v>3.7999999999999999E-2</v>
      </c>
      <c r="I244" s="87">
        <v>0.1</v>
      </c>
      <c r="J244" s="85"/>
      <c r="K244" s="85"/>
      <c r="L244" t="s">
        <v>444</v>
      </c>
      <c r="M244" s="81">
        <v>2997</v>
      </c>
      <c r="N244" t="s">
        <v>442</v>
      </c>
      <c r="O244" s="85">
        <f t="shared" si="6"/>
        <v>0.28116213683225061</v>
      </c>
      <c r="P244" s="85">
        <f t="shared" si="7"/>
        <v>0.28116213683225061</v>
      </c>
      <c r="Q244" s="81"/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NAO AVALIADO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397</v>
      </c>
      <c r="B245" t="s">
        <v>450</v>
      </c>
      <c r="C245" s="81">
        <v>2025</v>
      </c>
      <c r="D245" t="s">
        <v>432</v>
      </c>
      <c r="E245" t="s">
        <v>454</v>
      </c>
      <c r="F245" s="85">
        <v>0.36</v>
      </c>
      <c r="G245" s="86">
        <v>0.377</v>
      </c>
      <c r="H245" s="86">
        <v>2.1999999999999999E-2</v>
      </c>
      <c r="I245" s="87">
        <v>-0.8</v>
      </c>
      <c r="J245" s="85"/>
      <c r="K245" s="85"/>
      <c r="L245" t="s">
        <v>444</v>
      </c>
      <c r="M245" s="81">
        <v>2996</v>
      </c>
      <c r="N245" t="s">
        <v>442</v>
      </c>
      <c r="O245" s="85">
        <f t="shared" si="6"/>
        <v>-4.5092838196286511</v>
      </c>
      <c r="P245" s="85">
        <f t="shared" si="7"/>
        <v>4.5092838196286511</v>
      </c>
      <c r="Q245" s="81"/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NAO AVALIADO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397</v>
      </c>
      <c r="B246" t="s">
        <v>450</v>
      </c>
      <c r="C246" s="81">
        <v>2025</v>
      </c>
      <c r="D246" t="s">
        <v>432</v>
      </c>
      <c r="E246" t="s">
        <v>455</v>
      </c>
      <c r="F246" s="85">
        <v>0</v>
      </c>
      <c r="G246" s="86">
        <v>2E-3</v>
      </c>
      <c r="H246" s="86">
        <v>4.0000000000000001E-3</v>
      </c>
      <c r="I246" s="87">
        <v>-0.5</v>
      </c>
      <c r="J246" s="85"/>
      <c r="K246" s="85"/>
      <c r="L246" t="s">
        <v>444</v>
      </c>
      <c r="M246" s="81">
        <v>3009</v>
      </c>
      <c r="N246" t="s">
        <v>442</v>
      </c>
      <c r="O246" s="85">
        <f t="shared" si="6"/>
        <v>-100</v>
      </c>
      <c r="P246" s="85">
        <f t="shared" si="7"/>
        <v>100</v>
      </c>
      <c r="Q246" s="81"/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NAO AVALIADO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397</v>
      </c>
      <c r="B247" t="s">
        <v>450</v>
      </c>
      <c r="C247" s="81">
        <v>2025</v>
      </c>
      <c r="D247" t="s">
        <v>433</v>
      </c>
      <c r="E247" t="s">
        <v>451</v>
      </c>
      <c r="F247" s="85">
        <v>0</v>
      </c>
      <c r="G247" s="86">
        <v>0.03</v>
      </c>
      <c r="H247" s="86">
        <v>0.05</v>
      </c>
      <c r="I247" s="87">
        <v>-0.6</v>
      </c>
      <c r="J247" s="85"/>
      <c r="K247" s="85"/>
      <c r="L247" t="s">
        <v>444</v>
      </c>
      <c r="M247" s="81">
        <v>3154</v>
      </c>
      <c r="N247" t="s">
        <v>449</v>
      </c>
      <c r="O247" s="85">
        <f t="shared" si="6"/>
        <v>-100</v>
      </c>
      <c r="P247" s="85">
        <f t="shared" si="7"/>
        <v>100</v>
      </c>
      <c r="Q247" s="81"/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NAO AVALIADO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397</v>
      </c>
      <c r="B248" t="s">
        <v>450</v>
      </c>
      <c r="C248" s="81">
        <v>2025</v>
      </c>
      <c r="D248" t="s">
        <v>433</v>
      </c>
      <c r="E248" t="s">
        <v>452</v>
      </c>
      <c r="F248" s="85">
        <v>4.8</v>
      </c>
      <c r="G248" s="86">
        <v>4.95</v>
      </c>
      <c r="H248" s="86">
        <v>0.49</v>
      </c>
      <c r="I248" s="87">
        <v>-0.3</v>
      </c>
      <c r="J248" s="85"/>
      <c r="K248" s="85"/>
      <c r="L248" t="s">
        <v>444</v>
      </c>
      <c r="M248" s="81">
        <v>3142</v>
      </c>
      <c r="N248" t="s">
        <v>449</v>
      </c>
      <c r="O248" s="85">
        <f t="shared" si="6"/>
        <v>-3.0303030303030374</v>
      </c>
      <c r="P248" s="85">
        <f t="shared" si="7"/>
        <v>3.0303030303030374</v>
      </c>
      <c r="Q248" s="81"/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NAO AVALIADO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397</v>
      </c>
      <c r="B249" t="s">
        <v>450</v>
      </c>
      <c r="C249" s="81">
        <v>2025</v>
      </c>
      <c r="D249" t="s">
        <v>433</v>
      </c>
      <c r="E249" t="s">
        <v>453</v>
      </c>
      <c r="F249" s="85">
        <v>6.4</v>
      </c>
      <c r="G249" s="86">
        <v>6.33</v>
      </c>
      <c r="H249" s="86">
        <v>0.21</v>
      </c>
      <c r="I249" s="87">
        <v>0.3</v>
      </c>
      <c r="J249" s="85"/>
      <c r="K249" s="85"/>
      <c r="L249" t="s">
        <v>444</v>
      </c>
      <c r="M249" s="81">
        <v>3112</v>
      </c>
      <c r="N249" t="s">
        <v>449</v>
      </c>
      <c r="O249" s="85">
        <f t="shared" si="6"/>
        <v>1.10584518167457</v>
      </c>
      <c r="P249" s="85">
        <f t="shared" si="7"/>
        <v>1.10584518167457</v>
      </c>
      <c r="Q249" s="81"/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NAO AVALIADO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397</v>
      </c>
      <c r="B250" t="s">
        <v>450</v>
      </c>
      <c r="C250" s="81">
        <v>2025</v>
      </c>
      <c r="D250" t="s">
        <v>433</v>
      </c>
      <c r="E250" t="s">
        <v>454</v>
      </c>
      <c r="F250" s="85">
        <v>5.3</v>
      </c>
      <c r="G250" s="86">
        <v>5.51</v>
      </c>
      <c r="H250" s="86">
        <v>0.32</v>
      </c>
      <c r="I250" s="87">
        <v>-0.7</v>
      </c>
      <c r="J250" s="85"/>
      <c r="K250" s="85"/>
      <c r="L250" t="s">
        <v>444</v>
      </c>
      <c r="M250" s="81">
        <v>3125</v>
      </c>
      <c r="N250" t="s">
        <v>449</v>
      </c>
      <c r="O250" s="85">
        <f t="shared" si="6"/>
        <v>-3.8112522686025407</v>
      </c>
      <c r="P250" s="85">
        <f t="shared" si="7"/>
        <v>3.8112522686025407</v>
      </c>
      <c r="Q250" s="81"/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NAO AVALIADO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397</v>
      </c>
      <c r="B251" t="s">
        <v>450</v>
      </c>
      <c r="C251" s="81">
        <v>2025</v>
      </c>
      <c r="D251" t="s">
        <v>433</v>
      </c>
      <c r="E251" t="s">
        <v>455</v>
      </c>
      <c r="F251" s="85">
        <v>0</v>
      </c>
      <c r="G251" s="86">
        <v>7.0000000000000007E-2</v>
      </c>
      <c r="H251" s="86">
        <v>0.15</v>
      </c>
      <c r="I251" s="87">
        <v>-0.5</v>
      </c>
      <c r="J251" s="85"/>
      <c r="K251" s="85"/>
      <c r="L251" t="s">
        <v>444</v>
      </c>
      <c r="M251" s="81">
        <v>3190</v>
      </c>
      <c r="N251" t="s">
        <v>449</v>
      </c>
      <c r="O251" s="85">
        <f t="shared" si="6"/>
        <v>-100</v>
      </c>
      <c r="P251" s="85">
        <f t="shared" si="7"/>
        <v>100</v>
      </c>
      <c r="Q251" s="81"/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NAO AVALIADO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397</v>
      </c>
      <c r="B252" t="s">
        <v>456</v>
      </c>
      <c r="C252" s="81">
        <v>2025</v>
      </c>
      <c r="D252" t="s">
        <v>413</v>
      </c>
      <c r="E252" t="s">
        <v>457</v>
      </c>
      <c r="F252" s="85">
        <v>4.5999999999999996</v>
      </c>
      <c r="G252" s="86">
        <v>4.8</v>
      </c>
      <c r="H252" s="86">
        <v>0.17</v>
      </c>
      <c r="I252" s="87">
        <v>-1.1000000000000001</v>
      </c>
      <c r="J252" s="85">
        <v>4.2</v>
      </c>
      <c r="K252" s="85">
        <v>5.4</v>
      </c>
      <c r="L252" t="s">
        <v>436</v>
      </c>
      <c r="M252" s="81">
        <v>3400</v>
      </c>
      <c r="N252" t="s">
        <v>437</v>
      </c>
      <c r="O252" s="85">
        <f t="shared" si="6"/>
        <v>-4.1666666666666705</v>
      </c>
      <c r="P252" s="85">
        <f t="shared" si="7"/>
        <v>4.1666666666666705</v>
      </c>
      <c r="Q252" s="81"/>
      <c r="S252" t="str">
        <f>IF($W252&lt;&gt;"NAO ACEITO","",COUNTIFS($W$2:$W252,"NAO ACEITO"))</f>
        <v/>
      </c>
      <c r="T252">
        <f>IF($B252="","",IF(COUNTIF($B$2:$B252,$B252)=1,MAX($T$1:$T251)+1,""))</f>
        <v>3</v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397</v>
      </c>
      <c r="B253" t="s">
        <v>456</v>
      </c>
      <c r="C253" s="81">
        <v>2025</v>
      </c>
      <c r="D253" t="s">
        <v>413</v>
      </c>
      <c r="E253" t="s">
        <v>458</v>
      </c>
      <c r="F253" s="85">
        <v>5</v>
      </c>
      <c r="G253" s="86">
        <v>4.8099999999999996</v>
      </c>
      <c r="H253" s="86">
        <v>0.13</v>
      </c>
      <c r="I253" s="87">
        <v>1.5</v>
      </c>
      <c r="J253" s="85">
        <v>4.4000000000000004</v>
      </c>
      <c r="K253" s="85">
        <v>5.2</v>
      </c>
      <c r="L253" t="s">
        <v>436</v>
      </c>
      <c r="M253" s="81">
        <v>3406</v>
      </c>
      <c r="N253" t="s">
        <v>437</v>
      </c>
      <c r="O253" s="85">
        <f t="shared" si="6"/>
        <v>3.9501039501039585</v>
      </c>
      <c r="P253" s="85">
        <f t="shared" si="7"/>
        <v>3.9501039501039585</v>
      </c>
      <c r="Q253" s="81"/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397</v>
      </c>
      <c r="B254" t="s">
        <v>456</v>
      </c>
      <c r="C254" s="81">
        <v>2025</v>
      </c>
      <c r="D254" t="s">
        <v>413</v>
      </c>
      <c r="E254" t="s">
        <v>459</v>
      </c>
      <c r="F254" s="85">
        <v>4.9000000000000004</v>
      </c>
      <c r="G254" s="86">
        <v>4.82</v>
      </c>
      <c r="H254" s="86">
        <v>0.12</v>
      </c>
      <c r="I254" s="87">
        <v>0.7</v>
      </c>
      <c r="J254" s="85">
        <v>4.4000000000000004</v>
      </c>
      <c r="K254" s="85">
        <v>5.2</v>
      </c>
      <c r="L254" t="s">
        <v>436</v>
      </c>
      <c r="M254" s="81">
        <v>3408</v>
      </c>
      <c r="N254" t="s">
        <v>437</v>
      </c>
      <c r="O254" s="85">
        <f t="shared" si="6"/>
        <v>1.6597510373443998</v>
      </c>
      <c r="P254" s="85">
        <f t="shared" si="7"/>
        <v>1.6597510373443998</v>
      </c>
      <c r="Q254" s="81"/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397</v>
      </c>
      <c r="B255" t="s">
        <v>456</v>
      </c>
      <c r="C255" s="81">
        <v>2025</v>
      </c>
      <c r="D255" t="s">
        <v>413</v>
      </c>
      <c r="E255" t="s">
        <v>460</v>
      </c>
      <c r="F255" s="85">
        <v>4.9000000000000004</v>
      </c>
      <c r="G255" s="86">
        <v>4.8</v>
      </c>
      <c r="H255" s="86">
        <v>0.16</v>
      </c>
      <c r="I255" s="87">
        <v>0.6</v>
      </c>
      <c r="J255" s="85">
        <v>4.3</v>
      </c>
      <c r="K255" s="85">
        <v>5.3</v>
      </c>
      <c r="L255" t="s">
        <v>436</v>
      </c>
      <c r="M255" s="81">
        <v>3417</v>
      </c>
      <c r="N255" t="s">
        <v>437</v>
      </c>
      <c r="O255" s="85">
        <f t="shared" si="6"/>
        <v>2.0833333333333446</v>
      </c>
      <c r="P255" s="85">
        <f t="shared" si="7"/>
        <v>2.0833333333333446</v>
      </c>
      <c r="Q255" s="81"/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397</v>
      </c>
      <c r="B256" t="s">
        <v>456</v>
      </c>
      <c r="C256" s="81">
        <v>2025</v>
      </c>
      <c r="D256" t="s">
        <v>413</v>
      </c>
      <c r="E256" t="s">
        <v>461</v>
      </c>
      <c r="F256" s="85">
        <v>4.7</v>
      </c>
      <c r="G256" s="86">
        <v>4.82</v>
      </c>
      <c r="H256" s="86">
        <v>0.12</v>
      </c>
      <c r="I256" s="87">
        <v>-1</v>
      </c>
      <c r="J256" s="85">
        <v>4.4000000000000004</v>
      </c>
      <c r="K256" s="85">
        <v>5.2</v>
      </c>
      <c r="L256" t="s">
        <v>436</v>
      </c>
      <c r="M256" s="81">
        <v>3401</v>
      </c>
      <c r="N256" t="s">
        <v>437</v>
      </c>
      <c r="O256" s="85">
        <f t="shared" si="6"/>
        <v>-2.4896265560165993</v>
      </c>
      <c r="P256" s="85">
        <f t="shared" si="7"/>
        <v>2.4896265560165993</v>
      </c>
      <c r="Q256" s="81"/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397</v>
      </c>
      <c r="B257" t="s">
        <v>456</v>
      </c>
      <c r="C257" s="81">
        <v>2025</v>
      </c>
      <c r="D257" t="s">
        <v>414</v>
      </c>
      <c r="E257" t="s">
        <v>457</v>
      </c>
      <c r="F257" s="85">
        <v>0.13</v>
      </c>
      <c r="G257" s="86">
        <v>0.13400000000000001</v>
      </c>
      <c r="H257" s="86">
        <v>6.0000000000000001E-3</v>
      </c>
      <c r="I257" s="87">
        <v>-0.8</v>
      </c>
      <c r="J257" s="85">
        <v>0.11</v>
      </c>
      <c r="K257" s="85">
        <v>0.16</v>
      </c>
      <c r="L257" t="s">
        <v>436</v>
      </c>
      <c r="M257" s="81">
        <v>3368</v>
      </c>
      <c r="N257" t="s">
        <v>442</v>
      </c>
      <c r="O257" s="85">
        <f t="shared" si="6"/>
        <v>-2.985074626865674</v>
      </c>
      <c r="P257" s="85">
        <f t="shared" si="7"/>
        <v>2.985074626865674</v>
      </c>
      <c r="Q257" s="81"/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397</v>
      </c>
      <c r="B258" t="s">
        <v>456</v>
      </c>
      <c r="C258" s="81">
        <v>2025</v>
      </c>
      <c r="D258" t="s">
        <v>414</v>
      </c>
      <c r="E258" t="s">
        <v>458</v>
      </c>
      <c r="F258" s="85">
        <v>0.33</v>
      </c>
      <c r="G258" s="86">
        <v>0.32100000000000001</v>
      </c>
      <c r="H258" s="86">
        <v>1.0999999999999999E-2</v>
      </c>
      <c r="I258" s="87">
        <v>0.9</v>
      </c>
      <c r="J258" s="85">
        <v>0.28000000000000003</v>
      </c>
      <c r="K258" s="85">
        <v>0.36</v>
      </c>
      <c r="L258" t="s">
        <v>436</v>
      </c>
      <c r="M258" s="81">
        <v>3395</v>
      </c>
      <c r="N258" t="s">
        <v>442</v>
      </c>
      <c r="O258" s="85">
        <f t="shared" ref="O258:O321" si="8">IFERROR((F258-G258)/G258*100,"")</f>
        <v>2.8037383177570119</v>
      </c>
      <c r="P258" s="85">
        <f t="shared" ref="P258:P321" si="9">IF(O258="","",ABS(O258))</f>
        <v>2.8037383177570119</v>
      </c>
      <c r="Q258" s="81"/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397</v>
      </c>
      <c r="B259" t="s">
        <v>456</v>
      </c>
      <c r="C259" s="81">
        <v>2025</v>
      </c>
      <c r="D259" t="s">
        <v>414</v>
      </c>
      <c r="E259" t="s">
        <v>459</v>
      </c>
      <c r="F259" s="85">
        <v>0.37</v>
      </c>
      <c r="G259" s="86">
        <v>0.36699999999999999</v>
      </c>
      <c r="H259" s="86">
        <v>1.0999999999999999E-2</v>
      </c>
      <c r="I259" s="87">
        <v>0.3</v>
      </c>
      <c r="J259" s="85">
        <v>0.33</v>
      </c>
      <c r="K259" s="85">
        <v>0.41</v>
      </c>
      <c r="L259" t="s">
        <v>436</v>
      </c>
      <c r="M259" s="81">
        <v>3391</v>
      </c>
      <c r="N259" t="s">
        <v>442</v>
      </c>
      <c r="O259" s="85">
        <f t="shared" si="8"/>
        <v>0.81743869209809339</v>
      </c>
      <c r="P259" s="85">
        <f t="shared" si="9"/>
        <v>0.81743869209809339</v>
      </c>
      <c r="Q259" s="81"/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397</v>
      </c>
      <c r="B260" t="s">
        <v>456</v>
      </c>
      <c r="C260" s="81">
        <v>2025</v>
      </c>
      <c r="D260" t="s">
        <v>414</v>
      </c>
      <c r="E260" t="s">
        <v>460</v>
      </c>
      <c r="F260" s="85">
        <v>0.14000000000000001</v>
      </c>
      <c r="G260" s="86">
        <v>0.14099999999999999</v>
      </c>
      <c r="H260" s="86">
        <v>6.0000000000000001E-3</v>
      </c>
      <c r="I260" s="87">
        <v>-0.1</v>
      </c>
      <c r="J260" s="85">
        <v>0.12</v>
      </c>
      <c r="K260" s="85">
        <v>0.16</v>
      </c>
      <c r="L260" t="s">
        <v>436</v>
      </c>
      <c r="M260" s="81">
        <v>3380</v>
      </c>
      <c r="N260" t="s">
        <v>442</v>
      </c>
      <c r="O260" s="85">
        <f t="shared" si="8"/>
        <v>-0.70921985815600941</v>
      </c>
      <c r="P260" s="85">
        <f t="shared" si="9"/>
        <v>0.70921985815600941</v>
      </c>
      <c r="Q260" s="81"/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397</v>
      </c>
      <c r="B261" t="s">
        <v>456</v>
      </c>
      <c r="C261" s="81">
        <v>2025</v>
      </c>
      <c r="D261" t="s">
        <v>414</v>
      </c>
      <c r="E261" t="s">
        <v>461</v>
      </c>
      <c r="F261" s="85">
        <v>0.83</v>
      </c>
      <c r="G261" s="86">
        <v>0.85699999999999998</v>
      </c>
      <c r="H261" s="86">
        <v>2.4E-2</v>
      </c>
      <c r="I261" s="87">
        <v>-1.1000000000000001</v>
      </c>
      <c r="J261" s="85">
        <v>0.78</v>
      </c>
      <c r="K261" s="85">
        <v>0.93</v>
      </c>
      <c r="L261" t="s">
        <v>436</v>
      </c>
      <c r="M261" s="81">
        <v>3383</v>
      </c>
      <c r="N261" t="s">
        <v>442</v>
      </c>
      <c r="O261" s="85">
        <f t="shared" si="8"/>
        <v>-3.1505250875145885</v>
      </c>
      <c r="P261" s="85">
        <f t="shared" si="9"/>
        <v>3.1505250875145885</v>
      </c>
      <c r="Q261" s="81"/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397</v>
      </c>
      <c r="B262" t="s">
        <v>456</v>
      </c>
      <c r="C262" s="81">
        <v>2025</v>
      </c>
      <c r="D262" t="s">
        <v>415</v>
      </c>
      <c r="E262" t="s">
        <v>457</v>
      </c>
      <c r="F262" s="85">
        <v>11</v>
      </c>
      <c r="G262" s="86">
        <v>10.73</v>
      </c>
      <c r="H262" s="86">
        <v>0.77</v>
      </c>
      <c r="I262" s="87">
        <v>0.4</v>
      </c>
      <c r="J262" s="85">
        <v>8.4</v>
      </c>
      <c r="K262" s="85">
        <v>13.1</v>
      </c>
      <c r="L262" t="s">
        <v>436</v>
      </c>
      <c r="M262" s="81">
        <v>3420</v>
      </c>
      <c r="N262" t="s">
        <v>437</v>
      </c>
      <c r="O262" s="85">
        <f t="shared" si="8"/>
        <v>2.516309412861133</v>
      </c>
      <c r="P262" s="85">
        <f t="shared" si="9"/>
        <v>2.516309412861133</v>
      </c>
      <c r="Q262" s="81"/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397</v>
      </c>
      <c r="B263" t="s">
        <v>456</v>
      </c>
      <c r="C263" s="81">
        <v>2025</v>
      </c>
      <c r="D263" t="s">
        <v>415</v>
      </c>
      <c r="E263" t="s">
        <v>458</v>
      </c>
      <c r="F263" s="85">
        <v>9.9</v>
      </c>
      <c r="G263" s="86">
        <v>10.7</v>
      </c>
      <c r="H263" s="86">
        <v>0.75</v>
      </c>
      <c r="I263" s="87">
        <v>-1.1000000000000001</v>
      </c>
      <c r="J263" s="85">
        <v>8.4</v>
      </c>
      <c r="K263" s="85">
        <v>13</v>
      </c>
      <c r="L263" t="s">
        <v>436</v>
      </c>
      <c r="M263" s="81">
        <v>3423</v>
      </c>
      <c r="N263" t="s">
        <v>437</v>
      </c>
      <c r="O263" s="85">
        <f t="shared" si="8"/>
        <v>-7.4766355140186826</v>
      </c>
      <c r="P263" s="85">
        <f t="shared" si="9"/>
        <v>7.4766355140186826</v>
      </c>
      <c r="Q263" s="81"/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397</v>
      </c>
      <c r="B264" t="s">
        <v>456</v>
      </c>
      <c r="C264" s="81">
        <v>2025</v>
      </c>
      <c r="D264" t="s">
        <v>415</v>
      </c>
      <c r="E264" t="s">
        <v>459</v>
      </c>
      <c r="F264" s="85">
        <v>10.9</v>
      </c>
      <c r="G264" s="86">
        <v>10.73</v>
      </c>
      <c r="H264" s="86">
        <v>0.74</v>
      </c>
      <c r="I264" s="87">
        <v>0.2</v>
      </c>
      <c r="J264" s="85">
        <v>8.5</v>
      </c>
      <c r="K264" s="85">
        <v>13</v>
      </c>
      <c r="L264" t="s">
        <v>436</v>
      </c>
      <c r="M264" s="81">
        <v>3425</v>
      </c>
      <c r="N264" t="s">
        <v>437</v>
      </c>
      <c r="O264" s="85">
        <f t="shared" si="8"/>
        <v>1.584342963653308</v>
      </c>
      <c r="P264" s="85">
        <f t="shared" si="9"/>
        <v>1.584342963653308</v>
      </c>
      <c r="Q264" s="81"/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397</v>
      </c>
      <c r="B265" t="s">
        <v>456</v>
      </c>
      <c r="C265" s="81">
        <v>2025</v>
      </c>
      <c r="D265" t="s">
        <v>415</v>
      </c>
      <c r="E265" t="s">
        <v>460</v>
      </c>
      <c r="F265" s="85">
        <v>8.5</v>
      </c>
      <c r="G265" s="86">
        <v>9.5500000000000007</v>
      </c>
      <c r="H265" s="86">
        <v>0.74</v>
      </c>
      <c r="I265" s="87">
        <v>-1.4</v>
      </c>
      <c r="J265" s="85">
        <v>7.3</v>
      </c>
      <c r="K265" s="85">
        <v>11.8</v>
      </c>
      <c r="L265" t="s">
        <v>436</v>
      </c>
      <c r="M265" s="81">
        <v>3424</v>
      </c>
      <c r="N265" t="s">
        <v>437</v>
      </c>
      <c r="O265" s="85">
        <f t="shared" si="8"/>
        <v>-10.994764397905765</v>
      </c>
      <c r="P265" s="85">
        <f t="shared" si="9"/>
        <v>10.994764397905765</v>
      </c>
      <c r="Q265" s="81"/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397</v>
      </c>
      <c r="B266" t="s">
        <v>456</v>
      </c>
      <c r="C266" s="81">
        <v>2025</v>
      </c>
      <c r="D266" t="s">
        <v>415</v>
      </c>
      <c r="E266" t="s">
        <v>461</v>
      </c>
      <c r="F266" s="85">
        <v>12.4</v>
      </c>
      <c r="G266" s="86">
        <v>11.43</v>
      </c>
      <c r="H266" s="86">
        <v>0.84</v>
      </c>
      <c r="I266" s="87">
        <v>1.2</v>
      </c>
      <c r="J266" s="85">
        <v>8.9</v>
      </c>
      <c r="K266" s="85">
        <v>14</v>
      </c>
      <c r="L266" t="s">
        <v>436</v>
      </c>
      <c r="M266" s="81">
        <v>3415</v>
      </c>
      <c r="N266" t="s">
        <v>437</v>
      </c>
      <c r="O266" s="85">
        <f t="shared" si="8"/>
        <v>8.4864391951006191</v>
      </c>
      <c r="P266" s="85">
        <f t="shared" si="9"/>
        <v>8.4864391951006191</v>
      </c>
      <c r="Q266" s="81"/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397</v>
      </c>
      <c r="B267" t="s">
        <v>456</v>
      </c>
      <c r="C267" s="81">
        <v>2025</v>
      </c>
      <c r="D267" t="s">
        <v>416</v>
      </c>
      <c r="E267" t="s">
        <v>457</v>
      </c>
      <c r="F267" s="85">
        <v>0.31</v>
      </c>
      <c r="G267" s="86">
        <v>0.3</v>
      </c>
      <c r="H267" s="86">
        <v>2.3E-2</v>
      </c>
      <c r="I267" s="87">
        <v>0.4</v>
      </c>
      <c r="J267" s="85">
        <v>0.23</v>
      </c>
      <c r="K267" s="85">
        <v>0.37</v>
      </c>
      <c r="L267" t="s">
        <v>436</v>
      </c>
      <c r="M267" s="81">
        <v>3413</v>
      </c>
      <c r="N267" t="s">
        <v>442</v>
      </c>
      <c r="O267" s="85">
        <f t="shared" si="8"/>
        <v>3.3333333333333366</v>
      </c>
      <c r="P267" s="85">
        <f t="shared" si="9"/>
        <v>3.3333333333333366</v>
      </c>
      <c r="Q267" s="81"/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397</v>
      </c>
      <c r="B268" t="s">
        <v>456</v>
      </c>
      <c r="C268" s="81">
        <v>2025</v>
      </c>
      <c r="D268" t="s">
        <v>416</v>
      </c>
      <c r="E268" t="s">
        <v>458</v>
      </c>
      <c r="F268" s="85">
        <v>0.65</v>
      </c>
      <c r="G268" s="86">
        <v>0.71399999999999997</v>
      </c>
      <c r="H268" s="86">
        <v>5.1999999999999998E-2</v>
      </c>
      <c r="I268" s="87">
        <v>-1.2</v>
      </c>
      <c r="J268" s="85">
        <v>0.55000000000000004</v>
      </c>
      <c r="K268" s="85">
        <v>0.87</v>
      </c>
      <c r="L268" t="s">
        <v>436</v>
      </c>
      <c r="M268" s="81">
        <v>3416</v>
      </c>
      <c r="N268" t="s">
        <v>442</v>
      </c>
      <c r="O268" s="85">
        <f t="shared" si="8"/>
        <v>-8.9635854341736625</v>
      </c>
      <c r="P268" s="85">
        <f t="shared" si="9"/>
        <v>8.9635854341736625</v>
      </c>
      <c r="Q268" s="81"/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397</v>
      </c>
      <c r="B269" t="s">
        <v>456</v>
      </c>
      <c r="C269" s="81">
        <v>2025</v>
      </c>
      <c r="D269" t="s">
        <v>416</v>
      </c>
      <c r="E269" t="s">
        <v>459</v>
      </c>
      <c r="F269" s="85">
        <v>0.82</v>
      </c>
      <c r="G269" s="86">
        <v>0.81699999999999995</v>
      </c>
      <c r="H269" s="86">
        <v>5.8000000000000003E-2</v>
      </c>
      <c r="I269" s="87">
        <v>0.1</v>
      </c>
      <c r="J269" s="85">
        <v>0.64</v>
      </c>
      <c r="K269" s="85">
        <v>1</v>
      </c>
      <c r="L269" t="s">
        <v>436</v>
      </c>
      <c r="M269" s="81">
        <v>3416</v>
      </c>
      <c r="N269" t="s">
        <v>442</v>
      </c>
      <c r="O269" s="85">
        <f t="shared" si="8"/>
        <v>0.36719706242350098</v>
      </c>
      <c r="P269" s="85">
        <f t="shared" si="9"/>
        <v>0.36719706242350098</v>
      </c>
      <c r="Q269" s="81"/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397</v>
      </c>
      <c r="B270" t="s">
        <v>456</v>
      </c>
      <c r="C270" s="81">
        <v>2025</v>
      </c>
      <c r="D270" t="s">
        <v>416</v>
      </c>
      <c r="E270" t="s">
        <v>460</v>
      </c>
      <c r="F270" s="85">
        <v>0.24</v>
      </c>
      <c r="G270" s="86">
        <v>0.28000000000000003</v>
      </c>
      <c r="H270" s="86">
        <v>2.3E-2</v>
      </c>
      <c r="I270" s="87">
        <v>-1.7</v>
      </c>
      <c r="J270" s="85">
        <v>0.21</v>
      </c>
      <c r="K270" s="85">
        <v>0.35</v>
      </c>
      <c r="L270" t="s">
        <v>436</v>
      </c>
      <c r="M270" s="81">
        <v>3420</v>
      </c>
      <c r="N270" t="s">
        <v>442</v>
      </c>
      <c r="O270" s="85">
        <f t="shared" si="8"/>
        <v>-14.285714285714295</v>
      </c>
      <c r="P270" s="85">
        <f t="shared" si="9"/>
        <v>14.285714285714295</v>
      </c>
      <c r="Q270" s="81"/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397</v>
      </c>
      <c r="B271" t="s">
        <v>456</v>
      </c>
      <c r="C271" s="81">
        <v>2025</v>
      </c>
      <c r="D271" t="s">
        <v>416</v>
      </c>
      <c r="E271" t="s">
        <v>461</v>
      </c>
      <c r="F271" s="85">
        <v>2.19</v>
      </c>
      <c r="G271" s="86">
        <v>2.032</v>
      </c>
      <c r="H271" s="86">
        <v>0.154</v>
      </c>
      <c r="I271" s="87">
        <v>1</v>
      </c>
      <c r="J271" s="85">
        <v>1.57</v>
      </c>
      <c r="K271" s="85">
        <v>2.5</v>
      </c>
      <c r="L271" t="s">
        <v>436</v>
      </c>
      <c r="M271" s="81">
        <v>3408</v>
      </c>
      <c r="N271" t="s">
        <v>442</v>
      </c>
      <c r="O271" s="85">
        <f t="shared" si="8"/>
        <v>7.7755905511810983</v>
      </c>
      <c r="P271" s="85">
        <f t="shared" si="9"/>
        <v>7.7755905511810983</v>
      </c>
      <c r="Q271" s="81"/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397</v>
      </c>
      <c r="B272" t="s">
        <v>456</v>
      </c>
      <c r="C272" s="81">
        <v>2025</v>
      </c>
      <c r="D272" t="s">
        <v>417</v>
      </c>
      <c r="E272" t="s">
        <v>457</v>
      </c>
      <c r="F272" s="85">
        <v>53.3</v>
      </c>
      <c r="G272" s="86">
        <v>52.843000000000004</v>
      </c>
      <c r="H272" s="86">
        <v>0.72399999999999998</v>
      </c>
      <c r="I272" s="87">
        <v>0.6</v>
      </c>
      <c r="J272" s="85">
        <v>50.72</v>
      </c>
      <c r="K272" s="85">
        <v>54.96</v>
      </c>
      <c r="L272" t="s">
        <v>436</v>
      </c>
      <c r="M272" s="81">
        <v>3356</v>
      </c>
      <c r="N272" t="s">
        <v>437</v>
      </c>
      <c r="O272" s="85">
        <f t="shared" si="8"/>
        <v>0.86482599398216142</v>
      </c>
      <c r="P272" s="85">
        <f t="shared" si="9"/>
        <v>0.86482599398216142</v>
      </c>
      <c r="Q272" s="81"/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397</v>
      </c>
      <c r="B273" t="s">
        <v>456</v>
      </c>
      <c r="C273" s="81">
        <v>2025</v>
      </c>
      <c r="D273" t="s">
        <v>417</v>
      </c>
      <c r="E273" t="s">
        <v>458</v>
      </c>
      <c r="F273" s="85">
        <v>35.5</v>
      </c>
      <c r="G273" s="86">
        <v>35.49</v>
      </c>
      <c r="H273" s="86">
        <v>0.48699999999999999</v>
      </c>
      <c r="I273" s="87">
        <v>0</v>
      </c>
      <c r="J273" s="85">
        <v>34.07</v>
      </c>
      <c r="K273" s="85">
        <v>36.909999999999997</v>
      </c>
      <c r="L273" t="s">
        <v>436</v>
      </c>
      <c r="M273" s="81">
        <v>3355</v>
      </c>
      <c r="N273" t="s">
        <v>437</v>
      </c>
      <c r="O273" s="85">
        <f t="shared" si="8"/>
        <v>2.8176951253868723E-2</v>
      </c>
      <c r="P273" s="85">
        <f t="shared" si="9"/>
        <v>2.8176951253868723E-2</v>
      </c>
      <c r="Q273" s="81"/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397</v>
      </c>
      <c r="B274" t="s">
        <v>456</v>
      </c>
      <c r="C274" s="81">
        <v>2025</v>
      </c>
      <c r="D274" t="s">
        <v>417</v>
      </c>
      <c r="E274" t="s">
        <v>459</v>
      </c>
      <c r="F274" s="85">
        <v>17.7</v>
      </c>
      <c r="G274" s="86">
        <v>17.670999999999999</v>
      </c>
      <c r="H274" s="86">
        <v>0.28899999999999998</v>
      </c>
      <c r="I274" s="87">
        <v>0.1</v>
      </c>
      <c r="J274" s="85">
        <v>16.96</v>
      </c>
      <c r="K274" s="85">
        <v>18.38</v>
      </c>
      <c r="L274" t="s">
        <v>436</v>
      </c>
      <c r="M274" s="81">
        <v>3354</v>
      </c>
      <c r="N274" t="s">
        <v>437</v>
      </c>
      <c r="O274" s="85">
        <f t="shared" si="8"/>
        <v>0.16411068983079574</v>
      </c>
      <c r="P274" s="85">
        <f t="shared" si="9"/>
        <v>0.16411068983079574</v>
      </c>
      <c r="Q274" s="81"/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397</v>
      </c>
      <c r="B275" t="s">
        <v>456</v>
      </c>
      <c r="C275" s="81">
        <v>2025</v>
      </c>
      <c r="D275" t="s">
        <v>417</v>
      </c>
      <c r="E275" t="s">
        <v>460</v>
      </c>
      <c r="F275" s="85">
        <v>16.600000000000001</v>
      </c>
      <c r="G275" s="86">
        <v>16.492000000000001</v>
      </c>
      <c r="H275" s="86">
        <v>0.27800000000000002</v>
      </c>
      <c r="I275" s="87">
        <v>0.4</v>
      </c>
      <c r="J275" s="85">
        <v>15.83</v>
      </c>
      <c r="K275" s="85">
        <v>17.16</v>
      </c>
      <c r="L275" t="s">
        <v>436</v>
      </c>
      <c r="M275" s="81">
        <v>3354</v>
      </c>
      <c r="N275" t="s">
        <v>437</v>
      </c>
      <c r="O275" s="85">
        <f t="shared" si="8"/>
        <v>0.6548629638612693</v>
      </c>
      <c r="P275" s="85">
        <f t="shared" si="9"/>
        <v>0.6548629638612693</v>
      </c>
      <c r="Q275" s="81"/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397</v>
      </c>
      <c r="B276" t="s">
        <v>456</v>
      </c>
      <c r="C276" s="81">
        <v>2025</v>
      </c>
      <c r="D276" t="s">
        <v>417</v>
      </c>
      <c r="E276" t="s">
        <v>461</v>
      </c>
      <c r="F276" s="85">
        <v>47.1</v>
      </c>
      <c r="G276" s="86">
        <v>46.302999999999997</v>
      </c>
      <c r="H276" s="86">
        <v>0.628</v>
      </c>
      <c r="I276" s="87">
        <v>1.3</v>
      </c>
      <c r="J276" s="85">
        <v>44.45</v>
      </c>
      <c r="K276" s="85">
        <v>48.16</v>
      </c>
      <c r="L276" t="s">
        <v>436</v>
      </c>
      <c r="M276" s="81">
        <v>3338</v>
      </c>
      <c r="N276" t="s">
        <v>437</v>
      </c>
      <c r="O276" s="85">
        <f t="shared" si="8"/>
        <v>1.7212707599939621</v>
      </c>
      <c r="P276" s="85">
        <f t="shared" si="9"/>
        <v>1.7212707599939621</v>
      </c>
      <c r="Q276" s="81"/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397</v>
      </c>
      <c r="B277" t="s">
        <v>456</v>
      </c>
      <c r="C277" s="81">
        <v>2025</v>
      </c>
      <c r="D277" t="s">
        <v>418</v>
      </c>
      <c r="E277" t="s">
        <v>457</v>
      </c>
      <c r="F277" s="85">
        <v>18.3</v>
      </c>
      <c r="G277" s="86">
        <v>18.100000000000001</v>
      </c>
      <c r="H277" s="86">
        <v>0.17</v>
      </c>
      <c r="I277" s="87">
        <v>1.2</v>
      </c>
      <c r="J277" s="85">
        <v>17.3</v>
      </c>
      <c r="K277" s="85">
        <v>18.899999999999999</v>
      </c>
      <c r="L277" t="s">
        <v>436</v>
      </c>
      <c r="M277" s="81">
        <v>3516</v>
      </c>
      <c r="N277" t="s">
        <v>443</v>
      </c>
      <c r="O277" s="85">
        <f t="shared" si="8"/>
        <v>1.1049723756906038</v>
      </c>
      <c r="P277" s="85">
        <f t="shared" si="9"/>
        <v>1.1049723756906038</v>
      </c>
      <c r="Q277" s="81"/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397</v>
      </c>
      <c r="B278" t="s">
        <v>456</v>
      </c>
      <c r="C278" s="81">
        <v>2025</v>
      </c>
      <c r="D278" t="s">
        <v>418</v>
      </c>
      <c r="E278" t="s">
        <v>458</v>
      </c>
      <c r="F278" s="85">
        <v>12.2</v>
      </c>
      <c r="G278" s="86">
        <v>12.22</v>
      </c>
      <c r="H278" s="86">
        <v>0.11</v>
      </c>
      <c r="I278" s="87">
        <v>-0.1</v>
      </c>
      <c r="J278" s="85">
        <v>11.7</v>
      </c>
      <c r="K278" s="85">
        <v>12.8</v>
      </c>
      <c r="L278" t="s">
        <v>436</v>
      </c>
      <c r="M278" s="81">
        <v>3510</v>
      </c>
      <c r="N278" t="s">
        <v>443</v>
      </c>
      <c r="O278" s="85">
        <f t="shared" si="8"/>
        <v>-0.16366612111294065</v>
      </c>
      <c r="P278" s="85">
        <f t="shared" si="9"/>
        <v>0.16366612111294065</v>
      </c>
      <c r="Q278" s="81"/>
      <c r="S278" t="str">
        <f>IF($W278&lt;&gt;"NAO ACEITO","",COUNTIFS($W$2:$W278,"NAO ACEITO"))</f>
        <v/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ACEITO</v>
      </c>
      <c r="X278" t="str">
        <f>IF(OR($D278="",$W278&lt;&gt;"NAO ACEITO"),"",IF(COUNTIFS($D$2:$D278,$D278,$W$2:$W278,"NAO ACEITO")=1,1,0))</f>
        <v/>
      </c>
    </row>
    <row r="279" spans="1:24" x14ac:dyDescent="0.3">
      <c r="A279" t="s">
        <v>397</v>
      </c>
      <c r="B279" t="s">
        <v>456</v>
      </c>
      <c r="C279" s="81">
        <v>2025</v>
      </c>
      <c r="D279" t="s">
        <v>418</v>
      </c>
      <c r="E279" t="s">
        <v>459</v>
      </c>
      <c r="F279" s="85">
        <v>6.1</v>
      </c>
      <c r="G279" s="86">
        <v>6.04</v>
      </c>
      <c r="H279" s="86">
        <v>7.0000000000000007E-2</v>
      </c>
      <c r="I279" s="87">
        <v>0.8</v>
      </c>
      <c r="J279" s="85">
        <v>5.7</v>
      </c>
      <c r="K279" s="85">
        <v>6.3</v>
      </c>
      <c r="L279" t="s">
        <v>436</v>
      </c>
      <c r="M279" s="81">
        <v>3486</v>
      </c>
      <c r="N279" t="s">
        <v>443</v>
      </c>
      <c r="O279" s="85">
        <f t="shared" si="8"/>
        <v>0.99337748344370203</v>
      </c>
      <c r="P279" s="85">
        <f t="shared" si="9"/>
        <v>0.99337748344370203</v>
      </c>
      <c r="Q279" s="81"/>
      <c r="S279" t="str">
        <f>IF($W279&lt;&gt;"NAO ACEITO","",COUNTIFS($W$2:$W279,"NAO ACEITO"))</f>
        <v/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ACEITO</v>
      </c>
      <c r="X279" t="str">
        <f>IF(OR($D279="",$W279&lt;&gt;"NAO ACEITO"),"",IF(COUNTIFS($D$2:$D279,$D279,$W$2:$W279,"NAO ACEITO")=1,1,0))</f>
        <v/>
      </c>
    </row>
    <row r="280" spans="1:24" x14ac:dyDescent="0.3">
      <c r="A280" t="s">
        <v>397</v>
      </c>
      <c r="B280" t="s">
        <v>456</v>
      </c>
      <c r="C280" s="81">
        <v>2025</v>
      </c>
      <c r="D280" t="s">
        <v>418</v>
      </c>
      <c r="E280" t="s">
        <v>460</v>
      </c>
      <c r="F280" s="85">
        <v>5.6</v>
      </c>
      <c r="G280" s="86">
        <v>5.62</v>
      </c>
      <c r="H280" s="86">
        <v>0.08</v>
      </c>
      <c r="I280" s="87">
        <v>-0.3</v>
      </c>
      <c r="J280" s="85">
        <v>5.3</v>
      </c>
      <c r="K280" s="85">
        <v>5.9</v>
      </c>
      <c r="L280" t="s">
        <v>436</v>
      </c>
      <c r="M280" s="81">
        <v>3514</v>
      </c>
      <c r="N280" t="s">
        <v>443</v>
      </c>
      <c r="O280" s="85">
        <f t="shared" si="8"/>
        <v>-0.35587188612100468</v>
      </c>
      <c r="P280" s="85">
        <f t="shared" si="9"/>
        <v>0.35587188612100468</v>
      </c>
      <c r="Q280" s="81"/>
      <c r="S280" t="str">
        <f>IF($W280&lt;&gt;"NAO ACEITO","",COUNTIFS($W$2:$W280,"NAO ACEITO"))</f>
        <v/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ACEITO</v>
      </c>
      <c r="X280" t="str">
        <f>IF(OR($D280="",$W280&lt;&gt;"NAO ACEITO"),"",IF(COUNTIFS($D$2:$D280,$D280,$W$2:$W280,"NAO ACEITO")=1,1,0))</f>
        <v/>
      </c>
    </row>
    <row r="281" spans="1:24" x14ac:dyDescent="0.3">
      <c r="A281" t="s">
        <v>397</v>
      </c>
      <c r="B281" t="s">
        <v>456</v>
      </c>
      <c r="C281" s="81">
        <v>2025</v>
      </c>
      <c r="D281" t="s">
        <v>418</v>
      </c>
      <c r="E281" t="s">
        <v>461</v>
      </c>
      <c r="F281" s="85">
        <v>16.5</v>
      </c>
      <c r="G281" s="86">
        <v>16.23</v>
      </c>
      <c r="H281" s="86">
        <v>0.15</v>
      </c>
      <c r="I281" s="87">
        <v>1.8</v>
      </c>
      <c r="J281" s="85">
        <v>15.5</v>
      </c>
      <c r="K281" s="85">
        <v>16.899999999999999</v>
      </c>
      <c r="L281" t="s">
        <v>436</v>
      </c>
      <c r="M281" s="81">
        <v>3497</v>
      </c>
      <c r="N281" t="s">
        <v>443</v>
      </c>
      <c r="O281" s="85">
        <f t="shared" si="8"/>
        <v>1.6635859519408478</v>
      </c>
      <c r="P281" s="85">
        <f t="shared" si="9"/>
        <v>1.6635859519408478</v>
      </c>
      <c r="Q281" s="81"/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397</v>
      </c>
      <c r="B282" t="s">
        <v>456</v>
      </c>
      <c r="C282" s="81">
        <v>2025</v>
      </c>
      <c r="D282" t="s">
        <v>419</v>
      </c>
      <c r="E282" t="s">
        <v>457</v>
      </c>
      <c r="F282" s="85">
        <v>11</v>
      </c>
      <c r="G282" s="86">
        <v>11.31</v>
      </c>
      <c r="H282" s="86">
        <v>0.41</v>
      </c>
      <c r="I282" s="87">
        <v>-0.8</v>
      </c>
      <c r="J282" s="85"/>
      <c r="K282" s="85"/>
      <c r="L282" t="s">
        <v>444</v>
      </c>
      <c r="M282" s="81">
        <v>3233</v>
      </c>
      <c r="N282" t="s">
        <v>437</v>
      </c>
      <c r="O282" s="85">
        <f t="shared" si="8"/>
        <v>-2.7409372236958487</v>
      </c>
      <c r="P282" s="85">
        <f t="shared" si="9"/>
        <v>2.7409372236958487</v>
      </c>
      <c r="Q282" s="81"/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NAO AVALIADO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397</v>
      </c>
      <c r="B283" t="s">
        <v>456</v>
      </c>
      <c r="C283" s="81">
        <v>2025</v>
      </c>
      <c r="D283" t="s">
        <v>419</v>
      </c>
      <c r="E283" t="s">
        <v>458</v>
      </c>
      <c r="F283" s="85">
        <v>11.8</v>
      </c>
      <c r="G283" s="86">
        <v>11.24</v>
      </c>
      <c r="H283" s="86">
        <v>0.33</v>
      </c>
      <c r="I283" s="87">
        <v>1.7</v>
      </c>
      <c r="J283" s="85"/>
      <c r="K283" s="85"/>
      <c r="L283" t="s">
        <v>444</v>
      </c>
      <c r="M283" s="81">
        <v>3235</v>
      </c>
      <c r="N283" t="s">
        <v>437</v>
      </c>
      <c r="O283" s="85">
        <f t="shared" si="8"/>
        <v>4.9822064056939546</v>
      </c>
      <c r="P283" s="85">
        <f t="shared" si="9"/>
        <v>4.9822064056939546</v>
      </c>
      <c r="Q283" s="81"/>
      <c r="S283" t="str">
        <f>IF($W283&lt;&gt;"NAO ACEITO","",COUNTIFS($W$2:$W283,"NAO ACEITO"))</f>
        <v/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AVALIADO</v>
      </c>
      <c r="X283" t="str">
        <f>IF(OR($D283="",$W283&lt;&gt;"NAO ACEITO"),"",IF(COUNTIFS($D$2:$D283,$D283,$W$2:$W283,"NAO ACEITO")=1,1,0))</f>
        <v/>
      </c>
    </row>
    <row r="284" spans="1:24" x14ac:dyDescent="0.3">
      <c r="A284" t="s">
        <v>397</v>
      </c>
      <c r="B284" t="s">
        <v>456</v>
      </c>
      <c r="C284" s="81">
        <v>2025</v>
      </c>
      <c r="D284" t="s">
        <v>419</v>
      </c>
      <c r="E284" t="s">
        <v>459</v>
      </c>
      <c r="F284" s="85">
        <v>11.4</v>
      </c>
      <c r="G284" s="86">
        <v>11.19</v>
      </c>
      <c r="H284" s="86">
        <v>0.32</v>
      </c>
      <c r="I284" s="87">
        <v>0.7</v>
      </c>
      <c r="J284" s="85"/>
      <c r="K284" s="85"/>
      <c r="L284" t="s">
        <v>444</v>
      </c>
      <c r="M284" s="81">
        <v>3243</v>
      </c>
      <c r="N284" t="s">
        <v>437</v>
      </c>
      <c r="O284" s="85">
        <f t="shared" si="8"/>
        <v>1.8766756032171661</v>
      </c>
      <c r="P284" s="85">
        <f t="shared" si="9"/>
        <v>1.8766756032171661</v>
      </c>
      <c r="Q284" s="81"/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NAO AVALIADO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397</v>
      </c>
      <c r="B285" t="s">
        <v>456</v>
      </c>
      <c r="C285" s="81">
        <v>2025</v>
      </c>
      <c r="D285" t="s">
        <v>419</v>
      </c>
      <c r="E285" t="s">
        <v>460</v>
      </c>
      <c r="F285" s="85">
        <v>9.5</v>
      </c>
      <c r="G285" s="86">
        <v>10.18</v>
      </c>
      <c r="H285" s="86">
        <v>0.38</v>
      </c>
      <c r="I285" s="87">
        <v>-1.8</v>
      </c>
      <c r="J285" s="85"/>
      <c r="K285" s="85"/>
      <c r="L285" t="s">
        <v>444</v>
      </c>
      <c r="M285" s="81">
        <v>3239</v>
      </c>
      <c r="N285" t="s">
        <v>437</v>
      </c>
      <c r="O285" s="85">
        <f t="shared" si="8"/>
        <v>-6.6797642436149287</v>
      </c>
      <c r="P285" s="85">
        <f t="shared" si="9"/>
        <v>6.6797642436149287</v>
      </c>
      <c r="Q285" s="81"/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NAO AVALIADO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397</v>
      </c>
      <c r="B286" t="s">
        <v>456</v>
      </c>
      <c r="C286" s="81">
        <v>2025</v>
      </c>
      <c r="D286" t="s">
        <v>419</v>
      </c>
      <c r="E286" t="s">
        <v>461</v>
      </c>
      <c r="F286" s="85">
        <v>11.4</v>
      </c>
      <c r="G286" s="86">
        <v>12.15</v>
      </c>
      <c r="H286" s="86">
        <v>0.35</v>
      </c>
      <c r="I286" s="87">
        <v>-2.1</v>
      </c>
      <c r="J286" s="85"/>
      <c r="K286" s="85"/>
      <c r="L286" t="s">
        <v>444</v>
      </c>
      <c r="M286" s="81">
        <v>3235</v>
      </c>
      <c r="N286" t="s">
        <v>437</v>
      </c>
      <c r="O286" s="85">
        <f t="shared" si="8"/>
        <v>-6.1728395061728394</v>
      </c>
      <c r="P286" s="85">
        <f t="shared" si="9"/>
        <v>6.1728395061728394</v>
      </c>
      <c r="Q286" s="81"/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NAO AVALIADO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397</v>
      </c>
      <c r="B287" t="s">
        <v>456</v>
      </c>
      <c r="C287" s="81">
        <v>2025</v>
      </c>
      <c r="D287" t="s">
        <v>420</v>
      </c>
      <c r="E287" t="s">
        <v>457</v>
      </c>
      <c r="F287" s="85">
        <v>0.31</v>
      </c>
      <c r="G287" s="86">
        <v>0.316</v>
      </c>
      <c r="H287" s="86">
        <v>1.4E-2</v>
      </c>
      <c r="I287" s="87">
        <v>-0.4</v>
      </c>
      <c r="J287" s="85"/>
      <c r="K287" s="85"/>
      <c r="L287" t="s">
        <v>444</v>
      </c>
      <c r="M287" s="81">
        <v>3205</v>
      </c>
      <c r="N287" t="s">
        <v>442</v>
      </c>
      <c r="O287" s="85">
        <f t="shared" si="8"/>
        <v>-1.8987341772151916</v>
      </c>
      <c r="P287" s="85">
        <f t="shared" si="9"/>
        <v>1.8987341772151916</v>
      </c>
      <c r="Q287" s="81"/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 t="str">
        <f>IF($D287="","",IF(COUNTIF($D$2:$D287,$D287)=1,MAX($U$1:$U286)+1,""))</f>
        <v/>
      </c>
      <c r="V287">
        <f>IF($D287="","",IF(COUNTIFS($B$2:$B287,$B287,$D$2:$D287,$D287)=1,1,0))</f>
        <v>1</v>
      </c>
      <c r="W287" t="str">
        <f>IF($D287="","",mEQA.PadronizarStatus($L287))</f>
        <v>NAO AVALIADO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397</v>
      </c>
      <c r="B288" t="s">
        <v>456</v>
      </c>
      <c r="C288" s="81">
        <v>2025</v>
      </c>
      <c r="D288" t="s">
        <v>420</v>
      </c>
      <c r="E288" t="s">
        <v>458</v>
      </c>
      <c r="F288" s="85">
        <v>0.78</v>
      </c>
      <c r="G288" s="86">
        <v>0.75</v>
      </c>
      <c r="H288" s="86">
        <v>2.5999999999999999E-2</v>
      </c>
      <c r="I288" s="87">
        <v>1.2</v>
      </c>
      <c r="J288" s="85"/>
      <c r="K288" s="85"/>
      <c r="L288" t="s">
        <v>444</v>
      </c>
      <c r="M288" s="81">
        <v>3219</v>
      </c>
      <c r="N288" t="s">
        <v>442</v>
      </c>
      <c r="O288" s="85">
        <f t="shared" si="8"/>
        <v>4.0000000000000036</v>
      </c>
      <c r="P288" s="85">
        <f t="shared" si="9"/>
        <v>4.0000000000000036</v>
      </c>
      <c r="Q288" s="81"/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NAO AVALIADO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397</v>
      </c>
      <c r="B289" t="s">
        <v>456</v>
      </c>
      <c r="C289" s="81">
        <v>2025</v>
      </c>
      <c r="D289" t="s">
        <v>420</v>
      </c>
      <c r="E289" t="s">
        <v>459</v>
      </c>
      <c r="F289" s="85">
        <v>0.86</v>
      </c>
      <c r="G289" s="86">
        <v>0.85199999999999998</v>
      </c>
      <c r="H289" s="86">
        <v>2.9000000000000001E-2</v>
      </c>
      <c r="I289" s="87">
        <v>0.3</v>
      </c>
      <c r="J289" s="85"/>
      <c r="K289" s="85"/>
      <c r="L289" t="s">
        <v>444</v>
      </c>
      <c r="M289" s="81">
        <v>3216</v>
      </c>
      <c r="N289" t="s">
        <v>442</v>
      </c>
      <c r="O289" s="85">
        <f t="shared" si="8"/>
        <v>0.93896713615023564</v>
      </c>
      <c r="P289" s="85">
        <f t="shared" si="9"/>
        <v>0.93896713615023564</v>
      </c>
      <c r="Q289" s="81"/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NAO AVALIADO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397</v>
      </c>
      <c r="B290" t="s">
        <v>456</v>
      </c>
      <c r="C290" s="81">
        <v>2025</v>
      </c>
      <c r="D290" t="s">
        <v>420</v>
      </c>
      <c r="E290" t="s">
        <v>460</v>
      </c>
      <c r="F290" s="85">
        <v>0.27</v>
      </c>
      <c r="G290" s="86">
        <v>0.29799999999999999</v>
      </c>
      <c r="H290" s="86">
        <v>1.2999999999999999E-2</v>
      </c>
      <c r="I290" s="87">
        <v>-2.2000000000000002</v>
      </c>
      <c r="J290" s="85"/>
      <c r="K290" s="85"/>
      <c r="L290" t="s">
        <v>444</v>
      </c>
      <c r="M290" s="81">
        <v>3209</v>
      </c>
      <c r="N290" t="s">
        <v>442</v>
      </c>
      <c r="O290" s="85">
        <f t="shared" si="8"/>
        <v>-9.395973154362407</v>
      </c>
      <c r="P290" s="85">
        <f t="shared" si="9"/>
        <v>9.395973154362407</v>
      </c>
      <c r="Q290" s="81"/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NAO AVALIADO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397</v>
      </c>
      <c r="B291" t="s">
        <v>456</v>
      </c>
      <c r="C291" s="81">
        <v>2025</v>
      </c>
      <c r="D291" t="s">
        <v>420</v>
      </c>
      <c r="E291" t="s">
        <v>461</v>
      </c>
      <c r="F291" s="85">
        <v>2.0099999999999998</v>
      </c>
      <c r="G291" s="86">
        <v>2.161</v>
      </c>
      <c r="H291" s="86">
        <v>7.0000000000000007E-2</v>
      </c>
      <c r="I291" s="87">
        <v>-2.2000000000000002</v>
      </c>
      <c r="J291" s="85"/>
      <c r="K291" s="85"/>
      <c r="L291" t="s">
        <v>444</v>
      </c>
      <c r="M291" s="81">
        <v>3211</v>
      </c>
      <c r="N291" t="s">
        <v>442</v>
      </c>
      <c r="O291" s="85">
        <f t="shared" si="8"/>
        <v>-6.9875057843591044</v>
      </c>
      <c r="P291" s="85">
        <f t="shared" si="9"/>
        <v>6.9875057843591044</v>
      </c>
      <c r="Q291" s="81"/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NAO AVALIADO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397</v>
      </c>
      <c r="B292" t="s">
        <v>456</v>
      </c>
      <c r="C292" s="81">
        <v>2025</v>
      </c>
      <c r="D292" t="s">
        <v>421</v>
      </c>
      <c r="E292" t="s">
        <v>457</v>
      </c>
      <c r="F292" s="85">
        <v>20.8</v>
      </c>
      <c r="G292" s="86">
        <v>19.989999999999998</v>
      </c>
      <c r="H292" s="86">
        <v>0.5</v>
      </c>
      <c r="I292" s="87">
        <v>1.6</v>
      </c>
      <c r="J292" s="85"/>
      <c r="K292" s="85"/>
      <c r="L292" t="s">
        <v>444</v>
      </c>
      <c r="M292" s="81">
        <v>2448</v>
      </c>
      <c r="N292" t="s">
        <v>437</v>
      </c>
      <c r="O292" s="85">
        <f t="shared" si="8"/>
        <v>4.0520260130065147</v>
      </c>
      <c r="P292" s="85">
        <f t="shared" si="9"/>
        <v>4.0520260130065147</v>
      </c>
      <c r="Q292" s="81"/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NAO AVALIADO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397</v>
      </c>
      <c r="B293" t="s">
        <v>456</v>
      </c>
      <c r="C293" s="81">
        <v>2025</v>
      </c>
      <c r="D293" t="s">
        <v>421</v>
      </c>
      <c r="E293" t="s">
        <v>458</v>
      </c>
      <c r="F293" s="85">
        <v>20.100000000000001</v>
      </c>
      <c r="G293" s="86">
        <v>20</v>
      </c>
      <c r="H293" s="86">
        <v>0.72</v>
      </c>
      <c r="I293" s="87">
        <v>0.1</v>
      </c>
      <c r="J293" s="85"/>
      <c r="K293" s="85"/>
      <c r="L293" t="s">
        <v>444</v>
      </c>
      <c r="M293" s="81">
        <v>2452</v>
      </c>
      <c r="N293" t="s">
        <v>437</v>
      </c>
      <c r="O293" s="85">
        <f t="shared" si="8"/>
        <v>0.50000000000000711</v>
      </c>
      <c r="P293" s="85">
        <f t="shared" si="9"/>
        <v>0.50000000000000711</v>
      </c>
      <c r="Q293" s="81"/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NAO AVALIADO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397</v>
      </c>
      <c r="B294" t="s">
        <v>456</v>
      </c>
      <c r="C294" s="81">
        <v>2025</v>
      </c>
      <c r="D294" t="s">
        <v>421</v>
      </c>
      <c r="E294" t="s">
        <v>459</v>
      </c>
      <c r="F294" s="85">
        <v>20</v>
      </c>
      <c r="G294" s="86">
        <v>20.010000000000002</v>
      </c>
      <c r="H294" s="86">
        <v>0.82</v>
      </c>
      <c r="I294" s="87">
        <v>0</v>
      </c>
      <c r="J294" s="85"/>
      <c r="K294" s="85"/>
      <c r="L294" t="s">
        <v>444</v>
      </c>
      <c r="M294" s="81">
        <v>2456</v>
      </c>
      <c r="N294" t="s">
        <v>437</v>
      </c>
      <c r="O294" s="85">
        <f t="shared" si="8"/>
        <v>-4.9975012493760927E-2</v>
      </c>
      <c r="P294" s="85">
        <f t="shared" si="9"/>
        <v>4.9975012493760927E-2</v>
      </c>
      <c r="Q294" s="81"/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NAO AVALIADO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397</v>
      </c>
      <c r="B295" t="s">
        <v>456</v>
      </c>
      <c r="C295" s="81">
        <v>2025</v>
      </c>
      <c r="D295" t="s">
        <v>421</v>
      </c>
      <c r="E295" t="s">
        <v>460</v>
      </c>
      <c r="F295" s="85">
        <v>20</v>
      </c>
      <c r="G295" s="86">
        <v>19.98</v>
      </c>
      <c r="H295" s="86">
        <v>0.54</v>
      </c>
      <c r="I295" s="87">
        <v>0</v>
      </c>
      <c r="J295" s="85"/>
      <c r="K295" s="85"/>
      <c r="L295" t="s">
        <v>444</v>
      </c>
      <c r="M295" s="81">
        <v>2450</v>
      </c>
      <c r="N295" t="s">
        <v>437</v>
      </c>
      <c r="O295" s="85">
        <f t="shared" si="8"/>
        <v>0.10010010010009797</v>
      </c>
      <c r="P295" s="85">
        <f t="shared" si="9"/>
        <v>0.10010010010009797</v>
      </c>
      <c r="Q295" s="81"/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NAO AVALIADO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397</v>
      </c>
      <c r="B296" t="s">
        <v>456</v>
      </c>
      <c r="C296" s="81">
        <v>2025</v>
      </c>
      <c r="D296" t="s">
        <v>421</v>
      </c>
      <c r="E296" t="s">
        <v>461</v>
      </c>
      <c r="F296" s="85">
        <v>20.399999999999999</v>
      </c>
      <c r="G296" s="86">
        <v>20.02</v>
      </c>
      <c r="H296" s="86">
        <v>0.75</v>
      </c>
      <c r="I296" s="87">
        <v>0.5</v>
      </c>
      <c r="J296" s="85"/>
      <c r="K296" s="85"/>
      <c r="L296" t="s">
        <v>444</v>
      </c>
      <c r="M296" s="81">
        <v>2452</v>
      </c>
      <c r="N296" t="s">
        <v>437</v>
      </c>
      <c r="O296" s="85">
        <f t="shared" si="8"/>
        <v>1.8981018981018931</v>
      </c>
      <c r="P296" s="85">
        <f t="shared" si="9"/>
        <v>1.8981018981018931</v>
      </c>
      <c r="Q296" s="81"/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NAO AVALIADO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397</v>
      </c>
      <c r="B297" t="s">
        <v>456</v>
      </c>
      <c r="C297" s="81">
        <v>2025</v>
      </c>
      <c r="D297" t="s">
        <v>422</v>
      </c>
      <c r="E297" t="s">
        <v>457</v>
      </c>
      <c r="F297" s="85">
        <v>28.8</v>
      </c>
      <c r="G297" s="86">
        <v>27.65</v>
      </c>
      <c r="H297" s="86">
        <v>1.54</v>
      </c>
      <c r="I297" s="87">
        <v>0.7</v>
      </c>
      <c r="J297" s="85">
        <v>23</v>
      </c>
      <c r="K297" s="85">
        <v>32.299999999999997</v>
      </c>
      <c r="L297" t="s">
        <v>436</v>
      </c>
      <c r="M297" s="81">
        <v>3453</v>
      </c>
      <c r="N297" t="s">
        <v>437</v>
      </c>
      <c r="O297" s="85">
        <f t="shared" si="8"/>
        <v>4.1591320072332811</v>
      </c>
      <c r="P297" s="85">
        <f t="shared" si="9"/>
        <v>4.1591320072332811</v>
      </c>
      <c r="Q297" s="81"/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397</v>
      </c>
      <c r="B298" t="s">
        <v>456</v>
      </c>
      <c r="C298" s="81">
        <v>2025</v>
      </c>
      <c r="D298" t="s">
        <v>422</v>
      </c>
      <c r="E298" t="s">
        <v>458</v>
      </c>
      <c r="F298" s="85">
        <v>27.6</v>
      </c>
      <c r="G298" s="86">
        <v>28.43</v>
      </c>
      <c r="H298" s="86">
        <v>1.33</v>
      </c>
      <c r="I298" s="87">
        <v>-0.6</v>
      </c>
      <c r="J298" s="85">
        <v>24.4</v>
      </c>
      <c r="K298" s="85">
        <v>32.5</v>
      </c>
      <c r="L298" t="s">
        <v>436</v>
      </c>
      <c r="M298" s="81">
        <v>3458</v>
      </c>
      <c r="N298" t="s">
        <v>437</v>
      </c>
      <c r="O298" s="85">
        <f t="shared" si="8"/>
        <v>-2.9194512838550768</v>
      </c>
      <c r="P298" s="85">
        <f t="shared" si="9"/>
        <v>2.9194512838550768</v>
      </c>
      <c r="Q298" s="81"/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397</v>
      </c>
      <c r="B299" t="s">
        <v>456</v>
      </c>
      <c r="C299" s="81">
        <v>2025</v>
      </c>
      <c r="D299" t="s">
        <v>422</v>
      </c>
      <c r="E299" t="s">
        <v>459</v>
      </c>
      <c r="F299" s="85">
        <v>28.5</v>
      </c>
      <c r="G299" s="86">
        <v>28.34</v>
      </c>
      <c r="H299" s="86">
        <v>1.24</v>
      </c>
      <c r="I299" s="87">
        <v>0.1</v>
      </c>
      <c r="J299" s="85">
        <v>24.6</v>
      </c>
      <c r="K299" s="85">
        <v>32.1</v>
      </c>
      <c r="L299" t="s">
        <v>436</v>
      </c>
      <c r="M299" s="81">
        <v>3463</v>
      </c>
      <c r="N299" t="s">
        <v>437</v>
      </c>
      <c r="O299" s="85">
        <f t="shared" si="8"/>
        <v>0.5645730416372623</v>
      </c>
      <c r="P299" s="85">
        <f t="shared" si="9"/>
        <v>0.5645730416372623</v>
      </c>
      <c r="Q299" s="81"/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397</v>
      </c>
      <c r="B300" t="s">
        <v>456</v>
      </c>
      <c r="C300" s="81">
        <v>2025</v>
      </c>
      <c r="D300" t="s">
        <v>422</v>
      </c>
      <c r="E300" t="s">
        <v>460</v>
      </c>
      <c r="F300" s="85">
        <v>35.299999999999997</v>
      </c>
      <c r="G300" s="86">
        <v>34.659999999999997</v>
      </c>
      <c r="H300" s="86">
        <v>1.48</v>
      </c>
      <c r="I300" s="87">
        <v>0.4</v>
      </c>
      <c r="J300" s="85">
        <v>30.2</v>
      </c>
      <c r="K300" s="85">
        <v>39.1</v>
      </c>
      <c r="L300" t="s">
        <v>436</v>
      </c>
      <c r="M300" s="81">
        <v>3450</v>
      </c>
      <c r="N300" t="s">
        <v>437</v>
      </c>
      <c r="O300" s="85">
        <f t="shared" si="8"/>
        <v>1.8465089440276996</v>
      </c>
      <c r="P300" s="85">
        <f t="shared" si="9"/>
        <v>1.8465089440276996</v>
      </c>
      <c r="Q300" s="81"/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397</v>
      </c>
      <c r="B301" t="s">
        <v>456</v>
      </c>
      <c r="C301" s="81">
        <v>2025</v>
      </c>
      <c r="D301" t="s">
        <v>422</v>
      </c>
      <c r="E301" t="s">
        <v>461</v>
      </c>
      <c r="F301" s="85">
        <v>26.7</v>
      </c>
      <c r="G301" s="86">
        <v>24.6</v>
      </c>
      <c r="H301" s="86">
        <v>1.18</v>
      </c>
      <c r="I301" s="87">
        <v>1.8</v>
      </c>
      <c r="J301" s="85">
        <v>21</v>
      </c>
      <c r="K301" s="85">
        <v>28.2</v>
      </c>
      <c r="L301" t="s">
        <v>436</v>
      </c>
      <c r="M301" s="81">
        <v>3457</v>
      </c>
      <c r="N301" t="s">
        <v>437</v>
      </c>
      <c r="O301" s="85">
        <f t="shared" si="8"/>
        <v>8.5365853658536501</v>
      </c>
      <c r="P301" s="85">
        <f t="shared" si="9"/>
        <v>8.5365853658536501</v>
      </c>
      <c r="Q301" s="81"/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397</v>
      </c>
      <c r="B302" t="s">
        <v>456</v>
      </c>
      <c r="C302" s="81">
        <v>2025</v>
      </c>
      <c r="D302" t="s">
        <v>423</v>
      </c>
      <c r="E302" t="s">
        <v>457</v>
      </c>
      <c r="F302" s="85">
        <v>0.81</v>
      </c>
      <c r="G302" s="86">
        <v>0.77400000000000002</v>
      </c>
      <c r="H302" s="86">
        <v>4.7E-2</v>
      </c>
      <c r="I302" s="87">
        <v>0.8</v>
      </c>
      <c r="J302" s="85">
        <v>0.63</v>
      </c>
      <c r="K302" s="85">
        <v>0.92</v>
      </c>
      <c r="L302" t="s">
        <v>436</v>
      </c>
      <c r="M302" s="81">
        <v>3438</v>
      </c>
      <c r="N302" t="s">
        <v>442</v>
      </c>
      <c r="O302" s="85">
        <f t="shared" si="8"/>
        <v>4.6511627906976782</v>
      </c>
      <c r="P302" s="85">
        <f t="shared" si="9"/>
        <v>4.6511627906976782</v>
      </c>
      <c r="Q302" s="81"/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397</v>
      </c>
      <c r="B303" t="s">
        <v>456</v>
      </c>
      <c r="C303" s="81">
        <v>2025</v>
      </c>
      <c r="D303" t="s">
        <v>423</v>
      </c>
      <c r="E303" t="s">
        <v>458</v>
      </c>
      <c r="F303" s="85">
        <v>1.82</v>
      </c>
      <c r="G303" s="86">
        <v>1.897</v>
      </c>
      <c r="H303" s="86">
        <v>9.8000000000000004E-2</v>
      </c>
      <c r="I303" s="87">
        <v>-0.8</v>
      </c>
      <c r="J303" s="85">
        <v>1.6</v>
      </c>
      <c r="K303" s="85">
        <v>2.2000000000000002</v>
      </c>
      <c r="L303" t="s">
        <v>436</v>
      </c>
      <c r="M303" s="81">
        <v>3450</v>
      </c>
      <c r="N303" t="s">
        <v>442</v>
      </c>
      <c r="O303" s="85">
        <f t="shared" si="8"/>
        <v>-4.0590405904059015</v>
      </c>
      <c r="P303" s="85">
        <f t="shared" si="9"/>
        <v>4.0590405904059015</v>
      </c>
      <c r="Q303" s="81"/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397</v>
      </c>
      <c r="B304" t="s">
        <v>456</v>
      </c>
      <c r="C304" s="81">
        <v>2025</v>
      </c>
      <c r="D304" t="s">
        <v>423</v>
      </c>
      <c r="E304" t="s">
        <v>459</v>
      </c>
      <c r="F304" s="85">
        <v>2.15</v>
      </c>
      <c r="G304" s="86">
        <v>2.1579999999999999</v>
      </c>
      <c r="H304" s="86">
        <v>0.10100000000000001</v>
      </c>
      <c r="I304" s="87">
        <v>-0.1</v>
      </c>
      <c r="J304" s="85">
        <v>1.85</v>
      </c>
      <c r="K304" s="85">
        <v>2.4700000000000002</v>
      </c>
      <c r="L304" t="s">
        <v>436</v>
      </c>
      <c r="M304" s="81">
        <v>3455</v>
      </c>
      <c r="N304" t="s">
        <v>442</v>
      </c>
      <c r="O304" s="85">
        <f t="shared" si="8"/>
        <v>-0.37071362372567229</v>
      </c>
      <c r="P304" s="85">
        <f t="shared" si="9"/>
        <v>0.37071362372567229</v>
      </c>
      <c r="Q304" s="81"/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397</v>
      </c>
      <c r="B305" t="s">
        <v>456</v>
      </c>
      <c r="C305" s="81">
        <v>2025</v>
      </c>
      <c r="D305" t="s">
        <v>423</v>
      </c>
      <c r="E305" t="s">
        <v>460</v>
      </c>
      <c r="F305" s="85">
        <v>1</v>
      </c>
      <c r="G305" s="86">
        <v>1.016</v>
      </c>
      <c r="H305" s="86">
        <v>0.05</v>
      </c>
      <c r="I305" s="87">
        <v>-0.3</v>
      </c>
      <c r="J305" s="85">
        <v>0.86</v>
      </c>
      <c r="K305" s="85">
        <v>1.17</v>
      </c>
      <c r="L305" t="s">
        <v>436</v>
      </c>
      <c r="M305" s="81">
        <v>3448</v>
      </c>
      <c r="N305" t="s">
        <v>442</v>
      </c>
      <c r="O305" s="85">
        <f t="shared" si="8"/>
        <v>-1.5748031496063006</v>
      </c>
      <c r="P305" s="85">
        <f t="shared" si="9"/>
        <v>1.5748031496063006</v>
      </c>
      <c r="Q305" s="81"/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397</v>
      </c>
      <c r="B306" t="s">
        <v>456</v>
      </c>
      <c r="C306" s="81">
        <v>2025</v>
      </c>
      <c r="D306" t="s">
        <v>423</v>
      </c>
      <c r="E306" t="s">
        <v>461</v>
      </c>
      <c r="F306" s="85">
        <v>4.72</v>
      </c>
      <c r="G306" s="86">
        <v>4.375</v>
      </c>
      <c r="H306" s="86">
        <v>0.224</v>
      </c>
      <c r="I306" s="87">
        <v>1.5</v>
      </c>
      <c r="J306" s="85">
        <v>3.7</v>
      </c>
      <c r="K306" s="85">
        <v>5.05</v>
      </c>
      <c r="L306" t="s">
        <v>436</v>
      </c>
      <c r="M306" s="81">
        <v>3450</v>
      </c>
      <c r="N306" t="s">
        <v>442</v>
      </c>
      <c r="O306" s="85">
        <f t="shared" si="8"/>
        <v>7.8857142857142808</v>
      </c>
      <c r="P306" s="85">
        <f t="shared" si="9"/>
        <v>7.8857142857142808</v>
      </c>
      <c r="Q306" s="81"/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397</v>
      </c>
      <c r="B307" t="s">
        <v>456</v>
      </c>
      <c r="C307" s="81">
        <v>2025</v>
      </c>
      <c r="D307" t="s">
        <v>130</v>
      </c>
      <c r="E307" t="s">
        <v>457</v>
      </c>
      <c r="F307" s="85">
        <v>28.4</v>
      </c>
      <c r="G307" s="86">
        <v>28.72</v>
      </c>
      <c r="H307" s="86">
        <v>0.33</v>
      </c>
      <c r="I307" s="87">
        <v>-1</v>
      </c>
      <c r="J307" s="85">
        <v>27.7</v>
      </c>
      <c r="K307" s="85">
        <v>29.8</v>
      </c>
      <c r="L307" t="s">
        <v>436</v>
      </c>
      <c r="M307" s="81">
        <v>3454</v>
      </c>
      <c r="N307" t="s">
        <v>445</v>
      </c>
      <c r="O307" s="85">
        <f t="shared" si="8"/>
        <v>-1.1142061281337057</v>
      </c>
      <c r="P307" s="85">
        <f t="shared" si="9"/>
        <v>1.1142061281337057</v>
      </c>
      <c r="Q307" s="81"/>
      <c r="S307" t="str">
        <f>IF($W307&lt;&gt;"NAO ACEITO","",COUNTIFS($W$2:$W307,"NAO ACEITO"))</f>
        <v/>
      </c>
      <c r="T307" t="str">
        <f>IF($B307="","",IF(COUNTIF($B$2:$B307,$B307)=1,MAX($T$1:$T306)+1,""))</f>
        <v/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397</v>
      </c>
      <c r="B308" t="s">
        <v>456</v>
      </c>
      <c r="C308" s="81">
        <v>2025</v>
      </c>
      <c r="D308" t="s">
        <v>130</v>
      </c>
      <c r="E308" t="s">
        <v>458</v>
      </c>
      <c r="F308" s="85">
        <v>28</v>
      </c>
      <c r="G308" s="86">
        <v>28.57</v>
      </c>
      <c r="H308" s="86">
        <v>0.32</v>
      </c>
      <c r="I308" s="87">
        <v>-1.8</v>
      </c>
      <c r="J308" s="85">
        <v>27.6</v>
      </c>
      <c r="K308" s="85">
        <v>29.6</v>
      </c>
      <c r="L308" t="s">
        <v>436</v>
      </c>
      <c r="M308" s="81">
        <v>3450</v>
      </c>
      <c r="N308" t="s">
        <v>445</v>
      </c>
      <c r="O308" s="85">
        <f t="shared" si="8"/>
        <v>-1.9950997549877503</v>
      </c>
      <c r="P308" s="85">
        <f t="shared" si="9"/>
        <v>1.9950997549877503</v>
      </c>
      <c r="Q308" s="81"/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397</v>
      </c>
      <c r="B309" t="s">
        <v>456</v>
      </c>
      <c r="C309" s="81">
        <v>2025</v>
      </c>
      <c r="D309" t="s">
        <v>130</v>
      </c>
      <c r="E309" t="s">
        <v>459</v>
      </c>
      <c r="F309" s="85">
        <v>25</v>
      </c>
      <c r="G309" s="86">
        <v>25.3</v>
      </c>
      <c r="H309" s="86">
        <v>0.32</v>
      </c>
      <c r="I309" s="87">
        <v>-0.9</v>
      </c>
      <c r="J309" s="85">
        <v>24.3</v>
      </c>
      <c r="K309" s="85">
        <v>26.3</v>
      </c>
      <c r="L309" t="s">
        <v>436</v>
      </c>
      <c r="M309" s="81">
        <v>3453</v>
      </c>
      <c r="N309" t="s">
        <v>445</v>
      </c>
      <c r="O309" s="85">
        <f t="shared" si="8"/>
        <v>-1.185770750988145</v>
      </c>
      <c r="P309" s="85">
        <f t="shared" si="9"/>
        <v>1.185770750988145</v>
      </c>
      <c r="Q309" s="81"/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397</v>
      </c>
      <c r="B310" t="s">
        <v>456</v>
      </c>
      <c r="C310" s="81">
        <v>2025</v>
      </c>
      <c r="D310" t="s">
        <v>130</v>
      </c>
      <c r="E310" t="s">
        <v>460</v>
      </c>
      <c r="F310" s="85">
        <v>24.9</v>
      </c>
      <c r="G310" s="86">
        <v>25.5</v>
      </c>
      <c r="H310" s="86">
        <v>0.35</v>
      </c>
      <c r="I310" s="87">
        <v>-1.7</v>
      </c>
      <c r="J310" s="85">
        <v>24.4</v>
      </c>
      <c r="K310" s="85">
        <v>26.6</v>
      </c>
      <c r="L310" t="s">
        <v>436</v>
      </c>
      <c r="M310" s="81">
        <v>3451</v>
      </c>
      <c r="N310" t="s">
        <v>445</v>
      </c>
      <c r="O310" s="85">
        <f t="shared" si="8"/>
        <v>-2.3529411764705936</v>
      </c>
      <c r="P310" s="85">
        <f t="shared" si="9"/>
        <v>2.3529411764705936</v>
      </c>
      <c r="Q310" s="81"/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397</v>
      </c>
      <c r="B311" t="s">
        <v>456</v>
      </c>
      <c r="C311" s="81">
        <v>2025</v>
      </c>
      <c r="D311" t="s">
        <v>130</v>
      </c>
      <c r="E311" t="s">
        <v>461</v>
      </c>
      <c r="F311" s="85">
        <v>30.8</v>
      </c>
      <c r="G311" s="86">
        <v>31.29</v>
      </c>
      <c r="H311" s="86">
        <v>0.36</v>
      </c>
      <c r="I311" s="87">
        <v>-1.4</v>
      </c>
      <c r="J311" s="85">
        <v>30.2</v>
      </c>
      <c r="K311" s="85">
        <v>32.4</v>
      </c>
      <c r="L311" t="s">
        <v>436</v>
      </c>
      <c r="M311" s="81">
        <v>3452</v>
      </c>
      <c r="N311" t="s">
        <v>445</v>
      </c>
      <c r="O311" s="85">
        <f t="shared" si="8"/>
        <v>-1.5659955257270646</v>
      </c>
      <c r="P311" s="85">
        <f t="shared" si="9"/>
        <v>1.5659955257270646</v>
      </c>
      <c r="Q311" s="81"/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397</v>
      </c>
      <c r="B312" t="s">
        <v>456</v>
      </c>
      <c r="C312" s="81">
        <v>2025</v>
      </c>
      <c r="D312" t="s">
        <v>131</v>
      </c>
      <c r="E312" t="s">
        <v>457</v>
      </c>
      <c r="F312" s="85">
        <v>34.299999999999997</v>
      </c>
      <c r="G312" s="86">
        <v>34.25</v>
      </c>
      <c r="H312" s="86">
        <v>0.49</v>
      </c>
      <c r="I312" s="87">
        <v>0.1</v>
      </c>
      <c r="J312" s="85">
        <v>32.700000000000003</v>
      </c>
      <c r="K312" s="85">
        <v>35.799999999999997</v>
      </c>
      <c r="L312" t="s">
        <v>436</v>
      </c>
      <c r="M312" s="81">
        <v>3464</v>
      </c>
      <c r="N312" t="s">
        <v>443</v>
      </c>
      <c r="O312" s="85">
        <f t="shared" si="8"/>
        <v>0.14598540145984573</v>
      </c>
      <c r="P312" s="85">
        <f t="shared" si="9"/>
        <v>0.14598540145984573</v>
      </c>
      <c r="Q312" s="81"/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397</v>
      </c>
      <c r="B313" t="s">
        <v>456</v>
      </c>
      <c r="C313" s="81">
        <v>2025</v>
      </c>
      <c r="D313" t="s">
        <v>131</v>
      </c>
      <c r="E313" t="s">
        <v>458</v>
      </c>
      <c r="F313" s="85">
        <v>34.4</v>
      </c>
      <c r="G313" s="86">
        <v>34.43</v>
      </c>
      <c r="H313" s="86">
        <v>0.49</v>
      </c>
      <c r="I313" s="87">
        <v>-0.1</v>
      </c>
      <c r="J313" s="85">
        <v>32.9</v>
      </c>
      <c r="K313" s="85">
        <v>36</v>
      </c>
      <c r="L313" t="s">
        <v>436</v>
      </c>
      <c r="M313" s="81">
        <v>3459</v>
      </c>
      <c r="N313" t="s">
        <v>443</v>
      </c>
      <c r="O313" s="85">
        <f t="shared" si="8"/>
        <v>-8.7133313970377976E-2</v>
      </c>
      <c r="P313" s="85">
        <f t="shared" si="9"/>
        <v>8.7133313970377976E-2</v>
      </c>
      <c r="Q313" s="81"/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397</v>
      </c>
      <c r="B314" t="s">
        <v>456</v>
      </c>
      <c r="C314" s="81">
        <v>2025</v>
      </c>
      <c r="D314" t="s">
        <v>131</v>
      </c>
      <c r="E314" t="s">
        <v>459</v>
      </c>
      <c r="F314" s="85">
        <v>34.5</v>
      </c>
      <c r="G314" s="86">
        <v>34.21</v>
      </c>
      <c r="H314" s="86">
        <v>0.56999999999999995</v>
      </c>
      <c r="I314" s="87">
        <v>0.5</v>
      </c>
      <c r="J314" s="85">
        <v>32.4</v>
      </c>
      <c r="K314" s="85">
        <v>36</v>
      </c>
      <c r="L314" t="s">
        <v>436</v>
      </c>
      <c r="M314" s="81">
        <v>3463</v>
      </c>
      <c r="N314" t="s">
        <v>443</v>
      </c>
      <c r="O314" s="85">
        <f t="shared" si="8"/>
        <v>0.84770534931306385</v>
      </c>
      <c r="P314" s="85">
        <f t="shared" si="9"/>
        <v>0.84770534931306385</v>
      </c>
      <c r="Q314" s="81"/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397</v>
      </c>
      <c r="B315" t="s">
        <v>456</v>
      </c>
      <c r="C315" s="81">
        <v>2025</v>
      </c>
      <c r="D315" t="s">
        <v>131</v>
      </c>
      <c r="E315" t="s">
        <v>460</v>
      </c>
      <c r="F315" s="85">
        <v>33.700000000000003</v>
      </c>
      <c r="G315" s="86">
        <v>34.090000000000003</v>
      </c>
      <c r="H315" s="86">
        <v>0.61</v>
      </c>
      <c r="I315" s="87">
        <v>-0.6</v>
      </c>
      <c r="J315" s="85">
        <v>32.200000000000003</v>
      </c>
      <c r="K315" s="85">
        <v>36</v>
      </c>
      <c r="L315" t="s">
        <v>436</v>
      </c>
      <c r="M315" s="81">
        <v>3459</v>
      </c>
      <c r="N315" t="s">
        <v>443</v>
      </c>
      <c r="O315" s="85">
        <f t="shared" si="8"/>
        <v>-1.1440305074802009</v>
      </c>
      <c r="P315" s="85">
        <f t="shared" si="9"/>
        <v>1.1440305074802009</v>
      </c>
      <c r="Q315" s="81"/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397</v>
      </c>
      <c r="B316" t="s">
        <v>456</v>
      </c>
      <c r="C316" s="81">
        <v>2025</v>
      </c>
      <c r="D316" t="s">
        <v>131</v>
      </c>
      <c r="E316" t="s">
        <v>461</v>
      </c>
      <c r="F316" s="85">
        <v>35</v>
      </c>
      <c r="G316" s="86">
        <v>35.049999999999997</v>
      </c>
      <c r="H316" s="86">
        <v>0.51</v>
      </c>
      <c r="I316" s="87">
        <v>-0.1</v>
      </c>
      <c r="J316" s="85">
        <v>33.5</v>
      </c>
      <c r="K316" s="85">
        <v>36.6</v>
      </c>
      <c r="L316" t="s">
        <v>436</v>
      </c>
      <c r="M316" s="81">
        <v>3458</v>
      </c>
      <c r="N316" t="s">
        <v>443</v>
      </c>
      <c r="O316" s="85">
        <f t="shared" si="8"/>
        <v>-0.14265335235377222</v>
      </c>
      <c r="P316" s="85">
        <f t="shared" si="9"/>
        <v>0.14265335235377222</v>
      </c>
      <c r="Q316" s="81"/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397</v>
      </c>
      <c r="B317" t="s">
        <v>456</v>
      </c>
      <c r="C317" s="81">
        <v>2025</v>
      </c>
      <c r="D317" t="s">
        <v>129</v>
      </c>
      <c r="E317" t="s">
        <v>457</v>
      </c>
      <c r="F317" s="85">
        <v>82.6</v>
      </c>
      <c r="G317" s="86">
        <v>83.87</v>
      </c>
      <c r="H317" s="86">
        <v>0.86</v>
      </c>
      <c r="I317" s="87">
        <v>-1.5</v>
      </c>
      <c r="J317" s="85">
        <v>81.2</v>
      </c>
      <c r="K317" s="85">
        <v>86.5</v>
      </c>
      <c r="L317" t="s">
        <v>436</v>
      </c>
      <c r="M317" s="81">
        <v>3478</v>
      </c>
      <c r="N317" t="s">
        <v>447</v>
      </c>
      <c r="O317" s="85">
        <f t="shared" si="8"/>
        <v>-1.5142482413258735</v>
      </c>
      <c r="P317" s="85">
        <f t="shared" si="9"/>
        <v>1.5142482413258735</v>
      </c>
      <c r="Q317" s="81"/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397</v>
      </c>
      <c r="B318" t="s">
        <v>456</v>
      </c>
      <c r="C318" s="81">
        <v>2025</v>
      </c>
      <c r="D318" t="s">
        <v>129</v>
      </c>
      <c r="E318" t="s">
        <v>458</v>
      </c>
      <c r="F318" s="85">
        <v>81.599999999999994</v>
      </c>
      <c r="G318" s="86">
        <v>83.02</v>
      </c>
      <c r="H318" s="86">
        <v>0.86</v>
      </c>
      <c r="I318" s="87">
        <v>-1.6</v>
      </c>
      <c r="J318" s="85">
        <v>80.400000000000006</v>
      </c>
      <c r="K318" s="85">
        <v>85.7</v>
      </c>
      <c r="L318" t="s">
        <v>436</v>
      </c>
      <c r="M318" s="81">
        <v>3475</v>
      </c>
      <c r="N318" t="s">
        <v>447</v>
      </c>
      <c r="O318" s="85">
        <f t="shared" si="8"/>
        <v>-1.7104312213924378</v>
      </c>
      <c r="P318" s="85">
        <f t="shared" si="9"/>
        <v>1.7104312213924378</v>
      </c>
      <c r="Q318" s="81"/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397</v>
      </c>
      <c r="B319" t="s">
        <v>456</v>
      </c>
      <c r="C319" s="81">
        <v>2025</v>
      </c>
      <c r="D319" t="s">
        <v>129</v>
      </c>
      <c r="E319" t="s">
        <v>459</v>
      </c>
      <c r="F319" s="85">
        <v>72.5</v>
      </c>
      <c r="G319" s="86">
        <v>74.02</v>
      </c>
      <c r="H319" s="86">
        <v>0.83</v>
      </c>
      <c r="I319" s="87">
        <v>-1.8</v>
      </c>
      <c r="J319" s="85">
        <v>71.5</v>
      </c>
      <c r="K319" s="85">
        <v>76.599999999999994</v>
      </c>
      <c r="L319" t="s">
        <v>436</v>
      </c>
      <c r="M319" s="81">
        <v>3472</v>
      </c>
      <c r="N319" t="s">
        <v>447</v>
      </c>
      <c r="O319" s="85">
        <f t="shared" si="8"/>
        <v>-2.0534990543096407</v>
      </c>
      <c r="P319" s="85">
        <f t="shared" si="9"/>
        <v>2.0534990543096407</v>
      </c>
      <c r="Q319" s="81"/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397</v>
      </c>
      <c r="B320" t="s">
        <v>456</v>
      </c>
      <c r="C320" s="81">
        <v>2025</v>
      </c>
      <c r="D320" t="s">
        <v>129</v>
      </c>
      <c r="E320" t="s">
        <v>460</v>
      </c>
      <c r="F320" s="85">
        <v>73.8</v>
      </c>
      <c r="G320" s="86">
        <v>74.75</v>
      </c>
      <c r="H320" s="86">
        <v>0.84</v>
      </c>
      <c r="I320" s="87">
        <v>-1.4</v>
      </c>
      <c r="J320" s="85">
        <v>72.2</v>
      </c>
      <c r="K320" s="85">
        <v>77.3</v>
      </c>
      <c r="L320" t="s">
        <v>436</v>
      </c>
      <c r="M320" s="81">
        <v>3466</v>
      </c>
      <c r="N320" t="s">
        <v>447</v>
      </c>
      <c r="O320" s="85">
        <f t="shared" si="8"/>
        <v>-1.2709030100334486</v>
      </c>
      <c r="P320" s="85">
        <f t="shared" si="9"/>
        <v>1.2709030100334486</v>
      </c>
      <c r="Q320" s="81"/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397</v>
      </c>
      <c r="B321" t="s">
        <v>456</v>
      </c>
      <c r="C321" s="81">
        <v>2025</v>
      </c>
      <c r="D321" t="s">
        <v>129</v>
      </c>
      <c r="E321" t="s">
        <v>461</v>
      </c>
      <c r="F321" s="85">
        <v>87.9</v>
      </c>
      <c r="G321" s="86">
        <v>89.28</v>
      </c>
      <c r="H321" s="86">
        <v>0.92</v>
      </c>
      <c r="I321" s="87">
        <v>-1.5</v>
      </c>
      <c r="J321" s="85">
        <v>86.5</v>
      </c>
      <c r="K321" s="85">
        <v>92.1</v>
      </c>
      <c r="L321" t="s">
        <v>436</v>
      </c>
      <c r="M321" s="81">
        <v>3464</v>
      </c>
      <c r="N321" t="s">
        <v>447</v>
      </c>
      <c r="O321" s="85">
        <f t="shared" si="8"/>
        <v>-1.5456989247311776</v>
      </c>
      <c r="P321" s="85">
        <f t="shared" si="9"/>
        <v>1.5456989247311776</v>
      </c>
      <c r="Q321" s="81"/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397</v>
      </c>
      <c r="B322" t="s">
        <v>456</v>
      </c>
      <c r="C322" s="81">
        <v>2025</v>
      </c>
      <c r="D322" t="s">
        <v>149</v>
      </c>
      <c r="E322" t="s">
        <v>457</v>
      </c>
      <c r="F322" s="85">
        <v>9.1</v>
      </c>
      <c r="G322" s="86">
        <v>9.6</v>
      </c>
      <c r="H322" s="86">
        <v>0.22</v>
      </c>
      <c r="I322" s="87">
        <v>-2.2999999999999998</v>
      </c>
      <c r="J322" s="85">
        <v>8.9</v>
      </c>
      <c r="K322" s="85">
        <v>10.3</v>
      </c>
      <c r="L322" t="s">
        <v>436</v>
      </c>
      <c r="M322" s="81">
        <v>3290</v>
      </c>
      <c r="N322" t="s">
        <v>447</v>
      </c>
      <c r="O322" s="85">
        <f t="shared" ref="O322:O385" si="10">IFERROR((F322-G322)/G322*100,"")</f>
        <v>-5.2083333333333339</v>
      </c>
      <c r="P322" s="85">
        <f t="shared" ref="P322:P385" si="11">IF(O322="","",ABS(O322))</f>
        <v>5.2083333333333339</v>
      </c>
      <c r="Q322" s="81"/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397</v>
      </c>
      <c r="B323" t="s">
        <v>456</v>
      </c>
      <c r="C323" s="81">
        <v>2025</v>
      </c>
      <c r="D323" t="s">
        <v>149</v>
      </c>
      <c r="E323" t="s">
        <v>458</v>
      </c>
      <c r="F323" s="85">
        <v>9.4</v>
      </c>
      <c r="G323" s="86">
        <v>9.7899999999999991</v>
      </c>
      <c r="H323" s="86">
        <v>0.19</v>
      </c>
      <c r="I323" s="87">
        <v>-2</v>
      </c>
      <c r="J323" s="85">
        <v>9.1999999999999993</v>
      </c>
      <c r="K323" s="85">
        <v>10.4</v>
      </c>
      <c r="L323" t="s">
        <v>436</v>
      </c>
      <c r="M323" s="81">
        <v>3304</v>
      </c>
      <c r="N323" t="s">
        <v>447</v>
      </c>
      <c r="O323" s="85">
        <f t="shared" si="10"/>
        <v>-3.9836567926455451</v>
      </c>
      <c r="P323" s="85">
        <f t="shared" si="11"/>
        <v>3.9836567926455451</v>
      </c>
      <c r="Q323" s="81"/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397</v>
      </c>
      <c r="B324" t="s">
        <v>456</v>
      </c>
      <c r="C324" s="81">
        <v>2025</v>
      </c>
      <c r="D324" t="s">
        <v>149</v>
      </c>
      <c r="E324" t="s">
        <v>459</v>
      </c>
      <c r="F324" s="85">
        <v>9.6</v>
      </c>
      <c r="G324" s="86">
        <v>9.9499999999999993</v>
      </c>
      <c r="H324" s="86">
        <v>0.19</v>
      </c>
      <c r="I324" s="87">
        <v>-1.9</v>
      </c>
      <c r="J324" s="85">
        <v>9.3000000000000007</v>
      </c>
      <c r="K324" s="85">
        <v>10.6</v>
      </c>
      <c r="L324" t="s">
        <v>436</v>
      </c>
      <c r="M324" s="81">
        <v>3315</v>
      </c>
      <c r="N324" t="s">
        <v>447</v>
      </c>
      <c r="O324" s="85">
        <f t="shared" si="10"/>
        <v>-3.517587939698489</v>
      </c>
      <c r="P324" s="85">
        <f t="shared" si="11"/>
        <v>3.517587939698489</v>
      </c>
      <c r="Q324" s="81"/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397</v>
      </c>
      <c r="B325" t="s">
        <v>456</v>
      </c>
      <c r="C325" s="81">
        <v>2025</v>
      </c>
      <c r="D325" t="s">
        <v>149</v>
      </c>
      <c r="E325" t="s">
        <v>460</v>
      </c>
      <c r="F325" s="85">
        <v>10.199999999999999</v>
      </c>
      <c r="G325" s="86">
        <v>10.29</v>
      </c>
      <c r="H325" s="86">
        <v>0.34</v>
      </c>
      <c r="I325" s="87">
        <v>-0.3</v>
      </c>
      <c r="J325" s="85">
        <v>9.1999999999999993</v>
      </c>
      <c r="K325" s="85">
        <v>11.4</v>
      </c>
      <c r="L325" t="s">
        <v>436</v>
      </c>
      <c r="M325" s="81">
        <v>3317</v>
      </c>
      <c r="N325" t="s">
        <v>447</v>
      </c>
      <c r="O325" s="85">
        <f t="shared" si="10"/>
        <v>-0.87463556851311819</v>
      </c>
      <c r="P325" s="85">
        <f t="shared" si="11"/>
        <v>0.87463556851311819</v>
      </c>
      <c r="Q325" s="81"/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397</v>
      </c>
      <c r="B326" t="s">
        <v>456</v>
      </c>
      <c r="C326" s="81">
        <v>2025</v>
      </c>
      <c r="D326" t="s">
        <v>149</v>
      </c>
      <c r="E326" t="s">
        <v>461</v>
      </c>
      <c r="F326" s="85">
        <v>9.3000000000000007</v>
      </c>
      <c r="G326" s="86">
        <v>9.57</v>
      </c>
      <c r="H326" s="86">
        <v>0.15</v>
      </c>
      <c r="I326" s="87">
        <v>-1.8</v>
      </c>
      <c r="J326" s="85">
        <v>9.1</v>
      </c>
      <c r="K326" s="85">
        <v>10.1</v>
      </c>
      <c r="L326" t="s">
        <v>436</v>
      </c>
      <c r="M326" s="81">
        <v>3294</v>
      </c>
      <c r="N326" t="s">
        <v>447</v>
      </c>
      <c r="O326" s="85">
        <f t="shared" si="10"/>
        <v>-2.8213166144200579</v>
      </c>
      <c r="P326" s="85">
        <f t="shared" si="11"/>
        <v>2.8213166144200579</v>
      </c>
      <c r="Q326" s="81"/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397</v>
      </c>
      <c r="B327" t="s">
        <v>456</v>
      </c>
      <c r="C327" s="81">
        <v>2025</v>
      </c>
      <c r="D327" t="s">
        <v>424</v>
      </c>
      <c r="E327" t="s">
        <v>457</v>
      </c>
      <c r="F327" s="85">
        <v>12.1</v>
      </c>
      <c r="G327" s="86">
        <v>12.21</v>
      </c>
      <c r="H327" s="86">
        <v>1.48</v>
      </c>
      <c r="I327" s="87">
        <v>-0.1</v>
      </c>
      <c r="J327" s="85">
        <v>7.7</v>
      </c>
      <c r="K327" s="85">
        <v>16.7</v>
      </c>
      <c r="L327" t="s">
        <v>436</v>
      </c>
      <c r="M327" s="81">
        <v>3418</v>
      </c>
      <c r="N327" t="s">
        <v>437</v>
      </c>
      <c r="O327" s="85">
        <f t="shared" si="10"/>
        <v>-0.90090090090091079</v>
      </c>
      <c r="P327" s="85">
        <f t="shared" si="11"/>
        <v>0.90090090090091079</v>
      </c>
      <c r="Q327" s="81"/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397</v>
      </c>
      <c r="B328" t="s">
        <v>456</v>
      </c>
      <c r="C328" s="81">
        <v>2025</v>
      </c>
      <c r="D328" t="s">
        <v>424</v>
      </c>
      <c r="E328" t="s">
        <v>458</v>
      </c>
      <c r="F328" s="85">
        <v>12.1</v>
      </c>
      <c r="G328" s="86">
        <v>11.63</v>
      </c>
      <c r="H328" s="86">
        <v>1.27</v>
      </c>
      <c r="I328" s="87">
        <v>0.4</v>
      </c>
      <c r="J328" s="85">
        <v>7.8</v>
      </c>
      <c r="K328" s="85">
        <v>15.5</v>
      </c>
      <c r="L328" t="s">
        <v>436</v>
      </c>
      <c r="M328" s="81">
        <v>3438</v>
      </c>
      <c r="N328" t="s">
        <v>437</v>
      </c>
      <c r="O328" s="85">
        <f t="shared" si="10"/>
        <v>4.0412725709372213</v>
      </c>
      <c r="P328" s="85">
        <f t="shared" si="11"/>
        <v>4.0412725709372213</v>
      </c>
      <c r="Q328" s="81"/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397</v>
      </c>
      <c r="B329" t="s">
        <v>456</v>
      </c>
      <c r="C329" s="81">
        <v>2025</v>
      </c>
      <c r="D329" t="s">
        <v>424</v>
      </c>
      <c r="E329" t="s">
        <v>459</v>
      </c>
      <c r="F329" s="85">
        <v>12.1</v>
      </c>
      <c r="G329" s="86">
        <v>11.83</v>
      </c>
      <c r="H329" s="86">
        <v>1.1599999999999999</v>
      </c>
      <c r="I329" s="87">
        <v>0.2</v>
      </c>
      <c r="J329" s="85">
        <v>8.3000000000000007</v>
      </c>
      <c r="K329" s="85">
        <v>15.4</v>
      </c>
      <c r="L329" t="s">
        <v>436</v>
      </c>
      <c r="M329" s="81">
        <v>3431</v>
      </c>
      <c r="N329" t="s">
        <v>437</v>
      </c>
      <c r="O329" s="85">
        <f t="shared" si="10"/>
        <v>2.2823330515638172</v>
      </c>
      <c r="P329" s="85">
        <f t="shared" si="11"/>
        <v>2.2823330515638172</v>
      </c>
      <c r="Q329" s="81"/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397</v>
      </c>
      <c r="B330" t="s">
        <v>456</v>
      </c>
      <c r="C330" s="81">
        <v>2025</v>
      </c>
      <c r="D330" t="s">
        <v>424</v>
      </c>
      <c r="E330" t="s">
        <v>460</v>
      </c>
      <c r="F330" s="85">
        <v>13.4</v>
      </c>
      <c r="G330" s="86">
        <v>11.36</v>
      </c>
      <c r="H330" s="86">
        <v>1.31</v>
      </c>
      <c r="I330" s="87">
        <v>1.6</v>
      </c>
      <c r="J330" s="85">
        <v>7.4</v>
      </c>
      <c r="K330" s="85">
        <v>15.3</v>
      </c>
      <c r="L330" t="s">
        <v>436</v>
      </c>
      <c r="M330" s="81">
        <v>3422</v>
      </c>
      <c r="N330" t="s">
        <v>437</v>
      </c>
      <c r="O330" s="85">
        <f t="shared" si="10"/>
        <v>17.957746478873247</v>
      </c>
      <c r="P330" s="85">
        <f t="shared" si="11"/>
        <v>17.957746478873247</v>
      </c>
      <c r="Q330" s="81"/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397</v>
      </c>
      <c r="B331" t="s">
        <v>456</v>
      </c>
      <c r="C331" s="81">
        <v>2025</v>
      </c>
      <c r="D331" t="s">
        <v>424</v>
      </c>
      <c r="E331" t="s">
        <v>461</v>
      </c>
      <c r="F331" s="85">
        <v>9.4</v>
      </c>
      <c r="G331" s="86">
        <v>10.84</v>
      </c>
      <c r="H331" s="86">
        <v>1.17</v>
      </c>
      <c r="I331" s="87">
        <v>-1.2</v>
      </c>
      <c r="J331" s="85">
        <v>7.3</v>
      </c>
      <c r="K331" s="85">
        <v>14.4</v>
      </c>
      <c r="L331" t="s">
        <v>436</v>
      </c>
      <c r="M331" s="81">
        <v>3423</v>
      </c>
      <c r="N331" t="s">
        <v>437</v>
      </c>
      <c r="O331" s="85">
        <f t="shared" si="10"/>
        <v>-13.284132841328407</v>
      </c>
      <c r="P331" s="85">
        <f t="shared" si="11"/>
        <v>13.284132841328407</v>
      </c>
      <c r="Q331" s="81"/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397</v>
      </c>
      <c r="B332" t="s">
        <v>456</v>
      </c>
      <c r="C332" s="81">
        <v>2025</v>
      </c>
      <c r="D332" t="s">
        <v>425</v>
      </c>
      <c r="E332" t="s">
        <v>457</v>
      </c>
      <c r="F332" s="85">
        <v>0.34</v>
      </c>
      <c r="G332" s="86">
        <v>0.34200000000000003</v>
      </c>
      <c r="H332" s="86">
        <v>4.2999999999999997E-2</v>
      </c>
      <c r="I332" s="87">
        <v>0</v>
      </c>
      <c r="J332" s="85">
        <v>0.21</v>
      </c>
      <c r="K332" s="85">
        <v>0.47</v>
      </c>
      <c r="L332" t="s">
        <v>436</v>
      </c>
      <c r="M332" s="81">
        <v>3413</v>
      </c>
      <c r="N332" t="s">
        <v>442</v>
      </c>
      <c r="O332" s="85">
        <f t="shared" si="10"/>
        <v>-0.58479532163742742</v>
      </c>
      <c r="P332" s="85">
        <f t="shared" si="11"/>
        <v>0.58479532163742742</v>
      </c>
      <c r="Q332" s="81"/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397</v>
      </c>
      <c r="B333" t="s">
        <v>456</v>
      </c>
      <c r="C333" s="81">
        <v>2025</v>
      </c>
      <c r="D333" t="s">
        <v>425</v>
      </c>
      <c r="E333" t="s">
        <v>458</v>
      </c>
      <c r="F333" s="85">
        <v>0.8</v>
      </c>
      <c r="G333" s="86">
        <v>0.77600000000000002</v>
      </c>
      <c r="H333" s="86">
        <v>8.5999999999999993E-2</v>
      </c>
      <c r="I333" s="87">
        <v>0.3</v>
      </c>
      <c r="J333" s="85">
        <v>0.51</v>
      </c>
      <c r="K333" s="85">
        <v>1.04</v>
      </c>
      <c r="L333" t="s">
        <v>436</v>
      </c>
      <c r="M333" s="81">
        <v>3432</v>
      </c>
      <c r="N333" t="s">
        <v>442</v>
      </c>
      <c r="O333" s="85">
        <f t="shared" si="10"/>
        <v>3.0927835051546415</v>
      </c>
      <c r="P333" s="85">
        <f t="shared" si="11"/>
        <v>3.0927835051546415</v>
      </c>
      <c r="Q333" s="81"/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397</v>
      </c>
      <c r="B334" t="s">
        <v>456</v>
      </c>
      <c r="C334" s="81">
        <v>2025</v>
      </c>
      <c r="D334" t="s">
        <v>425</v>
      </c>
      <c r="E334" t="s">
        <v>459</v>
      </c>
      <c r="F334" s="85">
        <v>0.91</v>
      </c>
      <c r="G334" s="86">
        <v>0.90100000000000002</v>
      </c>
      <c r="H334" s="86">
        <v>9.0999999999999998E-2</v>
      </c>
      <c r="I334" s="87">
        <v>0.1</v>
      </c>
      <c r="J334" s="85">
        <v>0.62</v>
      </c>
      <c r="K334" s="85">
        <v>1.18</v>
      </c>
      <c r="L334" t="s">
        <v>436</v>
      </c>
      <c r="M334" s="81">
        <v>3421</v>
      </c>
      <c r="N334" t="s">
        <v>442</v>
      </c>
      <c r="O334" s="85">
        <f t="shared" si="10"/>
        <v>0.99889012208657124</v>
      </c>
      <c r="P334" s="85">
        <f t="shared" si="11"/>
        <v>0.99889012208657124</v>
      </c>
      <c r="Q334" s="81"/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397</v>
      </c>
      <c r="B335" t="s">
        <v>456</v>
      </c>
      <c r="C335" s="81">
        <v>2025</v>
      </c>
      <c r="D335" t="s">
        <v>425</v>
      </c>
      <c r="E335" t="s">
        <v>460</v>
      </c>
      <c r="F335" s="85">
        <v>0.38</v>
      </c>
      <c r="G335" s="86">
        <v>0.33300000000000002</v>
      </c>
      <c r="H335" s="86">
        <v>3.9E-2</v>
      </c>
      <c r="I335" s="87">
        <v>1.2</v>
      </c>
      <c r="J335" s="85">
        <v>0.21</v>
      </c>
      <c r="K335" s="85">
        <v>0.46</v>
      </c>
      <c r="L335" t="s">
        <v>436</v>
      </c>
      <c r="M335" s="81">
        <v>3407</v>
      </c>
      <c r="N335" t="s">
        <v>442</v>
      </c>
      <c r="O335" s="85">
        <f t="shared" si="10"/>
        <v>14.114114114114109</v>
      </c>
      <c r="P335" s="85">
        <f t="shared" si="11"/>
        <v>14.114114114114109</v>
      </c>
      <c r="Q335" s="81"/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397</v>
      </c>
      <c r="B336" t="s">
        <v>456</v>
      </c>
      <c r="C336" s="81">
        <v>2025</v>
      </c>
      <c r="D336" t="s">
        <v>425</v>
      </c>
      <c r="E336" t="s">
        <v>461</v>
      </c>
      <c r="F336" s="85">
        <v>1.67</v>
      </c>
      <c r="G336" s="86">
        <v>1.927</v>
      </c>
      <c r="H336" s="86">
        <v>0.21099999999999999</v>
      </c>
      <c r="I336" s="87">
        <v>-1.2</v>
      </c>
      <c r="J336" s="85">
        <v>1.29</v>
      </c>
      <c r="K336" s="85">
        <v>2.56</v>
      </c>
      <c r="L336" t="s">
        <v>436</v>
      </c>
      <c r="M336" s="81">
        <v>3412</v>
      </c>
      <c r="N336" t="s">
        <v>442</v>
      </c>
      <c r="O336" s="85">
        <f t="shared" si="10"/>
        <v>-13.336792942397516</v>
      </c>
      <c r="P336" s="85">
        <f t="shared" si="11"/>
        <v>13.336792942397516</v>
      </c>
      <c r="Q336" s="81"/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397</v>
      </c>
      <c r="B337" t="s">
        <v>456</v>
      </c>
      <c r="C337" s="81">
        <v>2025</v>
      </c>
      <c r="D337" t="s">
        <v>426</v>
      </c>
      <c r="E337" t="s">
        <v>457</v>
      </c>
      <c r="F337" s="85">
        <v>43.5</v>
      </c>
      <c r="G337" s="86">
        <v>44.59</v>
      </c>
      <c r="H337" s="86">
        <v>1.1499999999999999</v>
      </c>
      <c r="I337" s="87">
        <v>-1</v>
      </c>
      <c r="J337" s="85">
        <v>41.1</v>
      </c>
      <c r="K337" s="85">
        <v>48.1</v>
      </c>
      <c r="L337" t="s">
        <v>436</v>
      </c>
      <c r="M337" s="81">
        <v>3422</v>
      </c>
      <c r="N337" t="s">
        <v>437</v>
      </c>
      <c r="O337" s="85">
        <f t="shared" si="10"/>
        <v>-2.4444942812289825</v>
      </c>
      <c r="P337" s="85">
        <f t="shared" si="11"/>
        <v>2.4444942812289825</v>
      </c>
      <c r="Q337" s="81"/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397</v>
      </c>
      <c r="B338" t="s">
        <v>456</v>
      </c>
      <c r="C338" s="81">
        <v>2025</v>
      </c>
      <c r="D338" t="s">
        <v>426</v>
      </c>
      <c r="E338" t="s">
        <v>458</v>
      </c>
      <c r="F338" s="85">
        <v>45.4</v>
      </c>
      <c r="G338" s="86">
        <v>44.4</v>
      </c>
      <c r="H338" s="86">
        <v>0.92</v>
      </c>
      <c r="I338" s="87">
        <v>1.1000000000000001</v>
      </c>
      <c r="J338" s="85">
        <v>41.6</v>
      </c>
      <c r="K338" s="85">
        <v>47.2</v>
      </c>
      <c r="L338" t="s">
        <v>436</v>
      </c>
      <c r="M338" s="81">
        <v>3422</v>
      </c>
      <c r="N338" t="s">
        <v>437</v>
      </c>
      <c r="O338" s="85">
        <f t="shared" si="10"/>
        <v>2.2522522522522523</v>
      </c>
      <c r="P338" s="85">
        <f t="shared" si="11"/>
        <v>2.2522522522522523</v>
      </c>
      <c r="Q338" s="81"/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397</v>
      </c>
      <c r="B339" t="s">
        <v>456</v>
      </c>
      <c r="C339" s="81">
        <v>2025</v>
      </c>
      <c r="D339" t="s">
        <v>426</v>
      </c>
      <c r="E339" t="s">
        <v>459</v>
      </c>
      <c r="F339" s="85">
        <v>43.6</v>
      </c>
      <c r="G339" s="86">
        <v>44.28</v>
      </c>
      <c r="H339" s="86">
        <v>0.9</v>
      </c>
      <c r="I339" s="87">
        <v>-0.8</v>
      </c>
      <c r="J339" s="85">
        <v>41.5</v>
      </c>
      <c r="K339" s="85">
        <v>47</v>
      </c>
      <c r="L339" t="s">
        <v>436</v>
      </c>
      <c r="M339" s="81">
        <v>3421</v>
      </c>
      <c r="N339" t="s">
        <v>437</v>
      </c>
      <c r="O339" s="85">
        <f t="shared" si="10"/>
        <v>-1.5356820234869009</v>
      </c>
      <c r="P339" s="85">
        <f t="shared" si="11"/>
        <v>1.5356820234869009</v>
      </c>
      <c r="Q339" s="81"/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397</v>
      </c>
      <c r="B340" t="s">
        <v>456</v>
      </c>
      <c r="C340" s="81">
        <v>2025</v>
      </c>
      <c r="D340" t="s">
        <v>426</v>
      </c>
      <c r="E340" t="s">
        <v>460</v>
      </c>
      <c r="F340" s="85">
        <v>37.9</v>
      </c>
      <c r="G340" s="86">
        <v>39.590000000000003</v>
      </c>
      <c r="H340" s="86">
        <v>1.1100000000000001</v>
      </c>
      <c r="I340" s="87">
        <v>-1.5</v>
      </c>
      <c r="J340" s="85">
        <v>36.200000000000003</v>
      </c>
      <c r="K340" s="85">
        <v>43</v>
      </c>
      <c r="L340" t="s">
        <v>436</v>
      </c>
      <c r="M340" s="81">
        <v>3421</v>
      </c>
      <c r="N340" t="s">
        <v>437</v>
      </c>
      <c r="O340" s="85">
        <f t="shared" si="10"/>
        <v>-4.2687547360444675</v>
      </c>
      <c r="P340" s="85">
        <f t="shared" si="11"/>
        <v>4.2687547360444675</v>
      </c>
      <c r="Q340" s="81"/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397</v>
      </c>
      <c r="B341" t="s">
        <v>456</v>
      </c>
      <c r="C341" s="81">
        <v>2025</v>
      </c>
      <c r="D341" t="s">
        <v>426</v>
      </c>
      <c r="E341" t="s">
        <v>461</v>
      </c>
      <c r="F341" s="85">
        <v>46.8</v>
      </c>
      <c r="G341" s="86">
        <v>48.3</v>
      </c>
      <c r="H341" s="86">
        <v>0.94</v>
      </c>
      <c r="I341" s="87">
        <v>-1.6</v>
      </c>
      <c r="J341" s="85">
        <v>45.4</v>
      </c>
      <c r="K341" s="85">
        <v>51.2</v>
      </c>
      <c r="L341" t="s">
        <v>436</v>
      </c>
      <c r="M341" s="81">
        <v>3418</v>
      </c>
      <c r="N341" t="s">
        <v>437</v>
      </c>
      <c r="O341" s="85">
        <f t="shared" si="10"/>
        <v>-3.1055900621118013</v>
      </c>
      <c r="P341" s="85">
        <f t="shared" si="11"/>
        <v>3.1055900621118013</v>
      </c>
      <c r="Q341" s="81"/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397</v>
      </c>
      <c r="B342" t="s">
        <v>456</v>
      </c>
      <c r="C342" s="81">
        <v>2025</v>
      </c>
      <c r="D342" t="s">
        <v>427</v>
      </c>
      <c r="E342" t="s">
        <v>457</v>
      </c>
      <c r="F342" s="85">
        <v>1.22</v>
      </c>
      <c r="G342" s="86">
        <v>1.2490000000000001</v>
      </c>
      <c r="H342" s="86">
        <v>4.2999999999999997E-2</v>
      </c>
      <c r="I342" s="87">
        <v>-0.7</v>
      </c>
      <c r="J342" s="85">
        <v>1.1100000000000001</v>
      </c>
      <c r="K342" s="85">
        <v>1.38</v>
      </c>
      <c r="L342" t="s">
        <v>436</v>
      </c>
      <c r="M342" s="81">
        <v>3417</v>
      </c>
      <c r="N342" t="s">
        <v>442</v>
      </c>
      <c r="O342" s="85">
        <f t="shared" si="10"/>
        <v>-2.3218574859888017</v>
      </c>
      <c r="P342" s="85">
        <f t="shared" si="11"/>
        <v>2.3218574859888017</v>
      </c>
      <c r="Q342" s="81"/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397</v>
      </c>
      <c r="B343" t="s">
        <v>456</v>
      </c>
      <c r="C343" s="81">
        <v>2025</v>
      </c>
      <c r="D343" t="s">
        <v>427</v>
      </c>
      <c r="E343" t="s">
        <v>458</v>
      </c>
      <c r="F343" s="85">
        <v>2.99</v>
      </c>
      <c r="G343" s="86">
        <v>2.9630000000000001</v>
      </c>
      <c r="H343" s="86">
        <v>8.4000000000000005E-2</v>
      </c>
      <c r="I343" s="87">
        <v>0.3</v>
      </c>
      <c r="J343" s="85">
        <v>2.7</v>
      </c>
      <c r="K343" s="85">
        <v>3.22</v>
      </c>
      <c r="L343" t="s">
        <v>436</v>
      </c>
      <c r="M343" s="81">
        <v>3424</v>
      </c>
      <c r="N343" t="s">
        <v>442</v>
      </c>
      <c r="O343" s="85">
        <f t="shared" si="10"/>
        <v>0.91123860951738545</v>
      </c>
      <c r="P343" s="85">
        <f t="shared" si="11"/>
        <v>0.91123860951738545</v>
      </c>
      <c r="Q343" s="81"/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397</v>
      </c>
      <c r="B344" t="s">
        <v>456</v>
      </c>
      <c r="C344" s="81">
        <v>2025</v>
      </c>
      <c r="D344" t="s">
        <v>427</v>
      </c>
      <c r="E344" t="s">
        <v>459</v>
      </c>
      <c r="F344" s="85">
        <v>3.29</v>
      </c>
      <c r="G344" s="86">
        <v>3.3719999999999999</v>
      </c>
      <c r="H344" s="86">
        <v>9.1999999999999998E-2</v>
      </c>
      <c r="I344" s="87">
        <v>-0.9</v>
      </c>
      <c r="J344" s="85">
        <v>3.09</v>
      </c>
      <c r="K344" s="85">
        <v>3.65</v>
      </c>
      <c r="L344" t="s">
        <v>436</v>
      </c>
      <c r="M344" s="81">
        <v>3415</v>
      </c>
      <c r="N344" t="s">
        <v>442</v>
      </c>
      <c r="O344" s="85">
        <f t="shared" si="10"/>
        <v>-2.4317912218268045</v>
      </c>
      <c r="P344" s="85">
        <f t="shared" si="11"/>
        <v>2.4317912218268045</v>
      </c>
      <c r="Q344" s="81"/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397</v>
      </c>
      <c r="B345" t="s">
        <v>456</v>
      </c>
      <c r="C345" s="81">
        <v>2025</v>
      </c>
      <c r="D345" t="s">
        <v>427</v>
      </c>
      <c r="E345" t="s">
        <v>460</v>
      </c>
      <c r="F345" s="85">
        <v>1.07</v>
      </c>
      <c r="G345" s="86">
        <v>1.161</v>
      </c>
      <c r="H345" s="86">
        <v>4.3999999999999997E-2</v>
      </c>
      <c r="I345" s="87">
        <v>-2</v>
      </c>
      <c r="J345" s="85">
        <v>1.02</v>
      </c>
      <c r="K345" s="85">
        <v>1.3</v>
      </c>
      <c r="L345" t="s">
        <v>436</v>
      </c>
      <c r="M345" s="81">
        <v>3418</v>
      </c>
      <c r="N345" t="s">
        <v>442</v>
      </c>
      <c r="O345" s="85">
        <f t="shared" si="10"/>
        <v>-7.8380706287682997</v>
      </c>
      <c r="P345" s="85">
        <f t="shared" si="11"/>
        <v>7.8380706287682997</v>
      </c>
      <c r="Q345" s="81"/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397</v>
      </c>
      <c r="B346" t="s">
        <v>456</v>
      </c>
      <c r="C346" s="81">
        <v>2025</v>
      </c>
      <c r="D346" t="s">
        <v>427</v>
      </c>
      <c r="E346" t="s">
        <v>461</v>
      </c>
      <c r="F346" s="85">
        <v>8.27</v>
      </c>
      <c r="G346" s="86">
        <v>8.5909999999999993</v>
      </c>
      <c r="H346" s="86">
        <v>0.21</v>
      </c>
      <c r="I346" s="87">
        <v>-1.5</v>
      </c>
      <c r="J346" s="85">
        <v>7.96</v>
      </c>
      <c r="K346" s="85">
        <v>9.23</v>
      </c>
      <c r="L346" t="s">
        <v>436</v>
      </c>
      <c r="M346" s="81">
        <v>3410</v>
      </c>
      <c r="N346" t="s">
        <v>442</v>
      </c>
      <c r="O346" s="85">
        <f t="shared" si="10"/>
        <v>-3.736468397159816</v>
      </c>
      <c r="P346" s="85">
        <f t="shared" si="11"/>
        <v>3.736468397159816</v>
      </c>
      <c r="Q346" s="81"/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397</v>
      </c>
      <c r="B347" t="s">
        <v>456</v>
      </c>
      <c r="C347" s="81">
        <v>2025</v>
      </c>
      <c r="D347" t="s">
        <v>428</v>
      </c>
      <c r="E347" t="s">
        <v>457</v>
      </c>
      <c r="F347" s="85">
        <v>143</v>
      </c>
      <c r="G347" s="86">
        <v>127.8</v>
      </c>
      <c r="H347" s="86">
        <v>5.0999999999999996</v>
      </c>
      <c r="I347" s="87">
        <v>3</v>
      </c>
      <c r="J347" s="85">
        <v>95</v>
      </c>
      <c r="K347" s="85">
        <v>160</v>
      </c>
      <c r="L347" t="s">
        <v>436</v>
      </c>
      <c r="M347" s="81">
        <v>3492</v>
      </c>
      <c r="N347" t="s">
        <v>442</v>
      </c>
      <c r="O347" s="85">
        <f t="shared" si="10"/>
        <v>11.893583724569643</v>
      </c>
      <c r="P347" s="85">
        <f t="shared" si="11"/>
        <v>11.893583724569643</v>
      </c>
      <c r="Q347" s="81"/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397</v>
      </c>
      <c r="B348" t="s">
        <v>456</v>
      </c>
      <c r="C348" s="81">
        <v>2025</v>
      </c>
      <c r="D348" t="s">
        <v>428</v>
      </c>
      <c r="E348" t="s">
        <v>458</v>
      </c>
      <c r="F348" s="85">
        <v>219</v>
      </c>
      <c r="G348" s="86">
        <v>213</v>
      </c>
      <c r="H348" s="86">
        <v>6.3</v>
      </c>
      <c r="I348" s="87">
        <v>0.9</v>
      </c>
      <c r="J348" s="85">
        <v>159</v>
      </c>
      <c r="K348" s="85">
        <v>267</v>
      </c>
      <c r="L348" t="s">
        <v>436</v>
      </c>
      <c r="M348" s="81">
        <v>3497</v>
      </c>
      <c r="N348" t="s">
        <v>442</v>
      </c>
      <c r="O348" s="85">
        <f t="shared" si="10"/>
        <v>2.8169014084507045</v>
      </c>
      <c r="P348" s="85">
        <f t="shared" si="11"/>
        <v>2.8169014084507045</v>
      </c>
      <c r="Q348" s="81"/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397</v>
      </c>
      <c r="B349" t="s">
        <v>456</v>
      </c>
      <c r="C349" s="81">
        <v>2025</v>
      </c>
      <c r="D349" t="s">
        <v>428</v>
      </c>
      <c r="E349" t="s">
        <v>459</v>
      </c>
      <c r="F349" s="85">
        <v>313</v>
      </c>
      <c r="G349" s="86">
        <v>304.89999999999998</v>
      </c>
      <c r="H349" s="86">
        <v>11.3</v>
      </c>
      <c r="I349" s="87">
        <v>0.7</v>
      </c>
      <c r="J349" s="85">
        <v>228</v>
      </c>
      <c r="K349" s="85">
        <v>382</v>
      </c>
      <c r="L349" t="s">
        <v>436</v>
      </c>
      <c r="M349" s="81">
        <v>3500</v>
      </c>
      <c r="N349" t="s">
        <v>442</v>
      </c>
      <c r="O349" s="85">
        <f t="shared" si="10"/>
        <v>2.6566087241718672</v>
      </c>
      <c r="P349" s="85">
        <f t="shared" si="11"/>
        <v>2.6566087241718672</v>
      </c>
      <c r="Q349" s="81"/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397</v>
      </c>
      <c r="B350" t="s">
        <v>456</v>
      </c>
      <c r="C350" s="81">
        <v>2025</v>
      </c>
      <c r="D350" t="s">
        <v>428</v>
      </c>
      <c r="E350" t="s">
        <v>460</v>
      </c>
      <c r="F350" s="85">
        <v>53</v>
      </c>
      <c r="G350" s="86">
        <v>51.4</v>
      </c>
      <c r="H350" s="86">
        <v>3</v>
      </c>
      <c r="I350" s="87">
        <v>0.5</v>
      </c>
      <c r="J350" s="85">
        <v>38</v>
      </c>
      <c r="K350" s="85">
        <v>65</v>
      </c>
      <c r="L350" t="s">
        <v>436</v>
      </c>
      <c r="M350" s="81">
        <v>3497</v>
      </c>
      <c r="N350" t="s">
        <v>442</v>
      </c>
      <c r="O350" s="85">
        <f t="shared" si="10"/>
        <v>3.1128404669260727</v>
      </c>
      <c r="P350" s="85">
        <f t="shared" si="11"/>
        <v>3.1128404669260727</v>
      </c>
      <c r="Q350" s="81"/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397</v>
      </c>
      <c r="B351" t="s">
        <v>456</v>
      </c>
      <c r="C351" s="81">
        <v>2025</v>
      </c>
      <c r="D351" t="s">
        <v>428</v>
      </c>
      <c r="E351" t="s">
        <v>461</v>
      </c>
      <c r="F351" s="85">
        <v>563</v>
      </c>
      <c r="G351" s="86">
        <v>508.6</v>
      </c>
      <c r="H351" s="86">
        <v>12.2</v>
      </c>
      <c r="I351" s="87">
        <v>4.5</v>
      </c>
      <c r="J351" s="85">
        <v>381</v>
      </c>
      <c r="K351" s="85">
        <v>636</v>
      </c>
      <c r="L351" t="s">
        <v>436</v>
      </c>
      <c r="M351" s="81">
        <v>3485</v>
      </c>
      <c r="N351" t="s">
        <v>442</v>
      </c>
      <c r="O351" s="85">
        <f t="shared" si="10"/>
        <v>10.696028313016118</v>
      </c>
      <c r="P351" s="85">
        <f t="shared" si="11"/>
        <v>10.696028313016118</v>
      </c>
      <c r="Q351" s="81"/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397</v>
      </c>
      <c r="B352" t="s">
        <v>456</v>
      </c>
      <c r="C352" s="81">
        <v>2025</v>
      </c>
      <c r="D352" t="s">
        <v>429</v>
      </c>
      <c r="E352" t="s">
        <v>457</v>
      </c>
      <c r="F352" s="85">
        <v>18.399999999999999</v>
      </c>
      <c r="G352" s="86">
        <v>18</v>
      </c>
      <c r="H352" s="86">
        <v>0.32</v>
      </c>
      <c r="I352" s="87">
        <v>1.2</v>
      </c>
      <c r="J352" s="85">
        <v>17</v>
      </c>
      <c r="K352" s="85">
        <v>19</v>
      </c>
      <c r="L352" t="s">
        <v>436</v>
      </c>
      <c r="M352" s="81">
        <v>2923</v>
      </c>
      <c r="N352" t="s">
        <v>437</v>
      </c>
      <c r="O352" s="85">
        <f t="shared" si="10"/>
        <v>2.2222222222222143</v>
      </c>
      <c r="P352" s="85">
        <f t="shared" si="11"/>
        <v>2.2222222222222143</v>
      </c>
      <c r="Q352" s="81"/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397</v>
      </c>
      <c r="B353" t="s">
        <v>456</v>
      </c>
      <c r="C353" s="81">
        <v>2025</v>
      </c>
      <c r="D353" t="s">
        <v>429</v>
      </c>
      <c r="E353" t="s">
        <v>458</v>
      </c>
      <c r="F353" s="85">
        <v>15.3</v>
      </c>
      <c r="G353" s="86">
        <v>15.46</v>
      </c>
      <c r="H353" s="86">
        <v>0.12</v>
      </c>
      <c r="I353" s="87">
        <v>-1.3</v>
      </c>
      <c r="J353" s="85">
        <v>15</v>
      </c>
      <c r="K353" s="85">
        <v>15.9</v>
      </c>
      <c r="L353" t="s">
        <v>436</v>
      </c>
      <c r="M353" s="81">
        <v>2910</v>
      </c>
      <c r="N353" t="s">
        <v>437</v>
      </c>
      <c r="O353" s="85">
        <f t="shared" si="10"/>
        <v>-1.0349288486416566</v>
      </c>
      <c r="P353" s="85">
        <f t="shared" si="11"/>
        <v>1.0349288486416566</v>
      </c>
      <c r="Q353" s="81"/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397</v>
      </c>
      <c r="B354" t="s">
        <v>456</v>
      </c>
      <c r="C354" s="81">
        <v>2025</v>
      </c>
      <c r="D354" t="s">
        <v>429</v>
      </c>
      <c r="E354" t="s">
        <v>459</v>
      </c>
      <c r="F354" s="85">
        <v>17.399999999999999</v>
      </c>
      <c r="G354" s="86">
        <v>17.2</v>
      </c>
      <c r="H354" s="86">
        <v>0.14000000000000001</v>
      </c>
      <c r="I354" s="87">
        <v>1.4</v>
      </c>
      <c r="J354" s="85">
        <v>16.7</v>
      </c>
      <c r="K354" s="85">
        <v>17.7</v>
      </c>
      <c r="L354" t="s">
        <v>436</v>
      </c>
      <c r="M354" s="81">
        <v>2914</v>
      </c>
      <c r="N354" t="s">
        <v>437</v>
      </c>
      <c r="O354" s="85">
        <f t="shared" si="10"/>
        <v>1.1627906976744147</v>
      </c>
      <c r="P354" s="85">
        <f t="shared" si="11"/>
        <v>1.1627906976744147</v>
      </c>
      <c r="Q354" s="81"/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397</v>
      </c>
      <c r="B355" t="s">
        <v>456</v>
      </c>
      <c r="C355" s="81">
        <v>2025</v>
      </c>
      <c r="D355" t="s">
        <v>429</v>
      </c>
      <c r="E355" t="s">
        <v>460</v>
      </c>
      <c r="F355" s="85">
        <v>18</v>
      </c>
      <c r="G355" s="86">
        <v>17.68</v>
      </c>
      <c r="H355" s="86">
        <v>0.13</v>
      </c>
      <c r="I355" s="87">
        <v>2.4</v>
      </c>
      <c r="J355" s="85">
        <v>17.2</v>
      </c>
      <c r="K355" s="85">
        <v>18.100000000000001</v>
      </c>
      <c r="L355" t="s">
        <v>436</v>
      </c>
      <c r="M355" s="81">
        <v>2912</v>
      </c>
      <c r="N355" t="s">
        <v>437</v>
      </c>
      <c r="O355" s="85">
        <f t="shared" si="10"/>
        <v>1.8099547511312233</v>
      </c>
      <c r="P355" s="85">
        <f t="shared" si="11"/>
        <v>1.8099547511312233</v>
      </c>
      <c r="Q355" s="81"/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397</v>
      </c>
      <c r="B356" t="s">
        <v>456</v>
      </c>
      <c r="C356" s="81">
        <v>2025</v>
      </c>
      <c r="D356" t="s">
        <v>429</v>
      </c>
      <c r="E356" t="s">
        <v>461</v>
      </c>
      <c r="F356" s="85">
        <v>14.9</v>
      </c>
      <c r="G356" s="86">
        <v>14.85</v>
      </c>
      <c r="H356" s="86">
        <v>0.13</v>
      </c>
      <c r="I356" s="87">
        <v>0.4</v>
      </c>
      <c r="J356" s="85">
        <v>14.4</v>
      </c>
      <c r="K356" s="85">
        <v>15.3</v>
      </c>
      <c r="L356" t="s">
        <v>436</v>
      </c>
      <c r="M356" s="81">
        <v>2900</v>
      </c>
      <c r="N356" t="s">
        <v>437</v>
      </c>
      <c r="O356" s="85">
        <f t="shared" si="10"/>
        <v>0.3367003367003415</v>
      </c>
      <c r="P356" s="85">
        <f t="shared" si="11"/>
        <v>0.3367003367003415</v>
      </c>
      <c r="Q356" s="81"/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397</v>
      </c>
      <c r="B357" t="s">
        <v>456</v>
      </c>
      <c r="C357" s="81">
        <v>2025</v>
      </c>
      <c r="D357" t="s">
        <v>430</v>
      </c>
      <c r="E357" t="s">
        <v>457</v>
      </c>
      <c r="F357" s="85">
        <v>6.45</v>
      </c>
      <c r="G357" s="86">
        <v>6.3019999999999996</v>
      </c>
      <c r="H357" s="86">
        <v>6.0999999999999999E-2</v>
      </c>
      <c r="I357" s="87">
        <v>2.4</v>
      </c>
      <c r="J357" s="85">
        <v>6.05</v>
      </c>
      <c r="K357" s="85">
        <v>6.56</v>
      </c>
      <c r="L357" t="s">
        <v>436</v>
      </c>
      <c r="M357" s="81">
        <v>3489</v>
      </c>
      <c r="N357" t="s">
        <v>448</v>
      </c>
      <c r="O357" s="85">
        <f t="shared" si="10"/>
        <v>2.3484608060933132</v>
      </c>
      <c r="P357" s="85">
        <f t="shared" si="11"/>
        <v>2.3484608060933132</v>
      </c>
      <c r="Q357" s="81"/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397</v>
      </c>
      <c r="B358" t="s">
        <v>456</v>
      </c>
      <c r="C358" s="81">
        <v>2025</v>
      </c>
      <c r="D358" t="s">
        <v>430</v>
      </c>
      <c r="E358" t="s">
        <v>458</v>
      </c>
      <c r="F358" s="85">
        <v>4.3499999999999996</v>
      </c>
      <c r="G358" s="86">
        <v>4.2759999999999998</v>
      </c>
      <c r="H358" s="86">
        <v>4.2000000000000003E-2</v>
      </c>
      <c r="I358" s="87">
        <v>1.8</v>
      </c>
      <c r="J358" s="85">
        <v>4.0999999999999996</v>
      </c>
      <c r="K358" s="85">
        <v>4.45</v>
      </c>
      <c r="L358" t="s">
        <v>436</v>
      </c>
      <c r="M358" s="81">
        <v>3501</v>
      </c>
      <c r="N358" t="s">
        <v>448</v>
      </c>
      <c r="O358" s="85">
        <f t="shared" si="10"/>
        <v>1.7305893358278728</v>
      </c>
      <c r="P358" s="85">
        <f t="shared" si="11"/>
        <v>1.7305893358278728</v>
      </c>
      <c r="Q358" s="81"/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397</v>
      </c>
      <c r="B359" t="s">
        <v>456</v>
      </c>
      <c r="C359" s="81">
        <v>2025</v>
      </c>
      <c r="D359" t="s">
        <v>430</v>
      </c>
      <c r="E359" t="s">
        <v>459</v>
      </c>
      <c r="F359" s="85">
        <v>2.44</v>
      </c>
      <c r="G359" s="86">
        <v>2.3879999999999999</v>
      </c>
      <c r="H359" s="86">
        <v>2.9000000000000001E-2</v>
      </c>
      <c r="I359" s="87">
        <v>1.8</v>
      </c>
      <c r="J359" s="85">
        <v>2.29</v>
      </c>
      <c r="K359" s="85">
        <v>2.4900000000000002</v>
      </c>
      <c r="L359" t="s">
        <v>436</v>
      </c>
      <c r="M359" s="81">
        <v>3489</v>
      </c>
      <c r="N359" t="s">
        <v>448</v>
      </c>
      <c r="O359" s="85">
        <f t="shared" si="10"/>
        <v>2.1775544388609736</v>
      </c>
      <c r="P359" s="85">
        <f t="shared" si="11"/>
        <v>2.1775544388609736</v>
      </c>
      <c r="Q359" s="81"/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397</v>
      </c>
      <c r="B360" t="s">
        <v>456</v>
      </c>
      <c r="C360" s="81">
        <v>2025</v>
      </c>
      <c r="D360" t="s">
        <v>430</v>
      </c>
      <c r="E360" t="s">
        <v>460</v>
      </c>
      <c r="F360" s="85">
        <v>2.25</v>
      </c>
      <c r="G360" s="86">
        <v>2.206</v>
      </c>
      <c r="H360" s="86">
        <v>2.8000000000000001E-2</v>
      </c>
      <c r="I360" s="87">
        <v>1.6</v>
      </c>
      <c r="J360" s="85">
        <v>2.11</v>
      </c>
      <c r="K360" s="85">
        <v>2.2999999999999998</v>
      </c>
      <c r="L360" t="s">
        <v>436</v>
      </c>
      <c r="M360" s="81">
        <v>3491</v>
      </c>
      <c r="N360" t="s">
        <v>448</v>
      </c>
      <c r="O360" s="85">
        <f t="shared" si="10"/>
        <v>1.9945602901178621</v>
      </c>
      <c r="P360" s="85">
        <f t="shared" si="11"/>
        <v>1.9945602901178621</v>
      </c>
      <c r="Q360" s="81"/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397</v>
      </c>
      <c r="B361" t="s">
        <v>456</v>
      </c>
      <c r="C361" s="81">
        <v>2025</v>
      </c>
      <c r="D361" t="s">
        <v>430</v>
      </c>
      <c r="E361" t="s">
        <v>461</v>
      </c>
      <c r="F361" s="85">
        <v>5.36</v>
      </c>
      <c r="G361" s="86">
        <v>5.1879999999999997</v>
      </c>
      <c r="H361" s="86">
        <v>0.05</v>
      </c>
      <c r="I361" s="87">
        <v>3.4</v>
      </c>
      <c r="J361" s="85">
        <v>4.9800000000000004</v>
      </c>
      <c r="K361" s="85">
        <v>5.4</v>
      </c>
      <c r="L361" t="s">
        <v>436</v>
      </c>
      <c r="M361" s="81">
        <v>3486</v>
      </c>
      <c r="N361" t="s">
        <v>448</v>
      </c>
      <c r="O361" s="85">
        <f t="shared" si="10"/>
        <v>3.3153430994603044</v>
      </c>
      <c r="P361" s="85">
        <f t="shared" si="11"/>
        <v>3.3153430994603044</v>
      </c>
      <c r="Q361" s="81"/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397</v>
      </c>
      <c r="B362" t="s">
        <v>456</v>
      </c>
      <c r="C362" s="81">
        <v>2025</v>
      </c>
      <c r="D362" t="s">
        <v>431</v>
      </c>
      <c r="E362" t="s">
        <v>457</v>
      </c>
      <c r="F362" s="85">
        <v>2.8</v>
      </c>
      <c r="G362" s="86">
        <v>2.8</v>
      </c>
      <c r="H362" s="86">
        <v>7.0000000000000007E-2</v>
      </c>
      <c r="I362" s="87">
        <v>0</v>
      </c>
      <c r="J362" s="85">
        <v>2.5</v>
      </c>
      <c r="K362" s="85">
        <v>3.1</v>
      </c>
      <c r="L362" t="s">
        <v>436</v>
      </c>
      <c r="M362" s="81">
        <v>3515</v>
      </c>
      <c r="N362" t="s">
        <v>442</v>
      </c>
      <c r="O362" s="85">
        <f t="shared" si="10"/>
        <v>0</v>
      </c>
      <c r="P362" s="85">
        <f t="shared" si="11"/>
        <v>0</v>
      </c>
      <c r="Q362" s="81"/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397</v>
      </c>
      <c r="B363" t="s">
        <v>456</v>
      </c>
      <c r="C363" s="81">
        <v>2025</v>
      </c>
      <c r="D363" t="s">
        <v>431</v>
      </c>
      <c r="E363" t="s">
        <v>458</v>
      </c>
      <c r="F363" s="85">
        <v>6.6</v>
      </c>
      <c r="G363" s="86">
        <v>6.67</v>
      </c>
      <c r="H363" s="86">
        <v>0.13</v>
      </c>
      <c r="I363" s="87">
        <v>-0.6</v>
      </c>
      <c r="J363" s="85">
        <v>6</v>
      </c>
      <c r="K363" s="85">
        <v>7.4</v>
      </c>
      <c r="L363" t="s">
        <v>436</v>
      </c>
      <c r="M363" s="81">
        <v>3494</v>
      </c>
      <c r="N363" t="s">
        <v>442</v>
      </c>
      <c r="O363" s="85">
        <f t="shared" si="10"/>
        <v>-1.0494752623688197</v>
      </c>
      <c r="P363" s="85">
        <f t="shared" si="11"/>
        <v>1.0494752623688197</v>
      </c>
      <c r="Q363" s="81"/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397</v>
      </c>
      <c r="B364" t="s">
        <v>456</v>
      </c>
      <c r="C364" s="81">
        <v>2025</v>
      </c>
      <c r="D364" t="s">
        <v>431</v>
      </c>
      <c r="E364" t="s">
        <v>459</v>
      </c>
      <c r="F364" s="85">
        <v>7.5</v>
      </c>
      <c r="G364" s="86">
        <v>7.62</v>
      </c>
      <c r="H364" s="86">
        <v>0.14000000000000001</v>
      </c>
      <c r="I364" s="87">
        <v>-0.8</v>
      </c>
      <c r="J364" s="85">
        <v>6.8</v>
      </c>
      <c r="K364" s="85">
        <v>8.4</v>
      </c>
      <c r="L364" t="s">
        <v>436</v>
      </c>
      <c r="M364" s="81">
        <v>3507</v>
      </c>
      <c r="N364" t="s">
        <v>442</v>
      </c>
      <c r="O364" s="85">
        <f t="shared" si="10"/>
        <v>-1.5748031496063006</v>
      </c>
      <c r="P364" s="85">
        <f t="shared" si="11"/>
        <v>1.5748031496063006</v>
      </c>
      <c r="Q364" s="81"/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397</v>
      </c>
      <c r="B365" t="s">
        <v>456</v>
      </c>
      <c r="C365" s="81">
        <v>2025</v>
      </c>
      <c r="D365" t="s">
        <v>431</v>
      </c>
      <c r="E365" t="s">
        <v>460</v>
      </c>
      <c r="F365" s="85">
        <v>2.8</v>
      </c>
      <c r="G365" s="86">
        <v>2.93</v>
      </c>
      <c r="H365" s="86">
        <v>0.08</v>
      </c>
      <c r="I365" s="87">
        <v>-1.7</v>
      </c>
      <c r="J365" s="85">
        <v>2.6</v>
      </c>
      <c r="K365" s="85">
        <v>3.3</v>
      </c>
      <c r="L365" t="s">
        <v>436</v>
      </c>
      <c r="M365" s="81">
        <v>3501</v>
      </c>
      <c r="N365" t="s">
        <v>442</v>
      </c>
      <c r="O365" s="85">
        <f t="shared" si="10"/>
        <v>-4.4368600682593966</v>
      </c>
      <c r="P365" s="85">
        <f t="shared" si="11"/>
        <v>4.4368600682593966</v>
      </c>
      <c r="Q365" s="81"/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397</v>
      </c>
      <c r="B366" t="s">
        <v>456</v>
      </c>
      <c r="C366" s="81">
        <v>2025</v>
      </c>
      <c r="D366" t="s">
        <v>431</v>
      </c>
      <c r="E366" t="s">
        <v>461</v>
      </c>
      <c r="F366" s="85">
        <v>17.7</v>
      </c>
      <c r="G366" s="86">
        <v>17.79</v>
      </c>
      <c r="H366" s="86">
        <v>0.27</v>
      </c>
      <c r="I366" s="87">
        <v>-0.3</v>
      </c>
      <c r="J366" s="85">
        <v>16</v>
      </c>
      <c r="K366" s="85">
        <v>19.600000000000001</v>
      </c>
      <c r="L366" t="s">
        <v>436</v>
      </c>
      <c r="M366" s="81">
        <v>3483</v>
      </c>
      <c r="N366" t="s">
        <v>442</v>
      </c>
      <c r="O366" s="85">
        <f t="shared" si="10"/>
        <v>-0.50590219224283228</v>
      </c>
      <c r="P366" s="85">
        <f t="shared" si="11"/>
        <v>0.50590219224283228</v>
      </c>
      <c r="Q366" s="81"/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397</v>
      </c>
      <c r="B367" t="s">
        <v>456</v>
      </c>
      <c r="C367" s="81">
        <v>2025</v>
      </c>
      <c r="D367" t="s">
        <v>432</v>
      </c>
      <c r="E367" t="s">
        <v>457</v>
      </c>
      <c r="F367" s="85">
        <v>0</v>
      </c>
      <c r="G367" s="86">
        <v>1E-3</v>
      </c>
      <c r="H367" s="86">
        <v>4.0000000000000001E-3</v>
      </c>
      <c r="I367" s="87">
        <v>-0.3</v>
      </c>
      <c r="J367" s="85"/>
      <c r="K367" s="85"/>
      <c r="L367" t="s">
        <v>444</v>
      </c>
      <c r="M367" s="81">
        <v>3028</v>
      </c>
      <c r="N367" t="s">
        <v>442</v>
      </c>
      <c r="O367" s="85">
        <f t="shared" si="10"/>
        <v>-100</v>
      </c>
      <c r="P367" s="85">
        <f t="shared" si="11"/>
        <v>100</v>
      </c>
      <c r="Q367" s="81"/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NAO AVALIADO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397</v>
      </c>
      <c r="B368" t="s">
        <v>456</v>
      </c>
      <c r="C368" s="81">
        <v>2025</v>
      </c>
      <c r="D368" t="s">
        <v>432</v>
      </c>
      <c r="E368" t="s">
        <v>458</v>
      </c>
      <c r="F368" s="85">
        <v>0.48</v>
      </c>
      <c r="G368" s="86">
        <v>0.432</v>
      </c>
      <c r="H368" s="86">
        <v>3.5999999999999997E-2</v>
      </c>
      <c r="I368" s="87">
        <v>1.3</v>
      </c>
      <c r="J368" s="85"/>
      <c r="K368" s="85"/>
      <c r="L368" t="s">
        <v>444</v>
      </c>
      <c r="M368" s="81">
        <v>3059</v>
      </c>
      <c r="N368" t="s">
        <v>442</v>
      </c>
      <c r="O368" s="85">
        <f t="shared" si="10"/>
        <v>11.111111111111107</v>
      </c>
      <c r="P368" s="85">
        <f t="shared" si="11"/>
        <v>11.111111111111107</v>
      </c>
      <c r="Q368" s="81"/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NAO AVALIADO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397</v>
      </c>
      <c r="B369" t="s">
        <v>456</v>
      </c>
      <c r="C369" s="81">
        <v>2025</v>
      </c>
      <c r="D369" t="s">
        <v>432</v>
      </c>
      <c r="E369" t="s">
        <v>459</v>
      </c>
      <c r="F369" s="85">
        <v>0</v>
      </c>
      <c r="G369" s="86">
        <v>4.0000000000000001E-3</v>
      </c>
      <c r="H369" s="86">
        <v>5.0000000000000001E-3</v>
      </c>
      <c r="I369" s="87">
        <v>-0.8</v>
      </c>
      <c r="J369" s="85"/>
      <c r="K369" s="85"/>
      <c r="L369" t="s">
        <v>444</v>
      </c>
      <c r="M369" s="81">
        <v>3037</v>
      </c>
      <c r="N369" t="s">
        <v>442</v>
      </c>
      <c r="O369" s="85">
        <f t="shared" si="10"/>
        <v>-100</v>
      </c>
      <c r="P369" s="85">
        <f t="shared" si="11"/>
        <v>100</v>
      </c>
      <c r="Q369" s="81"/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NAO AVALIADO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397</v>
      </c>
      <c r="B370" t="s">
        <v>456</v>
      </c>
      <c r="C370" s="81">
        <v>2025</v>
      </c>
      <c r="D370" t="s">
        <v>432</v>
      </c>
      <c r="E370" t="s">
        <v>460</v>
      </c>
      <c r="F370" s="85">
        <v>0.13</v>
      </c>
      <c r="G370" s="86">
        <v>0.151</v>
      </c>
      <c r="H370" s="86">
        <v>1.7000000000000001E-2</v>
      </c>
      <c r="I370" s="87">
        <v>-1.2</v>
      </c>
      <c r="J370" s="85"/>
      <c r="K370" s="85"/>
      <c r="L370" t="s">
        <v>444</v>
      </c>
      <c r="M370" s="81">
        <v>3059</v>
      </c>
      <c r="N370" t="s">
        <v>442</v>
      </c>
      <c r="O370" s="85">
        <f t="shared" si="10"/>
        <v>-13.907284768211914</v>
      </c>
      <c r="P370" s="85">
        <f t="shared" si="11"/>
        <v>13.907284768211914</v>
      </c>
      <c r="Q370" s="81"/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NAO AVALIADO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397</v>
      </c>
      <c r="B371" t="s">
        <v>456</v>
      </c>
      <c r="C371" s="81">
        <v>2025</v>
      </c>
      <c r="D371" t="s">
        <v>432</v>
      </c>
      <c r="E371" t="s">
        <v>461</v>
      </c>
      <c r="F371" s="85">
        <v>1.1399999999999999</v>
      </c>
      <c r="G371" s="86">
        <v>1.109</v>
      </c>
      <c r="H371" s="86">
        <v>3.9E-2</v>
      </c>
      <c r="I371" s="87">
        <v>0.8</v>
      </c>
      <c r="J371" s="85"/>
      <c r="K371" s="85"/>
      <c r="L371" t="s">
        <v>444</v>
      </c>
      <c r="M371" s="81">
        <v>3002</v>
      </c>
      <c r="N371" t="s">
        <v>442</v>
      </c>
      <c r="O371" s="85">
        <f t="shared" si="10"/>
        <v>2.7953110910730312</v>
      </c>
      <c r="P371" s="85">
        <f t="shared" si="11"/>
        <v>2.7953110910730312</v>
      </c>
      <c r="Q371" s="81"/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NAO AVALIADO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397</v>
      </c>
      <c r="B372" t="s">
        <v>456</v>
      </c>
      <c r="C372" s="81">
        <v>2025</v>
      </c>
      <c r="D372" t="s">
        <v>433</v>
      </c>
      <c r="E372" t="s">
        <v>457</v>
      </c>
      <c r="F372" s="85">
        <v>0</v>
      </c>
      <c r="G372" s="86">
        <v>0.05</v>
      </c>
      <c r="H372" s="86">
        <v>0.14000000000000001</v>
      </c>
      <c r="I372" s="87">
        <v>-0.4</v>
      </c>
      <c r="J372" s="85"/>
      <c r="K372" s="85"/>
      <c r="L372" t="s">
        <v>444</v>
      </c>
      <c r="M372" s="81">
        <v>3190</v>
      </c>
      <c r="N372" t="s">
        <v>449</v>
      </c>
      <c r="O372" s="85">
        <f t="shared" si="10"/>
        <v>-100</v>
      </c>
      <c r="P372" s="85">
        <f t="shared" si="11"/>
        <v>100</v>
      </c>
      <c r="Q372" s="81"/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NAO AVALIADO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397</v>
      </c>
      <c r="B373" t="s">
        <v>456</v>
      </c>
      <c r="C373" s="81">
        <v>2025</v>
      </c>
      <c r="D373" t="s">
        <v>433</v>
      </c>
      <c r="E373" t="s">
        <v>458</v>
      </c>
      <c r="F373" s="85">
        <v>7.3</v>
      </c>
      <c r="G373" s="86">
        <v>6.53</v>
      </c>
      <c r="H373" s="86">
        <v>0.35</v>
      </c>
      <c r="I373" s="87">
        <v>2.2000000000000002</v>
      </c>
      <c r="J373" s="85"/>
      <c r="K373" s="85"/>
      <c r="L373" t="s">
        <v>444</v>
      </c>
      <c r="M373" s="81">
        <v>3147</v>
      </c>
      <c r="N373" t="s">
        <v>449</v>
      </c>
      <c r="O373" s="85">
        <f t="shared" si="10"/>
        <v>11.791730474732001</v>
      </c>
      <c r="P373" s="85">
        <f t="shared" si="11"/>
        <v>11.791730474732001</v>
      </c>
      <c r="Q373" s="81"/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NAO AVALIADO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397</v>
      </c>
      <c r="B374" t="s">
        <v>456</v>
      </c>
      <c r="C374" s="81">
        <v>2025</v>
      </c>
      <c r="D374" t="s">
        <v>433</v>
      </c>
      <c r="E374" t="s">
        <v>459</v>
      </c>
      <c r="F374" s="85">
        <v>0</v>
      </c>
      <c r="G374" s="86">
        <v>0.04</v>
      </c>
      <c r="H374" s="86">
        <v>0.05</v>
      </c>
      <c r="I374" s="87">
        <v>-0.8</v>
      </c>
      <c r="J374" s="85"/>
      <c r="K374" s="85"/>
      <c r="L374" t="s">
        <v>444</v>
      </c>
      <c r="M374" s="81">
        <v>3126</v>
      </c>
      <c r="N374" t="s">
        <v>449</v>
      </c>
      <c r="O374" s="85">
        <f t="shared" si="10"/>
        <v>-100</v>
      </c>
      <c r="P374" s="85">
        <f t="shared" si="11"/>
        <v>100</v>
      </c>
      <c r="Q374" s="81"/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NAO AVALIADO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397</v>
      </c>
      <c r="B375" t="s">
        <v>456</v>
      </c>
      <c r="C375" s="81">
        <v>2025</v>
      </c>
      <c r="D375" t="s">
        <v>433</v>
      </c>
      <c r="E375" t="s">
        <v>460</v>
      </c>
      <c r="F375" s="85">
        <v>4.5999999999999996</v>
      </c>
      <c r="G375" s="86">
        <v>5.17</v>
      </c>
      <c r="H375" s="86">
        <v>0.5</v>
      </c>
      <c r="I375" s="87">
        <v>-1.1000000000000001</v>
      </c>
      <c r="J375" s="85"/>
      <c r="K375" s="85"/>
      <c r="L375" t="s">
        <v>444</v>
      </c>
      <c r="M375" s="81">
        <v>3159</v>
      </c>
      <c r="N375" t="s">
        <v>449</v>
      </c>
      <c r="O375" s="85">
        <f t="shared" si="10"/>
        <v>-11.025145067698265</v>
      </c>
      <c r="P375" s="85">
        <f t="shared" si="11"/>
        <v>11.025145067698265</v>
      </c>
      <c r="Q375" s="81"/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NAO AVALIADO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397</v>
      </c>
      <c r="B376" t="s">
        <v>456</v>
      </c>
      <c r="C376" s="81">
        <v>2025</v>
      </c>
      <c r="D376" t="s">
        <v>433</v>
      </c>
      <c r="E376" t="s">
        <v>461</v>
      </c>
      <c r="F376" s="85">
        <v>6.4</v>
      </c>
      <c r="G376" s="86">
        <v>6.23</v>
      </c>
      <c r="H376" s="86">
        <v>0.21</v>
      </c>
      <c r="I376" s="87">
        <v>0.8</v>
      </c>
      <c r="J376" s="85"/>
      <c r="K376" s="85"/>
      <c r="L376" t="s">
        <v>444</v>
      </c>
      <c r="M376" s="81">
        <v>3128</v>
      </c>
      <c r="N376" t="s">
        <v>449</v>
      </c>
      <c r="O376" s="85">
        <f t="shared" si="10"/>
        <v>2.7287319422150871</v>
      </c>
      <c r="P376" s="85">
        <f t="shared" si="11"/>
        <v>2.7287319422150871</v>
      </c>
      <c r="Q376" s="81"/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NAO AVALIADO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300</v>
      </c>
      <c r="B377">
        <v>1</v>
      </c>
      <c r="C377" s="81">
        <v>2025</v>
      </c>
      <c r="D377" t="s">
        <v>128</v>
      </c>
      <c r="E377">
        <v>1</v>
      </c>
      <c r="F377" s="85">
        <v>46.004300000000001</v>
      </c>
      <c r="G377" s="86">
        <v>45.819099999999999</v>
      </c>
      <c r="H377" s="86">
        <v>1.3746</v>
      </c>
      <c r="I377" s="87">
        <v>0.13473010330278029</v>
      </c>
      <c r="J377" s="85">
        <v>41.695300000000003</v>
      </c>
      <c r="K377" s="85">
        <v>49.942900000000002</v>
      </c>
      <c r="L377" t="s">
        <v>462</v>
      </c>
      <c r="M377" s="81"/>
      <c r="O377" s="85">
        <f t="shared" si="10"/>
        <v>0.40419824920175607</v>
      </c>
      <c r="P377" s="85">
        <f t="shared" si="11"/>
        <v>0.40419824920175607</v>
      </c>
      <c r="Q377" s="81"/>
      <c r="R377" t="s">
        <v>463</v>
      </c>
      <c r="S377" t="str">
        <f>IF($W377&lt;&gt;"NAO ACEITO","",COUNTIFS($W$2:$W377,"NAO ACEITO"))</f>
        <v/>
      </c>
      <c r="T377">
        <f>IF($B377="","",IF(COUNTIF($B$2:$B377,$B377)=1,MAX($T$1:$T376)+1,""))</f>
        <v>4</v>
      </c>
      <c r="U377">
        <f>IF($D377="","",IF(COUNTIF($D$2:$D377,$D377)=1,MAX($U$1:$U376)+1,""))</f>
        <v>26</v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300</v>
      </c>
      <c r="B378">
        <v>1</v>
      </c>
      <c r="C378" s="81">
        <v>2025</v>
      </c>
      <c r="D378" t="s">
        <v>128</v>
      </c>
      <c r="E378">
        <v>2</v>
      </c>
      <c r="F378" s="85">
        <v>45.453200000000002</v>
      </c>
      <c r="G378" s="86">
        <v>44.652099999999997</v>
      </c>
      <c r="H378" s="86">
        <v>1.3395999999999999</v>
      </c>
      <c r="I378" s="87">
        <v>0.59801433263661186</v>
      </c>
      <c r="J378" s="85">
        <v>40.633299999999998</v>
      </c>
      <c r="K378" s="85">
        <v>48.670900000000003</v>
      </c>
      <c r="L378" t="s">
        <v>462</v>
      </c>
      <c r="M378" s="81"/>
      <c r="O378" s="85">
        <f t="shared" si="10"/>
        <v>1.7940925510782368</v>
      </c>
      <c r="P378" s="85">
        <f t="shared" si="11"/>
        <v>1.7940925510782368</v>
      </c>
      <c r="Q378" s="81"/>
      <c r="R378" t="s">
        <v>463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300</v>
      </c>
      <c r="B379">
        <v>1</v>
      </c>
      <c r="C379" s="81">
        <v>2025</v>
      </c>
      <c r="D379" t="s">
        <v>128</v>
      </c>
      <c r="E379">
        <v>3</v>
      </c>
      <c r="F379" s="85">
        <v>46.365900000000003</v>
      </c>
      <c r="G379" s="86">
        <v>45.619599999999998</v>
      </c>
      <c r="H379" s="86">
        <v>1.3686</v>
      </c>
      <c r="I379" s="87">
        <v>0.54530176823031207</v>
      </c>
      <c r="J379" s="85">
        <v>41.513800000000003</v>
      </c>
      <c r="K379" s="85">
        <v>49.7254</v>
      </c>
      <c r="L379" t="s">
        <v>462</v>
      </c>
      <c r="M379" s="81"/>
      <c r="O379" s="85">
        <f t="shared" si="10"/>
        <v>1.6359196485721161</v>
      </c>
      <c r="P379" s="85">
        <f t="shared" si="11"/>
        <v>1.6359196485721161</v>
      </c>
      <c r="Q379" s="81"/>
      <c r="R379" t="s">
        <v>463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300</v>
      </c>
      <c r="B380">
        <v>1</v>
      </c>
      <c r="C380" s="81">
        <v>2025</v>
      </c>
      <c r="D380" t="s">
        <v>128</v>
      </c>
      <c r="E380">
        <v>4</v>
      </c>
      <c r="F380" s="85">
        <v>45.273400000000002</v>
      </c>
      <c r="G380" s="86">
        <v>44.575200000000002</v>
      </c>
      <c r="H380" s="86">
        <v>1.3372999999999999</v>
      </c>
      <c r="I380" s="87">
        <v>0.52209676213265532</v>
      </c>
      <c r="J380" s="85">
        <v>40.563299999999998</v>
      </c>
      <c r="K380" s="85">
        <v>48.5871</v>
      </c>
      <c r="L380" t="s">
        <v>462</v>
      </c>
      <c r="M380" s="81"/>
      <c r="O380" s="85">
        <f t="shared" si="10"/>
        <v>1.5663418223586207</v>
      </c>
      <c r="P380" s="85">
        <f t="shared" si="11"/>
        <v>1.5663418223586207</v>
      </c>
      <c r="Q380" s="81"/>
      <c r="R380" t="s">
        <v>463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300</v>
      </c>
      <c r="B381">
        <v>1</v>
      </c>
      <c r="C381" s="81">
        <v>2025</v>
      </c>
      <c r="D381" t="s">
        <v>128</v>
      </c>
      <c r="E381">
        <v>5</v>
      </c>
      <c r="F381" s="85">
        <v>45.4803</v>
      </c>
      <c r="G381" s="86">
        <v>44.902900000000002</v>
      </c>
      <c r="H381" s="86">
        <v>1.3471</v>
      </c>
      <c r="I381" s="87">
        <v>0.42862445252764997</v>
      </c>
      <c r="J381" s="85">
        <v>40.861600000000003</v>
      </c>
      <c r="K381" s="85">
        <v>48.944200000000002</v>
      </c>
      <c r="L381" t="s">
        <v>462</v>
      </c>
      <c r="M381" s="81"/>
      <c r="O381" s="85">
        <f t="shared" si="10"/>
        <v>1.2858857668435606</v>
      </c>
      <c r="P381" s="85">
        <f t="shared" si="11"/>
        <v>1.2858857668435606</v>
      </c>
      <c r="Q381" s="81"/>
      <c r="R381" t="s">
        <v>463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300</v>
      </c>
      <c r="B382">
        <v>1</v>
      </c>
      <c r="C382" s="81">
        <v>2025</v>
      </c>
      <c r="D382" t="s">
        <v>127</v>
      </c>
      <c r="E382">
        <v>1</v>
      </c>
      <c r="F382" s="85">
        <v>15.679399999999999</v>
      </c>
      <c r="G382" s="86">
        <v>15.5265</v>
      </c>
      <c r="H382" s="86">
        <v>0.46579999999999999</v>
      </c>
      <c r="I382" s="87">
        <v>0.32825246887075771</v>
      </c>
      <c r="J382" s="85">
        <v>14.129099999999999</v>
      </c>
      <c r="K382" s="85">
        <v>16.9239</v>
      </c>
      <c r="L382" t="s">
        <v>462</v>
      </c>
      <c r="M382" s="81"/>
      <c r="O382" s="85">
        <f t="shared" si="10"/>
        <v>0.98476797732907562</v>
      </c>
      <c r="P382" s="85">
        <f t="shared" si="11"/>
        <v>0.98476797732907562</v>
      </c>
      <c r="Q382" s="81"/>
      <c r="R382" t="s">
        <v>463</v>
      </c>
      <c r="S382" t="str">
        <f>IF($W382&lt;&gt;"NAO ACEITO","",COUNTIFS($W$2:$W382,"NAO ACEITO"))</f>
        <v/>
      </c>
      <c r="T382" t="str">
        <f>IF($B382="","",IF(COUNTIF($B$2:$B382,$B382)=1,MAX($T$1:$T381)+1,""))</f>
        <v/>
      </c>
      <c r="U382">
        <f>IF($D382="","",IF(COUNTIF($D$2:$D382,$D382)=1,MAX($U$1:$U381)+1,""))</f>
        <v>27</v>
      </c>
      <c r="V382">
        <f>IF($D382="","",IF(COUNTIFS($B$2:$B382,$B382,$D$2:$D382,$D382)=1,1,0))</f>
        <v>1</v>
      </c>
      <c r="W382" t="str">
        <f>IF($D382="","",mEQA.PadronizarStatus($L382))</f>
        <v>ACEITO</v>
      </c>
      <c r="X382" t="str">
        <f>IF(OR($D382="",$W382&lt;&gt;"NAO ACEITO"),"",IF(COUNTIFS($D$2:$D382,$D382,$W$2:$W382,"NAO ACEITO")=1,1,0))</f>
        <v/>
      </c>
    </row>
    <row r="383" spans="1:24" x14ac:dyDescent="0.3">
      <c r="A383" t="s">
        <v>300</v>
      </c>
      <c r="B383">
        <v>1</v>
      </c>
      <c r="C383" s="81">
        <v>2025</v>
      </c>
      <c r="D383" t="s">
        <v>127</v>
      </c>
      <c r="E383">
        <v>2</v>
      </c>
      <c r="F383" s="85">
        <v>15.6126</v>
      </c>
      <c r="G383" s="86">
        <v>15.497199999999999</v>
      </c>
      <c r="H383" s="86">
        <v>0.46489999999999998</v>
      </c>
      <c r="I383" s="87">
        <v>0.24822542482254475</v>
      </c>
      <c r="J383" s="85">
        <v>14.102499999999999</v>
      </c>
      <c r="K383" s="85">
        <v>16.8919</v>
      </c>
      <c r="L383" t="s">
        <v>462</v>
      </c>
      <c r="M383" s="81"/>
      <c r="O383" s="85">
        <f t="shared" si="10"/>
        <v>0.74465064656841917</v>
      </c>
      <c r="P383" s="85">
        <f t="shared" si="11"/>
        <v>0.74465064656841917</v>
      </c>
      <c r="Q383" s="81"/>
      <c r="R383" t="s">
        <v>463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300</v>
      </c>
      <c r="B384">
        <v>1</v>
      </c>
      <c r="C384" s="81">
        <v>2025</v>
      </c>
      <c r="D384" t="s">
        <v>127</v>
      </c>
      <c r="E384">
        <v>3</v>
      </c>
      <c r="F384" s="85">
        <v>15.695</v>
      </c>
      <c r="G384" s="86">
        <v>15.6189</v>
      </c>
      <c r="H384" s="86">
        <v>0.46860000000000002</v>
      </c>
      <c r="I384" s="87">
        <v>0.16239863422962073</v>
      </c>
      <c r="J384" s="85">
        <v>14.213100000000001</v>
      </c>
      <c r="K384" s="85">
        <v>17.024699999999999</v>
      </c>
      <c r="L384" t="s">
        <v>462</v>
      </c>
      <c r="M384" s="81"/>
      <c r="O384" s="85">
        <f t="shared" si="10"/>
        <v>0.48723021467581118</v>
      </c>
      <c r="P384" s="85">
        <f t="shared" si="11"/>
        <v>0.48723021467581118</v>
      </c>
      <c r="Q384" s="81"/>
      <c r="R384" t="s">
        <v>463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300</v>
      </c>
      <c r="B385">
        <v>1</v>
      </c>
      <c r="C385" s="81">
        <v>2025</v>
      </c>
      <c r="D385" t="s">
        <v>127</v>
      </c>
      <c r="E385">
        <v>4</v>
      </c>
      <c r="F385" s="85">
        <v>15.7712</v>
      </c>
      <c r="G385" s="86">
        <v>15.6587</v>
      </c>
      <c r="H385" s="86">
        <v>0.4698</v>
      </c>
      <c r="I385" s="87">
        <v>0.23946360153256857</v>
      </c>
      <c r="J385" s="85">
        <v>14.2493</v>
      </c>
      <c r="K385" s="85">
        <v>17.068100000000001</v>
      </c>
      <c r="L385" t="s">
        <v>462</v>
      </c>
      <c r="M385" s="81"/>
      <c r="O385" s="85">
        <f t="shared" si="10"/>
        <v>0.71845044607790376</v>
      </c>
      <c r="P385" s="85">
        <f t="shared" si="11"/>
        <v>0.71845044607790376</v>
      </c>
      <c r="Q385" s="81"/>
      <c r="R385" t="s">
        <v>463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300</v>
      </c>
      <c r="B386">
        <v>1</v>
      </c>
      <c r="C386" s="81">
        <v>2025</v>
      </c>
      <c r="D386" t="s">
        <v>127</v>
      </c>
      <c r="E386">
        <v>5</v>
      </c>
      <c r="F386" s="85">
        <v>15.734999999999999</v>
      </c>
      <c r="G386" s="86">
        <v>15.642200000000001</v>
      </c>
      <c r="H386" s="86">
        <v>0.46929999999999999</v>
      </c>
      <c r="I386" s="87">
        <v>0.19774131685488741</v>
      </c>
      <c r="J386" s="85">
        <v>14.234299999999999</v>
      </c>
      <c r="K386" s="85">
        <v>17.0501</v>
      </c>
      <c r="L386" t="s">
        <v>462</v>
      </c>
      <c r="M386" s="81"/>
      <c r="O386" s="85">
        <f t="shared" ref="O386:O449" si="12">IFERROR((F386-G386)/G386*100,"")</f>
        <v>0.59326693176150835</v>
      </c>
      <c r="P386" s="85">
        <f t="shared" ref="P386:P449" si="13">IF(O386="","",ABS(O386))</f>
        <v>0.59326693176150835</v>
      </c>
      <c r="Q386" s="81"/>
      <c r="R386" t="s">
        <v>463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300</v>
      </c>
      <c r="B387">
        <v>1</v>
      </c>
      <c r="C387" s="81">
        <v>2025</v>
      </c>
      <c r="D387" t="s">
        <v>130</v>
      </c>
      <c r="E387">
        <v>1</v>
      </c>
      <c r="F387" s="85">
        <v>30.723700000000001</v>
      </c>
      <c r="G387" s="86">
        <v>30.461600000000001</v>
      </c>
      <c r="H387" s="86">
        <v>0.91379999999999995</v>
      </c>
      <c r="I387" s="87">
        <v>0.28682425038301623</v>
      </c>
      <c r="J387" s="85">
        <v>27.720199999999998</v>
      </c>
      <c r="K387" s="85">
        <v>33.203000000000003</v>
      </c>
      <c r="L387" t="s">
        <v>462</v>
      </c>
      <c r="M387" s="81"/>
      <c r="O387" s="85">
        <f t="shared" si="12"/>
        <v>0.86042755469180943</v>
      </c>
      <c r="P387" s="85">
        <f t="shared" si="13"/>
        <v>0.86042755469180943</v>
      </c>
      <c r="Q387" s="81"/>
      <c r="R387" t="s">
        <v>463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300</v>
      </c>
      <c r="B388">
        <v>1</v>
      </c>
      <c r="C388" s="81">
        <v>2025</v>
      </c>
      <c r="D388" t="s">
        <v>130</v>
      </c>
      <c r="E388">
        <v>2</v>
      </c>
      <c r="F388" s="85">
        <v>30.704899999999999</v>
      </c>
      <c r="G388" s="86">
        <v>30.5687</v>
      </c>
      <c r="H388" s="86">
        <v>0.91710000000000003</v>
      </c>
      <c r="I388" s="87">
        <v>0.14851161269218052</v>
      </c>
      <c r="J388" s="85">
        <v>27.817399999999999</v>
      </c>
      <c r="K388" s="85">
        <v>33.32</v>
      </c>
      <c r="L388" t="s">
        <v>462</v>
      </c>
      <c r="M388" s="81"/>
      <c r="O388" s="85">
        <f t="shared" si="12"/>
        <v>0.44555378540794588</v>
      </c>
      <c r="P388" s="85">
        <f t="shared" si="13"/>
        <v>0.44555378540794588</v>
      </c>
      <c r="Q388" s="81"/>
      <c r="R388" t="s">
        <v>463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300</v>
      </c>
      <c r="B389">
        <v>1</v>
      </c>
      <c r="C389" s="81">
        <v>2025</v>
      </c>
      <c r="D389" t="s">
        <v>130</v>
      </c>
      <c r="E389">
        <v>3</v>
      </c>
      <c r="F389" s="85">
        <v>30.499700000000001</v>
      </c>
      <c r="G389" s="86">
        <v>30.173100000000002</v>
      </c>
      <c r="H389" s="86">
        <v>0.9052</v>
      </c>
      <c r="I389" s="87">
        <v>0.36080424215642853</v>
      </c>
      <c r="J389" s="85">
        <v>27.4575</v>
      </c>
      <c r="K389" s="85">
        <v>32.8887</v>
      </c>
      <c r="L389" t="s">
        <v>462</v>
      </c>
      <c r="M389" s="81"/>
      <c r="O389" s="85">
        <f t="shared" si="12"/>
        <v>1.0824210969373351</v>
      </c>
      <c r="P389" s="85">
        <f t="shared" si="13"/>
        <v>1.0824210969373351</v>
      </c>
      <c r="Q389" s="81"/>
      <c r="R389" t="s">
        <v>463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300</v>
      </c>
      <c r="B390">
        <v>1</v>
      </c>
      <c r="C390" s="81">
        <v>2025</v>
      </c>
      <c r="D390" t="s">
        <v>130</v>
      </c>
      <c r="E390">
        <v>4</v>
      </c>
      <c r="F390" s="85">
        <v>30.941400000000002</v>
      </c>
      <c r="G390" s="86">
        <v>30.623100000000001</v>
      </c>
      <c r="H390" s="86">
        <v>0.91869999999999996</v>
      </c>
      <c r="I390" s="87">
        <v>0.34646783498421757</v>
      </c>
      <c r="J390" s="85">
        <v>27.867000000000001</v>
      </c>
      <c r="K390" s="85">
        <v>33.379199999999997</v>
      </c>
      <c r="L390" t="s">
        <v>462</v>
      </c>
      <c r="M390" s="81"/>
      <c r="O390" s="85">
        <f t="shared" si="12"/>
        <v>1.0394114247088007</v>
      </c>
      <c r="P390" s="85">
        <f t="shared" si="13"/>
        <v>1.0394114247088007</v>
      </c>
      <c r="Q390" s="81"/>
      <c r="R390" t="s">
        <v>463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300</v>
      </c>
      <c r="B391">
        <v>1</v>
      </c>
      <c r="C391" s="81">
        <v>2025</v>
      </c>
      <c r="D391" t="s">
        <v>130</v>
      </c>
      <c r="E391">
        <v>5</v>
      </c>
      <c r="F391" s="85">
        <v>31.165600000000001</v>
      </c>
      <c r="G391" s="86">
        <v>31.040299999999998</v>
      </c>
      <c r="H391" s="86">
        <v>0.93120000000000003</v>
      </c>
      <c r="I391" s="87">
        <v>0.13455756013746009</v>
      </c>
      <c r="J391" s="85">
        <v>28.246700000000001</v>
      </c>
      <c r="K391" s="85">
        <v>33.8339</v>
      </c>
      <c r="L391" t="s">
        <v>462</v>
      </c>
      <c r="M391" s="81"/>
      <c r="O391" s="85">
        <f t="shared" si="12"/>
        <v>0.4036687789744392</v>
      </c>
      <c r="P391" s="85">
        <f t="shared" si="13"/>
        <v>0.4036687789744392</v>
      </c>
      <c r="Q391" s="81"/>
      <c r="R391" t="s">
        <v>463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300</v>
      </c>
      <c r="B392">
        <v>1</v>
      </c>
      <c r="C392" s="81">
        <v>2025</v>
      </c>
      <c r="D392" t="s">
        <v>129</v>
      </c>
      <c r="E392">
        <v>1</v>
      </c>
      <c r="F392" s="85">
        <v>88.894999999999996</v>
      </c>
      <c r="G392" s="86">
        <v>88.188199999999995</v>
      </c>
      <c r="H392" s="86">
        <v>2.6456</v>
      </c>
      <c r="I392" s="87">
        <v>0.26716056849108</v>
      </c>
      <c r="J392" s="85">
        <v>80.251400000000004</v>
      </c>
      <c r="K392" s="85">
        <v>96.125</v>
      </c>
      <c r="L392" t="s">
        <v>462</v>
      </c>
      <c r="M392" s="81"/>
      <c r="O392" s="85">
        <f t="shared" si="12"/>
        <v>0.80146777006447711</v>
      </c>
      <c r="P392" s="85">
        <f t="shared" si="13"/>
        <v>0.80146777006447711</v>
      </c>
      <c r="Q392" s="81"/>
      <c r="R392" t="s">
        <v>463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300</v>
      </c>
      <c r="B393">
        <v>1</v>
      </c>
      <c r="C393" s="81">
        <v>2025</v>
      </c>
      <c r="D393" t="s">
        <v>129</v>
      </c>
      <c r="E393">
        <v>2</v>
      </c>
      <c r="F393" s="85">
        <v>88.330600000000004</v>
      </c>
      <c r="G393" s="86">
        <v>87.428299999999993</v>
      </c>
      <c r="H393" s="86">
        <v>2.6227999999999998</v>
      </c>
      <c r="I393" s="87">
        <v>0.34402165624523834</v>
      </c>
      <c r="J393" s="85">
        <v>79.559899999999999</v>
      </c>
      <c r="K393" s="85">
        <v>95.296700000000001</v>
      </c>
      <c r="L393" t="s">
        <v>462</v>
      </c>
      <c r="M393" s="81"/>
      <c r="O393" s="85">
        <f t="shared" si="12"/>
        <v>1.0320456877235529</v>
      </c>
      <c r="P393" s="85">
        <f t="shared" si="13"/>
        <v>1.0320456877235529</v>
      </c>
      <c r="Q393" s="81"/>
      <c r="R393" t="s">
        <v>463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300</v>
      </c>
      <c r="B394">
        <v>1</v>
      </c>
      <c r="C394" s="81">
        <v>2025</v>
      </c>
      <c r="D394" t="s">
        <v>129</v>
      </c>
      <c r="E394">
        <v>3</v>
      </c>
      <c r="F394" s="85">
        <v>89.349400000000003</v>
      </c>
      <c r="G394" s="86">
        <v>87.833799999999997</v>
      </c>
      <c r="H394" s="86">
        <v>2.6349999999999998</v>
      </c>
      <c r="I394" s="87">
        <v>0.57518026565465141</v>
      </c>
      <c r="J394" s="85">
        <v>79.928799999999995</v>
      </c>
      <c r="K394" s="85">
        <v>95.738799999999998</v>
      </c>
      <c r="L394" t="s">
        <v>462</v>
      </c>
      <c r="M394" s="81"/>
      <c r="O394" s="85">
        <f t="shared" si="12"/>
        <v>1.7255316290539706</v>
      </c>
      <c r="P394" s="85">
        <f t="shared" si="13"/>
        <v>1.7255316290539706</v>
      </c>
      <c r="Q394" s="81"/>
      <c r="R394" t="s">
        <v>463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300</v>
      </c>
      <c r="B395">
        <v>1</v>
      </c>
      <c r="C395" s="81">
        <v>2025</v>
      </c>
      <c r="D395" t="s">
        <v>129</v>
      </c>
      <c r="E395">
        <v>4</v>
      </c>
      <c r="F395" s="85">
        <v>89.123900000000006</v>
      </c>
      <c r="G395" s="86">
        <v>87.684899999999999</v>
      </c>
      <c r="H395" s="86">
        <v>2.6305000000000001</v>
      </c>
      <c r="I395" s="87">
        <v>0.54704428815814754</v>
      </c>
      <c r="J395" s="85">
        <v>79.793400000000005</v>
      </c>
      <c r="K395" s="85">
        <v>95.576400000000007</v>
      </c>
      <c r="L395" t="s">
        <v>462</v>
      </c>
      <c r="M395" s="81"/>
      <c r="O395" s="85">
        <f t="shared" si="12"/>
        <v>1.6411035423431026</v>
      </c>
      <c r="P395" s="85">
        <f t="shared" si="13"/>
        <v>1.6411035423431026</v>
      </c>
      <c r="Q395" s="81"/>
      <c r="R395" t="s">
        <v>463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300</v>
      </c>
      <c r="B396">
        <v>1</v>
      </c>
      <c r="C396" s="81">
        <v>2025</v>
      </c>
      <c r="D396" t="s">
        <v>129</v>
      </c>
      <c r="E396">
        <v>5</v>
      </c>
      <c r="F396" s="85">
        <v>88.482299999999995</v>
      </c>
      <c r="G396" s="86">
        <v>87.297399999999996</v>
      </c>
      <c r="H396" s="86">
        <v>2.6189</v>
      </c>
      <c r="I396" s="87">
        <v>0.45244186490511246</v>
      </c>
      <c r="J396" s="85">
        <v>79.440700000000007</v>
      </c>
      <c r="K396" s="85">
        <v>95.1541</v>
      </c>
      <c r="L396" t="s">
        <v>462</v>
      </c>
      <c r="M396" s="81"/>
      <c r="O396" s="85">
        <f t="shared" si="12"/>
        <v>1.3573141926334564</v>
      </c>
      <c r="P396" s="85">
        <f t="shared" si="13"/>
        <v>1.3573141926334564</v>
      </c>
      <c r="Q396" s="81"/>
      <c r="R396" t="s">
        <v>463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300</v>
      </c>
      <c r="B397">
        <v>1</v>
      </c>
      <c r="C397" s="81">
        <v>2025</v>
      </c>
      <c r="D397" t="s">
        <v>125</v>
      </c>
      <c r="E397">
        <v>1</v>
      </c>
      <c r="F397" s="85">
        <v>5.2108999999999996</v>
      </c>
      <c r="G397" s="86">
        <v>5.1687000000000003</v>
      </c>
      <c r="H397" s="86">
        <v>0.15509999999999999</v>
      </c>
      <c r="I397" s="87">
        <v>0.27208252740167216</v>
      </c>
      <c r="J397" s="85">
        <v>4.7034000000000002</v>
      </c>
      <c r="K397" s="85">
        <v>5.6340000000000003</v>
      </c>
      <c r="L397" t="s">
        <v>462</v>
      </c>
      <c r="M397" s="81"/>
      <c r="O397" s="85">
        <f t="shared" si="12"/>
        <v>0.81645287983437509</v>
      </c>
      <c r="P397" s="85">
        <f t="shared" si="13"/>
        <v>0.81645287983437509</v>
      </c>
      <c r="Q397" s="81"/>
      <c r="R397" t="s">
        <v>463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>
        <f>IF($D397="","",IF(COUNTIF($D$2:$D397,$D397)=1,MAX($U$1:$U396)+1,""))</f>
        <v>28</v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300</v>
      </c>
      <c r="B398">
        <v>1</v>
      </c>
      <c r="C398" s="81">
        <v>2025</v>
      </c>
      <c r="D398" t="s">
        <v>125</v>
      </c>
      <c r="E398">
        <v>2</v>
      </c>
      <c r="F398" s="85">
        <v>5.1375000000000002</v>
      </c>
      <c r="G398" s="86">
        <v>5.0846999999999998</v>
      </c>
      <c r="H398" s="86">
        <v>0.1525</v>
      </c>
      <c r="I398" s="87">
        <v>0.34622950819672393</v>
      </c>
      <c r="J398" s="85">
        <v>4.6272000000000002</v>
      </c>
      <c r="K398" s="85">
        <v>5.5422000000000002</v>
      </c>
      <c r="L398" t="s">
        <v>462</v>
      </c>
      <c r="M398" s="81"/>
      <c r="O398" s="85">
        <f t="shared" si="12"/>
        <v>1.038409345684119</v>
      </c>
      <c r="P398" s="85">
        <f t="shared" si="13"/>
        <v>1.038409345684119</v>
      </c>
      <c r="Q398" s="81"/>
      <c r="R398" t="s">
        <v>463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300</v>
      </c>
      <c r="B399">
        <v>1</v>
      </c>
      <c r="C399" s="81">
        <v>2025</v>
      </c>
      <c r="D399" t="s">
        <v>125</v>
      </c>
      <c r="E399">
        <v>3</v>
      </c>
      <c r="F399" s="85">
        <v>5.2004000000000001</v>
      </c>
      <c r="G399" s="86">
        <v>5.1595000000000004</v>
      </c>
      <c r="H399" s="86">
        <v>0.15479999999999999</v>
      </c>
      <c r="I399" s="87">
        <v>0.26421188630490772</v>
      </c>
      <c r="J399" s="85">
        <v>4.6951000000000001</v>
      </c>
      <c r="K399" s="85">
        <v>5.6238999999999999</v>
      </c>
      <c r="L399" t="s">
        <v>462</v>
      </c>
      <c r="M399" s="81"/>
      <c r="O399" s="85">
        <f t="shared" si="12"/>
        <v>0.79271247213876761</v>
      </c>
      <c r="P399" s="85">
        <f t="shared" si="13"/>
        <v>0.79271247213876761</v>
      </c>
      <c r="Q399" s="81"/>
      <c r="R399" t="s">
        <v>463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300</v>
      </c>
      <c r="B400">
        <v>1</v>
      </c>
      <c r="C400" s="81">
        <v>2025</v>
      </c>
      <c r="D400" t="s">
        <v>125</v>
      </c>
      <c r="E400">
        <v>4</v>
      </c>
      <c r="F400" s="85">
        <v>5.2164000000000001</v>
      </c>
      <c r="G400" s="86">
        <v>5.1506999999999996</v>
      </c>
      <c r="H400" s="86">
        <v>0.1545</v>
      </c>
      <c r="I400" s="87">
        <v>0.42524271844660544</v>
      </c>
      <c r="J400" s="85">
        <v>4.6871999999999998</v>
      </c>
      <c r="K400" s="85">
        <v>5.6142000000000003</v>
      </c>
      <c r="L400" t="s">
        <v>462</v>
      </c>
      <c r="M400" s="81"/>
      <c r="O400" s="85">
        <f t="shared" si="12"/>
        <v>1.2755547789620933</v>
      </c>
      <c r="P400" s="85">
        <f t="shared" si="13"/>
        <v>1.2755547789620933</v>
      </c>
      <c r="Q400" s="81"/>
      <c r="R400" t="s">
        <v>463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300</v>
      </c>
      <c r="B401">
        <v>1</v>
      </c>
      <c r="C401" s="81">
        <v>2025</v>
      </c>
      <c r="D401" t="s">
        <v>125</v>
      </c>
      <c r="E401">
        <v>5</v>
      </c>
      <c r="F401" s="85">
        <v>5.1432000000000002</v>
      </c>
      <c r="G401" s="86">
        <v>5.1121999999999996</v>
      </c>
      <c r="H401" s="86">
        <v>0.15340000000000001</v>
      </c>
      <c r="I401" s="87">
        <v>0.20208604954368045</v>
      </c>
      <c r="J401" s="85">
        <v>4.6520000000000001</v>
      </c>
      <c r="K401" s="85">
        <v>5.5724</v>
      </c>
      <c r="L401" t="s">
        <v>462</v>
      </c>
      <c r="M401" s="81"/>
      <c r="O401" s="85">
        <f t="shared" si="12"/>
        <v>0.60639255115215729</v>
      </c>
      <c r="P401" s="85">
        <f t="shared" si="13"/>
        <v>0.60639255115215729</v>
      </c>
      <c r="Q401" s="81"/>
      <c r="R401" t="s">
        <v>463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300</v>
      </c>
      <c r="B402">
        <v>1</v>
      </c>
      <c r="C402" s="81">
        <v>2025</v>
      </c>
      <c r="D402" t="s">
        <v>122</v>
      </c>
      <c r="E402">
        <v>1</v>
      </c>
      <c r="F402" s="85">
        <v>16.810099999999998</v>
      </c>
      <c r="G402" s="86">
        <v>16.529399999999999</v>
      </c>
      <c r="H402" s="86">
        <v>0.49590000000000001</v>
      </c>
      <c r="I402" s="87">
        <v>0.56604154063319112</v>
      </c>
      <c r="J402" s="85">
        <v>15.041700000000001</v>
      </c>
      <c r="K402" s="85">
        <v>18.017099999999999</v>
      </c>
      <c r="L402" t="s">
        <v>462</v>
      </c>
      <c r="M402" s="81"/>
      <c r="O402" s="85">
        <f t="shared" si="12"/>
        <v>1.698186262054276</v>
      </c>
      <c r="P402" s="85">
        <f t="shared" si="13"/>
        <v>1.698186262054276</v>
      </c>
      <c r="Q402" s="81"/>
      <c r="R402" t="s">
        <v>463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>
        <f>IF($D402="","",IF(COUNTIF($D$2:$D402,$D402)=1,MAX($U$1:$U401)+1,""))</f>
        <v>29</v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300</v>
      </c>
      <c r="B403">
        <v>1</v>
      </c>
      <c r="C403" s="81">
        <v>2025</v>
      </c>
      <c r="D403" t="s">
        <v>122</v>
      </c>
      <c r="E403">
        <v>2</v>
      </c>
      <c r="F403" s="85">
        <v>16.872599999999998</v>
      </c>
      <c r="G403" s="86">
        <v>16.726199999999999</v>
      </c>
      <c r="H403" s="86">
        <v>0.50180000000000002</v>
      </c>
      <c r="I403" s="87">
        <v>0.29174970107612563</v>
      </c>
      <c r="J403" s="85">
        <v>15.220800000000001</v>
      </c>
      <c r="K403" s="85">
        <v>18.2316</v>
      </c>
      <c r="L403" t="s">
        <v>462</v>
      </c>
      <c r="M403" s="81"/>
      <c r="O403" s="85">
        <f t="shared" si="12"/>
        <v>0.8752735229759292</v>
      </c>
      <c r="P403" s="85">
        <f t="shared" si="13"/>
        <v>0.8752735229759292</v>
      </c>
      <c r="Q403" s="81"/>
      <c r="R403" t="s">
        <v>463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300</v>
      </c>
      <c r="B404">
        <v>1</v>
      </c>
      <c r="C404" s="81">
        <v>2025</v>
      </c>
      <c r="D404" t="s">
        <v>122</v>
      </c>
      <c r="E404">
        <v>3</v>
      </c>
      <c r="F404" s="85">
        <v>16.617599999999999</v>
      </c>
      <c r="G404" s="86">
        <v>16.474599999999999</v>
      </c>
      <c r="H404" s="86">
        <v>0.49419999999999997</v>
      </c>
      <c r="I404" s="87">
        <v>0.28935653581546072</v>
      </c>
      <c r="J404" s="85">
        <v>14.992000000000001</v>
      </c>
      <c r="K404" s="85">
        <v>17.9572</v>
      </c>
      <c r="L404" t="s">
        <v>462</v>
      </c>
      <c r="M404" s="81"/>
      <c r="O404" s="85">
        <f t="shared" si="12"/>
        <v>0.86800286501645374</v>
      </c>
      <c r="P404" s="85">
        <f t="shared" si="13"/>
        <v>0.86800286501645374</v>
      </c>
      <c r="Q404" s="81"/>
      <c r="R404" t="s">
        <v>463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300</v>
      </c>
      <c r="B405">
        <v>1</v>
      </c>
      <c r="C405" s="81">
        <v>2025</v>
      </c>
      <c r="D405" t="s">
        <v>122</v>
      </c>
      <c r="E405">
        <v>4</v>
      </c>
      <c r="F405" s="85">
        <v>16.796600000000002</v>
      </c>
      <c r="G405" s="86">
        <v>16.617899999999999</v>
      </c>
      <c r="H405" s="86">
        <v>0.4985</v>
      </c>
      <c r="I405" s="87">
        <v>0.35847542627884199</v>
      </c>
      <c r="J405" s="85">
        <v>15.122400000000001</v>
      </c>
      <c r="K405" s="85">
        <v>18.113399999999999</v>
      </c>
      <c r="L405" t="s">
        <v>462</v>
      </c>
      <c r="M405" s="81"/>
      <c r="O405" s="85">
        <f t="shared" si="12"/>
        <v>1.0753464637529577</v>
      </c>
      <c r="P405" s="85">
        <f t="shared" si="13"/>
        <v>1.0753464637529577</v>
      </c>
      <c r="Q405" s="81"/>
      <c r="R405" t="s">
        <v>463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300</v>
      </c>
      <c r="B406">
        <v>1</v>
      </c>
      <c r="C406" s="81">
        <v>2025</v>
      </c>
      <c r="D406" t="s">
        <v>122</v>
      </c>
      <c r="E406">
        <v>5</v>
      </c>
      <c r="F406" s="85">
        <v>16.695</v>
      </c>
      <c r="G406" s="86">
        <v>16.647200000000002</v>
      </c>
      <c r="H406" s="86">
        <v>0.49940000000000001</v>
      </c>
      <c r="I406" s="87">
        <v>9.5714857829392735E-2</v>
      </c>
      <c r="J406" s="85">
        <v>15.148999999999999</v>
      </c>
      <c r="K406" s="85">
        <v>18.145399999999999</v>
      </c>
      <c r="L406" t="s">
        <v>462</v>
      </c>
      <c r="M406" s="81"/>
      <c r="O406" s="85">
        <f t="shared" si="12"/>
        <v>0.287135374116961</v>
      </c>
      <c r="P406" s="85">
        <f t="shared" si="13"/>
        <v>0.287135374116961</v>
      </c>
      <c r="Q406" s="81"/>
      <c r="R406" t="s">
        <v>463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300</v>
      </c>
      <c r="B407">
        <v>2</v>
      </c>
      <c r="C407" s="81">
        <v>2025</v>
      </c>
      <c r="D407" t="s">
        <v>128</v>
      </c>
      <c r="E407">
        <v>1</v>
      </c>
      <c r="F407" s="85">
        <v>45.301299999999998</v>
      </c>
      <c r="G407" s="86">
        <v>44.580500000000001</v>
      </c>
      <c r="H407" s="86">
        <v>1.3373999999999999</v>
      </c>
      <c r="I407" s="87">
        <v>0.53895618363989606</v>
      </c>
      <c r="J407" s="85">
        <v>40.568300000000001</v>
      </c>
      <c r="K407" s="85">
        <v>48.592700000000001</v>
      </c>
      <c r="L407" t="s">
        <v>462</v>
      </c>
      <c r="M407" s="81"/>
      <c r="O407" s="85">
        <f t="shared" si="12"/>
        <v>1.6168504166619868</v>
      </c>
      <c r="P407" s="85">
        <f t="shared" si="13"/>
        <v>1.6168504166619868</v>
      </c>
      <c r="Q407" s="81"/>
      <c r="R407" t="s">
        <v>463</v>
      </c>
      <c r="S407" t="str">
        <f>IF($W407&lt;&gt;"NAO ACEITO","",COUNTIFS($W$2:$W407,"NAO ACEITO"))</f>
        <v/>
      </c>
      <c r="T407">
        <f>IF($B407="","",IF(COUNTIF($B$2:$B407,$B407)=1,MAX($T$1:$T406)+1,""))</f>
        <v>5</v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300</v>
      </c>
      <c r="B408">
        <v>2</v>
      </c>
      <c r="C408" s="81">
        <v>2025</v>
      </c>
      <c r="D408" t="s">
        <v>128</v>
      </c>
      <c r="E408">
        <v>2</v>
      </c>
      <c r="F408" s="85">
        <v>45.655799999999999</v>
      </c>
      <c r="G408" s="86">
        <v>45.0486</v>
      </c>
      <c r="H408" s="86">
        <v>1.3514999999999999</v>
      </c>
      <c r="I408" s="87">
        <v>0.44927857935626997</v>
      </c>
      <c r="J408" s="85">
        <v>40.994100000000003</v>
      </c>
      <c r="K408" s="85">
        <v>49.103099999999998</v>
      </c>
      <c r="L408" t="s">
        <v>462</v>
      </c>
      <c r="M408" s="81"/>
      <c r="O408" s="85">
        <f t="shared" si="12"/>
        <v>1.3478776254977931</v>
      </c>
      <c r="P408" s="85">
        <f t="shared" si="13"/>
        <v>1.3478776254977931</v>
      </c>
      <c r="Q408" s="81"/>
      <c r="R408" t="s">
        <v>463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300</v>
      </c>
      <c r="B409">
        <v>2</v>
      </c>
      <c r="C409" s="81">
        <v>2025</v>
      </c>
      <c r="D409" t="s">
        <v>128</v>
      </c>
      <c r="E409">
        <v>3</v>
      </c>
      <c r="F409" s="85">
        <v>45.115699999999997</v>
      </c>
      <c r="G409" s="86">
        <v>44.8108</v>
      </c>
      <c r="H409" s="86">
        <v>1.3443000000000001</v>
      </c>
      <c r="I409" s="87">
        <v>0.22680949192888222</v>
      </c>
      <c r="J409" s="85">
        <v>40.777900000000002</v>
      </c>
      <c r="K409" s="85">
        <v>48.843699999999998</v>
      </c>
      <c r="L409" t="s">
        <v>462</v>
      </c>
      <c r="M409" s="81"/>
      <c r="O409" s="85">
        <f t="shared" si="12"/>
        <v>0.68041632820658504</v>
      </c>
      <c r="P409" s="85">
        <f t="shared" si="13"/>
        <v>0.68041632820658504</v>
      </c>
      <c r="Q409" s="81"/>
      <c r="R409" t="s">
        <v>463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300</v>
      </c>
      <c r="B410">
        <v>2</v>
      </c>
      <c r="C410" s="81">
        <v>2025</v>
      </c>
      <c r="D410" t="s">
        <v>128</v>
      </c>
      <c r="E410">
        <v>4</v>
      </c>
      <c r="F410" s="85">
        <v>45.619599999999998</v>
      </c>
      <c r="G410" s="86">
        <v>44.692</v>
      </c>
      <c r="H410" s="86">
        <v>1.3408</v>
      </c>
      <c r="I410" s="87">
        <v>0.69182577565632319</v>
      </c>
      <c r="J410" s="85">
        <v>40.669600000000003</v>
      </c>
      <c r="K410" s="85">
        <v>48.714399999999998</v>
      </c>
      <c r="L410" t="s">
        <v>462</v>
      </c>
      <c r="M410" s="81"/>
      <c r="O410" s="85">
        <f t="shared" si="12"/>
        <v>2.0755392463975615</v>
      </c>
      <c r="P410" s="85">
        <f t="shared" si="13"/>
        <v>2.0755392463975615</v>
      </c>
      <c r="Q410" s="81"/>
      <c r="R410" t="s">
        <v>463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300</v>
      </c>
      <c r="B411">
        <v>2</v>
      </c>
      <c r="C411" s="81">
        <v>2025</v>
      </c>
      <c r="D411" t="s">
        <v>128</v>
      </c>
      <c r="E411">
        <v>5</v>
      </c>
      <c r="F411" s="85">
        <v>45.091000000000001</v>
      </c>
      <c r="G411" s="86">
        <v>44.824800000000003</v>
      </c>
      <c r="H411" s="86">
        <v>1.3447</v>
      </c>
      <c r="I411" s="87">
        <v>0.19796237078902193</v>
      </c>
      <c r="J411" s="85">
        <v>40.790700000000001</v>
      </c>
      <c r="K411" s="85">
        <v>48.858899999999998</v>
      </c>
      <c r="L411" t="s">
        <v>462</v>
      </c>
      <c r="M411" s="81"/>
      <c r="O411" s="85">
        <f t="shared" si="12"/>
        <v>0.59386768039120696</v>
      </c>
      <c r="P411" s="85">
        <f t="shared" si="13"/>
        <v>0.59386768039120696</v>
      </c>
      <c r="Q411" s="81"/>
      <c r="R411" t="s">
        <v>463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300</v>
      </c>
      <c r="B412">
        <v>2</v>
      </c>
      <c r="C412" s="81">
        <v>2025</v>
      </c>
      <c r="D412" t="s">
        <v>127</v>
      </c>
      <c r="E412">
        <v>1</v>
      </c>
      <c r="F412" s="85">
        <v>15.8812</v>
      </c>
      <c r="G412" s="86">
        <v>15.7346</v>
      </c>
      <c r="H412" s="86">
        <v>0.47199999999999998</v>
      </c>
      <c r="I412" s="87">
        <v>0.31059322033898179</v>
      </c>
      <c r="J412" s="85">
        <v>14.3186</v>
      </c>
      <c r="K412" s="85">
        <v>17.150600000000001</v>
      </c>
      <c r="L412" t="s">
        <v>462</v>
      </c>
      <c r="M412" s="81"/>
      <c r="O412" s="85">
        <f t="shared" si="12"/>
        <v>0.93170465089674592</v>
      </c>
      <c r="P412" s="85">
        <f t="shared" si="13"/>
        <v>0.93170465089674592</v>
      </c>
      <c r="Q412" s="81"/>
      <c r="R412" t="s">
        <v>463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300</v>
      </c>
      <c r="B413">
        <v>2</v>
      </c>
      <c r="C413" s="81">
        <v>2025</v>
      </c>
      <c r="D413" t="s">
        <v>127</v>
      </c>
      <c r="E413">
        <v>2</v>
      </c>
      <c r="F413" s="85">
        <v>15.6838</v>
      </c>
      <c r="G413" s="86">
        <v>15.537800000000001</v>
      </c>
      <c r="H413" s="86">
        <v>0.46610000000000001</v>
      </c>
      <c r="I413" s="87">
        <v>0.31323750268182582</v>
      </c>
      <c r="J413" s="85">
        <v>14.1395</v>
      </c>
      <c r="K413" s="85">
        <v>16.9361</v>
      </c>
      <c r="L413" t="s">
        <v>462</v>
      </c>
      <c r="M413" s="81"/>
      <c r="O413" s="85">
        <f t="shared" si="12"/>
        <v>0.9396439650400894</v>
      </c>
      <c r="P413" s="85">
        <f t="shared" si="13"/>
        <v>0.9396439650400894</v>
      </c>
      <c r="Q413" s="81"/>
      <c r="R413" t="s">
        <v>463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300</v>
      </c>
      <c r="B414">
        <v>2</v>
      </c>
      <c r="C414" s="81">
        <v>2025</v>
      </c>
      <c r="D414" t="s">
        <v>127</v>
      </c>
      <c r="E414">
        <v>3</v>
      </c>
      <c r="F414" s="85">
        <v>15.964499999999999</v>
      </c>
      <c r="G414" s="86">
        <v>15.7616</v>
      </c>
      <c r="H414" s="86">
        <v>0.4728</v>
      </c>
      <c r="I414" s="87">
        <v>0.42914551607444934</v>
      </c>
      <c r="J414" s="85">
        <v>14.3432</v>
      </c>
      <c r="K414" s="85">
        <v>17.18</v>
      </c>
      <c r="L414" t="s">
        <v>462</v>
      </c>
      <c r="M414" s="81"/>
      <c r="O414" s="85">
        <f t="shared" si="12"/>
        <v>1.2873058572733709</v>
      </c>
      <c r="P414" s="85">
        <f t="shared" si="13"/>
        <v>1.2873058572733709</v>
      </c>
      <c r="Q414" s="81"/>
      <c r="R414" t="s">
        <v>463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300</v>
      </c>
      <c r="B415">
        <v>2</v>
      </c>
      <c r="C415" s="81">
        <v>2025</v>
      </c>
      <c r="D415" t="s">
        <v>127</v>
      </c>
      <c r="E415">
        <v>4</v>
      </c>
      <c r="F415" s="85">
        <v>15.476100000000001</v>
      </c>
      <c r="G415" s="86">
        <v>15.320600000000001</v>
      </c>
      <c r="H415" s="86">
        <v>0.45960000000000001</v>
      </c>
      <c r="I415" s="87">
        <v>0.33833768494342897</v>
      </c>
      <c r="J415" s="85">
        <v>13.941800000000001</v>
      </c>
      <c r="K415" s="85">
        <v>16.699400000000001</v>
      </c>
      <c r="L415" t="s">
        <v>462</v>
      </c>
      <c r="M415" s="81"/>
      <c r="O415" s="85">
        <f t="shared" si="12"/>
        <v>1.014973303917601</v>
      </c>
      <c r="P415" s="85">
        <f t="shared" si="13"/>
        <v>1.014973303917601</v>
      </c>
      <c r="Q415" s="81"/>
      <c r="R415" t="s">
        <v>463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300</v>
      </c>
      <c r="B416">
        <v>2</v>
      </c>
      <c r="C416" s="81">
        <v>2025</v>
      </c>
      <c r="D416" t="s">
        <v>127</v>
      </c>
      <c r="E416">
        <v>5</v>
      </c>
      <c r="F416" s="85">
        <v>15.7508</v>
      </c>
      <c r="G416" s="86">
        <v>15.6379</v>
      </c>
      <c r="H416" s="86">
        <v>0.46910000000000002</v>
      </c>
      <c r="I416" s="87">
        <v>0.24067363035600037</v>
      </c>
      <c r="J416" s="85">
        <v>14.230600000000001</v>
      </c>
      <c r="K416" s="85">
        <v>17.045200000000001</v>
      </c>
      <c r="L416" t="s">
        <v>462</v>
      </c>
      <c r="M416" s="81"/>
      <c r="O416" s="85">
        <f t="shared" si="12"/>
        <v>0.72196394656571394</v>
      </c>
      <c r="P416" s="85">
        <f t="shared" si="13"/>
        <v>0.72196394656571394</v>
      </c>
      <c r="Q416" s="81"/>
      <c r="R416" t="s">
        <v>463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300</v>
      </c>
      <c r="B417">
        <v>2</v>
      </c>
      <c r="C417" s="81">
        <v>2025</v>
      </c>
      <c r="D417" t="s">
        <v>130</v>
      </c>
      <c r="E417">
        <v>1</v>
      </c>
      <c r="F417" s="85">
        <v>30.726800000000001</v>
      </c>
      <c r="G417" s="86">
        <v>30.510200000000001</v>
      </c>
      <c r="H417" s="86">
        <v>0.9153</v>
      </c>
      <c r="I417" s="87">
        <v>0.23664372336938674</v>
      </c>
      <c r="J417" s="85">
        <v>27.764299999999999</v>
      </c>
      <c r="K417" s="85">
        <v>33.256100000000004</v>
      </c>
      <c r="L417" t="s">
        <v>462</v>
      </c>
      <c r="M417" s="81"/>
      <c r="O417" s="85">
        <f t="shared" si="12"/>
        <v>0.7099265163781282</v>
      </c>
      <c r="P417" s="85">
        <f t="shared" si="13"/>
        <v>0.7099265163781282</v>
      </c>
      <c r="Q417" s="81"/>
      <c r="R417" t="s">
        <v>463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300</v>
      </c>
      <c r="B418">
        <v>2</v>
      </c>
      <c r="C418" s="81">
        <v>2025</v>
      </c>
      <c r="D418" t="s">
        <v>130</v>
      </c>
      <c r="E418">
        <v>2</v>
      </c>
      <c r="F418" s="85">
        <v>30.786300000000001</v>
      </c>
      <c r="G418" s="86">
        <v>30.563199999999998</v>
      </c>
      <c r="H418" s="86">
        <v>0.91690000000000005</v>
      </c>
      <c r="I418" s="87">
        <v>0.24331988221180312</v>
      </c>
      <c r="J418" s="85">
        <v>27.8125</v>
      </c>
      <c r="K418" s="85">
        <v>33.313899999999997</v>
      </c>
      <c r="L418" t="s">
        <v>462</v>
      </c>
      <c r="M418" s="81"/>
      <c r="O418" s="85">
        <f t="shared" si="12"/>
        <v>0.72996283111716798</v>
      </c>
      <c r="P418" s="85">
        <f t="shared" si="13"/>
        <v>0.72996283111716798</v>
      </c>
      <c r="Q418" s="81"/>
      <c r="R418" t="s">
        <v>463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300</v>
      </c>
      <c r="B419">
        <v>2</v>
      </c>
      <c r="C419" s="81">
        <v>2025</v>
      </c>
      <c r="D419" t="s">
        <v>130</v>
      </c>
      <c r="E419">
        <v>3</v>
      </c>
      <c r="F419" s="85">
        <v>30.65</v>
      </c>
      <c r="G419" s="86">
        <v>30.454499999999999</v>
      </c>
      <c r="H419" s="86">
        <v>0.91359999999999997</v>
      </c>
      <c r="I419" s="87">
        <v>0.21398861646234579</v>
      </c>
      <c r="J419" s="85">
        <v>27.713699999999999</v>
      </c>
      <c r="K419" s="85">
        <v>33.195300000000003</v>
      </c>
      <c r="L419" t="s">
        <v>462</v>
      </c>
      <c r="M419" s="81"/>
      <c r="O419" s="85">
        <f t="shared" si="12"/>
        <v>0.64194125662873835</v>
      </c>
      <c r="P419" s="85">
        <f t="shared" si="13"/>
        <v>0.64194125662873835</v>
      </c>
      <c r="Q419" s="81"/>
      <c r="R419" t="s">
        <v>463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300</v>
      </c>
      <c r="B420">
        <v>2</v>
      </c>
      <c r="C420" s="81">
        <v>2025</v>
      </c>
      <c r="D420" t="s">
        <v>130</v>
      </c>
      <c r="E420">
        <v>4</v>
      </c>
      <c r="F420" s="85">
        <v>30.104099999999999</v>
      </c>
      <c r="G420" s="86">
        <v>29.936399999999999</v>
      </c>
      <c r="H420" s="86">
        <v>0.89810000000000001</v>
      </c>
      <c r="I420" s="87">
        <v>0.18672753590914148</v>
      </c>
      <c r="J420" s="85">
        <v>27.242100000000001</v>
      </c>
      <c r="K420" s="85">
        <v>32.630699999999997</v>
      </c>
      <c r="L420" t="s">
        <v>462</v>
      </c>
      <c r="M420" s="81"/>
      <c r="O420" s="85">
        <f t="shared" si="12"/>
        <v>0.560187597707139</v>
      </c>
      <c r="P420" s="85">
        <f t="shared" si="13"/>
        <v>0.560187597707139</v>
      </c>
      <c r="Q420" s="81"/>
      <c r="R420" t="s">
        <v>463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300</v>
      </c>
      <c r="B421">
        <v>2</v>
      </c>
      <c r="C421" s="81">
        <v>2025</v>
      </c>
      <c r="D421" t="s">
        <v>130</v>
      </c>
      <c r="E421">
        <v>5</v>
      </c>
      <c r="F421" s="85">
        <v>30.356000000000002</v>
      </c>
      <c r="G421" s="86">
        <v>30.165900000000001</v>
      </c>
      <c r="H421" s="86">
        <v>0.90500000000000003</v>
      </c>
      <c r="I421" s="87">
        <v>0.21005524861878569</v>
      </c>
      <c r="J421" s="85">
        <v>27.450900000000001</v>
      </c>
      <c r="K421" s="85">
        <v>32.880899999999997</v>
      </c>
      <c r="L421" t="s">
        <v>462</v>
      </c>
      <c r="M421" s="81"/>
      <c r="O421" s="85">
        <f t="shared" si="12"/>
        <v>0.63018176152543448</v>
      </c>
      <c r="P421" s="85">
        <f t="shared" si="13"/>
        <v>0.63018176152543448</v>
      </c>
      <c r="Q421" s="81"/>
      <c r="R421" t="s">
        <v>463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300</v>
      </c>
      <c r="B422">
        <v>2</v>
      </c>
      <c r="C422" s="81">
        <v>2025</v>
      </c>
      <c r="D422" t="s">
        <v>129</v>
      </c>
      <c r="E422">
        <v>1</v>
      </c>
      <c r="F422" s="85">
        <v>86.223399999999998</v>
      </c>
      <c r="G422" s="86">
        <v>85.790999999999997</v>
      </c>
      <c r="H422" s="86">
        <v>2.5737000000000001</v>
      </c>
      <c r="I422" s="87">
        <v>0.16800714924039367</v>
      </c>
      <c r="J422" s="85">
        <v>78.069900000000004</v>
      </c>
      <c r="K422" s="85">
        <v>93.512100000000004</v>
      </c>
      <c r="L422" t="s">
        <v>462</v>
      </c>
      <c r="M422" s="81"/>
      <c r="O422" s="85">
        <f t="shared" si="12"/>
        <v>0.5040155727290756</v>
      </c>
      <c r="P422" s="85">
        <f t="shared" si="13"/>
        <v>0.5040155727290756</v>
      </c>
      <c r="Q422" s="81"/>
      <c r="R422" t="s">
        <v>463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300</v>
      </c>
      <c r="B423">
        <v>2</v>
      </c>
      <c r="C423" s="81">
        <v>2025</v>
      </c>
      <c r="D423" t="s">
        <v>129</v>
      </c>
      <c r="E423">
        <v>2</v>
      </c>
      <c r="F423" s="85">
        <v>89.173400000000001</v>
      </c>
      <c r="G423" s="86">
        <v>88.363299999999995</v>
      </c>
      <c r="H423" s="86">
        <v>2.6509</v>
      </c>
      <c r="I423" s="87">
        <v>0.30559432645516826</v>
      </c>
      <c r="J423" s="85">
        <v>80.410600000000002</v>
      </c>
      <c r="K423" s="85">
        <v>96.316000000000003</v>
      </c>
      <c r="L423" t="s">
        <v>462</v>
      </c>
      <c r="M423" s="81"/>
      <c r="O423" s="85">
        <f t="shared" si="12"/>
        <v>0.91678332520402206</v>
      </c>
      <c r="P423" s="85">
        <f t="shared" si="13"/>
        <v>0.91678332520402206</v>
      </c>
      <c r="Q423" s="81"/>
      <c r="R423" t="s">
        <v>463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300</v>
      </c>
      <c r="B424">
        <v>2</v>
      </c>
      <c r="C424" s="81">
        <v>2025</v>
      </c>
      <c r="D424" t="s">
        <v>129</v>
      </c>
      <c r="E424">
        <v>3</v>
      </c>
      <c r="F424" s="85">
        <v>89.461500000000001</v>
      </c>
      <c r="G424" s="86">
        <v>88.173900000000003</v>
      </c>
      <c r="H424" s="86">
        <v>2.6452</v>
      </c>
      <c r="I424" s="87">
        <v>0.48676848631483355</v>
      </c>
      <c r="J424" s="85">
        <v>80.238299999999995</v>
      </c>
      <c r="K424" s="85">
        <v>96.109499999999997</v>
      </c>
      <c r="L424" t="s">
        <v>462</v>
      </c>
      <c r="M424" s="81"/>
      <c r="O424" s="85">
        <f t="shared" si="12"/>
        <v>1.4602960740082922</v>
      </c>
      <c r="P424" s="85">
        <f t="shared" si="13"/>
        <v>1.4602960740082922</v>
      </c>
      <c r="Q424" s="81"/>
      <c r="R424" t="s">
        <v>463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300</v>
      </c>
      <c r="B425">
        <v>2</v>
      </c>
      <c r="C425" s="81">
        <v>2025</v>
      </c>
      <c r="D425" t="s">
        <v>129</v>
      </c>
      <c r="E425">
        <v>4</v>
      </c>
      <c r="F425" s="85">
        <v>90.236699999999999</v>
      </c>
      <c r="G425" s="86">
        <v>88.824700000000007</v>
      </c>
      <c r="H425" s="86">
        <v>2.6646999999999998</v>
      </c>
      <c r="I425" s="87">
        <v>0.52989079446091192</v>
      </c>
      <c r="J425" s="85">
        <v>80.830600000000004</v>
      </c>
      <c r="K425" s="85">
        <v>96.818799999999996</v>
      </c>
      <c r="L425" t="s">
        <v>462</v>
      </c>
      <c r="M425" s="81"/>
      <c r="O425" s="85">
        <f t="shared" si="12"/>
        <v>1.5896479245074757</v>
      </c>
      <c r="P425" s="85">
        <f t="shared" si="13"/>
        <v>1.5896479245074757</v>
      </c>
      <c r="Q425" s="81"/>
      <c r="R425" t="s">
        <v>463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300</v>
      </c>
      <c r="B426">
        <v>2</v>
      </c>
      <c r="C426" s="81">
        <v>2025</v>
      </c>
      <c r="D426" t="s">
        <v>129</v>
      </c>
      <c r="E426">
        <v>5</v>
      </c>
      <c r="F426" s="85">
        <v>89.572299999999998</v>
      </c>
      <c r="G426" s="86">
        <v>88.557100000000005</v>
      </c>
      <c r="H426" s="86">
        <v>2.6566999999999998</v>
      </c>
      <c r="I426" s="87">
        <v>0.38212820416305682</v>
      </c>
      <c r="J426" s="85">
        <v>80.587000000000003</v>
      </c>
      <c r="K426" s="85">
        <v>96.527199999999993</v>
      </c>
      <c r="L426" t="s">
        <v>462</v>
      </c>
      <c r="M426" s="81"/>
      <c r="O426" s="85">
        <f t="shared" si="12"/>
        <v>1.1463790029257879</v>
      </c>
      <c r="P426" s="85">
        <f t="shared" si="13"/>
        <v>1.1463790029257879</v>
      </c>
      <c r="Q426" s="81"/>
      <c r="R426" t="s">
        <v>463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300</v>
      </c>
      <c r="B427">
        <v>2</v>
      </c>
      <c r="C427" s="81">
        <v>2025</v>
      </c>
      <c r="D427" t="s">
        <v>125</v>
      </c>
      <c r="E427">
        <v>1</v>
      </c>
      <c r="F427" s="85">
        <v>5.1913999999999998</v>
      </c>
      <c r="G427" s="86">
        <v>5.1406000000000001</v>
      </c>
      <c r="H427" s="86">
        <v>0.1542</v>
      </c>
      <c r="I427" s="87">
        <v>0.32944228274967402</v>
      </c>
      <c r="J427" s="85">
        <v>4.6779999999999999</v>
      </c>
      <c r="K427" s="85">
        <v>5.6032000000000002</v>
      </c>
      <c r="L427" t="s">
        <v>462</v>
      </c>
      <c r="M427" s="81"/>
      <c r="O427" s="85">
        <f t="shared" si="12"/>
        <v>0.98821149282184439</v>
      </c>
      <c r="P427" s="85">
        <f t="shared" si="13"/>
        <v>0.98821149282184439</v>
      </c>
      <c r="Q427" s="81"/>
      <c r="R427" t="s">
        <v>463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300</v>
      </c>
      <c r="B428">
        <v>2</v>
      </c>
      <c r="C428" s="81">
        <v>2025</v>
      </c>
      <c r="D428" t="s">
        <v>125</v>
      </c>
      <c r="E428">
        <v>2</v>
      </c>
      <c r="F428" s="85">
        <v>5.2016999999999998</v>
      </c>
      <c r="G428" s="86">
        <v>5.1790000000000003</v>
      </c>
      <c r="H428" s="86">
        <v>0.15540000000000001</v>
      </c>
      <c r="I428" s="87">
        <v>0.14607464607464285</v>
      </c>
      <c r="J428" s="85">
        <v>4.7127999999999997</v>
      </c>
      <c r="K428" s="85">
        <v>5.6452</v>
      </c>
      <c r="L428" t="s">
        <v>462</v>
      </c>
      <c r="M428" s="81"/>
      <c r="O428" s="85">
        <f t="shared" si="12"/>
        <v>0.43830855377485028</v>
      </c>
      <c r="P428" s="85">
        <f t="shared" si="13"/>
        <v>0.43830855377485028</v>
      </c>
      <c r="Q428" s="81"/>
      <c r="R428" t="s">
        <v>463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300</v>
      </c>
      <c r="B429">
        <v>2</v>
      </c>
      <c r="C429" s="81">
        <v>2025</v>
      </c>
      <c r="D429" t="s">
        <v>125</v>
      </c>
      <c r="E429">
        <v>3</v>
      </c>
      <c r="F429" s="85">
        <v>5.1193</v>
      </c>
      <c r="G429" s="86">
        <v>5.0888999999999998</v>
      </c>
      <c r="H429" s="86">
        <v>0.1527</v>
      </c>
      <c r="I429" s="87">
        <v>0.19908316961362282</v>
      </c>
      <c r="J429" s="85">
        <v>4.6307999999999998</v>
      </c>
      <c r="K429" s="85">
        <v>5.5469999999999997</v>
      </c>
      <c r="L429" t="s">
        <v>462</v>
      </c>
      <c r="M429" s="81"/>
      <c r="O429" s="85">
        <f t="shared" si="12"/>
        <v>0.59737860834365397</v>
      </c>
      <c r="P429" s="85">
        <f t="shared" si="13"/>
        <v>0.59737860834365397</v>
      </c>
      <c r="Q429" s="81"/>
      <c r="R429" t="s">
        <v>463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300</v>
      </c>
      <c r="B430">
        <v>2</v>
      </c>
      <c r="C430" s="81">
        <v>2025</v>
      </c>
      <c r="D430" t="s">
        <v>125</v>
      </c>
      <c r="E430">
        <v>4</v>
      </c>
      <c r="F430" s="85">
        <v>5.0815000000000001</v>
      </c>
      <c r="G430" s="86">
        <v>5.0339</v>
      </c>
      <c r="H430" s="86">
        <v>0.151</v>
      </c>
      <c r="I430" s="87">
        <v>0.31523178807947078</v>
      </c>
      <c r="J430" s="85">
        <v>4.5808999999999997</v>
      </c>
      <c r="K430" s="85">
        <v>5.4869000000000003</v>
      </c>
      <c r="L430" t="s">
        <v>462</v>
      </c>
      <c r="M430" s="81"/>
      <c r="O430" s="85">
        <f t="shared" si="12"/>
        <v>0.94558890720912381</v>
      </c>
      <c r="P430" s="85">
        <f t="shared" si="13"/>
        <v>0.94558890720912381</v>
      </c>
      <c r="Q430" s="81"/>
      <c r="R430" t="s">
        <v>463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300</v>
      </c>
      <c r="B431">
        <v>2</v>
      </c>
      <c r="C431" s="81">
        <v>2025</v>
      </c>
      <c r="D431" t="s">
        <v>125</v>
      </c>
      <c r="E431">
        <v>5</v>
      </c>
      <c r="F431" s="85">
        <v>5.1825000000000001</v>
      </c>
      <c r="G431" s="86">
        <v>5.1497999999999999</v>
      </c>
      <c r="H431" s="86">
        <v>0.1545</v>
      </c>
      <c r="I431" s="87">
        <v>0.21165048543689433</v>
      </c>
      <c r="J431" s="85">
        <v>4.6863000000000001</v>
      </c>
      <c r="K431" s="85">
        <v>5.6132999999999997</v>
      </c>
      <c r="L431" t="s">
        <v>462</v>
      </c>
      <c r="M431" s="81"/>
      <c r="O431" s="85">
        <f t="shared" si="12"/>
        <v>0.63497611557730738</v>
      </c>
      <c r="P431" s="85">
        <f t="shared" si="13"/>
        <v>0.63497611557730738</v>
      </c>
      <c r="Q431" s="81"/>
      <c r="R431" t="s">
        <v>463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300</v>
      </c>
      <c r="B432">
        <v>2</v>
      </c>
      <c r="C432" s="81">
        <v>2025</v>
      </c>
      <c r="D432" t="s">
        <v>122</v>
      </c>
      <c r="E432">
        <v>1</v>
      </c>
      <c r="F432" s="85">
        <v>16.960100000000001</v>
      </c>
      <c r="G432" s="86">
        <v>16.782599999999999</v>
      </c>
      <c r="H432" s="86">
        <v>0.50349999999999995</v>
      </c>
      <c r="I432" s="87">
        <v>0.35253227408143401</v>
      </c>
      <c r="J432" s="85">
        <v>15.2721</v>
      </c>
      <c r="K432" s="85">
        <v>18.293099999999999</v>
      </c>
      <c r="L432" t="s">
        <v>462</v>
      </c>
      <c r="M432" s="81"/>
      <c r="O432" s="85">
        <f t="shared" si="12"/>
        <v>1.0576430350482167</v>
      </c>
      <c r="P432" s="85">
        <f t="shared" si="13"/>
        <v>1.0576430350482167</v>
      </c>
      <c r="Q432" s="81"/>
      <c r="R432" t="s">
        <v>463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300</v>
      </c>
      <c r="B433">
        <v>2</v>
      </c>
      <c r="C433" s="81">
        <v>2025</v>
      </c>
      <c r="D433" t="s">
        <v>122</v>
      </c>
      <c r="E433">
        <v>2</v>
      </c>
      <c r="F433" s="85">
        <v>16.809200000000001</v>
      </c>
      <c r="G433" s="86">
        <v>16.636199999999999</v>
      </c>
      <c r="H433" s="86">
        <v>0.49909999999999999</v>
      </c>
      <c r="I433" s="87">
        <v>0.34662392306151435</v>
      </c>
      <c r="J433" s="85">
        <v>15.1389</v>
      </c>
      <c r="K433" s="85">
        <v>18.133500000000002</v>
      </c>
      <c r="L433" t="s">
        <v>462</v>
      </c>
      <c r="M433" s="81"/>
      <c r="O433" s="85">
        <f t="shared" si="12"/>
        <v>1.03990093891635</v>
      </c>
      <c r="P433" s="85">
        <f t="shared" si="13"/>
        <v>1.03990093891635</v>
      </c>
      <c r="Q433" s="81"/>
      <c r="R433" t="s">
        <v>463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300</v>
      </c>
      <c r="B434">
        <v>2</v>
      </c>
      <c r="C434" s="81">
        <v>2025</v>
      </c>
      <c r="D434" t="s">
        <v>122</v>
      </c>
      <c r="E434">
        <v>3</v>
      </c>
      <c r="F434" s="85">
        <v>16.675799999999999</v>
      </c>
      <c r="G434" s="86">
        <v>16.461200000000002</v>
      </c>
      <c r="H434" s="86">
        <v>0.49380000000000002</v>
      </c>
      <c r="I434" s="87">
        <v>0.43458890238962583</v>
      </c>
      <c r="J434" s="85">
        <v>14.979799999999999</v>
      </c>
      <c r="K434" s="85">
        <v>17.942599999999999</v>
      </c>
      <c r="L434" t="s">
        <v>462</v>
      </c>
      <c r="M434" s="81"/>
      <c r="O434" s="85">
        <f t="shared" si="12"/>
        <v>1.3036716642771924</v>
      </c>
      <c r="P434" s="85">
        <f t="shared" si="13"/>
        <v>1.3036716642771924</v>
      </c>
      <c r="Q434" s="81"/>
      <c r="R434" t="s">
        <v>463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300</v>
      </c>
      <c r="B435">
        <v>2</v>
      </c>
      <c r="C435" s="81">
        <v>2025</v>
      </c>
      <c r="D435" t="s">
        <v>122</v>
      </c>
      <c r="E435">
        <v>4</v>
      </c>
      <c r="F435" s="85">
        <v>16.828399999999998</v>
      </c>
      <c r="G435" s="86">
        <v>16.66</v>
      </c>
      <c r="H435" s="86">
        <v>0.49980000000000002</v>
      </c>
      <c r="I435" s="87">
        <v>0.33693477390956045</v>
      </c>
      <c r="J435" s="85">
        <v>15.160600000000001</v>
      </c>
      <c r="K435" s="85">
        <v>18.159400000000002</v>
      </c>
      <c r="L435" t="s">
        <v>462</v>
      </c>
      <c r="M435" s="81"/>
      <c r="O435" s="85">
        <f t="shared" si="12"/>
        <v>1.0108043217286815</v>
      </c>
      <c r="P435" s="85">
        <f t="shared" si="13"/>
        <v>1.0108043217286815</v>
      </c>
      <c r="Q435" s="81"/>
      <c r="R435" t="s">
        <v>463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300</v>
      </c>
      <c r="B436">
        <v>2</v>
      </c>
      <c r="C436" s="81">
        <v>2025</v>
      </c>
      <c r="D436" t="s">
        <v>122</v>
      </c>
      <c r="E436">
        <v>5</v>
      </c>
      <c r="F436" s="85">
        <v>16.729800000000001</v>
      </c>
      <c r="G436" s="86">
        <v>16.4985</v>
      </c>
      <c r="H436" s="86">
        <v>0.495</v>
      </c>
      <c r="I436" s="87">
        <v>0.46727272727272917</v>
      </c>
      <c r="J436" s="85">
        <v>15.013500000000001</v>
      </c>
      <c r="K436" s="85">
        <v>17.983499999999999</v>
      </c>
      <c r="L436" t="s">
        <v>462</v>
      </c>
      <c r="M436" s="81"/>
      <c r="O436" s="85">
        <f t="shared" si="12"/>
        <v>1.4019456314210441</v>
      </c>
      <c r="P436" s="85">
        <f t="shared" si="13"/>
        <v>1.4019456314210441</v>
      </c>
      <c r="Q436" s="81"/>
      <c r="R436" t="s">
        <v>463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300</v>
      </c>
      <c r="B437">
        <v>3</v>
      </c>
      <c r="C437" s="81">
        <v>2025</v>
      </c>
      <c r="D437" t="s">
        <v>128</v>
      </c>
      <c r="E437">
        <v>1</v>
      </c>
      <c r="F437" s="85">
        <v>46.2819</v>
      </c>
      <c r="G437" s="86">
        <v>45.509599999999999</v>
      </c>
      <c r="H437" s="86">
        <v>1.3653</v>
      </c>
      <c r="I437" s="87">
        <v>0.56566322419981052</v>
      </c>
      <c r="J437" s="85">
        <v>41.413699999999999</v>
      </c>
      <c r="K437" s="85">
        <v>49.605499999999999</v>
      </c>
      <c r="L437" t="s">
        <v>462</v>
      </c>
      <c r="M437" s="81"/>
      <c r="O437" s="85">
        <f t="shared" si="12"/>
        <v>1.6970045880429652</v>
      </c>
      <c r="P437" s="85">
        <f t="shared" si="13"/>
        <v>1.6970045880429652</v>
      </c>
      <c r="Q437" s="81"/>
      <c r="R437" t="s">
        <v>463</v>
      </c>
      <c r="S437" t="str">
        <f>IF($W437&lt;&gt;"NAO ACEITO","",COUNTIFS($W$2:$W437,"NAO ACEITO"))</f>
        <v/>
      </c>
      <c r="T437">
        <f>IF($B437="","",IF(COUNTIF($B$2:$B437,$B437)=1,MAX($T$1:$T436)+1,""))</f>
        <v>6</v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300</v>
      </c>
      <c r="B438">
        <v>3</v>
      </c>
      <c r="C438" s="81">
        <v>2025</v>
      </c>
      <c r="D438" t="s">
        <v>128</v>
      </c>
      <c r="E438">
        <v>2</v>
      </c>
      <c r="F438" s="85">
        <v>46.5152</v>
      </c>
      <c r="G438" s="86">
        <v>45.857100000000003</v>
      </c>
      <c r="H438" s="86">
        <v>1.3756999999999999</v>
      </c>
      <c r="I438" s="87">
        <v>0.47837464563494764</v>
      </c>
      <c r="J438" s="85">
        <v>41.73</v>
      </c>
      <c r="K438" s="85">
        <v>49.984200000000001</v>
      </c>
      <c r="L438" t="s">
        <v>462</v>
      </c>
      <c r="M438" s="81"/>
      <c r="O438" s="85">
        <f t="shared" si="12"/>
        <v>1.4351103754925572</v>
      </c>
      <c r="P438" s="85">
        <f t="shared" si="13"/>
        <v>1.4351103754925572</v>
      </c>
      <c r="Q438" s="81"/>
      <c r="R438" t="s">
        <v>463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300</v>
      </c>
      <c r="B439">
        <v>3</v>
      </c>
      <c r="C439" s="81">
        <v>2025</v>
      </c>
      <c r="D439" t="s">
        <v>128</v>
      </c>
      <c r="E439">
        <v>3</v>
      </c>
      <c r="F439" s="85">
        <v>44.966500000000003</v>
      </c>
      <c r="G439" s="86">
        <v>44.703099999999999</v>
      </c>
      <c r="H439" s="86">
        <v>1.3411</v>
      </c>
      <c r="I439" s="87">
        <v>0.19640593542614593</v>
      </c>
      <c r="J439" s="85">
        <v>40.6798</v>
      </c>
      <c r="K439" s="85">
        <v>48.726399999999998</v>
      </c>
      <c r="L439" t="s">
        <v>462</v>
      </c>
      <c r="M439" s="81"/>
      <c r="O439" s="85">
        <f t="shared" si="12"/>
        <v>0.58922088177330945</v>
      </c>
      <c r="P439" s="85">
        <f t="shared" si="13"/>
        <v>0.58922088177330945</v>
      </c>
      <c r="Q439" s="81"/>
      <c r="R439" t="s">
        <v>463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300</v>
      </c>
      <c r="B440">
        <v>3</v>
      </c>
      <c r="C440" s="81">
        <v>2025</v>
      </c>
      <c r="D440" t="s">
        <v>128</v>
      </c>
      <c r="E440">
        <v>4</v>
      </c>
      <c r="F440" s="85">
        <v>46.796799999999998</v>
      </c>
      <c r="G440" s="86">
        <v>45.504899999999999</v>
      </c>
      <c r="H440" s="86">
        <v>1.3651</v>
      </c>
      <c r="I440" s="87">
        <v>0.94637755475789198</v>
      </c>
      <c r="J440" s="85">
        <v>41.409599999999998</v>
      </c>
      <c r="K440" s="85">
        <v>49.600200000000001</v>
      </c>
      <c r="L440" t="s">
        <v>462</v>
      </c>
      <c r="M440" s="81"/>
      <c r="O440" s="85">
        <f t="shared" si="12"/>
        <v>2.8390349171188123</v>
      </c>
      <c r="P440" s="85">
        <f t="shared" si="13"/>
        <v>2.8390349171188123</v>
      </c>
      <c r="Q440" s="81"/>
      <c r="R440" t="s">
        <v>463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300</v>
      </c>
      <c r="B441">
        <v>3</v>
      </c>
      <c r="C441" s="81">
        <v>2025</v>
      </c>
      <c r="D441" t="s">
        <v>128</v>
      </c>
      <c r="E441">
        <v>5</v>
      </c>
      <c r="F441" s="85">
        <v>45.003900000000002</v>
      </c>
      <c r="G441" s="86">
        <v>44.541699999999999</v>
      </c>
      <c r="H441" s="86">
        <v>1.3363</v>
      </c>
      <c r="I441" s="87">
        <v>0.34588041607423692</v>
      </c>
      <c r="J441" s="85">
        <v>40.532800000000002</v>
      </c>
      <c r="K441" s="85">
        <v>48.550600000000003</v>
      </c>
      <c r="L441" t="s">
        <v>462</v>
      </c>
      <c r="M441" s="81"/>
      <c r="O441" s="85">
        <f t="shared" si="12"/>
        <v>1.0376792982755549</v>
      </c>
      <c r="P441" s="85">
        <f t="shared" si="13"/>
        <v>1.0376792982755549</v>
      </c>
      <c r="Q441" s="81"/>
      <c r="R441" t="s">
        <v>463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300</v>
      </c>
      <c r="B442">
        <v>3</v>
      </c>
      <c r="C442" s="81">
        <v>2025</v>
      </c>
      <c r="D442" t="s">
        <v>127</v>
      </c>
      <c r="E442">
        <v>1</v>
      </c>
      <c r="F442" s="85">
        <v>15.5825</v>
      </c>
      <c r="G442" s="86">
        <v>15.408799999999999</v>
      </c>
      <c r="H442" s="86">
        <v>0.46229999999999999</v>
      </c>
      <c r="I442" s="87">
        <v>0.37573004542504906</v>
      </c>
      <c r="J442" s="85">
        <v>14.0219</v>
      </c>
      <c r="K442" s="85">
        <v>16.7957</v>
      </c>
      <c r="L442" t="s">
        <v>462</v>
      </c>
      <c r="M442" s="81"/>
      <c r="O442" s="85">
        <f t="shared" si="12"/>
        <v>1.1272779191111586</v>
      </c>
      <c r="P442" s="85">
        <f t="shared" si="13"/>
        <v>1.1272779191111586</v>
      </c>
      <c r="Q442" s="81"/>
      <c r="R442" t="s">
        <v>463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300</v>
      </c>
      <c r="B443">
        <v>3</v>
      </c>
      <c r="C443" s="81">
        <v>2025</v>
      </c>
      <c r="D443" t="s">
        <v>127</v>
      </c>
      <c r="E443">
        <v>2</v>
      </c>
      <c r="F443" s="85">
        <v>15.5105</v>
      </c>
      <c r="G443" s="86">
        <v>15.3691</v>
      </c>
      <c r="H443" s="86">
        <v>0.46110000000000001</v>
      </c>
      <c r="I443" s="87">
        <v>0.3066579917588394</v>
      </c>
      <c r="J443" s="85">
        <v>13.985799999999999</v>
      </c>
      <c r="K443" s="85">
        <v>16.752400000000002</v>
      </c>
      <c r="L443" t="s">
        <v>462</v>
      </c>
      <c r="M443" s="81"/>
      <c r="O443" s="85">
        <f t="shared" si="12"/>
        <v>0.92002784808479909</v>
      </c>
      <c r="P443" s="85">
        <f t="shared" si="13"/>
        <v>0.92002784808479909</v>
      </c>
      <c r="Q443" s="81"/>
      <c r="R443" t="s">
        <v>463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300</v>
      </c>
      <c r="B444">
        <v>3</v>
      </c>
      <c r="C444" s="81">
        <v>2025</v>
      </c>
      <c r="D444" t="s">
        <v>127</v>
      </c>
      <c r="E444">
        <v>3</v>
      </c>
      <c r="F444" s="85">
        <v>15.8108</v>
      </c>
      <c r="G444" s="86">
        <v>15.7682</v>
      </c>
      <c r="H444" s="86">
        <v>0.47299999999999998</v>
      </c>
      <c r="I444" s="87">
        <v>9.0063424947146295E-2</v>
      </c>
      <c r="J444" s="85">
        <v>14.3492</v>
      </c>
      <c r="K444" s="85">
        <v>17.187200000000001</v>
      </c>
      <c r="L444" t="s">
        <v>462</v>
      </c>
      <c r="M444" s="81"/>
      <c r="O444" s="85">
        <f t="shared" si="12"/>
        <v>0.27016400096396664</v>
      </c>
      <c r="P444" s="85">
        <f t="shared" si="13"/>
        <v>0.27016400096396664</v>
      </c>
      <c r="Q444" s="81"/>
      <c r="R444" t="s">
        <v>463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300</v>
      </c>
      <c r="B445">
        <v>3</v>
      </c>
      <c r="C445" s="81">
        <v>2025</v>
      </c>
      <c r="D445" t="s">
        <v>127</v>
      </c>
      <c r="E445">
        <v>4</v>
      </c>
      <c r="F445" s="85">
        <v>15.5738</v>
      </c>
      <c r="G445" s="86">
        <v>15.5184</v>
      </c>
      <c r="H445" s="86">
        <v>0.46560000000000001</v>
      </c>
      <c r="I445" s="87">
        <v>0.11898625429553385</v>
      </c>
      <c r="J445" s="85">
        <v>14.121600000000001</v>
      </c>
      <c r="K445" s="85">
        <v>16.915199999999999</v>
      </c>
      <c r="L445" t="s">
        <v>462</v>
      </c>
      <c r="M445" s="81"/>
      <c r="O445" s="85">
        <f t="shared" si="12"/>
        <v>0.35699556655325654</v>
      </c>
      <c r="P445" s="85">
        <f t="shared" si="13"/>
        <v>0.35699556655325654</v>
      </c>
      <c r="Q445" s="81"/>
      <c r="R445" t="s">
        <v>463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300</v>
      </c>
      <c r="B446">
        <v>3</v>
      </c>
      <c r="C446" s="81">
        <v>2025</v>
      </c>
      <c r="D446" t="s">
        <v>127</v>
      </c>
      <c r="E446">
        <v>5</v>
      </c>
      <c r="F446" s="85">
        <v>15.791399999999999</v>
      </c>
      <c r="G446" s="86">
        <v>15.6035</v>
      </c>
      <c r="H446" s="86">
        <v>0.46810000000000002</v>
      </c>
      <c r="I446" s="87">
        <v>0.40140995513778904</v>
      </c>
      <c r="J446" s="85">
        <v>14.199199999999999</v>
      </c>
      <c r="K446" s="85">
        <v>17.0078</v>
      </c>
      <c r="L446" t="s">
        <v>462</v>
      </c>
      <c r="M446" s="81"/>
      <c r="O446" s="85">
        <f t="shared" si="12"/>
        <v>1.2042170025955656</v>
      </c>
      <c r="P446" s="85">
        <f t="shared" si="13"/>
        <v>1.2042170025955656</v>
      </c>
      <c r="Q446" s="81"/>
      <c r="R446" t="s">
        <v>463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300</v>
      </c>
      <c r="B447">
        <v>3</v>
      </c>
      <c r="C447" s="81">
        <v>2025</v>
      </c>
      <c r="D447" t="s">
        <v>130</v>
      </c>
      <c r="E447">
        <v>1</v>
      </c>
      <c r="F447" s="85">
        <v>30.477399999999999</v>
      </c>
      <c r="G447" s="86">
        <v>30.251000000000001</v>
      </c>
      <c r="H447" s="86">
        <v>0.90749999999999997</v>
      </c>
      <c r="I447" s="87">
        <v>0.24947658402203654</v>
      </c>
      <c r="J447" s="85">
        <v>27.528500000000001</v>
      </c>
      <c r="K447" s="85">
        <v>32.973500000000001</v>
      </c>
      <c r="L447" t="s">
        <v>462</v>
      </c>
      <c r="M447" s="81"/>
      <c r="O447" s="85">
        <f t="shared" si="12"/>
        <v>0.74840501140457549</v>
      </c>
      <c r="P447" s="85">
        <f t="shared" si="13"/>
        <v>0.74840501140457549</v>
      </c>
      <c r="Q447" s="81"/>
      <c r="R447" t="s">
        <v>463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300</v>
      </c>
      <c r="B448">
        <v>3</v>
      </c>
      <c r="C448" s="81">
        <v>2025</v>
      </c>
      <c r="D448" t="s">
        <v>130</v>
      </c>
      <c r="E448">
        <v>2</v>
      </c>
      <c r="F448" s="85">
        <v>30.848600000000001</v>
      </c>
      <c r="G448" s="86">
        <v>30.641999999999999</v>
      </c>
      <c r="H448" s="86">
        <v>0.91930000000000001</v>
      </c>
      <c r="I448" s="87">
        <v>0.22473621233547447</v>
      </c>
      <c r="J448" s="85">
        <v>27.8841</v>
      </c>
      <c r="K448" s="85">
        <v>33.399900000000002</v>
      </c>
      <c r="L448" t="s">
        <v>462</v>
      </c>
      <c r="M448" s="81"/>
      <c r="O448" s="85">
        <f t="shared" si="12"/>
        <v>0.67423797402258878</v>
      </c>
      <c r="P448" s="85">
        <f t="shared" si="13"/>
        <v>0.67423797402258878</v>
      </c>
      <c r="Q448" s="81"/>
      <c r="R448" t="s">
        <v>463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300</v>
      </c>
      <c r="B449">
        <v>3</v>
      </c>
      <c r="C449" s="81">
        <v>2025</v>
      </c>
      <c r="D449" t="s">
        <v>130</v>
      </c>
      <c r="E449">
        <v>3</v>
      </c>
      <c r="F449" s="85">
        <v>30.678899999999999</v>
      </c>
      <c r="G449" s="86">
        <v>30.4892</v>
      </c>
      <c r="H449" s="86">
        <v>0.91469999999999996</v>
      </c>
      <c r="I449" s="87">
        <v>0.20739040122444347</v>
      </c>
      <c r="J449" s="85">
        <v>27.745100000000001</v>
      </c>
      <c r="K449" s="85">
        <v>33.2333</v>
      </c>
      <c r="L449" t="s">
        <v>462</v>
      </c>
      <c r="M449" s="81"/>
      <c r="O449" s="85">
        <f t="shared" si="12"/>
        <v>0.62218752869868155</v>
      </c>
      <c r="P449" s="85">
        <f t="shared" si="13"/>
        <v>0.62218752869868155</v>
      </c>
      <c r="Q449" s="81"/>
      <c r="R449" t="s">
        <v>463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300</v>
      </c>
      <c r="B450">
        <v>3</v>
      </c>
      <c r="C450" s="81">
        <v>2025</v>
      </c>
      <c r="D450" t="s">
        <v>130</v>
      </c>
      <c r="E450">
        <v>4</v>
      </c>
      <c r="F450" s="85">
        <v>30.426600000000001</v>
      </c>
      <c r="G450" s="86">
        <v>30.257000000000001</v>
      </c>
      <c r="H450" s="86">
        <v>0.90769999999999995</v>
      </c>
      <c r="I450" s="87">
        <v>0.18684587418750589</v>
      </c>
      <c r="J450" s="85">
        <v>27.533899999999999</v>
      </c>
      <c r="K450" s="85">
        <v>32.9801</v>
      </c>
      <c r="L450" t="s">
        <v>462</v>
      </c>
      <c r="M450" s="81"/>
      <c r="O450" s="85">
        <f t="shared" ref="O450:O466" si="14">IFERROR((F450-G450)/G450*100,"")</f>
        <v>0.56053144726839765</v>
      </c>
      <c r="P450" s="85">
        <f t="shared" ref="P450:P466" si="15">IF(O450="","",ABS(O450))</f>
        <v>0.56053144726839765</v>
      </c>
      <c r="Q450" s="81"/>
      <c r="R450" t="s">
        <v>463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300</v>
      </c>
      <c r="B451">
        <v>3</v>
      </c>
      <c r="C451" s="81">
        <v>2025</v>
      </c>
      <c r="D451" t="s">
        <v>130</v>
      </c>
      <c r="E451">
        <v>5</v>
      </c>
      <c r="F451" s="85">
        <v>30.452100000000002</v>
      </c>
      <c r="G451" s="86">
        <v>30.2425</v>
      </c>
      <c r="H451" s="86">
        <v>0.9073</v>
      </c>
      <c r="I451" s="87">
        <v>0.23101509974650258</v>
      </c>
      <c r="J451" s="85">
        <v>27.520600000000002</v>
      </c>
      <c r="K451" s="85">
        <v>32.964399999999998</v>
      </c>
      <c r="L451" t="s">
        <v>462</v>
      </c>
      <c r="M451" s="81"/>
      <c r="O451" s="85">
        <f t="shared" si="14"/>
        <v>0.69306439613127813</v>
      </c>
      <c r="P451" s="85">
        <f t="shared" si="15"/>
        <v>0.69306439613127813</v>
      </c>
      <c r="Q451" s="81"/>
      <c r="R451" t="s">
        <v>463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300</v>
      </c>
      <c r="B452">
        <v>3</v>
      </c>
      <c r="C452" s="81">
        <v>2025</v>
      </c>
      <c r="D452" t="s">
        <v>129</v>
      </c>
      <c r="E452">
        <v>1</v>
      </c>
      <c r="F452" s="85">
        <v>87.792400000000001</v>
      </c>
      <c r="G452" s="86">
        <v>87.053399999999996</v>
      </c>
      <c r="H452" s="86">
        <v>2.6116000000000001</v>
      </c>
      <c r="I452" s="87">
        <v>0.28296829529790329</v>
      </c>
      <c r="J452" s="85">
        <v>79.218599999999995</v>
      </c>
      <c r="K452" s="85">
        <v>94.888199999999998</v>
      </c>
      <c r="L452" t="s">
        <v>462</v>
      </c>
      <c r="M452" s="81"/>
      <c r="O452" s="85">
        <f t="shared" si="14"/>
        <v>0.84890423579091034</v>
      </c>
      <c r="P452" s="85">
        <f t="shared" si="15"/>
        <v>0.84890423579091034</v>
      </c>
      <c r="Q452" s="81"/>
      <c r="R452" t="s">
        <v>463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300</v>
      </c>
      <c r="B453">
        <v>3</v>
      </c>
      <c r="C453" s="81">
        <v>2025</v>
      </c>
      <c r="D453" t="s">
        <v>129</v>
      </c>
      <c r="E453">
        <v>2</v>
      </c>
      <c r="F453" s="85">
        <v>87.811400000000006</v>
      </c>
      <c r="G453" s="86">
        <v>87.237700000000004</v>
      </c>
      <c r="H453" s="86">
        <v>2.6171000000000002</v>
      </c>
      <c r="I453" s="87">
        <v>0.21921210500172034</v>
      </c>
      <c r="J453" s="85">
        <v>79.386399999999995</v>
      </c>
      <c r="K453" s="85">
        <v>95.088999999999999</v>
      </c>
      <c r="L453" t="s">
        <v>462</v>
      </c>
      <c r="M453" s="81"/>
      <c r="O453" s="85">
        <f t="shared" si="14"/>
        <v>0.65762852528207683</v>
      </c>
      <c r="P453" s="85">
        <f t="shared" si="15"/>
        <v>0.65762852528207683</v>
      </c>
      <c r="Q453" s="81"/>
      <c r="R453" t="s">
        <v>463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300</v>
      </c>
      <c r="B454">
        <v>3</v>
      </c>
      <c r="C454" s="81">
        <v>2025</v>
      </c>
      <c r="D454" t="s">
        <v>129</v>
      </c>
      <c r="E454">
        <v>3</v>
      </c>
      <c r="F454" s="85">
        <v>88.193100000000001</v>
      </c>
      <c r="G454" s="86">
        <v>87.185599999999994</v>
      </c>
      <c r="H454" s="86">
        <v>2.6156000000000001</v>
      </c>
      <c r="I454" s="87">
        <v>0.38518886679920755</v>
      </c>
      <c r="J454" s="85">
        <v>79.338800000000006</v>
      </c>
      <c r="K454" s="85">
        <v>95.032399999999996</v>
      </c>
      <c r="L454" t="s">
        <v>462</v>
      </c>
      <c r="M454" s="81"/>
      <c r="O454" s="85">
        <f t="shared" si="14"/>
        <v>1.1555807381035486</v>
      </c>
      <c r="P454" s="85">
        <f t="shared" si="15"/>
        <v>1.1555807381035486</v>
      </c>
      <c r="Q454" s="81"/>
      <c r="R454" t="s">
        <v>463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300</v>
      </c>
      <c r="B455">
        <v>3</v>
      </c>
      <c r="C455" s="81">
        <v>2025</v>
      </c>
      <c r="D455" t="s">
        <v>129</v>
      </c>
      <c r="E455">
        <v>4</v>
      </c>
      <c r="F455" s="85">
        <v>88.797799999999995</v>
      </c>
      <c r="G455" s="86">
        <v>87.886099999999999</v>
      </c>
      <c r="H455" s="86">
        <v>2.6366000000000001</v>
      </c>
      <c r="I455" s="87">
        <v>0.34578623985435641</v>
      </c>
      <c r="J455" s="85">
        <v>79.976299999999995</v>
      </c>
      <c r="K455" s="85">
        <v>95.795900000000003</v>
      </c>
      <c r="L455" t="s">
        <v>462</v>
      </c>
      <c r="M455" s="81"/>
      <c r="O455" s="85">
        <f t="shared" si="14"/>
        <v>1.0373654081817218</v>
      </c>
      <c r="P455" s="85">
        <f t="shared" si="15"/>
        <v>1.0373654081817218</v>
      </c>
      <c r="Q455" s="81"/>
      <c r="R455" t="s">
        <v>463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300</v>
      </c>
      <c r="B456">
        <v>3</v>
      </c>
      <c r="C456" s="81">
        <v>2025</v>
      </c>
      <c r="D456" t="s">
        <v>129</v>
      </c>
      <c r="E456">
        <v>5</v>
      </c>
      <c r="F456" s="85">
        <v>86.980999999999995</v>
      </c>
      <c r="G456" s="86">
        <v>85.979100000000003</v>
      </c>
      <c r="H456" s="86">
        <v>2.5794000000000001</v>
      </c>
      <c r="I456" s="87">
        <v>0.38842366441807863</v>
      </c>
      <c r="J456" s="85">
        <v>78.240899999999996</v>
      </c>
      <c r="K456" s="85">
        <v>93.717299999999994</v>
      </c>
      <c r="L456" t="s">
        <v>462</v>
      </c>
      <c r="M456" s="81"/>
      <c r="O456" s="85">
        <f t="shared" si="14"/>
        <v>1.1652831909149921</v>
      </c>
      <c r="P456" s="85">
        <f t="shared" si="15"/>
        <v>1.1652831909149921</v>
      </c>
      <c r="Q456" s="81"/>
      <c r="R456" t="s">
        <v>463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300</v>
      </c>
      <c r="B457">
        <v>3</v>
      </c>
      <c r="C457" s="81">
        <v>2025</v>
      </c>
      <c r="D457" t="s">
        <v>125</v>
      </c>
      <c r="E457">
        <v>1</v>
      </c>
      <c r="F457" s="85">
        <v>5.2557999999999998</v>
      </c>
      <c r="G457" s="86">
        <v>5.1936999999999998</v>
      </c>
      <c r="H457" s="86">
        <v>0.15579999999999999</v>
      </c>
      <c r="I457" s="87">
        <v>0.39858793324775382</v>
      </c>
      <c r="J457" s="85">
        <v>4.7263000000000002</v>
      </c>
      <c r="K457" s="85">
        <v>5.6611000000000002</v>
      </c>
      <c r="L457" t="s">
        <v>462</v>
      </c>
      <c r="M457" s="81"/>
      <c r="O457" s="85">
        <f t="shared" si="14"/>
        <v>1.1956793807882635</v>
      </c>
      <c r="P457" s="85">
        <f t="shared" si="15"/>
        <v>1.1956793807882635</v>
      </c>
      <c r="Q457" s="81"/>
      <c r="R457" t="s">
        <v>463</v>
      </c>
      <c r="S457" t="str">
        <f>IF($W457&lt;&gt;"NAO ACEITO","",COUNTIFS($W$2:$W457,"NAO ACEITO"))</f>
        <v/>
      </c>
      <c r="T457" t="str">
        <f>IF($B457="","",IF(COUNTIF($B$2:$B457,$B457)=1,MAX($T$1:$T456)+1,""))</f>
        <v/>
      </c>
      <c r="U457" t="str">
        <f>IF($D457="","",IF(COUNTIF($D$2:$D457,$D457)=1,MAX($U$1:$U456)+1,""))</f>
        <v/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300</v>
      </c>
      <c r="B458">
        <v>3</v>
      </c>
      <c r="C458" s="81">
        <v>2025</v>
      </c>
      <c r="D458" t="s">
        <v>125</v>
      </c>
      <c r="E458">
        <v>2</v>
      </c>
      <c r="F458" s="85">
        <v>5.2087000000000003</v>
      </c>
      <c r="G458" s="86">
        <v>5.1548999999999996</v>
      </c>
      <c r="H458" s="86">
        <v>0.15459999999999999</v>
      </c>
      <c r="I458" s="87">
        <v>0.34799482535576159</v>
      </c>
      <c r="J458" s="85">
        <v>4.6910999999999996</v>
      </c>
      <c r="K458" s="85">
        <v>5.6186999999999996</v>
      </c>
      <c r="L458" t="s">
        <v>462</v>
      </c>
      <c r="M458" s="81"/>
      <c r="O458" s="85">
        <f t="shared" si="14"/>
        <v>1.043667190440178</v>
      </c>
      <c r="P458" s="85">
        <f t="shared" si="15"/>
        <v>1.043667190440178</v>
      </c>
      <c r="Q458" s="81"/>
      <c r="R458" t="s">
        <v>463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300</v>
      </c>
      <c r="B459">
        <v>3</v>
      </c>
      <c r="C459" s="81">
        <v>2025</v>
      </c>
      <c r="D459" t="s">
        <v>125</v>
      </c>
      <c r="E459">
        <v>3</v>
      </c>
      <c r="F459" s="85">
        <v>5.1933999999999996</v>
      </c>
      <c r="G459" s="86">
        <v>5.1717000000000004</v>
      </c>
      <c r="H459" s="86">
        <v>0.1552</v>
      </c>
      <c r="I459" s="87">
        <v>0.1398195876288606</v>
      </c>
      <c r="J459" s="85">
        <v>4.7061000000000002</v>
      </c>
      <c r="K459" s="85">
        <v>5.6372999999999998</v>
      </c>
      <c r="L459" t="s">
        <v>462</v>
      </c>
      <c r="M459" s="81"/>
      <c r="O459" s="85">
        <f t="shared" si="14"/>
        <v>0.41959123692401268</v>
      </c>
      <c r="P459" s="85">
        <f t="shared" si="15"/>
        <v>0.41959123692401268</v>
      </c>
      <c r="Q459" s="81"/>
      <c r="R459" t="s">
        <v>463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300</v>
      </c>
      <c r="B460">
        <v>3</v>
      </c>
      <c r="C460" s="81">
        <v>2025</v>
      </c>
      <c r="D460" t="s">
        <v>125</v>
      </c>
      <c r="E460">
        <v>4</v>
      </c>
      <c r="F460" s="85">
        <v>5.2118000000000002</v>
      </c>
      <c r="G460" s="86">
        <v>5.1542000000000003</v>
      </c>
      <c r="H460" s="86">
        <v>0.15459999999999999</v>
      </c>
      <c r="I460" s="87">
        <v>0.37257438551099531</v>
      </c>
      <c r="J460" s="85">
        <v>4.6904000000000003</v>
      </c>
      <c r="K460" s="85">
        <v>5.6180000000000003</v>
      </c>
      <c r="L460" t="s">
        <v>462</v>
      </c>
      <c r="M460" s="81"/>
      <c r="O460" s="85">
        <f t="shared" si="14"/>
        <v>1.1175352140002304</v>
      </c>
      <c r="P460" s="85">
        <f t="shared" si="15"/>
        <v>1.1175352140002304</v>
      </c>
      <c r="Q460" s="81"/>
      <c r="R460" t="s">
        <v>463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300</v>
      </c>
      <c r="B461">
        <v>3</v>
      </c>
      <c r="C461" s="81">
        <v>2025</v>
      </c>
      <c r="D461" t="s">
        <v>125</v>
      </c>
      <c r="E461">
        <v>5</v>
      </c>
      <c r="F461" s="85">
        <v>5.0838000000000001</v>
      </c>
      <c r="G461" s="86">
        <v>5.0321999999999996</v>
      </c>
      <c r="H461" s="86">
        <v>0.151</v>
      </c>
      <c r="I461" s="87">
        <v>0.34172185430463931</v>
      </c>
      <c r="J461" s="85">
        <v>4.5792000000000002</v>
      </c>
      <c r="K461" s="85">
        <v>5.4851999999999999</v>
      </c>
      <c r="L461" t="s">
        <v>462</v>
      </c>
      <c r="M461" s="81"/>
      <c r="O461" s="85">
        <f t="shared" si="14"/>
        <v>1.0253964468820902</v>
      </c>
      <c r="P461" s="85">
        <f t="shared" si="15"/>
        <v>1.0253964468820902</v>
      </c>
      <c r="Q461" s="81"/>
      <c r="R461" t="s">
        <v>463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300</v>
      </c>
      <c r="B462">
        <v>3</v>
      </c>
      <c r="C462" s="81">
        <v>2025</v>
      </c>
      <c r="D462" t="s">
        <v>122</v>
      </c>
      <c r="E462">
        <v>1</v>
      </c>
      <c r="F462" s="85">
        <v>16.451000000000001</v>
      </c>
      <c r="G462" s="86">
        <v>16.38</v>
      </c>
      <c r="H462" s="86">
        <v>0.4914</v>
      </c>
      <c r="I462" s="87">
        <v>0.14448514448514754</v>
      </c>
      <c r="J462" s="85">
        <v>14.905799999999999</v>
      </c>
      <c r="K462" s="85">
        <v>17.854199999999999</v>
      </c>
      <c r="L462" t="s">
        <v>462</v>
      </c>
      <c r="M462" s="81"/>
      <c r="O462" s="85">
        <f t="shared" si="14"/>
        <v>0.43345543345544268</v>
      </c>
      <c r="P462" s="85">
        <f t="shared" si="15"/>
        <v>0.43345543345544268</v>
      </c>
      <c r="Q462" s="81"/>
      <c r="R462" t="s">
        <v>463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 t="str">
        <f>IF($D462="","",IF(COUNTIF($D$2:$D462,$D462)=1,MAX($U$1:$U461)+1,""))</f>
        <v/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300</v>
      </c>
      <c r="B463">
        <v>3</v>
      </c>
      <c r="C463" s="81">
        <v>2025</v>
      </c>
      <c r="D463" t="s">
        <v>122</v>
      </c>
      <c r="E463">
        <v>2</v>
      </c>
      <c r="F463" s="85">
        <v>16.7226</v>
      </c>
      <c r="G463" s="86">
        <v>16.589099999999998</v>
      </c>
      <c r="H463" s="86">
        <v>0.49769999999999998</v>
      </c>
      <c r="I463" s="87">
        <v>0.26823387582881558</v>
      </c>
      <c r="J463" s="85">
        <v>15.096</v>
      </c>
      <c r="K463" s="85">
        <v>18.0822</v>
      </c>
      <c r="L463" t="s">
        <v>462</v>
      </c>
      <c r="M463" s="81"/>
      <c r="O463" s="85">
        <f t="shared" si="14"/>
        <v>0.80474528455432504</v>
      </c>
      <c r="P463" s="85">
        <f t="shared" si="15"/>
        <v>0.80474528455432504</v>
      </c>
      <c r="Q463" s="81"/>
      <c r="R463" t="s">
        <v>463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300</v>
      </c>
      <c r="B464">
        <v>3</v>
      </c>
      <c r="C464" s="81">
        <v>2025</v>
      </c>
      <c r="D464" t="s">
        <v>122</v>
      </c>
      <c r="E464">
        <v>3</v>
      </c>
      <c r="F464" s="85">
        <v>16.326699999999999</v>
      </c>
      <c r="G464" s="86">
        <v>16.206499999999998</v>
      </c>
      <c r="H464" s="86">
        <v>0.48620000000000002</v>
      </c>
      <c r="I464" s="87">
        <v>0.24722336487042476</v>
      </c>
      <c r="J464" s="85">
        <v>14.7479</v>
      </c>
      <c r="K464" s="85">
        <v>17.665099999999999</v>
      </c>
      <c r="L464" t="s">
        <v>462</v>
      </c>
      <c r="M464" s="81"/>
      <c r="O464" s="85">
        <f t="shared" si="14"/>
        <v>0.74167772190170944</v>
      </c>
      <c r="P464" s="85">
        <f t="shared" si="15"/>
        <v>0.74167772190170944</v>
      </c>
      <c r="Q464" s="81"/>
      <c r="R464" t="s">
        <v>463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300</v>
      </c>
      <c r="B465">
        <v>3</v>
      </c>
      <c r="C465" s="81">
        <v>2025</v>
      </c>
      <c r="D465" t="s">
        <v>122</v>
      </c>
      <c r="E465">
        <v>4</v>
      </c>
      <c r="F465" s="85">
        <v>16.5411</v>
      </c>
      <c r="G465" s="86">
        <v>16.4465</v>
      </c>
      <c r="H465" s="86">
        <v>0.49340000000000001</v>
      </c>
      <c r="I465" s="87">
        <v>0.19173084718281272</v>
      </c>
      <c r="J465" s="85">
        <v>14.9663</v>
      </c>
      <c r="K465" s="85">
        <v>17.9267</v>
      </c>
      <c r="L465" t="s">
        <v>462</v>
      </c>
      <c r="M465" s="81"/>
      <c r="O465" s="85">
        <f t="shared" si="14"/>
        <v>0.57519837047395983</v>
      </c>
      <c r="P465" s="85">
        <f t="shared" si="15"/>
        <v>0.57519837047395983</v>
      </c>
      <c r="Q465" s="81"/>
      <c r="R465" t="s">
        <v>463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300</v>
      </c>
      <c r="B466">
        <v>3</v>
      </c>
      <c r="C466" s="81">
        <v>2025</v>
      </c>
      <c r="D466" t="s">
        <v>122</v>
      </c>
      <c r="E466">
        <v>5</v>
      </c>
      <c r="F466" s="85">
        <v>16.4589</v>
      </c>
      <c r="G466" s="86">
        <v>16.277200000000001</v>
      </c>
      <c r="H466" s="86">
        <v>0.48830000000000001</v>
      </c>
      <c r="I466" s="87">
        <v>0.3721073110792531</v>
      </c>
      <c r="J466" s="85">
        <v>14.8123</v>
      </c>
      <c r="K466" s="85">
        <v>17.742100000000001</v>
      </c>
      <c r="L466" t="s">
        <v>462</v>
      </c>
      <c r="M466" s="81"/>
      <c r="O466" s="85">
        <f t="shared" si="14"/>
        <v>1.1162853562037656</v>
      </c>
      <c r="P466" s="85">
        <f t="shared" si="15"/>
        <v>1.1162853562037656</v>
      </c>
      <c r="Q466" s="81"/>
      <c r="R466" t="s">
        <v>463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C467" s="81"/>
      <c r="F467" s="85"/>
      <c r="G467" s="86"/>
      <c r="H467" s="86"/>
      <c r="I467" s="87"/>
      <c r="J467" s="85"/>
      <c r="K467" s="85"/>
      <c r="M467" s="81"/>
      <c r="O467" s="85"/>
      <c r="P467" s="85"/>
      <c r="Q467" s="81"/>
    </row>
    <row r="468" spans="1:24" x14ac:dyDescent="0.3">
      <c r="C468" s="81"/>
      <c r="F468" s="85"/>
      <c r="G468" s="86"/>
      <c r="H468" s="86"/>
      <c r="I468" s="87"/>
      <c r="J468" s="85"/>
      <c r="K468" s="85"/>
      <c r="M468" s="81"/>
      <c r="O468" s="85"/>
      <c r="P468" s="85"/>
      <c r="Q468" s="81"/>
    </row>
    <row r="469" spans="1:24" x14ac:dyDescent="0.3">
      <c r="C469" s="81"/>
      <c r="F469" s="85"/>
      <c r="G469" s="86"/>
      <c r="H469" s="86"/>
      <c r="I469" s="87"/>
      <c r="J469" s="85"/>
      <c r="K469" s="85"/>
      <c r="M469" s="81"/>
      <c r="O469" s="85"/>
      <c r="P469" s="85"/>
      <c r="Q469" s="81"/>
    </row>
    <row r="470" spans="1:24" x14ac:dyDescent="0.3">
      <c r="C470" s="81"/>
      <c r="F470" s="85"/>
      <c r="G470" s="86"/>
      <c r="H470" s="86"/>
      <c r="I470" s="87"/>
      <c r="J470" s="85"/>
      <c r="K470" s="85"/>
      <c r="M470" s="81"/>
      <c r="O470" s="85"/>
      <c r="P470" s="85"/>
      <c r="Q470" s="81"/>
    </row>
    <row r="471" spans="1:24" x14ac:dyDescent="0.3">
      <c r="C471" s="81"/>
      <c r="F471" s="85"/>
      <c r="G471" s="86"/>
      <c r="H471" s="86"/>
      <c r="I471" s="87"/>
      <c r="J471" s="85"/>
      <c r="K471" s="85"/>
      <c r="M471" s="81"/>
      <c r="O471" s="85"/>
      <c r="P471" s="85"/>
      <c r="Q471" s="81"/>
    </row>
    <row r="472" spans="1:24" x14ac:dyDescent="0.3">
      <c r="C472" s="81"/>
      <c r="F472" s="85"/>
      <c r="G472" s="86"/>
      <c r="H472" s="86"/>
      <c r="I472" s="87"/>
      <c r="J472" s="85"/>
      <c r="K472" s="85"/>
      <c r="M472" s="81"/>
      <c r="O472" s="85"/>
      <c r="P472" s="85"/>
      <c r="Q472" s="81"/>
    </row>
    <row r="473" spans="1:24" x14ac:dyDescent="0.3">
      <c r="C473" s="81"/>
      <c r="F473" s="85"/>
      <c r="G473" s="86"/>
      <c r="H473" s="86"/>
      <c r="I473" s="87"/>
      <c r="J473" s="85"/>
      <c r="K473" s="85"/>
      <c r="M473" s="81"/>
      <c r="O473" s="85"/>
      <c r="P473" s="85"/>
      <c r="Q473" s="81"/>
    </row>
    <row r="474" spans="1:24" x14ac:dyDescent="0.3">
      <c r="C474" s="81"/>
      <c r="F474" s="85"/>
      <c r="G474" s="86"/>
      <c r="H474" s="86"/>
      <c r="I474" s="87"/>
      <c r="J474" s="85"/>
      <c r="K474" s="85"/>
      <c r="M474" s="81"/>
      <c r="O474" s="85"/>
      <c r="P474" s="85"/>
      <c r="Q474" s="81"/>
    </row>
    <row r="475" spans="1:24" x14ac:dyDescent="0.3">
      <c r="C475" s="81"/>
      <c r="F475" s="85"/>
      <c r="G475" s="86"/>
      <c r="H475" s="86"/>
      <c r="I475" s="87"/>
      <c r="J475" s="85"/>
      <c r="K475" s="85"/>
      <c r="M475" s="81"/>
      <c r="O475" s="85"/>
      <c r="P475" s="85"/>
      <c r="Q475" s="81"/>
    </row>
    <row r="476" spans="1:24" x14ac:dyDescent="0.3">
      <c r="C476" s="81"/>
      <c r="F476" s="85"/>
      <c r="G476" s="86"/>
      <c r="H476" s="86"/>
      <c r="I476" s="87"/>
      <c r="J476" s="85"/>
      <c r="K476" s="85"/>
      <c r="M476" s="81"/>
      <c r="O476" s="85"/>
      <c r="P476" s="85"/>
      <c r="Q476" s="81"/>
    </row>
    <row r="477" spans="1:24" x14ac:dyDescent="0.3">
      <c r="C477" s="81"/>
      <c r="F477" s="85"/>
      <c r="G477" s="86"/>
      <c r="H477" s="86"/>
      <c r="I477" s="87"/>
      <c r="J477" s="85"/>
      <c r="K477" s="85"/>
      <c r="M477" s="81"/>
      <c r="O477" s="85"/>
      <c r="P477" s="85"/>
      <c r="Q477" s="81"/>
    </row>
    <row r="478" spans="1:24" x14ac:dyDescent="0.3">
      <c r="C478" s="81"/>
      <c r="F478" s="85"/>
      <c r="G478" s="86"/>
      <c r="H478" s="86"/>
      <c r="I478" s="87"/>
      <c r="J478" s="85"/>
      <c r="K478" s="85"/>
      <c r="M478" s="81"/>
      <c r="O478" s="85"/>
      <c r="P478" s="85"/>
      <c r="Q478" s="81"/>
    </row>
    <row r="479" spans="1:24" x14ac:dyDescent="0.3">
      <c r="C479" s="81"/>
      <c r="F479" s="85"/>
      <c r="G479" s="86"/>
      <c r="H479" s="86"/>
      <c r="I479" s="87"/>
      <c r="J479" s="85"/>
      <c r="K479" s="85"/>
      <c r="M479" s="81"/>
      <c r="O479" s="85"/>
      <c r="P479" s="85"/>
      <c r="Q479" s="81"/>
    </row>
    <row r="480" spans="1:24" x14ac:dyDescent="0.3">
      <c r="C480" s="81"/>
      <c r="F480" s="85"/>
      <c r="G480" s="86"/>
      <c r="H480" s="86"/>
      <c r="I480" s="87"/>
      <c r="J480" s="85"/>
      <c r="K480" s="85"/>
      <c r="M480" s="81"/>
      <c r="O480" s="85"/>
      <c r="P480" s="85"/>
      <c r="Q480" s="81"/>
    </row>
    <row r="481" spans="3:17" x14ac:dyDescent="0.3">
      <c r="C481" s="81"/>
      <c r="F481" s="85"/>
      <c r="G481" s="86"/>
      <c r="H481" s="86"/>
      <c r="I481" s="87"/>
      <c r="J481" s="85"/>
      <c r="K481" s="85"/>
      <c r="M481" s="81"/>
      <c r="O481" s="85"/>
      <c r="P481" s="85"/>
      <c r="Q481" s="81"/>
    </row>
    <row r="482" spans="3:17" x14ac:dyDescent="0.3">
      <c r="C482" s="81"/>
      <c r="F482" s="85"/>
      <c r="G482" s="86"/>
      <c r="H482" s="86"/>
      <c r="I482" s="87"/>
      <c r="J482" s="85"/>
      <c r="K482" s="85"/>
      <c r="M482" s="81"/>
      <c r="O482" s="85"/>
      <c r="P482" s="85"/>
      <c r="Q482" s="81"/>
    </row>
    <row r="483" spans="3:17" x14ac:dyDescent="0.3">
      <c r="C483" s="81"/>
      <c r="F483" s="85"/>
      <c r="G483" s="86"/>
      <c r="H483" s="86"/>
      <c r="I483" s="87"/>
      <c r="J483" s="85"/>
      <c r="K483" s="85"/>
      <c r="M483" s="81"/>
      <c r="O483" s="85"/>
      <c r="P483" s="85"/>
      <c r="Q483" s="81"/>
    </row>
    <row r="484" spans="3:17" x14ac:dyDescent="0.3">
      <c r="C484" s="81"/>
      <c r="F484" s="85"/>
      <c r="G484" s="86"/>
      <c r="H484" s="86"/>
      <c r="I484" s="87"/>
      <c r="J484" s="85"/>
      <c r="K484" s="85"/>
      <c r="M484" s="81"/>
      <c r="O484" s="85"/>
      <c r="P484" s="85"/>
      <c r="Q484" s="81"/>
    </row>
    <row r="485" spans="3:17" x14ac:dyDescent="0.3">
      <c r="C485" s="81"/>
      <c r="F485" s="85"/>
      <c r="G485" s="86"/>
      <c r="H485" s="86"/>
      <c r="I485" s="87"/>
      <c r="J485" s="85"/>
      <c r="K485" s="85"/>
      <c r="M485" s="81"/>
      <c r="O485" s="85"/>
      <c r="P485" s="85"/>
      <c r="Q485" s="81"/>
    </row>
    <row r="486" spans="3:17" x14ac:dyDescent="0.3">
      <c r="C486" s="81"/>
      <c r="F486" s="85"/>
      <c r="G486" s="86"/>
      <c r="H486" s="86"/>
      <c r="I486" s="87"/>
      <c r="J486" s="85"/>
      <c r="K486" s="85"/>
      <c r="M486" s="81"/>
      <c r="O486" s="85"/>
      <c r="P486" s="85"/>
      <c r="Q486" s="81"/>
    </row>
    <row r="487" spans="3:17" x14ac:dyDescent="0.3">
      <c r="C487" s="81"/>
      <c r="F487" s="85"/>
      <c r="G487" s="86"/>
      <c r="H487" s="86"/>
      <c r="I487" s="87"/>
      <c r="J487" s="85"/>
      <c r="K487" s="85"/>
      <c r="M487" s="81"/>
      <c r="O487" s="85"/>
      <c r="P487" s="85"/>
      <c r="Q487" s="81"/>
    </row>
    <row r="488" spans="3:17" x14ac:dyDescent="0.3">
      <c r="C488" s="81"/>
      <c r="F488" s="85"/>
      <c r="G488" s="86"/>
      <c r="H488" s="86"/>
      <c r="I488" s="87"/>
      <c r="J488" s="85"/>
      <c r="K488" s="85"/>
      <c r="M488" s="81"/>
      <c r="O488" s="85"/>
      <c r="P488" s="85"/>
      <c r="Q488" s="81"/>
    </row>
    <row r="489" spans="3:17" x14ac:dyDescent="0.3">
      <c r="C489" s="81"/>
      <c r="F489" s="85"/>
      <c r="G489" s="86"/>
      <c r="H489" s="86"/>
      <c r="I489" s="87"/>
      <c r="J489" s="85"/>
      <c r="K489" s="85"/>
      <c r="M489" s="81"/>
      <c r="O489" s="85"/>
      <c r="P489" s="85"/>
      <c r="Q489" s="81"/>
    </row>
    <row r="490" spans="3:17" x14ac:dyDescent="0.3">
      <c r="C490" s="81"/>
      <c r="F490" s="85"/>
      <c r="G490" s="86"/>
      <c r="H490" s="86"/>
      <c r="I490" s="87"/>
      <c r="J490" s="85"/>
      <c r="K490" s="85"/>
      <c r="M490" s="81"/>
      <c r="O490" s="85"/>
      <c r="P490" s="85"/>
      <c r="Q490" s="81"/>
    </row>
    <row r="491" spans="3:17" x14ac:dyDescent="0.3">
      <c r="C491" s="81"/>
      <c r="F491" s="85"/>
      <c r="G491" s="86"/>
      <c r="H491" s="86"/>
      <c r="I491" s="87"/>
      <c r="J491" s="85"/>
      <c r="K491" s="85"/>
      <c r="M491" s="81"/>
      <c r="O491" s="85"/>
      <c r="P491" s="85"/>
      <c r="Q491" s="81"/>
    </row>
    <row r="492" spans="3:17" x14ac:dyDescent="0.3">
      <c r="C492" s="81"/>
      <c r="F492" s="85"/>
      <c r="G492" s="86"/>
      <c r="H492" s="86"/>
      <c r="I492" s="87"/>
      <c r="J492" s="85"/>
      <c r="K492" s="85"/>
      <c r="M492" s="81"/>
      <c r="O492" s="85"/>
      <c r="P492" s="85"/>
      <c r="Q492" s="81"/>
    </row>
    <row r="493" spans="3:17" x14ac:dyDescent="0.3">
      <c r="C493" s="81"/>
      <c r="F493" s="85"/>
      <c r="G493" s="86"/>
      <c r="H493" s="86"/>
      <c r="I493" s="87"/>
      <c r="J493" s="85"/>
      <c r="K493" s="85"/>
      <c r="M493" s="81"/>
      <c r="O493" s="85"/>
      <c r="P493" s="85"/>
      <c r="Q493" s="81"/>
    </row>
    <row r="494" spans="3:17" x14ac:dyDescent="0.3">
      <c r="C494" s="81"/>
      <c r="F494" s="85"/>
      <c r="G494" s="86"/>
      <c r="H494" s="86"/>
      <c r="I494" s="87"/>
      <c r="J494" s="85"/>
      <c r="K494" s="85"/>
      <c r="M494" s="81"/>
      <c r="O494" s="85"/>
      <c r="P494" s="85"/>
      <c r="Q494" s="81"/>
    </row>
    <row r="495" spans="3:17" x14ac:dyDescent="0.3">
      <c r="C495" s="81"/>
      <c r="F495" s="85"/>
      <c r="G495" s="86"/>
      <c r="H495" s="86"/>
      <c r="I495" s="87"/>
      <c r="J495" s="85"/>
      <c r="K495" s="85"/>
      <c r="M495" s="81"/>
      <c r="O495" s="85"/>
      <c r="P495" s="85"/>
      <c r="Q495" s="81"/>
    </row>
    <row r="496" spans="3:17" x14ac:dyDescent="0.3">
      <c r="C496" s="81"/>
      <c r="F496" s="85"/>
      <c r="G496" s="86"/>
      <c r="H496" s="86"/>
      <c r="I496" s="87"/>
      <c r="J496" s="85"/>
      <c r="K496" s="85"/>
      <c r="M496" s="81"/>
      <c r="O496" s="85"/>
      <c r="P496" s="85"/>
      <c r="Q496" s="81"/>
    </row>
    <row r="497" spans="3:17" x14ac:dyDescent="0.3">
      <c r="C497" s="81"/>
      <c r="F497" s="85"/>
      <c r="G497" s="86"/>
      <c r="H497" s="86"/>
      <c r="I497" s="87"/>
      <c r="J497" s="85"/>
      <c r="K497" s="85"/>
      <c r="M497" s="81"/>
      <c r="O497" s="85"/>
      <c r="P497" s="85"/>
      <c r="Q497" s="81"/>
    </row>
    <row r="498" spans="3:17" x14ac:dyDescent="0.3">
      <c r="C498" s="81"/>
      <c r="F498" s="85"/>
      <c r="G498" s="86"/>
      <c r="H498" s="86"/>
      <c r="I498" s="87"/>
      <c r="J498" s="85"/>
      <c r="K498" s="85"/>
      <c r="M498" s="81"/>
      <c r="O498" s="85"/>
      <c r="P498" s="85"/>
      <c r="Q498" s="81"/>
    </row>
    <row r="499" spans="3:17" x14ac:dyDescent="0.3">
      <c r="C499" s="81"/>
      <c r="F499" s="85"/>
      <c r="G499" s="86"/>
      <c r="H499" s="86"/>
      <c r="I499" s="87"/>
      <c r="J499" s="85"/>
      <c r="K499" s="85"/>
      <c r="M499" s="81"/>
      <c r="O499" s="85"/>
      <c r="P499" s="85"/>
      <c r="Q499" s="81"/>
    </row>
    <row r="500" spans="3:17" x14ac:dyDescent="0.3">
      <c r="C500" s="81"/>
      <c r="F500" s="85"/>
      <c r="G500" s="86"/>
      <c r="H500" s="86"/>
      <c r="I500" s="87"/>
      <c r="J500" s="85"/>
      <c r="K500" s="85"/>
      <c r="M500" s="81"/>
      <c r="O500" s="85"/>
      <c r="P500" s="85"/>
      <c r="Q500" s="81"/>
    </row>
    <row r="501" spans="3:17" x14ac:dyDescent="0.3">
      <c r="C501" s="81"/>
      <c r="F501" s="85"/>
      <c r="G501" s="86"/>
      <c r="H501" s="86"/>
      <c r="I501" s="87"/>
      <c r="J501" s="85"/>
      <c r="K501" s="85"/>
      <c r="M501" s="81"/>
      <c r="O501" s="85"/>
      <c r="P501" s="85"/>
      <c r="Q501" s="81"/>
    </row>
    <row r="502" spans="3:17" x14ac:dyDescent="0.3">
      <c r="C502" s="81"/>
      <c r="F502" s="85"/>
      <c r="G502" s="86"/>
      <c r="H502" s="86"/>
      <c r="I502" s="87"/>
      <c r="J502" s="85"/>
      <c r="K502" s="85"/>
      <c r="M502" s="81"/>
      <c r="O502" s="85"/>
      <c r="P502" s="85"/>
      <c r="Q502" s="81"/>
    </row>
    <row r="503" spans="3:17" x14ac:dyDescent="0.3">
      <c r="C503" s="81"/>
      <c r="F503" s="85"/>
      <c r="G503" s="86"/>
      <c r="H503" s="86"/>
      <c r="I503" s="87"/>
      <c r="J503" s="85"/>
      <c r="K503" s="85"/>
      <c r="M503" s="81"/>
      <c r="O503" s="85"/>
      <c r="P503" s="85"/>
      <c r="Q503" s="81"/>
    </row>
    <row r="504" spans="3:17" x14ac:dyDescent="0.3">
      <c r="C504" s="81"/>
      <c r="F504" s="85"/>
      <c r="G504" s="86"/>
      <c r="H504" s="86"/>
      <c r="I504" s="87"/>
      <c r="J504" s="85"/>
      <c r="K504" s="85"/>
      <c r="M504" s="81"/>
      <c r="O504" s="85"/>
      <c r="P504" s="85"/>
      <c r="Q504" s="81"/>
    </row>
    <row r="505" spans="3:17" x14ac:dyDescent="0.3">
      <c r="C505" s="81"/>
      <c r="F505" s="85"/>
      <c r="G505" s="86"/>
      <c r="H505" s="86"/>
      <c r="I505" s="87"/>
      <c r="J505" s="85"/>
      <c r="K505" s="85"/>
      <c r="M505" s="81"/>
      <c r="O505" s="85"/>
      <c r="P505" s="85"/>
      <c r="Q505" s="81"/>
    </row>
    <row r="506" spans="3:17" x14ac:dyDescent="0.3">
      <c r="C506" s="81"/>
      <c r="F506" s="85"/>
      <c r="G506" s="86"/>
      <c r="H506" s="86"/>
      <c r="I506" s="87"/>
      <c r="J506" s="85"/>
      <c r="K506" s="85"/>
      <c r="M506" s="81"/>
      <c r="O506" s="85"/>
      <c r="P506" s="85"/>
      <c r="Q506" s="81"/>
    </row>
    <row r="507" spans="3:17" x14ac:dyDescent="0.3">
      <c r="C507" s="81"/>
      <c r="F507" s="85"/>
      <c r="G507" s="86"/>
      <c r="H507" s="86"/>
      <c r="I507" s="87"/>
      <c r="J507" s="85"/>
      <c r="K507" s="85"/>
      <c r="M507" s="81"/>
      <c r="O507" s="85"/>
      <c r="P507" s="85"/>
      <c r="Q507" s="81"/>
    </row>
    <row r="508" spans="3:17" x14ac:dyDescent="0.3">
      <c r="C508" s="81"/>
      <c r="F508" s="85"/>
      <c r="G508" s="86"/>
      <c r="H508" s="86"/>
      <c r="I508" s="87"/>
      <c r="J508" s="85"/>
      <c r="K508" s="85"/>
      <c r="M508" s="81"/>
      <c r="O508" s="85"/>
      <c r="P508" s="85"/>
      <c r="Q508" s="81"/>
    </row>
    <row r="509" spans="3:17" x14ac:dyDescent="0.3">
      <c r="C509" s="81"/>
      <c r="F509" s="85"/>
      <c r="G509" s="86"/>
      <c r="H509" s="86"/>
      <c r="I509" s="87"/>
      <c r="J509" s="85"/>
      <c r="K509" s="85"/>
      <c r="M509" s="81"/>
      <c r="O509" s="85"/>
      <c r="P509" s="85"/>
      <c r="Q509" s="81"/>
    </row>
    <row r="510" spans="3:17" x14ac:dyDescent="0.3">
      <c r="C510" s="81"/>
      <c r="F510" s="85"/>
      <c r="G510" s="86"/>
      <c r="H510" s="86"/>
      <c r="I510" s="87"/>
      <c r="J510" s="85"/>
      <c r="K510" s="85"/>
      <c r="M510" s="81"/>
      <c r="O510" s="85"/>
      <c r="P510" s="85"/>
      <c r="Q510" s="81"/>
    </row>
    <row r="511" spans="3:17" x14ac:dyDescent="0.3">
      <c r="C511" s="81"/>
      <c r="F511" s="85"/>
      <c r="G511" s="86"/>
      <c r="H511" s="86"/>
      <c r="I511" s="87"/>
      <c r="J511" s="85"/>
      <c r="K511" s="85"/>
      <c r="M511" s="81"/>
      <c r="O511" s="85"/>
      <c r="P511" s="85"/>
      <c r="Q511" s="81"/>
    </row>
    <row r="512" spans="3:17" x14ac:dyDescent="0.3">
      <c r="C512" s="81"/>
      <c r="F512" s="85"/>
      <c r="G512" s="86"/>
      <c r="H512" s="86"/>
      <c r="I512" s="87"/>
      <c r="J512" s="85"/>
      <c r="K512" s="85"/>
      <c r="M512" s="81"/>
      <c r="O512" s="85"/>
      <c r="P512" s="85"/>
      <c r="Q512" s="81"/>
    </row>
    <row r="513" spans="3:17" x14ac:dyDescent="0.3">
      <c r="C513" s="81"/>
      <c r="F513" s="85"/>
      <c r="G513" s="86"/>
      <c r="H513" s="86"/>
      <c r="I513" s="87"/>
      <c r="J513" s="85"/>
      <c r="K513" s="85"/>
      <c r="M513" s="81"/>
      <c r="O513" s="85"/>
      <c r="P513" s="85"/>
      <c r="Q513" s="81"/>
    </row>
    <row r="514" spans="3:17" x14ac:dyDescent="0.3">
      <c r="C514" s="81"/>
      <c r="F514" s="85"/>
      <c r="G514" s="86"/>
      <c r="H514" s="86"/>
      <c r="I514" s="87"/>
      <c r="J514" s="85"/>
      <c r="K514" s="85"/>
      <c r="M514" s="81"/>
      <c r="O514" s="85"/>
      <c r="P514" s="85"/>
      <c r="Q514" s="81"/>
    </row>
    <row r="515" spans="3:17" x14ac:dyDescent="0.3">
      <c r="C515" s="81"/>
      <c r="F515" s="85"/>
      <c r="G515" s="86"/>
      <c r="H515" s="86"/>
      <c r="I515" s="87"/>
      <c r="J515" s="85"/>
      <c r="K515" s="85"/>
      <c r="M515" s="81"/>
      <c r="O515" s="85"/>
      <c r="P515" s="85"/>
      <c r="Q515" s="81"/>
    </row>
    <row r="516" spans="3:17" x14ac:dyDescent="0.3">
      <c r="C516" s="81"/>
      <c r="F516" s="85"/>
      <c r="G516" s="86"/>
      <c r="H516" s="86"/>
      <c r="I516" s="87"/>
      <c r="J516" s="85"/>
      <c r="K516" s="85"/>
      <c r="M516" s="81"/>
      <c r="O516" s="85"/>
      <c r="P516" s="85"/>
      <c r="Q516" s="81"/>
    </row>
    <row r="517" spans="3:17" x14ac:dyDescent="0.3">
      <c r="C517" s="81"/>
      <c r="F517" s="85"/>
      <c r="G517" s="86"/>
      <c r="H517" s="86"/>
      <c r="I517" s="87"/>
      <c r="J517" s="85"/>
      <c r="K517" s="85"/>
      <c r="M517" s="81"/>
      <c r="O517" s="85"/>
      <c r="P517" s="85"/>
      <c r="Q517" s="81"/>
    </row>
    <row r="518" spans="3:17" x14ac:dyDescent="0.3">
      <c r="C518" s="81"/>
      <c r="F518" s="85"/>
      <c r="G518" s="86"/>
      <c r="H518" s="86"/>
      <c r="I518" s="87"/>
      <c r="J518" s="85"/>
      <c r="K518" s="85"/>
      <c r="M518" s="81"/>
      <c r="O518" s="85"/>
      <c r="P518" s="85"/>
      <c r="Q518" s="81"/>
    </row>
    <row r="519" spans="3:17" x14ac:dyDescent="0.3">
      <c r="C519" s="81"/>
      <c r="F519" s="85"/>
      <c r="G519" s="86"/>
      <c r="H519" s="86"/>
      <c r="I519" s="87"/>
      <c r="J519" s="85"/>
      <c r="K519" s="85"/>
      <c r="M519" s="81"/>
      <c r="O519" s="85"/>
      <c r="P519" s="85"/>
      <c r="Q519" s="81"/>
    </row>
    <row r="520" spans="3:17" x14ac:dyDescent="0.3">
      <c r="C520" s="81"/>
      <c r="F520" s="85"/>
      <c r="G520" s="86"/>
      <c r="H520" s="86"/>
      <c r="I520" s="87"/>
      <c r="J520" s="85"/>
      <c r="K520" s="85"/>
      <c r="M520" s="81"/>
      <c r="O520" s="85"/>
      <c r="P520" s="85"/>
      <c r="Q520" s="81"/>
    </row>
    <row r="521" spans="3:17" x14ac:dyDescent="0.3">
      <c r="C521" s="81"/>
      <c r="F521" s="85"/>
      <c r="G521" s="86"/>
      <c r="H521" s="86"/>
      <c r="I521" s="87"/>
      <c r="J521" s="85"/>
      <c r="K521" s="85"/>
      <c r="M521" s="81"/>
      <c r="O521" s="85"/>
      <c r="P521" s="85"/>
      <c r="Q521" s="81"/>
    </row>
    <row r="522" spans="3:17" x14ac:dyDescent="0.3">
      <c r="C522" s="81"/>
      <c r="F522" s="85"/>
      <c r="G522" s="86"/>
      <c r="H522" s="86"/>
      <c r="I522" s="87"/>
      <c r="J522" s="85"/>
      <c r="K522" s="85"/>
      <c r="M522" s="81"/>
      <c r="O522" s="85"/>
      <c r="P522" s="85"/>
      <c r="Q522" s="81"/>
    </row>
    <row r="523" spans="3:17" x14ac:dyDescent="0.3">
      <c r="C523" s="81"/>
      <c r="F523" s="85"/>
      <c r="G523" s="86"/>
      <c r="H523" s="86"/>
      <c r="I523" s="87"/>
      <c r="J523" s="85"/>
      <c r="K523" s="85"/>
      <c r="M523" s="81"/>
      <c r="O523" s="85"/>
      <c r="P523" s="85"/>
      <c r="Q523" s="81"/>
    </row>
    <row r="524" spans="3:17" x14ac:dyDescent="0.3">
      <c r="C524" s="81"/>
      <c r="F524" s="85"/>
      <c r="G524" s="86"/>
      <c r="H524" s="86"/>
      <c r="I524" s="87"/>
      <c r="J524" s="85"/>
      <c r="K524" s="85"/>
      <c r="M524" s="81"/>
      <c r="O524" s="85"/>
      <c r="P524" s="85"/>
      <c r="Q524" s="81"/>
    </row>
    <row r="525" spans="3:17" x14ac:dyDescent="0.3">
      <c r="C525" s="81"/>
      <c r="F525" s="85"/>
      <c r="G525" s="86"/>
      <c r="H525" s="86"/>
      <c r="I525" s="87"/>
      <c r="J525" s="85"/>
      <c r="K525" s="85"/>
      <c r="M525" s="81"/>
      <c r="O525" s="85"/>
      <c r="P525" s="85"/>
      <c r="Q525" s="81"/>
    </row>
    <row r="526" spans="3:17" x14ac:dyDescent="0.3">
      <c r="C526" s="81"/>
      <c r="F526" s="85"/>
      <c r="G526" s="86"/>
      <c r="H526" s="86"/>
      <c r="I526" s="87"/>
      <c r="J526" s="85"/>
      <c r="K526" s="85"/>
      <c r="M526" s="81"/>
      <c r="O526" s="85"/>
      <c r="P526" s="85"/>
      <c r="Q526" s="81"/>
    </row>
    <row r="527" spans="3:17" x14ac:dyDescent="0.3">
      <c r="C527" s="81"/>
      <c r="F527" s="85"/>
      <c r="G527" s="86"/>
      <c r="H527" s="86"/>
      <c r="I527" s="87"/>
      <c r="J527" s="85"/>
      <c r="K527" s="85"/>
      <c r="M527" s="81"/>
      <c r="O527" s="85"/>
      <c r="P527" s="85"/>
      <c r="Q527" s="81"/>
    </row>
    <row r="528" spans="3:17" x14ac:dyDescent="0.3">
      <c r="C528" s="81"/>
      <c r="F528" s="85"/>
      <c r="G528" s="86"/>
      <c r="H528" s="86"/>
      <c r="I528" s="87"/>
      <c r="J528" s="85"/>
      <c r="K528" s="85"/>
      <c r="M528" s="81"/>
      <c r="O528" s="85"/>
      <c r="P528" s="85"/>
      <c r="Q528" s="81"/>
    </row>
    <row r="529" spans="3:17" x14ac:dyDescent="0.3">
      <c r="C529" s="81"/>
      <c r="F529" s="85"/>
      <c r="G529" s="86"/>
      <c r="H529" s="86"/>
      <c r="I529" s="87"/>
      <c r="J529" s="85"/>
      <c r="K529" s="85"/>
      <c r="M529" s="81"/>
      <c r="O529" s="85"/>
      <c r="P529" s="85"/>
      <c r="Q529" s="81"/>
    </row>
    <row r="530" spans="3:17" x14ac:dyDescent="0.3">
      <c r="C530" s="81"/>
      <c r="F530" s="85"/>
      <c r="G530" s="86"/>
      <c r="H530" s="86"/>
      <c r="I530" s="87"/>
      <c r="J530" s="85"/>
      <c r="K530" s="85"/>
      <c r="M530" s="81"/>
      <c r="O530" s="85"/>
      <c r="P530" s="85"/>
      <c r="Q530" s="81"/>
    </row>
    <row r="531" spans="3:17" x14ac:dyDescent="0.3">
      <c r="C531" s="81"/>
      <c r="F531" s="85"/>
      <c r="G531" s="86"/>
      <c r="H531" s="86"/>
      <c r="I531" s="87"/>
      <c r="J531" s="85"/>
      <c r="K531" s="85"/>
      <c r="M531" s="81"/>
      <c r="O531" s="85"/>
      <c r="P531" s="85"/>
      <c r="Q531" s="81"/>
    </row>
    <row r="532" spans="3:17" x14ac:dyDescent="0.3">
      <c r="C532" s="81"/>
      <c r="F532" s="85"/>
      <c r="G532" s="86"/>
      <c r="H532" s="86"/>
      <c r="I532" s="87"/>
      <c r="J532" s="85"/>
      <c r="K532" s="85"/>
      <c r="M532" s="81"/>
      <c r="O532" s="85"/>
      <c r="P532" s="85"/>
      <c r="Q532" s="81"/>
    </row>
    <row r="533" spans="3:17" x14ac:dyDescent="0.3">
      <c r="C533" s="81"/>
      <c r="F533" s="85"/>
      <c r="G533" s="86"/>
      <c r="H533" s="86"/>
      <c r="I533" s="87"/>
      <c r="J533" s="85"/>
      <c r="K533" s="85"/>
      <c r="M533" s="81"/>
      <c r="O533" s="85"/>
      <c r="P533" s="85"/>
      <c r="Q533" s="81"/>
    </row>
    <row r="534" spans="3:17" x14ac:dyDescent="0.3">
      <c r="C534" s="81"/>
      <c r="F534" s="85"/>
      <c r="G534" s="86"/>
      <c r="H534" s="86"/>
      <c r="I534" s="87"/>
      <c r="J534" s="85"/>
      <c r="K534" s="85"/>
      <c r="M534" s="81"/>
      <c r="O534" s="85"/>
      <c r="P534" s="85"/>
      <c r="Q534" s="81"/>
    </row>
    <row r="535" spans="3:17" x14ac:dyDescent="0.3">
      <c r="C535" s="81"/>
      <c r="F535" s="85"/>
      <c r="G535" s="86"/>
      <c r="H535" s="86"/>
      <c r="I535" s="87"/>
      <c r="J535" s="85"/>
      <c r="K535" s="85"/>
      <c r="M535" s="81"/>
      <c r="O535" s="85"/>
      <c r="P535" s="85"/>
      <c r="Q535" s="81"/>
    </row>
    <row r="536" spans="3:17" x14ac:dyDescent="0.3">
      <c r="C536" s="81"/>
      <c r="F536" s="85"/>
      <c r="G536" s="86"/>
      <c r="H536" s="86"/>
      <c r="I536" s="87"/>
      <c r="J536" s="85"/>
      <c r="K536" s="85"/>
      <c r="M536" s="81"/>
      <c r="O536" s="85"/>
      <c r="P536" s="85"/>
      <c r="Q536" s="81"/>
    </row>
    <row r="537" spans="3:17" x14ac:dyDescent="0.3">
      <c r="C537" s="81"/>
      <c r="F537" s="85"/>
      <c r="G537" s="86"/>
      <c r="H537" s="86"/>
      <c r="I537" s="87"/>
      <c r="J537" s="85"/>
      <c r="K537" s="85"/>
      <c r="M537" s="81"/>
      <c r="O537" s="85"/>
      <c r="P537" s="85"/>
      <c r="Q537" s="81"/>
    </row>
    <row r="538" spans="3:17" x14ac:dyDescent="0.3">
      <c r="C538" s="81"/>
      <c r="F538" s="85"/>
      <c r="G538" s="86"/>
      <c r="H538" s="86"/>
      <c r="I538" s="87"/>
      <c r="J538" s="85"/>
      <c r="K538" s="85"/>
      <c r="M538" s="81"/>
      <c r="O538" s="85"/>
      <c r="P538" s="85"/>
      <c r="Q538" s="81"/>
    </row>
    <row r="539" spans="3:17" x14ac:dyDescent="0.3">
      <c r="C539" s="81"/>
      <c r="F539" s="85"/>
      <c r="G539" s="86"/>
      <c r="H539" s="86"/>
      <c r="I539" s="87"/>
      <c r="J539" s="85"/>
      <c r="K539" s="85"/>
      <c r="M539" s="81"/>
      <c r="O539" s="85"/>
      <c r="P539" s="85"/>
      <c r="Q539" s="81"/>
    </row>
    <row r="540" spans="3:17" x14ac:dyDescent="0.3">
      <c r="C540" s="81"/>
      <c r="F540" s="85"/>
      <c r="G540" s="86"/>
      <c r="H540" s="86"/>
      <c r="I540" s="87"/>
      <c r="J540" s="85"/>
      <c r="K540" s="85"/>
      <c r="M540" s="81"/>
      <c r="O540" s="85"/>
      <c r="P540" s="85"/>
      <c r="Q540" s="81"/>
    </row>
    <row r="541" spans="3:17" x14ac:dyDescent="0.3">
      <c r="C541" s="81"/>
      <c r="F541" s="85"/>
      <c r="G541" s="86"/>
      <c r="H541" s="86"/>
      <c r="I541" s="87"/>
      <c r="J541" s="85"/>
      <c r="K541" s="85"/>
      <c r="M541" s="81"/>
      <c r="O541" s="85"/>
      <c r="P541" s="85"/>
      <c r="Q541" s="81"/>
    </row>
    <row r="542" spans="3:17" x14ac:dyDescent="0.3">
      <c r="C542" s="81"/>
      <c r="F542" s="85"/>
      <c r="G542" s="86"/>
      <c r="H542" s="86"/>
      <c r="I542" s="87"/>
      <c r="J542" s="85"/>
      <c r="K542" s="85"/>
      <c r="M542" s="81"/>
      <c r="O542" s="85"/>
      <c r="P542" s="85"/>
      <c r="Q542" s="81"/>
    </row>
    <row r="543" spans="3:17" x14ac:dyDescent="0.3">
      <c r="C543" s="81"/>
      <c r="F543" s="85"/>
      <c r="G543" s="86"/>
      <c r="H543" s="86"/>
      <c r="I543" s="87"/>
      <c r="J543" s="85"/>
      <c r="K543" s="85"/>
      <c r="M543" s="81"/>
      <c r="O543" s="85"/>
      <c r="P543" s="85"/>
      <c r="Q543" s="81"/>
    </row>
    <row r="544" spans="3:17" x14ac:dyDescent="0.3">
      <c r="C544" s="81"/>
      <c r="F544" s="85"/>
      <c r="G544" s="86"/>
      <c r="H544" s="86"/>
      <c r="I544" s="87"/>
      <c r="J544" s="85"/>
      <c r="K544" s="85"/>
      <c r="M544" s="81"/>
      <c r="O544" s="85"/>
      <c r="P544" s="85"/>
      <c r="Q544" s="81"/>
    </row>
    <row r="545" spans="3:17" x14ac:dyDescent="0.3">
      <c r="C545" s="81"/>
      <c r="F545" s="85"/>
      <c r="G545" s="86"/>
      <c r="H545" s="86"/>
      <c r="I545" s="87"/>
      <c r="J545" s="85"/>
      <c r="K545" s="85"/>
      <c r="M545" s="81"/>
      <c r="O545" s="85"/>
      <c r="P545" s="85"/>
      <c r="Q545" s="81"/>
    </row>
    <row r="546" spans="3:17" x14ac:dyDescent="0.3">
      <c r="C546" s="81"/>
      <c r="F546" s="85"/>
      <c r="G546" s="86"/>
      <c r="H546" s="86"/>
      <c r="I546" s="87"/>
      <c r="J546" s="85"/>
      <c r="K546" s="85"/>
      <c r="M546" s="81"/>
      <c r="O546" s="85"/>
      <c r="P546" s="85"/>
      <c r="Q546" s="81"/>
    </row>
    <row r="547" spans="3:17" x14ac:dyDescent="0.3">
      <c r="C547" s="81"/>
      <c r="F547" s="85"/>
      <c r="G547" s="86"/>
      <c r="H547" s="86"/>
      <c r="I547" s="87"/>
      <c r="J547" s="85"/>
      <c r="K547" s="85"/>
      <c r="M547" s="81"/>
      <c r="O547" s="85"/>
      <c r="P547" s="85"/>
      <c r="Q547" s="81"/>
    </row>
    <row r="548" spans="3:17" x14ac:dyDescent="0.3">
      <c r="C548" s="81"/>
      <c r="F548" s="85"/>
      <c r="G548" s="86"/>
      <c r="H548" s="86"/>
      <c r="I548" s="87"/>
      <c r="J548" s="85"/>
      <c r="K548" s="85"/>
      <c r="M548" s="81"/>
      <c r="O548" s="85"/>
      <c r="P548" s="85"/>
      <c r="Q548" s="81"/>
    </row>
    <row r="549" spans="3:17" x14ac:dyDescent="0.3">
      <c r="C549" s="81"/>
      <c r="F549" s="85"/>
      <c r="G549" s="86"/>
      <c r="H549" s="86"/>
      <c r="I549" s="87"/>
      <c r="J549" s="85"/>
      <c r="K549" s="85"/>
      <c r="M549" s="81"/>
      <c r="O549" s="85"/>
      <c r="P549" s="85"/>
      <c r="Q549" s="81"/>
    </row>
    <row r="550" spans="3:17" x14ac:dyDescent="0.3">
      <c r="C550" s="81"/>
      <c r="F550" s="85"/>
      <c r="G550" s="86"/>
      <c r="H550" s="86"/>
      <c r="I550" s="87"/>
      <c r="J550" s="85"/>
      <c r="K550" s="85"/>
      <c r="M550" s="81"/>
      <c r="O550" s="85"/>
      <c r="P550" s="85"/>
      <c r="Q550" s="81"/>
    </row>
    <row r="551" spans="3:17" x14ac:dyDescent="0.3">
      <c r="C551" s="81"/>
      <c r="F551" s="85"/>
      <c r="G551" s="86"/>
      <c r="H551" s="86"/>
      <c r="I551" s="87"/>
      <c r="J551" s="85"/>
      <c r="K551" s="85"/>
      <c r="M551" s="81"/>
      <c r="O551" s="85"/>
      <c r="P551" s="85"/>
      <c r="Q551" s="81"/>
    </row>
    <row r="552" spans="3:17" x14ac:dyDescent="0.3">
      <c r="C552" s="81"/>
      <c r="F552" s="85"/>
      <c r="G552" s="86"/>
      <c r="H552" s="86"/>
      <c r="I552" s="87"/>
      <c r="J552" s="85"/>
      <c r="K552" s="85"/>
      <c r="M552" s="81"/>
      <c r="O552" s="85"/>
      <c r="P552" s="85"/>
      <c r="Q552" s="81"/>
    </row>
    <row r="553" spans="3:17" x14ac:dyDescent="0.3">
      <c r="C553" s="81"/>
      <c r="F553" s="85"/>
      <c r="G553" s="86"/>
      <c r="H553" s="86"/>
      <c r="I553" s="87"/>
      <c r="J553" s="85"/>
      <c r="K553" s="85"/>
      <c r="M553" s="81"/>
      <c r="O553" s="85"/>
      <c r="P553" s="85"/>
      <c r="Q553" s="81"/>
    </row>
    <row r="554" spans="3:17" x14ac:dyDescent="0.3">
      <c r="C554" s="81"/>
      <c r="F554" s="85"/>
      <c r="G554" s="86"/>
      <c r="H554" s="86"/>
      <c r="I554" s="87"/>
      <c r="J554" s="85"/>
      <c r="K554" s="85"/>
      <c r="M554" s="81"/>
      <c r="O554" s="85"/>
      <c r="P554" s="85"/>
      <c r="Q554" s="81"/>
    </row>
    <row r="555" spans="3:17" x14ac:dyDescent="0.3">
      <c r="C555" s="81"/>
      <c r="F555" s="85"/>
      <c r="G555" s="86"/>
      <c r="H555" s="86"/>
      <c r="I555" s="87"/>
      <c r="J555" s="85"/>
      <c r="K555" s="85"/>
      <c r="M555" s="81"/>
      <c r="O555" s="85"/>
      <c r="P555" s="85"/>
      <c r="Q555" s="81"/>
    </row>
    <row r="556" spans="3:17" x14ac:dyDescent="0.3">
      <c r="C556" s="81"/>
      <c r="F556" s="85"/>
      <c r="G556" s="86"/>
      <c r="H556" s="86"/>
      <c r="I556" s="87"/>
      <c r="J556" s="85"/>
      <c r="K556" s="85"/>
      <c r="M556" s="81"/>
      <c r="O556" s="85"/>
      <c r="P556" s="85"/>
      <c r="Q556" s="81"/>
    </row>
    <row r="557" spans="3:17" x14ac:dyDescent="0.3">
      <c r="C557" s="81"/>
      <c r="F557" s="85"/>
      <c r="G557" s="86"/>
      <c r="H557" s="86"/>
      <c r="I557" s="87"/>
      <c r="J557" s="85"/>
      <c r="K557" s="85"/>
      <c r="M557" s="81"/>
      <c r="O557" s="85"/>
      <c r="P557" s="85"/>
      <c r="Q557" s="81"/>
    </row>
    <row r="558" spans="3:17" x14ac:dyDescent="0.3">
      <c r="C558" s="81"/>
      <c r="F558" s="85"/>
      <c r="G558" s="86"/>
      <c r="H558" s="86"/>
      <c r="I558" s="87"/>
      <c r="J558" s="85"/>
      <c r="K558" s="85"/>
      <c r="M558" s="81"/>
      <c r="O558" s="85"/>
      <c r="P558" s="85"/>
      <c r="Q558" s="81"/>
    </row>
    <row r="559" spans="3:17" x14ac:dyDescent="0.3">
      <c r="C559" s="81"/>
      <c r="F559" s="85"/>
      <c r="G559" s="86"/>
      <c r="H559" s="86"/>
      <c r="I559" s="87"/>
      <c r="J559" s="85"/>
      <c r="K559" s="85"/>
      <c r="M559" s="81"/>
      <c r="O559" s="85"/>
      <c r="P559" s="85"/>
      <c r="Q559" s="81"/>
    </row>
    <row r="560" spans="3:17" x14ac:dyDescent="0.3">
      <c r="C560" s="81"/>
      <c r="F560" s="85"/>
      <c r="G560" s="86"/>
      <c r="H560" s="86"/>
      <c r="I560" s="87"/>
      <c r="J560" s="85"/>
      <c r="K560" s="85"/>
      <c r="M560" s="81"/>
      <c r="O560" s="85"/>
      <c r="P560" s="85"/>
      <c r="Q560" s="81"/>
    </row>
    <row r="561" spans="3:17" x14ac:dyDescent="0.3">
      <c r="C561" s="81"/>
      <c r="F561" s="85"/>
      <c r="G561" s="86"/>
      <c r="H561" s="86"/>
      <c r="I561" s="87"/>
      <c r="J561" s="85"/>
      <c r="K561" s="85"/>
      <c r="M561" s="81"/>
      <c r="O561" s="85"/>
      <c r="P561" s="85"/>
      <c r="Q561" s="81"/>
    </row>
    <row r="562" spans="3:17" x14ac:dyDescent="0.3">
      <c r="C562" s="81"/>
      <c r="F562" s="85"/>
      <c r="G562" s="86"/>
      <c r="H562" s="86"/>
      <c r="I562" s="87"/>
      <c r="J562" s="85"/>
      <c r="K562" s="85"/>
      <c r="M562" s="81"/>
      <c r="O562" s="85"/>
      <c r="P562" s="85"/>
      <c r="Q562" s="81"/>
    </row>
    <row r="563" spans="3:17" x14ac:dyDescent="0.3">
      <c r="C563" s="81"/>
      <c r="F563" s="85"/>
      <c r="G563" s="86"/>
      <c r="H563" s="86"/>
      <c r="I563" s="87"/>
      <c r="J563" s="85"/>
      <c r="K563" s="85"/>
      <c r="M563" s="81"/>
      <c r="O563" s="85"/>
      <c r="P563" s="85"/>
      <c r="Q563" s="81"/>
    </row>
    <row r="564" spans="3:17" x14ac:dyDescent="0.3">
      <c r="C564" s="81"/>
      <c r="F564" s="85"/>
      <c r="G564" s="86"/>
      <c r="H564" s="86"/>
      <c r="I564" s="87"/>
      <c r="J564" s="85"/>
      <c r="K564" s="85"/>
      <c r="M564" s="81"/>
      <c r="O564" s="85"/>
      <c r="P564" s="85"/>
      <c r="Q564" s="81"/>
    </row>
    <row r="565" spans="3:17" x14ac:dyDescent="0.3">
      <c r="C565" s="81"/>
      <c r="F565" s="85"/>
      <c r="G565" s="86"/>
      <c r="H565" s="86"/>
      <c r="I565" s="87"/>
      <c r="J565" s="85"/>
      <c r="K565" s="85"/>
      <c r="M565" s="81"/>
      <c r="O565" s="85"/>
      <c r="P565" s="85"/>
      <c r="Q565" s="81"/>
    </row>
    <row r="566" spans="3:17" x14ac:dyDescent="0.3">
      <c r="C566" s="81"/>
      <c r="F566" s="85"/>
      <c r="G566" s="86"/>
      <c r="H566" s="86"/>
      <c r="I566" s="87"/>
      <c r="J566" s="85"/>
      <c r="K566" s="85"/>
      <c r="M566" s="81"/>
      <c r="O566" s="85"/>
      <c r="P566" s="85"/>
      <c r="Q566" s="81"/>
    </row>
    <row r="567" spans="3:17" x14ac:dyDescent="0.3">
      <c r="C567" s="81"/>
      <c r="F567" s="85"/>
      <c r="G567" s="86"/>
      <c r="H567" s="86"/>
      <c r="I567" s="87"/>
      <c r="J567" s="85"/>
      <c r="K567" s="85"/>
      <c r="M567" s="81"/>
      <c r="O567" s="85"/>
      <c r="P567" s="85"/>
      <c r="Q567" s="81"/>
    </row>
    <row r="568" spans="3:17" x14ac:dyDescent="0.3">
      <c r="C568" s="81"/>
      <c r="F568" s="85"/>
      <c r="G568" s="86"/>
      <c r="H568" s="86"/>
      <c r="I568" s="87"/>
      <c r="J568" s="85"/>
      <c r="K568" s="85"/>
      <c r="M568" s="81"/>
      <c r="O568" s="85"/>
      <c r="P568" s="85"/>
      <c r="Q568" s="81"/>
    </row>
    <row r="569" spans="3:17" x14ac:dyDescent="0.3">
      <c r="C569" s="81"/>
      <c r="F569" s="85"/>
      <c r="G569" s="86"/>
      <c r="H569" s="86"/>
      <c r="I569" s="87"/>
      <c r="J569" s="85"/>
      <c r="K569" s="85"/>
      <c r="M569" s="81"/>
      <c r="O569" s="85"/>
      <c r="P569" s="85"/>
      <c r="Q569" s="81"/>
    </row>
    <row r="570" spans="3:17" x14ac:dyDescent="0.3">
      <c r="C570" s="81"/>
      <c r="F570" s="85"/>
      <c r="G570" s="86"/>
      <c r="H570" s="86"/>
      <c r="I570" s="87"/>
      <c r="J570" s="85"/>
      <c r="K570" s="85"/>
      <c r="M570" s="81"/>
      <c r="O570" s="85"/>
      <c r="P570" s="85"/>
      <c r="Q570" s="81"/>
    </row>
    <row r="571" spans="3:17" x14ac:dyDescent="0.3">
      <c r="C571" s="81"/>
      <c r="F571" s="85"/>
      <c r="G571" s="86"/>
      <c r="H571" s="86"/>
      <c r="I571" s="87"/>
      <c r="J571" s="85"/>
      <c r="K571" s="85"/>
      <c r="M571" s="81"/>
      <c r="O571" s="85"/>
      <c r="P571" s="85"/>
      <c r="Q571" s="81"/>
    </row>
    <row r="572" spans="3:17" x14ac:dyDescent="0.3">
      <c r="C572" s="81"/>
      <c r="F572" s="85"/>
      <c r="G572" s="86"/>
      <c r="H572" s="86"/>
      <c r="I572" s="87"/>
      <c r="J572" s="85"/>
      <c r="K572" s="85"/>
      <c r="M572" s="81"/>
      <c r="O572" s="85"/>
      <c r="P572" s="85"/>
      <c r="Q572" s="81"/>
    </row>
    <row r="573" spans="3:17" x14ac:dyDescent="0.3">
      <c r="C573" s="81"/>
      <c r="F573" s="85"/>
      <c r="G573" s="86"/>
      <c r="H573" s="86"/>
      <c r="I573" s="87"/>
      <c r="J573" s="85"/>
      <c r="K573" s="85"/>
      <c r="M573" s="81"/>
      <c r="O573" s="85"/>
      <c r="P573" s="85"/>
      <c r="Q573" s="81"/>
    </row>
    <row r="574" spans="3:17" x14ac:dyDescent="0.3">
      <c r="C574" s="81"/>
      <c r="F574" s="85"/>
      <c r="G574" s="86"/>
      <c r="H574" s="86"/>
      <c r="I574" s="87"/>
      <c r="J574" s="85"/>
      <c r="K574" s="85"/>
      <c r="M574" s="81"/>
      <c r="O574" s="85"/>
      <c r="P574" s="85"/>
      <c r="Q574" s="81"/>
    </row>
    <row r="575" spans="3:17" x14ac:dyDescent="0.3">
      <c r="C575" s="81"/>
      <c r="F575" s="85"/>
      <c r="G575" s="86"/>
      <c r="H575" s="86"/>
      <c r="I575" s="87"/>
      <c r="J575" s="85"/>
      <c r="K575" s="85"/>
      <c r="M575" s="81"/>
      <c r="O575" s="85"/>
      <c r="P575" s="85"/>
      <c r="Q575" s="81"/>
    </row>
    <row r="576" spans="3:17" x14ac:dyDescent="0.3">
      <c r="C576" s="81"/>
      <c r="F576" s="85"/>
      <c r="G576" s="86"/>
      <c r="H576" s="86"/>
      <c r="I576" s="87"/>
      <c r="J576" s="85"/>
      <c r="K576" s="85"/>
      <c r="M576" s="81"/>
      <c r="O576" s="85"/>
      <c r="P576" s="85"/>
      <c r="Q576" s="81"/>
    </row>
    <row r="577" spans="3:17" x14ac:dyDescent="0.3">
      <c r="C577" s="81"/>
      <c r="F577" s="85"/>
      <c r="G577" s="86"/>
      <c r="H577" s="86"/>
      <c r="I577" s="87"/>
      <c r="J577" s="85"/>
      <c r="K577" s="85"/>
      <c r="M577" s="81"/>
      <c r="O577" s="85"/>
      <c r="P577" s="85"/>
      <c r="Q577" s="81"/>
    </row>
    <row r="578" spans="3:17" x14ac:dyDescent="0.3">
      <c r="C578" s="81"/>
      <c r="F578" s="85"/>
      <c r="G578" s="86"/>
      <c r="H578" s="86"/>
      <c r="I578" s="87"/>
      <c r="J578" s="85"/>
      <c r="K578" s="85"/>
      <c r="M578" s="81"/>
      <c r="O578" s="85"/>
      <c r="P578" s="85"/>
      <c r="Q578" s="81"/>
    </row>
    <row r="579" spans="3:17" x14ac:dyDescent="0.3">
      <c r="C579" s="81"/>
      <c r="F579" s="85"/>
      <c r="G579" s="86"/>
      <c r="H579" s="86"/>
      <c r="I579" s="87"/>
      <c r="J579" s="85"/>
      <c r="K579" s="85"/>
      <c r="M579" s="81"/>
      <c r="O579" s="85"/>
      <c r="P579" s="85"/>
      <c r="Q579" s="81"/>
    </row>
    <row r="580" spans="3:17" x14ac:dyDescent="0.3">
      <c r="C580" s="81"/>
      <c r="F580" s="85"/>
      <c r="G580" s="86"/>
      <c r="H580" s="86"/>
      <c r="I580" s="87"/>
      <c r="J580" s="85"/>
      <c r="K580" s="85"/>
      <c r="M580" s="81"/>
      <c r="O580" s="85"/>
      <c r="P580" s="85"/>
      <c r="Q580" s="81"/>
    </row>
    <row r="581" spans="3:17" x14ac:dyDescent="0.3">
      <c r="C581" s="81"/>
      <c r="F581" s="85"/>
      <c r="G581" s="86"/>
      <c r="H581" s="86"/>
      <c r="I581" s="87"/>
      <c r="J581" s="85"/>
      <c r="K581" s="85"/>
      <c r="M581" s="81"/>
      <c r="O581" s="85"/>
      <c r="P581" s="85"/>
      <c r="Q581" s="81"/>
    </row>
    <row r="582" spans="3:17" x14ac:dyDescent="0.3">
      <c r="C582" s="81"/>
      <c r="F582" s="85"/>
      <c r="G582" s="86"/>
      <c r="H582" s="86"/>
      <c r="I582" s="87"/>
      <c r="J582" s="85"/>
      <c r="K582" s="85"/>
      <c r="M582" s="81"/>
      <c r="O582" s="85"/>
      <c r="P582" s="85"/>
      <c r="Q582" s="81"/>
    </row>
    <row r="583" spans="3:17" x14ac:dyDescent="0.3">
      <c r="C583" s="81"/>
      <c r="F583" s="85"/>
      <c r="G583" s="86"/>
      <c r="H583" s="86"/>
      <c r="I583" s="87"/>
      <c r="J583" s="85"/>
      <c r="K583" s="85"/>
      <c r="M583" s="81"/>
      <c r="O583" s="85"/>
      <c r="P583" s="85"/>
      <c r="Q583" s="81"/>
    </row>
    <row r="584" spans="3:17" x14ac:dyDescent="0.3">
      <c r="C584" s="81"/>
      <c r="F584" s="85"/>
      <c r="G584" s="86"/>
      <c r="H584" s="86"/>
      <c r="I584" s="87"/>
      <c r="J584" s="85"/>
      <c r="K584" s="85"/>
      <c r="M584" s="81"/>
      <c r="O584" s="85"/>
      <c r="P584" s="85"/>
      <c r="Q584" s="81"/>
    </row>
    <row r="585" spans="3:17" x14ac:dyDescent="0.3">
      <c r="C585" s="81"/>
      <c r="F585" s="85"/>
      <c r="G585" s="86"/>
      <c r="H585" s="86"/>
      <c r="I585" s="87"/>
      <c r="J585" s="85"/>
      <c r="K585" s="85"/>
      <c r="M585" s="81"/>
      <c r="O585" s="85"/>
      <c r="P585" s="85"/>
      <c r="Q585" s="81"/>
    </row>
    <row r="586" spans="3:17" x14ac:dyDescent="0.3">
      <c r="C586" s="81"/>
      <c r="F586" s="85"/>
      <c r="G586" s="86"/>
      <c r="H586" s="86"/>
      <c r="I586" s="87"/>
      <c r="J586" s="85"/>
      <c r="K586" s="85"/>
      <c r="M586" s="81"/>
      <c r="O586" s="85"/>
      <c r="P586" s="85"/>
      <c r="Q586" s="81"/>
    </row>
    <row r="587" spans="3:17" x14ac:dyDescent="0.3">
      <c r="C587" s="81"/>
      <c r="F587" s="85"/>
      <c r="G587" s="86"/>
      <c r="H587" s="86"/>
      <c r="I587" s="87"/>
      <c r="J587" s="85"/>
      <c r="K587" s="85"/>
      <c r="M587" s="81"/>
      <c r="O587" s="85"/>
      <c r="P587" s="85"/>
      <c r="Q587" s="81"/>
    </row>
    <row r="588" spans="3:17" x14ac:dyDescent="0.3">
      <c r="C588" s="81"/>
      <c r="F588" s="85"/>
      <c r="G588" s="86"/>
      <c r="H588" s="86"/>
      <c r="I588" s="87"/>
      <c r="J588" s="85"/>
      <c r="K588" s="85"/>
      <c r="M588" s="81"/>
      <c r="O588" s="85"/>
      <c r="P588" s="85"/>
      <c r="Q588" s="81"/>
    </row>
    <row r="589" spans="3:17" x14ac:dyDescent="0.3">
      <c r="C589" s="81"/>
      <c r="F589" s="85"/>
      <c r="G589" s="86"/>
      <c r="H589" s="86"/>
      <c r="I589" s="87"/>
      <c r="J589" s="85"/>
      <c r="K589" s="85"/>
      <c r="M589" s="81"/>
      <c r="O589" s="85"/>
      <c r="P589" s="85"/>
      <c r="Q589" s="81"/>
    </row>
    <row r="590" spans="3:17" x14ac:dyDescent="0.3">
      <c r="C590" s="81"/>
      <c r="F590" s="85"/>
      <c r="G590" s="86"/>
      <c r="H590" s="86"/>
      <c r="I590" s="87"/>
      <c r="J590" s="85"/>
      <c r="K590" s="85"/>
      <c r="M590" s="81"/>
      <c r="O590" s="85"/>
      <c r="P590" s="85"/>
      <c r="Q590" s="81"/>
    </row>
    <row r="591" spans="3:17" x14ac:dyDescent="0.3">
      <c r="C591" s="81"/>
      <c r="F591" s="85"/>
      <c r="G591" s="86"/>
      <c r="H591" s="86"/>
      <c r="I591" s="87"/>
      <c r="J591" s="85"/>
      <c r="K591" s="85"/>
      <c r="M591" s="81"/>
      <c r="O591" s="85"/>
      <c r="P591" s="85"/>
      <c r="Q591" s="81"/>
    </row>
    <row r="592" spans="3:17" x14ac:dyDescent="0.3">
      <c r="C592" s="81"/>
      <c r="F592" s="85"/>
      <c r="G592" s="86"/>
      <c r="H592" s="86"/>
      <c r="I592" s="87"/>
      <c r="J592" s="85"/>
      <c r="K592" s="85"/>
      <c r="M592" s="81"/>
      <c r="O592" s="85"/>
      <c r="P592" s="85"/>
      <c r="Q592" s="81"/>
    </row>
    <row r="593" spans="3:17" x14ac:dyDescent="0.3">
      <c r="C593" s="81"/>
      <c r="F593" s="85"/>
      <c r="G593" s="86"/>
      <c r="H593" s="86"/>
      <c r="I593" s="87"/>
      <c r="J593" s="85"/>
      <c r="K593" s="85"/>
      <c r="M593" s="81"/>
      <c r="O593" s="85"/>
      <c r="P593" s="85"/>
      <c r="Q593" s="81"/>
    </row>
    <row r="594" spans="3:17" x14ac:dyDescent="0.3">
      <c r="C594" s="81"/>
      <c r="F594" s="85"/>
      <c r="G594" s="86"/>
      <c r="H594" s="86"/>
      <c r="I594" s="87"/>
      <c r="J594" s="85"/>
      <c r="K594" s="85"/>
      <c r="M594" s="81"/>
      <c r="O594" s="85"/>
      <c r="P594" s="85"/>
      <c r="Q594" s="81"/>
    </row>
    <row r="595" spans="3:17" x14ac:dyDescent="0.3">
      <c r="C595" s="81"/>
      <c r="F595" s="85"/>
      <c r="G595" s="86"/>
      <c r="H595" s="86"/>
      <c r="I595" s="87"/>
      <c r="J595" s="85"/>
      <c r="K595" s="85"/>
      <c r="M595" s="81"/>
      <c r="O595" s="85"/>
      <c r="P595" s="85"/>
      <c r="Q595" s="81"/>
    </row>
    <row r="596" spans="3:17" x14ac:dyDescent="0.3">
      <c r="C596" s="81"/>
      <c r="F596" s="85"/>
      <c r="G596" s="86"/>
      <c r="H596" s="86"/>
      <c r="I596" s="87"/>
      <c r="J596" s="85"/>
      <c r="K596" s="85"/>
      <c r="M596" s="81"/>
      <c r="O596" s="85"/>
      <c r="P596" s="85"/>
      <c r="Q596" s="81"/>
    </row>
    <row r="597" spans="3:17" x14ac:dyDescent="0.3">
      <c r="C597" s="81"/>
      <c r="F597" s="85"/>
      <c r="G597" s="86"/>
      <c r="H597" s="86"/>
      <c r="I597" s="87"/>
      <c r="J597" s="85"/>
      <c r="K597" s="85"/>
      <c r="M597" s="81"/>
      <c r="O597" s="85"/>
      <c r="P597" s="85"/>
      <c r="Q597" s="81"/>
    </row>
    <row r="598" spans="3:17" x14ac:dyDescent="0.3">
      <c r="C598" s="81"/>
      <c r="F598" s="85"/>
      <c r="G598" s="86"/>
      <c r="H598" s="86"/>
      <c r="I598" s="87"/>
      <c r="J598" s="85"/>
      <c r="K598" s="85"/>
      <c r="M598" s="81"/>
      <c r="O598" s="85"/>
      <c r="P598" s="85"/>
      <c r="Q598" s="81"/>
    </row>
    <row r="599" spans="3:17" x14ac:dyDescent="0.3">
      <c r="C599" s="81"/>
      <c r="F599" s="85"/>
      <c r="G599" s="86"/>
      <c r="H599" s="86"/>
      <c r="I599" s="87"/>
      <c r="J599" s="85"/>
      <c r="K599" s="85"/>
      <c r="M599" s="81"/>
      <c r="O599" s="85"/>
      <c r="P599" s="85"/>
      <c r="Q599" s="81"/>
    </row>
    <row r="600" spans="3:17" x14ac:dyDescent="0.3">
      <c r="C600" s="81"/>
      <c r="F600" s="85"/>
      <c r="G600" s="86"/>
      <c r="H600" s="86"/>
      <c r="I600" s="87"/>
      <c r="J600" s="85"/>
      <c r="K600" s="85"/>
      <c r="M600" s="81"/>
      <c r="O600" s="85"/>
      <c r="P600" s="85"/>
      <c r="Q600" s="81"/>
    </row>
    <row r="601" spans="3:17" x14ac:dyDescent="0.3">
      <c r="C601" s="81"/>
      <c r="F601" s="85"/>
      <c r="G601" s="86"/>
      <c r="H601" s="86"/>
      <c r="I601" s="87"/>
      <c r="J601" s="85"/>
      <c r="K601" s="85"/>
      <c r="M601" s="81"/>
      <c r="O601" s="85"/>
      <c r="P601" s="85"/>
      <c r="Q601" s="81"/>
    </row>
    <row r="602" spans="3:17" x14ac:dyDescent="0.3">
      <c r="C602" s="81"/>
      <c r="F602" s="85"/>
      <c r="G602" s="86"/>
      <c r="H602" s="86"/>
      <c r="I602" s="87"/>
      <c r="J602" s="85"/>
      <c r="K602" s="85"/>
      <c r="M602" s="81"/>
      <c r="O602" s="85"/>
      <c r="P602" s="85"/>
      <c r="Q602" s="81"/>
    </row>
    <row r="603" spans="3:17" x14ac:dyDescent="0.3">
      <c r="C603" s="81"/>
      <c r="F603" s="85"/>
      <c r="G603" s="86"/>
      <c r="H603" s="86"/>
      <c r="I603" s="87"/>
      <c r="J603" s="85"/>
      <c r="K603" s="85"/>
      <c r="M603" s="81"/>
      <c r="O603" s="85"/>
      <c r="P603" s="85"/>
      <c r="Q603" s="81"/>
    </row>
    <row r="604" spans="3:17" x14ac:dyDescent="0.3">
      <c r="C604" s="81"/>
      <c r="F604" s="85"/>
      <c r="G604" s="86"/>
      <c r="H604" s="86"/>
      <c r="I604" s="87"/>
      <c r="J604" s="85"/>
      <c r="K604" s="85"/>
      <c r="M604" s="81"/>
      <c r="O604" s="85"/>
      <c r="P604" s="85"/>
      <c r="Q604" s="81"/>
    </row>
    <row r="605" spans="3:17" x14ac:dyDescent="0.3">
      <c r="C605" s="81"/>
      <c r="F605" s="85"/>
      <c r="G605" s="86"/>
      <c r="H605" s="86"/>
      <c r="I605" s="87"/>
      <c r="J605" s="85"/>
      <c r="K605" s="85"/>
      <c r="M605" s="81"/>
      <c r="O605" s="85"/>
      <c r="P605" s="85"/>
      <c r="Q605" s="81"/>
    </row>
    <row r="606" spans="3:17" x14ac:dyDescent="0.3">
      <c r="C606" s="81"/>
      <c r="F606" s="85"/>
      <c r="G606" s="86"/>
      <c r="H606" s="86"/>
      <c r="I606" s="87"/>
      <c r="J606" s="85"/>
      <c r="K606" s="85"/>
      <c r="M606" s="81"/>
      <c r="O606" s="85"/>
      <c r="P606" s="85"/>
      <c r="Q606" s="81"/>
    </row>
    <row r="607" spans="3:17" x14ac:dyDescent="0.3">
      <c r="C607" s="81"/>
      <c r="F607" s="85"/>
      <c r="G607" s="86"/>
      <c r="H607" s="86"/>
      <c r="I607" s="87"/>
      <c r="J607" s="85"/>
      <c r="K607" s="85"/>
      <c r="M607" s="81"/>
      <c r="O607" s="85"/>
      <c r="P607" s="85"/>
      <c r="Q607" s="81"/>
    </row>
    <row r="608" spans="3:17" x14ac:dyDescent="0.3">
      <c r="C608" s="81"/>
      <c r="F608" s="85"/>
      <c r="G608" s="86"/>
      <c r="H608" s="86"/>
      <c r="I608" s="87"/>
      <c r="J608" s="85"/>
      <c r="K608" s="85"/>
      <c r="M608" s="81"/>
      <c r="O608" s="85"/>
      <c r="P608" s="85"/>
      <c r="Q608" s="81"/>
    </row>
    <row r="609" spans="3:17" x14ac:dyDescent="0.3">
      <c r="C609" s="81"/>
      <c r="F609" s="85"/>
      <c r="G609" s="86"/>
      <c r="H609" s="86"/>
      <c r="I609" s="87"/>
      <c r="J609" s="85"/>
      <c r="K609" s="85"/>
      <c r="M609" s="81"/>
      <c r="O609" s="85"/>
      <c r="P609" s="85"/>
      <c r="Q609" s="81"/>
    </row>
    <row r="610" spans="3:17" x14ac:dyDescent="0.3">
      <c r="C610" s="81"/>
      <c r="F610" s="85"/>
      <c r="G610" s="86"/>
      <c r="H610" s="86"/>
      <c r="I610" s="87"/>
      <c r="J610" s="85"/>
      <c r="K610" s="85"/>
      <c r="M610" s="81"/>
      <c r="O610" s="85"/>
      <c r="P610" s="85"/>
      <c r="Q610" s="81"/>
    </row>
    <row r="611" spans="3:17" x14ac:dyDescent="0.3">
      <c r="C611" s="81"/>
      <c r="F611" s="85"/>
      <c r="G611" s="86"/>
      <c r="H611" s="86"/>
      <c r="I611" s="87"/>
      <c r="J611" s="85"/>
      <c r="K611" s="85"/>
      <c r="M611" s="81"/>
      <c r="O611" s="85"/>
      <c r="P611" s="85"/>
      <c r="Q611" s="81"/>
    </row>
    <row r="612" spans="3:17" x14ac:dyDescent="0.3">
      <c r="C612" s="81"/>
      <c r="F612" s="85"/>
      <c r="G612" s="86"/>
      <c r="H612" s="86"/>
      <c r="I612" s="87"/>
      <c r="J612" s="85"/>
      <c r="K612" s="85"/>
      <c r="M612" s="81"/>
      <c r="O612" s="85"/>
      <c r="P612" s="85"/>
      <c r="Q612" s="81"/>
    </row>
    <row r="613" spans="3:17" x14ac:dyDescent="0.3">
      <c r="C613" s="81"/>
      <c r="F613" s="85"/>
      <c r="G613" s="86"/>
      <c r="H613" s="86"/>
      <c r="I613" s="87"/>
      <c r="J613" s="85"/>
      <c r="K613" s="85"/>
      <c r="M613" s="81"/>
      <c r="O613" s="85"/>
      <c r="P613" s="85"/>
      <c r="Q613" s="81"/>
    </row>
    <row r="614" spans="3:17" x14ac:dyDescent="0.3">
      <c r="C614" s="81"/>
      <c r="F614" s="85"/>
      <c r="G614" s="86"/>
      <c r="H614" s="86"/>
      <c r="I614" s="87"/>
      <c r="J614" s="85"/>
      <c r="K614" s="85"/>
      <c r="M614" s="81"/>
      <c r="O614" s="85"/>
      <c r="P614" s="85"/>
      <c r="Q614" s="81"/>
    </row>
    <row r="615" spans="3:17" x14ac:dyDescent="0.3">
      <c r="C615" s="81"/>
      <c r="F615" s="85"/>
      <c r="G615" s="86"/>
      <c r="H615" s="86"/>
      <c r="I615" s="87"/>
      <c r="J615" s="85"/>
      <c r="K615" s="85"/>
      <c r="M615" s="81"/>
      <c r="O615" s="85"/>
      <c r="P615" s="85"/>
      <c r="Q615" s="81"/>
    </row>
    <row r="616" spans="3:17" x14ac:dyDescent="0.3">
      <c r="C616" s="81"/>
      <c r="F616" s="85"/>
      <c r="G616" s="86"/>
      <c r="H616" s="86"/>
      <c r="I616" s="87"/>
      <c r="J616" s="85"/>
      <c r="K616" s="85"/>
      <c r="M616" s="81"/>
      <c r="O616" s="85"/>
      <c r="P616" s="85"/>
      <c r="Q616" s="81"/>
    </row>
    <row r="617" spans="3:17" x14ac:dyDescent="0.3">
      <c r="C617" s="81"/>
      <c r="F617" s="85"/>
      <c r="G617" s="86"/>
      <c r="H617" s="86"/>
      <c r="I617" s="87"/>
      <c r="J617" s="85"/>
      <c r="K617" s="85"/>
      <c r="M617" s="81"/>
      <c r="O617" s="85"/>
      <c r="P617" s="85"/>
      <c r="Q617" s="81"/>
    </row>
    <row r="618" spans="3:17" x14ac:dyDescent="0.3">
      <c r="C618" s="81"/>
      <c r="F618" s="85"/>
      <c r="G618" s="86"/>
      <c r="H618" s="86"/>
      <c r="I618" s="87"/>
      <c r="J618" s="85"/>
      <c r="K618" s="85"/>
      <c r="M618" s="81"/>
      <c r="O618" s="85"/>
      <c r="P618" s="85"/>
      <c r="Q618" s="81"/>
    </row>
    <row r="619" spans="3:17" x14ac:dyDescent="0.3">
      <c r="C619" s="81"/>
      <c r="F619" s="85"/>
      <c r="G619" s="86"/>
      <c r="H619" s="86"/>
      <c r="I619" s="87"/>
      <c r="J619" s="85"/>
      <c r="K619" s="85"/>
      <c r="M619" s="81"/>
      <c r="O619" s="85"/>
      <c r="P619" s="85"/>
      <c r="Q619" s="81"/>
    </row>
    <row r="620" spans="3:17" x14ac:dyDescent="0.3">
      <c r="C620" s="81"/>
      <c r="F620" s="85"/>
      <c r="G620" s="86"/>
      <c r="H620" s="86"/>
      <c r="I620" s="87"/>
      <c r="J620" s="85"/>
      <c r="K620" s="85"/>
      <c r="M620" s="81"/>
      <c r="O620" s="85"/>
      <c r="P620" s="85"/>
      <c r="Q620" s="81"/>
    </row>
    <row r="621" spans="3:17" x14ac:dyDescent="0.3">
      <c r="C621" s="81"/>
      <c r="F621" s="85"/>
      <c r="G621" s="86"/>
      <c r="H621" s="86"/>
      <c r="I621" s="87"/>
      <c r="J621" s="85"/>
      <c r="K621" s="85"/>
      <c r="M621" s="81"/>
      <c r="O621" s="85"/>
      <c r="P621" s="85"/>
      <c r="Q621" s="81"/>
    </row>
    <row r="622" spans="3:17" x14ac:dyDescent="0.3">
      <c r="C622" s="81"/>
      <c r="F622" s="85"/>
      <c r="G622" s="86"/>
      <c r="H622" s="86"/>
      <c r="I622" s="87"/>
      <c r="J622" s="85"/>
      <c r="K622" s="85"/>
      <c r="M622" s="81"/>
      <c r="O622" s="85"/>
      <c r="P622" s="85"/>
      <c r="Q622" s="81"/>
    </row>
    <row r="623" spans="3:17" x14ac:dyDescent="0.3">
      <c r="C623" s="81"/>
      <c r="F623" s="85"/>
      <c r="G623" s="86"/>
      <c r="H623" s="86"/>
      <c r="I623" s="87"/>
      <c r="J623" s="85"/>
      <c r="K623" s="85"/>
      <c r="M623" s="81"/>
      <c r="O623" s="85"/>
      <c r="P623" s="85"/>
      <c r="Q623" s="81"/>
    </row>
    <row r="624" spans="3:17" x14ac:dyDescent="0.3">
      <c r="C624" s="81"/>
      <c r="F624" s="85"/>
      <c r="G624" s="86"/>
      <c r="H624" s="86"/>
      <c r="I624" s="87"/>
      <c r="J624" s="85"/>
      <c r="K624" s="85"/>
      <c r="M624" s="81"/>
      <c r="O624" s="85"/>
      <c r="P624" s="85"/>
      <c r="Q624" s="81"/>
    </row>
    <row r="625" spans="3:17" x14ac:dyDescent="0.3">
      <c r="C625" s="81"/>
      <c r="F625" s="85"/>
      <c r="G625" s="86"/>
      <c r="H625" s="86"/>
      <c r="I625" s="87"/>
      <c r="J625" s="85"/>
      <c r="K625" s="85"/>
      <c r="M625" s="81"/>
      <c r="O625" s="85"/>
      <c r="P625" s="85"/>
      <c r="Q625" s="81"/>
    </row>
    <row r="626" spans="3:17" x14ac:dyDescent="0.3">
      <c r="C626" s="81"/>
      <c r="F626" s="85"/>
      <c r="G626" s="86"/>
      <c r="H626" s="86"/>
      <c r="I626" s="87"/>
      <c r="J626" s="85"/>
      <c r="K626" s="85"/>
      <c r="M626" s="81"/>
      <c r="O626" s="85"/>
      <c r="P626" s="85"/>
      <c r="Q626" s="81"/>
    </row>
    <row r="627" spans="3:17" x14ac:dyDescent="0.3">
      <c r="C627" s="81"/>
      <c r="F627" s="85"/>
      <c r="G627" s="86"/>
      <c r="H627" s="86"/>
      <c r="I627" s="87"/>
      <c r="J627" s="85"/>
      <c r="K627" s="85"/>
      <c r="M627" s="81"/>
      <c r="O627" s="85"/>
      <c r="P627" s="85"/>
      <c r="Q627" s="81"/>
    </row>
    <row r="628" spans="3:17" x14ac:dyDescent="0.3">
      <c r="C628" s="81"/>
      <c r="F628" s="85"/>
      <c r="G628" s="86"/>
      <c r="H628" s="86"/>
      <c r="I628" s="87"/>
      <c r="J628" s="85"/>
      <c r="K628" s="85"/>
      <c r="M628" s="81"/>
      <c r="O628" s="85"/>
      <c r="P628" s="85"/>
      <c r="Q628" s="81"/>
    </row>
    <row r="629" spans="3:17" x14ac:dyDescent="0.3">
      <c r="C629" s="81"/>
      <c r="F629" s="85"/>
      <c r="G629" s="86"/>
      <c r="H629" s="86"/>
      <c r="I629" s="87"/>
      <c r="J629" s="85"/>
      <c r="K629" s="85"/>
      <c r="M629" s="81"/>
      <c r="O629" s="85"/>
      <c r="P629" s="85"/>
      <c r="Q629" s="81"/>
    </row>
    <row r="630" spans="3:17" x14ac:dyDescent="0.3">
      <c r="C630" s="81"/>
      <c r="F630" s="85"/>
      <c r="G630" s="86"/>
      <c r="H630" s="86"/>
      <c r="I630" s="87"/>
      <c r="J630" s="85"/>
      <c r="K630" s="85"/>
      <c r="M630" s="81"/>
      <c r="O630" s="85"/>
      <c r="P630" s="85"/>
      <c r="Q630" s="81"/>
    </row>
    <row r="631" spans="3:17" x14ac:dyDescent="0.3">
      <c r="C631" s="81"/>
      <c r="F631" s="85"/>
      <c r="G631" s="86"/>
      <c r="H631" s="86"/>
      <c r="I631" s="87"/>
      <c r="J631" s="85"/>
      <c r="K631" s="85"/>
      <c r="M631" s="81"/>
      <c r="O631" s="85"/>
      <c r="P631" s="85"/>
      <c r="Q631" s="81"/>
    </row>
    <row r="632" spans="3:17" x14ac:dyDescent="0.3">
      <c r="C632" s="81"/>
      <c r="F632" s="85"/>
      <c r="G632" s="86"/>
      <c r="H632" s="86"/>
      <c r="I632" s="87"/>
      <c r="J632" s="85"/>
      <c r="K632" s="85"/>
      <c r="M632" s="81"/>
      <c r="O632" s="85"/>
      <c r="P632" s="85"/>
      <c r="Q632" s="81"/>
    </row>
    <row r="633" spans="3:17" x14ac:dyDescent="0.3">
      <c r="C633" s="81"/>
      <c r="F633" s="85"/>
      <c r="G633" s="86"/>
      <c r="H633" s="86"/>
      <c r="I633" s="87"/>
      <c r="J633" s="85"/>
      <c r="K633" s="85"/>
      <c r="M633" s="81"/>
      <c r="O633" s="85"/>
      <c r="P633" s="85"/>
      <c r="Q633" s="81"/>
    </row>
    <row r="634" spans="3:17" x14ac:dyDescent="0.3">
      <c r="C634" s="81"/>
      <c r="F634" s="85"/>
      <c r="G634" s="86"/>
      <c r="H634" s="86"/>
      <c r="I634" s="87"/>
      <c r="J634" s="85"/>
      <c r="K634" s="85"/>
      <c r="M634" s="81"/>
      <c r="O634" s="85"/>
      <c r="P634" s="85"/>
      <c r="Q634" s="81"/>
    </row>
    <row r="635" spans="3:17" x14ac:dyDescent="0.3">
      <c r="C635" s="81"/>
      <c r="F635" s="85"/>
      <c r="G635" s="86"/>
      <c r="H635" s="86"/>
      <c r="I635" s="87"/>
      <c r="J635" s="85"/>
      <c r="K635" s="85"/>
      <c r="M635" s="81"/>
      <c r="O635" s="85"/>
      <c r="P635" s="85"/>
      <c r="Q635" s="81"/>
    </row>
    <row r="636" spans="3:17" x14ac:dyDescent="0.3">
      <c r="C636" s="81"/>
      <c r="F636" s="85"/>
      <c r="G636" s="86"/>
      <c r="H636" s="86"/>
      <c r="I636" s="87"/>
      <c r="J636" s="85"/>
      <c r="K636" s="85"/>
      <c r="M636" s="81"/>
      <c r="O636" s="85"/>
      <c r="P636" s="85"/>
      <c r="Q636" s="81"/>
    </row>
    <row r="637" spans="3:17" x14ac:dyDescent="0.3">
      <c r="C637" s="81"/>
      <c r="F637" s="85"/>
      <c r="G637" s="86"/>
      <c r="H637" s="86"/>
      <c r="I637" s="87"/>
      <c r="J637" s="85"/>
      <c r="K637" s="85"/>
      <c r="M637" s="81"/>
      <c r="O637" s="85"/>
      <c r="P637" s="85"/>
      <c r="Q637" s="81"/>
    </row>
    <row r="638" spans="3:17" x14ac:dyDescent="0.3">
      <c r="C638" s="81"/>
      <c r="F638" s="85"/>
      <c r="G638" s="86"/>
      <c r="H638" s="86"/>
      <c r="I638" s="87"/>
      <c r="J638" s="85"/>
      <c r="K638" s="85"/>
      <c r="M638" s="81"/>
      <c r="O638" s="85"/>
      <c r="P638" s="85"/>
      <c r="Q638" s="81"/>
    </row>
    <row r="639" spans="3:17" x14ac:dyDescent="0.3">
      <c r="C639" s="81"/>
      <c r="F639" s="85"/>
      <c r="G639" s="86"/>
      <c r="H639" s="86"/>
      <c r="I639" s="87"/>
      <c r="J639" s="85"/>
      <c r="K639" s="85"/>
      <c r="M639" s="81"/>
      <c r="O639" s="85"/>
      <c r="P639" s="85"/>
      <c r="Q639" s="81"/>
    </row>
    <row r="640" spans="3:17" x14ac:dyDescent="0.3">
      <c r="C640" s="81"/>
      <c r="F640" s="85"/>
      <c r="G640" s="86"/>
      <c r="H640" s="86"/>
      <c r="I640" s="87"/>
      <c r="J640" s="85"/>
      <c r="K640" s="85"/>
      <c r="M640" s="81"/>
      <c r="O640" s="85"/>
      <c r="P640" s="85"/>
      <c r="Q640" s="81"/>
    </row>
    <row r="641" spans="3:17" x14ac:dyDescent="0.3">
      <c r="C641" s="81"/>
      <c r="F641" s="85"/>
      <c r="G641" s="86"/>
      <c r="H641" s="86"/>
      <c r="I641" s="87"/>
      <c r="J641" s="85"/>
      <c r="K641" s="85"/>
      <c r="M641" s="81"/>
      <c r="O641" s="85"/>
      <c r="P641" s="85"/>
      <c r="Q641" s="81"/>
    </row>
    <row r="642" spans="3:17" x14ac:dyDescent="0.3">
      <c r="C642" s="81"/>
      <c r="F642" s="85"/>
      <c r="G642" s="86"/>
      <c r="H642" s="86"/>
      <c r="I642" s="87"/>
      <c r="J642" s="85"/>
      <c r="K642" s="85"/>
      <c r="M642" s="81"/>
      <c r="O642" s="85"/>
      <c r="P642" s="85"/>
      <c r="Q642" s="81"/>
    </row>
    <row r="643" spans="3:17" x14ac:dyDescent="0.3">
      <c r="C643" s="81"/>
      <c r="F643" s="85"/>
      <c r="G643" s="86"/>
      <c r="H643" s="86"/>
      <c r="I643" s="87"/>
      <c r="J643" s="85"/>
      <c r="K643" s="85"/>
      <c r="M643" s="81"/>
      <c r="O643" s="85"/>
      <c r="P643" s="85"/>
      <c r="Q643" s="81"/>
    </row>
    <row r="644" spans="3:17" x14ac:dyDescent="0.3">
      <c r="C644" s="81"/>
      <c r="F644" s="85"/>
      <c r="G644" s="86"/>
      <c r="H644" s="86"/>
      <c r="I644" s="87"/>
      <c r="J644" s="85"/>
      <c r="K644" s="85"/>
      <c r="M644" s="81"/>
      <c r="O644" s="85"/>
      <c r="P644" s="85"/>
      <c r="Q644" s="81"/>
    </row>
    <row r="645" spans="3:17" x14ac:dyDescent="0.3">
      <c r="C645" s="81"/>
      <c r="F645" s="85"/>
      <c r="G645" s="86"/>
      <c r="H645" s="86"/>
      <c r="I645" s="87"/>
      <c r="J645" s="85"/>
      <c r="K645" s="85"/>
      <c r="M645" s="81"/>
      <c r="O645" s="85"/>
      <c r="P645" s="85"/>
      <c r="Q645" s="81"/>
    </row>
    <row r="646" spans="3:17" x14ac:dyDescent="0.3">
      <c r="C646" s="81"/>
      <c r="F646" s="85"/>
      <c r="G646" s="86"/>
      <c r="H646" s="86"/>
      <c r="I646" s="87"/>
      <c r="J646" s="85"/>
      <c r="K646" s="85"/>
      <c r="M646" s="81"/>
      <c r="O646" s="85"/>
      <c r="P646" s="85"/>
      <c r="Q646" s="81"/>
    </row>
    <row r="647" spans="3:17" x14ac:dyDescent="0.3">
      <c r="C647" s="81"/>
      <c r="F647" s="85"/>
      <c r="G647" s="86"/>
      <c r="H647" s="86"/>
      <c r="I647" s="87"/>
      <c r="J647" s="85"/>
      <c r="K647" s="85"/>
      <c r="M647" s="81"/>
      <c r="O647" s="85"/>
      <c r="P647" s="85"/>
      <c r="Q647" s="81"/>
    </row>
    <row r="648" spans="3:17" x14ac:dyDescent="0.3">
      <c r="C648" s="81"/>
      <c r="F648" s="85"/>
      <c r="G648" s="86"/>
      <c r="H648" s="86"/>
      <c r="I648" s="87"/>
      <c r="J648" s="85"/>
      <c r="K648" s="85"/>
      <c r="M648" s="81"/>
      <c r="O648" s="85"/>
      <c r="P648" s="85"/>
      <c r="Q648" s="81"/>
    </row>
    <row r="649" spans="3:17" x14ac:dyDescent="0.3">
      <c r="C649" s="81"/>
      <c r="F649" s="85"/>
      <c r="G649" s="86"/>
      <c r="H649" s="86"/>
      <c r="I649" s="87"/>
      <c r="J649" s="85"/>
      <c r="K649" s="85"/>
      <c r="M649" s="81"/>
      <c r="O649" s="85"/>
      <c r="P649" s="85"/>
      <c r="Q649" s="81"/>
    </row>
    <row r="650" spans="3:17" x14ac:dyDescent="0.3">
      <c r="C650" s="81"/>
      <c r="F650" s="85"/>
      <c r="G650" s="86"/>
      <c r="H650" s="86"/>
      <c r="I650" s="87"/>
      <c r="J650" s="85"/>
      <c r="K650" s="85"/>
      <c r="M650" s="81"/>
      <c r="O650" s="85"/>
      <c r="P650" s="85"/>
      <c r="Q650" s="81"/>
    </row>
    <row r="651" spans="3:17" x14ac:dyDescent="0.3">
      <c r="C651" s="81"/>
      <c r="F651" s="85"/>
      <c r="G651" s="86"/>
      <c r="H651" s="86"/>
      <c r="I651" s="87"/>
      <c r="J651" s="85"/>
      <c r="K651" s="85"/>
      <c r="M651" s="81"/>
      <c r="O651" s="85"/>
      <c r="P651" s="85"/>
      <c r="Q651" s="81"/>
    </row>
    <row r="652" spans="3:17" x14ac:dyDescent="0.3">
      <c r="C652" s="81"/>
      <c r="F652" s="85"/>
      <c r="G652" s="86"/>
      <c r="H652" s="86"/>
      <c r="I652" s="87"/>
      <c r="J652" s="85"/>
      <c r="K652" s="85"/>
      <c r="M652" s="81"/>
      <c r="O652" s="85"/>
      <c r="P652" s="85"/>
      <c r="Q652" s="81"/>
    </row>
    <row r="653" spans="3:17" x14ac:dyDescent="0.3">
      <c r="C653" s="81"/>
      <c r="F653" s="85"/>
      <c r="G653" s="86"/>
      <c r="H653" s="86"/>
      <c r="I653" s="87"/>
      <c r="J653" s="85"/>
      <c r="K653" s="85"/>
      <c r="M653" s="81"/>
      <c r="O653" s="85"/>
      <c r="P653" s="85"/>
      <c r="Q653" s="81"/>
    </row>
    <row r="654" spans="3:17" x14ac:dyDescent="0.3">
      <c r="C654" s="81"/>
      <c r="F654" s="85"/>
      <c r="G654" s="86"/>
      <c r="H654" s="86"/>
      <c r="I654" s="87"/>
      <c r="J654" s="85"/>
      <c r="K654" s="85"/>
      <c r="M654" s="81"/>
      <c r="O654" s="85"/>
      <c r="P654" s="85"/>
      <c r="Q654" s="81"/>
    </row>
    <row r="655" spans="3:17" x14ac:dyDescent="0.3">
      <c r="C655" s="81"/>
      <c r="F655" s="85"/>
      <c r="G655" s="86"/>
      <c r="H655" s="86"/>
      <c r="I655" s="87"/>
      <c r="J655" s="85"/>
      <c r="K655" s="85"/>
      <c r="M655" s="81"/>
      <c r="O655" s="85"/>
      <c r="P655" s="85"/>
      <c r="Q655" s="81"/>
    </row>
    <row r="656" spans="3:17" x14ac:dyDescent="0.3">
      <c r="C656" s="81"/>
      <c r="F656" s="85"/>
      <c r="G656" s="86"/>
      <c r="H656" s="86"/>
      <c r="I656" s="87"/>
      <c r="J656" s="85"/>
      <c r="K656" s="85"/>
      <c r="M656" s="81"/>
      <c r="O656" s="85"/>
      <c r="P656" s="85"/>
      <c r="Q656" s="81"/>
    </row>
    <row r="657" spans="3:17" x14ac:dyDescent="0.3">
      <c r="C657" s="81"/>
      <c r="F657" s="85"/>
      <c r="G657" s="86"/>
      <c r="H657" s="86"/>
      <c r="I657" s="87"/>
      <c r="J657" s="85"/>
      <c r="K657" s="85"/>
      <c r="M657" s="81"/>
      <c r="O657" s="85"/>
      <c r="P657" s="85"/>
      <c r="Q657" s="81"/>
    </row>
    <row r="658" spans="3:17" x14ac:dyDescent="0.3">
      <c r="C658" s="81"/>
      <c r="F658" s="85"/>
      <c r="G658" s="86"/>
      <c r="H658" s="86"/>
      <c r="I658" s="87"/>
      <c r="J658" s="85"/>
      <c r="K658" s="85"/>
      <c r="M658" s="81"/>
      <c r="O658" s="85"/>
      <c r="P658" s="85"/>
      <c r="Q658" s="81"/>
    </row>
    <row r="659" spans="3:17" x14ac:dyDescent="0.3">
      <c r="C659" s="81"/>
      <c r="F659" s="85"/>
      <c r="G659" s="86"/>
      <c r="H659" s="86"/>
      <c r="I659" s="87"/>
      <c r="J659" s="85"/>
      <c r="K659" s="85"/>
      <c r="M659" s="81"/>
      <c r="O659" s="85"/>
      <c r="P659" s="85"/>
      <c r="Q659" s="81"/>
    </row>
    <row r="660" spans="3:17" x14ac:dyDescent="0.3">
      <c r="C660" s="81"/>
      <c r="F660" s="85"/>
      <c r="G660" s="86"/>
      <c r="H660" s="86"/>
      <c r="I660" s="87"/>
      <c r="J660" s="85"/>
      <c r="K660" s="85"/>
      <c r="M660" s="81"/>
      <c r="O660" s="85"/>
      <c r="P660" s="85"/>
      <c r="Q660" s="81"/>
    </row>
    <row r="661" spans="3:17" x14ac:dyDescent="0.3">
      <c r="C661" s="81"/>
      <c r="F661" s="85"/>
      <c r="G661" s="86"/>
      <c r="H661" s="86"/>
      <c r="I661" s="87"/>
      <c r="J661" s="85"/>
      <c r="K661" s="85"/>
      <c r="M661" s="81"/>
      <c r="O661" s="85"/>
      <c r="P661" s="85"/>
      <c r="Q661" s="81"/>
    </row>
    <row r="662" spans="3:17" x14ac:dyDescent="0.3">
      <c r="C662" s="81"/>
      <c r="F662" s="85"/>
      <c r="G662" s="86"/>
      <c r="H662" s="86"/>
      <c r="I662" s="87"/>
      <c r="J662" s="85"/>
      <c r="K662" s="85"/>
      <c r="M662" s="81"/>
      <c r="O662" s="85"/>
      <c r="P662" s="85"/>
      <c r="Q662" s="81"/>
    </row>
    <row r="663" spans="3:17" x14ac:dyDescent="0.3">
      <c r="C663" s="81"/>
      <c r="F663" s="85"/>
      <c r="G663" s="86"/>
      <c r="H663" s="86"/>
      <c r="I663" s="87"/>
      <c r="J663" s="85"/>
      <c r="K663" s="85"/>
      <c r="M663" s="81"/>
      <c r="O663" s="85"/>
      <c r="P663" s="85"/>
      <c r="Q663" s="81"/>
    </row>
    <row r="664" spans="3:17" x14ac:dyDescent="0.3">
      <c r="C664" s="81"/>
      <c r="F664" s="85"/>
      <c r="G664" s="86"/>
      <c r="H664" s="86"/>
      <c r="I664" s="87"/>
      <c r="J664" s="85"/>
      <c r="K664" s="85"/>
      <c r="M664" s="81"/>
      <c r="O664" s="85"/>
      <c r="P664" s="85"/>
      <c r="Q664" s="81"/>
    </row>
    <row r="665" spans="3:17" x14ac:dyDescent="0.3">
      <c r="C665" s="81"/>
      <c r="F665" s="85"/>
      <c r="G665" s="86"/>
      <c r="H665" s="86"/>
      <c r="I665" s="87"/>
      <c r="J665" s="85"/>
      <c r="K665" s="85"/>
      <c r="M665" s="81"/>
      <c r="O665" s="85"/>
      <c r="P665" s="85"/>
      <c r="Q665" s="81"/>
    </row>
    <row r="666" spans="3:17" x14ac:dyDescent="0.3">
      <c r="C666" s="81"/>
      <c r="F666" s="85"/>
      <c r="G666" s="86"/>
      <c r="H666" s="86"/>
      <c r="I666" s="87"/>
      <c r="J666" s="85"/>
      <c r="K666" s="85"/>
      <c r="M666" s="81"/>
      <c r="O666" s="85"/>
      <c r="P666" s="85"/>
      <c r="Q666" s="81"/>
    </row>
    <row r="667" spans="3:17" x14ac:dyDescent="0.3">
      <c r="C667" s="81"/>
      <c r="F667" s="85"/>
      <c r="G667" s="86"/>
      <c r="H667" s="86"/>
      <c r="I667" s="87"/>
      <c r="J667" s="85"/>
      <c r="K667" s="85"/>
      <c r="M667" s="81"/>
      <c r="O667" s="85"/>
      <c r="P667" s="85"/>
      <c r="Q667" s="81"/>
    </row>
    <row r="668" spans="3:17" x14ac:dyDescent="0.3">
      <c r="C668" s="81"/>
      <c r="F668" s="85"/>
      <c r="G668" s="86"/>
      <c r="H668" s="86"/>
      <c r="I668" s="87"/>
      <c r="J668" s="85"/>
      <c r="K668" s="85"/>
      <c r="M668" s="81"/>
      <c r="O668" s="85"/>
      <c r="P668" s="85"/>
      <c r="Q668" s="81"/>
    </row>
    <row r="669" spans="3:17" x14ac:dyDescent="0.3">
      <c r="C669" s="81"/>
      <c r="F669" s="85"/>
      <c r="G669" s="86"/>
      <c r="H669" s="86"/>
      <c r="I669" s="87"/>
      <c r="J669" s="85"/>
      <c r="K669" s="85"/>
      <c r="M669" s="81"/>
      <c r="O669" s="85"/>
      <c r="P669" s="85"/>
      <c r="Q669" s="81"/>
    </row>
    <row r="670" spans="3:17" x14ac:dyDescent="0.3">
      <c r="C670" s="81"/>
      <c r="F670" s="85"/>
      <c r="G670" s="86"/>
      <c r="H670" s="86"/>
      <c r="I670" s="87"/>
      <c r="J670" s="85"/>
      <c r="K670" s="85"/>
      <c r="M670" s="81"/>
      <c r="O670" s="85"/>
      <c r="P670" s="85"/>
      <c r="Q670" s="81"/>
    </row>
    <row r="671" spans="3:17" x14ac:dyDescent="0.3">
      <c r="C671" s="81"/>
      <c r="F671" s="85"/>
      <c r="G671" s="86"/>
      <c r="H671" s="86"/>
      <c r="I671" s="87"/>
      <c r="J671" s="85"/>
      <c r="K671" s="85"/>
      <c r="M671" s="81"/>
      <c r="O671" s="85"/>
      <c r="P671" s="85"/>
      <c r="Q671" s="81"/>
    </row>
    <row r="672" spans="3:17" x14ac:dyDescent="0.3">
      <c r="C672" s="81"/>
      <c r="F672" s="85"/>
      <c r="G672" s="86"/>
      <c r="H672" s="86"/>
      <c r="I672" s="87"/>
      <c r="J672" s="85"/>
      <c r="K672" s="85"/>
      <c r="M672" s="81"/>
      <c r="O672" s="85"/>
      <c r="P672" s="85"/>
      <c r="Q672" s="81"/>
    </row>
    <row r="673" spans="3:17" x14ac:dyDescent="0.3">
      <c r="C673" s="81"/>
      <c r="F673" s="85"/>
      <c r="G673" s="86"/>
      <c r="H673" s="86"/>
      <c r="I673" s="87"/>
      <c r="J673" s="85"/>
      <c r="K673" s="85"/>
      <c r="M673" s="81"/>
      <c r="O673" s="85"/>
      <c r="P673" s="85"/>
      <c r="Q673" s="81"/>
    </row>
    <row r="674" spans="3:17" x14ac:dyDescent="0.3">
      <c r="C674" s="81"/>
      <c r="F674" s="85"/>
      <c r="G674" s="86"/>
      <c r="H674" s="86"/>
      <c r="I674" s="87"/>
      <c r="J674" s="85"/>
      <c r="K674" s="85"/>
      <c r="M674" s="81"/>
      <c r="O674" s="85"/>
      <c r="P674" s="85"/>
      <c r="Q674" s="81"/>
    </row>
    <row r="675" spans="3:17" x14ac:dyDescent="0.3">
      <c r="C675" s="81"/>
      <c r="F675" s="85"/>
      <c r="G675" s="86"/>
      <c r="H675" s="86"/>
      <c r="I675" s="87"/>
      <c r="J675" s="85"/>
      <c r="K675" s="85"/>
      <c r="M675" s="81"/>
      <c r="O675" s="85"/>
      <c r="P675" s="85"/>
      <c r="Q675" s="81"/>
    </row>
    <row r="676" spans="3:17" x14ac:dyDescent="0.3">
      <c r="C676" s="81"/>
      <c r="F676" s="85"/>
      <c r="G676" s="86"/>
      <c r="H676" s="86"/>
      <c r="I676" s="87"/>
      <c r="J676" s="85"/>
      <c r="K676" s="85"/>
      <c r="M676" s="81"/>
      <c r="O676" s="85"/>
      <c r="P676" s="85"/>
      <c r="Q676" s="81"/>
    </row>
    <row r="677" spans="3:17" x14ac:dyDescent="0.3">
      <c r="C677" s="81"/>
      <c r="F677" s="85"/>
      <c r="G677" s="86"/>
      <c r="H677" s="86"/>
      <c r="I677" s="87"/>
      <c r="J677" s="85"/>
      <c r="K677" s="85"/>
      <c r="M677" s="81"/>
      <c r="O677" s="85"/>
      <c r="P677" s="85"/>
      <c r="Q677" s="81"/>
    </row>
    <row r="678" spans="3:17" x14ac:dyDescent="0.3">
      <c r="C678" s="81"/>
      <c r="F678" s="85"/>
      <c r="G678" s="86"/>
      <c r="H678" s="86"/>
      <c r="I678" s="87"/>
      <c r="J678" s="85"/>
      <c r="K678" s="85"/>
      <c r="M678" s="81"/>
      <c r="O678" s="85"/>
      <c r="P678" s="85"/>
      <c r="Q678" s="81"/>
    </row>
    <row r="679" spans="3:17" x14ac:dyDescent="0.3">
      <c r="C679" s="81"/>
      <c r="F679" s="85"/>
      <c r="G679" s="86"/>
      <c r="H679" s="86"/>
      <c r="I679" s="87"/>
      <c r="J679" s="85"/>
      <c r="K679" s="85"/>
      <c r="M679" s="81"/>
      <c r="O679" s="85"/>
      <c r="P679" s="85"/>
      <c r="Q679" s="81"/>
    </row>
    <row r="680" spans="3:17" x14ac:dyDescent="0.3">
      <c r="C680" s="81"/>
      <c r="F680" s="85"/>
      <c r="G680" s="86"/>
      <c r="H680" s="86"/>
      <c r="I680" s="87"/>
      <c r="J680" s="85"/>
      <c r="K680" s="85"/>
      <c r="M680" s="81"/>
      <c r="O680" s="85"/>
      <c r="P680" s="85"/>
      <c r="Q680" s="81"/>
    </row>
    <row r="681" spans="3:17" x14ac:dyDescent="0.3">
      <c r="C681" s="81"/>
      <c r="F681" s="85"/>
      <c r="G681" s="86"/>
      <c r="H681" s="86"/>
      <c r="I681" s="87"/>
      <c r="J681" s="85"/>
      <c r="K681" s="85"/>
      <c r="M681" s="81"/>
      <c r="O681" s="85"/>
      <c r="P681" s="85"/>
      <c r="Q681" s="81"/>
    </row>
    <row r="682" spans="3:17" x14ac:dyDescent="0.3">
      <c r="C682" s="81"/>
      <c r="F682" s="85"/>
      <c r="G682" s="86"/>
      <c r="H682" s="86"/>
      <c r="I682" s="87"/>
      <c r="J682" s="85"/>
      <c r="K682" s="85"/>
      <c r="M682" s="81"/>
      <c r="O682" s="85"/>
      <c r="P682" s="85"/>
      <c r="Q682" s="81"/>
    </row>
    <row r="683" spans="3:17" x14ac:dyDescent="0.3">
      <c r="C683" s="81"/>
      <c r="F683" s="85"/>
      <c r="G683" s="86"/>
      <c r="H683" s="86"/>
      <c r="I683" s="87"/>
      <c r="J683" s="85"/>
      <c r="K683" s="85"/>
      <c r="M683" s="81"/>
      <c r="O683" s="85"/>
      <c r="P683" s="85"/>
      <c r="Q683" s="81"/>
    </row>
    <row r="684" spans="3:17" x14ac:dyDescent="0.3">
      <c r="C684" s="81"/>
      <c r="F684" s="85"/>
      <c r="G684" s="86"/>
      <c r="H684" s="86"/>
      <c r="I684" s="87"/>
      <c r="J684" s="85"/>
      <c r="K684" s="85"/>
      <c r="M684" s="81"/>
      <c r="O684" s="85"/>
      <c r="P684" s="85"/>
      <c r="Q684" s="81"/>
    </row>
    <row r="685" spans="3:17" x14ac:dyDescent="0.3">
      <c r="C685" s="81"/>
      <c r="F685" s="85"/>
      <c r="G685" s="86"/>
      <c r="H685" s="86"/>
      <c r="I685" s="87"/>
      <c r="J685" s="85"/>
      <c r="K685" s="85"/>
      <c r="M685" s="81"/>
      <c r="O685" s="85"/>
      <c r="P685" s="85"/>
      <c r="Q685" s="81"/>
    </row>
    <row r="686" spans="3:17" x14ac:dyDescent="0.3">
      <c r="C686" s="81"/>
      <c r="F686" s="85"/>
      <c r="G686" s="86"/>
      <c r="H686" s="86"/>
      <c r="I686" s="87"/>
      <c r="J686" s="85"/>
      <c r="K686" s="85"/>
      <c r="M686" s="81"/>
      <c r="O686" s="85"/>
      <c r="P686" s="85"/>
      <c r="Q686" s="81"/>
    </row>
    <row r="687" spans="3:17" x14ac:dyDescent="0.3">
      <c r="C687" s="81"/>
      <c r="F687" s="85"/>
      <c r="G687" s="86"/>
      <c r="H687" s="86"/>
      <c r="I687" s="87"/>
      <c r="J687" s="85"/>
      <c r="K687" s="85"/>
      <c r="M687" s="81"/>
      <c r="O687" s="85"/>
      <c r="P687" s="85"/>
      <c r="Q687" s="81"/>
    </row>
    <row r="688" spans="3:17" x14ac:dyDescent="0.3">
      <c r="C688" s="81"/>
      <c r="F688" s="85"/>
      <c r="G688" s="86"/>
      <c r="H688" s="86"/>
      <c r="I688" s="87"/>
      <c r="J688" s="85"/>
      <c r="K688" s="85"/>
      <c r="M688" s="81"/>
      <c r="O688" s="85"/>
      <c r="P688" s="85"/>
      <c r="Q688" s="81"/>
    </row>
    <row r="689" spans="3:17" x14ac:dyDescent="0.3">
      <c r="C689" s="81"/>
      <c r="F689" s="85"/>
      <c r="G689" s="86"/>
      <c r="H689" s="86"/>
      <c r="I689" s="87"/>
      <c r="J689" s="85"/>
      <c r="K689" s="85"/>
      <c r="M689" s="81"/>
      <c r="O689" s="85"/>
      <c r="P689" s="85"/>
      <c r="Q689" s="81"/>
    </row>
    <row r="690" spans="3:17" x14ac:dyDescent="0.3">
      <c r="C690" s="81"/>
      <c r="F690" s="85"/>
      <c r="G690" s="86"/>
      <c r="H690" s="86"/>
      <c r="I690" s="87"/>
      <c r="J690" s="85"/>
      <c r="K690" s="85"/>
      <c r="M690" s="81"/>
      <c r="O690" s="85"/>
      <c r="P690" s="85"/>
      <c r="Q690" s="81"/>
    </row>
    <row r="691" spans="3:17" x14ac:dyDescent="0.3">
      <c r="C691" s="81"/>
      <c r="F691" s="85"/>
      <c r="G691" s="86"/>
      <c r="H691" s="86"/>
      <c r="I691" s="87"/>
      <c r="J691" s="85"/>
      <c r="K691" s="85"/>
      <c r="M691" s="81"/>
      <c r="O691" s="85"/>
      <c r="P691" s="85"/>
      <c r="Q691" s="81"/>
    </row>
    <row r="692" spans="3:17" x14ac:dyDescent="0.3">
      <c r="C692" s="81"/>
      <c r="F692" s="85"/>
      <c r="G692" s="86"/>
      <c r="H692" s="86"/>
      <c r="I692" s="87"/>
      <c r="J692" s="85"/>
      <c r="K692" s="85"/>
      <c r="M692" s="81"/>
      <c r="O692" s="85"/>
      <c r="P692" s="85"/>
      <c r="Q692" s="81"/>
    </row>
    <row r="693" spans="3:17" x14ac:dyDescent="0.3">
      <c r="C693" s="81"/>
      <c r="F693" s="85"/>
      <c r="G693" s="86"/>
      <c r="H693" s="86"/>
      <c r="I693" s="87"/>
      <c r="J693" s="85"/>
      <c r="K693" s="85"/>
      <c r="M693" s="81"/>
      <c r="O693" s="85"/>
      <c r="P693" s="85"/>
      <c r="Q693" s="81"/>
    </row>
    <row r="694" spans="3:17" x14ac:dyDescent="0.3">
      <c r="C694" s="81"/>
      <c r="F694" s="85"/>
      <c r="G694" s="86"/>
      <c r="H694" s="86"/>
      <c r="I694" s="87"/>
      <c r="J694" s="85"/>
      <c r="K694" s="85"/>
      <c r="M694" s="81"/>
      <c r="O694" s="85"/>
      <c r="P694" s="85"/>
      <c r="Q694" s="81"/>
    </row>
    <row r="695" spans="3:17" x14ac:dyDescent="0.3">
      <c r="C695" s="81"/>
      <c r="F695" s="85"/>
      <c r="G695" s="86"/>
      <c r="H695" s="86"/>
      <c r="I695" s="87"/>
      <c r="J695" s="85"/>
      <c r="K695" s="85"/>
      <c r="M695" s="81"/>
      <c r="O695" s="85"/>
      <c r="P695" s="85"/>
      <c r="Q695" s="81"/>
    </row>
    <row r="696" spans="3:17" x14ac:dyDescent="0.3">
      <c r="C696" s="81"/>
      <c r="F696" s="85"/>
      <c r="G696" s="86"/>
      <c r="H696" s="86"/>
      <c r="I696" s="87"/>
      <c r="J696" s="85"/>
      <c r="K696" s="85"/>
      <c r="M696" s="81"/>
      <c r="O696" s="85"/>
      <c r="P696" s="85"/>
      <c r="Q696" s="81"/>
    </row>
    <row r="697" spans="3:17" x14ac:dyDescent="0.3">
      <c r="C697" s="81"/>
      <c r="F697" s="85"/>
      <c r="G697" s="86"/>
      <c r="H697" s="86"/>
      <c r="I697" s="87"/>
      <c r="J697" s="85"/>
      <c r="K697" s="85"/>
      <c r="M697" s="81"/>
      <c r="O697" s="85"/>
      <c r="P697" s="85"/>
      <c r="Q697" s="81"/>
    </row>
    <row r="698" spans="3:17" x14ac:dyDescent="0.3">
      <c r="C698" s="81"/>
      <c r="F698" s="85"/>
      <c r="G698" s="86"/>
      <c r="H698" s="86"/>
      <c r="I698" s="87"/>
      <c r="J698" s="85"/>
      <c r="K698" s="85"/>
      <c r="M698" s="81"/>
      <c r="O698" s="85"/>
      <c r="P698" s="85"/>
      <c r="Q698" s="81"/>
    </row>
    <row r="699" spans="3:17" x14ac:dyDescent="0.3">
      <c r="C699" s="81"/>
      <c r="F699" s="85"/>
      <c r="G699" s="86"/>
      <c r="H699" s="86"/>
      <c r="I699" s="87"/>
      <c r="J699" s="85"/>
      <c r="K699" s="85"/>
      <c r="M699" s="81"/>
      <c r="O699" s="85"/>
      <c r="P699" s="85"/>
      <c r="Q699" s="81"/>
    </row>
    <row r="700" spans="3:17" x14ac:dyDescent="0.3">
      <c r="C700" s="81"/>
      <c r="F700" s="85"/>
      <c r="G700" s="86"/>
      <c r="H700" s="86"/>
      <c r="I700" s="87"/>
      <c r="J700" s="85"/>
      <c r="K700" s="85"/>
      <c r="M700" s="81"/>
      <c r="O700" s="85"/>
      <c r="P700" s="85"/>
      <c r="Q700" s="81"/>
    </row>
    <row r="701" spans="3:17" x14ac:dyDescent="0.3">
      <c r="C701" s="81"/>
      <c r="F701" s="85"/>
      <c r="G701" s="86"/>
      <c r="H701" s="86"/>
      <c r="I701" s="87"/>
      <c r="J701" s="85"/>
      <c r="K701" s="85"/>
      <c r="M701" s="81"/>
      <c r="O701" s="85"/>
      <c r="P701" s="85"/>
      <c r="Q701" s="81"/>
    </row>
    <row r="702" spans="3:17" x14ac:dyDescent="0.3">
      <c r="C702" s="81"/>
      <c r="F702" s="85"/>
      <c r="G702" s="86"/>
      <c r="H702" s="86"/>
      <c r="I702" s="87"/>
      <c r="J702" s="85"/>
      <c r="K702" s="85"/>
      <c r="M702" s="81"/>
      <c r="O702" s="85"/>
      <c r="P702" s="85"/>
      <c r="Q702" s="81"/>
    </row>
    <row r="703" spans="3:17" x14ac:dyDescent="0.3">
      <c r="C703" s="81"/>
      <c r="F703" s="85"/>
      <c r="G703" s="86"/>
      <c r="H703" s="86"/>
      <c r="I703" s="87"/>
      <c r="J703" s="85"/>
      <c r="K703" s="85"/>
      <c r="M703" s="81"/>
      <c r="O703" s="85"/>
      <c r="P703" s="85"/>
      <c r="Q703" s="81"/>
    </row>
    <row r="704" spans="3:17" x14ac:dyDescent="0.3">
      <c r="C704" s="81"/>
      <c r="F704" s="85"/>
      <c r="G704" s="86"/>
      <c r="H704" s="86"/>
      <c r="I704" s="87"/>
      <c r="J704" s="85"/>
      <c r="K704" s="85"/>
      <c r="M704" s="81"/>
      <c r="O704" s="85"/>
      <c r="P704" s="85"/>
      <c r="Q704" s="81"/>
    </row>
    <row r="705" spans="3:17" x14ac:dyDescent="0.3">
      <c r="C705" s="81"/>
      <c r="F705" s="85"/>
      <c r="G705" s="86"/>
      <c r="H705" s="86"/>
      <c r="I705" s="87"/>
      <c r="J705" s="85"/>
      <c r="K705" s="85"/>
      <c r="M705" s="81"/>
      <c r="O705" s="85"/>
      <c r="P705" s="85"/>
      <c r="Q705" s="81"/>
    </row>
    <row r="706" spans="3:17" x14ac:dyDescent="0.3">
      <c r="C706" s="81"/>
      <c r="F706" s="85"/>
      <c r="G706" s="86"/>
      <c r="H706" s="86"/>
      <c r="I706" s="87"/>
      <c r="J706" s="85"/>
      <c r="K706" s="85"/>
      <c r="M706" s="81"/>
      <c r="O706" s="85"/>
      <c r="P706" s="85"/>
      <c r="Q706" s="81"/>
    </row>
    <row r="707" spans="3:17" x14ac:dyDescent="0.3">
      <c r="C707" s="81"/>
      <c r="F707" s="85"/>
      <c r="G707" s="86"/>
      <c r="H707" s="86"/>
      <c r="I707" s="87"/>
      <c r="J707" s="85"/>
      <c r="K707" s="85"/>
      <c r="M707" s="81"/>
      <c r="O707" s="85"/>
      <c r="P707" s="85"/>
      <c r="Q707" s="81"/>
    </row>
    <row r="708" spans="3:17" x14ac:dyDescent="0.3">
      <c r="C708" s="81"/>
      <c r="F708" s="85"/>
      <c r="G708" s="86"/>
      <c r="H708" s="86"/>
      <c r="I708" s="87"/>
      <c r="J708" s="85"/>
      <c r="K708" s="85"/>
      <c r="M708" s="81"/>
      <c r="O708" s="85"/>
      <c r="P708" s="85"/>
      <c r="Q708" s="81"/>
    </row>
    <row r="709" spans="3:17" x14ac:dyDescent="0.3">
      <c r="C709" s="81"/>
      <c r="F709" s="85"/>
      <c r="G709" s="86"/>
      <c r="H709" s="86"/>
      <c r="I709" s="87"/>
      <c r="J709" s="85"/>
      <c r="K709" s="85"/>
      <c r="M709" s="81"/>
      <c r="O709" s="85"/>
      <c r="P709" s="85"/>
      <c r="Q709" s="81"/>
    </row>
    <row r="710" spans="3:17" x14ac:dyDescent="0.3">
      <c r="C710" s="81"/>
      <c r="F710" s="85"/>
      <c r="G710" s="86"/>
      <c r="H710" s="86"/>
      <c r="I710" s="87"/>
      <c r="J710" s="85"/>
      <c r="K710" s="85"/>
      <c r="M710" s="81"/>
      <c r="O710" s="85"/>
      <c r="P710" s="85"/>
      <c r="Q710" s="81"/>
    </row>
    <row r="711" spans="3:17" x14ac:dyDescent="0.3">
      <c r="C711" s="81"/>
      <c r="F711" s="85"/>
      <c r="G711" s="86"/>
      <c r="H711" s="86"/>
      <c r="I711" s="87"/>
      <c r="J711" s="85"/>
      <c r="K711" s="85"/>
      <c r="M711" s="81"/>
      <c r="O711" s="85"/>
      <c r="P711" s="85"/>
      <c r="Q711" s="81"/>
    </row>
    <row r="712" spans="3:17" x14ac:dyDescent="0.3">
      <c r="C712" s="81"/>
      <c r="F712" s="85"/>
      <c r="G712" s="86"/>
      <c r="H712" s="86"/>
      <c r="I712" s="87"/>
      <c r="J712" s="85"/>
      <c r="K712" s="85"/>
      <c r="M712" s="81"/>
      <c r="O712" s="85"/>
      <c r="P712" s="85"/>
      <c r="Q712" s="81"/>
    </row>
    <row r="713" spans="3:17" x14ac:dyDescent="0.3">
      <c r="C713" s="81"/>
      <c r="F713" s="85"/>
      <c r="G713" s="86"/>
      <c r="H713" s="86"/>
      <c r="I713" s="87"/>
      <c r="J713" s="85"/>
      <c r="K713" s="85"/>
      <c r="M713" s="81"/>
      <c r="O713" s="85"/>
      <c r="P713" s="85"/>
      <c r="Q713" s="81"/>
    </row>
    <row r="714" spans="3:17" x14ac:dyDescent="0.3">
      <c r="C714" s="81"/>
      <c r="F714" s="85"/>
      <c r="G714" s="86"/>
      <c r="H714" s="86"/>
      <c r="I714" s="87"/>
      <c r="J714" s="85"/>
      <c r="K714" s="85"/>
      <c r="M714" s="81"/>
      <c r="O714" s="85"/>
      <c r="P714" s="85"/>
      <c r="Q714" s="81"/>
    </row>
    <row r="715" spans="3:17" x14ac:dyDescent="0.3">
      <c r="C715" s="81"/>
      <c r="F715" s="85"/>
      <c r="G715" s="86"/>
      <c r="H715" s="86"/>
      <c r="I715" s="87"/>
      <c r="J715" s="85"/>
      <c r="K715" s="85"/>
      <c r="M715" s="81"/>
      <c r="O715" s="85"/>
      <c r="P715" s="85"/>
      <c r="Q715" s="81"/>
    </row>
    <row r="716" spans="3:17" x14ac:dyDescent="0.3">
      <c r="C716" s="81"/>
      <c r="F716" s="85"/>
      <c r="G716" s="86"/>
      <c r="H716" s="86"/>
      <c r="I716" s="87"/>
      <c r="J716" s="85"/>
      <c r="K716" s="85"/>
      <c r="M716" s="81"/>
      <c r="O716" s="85"/>
      <c r="P716" s="85"/>
      <c r="Q716" s="81"/>
    </row>
    <row r="717" spans="3:17" x14ac:dyDescent="0.3">
      <c r="C717" s="81"/>
      <c r="F717" s="85"/>
      <c r="G717" s="86"/>
      <c r="H717" s="86"/>
      <c r="I717" s="87"/>
      <c r="J717" s="85"/>
      <c r="K717" s="85"/>
      <c r="M717" s="81"/>
      <c r="O717" s="85"/>
      <c r="P717" s="85"/>
      <c r="Q717" s="81"/>
    </row>
    <row r="718" spans="3:17" x14ac:dyDescent="0.3">
      <c r="C718" s="81"/>
      <c r="F718" s="85"/>
      <c r="G718" s="86"/>
      <c r="H718" s="86"/>
      <c r="I718" s="87"/>
      <c r="J718" s="85"/>
      <c r="K718" s="85"/>
      <c r="M718" s="81"/>
      <c r="O718" s="85"/>
      <c r="P718" s="85"/>
      <c r="Q718" s="81"/>
    </row>
    <row r="719" spans="3:17" x14ac:dyDescent="0.3">
      <c r="C719" s="81"/>
      <c r="F719" s="85"/>
      <c r="G719" s="86"/>
      <c r="H719" s="86"/>
      <c r="I719" s="87"/>
      <c r="J719" s="85"/>
      <c r="K719" s="85"/>
      <c r="M719" s="81"/>
      <c r="O719" s="85"/>
      <c r="P719" s="85"/>
      <c r="Q719" s="81"/>
    </row>
    <row r="720" spans="3:17" x14ac:dyDescent="0.3">
      <c r="C720" s="81"/>
      <c r="F720" s="85"/>
      <c r="G720" s="86"/>
      <c r="H720" s="86"/>
      <c r="I720" s="87"/>
      <c r="J720" s="85"/>
      <c r="K720" s="85"/>
      <c r="M720" s="81"/>
      <c r="O720" s="85"/>
      <c r="P720" s="85"/>
      <c r="Q720" s="81"/>
    </row>
    <row r="721" spans="3:17" x14ac:dyDescent="0.3">
      <c r="C721" s="81"/>
      <c r="F721" s="85"/>
      <c r="G721" s="86"/>
      <c r="H721" s="86"/>
      <c r="I721" s="87"/>
      <c r="J721" s="85"/>
      <c r="K721" s="85"/>
      <c r="M721" s="81"/>
      <c r="O721" s="85"/>
      <c r="P721" s="85"/>
      <c r="Q721" s="81"/>
    </row>
    <row r="722" spans="3:17" x14ac:dyDescent="0.3">
      <c r="C722" s="81"/>
      <c r="F722" s="85"/>
      <c r="G722" s="86"/>
      <c r="H722" s="86"/>
      <c r="I722" s="87"/>
      <c r="J722" s="85"/>
      <c r="K722" s="85"/>
      <c r="M722" s="81"/>
      <c r="O722" s="85"/>
      <c r="P722" s="85"/>
      <c r="Q722" s="81"/>
    </row>
    <row r="723" spans="3:17" x14ac:dyDescent="0.3">
      <c r="C723" s="81"/>
      <c r="F723" s="85"/>
      <c r="G723" s="86"/>
      <c r="H723" s="86"/>
      <c r="I723" s="87"/>
      <c r="J723" s="85"/>
      <c r="K723" s="85"/>
      <c r="M723" s="81"/>
      <c r="O723" s="85"/>
      <c r="P723" s="85"/>
      <c r="Q723" s="81"/>
    </row>
    <row r="724" spans="3:17" x14ac:dyDescent="0.3">
      <c r="C724" s="81"/>
      <c r="F724" s="85"/>
      <c r="G724" s="86"/>
      <c r="H724" s="86"/>
      <c r="I724" s="87"/>
      <c r="J724" s="85"/>
      <c r="K724" s="85"/>
      <c r="M724" s="81"/>
      <c r="O724" s="85"/>
      <c r="P724" s="85"/>
      <c r="Q724" s="81"/>
    </row>
    <row r="725" spans="3:17" x14ac:dyDescent="0.3">
      <c r="C725" s="81"/>
      <c r="F725" s="85"/>
      <c r="G725" s="86"/>
      <c r="H725" s="86"/>
      <c r="I725" s="87"/>
      <c r="J725" s="85"/>
      <c r="K725" s="85"/>
      <c r="M725" s="81"/>
      <c r="O725" s="85"/>
      <c r="P725" s="85"/>
      <c r="Q725" s="81"/>
    </row>
    <row r="726" spans="3:17" x14ac:dyDescent="0.3">
      <c r="C726" s="81"/>
      <c r="F726" s="85"/>
      <c r="G726" s="86"/>
      <c r="H726" s="86"/>
      <c r="I726" s="87"/>
      <c r="J726" s="85"/>
      <c r="K726" s="85"/>
      <c r="M726" s="81"/>
      <c r="O726" s="85"/>
      <c r="P726" s="85"/>
      <c r="Q726" s="81"/>
    </row>
    <row r="727" spans="3:17" x14ac:dyDescent="0.3">
      <c r="C727" s="81"/>
      <c r="F727" s="85"/>
      <c r="G727" s="86"/>
      <c r="H727" s="86"/>
      <c r="I727" s="87"/>
      <c r="J727" s="85"/>
      <c r="K727" s="85"/>
      <c r="M727" s="81"/>
      <c r="O727" s="85"/>
      <c r="P727" s="85"/>
      <c r="Q727" s="81"/>
    </row>
    <row r="728" spans="3:17" x14ac:dyDescent="0.3">
      <c r="C728" s="81"/>
      <c r="F728" s="85"/>
      <c r="G728" s="86"/>
      <c r="H728" s="86"/>
      <c r="I728" s="87"/>
      <c r="J728" s="85"/>
      <c r="K728" s="85"/>
      <c r="M728" s="81"/>
      <c r="O728" s="85"/>
      <c r="P728" s="85"/>
      <c r="Q728" s="81"/>
    </row>
    <row r="729" spans="3:17" x14ac:dyDescent="0.3">
      <c r="C729" s="81"/>
      <c r="F729" s="85"/>
      <c r="G729" s="86"/>
      <c r="H729" s="86"/>
      <c r="I729" s="87"/>
      <c r="J729" s="85"/>
      <c r="K729" s="85"/>
      <c r="M729" s="81"/>
      <c r="O729" s="85"/>
      <c r="P729" s="85"/>
      <c r="Q729" s="81"/>
    </row>
    <row r="730" spans="3:17" x14ac:dyDescent="0.3">
      <c r="C730" s="81"/>
      <c r="F730" s="85"/>
      <c r="G730" s="86"/>
      <c r="H730" s="86"/>
      <c r="I730" s="87"/>
      <c r="J730" s="85"/>
      <c r="K730" s="85"/>
      <c r="M730" s="81"/>
      <c r="O730" s="85"/>
      <c r="P730" s="85"/>
      <c r="Q730" s="81"/>
    </row>
    <row r="731" spans="3:17" x14ac:dyDescent="0.3">
      <c r="C731" s="81"/>
      <c r="F731" s="85"/>
      <c r="G731" s="86"/>
      <c r="H731" s="86"/>
      <c r="I731" s="87"/>
      <c r="J731" s="85"/>
      <c r="K731" s="85"/>
      <c r="M731" s="81"/>
      <c r="O731" s="85"/>
      <c r="P731" s="85"/>
      <c r="Q731" s="81"/>
    </row>
    <row r="732" spans="3:17" x14ac:dyDescent="0.3">
      <c r="C732" s="81"/>
      <c r="F732" s="85"/>
      <c r="G732" s="86"/>
      <c r="H732" s="86"/>
      <c r="I732" s="87"/>
      <c r="J732" s="85"/>
      <c r="K732" s="85"/>
      <c r="M732" s="81"/>
      <c r="O732" s="85"/>
      <c r="P732" s="85"/>
      <c r="Q732" s="81"/>
    </row>
    <row r="733" spans="3:17" x14ac:dyDescent="0.3">
      <c r="C733" s="81"/>
      <c r="F733" s="85"/>
      <c r="G733" s="86"/>
      <c r="H733" s="86"/>
      <c r="I733" s="87"/>
      <c r="J733" s="85"/>
      <c r="K733" s="85"/>
      <c r="M733" s="81"/>
      <c r="O733" s="85"/>
      <c r="P733" s="85"/>
      <c r="Q733" s="81"/>
    </row>
    <row r="734" spans="3:17" x14ac:dyDescent="0.3">
      <c r="C734" s="81"/>
      <c r="F734" s="85"/>
      <c r="G734" s="86"/>
      <c r="H734" s="86"/>
      <c r="I734" s="87"/>
      <c r="J734" s="85"/>
      <c r="K734" s="85"/>
      <c r="M734" s="81"/>
      <c r="O734" s="85"/>
      <c r="P734" s="85"/>
      <c r="Q734" s="81"/>
    </row>
    <row r="735" spans="3:17" x14ac:dyDescent="0.3">
      <c r="C735" s="81"/>
      <c r="F735" s="85"/>
      <c r="G735" s="86"/>
      <c r="H735" s="86"/>
      <c r="I735" s="87"/>
      <c r="J735" s="85"/>
      <c r="K735" s="85"/>
      <c r="M735" s="81"/>
      <c r="O735" s="85"/>
      <c r="P735" s="85"/>
      <c r="Q735" s="81"/>
    </row>
    <row r="736" spans="3:17" x14ac:dyDescent="0.3">
      <c r="C736" s="81"/>
      <c r="F736" s="85"/>
      <c r="G736" s="86"/>
      <c r="H736" s="86"/>
      <c r="I736" s="87"/>
      <c r="J736" s="85"/>
      <c r="K736" s="85"/>
      <c r="M736" s="81"/>
      <c r="O736" s="85"/>
      <c r="P736" s="85"/>
      <c r="Q736" s="81"/>
    </row>
    <row r="737" spans="3:17" x14ac:dyDescent="0.3">
      <c r="C737" s="81"/>
      <c r="F737" s="85"/>
      <c r="G737" s="86"/>
      <c r="H737" s="86"/>
      <c r="I737" s="87"/>
      <c r="J737" s="85"/>
      <c r="K737" s="85"/>
      <c r="M737" s="81"/>
      <c r="O737" s="85"/>
      <c r="P737" s="85"/>
      <c r="Q737" s="81"/>
    </row>
    <row r="738" spans="3:17" x14ac:dyDescent="0.3">
      <c r="C738" s="81"/>
      <c r="F738" s="85"/>
      <c r="G738" s="86"/>
      <c r="H738" s="86"/>
      <c r="I738" s="87"/>
      <c r="J738" s="85"/>
      <c r="K738" s="85"/>
      <c r="M738" s="81"/>
      <c r="O738" s="85"/>
      <c r="P738" s="85"/>
      <c r="Q738" s="81"/>
    </row>
    <row r="739" spans="3:17" x14ac:dyDescent="0.3">
      <c r="C739" s="81"/>
      <c r="F739" s="85"/>
      <c r="G739" s="86"/>
      <c r="H739" s="86"/>
      <c r="I739" s="87"/>
      <c r="J739" s="85"/>
      <c r="K739" s="85"/>
      <c r="M739" s="81"/>
      <c r="O739" s="85"/>
      <c r="P739" s="85"/>
      <c r="Q739" s="81"/>
    </row>
    <row r="740" spans="3:17" x14ac:dyDescent="0.3">
      <c r="C740" s="81"/>
      <c r="F740" s="85"/>
      <c r="G740" s="86"/>
      <c r="H740" s="86"/>
      <c r="I740" s="87"/>
      <c r="J740" s="85"/>
      <c r="K740" s="85"/>
      <c r="M740" s="81"/>
      <c r="O740" s="85"/>
      <c r="P740" s="85"/>
      <c r="Q740" s="81"/>
    </row>
    <row r="741" spans="3:17" x14ac:dyDescent="0.3">
      <c r="C741" s="81"/>
      <c r="F741" s="85"/>
      <c r="G741" s="86"/>
      <c r="H741" s="86"/>
      <c r="I741" s="87"/>
      <c r="J741" s="85"/>
      <c r="K741" s="85"/>
      <c r="M741" s="81"/>
      <c r="O741" s="85"/>
      <c r="P741" s="85"/>
      <c r="Q741" s="81"/>
    </row>
    <row r="742" spans="3:17" x14ac:dyDescent="0.3">
      <c r="C742" s="81"/>
      <c r="F742" s="85"/>
      <c r="G742" s="86"/>
      <c r="H742" s="86"/>
      <c r="I742" s="87"/>
      <c r="J742" s="85"/>
      <c r="K742" s="85"/>
      <c r="M742" s="81"/>
      <c r="O742" s="85"/>
      <c r="P742" s="85"/>
      <c r="Q742" s="81"/>
    </row>
    <row r="743" spans="3:17" x14ac:dyDescent="0.3">
      <c r="C743" s="81"/>
      <c r="F743" s="85"/>
      <c r="G743" s="86"/>
      <c r="H743" s="86"/>
      <c r="I743" s="87"/>
      <c r="J743" s="85"/>
      <c r="K743" s="85"/>
      <c r="M743" s="81"/>
      <c r="O743" s="85"/>
      <c r="P743" s="85"/>
      <c r="Q743" s="81"/>
    </row>
    <row r="744" spans="3:17" x14ac:dyDescent="0.3">
      <c r="C744" s="81"/>
      <c r="F744" s="85"/>
      <c r="G744" s="86"/>
      <c r="H744" s="86"/>
      <c r="I744" s="87"/>
      <c r="J744" s="85"/>
      <c r="K744" s="85"/>
      <c r="M744" s="81"/>
      <c r="O744" s="85"/>
      <c r="P744" s="85"/>
      <c r="Q744" s="81"/>
    </row>
    <row r="745" spans="3:17" x14ac:dyDescent="0.3">
      <c r="C745" s="81"/>
      <c r="F745" s="85"/>
      <c r="G745" s="86"/>
      <c r="H745" s="86"/>
      <c r="I745" s="87"/>
      <c r="J745" s="85"/>
      <c r="K745" s="85"/>
      <c r="M745" s="81"/>
      <c r="O745" s="85"/>
      <c r="P745" s="85"/>
      <c r="Q745" s="81"/>
    </row>
    <row r="746" spans="3:17" x14ac:dyDescent="0.3">
      <c r="C746" s="81"/>
      <c r="F746" s="85"/>
      <c r="G746" s="86"/>
      <c r="H746" s="86"/>
      <c r="I746" s="87"/>
      <c r="J746" s="85"/>
      <c r="K746" s="85"/>
      <c r="M746" s="81"/>
      <c r="O746" s="85"/>
      <c r="P746" s="85"/>
      <c r="Q746" s="81"/>
    </row>
    <row r="747" spans="3:17" x14ac:dyDescent="0.3">
      <c r="C747" s="81"/>
      <c r="F747" s="85"/>
      <c r="G747" s="86"/>
      <c r="H747" s="86"/>
      <c r="I747" s="87"/>
      <c r="J747" s="85"/>
      <c r="K747" s="85"/>
      <c r="M747" s="81"/>
      <c r="O747" s="85"/>
      <c r="P747" s="85"/>
      <c r="Q747" s="81"/>
    </row>
    <row r="748" spans="3:17" x14ac:dyDescent="0.3">
      <c r="C748" s="81"/>
      <c r="F748" s="85"/>
      <c r="G748" s="86"/>
      <c r="H748" s="86"/>
      <c r="I748" s="87"/>
      <c r="J748" s="85"/>
      <c r="K748" s="85"/>
      <c r="M748" s="81"/>
      <c r="O748" s="85"/>
      <c r="P748" s="85"/>
      <c r="Q748" s="81"/>
    </row>
    <row r="749" spans="3:17" x14ac:dyDescent="0.3">
      <c r="C749" s="81"/>
      <c r="F749" s="85"/>
      <c r="G749" s="86"/>
      <c r="H749" s="86"/>
      <c r="I749" s="87"/>
      <c r="J749" s="85"/>
      <c r="K749" s="85"/>
      <c r="M749" s="81"/>
      <c r="O749" s="85"/>
      <c r="P749" s="85"/>
      <c r="Q749" s="81"/>
    </row>
    <row r="750" spans="3:17" x14ac:dyDescent="0.3">
      <c r="C750" s="81"/>
      <c r="F750" s="85"/>
      <c r="G750" s="86"/>
      <c r="H750" s="86"/>
      <c r="I750" s="87"/>
      <c r="J750" s="85"/>
      <c r="K750" s="85"/>
      <c r="M750" s="81"/>
      <c r="O750" s="85"/>
      <c r="P750" s="85"/>
      <c r="Q750" s="81"/>
    </row>
    <row r="751" spans="3:17" x14ac:dyDescent="0.3">
      <c r="C751" s="81"/>
      <c r="F751" s="85"/>
      <c r="G751" s="86"/>
      <c r="H751" s="86"/>
      <c r="I751" s="87"/>
      <c r="J751" s="85"/>
      <c r="K751" s="85"/>
      <c r="M751" s="81"/>
      <c r="O751" s="85"/>
      <c r="P751" s="85"/>
      <c r="Q751" s="81"/>
    </row>
    <row r="752" spans="3:17" x14ac:dyDescent="0.3">
      <c r="C752" s="81"/>
      <c r="F752" s="85"/>
      <c r="G752" s="86"/>
      <c r="H752" s="86"/>
      <c r="I752" s="87"/>
      <c r="J752" s="85"/>
      <c r="K752" s="85"/>
      <c r="M752" s="81"/>
      <c r="O752" s="85"/>
      <c r="P752" s="85"/>
      <c r="Q752" s="81"/>
    </row>
    <row r="753" spans="3:17" x14ac:dyDescent="0.3">
      <c r="C753" s="81"/>
      <c r="F753" s="85"/>
      <c r="G753" s="86"/>
      <c r="H753" s="86"/>
      <c r="I753" s="87"/>
      <c r="J753" s="85"/>
      <c r="K753" s="85"/>
      <c r="M753" s="81"/>
      <c r="O753" s="85"/>
      <c r="P753" s="85"/>
      <c r="Q753" s="81"/>
    </row>
    <row r="754" spans="3:17" x14ac:dyDescent="0.3">
      <c r="C754" s="81"/>
      <c r="F754" s="85"/>
      <c r="G754" s="86"/>
      <c r="H754" s="86"/>
      <c r="I754" s="87"/>
      <c r="J754" s="85"/>
      <c r="K754" s="85"/>
      <c r="M754" s="81"/>
      <c r="O754" s="85"/>
      <c r="P754" s="85"/>
      <c r="Q754" s="81"/>
    </row>
    <row r="755" spans="3:17" x14ac:dyDescent="0.3">
      <c r="C755" s="81"/>
      <c r="F755" s="85"/>
      <c r="G755" s="86"/>
      <c r="H755" s="86"/>
      <c r="I755" s="87"/>
      <c r="J755" s="85"/>
      <c r="K755" s="85"/>
      <c r="M755" s="81"/>
      <c r="O755" s="85"/>
      <c r="P755" s="85"/>
      <c r="Q755" s="81"/>
    </row>
    <row r="756" spans="3:17" x14ac:dyDescent="0.3">
      <c r="C756" s="81"/>
      <c r="F756" s="85"/>
      <c r="G756" s="86"/>
      <c r="H756" s="86"/>
      <c r="I756" s="87"/>
      <c r="J756" s="85"/>
      <c r="K756" s="85"/>
      <c r="M756" s="81"/>
      <c r="O756" s="85"/>
      <c r="P756" s="85"/>
      <c r="Q756" s="81"/>
    </row>
    <row r="757" spans="3:17" x14ac:dyDescent="0.3">
      <c r="C757" s="81"/>
      <c r="F757" s="85"/>
      <c r="G757" s="86"/>
      <c r="H757" s="86"/>
      <c r="I757" s="87"/>
      <c r="J757" s="85"/>
      <c r="K757" s="85"/>
      <c r="M757" s="81"/>
      <c r="O757" s="85"/>
      <c r="P757" s="85"/>
      <c r="Q757" s="81"/>
    </row>
    <row r="758" spans="3:17" x14ac:dyDescent="0.3">
      <c r="C758" s="81"/>
      <c r="F758" s="85"/>
      <c r="G758" s="86"/>
      <c r="H758" s="86"/>
      <c r="I758" s="87"/>
      <c r="J758" s="85"/>
      <c r="K758" s="85"/>
      <c r="M758" s="81"/>
      <c r="O758" s="85"/>
      <c r="P758" s="85"/>
      <c r="Q758" s="81"/>
    </row>
    <row r="759" spans="3:17" x14ac:dyDescent="0.3">
      <c r="C759" s="81"/>
      <c r="F759" s="85"/>
      <c r="G759" s="86"/>
      <c r="H759" s="86"/>
      <c r="I759" s="87"/>
      <c r="J759" s="85"/>
      <c r="K759" s="85"/>
      <c r="M759" s="81"/>
      <c r="O759" s="85"/>
      <c r="P759" s="85"/>
      <c r="Q759" s="81"/>
    </row>
    <row r="760" spans="3:17" x14ac:dyDescent="0.3">
      <c r="C760" s="81"/>
      <c r="F760" s="85"/>
      <c r="G760" s="86"/>
      <c r="H760" s="86"/>
      <c r="I760" s="87"/>
      <c r="J760" s="85"/>
      <c r="K760" s="85"/>
      <c r="M760" s="81"/>
      <c r="O760" s="85"/>
      <c r="P760" s="85"/>
      <c r="Q760" s="81"/>
    </row>
    <row r="761" spans="3:17" x14ac:dyDescent="0.3">
      <c r="C761" s="81"/>
      <c r="F761" s="85"/>
      <c r="G761" s="86"/>
      <c r="H761" s="86"/>
      <c r="I761" s="87"/>
      <c r="J761" s="85"/>
      <c r="K761" s="85"/>
      <c r="M761" s="81"/>
      <c r="O761" s="85"/>
      <c r="P761" s="85"/>
      <c r="Q761" s="81"/>
    </row>
    <row r="762" spans="3:17" x14ac:dyDescent="0.3">
      <c r="C762" s="81"/>
      <c r="F762" s="85"/>
      <c r="G762" s="86"/>
      <c r="H762" s="86"/>
      <c r="I762" s="87"/>
      <c r="J762" s="85"/>
      <c r="K762" s="85"/>
      <c r="M762" s="81"/>
      <c r="O762" s="85"/>
      <c r="P762" s="85"/>
      <c r="Q762" s="81"/>
    </row>
    <row r="763" spans="3:17" x14ac:dyDescent="0.3">
      <c r="C763" s="81"/>
      <c r="F763" s="85"/>
      <c r="G763" s="86"/>
      <c r="H763" s="86"/>
      <c r="I763" s="87"/>
      <c r="J763" s="85"/>
      <c r="K763" s="85"/>
      <c r="M763" s="81"/>
      <c r="O763" s="85"/>
      <c r="P763" s="85"/>
      <c r="Q763" s="81"/>
    </row>
    <row r="764" spans="3:17" x14ac:dyDescent="0.3">
      <c r="C764" s="81"/>
      <c r="F764" s="85"/>
      <c r="G764" s="86"/>
      <c r="H764" s="86"/>
      <c r="I764" s="87"/>
      <c r="J764" s="85"/>
      <c r="K764" s="85"/>
      <c r="M764" s="81"/>
      <c r="O764" s="85"/>
      <c r="P764" s="85"/>
      <c r="Q764" s="81"/>
    </row>
    <row r="765" spans="3:17" x14ac:dyDescent="0.3">
      <c r="C765" s="81"/>
      <c r="F765" s="85"/>
      <c r="G765" s="86"/>
      <c r="H765" s="86"/>
      <c r="I765" s="87"/>
      <c r="J765" s="85"/>
      <c r="K765" s="85"/>
      <c r="M765" s="81"/>
      <c r="O765" s="85"/>
      <c r="P765" s="85"/>
      <c r="Q765" s="81"/>
    </row>
    <row r="766" spans="3:17" x14ac:dyDescent="0.3">
      <c r="C766" s="81"/>
      <c r="F766" s="85"/>
      <c r="G766" s="86"/>
      <c r="H766" s="86"/>
      <c r="I766" s="87"/>
      <c r="J766" s="85"/>
      <c r="K766" s="85"/>
      <c r="M766" s="81"/>
      <c r="O766" s="85"/>
      <c r="P766" s="85"/>
      <c r="Q766" s="81"/>
    </row>
    <row r="767" spans="3:17" x14ac:dyDescent="0.3">
      <c r="C767" s="81"/>
      <c r="F767" s="85"/>
      <c r="G767" s="86"/>
      <c r="H767" s="86"/>
      <c r="I767" s="87"/>
      <c r="J767" s="85"/>
      <c r="K767" s="85"/>
      <c r="M767" s="81"/>
      <c r="O767" s="85"/>
      <c r="P767" s="85"/>
      <c r="Q767" s="81"/>
    </row>
    <row r="768" spans="3:17" x14ac:dyDescent="0.3">
      <c r="C768" s="81"/>
      <c r="F768" s="85"/>
      <c r="G768" s="86"/>
      <c r="H768" s="86"/>
      <c r="I768" s="87"/>
      <c r="J768" s="85"/>
      <c r="K768" s="85"/>
      <c r="M768" s="81"/>
      <c r="O768" s="85"/>
      <c r="P768" s="85"/>
      <c r="Q768" s="81"/>
    </row>
    <row r="769" spans="3:17" x14ac:dyDescent="0.3">
      <c r="C769" s="81"/>
      <c r="F769" s="85"/>
      <c r="G769" s="86"/>
      <c r="H769" s="86"/>
      <c r="I769" s="87"/>
      <c r="J769" s="85"/>
      <c r="K769" s="85"/>
      <c r="M769" s="81"/>
      <c r="O769" s="85"/>
      <c r="P769" s="85"/>
      <c r="Q769" s="81"/>
    </row>
    <row r="770" spans="3:17" x14ac:dyDescent="0.3">
      <c r="C770" s="81"/>
      <c r="F770" s="85"/>
      <c r="G770" s="86"/>
      <c r="H770" s="86"/>
      <c r="I770" s="87"/>
      <c r="J770" s="85"/>
      <c r="K770" s="85"/>
      <c r="M770" s="81"/>
      <c r="O770" s="85"/>
      <c r="P770" s="85"/>
      <c r="Q770" s="81"/>
    </row>
    <row r="771" spans="3:17" x14ac:dyDescent="0.3">
      <c r="C771" s="81"/>
      <c r="F771" s="85"/>
      <c r="G771" s="86"/>
      <c r="H771" s="86"/>
      <c r="I771" s="87"/>
      <c r="J771" s="85"/>
      <c r="K771" s="85"/>
      <c r="M771" s="81"/>
      <c r="O771" s="85"/>
      <c r="P771" s="85"/>
      <c r="Q771" s="81"/>
    </row>
    <row r="772" spans="3:17" x14ac:dyDescent="0.3">
      <c r="C772" s="81"/>
      <c r="F772" s="85"/>
      <c r="G772" s="86"/>
      <c r="H772" s="86"/>
      <c r="I772" s="87"/>
      <c r="J772" s="85"/>
      <c r="K772" s="85"/>
      <c r="M772" s="81"/>
      <c r="O772" s="85"/>
      <c r="P772" s="85"/>
      <c r="Q772" s="81"/>
    </row>
    <row r="773" spans="3:17" x14ac:dyDescent="0.3">
      <c r="C773" s="81"/>
      <c r="F773" s="85"/>
      <c r="G773" s="86"/>
      <c r="H773" s="86"/>
      <c r="I773" s="87"/>
      <c r="J773" s="85"/>
      <c r="K773" s="85"/>
      <c r="M773" s="81"/>
      <c r="O773" s="85"/>
      <c r="P773" s="85"/>
      <c r="Q773" s="81"/>
    </row>
    <row r="774" spans="3:17" x14ac:dyDescent="0.3">
      <c r="C774" s="81"/>
      <c r="F774" s="85"/>
      <c r="G774" s="86"/>
      <c r="H774" s="86"/>
      <c r="I774" s="87"/>
      <c r="J774" s="85"/>
      <c r="K774" s="85"/>
      <c r="M774" s="81"/>
      <c r="O774" s="85"/>
      <c r="P774" s="85"/>
      <c r="Q774" s="81"/>
    </row>
    <row r="775" spans="3:17" x14ac:dyDescent="0.3">
      <c r="C775" s="81"/>
      <c r="F775" s="85"/>
      <c r="G775" s="86"/>
      <c r="H775" s="86"/>
      <c r="I775" s="87"/>
      <c r="J775" s="85"/>
      <c r="K775" s="85"/>
      <c r="M775" s="81"/>
      <c r="O775" s="85"/>
      <c r="P775" s="85"/>
      <c r="Q775" s="81"/>
    </row>
    <row r="776" spans="3:17" x14ac:dyDescent="0.3">
      <c r="C776" s="81"/>
      <c r="F776" s="85"/>
      <c r="G776" s="86"/>
      <c r="H776" s="86"/>
      <c r="I776" s="87"/>
      <c r="J776" s="85"/>
      <c r="K776" s="85"/>
      <c r="M776" s="81"/>
      <c r="O776" s="85"/>
      <c r="P776" s="85"/>
      <c r="Q776" s="81"/>
    </row>
    <row r="777" spans="3:17" x14ac:dyDescent="0.3">
      <c r="C777" s="81"/>
      <c r="F777" s="85"/>
      <c r="G777" s="86"/>
      <c r="H777" s="86"/>
      <c r="I777" s="87"/>
      <c r="J777" s="85"/>
      <c r="K777" s="85"/>
      <c r="M777" s="81"/>
      <c r="O777" s="85"/>
      <c r="P777" s="85"/>
      <c r="Q777" s="81"/>
    </row>
    <row r="778" spans="3:17" x14ac:dyDescent="0.3">
      <c r="C778" s="81"/>
      <c r="F778" s="85"/>
      <c r="G778" s="86"/>
      <c r="H778" s="86"/>
      <c r="I778" s="87"/>
      <c r="J778" s="85"/>
      <c r="K778" s="85"/>
      <c r="M778" s="81"/>
      <c r="O778" s="85"/>
      <c r="P778" s="85"/>
      <c r="Q778" s="81"/>
    </row>
    <row r="779" spans="3:17" x14ac:dyDescent="0.3">
      <c r="C779" s="81"/>
      <c r="F779" s="85"/>
      <c r="G779" s="86"/>
      <c r="H779" s="86"/>
      <c r="I779" s="87"/>
      <c r="J779" s="85"/>
      <c r="K779" s="85"/>
      <c r="M779" s="81"/>
      <c r="O779" s="85"/>
      <c r="P779" s="85"/>
      <c r="Q779" s="81"/>
    </row>
    <row r="780" spans="3:17" x14ac:dyDescent="0.3">
      <c r="C780" s="81"/>
      <c r="F780" s="85"/>
      <c r="G780" s="86"/>
      <c r="H780" s="86"/>
      <c r="I780" s="87"/>
      <c r="J780" s="85"/>
      <c r="K780" s="85"/>
      <c r="M780" s="81"/>
      <c r="O780" s="85"/>
      <c r="P780" s="85"/>
      <c r="Q780" s="81"/>
    </row>
    <row r="781" spans="3:17" x14ac:dyDescent="0.3">
      <c r="C781" s="81"/>
      <c r="F781" s="85"/>
      <c r="G781" s="86"/>
      <c r="H781" s="86"/>
      <c r="I781" s="87"/>
      <c r="J781" s="85"/>
      <c r="K781" s="85"/>
      <c r="M781" s="81"/>
      <c r="O781" s="85"/>
      <c r="P781" s="85"/>
      <c r="Q781" s="81"/>
    </row>
    <row r="782" spans="3:17" x14ac:dyDescent="0.3">
      <c r="C782" s="81"/>
      <c r="F782" s="85"/>
      <c r="G782" s="86"/>
      <c r="H782" s="86"/>
      <c r="I782" s="87"/>
      <c r="J782" s="85"/>
      <c r="K782" s="85"/>
      <c r="M782" s="81"/>
      <c r="O782" s="85"/>
      <c r="P782" s="85"/>
      <c r="Q782" s="81"/>
    </row>
    <row r="783" spans="3:17" x14ac:dyDescent="0.3">
      <c r="C783" s="81"/>
      <c r="F783" s="85"/>
      <c r="G783" s="86"/>
      <c r="H783" s="86"/>
      <c r="I783" s="87"/>
      <c r="J783" s="85"/>
      <c r="K783" s="85"/>
      <c r="M783" s="81"/>
      <c r="O783" s="85"/>
      <c r="P783" s="85"/>
      <c r="Q783" s="81"/>
    </row>
    <row r="784" spans="3:17" x14ac:dyDescent="0.3">
      <c r="C784" s="81"/>
      <c r="F784" s="85"/>
      <c r="G784" s="86"/>
      <c r="H784" s="86"/>
      <c r="I784" s="87"/>
      <c r="J784" s="85"/>
      <c r="K784" s="85"/>
      <c r="M784" s="81"/>
      <c r="O784" s="85"/>
      <c r="P784" s="85"/>
      <c r="Q784" s="81"/>
    </row>
    <row r="785" spans="3:17" x14ac:dyDescent="0.3">
      <c r="C785" s="81"/>
      <c r="F785" s="85"/>
      <c r="G785" s="86"/>
      <c r="H785" s="86"/>
      <c r="I785" s="87"/>
      <c r="J785" s="85"/>
      <c r="K785" s="85"/>
      <c r="M785" s="81"/>
      <c r="O785" s="85"/>
      <c r="P785" s="85"/>
      <c r="Q785" s="81"/>
    </row>
    <row r="786" spans="3:17" x14ac:dyDescent="0.3">
      <c r="C786" s="81"/>
      <c r="F786" s="85"/>
      <c r="G786" s="86"/>
      <c r="H786" s="86"/>
      <c r="I786" s="87"/>
      <c r="J786" s="85"/>
      <c r="K786" s="85"/>
      <c r="M786" s="81"/>
      <c r="O786" s="85"/>
      <c r="P786" s="85"/>
      <c r="Q786" s="81"/>
    </row>
    <row r="787" spans="3:17" x14ac:dyDescent="0.3">
      <c r="C787" s="81"/>
      <c r="F787" s="85"/>
      <c r="G787" s="86"/>
      <c r="H787" s="86"/>
      <c r="I787" s="87"/>
      <c r="J787" s="85"/>
      <c r="K787" s="85"/>
      <c r="M787" s="81"/>
      <c r="O787" s="85"/>
      <c r="P787" s="85"/>
      <c r="Q787" s="81"/>
    </row>
    <row r="788" spans="3:17" x14ac:dyDescent="0.3">
      <c r="C788" s="81"/>
      <c r="F788" s="85"/>
      <c r="G788" s="86"/>
      <c r="H788" s="86"/>
      <c r="I788" s="87"/>
      <c r="J788" s="85"/>
      <c r="K788" s="85"/>
      <c r="M788" s="81"/>
      <c r="O788" s="85"/>
      <c r="P788" s="85"/>
      <c r="Q788" s="81"/>
    </row>
    <row r="789" spans="3:17" x14ac:dyDescent="0.3">
      <c r="C789" s="81"/>
      <c r="F789" s="85"/>
      <c r="G789" s="86"/>
      <c r="H789" s="86"/>
      <c r="I789" s="87"/>
      <c r="J789" s="85"/>
      <c r="K789" s="85"/>
      <c r="M789" s="81"/>
      <c r="O789" s="85"/>
      <c r="P789" s="85"/>
      <c r="Q789" s="81"/>
    </row>
    <row r="790" spans="3:17" x14ac:dyDescent="0.3">
      <c r="C790" s="81"/>
      <c r="F790" s="85"/>
      <c r="G790" s="86"/>
      <c r="H790" s="86"/>
      <c r="I790" s="87"/>
      <c r="J790" s="85"/>
      <c r="K790" s="85"/>
      <c r="M790" s="81"/>
      <c r="O790" s="85"/>
      <c r="P790" s="85"/>
      <c r="Q790" s="81"/>
    </row>
    <row r="791" spans="3:17" x14ac:dyDescent="0.3">
      <c r="C791" s="81"/>
      <c r="F791" s="85"/>
      <c r="G791" s="86"/>
      <c r="H791" s="86"/>
      <c r="I791" s="87"/>
      <c r="J791" s="85"/>
      <c r="K791" s="85"/>
      <c r="M791" s="81"/>
      <c r="O791" s="85"/>
      <c r="P791" s="85"/>
      <c r="Q791" s="81"/>
    </row>
    <row r="792" spans="3:17" x14ac:dyDescent="0.3">
      <c r="C792" s="81"/>
      <c r="F792" s="85"/>
      <c r="G792" s="86"/>
      <c r="H792" s="86"/>
      <c r="I792" s="87"/>
      <c r="J792" s="85"/>
      <c r="K792" s="85"/>
      <c r="M792" s="81"/>
      <c r="O792" s="85"/>
      <c r="P792" s="85"/>
      <c r="Q792" s="81"/>
    </row>
    <row r="793" spans="3:17" x14ac:dyDescent="0.3">
      <c r="C793" s="81"/>
      <c r="F793" s="85"/>
      <c r="G793" s="86"/>
      <c r="H793" s="86"/>
      <c r="I793" s="87"/>
      <c r="J793" s="85"/>
      <c r="K793" s="85"/>
      <c r="M793" s="81"/>
      <c r="O793" s="85"/>
      <c r="P793" s="85"/>
      <c r="Q793" s="81"/>
    </row>
    <row r="794" spans="3:17" x14ac:dyDescent="0.3">
      <c r="C794" s="81"/>
      <c r="F794" s="85"/>
      <c r="G794" s="86"/>
      <c r="H794" s="86"/>
      <c r="I794" s="87"/>
      <c r="J794" s="85"/>
      <c r="K794" s="85"/>
      <c r="M794" s="81"/>
      <c r="O794" s="85"/>
      <c r="P794" s="85"/>
      <c r="Q794" s="81"/>
    </row>
    <row r="795" spans="3:17" x14ac:dyDescent="0.3">
      <c r="C795" s="81"/>
      <c r="F795" s="85"/>
      <c r="G795" s="86"/>
      <c r="H795" s="86"/>
      <c r="I795" s="87"/>
      <c r="J795" s="85"/>
      <c r="K795" s="85"/>
      <c r="M795" s="81"/>
      <c r="O795" s="85"/>
      <c r="P795" s="85"/>
      <c r="Q795" s="81"/>
    </row>
    <row r="796" spans="3:17" x14ac:dyDescent="0.3">
      <c r="C796" s="81"/>
      <c r="F796" s="85"/>
      <c r="G796" s="86"/>
      <c r="H796" s="86"/>
      <c r="I796" s="87"/>
      <c r="J796" s="85"/>
      <c r="K796" s="85"/>
      <c r="M796" s="81"/>
      <c r="O796" s="85"/>
      <c r="P796" s="85"/>
      <c r="Q796" s="81"/>
    </row>
    <row r="797" spans="3:17" x14ac:dyDescent="0.3">
      <c r="C797" s="81"/>
      <c r="F797" s="85"/>
      <c r="G797" s="86"/>
      <c r="H797" s="86"/>
      <c r="I797" s="87"/>
      <c r="J797" s="85"/>
      <c r="K797" s="85"/>
      <c r="M797" s="81"/>
      <c r="O797" s="85"/>
      <c r="P797" s="85"/>
      <c r="Q797" s="81"/>
    </row>
    <row r="798" spans="3:17" x14ac:dyDescent="0.3">
      <c r="C798" s="81"/>
      <c r="F798" s="85"/>
      <c r="G798" s="86"/>
      <c r="H798" s="86"/>
      <c r="I798" s="87"/>
      <c r="J798" s="85"/>
      <c r="K798" s="85"/>
      <c r="M798" s="81"/>
      <c r="O798" s="85"/>
      <c r="P798" s="85"/>
      <c r="Q798" s="81"/>
    </row>
    <row r="799" spans="3:17" x14ac:dyDescent="0.3">
      <c r="C799" s="81"/>
      <c r="F799" s="85"/>
      <c r="G799" s="86"/>
      <c r="H799" s="86"/>
      <c r="I799" s="87"/>
      <c r="J799" s="85"/>
      <c r="K799" s="85"/>
      <c r="M799" s="81"/>
      <c r="O799" s="85"/>
      <c r="P799" s="85"/>
      <c r="Q799" s="81"/>
    </row>
    <row r="800" spans="3:17" x14ac:dyDescent="0.3">
      <c r="C800" s="81"/>
      <c r="F800" s="85"/>
      <c r="G800" s="86"/>
      <c r="H800" s="86"/>
      <c r="I800" s="87"/>
      <c r="J800" s="85"/>
      <c r="K800" s="85"/>
      <c r="M800" s="81"/>
      <c r="O800" s="85"/>
      <c r="P800" s="85"/>
      <c r="Q800" s="81"/>
    </row>
    <row r="801" spans="3:17" x14ac:dyDescent="0.3">
      <c r="C801" s="81"/>
      <c r="F801" s="85"/>
      <c r="G801" s="86"/>
      <c r="H801" s="86"/>
      <c r="I801" s="87"/>
      <c r="J801" s="85"/>
      <c r="K801" s="85"/>
      <c r="M801" s="81"/>
      <c r="O801" s="85"/>
      <c r="P801" s="85"/>
      <c r="Q801" s="81"/>
    </row>
    <row r="802" spans="3:17" x14ac:dyDescent="0.3">
      <c r="C802" s="81"/>
      <c r="F802" s="85"/>
      <c r="G802" s="86"/>
      <c r="H802" s="86"/>
      <c r="I802" s="87"/>
      <c r="J802" s="85"/>
      <c r="K802" s="85"/>
      <c r="M802" s="81"/>
      <c r="O802" s="85"/>
      <c r="P802" s="85"/>
      <c r="Q802" s="81"/>
    </row>
    <row r="803" spans="3:17" x14ac:dyDescent="0.3">
      <c r="C803" s="81"/>
      <c r="F803" s="85"/>
      <c r="G803" s="86"/>
      <c r="H803" s="86"/>
      <c r="I803" s="87"/>
      <c r="J803" s="85"/>
      <c r="K803" s="85"/>
      <c r="M803" s="81"/>
      <c r="O803" s="85"/>
      <c r="P803" s="85"/>
      <c r="Q803" s="81"/>
    </row>
    <row r="804" spans="3:17" x14ac:dyDescent="0.3">
      <c r="C804" s="81"/>
      <c r="F804" s="85"/>
      <c r="G804" s="86"/>
      <c r="H804" s="86"/>
      <c r="I804" s="87"/>
      <c r="J804" s="85"/>
      <c r="K804" s="85"/>
      <c r="M804" s="81"/>
      <c r="O804" s="85"/>
      <c r="P804" s="85"/>
      <c r="Q804" s="81"/>
    </row>
    <row r="805" spans="3:17" x14ac:dyDescent="0.3">
      <c r="C805" s="81"/>
      <c r="F805" s="85"/>
      <c r="G805" s="86"/>
      <c r="H805" s="86"/>
      <c r="I805" s="87"/>
      <c r="J805" s="85"/>
      <c r="K805" s="85"/>
      <c r="M805" s="81"/>
      <c r="O805" s="85"/>
      <c r="P805" s="85"/>
      <c r="Q805" s="81"/>
    </row>
    <row r="806" spans="3:17" x14ac:dyDescent="0.3">
      <c r="C806" s="81"/>
      <c r="F806" s="85"/>
      <c r="G806" s="86"/>
      <c r="H806" s="86"/>
      <c r="I806" s="87"/>
      <c r="J806" s="85"/>
      <c r="K806" s="85"/>
      <c r="M806" s="81"/>
      <c r="O806" s="85"/>
      <c r="P806" s="85"/>
      <c r="Q806" s="81"/>
    </row>
    <row r="807" spans="3:17" x14ac:dyDescent="0.3">
      <c r="C807" s="81"/>
      <c r="F807" s="85"/>
      <c r="G807" s="86"/>
      <c r="H807" s="86"/>
      <c r="I807" s="87"/>
      <c r="J807" s="85"/>
      <c r="K807" s="85"/>
      <c r="M807" s="81"/>
      <c r="O807" s="85"/>
      <c r="P807" s="85"/>
      <c r="Q807" s="81"/>
    </row>
    <row r="808" spans="3:17" x14ac:dyDescent="0.3">
      <c r="C808" s="81"/>
      <c r="F808" s="85"/>
      <c r="G808" s="86"/>
      <c r="H808" s="86"/>
      <c r="I808" s="87"/>
      <c r="J808" s="85"/>
      <c r="K808" s="85"/>
      <c r="M808" s="81"/>
      <c r="O808" s="85"/>
      <c r="P808" s="85"/>
      <c r="Q808" s="81"/>
    </row>
    <row r="809" spans="3:17" x14ac:dyDescent="0.3">
      <c r="C809" s="81"/>
      <c r="F809" s="85"/>
      <c r="G809" s="86"/>
      <c r="H809" s="86"/>
      <c r="I809" s="87"/>
      <c r="J809" s="85"/>
      <c r="K809" s="85"/>
      <c r="M809" s="81"/>
      <c r="O809" s="85"/>
      <c r="P809" s="85"/>
      <c r="Q809" s="81"/>
    </row>
    <row r="810" spans="3:17" x14ac:dyDescent="0.3">
      <c r="C810" s="81"/>
      <c r="F810" s="85"/>
      <c r="G810" s="86"/>
      <c r="H810" s="86"/>
      <c r="I810" s="87"/>
      <c r="J810" s="85"/>
      <c r="K810" s="85"/>
      <c r="M810" s="81"/>
      <c r="O810" s="85"/>
      <c r="P810" s="85"/>
      <c r="Q810" s="81"/>
    </row>
    <row r="811" spans="3:17" x14ac:dyDescent="0.3">
      <c r="C811" s="81"/>
      <c r="F811" s="85"/>
      <c r="G811" s="86"/>
      <c r="H811" s="86"/>
      <c r="I811" s="87"/>
      <c r="J811" s="85"/>
      <c r="K811" s="85"/>
      <c r="M811" s="81"/>
      <c r="O811" s="85"/>
      <c r="P811" s="85"/>
      <c r="Q811" s="81"/>
    </row>
    <row r="812" spans="3:17" x14ac:dyDescent="0.3">
      <c r="C812" s="81"/>
      <c r="F812" s="85"/>
      <c r="G812" s="86"/>
      <c r="H812" s="86"/>
      <c r="I812" s="87"/>
      <c r="J812" s="85"/>
      <c r="K812" s="85"/>
      <c r="M812" s="81"/>
      <c r="O812" s="85"/>
      <c r="P812" s="85"/>
      <c r="Q812" s="81"/>
    </row>
    <row r="813" spans="3:17" x14ac:dyDescent="0.3">
      <c r="C813" s="81"/>
      <c r="F813" s="85"/>
      <c r="G813" s="86"/>
      <c r="H813" s="86"/>
      <c r="I813" s="87"/>
      <c r="J813" s="85"/>
      <c r="K813" s="85"/>
      <c r="M813" s="81"/>
      <c r="O813" s="85"/>
      <c r="P813" s="85"/>
      <c r="Q813" s="81"/>
    </row>
    <row r="814" spans="3:17" x14ac:dyDescent="0.3">
      <c r="C814" s="81"/>
      <c r="F814" s="85"/>
      <c r="G814" s="86"/>
      <c r="H814" s="86"/>
      <c r="I814" s="87"/>
      <c r="J814" s="85"/>
      <c r="K814" s="85"/>
      <c r="M814" s="81"/>
      <c r="O814" s="85"/>
      <c r="P814" s="85"/>
      <c r="Q814" s="81"/>
    </row>
    <row r="815" spans="3:17" x14ac:dyDescent="0.3">
      <c r="C815" s="81"/>
      <c r="F815" s="85"/>
      <c r="G815" s="86"/>
      <c r="H815" s="86"/>
      <c r="I815" s="87"/>
      <c r="J815" s="85"/>
      <c r="K815" s="85"/>
      <c r="M815" s="81"/>
      <c r="O815" s="85"/>
      <c r="P815" s="85"/>
      <c r="Q815" s="81"/>
    </row>
    <row r="816" spans="3:17" x14ac:dyDescent="0.3">
      <c r="C816" s="81"/>
      <c r="F816" s="85"/>
      <c r="G816" s="86"/>
      <c r="H816" s="86"/>
      <c r="I816" s="87"/>
      <c r="J816" s="85"/>
      <c r="K816" s="85"/>
      <c r="M816" s="81"/>
      <c r="O816" s="85"/>
      <c r="P816" s="85"/>
      <c r="Q816" s="81"/>
    </row>
    <row r="817" spans="3:17" x14ac:dyDescent="0.3">
      <c r="C817" s="81"/>
      <c r="F817" s="85"/>
      <c r="G817" s="86"/>
      <c r="H817" s="86"/>
      <c r="I817" s="87"/>
      <c r="J817" s="85"/>
      <c r="K817" s="85"/>
      <c r="M817" s="81"/>
      <c r="O817" s="85"/>
      <c r="P817" s="85"/>
      <c r="Q817" s="81"/>
    </row>
    <row r="818" spans="3:17" x14ac:dyDescent="0.3">
      <c r="C818" s="81"/>
      <c r="F818" s="85"/>
      <c r="G818" s="86"/>
      <c r="H818" s="86"/>
      <c r="I818" s="87"/>
      <c r="J818" s="85"/>
      <c r="K818" s="85"/>
      <c r="M818" s="81"/>
      <c r="O818" s="85"/>
      <c r="P818" s="85"/>
      <c r="Q818" s="81"/>
    </row>
    <row r="819" spans="3:17" x14ac:dyDescent="0.3">
      <c r="C819" s="81"/>
      <c r="F819" s="85"/>
      <c r="G819" s="86"/>
      <c r="H819" s="86"/>
      <c r="I819" s="87"/>
      <c r="J819" s="85"/>
      <c r="K819" s="85"/>
      <c r="M819" s="81"/>
      <c r="O819" s="85"/>
      <c r="P819" s="85"/>
      <c r="Q819" s="81"/>
    </row>
    <row r="820" spans="3:17" x14ac:dyDescent="0.3">
      <c r="C820" s="81"/>
      <c r="F820" s="85"/>
      <c r="G820" s="86"/>
      <c r="H820" s="86"/>
      <c r="I820" s="87"/>
      <c r="J820" s="85"/>
      <c r="K820" s="85"/>
      <c r="M820" s="81"/>
      <c r="O820" s="85"/>
      <c r="P820" s="85"/>
      <c r="Q820" s="81"/>
    </row>
    <row r="821" spans="3:17" x14ac:dyDescent="0.3">
      <c r="C821" s="81"/>
      <c r="F821" s="85"/>
      <c r="G821" s="86"/>
      <c r="H821" s="86"/>
      <c r="I821" s="87"/>
      <c r="J821" s="85"/>
      <c r="K821" s="85"/>
      <c r="M821" s="81"/>
      <c r="O821" s="85"/>
      <c r="P821" s="85"/>
      <c r="Q821" s="81"/>
    </row>
    <row r="822" spans="3:17" x14ac:dyDescent="0.3">
      <c r="C822" s="81"/>
      <c r="F822" s="85"/>
      <c r="G822" s="86"/>
      <c r="H822" s="86"/>
      <c r="I822" s="87"/>
      <c r="J822" s="85"/>
      <c r="K822" s="85"/>
      <c r="M822" s="81"/>
      <c r="O822" s="85"/>
      <c r="P822" s="85"/>
      <c r="Q822" s="81"/>
    </row>
    <row r="823" spans="3:17" x14ac:dyDescent="0.3">
      <c r="C823" s="81"/>
      <c r="F823" s="85"/>
      <c r="G823" s="86"/>
      <c r="H823" s="86"/>
      <c r="I823" s="87"/>
      <c r="J823" s="85"/>
      <c r="K823" s="85"/>
      <c r="M823" s="81"/>
      <c r="O823" s="85"/>
      <c r="P823" s="85"/>
      <c r="Q823" s="81"/>
    </row>
    <row r="824" spans="3:17" x14ac:dyDescent="0.3">
      <c r="C824" s="81"/>
      <c r="F824" s="85"/>
      <c r="G824" s="86"/>
      <c r="H824" s="86"/>
      <c r="I824" s="87"/>
      <c r="J824" s="85"/>
      <c r="K824" s="85"/>
      <c r="M824" s="81"/>
      <c r="O824" s="85"/>
      <c r="P824" s="85"/>
      <c r="Q824" s="81"/>
    </row>
    <row r="825" spans="3:17" x14ac:dyDescent="0.3">
      <c r="C825" s="81"/>
      <c r="F825" s="85"/>
      <c r="G825" s="86"/>
      <c r="H825" s="86"/>
      <c r="I825" s="87"/>
      <c r="J825" s="85"/>
      <c r="K825" s="85"/>
      <c r="M825" s="81"/>
      <c r="O825" s="85"/>
      <c r="P825" s="85"/>
      <c r="Q825" s="81"/>
    </row>
    <row r="826" spans="3:17" x14ac:dyDescent="0.3">
      <c r="C826" s="81"/>
      <c r="F826" s="85"/>
      <c r="G826" s="86"/>
      <c r="H826" s="86"/>
      <c r="I826" s="87"/>
      <c r="J826" s="85"/>
      <c r="K826" s="85"/>
      <c r="M826" s="81"/>
      <c r="O826" s="85"/>
      <c r="P826" s="85"/>
      <c r="Q826" s="81"/>
    </row>
    <row r="827" spans="3:17" x14ac:dyDescent="0.3">
      <c r="C827" s="81"/>
      <c r="F827" s="85"/>
      <c r="G827" s="86"/>
      <c r="H827" s="86"/>
      <c r="I827" s="87"/>
      <c r="J827" s="85"/>
      <c r="K827" s="85"/>
      <c r="M827" s="81"/>
      <c r="O827" s="85"/>
      <c r="P827" s="85"/>
      <c r="Q827" s="81"/>
    </row>
    <row r="828" spans="3:17" x14ac:dyDescent="0.3">
      <c r="C828" s="81"/>
      <c r="F828" s="85"/>
      <c r="G828" s="86"/>
      <c r="H828" s="86"/>
      <c r="I828" s="87"/>
      <c r="J828" s="85"/>
      <c r="K828" s="85"/>
      <c r="M828" s="81"/>
      <c r="O828" s="85"/>
      <c r="P828" s="85"/>
      <c r="Q828" s="81"/>
    </row>
    <row r="829" spans="3:17" x14ac:dyDescent="0.3">
      <c r="C829" s="81"/>
      <c r="F829" s="85"/>
      <c r="G829" s="86"/>
      <c r="H829" s="86"/>
      <c r="I829" s="87"/>
      <c r="J829" s="85"/>
      <c r="K829" s="85"/>
      <c r="M829" s="81"/>
      <c r="O829" s="85"/>
      <c r="P829" s="85"/>
      <c r="Q829" s="81"/>
    </row>
    <row r="830" spans="3:17" x14ac:dyDescent="0.3">
      <c r="C830" s="81"/>
      <c r="F830" s="85"/>
      <c r="G830" s="86"/>
      <c r="H830" s="86"/>
      <c r="I830" s="87"/>
      <c r="J830" s="85"/>
      <c r="K830" s="85"/>
      <c r="M830" s="81"/>
      <c r="O830" s="85"/>
      <c r="P830" s="85"/>
      <c r="Q830" s="81"/>
    </row>
    <row r="831" spans="3:17" x14ac:dyDescent="0.3">
      <c r="C831" s="81"/>
      <c r="F831" s="85"/>
      <c r="G831" s="86"/>
      <c r="H831" s="86"/>
      <c r="I831" s="87"/>
      <c r="J831" s="85"/>
      <c r="K831" s="85"/>
      <c r="M831" s="81"/>
      <c r="O831" s="85"/>
      <c r="P831" s="85"/>
      <c r="Q831" s="81"/>
    </row>
    <row r="832" spans="3:17" x14ac:dyDescent="0.3">
      <c r="C832" s="81"/>
      <c r="F832" s="85"/>
      <c r="G832" s="86"/>
      <c r="H832" s="86"/>
      <c r="I832" s="87"/>
      <c r="J832" s="85"/>
      <c r="K832" s="85"/>
      <c r="M832" s="81"/>
      <c r="O832" s="85"/>
      <c r="P832" s="85"/>
      <c r="Q832" s="81"/>
    </row>
    <row r="833" spans="3:17" x14ac:dyDescent="0.3">
      <c r="C833" s="81"/>
      <c r="F833" s="85"/>
      <c r="G833" s="86"/>
      <c r="H833" s="86"/>
      <c r="I833" s="87"/>
      <c r="J833" s="85"/>
      <c r="K833" s="85"/>
      <c r="M833" s="81"/>
      <c r="O833" s="85"/>
      <c r="P833" s="85"/>
      <c r="Q833" s="81"/>
    </row>
    <row r="834" spans="3:17" x14ac:dyDescent="0.3">
      <c r="C834" s="81"/>
      <c r="F834" s="85"/>
      <c r="G834" s="86"/>
      <c r="H834" s="86"/>
      <c r="I834" s="87"/>
      <c r="J834" s="85"/>
      <c r="K834" s="85"/>
      <c r="M834" s="81"/>
      <c r="O834" s="85"/>
      <c r="P834" s="85"/>
      <c r="Q834" s="81"/>
    </row>
    <row r="835" spans="3:17" x14ac:dyDescent="0.3">
      <c r="C835" s="81"/>
      <c r="F835" s="85"/>
      <c r="G835" s="86"/>
      <c r="H835" s="86"/>
      <c r="I835" s="87"/>
      <c r="J835" s="85"/>
      <c r="K835" s="85"/>
      <c r="M835" s="81"/>
      <c r="O835" s="85"/>
      <c r="P835" s="85"/>
      <c r="Q835" s="81"/>
    </row>
    <row r="836" spans="3:17" x14ac:dyDescent="0.3">
      <c r="C836" s="81"/>
      <c r="F836" s="85"/>
      <c r="G836" s="86"/>
      <c r="H836" s="86"/>
      <c r="I836" s="87"/>
      <c r="J836" s="85"/>
      <c r="K836" s="85"/>
      <c r="M836" s="81"/>
      <c r="O836" s="85"/>
      <c r="P836" s="85"/>
      <c r="Q836" s="81"/>
    </row>
    <row r="837" spans="3:17" x14ac:dyDescent="0.3">
      <c r="C837" s="81"/>
      <c r="F837" s="85"/>
      <c r="G837" s="86"/>
      <c r="H837" s="86"/>
      <c r="I837" s="87"/>
      <c r="J837" s="85"/>
      <c r="K837" s="85"/>
      <c r="M837" s="81"/>
      <c r="O837" s="85"/>
      <c r="P837" s="85"/>
      <c r="Q837" s="81"/>
    </row>
    <row r="838" spans="3:17" x14ac:dyDescent="0.3">
      <c r="C838" s="81"/>
      <c r="F838" s="85"/>
      <c r="G838" s="86"/>
      <c r="H838" s="86"/>
      <c r="I838" s="87"/>
      <c r="J838" s="85"/>
      <c r="K838" s="85"/>
      <c r="M838" s="81"/>
      <c r="O838" s="85"/>
      <c r="P838" s="85"/>
      <c r="Q838" s="81"/>
    </row>
    <row r="839" spans="3:17" x14ac:dyDescent="0.3">
      <c r="C839" s="81"/>
      <c r="F839" s="85"/>
      <c r="G839" s="86"/>
      <c r="H839" s="86"/>
      <c r="I839" s="87"/>
      <c r="J839" s="85"/>
      <c r="K839" s="85"/>
      <c r="M839" s="81"/>
      <c r="O839" s="85"/>
      <c r="P839" s="85"/>
      <c r="Q839" s="81"/>
    </row>
    <row r="840" spans="3:17" x14ac:dyDescent="0.3">
      <c r="C840" s="81"/>
      <c r="F840" s="85"/>
      <c r="G840" s="86"/>
      <c r="H840" s="86"/>
      <c r="I840" s="87"/>
      <c r="J840" s="85"/>
      <c r="K840" s="85"/>
      <c r="M840" s="81"/>
      <c r="O840" s="85"/>
      <c r="P840" s="85"/>
      <c r="Q840" s="81"/>
    </row>
    <row r="841" spans="3:17" x14ac:dyDescent="0.3">
      <c r="C841" s="81"/>
      <c r="F841" s="85"/>
      <c r="G841" s="86"/>
      <c r="H841" s="86"/>
      <c r="I841" s="87"/>
      <c r="J841" s="85"/>
      <c r="K841" s="85"/>
      <c r="M841" s="81"/>
      <c r="O841" s="85"/>
      <c r="P841" s="85"/>
      <c r="Q841" s="81"/>
    </row>
    <row r="842" spans="3:17" x14ac:dyDescent="0.3">
      <c r="C842" s="81"/>
      <c r="F842" s="85"/>
      <c r="G842" s="86"/>
      <c r="H842" s="86"/>
      <c r="I842" s="87"/>
      <c r="J842" s="85"/>
      <c r="K842" s="85"/>
      <c r="M842" s="81"/>
      <c r="O842" s="85"/>
      <c r="P842" s="85"/>
      <c r="Q842" s="81"/>
    </row>
    <row r="843" spans="3:17" x14ac:dyDescent="0.3">
      <c r="C843" s="81"/>
      <c r="F843" s="85"/>
      <c r="G843" s="86"/>
      <c r="H843" s="86"/>
      <c r="I843" s="87"/>
      <c r="J843" s="85"/>
      <c r="K843" s="85"/>
      <c r="M843" s="81"/>
      <c r="O843" s="85"/>
      <c r="P843" s="85"/>
      <c r="Q843" s="81"/>
    </row>
    <row r="844" spans="3:17" x14ac:dyDescent="0.3">
      <c r="C844" s="81"/>
      <c r="F844" s="85"/>
      <c r="G844" s="86"/>
      <c r="H844" s="86"/>
      <c r="I844" s="87"/>
      <c r="J844" s="85"/>
      <c r="K844" s="85"/>
      <c r="M844" s="81"/>
      <c r="O844" s="85"/>
      <c r="P844" s="85"/>
      <c r="Q844" s="81"/>
    </row>
    <row r="845" spans="3:17" x14ac:dyDescent="0.3">
      <c r="C845" s="81"/>
      <c r="F845" s="85"/>
      <c r="G845" s="86"/>
      <c r="H845" s="86"/>
      <c r="I845" s="87"/>
      <c r="J845" s="85"/>
      <c r="K845" s="85"/>
      <c r="M845" s="81"/>
      <c r="O845" s="85"/>
      <c r="P845" s="85"/>
      <c r="Q845" s="81"/>
    </row>
    <row r="846" spans="3:17" x14ac:dyDescent="0.3">
      <c r="C846" s="81"/>
      <c r="F846" s="85"/>
      <c r="G846" s="86"/>
      <c r="H846" s="86"/>
      <c r="I846" s="87"/>
      <c r="J846" s="85"/>
      <c r="K846" s="85"/>
      <c r="M846" s="81"/>
      <c r="O846" s="85"/>
      <c r="P846" s="85"/>
      <c r="Q846" s="81"/>
    </row>
    <row r="847" spans="3:17" x14ac:dyDescent="0.3">
      <c r="C847" s="81"/>
      <c r="F847" s="85"/>
      <c r="G847" s="86"/>
      <c r="H847" s="86"/>
      <c r="I847" s="87"/>
      <c r="J847" s="85"/>
      <c r="K847" s="85"/>
      <c r="M847" s="81"/>
      <c r="O847" s="85"/>
      <c r="P847" s="85"/>
      <c r="Q847" s="81"/>
    </row>
    <row r="848" spans="3:17" x14ac:dyDescent="0.3">
      <c r="C848" s="81"/>
      <c r="F848" s="85"/>
      <c r="G848" s="86"/>
      <c r="H848" s="86"/>
      <c r="I848" s="87"/>
      <c r="J848" s="85"/>
      <c r="K848" s="85"/>
      <c r="M848" s="81"/>
      <c r="O848" s="85"/>
      <c r="P848" s="85"/>
      <c r="Q848" s="81"/>
    </row>
    <row r="849" spans="3:17" x14ac:dyDescent="0.3">
      <c r="C849" s="81"/>
      <c r="F849" s="85"/>
      <c r="G849" s="86"/>
      <c r="H849" s="86"/>
      <c r="I849" s="87"/>
      <c r="J849" s="85"/>
      <c r="K849" s="85"/>
      <c r="M849" s="81"/>
      <c r="O849" s="85"/>
      <c r="P849" s="85"/>
      <c r="Q849" s="81"/>
    </row>
    <row r="850" spans="3:17" x14ac:dyDescent="0.3">
      <c r="C850" s="81"/>
      <c r="F850" s="85"/>
      <c r="G850" s="86"/>
      <c r="H850" s="86"/>
      <c r="I850" s="87"/>
      <c r="J850" s="85"/>
      <c r="K850" s="85"/>
      <c r="M850" s="81"/>
      <c r="O850" s="85"/>
      <c r="P850" s="85"/>
      <c r="Q850" s="81"/>
    </row>
    <row r="851" spans="3:17" x14ac:dyDescent="0.3">
      <c r="C851" s="81"/>
      <c r="F851" s="85"/>
      <c r="G851" s="86"/>
      <c r="H851" s="86"/>
      <c r="I851" s="87"/>
      <c r="J851" s="85"/>
      <c r="K851" s="85"/>
      <c r="M851" s="81"/>
      <c r="O851" s="85"/>
      <c r="P851" s="85"/>
      <c r="Q851" s="81"/>
    </row>
    <row r="852" spans="3:17" x14ac:dyDescent="0.3">
      <c r="C852" s="81"/>
      <c r="F852" s="85"/>
      <c r="G852" s="86"/>
      <c r="H852" s="86"/>
      <c r="I852" s="87"/>
      <c r="J852" s="85"/>
      <c r="K852" s="85"/>
      <c r="M852" s="81"/>
      <c r="O852" s="85"/>
      <c r="P852" s="85"/>
      <c r="Q852" s="81"/>
    </row>
    <row r="853" spans="3:17" x14ac:dyDescent="0.3">
      <c r="C853" s="81"/>
      <c r="F853" s="85"/>
      <c r="G853" s="86"/>
      <c r="H853" s="86"/>
      <c r="I853" s="87"/>
      <c r="J853" s="85"/>
      <c r="K853" s="85"/>
      <c r="M853" s="81"/>
      <c r="O853" s="85"/>
      <c r="P853" s="85"/>
      <c r="Q853" s="81"/>
    </row>
    <row r="854" spans="3:17" x14ac:dyDescent="0.3">
      <c r="C854" s="81"/>
      <c r="F854" s="85"/>
      <c r="G854" s="86"/>
      <c r="H854" s="86"/>
      <c r="I854" s="87"/>
      <c r="J854" s="85"/>
      <c r="K854" s="85"/>
      <c r="M854" s="81"/>
      <c r="O854" s="85"/>
      <c r="P854" s="85"/>
      <c r="Q854" s="81"/>
    </row>
    <row r="855" spans="3:17" x14ac:dyDescent="0.3">
      <c r="C855" s="81"/>
      <c r="F855" s="85"/>
      <c r="G855" s="86"/>
      <c r="H855" s="86"/>
      <c r="I855" s="87"/>
      <c r="J855" s="85"/>
      <c r="K855" s="85"/>
      <c r="M855" s="81"/>
      <c r="O855" s="85"/>
      <c r="P855" s="85"/>
      <c r="Q855" s="81"/>
    </row>
    <row r="856" spans="3:17" x14ac:dyDescent="0.3">
      <c r="C856" s="81"/>
      <c r="F856" s="85"/>
      <c r="G856" s="86"/>
      <c r="H856" s="86"/>
      <c r="I856" s="87"/>
      <c r="J856" s="85"/>
      <c r="K856" s="85"/>
      <c r="M856" s="81"/>
      <c r="O856" s="85"/>
      <c r="P856" s="85"/>
      <c r="Q856" s="81"/>
    </row>
    <row r="857" spans="3:17" x14ac:dyDescent="0.3">
      <c r="C857" s="81"/>
      <c r="F857" s="85"/>
      <c r="G857" s="86"/>
      <c r="H857" s="86"/>
      <c r="I857" s="87"/>
      <c r="J857" s="85"/>
      <c r="K857" s="85"/>
      <c r="M857" s="81"/>
      <c r="O857" s="85"/>
      <c r="P857" s="85"/>
      <c r="Q857" s="81"/>
    </row>
    <row r="858" spans="3:17" x14ac:dyDescent="0.3">
      <c r="C858" s="81"/>
      <c r="F858" s="85"/>
      <c r="G858" s="86"/>
      <c r="H858" s="86"/>
      <c r="I858" s="87"/>
      <c r="J858" s="85"/>
      <c r="K858" s="85"/>
      <c r="M858" s="81"/>
      <c r="O858" s="85"/>
      <c r="P858" s="85"/>
      <c r="Q858" s="81"/>
    </row>
    <row r="859" spans="3:17" x14ac:dyDescent="0.3">
      <c r="C859" s="81"/>
      <c r="F859" s="85"/>
      <c r="G859" s="86"/>
      <c r="H859" s="86"/>
      <c r="I859" s="87"/>
      <c r="J859" s="85"/>
      <c r="K859" s="85"/>
      <c r="M859" s="81"/>
      <c r="O859" s="85"/>
      <c r="P859" s="85"/>
      <c r="Q859" s="81"/>
    </row>
    <row r="860" spans="3:17" x14ac:dyDescent="0.3">
      <c r="C860" s="81"/>
      <c r="F860" s="85"/>
      <c r="G860" s="86"/>
      <c r="H860" s="86"/>
      <c r="I860" s="87"/>
      <c r="J860" s="85"/>
      <c r="K860" s="85"/>
      <c r="M860" s="81"/>
      <c r="O860" s="85"/>
      <c r="P860" s="85"/>
      <c r="Q860" s="81"/>
    </row>
    <row r="861" spans="3:17" x14ac:dyDescent="0.3">
      <c r="C861" s="81"/>
      <c r="F861" s="85"/>
      <c r="G861" s="86"/>
      <c r="H861" s="86"/>
      <c r="I861" s="87"/>
      <c r="J861" s="85"/>
      <c r="K861" s="85"/>
      <c r="M861" s="81"/>
      <c r="O861" s="85"/>
      <c r="P861" s="85"/>
      <c r="Q861" s="81"/>
    </row>
    <row r="862" spans="3:17" x14ac:dyDescent="0.3">
      <c r="C862" s="81"/>
      <c r="F862" s="85"/>
      <c r="G862" s="86"/>
      <c r="H862" s="86"/>
      <c r="I862" s="87"/>
      <c r="J862" s="85"/>
      <c r="K862" s="85"/>
      <c r="M862" s="81"/>
      <c r="O862" s="85"/>
      <c r="P862" s="85"/>
      <c r="Q862" s="81"/>
    </row>
    <row r="863" spans="3:17" x14ac:dyDescent="0.3">
      <c r="C863" s="81"/>
      <c r="F863" s="85"/>
      <c r="G863" s="86"/>
      <c r="H863" s="86"/>
      <c r="I863" s="87"/>
      <c r="J863" s="85"/>
      <c r="K863" s="85"/>
      <c r="M863" s="81"/>
      <c r="O863" s="85"/>
      <c r="P863" s="85"/>
      <c r="Q863" s="81"/>
    </row>
    <row r="864" spans="3:17" x14ac:dyDescent="0.3">
      <c r="C864" s="81"/>
      <c r="F864" s="85"/>
      <c r="G864" s="86"/>
      <c r="H864" s="86"/>
      <c r="I864" s="87"/>
      <c r="J864" s="85"/>
      <c r="K864" s="85"/>
      <c r="M864" s="81"/>
      <c r="O864" s="85"/>
      <c r="P864" s="85"/>
      <c r="Q864" s="81"/>
    </row>
    <row r="865" spans="3:17" x14ac:dyDescent="0.3">
      <c r="C865" s="81"/>
      <c r="F865" s="85"/>
      <c r="G865" s="86"/>
      <c r="H865" s="86"/>
      <c r="I865" s="87"/>
      <c r="J865" s="85"/>
      <c r="K865" s="85"/>
      <c r="M865" s="81"/>
      <c r="O865" s="85"/>
      <c r="P865" s="85"/>
      <c r="Q865" s="81"/>
    </row>
    <row r="866" spans="3:17" x14ac:dyDescent="0.3">
      <c r="C866" s="81"/>
      <c r="F866" s="85"/>
      <c r="G866" s="86"/>
      <c r="H866" s="86"/>
      <c r="I866" s="87"/>
      <c r="J866" s="85"/>
      <c r="K866" s="85"/>
      <c r="M866" s="81"/>
      <c r="O866" s="85"/>
      <c r="P866" s="85"/>
      <c r="Q866" s="81"/>
    </row>
    <row r="867" spans="3:17" x14ac:dyDescent="0.3">
      <c r="C867" s="81"/>
      <c r="F867" s="85"/>
      <c r="G867" s="86"/>
      <c r="H867" s="86"/>
      <c r="I867" s="87"/>
      <c r="J867" s="85"/>
      <c r="K867" s="85"/>
      <c r="M867" s="81"/>
      <c r="O867" s="85"/>
      <c r="P867" s="85"/>
      <c r="Q867" s="81"/>
    </row>
    <row r="868" spans="3:17" x14ac:dyDescent="0.3">
      <c r="C868" s="81"/>
      <c r="F868" s="85"/>
      <c r="G868" s="86"/>
      <c r="H868" s="86"/>
      <c r="I868" s="87"/>
      <c r="J868" s="85"/>
      <c r="K868" s="85"/>
      <c r="M868" s="81"/>
      <c r="O868" s="85"/>
      <c r="P868" s="85"/>
      <c r="Q868" s="81"/>
    </row>
    <row r="869" spans="3:17" x14ac:dyDescent="0.3">
      <c r="C869" s="81"/>
      <c r="F869" s="85"/>
      <c r="G869" s="86"/>
      <c r="H869" s="86"/>
      <c r="I869" s="87"/>
      <c r="J869" s="85"/>
      <c r="K869" s="85"/>
      <c r="M869" s="81"/>
      <c r="O869" s="85"/>
      <c r="P869" s="85"/>
      <c r="Q869" s="81"/>
    </row>
    <row r="870" spans="3:17" x14ac:dyDescent="0.3">
      <c r="C870" s="81"/>
      <c r="F870" s="85"/>
      <c r="G870" s="86"/>
      <c r="H870" s="86"/>
      <c r="I870" s="87"/>
      <c r="J870" s="85"/>
      <c r="K870" s="85"/>
      <c r="M870" s="81"/>
      <c r="O870" s="85"/>
      <c r="P870" s="85"/>
      <c r="Q870" s="81"/>
    </row>
    <row r="871" spans="3:17" x14ac:dyDescent="0.3">
      <c r="C871" s="81"/>
      <c r="F871" s="85"/>
      <c r="G871" s="86"/>
      <c r="H871" s="86"/>
      <c r="I871" s="87"/>
      <c r="J871" s="85"/>
      <c r="K871" s="85"/>
      <c r="M871" s="81"/>
      <c r="O871" s="85"/>
      <c r="P871" s="85"/>
      <c r="Q871" s="81"/>
    </row>
    <row r="872" spans="3:17" x14ac:dyDescent="0.3">
      <c r="C872" s="81"/>
      <c r="F872" s="85"/>
      <c r="G872" s="86"/>
      <c r="H872" s="86"/>
      <c r="I872" s="87"/>
      <c r="J872" s="85"/>
      <c r="K872" s="85"/>
      <c r="M872" s="81"/>
      <c r="O872" s="85"/>
      <c r="P872" s="85"/>
      <c r="Q872" s="81"/>
    </row>
    <row r="873" spans="3:17" x14ac:dyDescent="0.3">
      <c r="C873" s="81"/>
      <c r="F873" s="85"/>
      <c r="G873" s="86"/>
      <c r="H873" s="86"/>
      <c r="I873" s="87"/>
      <c r="J873" s="85"/>
      <c r="K873" s="85"/>
      <c r="M873" s="81"/>
      <c r="O873" s="85"/>
      <c r="P873" s="85"/>
      <c r="Q873" s="81"/>
    </row>
    <row r="874" spans="3:17" x14ac:dyDescent="0.3">
      <c r="C874" s="81"/>
      <c r="F874" s="85"/>
      <c r="G874" s="86"/>
      <c r="H874" s="86"/>
      <c r="I874" s="87"/>
      <c r="J874" s="85"/>
      <c r="K874" s="85"/>
      <c r="M874" s="81"/>
      <c r="O874" s="85"/>
      <c r="P874" s="85"/>
      <c r="Q874" s="81"/>
    </row>
    <row r="875" spans="3:17" x14ac:dyDescent="0.3">
      <c r="C875" s="81"/>
      <c r="F875" s="85"/>
      <c r="G875" s="86"/>
      <c r="H875" s="86"/>
      <c r="I875" s="87"/>
      <c r="J875" s="85"/>
      <c r="K875" s="85"/>
      <c r="M875" s="81"/>
      <c r="O875" s="85"/>
      <c r="P875" s="85"/>
      <c r="Q875" s="81"/>
    </row>
    <row r="876" spans="3:17" x14ac:dyDescent="0.3">
      <c r="C876" s="81"/>
      <c r="F876" s="85"/>
      <c r="G876" s="86"/>
      <c r="H876" s="86"/>
      <c r="I876" s="87"/>
      <c r="J876" s="85"/>
      <c r="K876" s="85"/>
      <c r="M876" s="81"/>
      <c r="O876" s="85"/>
      <c r="P876" s="85"/>
      <c r="Q876" s="81"/>
    </row>
    <row r="877" spans="3:17" x14ac:dyDescent="0.3">
      <c r="C877" s="81"/>
      <c r="F877" s="85"/>
      <c r="G877" s="86"/>
      <c r="H877" s="86"/>
      <c r="I877" s="87"/>
      <c r="J877" s="85"/>
      <c r="K877" s="85"/>
      <c r="M877" s="81"/>
      <c r="O877" s="85"/>
      <c r="P877" s="85"/>
      <c r="Q877" s="81"/>
    </row>
    <row r="878" spans="3:17" x14ac:dyDescent="0.3">
      <c r="C878" s="81"/>
      <c r="F878" s="85"/>
      <c r="G878" s="86"/>
      <c r="H878" s="86"/>
      <c r="I878" s="87"/>
      <c r="J878" s="85"/>
      <c r="K878" s="85"/>
      <c r="M878" s="81"/>
      <c r="O878" s="85"/>
      <c r="P878" s="85"/>
      <c r="Q878" s="81"/>
    </row>
    <row r="879" spans="3:17" x14ac:dyDescent="0.3">
      <c r="C879" s="81"/>
      <c r="F879" s="85"/>
      <c r="G879" s="86"/>
      <c r="H879" s="86"/>
      <c r="I879" s="87"/>
      <c r="J879" s="85"/>
      <c r="K879" s="85"/>
      <c r="M879" s="81"/>
      <c r="O879" s="85"/>
      <c r="P879" s="85"/>
      <c r="Q879" s="81"/>
    </row>
    <row r="880" spans="3:17" x14ac:dyDescent="0.3">
      <c r="C880" s="81"/>
      <c r="F880" s="85"/>
      <c r="G880" s="86"/>
      <c r="H880" s="86"/>
      <c r="I880" s="87"/>
      <c r="J880" s="85"/>
      <c r="K880" s="85"/>
      <c r="M880" s="81"/>
      <c r="O880" s="85"/>
      <c r="P880" s="85"/>
      <c r="Q880" s="81"/>
    </row>
    <row r="881" spans="3:17" x14ac:dyDescent="0.3">
      <c r="C881" s="81"/>
      <c r="F881" s="85"/>
      <c r="G881" s="86"/>
      <c r="H881" s="86"/>
      <c r="I881" s="87"/>
      <c r="J881" s="85"/>
      <c r="K881" s="85"/>
      <c r="M881" s="81"/>
      <c r="O881" s="85"/>
      <c r="P881" s="85"/>
      <c r="Q881" s="81"/>
    </row>
    <row r="882" spans="3:17" x14ac:dyDescent="0.3">
      <c r="C882" s="81"/>
      <c r="F882" s="85"/>
      <c r="G882" s="86"/>
      <c r="H882" s="86"/>
      <c r="I882" s="87"/>
      <c r="J882" s="85"/>
      <c r="K882" s="85"/>
      <c r="M882" s="81"/>
      <c r="O882" s="85"/>
      <c r="P882" s="85"/>
      <c r="Q882" s="81"/>
    </row>
    <row r="883" spans="3:17" x14ac:dyDescent="0.3">
      <c r="C883" s="81"/>
      <c r="F883" s="85"/>
      <c r="G883" s="86"/>
      <c r="H883" s="86"/>
      <c r="I883" s="87"/>
      <c r="J883" s="85"/>
      <c r="K883" s="85"/>
      <c r="M883" s="81"/>
      <c r="O883" s="85"/>
      <c r="P883" s="85"/>
      <c r="Q883" s="81"/>
    </row>
    <row r="884" spans="3:17" x14ac:dyDescent="0.3">
      <c r="C884" s="81"/>
      <c r="F884" s="85"/>
      <c r="G884" s="86"/>
      <c r="H884" s="86"/>
      <c r="I884" s="87"/>
      <c r="J884" s="85"/>
      <c r="K884" s="85"/>
      <c r="M884" s="81"/>
      <c r="O884" s="85"/>
      <c r="P884" s="85"/>
      <c r="Q884" s="81"/>
    </row>
    <row r="885" spans="3:17" x14ac:dyDescent="0.3">
      <c r="C885" s="81"/>
      <c r="F885" s="85"/>
      <c r="G885" s="86"/>
      <c r="H885" s="86"/>
      <c r="I885" s="87"/>
      <c r="J885" s="85"/>
      <c r="K885" s="85"/>
      <c r="M885" s="81"/>
      <c r="O885" s="85"/>
      <c r="P885" s="85"/>
      <c r="Q885" s="81"/>
    </row>
    <row r="886" spans="3:17" x14ac:dyDescent="0.3">
      <c r="C886" s="81"/>
      <c r="F886" s="85"/>
      <c r="G886" s="86"/>
      <c r="H886" s="86"/>
      <c r="I886" s="87"/>
      <c r="J886" s="85"/>
      <c r="K886" s="85"/>
      <c r="M886" s="81"/>
      <c r="O886" s="85"/>
      <c r="P886" s="85"/>
      <c r="Q886" s="81"/>
    </row>
    <row r="887" spans="3:17" x14ac:dyDescent="0.3">
      <c r="C887" s="81"/>
      <c r="F887" s="85"/>
      <c r="G887" s="86"/>
      <c r="H887" s="86"/>
      <c r="I887" s="87"/>
      <c r="J887" s="85"/>
      <c r="K887" s="85"/>
      <c r="M887" s="81"/>
      <c r="O887" s="85"/>
      <c r="P887" s="85"/>
      <c r="Q887" s="81"/>
    </row>
    <row r="888" spans="3:17" x14ac:dyDescent="0.3">
      <c r="C888" s="81"/>
      <c r="F888" s="85"/>
      <c r="G888" s="86"/>
      <c r="H888" s="86"/>
      <c r="I888" s="87"/>
      <c r="J888" s="85"/>
      <c r="K888" s="85"/>
      <c r="M888" s="81"/>
      <c r="O888" s="85"/>
      <c r="P888" s="85"/>
      <c r="Q888" s="81"/>
    </row>
    <row r="889" spans="3:17" x14ac:dyDescent="0.3">
      <c r="C889" s="81"/>
      <c r="F889" s="85"/>
      <c r="G889" s="86"/>
      <c r="H889" s="86"/>
      <c r="I889" s="87"/>
      <c r="J889" s="85"/>
      <c r="K889" s="85"/>
      <c r="M889" s="81"/>
      <c r="O889" s="85"/>
      <c r="P889" s="85"/>
      <c r="Q889" s="81"/>
    </row>
    <row r="890" spans="3:17" x14ac:dyDescent="0.3">
      <c r="C890" s="81"/>
      <c r="F890" s="85"/>
      <c r="G890" s="86"/>
      <c r="H890" s="86"/>
      <c r="I890" s="87"/>
      <c r="J890" s="85"/>
      <c r="K890" s="85"/>
      <c r="M890" s="81"/>
      <c r="O890" s="85"/>
      <c r="P890" s="85"/>
      <c r="Q890" s="81"/>
    </row>
    <row r="891" spans="3:17" x14ac:dyDescent="0.3">
      <c r="C891" s="81"/>
      <c r="F891" s="85"/>
      <c r="G891" s="86"/>
      <c r="H891" s="86"/>
      <c r="I891" s="87"/>
      <c r="J891" s="85"/>
      <c r="K891" s="85"/>
      <c r="M891" s="81"/>
      <c r="O891" s="85"/>
      <c r="P891" s="85"/>
      <c r="Q891" s="81"/>
    </row>
    <row r="892" spans="3:17" x14ac:dyDescent="0.3">
      <c r="C892" s="81"/>
      <c r="F892" s="85"/>
      <c r="G892" s="86"/>
      <c r="H892" s="86"/>
      <c r="I892" s="87"/>
      <c r="J892" s="85"/>
      <c r="K892" s="85"/>
      <c r="M892" s="81"/>
      <c r="O892" s="85"/>
      <c r="P892" s="85"/>
      <c r="Q892" s="81"/>
    </row>
    <row r="893" spans="3:17" x14ac:dyDescent="0.3">
      <c r="C893" s="81"/>
      <c r="F893" s="85"/>
      <c r="G893" s="86"/>
      <c r="H893" s="86"/>
      <c r="I893" s="87"/>
      <c r="J893" s="85"/>
      <c r="K893" s="85"/>
      <c r="M893" s="81"/>
      <c r="O893" s="85"/>
      <c r="P893" s="85"/>
      <c r="Q893" s="81"/>
    </row>
    <row r="894" spans="3:17" x14ac:dyDescent="0.3">
      <c r="C894" s="81"/>
      <c r="F894" s="85"/>
      <c r="G894" s="86"/>
      <c r="H894" s="86"/>
      <c r="I894" s="87"/>
      <c r="J894" s="85"/>
      <c r="K894" s="85"/>
      <c r="M894" s="81"/>
      <c r="O894" s="85"/>
      <c r="P894" s="85"/>
      <c r="Q894" s="81"/>
    </row>
    <row r="895" spans="3:17" x14ac:dyDescent="0.3">
      <c r="C895" s="81"/>
      <c r="F895" s="85"/>
      <c r="G895" s="86"/>
      <c r="H895" s="86"/>
      <c r="I895" s="87"/>
      <c r="J895" s="85"/>
      <c r="K895" s="85"/>
      <c r="M895" s="81"/>
      <c r="O895" s="85"/>
      <c r="P895" s="85"/>
      <c r="Q895" s="81"/>
    </row>
    <row r="896" spans="3:17" x14ac:dyDescent="0.3">
      <c r="C896" s="81"/>
      <c r="F896" s="85"/>
      <c r="G896" s="86"/>
      <c r="H896" s="86"/>
      <c r="I896" s="87"/>
      <c r="J896" s="85"/>
      <c r="K896" s="85"/>
      <c r="M896" s="81"/>
      <c r="O896" s="85"/>
      <c r="P896" s="85"/>
      <c r="Q896" s="81"/>
    </row>
    <row r="897" spans="3:17" x14ac:dyDescent="0.3">
      <c r="C897" s="81"/>
      <c r="F897" s="85"/>
      <c r="G897" s="86"/>
      <c r="H897" s="86"/>
      <c r="I897" s="87"/>
      <c r="J897" s="85"/>
      <c r="K897" s="85"/>
      <c r="M897" s="81"/>
      <c r="O897" s="85"/>
      <c r="P897" s="85"/>
      <c r="Q897" s="81"/>
    </row>
    <row r="898" spans="3:17" x14ac:dyDescent="0.3">
      <c r="C898" s="81"/>
      <c r="F898" s="85"/>
      <c r="G898" s="86"/>
      <c r="H898" s="86"/>
      <c r="I898" s="87"/>
      <c r="J898" s="85"/>
      <c r="K898" s="85"/>
      <c r="M898" s="81"/>
      <c r="O898" s="85"/>
      <c r="P898" s="85"/>
      <c r="Q898" s="81"/>
    </row>
    <row r="899" spans="3:17" x14ac:dyDescent="0.3">
      <c r="C899" s="81"/>
      <c r="F899" s="85"/>
      <c r="G899" s="86"/>
      <c r="H899" s="86"/>
      <c r="I899" s="87"/>
      <c r="J899" s="85"/>
      <c r="K899" s="85"/>
      <c r="M899" s="81"/>
      <c r="O899" s="85"/>
      <c r="P899" s="85"/>
      <c r="Q899" s="81"/>
    </row>
    <row r="900" spans="3:17" x14ac:dyDescent="0.3">
      <c r="C900" s="81"/>
      <c r="F900" s="85"/>
      <c r="G900" s="86"/>
      <c r="H900" s="86"/>
      <c r="I900" s="87"/>
      <c r="J900" s="85"/>
      <c r="K900" s="85"/>
      <c r="M900" s="81"/>
      <c r="O900" s="85"/>
      <c r="P900" s="85"/>
      <c r="Q900" s="81"/>
    </row>
    <row r="901" spans="3:17" x14ac:dyDescent="0.3">
      <c r="C901" s="81"/>
      <c r="F901" s="85"/>
      <c r="G901" s="86"/>
      <c r="H901" s="86"/>
      <c r="I901" s="87"/>
      <c r="J901" s="85"/>
      <c r="K901" s="85"/>
      <c r="M901" s="81"/>
      <c r="O901" s="85"/>
      <c r="P901" s="85"/>
      <c r="Q901" s="81"/>
    </row>
    <row r="902" spans="3:17" x14ac:dyDescent="0.3">
      <c r="C902" s="81"/>
      <c r="F902" s="85"/>
      <c r="G902" s="86"/>
      <c r="H902" s="86"/>
      <c r="I902" s="87"/>
      <c r="J902" s="85"/>
      <c r="K902" s="85"/>
      <c r="M902" s="81"/>
      <c r="O902" s="85"/>
      <c r="P902" s="85"/>
      <c r="Q902" s="81"/>
    </row>
    <row r="903" spans="3:17" x14ac:dyDescent="0.3">
      <c r="C903" s="81"/>
      <c r="F903" s="85"/>
      <c r="G903" s="86"/>
      <c r="H903" s="86"/>
      <c r="I903" s="87"/>
      <c r="J903" s="85"/>
      <c r="K903" s="85"/>
      <c r="M903" s="81"/>
      <c r="O903" s="85"/>
      <c r="P903" s="85"/>
      <c r="Q903" s="81"/>
    </row>
    <row r="904" spans="3:17" x14ac:dyDescent="0.3">
      <c r="C904" s="81"/>
      <c r="F904" s="85"/>
      <c r="G904" s="86"/>
      <c r="H904" s="86"/>
      <c r="I904" s="87"/>
      <c r="J904" s="85"/>
      <c r="K904" s="85"/>
      <c r="M904" s="81"/>
      <c r="O904" s="85"/>
      <c r="P904" s="85"/>
      <c r="Q904" s="81"/>
    </row>
    <row r="905" spans="3:17" x14ac:dyDescent="0.3">
      <c r="C905" s="81"/>
      <c r="F905" s="85"/>
      <c r="G905" s="86"/>
      <c r="H905" s="86"/>
      <c r="I905" s="87"/>
      <c r="J905" s="85"/>
      <c r="K905" s="85"/>
      <c r="M905" s="81"/>
      <c r="O905" s="85"/>
      <c r="P905" s="85"/>
      <c r="Q905" s="81"/>
    </row>
    <row r="906" spans="3:17" x14ac:dyDescent="0.3">
      <c r="C906" s="81"/>
      <c r="F906" s="85"/>
      <c r="G906" s="86"/>
      <c r="H906" s="86"/>
      <c r="I906" s="87"/>
      <c r="J906" s="85"/>
      <c r="K906" s="85"/>
      <c r="M906" s="81"/>
      <c r="O906" s="85"/>
      <c r="P906" s="85"/>
      <c r="Q906" s="81"/>
    </row>
    <row r="907" spans="3:17" x14ac:dyDescent="0.3">
      <c r="C907" s="81"/>
      <c r="F907" s="85"/>
      <c r="G907" s="86"/>
      <c r="H907" s="86"/>
      <c r="I907" s="87"/>
      <c r="J907" s="85"/>
      <c r="K907" s="85"/>
      <c r="M907" s="81"/>
      <c r="O907" s="85"/>
      <c r="P907" s="85"/>
      <c r="Q907" s="81"/>
    </row>
    <row r="908" spans="3:17" x14ac:dyDescent="0.3">
      <c r="C908" s="81"/>
      <c r="F908" s="85"/>
      <c r="G908" s="86"/>
      <c r="H908" s="86"/>
      <c r="I908" s="87"/>
      <c r="J908" s="85"/>
      <c r="K908" s="85"/>
      <c r="M908" s="81"/>
      <c r="O908" s="85"/>
      <c r="P908" s="85"/>
      <c r="Q908" s="81"/>
    </row>
    <row r="909" spans="3:17" x14ac:dyDescent="0.3">
      <c r="C909" s="81"/>
      <c r="F909" s="85"/>
      <c r="G909" s="86"/>
      <c r="H909" s="86"/>
      <c r="I909" s="87"/>
      <c r="J909" s="85"/>
      <c r="K909" s="85"/>
      <c r="M909" s="81"/>
      <c r="O909" s="85"/>
      <c r="P909" s="85"/>
      <c r="Q909" s="81"/>
    </row>
    <row r="910" spans="3:17" x14ac:dyDescent="0.3">
      <c r="C910" s="81"/>
      <c r="F910" s="85"/>
      <c r="G910" s="86"/>
      <c r="H910" s="86"/>
      <c r="I910" s="87"/>
      <c r="J910" s="85"/>
      <c r="K910" s="85"/>
      <c r="M910" s="81"/>
      <c r="O910" s="85"/>
      <c r="P910" s="85"/>
      <c r="Q910" s="81"/>
    </row>
    <row r="911" spans="3:17" x14ac:dyDescent="0.3">
      <c r="C911" s="81"/>
      <c r="F911" s="85"/>
      <c r="G911" s="86"/>
      <c r="H911" s="86"/>
      <c r="I911" s="87"/>
      <c r="J911" s="85"/>
      <c r="K911" s="85"/>
      <c r="M911" s="81"/>
      <c r="O911" s="85"/>
      <c r="P911" s="85"/>
      <c r="Q911" s="81"/>
    </row>
    <row r="912" spans="3:17" x14ac:dyDescent="0.3">
      <c r="C912" s="81"/>
      <c r="F912" s="85"/>
      <c r="G912" s="86"/>
      <c r="H912" s="86"/>
      <c r="I912" s="87"/>
      <c r="J912" s="85"/>
      <c r="K912" s="85"/>
      <c r="M912" s="81"/>
      <c r="O912" s="85"/>
      <c r="P912" s="85"/>
      <c r="Q912" s="81"/>
    </row>
    <row r="913" spans="3:17" x14ac:dyDescent="0.3">
      <c r="C913" s="81"/>
      <c r="F913" s="85"/>
      <c r="G913" s="86"/>
      <c r="H913" s="86"/>
      <c r="I913" s="87"/>
      <c r="J913" s="85"/>
      <c r="K913" s="85"/>
      <c r="M913" s="81"/>
      <c r="O913" s="85"/>
      <c r="P913" s="85"/>
      <c r="Q913" s="81"/>
    </row>
    <row r="914" spans="3:17" x14ac:dyDescent="0.3">
      <c r="C914" s="81"/>
      <c r="F914" s="85"/>
      <c r="G914" s="86"/>
      <c r="H914" s="86"/>
      <c r="I914" s="87"/>
      <c r="J914" s="85"/>
      <c r="K914" s="85"/>
      <c r="M914" s="81"/>
      <c r="O914" s="85"/>
      <c r="P914" s="85"/>
      <c r="Q914" s="81"/>
    </row>
    <row r="915" spans="3:17" x14ac:dyDescent="0.3">
      <c r="C915" s="81"/>
      <c r="F915" s="85"/>
      <c r="G915" s="86"/>
      <c r="H915" s="86"/>
      <c r="I915" s="87"/>
      <c r="J915" s="85"/>
      <c r="K915" s="85"/>
      <c r="M915" s="81"/>
      <c r="O915" s="85"/>
      <c r="P915" s="85"/>
      <c r="Q915" s="81"/>
    </row>
    <row r="916" spans="3:17" x14ac:dyDescent="0.3">
      <c r="C916" s="81"/>
      <c r="F916" s="85"/>
      <c r="G916" s="86"/>
      <c r="H916" s="86"/>
      <c r="I916" s="87"/>
      <c r="J916" s="85"/>
      <c r="K916" s="85"/>
      <c r="M916" s="81"/>
      <c r="O916" s="85"/>
      <c r="P916" s="85"/>
      <c r="Q916" s="81"/>
    </row>
    <row r="917" spans="3:17" x14ac:dyDescent="0.3">
      <c r="C917" s="81"/>
      <c r="F917" s="85"/>
      <c r="G917" s="86"/>
      <c r="H917" s="86"/>
      <c r="I917" s="87"/>
      <c r="J917" s="85"/>
      <c r="K917" s="85"/>
      <c r="M917" s="81"/>
      <c r="O917" s="85"/>
      <c r="P917" s="85"/>
      <c r="Q917" s="81"/>
    </row>
    <row r="918" spans="3:17" x14ac:dyDescent="0.3">
      <c r="C918" s="81"/>
      <c r="F918" s="85"/>
      <c r="G918" s="86"/>
      <c r="H918" s="86"/>
      <c r="I918" s="87"/>
      <c r="J918" s="85"/>
      <c r="K918" s="85"/>
      <c r="M918" s="81"/>
      <c r="O918" s="85"/>
      <c r="P918" s="85"/>
      <c r="Q918" s="81"/>
    </row>
    <row r="919" spans="3:17" x14ac:dyDescent="0.3">
      <c r="C919" s="81"/>
      <c r="F919" s="85"/>
      <c r="G919" s="86"/>
      <c r="H919" s="86"/>
      <c r="I919" s="87"/>
      <c r="J919" s="85"/>
      <c r="K919" s="85"/>
      <c r="M919" s="81"/>
      <c r="O919" s="85"/>
      <c r="P919" s="85"/>
      <c r="Q919" s="81"/>
    </row>
    <row r="920" spans="3:17" x14ac:dyDescent="0.3">
      <c r="C920" s="81"/>
      <c r="F920" s="85"/>
      <c r="G920" s="86"/>
      <c r="H920" s="86"/>
      <c r="I920" s="87"/>
      <c r="J920" s="85"/>
      <c r="K920" s="85"/>
      <c r="M920" s="81"/>
      <c r="O920" s="85"/>
      <c r="P920" s="85"/>
      <c r="Q920" s="81"/>
    </row>
    <row r="921" spans="3:17" x14ac:dyDescent="0.3">
      <c r="C921" s="81"/>
      <c r="F921" s="85"/>
      <c r="G921" s="86"/>
      <c r="H921" s="86"/>
      <c r="I921" s="87"/>
      <c r="J921" s="85"/>
      <c r="K921" s="85"/>
      <c r="M921" s="81"/>
      <c r="O921" s="85"/>
      <c r="P921" s="85"/>
      <c r="Q921" s="81"/>
    </row>
    <row r="922" spans="3:17" x14ac:dyDescent="0.3">
      <c r="C922" s="81"/>
      <c r="F922" s="85"/>
      <c r="G922" s="86"/>
      <c r="H922" s="86"/>
      <c r="I922" s="87"/>
      <c r="J922" s="85"/>
      <c r="K922" s="85"/>
      <c r="M922" s="81"/>
      <c r="O922" s="85"/>
      <c r="P922" s="85"/>
      <c r="Q922" s="81"/>
    </row>
    <row r="923" spans="3:17" x14ac:dyDescent="0.3">
      <c r="C923" s="81"/>
      <c r="F923" s="85"/>
      <c r="G923" s="86"/>
      <c r="H923" s="86"/>
      <c r="I923" s="87"/>
      <c r="J923" s="85"/>
      <c r="K923" s="85"/>
      <c r="M923" s="81"/>
      <c r="O923" s="85"/>
      <c r="P923" s="85"/>
      <c r="Q923" s="81"/>
    </row>
    <row r="924" spans="3:17" x14ac:dyDescent="0.3">
      <c r="C924" s="81"/>
      <c r="F924" s="85"/>
      <c r="G924" s="86"/>
      <c r="H924" s="86"/>
      <c r="I924" s="87"/>
      <c r="J924" s="85"/>
      <c r="K924" s="85"/>
      <c r="M924" s="81"/>
      <c r="O924" s="85"/>
      <c r="P924" s="85"/>
      <c r="Q924" s="81"/>
    </row>
    <row r="925" spans="3:17" x14ac:dyDescent="0.3">
      <c r="C925" s="81"/>
      <c r="F925" s="85"/>
      <c r="G925" s="86"/>
      <c r="H925" s="86"/>
      <c r="I925" s="87"/>
      <c r="J925" s="85"/>
      <c r="K925" s="85"/>
      <c r="M925" s="81"/>
      <c r="O925" s="85"/>
      <c r="P925" s="85"/>
      <c r="Q925" s="81"/>
    </row>
    <row r="926" spans="3:17" x14ac:dyDescent="0.3">
      <c r="C926" s="81"/>
      <c r="F926" s="85"/>
      <c r="G926" s="86"/>
      <c r="H926" s="86"/>
      <c r="I926" s="87"/>
      <c r="J926" s="85"/>
      <c r="K926" s="85"/>
      <c r="M926" s="81"/>
      <c r="O926" s="85"/>
      <c r="P926" s="85"/>
      <c r="Q926" s="81"/>
    </row>
    <row r="927" spans="3:17" x14ac:dyDescent="0.3">
      <c r="C927" s="81"/>
      <c r="F927" s="85"/>
      <c r="G927" s="86"/>
      <c r="H927" s="86"/>
      <c r="I927" s="87"/>
      <c r="J927" s="85"/>
      <c r="K927" s="85"/>
      <c r="M927" s="81"/>
      <c r="O927" s="85"/>
      <c r="P927" s="85"/>
      <c r="Q927" s="81"/>
    </row>
    <row r="928" spans="3:17" x14ac:dyDescent="0.3">
      <c r="C928" s="81"/>
      <c r="F928" s="85"/>
      <c r="G928" s="86"/>
      <c r="H928" s="86"/>
      <c r="I928" s="87"/>
      <c r="J928" s="85"/>
      <c r="K928" s="85"/>
      <c r="M928" s="81"/>
      <c r="O928" s="85"/>
      <c r="P928" s="85"/>
      <c r="Q928" s="81"/>
    </row>
    <row r="929" spans="3:17" x14ac:dyDescent="0.3">
      <c r="C929" s="81"/>
      <c r="F929" s="85"/>
      <c r="G929" s="86"/>
      <c r="H929" s="86"/>
      <c r="I929" s="87"/>
      <c r="J929" s="85"/>
      <c r="K929" s="85"/>
      <c r="M929" s="81"/>
      <c r="O929" s="85"/>
      <c r="P929" s="85"/>
      <c r="Q929" s="81"/>
    </row>
    <row r="930" spans="3:17" x14ac:dyDescent="0.3">
      <c r="C930" s="81"/>
      <c r="F930" s="85"/>
      <c r="G930" s="86"/>
      <c r="H930" s="86"/>
      <c r="I930" s="87"/>
      <c r="J930" s="85"/>
      <c r="K930" s="85"/>
      <c r="M930" s="81"/>
      <c r="O930" s="85"/>
      <c r="P930" s="85"/>
      <c r="Q930" s="81"/>
    </row>
    <row r="931" spans="3:17" x14ac:dyDescent="0.3">
      <c r="C931" s="81"/>
      <c r="F931" s="85"/>
      <c r="G931" s="86"/>
      <c r="H931" s="86"/>
      <c r="I931" s="87"/>
      <c r="J931" s="85"/>
      <c r="K931" s="85"/>
      <c r="M931" s="81"/>
      <c r="O931" s="85"/>
      <c r="P931" s="85"/>
      <c r="Q931" s="81"/>
    </row>
    <row r="932" spans="3:17" x14ac:dyDescent="0.3">
      <c r="C932" s="81"/>
      <c r="F932" s="85"/>
      <c r="G932" s="86"/>
      <c r="H932" s="86"/>
      <c r="I932" s="87"/>
      <c r="J932" s="85"/>
      <c r="K932" s="85"/>
      <c r="M932" s="81"/>
      <c r="O932" s="85"/>
      <c r="P932" s="85"/>
      <c r="Q932" s="81"/>
    </row>
    <row r="933" spans="3:17" x14ac:dyDescent="0.3">
      <c r="C933" s="81"/>
      <c r="F933" s="85"/>
      <c r="G933" s="86"/>
      <c r="H933" s="86"/>
      <c r="I933" s="87"/>
      <c r="J933" s="85"/>
      <c r="K933" s="85"/>
      <c r="M933" s="81"/>
      <c r="O933" s="85"/>
      <c r="P933" s="85"/>
      <c r="Q933" s="81"/>
    </row>
    <row r="934" spans="3:17" x14ac:dyDescent="0.3">
      <c r="C934" s="81"/>
      <c r="F934" s="85"/>
      <c r="G934" s="86"/>
      <c r="H934" s="86"/>
      <c r="I934" s="87"/>
      <c r="J934" s="85"/>
      <c r="K934" s="85"/>
      <c r="M934" s="81"/>
      <c r="O934" s="85"/>
      <c r="P934" s="85"/>
      <c r="Q934" s="81"/>
    </row>
    <row r="935" spans="3:17" x14ac:dyDescent="0.3">
      <c r="C935" s="81"/>
      <c r="F935" s="85"/>
      <c r="G935" s="86"/>
      <c r="H935" s="86"/>
      <c r="I935" s="87"/>
      <c r="J935" s="85"/>
      <c r="K935" s="85"/>
      <c r="M935" s="81"/>
      <c r="O935" s="85"/>
      <c r="P935" s="85"/>
      <c r="Q935" s="81"/>
    </row>
    <row r="936" spans="3:17" x14ac:dyDescent="0.3">
      <c r="C936" s="81"/>
      <c r="F936" s="85"/>
      <c r="G936" s="86"/>
      <c r="H936" s="86"/>
      <c r="I936" s="87"/>
      <c r="J936" s="85"/>
      <c r="K936" s="85"/>
      <c r="M936" s="81"/>
      <c r="O936" s="85"/>
      <c r="P936" s="85"/>
      <c r="Q936" s="81"/>
    </row>
    <row r="937" spans="3:17" x14ac:dyDescent="0.3">
      <c r="C937" s="81"/>
      <c r="F937" s="85"/>
      <c r="G937" s="86"/>
      <c r="H937" s="86"/>
      <c r="I937" s="87"/>
      <c r="J937" s="85"/>
      <c r="K937" s="85"/>
      <c r="M937" s="81"/>
      <c r="O937" s="85"/>
      <c r="P937" s="85"/>
      <c r="Q937" s="81"/>
    </row>
    <row r="938" spans="3:17" x14ac:dyDescent="0.3">
      <c r="C938" s="81"/>
      <c r="F938" s="85"/>
      <c r="G938" s="86"/>
      <c r="H938" s="86"/>
      <c r="I938" s="87"/>
      <c r="J938" s="85"/>
      <c r="K938" s="85"/>
      <c r="M938" s="81"/>
      <c r="O938" s="85"/>
      <c r="P938" s="85"/>
      <c r="Q938" s="81"/>
    </row>
    <row r="939" spans="3:17" x14ac:dyDescent="0.3">
      <c r="C939" s="81"/>
      <c r="F939" s="85"/>
      <c r="G939" s="86"/>
      <c r="H939" s="86"/>
      <c r="I939" s="87"/>
      <c r="J939" s="85"/>
      <c r="K939" s="85"/>
      <c r="M939" s="81"/>
      <c r="O939" s="85"/>
      <c r="P939" s="85"/>
      <c r="Q939" s="81"/>
    </row>
    <row r="940" spans="3:17" x14ac:dyDescent="0.3">
      <c r="C940" s="81"/>
      <c r="F940" s="85"/>
      <c r="G940" s="86"/>
      <c r="H940" s="86"/>
      <c r="I940" s="87"/>
      <c r="J940" s="85"/>
      <c r="K940" s="85"/>
      <c r="M940" s="81"/>
      <c r="O940" s="85"/>
      <c r="P940" s="85"/>
      <c r="Q940" s="81"/>
    </row>
    <row r="941" spans="3:17" x14ac:dyDescent="0.3">
      <c r="C941" s="81"/>
      <c r="F941" s="85"/>
      <c r="G941" s="86"/>
      <c r="H941" s="86"/>
      <c r="I941" s="87"/>
      <c r="J941" s="85"/>
      <c r="K941" s="85"/>
      <c r="M941" s="81"/>
      <c r="O941" s="85"/>
      <c r="P941" s="85"/>
      <c r="Q941" s="81"/>
    </row>
    <row r="942" spans="3:17" x14ac:dyDescent="0.3">
      <c r="C942" s="81"/>
      <c r="F942" s="85"/>
      <c r="G942" s="86"/>
      <c r="H942" s="86"/>
      <c r="I942" s="87"/>
      <c r="J942" s="85"/>
      <c r="K942" s="85"/>
      <c r="M942" s="81"/>
      <c r="O942" s="85"/>
      <c r="P942" s="85"/>
      <c r="Q942" s="81"/>
    </row>
    <row r="943" spans="3:17" x14ac:dyDescent="0.3">
      <c r="C943" s="81"/>
      <c r="F943" s="85"/>
      <c r="G943" s="86"/>
      <c r="H943" s="86"/>
      <c r="I943" s="87"/>
      <c r="J943" s="85"/>
      <c r="K943" s="85"/>
      <c r="M943" s="81"/>
      <c r="O943" s="85"/>
      <c r="P943" s="85"/>
      <c r="Q943" s="81"/>
    </row>
    <row r="944" spans="3:17" x14ac:dyDescent="0.3">
      <c r="C944" s="81"/>
      <c r="F944" s="85"/>
      <c r="G944" s="86"/>
      <c r="H944" s="86"/>
      <c r="I944" s="87"/>
      <c r="J944" s="85"/>
      <c r="K944" s="85"/>
      <c r="M944" s="81"/>
      <c r="O944" s="85"/>
      <c r="P944" s="85"/>
      <c r="Q944" s="81"/>
    </row>
    <row r="945" spans="3:17" x14ac:dyDescent="0.3">
      <c r="C945" s="81"/>
      <c r="F945" s="85"/>
      <c r="G945" s="86"/>
      <c r="H945" s="86"/>
      <c r="I945" s="87"/>
      <c r="J945" s="85"/>
      <c r="K945" s="85"/>
      <c r="M945" s="81"/>
      <c r="O945" s="85"/>
      <c r="P945" s="85"/>
      <c r="Q945" s="81"/>
    </row>
    <row r="946" spans="3:17" x14ac:dyDescent="0.3">
      <c r="C946" s="81"/>
      <c r="F946" s="85"/>
      <c r="G946" s="86"/>
      <c r="H946" s="86"/>
      <c r="I946" s="87"/>
      <c r="J946" s="85"/>
      <c r="K946" s="85"/>
      <c r="M946" s="81"/>
      <c r="O946" s="85"/>
      <c r="P946" s="85"/>
      <c r="Q946" s="81"/>
    </row>
    <row r="947" spans="3:17" x14ac:dyDescent="0.3">
      <c r="C947" s="81"/>
      <c r="F947" s="85"/>
      <c r="G947" s="86"/>
      <c r="H947" s="86"/>
      <c r="I947" s="87"/>
      <c r="J947" s="85"/>
      <c r="K947" s="85"/>
      <c r="M947" s="81"/>
      <c r="O947" s="85"/>
      <c r="P947" s="85"/>
      <c r="Q947" s="81"/>
    </row>
    <row r="948" spans="3:17" x14ac:dyDescent="0.3">
      <c r="C948" s="81"/>
      <c r="F948" s="85"/>
      <c r="G948" s="86"/>
      <c r="H948" s="86"/>
      <c r="I948" s="87"/>
      <c r="J948" s="85"/>
      <c r="K948" s="85"/>
      <c r="M948" s="81"/>
      <c r="O948" s="85"/>
      <c r="P948" s="85"/>
      <c r="Q948" s="81"/>
    </row>
    <row r="949" spans="3:17" x14ac:dyDescent="0.3">
      <c r="C949" s="81"/>
      <c r="F949" s="85"/>
      <c r="G949" s="86"/>
      <c r="H949" s="86"/>
      <c r="I949" s="87"/>
      <c r="J949" s="85"/>
      <c r="K949" s="85"/>
      <c r="M949" s="81"/>
      <c r="O949" s="85"/>
      <c r="P949" s="85"/>
      <c r="Q949" s="81"/>
    </row>
    <row r="950" spans="3:17" x14ac:dyDescent="0.3">
      <c r="C950" s="81"/>
      <c r="F950" s="85"/>
      <c r="G950" s="86"/>
      <c r="H950" s="86"/>
      <c r="I950" s="87"/>
      <c r="J950" s="85"/>
      <c r="K950" s="85"/>
      <c r="M950" s="81"/>
      <c r="O950" s="85"/>
      <c r="P950" s="85"/>
      <c r="Q950" s="81"/>
    </row>
    <row r="951" spans="3:17" x14ac:dyDescent="0.3">
      <c r="C951" s="81"/>
      <c r="F951" s="85"/>
      <c r="G951" s="86"/>
      <c r="H951" s="86"/>
      <c r="I951" s="87"/>
      <c r="J951" s="85"/>
      <c r="K951" s="85"/>
      <c r="M951" s="81"/>
      <c r="O951" s="85"/>
      <c r="P951" s="85"/>
      <c r="Q951" s="81"/>
    </row>
    <row r="952" spans="3:17" x14ac:dyDescent="0.3">
      <c r="C952" s="81"/>
      <c r="F952" s="85"/>
      <c r="G952" s="86"/>
      <c r="H952" s="86"/>
      <c r="I952" s="87"/>
      <c r="J952" s="85"/>
      <c r="K952" s="85"/>
      <c r="M952" s="81"/>
      <c r="O952" s="85"/>
      <c r="P952" s="85"/>
      <c r="Q952" s="81"/>
    </row>
    <row r="953" spans="3:17" x14ac:dyDescent="0.3">
      <c r="C953" s="81"/>
      <c r="F953" s="85"/>
      <c r="G953" s="86"/>
      <c r="H953" s="86"/>
      <c r="I953" s="87"/>
      <c r="J953" s="85"/>
      <c r="K953" s="85"/>
      <c r="M953" s="81"/>
      <c r="O953" s="85"/>
      <c r="P953" s="85"/>
      <c r="Q953" s="81"/>
    </row>
    <row r="954" spans="3:17" x14ac:dyDescent="0.3">
      <c r="C954" s="81"/>
      <c r="F954" s="85"/>
      <c r="G954" s="86"/>
      <c r="H954" s="86"/>
      <c r="I954" s="87"/>
      <c r="J954" s="85"/>
      <c r="K954" s="85"/>
      <c r="M954" s="81"/>
      <c r="O954" s="85"/>
      <c r="P954" s="85"/>
      <c r="Q954" s="81"/>
    </row>
    <row r="955" spans="3:17" x14ac:dyDescent="0.3">
      <c r="C955" s="81"/>
      <c r="F955" s="85"/>
      <c r="G955" s="86"/>
      <c r="H955" s="86"/>
      <c r="I955" s="87"/>
      <c r="J955" s="85"/>
      <c r="K955" s="85"/>
      <c r="M955" s="81"/>
      <c r="O955" s="85"/>
      <c r="P955" s="85"/>
      <c r="Q955" s="81"/>
    </row>
    <row r="956" spans="3:17" x14ac:dyDescent="0.3">
      <c r="C956" s="81"/>
      <c r="F956" s="85"/>
      <c r="G956" s="86"/>
      <c r="H956" s="86"/>
      <c r="I956" s="87"/>
      <c r="J956" s="85"/>
      <c r="K956" s="85"/>
      <c r="M956" s="81"/>
      <c r="O956" s="85"/>
      <c r="P956" s="85"/>
      <c r="Q956" s="81"/>
    </row>
    <row r="957" spans="3:17" x14ac:dyDescent="0.3">
      <c r="C957" s="81"/>
      <c r="F957" s="85"/>
      <c r="G957" s="86"/>
      <c r="H957" s="86"/>
      <c r="I957" s="87"/>
      <c r="J957" s="85"/>
      <c r="K957" s="85"/>
      <c r="M957" s="81"/>
      <c r="O957" s="85"/>
      <c r="P957" s="85"/>
      <c r="Q957" s="81"/>
    </row>
    <row r="958" spans="3:17" x14ac:dyDescent="0.3">
      <c r="C958" s="81"/>
      <c r="F958" s="85"/>
      <c r="G958" s="86"/>
      <c r="H958" s="86"/>
      <c r="I958" s="87"/>
      <c r="J958" s="85"/>
      <c r="K958" s="85"/>
      <c r="M958" s="81"/>
      <c r="O958" s="85"/>
      <c r="P958" s="85"/>
      <c r="Q958" s="81"/>
    </row>
    <row r="959" spans="3:17" x14ac:dyDescent="0.3">
      <c r="C959" s="81"/>
      <c r="F959" s="85"/>
      <c r="G959" s="86"/>
      <c r="H959" s="86"/>
      <c r="I959" s="87"/>
      <c r="J959" s="85"/>
      <c r="K959" s="85"/>
      <c r="M959" s="81"/>
      <c r="O959" s="85"/>
      <c r="P959" s="85"/>
      <c r="Q959" s="81"/>
    </row>
    <row r="960" spans="3:17" x14ac:dyDescent="0.3">
      <c r="C960" s="81"/>
      <c r="F960" s="85"/>
      <c r="G960" s="86"/>
      <c r="H960" s="86"/>
      <c r="I960" s="87"/>
      <c r="J960" s="85"/>
      <c r="K960" s="85"/>
      <c r="M960" s="81"/>
      <c r="O960" s="85"/>
      <c r="P960" s="85"/>
      <c r="Q960" s="81"/>
    </row>
    <row r="961" spans="3:17" x14ac:dyDescent="0.3">
      <c r="C961" s="81"/>
      <c r="F961" s="85"/>
      <c r="G961" s="86"/>
      <c r="H961" s="86"/>
      <c r="I961" s="87"/>
      <c r="J961" s="85"/>
      <c r="K961" s="85"/>
      <c r="M961" s="81"/>
      <c r="O961" s="85"/>
      <c r="P961" s="85"/>
      <c r="Q961" s="81"/>
    </row>
    <row r="962" spans="3:17" x14ac:dyDescent="0.3">
      <c r="C962" s="81"/>
      <c r="F962" s="85"/>
      <c r="G962" s="86"/>
      <c r="H962" s="86"/>
      <c r="I962" s="87"/>
      <c r="J962" s="85"/>
      <c r="K962" s="85"/>
      <c r="M962" s="81"/>
      <c r="O962" s="85"/>
      <c r="P962" s="85"/>
      <c r="Q962" s="81"/>
    </row>
    <row r="963" spans="3:17" x14ac:dyDescent="0.3">
      <c r="C963" s="81"/>
      <c r="F963" s="85"/>
      <c r="G963" s="86"/>
      <c r="H963" s="86"/>
      <c r="I963" s="87"/>
      <c r="J963" s="85"/>
      <c r="K963" s="85"/>
      <c r="M963" s="81"/>
      <c r="O963" s="85"/>
      <c r="P963" s="85"/>
      <c r="Q963" s="81"/>
    </row>
    <row r="964" spans="3:17" x14ac:dyDescent="0.3">
      <c r="C964" s="81"/>
      <c r="F964" s="85"/>
      <c r="G964" s="86"/>
      <c r="H964" s="86"/>
      <c r="I964" s="87"/>
      <c r="J964" s="85"/>
      <c r="K964" s="85"/>
      <c r="M964" s="81"/>
      <c r="O964" s="85"/>
      <c r="P964" s="85"/>
      <c r="Q964" s="81"/>
    </row>
    <row r="965" spans="3:17" x14ac:dyDescent="0.3">
      <c r="C965" s="81"/>
      <c r="F965" s="85"/>
      <c r="G965" s="86"/>
      <c r="H965" s="86"/>
      <c r="I965" s="87"/>
      <c r="J965" s="85"/>
      <c r="K965" s="85"/>
      <c r="M965" s="81"/>
      <c r="O965" s="85"/>
      <c r="P965" s="85"/>
      <c r="Q965" s="81"/>
    </row>
    <row r="966" spans="3:17" x14ac:dyDescent="0.3">
      <c r="C966" s="81"/>
      <c r="F966" s="85"/>
      <c r="G966" s="86"/>
      <c r="H966" s="86"/>
      <c r="I966" s="87"/>
      <c r="J966" s="85"/>
      <c r="K966" s="85"/>
      <c r="M966" s="81"/>
      <c r="O966" s="85"/>
      <c r="P966" s="85"/>
      <c r="Q966" s="81"/>
    </row>
    <row r="967" spans="3:17" x14ac:dyDescent="0.3">
      <c r="C967" s="81"/>
      <c r="F967" s="85"/>
      <c r="G967" s="86"/>
      <c r="H967" s="86"/>
      <c r="I967" s="87"/>
      <c r="J967" s="85"/>
      <c r="K967" s="85"/>
      <c r="M967" s="81"/>
      <c r="O967" s="85"/>
      <c r="P967" s="85"/>
      <c r="Q967" s="81"/>
    </row>
    <row r="968" spans="3:17" x14ac:dyDescent="0.3">
      <c r="C968" s="81"/>
      <c r="F968" s="85"/>
      <c r="G968" s="86"/>
      <c r="H968" s="86"/>
      <c r="I968" s="87"/>
      <c r="J968" s="85"/>
      <c r="K968" s="85"/>
      <c r="M968" s="81"/>
      <c r="O968" s="85"/>
      <c r="P968" s="85"/>
      <c r="Q968" s="81"/>
    </row>
    <row r="969" spans="3:17" x14ac:dyDescent="0.3">
      <c r="C969" s="81"/>
      <c r="F969" s="85"/>
      <c r="G969" s="86"/>
      <c r="H969" s="86"/>
      <c r="I969" s="87"/>
      <c r="J969" s="85"/>
      <c r="K969" s="85"/>
      <c r="M969" s="81"/>
      <c r="O969" s="85"/>
      <c r="P969" s="85"/>
      <c r="Q969" s="81"/>
    </row>
    <row r="970" spans="3:17" x14ac:dyDescent="0.3">
      <c r="C970" s="81"/>
      <c r="F970" s="85"/>
      <c r="G970" s="86"/>
      <c r="H970" s="86"/>
      <c r="I970" s="87"/>
      <c r="J970" s="85"/>
      <c r="K970" s="85"/>
      <c r="M970" s="81"/>
      <c r="O970" s="85"/>
      <c r="P970" s="85"/>
      <c r="Q970" s="81"/>
    </row>
    <row r="971" spans="3:17" x14ac:dyDescent="0.3">
      <c r="C971" s="81"/>
      <c r="F971" s="85"/>
      <c r="G971" s="86"/>
      <c r="H971" s="86"/>
      <c r="I971" s="87"/>
      <c r="J971" s="85"/>
      <c r="K971" s="85"/>
      <c r="M971" s="81"/>
      <c r="O971" s="85"/>
      <c r="P971" s="85"/>
      <c r="Q971" s="81"/>
    </row>
    <row r="972" spans="3:17" x14ac:dyDescent="0.3">
      <c r="C972" s="81"/>
      <c r="F972" s="85"/>
      <c r="G972" s="86"/>
      <c r="H972" s="86"/>
      <c r="I972" s="87"/>
      <c r="J972" s="85"/>
      <c r="K972" s="85"/>
      <c r="M972" s="81"/>
      <c r="O972" s="85"/>
      <c r="P972" s="85"/>
      <c r="Q972" s="81"/>
    </row>
    <row r="973" spans="3:17" x14ac:dyDescent="0.3">
      <c r="C973" s="81"/>
      <c r="F973" s="85"/>
      <c r="G973" s="86"/>
      <c r="H973" s="86"/>
      <c r="I973" s="87"/>
      <c r="J973" s="85"/>
      <c r="K973" s="85"/>
      <c r="M973" s="81"/>
      <c r="O973" s="85"/>
      <c r="P973" s="85"/>
      <c r="Q973" s="81"/>
    </row>
    <row r="974" spans="3:17" x14ac:dyDescent="0.3">
      <c r="C974" s="81"/>
      <c r="F974" s="85"/>
      <c r="G974" s="86"/>
      <c r="H974" s="86"/>
      <c r="I974" s="87"/>
      <c r="J974" s="85"/>
      <c r="K974" s="85"/>
      <c r="M974" s="81"/>
      <c r="O974" s="85"/>
      <c r="P974" s="85"/>
      <c r="Q974" s="81"/>
    </row>
    <row r="975" spans="3:17" x14ac:dyDescent="0.3">
      <c r="C975" s="81"/>
      <c r="F975" s="85"/>
      <c r="G975" s="86"/>
      <c r="H975" s="86"/>
      <c r="I975" s="87"/>
      <c r="J975" s="85"/>
      <c r="K975" s="85"/>
      <c r="M975" s="81"/>
      <c r="O975" s="85"/>
      <c r="P975" s="85"/>
      <c r="Q975" s="81"/>
    </row>
    <row r="976" spans="3:17" x14ac:dyDescent="0.3">
      <c r="C976" s="81"/>
      <c r="F976" s="85"/>
      <c r="G976" s="86"/>
      <c r="H976" s="86"/>
      <c r="I976" s="87"/>
      <c r="J976" s="85"/>
      <c r="K976" s="85"/>
      <c r="M976" s="81"/>
      <c r="O976" s="85"/>
      <c r="P976" s="85"/>
      <c r="Q976" s="81"/>
    </row>
    <row r="977" spans="3:17" x14ac:dyDescent="0.3">
      <c r="C977" s="81"/>
      <c r="F977" s="85"/>
      <c r="G977" s="86"/>
      <c r="H977" s="86"/>
      <c r="I977" s="87"/>
      <c r="J977" s="85"/>
      <c r="K977" s="85"/>
      <c r="M977" s="81"/>
      <c r="O977" s="85"/>
      <c r="P977" s="85"/>
      <c r="Q977" s="81"/>
    </row>
    <row r="978" spans="3:17" x14ac:dyDescent="0.3">
      <c r="C978" s="81"/>
      <c r="F978" s="85"/>
      <c r="G978" s="86"/>
      <c r="H978" s="86"/>
      <c r="I978" s="87"/>
      <c r="J978" s="85"/>
      <c r="K978" s="85"/>
      <c r="M978" s="81"/>
      <c r="O978" s="85"/>
      <c r="P978" s="85"/>
      <c r="Q978" s="81"/>
    </row>
    <row r="979" spans="3:17" x14ac:dyDescent="0.3">
      <c r="C979" s="81"/>
      <c r="F979" s="85"/>
      <c r="G979" s="86"/>
      <c r="H979" s="86"/>
      <c r="I979" s="87"/>
      <c r="J979" s="85"/>
      <c r="K979" s="85"/>
      <c r="M979" s="81"/>
      <c r="O979" s="85"/>
      <c r="P979" s="85"/>
      <c r="Q979" s="81"/>
    </row>
    <row r="980" spans="3:17" x14ac:dyDescent="0.3">
      <c r="C980" s="81"/>
      <c r="F980" s="85"/>
      <c r="G980" s="86"/>
      <c r="H980" s="86"/>
      <c r="I980" s="87"/>
      <c r="J980" s="85"/>
      <c r="K980" s="85"/>
      <c r="M980" s="81"/>
      <c r="O980" s="85"/>
      <c r="P980" s="85"/>
      <c r="Q980" s="81"/>
    </row>
    <row r="981" spans="3:17" x14ac:dyDescent="0.3">
      <c r="C981" s="81"/>
      <c r="F981" s="85"/>
      <c r="G981" s="86"/>
      <c r="H981" s="86"/>
      <c r="I981" s="87"/>
      <c r="J981" s="85"/>
      <c r="K981" s="85"/>
      <c r="M981" s="81"/>
      <c r="O981" s="85"/>
      <c r="P981" s="85"/>
      <c r="Q981" s="81"/>
    </row>
    <row r="982" spans="3:17" x14ac:dyDescent="0.3">
      <c r="C982" s="81"/>
      <c r="F982" s="85"/>
      <c r="G982" s="86"/>
      <c r="H982" s="86"/>
      <c r="I982" s="87"/>
      <c r="J982" s="85"/>
      <c r="K982" s="85"/>
      <c r="M982" s="81"/>
      <c r="O982" s="85"/>
      <c r="P982" s="85"/>
      <c r="Q982" s="81"/>
    </row>
    <row r="983" spans="3:17" x14ac:dyDescent="0.3">
      <c r="C983" s="81"/>
      <c r="F983" s="85"/>
      <c r="G983" s="86"/>
      <c r="H983" s="86"/>
      <c r="I983" s="87"/>
      <c r="J983" s="85"/>
      <c r="K983" s="85"/>
      <c r="M983" s="81"/>
      <c r="O983" s="85"/>
      <c r="P983" s="85"/>
      <c r="Q983" s="81"/>
    </row>
    <row r="984" spans="3:17" x14ac:dyDescent="0.3">
      <c r="C984" s="81"/>
      <c r="F984" s="85"/>
      <c r="G984" s="86"/>
      <c r="H984" s="86"/>
      <c r="I984" s="87"/>
      <c r="J984" s="85"/>
      <c r="K984" s="85"/>
      <c r="M984" s="81"/>
      <c r="O984" s="85"/>
      <c r="P984" s="85"/>
      <c r="Q984" s="81"/>
    </row>
    <row r="985" spans="3:17" x14ac:dyDescent="0.3">
      <c r="C985" s="81"/>
      <c r="F985" s="85"/>
      <c r="G985" s="86"/>
      <c r="H985" s="86"/>
      <c r="I985" s="87"/>
      <c r="J985" s="85"/>
      <c r="K985" s="85"/>
      <c r="M985" s="81"/>
      <c r="O985" s="85"/>
      <c r="P985" s="85"/>
      <c r="Q985" s="81"/>
    </row>
    <row r="986" spans="3:17" x14ac:dyDescent="0.3">
      <c r="C986" s="81"/>
      <c r="F986" s="85"/>
      <c r="G986" s="86"/>
      <c r="H986" s="86"/>
      <c r="I986" s="87"/>
      <c r="J986" s="85"/>
      <c r="K986" s="85"/>
      <c r="M986" s="81"/>
      <c r="O986" s="85"/>
      <c r="P986" s="85"/>
      <c r="Q986" s="81"/>
    </row>
    <row r="987" spans="3:17" x14ac:dyDescent="0.3">
      <c r="C987" s="81"/>
      <c r="F987" s="85"/>
      <c r="G987" s="86"/>
      <c r="H987" s="86"/>
      <c r="I987" s="87"/>
      <c r="J987" s="85"/>
      <c r="K987" s="85"/>
      <c r="M987" s="81"/>
      <c r="O987" s="85"/>
      <c r="P987" s="85"/>
      <c r="Q987" s="81"/>
    </row>
    <row r="988" spans="3:17" x14ac:dyDescent="0.3">
      <c r="C988" s="81"/>
      <c r="F988" s="85"/>
      <c r="G988" s="86"/>
      <c r="H988" s="86"/>
      <c r="I988" s="87"/>
      <c r="J988" s="85"/>
      <c r="K988" s="85"/>
      <c r="M988" s="81"/>
      <c r="O988" s="85"/>
      <c r="P988" s="85"/>
      <c r="Q988" s="81"/>
    </row>
    <row r="989" spans="3:17" x14ac:dyDescent="0.3">
      <c r="C989" s="81"/>
      <c r="F989" s="85"/>
      <c r="G989" s="86"/>
      <c r="H989" s="86"/>
      <c r="I989" s="87"/>
      <c r="J989" s="85"/>
      <c r="K989" s="85"/>
      <c r="M989" s="81"/>
      <c r="O989" s="85"/>
      <c r="P989" s="85"/>
      <c r="Q989" s="81"/>
    </row>
    <row r="990" spans="3:17" x14ac:dyDescent="0.3">
      <c r="C990" s="81"/>
      <c r="F990" s="85"/>
      <c r="G990" s="86"/>
      <c r="H990" s="86"/>
      <c r="I990" s="87"/>
      <c r="J990" s="85"/>
      <c r="K990" s="85"/>
      <c r="M990" s="81"/>
      <c r="O990" s="85"/>
      <c r="P990" s="85"/>
      <c r="Q990" s="81"/>
    </row>
    <row r="991" spans="3:17" x14ac:dyDescent="0.3">
      <c r="C991" s="81"/>
      <c r="F991" s="85"/>
      <c r="G991" s="86"/>
      <c r="H991" s="86"/>
      <c r="I991" s="87"/>
      <c r="J991" s="85"/>
      <c r="K991" s="85"/>
      <c r="M991" s="81"/>
      <c r="O991" s="85"/>
      <c r="P991" s="85"/>
      <c r="Q991" s="81"/>
    </row>
    <row r="992" spans="3:17" x14ac:dyDescent="0.3">
      <c r="C992" s="81"/>
      <c r="F992" s="85"/>
      <c r="G992" s="86"/>
      <c r="H992" s="86"/>
      <c r="I992" s="87"/>
      <c r="J992" s="85"/>
      <c r="K992" s="85"/>
      <c r="M992" s="81"/>
      <c r="O992" s="85"/>
      <c r="P992" s="85"/>
      <c r="Q992" s="81"/>
    </row>
    <row r="993" spans="3:17" x14ac:dyDescent="0.3">
      <c r="C993" s="81"/>
      <c r="F993" s="85"/>
      <c r="G993" s="86"/>
      <c r="H993" s="86"/>
      <c r="I993" s="87"/>
      <c r="J993" s="85"/>
      <c r="K993" s="85"/>
      <c r="M993" s="81"/>
      <c r="O993" s="85"/>
      <c r="P993" s="85"/>
      <c r="Q993" s="81"/>
    </row>
    <row r="994" spans="3:17" x14ac:dyDescent="0.3">
      <c r="C994" s="81"/>
      <c r="F994" s="85"/>
      <c r="G994" s="86"/>
      <c r="H994" s="86"/>
      <c r="I994" s="87"/>
      <c r="J994" s="85"/>
      <c r="K994" s="85"/>
      <c r="M994" s="81"/>
      <c r="O994" s="85"/>
      <c r="P994" s="85"/>
      <c r="Q994" s="81"/>
    </row>
    <row r="995" spans="3:17" x14ac:dyDescent="0.3">
      <c r="C995" s="81"/>
      <c r="F995" s="85"/>
      <c r="G995" s="86"/>
      <c r="H995" s="86"/>
      <c r="I995" s="87"/>
      <c r="J995" s="85"/>
      <c r="K995" s="85"/>
      <c r="M995" s="81"/>
      <c r="O995" s="85"/>
      <c r="P995" s="85"/>
      <c r="Q995" s="81"/>
    </row>
    <row r="996" spans="3:17" x14ac:dyDescent="0.3">
      <c r="C996" s="81"/>
      <c r="F996" s="85"/>
      <c r="G996" s="86"/>
      <c r="H996" s="86"/>
      <c r="I996" s="87"/>
      <c r="J996" s="85"/>
      <c r="K996" s="85"/>
      <c r="M996" s="81"/>
      <c r="O996" s="85"/>
      <c r="P996" s="85"/>
      <c r="Q996" s="81"/>
    </row>
    <row r="997" spans="3:17" x14ac:dyDescent="0.3">
      <c r="C997" s="81"/>
      <c r="F997" s="85"/>
      <c r="G997" s="86"/>
      <c r="H997" s="86"/>
      <c r="I997" s="87"/>
      <c r="J997" s="85"/>
      <c r="K997" s="85"/>
      <c r="M997" s="81"/>
      <c r="O997" s="85"/>
      <c r="P997" s="85"/>
      <c r="Q997" s="81"/>
    </row>
    <row r="998" spans="3:17" x14ac:dyDescent="0.3">
      <c r="C998" s="81"/>
      <c r="F998" s="85"/>
      <c r="G998" s="86"/>
      <c r="H998" s="86"/>
      <c r="I998" s="87"/>
      <c r="J998" s="85"/>
      <c r="K998" s="85"/>
      <c r="M998" s="81"/>
      <c r="O998" s="85"/>
      <c r="P998" s="85"/>
      <c r="Q998" s="81"/>
    </row>
    <row r="999" spans="3:17" x14ac:dyDescent="0.3">
      <c r="C999" s="81"/>
      <c r="F999" s="85"/>
      <c r="G999" s="86"/>
      <c r="H999" s="86"/>
      <c r="I999" s="87"/>
      <c r="J999" s="85"/>
      <c r="K999" s="85"/>
      <c r="M999" s="81"/>
      <c r="O999" s="85"/>
      <c r="P999" s="85"/>
      <c r="Q999" s="81"/>
    </row>
    <row r="1000" spans="3:17" x14ac:dyDescent="0.3">
      <c r="C1000" s="81"/>
      <c r="F1000" s="85"/>
      <c r="G1000" s="86"/>
      <c r="H1000" s="86"/>
      <c r="I1000" s="87"/>
      <c r="J1000" s="85"/>
      <c r="K1000" s="85"/>
      <c r="M1000" s="81"/>
      <c r="O1000" s="85"/>
      <c r="P1000" s="85"/>
      <c r="Q1000" s="81"/>
    </row>
    <row r="1001" spans="3:17" x14ac:dyDescent="0.3">
      <c r="C1001" s="81"/>
      <c r="F1001" s="85"/>
      <c r="G1001" s="86"/>
      <c r="H1001" s="86"/>
      <c r="I1001" s="87"/>
      <c r="J1001" s="85"/>
      <c r="K1001" s="85"/>
      <c r="M1001" s="81"/>
      <c r="O1001" s="85"/>
      <c r="P1001" s="85"/>
      <c r="Q1001" s="81"/>
    </row>
    <row r="1002" spans="3:17" x14ac:dyDescent="0.3">
      <c r="C1002" s="81"/>
      <c r="F1002" s="85"/>
      <c r="G1002" s="86"/>
      <c r="H1002" s="86"/>
      <c r="I1002" s="87"/>
      <c r="J1002" s="85"/>
      <c r="K1002" s="85"/>
      <c r="M1002" s="81"/>
      <c r="O1002" s="85"/>
      <c r="P1002" s="85"/>
      <c r="Q1002" s="81"/>
    </row>
    <row r="1003" spans="3:17" x14ac:dyDescent="0.3">
      <c r="C1003" s="81"/>
      <c r="F1003" s="85"/>
      <c r="G1003" s="86"/>
      <c r="H1003" s="86"/>
      <c r="I1003" s="87"/>
      <c r="J1003" s="85"/>
      <c r="K1003" s="85"/>
      <c r="M1003" s="81"/>
      <c r="O1003" s="85"/>
      <c r="P1003" s="85"/>
      <c r="Q1003" s="81"/>
    </row>
    <row r="1004" spans="3:17" x14ac:dyDescent="0.3">
      <c r="C1004" s="81"/>
      <c r="F1004" s="85"/>
      <c r="G1004" s="86"/>
      <c r="H1004" s="86"/>
      <c r="I1004" s="87"/>
      <c r="J1004" s="85"/>
      <c r="K1004" s="85"/>
      <c r="M1004" s="81"/>
      <c r="O1004" s="85"/>
      <c r="P1004" s="85"/>
      <c r="Q1004" s="81"/>
    </row>
    <row r="1005" spans="3:17" x14ac:dyDescent="0.3">
      <c r="C1005" s="81"/>
      <c r="F1005" s="85"/>
      <c r="G1005" s="86"/>
      <c r="H1005" s="86"/>
      <c r="I1005" s="87"/>
      <c r="J1005" s="85"/>
      <c r="K1005" s="85"/>
      <c r="M1005" s="81"/>
      <c r="O1005" s="85"/>
      <c r="P1005" s="85"/>
      <c r="Q1005" s="81"/>
    </row>
    <row r="1006" spans="3:17" x14ac:dyDescent="0.3">
      <c r="C1006" s="81"/>
      <c r="F1006" s="85"/>
      <c r="G1006" s="86"/>
      <c r="H1006" s="86"/>
      <c r="I1006" s="87"/>
      <c r="J1006" s="85"/>
      <c r="K1006" s="85"/>
      <c r="M1006" s="81"/>
      <c r="O1006" s="85"/>
      <c r="P1006" s="85"/>
      <c r="Q1006" s="81"/>
    </row>
    <row r="1007" spans="3:17" x14ac:dyDescent="0.3">
      <c r="C1007" s="81"/>
      <c r="F1007" s="85"/>
      <c r="G1007" s="86"/>
      <c r="H1007" s="86"/>
      <c r="I1007" s="87"/>
      <c r="J1007" s="85"/>
      <c r="K1007" s="85"/>
      <c r="M1007" s="81"/>
      <c r="O1007" s="85"/>
      <c r="P1007" s="85"/>
      <c r="Q1007" s="81"/>
    </row>
    <row r="1008" spans="3:17" x14ac:dyDescent="0.3">
      <c r="C1008" s="81"/>
      <c r="F1008" s="85"/>
      <c r="G1008" s="86"/>
      <c r="H1008" s="86"/>
      <c r="I1008" s="87"/>
      <c r="J1008" s="85"/>
      <c r="K1008" s="85"/>
      <c r="M1008" s="81"/>
      <c r="O1008" s="85"/>
      <c r="P1008" s="85"/>
      <c r="Q1008" s="81"/>
    </row>
    <row r="1009" spans="3:17" x14ac:dyDescent="0.3">
      <c r="C1009" s="81"/>
      <c r="F1009" s="85"/>
      <c r="G1009" s="86"/>
      <c r="H1009" s="86"/>
      <c r="I1009" s="87"/>
      <c r="J1009" s="85"/>
      <c r="K1009" s="85"/>
      <c r="M1009" s="81"/>
      <c r="O1009" s="85"/>
      <c r="P1009" s="85"/>
      <c r="Q1009" s="81"/>
    </row>
    <row r="1010" spans="3:17" x14ac:dyDescent="0.3">
      <c r="C1010" s="81"/>
      <c r="F1010" s="85"/>
      <c r="G1010" s="86"/>
      <c r="H1010" s="86"/>
      <c r="I1010" s="87"/>
      <c r="J1010" s="85"/>
      <c r="K1010" s="85"/>
      <c r="M1010" s="81"/>
      <c r="O1010" s="85"/>
      <c r="P1010" s="85"/>
      <c r="Q1010" s="81"/>
    </row>
    <row r="1011" spans="3:17" x14ac:dyDescent="0.3">
      <c r="C1011" s="81"/>
      <c r="F1011" s="85"/>
      <c r="G1011" s="86"/>
      <c r="H1011" s="86"/>
      <c r="I1011" s="87"/>
      <c r="J1011" s="85"/>
      <c r="K1011" s="85"/>
      <c r="M1011" s="81"/>
      <c r="O1011" s="85"/>
      <c r="P1011" s="85"/>
      <c r="Q1011" s="81"/>
    </row>
    <row r="1012" spans="3:17" x14ac:dyDescent="0.3">
      <c r="C1012" s="81"/>
      <c r="F1012" s="85"/>
      <c r="G1012" s="86"/>
      <c r="H1012" s="86"/>
      <c r="I1012" s="87"/>
      <c r="J1012" s="85"/>
      <c r="K1012" s="85"/>
      <c r="M1012" s="81"/>
      <c r="O1012" s="85"/>
      <c r="P1012" s="85"/>
      <c r="Q1012" s="81"/>
    </row>
    <row r="1013" spans="3:17" x14ac:dyDescent="0.3">
      <c r="C1013" s="81"/>
      <c r="F1013" s="85"/>
      <c r="G1013" s="86"/>
      <c r="H1013" s="86"/>
      <c r="I1013" s="87"/>
      <c r="J1013" s="85"/>
      <c r="K1013" s="85"/>
      <c r="M1013" s="81"/>
      <c r="O1013" s="85"/>
      <c r="P1013" s="85"/>
      <c r="Q1013" s="81"/>
    </row>
    <row r="1014" spans="3:17" x14ac:dyDescent="0.3">
      <c r="C1014" s="81"/>
      <c r="F1014" s="85"/>
      <c r="G1014" s="86"/>
      <c r="H1014" s="86"/>
      <c r="I1014" s="87"/>
      <c r="J1014" s="85"/>
      <c r="K1014" s="85"/>
      <c r="M1014" s="81"/>
      <c r="O1014" s="85"/>
      <c r="P1014" s="85"/>
      <c r="Q1014" s="81"/>
    </row>
    <row r="1015" spans="3:17" x14ac:dyDescent="0.3">
      <c r="C1015" s="81"/>
      <c r="F1015" s="85"/>
      <c r="G1015" s="86"/>
      <c r="H1015" s="86"/>
      <c r="I1015" s="87"/>
      <c r="J1015" s="85"/>
      <c r="K1015" s="85"/>
      <c r="M1015" s="81"/>
      <c r="O1015" s="85"/>
      <c r="P1015" s="85"/>
      <c r="Q1015" s="81"/>
    </row>
    <row r="1016" spans="3:17" x14ac:dyDescent="0.3">
      <c r="C1016" s="81"/>
      <c r="F1016" s="85"/>
      <c r="G1016" s="86"/>
      <c r="H1016" s="86"/>
      <c r="I1016" s="87"/>
      <c r="J1016" s="85"/>
      <c r="K1016" s="85"/>
      <c r="M1016" s="81"/>
      <c r="O1016" s="85"/>
      <c r="P1016" s="85"/>
      <c r="Q1016" s="81"/>
    </row>
    <row r="1017" spans="3:17" x14ac:dyDescent="0.3">
      <c r="C1017" s="81"/>
      <c r="F1017" s="85"/>
      <c r="G1017" s="86"/>
      <c r="H1017" s="86"/>
      <c r="I1017" s="87"/>
      <c r="J1017" s="85"/>
      <c r="K1017" s="85"/>
      <c r="M1017" s="81"/>
      <c r="O1017" s="85"/>
      <c r="P1017" s="85"/>
      <c r="Q1017" s="81"/>
    </row>
    <row r="1018" spans="3:17" x14ac:dyDescent="0.3">
      <c r="C1018" s="81"/>
      <c r="F1018" s="85"/>
      <c r="G1018" s="86"/>
      <c r="H1018" s="86"/>
      <c r="I1018" s="87"/>
      <c r="J1018" s="85"/>
      <c r="K1018" s="85"/>
      <c r="M1018" s="81"/>
      <c r="O1018" s="85"/>
      <c r="P1018" s="85"/>
      <c r="Q1018" s="81"/>
    </row>
    <row r="1019" spans="3:17" x14ac:dyDescent="0.3">
      <c r="C1019" s="81"/>
      <c r="F1019" s="85"/>
      <c r="G1019" s="86"/>
      <c r="H1019" s="86"/>
      <c r="I1019" s="87"/>
      <c r="J1019" s="85"/>
      <c r="K1019" s="85"/>
      <c r="M1019" s="81"/>
      <c r="O1019" s="85"/>
      <c r="P1019" s="85"/>
      <c r="Q1019" s="81"/>
    </row>
    <row r="1020" spans="3:17" x14ac:dyDescent="0.3">
      <c r="C1020" s="81"/>
      <c r="F1020" s="85"/>
      <c r="G1020" s="86"/>
      <c r="H1020" s="86"/>
      <c r="I1020" s="87"/>
      <c r="J1020" s="85"/>
      <c r="K1020" s="85"/>
      <c r="M1020" s="81"/>
      <c r="O1020" s="85"/>
      <c r="P1020" s="85"/>
      <c r="Q1020" s="81"/>
    </row>
    <row r="1021" spans="3:17" x14ac:dyDescent="0.3">
      <c r="C1021" s="81"/>
      <c r="F1021" s="85"/>
      <c r="G1021" s="86"/>
      <c r="H1021" s="86"/>
      <c r="I1021" s="87"/>
      <c r="J1021" s="85"/>
      <c r="K1021" s="85"/>
      <c r="M1021" s="81"/>
      <c r="O1021" s="85"/>
      <c r="P1021" s="85"/>
      <c r="Q1021" s="81"/>
    </row>
    <row r="1022" spans="3:17" x14ac:dyDescent="0.3">
      <c r="C1022" s="81"/>
      <c r="F1022" s="85"/>
      <c r="G1022" s="86"/>
      <c r="H1022" s="86"/>
      <c r="I1022" s="87"/>
      <c r="J1022" s="85"/>
      <c r="K1022" s="85"/>
      <c r="M1022" s="81"/>
      <c r="O1022" s="85"/>
      <c r="P1022" s="85"/>
      <c r="Q1022" s="81"/>
    </row>
    <row r="1023" spans="3:17" x14ac:dyDescent="0.3">
      <c r="C1023" s="81"/>
      <c r="F1023" s="85"/>
      <c r="G1023" s="86"/>
      <c r="H1023" s="86"/>
      <c r="I1023" s="87"/>
      <c r="J1023" s="85"/>
      <c r="K1023" s="85"/>
      <c r="M1023" s="81"/>
      <c r="O1023" s="85"/>
      <c r="P1023" s="85"/>
      <c r="Q1023" s="81"/>
    </row>
    <row r="1024" spans="3:17" x14ac:dyDescent="0.3">
      <c r="C1024" s="81"/>
      <c r="F1024" s="85"/>
      <c r="G1024" s="86"/>
      <c r="H1024" s="86"/>
      <c r="I1024" s="87"/>
      <c r="J1024" s="85"/>
      <c r="K1024" s="85"/>
      <c r="M1024" s="81"/>
      <c r="O1024" s="85"/>
      <c r="P1024" s="85"/>
      <c r="Q1024" s="81"/>
    </row>
    <row r="1025" spans="3:17" x14ac:dyDescent="0.3">
      <c r="C1025" s="81"/>
      <c r="F1025" s="85"/>
      <c r="G1025" s="86"/>
      <c r="H1025" s="86"/>
      <c r="I1025" s="87"/>
      <c r="J1025" s="85"/>
      <c r="K1025" s="85"/>
      <c r="M1025" s="81"/>
      <c r="O1025" s="85"/>
      <c r="P1025" s="85"/>
      <c r="Q1025" s="81"/>
    </row>
    <row r="1026" spans="3:17" x14ac:dyDescent="0.3">
      <c r="C1026" s="81"/>
      <c r="F1026" s="85"/>
      <c r="G1026" s="86"/>
      <c r="H1026" s="86"/>
      <c r="I1026" s="87"/>
      <c r="J1026" s="85"/>
      <c r="K1026" s="85"/>
      <c r="M1026" s="81"/>
      <c r="O1026" s="85"/>
      <c r="P1026" s="85"/>
      <c r="Q1026" s="81"/>
    </row>
    <row r="1027" spans="3:17" x14ac:dyDescent="0.3">
      <c r="C1027" s="81"/>
      <c r="F1027" s="85"/>
      <c r="G1027" s="86"/>
      <c r="H1027" s="86"/>
      <c r="I1027" s="87"/>
      <c r="J1027" s="85"/>
      <c r="K1027" s="85"/>
      <c r="M1027" s="81"/>
      <c r="O1027" s="85"/>
      <c r="P1027" s="85"/>
      <c r="Q1027" s="81"/>
    </row>
    <row r="1028" spans="3:17" x14ac:dyDescent="0.3">
      <c r="C1028" s="81"/>
      <c r="F1028" s="85"/>
      <c r="G1028" s="86"/>
      <c r="H1028" s="86"/>
      <c r="I1028" s="87"/>
      <c r="J1028" s="85"/>
      <c r="K1028" s="85"/>
      <c r="M1028" s="81"/>
      <c r="O1028" s="85"/>
      <c r="P1028" s="85"/>
      <c r="Q1028" s="81"/>
    </row>
    <row r="1029" spans="3:17" x14ac:dyDescent="0.3">
      <c r="C1029" s="81"/>
      <c r="F1029" s="85"/>
      <c r="G1029" s="86"/>
      <c r="H1029" s="86"/>
      <c r="I1029" s="87"/>
      <c r="J1029" s="85"/>
      <c r="K1029" s="85"/>
      <c r="M1029" s="81"/>
      <c r="O1029" s="85"/>
      <c r="P1029" s="85"/>
      <c r="Q1029" s="81"/>
    </row>
    <row r="1030" spans="3:17" x14ac:dyDescent="0.3">
      <c r="C1030" s="81"/>
      <c r="F1030" s="85"/>
      <c r="G1030" s="86"/>
      <c r="H1030" s="86"/>
      <c r="I1030" s="87"/>
      <c r="J1030" s="85"/>
      <c r="K1030" s="85"/>
      <c r="M1030" s="81"/>
      <c r="O1030" s="85"/>
      <c r="P1030" s="85"/>
      <c r="Q1030" s="81"/>
    </row>
    <row r="1031" spans="3:17" x14ac:dyDescent="0.3">
      <c r="C1031" s="81"/>
      <c r="F1031" s="85"/>
      <c r="G1031" s="86"/>
      <c r="H1031" s="86"/>
      <c r="I1031" s="87"/>
      <c r="J1031" s="85"/>
      <c r="K1031" s="85"/>
      <c r="M1031" s="81"/>
      <c r="O1031" s="85"/>
      <c r="P1031" s="85"/>
      <c r="Q1031" s="81"/>
    </row>
    <row r="1032" spans="3:17" x14ac:dyDescent="0.3">
      <c r="C1032" s="81"/>
      <c r="F1032" s="85"/>
      <c r="G1032" s="86"/>
      <c r="H1032" s="86"/>
      <c r="I1032" s="87"/>
      <c r="J1032" s="85"/>
      <c r="K1032" s="85"/>
      <c r="M1032" s="81"/>
      <c r="O1032" s="85"/>
      <c r="P1032" s="85"/>
      <c r="Q1032" s="81"/>
    </row>
    <row r="1033" spans="3:17" x14ac:dyDescent="0.3">
      <c r="C1033" s="81"/>
      <c r="F1033" s="85"/>
      <c r="G1033" s="86"/>
      <c r="H1033" s="86"/>
      <c r="I1033" s="87"/>
      <c r="J1033" s="85"/>
      <c r="K1033" s="85"/>
      <c r="M1033" s="81"/>
      <c r="O1033" s="85"/>
      <c r="P1033" s="85"/>
      <c r="Q1033" s="81"/>
    </row>
    <row r="1034" spans="3:17" x14ac:dyDescent="0.3">
      <c r="C1034" s="81"/>
      <c r="F1034" s="85"/>
      <c r="G1034" s="86"/>
      <c r="H1034" s="86"/>
      <c r="I1034" s="87"/>
      <c r="J1034" s="85"/>
      <c r="K1034" s="85"/>
      <c r="M1034" s="81"/>
      <c r="O1034" s="85"/>
      <c r="P1034" s="85"/>
      <c r="Q1034" s="81"/>
    </row>
    <row r="1035" spans="3:17" x14ac:dyDescent="0.3">
      <c r="C1035" s="81"/>
      <c r="F1035" s="85"/>
      <c r="G1035" s="86"/>
      <c r="H1035" s="86"/>
      <c r="I1035" s="87"/>
      <c r="J1035" s="85"/>
      <c r="K1035" s="85"/>
      <c r="M1035" s="81"/>
      <c r="O1035" s="85"/>
      <c r="P1035" s="85"/>
      <c r="Q1035" s="81"/>
    </row>
    <row r="1036" spans="3:17" x14ac:dyDescent="0.3">
      <c r="C1036" s="81"/>
      <c r="F1036" s="85"/>
      <c r="G1036" s="86"/>
      <c r="H1036" s="86"/>
      <c r="I1036" s="87"/>
      <c r="J1036" s="85"/>
      <c r="K1036" s="85"/>
      <c r="M1036" s="81"/>
      <c r="O1036" s="85"/>
      <c r="P1036" s="85"/>
      <c r="Q1036" s="81"/>
    </row>
    <row r="1037" spans="3:17" x14ac:dyDescent="0.3">
      <c r="C1037" s="81"/>
      <c r="F1037" s="85"/>
      <c r="G1037" s="86"/>
      <c r="H1037" s="86"/>
      <c r="I1037" s="87"/>
      <c r="J1037" s="85"/>
      <c r="K1037" s="85"/>
      <c r="M1037" s="81"/>
      <c r="O1037" s="85"/>
      <c r="P1037" s="85"/>
      <c r="Q1037" s="81"/>
    </row>
    <row r="1038" spans="3:17" x14ac:dyDescent="0.3">
      <c r="C1038" s="81"/>
      <c r="F1038" s="85"/>
      <c r="G1038" s="86"/>
      <c r="H1038" s="86"/>
      <c r="I1038" s="87"/>
      <c r="J1038" s="85"/>
      <c r="K1038" s="85"/>
      <c r="M1038" s="81"/>
      <c r="O1038" s="85"/>
      <c r="P1038" s="85"/>
      <c r="Q1038" s="81"/>
    </row>
    <row r="1039" spans="3:17" x14ac:dyDescent="0.3">
      <c r="C1039" s="81"/>
      <c r="F1039" s="85"/>
      <c r="G1039" s="86"/>
      <c r="H1039" s="86"/>
      <c r="I1039" s="87"/>
      <c r="J1039" s="85"/>
      <c r="K1039" s="85"/>
      <c r="M1039" s="81"/>
      <c r="O1039" s="85"/>
      <c r="P1039" s="85"/>
      <c r="Q1039" s="81"/>
    </row>
    <row r="1040" spans="3:17" x14ac:dyDescent="0.3">
      <c r="C1040" s="81"/>
      <c r="F1040" s="85"/>
      <c r="G1040" s="86"/>
      <c r="H1040" s="86"/>
      <c r="I1040" s="87"/>
      <c r="J1040" s="85"/>
      <c r="K1040" s="85"/>
      <c r="M1040" s="81"/>
      <c r="O1040" s="85"/>
      <c r="P1040" s="85"/>
      <c r="Q1040" s="81"/>
    </row>
    <row r="1041" spans="3:17" x14ac:dyDescent="0.3">
      <c r="C1041" s="81"/>
      <c r="F1041" s="85"/>
      <c r="G1041" s="86"/>
      <c r="H1041" s="86"/>
      <c r="I1041" s="87"/>
      <c r="J1041" s="85"/>
      <c r="K1041" s="85"/>
      <c r="M1041" s="81"/>
      <c r="O1041" s="85"/>
      <c r="P1041" s="85"/>
      <c r="Q1041" s="81"/>
    </row>
    <row r="1042" spans="3:17" x14ac:dyDescent="0.3">
      <c r="C1042" s="81"/>
      <c r="F1042" s="85"/>
      <c r="G1042" s="86"/>
      <c r="H1042" s="86"/>
      <c r="I1042" s="87"/>
      <c r="J1042" s="85"/>
      <c r="K1042" s="85"/>
      <c r="M1042" s="81"/>
      <c r="O1042" s="85"/>
      <c r="P1042" s="85"/>
      <c r="Q1042" s="81"/>
    </row>
    <row r="1043" spans="3:17" x14ac:dyDescent="0.3">
      <c r="C1043" s="81"/>
      <c r="F1043" s="85"/>
      <c r="G1043" s="86"/>
      <c r="H1043" s="86"/>
      <c r="I1043" s="87"/>
      <c r="J1043" s="85"/>
      <c r="K1043" s="85"/>
      <c r="M1043" s="81"/>
      <c r="O1043" s="85"/>
      <c r="P1043" s="85"/>
      <c r="Q1043" s="81"/>
    </row>
    <row r="1044" spans="3:17" x14ac:dyDescent="0.3">
      <c r="C1044" s="81"/>
      <c r="F1044" s="85"/>
      <c r="G1044" s="86"/>
      <c r="H1044" s="86"/>
      <c r="I1044" s="87"/>
      <c r="J1044" s="85"/>
      <c r="K1044" s="85"/>
      <c r="M1044" s="81"/>
      <c r="O1044" s="85"/>
      <c r="P1044" s="85"/>
      <c r="Q1044" s="81"/>
    </row>
    <row r="1045" spans="3:17" x14ac:dyDescent="0.3">
      <c r="C1045" s="81"/>
      <c r="F1045" s="85"/>
      <c r="G1045" s="86"/>
      <c r="H1045" s="86"/>
      <c r="I1045" s="87"/>
      <c r="J1045" s="85"/>
      <c r="K1045" s="85"/>
      <c r="M1045" s="81"/>
      <c r="O1045" s="85"/>
      <c r="P1045" s="85"/>
      <c r="Q1045" s="81"/>
    </row>
    <row r="1046" spans="3:17" x14ac:dyDescent="0.3">
      <c r="C1046" s="81"/>
      <c r="F1046" s="85"/>
      <c r="G1046" s="86"/>
      <c r="H1046" s="86"/>
      <c r="I1046" s="87"/>
      <c r="J1046" s="85"/>
      <c r="K1046" s="85"/>
      <c r="M1046" s="81"/>
      <c r="O1046" s="85"/>
      <c r="P1046" s="85"/>
      <c r="Q1046" s="81"/>
    </row>
    <row r="1047" spans="3:17" x14ac:dyDescent="0.3">
      <c r="C1047" s="81"/>
      <c r="F1047" s="85"/>
      <c r="G1047" s="86"/>
      <c r="H1047" s="86"/>
      <c r="I1047" s="87"/>
      <c r="J1047" s="85"/>
      <c r="K1047" s="85"/>
      <c r="M1047" s="81"/>
      <c r="O1047" s="85"/>
      <c r="P1047" s="85"/>
      <c r="Q1047" s="81"/>
    </row>
    <row r="1048" spans="3:17" x14ac:dyDescent="0.3">
      <c r="C1048" s="81"/>
      <c r="F1048" s="85"/>
      <c r="G1048" s="86"/>
      <c r="H1048" s="86"/>
      <c r="I1048" s="87"/>
      <c r="J1048" s="85"/>
      <c r="K1048" s="85"/>
      <c r="M1048" s="81"/>
      <c r="O1048" s="85"/>
      <c r="P1048" s="85"/>
      <c r="Q1048" s="81"/>
    </row>
    <row r="1049" spans="3:17" x14ac:dyDescent="0.3">
      <c r="C1049" s="81"/>
      <c r="F1049" s="85"/>
      <c r="G1049" s="86"/>
      <c r="H1049" s="86"/>
      <c r="I1049" s="87"/>
      <c r="J1049" s="85"/>
      <c r="K1049" s="85"/>
      <c r="M1049" s="81"/>
      <c r="O1049" s="85"/>
      <c r="P1049" s="85"/>
      <c r="Q1049" s="81"/>
    </row>
    <row r="1050" spans="3:17" x14ac:dyDescent="0.3">
      <c r="C1050" s="81"/>
      <c r="F1050" s="85"/>
      <c r="G1050" s="86"/>
      <c r="H1050" s="86"/>
      <c r="I1050" s="87"/>
      <c r="J1050" s="85"/>
      <c r="K1050" s="85"/>
      <c r="M1050" s="81"/>
      <c r="O1050" s="85"/>
      <c r="P1050" s="85"/>
      <c r="Q1050" s="81"/>
    </row>
    <row r="1051" spans="3:17" x14ac:dyDescent="0.3">
      <c r="C1051" s="81"/>
      <c r="F1051" s="85"/>
      <c r="G1051" s="86"/>
      <c r="H1051" s="86"/>
      <c r="I1051" s="87"/>
      <c r="J1051" s="85"/>
      <c r="K1051" s="85"/>
      <c r="M1051" s="81"/>
      <c r="O1051" s="85"/>
      <c r="P1051" s="85"/>
      <c r="Q1051" s="81"/>
    </row>
    <row r="1052" spans="3:17" x14ac:dyDescent="0.3">
      <c r="C1052" s="81"/>
      <c r="F1052" s="85"/>
      <c r="G1052" s="86"/>
      <c r="H1052" s="86"/>
      <c r="I1052" s="87"/>
      <c r="J1052" s="85"/>
      <c r="K1052" s="85"/>
      <c r="M1052" s="81"/>
      <c r="O1052" s="85"/>
      <c r="P1052" s="85"/>
      <c r="Q1052" s="81"/>
    </row>
    <row r="1053" spans="3:17" x14ac:dyDescent="0.3">
      <c r="C1053" s="81"/>
      <c r="F1053" s="85"/>
      <c r="G1053" s="86"/>
      <c r="H1053" s="86"/>
      <c r="I1053" s="87"/>
      <c r="J1053" s="85"/>
      <c r="K1053" s="85"/>
      <c r="M1053" s="81"/>
      <c r="O1053" s="85"/>
      <c r="P1053" s="85"/>
      <c r="Q1053" s="81"/>
    </row>
    <row r="1054" spans="3:17" x14ac:dyDescent="0.3">
      <c r="C1054" s="81"/>
      <c r="F1054" s="85"/>
      <c r="G1054" s="86"/>
      <c r="H1054" s="86"/>
      <c r="I1054" s="87"/>
      <c r="J1054" s="85"/>
      <c r="K1054" s="85"/>
      <c r="M1054" s="81"/>
      <c r="O1054" s="85"/>
      <c r="P1054" s="85"/>
      <c r="Q1054" s="81"/>
    </row>
    <row r="1055" spans="3:17" x14ac:dyDescent="0.3">
      <c r="C1055" s="81"/>
      <c r="F1055" s="85"/>
      <c r="G1055" s="86"/>
      <c r="H1055" s="86"/>
      <c r="I1055" s="87"/>
      <c r="J1055" s="85"/>
      <c r="K1055" s="85"/>
      <c r="M1055" s="81"/>
      <c r="O1055" s="85"/>
      <c r="P1055" s="85"/>
      <c r="Q1055" s="81"/>
    </row>
    <row r="1056" spans="3:17" x14ac:dyDescent="0.3">
      <c r="C1056" s="81"/>
      <c r="F1056" s="85"/>
      <c r="G1056" s="86"/>
      <c r="H1056" s="86"/>
      <c r="I1056" s="87"/>
      <c r="J1056" s="85"/>
      <c r="K1056" s="85"/>
      <c r="M1056" s="81"/>
      <c r="O1056" s="85"/>
      <c r="P1056" s="85"/>
      <c r="Q1056" s="81"/>
    </row>
    <row r="1057" spans="3:17" x14ac:dyDescent="0.3">
      <c r="C1057" s="81"/>
      <c r="F1057" s="85"/>
      <c r="G1057" s="86"/>
      <c r="H1057" s="86"/>
      <c r="I1057" s="87"/>
      <c r="J1057" s="85"/>
      <c r="K1057" s="85"/>
      <c r="M1057" s="81"/>
      <c r="O1057" s="85"/>
      <c r="P1057" s="85"/>
      <c r="Q1057" s="81"/>
    </row>
    <row r="1058" spans="3:17" x14ac:dyDescent="0.3">
      <c r="C1058" s="81"/>
      <c r="F1058" s="85"/>
      <c r="G1058" s="86"/>
      <c r="H1058" s="86"/>
      <c r="I1058" s="87"/>
      <c r="J1058" s="85"/>
      <c r="K1058" s="85"/>
      <c r="M1058" s="81"/>
      <c r="O1058" s="85"/>
      <c r="P1058" s="85"/>
      <c r="Q1058" s="81"/>
    </row>
    <row r="1059" spans="3:17" x14ac:dyDescent="0.3">
      <c r="C1059" s="81"/>
      <c r="F1059" s="85"/>
      <c r="G1059" s="86"/>
      <c r="H1059" s="86"/>
      <c r="I1059" s="87"/>
      <c r="J1059" s="85"/>
      <c r="K1059" s="85"/>
      <c r="M1059" s="81"/>
      <c r="O1059" s="85"/>
      <c r="P1059" s="85"/>
      <c r="Q1059" s="81"/>
    </row>
    <row r="1060" spans="3:17" x14ac:dyDescent="0.3">
      <c r="C1060" s="81"/>
      <c r="F1060" s="85"/>
      <c r="G1060" s="86"/>
      <c r="H1060" s="86"/>
      <c r="I1060" s="87"/>
      <c r="J1060" s="85"/>
      <c r="K1060" s="85"/>
      <c r="M1060" s="81"/>
      <c r="O1060" s="85"/>
      <c r="P1060" s="85"/>
      <c r="Q1060" s="81"/>
    </row>
    <row r="1061" spans="3:17" x14ac:dyDescent="0.3">
      <c r="C1061" s="81"/>
      <c r="F1061" s="85"/>
      <c r="G1061" s="86"/>
      <c r="H1061" s="86"/>
      <c r="I1061" s="87"/>
      <c r="J1061" s="85"/>
      <c r="K1061" s="85"/>
      <c r="M1061" s="81"/>
      <c r="O1061" s="85"/>
      <c r="P1061" s="85"/>
      <c r="Q1061" s="81"/>
    </row>
    <row r="1062" spans="3:17" x14ac:dyDescent="0.3">
      <c r="C1062" s="81"/>
      <c r="F1062" s="85"/>
      <c r="G1062" s="86"/>
      <c r="H1062" s="86"/>
      <c r="I1062" s="87"/>
      <c r="J1062" s="85"/>
      <c r="K1062" s="85"/>
      <c r="M1062" s="81"/>
      <c r="O1062" s="85"/>
      <c r="P1062" s="85"/>
      <c r="Q1062" s="81"/>
    </row>
    <row r="1063" spans="3:17" x14ac:dyDescent="0.3">
      <c r="C1063" s="81"/>
      <c r="F1063" s="85"/>
      <c r="G1063" s="86"/>
      <c r="H1063" s="86"/>
      <c r="I1063" s="87"/>
      <c r="J1063" s="85"/>
      <c r="K1063" s="85"/>
      <c r="M1063" s="81"/>
      <c r="O1063" s="85"/>
      <c r="P1063" s="85"/>
      <c r="Q1063" s="81"/>
    </row>
    <row r="1064" spans="3:17" x14ac:dyDescent="0.3">
      <c r="C1064" s="81"/>
      <c r="F1064" s="85"/>
      <c r="G1064" s="86"/>
      <c r="H1064" s="86"/>
      <c r="I1064" s="87"/>
      <c r="J1064" s="85"/>
      <c r="K1064" s="85"/>
      <c r="M1064" s="81"/>
      <c r="O1064" s="85"/>
      <c r="P1064" s="85"/>
      <c r="Q1064" s="81"/>
    </row>
    <row r="1065" spans="3:17" x14ac:dyDescent="0.3">
      <c r="C1065" s="81"/>
      <c r="F1065" s="85"/>
      <c r="G1065" s="86"/>
      <c r="H1065" s="86"/>
      <c r="I1065" s="87"/>
      <c r="J1065" s="85"/>
      <c r="K1065" s="85"/>
      <c r="M1065" s="81"/>
      <c r="O1065" s="85"/>
      <c r="P1065" s="85"/>
      <c r="Q1065" s="81"/>
    </row>
    <row r="1066" spans="3:17" x14ac:dyDescent="0.3">
      <c r="C1066" s="81"/>
      <c r="F1066" s="85"/>
      <c r="G1066" s="86"/>
      <c r="H1066" s="86"/>
      <c r="I1066" s="87"/>
      <c r="J1066" s="85"/>
      <c r="K1066" s="85"/>
      <c r="M1066" s="81"/>
      <c r="O1066" s="85"/>
      <c r="P1066" s="85"/>
      <c r="Q1066" s="81"/>
    </row>
    <row r="1067" spans="3:17" x14ac:dyDescent="0.3">
      <c r="C1067" s="81"/>
      <c r="F1067" s="85"/>
      <c r="G1067" s="86"/>
      <c r="H1067" s="86"/>
      <c r="I1067" s="87"/>
      <c r="J1067" s="85"/>
      <c r="K1067" s="85"/>
      <c r="M1067" s="81"/>
      <c r="O1067" s="85"/>
      <c r="P1067" s="85"/>
      <c r="Q1067" s="81"/>
    </row>
    <row r="1068" spans="3:17" x14ac:dyDescent="0.3">
      <c r="C1068" s="81"/>
      <c r="F1068" s="85"/>
      <c r="G1068" s="86"/>
      <c r="H1068" s="86"/>
      <c r="I1068" s="87"/>
      <c r="J1068" s="85"/>
      <c r="K1068" s="85"/>
      <c r="M1068" s="81"/>
      <c r="O1068" s="85"/>
      <c r="P1068" s="85"/>
      <c r="Q1068" s="81"/>
    </row>
    <row r="1069" spans="3:17" x14ac:dyDescent="0.3">
      <c r="C1069" s="81"/>
      <c r="F1069" s="85"/>
      <c r="G1069" s="86"/>
      <c r="H1069" s="86"/>
      <c r="I1069" s="87"/>
      <c r="J1069" s="85"/>
      <c r="K1069" s="85"/>
      <c r="M1069" s="81"/>
      <c r="O1069" s="85"/>
      <c r="P1069" s="85"/>
      <c r="Q1069" s="81"/>
    </row>
    <row r="1070" spans="3:17" x14ac:dyDescent="0.3">
      <c r="C1070" s="81"/>
      <c r="F1070" s="85"/>
      <c r="G1070" s="86"/>
      <c r="H1070" s="86"/>
      <c r="I1070" s="87"/>
      <c r="J1070" s="85"/>
      <c r="K1070" s="85"/>
      <c r="M1070" s="81"/>
      <c r="O1070" s="85"/>
      <c r="P1070" s="85"/>
      <c r="Q1070" s="81"/>
    </row>
    <row r="1071" spans="3:17" x14ac:dyDescent="0.3">
      <c r="C1071" s="81"/>
      <c r="F1071" s="85"/>
      <c r="G1071" s="86"/>
      <c r="H1071" s="86"/>
      <c r="I1071" s="87"/>
      <c r="J1071" s="85"/>
      <c r="K1071" s="85"/>
      <c r="M1071" s="81"/>
      <c r="O1071" s="85"/>
      <c r="P1071" s="85"/>
      <c r="Q1071" s="81"/>
    </row>
    <row r="1072" spans="3:17" x14ac:dyDescent="0.3">
      <c r="C1072" s="81"/>
      <c r="F1072" s="85"/>
      <c r="G1072" s="86"/>
      <c r="H1072" s="86"/>
      <c r="I1072" s="87"/>
      <c r="J1072" s="85"/>
      <c r="K1072" s="85"/>
      <c r="M1072" s="81"/>
      <c r="O1072" s="85"/>
      <c r="P1072" s="85"/>
      <c r="Q1072" s="81"/>
    </row>
    <row r="1073" spans="3:17" x14ac:dyDescent="0.3">
      <c r="C1073" s="81"/>
      <c r="F1073" s="85"/>
      <c r="G1073" s="86"/>
      <c r="H1073" s="86"/>
      <c r="I1073" s="87"/>
      <c r="J1073" s="85"/>
      <c r="K1073" s="85"/>
      <c r="M1073" s="81"/>
      <c r="O1073" s="85"/>
      <c r="P1073" s="85"/>
      <c r="Q1073" s="81"/>
    </row>
    <row r="1074" spans="3:17" x14ac:dyDescent="0.3">
      <c r="C1074" s="81"/>
      <c r="F1074" s="85"/>
      <c r="G1074" s="86"/>
      <c r="H1074" s="86"/>
      <c r="I1074" s="87"/>
      <c r="J1074" s="85"/>
      <c r="K1074" s="85"/>
      <c r="M1074" s="81"/>
      <c r="O1074" s="85"/>
      <c r="P1074" s="85"/>
      <c r="Q1074" s="81"/>
    </row>
    <row r="1075" spans="3:17" x14ac:dyDescent="0.3">
      <c r="C1075" s="81"/>
      <c r="F1075" s="85"/>
      <c r="G1075" s="86"/>
      <c r="H1075" s="86"/>
      <c r="I1075" s="87"/>
      <c r="J1075" s="85"/>
      <c r="K1075" s="85"/>
      <c r="M1075" s="81"/>
      <c r="O1075" s="85"/>
      <c r="P1075" s="85"/>
      <c r="Q1075" s="81"/>
    </row>
    <row r="1076" spans="3:17" x14ac:dyDescent="0.3">
      <c r="C1076" s="81"/>
      <c r="F1076" s="85"/>
      <c r="G1076" s="86"/>
      <c r="H1076" s="86"/>
      <c r="I1076" s="87"/>
      <c r="J1076" s="85"/>
      <c r="K1076" s="85"/>
      <c r="M1076" s="81"/>
      <c r="O1076" s="85"/>
      <c r="P1076" s="85"/>
      <c r="Q1076" s="81"/>
    </row>
    <row r="1077" spans="3:17" x14ac:dyDescent="0.3">
      <c r="C1077" s="81"/>
      <c r="F1077" s="85"/>
      <c r="G1077" s="86"/>
      <c r="H1077" s="86"/>
      <c r="I1077" s="87"/>
      <c r="J1077" s="85"/>
      <c r="K1077" s="85"/>
      <c r="M1077" s="81"/>
      <c r="O1077" s="85"/>
      <c r="P1077" s="85"/>
      <c r="Q1077" s="81"/>
    </row>
    <row r="1078" spans="3:17" x14ac:dyDescent="0.3">
      <c r="C1078" s="81"/>
      <c r="F1078" s="85"/>
      <c r="G1078" s="86"/>
      <c r="H1078" s="86"/>
      <c r="I1078" s="87"/>
      <c r="J1078" s="85"/>
      <c r="K1078" s="85"/>
      <c r="M1078" s="81"/>
      <c r="O1078" s="85"/>
      <c r="P1078" s="85"/>
      <c r="Q1078" s="81"/>
    </row>
    <row r="1079" spans="3:17" x14ac:dyDescent="0.3">
      <c r="C1079" s="81"/>
      <c r="F1079" s="85"/>
      <c r="G1079" s="86"/>
      <c r="H1079" s="86"/>
      <c r="I1079" s="87"/>
      <c r="J1079" s="85"/>
      <c r="K1079" s="85"/>
      <c r="M1079" s="81"/>
      <c r="O1079" s="85"/>
      <c r="P1079" s="85"/>
      <c r="Q1079" s="81"/>
    </row>
    <row r="1080" spans="3:17" x14ac:dyDescent="0.3">
      <c r="C1080" s="81"/>
      <c r="F1080" s="85"/>
      <c r="G1080" s="86"/>
      <c r="H1080" s="86"/>
      <c r="I1080" s="87"/>
      <c r="J1080" s="85"/>
      <c r="K1080" s="85"/>
      <c r="M1080" s="81"/>
      <c r="O1080" s="85"/>
      <c r="P1080" s="85"/>
      <c r="Q1080" s="81"/>
    </row>
    <row r="1081" spans="3:17" x14ac:dyDescent="0.3">
      <c r="C1081" s="81"/>
      <c r="F1081" s="85"/>
      <c r="G1081" s="86"/>
      <c r="H1081" s="86"/>
      <c r="I1081" s="87"/>
      <c r="J1081" s="85"/>
      <c r="K1081" s="85"/>
      <c r="M1081" s="81"/>
      <c r="O1081" s="85"/>
      <c r="P1081" s="85"/>
      <c r="Q1081" s="81"/>
    </row>
    <row r="1082" spans="3:17" x14ac:dyDescent="0.3">
      <c r="C1082" s="81"/>
      <c r="F1082" s="85"/>
      <c r="G1082" s="86"/>
      <c r="H1082" s="86"/>
      <c r="I1082" s="87"/>
      <c r="J1082" s="85"/>
      <c r="K1082" s="85"/>
      <c r="M1082" s="81"/>
      <c r="O1082" s="85"/>
      <c r="P1082" s="85"/>
      <c r="Q1082" s="81"/>
    </row>
    <row r="1083" spans="3:17" x14ac:dyDescent="0.3">
      <c r="C1083" s="81"/>
      <c r="F1083" s="85"/>
      <c r="G1083" s="86"/>
      <c r="H1083" s="86"/>
      <c r="I1083" s="87"/>
      <c r="J1083" s="85"/>
      <c r="K1083" s="85"/>
      <c r="M1083" s="81"/>
      <c r="O1083" s="85"/>
      <c r="P1083" s="85"/>
      <c r="Q1083" s="81"/>
    </row>
    <row r="1084" spans="3:17" x14ac:dyDescent="0.3">
      <c r="C1084" s="81"/>
      <c r="F1084" s="85"/>
      <c r="G1084" s="86"/>
      <c r="H1084" s="86"/>
      <c r="I1084" s="87"/>
      <c r="J1084" s="85"/>
      <c r="K1084" s="85"/>
      <c r="M1084" s="81"/>
      <c r="O1084" s="85"/>
      <c r="P1084" s="85"/>
      <c r="Q1084" s="81"/>
    </row>
    <row r="1085" spans="3:17" x14ac:dyDescent="0.3">
      <c r="C1085" s="81"/>
      <c r="F1085" s="85"/>
      <c r="G1085" s="86"/>
      <c r="H1085" s="86"/>
      <c r="I1085" s="87"/>
      <c r="J1085" s="85"/>
      <c r="K1085" s="85"/>
      <c r="M1085" s="81"/>
      <c r="O1085" s="85"/>
      <c r="P1085" s="85"/>
      <c r="Q1085" s="81"/>
    </row>
    <row r="1086" spans="3:17" x14ac:dyDescent="0.3">
      <c r="C1086" s="81"/>
      <c r="F1086" s="85"/>
      <c r="G1086" s="86"/>
      <c r="H1086" s="86"/>
      <c r="I1086" s="87"/>
      <c r="J1086" s="85"/>
      <c r="K1086" s="85"/>
      <c r="M1086" s="81"/>
      <c r="O1086" s="85"/>
      <c r="P1086" s="85"/>
      <c r="Q1086" s="81"/>
    </row>
    <row r="1087" spans="3:17" x14ac:dyDescent="0.3">
      <c r="C1087" s="81"/>
      <c r="F1087" s="85"/>
      <c r="G1087" s="86"/>
      <c r="H1087" s="86"/>
      <c r="I1087" s="87"/>
      <c r="J1087" s="85"/>
      <c r="K1087" s="85"/>
      <c r="M1087" s="81"/>
      <c r="O1087" s="85"/>
      <c r="P1087" s="85"/>
      <c r="Q1087" s="81"/>
    </row>
    <row r="1088" spans="3:17" x14ac:dyDescent="0.3">
      <c r="C1088" s="81"/>
      <c r="F1088" s="85"/>
      <c r="G1088" s="86"/>
      <c r="H1088" s="86"/>
      <c r="I1088" s="87"/>
      <c r="J1088" s="85"/>
      <c r="K1088" s="85"/>
      <c r="M1088" s="81"/>
      <c r="O1088" s="85"/>
      <c r="P1088" s="85"/>
      <c r="Q1088" s="81"/>
    </row>
    <row r="1089" spans="3:17" x14ac:dyDescent="0.3">
      <c r="C1089" s="81"/>
      <c r="F1089" s="85"/>
      <c r="G1089" s="86"/>
      <c r="H1089" s="86"/>
      <c r="I1089" s="87"/>
      <c r="J1089" s="85"/>
      <c r="K1089" s="85"/>
      <c r="M1089" s="81"/>
      <c r="O1089" s="85"/>
      <c r="P1089" s="85"/>
      <c r="Q1089" s="81"/>
    </row>
    <row r="1090" spans="3:17" x14ac:dyDescent="0.3">
      <c r="C1090" s="81"/>
      <c r="F1090" s="85"/>
      <c r="G1090" s="86"/>
      <c r="H1090" s="86"/>
      <c r="I1090" s="87"/>
      <c r="J1090" s="85"/>
      <c r="K1090" s="85"/>
      <c r="M1090" s="81"/>
      <c r="O1090" s="85"/>
      <c r="P1090" s="85"/>
      <c r="Q1090" s="81"/>
    </row>
    <row r="1091" spans="3:17" x14ac:dyDescent="0.3">
      <c r="C1091" s="81"/>
      <c r="F1091" s="85"/>
      <c r="G1091" s="86"/>
      <c r="H1091" s="86"/>
      <c r="I1091" s="87"/>
      <c r="J1091" s="85"/>
      <c r="K1091" s="85"/>
      <c r="M1091" s="81"/>
      <c r="O1091" s="85"/>
      <c r="P1091" s="85"/>
      <c r="Q1091" s="81"/>
    </row>
    <row r="1092" spans="3:17" x14ac:dyDescent="0.3">
      <c r="C1092" s="81"/>
      <c r="F1092" s="85"/>
      <c r="G1092" s="86"/>
      <c r="H1092" s="86"/>
      <c r="I1092" s="87"/>
      <c r="J1092" s="85"/>
      <c r="K1092" s="85"/>
      <c r="M1092" s="81"/>
      <c r="O1092" s="85"/>
      <c r="P1092" s="85"/>
      <c r="Q1092" s="81"/>
    </row>
    <row r="1093" spans="3:17" x14ac:dyDescent="0.3">
      <c r="C1093" s="81"/>
      <c r="F1093" s="85"/>
      <c r="G1093" s="86"/>
      <c r="H1093" s="86"/>
      <c r="I1093" s="87"/>
      <c r="J1093" s="85"/>
      <c r="K1093" s="85"/>
      <c r="M1093" s="81"/>
      <c r="O1093" s="85"/>
      <c r="P1093" s="85"/>
      <c r="Q1093" s="81"/>
    </row>
    <row r="1094" spans="3:17" x14ac:dyDescent="0.3">
      <c r="C1094" s="81"/>
      <c r="F1094" s="85"/>
      <c r="G1094" s="86"/>
      <c r="H1094" s="86"/>
      <c r="I1094" s="87"/>
      <c r="J1094" s="85"/>
      <c r="K1094" s="85"/>
      <c r="M1094" s="81"/>
      <c r="O1094" s="85"/>
      <c r="P1094" s="85"/>
      <c r="Q1094" s="81"/>
    </row>
    <row r="1095" spans="3:17" x14ac:dyDescent="0.3">
      <c r="C1095" s="81"/>
      <c r="F1095" s="85"/>
      <c r="G1095" s="86"/>
      <c r="H1095" s="86"/>
      <c r="I1095" s="87"/>
      <c r="J1095" s="85"/>
      <c r="K1095" s="85"/>
      <c r="M1095" s="81"/>
      <c r="O1095" s="85"/>
      <c r="P1095" s="85"/>
      <c r="Q1095" s="81"/>
    </row>
    <row r="1096" spans="3:17" x14ac:dyDescent="0.3">
      <c r="C1096" s="81"/>
      <c r="F1096" s="85"/>
      <c r="G1096" s="86"/>
      <c r="H1096" s="86"/>
      <c r="I1096" s="87"/>
      <c r="J1096" s="85"/>
      <c r="K1096" s="85"/>
      <c r="M1096" s="81"/>
      <c r="O1096" s="85"/>
      <c r="P1096" s="85"/>
      <c r="Q1096" s="81"/>
    </row>
    <row r="1097" spans="3:17" x14ac:dyDescent="0.3">
      <c r="C1097" s="81"/>
      <c r="F1097" s="85"/>
      <c r="G1097" s="86"/>
      <c r="H1097" s="86"/>
      <c r="I1097" s="87"/>
      <c r="J1097" s="85"/>
      <c r="K1097" s="85"/>
      <c r="M1097" s="81"/>
      <c r="O1097" s="85"/>
      <c r="P1097" s="85"/>
      <c r="Q1097" s="81"/>
    </row>
    <row r="1098" spans="3:17" x14ac:dyDescent="0.3">
      <c r="C1098" s="81"/>
      <c r="F1098" s="85"/>
      <c r="G1098" s="86"/>
      <c r="H1098" s="86"/>
      <c r="I1098" s="87"/>
      <c r="J1098" s="85"/>
      <c r="K1098" s="85"/>
      <c r="M1098" s="81"/>
      <c r="O1098" s="85"/>
      <c r="P1098" s="85"/>
      <c r="Q1098" s="81"/>
    </row>
    <row r="1099" spans="3:17" x14ac:dyDescent="0.3">
      <c r="C1099" s="81"/>
      <c r="F1099" s="85"/>
      <c r="G1099" s="86"/>
      <c r="H1099" s="86"/>
      <c r="I1099" s="87"/>
      <c r="J1099" s="85"/>
      <c r="K1099" s="85"/>
      <c r="M1099" s="81"/>
      <c r="O1099" s="85"/>
      <c r="P1099" s="85"/>
      <c r="Q1099" s="81"/>
    </row>
    <row r="1100" spans="3:17" x14ac:dyDescent="0.3">
      <c r="C1100" s="81"/>
      <c r="F1100" s="85"/>
      <c r="G1100" s="86"/>
      <c r="H1100" s="86"/>
      <c r="I1100" s="87"/>
      <c r="J1100" s="85"/>
      <c r="K1100" s="85"/>
      <c r="M1100" s="81"/>
      <c r="O1100" s="85"/>
      <c r="P1100" s="85"/>
      <c r="Q1100" s="81"/>
    </row>
    <row r="1101" spans="3:17" x14ac:dyDescent="0.3">
      <c r="C1101" s="81"/>
      <c r="F1101" s="85"/>
      <c r="G1101" s="86"/>
      <c r="H1101" s="86"/>
      <c r="I1101" s="87"/>
      <c r="J1101" s="85"/>
      <c r="K1101" s="85"/>
      <c r="M1101" s="81"/>
      <c r="O1101" s="85"/>
      <c r="P1101" s="85"/>
      <c r="Q1101" s="81"/>
    </row>
    <row r="1102" spans="3:17" x14ac:dyDescent="0.3">
      <c r="C1102" s="81"/>
      <c r="F1102" s="85"/>
      <c r="G1102" s="86"/>
      <c r="H1102" s="86"/>
      <c r="I1102" s="87"/>
      <c r="J1102" s="85"/>
      <c r="K1102" s="85"/>
      <c r="M1102" s="81"/>
      <c r="O1102" s="85"/>
      <c r="P1102" s="85"/>
      <c r="Q1102" s="81"/>
    </row>
    <row r="1103" spans="3:17" x14ac:dyDescent="0.3">
      <c r="C1103" s="81"/>
      <c r="F1103" s="85"/>
      <c r="G1103" s="86"/>
      <c r="H1103" s="86"/>
      <c r="I1103" s="87"/>
      <c r="J1103" s="85"/>
      <c r="K1103" s="85"/>
      <c r="M1103" s="81"/>
      <c r="O1103" s="85"/>
      <c r="P1103" s="85"/>
      <c r="Q1103" s="81"/>
    </row>
    <row r="1104" spans="3:17" x14ac:dyDescent="0.3">
      <c r="C1104" s="81"/>
      <c r="F1104" s="85"/>
      <c r="G1104" s="86"/>
      <c r="H1104" s="86"/>
      <c r="I1104" s="87"/>
      <c r="J1104" s="85"/>
      <c r="K1104" s="85"/>
      <c r="M1104" s="81"/>
      <c r="O1104" s="85"/>
      <c r="P1104" s="85"/>
      <c r="Q1104" s="81"/>
    </row>
    <row r="1105" spans="3:17" x14ac:dyDescent="0.3">
      <c r="C1105" s="81"/>
      <c r="F1105" s="85"/>
      <c r="G1105" s="86"/>
      <c r="H1105" s="86"/>
      <c r="I1105" s="87"/>
      <c r="J1105" s="85"/>
      <c r="K1105" s="85"/>
      <c r="M1105" s="81"/>
      <c r="O1105" s="85"/>
      <c r="P1105" s="85"/>
      <c r="Q1105" s="81"/>
    </row>
    <row r="1106" spans="3:17" x14ac:dyDescent="0.3">
      <c r="C1106" s="81"/>
      <c r="F1106" s="85"/>
      <c r="G1106" s="86"/>
      <c r="H1106" s="86"/>
      <c r="I1106" s="87"/>
      <c r="J1106" s="85"/>
      <c r="K1106" s="85"/>
      <c r="M1106" s="81"/>
      <c r="O1106" s="85"/>
      <c r="P1106" s="85"/>
      <c r="Q1106" s="81"/>
    </row>
    <row r="1107" spans="3:17" x14ac:dyDescent="0.3">
      <c r="C1107" s="81"/>
      <c r="F1107" s="85"/>
      <c r="G1107" s="86"/>
      <c r="H1107" s="86"/>
      <c r="I1107" s="87"/>
      <c r="J1107" s="85"/>
      <c r="K1107" s="85"/>
      <c r="M1107" s="81"/>
      <c r="O1107" s="85"/>
      <c r="P1107" s="85"/>
      <c r="Q1107" s="81"/>
    </row>
    <row r="1108" spans="3:17" x14ac:dyDescent="0.3">
      <c r="C1108" s="81"/>
      <c r="F1108" s="85"/>
      <c r="G1108" s="86"/>
      <c r="H1108" s="86"/>
      <c r="I1108" s="87"/>
      <c r="J1108" s="85"/>
      <c r="K1108" s="85"/>
      <c r="M1108" s="81"/>
      <c r="O1108" s="85"/>
      <c r="P1108" s="85"/>
      <c r="Q1108" s="81"/>
    </row>
    <row r="1109" spans="3:17" x14ac:dyDescent="0.3">
      <c r="C1109" s="81"/>
      <c r="F1109" s="85"/>
      <c r="G1109" s="86"/>
      <c r="H1109" s="86"/>
      <c r="I1109" s="87"/>
      <c r="J1109" s="85"/>
      <c r="K1109" s="85"/>
      <c r="M1109" s="81"/>
      <c r="O1109" s="85"/>
      <c r="P1109" s="85"/>
      <c r="Q1109" s="81"/>
    </row>
    <row r="1110" spans="3:17" x14ac:dyDescent="0.3">
      <c r="C1110" s="81"/>
      <c r="F1110" s="85"/>
      <c r="G1110" s="86"/>
      <c r="H1110" s="86"/>
      <c r="I1110" s="87"/>
      <c r="J1110" s="85"/>
      <c r="K1110" s="85"/>
      <c r="M1110" s="81"/>
      <c r="O1110" s="85"/>
      <c r="P1110" s="85"/>
      <c r="Q1110" s="81"/>
    </row>
    <row r="1111" spans="3:17" x14ac:dyDescent="0.3">
      <c r="C1111" s="81"/>
      <c r="F1111" s="85"/>
      <c r="G1111" s="86"/>
      <c r="H1111" s="86"/>
      <c r="I1111" s="87"/>
      <c r="J1111" s="85"/>
      <c r="K1111" s="85"/>
      <c r="M1111" s="81"/>
      <c r="O1111" s="85"/>
      <c r="P1111" s="85"/>
      <c r="Q1111" s="81"/>
    </row>
    <row r="1112" spans="3:17" x14ac:dyDescent="0.3">
      <c r="C1112" s="81"/>
      <c r="F1112" s="85"/>
      <c r="G1112" s="86"/>
      <c r="H1112" s="86"/>
      <c r="I1112" s="87"/>
      <c r="J1112" s="85"/>
      <c r="K1112" s="85"/>
      <c r="M1112" s="81"/>
      <c r="O1112" s="85"/>
      <c r="P1112" s="85"/>
      <c r="Q1112" s="81"/>
    </row>
    <row r="1113" spans="3:17" x14ac:dyDescent="0.3">
      <c r="C1113" s="81"/>
      <c r="F1113" s="85"/>
      <c r="G1113" s="86"/>
      <c r="H1113" s="86"/>
      <c r="I1113" s="87"/>
      <c r="J1113" s="85"/>
      <c r="K1113" s="85"/>
      <c r="M1113" s="81"/>
      <c r="O1113" s="85"/>
      <c r="P1113" s="85"/>
      <c r="Q1113" s="81"/>
    </row>
    <row r="1114" spans="3:17" x14ac:dyDescent="0.3">
      <c r="C1114" s="81"/>
      <c r="F1114" s="85"/>
      <c r="G1114" s="86"/>
      <c r="H1114" s="86"/>
      <c r="I1114" s="87"/>
      <c r="J1114" s="85"/>
      <c r="K1114" s="85"/>
      <c r="M1114" s="81"/>
      <c r="O1114" s="85"/>
      <c r="P1114" s="85"/>
      <c r="Q1114" s="81"/>
    </row>
    <row r="1115" spans="3:17" x14ac:dyDescent="0.3">
      <c r="C1115" s="81"/>
      <c r="F1115" s="85"/>
      <c r="G1115" s="86"/>
      <c r="H1115" s="86"/>
      <c r="I1115" s="87"/>
      <c r="J1115" s="85"/>
      <c r="K1115" s="85"/>
      <c r="M1115" s="81"/>
      <c r="O1115" s="85"/>
      <c r="P1115" s="85"/>
      <c r="Q1115" s="81"/>
    </row>
    <row r="1116" spans="3:17" x14ac:dyDescent="0.3">
      <c r="C1116" s="81"/>
      <c r="F1116" s="85"/>
      <c r="G1116" s="86"/>
      <c r="H1116" s="86"/>
      <c r="I1116" s="87"/>
      <c r="J1116" s="85"/>
      <c r="K1116" s="85"/>
      <c r="M1116" s="81"/>
      <c r="O1116" s="85"/>
      <c r="P1116" s="85"/>
      <c r="Q1116" s="81"/>
    </row>
    <row r="1117" spans="3:17" x14ac:dyDescent="0.3">
      <c r="C1117" s="81"/>
      <c r="F1117" s="85"/>
      <c r="G1117" s="86"/>
      <c r="H1117" s="86"/>
      <c r="I1117" s="87"/>
      <c r="J1117" s="85"/>
      <c r="K1117" s="85"/>
      <c r="M1117" s="81"/>
      <c r="O1117" s="85"/>
      <c r="P1117" s="85"/>
      <c r="Q1117" s="81"/>
    </row>
    <row r="1118" spans="3:17" x14ac:dyDescent="0.3">
      <c r="C1118" s="81"/>
      <c r="F1118" s="85"/>
      <c r="G1118" s="86"/>
      <c r="H1118" s="86"/>
      <c r="I1118" s="87"/>
      <c r="J1118" s="85"/>
      <c r="K1118" s="85"/>
      <c r="M1118" s="81"/>
      <c r="O1118" s="85"/>
      <c r="P1118" s="85"/>
      <c r="Q1118" s="81"/>
    </row>
    <row r="1119" spans="3:17" x14ac:dyDescent="0.3">
      <c r="C1119" s="81"/>
      <c r="F1119" s="85"/>
      <c r="G1119" s="86"/>
      <c r="H1119" s="86"/>
      <c r="I1119" s="87"/>
      <c r="J1119" s="85"/>
      <c r="K1119" s="85"/>
      <c r="M1119" s="81"/>
      <c r="O1119" s="85"/>
      <c r="P1119" s="85"/>
      <c r="Q1119" s="81"/>
    </row>
    <row r="1120" spans="3:17" x14ac:dyDescent="0.3">
      <c r="C1120" s="81"/>
      <c r="F1120" s="85"/>
      <c r="G1120" s="86"/>
      <c r="H1120" s="86"/>
      <c r="I1120" s="87"/>
      <c r="J1120" s="85"/>
      <c r="K1120" s="85"/>
      <c r="M1120" s="81"/>
      <c r="O1120" s="85"/>
      <c r="P1120" s="85"/>
      <c r="Q1120" s="81"/>
    </row>
    <row r="1121" spans="3:17" x14ac:dyDescent="0.3">
      <c r="C1121" s="81"/>
      <c r="F1121" s="85"/>
      <c r="G1121" s="86"/>
      <c r="H1121" s="86"/>
      <c r="I1121" s="87"/>
      <c r="J1121" s="85"/>
      <c r="K1121" s="85"/>
      <c r="M1121" s="81"/>
      <c r="O1121" s="85"/>
      <c r="P1121" s="85"/>
      <c r="Q1121" s="81"/>
    </row>
    <row r="1122" spans="3:17" x14ac:dyDescent="0.3">
      <c r="C1122" s="81"/>
      <c r="F1122" s="85"/>
      <c r="G1122" s="86"/>
      <c r="H1122" s="86"/>
      <c r="I1122" s="87"/>
      <c r="J1122" s="85"/>
      <c r="K1122" s="85"/>
      <c r="M1122" s="81"/>
      <c r="O1122" s="85"/>
      <c r="P1122" s="85"/>
      <c r="Q1122" s="81"/>
    </row>
    <row r="1123" spans="3:17" x14ac:dyDescent="0.3">
      <c r="C1123" s="81"/>
      <c r="F1123" s="85"/>
      <c r="G1123" s="86"/>
      <c r="H1123" s="86"/>
      <c r="I1123" s="87"/>
      <c r="J1123" s="85"/>
      <c r="K1123" s="85"/>
      <c r="M1123" s="81"/>
      <c r="O1123" s="85"/>
      <c r="P1123" s="85"/>
      <c r="Q1123" s="81"/>
    </row>
    <row r="1124" spans="3:17" x14ac:dyDescent="0.3">
      <c r="C1124" s="81"/>
      <c r="F1124" s="85"/>
      <c r="G1124" s="86"/>
      <c r="H1124" s="86"/>
      <c r="I1124" s="87"/>
      <c r="J1124" s="85"/>
      <c r="K1124" s="85"/>
      <c r="M1124" s="81"/>
      <c r="O1124" s="85"/>
      <c r="P1124" s="85"/>
      <c r="Q1124" s="81"/>
    </row>
    <row r="1125" spans="3:17" x14ac:dyDescent="0.3">
      <c r="C1125" s="81"/>
      <c r="F1125" s="85"/>
      <c r="G1125" s="86"/>
      <c r="H1125" s="86"/>
      <c r="I1125" s="87"/>
      <c r="J1125" s="85"/>
      <c r="K1125" s="85"/>
      <c r="M1125" s="81"/>
      <c r="O1125" s="85"/>
      <c r="P1125" s="85"/>
      <c r="Q1125" s="81"/>
    </row>
    <row r="1126" spans="3:17" x14ac:dyDescent="0.3">
      <c r="C1126" s="81"/>
      <c r="F1126" s="85"/>
      <c r="G1126" s="86"/>
      <c r="H1126" s="86"/>
      <c r="I1126" s="87"/>
      <c r="J1126" s="85"/>
      <c r="K1126" s="85"/>
      <c r="M1126" s="81"/>
      <c r="O1126" s="85"/>
      <c r="P1126" s="85"/>
      <c r="Q1126" s="81"/>
    </row>
    <row r="1127" spans="3:17" x14ac:dyDescent="0.3">
      <c r="C1127" s="81"/>
      <c r="F1127" s="85"/>
      <c r="G1127" s="86"/>
      <c r="H1127" s="86"/>
      <c r="I1127" s="87"/>
      <c r="J1127" s="85"/>
      <c r="K1127" s="85"/>
      <c r="M1127" s="81"/>
      <c r="O1127" s="85"/>
      <c r="P1127" s="85"/>
      <c r="Q1127" s="81"/>
    </row>
    <row r="1128" spans="3:17" x14ac:dyDescent="0.3">
      <c r="C1128" s="81"/>
      <c r="F1128" s="85"/>
      <c r="G1128" s="86"/>
      <c r="H1128" s="86"/>
      <c r="I1128" s="87"/>
      <c r="J1128" s="85"/>
      <c r="K1128" s="85"/>
      <c r="M1128" s="81"/>
      <c r="O1128" s="85"/>
      <c r="P1128" s="85"/>
      <c r="Q1128" s="81"/>
    </row>
    <row r="1129" spans="3:17" x14ac:dyDescent="0.3">
      <c r="C1129" s="81"/>
      <c r="F1129" s="85"/>
      <c r="G1129" s="86"/>
      <c r="H1129" s="86"/>
      <c r="I1129" s="87"/>
      <c r="J1129" s="85"/>
      <c r="K1129" s="85"/>
      <c r="M1129" s="81"/>
      <c r="O1129" s="85"/>
      <c r="P1129" s="85"/>
      <c r="Q1129" s="81"/>
    </row>
    <row r="1130" spans="3:17" x14ac:dyDescent="0.3">
      <c r="C1130" s="81"/>
      <c r="F1130" s="85"/>
      <c r="G1130" s="86"/>
      <c r="H1130" s="86"/>
      <c r="I1130" s="87"/>
      <c r="J1130" s="85"/>
      <c r="K1130" s="85"/>
      <c r="M1130" s="81"/>
      <c r="O1130" s="85"/>
      <c r="P1130" s="85"/>
      <c r="Q1130" s="81"/>
    </row>
    <row r="1131" spans="3:17" x14ac:dyDescent="0.3">
      <c r="C1131" s="81"/>
      <c r="F1131" s="85"/>
      <c r="G1131" s="86"/>
      <c r="H1131" s="86"/>
      <c r="I1131" s="87"/>
      <c r="J1131" s="85"/>
      <c r="K1131" s="85"/>
      <c r="M1131" s="81"/>
      <c r="O1131" s="85"/>
      <c r="P1131" s="85"/>
      <c r="Q1131" s="81"/>
    </row>
    <row r="1132" spans="3:17" x14ac:dyDescent="0.3">
      <c r="C1132" s="81"/>
      <c r="F1132" s="85"/>
      <c r="G1132" s="86"/>
      <c r="H1132" s="86"/>
      <c r="I1132" s="87"/>
      <c r="J1132" s="85"/>
      <c r="K1132" s="85"/>
      <c r="M1132" s="81"/>
      <c r="O1132" s="85"/>
      <c r="P1132" s="85"/>
      <c r="Q1132" s="81"/>
    </row>
    <row r="1133" spans="3:17" x14ac:dyDescent="0.3">
      <c r="C1133" s="81"/>
      <c r="F1133" s="85"/>
      <c r="G1133" s="86"/>
      <c r="H1133" s="86"/>
      <c r="I1133" s="87"/>
      <c r="J1133" s="85"/>
      <c r="K1133" s="85"/>
      <c r="M1133" s="81"/>
      <c r="O1133" s="85"/>
      <c r="P1133" s="85"/>
      <c r="Q1133" s="81"/>
    </row>
    <row r="1134" spans="3:17" x14ac:dyDescent="0.3">
      <c r="C1134" s="81"/>
      <c r="F1134" s="85"/>
      <c r="G1134" s="86"/>
      <c r="H1134" s="86"/>
      <c r="I1134" s="87"/>
      <c r="J1134" s="85"/>
      <c r="K1134" s="85"/>
      <c r="M1134" s="81"/>
      <c r="O1134" s="85"/>
      <c r="P1134" s="85"/>
      <c r="Q1134" s="81"/>
    </row>
    <row r="1135" spans="3:17" x14ac:dyDescent="0.3">
      <c r="C1135" s="81"/>
      <c r="F1135" s="85"/>
      <c r="G1135" s="86"/>
      <c r="H1135" s="86"/>
      <c r="I1135" s="87"/>
      <c r="J1135" s="85"/>
      <c r="K1135" s="85"/>
      <c r="M1135" s="81"/>
      <c r="O1135" s="85"/>
      <c r="P1135" s="85"/>
      <c r="Q1135" s="81"/>
    </row>
    <row r="1136" spans="3:17" x14ac:dyDescent="0.3">
      <c r="C1136" s="81"/>
      <c r="F1136" s="85"/>
      <c r="G1136" s="86"/>
      <c r="H1136" s="86"/>
      <c r="I1136" s="87"/>
      <c r="J1136" s="85"/>
      <c r="K1136" s="85"/>
      <c r="M1136" s="81"/>
      <c r="O1136" s="85"/>
      <c r="P1136" s="85"/>
      <c r="Q1136" s="81"/>
    </row>
    <row r="1137" spans="3:17" x14ac:dyDescent="0.3">
      <c r="C1137" s="81"/>
      <c r="F1137" s="85"/>
      <c r="G1137" s="86"/>
      <c r="H1137" s="86"/>
      <c r="I1137" s="87"/>
      <c r="J1137" s="85"/>
      <c r="K1137" s="85"/>
      <c r="M1137" s="81"/>
      <c r="O1137" s="85"/>
      <c r="P1137" s="85"/>
      <c r="Q1137" s="81"/>
    </row>
    <row r="1138" spans="3:17" x14ac:dyDescent="0.3">
      <c r="C1138" s="81"/>
      <c r="F1138" s="85"/>
      <c r="G1138" s="86"/>
      <c r="H1138" s="86"/>
      <c r="I1138" s="87"/>
      <c r="J1138" s="85"/>
      <c r="K1138" s="85"/>
      <c r="M1138" s="81"/>
      <c r="O1138" s="85"/>
      <c r="P1138" s="85"/>
      <c r="Q1138" s="81"/>
    </row>
    <row r="1139" spans="3:17" x14ac:dyDescent="0.3">
      <c r="C1139" s="81"/>
      <c r="F1139" s="85"/>
      <c r="G1139" s="86"/>
      <c r="H1139" s="86"/>
      <c r="I1139" s="87"/>
      <c r="J1139" s="85"/>
      <c r="K1139" s="85"/>
      <c r="M1139" s="81"/>
      <c r="O1139" s="85"/>
      <c r="P1139" s="85"/>
      <c r="Q1139" s="81"/>
    </row>
    <row r="1140" spans="3:17" x14ac:dyDescent="0.3">
      <c r="C1140" s="81"/>
      <c r="F1140" s="85"/>
      <c r="G1140" s="86"/>
      <c r="H1140" s="86"/>
      <c r="I1140" s="87"/>
      <c r="J1140" s="85"/>
      <c r="K1140" s="85"/>
      <c r="M1140" s="81"/>
      <c r="O1140" s="85"/>
      <c r="P1140" s="85"/>
      <c r="Q1140" s="81"/>
    </row>
    <row r="1141" spans="3:17" x14ac:dyDescent="0.3">
      <c r="C1141" s="81"/>
      <c r="F1141" s="85"/>
      <c r="G1141" s="86"/>
      <c r="H1141" s="86"/>
      <c r="I1141" s="87"/>
      <c r="J1141" s="85"/>
      <c r="K1141" s="85"/>
      <c r="M1141" s="81"/>
      <c r="O1141" s="85"/>
      <c r="P1141" s="85"/>
      <c r="Q1141" s="81"/>
    </row>
    <row r="1142" spans="3:17" x14ac:dyDescent="0.3">
      <c r="C1142" s="81"/>
      <c r="F1142" s="85"/>
      <c r="G1142" s="86"/>
      <c r="H1142" s="86"/>
      <c r="I1142" s="87"/>
      <c r="J1142" s="85"/>
      <c r="K1142" s="85"/>
      <c r="M1142" s="81"/>
      <c r="O1142" s="85"/>
      <c r="P1142" s="85"/>
      <c r="Q1142" s="81"/>
    </row>
    <row r="1143" spans="3:17" x14ac:dyDescent="0.3">
      <c r="C1143" s="81"/>
      <c r="F1143" s="85"/>
      <c r="G1143" s="86"/>
      <c r="H1143" s="86"/>
      <c r="I1143" s="87"/>
      <c r="J1143" s="85"/>
      <c r="K1143" s="85"/>
      <c r="M1143" s="81"/>
      <c r="O1143" s="85"/>
      <c r="P1143" s="85"/>
      <c r="Q1143" s="81"/>
    </row>
    <row r="1144" spans="3:17" x14ac:dyDescent="0.3">
      <c r="C1144" s="81"/>
      <c r="F1144" s="85"/>
      <c r="G1144" s="86"/>
      <c r="H1144" s="86"/>
      <c r="I1144" s="87"/>
      <c r="J1144" s="85"/>
      <c r="K1144" s="85"/>
      <c r="M1144" s="81"/>
      <c r="O1144" s="85"/>
      <c r="P1144" s="85"/>
      <c r="Q1144" s="81"/>
    </row>
    <row r="1145" spans="3:17" x14ac:dyDescent="0.3">
      <c r="C1145" s="81"/>
      <c r="F1145" s="85"/>
      <c r="G1145" s="86"/>
      <c r="H1145" s="86"/>
      <c r="I1145" s="87"/>
      <c r="J1145" s="85"/>
      <c r="K1145" s="85"/>
      <c r="M1145" s="81"/>
      <c r="O1145" s="85"/>
      <c r="P1145" s="85"/>
      <c r="Q1145" s="81"/>
    </row>
    <row r="1146" spans="3:17" x14ac:dyDescent="0.3">
      <c r="C1146" s="81"/>
      <c r="F1146" s="85"/>
      <c r="G1146" s="86"/>
      <c r="H1146" s="86"/>
      <c r="I1146" s="87"/>
      <c r="J1146" s="85"/>
      <c r="K1146" s="85"/>
      <c r="M1146" s="81"/>
      <c r="O1146" s="85"/>
      <c r="P1146" s="85"/>
      <c r="Q1146" s="81"/>
    </row>
    <row r="1147" spans="3:17" x14ac:dyDescent="0.3">
      <c r="C1147" s="81"/>
      <c r="F1147" s="85"/>
      <c r="G1147" s="86"/>
      <c r="H1147" s="86"/>
      <c r="I1147" s="87"/>
      <c r="J1147" s="85"/>
      <c r="K1147" s="85"/>
      <c r="M1147" s="81"/>
      <c r="O1147" s="85"/>
      <c r="P1147" s="85"/>
      <c r="Q1147" s="81"/>
    </row>
    <row r="1148" spans="3:17" x14ac:dyDescent="0.3">
      <c r="C1148" s="81"/>
      <c r="F1148" s="85"/>
      <c r="G1148" s="86"/>
      <c r="H1148" s="86"/>
      <c r="I1148" s="87"/>
      <c r="J1148" s="85"/>
      <c r="K1148" s="85"/>
      <c r="M1148" s="81"/>
      <c r="O1148" s="85"/>
      <c r="P1148" s="85"/>
      <c r="Q1148" s="81"/>
    </row>
    <row r="1149" spans="3:17" x14ac:dyDescent="0.3">
      <c r="C1149" s="81"/>
      <c r="F1149" s="85"/>
      <c r="G1149" s="86"/>
      <c r="H1149" s="86"/>
      <c r="I1149" s="87"/>
      <c r="J1149" s="85"/>
      <c r="K1149" s="85"/>
      <c r="M1149" s="81"/>
      <c r="O1149" s="85"/>
      <c r="P1149" s="85"/>
      <c r="Q1149" s="81"/>
    </row>
    <row r="1150" spans="3:17" x14ac:dyDescent="0.3">
      <c r="C1150" s="81"/>
      <c r="F1150" s="85"/>
      <c r="G1150" s="86"/>
      <c r="H1150" s="86"/>
      <c r="I1150" s="87"/>
      <c r="J1150" s="85"/>
      <c r="K1150" s="85"/>
      <c r="M1150" s="81"/>
      <c r="O1150" s="85"/>
      <c r="P1150" s="85"/>
      <c r="Q1150" s="81"/>
    </row>
    <row r="1151" spans="3:17" x14ac:dyDescent="0.3">
      <c r="C1151" s="81"/>
      <c r="F1151" s="85"/>
      <c r="G1151" s="86"/>
      <c r="H1151" s="86"/>
      <c r="I1151" s="87"/>
      <c r="J1151" s="85"/>
      <c r="K1151" s="85"/>
      <c r="M1151" s="81"/>
      <c r="O1151" s="85"/>
      <c r="P1151" s="85"/>
      <c r="Q1151" s="81"/>
    </row>
    <row r="1152" spans="3:17" x14ac:dyDescent="0.3">
      <c r="C1152" s="81"/>
      <c r="F1152" s="85"/>
      <c r="G1152" s="86"/>
      <c r="H1152" s="86"/>
      <c r="I1152" s="87"/>
      <c r="J1152" s="85"/>
      <c r="K1152" s="85"/>
      <c r="M1152" s="81"/>
      <c r="O1152" s="85"/>
      <c r="P1152" s="85"/>
      <c r="Q1152" s="81"/>
    </row>
    <row r="1153" spans="3:17" x14ac:dyDescent="0.3">
      <c r="C1153" s="81"/>
      <c r="F1153" s="85"/>
      <c r="G1153" s="86"/>
      <c r="H1153" s="86"/>
      <c r="I1153" s="87"/>
      <c r="J1153" s="85"/>
      <c r="K1153" s="85"/>
      <c r="M1153" s="81"/>
      <c r="O1153" s="85"/>
      <c r="P1153" s="85"/>
      <c r="Q1153" s="81"/>
    </row>
    <row r="1154" spans="3:17" x14ac:dyDescent="0.3">
      <c r="C1154" s="81"/>
      <c r="F1154" s="85"/>
      <c r="G1154" s="86"/>
      <c r="H1154" s="86"/>
      <c r="I1154" s="87"/>
      <c r="J1154" s="85"/>
      <c r="K1154" s="85"/>
      <c r="M1154" s="81"/>
      <c r="O1154" s="85"/>
      <c r="P1154" s="85"/>
      <c r="Q1154" s="81"/>
    </row>
    <row r="1155" spans="3:17" x14ac:dyDescent="0.3">
      <c r="C1155" s="81"/>
      <c r="F1155" s="85"/>
      <c r="G1155" s="86"/>
      <c r="H1155" s="86"/>
      <c r="I1155" s="87"/>
      <c r="J1155" s="85"/>
      <c r="K1155" s="85"/>
      <c r="M1155" s="81"/>
      <c r="O1155" s="85"/>
      <c r="P1155" s="85"/>
      <c r="Q1155" s="81"/>
    </row>
    <row r="1156" spans="3:17" x14ac:dyDescent="0.3">
      <c r="C1156" s="81"/>
      <c r="F1156" s="85"/>
      <c r="G1156" s="86"/>
      <c r="H1156" s="86"/>
      <c r="I1156" s="87"/>
      <c r="J1156" s="85"/>
      <c r="K1156" s="85"/>
      <c r="M1156" s="81"/>
      <c r="O1156" s="85"/>
      <c r="P1156" s="85"/>
      <c r="Q1156" s="81"/>
    </row>
    <row r="1157" spans="3:17" x14ac:dyDescent="0.3">
      <c r="C1157" s="81"/>
      <c r="F1157" s="85"/>
      <c r="G1157" s="86"/>
      <c r="H1157" s="86"/>
      <c r="I1157" s="87"/>
      <c r="J1157" s="85"/>
      <c r="K1157" s="85"/>
      <c r="M1157" s="81"/>
      <c r="O1157" s="85"/>
      <c r="P1157" s="85"/>
      <c r="Q1157" s="81"/>
    </row>
    <row r="1158" spans="3:17" x14ac:dyDescent="0.3">
      <c r="C1158" s="81"/>
      <c r="F1158" s="85"/>
      <c r="G1158" s="86"/>
      <c r="H1158" s="86"/>
      <c r="I1158" s="87"/>
      <c r="J1158" s="85"/>
      <c r="K1158" s="85"/>
      <c r="M1158" s="81"/>
      <c r="O1158" s="85"/>
      <c r="P1158" s="85"/>
      <c r="Q1158" s="81"/>
    </row>
    <row r="1159" spans="3:17" x14ac:dyDescent="0.3">
      <c r="C1159" s="81"/>
      <c r="F1159" s="85"/>
      <c r="G1159" s="86"/>
      <c r="H1159" s="86"/>
      <c r="I1159" s="87"/>
      <c r="J1159" s="85"/>
      <c r="K1159" s="85"/>
      <c r="M1159" s="81"/>
      <c r="O1159" s="85"/>
      <c r="P1159" s="85"/>
      <c r="Q1159" s="81"/>
    </row>
    <row r="1160" spans="3:17" x14ac:dyDescent="0.3">
      <c r="C1160" s="81"/>
      <c r="F1160" s="85"/>
      <c r="G1160" s="86"/>
      <c r="H1160" s="86"/>
      <c r="I1160" s="87"/>
      <c r="J1160" s="85"/>
      <c r="K1160" s="85"/>
      <c r="M1160" s="81"/>
      <c r="O1160" s="85"/>
      <c r="P1160" s="85"/>
      <c r="Q1160" s="81"/>
    </row>
    <row r="1161" spans="3:17" x14ac:dyDescent="0.3">
      <c r="C1161" s="81"/>
      <c r="F1161" s="85"/>
      <c r="G1161" s="86"/>
      <c r="H1161" s="86"/>
      <c r="I1161" s="87"/>
      <c r="J1161" s="85"/>
      <c r="K1161" s="85"/>
      <c r="M1161" s="81"/>
      <c r="O1161" s="85"/>
      <c r="P1161" s="85"/>
      <c r="Q1161" s="81"/>
    </row>
    <row r="1162" spans="3:17" x14ac:dyDescent="0.3">
      <c r="C1162" s="81"/>
      <c r="F1162" s="85"/>
      <c r="G1162" s="86"/>
      <c r="H1162" s="86"/>
      <c r="I1162" s="87"/>
      <c r="J1162" s="85"/>
      <c r="K1162" s="85"/>
      <c r="M1162" s="81"/>
      <c r="O1162" s="85"/>
      <c r="P1162" s="85"/>
      <c r="Q1162" s="81"/>
    </row>
    <row r="1163" spans="3:17" x14ac:dyDescent="0.3">
      <c r="C1163" s="81"/>
      <c r="F1163" s="85"/>
      <c r="G1163" s="86"/>
      <c r="H1163" s="86"/>
      <c r="I1163" s="87"/>
      <c r="J1163" s="85"/>
      <c r="K1163" s="85"/>
      <c r="M1163" s="81"/>
      <c r="O1163" s="85"/>
      <c r="P1163" s="85"/>
      <c r="Q1163" s="81"/>
    </row>
    <row r="1164" spans="3:17" x14ac:dyDescent="0.3">
      <c r="C1164" s="81"/>
      <c r="F1164" s="85"/>
      <c r="G1164" s="86"/>
      <c r="H1164" s="86"/>
      <c r="I1164" s="87"/>
      <c r="J1164" s="85"/>
      <c r="K1164" s="85"/>
      <c r="M1164" s="81"/>
      <c r="O1164" s="85"/>
      <c r="P1164" s="85"/>
      <c r="Q1164" s="81"/>
    </row>
    <row r="1165" spans="3:17" x14ac:dyDescent="0.3">
      <c r="C1165" s="81"/>
      <c r="F1165" s="85"/>
      <c r="G1165" s="86"/>
      <c r="H1165" s="86"/>
      <c r="I1165" s="87"/>
      <c r="J1165" s="85"/>
      <c r="K1165" s="85"/>
      <c r="M1165" s="81"/>
      <c r="O1165" s="85"/>
      <c r="P1165" s="85"/>
      <c r="Q1165" s="81"/>
    </row>
    <row r="1166" spans="3:17" x14ac:dyDescent="0.3">
      <c r="C1166" s="81"/>
      <c r="F1166" s="85"/>
      <c r="G1166" s="86"/>
      <c r="H1166" s="86"/>
      <c r="I1166" s="87"/>
      <c r="J1166" s="85"/>
      <c r="K1166" s="85"/>
      <c r="M1166" s="81"/>
      <c r="O1166" s="85"/>
      <c r="P1166" s="85"/>
      <c r="Q1166" s="81"/>
    </row>
    <row r="1167" spans="3:17" x14ac:dyDescent="0.3">
      <c r="C1167" s="81"/>
      <c r="F1167" s="85"/>
      <c r="G1167" s="86"/>
      <c r="H1167" s="86"/>
      <c r="I1167" s="87"/>
      <c r="J1167" s="85"/>
      <c r="K1167" s="85"/>
      <c r="M1167" s="81"/>
      <c r="O1167" s="85"/>
      <c r="P1167" s="85"/>
      <c r="Q1167" s="81"/>
    </row>
    <row r="1168" spans="3:17" x14ac:dyDescent="0.3">
      <c r="C1168" s="81"/>
      <c r="F1168" s="85"/>
      <c r="G1168" s="86"/>
      <c r="H1168" s="86"/>
      <c r="I1168" s="87"/>
      <c r="J1168" s="85"/>
      <c r="K1168" s="85"/>
      <c r="M1168" s="81"/>
      <c r="O1168" s="85"/>
      <c r="P1168" s="85"/>
      <c r="Q1168" s="81"/>
    </row>
    <row r="1169" spans="3:17" x14ac:dyDescent="0.3">
      <c r="C1169" s="81"/>
      <c r="F1169" s="85"/>
      <c r="G1169" s="86"/>
      <c r="H1169" s="86"/>
      <c r="I1169" s="87"/>
      <c r="J1169" s="85"/>
      <c r="K1169" s="85"/>
      <c r="M1169" s="81"/>
      <c r="O1169" s="85"/>
      <c r="P1169" s="85"/>
      <c r="Q1169" s="81"/>
    </row>
    <row r="1170" spans="3:17" x14ac:dyDescent="0.3">
      <c r="C1170" s="81"/>
      <c r="F1170" s="85"/>
      <c r="G1170" s="86"/>
      <c r="H1170" s="86"/>
      <c r="I1170" s="87"/>
      <c r="J1170" s="85"/>
      <c r="K1170" s="85"/>
      <c r="M1170" s="81"/>
      <c r="O1170" s="85"/>
      <c r="P1170" s="85"/>
      <c r="Q1170" s="81"/>
    </row>
    <row r="1171" spans="3:17" x14ac:dyDescent="0.3">
      <c r="C1171" s="81"/>
      <c r="F1171" s="85"/>
      <c r="G1171" s="86"/>
      <c r="H1171" s="86"/>
      <c r="I1171" s="87"/>
      <c r="J1171" s="85"/>
      <c r="K1171" s="85"/>
      <c r="M1171" s="81"/>
      <c r="O1171" s="85"/>
      <c r="P1171" s="85"/>
      <c r="Q1171" s="81"/>
    </row>
    <row r="1172" spans="3:17" x14ac:dyDescent="0.3">
      <c r="C1172" s="81"/>
      <c r="F1172" s="85"/>
      <c r="G1172" s="86"/>
      <c r="H1172" s="86"/>
      <c r="I1172" s="87"/>
      <c r="J1172" s="85"/>
      <c r="K1172" s="85"/>
      <c r="M1172" s="81"/>
      <c r="O1172" s="85"/>
      <c r="P1172" s="85"/>
      <c r="Q1172" s="81"/>
    </row>
    <row r="1173" spans="3:17" x14ac:dyDescent="0.3">
      <c r="C1173" s="81"/>
      <c r="F1173" s="85"/>
      <c r="G1173" s="86"/>
      <c r="H1173" s="86"/>
      <c r="I1173" s="87"/>
      <c r="J1173" s="85"/>
      <c r="K1173" s="85"/>
      <c r="M1173" s="81"/>
      <c r="O1173" s="85"/>
      <c r="P1173" s="85"/>
      <c r="Q1173" s="81"/>
    </row>
    <row r="1174" spans="3:17" x14ac:dyDescent="0.3">
      <c r="C1174" s="81"/>
      <c r="F1174" s="85"/>
      <c r="G1174" s="86"/>
      <c r="H1174" s="86"/>
      <c r="I1174" s="87"/>
      <c r="J1174" s="85"/>
      <c r="K1174" s="85"/>
      <c r="M1174" s="81"/>
      <c r="O1174" s="85"/>
      <c r="P1174" s="85"/>
      <c r="Q1174" s="81"/>
    </row>
    <row r="1175" spans="3:17" x14ac:dyDescent="0.3">
      <c r="C1175" s="81"/>
      <c r="F1175" s="85"/>
      <c r="G1175" s="86"/>
      <c r="H1175" s="86"/>
      <c r="I1175" s="87"/>
      <c r="J1175" s="85"/>
      <c r="K1175" s="85"/>
      <c r="M1175" s="81"/>
      <c r="O1175" s="85"/>
      <c r="P1175" s="85"/>
      <c r="Q1175" s="81"/>
    </row>
    <row r="1176" spans="3:17" x14ac:dyDescent="0.3">
      <c r="C1176" s="81"/>
      <c r="F1176" s="85"/>
      <c r="G1176" s="86"/>
      <c r="H1176" s="86"/>
      <c r="I1176" s="87"/>
      <c r="J1176" s="85"/>
      <c r="K1176" s="85"/>
      <c r="M1176" s="81"/>
      <c r="O1176" s="85"/>
      <c r="P1176" s="85"/>
      <c r="Q1176" s="81"/>
    </row>
    <row r="1177" spans="3:17" x14ac:dyDescent="0.3">
      <c r="C1177" s="81"/>
      <c r="F1177" s="85"/>
      <c r="G1177" s="86"/>
      <c r="H1177" s="86"/>
      <c r="I1177" s="87"/>
      <c r="J1177" s="85"/>
      <c r="K1177" s="85"/>
      <c r="M1177" s="81"/>
      <c r="O1177" s="85"/>
      <c r="P1177" s="85"/>
      <c r="Q1177" s="81"/>
    </row>
    <row r="1178" spans="3:17" x14ac:dyDescent="0.3">
      <c r="C1178" s="81"/>
      <c r="F1178" s="85"/>
      <c r="G1178" s="86"/>
      <c r="H1178" s="86"/>
      <c r="I1178" s="87"/>
      <c r="J1178" s="85"/>
      <c r="K1178" s="85"/>
      <c r="M1178" s="81"/>
      <c r="O1178" s="85"/>
      <c r="P1178" s="85"/>
      <c r="Q1178" s="81"/>
    </row>
    <row r="1179" spans="3:17" x14ac:dyDescent="0.3">
      <c r="C1179" s="81"/>
      <c r="F1179" s="85"/>
      <c r="G1179" s="86"/>
      <c r="H1179" s="86"/>
      <c r="I1179" s="87"/>
      <c r="J1179" s="85"/>
      <c r="K1179" s="85"/>
      <c r="M1179" s="81"/>
      <c r="O1179" s="85"/>
      <c r="P1179" s="85"/>
      <c r="Q1179" s="81"/>
    </row>
    <row r="1180" spans="3:17" x14ac:dyDescent="0.3">
      <c r="C1180" s="81"/>
      <c r="F1180" s="85"/>
      <c r="G1180" s="86"/>
      <c r="H1180" s="86"/>
      <c r="I1180" s="87"/>
      <c r="J1180" s="85"/>
      <c r="K1180" s="85"/>
      <c r="M1180" s="81"/>
      <c r="O1180" s="85"/>
      <c r="P1180" s="85"/>
      <c r="Q1180" s="81"/>
    </row>
    <row r="1181" spans="3:17" x14ac:dyDescent="0.3">
      <c r="C1181" s="81"/>
      <c r="F1181" s="85"/>
      <c r="G1181" s="86"/>
      <c r="H1181" s="86"/>
      <c r="I1181" s="87"/>
      <c r="J1181" s="85"/>
      <c r="K1181" s="85"/>
      <c r="M1181" s="81"/>
      <c r="O1181" s="85"/>
      <c r="P1181" s="85"/>
      <c r="Q1181" s="81"/>
    </row>
    <row r="1182" spans="3:17" x14ac:dyDescent="0.3">
      <c r="C1182" s="81"/>
      <c r="F1182" s="85"/>
      <c r="G1182" s="86"/>
      <c r="H1182" s="86"/>
      <c r="I1182" s="87"/>
      <c r="J1182" s="85"/>
      <c r="K1182" s="85"/>
      <c r="M1182" s="81"/>
      <c r="O1182" s="85"/>
      <c r="P1182" s="85"/>
      <c r="Q1182" s="81"/>
    </row>
    <row r="1183" spans="3:17" x14ac:dyDescent="0.3">
      <c r="C1183" s="81"/>
      <c r="F1183" s="85"/>
      <c r="G1183" s="86"/>
      <c r="H1183" s="86"/>
      <c r="I1183" s="87"/>
      <c r="J1183" s="85"/>
      <c r="K1183" s="85"/>
      <c r="M1183" s="81"/>
      <c r="O1183" s="85"/>
      <c r="P1183" s="85"/>
      <c r="Q1183" s="81"/>
    </row>
    <row r="1184" spans="3:17" x14ac:dyDescent="0.3">
      <c r="C1184" s="81"/>
      <c r="F1184" s="85"/>
      <c r="G1184" s="86"/>
      <c r="H1184" s="86"/>
      <c r="I1184" s="87"/>
      <c r="J1184" s="85"/>
      <c r="K1184" s="85"/>
      <c r="M1184" s="81"/>
      <c r="O1184" s="85"/>
      <c r="P1184" s="85"/>
      <c r="Q1184" s="81"/>
    </row>
    <row r="1185" spans="3:17" x14ac:dyDescent="0.3">
      <c r="C1185" s="81"/>
      <c r="F1185" s="85"/>
      <c r="G1185" s="86"/>
      <c r="H1185" s="86"/>
      <c r="I1185" s="87"/>
      <c r="J1185" s="85"/>
      <c r="K1185" s="85"/>
      <c r="M1185" s="81"/>
      <c r="O1185" s="85"/>
      <c r="P1185" s="85"/>
      <c r="Q1185" s="81"/>
    </row>
    <row r="1186" spans="3:17" x14ac:dyDescent="0.3">
      <c r="C1186" s="81"/>
      <c r="F1186" s="85"/>
      <c r="G1186" s="86"/>
      <c r="H1186" s="86"/>
      <c r="I1186" s="87"/>
      <c r="J1186" s="85"/>
      <c r="K1186" s="85"/>
      <c r="M1186" s="81"/>
      <c r="O1186" s="85"/>
      <c r="P1186" s="85"/>
      <c r="Q1186" s="81"/>
    </row>
    <row r="1187" spans="3:17" x14ac:dyDescent="0.3">
      <c r="C1187" s="81"/>
      <c r="F1187" s="85"/>
      <c r="G1187" s="86"/>
      <c r="H1187" s="86"/>
      <c r="I1187" s="87"/>
      <c r="J1187" s="85"/>
      <c r="K1187" s="85"/>
      <c r="M1187" s="81"/>
      <c r="O1187" s="85"/>
      <c r="P1187" s="85"/>
      <c r="Q1187" s="81"/>
    </row>
    <row r="1188" spans="3:17" x14ac:dyDescent="0.3">
      <c r="C1188" s="81"/>
      <c r="F1188" s="85"/>
      <c r="G1188" s="86"/>
      <c r="H1188" s="86"/>
      <c r="I1188" s="87"/>
      <c r="J1188" s="85"/>
      <c r="K1188" s="85"/>
      <c r="M1188" s="81"/>
      <c r="O1188" s="85"/>
      <c r="P1188" s="85"/>
      <c r="Q1188" s="81"/>
    </row>
    <row r="1189" spans="3:17" x14ac:dyDescent="0.3">
      <c r="C1189" s="81"/>
      <c r="F1189" s="85"/>
      <c r="G1189" s="86"/>
      <c r="H1189" s="86"/>
      <c r="I1189" s="87"/>
      <c r="J1189" s="85"/>
      <c r="K1189" s="85"/>
      <c r="M1189" s="81"/>
      <c r="O1189" s="85"/>
      <c r="P1189" s="85"/>
      <c r="Q1189" s="81"/>
    </row>
    <row r="1190" spans="3:17" x14ac:dyDescent="0.3">
      <c r="C1190" s="81"/>
      <c r="F1190" s="85"/>
      <c r="G1190" s="86"/>
      <c r="H1190" s="86"/>
      <c r="I1190" s="87"/>
      <c r="J1190" s="85"/>
      <c r="K1190" s="85"/>
      <c r="M1190" s="81"/>
      <c r="O1190" s="85"/>
      <c r="P1190" s="85"/>
      <c r="Q1190" s="81"/>
    </row>
    <row r="1191" spans="3:17" x14ac:dyDescent="0.3">
      <c r="C1191" s="81"/>
      <c r="F1191" s="85"/>
      <c r="G1191" s="86"/>
      <c r="H1191" s="86"/>
      <c r="I1191" s="87"/>
      <c r="J1191" s="85"/>
      <c r="K1191" s="85"/>
      <c r="M1191" s="81"/>
      <c r="O1191" s="85"/>
      <c r="P1191" s="85"/>
      <c r="Q1191" s="81"/>
    </row>
    <row r="1192" spans="3:17" x14ac:dyDescent="0.3">
      <c r="C1192" s="81"/>
      <c r="F1192" s="85"/>
      <c r="G1192" s="86"/>
      <c r="H1192" s="86"/>
      <c r="I1192" s="87"/>
      <c r="J1192" s="85"/>
      <c r="K1192" s="85"/>
      <c r="M1192" s="81"/>
      <c r="O1192" s="85"/>
      <c r="P1192" s="85"/>
      <c r="Q1192" s="81"/>
    </row>
    <row r="1193" spans="3:17" x14ac:dyDescent="0.3">
      <c r="C1193" s="81"/>
      <c r="F1193" s="85"/>
      <c r="G1193" s="86"/>
      <c r="H1193" s="86"/>
      <c r="I1193" s="87"/>
      <c r="J1193" s="85"/>
      <c r="K1193" s="85"/>
      <c r="M1193" s="81"/>
      <c r="O1193" s="85"/>
      <c r="P1193" s="85"/>
      <c r="Q1193" s="81"/>
    </row>
    <row r="1194" spans="3:17" x14ac:dyDescent="0.3">
      <c r="C1194" s="81"/>
      <c r="F1194" s="85"/>
      <c r="G1194" s="86"/>
      <c r="H1194" s="86"/>
      <c r="I1194" s="87"/>
      <c r="J1194" s="85"/>
      <c r="K1194" s="85"/>
      <c r="M1194" s="81"/>
      <c r="O1194" s="85"/>
      <c r="P1194" s="85"/>
      <c r="Q1194" s="81"/>
    </row>
    <row r="1195" spans="3:17" x14ac:dyDescent="0.3">
      <c r="C1195" s="81"/>
      <c r="F1195" s="85"/>
      <c r="G1195" s="86"/>
      <c r="H1195" s="86"/>
      <c r="I1195" s="87"/>
      <c r="J1195" s="85"/>
      <c r="K1195" s="85"/>
      <c r="M1195" s="81"/>
      <c r="O1195" s="85"/>
      <c r="P1195" s="85"/>
      <c r="Q1195" s="81"/>
    </row>
    <row r="1196" spans="3:17" x14ac:dyDescent="0.3">
      <c r="C1196" s="81"/>
      <c r="F1196" s="85"/>
      <c r="G1196" s="86"/>
      <c r="H1196" s="86"/>
      <c r="I1196" s="87"/>
      <c r="J1196" s="85"/>
      <c r="K1196" s="85"/>
      <c r="M1196" s="81"/>
      <c r="O1196" s="85"/>
      <c r="P1196" s="85"/>
      <c r="Q1196" s="81"/>
    </row>
    <row r="1197" spans="3:17" x14ac:dyDescent="0.3">
      <c r="C1197" s="81"/>
      <c r="F1197" s="85"/>
      <c r="G1197" s="86"/>
      <c r="H1197" s="86"/>
      <c r="I1197" s="87"/>
      <c r="J1197" s="85"/>
      <c r="K1197" s="85"/>
      <c r="M1197" s="81"/>
      <c r="O1197" s="85"/>
      <c r="P1197" s="85"/>
      <c r="Q1197" s="81"/>
    </row>
    <row r="1198" spans="3:17" x14ac:dyDescent="0.3">
      <c r="C1198" s="81"/>
      <c r="F1198" s="85"/>
      <c r="G1198" s="86"/>
      <c r="H1198" s="86"/>
      <c r="I1198" s="87"/>
      <c r="J1198" s="85"/>
      <c r="K1198" s="85"/>
      <c r="M1198" s="81"/>
      <c r="O1198" s="85"/>
      <c r="P1198" s="85"/>
      <c r="Q1198" s="81"/>
    </row>
    <row r="1199" spans="3:17" x14ac:dyDescent="0.3">
      <c r="C1199" s="81"/>
      <c r="F1199" s="85"/>
      <c r="G1199" s="86"/>
      <c r="H1199" s="86"/>
      <c r="I1199" s="87"/>
      <c r="J1199" s="85"/>
      <c r="K1199" s="85"/>
      <c r="M1199" s="81"/>
      <c r="O1199" s="85"/>
      <c r="P1199" s="85"/>
      <c r="Q1199" s="81"/>
    </row>
    <row r="1200" spans="3:17" x14ac:dyDescent="0.3">
      <c r="C1200" s="81"/>
      <c r="F1200" s="85"/>
      <c r="G1200" s="86"/>
      <c r="H1200" s="86"/>
      <c r="I1200" s="87"/>
      <c r="J1200" s="85"/>
      <c r="K1200" s="85"/>
      <c r="M1200" s="81"/>
      <c r="O1200" s="85"/>
      <c r="P1200" s="85"/>
      <c r="Q1200" s="81"/>
    </row>
    <row r="1201" spans="3:17" x14ac:dyDescent="0.3">
      <c r="C1201" s="81"/>
      <c r="F1201" s="85"/>
      <c r="G1201" s="86"/>
      <c r="H1201" s="86"/>
      <c r="I1201" s="87"/>
      <c r="J1201" s="85"/>
      <c r="K1201" s="85"/>
      <c r="M1201" s="81"/>
      <c r="O1201" s="85"/>
      <c r="P1201" s="85"/>
      <c r="Q1201" s="81"/>
    </row>
    <row r="1202" spans="3:17" x14ac:dyDescent="0.3">
      <c r="C1202" s="81"/>
      <c r="F1202" s="85"/>
      <c r="G1202" s="86"/>
      <c r="H1202" s="86"/>
      <c r="I1202" s="87"/>
      <c r="J1202" s="85"/>
      <c r="K1202" s="85"/>
      <c r="M1202" s="81"/>
      <c r="O1202" s="85"/>
      <c r="P1202" s="85"/>
      <c r="Q1202" s="81"/>
    </row>
    <row r="1203" spans="3:17" x14ac:dyDescent="0.3">
      <c r="C1203" s="81"/>
      <c r="F1203" s="85"/>
      <c r="G1203" s="86"/>
      <c r="H1203" s="86"/>
      <c r="I1203" s="87"/>
      <c r="J1203" s="85"/>
      <c r="K1203" s="85"/>
      <c r="M1203" s="81"/>
      <c r="O1203" s="85"/>
      <c r="P1203" s="85"/>
      <c r="Q1203" s="81"/>
    </row>
    <row r="1204" spans="3:17" x14ac:dyDescent="0.3">
      <c r="C1204" s="81"/>
      <c r="F1204" s="85"/>
      <c r="G1204" s="86"/>
      <c r="H1204" s="86"/>
      <c r="I1204" s="87"/>
      <c r="J1204" s="85"/>
      <c r="K1204" s="85"/>
      <c r="M1204" s="81"/>
      <c r="O1204" s="85"/>
      <c r="P1204" s="85"/>
      <c r="Q1204" s="81"/>
    </row>
    <row r="1205" spans="3:17" x14ac:dyDescent="0.3">
      <c r="C1205" s="81"/>
      <c r="F1205" s="85"/>
      <c r="G1205" s="86"/>
      <c r="H1205" s="86"/>
      <c r="I1205" s="87"/>
      <c r="J1205" s="85"/>
      <c r="K1205" s="85"/>
      <c r="M1205" s="81"/>
      <c r="O1205" s="85"/>
      <c r="P1205" s="85"/>
      <c r="Q1205" s="81"/>
    </row>
    <row r="1206" spans="3:17" x14ac:dyDescent="0.3">
      <c r="C1206" s="81"/>
      <c r="F1206" s="85"/>
      <c r="G1206" s="86"/>
      <c r="H1206" s="86"/>
      <c r="I1206" s="87"/>
      <c r="J1206" s="85"/>
      <c r="K1206" s="85"/>
      <c r="M1206" s="81"/>
      <c r="O1206" s="85"/>
      <c r="P1206" s="85"/>
      <c r="Q1206" s="81"/>
    </row>
    <row r="1207" spans="3:17" x14ac:dyDescent="0.3">
      <c r="C1207" s="81"/>
      <c r="F1207" s="85"/>
      <c r="G1207" s="86"/>
      <c r="H1207" s="86"/>
      <c r="I1207" s="87"/>
      <c r="J1207" s="85"/>
      <c r="K1207" s="85"/>
      <c r="M1207" s="81"/>
      <c r="O1207" s="85"/>
      <c r="P1207" s="85"/>
      <c r="Q1207" s="81"/>
    </row>
    <row r="1208" spans="3:17" x14ac:dyDescent="0.3">
      <c r="C1208" s="81"/>
      <c r="F1208" s="85"/>
      <c r="G1208" s="86"/>
      <c r="H1208" s="86"/>
      <c r="I1208" s="87"/>
      <c r="J1208" s="85"/>
      <c r="K1208" s="85"/>
      <c r="M1208" s="81"/>
      <c r="O1208" s="85"/>
      <c r="P1208" s="85"/>
      <c r="Q1208" s="81"/>
    </row>
    <row r="1209" spans="3:17" x14ac:dyDescent="0.3">
      <c r="C1209" s="81"/>
      <c r="F1209" s="85"/>
      <c r="G1209" s="86"/>
      <c r="H1209" s="86"/>
      <c r="I1209" s="87"/>
      <c r="J1209" s="85"/>
      <c r="K1209" s="85"/>
      <c r="M1209" s="81"/>
      <c r="O1209" s="85"/>
      <c r="P1209" s="85"/>
      <c r="Q1209" s="81"/>
    </row>
    <row r="1210" spans="3:17" x14ac:dyDescent="0.3">
      <c r="C1210" s="81"/>
      <c r="F1210" s="85"/>
      <c r="G1210" s="86"/>
      <c r="H1210" s="86"/>
      <c r="I1210" s="87"/>
      <c r="J1210" s="85"/>
      <c r="K1210" s="85"/>
      <c r="M1210" s="81"/>
      <c r="O1210" s="85"/>
      <c r="P1210" s="85"/>
      <c r="Q1210" s="81"/>
    </row>
    <row r="1211" spans="3:17" x14ac:dyDescent="0.3">
      <c r="C1211" s="81"/>
      <c r="F1211" s="85"/>
      <c r="G1211" s="86"/>
      <c r="H1211" s="86"/>
      <c r="I1211" s="87"/>
      <c r="J1211" s="85"/>
      <c r="K1211" s="85"/>
      <c r="M1211" s="81"/>
      <c r="O1211" s="85"/>
      <c r="P1211" s="85"/>
      <c r="Q1211" s="81"/>
    </row>
    <row r="1212" spans="3:17" x14ac:dyDescent="0.3">
      <c r="C1212" s="81"/>
      <c r="F1212" s="85"/>
      <c r="G1212" s="86"/>
      <c r="H1212" s="86"/>
      <c r="I1212" s="87"/>
      <c r="J1212" s="85"/>
      <c r="K1212" s="85"/>
      <c r="M1212" s="81"/>
      <c r="O1212" s="85"/>
      <c r="P1212" s="85"/>
      <c r="Q1212" s="81"/>
    </row>
    <row r="1213" spans="3:17" x14ac:dyDescent="0.3">
      <c r="C1213" s="81"/>
      <c r="F1213" s="85"/>
      <c r="G1213" s="86"/>
      <c r="H1213" s="86"/>
      <c r="I1213" s="87"/>
      <c r="J1213" s="85"/>
      <c r="K1213" s="85"/>
      <c r="M1213" s="81"/>
      <c r="O1213" s="85"/>
      <c r="P1213" s="85"/>
      <c r="Q1213" s="81"/>
    </row>
    <row r="1214" spans="3:17" x14ac:dyDescent="0.3">
      <c r="C1214" s="81"/>
      <c r="F1214" s="85"/>
      <c r="G1214" s="86"/>
      <c r="H1214" s="86"/>
      <c r="I1214" s="87"/>
      <c r="J1214" s="85"/>
      <c r="K1214" s="85"/>
      <c r="M1214" s="81"/>
      <c r="O1214" s="85"/>
      <c r="P1214" s="85"/>
      <c r="Q1214" s="81"/>
    </row>
    <row r="1215" spans="3:17" x14ac:dyDescent="0.3">
      <c r="C1215" s="81"/>
      <c r="F1215" s="85"/>
      <c r="G1215" s="86"/>
      <c r="H1215" s="86"/>
      <c r="I1215" s="87"/>
      <c r="J1215" s="85"/>
      <c r="K1215" s="85"/>
      <c r="M1215" s="81"/>
      <c r="O1215" s="85"/>
      <c r="P1215" s="85"/>
      <c r="Q1215" s="81"/>
    </row>
    <row r="1216" spans="3:17" x14ac:dyDescent="0.3">
      <c r="C1216" s="81"/>
      <c r="F1216" s="85"/>
      <c r="G1216" s="86"/>
      <c r="H1216" s="86"/>
      <c r="I1216" s="87"/>
      <c r="J1216" s="85"/>
      <c r="K1216" s="85"/>
      <c r="M1216" s="81"/>
      <c r="O1216" s="85"/>
      <c r="P1216" s="85"/>
      <c r="Q1216" s="81"/>
    </row>
    <row r="1217" spans="3:17" x14ac:dyDescent="0.3">
      <c r="C1217" s="81"/>
      <c r="F1217" s="85"/>
      <c r="G1217" s="86"/>
      <c r="H1217" s="86"/>
      <c r="I1217" s="87"/>
      <c r="J1217" s="85"/>
      <c r="K1217" s="85"/>
      <c r="M1217" s="81"/>
      <c r="O1217" s="85"/>
      <c r="P1217" s="85"/>
      <c r="Q1217" s="81"/>
    </row>
    <row r="1218" spans="3:17" x14ac:dyDescent="0.3">
      <c r="C1218" s="81"/>
      <c r="F1218" s="85"/>
      <c r="G1218" s="86"/>
      <c r="H1218" s="86"/>
      <c r="I1218" s="87"/>
      <c r="J1218" s="85"/>
      <c r="K1218" s="85"/>
      <c r="M1218" s="81"/>
      <c r="O1218" s="85"/>
      <c r="P1218" s="85"/>
      <c r="Q1218" s="81"/>
    </row>
    <row r="1219" spans="3:17" x14ac:dyDescent="0.3">
      <c r="C1219" s="81"/>
      <c r="F1219" s="85"/>
      <c r="G1219" s="86"/>
      <c r="H1219" s="86"/>
      <c r="I1219" s="87"/>
      <c r="J1219" s="85"/>
      <c r="K1219" s="85"/>
      <c r="M1219" s="81"/>
      <c r="O1219" s="85"/>
      <c r="P1219" s="85"/>
      <c r="Q1219" s="81"/>
    </row>
    <row r="1220" spans="3:17" x14ac:dyDescent="0.3">
      <c r="C1220" s="81"/>
      <c r="F1220" s="85"/>
      <c r="G1220" s="86"/>
      <c r="H1220" s="86"/>
      <c r="I1220" s="87"/>
      <c r="J1220" s="85"/>
      <c r="K1220" s="85"/>
      <c r="M1220" s="81"/>
      <c r="O1220" s="85"/>
      <c r="P1220" s="85"/>
      <c r="Q1220" s="81"/>
    </row>
    <row r="1221" spans="3:17" x14ac:dyDescent="0.3">
      <c r="C1221" s="81"/>
      <c r="F1221" s="85"/>
      <c r="G1221" s="86"/>
      <c r="H1221" s="86"/>
      <c r="I1221" s="87"/>
      <c r="J1221" s="85"/>
      <c r="K1221" s="85"/>
      <c r="M1221" s="81"/>
      <c r="O1221" s="85"/>
      <c r="P1221" s="85"/>
      <c r="Q1221" s="81"/>
    </row>
    <row r="1222" spans="3:17" x14ac:dyDescent="0.3">
      <c r="C1222" s="81"/>
      <c r="F1222" s="85"/>
      <c r="G1222" s="86"/>
      <c r="H1222" s="86"/>
      <c r="I1222" s="87"/>
      <c r="J1222" s="85"/>
      <c r="K1222" s="85"/>
      <c r="M1222" s="81"/>
      <c r="O1222" s="85"/>
      <c r="P1222" s="85"/>
      <c r="Q1222" s="81"/>
    </row>
    <row r="1223" spans="3:17" x14ac:dyDescent="0.3">
      <c r="C1223" s="81"/>
      <c r="F1223" s="85"/>
      <c r="G1223" s="86"/>
      <c r="H1223" s="86"/>
      <c r="I1223" s="87"/>
      <c r="J1223" s="85"/>
      <c r="K1223" s="85"/>
      <c r="M1223" s="81"/>
      <c r="O1223" s="85"/>
      <c r="P1223" s="85"/>
      <c r="Q1223" s="81"/>
    </row>
    <row r="1224" spans="3:17" x14ac:dyDescent="0.3">
      <c r="C1224" s="81"/>
      <c r="F1224" s="85"/>
      <c r="G1224" s="86"/>
      <c r="H1224" s="86"/>
      <c r="I1224" s="87"/>
      <c r="J1224" s="85"/>
      <c r="K1224" s="85"/>
      <c r="M1224" s="81"/>
      <c r="O1224" s="85"/>
      <c r="P1224" s="85"/>
      <c r="Q1224" s="81"/>
    </row>
    <row r="1225" spans="3:17" x14ac:dyDescent="0.3">
      <c r="C1225" s="81"/>
      <c r="F1225" s="85"/>
      <c r="G1225" s="86"/>
      <c r="H1225" s="86"/>
      <c r="I1225" s="87"/>
      <c r="J1225" s="85"/>
      <c r="K1225" s="85"/>
      <c r="M1225" s="81"/>
      <c r="O1225" s="85"/>
      <c r="P1225" s="85"/>
      <c r="Q1225" s="81"/>
    </row>
    <row r="1226" spans="3:17" x14ac:dyDescent="0.3">
      <c r="C1226" s="81"/>
      <c r="F1226" s="85"/>
      <c r="G1226" s="86"/>
      <c r="H1226" s="86"/>
      <c r="I1226" s="87"/>
      <c r="J1226" s="85"/>
      <c r="K1226" s="85"/>
      <c r="M1226" s="81"/>
      <c r="O1226" s="85"/>
      <c r="P1226" s="85"/>
      <c r="Q1226" s="81"/>
    </row>
    <row r="1227" spans="3:17" x14ac:dyDescent="0.3">
      <c r="C1227" s="81"/>
      <c r="F1227" s="85"/>
      <c r="G1227" s="86"/>
      <c r="H1227" s="86"/>
      <c r="I1227" s="87"/>
      <c r="J1227" s="85"/>
      <c r="K1227" s="85"/>
      <c r="M1227" s="81"/>
      <c r="O1227" s="85"/>
      <c r="P1227" s="85"/>
      <c r="Q1227" s="81"/>
    </row>
    <row r="1228" spans="3:17" x14ac:dyDescent="0.3">
      <c r="C1228" s="81"/>
      <c r="F1228" s="85"/>
      <c r="G1228" s="86"/>
      <c r="H1228" s="86"/>
      <c r="I1228" s="87"/>
      <c r="J1228" s="85"/>
      <c r="K1228" s="85"/>
      <c r="M1228" s="81"/>
      <c r="O1228" s="85"/>
      <c r="P1228" s="85"/>
      <c r="Q1228" s="81"/>
    </row>
    <row r="1229" spans="3:17" x14ac:dyDescent="0.3">
      <c r="C1229" s="81"/>
      <c r="F1229" s="85"/>
      <c r="G1229" s="86"/>
      <c r="H1229" s="86"/>
      <c r="I1229" s="87"/>
      <c r="J1229" s="85"/>
      <c r="K1229" s="85"/>
      <c r="M1229" s="81"/>
      <c r="O1229" s="85"/>
      <c r="P1229" s="85"/>
      <c r="Q1229" s="81"/>
    </row>
    <row r="1230" spans="3:17" x14ac:dyDescent="0.3">
      <c r="C1230" s="81"/>
      <c r="F1230" s="85"/>
      <c r="G1230" s="86"/>
      <c r="H1230" s="86"/>
      <c r="I1230" s="87"/>
      <c r="J1230" s="85"/>
      <c r="K1230" s="85"/>
      <c r="M1230" s="81"/>
      <c r="O1230" s="85"/>
      <c r="P1230" s="85"/>
      <c r="Q1230" s="81"/>
    </row>
    <row r="1231" spans="3:17" x14ac:dyDescent="0.3">
      <c r="C1231" s="81"/>
      <c r="F1231" s="85"/>
      <c r="G1231" s="86"/>
      <c r="H1231" s="86"/>
      <c r="I1231" s="87"/>
      <c r="J1231" s="85"/>
      <c r="K1231" s="85"/>
      <c r="M1231" s="81"/>
      <c r="O1231" s="85"/>
      <c r="P1231" s="85"/>
      <c r="Q1231" s="81"/>
    </row>
    <row r="1232" spans="3:17" x14ac:dyDescent="0.3">
      <c r="C1232" s="81"/>
      <c r="F1232" s="85"/>
      <c r="G1232" s="86"/>
      <c r="H1232" s="86"/>
      <c r="I1232" s="87"/>
      <c r="J1232" s="85"/>
      <c r="K1232" s="85"/>
      <c r="M1232" s="81"/>
      <c r="O1232" s="85"/>
      <c r="P1232" s="85"/>
      <c r="Q1232" s="81"/>
    </row>
    <row r="1233" spans="3:17" x14ac:dyDescent="0.3">
      <c r="C1233" s="81"/>
      <c r="F1233" s="85"/>
      <c r="G1233" s="86"/>
      <c r="H1233" s="86"/>
      <c r="I1233" s="87"/>
      <c r="J1233" s="85"/>
      <c r="K1233" s="85"/>
      <c r="M1233" s="81"/>
      <c r="O1233" s="85"/>
      <c r="P1233" s="85"/>
      <c r="Q1233" s="81"/>
    </row>
    <row r="1234" spans="3:17" x14ac:dyDescent="0.3">
      <c r="C1234" s="81"/>
      <c r="F1234" s="85"/>
      <c r="G1234" s="86"/>
      <c r="H1234" s="86"/>
      <c r="I1234" s="87"/>
      <c r="J1234" s="85"/>
      <c r="K1234" s="85"/>
      <c r="M1234" s="81"/>
      <c r="O1234" s="85"/>
      <c r="P1234" s="85"/>
      <c r="Q1234" s="81"/>
    </row>
    <row r="1235" spans="3:17" x14ac:dyDescent="0.3">
      <c r="C1235" s="81"/>
      <c r="F1235" s="85"/>
      <c r="G1235" s="86"/>
      <c r="H1235" s="86"/>
      <c r="I1235" s="87"/>
      <c r="J1235" s="85"/>
      <c r="K1235" s="85"/>
      <c r="M1235" s="81"/>
      <c r="O1235" s="85"/>
      <c r="P1235" s="85"/>
      <c r="Q1235" s="81"/>
    </row>
    <row r="1236" spans="3:17" x14ac:dyDescent="0.3">
      <c r="C1236" s="81"/>
      <c r="F1236" s="85"/>
      <c r="G1236" s="86"/>
      <c r="H1236" s="86"/>
      <c r="I1236" s="87"/>
      <c r="J1236" s="85"/>
      <c r="K1236" s="85"/>
      <c r="M1236" s="81"/>
      <c r="O1236" s="85"/>
      <c r="P1236" s="85"/>
      <c r="Q1236" s="81"/>
    </row>
    <row r="1237" spans="3:17" x14ac:dyDescent="0.3">
      <c r="C1237" s="81"/>
      <c r="F1237" s="85"/>
      <c r="G1237" s="86"/>
      <c r="H1237" s="86"/>
      <c r="I1237" s="87"/>
      <c r="J1237" s="85"/>
      <c r="K1237" s="85"/>
      <c r="M1237" s="81"/>
      <c r="O1237" s="85"/>
      <c r="P1237" s="85"/>
      <c r="Q1237" s="81"/>
    </row>
    <row r="1238" spans="3:17" x14ac:dyDescent="0.3">
      <c r="C1238" s="81"/>
      <c r="F1238" s="85"/>
      <c r="G1238" s="86"/>
      <c r="H1238" s="86"/>
      <c r="I1238" s="87"/>
      <c r="J1238" s="85"/>
      <c r="K1238" s="85"/>
      <c r="M1238" s="81"/>
      <c r="O1238" s="85"/>
      <c r="P1238" s="85"/>
      <c r="Q1238" s="81"/>
    </row>
    <row r="1239" spans="3:17" x14ac:dyDescent="0.3">
      <c r="C1239" s="81"/>
      <c r="F1239" s="85"/>
      <c r="G1239" s="86"/>
      <c r="H1239" s="86"/>
      <c r="I1239" s="87"/>
      <c r="J1239" s="85"/>
      <c r="K1239" s="85"/>
      <c r="M1239" s="81"/>
      <c r="O1239" s="85"/>
      <c r="P1239" s="85"/>
      <c r="Q1239" s="81"/>
    </row>
    <row r="1240" spans="3:17" x14ac:dyDescent="0.3">
      <c r="C1240" s="81"/>
      <c r="F1240" s="85"/>
      <c r="G1240" s="86"/>
      <c r="H1240" s="86"/>
      <c r="I1240" s="87"/>
      <c r="J1240" s="85"/>
      <c r="K1240" s="85"/>
      <c r="M1240" s="81"/>
      <c r="O1240" s="85"/>
      <c r="P1240" s="85"/>
      <c r="Q1240" s="81"/>
    </row>
    <row r="1241" spans="3:17" x14ac:dyDescent="0.3">
      <c r="C1241" s="81"/>
      <c r="F1241" s="85"/>
      <c r="G1241" s="86"/>
      <c r="H1241" s="86"/>
      <c r="I1241" s="87"/>
      <c r="J1241" s="85"/>
      <c r="K1241" s="85"/>
      <c r="M1241" s="81"/>
      <c r="O1241" s="85"/>
      <c r="P1241" s="85"/>
      <c r="Q1241" s="81"/>
    </row>
    <row r="1242" spans="3:17" x14ac:dyDescent="0.3">
      <c r="C1242" s="81"/>
      <c r="F1242" s="85"/>
      <c r="G1242" s="86"/>
      <c r="H1242" s="86"/>
      <c r="I1242" s="87"/>
      <c r="J1242" s="85"/>
      <c r="K1242" s="85"/>
      <c r="M1242" s="81"/>
      <c r="O1242" s="85"/>
      <c r="P1242" s="85"/>
      <c r="Q1242" s="81"/>
    </row>
    <row r="1243" spans="3:17" x14ac:dyDescent="0.3">
      <c r="C1243" s="81"/>
      <c r="F1243" s="85"/>
      <c r="G1243" s="86"/>
      <c r="H1243" s="86"/>
      <c r="I1243" s="87"/>
      <c r="J1243" s="85"/>
      <c r="K1243" s="85"/>
      <c r="M1243" s="81"/>
      <c r="O1243" s="85"/>
      <c r="P1243" s="85"/>
      <c r="Q1243" s="81"/>
    </row>
    <row r="1244" spans="3:17" x14ac:dyDescent="0.3">
      <c r="C1244" s="81"/>
      <c r="F1244" s="85"/>
      <c r="G1244" s="86"/>
      <c r="H1244" s="86"/>
      <c r="I1244" s="87"/>
      <c r="J1244" s="85"/>
      <c r="K1244" s="85"/>
      <c r="M1244" s="81"/>
      <c r="O1244" s="85"/>
      <c r="P1244" s="85"/>
      <c r="Q1244" s="81"/>
    </row>
    <row r="1245" spans="3:17" x14ac:dyDescent="0.3">
      <c r="C1245" s="81"/>
      <c r="F1245" s="85"/>
      <c r="G1245" s="86"/>
      <c r="H1245" s="86"/>
      <c r="I1245" s="87"/>
      <c r="J1245" s="85"/>
      <c r="K1245" s="85"/>
      <c r="M1245" s="81"/>
      <c r="O1245" s="85"/>
      <c r="P1245" s="85"/>
      <c r="Q1245" s="81"/>
    </row>
    <row r="1246" spans="3:17" x14ac:dyDescent="0.3">
      <c r="C1246" s="81"/>
      <c r="F1246" s="85"/>
      <c r="G1246" s="86"/>
      <c r="H1246" s="86"/>
      <c r="I1246" s="87"/>
      <c r="J1246" s="85"/>
      <c r="K1246" s="85"/>
      <c r="M1246" s="81"/>
      <c r="O1246" s="85"/>
      <c r="P1246" s="85"/>
      <c r="Q1246" s="81"/>
    </row>
    <row r="1247" spans="3:17" x14ac:dyDescent="0.3">
      <c r="C1247" s="81"/>
      <c r="F1247" s="85"/>
      <c r="G1247" s="86"/>
      <c r="H1247" s="86"/>
      <c r="I1247" s="87"/>
      <c r="J1247" s="85"/>
      <c r="K1247" s="85"/>
      <c r="M1247" s="81"/>
      <c r="O1247" s="85"/>
      <c r="P1247" s="85"/>
      <c r="Q1247" s="81"/>
    </row>
    <row r="1248" spans="3:17" x14ac:dyDescent="0.3">
      <c r="C1248" s="81"/>
      <c r="F1248" s="85"/>
      <c r="G1248" s="86"/>
      <c r="H1248" s="86"/>
      <c r="I1248" s="87"/>
      <c r="J1248" s="85"/>
      <c r="K1248" s="85"/>
      <c r="M1248" s="81"/>
      <c r="O1248" s="85"/>
      <c r="P1248" s="85"/>
      <c r="Q1248" s="81"/>
    </row>
    <row r="1249" spans="3:17" x14ac:dyDescent="0.3">
      <c r="C1249" s="81"/>
      <c r="F1249" s="85"/>
      <c r="G1249" s="86"/>
      <c r="H1249" s="86"/>
      <c r="I1249" s="87"/>
      <c r="J1249" s="85"/>
      <c r="K1249" s="85"/>
      <c r="M1249" s="81"/>
      <c r="O1249" s="85"/>
      <c r="P1249" s="85"/>
      <c r="Q1249" s="81"/>
    </row>
    <row r="1250" spans="3:17" x14ac:dyDescent="0.3">
      <c r="C1250" s="81"/>
      <c r="F1250" s="85"/>
      <c r="G1250" s="86"/>
      <c r="H1250" s="86"/>
      <c r="I1250" s="87"/>
      <c r="J1250" s="85"/>
      <c r="K1250" s="85"/>
      <c r="M1250" s="81"/>
      <c r="O1250" s="85"/>
      <c r="P1250" s="85"/>
      <c r="Q1250" s="81"/>
    </row>
    <row r="1251" spans="3:17" x14ac:dyDescent="0.3">
      <c r="C1251" s="81"/>
      <c r="F1251" s="85"/>
      <c r="G1251" s="86"/>
      <c r="H1251" s="86"/>
      <c r="I1251" s="87"/>
      <c r="J1251" s="85"/>
      <c r="K1251" s="85"/>
      <c r="M1251" s="81"/>
      <c r="O1251" s="85"/>
      <c r="P1251" s="85"/>
      <c r="Q1251" s="81"/>
    </row>
    <row r="1252" spans="3:17" x14ac:dyDescent="0.3">
      <c r="C1252" s="81"/>
      <c r="F1252" s="85"/>
      <c r="G1252" s="86"/>
      <c r="H1252" s="86"/>
      <c r="I1252" s="87"/>
      <c r="J1252" s="85"/>
      <c r="K1252" s="85"/>
      <c r="M1252" s="81"/>
      <c r="O1252" s="85"/>
      <c r="P1252" s="85"/>
      <c r="Q1252" s="81"/>
    </row>
    <row r="1253" spans="3:17" x14ac:dyDescent="0.3">
      <c r="C1253" s="81"/>
      <c r="F1253" s="85"/>
      <c r="G1253" s="86"/>
      <c r="H1253" s="86"/>
      <c r="I1253" s="87"/>
      <c r="J1253" s="85"/>
      <c r="K1253" s="85"/>
      <c r="M1253" s="81"/>
      <c r="O1253" s="85"/>
      <c r="P1253" s="85"/>
      <c r="Q1253" s="81"/>
    </row>
    <row r="1254" spans="3:17" x14ac:dyDescent="0.3">
      <c r="C1254" s="81"/>
      <c r="F1254" s="85"/>
      <c r="G1254" s="86"/>
      <c r="H1254" s="86"/>
      <c r="I1254" s="87"/>
      <c r="J1254" s="85"/>
      <c r="K1254" s="85"/>
      <c r="M1254" s="81"/>
      <c r="O1254" s="85"/>
      <c r="P1254" s="85"/>
      <c r="Q1254" s="81"/>
    </row>
    <row r="1255" spans="3:17" x14ac:dyDescent="0.3">
      <c r="C1255" s="81"/>
      <c r="F1255" s="85"/>
      <c r="G1255" s="86"/>
      <c r="H1255" s="86"/>
      <c r="I1255" s="87"/>
      <c r="J1255" s="85"/>
      <c r="K1255" s="85"/>
      <c r="M1255" s="81"/>
      <c r="O1255" s="85"/>
      <c r="P1255" s="85"/>
      <c r="Q1255" s="81"/>
    </row>
    <row r="1256" spans="3:17" x14ac:dyDescent="0.3">
      <c r="C1256" s="81"/>
      <c r="F1256" s="85"/>
      <c r="G1256" s="86"/>
      <c r="H1256" s="86"/>
      <c r="I1256" s="87"/>
      <c r="J1256" s="85"/>
      <c r="K1256" s="85"/>
      <c r="M1256" s="81"/>
      <c r="O1256" s="85"/>
      <c r="P1256" s="85"/>
      <c r="Q1256" s="81"/>
    </row>
    <row r="1257" spans="3:17" x14ac:dyDescent="0.3">
      <c r="C1257" s="81"/>
      <c r="F1257" s="85"/>
      <c r="G1257" s="86"/>
      <c r="H1257" s="86"/>
      <c r="I1257" s="87"/>
      <c r="J1257" s="85"/>
      <c r="K1257" s="85"/>
      <c r="M1257" s="81"/>
      <c r="O1257" s="85"/>
      <c r="P1257" s="85"/>
      <c r="Q1257" s="81"/>
    </row>
    <row r="1258" spans="3:17" x14ac:dyDescent="0.3">
      <c r="C1258" s="81"/>
      <c r="F1258" s="85"/>
      <c r="G1258" s="86"/>
      <c r="H1258" s="86"/>
      <c r="I1258" s="87"/>
      <c r="J1258" s="85"/>
      <c r="K1258" s="85"/>
      <c r="M1258" s="81"/>
      <c r="O1258" s="85"/>
      <c r="P1258" s="85"/>
      <c r="Q1258" s="81"/>
    </row>
    <row r="1259" spans="3:17" x14ac:dyDescent="0.3">
      <c r="C1259" s="81"/>
      <c r="F1259" s="85"/>
      <c r="G1259" s="86"/>
      <c r="H1259" s="86"/>
      <c r="I1259" s="87"/>
      <c r="J1259" s="85"/>
      <c r="K1259" s="85"/>
      <c r="M1259" s="81"/>
      <c r="O1259" s="85"/>
      <c r="P1259" s="85"/>
      <c r="Q1259" s="81"/>
    </row>
    <row r="1260" spans="3:17" x14ac:dyDescent="0.3">
      <c r="C1260" s="81"/>
      <c r="F1260" s="85"/>
      <c r="G1260" s="86"/>
      <c r="H1260" s="86"/>
      <c r="I1260" s="87"/>
      <c r="J1260" s="85"/>
      <c r="K1260" s="85"/>
      <c r="M1260" s="81"/>
      <c r="O1260" s="85"/>
      <c r="P1260" s="85"/>
      <c r="Q1260" s="81"/>
    </row>
    <row r="1261" spans="3:17" x14ac:dyDescent="0.3">
      <c r="C1261" s="81"/>
      <c r="F1261" s="85"/>
      <c r="G1261" s="86"/>
      <c r="H1261" s="86"/>
      <c r="I1261" s="87"/>
      <c r="J1261" s="85"/>
      <c r="K1261" s="85"/>
      <c r="M1261" s="81"/>
      <c r="O1261" s="85"/>
      <c r="P1261" s="85"/>
      <c r="Q1261" s="81"/>
    </row>
    <row r="1262" spans="3:17" x14ac:dyDescent="0.3">
      <c r="C1262" s="81"/>
      <c r="F1262" s="85"/>
      <c r="G1262" s="86"/>
      <c r="H1262" s="86"/>
      <c r="I1262" s="87"/>
      <c r="J1262" s="85"/>
      <c r="K1262" s="85"/>
      <c r="M1262" s="81"/>
      <c r="O1262" s="85"/>
      <c r="P1262" s="85"/>
      <c r="Q1262" s="81"/>
    </row>
    <row r="1263" spans="3:17" x14ac:dyDescent="0.3">
      <c r="C1263" s="81"/>
      <c r="F1263" s="85"/>
      <c r="G1263" s="86"/>
      <c r="H1263" s="86"/>
      <c r="I1263" s="87"/>
      <c r="J1263" s="85"/>
      <c r="K1263" s="85"/>
      <c r="M1263" s="81"/>
      <c r="O1263" s="85"/>
      <c r="P1263" s="85"/>
      <c r="Q1263" s="81"/>
    </row>
    <row r="1264" spans="3:17" x14ac:dyDescent="0.3">
      <c r="C1264" s="81"/>
      <c r="F1264" s="85"/>
      <c r="G1264" s="86"/>
      <c r="H1264" s="86"/>
      <c r="I1264" s="87"/>
      <c r="J1264" s="85"/>
      <c r="K1264" s="85"/>
      <c r="M1264" s="81"/>
      <c r="O1264" s="85"/>
      <c r="P1264" s="85"/>
      <c r="Q1264" s="81"/>
    </row>
    <row r="1265" spans="3:17" x14ac:dyDescent="0.3">
      <c r="C1265" s="81"/>
      <c r="F1265" s="85"/>
      <c r="G1265" s="86"/>
      <c r="H1265" s="86"/>
      <c r="I1265" s="87"/>
      <c r="J1265" s="85"/>
      <c r="K1265" s="85"/>
      <c r="M1265" s="81"/>
      <c r="O1265" s="85"/>
      <c r="P1265" s="85"/>
      <c r="Q1265" s="81"/>
    </row>
    <row r="1266" spans="3:17" x14ac:dyDescent="0.3">
      <c r="C1266" s="81"/>
      <c r="F1266" s="85"/>
      <c r="G1266" s="86"/>
      <c r="H1266" s="86"/>
      <c r="I1266" s="87"/>
      <c r="J1266" s="85"/>
      <c r="K1266" s="85"/>
      <c r="M1266" s="81"/>
      <c r="O1266" s="85"/>
      <c r="P1266" s="85"/>
      <c r="Q1266" s="81"/>
    </row>
    <row r="1267" spans="3:17" x14ac:dyDescent="0.3">
      <c r="C1267" s="81"/>
      <c r="F1267" s="85"/>
      <c r="G1267" s="86"/>
      <c r="H1267" s="86"/>
      <c r="I1267" s="87"/>
      <c r="J1267" s="85"/>
      <c r="K1267" s="85"/>
      <c r="M1267" s="81"/>
      <c r="O1267" s="85"/>
      <c r="P1267" s="85"/>
      <c r="Q1267" s="81"/>
    </row>
    <row r="1268" spans="3:17" x14ac:dyDescent="0.3">
      <c r="C1268" s="81"/>
      <c r="F1268" s="85"/>
      <c r="G1268" s="86"/>
      <c r="H1268" s="86"/>
      <c r="I1268" s="87"/>
      <c r="J1268" s="85"/>
      <c r="K1268" s="85"/>
      <c r="M1268" s="81"/>
      <c r="O1268" s="85"/>
      <c r="P1268" s="85"/>
      <c r="Q1268" s="81"/>
    </row>
    <row r="1269" spans="3:17" x14ac:dyDescent="0.3">
      <c r="C1269" s="81"/>
      <c r="F1269" s="85"/>
      <c r="G1269" s="86"/>
      <c r="H1269" s="86"/>
      <c r="I1269" s="87"/>
      <c r="J1269" s="85"/>
      <c r="K1269" s="85"/>
      <c r="M1269" s="81"/>
      <c r="O1269" s="85"/>
      <c r="P1269" s="85"/>
      <c r="Q1269" s="81"/>
    </row>
    <row r="1270" spans="3:17" x14ac:dyDescent="0.3">
      <c r="C1270" s="81"/>
      <c r="F1270" s="85"/>
      <c r="G1270" s="86"/>
      <c r="H1270" s="86"/>
      <c r="I1270" s="87"/>
      <c r="J1270" s="85"/>
      <c r="K1270" s="85"/>
      <c r="M1270" s="81"/>
      <c r="O1270" s="85"/>
      <c r="P1270" s="85"/>
      <c r="Q1270" s="81"/>
    </row>
    <row r="1271" spans="3:17" x14ac:dyDescent="0.3">
      <c r="C1271" s="81"/>
      <c r="F1271" s="85"/>
      <c r="G1271" s="86"/>
      <c r="H1271" s="86"/>
      <c r="I1271" s="87"/>
      <c r="J1271" s="85"/>
      <c r="K1271" s="85"/>
      <c r="M1271" s="81"/>
      <c r="O1271" s="85"/>
      <c r="P1271" s="85"/>
      <c r="Q1271" s="81"/>
    </row>
    <row r="1272" spans="3:17" x14ac:dyDescent="0.3">
      <c r="C1272" s="81"/>
      <c r="F1272" s="85"/>
      <c r="G1272" s="86"/>
      <c r="H1272" s="86"/>
      <c r="I1272" s="87"/>
      <c r="J1272" s="85"/>
      <c r="K1272" s="85"/>
      <c r="M1272" s="81"/>
      <c r="O1272" s="85"/>
      <c r="P1272" s="85"/>
      <c r="Q1272" s="81"/>
    </row>
    <row r="1273" spans="3:17" x14ac:dyDescent="0.3">
      <c r="C1273" s="81"/>
      <c r="F1273" s="85"/>
      <c r="G1273" s="86"/>
      <c r="H1273" s="86"/>
      <c r="I1273" s="87"/>
      <c r="J1273" s="85"/>
      <c r="K1273" s="85"/>
      <c r="M1273" s="81"/>
      <c r="O1273" s="85"/>
      <c r="P1273" s="85"/>
      <c r="Q1273" s="81"/>
    </row>
    <row r="1274" spans="3:17" x14ac:dyDescent="0.3">
      <c r="C1274" s="81"/>
      <c r="F1274" s="85"/>
      <c r="G1274" s="86"/>
      <c r="H1274" s="86"/>
      <c r="I1274" s="87"/>
      <c r="J1274" s="85"/>
      <c r="K1274" s="85"/>
      <c r="M1274" s="81"/>
      <c r="O1274" s="85"/>
      <c r="P1274" s="85"/>
      <c r="Q1274" s="81"/>
    </row>
    <row r="1275" spans="3:17" x14ac:dyDescent="0.3">
      <c r="C1275" s="81"/>
      <c r="F1275" s="85"/>
      <c r="G1275" s="86"/>
      <c r="H1275" s="86"/>
      <c r="I1275" s="87"/>
      <c r="J1275" s="85"/>
      <c r="K1275" s="85"/>
      <c r="M1275" s="81"/>
      <c r="O1275" s="85"/>
      <c r="P1275" s="85"/>
      <c r="Q1275" s="81"/>
    </row>
    <row r="1276" spans="3:17" x14ac:dyDescent="0.3">
      <c r="C1276" s="81"/>
      <c r="F1276" s="85"/>
      <c r="G1276" s="86"/>
      <c r="H1276" s="86"/>
      <c r="I1276" s="87"/>
      <c r="J1276" s="85"/>
      <c r="K1276" s="85"/>
      <c r="M1276" s="81"/>
      <c r="O1276" s="85"/>
      <c r="P1276" s="85"/>
      <c r="Q1276" s="81"/>
    </row>
    <row r="1277" spans="3:17" x14ac:dyDescent="0.3">
      <c r="C1277" s="81"/>
      <c r="F1277" s="85"/>
      <c r="G1277" s="86"/>
      <c r="H1277" s="86"/>
      <c r="I1277" s="87"/>
      <c r="J1277" s="85"/>
      <c r="K1277" s="85"/>
      <c r="M1277" s="81"/>
      <c r="O1277" s="85"/>
      <c r="P1277" s="85"/>
      <c r="Q1277" s="81"/>
    </row>
    <row r="1278" spans="3:17" x14ac:dyDescent="0.3">
      <c r="C1278" s="81"/>
      <c r="F1278" s="85"/>
      <c r="G1278" s="86"/>
      <c r="H1278" s="86"/>
      <c r="I1278" s="87"/>
      <c r="J1278" s="85"/>
      <c r="K1278" s="85"/>
      <c r="M1278" s="81"/>
      <c r="O1278" s="85"/>
      <c r="P1278" s="85"/>
      <c r="Q1278" s="81"/>
    </row>
    <row r="1279" spans="3:17" x14ac:dyDescent="0.3">
      <c r="C1279" s="81"/>
      <c r="F1279" s="85"/>
      <c r="G1279" s="86"/>
      <c r="H1279" s="86"/>
      <c r="I1279" s="87"/>
      <c r="J1279" s="85"/>
      <c r="K1279" s="85"/>
      <c r="M1279" s="81"/>
      <c r="O1279" s="85"/>
      <c r="P1279" s="85"/>
      <c r="Q1279" s="81"/>
    </row>
    <row r="1280" spans="3:17" x14ac:dyDescent="0.3">
      <c r="C1280" s="81"/>
      <c r="F1280" s="85"/>
      <c r="G1280" s="86"/>
      <c r="H1280" s="86"/>
      <c r="I1280" s="87"/>
      <c r="J1280" s="85"/>
      <c r="K1280" s="85"/>
      <c r="M1280" s="81"/>
      <c r="O1280" s="85"/>
      <c r="P1280" s="85"/>
      <c r="Q1280" s="81"/>
    </row>
    <row r="1281" spans="3:17" x14ac:dyDescent="0.3">
      <c r="C1281" s="81"/>
      <c r="F1281" s="85"/>
      <c r="G1281" s="86"/>
      <c r="H1281" s="86"/>
      <c r="I1281" s="87"/>
      <c r="J1281" s="85"/>
      <c r="K1281" s="85"/>
      <c r="M1281" s="81"/>
      <c r="O1281" s="85"/>
      <c r="P1281" s="85"/>
      <c r="Q1281" s="81"/>
    </row>
    <row r="1282" spans="3:17" x14ac:dyDescent="0.3">
      <c r="C1282" s="81"/>
      <c r="F1282" s="85"/>
      <c r="G1282" s="86"/>
      <c r="H1282" s="86"/>
      <c r="I1282" s="87"/>
      <c r="J1282" s="85"/>
      <c r="K1282" s="85"/>
      <c r="M1282" s="81"/>
      <c r="O1282" s="85"/>
      <c r="P1282" s="85"/>
      <c r="Q1282" s="81"/>
    </row>
    <row r="1283" spans="3:17" x14ac:dyDescent="0.3">
      <c r="C1283" s="81"/>
      <c r="F1283" s="85"/>
      <c r="G1283" s="86"/>
      <c r="H1283" s="86"/>
      <c r="I1283" s="87"/>
      <c r="J1283" s="85"/>
      <c r="K1283" s="85"/>
      <c r="M1283" s="81"/>
      <c r="O1283" s="85"/>
      <c r="P1283" s="85"/>
      <c r="Q1283" s="81"/>
    </row>
    <row r="1284" spans="3:17" x14ac:dyDescent="0.3">
      <c r="C1284" s="81"/>
      <c r="F1284" s="85"/>
      <c r="G1284" s="86"/>
      <c r="H1284" s="86"/>
      <c r="I1284" s="87"/>
      <c r="J1284" s="85"/>
      <c r="K1284" s="85"/>
      <c r="M1284" s="81"/>
      <c r="O1284" s="85"/>
      <c r="P1284" s="85"/>
      <c r="Q1284" s="81"/>
    </row>
    <row r="1285" spans="3:17" x14ac:dyDescent="0.3">
      <c r="C1285" s="81"/>
      <c r="F1285" s="85"/>
      <c r="G1285" s="86"/>
      <c r="H1285" s="86"/>
      <c r="I1285" s="87"/>
      <c r="J1285" s="85"/>
      <c r="K1285" s="85"/>
      <c r="M1285" s="81"/>
      <c r="O1285" s="85"/>
      <c r="P1285" s="85"/>
      <c r="Q1285" s="81"/>
    </row>
    <row r="1286" spans="3:17" x14ac:dyDescent="0.3">
      <c r="C1286" s="81"/>
      <c r="F1286" s="85"/>
      <c r="G1286" s="86"/>
      <c r="H1286" s="86"/>
      <c r="I1286" s="87"/>
      <c r="J1286" s="85"/>
      <c r="K1286" s="85"/>
      <c r="M1286" s="81"/>
      <c r="O1286" s="85"/>
      <c r="P1286" s="85"/>
      <c r="Q1286" s="81"/>
    </row>
    <row r="1287" spans="3:17" x14ac:dyDescent="0.3">
      <c r="C1287" s="81"/>
      <c r="F1287" s="85"/>
      <c r="G1287" s="86"/>
      <c r="H1287" s="86"/>
      <c r="I1287" s="87"/>
      <c r="J1287" s="85"/>
      <c r="K1287" s="85"/>
      <c r="M1287" s="81"/>
      <c r="O1287" s="85"/>
      <c r="P1287" s="85"/>
      <c r="Q1287" s="81"/>
    </row>
    <row r="1288" spans="3:17" x14ac:dyDescent="0.3">
      <c r="C1288" s="81"/>
      <c r="F1288" s="85"/>
      <c r="G1288" s="86"/>
      <c r="H1288" s="86"/>
      <c r="I1288" s="87"/>
      <c r="J1288" s="85"/>
      <c r="K1288" s="85"/>
      <c r="M1288" s="81"/>
      <c r="O1288" s="85"/>
      <c r="P1288" s="85"/>
      <c r="Q1288" s="81"/>
    </row>
    <row r="1289" spans="3:17" x14ac:dyDescent="0.3">
      <c r="C1289" s="81"/>
      <c r="F1289" s="85"/>
      <c r="G1289" s="86"/>
      <c r="H1289" s="86"/>
      <c r="I1289" s="87"/>
      <c r="J1289" s="85"/>
      <c r="K1289" s="85"/>
      <c r="M1289" s="81"/>
      <c r="O1289" s="85"/>
      <c r="P1289" s="85"/>
      <c r="Q1289" s="81"/>
    </row>
    <row r="1290" spans="3:17" x14ac:dyDescent="0.3">
      <c r="C1290" s="81"/>
      <c r="F1290" s="85"/>
      <c r="G1290" s="86"/>
      <c r="H1290" s="86"/>
      <c r="I1290" s="87"/>
      <c r="J1290" s="85"/>
      <c r="K1290" s="85"/>
      <c r="M1290" s="81"/>
      <c r="O1290" s="85"/>
      <c r="P1290" s="85"/>
      <c r="Q1290" s="81"/>
    </row>
    <row r="1291" spans="3:17" x14ac:dyDescent="0.3">
      <c r="C1291" s="81"/>
      <c r="F1291" s="85"/>
      <c r="G1291" s="86"/>
      <c r="H1291" s="86"/>
      <c r="I1291" s="87"/>
      <c r="J1291" s="85"/>
      <c r="K1291" s="85"/>
      <c r="M1291" s="81"/>
      <c r="O1291" s="85"/>
      <c r="P1291" s="85"/>
      <c r="Q1291" s="81"/>
    </row>
    <row r="1292" spans="3:17" x14ac:dyDescent="0.3">
      <c r="C1292" s="81"/>
      <c r="F1292" s="85"/>
      <c r="G1292" s="86"/>
      <c r="H1292" s="86"/>
      <c r="I1292" s="87"/>
      <c r="J1292" s="85"/>
      <c r="K1292" s="85"/>
      <c r="M1292" s="81"/>
      <c r="O1292" s="85"/>
      <c r="P1292" s="85"/>
      <c r="Q1292" s="81"/>
    </row>
    <row r="1293" spans="3:17" x14ac:dyDescent="0.3">
      <c r="C1293" s="81"/>
      <c r="F1293" s="85"/>
      <c r="G1293" s="86"/>
      <c r="H1293" s="86"/>
      <c r="I1293" s="87"/>
      <c r="J1293" s="85"/>
      <c r="K1293" s="85"/>
      <c r="M1293" s="81"/>
      <c r="O1293" s="85"/>
      <c r="P1293" s="85"/>
      <c r="Q1293" s="81"/>
    </row>
    <row r="1294" spans="3:17" x14ac:dyDescent="0.3">
      <c r="C1294" s="81"/>
      <c r="F1294" s="85"/>
      <c r="G1294" s="86"/>
      <c r="H1294" s="86"/>
      <c r="I1294" s="87"/>
      <c r="J1294" s="85"/>
      <c r="K1294" s="85"/>
      <c r="M1294" s="81"/>
      <c r="O1294" s="85"/>
      <c r="P1294" s="85"/>
      <c r="Q1294" s="81"/>
    </row>
    <row r="1295" spans="3:17" x14ac:dyDescent="0.3">
      <c r="C1295" s="81"/>
      <c r="F1295" s="85"/>
      <c r="G1295" s="86"/>
      <c r="H1295" s="86"/>
      <c r="I1295" s="87"/>
      <c r="J1295" s="85"/>
      <c r="K1295" s="85"/>
      <c r="M1295" s="81"/>
      <c r="O1295" s="85"/>
      <c r="P1295" s="85"/>
      <c r="Q1295" s="81"/>
    </row>
    <row r="1296" spans="3:17" x14ac:dyDescent="0.3">
      <c r="C1296" s="81"/>
      <c r="F1296" s="85"/>
      <c r="G1296" s="86"/>
      <c r="H1296" s="86"/>
      <c r="I1296" s="87"/>
      <c r="J1296" s="85"/>
      <c r="K1296" s="85"/>
      <c r="M1296" s="81"/>
      <c r="O1296" s="85"/>
      <c r="P1296" s="85"/>
      <c r="Q1296" s="81"/>
    </row>
    <row r="1297" spans="3:17" x14ac:dyDescent="0.3">
      <c r="C1297" s="81"/>
      <c r="F1297" s="85"/>
      <c r="G1297" s="86"/>
      <c r="H1297" s="86"/>
      <c r="I1297" s="87"/>
      <c r="J1297" s="85"/>
      <c r="K1297" s="85"/>
      <c r="M1297" s="81"/>
      <c r="O1297" s="85"/>
      <c r="P1297" s="85"/>
      <c r="Q1297" s="81"/>
    </row>
    <row r="1298" spans="3:17" x14ac:dyDescent="0.3">
      <c r="C1298" s="81"/>
      <c r="F1298" s="85"/>
      <c r="G1298" s="86"/>
      <c r="H1298" s="86"/>
      <c r="I1298" s="87"/>
      <c r="J1298" s="85"/>
      <c r="K1298" s="85"/>
      <c r="M1298" s="81"/>
      <c r="O1298" s="85"/>
      <c r="P1298" s="85"/>
      <c r="Q1298" s="81"/>
    </row>
    <row r="1299" spans="3:17" x14ac:dyDescent="0.3">
      <c r="C1299" s="81"/>
      <c r="F1299" s="85"/>
      <c r="G1299" s="86"/>
      <c r="H1299" s="86"/>
      <c r="I1299" s="87"/>
      <c r="J1299" s="85"/>
      <c r="K1299" s="85"/>
      <c r="M1299" s="81"/>
      <c r="O1299" s="85"/>
      <c r="P1299" s="85"/>
      <c r="Q1299" s="81"/>
    </row>
    <row r="1300" spans="3:17" x14ac:dyDescent="0.3">
      <c r="C1300" s="81"/>
      <c r="F1300" s="85"/>
      <c r="G1300" s="86"/>
      <c r="H1300" s="86"/>
      <c r="I1300" s="87"/>
      <c r="J1300" s="85"/>
      <c r="K1300" s="85"/>
      <c r="M1300" s="81"/>
      <c r="O1300" s="85"/>
      <c r="P1300" s="85"/>
      <c r="Q1300" s="81"/>
    </row>
    <row r="1301" spans="3:17" x14ac:dyDescent="0.3">
      <c r="C1301" s="81"/>
      <c r="F1301" s="85"/>
      <c r="G1301" s="86"/>
      <c r="H1301" s="86"/>
      <c r="I1301" s="87"/>
      <c r="J1301" s="85"/>
      <c r="K1301" s="85"/>
      <c r="M1301" s="81"/>
      <c r="O1301" s="85"/>
      <c r="P1301" s="85"/>
      <c r="Q1301" s="81"/>
    </row>
    <row r="1302" spans="3:17" x14ac:dyDescent="0.3">
      <c r="C1302" s="81"/>
      <c r="F1302" s="85"/>
      <c r="G1302" s="86"/>
      <c r="H1302" s="86"/>
      <c r="I1302" s="87"/>
      <c r="J1302" s="85"/>
      <c r="K1302" s="85"/>
      <c r="M1302" s="81"/>
      <c r="O1302" s="85"/>
      <c r="P1302" s="85"/>
      <c r="Q1302" s="81"/>
    </row>
    <row r="1303" spans="3:17" x14ac:dyDescent="0.3">
      <c r="C1303" s="81"/>
      <c r="F1303" s="85"/>
      <c r="G1303" s="86"/>
      <c r="H1303" s="86"/>
      <c r="I1303" s="87"/>
      <c r="J1303" s="85"/>
      <c r="K1303" s="85"/>
      <c r="M1303" s="81"/>
      <c r="O1303" s="85"/>
      <c r="P1303" s="85"/>
      <c r="Q1303" s="81"/>
    </row>
    <row r="1304" spans="3:17" x14ac:dyDescent="0.3">
      <c r="C1304" s="81"/>
      <c r="F1304" s="85"/>
      <c r="G1304" s="86"/>
      <c r="H1304" s="86"/>
      <c r="I1304" s="87"/>
      <c r="J1304" s="85"/>
      <c r="K1304" s="85"/>
      <c r="M1304" s="81"/>
      <c r="O1304" s="85"/>
      <c r="P1304" s="85"/>
      <c r="Q1304" s="81"/>
    </row>
    <row r="1305" spans="3:17" x14ac:dyDescent="0.3">
      <c r="C1305" s="81"/>
      <c r="F1305" s="85"/>
      <c r="G1305" s="86"/>
      <c r="H1305" s="86"/>
      <c r="I1305" s="87"/>
      <c r="J1305" s="85"/>
      <c r="K1305" s="85"/>
      <c r="M1305" s="81"/>
      <c r="O1305" s="85"/>
      <c r="P1305" s="85"/>
      <c r="Q1305" s="81"/>
    </row>
    <row r="1306" spans="3:17" x14ac:dyDescent="0.3">
      <c r="C1306" s="81"/>
      <c r="F1306" s="85"/>
      <c r="G1306" s="86"/>
      <c r="H1306" s="86"/>
      <c r="I1306" s="87"/>
      <c r="J1306" s="85"/>
      <c r="K1306" s="85"/>
      <c r="M1306" s="81"/>
      <c r="O1306" s="85"/>
      <c r="P1306" s="85"/>
      <c r="Q1306" s="81"/>
    </row>
    <row r="1307" spans="3:17" x14ac:dyDescent="0.3">
      <c r="C1307" s="81"/>
      <c r="F1307" s="85"/>
      <c r="G1307" s="86"/>
      <c r="H1307" s="86"/>
      <c r="I1307" s="87"/>
      <c r="J1307" s="85"/>
      <c r="K1307" s="85"/>
      <c r="M1307" s="81"/>
      <c r="O1307" s="85"/>
      <c r="P1307" s="85"/>
      <c r="Q1307" s="81"/>
    </row>
    <row r="1308" spans="3:17" x14ac:dyDescent="0.3">
      <c r="C1308" s="81"/>
      <c r="F1308" s="85"/>
      <c r="G1308" s="86"/>
      <c r="H1308" s="86"/>
      <c r="I1308" s="87"/>
      <c r="J1308" s="85"/>
      <c r="K1308" s="85"/>
      <c r="M1308" s="81"/>
      <c r="O1308" s="85"/>
      <c r="P1308" s="85"/>
      <c r="Q1308" s="81"/>
    </row>
    <row r="1309" spans="3:17" x14ac:dyDescent="0.3">
      <c r="C1309" s="81"/>
      <c r="F1309" s="85"/>
      <c r="G1309" s="86"/>
      <c r="H1309" s="86"/>
      <c r="I1309" s="87"/>
      <c r="J1309" s="85"/>
      <c r="K1309" s="85"/>
      <c r="M1309" s="81"/>
      <c r="O1309" s="85"/>
      <c r="P1309" s="85"/>
      <c r="Q1309" s="81"/>
    </row>
    <row r="1310" spans="3:17" x14ac:dyDescent="0.3">
      <c r="C1310" s="81"/>
      <c r="F1310" s="85"/>
      <c r="G1310" s="86"/>
      <c r="H1310" s="86"/>
      <c r="I1310" s="87"/>
      <c r="J1310" s="85"/>
      <c r="K1310" s="85"/>
      <c r="M1310" s="81"/>
      <c r="O1310" s="85"/>
      <c r="P1310" s="85"/>
      <c r="Q1310" s="81"/>
    </row>
    <row r="1311" spans="3:17" x14ac:dyDescent="0.3">
      <c r="C1311" s="81"/>
      <c r="F1311" s="85"/>
      <c r="G1311" s="86"/>
      <c r="H1311" s="86"/>
      <c r="I1311" s="87"/>
      <c r="J1311" s="85"/>
      <c r="K1311" s="85"/>
      <c r="M1311" s="81"/>
      <c r="O1311" s="85"/>
      <c r="P1311" s="85"/>
      <c r="Q1311" s="81"/>
    </row>
    <row r="1312" spans="3:17" x14ac:dyDescent="0.3">
      <c r="C1312" s="81"/>
      <c r="F1312" s="85"/>
      <c r="G1312" s="86"/>
      <c r="H1312" s="86"/>
      <c r="I1312" s="87"/>
      <c r="J1312" s="85"/>
      <c r="K1312" s="85"/>
      <c r="M1312" s="81"/>
      <c r="O1312" s="85"/>
      <c r="P1312" s="85"/>
      <c r="Q1312" s="81"/>
    </row>
    <row r="1313" spans="3:17" x14ac:dyDescent="0.3">
      <c r="C1313" s="81"/>
      <c r="F1313" s="85"/>
      <c r="G1313" s="86"/>
      <c r="H1313" s="86"/>
      <c r="I1313" s="87"/>
      <c r="J1313" s="85"/>
      <c r="K1313" s="85"/>
      <c r="M1313" s="81"/>
      <c r="O1313" s="85"/>
      <c r="P1313" s="85"/>
      <c r="Q1313" s="81"/>
    </row>
    <row r="1314" spans="3:17" x14ac:dyDescent="0.3">
      <c r="C1314" s="81"/>
      <c r="F1314" s="85"/>
      <c r="G1314" s="86"/>
      <c r="H1314" s="86"/>
      <c r="I1314" s="87"/>
      <c r="J1314" s="85"/>
      <c r="K1314" s="85"/>
      <c r="M1314" s="81"/>
      <c r="O1314" s="85"/>
      <c r="P1314" s="85"/>
      <c r="Q1314" s="81"/>
    </row>
    <row r="1315" spans="3:17" x14ac:dyDescent="0.3">
      <c r="C1315" s="81"/>
      <c r="F1315" s="85"/>
      <c r="G1315" s="86"/>
      <c r="H1315" s="86"/>
      <c r="I1315" s="87"/>
      <c r="J1315" s="85"/>
      <c r="K1315" s="85"/>
      <c r="M1315" s="81"/>
      <c r="O1315" s="85"/>
      <c r="P1315" s="85"/>
      <c r="Q1315" s="81"/>
    </row>
    <row r="1316" spans="3:17" x14ac:dyDescent="0.3">
      <c r="C1316" s="81"/>
      <c r="F1316" s="85"/>
      <c r="G1316" s="86"/>
      <c r="H1316" s="86"/>
      <c r="I1316" s="87"/>
      <c r="J1316" s="85"/>
      <c r="K1316" s="85"/>
      <c r="M1316" s="81"/>
      <c r="O1316" s="85"/>
      <c r="P1316" s="85"/>
      <c r="Q1316" s="81"/>
    </row>
    <row r="1317" spans="3:17" x14ac:dyDescent="0.3">
      <c r="C1317" s="81"/>
      <c r="F1317" s="85"/>
      <c r="G1317" s="86"/>
      <c r="H1317" s="86"/>
      <c r="I1317" s="87"/>
      <c r="J1317" s="85"/>
      <c r="K1317" s="85"/>
      <c r="M1317" s="81"/>
      <c r="O1317" s="85"/>
      <c r="P1317" s="85"/>
      <c r="Q1317" s="81"/>
    </row>
    <row r="1318" spans="3:17" x14ac:dyDescent="0.3">
      <c r="C1318" s="81"/>
      <c r="F1318" s="85"/>
      <c r="G1318" s="86"/>
      <c r="H1318" s="86"/>
      <c r="I1318" s="87"/>
      <c r="J1318" s="85"/>
      <c r="K1318" s="85"/>
      <c r="M1318" s="81"/>
      <c r="O1318" s="85"/>
      <c r="P1318" s="85"/>
      <c r="Q1318" s="81"/>
    </row>
    <row r="1319" spans="3:17" x14ac:dyDescent="0.3">
      <c r="C1319" s="81"/>
      <c r="F1319" s="85"/>
      <c r="G1319" s="86"/>
      <c r="H1319" s="86"/>
      <c r="I1319" s="87"/>
      <c r="J1319" s="85"/>
      <c r="K1319" s="85"/>
      <c r="M1319" s="81"/>
      <c r="O1319" s="85"/>
      <c r="P1319" s="85"/>
      <c r="Q1319" s="81"/>
    </row>
    <row r="1320" spans="3:17" x14ac:dyDescent="0.3">
      <c r="C1320" s="81"/>
      <c r="F1320" s="85"/>
      <c r="G1320" s="86"/>
      <c r="H1320" s="86"/>
      <c r="I1320" s="87"/>
      <c r="J1320" s="85"/>
      <c r="K1320" s="85"/>
      <c r="M1320" s="81"/>
      <c r="O1320" s="85"/>
      <c r="P1320" s="85"/>
      <c r="Q1320" s="81"/>
    </row>
    <row r="1321" spans="3:17" x14ac:dyDescent="0.3">
      <c r="C1321" s="81"/>
      <c r="F1321" s="85"/>
      <c r="G1321" s="86"/>
      <c r="H1321" s="86"/>
      <c r="I1321" s="87"/>
      <c r="J1321" s="85"/>
      <c r="K1321" s="85"/>
      <c r="M1321" s="81"/>
      <c r="O1321" s="85"/>
      <c r="P1321" s="85"/>
      <c r="Q1321" s="81"/>
    </row>
    <row r="1322" spans="3:17" x14ac:dyDescent="0.3">
      <c r="C1322" s="81"/>
      <c r="F1322" s="85"/>
      <c r="G1322" s="86"/>
      <c r="H1322" s="86"/>
      <c r="I1322" s="87"/>
      <c r="J1322" s="85"/>
      <c r="K1322" s="85"/>
      <c r="M1322" s="81"/>
      <c r="O1322" s="85"/>
      <c r="P1322" s="85"/>
      <c r="Q1322" s="81"/>
    </row>
    <row r="1323" spans="3:17" x14ac:dyDescent="0.3">
      <c r="C1323" s="81"/>
      <c r="F1323" s="85"/>
      <c r="G1323" s="86"/>
      <c r="H1323" s="86"/>
      <c r="I1323" s="87"/>
      <c r="J1323" s="85"/>
      <c r="K1323" s="85"/>
      <c r="M1323" s="81"/>
      <c r="O1323" s="85"/>
      <c r="P1323" s="85"/>
      <c r="Q1323" s="81"/>
    </row>
    <row r="1324" spans="3:17" x14ac:dyDescent="0.3">
      <c r="C1324" s="81"/>
      <c r="F1324" s="85"/>
      <c r="G1324" s="86"/>
      <c r="H1324" s="86"/>
      <c r="I1324" s="87"/>
      <c r="J1324" s="85"/>
      <c r="K1324" s="85"/>
      <c r="M1324" s="81"/>
      <c r="O1324" s="85"/>
      <c r="P1324" s="85"/>
      <c r="Q1324" s="81"/>
    </row>
    <row r="1325" spans="3:17" x14ac:dyDescent="0.3">
      <c r="C1325" s="81"/>
      <c r="F1325" s="85"/>
      <c r="G1325" s="86"/>
      <c r="H1325" s="86"/>
      <c r="I1325" s="87"/>
      <c r="J1325" s="85"/>
      <c r="K1325" s="85"/>
      <c r="M1325" s="81"/>
      <c r="O1325" s="85"/>
      <c r="P1325" s="85"/>
      <c r="Q1325" s="81"/>
    </row>
    <row r="1326" spans="3:17" x14ac:dyDescent="0.3">
      <c r="C1326" s="81"/>
      <c r="F1326" s="85"/>
      <c r="G1326" s="86"/>
      <c r="H1326" s="86"/>
      <c r="I1326" s="87"/>
      <c r="J1326" s="85"/>
      <c r="K1326" s="85"/>
      <c r="M1326" s="81"/>
      <c r="O1326" s="85"/>
      <c r="P1326" s="85"/>
      <c r="Q1326" s="81"/>
    </row>
    <row r="1327" spans="3:17" x14ac:dyDescent="0.3">
      <c r="C1327" s="81"/>
      <c r="F1327" s="85"/>
      <c r="G1327" s="86"/>
      <c r="H1327" s="86"/>
      <c r="I1327" s="87"/>
      <c r="J1327" s="85"/>
      <c r="K1327" s="85"/>
      <c r="M1327" s="81"/>
      <c r="O1327" s="85"/>
      <c r="P1327" s="85"/>
      <c r="Q1327" s="81"/>
    </row>
    <row r="1328" spans="3:17" x14ac:dyDescent="0.3">
      <c r="C1328" s="81"/>
      <c r="F1328" s="85"/>
      <c r="G1328" s="86"/>
      <c r="H1328" s="86"/>
      <c r="I1328" s="87"/>
      <c r="J1328" s="85"/>
      <c r="K1328" s="85"/>
      <c r="M1328" s="81"/>
      <c r="O1328" s="85"/>
      <c r="P1328" s="85"/>
      <c r="Q1328" s="81"/>
    </row>
    <row r="1329" spans="3:17" x14ac:dyDescent="0.3">
      <c r="C1329" s="81"/>
      <c r="F1329" s="85"/>
      <c r="G1329" s="86"/>
      <c r="H1329" s="86"/>
      <c r="I1329" s="87"/>
      <c r="J1329" s="85"/>
      <c r="K1329" s="85"/>
      <c r="M1329" s="81"/>
      <c r="O1329" s="85"/>
      <c r="P1329" s="85"/>
      <c r="Q1329" s="81"/>
    </row>
    <row r="1330" spans="3:17" x14ac:dyDescent="0.3">
      <c r="C1330" s="81"/>
      <c r="F1330" s="85"/>
      <c r="G1330" s="86"/>
      <c r="H1330" s="86"/>
      <c r="I1330" s="87"/>
      <c r="J1330" s="85"/>
      <c r="K1330" s="85"/>
      <c r="M1330" s="81"/>
      <c r="O1330" s="85"/>
      <c r="P1330" s="85"/>
      <c r="Q1330" s="81"/>
    </row>
    <row r="1331" spans="3:17" x14ac:dyDescent="0.3">
      <c r="C1331" s="81"/>
      <c r="F1331" s="85"/>
      <c r="G1331" s="86"/>
      <c r="H1331" s="86"/>
      <c r="I1331" s="87"/>
      <c r="J1331" s="85"/>
      <c r="K1331" s="85"/>
      <c r="M1331" s="81"/>
      <c r="O1331" s="85"/>
      <c r="P1331" s="85"/>
      <c r="Q1331" s="81"/>
    </row>
    <row r="1332" spans="3:17" x14ac:dyDescent="0.3">
      <c r="C1332" s="81"/>
      <c r="F1332" s="85"/>
      <c r="G1332" s="86"/>
      <c r="H1332" s="86"/>
      <c r="I1332" s="87"/>
      <c r="J1332" s="85"/>
      <c r="K1332" s="85"/>
      <c r="M1332" s="81"/>
      <c r="O1332" s="85"/>
      <c r="P1332" s="85"/>
      <c r="Q1332" s="81"/>
    </row>
    <row r="1333" spans="3:17" x14ac:dyDescent="0.3">
      <c r="C1333" s="81"/>
      <c r="F1333" s="85"/>
      <c r="G1333" s="86"/>
      <c r="H1333" s="86"/>
      <c r="I1333" s="87"/>
      <c r="J1333" s="85"/>
      <c r="K1333" s="85"/>
      <c r="M1333" s="81"/>
      <c r="O1333" s="85"/>
      <c r="P1333" s="85"/>
      <c r="Q1333" s="81"/>
    </row>
    <row r="1334" spans="3:17" x14ac:dyDescent="0.3">
      <c r="C1334" s="81"/>
      <c r="F1334" s="85"/>
      <c r="G1334" s="86"/>
      <c r="H1334" s="86"/>
      <c r="I1334" s="87"/>
      <c r="J1334" s="85"/>
      <c r="K1334" s="85"/>
      <c r="M1334" s="81"/>
      <c r="O1334" s="85"/>
      <c r="P1334" s="85"/>
      <c r="Q1334" s="81"/>
    </row>
    <row r="1335" spans="3:17" x14ac:dyDescent="0.3">
      <c r="C1335" s="81"/>
      <c r="F1335" s="85"/>
      <c r="G1335" s="86"/>
      <c r="H1335" s="86"/>
      <c r="I1335" s="87"/>
      <c r="J1335" s="85"/>
      <c r="K1335" s="85"/>
      <c r="M1335" s="81"/>
      <c r="O1335" s="85"/>
      <c r="P1335" s="85"/>
      <c r="Q1335" s="81"/>
    </row>
    <row r="1336" spans="3:17" x14ac:dyDescent="0.3">
      <c r="C1336" s="81"/>
      <c r="F1336" s="85"/>
      <c r="G1336" s="86"/>
      <c r="H1336" s="86"/>
      <c r="I1336" s="87"/>
      <c r="J1336" s="85"/>
      <c r="K1336" s="85"/>
      <c r="M1336" s="81"/>
      <c r="O1336" s="85"/>
      <c r="P1336" s="85"/>
      <c r="Q1336" s="81"/>
    </row>
    <row r="1337" spans="3:17" x14ac:dyDescent="0.3">
      <c r="C1337" s="81"/>
      <c r="F1337" s="85"/>
      <c r="G1337" s="86"/>
      <c r="H1337" s="86"/>
      <c r="I1337" s="87"/>
      <c r="J1337" s="85"/>
      <c r="K1337" s="85"/>
      <c r="M1337" s="81"/>
      <c r="O1337" s="85"/>
      <c r="P1337" s="85"/>
      <c r="Q1337" s="81"/>
    </row>
    <row r="1338" spans="3:17" x14ac:dyDescent="0.3">
      <c r="C1338" s="81"/>
      <c r="F1338" s="85"/>
      <c r="G1338" s="86"/>
      <c r="H1338" s="86"/>
      <c r="I1338" s="87"/>
      <c r="J1338" s="85"/>
      <c r="K1338" s="85"/>
      <c r="M1338" s="81"/>
      <c r="O1338" s="85"/>
      <c r="P1338" s="85"/>
      <c r="Q1338" s="81"/>
    </row>
    <row r="1339" spans="3:17" x14ac:dyDescent="0.3">
      <c r="C1339" s="81"/>
      <c r="F1339" s="85"/>
      <c r="G1339" s="86"/>
      <c r="H1339" s="86"/>
      <c r="I1339" s="87"/>
      <c r="J1339" s="85"/>
      <c r="K1339" s="85"/>
      <c r="M1339" s="81"/>
      <c r="O1339" s="85"/>
      <c r="P1339" s="85"/>
      <c r="Q1339" s="81"/>
    </row>
    <row r="1340" spans="3:17" x14ac:dyDescent="0.3">
      <c r="C1340" s="81"/>
      <c r="F1340" s="85"/>
      <c r="G1340" s="86"/>
      <c r="H1340" s="86"/>
      <c r="I1340" s="87"/>
      <c r="J1340" s="85"/>
      <c r="K1340" s="85"/>
      <c r="M1340" s="81"/>
      <c r="O1340" s="85"/>
      <c r="P1340" s="85"/>
      <c r="Q1340" s="81"/>
    </row>
    <row r="1341" spans="3:17" x14ac:dyDescent="0.3">
      <c r="C1341" s="81"/>
      <c r="F1341" s="85"/>
      <c r="G1341" s="86"/>
      <c r="H1341" s="86"/>
      <c r="I1341" s="87"/>
      <c r="J1341" s="85"/>
      <c r="K1341" s="85"/>
      <c r="M1341" s="81"/>
      <c r="O1341" s="85"/>
      <c r="P1341" s="85"/>
      <c r="Q1341" s="81"/>
    </row>
    <row r="1342" spans="3:17" x14ac:dyDescent="0.3">
      <c r="C1342" s="81"/>
      <c r="F1342" s="85"/>
      <c r="G1342" s="86"/>
      <c r="H1342" s="86"/>
      <c r="I1342" s="87"/>
      <c r="J1342" s="85"/>
      <c r="K1342" s="85"/>
      <c r="M1342" s="81"/>
      <c r="O1342" s="85"/>
      <c r="P1342" s="85"/>
      <c r="Q1342" s="81"/>
    </row>
    <row r="1343" spans="3:17" x14ac:dyDescent="0.3">
      <c r="C1343" s="81"/>
      <c r="F1343" s="85"/>
      <c r="G1343" s="86"/>
      <c r="H1343" s="86"/>
      <c r="I1343" s="87"/>
      <c r="J1343" s="85"/>
      <c r="K1343" s="85"/>
      <c r="M1343" s="81"/>
      <c r="O1343" s="85"/>
      <c r="P1343" s="85"/>
      <c r="Q1343" s="81"/>
    </row>
    <row r="1344" spans="3:17" x14ac:dyDescent="0.3">
      <c r="C1344" s="81"/>
      <c r="F1344" s="85"/>
      <c r="G1344" s="86"/>
      <c r="H1344" s="86"/>
      <c r="I1344" s="87"/>
      <c r="J1344" s="85"/>
      <c r="K1344" s="85"/>
      <c r="M1344" s="81"/>
      <c r="O1344" s="85"/>
      <c r="P1344" s="85"/>
      <c r="Q1344" s="81"/>
    </row>
    <row r="1345" spans="3:17" x14ac:dyDescent="0.3">
      <c r="C1345" s="81"/>
      <c r="F1345" s="85"/>
      <c r="G1345" s="86"/>
      <c r="H1345" s="86"/>
      <c r="I1345" s="87"/>
      <c r="J1345" s="85"/>
      <c r="K1345" s="85"/>
      <c r="M1345" s="81"/>
      <c r="O1345" s="85"/>
      <c r="P1345" s="85"/>
      <c r="Q1345" s="81"/>
    </row>
    <row r="1346" spans="3:17" x14ac:dyDescent="0.3">
      <c r="C1346" s="81"/>
      <c r="F1346" s="85"/>
      <c r="G1346" s="86"/>
      <c r="H1346" s="86"/>
      <c r="I1346" s="87"/>
      <c r="J1346" s="85"/>
      <c r="K1346" s="85"/>
      <c r="M1346" s="81"/>
      <c r="O1346" s="85"/>
      <c r="P1346" s="85"/>
      <c r="Q1346" s="81"/>
    </row>
    <row r="1347" spans="3:17" x14ac:dyDescent="0.3">
      <c r="C1347" s="81"/>
      <c r="F1347" s="85"/>
      <c r="G1347" s="86"/>
      <c r="H1347" s="86"/>
      <c r="I1347" s="87"/>
      <c r="J1347" s="85"/>
      <c r="K1347" s="85"/>
      <c r="M1347" s="81"/>
      <c r="O1347" s="85"/>
      <c r="P1347" s="85"/>
      <c r="Q1347" s="81"/>
    </row>
    <row r="1348" spans="3:17" x14ac:dyDescent="0.3">
      <c r="C1348" s="81"/>
      <c r="F1348" s="85"/>
      <c r="G1348" s="86"/>
      <c r="H1348" s="86"/>
      <c r="I1348" s="87"/>
      <c r="J1348" s="85"/>
      <c r="K1348" s="85"/>
      <c r="M1348" s="81"/>
      <c r="O1348" s="85"/>
      <c r="P1348" s="85"/>
      <c r="Q1348" s="81"/>
    </row>
    <row r="1349" spans="3:17" x14ac:dyDescent="0.3">
      <c r="C1349" s="81"/>
      <c r="F1349" s="85"/>
      <c r="G1349" s="86"/>
      <c r="H1349" s="86"/>
      <c r="I1349" s="87"/>
      <c r="J1349" s="85"/>
      <c r="K1349" s="85"/>
      <c r="M1349" s="81"/>
      <c r="O1349" s="85"/>
      <c r="P1349" s="85"/>
      <c r="Q1349" s="81"/>
    </row>
    <row r="1350" spans="3:17" x14ac:dyDescent="0.3">
      <c r="C1350" s="81"/>
      <c r="F1350" s="85"/>
      <c r="G1350" s="86"/>
      <c r="H1350" s="86"/>
      <c r="I1350" s="87"/>
      <c r="J1350" s="85"/>
      <c r="K1350" s="85"/>
      <c r="M1350" s="81"/>
      <c r="O1350" s="85"/>
      <c r="P1350" s="85"/>
      <c r="Q1350" s="81"/>
    </row>
    <row r="1351" spans="3:17" x14ac:dyDescent="0.3">
      <c r="C1351" s="81"/>
      <c r="F1351" s="85"/>
      <c r="G1351" s="86"/>
      <c r="H1351" s="86"/>
      <c r="I1351" s="87"/>
      <c r="J1351" s="85"/>
      <c r="K1351" s="85"/>
      <c r="M1351" s="81"/>
      <c r="O1351" s="85"/>
      <c r="P1351" s="85"/>
      <c r="Q1351" s="81"/>
    </row>
    <row r="1352" spans="3:17" x14ac:dyDescent="0.3">
      <c r="C1352" s="81"/>
      <c r="F1352" s="85"/>
      <c r="G1352" s="86"/>
      <c r="H1352" s="86"/>
      <c r="I1352" s="87"/>
      <c r="J1352" s="85"/>
      <c r="K1352" s="85"/>
      <c r="M1352" s="81"/>
      <c r="O1352" s="85"/>
      <c r="P1352" s="85"/>
      <c r="Q1352" s="81"/>
    </row>
    <row r="1353" spans="3:17" x14ac:dyDescent="0.3">
      <c r="C1353" s="81"/>
      <c r="F1353" s="85"/>
      <c r="G1353" s="86"/>
      <c r="H1353" s="86"/>
      <c r="I1353" s="87"/>
      <c r="J1353" s="85"/>
      <c r="K1353" s="85"/>
      <c r="M1353" s="81"/>
      <c r="O1353" s="85"/>
      <c r="P1353" s="85"/>
      <c r="Q1353" s="81"/>
    </row>
    <row r="1354" spans="3:17" x14ac:dyDescent="0.3">
      <c r="C1354" s="81"/>
      <c r="F1354" s="85"/>
      <c r="G1354" s="86"/>
      <c r="H1354" s="86"/>
      <c r="I1354" s="87"/>
      <c r="J1354" s="85"/>
      <c r="K1354" s="85"/>
      <c r="M1354" s="81"/>
      <c r="O1354" s="85"/>
      <c r="P1354" s="85"/>
      <c r="Q1354" s="81"/>
    </row>
    <row r="1355" spans="3:17" x14ac:dyDescent="0.3">
      <c r="C1355" s="81"/>
      <c r="F1355" s="85"/>
      <c r="G1355" s="86"/>
      <c r="H1355" s="86"/>
      <c r="I1355" s="87"/>
      <c r="J1355" s="85"/>
      <c r="K1355" s="85"/>
      <c r="M1355" s="81"/>
      <c r="O1355" s="85"/>
      <c r="P1355" s="85"/>
      <c r="Q1355" s="81"/>
    </row>
    <row r="1356" spans="3:17" x14ac:dyDescent="0.3">
      <c r="C1356" s="81"/>
      <c r="F1356" s="85"/>
      <c r="G1356" s="86"/>
      <c r="H1356" s="86"/>
      <c r="I1356" s="87"/>
      <c r="J1356" s="85"/>
      <c r="K1356" s="85"/>
      <c r="M1356" s="81"/>
      <c r="O1356" s="85"/>
      <c r="P1356" s="85"/>
      <c r="Q1356" s="81"/>
    </row>
    <row r="1357" spans="3:17" x14ac:dyDescent="0.3">
      <c r="C1357" s="81"/>
      <c r="F1357" s="85"/>
      <c r="G1357" s="86"/>
      <c r="H1357" s="86"/>
      <c r="I1357" s="87"/>
      <c r="J1357" s="85"/>
      <c r="K1357" s="85"/>
      <c r="M1357" s="81"/>
      <c r="O1357" s="85"/>
      <c r="P1357" s="85"/>
      <c r="Q1357" s="81"/>
    </row>
    <row r="1358" spans="3:17" x14ac:dyDescent="0.3">
      <c r="C1358" s="81"/>
      <c r="F1358" s="85"/>
      <c r="G1358" s="86"/>
      <c r="H1358" s="86"/>
      <c r="I1358" s="87"/>
      <c r="J1358" s="85"/>
      <c r="K1358" s="85"/>
      <c r="M1358" s="81"/>
      <c r="O1358" s="85"/>
      <c r="P1358" s="85"/>
      <c r="Q1358" s="81"/>
    </row>
    <row r="1359" spans="3:17" x14ac:dyDescent="0.3">
      <c r="C1359" s="81"/>
      <c r="F1359" s="85"/>
      <c r="G1359" s="86"/>
      <c r="H1359" s="86"/>
      <c r="I1359" s="87"/>
      <c r="J1359" s="85"/>
      <c r="K1359" s="85"/>
      <c r="M1359" s="81"/>
      <c r="O1359" s="85"/>
      <c r="P1359" s="85"/>
      <c r="Q1359" s="81"/>
    </row>
    <row r="1360" spans="3:17" x14ac:dyDescent="0.3">
      <c r="C1360" s="81"/>
      <c r="F1360" s="85"/>
      <c r="G1360" s="86"/>
      <c r="H1360" s="86"/>
      <c r="I1360" s="87"/>
      <c r="J1360" s="85"/>
      <c r="K1360" s="85"/>
      <c r="M1360" s="81"/>
      <c r="O1360" s="85"/>
      <c r="P1360" s="85"/>
      <c r="Q1360" s="81"/>
    </row>
    <row r="1361" spans="3:17" x14ac:dyDescent="0.3">
      <c r="C1361" s="81"/>
      <c r="F1361" s="85"/>
      <c r="G1361" s="86"/>
      <c r="H1361" s="86"/>
      <c r="I1361" s="87"/>
      <c r="J1361" s="85"/>
      <c r="K1361" s="85"/>
      <c r="M1361" s="81"/>
      <c r="O1361" s="85"/>
      <c r="P1361" s="85"/>
      <c r="Q1361" s="81"/>
    </row>
    <row r="1362" spans="3:17" x14ac:dyDescent="0.3">
      <c r="C1362" s="81"/>
      <c r="F1362" s="85"/>
      <c r="G1362" s="86"/>
      <c r="H1362" s="86"/>
      <c r="I1362" s="87"/>
      <c r="J1362" s="85"/>
      <c r="K1362" s="85"/>
      <c r="M1362" s="81"/>
      <c r="O1362" s="85"/>
      <c r="P1362" s="85"/>
      <c r="Q1362" s="81"/>
    </row>
    <row r="1363" spans="3:17" x14ac:dyDescent="0.3">
      <c r="C1363" s="81"/>
      <c r="F1363" s="85"/>
      <c r="G1363" s="86"/>
      <c r="H1363" s="86"/>
      <c r="I1363" s="87"/>
      <c r="J1363" s="85"/>
      <c r="K1363" s="85"/>
      <c r="M1363" s="81"/>
      <c r="O1363" s="85"/>
      <c r="P1363" s="85"/>
      <c r="Q1363" s="81"/>
    </row>
    <row r="1364" spans="3:17" x14ac:dyDescent="0.3">
      <c r="C1364" s="81"/>
      <c r="F1364" s="85"/>
      <c r="G1364" s="86"/>
      <c r="H1364" s="86"/>
      <c r="I1364" s="87"/>
      <c r="J1364" s="85"/>
      <c r="K1364" s="85"/>
      <c r="M1364" s="81"/>
      <c r="O1364" s="85"/>
      <c r="P1364" s="85"/>
      <c r="Q1364" s="81"/>
    </row>
    <row r="1365" spans="3:17" x14ac:dyDescent="0.3">
      <c r="C1365" s="81"/>
      <c r="F1365" s="85"/>
      <c r="G1365" s="86"/>
      <c r="H1365" s="86"/>
      <c r="I1365" s="87"/>
      <c r="J1365" s="85"/>
      <c r="K1365" s="85"/>
      <c r="M1365" s="81"/>
      <c r="O1365" s="85"/>
      <c r="P1365" s="85"/>
      <c r="Q1365" s="81"/>
    </row>
    <row r="1366" spans="3:17" x14ac:dyDescent="0.3">
      <c r="C1366" s="81"/>
      <c r="F1366" s="85"/>
      <c r="G1366" s="86"/>
      <c r="H1366" s="86"/>
      <c r="I1366" s="87"/>
      <c r="J1366" s="85"/>
      <c r="K1366" s="85"/>
      <c r="M1366" s="81"/>
      <c r="O1366" s="85"/>
      <c r="P1366" s="85"/>
      <c r="Q1366" s="81"/>
    </row>
    <row r="1367" spans="3:17" x14ac:dyDescent="0.3">
      <c r="C1367" s="81"/>
      <c r="F1367" s="85"/>
      <c r="G1367" s="86"/>
      <c r="H1367" s="86"/>
      <c r="I1367" s="87"/>
      <c r="J1367" s="85"/>
      <c r="K1367" s="85"/>
      <c r="M1367" s="81"/>
      <c r="O1367" s="85"/>
      <c r="P1367" s="85"/>
      <c r="Q1367" s="81"/>
    </row>
    <row r="1368" spans="3:17" x14ac:dyDescent="0.3">
      <c r="C1368" s="81"/>
      <c r="F1368" s="85"/>
      <c r="G1368" s="86"/>
      <c r="H1368" s="86"/>
      <c r="I1368" s="87"/>
      <c r="J1368" s="85"/>
      <c r="K1368" s="85"/>
      <c r="M1368" s="81"/>
      <c r="O1368" s="85"/>
      <c r="P1368" s="85"/>
      <c r="Q1368" s="81"/>
    </row>
    <row r="1369" spans="3:17" x14ac:dyDescent="0.3">
      <c r="C1369" s="81"/>
      <c r="F1369" s="85"/>
      <c r="G1369" s="86"/>
      <c r="H1369" s="86"/>
      <c r="I1369" s="87"/>
      <c r="J1369" s="85"/>
      <c r="K1369" s="85"/>
      <c r="M1369" s="81"/>
      <c r="O1369" s="85"/>
      <c r="P1369" s="85"/>
      <c r="Q1369" s="81"/>
    </row>
    <row r="1370" spans="3:17" x14ac:dyDescent="0.3">
      <c r="C1370" s="81"/>
      <c r="F1370" s="85"/>
      <c r="G1370" s="86"/>
      <c r="H1370" s="86"/>
      <c r="I1370" s="87"/>
      <c r="J1370" s="85"/>
      <c r="K1370" s="85"/>
      <c r="M1370" s="81"/>
      <c r="O1370" s="85"/>
      <c r="P1370" s="85"/>
      <c r="Q1370" s="81"/>
    </row>
    <row r="1371" spans="3:17" x14ac:dyDescent="0.3">
      <c r="C1371" s="81"/>
      <c r="F1371" s="85"/>
      <c r="G1371" s="86"/>
      <c r="H1371" s="86"/>
      <c r="I1371" s="87"/>
      <c r="J1371" s="85"/>
      <c r="K1371" s="85"/>
      <c r="M1371" s="81"/>
      <c r="O1371" s="85"/>
      <c r="P1371" s="85"/>
      <c r="Q1371" s="81"/>
    </row>
    <row r="1372" spans="3:17" x14ac:dyDescent="0.3">
      <c r="C1372" s="81"/>
      <c r="F1372" s="85"/>
      <c r="G1372" s="86"/>
      <c r="H1372" s="86"/>
      <c r="I1372" s="87"/>
      <c r="J1372" s="85"/>
      <c r="K1372" s="85"/>
      <c r="M1372" s="81"/>
      <c r="O1372" s="85"/>
      <c r="P1372" s="85"/>
      <c r="Q1372" s="81"/>
    </row>
    <row r="1373" spans="3:17" x14ac:dyDescent="0.3">
      <c r="C1373" s="81"/>
      <c r="F1373" s="85"/>
      <c r="G1373" s="86"/>
      <c r="H1373" s="86"/>
      <c r="I1373" s="87"/>
      <c r="J1373" s="85"/>
      <c r="K1373" s="85"/>
      <c r="M1373" s="81"/>
      <c r="O1373" s="85"/>
      <c r="P1373" s="85"/>
      <c r="Q1373" s="81"/>
    </row>
    <row r="1374" spans="3:17" x14ac:dyDescent="0.3">
      <c r="C1374" s="81"/>
      <c r="F1374" s="85"/>
      <c r="G1374" s="86"/>
      <c r="H1374" s="86"/>
      <c r="I1374" s="87"/>
      <c r="J1374" s="85"/>
      <c r="K1374" s="85"/>
      <c r="M1374" s="81"/>
      <c r="O1374" s="85"/>
      <c r="P1374" s="85"/>
      <c r="Q1374" s="81"/>
    </row>
    <row r="1375" spans="3:17" x14ac:dyDescent="0.3">
      <c r="C1375" s="81"/>
      <c r="F1375" s="85"/>
      <c r="G1375" s="86"/>
      <c r="H1375" s="86"/>
      <c r="I1375" s="87"/>
      <c r="J1375" s="85"/>
      <c r="K1375" s="85"/>
      <c r="M1375" s="81"/>
      <c r="O1375" s="85"/>
      <c r="P1375" s="85"/>
      <c r="Q1375" s="81"/>
    </row>
    <row r="1376" spans="3:17" x14ac:dyDescent="0.3">
      <c r="C1376" s="81"/>
      <c r="F1376" s="85"/>
      <c r="G1376" s="86"/>
      <c r="H1376" s="86"/>
      <c r="I1376" s="87"/>
      <c r="J1376" s="85"/>
      <c r="K1376" s="85"/>
      <c r="M1376" s="81"/>
      <c r="O1376" s="85"/>
      <c r="P1376" s="85"/>
      <c r="Q1376" s="81"/>
    </row>
    <row r="1377" spans="3:17" x14ac:dyDescent="0.3">
      <c r="C1377" s="81"/>
      <c r="F1377" s="85"/>
      <c r="G1377" s="86"/>
      <c r="H1377" s="86"/>
      <c r="I1377" s="87"/>
      <c r="J1377" s="85"/>
      <c r="K1377" s="85"/>
      <c r="M1377" s="81"/>
      <c r="O1377" s="85"/>
      <c r="P1377" s="85"/>
      <c r="Q1377" s="81"/>
    </row>
    <row r="1378" spans="3:17" x14ac:dyDescent="0.3">
      <c r="C1378" s="81"/>
      <c r="F1378" s="85"/>
      <c r="G1378" s="86"/>
      <c r="H1378" s="86"/>
      <c r="I1378" s="87"/>
      <c r="J1378" s="85"/>
      <c r="K1378" s="85"/>
      <c r="M1378" s="81"/>
      <c r="O1378" s="85"/>
      <c r="P1378" s="85"/>
      <c r="Q1378" s="81"/>
    </row>
    <row r="1379" spans="3:17" x14ac:dyDescent="0.3">
      <c r="C1379" s="81"/>
      <c r="F1379" s="85"/>
      <c r="G1379" s="86"/>
      <c r="H1379" s="86"/>
      <c r="I1379" s="87"/>
      <c r="J1379" s="85"/>
      <c r="K1379" s="85"/>
      <c r="M1379" s="81"/>
      <c r="O1379" s="85"/>
      <c r="P1379" s="85"/>
      <c r="Q1379" s="81"/>
    </row>
    <row r="1380" spans="3:17" x14ac:dyDescent="0.3">
      <c r="C1380" s="81"/>
      <c r="F1380" s="85"/>
      <c r="G1380" s="86"/>
      <c r="H1380" s="86"/>
      <c r="I1380" s="87"/>
      <c r="J1380" s="85"/>
      <c r="K1380" s="85"/>
      <c r="M1380" s="81"/>
      <c r="O1380" s="85"/>
      <c r="P1380" s="85"/>
      <c r="Q1380" s="81"/>
    </row>
    <row r="1381" spans="3:17" x14ac:dyDescent="0.3">
      <c r="C1381" s="81"/>
      <c r="F1381" s="85"/>
      <c r="G1381" s="86"/>
      <c r="H1381" s="86"/>
      <c r="I1381" s="87"/>
      <c r="J1381" s="85"/>
      <c r="K1381" s="85"/>
      <c r="M1381" s="81"/>
      <c r="O1381" s="85"/>
      <c r="P1381" s="85"/>
      <c r="Q1381" s="81"/>
    </row>
    <row r="1382" spans="3:17" x14ac:dyDescent="0.3">
      <c r="C1382" s="81"/>
      <c r="F1382" s="85"/>
      <c r="G1382" s="86"/>
      <c r="H1382" s="86"/>
      <c r="I1382" s="87"/>
      <c r="J1382" s="85"/>
      <c r="K1382" s="85"/>
      <c r="M1382" s="81"/>
      <c r="O1382" s="85"/>
      <c r="P1382" s="85"/>
      <c r="Q1382" s="81"/>
    </row>
    <row r="1383" spans="3:17" x14ac:dyDescent="0.3">
      <c r="C1383" s="81"/>
      <c r="F1383" s="85"/>
      <c r="G1383" s="86"/>
      <c r="H1383" s="86"/>
      <c r="I1383" s="87"/>
      <c r="J1383" s="85"/>
      <c r="K1383" s="85"/>
      <c r="M1383" s="81"/>
      <c r="O1383" s="85"/>
      <c r="P1383" s="85"/>
      <c r="Q1383" s="81"/>
    </row>
    <row r="1384" spans="3:17" x14ac:dyDescent="0.3">
      <c r="C1384" s="81"/>
      <c r="F1384" s="85"/>
      <c r="G1384" s="86"/>
      <c r="H1384" s="86"/>
      <c r="I1384" s="87"/>
      <c r="J1384" s="85"/>
      <c r="K1384" s="85"/>
      <c r="M1384" s="81"/>
      <c r="O1384" s="85"/>
      <c r="P1384" s="85"/>
      <c r="Q1384" s="81"/>
    </row>
    <row r="1385" spans="3:17" x14ac:dyDescent="0.3">
      <c r="C1385" s="81"/>
      <c r="F1385" s="85"/>
      <c r="G1385" s="86"/>
      <c r="H1385" s="86"/>
      <c r="I1385" s="87"/>
      <c r="J1385" s="85"/>
      <c r="K1385" s="85"/>
      <c r="M1385" s="81"/>
      <c r="O1385" s="85"/>
      <c r="P1385" s="85"/>
      <c r="Q1385" s="81"/>
    </row>
    <row r="1386" spans="3:17" x14ac:dyDescent="0.3">
      <c r="C1386" s="81"/>
      <c r="F1386" s="85"/>
      <c r="G1386" s="86"/>
      <c r="H1386" s="86"/>
      <c r="I1386" s="87"/>
      <c r="J1386" s="85"/>
      <c r="K1386" s="85"/>
      <c r="M1386" s="81"/>
      <c r="O1386" s="85"/>
      <c r="P1386" s="85"/>
      <c r="Q1386" s="81"/>
    </row>
    <row r="1387" spans="3:17" x14ac:dyDescent="0.3">
      <c r="C1387" s="81"/>
      <c r="F1387" s="85"/>
      <c r="G1387" s="86"/>
      <c r="H1387" s="86"/>
      <c r="I1387" s="87"/>
      <c r="J1387" s="85"/>
      <c r="K1387" s="85"/>
      <c r="M1387" s="81"/>
      <c r="O1387" s="85"/>
      <c r="P1387" s="85"/>
      <c r="Q1387" s="81"/>
    </row>
    <row r="1388" spans="3:17" x14ac:dyDescent="0.3">
      <c r="C1388" s="81"/>
      <c r="F1388" s="85"/>
      <c r="G1388" s="86"/>
      <c r="H1388" s="86"/>
      <c r="I1388" s="87"/>
      <c r="J1388" s="85"/>
      <c r="K1388" s="85"/>
      <c r="M1388" s="81"/>
      <c r="O1388" s="85"/>
      <c r="P1388" s="85"/>
      <c r="Q1388" s="81"/>
    </row>
    <row r="1389" spans="3:17" x14ac:dyDescent="0.3">
      <c r="C1389" s="81"/>
      <c r="F1389" s="85"/>
      <c r="G1389" s="86"/>
      <c r="H1389" s="86"/>
      <c r="I1389" s="87"/>
      <c r="J1389" s="85"/>
      <c r="K1389" s="85"/>
      <c r="M1389" s="81"/>
      <c r="O1389" s="85"/>
      <c r="P1389" s="85"/>
      <c r="Q1389" s="81"/>
    </row>
    <row r="1390" spans="3:17" x14ac:dyDescent="0.3">
      <c r="C1390" s="81"/>
      <c r="F1390" s="85"/>
      <c r="G1390" s="86"/>
      <c r="H1390" s="86"/>
      <c r="I1390" s="87"/>
      <c r="J1390" s="85"/>
      <c r="K1390" s="85"/>
      <c r="M1390" s="81"/>
      <c r="O1390" s="85"/>
      <c r="P1390" s="85"/>
      <c r="Q1390" s="81"/>
    </row>
    <row r="1391" spans="3:17" x14ac:dyDescent="0.3">
      <c r="C1391" s="81"/>
      <c r="F1391" s="85"/>
      <c r="G1391" s="86"/>
      <c r="H1391" s="86"/>
      <c r="I1391" s="87"/>
      <c r="J1391" s="85"/>
      <c r="K1391" s="85"/>
      <c r="M1391" s="81"/>
      <c r="O1391" s="85"/>
      <c r="P1391" s="85"/>
      <c r="Q1391" s="81"/>
    </row>
    <row r="1392" spans="3:17" x14ac:dyDescent="0.3">
      <c r="C1392" s="81"/>
      <c r="F1392" s="85"/>
      <c r="G1392" s="86"/>
      <c r="H1392" s="86"/>
      <c r="I1392" s="87"/>
      <c r="J1392" s="85"/>
      <c r="K1392" s="85"/>
      <c r="M1392" s="81"/>
      <c r="O1392" s="85"/>
      <c r="P1392" s="85"/>
      <c r="Q1392" s="81"/>
    </row>
    <row r="1393" spans="3:17" x14ac:dyDescent="0.3">
      <c r="C1393" s="81"/>
      <c r="F1393" s="85"/>
      <c r="G1393" s="86"/>
      <c r="H1393" s="86"/>
      <c r="I1393" s="87"/>
      <c r="J1393" s="85"/>
      <c r="K1393" s="85"/>
      <c r="M1393" s="81"/>
      <c r="O1393" s="85"/>
      <c r="P1393" s="85"/>
      <c r="Q1393" s="81"/>
    </row>
    <row r="1394" spans="3:17" x14ac:dyDescent="0.3">
      <c r="C1394" s="81"/>
      <c r="F1394" s="85"/>
      <c r="G1394" s="86"/>
      <c r="H1394" s="86"/>
      <c r="I1394" s="87"/>
      <c r="J1394" s="85"/>
      <c r="K1394" s="85"/>
      <c r="M1394" s="81"/>
      <c r="O1394" s="85"/>
      <c r="P1394" s="85"/>
      <c r="Q1394" s="81"/>
    </row>
    <row r="1395" spans="3:17" x14ac:dyDescent="0.3">
      <c r="C1395" s="81"/>
      <c r="F1395" s="85"/>
      <c r="G1395" s="86"/>
      <c r="H1395" s="86"/>
      <c r="I1395" s="87"/>
      <c r="J1395" s="85"/>
      <c r="K1395" s="85"/>
      <c r="M1395" s="81"/>
      <c r="O1395" s="85"/>
      <c r="P1395" s="85"/>
      <c r="Q1395" s="81"/>
    </row>
    <row r="1396" spans="3:17" x14ac:dyDescent="0.3">
      <c r="C1396" s="81"/>
      <c r="F1396" s="85"/>
      <c r="G1396" s="86"/>
      <c r="H1396" s="86"/>
      <c r="I1396" s="87"/>
      <c r="J1396" s="85"/>
      <c r="K1396" s="85"/>
      <c r="M1396" s="81"/>
      <c r="O1396" s="85"/>
      <c r="P1396" s="85"/>
      <c r="Q1396" s="81"/>
    </row>
    <row r="1397" spans="3:17" x14ac:dyDescent="0.3">
      <c r="C1397" s="81"/>
      <c r="F1397" s="85"/>
      <c r="G1397" s="86"/>
      <c r="H1397" s="86"/>
      <c r="I1397" s="87"/>
      <c r="J1397" s="85"/>
      <c r="K1397" s="85"/>
      <c r="M1397" s="81"/>
      <c r="O1397" s="85"/>
      <c r="P1397" s="85"/>
      <c r="Q1397" s="81"/>
    </row>
    <row r="1398" spans="3:17" x14ac:dyDescent="0.3">
      <c r="C1398" s="81"/>
      <c r="F1398" s="85"/>
      <c r="G1398" s="86"/>
      <c r="H1398" s="86"/>
      <c r="I1398" s="87"/>
      <c r="J1398" s="85"/>
      <c r="K1398" s="85"/>
      <c r="M1398" s="81"/>
      <c r="O1398" s="85"/>
      <c r="P1398" s="85"/>
      <c r="Q1398" s="81"/>
    </row>
    <row r="1399" spans="3:17" x14ac:dyDescent="0.3">
      <c r="C1399" s="81"/>
      <c r="F1399" s="85"/>
      <c r="G1399" s="86"/>
      <c r="H1399" s="86"/>
      <c r="I1399" s="87"/>
      <c r="J1399" s="85"/>
      <c r="K1399" s="85"/>
      <c r="M1399" s="81"/>
      <c r="O1399" s="85"/>
      <c r="P1399" s="85"/>
      <c r="Q1399" s="81"/>
    </row>
    <row r="1400" spans="3:17" x14ac:dyDescent="0.3">
      <c r="C1400" s="81"/>
      <c r="F1400" s="85"/>
      <c r="G1400" s="86"/>
      <c r="H1400" s="86"/>
      <c r="I1400" s="87"/>
      <c r="J1400" s="85"/>
      <c r="K1400" s="85"/>
      <c r="M1400" s="81"/>
      <c r="O1400" s="85"/>
      <c r="P1400" s="85"/>
      <c r="Q1400" s="81"/>
    </row>
    <row r="1401" spans="3:17" x14ac:dyDescent="0.3">
      <c r="C1401" s="81"/>
      <c r="F1401" s="85"/>
      <c r="G1401" s="86"/>
      <c r="H1401" s="86"/>
      <c r="I1401" s="87"/>
      <c r="J1401" s="85"/>
      <c r="K1401" s="85"/>
      <c r="M1401" s="81"/>
      <c r="O1401" s="85"/>
      <c r="P1401" s="85"/>
      <c r="Q1401" s="81"/>
    </row>
    <row r="1402" spans="3:17" x14ac:dyDescent="0.3">
      <c r="C1402" s="81"/>
      <c r="F1402" s="85"/>
      <c r="G1402" s="86"/>
      <c r="H1402" s="86"/>
      <c r="I1402" s="87"/>
      <c r="J1402" s="85"/>
      <c r="K1402" s="85"/>
      <c r="M1402" s="81"/>
      <c r="O1402" s="85"/>
      <c r="P1402" s="85"/>
      <c r="Q1402" s="81"/>
    </row>
    <row r="1403" spans="3:17" x14ac:dyDescent="0.3">
      <c r="C1403" s="81"/>
      <c r="F1403" s="85"/>
      <c r="G1403" s="86"/>
      <c r="H1403" s="86"/>
      <c r="I1403" s="87"/>
      <c r="J1403" s="85"/>
      <c r="K1403" s="85"/>
      <c r="M1403" s="81"/>
      <c r="O1403" s="85"/>
      <c r="P1403" s="85"/>
      <c r="Q1403" s="81"/>
    </row>
    <row r="1404" spans="3:17" x14ac:dyDescent="0.3">
      <c r="C1404" s="81"/>
      <c r="F1404" s="85"/>
      <c r="G1404" s="86"/>
      <c r="H1404" s="86"/>
      <c r="I1404" s="87"/>
      <c r="J1404" s="85"/>
      <c r="K1404" s="85"/>
      <c r="M1404" s="81"/>
      <c r="O1404" s="85"/>
      <c r="P1404" s="85"/>
      <c r="Q1404" s="81"/>
    </row>
    <row r="1405" spans="3:17" x14ac:dyDescent="0.3">
      <c r="C1405" s="81"/>
      <c r="F1405" s="85"/>
      <c r="G1405" s="86"/>
      <c r="H1405" s="86"/>
      <c r="I1405" s="87"/>
      <c r="J1405" s="85"/>
      <c r="K1405" s="85"/>
      <c r="M1405" s="81"/>
      <c r="O1405" s="85"/>
      <c r="P1405" s="85"/>
      <c r="Q1405" s="81"/>
    </row>
    <row r="1406" spans="3:17" x14ac:dyDescent="0.3">
      <c r="C1406" s="81"/>
      <c r="F1406" s="85"/>
      <c r="G1406" s="86"/>
      <c r="H1406" s="86"/>
      <c r="I1406" s="87"/>
      <c r="J1406" s="85"/>
      <c r="K1406" s="85"/>
      <c r="M1406" s="81"/>
      <c r="O1406" s="85"/>
      <c r="P1406" s="85"/>
      <c r="Q1406" s="81"/>
    </row>
    <row r="1407" spans="3:17" x14ac:dyDescent="0.3">
      <c r="C1407" s="81"/>
      <c r="F1407" s="85"/>
      <c r="G1407" s="86"/>
      <c r="H1407" s="86"/>
      <c r="I1407" s="87"/>
      <c r="J1407" s="85"/>
      <c r="K1407" s="85"/>
      <c r="M1407" s="81"/>
      <c r="O1407" s="85"/>
      <c r="P1407" s="85"/>
      <c r="Q1407" s="81"/>
    </row>
    <row r="1408" spans="3:17" x14ac:dyDescent="0.3">
      <c r="C1408" s="81"/>
      <c r="F1408" s="85"/>
      <c r="G1408" s="86"/>
      <c r="H1408" s="86"/>
      <c r="I1408" s="87"/>
      <c r="J1408" s="85"/>
      <c r="K1408" s="85"/>
      <c r="M1408" s="81"/>
      <c r="O1408" s="85"/>
      <c r="P1408" s="85"/>
      <c r="Q1408" s="81"/>
    </row>
    <row r="1409" spans="3:17" x14ac:dyDescent="0.3">
      <c r="C1409" s="81"/>
      <c r="F1409" s="85"/>
      <c r="G1409" s="86"/>
      <c r="H1409" s="86"/>
      <c r="I1409" s="87"/>
      <c r="J1409" s="85"/>
      <c r="K1409" s="85"/>
      <c r="M1409" s="81"/>
      <c r="O1409" s="85"/>
      <c r="P1409" s="85"/>
      <c r="Q1409" s="81"/>
    </row>
    <row r="1410" spans="3:17" x14ac:dyDescent="0.3">
      <c r="C1410" s="81"/>
      <c r="F1410" s="85"/>
      <c r="G1410" s="86"/>
      <c r="H1410" s="86"/>
      <c r="I1410" s="87"/>
      <c r="J1410" s="85"/>
      <c r="K1410" s="85"/>
      <c r="M1410" s="81"/>
      <c r="O1410" s="85"/>
      <c r="P1410" s="85"/>
      <c r="Q1410" s="81"/>
    </row>
    <row r="1411" spans="3:17" x14ac:dyDescent="0.3">
      <c r="C1411" s="81"/>
      <c r="F1411" s="85"/>
      <c r="G1411" s="86"/>
      <c r="H1411" s="86"/>
      <c r="I1411" s="87"/>
      <c r="J1411" s="85"/>
      <c r="K1411" s="85"/>
      <c r="M1411" s="81"/>
      <c r="O1411" s="85"/>
      <c r="P1411" s="85"/>
      <c r="Q1411" s="81"/>
    </row>
    <row r="1412" spans="3:17" x14ac:dyDescent="0.3">
      <c r="C1412" s="81"/>
      <c r="F1412" s="85"/>
      <c r="G1412" s="86"/>
      <c r="H1412" s="86"/>
      <c r="I1412" s="87"/>
      <c r="J1412" s="85"/>
      <c r="K1412" s="85"/>
      <c r="M1412" s="81"/>
      <c r="O1412" s="85"/>
      <c r="P1412" s="85"/>
      <c r="Q1412" s="81"/>
    </row>
    <row r="1413" spans="3:17" x14ac:dyDescent="0.3">
      <c r="C1413" s="81"/>
      <c r="F1413" s="85"/>
      <c r="G1413" s="86"/>
      <c r="H1413" s="86"/>
      <c r="I1413" s="87"/>
      <c r="J1413" s="85"/>
      <c r="K1413" s="85"/>
      <c r="M1413" s="81"/>
      <c r="O1413" s="85"/>
      <c r="P1413" s="85"/>
      <c r="Q1413" s="81"/>
    </row>
    <row r="1414" spans="3:17" x14ac:dyDescent="0.3">
      <c r="C1414" s="81"/>
      <c r="F1414" s="85"/>
      <c r="G1414" s="86"/>
      <c r="H1414" s="86"/>
      <c r="I1414" s="87"/>
      <c r="J1414" s="85"/>
      <c r="K1414" s="85"/>
      <c r="M1414" s="81"/>
      <c r="O1414" s="85"/>
      <c r="P1414" s="85"/>
      <c r="Q1414" s="81"/>
    </row>
    <row r="1415" spans="3:17" x14ac:dyDescent="0.3">
      <c r="C1415" s="81"/>
      <c r="F1415" s="85"/>
      <c r="G1415" s="86"/>
      <c r="H1415" s="86"/>
      <c r="I1415" s="87"/>
      <c r="J1415" s="85"/>
      <c r="K1415" s="85"/>
      <c r="M1415" s="81"/>
      <c r="O1415" s="85"/>
      <c r="P1415" s="85"/>
      <c r="Q1415" s="81"/>
    </row>
    <row r="1416" spans="3:17" x14ac:dyDescent="0.3">
      <c r="C1416" s="81"/>
      <c r="F1416" s="85"/>
      <c r="G1416" s="86"/>
      <c r="H1416" s="86"/>
      <c r="I1416" s="87"/>
      <c r="J1416" s="85"/>
      <c r="K1416" s="85"/>
      <c r="M1416" s="81"/>
      <c r="O1416" s="85"/>
      <c r="P1416" s="85"/>
      <c r="Q1416" s="81"/>
    </row>
    <row r="1417" spans="3:17" x14ac:dyDescent="0.3">
      <c r="C1417" s="81"/>
      <c r="F1417" s="85"/>
      <c r="G1417" s="86"/>
      <c r="H1417" s="86"/>
      <c r="I1417" s="87"/>
      <c r="J1417" s="85"/>
      <c r="K1417" s="85"/>
      <c r="M1417" s="81"/>
      <c r="O1417" s="85"/>
      <c r="P1417" s="85"/>
      <c r="Q1417" s="81"/>
    </row>
    <row r="1418" spans="3:17" x14ac:dyDescent="0.3">
      <c r="C1418" s="81"/>
      <c r="F1418" s="85"/>
      <c r="G1418" s="86"/>
      <c r="H1418" s="86"/>
      <c r="I1418" s="87"/>
      <c r="J1418" s="85"/>
      <c r="K1418" s="85"/>
      <c r="M1418" s="81"/>
      <c r="O1418" s="85"/>
      <c r="P1418" s="85"/>
      <c r="Q1418" s="81"/>
    </row>
    <row r="1419" spans="3:17" x14ac:dyDescent="0.3">
      <c r="C1419" s="81"/>
      <c r="F1419" s="85"/>
      <c r="G1419" s="86"/>
      <c r="H1419" s="86"/>
      <c r="I1419" s="87"/>
      <c r="J1419" s="85"/>
      <c r="K1419" s="85"/>
      <c r="M1419" s="81"/>
      <c r="O1419" s="85"/>
      <c r="P1419" s="85"/>
      <c r="Q1419" s="81"/>
    </row>
    <row r="1420" spans="3:17" x14ac:dyDescent="0.3">
      <c r="C1420" s="81"/>
      <c r="F1420" s="85"/>
      <c r="G1420" s="86"/>
      <c r="H1420" s="86"/>
      <c r="I1420" s="87"/>
      <c r="J1420" s="85"/>
      <c r="K1420" s="85"/>
      <c r="M1420" s="81"/>
      <c r="O1420" s="85"/>
      <c r="P1420" s="85"/>
      <c r="Q1420" s="81"/>
    </row>
    <row r="1421" spans="3:17" x14ac:dyDescent="0.3">
      <c r="C1421" s="81"/>
      <c r="F1421" s="85"/>
      <c r="G1421" s="86"/>
      <c r="H1421" s="86"/>
      <c r="I1421" s="87"/>
      <c r="J1421" s="85"/>
      <c r="K1421" s="85"/>
      <c r="M1421" s="81"/>
      <c r="O1421" s="85"/>
      <c r="P1421" s="85"/>
      <c r="Q1421" s="81"/>
    </row>
    <row r="1422" spans="3:17" x14ac:dyDescent="0.3">
      <c r="C1422" s="81"/>
      <c r="F1422" s="85"/>
      <c r="G1422" s="86"/>
      <c r="H1422" s="86"/>
      <c r="I1422" s="87"/>
      <c r="J1422" s="85"/>
      <c r="K1422" s="85"/>
      <c r="M1422" s="81"/>
      <c r="O1422" s="85"/>
      <c r="P1422" s="85"/>
      <c r="Q1422" s="81"/>
    </row>
    <row r="1423" spans="3:17" x14ac:dyDescent="0.3">
      <c r="C1423" s="81"/>
      <c r="F1423" s="85"/>
      <c r="G1423" s="86"/>
      <c r="H1423" s="86"/>
      <c r="I1423" s="87"/>
      <c r="J1423" s="85"/>
      <c r="K1423" s="85"/>
      <c r="M1423" s="81"/>
      <c r="O1423" s="85"/>
      <c r="P1423" s="85"/>
      <c r="Q1423" s="81"/>
    </row>
    <row r="1424" spans="3:17" x14ac:dyDescent="0.3">
      <c r="C1424" s="81"/>
      <c r="F1424" s="85"/>
      <c r="G1424" s="86"/>
      <c r="H1424" s="86"/>
      <c r="I1424" s="87"/>
      <c r="J1424" s="85"/>
      <c r="K1424" s="85"/>
      <c r="M1424" s="81"/>
      <c r="O1424" s="85"/>
      <c r="P1424" s="85"/>
      <c r="Q1424" s="81"/>
    </row>
    <row r="1425" spans="3:17" x14ac:dyDescent="0.3">
      <c r="C1425" s="81"/>
      <c r="F1425" s="85"/>
      <c r="G1425" s="86"/>
      <c r="H1425" s="86"/>
      <c r="I1425" s="87"/>
      <c r="J1425" s="85"/>
      <c r="K1425" s="85"/>
      <c r="M1425" s="81"/>
      <c r="O1425" s="85"/>
      <c r="P1425" s="85"/>
      <c r="Q1425" s="81"/>
    </row>
    <row r="1426" spans="3:17" x14ac:dyDescent="0.3">
      <c r="C1426" s="81"/>
      <c r="F1426" s="85"/>
      <c r="G1426" s="86"/>
      <c r="H1426" s="86"/>
      <c r="I1426" s="87"/>
      <c r="J1426" s="85"/>
      <c r="K1426" s="85"/>
      <c r="M1426" s="81"/>
      <c r="O1426" s="85"/>
      <c r="P1426" s="85"/>
      <c r="Q1426" s="81"/>
    </row>
    <row r="1427" spans="3:17" x14ac:dyDescent="0.3">
      <c r="C1427" s="81"/>
      <c r="F1427" s="85"/>
      <c r="G1427" s="86"/>
      <c r="H1427" s="86"/>
      <c r="I1427" s="87"/>
      <c r="J1427" s="85"/>
      <c r="K1427" s="85"/>
      <c r="M1427" s="81"/>
      <c r="O1427" s="85"/>
      <c r="P1427" s="85"/>
      <c r="Q1427" s="81"/>
    </row>
    <row r="1428" spans="3:17" x14ac:dyDescent="0.3">
      <c r="C1428" s="81"/>
      <c r="F1428" s="85"/>
      <c r="G1428" s="86"/>
      <c r="H1428" s="86"/>
      <c r="I1428" s="87"/>
      <c r="J1428" s="85"/>
      <c r="K1428" s="85"/>
      <c r="M1428" s="81"/>
      <c r="O1428" s="85"/>
      <c r="P1428" s="85"/>
      <c r="Q1428" s="81"/>
    </row>
    <row r="1429" spans="3:17" x14ac:dyDescent="0.3">
      <c r="C1429" s="81"/>
      <c r="F1429" s="85"/>
      <c r="G1429" s="86"/>
      <c r="H1429" s="86"/>
      <c r="I1429" s="87"/>
      <c r="J1429" s="85"/>
      <c r="K1429" s="85"/>
      <c r="M1429" s="81"/>
      <c r="O1429" s="85"/>
      <c r="P1429" s="85"/>
      <c r="Q1429" s="81"/>
    </row>
    <row r="1430" spans="3:17" x14ac:dyDescent="0.3">
      <c r="C1430" s="81"/>
      <c r="F1430" s="85"/>
      <c r="G1430" s="86"/>
      <c r="H1430" s="86"/>
      <c r="I1430" s="87"/>
      <c r="J1430" s="85"/>
      <c r="K1430" s="85"/>
      <c r="M1430" s="81"/>
      <c r="O1430" s="85"/>
      <c r="P1430" s="85"/>
      <c r="Q1430" s="81"/>
    </row>
    <row r="1431" spans="3:17" x14ac:dyDescent="0.3">
      <c r="C1431" s="81"/>
      <c r="F1431" s="85"/>
      <c r="G1431" s="86"/>
      <c r="H1431" s="86"/>
      <c r="I1431" s="87"/>
      <c r="J1431" s="85"/>
      <c r="K1431" s="85"/>
      <c r="M1431" s="81"/>
      <c r="O1431" s="85"/>
      <c r="P1431" s="85"/>
      <c r="Q1431" s="81"/>
    </row>
    <row r="1432" spans="3:17" x14ac:dyDescent="0.3">
      <c r="C1432" s="81"/>
      <c r="F1432" s="85"/>
      <c r="G1432" s="86"/>
      <c r="H1432" s="86"/>
      <c r="I1432" s="87"/>
      <c r="J1432" s="85"/>
      <c r="K1432" s="85"/>
      <c r="M1432" s="81"/>
      <c r="O1432" s="85"/>
      <c r="P1432" s="85"/>
      <c r="Q1432" s="81"/>
    </row>
    <row r="1433" spans="3:17" x14ac:dyDescent="0.3">
      <c r="C1433" s="81"/>
      <c r="F1433" s="85"/>
      <c r="G1433" s="86"/>
      <c r="H1433" s="86"/>
      <c r="I1433" s="87"/>
      <c r="J1433" s="85"/>
      <c r="K1433" s="85"/>
      <c r="M1433" s="81"/>
      <c r="O1433" s="85"/>
      <c r="P1433" s="85"/>
      <c r="Q1433" s="81"/>
    </row>
    <row r="1434" spans="3:17" x14ac:dyDescent="0.3">
      <c r="C1434" s="81"/>
      <c r="F1434" s="85"/>
      <c r="G1434" s="86"/>
      <c r="H1434" s="86"/>
      <c r="I1434" s="87"/>
      <c r="J1434" s="85"/>
      <c r="K1434" s="85"/>
      <c r="M1434" s="81"/>
      <c r="O1434" s="85"/>
      <c r="P1434" s="85"/>
      <c r="Q1434" s="81"/>
    </row>
    <row r="1435" spans="3:17" x14ac:dyDescent="0.3">
      <c r="C1435" s="81"/>
      <c r="F1435" s="85"/>
      <c r="G1435" s="86"/>
      <c r="H1435" s="86"/>
      <c r="I1435" s="87"/>
      <c r="J1435" s="85"/>
      <c r="K1435" s="85"/>
      <c r="M1435" s="81"/>
      <c r="O1435" s="85"/>
      <c r="P1435" s="85"/>
      <c r="Q1435" s="81"/>
    </row>
    <row r="1436" spans="3:17" x14ac:dyDescent="0.3">
      <c r="C1436" s="81"/>
      <c r="F1436" s="85"/>
      <c r="G1436" s="86"/>
      <c r="H1436" s="86"/>
      <c r="I1436" s="87"/>
      <c r="J1436" s="85"/>
      <c r="K1436" s="85"/>
      <c r="M1436" s="81"/>
      <c r="O1436" s="85"/>
      <c r="P1436" s="85"/>
      <c r="Q1436" s="81"/>
    </row>
    <row r="1437" spans="3:17" x14ac:dyDescent="0.3">
      <c r="C1437" s="81"/>
      <c r="F1437" s="85"/>
      <c r="G1437" s="86"/>
      <c r="H1437" s="86"/>
      <c r="I1437" s="87"/>
      <c r="J1437" s="85"/>
      <c r="K1437" s="85"/>
      <c r="M1437" s="81"/>
      <c r="O1437" s="85"/>
      <c r="P1437" s="85"/>
      <c r="Q1437" s="81"/>
    </row>
    <row r="1438" spans="3:17" x14ac:dyDescent="0.3">
      <c r="C1438" s="81"/>
      <c r="F1438" s="85"/>
      <c r="G1438" s="86"/>
      <c r="H1438" s="86"/>
      <c r="I1438" s="87"/>
      <c r="J1438" s="85"/>
      <c r="K1438" s="85"/>
      <c r="M1438" s="81"/>
      <c r="O1438" s="85"/>
      <c r="P1438" s="85"/>
      <c r="Q1438" s="81"/>
    </row>
    <row r="1439" spans="3:17" x14ac:dyDescent="0.3">
      <c r="C1439" s="81"/>
      <c r="F1439" s="85"/>
      <c r="G1439" s="86"/>
      <c r="H1439" s="86"/>
      <c r="I1439" s="87"/>
      <c r="J1439" s="85"/>
      <c r="K1439" s="85"/>
      <c r="M1439" s="81"/>
      <c r="O1439" s="85"/>
      <c r="P1439" s="85"/>
      <c r="Q1439" s="81"/>
    </row>
    <row r="1440" spans="3:17" x14ac:dyDescent="0.3">
      <c r="C1440" s="81"/>
      <c r="F1440" s="85"/>
      <c r="G1440" s="86"/>
      <c r="H1440" s="86"/>
      <c r="I1440" s="87"/>
      <c r="J1440" s="85"/>
      <c r="K1440" s="85"/>
      <c r="M1440" s="81"/>
      <c r="O1440" s="85"/>
      <c r="P1440" s="85"/>
      <c r="Q1440" s="81"/>
    </row>
    <row r="1441" spans="3:17" x14ac:dyDescent="0.3">
      <c r="C1441" s="81"/>
      <c r="F1441" s="85"/>
      <c r="G1441" s="86"/>
      <c r="H1441" s="86"/>
      <c r="I1441" s="87"/>
      <c r="J1441" s="85"/>
      <c r="K1441" s="85"/>
      <c r="M1441" s="81"/>
      <c r="O1441" s="85"/>
      <c r="P1441" s="85"/>
      <c r="Q1441" s="81"/>
    </row>
    <row r="1442" spans="3:17" x14ac:dyDescent="0.3">
      <c r="C1442" s="81"/>
      <c r="F1442" s="85"/>
      <c r="G1442" s="86"/>
      <c r="H1442" s="86"/>
      <c r="I1442" s="87"/>
      <c r="J1442" s="85"/>
      <c r="K1442" s="85"/>
      <c r="M1442" s="81"/>
      <c r="O1442" s="85"/>
      <c r="P1442" s="85"/>
      <c r="Q1442" s="81"/>
    </row>
    <row r="1443" spans="3:17" x14ac:dyDescent="0.3">
      <c r="C1443" s="81"/>
      <c r="F1443" s="85"/>
      <c r="G1443" s="86"/>
      <c r="H1443" s="86"/>
      <c r="I1443" s="87"/>
      <c r="J1443" s="85"/>
      <c r="K1443" s="85"/>
      <c r="M1443" s="81"/>
      <c r="O1443" s="85"/>
      <c r="P1443" s="85"/>
      <c r="Q1443" s="81"/>
    </row>
    <row r="1444" spans="3:17" x14ac:dyDescent="0.3">
      <c r="C1444" s="81"/>
      <c r="F1444" s="85"/>
      <c r="G1444" s="86"/>
      <c r="H1444" s="86"/>
      <c r="I1444" s="87"/>
      <c r="J1444" s="85"/>
      <c r="K1444" s="85"/>
      <c r="M1444" s="81"/>
      <c r="O1444" s="85"/>
      <c r="P1444" s="85"/>
      <c r="Q1444" s="81"/>
    </row>
    <row r="1445" spans="3:17" x14ac:dyDescent="0.3">
      <c r="C1445" s="81"/>
      <c r="F1445" s="85"/>
      <c r="G1445" s="86"/>
      <c r="H1445" s="86"/>
      <c r="I1445" s="87"/>
      <c r="J1445" s="85"/>
      <c r="K1445" s="85"/>
      <c r="M1445" s="81"/>
      <c r="O1445" s="85"/>
      <c r="P1445" s="85"/>
      <c r="Q1445" s="81"/>
    </row>
    <row r="1446" spans="3:17" x14ac:dyDescent="0.3">
      <c r="C1446" s="81"/>
      <c r="F1446" s="85"/>
      <c r="G1446" s="86"/>
      <c r="H1446" s="86"/>
      <c r="I1446" s="87"/>
      <c r="J1446" s="85"/>
      <c r="K1446" s="85"/>
      <c r="M1446" s="81"/>
      <c r="O1446" s="85"/>
      <c r="P1446" s="85"/>
      <c r="Q1446" s="81"/>
    </row>
    <row r="1447" spans="3:17" x14ac:dyDescent="0.3">
      <c r="C1447" s="81"/>
      <c r="F1447" s="85"/>
      <c r="G1447" s="86"/>
      <c r="H1447" s="86"/>
      <c r="I1447" s="87"/>
      <c r="J1447" s="85"/>
      <c r="K1447" s="85"/>
      <c r="M1447" s="81"/>
      <c r="O1447" s="85"/>
      <c r="P1447" s="85"/>
      <c r="Q1447" s="81"/>
    </row>
    <row r="1448" spans="3:17" x14ac:dyDescent="0.3">
      <c r="C1448" s="81"/>
      <c r="F1448" s="85"/>
      <c r="G1448" s="86"/>
      <c r="H1448" s="86"/>
      <c r="I1448" s="87"/>
      <c r="J1448" s="85"/>
      <c r="K1448" s="85"/>
      <c r="M1448" s="81"/>
      <c r="O1448" s="85"/>
      <c r="P1448" s="85"/>
      <c r="Q1448" s="81"/>
    </row>
    <row r="1449" spans="3:17" x14ac:dyDescent="0.3">
      <c r="C1449" s="81"/>
      <c r="F1449" s="85"/>
      <c r="G1449" s="86"/>
      <c r="H1449" s="86"/>
      <c r="I1449" s="87"/>
      <c r="J1449" s="85"/>
      <c r="K1449" s="85"/>
      <c r="M1449" s="81"/>
      <c r="O1449" s="85"/>
      <c r="P1449" s="85"/>
      <c r="Q1449" s="81"/>
    </row>
    <row r="1450" spans="3:17" x14ac:dyDescent="0.3">
      <c r="C1450" s="81"/>
      <c r="F1450" s="85"/>
      <c r="G1450" s="86"/>
      <c r="H1450" s="86"/>
      <c r="I1450" s="87"/>
      <c r="J1450" s="85"/>
      <c r="K1450" s="85"/>
      <c r="M1450" s="81"/>
      <c r="O1450" s="85"/>
      <c r="P1450" s="85"/>
      <c r="Q1450" s="81"/>
    </row>
    <row r="1451" spans="3:17" x14ac:dyDescent="0.3">
      <c r="C1451" s="81"/>
      <c r="F1451" s="85"/>
      <c r="G1451" s="86"/>
      <c r="H1451" s="86"/>
      <c r="I1451" s="87"/>
      <c r="J1451" s="85"/>
      <c r="K1451" s="85"/>
      <c r="M1451" s="81"/>
      <c r="O1451" s="85"/>
      <c r="P1451" s="85"/>
      <c r="Q1451" s="81"/>
    </row>
    <row r="1452" spans="3:17" x14ac:dyDescent="0.3">
      <c r="C1452" s="81"/>
      <c r="F1452" s="85"/>
      <c r="G1452" s="86"/>
      <c r="H1452" s="86"/>
      <c r="I1452" s="87"/>
      <c r="J1452" s="85"/>
      <c r="K1452" s="85"/>
      <c r="M1452" s="81"/>
      <c r="O1452" s="85"/>
      <c r="P1452" s="85"/>
      <c r="Q1452" s="81"/>
    </row>
    <row r="1453" spans="3:17" x14ac:dyDescent="0.3">
      <c r="C1453" s="81"/>
      <c r="F1453" s="85"/>
      <c r="G1453" s="86"/>
      <c r="H1453" s="86"/>
      <c r="I1453" s="87"/>
      <c r="J1453" s="85"/>
      <c r="K1453" s="85"/>
      <c r="M1453" s="81"/>
      <c r="O1453" s="85"/>
      <c r="P1453" s="85"/>
      <c r="Q1453" s="81"/>
    </row>
    <row r="1454" spans="3:17" x14ac:dyDescent="0.3">
      <c r="C1454" s="81"/>
      <c r="F1454" s="85"/>
      <c r="G1454" s="86"/>
      <c r="H1454" s="86"/>
      <c r="I1454" s="87"/>
      <c r="J1454" s="85"/>
      <c r="K1454" s="85"/>
      <c r="M1454" s="81"/>
      <c r="O1454" s="85"/>
      <c r="P1454" s="85"/>
      <c r="Q1454" s="81"/>
    </row>
    <row r="1455" spans="3:17" x14ac:dyDescent="0.3">
      <c r="C1455" s="81"/>
      <c r="F1455" s="85"/>
      <c r="G1455" s="86"/>
      <c r="H1455" s="86"/>
      <c r="I1455" s="87"/>
      <c r="J1455" s="85"/>
      <c r="K1455" s="85"/>
      <c r="M1455" s="81"/>
      <c r="O1455" s="85"/>
      <c r="P1455" s="85"/>
      <c r="Q1455" s="81"/>
    </row>
    <row r="1456" spans="3:17" x14ac:dyDescent="0.3">
      <c r="C1456" s="81"/>
      <c r="F1456" s="85"/>
      <c r="G1456" s="86"/>
      <c r="H1456" s="86"/>
      <c r="I1456" s="87"/>
      <c r="J1456" s="85"/>
      <c r="K1456" s="85"/>
      <c r="M1456" s="81"/>
      <c r="O1456" s="85"/>
      <c r="P1456" s="85"/>
      <c r="Q1456" s="81"/>
    </row>
    <row r="1457" spans="3:17" x14ac:dyDescent="0.3">
      <c r="C1457" s="81"/>
      <c r="F1457" s="85"/>
      <c r="G1457" s="86"/>
      <c r="H1457" s="86"/>
      <c r="I1457" s="87"/>
      <c r="J1457" s="85"/>
      <c r="K1457" s="85"/>
      <c r="M1457" s="81"/>
      <c r="O1457" s="85"/>
      <c r="P1457" s="85"/>
      <c r="Q1457" s="81"/>
    </row>
    <row r="1458" spans="3:17" x14ac:dyDescent="0.3">
      <c r="C1458" s="81"/>
      <c r="F1458" s="85"/>
      <c r="G1458" s="86"/>
      <c r="H1458" s="86"/>
      <c r="I1458" s="87"/>
      <c r="J1458" s="85"/>
      <c r="K1458" s="85"/>
      <c r="M1458" s="81"/>
      <c r="O1458" s="85"/>
      <c r="P1458" s="85"/>
      <c r="Q1458" s="81"/>
    </row>
    <row r="1459" spans="3:17" x14ac:dyDescent="0.3">
      <c r="C1459" s="81"/>
      <c r="F1459" s="85"/>
      <c r="G1459" s="86"/>
      <c r="H1459" s="86"/>
      <c r="I1459" s="87"/>
      <c r="J1459" s="85"/>
      <c r="K1459" s="85"/>
      <c r="M1459" s="81"/>
      <c r="O1459" s="85"/>
      <c r="P1459" s="85"/>
      <c r="Q1459" s="81"/>
    </row>
    <row r="1460" spans="3:17" x14ac:dyDescent="0.3">
      <c r="C1460" s="81"/>
      <c r="F1460" s="85"/>
      <c r="G1460" s="86"/>
      <c r="H1460" s="86"/>
      <c r="I1460" s="87"/>
      <c r="J1460" s="85"/>
      <c r="K1460" s="85"/>
      <c r="M1460" s="81"/>
      <c r="O1460" s="85"/>
      <c r="P1460" s="85"/>
      <c r="Q1460" s="81"/>
    </row>
    <row r="1461" spans="3:17" x14ac:dyDescent="0.3">
      <c r="C1461" s="81"/>
      <c r="F1461" s="85"/>
      <c r="G1461" s="86"/>
      <c r="H1461" s="86"/>
      <c r="I1461" s="87"/>
      <c r="J1461" s="85"/>
      <c r="K1461" s="85"/>
      <c r="M1461" s="81"/>
      <c r="O1461" s="85"/>
      <c r="P1461" s="85"/>
      <c r="Q1461" s="81"/>
    </row>
    <row r="1462" spans="3:17" x14ac:dyDescent="0.3">
      <c r="C1462" s="81"/>
      <c r="F1462" s="85"/>
      <c r="G1462" s="86"/>
      <c r="H1462" s="86"/>
      <c r="I1462" s="87"/>
      <c r="J1462" s="85"/>
      <c r="K1462" s="85"/>
      <c r="M1462" s="81"/>
      <c r="O1462" s="85"/>
      <c r="P1462" s="85"/>
      <c r="Q1462" s="81"/>
    </row>
    <row r="1463" spans="3:17" x14ac:dyDescent="0.3">
      <c r="C1463" s="81"/>
      <c r="F1463" s="85"/>
      <c r="G1463" s="86"/>
      <c r="H1463" s="86"/>
      <c r="I1463" s="87"/>
      <c r="J1463" s="85"/>
      <c r="K1463" s="85"/>
      <c r="M1463" s="81"/>
      <c r="O1463" s="85"/>
      <c r="P1463" s="85"/>
      <c r="Q1463" s="81"/>
    </row>
    <row r="1464" spans="3:17" x14ac:dyDescent="0.3">
      <c r="C1464" s="81"/>
      <c r="F1464" s="85"/>
      <c r="G1464" s="86"/>
      <c r="H1464" s="86"/>
      <c r="I1464" s="87"/>
      <c r="J1464" s="85"/>
      <c r="K1464" s="85"/>
      <c r="M1464" s="81"/>
      <c r="O1464" s="85"/>
      <c r="P1464" s="85"/>
      <c r="Q1464" s="81"/>
    </row>
    <row r="1465" spans="3:17" x14ac:dyDescent="0.3">
      <c r="C1465" s="81"/>
      <c r="F1465" s="85"/>
      <c r="G1465" s="86"/>
      <c r="H1465" s="86"/>
      <c r="I1465" s="87"/>
      <c r="J1465" s="85"/>
      <c r="K1465" s="85"/>
      <c r="M1465" s="81"/>
      <c r="O1465" s="85"/>
      <c r="P1465" s="85"/>
      <c r="Q1465" s="81"/>
    </row>
    <row r="1466" spans="3:17" x14ac:dyDescent="0.3">
      <c r="C1466" s="81"/>
      <c r="F1466" s="85"/>
      <c r="G1466" s="86"/>
      <c r="H1466" s="86"/>
      <c r="I1466" s="87"/>
      <c r="J1466" s="85"/>
      <c r="K1466" s="85"/>
      <c r="M1466" s="81"/>
      <c r="O1466" s="85"/>
      <c r="P1466" s="85"/>
      <c r="Q1466" s="81"/>
    </row>
    <row r="1467" spans="3:17" x14ac:dyDescent="0.3">
      <c r="C1467" s="81"/>
      <c r="F1467" s="85"/>
      <c r="G1467" s="86"/>
      <c r="H1467" s="86"/>
      <c r="I1467" s="87"/>
      <c r="J1467" s="85"/>
      <c r="K1467" s="85"/>
      <c r="M1467" s="81"/>
      <c r="O1467" s="85"/>
      <c r="P1467" s="85"/>
      <c r="Q1467" s="81"/>
    </row>
    <row r="1468" spans="3:17" x14ac:dyDescent="0.3">
      <c r="C1468" s="81"/>
      <c r="F1468" s="85"/>
      <c r="G1468" s="86"/>
      <c r="H1468" s="86"/>
      <c r="I1468" s="87"/>
      <c r="J1468" s="85"/>
      <c r="K1468" s="85"/>
      <c r="M1468" s="81"/>
      <c r="O1468" s="85"/>
      <c r="P1468" s="85"/>
      <c r="Q1468" s="81"/>
    </row>
    <row r="1469" spans="3:17" x14ac:dyDescent="0.3">
      <c r="C1469" s="81"/>
      <c r="F1469" s="85"/>
      <c r="G1469" s="86"/>
      <c r="H1469" s="86"/>
      <c r="I1469" s="87"/>
      <c r="J1469" s="85"/>
      <c r="K1469" s="85"/>
      <c r="M1469" s="81"/>
      <c r="O1469" s="85"/>
      <c r="P1469" s="85"/>
      <c r="Q1469" s="81"/>
    </row>
    <row r="1470" spans="3:17" x14ac:dyDescent="0.3">
      <c r="C1470" s="81"/>
      <c r="F1470" s="85"/>
      <c r="G1470" s="86"/>
      <c r="H1470" s="86"/>
      <c r="I1470" s="87"/>
      <c r="J1470" s="85"/>
      <c r="K1470" s="85"/>
      <c r="M1470" s="81"/>
      <c r="O1470" s="85"/>
      <c r="P1470" s="85"/>
      <c r="Q1470" s="81"/>
    </row>
    <row r="1471" spans="3:17" x14ac:dyDescent="0.3">
      <c r="C1471" s="81"/>
      <c r="F1471" s="85"/>
      <c r="G1471" s="86"/>
      <c r="H1471" s="86"/>
      <c r="I1471" s="87"/>
      <c r="J1471" s="85"/>
      <c r="K1471" s="85"/>
      <c r="M1471" s="81"/>
      <c r="O1471" s="85"/>
      <c r="P1471" s="85"/>
      <c r="Q1471" s="81"/>
    </row>
    <row r="1472" spans="3:17" x14ac:dyDescent="0.3">
      <c r="C1472" s="81"/>
      <c r="F1472" s="85"/>
      <c r="G1472" s="86"/>
      <c r="H1472" s="86"/>
      <c r="I1472" s="87"/>
      <c r="J1472" s="85"/>
      <c r="K1472" s="85"/>
      <c r="M1472" s="81"/>
      <c r="O1472" s="85"/>
      <c r="P1472" s="85"/>
      <c r="Q1472" s="81"/>
    </row>
    <row r="1473" spans="3:17" x14ac:dyDescent="0.3">
      <c r="C1473" s="81"/>
      <c r="F1473" s="85"/>
      <c r="G1473" s="86"/>
      <c r="H1473" s="86"/>
      <c r="I1473" s="87"/>
      <c r="J1473" s="85"/>
      <c r="K1473" s="85"/>
      <c r="M1473" s="81"/>
      <c r="O1473" s="85"/>
      <c r="P1473" s="85"/>
      <c r="Q1473" s="81"/>
    </row>
    <row r="1474" spans="3:17" x14ac:dyDescent="0.3">
      <c r="C1474" s="81"/>
      <c r="F1474" s="85"/>
      <c r="G1474" s="86"/>
      <c r="H1474" s="86"/>
      <c r="I1474" s="87"/>
      <c r="J1474" s="85"/>
      <c r="K1474" s="85"/>
      <c r="M1474" s="81"/>
      <c r="O1474" s="85"/>
      <c r="P1474" s="85"/>
      <c r="Q1474" s="81"/>
    </row>
    <row r="1475" spans="3:17" x14ac:dyDescent="0.3">
      <c r="C1475" s="81"/>
      <c r="F1475" s="85"/>
      <c r="G1475" s="86"/>
      <c r="H1475" s="86"/>
      <c r="I1475" s="87"/>
      <c r="J1475" s="85"/>
      <c r="K1475" s="85"/>
      <c r="M1475" s="81"/>
      <c r="O1475" s="85"/>
      <c r="P1475" s="85"/>
      <c r="Q1475" s="81"/>
    </row>
    <row r="1476" spans="3:17" x14ac:dyDescent="0.3">
      <c r="C1476" s="81"/>
      <c r="F1476" s="85"/>
      <c r="G1476" s="86"/>
      <c r="H1476" s="86"/>
      <c r="I1476" s="87"/>
      <c r="J1476" s="85"/>
      <c r="K1476" s="85"/>
      <c r="M1476" s="81"/>
      <c r="O1476" s="85"/>
      <c r="P1476" s="85"/>
      <c r="Q1476" s="81"/>
    </row>
    <row r="1477" spans="3:17" x14ac:dyDescent="0.3">
      <c r="C1477" s="81"/>
      <c r="F1477" s="85"/>
      <c r="G1477" s="86"/>
      <c r="H1477" s="86"/>
      <c r="I1477" s="87"/>
      <c r="J1477" s="85"/>
      <c r="K1477" s="85"/>
      <c r="M1477" s="81"/>
      <c r="O1477" s="85"/>
      <c r="P1477" s="85"/>
      <c r="Q1477" s="81"/>
    </row>
    <row r="1478" spans="3:17" x14ac:dyDescent="0.3">
      <c r="C1478" s="81"/>
      <c r="F1478" s="85"/>
      <c r="G1478" s="86"/>
      <c r="H1478" s="86"/>
      <c r="I1478" s="87"/>
      <c r="J1478" s="85"/>
      <c r="K1478" s="85"/>
      <c r="M1478" s="81"/>
      <c r="O1478" s="85"/>
      <c r="P1478" s="85"/>
      <c r="Q1478" s="81"/>
    </row>
    <row r="1479" spans="3:17" x14ac:dyDescent="0.3">
      <c r="C1479" s="81"/>
      <c r="F1479" s="85"/>
      <c r="G1479" s="86"/>
      <c r="H1479" s="86"/>
      <c r="I1479" s="87"/>
      <c r="J1479" s="85"/>
      <c r="K1479" s="85"/>
      <c r="M1479" s="81"/>
      <c r="O1479" s="85"/>
      <c r="P1479" s="85"/>
      <c r="Q1479" s="81"/>
    </row>
    <row r="1480" spans="3:17" x14ac:dyDescent="0.3">
      <c r="C1480" s="81"/>
      <c r="F1480" s="85"/>
      <c r="G1480" s="86"/>
      <c r="H1480" s="86"/>
      <c r="I1480" s="87"/>
      <c r="J1480" s="85"/>
      <c r="K1480" s="85"/>
      <c r="M1480" s="81"/>
      <c r="O1480" s="85"/>
      <c r="P1480" s="85"/>
      <c r="Q1480" s="81"/>
    </row>
    <row r="1481" spans="3:17" x14ac:dyDescent="0.3">
      <c r="C1481" s="81"/>
      <c r="F1481" s="85"/>
      <c r="G1481" s="86"/>
      <c r="H1481" s="86"/>
      <c r="I1481" s="87"/>
      <c r="J1481" s="85"/>
      <c r="K1481" s="85"/>
      <c r="M1481" s="81"/>
      <c r="O1481" s="85"/>
      <c r="P1481" s="85"/>
      <c r="Q1481" s="81"/>
    </row>
    <row r="1482" spans="3:17" x14ac:dyDescent="0.3">
      <c r="C1482" s="81"/>
      <c r="F1482" s="85"/>
      <c r="G1482" s="86"/>
      <c r="H1482" s="86"/>
      <c r="I1482" s="87"/>
      <c r="J1482" s="85"/>
      <c r="K1482" s="85"/>
      <c r="M1482" s="81"/>
      <c r="O1482" s="85"/>
      <c r="P1482" s="85"/>
      <c r="Q1482" s="81"/>
    </row>
    <row r="1483" spans="3:17" x14ac:dyDescent="0.3">
      <c r="C1483" s="81"/>
      <c r="F1483" s="85"/>
      <c r="G1483" s="86"/>
      <c r="H1483" s="86"/>
      <c r="I1483" s="87"/>
      <c r="J1483" s="85"/>
      <c r="K1483" s="85"/>
      <c r="M1483" s="81"/>
      <c r="O1483" s="85"/>
      <c r="P1483" s="85"/>
      <c r="Q1483" s="81"/>
    </row>
    <row r="1484" spans="3:17" x14ac:dyDescent="0.3">
      <c r="C1484" s="81"/>
      <c r="F1484" s="85"/>
      <c r="G1484" s="86"/>
      <c r="H1484" s="86"/>
      <c r="I1484" s="87"/>
      <c r="J1484" s="85"/>
      <c r="K1484" s="85"/>
      <c r="M1484" s="81"/>
      <c r="O1484" s="85"/>
      <c r="P1484" s="85"/>
      <c r="Q1484" s="81"/>
    </row>
    <row r="1485" spans="3:17" x14ac:dyDescent="0.3">
      <c r="C1485" s="81"/>
      <c r="F1485" s="85"/>
      <c r="G1485" s="86"/>
      <c r="H1485" s="86"/>
      <c r="I1485" s="87"/>
      <c r="J1485" s="85"/>
      <c r="K1485" s="85"/>
      <c r="M1485" s="81"/>
      <c r="O1485" s="85"/>
      <c r="P1485" s="85"/>
      <c r="Q1485" s="81"/>
    </row>
    <row r="1486" spans="3:17" x14ac:dyDescent="0.3">
      <c r="C1486" s="81"/>
      <c r="F1486" s="85"/>
      <c r="G1486" s="86"/>
      <c r="H1486" s="86"/>
      <c r="I1486" s="87"/>
      <c r="J1486" s="85"/>
      <c r="K1486" s="85"/>
      <c r="M1486" s="81"/>
      <c r="O1486" s="85"/>
      <c r="P1486" s="85"/>
      <c r="Q1486" s="81"/>
    </row>
    <row r="1487" spans="3:17" x14ac:dyDescent="0.3">
      <c r="C1487" s="81"/>
      <c r="F1487" s="85"/>
      <c r="G1487" s="86"/>
      <c r="H1487" s="86"/>
      <c r="I1487" s="87"/>
      <c r="J1487" s="85"/>
      <c r="K1487" s="85"/>
      <c r="M1487" s="81"/>
      <c r="O1487" s="85"/>
      <c r="P1487" s="85"/>
      <c r="Q1487" s="81"/>
    </row>
    <row r="1488" spans="3:17" x14ac:dyDescent="0.3">
      <c r="C1488" s="81"/>
      <c r="F1488" s="85"/>
      <c r="G1488" s="86"/>
      <c r="H1488" s="86"/>
      <c r="I1488" s="87"/>
      <c r="J1488" s="85"/>
      <c r="K1488" s="85"/>
      <c r="M1488" s="81"/>
      <c r="O1488" s="85"/>
      <c r="P1488" s="85"/>
      <c r="Q1488" s="81"/>
    </row>
    <row r="1489" spans="3:17" x14ac:dyDescent="0.3">
      <c r="C1489" s="81"/>
      <c r="F1489" s="85"/>
      <c r="G1489" s="86"/>
      <c r="H1489" s="86"/>
      <c r="I1489" s="87"/>
      <c r="J1489" s="85"/>
      <c r="K1489" s="85"/>
      <c r="M1489" s="81"/>
      <c r="O1489" s="85"/>
      <c r="P1489" s="85"/>
      <c r="Q1489" s="81"/>
    </row>
    <row r="1490" spans="3:17" x14ac:dyDescent="0.3">
      <c r="C1490" s="81"/>
      <c r="F1490" s="85"/>
      <c r="G1490" s="86"/>
      <c r="H1490" s="86"/>
      <c r="I1490" s="87"/>
      <c r="J1490" s="85"/>
      <c r="K1490" s="85"/>
      <c r="M1490" s="81"/>
      <c r="O1490" s="85"/>
      <c r="P1490" s="85"/>
      <c r="Q1490" s="81"/>
    </row>
    <row r="1491" spans="3:17" x14ac:dyDescent="0.3">
      <c r="C1491" s="81"/>
      <c r="F1491" s="85"/>
      <c r="G1491" s="86"/>
      <c r="H1491" s="86"/>
      <c r="I1491" s="87"/>
      <c r="J1491" s="85"/>
      <c r="K1491" s="85"/>
      <c r="M1491" s="81"/>
      <c r="O1491" s="85"/>
      <c r="P1491" s="85"/>
      <c r="Q1491" s="81"/>
    </row>
    <row r="1492" spans="3:17" x14ac:dyDescent="0.3">
      <c r="C1492" s="81"/>
      <c r="F1492" s="85"/>
      <c r="G1492" s="86"/>
      <c r="H1492" s="86"/>
      <c r="I1492" s="87"/>
      <c r="J1492" s="85"/>
      <c r="K1492" s="85"/>
      <c r="M1492" s="81"/>
      <c r="O1492" s="85"/>
      <c r="P1492" s="85"/>
      <c r="Q1492" s="81"/>
    </row>
    <row r="1493" spans="3:17" x14ac:dyDescent="0.3">
      <c r="C1493" s="81"/>
      <c r="F1493" s="85"/>
      <c r="G1493" s="86"/>
      <c r="H1493" s="86"/>
      <c r="I1493" s="87"/>
      <c r="J1493" s="85"/>
      <c r="K1493" s="85"/>
      <c r="M1493" s="81"/>
      <c r="O1493" s="85"/>
      <c r="P1493" s="85"/>
      <c r="Q1493" s="81"/>
    </row>
    <row r="1494" spans="3:17" x14ac:dyDescent="0.3">
      <c r="C1494" s="81"/>
      <c r="F1494" s="85"/>
      <c r="G1494" s="86"/>
      <c r="H1494" s="86"/>
      <c r="I1494" s="87"/>
      <c r="J1494" s="85"/>
      <c r="K1494" s="85"/>
      <c r="M1494" s="81"/>
      <c r="O1494" s="85"/>
      <c r="P1494" s="85"/>
      <c r="Q1494" s="81"/>
    </row>
    <row r="1495" spans="3:17" x14ac:dyDescent="0.3">
      <c r="C1495" s="81"/>
      <c r="F1495" s="85"/>
      <c r="G1495" s="86"/>
      <c r="H1495" s="86"/>
      <c r="I1495" s="87"/>
      <c r="J1495" s="85"/>
      <c r="K1495" s="85"/>
      <c r="M1495" s="81"/>
      <c r="O1495" s="85"/>
      <c r="P1495" s="85"/>
      <c r="Q1495" s="81"/>
    </row>
    <row r="1496" spans="3:17" x14ac:dyDescent="0.3">
      <c r="C1496" s="81"/>
      <c r="F1496" s="85"/>
      <c r="G1496" s="86"/>
      <c r="H1496" s="86"/>
      <c r="I1496" s="87"/>
      <c r="J1496" s="85"/>
      <c r="K1496" s="85"/>
      <c r="M1496" s="81"/>
      <c r="O1496" s="85"/>
      <c r="P1496" s="85"/>
      <c r="Q1496" s="81"/>
    </row>
    <row r="1497" spans="3:17" x14ac:dyDescent="0.3">
      <c r="C1497" s="81"/>
      <c r="F1497" s="85"/>
      <c r="G1497" s="86"/>
      <c r="H1497" s="86"/>
      <c r="I1497" s="87"/>
      <c r="J1497" s="85"/>
      <c r="K1497" s="85"/>
      <c r="M1497" s="81"/>
      <c r="O1497" s="85"/>
      <c r="P1497" s="85"/>
      <c r="Q1497" s="81"/>
    </row>
    <row r="1498" spans="3:17" x14ac:dyDescent="0.3">
      <c r="C1498" s="81"/>
      <c r="F1498" s="85"/>
      <c r="G1498" s="86"/>
      <c r="H1498" s="86"/>
      <c r="I1498" s="87"/>
      <c r="J1498" s="85"/>
      <c r="K1498" s="85"/>
      <c r="M1498" s="81"/>
      <c r="O1498" s="85"/>
      <c r="P1498" s="85"/>
      <c r="Q1498" s="81"/>
    </row>
    <row r="1499" spans="3:17" x14ac:dyDescent="0.3">
      <c r="C1499" s="81"/>
      <c r="F1499" s="85"/>
      <c r="G1499" s="86"/>
      <c r="H1499" s="86"/>
      <c r="I1499" s="87"/>
      <c r="J1499" s="85"/>
      <c r="K1499" s="85"/>
      <c r="M1499" s="81"/>
      <c r="O1499" s="85"/>
      <c r="P1499" s="85"/>
      <c r="Q1499" s="81"/>
    </row>
    <row r="1500" spans="3:17" x14ac:dyDescent="0.3">
      <c r="C1500" s="81"/>
      <c r="F1500" s="85"/>
      <c r="G1500" s="86"/>
      <c r="H1500" s="86"/>
      <c r="I1500" s="87"/>
      <c r="J1500" s="85"/>
      <c r="K1500" s="85"/>
      <c r="M1500" s="81"/>
      <c r="O1500" s="85"/>
      <c r="P1500" s="85"/>
      <c r="Q1500" s="81"/>
    </row>
    <row r="1501" spans="3:17" x14ac:dyDescent="0.3">
      <c r="C1501" s="81"/>
      <c r="F1501" s="85"/>
      <c r="G1501" s="86"/>
      <c r="H1501" s="86"/>
      <c r="I1501" s="87"/>
      <c r="J1501" s="85"/>
      <c r="K1501" s="85"/>
      <c r="M1501" s="81"/>
      <c r="O1501" s="85"/>
      <c r="P1501" s="85"/>
      <c r="Q1501" s="81"/>
    </row>
    <row r="1502" spans="3:17" x14ac:dyDescent="0.3">
      <c r="C1502" s="81"/>
      <c r="F1502" s="85"/>
      <c r="G1502" s="86"/>
      <c r="H1502" s="86"/>
      <c r="I1502" s="87"/>
      <c r="J1502" s="85"/>
      <c r="K1502" s="85"/>
      <c r="M1502" s="81"/>
      <c r="O1502" s="85"/>
      <c r="P1502" s="85"/>
      <c r="Q1502" s="81"/>
    </row>
    <row r="1503" spans="3:17" x14ac:dyDescent="0.3">
      <c r="C1503" s="81"/>
      <c r="F1503" s="85"/>
      <c r="G1503" s="86"/>
      <c r="H1503" s="86"/>
      <c r="I1503" s="87"/>
      <c r="J1503" s="85"/>
      <c r="K1503" s="85"/>
      <c r="M1503" s="81"/>
      <c r="O1503" s="85"/>
      <c r="P1503" s="85"/>
      <c r="Q1503" s="81"/>
    </row>
    <row r="1504" spans="3:17" x14ac:dyDescent="0.3">
      <c r="C1504" s="81"/>
      <c r="F1504" s="85"/>
      <c r="G1504" s="86"/>
      <c r="H1504" s="86"/>
      <c r="I1504" s="87"/>
      <c r="J1504" s="85"/>
      <c r="K1504" s="85"/>
      <c r="M1504" s="81"/>
      <c r="O1504" s="85"/>
      <c r="P1504" s="85"/>
      <c r="Q1504" s="81"/>
    </row>
    <row r="1505" spans="3:17" x14ac:dyDescent="0.3">
      <c r="C1505" s="81"/>
      <c r="F1505" s="85"/>
      <c r="G1505" s="86"/>
      <c r="H1505" s="86"/>
      <c r="I1505" s="87"/>
      <c r="J1505" s="85"/>
      <c r="K1505" s="85"/>
      <c r="M1505" s="81"/>
      <c r="O1505" s="85"/>
      <c r="P1505" s="85"/>
      <c r="Q1505" s="81"/>
    </row>
    <row r="1506" spans="3:17" x14ac:dyDescent="0.3">
      <c r="C1506" s="81"/>
      <c r="F1506" s="85"/>
      <c r="G1506" s="86"/>
      <c r="H1506" s="86"/>
      <c r="I1506" s="87"/>
      <c r="J1506" s="85"/>
      <c r="K1506" s="85"/>
      <c r="M1506" s="81"/>
      <c r="O1506" s="85"/>
      <c r="P1506" s="85"/>
      <c r="Q1506" s="81"/>
    </row>
    <row r="1507" spans="3:17" x14ac:dyDescent="0.3">
      <c r="C1507" s="81"/>
      <c r="F1507" s="85"/>
      <c r="G1507" s="86"/>
      <c r="H1507" s="86"/>
      <c r="I1507" s="87"/>
      <c r="J1507" s="85"/>
      <c r="K1507" s="85"/>
      <c r="M1507" s="81"/>
      <c r="O1507" s="85"/>
      <c r="P1507" s="85"/>
      <c r="Q1507" s="81"/>
    </row>
    <row r="1508" spans="3:17" x14ac:dyDescent="0.3">
      <c r="C1508" s="81"/>
      <c r="F1508" s="85"/>
      <c r="G1508" s="86"/>
      <c r="H1508" s="86"/>
      <c r="I1508" s="87"/>
      <c r="J1508" s="85"/>
      <c r="K1508" s="85"/>
      <c r="M1508" s="81"/>
      <c r="O1508" s="85"/>
      <c r="P1508" s="85"/>
      <c r="Q1508" s="81"/>
    </row>
    <row r="1509" spans="3:17" x14ac:dyDescent="0.3">
      <c r="C1509" s="81"/>
      <c r="F1509" s="85"/>
      <c r="G1509" s="86"/>
      <c r="H1509" s="86"/>
      <c r="I1509" s="87"/>
      <c r="J1509" s="85"/>
      <c r="K1509" s="85"/>
      <c r="M1509" s="81"/>
      <c r="O1509" s="85"/>
      <c r="P1509" s="85"/>
      <c r="Q1509" s="81"/>
    </row>
    <row r="1510" spans="3:17" x14ac:dyDescent="0.3">
      <c r="C1510" s="81"/>
      <c r="F1510" s="85"/>
      <c r="G1510" s="86"/>
      <c r="H1510" s="86"/>
      <c r="I1510" s="87"/>
      <c r="J1510" s="85"/>
      <c r="K1510" s="85"/>
      <c r="M1510" s="81"/>
      <c r="O1510" s="85"/>
      <c r="P1510" s="85"/>
      <c r="Q1510" s="81"/>
    </row>
    <row r="1511" spans="3:17" x14ac:dyDescent="0.3">
      <c r="C1511" s="81"/>
      <c r="F1511" s="85"/>
      <c r="G1511" s="86"/>
      <c r="H1511" s="86"/>
      <c r="I1511" s="87"/>
      <c r="J1511" s="85"/>
      <c r="K1511" s="85"/>
      <c r="M1511" s="81"/>
      <c r="O1511" s="85"/>
      <c r="P1511" s="85"/>
      <c r="Q1511" s="81"/>
    </row>
    <row r="1512" spans="3:17" x14ac:dyDescent="0.3">
      <c r="C1512" s="81"/>
      <c r="F1512" s="85"/>
      <c r="G1512" s="86"/>
      <c r="H1512" s="86"/>
      <c r="I1512" s="87"/>
      <c r="J1512" s="85"/>
      <c r="K1512" s="85"/>
      <c r="M1512" s="81"/>
      <c r="O1512" s="85"/>
      <c r="P1512" s="85"/>
      <c r="Q1512" s="81"/>
    </row>
    <row r="1513" spans="3:17" x14ac:dyDescent="0.3">
      <c r="C1513" s="81"/>
      <c r="F1513" s="85"/>
      <c r="G1513" s="86"/>
      <c r="H1513" s="86"/>
      <c r="I1513" s="87"/>
      <c r="J1513" s="85"/>
      <c r="K1513" s="85"/>
      <c r="M1513" s="81"/>
      <c r="O1513" s="85"/>
      <c r="P1513" s="85"/>
      <c r="Q1513" s="81"/>
    </row>
    <row r="1514" spans="3:17" x14ac:dyDescent="0.3">
      <c r="C1514" s="81"/>
      <c r="F1514" s="85"/>
      <c r="G1514" s="86"/>
      <c r="H1514" s="86"/>
      <c r="I1514" s="87"/>
      <c r="J1514" s="85"/>
      <c r="K1514" s="85"/>
      <c r="M1514" s="81"/>
      <c r="O1514" s="85"/>
      <c r="P1514" s="85"/>
      <c r="Q1514" s="81"/>
    </row>
    <row r="1515" spans="3:17" x14ac:dyDescent="0.3">
      <c r="C1515" s="81"/>
      <c r="F1515" s="85"/>
      <c r="G1515" s="86"/>
      <c r="H1515" s="86"/>
      <c r="I1515" s="87"/>
      <c r="J1515" s="85"/>
      <c r="K1515" s="85"/>
      <c r="M1515" s="81"/>
      <c r="O1515" s="85"/>
      <c r="P1515" s="85"/>
      <c r="Q1515" s="81"/>
    </row>
    <row r="1516" spans="3:17" x14ac:dyDescent="0.3">
      <c r="C1516" s="81"/>
      <c r="F1516" s="85"/>
      <c r="G1516" s="86"/>
      <c r="H1516" s="86"/>
      <c r="I1516" s="87"/>
      <c r="J1516" s="85"/>
      <c r="K1516" s="85"/>
      <c r="M1516" s="81"/>
      <c r="O1516" s="85"/>
      <c r="P1516" s="85"/>
      <c r="Q1516" s="81"/>
    </row>
    <row r="1517" spans="3:17" x14ac:dyDescent="0.3">
      <c r="C1517" s="81"/>
      <c r="F1517" s="85"/>
      <c r="G1517" s="86"/>
      <c r="H1517" s="86"/>
      <c r="I1517" s="87"/>
      <c r="J1517" s="85"/>
      <c r="K1517" s="85"/>
      <c r="M1517" s="81"/>
      <c r="O1517" s="85"/>
      <c r="P1517" s="85"/>
      <c r="Q1517" s="81"/>
    </row>
    <row r="1518" spans="3:17" x14ac:dyDescent="0.3">
      <c r="C1518" s="81"/>
      <c r="F1518" s="85"/>
      <c r="G1518" s="86"/>
      <c r="H1518" s="86"/>
      <c r="I1518" s="87"/>
      <c r="J1518" s="85"/>
      <c r="K1518" s="85"/>
      <c r="M1518" s="81"/>
      <c r="O1518" s="85"/>
      <c r="P1518" s="85"/>
      <c r="Q1518" s="81"/>
    </row>
    <row r="1519" spans="3:17" x14ac:dyDescent="0.3">
      <c r="C1519" s="81"/>
      <c r="F1519" s="85"/>
      <c r="G1519" s="86"/>
      <c r="H1519" s="86"/>
      <c r="I1519" s="87"/>
      <c r="J1519" s="85"/>
      <c r="K1519" s="85"/>
      <c r="M1519" s="81"/>
      <c r="O1519" s="85"/>
      <c r="P1519" s="85"/>
      <c r="Q1519" s="81"/>
    </row>
    <row r="1520" spans="3:17" x14ac:dyDescent="0.3">
      <c r="C1520" s="81"/>
      <c r="F1520" s="85"/>
      <c r="G1520" s="86"/>
      <c r="H1520" s="86"/>
      <c r="I1520" s="87"/>
      <c r="J1520" s="85"/>
      <c r="K1520" s="85"/>
      <c r="M1520" s="81"/>
      <c r="O1520" s="85"/>
      <c r="P1520" s="85"/>
      <c r="Q1520" s="81"/>
    </row>
    <row r="1521" spans="3:17" x14ac:dyDescent="0.3">
      <c r="C1521" s="81"/>
      <c r="F1521" s="85"/>
      <c r="G1521" s="86"/>
      <c r="H1521" s="86"/>
      <c r="I1521" s="87"/>
      <c r="J1521" s="85"/>
      <c r="K1521" s="85"/>
      <c r="M1521" s="81"/>
      <c r="O1521" s="85"/>
      <c r="P1521" s="85"/>
      <c r="Q1521" s="81"/>
    </row>
    <row r="1522" spans="3:17" x14ac:dyDescent="0.3">
      <c r="C1522" s="81"/>
      <c r="F1522" s="85"/>
      <c r="G1522" s="86"/>
      <c r="H1522" s="86"/>
      <c r="I1522" s="87"/>
      <c r="J1522" s="85"/>
      <c r="K1522" s="85"/>
      <c r="M1522" s="81"/>
      <c r="O1522" s="85"/>
      <c r="P1522" s="85"/>
      <c r="Q1522" s="81"/>
    </row>
    <row r="1523" spans="3:17" x14ac:dyDescent="0.3">
      <c r="C1523" s="81"/>
      <c r="F1523" s="85"/>
      <c r="G1523" s="86"/>
      <c r="H1523" s="86"/>
      <c r="I1523" s="87"/>
      <c r="J1523" s="85"/>
      <c r="K1523" s="85"/>
      <c r="M1523" s="81"/>
      <c r="O1523" s="85"/>
      <c r="P1523" s="85"/>
      <c r="Q1523" s="81"/>
    </row>
    <row r="1524" spans="3:17" x14ac:dyDescent="0.3">
      <c r="C1524" s="81"/>
      <c r="F1524" s="85"/>
      <c r="G1524" s="86"/>
      <c r="H1524" s="86"/>
      <c r="I1524" s="87"/>
      <c r="J1524" s="85"/>
      <c r="K1524" s="85"/>
      <c r="M1524" s="81"/>
      <c r="O1524" s="85"/>
      <c r="P1524" s="85"/>
      <c r="Q1524" s="81"/>
    </row>
    <row r="1525" spans="3:17" x14ac:dyDescent="0.3">
      <c r="C1525" s="81"/>
      <c r="F1525" s="85"/>
      <c r="G1525" s="86"/>
      <c r="H1525" s="86"/>
      <c r="I1525" s="87"/>
      <c r="J1525" s="85"/>
      <c r="K1525" s="85"/>
      <c r="M1525" s="81"/>
      <c r="O1525" s="85"/>
      <c r="P1525" s="85"/>
      <c r="Q1525" s="81"/>
    </row>
    <row r="1526" spans="3:17" x14ac:dyDescent="0.3">
      <c r="C1526" s="81"/>
      <c r="F1526" s="85"/>
      <c r="G1526" s="86"/>
      <c r="H1526" s="86"/>
      <c r="I1526" s="87"/>
      <c r="J1526" s="85"/>
      <c r="K1526" s="85"/>
      <c r="M1526" s="81"/>
      <c r="O1526" s="85"/>
      <c r="P1526" s="85"/>
      <c r="Q1526" s="81"/>
    </row>
    <row r="1527" spans="3:17" x14ac:dyDescent="0.3">
      <c r="C1527" s="81"/>
      <c r="F1527" s="85"/>
      <c r="G1527" s="86"/>
      <c r="H1527" s="86"/>
      <c r="I1527" s="87"/>
      <c r="J1527" s="85"/>
      <c r="K1527" s="85"/>
      <c r="M1527" s="81"/>
      <c r="O1527" s="85"/>
      <c r="P1527" s="85"/>
      <c r="Q1527" s="81"/>
    </row>
    <row r="1528" spans="3:17" x14ac:dyDescent="0.3">
      <c r="C1528" s="81"/>
      <c r="F1528" s="85"/>
      <c r="G1528" s="86"/>
      <c r="H1528" s="86"/>
      <c r="I1528" s="87"/>
      <c r="J1528" s="85"/>
      <c r="K1528" s="85"/>
      <c r="M1528" s="81"/>
      <c r="O1528" s="85"/>
      <c r="P1528" s="85"/>
      <c r="Q1528" s="81"/>
    </row>
    <row r="1529" spans="3:17" x14ac:dyDescent="0.3">
      <c r="C1529" s="81"/>
      <c r="F1529" s="85"/>
      <c r="G1529" s="86"/>
      <c r="H1529" s="86"/>
      <c r="I1529" s="87"/>
      <c r="J1529" s="85"/>
      <c r="K1529" s="85"/>
      <c r="M1529" s="81"/>
      <c r="O1529" s="85"/>
      <c r="P1529" s="85"/>
      <c r="Q1529" s="81"/>
    </row>
    <row r="1530" spans="3:17" x14ac:dyDescent="0.3">
      <c r="C1530" s="81"/>
      <c r="F1530" s="85"/>
      <c r="G1530" s="86"/>
      <c r="H1530" s="86"/>
      <c r="I1530" s="87"/>
      <c r="J1530" s="85"/>
      <c r="K1530" s="85"/>
      <c r="M1530" s="81"/>
      <c r="O1530" s="85"/>
      <c r="P1530" s="85"/>
      <c r="Q1530" s="81"/>
    </row>
    <row r="1531" spans="3:17" x14ac:dyDescent="0.3">
      <c r="C1531" s="81"/>
      <c r="F1531" s="85"/>
      <c r="G1531" s="86"/>
      <c r="H1531" s="86"/>
      <c r="I1531" s="87"/>
      <c r="J1531" s="85"/>
      <c r="K1531" s="85"/>
      <c r="M1531" s="81"/>
      <c r="O1531" s="85"/>
      <c r="P1531" s="85"/>
      <c r="Q1531" s="81"/>
    </row>
    <row r="1532" spans="3:17" x14ac:dyDescent="0.3">
      <c r="C1532" s="81"/>
      <c r="F1532" s="85"/>
      <c r="G1532" s="86"/>
      <c r="H1532" s="86"/>
      <c r="I1532" s="87"/>
      <c r="J1532" s="85"/>
      <c r="K1532" s="85"/>
      <c r="M1532" s="81"/>
      <c r="O1532" s="85"/>
      <c r="P1532" s="85"/>
      <c r="Q1532" s="81"/>
    </row>
    <row r="1533" spans="3:17" x14ac:dyDescent="0.3">
      <c r="C1533" s="81"/>
      <c r="F1533" s="85"/>
      <c r="G1533" s="86"/>
      <c r="H1533" s="86"/>
      <c r="I1533" s="87"/>
      <c r="J1533" s="85"/>
      <c r="K1533" s="85"/>
      <c r="M1533" s="81"/>
      <c r="O1533" s="85"/>
      <c r="P1533" s="85"/>
      <c r="Q1533" s="81"/>
    </row>
    <row r="1534" spans="3:17" x14ac:dyDescent="0.3">
      <c r="C1534" s="81"/>
      <c r="F1534" s="85"/>
      <c r="G1534" s="86"/>
      <c r="H1534" s="86"/>
      <c r="I1534" s="87"/>
      <c r="J1534" s="85"/>
      <c r="K1534" s="85"/>
      <c r="M1534" s="81"/>
      <c r="O1534" s="85"/>
      <c r="P1534" s="85"/>
      <c r="Q1534" s="81"/>
    </row>
    <row r="1535" spans="3:17" x14ac:dyDescent="0.3">
      <c r="C1535" s="81"/>
      <c r="F1535" s="85"/>
      <c r="G1535" s="86"/>
      <c r="H1535" s="86"/>
      <c r="I1535" s="87"/>
      <c r="J1535" s="85"/>
      <c r="K1535" s="85"/>
      <c r="M1535" s="81"/>
      <c r="O1535" s="85"/>
      <c r="P1535" s="85"/>
      <c r="Q1535" s="81"/>
    </row>
    <row r="1536" spans="3:17" x14ac:dyDescent="0.3">
      <c r="C1536" s="81"/>
      <c r="F1536" s="85"/>
      <c r="G1536" s="86"/>
      <c r="H1536" s="86"/>
      <c r="I1536" s="87"/>
      <c r="J1536" s="85"/>
      <c r="K1536" s="85"/>
      <c r="M1536" s="81"/>
      <c r="O1536" s="85"/>
      <c r="P1536" s="85"/>
      <c r="Q1536" s="81"/>
    </row>
    <row r="1537" spans="3:17" x14ac:dyDescent="0.3">
      <c r="C1537" s="81"/>
      <c r="F1537" s="85"/>
      <c r="G1537" s="86"/>
      <c r="H1537" s="86"/>
      <c r="I1537" s="87"/>
      <c r="J1537" s="85"/>
      <c r="K1537" s="85"/>
      <c r="M1537" s="81"/>
      <c r="O1537" s="85"/>
      <c r="P1537" s="85"/>
      <c r="Q1537" s="81"/>
    </row>
    <row r="1538" spans="3:17" x14ac:dyDescent="0.3">
      <c r="C1538" s="81"/>
      <c r="F1538" s="85"/>
      <c r="G1538" s="86"/>
      <c r="H1538" s="86"/>
      <c r="I1538" s="87"/>
      <c r="J1538" s="85"/>
      <c r="K1538" s="85"/>
      <c r="M1538" s="81"/>
      <c r="O1538" s="85"/>
      <c r="P1538" s="85"/>
      <c r="Q1538" s="81"/>
    </row>
    <row r="1539" spans="3:17" x14ac:dyDescent="0.3">
      <c r="C1539" s="81"/>
      <c r="F1539" s="85"/>
      <c r="G1539" s="86"/>
      <c r="H1539" s="86"/>
      <c r="I1539" s="87"/>
      <c r="J1539" s="85"/>
      <c r="K1539" s="85"/>
      <c r="M1539" s="81"/>
      <c r="O1539" s="85"/>
      <c r="P1539" s="85"/>
      <c r="Q1539" s="81"/>
    </row>
    <row r="1540" spans="3:17" x14ac:dyDescent="0.3">
      <c r="C1540" s="81"/>
      <c r="F1540" s="85"/>
      <c r="G1540" s="86"/>
      <c r="H1540" s="86"/>
      <c r="I1540" s="87"/>
      <c r="J1540" s="85"/>
      <c r="K1540" s="85"/>
      <c r="M1540" s="81"/>
      <c r="O1540" s="85"/>
      <c r="P1540" s="85"/>
      <c r="Q1540" s="81"/>
    </row>
    <row r="1541" spans="3:17" x14ac:dyDescent="0.3">
      <c r="C1541" s="81"/>
      <c r="F1541" s="85"/>
      <c r="G1541" s="86"/>
      <c r="H1541" s="86"/>
      <c r="I1541" s="87"/>
      <c r="J1541" s="85"/>
      <c r="K1541" s="85"/>
      <c r="M1541" s="81"/>
      <c r="O1541" s="85"/>
      <c r="P1541" s="85"/>
      <c r="Q1541" s="81"/>
    </row>
    <row r="1542" spans="3:17" x14ac:dyDescent="0.3">
      <c r="C1542" s="81"/>
      <c r="F1542" s="85"/>
      <c r="G1542" s="86"/>
      <c r="H1542" s="86"/>
      <c r="I1542" s="87"/>
      <c r="J1542" s="85"/>
      <c r="K1542" s="85"/>
      <c r="M1542" s="81"/>
      <c r="O1542" s="85"/>
      <c r="P1542" s="85"/>
      <c r="Q1542" s="81"/>
    </row>
    <row r="1543" spans="3:17" x14ac:dyDescent="0.3">
      <c r="C1543" s="81"/>
      <c r="F1543" s="85"/>
      <c r="G1543" s="86"/>
      <c r="H1543" s="86"/>
      <c r="I1543" s="87"/>
      <c r="J1543" s="85"/>
      <c r="K1543" s="85"/>
      <c r="M1543" s="81"/>
      <c r="O1543" s="85"/>
      <c r="P1543" s="85"/>
      <c r="Q1543" s="81"/>
    </row>
    <row r="1544" spans="3:17" x14ac:dyDescent="0.3">
      <c r="C1544" s="81"/>
      <c r="F1544" s="85"/>
      <c r="G1544" s="86"/>
      <c r="H1544" s="86"/>
      <c r="I1544" s="87"/>
      <c r="J1544" s="85"/>
      <c r="K1544" s="85"/>
      <c r="M1544" s="81"/>
      <c r="O1544" s="85"/>
      <c r="P1544" s="85"/>
      <c r="Q1544" s="81"/>
    </row>
    <row r="1545" spans="3:17" x14ac:dyDescent="0.3">
      <c r="C1545" s="81"/>
      <c r="F1545" s="85"/>
      <c r="G1545" s="86"/>
      <c r="H1545" s="86"/>
      <c r="I1545" s="87"/>
      <c r="J1545" s="85"/>
      <c r="K1545" s="85"/>
      <c r="M1545" s="81"/>
      <c r="O1545" s="85"/>
      <c r="P1545" s="85"/>
      <c r="Q1545" s="81"/>
    </row>
    <row r="1546" spans="3:17" x14ac:dyDescent="0.3">
      <c r="C1546" s="81"/>
      <c r="F1546" s="85"/>
      <c r="G1546" s="86"/>
      <c r="H1546" s="86"/>
      <c r="I1546" s="87"/>
      <c r="J1546" s="85"/>
      <c r="K1546" s="85"/>
      <c r="M1546" s="81"/>
      <c r="O1546" s="85"/>
      <c r="P1546" s="85"/>
      <c r="Q1546" s="81"/>
    </row>
    <row r="1547" spans="3:17" x14ac:dyDescent="0.3">
      <c r="C1547" s="81"/>
      <c r="F1547" s="85"/>
      <c r="G1547" s="86"/>
      <c r="H1547" s="86"/>
      <c r="I1547" s="87"/>
      <c r="J1547" s="85"/>
      <c r="K1547" s="85"/>
      <c r="M1547" s="81"/>
      <c r="O1547" s="85"/>
      <c r="P1547" s="85"/>
      <c r="Q1547" s="81"/>
    </row>
    <row r="1548" spans="3:17" x14ac:dyDescent="0.3">
      <c r="C1548" s="81"/>
      <c r="F1548" s="85"/>
      <c r="G1548" s="86"/>
      <c r="H1548" s="86"/>
      <c r="I1548" s="87"/>
      <c r="J1548" s="85"/>
      <c r="K1548" s="85"/>
      <c r="M1548" s="81"/>
      <c r="O1548" s="85"/>
      <c r="P1548" s="85"/>
      <c r="Q1548" s="81"/>
    </row>
    <row r="1549" spans="3:17" x14ac:dyDescent="0.3">
      <c r="C1549" s="81"/>
      <c r="F1549" s="85"/>
      <c r="G1549" s="86"/>
      <c r="H1549" s="86"/>
      <c r="I1549" s="87"/>
      <c r="J1549" s="85"/>
      <c r="K1549" s="85"/>
      <c r="M1549" s="81"/>
      <c r="O1549" s="85"/>
      <c r="P1549" s="85"/>
      <c r="Q1549" s="81"/>
    </row>
    <row r="1550" spans="3:17" x14ac:dyDescent="0.3">
      <c r="C1550" s="81"/>
      <c r="F1550" s="85"/>
      <c r="G1550" s="86"/>
      <c r="H1550" s="86"/>
      <c r="I1550" s="87"/>
      <c r="J1550" s="85"/>
      <c r="K1550" s="85"/>
      <c r="M1550" s="81"/>
      <c r="O1550" s="85"/>
      <c r="P1550" s="85"/>
      <c r="Q1550" s="81"/>
    </row>
    <row r="1551" spans="3:17" x14ac:dyDescent="0.3">
      <c r="C1551" s="81"/>
      <c r="F1551" s="85"/>
      <c r="G1551" s="86"/>
      <c r="H1551" s="86"/>
      <c r="I1551" s="87"/>
      <c r="J1551" s="85"/>
      <c r="K1551" s="85"/>
      <c r="M1551" s="81"/>
      <c r="O1551" s="85"/>
      <c r="P1551" s="85"/>
      <c r="Q1551" s="81"/>
    </row>
    <row r="1552" spans="3:17" x14ac:dyDescent="0.3">
      <c r="C1552" s="81"/>
      <c r="F1552" s="85"/>
      <c r="G1552" s="86"/>
      <c r="H1552" s="86"/>
      <c r="I1552" s="87"/>
      <c r="J1552" s="85"/>
      <c r="K1552" s="85"/>
      <c r="M1552" s="81"/>
      <c r="O1552" s="85"/>
      <c r="P1552" s="85"/>
      <c r="Q1552" s="81"/>
    </row>
    <row r="1553" spans="3:17" x14ac:dyDescent="0.3">
      <c r="C1553" s="81"/>
      <c r="F1553" s="85"/>
      <c r="G1553" s="86"/>
      <c r="H1553" s="86"/>
      <c r="I1553" s="87"/>
      <c r="J1553" s="85"/>
      <c r="K1553" s="85"/>
      <c r="M1553" s="81"/>
      <c r="O1553" s="85"/>
      <c r="P1553" s="85"/>
      <c r="Q1553" s="81"/>
    </row>
    <row r="1554" spans="3:17" x14ac:dyDescent="0.3">
      <c r="C1554" s="81"/>
      <c r="F1554" s="85"/>
      <c r="G1554" s="86"/>
      <c r="H1554" s="86"/>
      <c r="I1554" s="87"/>
      <c r="J1554" s="85"/>
      <c r="K1554" s="85"/>
      <c r="M1554" s="81"/>
      <c r="O1554" s="85"/>
      <c r="P1554" s="85"/>
      <c r="Q1554" s="81"/>
    </row>
    <row r="1555" spans="3:17" x14ac:dyDescent="0.3">
      <c r="C1555" s="81"/>
      <c r="F1555" s="85"/>
      <c r="G1555" s="86"/>
      <c r="H1555" s="86"/>
      <c r="I1555" s="87"/>
      <c r="J1555" s="85"/>
      <c r="K1555" s="85"/>
      <c r="M1555" s="81"/>
      <c r="O1555" s="85"/>
      <c r="P1555" s="85"/>
      <c r="Q1555" s="81"/>
    </row>
    <row r="1556" spans="3:17" x14ac:dyDescent="0.3">
      <c r="C1556" s="81"/>
      <c r="F1556" s="85"/>
      <c r="G1556" s="86"/>
      <c r="H1556" s="86"/>
      <c r="I1556" s="87"/>
      <c r="J1556" s="85"/>
      <c r="K1556" s="85"/>
      <c r="M1556" s="81"/>
      <c r="O1556" s="85"/>
      <c r="P1556" s="85"/>
      <c r="Q1556" s="81"/>
    </row>
    <row r="1557" spans="3:17" x14ac:dyDescent="0.3">
      <c r="C1557" s="81"/>
      <c r="F1557" s="85"/>
      <c r="G1557" s="86"/>
      <c r="H1557" s="86"/>
      <c r="I1557" s="87"/>
      <c r="J1557" s="85"/>
      <c r="K1557" s="85"/>
      <c r="M1557" s="81"/>
      <c r="O1557" s="85"/>
      <c r="P1557" s="85"/>
      <c r="Q1557" s="81"/>
    </row>
    <row r="1558" spans="3:17" x14ac:dyDescent="0.3">
      <c r="C1558" s="81"/>
      <c r="F1558" s="85"/>
      <c r="G1558" s="86"/>
      <c r="H1558" s="86"/>
      <c r="I1558" s="87"/>
      <c r="J1558" s="85"/>
      <c r="K1558" s="85"/>
      <c r="M1558" s="81"/>
      <c r="O1558" s="85"/>
      <c r="P1558" s="85"/>
      <c r="Q1558" s="81"/>
    </row>
    <row r="1559" spans="3:17" x14ac:dyDescent="0.3">
      <c r="C1559" s="81"/>
      <c r="F1559" s="85"/>
      <c r="G1559" s="86"/>
      <c r="H1559" s="86"/>
      <c r="I1559" s="87"/>
      <c r="J1559" s="85"/>
      <c r="K1559" s="85"/>
      <c r="M1559" s="81"/>
      <c r="O1559" s="85"/>
      <c r="P1559" s="85"/>
      <c r="Q1559" s="81"/>
    </row>
    <row r="1560" spans="3:17" x14ac:dyDescent="0.3">
      <c r="C1560" s="81"/>
      <c r="F1560" s="85"/>
      <c r="G1560" s="86"/>
      <c r="H1560" s="86"/>
      <c r="I1560" s="87"/>
      <c r="J1560" s="85"/>
      <c r="K1560" s="85"/>
      <c r="M1560" s="81"/>
      <c r="O1560" s="85"/>
      <c r="P1560" s="85"/>
      <c r="Q1560" s="81"/>
    </row>
    <row r="1561" spans="3:17" x14ac:dyDescent="0.3">
      <c r="C1561" s="81"/>
      <c r="F1561" s="85"/>
      <c r="G1561" s="86"/>
      <c r="H1561" s="86"/>
      <c r="I1561" s="87"/>
      <c r="J1561" s="85"/>
      <c r="K1561" s="85"/>
      <c r="M1561" s="81"/>
      <c r="O1561" s="85"/>
      <c r="P1561" s="85"/>
      <c r="Q1561" s="81"/>
    </row>
    <row r="1562" spans="3:17" x14ac:dyDescent="0.3">
      <c r="C1562" s="81"/>
      <c r="F1562" s="85"/>
      <c r="G1562" s="86"/>
      <c r="H1562" s="86"/>
      <c r="I1562" s="87"/>
      <c r="J1562" s="85"/>
      <c r="K1562" s="85"/>
      <c r="M1562" s="81"/>
      <c r="O1562" s="85"/>
      <c r="P1562" s="85"/>
      <c r="Q1562" s="81"/>
    </row>
    <row r="1563" spans="3:17" x14ac:dyDescent="0.3">
      <c r="C1563" s="81"/>
      <c r="F1563" s="85"/>
      <c r="G1563" s="86"/>
      <c r="H1563" s="86"/>
      <c r="I1563" s="87"/>
      <c r="J1563" s="85"/>
      <c r="K1563" s="85"/>
      <c r="M1563" s="81"/>
      <c r="O1563" s="85"/>
      <c r="P1563" s="85"/>
      <c r="Q1563" s="81"/>
    </row>
    <row r="1564" spans="3:17" x14ac:dyDescent="0.3">
      <c r="C1564" s="81"/>
      <c r="F1564" s="85"/>
      <c r="G1564" s="86"/>
      <c r="H1564" s="86"/>
      <c r="I1564" s="87"/>
      <c r="J1564" s="85"/>
      <c r="K1564" s="85"/>
      <c r="M1564" s="81"/>
      <c r="O1564" s="85"/>
      <c r="P1564" s="85"/>
      <c r="Q1564" s="81"/>
    </row>
    <row r="1565" spans="3:17" x14ac:dyDescent="0.3">
      <c r="C1565" s="81"/>
      <c r="F1565" s="85"/>
      <c r="G1565" s="86"/>
      <c r="H1565" s="86"/>
      <c r="I1565" s="87"/>
      <c r="J1565" s="85"/>
      <c r="K1565" s="85"/>
      <c r="M1565" s="81"/>
      <c r="O1565" s="85"/>
      <c r="P1565" s="85"/>
      <c r="Q1565" s="81"/>
    </row>
    <row r="1566" spans="3:17" x14ac:dyDescent="0.3">
      <c r="C1566" s="81"/>
      <c r="F1566" s="85"/>
      <c r="G1566" s="86"/>
      <c r="H1566" s="86"/>
      <c r="I1566" s="87"/>
      <c r="J1566" s="85"/>
      <c r="K1566" s="85"/>
      <c r="M1566" s="81"/>
      <c r="O1566" s="85"/>
      <c r="P1566" s="85"/>
      <c r="Q1566" s="81"/>
    </row>
    <row r="1567" spans="3:17" x14ac:dyDescent="0.3">
      <c r="C1567" s="81"/>
      <c r="F1567" s="85"/>
      <c r="G1567" s="86"/>
      <c r="H1567" s="86"/>
      <c r="I1567" s="87"/>
      <c r="J1567" s="85"/>
      <c r="K1567" s="85"/>
      <c r="M1567" s="81"/>
      <c r="O1567" s="85"/>
      <c r="P1567" s="85"/>
      <c r="Q1567" s="81"/>
    </row>
    <row r="1568" spans="3:17" x14ac:dyDescent="0.3">
      <c r="C1568" s="81"/>
      <c r="F1568" s="85"/>
      <c r="G1568" s="86"/>
      <c r="H1568" s="86"/>
      <c r="I1568" s="87"/>
      <c r="J1568" s="85"/>
      <c r="K1568" s="85"/>
      <c r="M1568" s="81"/>
      <c r="O1568" s="85"/>
      <c r="P1568" s="85"/>
      <c r="Q1568" s="81"/>
    </row>
    <row r="1569" spans="3:17" x14ac:dyDescent="0.3">
      <c r="C1569" s="81"/>
      <c r="F1569" s="85"/>
      <c r="G1569" s="86"/>
      <c r="H1569" s="86"/>
      <c r="I1569" s="87"/>
      <c r="J1569" s="85"/>
      <c r="K1569" s="85"/>
      <c r="M1569" s="81"/>
      <c r="O1569" s="85"/>
      <c r="P1569" s="85"/>
      <c r="Q1569" s="81"/>
    </row>
    <row r="1570" spans="3:17" x14ac:dyDescent="0.3">
      <c r="C1570" s="81"/>
      <c r="F1570" s="85"/>
      <c r="G1570" s="86"/>
      <c r="H1570" s="86"/>
      <c r="I1570" s="87"/>
      <c r="J1570" s="85"/>
      <c r="K1570" s="85"/>
      <c r="M1570" s="81"/>
      <c r="O1570" s="85"/>
      <c r="P1570" s="85"/>
      <c r="Q1570" s="81"/>
    </row>
    <row r="1571" spans="3:17" x14ac:dyDescent="0.3">
      <c r="C1571" s="81"/>
      <c r="F1571" s="85"/>
      <c r="G1571" s="86"/>
      <c r="H1571" s="86"/>
      <c r="I1571" s="87"/>
      <c r="J1571" s="85"/>
      <c r="K1571" s="85"/>
      <c r="M1571" s="81"/>
      <c r="O1571" s="85"/>
      <c r="P1571" s="85"/>
      <c r="Q1571" s="81"/>
    </row>
    <row r="1572" spans="3:17" x14ac:dyDescent="0.3">
      <c r="C1572" s="81"/>
      <c r="F1572" s="85"/>
      <c r="G1572" s="86"/>
      <c r="H1572" s="86"/>
      <c r="I1572" s="87"/>
      <c r="J1572" s="85"/>
      <c r="K1572" s="85"/>
      <c r="M1572" s="81"/>
      <c r="O1572" s="85"/>
      <c r="P1572" s="85"/>
      <c r="Q1572" s="81"/>
    </row>
    <row r="1573" spans="3:17" x14ac:dyDescent="0.3">
      <c r="C1573" s="81"/>
      <c r="F1573" s="85"/>
      <c r="G1573" s="86"/>
      <c r="H1573" s="86"/>
      <c r="I1573" s="87"/>
      <c r="J1573" s="85"/>
      <c r="K1573" s="85"/>
      <c r="M1573" s="81"/>
      <c r="O1573" s="85"/>
      <c r="P1573" s="85"/>
      <c r="Q1573" s="81"/>
    </row>
    <row r="1574" spans="3:17" x14ac:dyDescent="0.3">
      <c r="C1574" s="81"/>
      <c r="F1574" s="85"/>
      <c r="G1574" s="86"/>
      <c r="H1574" s="86"/>
      <c r="I1574" s="87"/>
      <c r="J1574" s="85"/>
      <c r="K1574" s="85"/>
      <c r="M1574" s="81"/>
      <c r="O1574" s="85"/>
      <c r="P1574" s="85"/>
      <c r="Q1574" s="81"/>
    </row>
    <row r="1575" spans="3:17" x14ac:dyDescent="0.3">
      <c r="C1575" s="81"/>
      <c r="F1575" s="85"/>
      <c r="G1575" s="86"/>
      <c r="H1575" s="86"/>
      <c r="I1575" s="87"/>
      <c r="J1575" s="85"/>
      <c r="K1575" s="85"/>
      <c r="M1575" s="81"/>
      <c r="O1575" s="85"/>
      <c r="P1575" s="85"/>
      <c r="Q1575" s="81"/>
    </row>
    <row r="1576" spans="3:17" x14ac:dyDescent="0.3">
      <c r="C1576" s="81"/>
      <c r="F1576" s="85"/>
      <c r="G1576" s="86"/>
      <c r="H1576" s="86"/>
      <c r="I1576" s="87"/>
      <c r="J1576" s="85"/>
      <c r="K1576" s="85"/>
      <c r="M1576" s="81"/>
      <c r="O1576" s="85"/>
      <c r="P1576" s="85"/>
      <c r="Q1576" s="81"/>
    </row>
    <row r="1577" spans="3:17" x14ac:dyDescent="0.3">
      <c r="C1577" s="81"/>
      <c r="F1577" s="85"/>
      <c r="G1577" s="86"/>
      <c r="H1577" s="86"/>
      <c r="I1577" s="87"/>
      <c r="J1577" s="85"/>
      <c r="K1577" s="85"/>
      <c r="M1577" s="81"/>
      <c r="O1577" s="85"/>
      <c r="P1577" s="85"/>
      <c r="Q1577" s="81"/>
    </row>
    <row r="1578" spans="3:17" x14ac:dyDescent="0.3">
      <c r="C1578" s="81"/>
      <c r="F1578" s="85"/>
      <c r="G1578" s="86"/>
      <c r="H1578" s="86"/>
      <c r="I1578" s="87"/>
      <c r="J1578" s="85"/>
      <c r="K1578" s="85"/>
      <c r="M1578" s="81"/>
      <c r="O1578" s="85"/>
      <c r="P1578" s="85"/>
      <c r="Q1578" s="81"/>
    </row>
    <row r="1579" spans="3:17" x14ac:dyDescent="0.3">
      <c r="C1579" s="81"/>
      <c r="F1579" s="85"/>
      <c r="G1579" s="86"/>
      <c r="H1579" s="86"/>
      <c r="I1579" s="87"/>
      <c r="J1579" s="85"/>
      <c r="K1579" s="85"/>
      <c r="M1579" s="81"/>
      <c r="O1579" s="85"/>
      <c r="P1579" s="85"/>
      <c r="Q1579" s="81"/>
    </row>
    <row r="1580" spans="3:17" x14ac:dyDescent="0.3">
      <c r="C1580" s="81"/>
      <c r="F1580" s="85"/>
      <c r="G1580" s="86"/>
      <c r="H1580" s="86"/>
      <c r="I1580" s="87"/>
      <c r="J1580" s="85"/>
      <c r="K1580" s="85"/>
      <c r="M1580" s="81"/>
      <c r="O1580" s="85"/>
      <c r="P1580" s="85"/>
      <c r="Q1580" s="81"/>
    </row>
    <row r="1581" spans="3:17" x14ac:dyDescent="0.3">
      <c r="C1581" s="81"/>
      <c r="F1581" s="85"/>
      <c r="G1581" s="86"/>
      <c r="H1581" s="86"/>
      <c r="I1581" s="87"/>
      <c r="J1581" s="85"/>
      <c r="K1581" s="85"/>
      <c r="M1581" s="81"/>
      <c r="O1581" s="85"/>
      <c r="P1581" s="85"/>
      <c r="Q1581" s="81"/>
    </row>
    <row r="1582" spans="3:17" x14ac:dyDescent="0.3">
      <c r="C1582" s="81"/>
      <c r="F1582" s="85"/>
      <c r="G1582" s="86"/>
      <c r="H1582" s="86"/>
      <c r="I1582" s="87"/>
      <c r="J1582" s="85"/>
      <c r="K1582" s="85"/>
      <c r="M1582" s="81"/>
      <c r="O1582" s="85"/>
      <c r="P1582" s="85"/>
      <c r="Q1582" s="81"/>
    </row>
    <row r="1583" spans="3:17" x14ac:dyDescent="0.3">
      <c r="C1583" s="81"/>
      <c r="F1583" s="85"/>
      <c r="G1583" s="86"/>
      <c r="H1583" s="86"/>
      <c r="I1583" s="87"/>
      <c r="J1583" s="85"/>
      <c r="K1583" s="85"/>
      <c r="M1583" s="81"/>
      <c r="O1583" s="85"/>
      <c r="P1583" s="85"/>
      <c r="Q1583" s="81"/>
    </row>
    <row r="1584" spans="3:17" x14ac:dyDescent="0.3">
      <c r="C1584" s="81"/>
      <c r="F1584" s="85"/>
      <c r="G1584" s="86"/>
      <c r="H1584" s="86"/>
      <c r="I1584" s="87"/>
      <c r="J1584" s="85"/>
      <c r="K1584" s="85"/>
      <c r="M1584" s="81"/>
      <c r="O1584" s="85"/>
      <c r="P1584" s="85"/>
      <c r="Q1584" s="81"/>
    </row>
    <row r="1585" spans="3:17" x14ac:dyDescent="0.3">
      <c r="C1585" s="81"/>
      <c r="F1585" s="85"/>
      <c r="G1585" s="86"/>
      <c r="H1585" s="86"/>
      <c r="I1585" s="87"/>
      <c r="J1585" s="85"/>
      <c r="K1585" s="85"/>
      <c r="M1585" s="81"/>
      <c r="O1585" s="85"/>
      <c r="P1585" s="85"/>
      <c r="Q1585" s="81"/>
    </row>
    <row r="1586" spans="3:17" x14ac:dyDescent="0.3">
      <c r="C1586" s="81"/>
      <c r="F1586" s="85"/>
      <c r="G1586" s="86"/>
      <c r="H1586" s="86"/>
      <c r="I1586" s="87"/>
      <c r="J1586" s="85"/>
      <c r="K1586" s="85"/>
      <c r="M1586" s="81"/>
      <c r="O1586" s="85"/>
      <c r="P1586" s="85"/>
      <c r="Q1586" s="81"/>
    </row>
    <row r="1587" spans="3:17" x14ac:dyDescent="0.3">
      <c r="C1587" s="81"/>
      <c r="F1587" s="85"/>
      <c r="G1587" s="86"/>
      <c r="H1587" s="86"/>
      <c r="I1587" s="87"/>
      <c r="J1587" s="85"/>
      <c r="K1587" s="85"/>
      <c r="M1587" s="81"/>
      <c r="O1587" s="85"/>
      <c r="P1587" s="85"/>
      <c r="Q1587" s="81"/>
    </row>
    <row r="1588" spans="3:17" x14ac:dyDescent="0.3">
      <c r="C1588" s="81"/>
      <c r="F1588" s="85"/>
      <c r="G1588" s="86"/>
      <c r="H1588" s="86"/>
      <c r="I1588" s="87"/>
      <c r="J1588" s="85"/>
      <c r="K1588" s="85"/>
      <c r="M1588" s="81"/>
      <c r="O1588" s="85"/>
      <c r="P1588" s="85"/>
      <c r="Q1588" s="81"/>
    </row>
    <row r="1589" spans="3:17" x14ac:dyDescent="0.3">
      <c r="C1589" s="81"/>
      <c r="F1589" s="85"/>
      <c r="G1589" s="86"/>
      <c r="H1589" s="86"/>
      <c r="I1589" s="87"/>
      <c r="J1589" s="85"/>
      <c r="K1589" s="85"/>
      <c r="M1589" s="81"/>
      <c r="O1589" s="85"/>
      <c r="P1589" s="85"/>
      <c r="Q1589" s="81"/>
    </row>
    <row r="1590" spans="3:17" x14ac:dyDescent="0.3">
      <c r="C1590" s="81"/>
      <c r="F1590" s="85"/>
      <c r="G1590" s="86"/>
      <c r="H1590" s="86"/>
      <c r="I1590" s="87"/>
      <c r="J1590" s="85"/>
      <c r="K1590" s="85"/>
      <c r="M1590" s="81"/>
      <c r="O1590" s="85"/>
      <c r="P1590" s="85"/>
      <c r="Q1590" s="81"/>
    </row>
    <row r="1591" spans="3:17" x14ac:dyDescent="0.3">
      <c r="C1591" s="81"/>
      <c r="F1591" s="85"/>
      <c r="G1591" s="86"/>
      <c r="H1591" s="86"/>
      <c r="I1591" s="87"/>
      <c r="J1591" s="85"/>
      <c r="K1591" s="85"/>
      <c r="M1591" s="81"/>
      <c r="O1591" s="85"/>
      <c r="P1591" s="85"/>
      <c r="Q1591" s="81"/>
    </row>
    <row r="1592" spans="3:17" x14ac:dyDescent="0.3">
      <c r="C1592" s="81"/>
      <c r="F1592" s="85"/>
      <c r="G1592" s="86"/>
      <c r="H1592" s="86"/>
      <c r="I1592" s="87"/>
      <c r="J1592" s="85"/>
      <c r="K1592" s="85"/>
      <c r="M1592" s="81"/>
      <c r="O1592" s="85"/>
      <c r="P1592" s="85"/>
      <c r="Q1592" s="81"/>
    </row>
    <row r="1593" spans="3:17" x14ac:dyDescent="0.3">
      <c r="C1593" s="81"/>
      <c r="F1593" s="85"/>
      <c r="G1593" s="86"/>
      <c r="H1593" s="86"/>
      <c r="I1593" s="87"/>
      <c r="J1593" s="85"/>
      <c r="K1593" s="85"/>
      <c r="M1593" s="81"/>
      <c r="O1593" s="85"/>
      <c r="P1593" s="85"/>
      <c r="Q1593" s="81"/>
    </row>
    <row r="1594" spans="3:17" x14ac:dyDescent="0.3">
      <c r="C1594" s="81"/>
      <c r="F1594" s="85"/>
      <c r="G1594" s="86"/>
      <c r="H1594" s="86"/>
      <c r="I1594" s="87"/>
      <c r="J1594" s="85"/>
      <c r="K1594" s="85"/>
      <c r="M1594" s="81"/>
      <c r="O1594" s="85"/>
      <c r="P1594" s="85"/>
      <c r="Q1594" s="81"/>
    </row>
    <row r="1595" spans="3:17" x14ac:dyDescent="0.3">
      <c r="C1595" s="81"/>
      <c r="F1595" s="85"/>
      <c r="G1595" s="86"/>
      <c r="H1595" s="86"/>
      <c r="I1595" s="87"/>
      <c r="J1595" s="85"/>
      <c r="K1595" s="85"/>
      <c r="M1595" s="81"/>
      <c r="O1595" s="85"/>
      <c r="P1595" s="85"/>
      <c r="Q1595" s="81"/>
    </row>
    <row r="1596" spans="3:17" x14ac:dyDescent="0.3">
      <c r="C1596" s="81"/>
      <c r="F1596" s="85"/>
      <c r="G1596" s="86"/>
      <c r="H1596" s="86"/>
      <c r="I1596" s="87"/>
      <c r="J1596" s="85"/>
      <c r="K1596" s="85"/>
      <c r="M1596" s="81"/>
      <c r="O1596" s="85"/>
      <c r="P1596" s="85"/>
      <c r="Q1596" s="81"/>
    </row>
    <row r="1597" spans="3:17" x14ac:dyDescent="0.3">
      <c r="C1597" s="81"/>
      <c r="F1597" s="85"/>
      <c r="G1597" s="86"/>
      <c r="H1597" s="86"/>
      <c r="I1597" s="87"/>
      <c r="J1597" s="85"/>
      <c r="K1597" s="85"/>
      <c r="M1597" s="81"/>
      <c r="O1597" s="85"/>
      <c r="P1597" s="85"/>
      <c r="Q1597" s="81"/>
    </row>
    <row r="1598" spans="3:17" x14ac:dyDescent="0.3">
      <c r="C1598" s="81"/>
      <c r="F1598" s="85"/>
      <c r="G1598" s="86"/>
      <c r="H1598" s="86"/>
      <c r="I1598" s="87"/>
      <c r="J1598" s="85"/>
      <c r="K1598" s="85"/>
      <c r="M1598" s="81"/>
      <c r="O1598" s="85"/>
      <c r="P1598" s="85"/>
      <c r="Q1598" s="81"/>
    </row>
    <row r="1599" spans="3:17" x14ac:dyDescent="0.3">
      <c r="C1599" s="81"/>
      <c r="F1599" s="85"/>
      <c r="G1599" s="86"/>
      <c r="H1599" s="86"/>
      <c r="I1599" s="87"/>
      <c r="J1599" s="85"/>
      <c r="K1599" s="85"/>
      <c r="M1599" s="81"/>
      <c r="O1599" s="85"/>
      <c r="P1599" s="85"/>
      <c r="Q1599" s="81"/>
    </row>
    <row r="1600" spans="3:17" x14ac:dyDescent="0.3">
      <c r="C1600" s="81"/>
      <c r="F1600" s="85"/>
      <c r="G1600" s="86"/>
      <c r="H1600" s="86"/>
      <c r="I1600" s="87"/>
      <c r="J1600" s="85"/>
      <c r="K1600" s="85"/>
      <c r="M1600" s="81"/>
      <c r="O1600" s="85"/>
      <c r="P1600" s="85"/>
      <c r="Q1600" s="81"/>
    </row>
    <row r="1601" spans="3:17" x14ac:dyDescent="0.3">
      <c r="C1601" s="81"/>
      <c r="F1601" s="85"/>
      <c r="G1601" s="86"/>
      <c r="H1601" s="86"/>
      <c r="I1601" s="87"/>
      <c r="J1601" s="85"/>
      <c r="K1601" s="85"/>
      <c r="M1601" s="81"/>
      <c r="O1601" s="85"/>
      <c r="P1601" s="85"/>
      <c r="Q1601" s="81"/>
    </row>
    <row r="1602" spans="3:17" x14ac:dyDescent="0.3">
      <c r="C1602" s="81"/>
      <c r="F1602" s="85"/>
      <c r="G1602" s="86"/>
      <c r="H1602" s="86"/>
      <c r="I1602" s="87"/>
      <c r="J1602" s="85"/>
      <c r="K1602" s="85"/>
      <c r="M1602" s="81"/>
      <c r="O1602" s="85"/>
      <c r="P1602" s="85"/>
      <c r="Q1602" s="81"/>
    </row>
    <row r="1603" spans="3:17" x14ac:dyDescent="0.3">
      <c r="C1603" s="81"/>
      <c r="F1603" s="85"/>
      <c r="G1603" s="86"/>
      <c r="H1603" s="86"/>
      <c r="I1603" s="87"/>
      <c r="J1603" s="85"/>
      <c r="K1603" s="85"/>
      <c r="M1603" s="81"/>
      <c r="O1603" s="85"/>
      <c r="P1603" s="85"/>
      <c r="Q1603" s="81"/>
    </row>
    <row r="1604" spans="3:17" x14ac:dyDescent="0.3">
      <c r="C1604" s="81"/>
      <c r="F1604" s="85"/>
      <c r="G1604" s="86"/>
      <c r="H1604" s="86"/>
      <c r="I1604" s="87"/>
      <c r="J1604" s="85"/>
      <c r="K1604" s="85"/>
      <c r="M1604" s="81"/>
      <c r="O1604" s="85"/>
      <c r="P1604" s="85"/>
      <c r="Q1604" s="81"/>
    </row>
    <row r="1605" spans="3:17" x14ac:dyDescent="0.3">
      <c r="C1605" s="81"/>
      <c r="F1605" s="85"/>
      <c r="G1605" s="86"/>
      <c r="H1605" s="86"/>
      <c r="I1605" s="87"/>
      <c r="J1605" s="85"/>
      <c r="K1605" s="85"/>
      <c r="M1605" s="81"/>
      <c r="O1605" s="85"/>
      <c r="P1605" s="85"/>
      <c r="Q1605" s="81"/>
    </row>
    <row r="1606" spans="3:17" x14ac:dyDescent="0.3">
      <c r="C1606" s="81"/>
      <c r="F1606" s="85"/>
      <c r="G1606" s="86"/>
      <c r="H1606" s="86"/>
      <c r="I1606" s="87"/>
      <c r="J1606" s="85"/>
      <c r="K1606" s="85"/>
      <c r="M1606" s="81"/>
      <c r="O1606" s="85"/>
      <c r="P1606" s="85"/>
      <c r="Q1606" s="81"/>
    </row>
    <row r="1607" spans="3:17" x14ac:dyDescent="0.3">
      <c r="C1607" s="81"/>
      <c r="F1607" s="85"/>
      <c r="G1607" s="86"/>
      <c r="H1607" s="86"/>
      <c r="I1607" s="87"/>
      <c r="J1607" s="85"/>
      <c r="K1607" s="85"/>
      <c r="M1607" s="81"/>
      <c r="O1607" s="85"/>
      <c r="P1607" s="85"/>
      <c r="Q1607" s="81"/>
    </row>
    <row r="1608" spans="3:17" x14ac:dyDescent="0.3">
      <c r="C1608" s="81"/>
      <c r="F1608" s="85"/>
      <c r="G1608" s="86"/>
      <c r="H1608" s="86"/>
      <c r="I1608" s="87"/>
      <c r="J1608" s="85"/>
      <c r="K1608" s="85"/>
      <c r="M1608" s="81"/>
      <c r="O1608" s="85"/>
      <c r="P1608" s="85"/>
      <c r="Q1608" s="81"/>
    </row>
    <row r="1609" spans="3:17" x14ac:dyDescent="0.3">
      <c r="C1609" s="81"/>
      <c r="F1609" s="85"/>
      <c r="G1609" s="86"/>
      <c r="H1609" s="86"/>
      <c r="I1609" s="87"/>
      <c r="J1609" s="85"/>
      <c r="K1609" s="85"/>
      <c r="M1609" s="81"/>
      <c r="O1609" s="85"/>
      <c r="P1609" s="85"/>
      <c r="Q1609" s="81"/>
    </row>
    <row r="1610" spans="3:17" x14ac:dyDescent="0.3">
      <c r="C1610" s="81"/>
      <c r="F1610" s="85"/>
      <c r="G1610" s="86"/>
      <c r="H1610" s="86"/>
      <c r="I1610" s="87"/>
      <c r="J1610" s="85"/>
      <c r="K1610" s="85"/>
      <c r="M1610" s="81"/>
      <c r="O1610" s="85"/>
      <c r="P1610" s="85"/>
      <c r="Q1610" s="81"/>
    </row>
    <row r="1611" spans="3:17" x14ac:dyDescent="0.3">
      <c r="C1611" s="81"/>
      <c r="F1611" s="85"/>
      <c r="G1611" s="86"/>
      <c r="H1611" s="86"/>
      <c r="I1611" s="87"/>
      <c r="J1611" s="85"/>
      <c r="K1611" s="85"/>
      <c r="M1611" s="81"/>
      <c r="O1611" s="85"/>
      <c r="P1611" s="85"/>
      <c r="Q1611" s="81"/>
    </row>
    <row r="1612" spans="3:17" x14ac:dyDescent="0.3">
      <c r="C1612" s="81"/>
      <c r="F1612" s="85"/>
      <c r="G1612" s="86"/>
      <c r="H1612" s="86"/>
      <c r="I1612" s="87"/>
      <c r="J1612" s="85"/>
      <c r="K1612" s="85"/>
      <c r="M1612" s="81"/>
      <c r="O1612" s="85"/>
      <c r="P1612" s="85"/>
      <c r="Q1612" s="81"/>
    </row>
    <row r="1613" spans="3:17" x14ac:dyDescent="0.3">
      <c r="C1613" s="81"/>
      <c r="F1613" s="85"/>
      <c r="G1613" s="86"/>
      <c r="H1613" s="86"/>
      <c r="I1613" s="87"/>
      <c r="J1613" s="85"/>
      <c r="K1613" s="85"/>
      <c r="M1613" s="81"/>
      <c r="O1613" s="85"/>
      <c r="P1613" s="85"/>
      <c r="Q1613" s="81"/>
    </row>
    <row r="1614" spans="3:17" x14ac:dyDescent="0.3">
      <c r="C1614" s="81"/>
      <c r="F1614" s="85"/>
      <c r="G1614" s="86"/>
      <c r="H1614" s="86"/>
      <c r="I1614" s="87"/>
      <c r="J1614" s="85"/>
      <c r="K1614" s="85"/>
      <c r="M1614" s="81"/>
      <c r="O1614" s="85"/>
      <c r="P1614" s="85"/>
      <c r="Q1614" s="81"/>
    </row>
    <row r="1615" spans="3:17" x14ac:dyDescent="0.3">
      <c r="C1615" s="81"/>
      <c r="F1615" s="85"/>
      <c r="G1615" s="86"/>
      <c r="H1615" s="86"/>
      <c r="I1615" s="87"/>
      <c r="J1615" s="85"/>
      <c r="K1615" s="85"/>
      <c r="M1615" s="81"/>
      <c r="O1615" s="85"/>
      <c r="P1615" s="85"/>
      <c r="Q1615" s="81"/>
    </row>
    <row r="1616" spans="3:17" x14ac:dyDescent="0.3">
      <c r="C1616" s="81"/>
      <c r="F1616" s="85"/>
      <c r="G1616" s="86"/>
      <c r="H1616" s="86"/>
      <c r="I1616" s="87"/>
      <c r="J1616" s="85"/>
      <c r="K1616" s="85"/>
      <c r="M1616" s="81"/>
      <c r="O1616" s="85"/>
      <c r="P1616" s="85"/>
      <c r="Q1616" s="81"/>
    </row>
    <row r="1617" spans="3:17" x14ac:dyDescent="0.3">
      <c r="C1617" s="81"/>
      <c r="F1617" s="85"/>
      <c r="G1617" s="86"/>
      <c r="H1617" s="86"/>
      <c r="I1617" s="87"/>
      <c r="J1617" s="85"/>
      <c r="K1617" s="85"/>
      <c r="M1617" s="81"/>
      <c r="O1617" s="85"/>
      <c r="P1617" s="85"/>
      <c r="Q1617" s="81"/>
    </row>
    <row r="1618" spans="3:17" x14ac:dyDescent="0.3">
      <c r="C1618" s="81"/>
      <c r="F1618" s="85"/>
      <c r="G1618" s="86"/>
      <c r="H1618" s="86"/>
      <c r="I1618" s="87"/>
      <c r="J1618" s="85"/>
      <c r="K1618" s="85"/>
      <c r="M1618" s="81"/>
      <c r="O1618" s="85"/>
      <c r="P1618" s="85"/>
      <c r="Q1618" s="81"/>
    </row>
    <row r="1619" spans="3:17" x14ac:dyDescent="0.3">
      <c r="C1619" s="81"/>
      <c r="F1619" s="85"/>
      <c r="G1619" s="86"/>
      <c r="H1619" s="86"/>
      <c r="I1619" s="87"/>
      <c r="J1619" s="85"/>
      <c r="K1619" s="85"/>
      <c r="M1619" s="81"/>
      <c r="O1619" s="85"/>
      <c r="P1619" s="85"/>
      <c r="Q1619" s="81"/>
    </row>
    <row r="1620" spans="3:17" x14ac:dyDescent="0.3">
      <c r="C1620" s="81"/>
      <c r="F1620" s="85"/>
      <c r="G1620" s="86"/>
      <c r="H1620" s="86"/>
      <c r="I1620" s="87"/>
      <c r="J1620" s="85"/>
      <c r="K1620" s="85"/>
      <c r="M1620" s="81"/>
      <c r="O1620" s="85"/>
      <c r="P1620" s="85"/>
      <c r="Q1620" s="81"/>
    </row>
    <row r="1621" spans="3:17" x14ac:dyDescent="0.3">
      <c r="C1621" s="81"/>
      <c r="F1621" s="85"/>
      <c r="G1621" s="86"/>
      <c r="H1621" s="86"/>
      <c r="I1621" s="87"/>
      <c r="J1621" s="85"/>
      <c r="K1621" s="85"/>
      <c r="M1621" s="81"/>
      <c r="O1621" s="85"/>
      <c r="P1621" s="85"/>
      <c r="Q1621" s="81"/>
    </row>
    <row r="1622" spans="3:17" x14ac:dyDescent="0.3">
      <c r="C1622" s="81"/>
      <c r="F1622" s="85"/>
      <c r="G1622" s="86"/>
      <c r="H1622" s="86"/>
      <c r="I1622" s="87"/>
      <c r="J1622" s="85"/>
      <c r="K1622" s="85"/>
      <c r="M1622" s="81"/>
      <c r="O1622" s="85"/>
      <c r="P1622" s="85"/>
      <c r="Q1622" s="81"/>
    </row>
    <row r="1623" spans="3:17" x14ac:dyDescent="0.3">
      <c r="C1623" s="81"/>
      <c r="F1623" s="85"/>
      <c r="G1623" s="86"/>
      <c r="H1623" s="86"/>
      <c r="I1623" s="87"/>
      <c r="J1623" s="85"/>
      <c r="K1623" s="85"/>
      <c r="M1623" s="81"/>
      <c r="O1623" s="85"/>
      <c r="P1623" s="85"/>
      <c r="Q1623" s="81"/>
    </row>
    <row r="1624" spans="3:17" x14ac:dyDescent="0.3">
      <c r="C1624" s="81"/>
      <c r="F1624" s="85"/>
      <c r="G1624" s="86"/>
      <c r="H1624" s="86"/>
      <c r="I1624" s="87"/>
      <c r="J1624" s="85"/>
      <c r="K1624" s="85"/>
      <c r="M1624" s="81"/>
      <c r="O1624" s="85"/>
      <c r="P1624" s="85"/>
      <c r="Q1624" s="81"/>
    </row>
    <row r="1625" spans="3:17" x14ac:dyDescent="0.3">
      <c r="C1625" s="81"/>
      <c r="F1625" s="85"/>
      <c r="G1625" s="86"/>
      <c r="H1625" s="86"/>
      <c r="I1625" s="87"/>
      <c r="J1625" s="85"/>
      <c r="K1625" s="85"/>
      <c r="M1625" s="81"/>
      <c r="O1625" s="85"/>
      <c r="P1625" s="85"/>
      <c r="Q1625" s="81"/>
    </row>
    <row r="1626" spans="3:17" x14ac:dyDescent="0.3">
      <c r="C1626" s="81"/>
      <c r="F1626" s="85"/>
      <c r="G1626" s="86"/>
      <c r="H1626" s="86"/>
      <c r="I1626" s="87"/>
      <c r="J1626" s="85"/>
      <c r="K1626" s="85"/>
      <c r="M1626" s="81"/>
      <c r="O1626" s="85"/>
      <c r="P1626" s="85"/>
      <c r="Q1626" s="81"/>
    </row>
    <row r="1627" spans="3:17" x14ac:dyDescent="0.3">
      <c r="C1627" s="81"/>
      <c r="F1627" s="85"/>
      <c r="G1627" s="86"/>
      <c r="H1627" s="86"/>
      <c r="I1627" s="87"/>
      <c r="J1627" s="85"/>
      <c r="K1627" s="85"/>
      <c r="M1627" s="81"/>
      <c r="O1627" s="85"/>
      <c r="P1627" s="85"/>
      <c r="Q1627" s="81"/>
    </row>
    <row r="1628" spans="3:17" x14ac:dyDescent="0.3">
      <c r="C1628" s="81"/>
      <c r="F1628" s="85"/>
      <c r="G1628" s="86"/>
      <c r="H1628" s="86"/>
      <c r="I1628" s="87"/>
      <c r="J1628" s="85"/>
      <c r="K1628" s="85"/>
      <c r="M1628" s="81"/>
      <c r="O1628" s="85"/>
      <c r="P1628" s="85"/>
      <c r="Q1628" s="81"/>
    </row>
    <row r="1629" spans="3:17" x14ac:dyDescent="0.3">
      <c r="C1629" s="81"/>
      <c r="F1629" s="85"/>
      <c r="G1629" s="86"/>
      <c r="H1629" s="86"/>
      <c r="I1629" s="87"/>
      <c r="J1629" s="85"/>
      <c r="K1629" s="85"/>
      <c r="M1629" s="81"/>
      <c r="O1629" s="85"/>
      <c r="P1629" s="85"/>
      <c r="Q1629" s="81"/>
    </row>
    <row r="1630" spans="3:17" x14ac:dyDescent="0.3">
      <c r="C1630" s="81"/>
      <c r="F1630" s="85"/>
      <c r="G1630" s="86"/>
      <c r="H1630" s="86"/>
      <c r="I1630" s="87"/>
      <c r="J1630" s="85"/>
      <c r="K1630" s="85"/>
      <c r="M1630" s="81"/>
      <c r="O1630" s="85"/>
      <c r="P1630" s="85"/>
      <c r="Q1630" s="81"/>
    </row>
    <row r="1631" spans="3:17" x14ac:dyDescent="0.3">
      <c r="C1631" s="81"/>
      <c r="F1631" s="85"/>
      <c r="G1631" s="86"/>
      <c r="H1631" s="86"/>
      <c r="I1631" s="87"/>
      <c r="J1631" s="85"/>
      <c r="K1631" s="85"/>
      <c r="M1631" s="81"/>
      <c r="O1631" s="85"/>
      <c r="P1631" s="85"/>
      <c r="Q1631" s="81"/>
    </row>
    <row r="1632" spans="3:17" x14ac:dyDescent="0.3">
      <c r="C1632" s="81"/>
      <c r="F1632" s="85"/>
      <c r="G1632" s="86"/>
      <c r="H1632" s="86"/>
      <c r="I1632" s="87"/>
      <c r="J1632" s="85"/>
      <c r="K1632" s="85"/>
      <c r="M1632" s="81"/>
      <c r="O1632" s="85"/>
      <c r="P1632" s="85"/>
      <c r="Q1632" s="81"/>
    </row>
    <row r="1633" spans="3:17" x14ac:dyDescent="0.3">
      <c r="C1633" s="81"/>
      <c r="F1633" s="85"/>
      <c r="G1633" s="86"/>
      <c r="H1633" s="86"/>
      <c r="I1633" s="87"/>
      <c r="J1633" s="85"/>
      <c r="K1633" s="85"/>
      <c r="M1633" s="81"/>
      <c r="O1633" s="85"/>
      <c r="P1633" s="85"/>
      <c r="Q1633" s="81"/>
    </row>
    <row r="1634" spans="3:17" x14ac:dyDescent="0.3">
      <c r="C1634" s="81"/>
      <c r="F1634" s="85"/>
      <c r="G1634" s="86"/>
      <c r="H1634" s="86"/>
      <c r="I1634" s="87"/>
      <c r="J1634" s="85"/>
      <c r="K1634" s="85"/>
      <c r="M1634" s="81"/>
      <c r="O1634" s="85"/>
      <c r="P1634" s="85"/>
      <c r="Q1634" s="81"/>
    </row>
    <row r="1635" spans="3:17" x14ac:dyDescent="0.3">
      <c r="C1635" s="81"/>
      <c r="F1635" s="85"/>
      <c r="G1635" s="86"/>
      <c r="H1635" s="86"/>
      <c r="I1635" s="87"/>
      <c r="J1635" s="85"/>
      <c r="K1635" s="85"/>
      <c r="M1635" s="81"/>
      <c r="O1635" s="85"/>
      <c r="P1635" s="85"/>
      <c r="Q1635" s="81"/>
    </row>
    <row r="1636" spans="3:17" x14ac:dyDescent="0.3">
      <c r="C1636" s="81"/>
      <c r="F1636" s="85"/>
      <c r="G1636" s="86"/>
      <c r="H1636" s="86"/>
      <c r="I1636" s="87"/>
      <c r="J1636" s="85"/>
      <c r="K1636" s="85"/>
      <c r="M1636" s="81"/>
      <c r="O1636" s="85"/>
      <c r="P1636" s="85"/>
      <c r="Q1636" s="81"/>
    </row>
    <row r="1637" spans="3:17" x14ac:dyDescent="0.3">
      <c r="C1637" s="81"/>
      <c r="F1637" s="85"/>
      <c r="G1637" s="86"/>
      <c r="H1637" s="86"/>
      <c r="I1637" s="87"/>
      <c r="J1637" s="85"/>
      <c r="K1637" s="85"/>
      <c r="M1637" s="81"/>
      <c r="O1637" s="85"/>
      <c r="P1637" s="85"/>
      <c r="Q1637" s="81"/>
    </row>
    <row r="1638" spans="3:17" x14ac:dyDescent="0.3">
      <c r="C1638" s="81"/>
      <c r="F1638" s="85"/>
      <c r="G1638" s="86"/>
      <c r="H1638" s="86"/>
      <c r="I1638" s="87"/>
      <c r="J1638" s="85"/>
      <c r="K1638" s="85"/>
      <c r="M1638" s="81"/>
      <c r="O1638" s="85"/>
      <c r="P1638" s="85"/>
      <c r="Q1638" s="81"/>
    </row>
    <row r="1639" spans="3:17" x14ac:dyDescent="0.3">
      <c r="C1639" s="81"/>
      <c r="F1639" s="85"/>
      <c r="G1639" s="86"/>
      <c r="H1639" s="86"/>
      <c r="I1639" s="87"/>
      <c r="J1639" s="85"/>
      <c r="K1639" s="85"/>
      <c r="M1639" s="81"/>
      <c r="O1639" s="85"/>
      <c r="P1639" s="85"/>
      <c r="Q1639" s="81"/>
    </row>
    <row r="1640" spans="3:17" x14ac:dyDescent="0.3">
      <c r="C1640" s="81"/>
      <c r="F1640" s="85"/>
      <c r="G1640" s="86"/>
      <c r="H1640" s="86"/>
      <c r="I1640" s="87"/>
      <c r="J1640" s="85"/>
      <c r="K1640" s="85"/>
      <c r="M1640" s="81"/>
      <c r="O1640" s="85"/>
      <c r="P1640" s="85"/>
      <c r="Q1640" s="81"/>
    </row>
    <row r="1641" spans="3:17" x14ac:dyDescent="0.3">
      <c r="C1641" s="81"/>
      <c r="F1641" s="85"/>
      <c r="G1641" s="86"/>
      <c r="H1641" s="86"/>
      <c r="I1641" s="87"/>
      <c r="J1641" s="85"/>
      <c r="K1641" s="85"/>
      <c r="M1641" s="81"/>
      <c r="O1641" s="85"/>
      <c r="P1641" s="85"/>
      <c r="Q1641" s="81"/>
    </row>
    <row r="1642" spans="3:17" x14ac:dyDescent="0.3">
      <c r="C1642" s="81"/>
      <c r="F1642" s="85"/>
      <c r="G1642" s="86"/>
      <c r="H1642" s="86"/>
      <c r="I1642" s="87"/>
      <c r="J1642" s="85"/>
      <c r="K1642" s="85"/>
      <c r="M1642" s="81"/>
      <c r="O1642" s="85"/>
      <c r="P1642" s="85"/>
      <c r="Q1642" s="81"/>
    </row>
    <row r="1643" spans="3:17" x14ac:dyDescent="0.3">
      <c r="C1643" s="81"/>
      <c r="F1643" s="85"/>
      <c r="G1643" s="86"/>
      <c r="H1643" s="86"/>
      <c r="I1643" s="87"/>
      <c r="J1643" s="85"/>
      <c r="K1643" s="85"/>
      <c r="M1643" s="81"/>
      <c r="O1643" s="85"/>
      <c r="P1643" s="85"/>
      <c r="Q1643" s="81"/>
    </row>
    <row r="1644" spans="3:17" x14ac:dyDescent="0.3">
      <c r="C1644" s="81"/>
      <c r="F1644" s="85"/>
      <c r="G1644" s="86"/>
      <c r="H1644" s="86"/>
      <c r="I1644" s="87"/>
      <c r="J1644" s="85"/>
      <c r="K1644" s="85"/>
      <c r="M1644" s="81"/>
      <c r="O1644" s="85"/>
      <c r="P1644" s="85"/>
      <c r="Q1644" s="81"/>
    </row>
    <row r="1645" spans="3:17" x14ac:dyDescent="0.3">
      <c r="C1645" s="81"/>
      <c r="F1645" s="85"/>
      <c r="G1645" s="86"/>
      <c r="H1645" s="86"/>
      <c r="I1645" s="87"/>
      <c r="J1645" s="85"/>
      <c r="K1645" s="85"/>
      <c r="M1645" s="81"/>
      <c r="O1645" s="85"/>
      <c r="P1645" s="85"/>
      <c r="Q1645" s="81"/>
    </row>
    <row r="1646" spans="3:17" x14ac:dyDescent="0.3">
      <c r="C1646" s="81"/>
      <c r="F1646" s="85"/>
      <c r="G1646" s="86"/>
      <c r="H1646" s="86"/>
      <c r="I1646" s="87"/>
      <c r="J1646" s="85"/>
      <c r="K1646" s="85"/>
      <c r="M1646" s="81"/>
      <c r="O1646" s="85"/>
      <c r="P1646" s="85"/>
      <c r="Q1646" s="81"/>
    </row>
    <row r="1647" spans="3:17" x14ac:dyDescent="0.3">
      <c r="C1647" s="81"/>
      <c r="F1647" s="85"/>
      <c r="G1647" s="86"/>
      <c r="H1647" s="86"/>
      <c r="I1647" s="87"/>
      <c r="J1647" s="85"/>
      <c r="K1647" s="85"/>
      <c r="M1647" s="81"/>
      <c r="O1647" s="85"/>
      <c r="P1647" s="85"/>
      <c r="Q1647" s="81"/>
    </row>
    <row r="1648" spans="3:17" x14ac:dyDescent="0.3">
      <c r="C1648" s="81"/>
      <c r="F1648" s="85"/>
      <c r="G1648" s="86"/>
      <c r="H1648" s="86"/>
      <c r="I1648" s="87"/>
      <c r="J1648" s="85"/>
      <c r="K1648" s="85"/>
      <c r="M1648" s="81"/>
      <c r="O1648" s="85"/>
      <c r="P1648" s="85"/>
      <c r="Q1648" s="81"/>
    </row>
    <row r="1649" spans="3:17" x14ac:dyDescent="0.3">
      <c r="C1649" s="81"/>
      <c r="F1649" s="85"/>
      <c r="G1649" s="86"/>
      <c r="H1649" s="86"/>
      <c r="I1649" s="87"/>
      <c r="J1649" s="85"/>
      <c r="K1649" s="85"/>
      <c r="M1649" s="81"/>
      <c r="O1649" s="85"/>
      <c r="P1649" s="85"/>
      <c r="Q1649" s="81"/>
    </row>
    <row r="1650" spans="3:17" x14ac:dyDescent="0.3">
      <c r="C1650" s="81"/>
      <c r="F1650" s="85"/>
      <c r="G1650" s="86"/>
      <c r="H1650" s="86"/>
      <c r="I1650" s="87"/>
      <c r="J1650" s="85"/>
      <c r="K1650" s="85"/>
      <c r="M1650" s="81"/>
      <c r="O1650" s="85"/>
      <c r="P1650" s="85"/>
      <c r="Q1650" s="81"/>
    </row>
    <row r="1651" spans="3:17" x14ac:dyDescent="0.3">
      <c r="C1651" s="81"/>
      <c r="F1651" s="85"/>
      <c r="G1651" s="86"/>
      <c r="H1651" s="86"/>
      <c r="I1651" s="87"/>
      <c r="J1651" s="85"/>
      <c r="K1651" s="85"/>
      <c r="M1651" s="81"/>
      <c r="O1651" s="85"/>
      <c r="P1651" s="85"/>
      <c r="Q1651" s="81"/>
    </row>
    <row r="1652" spans="3:17" x14ac:dyDescent="0.3">
      <c r="C1652" s="81"/>
      <c r="F1652" s="85"/>
      <c r="G1652" s="86"/>
      <c r="H1652" s="86"/>
      <c r="I1652" s="87"/>
      <c r="J1652" s="85"/>
      <c r="K1652" s="85"/>
      <c r="M1652" s="81"/>
      <c r="O1652" s="85"/>
      <c r="P1652" s="85"/>
      <c r="Q1652" s="81"/>
    </row>
    <row r="1653" spans="3:17" x14ac:dyDescent="0.3">
      <c r="C1653" s="81"/>
      <c r="F1653" s="85"/>
      <c r="G1653" s="86"/>
      <c r="H1653" s="86"/>
      <c r="I1653" s="87"/>
      <c r="J1653" s="85"/>
      <c r="K1653" s="85"/>
      <c r="M1653" s="81"/>
      <c r="O1653" s="85"/>
      <c r="P1653" s="85"/>
      <c r="Q1653" s="81"/>
    </row>
    <row r="1654" spans="3:17" x14ac:dyDescent="0.3">
      <c r="C1654" s="81"/>
      <c r="F1654" s="85"/>
      <c r="G1654" s="86"/>
      <c r="H1654" s="86"/>
      <c r="I1654" s="87"/>
      <c r="J1654" s="85"/>
      <c r="K1654" s="85"/>
      <c r="M1654" s="81"/>
      <c r="O1654" s="85"/>
      <c r="P1654" s="85"/>
      <c r="Q1654" s="81"/>
    </row>
    <row r="1655" spans="3:17" x14ac:dyDescent="0.3">
      <c r="C1655" s="81"/>
      <c r="F1655" s="85"/>
      <c r="G1655" s="86"/>
      <c r="H1655" s="86"/>
      <c r="I1655" s="87"/>
      <c r="J1655" s="85"/>
      <c r="K1655" s="85"/>
      <c r="M1655" s="81"/>
      <c r="O1655" s="85"/>
      <c r="P1655" s="85"/>
      <c r="Q1655" s="81"/>
    </row>
    <row r="1656" spans="3:17" x14ac:dyDescent="0.3">
      <c r="C1656" s="81"/>
      <c r="F1656" s="85"/>
      <c r="G1656" s="86"/>
      <c r="H1656" s="86"/>
      <c r="I1656" s="87"/>
      <c r="J1656" s="85"/>
      <c r="K1656" s="85"/>
      <c r="M1656" s="81"/>
      <c r="O1656" s="85"/>
      <c r="P1656" s="85"/>
      <c r="Q1656" s="81"/>
    </row>
    <row r="1657" spans="3:17" x14ac:dyDescent="0.3">
      <c r="C1657" s="81"/>
      <c r="F1657" s="85"/>
      <c r="G1657" s="86"/>
      <c r="H1657" s="86"/>
      <c r="I1657" s="87"/>
      <c r="J1657" s="85"/>
      <c r="K1657" s="85"/>
      <c r="M1657" s="81"/>
      <c r="O1657" s="85"/>
      <c r="P1657" s="85"/>
      <c r="Q1657" s="81"/>
    </row>
    <row r="1658" spans="3:17" x14ac:dyDescent="0.3">
      <c r="C1658" s="81"/>
      <c r="F1658" s="85"/>
      <c r="G1658" s="86"/>
      <c r="H1658" s="86"/>
      <c r="I1658" s="87"/>
      <c r="J1658" s="85"/>
      <c r="K1658" s="85"/>
      <c r="M1658" s="81"/>
      <c r="O1658" s="85"/>
      <c r="P1658" s="85"/>
      <c r="Q1658" s="81"/>
    </row>
    <row r="1659" spans="3:17" x14ac:dyDescent="0.3">
      <c r="C1659" s="81"/>
      <c r="F1659" s="85"/>
      <c r="G1659" s="86"/>
      <c r="H1659" s="86"/>
      <c r="I1659" s="87"/>
      <c r="J1659" s="85"/>
      <c r="K1659" s="85"/>
      <c r="M1659" s="81"/>
      <c r="O1659" s="85"/>
      <c r="P1659" s="85"/>
      <c r="Q1659" s="81"/>
    </row>
    <row r="1660" spans="3:17" x14ac:dyDescent="0.3">
      <c r="C1660" s="81"/>
      <c r="F1660" s="85"/>
      <c r="G1660" s="86"/>
      <c r="H1660" s="86"/>
      <c r="I1660" s="87"/>
      <c r="J1660" s="85"/>
      <c r="K1660" s="85"/>
      <c r="M1660" s="81"/>
      <c r="O1660" s="85"/>
      <c r="P1660" s="85"/>
      <c r="Q1660" s="81"/>
    </row>
    <row r="1661" spans="3:17" x14ac:dyDescent="0.3">
      <c r="C1661" s="81"/>
      <c r="F1661" s="85"/>
      <c r="G1661" s="86"/>
      <c r="H1661" s="86"/>
      <c r="I1661" s="87"/>
      <c r="J1661" s="85"/>
      <c r="K1661" s="85"/>
      <c r="M1661" s="81"/>
      <c r="O1661" s="85"/>
      <c r="P1661" s="85"/>
      <c r="Q1661" s="81"/>
    </row>
    <row r="1662" spans="3:17" x14ac:dyDescent="0.3">
      <c r="C1662" s="81"/>
      <c r="F1662" s="85"/>
      <c r="G1662" s="86"/>
      <c r="H1662" s="86"/>
      <c r="I1662" s="87"/>
      <c r="J1662" s="85"/>
      <c r="K1662" s="85"/>
      <c r="M1662" s="81"/>
      <c r="O1662" s="85"/>
      <c r="P1662" s="85"/>
      <c r="Q1662" s="81"/>
    </row>
    <row r="1663" spans="3:17" x14ac:dyDescent="0.3">
      <c r="C1663" s="81"/>
      <c r="F1663" s="85"/>
      <c r="G1663" s="86"/>
      <c r="H1663" s="86"/>
      <c r="I1663" s="87"/>
      <c r="J1663" s="85"/>
      <c r="K1663" s="85"/>
      <c r="M1663" s="81"/>
      <c r="O1663" s="85"/>
      <c r="P1663" s="85"/>
      <c r="Q1663" s="81"/>
    </row>
    <row r="1664" spans="3:17" x14ac:dyDescent="0.3">
      <c r="C1664" s="81"/>
      <c r="F1664" s="85"/>
      <c r="G1664" s="86"/>
      <c r="H1664" s="86"/>
      <c r="I1664" s="87"/>
      <c r="J1664" s="85"/>
      <c r="K1664" s="85"/>
      <c r="M1664" s="81"/>
      <c r="O1664" s="85"/>
      <c r="P1664" s="85"/>
      <c r="Q1664" s="81"/>
    </row>
    <row r="1665" spans="3:17" x14ac:dyDescent="0.3">
      <c r="C1665" s="81"/>
      <c r="F1665" s="85"/>
      <c r="G1665" s="86"/>
      <c r="H1665" s="86"/>
      <c r="I1665" s="87"/>
      <c r="J1665" s="85"/>
      <c r="K1665" s="85"/>
      <c r="M1665" s="81"/>
      <c r="O1665" s="85"/>
      <c r="P1665" s="85"/>
      <c r="Q1665" s="81"/>
    </row>
    <row r="1666" spans="3:17" x14ac:dyDescent="0.3">
      <c r="C1666" s="81"/>
      <c r="F1666" s="85"/>
      <c r="G1666" s="86"/>
      <c r="H1666" s="86"/>
      <c r="I1666" s="87"/>
      <c r="J1666" s="85"/>
      <c r="K1666" s="85"/>
      <c r="M1666" s="81"/>
      <c r="O1666" s="85"/>
      <c r="P1666" s="85"/>
      <c r="Q1666" s="81"/>
    </row>
    <row r="1667" spans="3:17" x14ac:dyDescent="0.3">
      <c r="C1667" s="81"/>
      <c r="F1667" s="85"/>
      <c r="G1667" s="86"/>
      <c r="H1667" s="86"/>
      <c r="I1667" s="87"/>
      <c r="J1667" s="85"/>
      <c r="K1667" s="85"/>
      <c r="M1667" s="81"/>
      <c r="O1667" s="85"/>
      <c r="P1667" s="85"/>
      <c r="Q1667" s="81"/>
    </row>
    <row r="1668" spans="3:17" x14ac:dyDescent="0.3">
      <c r="C1668" s="81"/>
      <c r="F1668" s="85"/>
      <c r="G1668" s="86"/>
      <c r="H1668" s="86"/>
      <c r="I1668" s="87"/>
      <c r="J1668" s="85"/>
      <c r="K1668" s="85"/>
      <c r="M1668" s="81"/>
      <c r="O1668" s="85"/>
      <c r="P1668" s="85"/>
      <c r="Q1668" s="81"/>
    </row>
    <row r="1669" spans="3:17" x14ac:dyDescent="0.3">
      <c r="C1669" s="81"/>
      <c r="F1669" s="85"/>
      <c r="G1669" s="86"/>
      <c r="H1669" s="86"/>
      <c r="I1669" s="87"/>
      <c r="J1669" s="85"/>
      <c r="K1669" s="85"/>
      <c r="M1669" s="81"/>
      <c r="O1669" s="85"/>
      <c r="P1669" s="85"/>
      <c r="Q1669" s="81"/>
    </row>
    <row r="1670" spans="3:17" x14ac:dyDescent="0.3">
      <c r="C1670" s="81"/>
      <c r="F1670" s="85"/>
      <c r="G1670" s="86"/>
      <c r="H1670" s="86"/>
      <c r="I1670" s="87"/>
      <c r="J1670" s="85"/>
      <c r="K1670" s="85"/>
      <c r="M1670" s="81"/>
      <c r="O1670" s="85"/>
      <c r="P1670" s="85"/>
      <c r="Q1670" s="81"/>
    </row>
    <row r="1671" spans="3:17" x14ac:dyDescent="0.3">
      <c r="C1671" s="81"/>
      <c r="F1671" s="85"/>
      <c r="G1671" s="86"/>
      <c r="H1671" s="86"/>
      <c r="I1671" s="87"/>
      <c r="J1671" s="85"/>
      <c r="K1671" s="85"/>
      <c r="M1671" s="81"/>
      <c r="O1671" s="85"/>
      <c r="P1671" s="85"/>
      <c r="Q1671" s="81"/>
    </row>
    <row r="1672" spans="3:17" x14ac:dyDescent="0.3">
      <c r="C1672" s="81"/>
      <c r="F1672" s="85"/>
      <c r="G1672" s="86"/>
      <c r="H1672" s="86"/>
      <c r="I1672" s="87"/>
      <c r="J1672" s="85"/>
      <c r="K1672" s="85"/>
      <c r="M1672" s="81"/>
      <c r="O1672" s="85"/>
      <c r="P1672" s="85"/>
      <c r="Q1672" s="81"/>
    </row>
    <row r="1673" spans="3:17" x14ac:dyDescent="0.3">
      <c r="C1673" s="81"/>
      <c r="F1673" s="85"/>
      <c r="G1673" s="86"/>
      <c r="H1673" s="86"/>
      <c r="I1673" s="87"/>
      <c r="J1673" s="85"/>
      <c r="K1673" s="85"/>
      <c r="M1673" s="81"/>
      <c r="O1673" s="85"/>
      <c r="P1673" s="85"/>
      <c r="Q1673" s="81"/>
    </row>
    <row r="1674" spans="3:17" x14ac:dyDescent="0.3">
      <c r="C1674" s="81"/>
      <c r="F1674" s="85"/>
      <c r="G1674" s="86"/>
      <c r="H1674" s="86"/>
      <c r="I1674" s="87"/>
      <c r="J1674" s="85"/>
      <c r="K1674" s="85"/>
      <c r="M1674" s="81"/>
      <c r="O1674" s="85"/>
      <c r="P1674" s="85"/>
      <c r="Q1674" s="81"/>
    </row>
    <row r="1675" spans="3:17" x14ac:dyDescent="0.3">
      <c r="C1675" s="81"/>
      <c r="F1675" s="85"/>
      <c r="G1675" s="86"/>
      <c r="H1675" s="86"/>
      <c r="I1675" s="87"/>
      <c r="J1675" s="85"/>
      <c r="K1675" s="85"/>
      <c r="M1675" s="81"/>
      <c r="O1675" s="85"/>
      <c r="P1675" s="85"/>
      <c r="Q1675" s="81"/>
    </row>
    <row r="1676" spans="3:17" x14ac:dyDescent="0.3">
      <c r="C1676" s="81"/>
      <c r="F1676" s="85"/>
      <c r="G1676" s="86"/>
      <c r="H1676" s="86"/>
      <c r="I1676" s="87"/>
      <c r="J1676" s="85"/>
      <c r="K1676" s="85"/>
      <c r="M1676" s="81"/>
      <c r="O1676" s="85"/>
      <c r="P1676" s="85"/>
      <c r="Q1676" s="81"/>
    </row>
    <row r="1677" spans="3:17" x14ac:dyDescent="0.3">
      <c r="C1677" s="81"/>
      <c r="F1677" s="85"/>
      <c r="G1677" s="86"/>
      <c r="H1677" s="86"/>
      <c r="I1677" s="87"/>
      <c r="J1677" s="85"/>
      <c r="K1677" s="85"/>
      <c r="M1677" s="81"/>
      <c r="O1677" s="85"/>
      <c r="P1677" s="85"/>
      <c r="Q1677" s="81"/>
    </row>
    <row r="1678" spans="3:17" x14ac:dyDescent="0.3">
      <c r="C1678" s="81"/>
      <c r="F1678" s="85"/>
      <c r="G1678" s="86"/>
      <c r="H1678" s="86"/>
      <c r="I1678" s="87"/>
      <c r="J1678" s="85"/>
      <c r="K1678" s="85"/>
      <c r="M1678" s="81"/>
      <c r="O1678" s="85"/>
      <c r="P1678" s="85"/>
      <c r="Q1678" s="81"/>
    </row>
    <row r="1679" spans="3:17" x14ac:dyDescent="0.3">
      <c r="C1679" s="81"/>
      <c r="F1679" s="85"/>
      <c r="G1679" s="86"/>
      <c r="H1679" s="86"/>
      <c r="I1679" s="87"/>
      <c r="J1679" s="85"/>
      <c r="K1679" s="85"/>
      <c r="M1679" s="81"/>
      <c r="O1679" s="85"/>
      <c r="P1679" s="85"/>
      <c r="Q1679" s="81"/>
    </row>
    <row r="1680" spans="3:17" x14ac:dyDescent="0.3">
      <c r="C1680" s="81"/>
      <c r="F1680" s="85"/>
      <c r="G1680" s="86"/>
      <c r="H1680" s="86"/>
      <c r="I1680" s="87"/>
      <c r="J1680" s="85"/>
      <c r="K1680" s="85"/>
      <c r="M1680" s="81"/>
      <c r="O1680" s="85"/>
      <c r="P1680" s="85"/>
      <c r="Q1680" s="81"/>
    </row>
    <row r="1681" spans="3:17" x14ac:dyDescent="0.3">
      <c r="C1681" s="81"/>
      <c r="F1681" s="85"/>
      <c r="G1681" s="86"/>
      <c r="H1681" s="86"/>
      <c r="I1681" s="87"/>
      <c r="J1681" s="85"/>
      <c r="K1681" s="85"/>
      <c r="M1681" s="81"/>
      <c r="O1681" s="85"/>
      <c r="P1681" s="85"/>
      <c r="Q1681" s="81"/>
    </row>
    <row r="1682" spans="3:17" x14ac:dyDescent="0.3">
      <c r="C1682" s="81"/>
      <c r="F1682" s="85"/>
      <c r="G1682" s="86"/>
      <c r="H1682" s="86"/>
      <c r="I1682" s="87"/>
      <c r="J1682" s="85"/>
      <c r="K1682" s="85"/>
      <c r="M1682" s="81"/>
      <c r="O1682" s="85"/>
      <c r="P1682" s="85"/>
      <c r="Q1682" s="81"/>
    </row>
    <row r="1683" spans="3:17" x14ac:dyDescent="0.3">
      <c r="C1683" s="81"/>
      <c r="F1683" s="85"/>
      <c r="G1683" s="86"/>
      <c r="H1683" s="86"/>
      <c r="I1683" s="87"/>
      <c r="J1683" s="85"/>
      <c r="K1683" s="85"/>
      <c r="M1683" s="81"/>
      <c r="O1683" s="85"/>
      <c r="P1683" s="85"/>
      <c r="Q1683" s="81"/>
    </row>
    <row r="1684" spans="3:17" x14ac:dyDescent="0.3">
      <c r="C1684" s="81"/>
      <c r="F1684" s="85"/>
      <c r="G1684" s="86"/>
      <c r="H1684" s="86"/>
      <c r="I1684" s="87"/>
      <c r="J1684" s="85"/>
      <c r="K1684" s="85"/>
      <c r="M1684" s="81"/>
      <c r="O1684" s="85"/>
      <c r="P1684" s="85"/>
      <c r="Q1684" s="81"/>
    </row>
    <row r="1685" spans="3:17" x14ac:dyDescent="0.3">
      <c r="C1685" s="81"/>
      <c r="F1685" s="85"/>
      <c r="G1685" s="86"/>
      <c r="H1685" s="86"/>
      <c r="I1685" s="87"/>
      <c r="J1685" s="85"/>
      <c r="K1685" s="85"/>
      <c r="M1685" s="81"/>
      <c r="O1685" s="85"/>
      <c r="P1685" s="85"/>
      <c r="Q1685" s="81"/>
    </row>
    <row r="1686" spans="3:17" x14ac:dyDescent="0.3">
      <c r="C1686" s="81"/>
      <c r="F1686" s="85"/>
      <c r="G1686" s="86"/>
      <c r="H1686" s="86"/>
      <c r="I1686" s="87"/>
      <c r="J1686" s="85"/>
      <c r="K1686" s="85"/>
      <c r="M1686" s="81"/>
      <c r="O1686" s="85"/>
      <c r="P1686" s="85"/>
      <c r="Q1686" s="81"/>
    </row>
    <row r="1687" spans="3:17" x14ac:dyDescent="0.3">
      <c r="C1687" s="81"/>
      <c r="F1687" s="85"/>
      <c r="G1687" s="86"/>
      <c r="H1687" s="86"/>
      <c r="I1687" s="87"/>
      <c r="J1687" s="85"/>
      <c r="K1687" s="85"/>
      <c r="M1687" s="81"/>
      <c r="O1687" s="85"/>
      <c r="P1687" s="85"/>
      <c r="Q1687" s="81"/>
    </row>
    <row r="1688" spans="3:17" x14ac:dyDescent="0.3">
      <c r="C1688" s="81"/>
      <c r="F1688" s="85"/>
      <c r="G1688" s="86"/>
      <c r="H1688" s="86"/>
      <c r="I1688" s="87"/>
      <c r="J1688" s="85"/>
      <c r="K1688" s="85"/>
      <c r="M1688" s="81"/>
      <c r="O1688" s="85"/>
      <c r="P1688" s="85"/>
      <c r="Q1688" s="81"/>
    </row>
    <row r="1689" spans="3:17" x14ac:dyDescent="0.3">
      <c r="C1689" s="81"/>
      <c r="F1689" s="85"/>
      <c r="G1689" s="86"/>
      <c r="H1689" s="86"/>
      <c r="I1689" s="87"/>
      <c r="J1689" s="85"/>
      <c r="K1689" s="85"/>
      <c r="M1689" s="81"/>
      <c r="O1689" s="85"/>
      <c r="P1689" s="85"/>
      <c r="Q1689" s="81"/>
    </row>
    <row r="1690" spans="3:17" x14ac:dyDescent="0.3">
      <c r="C1690" s="81"/>
      <c r="F1690" s="85"/>
      <c r="G1690" s="86"/>
      <c r="H1690" s="86"/>
      <c r="I1690" s="87"/>
      <c r="J1690" s="85"/>
      <c r="K1690" s="85"/>
      <c r="M1690" s="81"/>
      <c r="O1690" s="85"/>
      <c r="P1690" s="85"/>
      <c r="Q1690" s="81"/>
    </row>
    <row r="1691" spans="3:17" x14ac:dyDescent="0.3">
      <c r="C1691" s="81"/>
      <c r="F1691" s="85"/>
      <c r="G1691" s="86"/>
      <c r="H1691" s="86"/>
      <c r="I1691" s="87"/>
      <c r="J1691" s="85"/>
      <c r="K1691" s="85"/>
      <c r="M1691" s="81"/>
      <c r="O1691" s="85"/>
      <c r="P1691" s="85"/>
      <c r="Q1691" s="81"/>
    </row>
    <row r="1692" spans="3:17" x14ac:dyDescent="0.3">
      <c r="C1692" s="81"/>
      <c r="F1692" s="85"/>
      <c r="G1692" s="86"/>
      <c r="H1692" s="86"/>
      <c r="I1692" s="87"/>
      <c r="J1692" s="85"/>
      <c r="K1692" s="85"/>
      <c r="M1692" s="81"/>
      <c r="O1692" s="85"/>
      <c r="P1692" s="85"/>
      <c r="Q1692" s="81"/>
    </row>
    <row r="1693" spans="3:17" x14ac:dyDescent="0.3">
      <c r="C1693" s="81"/>
      <c r="F1693" s="85"/>
      <c r="G1693" s="86"/>
      <c r="H1693" s="86"/>
      <c r="I1693" s="87"/>
      <c r="J1693" s="85"/>
      <c r="K1693" s="85"/>
      <c r="M1693" s="81"/>
      <c r="O1693" s="85"/>
      <c r="P1693" s="85"/>
      <c r="Q1693" s="81"/>
    </row>
    <row r="1694" spans="3:17" x14ac:dyDescent="0.3">
      <c r="C1694" s="81"/>
      <c r="F1694" s="85"/>
      <c r="G1694" s="86"/>
      <c r="H1694" s="86"/>
      <c r="I1694" s="87"/>
      <c r="J1694" s="85"/>
      <c r="K1694" s="85"/>
      <c r="M1694" s="81"/>
      <c r="O1694" s="85"/>
      <c r="P1694" s="85"/>
      <c r="Q1694" s="81"/>
    </row>
    <row r="1695" spans="3:17" x14ac:dyDescent="0.3">
      <c r="C1695" s="81"/>
      <c r="F1695" s="85"/>
      <c r="G1695" s="86"/>
      <c r="H1695" s="86"/>
      <c r="I1695" s="87"/>
      <c r="J1695" s="85"/>
      <c r="K1695" s="85"/>
      <c r="M1695" s="81"/>
      <c r="O1695" s="85"/>
      <c r="P1695" s="85"/>
      <c r="Q1695" s="81"/>
    </row>
    <row r="1696" spans="3:17" x14ac:dyDescent="0.3">
      <c r="C1696" s="81"/>
      <c r="F1696" s="85"/>
      <c r="G1696" s="86"/>
      <c r="H1696" s="86"/>
      <c r="I1696" s="87"/>
      <c r="J1696" s="85"/>
      <c r="K1696" s="85"/>
      <c r="M1696" s="81"/>
      <c r="O1696" s="85"/>
      <c r="P1696" s="85"/>
      <c r="Q1696" s="81"/>
    </row>
    <row r="1697" spans="3:17" x14ac:dyDescent="0.3">
      <c r="C1697" s="81"/>
      <c r="F1697" s="85"/>
      <c r="G1697" s="86"/>
      <c r="H1697" s="86"/>
      <c r="I1697" s="87"/>
      <c r="J1697" s="85"/>
      <c r="K1697" s="85"/>
      <c r="M1697" s="81"/>
      <c r="O1697" s="85"/>
      <c r="P1697" s="85"/>
      <c r="Q1697" s="81"/>
    </row>
    <row r="1698" spans="3:17" x14ac:dyDescent="0.3">
      <c r="C1698" s="81"/>
      <c r="F1698" s="85"/>
      <c r="G1698" s="86"/>
      <c r="H1698" s="86"/>
      <c r="I1698" s="87"/>
      <c r="J1698" s="85"/>
      <c r="K1698" s="85"/>
      <c r="M1698" s="81"/>
      <c r="O1698" s="85"/>
      <c r="P1698" s="85"/>
      <c r="Q1698" s="81"/>
    </row>
    <row r="1699" spans="3:17" x14ac:dyDescent="0.3">
      <c r="C1699" s="81"/>
      <c r="F1699" s="85"/>
      <c r="G1699" s="86"/>
      <c r="H1699" s="86"/>
      <c r="I1699" s="87"/>
      <c r="J1699" s="85"/>
      <c r="K1699" s="85"/>
      <c r="M1699" s="81"/>
      <c r="O1699" s="85"/>
      <c r="P1699" s="85"/>
      <c r="Q1699" s="81"/>
    </row>
    <row r="1700" spans="3:17" x14ac:dyDescent="0.3">
      <c r="C1700" s="81"/>
      <c r="F1700" s="85"/>
      <c r="G1700" s="86"/>
      <c r="H1700" s="86"/>
      <c r="I1700" s="87"/>
      <c r="J1700" s="85"/>
      <c r="K1700" s="85"/>
      <c r="M1700" s="81"/>
      <c r="O1700" s="85"/>
      <c r="P1700" s="85"/>
      <c r="Q1700" s="81"/>
    </row>
    <row r="1701" spans="3:17" x14ac:dyDescent="0.3">
      <c r="C1701" s="81"/>
      <c r="F1701" s="85"/>
      <c r="G1701" s="86"/>
      <c r="H1701" s="86"/>
      <c r="I1701" s="87"/>
      <c r="J1701" s="85"/>
      <c r="K1701" s="85"/>
      <c r="M1701" s="81"/>
      <c r="O1701" s="85"/>
      <c r="P1701" s="85"/>
      <c r="Q1701" s="81"/>
    </row>
    <row r="1702" spans="3:17" x14ac:dyDescent="0.3">
      <c r="C1702" s="81"/>
      <c r="F1702" s="85"/>
      <c r="G1702" s="86"/>
      <c r="H1702" s="86"/>
      <c r="I1702" s="87"/>
      <c r="J1702" s="85"/>
      <c r="K1702" s="85"/>
      <c r="M1702" s="81"/>
      <c r="O1702" s="85"/>
      <c r="P1702" s="85"/>
      <c r="Q1702" s="81"/>
    </row>
    <row r="1703" spans="3:17" x14ac:dyDescent="0.3">
      <c r="C1703" s="81"/>
      <c r="F1703" s="85"/>
      <c r="G1703" s="86"/>
      <c r="H1703" s="86"/>
      <c r="I1703" s="87"/>
      <c r="J1703" s="85"/>
      <c r="K1703" s="85"/>
      <c r="M1703" s="81"/>
      <c r="O1703" s="85"/>
      <c r="P1703" s="85"/>
      <c r="Q1703" s="81"/>
    </row>
    <row r="1704" spans="3:17" x14ac:dyDescent="0.3">
      <c r="C1704" s="81"/>
      <c r="F1704" s="85"/>
      <c r="G1704" s="86"/>
      <c r="H1704" s="86"/>
      <c r="I1704" s="87"/>
      <c r="J1704" s="85"/>
      <c r="K1704" s="85"/>
      <c r="M1704" s="81"/>
      <c r="O1704" s="85"/>
      <c r="P1704" s="85"/>
      <c r="Q1704" s="81"/>
    </row>
    <row r="1705" spans="3:17" x14ac:dyDescent="0.3">
      <c r="C1705" s="81"/>
      <c r="F1705" s="85"/>
      <c r="G1705" s="86"/>
      <c r="H1705" s="86"/>
      <c r="I1705" s="87"/>
      <c r="J1705" s="85"/>
      <c r="K1705" s="85"/>
      <c r="M1705" s="81"/>
      <c r="O1705" s="85"/>
      <c r="P1705" s="85"/>
      <c r="Q1705" s="81"/>
    </row>
    <row r="1706" spans="3:17" x14ac:dyDescent="0.3">
      <c r="C1706" s="81"/>
      <c r="F1706" s="85"/>
      <c r="G1706" s="86"/>
      <c r="H1706" s="86"/>
      <c r="I1706" s="87"/>
      <c r="J1706" s="85"/>
      <c r="K1706" s="85"/>
      <c r="M1706" s="81"/>
      <c r="O1706" s="85"/>
      <c r="P1706" s="85"/>
      <c r="Q1706" s="81"/>
    </row>
    <row r="1707" spans="3:17" x14ac:dyDescent="0.3">
      <c r="C1707" s="81"/>
      <c r="F1707" s="85"/>
      <c r="G1707" s="86"/>
      <c r="H1707" s="86"/>
      <c r="I1707" s="87"/>
      <c r="J1707" s="85"/>
      <c r="K1707" s="85"/>
      <c r="M1707" s="81"/>
      <c r="O1707" s="85"/>
      <c r="P1707" s="85"/>
      <c r="Q1707" s="81"/>
    </row>
    <row r="1708" spans="3:17" x14ac:dyDescent="0.3">
      <c r="C1708" s="81"/>
      <c r="F1708" s="85"/>
      <c r="G1708" s="86"/>
      <c r="H1708" s="86"/>
      <c r="I1708" s="87"/>
      <c r="J1708" s="85"/>
      <c r="K1708" s="85"/>
      <c r="M1708" s="81"/>
      <c r="O1708" s="85"/>
      <c r="P1708" s="85"/>
      <c r="Q1708" s="81"/>
    </row>
    <row r="1709" spans="3:17" x14ac:dyDescent="0.3">
      <c r="C1709" s="81"/>
      <c r="F1709" s="85"/>
      <c r="G1709" s="86"/>
      <c r="H1709" s="86"/>
      <c r="I1709" s="87"/>
      <c r="J1709" s="85"/>
      <c r="K1709" s="85"/>
      <c r="M1709" s="81"/>
      <c r="O1709" s="85"/>
      <c r="P1709" s="85"/>
      <c r="Q1709" s="81"/>
    </row>
    <row r="1710" spans="3:17" x14ac:dyDescent="0.3">
      <c r="C1710" s="81"/>
      <c r="F1710" s="85"/>
      <c r="G1710" s="86"/>
      <c r="H1710" s="86"/>
      <c r="I1710" s="87"/>
      <c r="J1710" s="85"/>
      <c r="K1710" s="85"/>
      <c r="M1710" s="81"/>
      <c r="O1710" s="85"/>
      <c r="P1710" s="85"/>
      <c r="Q1710" s="81"/>
    </row>
    <row r="1711" spans="3:17" x14ac:dyDescent="0.3">
      <c r="C1711" s="81"/>
      <c r="F1711" s="85"/>
      <c r="G1711" s="86"/>
      <c r="H1711" s="86"/>
      <c r="I1711" s="87"/>
      <c r="J1711" s="85"/>
      <c r="K1711" s="85"/>
      <c r="M1711" s="81"/>
      <c r="O1711" s="85"/>
      <c r="P1711" s="85"/>
      <c r="Q1711" s="81"/>
    </row>
    <row r="1712" spans="3:17" x14ac:dyDescent="0.3">
      <c r="C1712" s="81"/>
      <c r="F1712" s="85"/>
      <c r="G1712" s="86"/>
      <c r="H1712" s="86"/>
      <c r="I1712" s="87"/>
      <c r="J1712" s="85"/>
      <c r="K1712" s="85"/>
      <c r="M1712" s="81"/>
      <c r="O1712" s="85"/>
      <c r="P1712" s="85"/>
      <c r="Q1712" s="81"/>
    </row>
    <row r="1713" spans="3:17" x14ac:dyDescent="0.3">
      <c r="C1713" s="81"/>
      <c r="F1713" s="85"/>
      <c r="G1713" s="86"/>
      <c r="H1713" s="86"/>
      <c r="I1713" s="87"/>
      <c r="J1713" s="85"/>
      <c r="K1713" s="85"/>
      <c r="M1713" s="81"/>
      <c r="O1713" s="85"/>
      <c r="P1713" s="85"/>
      <c r="Q1713" s="81"/>
    </row>
    <row r="1714" spans="3:17" x14ac:dyDescent="0.3">
      <c r="C1714" s="81"/>
      <c r="F1714" s="85"/>
      <c r="G1714" s="86"/>
      <c r="H1714" s="86"/>
      <c r="I1714" s="87"/>
      <c r="J1714" s="85"/>
      <c r="K1714" s="85"/>
      <c r="M1714" s="81"/>
      <c r="O1714" s="85"/>
      <c r="P1714" s="85"/>
      <c r="Q1714" s="81"/>
    </row>
    <row r="1715" spans="3:17" x14ac:dyDescent="0.3">
      <c r="C1715" s="81"/>
      <c r="F1715" s="85"/>
      <c r="G1715" s="86"/>
      <c r="H1715" s="86"/>
      <c r="I1715" s="87"/>
      <c r="J1715" s="85"/>
      <c r="K1715" s="85"/>
      <c r="M1715" s="81"/>
      <c r="O1715" s="85"/>
      <c r="P1715" s="85"/>
      <c r="Q1715" s="81"/>
    </row>
    <row r="1716" spans="3:17" x14ac:dyDescent="0.3">
      <c r="C1716" s="81"/>
      <c r="F1716" s="85"/>
      <c r="G1716" s="86"/>
      <c r="H1716" s="86"/>
      <c r="I1716" s="87"/>
      <c r="J1716" s="85"/>
      <c r="K1716" s="85"/>
      <c r="M1716" s="81"/>
      <c r="O1716" s="85"/>
      <c r="P1716" s="85"/>
      <c r="Q1716" s="81"/>
    </row>
    <row r="1717" spans="3:17" x14ac:dyDescent="0.3">
      <c r="C1717" s="81"/>
      <c r="F1717" s="85"/>
      <c r="G1717" s="86"/>
      <c r="H1717" s="86"/>
      <c r="I1717" s="87"/>
      <c r="J1717" s="85"/>
      <c r="K1717" s="85"/>
      <c r="M1717" s="81"/>
      <c r="O1717" s="85"/>
      <c r="P1717" s="85"/>
      <c r="Q1717" s="81"/>
    </row>
    <row r="1718" spans="3:17" x14ac:dyDescent="0.3">
      <c r="C1718" s="81"/>
      <c r="F1718" s="85"/>
      <c r="G1718" s="86"/>
      <c r="H1718" s="86"/>
      <c r="I1718" s="87"/>
      <c r="J1718" s="85"/>
      <c r="K1718" s="85"/>
      <c r="M1718" s="81"/>
      <c r="O1718" s="85"/>
      <c r="P1718" s="85"/>
      <c r="Q1718" s="81"/>
    </row>
    <row r="1719" spans="3:17" x14ac:dyDescent="0.3">
      <c r="C1719" s="81"/>
      <c r="F1719" s="85"/>
      <c r="G1719" s="86"/>
      <c r="H1719" s="86"/>
      <c r="I1719" s="87"/>
      <c r="J1719" s="85"/>
      <c r="K1719" s="85"/>
      <c r="M1719" s="81"/>
      <c r="O1719" s="85"/>
      <c r="P1719" s="85"/>
      <c r="Q1719" s="81"/>
    </row>
    <row r="1720" spans="3:17" x14ac:dyDescent="0.3">
      <c r="C1720" s="81"/>
      <c r="F1720" s="85"/>
      <c r="G1720" s="86"/>
      <c r="H1720" s="86"/>
      <c r="I1720" s="87"/>
      <c r="J1720" s="85"/>
      <c r="K1720" s="85"/>
      <c r="M1720" s="81"/>
      <c r="O1720" s="85"/>
      <c r="P1720" s="85"/>
      <c r="Q1720" s="81"/>
    </row>
    <row r="1721" spans="3:17" x14ac:dyDescent="0.3">
      <c r="C1721" s="81"/>
      <c r="F1721" s="85"/>
      <c r="G1721" s="86"/>
      <c r="H1721" s="86"/>
      <c r="I1721" s="87"/>
      <c r="J1721" s="85"/>
      <c r="K1721" s="85"/>
      <c r="M1721" s="81"/>
      <c r="O1721" s="85"/>
      <c r="P1721" s="85"/>
      <c r="Q1721" s="81"/>
    </row>
    <row r="1722" spans="3:17" x14ac:dyDescent="0.3">
      <c r="C1722" s="81"/>
      <c r="F1722" s="85"/>
      <c r="G1722" s="86"/>
      <c r="H1722" s="86"/>
      <c r="I1722" s="87"/>
      <c r="J1722" s="85"/>
      <c r="K1722" s="85"/>
      <c r="M1722" s="81"/>
      <c r="O1722" s="85"/>
      <c r="P1722" s="85"/>
      <c r="Q1722" s="81"/>
    </row>
    <row r="1723" spans="3:17" x14ac:dyDescent="0.3">
      <c r="C1723" s="81"/>
      <c r="F1723" s="85"/>
      <c r="G1723" s="86"/>
      <c r="H1723" s="86"/>
      <c r="I1723" s="87"/>
      <c r="J1723" s="85"/>
      <c r="K1723" s="85"/>
      <c r="M1723" s="81"/>
      <c r="O1723" s="85"/>
      <c r="P1723" s="85"/>
      <c r="Q1723" s="81"/>
    </row>
    <row r="1724" spans="3:17" x14ac:dyDescent="0.3">
      <c r="C1724" s="81"/>
      <c r="F1724" s="85"/>
      <c r="G1724" s="86"/>
      <c r="H1724" s="86"/>
      <c r="I1724" s="87"/>
      <c r="J1724" s="85"/>
      <c r="K1724" s="85"/>
      <c r="M1724" s="81"/>
      <c r="O1724" s="85"/>
      <c r="P1724" s="85"/>
      <c r="Q1724" s="81"/>
    </row>
    <row r="1725" spans="3:17" x14ac:dyDescent="0.3">
      <c r="C1725" s="81"/>
      <c r="F1725" s="85"/>
      <c r="G1725" s="86"/>
      <c r="H1725" s="86"/>
      <c r="I1725" s="87"/>
      <c r="J1725" s="85"/>
      <c r="K1725" s="85"/>
      <c r="M1725" s="81"/>
      <c r="O1725" s="85"/>
      <c r="P1725" s="85"/>
      <c r="Q1725" s="81"/>
    </row>
    <row r="1726" spans="3:17" x14ac:dyDescent="0.3">
      <c r="C1726" s="81"/>
      <c r="F1726" s="85"/>
      <c r="G1726" s="86"/>
      <c r="H1726" s="86"/>
      <c r="I1726" s="87"/>
      <c r="J1726" s="85"/>
      <c r="K1726" s="85"/>
      <c r="M1726" s="81"/>
      <c r="O1726" s="85"/>
      <c r="P1726" s="85"/>
      <c r="Q1726" s="81"/>
    </row>
    <row r="1727" spans="3:17" x14ac:dyDescent="0.3">
      <c r="C1727" s="81"/>
      <c r="F1727" s="85"/>
      <c r="G1727" s="86"/>
      <c r="H1727" s="86"/>
      <c r="I1727" s="87"/>
      <c r="J1727" s="85"/>
      <c r="K1727" s="85"/>
      <c r="M1727" s="81"/>
      <c r="O1727" s="85"/>
      <c r="P1727" s="85"/>
      <c r="Q1727" s="81"/>
    </row>
    <row r="1728" spans="3:17" x14ac:dyDescent="0.3">
      <c r="C1728" s="81"/>
      <c r="F1728" s="85"/>
      <c r="G1728" s="86"/>
      <c r="H1728" s="86"/>
      <c r="I1728" s="87"/>
      <c r="J1728" s="85"/>
      <c r="K1728" s="85"/>
      <c r="M1728" s="81"/>
      <c r="O1728" s="85"/>
      <c r="P1728" s="85"/>
      <c r="Q1728" s="81"/>
    </row>
    <row r="1729" spans="3:17" x14ac:dyDescent="0.3">
      <c r="C1729" s="81"/>
      <c r="F1729" s="85"/>
      <c r="G1729" s="86"/>
      <c r="H1729" s="86"/>
      <c r="I1729" s="87"/>
      <c r="J1729" s="85"/>
      <c r="K1729" s="85"/>
      <c r="M1729" s="81"/>
      <c r="O1729" s="85"/>
      <c r="P1729" s="85"/>
      <c r="Q1729" s="81"/>
    </row>
    <row r="1730" spans="3:17" x14ac:dyDescent="0.3">
      <c r="C1730" s="81"/>
      <c r="F1730" s="85"/>
      <c r="G1730" s="86"/>
      <c r="H1730" s="86"/>
      <c r="I1730" s="87"/>
      <c r="J1730" s="85"/>
      <c r="K1730" s="85"/>
      <c r="M1730" s="81"/>
      <c r="O1730" s="85"/>
      <c r="P1730" s="85"/>
      <c r="Q1730" s="81"/>
    </row>
    <row r="1731" spans="3:17" x14ac:dyDescent="0.3">
      <c r="C1731" s="81"/>
      <c r="F1731" s="85"/>
      <c r="G1731" s="86"/>
      <c r="H1731" s="86"/>
      <c r="I1731" s="87"/>
      <c r="J1731" s="85"/>
      <c r="K1731" s="85"/>
      <c r="M1731" s="81"/>
      <c r="O1731" s="85"/>
      <c r="P1731" s="85"/>
      <c r="Q1731" s="81"/>
    </row>
    <row r="1732" spans="3:17" x14ac:dyDescent="0.3">
      <c r="C1732" s="81"/>
      <c r="F1732" s="85"/>
      <c r="G1732" s="86"/>
      <c r="H1732" s="86"/>
      <c r="I1732" s="87"/>
      <c r="J1732" s="85"/>
      <c r="K1732" s="85"/>
      <c r="M1732" s="81"/>
      <c r="O1732" s="85"/>
      <c r="P1732" s="85"/>
      <c r="Q1732" s="81"/>
    </row>
    <row r="1733" spans="3:17" x14ac:dyDescent="0.3">
      <c r="C1733" s="81"/>
      <c r="F1733" s="85"/>
      <c r="G1733" s="86"/>
      <c r="H1733" s="86"/>
      <c r="I1733" s="87"/>
      <c r="J1733" s="85"/>
      <c r="K1733" s="85"/>
      <c r="M1733" s="81"/>
      <c r="O1733" s="85"/>
      <c r="P1733" s="85"/>
      <c r="Q1733" s="81"/>
    </row>
    <row r="1734" spans="3:17" x14ac:dyDescent="0.3">
      <c r="C1734" s="81"/>
      <c r="F1734" s="85"/>
      <c r="G1734" s="86"/>
      <c r="H1734" s="86"/>
      <c r="I1734" s="87"/>
      <c r="J1734" s="85"/>
      <c r="K1734" s="85"/>
      <c r="M1734" s="81"/>
      <c r="O1734" s="85"/>
      <c r="P1734" s="85"/>
      <c r="Q1734" s="81"/>
    </row>
    <row r="1735" spans="3:17" x14ac:dyDescent="0.3">
      <c r="C1735" s="81"/>
      <c r="F1735" s="85"/>
      <c r="G1735" s="86"/>
      <c r="H1735" s="86"/>
      <c r="I1735" s="87"/>
      <c r="J1735" s="85"/>
      <c r="K1735" s="85"/>
      <c r="M1735" s="81"/>
      <c r="O1735" s="85"/>
      <c r="P1735" s="85"/>
      <c r="Q1735" s="81"/>
    </row>
    <row r="1736" spans="3:17" x14ac:dyDescent="0.3">
      <c r="C1736" s="81"/>
      <c r="F1736" s="85"/>
      <c r="G1736" s="86"/>
      <c r="H1736" s="86"/>
      <c r="I1736" s="87"/>
      <c r="J1736" s="85"/>
      <c r="K1736" s="85"/>
      <c r="M1736" s="81"/>
      <c r="O1736" s="85"/>
      <c r="P1736" s="85"/>
      <c r="Q1736" s="81"/>
    </row>
    <row r="1737" spans="3:17" x14ac:dyDescent="0.3">
      <c r="C1737" s="81"/>
      <c r="F1737" s="85"/>
      <c r="G1737" s="86"/>
      <c r="H1737" s="86"/>
      <c r="I1737" s="87"/>
      <c r="J1737" s="85"/>
      <c r="K1737" s="85"/>
      <c r="M1737" s="81"/>
      <c r="O1737" s="85"/>
      <c r="P1737" s="85"/>
      <c r="Q1737" s="81"/>
    </row>
    <row r="1738" spans="3:17" x14ac:dyDescent="0.3">
      <c r="C1738" s="81"/>
      <c r="F1738" s="85"/>
      <c r="G1738" s="86"/>
      <c r="H1738" s="86"/>
      <c r="I1738" s="87"/>
      <c r="J1738" s="85"/>
      <c r="K1738" s="85"/>
      <c r="M1738" s="81"/>
      <c r="O1738" s="85"/>
      <c r="P1738" s="85"/>
      <c r="Q1738" s="81"/>
    </row>
    <row r="1739" spans="3:17" x14ac:dyDescent="0.3">
      <c r="C1739" s="81"/>
      <c r="F1739" s="85"/>
      <c r="G1739" s="86"/>
      <c r="H1739" s="86"/>
      <c r="I1739" s="87"/>
      <c r="J1739" s="85"/>
      <c r="K1739" s="85"/>
      <c r="M1739" s="81"/>
      <c r="O1739" s="85"/>
      <c r="P1739" s="85"/>
      <c r="Q1739" s="81"/>
    </row>
    <row r="1740" spans="3:17" x14ac:dyDescent="0.3">
      <c r="C1740" s="81"/>
      <c r="F1740" s="85"/>
      <c r="G1740" s="86"/>
      <c r="H1740" s="86"/>
      <c r="I1740" s="87"/>
      <c r="J1740" s="85"/>
      <c r="K1740" s="85"/>
      <c r="M1740" s="81"/>
      <c r="O1740" s="85"/>
      <c r="P1740" s="85"/>
      <c r="Q1740" s="81"/>
    </row>
    <row r="1741" spans="3:17" x14ac:dyDescent="0.3">
      <c r="C1741" s="81"/>
      <c r="F1741" s="85"/>
      <c r="G1741" s="86"/>
      <c r="H1741" s="86"/>
      <c r="I1741" s="87"/>
      <c r="J1741" s="85"/>
      <c r="K1741" s="85"/>
      <c r="M1741" s="81"/>
      <c r="O1741" s="85"/>
      <c r="P1741" s="85"/>
      <c r="Q1741" s="81"/>
    </row>
    <row r="1742" spans="3:17" x14ac:dyDescent="0.3">
      <c r="C1742" s="81"/>
      <c r="F1742" s="85"/>
      <c r="G1742" s="86"/>
      <c r="H1742" s="86"/>
      <c r="I1742" s="87"/>
      <c r="J1742" s="85"/>
      <c r="K1742" s="85"/>
      <c r="M1742" s="81"/>
      <c r="O1742" s="85"/>
      <c r="P1742" s="85"/>
      <c r="Q1742" s="81"/>
    </row>
    <row r="1743" spans="3:17" x14ac:dyDescent="0.3">
      <c r="C1743" s="81"/>
      <c r="F1743" s="85"/>
      <c r="G1743" s="86"/>
      <c r="H1743" s="86"/>
      <c r="I1743" s="87"/>
      <c r="J1743" s="85"/>
      <c r="K1743" s="85"/>
      <c r="M1743" s="81"/>
      <c r="O1743" s="85"/>
      <c r="P1743" s="85"/>
      <c r="Q1743" s="81"/>
    </row>
    <row r="1744" spans="3:17" x14ac:dyDescent="0.3">
      <c r="C1744" s="81"/>
      <c r="F1744" s="85"/>
      <c r="G1744" s="86"/>
      <c r="H1744" s="86"/>
      <c r="I1744" s="87"/>
      <c r="J1744" s="85"/>
      <c r="K1744" s="85"/>
      <c r="M1744" s="81"/>
      <c r="O1744" s="85"/>
      <c r="P1744" s="85"/>
      <c r="Q1744" s="81"/>
    </row>
    <row r="1745" spans="3:17" x14ac:dyDescent="0.3">
      <c r="C1745" s="81"/>
      <c r="F1745" s="85"/>
      <c r="G1745" s="86"/>
      <c r="H1745" s="86"/>
      <c r="I1745" s="87"/>
      <c r="J1745" s="85"/>
      <c r="K1745" s="85"/>
      <c r="M1745" s="81"/>
      <c r="O1745" s="85"/>
      <c r="P1745" s="85"/>
      <c r="Q1745" s="81"/>
    </row>
    <row r="1746" spans="3:17" x14ac:dyDescent="0.3">
      <c r="C1746" s="81"/>
      <c r="F1746" s="85"/>
      <c r="G1746" s="86"/>
      <c r="H1746" s="86"/>
      <c r="I1746" s="87"/>
      <c r="J1746" s="85"/>
      <c r="K1746" s="85"/>
      <c r="M1746" s="81"/>
      <c r="O1746" s="85"/>
      <c r="P1746" s="85"/>
      <c r="Q1746" s="81"/>
    </row>
    <row r="1747" spans="3:17" x14ac:dyDescent="0.3">
      <c r="C1747" s="81"/>
      <c r="F1747" s="85"/>
      <c r="G1747" s="86"/>
      <c r="H1747" s="86"/>
      <c r="I1747" s="87"/>
      <c r="J1747" s="85"/>
      <c r="K1747" s="85"/>
      <c r="M1747" s="81"/>
      <c r="O1747" s="85"/>
      <c r="P1747" s="85"/>
      <c r="Q1747" s="81"/>
    </row>
    <row r="1748" spans="3:17" x14ac:dyDescent="0.3">
      <c r="C1748" s="81"/>
      <c r="F1748" s="85"/>
      <c r="G1748" s="86"/>
      <c r="H1748" s="86"/>
      <c r="I1748" s="87"/>
      <c r="J1748" s="85"/>
      <c r="K1748" s="85"/>
      <c r="M1748" s="81"/>
      <c r="O1748" s="85"/>
      <c r="P1748" s="85"/>
      <c r="Q1748" s="81"/>
    </row>
    <row r="1749" spans="3:17" x14ac:dyDescent="0.3">
      <c r="C1749" s="81"/>
      <c r="F1749" s="85"/>
      <c r="G1749" s="86"/>
      <c r="H1749" s="86"/>
      <c r="I1749" s="87"/>
      <c r="J1749" s="85"/>
      <c r="K1749" s="85"/>
      <c r="M1749" s="81"/>
      <c r="O1749" s="85"/>
      <c r="P1749" s="85"/>
      <c r="Q1749" s="81"/>
    </row>
    <row r="1750" spans="3:17" x14ac:dyDescent="0.3">
      <c r="C1750" s="81"/>
      <c r="F1750" s="85"/>
      <c r="G1750" s="86"/>
      <c r="H1750" s="86"/>
      <c r="I1750" s="87"/>
      <c r="J1750" s="85"/>
      <c r="K1750" s="85"/>
      <c r="M1750" s="81"/>
      <c r="O1750" s="85"/>
      <c r="P1750" s="85"/>
      <c r="Q1750" s="81"/>
    </row>
    <row r="1751" spans="3:17" x14ac:dyDescent="0.3">
      <c r="C1751" s="81"/>
      <c r="F1751" s="85"/>
      <c r="G1751" s="86"/>
      <c r="H1751" s="86"/>
      <c r="I1751" s="87"/>
      <c r="J1751" s="85"/>
      <c r="K1751" s="85"/>
      <c r="M1751" s="81"/>
      <c r="O1751" s="85"/>
      <c r="P1751" s="85"/>
      <c r="Q1751" s="81"/>
    </row>
    <row r="1752" spans="3:17" x14ac:dyDescent="0.3">
      <c r="C1752" s="81"/>
      <c r="F1752" s="85"/>
      <c r="G1752" s="86"/>
      <c r="H1752" s="86"/>
      <c r="I1752" s="87"/>
      <c r="J1752" s="85"/>
      <c r="K1752" s="85"/>
      <c r="M1752" s="81"/>
      <c r="O1752" s="85"/>
      <c r="P1752" s="85"/>
      <c r="Q1752" s="81"/>
    </row>
    <row r="1753" spans="3:17" x14ac:dyDescent="0.3">
      <c r="C1753" s="81"/>
      <c r="F1753" s="85"/>
      <c r="G1753" s="86"/>
      <c r="H1753" s="86"/>
      <c r="I1753" s="87"/>
      <c r="J1753" s="85"/>
      <c r="K1753" s="85"/>
      <c r="M1753" s="81"/>
      <c r="O1753" s="85"/>
      <c r="P1753" s="85"/>
      <c r="Q1753" s="81"/>
    </row>
    <row r="1754" spans="3:17" x14ac:dyDescent="0.3">
      <c r="C1754" s="81"/>
      <c r="F1754" s="85"/>
      <c r="G1754" s="86"/>
      <c r="H1754" s="86"/>
      <c r="I1754" s="87"/>
      <c r="J1754" s="85"/>
      <c r="K1754" s="85"/>
      <c r="M1754" s="81"/>
      <c r="O1754" s="85"/>
      <c r="P1754" s="85"/>
      <c r="Q1754" s="81"/>
    </row>
    <row r="1755" spans="3:17" x14ac:dyDescent="0.3">
      <c r="C1755" s="81"/>
      <c r="F1755" s="85"/>
      <c r="G1755" s="86"/>
      <c r="H1755" s="86"/>
      <c r="I1755" s="87"/>
      <c r="J1755" s="85"/>
      <c r="K1755" s="85"/>
      <c r="M1755" s="81"/>
      <c r="O1755" s="85"/>
      <c r="P1755" s="85"/>
      <c r="Q1755" s="81"/>
    </row>
    <row r="1756" spans="3:17" x14ac:dyDescent="0.3">
      <c r="C1756" s="81"/>
      <c r="F1756" s="85"/>
      <c r="G1756" s="86"/>
      <c r="H1756" s="86"/>
      <c r="I1756" s="87"/>
      <c r="J1756" s="85"/>
      <c r="K1756" s="85"/>
      <c r="M1756" s="81"/>
      <c r="O1756" s="85"/>
      <c r="P1756" s="85"/>
      <c r="Q1756" s="81"/>
    </row>
    <row r="1757" spans="3:17" x14ac:dyDescent="0.3">
      <c r="C1757" s="81"/>
      <c r="F1757" s="85"/>
      <c r="G1757" s="86"/>
      <c r="H1757" s="86"/>
      <c r="I1757" s="87"/>
      <c r="J1757" s="85"/>
      <c r="K1757" s="85"/>
      <c r="M1757" s="81"/>
      <c r="O1757" s="85"/>
      <c r="P1757" s="85"/>
      <c r="Q1757" s="81"/>
    </row>
    <row r="1758" spans="3:17" x14ac:dyDescent="0.3">
      <c r="C1758" s="81"/>
      <c r="F1758" s="85"/>
      <c r="G1758" s="86"/>
      <c r="H1758" s="86"/>
      <c r="I1758" s="87"/>
      <c r="J1758" s="85"/>
      <c r="K1758" s="85"/>
      <c r="M1758" s="81"/>
      <c r="O1758" s="85"/>
      <c r="P1758" s="85"/>
      <c r="Q1758" s="81"/>
    </row>
    <row r="1759" spans="3:17" x14ac:dyDescent="0.3">
      <c r="C1759" s="81"/>
      <c r="F1759" s="85"/>
      <c r="G1759" s="86"/>
      <c r="H1759" s="86"/>
      <c r="I1759" s="87"/>
      <c r="J1759" s="85"/>
      <c r="K1759" s="85"/>
      <c r="M1759" s="81"/>
      <c r="O1759" s="85"/>
      <c r="P1759" s="85"/>
      <c r="Q1759" s="81"/>
    </row>
    <row r="1760" spans="3:17" x14ac:dyDescent="0.3">
      <c r="C1760" s="81"/>
      <c r="F1760" s="85"/>
      <c r="G1760" s="86"/>
      <c r="H1760" s="86"/>
      <c r="I1760" s="87"/>
      <c r="J1760" s="85"/>
      <c r="K1760" s="85"/>
      <c r="M1760" s="81"/>
      <c r="O1760" s="85"/>
      <c r="P1760" s="85"/>
      <c r="Q1760" s="81"/>
    </row>
    <row r="1761" spans="3:17" x14ac:dyDescent="0.3">
      <c r="C1761" s="81"/>
      <c r="F1761" s="85"/>
      <c r="G1761" s="86"/>
      <c r="H1761" s="86"/>
      <c r="I1761" s="87"/>
      <c r="J1761" s="85"/>
      <c r="K1761" s="85"/>
      <c r="M1761" s="81"/>
      <c r="O1761" s="85"/>
      <c r="P1761" s="85"/>
      <c r="Q1761" s="81"/>
    </row>
    <row r="1762" spans="3:17" x14ac:dyDescent="0.3">
      <c r="C1762" s="81"/>
      <c r="F1762" s="85"/>
      <c r="G1762" s="86"/>
      <c r="H1762" s="86"/>
      <c r="I1762" s="87"/>
      <c r="J1762" s="85"/>
      <c r="K1762" s="85"/>
      <c r="M1762" s="81"/>
      <c r="O1762" s="85"/>
      <c r="P1762" s="85"/>
      <c r="Q1762" s="81"/>
    </row>
    <row r="1763" spans="3:17" x14ac:dyDescent="0.3">
      <c r="C1763" s="81"/>
      <c r="F1763" s="85"/>
      <c r="G1763" s="86"/>
      <c r="H1763" s="86"/>
      <c r="I1763" s="87"/>
      <c r="J1763" s="85"/>
      <c r="K1763" s="85"/>
      <c r="M1763" s="81"/>
      <c r="O1763" s="85"/>
      <c r="P1763" s="85"/>
      <c r="Q1763" s="81"/>
    </row>
    <row r="1764" spans="3:17" x14ac:dyDescent="0.3">
      <c r="C1764" s="81"/>
      <c r="F1764" s="85"/>
      <c r="G1764" s="86"/>
      <c r="H1764" s="86"/>
      <c r="I1764" s="87"/>
      <c r="J1764" s="85"/>
      <c r="K1764" s="85"/>
      <c r="M1764" s="81"/>
      <c r="O1764" s="85"/>
      <c r="P1764" s="85"/>
      <c r="Q1764" s="81"/>
    </row>
    <row r="1765" spans="3:17" x14ac:dyDescent="0.3">
      <c r="C1765" s="81"/>
      <c r="F1765" s="85"/>
      <c r="G1765" s="86"/>
      <c r="H1765" s="86"/>
      <c r="I1765" s="87"/>
      <c r="J1765" s="85"/>
      <c r="K1765" s="85"/>
      <c r="M1765" s="81"/>
      <c r="O1765" s="85"/>
      <c r="P1765" s="85"/>
      <c r="Q1765" s="81"/>
    </row>
    <row r="1766" spans="3:17" x14ac:dyDescent="0.3">
      <c r="C1766" s="81"/>
      <c r="F1766" s="85"/>
      <c r="G1766" s="86"/>
      <c r="H1766" s="86"/>
      <c r="I1766" s="87"/>
      <c r="J1766" s="85"/>
      <c r="K1766" s="85"/>
      <c r="M1766" s="81"/>
      <c r="O1766" s="85"/>
      <c r="P1766" s="85"/>
      <c r="Q1766" s="81"/>
    </row>
    <row r="1767" spans="3:17" x14ac:dyDescent="0.3">
      <c r="C1767" s="81"/>
      <c r="F1767" s="85"/>
      <c r="G1767" s="86"/>
      <c r="H1767" s="86"/>
      <c r="I1767" s="87"/>
      <c r="J1767" s="85"/>
      <c r="K1767" s="85"/>
      <c r="M1767" s="81"/>
      <c r="O1767" s="85"/>
      <c r="P1767" s="85"/>
      <c r="Q1767" s="81"/>
    </row>
    <row r="1768" spans="3:17" x14ac:dyDescent="0.3">
      <c r="C1768" s="81"/>
      <c r="F1768" s="85"/>
      <c r="G1768" s="86"/>
      <c r="H1768" s="86"/>
      <c r="I1768" s="87"/>
      <c r="J1768" s="85"/>
      <c r="K1768" s="85"/>
      <c r="M1768" s="81"/>
      <c r="O1768" s="85"/>
      <c r="P1768" s="85"/>
      <c r="Q1768" s="81"/>
    </row>
    <row r="1769" spans="3:17" x14ac:dyDescent="0.3">
      <c r="C1769" s="81"/>
      <c r="F1769" s="85"/>
      <c r="G1769" s="86"/>
      <c r="H1769" s="86"/>
      <c r="I1769" s="87"/>
      <c r="J1769" s="85"/>
      <c r="K1769" s="85"/>
      <c r="M1769" s="81"/>
      <c r="O1769" s="85"/>
      <c r="P1769" s="85"/>
      <c r="Q1769" s="81"/>
    </row>
    <row r="1770" spans="3:17" x14ac:dyDescent="0.3">
      <c r="C1770" s="81"/>
      <c r="F1770" s="85"/>
      <c r="G1770" s="86"/>
      <c r="H1770" s="86"/>
      <c r="I1770" s="87"/>
      <c r="J1770" s="85"/>
      <c r="K1770" s="85"/>
      <c r="M1770" s="81"/>
      <c r="O1770" s="85"/>
      <c r="P1770" s="85"/>
      <c r="Q1770" s="81"/>
    </row>
    <row r="1771" spans="3:17" x14ac:dyDescent="0.3">
      <c r="C1771" s="81"/>
      <c r="F1771" s="85"/>
      <c r="G1771" s="86"/>
      <c r="H1771" s="86"/>
      <c r="I1771" s="87"/>
      <c r="J1771" s="85"/>
      <c r="K1771" s="85"/>
      <c r="M1771" s="81"/>
      <c r="O1771" s="85"/>
      <c r="P1771" s="85"/>
      <c r="Q1771" s="81"/>
    </row>
    <row r="1772" spans="3:17" x14ac:dyDescent="0.3">
      <c r="C1772" s="81"/>
      <c r="F1772" s="85"/>
      <c r="G1772" s="86"/>
      <c r="H1772" s="86"/>
      <c r="I1772" s="87"/>
      <c r="J1772" s="85"/>
      <c r="K1772" s="85"/>
      <c r="M1772" s="81"/>
      <c r="O1772" s="85"/>
      <c r="P1772" s="85"/>
      <c r="Q1772" s="81"/>
    </row>
    <row r="1773" spans="3:17" x14ac:dyDescent="0.3">
      <c r="C1773" s="81"/>
      <c r="F1773" s="85"/>
      <c r="G1773" s="86"/>
      <c r="H1773" s="86"/>
      <c r="I1773" s="87"/>
      <c r="J1773" s="85"/>
      <c r="K1773" s="85"/>
      <c r="M1773" s="81"/>
      <c r="O1773" s="85"/>
      <c r="P1773" s="85"/>
      <c r="Q1773" s="81"/>
    </row>
    <row r="1774" spans="3:17" x14ac:dyDescent="0.3">
      <c r="C1774" s="81"/>
      <c r="F1774" s="85"/>
      <c r="G1774" s="86"/>
      <c r="H1774" s="86"/>
      <c r="I1774" s="87"/>
      <c r="J1774" s="85"/>
      <c r="K1774" s="85"/>
      <c r="M1774" s="81"/>
      <c r="O1774" s="85"/>
      <c r="P1774" s="85"/>
      <c r="Q1774" s="81"/>
    </row>
    <row r="1775" spans="3:17" x14ac:dyDescent="0.3">
      <c r="C1775" s="81"/>
      <c r="F1775" s="85"/>
      <c r="G1775" s="86"/>
      <c r="H1775" s="86"/>
      <c r="I1775" s="87"/>
      <c r="J1775" s="85"/>
      <c r="K1775" s="85"/>
      <c r="M1775" s="81"/>
      <c r="O1775" s="85"/>
      <c r="P1775" s="85"/>
      <c r="Q1775" s="81"/>
    </row>
    <row r="1776" spans="3:17" x14ac:dyDescent="0.3">
      <c r="C1776" s="81"/>
      <c r="F1776" s="85"/>
      <c r="G1776" s="86"/>
      <c r="H1776" s="86"/>
      <c r="I1776" s="87"/>
      <c r="J1776" s="85"/>
      <c r="K1776" s="85"/>
      <c r="M1776" s="81"/>
      <c r="O1776" s="85"/>
      <c r="P1776" s="85"/>
      <c r="Q1776" s="81"/>
    </row>
    <row r="1777" spans="3:17" x14ac:dyDescent="0.3">
      <c r="C1777" s="81"/>
      <c r="F1777" s="85"/>
      <c r="G1777" s="86"/>
      <c r="H1777" s="86"/>
      <c r="I1777" s="87"/>
      <c r="J1777" s="85"/>
      <c r="K1777" s="85"/>
      <c r="M1777" s="81"/>
      <c r="O1777" s="85"/>
      <c r="P1777" s="85"/>
      <c r="Q1777" s="81"/>
    </row>
    <row r="1778" spans="3:17" x14ac:dyDescent="0.3">
      <c r="C1778" s="81"/>
      <c r="F1778" s="85"/>
      <c r="G1778" s="86"/>
      <c r="H1778" s="86"/>
      <c r="I1778" s="87"/>
      <c r="J1778" s="85"/>
      <c r="K1778" s="85"/>
      <c r="M1778" s="81"/>
      <c r="O1778" s="85"/>
      <c r="P1778" s="85"/>
      <c r="Q1778" s="81"/>
    </row>
    <row r="1779" spans="3:17" x14ac:dyDescent="0.3">
      <c r="C1779" s="81"/>
      <c r="F1779" s="85"/>
      <c r="G1779" s="86"/>
      <c r="H1779" s="86"/>
      <c r="I1779" s="87"/>
      <c r="J1779" s="85"/>
      <c r="K1779" s="85"/>
      <c r="M1779" s="81"/>
      <c r="O1779" s="85"/>
      <c r="P1779" s="85"/>
      <c r="Q1779" s="81"/>
    </row>
    <row r="1780" spans="3:17" x14ac:dyDescent="0.3">
      <c r="C1780" s="81"/>
      <c r="F1780" s="85"/>
      <c r="G1780" s="86"/>
      <c r="H1780" s="86"/>
      <c r="I1780" s="87"/>
      <c r="J1780" s="85"/>
      <c r="K1780" s="85"/>
      <c r="M1780" s="81"/>
      <c r="O1780" s="85"/>
      <c r="P1780" s="85"/>
      <c r="Q1780" s="81"/>
    </row>
    <row r="1781" spans="3:17" x14ac:dyDescent="0.3">
      <c r="C1781" s="81"/>
      <c r="F1781" s="85"/>
      <c r="G1781" s="86"/>
      <c r="H1781" s="86"/>
      <c r="I1781" s="87"/>
      <c r="J1781" s="85"/>
      <c r="K1781" s="85"/>
      <c r="M1781" s="81"/>
      <c r="O1781" s="85"/>
      <c r="P1781" s="85"/>
      <c r="Q1781" s="81"/>
    </row>
    <row r="1782" spans="3:17" x14ac:dyDescent="0.3">
      <c r="C1782" s="81"/>
      <c r="F1782" s="85"/>
      <c r="G1782" s="86"/>
      <c r="H1782" s="86"/>
      <c r="I1782" s="87"/>
      <c r="J1782" s="85"/>
      <c r="K1782" s="85"/>
      <c r="M1782" s="81"/>
      <c r="O1782" s="85"/>
      <c r="P1782" s="85"/>
      <c r="Q1782" s="81"/>
    </row>
    <row r="1783" spans="3:17" x14ac:dyDescent="0.3">
      <c r="C1783" s="81"/>
      <c r="F1783" s="85"/>
      <c r="G1783" s="86"/>
      <c r="H1783" s="86"/>
      <c r="I1783" s="87"/>
      <c r="J1783" s="85"/>
      <c r="K1783" s="85"/>
      <c r="M1783" s="81"/>
      <c r="O1783" s="85"/>
      <c r="P1783" s="85"/>
      <c r="Q1783" s="81"/>
    </row>
    <row r="1784" spans="3:17" x14ac:dyDescent="0.3">
      <c r="C1784" s="81"/>
      <c r="F1784" s="85"/>
      <c r="G1784" s="86"/>
      <c r="H1784" s="86"/>
      <c r="I1784" s="87"/>
      <c r="J1784" s="85"/>
      <c r="K1784" s="85"/>
      <c r="M1784" s="81"/>
      <c r="O1784" s="85"/>
      <c r="P1784" s="85"/>
      <c r="Q1784" s="81"/>
    </row>
    <row r="1785" spans="3:17" x14ac:dyDescent="0.3">
      <c r="C1785" s="81"/>
      <c r="F1785" s="85"/>
      <c r="G1785" s="86"/>
      <c r="H1785" s="86"/>
      <c r="I1785" s="87"/>
      <c r="J1785" s="85"/>
      <c r="K1785" s="85"/>
      <c r="M1785" s="81"/>
      <c r="O1785" s="85"/>
      <c r="P1785" s="85"/>
      <c r="Q1785" s="81"/>
    </row>
    <row r="1786" spans="3:17" x14ac:dyDescent="0.3">
      <c r="C1786" s="81"/>
      <c r="F1786" s="85"/>
      <c r="G1786" s="86"/>
      <c r="H1786" s="86"/>
      <c r="I1786" s="87"/>
      <c r="J1786" s="85"/>
      <c r="K1786" s="85"/>
      <c r="M1786" s="81"/>
      <c r="O1786" s="85"/>
      <c r="P1786" s="85"/>
      <c r="Q1786" s="81"/>
    </row>
    <row r="1787" spans="3:17" x14ac:dyDescent="0.3">
      <c r="C1787" s="81"/>
      <c r="F1787" s="85"/>
      <c r="G1787" s="86"/>
      <c r="H1787" s="86"/>
      <c r="I1787" s="87"/>
      <c r="J1787" s="85"/>
      <c r="K1787" s="85"/>
      <c r="M1787" s="81"/>
      <c r="O1787" s="85"/>
      <c r="P1787" s="85"/>
      <c r="Q1787" s="81"/>
    </row>
    <row r="1788" spans="3:17" x14ac:dyDescent="0.3">
      <c r="C1788" s="81"/>
      <c r="F1788" s="85"/>
      <c r="G1788" s="86"/>
      <c r="H1788" s="86"/>
      <c r="I1788" s="87"/>
      <c r="J1788" s="85"/>
      <c r="K1788" s="85"/>
      <c r="M1788" s="81"/>
      <c r="O1788" s="85"/>
      <c r="P1788" s="85"/>
      <c r="Q1788" s="81"/>
    </row>
    <row r="1789" spans="3:17" x14ac:dyDescent="0.3">
      <c r="C1789" s="81"/>
      <c r="F1789" s="85"/>
      <c r="G1789" s="86"/>
      <c r="H1789" s="86"/>
      <c r="I1789" s="87"/>
      <c r="J1789" s="85"/>
      <c r="K1789" s="85"/>
      <c r="M1789" s="81"/>
      <c r="O1789" s="85"/>
      <c r="P1789" s="85"/>
      <c r="Q1789" s="81"/>
    </row>
    <row r="1790" spans="3:17" x14ac:dyDescent="0.3">
      <c r="C1790" s="81"/>
      <c r="F1790" s="85"/>
      <c r="G1790" s="86"/>
      <c r="H1790" s="86"/>
      <c r="I1790" s="87"/>
      <c r="J1790" s="85"/>
      <c r="K1790" s="85"/>
      <c r="M1790" s="81"/>
      <c r="O1790" s="85"/>
      <c r="P1790" s="85"/>
      <c r="Q1790" s="81"/>
    </row>
    <row r="1791" spans="3:17" x14ac:dyDescent="0.3">
      <c r="C1791" s="81"/>
      <c r="F1791" s="85"/>
      <c r="G1791" s="86"/>
      <c r="H1791" s="86"/>
      <c r="I1791" s="87"/>
      <c r="J1791" s="85"/>
      <c r="K1791" s="85"/>
      <c r="M1791" s="81"/>
      <c r="O1791" s="85"/>
      <c r="P1791" s="85"/>
      <c r="Q1791" s="81"/>
    </row>
    <row r="1792" spans="3:17" x14ac:dyDescent="0.3">
      <c r="C1792" s="81"/>
      <c r="F1792" s="85"/>
      <c r="G1792" s="86"/>
      <c r="H1792" s="86"/>
      <c r="I1792" s="87"/>
      <c r="J1792" s="85"/>
      <c r="K1792" s="85"/>
      <c r="M1792" s="81"/>
      <c r="O1792" s="85"/>
      <c r="P1792" s="85"/>
      <c r="Q1792" s="81"/>
    </row>
    <row r="1793" spans="3:17" x14ac:dyDescent="0.3">
      <c r="C1793" s="81"/>
      <c r="F1793" s="85"/>
      <c r="G1793" s="86"/>
      <c r="H1793" s="86"/>
      <c r="I1793" s="87"/>
      <c r="J1793" s="85"/>
      <c r="K1793" s="85"/>
      <c r="M1793" s="81"/>
      <c r="O1793" s="85"/>
      <c r="P1793" s="85"/>
      <c r="Q1793" s="81"/>
    </row>
    <row r="1794" spans="3:17" x14ac:dyDescent="0.3">
      <c r="C1794" s="81"/>
      <c r="F1794" s="85"/>
      <c r="G1794" s="86"/>
      <c r="H1794" s="86"/>
      <c r="I1794" s="87"/>
      <c r="J1794" s="85"/>
      <c r="K1794" s="85"/>
      <c r="M1794" s="81"/>
      <c r="O1794" s="85"/>
      <c r="P1794" s="85"/>
      <c r="Q1794" s="81"/>
    </row>
    <row r="1795" spans="3:17" x14ac:dyDescent="0.3">
      <c r="C1795" s="81"/>
      <c r="F1795" s="85"/>
      <c r="G1795" s="86"/>
      <c r="H1795" s="86"/>
      <c r="I1795" s="87"/>
      <c r="J1795" s="85"/>
      <c r="K1795" s="85"/>
      <c r="M1795" s="81"/>
      <c r="O1795" s="85"/>
      <c r="P1795" s="85"/>
      <c r="Q1795" s="81"/>
    </row>
    <row r="1796" spans="3:17" x14ac:dyDescent="0.3">
      <c r="C1796" s="81"/>
      <c r="F1796" s="85"/>
      <c r="G1796" s="86"/>
      <c r="H1796" s="86"/>
      <c r="I1796" s="87"/>
      <c r="J1796" s="85"/>
      <c r="K1796" s="85"/>
      <c r="M1796" s="81"/>
      <c r="O1796" s="85"/>
      <c r="P1796" s="85"/>
      <c r="Q1796" s="81"/>
    </row>
    <row r="1797" spans="3:17" x14ac:dyDescent="0.3">
      <c r="C1797" s="81"/>
      <c r="F1797" s="85"/>
      <c r="G1797" s="86"/>
      <c r="H1797" s="86"/>
      <c r="I1797" s="87"/>
      <c r="J1797" s="85"/>
      <c r="K1797" s="85"/>
      <c r="M1797" s="81"/>
      <c r="O1797" s="85"/>
      <c r="P1797" s="85"/>
      <c r="Q1797" s="81"/>
    </row>
    <row r="1798" spans="3:17" x14ac:dyDescent="0.3">
      <c r="C1798" s="81"/>
      <c r="F1798" s="85"/>
      <c r="G1798" s="86"/>
      <c r="H1798" s="86"/>
      <c r="I1798" s="87"/>
      <c r="J1798" s="85"/>
      <c r="K1798" s="85"/>
      <c r="M1798" s="81"/>
      <c r="O1798" s="85"/>
      <c r="P1798" s="85"/>
      <c r="Q1798" s="81"/>
    </row>
    <row r="1799" spans="3:17" x14ac:dyDescent="0.3">
      <c r="C1799" s="81"/>
      <c r="F1799" s="85"/>
      <c r="G1799" s="86"/>
      <c r="H1799" s="86"/>
      <c r="I1799" s="87"/>
      <c r="J1799" s="85"/>
      <c r="K1799" s="85"/>
      <c r="M1799" s="81"/>
      <c r="O1799" s="85"/>
      <c r="P1799" s="85"/>
      <c r="Q1799" s="81"/>
    </row>
    <row r="1800" spans="3:17" x14ac:dyDescent="0.3">
      <c r="C1800" s="81"/>
      <c r="F1800" s="85"/>
      <c r="G1800" s="86"/>
      <c r="H1800" s="86"/>
      <c r="I1800" s="87"/>
      <c r="J1800" s="85"/>
      <c r="K1800" s="85"/>
      <c r="M1800" s="81"/>
      <c r="O1800" s="85"/>
      <c r="P1800" s="85"/>
      <c r="Q1800" s="81"/>
    </row>
    <row r="1801" spans="3:17" x14ac:dyDescent="0.3">
      <c r="C1801" s="81"/>
      <c r="F1801" s="85"/>
      <c r="G1801" s="86"/>
      <c r="H1801" s="86"/>
      <c r="I1801" s="87"/>
      <c r="J1801" s="85"/>
      <c r="K1801" s="85"/>
      <c r="M1801" s="81"/>
      <c r="O1801" s="85"/>
      <c r="P1801" s="85"/>
      <c r="Q1801" s="81"/>
    </row>
    <row r="1802" spans="3:17" x14ac:dyDescent="0.3">
      <c r="C1802" s="81"/>
      <c r="F1802" s="85"/>
      <c r="G1802" s="86"/>
      <c r="H1802" s="86"/>
      <c r="I1802" s="87"/>
      <c r="J1802" s="85"/>
      <c r="K1802" s="85"/>
      <c r="M1802" s="81"/>
      <c r="O1802" s="85"/>
      <c r="P1802" s="85"/>
      <c r="Q1802" s="81"/>
    </row>
    <row r="1803" spans="3:17" x14ac:dyDescent="0.3">
      <c r="C1803" s="81"/>
      <c r="F1803" s="85"/>
      <c r="G1803" s="86"/>
      <c r="H1803" s="86"/>
      <c r="I1803" s="87"/>
      <c r="J1803" s="85"/>
      <c r="K1803" s="85"/>
      <c r="M1803" s="81"/>
      <c r="O1803" s="85"/>
      <c r="P1803" s="85"/>
      <c r="Q1803" s="81"/>
    </row>
    <row r="1804" spans="3:17" x14ac:dyDescent="0.3">
      <c r="C1804" s="81"/>
      <c r="F1804" s="85"/>
      <c r="G1804" s="86"/>
      <c r="H1804" s="86"/>
      <c r="I1804" s="87"/>
      <c r="J1804" s="85"/>
      <c r="K1804" s="85"/>
      <c r="M1804" s="81"/>
      <c r="O1804" s="85"/>
      <c r="P1804" s="85"/>
      <c r="Q1804" s="81"/>
    </row>
    <row r="1805" spans="3:17" x14ac:dyDescent="0.3">
      <c r="C1805" s="81"/>
      <c r="F1805" s="85"/>
      <c r="G1805" s="86"/>
      <c r="H1805" s="86"/>
      <c r="I1805" s="87"/>
      <c r="J1805" s="85"/>
      <c r="K1805" s="85"/>
      <c r="M1805" s="81"/>
      <c r="O1805" s="85"/>
      <c r="P1805" s="85"/>
      <c r="Q1805" s="81"/>
    </row>
    <row r="1806" spans="3:17" x14ac:dyDescent="0.3">
      <c r="C1806" s="81"/>
      <c r="F1806" s="85"/>
      <c r="G1806" s="86"/>
      <c r="H1806" s="86"/>
      <c r="I1806" s="87"/>
      <c r="J1806" s="85"/>
      <c r="K1806" s="85"/>
      <c r="M1806" s="81"/>
      <c r="O1806" s="85"/>
      <c r="P1806" s="85"/>
      <c r="Q1806" s="81"/>
    </row>
    <row r="1807" spans="3:17" x14ac:dyDescent="0.3">
      <c r="C1807" s="81"/>
      <c r="F1807" s="85"/>
      <c r="G1807" s="86"/>
      <c r="H1807" s="86"/>
      <c r="I1807" s="87"/>
      <c r="J1807" s="85"/>
      <c r="K1807" s="85"/>
      <c r="M1807" s="81"/>
      <c r="O1807" s="85"/>
      <c r="P1807" s="85"/>
      <c r="Q1807" s="81"/>
    </row>
    <row r="1808" spans="3:17" x14ac:dyDescent="0.3">
      <c r="C1808" s="81"/>
      <c r="F1808" s="85"/>
      <c r="G1808" s="86"/>
      <c r="H1808" s="86"/>
      <c r="I1808" s="87"/>
      <c r="J1808" s="85"/>
      <c r="K1808" s="85"/>
      <c r="M1808" s="81"/>
      <c r="O1808" s="85"/>
      <c r="P1808" s="85"/>
      <c r="Q1808" s="81"/>
    </row>
    <row r="1809" spans="3:17" x14ac:dyDescent="0.3">
      <c r="C1809" s="81"/>
      <c r="F1809" s="85"/>
      <c r="G1809" s="86"/>
      <c r="H1809" s="86"/>
      <c r="I1809" s="87"/>
      <c r="J1809" s="85"/>
      <c r="K1809" s="85"/>
      <c r="M1809" s="81"/>
      <c r="O1809" s="85"/>
      <c r="P1809" s="85"/>
      <c r="Q1809" s="81"/>
    </row>
    <row r="1810" spans="3:17" x14ac:dyDescent="0.3">
      <c r="C1810" s="81"/>
      <c r="F1810" s="85"/>
      <c r="G1810" s="86"/>
      <c r="H1810" s="86"/>
      <c r="I1810" s="87"/>
      <c r="J1810" s="85"/>
      <c r="K1810" s="85"/>
      <c r="M1810" s="81"/>
      <c r="O1810" s="85"/>
      <c r="P1810" s="85"/>
      <c r="Q1810" s="81"/>
    </row>
    <row r="1811" spans="3:17" x14ac:dyDescent="0.3">
      <c r="C1811" s="81"/>
      <c r="F1811" s="85"/>
      <c r="G1811" s="86"/>
      <c r="H1811" s="86"/>
      <c r="I1811" s="87"/>
      <c r="J1811" s="85"/>
      <c r="K1811" s="85"/>
      <c r="M1811" s="81"/>
      <c r="O1811" s="85"/>
      <c r="P1811" s="85"/>
      <c r="Q1811" s="81"/>
    </row>
    <row r="1812" spans="3:17" x14ac:dyDescent="0.3">
      <c r="C1812" s="81"/>
      <c r="F1812" s="85"/>
      <c r="G1812" s="86"/>
      <c r="H1812" s="86"/>
      <c r="I1812" s="87"/>
      <c r="J1812" s="85"/>
      <c r="K1812" s="85"/>
      <c r="M1812" s="81"/>
      <c r="O1812" s="85"/>
      <c r="P1812" s="85"/>
      <c r="Q1812" s="81"/>
    </row>
    <row r="1813" spans="3:17" x14ac:dyDescent="0.3">
      <c r="C1813" s="81"/>
      <c r="F1813" s="85"/>
      <c r="G1813" s="86"/>
      <c r="H1813" s="86"/>
      <c r="I1813" s="87"/>
      <c r="J1813" s="85"/>
      <c r="K1813" s="85"/>
      <c r="M1813" s="81"/>
      <c r="O1813" s="85"/>
      <c r="P1813" s="85"/>
      <c r="Q1813" s="81"/>
    </row>
    <row r="1814" spans="3:17" x14ac:dyDescent="0.3">
      <c r="C1814" s="81"/>
      <c r="F1814" s="85"/>
      <c r="G1814" s="86"/>
      <c r="H1814" s="86"/>
      <c r="I1814" s="87"/>
      <c r="J1814" s="85"/>
      <c r="K1814" s="85"/>
      <c r="M1814" s="81"/>
      <c r="O1814" s="85"/>
      <c r="P1814" s="85"/>
      <c r="Q1814" s="81"/>
    </row>
    <row r="1815" spans="3:17" x14ac:dyDescent="0.3">
      <c r="C1815" s="81"/>
      <c r="F1815" s="85"/>
      <c r="G1815" s="86"/>
      <c r="H1815" s="86"/>
      <c r="I1815" s="87"/>
      <c r="J1815" s="85"/>
      <c r="K1815" s="85"/>
      <c r="M1815" s="81"/>
      <c r="O1815" s="85"/>
      <c r="P1815" s="85"/>
      <c r="Q1815" s="81"/>
    </row>
    <row r="1816" spans="3:17" x14ac:dyDescent="0.3">
      <c r="C1816" s="81"/>
      <c r="F1816" s="85"/>
      <c r="G1816" s="86"/>
      <c r="H1816" s="86"/>
      <c r="I1816" s="87"/>
      <c r="J1816" s="85"/>
      <c r="K1816" s="85"/>
      <c r="M1816" s="81"/>
      <c r="O1816" s="85"/>
      <c r="P1816" s="85"/>
      <c r="Q1816" s="81"/>
    </row>
    <row r="1817" spans="3:17" x14ac:dyDescent="0.3">
      <c r="C1817" s="81"/>
      <c r="F1817" s="85"/>
      <c r="G1817" s="86"/>
      <c r="H1817" s="86"/>
      <c r="I1817" s="87"/>
      <c r="J1817" s="85"/>
      <c r="K1817" s="85"/>
      <c r="M1817" s="81"/>
      <c r="O1817" s="85"/>
      <c r="P1817" s="85"/>
      <c r="Q1817" s="81"/>
    </row>
    <row r="1818" spans="3:17" x14ac:dyDescent="0.3">
      <c r="C1818" s="81"/>
      <c r="F1818" s="85"/>
      <c r="G1818" s="86"/>
      <c r="H1818" s="86"/>
      <c r="I1818" s="87"/>
      <c r="J1818" s="85"/>
      <c r="K1818" s="85"/>
      <c r="M1818" s="81"/>
      <c r="O1818" s="85"/>
      <c r="P1818" s="85"/>
      <c r="Q1818" s="81"/>
    </row>
    <row r="1819" spans="3:17" x14ac:dyDescent="0.3">
      <c r="C1819" s="81"/>
      <c r="F1819" s="85"/>
      <c r="G1819" s="86"/>
      <c r="H1819" s="86"/>
      <c r="I1819" s="87"/>
      <c r="J1819" s="85"/>
      <c r="K1819" s="85"/>
      <c r="M1819" s="81"/>
      <c r="O1819" s="85"/>
      <c r="P1819" s="85"/>
      <c r="Q1819" s="81"/>
    </row>
    <row r="1820" spans="3:17" x14ac:dyDescent="0.3">
      <c r="C1820" s="81"/>
      <c r="F1820" s="85"/>
      <c r="G1820" s="86"/>
      <c r="H1820" s="86"/>
      <c r="I1820" s="87"/>
      <c r="J1820" s="85"/>
      <c r="K1820" s="85"/>
      <c r="M1820" s="81"/>
      <c r="O1820" s="85"/>
      <c r="P1820" s="85"/>
      <c r="Q1820" s="81"/>
    </row>
    <row r="1821" spans="3:17" x14ac:dyDescent="0.3">
      <c r="C1821" s="81"/>
      <c r="F1821" s="85"/>
      <c r="G1821" s="86"/>
      <c r="H1821" s="86"/>
      <c r="I1821" s="87"/>
      <c r="J1821" s="85"/>
      <c r="K1821" s="85"/>
      <c r="M1821" s="81"/>
      <c r="O1821" s="85"/>
      <c r="P1821" s="85"/>
      <c r="Q1821" s="81"/>
    </row>
    <row r="1822" spans="3:17" x14ac:dyDescent="0.3">
      <c r="C1822" s="81"/>
      <c r="F1822" s="85"/>
      <c r="G1822" s="86"/>
      <c r="H1822" s="86"/>
      <c r="I1822" s="87"/>
      <c r="J1822" s="85"/>
      <c r="K1822" s="85"/>
      <c r="M1822" s="81"/>
      <c r="O1822" s="85"/>
      <c r="P1822" s="85"/>
      <c r="Q1822" s="81"/>
    </row>
    <row r="1823" spans="3:17" x14ac:dyDescent="0.3">
      <c r="C1823" s="81"/>
      <c r="F1823" s="85"/>
      <c r="G1823" s="86"/>
      <c r="H1823" s="86"/>
      <c r="I1823" s="87"/>
      <c r="J1823" s="85"/>
      <c r="K1823" s="85"/>
      <c r="M1823" s="81"/>
      <c r="O1823" s="85"/>
      <c r="P1823" s="85"/>
      <c r="Q1823" s="81"/>
    </row>
    <row r="1824" spans="3:17" x14ac:dyDescent="0.3">
      <c r="C1824" s="81"/>
      <c r="F1824" s="85"/>
      <c r="G1824" s="86"/>
      <c r="H1824" s="86"/>
      <c r="I1824" s="87"/>
      <c r="J1824" s="85"/>
      <c r="K1824" s="85"/>
      <c r="M1824" s="81"/>
      <c r="O1824" s="85"/>
      <c r="P1824" s="85"/>
      <c r="Q1824" s="81"/>
    </row>
    <row r="1825" spans="3:17" x14ac:dyDescent="0.3">
      <c r="C1825" s="81"/>
      <c r="F1825" s="85"/>
      <c r="G1825" s="86"/>
      <c r="H1825" s="86"/>
      <c r="I1825" s="87"/>
      <c r="J1825" s="85"/>
      <c r="K1825" s="85"/>
      <c r="M1825" s="81"/>
      <c r="O1825" s="85"/>
      <c r="P1825" s="85"/>
      <c r="Q1825" s="81"/>
    </row>
    <row r="1826" spans="3:17" x14ac:dyDescent="0.3">
      <c r="C1826" s="81"/>
      <c r="F1826" s="85"/>
      <c r="G1826" s="86"/>
      <c r="H1826" s="86"/>
      <c r="I1826" s="87"/>
      <c r="J1826" s="85"/>
      <c r="K1826" s="85"/>
      <c r="M1826" s="81"/>
      <c r="O1826" s="85"/>
      <c r="P1826" s="85"/>
      <c r="Q1826" s="81"/>
    </row>
    <row r="1827" spans="3:17" x14ac:dyDescent="0.3">
      <c r="C1827" s="81"/>
      <c r="F1827" s="85"/>
      <c r="G1827" s="86"/>
      <c r="H1827" s="86"/>
      <c r="I1827" s="87"/>
      <c r="J1827" s="85"/>
      <c r="K1827" s="85"/>
      <c r="M1827" s="81"/>
      <c r="O1827" s="85"/>
      <c r="P1827" s="85"/>
      <c r="Q1827" s="81"/>
    </row>
    <row r="1828" spans="3:17" x14ac:dyDescent="0.3">
      <c r="C1828" s="81"/>
      <c r="F1828" s="85"/>
      <c r="G1828" s="86"/>
      <c r="H1828" s="86"/>
      <c r="I1828" s="87"/>
      <c r="J1828" s="85"/>
      <c r="K1828" s="85"/>
      <c r="M1828" s="81"/>
      <c r="O1828" s="85"/>
      <c r="P1828" s="85"/>
      <c r="Q1828" s="81"/>
    </row>
    <row r="1829" spans="3:17" x14ac:dyDescent="0.3">
      <c r="C1829" s="81"/>
      <c r="F1829" s="85"/>
      <c r="G1829" s="86"/>
      <c r="H1829" s="86"/>
      <c r="I1829" s="87"/>
      <c r="J1829" s="85"/>
      <c r="K1829" s="85"/>
      <c r="M1829" s="81"/>
      <c r="O1829" s="85"/>
      <c r="P1829" s="85"/>
      <c r="Q1829" s="81"/>
    </row>
    <row r="1830" spans="3:17" x14ac:dyDescent="0.3">
      <c r="C1830" s="81"/>
      <c r="F1830" s="85"/>
      <c r="G1830" s="86"/>
      <c r="H1830" s="86"/>
      <c r="I1830" s="87"/>
      <c r="J1830" s="85"/>
      <c r="K1830" s="85"/>
      <c r="M1830" s="81"/>
      <c r="O1830" s="85"/>
      <c r="P1830" s="85"/>
      <c r="Q1830" s="81"/>
    </row>
    <row r="1831" spans="3:17" x14ac:dyDescent="0.3">
      <c r="C1831" s="81"/>
      <c r="F1831" s="85"/>
      <c r="G1831" s="86"/>
      <c r="H1831" s="86"/>
      <c r="I1831" s="87"/>
      <c r="J1831" s="85"/>
      <c r="K1831" s="85"/>
      <c r="M1831" s="81"/>
      <c r="O1831" s="85"/>
      <c r="P1831" s="85"/>
      <c r="Q1831" s="81"/>
    </row>
    <row r="1832" spans="3:17" x14ac:dyDescent="0.3">
      <c r="C1832" s="81"/>
      <c r="F1832" s="85"/>
      <c r="G1832" s="86"/>
      <c r="H1832" s="86"/>
      <c r="I1832" s="87"/>
      <c r="J1832" s="85"/>
      <c r="K1832" s="85"/>
      <c r="M1832" s="81"/>
      <c r="O1832" s="85"/>
      <c r="P1832" s="85"/>
      <c r="Q1832" s="81"/>
    </row>
    <row r="1833" spans="3:17" x14ac:dyDescent="0.3">
      <c r="C1833" s="81"/>
      <c r="F1833" s="85"/>
      <c r="G1833" s="86"/>
      <c r="H1833" s="86"/>
      <c r="I1833" s="87"/>
      <c r="J1833" s="85"/>
      <c r="K1833" s="85"/>
      <c r="M1833" s="81"/>
      <c r="O1833" s="85"/>
      <c r="P1833" s="85"/>
      <c r="Q1833" s="81"/>
    </row>
    <row r="1834" spans="3:17" x14ac:dyDescent="0.3">
      <c r="C1834" s="81"/>
      <c r="F1834" s="85"/>
      <c r="G1834" s="86"/>
      <c r="H1834" s="86"/>
      <c r="I1834" s="87"/>
      <c r="J1834" s="85"/>
      <c r="K1834" s="85"/>
      <c r="M1834" s="81"/>
      <c r="O1834" s="85"/>
      <c r="P1834" s="85"/>
      <c r="Q1834" s="81"/>
    </row>
    <row r="1835" spans="3:17" x14ac:dyDescent="0.3">
      <c r="C1835" s="81"/>
      <c r="F1835" s="85"/>
      <c r="G1835" s="86"/>
      <c r="H1835" s="86"/>
      <c r="I1835" s="87"/>
      <c r="J1835" s="85"/>
      <c r="K1835" s="85"/>
      <c r="M1835" s="81"/>
      <c r="O1835" s="85"/>
      <c r="P1835" s="85"/>
      <c r="Q1835" s="81"/>
    </row>
    <row r="1836" spans="3:17" x14ac:dyDescent="0.3">
      <c r="C1836" s="81"/>
      <c r="F1836" s="85"/>
      <c r="G1836" s="86"/>
      <c r="H1836" s="86"/>
      <c r="I1836" s="87"/>
      <c r="J1836" s="85"/>
      <c r="K1836" s="85"/>
      <c r="M1836" s="81"/>
      <c r="O1836" s="85"/>
      <c r="P1836" s="85"/>
      <c r="Q1836" s="81"/>
    </row>
    <row r="1837" spans="3:17" x14ac:dyDescent="0.3">
      <c r="C1837" s="81"/>
      <c r="F1837" s="85"/>
      <c r="G1837" s="86"/>
      <c r="H1837" s="86"/>
      <c r="I1837" s="87"/>
      <c r="J1837" s="85"/>
      <c r="K1837" s="85"/>
      <c r="M1837" s="81"/>
      <c r="O1837" s="85"/>
      <c r="P1837" s="85"/>
      <c r="Q1837" s="81"/>
    </row>
    <row r="1838" spans="3:17" x14ac:dyDescent="0.3">
      <c r="C1838" s="81"/>
      <c r="F1838" s="85"/>
      <c r="G1838" s="86"/>
      <c r="H1838" s="86"/>
      <c r="I1838" s="87"/>
      <c r="J1838" s="85"/>
      <c r="K1838" s="85"/>
      <c r="M1838" s="81"/>
      <c r="O1838" s="85"/>
      <c r="P1838" s="85"/>
      <c r="Q1838" s="81"/>
    </row>
    <row r="1839" spans="3:17" x14ac:dyDescent="0.3">
      <c r="C1839" s="81"/>
      <c r="F1839" s="85"/>
      <c r="G1839" s="86"/>
      <c r="H1839" s="86"/>
      <c r="I1839" s="87"/>
      <c r="J1839" s="85"/>
      <c r="K1839" s="85"/>
      <c r="M1839" s="81"/>
      <c r="O1839" s="85"/>
      <c r="P1839" s="85"/>
      <c r="Q1839" s="81"/>
    </row>
    <row r="1840" spans="3:17" x14ac:dyDescent="0.3">
      <c r="C1840" s="81"/>
      <c r="F1840" s="85"/>
      <c r="G1840" s="86"/>
      <c r="H1840" s="86"/>
      <c r="I1840" s="87"/>
      <c r="J1840" s="85"/>
      <c r="K1840" s="85"/>
      <c r="M1840" s="81"/>
      <c r="O1840" s="85"/>
      <c r="P1840" s="85"/>
      <c r="Q1840" s="81"/>
    </row>
    <row r="1841" spans="3:17" x14ac:dyDescent="0.3">
      <c r="C1841" s="81"/>
      <c r="F1841" s="85"/>
      <c r="G1841" s="86"/>
      <c r="H1841" s="86"/>
      <c r="I1841" s="87"/>
      <c r="J1841" s="85"/>
      <c r="K1841" s="85"/>
      <c r="M1841" s="81"/>
      <c r="O1841" s="85"/>
      <c r="P1841" s="85"/>
      <c r="Q1841" s="81"/>
    </row>
    <row r="1842" spans="3:17" x14ac:dyDescent="0.3">
      <c r="C1842" s="81"/>
      <c r="F1842" s="85"/>
      <c r="G1842" s="86"/>
      <c r="H1842" s="86"/>
      <c r="I1842" s="87"/>
      <c r="J1842" s="85"/>
      <c r="K1842" s="85"/>
      <c r="M1842" s="81"/>
      <c r="O1842" s="85"/>
      <c r="P1842" s="85"/>
      <c r="Q1842" s="81"/>
    </row>
    <row r="1843" spans="3:17" x14ac:dyDescent="0.3">
      <c r="C1843" s="81"/>
      <c r="F1843" s="85"/>
      <c r="G1843" s="86"/>
      <c r="H1843" s="86"/>
      <c r="I1843" s="87"/>
      <c r="J1843" s="85"/>
      <c r="K1843" s="85"/>
      <c r="M1843" s="81"/>
      <c r="O1843" s="85"/>
      <c r="P1843" s="85"/>
      <c r="Q1843" s="81"/>
    </row>
    <row r="1844" spans="3:17" x14ac:dyDescent="0.3">
      <c r="C1844" s="81"/>
      <c r="F1844" s="85"/>
      <c r="G1844" s="86"/>
      <c r="H1844" s="86"/>
      <c r="I1844" s="87"/>
      <c r="J1844" s="85"/>
      <c r="K1844" s="85"/>
      <c r="M1844" s="81"/>
      <c r="O1844" s="85"/>
      <c r="P1844" s="85"/>
      <c r="Q1844" s="81"/>
    </row>
    <row r="1845" spans="3:17" x14ac:dyDescent="0.3">
      <c r="C1845" s="81"/>
      <c r="F1845" s="85"/>
      <c r="G1845" s="86"/>
      <c r="H1845" s="86"/>
      <c r="I1845" s="87"/>
      <c r="J1845" s="85"/>
      <c r="K1845" s="85"/>
      <c r="M1845" s="81"/>
      <c r="O1845" s="85"/>
      <c r="P1845" s="85"/>
      <c r="Q1845" s="81"/>
    </row>
    <row r="1846" spans="3:17" x14ac:dyDescent="0.3">
      <c r="C1846" s="81"/>
      <c r="F1846" s="85"/>
      <c r="G1846" s="86"/>
      <c r="H1846" s="86"/>
      <c r="I1846" s="87"/>
      <c r="J1846" s="85"/>
      <c r="K1846" s="85"/>
      <c r="M1846" s="81"/>
      <c r="O1846" s="85"/>
      <c r="P1846" s="85"/>
      <c r="Q1846" s="81"/>
    </row>
    <row r="1847" spans="3:17" x14ac:dyDescent="0.3">
      <c r="C1847" s="81"/>
      <c r="F1847" s="85"/>
      <c r="G1847" s="86"/>
      <c r="H1847" s="86"/>
      <c r="I1847" s="87"/>
      <c r="J1847" s="85"/>
      <c r="K1847" s="85"/>
      <c r="M1847" s="81"/>
      <c r="O1847" s="85"/>
      <c r="P1847" s="85"/>
      <c r="Q1847" s="81"/>
    </row>
    <row r="1848" spans="3:17" x14ac:dyDescent="0.3">
      <c r="C1848" s="81"/>
      <c r="F1848" s="85"/>
      <c r="G1848" s="86"/>
      <c r="H1848" s="86"/>
      <c r="I1848" s="87"/>
      <c r="J1848" s="85"/>
      <c r="K1848" s="85"/>
      <c r="M1848" s="81"/>
      <c r="O1848" s="85"/>
      <c r="P1848" s="85"/>
      <c r="Q1848" s="81"/>
    </row>
    <row r="1849" spans="3:17" x14ac:dyDescent="0.3">
      <c r="C1849" s="81"/>
      <c r="F1849" s="85"/>
      <c r="G1849" s="86"/>
      <c r="H1849" s="86"/>
      <c r="I1849" s="87"/>
      <c r="J1849" s="85"/>
      <c r="K1849" s="85"/>
      <c r="M1849" s="81"/>
      <c r="O1849" s="85"/>
      <c r="P1849" s="85"/>
      <c r="Q1849" s="81"/>
    </row>
    <row r="1850" spans="3:17" x14ac:dyDescent="0.3">
      <c r="C1850" s="81"/>
      <c r="F1850" s="85"/>
      <c r="G1850" s="86"/>
      <c r="H1850" s="86"/>
      <c r="I1850" s="87"/>
      <c r="J1850" s="85"/>
      <c r="K1850" s="85"/>
      <c r="M1850" s="81"/>
      <c r="O1850" s="85"/>
      <c r="P1850" s="85"/>
      <c r="Q1850" s="81"/>
    </row>
    <row r="1851" spans="3:17" x14ac:dyDescent="0.3">
      <c r="C1851" s="81"/>
      <c r="F1851" s="85"/>
      <c r="G1851" s="86"/>
      <c r="H1851" s="86"/>
      <c r="I1851" s="87"/>
      <c r="J1851" s="85"/>
      <c r="K1851" s="85"/>
      <c r="M1851" s="81"/>
      <c r="O1851" s="85"/>
      <c r="P1851" s="85"/>
      <c r="Q1851" s="81"/>
    </row>
    <row r="1852" spans="3:17" x14ac:dyDescent="0.3">
      <c r="C1852" s="81"/>
      <c r="F1852" s="85"/>
      <c r="G1852" s="86"/>
      <c r="H1852" s="86"/>
      <c r="I1852" s="87"/>
      <c r="J1852" s="85"/>
      <c r="K1852" s="85"/>
      <c r="M1852" s="81"/>
      <c r="O1852" s="85"/>
      <c r="P1852" s="85"/>
      <c r="Q1852" s="81"/>
    </row>
    <row r="1853" spans="3:17" x14ac:dyDescent="0.3">
      <c r="C1853" s="81"/>
      <c r="F1853" s="85"/>
      <c r="G1853" s="86"/>
      <c r="H1853" s="86"/>
      <c r="I1853" s="87"/>
      <c r="J1853" s="85"/>
      <c r="K1853" s="85"/>
      <c r="M1853" s="81"/>
      <c r="O1853" s="85"/>
      <c r="P1853" s="85"/>
      <c r="Q1853" s="81"/>
    </row>
    <row r="1854" spans="3:17" x14ac:dyDescent="0.3">
      <c r="C1854" s="81"/>
      <c r="F1854" s="85"/>
      <c r="G1854" s="86"/>
      <c r="H1854" s="86"/>
      <c r="I1854" s="87"/>
      <c r="J1854" s="85"/>
      <c r="K1854" s="85"/>
      <c r="M1854" s="81"/>
      <c r="O1854" s="85"/>
      <c r="P1854" s="85"/>
      <c r="Q1854" s="81"/>
    </row>
    <row r="1855" spans="3:17" x14ac:dyDescent="0.3">
      <c r="C1855" s="81"/>
      <c r="F1855" s="85"/>
      <c r="G1855" s="86"/>
      <c r="H1855" s="86"/>
      <c r="I1855" s="87"/>
      <c r="J1855" s="85"/>
      <c r="K1855" s="85"/>
      <c r="M1855" s="81"/>
      <c r="O1855" s="85"/>
      <c r="P1855" s="85"/>
      <c r="Q1855" s="81"/>
    </row>
    <row r="1856" spans="3:17" x14ac:dyDescent="0.3">
      <c r="C1856" s="81"/>
      <c r="F1856" s="85"/>
      <c r="G1856" s="86"/>
      <c r="H1856" s="86"/>
      <c r="I1856" s="87"/>
      <c r="J1856" s="85"/>
      <c r="K1856" s="85"/>
      <c r="M1856" s="81"/>
      <c r="O1856" s="85"/>
      <c r="P1856" s="85"/>
      <c r="Q1856" s="81"/>
    </row>
    <row r="1857" spans="3:17" x14ac:dyDescent="0.3">
      <c r="C1857" s="81"/>
      <c r="F1857" s="85"/>
      <c r="G1857" s="86"/>
      <c r="H1857" s="86"/>
      <c r="I1857" s="87"/>
      <c r="J1857" s="85"/>
      <c r="K1857" s="85"/>
      <c r="M1857" s="81"/>
      <c r="O1857" s="85"/>
      <c r="P1857" s="85"/>
      <c r="Q1857" s="81"/>
    </row>
    <row r="1858" spans="3:17" x14ac:dyDescent="0.3">
      <c r="C1858" s="81"/>
      <c r="F1858" s="85"/>
      <c r="G1858" s="86"/>
      <c r="H1858" s="86"/>
      <c r="I1858" s="87"/>
      <c r="J1858" s="85"/>
      <c r="K1858" s="85"/>
      <c r="M1858" s="81"/>
      <c r="O1858" s="85"/>
      <c r="P1858" s="85"/>
      <c r="Q1858" s="81"/>
    </row>
    <row r="1859" spans="3:17" x14ac:dyDescent="0.3">
      <c r="C1859" s="81"/>
      <c r="F1859" s="85"/>
      <c r="G1859" s="86"/>
      <c r="H1859" s="86"/>
      <c r="I1859" s="87"/>
      <c r="J1859" s="85"/>
      <c r="K1859" s="85"/>
      <c r="M1859" s="81"/>
      <c r="O1859" s="85"/>
      <c r="P1859" s="85"/>
      <c r="Q1859" s="81"/>
    </row>
    <row r="1860" spans="3:17" x14ac:dyDescent="0.3">
      <c r="C1860" s="81"/>
      <c r="F1860" s="85"/>
      <c r="G1860" s="86"/>
      <c r="H1860" s="86"/>
      <c r="I1860" s="87"/>
      <c r="J1860" s="85"/>
      <c r="K1860" s="85"/>
      <c r="M1860" s="81"/>
      <c r="O1860" s="85"/>
      <c r="P1860" s="85"/>
      <c r="Q1860" s="81"/>
    </row>
    <row r="1861" spans="3:17" x14ac:dyDescent="0.3">
      <c r="C1861" s="81"/>
      <c r="F1861" s="85"/>
      <c r="G1861" s="86"/>
      <c r="H1861" s="86"/>
      <c r="I1861" s="87"/>
      <c r="J1861" s="85"/>
      <c r="K1861" s="85"/>
      <c r="M1861" s="81"/>
      <c r="O1861" s="85"/>
      <c r="P1861" s="85"/>
      <c r="Q1861" s="81"/>
    </row>
    <row r="1862" spans="3:17" x14ac:dyDescent="0.3">
      <c r="C1862" s="81"/>
      <c r="F1862" s="85"/>
      <c r="G1862" s="86"/>
      <c r="H1862" s="86"/>
      <c r="I1862" s="87"/>
      <c r="J1862" s="85"/>
      <c r="K1862" s="85"/>
      <c r="M1862" s="81"/>
      <c r="O1862" s="85"/>
      <c r="P1862" s="85"/>
      <c r="Q1862" s="81"/>
    </row>
    <row r="1863" spans="3:17" x14ac:dyDescent="0.3">
      <c r="C1863" s="81"/>
      <c r="F1863" s="85"/>
      <c r="G1863" s="86"/>
      <c r="H1863" s="86"/>
      <c r="I1863" s="87"/>
      <c r="J1863" s="85"/>
      <c r="K1863" s="85"/>
      <c r="M1863" s="81"/>
      <c r="O1863" s="85"/>
      <c r="P1863" s="85"/>
      <c r="Q1863" s="81"/>
    </row>
    <row r="1864" spans="3:17" x14ac:dyDescent="0.3">
      <c r="C1864" s="81"/>
      <c r="F1864" s="85"/>
      <c r="G1864" s="86"/>
      <c r="H1864" s="86"/>
      <c r="I1864" s="87"/>
      <c r="J1864" s="85"/>
      <c r="K1864" s="85"/>
      <c r="M1864" s="81"/>
      <c r="O1864" s="85"/>
      <c r="P1864" s="85"/>
      <c r="Q1864" s="81"/>
    </row>
    <row r="1865" spans="3:17" x14ac:dyDescent="0.3">
      <c r="C1865" s="81"/>
      <c r="F1865" s="85"/>
      <c r="G1865" s="86"/>
      <c r="H1865" s="86"/>
      <c r="I1865" s="87"/>
      <c r="J1865" s="85"/>
      <c r="K1865" s="85"/>
      <c r="M1865" s="81"/>
      <c r="O1865" s="85"/>
      <c r="P1865" s="85"/>
      <c r="Q1865" s="81"/>
    </row>
    <row r="1866" spans="3:17" x14ac:dyDescent="0.3">
      <c r="C1866" s="81"/>
      <c r="F1866" s="85"/>
      <c r="G1866" s="86"/>
      <c r="H1866" s="86"/>
      <c r="I1866" s="87"/>
      <c r="J1866" s="85"/>
      <c r="K1866" s="85"/>
      <c r="M1866" s="81"/>
      <c r="O1866" s="85"/>
      <c r="P1866" s="85"/>
      <c r="Q1866" s="81"/>
    </row>
    <row r="1867" spans="3:17" x14ac:dyDescent="0.3">
      <c r="C1867" s="81"/>
      <c r="F1867" s="85"/>
      <c r="G1867" s="86"/>
      <c r="H1867" s="86"/>
      <c r="I1867" s="87"/>
      <c r="J1867" s="85"/>
      <c r="K1867" s="85"/>
      <c r="M1867" s="81"/>
      <c r="O1867" s="85"/>
      <c r="P1867" s="85"/>
      <c r="Q1867" s="81"/>
    </row>
    <row r="1868" spans="3:17" x14ac:dyDescent="0.3">
      <c r="C1868" s="81"/>
      <c r="F1868" s="85"/>
      <c r="G1868" s="86"/>
      <c r="H1868" s="86"/>
      <c r="I1868" s="87"/>
      <c r="J1868" s="85"/>
      <c r="K1868" s="85"/>
      <c r="M1868" s="81"/>
      <c r="O1868" s="85"/>
      <c r="P1868" s="85"/>
      <c r="Q1868" s="81"/>
    </row>
    <row r="1869" spans="3:17" x14ac:dyDescent="0.3">
      <c r="C1869" s="81"/>
      <c r="F1869" s="85"/>
      <c r="G1869" s="86"/>
      <c r="H1869" s="86"/>
      <c r="I1869" s="87"/>
      <c r="J1869" s="85"/>
      <c r="K1869" s="85"/>
      <c r="M1869" s="81"/>
      <c r="O1869" s="85"/>
      <c r="P1869" s="85"/>
      <c r="Q1869" s="81"/>
    </row>
    <row r="1870" spans="3:17" x14ac:dyDescent="0.3">
      <c r="C1870" s="81"/>
      <c r="F1870" s="85"/>
      <c r="G1870" s="86"/>
      <c r="H1870" s="86"/>
      <c r="I1870" s="87"/>
      <c r="J1870" s="85"/>
      <c r="K1870" s="85"/>
      <c r="M1870" s="81"/>
      <c r="O1870" s="85"/>
      <c r="P1870" s="85"/>
      <c r="Q1870" s="81"/>
    </row>
    <row r="1871" spans="3:17" x14ac:dyDescent="0.3">
      <c r="C1871" s="81"/>
      <c r="F1871" s="85"/>
      <c r="G1871" s="86"/>
      <c r="H1871" s="86"/>
      <c r="I1871" s="87"/>
      <c r="J1871" s="85"/>
      <c r="K1871" s="85"/>
      <c r="M1871" s="81"/>
      <c r="O1871" s="85"/>
      <c r="P1871" s="85"/>
      <c r="Q1871" s="81"/>
    </row>
    <row r="1872" spans="3:17" x14ac:dyDescent="0.3">
      <c r="C1872" s="81"/>
      <c r="F1872" s="85"/>
      <c r="G1872" s="86"/>
      <c r="H1872" s="86"/>
      <c r="I1872" s="87"/>
      <c r="J1872" s="85"/>
      <c r="K1872" s="85"/>
      <c r="M1872" s="81"/>
      <c r="O1872" s="85"/>
      <c r="P1872" s="85"/>
      <c r="Q1872" s="81"/>
    </row>
    <row r="1873" spans="3:17" x14ac:dyDescent="0.3">
      <c r="C1873" s="81"/>
      <c r="F1873" s="85"/>
      <c r="G1873" s="86"/>
      <c r="H1873" s="86"/>
      <c r="I1873" s="87"/>
      <c r="J1873" s="85"/>
      <c r="K1873" s="85"/>
      <c r="M1873" s="81"/>
      <c r="O1873" s="85"/>
      <c r="P1873" s="85"/>
      <c r="Q1873" s="81"/>
    </row>
    <row r="1874" spans="3:17" x14ac:dyDescent="0.3">
      <c r="C1874" s="81"/>
      <c r="F1874" s="85"/>
      <c r="G1874" s="86"/>
      <c r="H1874" s="86"/>
      <c r="I1874" s="87"/>
      <c r="J1874" s="85"/>
      <c r="K1874" s="85"/>
      <c r="M1874" s="81"/>
      <c r="O1874" s="85"/>
      <c r="P1874" s="85"/>
      <c r="Q1874" s="81"/>
    </row>
    <row r="1875" spans="3:17" x14ac:dyDescent="0.3">
      <c r="C1875" s="81"/>
      <c r="F1875" s="85"/>
      <c r="G1875" s="86"/>
      <c r="H1875" s="86"/>
      <c r="I1875" s="87"/>
      <c r="J1875" s="85"/>
      <c r="K1875" s="85"/>
      <c r="M1875" s="81"/>
      <c r="O1875" s="85"/>
      <c r="P1875" s="85"/>
      <c r="Q1875" s="81"/>
    </row>
    <row r="1876" spans="3:17" x14ac:dyDescent="0.3">
      <c r="C1876" s="81"/>
      <c r="F1876" s="85"/>
      <c r="G1876" s="86"/>
      <c r="H1876" s="86"/>
      <c r="I1876" s="87"/>
      <c r="J1876" s="85"/>
      <c r="K1876" s="85"/>
      <c r="M1876" s="81"/>
      <c r="O1876" s="85"/>
      <c r="P1876" s="85"/>
      <c r="Q1876" s="81"/>
    </row>
    <row r="1877" spans="3:17" x14ac:dyDescent="0.3">
      <c r="C1877" s="81"/>
      <c r="F1877" s="85"/>
      <c r="G1877" s="86"/>
      <c r="H1877" s="86"/>
      <c r="I1877" s="87"/>
      <c r="J1877" s="85"/>
      <c r="K1877" s="85"/>
      <c r="M1877" s="81"/>
      <c r="O1877" s="85"/>
      <c r="P1877" s="85"/>
      <c r="Q1877" s="81"/>
    </row>
    <row r="1878" spans="3:17" x14ac:dyDescent="0.3">
      <c r="C1878" s="81"/>
      <c r="F1878" s="85"/>
      <c r="G1878" s="86"/>
      <c r="H1878" s="86"/>
      <c r="I1878" s="87"/>
      <c r="J1878" s="85"/>
      <c r="K1878" s="85"/>
      <c r="M1878" s="81"/>
      <c r="O1878" s="85"/>
      <c r="P1878" s="85"/>
      <c r="Q1878" s="81"/>
    </row>
    <row r="1879" spans="3:17" x14ac:dyDescent="0.3">
      <c r="C1879" s="81"/>
      <c r="F1879" s="85"/>
      <c r="G1879" s="86"/>
      <c r="H1879" s="86"/>
      <c r="I1879" s="87"/>
      <c r="J1879" s="85"/>
      <c r="K1879" s="85"/>
      <c r="M1879" s="81"/>
      <c r="O1879" s="85"/>
      <c r="P1879" s="85"/>
      <c r="Q1879" s="81"/>
    </row>
    <row r="1880" spans="3:17" x14ac:dyDescent="0.3">
      <c r="C1880" s="81"/>
      <c r="F1880" s="85"/>
      <c r="G1880" s="86"/>
      <c r="H1880" s="86"/>
      <c r="I1880" s="87"/>
      <c r="J1880" s="85"/>
      <c r="K1880" s="85"/>
      <c r="M1880" s="81"/>
      <c r="O1880" s="85"/>
      <c r="P1880" s="85"/>
      <c r="Q1880" s="81"/>
    </row>
    <row r="1881" spans="3:17" x14ac:dyDescent="0.3">
      <c r="C1881" s="81"/>
      <c r="F1881" s="85"/>
      <c r="G1881" s="86"/>
      <c r="H1881" s="86"/>
      <c r="I1881" s="87"/>
      <c r="J1881" s="85"/>
      <c r="K1881" s="85"/>
      <c r="M1881" s="81"/>
      <c r="O1881" s="85"/>
      <c r="P1881" s="85"/>
      <c r="Q1881" s="81"/>
    </row>
    <row r="1882" spans="3:17" x14ac:dyDescent="0.3">
      <c r="C1882" s="81"/>
      <c r="F1882" s="85"/>
      <c r="G1882" s="86"/>
      <c r="H1882" s="86"/>
      <c r="I1882" s="87"/>
      <c r="J1882" s="85"/>
      <c r="K1882" s="85"/>
      <c r="M1882" s="81"/>
      <c r="O1882" s="85"/>
      <c r="P1882" s="85"/>
      <c r="Q1882" s="81"/>
    </row>
    <row r="1883" spans="3:17" x14ac:dyDescent="0.3">
      <c r="C1883" s="81"/>
      <c r="F1883" s="85"/>
      <c r="G1883" s="86"/>
      <c r="H1883" s="86"/>
      <c r="I1883" s="87"/>
      <c r="J1883" s="85"/>
      <c r="K1883" s="85"/>
      <c r="M1883" s="81"/>
      <c r="O1883" s="85"/>
      <c r="P1883" s="85"/>
      <c r="Q1883" s="81"/>
    </row>
    <row r="1884" spans="3:17" x14ac:dyDescent="0.3">
      <c r="C1884" s="81"/>
      <c r="F1884" s="85"/>
      <c r="G1884" s="86"/>
      <c r="H1884" s="86"/>
      <c r="I1884" s="87"/>
      <c r="J1884" s="85"/>
      <c r="K1884" s="85"/>
      <c r="M1884" s="81"/>
      <c r="O1884" s="85"/>
      <c r="P1884" s="85"/>
      <c r="Q1884" s="81"/>
    </row>
    <row r="1885" spans="3:17" x14ac:dyDescent="0.3">
      <c r="C1885" s="81"/>
      <c r="F1885" s="85"/>
      <c r="G1885" s="86"/>
      <c r="H1885" s="86"/>
      <c r="I1885" s="87"/>
      <c r="J1885" s="85"/>
      <c r="K1885" s="85"/>
      <c r="M1885" s="81"/>
      <c r="O1885" s="85"/>
      <c r="P1885" s="85"/>
      <c r="Q1885" s="81"/>
    </row>
    <row r="1886" spans="3:17" x14ac:dyDescent="0.3">
      <c r="C1886" s="81"/>
      <c r="F1886" s="85"/>
      <c r="G1886" s="86"/>
      <c r="H1886" s="86"/>
      <c r="I1886" s="87"/>
      <c r="J1886" s="85"/>
      <c r="K1886" s="85"/>
      <c r="M1886" s="81"/>
      <c r="O1886" s="85"/>
      <c r="P1886" s="85"/>
      <c r="Q1886" s="81"/>
    </row>
    <row r="1887" spans="3:17" x14ac:dyDescent="0.3">
      <c r="C1887" s="81"/>
      <c r="F1887" s="85"/>
      <c r="G1887" s="86"/>
      <c r="H1887" s="86"/>
      <c r="I1887" s="87"/>
      <c r="J1887" s="85"/>
      <c r="K1887" s="85"/>
      <c r="M1887" s="81"/>
      <c r="O1887" s="85"/>
      <c r="P1887" s="85"/>
      <c r="Q1887" s="81"/>
    </row>
    <row r="1888" spans="3:17" x14ac:dyDescent="0.3">
      <c r="C1888" s="81"/>
      <c r="F1888" s="85"/>
      <c r="G1888" s="86"/>
      <c r="H1888" s="86"/>
      <c r="I1888" s="87"/>
      <c r="J1888" s="85"/>
      <c r="K1888" s="85"/>
      <c r="M1888" s="81"/>
      <c r="O1888" s="85"/>
      <c r="P1888" s="85"/>
      <c r="Q1888" s="81"/>
    </row>
    <row r="1889" spans="3:17" x14ac:dyDescent="0.3">
      <c r="C1889" s="81"/>
      <c r="F1889" s="85"/>
      <c r="G1889" s="86"/>
      <c r="H1889" s="86"/>
      <c r="I1889" s="87"/>
      <c r="J1889" s="85"/>
      <c r="K1889" s="85"/>
      <c r="M1889" s="81"/>
      <c r="O1889" s="85"/>
      <c r="P1889" s="85"/>
      <c r="Q1889" s="81"/>
    </row>
    <row r="1890" spans="3:17" x14ac:dyDescent="0.3">
      <c r="C1890" s="81"/>
      <c r="F1890" s="85"/>
      <c r="G1890" s="86"/>
      <c r="H1890" s="86"/>
      <c r="I1890" s="87"/>
      <c r="J1890" s="85"/>
      <c r="K1890" s="85"/>
      <c r="M1890" s="81"/>
      <c r="O1890" s="85"/>
      <c r="P1890" s="85"/>
      <c r="Q1890" s="81"/>
    </row>
    <row r="1891" spans="3:17" x14ac:dyDescent="0.3">
      <c r="C1891" s="81"/>
      <c r="F1891" s="85"/>
      <c r="G1891" s="86"/>
      <c r="H1891" s="86"/>
      <c r="I1891" s="87"/>
      <c r="J1891" s="85"/>
      <c r="K1891" s="85"/>
      <c r="M1891" s="81"/>
      <c r="O1891" s="85"/>
      <c r="P1891" s="85"/>
      <c r="Q1891" s="81"/>
    </row>
    <row r="1892" spans="3:17" x14ac:dyDescent="0.3">
      <c r="C1892" s="81"/>
      <c r="F1892" s="85"/>
      <c r="G1892" s="86"/>
      <c r="H1892" s="86"/>
      <c r="I1892" s="87"/>
      <c r="J1892" s="85"/>
      <c r="K1892" s="85"/>
      <c r="M1892" s="81"/>
      <c r="O1892" s="85"/>
      <c r="P1892" s="85"/>
      <c r="Q1892" s="81"/>
    </row>
    <row r="1893" spans="3:17" x14ac:dyDescent="0.3">
      <c r="C1893" s="81"/>
      <c r="F1893" s="85"/>
      <c r="G1893" s="86"/>
      <c r="H1893" s="86"/>
      <c r="I1893" s="87"/>
      <c r="J1893" s="85"/>
      <c r="K1893" s="85"/>
      <c r="M1893" s="81"/>
      <c r="O1893" s="85"/>
      <c r="P1893" s="85"/>
      <c r="Q1893" s="81"/>
    </row>
    <row r="1894" spans="3:17" x14ac:dyDescent="0.3">
      <c r="C1894" s="81"/>
      <c r="F1894" s="85"/>
      <c r="G1894" s="86"/>
      <c r="H1894" s="86"/>
      <c r="I1894" s="87"/>
      <c r="J1894" s="85"/>
      <c r="K1894" s="85"/>
      <c r="M1894" s="81"/>
      <c r="O1894" s="85"/>
      <c r="P1894" s="85"/>
      <c r="Q1894" s="81"/>
    </row>
    <row r="1895" spans="3:17" x14ac:dyDescent="0.3">
      <c r="C1895" s="81"/>
      <c r="F1895" s="85"/>
      <c r="G1895" s="86"/>
      <c r="H1895" s="86"/>
      <c r="I1895" s="87"/>
      <c r="J1895" s="85"/>
      <c r="K1895" s="85"/>
      <c r="M1895" s="81"/>
      <c r="O1895" s="85"/>
      <c r="P1895" s="85"/>
      <c r="Q1895" s="81"/>
    </row>
    <row r="1896" spans="3:17" x14ac:dyDescent="0.3">
      <c r="C1896" s="81"/>
      <c r="F1896" s="85"/>
      <c r="G1896" s="86"/>
      <c r="H1896" s="86"/>
      <c r="I1896" s="87"/>
      <c r="J1896" s="85"/>
      <c r="K1896" s="85"/>
      <c r="M1896" s="81"/>
      <c r="O1896" s="85"/>
      <c r="P1896" s="85"/>
      <c r="Q1896" s="81"/>
    </row>
    <row r="1897" spans="3:17" x14ac:dyDescent="0.3">
      <c r="C1897" s="81"/>
      <c r="F1897" s="85"/>
      <c r="G1897" s="86"/>
      <c r="H1897" s="86"/>
      <c r="I1897" s="87"/>
      <c r="J1897" s="85"/>
      <c r="K1897" s="85"/>
      <c r="M1897" s="81"/>
      <c r="O1897" s="85"/>
      <c r="P1897" s="85"/>
      <c r="Q1897" s="81"/>
    </row>
    <row r="1898" spans="3:17" x14ac:dyDescent="0.3">
      <c r="C1898" s="81"/>
      <c r="F1898" s="85"/>
      <c r="G1898" s="86"/>
      <c r="H1898" s="86"/>
      <c r="I1898" s="87"/>
      <c r="J1898" s="85"/>
      <c r="K1898" s="85"/>
      <c r="M1898" s="81"/>
      <c r="O1898" s="85"/>
      <c r="P1898" s="85"/>
      <c r="Q1898" s="81"/>
    </row>
    <row r="1899" spans="3:17" x14ac:dyDescent="0.3">
      <c r="C1899" s="81"/>
      <c r="F1899" s="85"/>
      <c r="G1899" s="86"/>
      <c r="H1899" s="86"/>
      <c r="I1899" s="87"/>
      <c r="J1899" s="85"/>
      <c r="K1899" s="85"/>
      <c r="M1899" s="81"/>
      <c r="O1899" s="85"/>
      <c r="P1899" s="85"/>
      <c r="Q1899" s="81"/>
    </row>
    <row r="1900" spans="3:17" x14ac:dyDescent="0.3">
      <c r="C1900" s="81"/>
      <c r="F1900" s="85"/>
      <c r="G1900" s="86"/>
      <c r="H1900" s="86"/>
      <c r="I1900" s="87"/>
      <c r="J1900" s="85"/>
      <c r="K1900" s="85"/>
      <c r="M1900" s="81"/>
      <c r="O1900" s="85"/>
      <c r="P1900" s="85"/>
      <c r="Q1900" s="81"/>
    </row>
    <row r="1901" spans="3:17" x14ac:dyDescent="0.3">
      <c r="C1901" s="81"/>
      <c r="F1901" s="85"/>
      <c r="G1901" s="86"/>
      <c r="H1901" s="86"/>
      <c r="I1901" s="87"/>
      <c r="J1901" s="85"/>
      <c r="K1901" s="85"/>
      <c r="M1901" s="81"/>
      <c r="O1901" s="85"/>
      <c r="P1901" s="85"/>
      <c r="Q1901" s="81"/>
    </row>
    <row r="1902" spans="3:17" x14ac:dyDescent="0.3">
      <c r="C1902" s="81"/>
      <c r="F1902" s="85"/>
      <c r="G1902" s="86"/>
      <c r="H1902" s="86"/>
      <c r="I1902" s="87"/>
      <c r="J1902" s="85"/>
      <c r="K1902" s="85"/>
      <c r="M1902" s="81"/>
      <c r="O1902" s="85"/>
      <c r="P1902" s="85"/>
      <c r="Q1902" s="81"/>
    </row>
    <row r="1903" spans="3:17" x14ac:dyDescent="0.3">
      <c r="C1903" s="81"/>
      <c r="F1903" s="85"/>
      <c r="G1903" s="86"/>
      <c r="H1903" s="86"/>
      <c r="I1903" s="87"/>
      <c r="J1903" s="85"/>
      <c r="K1903" s="85"/>
      <c r="M1903" s="81"/>
      <c r="O1903" s="85"/>
      <c r="P1903" s="85"/>
      <c r="Q1903" s="81"/>
    </row>
    <row r="1904" spans="3:17" x14ac:dyDescent="0.3">
      <c r="C1904" s="81"/>
      <c r="F1904" s="85"/>
      <c r="G1904" s="86"/>
      <c r="H1904" s="86"/>
      <c r="I1904" s="87"/>
      <c r="J1904" s="85"/>
      <c r="K1904" s="85"/>
      <c r="M1904" s="81"/>
      <c r="O1904" s="85"/>
      <c r="P1904" s="85"/>
      <c r="Q1904" s="81"/>
    </row>
    <row r="1905" spans="3:17" x14ac:dyDescent="0.3">
      <c r="C1905" s="81"/>
      <c r="F1905" s="85"/>
      <c r="G1905" s="86"/>
      <c r="H1905" s="86"/>
      <c r="I1905" s="87"/>
      <c r="J1905" s="85"/>
      <c r="K1905" s="85"/>
      <c r="M1905" s="81"/>
      <c r="O1905" s="85"/>
      <c r="P1905" s="85"/>
      <c r="Q1905" s="81"/>
    </row>
    <row r="1906" spans="3:17" x14ac:dyDescent="0.3">
      <c r="C1906" s="81"/>
      <c r="F1906" s="85"/>
      <c r="G1906" s="86"/>
      <c r="H1906" s="86"/>
      <c r="I1906" s="87"/>
      <c r="J1906" s="85"/>
      <c r="K1906" s="85"/>
      <c r="M1906" s="81"/>
      <c r="O1906" s="85"/>
      <c r="P1906" s="85"/>
      <c r="Q1906" s="81"/>
    </row>
    <row r="1907" spans="3:17" x14ac:dyDescent="0.3">
      <c r="C1907" s="81"/>
      <c r="F1907" s="85"/>
      <c r="G1907" s="86"/>
      <c r="H1907" s="86"/>
      <c r="I1907" s="87"/>
      <c r="J1907" s="85"/>
      <c r="K1907" s="85"/>
      <c r="M1907" s="81"/>
      <c r="O1907" s="85"/>
      <c r="P1907" s="85"/>
      <c r="Q1907" s="81"/>
    </row>
    <row r="1908" spans="3:17" x14ac:dyDescent="0.3">
      <c r="C1908" s="81"/>
      <c r="F1908" s="85"/>
      <c r="G1908" s="86"/>
      <c r="H1908" s="86"/>
      <c r="I1908" s="87"/>
      <c r="J1908" s="85"/>
      <c r="K1908" s="85"/>
      <c r="M1908" s="81"/>
      <c r="O1908" s="85"/>
      <c r="P1908" s="85"/>
      <c r="Q1908" s="81"/>
    </row>
    <row r="1909" spans="3:17" x14ac:dyDescent="0.3">
      <c r="C1909" s="81"/>
      <c r="F1909" s="85"/>
      <c r="G1909" s="86"/>
      <c r="H1909" s="86"/>
      <c r="I1909" s="87"/>
      <c r="J1909" s="85"/>
      <c r="K1909" s="85"/>
      <c r="M1909" s="81"/>
      <c r="O1909" s="85"/>
      <c r="P1909" s="85"/>
      <c r="Q1909" s="81"/>
    </row>
    <row r="1910" spans="3:17" x14ac:dyDescent="0.3">
      <c r="C1910" s="81"/>
      <c r="F1910" s="85"/>
      <c r="G1910" s="86"/>
      <c r="H1910" s="86"/>
      <c r="I1910" s="87"/>
      <c r="J1910" s="85"/>
      <c r="K1910" s="85"/>
      <c r="M1910" s="81"/>
      <c r="O1910" s="85"/>
      <c r="P1910" s="85"/>
      <c r="Q1910" s="81"/>
    </row>
    <row r="1911" spans="3:17" x14ac:dyDescent="0.3">
      <c r="C1911" s="81"/>
      <c r="F1911" s="85"/>
      <c r="G1911" s="86"/>
      <c r="H1911" s="86"/>
      <c r="I1911" s="87"/>
      <c r="J1911" s="85"/>
      <c r="K1911" s="85"/>
      <c r="M1911" s="81"/>
      <c r="O1911" s="85"/>
      <c r="P1911" s="85"/>
      <c r="Q1911" s="81"/>
    </row>
    <row r="1912" spans="3:17" x14ac:dyDescent="0.3">
      <c r="C1912" s="81"/>
      <c r="F1912" s="85"/>
      <c r="G1912" s="86"/>
      <c r="H1912" s="86"/>
      <c r="I1912" s="87"/>
      <c r="J1912" s="85"/>
      <c r="K1912" s="85"/>
      <c r="M1912" s="81"/>
      <c r="O1912" s="85"/>
      <c r="P1912" s="85"/>
      <c r="Q1912" s="81"/>
    </row>
    <row r="1913" spans="3:17" x14ac:dyDescent="0.3">
      <c r="C1913" s="81"/>
      <c r="F1913" s="85"/>
      <c r="G1913" s="86"/>
      <c r="H1913" s="86"/>
      <c r="I1913" s="87"/>
      <c r="J1913" s="85"/>
      <c r="K1913" s="85"/>
      <c r="M1913" s="81"/>
      <c r="O1913" s="85"/>
      <c r="P1913" s="85"/>
      <c r="Q1913" s="81"/>
    </row>
    <row r="1914" spans="3:17" x14ac:dyDescent="0.3">
      <c r="C1914" s="81"/>
      <c r="F1914" s="85"/>
      <c r="G1914" s="86"/>
      <c r="H1914" s="86"/>
      <c r="I1914" s="87"/>
      <c r="J1914" s="85"/>
      <c r="K1914" s="85"/>
      <c r="M1914" s="81"/>
      <c r="O1914" s="85"/>
      <c r="P1914" s="85"/>
      <c r="Q1914" s="81"/>
    </row>
    <row r="1915" spans="3:17" x14ac:dyDescent="0.3">
      <c r="C1915" s="81"/>
      <c r="F1915" s="85"/>
      <c r="G1915" s="86"/>
      <c r="H1915" s="86"/>
      <c r="I1915" s="87"/>
      <c r="J1915" s="85"/>
      <c r="K1915" s="85"/>
      <c r="M1915" s="81"/>
      <c r="O1915" s="85"/>
      <c r="P1915" s="85"/>
      <c r="Q1915" s="81"/>
    </row>
    <row r="1916" spans="3:17" x14ac:dyDescent="0.3">
      <c r="C1916" s="81"/>
      <c r="F1916" s="85"/>
      <c r="G1916" s="86"/>
      <c r="H1916" s="86"/>
      <c r="I1916" s="87"/>
      <c r="J1916" s="85"/>
      <c r="K1916" s="85"/>
      <c r="M1916" s="81"/>
      <c r="O1916" s="85"/>
      <c r="P1916" s="85"/>
      <c r="Q1916" s="81"/>
    </row>
    <row r="1917" spans="3:17" x14ac:dyDescent="0.3">
      <c r="C1917" s="81"/>
      <c r="F1917" s="85"/>
      <c r="G1917" s="86"/>
      <c r="H1917" s="86"/>
      <c r="I1917" s="87"/>
      <c r="J1917" s="85"/>
      <c r="K1917" s="85"/>
      <c r="M1917" s="81"/>
      <c r="O1917" s="85"/>
      <c r="P1917" s="85"/>
      <c r="Q1917" s="81"/>
    </row>
    <row r="1918" spans="3:17" x14ac:dyDescent="0.3">
      <c r="C1918" s="81"/>
      <c r="F1918" s="85"/>
      <c r="G1918" s="86"/>
      <c r="H1918" s="86"/>
      <c r="I1918" s="87"/>
      <c r="J1918" s="85"/>
      <c r="K1918" s="85"/>
      <c r="M1918" s="81"/>
      <c r="O1918" s="85"/>
      <c r="P1918" s="85"/>
      <c r="Q1918" s="81"/>
    </row>
    <row r="1919" spans="3:17" x14ac:dyDescent="0.3">
      <c r="C1919" s="81"/>
      <c r="F1919" s="85"/>
      <c r="G1919" s="86"/>
      <c r="H1919" s="86"/>
      <c r="I1919" s="87"/>
      <c r="J1919" s="85"/>
      <c r="K1919" s="85"/>
      <c r="M1919" s="81"/>
      <c r="O1919" s="85"/>
      <c r="P1919" s="85"/>
      <c r="Q1919" s="81"/>
    </row>
    <row r="1920" spans="3:17" x14ac:dyDescent="0.3">
      <c r="C1920" s="81"/>
      <c r="F1920" s="85"/>
      <c r="G1920" s="86"/>
      <c r="H1920" s="86"/>
      <c r="I1920" s="87"/>
      <c r="J1920" s="85"/>
      <c r="K1920" s="85"/>
      <c r="M1920" s="81"/>
      <c r="O1920" s="85"/>
      <c r="P1920" s="85"/>
      <c r="Q1920" s="81"/>
    </row>
    <row r="1921" spans="3:17" x14ac:dyDescent="0.3">
      <c r="C1921" s="81"/>
      <c r="F1921" s="85"/>
      <c r="G1921" s="86"/>
      <c r="H1921" s="86"/>
      <c r="I1921" s="87"/>
      <c r="J1921" s="85"/>
      <c r="K1921" s="85"/>
      <c r="M1921" s="81"/>
      <c r="O1921" s="85"/>
      <c r="P1921" s="85"/>
      <c r="Q1921" s="81"/>
    </row>
    <row r="1922" spans="3:17" x14ac:dyDescent="0.3">
      <c r="C1922" s="81"/>
      <c r="F1922" s="85"/>
      <c r="G1922" s="86"/>
      <c r="H1922" s="86"/>
      <c r="I1922" s="87"/>
      <c r="J1922" s="85"/>
      <c r="K1922" s="85"/>
      <c r="M1922" s="81"/>
      <c r="O1922" s="85"/>
      <c r="P1922" s="85"/>
      <c r="Q1922" s="81"/>
    </row>
    <row r="1923" spans="3:17" x14ac:dyDescent="0.3">
      <c r="C1923" s="81"/>
      <c r="F1923" s="85"/>
      <c r="G1923" s="86"/>
      <c r="H1923" s="86"/>
      <c r="I1923" s="87"/>
      <c r="J1923" s="85"/>
      <c r="K1923" s="85"/>
      <c r="M1923" s="81"/>
      <c r="O1923" s="85"/>
      <c r="P1923" s="85"/>
      <c r="Q1923" s="81"/>
    </row>
    <row r="1924" spans="3:17" x14ac:dyDescent="0.3">
      <c r="C1924" s="81"/>
      <c r="F1924" s="85"/>
      <c r="G1924" s="86"/>
      <c r="H1924" s="86"/>
      <c r="I1924" s="87"/>
      <c r="J1924" s="85"/>
      <c r="K1924" s="85"/>
      <c r="M1924" s="81"/>
      <c r="O1924" s="85"/>
      <c r="P1924" s="85"/>
      <c r="Q1924" s="81"/>
    </row>
    <row r="1925" spans="3:17" x14ac:dyDescent="0.3">
      <c r="C1925" s="81"/>
      <c r="F1925" s="85"/>
      <c r="G1925" s="86"/>
      <c r="H1925" s="86"/>
      <c r="I1925" s="87"/>
      <c r="J1925" s="85"/>
      <c r="K1925" s="85"/>
      <c r="M1925" s="81"/>
      <c r="O1925" s="85"/>
      <c r="P1925" s="85"/>
      <c r="Q1925" s="81"/>
    </row>
    <row r="1926" spans="3:17" x14ac:dyDescent="0.3">
      <c r="C1926" s="81"/>
      <c r="F1926" s="85"/>
      <c r="G1926" s="86"/>
      <c r="H1926" s="86"/>
      <c r="I1926" s="87"/>
      <c r="J1926" s="85"/>
      <c r="K1926" s="85"/>
      <c r="M1926" s="81"/>
      <c r="O1926" s="85"/>
      <c r="P1926" s="85"/>
      <c r="Q1926" s="81"/>
    </row>
    <row r="1927" spans="3:17" x14ac:dyDescent="0.3">
      <c r="C1927" s="81"/>
      <c r="F1927" s="85"/>
      <c r="G1927" s="86"/>
      <c r="H1927" s="86"/>
      <c r="I1927" s="87"/>
      <c r="J1927" s="85"/>
      <c r="K1927" s="85"/>
      <c r="M1927" s="81"/>
      <c r="O1927" s="85"/>
      <c r="P1927" s="85"/>
      <c r="Q1927" s="81"/>
    </row>
    <row r="1928" spans="3:17" x14ac:dyDescent="0.3">
      <c r="C1928" s="81"/>
      <c r="F1928" s="85"/>
      <c r="G1928" s="86"/>
      <c r="H1928" s="86"/>
      <c r="I1928" s="87"/>
      <c r="J1928" s="85"/>
      <c r="K1928" s="85"/>
      <c r="M1928" s="81"/>
      <c r="O1928" s="85"/>
      <c r="P1928" s="85"/>
      <c r="Q1928" s="81"/>
    </row>
    <row r="1929" spans="3:17" x14ac:dyDescent="0.3">
      <c r="C1929" s="81"/>
      <c r="F1929" s="85"/>
      <c r="G1929" s="86"/>
      <c r="H1929" s="86"/>
      <c r="I1929" s="87"/>
      <c r="J1929" s="85"/>
      <c r="K1929" s="85"/>
      <c r="M1929" s="81"/>
      <c r="O1929" s="85"/>
      <c r="P1929" s="85"/>
      <c r="Q1929" s="81"/>
    </row>
    <row r="1930" spans="3:17" x14ac:dyDescent="0.3">
      <c r="C1930" s="81"/>
      <c r="F1930" s="85"/>
      <c r="G1930" s="86"/>
      <c r="H1930" s="86"/>
      <c r="I1930" s="87"/>
      <c r="J1930" s="85"/>
      <c r="K1930" s="85"/>
      <c r="M1930" s="81"/>
      <c r="O1930" s="85"/>
      <c r="P1930" s="85"/>
      <c r="Q1930" s="81"/>
    </row>
    <row r="1931" spans="3:17" x14ac:dyDescent="0.3">
      <c r="C1931" s="81"/>
      <c r="F1931" s="85"/>
      <c r="G1931" s="86"/>
      <c r="H1931" s="86"/>
      <c r="I1931" s="87"/>
      <c r="J1931" s="85"/>
      <c r="K1931" s="85"/>
      <c r="M1931" s="81"/>
      <c r="O1931" s="85"/>
      <c r="P1931" s="85"/>
      <c r="Q1931" s="81"/>
    </row>
    <row r="1932" spans="3:17" x14ac:dyDescent="0.3">
      <c r="C1932" s="81"/>
      <c r="F1932" s="85"/>
      <c r="G1932" s="86"/>
      <c r="H1932" s="86"/>
      <c r="I1932" s="87"/>
      <c r="J1932" s="85"/>
      <c r="K1932" s="85"/>
      <c r="M1932" s="81"/>
      <c r="O1932" s="85"/>
      <c r="P1932" s="85"/>
      <c r="Q1932" s="81"/>
    </row>
    <row r="1933" spans="3:17" x14ac:dyDescent="0.3">
      <c r="C1933" s="81"/>
      <c r="F1933" s="85"/>
      <c r="G1933" s="86"/>
      <c r="H1933" s="86"/>
      <c r="I1933" s="87"/>
      <c r="J1933" s="85"/>
      <c r="K1933" s="85"/>
      <c r="M1933" s="81"/>
      <c r="O1933" s="85"/>
      <c r="P1933" s="85"/>
      <c r="Q1933" s="81"/>
    </row>
    <row r="1934" spans="3:17" x14ac:dyDescent="0.3">
      <c r="C1934" s="81"/>
      <c r="F1934" s="85"/>
      <c r="G1934" s="86"/>
      <c r="H1934" s="86"/>
      <c r="I1934" s="87"/>
      <c r="J1934" s="85"/>
      <c r="K1934" s="85"/>
      <c r="M1934" s="81"/>
      <c r="O1934" s="85"/>
      <c r="P1934" s="85"/>
      <c r="Q1934" s="81"/>
    </row>
    <row r="1935" spans="3:17" x14ac:dyDescent="0.3">
      <c r="C1935" s="81"/>
      <c r="F1935" s="85"/>
      <c r="G1935" s="86"/>
      <c r="H1935" s="86"/>
      <c r="I1935" s="87"/>
      <c r="J1935" s="85"/>
      <c r="K1935" s="85"/>
      <c r="M1935" s="81"/>
      <c r="O1935" s="85"/>
      <c r="P1935" s="85"/>
      <c r="Q1935" s="81"/>
    </row>
    <row r="1936" spans="3:17" x14ac:dyDescent="0.3">
      <c r="C1936" s="81"/>
      <c r="F1936" s="85"/>
      <c r="G1936" s="86"/>
      <c r="H1936" s="86"/>
      <c r="I1936" s="87"/>
      <c r="J1936" s="85"/>
      <c r="K1936" s="85"/>
      <c r="M1936" s="81"/>
      <c r="O1936" s="85"/>
      <c r="P1936" s="85"/>
      <c r="Q1936" s="81"/>
    </row>
    <row r="1937" spans="3:17" x14ac:dyDescent="0.3">
      <c r="C1937" s="81"/>
      <c r="F1937" s="85"/>
      <c r="G1937" s="86"/>
      <c r="H1937" s="86"/>
      <c r="I1937" s="87"/>
      <c r="J1937" s="85"/>
      <c r="K1937" s="85"/>
      <c r="M1937" s="81"/>
      <c r="O1937" s="85"/>
      <c r="P1937" s="85"/>
      <c r="Q1937" s="81"/>
    </row>
    <row r="1938" spans="3:17" x14ac:dyDescent="0.3">
      <c r="C1938" s="81"/>
      <c r="F1938" s="85"/>
      <c r="G1938" s="86"/>
      <c r="H1938" s="86"/>
      <c r="I1938" s="87"/>
      <c r="J1938" s="85"/>
      <c r="K1938" s="85"/>
      <c r="M1938" s="81"/>
      <c r="O1938" s="85"/>
      <c r="P1938" s="85"/>
      <c r="Q1938" s="81"/>
    </row>
    <row r="1939" spans="3:17" x14ac:dyDescent="0.3">
      <c r="C1939" s="81"/>
      <c r="F1939" s="85"/>
      <c r="G1939" s="86"/>
      <c r="H1939" s="86"/>
      <c r="I1939" s="87"/>
      <c r="J1939" s="85"/>
      <c r="K1939" s="85"/>
      <c r="M1939" s="81"/>
      <c r="O1939" s="85"/>
      <c r="P1939" s="85"/>
      <c r="Q1939" s="81"/>
    </row>
    <row r="1940" spans="3:17" x14ac:dyDescent="0.3">
      <c r="C1940" s="81"/>
      <c r="F1940" s="85"/>
      <c r="G1940" s="86"/>
      <c r="H1940" s="86"/>
      <c r="I1940" s="87"/>
      <c r="J1940" s="85"/>
      <c r="K1940" s="85"/>
      <c r="M1940" s="81"/>
      <c r="O1940" s="85"/>
      <c r="P1940" s="85"/>
      <c r="Q1940" s="81"/>
    </row>
    <row r="1941" spans="3:17" x14ac:dyDescent="0.3">
      <c r="C1941" s="81"/>
      <c r="F1941" s="85"/>
      <c r="G1941" s="86"/>
      <c r="H1941" s="86"/>
      <c r="I1941" s="87"/>
      <c r="J1941" s="85"/>
      <c r="K1941" s="85"/>
      <c r="M1941" s="81"/>
      <c r="O1941" s="85"/>
      <c r="P1941" s="85"/>
      <c r="Q1941" s="81"/>
    </row>
    <row r="1942" spans="3:17" x14ac:dyDescent="0.3">
      <c r="C1942" s="81"/>
      <c r="F1942" s="85"/>
      <c r="G1942" s="86"/>
      <c r="H1942" s="86"/>
      <c r="I1942" s="87"/>
      <c r="J1942" s="85"/>
      <c r="K1942" s="85"/>
      <c r="M1942" s="81"/>
      <c r="O1942" s="85"/>
      <c r="P1942" s="85"/>
      <c r="Q1942" s="81"/>
    </row>
    <row r="1943" spans="3:17" x14ac:dyDescent="0.3">
      <c r="C1943" s="81"/>
      <c r="F1943" s="85"/>
      <c r="G1943" s="86"/>
      <c r="H1943" s="86"/>
      <c r="I1943" s="87"/>
      <c r="J1943" s="85"/>
      <c r="K1943" s="85"/>
      <c r="M1943" s="81"/>
      <c r="O1943" s="85"/>
      <c r="P1943" s="85"/>
      <c r="Q1943" s="81"/>
    </row>
    <row r="1944" spans="3:17" x14ac:dyDescent="0.3">
      <c r="C1944" s="81"/>
      <c r="F1944" s="85"/>
      <c r="G1944" s="86"/>
      <c r="H1944" s="86"/>
      <c r="I1944" s="87"/>
      <c r="J1944" s="85"/>
      <c r="K1944" s="85"/>
      <c r="M1944" s="81"/>
      <c r="O1944" s="85"/>
      <c r="P1944" s="85"/>
      <c r="Q1944" s="81"/>
    </row>
    <row r="1945" spans="3:17" x14ac:dyDescent="0.3">
      <c r="C1945" s="81"/>
      <c r="F1945" s="85"/>
      <c r="G1945" s="86"/>
      <c r="H1945" s="86"/>
      <c r="I1945" s="87"/>
      <c r="J1945" s="85"/>
      <c r="K1945" s="85"/>
      <c r="M1945" s="81"/>
      <c r="O1945" s="85"/>
      <c r="P1945" s="85"/>
      <c r="Q1945" s="81"/>
    </row>
    <row r="1946" spans="3:17" x14ac:dyDescent="0.3">
      <c r="C1946" s="81"/>
      <c r="F1946" s="85"/>
      <c r="G1946" s="86"/>
      <c r="H1946" s="86"/>
      <c r="I1946" s="87"/>
      <c r="J1946" s="85"/>
      <c r="K1946" s="85"/>
      <c r="M1946" s="81"/>
      <c r="O1946" s="85"/>
      <c r="P1946" s="85"/>
      <c r="Q1946" s="81"/>
    </row>
    <row r="1947" spans="3:17" x14ac:dyDescent="0.3">
      <c r="C1947" s="81"/>
      <c r="F1947" s="85"/>
      <c r="G1947" s="86"/>
      <c r="H1947" s="86"/>
      <c r="I1947" s="87"/>
      <c r="J1947" s="85"/>
      <c r="K1947" s="85"/>
      <c r="M1947" s="81"/>
      <c r="O1947" s="85"/>
      <c r="P1947" s="85"/>
      <c r="Q1947" s="81"/>
    </row>
    <row r="1948" spans="3:17" x14ac:dyDescent="0.3">
      <c r="C1948" s="81"/>
      <c r="F1948" s="85"/>
      <c r="G1948" s="86"/>
      <c r="H1948" s="86"/>
      <c r="I1948" s="87"/>
      <c r="J1948" s="85"/>
      <c r="K1948" s="85"/>
      <c r="M1948" s="81"/>
      <c r="O1948" s="85"/>
      <c r="P1948" s="85"/>
      <c r="Q1948" s="81"/>
    </row>
    <row r="1949" spans="3:17" x14ac:dyDescent="0.3">
      <c r="C1949" s="81"/>
      <c r="F1949" s="85"/>
      <c r="G1949" s="86"/>
      <c r="H1949" s="86"/>
      <c r="I1949" s="87"/>
      <c r="J1949" s="85"/>
      <c r="K1949" s="85"/>
      <c r="M1949" s="81"/>
      <c r="O1949" s="85"/>
      <c r="P1949" s="85"/>
      <c r="Q1949" s="81"/>
    </row>
    <row r="1950" spans="3:17" x14ac:dyDescent="0.3">
      <c r="C1950" s="81"/>
      <c r="F1950" s="85"/>
      <c r="G1950" s="86"/>
      <c r="H1950" s="86"/>
      <c r="I1950" s="87"/>
      <c r="J1950" s="85"/>
      <c r="K1950" s="85"/>
      <c r="M1950" s="81"/>
      <c r="O1950" s="85"/>
      <c r="P1950" s="85"/>
      <c r="Q1950" s="81"/>
    </row>
    <row r="1951" spans="3:17" x14ac:dyDescent="0.3">
      <c r="C1951" s="81"/>
      <c r="F1951" s="85"/>
      <c r="G1951" s="86"/>
      <c r="H1951" s="86"/>
      <c r="I1951" s="87"/>
      <c r="J1951" s="85"/>
      <c r="K1951" s="85"/>
      <c r="M1951" s="81"/>
      <c r="O1951" s="85"/>
      <c r="P1951" s="85"/>
      <c r="Q1951" s="81"/>
    </row>
    <row r="1952" spans="3:17" x14ac:dyDescent="0.3">
      <c r="C1952" s="81"/>
      <c r="F1952" s="85"/>
      <c r="G1952" s="86"/>
      <c r="H1952" s="86"/>
      <c r="I1952" s="87"/>
      <c r="J1952" s="85"/>
      <c r="K1952" s="85"/>
      <c r="M1952" s="81"/>
      <c r="O1952" s="85"/>
      <c r="P1952" s="85"/>
      <c r="Q1952" s="81"/>
    </row>
    <row r="1953" spans="3:17" x14ac:dyDescent="0.3">
      <c r="C1953" s="81"/>
      <c r="F1953" s="85"/>
      <c r="G1953" s="86"/>
      <c r="H1953" s="86"/>
      <c r="I1953" s="87"/>
      <c r="J1953" s="85"/>
      <c r="K1953" s="85"/>
      <c r="M1953" s="81"/>
      <c r="O1953" s="85"/>
      <c r="P1953" s="85"/>
      <c r="Q1953" s="81"/>
    </row>
    <row r="1954" spans="3:17" x14ac:dyDescent="0.3">
      <c r="C1954" s="81"/>
      <c r="F1954" s="85"/>
      <c r="G1954" s="86"/>
      <c r="H1954" s="86"/>
      <c r="I1954" s="87"/>
      <c r="J1954" s="85"/>
      <c r="K1954" s="85"/>
      <c r="M1954" s="81"/>
      <c r="O1954" s="85"/>
      <c r="P1954" s="85"/>
      <c r="Q1954" s="81"/>
    </row>
    <row r="1955" spans="3:17" x14ac:dyDescent="0.3">
      <c r="C1955" s="81"/>
      <c r="F1955" s="85"/>
      <c r="G1955" s="86"/>
      <c r="H1955" s="86"/>
      <c r="I1955" s="87"/>
      <c r="J1955" s="85"/>
      <c r="K1955" s="85"/>
      <c r="M1955" s="81"/>
      <c r="O1955" s="85"/>
      <c r="P1955" s="85"/>
      <c r="Q1955" s="81"/>
    </row>
    <row r="1956" spans="3:17" x14ac:dyDescent="0.3">
      <c r="C1956" s="81"/>
      <c r="F1956" s="85"/>
      <c r="G1956" s="86"/>
      <c r="H1956" s="86"/>
      <c r="I1956" s="87"/>
      <c r="J1956" s="85"/>
      <c r="K1956" s="85"/>
      <c r="M1956" s="81"/>
      <c r="O1956" s="85"/>
      <c r="P1956" s="85"/>
      <c r="Q1956" s="81"/>
    </row>
    <row r="1957" spans="3:17" x14ac:dyDescent="0.3">
      <c r="C1957" s="81"/>
      <c r="F1957" s="85"/>
      <c r="G1957" s="86"/>
      <c r="H1957" s="86"/>
      <c r="I1957" s="87"/>
      <c r="J1957" s="85"/>
      <c r="K1957" s="85"/>
      <c r="M1957" s="81"/>
      <c r="O1957" s="85"/>
      <c r="P1957" s="85"/>
      <c r="Q1957" s="81"/>
    </row>
    <row r="1958" spans="3:17" x14ac:dyDescent="0.3">
      <c r="C1958" s="81"/>
      <c r="F1958" s="85"/>
      <c r="G1958" s="86"/>
      <c r="H1958" s="86"/>
      <c r="I1958" s="87"/>
      <c r="J1958" s="85"/>
      <c r="K1958" s="85"/>
      <c r="M1958" s="81"/>
      <c r="O1958" s="85"/>
      <c r="P1958" s="85"/>
      <c r="Q1958" s="81"/>
    </row>
    <row r="1959" spans="3:17" x14ac:dyDescent="0.3">
      <c r="C1959" s="81"/>
      <c r="F1959" s="85"/>
      <c r="G1959" s="86"/>
      <c r="H1959" s="86"/>
      <c r="I1959" s="87"/>
      <c r="J1959" s="85"/>
      <c r="K1959" s="85"/>
      <c r="M1959" s="81"/>
      <c r="O1959" s="85"/>
      <c r="P1959" s="85"/>
      <c r="Q1959" s="81"/>
    </row>
    <row r="1960" spans="3:17" x14ac:dyDescent="0.3">
      <c r="C1960" s="81"/>
      <c r="F1960" s="85"/>
      <c r="G1960" s="86"/>
      <c r="H1960" s="86"/>
      <c r="I1960" s="87"/>
      <c r="J1960" s="85"/>
      <c r="K1960" s="85"/>
      <c r="M1960" s="81"/>
      <c r="O1960" s="85"/>
      <c r="P1960" s="85"/>
      <c r="Q1960" s="81"/>
    </row>
    <row r="1961" spans="3:17" x14ac:dyDescent="0.3">
      <c r="C1961" s="81"/>
      <c r="F1961" s="85"/>
      <c r="G1961" s="86"/>
      <c r="H1961" s="86"/>
      <c r="I1961" s="87"/>
      <c r="J1961" s="85"/>
      <c r="K1961" s="85"/>
      <c r="M1961" s="81"/>
      <c r="O1961" s="85"/>
      <c r="P1961" s="85"/>
      <c r="Q1961" s="81"/>
    </row>
    <row r="1962" spans="3:17" x14ac:dyDescent="0.3">
      <c r="C1962" s="81"/>
      <c r="F1962" s="85"/>
      <c r="G1962" s="86"/>
      <c r="H1962" s="86"/>
      <c r="I1962" s="87"/>
      <c r="J1962" s="85"/>
      <c r="K1962" s="85"/>
      <c r="M1962" s="81"/>
      <c r="O1962" s="85"/>
      <c r="P1962" s="85"/>
      <c r="Q1962" s="81"/>
    </row>
    <row r="1963" spans="3:17" x14ac:dyDescent="0.3">
      <c r="C1963" s="81"/>
      <c r="F1963" s="85"/>
      <c r="G1963" s="86"/>
      <c r="H1963" s="86"/>
      <c r="I1963" s="87"/>
      <c r="J1963" s="85"/>
      <c r="K1963" s="85"/>
      <c r="M1963" s="81"/>
      <c r="O1963" s="85"/>
      <c r="P1963" s="85"/>
      <c r="Q1963" s="81"/>
    </row>
    <row r="1964" spans="3:17" x14ac:dyDescent="0.3">
      <c r="C1964" s="81"/>
      <c r="F1964" s="85"/>
      <c r="G1964" s="86"/>
      <c r="H1964" s="86"/>
      <c r="I1964" s="87"/>
      <c r="J1964" s="85"/>
      <c r="K1964" s="85"/>
      <c r="M1964" s="81"/>
      <c r="O1964" s="85"/>
      <c r="P1964" s="85"/>
      <c r="Q1964" s="81"/>
    </row>
    <row r="1965" spans="3:17" x14ac:dyDescent="0.3">
      <c r="C1965" s="81"/>
      <c r="F1965" s="85"/>
      <c r="G1965" s="86"/>
      <c r="H1965" s="86"/>
      <c r="I1965" s="87"/>
      <c r="J1965" s="85"/>
      <c r="K1965" s="85"/>
      <c r="M1965" s="81"/>
      <c r="O1965" s="85"/>
      <c r="P1965" s="85"/>
      <c r="Q1965" s="81"/>
    </row>
    <row r="1966" spans="3:17" x14ac:dyDescent="0.3">
      <c r="C1966" s="81"/>
      <c r="F1966" s="85"/>
      <c r="G1966" s="86"/>
      <c r="H1966" s="86"/>
      <c r="I1966" s="87"/>
      <c r="J1966" s="85"/>
      <c r="K1966" s="85"/>
      <c r="M1966" s="81"/>
      <c r="O1966" s="85"/>
      <c r="P1966" s="85"/>
      <c r="Q1966" s="81"/>
    </row>
    <row r="1967" spans="3:17" x14ac:dyDescent="0.3">
      <c r="C1967" s="81"/>
      <c r="F1967" s="85"/>
      <c r="G1967" s="86"/>
      <c r="H1967" s="86"/>
      <c r="I1967" s="87"/>
      <c r="J1967" s="85"/>
      <c r="K1967" s="85"/>
      <c r="M1967" s="81"/>
      <c r="O1967" s="85"/>
      <c r="P1967" s="85"/>
      <c r="Q1967" s="81"/>
    </row>
    <row r="1968" spans="3:17" x14ac:dyDescent="0.3">
      <c r="C1968" s="81"/>
      <c r="F1968" s="85"/>
      <c r="G1968" s="86"/>
      <c r="H1968" s="86"/>
      <c r="I1968" s="87"/>
      <c r="J1968" s="85"/>
      <c r="K1968" s="85"/>
      <c r="M1968" s="81"/>
      <c r="O1968" s="85"/>
      <c r="P1968" s="85"/>
      <c r="Q1968" s="81"/>
    </row>
    <row r="1969" spans="3:17" x14ac:dyDescent="0.3">
      <c r="C1969" s="81"/>
      <c r="F1969" s="85"/>
      <c r="G1969" s="86"/>
      <c r="H1969" s="86"/>
      <c r="I1969" s="87"/>
      <c r="J1969" s="85"/>
      <c r="K1969" s="85"/>
      <c r="M1969" s="81"/>
      <c r="O1969" s="85"/>
      <c r="P1969" s="85"/>
      <c r="Q1969" s="81"/>
    </row>
    <row r="1970" spans="3:17" x14ac:dyDescent="0.3">
      <c r="C1970" s="81"/>
      <c r="F1970" s="85"/>
      <c r="G1970" s="86"/>
      <c r="H1970" s="86"/>
      <c r="I1970" s="87"/>
      <c r="J1970" s="85"/>
      <c r="K1970" s="85"/>
      <c r="M1970" s="81"/>
      <c r="O1970" s="85"/>
      <c r="P1970" s="85"/>
      <c r="Q1970" s="81"/>
    </row>
    <row r="1971" spans="3:17" x14ac:dyDescent="0.3">
      <c r="C1971" s="81"/>
      <c r="F1971" s="85"/>
      <c r="G1971" s="86"/>
      <c r="H1971" s="86"/>
      <c r="I1971" s="87"/>
      <c r="J1971" s="85"/>
      <c r="K1971" s="85"/>
      <c r="M1971" s="81"/>
      <c r="O1971" s="85"/>
      <c r="P1971" s="85"/>
      <c r="Q1971" s="81"/>
    </row>
    <row r="1972" spans="3:17" x14ac:dyDescent="0.3">
      <c r="C1972" s="81"/>
      <c r="F1972" s="85"/>
      <c r="G1972" s="86"/>
      <c r="H1972" s="86"/>
      <c r="I1972" s="87"/>
      <c r="J1972" s="85"/>
      <c r="K1972" s="85"/>
      <c r="M1972" s="81"/>
      <c r="O1972" s="85"/>
      <c r="P1972" s="85"/>
      <c r="Q1972" s="81"/>
    </row>
    <row r="1973" spans="3:17" x14ac:dyDescent="0.3">
      <c r="C1973" s="81"/>
      <c r="F1973" s="85"/>
      <c r="G1973" s="86"/>
      <c r="H1973" s="86"/>
      <c r="I1973" s="87"/>
      <c r="J1973" s="85"/>
      <c r="K1973" s="85"/>
      <c r="M1973" s="81"/>
      <c r="O1973" s="85"/>
      <c r="P1973" s="85"/>
      <c r="Q1973" s="81"/>
    </row>
    <row r="1974" spans="3:17" x14ac:dyDescent="0.3">
      <c r="C1974" s="81"/>
      <c r="F1974" s="85"/>
      <c r="G1974" s="86"/>
      <c r="H1974" s="86"/>
      <c r="I1974" s="87"/>
      <c r="J1974" s="85"/>
      <c r="K1974" s="85"/>
      <c r="M1974" s="81"/>
      <c r="O1974" s="85"/>
      <c r="P1974" s="85"/>
      <c r="Q1974" s="81"/>
    </row>
    <row r="1975" spans="3:17" x14ac:dyDescent="0.3">
      <c r="C1975" s="81"/>
      <c r="F1975" s="85"/>
      <c r="G1975" s="86"/>
      <c r="H1975" s="86"/>
      <c r="I1975" s="87"/>
      <c r="J1975" s="85"/>
      <c r="K1975" s="85"/>
      <c r="M1975" s="81"/>
      <c r="O1975" s="85"/>
      <c r="P1975" s="85"/>
      <c r="Q1975" s="81"/>
    </row>
    <row r="1976" spans="3:17" x14ac:dyDescent="0.3">
      <c r="C1976" s="81"/>
      <c r="F1976" s="85"/>
      <c r="G1976" s="86"/>
      <c r="H1976" s="86"/>
      <c r="I1976" s="87"/>
      <c r="J1976" s="85"/>
      <c r="K1976" s="85"/>
      <c r="M1976" s="81"/>
      <c r="O1976" s="85"/>
      <c r="P1976" s="85"/>
      <c r="Q1976" s="81"/>
    </row>
    <row r="1977" spans="3:17" x14ac:dyDescent="0.3">
      <c r="C1977" s="81"/>
      <c r="F1977" s="85"/>
      <c r="G1977" s="86"/>
      <c r="H1977" s="86"/>
      <c r="I1977" s="87"/>
      <c r="J1977" s="85"/>
      <c r="K1977" s="85"/>
      <c r="M1977" s="81"/>
      <c r="O1977" s="85"/>
      <c r="P1977" s="85"/>
      <c r="Q1977" s="81"/>
    </row>
    <row r="1978" spans="3:17" x14ac:dyDescent="0.3">
      <c r="C1978" s="81"/>
      <c r="F1978" s="85"/>
      <c r="G1978" s="86"/>
      <c r="H1978" s="86"/>
      <c r="I1978" s="87"/>
      <c r="J1978" s="85"/>
      <c r="K1978" s="85"/>
      <c r="M1978" s="81"/>
      <c r="O1978" s="85"/>
      <c r="P1978" s="85"/>
      <c r="Q1978" s="81"/>
    </row>
    <row r="1979" spans="3:17" x14ac:dyDescent="0.3">
      <c r="C1979" s="81"/>
      <c r="F1979" s="85"/>
      <c r="G1979" s="86"/>
      <c r="H1979" s="86"/>
      <c r="I1979" s="87"/>
      <c r="J1979" s="85"/>
      <c r="K1979" s="85"/>
      <c r="M1979" s="81"/>
      <c r="O1979" s="85"/>
      <c r="P1979" s="85"/>
      <c r="Q1979" s="81"/>
    </row>
    <row r="1980" spans="3:17" x14ac:dyDescent="0.3">
      <c r="C1980" s="81"/>
      <c r="F1980" s="85"/>
      <c r="G1980" s="86"/>
      <c r="H1980" s="86"/>
      <c r="I1980" s="87"/>
      <c r="J1980" s="85"/>
      <c r="K1980" s="85"/>
      <c r="M1980" s="81"/>
      <c r="O1980" s="85"/>
      <c r="P1980" s="85"/>
      <c r="Q1980" s="81"/>
    </row>
    <row r="1981" spans="3:17" x14ac:dyDescent="0.3">
      <c r="C1981" s="81"/>
      <c r="F1981" s="85"/>
      <c r="G1981" s="86"/>
      <c r="H1981" s="86"/>
      <c r="I1981" s="87"/>
      <c r="J1981" s="85"/>
      <c r="K1981" s="85"/>
      <c r="M1981" s="81"/>
      <c r="O1981" s="85"/>
      <c r="P1981" s="85"/>
      <c r="Q1981" s="81"/>
    </row>
    <row r="1982" spans="3:17" x14ac:dyDescent="0.3">
      <c r="C1982" s="81"/>
      <c r="F1982" s="85"/>
      <c r="G1982" s="86"/>
      <c r="H1982" s="86"/>
      <c r="I1982" s="87"/>
      <c r="J1982" s="85"/>
      <c r="K1982" s="85"/>
      <c r="M1982" s="81"/>
      <c r="O1982" s="85"/>
      <c r="P1982" s="85"/>
      <c r="Q1982" s="81"/>
    </row>
    <row r="1983" spans="3:17" x14ac:dyDescent="0.3">
      <c r="C1983" s="81"/>
      <c r="F1983" s="85"/>
      <c r="G1983" s="86"/>
      <c r="H1983" s="86"/>
      <c r="I1983" s="87"/>
      <c r="J1983" s="85"/>
      <c r="K1983" s="85"/>
      <c r="M1983" s="81"/>
      <c r="O1983" s="85"/>
      <c r="P1983" s="85"/>
      <c r="Q1983" s="81"/>
    </row>
    <row r="1984" spans="3:17" x14ac:dyDescent="0.3">
      <c r="C1984" s="81"/>
      <c r="F1984" s="85"/>
      <c r="G1984" s="86"/>
      <c r="H1984" s="86"/>
      <c r="I1984" s="87"/>
      <c r="J1984" s="85"/>
      <c r="K1984" s="85"/>
      <c r="M1984" s="81"/>
      <c r="O1984" s="85"/>
      <c r="P1984" s="85"/>
      <c r="Q1984" s="81"/>
    </row>
    <row r="1985" spans="3:17" x14ac:dyDescent="0.3">
      <c r="C1985" s="81"/>
      <c r="F1985" s="85"/>
      <c r="G1985" s="86"/>
      <c r="H1985" s="86"/>
      <c r="I1985" s="87"/>
      <c r="J1985" s="85"/>
      <c r="K1985" s="85"/>
      <c r="M1985" s="81"/>
      <c r="O1985" s="85"/>
      <c r="P1985" s="85"/>
      <c r="Q1985" s="81"/>
    </row>
    <row r="1986" spans="3:17" x14ac:dyDescent="0.3">
      <c r="C1986" s="81"/>
      <c r="F1986" s="85"/>
      <c r="G1986" s="86"/>
      <c r="H1986" s="86"/>
      <c r="I1986" s="87"/>
      <c r="J1986" s="85"/>
      <c r="K1986" s="85"/>
      <c r="M1986" s="81"/>
      <c r="O1986" s="85"/>
      <c r="P1986" s="85"/>
      <c r="Q1986" s="81"/>
    </row>
    <row r="1987" spans="3:17" x14ac:dyDescent="0.3">
      <c r="C1987" s="81"/>
      <c r="F1987" s="85"/>
      <c r="G1987" s="86"/>
      <c r="H1987" s="86"/>
      <c r="I1987" s="87"/>
      <c r="J1987" s="85"/>
      <c r="K1987" s="85"/>
      <c r="M1987" s="81"/>
      <c r="O1987" s="85"/>
      <c r="P1987" s="85"/>
      <c r="Q1987" s="81"/>
    </row>
    <row r="1988" spans="3:17" x14ac:dyDescent="0.3">
      <c r="C1988" s="81"/>
      <c r="F1988" s="85"/>
      <c r="G1988" s="86"/>
      <c r="H1988" s="86"/>
      <c r="I1988" s="87"/>
      <c r="J1988" s="85"/>
      <c r="K1988" s="85"/>
      <c r="M1988" s="81"/>
      <c r="O1988" s="85"/>
      <c r="P1988" s="85"/>
      <c r="Q1988" s="81"/>
    </row>
    <row r="1989" spans="3:17" x14ac:dyDescent="0.3">
      <c r="C1989" s="81"/>
      <c r="F1989" s="85"/>
      <c r="G1989" s="86"/>
      <c r="H1989" s="86"/>
      <c r="I1989" s="87"/>
      <c r="J1989" s="85"/>
      <c r="K1989" s="85"/>
      <c r="M1989" s="81"/>
      <c r="O1989" s="85"/>
      <c r="P1989" s="85"/>
      <c r="Q1989" s="81"/>
    </row>
    <row r="1990" spans="3:17" x14ac:dyDescent="0.3">
      <c r="C1990" s="81"/>
      <c r="F1990" s="85"/>
      <c r="G1990" s="86"/>
      <c r="H1990" s="86"/>
      <c r="I1990" s="87"/>
      <c r="J1990" s="85"/>
      <c r="K1990" s="85"/>
      <c r="M1990" s="81"/>
      <c r="O1990" s="85"/>
      <c r="P1990" s="85"/>
      <c r="Q1990" s="81"/>
    </row>
    <row r="1991" spans="3:17" x14ac:dyDescent="0.3">
      <c r="C1991" s="81"/>
      <c r="F1991" s="85"/>
      <c r="G1991" s="86"/>
      <c r="H1991" s="86"/>
      <c r="I1991" s="87"/>
      <c r="J1991" s="85"/>
      <c r="K1991" s="85"/>
      <c r="M1991" s="81"/>
      <c r="O1991" s="85"/>
      <c r="P1991" s="85"/>
      <c r="Q1991" s="81"/>
    </row>
    <row r="1992" spans="3:17" x14ac:dyDescent="0.3">
      <c r="C1992" s="81"/>
      <c r="F1992" s="85"/>
      <c r="G1992" s="86"/>
      <c r="H1992" s="86"/>
      <c r="I1992" s="87"/>
      <c r="J1992" s="85"/>
      <c r="K1992" s="85"/>
      <c r="M1992" s="81"/>
      <c r="O1992" s="85"/>
      <c r="P1992" s="85"/>
      <c r="Q1992" s="81"/>
    </row>
    <row r="1993" spans="3:17" x14ac:dyDescent="0.3">
      <c r="C1993" s="81"/>
      <c r="F1993" s="85"/>
      <c r="G1993" s="86"/>
      <c r="H1993" s="86"/>
      <c r="I1993" s="87"/>
      <c r="J1993" s="85"/>
      <c r="K1993" s="85"/>
      <c r="M1993" s="81"/>
      <c r="O1993" s="85"/>
      <c r="P1993" s="85"/>
      <c r="Q1993" s="81"/>
    </row>
    <row r="1994" spans="3:17" x14ac:dyDescent="0.3">
      <c r="C1994" s="81"/>
      <c r="F1994" s="85"/>
      <c r="G1994" s="86"/>
      <c r="H1994" s="86"/>
      <c r="I1994" s="87"/>
      <c r="J1994" s="85"/>
      <c r="K1994" s="85"/>
      <c r="M1994" s="81"/>
      <c r="O1994" s="85"/>
      <c r="P1994" s="85"/>
      <c r="Q1994" s="81"/>
    </row>
    <row r="1995" spans="3:17" x14ac:dyDescent="0.3">
      <c r="C1995" s="81"/>
      <c r="F1995" s="85"/>
      <c r="G1995" s="86"/>
      <c r="H1995" s="86"/>
      <c r="I1995" s="87"/>
      <c r="J1995" s="85"/>
      <c r="K1995" s="85"/>
      <c r="M1995" s="81"/>
      <c r="O1995" s="85"/>
      <c r="P1995" s="85"/>
      <c r="Q1995" s="81"/>
    </row>
    <row r="1996" spans="3:17" x14ac:dyDescent="0.3">
      <c r="C1996" s="81"/>
      <c r="F1996" s="85"/>
      <c r="G1996" s="86"/>
      <c r="H1996" s="86"/>
      <c r="I1996" s="87"/>
      <c r="J1996" s="85"/>
      <c r="K1996" s="85"/>
      <c r="M1996" s="81"/>
      <c r="O1996" s="85"/>
      <c r="P1996" s="85"/>
      <c r="Q1996" s="81"/>
    </row>
    <row r="1997" spans="3:17" x14ac:dyDescent="0.3">
      <c r="C1997" s="81"/>
      <c r="F1997" s="85"/>
      <c r="G1997" s="86"/>
      <c r="H1997" s="86"/>
      <c r="I1997" s="87"/>
      <c r="J1997" s="85"/>
      <c r="K1997" s="85"/>
      <c r="M1997" s="81"/>
      <c r="O1997" s="85"/>
      <c r="P1997" s="85"/>
      <c r="Q1997" s="81"/>
    </row>
    <row r="1998" spans="3:17" x14ac:dyDescent="0.3">
      <c r="C1998" s="81"/>
      <c r="F1998" s="85"/>
      <c r="G1998" s="86"/>
      <c r="H1998" s="86"/>
      <c r="I1998" s="87"/>
      <c r="J1998" s="85"/>
      <c r="K1998" s="85"/>
      <c r="M1998" s="81"/>
      <c r="O1998" s="85"/>
      <c r="P1998" s="85"/>
      <c r="Q1998" s="81"/>
    </row>
    <row r="1999" spans="3:17" x14ac:dyDescent="0.3">
      <c r="C1999" s="81"/>
      <c r="F1999" s="85"/>
      <c r="G1999" s="86"/>
      <c r="H1999" s="86"/>
      <c r="I1999" s="87"/>
      <c r="J1999" s="85"/>
      <c r="K1999" s="85"/>
      <c r="M1999" s="81"/>
      <c r="O1999" s="85"/>
      <c r="P1999" s="85"/>
      <c r="Q1999" s="81"/>
    </row>
    <row r="2000" spans="3:17" x14ac:dyDescent="0.3">
      <c r="C2000" s="81"/>
      <c r="F2000" s="85"/>
      <c r="G2000" s="86"/>
      <c r="H2000" s="86"/>
      <c r="I2000" s="87"/>
      <c r="J2000" s="85"/>
      <c r="K2000" s="85"/>
      <c r="M2000" s="81"/>
      <c r="O2000" s="85"/>
      <c r="P2000" s="85"/>
      <c r="Q2000" s="81"/>
    </row>
  </sheetData>
  <sheetProtection algorithmName="SHA-512" hashValue="M+yA5CpAb89keYMwb14ldrv34/x0LM/PwZDk0deW6N6KsB+84z6U5epfip45EytqFP0JIiUFpz3pg15+q0X2vQ==" saltValue="S5rghgygFiSUX5T2NY5b8w==" spinCount="100000" sheet="1" scenarios="1"/>
  <phoneticPr fontId="42" type="noConversion"/>
  <conditionalFormatting sqref="L2:L2000">
    <cfRule type="expression" dxfId="63" priority="1" stopIfTrue="1">
      <formula>mEQA.PadronizarStatus($L2)="NAO ACEITO"</formula>
    </cfRule>
    <cfRule type="expression" dxfId="62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{26A8CBB5-A65F-4B8F-9F98-BC7CC40CBE8E}</x14:id>
        </ext>
      </extLst>
    </cfRule>
  </conditionalFormatting>
  <conditionalFormatting sqref="Z3">
    <cfRule type="expression" dxfId="61" priority="4" stopIfTrue="1">
      <formula>LEFT($Z$3,4)="BASE"</formula>
    </cfRule>
    <cfRule type="expression" dxfId="60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A8CBB5-A65F-4B8F-9F98-BC7CC40CBE8E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D776-D09A-479A-AD91-26E05AA5BF32}">
  <sheetPr codeName="Planilha20">
    <tabColor rgb="FF263B4D"/>
  </sheetPr>
  <dimension ref="A1:N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4" ht="19.8" x14ac:dyDescent="0.4">
      <c r="A1" s="90" t="s">
        <v>937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</row>
    <row r="2" spans="1:14" x14ac:dyDescent="0.3">
      <c r="A2" s="79" t="s">
        <v>938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4" spans="1:14" ht="30" customHeight="1" x14ac:dyDescent="0.3">
      <c r="A4" s="91" t="s">
        <v>939</v>
      </c>
      <c r="B4" s="91" t="s">
        <v>289</v>
      </c>
      <c r="C4" s="91" t="s">
        <v>940</v>
      </c>
      <c r="D4" s="91" t="s">
        <v>941</v>
      </c>
      <c r="E4" s="91" t="s">
        <v>436</v>
      </c>
      <c r="F4" s="91" t="s">
        <v>446</v>
      </c>
      <c r="G4" s="91" t="s">
        <v>942</v>
      </c>
    </row>
    <row r="5" spans="1:14" x14ac:dyDescent="0.3">
      <c r="A5" t="str">
        <f>IFERROR(INDEX(EQA.CAP_Dados!$B$2:$B$5000,MATCH(1,EQA.CAP_Dados!$T$2:$T$5000,0)),"")</f>
        <v>FH9-A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25</v>
      </c>
      <c r="D5">
        <f>IF($A5="","",COUNTIF(EQA.CAP_Dados!$B$2:$B$5000,$A5))</f>
        <v>125</v>
      </c>
      <c r="E5">
        <f>IF($A5="","",COUNTIFS(EQA.CAP_Dados!$B$2:$B$5000,$A5,EQA.CAP_Dados!$W$2:$W$5000,"ACEITO"))</f>
        <v>99</v>
      </c>
      <c r="F5">
        <f>IF($A5="","",COUNTIFS(EQA.CAP_Dados!$B$2:$B$5000,$A5,EQA.CAP_Dados!$W$2:$W$5000,"NAO ACEITO"))</f>
        <v>1</v>
      </c>
      <c r="G5" s="93">
        <f t="shared" ref="G5:G12" si="0">IF(OR($A5="",$D5=0),"",$E5/$D5*100)</f>
        <v>79.2</v>
      </c>
    </row>
    <row r="6" spans="1:14" x14ac:dyDescent="0.3">
      <c r="A6" t="str">
        <f>IFERROR(INDEX(EQA.CAP_Dados!$B$2:$B$5000,MATCH(2,EQA.CAP_Dados!$T$2:$T$5000,0)),"")</f>
        <v>FH9-B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25</v>
      </c>
      <c r="D6">
        <f>IF($A6="","",COUNTIF(EQA.CAP_Dados!$B$2:$B$5000,$A6))</f>
        <v>125</v>
      </c>
      <c r="E6">
        <f>IF($A6="","",COUNTIFS(EQA.CAP_Dados!$B$2:$B$5000,$A6,EQA.CAP_Dados!$W$2:$W$5000,"ACEITO"))</f>
        <v>100</v>
      </c>
      <c r="F6">
        <f>IF($A6="","",COUNTIFS(EQA.CAP_Dados!$B$2:$B$5000,$A6,EQA.CAP_Dados!$W$2:$W$5000,"NAO ACEITO"))</f>
        <v>0</v>
      </c>
      <c r="G6" s="93">
        <f t="shared" si="0"/>
        <v>80</v>
      </c>
    </row>
    <row r="7" spans="1:14" x14ac:dyDescent="0.3">
      <c r="A7" t="str">
        <f>IFERROR(INDEX(EQA.CAP_Dados!$B$2:$B$5000,MATCH(3,EQA.CAP_Dados!$T$2:$T$5000,0)),"")</f>
        <v>FH9-C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25</v>
      </c>
      <c r="D7">
        <f>IF($A7="","",COUNTIF(EQA.CAP_Dados!$B$2:$B$5000,$A7))</f>
        <v>125</v>
      </c>
      <c r="E7">
        <f>IF($A7="","",COUNTIFS(EQA.CAP_Dados!$B$2:$B$5000,$A7,EQA.CAP_Dados!$W$2:$W$5000,"ACEITO"))</f>
        <v>100</v>
      </c>
      <c r="F7">
        <f>IF($A7="","",COUNTIFS(EQA.CAP_Dados!$B$2:$B$5000,$A7,EQA.CAP_Dados!$W$2:$W$5000,"NAO ACEITO"))</f>
        <v>0</v>
      </c>
      <c r="G7" s="93">
        <f t="shared" si="0"/>
        <v>80</v>
      </c>
    </row>
    <row r="8" spans="1:14" x14ac:dyDescent="0.3">
      <c r="A8">
        <f>IFERROR(INDEX(EQA.CAP_Dados!$B$2:$B$5000,MATCH(4,EQA.CAP_Dados!$T$2:$T$5000,0)),"")</f>
        <v>1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93">
        <f t="shared" si="0"/>
        <v>100</v>
      </c>
    </row>
    <row r="9" spans="1:14" x14ac:dyDescent="0.3">
      <c r="A9">
        <f>IFERROR(INDEX(EQA.CAP_Dados!$B$2:$B$5000,MATCH(5,EQA.CAP_Dados!$T$2:$T$5000,0)),"")</f>
        <v>2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93">
        <f t="shared" si="0"/>
        <v>100</v>
      </c>
    </row>
    <row r="10" spans="1:14" x14ac:dyDescent="0.3">
      <c r="A10">
        <f>IFERROR(INDEX(EQA.CAP_Dados!$B$2:$B$5000,MATCH(6,EQA.CAP_Dados!$T$2:$T$5000,0)),"")</f>
        <v>3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93">
        <f t="shared" si="0"/>
        <v>100</v>
      </c>
    </row>
    <row r="11" spans="1:14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93" t="str">
        <f t="shared" si="0"/>
        <v/>
      </c>
    </row>
    <row r="12" spans="1:14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93" t="str">
        <f t="shared" si="0"/>
        <v/>
      </c>
    </row>
    <row r="13" spans="1:14" x14ac:dyDescent="0.3">
      <c r="A13" s="92" t="s">
        <v>943</v>
      </c>
      <c r="B13" s="92"/>
      <c r="C13" s="92">
        <f>SUM(EQA.CAP_Dados!$V$2:$V$5000)</f>
        <v>93</v>
      </c>
      <c r="D13" s="92">
        <f>COUNTA(EQA.CAP_Dados!$B$2:$B$5000)</f>
        <v>465</v>
      </c>
      <c r="E13" s="92">
        <f>COUNTIF(EQA.CAP_Dados!$W$2:$W$5000,"ACEITO")</f>
        <v>389</v>
      </c>
      <c r="F13" s="92">
        <f>COUNTIF(EQA.CAP_Dados!$W$2:$W$5000,"NAO ACEITO")</f>
        <v>1</v>
      </c>
      <c r="G13" s="94">
        <f>IF($D13=0,"",$E13/$D13*100)</f>
        <v>83.655913978494624</v>
      </c>
    </row>
    <row r="15" spans="1:14" ht="30" customHeight="1" x14ac:dyDescent="0.3">
      <c r="I15" s="91" t="s">
        <v>944</v>
      </c>
      <c r="J15" s="91" t="s">
        <v>945</v>
      </c>
    </row>
    <row r="16" spans="1:14" x14ac:dyDescent="0.3">
      <c r="I16" t="s">
        <v>946</v>
      </c>
      <c r="J16">
        <f>COUNT(EQA.CAP_Dados!$T$2:$T$5000)</f>
        <v>6</v>
      </c>
    </row>
    <row r="17" spans="1:10" x14ac:dyDescent="0.3">
      <c r="I17" t="s">
        <v>947</v>
      </c>
      <c r="J17">
        <f>COUNT(EQA.CAP_Dados!$U$2:$U$5000)</f>
        <v>29</v>
      </c>
    </row>
    <row r="18" spans="1:10" x14ac:dyDescent="0.3">
      <c r="I18" t="s">
        <v>941</v>
      </c>
      <c r="J18">
        <f>COUNTA(EQA.CAP_Dados!$B$2:$B$5000)</f>
        <v>465</v>
      </c>
    </row>
    <row r="19" spans="1:10" x14ac:dyDescent="0.3">
      <c r="I19" t="s">
        <v>446</v>
      </c>
      <c r="J19">
        <f>COUNTIF(EQA.CAP_Dados!$W$2:$W$5000,"NAO ACEITO")</f>
        <v>1</v>
      </c>
    </row>
    <row r="20" spans="1:10" x14ac:dyDescent="0.3">
      <c r="I20" t="s">
        <v>948</v>
      </c>
      <c r="J20">
        <f>SUM(EQA.CAP_Dados!$X$2:$X$5000)</f>
        <v>1</v>
      </c>
    </row>
    <row r="21" spans="1:10" x14ac:dyDescent="0.3">
      <c r="I21" t="s">
        <v>949</v>
      </c>
      <c r="J21">
        <f>COUNTIF(EQA.CAP_Dados!$W$2:$W$5000,"NAO AVALIADO")</f>
        <v>75</v>
      </c>
    </row>
    <row r="22" spans="1:10" x14ac:dyDescent="0.3">
      <c r="I22" t="s">
        <v>950</v>
      </c>
      <c r="J22">
        <f>SUMPRODUCT((EQA_Base!$A$2:$A$5001="CAP")*(EQA_Base!$E$2:$E$5001="")*(EQA_Base!$D$2:$D$5001&lt;&gt;""))</f>
        <v>15</v>
      </c>
    </row>
    <row r="23" spans="1:10" x14ac:dyDescent="0.3">
      <c r="I23" t="s">
        <v>951</v>
      </c>
      <c r="J23">
        <f>SUMPRODUCT((EQA_Base!$A$2:$A$5001="CAP")*(EQA_Base!$T$2:$T$5001="NAO"))</f>
        <v>90</v>
      </c>
    </row>
    <row r="26" spans="1:10" ht="15.6" x14ac:dyDescent="0.3">
      <c r="A26" s="77" t="s">
        <v>952</v>
      </c>
    </row>
    <row r="27" spans="1:10" ht="30" customHeight="1" x14ac:dyDescent="0.3">
      <c r="A27" s="91" t="s">
        <v>88</v>
      </c>
      <c r="B27" s="91" t="str">
        <f>IF($A5="","",$A5)</f>
        <v>FH9-A 2025</v>
      </c>
      <c r="C27" s="91" t="str">
        <f>IF($A6="","",$A6)</f>
        <v>FH9-B 2025</v>
      </c>
      <c r="D27" s="91" t="str">
        <f>IF($A7="","",$A7)</f>
        <v>FH9-C 2025</v>
      </c>
      <c r="E27" s="91">
        <f>IF($A8="","",$A8)</f>
        <v>1</v>
      </c>
      <c r="F27" s="91">
        <f>IF($A9="","",$A9)</f>
        <v>2</v>
      </c>
      <c r="G27" s="91">
        <f>IF($A10="","",$A10)</f>
        <v>3</v>
      </c>
      <c r="H27" s="91" t="str">
        <f>IF($A11="","",$A11)</f>
        <v/>
      </c>
      <c r="I27" s="91" t="str">
        <f>IF($A12="","",$A12)</f>
        <v/>
      </c>
      <c r="J27" s="91" t="s">
        <v>953</v>
      </c>
    </row>
    <row r="28" spans="1:10" x14ac:dyDescent="0.3">
      <c r="A28" t="str">
        <f>IFERROR(INDEX(EQA.CAP_Dados!$D$2:$D$5000,MATCH(ROW()-27,EQA.CAP_Dados!$U$2:$U$5000,0)),"")</f>
        <v>Basophils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Basophils Absolute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Eosinophils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Eosinophils Absolute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Hematocrit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Hemoglobin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IG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IG Absolute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Immature Platelet Frac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Lymphs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Lymphs Absolute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MCH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>
        <f>IF(OR($A39="",E$27=""),"",IF(COUNTIFS(EQA.CAP_Dados!$B$2:$B$5000,E$27,EQA.CAP_Dados!$D$2:$D$5000,$A39)=0,"—",COUNTIFS(EQA.CAP_Dados!$B$2:$B$5000,E$27,EQA.CAP_Dados!$D$2:$D$5000,$A39)))</f>
        <v>5</v>
      </c>
      <c r="F39">
        <f>IF(OR($A39="",F$27=""),"",IF(COUNTIFS(EQA.CAP_Dados!$B$2:$B$5000,F$27,EQA.CAP_Dados!$D$2:$D$5000,$A39)=0,"—",COUNTIFS(EQA.CAP_Dados!$B$2:$B$5000,F$27,EQA.CAP_Dados!$D$2:$D$5000,$A39)))</f>
        <v>5</v>
      </c>
      <c r="G39">
        <f>IF(OR($A39="",G$27=""),"",IF(COUNTIFS(EQA.CAP_Dados!$B$2:$B$5000,G$27,EQA.CAP_Dados!$D$2:$D$5000,$A39)=0,"—",COUNTIFS(EQA.CAP_Dados!$B$2:$B$5000,G$27,EQA.CAP_Dados!$D$2:$D$5000,$A39)))</f>
        <v>5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30</v>
      </c>
    </row>
    <row r="40" spans="1:10" x14ac:dyDescent="0.3">
      <c r="A40" t="str">
        <f>IFERROR(INDEX(EQA.CAP_Dados!$D$2:$D$5000,MATCH(ROW()-27,EQA.CAP_Dados!$U$2:$U$5000,0)),"")</f>
        <v>MCHC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MCV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>
        <f>IF(OR($A41="",E$27=""),"",IF(COUNTIFS(EQA.CAP_Dados!$B$2:$B$5000,E$27,EQA.CAP_Dados!$D$2:$D$5000,$A41)=0,"—",COUNTIFS(EQA.CAP_Dados!$B$2:$B$5000,E$27,EQA.CAP_Dados!$D$2:$D$5000,$A41)))</f>
        <v>5</v>
      </c>
      <c r="F41">
        <f>IF(OR($A41="",F$27=""),"",IF(COUNTIFS(EQA.CAP_Dados!$B$2:$B$5000,F$27,EQA.CAP_Dados!$D$2:$D$5000,$A41)=0,"—",COUNTIFS(EQA.CAP_Dados!$B$2:$B$5000,F$27,EQA.CAP_Dados!$D$2:$D$5000,$A41)))</f>
        <v>5</v>
      </c>
      <c r="G41">
        <f>IF(OR($A41="",G$27=""),"",IF(COUNTIFS(EQA.CAP_Dados!$B$2:$B$5000,G$27,EQA.CAP_Dados!$D$2:$D$5000,$A41)=0,"—",COUNTIFS(EQA.CAP_Dados!$B$2:$B$5000,G$27,EQA.CAP_Dados!$D$2:$D$5000,$A41)))</f>
        <v>5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30</v>
      </c>
    </row>
    <row r="42" spans="1:10" x14ac:dyDescent="0.3">
      <c r="A42" t="str">
        <f>IFERROR(INDEX(EQA.CAP_Dados!$D$2:$D$5000,MATCH(ROW()-27,EQA.CAP_Dados!$U$2:$U$5000,0)),"")</f>
        <v>MPV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Monocytes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Monocytes Absolute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Neut/Gran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Neut/Gran Absolute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Platelet Count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RDW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Red Blood Cell Count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White Blood Cell Count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nRBC Absolute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nRBC/100 WBC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HCT</v>
      </c>
      <c r="B53" t="str">
        <f>IF(OR($A53="",B$27=""),"",IF(COUNTIFS(EQA.CAP_Dados!$B$2:$B$5000,B$27,EQA.CAP_Dados!$D$2:$D$5000,$A53)=0,"—",COUNTIFS(EQA.CAP_Dados!$B$2:$B$5000,B$27,EQA.CAP_Dados!$D$2:$D$5000,$A53)))</f>
        <v>—</v>
      </c>
      <c r="C53" t="str">
        <f>IF(OR($A53="",C$27=""),"",IF(COUNTIFS(EQA.CAP_Dados!$B$2:$B$5000,C$27,EQA.CAP_Dados!$D$2:$D$5000,$A53)=0,"—",COUNTIFS(EQA.CAP_Dados!$B$2:$B$5000,C$27,EQA.CAP_Dados!$D$2:$D$5000,$A53)))</f>
        <v>—</v>
      </c>
      <c r="D53" t="str">
        <f>IF(OR($A53="",D$27=""),"",IF(COUNTIFS(EQA.CAP_Dados!$B$2:$B$5000,D$27,EQA.CAP_Dados!$D$2:$D$5000,$A53)=0,"—",COUNTIFS(EQA.CAP_Dados!$B$2:$B$5000,D$27,EQA.CAP_Dados!$D$2:$D$5000,$A53)))</f>
        <v>—</v>
      </c>
      <c r="E53">
        <f>IF(OR($A53="",E$27=""),"",IF(COUNTIFS(EQA.CAP_Dados!$B$2:$B$5000,E$27,EQA.CAP_Dados!$D$2:$D$5000,$A53)=0,"—",COUNTIFS(EQA.CAP_Dados!$B$2:$B$5000,E$27,EQA.CAP_Dados!$D$2:$D$5000,$A53)))</f>
        <v>5</v>
      </c>
      <c r="F53">
        <f>IF(OR($A53="",F$27=""),"",IF(COUNTIFS(EQA.CAP_Dados!$B$2:$B$5000,F$27,EQA.CAP_Dados!$D$2:$D$5000,$A53)=0,"—",COUNTIFS(EQA.CAP_Dados!$B$2:$B$5000,F$27,EQA.CAP_Dados!$D$2:$D$5000,$A53)))</f>
        <v>5</v>
      </c>
      <c r="G53">
        <f>IF(OR($A53="",G$27=""),"",IF(COUNTIFS(EQA.CAP_Dados!$B$2:$B$5000,G$27,EQA.CAP_Dados!$D$2:$D$5000,$A53)=0,"—",COUNTIFS(EQA.CAP_Dados!$B$2:$B$5000,G$27,EQA.CAP_Dados!$D$2:$D$5000,$A53)))</f>
        <v>5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HGB</v>
      </c>
      <c r="B54" t="str">
        <f>IF(OR($A54="",B$27=""),"",IF(COUNTIFS(EQA.CAP_Dados!$B$2:$B$5000,B$27,EQA.CAP_Dados!$D$2:$D$5000,$A54)=0,"—",COUNTIFS(EQA.CAP_Dados!$B$2:$B$5000,B$27,EQA.CAP_Dados!$D$2:$D$5000,$A54)))</f>
        <v>—</v>
      </c>
      <c r="C54" t="str">
        <f>IF(OR($A54="",C$27=""),"",IF(COUNTIFS(EQA.CAP_Dados!$B$2:$B$5000,C$27,EQA.CAP_Dados!$D$2:$D$5000,$A54)=0,"—",COUNTIFS(EQA.CAP_Dados!$B$2:$B$5000,C$27,EQA.CAP_Dados!$D$2:$D$5000,$A54)))</f>
        <v>—</v>
      </c>
      <c r="D54" t="str">
        <f>IF(OR($A54="",D$27=""),"",IF(COUNTIFS(EQA.CAP_Dados!$B$2:$B$5000,D$27,EQA.CAP_Dados!$D$2:$D$5000,$A54)=0,"—",COUNTIFS(EQA.CAP_Dados!$B$2:$B$5000,D$27,EQA.CAP_Dados!$D$2:$D$5000,$A54)))</f>
        <v>—</v>
      </c>
      <c r="E54">
        <f>IF(OR($A54="",E$27=""),"",IF(COUNTIFS(EQA.CAP_Dados!$B$2:$B$5000,E$27,EQA.CAP_Dados!$D$2:$D$5000,$A54)=0,"—",COUNTIFS(EQA.CAP_Dados!$B$2:$B$5000,E$27,EQA.CAP_Dados!$D$2:$D$5000,$A54)))</f>
        <v>5</v>
      </c>
      <c r="F54">
        <f>IF(OR($A54="",F$27=""),"",IF(COUNTIFS(EQA.CAP_Dados!$B$2:$B$5000,F$27,EQA.CAP_Dados!$D$2:$D$5000,$A54)=0,"—",COUNTIFS(EQA.CAP_Dados!$B$2:$B$5000,F$27,EQA.CAP_Dados!$D$2:$D$5000,$A54)))</f>
        <v>5</v>
      </c>
      <c r="G54">
        <f>IF(OR($A54="",G$27=""),"",IF(COUNTIFS(EQA.CAP_Dados!$B$2:$B$5000,G$27,EQA.CAP_Dados!$D$2:$D$5000,$A54)=0,"—",COUNTIFS(EQA.CAP_Dados!$B$2:$B$5000,G$27,EQA.CAP_Dados!$D$2:$D$5000,$A54)))</f>
        <v>5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RBC</v>
      </c>
      <c r="B55" t="str">
        <f>IF(OR($A55="",B$27=""),"",IF(COUNTIFS(EQA.CAP_Dados!$B$2:$B$5000,B$27,EQA.CAP_Dados!$D$2:$D$5000,$A55)=0,"—",COUNTIFS(EQA.CAP_Dados!$B$2:$B$5000,B$27,EQA.CAP_Dados!$D$2:$D$5000,$A55)))</f>
        <v>—</v>
      </c>
      <c r="C55" t="str">
        <f>IF(OR($A55="",C$27=""),"",IF(COUNTIFS(EQA.CAP_Dados!$B$2:$B$5000,C$27,EQA.CAP_Dados!$D$2:$D$5000,$A55)=0,"—",COUNTIFS(EQA.CAP_Dados!$B$2:$B$5000,C$27,EQA.CAP_Dados!$D$2:$D$5000,$A55)))</f>
        <v>—</v>
      </c>
      <c r="D55" t="str">
        <f>IF(OR($A55="",D$27=""),"",IF(COUNTIFS(EQA.CAP_Dados!$B$2:$B$5000,D$27,EQA.CAP_Dados!$D$2:$D$5000,$A55)=0,"—",COUNTIFS(EQA.CAP_Dados!$B$2:$B$5000,D$27,EQA.CAP_Dados!$D$2:$D$5000,$A55)))</f>
        <v>—</v>
      </c>
      <c r="E55">
        <f>IF(OR($A55="",E$27=""),"",IF(COUNTIFS(EQA.CAP_Dados!$B$2:$B$5000,E$27,EQA.CAP_Dados!$D$2:$D$5000,$A55)=0,"—",COUNTIFS(EQA.CAP_Dados!$B$2:$B$5000,E$27,EQA.CAP_Dados!$D$2:$D$5000,$A55)))</f>
        <v>5</v>
      </c>
      <c r="F55">
        <f>IF(OR($A55="",F$27=""),"",IF(COUNTIFS(EQA.CAP_Dados!$B$2:$B$5000,F$27,EQA.CAP_Dados!$D$2:$D$5000,$A55)=0,"—",COUNTIFS(EQA.CAP_Dados!$B$2:$B$5000,F$27,EQA.CAP_Dados!$D$2:$D$5000,$A55)))</f>
        <v>5</v>
      </c>
      <c r="G55">
        <f>IF(OR($A55="",G$27=""),"",IF(COUNTIFS(EQA.CAP_Dados!$B$2:$B$5000,G$27,EQA.CAP_Dados!$D$2:$D$5000,$A55)=0,"—",COUNTIFS(EQA.CAP_Dados!$B$2:$B$5000,G$27,EQA.CAP_Dados!$D$2:$D$5000,$A55)))</f>
        <v>5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WBC</v>
      </c>
      <c r="B56" t="str">
        <f>IF(OR($A56="",B$27=""),"",IF(COUNTIFS(EQA.CAP_Dados!$B$2:$B$5000,B$27,EQA.CAP_Dados!$D$2:$D$5000,$A56)=0,"—",COUNTIFS(EQA.CAP_Dados!$B$2:$B$5000,B$27,EQA.CAP_Dados!$D$2:$D$5000,$A56)))</f>
        <v>—</v>
      </c>
      <c r="C56" t="str">
        <f>IF(OR($A56="",C$27=""),"",IF(COUNTIFS(EQA.CAP_Dados!$B$2:$B$5000,C$27,EQA.CAP_Dados!$D$2:$D$5000,$A56)=0,"—",COUNTIFS(EQA.CAP_Dados!$B$2:$B$5000,C$27,EQA.CAP_Dados!$D$2:$D$5000,$A56)))</f>
        <v>—</v>
      </c>
      <c r="D56" t="str">
        <f>IF(OR($A56="",D$27=""),"",IF(COUNTIFS(EQA.CAP_Dados!$B$2:$B$5000,D$27,EQA.CAP_Dados!$D$2:$D$5000,$A56)=0,"—",COUNTIFS(EQA.CAP_Dados!$B$2:$B$5000,D$27,EQA.CAP_Dados!$D$2:$D$5000,$A56)))</f>
        <v>—</v>
      </c>
      <c r="E56">
        <f>IF(OR($A56="",E$27=""),"",IF(COUNTIFS(EQA.CAP_Dados!$B$2:$B$5000,E$27,EQA.CAP_Dados!$D$2:$D$5000,$A56)=0,"—",COUNTIFS(EQA.CAP_Dados!$B$2:$B$5000,E$27,EQA.CAP_Dados!$D$2:$D$5000,$A56)))</f>
        <v>5</v>
      </c>
      <c r="F56">
        <f>IF(OR($A56="",F$27=""),"",IF(COUNTIFS(EQA.CAP_Dados!$B$2:$B$5000,F$27,EQA.CAP_Dados!$D$2:$D$5000,$A56)=0,"—",COUNTIFS(EQA.CAP_Dados!$B$2:$B$5000,F$27,EQA.CAP_Dados!$D$2:$D$5000,$A56)))</f>
        <v>5</v>
      </c>
      <c r="G56">
        <f>IF(OR($A56="",G$27=""),"",IF(COUNTIFS(EQA.CAP_Dados!$B$2:$B$5000,G$27,EQA.CAP_Dados!$D$2:$D$5000,$A56)=0,"—",COUNTIFS(EQA.CAP_Dados!$B$2:$B$5000,G$27,EQA.CAP_Dados!$D$2:$D$5000,$A56)))</f>
        <v>5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/>
      </c>
      <c r="B57" t="str">
        <f>IF(OR($A57="",B$27=""),"",IF(COUNTIFS(EQA.CAP_Dados!$B$2:$B$5000,B$27,EQA.CAP_Dados!$D$2:$D$5000,$A57)=0,"—",COUNTIFS(EQA.CAP_Dados!$B$2:$B$5000,B$27,EQA.CAP_Dados!$D$2:$D$5000,$A57)))</f>
        <v/>
      </c>
      <c r="C57" t="str">
        <f>IF(OR($A57="",C$27=""),"",IF(COUNTIFS(EQA.CAP_Dados!$B$2:$B$5000,C$27,EQA.CAP_Dados!$D$2:$D$5000,$A57)=0,"—",COUNTIFS(EQA.CAP_Dados!$B$2:$B$5000,C$27,EQA.CAP_Dados!$D$2:$D$5000,$A57)))</f>
        <v/>
      </c>
      <c r="D57" t="str">
        <f>IF(OR($A57="",D$27=""),"",IF(COUNTIFS(EQA.CAP_Dados!$B$2:$B$5000,D$27,EQA.CAP_Dados!$D$2:$D$5000,$A57)=0,"—",COUNTIFS(EQA.CAP_Dados!$B$2:$B$5000,D$27,EQA.CAP_Dados!$D$2:$D$5000,$A57)))</f>
        <v/>
      </c>
      <c r="E57" t="str">
        <f>IF(OR($A57="",E$27=""),"",IF(COUNTIFS(EQA.CAP_Dados!$B$2:$B$5000,E$27,EQA.CAP_Dados!$D$2:$D$5000,$A57)=0,"—",COUNTIFS(EQA.CAP_Dados!$B$2:$B$5000,E$27,EQA.CAP_Dados!$D$2:$D$5000,$A57)))</f>
        <v/>
      </c>
      <c r="F57" t="str">
        <f>IF(OR($A57="",F$27=""),"",IF(COUNTIFS(EQA.CAP_Dados!$B$2:$B$5000,F$27,EQA.CAP_Dados!$D$2:$D$5000,$A57)=0,"—",COUNTIFS(EQA.CAP_Dados!$B$2:$B$5000,F$27,EQA.CAP_Dados!$D$2:$D$5000,$A57)))</f>
        <v/>
      </c>
      <c r="G57" t="str">
        <f>IF(OR($A57="",G$27=""),"",IF(COUNTIFS(EQA.CAP_Dados!$B$2:$B$5000,G$27,EQA.CAP_Dados!$D$2:$D$5000,$A57)=0,"—",COUNTIFS(EQA.CAP_Dados!$B$2:$B$5000,G$27,EQA.CAP_Dados!$D$2:$D$5000,$A57)))</f>
        <v/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 t="str">
        <f>IF($A57="","",COUNTIF(EQA.CAP_Dados!$D$2:$D$5000,$A57))</f>
        <v/>
      </c>
    </row>
    <row r="58" spans="1:10" x14ac:dyDescent="0.3">
      <c r="A58" t="str">
        <f>IFERROR(INDEX(EQA.CAP_Dados!$D$2:$D$5000,MATCH(ROW()-27,EQA.CAP_Dados!$U$2:$U$5000,0)),"")</f>
        <v/>
      </c>
      <c r="B58" t="str">
        <f>IF(OR($A58="",B$27=""),"",IF(COUNTIFS(EQA.CAP_Dados!$B$2:$B$5000,B$27,EQA.CAP_Dados!$D$2:$D$5000,$A58)=0,"—",COUNTIFS(EQA.CAP_Dados!$B$2:$B$5000,B$27,EQA.CAP_Dados!$D$2:$D$5000,$A58)))</f>
        <v/>
      </c>
      <c r="C58" t="str">
        <f>IF(OR($A58="",C$27=""),"",IF(COUNTIFS(EQA.CAP_Dados!$B$2:$B$5000,C$27,EQA.CAP_Dados!$D$2:$D$5000,$A58)=0,"—",COUNTIFS(EQA.CAP_Dados!$B$2:$B$5000,C$27,EQA.CAP_Dados!$D$2:$D$5000,$A58)))</f>
        <v/>
      </c>
      <c r="D58" t="str">
        <f>IF(OR($A58="",D$27=""),"",IF(COUNTIFS(EQA.CAP_Dados!$B$2:$B$5000,D$27,EQA.CAP_Dados!$D$2:$D$5000,$A58)=0,"—",COUNTIFS(EQA.CAP_Dados!$B$2:$B$5000,D$27,EQA.CAP_Dados!$D$2:$D$5000,$A58)))</f>
        <v/>
      </c>
      <c r="E58" t="str">
        <f>IF(OR($A58="",E$27=""),"",IF(COUNTIFS(EQA.CAP_Dados!$B$2:$B$5000,E$27,EQA.CAP_Dados!$D$2:$D$5000,$A58)=0,"—",COUNTIFS(EQA.CAP_Dados!$B$2:$B$5000,E$27,EQA.CAP_Dados!$D$2:$D$5000,$A58)))</f>
        <v/>
      </c>
      <c r="F58" t="str">
        <f>IF(OR($A58="",F$27=""),"",IF(COUNTIFS(EQA.CAP_Dados!$B$2:$B$5000,F$27,EQA.CAP_Dados!$D$2:$D$5000,$A58)=0,"—",COUNTIFS(EQA.CAP_Dados!$B$2:$B$5000,F$27,EQA.CAP_Dados!$D$2:$D$5000,$A58)))</f>
        <v/>
      </c>
      <c r="G58" t="str">
        <f>IF(OR($A58="",G$27=""),"",IF(COUNTIFS(EQA.CAP_Dados!$B$2:$B$5000,G$27,EQA.CAP_Dados!$D$2:$D$5000,$A58)=0,"—",COUNTIFS(EQA.CAP_Dados!$B$2:$B$5000,G$27,EQA.CAP_Dados!$D$2:$D$5000,$A58)))</f>
        <v/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 t="str">
        <f>IF($A58="","",COUNTIF(EQA.CAP_Dados!$D$2:$D$5000,$A58))</f>
        <v/>
      </c>
    </row>
    <row r="59" spans="1:10" x14ac:dyDescent="0.3">
      <c r="A59" t="str">
        <f>IFERROR(INDEX(EQA.CAP_Dados!$D$2:$D$5000,MATCH(ROW()-27,EQA.CAP_Dados!$U$2:$U$5000,0)),"")</f>
        <v/>
      </c>
      <c r="B59" t="str">
        <f>IF(OR($A59="",B$27=""),"",IF(COUNTIFS(EQA.CAP_Dados!$B$2:$B$5000,B$27,EQA.CAP_Dados!$D$2:$D$5000,$A59)=0,"—",COUNTIFS(EQA.CAP_Dados!$B$2:$B$5000,B$27,EQA.CAP_Dados!$D$2:$D$5000,$A59)))</f>
        <v/>
      </c>
      <c r="C59" t="str">
        <f>IF(OR($A59="",C$27=""),"",IF(COUNTIFS(EQA.CAP_Dados!$B$2:$B$5000,C$27,EQA.CAP_Dados!$D$2:$D$5000,$A59)=0,"—",COUNTIFS(EQA.CAP_Dados!$B$2:$B$5000,C$27,EQA.CAP_Dados!$D$2:$D$5000,$A59)))</f>
        <v/>
      </c>
      <c r="D59" t="str">
        <f>IF(OR($A59="",D$27=""),"",IF(COUNTIFS(EQA.CAP_Dados!$B$2:$B$5000,D$27,EQA.CAP_Dados!$D$2:$D$5000,$A59)=0,"—",COUNTIFS(EQA.CAP_Dados!$B$2:$B$5000,D$27,EQA.CAP_Dados!$D$2:$D$5000,$A59)))</f>
        <v/>
      </c>
      <c r="E59" t="str">
        <f>IF(OR($A59="",E$27=""),"",IF(COUNTIFS(EQA.CAP_Dados!$B$2:$B$5000,E$27,EQA.CAP_Dados!$D$2:$D$5000,$A59)=0,"—",COUNTIFS(EQA.CAP_Dados!$B$2:$B$5000,E$27,EQA.CAP_Dados!$D$2:$D$5000,$A59)))</f>
        <v/>
      </c>
      <c r="F59" t="str">
        <f>IF(OR($A59="",F$27=""),"",IF(COUNTIFS(EQA.CAP_Dados!$B$2:$B$5000,F$27,EQA.CAP_Dados!$D$2:$D$5000,$A59)=0,"—",COUNTIFS(EQA.CAP_Dados!$B$2:$B$5000,F$27,EQA.CAP_Dados!$D$2:$D$5000,$A59)))</f>
        <v/>
      </c>
      <c r="G59" t="str">
        <f>IF(OR($A59="",G$27=""),"",IF(COUNTIFS(EQA.CAP_Dados!$B$2:$B$5000,G$27,EQA.CAP_Dados!$D$2:$D$5000,$A59)=0,"—",COUNTIFS(EQA.CAP_Dados!$B$2:$B$5000,G$27,EQA.CAP_Dados!$D$2:$D$5000,$A59)))</f>
        <v/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 t="str">
        <f>IF($A59="","",COUNTIF(EQA.CAP_Dados!$D$2:$D$5000,$A59))</f>
        <v/>
      </c>
    </row>
    <row r="60" spans="1:10" x14ac:dyDescent="0.3">
      <c r="A60" t="str">
        <f>IFERROR(INDEX(EQA.CAP_Dados!$D$2:$D$5000,MATCH(ROW()-27,EQA.CAP_Dados!$U$2:$U$5000,0)),"")</f>
        <v/>
      </c>
      <c r="B60" t="str">
        <f>IF(OR($A60="",B$27=""),"",IF(COUNTIFS(EQA.CAP_Dados!$B$2:$B$5000,B$27,EQA.CAP_Dados!$D$2:$D$5000,$A60)=0,"—",COUNTIFS(EQA.CAP_Dados!$B$2:$B$5000,B$27,EQA.CAP_Dados!$D$2:$D$5000,$A60)))</f>
        <v/>
      </c>
      <c r="C60" t="str">
        <f>IF(OR($A60="",C$27=""),"",IF(COUNTIFS(EQA.CAP_Dados!$B$2:$B$5000,C$27,EQA.CAP_Dados!$D$2:$D$5000,$A60)=0,"—",COUNTIFS(EQA.CAP_Dados!$B$2:$B$5000,C$27,EQA.CAP_Dados!$D$2:$D$5000,$A60)))</f>
        <v/>
      </c>
      <c r="D60" t="str">
        <f>IF(OR($A60="",D$27=""),"",IF(COUNTIFS(EQA.CAP_Dados!$B$2:$B$5000,D$27,EQA.CAP_Dados!$D$2:$D$5000,$A60)=0,"—",COUNTIFS(EQA.CAP_Dados!$B$2:$B$5000,D$27,EQA.CAP_Dados!$D$2:$D$5000,$A60)))</f>
        <v/>
      </c>
      <c r="E60" t="str">
        <f>IF(OR($A60="",E$27=""),"",IF(COUNTIFS(EQA.CAP_Dados!$B$2:$B$5000,E$27,EQA.CAP_Dados!$D$2:$D$5000,$A60)=0,"—",COUNTIFS(EQA.CAP_Dados!$B$2:$B$5000,E$27,EQA.CAP_Dados!$D$2:$D$5000,$A60)))</f>
        <v/>
      </c>
      <c r="F60" t="str">
        <f>IF(OR($A60="",F$27=""),"",IF(COUNTIFS(EQA.CAP_Dados!$B$2:$B$5000,F$27,EQA.CAP_Dados!$D$2:$D$5000,$A60)=0,"—",COUNTIFS(EQA.CAP_Dados!$B$2:$B$5000,F$27,EQA.CAP_Dados!$D$2:$D$5000,$A60)))</f>
        <v/>
      </c>
      <c r="G60" t="str">
        <f>IF(OR($A60="",G$27=""),"",IF(COUNTIFS(EQA.CAP_Dados!$B$2:$B$5000,G$27,EQA.CAP_Dados!$D$2:$D$5000,$A60)=0,"—",COUNTIFS(EQA.CAP_Dados!$B$2:$B$5000,G$27,EQA.CAP_Dados!$D$2:$D$5000,$A60)))</f>
        <v/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 t="str">
        <f>IF($A60="","",COUNTIF(EQA.CAP_Dados!$D$2:$D$5000,$A60))</f>
        <v/>
      </c>
    </row>
    <row r="61" spans="1:10" x14ac:dyDescent="0.3">
      <c r="A61" t="str">
        <f>IFERROR(INDEX(EQA.CAP_Dados!$D$2:$D$5000,MATCH(ROW()-27,EQA.CAP_Dados!$U$2:$U$5000,0)),"")</f>
        <v/>
      </c>
      <c r="B61" t="str">
        <f>IF(OR($A61="",B$27=""),"",IF(COUNTIFS(EQA.CAP_Dados!$B$2:$B$5000,B$27,EQA.CAP_Dados!$D$2:$D$5000,$A61)=0,"—",COUNTIFS(EQA.CAP_Dados!$B$2:$B$5000,B$27,EQA.CAP_Dados!$D$2:$D$5000,$A61)))</f>
        <v/>
      </c>
      <c r="C61" t="str">
        <f>IF(OR($A61="",C$27=""),"",IF(COUNTIFS(EQA.CAP_Dados!$B$2:$B$5000,C$27,EQA.CAP_Dados!$D$2:$D$5000,$A61)=0,"—",COUNTIFS(EQA.CAP_Dados!$B$2:$B$5000,C$27,EQA.CAP_Dados!$D$2:$D$5000,$A61)))</f>
        <v/>
      </c>
      <c r="D61" t="str">
        <f>IF(OR($A61="",D$27=""),"",IF(COUNTIFS(EQA.CAP_Dados!$B$2:$B$5000,D$27,EQA.CAP_Dados!$D$2:$D$5000,$A61)=0,"—",COUNTIFS(EQA.CAP_Dados!$B$2:$B$5000,D$27,EQA.CAP_Dados!$D$2:$D$5000,$A61)))</f>
        <v/>
      </c>
      <c r="E61" t="str">
        <f>IF(OR($A61="",E$27=""),"",IF(COUNTIFS(EQA.CAP_Dados!$B$2:$B$5000,E$27,EQA.CAP_Dados!$D$2:$D$5000,$A61)=0,"—",COUNTIFS(EQA.CAP_Dados!$B$2:$B$5000,E$27,EQA.CAP_Dados!$D$2:$D$5000,$A61)))</f>
        <v/>
      </c>
      <c r="F61" t="str">
        <f>IF(OR($A61="",F$27=""),"",IF(COUNTIFS(EQA.CAP_Dados!$B$2:$B$5000,F$27,EQA.CAP_Dados!$D$2:$D$5000,$A61)=0,"—",COUNTIFS(EQA.CAP_Dados!$B$2:$B$5000,F$27,EQA.CAP_Dados!$D$2:$D$5000,$A61)))</f>
        <v/>
      </c>
      <c r="G61" t="str">
        <f>IF(OR($A61="",G$27=""),"",IF(COUNTIFS(EQA.CAP_Dados!$B$2:$B$5000,G$27,EQA.CAP_Dados!$D$2:$D$5000,$A61)=0,"—",COUNTIFS(EQA.CAP_Dados!$B$2:$B$5000,G$27,EQA.CAP_Dados!$D$2:$D$5000,$A61)))</f>
        <v/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 t="str">
        <f>IF($A61="","",COUNTIF(EQA.CAP_Dados!$D$2:$D$5000,$A61))</f>
        <v/>
      </c>
    </row>
    <row r="62" spans="1:10" x14ac:dyDescent="0.3">
      <c r="A62" t="str">
        <f>IFERROR(INDEX(EQA.CAP_Dados!$D$2:$D$5000,MATCH(ROW()-27,EQA.CAP_Dados!$U$2:$U$5000,0)),"")</f>
        <v/>
      </c>
      <c r="B62" t="str">
        <f>IF(OR($A62="",B$27=""),"",IF(COUNTIFS(EQA.CAP_Dados!$B$2:$B$5000,B$27,EQA.CAP_Dados!$D$2:$D$5000,$A62)=0,"—",COUNTIFS(EQA.CAP_Dados!$B$2:$B$5000,B$27,EQA.CAP_Dados!$D$2:$D$5000,$A62)))</f>
        <v/>
      </c>
      <c r="C62" t="str">
        <f>IF(OR($A62="",C$27=""),"",IF(COUNTIFS(EQA.CAP_Dados!$B$2:$B$5000,C$27,EQA.CAP_Dados!$D$2:$D$5000,$A62)=0,"—",COUNTIFS(EQA.CAP_Dados!$B$2:$B$5000,C$27,EQA.CAP_Dados!$D$2:$D$5000,$A62)))</f>
        <v/>
      </c>
      <c r="D62" t="str">
        <f>IF(OR($A62="",D$27=""),"",IF(COUNTIFS(EQA.CAP_Dados!$B$2:$B$5000,D$27,EQA.CAP_Dados!$D$2:$D$5000,$A62)=0,"—",COUNTIFS(EQA.CAP_Dados!$B$2:$B$5000,D$27,EQA.CAP_Dados!$D$2:$D$5000,$A62)))</f>
        <v/>
      </c>
      <c r="E62" t="str">
        <f>IF(OR($A62="",E$27=""),"",IF(COUNTIFS(EQA.CAP_Dados!$B$2:$B$5000,E$27,EQA.CAP_Dados!$D$2:$D$5000,$A62)=0,"—",COUNTIFS(EQA.CAP_Dados!$B$2:$B$5000,E$27,EQA.CAP_Dados!$D$2:$D$5000,$A62)))</f>
        <v/>
      </c>
      <c r="F62" t="str">
        <f>IF(OR($A62="",F$27=""),"",IF(COUNTIFS(EQA.CAP_Dados!$B$2:$B$5000,F$27,EQA.CAP_Dados!$D$2:$D$5000,$A62)=0,"—",COUNTIFS(EQA.CAP_Dados!$B$2:$B$5000,F$27,EQA.CAP_Dados!$D$2:$D$5000,$A62)))</f>
        <v/>
      </c>
      <c r="G62" t="str">
        <f>IF(OR($A62="",G$27=""),"",IF(COUNTIFS(EQA.CAP_Dados!$B$2:$B$5000,G$27,EQA.CAP_Dados!$D$2:$D$5000,$A62)=0,"—",COUNTIFS(EQA.CAP_Dados!$B$2:$B$5000,G$27,EQA.CAP_Dados!$D$2:$D$5000,$A62)))</f>
        <v/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 t="str">
        <f>IF($A62="","",COUNTIF(EQA.CAP_Dados!$D$2:$D$5000,$A62))</f>
        <v/>
      </c>
    </row>
    <row r="63" spans="1:10" x14ac:dyDescent="0.3">
      <c r="A63" t="str">
        <f>IFERROR(INDEX(EQA.CAP_Dados!$D$2:$D$5000,MATCH(ROW()-27,EQA.CAP_Dados!$U$2:$U$5000,0)),"")</f>
        <v/>
      </c>
      <c r="B63" t="str">
        <f>IF(OR($A63="",B$27=""),"",IF(COUNTIFS(EQA.CAP_Dados!$B$2:$B$5000,B$27,EQA.CAP_Dados!$D$2:$D$5000,$A63)=0,"—",COUNTIFS(EQA.CAP_Dados!$B$2:$B$5000,B$27,EQA.CAP_Dados!$D$2:$D$5000,$A63)))</f>
        <v/>
      </c>
      <c r="C63" t="str">
        <f>IF(OR($A63="",C$27=""),"",IF(COUNTIFS(EQA.CAP_Dados!$B$2:$B$5000,C$27,EQA.CAP_Dados!$D$2:$D$5000,$A63)=0,"—",COUNTIFS(EQA.CAP_Dados!$B$2:$B$5000,C$27,EQA.CAP_Dados!$D$2:$D$5000,$A63)))</f>
        <v/>
      </c>
      <c r="D63" t="str">
        <f>IF(OR($A63="",D$27=""),"",IF(COUNTIFS(EQA.CAP_Dados!$B$2:$B$5000,D$27,EQA.CAP_Dados!$D$2:$D$5000,$A63)=0,"—",COUNTIFS(EQA.CAP_Dados!$B$2:$B$5000,D$27,EQA.CAP_Dados!$D$2:$D$5000,$A63)))</f>
        <v/>
      </c>
      <c r="E63" t="str">
        <f>IF(OR($A63="",E$27=""),"",IF(COUNTIFS(EQA.CAP_Dados!$B$2:$B$5000,E$27,EQA.CAP_Dados!$D$2:$D$5000,$A63)=0,"—",COUNTIFS(EQA.CAP_Dados!$B$2:$B$5000,E$27,EQA.CAP_Dados!$D$2:$D$5000,$A63)))</f>
        <v/>
      </c>
      <c r="F63" t="str">
        <f>IF(OR($A63="",F$27=""),"",IF(COUNTIFS(EQA.CAP_Dados!$B$2:$B$5000,F$27,EQA.CAP_Dados!$D$2:$D$5000,$A63)=0,"—",COUNTIFS(EQA.CAP_Dados!$B$2:$B$5000,F$27,EQA.CAP_Dados!$D$2:$D$5000,$A63)))</f>
        <v/>
      </c>
      <c r="G63" t="str">
        <f>IF(OR($A63="",G$27=""),"",IF(COUNTIFS(EQA.CAP_Dados!$B$2:$B$5000,G$27,EQA.CAP_Dados!$D$2:$D$5000,$A63)=0,"—",COUNTIFS(EQA.CAP_Dados!$B$2:$B$5000,G$27,EQA.CAP_Dados!$D$2:$D$5000,$A63)))</f>
        <v/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 t="str">
        <f>IF($A63="","",COUNTIF(EQA.CAP_Dados!$D$2:$D$5000,$A63))</f>
        <v/>
      </c>
    </row>
    <row r="64" spans="1:10" x14ac:dyDescent="0.3">
      <c r="A64" t="str">
        <f>IFERROR(INDEX(EQA.CAP_Dados!$D$2:$D$5000,MATCH(ROW()-27,EQA.CAP_Dados!$U$2:$U$5000,0)),"")</f>
        <v/>
      </c>
      <c r="B64" t="str">
        <f>IF(OR($A64="",B$27=""),"",IF(COUNTIFS(EQA.CAP_Dados!$B$2:$B$5000,B$27,EQA.CAP_Dados!$D$2:$D$5000,$A64)=0,"—",COUNTIFS(EQA.CAP_Dados!$B$2:$B$5000,B$27,EQA.CAP_Dados!$D$2:$D$5000,$A64)))</f>
        <v/>
      </c>
      <c r="C64" t="str">
        <f>IF(OR($A64="",C$27=""),"",IF(COUNTIFS(EQA.CAP_Dados!$B$2:$B$5000,C$27,EQA.CAP_Dados!$D$2:$D$5000,$A64)=0,"—",COUNTIFS(EQA.CAP_Dados!$B$2:$B$5000,C$27,EQA.CAP_Dados!$D$2:$D$5000,$A64)))</f>
        <v/>
      </c>
      <c r="D64" t="str">
        <f>IF(OR($A64="",D$27=""),"",IF(COUNTIFS(EQA.CAP_Dados!$B$2:$B$5000,D$27,EQA.CAP_Dados!$D$2:$D$5000,$A64)=0,"—",COUNTIFS(EQA.CAP_Dados!$B$2:$B$5000,D$27,EQA.CAP_Dados!$D$2:$D$5000,$A64)))</f>
        <v/>
      </c>
      <c r="E64" t="str">
        <f>IF(OR($A64="",E$27=""),"",IF(COUNTIFS(EQA.CAP_Dados!$B$2:$B$5000,E$27,EQA.CAP_Dados!$D$2:$D$5000,$A64)=0,"—",COUNTIFS(EQA.CAP_Dados!$B$2:$B$5000,E$27,EQA.CAP_Dados!$D$2:$D$5000,$A64)))</f>
        <v/>
      </c>
      <c r="F64" t="str">
        <f>IF(OR($A64="",F$27=""),"",IF(COUNTIFS(EQA.CAP_Dados!$B$2:$B$5000,F$27,EQA.CAP_Dados!$D$2:$D$5000,$A64)=0,"—",COUNTIFS(EQA.CAP_Dados!$B$2:$B$5000,F$27,EQA.CAP_Dados!$D$2:$D$5000,$A64)))</f>
        <v/>
      </c>
      <c r="G64" t="str">
        <f>IF(OR($A64="",G$27=""),"",IF(COUNTIFS(EQA.CAP_Dados!$B$2:$B$5000,G$27,EQA.CAP_Dados!$D$2:$D$5000,$A64)=0,"—",COUNTIFS(EQA.CAP_Dados!$B$2:$B$5000,G$27,EQA.CAP_Dados!$D$2:$D$5000,$A64)))</f>
        <v/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 t="str">
        <f>IF($A64="","",COUNTIF(EQA.CAP_Dados!$D$2:$D$5000,$A64))</f>
        <v/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sheetProtection algorithmName="SHA-512" hashValue="nqw0eCrgMeT1h2F/0kW1lruSZ9mBo+9R+CSnsjPDZTmbGlHR7grChkI6+gTJ94L8Gg9B1v3KTY9slyw9pfUq4A==" saltValue="Zsf6RMza7sYQkz1K751Od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943F-0D3A-4EE4-BE1E-1EF67ADA724C}">
  <sheetPr codeName="Planilha21">
    <tabColor rgb="FF263B4D"/>
  </sheetPr>
  <dimension ref="A1:R204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90" t="s">
        <v>961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</row>
    <row r="2" spans="1:18" x14ac:dyDescent="0.3">
      <c r="A2" s="79" t="s">
        <v>962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</row>
    <row r="3" spans="1:18" x14ac:dyDescent="0.3">
      <c r="A3" s="79" t="str">
        <f>COUNT(EQA.CAP_Dados!$S$2:$S$5000)&amp;" registro(s) — a lista acompanha EQA.CAP_Dados sozinha"</f>
        <v>1 registro(s) — a lista acompanha EQA.CAP_Dados sozinha</v>
      </c>
    </row>
    <row r="4" spans="1:18" ht="30" customHeight="1" x14ac:dyDescent="0.3">
      <c r="A4" s="91" t="s">
        <v>291</v>
      </c>
      <c r="B4" s="91" t="s">
        <v>381</v>
      </c>
      <c r="C4" s="91" t="s">
        <v>289</v>
      </c>
      <c r="D4" s="91" t="s">
        <v>88</v>
      </c>
      <c r="E4" s="91" t="s">
        <v>292</v>
      </c>
      <c r="F4" s="91" t="s">
        <v>382</v>
      </c>
      <c r="G4" s="91" t="s">
        <v>383</v>
      </c>
      <c r="H4" s="91" t="s">
        <v>384</v>
      </c>
      <c r="I4" s="91" t="s">
        <v>296</v>
      </c>
      <c r="J4" s="91" t="s">
        <v>385</v>
      </c>
      <c r="K4" s="91" t="s">
        <v>386</v>
      </c>
      <c r="L4" s="91" t="s">
        <v>387</v>
      </c>
      <c r="M4" s="91" t="s">
        <v>388</v>
      </c>
      <c r="N4" s="91" t="s">
        <v>389</v>
      </c>
      <c r="O4" s="91" t="s">
        <v>390</v>
      </c>
      <c r="P4" s="91" t="s">
        <v>391</v>
      </c>
      <c r="Q4" s="91" t="s">
        <v>392</v>
      </c>
      <c r="R4" s="91" t="s">
        <v>393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FH9-A 2025</v>
      </c>
      <c r="C5" s="81">
        <f>IFERROR(INDEX(EQA.CAP_Dados!C$2:C$5000,MATCH(ROW()-4,EQA.CAP_Dados!$S$2:$S$5000,0)),"")</f>
        <v>2025</v>
      </c>
      <c r="D5" t="str">
        <f>IFERROR(INDEX(EQA.CAP_Dados!D$2:D$5000,MATCH(ROW()-4,EQA.CAP_Dados!$S$2:$S$5000,0)),"")</f>
        <v>MCHC</v>
      </c>
      <c r="E5" t="str">
        <f>IFERROR(INDEX(EQA.CAP_Dados!E$2:E$5000,MATCH(ROW()-4,EQA.CAP_Dados!$S$2:$S$5000,0)),"")</f>
        <v>FH9-05</v>
      </c>
      <c r="F5" s="85">
        <f>IFERROR(INDEX(EQA.CAP_Dados!F$2:F$5000,MATCH(ROW()-4,EQA.CAP_Dados!$S$2:$S$5000,0)),"")</f>
        <v>36.4</v>
      </c>
      <c r="G5" s="86">
        <f>IFERROR(INDEX(EQA.CAP_Dados!G$2:G$5000,MATCH(ROW()-4,EQA.CAP_Dados!$S$2:$S$5000,0)),"")</f>
        <v>34.590000000000003</v>
      </c>
      <c r="H5" s="86">
        <f>IFERROR(INDEX(EQA.CAP_Dados!H$2:H$5000,MATCH(ROW()-4,EQA.CAP_Dados!$S$2:$S$5000,0)),"")</f>
        <v>0.56999999999999995</v>
      </c>
      <c r="I5" s="87">
        <f>IFERROR(INDEX(EQA.CAP_Dados!I$2:I$5000,MATCH(ROW()-4,EQA.CAP_Dados!$S$2:$S$5000,0)),"")</f>
        <v>3.2</v>
      </c>
      <c r="J5" s="85">
        <f>IFERROR(INDEX(EQA.CAP_Dados!J$2:J$5000,MATCH(ROW()-4,EQA.CAP_Dados!$S$2:$S$5000,0)),"")</f>
        <v>32.799999999999997</v>
      </c>
      <c r="K5" s="85">
        <f>IFERROR(INDEX(EQA.CAP_Dados!K$2:K$5000,MATCH(ROW()-4,EQA.CAP_Dados!$S$2:$S$5000,0)),"")</f>
        <v>36.299999999999997</v>
      </c>
      <c r="L5" t="str">
        <f>IFERROR(INDEX(EQA.CAP_Dados!L$2:L$5000,MATCH(ROW()-4,EQA.CAP_Dados!$S$2:$S$5000,0)),"")</f>
        <v>Unacceptable</v>
      </c>
      <c r="M5" s="81">
        <f>IFERROR(INDEX(EQA.CAP_Dados!M$2:M$5000,MATCH(ROW()-4,EQA.CAP_Dados!$S$2:$S$5000,0)),"")</f>
        <v>3346</v>
      </c>
      <c r="N5" t="str">
        <f>IFERROR(INDEX(EQA.CAP_Dados!N$2:N$5000,MATCH(ROW()-4,EQA.CAP_Dados!$S$2:$S$5000,0)),"")</f>
        <v>g/dL</v>
      </c>
      <c r="O5" s="85">
        <f>IFERROR(INDEX(EQA.CAP_Dados!O$2:O$5000,MATCH(ROW()-4,EQA.CAP_Dados!$S$2:$S$5000,0)),"")</f>
        <v>5.232726221451272</v>
      </c>
      <c r="P5" s="85">
        <f>IFERROR(INDEX(EQA.CAP_Dados!P$2:P$5000,MATCH(ROW()-4,EQA.CAP_Dados!$S$2:$S$5000,0)),"")</f>
        <v>5.232726221451272</v>
      </c>
      <c r="Q5" s="81">
        <f>IFERROR(INDEX(EQA.CAP_Dados!Q$2:Q$5000,MATCH(ROW()-4,EQA.CAP_Dados!$S$2:$S$5000,0)),"")</f>
        <v>0</v>
      </c>
      <c r="R5">
        <f>IFERROR(INDEX(EQA.CAP_Dados!R$2:R$5000,MATCH(ROW()-4,EQA.CAP_Dados!$S$2:$S$5000,0)),"")</f>
        <v>0</v>
      </c>
    </row>
    <row r="6" spans="1:18" x14ac:dyDescent="0.3">
      <c r="A6" t="str">
        <f>IFERROR(INDEX(EQA.CAP_Dados!A$2:A$5000,MATCH(ROW()-4,EQA.CAP_Dados!$S$2:$S$5000,0)),"")</f>
        <v/>
      </c>
      <c r="B6" t="str">
        <f>IFERROR(INDEX(EQA.CAP_Dados!B$2:B$5000,MATCH(ROW()-4,EQA.CAP_Dados!$S$2:$S$5000,0)),"")</f>
        <v/>
      </c>
      <c r="C6" s="81" t="str">
        <f>IFERROR(INDEX(EQA.CAP_Dados!C$2:C$5000,MATCH(ROW()-4,EQA.CAP_Dados!$S$2:$S$5000,0)),"")</f>
        <v/>
      </c>
      <c r="D6" t="str">
        <f>IFERROR(INDEX(EQA.CAP_Dados!D$2:D$5000,MATCH(ROW()-4,EQA.CAP_Dados!$S$2:$S$5000,0)),"")</f>
        <v/>
      </c>
      <c r="E6" t="str">
        <f>IFERROR(INDEX(EQA.CAP_Dados!E$2:E$5000,MATCH(ROW()-4,EQA.CAP_Dados!$S$2:$S$5000,0)),"")</f>
        <v/>
      </c>
      <c r="F6" s="85" t="str">
        <f>IFERROR(INDEX(EQA.CAP_Dados!F$2:F$5000,MATCH(ROW()-4,EQA.CAP_Dados!$S$2:$S$5000,0)),"")</f>
        <v/>
      </c>
      <c r="G6" s="86" t="str">
        <f>IFERROR(INDEX(EQA.CAP_Dados!G$2:G$5000,MATCH(ROW()-4,EQA.CAP_Dados!$S$2:$S$5000,0)),"")</f>
        <v/>
      </c>
      <c r="H6" s="86" t="str">
        <f>IFERROR(INDEX(EQA.CAP_Dados!H$2:H$5000,MATCH(ROW()-4,EQA.CAP_Dados!$S$2:$S$5000,0)),"")</f>
        <v/>
      </c>
      <c r="I6" s="87" t="str">
        <f>IFERROR(INDEX(EQA.CAP_Dados!I$2:I$5000,MATCH(ROW()-4,EQA.CAP_Dados!$S$2:$S$5000,0)),"")</f>
        <v/>
      </c>
      <c r="J6" s="85" t="str">
        <f>IFERROR(INDEX(EQA.CAP_Dados!J$2:J$5000,MATCH(ROW()-4,EQA.CAP_Dados!$S$2:$S$5000,0)),"")</f>
        <v/>
      </c>
      <c r="K6" s="85" t="str">
        <f>IFERROR(INDEX(EQA.CAP_Dados!K$2:K$5000,MATCH(ROW()-4,EQA.CAP_Dados!$S$2:$S$5000,0)),"")</f>
        <v/>
      </c>
      <c r="L6" t="str">
        <f>IFERROR(INDEX(EQA.CAP_Dados!L$2:L$5000,MATCH(ROW()-4,EQA.CAP_Dados!$S$2:$S$5000,0)),"")</f>
        <v/>
      </c>
      <c r="M6" s="81" t="str">
        <f>IFERROR(INDEX(EQA.CAP_Dados!M$2:M$5000,MATCH(ROW()-4,EQA.CAP_Dados!$S$2:$S$5000,0)),"")</f>
        <v/>
      </c>
      <c r="N6" t="str">
        <f>IFERROR(INDEX(EQA.CAP_Dados!N$2:N$5000,MATCH(ROW()-4,EQA.CAP_Dados!$S$2:$S$5000,0)),"")</f>
        <v/>
      </c>
      <c r="O6" s="85" t="str">
        <f>IFERROR(INDEX(EQA.CAP_Dados!O$2:O$5000,MATCH(ROW()-4,EQA.CAP_Dados!$S$2:$S$5000,0)),"")</f>
        <v/>
      </c>
      <c r="P6" s="85" t="str">
        <f>IFERROR(INDEX(EQA.CAP_Dados!P$2:P$5000,MATCH(ROW()-4,EQA.CAP_Dados!$S$2:$S$5000,0)),"")</f>
        <v/>
      </c>
      <c r="Q6" s="81" t="str">
        <f>IFERROR(INDEX(EQA.CAP_Dados!Q$2:Q$5000,MATCH(ROW()-4,EQA.CAP_Dados!$S$2:$S$5000,0)),"")</f>
        <v/>
      </c>
      <c r="R6" t="str">
        <f>IFERROR(INDEX(EQA.CAP_Dados!R$2:R$5000,MATCH(ROW()-4,EQA.CAP_Dados!$S$2:$S$5000,0)),"")</f>
        <v/>
      </c>
    </row>
    <row r="7" spans="1:18" x14ac:dyDescent="0.3">
      <c r="A7" t="str">
        <f>IFERROR(INDEX(EQA.CAP_Dados!A$2:A$5000,MATCH(ROW()-4,EQA.CAP_Dados!$S$2:$S$5000,0)),"")</f>
        <v/>
      </c>
      <c r="B7" t="str">
        <f>IFERROR(INDEX(EQA.CAP_Dados!B$2:B$5000,MATCH(ROW()-4,EQA.CAP_Dados!$S$2:$S$5000,0)),"")</f>
        <v/>
      </c>
      <c r="C7" s="81" t="str">
        <f>IFERROR(INDEX(EQA.CAP_Dados!C$2:C$5000,MATCH(ROW()-4,EQA.CAP_Dados!$S$2:$S$5000,0)),"")</f>
        <v/>
      </c>
      <c r="D7" t="str">
        <f>IFERROR(INDEX(EQA.CAP_Dados!D$2:D$5000,MATCH(ROW()-4,EQA.CAP_Dados!$S$2:$S$5000,0)),"")</f>
        <v/>
      </c>
      <c r="E7" t="str">
        <f>IFERROR(INDEX(EQA.CAP_Dados!E$2:E$5000,MATCH(ROW()-4,EQA.CAP_Dados!$S$2:$S$5000,0)),"")</f>
        <v/>
      </c>
      <c r="F7" s="85" t="str">
        <f>IFERROR(INDEX(EQA.CAP_Dados!F$2:F$5000,MATCH(ROW()-4,EQA.CAP_Dados!$S$2:$S$5000,0)),"")</f>
        <v/>
      </c>
      <c r="G7" s="86" t="str">
        <f>IFERROR(INDEX(EQA.CAP_Dados!G$2:G$5000,MATCH(ROW()-4,EQA.CAP_Dados!$S$2:$S$5000,0)),"")</f>
        <v/>
      </c>
      <c r="H7" s="86" t="str">
        <f>IFERROR(INDEX(EQA.CAP_Dados!H$2:H$5000,MATCH(ROW()-4,EQA.CAP_Dados!$S$2:$S$5000,0)),"")</f>
        <v/>
      </c>
      <c r="I7" s="87" t="str">
        <f>IFERROR(INDEX(EQA.CAP_Dados!I$2:I$5000,MATCH(ROW()-4,EQA.CAP_Dados!$S$2:$S$5000,0)),"")</f>
        <v/>
      </c>
      <c r="J7" s="85" t="str">
        <f>IFERROR(INDEX(EQA.CAP_Dados!J$2:J$5000,MATCH(ROW()-4,EQA.CAP_Dados!$S$2:$S$5000,0)),"")</f>
        <v/>
      </c>
      <c r="K7" s="85" t="str">
        <f>IFERROR(INDEX(EQA.CAP_Dados!K$2:K$5000,MATCH(ROW()-4,EQA.CAP_Dados!$S$2:$S$5000,0)),"")</f>
        <v/>
      </c>
      <c r="L7" t="str">
        <f>IFERROR(INDEX(EQA.CAP_Dados!L$2:L$5000,MATCH(ROW()-4,EQA.CAP_Dados!$S$2:$S$5000,0)),"")</f>
        <v/>
      </c>
      <c r="M7" s="81" t="str">
        <f>IFERROR(INDEX(EQA.CAP_Dados!M$2:M$5000,MATCH(ROW()-4,EQA.CAP_Dados!$S$2:$S$5000,0)),"")</f>
        <v/>
      </c>
      <c r="N7" t="str">
        <f>IFERROR(INDEX(EQA.CAP_Dados!N$2:N$5000,MATCH(ROW()-4,EQA.CAP_Dados!$S$2:$S$5000,0)),"")</f>
        <v/>
      </c>
      <c r="O7" s="85" t="str">
        <f>IFERROR(INDEX(EQA.CAP_Dados!O$2:O$5000,MATCH(ROW()-4,EQA.CAP_Dados!$S$2:$S$5000,0)),"")</f>
        <v/>
      </c>
      <c r="P7" s="85" t="str">
        <f>IFERROR(INDEX(EQA.CAP_Dados!P$2:P$5000,MATCH(ROW()-4,EQA.CAP_Dados!$S$2:$S$5000,0)),"")</f>
        <v/>
      </c>
      <c r="Q7" s="81" t="str">
        <f>IFERROR(INDEX(EQA.CAP_Dados!Q$2:Q$5000,MATCH(ROW()-4,EQA.CAP_Dados!$S$2:$S$5000,0)),"")</f>
        <v/>
      </c>
      <c r="R7" t="str">
        <f>IFERROR(INDEX(EQA.CAP_Dados!R$2:R$5000,MATCH(ROW()-4,EQA.CAP_Dados!$S$2:$S$5000,0)),"")</f>
        <v/>
      </c>
    </row>
    <row r="8" spans="1:18" x14ac:dyDescent="0.3">
      <c r="A8" t="str">
        <f>IFERROR(INDEX(EQA.CAP_Dados!A$2:A$5000,MATCH(ROW()-4,EQA.CAP_Dados!$S$2:$S$5000,0)),"")</f>
        <v/>
      </c>
      <c r="B8" t="str">
        <f>IFERROR(INDEX(EQA.CAP_Dados!B$2:B$5000,MATCH(ROW()-4,EQA.CAP_Dados!$S$2:$S$5000,0)),"")</f>
        <v/>
      </c>
      <c r="C8" s="81" t="str">
        <f>IFERROR(INDEX(EQA.CAP_Dados!C$2:C$5000,MATCH(ROW()-4,EQA.CAP_Dados!$S$2:$S$5000,0)),"")</f>
        <v/>
      </c>
      <c r="D8" t="str">
        <f>IFERROR(INDEX(EQA.CAP_Dados!D$2:D$5000,MATCH(ROW()-4,EQA.CAP_Dados!$S$2:$S$5000,0)),"")</f>
        <v/>
      </c>
      <c r="E8" t="str">
        <f>IFERROR(INDEX(EQA.CAP_Dados!E$2:E$5000,MATCH(ROW()-4,EQA.CAP_Dados!$S$2:$S$5000,0)),"")</f>
        <v/>
      </c>
      <c r="F8" s="85" t="str">
        <f>IFERROR(INDEX(EQA.CAP_Dados!F$2:F$5000,MATCH(ROW()-4,EQA.CAP_Dados!$S$2:$S$5000,0)),"")</f>
        <v/>
      </c>
      <c r="G8" s="86" t="str">
        <f>IFERROR(INDEX(EQA.CAP_Dados!G$2:G$5000,MATCH(ROW()-4,EQA.CAP_Dados!$S$2:$S$5000,0)),"")</f>
        <v/>
      </c>
      <c r="H8" s="86" t="str">
        <f>IFERROR(INDEX(EQA.CAP_Dados!H$2:H$5000,MATCH(ROW()-4,EQA.CAP_Dados!$S$2:$S$5000,0)),"")</f>
        <v/>
      </c>
      <c r="I8" s="87" t="str">
        <f>IFERROR(INDEX(EQA.CAP_Dados!I$2:I$5000,MATCH(ROW()-4,EQA.CAP_Dados!$S$2:$S$5000,0)),"")</f>
        <v/>
      </c>
      <c r="J8" s="85" t="str">
        <f>IFERROR(INDEX(EQA.CAP_Dados!J$2:J$5000,MATCH(ROW()-4,EQA.CAP_Dados!$S$2:$S$5000,0)),"")</f>
        <v/>
      </c>
      <c r="K8" s="85" t="str">
        <f>IFERROR(INDEX(EQA.CAP_Dados!K$2:K$5000,MATCH(ROW()-4,EQA.CAP_Dados!$S$2:$S$5000,0)),"")</f>
        <v/>
      </c>
      <c r="L8" t="str">
        <f>IFERROR(INDEX(EQA.CAP_Dados!L$2:L$5000,MATCH(ROW()-4,EQA.CAP_Dados!$S$2:$S$5000,0)),"")</f>
        <v/>
      </c>
      <c r="M8" s="81" t="str">
        <f>IFERROR(INDEX(EQA.CAP_Dados!M$2:M$5000,MATCH(ROW()-4,EQA.CAP_Dados!$S$2:$S$5000,0)),"")</f>
        <v/>
      </c>
      <c r="N8" t="str">
        <f>IFERROR(INDEX(EQA.CAP_Dados!N$2:N$5000,MATCH(ROW()-4,EQA.CAP_Dados!$S$2:$S$5000,0)),"")</f>
        <v/>
      </c>
      <c r="O8" s="85" t="str">
        <f>IFERROR(INDEX(EQA.CAP_Dados!O$2:O$5000,MATCH(ROW()-4,EQA.CAP_Dados!$S$2:$S$5000,0)),"")</f>
        <v/>
      </c>
      <c r="P8" s="85" t="str">
        <f>IFERROR(INDEX(EQA.CAP_Dados!P$2:P$5000,MATCH(ROW()-4,EQA.CAP_Dados!$S$2:$S$5000,0)),"")</f>
        <v/>
      </c>
      <c r="Q8" s="81" t="str">
        <f>IFERROR(INDEX(EQA.CAP_Dados!Q$2:Q$5000,MATCH(ROW()-4,EQA.CAP_Dados!$S$2:$S$5000,0)),"")</f>
        <v/>
      </c>
      <c r="R8" t="str">
        <f>IFERROR(INDEX(EQA.CAP_Dados!R$2:R$5000,MATCH(ROW()-4,EQA.CAP_Dados!$S$2:$S$5000,0)),"")</f>
        <v/>
      </c>
    </row>
    <row r="9" spans="1:18" x14ac:dyDescent="0.3">
      <c r="A9" t="str">
        <f>IFERROR(INDEX(EQA.CAP_Dados!A$2:A$5000,MATCH(ROW()-4,EQA.CAP_Dados!$S$2:$S$5000,0)),"")</f>
        <v/>
      </c>
      <c r="B9" t="str">
        <f>IFERROR(INDEX(EQA.CAP_Dados!B$2:B$5000,MATCH(ROW()-4,EQA.CAP_Dados!$S$2:$S$5000,0)),"")</f>
        <v/>
      </c>
      <c r="C9" s="81" t="str">
        <f>IFERROR(INDEX(EQA.CAP_Dados!C$2:C$5000,MATCH(ROW()-4,EQA.CAP_Dados!$S$2:$S$5000,0)),"")</f>
        <v/>
      </c>
      <c r="D9" t="str">
        <f>IFERROR(INDEX(EQA.CAP_Dados!D$2:D$5000,MATCH(ROW()-4,EQA.CAP_Dados!$S$2:$S$5000,0)),"")</f>
        <v/>
      </c>
      <c r="E9" t="str">
        <f>IFERROR(INDEX(EQA.CAP_Dados!E$2:E$5000,MATCH(ROW()-4,EQA.CAP_Dados!$S$2:$S$5000,0)),"")</f>
        <v/>
      </c>
      <c r="F9" s="85" t="str">
        <f>IFERROR(INDEX(EQA.CAP_Dados!F$2:F$5000,MATCH(ROW()-4,EQA.CAP_Dados!$S$2:$S$5000,0)),"")</f>
        <v/>
      </c>
      <c r="G9" s="86" t="str">
        <f>IFERROR(INDEX(EQA.CAP_Dados!G$2:G$5000,MATCH(ROW()-4,EQA.CAP_Dados!$S$2:$S$5000,0)),"")</f>
        <v/>
      </c>
      <c r="H9" s="86" t="str">
        <f>IFERROR(INDEX(EQA.CAP_Dados!H$2:H$5000,MATCH(ROW()-4,EQA.CAP_Dados!$S$2:$S$5000,0)),"")</f>
        <v/>
      </c>
      <c r="I9" s="87" t="str">
        <f>IFERROR(INDEX(EQA.CAP_Dados!I$2:I$5000,MATCH(ROW()-4,EQA.CAP_Dados!$S$2:$S$5000,0)),"")</f>
        <v/>
      </c>
      <c r="J9" s="85" t="str">
        <f>IFERROR(INDEX(EQA.CAP_Dados!J$2:J$5000,MATCH(ROW()-4,EQA.CAP_Dados!$S$2:$S$5000,0)),"")</f>
        <v/>
      </c>
      <c r="K9" s="85" t="str">
        <f>IFERROR(INDEX(EQA.CAP_Dados!K$2:K$5000,MATCH(ROW()-4,EQA.CAP_Dados!$S$2:$S$5000,0)),"")</f>
        <v/>
      </c>
      <c r="L9" t="str">
        <f>IFERROR(INDEX(EQA.CAP_Dados!L$2:L$5000,MATCH(ROW()-4,EQA.CAP_Dados!$S$2:$S$5000,0)),"")</f>
        <v/>
      </c>
      <c r="M9" s="81" t="str">
        <f>IFERROR(INDEX(EQA.CAP_Dados!M$2:M$5000,MATCH(ROW()-4,EQA.CAP_Dados!$S$2:$S$5000,0)),"")</f>
        <v/>
      </c>
      <c r="N9" t="str">
        <f>IFERROR(INDEX(EQA.CAP_Dados!N$2:N$5000,MATCH(ROW()-4,EQA.CAP_Dados!$S$2:$S$5000,0)),"")</f>
        <v/>
      </c>
      <c r="O9" s="85" t="str">
        <f>IFERROR(INDEX(EQA.CAP_Dados!O$2:O$5000,MATCH(ROW()-4,EQA.CAP_Dados!$S$2:$S$5000,0)),"")</f>
        <v/>
      </c>
      <c r="P9" s="85" t="str">
        <f>IFERROR(INDEX(EQA.CAP_Dados!P$2:P$5000,MATCH(ROW()-4,EQA.CAP_Dados!$S$2:$S$5000,0)),"")</f>
        <v/>
      </c>
      <c r="Q9" s="81" t="str">
        <f>IFERROR(INDEX(EQA.CAP_Dados!Q$2:Q$5000,MATCH(ROW()-4,EQA.CAP_Dados!$S$2:$S$5000,0)),"")</f>
        <v/>
      </c>
      <c r="R9" t="str">
        <f>IFERROR(INDEX(EQA.CAP_Dados!R$2:R$5000,MATCH(ROW()-4,EQA.CAP_Dados!$S$2:$S$5000,0)),"")</f>
        <v/>
      </c>
    </row>
    <row r="10" spans="1:18" x14ac:dyDescent="0.3">
      <c r="A10" t="str">
        <f>IFERROR(INDEX(EQA.CAP_Dados!A$2:A$5000,MATCH(ROW()-4,EQA.CAP_Dados!$S$2:$S$5000,0)),"")</f>
        <v/>
      </c>
      <c r="B10" t="str">
        <f>IFERROR(INDEX(EQA.CAP_Dados!B$2:B$5000,MATCH(ROW()-4,EQA.CAP_Dados!$S$2:$S$5000,0)),"")</f>
        <v/>
      </c>
      <c r="C10" s="81" t="str">
        <f>IFERROR(INDEX(EQA.CAP_Dados!C$2:C$5000,MATCH(ROW()-4,EQA.CAP_Dados!$S$2:$S$5000,0)),"")</f>
        <v/>
      </c>
      <c r="D10" t="str">
        <f>IFERROR(INDEX(EQA.CAP_Dados!D$2:D$5000,MATCH(ROW()-4,EQA.CAP_Dados!$S$2:$S$5000,0)),"")</f>
        <v/>
      </c>
      <c r="E10" t="str">
        <f>IFERROR(INDEX(EQA.CAP_Dados!E$2:E$5000,MATCH(ROW()-4,EQA.CAP_Dados!$S$2:$S$5000,0)),"")</f>
        <v/>
      </c>
      <c r="F10" s="85" t="str">
        <f>IFERROR(INDEX(EQA.CAP_Dados!F$2:F$5000,MATCH(ROW()-4,EQA.CAP_Dados!$S$2:$S$5000,0)),"")</f>
        <v/>
      </c>
      <c r="G10" s="86" t="str">
        <f>IFERROR(INDEX(EQA.CAP_Dados!G$2:G$5000,MATCH(ROW()-4,EQA.CAP_Dados!$S$2:$S$5000,0)),"")</f>
        <v/>
      </c>
      <c r="H10" s="86" t="str">
        <f>IFERROR(INDEX(EQA.CAP_Dados!H$2:H$5000,MATCH(ROW()-4,EQA.CAP_Dados!$S$2:$S$5000,0)),"")</f>
        <v/>
      </c>
      <c r="I10" s="87" t="str">
        <f>IFERROR(INDEX(EQA.CAP_Dados!I$2:I$5000,MATCH(ROW()-4,EQA.CAP_Dados!$S$2:$S$5000,0)),"")</f>
        <v/>
      </c>
      <c r="J10" s="85" t="str">
        <f>IFERROR(INDEX(EQA.CAP_Dados!J$2:J$5000,MATCH(ROW()-4,EQA.CAP_Dados!$S$2:$S$5000,0)),"")</f>
        <v/>
      </c>
      <c r="K10" s="85" t="str">
        <f>IFERROR(INDEX(EQA.CAP_Dados!K$2:K$5000,MATCH(ROW()-4,EQA.CAP_Dados!$S$2:$S$5000,0)),"")</f>
        <v/>
      </c>
      <c r="L10" t="str">
        <f>IFERROR(INDEX(EQA.CAP_Dados!L$2:L$5000,MATCH(ROW()-4,EQA.CAP_Dados!$S$2:$S$5000,0)),"")</f>
        <v/>
      </c>
      <c r="M10" s="81" t="str">
        <f>IFERROR(INDEX(EQA.CAP_Dados!M$2:M$5000,MATCH(ROW()-4,EQA.CAP_Dados!$S$2:$S$5000,0)),"")</f>
        <v/>
      </c>
      <c r="N10" t="str">
        <f>IFERROR(INDEX(EQA.CAP_Dados!N$2:N$5000,MATCH(ROW()-4,EQA.CAP_Dados!$S$2:$S$5000,0)),"")</f>
        <v/>
      </c>
      <c r="O10" s="85" t="str">
        <f>IFERROR(INDEX(EQA.CAP_Dados!O$2:O$5000,MATCH(ROW()-4,EQA.CAP_Dados!$S$2:$S$5000,0)),"")</f>
        <v/>
      </c>
      <c r="P10" s="85" t="str">
        <f>IFERROR(INDEX(EQA.CAP_Dados!P$2:P$5000,MATCH(ROW()-4,EQA.CAP_Dados!$S$2:$S$5000,0)),"")</f>
        <v/>
      </c>
      <c r="Q10" s="81" t="str">
        <f>IFERROR(INDEX(EQA.CAP_Dados!Q$2:Q$5000,MATCH(ROW()-4,EQA.CAP_Dados!$S$2:$S$5000,0)),"")</f>
        <v/>
      </c>
      <c r="R10" t="str">
        <f>IFERROR(INDEX(EQA.CAP_Dados!R$2:R$5000,MATCH(ROW()-4,EQA.CAP_Dados!$S$2:$S$5000,0)),"")</f>
        <v/>
      </c>
    </row>
    <row r="11" spans="1:18" x14ac:dyDescent="0.3">
      <c r="A11" t="str">
        <f>IFERROR(INDEX(EQA.CAP_Dados!A$2:A$5000,MATCH(ROW()-4,EQA.CAP_Dados!$S$2:$S$5000,0)),"")</f>
        <v/>
      </c>
      <c r="B11" t="str">
        <f>IFERROR(INDEX(EQA.CAP_Dados!B$2:B$5000,MATCH(ROW()-4,EQA.CAP_Dados!$S$2:$S$5000,0)),"")</f>
        <v/>
      </c>
      <c r="C11" s="81" t="str">
        <f>IFERROR(INDEX(EQA.CAP_Dados!C$2:C$5000,MATCH(ROW()-4,EQA.CAP_Dados!$S$2:$S$5000,0)),"")</f>
        <v/>
      </c>
      <c r="D11" t="str">
        <f>IFERROR(INDEX(EQA.CAP_Dados!D$2:D$5000,MATCH(ROW()-4,EQA.CAP_Dados!$S$2:$S$5000,0)),"")</f>
        <v/>
      </c>
      <c r="E11" t="str">
        <f>IFERROR(INDEX(EQA.CAP_Dados!E$2:E$5000,MATCH(ROW()-4,EQA.CAP_Dados!$S$2:$S$5000,0)),"")</f>
        <v/>
      </c>
      <c r="F11" s="85" t="str">
        <f>IFERROR(INDEX(EQA.CAP_Dados!F$2:F$5000,MATCH(ROW()-4,EQA.CAP_Dados!$S$2:$S$5000,0)),"")</f>
        <v/>
      </c>
      <c r="G11" s="86" t="str">
        <f>IFERROR(INDEX(EQA.CAP_Dados!G$2:G$5000,MATCH(ROW()-4,EQA.CAP_Dados!$S$2:$S$5000,0)),"")</f>
        <v/>
      </c>
      <c r="H11" s="86" t="str">
        <f>IFERROR(INDEX(EQA.CAP_Dados!H$2:H$5000,MATCH(ROW()-4,EQA.CAP_Dados!$S$2:$S$5000,0)),"")</f>
        <v/>
      </c>
      <c r="I11" s="87" t="str">
        <f>IFERROR(INDEX(EQA.CAP_Dados!I$2:I$5000,MATCH(ROW()-4,EQA.CAP_Dados!$S$2:$S$5000,0)),"")</f>
        <v/>
      </c>
      <c r="J11" s="85" t="str">
        <f>IFERROR(INDEX(EQA.CAP_Dados!J$2:J$5000,MATCH(ROW()-4,EQA.CAP_Dados!$S$2:$S$5000,0)),"")</f>
        <v/>
      </c>
      <c r="K11" s="85" t="str">
        <f>IFERROR(INDEX(EQA.CAP_Dados!K$2:K$5000,MATCH(ROW()-4,EQA.CAP_Dados!$S$2:$S$5000,0)),"")</f>
        <v/>
      </c>
      <c r="L11" t="str">
        <f>IFERROR(INDEX(EQA.CAP_Dados!L$2:L$5000,MATCH(ROW()-4,EQA.CAP_Dados!$S$2:$S$5000,0)),"")</f>
        <v/>
      </c>
      <c r="M11" s="81" t="str">
        <f>IFERROR(INDEX(EQA.CAP_Dados!M$2:M$5000,MATCH(ROW()-4,EQA.CAP_Dados!$S$2:$S$5000,0)),"")</f>
        <v/>
      </c>
      <c r="N11" t="str">
        <f>IFERROR(INDEX(EQA.CAP_Dados!N$2:N$5000,MATCH(ROW()-4,EQA.CAP_Dados!$S$2:$S$5000,0)),"")</f>
        <v/>
      </c>
      <c r="O11" s="85" t="str">
        <f>IFERROR(INDEX(EQA.CAP_Dados!O$2:O$5000,MATCH(ROW()-4,EQA.CAP_Dados!$S$2:$S$5000,0)),"")</f>
        <v/>
      </c>
      <c r="P11" s="85" t="str">
        <f>IFERROR(INDEX(EQA.CAP_Dados!P$2:P$5000,MATCH(ROW()-4,EQA.CAP_Dados!$S$2:$S$5000,0)),"")</f>
        <v/>
      </c>
      <c r="Q11" s="81" t="str">
        <f>IFERROR(INDEX(EQA.CAP_Dados!Q$2:Q$5000,MATCH(ROW()-4,EQA.CAP_Dados!$S$2:$S$5000,0)),"")</f>
        <v/>
      </c>
      <c r="R11" t="str">
        <f>IFERROR(INDEX(EQA.CAP_Dados!R$2:R$5000,MATCH(ROW()-4,EQA.CAP_Dados!$S$2:$S$5000,0)),"")</f>
        <v/>
      </c>
    </row>
    <row r="12" spans="1:18" x14ac:dyDescent="0.3">
      <c r="A12" t="str">
        <f>IFERROR(INDEX(EQA.CAP_Dados!A$2:A$5000,MATCH(ROW()-4,EQA.CAP_Dados!$S$2:$S$5000,0)),"")</f>
        <v/>
      </c>
      <c r="B12" t="str">
        <f>IFERROR(INDEX(EQA.CAP_Dados!B$2:B$5000,MATCH(ROW()-4,EQA.CAP_Dados!$S$2:$S$5000,0)),"")</f>
        <v/>
      </c>
      <c r="C12" s="81" t="str">
        <f>IFERROR(INDEX(EQA.CAP_Dados!C$2:C$5000,MATCH(ROW()-4,EQA.CAP_Dados!$S$2:$S$5000,0)),"")</f>
        <v/>
      </c>
      <c r="D12" t="str">
        <f>IFERROR(INDEX(EQA.CAP_Dados!D$2:D$5000,MATCH(ROW()-4,EQA.CAP_Dados!$S$2:$S$5000,0)),"")</f>
        <v/>
      </c>
      <c r="E12" t="str">
        <f>IFERROR(INDEX(EQA.CAP_Dados!E$2:E$5000,MATCH(ROW()-4,EQA.CAP_Dados!$S$2:$S$5000,0)),"")</f>
        <v/>
      </c>
      <c r="F12" s="85" t="str">
        <f>IFERROR(INDEX(EQA.CAP_Dados!F$2:F$5000,MATCH(ROW()-4,EQA.CAP_Dados!$S$2:$S$5000,0)),"")</f>
        <v/>
      </c>
      <c r="G12" s="86" t="str">
        <f>IFERROR(INDEX(EQA.CAP_Dados!G$2:G$5000,MATCH(ROW()-4,EQA.CAP_Dados!$S$2:$S$5000,0)),"")</f>
        <v/>
      </c>
      <c r="H12" s="86" t="str">
        <f>IFERROR(INDEX(EQA.CAP_Dados!H$2:H$5000,MATCH(ROW()-4,EQA.CAP_Dados!$S$2:$S$5000,0)),"")</f>
        <v/>
      </c>
      <c r="I12" s="87" t="str">
        <f>IFERROR(INDEX(EQA.CAP_Dados!I$2:I$5000,MATCH(ROW()-4,EQA.CAP_Dados!$S$2:$S$5000,0)),"")</f>
        <v/>
      </c>
      <c r="J12" s="85" t="str">
        <f>IFERROR(INDEX(EQA.CAP_Dados!J$2:J$5000,MATCH(ROW()-4,EQA.CAP_Dados!$S$2:$S$5000,0)),"")</f>
        <v/>
      </c>
      <c r="K12" s="85" t="str">
        <f>IFERROR(INDEX(EQA.CAP_Dados!K$2:K$5000,MATCH(ROW()-4,EQA.CAP_Dados!$S$2:$S$5000,0)),"")</f>
        <v/>
      </c>
      <c r="L12" t="str">
        <f>IFERROR(INDEX(EQA.CAP_Dados!L$2:L$5000,MATCH(ROW()-4,EQA.CAP_Dados!$S$2:$S$5000,0)),"")</f>
        <v/>
      </c>
      <c r="M12" s="81" t="str">
        <f>IFERROR(INDEX(EQA.CAP_Dados!M$2:M$5000,MATCH(ROW()-4,EQA.CAP_Dados!$S$2:$S$5000,0)),"")</f>
        <v/>
      </c>
      <c r="N12" t="str">
        <f>IFERROR(INDEX(EQA.CAP_Dados!N$2:N$5000,MATCH(ROW()-4,EQA.CAP_Dados!$S$2:$S$5000,0)),"")</f>
        <v/>
      </c>
      <c r="O12" s="85" t="str">
        <f>IFERROR(INDEX(EQA.CAP_Dados!O$2:O$5000,MATCH(ROW()-4,EQA.CAP_Dados!$S$2:$S$5000,0)),"")</f>
        <v/>
      </c>
      <c r="P12" s="85" t="str">
        <f>IFERROR(INDEX(EQA.CAP_Dados!P$2:P$5000,MATCH(ROW()-4,EQA.CAP_Dados!$S$2:$S$5000,0)),"")</f>
        <v/>
      </c>
      <c r="Q12" s="81" t="str">
        <f>IFERROR(INDEX(EQA.CAP_Dados!Q$2:Q$5000,MATCH(ROW()-4,EQA.CAP_Dados!$S$2:$S$5000,0)),"")</f>
        <v/>
      </c>
      <c r="R12" t="str">
        <f>IFERROR(INDEX(EQA.CAP_Dados!R$2:R$5000,MATCH(ROW()-4,EQA.CAP_Dados!$S$2:$S$5000,0)),"")</f>
        <v/>
      </c>
    </row>
    <row r="13" spans="1:18" x14ac:dyDescent="0.3">
      <c r="A13" t="str">
        <f>IFERROR(INDEX(EQA.CAP_Dados!A$2:A$5000,MATCH(ROW()-4,EQA.CAP_Dados!$S$2:$S$5000,0)),"")</f>
        <v/>
      </c>
      <c r="B13" t="str">
        <f>IFERROR(INDEX(EQA.CAP_Dados!B$2:B$5000,MATCH(ROW()-4,EQA.CAP_Dados!$S$2:$S$5000,0)),"")</f>
        <v/>
      </c>
      <c r="C13" s="81" t="str">
        <f>IFERROR(INDEX(EQA.CAP_Dados!C$2:C$5000,MATCH(ROW()-4,EQA.CAP_Dados!$S$2:$S$5000,0)),"")</f>
        <v/>
      </c>
      <c r="D13" t="str">
        <f>IFERROR(INDEX(EQA.CAP_Dados!D$2:D$5000,MATCH(ROW()-4,EQA.CAP_Dados!$S$2:$S$5000,0)),"")</f>
        <v/>
      </c>
      <c r="E13" t="str">
        <f>IFERROR(INDEX(EQA.CAP_Dados!E$2:E$5000,MATCH(ROW()-4,EQA.CAP_Dados!$S$2:$S$5000,0)),"")</f>
        <v/>
      </c>
      <c r="F13" s="85" t="str">
        <f>IFERROR(INDEX(EQA.CAP_Dados!F$2:F$5000,MATCH(ROW()-4,EQA.CAP_Dados!$S$2:$S$5000,0)),"")</f>
        <v/>
      </c>
      <c r="G13" s="86" t="str">
        <f>IFERROR(INDEX(EQA.CAP_Dados!G$2:G$5000,MATCH(ROW()-4,EQA.CAP_Dados!$S$2:$S$5000,0)),"")</f>
        <v/>
      </c>
      <c r="H13" s="86" t="str">
        <f>IFERROR(INDEX(EQA.CAP_Dados!H$2:H$5000,MATCH(ROW()-4,EQA.CAP_Dados!$S$2:$S$5000,0)),"")</f>
        <v/>
      </c>
      <c r="I13" s="87" t="str">
        <f>IFERROR(INDEX(EQA.CAP_Dados!I$2:I$5000,MATCH(ROW()-4,EQA.CAP_Dados!$S$2:$S$5000,0)),"")</f>
        <v/>
      </c>
      <c r="J13" s="85" t="str">
        <f>IFERROR(INDEX(EQA.CAP_Dados!J$2:J$5000,MATCH(ROW()-4,EQA.CAP_Dados!$S$2:$S$5000,0)),"")</f>
        <v/>
      </c>
      <c r="K13" s="85" t="str">
        <f>IFERROR(INDEX(EQA.CAP_Dados!K$2:K$5000,MATCH(ROW()-4,EQA.CAP_Dados!$S$2:$S$5000,0)),"")</f>
        <v/>
      </c>
      <c r="L13" t="str">
        <f>IFERROR(INDEX(EQA.CAP_Dados!L$2:L$5000,MATCH(ROW()-4,EQA.CAP_Dados!$S$2:$S$5000,0)),"")</f>
        <v/>
      </c>
      <c r="M13" s="81" t="str">
        <f>IFERROR(INDEX(EQA.CAP_Dados!M$2:M$5000,MATCH(ROW()-4,EQA.CAP_Dados!$S$2:$S$5000,0)),"")</f>
        <v/>
      </c>
      <c r="N13" t="str">
        <f>IFERROR(INDEX(EQA.CAP_Dados!N$2:N$5000,MATCH(ROW()-4,EQA.CAP_Dados!$S$2:$S$5000,0)),"")</f>
        <v/>
      </c>
      <c r="O13" s="85" t="str">
        <f>IFERROR(INDEX(EQA.CAP_Dados!O$2:O$5000,MATCH(ROW()-4,EQA.CAP_Dados!$S$2:$S$5000,0)),"")</f>
        <v/>
      </c>
      <c r="P13" s="85" t="str">
        <f>IFERROR(INDEX(EQA.CAP_Dados!P$2:P$5000,MATCH(ROW()-4,EQA.CAP_Dados!$S$2:$S$5000,0)),"")</f>
        <v/>
      </c>
      <c r="Q13" s="81" t="str">
        <f>IFERROR(INDEX(EQA.CAP_Dados!Q$2:Q$5000,MATCH(ROW()-4,EQA.CAP_Dados!$S$2:$S$5000,0)),"")</f>
        <v/>
      </c>
      <c r="R13" t="str">
        <f>IFERROR(INDEX(EQA.CAP_Dados!R$2:R$5000,MATCH(ROW()-4,EQA.CAP_Dados!$S$2:$S$5000,0)),"")</f>
        <v/>
      </c>
    </row>
    <row r="14" spans="1:18" x14ac:dyDescent="0.3">
      <c r="A14" t="str">
        <f>IFERROR(INDEX(EQA.CAP_Dados!A$2:A$5000,MATCH(ROW()-4,EQA.CAP_Dados!$S$2:$S$5000,0)),"")</f>
        <v/>
      </c>
      <c r="B14" t="str">
        <f>IFERROR(INDEX(EQA.CAP_Dados!B$2:B$5000,MATCH(ROW()-4,EQA.CAP_Dados!$S$2:$S$5000,0)),"")</f>
        <v/>
      </c>
      <c r="C14" s="81" t="str">
        <f>IFERROR(INDEX(EQA.CAP_Dados!C$2:C$5000,MATCH(ROW()-4,EQA.CAP_Dados!$S$2:$S$5000,0)),"")</f>
        <v/>
      </c>
      <c r="D14" t="str">
        <f>IFERROR(INDEX(EQA.CAP_Dados!D$2:D$5000,MATCH(ROW()-4,EQA.CAP_Dados!$S$2:$S$5000,0)),"")</f>
        <v/>
      </c>
      <c r="E14" t="str">
        <f>IFERROR(INDEX(EQA.CAP_Dados!E$2:E$5000,MATCH(ROW()-4,EQA.CAP_Dados!$S$2:$S$5000,0)),"")</f>
        <v/>
      </c>
      <c r="F14" s="85" t="str">
        <f>IFERROR(INDEX(EQA.CAP_Dados!F$2:F$5000,MATCH(ROW()-4,EQA.CAP_Dados!$S$2:$S$5000,0)),"")</f>
        <v/>
      </c>
      <c r="G14" s="86" t="str">
        <f>IFERROR(INDEX(EQA.CAP_Dados!G$2:G$5000,MATCH(ROW()-4,EQA.CAP_Dados!$S$2:$S$5000,0)),"")</f>
        <v/>
      </c>
      <c r="H14" s="86" t="str">
        <f>IFERROR(INDEX(EQA.CAP_Dados!H$2:H$5000,MATCH(ROW()-4,EQA.CAP_Dados!$S$2:$S$5000,0)),"")</f>
        <v/>
      </c>
      <c r="I14" s="87" t="str">
        <f>IFERROR(INDEX(EQA.CAP_Dados!I$2:I$5000,MATCH(ROW()-4,EQA.CAP_Dados!$S$2:$S$5000,0)),"")</f>
        <v/>
      </c>
      <c r="J14" s="85" t="str">
        <f>IFERROR(INDEX(EQA.CAP_Dados!J$2:J$5000,MATCH(ROW()-4,EQA.CAP_Dados!$S$2:$S$5000,0)),"")</f>
        <v/>
      </c>
      <c r="K14" s="85" t="str">
        <f>IFERROR(INDEX(EQA.CAP_Dados!K$2:K$5000,MATCH(ROW()-4,EQA.CAP_Dados!$S$2:$S$5000,0)),"")</f>
        <v/>
      </c>
      <c r="L14" t="str">
        <f>IFERROR(INDEX(EQA.CAP_Dados!L$2:L$5000,MATCH(ROW()-4,EQA.CAP_Dados!$S$2:$S$5000,0)),"")</f>
        <v/>
      </c>
      <c r="M14" s="81" t="str">
        <f>IFERROR(INDEX(EQA.CAP_Dados!M$2:M$5000,MATCH(ROW()-4,EQA.CAP_Dados!$S$2:$S$5000,0)),"")</f>
        <v/>
      </c>
      <c r="N14" t="str">
        <f>IFERROR(INDEX(EQA.CAP_Dados!N$2:N$5000,MATCH(ROW()-4,EQA.CAP_Dados!$S$2:$S$5000,0)),"")</f>
        <v/>
      </c>
      <c r="O14" s="85" t="str">
        <f>IFERROR(INDEX(EQA.CAP_Dados!O$2:O$5000,MATCH(ROW()-4,EQA.CAP_Dados!$S$2:$S$5000,0)),"")</f>
        <v/>
      </c>
      <c r="P14" s="85" t="str">
        <f>IFERROR(INDEX(EQA.CAP_Dados!P$2:P$5000,MATCH(ROW()-4,EQA.CAP_Dados!$S$2:$S$5000,0)),"")</f>
        <v/>
      </c>
      <c r="Q14" s="81" t="str">
        <f>IFERROR(INDEX(EQA.CAP_Dados!Q$2:Q$5000,MATCH(ROW()-4,EQA.CAP_Dados!$S$2:$S$5000,0)),"")</f>
        <v/>
      </c>
      <c r="R14" t="str">
        <f>IFERROR(INDEX(EQA.CAP_Dados!R$2:R$5000,MATCH(ROW()-4,EQA.CAP_Dados!$S$2:$S$5000,0)),"")</f>
        <v/>
      </c>
    </row>
    <row r="15" spans="1:18" x14ac:dyDescent="0.3">
      <c r="A15" t="str">
        <f>IFERROR(INDEX(EQA.CAP_Dados!A$2:A$5000,MATCH(ROW()-4,EQA.CAP_Dados!$S$2:$S$5000,0)),"")</f>
        <v/>
      </c>
      <c r="B15" t="str">
        <f>IFERROR(INDEX(EQA.CAP_Dados!B$2:B$5000,MATCH(ROW()-4,EQA.CAP_Dados!$S$2:$S$5000,0)),"")</f>
        <v/>
      </c>
      <c r="C15" s="81" t="str">
        <f>IFERROR(INDEX(EQA.CAP_Dados!C$2:C$5000,MATCH(ROW()-4,EQA.CAP_Dados!$S$2:$S$5000,0)),"")</f>
        <v/>
      </c>
      <c r="D15" t="str">
        <f>IFERROR(INDEX(EQA.CAP_Dados!D$2:D$5000,MATCH(ROW()-4,EQA.CAP_Dados!$S$2:$S$5000,0)),"")</f>
        <v/>
      </c>
      <c r="E15" t="str">
        <f>IFERROR(INDEX(EQA.CAP_Dados!E$2:E$5000,MATCH(ROW()-4,EQA.CAP_Dados!$S$2:$S$5000,0)),"")</f>
        <v/>
      </c>
      <c r="F15" s="85" t="str">
        <f>IFERROR(INDEX(EQA.CAP_Dados!F$2:F$5000,MATCH(ROW()-4,EQA.CAP_Dados!$S$2:$S$5000,0)),"")</f>
        <v/>
      </c>
      <c r="G15" s="86" t="str">
        <f>IFERROR(INDEX(EQA.CAP_Dados!G$2:G$5000,MATCH(ROW()-4,EQA.CAP_Dados!$S$2:$S$5000,0)),"")</f>
        <v/>
      </c>
      <c r="H15" s="86" t="str">
        <f>IFERROR(INDEX(EQA.CAP_Dados!H$2:H$5000,MATCH(ROW()-4,EQA.CAP_Dados!$S$2:$S$5000,0)),"")</f>
        <v/>
      </c>
      <c r="I15" s="87" t="str">
        <f>IFERROR(INDEX(EQA.CAP_Dados!I$2:I$5000,MATCH(ROW()-4,EQA.CAP_Dados!$S$2:$S$5000,0)),"")</f>
        <v/>
      </c>
      <c r="J15" s="85" t="str">
        <f>IFERROR(INDEX(EQA.CAP_Dados!J$2:J$5000,MATCH(ROW()-4,EQA.CAP_Dados!$S$2:$S$5000,0)),"")</f>
        <v/>
      </c>
      <c r="K15" s="85" t="str">
        <f>IFERROR(INDEX(EQA.CAP_Dados!K$2:K$5000,MATCH(ROW()-4,EQA.CAP_Dados!$S$2:$S$5000,0)),"")</f>
        <v/>
      </c>
      <c r="L15" t="str">
        <f>IFERROR(INDEX(EQA.CAP_Dados!L$2:L$5000,MATCH(ROW()-4,EQA.CAP_Dados!$S$2:$S$5000,0)),"")</f>
        <v/>
      </c>
      <c r="M15" s="81" t="str">
        <f>IFERROR(INDEX(EQA.CAP_Dados!M$2:M$5000,MATCH(ROW()-4,EQA.CAP_Dados!$S$2:$S$5000,0)),"")</f>
        <v/>
      </c>
      <c r="N15" t="str">
        <f>IFERROR(INDEX(EQA.CAP_Dados!N$2:N$5000,MATCH(ROW()-4,EQA.CAP_Dados!$S$2:$S$5000,0)),"")</f>
        <v/>
      </c>
      <c r="O15" s="85" t="str">
        <f>IFERROR(INDEX(EQA.CAP_Dados!O$2:O$5000,MATCH(ROW()-4,EQA.CAP_Dados!$S$2:$S$5000,0)),"")</f>
        <v/>
      </c>
      <c r="P15" s="85" t="str">
        <f>IFERROR(INDEX(EQA.CAP_Dados!P$2:P$5000,MATCH(ROW()-4,EQA.CAP_Dados!$S$2:$S$5000,0)),"")</f>
        <v/>
      </c>
      <c r="Q15" s="81" t="str">
        <f>IFERROR(INDEX(EQA.CAP_Dados!Q$2:Q$5000,MATCH(ROW()-4,EQA.CAP_Dados!$S$2:$S$5000,0)),"")</f>
        <v/>
      </c>
      <c r="R15" t="str">
        <f>IFERROR(INDEX(EQA.CAP_Dados!R$2:R$5000,MATCH(ROW()-4,EQA.CAP_Dados!$S$2:$S$5000,0)),"")</f>
        <v/>
      </c>
    </row>
    <row r="16" spans="1:18" x14ac:dyDescent="0.3">
      <c r="A16" t="str">
        <f>IFERROR(INDEX(EQA.CAP_Dados!A$2:A$5000,MATCH(ROW()-4,EQA.CAP_Dados!$S$2:$S$5000,0)),"")</f>
        <v/>
      </c>
      <c r="B16" t="str">
        <f>IFERROR(INDEX(EQA.CAP_Dados!B$2:B$5000,MATCH(ROW()-4,EQA.CAP_Dados!$S$2:$S$5000,0)),"")</f>
        <v/>
      </c>
      <c r="C16" s="81" t="str">
        <f>IFERROR(INDEX(EQA.CAP_Dados!C$2:C$5000,MATCH(ROW()-4,EQA.CAP_Dados!$S$2:$S$5000,0)),"")</f>
        <v/>
      </c>
      <c r="D16" t="str">
        <f>IFERROR(INDEX(EQA.CAP_Dados!D$2:D$5000,MATCH(ROW()-4,EQA.CAP_Dados!$S$2:$S$5000,0)),"")</f>
        <v/>
      </c>
      <c r="E16" t="str">
        <f>IFERROR(INDEX(EQA.CAP_Dados!E$2:E$5000,MATCH(ROW()-4,EQA.CAP_Dados!$S$2:$S$5000,0)),"")</f>
        <v/>
      </c>
      <c r="F16" s="85" t="str">
        <f>IFERROR(INDEX(EQA.CAP_Dados!F$2:F$5000,MATCH(ROW()-4,EQA.CAP_Dados!$S$2:$S$5000,0)),"")</f>
        <v/>
      </c>
      <c r="G16" s="86" t="str">
        <f>IFERROR(INDEX(EQA.CAP_Dados!G$2:G$5000,MATCH(ROW()-4,EQA.CAP_Dados!$S$2:$S$5000,0)),"")</f>
        <v/>
      </c>
      <c r="H16" s="86" t="str">
        <f>IFERROR(INDEX(EQA.CAP_Dados!H$2:H$5000,MATCH(ROW()-4,EQA.CAP_Dados!$S$2:$S$5000,0)),"")</f>
        <v/>
      </c>
      <c r="I16" s="87" t="str">
        <f>IFERROR(INDEX(EQA.CAP_Dados!I$2:I$5000,MATCH(ROW()-4,EQA.CAP_Dados!$S$2:$S$5000,0)),"")</f>
        <v/>
      </c>
      <c r="J16" s="85" t="str">
        <f>IFERROR(INDEX(EQA.CAP_Dados!J$2:J$5000,MATCH(ROW()-4,EQA.CAP_Dados!$S$2:$S$5000,0)),"")</f>
        <v/>
      </c>
      <c r="K16" s="85" t="str">
        <f>IFERROR(INDEX(EQA.CAP_Dados!K$2:K$5000,MATCH(ROW()-4,EQA.CAP_Dados!$S$2:$S$5000,0)),"")</f>
        <v/>
      </c>
      <c r="L16" t="str">
        <f>IFERROR(INDEX(EQA.CAP_Dados!L$2:L$5000,MATCH(ROW()-4,EQA.CAP_Dados!$S$2:$S$5000,0)),"")</f>
        <v/>
      </c>
      <c r="M16" s="81" t="str">
        <f>IFERROR(INDEX(EQA.CAP_Dados!M$2:M$5000,MATCH(ROW()-4,EQA.CAP_Dados!$S$2:$S$5000,0)),"")</f>
        <v/>
      </c>
      <c r="N16" t="str">
        <f>IFERROR(INDEX(EQA.CAP_Dados!N$2:N$5000,MATCH(ROW()-4,EQA.CAP_Dados!$S$2:$S$5000,0)),"")</f>
        <v/>
      </c>
      <c r="O16" s="85" t="str">
        <f>IFERROR(INDEX(EQA.CAP_Dados!O$2:O$5000,MATCH(ROW()-4,EQA.CAP_Dados!$S$2:$S$5000,0)),"")</f>
        <v/>
      </c>
      <c r="P16" s="85" t="str">
        <f>IFERROR(INDEX(EQA.CAP_Dados!P$2:P$5000,MATCH(ROW()-4,EQA.CAP_Dados!$S$2:$S$5000,0)),"")</f>
        <v/>
      </c>
      <c r="Q16" s="81" t="str">
        <f>IFERROR(INDEX(EQA.CAP_Dados!Q$2:Q$5000,MATCH(ROW()-4,EQA.CAP_Dados!$S$2:$S$5000,0)),"")</f>
        <v/>
      </c>
      <c r="R16" t="str">
        <f>IFERROR(INDEX(EQA.CAP_Dados!R$2:R$5000,MATCH(ROW()-4,EQA.CAP_Dados!$S$2:$S$5000,0)),"")</f>
        <v/>
      </c>
    </row>
    <row r="17" spans="1:18" x14ac:dyDescent="0.3">
      <c r="A17" t="str">
        <f>IFERROR(INDEX(EQA.CAP_Dados!A$2:A$5000,MATCH(ROW()-4,EQA.CAP_Dados!$S$2:$S$5000,0)),"")</f>
        <v/>
      </c>
      <c r="B17" t="str">
        <f>IFERROR(INDEX(EQA.CAP_Dados!B$2:B$5000,MATCH(ROW()-4,EQA.CAP_Dados!$S$2:$S$5000,0)),"")</f>
        <v/>
      </c>
      <c r="C17" s="81" t="str">
        <f>IFERROR(INDEX(EQA.CAP_Dados!C$2:C$5000,MATCH(ROW()-4,EQA.CAP_Dados!$S$2:$S$5000,0)),"")</f>
        <v/>
      </c>
      <c r="D17" t="str">
        <f>IFERROR(INDEX(EQA.CAP_Dados!D$2:D$5000,MATCH(ROW()-4,EQA.CAP_Dados!$S$2:$S$5000,0)),"")</f>
        <v/>
      </c>
      <c r="E17" t="str">
        <f>IFERROR(INDEX(EQA.CAP_Dados!E$2:E$5000,MATCH(ROW()-4,EQA.CAP_Dados!$S$2:$S$5000,0)),"")</f>
        <v/>
      </c>
      <c r="F17" s="85" t="str">
        <f>IFERROR(INDEX(EQA.CAP_Dados!F$2:F$5000,MATCH(ROW()-4,EQA.CAP_Dados!$S$2:$S$5000,0)),"")</f>
        <v/>
      </c>
      <c r="G17" s="86" t="str">
        <f>IFERROR(INDEX(EQA.CAP_Dados!G$2:G$5000,MATCH(ROW()-4,EQA.CAP_Dados!$S$2:$S$5000,0)),"")</f>
        <v/>
      </c>
      <c r="H17" s="86" t="str">
        <f>IFERROR(INDEX(EQA.CAP_Dados!H$2:H$5000,MATCH(ROW()-4,EQA.CAP_Dados!$S$2:$S$5000,0)),"")</f>
        <v/>
      </c>
      <c r="I17" s="87" t="str">
        <f>IFERROR(INDEX(EQA.CAP_Dados!I$2:I$5000,MATCH(ROW()-4,EQA.CAP_Dados!$S$2:$S$5000,0)),"")</f>
        <v/>
      </c>
      <c r="J17" s="85" t="str">
        <f>IFERROR(INDEX(EQA.CAP_Dados!J$2:J$5000,MATCH(ROW()-4,EQA.CAP_Dados!$S$2:$S$5000,0)),"")</f>
        <v/>
      </c>
      <c r="K17" s="85" t="str">
        <f>IFERROR(INDEX(EQA.CAP_Dados!K$2:K$5000,MATCH(ROW()-4,EQA.CAP_Dados!$S$2:$S$5000,0)),"")</f>
        <v/>
      </c>
      <c r="L17" t="str">
        <f>IFERROR(INDEX(EQA.CAP_Dados!L$2:L$5000,MATCH(ROW()-4,EQA.CAP_Dados!$S$2:$S$5000,0)),"")</f>
        <v/>
      </c>
      <c r="M17" s="81" t="str">
        <f>IFERROR(INDEX(EQA.CAP_Dados!M$2:M$5000,MATCH(ROW()-4,EQA.CAP_Dados!$S$2:$S$5000,0)),"")</f>
        <v/>
      </c>
      <c r="N17" t="str">
        <f>IFERROR(INDEX(EQA.CAP_Dados!N$2:N$5000,MATCH(ROW()-4,EQA.CAP_Dados!$S$2:$S$5000,0)),"")</f>
        <v/>
      </c>
      <c r="O17" s="85" t="str">
        <f>IFERROR(INDEX(EQA.CAP_Dados!O$2:O$5000,MATCH(ROW()-4,EQA.CAP_Dados!$S$2:$S$5000,0)),"")</f>
        <v/>
      </c>
      <c r="P17" s="85" t="str">
        <f>IFERROR(INDEX(EQA.CAP_Dados!P$2:P$5000,MATCH(ROW()-4,EQA.CAP_Dados!$S$2:$S$5000,0)),"")</f>
        <v/>
      </c>
      <c r="Q17" s="81" t="str">
        <f>IFERROR(INDEX(EQA.CAP_Dados!Q$2:Q$5000,MATCH(ROW()-4,EQA.CAP_Dados!$S$2:$S$5000,0)),"")</f>
        <v/>
      </c>
      <c r="R17" t="str">
        <f>IFERROR(INDEX(EQA.CAP_Dados!R$2:R$5000,MATCH(ROW()-4,EQA.CAP_Dados!$S$2:$S$5000,0)),"")</f>
        <v/>
      </c>
    </row>
    <row r="18" spans="1:18" x14ac:dyDescent="0.3">
      <c r="A18" t="str">
        <f>IFERROR(INDEX(EQA.CAP_Dados!A$2:A$5000,MATCH(ROW()-4,EQA.CAP_Dados!$S$2:$S$5000,0)),"")</f>
        <v/>
      </c>
      <c r="B18" t="str">
        <f>IFERROR(INDEX(EQA.CAP_Dados!B$2:B$5000,MATCH(ROW()-4,EQA.CAP_Dados!$S$2:$S$5000,0)),"")</f>
        <v/>
      </c>
      <c r="C18" s="81" t="str">
        <f>IFERROR(INDEX(EQA.CAP_Dados!C$2:C$5000,MATCH(ROW()-4,EQA.CAP_Dados!$S$2:$S$5000,0)),"")</f>
        <v/>
      </c>
      <c r="D18" t="str">
        <f>IFERROR(INDEX(EQA.CAP_Dados!D$2:D$5000,MATCH(ROW()-4,EQA.CAP_Dados!$S$2:$S$5000,0)),"")</f>
        <v/>
      </c>
      <c r="E18" t="str">
        <f>IFERROR(INDEX(EQA.CAP_Dados!E$2:E$5000,MATCH(ROW()-4,EQA.CAP_Dados!$S$2:$S$5000,0)),"")</f>
        <v/>
      </c>
      <c r="F18" s="85" t="str">
        <f>IFERROR(INDEX(EQA.CAP_Dados!F$2:F$5000,MATCH(ROW()-4,EQA.CAP_Dados!$S$2:$S$5000,0)),"")</f>
        <v/>
      </c>
      <c r="G18" s="86" t="str">
        <f>IFERROR(INDEX(EQA.CAP_Dados!G$2:G$5000,MATCH(ROW()-4,EQA.CAP_Dados!$S$2:$S$5000,0)),"")</f>
        <v/>
      </c>
      <c r="H18" s="86" t="str">
        <f>IFERROR(INDEX(EQA.CAP_Dados!H$2:H$5000,MATCH(ROW()-4,EQA.CAP_Dados!$S$2:$S$5000,0)),"")</f>
        <v/>
      </c>
      <c r="I18" s="87" t="str">
        <f>IFERROR(INDEX(EQA.CAP_Dados!I$2:I$5000,MATCH(ROW()-4,EQA.CAP_Dados!$S$2:$S$5000,0)),"")</f>
        <v/>
      </c>
      <c r="J18" s="85" t="str">
        <f>IFERROR(INDEX(EQA.CAP_Dados!J$2:J$5000,MATCH(ROW()-4,EQA.CAP_Dados!$S$2:$S$5000,0)),"")</f>
        <v/>
      </c>
      <c r="K18" s="85" t="str">
        <f>IFERROR(INDEX(EQA.CAP_Dados!K$2:K$5000,MATCH(ROW()-4,EQA.CAP_Dados!$S$2:$S$5000,0)),"")</f>
        <v/>
      </c>
      <c r="L18" t="str">
        <f>IFERROR(INDEX(EQA.CAP_Dados!L$2:L$5000,MATCH(ROW()-4,EQA.CAP_Dados!$S$2:$S$5000,0)),"")</f>
        <v/>
      </c>
      <c r="M18" s="81" t="str">
        <f>IFERROR(INDEX(EQA.CAP_Dados!M$2:M$5000,MATCH(ROW()-4,EQA.CAP_Dados!$S$2:$S$5000,0)),"")</f>
        <v/>
      </c>
      <c r="N18" t="str">
        <f>IFERROR(INDEX(EQA.CAP_Dados!N$2:N$5000,MATCH(ROW()-4,EQA.CAP_Dados!$S$2:$S$5000,0)),"")</f>
        <v/>
      </c>
      <c r="O18" s="85" t="str">
        <f>IFERROR(INDEX(EQA.CAP_Dados!O$2:O$5000,MATCH(ROW()-4,EQA.CAP_Dados!$S$2:$S$5000,0)),"")</f>
        <v/>
      </c>
      <c r="P18" s="85" t="str">
        <f>IFERROR(INDEX(EQA.CAP_Dados!P$2:P$5000,MATCH(ROW()-4,EQA.CAP_Dados!$S$2:$S$5000,0)),"")</f>
        <v/>
      </c>
      <c r="Q18" s="81" t="str">
        <f>IFERROR(INDEX(EQA.CAP_Dados!Q$2:Q$5000,MATCH(ROW()-4,EQA.CAP_Dados!$S$2:$S$5000,0)),"")</f>
        <v/>
      </c>
      <c r="R18" t="str">
        <f>IFERROR(INDEX(EQA.CAP_Dados!R$2:R$5000,MATCH(ROW()-4,EQA.CAP_Dados!$S$2:$S$5000,0)),"")</f>
        <v/>
      </c>
    </row>
    <row r="19" spans="1:18" x14ac:dyDescent="0.3">
      <c r="A19" t="str">
        <f>IFERROR(INDEX(EQA.CAP_Dados!A$2:A$5000,MATCH(ROW()-4,EQA.CAP_Dados!$S$2:$S$5000,0)),"")</f>
        <v/>
      </c>
      <c r="B19" t="str">
        <f>IFERROR(INDEX(EQA.CAP_Dados!B$2:B$5000,MATCH(ROW()-4,EQA.CAP_Dados!$S$2:$S$5000,0)),"")</f>
        <v/>
      </c>
      <c r="C19" s="81" t="str">
        <f>IFERROR(INDEX(EQA.CAP_Dados!C$2:C$5000,MATCH(ROW()-4,EQA.CAP_Dados!$S$2:$S$5000,0)),"")</f>
        <v/>
      </c>
      <c r="D19" t="str">
        <f>IFERROR(INDEX(EQA.CAP_Dados!D$2:D$5000,MATCH(ROW()-4,EQA.CAP_Dados!$S$2:$S$5000,0)),"")</f>
        <v/>
      </c>
      <c r="E19" t="str">
        <f>IFERROR(INDEX(EQA.CAP_Dados!E$2:E$5000,MATCH(ROW()-4,EQA.CAP_Dados!$S$2:$S$5000,0)),"")</f>
        <v/>
      </c>
      <c r="F19" s="85" t="str">
        <f>IFERROR(INDEX(EQA.CAP_Dados!F$2:F$5000,MATCH(ROW()-4,EQA.CAP_Dados!$S$2:$S$5000,0)),"")</f>
        <v/>
      </c>
      <c r="G19" s="86" t="str">
        <f>IFERROR(INDEX(EQA.CAP_Dados!G$2:G$5000,MATCH(ROW()-4,EQA.CAP_Dados!$S$2:$S$5000,0)),"")</f>
        <v/>
      </c>
      <c r="H19" s="86" t="str">
        <f>IFERROR(INDEX(EQA.CAP_Dados!H$2:H$5000,MATCH(ROW()-4,EQA.CAP_Dados!$S$2:$S$5000,0)),"")</f>
        <v/>
      </c>
      <c r="I19" s="87" t="str">
        <f>IFERROR(INDEX(EQA.CAP_Dados!I$2:I$5000,MATCH(ROW()-4,EQA.CAP_Dados!$S$2:$S$5000,0)),"")</f>
        <v/>
      </c>
      <c r="J19" s="85" t="str">
        <f>IFERROR(INDEX(EQA.CAP_Dados!J$2:J$5000,MATCH(ROW()-4,EQA.CAP_Dados!$S$2:$S$5000,0)),"")</f>
        <v/>
      </c>
      <c r="K19" s="85" t="str">
        <f>IFERROR(INDEX(EQA.CAP_Dados!K$2:K$5000,MATCH(ROW()-4,EQA.CAP_Dados!$S$2:$S$5000,0)),"")</f>
        <v/>
      </c>
      <c r="L19" t="str">
        <f>IFERROR(INDEX(EQA.CAP_Dados!L$2:L$5000,MATCH(ROW()-4,EQA.CAP_Dados!$S$2:$S$5000,0)),"")</f>
        <v/>
      </c>
      <c r="M19" s="81" t="str">
        <f>IFERROR(INDEX(EQA.CAP_Dados!M$2:M$5000,MATCH(ROW()-4,EQA.CAP_Dados!$S$2:$S$5000,0)),"")</f>
        <v/>
      </c>
      <c r="N19" t="str">
        <f>IFERROR(INDEX(EQA.CAP_Dados!N$2:N$5000,MATCH(ROW()-4,EQA.CAP_Dados!$S$2:$S$5000,0)),"")</f>
        <v/>
      </c>
      <c r="O19" s="85" t="str">
        <f>IFERROR(INDEX(EQA.CAP_Dados!O$2:O$5000,MATCH(ROW()-4,EQA.CAP_Dados!$S$2:$S$5000,0)),"")</f>
        <v/>
      </c>
      <c r="P19" s="85" t="str">
        <f>IFERROR(INDEX(EQA.CAP_Dados!P$2:P$5000,MATCH(ROW()-4,EQA.CAP_Dados!$S$2:$S$5000,0)),"")</f>
        <v/>
      </c>
      <c r="Q19" s="81" t="str">
        <f>IFERROR(INDEX(EQA.CAP_Dados!Q$2:Q$5000,MATCH(ROW()-4,EQA.CAP_Dados!$S$2:$S$5000,0)),"")</f>
        <v/>
      </c>
      <c r="R19" t="str">
        <f>IFERROR(INDEX(EQA.CAP_Dados!R$2:R$5000,MATCH(ROW()-4,EQA.CAP_Dados!$S$2:$S$5000,0)),"")</f>
        <v/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81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85" t="str">
        <f>IFERROR(INDEX(EQA.CAP_Dados!F$2:F$5000,MATCH(ROW()-4,EQA.CAP_Dados!$S$2:$S$5000,0)),"")</f>
        <v/>
      </c>
      <c r="G20" s="86" t="str">
        <f>IFERROR(INDEX(EQA.CAP_Dados!G$2:G$5000,MATCH(ROW()-4,EQA.CAP_Dados!$S$2:$S$5000,0)),"")</f>
        <v/>
      </c>
      <c r="H20" s="86" t="str">
        <f>IFERROR(INDEX(EQA.CAP_Dados!H$2:H$5000,MATCH(ROW()-4,EQA.CAP_Dados!$S$2:$S$5000,0)),"")</f>
        <v/>
      </c>
      <c r="I20" s="87" t="str">
        <f>IFERROR(INDEX(EQA.CAP_Dados!I$2:I$5000,MATCH(ROW()-4,EQA.CAP_Dados!$S$2:$S$5000,0)),"")</f>
        <v/>
      </c>
      <c r="J20" s="85" t="str">
        <f>IFERROR(INDEX(EQA.CAP_Dados!J$2:J$5000,MATCH(ROW()-4,EQA.CAP_Dados!$S$2:$S$5000,0)),"")</f>
        <v/>
      </c>
      <c r="K20" s="85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81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85" t="str">
        <f>IFERROR(INDEX(EQA.CAP_Dados!O$2:O$5000,MATCH(ROW()-4,EQA.CAP_Dados!$S$2:$S$5000,0)),"")</f>
        <v/>
      </c>
      <c r="P20" s="85" t="str">
        <f>IFERROR(INDEX(EQA.CAP_Dados!P$2:P$5000,MATCH(ROW()-4,EQA.CAP_Dados!$S$2:$S$5000,0)),"")</f>
        <v/>
      </c>
      <c r="Q20" s="81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81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85" t="str">
        <f>IFERROR(INDEX(EQA.CAP_Dados!F$2:F$5000,MATCH(ROW()-4,EQA.CAP_Dados!$S$2:$S$5000,0)),"")</f>
        <v/>
      </c>
      <c r="G21" s="86" t="str">
        <f>IFERROR(INDEX(EQA.CAP_Dados!G$2:G$5000,MATCH(ROW()-4,EQA.CAP_Dados!$S$2:$S$5000,0)),"")</f>
        <v/>
      </c>
      <c r="H21" s="86" t="str">
        <f>IFERROR(INDEX(EQA.CAP_Dados!H$2:H$5000,MATCH(ROW()-4,EQA.CAP_Dados!$S$2:$S$5000,0)),"")</f>
        <v/>
      </c>
      <c r="I21" s="87" t="str">
        <f>IFERROR(INDEX(EQA.CAP_Dados!I$2:I$5000,MATCH(ROW()-4,EQA.CAP_Dados!$S$2:$S$5000,0)),"")</f>
        <v/>
      </c>
      <c r="J21" s="85" t="str">
        <f>IFERROR(INDEX(EQA.CAP_Dados!J$2:J$5000,MATCH(ROW()-4,EQA.CAP_Dados!$S$2:$S$5000,0)),"")</f>
        <v/>
      </c>
      <c r="K21" s="85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81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85" t="str">
        <f>IFERROR(INDEX(EQA.CAP_Dados!O$2:O$5000,MATCH(ROW()-4,EQA.CAP_Dados!$S$2:$S$5000,0)),"")</f>
        <v/>
      </c>
      <c r="P21" s="85" t="str">
        <f>IFERROR(INDEX(EQA.CAP_Dados!P$2:P$5000,MATCH(ROW()-4,EQA.CAP_Dados!$S$2:$S$5000,0)),"")</f>
        <v/>
      </c>
      <c r="Q21" s="81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81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85" t="str">
        <f>IFERROR(INDEX(EQA.CAP_Dados!F$2:F$5000,MATCH(ROW()-4,EQA.CAP_Dados!$S$2:$S$5000,0)),"")</f>
        <v/>
      </c>
      <c r="G22" s="86" t="str">
        <f>IFERROR(INDEX(EQA.CAP_Dados!G$2:G$5000,MATCH(ROW()-4,EQA.CAP_Dados!$S$2:$S$5000,0)),"")</f>
        <v/>
      </c>
      <c r="H22" s="86" t="str">
        <f>IFERROR(INDEX(EQA.CAP_Dados!H$2:H$5000,MATCH(ROW()-4,EQA.CAP_Dados!$S$2:$S$5000,0)),"")</f>
        <v/>
      </c>
      <c r="I22" s="87" t="str">
        <f>IFERROR(INDEX(EQA.CAP_Dados!I$2:I$5000,MATCH(ROW()-4,EQA.CAP_Dados!$S$2:$S$5000,0)),"")</f>
        <v/>
      </c>
      <c r="J22" s="85" t="str">
        <f>IFERROR(INDEX(EQA.CAP_Dados!J$2:J$5000,MATCH(ROW()-4,EQA.CAP_Dados!$S$2:$S$5000,0)),"")</f>
        <v/>
      </c>
      <c r="K22" s="85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81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85" t="str">
        <f>IFERROR(INDEX(EQA.CAP_Dados!O$2:O$5000,MATCH(ROW()-4,EQA.CAP_Dados!$S$2:$S$5000,0)),"")</f>
        <v/>
      </c>
      <c r="P22" s="85" t="str">
        <f>IFERROR(INDEX(EQA.CAP_Dados!P$2:P$5000,MATCH(ROW()-4,EQA.CAP_Dados!$S$2:$S$5000,0)),"")</f>
        <v/>
      </c>
      <c r="Q22" s="81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81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85" t="str">
        <f>IFERROR(INDEX(EQA.CAP_Dados!F$2:F$5000,MATCH(ROW()-4,EQA.CAP_Dados!$S$2:$S$5000,0)),"")</f>
        <v/>
      </c>
      <c r="G23" s="86" t="str">
        <f>IFERROR(INDEX(EQA.CAP_Dados!G$2:G$5000,MATCH(ROW()-4,EQA.CAP_Dados!$S$2:$S$5000,0)),"")</f>
        <v/>
      </c>
      <c r="H23" s="86" t="str">
        <f>IFERROR(INDEX(EQA.CAP_Dados!H$2:H$5000,MATCH(ROW()-4,EQA.CAP_Dados!$S$2:$S$5000,0)),"")</f>
        <v/>
      </c>
      <c r="I23" s="87" t="str">
        <f>IFERROR(INDEX(EQA.CAP_Dados!I$2:I$5000,MATCH(ROW()-4,EQA.CAP_Dados!$S$2:$S$5000,0)),"")</f>
        <v/>
      </c>
      <c r="J23" s="85" t="str">
        <f>IFERROR(INDEX(EQA.CAP_Dados!J$2:J$5000,MATCH(ROW()-4,EQA.CAP_Dados!$S$2:$S$5000,0)),"")</f>
        <v/>
      </c>
      <c r="K23" s="85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81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85" t="str">
        <f>IFERROR(INDEX(EQA.CAP_Dados!O$2:O$5000,MATCH(ROW()-4,EQA.CAP_Dados!$S$2:$S$5000,0)),"")</f>
        <v/>
      </c>
      <c r="P23" s="85" t="str">
        <f>IFERROR(INDEX(EQA.CAP_Dados!P$2:P$5000,MATCH(ROW()-4,EQA.CAP_Dados!$S$2:$S$5000,0)),"")</f>
        <v/>
      </c>
      <c r="Q23" s="81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81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85" t="str">
        <f>IFERROR(INDEX(EQA.CAP_Dados!F$2:F$5000,MATCH(ROW()-4,EQA.CAP_Dados!$S$2:$S$5000,0)),"")</f>
        <v/>
      </c>
      <c r="G24" s="86" t="str">
        <f>IFERROR(INDEX(EQA.CAP_Dados!G$2:G$5000,MATCH(ROW()-4,EQA.CAP_Dados!$S$2:$S$5000,0)),"")</f>
        <v/>
      </c>
      <c r="H24" s="86" t="str">
        <f>IFERROR(INDEX(EQA.CAP_Dados!H$2:H$5000,MATCH(ROW()-4,EQA.CAP_Dados!$S$2:$S$5000,0)),"")</f>
        <v/>
      </c>
      <c r="I24" s="87" t="str">
        <f>IFERROR(INDEX(EQA.CAP_Dados!I$2:I$5000,MATCH(ROW()-4,EQA.CAP_Dados!$S$2:$S$5000,0)),"")</f>
        <v/>
      </c>
      <c r="J24" s="85" t="str">
        <f>IFERROR(INDEX(EQA.CAP_Dados!J$2:J$5000,MATCH(ROW()-4,EQA.CAP_Dados!$S$2:$S$5000,0)),"")</f>
        <v/>
      </c>
      <c r="K24" s="85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81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85" t="str">
        <f>IFERROR(INDEX(EQA.CAP_Dados!O$2:O$5000,MATCH(ROW()-4,EQA.CAP_Dados!$S$2:$S$5000,0)),"")</f>
        <v/>
      </c>
      <c r="P24" s="85" t="str">
        <f>IFERROR(INDEX(EQA.CAP_Dados!P$2:P$5000,MATCH(ROW()-4,EQA.CAP_Dados!$S$2:$S$5000,0)),"")</f>
        <v/>
      </c>
      <c r="Q24" s="81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81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85" t="str">
        <f>IFERROR(INDEX(EQA.CAP_Dados!F$2:F$5000,MATCH(ROW()-4,EQA.CAP_Dados!$S$2:$S$5000,0)),"")</f>
        <v/>
      </c>
      <c r="G25" s="86" t="str">
        <f>IFERROR(INDEX(EQA.CAP_Dados!G$2:G$5000,MATCH(ROW()-4,EQA.CAP_Dados!$S$2:$S$5000,0)),"")</f>
        <v/>
      </c>
      <c r="H25" s="86" t="str">
        <f>IFERROR(INDEX(EQA.CAP_Dados!H$2:H$5000,MATCH(ROW()-4,EQA.CAP_Dados!$S$2:$S$5000,0)),"")</f>
        <v/>
      </c>
      <c r="I25" s="87" t="str">
        <f>IFERROR(INDEX(EQA.CAP_Dados!I$2:I$5000,MATCH(ROW()-4,EQA.CAP_Dados!$S$2:$S$5000,0)),"")</f>
        <v/>
      </c>
      <c r="J25" s="85" t="str">
        <f>IFERROR(INDEX(EQA.CAP_Dados!J$2:J$5000,MATCH(ROW()-4,EQA.CAP_Dados!$S$2:$S$5000,0)),"")</f>
        <v/>
      </c>
      <c r="K25" s="85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81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85" t="str">
        <f>IFERROR(INDEX(EQA.CAP_Dados!O$2:O$5000,MATCH(ROW()-4,EQA.CAP_Dados!$S$2:$S$5000,0)),"")</f>
        <v/>
      </c>
      <c r="P25" s="85" t="str">
        <f>IFERROR(INDEX(EQA.CAP_Dados!P$2:P$5000,MATCH(ROW()-4,EQA.CAP_Dados!$S$2:$S$5000,0)),"")</f>
        <v/>
      </c>
      <c r="Q25" s="81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81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85" t="str">
        <f>IFERROR(INDEX(EQA.CAP_Dados!F$2:F$5000,MATCH(ROW()-4,EQA.CAP_Dados!$S$2:$S$5000,0)),"")</f>
        <v/>
      </c>
      <c r="G26" s="86" t="str">
        <f>IFERROR(INDEX(EQA.CAP_Dados!G$2:G$5000,MATCH(ROW()-4,EQA.CAP_Dados!$S$2:$S$5000,0)),"")</f>
        <v/>
      </c>
      <c r="H26" s="86" t="str">
        <f>IFERROR(INDEX(EQA.CAP_Dados!H$2:H$5000,MATCH(ROW()-4,EQA.CAP_Dados!$S$2:$S$5000,0)),"")</f>
        <v/>
      </c>
      <c r="I26" s="87" t="str">
        <f>IFERROR(INDEX(EQA.CAP_Dados!I$2:I$5000,MATCH(ROW()-4,EQA.CAP_Dados!$S$2:$S$5000,0)),"")</f>
        <v/>
      </c>
      <c r="J26" s="85" t="str">
        <f>IFERROR(INDEX(EQA.CAP_Dados!J$2:J$5000,MATCH(ROW()-4,EQA.CAP_Dados!$S$2:$S$5000,0)),"")</f>
        <v/>
      </c>
      <c r="K26" s="85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81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85" t="str">
        <f>IFERROR(INDEX(EQA.CAP_Dados!O$2:O$5000,MATCH(ROW()-4,EQA.CAP_Dados!$S$2:$S$5000,0)),"")</f>
        <v/>
      </c>
      <c r="P26" s="85" t="str">
        <f>IFERROR(INDEX(EQA.CAP_Dados!P$2:P$5000,MATCH(ROW()-4,EQA.CAP_Dados!$S$2:$S$5000,0)),"")</f>
        <v/>
      </c>
      <c r="Q26" s="81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81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85" t="str">
        <f>IFERROR(INDEX(EQA.CAP_Dados!F$2:F$5000,MATCH(ROW()-4,EQA.CAP_Dados!$S$2:$S$5000,0)),"")</f>
        <v/>
      </c>
      <c r="G27" s="86" t="str">
        <f>IFERROR(INDEX(EQA.CAP_Dados!G$2:G$5000,MATCH(ROW()-4,EQA.CAP_Dados!$S$2:$S$5000,0)),"")</f>
        <v/>
      </c>
      <c r="H27" s="86" t="str">
        <f>IFERROR(INDEX(EQA.CAP_Dados!H$2:H$5000,MATCH(ROW()-4,EQA.CAP_Dados!$S$2:$S$5000,0)),"")</f>
        <v/>
      </c>
      <c r="I27" s="87" t="str">
        <f>IFERROR(INDEX(EQA.CAP_Dados!I$2:I$5000,MATCH(ROW()-4,EQA.CAP_Dados!$S$2:$S$5000,0)),"")</f>
        <v/>
      </c>
      <c r="J27" s="85" t="str">
        <f>IFERROR(INDEX(EQA.CAP_Dados!J$2:J$5000,MATCH(ROW()-4,EQA.CAP_Dados!$S$2:$S$5000,0)),"")</f>
        <v/>
      </c>
      <c r="K27" s="85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81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85" t="str">
        <f>IFERROR(INDEX(EQA.CAP_Dados!O$2:O$5000,MATCH(ROW()-4,EQA.CAP_Dados!$S$2:$S$5000,0)),"")</f>
        <v/>
      </c>
      <c r="P27" s="85" t="str">
        <f>IFERROR(INDEX(EQA.CAP_Dados!P$2:P$5000,MATCH(ROW()-4,EQA.CAP_Dados!$S$2:$S$5000,0)),"")</f>
        <v/>
      </c>
      <c r="Q27" s="81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81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85" t="str">
        <f>IFERROR(INDEX(EQA.CAP_Dados!F$2:F$5000,MATCH(ROW()-4,EQA.CAP_Dados!$S$2:$S$5000,0)),"")</f>
        <v/>
      </c>
      <c r="G28" s="86" t="str">
        <f>IFERROR(INDEX(EQA.CAP_Dados!G$2:G$5000,MATCH(ROW()-4,EQA.CAP_Dados!$S$2:$S$5000,0)),"")</f>
        <v/>
      </c>
      <c r="H28" s="86" t="str">
        <f>IFERROR(INDEX(EQA.CAP_Dados!H$2:H$5000,MATCH(ROW()-4,EQA.CAP_Dados!$S$2:$S$5000,0)),"")</f>
        <v/>
      </c>
      <c r="I28" s="87" t="str">
        <f>IFERROR(INDEX(EQA.CAP_Dados!I$2:I$5000,MATCH(ROW()-4,EQA.CAP_Dados!$S$2:$S$5000,0)),"")</f>
        <v/>
      </c>
      <c r="J28" s="85" t="str">
        <f>IFERROR(INDEX(EQA.CAP_Dados!J$2:J$5000,MATCH(ROW()-4,EQA.CAP_Dados!$S$2:$S$5000,0)),"")</f>
        <v/>
      </c>
      <c r="K28" s="85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81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85" t="str">
        <f>IFERROR(INDEX(EQA.CAP_Dados!O$2:O$5000,MATCH(ROW()-4,EQA.CAP_Dados!$S$2:$S$5000,0)),"")</f>
        <v/>
      </c>
      <c r="P28" s="85" t="str">
        <f>IFERROR(INDEX(EQA.CAP_Dados!P$2:P$5000,MATCH(ROW()-4,EQA.CAP_Dados!$S$2:$S$5000,0)),"")</f>
        <v/>
      </c>
      <c r="Q28" s="81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81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85" t="str">
        <f>IFERROR(INDEX(EQA.CAP_Dados!F$2:F$5000,MATCH(ROW()-4,EQA.CAP_Dados!$S$2:$S$5000,0)),"")</f>
        <v/>
      </c>
      <c r="G29" s="86" t="str">
        <f>IFERROR(INDEX(EQA.CAP_Dados!G$2:G$5000,MATCH(ROW()-4,EQA.CAP_Dados!$S$2:$S$5000,0)),"")</f>
        <v/>
      </c>
      <c r="H29" s="86" t="str">
        <f>IFERROR(INDEX(EQA.CAP_Dados!H$2:H$5000,MATCH(ROW()-4,EQA.CAP_Dados!$S$2:$S$5000,0)),"")</f>
        <v/>
      </c>
      <c r="I29" s="87" t="str">
        <f>IFERROR(INDEX(EQA.CAP_Dados!I$2:I$5000,MATCH(ROW()-4,EQA.CAP_Dados!$S$2:$S$5000,0)),"")</f>
        <v/>
      </c>
      <c r="J29" s="85" t="str">
        <f>IFERROR(INDEX(EQA.CAP_Dados!J$2:J$5000,MATCH(ROW()-4,EQA.CAP_Dados!$S$2:$S$5000,0)),"")</f>
        <v/>
      </c>
      <c r="K29" s="85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81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85" t="str">
        <f>IFERROR(INDEX(EQA.CAP_Dados!O$2:O$5000,MATCH(ROW()-4,EQA.CAP_Dados!$S$2:$S$5000,0)),"")</f>
        <v/>
      </c>
      <c r="P29" s="85" t="str">
        <f>IFERROR(INDEX(EQA.CAP_Dados!P$2:P$5000,MATCH(ROW()-4,EQA.CAP_Dados!$S$2:$S$5000,0)),"")</f>
        <v/>
      </c>
      <c r="Q29" s="81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81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85" t="str">
        <f>IFERROR(INDEX(EQA.CAP_Dados!F$2:F$5000,MATCH(ROW()-4,EQA.CAP_Dados!$S$2:$S$5000,0)),"")</f>
        <v/>
      </c>
      <c r="G30" s="86" t="str">
        <f>IFERROR(INDEX(EQA.CAP_Dados!G$2:G$5000,MATCH(ROW()-4,EQA.CAP_Dados!$S$2:$S$5000,0)),"")</f>
        <v/>
      </c>
      <c r="H30" s="86" t="str">
        <f>IFERROR(INDEX(EQA.CAP_Dados!H$2:H$5000,MATCH(ROW()-4,EQA.CAP_Dados!$S$2:$S$5000,0)),"")</f>
        <v/>
      </c>
      <c r="I30" s="87" t="str">
        <f>IFERROR(INDEX(EQA.CAP_Dados!I$2:I$5000,MATCH(ROW()-4,EQA.CAP_Dados!$S$2:$S$5000,0)),"")</f>
        <v/>
      </c>
      <c r="J30" s="85" t="str">
        <f>IFERROR(INDEX(EQA.CAP_Dados!J$2:J$5000,MATCH(ROW()-4,EQA.CAP_Dados!$S$2:$S$5000,0)),"")</f>
        <v/>
      </c>
      <c r="K30" s="85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81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85" t="str">
        <f>IFERROR(INDEX(EQA.CAP_Dados!O$2:O$5000,MATCH(ROW()-4,EQA.CAP_Dados!$S$2:$S$5000,0)),"")</f>
        <v/>
      </c>
      <c r="P30" s="85" t="str">
        <f>IFERROR(INDEX(EQA.CAP_Dados!P$2:P$5000,MATCH(ROW()-4,EQA.CAP_Dados!$S$2:$S$5000,0)),"")</f>
        <v/>
      </c>
      <c r="Q30" s="81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81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85" t="str">
        <f>IFERROR(INDEX(EQA.CAP_Dados!F$2:F$5000,MATCH(ROW()-4,EQA.CAP_Dados!$S$2:$S$5000,0)),"")</f>
        <v/>
      </c>
      <c r="G31" s="86" t="str">
        <f>IFERROR(INDEX(EQA.CAP_Dados!G$2:G$5000,MATCH(ROW()-4,EQA.CAP_Dados!$S$2:$S$5000,0)),"")</f>
        <v/>
      </c>
      <c r="H31" s="86" t="str">
        <f>IFERROR(INDEX(EQA.CAP_Dados!H$2:H$5000,MATCH(ROW()-4,EQA.CAP_Dados!$S$2:$S$5000,0)),"")</f>
        <v/>
      </c>
      <c r="I31" s="87" t="str">
        <f>IFERROR(INDEX(EQA.CAP_Dados!I$2:I$5000,MATCH(ROW()-4,EQA.CAP_Dados!$S$2:$S$5000,0)),"")</f>
        <v/>
      </c>
      <c r="J31" s="85" t="str">
        <f>IFERROR(INDEX(EQA.CAP_Dados!J$2:J$5000,MATCH(ROW()-4,EQA.CAP_Dados!$S$2:$S$5000,0)),"")</f>
        <v/>
      </c>
      <c r="K31" s="85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81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85" t="str">
        <f>IFERROR(INDEX(EQA.CAP_Dados!O$2:O$5000,MATCH(ROW()-4,EQA.CAP_Dados!$S$2:$S$5000,0)),"")</f>
        <v/>
      </c>
      <c r="P31" s="85" t="str">
        <f>IFERROR(INDEX(EQA.CAP_Dados!P$2:P$5000,MATCH(ROW()-4,EQA.CAP_Dados!$S$2:$S$5000,0)),"")</f>
        <v/>
      </c>
      <c r="Q31" s="81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81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85" t="str">
        <f>IFERROR(INDEX(EQA.CAP_Dados!F$2:F$5000,MATCH(ROW()-4,EQA.CAP_Dados!$S$2:$S$5000,0)),"")</f>
        <v/>
      </c>
      <c r="G32" s="86" t="str">
        <f>IFERROR(INDEX(EQA.CAP_Dados!G$2:G$5000,MATCH(ROW()-4,EQA.CAP_Dados!$S$2:$S$5000,0)),"")</f>
        <v/>
      </c>
      <c r="H32" s="86" t="str">
        <f>IFERROR(INDEX(EQA.CAP_Dados!H$2:H$5000,MATCH(ROW()-4,EQA.CAP_Dados!$S$2:$S$5000,0)),"")</f>
        <v/>
      </c>
      <c r="I32" s="87" t="str">
        <f>IFERROR(INDEX(EQA.CAP_Dados!I$2:I$5000,MATCH(ROW()-4,EQA.CAP_Dados!$S$2:$S$5000,0)),"")</f>
        <v/>
      </c>
      <c r="J32" s="85" t="str">
        <f>IFERROR(INDEX(EQA.CAP_Dados!J$2:J$5000,MATCH(ROW()-4,EQA.CAP_Dados!$S$2:$S$5000,0)),"")</f>
        <v/>
      </c>
      <c r="K32" s="85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81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85" t="str">
        <f>IFERROR(INDEX(EQA.CAP_Dados!O$2:O$5000,MATCH(ROW()-4,EQA.CAP_Dados!$S$2:$S$5000,0)),"")</f>
        <v/>
      </c>
      <c r="P32" s="85" t="str">
        <f>IFERROR(INDEX(EQA.CAP_Dados!P$2:P$5000,MATCH(ROW()-4,EQA.CAP_Dados!$S$2:$S$5000,0)),"")</f>
        <v/>
      </c>
      <c r="Q32" s="81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81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85" t="str">
        <f>IFERROR(INDEX(EQA.CAP_Dados!F$2:F$5000,MATCH(ROW()-4,EQA.CAP_Dados!$S$2:$S$5000,0)),"")</f>
        <v/>
      </c>
      <c r="G33" s="86" t="str">
        <f>IFERROR(INDEX(EQA.CAP_Dados!G$2:G$5000,MATCH(ROW()-4,EQA.CAP_Dados!$S$2:$S$5000,0)),"")</f>
        <v/>
      </c>
      <c r="H33" s="86" t="str">
        <f>IFERROR(INDEX(EQA.CAP_Dados!H$2:H$5000,MATCH(ROW()-4,EQA.CAP_Dados!$S$2:$S$5000,0)),"")</f>
        <v/>
      </c>
      <c r="I33" s="87" t="str">
        <f>IFERROR(INDEX(EQA.CAP_Dados!I$2:I$5000,MATCH(ROW()-4,EQA.CAP_Dados!$S$2:$S$5000,0)),"")</f>
        <v/>
      </c>
      <c r="J33" s="85" t="str">
        <f>IFERROR(INDEX(EQA.CAP_Dados!J$2:J$5000,MATCH(ROW()-4,EQA.CAP_Dados!$S$2:$S$5000,0)),"")</f>
        <v/>
      </c>
      <c r="K33" s="85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81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85" t="str">
        <f>IFERROR(INDEX(EQA.CAP_Dados!O$2:O$5000,MATCH(ROW()-4,EQA.CAP_Dados!$S$2:$S$5000,0)),"")</f>
        <v/>
      </c>
      <c r="P33" s="85" t="str">
        <f>IFERROR(INDEX(EQA.CAP_Dados!P$2:P$5000,MATCH(ROW()-4,EQA.CAP_Dados!$S$2:$S$5000,0)),"")</f>
        <v/>
      </c>
      <c r="Q33" s="81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81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85" t="str">
        <f>IFERROR(INDEX(EQA.CAP_Dados!F$2:F$5000,MATCH(ROW()-4,EQA.CAP_Dados!$S$2:$S$5000,0)),"")</f>
        <v/>
      </c>
      <c r="G34" s="86" t="str">
        <f>IFERROR(INDEX(EQA.CAP_Dados!G$2:G$5000,MATCH(ROW()-4,EQA.CAP_Dados!$S$2:$S$5000,0)),"")</f>
        <v/>
      </c>
      <c r="H34" s="86" t="str">
        <f>IFERROR(INDEX(EQA.CAP_Dados!H$2:H$5000,MATCH(ROW()-4,EQA.CAP_Dados!$S$2:$S$5000,0)),"")</f>
        <v/>
      </c>
      <c r="I34" s="87" t="str">
        <f>IFERROR(INDEX(EQA.CAP_Dados!I$2:I$5000,MATCH(ROW()-4,EQA.CAP_Dados!$S$2:$S$5000,0)),"")</f>
        <v/>
      </c>
      <c r="J34" s="85" t="str">
        <f>IFERROR(INDEX(EQA.CAP_Dados!J$2:J$5000,MATCH(ROW()-4,EQA.CAP_Dados!$S$2:$S$5000,0)),"")</f>
        <v/>
      </c>
      <c r="K34" s="85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81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85" t="str">
        <f>IFERROR(INDEX(EQA.CAP_Dados!O$2:O$5000,MATCH(ROW()-4,EQA.CAP_Dados!$S$2:$S$5000,0)),"")</f>
        <v/>
      </c>
      <c r="P34" s="85" t="str">
        <f>IFERROR(INDEX(EQA.CAP_Dados!P$2:P$5000,MATCH(ROW()-4,EQA.CAP_Dados!$S$2:$S$5000,0)),"")</f>
        <v/>
      </c>
      <c r="Q34" s="81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81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85" t="str">
        <f>IFERROR(INDEX(EQA.CAP_Dados!F$2:F$5000,MATCH(ROW()-4,EQA.CAP_Dados!$S$2:$S$5000,0)),"")</f>
        <v/>
      </c>
      <c r="G35" s="86" t="str">
        <f>IFERROR(INDEX(EQA.CAP_Dados!G$2:G$5000,MATCH(ROW()-4,EQA.CAP_Dados!$S$2:$S$5000,0)),"")</f>
        <v/>
      </c>
      <c r="H35" s="86" t="str">
        <f>IFERROR(INDEX(EQA.CAP_Dados!H$2:H$5000,MATCH(ROW()-4,EQA.CAP_Dados!$S$2:$S$5000,0)),"")</f>
        <v/>
      </c>
      <c r="I35" s="87" t="str">
        <f>IFERROR(INDEX(EQA.CAP_Dados!I$2:I$5000,MATCH(ROW()-4,EQA.CAP_Dados!$S$2:$S$5000,0)),"")</f>
        <v/>
      </c>
      <c r="J35" s="85" t="str">
        <f>IFERROR(INDEX(EQA.CAP_Dados!J$2:J$5000,MATCH(ROW()-4,EQA.CAP_Dados!$S$2:$S$5000,0)),"")</f>
        <v/>
      </c>
      <c r="K35" s="85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81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85" t="str">
        <f>IFERROR(INDEX(EQA.CAP_Dados!O$2:O$5000,MATCH(ROW()-4,EQA.CAP_Dados!$S$2:$S$5000,0)),"")</f>
        <v/>
      </c>
      <c r="P35" s="85" t="str">
        <f>IFERROR(INDEX(EQA.CAP_Dados!P$2:P$5000,MATCH(ROW()-4,EQA.CAP_Dados!$S$2:$S$5000,0)),"")</f>
        <v/>
      </c>
      <c r="Q35" s="81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81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85" t="str">
        <f>IFERROR(INDEX(EQA.CAP_Dados!F$2:F$5000,MATCH(ROW()-4,EQA.CAP_Dados!$S$2:$S$5000,0)),"")</f>
        <v/>
      </c>
      <c r="G36" s="86" t="str">
        <f>IFERROR(INDEX(EQA.CAP_Dados!G$2:G$5000,MATCH(ROW()-4,EQA.CAP_Dados!$S$2:$S$5000,0)),"")</f>
        <v/>
      </c>
      <c r="H36" s="86" t="str">
        <f>IFERROR(INDEX(EQA.CAP_Dados!H$2:H$5000,MATCH(ROW()-4,EQA.CAP_Dados!$S$2:$S$5000,0)),"")</f>
        <v/>
      </c>
      <c r="I36" s="87" t="str">
        <f>IFERROR(INDEX(EQA.CAP_Dados!I$2:I$5000,MATCH(ROW()-4,EQA.CAP_Dados!$S$2:$S$5000,0)),"")</f>
        <v/>
      </c>
      <c r="J36" s="85" t="str">
        <f>IFERROR(INDEX(EQA.CAP_Dados!J$2:J$5000,MATCH(ROW()-4,EQA.CAP_Dados!$S$2:$S$5000,0)),"")</f>
        <v/>
      </c>
      <c r="K36" s="85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81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85" t="str">
        <f>IFERROR(INDEX(EQA.CAP_Dados!O$2:O$5000,MATCH(ROW()-4,EQA.CAP_Dados!$S$2:$S$5000,0)),"")</f>
        <v/>
      </c>
      <c r="P36" s="85" t="str">
        <f>IFERROR(INDEX(EQA.CAP_Dados!P$2:P$5000,MATCH(ROW()-4,EQA.CAP_Dados!$S$2:$S$5000,0)),"")</f>
        <v/>
      </c>
      <c r="Q36" s="81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81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85" t="str">
        <f>IFERROR(INDEX(EQA.CAP_Dados!F$2:F$5000,MATCH(ROW()-4,EQA.CAP_Dados!$S$2:$S$5000,0)),"")</f>
        <v/>
      </c>
      <c r="G37" s="86" t="str">
        <f>IFERROR(INDEX(EQA.CAP_Dados!G$2:G$5000,MATCH(ROW()-4,EQA.CAP_Dados!$S$2:$S$5000,0)),"")</f>
        <v/>
      </c>
      <c r="H37" s="86" t="str">
        <f>IFERROR(INDEX(EQA.CAP_Dados!H$2:H$5000,MATCH(ROW()-4,EQA.CAP_Dados!$S$2:$S$5000,0)),"")</f>
        <v/>
      </c>
      <c r="I37" s="87" t="str">
        <f>IFERROR(INDEX(EQA.CAP_Dados!I$2:I$5000,MATCH(ROW()-4,EQA.CAP_Dados!$S$2:$S$5000,0)),"")</f>
        <v/>
      </c>
      <c r="J37" s="85" t="str">
        <f>IFERROR(INDEX(EQA.CAP_Dados!J$2:J$5000,MATCH(ROW()-4,EQA.CAP_Dados!$S$2:$S$5000,0)),"")</f>
        <v/>
      </c>
      <c r="K37" s="85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81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85" t="str">
        <f>IFERROR(INDEX(EQA.CAP_Dados!O$2:O$5000,MATCH(ROW()-4,EQA.CAP_Dados!$S$2:$S$5000,0)),"")</f>
        <v/>
      </c>
      <c r="P37" s="85" t="str">
        <f>IFERROR(INDEX(EQA.CAP_Dados!P$2:P$5000,MATCH(ROW()-4,EQA.CAP_Dados!$S$2:$S$5000,0)),"")</f>
        <v/>
      </c>
      <c r="Q37" s="81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81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85" t="str">
        <f>IFERROR(INDEX(EQA.CAP_Dados!F$2:F$5000,MATCH(ROW()-4,EQA.CAP_Dados!$S$2:$S$5000,0)),"")</f>
        <v/>
      </c>
      <c r="G38" s="86" t="str">
        <f>IFERROR(INDEX(EQA.CAP_Dados!G$2:G$5000,MATCH(ROW()-4,EQA.CAP_Dados!$S$2:$S$5000,0)),"")</f>
        <v/>
      </c>
      <c r="H38" s="86" t="str">
        <f>IFERROR(INDEX(EQA.CAP_Dados!H$2:H$5000,MATCH(ROW()-4,EQA.CAP_Dados!$S$2:$S$5000,0)),"")</f>
        <v/>
      </c>
      <c r="I38" s="87" t="str">
        <f>IFERROR(INDEX(EQA.CAP_Dados!I$2:I$5000,MATCH(ROW()-4,EQA.CAP_Dados!$S$2:$S$5000,0)),"")</f>
        <v/>
      </c>
      <c r="J38" s="85" t="str">
        <f>IFERROR(INDEX(EQA.CAP_Dados!J$2:J$5000,MATCH(ROW()-4,EQA.CAP_Dados!$S$2:$S$5000,0)),"")</f>
        <v/>
      </c>
      <c r="K38" s="85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81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85" t="str">
        <f>IFERROR(INDEX(EQA.CAP_Dados!O$2:O$5000,MATCH(ROW()-4,EQA.CAP_Dados!$S$2:$S$5000,0)),"")</f>
        <v/>
      </c>
      <c r="P38" s="85" t="str">
        <f>IFERROR(INDEX(EQA.CAP_Dados!P$2:P$5000,MATCH(ROW()-4,EQA.CAP_Dados!$S$2:$S$5000,0)),"")</f>
        <v/>
      </c>
      <c r="Q38" s="81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81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85" t="str">
        <f>IFERROR(INDEX(EQA.CAP_Dados!F$2:F$5000,MATCH(ROW()-4,EQA.CAP_Dados!$S$2:$S$5000,0)),"")</f>
        <v/>
      </c>
      <c r="G39" s="86" t="str">
        <f>IFERROR(INDEX(EQA.CAP_Dados!G$2:G$5000,MATCH(ROW()-4,EQA.CAP_Dados!$S$2:$S$5000,0)),"")</f>
        <v/>
      </c>
      <c r="H39" s="86" t="str">
        <f>IFERROR(INDEX(EQA.CAP_Dados!H$2:H$5000,MATCH(ROW()-4,EQA.CAP_Dados!$S$2:$S$5000,0)),"")</f>
        <v/>
      </c>
      <c r="I39" s="87" t="str">
        <f>IFERROR(INDEX(EQA.CAP_Dados!I$2:I$5000,MATCH(ROW()-4,EQA.CAP_Dados!$S$2:$S$5000,0)),"")</f>
        <v/>
      </c>
      <c r="J39" s="85" t="str">
        <f>IFERROR(INDEX(EQA.CAP_Dados!J$2:J$5000,MATCH(ROW()-4,EQA.CAP_Dados!$S$2:$S$5000,0)),"")</f>
        <v/>
      </c>
      <c r="K39" s="85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81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85" t="str">
        <f>IFERROR(INDEX(EQA.CAP_Dados!O$2:O$5000,MATCH(ROW()-4,EQA.CAP_Dados!$S$2:$S$5000,0)),"")</f>
        <v/>
      </c>
      <c r="P39" s="85" t="str">
        <f>IFERROR(INDEX(EQA.CAP_Dados!P$2:P$5000,MATCH(ROW()-4,EQA.CAP_Dados!$S$2:$S$5000,0)),"")</f>
        <v/>
      </c>
      <c r="Q39" s="81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81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85" t="str">
        <f>IFERROR(INDEX(EQA.CAP_Dados!F$2:F$5000,MATCH(ROW()-4,EQA.CAP_Dados!$S$2:$S$5000,0)),"")</f>
        <v/>
      </c>
      <c r="G40" s="86" t="str">
        <f>IFERROR(INDEX(EQA.CAP_Dados!G$2:G$5000,MATCH(ROW()-4,EQA.CAP_Dados!$S$2:$S$5000,0)),"")</f>
        <v/>
      </c>
      <c r="H40" s="86" t="str">
        <f>IFERROR(INDEX(EQA.CAP_Dados!H$2:H$5000,MATCH(ROW()-4,EQA.CAP_Dados!$S$2:$S$5000,0)),"")</f>
        <v/>
      </c>
      <c r="I40" s="87" t="str">
        <f>IFERROR(INDEX(EQA.CAP_Dados!I$2:I$5000,MATCH(ROW()-4,EQA.CAP_Dados!$S$2:$S$5000,0)),"")</f>
        <v/>
      </c>
      <c r="J40" s="85" t="str">
        <f>IFERROR(INDEX(EQA.CAP_Dados!J$2:J$5000,MATCH(ROW()-4,EQA.CAP_Dados!$S$2:$S$5000,0)),"")</f>
        <v/>
      </c>
      <c r="K40" s="85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81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85" t="str">
        <f>IFERROR(INDEX(EQA.CAP_Dados!O$2:O$5000,MATCH(ROW()-4,EQA.CAP_Dados!$S$2:$S$5000,0)),"")</f>
        <v/>
      </c>
      <c r="P40" s="85" t="str">
        <f>IFERROR(INDEX(EQA.CAP_Dados!P$2:P$5000,MATCH(ROW()-4,EQA.CAP_Dados!$S$2:$S$5000,0)),"")</f>
        <v/>
      </c>
      <c r="Q40" s="81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81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85" t="str">
        <f>IFERROR(INDEX(EQA.CAP_Dados!F$2:F$5000,MATCH(ROW()-4,EQA.CAP_Dados!$S$2:$S$5000,0)),"")</f>
        <v/>
      </c>
      <c r="G41" s="86" t="str">
        <f>IFERROR(INDEX(EQA.CAP_Dados!G$2:G$5000,MATCH(ROW()-4,EQA.CAP_Dados!$S$2:$S$5000,0)),"")</f>
        <v/>
      </c>
      <c r="H41" s="86" t="str">
        <f>IFERROR(INDEX(EQA.CAP_Dados!H$2:H$5000,MATCH(ROW()-4,EQA.CAP_Dados!$S$2:$S$5000,0)),"")</f>
        <v/>
      </c>
      <c r="I41" s="87" t="str">
        <f>IFERROR(INDEX(EQA.CAP_Dados!I$2:I$5000,MATCH(ROW()-4,EQA.CAP_Dados!$S$2:$S$5000,0)),"")</f>
        <v/>
      </c>
      <c r="J41" s="85" t="str">
        <f>IFERROR(INDEX(EQA.CAP_Dados!J$2:J$5000,MATCH(ROW()-4,EQA.CAP_Dados!$S$2:$S$5000,0)),"")</f>
        <v/>
      </c>
      <c r="K41" s="85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81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85" t="str">
        <f>IFERROR(INDEX(EQA.CAP_Dados!O$2:O$5000,MATCH(ROW()-4,EQA.CAP_Dados!$S$2:$S$5000,0)),"")</f>
        <v/>
      </c>
      <c r="P41" s="85" t="str">
        <f>IFERROR(INDEX(EQA.CAP_Dados!P$2:P$5000,MATCH(ROW()-4,EQA.CAP_Dados!$S$2:$S$5000,0)),"")</f>
        <v/>
      </c>
      <c r="Q41" s="81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81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85" t="str">
        <f>IFERROR(INDEX(EQA.CAP_Dados!F$2:F$5000,MATCH(ROW()-4,EQA.CAP_Dados!$S$2:$S$5000,0)),"")</f>
        <v/>
      </c>
      <c r="G42" s="86" t="str">
        <f>IFERROR(INDEX(EQA.CAP_Dados!G$2:G$5000,MATCH(ROW()-4,EQA.CAP_Dados!$S$2:$S$5000,0)),"")</f>
        <v/>
      </c>
      <c r="H42" s="86" t="str">
        <f>IFERROR(INDEX(EQA.CAP_Dados!H$2:H$5000,MATCH(ROW()-4,EQA.CAP_Dados!$S$2:$S$5000,0)),"")</f>
        <v/>
      </c>
      <c r="I42" s="87" t="str">
        <f>IFERROR(INDEX(EQA.CAP_Dados!I$2:I$5000,MATCH(ROW()-4,EQA.CAP_Dados!$S$2:$S$5000,0)),"")</f>
        <v/>
      </c>
      <c r="J42" s="85" t="str">
        <f>IFERROR(INDEX(EQA.CAP_Dados!J$2:J$5000,MATCH(ROW()-4,EQA.CAP_Dados!$S$2:$S$5000,0)),"")</f>
        <v/>
      </c>
      <c r="K42" s="85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81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85" t="str">
        <f>IFERROR(INDEX(EQA.CAP_Dados!O$2:O$5000,MATCH(ROW()-4,EQA.CAP_Dados!$S$2:$S$5000,0)),"")</f>
        <v/>
      </c>
      <c r="P42" s="85" t="str">
        <f>IFERROR(INDEX(EQA.CAP_Dados!P$2:P$5000,MATCH(ROW()-4,EQA.CAP_Dados!$S$2:$S$5000,0)),"")</f>
        <v/>
      </c>
      <c r="Q42" s="81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81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85" t="str">
        <f>IFERROR(INDEX(EQA.CAP_Dados!F$2:F$5000,MATCH(ROW()-4,EQA.CAP_Dados!$S$2:$S$5000,0)),"")</f>
        <v/>
      </c>
      <c r="G43" s="86" t="str">
        <f>IFERROR(INDEX(EQA.CAP_Dados!G$2:G$5000,MATCH(ROW()-4,EQA.CAP_Dados!$S$2:$S$5000,0)),"")</f>
        <v/>
      </c>
      <c r="H43" s="86" t="str">
        <f>IFERROR(INDEX(EQA.CAP_Dados!H$2:H$5000,MATCH(ROW()-4,EQA.CAP_Dados!$S$2:$S$5000,0)),"")</f>
        <v/>
      </c>
      <c r="I43" s="87" t="str">
        <f>IFERROR(INDEX(EQA.CAP_Dados!I$2:I$5000,MATCH(ROW()-4,EQA.CAP_Dados!$S$2:$S$5000,0)),"")</f>
        <v/>
      </c>
      <c r="J43" s="85" t="str">
        <f>IFERROR(INDEX(EQA.CAP_Dados!J$2:J$5000,MATCH(ROW()-4,EQA.CAP_Dados!$S$2:$S$5000,0)),"")</f>
        <v/>
      </c>
      <c r="K43" s="85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81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85" t="str">
        <f>IFERROR(INDEX(EQA.CAP_Dados!O$2:O$5000,MATCH(ROW()-4,EQA.CAP_Dados!$S$2:$S$5000,0)),"")</f>
        <v/>
      </c>
      <c r="P43" s="85" t="str">
        <f>IFERROR(INDEX(EQA.CAP_Dados!P$2:P$5000,MATCH(ROW()-4,EQA.CAP_Dados!$S$2:$S$5000,0)),"")</f>
        <v/>
      </c>
      <c r="Q43" s="81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81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85" t="str">
        <f>IFERROR(INDEX(EQA.CAP_Dados!F$2:F$5000,MATCH(ROW()-4,EQA.CAP_Dados!$S$2:$S$5000,0)),"")</f>
        <v/>
      </c>
      <c r="G44" s="86" t="str">
        <f>IFERROR(INDEX(EQA.CAP_Dados!G$2:G$5000,MATCH(ROW()-4,EQA.CAP_Dados!$S$2:$S$5000,0)),"")</f>
        <v/>
      </c>
      <c r="H44" s="86" t="str">
        <f>IFERROR(INDEX(EQA.CAP_Dados!H$2:H$5000,MATCH(ROW()-4,EQA.CAP_Dados!$S$2:$S$5000,0)),"")</f>
        <v/>
      </c>
      <c r="I44" s="87" t="str">
        <f>IFERROR(INDEX(EQA.CAP_Dados!I$2:I$5000,MATCH(ROW()-4,EQA.CAP_Dados!$S$2:$S$5000,0)),"")</f>
        <v/>
      </c>
      <c r="J44" s="85" t="str">
        <f>IFERROR(INDEX(EQA.CAP_Dados!J$2:J$5000,MATCH(ROW()-4,EQA.CAP_Dados!$S$2:$S$5000,0)),"")</f>
        <v/>
      </c>
      <c r="K44" s="85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81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85" t="str">
        <f>IFERROR(INDEX(EQA.CAP_Dados!O$2:O$5000,MATCH(ROW()-4,EQA.CAP_Dados!$S$2:$S$5000,0)),"")</f>
        <v/>
      </c>
      <c r="P44" s="85" t="str">
        <f>IFERROR(INDEX(EQA.CAP_Dados!P$2:P$5000,MATCH(ROW()-4,EQA.CAP_Dados!$S$2:$S$5000,0)),"")</f>
        <v/>
      </c>
      <c r="Q44" s="81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81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85" t="str">
        <f>IFERROR(INDEX(EQA.CAP_Dados!F$2:F$5000,MATCH(ROW()-4,EQA.CAP_Dados!$S$2:$S$5000,0)),"")</f>
        <v/>
      </c>
      <c r="G45" s="86" t="str">
        <f>IFERROR(INDEX(EQA.CAP_Dados!G$2:G$5000,MATCH(ROW()-4,EQA.CAP_Dados!$S$2:$S$5000,0)),"")</f>
        <v/>
      </c>
      <c r="H45" s="86" t="str">
        <f>IFERROR(INDEX(EQA.CAP_Dados!H$2:H$5000,MATCH(ROW()-4,EQA.CAP_Dados!$S$2:$S$5000,0)),"")</f>
        <v/>
      </c>
      <c r="I45" s="87" t="str">
        <f>IFERROR(INDEX(EQA.CAP_Dados!I$2:I$5000,MATCH(ROW()-4,EQA.CAP_Dados!$S$2:$S$5000,0)),"")</f>
        <v/>
      </c>
      <c r="J45" s="85" t="str">
        <f>IFERROR(INDEX(EQA.CAP_Dados!J$2:J$5000,MATCH(ROW()-4,EQA.CAP_Dados!$S$2:$S$5000,0)),"")</f>
        <v/>
      </c>
      <c r="K45" s="85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81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85" t="str">
        <f>IFERROR(INDEX(EQA.CAP_Dados!O$2:O$5000,MATCH(ROW()-4,EQA.CAP_Dados!$S$2:$S$5000,0)),"")</f>
        <v/>
      </c>
      <c r="P45" s="85" t="str">
        <f>IFERROR(INDEX(EQA.CAP_Dados!P$2:P$5000,MATCH(ROW()-4,EQA.CAP_Dados!$S$2:$S$5000,0)),"")</f>
        <v/>
      </c>
      <c r="Q45" s="81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81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85" t="str">
        <f>IFERROR(INDEX(EQA.CAP_Dados!F$2:F$5000,MATCH(ROW()-4,EQA.CAP_Dados!$S$2:$S$5000,0)),"")</f>
        <v/>
      </c>
      <c r="G46" s="86" t="str">
        <f>IFERROR(INDEX(EQA.CAP_Dados!G$2:G$5000,MATCH(ROW()-4,EQA.CAP_Dados!$S$2:$S$5000,0)),"")</f>
        <v/>
      </c>
      <c r="H46" s="86" t="str">
        <f>IFERROR(INDEX(EQA.CAP_Dados!H$2:H$5000,MATCH(ROW()-4,EQA.CAP_Dados!$S$2:$S$5000,0)),"")</f>
        <v/>
      </c>
      <c r="I46" s="87" t="str">
        <f>IFERROR(INDEX(EQA.CAP_Dados!I$2:I$5000,MATCH(ROW()-4,EQA.CAP_Dados!$S$2:$S$5000,0)),"")</f>
        <v/>
      </c>
      <c r="J46" s="85" t="str">
        <f>IFERROR(INDEX(EQA.CAP_Dados!J$2:J$5000,MATCH(ROW()-4,EQA.CAP_Dados!$S$2:$S$5000,0)),"")</f>
        <v/>
      </c>
      <c r="K46" s="85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81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85" t="str">
        <f>IFERROR(INDEX(EQA.CAP_Dados!O$2:O$5000,MATCH(ROW()-4,EQA.CAP_Dados!$S$2:$S$5000,0)),"")</f>
        <v/>
      </c>
      <c r="P46" s="85" t="str">
        <f>IFERROR(INDEX(EQA.CAP_Dados!P$2:P$5000,MATCH(ROW()-4,EQA.CAP_Dados!$S$2:$S$5000,0)),"")</f>
        <v/>
      </c>
      <c r="Q46" s="81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81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85" t="str">
        <f>IFERROR(INDEX(EQA.CAP_Dados!F$2:F$5000,MATCH(ROW()-4,EQA.CAP_Dados!$S$2:$S$5000,0)),"")</f>
        <v/>
      </c>
      <c r="G47" s="86" t="str">
        <f>IFERROR(INDEX(EQA.CAP_Dados!G$2:G$5000,MATCH(ROW()-4,EQA.CAP_Dados!$S$2:$S$5000,0)),"")</f>
        <v/>
      </c>
      <c r="H47" s="86" t="str">
        <f>IFERROR(INDEX(EQA.CAP_Dados!H$2:H$5000,MATCH(ROW()-4,EQA.CAP_Dados!$S$2:$S$5000,0)),"")</f>
        <v/>
      </c>
      <c r="I47" s="87" t="str">
        <f>IFERROR(INDEX(EQA.CAP_Dados!I$2:I$5000,MATCH(ROW()-4,EQA.CAP_Dados!$S$2:$S$5000,0)),"")</f>
        <v/>
      </c>
      <c r="J47" s="85" t="str">
        <f>IFERROR(INDEX(EQA.CAP_Dados!J$2:J$5000,MATCH(ROW()-4,EQA.CAP_Dados!$S$2:$S$5000,0)),"")</f>
        <v/>
      </c>
      <c r="K47" s="85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81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85" t="str">
        <f>IFERROR(INDEX(EQA.CAP_Dados!O$2:O$5000,MATCH(ROW()-4,EQA.CAP_Dados!$S$2:$S$5000,0)),"")</f>
        <v/>
      </c>
      <c r="P47" s="85" t="str">
        <f>IFERROR(INDEX(EQA.CAP_Dados!P$2:P$5000,MATCH(ROW()-4,EQA.CAP_Dados!$S$2:$S$5000,0)),"")</f>
        <v/>
      </c>
      <c r="Q47" s="81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81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85" t="str">
        <f>IFERROR(INDEX(EQA.CAP_Dados!F$2:F$5000,MATCH(ROW()-4,EQA.CAP_Dados!$S$2:$S$5000,0)),"")</f>
        <v/>
      </c>
      <c r="G48" s="86" t="str">
        <f>IFERROR(INDEX(EQA.CAP_Dados!G$2:G$5000,MATCH(ROW()-4,EQA.CAP_Dados!$S$2:$S$5000,0)),"")</f>
        <v/>
      </c>
      <c r="H48" s="86" t="str">
        <f>IFERROR(INDEX(EQA.CAP_Dados!H$2:H$5000,MATCH(ROW()-4,EQA.CAP_Dados!$S$2:$S$5000,0)),"")</f>
        <v/>
      </c>
      <c r="I48" s="87" t="str">
        <f>IFERROR(INDEX(EQA.CAP_Dados!I$2:I$5000,MATCH(ROW()-4,EQA.CAP_Dados!$S$2:$S$5000,0)),"")</f>
        <v/>
      </c>
      <c r="J48" s="85" t="str">
        <f>IFERROR(INDEX(EQA.CAP_Dados!J$2:J$5000,MATCH(ROW()-4,EQA.CAP_Dados!$S$2:$S$5000,0)),"")</f>
        <v/>
      </c>
      <c r="K48" s="85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81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85" t="str">
        <f>IFERROR(INDEX(EQA.CAP_Dados!O$2:O$5000,MATCH(ROW()-4,EQA.CAP_Dados!$S$2:$S$5000,0)),"")</f>
        <v/>
      </c>
      <c r="P48" s="85" t="str">
        <f>IFERROR(INDEX(EQA.CAP_Dados!P$2:P$5000,MATCH(ROW()-4,EQA.CAP_Dados!$S$2:$S$5000,0)),"")</f>
        <v/>
      </c>
      <c r="Q48" s="81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81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85" t="str">
        <f>IFERROR(INDEX(EQA.CAP_Dados!F$2:F$5000,MATCH(ROW()-4,EQA.CAP_Dados!$S$2:$S$5000,0)),"")</f>
        <v/>
      </c>
      <c r="G49" s="86" t="str">
        <f>IFERROR(INDEX(EQA.CAP_Dados!G$2:G$5000,MATCH(ROW()-4,EQA.CAP_Dados!$S$2:$S$5000,0)),"")</f>
        <v/>
      </c>
      <c r="H49" s="86" t="str">
        <f>IFERROR(INDEX(EQA.CAP_Dados!H$2:H$5000,MATCH(ROW()-4,EQA.CAP_Dados!$S$2:$S$5000,0)),"")</f>
        <v/>
      </c>
      <c r="I49" s="87" t="str">
        <f>IFERROR(INDEX(EQA.CAP_Dados!I$2:I$5000,MATCH(ROW()-4,EQA.CAP_Dados!$S$2:$S$5000,0)),"")</f>
        <v/>
      </c>
      <c r="J49" s="85" t="str">
        <f>IFERROR(INDEX(EQA.CAP_Dados!J$2:J$5000,MATCH(ROW()-4,EQA.CAP_Dados!$S$2:$S$5000,0)),"")</f>
        <v/>
      </c>
      <c r="K49" s="85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81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85" t="str">
        <f>IFERROR(INDEX(EQA.CAP_Dados!O$2:O$5000,MATCH(ROW()-4,EQA.CAP_Dados!$S$2:$S$5000,0)),"")</f>
        <v/>
      </c>
      <c r="P49" s="85" t="str">
        <f>IFERROR(INDEX(EQA.CAP_Dados!P$2:P$5000,MATCH(ROW()-4,EQA.CAP_Dados!$S$2:$S$5000,0)),"")</f>
        <v/>
      </c>
      <c r="Q49" s="81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81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85" t="str">
        <f>IFERROR(INDEX(EQA.CAP_Dados!F$2:F$5000,MATCH(ROW()-4,EQA.CAP_Dados!$S$2:$S$5000,0)),"")</f>
        <v/>
      </c>
      <c r="G50" s="86" t="str">
        <f>IFERROR(INDEX(EQA.CAP_Dados!G$2:G$5000,MATCH(ROW()-4,EQA.CAP_Dados!$S$2:$S$5000,0)),"")</f>
        <v/>
      </c>
      <c r="H50" s="86" t="str">
        <f>IFERROR(INDEX(EQA.CAP_Dados!H$2:H$5000,MATCH(ROW()-4,EQA.CAP_Dados!$S$2:$S$5000,0)),"")</f>
        <v/>
      </c>
      <c r="I50" s="87" t="str">
        <f>IFERROR(INDEX(EQA.CAP_Dados!I$2:I$5000,MATCH(ROW()-4,EQA.CAP_Dados!$S$2:$S$5000,0)),"")</f>
        <v/>
      </c>
      <c r="J50" s="85" t="str">
        <f>IFERROR(INDEX(EQA.CAP_Dados!J$2:J$5000,MATCH(ROW()-4,EQA.CAP_Dados!$S$2:$S$5000,0)),"")</f>
        <v/>
      </c>
      <c r="K50" s="85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81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85" t="str">
        <f>IFERROR(INDEX(EQA.CAP_Dados!O$2:O$5000,MATCH(ROW()-4,EQA.CAP_Dados!$S$2:$S$5000,0)),"")</f>
        <v/>
      </c>
      <c r="P50" s="85" t="str">
        <f>IFERROR(INDEX(EQA.CAP_Dados!P$2:P$5000,MATCH(ROW()-4,EQA.CAP_Dados!$S$2:$S$5000,0)),"")</f>
        <v/>
      </c>
      <c r="Q50" s="81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81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85" t="str">
        <f>IFERROR(INDEX(EQA.CAP_Dados!F$2:F$5000,MATCH(ROW()-4,EQA.CAP_Dados!$S$2:$S$5000,0)),"")</f>
        <v/>
      </c>
      <c r="G51" s="86" t="str">
        <f>IFERROR(INDEX(EQA.CAP_Dados!G$2:G$5000,MATCH(ROW()-4,EQA.CAP_Dados!$S$2:$S$5000,0)),"")</f>
        <v/>
      </c>
      <c r="H51" s="86" t="str">
        <f>IFERROR(INDEX(EQA.CAP_Dados!H$2:H$5000,MATCH(ROW()-4,EQA.CAP_Dados!$S$2:$S$5000,0)),"")</f>
        <v/>
      </c>
      <c r="I51" s="87" t="str">
        <f>IFERROR(INDEX(EQA.CAP_Dados!I$2:I$5000,MATCH(ROW()-4,EQA.CAP_Dados!$S$2:$S$5000,0)),"")</f>
        <v/>
      </c>
      <c r="J51" s="85" t="str">
        <f>IFERROR(INDEX(EQA.CAP_Dados!J$2:J$5000,MATCH(ROW()-4,EQA.CAP_Dados!$S$2:$S$5000,0)),"")</f>
        <v/>
      </c>
      <c r="K51" s="85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81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85" t="str">
        <f>IFERROR(INDEX(EQA.CAP_Dados!O$2:O$5000,MATCH(ROW()-4,EQA.CAP_Dados!$S$2:$S$5000,0)),"")</f>
        <v/>
      </c>
      <c r="P51" s="85" t="str">
        <f>IFERROR(INDEX(EQA.CAP_Dados!P$2:P$5000,MATCH(ROW()-4,EQA.CAP_Dados!$S$2:$S$5000,0)),"")</f>
        <v/>
      </c>
      <c r="Q51" s="81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81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85" t="str">
        <f>IFERROR(INDEX(EQA.CAP_Dados!F$2:F$5000,MATCH(ROW()-4,EQA.CAP_Dados!$S$2:$S$5000,0)),"")</f>
        <v/>
      </c>
      <c r="G52" s="86" t="str">
        <f>IFERROR(INDEX(EQA.CAP_Dados!G$2:G$5000,MATCH(ROW()-4,EQA.CAP_Dados!$S$2:$S$5000,0)),"")</f>
        <v/>
      </c>
      <c r="H52" s="86" t="str">
        <f>IFERROR(INDEX(EQA.CAP_Dados!H$2:H$5000,MATCH(ROW()-4,EQA.CAP_Dados!$S$2:$S$5000,0)),"")</f>
        <v/>
      </c>
      <c r="I52" s="87" t="str">
        <f>IFERROR(INDEX(EQA.CAP_Dados!I$2:I$5000,MATCH(ROW()-4,EQA.CAP_Dados!$S$2:$S$5000,0)),"")</f>
        <v/>
      </c>
      <c r="J52" s="85" t="str">
        <f>IFERROR(INDEX(EQA.CAP_Dados!J$2:J$5000,MATCH(ROW()-4,EQA.CAP_Dados!$S$2:$S$5000,0)),"")</f>
        <v/>
      </c>
      <c r="K52" s="85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81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85" t="str">
        <f>IFERROR(INDEX(EQA.CAP_Dados!O$2:O$5000,MATCH(ROW()-4,EQA.CAP_Dados!$S$2:$S$5000,0)),"")</f>
        <v/>
      </c>
      <c r="P52" s="85" t="str">
        <f>IFERROR(INDEX(EQA.CAP_Dados!P$2:P$5000,MATCH(ROW()-4,EQA.CAP_Dados!$S$2:$S$5000,0)),"")</f>
        <v/>
      </c>
      <c r="Q52" s="81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81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85" t="str">
        <f>IFERROR(INDEX(EQA.CAP_Dados!F$2:F$5000,MATCH(ROW()-4,EQA.CAP_Dados!$S$2:$S$5000,0)),"")</f>
        <v/>
      </c>
      <c r="G53" s="86" t="str">
        <f>IFERROR(INDEX(EQA.CAP_Dados!G$2:G$5000,MATCH(ROW()-4,EQA.CAP_Dados!$S$2:$S$5000,0)),"")</f>
        <v/>
      </c>
      <c r="H53" s="86" t="str">
        <f>IFERROR(INDEX(EQA.CAP_Dados!H$2:H$5000,MATCH(ROW()-4,EQA.CAP_Dados!$S$2:$S$5000,0)),"")</f>
        <v/>
      </c>
      <c r="I53" s="87" t="str">
        <f>IFERROR(INDEX(EQA.CAP_Dados!I$2:I$5000,MATCH(ROW()-4,EQA.CAP_Dados!$S$2:$S$5000,0)),"")</f>
        <v/>
      </c>
      <c r="J53" s="85" t="str">
        <f>IFERROR(INDEX(EQA.CAP_Dados!J$2:J$5000,MATCH(ROW()-4,EQA.CAP_Dados!$S$2:$S$5000,0)),"")</f>
        <v/>
      </c>
      <c r="K53" s="85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81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85" t="str">
        <f>IFERROR(INDEX(EQA.CAP_Dados!O$2:O$5000,MATCH(ROW()-4,EQA.CAP_Dados!$S$2:$S$5000,0)),"")</f>
        <v/>
      </c>
      <c r="P53" s="85" t="str">
        <f>IFERROR(INDEX(EQA.CAP_Dados!P$2:P$5000,MATCH(ROW()-4,EQA.CAP_Dados!$S$2:$S$5000,0)),"")</f>
        <v/>
      </c>
      <c r="Q53" s="81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81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85" t="str">
        <f>IFERROR(INDEX(EQA.CAP_Dados!F$2:F$5000,MATCH(ROW()-4,EQA.CAP_Dados!$S$2:$S$5000,0)),"")</f>
        <v/>
      </c>
      <c r="G54" s="86" t="str">
        <f>IFERROR(INDEX(EQA.CAP_Dados!G$2:G$5000,MATCH(ROW()-4,EQA.CAP_Dados!$S$2:$S$5000,0)),"")</f>
        <v/>
      </c>
      <c r="H54" s="86" t="str">
        <f>IFERROR(INDEX(EQA.CAP_Dados!H$2:H$5000,MATCH(ROW()-4,EQA.CAP_Dados!$S$2:$S$5000,0)),"")</f>
        <v/>
      </c>
      <c r="I54" s="87" t="str">
        <f>IFERROR(INDEX(EQA.CAP_Dados!I$2:I$5000,MATCH(ROW()-4,EQA.CAP_Dados!$S$2:$S$5000,0)),"")</f>
        <v/>
      </c>
      <c r="J54" s="85" t="str">
        <f>IFERROR(INDEX(EQA.CAP_Dados!J$2:J$5000,MATCH(ROW()-4,EQA.CAP_Dados!$S$2:$S$5000,0)),"")</f>
        <v/>
      </c>
      <c r="K54" s="85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81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85" t="str">
        <f>IFERROR(INDEX(EQA.CAP_Dados!O$2:O$5000,MATCH(ROW()-4,EQA.CAP_Dados!$S$2:$S$5000,0)),"")</f>
        <v/>
      </c>
      <c r="P54" s="85" t="str">
        <f>IFERROR(INDEX(EQA.CAP_Dados!P$2:P$5000,MATCH(ROW()-4,EQA.CAP_Dados!$S$2:$S$5000,0)),"")</f>
        <v/>
      </c>
      <c r="Q54" s="81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81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85" t="str">
        <f>IFERROR(INDEX(EQA.CAP_Dados!F$2:F$5000,MATCH(ROW()-4,EQA.CAP_Dados!$S$2:$S$5000,0)),"")</f>
        <v/>
      </c>
      <c r="G55" s="86" t="str">
        <f>IFERROR(INDEX(EQA.CAP_Dados!G$2:G$5000,MATCH(ROW()-4,EQA.CAP_Dados!$S$2:$S$5000,0)),"")</f>
        <v/>
      </c>
      <c r="H55" s="86" t="str">
        <f>IFERROR(INDEX(EQA.CAP_Dados!H$2:H$5000,MATCH(ROW()-4,EQA.CAP_Dados!$S$2:$S$5000,0)),"")</f>
        <v/>
      </c>
      <c r="I55" s="87" t="str">
        <f>IFERROR(INDEX(EQA.CAP_Dados!I$2:I$5000,MATCH(ROW()-4,EQA.CAP_Dados!$S$2:$S$5000,0)),"")</f>
        <v/>
      </c>
      <c r="J55" s="85" t="str">
        <f>IFERROR(INDEX(EQA.CAP_Dados!J$2:J$5000,MATCH(ROW()-4,EQA.CAP_Dados!$S$2:$S$5000,0)),"")</f>
        <v/>
      </c>
      <c r="K55" s="85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81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85" t="str">
        <f>IFERROR(INDEX(EQA.CAP_Dados!O$2:O$5000,MATCH(ROW()-4,EQA.CAP_Dados!$S$2:$S$5000,0)),"")</f>
        <v/>
      </c>
      <c r="P55" s="85" t="str">
        <f>IFERROR(INDEX(EQA.CAP_Dados!P$2:P$5000,MATCH(ROW()-4,EQA.CAP_Dados!$S$2:$S$5000,0)),"")</f>
        <v/>
      </c>
      <c r="Q55" s="81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81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85" t="str">
        <f>IFERROR(INDEX(EQA.CAP_Dados!F$2:F$5000,MATCH(ROW()-4,EQA.CAP_Dados!$S$2:$S$5000,0)),"")</f>
        <v/>
      </c>
      <c r="G56" s="86" t="str">
        <f>IFERROR(INDEX(EQA.CAP_Dados!G$2:G$5000,MATCH(ROW()-4,EQA.CAP_Dados!$S$2:$S$5000,0)),"")</f>
        <v/>
      </c>
      <c r="H56" s="86" t="str">
        <f>IFERROR(INDEX(EQA.CAP_Dados!H$2:H$5000,MATCH(ROW()-4,EQA.CAP_Dados!$S$2:$S$5000,0)),"")</f>
        <v/>
      </c>
      <c r="I56" s="87" t="str">
        <f>IFERROR(INDEX(EQA.CAP_Dados!I$2:I$5000,MATCH(ROW()-4,EQA.CAP_Dados!$S$2:$S$5000,0)),"")</f>
        <v/>
      </c>
      <c r="J56" s="85" t="str">
        <f>IFERROR(INDEX(EQA.CAP_Dados!J$2:J$5000,MATCH(ROW()-4,EQA.CAP_Dados!$S$2:$S$5000,0)),"")</f>
        <v/>
      </c>
      <c r="K56" s="85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81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85" t="str">
        <f>IFERROR(INDEX(EQA.CAP_Dados!O$2:O$5000,MATCH(ROW()-4,EQA.CAP_Dados!$S$2:$S$5000,0)),"")</f>
        <v/>
      </c>
      <c r="P56" s="85" t="str">
        <f>IFERROR(INDEX(EQA.CAP_Dados!P$2:P$5000,MATCH(ROW()-4,EQA.CAP_Dados!$S$2:$S$5000,0)),"")</f>
        <v/>
      </c>
      <c r="Q56" s="81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81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85" t="str">
        <f>IFERROR(INDEX(EQA.CAP_Dados!F$2:F$5000,MATCH(ROW()-4,EQA.CAP_Dados!$S$2:$S$5000,0)),"")</f>
        <v/>
      </c>
      <c r="G57" s="86" t="str">
        <f>IFERROR(INDEX(EQA.CAP_Dados!G$2:G$5000,MATCH(ROW()-4,EQA.CAP_Dados!$S$2:$S$5000,0)),"")</f>
        <v/>
      </c>
      <c r="H57" s="86" t="str">
        <f>IFERROR(INDEX(EQA.CAP_Dados!H$2:H$5000,MATCH(ROW()-4,EQA.CAP_Dados!$S$2:$S$5000,0)),"")</f>
        <v/>
      </c>
      <c r="I57" s="87" t="str">
        <f>IFERROR(INDEX(EQA.CAP_Dados!I$2:I$5000,MATCH(ROW()-4,EQA.CAP_Dados!$S$2:$S$5000,0)),"")</f>
        <v/>
      </c>
      <c r="J57" s="85" t="str">
        <f>IFERROR(INDEX(EQA.CAP_Dados!J$2:J$5000,MATCH(ROW()-4,EQA.CAP_Dados!$S$2:$S$5000,0)),"")</f>
        <v/>
      </c>
      <c r="K57" s="85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81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85" t="str">
        <f>IFERROR(INDEX(EQA.CAP_Dados!O$2:O$5000,MATCH(ROW()-4,EQA.CAP_Dados!$S$2:$S$5000,0)),"")</f>
        <v/>
      </c>
      <c r="P57" s="85" t="str">
        <f>IFERROR(INDEX(EQA.CAP_Dados!P$2:P$5000,MATCH(ROW()-4,EQA.CAP_Dados!$S$2:$S$5000,0)),"")</f>
        <v/>
      </c>
      <c r="Q57" s="81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81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85" t="str">
        <f>IFERROR(INDEX(EQA.CAP_Dados!F$2:F$5000,MATCH(ROW()-4,EQA.CAP_Dados!$S$2:$S$5000,0)),"")</f>
        <v/>
      </c>
      <c r="G58" s="86" t="str">
        <f>IFERROR(INDEX(EQA.CAP_Dados!G$2:G$5000,MATCH(ROW()-4,EQA.CAP_Dados!$S$2:$S$5000,0)),"")</f>
        <v/>
      </c>
      <c r="H58" s="86" t="str">
        <f>IFERROR(INDEX(EQA.CAP_Dados!H$2:H$5000,MATCH(ROW()-4,EQA.CAP_Dados!$S$2:$S$5000,0)),"")</f>
        <v/>
      </c>
      <c r="I58" s="87" t="str">
        <f>IFERROR(INDEX(EQA.CAP_Dados!I$2:I$5000,MATCH(ROW()-4,EQA.CAP_Dados!$S$2:$S$5000,0)),"")</f>
        <v/>
      </c>
      <c r="J58" s="85" t="str">
        <f>IFERROR(INDEX(EQA.CAP_Dados!J$2:J$5000,MATCH(ROW()-4,EQA.CAP_Dados!$S$2:$S$5000,0)),"")</f>
        <v/>
      </c>
      <c r="K58" s="85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81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85" t="str">
        <f>IFERROR(INDEX(EQA.CAP_Dados!O$2:O$5000,MATCH(ROW()-4,EQA.CAP_Dados!$S$2:$S$5000,0)),"")</f>
        <v/>
      </c>
      <c r="P58" s="85" t="str">
        <f>IFERROR(INDEX(EQA.CAP_Dados!P$2:P$5000,MATCH(ROW()-4,EQA.CAP_Dados!$S$2:$S$5000,0)),"")</f>
        <v/>
      </c>
      <c r="Q58" s="81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81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85" t="str">
        <f>IFERROR(INDEX(EQA.CAP_Dados!F$2:F$5000,MATCH(ROW()-4,EQA.CAP_Dados!$S$2:$S$5000,0)),"")</f>
        <v/>
      </c>
      <c r="G59" s="86" t="str">
        <f>IFERROR(INDEX(EQA.CAP_Dados!G$2:G$5000,MATCH(ROW()-4,EQA.CAP_Dados!$S$2:$S$5000,0)),"")</f>
        <v/>
      </c>
      <c r="H59" s="86" t="str">
        <f>IFERROR(INDEX(EQA.CAP_Dados!H$2:H$5000,MATCH(ROW()-4,EQA.CAP_Dados!$S$2:$S$5000,0)),"")</f>
        <v/>
      </c>
      <c r="I59" s="87" t="str">
        <f>IFERROR(INDEX(EQA.CAP_Dados!I$2:I$5000,MATCH(ROW()-4,EQA.CAP_Dados!$S$2:$S$5000,0)),"")</f>
        <v/>
      </c>
      <c r="J59" s="85" t="str">
        <f>IFERROR(INDEX(EQA.CAP_Dados!J$2:J$5000,MATCH(ROW()-4,EQA.CAP_Dados!$S$2:$S$5000,0)),"")</f>
        <v/>
      </c>
      <c r="K59" s="85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81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85" t="str">
        <f>IFERROR(INDEX(EQA.CAP_Dados!O$2:O$5000,MATCH(ROW()-4,EQA.CAP_Dados!$S$2:$S$5000,0)),"")</f>
        <v/>
      </c>
      <c r="P59" s="85" t="str">
        <f>IFERROR(INDEX(EQA.CAP_Dados!P$2:P$5000,MATCH(ROW()-4,EQA.CAP_Dados!$S$2:$S$5000,0)),"")</f>
        <v/>
      </c>
      <c r="Q59" s="81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81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85" t="str">
        <f>IFERROR(INDEX(EQA.CAP_Dados!F$2:F$5000,MATCH(ROW()-4,EQA.CAP_Dados!$S$2:$S$5000,0)),"")</f>
        <v/>
      </c>
      <c r="G60" s="86" t="str">
        <f>IFERROR(INDEX(EQA.CAP_Dados!G$2:G$5000,MATCH(ROW()-4,EQA.CAP_Dados!$S$2:$S$5000,0)),"")</f>
        <v/>
      </c>
      <c r="H60" s="86" t="str">
        <f>IFERROR(INDEX(EQA.CAP_Dados!H$2:H$5000,MATCH(ROW()-4,EQA.CAP_Dados!$S$2:$S$5000,0)),"")</f>
        <v/>
      </c>
      <c r="I60" s="87" t="str">
        <f>IFERROR(INDEX(EQA.CAP_Dados!I$2:I$5000,MATCH(ROW()-4,EQA.CAP_Dados!$S$2:$S$5000,0)),"")</f>
        <v/>
      </c>
      <c r="J60" s="85" t="str">
        <f>IFERROR(INDEX(EQA.CAP_Dados!J$2:J$5000,MATCH(ROW()-4,EQA.CAP_Dados!$S$2:$S$5000,0)),"")</f>
        <v/>
      </c>
      <c r="K60" s="85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81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85" t="str">
        <f>IFERROR(INDEX(EQA.CAP_Dados!O$2:O$5000,MATCH(ROW()-4,EQA.CAP_Dados!$S$2:$S$5000,0)),"")</f>
        <v/>
      </c>
      <c r="P60" s="85" t="str">
        <f>IFERROR(INDEX(EQA.CAP_Dados!P$2:P$5000,MATCH(ROW()-4,EQA.CAP_Dados!$S$2:$S$5000,0)),"")</f>
        <v/>
      </c>
      <c r="Q60" s="81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81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85" t="str">
        <f>IFERROR(INDEX(EQA.CAP_Dados!F$2:F$5000,MATCH(ROW()-4,EQA.CAP_Dados!$S$2:$S$5000,0)),"")</f>
        <v/>
      </c>
      <c r="G61" s="86" t="str">
        <f>IFERROR(INDEX(EQA.CAP_Dados!G$2:G$5000,MATCH(ROW()-4,EQA.CAP_Dados!$S$2:$S$5000,0)),"")</f>
        <v/>
      </c>
      <c r="H61" s="86" t="str">
        <f>IFERROR(INDEX(EQA.CAP_Dados!H$2:H$5000,MATCH(ROW()-4,EQA.CAP_Dados!$S$2:$S$5000,0)),"")</f>
        <v/>
      </c>
      <c r="I61" s="87" t="str">
        <f>IFERROR(INDEX(EQA.CAP_Dados!I$2:I$5000,MATCH(ROW()-4,EQA.CAP_Dados!$S$2:$S$5000,0)),"")</f>
        <v/>
      </c>
      <c r="J61" s="85" t="str">
        <f>IFERROR(INDEX(EQA.CAP_Dados!J$2:J$5000,MATCH(ROW()-4,EQA.CAP_Dados!$S$2:$S$5000,0)),"")</f>
        <v/>
      </c>
      <c r="K61" s="85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81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85" t="str">
        <f>IFERROR(INDEX(EQA.CAP_Dados!O$2:O$5000,MATCH(ROW()-4,EQA.CAP_Dados!$S$2:$S$5000,0)),"")</f>
        <v/>
      </c>
      <c r="P61" s="85" t="str">
        <f>IFERROR(INDEX(EQA.CAP_Dados!P$2:P$5000,MATCH(ROW()-4,EQA.CAP_Dados!$S$2:$S$5000,0)),"")</f>
        <v/>
      </c>
      <c r="Q61" s="81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81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85" t="str">
        <f>IFERROR(INDEX(EQA.CAP_Dados!F$2:F$5000,MATCH(ROW()-4,EQA.CAP_Dados!$S$2:$S$5000,0)),"")</f>
        <v/>
      </c>
      <c r="G62" s="86" t="str">
        <f>IFERROR(INDEX(EQA.CAP_Dados!G$2:G$5000,MATCH(ROW()-4,EQA.CAP_Dados!$S$2:$S$5000,0)),"")</f>
        <v/>
      </c>
      <c r="H62" s="86" t="str">
        <f>IFERROR(INDEX(EQA.CAP_Dados!H$2:H$5000,MATCH(ROW()-4,EQA.CAP_Dados!$S$2:$S$5000,0)),"")</f>
        <v/>
      </c>
      <c r="I62" s="87" t="str">
        <f>IFERROR(INDEX(EQA.CAP_Dados!I$2:I$5000,MATCH(ROW()-4,EQA.CAP_Dados!$S$2:$S$5000,0)),"")</f>
        <v/>
      </c>
      <c r="J62" s="85" t="str">
        <f>IFERROR(INDEX(EQA.CAP_Dados!J$2:J$5000,MATCH(ROW()-4,EQA.CAP_Dados!$S$2:$S$5000,0)),"")</f>
        <v/>
      </c>
      <c r="K62" s="85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81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85" t="str">
        <f>IFERROR(INDEX(EQA.CAP_Dados!O$2:O$5000,MATCH(ROW()-4,EQA.CAP_Dados!$S$2:$S$5000,0)),"")</f>
        <v/>
      </c>
      <c r="P62" s="85" t="str">
        <f>IFERROR(INDEX(EQA.CAP_Dados!P$2:P$5000,MATCH(ROW()-4,EQA.CAP_Dados!$S$2:$S$5000,0)),"")</f>
        <v/>
      </c>
      <c r="Q62" s="81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81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85" t="str">
        <f>IFERROR(INDEX(EQA.CAP_Dados!F$2:F$5000,MATCH(ROW()-4,EQA.CAP_Dados!$S$2:$S$5000,0)),"")</f>
        <v/>
      </c>
      <c r="G63" s="86" t="str">
        <f>IFERROR(INDEX(EQA.CAP_Dados!G$2:G$5000,MATCH(ROW()-4,EQA.CAP_Dados!$S$2:$S$5000,0)),"")</f>
        <v/>
      </c>
      <c r="H63" s="86" t="str">
        <f>IFERROR(INDEX(EQA.CAP_Dados!H$2:H$5000,MATCH(ROW()-4,EQA.CAP_Dados!$S$2:$S$5000,0)),"")</f>
        <v/>
      </c>
      <c r="I63" s="87" t="str">
        <f>IFERROR(INDEX(EQA.CAP_Dados!I$2:I$5000,MATCH(ROW()-4,EQA.CAP_Dados!$S$2:$S$5000,0)),"")</f>
        <v/>
      </c>
      <c r="J63" s="85" t="str">
        <f>IFERROR(INDEX(EQA.CAP_Dados!J$2:J$5000,MATCH(ROW()-4,EQA.CAP_Dados!$S$2:$S$5000,0)),"")</f>
        <v/>
      </c>
      <c r="K63" s="85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81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85" t="str">
        <f>IFERROR(INDEX(EQA.CAP_Dados!O$2:O$5000,MATCH(ROW()-4,EQA.CAP_Dados!$S$2:$S$5000,0)),"")</f>
        <v/>
      </c>
      <c r="P63" s="85" t="str">
        <f>IFERROR(INDEX(EQA.CAP_Dados!P$2:P$5000,MATCH(ROW()-4,EQA.CAP_Dados!$S$2:$S$5000,0)),"")</f>
        <v/>
      </c>
      <c r="Q63" s="81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81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85" t="str">
        <f>IFERROR(INDEX(EQA.CAP_Dados!F$2:F$5000,MATCH(ROW()-4,EQA.CAP_Dados!$S$2:$S$5000,0)),"")</f>
        <v/>
      </c>
      <c r="G64" s="86" t="str">
        <f>IFERROR(INDEX(EQA.CAP_Dados!G$2:G$5000,MATCH(ROW()-4,EQA.CAP_Dados!$S$2:$S$5000,0)),"")</f>
        <v/>
      </c>
      <c r="H64" s="86" t="str">
        <f>IFERROR(INDEX(EQA.CAP_Dados!H$2:H$5000,MATCH(ROW()-4,EQA.CAP_Dados!$S$2:$S$5000,0)),"")</f>
        <v/>
      </c>
      <c r="I64" s="87" t="str">
        <f>IFERROR(INDEX(EQA.CAP_Dados!I$2:I$5000,MATCH(ROW()-4,EQA.CAP_Dados!$S$2:$S$5000,0)),"")</f>
        <v/>
      </c>
      <c r="J64" s="85" t="str">
        <f>IFERROR(INDEX(EQA.CAP_Dados!J$2:J$5000,MATCH(ROW()-4,EQA.CAP_Dados!$S$2:$S$5000,0)),"")</f>
        <v/>
      </c>
      <c r="K64" s="85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81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85" t="str">
        <f>IFERROR(INDEX(EQA.CAP_Dados!O$2:O$5000,MATCH(ROW()-4,EQA.CAP_Dados!$S$2:$S$5000,0)),"")</f>
        <v/>
      </c>
      <c r="P64" s="85" t="str">
        <f>IFERROR(INDEX(EQA.CAP_Dados!P$2:P$5000,MATCH(ROW()-4,EQA.CAP_Dados!$S$2:$S$5000,0)),"")</f>
        <v/>
      </c>
      <c r="Q64" s="81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81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85" t="str">
        <f>IFERROR(INDEX(EQA.CAP_Dados!F$2:F$5000,MATCH(ROW()-4,EQA.CAP_Dados!$S$2:$S$5000,0)),"")</f>
        <v/>
      </c>
      <c r="G65" s="86" t="str">
        <f>IFERROR(INDEX(EQA.CAP_Dados!G$2:G$5000,MATCH(ROW()-4,EQA.CAP_Dados!$S$2:$S$5000,0)),"")</f>
        <v/>
      </c>
      <c r="H65" s="86" t="str">
        <f>IFERROR(INDEX(EQA.CAP_Dados!H$2:H$5000,MATCH(ROW()-4,EQA.CAP_Dados!$S$2:$S$5000,0)),"")</f>
        <v/>
      </c>
      <c r="I65" s="87" t="str">
        <f>IFERROR(INDEX(EQA.CAP_Dados!I$2:I$5000,MATCH(ROW()-4,EQA.CAP_Dados!$S$2:$S$5000,0)),"")</f>
        <v/>
      </c>
      <c r="J65" s="85" t="str">
        <f>IFERROR(INDEX(EQA.CAP_Dados!J$2:J$5000,MATCH(ROW()-4,EQA.CAP_Dados!$S$2:$S$5000,0)),"")</f>
        <v/>
      </c>
      <c r="K65" s="85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81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85" t="str">
        <f>IFERROR(INDEX(EQA.CAP_Dados!O$2:O$5000,MATCH(ROW()-4,EQA.CAP_Dados!$S$2:$S$5000,0)),"")</f>
        <v/>
      </c>
      <c r="P65" s="85" t="str">
        <f>IFERROR(INDEX(EQA.CAP_Dados!P$2:P$5000,MATCH(ROW()-4,EQA.CAP_Dados!$S$2:$S$5000,0)),"")</f>
        <v/>
      </c>
      <c r="Q65" s="81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81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85" t="str">
        <f>IFERROR(INDEX(EQA.CAP_Dados!F$2:F$5000,MATCH(ROW()-4,EQA.CAP_Dados!$S$2:$S$5000,0)),"")</f>
        <v/>
      </c>
      <c r="G66" s="86" t="str">
        <f>IFERROR(INDEX(EQA.CAP_Dados!G$2:G$5000,MATCH(ROW()-4,EQA.CAP_Dados!$S$2:$S$5000,0)),"")</f>
        <v/>
      </c>
      <c r="H66" s="86" t="str">
        <f>IFERROR(INDEX(EQA.CAP_Dados!H$2:H$5000,MATCH(ROW()-4,EQA.CAP_Dados!$S$2:$S$5000,0)),"")</f>
        <v/>
      </c>
      <c r="I66" s="87" t="str">
        <f>IFERROR(INDEX(EQA.CAP_Dados!I$2:I$5000,MATCH(ROW()-4,EQA.CAP_Dados!$S$2:$S$5000,0)),"")</f>
        <v/>
      </c>
      <c r="J66" s="85" t="str">
        <f>IFERROR(INDEX(EQA.CAP_Dados!J$2:J$5000,MATCH(ROW()-4,EQA.CAP_Dados!$S$2:$S$5000,0)),"")</f>
        <v/>
      </c>
      <c r="K66" s="85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81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85" t="str">
        <f>IFERROR(INDEX(EQA.CAP_Dados!O$2:O$5000,MATCH(ROW()-4,EQA.CAP_Dados!$S$2:$S$5000,0)),"")</f>
        <v/>
      </c>
      <c r="P66" s="85" t="str">
        <f>IFERROR(INDEX(EQA.CAP_Dados!P$2:P$5000,MATCH(ROW()-4,EQA.CAP_Dados!$S$2:$S$5000,0)),"")</f>
        <v/>
      </c>
      <c r="Q66" s="81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81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85" t="str">
        <f>IFERROR(INDEX(EQA.CAP_Dados!F$2:F$5000,MATCH(ROW()-4,EQA.CAP_Dados!$S$2:$S$5000,0)),"")</f>
        <v/>
      </c>
      <c r="G67" s="86" t="str">
        <f>IFERROR(INDEX(EQA.CAP_Dados!G$2:G$5000,MATCH(ROW()-4,EQA.CAP_Dados!$S$2:$S$5000,0)),"")</f>
        <v/>
      </c>
      <c r="H67" s="86" t="str">
        <f>IFERROR(INDEX(EQA.CAP_Dados!H$2:H$5000,MATCH(ROW()-4,EQA.CAP_Dados!$S$2:$S$5000,0)),"")</f>
        <v/>
      </c>
      <c r="I67" s="87" t="str">
        <f>IFERROR(INDEX(EQA.CAP_Dados!I$2:I$5000,MATCH(ROW()-4,EQA.CAP_Dados!$S$2:$S$5000,0)),"")</f>
        <v/>
      </c>
      <c r="J67" s="85" t="str">
        <f>IFERROR(INDEX(EQA.CAP_Dados!J$2:J$5000,MATCH(ROW()-4,EQA.CAP_Dados!$S$2:$S$5000,0)),"")</f>
        <v/>
      </c>
      <c r="K67" s="85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81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85" t="str">
        <f>IFERROR(INDEX(EQA.CAP_Dados!O$2:O$5000,MATCH(ROW()-4,EQA.CAP_Dados!$S$2:$S$5000,0)),"")</f>
        <v/>
      </c>
      <c r="P67" s="85" t="str">
        <f>IFERROR(INDEX(EQA.CAP_Dados!P$2:P$5000,MATCH(ROW()-4,EQA.CAP_Dados!$S$2:$S$5000,0)),"")</f>
        <v/>
      </c>
      <c r="Q67" s="81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81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85" t="str">
        <f>IFERROR(INDEX(EQA.CAP_Dados!F$2:F$5000,MATCH(ROW()-4,EQA.CAP_Dados!$S$2:$S$5000,0)),"")</f>
        <v/>
      </c>
      <c r="G68" s="86" t="str">
        <f>IFERROR(INDEX(EQA.CAP_Dados!G$2:G$5000,MATCH(ROW()-4,EQA.CAP_Dados!$S$2:$S$5000,0)),"")</f>
        <v/>
      </c>
      <c r="H68" s="86" t="str">
        <f>IFERROR(INDEX(EQA.CAP_Dados!H$2:H$5000,MATCH(ROW()-4,EQA.CAP_Dados!$S$2:$S$5000,0)),"")</f>
        <v/>
      </c>
      <c r="I68" s="87" t="str">
        <f>IFERROR(INDEX(EQA.CAP_Dados!I$2:I$5000,MATCH(ROW()-4,EQA.CAP_Dados!$S$2:$S$5000,0)),"")</f>
        <v/>
      </c>
      <c r="J68" s="85" t="str">
        <f>IFERROR(INDEX(EQA.CAP_Dados!J$2:J$5000,MATCH(ROW()-4,EQA.CAP_Dados!$S$2:$S$5000,0)),"")</f>
        <v/>
      </c>
      <c r="K68" s="85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81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85" t="str">
        <f>IFERROR(INDEX(EQA.CAP_Dados!O$2:O$5000,MATCH(ROW()-4,EQA.CAP_Dados!$S$2:$S$5000,0)),"")</f>
        <v/>
      </c>
      <c r="P68" s="85" t="str">
        <f>IFERROR(INDEX(EQA.CAP_Dados!P$2:P$5000,MATCH(ROW()-4,EQA.CAP_Dados!$S$2:$S$5000,0)),"")</f>
        <v/>
      </c>
      <c r="Q68" s="81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81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85" t="str">
        <f>IFERROR(INDEX(EQA.CAP_Dados!F$2:F$5000,MATCH(ROW()-4,EQA.CAP_Dados!$S$2:$S$5000,0)),"")</f>
        <v/>
      </c>
      <c r="G69" s="86" t="str">
        <f>IFERROR(INDEX(EQA.CAP_Dados!G$2:G$5000,MATCH(ROW()-4,EQA.CAP_Dados!$S$2:$S$5000,0)),"")</f>
        <v/>
      </c>
      <c r="H69" s="86" t="str">
        <f>IFERROR(INDEX(EQA.CAP_Dados!H$2:H$5000,MATCH(ROW()-4,EQA.CAP_Dados!$S$2:$S$5000,0)),"")</f>
        <v/>
      </c>
      <c r="I69" s="87" t="str">
        <f>IFERROR(INDEX(EQA.CAP_Dados!I$2:I$5000,MATCH(ROW()-4,EQA.CAP_Dados!$S$2:$S$5000,0)),"")</f>
        <v/>
      </c>
      <c r="J69" s="85" t="str">
        <f>IFERROR(INDEX(EQA.CAP_Dados!J$2:J$5000,MATCH(ROW()-4,EQA.CAP_Dados!$S$2:$S$5000,0)),"")</f>
        <v/>
      </c>
      <c r="K69" s="85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81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85" t="str">
        <f>IFERROR(INDEX(EQA.CAP_Dados!O$2:O$5000,MATCH(ROW()-4,EQA.CAP_Dados!$S$2:$S$5000,0)),"")</f>
        <v/>
      </c>
      <c r="P69" s="85" t="str">
        <f>IFERROR(INDEX(EQA.CAP_Dados!P$2:P$5000,MATCH(ROW()-4,EQA.CAP_Dados!$S$2:$S$5000,0)),"")</f>
        <v/>
      </c>
      <c r="Q69" s="81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81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85" t="str">
        <f>IFERROR(INDEX(EQA.CAP_Dados!F$2:F$5000,MATCH(ROW()-4,EQA.CAP_Dados!$S$2:$S$5000,0)),"")</f>
        <v/>
      </c>
      <c r="G70" s="86" t="str">
        <f>IFERROR(INDEX(EQA.CAP_Dados!G$2:G$5000,MATCH(ROW()-4,EQA.CAP_Dados!$S$2:$S$5000,0)),"")</f>
        <v/>
      </c>
      <c r="H70" s="86" t="str">
        <f>IFERROR(INDEX(EQA.CAP_Dados!H$2:H$5000,MATCH(ROW()-4,EQA.CAP_Dados!$S$2:$S$5000,0)),"")</f>
        <v/>
      </c>
      <c r="I70" s="87" t="str">
        <f>IFERROR(INDEX(EQA.CAP_Dados!I$2:I$5000,MATCH(ROW()-4,EQA.CAP_Dados!$S$2:$S$5000,0)),"")</f>
        <v/>
      </c>
      <c r="J70" s="85" t="str">
        <f>IFERROR(INDEX(EQA.CAP_Dados!J$2:J$5000,MATCH(ROW()-4,EQA.CAP_Dados!$S$2:$S$5000,0)),"")</f>
        <v/>
      </c>
      <c r="K70" s="85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81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85" t="str">
        <f>IFERROR(INDEX(EQA.CAP_Dados!O$2:O$5000,MATCH(ROW()-4,EQA.CAP_Dados!$S$2:$S$5000,0)),"")</f>
        <v/>
      </c>
      <c r="P70" s="85" t="str">
        <f>IFERROR(INDEX(EQA.CAP_Dados!P$2:P$5000,MATCH(ROW()-4,EQA.CAP_Dados!$S$2:$S$5000,0)),"")</f>
        <v/>
      </c>
      <c r="Q70" s="81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81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85" t="str">
        <f>IFERROR(INDEX(EQA.CAP_Dados!F$2:F$5000,MATCH(ROW()-4,EQA.CAP_Dados!$S$2:$S$5000,0)),"")</f>
        <v/>
      </c>
      <c r="G71" s="86" t="str">
        <f>IFERROR(INDEX(EQA.CAP_Dados!G$2:G$5000,MATCH(ROW()-4,EQA.CAP_Dados!$S$2:$S$5000,0)),"")</f>
        <v/>
      </c>
      <c r="H71" s="86" t="str">
        <f>IFERROR(INDEX(EQA.CAP_Dados!H$2:H$5000,MATCH(ROW()-4,EQA.CAP_Dados!$S$2:$S$5000,0)),"")</f>
        <v/>
      </c>
      <c r="I71" s="87" t="str">
        <f>IFERROR(INDEX(EQA.CAP_Dados!I$2:I$5000,MATCH(ROW()-4,EQA.CAP_Dados!$S$2:$S$5000,0)),"")</f>
        <v/>
      </c>
      <c r="J71" s="85" t="str">
        <f>IFERROR(INDEX(EQA.CAP_Dados!J$2:J$5000,MATCH(ROW()-4,EQA.CAP_Dados!$S$2:$S$5000,0)),"")</f>
        <v/>
      </c>
      <c r="K71" s="85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81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85" t="str">
        <f>IFERROR(INDEX(EQA.CAP_Dados!O$2:O$5000,MATCH(ROW()-4,EQA.CAP_Dados!$S$2:$S$5000,0)),"")</f>
        <v/>
      </c>
      <c r="P71" s="85" t="str">
        <f>IFERROR(INDEX(EQA.CAP_Dados!P$2:P$5000,MATCH(ROW()-4,EQA.CAP_Dados!$S$2:$S$5000,0)),"")</f>
        <v/>
      </c>
      <c r="Q71" s="81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81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85" t="str">
        <f>IFERROR(INDEX(EQA.CAP_Dados!F$2:F$5000,MATCH(ROW()-4,EQA.CAP_Dados!$S$2:$S$5000,0)),"")</f>
        <v/>
      </c>
      <c r="G72" s="86" t="str">
        <f>IFERROR(INDEX(EQA.CAP_Dados!G$2:G$5000,MATCH(ROW()-4,EQA.CAP_Dados!$S$2:$S$5000,0)),"")</f>
        <v/>
      </c>
      <c r="H72" s="86" t="str">
        <f>IFERROR(INDEX(EQA.CAP_Dados!H$2:H$5000,MATCH(ROW()-4,EQA.CAP_Dados!$S$2:$S$5000,0)),"")</f>
        <v/>
      </c>
      <c r="I72" s="87" t="str">
        <f>IFERROR(INDEX(EQA.CAP_Dados!I$2:I$5000,MATCH(ROW()-4,EQA.CAP_Dados!$S$2:$S$5000,0)),"")</f>
        <v/>
      </c>
      <c r="J72" s="85" t="str">
        <f>IFERROR(INDEX(EQA.CAP_Dados!J$2:J$5000,MATCH(ROW()-4,EQA.CAP_Dados!$S$2:$S$5000,0)),"")</f>
        <v/>
      </c>
      <c r="K72" s="85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81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85" t="str">
        <f>IFERROR(INDEX(EQA.CAP_Dados!O$2:O$5000,MATCH(ROW()-4,EQA.CAP_Dados!$S$2:$S$5000,0)),"")</f>
        <v/>
      </c>
      <c r="P72" s="85" t="str">
        <f>IFERROR(INDEX(EQA.CAP_Dados!P$2:P$5000,MATCH(ROW()-4,EQA.CAP_Dados!$S$2:$S$5000,0)),"")</f>
        <v/>
      </c>
      <c r="Q72" s="81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81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85" t="str">
        <f>IFERROR(INDEX(EQA.CAP_Dados!F$2:F$5000,MATCH(ROW()-4,EQA.CAP_Dados!$S$2:$S$5000,0)),"")</f>
        <v/>
      </c>
      <c r="G73" s="86" t="str">
        <f>IFERROR(INDEX(EQA.CAP_Dados!G$2:G$5000,MATCH(ROW()-4,EQA.CAP_Dados!$S$2:$S$5000,0)),"")</f>
        <v/>
      </c>
      <c r="H73" s="86" t="str">
        <f>IFERROR(INDEX(EQA.CAP_Dados!H$2:H$5000,MATCH(ROW()-4,EQA.CAP_Dados!$S$2:$S$5000,0)),"")</f>
        <v/>
      </c>
      <c r="I73" s="87" t="str">
        <f>IFERROR(INDEX(EQA.CAP_Dados!I$2:I$5000,MATCH(ROW()-4,EQA.CAP_Dados!$S$2:$S$5000,0)),"")</f>
        <v/>
      </c>
      <c r="J73" s="85" t="str">
        <f>IFERROR(INDEX(EQA.CAP_Dados!J$2:J$5000,MATCH(ROW()-4,EQA.CAP_Dados!$S$2:$S$5000,0)),"")</f>
        <v/>
      </c>
      <c r="K73" s="85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81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85" t="str">
        <f>IFERROR(INDEX(EQA.CAP_Dados!O$2:O$5000,MATCH(ROW()-4,EQA.CAP_Dados!$S$2:$S$5000,0)),"")</f>
        <v/>
      </c>
      <c r="P73" s="85" t="str">
        <f>IFERROR(INDEX(EQA.CAP_Dados!P$2:P$5000,MATCH(ROW()-4,EQA.CAP_Dados!$S$2:$S$5000,0)),"")</f>
        <v/>
      </c>
      <c r="Q73" s="81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81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85" t="str">
        <f>IFERROR(INDEX(EQA.CAP_Dados!F$2:F$5000,MATCH(ROW()-4,EQA.CAP_Dados!$S$2:$S$5000,0)),"")</f>
        <v/>
      </c>
      <c r="G74" s="86" t="str">
        <f>IFERROR(INDEX(EQA.CAP_Dados!G$2:G$5000,MATCH(ROW()-4,EQA.CAP_Dados!$S$2:$S$5000,0)),"")</f>
        <v/>
      </c>
      <c r="H74" s="86" t="str">
        <f>IFERROR(INDEX(EQA.CAP_Dados!H$2:H$5000,MATCH(ROW()-4,EQA.CAP_Dados!$S$2:$S$5000,0)),"")</f>
        <v/>
      </c>
      <c r="I74" s="87" t="str">
        <f>IFERROR(INDEX(EQA.CAP_Dados!I$2:I$5000,MATCH(ROW()-4,EQA.CAP_Dados!$S$2:$S$5000,0)),"")</f>
        <v/>
      </c>
      <c r="J74" s="85" t="str">
        <f>IFERROR(INDEX(EQA.CAP_Dados!J$2:J$5000,MATCH(ROW()-4,EQA.CAP_Dados!$S$2:$S$5000,0)),"")</f>
        <v/>
      </c>
      <c r="K74" s="85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81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85" t="str">
        <f>IFERROR(INDEX(EQA.CAP_Dados!O$2:O$5000,MATCH(ROW()-4,EQA.CAP_Dados!$S$2:$S$5000,0)),"")</f>
        <v/>
      </c>
      <c r="P74" s="85" t="str">
        <f>IFERROR(INDEX(EQA.CAP_Dados!P$2:P$5000,MATCH(ROW()-4,EQA.CAP_Dados!$S$2:$S$5000,0)),"")</f>
        <v/>
      </c>
      <c r="Q74" s="81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81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85" t="str">
        <f>IFERROR(INDEX(EQA.CAP_Dados!F$2:F$5000,MATCH(ROW()-4,EQA.CAP_Dados!$S$2:$S$5000,0)),"")</f>
        <v/>
      </c>
      <c r="G75" s="86" t="str">
        <f>IFERROR(INDEX(EQA.CAP_Dados!G$2:G$5000,MATCH(ROW()-4,EQA.CAP_Dados!$S$2:$S$5000,0)),"")</f>
        <v/>
      </c>
      <c r="H75" s="86" t="str">
        <f>IFERROR(INDEX(EQA.CAP_Dados!H$2:H$5000,MATCH(ROW()-4,EQA.CAP_Dados!$S$2:$S$5000,0)),"")</f>
        <v/>
      </c>
      <c r="I75" s="87" t="str">
        <f>IFERROR(INDEX(EQA.CAP_Dados!I$2:I$5000,MATCH(ROW()-4,EQA.CAP_Dados!$S$2:$S$5000,0)),"")</f>
        <v/>
      </c>
      <c r="J75" s="85" t="str">
        <f>IFERROR(INDEX(EQA.CAP_Dados!J$2:J$5000,MATCH(ROW()-4,EQA.CAP_Dados!$S$2:$S$5000,0)),"")</f>
        <v/>
      </c>
      <c r="K75" s="85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81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85" t="str">
        <f>IFERROR(INDEX(EQA.CAP_Dados!O$2:O$5000,MATCH(ROW()-4,EQA.CAP_Dados!$S$2:$S$5000,0)),"")</f>
        <v/>
      </c>
      <c r="P75" s="85" t="str">
        <f>IFERROR(INDEX(EQA.CAP_Dados!P$2:P$5000,MATCH(ROW()-4,EQA.CAP_Dados!$S$2:$S$5000,0)),"")</f>
        <v/>
      </c>
      <c r="Q75" s="81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81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85" t="str">
        <f>IFERROR(INDEX(EQA.CAP_Dados!F$2:F$5000,MATCH(ROW()-4,EQA.CAP_Dados!$S$2:$S$5000,0)),"")</f>
        <v/>
      </c>
      <c r="G76" s="86" t="str">
        <f>IFERROR(INDEX(EQA.CAP_Dados!G$2:G$5000,MATCH(ROW()-4,EQA.CAP_Dados!$S$2:$S$5000,0)),"")</f>
        <v/>
      </c>
      <c r="H76" s="86" t="str">
        <f>IFERROR(INDEX(EQA.CAP_Dados!H$2:H$5000,MATCH(ROW()-4,EQA.CAP_Dados!$S$2:$S$5000,0)),"")</f>
        <v/>
      </c>
      <c r="I76" s="87" t="str">
        <f>IFERROR(INDEX(EQA.CAP_Dados!I$2:I$5000,MATCH(ROW()-4,EQA.CAP_Dados!$S$2:$S$5000,0)),"")</f>
        <v/>
      </c>
      <c r="J76" s="85" t="str">
        <f>IFERROR(INDEX(EQA.CAP_Dados!J$2:J$5000,MATCH(ROW()-4,EQA.CAP_Dados!$S$2:$S$5000,0)),"")</f>
        <v/>
      </c>
      <c r="K76" s="85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81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85" t="str">
        <f>IFERROR(INDEX(EQA.CAP_Dados!O$2:O$5000,MATCH(ROW()-4,EQA.CAP_Dados!$S$2:$S$5000,0)),"")</f>
        <v/>
      </c>
      <c r="P76" s="85" t="str">
        <f>IFERROR(INDEX(EQA.CAP_Dados!P$2:P$5000,MATCH(ROW()-4,EQA.CAP_Dados!$S$2:$S$5000,0)),"")</f>
        <v/>
      </c>
      <c r="Q76" s="81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81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85" t="str">
        <f>IFERROR(INDEX(EQA.CAP_Dados!F$2:F$5000,MATCH(ROW()-4,EQA.CAP_Dados!$S$2:$S$5000,0)),"")</f>
        <v/>
      </c>
      <c r="G77" s="86" t="str">
        <f>IFERROR(INDEX(EQA.CAP_Dados!G$2:G$5000,MATCH(ROW()-4,EQA.CAP_Dados!$S$2:$S$5000,0)),"")</f>
        <v/>
      </c>
      <c r="H77" s="86" t="str">
        <f>IFERROR(INDEX(EQA.CAP_Dados!H$2:H$5000,MATCH(ROW()-4,EQA.CAP_Dados!$S$2:$S$5000,0)),"")</f>
        <v/>
      </c>
      <c r="I77" s="87" t="str">
        <f>IFERROR(INDEX(EQA.CAP_Dados!I$2:I$5000,MATCH(ROW()-4,EQA.CAP_Dados!$S$2:$S$5000,0)),"")</f>
        <v/>
      </c>
      <c r="J77" s="85" t="str">
        <f>IFERROR(INDEX(EQA.CAP_Dados!J$2:J$5000,MATCH(ROW()-4,EQA.CAP_Dados!$S$2:$S$5000,0)),"")</f>
        <v/>
      </c>
      <c r="K77" s="85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81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85" t="str">
        <f>IFERROR(INDEX(EQA.CAP_Dados!O$2:O$5000,MATCH(ROW()-4,EQA.CAP_Dados!$S$2:$S$5000,0)),"")</f>
        <v/>
      </c>
      <c r="P77" s="85" t="str">
        <f>IFERROR(INDEX(EQA.CAP_Dados!P$2:P$5000,MATCH(ROW()-4,EQA.CAP_Dados!$S$2:$S$5000,0)),"")</f>
        <v/>
      </c>
      <c r="Q77" s="81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81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85" t="str">
        <f>IFERROR(INDEX(EQA.CAP_Dados!F$2:F$5000,MATCH(ROW()-4,EQA.CAP_Dados!$S$2:$S$5000,0)),"")</f>
        <v/>
      </c>
      <c r="G78" s="86" t="str">
        <f>IFERROR(INDEX(EQA.CAP_Dados!G$2:G$5000,MATCH(ROW()-4,EQA.CAP_Dados!$S$2:$S$5000,0)),"")</f>
        <v/>
      </c>
      <c r="H78" s="86" t="str">
        <f>IFERROR(INDEX(EQA.CAP_Dados!H$2:H$5000,MATCH(ROW()-4,EQA.CAP_Dados!$S$2:$S$5000,0)),"")</f>
        <v/>
      </c>
      <c r="I78" s="87" t="str">
        <f>IFERROR(INDEX(EQA.CAP_Dados!I$2:I$5000,MATCH(ROW()-4,EQA.CAP_Dados!$S$2:$S$5000,0)),"")</f>
        <v/>
      </c>
      <c r="J78" s="85" t="str">
        <f>IFERROR(INDEX(EQA.CAP_Dados!J$2:J$5000,MATCH(ROW()-4,EQA.CAP_Dados!$S$2:$S$5000,0)),"")</f>
        <v/>
      </c>
      <c r="K78" s="85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81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85" t="str">
        <f>IFERROR(INDEX(EQA.CAP_Dados!O$2:O$5000,MATCH(ROW()-4,EQA.CAP_Dados!$S$2:$S$5000,0)),"")</f>
        <v/>
      </c>
      <c r="P78" s="85" t="str">
        <f>IFERROR(INDEX(EQA.CAP_Dados!P$2:P$5000,MATCH(ROW()-4,EQA.CAP_Dados!$S$2:$S$5000,0)),"")</f>
        <v/>
      </c>
      <c r="Q78" s="81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81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85" t="str">
        <f>IFERROR(INDEX(EQA.CAP_Dados!F$2:F$5000,MATCH(ROW()-4,EQA.CAP_Dados!$S$2:$S$5000,0)),"")</f>
        <v/>
      </c>
      <c r="G79" s="86" t="str">
        <f>IFERROR(INDEX(EQA.CAP_Dados!G$2:G$5000,MATCH(ROW()-4,EQA.CAP_Dados!$S$2:$S$5000,0)),"")</f>
        <v/>
      </c>
      <c r="H79" s="86" t="str">
        <f>IFERROR(INDEX(EQA.CAP_Dados!H$2:H$5000,MATCH(ROW()-4,EQA.CAP_Dados!$S$2:$S$5000,0)),"")</f>
        <v/>
      </c>
      <c r="I79" s="87" t="str">
        <f>IFERROR(INDEX(EQA.CAP_Dados!I$2:I$5000,MATCH(ROW()-4,EQA.CAP_Dados!$S$2:$S$5000,0)),"")</f>
        <v/>
      </c>
      <c r="J79" s="85" t="str">
        <f>IFERROR(INDEX(EQA.CAP_Dados!J$2:J$5000,MATCH(ROW()-4,EQA.CAP_Dados!$S$2:$S$5000,0)),"")</f>
        <v/>
      </c>
      <c r="K79" s="85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81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85" t="str">
        <f>IFERROR(INDEX(EQA.CAP_Dados!O$2:O$5000,MATCH(ROW()-4,EQA.CAP_Dados!$S$2:$S$5000,0)),"")</f>
        <v/>
      </c>
      <c r="P79" s="85" t="str">
        <f>IFERROR(INDEX(EQA.CAP_Dados!P$2:P$5000,MATCH(ROW()-4,EQA.CAP_Dados!$S$2:$S$5000,0)),"")</f>
        <v/>
      </c>
      <c r="Q79" s="81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81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85" t="str">
        <f>IFERROR(INDEX(EQA.CAP_Dados!F$2:F$5000,MATCH(ROW()-4,EQA.CAP_Dados!$S$2:$S$5000,0)),"")</f>
        <v/>
      </c>
      <c r="G80" s="86" t="str">
        <f>IFERROR(INDEX(EQA.CAP_Dados!G$2:G$5000,MATCH(ROW()-4,EQA.CAP_Dados!$S$2:$S$5000,0)),"")</f>
        <v/>
      </c>
      <c r="H80" s="86" t="str">
        <f>IFERROR(INDEX(EQA.CAP_Dados!H$2:H$5000,MATCH(ROW()-4,EQA.CAP_Dados!$S$2:$S$5000,0)),"")</f>
        <v/>
      </c>
      <c r="I80" s="87" t="str">
        <f>IFERROR(INDEX(EQA.CAP_Dados!I$2:I$5000,MATCH(ROW()-4,EQA.CAP_Dados!$S$2:$S$5000,0)),"")</f>
        <v/>
      </c>
      <c r="J80" s="85" t="str">
        <f>IFERROR(INDEX(EQA.CAP_Dados!J$2:J$5000,MATCH(ROW()-4,EQA.CAP_Dados!$S$2:$S$5000,0)),"")</f>
        <v/>
      </c>
      <c r="K80" s="85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81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85" t="str">
        <f>IFERROR(INDEX(EQA.CAP_Dados!O$2:O$5000,MATCH(ROW()-4,EQA.CAP_Dados!$S$2:$S$5000,0)),"")</f>
        <v/>
      </c>
      <c r="P80" s="85" t="str">
        <f>IFERROR(INDEX(EQA.CAP_Dados!P$2:P$5000,MATCH(ROW()-4,EQA.CAP_Dados!$S$2:$S$5000,0)),"")</f>
        <v/>
      </c>
      <c r="Q80" s="81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81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85" t="str">
        <f>IFERROR(INDEX(EQA.CAP_Dados!F$2:F$5000,MATCH(ROW()-4,EQA.CAP_Dados!$S$2:$S$5000,0)),"")</f>
        <v/>
      </c>
      <c r="G81" s="86" t="str">
        <f>IFERROR(INDEX(EQA.CAP_Dados!G$2:G$5000,MATCH(ROW()-4,EQA.CAP_Dados!$S$2:$S$5000,0)),"")</f>
        <v/>
      </c>
      <c r="H81" s="86" t="str">
        <f>IFERROR(INDEX(EQA.CAP_Dados!H$2:H$5000,MATCH(ROW()-4,EQA.CAP_Dados!$S$2:$S$5000,0)),"")</f>
        <v/>
      </c>
      <c r="I81" s="87" t="str">
        <f>IFERROR(INDEX(EQA.CAP_Dados!I$2:I$5000,MATCH(ROW()-4,EQA.CAP_Dados!$S$2:$S$5000,0)),"")</f>
        <v/>
      </c>
      <c r="J81" s="85" t="str">
        <f>IFERROR(INDEX(EQA.CAP_Dados!J$2:J$5000,MATCH(ROW()-4,EQA.CAP_Dados!$S$2:$S$5000,0)),"")</f>
        <v/>
      </c>
      <c r="K81" s="85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81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85" t="str">
        <f>IFERROR(INDEX(EQA.CAP_Dados!O$2:O$5000,MATCH(ROW()-4,EQA.CAP_Dados!$S$2:$S$5000,0)),"")</f>
        <v/>
      </c>
      <c r="P81" s="85" t="str">
        <f>IFERROR(INDEX(EQA.CAP_Dados!P$2:P$5000,MATCH(ROW()-4,EQA.CAP_Dados!$S$2:$S$5000,0)),"")</f>
        <v/>
      </c>
      <c r="Q81" s="81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81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85" t="str">
        <f>IFERROR(INDEX(EQA.CAP_Dados!F$2:F$5000,MATCH(ROW()-4,EQA.CAP_Dados!$S$2:$S$5000,0)),"")</f>
        <v/>
      </c>
      <c r="G82" s="86" t="str">
        <f>IFERROR(INDEX(EQA.CAP_Dados!G$2:G$5000,MATCH(ROW()-4,EQA.CAP_Dados!$S$2:$S$5000,0)),"")</f>
        <v/>
      </c>
      <c r="H82" s="86" t="str">
        <f>IFERROR(INDEX(EQA.CAP_Dados!H$2:H$5000,MATCH(ROW()-4,EQA.CAP_Dados!$S$2:$S$5000,0)),"")</f>
        <v/>
      </c>
      <c r="I82" s="87" t="str">
        <f>IFERROR(INDEX(EQA.CAP_Dados!I$2:I$5000,MATCH(ROW()-4,EQA.CAP_Dados!$S$2:$S$5000,0)),"")</f>
        <v/>
      </c>
      <c r="J82" s="85" t="str">
        <f>IFERROR(INDEX(EQA.CAP_Dados!J$2:J$5000,MATCH(ROW()-4,EQA.CAP_Dados!$S$2:$S$5000,0)),"")</f>
        <v/>
      </c>
      <c r="K82" s="85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81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85" t="str">
        <f>IFERROR(INDEX(EQA.CAP_Dados!O$2:O$5000,MATCH(ROW()-4,EQA.CAP_Dados!$S$2:$S$5000,0)),"")</f>
        <v/>
      </c>
      <c r="P82" s="85" t="str">
        <f>IFERROR(INDEX(EQA.CAP_Dados!P$2:P$5000,MATCH(ROW()-4,EQA.CAP_Dados!$S$2:$S$5000,0)),"")</f>
        <v/>
      </c>
      <c r="Q82" s="81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81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85" t="str">
        <f>IFERROR(INDEX(EQA.CAP_Dados!F$2:F$5000,MATCH(ROW()-4,EQA.CAP_Dados!$S$2:$S$5000,0)),"")</f>
        <v/>
      </c>
      <c r="G83" s="86" t="str">
        <f>IFERROR(INDEX(EQA.CAP_Dados!G$2:G$5000,MATCH(ROW()-4,EQA.CAP_Dados!$S$2:$S$5000,0)),"")</f>
        <v/>
      </c>
      <c r="H83" s="86" t="str">
        <f>IFERROR(INDEX(EQA.CAP_Dados!H$2:H$5000,MATCH(ROW()-4,EQA.CAP_Dados!$S$2:$S$5000,0)),"")</f>
        <v/>
      </c>
      <c r="I83" s="87" t="str">
        <f>IFERROR(INDEX(EQA.CAP_Dados!I$2:I$5000,MATCH(ROW()-4,EQA.CAP_Dados!$S$2:$S$5000,0)),"")</f>
        <v/>
      </c>
      <c r="J83" s="85" t="str">
        <f>IFERROR(INDEX(EQA.CAP_Dados!J$2:J$5000,MATCH(ROW()-4,EQA.CAP_Dados!$S$2:$S$5000,0)),"")</f>
        <v/>
      </c>
      <c r="K83" s="85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81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85" t="str">
        <f>IFERROR(INDEX(EQA.CAP_Dados!O$2:O$5000,MATCH(ROW()-4,EQA.CAP_Dados!$S$2:$S$5000,0)),"")</f>
        <v/>
      </c>
      <c r="P83" s="85" t="str">
        <f>IFERROR(INDEX(EQA.CAP_Dados!P$2:P$5000,MATCH(ROW()-4,EQA.CAP_Dados!$S$2:$S$5000,0)),"")</f>
        <v/>
      </c>
      <c r="Q83" s="81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81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85" t="str">
        <f>IFERROR(INDEX(EQA.CAP_Dados!F$2:F$5000,MATCH(ROW()-4,EQA.CAP_Dados!$S$2:$S$5000,0)),"")</f>
        <v/>
      </c>
      <c r="G84" s="86" t="str">
        <f>IFERROR(INDEX(EQA.CAP_Dados!G$2:G$5000,MATCH(ROW()-4,EQA.CAP_Dados!$S$2:$S$5000,0)),"")</f>
        <v/>
      </c>
      <c r="H84" s="86" t="str">
        <f>IFERROR(INDEX(EQA.CAP_Dados!H$2:H$5000,MATCH(ROW()-4,EQA.CAP_Dados!$S$2:$S$5000,0)),"")</f>
        <v/>
      </c>
      <c r="I84" s="87" t="str">
        <f>IFERROR(INDEX(EQA.CAP_Dados!I$2:I$5000,MATCH(ROW()-4,EQA.CAP_Dados!$S$2:$S$5000,0)),"")</f>
        <v/>
      </c>
      <c r="J84" s="85" t="str">
        <f>IFERROR(INDEX(EQA.CAP_Dados!J$2:J$5000,MATCH(ROW()-4,EQA.CAP_Dados!$S$2:$S$5000,0)),"")</f>
        <v/>
      </c>
      <c r="K84" s="85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81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85" t="str">
        <f>IFERROR(INDEX(EQA.CAP_Dados!O$2:O$5000,MATCH(ROW()-4,EQA.CAP_Dados!$S$2:$S$5000,0)),"")</f>
        <v/>
      </c>
      <c r="P84" s="85" t="str">
        <f>IFERROR(INDEX(EQA.CAP_Dados!P$2:P$5000,MATCH(ROW()-4,EQA.CAP_Dados!$S$2:$S$5000,0)),"")</f>
        <v/>
      </c>
      <c r="Q84" s="81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81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85" t="str">
        <f>IFERROR(INDEX(EQA.CAP_Dados!F$2:F$5000,MATCH(ROW()-4,EQA.CAP_Dados!$S$2:$S$5000,0)),"")</f>
        <v/>
      </c>
      <c r="G85" s="86" t="str">
        <f>IFERROR(INDEX(EQA.CAP_Dados!G$2:G$5000,MATCH(ROW()-4,EQA.CAP_Dados!$S$2:$S$5000,0)),"")</f>
        <v/>
      </c>
      <c r="H85" s="86" t="str">
        <f>IFERROR(INDEX(EQA.CAP_Dados!H$2:H$5000,MATCH(ROW()-4,EQA.CAP_Dados!$S$2:$S$5000,0)),"")</f>
        <v/>
      </c>
      <c r="I85" s="87" t="str">
        <f>IFERROR(INDEX(EQA.CAP_Dados!I$2:I$5000,MATCH(ROW()-4,EQA.CAP_Dados!$S$2:$S$5000,0)),"")</f>
        <v/>
      </c>
      <c r="J85" s="85" t="str">
        <f>IFERROR(INDEX(EQA.CAP_Dados!J$2:J$5000,MATCH(ROW()-4,EQA.CAP_Dados!$S$2:$S$5000,0)),"")</f>
        <v/>
      </c>
      <c r="K85" s="85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81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85" t="str">
        <f>IFERROR(INDEX(EQA.CAP_Dados!O$2:O$5000,MATCH(ROW()-4,EQA.CAP_Dados!$S$2:$S$5000,0)),"")</f>
        <v/>
      </c>
      <c r="P85" s="85" t="str">
        <f>IFERROR(INDEX(EQA.CAP_Dados!P$2:P$5000,MATCH(ROW()-4,EQA.CAP_Dados!$S$2:$S$5000,0)),"")</f>
        <v/>
      </c>
      <c r="Q85" s="81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81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85" t="str">
        <f>IFERROR(INDEX(EQA.CAP_Dados!F$2:F$5000,MATCH(ROW()-4,EQA.CAP_Dados!$S$2:$S$5000,0)),"")</f>
        <v/>
      </c>
      <c r="G86" s="86" t="str">
        <f>IFERROR(INDEX(EQA.CAP_Dados!G$2:G$5000,MATCH(ROW()-4,EQA.CAP_Dados!$S$2:$S$5000,0)),"")</f>
        <v/>
      </c>
      <c r="H86" s="86" t="str">
        <f>IFERROR(INDEX(EQA.CAP_Dados!H$2:H$5000,MATCH(ROW()-4,EQA.CAP_Dados!$S$2:$S$5000,0)),"")</f>
        <v/>
      </c>
      <c r="I86" s="87" t="str">
        <f>IFERROR(INDEX(EQA.CAP_Dados!I$2:I$5000,MATCH(ROW()-4,EQA.CAP_Dados!$S$2:$S$5000,0)),"")</f>
        <v/>
      </c>
      <c r="J86" s="85" t="str">
        <f>IFERROR(INDEX(EQA.CAP_Dados!J$2:J$5000,MATCH(ROW()-4,EQA.CAP_Dados!$S$2:$S$5000,0)),"")</f>
        <v/>
      </c>
      <c r="K86" s="85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81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85" t="str">
        <f>IFERROR(INDEX(EQA.CAP_Dados!O$2:O$5000,MATCH(ROW()-4,EQA.CAP_Dados!$S$2:$S$5000,0)),"")</f>
        <v/>
      </c>
      <c r="P86" s="85" t="str">
        <f>IFERROR(INDEX(EQA.CAP_Dados!P$2:P$5000,MATCH(ROW()-4,EQA.CAP_Dados!$S$2:$S$5000,0)),"")</f>
        <v/>
      </c>
      <c r="Q86" s="81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81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85" t="str">
        <f>IFERROR(INDEX(EQA.CAP_Dados!F$2:F$5000,MATCH(ROW()-4,EQA.CAP_Dados!$S$2:$S$5000,0)),"")</f>
        <v/>
      </c>
      <c r="G87" s="86" t="str">
        <f>IFERROR(INDEX(EQA.CAP_Dados!G$2:G$5000,MATCH(ROW()-4,EQA.CAP_Dados!$S$2:$S$5000,0)),"")</f>
        <v/>
      </c>
      <c r="H87" s="86" t="str">
        <f>IFERROR(INDEX(EQA.CAP_Dados!H$2:H$5000,MATCH(ROW()-4,EQA.CAP_Dados!$S$2:$S$5000,0)),"")</f>
        <v/>
      </c>
      <c r="I87" s="87" t="str">
        <f>IFERROR(INDEX(EQA.CAP_Dados!I$2:I$5000,MATCH(ROW()-4,EQA.CAP_Dados!$S$2:$S$5000,0)),"")</f>
        <v/>
      </c>
      <c r="J87" s="85" t="str">
        <f>IFERROR(INDEX(EQA.CAP_Dados!J$2:J$5000,MATCH(ROW()-4,EQA.CAP_Dados!$S$2:$S$5000,0)),"")</f>
        <v/>
      </c>
      <c r="K87" s="85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81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85" t="str">
        <f>IFERROR(INDEX(EQA.CAP_Dados!O$2:O$5000,MATCH(ROW()-4,EQA.CAP_Dados!$S$2:$S$5000,0)),"")</f>
        <v/>
      </c>
      <c r="P87" s="85" t="str">
        <f>IFERROR(INDEX(EQA.CAP_Dados!P$2:P$5000,MATCH(ROW()-4,EQA.CAP_Dados!$S$2:$S$5000,0)),"")</f>
        <v/>
      </c>
      <c r="Q87" s="81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81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85" t="str">
        <f>IFERROR(INDEX(EQA.CAP_Dados!F$2:F$5000,MATCH(ROW()-4,EQA.CAP_Dados!$S$2:$S$5000,0)),"")</f>
        <v/>
      </c>
      <c r="G88" s="86" t="str">
        <f>IFERROR(INDEX(EQA.CAP_Dados!G$2:G$5000,MATCH(ROW()-4,EQA.CAP_Dados!$S$2:$S$5000,0)),"")</f>
        <v/>
      </c>
      <c r="H88" s="86" t="str">
        <f>IFERROR(INDEX(EQA.CAP_Dados!H$2:H$5000,MATCH(ROW()-4,EQA.CAP_Dados!$S$2:$S$5000,0)),"")</f>
        <v/>
      </c>
      <c r="I88" s="87" t="str">
        <f>IFERROR(INDEX(EQA.CAP_Dados!I$2:I$5000,MATCH(ROW()-4,EQA.CAP_Dados!$S$2:$S$5000,0)),"")</f>
        <v/>
      </c>
      <c r="J88" s="85" t="str">
        <f>IFERROR(INDEX(EQA.CAP_Dados!J$2:J$5000,MATCH(ROW()-4,EQA.CAP_Dados!$S$2:$S$5000,0)),"")</f>
        <v/>
      </c>
      <c r="K88" s="85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81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85" t="str">
        <f>IFERROR(INDEX(EQA.CAP_Dados!O$2:O$5000,MATCH(ROW()-4,EQA.CAP_Dados!$S$2:$S$5000,0)),"")</f>
        <v/>
      </c>
      <c r="P88" s="85" t="str">
        <f>IFERROR(INDEX(EQA.CAP_Dados!P$2:P$5000,MATCH(ROW()-4,EQA.CAP_Dados!$S$2:$S$5000,0)),"")</f>
        <v/>
      </c>
      <c r="Q88" s="81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81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85" t="str">
        <f>IFERROR(INDEX(EQA.CAP_Dados!F$2:F$5000,MATCH(ROW()-4,EQA.CAP_Dados!$S$2:$S$5000,0)),"")</f>
        <v/>
      </c>
      <c r="G89" s="86" t="str">
        <f>IFERROR(INDEX(EQA.CAP_Dados!G$2:G$5000,MATCH(ROW()-4,EQA.CAP_Dados!$S$2:$S$5000,0)),"")</f>
        <v/>
      </c>
      <c r="H89" s="86" t="str">
        <f>IFERROR(INDEX(EQA.CAP_Dados!H$2:H$5000,MATCH(ROW()-4,EQA.CAP_Dados!$S$2:$S$5000,0)),"")</f>
        <v/>
      </c>
      <c r="I89" s="87" t="str">
        <f>IFERROR(INDEX(EQA.CAP_Dados!I$2:I$5000,MATCH(ROW()-4,EQA.CAP_Dados!$S$2:$S$5000,0)),"")</f>
        <v/>
      </c>
      <c r="J89" s="85" t="str">
        <f>IFERROR(INDEX(EQA.CAP_Dados!J$2:J$5000,MATCH(ROW()-4,EQA.CAP_Dados!$S$2:$S$5000,0)),"")</f>
        <v/>
      </c>
      <c r="K89" s="85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81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85" t="str">
        <f>IFERROR(INDEX(EQA.CAP_Dados!O$2:O$5000,MATCH(ROW()-4,EQA.CAP_Dados!$S$2:$S$5000,0)),"")</f>
        <v/>
      </c>
      <c r="P89" s="85" t="str">
        <f>IFERROR(INDEX(EQA.CAP_Dados!P$2:P$5000,MATCH(ROW()-4,EQA.CAP_Dados!$S$2:$S$5000,0)),"")</f>
        <v/>
      </c>
      <c r="Q89" s="81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81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85" t="str">
        <f>IFERROR(INDEX(EQA.CAP_Dados!F$2:F$5000,MATCH(ROW()-4,EQA.CAP_Dados!$S$2:$S$5000,0)),"")</f>
        <v/>
      </c>
      <c r="G90" s="86" t="str">
        <f>IFERROR(INDEX(EQA.CAP_Dados!G$2:G$5000,MATCH(ROW()-4,EQA.CAP_Dados!$S$2:$S$5000,0)),"")</f>
        <v/>
      </c>
      <c r="H90" s="86" t="str">
        <f>IFERROR(INDEX(EQA.CAP_Dados!H$2:H$5000,MATCH(ROW()-4,EQA.CAP_Dados!$S$2:$S$5000,0)),"")</f>
        <v/>
      </c>
      <c r="I90" s="87" t="str">
        <f>IFERROR(INDEX(EQA.CAP_Dados!I$2:I$5000,MATCH(ROW()-4,EQA.CAP_Dados!$S$2:$S$5000,0)),"")</f>
        <v/>
      </c>
      <c r="J90" s="85" t="str">
        <f>IFERROR(INDEX(EQA.CAP_Dados!J$2:J$5000,MATCH(ROW()-4,EQA.CAP_Dados!$S$2:$S$5000,0)),"")</f>
        <v/>
      </c>
      <c r="K90" s="85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81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85" t="str">
        <f>IFERROR(INDEX(EQA.CAP_Dados!O$2:O$5000,MATCH(ROW()-4,EQA.CAP_Dados!$S$2:$S$5000,0)),"")</f>
        <v/>
      </c>
      <c r="P90" s="85" t="str">
        <f>IFERROR(INDEX(EQA.CAP_Dados!P$2:P$5000,MATCH(ROW()-4,EQA.CAP_Dados!$S$2:$S$5000,0)),"")</f>
        <v/>
      </c>
      <c r="Q90" s="81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81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85" t="str">
        <f>IFERROR(INDEX(EQA.CAP_Dados!F$2:F$5000,MATCH(ROW()-4,EQA.CAP_Dados!$S$2:$S$5000,0)),"")</f>
        <v/>
      </c>
      <c r="G91" s="86" t="str">
        <f>IFERROR(INDEX(EQA.CAP_Dados!G$2:G$5000,MATCH(ROW()-4,EQA.CAP_Dados!$S$2:$S$5000,0)),"")</f>
        <v/>
      </c>
      <c r="H91" s="86" t="str">
        <f>IFERROR(INDEX(EQA.CAP_Dados!H$2:H$5000,MATCH(ROW()-4,EQA.CAP_Dados!$S$2:$S$5000,0)),"")</f>
        <v/>
      </c>
      <c r="I91" s="87" t="str">
        <f>IFERROR(INDEX(EQA.CAP_Dados!I$2:I$5000,MATCH(ROW()-4,EQA.CAP_Dados!$S$2:$S$5000,0)),"")</f>
        <v/>
      </c>
      <c r="J91" s="85" t="str">
        <f>IFERROR(INDEX(EQA.CAP_Dados!J$2:J$5000,MATCH(ROW()-4,EQA.CAP_Dados!$S$2:$S$5000,0)),"")</f>
        <v/>
      </c>
      <c r="K91" s="85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81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85" t="str">
        <f>IFERROR(INDEX(EQA.CAP_Dados!O$2:O$5000,MATCH(ROW()-4,EQA.CAP_Dados!$S$2:$S$5000,0)),"")</f>
        <v/>
      </c>
      <c r="P91" s="85" t="str">
        <f>IFERROR(INDEX(EQA.CAP_Dados!P$2:P$5000,MATCH(ROW()-4,EQA.CAP_Dados!$S$2:$S$5000,0)),"")</f>
        <v/>
      </c>
      <c r="Q91" s="81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81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85" t="str">
        <f>IFERROR(INDEX(EQA.CAP_Dados!F$2:F$5000,MATCH(ROW()-4,EQA.CAP_Dados!$S$2:$S$5000,0)),"")</f>
        <v/>
      </c>
      <c r="G92" s="86" t="str">
        <f>IFERROR(INDEX(EQA.CAP_Dados!G$2:G$5000,MATCH(ROW()-4,EQA.CAP_Dados!$S$2:$S$5000,0)),"")</f>
        <v/>
      </c>
      <c r="H92" s="86" t="str">
        <f>IFERROR(INDEX(EQA.CAP_Dados!H$2:H$5000,MATCH(ROW()-4,EQA.CAP_Dados!$S$2:$S$5000,0)),"")</f>
        <v/>
      </c>
      <c r="I92" s="87" t="str">
        <f>IFERROR(INDEX(EQA.CAP_Dados!I$2:I$5000,MATCH(ROW()-4,EQA.CAP_Dados!$S$2:$S$5000,0)),"")</f>
        <v/>
      </c>
      <c r="J92" s="85" t="str">
        <f>IFERROR(INDEX(EQA.CAP_Dados!J$2:J$5000,MATCH(ROW()-4,EQA.CAP_Dados!$S$2:$S$5000,0)),"")</f>
        <v/>
      </c>
      <c r="K92" s="85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81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85" t="str">
        <f>IFERROR(INDEX(EQA.CAP_Dados!O$2:O$5000,MATCH(ROW()-4,EQA.CAP_Dados!$S$2:$S$5000,0)),"")</f>
        <v/>
      </c>
      <c r="P92" s="85" t="str">
        <f>IFERROR(INDEX(EQA.CAP_Dados!P$2:P$5000,MATCH(ROW()-4,EQA.CAP_Dados!$S$2:$S$5000,0)),"")</f>
        <v/>
      </c>
      <c r="Q92" s="81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81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85" t="str">
        <f>IFERROR(INDEX(EQA.CAP_Dados!F$2:F$5000,MATCH(ROW()-4,EQA.CAP_Dados!$S$2:$S$5000,0)),"")</f>
        <v/>
      </c>
      <c r="G93" s="86" t="str">
        <f>IFERROR(INDEX(EQA.CAP_Dados!G$2:G$5000,MATCH(ROW()-4,EQA.CAP_Dados!$S$2:$S$5000,0)),"")</f>
        <v/>
      </c>
      <c r="H93" s="86" t="str">
        <f>IFERROR(INDEX(EQA.CAP_Dados!H$2:H$5000,MATCH(ROW()-4,EQA.CAP_Dados!$S$2:$S$5000,0)),"")</f>
        <v/>
      </c>
      <c r="I93" s="87" t="str">
        <f>IFERROR(INDEX(EQA.CAP_Dados!I$2:I$5000,MATCH(ROW()-4,EQA.CAP_Dados!$S$2:$S$5000,0)),"")</f>
        <v/>
      </c>
      <c r="J93" s="85" t="str">
        <f>IFERROR(INDEX(EQA.CAP_Dados!J$2:J$5000,MATCH(ROW()-4,EQA.CAP_Dados!$S$2:$S$5000,0)),"")</f>
        <v/>
      </c>
      <c r="K93" s="85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81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85" t="str">
        <f>IFERROR(INDEX(EQA.CAP_Dados!O$2:O$5000,MATCH(ROW()-4,EQA.CAP_Dados!$S$2:$S$5000,0)),"")</f>
        <v/>
      </c>
      <c r="P93" s="85" t="str">
        <f>IFERROR(INDEX(EQA.CAP_Dados!P$2:P$5000,MATCH(ROW()-4,EQA.CAP_Dados!$S$2:$S$5000,0)),"")</f>
        <v/>
      </c>
      <c r="Q93" s="81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81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85" t="str">
        <f>IFERROR(INDEX(EQA.CAP_Dados!F$2:F$5000,MATCH(ROW()-4,EQA.CAP_Dados!$S$2:$S$5000,0)),"")</f>
        <v/>
      </c>
      <c r="G94" s="86" t="str">
        <f>IFERROR(INDEX(EQA.CAP_Dados!G$2:G$5000,MATCH(ROW()-4,EQA.CAP_Dados!$S$2:$S$5000,0)),"")</f>
        <v/>
      </c>
      <c r="H94" s="86" t="str">
        <f>IFERROR(INDEX(EQA.CAP_Dados!H$2:H$5000,MATCH(ROW()-4,EQA.CAP_Dados!$S$2:$S$5000,0)),"")</f>
        <v/>
      </c>
      <c r="I94" s="87" t="str">
        <f>IFERROR(INDEX(EQA.CAP_Dados!I$2:I$5000,MATCH(ROW()-4,EQA.CAP_Dados!$S$2:$S$5000,0)),"")</f>
        <v/>
      </c>
      <c r="J94" s="85" t="str">
        <f>IFERROR(INDEX(EQA.CAP_Dados!J$2:J$5000,MATCH(ROW()-4,EQA.CAP_Dados!$S$2:$S$5000,0)),"")</f>
        <v/>
      </c>
      <c r="K94" s="85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81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85" t="str">
        <f>IFERROR(INDEX(EQA.CAP_Dados!O$2:O$5000,MATCH(ROW()-4,EQA.CAP_Dados!$S$2:$S$5000,0)),"")</f>
        <v/>
      </c>
      <c r="P94" s="85" t="str">
        <f>IFERROR(INDEX(EQA.CAP_Dados!P$2:P$5000,MATCH(ROW()-4,EQA.CAP_Dados!$S$2:$S$5000,0)),"")</f>
        <v/>
      </c>
      <c r="Q94" s="81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81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85" t="str">
        <f>IFERROR(INDEX(EQA.CAP_Dados!F$2:F$5000,MATCH(ROW()-4,EQA.CAP_Dados!$S$2:$S$5000,0)),"")</f>
        <v/>
      </c>
      <c r="G95" s="86" t="str">
        <f>IFERROR(INDEX(EQA.CAP_Dados!G$2:G$5000,MATCH(ROW()-4,EQA.CAP_Dados!$S$2:$S$5000,0)),"")</f>
        <v/>
      </c>
      <c r="H95" s="86" t="str">
        <f>IFERROR(INDEX(EQA.CAP_Dados!H$2:H$5000,MATCH(ROW()-4,EQA.CAP_Dados!$S$2:$S$5000,0)),"")</f>
        <v/>
      </c>
      <c r="I95" s="87" t="str">
        <f>IFERROR(INDEX(EQA.CAP_Dados!I$2:I$5000,MATCH(ROW()-4,EQA.CAP_Dados!$S$2:$S$5000,0)),"")</f>
        <v/>
      </c>
      <c r="J95" s="85" t="str">
        <f>IFERROR(INDEX(EQA.CAP_Dados!J$2:J$5000,MATCH(ROW()-4,EQA.CAP_Dados!$S$2:$S$5000,0)),"")</f>
        <v/>
      </c>
      <c r="K95" s="85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81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85" t="str">
        <f>IFERROR(INDEX(EQA.CAP_Dados!O$2:O$5000,MATCH(ROW()-4,EQA.CAP_Dados!$S$2:$S$5000,0)),"")</f>
        <v/>
      </c>
      <c r="P95" s="85" t="str">
        <f>IFERROR(INDEX(EQA.CAP_Dados!P$2:P$5000,MATCH(ROW()-4,EQA.CAP_Dados!$S$2:$S$5000,0)),"")</f>
        <v/>
      </c>
      <c r="Q95" s="81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81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85" t="str">
        <f>IFERROR(INDEX(EQA.CAP_Dados!F$2:F$5000,MATCH(ROW()-4,EQA.CAP_Dados!$S$2:$S$5000,0)),"")</f>
        <v/>
      </c>
      <c r="G96" s="86" t="str">
        <f>IFERROR(INDEX(EQA.CAP_Dados!G$2:G$5000,MATCH(ROW()-4,EQA.CAP_Dados!$S$2:$S$5000,0)),"")</f>
        <v/>
      </c>
      <c r="H96" s="86" t="str">
        <f>IFERROR(INDEX(EQA.CAP_Dados!H$2:H$5000,MATCH(ROW()-4,EQA.CAP_Dados!$S$2:$S$5000,0)),"")</f>
        <v/>
      </c>
      <c r="I96" s="87" t="str">
        <f>IFERROR(INDEX(EQA.CAP_Dados!I$2:I$5000,MATCH(ROW()-4,EQA.CAP_Dados!$S$2:$S$5000,0)),"")</f>
        <v/>
      </c>
      <c r="J96" s="85" t="str">
        <f>IFERROR(INDEX(EQA.CAP_Dados!J$2:J$5000,MATCH(ROW()-4,EQA.CAP_Dados!$S$2:$S$5000,0)),"")</f>
        <v/>
      </c>
      <c r="K96" s="85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81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85" t="str">
        <f>IFERROR(INDEX(EQA.CAP_Dados!O$2:O$5000,MATCH(ROW()-4,EQA.CAP_Dados!$S$2:$S$5000,0)),"")</f>
        <v/>
      </c>
      <c r="P96" s="85" t="str">
        <f>IFERROR(INDEX(EQA.CAP_Dados!P$2:P$5000,MATCH(ROW()-4,EQA.CAP_Dados!$S$2:$S$5000,0)),"")</f>
        <v/>
      </c>
      <c r="Q96" s="81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81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85" t="str">
        <f>IFERROR(INDEX(EQA.CAP_Dados!F$2:F$5000,MATCH(ROW()-4,EQA.CAP_Dados!$S$2:$S$5000,0)),"")</f>
        <v/>
      </c>
      <c r="G97" s="86" t="str">
        <f>IFERROR(INDEX(EQA.CAP_Dados!G$2:G$5000,MATCH(ROW()-4,EQA.CAP_Dados!$S$2:$S$5000,0)),"")</f>
        <v/>
      </c>
      <c r="H97" s="86" t="str">
        <f>IFERROR(INDEX(EQA.CAP_Dados!H$2:H$5000,MATCH(ROW()-4,EQA.CAP_Dados!$S$2:$S$5000,0)),"")</f>
        <v/>
      </c>
      <c r="I97" s="87" t="str">
        <f>IFERROR(INDEX(EQA.CAP_Dados!I$2:I$5000,MATCH(ROW()-4,EQA.CAP_Dados!$S$2:$S$5000,0)),"")</f>
        <v/>
      </c>
      <c r="J97" s="85" t="str">
        <f>IFERROR(INDEX(EQA.CAP_Dados!J$2:J$5000,MATCH(ROW()-4,EQA.CAP_Dados!$S$2:$S$5000,0)),"")</f>
        <v/>
      </c>
      <c r="K97" s="85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81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85" t="str">
        <f>IFERROR(INDEX(EQA.CAP_Dados!O$2:O$5000,MATCH(ROW()-4,EQA.CAP_Dados!$S$2:$S$5000,0)),"")</f>
        <v/>
      </c>
      <c r="P97" s="85" t="str">
        <f>IFERROR(INDEX(EQA.CAP_Dados!P$2:P$5000,MATCH(ROW()-4,EQA.CAP_Dados!$S$2:$S$5000,0)),"")</f>
        <v/>
      </c>
      <c r="Q97" s="81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81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85" t="str">
        <f>IFERROR(INDEX(EQA.CAP_Dados!F$2:F$5000,MATCH(ROW()-4,EQA.CAP_Dados!$S$2:$S$5000,0)),"")</f>
        <v/>
      </c>
      <c r="G98" s="86" t="str">
        <f>IFERROR(INDEX(EQA.CAP_Dados!G$2:G$5000,MATCH(ROW()-4,EQA.CAP_Dados!$S$2:$S$5000,0)),"")</f>
        <v/>
      </c>
      <c r="H98" s="86" t="str">
        <f>IFERROR(INDEX(EQA.CAP_Dados!H$2:H$5000,MATCH(ROW()-4,EQA.CAP_Dados!$S$2:$S$5000,0)),"")</f>
        <v/>
      </c>
      <c r="I98" s="87" t="str">
        <f>IFERROR(INDEX(EQA.CAP_Dados!I$2:I$5000,MATCH(ROW()-4,EQA.CAP_Dados!$S$2:$S$5000,0)),"")</f>
        <v/>
      </c>
      <c r="J98" s="85" t="str">
        <f>IFERROR(INDEX(EQA.CAP_Dados!J$2:J$5000,MATCH(ROW()-4,EQA.CAP_Dados!$S$2:$S$5000,0)),"")</f>
        <v/>
      </c>
      <c r="K98" s="85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81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85" t="str">
        <f>IFERROR(INDEX(EQA.CAP_Dados!O$2:O$5000,MATCH(ROW()-4,EQA.CAP_Dados!$S$2:$S$5000,0)),"")</f>
        <v/>
      </c>
      <c r="P98" s="85" t="str">
        <f>IFERROR(INDEX(EQA.CAP_Dados!P$2:P$5000,MATCH(ROW()-4,EQA.CAP_Dados!$S$2:$S$5000,0)),"")</f>
        <v/>
      </c>
      <c r="Q98" s="81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81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85" t="str">
        <f>IFERROR(INDEX(EQA.CAP_Dados!F$2:F$5000,MATCH(ROW()-4,EQA.CAP_Dados!$S$2:$S$5000,0)),"")</f>
        <v/>
      </c>
      <c r="G99" s="86" t="str">
        <f>IFERROR(INDEX(EQA.CAP_Dados!G$2:G$5000,MATCH(ROW()-4,EQA.CAP_Dados!$S$2:$S$5000,0)),"")</f>
        <v/>
      </c>
      <c r="H99" s="86" t="str">
        <f>IFERROR(INDEX(EQA.CAP_Dados!H$2:H$5000,MATCH(ROW()-4,EQA.CAP_Dados!$S$2:$S$5000,0)),"")</f>
        <v/>
      </c>
      <c r="I99" s="87" t="str">
        <f>IFERROR(INDEX(EQA.CAP_Dados!I$2:I$5000,MATCH(ROW()-4,EQA.CAP_Dados!$S$2:$S$5000,0)),"")</f>
        <v/>
      </c>
      <c r="J99" s="85" t="str">
        <f>IFERROR(INDEX(EQA.CAP_Dados!J$2:J$5000,MATCH(ROW()-4,EQA.CAP_Dados!$S$2:$S$5000,0)),"")</f>
        <v/>
      </c>
      <c r="K99" s="85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81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85" t="str">
        <f>IFERROR(INDEX(EQA.CAP_Dados!O$2:O$5000,MATCH(ROW()-4,EQA.CAP_Dados!$S$2:$S$5000,0)),"")</f>
        <v/>
      </c>
      <c r="P99" s="85" t="str">
        <f>IFERROR(INDEX(EQA.CAP_Dados!P$2:P$5000,MATCH(ROW()-4,EQA.CAP_Dados!$S$2:$S$5000,0)),"")</f>
        <v/>
      </c>
      <c r="Q99" s="81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81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85" t="str">
        <f>IFERROR(INDEX(EQA.CAP_Dados!F$2:F$5000,MATCH(ROW()-4,EQA.CAP_Dados!$S$2:$S$5000,0)),"")</f>
        <v/>
      </c>
      <c r="G100" s="86" t="str">
        <f>IFERROR(INDEX(EQA.CAP_Dados!G$2:G$5000,MATCH(ROW()-4,EQA.CAP_Dados!$S$2:$S$5000,0)),"")</f>
        <v/>
      </c>
      <c r="H100" s="86" t="str">
        <f>IFERROR(INDEX(EQA.CAP_Dados!H$2:H$5000,MATCH(ROW()-4,EQA.CAP_Dados!$S$2:$S$5000,0)),"")</f>
        <v/>
      </c>
      <c r="I100" s="87" t="str">
        <f>IFERROR(INDEX(EQA.CAP_Dados!I$2:I$5000,MATCH(ROW()-4,EQA.CAP_Dados!$S$2:$S$5000,0)),"")</f>
        <v/>
      </c>
      <c r="J100" s="85" t="str">
        <f>IFERROR(INDEX(EQA.CAP_Dados!J$2:J$5000,MATCH(ROW()-4,EQA.CAP_Dados!$S$2:$S$5000,0)),"")</f>
        <v/>
      </c>
      <c r="K100" s="85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81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85" t="str">
        <f>IFERROR(INDEX(EQA.CAP_Dados!O$2:O$5000,MATCH(ROW()-4,EQA.CAP_Dados!$S$2:$S$5000,0)),"")</f>
        <v/>
      </c>
      <c r="P100" s="85" t="str">
        <f>IFERROR(INDEX(EQA.CAP_Dados!P$2:P$5000,MATCH(ROW()-4,EQA.CAP_Dados!$S$2:$S$5000,0)),"")</f>
        <v/>
      </c>
      <c r="Q100" s="81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81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85" t="str">
        <f>IFERROR(INDEX(EQA.CAP_Dados!F$2:F$5000,MATCH(ROW()-4,EQA.CAP_Dados!$S$2:$S$5000,0)),"")</f>
        <v/>
      </c>
      <c r="G101" s="86" t="str">
        <f>IFERROR(INDEX(EQA.CAP_Dados!G$2:G$5000,MATCH(ROW()-4,EQA.CAP_Dados!$S$2:$S$5000,0)),"")</f>
        <v/>
      </c>
      <c r="H101" s="86" t="str">
        <f>IFERROR(INDEX(EQA.CAP_Dados!H$2:H$5000,MATCH(ROW()-4,EQA.CAP_Dados!$S$2:$S$5000,0)),"")</f>
        <v/>
      </c>
      <c r="I101" s="87" t="str">
        <f>IFERROR(INDEX(EQA.CAP_Dados!I$2:I$5000,MATCH(ROW()-4,EQA.CAP_Dados!$S$2:$S$5000,0)),"")</f>
        <v/>
      </c>
      <c r="J101" s="85" t="str">
        <f>IFERROR(INDEX(EQA.CAP_Dados!J$2:J$5000,MATCH(ROW()-4,EQA.CAP_Dados!$S$2:$S$5000,0)),"")</f>
        <v/>
      </c>
      <c r="K101" s="85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81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85" t="str">
        <f>IFERROR(INDEX(EQA.CAP_Dados!O$2:O$5000,MATCH(ROW()-4,EQA.CAP_Dados!$S$2:$S$5000,0)),"")</f>
        <v/>
      </c>
      <c r="P101" s="85" t="str">
        <f>IFERROR(INDEX(EQA.CAP_Dados!P$2:P$5000,MATCH(ROW()-4,EQA.CAP_Dados!$S$2:$S$5000,0)),"")</f>
        <v/>
      </c>
      <c r="Q101" s="81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81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85" t="str">
        <f>IFERROR(INDEX(EQA.CAP_Dados!F$2:F$5000,MATCH(ROW()-4,EQA.CAP_Dados!$S$2:$S$5000,0)),"")</f>
        <v/>
      </c>
      <c r="G102" s="86" t="str">
        <f>IFERROR(INDEX(EQA.CAP_Dados!G$2:G$5000,MATCH(ROW()-4,EQA.CAP_Dados!$S$2:$S$5000,0)),"")</f>
        <v/>
      </c>
      <c r="H102" s="86" t="str">
        <f>IFERROR(INDEX(EQA.CAP_Dados!H$2:H$5000,MATCH(ROW()-4,EQA.CAP_Dados!$S$2:$S$5000,0)),"")</f>
        <v/>
      </c>
      <c r="I102" s="87" t="str">
        <f>IFERROR(INDEX(EQA.CAP_Dados!I$2:I$5000,MATCH(ROW()-4,EQA.CAP_Dados!$S$2:$S$5000,0)),"")</f>
        <v/>
      </c>
      <c r="J102" s="85" t="str">
        <f>IFERROR(INDEX(EQA.CAP_Dados!J$2:J$5000,MATCH(ROW()-4,EQA.CAP_Dados!$S$2:$S$5000,0)),"")</f>
        <v/>
      </c>
      <c r="K102" s="85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81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85" t="str">
        <f>IFERROR(INDEX(EQA.CAP_Dados!O$2:O$5000,MATCH(ROW()-4,EQA.CAP_Dados!$S$2:$S$5000,0)),"")</f>
        <v/>
      </c>
      <c r="P102" s="85" t="str">
        <f>IFERROR(INDEX(EQA.CAP_Dados!P$2:P$5000,MATCH(ROW()-4,EQA.CAP_Dados!$S$2:$S$5000,0)),"")</f>
        <v/>
      </c>
      <c r="Q102" s="81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81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85" t="str">
        <f>IFERROR(INDEX(EQA.CAP_Dados!F$2:F$5000,MATCH(ROW()-4,EQA.CAP_Dados!$S$2:$S$5000,0)),"")</f>
        <v/>
      </c>
      <c r="G103" s="86" t="str">
        <f>IFERROR(INDEX(EQA.CAP_Dados!G$2:G$5000,MATCH(ROW()-4,EQA.CAP_Dados!$S$2:$S$5000,0)),"")</f>
        <v/>
      </c>
      <c r="H103" s="86" t="str">
        <f>IFERROR(INDEX(EQA.CAP_Dados!H$2:H$5000,MATCH(ROW()-4,EQA.CAP_Dados!$S$2:$S$5000,0)),"")</f>
        <v/>
      </c>
      <c r="I103" s="87" t="str">
        <f>IFERROR(INDEX(EQA.CAP_Dados!I$2:I$5000,MATCH(ROW()-4,EQA.CAP_Dados!$S$2:$S$5000,0)),"")</f>
        <v/>
      </c>
      <c r="J103" s="85" t="str">
        <f>IFERROR(INDEX(EQA.CAP_Dados!J$2:J$5000,MATCH(ROW()-4,EQA.CAP_Dados!$S$2:$S$5000,0)),"")</f>
        <v/>
      </c>
      <c r="K103" s="85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81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85" t="str">
        <f>IFERROR(INDEX(EQA.CAP_Dados!O$2:O$5000,MATCH(ROW()-4,EQA.CAP_Dados!$S$2:$S$5000,0)),"")</f>
        <v/>
      </c>
      <c r="P103" s="85" t="str">
        <f>IFERROR(INDEX(EQA.CAP_Dados!P$2:P$5000,MATCH(ROW()-4,EQA.CAP_Dados!$S$2:$S$5000,0)),"")</f>
        <v/>
      </c>
      <c r="Q103" s="81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81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85" t="str">
        <f>IFERROR(INDEX(EQA.CAP_Dados!F$2:F$5000,MATCH(ROW()-4,EQA.CAP_Dados!$S$2:$S$5000,0)),"")</f>
        <v/>
      </c>
      <c r="G104" s="86" t="str">
        <f>IFERROR(INDEX(EQA.CAP_Dados!G$2:G$5000,MATCH(ROW()-4,EQA.CAP_Dados!$S$2:$S$5000,0)),"")</f>
        <v/>
      </c>
      <c r="H104" s="86" t="str">
        <f>IFERROR(INDEX(EQA.CAP_Dados!H$2:H$5000,MATCH(ROW()-4,EQA.CAP_Dados!$S$2:$S$5000,0)),"")</f>
        <v/>
      </c>
      <c r="I104" s="87" t="str">
        <f>IFERROR(INDEX(EQA.CAP_Dados!I$2:I$5000,MATCH(ROW()-4,EQA.CAP_Dados!$S$2:$S$5000,0)),"")</f>
        <v/>
      </c>
      <c r="J104" s="85" t="str">
        <f>IFERROR(INDEX(EQA.CAP_Dados!J$2:J$5000,MATCH(ROW()-4,EQA.CAP_Dados!$S$2:$S$5000,0)),"")</f>
        <v/>
      </c>
      <c r="K104" s="85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81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85" t="str">
        <f>IFERROR(INDEX(EQA.CAP_Dados!O$2:O$5000,MATCH(ROW()-4,EQA.CAP_Dados!$S$2:$S$5000,0)),"")</f>
        <v/>
      </c>
      <c r="P104" s="85" t="str">
        <f>IFERROR(INDEX(EQA.CAP_Dados!P$2:P$5000,MATCH(ROW()-4,EQA.CAP_Dados!$S$2:$S$5000,0)),"")</f>
        <v/>
      </c>
      <c r="Q104" s="81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81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85" t="str">
        <f>IFERROR(INDEX(EQA.CAP_Dados!F$2:F$5000,MATCH(ROW()-4,EQA.CAP_Dados!$S$2:$S$5000,0)),"")</f>
        <v/>
      </c>
      <c r="G105" s="86" t="str">
        <f>IFERROR(INDEX(EQA.CAP_Dados!G$2:G$5000,MATCH(ROW()-4,EQA.CAP_Dados!$S$2:$S$5000,0)),"")</f>
        <v/>
      </c>
      <c r="H105" s="86" t="str">
        <f>IFERROR(INDEX(EQA.CAP_Dados!H$2:H$5000,MATCH(ROW()-4,EQA.CAP_Dados!$S$2:$S$5000,0)),"")</f>
        <v/>
      </c>
      <c r="I105" s="87" t="str">
        <f>IFERROR(INDEX(EQA.CAP_Dados!I$2:I$5000,MATCH(ROW()-4,EQA.CAP_Dados!$S$2:$S$5000,0)),"")</f>
        <v/>
      </c>
      <c r="J105" s="85" t="str">
        <f>IFERROR(INDEX(EQA.CAP_Dados!J$2:J$5000,MATCH(ROW()-4,EQA.CAP_Dados!$S$2:$S$5000,0)),"")</f>
        <v/>
      </c>
      <c r="K105" s="85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81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85" t="str">
        <f>IFERROR(INDEX(EQA.CAP_Dados!O$2:O$5000,MATCH(ROW()-4,EQA.CAP_Dados!$S$2:$S$5000,0)),"")</f>
        <v/>
      </c>
      <c r="P105" s="85" t="str">
        <f>IFERROR(INDEX(EQA.CAP_Dados!P$2:P$5000,MATCH(ROW()-4,EQA.CAP_Dados!$S$2:$S$5000,0)),"")</f>
        <v/>
      </c>
      <c r="Q105" s="81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81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85" t="str">
        <f>IFERROR(INDEX(EQA.CAP_Dados!F$2:F$5000,MATCH(ROW()-4,EQA.CAP_Dados!$S$2:$S$5000,0)),"")</f>
        <v/>
      </c>
      <c r="G106" s="86" t="str">
        <f>IFERROR(INDEX(EQA.CAP_Dados!G$2:G$5000,MATCH(ROW()-4,EQA.CAP_Dados!$S$2:$S$5000,0)),"")</f>
        <v/>
      </c>
      <c r="H106" s="86" t="str">
        <f>IFERROR(INDEX(EQA.CAP_Dados!H$2:H$5000,MATCH(ROW()-4,EQA.CAP_Dados!$S$2:$S$5000,0)),"")</f>
        <v/>
      </c>
      <c r="I106" s="87" t="str">
        <f>IFERROR(INDEX(EQA.CAP_Dados!I$2:I$5000,MATCH(ROW()-4,EQA.CAP_Dados!$S$2:$S$5000,0)),"")</f>
        <v/>
      </c>
      <c r="J106" s="85" t="str">
        <f>IFERROR(INDEX(EQA.CAP_Dados!J$2:J$5000,MATCH(ROW()-4,EQA.CAP_Dados!$S$2:$S$5000,0)),"")</f>
        <v/>
      </c>
      <c r="K106" s="85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81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85" t="str">
        <f>IFERROR(INDEX(EQA.CAP_Dados!O$2:O$5000,MATCH(ROW()-4,EQA.CAP_Dados!$S$2:$S$5000,0)),"")</f>
        <v/>
      </c>
      <c r="P106" s="85" t="str">
        <f>IFERROR(INDEX(EQA.CAP_Dados!P$2:P$5000,MATCH(ROW()-4,EQA.CAP_Dados!$S$2:$S$5000,0)),"")</f>
        <v/>
      </c>
      <c r="Q106" s="81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81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85" t="str">
        <f>IFERROR(INDEX(EQA.CAP_Dados!F$2:F$5000,MATCH(ROW()-4,EQA.CAP_Dados!$S$2:$S$5000,0)),"")</f>
        <v/>
      </c>
      <c r="G107" s="86" t="str">
        <f>IFERROR(INDEX(EQA.CAP_Dados!G$2:G$5000,MATCH(ROW()-4,EQA.CAP_Dados!$S$2:$S$5000,0)),"")</f>
        <v/>
      </c>
      <c r="H107" s="86" t="str">
        <f>IFERROR(INDEX(EQA.CAP_Dados!H$2:H$5000,MATCH(ROW()-4,EQA.CAP_Dados!$S$2:$S$5000,0)),"")</f>
        <v/>
      </c>
      <c r="I107" s="87" t="str">
        <f>IFERROR(INDEX(EQA.CAP_Dados!I$2:I$5000,MATCH(ROW()-4,EQA.CAP_Dados!$S$2:$S$5000,0)),"")</f>
        <v/>
      </c>
      <c r="J107" s="85" t="str">
        <f>IFERROR(INDEX(EQA.CAP_Dados!J$2:J$5000,MATCH(ROW()-4,EQA.CAP_Dados!$S$2:$S$5000,0)),"")</f>
        <v/>
      </c>
      <c r="K107" s="85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81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85" t="str">
        <f>IFERROR(INDEX(EQA.CAP_Dados!O$2:O$5000,MATCH(ROW()-4,EQA.CAP_Dados!$S$2:$S$5000,0)),"")</f>
        <v/>
      </c>
      <c r="P107" s="85" t="str">
        <f>IFERROR(INDEX(EQA.CAP_Dados!P$2:P$5000,MATCH(ROW()-4,EQA.CAP_Dados!$S$2:$S$5000,0)),"")</f>
        <v/>
      </c>
      <c r="Q107" s="81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81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85" t="str">
        <f>IFERROR(INDEX(EQA.CAP_Dados!F$2:F$5000,MATCH(ROW()-4,EQA.CAP_Dados!$S$2:$S$5000,0)),"")</f>
        <v/>
      </c>
      <c r="G108" s="86" t="str">
        <f>IFERROR(INDEX(EQA.CAP_Dados!G$2:G$5000,MATCH(ROW()-4,EQA.CAP_Dados!$S$2:$S$5000,0)),"")</f>
        <v/>
      </c>
      <c r="H108" s="86" t="str">
        <f>IFERROR(INDEX(EQA.CAP_Dados!H$2:H$5000,MATCH(ROW()-4,EQA.CAP_Dados!$S$2:$S$5000,0)),"")</f>
        <v/>
      </c>
      <c r="I108" s="87" t="str">
        <f>IFERROR(INDEX(EQA.CAP_Dados!I$2:I$5000,MATCH(ROW()-4,EQA.CAP_Dados!$S$2:$S$5000,0)),"")</f>
        <v/>
      </c>
      <c r="J108" s="85" t="str">
        <f>IFERROR(INDEX(EQA.CAP_Dados!J$2:J$5000,MATCH(ROW()-4,EQA.CAP_Dados!$S$2:$S$5000,0)),"")</f>
        <v/>
      </c>
      <c r="K108" s="85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81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85" t="str">
        <f>IFERROR(INDEX(EQA.CAP_Dados!O$2:O$5000,MATCH(ROW()-4,EQA.CAP_Dados!$S$2:$S$5000,0)),"")</f>
        <v/>
      </c>
      <c r="P108" s="85" t="str">
        <f>IFERROR(INDEX(EQA.CAP_Dados!P$2:P$5000,MATCH(ROW()-4,EQA.CAP_Dados!$S$2:$S$5000,0)),"")</f>
        <v/>
      </c>
      <c r="Q108" s="81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81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85" t="str">
        <f>IFERROR(INDEX(EQA.CAP_Dados!F$2:F$5000,MATCH(ROW()-4,EQA.CAP_Dados!$S$2:$S$5000,0)),"")</f>
        <v/>
      </c>
      <c r="G109" s="86" t="str">
        <f>IFERROR(INDEX(EQA.CAP_Dados!G$2:G$5000,MATCH(ROW()-4,EQA.CAP_Dados!$S$2:$S$5000,0)),"")</f>
        <v/>
      </c>
      <c r="H109" s="86" t="str">
        <f>IFERROR(INDEX(EQA.CAP_Dados!H$2:H$5000,MATCH(ROW()-4,EQA.CAP_Dados!$S$2:$S$5000,0)),"")</f>
        <v/>
      </c>
      <c r="I109" s="87" t="str">
        <f>IFERROR(INDEX(EQA.CAP_Dados!I$2:I$5000,MATCH(ROW()-4,EQA.CAP_Dados!$S$2:$S$5000,0)),"")</f>
        <v/>
      </c>
      <c r="J109" s="85" t="str">
        <f>IFERROR(INDEX(EQA.CAP_Dados!J$2:J$5000,MATCH(ROW()-4,EQA.CAP_Dados!$S$2:$S$5000,0)),"")</f>
        <v/>
      </c>
      <c r="K109" s="85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81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85" t="str">
        <f>IFERROR(INDEX(EQA.CAP_Dados!O$2:O$5000,MATCH(ROW()-4,EQA.CAP_Dados!$S$2:$S$5000,0)),"")</f>
        <v/>
      </c>
      <c r="P109" s="85" t="str">
        <f>IFERROR(INDEX(EQA.CAP_Dados!P$2:P$5000,MATCH(ROW()-4,EQA.CAP_Dados!$S$2:$S$5000,0)),"")</f>
        <v/>
      </c>
      <c r="Q109" s="81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81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85" t="str">
        <f>IFERROR(INDEX(EQA.CAP_Dados!F$2:F$5000,MATCH(ROW()-4,EQA.CAP_Dados!$S$2:$S$5000,0)),"")</f>
        <v/>
      </c>
      <c r="G110" s="86" t="str">
        <f>IFERROR(INDEX(EQA.CAP_Dados!G$2:G$5000,MATCH(ROW()-4,EQA.CAP_Dados!$S$2:$S$5000,0)),"")</f>
        <v/>
      </c>
      <c r="H110" s="86" t="str">
        <f>IFERROR(INDEX(EQA.CAP_Dados!H$2:H$5000,MATCH(ROW()-4,EQA.CAP_Dados!$S$2:$S$5000,0)),"")</f>
        <v/>
      </c>
      <c r="I110" s="87" t="str">
        <f>IFERROR(INDEX(EQA.CAP_Dados!I$2:I$5000,MATCH(ROW()-4,EQA.CAP_Dados!$S$2:$S$5000,0)),"")</f>
        <v/>
      </c>
      <c r="J110" s="85" t="str">
        <f>IFERROR(INDEX(EQA.CAP_Dados!J$2:J$5000,MATCH(ROW()-4,EQA.CAP_Dados!$S$2:$S$5000,0)),"")</f>
        <v/>
      </c>
      <c r="K110" s="85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81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85" t="str">
        <f>IFERROR(INDEX(EQA.CAP_Dados!O$2:O$5000,MATCH(ROW()-4,EQA.CAP_Dados!$S$2:$S$5000,0)),"")</f>
        <v/>
      </c>
      <c r="P110" s="85" t="str">
        <f>IFERROR(INDEX(EQA.CAP_Dados!P$2:P$5000,MATCH(ROW()-4,EQA.CAP_Dados!$S$2:$S$5000,0)),"")</f>
        <v/>
      </c>
      <c r="Q110" s="81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81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85" t="str">
        <f>IFERROR(INDEX(EQA.CAP_Dados!F$2:F$5000,MATCH(ROW()-4,EQA.CAP_Dados!$S$2:$S$5000,0)),"")</f>
        <v/>
      </c>
      <c r="G111" s="86" t="str">
        <f>IFERROR(INDEX(EQA.CAP_Dados!G$2:G$5000,MATCH(ROW()-4,EQA.CAP_Dados!$S$2:$S$5000,0)),"")</f>
        <v/>
      </c>
      <c r="H111" s="86" t="str">
        <f>IFERROR(INDEX(EQA.CAP_Dados!H$2:H$5000,MATCH(ROW()-4,EQA.CAP_Dados!$S$2:$S$5000,0)),"")</f>
        <v/>
      </c>
      <c r="I111" s="87" t="str">
        <f>IFERROR(INDEX(EQA.CAP_Dados!I$2:I$5000,MATCH(ROW()-4,EQA.CAP_Dados!$S$2:$S$5000,0)),"")</f>
        <v/>
      </c>
      <c r="J111" s="85" t="str">
        <f>IFERROR(INDEX(EQA.CAP_Dados!J$2:J$5000,MATCH(ROW()-4,EQA.CAP_Dados!$S$2:$S$5000,0)),"")</f>
        <v/>
      </c>
      <c r="K111" s="85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81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85" t="str">
        <f>IFERROR(INDEX(EQA.CAP_Dados!O$2:O$5000,MATCH(ROW()-4,EQA.CAP_Dados!$S$2:$S$5000,0)),"")</f>
        <v/>
      </c>
      <c r="P111" s="85" t="str">
        <f>IFERROR(INDEX(EQA.CAP_Dados!P$2:P$5000,MATCH(ROW()-4,EQA.CAP_Dados!$S$2:$S$5000,0)),"")</f>
        <v/>
      </c>
      <c r="Q111" s="81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81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85" t="str">
        <f>IFERROR(INDEX(EQA.CAP_Dados!F$2:F$5000,MATCH(ROW()-4,EQA.CAP_Dados!$S$2:$S$5000,0)),"")</f>
        <v/>
      </c>
      <c r="G112" s="86" t="str">
        <f>IFERROR(INDEX(EQA.CAP_Dados!G$2:G$5000,MATCH(ROW()-4,EQA.CAP_Dados!$S$2:$S$5000,0)),"")</f>
        <v/>
      </c>
      <c r="H112" s="86" t="str">
        <f>IFERROR(INDEX(EQA.CAP_Dados!H$2:H$5000,MATCH(ROW()-4,EQA.CAP_Dados!$S$2:$S$5000,0)),"")</f>
        <v/>
      </c>
      <c r="I112" s="87" t="str">
        <f>IFERROR(INDEX(EQA.CAP_Dados!I$2:I$5000,MATCH(ROW()-4,EQA.CAP_Dados!$S$2:$S$5000,0)),"")</f>
        <v/>
      </c>
      <c r="J112" s="85" t="str">
        <f>IFERROR(INDEX(EQA.CAP_Dados!J$2:J$5000,MATCH(ROW()-4,EQA.CAP_Dados!$S$2:$S$5000,0)),"")</f>
        <v/>
      </c>
      <c r="K112" s="85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81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85" t="str">
        <f>IFERROR(INDEX(EQA.CAP_Dados!O$2:O$5000,MATCH(ROW()-4,EQA.CAP_Dados!$S$2:$S$5000,0)),"")</f>
        <v/>
      </c>
      <c r="P112" s="85" t="str">
        <f>IFERROR(INDEX(EQA.CAP_Dados!P$2:P$5000,MATCH(ROW()-4,EQA.CAP_Dados!$S$2:$S$5000,0)),"")</f>
        <v/>
      </c>
      <c r="Q112" s="81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81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85" t="str">
        <f>IFERROR(INDEX(EQA.CAP_Dados!F$2:F$5000,MATCH(ROW()-4,EQA.CAP_Dados!$S$2:$S$5000,0)),"")</f>
        <v/>
      </c>
      <c r="G113" s="86" t="str">
        <f>IFERROR(INDEX(EQA.CAP_Dados!G$2:G$5000,MATCH(ROW()-4,EQA.CAP_Dados!$S$2:$S$5000,0)),"")</f>
        <v/>
      </c>
      <c r="H113" s="86" t="str">
        <f>IFERROR(INDEX(EQA.CAP_Dados!H$2:H$5000,MATCH(ROW()-4,EQA.CAP_Dados!$S$2:$S$5000,0)),"")</f>
        <v/>
      </c>
      <c r="I113" s="87" t="str">
        <f>IFERROR(INDEX(EQA.CAP_Dados!I$2:I$5000,MATCH(ROW()-4,EQA.CAP_Dados!$S$2:$S$5000,0)),"")</f>
        <v/>
      </c>
      <c r="J113" s="85" t="str">
        <f>IFERROR(INDEX(EQA.CAP_Dados!J$2:J$5000,MATCH(ROW()-4,EQA.CAP_Dados!$S$2:$S$5000,0)),"")</f>
        <v/>
      </c>
      <c r="K113" s="85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81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85" t="str">
        <f>IFERROR(INDEX(EQA.CAP_Dados!O$2:O$5000,MATCH(ROW()-4,EQA.CAP_Dados!$S$2:$S$5000,0)),"")</f>
        <v/>
      </c>
      <c r="P113" s="85" t="str">
        <f>IFERROR(INDEX(EQA.CAP_Dados!P$2:P$5000,MATCH(ROW()-4,EQA.CAP_Dados!$S$2:$S$5000,0)),"")</f>
        <v/>
      </c>
      <c r="Q113" s="81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81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85" t="str">
        <f>IFERROR(INDEX(EQA.CAP_Dados!F$2:F$5000,MATCH(ROW()-4,EQA.CAP_Dados!$S$2:$S$5000,0)),"")</f>
        <v/>
      </c>
      <c r="G114" s="86" t="str">
        <f>IFERROR(INDEX(EQA.CAP_Dados!G$2:G$5000,MATCH(ROW()-4,EQA.CAP_Dados!$S$2:$S$5000,0)),"")</f>
        <v/>
      </c>
      <c r="H114" s="86" t="str">
        <f>IFERROR(INDEX(EQA.CAP_Dados!H$2:H$5000,MATCH(ROW()-4,EQA.CAP_Dados!$S$2:$S$5000,0)),"")</f>
        <v/>
      </c>
      <c r="I114" s="87" t="str">
        <f>IFERROR(INDEX(EQA.CAP_Dados!I$2:I$5000,MATCH(ROW()-4,EQA.CAP_Dados!$S$2:$S$5000,0)),"")</f>
        <v/>
      </c>
      <c r="J114" s="85" t="str">
        <f>IFERROR(INDEX(EQA.CAP_Dados!J$2:J$5000,MATCH(ROW()-4,EQA.CAP_Dados!$S$2:$S$5000,0)),"")</f>
        <v/>
      </c>
      <c r="K114" s="85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81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85" t="str">
        <f>IFERROR(INDEX(EQA.CAP_Dados!O$2:O$5000,MATCH(ROW()-4,EQA.CAP_Dados!$S$2:$S$5000,0)),"")</f>
        <v/>
      </c>
      <c r="P114" s="85" t="str">
        <f>IFERROR(INDEX(EQA.CAP_Dados!P$2:P$5000,MATCH(ROW()-4,EQA.CAP_Dados!$S$2:$S$5000,0)),"")</f>
        <v/>
      </c>
      <c r="Q114" s="81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81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85" t="str">
        <f>IFERROR(INDEX(EQA.CAP_Dados!F$2:F$5000,MATCH(ROW()-4,EQA.CAP_Dados!$S$2:$S$5000,0)),"")</f>
        <v/>
      </c>
      <c r="G115" s="86" t="str">
        <f>IFERROR(INDEX(EQA.CAP_Dados!G$2:G$5000,MATCH(ROW()-4,EQA.CAP_Dados!$S$2:$S$5000,0)),"")</f>
        <v/>
      </c>
      <c r="H115" s="86" t="str">
        <f>IFERROR(INDEX(EQA.CAP_Dados!H$2:H$5000,MATCH(ROW()-4,EQA.CAP_Dados!$S$2:$S$5000,0)),"")</f>
        <v/>
      </c>
      <c r="I115" s="87" t="str">
        <f>IFERROR(INDEX(EQA.CAP_Dados!I$2:I$5000,MATCH(ROW()-4,EQA.CAP_Dados!$S$2:$S$5000,0)),"")</f>
        <v/>
      </c>
      <c r="J115" s="85" t="str">
        <f>IFERROR(INDEX(EQA.CAP_Dados!J$2:J$5000,MATCH(ROW()-4,EQA.CAP_Dados!$S$2:$S$5000,0)),"")</f>
        <v/>
      </c>
      <c r="K115" s="85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81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85" t="str">
        <f>IFERROR(INDEX(EQA.CAP_Dados!O$2:O$5000,MATCH(ROW()-4,EQA.CAP_Dados!$S$2:$S$5000,0)),"")</f>
        <v/>
      </c>
      <c r="P115" s="85" t="str">
        <f>IFERROR(INDEX(EQA.CAP_Dados!P$2:P$5000,MATCH(ROW()-4,EQA.CAP_Dados!$S$2:$S$5000,0)),"")</f>
        <v/>
      </c>
      <c r="Q115" s="81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81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85" t="str">
        <f>IFERROR(INDEX(EQA.CAP_Dados!F$2:F$5000,MATCH(ROW()-4,EQA.CAP_Dados!$S$2:$S$5000,0)),"")</f>
        <v/>
      </c>
      <c r="G116" s="86" t="str">
        <f>IFERROR(INDEX(EQA.CAP_Dados!G$2:G$5000,MATCH(ROW()-4,EQA.CAP_Dados!$S$2:$S$5000,0)),"")</f>
        <v/>
      </c>
      <c r="H116" s="86" t="str">
        <f>IFERROR(INDEX(EQA.CAP_Dados!H$2:H$5000,MATCH(ROW()-4,EQA.CAP_Dados!$S$2:$S$5000,0)),"")</f>
        <v/>
      </c>
      <c r="I116" s="87" t="str">
        <f>IFERROR(INDEX(EQA.CAP_Dados!I$2:I$5000,MATCH(ROW()-4,EQA.CAP_Dados!$S$2:$S$5000,0)),"")</f>
        <v/>
      </c>
      <c r="J116" s="85" t="str">
        <f>IFERROR(INDEX(EQA.CAP_Dados!J$2:J$5000,MATCH(ROW()-4,EQA.CAP_Dados!$S$2:$S$5000,0)),"")</f>
        <v/>
      </c>
      <c r="K116" s="85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81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85" t="str">
        <f>IFERROR(INDEX(EQA.CAP_Dados!O$2:O$5000,MATCH(ROW()-4,EQA.CAP_Dados!$S$2:$S$5000,0)),"")</f>
        <v/>
      </c>
      <c r="P116" s="85" t="str">
        <f>IFERROR(INDEX(EQA.CAP_Dados!P$2:P$5000,MATCH(ROW()-4,EQA.CAP_Dados!$S$2:$S$5000,0)),"")</f>
        <v/>
      </c>
      <c r="Q116" s="81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81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85" t="str">
        <f>IFERROR(INDEX(EQA.CAP_Dados!F$2:F$5000,MATCH(ROW()-4,EQA.CAP_Dados!$S$2:$S$5000,0)),"")</f>
        <v/>
      </c>
      <c r="G117" s="86" t="str">
        <f>IFERROR(INDEX(EQA.CAP_Dados!G$2:G$5000,MATCH(ROW()-4,EQA.CAP_Dados!$S$2:$S$5000,0)),"")</f>
        <v/>
      </c>
      <c r="H117" s="86" t="str">
        <f>IFERROR(INDEX(EQA.CAP_Dados!H$2:H$5000,MATCH(ROW()-4,EQA.CAP_Dados!$S$2:$S$5000,0)),"")</f>
        <v/>
      </c>
      <c r="I117" s="87" t="str">
        <f>IFERROR(INDEX(EQA.CAP_Dados!I$2:I$5000,MATCH(ROW()-4,EQA.CAP_Dados!$S$2:$S$5000,0)),"")</f>
        <v/>
      </c>
      <c r="J117" s="85" t="str">
        <f>IFERROR(INDEX(EQA.CAP_Dados!J$2:J$5000,MATCH(ROW()-4,EQA.CAP_Dados!$S$2:$S$5000,0)),"")</f>
        <v/>
      </c>
      <c r="K117" s="85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81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85" t="str">
        <f>IFERROR(INDEX(EQA.CAP_Dados!O$2:O$5000,MATCH(ROW()-4,EQA.CAP_Dados!$S$2:$S$5000,0)),"")</f>
        <v/>
      </c>
      <c r="P117" s="85" t="str">
        <f>IFERROR(INDEX(EQA.CAP_Dados!P$2:P$5000,MATCH(ROW()-4,EQA.CAP_Dados!$S$2:$S$5000,0)),"")</f>
        <v/>
      </c>
      <c r="Q117" s="81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81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85" t="str">
        <f>IFERROR(INDEX(EQA.CAP_Dados!F$2:F$5000,MATCH(ROW()-4,EQA.CAP_Dados!$S$2:$S$5000,0)),"")</f>
        <v/>
      </c>
      <c r="G118" s="86" t="str">
        <f>IFERROR(INDEX(EQA.CAP_Dados!G$2:G$5000,MATCH(ROW()-4,EQA.CAP_Dados!$S$2:$S$5000,0)),"")</f>
        <v/>
      </c>
      <c r="H118" s="86" t="str">
        <f>IFERROR(INDEX(EQA.CAP_Dados!H$2:H$5000,MATCH(ROW()-4,EQA.CAP_Dados!$S$2:$S$5000,0)),"")</f>
        <v/>
      </c>
      <c r="I118" s="87" t="str">
        <f>IFERROR(INDEX(EQA.CAP_Dados!I$2:I$5000,MATCH(ROW()-4,EQA.CAP_Dados!$S$2:$S$5000,0)),"")</f>
        <v/>
      </c>
      <c r="J118" s="85" t="str">
        <f>IFERROR(INDEX(EQA.CAP_Dados!J$2:J$5000,MATCH(ROW()-4,EQA.CAP_Dados!$S$2:$S$5000,0)),"")</f>
        <v/>
      </c>
      <c r="K118" s="85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81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85" t="str">
        <f>IFERROR(INDEX(EQA.CAP_Dados!O$2:O$5000,MATCH(ROW()-4,EQA.CAP_Dados!$S$2:$S$5000,0)),"")</f>
        <v/>
      </c>
      <c r="P118" s="85" t="str">
        <f>IFERROR(INDEX(EQA.CAP_Dados!P$2:P$5000,MATCH(ROW()-4,EQA.CAP_Dados!$S$2:$S$5000,0)),"")</f>
        <v/>
      </c>
      <c r="Q118" s="81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81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85" t="str">
        <f>IFERROR(INDEX(EQA.CAP_Dados!F$2:F$5000,MATCH(ROW()-4,EQA.CAP_Dados!$S$2:$S$5000,0)),"")</f>
        <v/>
      </c>
      <c r="G119" s="86" t="str">
        <f>IFERROR(INDEX(EQA.CAP_Dados!G$2:G$5000,MATCH(ROW()-4,EQA.CAP_Dados!$S$2:$S$5000,0)),"")</f>
        <v/>
      </c>
      <c r="H119" s="86" t="str">
        <f>IFERROR(INDEX(EQA.CAP_Dados!H$2:H$5000,MATCH(ROW()-4,EQA.CAP_Dados!$S$2:$S$5000,0)),"")</f>
        <v/>
      </c>
      <c r="I119" s="87" t="str">
        <f>IFERROR(INDEX(EQA.CAP_Dados!I$2:I$5000,MATCH(ROW()-4,EQA.CAP_Dados!$S$2:$S$5000,0)),"")</f>
        <v/>
      </c>
      <c r="J119" s="85" t="str">
        <f>IFERROR(INDEX(EQA.CAP_Dados!J$2:J$5000,MATCH(ROW()-4,EQA.CAP_Dados!$S$2:$S$5000,0)),"")</f>
        <v/>
      </c>
      <c r="K119" s="85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81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85" t="str">
        <f>IFERROR(INDEX(EQA.CAP_Dados!O$2:O$5000,MATCH(ROW()-4,EQA.CAP_Dados!$S$2:$S$5000,0)),"")</f>
        <v/>
      </c>
      <c r="P119" s="85" t="str">
        <f>IFERROR(INDEX(EQA.CAP_Dados!P$2:P$5000,MATCH(ROW()-4,EQA.CAP_Dados!$S$2:$S$5000,0)),"")</f>
        <v/>
      </c>
      <c r="Q119" s="81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81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85" t="str">
        <f>IFERROR(INDEX(EQA.CAP_Dados!F$2:F$5000,MATCH(ROW()-4,EQA.CAP_Dados!$S$2:$S$5000,0)),"")</f>
        <v/>
      </c>
      <c r="G120" s="86" t="str">
        <f>IFERROR(INDEX(EQA.CAP_Dados!G$2:G$5000,MATCH(ROW()-4,EQA.CAP_Dados!$S$2:$S$5000,0)),"")</f>
        <v/>
      </c>
      <c r="H120" s="86" t="str">
        <f>IFERROR(INDEX(EQA.CAP_Dados!H$2:H$5000,MATCH(ROW()-4,EQA.CAP_Dados!$S$2:$S$5000,0)),"")</f>
        <v/>
      </c>
      <c r="I120" s="87" t="str">
        <f>IFERROR(INDEX(EQA.CAP_Dados!I$2:I$5000,MATCH(ROW()-4,EQA.CAP_Dados!$S$2:$S$5000,0)),"")</f>
        <v/>
      </c>
      <c r="J120" s="85" t="str">
        <f>IFERROR(INDEX(EQA.CAP_Dados!J$2:J$5000,MATCH(ROW()-4,EQA.CAP_Dados!$S$2:$S$5000,0)),"")</f>
        <v/>
      </c>
      <c r="K120" s="85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81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85" t="str">
        <f>IFERROR(INDEX(EQA.CAP_Dados!O$2:O$5000,MATCH(ROW()-4,EQA.CAP_Dados!$S$2:$S$5000,0)),"")</f>
        <v/>
      </c>
      <c r="P120" s="85" t="str">
        <f>IFERROR(INDEX(EQA.CAP_Dados!P$2:P$5000,MATCH(ROW()-4,EQA.CAP_Dados!$S$2:$S$5000,0)),"")</f>
        <v/>
      </c>
      <c r="Q120" s="81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81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85" t="str">
        <f>IFERROR(INDEX(EQA.CAP_Dados!F$2:F$5000,MATCH(ROW()-4,EQA.CAP_Dados!$S$2:$S$5000,0)),"")</f>
        <v/>
      </c>
      <c r="G121" s="86" t="str">
        <f>IFERROR(INDEX(EQA.CAP_Dados!G$2:G$5000,MATCH(ROW()-4,EQA.CAP_Dados!$S$2:$S$5000,0)),"")</f>
        <v/>
      </c>
      <c r="H121" s="86" t="str">
        <f>IFERROR(INDEX(EQA.CAP_Dados!H$2:H$5000,MATCH(ROW()-4,EQA.CAP_Dados!$S$2:$S$5000,0)),"")</f>
        <v/>
      </c>
      <c r="I121" s="87" t="str">
        <f>IFERROR(INDEX(EQA.CAP_Dados!I$2:I$5000,MATCH(ROW()-4,EQA.CAP_Dados!$S$2:$S$5000,0)),"")</f>
        <v/>
      </c>
      <c r="J121" s="85" t="str">
        <f>IFERROR(INDEX(EQA.CAP_Dados!J$2:J$5000,MATCH(ROW()-4,EQA.CAP_Dados!$S$2:$S$5000,0)),"")</f>
        <v/>
      </c>
      <c r="K121" s="85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81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85" t="str">
        <f>IFERROR(INDEX(EQA.CAP_Dados!O$2:O$5000,MATCH(ROW()-4,EQA.CAP_Dados!$S$2:$S$5000,0)),"")</f>
        <v/>
      </c>
      <c r="P121" s="85" t="str">
        <f>IFERROR(INDEX(EQA.CAP_Dados!P$2:P$5000,MATCH(ROW()-4,EQA.CAP_Dados!$S$2:$S$5000,0)),"")</f>
        <v/>
      </c>
      <c r="Q121" s="81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81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85" t="str">
        <f>IFERROR(INDEX(EQA.CAP_Dados!F$2:F$5000,MATCH(ROW()-4,EQA.CAP_Dados!$S$2:$S$5000,0)),"")</f>
        <v/>
      </c>
      <c r="G122" s="86" t="str">
        <f>IFERROR(INDEX(EQA.CAP_Dados!G$2:G$5000,MATCH(ROW()-4,EQA.CAP_Dados!$S$2:$S$5000,0)),"")</f>
        <v/>
      </c>
      <c r="H122" s="86" t="str">
        <f>IFERROR(INDEX(EQA.CAP_Dados!H$2:H$5000,MATCH(ROW()-4,EQA.CAP_Dados!$S$2:$S$5000,0)),"")</f>
        <v/>
      </c>
      <c r="I122" s="87" t="str">
        <f>IFERROR(INDEX(EQA.CAP_Dados!I$2:I$5000,MATCH(ROW()-4,EQA.CAP_Dados!$S$2:$S$5000,0)),"")</f>
        <v/>
      </c>
      <c r="J122" s="85" t="str">
        <f>IFERROR(INDEX(EQA.CAP_Dados!J$2:J$5000,MATCH(ROW()-4,EQA.CAP_Dados!$S$2:$S$5000,0)),"")</f>
        <v/>
      </c>
      <c r="K122" s="85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81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85" t="str">
        <f>IFERROR(INDEX(EQA.CAP_Dados!O$2:O$5000,MATCH(ROW()-4,EQA.CAP_Dados!$S$2:$S$5000,0)),"")</f>
        <v/>
      </c>
      <c r="P122" s="85" t="str">
        <f>IFERROR(INDEX(EQA.CAP_Dados!P$2:P$5000,MATCH(ROW()-4,EQA.CAP_Dados!$S$2:$S$5000,0)),"")</f>
        <v/>
      </c>
      <c r="Q122" s="81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81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85" t="str">
        <f>IFERROR(INDEX(EQA.CAP_Dados!F$2:F$5000,MATCH(ROW()-4,EQA.CAP_Dados!$S$2:$S$5000,0)),"")</f>
        <v/>
      </c>
      <c r="G123" s="86" t="str">
        <f>IFERROR(INDEX(EQA.CAP_Dados!G$2:G$5000,MATCH(ROW()-4,EQA.CAP_Dados!$S$2:$S$5000,0)),"")</f>
        <v/>
      </c>
      <c r="H123" s="86" t="str">
        <f>IFERROR(INDEX(EQA.CAP_Dados!H$2:H$5000,MATCH(ROW()-4,EQA.CAP_Dados!$S$2:$S$5000,0)),"")</f>
        <v/>
      </c>
      <c r="I123" s="87" t="str">
        <f>IFERROR(INDEX(EQA.CAP_Dados!I$2:I$5000,MATCH(ROW()-4,EQA.CAP_Dados!$S$2:$S$5000,0)),"")</f>
        <v/>
      </c>
      <c r="J123" s="85" t="str">
        <f>IFERROR(INDEX(EQA.CAP_Dados!J$2:J$5000,MATCH(ROW()-4,EQA.CAP_Dados!$S$2:$S$5000,0)),"")</f>
        <v/>
      </c>
      <c r="K123" s="85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81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85" t="str">
        <f>IFERROR(INDEX(EQA.CAP_Dados!O$2:O$5000,MATCH(ROW()-4,EQA.CAP_Dados!$S$2:$S$5000,0)),"")</f>
        <v/>
      </c>
      <c r="P123" s="85" t="str">
        <f>IFERROR(INDEX(EQA.CAP_Dados!P$2:P$5000,MATCH(ROW()-4,EQA.CAP_Dados!$S$2:$S$5000,0)),"")</f>
        <v/>
      </c>
      <c r="Q123" s="81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81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85" t="str">
        <f>IFERROR(INDEX(EQA.CAP_Dados!F$2:F$5000,MATCH(ROW()-4,EQA.CAP_Dados!$S$2:$S$5000,0)),"")</f>
        <v/>
      </c>
      <c r="G124" s="86" t="str">
        <f>IFERROR(INDEX(EQA.CAP_Dados!G$2:G$5000,MATCH(ROW()-4,EQA.CAP_Dados!$S$2:$S$5000,0)),"")</f>
        <v/>
      </c>
      <c r="H124" s="86" t="str">
        <f>IFERROR(INDEX(EQA.CAP_Dados!H$2:H$5000,MATCH(ROW()-4,EQA.CAP_Dados!$S$2:$S$5000,0)),"")</f>
        <v/>
      </c>
      <c r="I124" s="87" t="str">
        <f>IFERROR(INDEX(EQA.CAP_Dados!I$2:I$5000,MATCH(ROW()-4,EQA.CAP_Dados!$S$2:$S$5000,0)),"")</f>
        <v/>
      </c>
      <c r="J124" s="85" t="str">
        <f>IFERROR(INDEX(EQA.CAP_Dados!J$2:J$5000,MATCH(ROW()-4,EQA.CAP_Dados!$S$2:$S$5000,0)),"")</f>
        <v/>
      </c>
      <c r="K124" s="85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81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85" t="str">
        <f>IFERROR(INDEX(EQA.CAP_Dados!O$2:O$5000,MATCH(ROW()-4,EQA.CAP_Dados!$S$2:$S$5000,0)),"")</f>
        <v/>
      </c>
      <c r="P124" s="85" t="str">
        <f>IFERROR(INDEX(EQA.CAP_Dados!P$2:P$5000,MATCH(ROW()-4,EQA.CAP_Dados!$S$2:$S$5000,0)),"")</f>
        <v/>
      </c>
      <c r="Q124" s="81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81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85" t="str">
        <f>IFERROR(INDEX(EQA.CAP_Dados!F$2:F$5000,MATCH(ROW()-4,EQA.CAP_Dados!$S$2:$S$5000,0)),"")</f>
        <v/>
      </c>
      <c r="G125" s="86" t="str">
        <f>IFERROR(INDEX(EQA.CAP_Dados!G$2:G$5000,MATCH(ROW()-4,EQA.CAP_Dados!$S$2:$S$5000,0)),"")</f>
        <v/>
      </c>
      <c r="H125" s="86" t="str">
        <f>IFERROR(INDEX(EQA.CAP_Dados!H$2:H$5000,MATCH(ROW()-4,EQA.CAP_Dados!$S$2:$S$5000,0)),"")</f>
        <v/>
      </c>
      <c r="I125" s="87" t="str">
        <f>IFERROR(INDEX(EQA.CAP_Dados!I$2:I$5000,MATCH(ROW()-4,EQA.CAP_Dados!$S$2:$S$5000,0)),"")</f>
        <v/>
      </c>
      <c r="J125" s="85" t="str">
        <f>IFERROR(INDEX(EQA.CAP_Dados!J$2:J$5000,MATCH(ROW()-4,EQA.CAP_Dados!$S$2:$S$5000,0)),"")</f>
        <v/>
      </c>
      <c r="K125" s="85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81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85" t="str">
        <f>IFERROR(INDEX(EQA.CAP_Dados!O$2:O$5000,MATCH(ROW()-4,EQA.CAP_Dados!$S$2:$S$5000,0)),"")</f>
        <v/>
      </c>
      <c r="P125" s="85" t="str">
        <f>IFERROR(INDEX(EQA.CAP_Dados!P$2:P$5000,MATCH(ROW()-4,EQA.CAP_Dados!$S$2:$S$5000,0)),"")</f>
        <v/>
      </c>
      <c r="Q125" s="81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81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85" t="str">
        <f>IFERROR(INDEX(EQA.CAP_Dados!F$2:F$5000,MATCH(ROW()-4,EQA.CAP_Dados!$S$2:$S$5000,0)),"")</f>
        <v/>
      </c>
      <c r="G126" s="86" t="str">
        <f>IFERROR(INDEX(EQA.CAP_Dados!G$2:G$5000,MATCH(ROW()-4,EQA.CAP_Dados!$S$2:$S$5000,0)),"")</f>
        <v/>
      </c>
      <c r="H126" s="86" t="str">
        <f>IFERROR(INDEX(EQA.CAP_Dados!H$2:H$5000,MATCH(ROW()-4,EQA.CAP_Dados!$S$2:$S$5000,0)),"")</f>
        <v/>
      </c>
      <c r="I126" s="87" t="str">
        <f>IFERROR(INDEX(EQA.CAP_Dados!I$2:I$5000,MATCH(ROW()-4,EQA.CAP_Dados!$S$2:$S$5000,0)),"")</f>
        <v/>
      </c>
      <c r="J126" s="85" t="str">
        <f>IFERROR(INDEX(EQA.CAP_Dados!J$2:J$5000,MATCH(ROW()-4,EQA.CAP_Dados!$S$2:$S$5000,0)),"")</f>
        <v/>
      </c>
      <c r="K126" s="85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81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85" t="str">
        <f>IFERROR(INDEX(EQA.CAP_Dados!O$2:O$5000,MATCH(ROW()-4,EQA.CAP_Dados!$S$2:$S$5000,0)),"")</f>
        <v/>
      </c>
      <c r="P126" s="85" t="str">
        <f>IFERROR(INDEX(EQA.CAP_Dados!P$2:P$5000,MATCH(ROW()-4,EQA.CAP_Dados!$S$2:$S$5000,0)),"")</f>
        <v/>
      </c>
      <c r="Q126" s="81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81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85" t="str">
        <f>IFERROR(INDEX(EQA.CAP_Dados!F$2:F$5000,MATCH(ROW()-4,EQA.CAP_Dados!$S$2:$S$5000,0)),"")</f>
        <v/>
      </c>
      <c r="G127" s="86" t="str">
        <f>IFERROR(INDEX(EQA.CAP_Dados!G$2:G$5000,MATCH(ROW()-4,EQA.CAP_Dados!$S$2:$S$5000,0)),"")</f>
        <v/>
      </c>
      <c r="H127" s="86" t="str">
        <f>IFERROR(INDEX(EQA.CAP_Dados!H$2:H$5000,MATCH(ROW()-4,EQA.CAP_Dados!$S$2:$S$5000,0)),"")</f>
        <v/>
      </c>
      <c r="I127" s="87" t="str">
        <f>IFERROR(INDEX(EQA.CAP_Dados!I$2:I$5000,MATCH(ROW()-4,EQA.CAP_Dados!$S$2:$S$5000,0)),"")</f>
        <v/>
      </c>
      <c r="J127" s="85" t="str">
        <f>IFERROR(INDEX(EQA.CAP_Dados!J$2:J$5000,MATCH(ROW()-4,EQA.CAP_Dados!$S$2:$S$5000,0)),"")</f>
        <v/>
      </c>
      <c r="K127" s="85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81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85" t="str">
        <f>IFERROR(INDEX(EQA.CAP_Dados!O$2:O$5000,MATCH(ROW()-4,EQA.CAP_Dados!$S$2:$S$5000,0)),"")</f>
        <v/>
      </c>
      <c r="P127" s="85" t="str">
        <f>IFERROR(INDEX(EQA.CAP_Dados!P$2:P$5000,MATCH(ROW()-4,EQA.CAP_Dados!$S$2:$S$5000,0)),"")</f>
        <v/>
      </c>
      <c r="Q127" s="81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81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85" t="str">
        <f>IFERROR(INDEX(EQA.CAP_Dados!F$2:F$5000,MATCH(ROW()-4,EQA.CAP_Dados!$S$2:$S$5000,0)),"")</f>
        <v/>
      </c>
      <c r="G128" s="86" t="str">
        <f>IFERROR(INDEX(EQA.CAP_Dados!G$2:G$5000,MATCH(ROW()-4,EQA.CAP_Dados!$S$2:$S$5000,0)),"")</f>
        <v/>
      </c>
      <c r="H128" s="86" t="str">
        <f>IFERROR(INDEX(EQA.CAP_Dados!H$2:H$5000,MATCH(ROW()-4,EQA.CAP_Dados!$S$2:$S$5000,0)),"")</f>
        <v/>
      </c>
      <c r="I128" s="87" t="str">
        <f>IFERROR(INDEX(EQA.CAP_Dados!I$2:I$5000,MATCH(ROW()-4,EQA.CAP_Dados!$S$2:$S$5000,0)),"")</f>
        <v/>
      </c>
      <c r="J128" s="85" t="str">
        <f>IFERROR(INDEX(EQA.CAP_Dados!J$2:J$5000,MATCH(ROW()-4,EQA.CAP_Dados!$S$2:$S$5000,0)),"")</f>
        <v/>
      </c>
      <c r="K128" s="85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81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85" t="str">
        <f>IFERROR(INDEX(EQA.CAP_Dados!O$2:O$5000,MATCH(ROW()-4,EQA.CAP_Dados!$S$2:$S$5000,0)),"")</f>
        <v/>
      </c>
      <c r="P128" s="85" t="str">
        <f>IFERROR(INDEX(EQA.CAP_Dados!P$2:P$5000,MATCH(ROW()-4,EQA.CAP_Dados!$S$2:$S$5000,0)),"")</f>
        <v/>
      </c>
      <c r="Q128" s="81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81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85" t="str">
        <f>IFERROR(INDEX(EQA.CAP_Dados!F$2:F$5000,MATCH(ROW()-4,EQA.CAP_Dados!$S$2:$S$5000,0)),"")</f>
        <v/>
      </c>
      <c r="G129" s="86" t="str">
        <f>IFERROR(INDEX(EQA.CAP_Dados!G$2:G$5000,MATCH(ROW()-4,EQA.CAP_Dados!$S$2:$S$5000,0)),"")</f>
        <v/>
      </c>
      <c r="H129" s="86" t="str">
        <f>IFERROR(INDEX(EQA.CAP_Dados!H$2:H$5000,MATCH(ROW()-4,EQA.CAP_Dados!$S$2:$S$5000,0)),"")</f>
        <v/>
      </c>
      <c r="I129" s="87" t="str">
        <f>IFERROR(INDEX(EQA.CAP_Dados!I$2:I$5000,MATCH(ROW()-4,EQA.CAP_Dados!$S$2:$S$5000,0)),"")</f>
        <v/>
      </c>
      <c r="J129" s="85" t="str">
        <f>IFERROR(INDEX(EQA.CAP_Dados!J$2:J$5000,MATCH(ROW()-4,EQA.CAP_Dados!$S$2:$S$5000,0)),"")</f>
        <v/>
      </c>
      <c r="K129" s="85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81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85" t="str">
        <f>IFERROR(INDEX(EQA.CAP_Dados!O$2:O$5000,MATCH(ROW()-4,EQA.CAP_Dados!$S$2:$S$5000,0)),"")</f>
        <v/>
      </c>
      <c r="P129" s="85" t="str">
        <f>IFERROR(INDEX(EQA.CAP_Dados!P$2:P$5000,MATCH(ROW()-4,EQA.CAP_Dados!$S$2:$S$5000,0)),"")</f>
        <v/>
      </c>
      <c r="Q129" s="81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81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85" t="str">
        <f>IFERROR(INDEX(EQA.CAP_Dados!F$2:F$5000,MATCH(ROW()-4,EQA.CAP_Dados!$S$2:$S$5000,0)),"")</f>
        <v/>
      </c>
      <c r="G130" s="86" t="str">
        <f>IFERROR(INDEX(EQA.CAP_Dados!G$2:G$5000,MATCH(ROW()-4,EQA.CAP_Dados!$S$2:$S$5000,0)),"")</f>
        <v/>
      </c>
      <c r="H130" s="86" t="str">
        <f>IFERROR(INDEX(EQA.CAP_Dados!H$2:H$5000,MATCH(ROW()-4,EQA.CAP_Dados!$S$2:$S$5000,0)),"")</f>
        <v/>
      </c>
      <c r="I130" s="87" t="str">
        <f>IFERROR(INDEX(EQA.CAP_Dados!I$2:I$5000,MATCH(ROW()-4,EQA.CAP_Dados!$S$2:$S$5000,0)),"")</f>
        <v/>
      </c>
      <c r="J130" s="85" t="str">
        <f>IFERROR(INDEX(EQA.CAP_Dados!J$2:J$5000,MATCH(ROW()-4,EQA.CAP_Dados!$S$2:$S$5000,0)),"")</f>
        <v/>
      </c>
      <c r="K130" s="85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81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85" t="str">
        <f>IFERROR(INDEX(EQA.CAP_Dados!O$2:O$5000,MATCH(ROW()-4,EQA.CAP_Dados!$S$2:$S$5000,0)),"")</f>
        <v/>
      </c>
      <c r="P130" s="85" t="str">
        <f>IFERROR(INDEX(EQA.CAP_Dados!P$2:P$5000,MATCH(ROW()-4,EQA.CAP_Dados!$S$2:$S$5000,0)),"")</f>
        <v/>
      </c>
      <c r="Q130" s="81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81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85" t="str">
        <f>IFERROR(INDEX(EQA.CAP_Dados!F$2:F$5000,MATCH(ROW()-4,EQA.CAP_Dados!$S$2:$S$5000,0)),"")</f>
        <v/>
      </c>
      <c r="G131" s="86" t="str">
        <f>IFERROR(INDEX(EQA.CAP_Dados!G$2:G$5000,MATCH(ROW()-4,EQA.CAP_Dados!$S$2:$S$5000,0)),"")</f>
        <v/>
      </c>
      <c r="H131" s="86" t="str">
        <f>IFERROR(INDEX(EQA.CAP_Dados!H$2:H$5000,MATCH(ROW()-4,EQA.CAP_Dados!$S$2:$S$5000,0)),"")</f>
        <v/>
      </c>
      <c r="I131" s="87" t="str">
        <f>IFERROR(INDEX(EQA.CAP_Dados!I$2:I$5000,MATCH(ROW()-4,EQA.CAP_Dados!$S$2:$S$5000,0)),"")</f>
        <v/>
      </c>
      <c r="J131" s="85" t="str">
        <f>IFERROR(INDEX(EQA.CAP_Dados!J$2:J$5000,MATCH(ROW()-4,EQA.CAP_Dados!$S$2:$S$5000,0)),"")</f>
        <v/>
      </c>
      <c r="K131" s="85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81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85" t="str">
        <f>IFERROR(INDEX(EQA.CAP_Dados!O$2:O$5000,MATCH(ROW()-4,EQA.CAP_Dados!$S$2:$S$5000,0)),"")</f>
        <v/>
      </c>
      <c r="P131" s="85" t="str">
        <f>IFERROR(INDEX(EQA.CAP_Dados!P$2:P$5000,MATCH(ROW()-4,EQA.CAP_Dados!$S$2:$S$5000,0)),"")</f>
        <v/>
      </c>
      <c r="Q131" s="81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81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85" t="str">
        <f>IFERROR(INDEX(EQA.CAP_Dados!F$2:F$5000,MATCH(ROW()-4,EQA.CAP_Dados!$S$2:$S$5000,0)),"")</f>
        <v/>
      </c>
      <c r="G132" s="86" t="str">
        <f>IFERROR(INDEX(EQA.CAP_Dados!G$2:G$5000,MATCH(ROW()-4,EQA.CAP_Dados!$S$2:$S$5000,0)),"")</f>
        <v/>
      </c>
      <c r="H132" s="86" t="str">
        <f>IFERROR(INDEX(EQA.CAP_Dados!H$2:H$5000,MATCH(ROW()-4,EQA.CAP_Dados!$S$2:$S$5000,0)),"")</f>
        <v/>
      </c>
      <c r="I132" s="87" t="str">
        <f>IFERROR(INDEX(EQA.CAP_Dados!I$2:I$5000,MATCH(ROW()-4,EQA.CAP_Dados!$S$2:$S$5000,0)),"")</f>
        <v/>
      </c>
      <c r="J132" s="85" t="str">
        <f>IFERROR(INDEX(EQA.CAP_Dados!J$2:J$5000,MATCH(ROW()-4,EQA.CAP_Dados!$S$2:$S$5000,0)),"")</f>
        <v/>
      </c>
      <c r="K132" s="85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81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85" t="str">
        <f>IFERROR(INDEX(EQA.CAP_Dados!O$2:O$5000,MATCH(ROW()-4,EQA.CAP_Dados!$S$2:$S$5000,0)),"")</f>
        <v/>
      </c>
      <c r="P132" s="85" t="str">
        <f>IFERROR(INDEX(EQA.CAP_Dados!P$2:P$5000,MATCH(ROW()-4,EQA.CAP_Dados!$S$2:$S$5000,0)),"")</f>
        <v/>
      </c>
      <c r="Q132" s="81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81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85" t="str">
        <f>IFERROR(INDEX(EQA.CAP_Dados!F$2:F$5000,MATCH(ROW()-4,EQA.CAP_Dados!$S$2:$S$5000,0)),"")</f>
        <v/>
      </c>
      <c r="G133" s="86" t="str">
        <f>IFERROR(INDEX(EQA.CAP_Dados!G$2:G$5000,MATCH(ROW()-4,EQA.CAP_Dados!$S$2:$S$5000,0)),"")</f>
        <v/>
      </c>
      <c r="H133" s="86" t="str">
        <f>IFERROR(INDEX(EQA.CAP_Dados!H$2:H$5000,MATCH(ROW()-4,EQA.CAP_Dados!$S$2:$S$5000,0)),"")</f>
        <v/>
      </c>
      <c r="I133" s="87" t="str">
        <f>IFERROR(INDEX(EQA.CAP_Dados!I$2:I$5000,MATCH(ROW()-4,EQA.CAP_Dados!$S$2:$S$5000,0)),"")</f>
        <v/>
      </c>
      <c r="J133" s="85" t="str">
        <f>IFERROR(INDEX(EQA.CAP_Dados!J$2:J$5000,MATCH(ROW()-4,EQA.CAP_Dados!$S$2:$S$5000,0)),"")</f>
        <v/>
      </c>
      <c r="K133" s="85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81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85" t="str">
        <f>IFERROR(INDEX(EQA.CAP_Dados!O$2:O$5000,MATCH(ROW()-4,EQA.CAP_Dados!$S$2:$S$5000,0)),"")</f>
        <v/>
      </c>
      <c r="P133" s="85" t="str">
        <f>IFERROR(INDEX(EQA.CAP_Dados!P$2:P$5000,MATCH(ROW()-4,EQA.CAP_Dados!$S$2:$S$5000,0)),"")</f>
        <v/>
      </c>
      <c r="Q133" s="81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81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85" t="str">
        <f>IFERROR(INDEX(EQA.CAP_Dados!F$2:F$5000,MATCH(ROW()-4,EQA.CAP_Dados!$S$2:$S$5000,0)),"")</f>
        <v/>
      </c>
      <c r="G134" s="86" t="str">
        <f>IFERROR(INDEX(EQA.CAP_Dados!G$2:G$5000,MATCH(ROW()-4,EQA.CAP_Dados!$S$2:$S$5000,0)),"")</f>
        <v/>
      </c>
      <c r="H134" s="86" t="str">
        <f>IFERROR(INDEX(EQA.CAP_Dados!H$2:H$5000,MATCH(ROW()-4,EQA.CAP_Dados!$S$2:$S$5000,0)),"")</f>
        <v/>
      </c>
      <c r="I134" s="87" t="str">
        <f>IFERROR(INDEX(EQA.CAP_Dados!I$2:I$5000,MATCH(ROW()-4,EQA.CAP_Dados!$S$2:$S$5000,0)),"")</f>
        <v/>
      </c>
      <c r="J134" s="85" t="str">
        <f>IFERROR(INDEX(EQA.CAP_Dados!J$2:J$5000,MATCH(ROW()-4,EQA.CAP_Dados!$S$2:$S$5000,0)),"")</f>
        <v/>
      </c>
      <c r="K134" s="85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81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85" t="str">
        <f>IFERROR(INDEX(EQA.CAP_Dados!O$2:O$5000,MATCH(ROW()-4,EQA.CAP_Dados!$S$2:$S$5000,0)),"")</f>
        <v/>
      </c>
      <c r="P134" s="85" t="str">
        <f>IFERROR(INDEX(EQA.CAP_Dados!P$2:P$5000,MATCH(ROW()-4,EQA.CAP_Dados!$S$2:$S$5000,0)),"")</f>
        <v/>
      </c>
      <c r="Q134" s="81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81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85" t="str">
        <f>IFERROR(INDEX(EQA.CAP_Dados!F$2:F$5000,MATCH(ROW()-4,EQA.CAP_Dados!$S$2:$S$5000,0)),"")</f>
        <v/>
      </c>
      <c r="G135" s="86" t="str">
        <f>IFERROR(INDEX(EQA.CAP_Dados!G$2:G$5000,MATCH(ROW()-4,EQA.CAP_Dados!$S$2:$S$5000,0)),"")</f>
        <v/>
      </c>
      <c r="H135" s="86" t="str">
        <f>IFERROR(INDEX(EQA.CAP_Dados!H$2:H$5000,MATCH(ROW()-4,EQA.CAP_Dados!$S$2:$S$5000,0)),"")</f>
        <v/>
      </c>
      <c r="I135" s="87" t="str">
        <f>IFERROR(INDEX(EQA.CAP_Dados!I$2:I$5000,MATCH(ROW()-4,EQA.CAP_Dados!$S$2:$S$5000,0)),"")</f>
        <v/>
      </c>
      <c r="J135" s="85" t="str">
        <f>IFERROR(INDEX(EQA.CAP_Dados!J$2:J$5000,MATCH(ROW()-4,EQA.CAP_Dados!$S$2:$S$5000,0)),"")</f>
        <v/>
      </c>
      <c r="K135" s="85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81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85" t="str">
        <f>IFERROR(INDEX(EQA.CAP_Dados!O$2:O$5000,MATCH(ROW()-4,EQA.CAP_Dados!$S$2:$S$5000,0)),"")</f>
        <v/>
      </c>
      <c r="P135" s="85" t="str">
        <f>IFERROR(INDEX(EQA.CAP_Dados!P$2:P$5000,MATCH(ROW()-4,EQA.CAP_Dados!$S$2:$S$5000,0)),"")</f>
        <v/>
      </c>
      <c r="Q135" s="81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81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85" t="str">
        <f>IFERROR(INDEX(EQA.CAP_Dados!F$2:F$5000,MATCH(ROW()-4,EQA.CAP_Dados!$S$2:$S$5000,0)),"")</f>
        <v/>
      </c>
      <c r="G136" s="86" t="str">
        <f>IFERROR(INDEX(EQA.CAP_Dados!G$2:G$5000,MATCH(ROW()-4,EQA.CAP_Dados!$S$2:$S$5000,0)),"")</f>
        <v/>
      </c>
      <c r="H136" s="86" t="str">
        <f>IFERROR(INDEX(EQA.CAP_Dados!H$2:H$5000,MATCH(ROW()-4,EQA.CAP_Dados!$S$2:$S$5000,0)),"")</f>
        <v/>
      </c>
      <c r="I136" s="87" t="str">
        <f>IFERROR(INDEX(EQA.CAP_Dados!I$2:I$5000,MATCH(ROW()-4,EQA.CAP_Dados!$S$2:$S$5000,0)),"")</f>
        <v/>
      </c>
      <c r="J136" s="85" t="str">
        <f>IFERROR(INDEX(EQA.CAP_Dados!J$2:J$5000,MATCH(ROW()-4,EQA.CAP_Dados!$S$2:$S$5000,0)),"")</f>
        <v/>
      </c>
      <c r="K136" s="85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81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85" t="str">
        <f>IFERROR(INDEX(EQA.CAP_Dados!O$2:O$5000,MATCH(ROW()-4,EQA.CAP_Dados!$S$2:$S$5000,0)),"")</f>
        <v/>
      </c>
      <c r="P136" s="85" t="str">
        <f>IFERROR(INDEX(EQA.CAP_Dados!P$2:P$5000,MATCH(ROW()-4,EQA.CAP_Dados!$S$2:$S$5000,0)),"")</f>
        <v/>
      </c>
      <c r="Q136" s="81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81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85" t="str">
        <f>IFERROR(INDEX(EQA.CAP_Dados!F$2:F$5000,MATCH(ROW()-4,EQA.CAP_Dados!$S$2:$S$5000,0)),"")</f>
        <v/>
      </c>
      <c r="G137" s="86" t="str">
        <f>IFERROR(INDEX(EQA.CAP_Dados!G$2:G$5000,MATCH(ROW()-4,EQA.CAP_Dados!$S$2:$S$5000,0)),"")</f>
        <v/>
      </c>
      <c r="H137" s="86" t="str">
        <f>IFERROR(INDEX(EQA.CAP_Dados!H$2:H$5000,MATCH(ROW()-4,EQA.CAP_Dados!$S$2:$S$5000,0)),"")</f>
        <v/>
      </c>
      <c r="I137" s="87" t="str">
        <f>IFERROR(INDEX(EQA.CAP_Dados!I$2:I$5000,MATCH(ROW()-4,EQA.CAP_Dados!$S$2:$S$5000,0)),"")</f>
        <v/>
      </c>
      <c r="J137" s="85" t="str">
        <f>IFERROR(INDEX(EQA.CAP_Dados!J$2:J$5000,MATCH(ROW()-4,EQA.CAP_Dados!$S$2:$S$5000,0)),"")</f>
        <v/>
      </c>
      <c r="K137" s="85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81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85" t="str">
        <f>IFERROR(INDEX(EQA.CAP_Dados!O$2:O$5000,MATCH(ROW()-4,EQA.CAP_Dados!$S$2:$S$5000,0)),"")</f>
        <v/>
      </c>
      <c r="P137" s="85" t="str">
        <f>IFERROR(INDEX(EQA.CAP_Dados!P$2:P$5000,MATCH(ROW()-4,EQA.CAP_Dados!$S$2:$S$5000,0)),"")</f>
        <v/>
      </c>
      <c r="Q137" s="81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81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85" t="str">
        <f>IFERROR(INDEX(EQA.CAP_Dados!F$2:F$5000,MATCH(ROW()-4,EQA.CAP_Dados!$S$2:$S$5000,0)),"")</f>
        <v/>
      </c>
      <c r="G138" s="86" t="str">
        <f>IFERROR(INDEX(EQA.CAP_Dados!G$2:G$5000,MATCH(ROW()-4,EQA.CAP_Dados!$S$2:$S$5000,0)),"")</f>
        <v/>
      </c>
      <c r="H138" s="86" t="str">
        <f>IFERROR(INDEX(EQA.CAP_Dados!H$2:H$5000,MATCH(ROW()-4,EQA.CAP_Dados!$S$2:$S$5000,0)),"")</f>
        <v/>
      </c>
      <c r="I138" s="87" t="str">
        <f>IFERROR(INDEX(EQA.CAP_Dados!I$2:I$5000,MATCH(ROW()-4,EQA.CAP_Dados!$S$2:$S$5000,0)),"")</f>
        <v/>
      </c>
      <c r="J138" s="85" t="str">
        <f>IFERROR(INDEX(EQA.CAP_Dados!J$2:J$5000,MATCH(ROW()-4,EQA.CAP_Dados!$S$2:$S$5000,0)),"")</f>
        <v/>
      </c>
      <c r="K138" s="85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81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85" t="str">
        <f>IFERROR(INDEX(EQA.CAP_Dados!O$2:O$5000,MATCH(ROW()-4,EQA.CAP_Dados!$S$2:$S$5000,0)),"")</f>
        <v/>
      </c>
      <c r="P138" s="85" t="str">
        <f>IFERROR(INDEX(EQA.CAP_Dados!P$2:P$5000,MATCH(ROW()-4,EQA.CAP_Dados!$S$2:$S$5000,0)),"")</f>
        <v/>
      </c>
      <c r="Q138" s="81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81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85" t="str">
        <f>IFERROR(INDEX(EQA.CAP_Dados!F$2:F$5000,MATCH(ROW()-4,EQA.CAP_Dados!$S$2:$S$5000,0)),"")</f>
        <v/>
      </c>
      <c r="G139" s="86" t="str">
        <f>IFERROR(INDEX(EQA.CAP_Dados!G$2:G$5000,MATCH(ROW()-4,EQA.CAP_Dados!$S$2:$S$5000,0)),"")</f>
        <v/>
      </c>
      <c r="H139" s="86" t="str">
        <f>IFERROR(INDEX(EQA.CAP_Dados!H$2:H$5000,MATCH(ROW()-4,EQA.CAP_Dados!$S$2:$S$5000,0)),"")</f>
        <v/>
      </c>
      <c r="I139" s="87" t="str">
        <f>IFERROR(INDEX(EQA.CAP_Dados!I$2:I$5000,MATCH(ROW()-4,EQA.CAP_Dados!$S$2:$S$5000,0)),"")</f>
        <v/>
      </c>
      <c r="J139" s="85" t="str">
        <f>IFERROR(INDEX(EQA.CAP_Dados!J$2:J$5000,MATCH(ROW()-4,EQA.CAP_Dados!$S$2:$S$5000,0)),"")</f>
        <v/>
      </c>
      <c r="K139" s="85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81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85" t="str">
        <f>IFERROR(INDEX(EQA.CAP_Dados!O$2:O$5000,MATCH(ROW()-4,EQA.CAP_Dados!$S$2:$S$5000,0)),"")</f>
        <v/>
      </c>
      <c r="P139" s="85" t="str">
        <f>IFERROR(INDEX(EQA.CAP_Dados!P$2:P$5000,MATCH(ROW()-4,EQA.CAP_Dados!$S$2:$S$5000,0)),"")</f>
        <v/>
      </c>
      <c r="Q139" s="81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81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85" t="str">
        <f>IFERROR(INDEX(EQA.CAP_Dados!F$2:F$5000,MATCH(ROW()-4,EQA.CAP_Dados!$S$2:$S$5000,0)),"")</f>
        <v/>
      </c>
      <c r="G140" s="86" t="str">
        <f>IFERROR(INDEX(EQA.CAP_Dados!G$2:G$5000,MATCH(ROW()-4,EQA.CAP_Dados!$S$2:$S$5000,0)),"")</f>
        <v/>
      </c>
      <c r="H140" s="86" t="str">
        <f>IFERROR(INDEX(EQA.CAP_Dados!H$2:H$5000,MATCH(ROW()-4,EQA.CAP_Dados!$S$2:$S$5000,0)),"")</f>
        <v/>
      </c>
      <c r="I140" s="87" t="str">
        <f>IFERROR(INDEX(EQA.CAP_Dados!I$2:I$5000,MATCH(ROW()-4,EQA.CAP_Dados!$S$2:$S$5000,0)),"")</f>
        <v/>
      </c>
      <c r="J140" s="85" t="str">
        <f>IFERROR(INDEX(EQA.CAP_Dados!J$2:J$5000,MATCH(ROW()-4,EQA.CAP_Dados!$S$2:$S$5000,0)),"")</f>
        <v/>
      </c>
      <c r="K140" s="85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81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85" t="str">
        <f>IFERROR(INDEX(EQA.CAP_Dados!O$2:O$5000,MATCH(ROW()-4,EQA.CAP_Dados!$S$2:$S$5000,0)),"")</f>
        <v/>
      </c>
      <c r="P140" s="85" t="str">
        <f>IFERROR(INDEX(EQA.CAP_Dados!P$2:P$5000,MATCH(ROW()-4,EQA.CAP_Dados!$S$2:$S$5000,0)),"")</f>
        <v/>
      </c>
      <c r="Q140" s="81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81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85" t="str">
        <f>IFERROR(INDEX(EQA.CAP_Dados!F$2:F$5000,MATCH(ROW()-4,EQA.CAP_Dados!$S$2:$S$5000,0)),"")</f>
        <v/>
      </c>
      <c r="G141" s="86" t="str">
        <f>IFERROR(INDEX(EQA.CAP_Dados!G$2:G$5000,MATCH(ROW()-4,EQA.CAP_Dados!$S$2:$S$5000,0)),"")</f>
        <v/>
      </c>
      <c r="H141" s="86" t="str">
        <f>IFERROR(INDEX(EQA.CAP_Dados!H$2:H$5000,MATCH(ROW()-4,EQA.CAP_Dados!$S$2:$S$5000,0)),"")</f>
        <v/>
      </c>
      <c r="I141" s="87" t="str">
        <f>IFERROR(INDEX(EQA.CAP_Dados!I$2:I$5000,MATCH(ROW()-4,EQA.CAP_Dados!$S$2:$S$5000,0)),"")</f>
        <v/>
      </c>
      <c r="J141" s="85" t="str">
        <f>IFERROR(INDEX(EQA.CAP_Dados!J$2:J$5000,MATCH(ROW()-4,EQA.CAP_Dados!$S$2:$S$5000,0)),"")</f>
        <v/>
      </c>
      <c r="K141" s="85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81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85" t="str">
        <f>IFERROR(INDEX(EQA.CAP_Dados!O$2:O$5000,MATCH(ROW()-4,EQA.CAP_Dados!$S$2:$S$5000,0)),"")</f>
        <v/>
      </c>
      <c r="P141" s="85" t="str">
        <f>IFERROR(INDEX(EQA.CAP_Dados!P$2:P$5000,MATCH(ROW()-4,EQA.CAP_Dados!$S$2:$S$5000,0)),"")</f>
        <v/>
      </c>
      <c r="Q141" s="81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81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85" t="str">
        <f>IFERROR(INDEX(EQA.CAP_Dados!F$2:F$5000,MATCH(ROW()-4,EQA.CAP_Dados!$S$2:$S$5000,0)),"")</f>
        <v/>
      </c>
      <c r="G142" s="86" t="str">
        <f>IFERROR(INDEX(EQA.CAP_Dados!G$2:G$5000,MATCH(ROW()-4,EQA.CAP_Dados!$S$2:$S$5000,0)),"")</f>
        <v/>
      </c>
      <c r="H142" s="86" t="str">
        <f>IFERROR(INDEX(EQA.CAP_Dados!H$2:H$5000,MATCH(ROW()-4,EQA.CAP_Dados!$S$2:$S$5000,0)),"")</f>
        <v/>
      </c>
      <c r="I142" s="87" t="str">
        <f>IFERROR(INDEX(EQA.CAP_Dados!I$2:I$5000,MATCH(ROW()-4,EQA.CAP_Dados!$S$2:$S$5000,0)),"")</f>
        <v/>
      </c>
      <c r="J142" s="85" t="str">
        <f>IFERROR(INDEX(EQA.CAP_Dados!J$2:J$5000,MATCH(ROW()-4,EQA.CAP_Dados!$S$2:$S$5000,0)),"")</f>
        <v/>
      </c>
      <c r="K142" s="85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81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85" t="str">
        <f>IFERROR(INDEX(EQA.CAP_Dados!O$2:O$5000,MATCH(ROW()-4,EQA.CAP_Dados!$S$2:$S$5000,0)),"")</f>
        <v/>
      </c>
      <c r="P142" s="85" t="str">
        <f>IFERROR(INDEX(EQA.CAP_Dados!P$2:P$5000,MATCH(ROW()-4,EQA.CAP_Dados!$S$2:$S$5000,0)),"")</f>
        <v/>
      </c>
      <c r="Q142" s="81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81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85" t="str">
        <f>IFERROR(INDEX(EQA.CAP_Dados!F$2:F$5000,MATCH(ROW()-4,EQA.CAP_Dados!$S$2:$S$5000,0)),"")</f>
        <v/>
      </c>
      <c r="G143" s="86" t="str">
        <f>IFERROR(INDEX(EQA.CAP_Dados!G$2:G$5000,MATCH(ROW()-4,EQA.CAP_Dados!$S$2:$S$5000,0)),"")</f>
        <v/>
      </c>
      <c r="H143" s="86" t="str">
        <f>IFERROR(INDEX(EQA.CAP_Dados!H$2:H$5000,MATCH(ROW()-4,EQA.CAP_Dados!$S$2:$S$5000,0)),"")</f>
        <v/>
      </c>
      <c r="I143" s="87" t="str">
        <f>IFERROR(INDEX(EQA.CAP_Dados!I$2:I$5000,MATCH(ROW()-4,EQA.CAP_Dados!$S$2:$S$5000,0)),"")</f>
        <v/>
      </c>
      <c r="J143" s="85" t="str">
        <f>IFERROR(INDEX(EQA.CAP_Dados!J$2:J$5000,MATCH(ROW()-4,EQA.CAP_Dados!$S$2:$S$5000,0)),"")</f>
        <v/>
      </c>
      <c r="K143" s="85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81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85" t="str">
        <f>IFERROR(INDEX(EQA.CAP_Dados!O$2:O$5000,MATCH(ROW()-4,EQA.CAP_Dados!$S$2:$S$5000,0)),"")</f>
        <v/>
      </c>
      <c r="P143" s="85" t="str">
        <f>IFERROR(INDEX(EQA.CAP_Dados!P$2:P$5000,MATCH(ROW()-4,EQA.CAP_Dados!$S$2:$S$5000,0)),"")</f>
        <v/>
      </c>
      <c r="Q143" s="81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81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85" t="str">
        <f>IFERROR(INDEX(EQA.CAP_Dados!F$2:F$5000,MATCH(ROW()-4,EQA.CAP_Dados!$S$2:$S$5000,0)),"")</f>
        <v/>
      </c>
      <c r="G144" s="86" t="str">
        <f>IFERROR(INDEX(EQA.CAP_Dados!G$2:G$5000,MATCH(ROW()-4,EQA.CAP_Dados!$S$2:$S$5000,0)),"")</f>
        <v/>
      </c>
      <c r="H144" s="86" t="str">
        <f>IFERROR(INDEX(EQA.CAP_Dados!H$2:H$5000,MATCH(ROW()-4,EQA.CAP_Dados!$S$2:$S$5000,0)),"")</f>
        <v/>
      </c>
      <c r="I144" s="87" t="str">
        <f>IFERROR(INDEX(EQA.CAP_Dados!I$2:I$5000,MATCH(ROW()-4,EQA.CAP_Dados!$S$2:$S$5000,0)),"")</f>
        <v/>
      </c>
      <c r="J144" s="85" t="str">
        <f>IFERROR(INDEX(EQA.CAP_Dados!J$2:J$5000,MATCH(ROW()-4,EQA.CAP_Dados!$S$2:$S$5000,0)),"")</f>
        <v/>
      </c>
      <c r="K144" s="85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81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85" t="str">
        <f>IFERROR(INDEX(EQA.CAP_Dados!O$2:O$5000,MATCH(ROW()-4,EQA.CAP_Dados!$S$2:$S$5000,0)),"")</f>
        <v/>
      </c>
      <c r="P144" s="85" t="str">
        <f>IFERROR(INDEX(EQA.CAP_Dados!P$2:P$5000,MATCH(ROW()-4,EQA.CAP_Dados!$S$2:$S$5000,0)),"")</f>
        <v/>
      </c>
      <c r="Q144" s="81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81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85" t="str">
        <f>IFERROR(INDEX(EQA.CAP_Dados!F$2:F$5000,MATCH(ROW()-4,EQA.CAP_Dados!$S$2:$S$5000,0)),"")</f>
        <v/>
      </c>
      <c r="G145" s="86" t="str">
        <f>IFERROR(INDEX(EQA.CAP_Dados!G$2:G$5000,MATCH(ROW()-4,EQA.CAP_Dados!$S$2:$S$5000,0)),"")</f>
        <v/>
      </c>
      <c r="H145" s="86" t="str">
        <f>IFERROR(INDEX(EQA.CAP_Dados!H$2:H$5000,MATCH(ROW()-4,EQA.CAP_Dados!$S$2:$S$5000,0)),"")</f>
        <v/>
      </c>
      <c r="I145" s="87" t="str">
        <f>IFERROR(INDEX(EQA.CAP_Dados!I$2:I$5000,MATCH(ROW()-4,EQA.CAP_Dados!$S$2:$S$5000,0)),"")</f>
        <v/>
      </c>
      <c r="J145" s="85" t="str">
        <f>IFERROR(INDEX(EQA.CAP_Dados!J$2:J$5000,MATCH(ROW()-4,EQA.CAP_Dados!$S$2:$S$5000,0)),"")</f>
        <v/>
      </c>
      <c r="K145" s="85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81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85" t="str">
        <f>IFERROR(INDEX(EQA.CAP_Dados!O$2:O$5000,MATCH(ROW()-4,EQA.CAP_Dados!$S$2:$S$5000,0)),"")</f>
        <v/>
      </c>
      <c r="P145" s="85" t="str">
        <f>IFERROR(INDEX(EQA.CAP_Dados!P$2:P$5000,MATCH(ROW()-4,EQA.CAP_Dados!$S$2:$S$5000,0)),"")</f>
        <v/>
      </c>
      <c r="Q145" s="81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81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85" t="str">
        <f>IFERROR(INDEX(EQA.CAP_Dados!F$2:F$5000,MATCH(ROW()-4,EQA.CAP_Dados!$S$2:$S$5000,0)),"")</f>
        <v/>
      </c>
      <c r="G146" s="86" t="str">
        <f>IFERROR(INDEX(EQA.CAP_Dados!G$2:G$5000,MATCH(ROW()-4,EQA.CAP_Dados!$S$2:$S$5000,0)),"")</f>
        <v/>
      </c>
      <c r="H146" s="86" t="str">
        <f>IFERROR(INDEX(EQA.CAP_Dados!H$2:H$5000,MATCH(ROW()-4,EQA.CAP_Dados!$S$2:$S$5000,0)),"")</f>
        <v/>
      </c>
      <c r="I146" s="87" t="str">
        <f>IFERROR(INDEX(EQA.CAP_Dados!I$2:I$5000,MATCH(ROW()-4,EQA.CAP_Dados!$S$2:$S$5000,0)),"")</f>
        <v/>
      </c>
      <c r="J146" s="85" t="str">
        <f>IFERROR(INDEX(EQA.CAP_Dados!J$2:J$5000,MATCH(ROW()-4,EQA.CAP_Dados!$S$2:$S$5000,0)),"")</f>
        <v/>
      </c>
      <c r="K146" s="85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81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85" t="str">
        <f>IFERROR(INDEX(EQA.CAP_Dados!O$2:O$5000,MATCH(ROW()-4,EQA.CAP_Dados!$S$2:$S$5000,0)),"")</f>
        <v/>
      </c>
      <c r="P146" s="85" t="str">
        <f>IFERROR(INDEX(EQA.CAP_Dados!P$2:P$5000,MATCH(ROW()-4,EQA.CAP_Dados!$S$2:$S$5000,0)),"")</f>
        <v/>
      </c>
      <c r="Q146" s="81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81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85" t="str">
        <f>IFERROR(INDEX(EQA.CAP_Dados!F$2:F$5000,MATCH(ROW()-4,EQA.CAP_Dados!$S$2:$S$5000,0)),"")</f>
        <v/>
      </c>
      <c r="G147" s="86" t="str">
        <f>IFERROR(INDEX(EQA.CAP_Dados!G$2:G$5000,MATCH(ROW()-4,EQA.CAP_Dados!$S$2:$S$5000,0)),"")</f>
        <v/>
      </c>
      <c r="H147" s="86" t="str">
        <f>IFERROR(INDEX(EQA.CAP_Dados!H$2:H$5000,MATCH(ROW()-4,EQA.CAP_Dados!$S$2:$S$5000,0)),"")</f>
        <v/>
      </c>
      <c r="I147" s="87" t="str">
        <f>IFERROR(INDEX(EQA.CAP_Dados!I$2:I$5000,MATCH(ROW()-4,EQA.CAP_Dados!$S$2:$S$5000,0)),"")</f>
        <v/>
      </c>
      <c r="J147" s="85" t="str">
        <f>IFERROR(INDEX(EQA.CAP_Dados!J$2:J$5000,MATCH(ROW()-4,EQA.CAP_Dados!$S$2:$S$5000,0)),"")</f>
        <v/>
      </c>
      <c r="K147" s="85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81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85" t="str">
        <f>IFERROR(INDEX(EQA.CAP_Dados!O$2:O$5000,MATCH(ROW()-4,EQA.CAP_Dados!$S$2:$S$5000,0)),"")</f>
        <v/>
      </c>
      <c r="P147" s="85" t="str">
        <f>IFERROR(INDEX(EQA.CAP_Dados!P$2:P$5000,MATCH(ROW()-4,EQA.CAP_Dados!$S$2:$S$5000,0)),"")</f>
        <v/>
      </c>
      <c r="Q147" s="81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81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85" t="str">
        <f>IFERROR(INDEX(EQA.CAP_Dados!F$2:F$5000,MATCH(ROW()-4,EQA.CAP_Dados!$S$2:$S$5000,0)),"")</f>
        <v/>
      </c>
      <c r="G148" s="86" t="str">
        <f>IFERROR(INDEX(EQA.CAP_Dados!G$2:G$5000,MATCH(ROW()-4,EQA.CAP_Dados!$S$2:$S$5000,0)),"")</f>
        <v/>
      </c>
      <c r="H148" s="86" t="str">
        <f>IFERROR(INDEX(EQA.CAP_Dados!H$2:H$5000,MATCH(ROW()-4,EQA.CAP_Dados!$S$2:$S$5000,0)),"")</f>
        <v/>
      </c>
      <c r="I148" s="87" t="str">
        <f>IFERROR(INDEX(EQA.CAP_Dados!I$2:I$5000,MATCH(ROW()-4,EQA.CAP_Dados!$S$2:$S$5000,0)),"")</f>
        <v/>
      </c>
      <c r="J148" s="85" t="str">
        <f>IFERROR(INDEX(EQA.CAP_Dados!J$2:J$5000,MATCH(ROW()-4,EQA.CAP_Dados!$S$2:$S$5000,0)),"")</f>
        <v/>
      </c>
      <c r="K148" s="85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81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85" t="str">
        <f>IFERROR(INDEX(EQA.CAP_Dados!O$2:O$5000,MATCH(ROW()-4,EQA.CAP_Dados!$S$2:$S$5000,0)),"")</f>
        <v/>
      </c>
      <c r="P148" s="85" t="str">
        <f>IFERROR(INDEX(EQA.CAP_Dados!P$2:P$5000,MATCH(ROW()-4,EQA.CAP_Dados!$S$2:$S$5000,0)),"")</f>
        <v/>
      </c>
      <c r="Q148" s="81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81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85" t="str">
        <f>IFERROR(INDEX(EQA.CAP_Dados!F$2:F$5000,MATCH(ROW()-4,EQA.CAP_Dados!$S$2:$S$5000,0)),"")</f>
        <v/>
      </c>
      <c r="G149" s="86" t="str">
        <f>IFERROR(INDEX(EQA.CAP_Dados!G$2:G$5000,MATCH(ROW()-4,EQA.CAP_Dados!$S$2:$S$5000,0)),"")</f>
        <v/>
      </c>
      <c r="H149" s="86" t="str">
        <f>IFERROR(INDEX(EQA.CAP_Dados!H$2:H$5000,MATCH(ROW()-4,EQA.CAP_Dados!$S$2:$S$5000,0)),"")</f>
        <v/>
      </c>
      <c r="I149" s="87" t="str">
        <f>IFERROR(INDEX(EQA.CAP_Dados!I$2:I$5000,MATCH(ROW()-4,EQA.CAP_Dados!$S$2:$S$5000,0)),"")</f>
        <v/>
      </c>
      <c r="J149" s="85" t="str">
        <f>IFERROR(INDEX(EQA.CAP_Dados!J$2:J$5000,MATCH(ROW()-4,EQA.CAP_Dados!$S$2:$S$5000,0)),"")</f>
        <v/>
      </c>
      <c r="K149" s="85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81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85" t="str">
        <f>IFERROR(INDEX(EQA.CAP_Dados!O$2:O$5000,MATCH(ROW()-4,EQA.CAP_Dados!$S$2:$S$5000,0)),"")</f>
        <v/>
      </c>
      <c r="P149" s="85" t="str">
        <f>IFERROR(INDEX(EQA.CAP_Dados!P$2:P$5000,MATCH(ROW()-4,EQA.CAP_Dados!$S$2:$S$5000,0)),"")</f>
        <v/>
      </c>
      <c r="Q149" s="81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81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85" t="str">
        <f>IFERROR(INDEX(EQA.CAP_Dados!F$2:F$5000,MATCH(ROW()-4,EQA.CAP_Dados!$S$2:$S$5000,0)),"")</f>
        <v/>
      </c>
      <c r="G150" s="86" t="str">
        <f>IFERROR(INDEX(EQA.CAP_Dados!G$2:G$5000,MATCH(ROW()-4,EQA.CAP_Dados!$S$2:$S$5000,0)),"")</f>
        <v/>
      </c>
      <c r="H150" s="86" t="str">
        <f>IFERROR(INDEX(EQA.CAP_Dados!H$2:H$5000,MATCH(ROW()-4,EQA.CAP_Dados!$S$2:$S$5000,0)),"")</f>
        <v/>
      </c>
      <c r="I150" s="87" t="str">
        <f>IFERROR(INDEX(EQA.CAP_Dados!I$2:I$5000,MATCH(ROW()-4,EQA.CAP_Dados!$S$2:$S$5000,0)),"")</f>
        <v/>
      </c>
      <c r="J150" s="85" t="str">
        <f>IFERROR(INDEX(EQA.CAP_Dados!J$2:J$5000,MATCH(ROW()-4,EQA.CAP_Dados!$S$2:$S$5000,0)),"")</f>
        <v/>
      </c>
      <c r="K150" s="85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81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85" t="str">
        <f>IFERROR(INDEX(EQA.CAP_Dados!O$2:O$5000,MATCH(ROW()-4,EQA.CAP_Dados!$S$2:$S$5000,0)),"")</f>
        <v/>
      </c>
      <c r="P150" s="85" t="str">
        <f>IFERROR(INDEX(EQA.CAP_Dados!P$2:P$5000,MATCH(ROW()-4,EQA.CAP_Dados!$S$2:$S$5000,0)),"")</f>
        <v/>
      </c>
      <c r="Q150" s="81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81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85" t="str">
        <f>IFERROR(INDEX(EQA.CAP_Dados!F$2:F$5000,MATCH(ROW()-4,EQA.CAP_Dados!$S$2:$S$5000,0)),"")</f>
        <v/>
      </c>
      <c r="G151" s="86" t="str">
        <f>IFERROR(INDEX(EQA.CAP_Dados!G$2:G$5000,MATCH(ROW()-4,EQA.CAP_Dados!$S$2:$S$5000,0)),"")</f>
        <v/>
      </c>
      <c r="H151" s="86" t="str">
        <f>IFERROR(INDEX(EQA.CAP_Dados!H$2:H$5000,MATCH(ROW()-4,EQA.CAP_Dados!$S$2:$S$5000,0)),"")</f>
        <v/>
      </c>
      <c r="I151" s="87" t="str">
        <f>IFERROR(INDEX(EQA.CAP_Dados!I$2:I$5000,MATCH(ROW()-4,EQA.CAP_Dados!$S$2:$S$5000,0)),"")</f>
        <v/>
      </c>
      <c r="J151" s="85" t="str">
        <f>IFERROR(INDEX(EQA.CAP_Dados!J$2:J$5000,MATCH(ROW()-4,EQA.CAP_Dados!$S$2:$S$5000,0)),"")</f>
        <v/>
      </c>
      <c r="K151" s="85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81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85" t="str">
        <f>IFERROR(INDEX(EQA.CAP_Dados!O$2:O$5000,MATCH(ROW()-4,EQA.CAP_Dados!$S$2:$S$5000,0)),"")</f>
        <v/>
      </c>
      <c r="P151" s="85" t="str">
        <f>IFERROR(INDEX(EQA.CAP_Dados!P$2:P$5000,MATCH(ROW()-4,EQA.CAP_Dados!$S$2:$S$5000,0)),"")</f>
        <v/>
      </c>
      <c r="Q151" s="81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81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85" t="str">
        <f>IFERROR(INDEX(EQA.CAP_Dados!F$2:F$5000,MATCH(ROW()-4,EQA.CAP_Dados!$S$2:$S$5000,0)),"")</f>
        <v/>
      </c>
      <c r="G152" s="86" t="str">
        <f>IFERROR(INDEX(EQA.CAP_Dados!G$2:G$5000,MATCH(ROW()-4,EQA.CAP_Dados!$S$2:$S$5000,0)),"")</f>
        <v/>
      </c>
      <c r="H152" s="86" t="str">
        <f>IFERROR(INDEX(EQA.CAP_Dados!H$2:H$5000,MATCH(ROW()-4,EQA.CAP_Dados!$S$2:$S$5000,0)),"")</f>
        <v/>
      </c>
      <c r="I152" s="87" t="str">
        <f>IFERROR(INDEX(EQA.CAP_Dados!I$2:I$5000,MATCH(ROW()-4,EQA.CAP_Dados!$S$2:$S$5000,0)),"")</f>
        <v/>
      </c>
      <c r="J152" s="85" t="str">
        <f>IFERROR(INDEX(EQA.CAP_Dados!J$2:J$5000,MATCH(ROW()-4,EQA.CAP_Dados!$S$2:$S$5000,0)),"")</f>
        <v/>
      </c>
      <c r="K152" s="85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81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85" t="str">
        <f>IFERROR(INDEX(EQA.CAP_Dados!O$2:O$5000,MATCH(ROW()-4,EQA.CAP_Dados!$S$2:$S$5000,0)),"")</f>
        <v/>
      </c>
      <c r="P152" s="85" t="str">
        <f>IFERROR(INDEX(EQA.CAP_Dados!P$2:P$5000,MATCH(ROW()-4,EQA.CAP_Dados!$S$2:$S$5000,0)),"")</f>
        <v/>
      </c>
      <c r="Q152" s="81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81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85" t="str">
        <f>IFERROR(INDEX(EQA.CAP_Dados!F$2:F$5000,MATCH(ROW()-4,EQA.CAP_Dados!$S$2:$S$5000,0)),"")</f>
        <v/>
      </c>
      <c r="G153" s="86" t="str">
        <f>IFERROR(INDEX(EQA.CAP_Dados!G$2:G$5000,MATCH(ROW()-4,EQA.CAP_Dados!$S$2:$S$5000,0)),"")</f>
        <v/>
      </c>
      <c r="H153" s="86" t="str">
        <f>IFERROR(INDEX(EQA.CAP_Dados!H$2:H$5000,MATCH(ROW()-4,EQA.CAP_Dados!$S$2:$S$5000,0)),"")</f>
        <v/>
      </c>
      <c r="I153" s="87" t="str">
        <f>IFERROR(INDEX(EQA.CAP_Dados!I$2:I$5000,MATCH(ROW()-4,EQA.CAP_Dados!$S$2:$S$5000,0)),"")</f>
        <v/>
      </c>
      <c r="J153" s="85" t="str">
        <f>IFERROR(INDEX(EQA.CAP_Dados!J$2:J$5000,MATCH(ROW()-4,EQA.CAP_Dados!$S$2:$S$5000,0)),"")</f>
        <v/>
      </c>
      <c r="K153" s="85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81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85" t="str">
        <f>IFERROR(INDEX(EQA.CAP_Dados!O$2:O$5000,MATCH(ROW()-4,EQA.CAP_Dados!$S$2:$S$5000,0)),"")</f>
        <v/>
      </c>
      <c r="P153" s="85" t="str">
        <f>IFERROR(INDEX(EQA.CAP_Dados!P$2:P$5000,MATCH(ROW()-4,EQA.CAP_Dados!$S$2:$S$5000,0)),"")</f>
        <v/>
      </c>
      <c r="Q153" s="81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81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85" t="str">
        <f>IFERROR(INDEX(EQA.CAP_Dados!F$2:F$5000,MATCH(ROW()-4,EQA.CAP_Dados!$S$2:$S$5000,0)),"")</f>
        <v/>
      </c>
      <c r="G154" s="86" t="str">
        <f>IFERROR(INDEX(EQA.CAP_Dados!G$2:G$5000,MATCH(ROW()-4,EQA.CAP_Dados!$S$2:$S$5000,0)),"")</f>
        <v/>
      </c>
      <c r="H154" s="86" t="str">
        <f>IFERROR(INDEX(EQA.CAP_Dados!H$2:H$5000,MATCH(ROW()-4,EQA.CAP_Dados!$S$2:$S$5000,0)),"")</f>
        <v/>
      </c>
      <c r="I154" s="87" t="str">
        <f>IFERROR(INDEX(EQA.CAP_Dados!I$2:I$5000,MATCH(ROW()-4,EQA.CAP_Dados!$S$2:$S$5000,0)),"")</f>
        <v/>
      </c>
      <c r="J154" s="85" t="str">
        <f>IFERROR(INDEX(EQA.CAP_Dados!J$2:J$5000,MATCH(ROW()-4,EQA.CAP_Dados!$S$2:$S$5000,0)),"")</f>
        <v/>
      </c>
      <c r="K154" s="85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81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85" t="str">
        <f>IFERROR(INDEX(EQA.CAP_Dados!O$2:O$5000,MATCH(ROW()-4,EQA.CAP_Dados!$S$2:$S$5000,0)),"")</f>
        <v/>
      </c>
      <c r="P154" s="85" t="str">
        <f>IFERROR(INDEX(EQA.CAP_Dados!P$2:P$5000,MATCH(ROW()-4,EQA.CAP_Dados!$S$2:$S$5000,0)),"")</f>
        <v/>
      </c>
      <c r="Q154" s="81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81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85" t="str">
        <f>IFERROR(INDEX(EQA.CAP_Dados!F$2:F$5000,MATCH(ROW()-4,EQA.CAP_Dados!$S$2:$S$5000,0)),"")</f>
        <v/>
      </c>
      <c r="G155" s="86" t="str">
        <f>IFERROR(INDEX(EQA.CAP_Dados!G$2:G$5000,MATCH(ROW()-4,EQA.CAP_Dados!$S$2:$S$5000,0)),"")</f>
        <v/>
      </c>
      <c r="H155" s="86" t="str">
        <f>IFERROR(INDEX(EQA.CAP_Dados!H$2:H$5000,MATCH(ROW()-4,EQA.CAP_Dados!$S$2:$S$5000,0)),"")</f>
        <v/>
      </c>
      <c r="I155" s="87" t="str">
        <f>IFERROR(INDEX(EQA.CAP_Dados!I$2:I$5000,MATCH(ROW()-4,EQA.CAP_Dados!$S$2:$S$5000,0)),"")</f>
        <v/>
      </c>
      <c r="J155" s="85" t="str">
        <f>IFERROR(INDEX(EQA.CAP_Dados!J$2:J$5000,MATCH(ROW()-4,EQA.CAP_Dados!$S$2:$S$5000,0)),"")</f>
        <v/>
      </c>
      <c r="K155" s="85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81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85" t="str">
        <f>IFERROR(INDEX(EQA.CAP_Dados!O$2:O$5000,MATCH(ROW()-4,EQA.CAP_Dados!$S$2:$S$5000,0)),"")</f>
        <v/>
      </c>
      <c r="P155" s="85" t="str">
        <f>IFERROR(INDEX(EQA.CAP_Dados!P$2:P$5000,MATCH(ROW()-4,EQA.CAP_Dados!$S$2:$S$5000,0)),"")</f>
        <v/>
      </c>
      <c r="Q155" s="81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81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85" t="str">
        <f>IFERROR(INDEX(EQA.CAP_Dados!F$2:F$5000,MATCH(ROW()-4,EQA.CAP_Dados!$S$2:$S$5000,0)),"")</f>
        <v/>
      </c>
      <c r="G156" s="86" t="str">
        <f>IFERROR(INDEX(EQA.CAP_Dados!G$2:G$5000,MATCH(ROW()-4,EQA.CAP_Dados!$S$2:$S$5000,0)),"")</f>
        <v/>
      </c>
      <c r="H156" s="86" t="str">
        <f>IFERROR(INDEX(EQA.CAP_Dados!H$2:H$5000,MATCH(ROW()-4,EQA.CAP_Dados!$S$2:$S$5000,0)),"")</f>
        <v/>
      </c>
      <c r="I156" s="87" t="str">
        <f>IFERROR(INDEX(EQA.CAP_Dados!I$2:I$5000,MATCH(ROW()-4,EQA.CAP_Dados!$S$2:$S$5000,0)),"")</f>
        <v/>
      </c>
      <c r="J156" s="85" t="str">
        <f>IFERROR(INDEX(EQA.CAP_Dados!J$2:J$5000,MATCH(ROW()-4,EQA.CAP_Dados!$S$2:$S$5000,0)),"")</f>
        <v/>
      </c>
      <c r="K156" s="85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81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85" t="str">
        <f>IFERROR(INDEX(EQA.CAP_Dados!O$2:O$5000,MATCH(ROW()-4,EQA.CAP_Dados!$S$2:$S$5000,0)),"")</f>
        <v/>
      </c>
      <c r="P156" s="85" t="str">
        <f>IFERROR(INDEX(EQA.CAP_Dados!P$2:P$5000,MATCH(ROW()-4,EQA.CAP_Dados!$S$2:$S$5000,0)),"")</f>
        <v/>
      </c>
      <c r="Q156" s="81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81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85" t="str">
        <f>IFERROR(INDEX(EQA.CAP_Dados!F$2:F$5000,MATCH(ROW()-4,EQA.CAP_Dados!$S$2:$S$5000,0)),"")</f>
        <v/>
      </c>
      <c r="G157" s="86" t="str">
        <f>IFERROR(INDEX(EQA.CAP_Dados!G$2:G$5000,MATCH(ROW()-4,EQA.CAP_Dados!$S$2:$S$5000,0)),"")</f>
        <v/>
      </c>
      <c r="H157" s="86" t="str">
        <f>IFERROR(INDEX(EQA.CAP_Dados!H$2:H$5000,MATCH(ROW()-4,EQA.CAP_Dados!$S$2:$S$5000,0)),"")</f>
        <v/>
      </c>
      <c r="I157" s="87" t="str">
        <f>IFERROR(INDEX(EQA.CAP_Dados!I$2:I$5000,MATCH(ROW()-4,EQA.CAP_Dados!$S$2:$S$5000,0)),"")</f>
        <v/>
      </c>
      <c r="J157" s="85" t="str">
        <f>IFERROR(INDEX(EQA.CAP_Dados!J$2:J$5000,MATCH(ROW()-4,EQA.CAP_Dados!$S$2:$S$5000,0)),"")</f>
        <v/>
      </c>
      <c r="K157" s="85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81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85" t="str">
        <f>IFERROR(INDEX(EQA.CAP_Dados!O$2:O$5000,MATCH(ROW()-4,EQA.CAP_Dados!$S$2:$S$5000,0)),"")</f>
        <v/>
      </c>
      <c r="P157" s="85" t="str">
        <f>IFERROR(INDEX(EQA.CAP_Dados!P$2:P$5000,MATCH(ROW()-4,EQA.CAP_Dados!$S$2:$S$5000,0)),"")</f>
        <v/>
      </c>
      <c r="Q157" s="81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81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85" t="str">
        <f>IFERROR(INDEX(EQA.CAP_Dados!F$2:F$5000,MATCH(ROW()-4,EQA.CAP_Dados!$S$2:$S$5000,0)),"")</f>
        <v/>
      </c>
      <c r="G158" s="86" t="str">
        <f>IFERROR(INDEX(EQA.CAP_Dados!G$2:G$5000,MATCH(ROW()-4,EQA.CAP_Dados!$S$2:$S$5000,0)),"")</f>
        <v/>
      </c>
      <c r="H158" s="86" t="str">
        <f>IFERROR(INDEX(EQA.CAP_Dados!H$2:H$5000,MATCH(ROW()-4,EQA.CAP_Dados!$S$2:$S$5000,0)),"")</f>
        <v/>
      </c>
      <c r="I158" s="87" t="str">
        <f>IFERROR(INDEX(EQA.CAP_Dados!I$2:I$5000,MATCH(ROW()-4,EQA.CAP_Dados!$S$2:$S$5000,0)),"")</f>
        <v/>
      </c>
      <c r="J158" s="85" t="str">
        <f>IFERROR(INDEX(EQA.CAP_Dados!J$2:J$5000,MATCH(ROW()-4,EQA.CAP_Dados!$S$2:$S$5000,0)),"")</f>
        <v/>
      </c>
      <c r="K158" s="85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81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85" t="str">
        <f>IFERROR(INDEX(EQA.CAP_Dados!O$2:O$5000,MATCH(ROW()-4,EQA.CAP_Dados!$S$2:$S$5000,0)),"")</f>
        <v/>
      </c>
      <c r="P158" s="85" t="str">
        <f>IFERROR(INDEX(EQA.CAP_Dados!P$2:P$5000,MATCH(ROW()-4,EQA.CAP_Dados!$S$2:$S$5000,0)),"")</f>
        <v/>
      </c>
      <c r="Q158" s="81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81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85" t="str">
        <f>IFERROR(INDEX(EQA.CAP_Dados!F$2:F$5000,MATCH(ROW()-4,EQA.CAP_Dados!$S$2:$S$5000,0)),"")</f>
        <v/>
      </c>
      <c r="G159" s="86" t="str">
        <f>IFERROR(INDEX(EQA.CAP_Dados!G$2:G$5000,MATCH(ROW()-4,EQA.CAP_Dados!$S$2:$S$5000,0)),"")</f>
        <v/>
      </c>
      <c r="H159" s="86" t="str">
        <f>IFERROR(INDEX(EQA.CAP_Dados!H$2:H$5000,MATCH(ROW()-4,EQA.CAP_Dados!$S$2:$S$5000,0)),"")</f>
        <v/>
      </c>
      <c r="I159" s="87" t="str">
        <f>IFERROR(INDEX(EQA.CAP_Dados!I$2:I$5000,MATCH(ROW()-4,EQA.CAP_Dados!$S$2:$S$5000,0)),"")</f>
        <v/>
      </c>
      <c r="J159" s="85" t="str">
        <f>IFERROR(INDEX(EQA.CAP_Dados!J$2:J$5000,MATCH(ROW()-4,EQA.CAP_Dados!$S$2:$S$5000,0)),"")</f>
        <v/>
      </c>
      <c r="K159" s="85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81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85" t="str">
        <f>IFERROR(INDEX(EQA.CAP_Dados!O$2:O$5000,MATCH(ROW()-4,EQA.CAP_Dados!$S$2:$S$5000,0)),"")</f>
        <v/>
      </c>
      <c r="P159" s="85" t="str">
        <f>IFERROR(INDEX(EQA.CAP_Dados!P$2:P$5000,MATCH(ROW()-4,EQA.CAP_Dados!$S$2:$S$5000,0)),"")</f>
        <v/>
      </c>
      <c r="Q159" s="81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81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85" t="str">
        <f>IFERROR(INDEX(EQA.CAP_Dados!F$2:F$5000,MATCH(ROW()-4,EQA.CAP_Dados!$S$2:$S$5000,0)),"")</f>
        <v/>
      </c>
      <c r="G160" s="86" t="str">
        <f>IFERROR(INDEX(EQA.CAP_Dados!G$2:G$5000,MATCH(ROW()-4,EQA.CAP_Dados!$S$2:$S$5000,0)),"")</f>
        <v/>
      </c>
      <c r="H160" s="86" t="str">
        <f>IFERROR(INDEX(EQA.CAP_Dados!H$2:H$5000,MATCH(ROW()-4,EQA.CAP_Dados!$S$2:$S$5000,0)),"")</f>
        <v/>
      </c>
      <c r="I160" s="87" t="str">
        <f>IFERROR(INDEX(EQA.CAP_Dados!I$2:I$5000,MATCH(ROW()-4,EQA.CAP_Dados!$S$2:$S$5000,0)),"")</f>
        <v/>
      </c>
      <c r="J160" s="85" t="str">
        <f>IFERROR(INDEX(EQA.CAP_Dados!J$2:J$5000,MATCH(ROW()-4,EQA.CAP_Dados!$S$2:$S$5000,0)),"")</f>
        <v/>
      </c>
      <c r="K160" s="85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81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85" t="str">
        <f>IFERROR(INDEX(EQA.CAP_Dados!O$2:O$5000,MATCH(ROW()-4,EQA.CAP_Dados!$S$2:$S$5000,0)),"")</f>
        <v/>
      </c>
      <c r="P160" s="85" t="str">
        <f>IFERROR(INDEX(EQA.CAP_Dados!P$2:P$5000,MATCH(ROW()-4,EQA.CAP_Dados!$S$2:$S$5000,0)),"")</f>
        <v/>
      </c>
      <c r="Q160" s="81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81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85" t="str">
        <f>IFERROR(INDEX(EQA.CAP_Dados!F$2:F$5000,MATCH(ROW()-4,EQA.CAP_Dados!$S$2:$S$5000,0)),"")</f>
        <v/>
      </c>
      <c r="G161" s="86" t="str">
        <f>IFERROR(INDEX(EQA.CAP_Dados!G$2:G$5000,MATCH(ROW()-4,EQA.CAP_Dados!$S$2:$S$5000,0)),"")</f>
        <v/>
      </c>
      <c r="H161" s="86" t="str">
        <f>IFERROR(INDEX(EQA.CAP_Dados!H$2:H$5000,MATCH(ROW()-4,EQA.CAP_Dados!$S$2:$S$5000,0)),"")</f>
        <v/>
      </c>
      <c r="I161" s="87" t="str">
        <f>IFERROR(INDEX(EQA.CAP_Dados!I$2:I$5000,MATCH(ROW()-4,EQA.CAP_Dados!$S$2:$S$5000,0)),"")</f>
        <v/>
      </c>
      <c r="J161" s="85" t="str">
        <f>IFERROR(INDEX(EQA.CAP_Dados!J$2:J$5000,MATCH(ROW()-4,EQA.CAP_Dados!$S$2:$S$5000,0)),"")</f>
        <v/>
      </c>
      <c r="K161" s="85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81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85" t="str">
        <f>IFERROR(INDEX(EQA.CAP_Dados!O$2:O$5000,MATCH(ROW()-4,EQA.CAP_Dados!$S$2:$S$5000,0)),"")</f>
        <v/>
      </c>
      <c r="P161" s="85" t="str">
        <f>IFERROR(INDEX(EQA.CAP_Dados!P$2:P$5000,MATCH(ROW()-4,EQA.CAP_Dados!$S$2:$S$5000,0)),"")</f>
        <v/>
      </c>
      <c r="Q161" s="81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81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85" t="str">
        <f>IFERROR(INDEX(EQA.CAP_Dados!F$2:F$5000,MATCH(ROW()-4,EQA.CAP_Dados!$S$2:$S$5000,0)),"")</f>
        <v/>
      </c>
      <c r="G162" s="86" t="str">
        <f>IFERROR(INDEX(EQA.CAP_Dados!G$2:G$5000,MATCH(ROW()-4,EQA.CAP_Dados!$S$2:$S$5000,0)),"")</f>
        <v/>
      </c>
      <c r="H162" s="86" t="str">
        <f>IFERROR(INDEX(EQA.CAP_Dados!H$2:H$5000,MATCH(ROW()-4,EQA.CAP_Dados!$S$2:$S$5000,0)),"")</f>
        <v/>
      </c>
      <c r="I162" s="87" t="str">
        <f>IFERROR(INDEX(EQA.CAP_Dados!I$2:I$5000,MATCH(ROW()-4,EQA.CAP_Dados!$S$2:$S$5000,0)),"")</f>
        <v/>
      </c>
      <c r="J162" s="85" t="str">
        <f>IFERROR(INDEX(EQA.CAP_Dados!J$2:J$5000,MATCH(ROW()-4,EQA.CAP_Dados!$S$2:$S$5000,0)),"")</f>
        <v/>
      </c>
      <c r="K162" s="85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81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85" t="str">
        <f>IFERROR(INDEX(EQA.CAP_Dados!O$2:O$5000,MATCH(ROW()-4,EQA.CAP_Dados!$S$2:$S$5000,0)),"")</f>
        <v/>
      </c>
      <c r="P162" s="85" t="str">
        <f>IFERROR(INDEX(EQA.CAP_Dados!P$2:P$5000,MATCH(ROW()-4,EQA.CAP_Dados!$S$2:$S$5000,0)),"")</f>
        <v/>
      </c>
      <c r="Q162" s="81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81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85" t="str">
        <f>IFERROR(INDEX(EQA.CAP_Dados!F$2:F$5000,MATCH(ROW()-4,EQA.CAP_Dados!$S$2:$S$5000,0)),"")</f>
        <v/>
      </c>
      <c r="G163" s="86" t="str">
        <f>IFERROR(INDEX(EQA.CAP_Dados!G$2:G$5000,MATCH(ROW()-4,EQA.CAP_Dados!$S$2:$S$5000,0)),"")</f>
        <v/>
      </c>
      <c r="H163" s="86" t="str">
        <f>IFERROR(INDEX(EQA.CAP_Dados!H$2:H$5000,MATCH(ROW()-4,EQA.CAP_Dados!$S$2:$S$5000,0)),"")</f>
        <v/>
      </c>
      <c r="I163" s="87" t="str">
        <f>IFERROR(INDEX(EQA.CAP_Dados!I$2:I$5000,MATCH(ROW()-4,EQA.CAP_Dados!$S$2:$S$5000,0)),"")</f>
        <v/>
      </c>
      <c r="J163" s="85" t="str">
        <f>IFERROR(INDEX(EQA.CAP_Dados!J$2:J$5000,MATCH(ROW()-4,EQA.CAP_Dados!$S$2:$S$5000,0)),"")</f>
        <v/>
      </c>
      <c r="K163" s="85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81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85" t="str">
        <f>IFERROR(INDEX(EQA.CAP_Dados!O$2:O$5000,MATCH(ROW()-4,EQA.CAP_Dados!$S$2:$S$5000,0)),"")</f>
        <v/>
      </c>
      <c r="P163" s="85" t="str">
        <f>IFERROR(INDEX(EQA.CAP_Dados!P$2:P$5000,MATCH(ROW()-4,EQA.CAP_Dados!$S$2:$S$5000,0)),"")</f>
        <v/>
      </c>
      <c r="Q163" s="81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81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85" t="str">
        <f>IFERROR(INDEX(EQA.CAP_Dados!F$2:F$5000,MATCH(ROW()-4,EQA.CAP_Dados!$S$2:$S$5000,0)),"")</f>
        <v/>
      </c>
      <c r="G164" s="86" t="str">
        <f>IFERROR(INDEX(EQA.CAP_Dados!G$2:G$5000,MATCH(ROW()-4,EQA.CAP_Dados!$S$2:$S$5000,0)),"")</f>
        <v/>
      </c>
      <c r="H164" s="86" t="str">
        <f>IFERROR(INDEX(EQA.CAP_Dados!H$2:H$5000,MATCH(ROW()-4,EQA.CAP_Dados!$S$2:$S$5000,0)),"")</f>
        <v/>
      </c>
      <c r="I164" s="87" t="str">
        <f>IFERROR(INDEX(EQA.CAP_Dados!I$2:I$5000,MATCH(ROW()-4,EQA.CAP_Dados!$S$2:$S$5000,0)),"")</f>
        <v/>
      </c>
      <c r="J164" s="85" t="str">
        <f>IFERROR(INDEX(EQA.CAP_Dados!J$2:J$5000,MATCH(ROW()-4,EQA.CAP_Dados!$S$2:$S$5000,0)),"")</f>
        <v/>
      </c>
      <c r="K164" s="85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81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85" t="str">
        <f>IFERROR(INDEX(EQA.CAP_Dados!O$2:O$5000,MATCH(ROW()-4,EQA.CAP_Dados!$S$2:$S$5000,0)),"")</f>
        <v/>
      </c>
      <c r="P164" s="85" t="str">
        <f>IFERROR(INDEX(EQA.CAP_Dados!P$2:P$5000,MATCH(ROW()-4,EQA.CAP_Dados!$S$2:$S$5000,0)),"")</f>
        <v/>
      </c>
      <c r="Q164" s="81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81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85" t="str">
        <f>IFERROR(INDEX(EQA.CAP_Dados!F$2:F$5000,MATCH(ROW()-4,EQA.CAP_Dados!$S$2:$S$5000,0)),"")</f>
        <v/>
      </c>
      <c r="G165" s="86" t="str">
        <f>IFERROR(INDEX(EQA.CAP_Dados!G$2:G$5000,MATCH(ROW()-4,EQA.CAP_Dados!$S$2:$S$5000,0)),"")</f>
        <v/>
      </c>
      <c r="H165" s="86" t="str">
        <f>IFERROR(INDEX(EQA.CAP_Dados!H$2:H$5000,MATCH(ROW()-4,EQA.CAP_Dados!$S$2:$S$5000,0)),"")</f>
        <v/>
      </c>
      <c r="I165" s="87" t="str">
        <f>IFERROR(INDEX(EQA.CAP_Dados!I$2:I$5000,MATCH(ROW()-4,EQA.CAP_Dados!$S$2:$S$5000,0)),"")</f>
        <v/>
      </c>
      <c r="J165" s="85" t="str">
        <f>IFERROR(INDEX(EQA.CAP_Dados!J$2:J$5000,MATCH(ROW()-4,EQA.CAP_Dados!$S$2:$S$5000,0)),"")</f>
        <v/>
      </c>
      <c r="K165" s="85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81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85" t="str">
        <f>IFERROR(INDEX(EQA.CAP_Dados!O$2:O$5000,MATCH(ROW()-4,EQA.CAP_Dados!$S$2:$S$5000,0)),"")</f>
        <v/>
      </c>
      <c r="P165" s="85" t="str">
        <f>IFERROR(INDEX(EQA.CAP_Dados!P$2:P$5000,MATCH(ROW()-4,EQA.CAP_Dados!$S$2:$S$5000,0)),"")</f>
        <v/>
      </c>
      <c r="Q165" s="81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81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85" t="str">
        <f>IFERROR(INDEX(EQA.CAP_Dados!F$2:F$5000,MATCH(ROW()-4,EQA.CAP_Dados!$S$2:$S$5000,0)),"")</f>
        <v/>
      </c>
      <c r="G166" s="86" t="str">
        <f>IFERROR(INDEX(EQA.CAP_Dados!G$2:G$5000,MATCH(ROW()-4,EQA.CAP_Dados!$S$2:$S$5000,0)),"")</f>
        <v/>
      </c>
      <c r="H166" s="86" t="str">
        <f>IFERROR(INDEX(EQA.CAP_Dados!H$2:H$5000,MATCH(ROW()-4,EQA.CAP_Dados!$S$2:$S$5000,0)),"")</f>
        <v/>
      </c>
      <c r="I166" s="87" t="str">
        <f>IFERROR(INDEX(EQA.CAP_Dados!I$2:I$5000,MATCH(ROW()-4,EQA.CAP_Dados!$S$2:$S$5000,0)),"")</f>
        <v/>
      </c>
      <c r="J166" s="85" t="str">
        <f>IFERROR(INDEX(EQA.CAP_Dados!J$2:J$5000,MATCH(ROW()-4,EQA.CAP_Dados!$S$2:$S$5000,0)),"")</f>
        <v/>
      </c>
      <c r="K166" s="85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81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85" t="str">
        <f>IFERROR(INDEX(EQA.CAP_Dados!O$2:O$5000,MATCH(ROW()-4,EQA.CAP_Dados!$S$2:$S$5000,0)),"")</f>
        <v/>
      </c>
      <c r="P166" s="85" t="str">
        <f>IFERROR(INDEX(EQA.CAP_Dados!P$2:P$5000,MATCH(ROW()-4,EQA.CAP_Dados!$S$2:$S$5000,0)),"")</f>
        <v/>
      </c>
      <c r="Q166" s="81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81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85" t="str">
        <f>IFERROR(INDEX(EQA.CAP_Dados!F$2:F$5000,MATCH(ROW()-4,EQA.CAP_Dados!$S$2:$S$5000,0)),"")</f>
        <v/>
      </c>
      <c r="G167" s="86" t="str">
        <f>IFERROR(INDEX(EQA.CAP_Dados!G$2:G$5000,MATCH(ROW()-4,EQA.CAP_Dados!$S$2:$S$5000,0)),"")</f>
        <v/>
      </c>
      <c r="H167" s="86" t="str">
        <f>IFERROR(INDEX(EQA.CAP_Dados!H$2:H$5000,MATCH(ROW()-4,EQA.CAP_Dados!$S$2:$S$5000,0)),"")</f>
        <v/>
      </c>
      <c r="I167" s="87" t="str">
        <f>IFERROR(INDEX(EQA.CAP_Dados!I$2:I$5000,MATCH(ROW()-4,EQA.CAP_Dados!$S$2:$S$5000,0)),"")</f>
        <v/>
      </c>
      <c r="J167" s="85" t="str">
        <f>IFERROR(INDEX(EQA.CAP_Dados!J$2:J$5000,MATCH(ROW()-4,EQA.CAP_Dados!$S$2:$S$5000,0)),"")</f>
        <v/>
      </c>
      <c r="K167" s="85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81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85" t="str">
        <f>IFERROR(INDEX(EQA.CAP_Dados!O$2:O$5000,MATCH(ROW()-4,EQA.CAP_Dados!$S$2:$S$5000,0)),"")</f>
        <v/>
      </c>
      <c r="P167" s="85" t="str">
        <f>IFERROR(INDEX(EQA.CAP_Dados!P$2:P$5000,MATCH(ROW()-4,EQA.CAP_Dados!$S$2:$S$5000,0)),"")</f>
        <v/>
      </c>
      <c r="Q167" s="81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81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85" t="str">
        <f>IFERROR(INDEX(EQA.CAP_Dados!F$2:F$5000,MATCH(ROW()-4,EQA.CAP_Dados!$S$2:$S$5000,0)),"")</f>
        <v/>
      </c>
      <c r="G168" s="86" t="str">
        <f>IFERROR(INDEX(EQA.CAP_Dados!G$2:G$5000,MATCH(ROW()-4,EQA.CAP_Dados!$S$2:$S$5000,0)),"")</f>
        <v/>
      </c>
      <c r="H168" s="86" t="str">
        <f>IFERROR(INDEX(EQA.CAP_Dados!H$2:H$5000,MATCH(ROW()-4,EQA.CAP_Dados!$S$2:$S$5000,0)),"")</f>
        <v/>
      </c>
      <c r="I168" s="87" t="str">
        <f>IFERROR(INDEX(EQA.CAP_Dados!I$2:I$5000,MATCH(ROW()-4,EQA.CAP_Dados!$S$2:$S$5000,0)),"")</f>
        <v/>
      </c>
      <c r="J168" s="85" t="str">
        <f>IFERROR(INDEX(EQA.CAP_Dados!J$2:J$5000,MATCH(ROW()-4,EQA.CAP_Dados!$S$2:$S$5000,0)),"")</f>
        <v/>
      </c>
      <c r="K168" s="85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81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85" t="str">
        <f>IFERROR(INDEX(EQA.CAP_Dados!O$2:O$5000,MATCH(ROW()-4,EQA.CAP_Dados!$S$2:$S$5000,0)),"")</f>
        <v/>
      </c>
      <c r="P168" s="85" t="str">
        <f>IFERROR(INDEX(EQA.CAP_Dados!P$2:P$5000,MATCH(ROW()-4,EQA.CAP_Dados!$S$2:$S$5000,0)),"")</f>
        <v/>
      </c>
      <c r="Q168" s="81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81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85" t="str">
        <f>IFERROR(INDEX(EQA.CAP_Dados!F$2:F$5000,MATCH(ROW()-4,EQA.CAP_Dados!$S$2:$S$5000,0)),"")</f>
        <v/>
      </c>
      <c r="G169" s="86" t="str">
        <f>IFERROR(INDEX(EQA.CAP_Dados!G$2:G$5000,MATCH(ROW()-4,EQA.CAP_Dados!$S$2:$S$5000,0)),"")</f>
        <v/>
      </c>
      <c r="H169" s="86" t="str">
        <f>IFERROR(INDEX(EQA.CAP_Dados!H$2:H$5000,MATCH(ROW()-4,EQA.CAP_Dados!$S$2:$S$5000,0)),"")</f>
        <v/>
      </c>
      <c r="I169" s="87" t="str">
        <f>IFERROR(INDEX(EQA.CAP_Dados!I$2:I$5000,MATCH(ROW()-4,EQA.CAP_Dados!$S$2:$S$5000,0)),"")</f>
        <v/>
      </c>
      <c r="J169" s="85" t="str">
        <f>IFERROR(INDEX(EQA.CAP_Dados!J$2:J$5000,MATCH(ROW()-4,EQA.CAP_Dados!$S$2:$S$5000,0)),"")</f>
        <v/>
      </c>
      <c r="K169" s="85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81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85" t="str">
        <f>IFERROR(INDEX(EQA.CAP_Dados!O$2:O$5000,MATCH(ROW()-4,EQA.CAP_Dados!$S$2:$S$5000,0)),"")</f>
        <v/>
      </c>
      <c r="P169" s="85" t="str">
        <f>IFERROR(INDEX(EQA.CAP_Dados!P$2:P$5000,MATCH(ROW()-4,EQA.CAP_Dados!$S$2:$S$5000,0)),"")</f>
        <v/>
      </c>
      <c r="Q169" s="81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81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85" t="str">
        <f>IFERROR(INDEX(EQA.CAP_Dados!F$2:F$5000,MATCH(ROW()-4,EQA.CAP_Dados!$S$2:$S$5000,0)),"")</f>
        <v/>
      </c>
      <c r="G170" s="86" t="str">
        <f>IFERROR(INDEX(EQA.CAP_Dados!G$2:G$5000,MATCH(ROW()-4,EQA.CAP_Dados!$S$2:$S$5000,0)),"")</f>
        <v/>
      </c>
      <c r="H170" s="86" t="str">
        <f>IFERROR(INDEX(EQA.CAP_Dados!H$2:H$5000,MATCH(ROW()-4,EQA.CAP_Dados!$S$2:$S$5000,0)),"")</f>
        <v/>
      </c>
      <c r="I170" s="87" t="str">
        <f>IFERROR(INDEX(EQA.CAP_Dados!I$2:I$5000,MATCH(ROW()-4,EQA.CAP_Dados!$S$2:$S$5000,0)),"")</f>
        <v/>
      </c>
      <c r="J170" s="85" t="str">
        <f>IFERROR(INDEX(EQA.CAP_Dados!J$2:J$5000,MATCH(ROW()-4,EQA.CAP_Dados!$S$2:$S$5000,0)),"")</f>
        <v/>
      </c>
      <c r="K170" s="85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81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85" t="str">
        <f>IFERROR(INDEX(EQA.CAP_Dados!O$2:O$5000,MATCH(ROW()-4,EQA.CAP_Dados!$S$2:$S$5000,0)),"")</f>
        <v/>
      </c>
      <c r="P170" s="85" t="str">
        <f>IFERROR(INDEX(EQA.CAP_Dados!P$2:P$5000,MATCH(ROW()-4,EQA.CAP_Dados!$S$2:$S$5000,0)),"")</f>
        <v/>
      </c>
      <c r="Q170" s="81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81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85" t="str">
        <f>IFERROR(INDEX(EQA.CAP_Dados!F$2:F$5000,MATCH(ROW()-4,EQA.CAP_Dados!$S$2:$S$5000,0)),"")</f>
        <v/>
      </c>
      <c r="G171" s="86" t="str">
        <f>IFERROR(INDEX(EQA.CAP_Dados!G$2:G$5000,MATCH(ROW()-4,EQA.CAP_Dados!$S$2:$S$5000,0)),"")</f>
        <v/>
      </c>
      <c r="H171" s="86" t="str">
        <f>IFERROR(INDEX(EQA.CAP_Dados!H$2:H$5000,MATCH(ROW()-4,EQA.CAP_Dados!$S$2:$S$5000,0)),"")</f>
        <v/>
      </c>
      <c r="I171" s="87" t="str">
        <f>IFERROR(INDEX(EQA.CAP_Dados!I$2:I$5000,MATCH(ROW()-4,EQA.CAP_Dados!$S$2:$S$5000,0)),"")</f>
        <v/>
      </c>
      <c r="J171" s="85" t="str">
        <f>IFERROR(INDEX(EQA.CAP_Dados!J$2:J$5000,MATCH(ROW()-4,EQA.CAP_Dados!$S$2:$S$5000,0)),"")</f>
        <v/>
      </c>
      <c r="K171" s="85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81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85" t="str">
        <f>IFERROR(INDEX(EQA.CAP_Dados!O$2:O$5000,MATCH(ROW()-4,EQA.CAP_Dados!$S$2:$S$5000,0)),"")</f>
        <v/>
      </c>
      <c r="P171" s="85" t="str">
        <f>IFERROR(INDEX(EQA.CAP_Dados!P$2:P$5000,MATCH(ROW()-4,EQA.CAP_Dados!$S$2:$S$5000,0)),"")</f>
        <v/>
      </c>
      <c r="Q171" s="81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81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85" t="str">
        <f>IFERROR(INDEX(EQA.CAP_Dados!F$2:F$5000,MATCH(ROW()-4,EQA.CAP_Dados!$S$2:$S$5000,0)),"")</f>
        <v/>
      </c>
      <c r="G172" s="86" t="str">
        <f>IFERROR(INDEX(EQA.CAP_Dados!G$2:G$5000,MATCH(ROW()-4,EQA.CAP_Dados!$S$2:$S$5000,0)),"")</f>
        <v/>
      </c>
      <c r="H172" s="86" t="str">
        <f>IFERROR(INDEX(EQA.CAP_Dados!H$2:H$5000,MATCH(ROW()-4,EQA.CAP_Dados!$S$2:$S$5000,0)),"")</f>
        <v/>
      </c>
      <c r="I172" s="87" t="str">
        <f>IFERROR(INDEX(EQA.CAP_Dados!I$2:I$5000,MATCH(ROW()-4,EQA.CAP_Dados!$S$2:$S$5000,0)),"")</f>
        <v/>
      </c>
      <c r="J172" s="85" t="str">
        <f>IFERROR(INDEX(EQA.CAP_Dados!J$2:J$5000,MATCH(ROW()-4,EQA.CAP_Dados!$S$2:$S$5000,0)),"")</f>
        <v/>
      </c>
      <c r="K172" s="85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81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85" t="str">
        <f>IFERROR(INDEX(EQA.CAP_Dados!O$2:O$5000,MATCH(ROW()-4,EQA.CAP_Dados!$S$2:$S$5000,0)),"")</f>
        <v/>
      </c>
      <c r="P172" s="85" t="str">
        <f>IFERROR(INDEX(EQA.CAP_Dados!P$2:P$5000,MATCH(ROW()-4,EQA.CAP_Dados!$S$2:$S$5000,0)),"")</f>
        <v/>
      </c>
      <c r="Q172" s="81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81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85" t="str">
        <f>IFERROR(INDEX(EQA.CAP_Dados!F$2:F$5000,MATCH(ROW()-4,EQA.CAP_Dados!$S$2:$S$5000,0)),"")</f>
        <v/>
      </c>
      <c r="G173" s="86" t="str">
        <f>IFERROR(INDEX(EQA.CAP_Dados!G$2:G$5000,MATCH(ROW()-4,EQA.CAP_Dados!$S$2:$S$5000,0)),"")</f>
        <v/>
      </c>
      <c r="H173" s="86" t="str">
        <f>IFERROR(INDEX(EQA.CAP_Dados!H$2:H$5000,MATCH(ROW()-4,EQA.CAP_Dados!$S$2:$S$5000,0)),"")</f>
        <v/>
      </c>
      <c r="I173" s="87" t="str">
        <f>IFERROR(INDEX(EQA.CAP_Dados!I$2:I$5000,MATCH(ROW()-4,EQA.CAP_Dados!$S$2:$S$5000,0)),"")</f>
        <v/>
      </c>
      <c r="J173" s="85" t="str">
        <f>IFERROR(INDEX(EQA.CAP_Dados!J$2:J$5000,MATCH(ROW()-4,EQA.CAP_Dados!$S$2:$S$5000,0)),"")</f>
        <v/>
      </c>
      <c r="K173" s="85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81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85" t="str">
        <f>IFERROR(INDEX(EQA.CAP_Dados!O$2:O$5000,MATCH(ROW()-4,EQA.CAP_Dados!$S$2:$S$5000,0)),"")</f>
        <v/>
      </c>
      <c r="P173" s="85" t="str">
        <f>IFERROR(INDEX(EQA.CAP_Dados!P$2:P$5000,MATCH(ROW()-4,EQA.CAP_Dados!$S$2:$S$5000,0)),"")</f>
        <v/>
      </c>
      <c r="Q173" s="81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81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85" t="str">
        <f>IFERROR(INDEX(EQA.CAP_Dados!F$2:F$5000,MATCH(ROW()-4,EQA.CAP_Dados!$S$2:$S$5000,0)),"")</f>
        <v/>
      </c>
      <c r="G174" s="86" t="str">
        <f>IFERROR(INDEX(EQA.CAP_Dados!G$2:G$5000,MATCH(ROW()-4,EQA.CAP_Dados!$S$2:$S$5000,0)),"")</f>
        <v/>
      </c>
      <c r="H174" s="86" t="str">
        <f>IFERROR(INDEX(EQA.CAP_Dados!H$2:H$5000,MATCH(ROW()-4,EQA.CAP_Dados!$S$2:$S$5000,0)),"")</f>
        <v/>
      </c>
      <c r="I174" s="87" t="str">
        <f>IFERROR(INDEX(EQA.CAP_Dados!I$2:I$5000,MATCH(ROW()-4,EQA.CAP_Dados!$S$2:$S$5000,0)),"")</f>
        <v/>
      </c>
      <c r="J174" s="85" t="str">
        <f>IFERROR(INDEX(EQA.CAP_Dados!J$2:J$5000,MATCH(ROW()-4,EQA.CAP_Dados!$S$2:$S$5000,0)),"")</f>
        <v/>
      </c>
      <c r="K174" s="85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81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85" t="str">
        <f>IFERROR(INDEX(EQA.CAP_Dados!O$2:O$5000,MATCH(ROW()-4,EQA.CAP_Dados!$S$2:$S$5000,0)),"")</f>
        <v/>
      </c>
      <c r="P174" s="85" t="str">
        <f>IFERROR(INDEX(EQA.CAP_Dados!P$2:P$5000,MATCH(ROW()-4,EQA.CAP_Dados!$S$2:$S$5000,0)),"")</f>
        <v/>
      </c>
      <c r="Q174" s="81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81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85" t="str">
        <f>IFERROR(INDEX(EQA.CAP_Dados!F$2:F$5000,MATCH(ROW()-4,EQA.CAP_Dados!$S$2:$S$5000,0)),"")</f>
        <v/>
      </c>
      <c r="G175" s="86" t="str">
        <f>IFERROR(INDEX(EQA.CAP_Dados!G$2:G$5000,MATCH(ROW()-4,EQA.CAP_Dados!$S$2:$S$5000,0)),"")</f>
        <v/>
      </c>
      <c r="H175" s="86" t="str">
        <f>IFERROR(INDEX(EQA.CAP_Dados!H$2:H$5000,MATCH(ROW()-4,EQA.CAP_Dados!$S$2:$S$5000,0)),"")</f>
        <v/>
      </c>
      <c r="I175" s="87" t="str">
        <f>IFERROR(INDEX(EQA.CAP_Dados!I$2:I$5000,MATCH(ROW()-4,EQA.CAP_Dados!$S$2:$S$5000,0)),"")</f>
        <v/>
      </c>
      <c r="J175" s="85" t="str">
        <f>IFERROR(INDEX(EQA.CAP_Dados!J$2:J$5000,MATCH(ROW()-4,EQA.CAP_Dados!$S$2:$S$5000,0)),"")</f>
        <v/>
      </c>
      <c r="K175" s="85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81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85" t="str">
        <f>IFERROR(INDEX(EQA.CAP_Dados!O$2:O$5000,MATCH(ROW()-4,EQA.CAP_Dados!$S$2:$S$5000,0)),"")</f>
        <v/>
      </c>
      <c r="P175" s="85" t="str">
        <f>IFERROR(INDEX(EQA.CAP_Dados!P$2:P$5000,MATCH(ROW()-4,EQA.CAP_Dados!$S$2:$S$5000,0)),"")</f>
        <v/>
      </c>
      <c r="Q175" s="81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81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85" t="str">
        <f>IFERROR(INDEX(EQA.CAP_Dados!F$2:F$5000,MATCH(ROW()-4,EQA.CAP_Dados!$S$2:$S$5000,0)),"")</f>
        <v/>
      </c>
      <c r="G176" s="86" t="str">
        <f>IFERROR(INDEX(EQA.CAP_Dados!G$2:G$5000,MATCH(ROW()-4,EQA.CAP_Dados!$S$2:$S$5000,0)),"")</f>
        <v/>
      </c>
      <c r="H176" s="86" t="str">
        <f>IFERROR(INDEX(EQA.CAP_Dados!H$2:H$5000,MATCH(ROW()-4,EQA.CAP_Dados!$S$2:$S$5000,0)),"")</f>
        <v/>
      </c>
      <c r="I176" s="87" t="str">
        <f>IFERROR(INDEX(EQA.CAP_Dados!I$2:I$5000,MATCH(ROW()-4,EQA.CAP_Dados!$S$2:$S$5000,0)),"")</f>
        <v/>
      </c>
      <c r="J176" s="85" t="str">
        <f>IFERROR(INDEX(EQA.CAP_Dados!J$2:J$5000,MATCH(ROW()-4,EQA.CAP_Dados!$S$2:$S$5000,0)),"")</f>
        <v/>
      </c>
      <c r="K176" s="85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81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85" t="str">
        <f>IFERROR(INDEX(EQA.CAP_Dados!O$2:O$5000,MATCH(ROW()-4,EQA.CAP_Dados!$S$2:$S$5000,0)),"")</f>
        <v/>
      </c>
      <c r="P176" s="85" t="str">
        <f>IFERROR(INDEX(EQA.CAP_Dados!P$2:P$5000,MATCH(ROW()-4,EQA.CAP_Dados!$S$2:$S$5000,0)),"")</f>
        <v/>
      </c>
      <c r="Q176" s="81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81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85" t="str">
        <f>IFERROR(INDEX(EQA.CAP_Dados!F$2:F$5000,MATCH(ROW()-4,EQA.CAP_Dados!$S$2:$S$5000,0)),"")</f>
        <v/>
      </c>
      <c r="G177" s="86" t="str">
        <f>IFERROR(INDEX(EQA.CAP_Dados!G$2:G$5000,MATCH(ROW()-4,EQA.CAP_Dados!$S$2:$S$5000,0)),"")</f>
        <v/>
      </c>
      <c r="H177" s="86" t="str">
        <f>IFERROR(INDEX(EQA.CAP_Dados!H$2:H$5000,MATCH(ROW()-4,EQA.CAP_Dados!$S$2:$S$5000,0)),"")</f>
        <v/>
      </c>
      <c r="I177" s="87" t="str">
        <f>IFERROR(INDEX(EQA.CAP_Dados!I$2:I$5000,MATCH(ROW()-4,EQA.CAP_Dados!$S$2:$S$5000,0)),"")</f>
        <v/>
      </c>
      <c r="J177" s="85" t="str">
        <f>IFERROR(INDEX(EQA.CAP_Dados!J$2:J$5000,MATCH(ROW()-4,EQA.CAP_Dados!$S$2:$S$5000,0)),"")</f>
        <v/>
      </c>
      <c r="K177" s="85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81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85" t="str">
        <f>IFERROR(INDEX(EQA.CAP_Dados!O$2:O$5000,MATCH(ROW()-4,EQA.CAP_Dados!$S$2:$S$5000,0)),"")</f>
        <v/>
      </c>
      <c r="P177" s="85" t="str">
        <f>IFERROR(INDEX(EQA.CAP_Dados!P$2:P$5000,MATCH(ROW()-4,EQA.CAP_Dados!$S$2:$S$5000,0)),"")</f>
        <v/>
      </c>
      <c r="Q177" s="81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81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85" t="str">
        <f>IFERROR(INDEX(EQA.CAP_Dados!F$2:F$5000,MATCH(ROW()-4,EQA.CAP_Dados!$S$2:$S$5000,0)),"")</f>
        <v/>
      </c>
      <c r="G178" s="86" t="str">
        <f>IFERROR(INDEX(EQA.CAP_Dados!G$2:G$5000,MATCH(ROW()-4,EQA.CAP_Dados!$S$2:$S$5000,0)),"")</f>
        <v/>
      </c>
      <c r="H178" s="86" t="str">
        <f>IFERROR(INDEX(EQA.CAP_Dados!H$2:H$5000,MATCH(ROW()-4,EQA.CAP_Dados!$S$2:$S$5000,0)),"")</f>
        <v/>
      </c>
      <c r="I178" s="87" t="str">
        <f>IFERROR(INDEX(EQA.CAP_Dados!I$2:I$5000,MATCH(ROW()-4,EQA.CAP_Dados!$S$2:$S$5000,0)),"")</f>
        <v/>
      </c>
      <c r="J178" s="85" t="str">
        <f>IFERROR(INDEX(EQA.CAP_Dados!J$2:J$5000,MATCH(ROW()-4,EQA.CAP_Dados!$S$2:$S$5000,0)),"")</f>
        <v/>
      </c>
      <c r="K178" s="85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81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85" t="str">
        <f>IFERROR(INDEX(EQA.CAP_Dados!O$2:O$5000,MATCH(ROW()-4,EQA.CAP_Dados!$S$2:$S$5000,0)),"")</f>
        <v/>
      </c>
      <c r="P178" s="85" t="str">
        <f>IFERROR(INDEX(EQA.CAP_Dados!P$2:P$5000,MATCH(ROW()-4,EQA.CAP_Dados!$S$2:$S$5000,0)),"")</f>
        <v/>
      </c>
      <c r="Q178" s="81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81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85" t="str">
        <f>IFERROR(INDEX(EQA.CAP_Dados!F$2:F$5000,MATCH(ROW()-4,EQA.CAP_Dados!$S$2:$S$5000,0)),"")</f>
        <v/>
      </c>
      <c r="G179" s="86" t="str">
        <f>IFERROR(INDEX(EQA.CAP_Dados!G$2:G$5000,MATCH(ROW()-4,EQA.CAP_Dados!$S$2:$S$5000,0)),"")</f>
        <v/>
      </c>
      <c r="H179" s="86" t="str">
        <f>IFERROR(INDEX(EQA.CAP_Dados!H$2:H$5000,MATCH(ROW()-4,EQA.CAP_Dados!$S$2:$S$5000,0)),"")</f>
        <v/>
      </c>
      <c r="I179" s="87" t="str">
        <f>IFERROR(INDEX(EQA.CAP_Dados!I$2:I$5000,MATCH(ROW()-4,EQA.CAP_Dados!$S$2:$S$5000,0)),"")</f>
        <v/>
      </c>
      <c r="J179" s="85" t="str">
        <f>IFERROR(INDEX(EQA.CAP_Dados!J$2:J$5000,MATCH(ROW()-4,EQA.CAP_Dados!$S$2:$S$5000,0)),"")</f>
        <v/>
      </c>
      <c r="K179" s="85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81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85" t="str">
        <f>IFERROR(INDEX(EQA.CAP_Dados!O$2:O$5000,MATCH(ROW()-4,EQA.CAP_Dados!$S$2:$S$5000,0)),"")</f>
        <v/>
      </c>
      <c r="P179" s="85" t="str">
        <f>IFERROR(INDEX(EQA.CAP_Dados!P$2:P$5000,MATCH(ROW()-4,EQA.CAP_Dados!$S$2:$S$5000,0)),"")</f>
        <v/>
      </c>
      <c r="Q179" s="81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81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85" t="str">
        <f>IFERROR(INDEX(EQA.CAP_Dados!F$2:F$5000,MATCH(ROW()-4,EQA.CAP_Dados!$S$2:$S$5000,0)),"")</f>
        <v/>
      </c>
      <c r="G180" s="86" t="str">
        <f>IFERROR(INDEX(EQA.CAP_Dados!G$2:G$5000,MATCH(ROW()-4,EQA.CAP_Dados!$S$2:$S$5000,0)),"")</f>
        <v/>
      </c>
      <c r="H180" s="86" t="str">
        <f>IFERROR(INDEX(EQA.CAP_Dados!H$2:H$5000,MATCH(ROW()-4,EQA.CAP_Dados!$S$2:$S$5000,0)),"")</f>
        <v/>
      </c>
      <c r="I180" s="87" t="str">
        <f>IFERROR(INDEX(EQA.CAP_Dados!I$2:I$5000,MATCH(ROW()-4,EQA.CAP_Dados!$S$2:$S$5000,0)),"")</f>
        <v/>
      </c>
      <c r="J180" s="85" t="str">
        <f>IFERROR(INDEX(EQA.CAP_Dados!J$2:J$5000,MATCH(ROW()-4,EQA.CAP_Dados!$S$2:$S$5000,0)),"")</f>
        <v/>
      </c>
      <c r="K180" s="85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81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85" t="str">
        <f>IFERROR(INDEX(EQA.CAP_Dados!O$2:O$5000,MATCH(ROW()-4,EQA.CAP_Dados!$S$2:$S$5000,0)),"")</f>
        <v/>
      </c>
      <c r="P180" s="85" t="str">
        <f>IFERROR(INDEX(EQA.CAP_Dados!P$2:P$5000,MATCH(ROW()-4,EQA.CAP_Dados!$S$2:$S$5000,0)),"")</f>
        <v/>
      </c>
      <c r="Q180" s="81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81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85" t="str">
        <f>IFERROR(INDEX(EQA.CAP_Dados!F$2:F$5000,MATCH(ROW()-4,EQA.CAP_Dados!$S$2:$S$5000,0)),"")</f>
        <v/>
      </c>
      <c r="G181" s="86" t="str">
        <f>IFERROR(INDEX(EQA.CAP_Dados!G$2:G$5000,MATCH(ROW()-4,EQA.CAP_Dados!$S$2:$S$5000,0)),"")</f>
        <v/>
      </c>
      <c r="H181" s="86" t="str">
        <f>IFERROR(INDEX(EQA.CAP_Dados!H$2:H$5000,MATCH(ROW()-4,EQA.CAP_Dados!$S$2:$S$5000,0)),"")</f>
        <v/>
      </c>
      <c r="I181" s="87" t="str">
        <f>IFERROR(INDEX(EQA.CAP_Dados!I$2:I$5000,MATCH(ROW()-4,EQA.CAP_Dados!$S$2:$S$5000,0)),"")</f>
        <v/>
      </c>
      <c r="J181" s="85" t="str">
        <f>IFERROR(INDEX(EQA.CAP_Dados!J$2:J$5000,MATCH(ROW()-4,EQA.CAP_Dados!$S$2:$S$5000,0)),"")</f>
        <v/>
      </c>
      <c r="K181" s="85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81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85" t="str">
        <f>IFERROR(INDEX(EQA.CAP_Dados!O$2:O$5000,MATCH(ROW()-4,EQA.CAP_Dados!$S$2:$S$5000,0)),"")</f>
        <v/>
      </c>
      <c r="P181" s="85" t="str">
        <f>IFERROR(INDEX(EQA.CAP_Dados!P$2:P$5000,MATCH(ROW()-4,EQA.CAP_Dados!$S$2:$S$5000,0)),"")</f>
        <v/>
      </c>
      <c r="Q181" s="81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81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85" t="str">
        <f>IFERROR(INDEX(EQA.CAP_Dados!F$2:F$5000,MATCH(ROW()-4,EQA.CAP_Dados!$S$2:$S$5000,0)),"")</f>
        <v/>
      </c>
      <c r="G182" s="86" t="str">
        <f>IFERROR(INDEX(EQA.CAP_Dados!G$2:G$5000,MATCH(ROW()-4,EQA.CAP_Dados!$S$2:$S$5000,0)),"")</f>
        <v/>
      </c>
      <c r="H182" s="86" t="str">
        <f>IFERROR(INDEX(EQA.CAP_Dados!H$2:H$5000,MATCH(ROW()-4,EQA.CAP_Dados!$S$2:$S$5000,0)),"")</f>
        <v/>
      </c>
      <c r="I182" s="87" t="str">
        <f>IFERROR(INDEX(EQA.CAP_Dados!I$2:I$5000,MATCH(ROW()-4,EQA.CAP_Dados!$S$2:$S$5000,0)),"")</f>
        <v/>
      </c>
      <c r="J182" s="85" t="str">
        <f>IFERROR(INDEX(EQA.CAP_Dados!J$2:J$5000,MATCH(ROW()-4,EQA.CAP_Dados!$S$2:$S$5000,0)),"")</f>
        <v/>
      </c>
      <c r="K182" s="85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81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85" t="str">
        <f>IFERROR(INDEX(EQA.CAP_Dados!O$2:O$5000,MATCH(ROW()-4,EQA.CAP_Dados!$S$2:$S$5000,0)),"")</f>
        <v/>
      </c>
      <c r="P182" s="85" t="str">
        <f>IFERROR(INDEX(EQA.CAP_Dados!P$2:P$5000,MATCH(ROW()-4,EQA.CAP_Dados!$S$2:$S$5000,0)),"")</f>
        <v/>
      </c>
      <c r="Q182" s="81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81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85" t="str">
        <f>IFERROR(INDEX(EQA.CAP_Dados!F$2:F$5000,MATCH(ROW()-4,EQA.CAP_Dados!$S$2:$S$5000,0)),"")</f>
        <v/>
      </c>
      <c r="G183" s="86" t="str">
        <f>IFERROR(INDEX(EQA.CAP_Dados!G$2:G$5000,MATCH(ROW()-4,EQA.CAP_Dados!$S$2:$S$5000,0)),"")</f>
        <v/>
      </c>
      <c r="H183" s="86" t="str">
        <f>IFERROR(INDEX(EQA.CAP_Dados!H$2:H$5000,MATCH(ROW()-4,EQA.CAP_Dados!$S$2:$S$5000,0)),"")</f>
        <v/>
      </c>
      <c r="I183" s="87" t="str">
        <f>IFERROR(INDEX(EQA.CAP_Dados!I$2:I$5000,MATCH(ROW()-4,EQA.CAP_Dados!$S$2:$S$5000,0)),"")</f>
        <v/>
      </c>
      <c r="J183" s="85" t="str">
        <f>IFERROR(INDEX(EQA.CAP_Dados!J$2:J$5000,MATCH(ROW()-4,EQA.CAP_Dados!$S$2:$S$5000,0)),"")</f>
        <v/>
      </c>
      <c r="K183" s="85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81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85" t="str">
        <f>IFERROR(INDEX(EQA.CAP_Dados!O$2:O$5000,MATCH(ROW()-4,EQA.CAP_Dados!$S$2:$S$5000,0)),"")</f>
        <v/>
      </c>
      <c r="P183" s="85" t="str">
        <f>IFERROR(INDEX(EQA.CAP_Dados!P$2:P$5000,MATCH(ROW()-4,EQA.CAP_Dados!$S$2:$S$5000,0)),"")</f>
        <v/>
      </c>
      <c r="Q183" s="81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81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85" t="str">
        <f>IFERROR(INDEX(EQA.CAP_Dados!F$2:F$5000,MATCH(ROW()-4,EQA.CAP_Dados!$S$2:$S$5000,0)),"")</f>
        <v/>
      </c>
      <c r="G184" s="86" t="str">
        <f>IFERROR(INDEX(EQA.CAP_Dados!G$2:G$5000,MATCH(ROW()-4,EQA.CAP_Dados!$S$2:$S$5000,0)),"")</f>
        <v/>
      </c>
      <c r="H184" s="86" t="str">
        <f>IFERROR(INDEX(EQA.CAP_Dados!H$2:H$5000,MATCH(ROW()-4,EQA.CAP_Dados!$S$2:$S$5000,0)),"")</f>
        <v/>
      </c>
      <c r="I184" s="87" t="str">
        <f>IFERROR(INDEX(EQA.CAP_Dados!I$2:I$5000,MATCH(ROW()-4,EQA.CAP_Dados!$S$2:$S$5000,0)),"")</f>
        <v/>
      </c>
      <c r="J184" s="85" t="str">
        <f>IFERROR(INDEX(EQA.CAP_Dados!J$2:J$5000,MATCH(ROW()-4,EQA.CAP_Dados!$S$2:$S$5000,0)),"")</f>
        <v/>
      </c>
      <c r="K184" s="85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81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85" t="str">
        <f>IFERROR(INDEX(EQA.CAP_Dados!O$2:O$5000,MATCH(ROW()-4,EQA.CAP_Dados!$S$2:$S$5000,0)),"")</f>
        <v/>
      </c>
      <c r="P184" s="85" t="str">
        <f>IFERROR(INDEX(EQA.CAP_Dados!P$2:P$5000,MATCH(ROW()-4,EQA.CAP_Dados!$S$2:$S$5000,0)),"")</f>
        <v/>
      </c>
      <c r="Q184" s="81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81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85" t="str">
        <f>IFERROR(INDEX(EQA.CAP_Dados!F$2:F$5000,MATCH(ROW()-4,EQA.CAP_Dados!$S$2:$S$5000,0)),"")</f>
        <v/>
      </c>
      <c r="G185" s="86" t="str">
        <f>IFERROR(INDEX(EQA.CAP_Dados!G$2:G$5000,MATCH(ROW()-4,EQA.CAP_Dados!$S$2:$S$5000,0)),"")</f>
        <v/>
      </c>
      <c r="H185" s="86" t="str">
        <f>IFERROR(INDEX(EQA.CAP_Dados!H$2:H$5000,MATCH(ROW()-4,EQA.CAP_Dados!$S$2:$S$5000,0)),"")</f>
        <v/>
      </c>
      <c r="I185" s="87" t="str">
        <f>IFERROR(INDEX(EQA.CAP_Dados!I$2:I$5000,MATCH(ROW()-4,EQA.CAP_Dados!$S$2:$S$5000,0)),"")</f>
        <v/>
      </c>
      <c r="J185" s="85" t="str">
        <f>IFERROR(INDEX(EQA.CAP_Dados!J$2:J$5000,MATCH(ROW()-4,EQA.CAP_Dados!$S$2:$S$5000,0)),"")</f>
        <v/>
      </c>
      <c r="K185" s="85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81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85" t="str">
        <f>IFERROR(INDEX(EQA.CAP_Dados!O$2:O$5000,MATCH(ROW()-4,EQA.CAP_Dados!$S$2:$S$5000,0)),"")</f>
        <v/>
      </c>
      <c r="P185" s="85" t="str">
        <f>IFERROR(INDEX(EQA.CAP_Dados!P$2:P$5000,MATCH(ROW()-4,EQA.CAP_Dados!$S$2:$S$5000,0)),"")</f>
        <v/>
      </c>
      <c r="Q185" s="81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81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85" t="str">
        <f>IFERROR(INDEX(EQA.CAP_Dados!F$2:F$5000,MATCH(ROW()-4,EQA.CAP_Dados!$S$2:$S$5000,0)),"")</f>
        <v/>
      </c>
      <c r="G186" s="86" t="str">
        <f>IFERROR(INDEX(EQA.CAP_Dados!G$2:G$5000,MATCH(ROW()-4,EQA.CAP_Dados!$S$2:$S$5000,0)),"")</f>
        <v/>
      </c>
      <c r="H186" s="86" t="str">
        <f>IFERROR(INDEX(EQA.CAP_Dados!H$2:H$5000,MATCH(ROW()-4,EQA.CAP_Dados!$S$2:$S$5000,0)),"")</f>
        <v/>
      </c>
      <c r="I186" s="87" t="str">
        <f>IFERROR(INDEX(EQA.CAP_Dados!I$2:I$5000,MATCH(ROW()-4,EQA.CAP_Dados!$S$2:$S$5000,0)),"")</f>
        <v/>
      </c>
      <c r="J186" s="85" t="str">
        <f>IFERROR(INDEX(EQA.CAP_Dados!J$2:J$5000,MATCH(ROW()-4,EQA.CAP_Dados!$S$2:$S$5000,0)),"")</f>
        <v/>
      </c>
      <c r="K186" s="85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81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85" t="str">
        <f>IFERROR(INDEX(EQA.CAP_Dados!O$2:O$5000,MATCH(ROW()-4,EQA.CAP_Dados!$S$2:$S$5000,0)),"")</f>
        <v/>
      </c>
      <c r="P186" s="85" t="str">
        <f>IFERROR(INDEX(EQA.CAP_Dados!P$2:P$5000,MATCH(ROW()-4,EQA.CAP_Dados!$S$2:$S$5000,0)),"")</f>
        <v/>
      </c>
      <c r="Q186" s="81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81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85" t="str">
        <f>IFERROR(INDEX(EQA.CAP_Dados!F$2:F$5000,MATCH(ROW()-4,EQA.CAP_Dados!$S$2:$S$5000,0)),"")</f>
        <v/>
      </c>
      <c r="G187" s="86" t="str">
        <f>IFERROR(INDEX(EQA.CAP_Dados!G$2:G$5000,MATCH(ROW()-4,EQA.CAP_Dados!$S$2:$S$5000,0)),"")</f>
        <v/>
      </c>
      <c r="H187" s="86" t="str">
        <f>IFERROR(INDEX(EQA.CAP_Dados!H$2:H$5000,MATCH(ROW()-4,EQA.CAP_Dados!$S$2:$S$5000,0)),"")</f>
        <v/>
      </c>
      <c r="I187" s="87" t="str">
        <f>IFERROR(INDEX(EQA.CAP_Dados!I$2:I$5000,MATCH(ROW()-4,EQA.CAP_Dados!$S$2:$S$5000,0)),"")</f>
        <v/>
      </c>
      <c r="J187" s="85" t="str">
        <f>IFERROR(INDEX(EQA.CAP_Dados!J$2:J$5000,MATCH(ROW()-4,EQA.CAP_Dados!$S$2:$S$5000,0)),"")</f>
        <v/>
      </c>
      <c r="K187" s="85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81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85" t="str">
        <f>IFERROR(INDEX(EQA.CAP_Dados!O$2:O$5000,MATCH(ROW()-4,EQA.CAP_Dados!$S$2:$S$5000,0)),"")</f>
        <v/>
      </c>
      <c r="P187" s="85" t="str">
        <f>IFERROR(INDEX(EQA.CAP_Dados!P$2:P$5000,MATCH(ROW()-4,EQA.CAP_Dados!$S$2:$S$5000,0)),"")</f>
        <v/>
      </c>
      <c r="Q187" s="81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81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85" t="str">
        <f>IFERROR(INDEX(EQA.CAP_Dados!F$2:F$5000,MATCH(ROW()-4,EQA.CAP_Dados!$S$2:$S$5000,0)),"")</f>
        <v/>
      </c>
      <c r="G188" s="86" t="str">
        <f>IFERROR(INDEX(EQA.CAP_Dados!G$2:G$5000,MATCH(ROW()-4,EQA.CAP_Dados!$S$2:$S$5000,0)),"")</f>
        <v/>
      </c>
      <c r="H188" s="86" t="str">
        <f>IFERROR(INDEX(EQA.CAP_Dados!H$2:H$5000,MATCH(ROW()-4,EQA.CAP_Dados!$S$2:$S$5000,0)),"")</f>
        <v/>
      </c>
      <c r="I188" s="87" t="str">
        <f>IFERROR(INDEX(EQA.CAP_Dados!I$2:I$5000,MATCH(ROW()-4,EQA.CAP_Dados!$S$2:$S$5000,0)),"")</f>
        <v/>
      </c>
      <c r="J188" s="85" t="str">
        <f>IFERROR(INDEX(EQA.CAP_Dados!J$2:J$5000,MATCH(ROW()-4,EQA.CAP_Dados!$S$2:$S$5000,0)),"")</f>
        <v/>
      </c>
      <c r="K188" s="85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81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85" t="str">
        <f>IFERROR(INDEX(EQA.CAP_Dados!O$2:O$5000,MATCH(ROW()-4,EQA.CAP_Dados!$S$2:$S$5000,0)),"")</f>
        <v/>
      </c>
      <c r="P188" s="85" t="str">
        <f>IFERROR(INDEX(EQA.CAP_Dados!P$2:P$5000,MATCH(ROW()-4,EQA.CAP_Dados!$S$2:$S$5000,0)),"")</f>
        <v/>
      </c>
      <c r="Q188" s="81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81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85" t="str">
        <f>IFERROR(INDEX(EQA.CAP_Dados!F$2:F$5000,MATCH(ROW()-4,EQA.CAP_Dados!$S$2:$S$5000,0)),"")</f>
        <v/>
      </c>
      <c r="G189" s="86" t="str">
        <f>IFERROR(INDEX(EQA.CAP_Dados!G$2:G$5000,MATCH(ROW()-4,EQA.CAP_Dados!$S$2:$S$5000,0)),"")</f>
        <v/>
      </c>
      <c r="H189" s="86" t="str">
        <f>IFERROR(INDEX(EQA.CAP_Dados!H$2:H$5000,MATCH(ROW()-4,EQA.CAP_Dados!$S$2:$S$5000,0)),"")</f>
        <v/>
      </c>
      <c r="I189" s="87" t="str">
        <f>IFERROR(INDEX(EQA.CAP_Dados!I$2:I$5000,MATCH(ROW()-4,EQA.CAP_Dados!$S$2:$S$5000,0)),"")</f>
        <v/>
      </c>
      <c r="J189" s="85" t="str">
        <f>IFERROR(INDEX(EQA.CAP_Dados!J$2:J$5000,MATCH(ROW()-4,EQA.CAP_Dados!$S$2:$S$5000,0)),"")</f>
        <v/>
      </c>
      <c r="K189" s="85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81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85" t="str">
        <f>IFERROR(INDEX(EQA.CAP_Dados!O$2:O$5000,MATCH(ROW()-4,EQA.CAP_Dados!$S$2:$S$5000,0)),"")</f>
        <v/>
      </c>
      <c r="P189" s="85" t="str">
        <f>IFERROR(INDEX(EQA.CAP_Dados!P$2:P$5000,MATCH(ROW()-4,EQA.CAP_Dados!$S$2:$S$5000,0)),"")</f>
        <v/>
      </c>
      <c r="Q189" s="81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81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85" t="str">
        <f>IFERROR(INDEX(EQA.CAP_Dados!F$2:F$5000,MATCH(ROW()-4,EQA.CAP_Dados!$S$2:$S$5000,0)),"")</f>
        <v/>
      </c>
      <c r="G190" s="86" t="str">
        <f>IFERROR(INDEX(EQA.CAP_Dados!G$2:G$5000,MATCH(ROW()-4,EQA.CAP_Dados!$S$2:$S$5000,0)),"")</f>
        <v/>
      </c>
      <c r="H190" s="86" t="str">
        <f>IFERROR(INDEX(EQA.CAP_Dados!H$2:H$5000,MATCH(ROW()-4,EQA.CAP_Dados!$S$2:$S$5000,0)),"")</f>
        <v/>
      </c>
      <c r="I190" s="87" t="str">
        <f>IFERROR(INDEX(EQA.CAP_Dados!I$2:I$5000,MATCH(ROW()-4,EQA.CAP_Dados!$S$2:$S$5000,0)),"")</f>
        <v/>
      </c>
      <c r="J190" s="85" t="str">
        <f>IFERROR(INDEX(EQA.CAP_Dados!J$2:J$5000,MATCH(ROW()-4,EQA.CAP_Dados!$S$2:$S$5000,0)),"")</f>
        <v/>
      </c>
      <c r="K190" s="85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81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85" t="str">
        <f>IFERROR(INDEX(EQA.CAP_Dados!O$2:O$5000,MATCH(ROW()-4,EQA.CAP_Dados!$S$2:$S$5000,0)),"")</f>
        <v/>
      </c>
      <c r="P190" s="85" t="str">
        <f>IFERROR(INDEX(EQA.CAP_Dados!P$2:P$5000,MATCH(ROW()-4,EQA.CAP_Dados!$S$2:$S$5000,0)),"")</f>
        <v/>
      </c>
      <c r="Q190" s="81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81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85" t="str">
        <f>IFERROR(INDEX(EQA.CAP_Dados!F$2:F$5000,MATCH(ROW()-4,EQA.CAP_Dados!$S$2:$S$5000,0)),"")</f>
        <v/>
      </c>
      <c r="G191" s="86" t="str">
        <f>IFERROR(INDEX(EQA.CAP_Dados!G$2:G$5000,MATCH(ROW()-4,EQA.CAP_Dados!$S$2:$S$5000,0)),"")</f>
        <v/>
      </c>
      <c r="H191" s="86" t="str">
        <f>IFERROR(INDEX(EQA.CAP_Dados!H$2:H$5000,MATCH(ROW()-4,EQA.CAP_Dados!$S$2:$S$5000,0)),"")</f>
        <v/>
      </c>
      <c r="I191" s="87" t="str">
        <f>IFERROR(INDEX(EQA.CAP_Dados!I$2:I$5000,MATCH(ROW()-4,EQA.CAP_Dados!$S$2:$S$5000,0)),"")</f>
        <v/>
      </c>
      <c r="J191" s="85" t="str">
        <f>IFERROR(INDEX(EQA.CAP_Dados!J$2:J$5000,MATCH(ROW()-4,EQA.CAP_Dados!$S$2:$S$5000,0)),"")</f>
        <v/>
      </c>
      <c r="K191" s="85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81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85" t="str">
        <f>IFERROR(INDEX(EQA.CAP_Dados!O$2:O$5000,MATCH(ROW()-4,EQA.CAP_Dados!$S$2:$S$5000,0)),"")</f>
        <v/>
      </c>
      <c r="P191" s="85" t="str">
        <f>IFERROR(INDEX(EQA.CAP_Dados!P$2:P$5000,MATCH(ROW()-4,EQA.CAP_Dados!$S$2:$S$5000,0)),"")</f>
        <v/>
      </c>
      <c r="Q191" s="81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81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85" t="str">
        <f>IFERROR(INDEX(EQA.CAP_Dados!F$2:F$5000,MATCH(ROW()-4,EQA.CAP_Dados!$S$2:$S$5000,0)),"")</f>
        <v/>
      </c>
      <c r="G192" s="86" t="str">
        <f>IFERROR(INDEX(EQA.CAP_Dados!G$2:G$5000,MATCH(ROW()-4,EQA.CAP_Dados!$S$2:$S$5000,0)),"")</f>
        <v/>
      </c>
      <c r="H192" s="86" t="str">
        <f>IFERROR(INDEX(EQA.CAP_Dados!H$2:H$5000,MATCH(ROW()-4,EQA.CAP_Dados!$S$2:$S$5000,0)),"")</f>
        <v/>
      </c>
      <c r="I192" s="87" t="str">
        <f>IFERROR(INDEX(EQA.CAP_Dados!I$2:I$5000,MATCH(ROW()-4,EQA.CAP_Dados!$S$2:$S$5000,0)),"")</f>
        <v/>
      </c>
      <c r="J192" s="85" t="str">
        <f>IFERROR(INDEX(EQA.CAP_Dados!J$2:J$5000,MATCH(ROW()-4,EQA.CAP_Dados!$S$2:$S$5000,0)),"")</f>
        <v/>
      </c>
      <c r="K192" s="85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81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85" t="str">
        <f>IFERROR(INDEX(EQA.CAP_Dados!O$2:O$5000,MATCH(ROW()-4,EQA.CAP_Dados!$S$2:$S$5000,0)),"")</f>
        <v/>
      </c>
      <c r="P192" s="85" t="str">
        <f>IFERROR(INDEX(EQA.CAP_Dados!P$2:P$5000,MATCH(ROW()-4,EQA.CAP_Dados!$S$2:$S$5000,0)),"")</f>
        <v/>
      </c>
      <c r="Q192" s="81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81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85" t="str">
        <f>IFERROR(INDEX(EQA.CAP_Dados!F$2:F$5000,MATCH(ROW()-4,EQA.CAP_Dados!$S$2:$S$5000,0)),"")</f>
        <v/>
      </c>
      <c r="G193" s="86" t="str">
        <f>IFERROR(INDEX(EQA.CAP_Dados!G$2:G$5000,MATCH(ROW()-4,EQA.CAP_Dados!$S$2:$S$5000,0)),"")</f>
        <v/>
      </c>
      <c r="H193" s="86" t="str">
        <f>IFERROR(INDEX(EQA.CAP_Dados!H$2:H$5000,MATCH(ROW()-4,EQA.CAP_Dados!$S$2:$S$5000,0)),"")</f>
        <v/>
      </c>
      <c r="I193" s="87" t="str">
        <f>IFERROR(INDEX(EQA.CAP_Dados!I$2:I$5000,MATCH(ROW()-4,EQA.CAP_Dados!$S$2:$S$5000,0)),"")</f>
        <v/>
      </c>
      <c r="J193" s="85" t="str">
        <f>IFERROR(INDEX(EQA.CAP_Dados!J$2:J$5000,MATCH(ROW()-4,EQA.CAP_Dados!$S$2:$S$5000,0)),"")</f>
        <v/>
      </c>
      <c r="K193" s="85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81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85" t="str">
        <f>IFERROR(INDEX(EQA.CAP_Dados!O$2:O$5000,MATCH(ROW()-4,EQA.CAP_Dados!$S$2:$S$5000,0)),"")</f>
        <v/>
      </c>
      <c r="P193" s="85" t="str">
        <f>IFERROR(INDEX(EQA.CAP_Dados!P$2:P$5000,MATCH(ROW()-4,EQA.CAP_Dados!$S$2:$S$5000,0)),"")</f>
        <v/>
      </c>
      <c r="Q193" s="81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81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85" t="str">
        <f>IFERROR(INDEX(EQA.CAP_Dados!F$2:F$5000,MATCH(ROW()-4,EQA.CAP_Dados!$S$2:$S$5000,0)),"")</f>
        <v/>
      </c>
      <c r="G194" s="86" t="str">
        <f>IFERROR(INDEX(EQA.CAP_Dados!G$2:G$5000,MATCH(ROW()-4,EQA.CAP_Dados!$S$2:$S$5000,0)),"")</f>
        <v/>
      </c>
      <c r="H194" s="86" t="str">
        <f>IFERROR(INDEX(EQA.CAP_Dados!H$2:H$5000,MATCH(ROW()-4,EQA.CAP_Dados!$S$2:$S$5000,0)),"")</f>
        <v/>
      </c>
      <c r="I194" s="87" t="str">
        <f>IFERROR(INDEX(EQA.CAP_Dados!I$2:I$5000,MATCH(ROW()-4,EQA.CAP_Dados!$S$2:$S$5000,0)),"")</f>
        <v/>
      </c>
      <c r="J194" s="85" t="str">
        <f>IFERROR(INDEX(EQA.CAP_Dados!J$2:J$5000,MATCH(ROW()-4,EQA.CAP_Dados!$S$2:$S$5000,0)),"")</f>
        <v/>
      </c>
      <c r="K194" s="85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81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85" t="str">
        <f>IFERROR(INDEX(EQA.CAP_Dados!O$2:O$5000,MATCH(ROW()-4,EQA.CAP_Dados!$S$2:$S$5000,0)),"")</f>
        <v/>
      </c>
      <c r="P194" s="85" t="str">
        <f>IFERROR(INDEX(EQA.CAP_Dados!P$2:P$5000,MATCH(ROW()-4,EQA.CAP_Dados!$S$2:$S$5000,0)),"")</f>
        <v/>
      </c>
      <c r="Q194" s="81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81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85" t="str">
        <f>IFERROR(INDEX(EQA.CAP_Dados!F$2:F$5000,MATCH(ROW()-4,EQA.CAP_Dados!$S$2:$S$5000,0)),"")</f>
        <v/>
      </c>
      <c r="G195" s="86" t="str">
        <f>IFERROR(INDEX(EQA.CAP_Dados!G$2:G$5000,MATCH(ROW()-4,EQA.CAP_Dados!$S$2:$S$5000,0)),"")</f>
        <v/>
      </c>
      <c r="H195" s="86" t="str">
        <f>IFERROR(INDEX(EQA.CAP_Dados!H$2:H$5000,MATCH(ROW()-4,EQA.CAP_Dados!$S$2:$S$5000,0)),"")</f>
        <v/>
      </c>
      <c r="I195" s="87" t="str">
        <f>IFERROR(INDEX(EQA.CAP_Dados!I$2:I$5000,MATCH(ROW()-4,EQA.CAP_Dados!$S$2:$S$5000,0)),"")</f>
        <v/>
      </c>
      <c r="J195" s="85" t="str">
        <f>IFERROR(INDEX(EQA.CAP_Dados!J$2:J$5000,MATCH(ROW()-4,EQA.CAP_Dados!$S$2:$S$5000,0)),"")</f>
        <v/>
      </c>
      <c r="K195" s="85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81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85" t="str">
        <f>IFERROR(INDEX(EQA.CAP_Dados!O$2:O$5000,MATCH(ROW()-4,EQA.CAP_Dados!$S$2:$S$5000,0)),"")</f>
        <v/>
      </c>
      <c r="P195" s="85" t="str">
        <f>IFERROR(INDEX(EQA.CAP_Dados!P$2:P$5000,MATCH(ROW()-4,EQA.CAP_Dados!$S$2:$S$5000,0)),"")</f>
        <v/>
      </c>
      <c r="Q195" s="81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81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85" t="str">
        <f>IFERROR(INDEX(EQA.CAP_Dados!F$2:F$5000,MATCH(ROW()-4,EQA.CAP_Dados!$S$2:$S$5000,0)),"")</f>
        <v/>
      </c>
      <c r="G196" s="86" t="str">
        <f>IFERROR(INDEX(EQA.CAP_Dados!G$2:G$5000,MATCH(ROW()-4,EQA.CAP_Dados!$S$2:$S$5000,0)),"")</f>
        <v/>
      </c>
      <c r="H196" s="86" t="str">
        <f>IFERROR(INDEX(EQA.CAP_Dados!H$2:H$5000,MATCH(ROW()-4,EQA.CAP_Dados!$S$2:$S$5000,0)),"")</f>
        <v/>
      </c>
      <c r="I196" s="87" t="str">
        <f>IFERROR(INDEX(EQA.CAP_Dados!I$2:I$5000,MATCH(ROW()-4,EQA.CAP_Dados!$S$2:$S$5000,0)),"")</f>
        <v/>
      </c>
      <c r="J196" s="85" t="str">
        <f>IFERROR(INDEX(EQA.CAP_Dados!J$2:J$5000,MATCH(ROW()-4,EQA.CAP_Dados!$S$2:$S$5000,0)),"")</f>
        <v/>
      </c>
      <c r="K196" s="85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81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85" t="str">
        <f>IFERROR(INDEX(EQA.CAP_Dados!O$2:O$5000,MATCH(ROW()-4,EQA.CAP_Dados!$S$2:$S$5000,0)),"")</f>
        <v/>
      </c>
      <c r="P196" s="85" t="str">
        <f>IFERROR(INDEX(EQA.CAP_Dados!P$2:P$5000,MATCH(ROW()-4,EQA.CAP_Dados!$S$2:$S$5000,0)),"")</f>
        <v/>
      </c>
      <c r="Q196" s="81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81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85" t="str">
        <f>IFERROR(INDEX(EQA.CAP_Dados!F$2:F$5000,MATCH(ROW()-4,EQA.CAP_Dados!$S$2:$S$5000,0)),"")</f>
        <v/>
      </c>
      <c r="G197" s="86" t="str">
        <f>IFERROR(INDEX(EQA.CAP_Dados!G$2:G$5000,MATCH(ROW()-4,EQA.CAP_Dados!$S$2:$S$5000,0)),"")</f>
        <v/>
      </c>
      <c r="H197" s="86" t="str">
        <f>IFERROR(INDEX(EQA.CAP_Dados!H$2:H$5000,MATCH(ROW()-4,EQA.CAP_Dados!$S$2:$S$5000,0)),"")</f>
        <v/>
      </c>
      <c r="I197" s="87" t="str">
        <f>IFERROR(INDEX(EQA.CAP_Dados!I$2:I$5000,MATCH(ROW()-4,EQA.CAP_Dados!$S$2:$S$5000,0)),"")</f>
        <v/>
      </c>
      <c r="J197" s="85" t="str">
        <f>IFERROR(INDEX(EQA.CAP_Dados!J$2:J$5000,MATCH(ROW()-4,EQA.CAP_Dados!$S$2:$S$5000,0)),"")</f>
        <v/>
      </c>
      <c r="K197" s="85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81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85" t="str">
        <f>IFERROR(INDEX(EQA.CAP_Dados!O$2:O$5000,MATCH(ROW()-4,EQA.CAP_Dados!$S$2:$S$5000,0)),"")</f>
        <v/>
      </c>
      <c r="P197" s="85" t="str">
        <f>IFERROR(INDEX(EQA.CAP_Dados!P$2:P$5000,MATCH(ROW()-4,EQA.CAP_Dados!$S$2:$S$5000,0)),"")</f>
        <v/>
      </c>
      <c r="Q197" s="81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81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85" t="str">
        <f>IFERROR(INDEX(EQA.CAP_Dados!F$2:F$5000,MATCH(ROW()-4,EQA.CAP_Dados!$S$2:$S$5000,0)),"")</f>
        <v/>
      </c>
      <c r="G198" s="86" t="str">
        <f>IFERROR(INDEX(EQA.CAP_Dados!G$2:G$5000,MATCH(ROW()-4,EQA.CAP_Dados!$S$2:$S$5000,0)),"")</f>
        <v/>
      </c>
      <c r="H198" s="86" t="str">
        <f>IFERROR(INDEX(EQA.CAP_Dados!H$2:H$5000,MATCH(ROW()-4,EQA.CAP_Dados!$S$2:$S$5000,0)),"")</f>
        <v/>
      </c>
      <c r="I198" s="87" t="str">
        <f>IFERROR(INDEX(EQA.CAP_Dados!I$2:I$5000,MATCH(ROW()-4,EQA.CAP_Dados!$S$2:$S$5000,0)),"")</f>
        <v/>
      </c>
      <c r="J198" s="85" t="str">
        <f>IFERROR(INDEX(EQA.CAP_Dados!J$2:J$5000,MATCH(ROW()-4,EQA.CAP_Dados!$S$2:$S$5000,0)),"")</f>
        <v/>
      </c>
      <c r="K198" s="85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81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85" t="str">
        <f>IFERROR(INDEX(EQA.CAP_Dados!O$2:O$5000,MATCH(ROW()-4,EQA.CAP_Dados!$S$2:$S$5000,0)),"")</f>
        <v/>
      </c>
      <c r="P198" s="85" t="str">
        <f>IFERROR(INDEX(EQA.CAP_Dados!P$2:P$5000,MATCH(ROW()-4,EQA.CAP_Dados!$S$2:$S$5000,0)),"")</f>
        <v/>
      </c>
      <c r="Q198" s="81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81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85" t="str">
        <f>IFERROR(INDEX(EQA.CAP_Dados!F$2:F$5000,MATCH(ROW()-4,EQA.CAP_Dados!$S$2:$S$5000,0)),"")</f>
        <v/>
      </c>
      <c r="G199" s="86" t="str">
        <f>IFERROR(INDEX(EQA.CAP_Dados!G$2:G$5000,MATCH(ROW()-4,EQA.CAP_Dados!$S$2:$S$5000,0)),"")</f>
        <v/>
      </c>
      <c r="H199" s="86" t="str">
        <f>IFERROR(INDEX(EQA.CAP_Dados!H$2:H$5000,MATCH(ROW()-4,EQA.CAP_Dados!$S$2:$S$5000,0)),"")</f>
        <v/>
      </c>
      <c r="I199" s="87" t="str">
        <f>IFERROR(INDEX(EQA.CAP_Dados!I$2:I$5000,MATCH(ROW()-4,EQA.CAP_Dados!$S$2:$S$5000,0)),"")</f>
        <v/>
      </c>
      <c r="J199" s="85" t="str">
        <f>IFERROR(INDEX(EQA.CAP_Dados!J$2:J$5000,MATCH(ROW()-4,EQA.CAP_Dados!$S$2:$S$5000,0)),"")</f>
        <v/>
      </c>
      <c r="K199" s="85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81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85" t="str">
        <f>IFERROR(INDEX(EQA.CAP_Dados!O$2:O$5000,MATCH(ROW()-4,EQA.CAP_Dados!$S$2:$S$5000,0)),"")</f>
        <v/>
      </c>
      <c r="P199" s="85" t="str">
        <f>IFERROR(INDEX(EQA.CAP_Dados!P$2:P$5000,MATCH(ROW()-4,EQA.CAP_Dados!$S$2:$S$5000,0)),"")</f>
        <v/>
      </c>
      <c r="Q199" s="81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81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85" t="str">
        <f>IFERROR(INDEX(EQA.CAP_Dados!F$2:F$5000,MATCH(ROW()-4,EQA.CAP_Dados!$S$2:$S$5000,0)),"")</f>
        <v/>
      </c>
      <c r="G200" s="86" t="str">
        <f>IFERROR(INDEX(EQA.CAP_Dados!G$2:G$5000,MATCH(ROW()-4,EQA.CAP_Dados!$S$2:$S$5000,0)),"")</f>
        <v/>
      </c>
      <c r="H200" s="86" t="str">
        <f>IFERROR(INDEX(EQA.CAP_Dados!H$2:H$5000,MATCH(ROW()-4,EQA.CAP_Dados!$S$2:$S$5000,0)),"")</f>
        <v/>
      </c>
      <c r="I200" s="87" t="str">
        <f>IFERROR(INDEX(EQA.CAP_Dados!I$2:I$5000,MATCH(ROW()-4,EQA.CAP_Dados!$S$2:$S$5000,0)),"")</f>
        <v/>
      </c>
      <c r="J200" s="85" t="str">
        <f>IFERROR(INDEX(EQA.CAP_Dados!J$2:J$5000,MATCH(ROW()-4,EQA.CAP_Dados!$S$2:$S$5000,0)),"")</f>
        <v/>
      </c>
      <c r="K200" s="85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81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85" t="str">
        <f>IFERROR(INDEX(EQA.CAP_Dados!O$2:O$5000,MATCH(ROW()-4,EQA.CAP_Dados!$S$2:$S$5000,0)),"")</f>
        <v/>
      </c>
      <c r="P200" s="85" t="str">
        <f>IFERROR(INDEX(EQA.CAP_Dados!P$2:P$5000,MATCH(ROW()-4,EQA.CAP_Dados!$S$2:$S$5000,0)),"")</f>
        <v/>
      </c>
      <c r="Q200" s="81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81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85" t="str">
        <f>IFERROR(INDEX(EQA.CAP_Dados!F$2:F$5000,MATCH(ROW()-4,EQA.CAP_Dados!$S$2:$S$5000,0)),"")</f>
        <v/>
      </c>
      <c r="G201" s="86" t="str">
        <f>IFERROR(INDEX(EQA.CAP_Dados!G$2:G$5000,MATCH(ROW()-4,EQA.CAP_Dados!$S$2:$S$5000,0)),"")</f>
        <v/>
      </c>
      <c r="H201" s="86" t="str">
        <f>IFERROR(INDEX(EQA.CAP_Dados!H$2:H$5000,MATCH(ROW()-4,EQA.CAP_Dados!$S$2:$S$5000,0)),"")</f>
        <v/>
      </c>
      <c r="I201" s="87" t="str">
        <f>IFERROR(INDEX(EQA.CAP_Dados!I$2:I$5000,MATCH(ROW()-4,EQA.CAP_Dados!$S$2:$S$5000,0)),"")</f>
        <v/>
      </c>
      <c r="J201" s="85" t="str">
        <f>IFERROR(INDEX(EQA.CAP_Dados!J$2:J$5000,MATCH(ROW()-4,EQA.CAP_Dados!$S$2:$S$5000,0)),"")</f>
        <v/>
      </c>
      <c r="K201" s="85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81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85" t="str">
        <f>IFERROR(INDEX(EQA.CAP_Dados!O$2:O$5000,MATCH(ROW()-4,EQA.CAP_Dados!$S$2:$S$5000,0)),"")</f>
        <v/>
      </c>
      <c r="P201" s="85" t="str">
        <f>IFERROR(INDEX(EQA.CAP_Dados!P$2:P$5000,MATCH(ROW()-4,EQA.CAP_Dados!$S$2:$S$5000,0)),"")</f>
        <v/>
      </c>
      <c r="Q201" s="81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81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85" t="str">
        <f>IFERROR(INDEX(EQA.CAP_Dados!F$2:F$5000,MATCH(ROW()-4,EQA.CAP_Dados!$S$2:$S$5000,0)),"")</f>
        <v/>
      </c>
      <c r="G202" s="86" t="str">
        <f>IFERROR(INDEX(EQA.CAP_Dados!G$2:G$5000,MATCH(ROW()-4,EQA.CAP_Dados!$S$2:$S$5000,0)),"")</f>
        <v/>
      </c>
      <c r="H202" s="86" t="str">
        <f>IFERROR(INDEX(EQA.CAP_Dados!H$2:H$5000,MATCH(ROW()-4,EQA.CAP_Dados!$S$2:$S$5000,0)),"")</f>
        <v/>
      </c>
      <c r="I202" s="87" t="str">
        <f>IFERROR(INDEX(EQA.CAP_Dados!I$2:I$5000,MATCH(ROW()-4,EQA.CAP_Dados!$S$2:$S$5000,0)),"")</f>
        <v/>
      </c>
      <c r="J202" s="85" t="str">
        <f>IFERROR(INDEX(EQA.CAP_Dados!J$2:J$5000,MATCH(ROW()-4,EQA.CAP_Dados!$S$2:$S$5000,0)),"")</f>
        <v/>
      </c>
      <c r="K202" s="85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81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85" t="str">
        <f>IFERROR(INDEX(EQA.CAP_Dados!O$2:O$5000,MATCH(ROW()-4,EQA.CAP_Dados!$S$2:$S$5000,0)),"")</f>
        <v/>
      </c>
      <c r="P202" s="85" t="str">
        <f>IFERROR(INDEX(EQA.CAP_Dados!P$2:P$5000,MATCH(ROW()-4,EQA.CAP_Dados!$S$2:$S$5000,0)),"")</f>
        <v/>
      </c>
      <c r="Q202" s="81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81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85" t="str">
        <f>IFERROR(INDEX(EQA.CAP_Dados!F$2:F$5000,MATCH(ROW()-4,EQA.CAP_Dados!$S$2:$S$5000,0)),"")</f>
        <v/>
      </c>
      <c r="G203" s="86" t="str">
        <f>IFERROR(INDEX(EQA.CAP_Dados!G$2:G$5000,MATCH(ROW()-4,EQA.CAP_Dados!$S$2:$S$5000,0)),"")</f>
        <v/>
      </c>
      <c r="H203" s="86" t="str">
        <f>IFERROR(INDEX(EQA.CAP_Dados!H$2:H$5000,MATCH(ROW()-4,EQA.CAP_Dados!$S$2:$S$5000,0)),"")</f>
        <v/>
      </c>
      <c r="I203" s="87" t="str">
        <f>IFERROR(INDEX(EQA.CAP_Dados!I$2:I$5000,MATCH(ROW()-4,EQA.CAP_Dados!$S$2:$S$5000,0)),"")</f>
        <v/>
      </c>
      <c r="J203" s="85" t="str">
        <f>IFERROR(INDEX(EQA.CAP_Dados!J$2:J$5000,MATCH(ROW()-4,EQA.CAP_Dados!$S$2:$S$5000,0)),"")</f>
        <v/>
      </c>
      <c r="K203" s="85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81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85" t="str">
        <f>IFERROR(INDEX(EQA.CAP_Dados!O$2:O$5000,MATCH(ROW()-4,EQA.CAP_Dados!$S$2:$S$5000,0)),"")</f>
        <v/>
      </c>
      <c r="P203" s="85" t="str">
        <f>IFERROR(INDEX(EQA.CAP_Dados!P$2:P$5000,MATCH(ROW()-4,EQA.CAP_Dados!$S$2:$S$5000,0)),"")</f>
        <v/>
      </c>
      <c r="Q203" s="81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81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85" t="str">
        <f>IFERROR(INDEX(EQA.CAP_Dados!F$2:F$5000,MATCH(ROW()-4,EQA.CAP_Dados!$S$2:$S$5000,0)),"")</f>
        <v/>
      </c>
      <c r="G204" s="86" t="str">
        <f>IFERROR(INDEX(EQA.CAP_Dados!G$2:G$5000,MATCH(ROW()-4,EQA.CAP_Dados!$S$2:$S$5000,0)),"")</f>
        <v/>
      </c>
      <c r="H204" s="86" t="str">
        <f>IFERROR(INDEX(EQA.CAP_Dados!H$2:H$5000,MATCH(ROW()-4,EQA.CAP_Dados!$S$2:$S$5000,0)),"")</f>
        <v/>
      </c>
      <c r="I204" s="87" t="str">
        <f>IFERROR(INDEX(EQA.CAP_Dados!I$2:I$5000,MATCH(ROW()-4,EQA.CAP_Dados!$S$2:$S$5000,0)),"")</f>
        <v/>
      </c>
      <c r="J204" s="85" t="str">
        <f>IFERROR(INDEX(EQA.CAP_Dados!J$2:J$5000,MATCH(ROW()-4,EQA.CAP_Dados!$S$2:$S$5000,0)),"")</f>
        <v/>
      </c>
      <c r="K204" s="85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81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85" t="str">
        <f>IFERROR(INDEX(EQA.CAP_Dados!O$2:O$5000,MATCH(ROW()-4,EQA.CAP_Dados!$S$2:$S$5000,0)),"")</f>
        <v/>
      </c>
      <c r="P204" s="85" t="str">
        <f>IFERROR(INDEX(EQA.CAP_Dados!P$2:P$5000,MATCH(ROW()-4,EQA.CAP_Dados!$S$2:$S$5000,0)),"")</f>
        <v/>
      </c>
      <c r="Q204" s="81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</sheetData>
  <sheetProtection algorithmName="SHA-512" hashValue="zJaSV+RvGx8yxIZ2VNhVsgRg1GPHlwaCIcTn3n12pNdCsoGNYBNhKP4ZCEc85GlSvdQeNLGWKeF3251LFeMbWA==" saltValue="tiG2ZlPdgfSXQkr/T0deYQ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ADB4-7232-418C-9F3F-3AAB63EDE17C}">
  <sheetPr codeName="Planilha22">
    <tabColor rgb="FF1F6F5C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6640625" customWidth="1"/>
    <col min="2" max="2" width="17.44140625" customWidth="1"/>
    <col min="3" max="3" width="8.6640625" customWidth="1"/>
    <col min="4" max="4" width="27.6640625" customWidth="1"/>
    <col min="5" max="5" width="11.6640625" customWidth="1"/>
    <col min="6" max="6" width="15.6640625" customWidth="1"/>
    <col min="7" max="7" width="19.6640625" customWidth="1"/>
    <col min="8" max="8" width="11.6640625" customWidth="1"/>
    <col min="9" max="9" width="9.6640625" customWidth="1"/>
    <col min="10" max="10" width="15.88671875" customWidth="1"/>
    <col min="11" max="11" width="16.6640625" customWidth="1"/>
    <col min="12" max="12" width="15.6640625" customWidth="1"/>
    <col min="13" max="13" width="17" customWidth="1"/>
    <col min="14" max="14" width="17.6640625" customWidth="1"/>
    <col min="15" max="16" width="12.6640625" customWidth="1"/>
    <col min="17" max="17" width="14.5546875" customWidth="1"/>
    <col min="18" max="18" width="48.6640625" customWidth="1"/>
    <col min="19" max="19" width="15.88671875" hidden="1" customWidth="1"/>
    <col min="20" max="21" width="16.1093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7.9" customHeight="1" x14ac:dyDescent="0.3">
      <c r="A1" s="88" t="s">
        <v>291</v>
      </c>
      <c r="B1" s="88" t="s">
        <v>381</v>
      </c>
      <c r="C1" s="88" t="s">
        <v>289</v>
      </c>
      <c r="D1" s="88" t="s">
        <v>88</v>
      </c>
      <c r="E1" s="88" t="s">
        <v>292</v>
      </c>
      <c r="F1" s="88" t="s">
        <v>382</v>
      </c>
      <c r="G1" s="88" t="s">
        <v>383</v>
      </c>
      <c r="H1" s="88" t="s">
        <v>384</v>
      </c>
      <c r="I1" s="88" t="s">
        <v>296</v>
      </c>
      <c r="J1" s="88" t="s">
        <v>385</v>
      </c>
      <c r="K1" s="88" t="s">
        <v>386</v>
      </c>
      <c r="L1" s="88" t="s">
        <v>387</v>
      </c>
      <c r="M1" s="88" t="s">
        <v>388</v>
      </c>
      <c r="N1" s="88" t="s">
        <v>389</v>
      </c>
      <c r="O1" s="88" t="s">
        <v>390</v>
      </c>
      <c r="P1" s="88" t="s">
        <v>391</v>
      </c>
      <c r="Q1" s="88" t="s">
        <v>392</v>
      </c>
      <c r="R1" s="88" t="s">
        <v>393</v>
      </c>
      <c r="S1" s="89" t="s">
        <v>394</v>
      </c>
      <c r="T1" s="89" t="s">
        <v>395</v>
      </c>
      <c r="U1" s="89" t="s">
        <v>396</v>
      </c>
      <c r="V1" s="89" t="s">
        <v>934</v>
      </c>
      <c r="W1" s="89" t="s">
        <v>935</v>
      </c>
      <c r="X1" s="89" t="s">
        <v>936</v>
      </c>
      <c r="Z1" s="76" t="s">
        <v>965</v>
      </c>
    </row>
    <row r="2" spans="1:26" x14ac:dyDescent="0.3">
      <c r="A2" t="s">
        <v>300</v>
      </c>
      <c r="C2" s="81"/>
      <c r="F2" s="85"/>
      <c r="G2" s="86"/>
      <c r="H2" s="86"/>
      <c r="I2" s="87"/>
      <c r="J2" s="85"/>
      <c r="K2" s="85"/>
      <c r="M2" s="81"/>
      <c r="O2" s="85" t="str">
        <f>IFERROR((F2-G2)/G2*100,"")</f>
        <v/>
      </c>
      <c r="P2" s="85" t="str">
        <f>IF(O2="","",ABS(O2))</f>
        <v/>
      </c>
      <c r="Q2" s="81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3">
      <c r="C3" s="81"/>
      <c r="F3" s="85"/>
      <c r="G3" s="86"/>
      <c r="H3" s="86"/>
      <c r="I3" s="87"/>
      <c r="J3" s="85"/>
      <c r="K3" s="85"/>
      <c r="M3" s="81"/>
      <c r="O3" s="85"/>
      <c r="P3" s="85"/>
      <c r="Q3" s="81"/>
      <c r="Z3" s="76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81"/>
      <c r="F4" s="85"/>
      <c r="G4" s="86"/>
      <c r="H4" s="86"/>
      <c r="I4" s="87"/>
      <c r="J4" s="85"/>
      <c r="K4" s="85"/>
      <c r="M4" s="81"/>
      <c r="O4" s="85"/>
      <c r="P4" s="85"/>
      <c r="Q4" s="81"/>
    </row>
    <row r="5" spans="1:26" x14ac:dyDescent="0.3">
      <c r="C5" s="81"/>
      <c r="F5" s="85"/>
      <c r="G5" s="86"/>
      <c r="H5" s="86"/>
      <c r="I5" s="87"/>
      <c r="J5" s="85"/>
      <c r="K5" s="85"/>
      <c r="M5" s="81"/>
      <c r="O5" s="85"/>
      <c r="P5" s="85"/>
      <c r="Q5" s="81"/>
    </row>
    <row r="6" spans="1:26" x14ac:dyDescent="0.3">
      <c r="C6" s="81"/>
      <c r="F6" s="85"/>
      <c r="G6" s="86"/>
      <c r="H6" s="86"/>
      <c r="I6" s="87"/>
      <c r="J6" s="85"/>
      <c r="K6" s="85"/>
      <c r="M6" s="81"/>
      <c r="O6" s="85"/>
      <c r="P6" s="85"/>
      <c r="Q6" s="81"/>
    </row>
    <row r="7" spans="1:26" x14ac:dyDescent="0.3">
      <c r="C7" s="81"/>
      <c r="F7" s="85"/>
      <c r="G7" s="86"/>
      <c r="H7" s="86"/>
      <c r="I7" s="87"/>
      <c r="J7" s="85"/>
      <c r="K7" s="85"/>
      <c r="M7" s="81"/>
      <c r="O7" s="85"/>
      <c r="P7" s="85"/>
      <c r="Q7" s="81"/>
    </row>
    <row r="8" spans="1:26" x14ac:dyDescent="0.3">
      <c r="C8" s="81"/>
      <c r="F8" s="85"/>
      <c r="G8" s="86"/>
      <c r="H8" s="86"/>
      <c r="I8" s="87"/>
      <c r="J8" s="85"/>
      <c r="K8" s="85"/>
      <c r="M8" s="81"/>
      <c r="O8" s="85"/>
      <c r="P8" s="85"/>
      <c r="Q8" s="81"/>
    </row>
    <row r="9" spans="1:26" x14ac:dyDescent="0.3">
      <c r="C9" s="81"/>
      <c r="F9" s="85"/>
      <c r="G9" s="86"/>
      <c r="H9" s="86"/>
      <c r="I9" s="87"/>
      <c r="J9" s="85"/>
      <c r="K9" s="85"/>
      <c r="M9" s="81"/>
      <c r="O9" s="85"/>
      <c r="P9" s="85"/>
      <c r="Q9" s="81"/>
    </row>
    <row r="10" spans="1:26" x14ac:dyDescent="0.3">
      <c r="C10" s="81"/>
      <c r="F10" s="85"/>
      <c r="G10" s="86"/>
      <c r="H10" s="86"/>
      <c r="I10" s="87"/>
      <c r="J10" s="85"/>
      <c r="K10" s="85"/>
      <c r="M10" s="81"/>
      <c r="O10" s="85"/>
      <c r="P10" s="85"/>
      <c r="Q10" s="81"/>
    </row>
    <row r="11" spans="1:26" x14ac:dyDescent="0.3">
      <c r="C11" s="81"/>
      <c r="F11" s="85"/>
      <c r="G11" s="86"/>
      <c r="H11" s="86"/>
      <c r="I11" s="87"/>
      <c r="J11" s="85"/>
      <c r="K11" s="85"/>
      <c r="M11" s="81"/>
      <c r="O11" s="85"/>
      <c r="P11" s="85"/>
      <c r="Q11" s="81"/>
    </row>
    <row r="12" spans="1:26" x14ac:dyDescent="0.3">
      <c r="C12" s="81"/>
      <c r="F12" s="85"/>
      <c r="G12" s="86"/>
      <c r="H12" s="86"/>
      <c r="I12" s="87"/>
      <c r="J12" s="85"/>
      <c r="K12" s="85"/>
      <c r="M12" s="81"/>
      <c r="O12" s="85"/>
      <c r="P12" s="85"/>
      <c r="Q12" s="81"/>
    </row>
    <row r="13" spans="1:26" x14ac:dyDescent="0.3">
      <c r="C13" s="81"/>
      <c r="F13" s="85"/>
      <c r="G13" s="86"/>
      <c r="H13" s="86"/>
      <c r="I13" s="87"/>
      <c r="J13" s="85"/>
      <c r="K13" s="85"/>
      <c r="M13" s="81"/>
      <c r="O13" s="85"/>
      <c r="P13" s="85"/>
      <c r="Q13" s="81"/>
    </row>
    <row r="14" spans="1:26" x14ac:dyDescent="0.3">
      <c r="C14" s="81"/>
      <c r="F14" s="85"/>
      <c r="G14" s="86"/>
      <c r="H14" s="86"/>
      <c r="I14" s="87"/>
      <c r="J14" s="85"/>
      <c r="K14" s="85"/>
      <c r="M14" s="81"/>
      <c r="O14" s="85"/>
      <c r="P14" s="85"/>
      <c r="Q14" s="81"/>
    </row>
    <row r="15" spans="1:26" x14ac:dyDescent="0.3">
      <c r="C15" s="81"/>
      <c r="F15" s="85"/>
      <c r="G15" s="86"/>
      <c r="H15" s="86"/>
      <c r="I15" s="87"/>
      <c r="J15" s="85"/>
      <c r="K15" s="85"/>
      <c r="M15" s="81"/>
      <c r="O15" s="85"/>
      <c r="P15" s="85"/>
      <c r="Q15" s="81"/>
    </row>
    <row r="16" spans="1:26" x14ac:dyDescent="0.3">
      <c r="C16" s="81"/>
      <c r="F16" s="85"/>
      <c r="G16" s="86"/>
      <c r="H16" s="86"/>
      <c r="I16" s="87"/>
      <c r="J16" s="85"/>
      <c r="K16" s="85"/>
      <c r="M16" s="81"/>
      <c r="O16" s="85"/>
      <c r="P16" s="85"/>
      <c r="Q16" s="81"/>
    </row>
    <row r="17" spans="3:17" x14ac:dyDescent="0.3">
      <c r="C17" s="81"/>
      <c r="F17" s="85"/>
      <c r="G17" s="86"/>
      <c r="H17" s="86"/>
      <c r="I17" s="87"/>
      <c r="J17" s="85"/>
      <c r="K17" s="85"/>
      <c r="M17" s="81"/>
      <c r="O17" s="85"/>
      <c r="P17" s="85"/>
      <c r="Q17" s="81"/>
    </row>
    <row r="18" spans="3:17" x14ac:dyDescent="0.3">
      <c r="C18" s="81"/>
      <c r="F18" s="85"/>
      <c r="G18" s="86"/>
      <c r="H18" s="86"/>
      <c r="I18" s="87"/>
      <c r="J18" s="85"/>
      <c r="K18" s="85"/>
      <c r="M18" s="81"/>
      <c r="O18" s="85"/>
      <c r="P18" s="85"/>
      <c r="Q18" s="81"/>
    </row>
    <row r="19" spans="3:17" x14ac:dyDescent="0.3">
      <c r="C19" s="81"/>
      <c r="F19" s="85"/>
      <c r="G19" s="86"/>
      <c r="H19" s="86"/>
      <c r="I19" s="87"/>
      <c r="J19" s="85"/>
      <c r="K19" s="85"/>
      <c r="M19" s="81"/>
      <c r="O19" s="85"/>
      <c r="P19" s="85"/>
      <c r="Q19" s="81"/>
    </row>
    <row r="20" spans="3:17" x14ac:dyDescent="0.3">
      <c r="C20" s="81"/>
      <c r="F20" s="85"/>
      <c r="G20" s="86"/>
      <c r="H20" s="86"/>
      <c r="I20" s="87"/>
      <c r="J20" s="85"/>
      <c r="K20" s="85"/>
      <c r="M20" s="81"/>
      <c r="O20" s="85"/>
      <c r="P20" s="85"/>
      <c r="Q20" s="81"/>
    </row>
    <row r="21" spans="3:17" x14ac:dyDescent="0.3">
      <c r="C21" s="81"/>
      <c r="F21" s="85"/>
      <c r="G21" s="86"/>
      <c r="H21" s="86"/>
      <c r="I21" s="87"/>
      <c r="J21" s="85"/>
      <c r="K21" s="85"/>
      <c r="M21" s="81"/>
      <c r="O21" s="85"/>
      <c r="P21" s="85"/>
      <c r="Q21" s="81"/>
    </row>
    <row r="22" spans="3:17" x14ac:dyDescent="0.3">
      <c r="C22" s="81"/>
      <c r="F22" s="85"/>
      <c r="G22" s="86"/>
      <c r="H22" s="86"/>
      <c r="I22" s="87"/>
      <c r="J22" s="85"/>
      <c r="K22" s="85"/>
      <c r="M22" s="81"/>
      <c r="O22" s="85"/>
      <c r="P22" s="85"/>
      <c r="Q22" s="81"/>
    </row>
    <row r="23" spans="3:17" x14ac:dyDescent="0.3">
      <c r="C23" s="81"/>
      <c r="F23" s="85"/>
      <c r="G23" s="86"/>
      <c r="H23" s="86"/>
      <c r="I23" s="87"/>
      <c r="J23" s="85"/>
      <c r="K23" s="85"/>
      <c r="M23" s="81"/>
      <c r="O23" s="85"/>
      <c r="P23" s="85"/>
      <c r="Q23" s="81"/>
    </row>
    <row r="24" spans="3:17" x14ac:dyDescent="0.3">
      <c r="C24" s="81"/>
      <c r="F24" s="85"/>
      <c r="G24" s="86"/>
      <c r="H24" s="86"/>
      <c r="I24" s="87"/>
      <c r="J24" s="85"/>
      <c r="K24" s="85"/>
      <c r="M24" s="81"/>
      <c r="O24" s="85"/>
      <c r="P24" s="85"/>
      <c r="Q24" s="81"/>
    </row>
    <row r="25" spans="3:17" x14ac:dyDescent="0.3">
      <c r="C25" s="81"/>
      <c r="F25" s="85"/>
      <c r="G25" s="86"/>
      <c r="H25" s="86"/>
      <c r="I25" s="87"/>
      <c r="J25" s="85"/>
      <c r="K25" s="85"/>
      <c r="M25" s="81"/>
      <c r="O25" s="85"/>
      <c r="P25" s="85"/>
      <c r="Q25" s="81"/>
    </row>
    <row r="26" spans="3:17" x14ac:dyDescent="0.3">
      <c r="C26" s="81"/>
      <c r="F26" s="85"/>
      <c r="G26" s="86"/>
      <c r="H26" s="86"/>
      <c r="I26" s="87"/>
      <c r="J26" s="85"/>
      <c r="K26" s="85"/>
      <c r="M26" s="81"/>
      <c r="O26" s="85"/>
      <c r="P26" s="85"/>
      <c r="Q26" s="81"/>
    </row>
    <row r="27" spans="3:17" x14ac:dyDescent="0.3">
      <c r="C27" s="81"/>
      <c r="F27" s="85"/>
      <c r="G27" s="86"/>
      <c r="H27" s="86"/>
      <c r="I27" s="87"/>
      <c r="J27" s="85"/>
      <c r="K27" s="85"/>
      <c r="M27" s="81"/>
      <c r="O27" s="85"/>
      <c r="P27" s="85"/>
      <c r="Q27" s="81"/>
    </row>
    <row r="28" spans="3:17" x14ac:dyDescent="0.3">
      <c r="C28" s="81"/>
      <c r="F28" s="85"/>
      <c r="G28" s="86"/>
      <c r="H28" s="86"/>
      <c r="I28" s="87"/>
      <c r="J28" s="85"/>
      <c r="K28" s="85"/>
      <c r="M28" s="81"/>
      <c r="O28" s="85"/>
      <c r="P28" s="85"/>
      <c r="Q28" s="81"/>
    </row>
    <row r="29" spans="3:17" x14ac:dyDescent="0.3">
      <c r="C29" s="81"/>
      <c r="F29" s="85"/>
      <c r="G29" s="86"/>
      <c r="H29" s="86"/>
      <c r="I29" s="87"/>
      <c r="J29" s="85"/>
      <c r="K29" s="85"/>
      <c r="M29" s="81"/>
      <c r="O29" s="85"/>
      <c r="P29" s="85"/>
      <c r="Q29" s="81"/>
    </row>
    <row r="30" spans="3:17" x14ac:dyDescent="0.3">
      <c r="C30" s="81"/>
      <c r="F30" s="85"/>
      <c r="G30" s="86"/>
      <c r="H30" s="86"/>
      <c r="I30" s="87"/>
      <c r="J30" s="85"/>
      <c r="K30" s="85"/>
      <c r="M30" s="81"/>
      <c r="O30" s="85"/>
      <c r="P30" s="85"/>
      <c r="Q30" s="81"/>
    </row>
    <row r="31" spans="3:17" x14ac:dyDescent="0.3">
      <c r="C31" s="81"/>
      <c r="F31" s="85"/>
      <c r="G31" s="86"/>
      <c r="H31" s="86"/>
      <c r="I31" s="87"/>
      <c r="J31" s="85"/>
      <c r="K31" s="85"/>
      <c r="M31" s="81"/>
      <c r="O31" s="85"/>
      <c r="P31" s="85"/>
      <c r="Q31" s="81"/>
    </row>
    <row r="32" spans="3:17" x14ac:dyDescent="0.3">
      <c r="C32" s="81"/>
      <c r="F32" s="85"/>
      <c r="G32" s="86"/>
      <c r="H32" s="86"/>
      <c r="I32" s="87"/>
      <c r="J32" s="85"/>
      <c r="K32" s="85"/>
      <c r="M32" s="81"/>
      <c r="O32" s="85"/>
      <c r="P32" s="85"/>
      <c r="Q32" s="81"/>
    </row>
    <row r="33" spans="3:17" x14ac:dyDescent="0.3">
      <c r="C33" s="81"/>
      <c r="F33" s="85"/>
      <c r="G33" s="86"/>
      <c r="H33" s="86"/>
      <c r="I33" s="87"/>
      <c r="J33" s="85"/>
      <c r="K33" s="85"/>
      <c r="M33" s="81"/>
      <c r="O33" s="85"/>
      <c r="P33" s="85"/>
      <c r="Q33" s="81"/>
    </row>
    <row r="34" spans="3:17" x14ac:dyDescent="0.3">
      <c r="C34" s="81"/>
      <c r="F34" s="85"/>
      <c r="G34" s="86"/>
      <c r="H34" s="86"/>
      <c r="I34" s="87"/>
      <c r="J34" s="85"/>
      <c r="K34" s="85"/>
      <c r="M34" s="81"/>
      <c r="O34" s="85"/>
      <c r="P34" s="85"/>
      <c r="Q34" s="81"/>
    </row>
    <row r="35" spans="3:17" x14ac:dyDescent="0.3">
      <c r="C35" s="81"/>
      <c r="F35" s="85"/>
      <c r="G35" s="86"/>
      <c r="H35" s="86"/>
      <c r="I35" s="87"/>
      <c r="J35" s="85"/>
      <c r="K35" s="85"/>
      <c r="M35" s="81"/>
      <c r="O35" s="85"/>
      <c r="P35" s="85"/>
      <c r="Q35" s="81"/>
    </row>
    <row r="36" spans="3:17" x14ac:dyDescent="0.3">
      <c r="C36" s="81"/>
      <c r="F36" s="85"/>
      <c r="G36" s="86"/>
      <c r="H36" s="86"/>
      <c r="I36" s="87"/>
      <c r="J36" s="85"/>
      <c r="K36" s="85"/>
      <c r="M36" s="81"/>
      <c r="O36" s="85"/>
      <c r="P36" s="85"/>
      <c r="Q36" s="81"/>
    </row>
    <row r="37" spans="3:17" x14ac:dyDescent="0.3">
      <c r="C37" s="81"/>
      <c r="F37" s="85"/>
      <c r="G37" s="86"/>
      <c r="H37" s="86"/>
      <c r="I37" s="87"/>
      <c r="J37" s="85"/>
      <c r="K37" s="85"/>
      <c r="M37" s="81"/>
      <c r="O37" s="85"/>
      <c r="P37" s="85"/>
      <c r="Q37" s="81"/>
    </row>
    <row r="38" spans="3:17" x14ac:dyDescent="0.3">
      <c r="C38" s="81"/>
      <c r="F38" s="85"/>
      <c r="G38" s="86"/>
      <c r="H38" s="86"/>
      <c r="I38" s="87"/>
      <c r="J38" s="85"/>
      <c r="K38" s="85"/>
      <c r="M38" s="81"/>
      <c r="O38" s="85"/>
      <c r="P38" s="85"/>
      <c r="Q38" s="81"/>
    </row>
    <row r="39" spans="3:17" x14ac:dyDescent="0.3">
      <c r="C39" s="81"/>
      <c r="F39" s="85"/>
      <c r="G39" s="86"/>
      <c r="H39" s="86"/>
      <c r="I39" s="87"/>
      <c r="J39" s="85"/>
      <c r="K39" s="85"/>
      <c r="M39" s="81"/>
      <c r="O39" s="85"/>
      <c r="P39" s="85"/>
      <c r="Q39" s="81"/>
    </row>
    <row r="40" spans="3:17" x14ac:dyDescent="0.3">
      <c r="C40" s="81"/>
      <c r="F40" s="85"/>
      <c r="G40" s="86"/>
      <c r="H40" s="86"/>
      <c r="I40" s="87"/>
      <c r="J40" s="85"/>
      <c r="K40" s="85"/>
      <c r="M40" s="81"/>
      <c r="O40" s="85"/>
      <c r="P40" s="85"/>
      <c r="Q40" s="81"/>
    </row>
    <row r="41" spans="3:17" x14ac:dyDescent="0.3">
      <c r="C41" s="81"/>
      <c r="F41" s="85"/>
      <c r="G41" s="86"/>
      <c r="H41" s="86"/>
      <c r="I41" s="87"/>
      <c r="J41" s="85"/>
      <c r="K41" s="85"/>
      <c r="M41" s="81"/>
      <c r="O41" s="85"/>
      <c r="P41" s="85"/>
      <c r="Q41" s="81"/>
    </row>
    <row r="42" spans="3:17" x14ac:dyDescent="0.3">
      <c r="C42" s="81"/>
      <c r="F42" s="85"/>
      <c r="G42" s="86"/>
      <c r="H42" s="86"/>
      <c r="I42" s="87"/>
      <c r="J42" s="85"/>
      <c r="K42" s="85"/>
      <c r="M42" s="81"/>
      <c r="O42" s="85"/>
      <c r="P42" s="85"/>
      <c r="Q42" s="81"/>
    </row>
    <row r="43" spans="3:17" x14ac:dyDescent="0.3">
      <c r="C43" s="81"/>
      <c r="F43" s="85"/>
      <c r="G43" s="86"/>
      <c r="H43" s="86"/>
      <c r="I43" s="87"/>
      <c r="J43" s="85"/>
      <c r="K43" s="85"/>
      <c r="M43" s="81"/>
      <c r="O43" s="85"/>
      <c r="P43" s="85"/>
      <c r="Q43" s="81"/>
    </row>
    <row r="44" spans="3:17" x14ac:dyDescent="0.3">
      <c r="C44" s="81"/>
      <c r="F44" s="85"/>
      <c r="G44" s="86"/>
      <c r="H44" s="86"/>
      <c r="I44" s="87"/>
      <c r="J44" s="85"/>
      <c r="K44" s="85"/>
      <c r="M44" s="81"/>
      <c r="O44" s="85"/>
      <c r="P44" s="85"/>
      <c r="Q44" s="81"/>
    </row>
    <row r="45" spans="3:17" x14ac:dyDescent="0.3">
      <c r="C45" s="81"/>
      <c r="F45" s="85"/>
      <c r="G45" s="86"/>
      <c r="H45" s="86"/>
      <c r="I45" s="87"/>
      <c r="J45" s="85"/>
      <c r="K45" s="85"/>
      <c r="M45" s="81"/>
      <c r="O45" s="85"/>
      <c r="P45" s="85"/>
      <c r="Q45" s="81"/>
    </row>
    <row r="46" spans="3:17" x14ac:dyDescent="0.3">
      <c r="C46" s="81"/>
      <c r="F46" s="85"/>
      <c r="G46" s="86"/>
      <c r="H46" s="86"/>
      <c r="I46" s="87"/>
      <c r="J46" s="85"/>
      <c r="K46" s="85"/>
      <c r="M46" s="81"/>
      <c r="O46" s="85"/>
      <c r="P46" s="85"/>
      <c r="Q46" s="81"/>
    </row>
    <row r="47" spans="3:17" x14ac:dyDescent="0.3">
      <c r="C47" s="81"/>
      <c r="F47" s="85"/>
      <c r="G47" s="86"/>
      <c r="H47" s="86"/>
      <c r="I47" s="87"/>
      <c r="J47" s="85"/>
      <c r="K47" s="85"/>
      <c r="M47" s="81"/>
      <c r="O47" s="85"/>
      <c r="P47" s="85"/>
      <c r="Q47" s="81"/>
    </row>
    <row r="48" spans="3:17" x14ac:dyDescent="0.3">
      <c r="C48" s="81"/>
      <c r="F48" s="85"/>
      <c r="G48" s="86"/>
      <c r="H48" s="86"/>
      <c r="I48" s="87"/>
      <c r="J48" s="85"/>
      <c r="K48" s="85"/>
      <c r="M48" s="81"/>
      <c r="O48" s="85"/>
      <c r="P48" s="85"/>
      <c r="Q48" s="81"/>
    </row>
    <row r="49" spans="3:17" x14ac:dyDescent="0.3">
      <c r="C49" s="81"/>
      <c r="F49" s="85"/>
      <c r="G49" s="86"/>
      <c r="H49" s="86"/>
      <c r="I49" s="87"/>
      <c r="J49" s="85"/>
      <c r="K49" s="85"/>
      <c r="M49" s="81"/>
      <c r="O49" s="85"/>
      <c r="P49" s="85"/>
      <c r="Q49" s="81"/>
    </row>
    <row r="50" spans="3:17" x14ac:dyDescent="0.3">
      <c r="C50" s="81"/>
      <c r="F50" s="85"/>
      <c r="G50" s="86"/>
      <c r="H50" s="86"/>
      <c r="I50" s="87"/>
      <c r="J50" s="85"/>
      <c r="K50" s="85"/>
      <c r="M50" s="81"/>
      <c r="O50" s="85"/>
      <c r="P50" s="85"/>
      <c r="Q50" s="81"/>
    </row>
    <row r="51" spans="3:17" x14ac:dyDescent="0.3">
      <c r="C51" s="81"/>
      <c r="F51" s="85"/>
      <c r="G51" s="86"/>
      <c r="H51" s="86"/>
      <c r="I51" s="87"/>
      <c r="J51" s="85"/>
      <c r="K51" s="85"/>
      <c r="M51" s="81"/>
      <c r="O51" s="85"/>
      <c r="P51" s="85"/>
      <c r="Q51" s="81"/>
    </row>
    <row r="52" spans="3:17" x14ac:dyDescent="0.3">
      <c r="C52" s="81"/>
      <c r="F52" s="85"/>
      <c r="G52" s="86"/>
      <c r="H52" s="86"/>
      <c r="I52" s="87"/>
      <c r="J52" s="85"/>
      <c r="K52" s="85"/>
      <c r="M52" s="81"/>
      <c r="O52" s="85"/>
      <c r="P52" s="85"/>
      <c r="Q52" s="81"/>
    </row>
    <row r="53" spans="3:17" x14ac:dyDescent="0.3">
      <c r="C53" s="81"/>
      <c r="F53" s="85"/>
      <c r="G53" s="86"/>
      <c r="H53" s="86"/>
      <c r="I53" s="87"/>
      <c r="J53" s="85"/>
      <c r="K53" s="85"/>
      <c r="M53" s="81"/>
      <c r="O53" s="85"/>
      <c r="P53" s="85"/>
      <c r="Q53" s="81"/>
    </row>
    <row r="54" spans="3:17" x14ac:dyDescent="0.3">
      <c r="C54" s="81"/>
      <c r="F54" s="85"/>
      <c r="G54" s="86"/>
      <c r="H54" s="86"/>
      <c r="I54" s="87"/>
      <c r="J54" s="85"/>
      <c r="K54" s="85"/>
      <c r="M54" s="81"/>
      <c r="O54" s="85"/>
      <c r="P54" s="85"/>
      <c r="Q54" s="81"/>
    </row>
    <row r="55" spans="3:17" x14ac:dyDescent="0.3">
      <c r="C55" s="81"/>
      <c r="F55" s="85"/>
      <c r="G55" s="86"/>
      <c r="H55" s="86"/>
      <c r="I55" s="87"/>
      <c r="J55" s="85"/>
      <c r="K55" s="85"/>
      <c r="M55" s="81"/>
      <c r="O55" s="85"/>
      <c r="P55" s="85"/>
      <c r="Q55" s="81"/>
    </row>
    <row r="56" spans="3:17" x14ac:dyDescent="0.3">
      <c r="C56" s="81"/>
      <c r="F56" s="85"/>
      <c r="G56" s="86"/>
      <c r="H56" s="86"/>
      <c r="I56" s="87"/>
      <c r="J56" s="85"/>
      <c r="K56" s="85"/>
      <c r="M56" s="81"/>
      <c r="O56" s="85"/>
      <c r="P56" s="85"/>
      <c r="Q56" s="81"/>
    </row>
    <row r="57" spans="3:17" x14ac:dyDescent="0.3">
      <c r="C57" s="81"/>
      <c r="F57" s="85"/>
      <c r="G57" s="86"/>
      <c r="H57" s="86"/>
      <c r="I57" s="87"/>
      <c r="J57" s="85"/>
      <c r="K57" s="85"/>
      <c r="M57" s="81"/>
      <c r="O57" s="85"/>
      <c r="P57" s="85"/>
      <c r="Q57" s="81"/>
    </row>
    <row r="58" spans="3:17" x14ac:dyDescent="0.3">
      <c r="C58" s="81"/>
      <c r="F58" s="85"/>
      <c r="G58" s="86"/>
      <c r="H58" s="86"/>
      <c r="I58" s="87"/>
      <c r="J58" s="85"/>
      <c r="K58" s="85"/>
      <c r="M58" s="81"/>
      <c r="O58" s="85"/>
      <c r="P58" s="85"/>
      <c r="Q58" s="81"/>
    </row>
    <row r="59" spans="3:17" x14ac:dyDescent="0.3">
      <c r="C59" s="81"/>
      <c r="F59" s="85"/>
      <c r="G59" s="86"/>
      <c r="H59" s="86"/>
      <c r="I59" s="87"/>
      <c r="J59" s="85"/>
      <c r="K59" s="85"/>
      <c r="M59" s="81"/>
      <c r="O59" s="85"/>
      <c r="P59" s="85"/>
      <c r="Q59" s="81"/>
    </row>
    <row r="60" spans="3:17" x14ac:dyDescent="0.3">
      <c r="C60" s="81"/>
      <c r="F60" s="85"/>
      <c r="G60" s="86"/>
      <c r="H60" s="86"/>
      <c r="I60" s="87"/>
      <c r="J60" s="85"/>
      <c r="K60" s="85"/>
      <c r="M60" s="81"/>
      <c r="O60" s="85"/>
      <c r="P60" s="85"/>
      <c r="Q60" s="81"/>
    </row>
    <row r="61" spans="3:17" x14ac:dyDescent="0.3">
      <c r="C61" s="81"/>
      <c r="F61" s="85"/>
      <c r="G61" s="86"/>
      <c r="H61" s="86"/>
      <c r="I61" s="87"/>
      <c r="J61" s="85"/>
      <c r="K61" s="85"/>
      <c r="M61" s="81"/>
      <c r="O61" s="85"/>
      <c r="P61" s="85"/>
      <c r="Q61" s="81"/>
    </row>
    <row r="62" spans="3:17" x14ac:dyDescent="0.3">
      <c r="C62" s="81"/>
      <c r="F62" s="85"/>
      <c r="G62" s="86"/>
      <c r="H62" s="86"/>
      <c r="I62" s="87"/>
      <c r="J62" s="85"/>
      <c r="K62" s="85"/>
      <c r="M62" s="81"/>
      <c r="O62" s="85"/>
      <c r="P62" s="85"/>
      <c r="Q62" s="81"/>
    </row>
    <row r="63" spans="3:17" x14ac:dyDescent="0.3">
      <c r="C63" s="81"/>
      <c r="F63" s="85"/>
      <c r="G63" s="86"/>
      <c r="H63" s="86"/>
      <c r="I63" s="87"/>
      <c r="J63" s="85"/>
      <c r="K63" s="85"/>
      <c r="M63" s="81"/>
      <c r="O63" s="85"/>
      <c r="P63" s="85"/>
      <c r="Q63" s="81"/>
    </row>
    <row r="64" spans="3:17" x14ac:dyDescent="0.3">
      <c r="C64" s="81"/>
      <c r="F64" s="85"/>
      <c r="G64" s="86"/>
      <c r="H64" s="86"/>
      <c r="I64" s="87"/>
      <c r="J64" s="85"/>
      <c r="K64" s="85"/>
      <c r="M64" s="81"/>
      <c r="O64" s="85"/>
      <c r="P64" s="85"/>
      <c r="Q64" s="81"/>
    </row>
    <row r="65" spans="3:17" x14ac:dyDescent="0.3">
      <c r="C65" s="81"/>
      <c r="F65" s="85"/>
      <c r="G65" s="86"/>
      <c r="H65" s="86"/>
      <c r="I65" s="87"/>
      <c r="J65" s="85"/>
      <c r="K65" s="85"/>
      <c r="M65" s="81"/>
      <c r="O65" s="85"/>
      <c r="P65" s="85"/>
      <c r="Q65" s="81"/>
    </row>
    <row r="66" spans="3:17" x14ac:dyDescent="0.3">
      <c r="C66" s="81"/>
      <c r="F66" s="85"/>
      <c r="G66" s="86"/>
      <c r="H66" s="86"/>
      <c r="I66" s="87"/>
      <c r="J66" s="85"/>
      <c r="K66" s="85"/>
      <c r="M66" s="81"/>
      <c r="O66" s="85"/>
      <c r="P66" s="85"/>
      <c r="Q66" s="81"/>
    </row>
    <row r="67" spans="3:17" x14ac:dyDescent="0.3">
      <c r="C67" s="81"/>
      <c r="F67" s="85"/>
      <c r="G67" s="86"/>
      <c r="H67" s="86"/>
      <c r="I67" s="87"/>
      <c r="J67" s="85"/>
      <c r="K67" s="85"/>
      <c r="M67" s="81"/>
      <c r="O67" s="85"/>
      <c r="P67" s="85"/>
      <c r="Q67" s="81"/>
    </row>
    <row r="68" spans="3:17" x14ac:dyDescent="0.3">
      <c r="C68" s="81"/>
      <c r="F68" s="85"/>
      <c r="G68" s="86"/>
      <c r="H68" s="86"/>
      <c r="I68" s="87"/>
      <c r="J68" s="85"/>
      <c r="K68" s="85"/>
      <c r="M68" s="81"/>
      <c r="O68" s="85"/>
      <c r="P68" s="85"/>
      <c r="Q68" s="81"/>
    </row>
    <row r="69" spans="3:17" x14ac:dyDescent="0.3">
      <c r="C69" s="81"/>
      <c r="F69" s="85"/>
      <c r="G69" s="86"/>
      <c r="H69" s="86"/>
      <c r="I69" s="87"/>
      <c r="J69" s="85"/>
      <c r="K69" s="85"/>
      <c r="M69" s="81"/>
      <c r="O69" s="85"/>
      <c r="P69" s="85"/>
      <c r="Q69" s="81"/>
    </row>
    <row r="70" spans="3:17" x14ac:dyDescent="0.3">
      <c r="C70" s="81"/>
      <c r="F70" s="85"/>
      <c r="G70" s="86"/>
      <c r="H70" s="86"/>
      <c r="I70" s="87"/>
      <c r="J70" s="85"/>
      <c r="K70" s="85"/>
      <c r="M70" s="81"/>
      <c r="O70" s="85"/>
      <c r="P70" s="85"/>
      <c r="Q70" s="81"/>
    </row>
    <row r="71" spans="3:17" x14ac:dyDescent="0.3">
      <c r="C71" s="81"/>
      <c r="F71" s="85"/>
      <c r="G71" s="86"/>
      <c r="H71" s="86"/>
      <c r="I71" s="87"/>
      <c r="J71" s="85"/>
      <c r="K71" s="85"/>
      <c r="M71" s="81"/>
      <c r="O71" s="85"/>
      <c r="P71" s="85"/>
      <c r="Q71" s="81"/>
    </row>
    <row r="72" spans="3:17" x14ac:dyDescent="0.3">
      <c r="C72" s="81"/>
      <c r="F72" s="85"/>
      <c r="G72" s="86"/>
      <c r="H72" s="86"/>
      <c r="I72" s="87"/>
      <c r="J72" s="85"/>
      <c r="K72" s="85"/>
      <c r="M72" s="81"/>
      <c r="O72" s="85"/>
      <c r="P72" s="85"/>
      <c r="Q72" s="81"/>
    </row>
    <row r="73" spans="3:17" x14ac:dyDescent="0.3">
      <c r="C73" s="81"/>
      <c r="F73" s="85"/>
      <c r="G73" s="86"/>
      <c r="H73" s="86"/>
      <c r="I73" s="87"/>
      <c r="J73" s="85"/>
      <c r="K73" s="85"/>
      <c r="M73" s="81"/>
      <c r="O73" s="85"/>
      <c r="P73" s="85"/>
      <c r="Q73" s="81"/>
    </row>
    <row r="74" spans="3:17" x14ac:dyDescent="0.3">
      <c r="C74" s="81"/>
      <c r="F74" s="85"/>
      <c r="G74" s="86"/>
      <c r="H74" s="86"/>
      <c r="I74" s="87"/>
      <c r="J74" s="85"/>
      <c r="K74" s="85"/>
      <c r="M74" s="81"/>
      <c r="O74" s="85"/>
      <c r="P74" s="85"/>
      <c r="Q74" s="81"/>
    </row>
    <row r="75" spans="3:17" x14ac:dyDescent="0.3">
      <c r="C75" s="81"/>
      <c r="F75" s="85"/>
      <c r="G75" s="86"/>
      <c r="H75" s="86"/>
      <c r="I75" s="87"/>
      <c r="J75" s="85"/>
      <c r="K75" s="85"/>
      <c r="M75" s="81"/>
      <c r="O75" s="85"/>
      <c r="P75" s="85"/>
      <c r="Q75" s="81"/>
    </row>
    <row r="76" spans="3:17" x14ac:dyDescent="0.3">
      <c r="C76" s="81"/>
      <c r="F76" s="85"/>
      <c r="G76" s="86"/>
      <c r="H76" s="86"/>
      <c r="I76" s="87"/>
      <c r="J76" s="85"/>
      <c r="K76" s="85"/>
      <c r="M76" s="81"/>
      <c r="O76" s="85"/>
      <c r="P76" s="85"/>
      <c r="Q76" s="81"/>
    </row>
    <row r="77" spans="3:17" x14ac:dyDescent="0.3">
      <c r="C77" s="81"/>
      <c r="F77" s="85"/>
      <c r="G77" s="86"/>
      <c r="H77" s="86"/>
      <c r="I77" s="87"/>
      <c r="J77" s="85"/>
      <c r="K77" s="85"/>
      <c r="M77" s="81"/>
      <c r="O77" s="85"/>
      <c r="P77" s="85"/>
      <c r="Q77" s="81"/>
    </row>
    <row r="78" spans="3:17" x14ac:dyDescent="0.3">
      <c r="C78" s="81"/>
      <c r="F78" s="85"/>
      <c r="G78" s="86"/>
      <c r="H78" s="86"/>
      <c r="I78" s="87"/>
      <c r="J78" s="85"/>
      <c r="K78" s="85"/>
      <c r="M78" s="81"/>
      <c r="O78" s="85"/>
      <c r="P78" s="85"/>
      <c r="Q78" s="81"/>
    </row>
    <row r="79" spans="3:17" x14ac:dyDescent="0.3">
      <c r="C79" s="81"/>
      <c r="F79" s="85"/>
      <c r="G79" s="86"/>
      <c r="H79" s="86"/>
      <c r="I79" s="87"/>
      <c r="J79" s="85"/>
      <c r="K79" s="85"/>
      <c r="M79" s="81"/>
      <c r="O79" s="85"/>
      <c r="P79" s="85"/>
      <c r="Q79" s="81"/>
    </row>
    <row r="80" spans="3:17" x14ac:dyDescent="0.3">
      <c r="C80" s="81"/>
      <c r="F80" s="85"/>
      <c r="G80" s="86"/>
      <c r="H80" s="86"/>
      <c r="I80" s="87"/>
      <c r="J80" s="85"/>
      <c r="K80" s="85"/>
      <c r="M80" s="81"/>
      <c r="O80" s="85"/>
      <c r="P80" s="85"/>
      <c r="Q80" s="81"/>
    </row>
    <row r="81" spans="3:17" x14ac:dyDescent="0.3">
      <c r="C81" s="81"/>
      <c r="F81" s="85"/>
      <c r="G81" s="86"/>
      <c r="H81" s="86"/>
      <c r="I81" s="87"/>
      <c r="J81" s="85"/>
      <c r="K81" s="85"/>
      <c r="M81" s="81"/>
      <c r="O81" s="85"/>
      <c r="P81" s="85"/>
      <c r="Q81" s="81"/>
    </row>
    <row r="82" spans="3:17" x14ac:dyDescent="0.3">
      <c r="C82" s="81"/>
      <c r="F82" s="85"/>
      <c r="G82" s="86"/>
      <c r="H82" s="86"/>
      <c r="I82" s="87"/>
      <c r="J82" s="85"/>
      <c r="K82" s="85"/>
      <c r="M82" s="81"/>
      <c r="O82" s="85"/>
      <c r="P82" s="85"/>
      <c r="Q82" s="81"/>
    </row>
    <row r="83" spans="3:17" x14ac:dyDescent="0.3">
      <c r="C83" s="81"/>
      <c r="F83" s="85"/>
      <c r="G83" s="86"/>
      <c r="H83" s="86"/>
      <c r="I83" s="87"/>
      <c r="J83" s="85"/>
      <c r="K83" s="85"/>
      <c r="M83" s="81"/>
      <c r="O83" s="85"/>
      <c r="P83" s="85"/>
      <c r="Q83" s="81"/>
    </row>
    <row r="84" spans="3:17" x14ac:dyDescent="0.3">
      <c r="C84" s="81"/>
      <c r="F84" s="85"/>
      <c r="G84" s="86"/>
      <c r="H84" s="86"/>
      <c r="I84" s="87"/>
      <c r="J84" s="85"/>
      <c r="K84" s="85"/>
      <c r="M84" s="81"/>
      <c r="O84" s="85"/>
      <c r="P84" s="85"/>
      <c r="Q84" s="81"/>
    </row>
    <row r="85" spans="3:17" x14ac:dyDescent="0.3">
      <c r="C85" s="81"/>
      <c r="F85" s="85"/>
      <c r="G85" s="86"/>
      <c r="H85" s="86"/>
      <c r="I85" s="87"/>
      <c r="J85" s="85"/>
      <c r="K85" s="85"/>
      <c r="M85" s="81"/>
      <c r="O85" s="85"/>
      <c r="P85" s="85"/>
      <c r="Q85" s="81"/>
    </row>
    <row r="86" spans="3:17" x14ac:dyDescent="0.3">
      <c r="C86" s="81"/>
      <c r="F86" s="85"/>
      <c r="G86" s="86"/>
      <c r="H86" s="86"/>
      <c r="I86" s="87"/>
      <c r="J86" s="85"/>
      <c r="K86" s="85"/>
      <c r="M86" s="81"/>
      <c r="O86" s="85"/>
      <c r="P86" s="85"/>
      <c r="Q86" s="81"/>
    </row>
    <row r="87" spans="3:17" x14ac:dyDescent="0.3">
      <c r="C87" s="81"/>
      <c r="F87" s="85"/>
      <c r="G87" s="86"/>
      <c r="H87" s="86"/>
      <c r="I87" s="87"/>
      <c r="J87" s="85"/>
      <c r="K87" s="85"/>
      <c r="M87" s="81"/>
      <c r="O87" s="85"/>
      <c r="P87" s="85"/>
      <c r="Q87" s="81"/>
    </row>
    <row r="88" spans="3:17" x14ac:dyDescent="0.3">
      <c r="C88" s="81"/>
      <c r="F88" s="85"/>
      <c r="G88" s="86"/>
      <c r="H88" s="86"/>
      <c r="I88" s="87"/>
      <c r="J88" s="85"/>
      <c r="K88" s="85"/>
      <c r="M88" s="81"/>
      <c r="O88" s="85"/>
      <c r="P88" s="85"/>
      <c r="Q88" s="81"/>
    </row>
    <row r="89" spans="3:17" x14ac:dyDescent="0.3">
      <c r="C89" s="81"/>
      <c r="F89" s="85"/>
      <c r="G89" s="86"/>
      <c r="H89" s="86"/>
      <c r="I89" s="87"/>
      <c r="J89" s="85"/>
      <c r="K89" s="85"/>
      <c r="M89" s="81"/>
      <c r="O89" s="85"/>
      <c r="P89" s="85"/>
      <c r="Q89" s="81"/>
    </row>
    <row r="90" spans="3:17" x14ac:dyDescent="0.3">
      <c r="C90" s="81"/>
      <c r="F90" s="85"/>
      <c r="G90" s="86"/>
      <c r="H90" s="86"/>
      <c r="I90" s="87"/>
      <c r="J90" s="85"/>
      <c r="K90" s="85"/>
      <c r="M90" s="81"/>
      <c r="O90" s="85"/>
      <c r="P90" s="85"/>
      <c r="Q90" s="81"/>
    </row>
    <row r="91" spans="3:17" x14ac:dyDescent="0.3">
      <c r="C91" s="81"/>
      <c r="F91" s="85"/>
      <c r="G91" s="86"/>
      <c r="H91" s="86"/>
      <c r="I91" s="87"/>
      <c r="J91" s="85"/>
      <c r="K91" s="85"/>
      <c r="M91" s="81"/>
      <c r="O91" s="85"/>
      <c r="P91" s="85"/>
      <c r="Q91" s="81"/>
    </row>
    <row r="92" spans="3:17" x14ac:dyDescent="0.3">
      <c r="C92" s="81"/>
      <c r="F92" s="85"/>
      <c r="G92" s="86"/>
      <c r="H92" s="86"/>
      <c r="I92" s="87"/>
      <c r="J92" s="85"/>
      <c r="K92" s="85"/>
      <c r="M92" s="81"/>
      <c r="O92" s="85"/>
      <c r="P92" s="85"/>
      <c r="Q92" s="81"/>
    </row>
    <row r="93" spans="3:17" x14ac:dyDescent="0.3">
      <c r="C93" s="81"/>
      <c r="F93" s="85"/>
      <c r="G93" s="86"/>
      <c r="H93" s="86"/>
      <c r="I93" s="87"/>
      <c r="J93" s="85"/>
      <c r="K93" s="85"/>
      <c r="M93" s="81"/>
      <c r="O93" s="85"/>
      <c r="P93" s="85"/>
      <c r="Q93" s="81"/>
    </row>
    <row r="94" spans="3:17" x14ac:dyDescent="0.3">
      <c r="C94" s="81"/>
      <c r="F94" s="85"/>
      <c r="G94" s="86"/>
      <c r="H94" s="86"/>
      <c r="I94" s="87"/>
      <c r="J94" s="85"/>
      <c r="K94" s="85"/>
      <c r="M94" s="81"/>
      <c r="O94" s="85"/>
      <c r="P94" s="85"/>
      <c r="Q94" s="81"/>
    </row>
    <row r="95" spans="3:17" x14ac:dyDescent="0.3">
      <c r="C95" s="81"/>
      <c r="F95" s="85"/>
      <c r="G95" s="86"/>
      <c r="H95" s="86"/>
      <c r="I95" s="87"/>
      <c r="J95" s="85"/>
      <c r="K95" s="85"/>
      <c r="M95" s="81"/>
      <c r="O95" s="85"/>
      <c r="P95" s="85"/>
      <c r="Q95" s="81"/>
    </row>
    <row r="96" spans="3:17" x14ac:dyDescent="0.3">
      <c r="C96" s="81"/>
      <c r="F96" s="85"/>
      <c r="G96" s="86"/>
      <c r="H96" s="86"/>
      <c r="I96" s="87"/>
      <c r="J96" s="85"/>
      <c r="K96" s="85"/>
      <c r="M96" s="81"/>
      <c r="O96" s="85"/>
      <c r="P96" s="85"/>
      <c r="Q96" s="81"/>
    </row>
    <row r="97" spans="3:17" x14ac:dyDescent="0.3">
      <c r="C97" s="81"/>
      <c r="F97" s="85"/>
      <c r="G97" s="86"/>
      <c r="H97" s="86"/>
      <c r="I97" s="87"/>
      <c r="J97" s="85"/>
      <c r="K97" s="85"/>
      <c r="M97" s="81"/>
      <c r="O97" s="85"/>
      <c r="P97" s="85"/>
      <c r="Q97" s="81"/>
    </row>
    <row r="98" spans="3:17" x14ac:dyDescent="0.3">
      <c r="C98" s="81"/>
      <c r="F98" s="85"/>
      <c r="G98" s="86"/>
      <c r="H98" s="86"/>
      <c r="I98" s="87"/>
      <c r="J98" s="85"/>
      <c r="K98" s="85"/>
      <c r="M98" s="81"/>
      <c r="O98" s="85"/>
      <c r="P98" s="85"/>
      <c r="Q98" s="81"/>
    </row>
    <row r="99" spans="3:17" x14ac:dyDescent="0.3">
      <c r="C99" s="81"/>
      <c r="F99" s="85"/>
      <c r="G99" s="86"/>
      <c r="H99" s="86"/>
      <c r="I99" s="87"/>
      <c r="J99" s="85"/>
      <c r="K99" s="85"/>
      <c r="M99" s="81"/>
      <c r="O99" s="85"/>
      <c r="P99" s="85"/>
      <c r="Q99" s="81"/>
    </row>
    <row r="100" spans="3:17" x14ac:dyDescent="0.3">
      <c r="C100" s="81"/>
      <c r="F100" s="85"/>
      <c r="G100" s="86"/>
      <c r="H100" s="86"/>
      <c r="I100" s="87"/>
      <c r="J100" s="85"/>
      <c r="K100" s="85"/>
      <c r="M100" s="81"/>
      <c r="O100" s="85"/>
      <c r="P100" s="85"/>
      <c r="Q100" s="81"/>
    </row>
    <row r="101" spans="3:17" x14ac:dyDescent="0.3">
      <c r="C101" s="81"/>
      <c r="F101" s="85"/>
      <c r="G101" s="86"/>
      <c r="H101" s="86"/>
      <c r="I101" s="87"/>
      <c r="J101" s="85"/>
      <c r="K101" s="85"/>
      <c r="M101" s="81"/>
      <c r="O101" s="85"/>
      <c r="P101" s="85"/>
      <c r="Q101" s="81"/>
    </row>
    <row r="102" spans="3:17" x14ac:dyDescent="0.3">
      <c r="C102" s="81"/>
      <c r="F102" s="85"/>
      <c r="G102" s="86"/>
      <c r="H102" s="86"/>
      <c r="I102" s="87"/>
      <c r="J102" s="85"/>
      <c r="K102" s="85"/>
      <c r="M102" s="81"/>
      <c r="O102" s="85"/>
      <c r="P102" s="85"/>
      <c r="Q102" s="81"/>
    </row>
    <row r="103" spans="3:17" x14ac:dyDescent="0.3">
      <c r="C103" s="81"/>
      <c r="F103" s="85"/>
      <c r="G103" s="86"/>
      <c r="H103" s="86"/>
      <c r="I103" s="87"/>
      <c r="J103" s="85"/>
      <c r="K103" s="85"/>
      <c r="M103" s="81"/>
      <c r="O103" s="85"/>
      <c r="P103" s="85"/>
      <c r="Q103" s="81"/>
    </row>
    <row r="104" spans="3:17" x14ac:dyDescent="0.3">
      <c r="C104" s="81"/>
      <c r="F104" s="85"/>
      <c r="G104" s="86"/>
      <c r="H104" s="86"/>
      <c r="I104" s="87"/>
      <c r="J104" s="85"/>
      <c r="K104" s="85"/>
      <c r="M104" s="81"/>
      <c r="O104" s="85"/>
      <c r="P104" s="85"/>
      <c r="Q104" s="81"/>
    </row>
    <row r="105" spans="3:17" x14ac:dyDescent="0.3">
      <c r="C105" s="81"/>
      <c r="F105" s="85"/>
      <c r="G105" s="86"/>
      <c r="H105" s="86"/>
      <c r="I105" s="87"/>
      <c r="J105" s="85"/>
      <c r="K105" s="85"/>
      <c r="M105" s="81"/>
      <c r="O105" s="85"/>
      <c r="P105" s="85"/>
      <c r="Q105" s="81"/>
    </row>
    <row r="106" spans="3:17" x14ac:dyDescent="0.3">
      <c r="C106" s="81"/>
      <c r="F106" s="85"/>
      <c r="G106" s="86"/>
      <c r="H106" s="86"/>
      <c r="I106" s="87"/>
      <c r="J106" s="85"/>
      <c r="K106" s="85"/>
      <c r="M106" s="81"/>
      <c r="O106" s="85"/>
      <c r="P106" s="85"/>
      <c r="Q106" s="81"/>
    </row>
    <row r="107" spans="3:17" x14ac:dyDescent="0.3">
      <c r="C107" s="81"/>
      <c r="F107" s="85"/>
      <c r="G107" s="86"/>
      <c r="H107" s="86"/>
      <c r="I107" s="87"/>
      <c r="J107" s="85"/>
      <c r="K107" s="85"/>
      <c r="M107" s="81"/>
      <c r="O107" s="85"/>
      <c r="P107" s="85"/>
      <c r="Q107" s="81"/>
    </row>
    <row r="108" spans="3:17" x14ac:dyDescent="0.3">
      <c r="C108" s="81"/>
      <c r="F108" s="85"/>
      <c r="G108" s="86"/>
      <c r="H108" s="86"/>
      <c r="I108" s="87"/>
      <c r="J108" s="85"/>
      <c r="K108" s="85"/>
      <c r="M108" s="81"/>
      <c r="O108" s="85"/>
      <c r="P108" s="85"/>
      <c r="Q108" s="81"/>
    </row>
    <row r="109" spans="3:17" x14ac:dyDescent="0.3">
      <c r="C109" s="81"/>
      <c r="F109" s="85"/>
      <c r="G109" s="86"/>
      <c r="H109" s="86"/>
      <c r="I109" s="87"/>
      <c r="J109" s="85"/>
      <c r="K109" s="85"/>
      <c r="M109" s="81"/>
      <c r="O109" s="85"/>
      <c r="P109" s="85"/>
      <c r="Q109" s="81"/>
    </row>
    <row r="110" spans="3:17" x14ac:dyDescent="0.3">
      <c r="C110" s="81"/>
      <c r="F110" s="85"/>
      <c r="G110" s="86"/>
      <c r="H110" s="86"/>
      <c r="I110" s="87"/>
      <c r="J110" s="85"/>
      <c r="K110" s="85"/>
      <c r="M110" s="81"/>
      <c r="O110" s="85"/>
      <c r="P110" s="85"/>
      <c r="Q110" s="81"/>
    </row>
    <row r="111" spans="3:17" x14ac:dyDescent="0.3">
      <c r="C111" s="81"/>
      <c r="F111" s="85"/>
      <c r="G111" s="86"/>
      <c r="H111" s="86"/>
      <c r="I111" s="87"/>
      <c r="J111" s="85"/>
      <c r="K111" s="85"/>
      <c r="M111" s="81"/>
      <c r="O111" s="85"/>
      <c r="P111" s="85"/>
      <c r="Q111" s="81"/>
    </row>
    <row r="112" spans="3:17" x14ac:dyDescent="0.3">
      <c r="C112" s="81"/>
      <c r="F112" s="85"/>
      <c r="G112" s="86"/>
      <c r="H112" s="86"/>
      <c r="I112" s="87"/>
      <c r="J112" s="85"/>
      <c r="K112" s="85"/>
      <c r="M112" s="81"/>
      <c r="O112" s="85"/>
      <c r="P112" s="85"/>
      <c r="Q112" s="81"/>
    </row>
    <row r="113" spans="3:17" x14ac:dyDescent="0.3">
      <c r="C113" s="81"/>
      <c r="F113" s="85"/>
      <c r="G113" s="86"/>
      <c r="H113" s="86"/>
      <c r="I113" s="87"/>
      <c r="J113" s="85"/>
      <c r="K113" s="85"/>
      <c r="M113" s="81"/>
      <c r="O113" s="85"/>
      <c r="P113" s="85"/>
      <c r="Q113" s="81"/>
    </row>
    <row r="114" spans="3:17" x14ac:dyDescent="0.3">
      <c r="C114" s="81"/>
      <c r="F114" s="85"/>
      <c r="G114" s="86"/>
      <c r="H114" s="86"/>
      <c r="I114" s="87"/>
      <c r="J114" s="85"/>
      <c r="K114" s="85"/>
      <c r="M114" s="81"/>
      <c r="O114" s="85"/>
      <c r="P114" s="85"/>
      <c r="Q114" s="81"/>
    </row>
    <row r="115" spans="3:17" x14ac:dyDescent="0.3">
      <c r="C115" s="81"/>
      <c r="F115" s="85"/>
      <c r="G115" s="86"/>
      <c r="H115" s="86"/>
      <c r="I115" s="87"/>
      <c r="J115" s="85"/>
      <c r="K115" s="85"/>
      <c r="M115" s="81"/>
      <c r="O115" s="85"/>
      <c r="P115" s="85"/>
      <c r="Q115" s="81"/>
    </row>
    <row r="116" spans="3:17" x14ac:dyDescent="0.3">
      <c r="C116" s="81"/>
      <c r="F116" s="85"/>
      <c r="G116" s="86"/>
      <c r="H116" s="86"/>
      <c r="I116" s="87"/>
      <c r="J116" s="85"/>
      <c r="K116" s="85"/>
      <c r="M116" s="81"/>
      <c r="O116" s="85"/>
      <c r="P116" s="85"/>
      <c r="Q116" s="81"/>
    </row>
    <row r="117" spans="3:17" x14ac:dyDescent="0.3">
      <c r="C117" s="81"/>
      <c r="F117" s="85"/>
      <c r="G117" s="86"/>
      <c r="H117" s="86"/>
      <c r="I117" s="87"/>
      <c r="J117" s="85"/>
      <c r="K117" s="85"/>
      <c r="M117" s="81"/>
      <c r="O117" s="85"/>
      <c r="P117" s="85"/>
      <c r="Q117" s="81"/>
    </row>
    <row r="118" spans="3:17" x14ac:dyDescent="0.3">
      <c r="C118" s="81"/>
      <c r="F118" s="85"/>
      <c r="G118" s="86"/>
      <c r="H118" s="86"/>
      <c r="I118" s="87"/>
      <c r="J118" s="85"/>
      <c r="K118" s="85"/>
      <c r="M118" s="81"/>
      <c r="O118" s="85"/>
      <c r="P118" s="85"/>
      <c r="Q118" s="81"/>
    </row>
    <row r="119" spans="3:17" x14ac:dyDescent="0.3">
      <c r="C119" s="81"/>
      <c r="F119" s="85"/>
      <c r="G119" s="86"/>
      <c r="H119" s="86"/>
      <c r="I119" s="87"/>
      <c r="J119" s="85"/>
      <c r="K119" s="85"/>
      <c r="M119" s="81"/>
      <c r="O119" s="85"/>
      <c r="P119" s="85"/>
      <c r="Q119" s="81"/>
    </row>
    <row r="120" spans="3:17" x14ac:dyDescent="0.3">
      <c r="C120" s="81"/>
      <c r="F120" s="85"/>
      <c r="G120" s="86"/>
      <c r="H120" s="86"/>
      <c r="I120" s="87"/>
      <c r="J120" s="85"/>
      <c r="K120" s="85"/>
      <c r="M120" s="81"/>
      <c r="O120" s="85"/>
      <c r="P120" s="85"/>
      <c r="Q120" s="81"/>
    </row>
    <row r="121" spans="3:17" x14ac:dyDescent="0.3">
      <c r="C121" s="81"/>
      <c r="F121" s="85"/>
      <c r="G121" s="86"/>
      <c r="H121" s="86"/>
      <c r="I121" s="87"/>
      <c r="J121" s="85"/>
      <c r="K121" s="85"/>
      <c r="M121" s="81"/>
      <c r="O121" s="85"/>
      <c r="P121" s="85"/>
      <c r="Q121" s="81"/>
    </row>
    <row r="122" spans="3:17" x14ac:dyDescent="0.3">
      <c r="C122" s="81"/>
      <c r="F122" s="85"/>
      <c r="G122" s="86"/>
      <c r="H122" s="86"/>
      <c r="I122" s="87"/>
      <c r="J122" s="85"/>
      <c r="K122" s="85"/>
      <c r="M122" s="81"/>
      <c r="O122" s="85"/>
      <c r="P122" s="85"/>
      <c r="Q122" s="81"/>
    </row>
    <row r="123" spans="3:17" x14ac:dyDescent="0.3">
      <c r="C123" s="81"/>
      <c r="F123" s="85"/>
      <c r="G123" s="86"/>
      <c r="H123" s="86"/>
      <c r="I123" s="87"/>
      <c r="J123" s="85"/>
      <c r="K123" s="85"/>
      <c r="M123" s="81"/>
      <c r="O123" s="85"/>
      <c r="P123" s="85"/>
      <c r="Q123" s="81"/>
    </row>
    <row r="124" spans="3:17" x14ac:dyDescent="0.3">
      <c r="C124" s="81"/>
      <c r="F124" s="85"/>
      <c r="G124" s="86"/>
      <c r="H124" s="86"/>
      <c r="I124" s="87"/>
      <c r="J124" s="85"/>
      <c r="K124" s="85"/>
      <c r="M124" s="81"/>
      <c r="O124" s="85"/>
      <c r="P124" s="85"/>
      <c r="Q124" s="81"/>
    </row>
    <row r="125" spans="3:17" x14ac:dyDescent="0.3">
      <c r="C125" s="81"/>
      <c r="F125" s="85"/>
      <c r="G125" s="86"/>
      <c r="H125" s="86"/>
      <c r="I125" s="87"/>
      <c r="J125" s="85"/>
      <c r="K125" s="85"/>
      <c r="M125" s="81"/>
      <c r="O125" s="85"/>
      <c r="P125" s="85"/>
      <c r="Q125" s="81"/>
    </row>
    <row r="126" spans="3:17" x14ac:dyDescent="0.3">
      <c r="C126" s="81"/>
      <c r="F126" s="85"/>
      <c r="G126" s="86"/>
      <c r="H126" s="86"/>
      <c r="I126" s="87"/>
      <c r="J126" s="85"/>
      <c r="K126" s="85"/>
      <c r="M126" s="81"/>
      <c r="O126" s="85"/>
      <c r="P126" s="85"/>
      <c r="Q126" s="81"/>
    </row>
    <row r="127" spans="3:17" x14ac:dyDescent="0.3">
      <c r="C127" s="81"/>
      <c r="F127" s="85"/>
      <c r="G127" s="86"/>
      <c r="H127" s="86"/>
      <c r="I127" s="87"/>
      <c r="J127" s="85"/>
      <c r="K127" s="85"/>
      <c r="M127" s="81"/>
      <c r="O127" s="85"/>
      <c r="P127" s="85"/>
      <c r="Q127" s="81"/>
    </row>
    <row r="128" spans="3:17" x14ac:dyDescent="0.3">
      <c r="C128" s="81"/>
      <c r="F128" s="85"/>
      <c r="G128" s="86"/>
      <c r="H128" s="86"/>
      <c r="I128" s="87"/>
      <c r="J128" s="85"/>
      <c r="K128" s="85"/>
      <c r="M128" s="81"/>
      <c r="O128" s="85"/>
      <c r="P128" s="85"/>
      <c r="Q128" s="81"/>
    </row>
    <row r="129" spans="3:17" x14ac:dyDescent="0.3">
      <c r="C129" s="81"/>
      <c r="F129" s="85"/>
      <c r="G129" s="86"/>
      <c r="H129" s="86"/>
      <c r="I129" s="87"/>
      <c r="J129" s="85"/>
      <c r="K129" s="85"/>
      <c r="M129" s="81"/>
      <c r="O129" s="85"/>
      <c r="P129" s="85"/>
      <c r="Q129" s="81"/>
    </row>
    <row r="130" spans="3:17" x14ac:dyDescent="0.3">
      <c r="C130" s="81"/>
      <c r="F130" s="85"/>
      <c r="G130" s="86"/>
      <c r="H130" s="86"/>
      <c r="I130" s="87"/>
      <c r="J130" s="85"/>
      <c r="K130" s="85"/>
      <c r="M130" s="81"/>
      <c r="O130" s="85"/>
      <c r="P130" s="85"/>
      <c r="Q130" s="81"/>
    </row>
    <row r="131" spans="3:17" x14ac:dyDescent="0.3">
      <c r="C131" s="81"/>
      <c r="F131" s="85"/>
      <c r="G131" s="86"/>
      <c r="H131" s="86"/>
      <c r="I131" s="87"/>
      <c r="J131" s="85"/>
      <c r="K131" s="85"/>
      <c r="M131" s="81"/>
      <c r="O131" s="85"/>
      <c r="P131" s="85"/>
      <c r="Q131" s="81"/>
    </row>
    <row r="132" spans="3:17" x14ac:dyDescent="0.3">
      <c r="C132" s="81"/>
      <c r="F132" s="85"/>
      <c r="G132" s="86"/>
      <c r="H132" s="86"/>
      <c r="I132" s="87"/>
      <c r="J132" s="85"/>
      <c r="K132" s="85"/>
      <c r="M132" s="81"/>
      <c r="O132" s="85"/>
      <c r="P132" s="85"/>
      <c r="Q132" s="81"/>
    </row>
    <row r="133" spans="3:17" x14ac:dyDescent="0.3">
      <c r="C133" s="81"/>
      <c r="F133" s="85"/>
      <c r="G133" s="86"/>
      <c r="H133" s="86"/>
      <c r="I133" s="87"/>
      <c r="J133" s="85"/>
      <c r="K133" s="85"/>
      <c r="M133" s="81"/>
      <c r="O133" s="85"/>
      <c r="P133" s="85"/>
      <c r="Q133" s="81"/>
    </row>
    <row r="134" spans="3:17" x14ac:dyDescent="0.3">
      <c r="C134" s="81"/>
      <c r="F134" s="85"/>
      <c r="G134" s="86"/>
      <c r="H134" s="86"/>
      <c r="I134" s="87"/>
      <c r="J134" s="85"/>
      <c r="K134" s="85"/>
      <c r="M134" s="81"/>
      <c r="O134" s="85"/>
      <c r="P134" s="85"/>
      <c r="Q134" s="81"/>
    </row>
    <row r="135" spans="3:17" x14ac:dyDescent="0.3">
      <c r="C135" s="81"/>
      <c r="F135" s="85"/>
      <c r="G135" s="86"/>
      <c r="H135" s="86"/>
      <c r="I135" s="87"/>
      <c r="J135" s="85"/>
      <c r="K135" s="85"/>
      <c r="M135" s="81"/>
      <c r="O135" s="85"/>
      <c r="P135" s="85"/>
      <c r="Q135" s="81"/>
    </row>
    <row r="136" spans="3:17" x14ac:dyDescent="0.3">
      <c r="C136" s="81"/>
      <c r="F136" s="85"/>
      <c r="G136" s="86"/>
      <c r="H136" s="86"/>
      <c r="I136" s="87"/>
      <c r="J136" s="85"/>
      <c r="K136" s="85"/>
      <c r="M136" s="81"/>
      <c r="O136" s="85"/>
      <c r="P136" s="85"/>
      <c r="Q136" s="81"/>
    </row>
    <row r="137" spans="3:17" x14ac:dyDescent="0.3">
      <c r="C137" s="81"/>
      <c r="F137" s="85"/>
      <c r="G137" s="86"/>
      <c r="H137" s="86"/>
      <c r="I137" s="87"/>
      <c r="J137" s="85"/>
      <c r="K137" s="85"/>
      <c r="M137" s="81"/>
      <c r="O137" s="85"/>
      <c r="P137" s="85"/>
      <c r="Q137" s="81"/>
    </row>
    <row r="138" spans="3:17" x14ac:dyDescent="0.3">
      <c r="C138" s="81"/>
      <c r="F138" s="85"/>
      <c r="G138" s="86"/>
      <c r="H138" s="86"/>
      <c r="I138" s="87"/>
      <c r="J138" s="85"/>
      <c r="K138" s="85"/>
      <c r="M138" s="81"/>
      <c r="O138" s="85"/>
      <c r="P138" s="85"/>
      <c r="Q138" s="81"/>
    </row>
    <row r="139" spans="3:17" x14ac:dyDescent="0.3">
      <c r="C139" s="81"/>
      <c r="F139" s="85"/>
      <c r="G139" s="86"/>
      <c r="H139" s="86"/>
      <c r="I139" s="87"/>
      <c r="J139" s="85"/>
      <c r="K139" s="85"/>
      <c r="M139" s="81"/>
      <c r="O139" s="85"/>
      <c r="P139" s="85"/>
      <c r="Q139" s="81"/>
    </row>
    <row r="140" spans="3:17" x14ac:dyDescent="0.3">
      <c r="C140" s="81"/>
      <c r="F140" s="85"/>
      <c r="G140" s="86"/>
      <c r="H140" s="86"/>
      <c r="I140" s="87"/>
      <c r="J140" s="85"/>
      <c r="K140" s="85"/>
      <c r="M140" s="81"/>
      <c r="O140" s="85"/>
      <c r="P140" s="85"/>
      <c r="Q140" s="81"/>
    </row>
    <row r="141" spans="3:17" x14ac:dyDescent="0.3">
      <c r="C141" s="81"/>
      <c r="F141" s="85"/>
      <c r="G141" s="86"/>
      <c r="H141" s="86"/>
      <c r="I141" s="87"/>
      <c r="J141" s="85"/>
      <c r="K141" s="85"/>
      <c r="M141" s="81"/>
      <c r="O141" s="85"/>
      <c r="P141" s="85"/>
      <c r="Q141" s="81"/>
    </row>
    <row r="142" spans="3:17" x14ac:dyDescent="0.3">
      <c r="C142" s="81"/>
      <c r="F142" s="85"/>
      <c r="G142" s="86"/>
      <c r="H142" s="86"/>
      <c r="I142" s="87"/>
      <c r="J142" s="85"/>
      <c r="K142" s="85"/>
      <c r="M142" s="81"/>
      <c r="O142" s="85"/>
      <c r="P142" s="85"/>
      <c r="Q142" s="81"/>
    </row>
    <row r="143" spans="3:17" x14ac:dyDescent="0.3">
      <c r="C143" s="81"/>
      <c r="F143" s="85"/>
      <c r="G143" s="86"/>
      <c r="H143" s="86"/>
      <c r="I143" s="87"/>
      <c r="J143" s="85"/>
      <c r="K143" s="85"/>
      <c r="M143" s="81"/>
      <c r="O143" s="85"/>
      <c r="P143" s="85"/>
      <c r="Q143" s="81"/>
    </row>
    <row r="144" spans="3:17" x14ac:dyDescent="0.3">
      <c r="C144" s="81"/>
      <c r="F144" s="85"/>
      <c r="G144" s="86"/>
      <c r="H144" s="86"/>
      <c r="I144" s="87"/>
      <c r="J144" s="85"/>
      <c r="K144" s="85"/>
      <c r="M144" s="81"/>
      <c r="O144" s="85"/>
      <c r="P144" s="85"/>
      <c r="Q144" s="81"/>
    </row>
    <row r="145" spans="3:17" x14ac:dyDescent="0.3">
      <c r="C145" s="81"/>
      <c r="F145" s="85"/>
      <c r="G145" s="86"/>
      <c r="H145" s="86"/>
      <c r="I145" s="87"/>
      <c r="J145" s="85"/>
      <c r="K145" s="85"/>
      <c r="M145" s="81"/>
      <c r="O145" s="85"/>
      <c r="P145" s="85"/>
      <c r="Q145" s="81"/>
    </row>
    <row r="146" spans="3:17" x14ac:dyDescent="0.3">
      <c r="C146" s="81"/>
      <c r="F146" s="85"/>
      <c r="G146" s="86"/>
      <c r="H146" s="86"/>
      <c r="I146" s="87"/>
      <c r="J146" s="85"/>
      <c r="K146" s="85"/>
      <c r="M146" s="81"/>
      <c r="O146" s="85"/>
      <c r="P146" s="85"/>
      <c r="Q146" s="81"/>
    </row>
    <row r="147" spans="3:17" x14ac:dyDescent="0.3">
      <c r="C147" s="81"/>
      <c r="F147" s="85"/>
      <c r="G147" s="86"/>
      <c r="H147" s="86"/>
      <c r="I147" s="87"/>
      <c r="J147" s="85"/>
      <c r="K147" s="85"/>
      <c r="M147" s="81"/>
      <c r="O147" s="85"/>
      <c r="P147" s="85"/>
      <c r="Q147" s="81"/>
    </row>
    <row r="148" spans="3:17" x14ac:dyDescent="0.3">
      <c r="C148" s="81"/>
      <c r="F148" s="85"/>
      <c r="G148" s="86"/>
      <c r="H148" s="86"/>
      <c r="I148" s="87"/>
      <c r="J148" s="85"/>
      <c r="K148" s="85"/>
      <c r="M148" s="81"/>
      <c r="O148" s="85"/>
      <c r="P148" s="85"/>
      <c r="Q148" s="81"/>
    </row>
    <row r="149" spans="3:17" x14ac:dyDescent="0.3">
      <c r="C149" s="81"/>
      <c r="F149" s="85"/>
      <c r="G149" s="86"/>
      <c r="H149" s="86"/>
      <c r="I149" s="87"/>
      <c r="J149" s="85"/>
      <c r="K149" s="85"/>
      <c r="M149" s="81"/>
      <c r="O149" s="85"/>
      <c r="P149" s="85"/>
      <c r="Q149" s="81"/>
    </row>
    <row r="150" spans="3:17" x14ac:dyDescent="0.3">
      <c r="C150" s="81"/>
      <c r="F150" s="85"/>
      <c r="G150" s="86"/>
      <c r="H150" s="86"/>
      <c r="I150" s="87"/>
      <c r="J150" s="85"/>
      <c r="K150" s="85"/>
      <c r="M150" s="81"/>
      <c r="O150" s="85"/>
      <c r="P150" s="85"/>
      <c r="Q150" s="81"/>
    </row>
    <row r="151" spans="3:17" x14ac:dyDescent="0.3">
      <c r="C151" s="81"/>
      <c r="F151" s="85"/>
      <c r="G151" s="86"/>
      <c r="H151" s="86"/>
      <c r="I151" s="87"/>
      <c r="J151" s="85"/>
      <c r="K151" s="85"/>
      <c r="M151" s="81"/>
      <c r="O151" s="85"/>
      <c r="P151" s="85"/>
      <c r="Q151" s="81"/>
    </row>
    <row r="152" spans="3:17" x14ac:dyDescent="0.3">
      <c r="C152" s="81"/>
      <c r="F152" s="85"/>
      <c r="G152" s="86"/>
      <c r="H152" s="86"/>
      <c r="I152" s="87"/>
      <c r="J152" s="85"/>
      <c r="K152" s="85"/>
      <c r="M152" s="81"/>
      <c r="O152" s="85"/>
      <c r="P152" s="85"/>
      <c r="Q152" s="81"/>
    </row>
    <row r="153" spans="3:17" x14ac:dyDescent="0.3">
      <c r="C153" s="81"/>
      <c r="F153" s="85"/>
      <c r="G153" s="86"/>
      <c r="H153" s="86"/>
      <c r="I153" s="87"/>
      <c r="J153" s="85"/>
      <c r="K153" s="85"/>
      <c r="M153" s="81"/>
      <c r="O153" s="85"/>
      <c r="P153" s="85"/>
      <c r="Q153" s="81"/>
    </row>
    <row r="154" spans="3:17" x14ac:dyDescent="0.3">
      <c r="C154" s="81"/>
      <c r="F154" s="85"/>
      <c r="G154" s="86"/>
      <c r="H154" s="86"/>
      <c r="I154" s="87"/>
      <c r="J154" s="85"/>
      <c r="K154" s="85"/>
      <c r="M154" s="81"/>
      <c r="O154" s="85"/>
      <c r="P154" s="85"/>
      <c r="Q154" s="81"/>
    </row>
    <row r="155" spans="3:17" x14ac:dyDescent="0.3">
      <c r="C155" s="81"/>
      <c r="F155" s="85"/>
      <c r="G155" s="86"/>
      <c r="H155" s="86"/>
      <c r="I155" s="87"/>
      <c r="J155" s="85"/>
      <c r="K155" s="85"/>
      <c r="M155" s="81"/>
      <c r="O155" s="85"/>
      <c r="P155" s="85"/>
      <c r="Q155" s="81"/>
    </row>
    <row r="156" spans="3:17" x14ac:dyDescent="0.3">
      <c r="C156" s="81"/>
      <c r="F156" s="85"/>
      <c r="G156" s="86"/>
      <c r="H156" s="86"/>
      <c r="I156" s="87"/>
      <c r="J156" s="85"/>
      <c r="K156" s="85"/>
      <c r="M156" s="81"/>
      <c r="O156" s="85"/>
      <c r="P156" s="85"/>
      <c r="Q156" s="81"/>
    </row>
    <row r="157" spans="3:17" x14ac:dyDescent="0.3">
      <c r="C157" s="81"/>
      <c r="F157" s="85"/>
      <c r="G157" s="86"/>
      <c r="H157" s="86"/>
      <c r="I157" s="87"/>
      <c r="J157" s="85"/>
      <c r="K157" s="85"/>
      <c r="M157" s="81"/>
      <c r="O157" s="85"/>
      <c r="P157" s="85"/>
      <c r="Q157" s="81"/>
    </row>
    <row r="158" spans="3:17" x14ac:dyDescent="0.3">
      <c r="C158" s="81"/>
      <c r="F158" s="85"/>
      <c r="G158" s="86"/>
      <c r="H158" s="86"/>
      <c r="I158" s="87"/>
      <c r="J158" s="85"/>
      <c r="K158" s="85"/>
      <c r="M158" s="81"/>
      <c r="O158" s="85"/>
      <c r="P158" s="85"/>
      <c r="Q158" s="81"/>
    </row>
    <row r="159" spans="3:17" x14ac:dyDescent="0.3">
      <c r="C159" s="81"/>
      <c r="F159" s="85"/>
      <c r="G159" s="86"/>
      <c r="H159" s="86"/>
      <c r="I159" s="87"/>
      <c r="J159" s="85"/>
      <c r="K159" s="85"/>
      <c r="M159" s="81"/>
      <c r="O159" s="85"/>
      <c r="P159" s="85"/>
      <c r="Q159" s="81"/>
    </row>
    <row r="160" spans="3:17" x14ac:dyDescent="0.3">
      <c r="C160" s="81"/>
      <c r="F160" s="85"/>
      <c r="G160" s="86"/>
      <c r="H160" s="86"/>
      <c r="I160" s="87"/>
      <c r="J160" s="85"/>
      <c r="K160" s="85"/>
      <c r="M160" s="81"/>
      <c r="O160" s="85"/>
      <c r="P160" s="85"/>
      <c r="Q160" s="81"/>
    </row>
    <row r="161" spans="3:17" x14ac:dyDescent="0.3">
      <c r="C161" s="81"/>
      <c r="F161" s="85"/>
      <c r="G161" s="86"/>
      <c r="H161" s="86"/>
      <c r="I161" s="87"/>
      <c r="J161" s="85"/>
      <c r="K161" s="85"/>
      <c r="M161" s="81"/>
      <c r="O161" s="85"/>
      <c r="P161" s="85"/>
      <c r="Q161" s="81"/>
    </row>
    <row r="162" spans="3:17" x14ac:dyDescent="0.3">
      <c r="C162" s="81"/>
      <c r="F162" s="85"/>
      <c r="G162" s="86"/>
      <c r="H162" s="86"/>
      <c r="I162" s="87"/>
      <c r="J162" s="85"/>
      <c r="K162" s="85"/>
      <c r="M162" s="81"/>
      <c r="O162" s="85"/>
      <c r="P162" s="85"/>
      <c r="Q162" s="81"/>
    </row>
    <row r="163" spans="3:17" x14ac:dyDescent="0.3">
      <c r="C163" s="81"/>
      <c r="F163" s="85"/>
      <c r="G163" s="86"/>
      <c r="H163" s="86"/>
      <c r="I163" s="87"/>
      <c r="J163" s="85"/>
      <c r="K163" s="85"/>
      <c r="M163" s="81"/>
      <c r="O163" s="85"/>
      <c r="P163" s="85"/>
      <c r="Q163" s="81"/>
    </row>
    <row r="164" spans="3:17" x14ac:dyDescent="0.3">
      <c r="C164" s="81"/>
      <c r="F164" s="85"/>
      <c r="G164" s="86"/>
      <c r="H164" s="86"/>
      <c r="I164" s="87"/>
      <c r="J164" s="85"/>
      <c r="K164" s="85"/>
      <c r="M164" s="81"/>
      <c r="O164" s="85"/>
      <c r="P164" s="85"/>
      <c r="Q164" s="81"/>
    </row>
    <row r="165" spans="3:17" x14ac:dyDescent="0.3">
      <c r="C165" s="81"/>
      <c r="F165" s="85"/>
      <c r="G165" s="86"/>
      <c r="H165" s="86"/>
      <c r="I165" s="87"/>
      <c r="J165" s="85"/>
      <c r="K165" s="85"/>
      <c r="M165" s="81"/>
      <c r="O165" s="85"/>
      <c r="P165" s="85"/>
      <c r="Q165" s="81"/>
    </row>
    <row r="166" spans="3:17" x14ac:dyDescent="0.3">
      <c r="C166" s="81"/>
      <c r="F166" s="85"/>
      <c r="G166" s="86"/>
      <c r="H166" s="86"/>
      <c r="I166" s="87"/>
      <c r="J166" s="85"/>
      <c r="K166" s="85"/>
      <c r="M166" s="81"/>
      <c r="O166" s="85"/>
      <c r="P166" s="85"/>
      <c r="Q166" s="81"/>
    </row>
    <row r="167" spans="3:17" x14ac:dyDescent="0.3">
      <c r="C167" s="81"/>
      <c r="F167" s="85"/>
      <c r="G167" s="86"/>
      <c r="H167" s="86"/>
      <c r="I167" s="87"/>
      <c r="J167" s="85"/>
      <c r="K167" s="85"/>
      <c r="M167" s="81"/>
      <c r="O167" s="85"/>
      <c r="P167" s="85"/>
      <c r="Q167" s="81"/>
    </row>
    <row r="168" spans="3:17" x14ac:dyDescent="0.3">
      <c r="C168" s="81"/>
      <c r="F168" s="85"/>
      <c r="G168" s="86"/>
      <c r="H168" s="86"/>
      <c r="I168" s="87"/>
      <c r="J168" s="85"/>
      <c r="K168" s="85"/>
      <c r="M168" s="81"/>
      <c r="O168" s="85"/>
      <c r="P168" s="85"/>
      <c r="Q168" s="81"/>
    </row>
    <row r="169" spans="3:17" x14ac:dyDescent="0.3">
      <c r="C169" s="81"/>
      <c r="F169" s="85"/>
      <c r="G169" s="86"/>
      <c r="H169" s="86"/>
      <c r="I169" s="87"/>
      <c r="J169" s="85"/>
      <c r="K169" s="85"/>
      <c r="M169" s="81"/>
      <c r="O169" s="85"/>
      <c r="P169" s="85"/>
      <c r="Q169" s="81"/>
    </row>
    <row r="170" spans="3:17" x14ac:dyDescent="0.3">
      <c r="C170" s="81"/>
      <c r="F170" s="85"/>
      <c r="G170" s="86"/>
      <c r="H170" s="86"/>
      <c r="I170" s="87"/>
      <c r="J170" s="85"/>
      <c r="K170" s="85"/>
      <c r="M170" s="81"/>
      <c r="O170" s="85"/>
      <c r="P170" s="85"/>
      <c r="Q170" s="81"/>
    </row>
    <row r="171" spans="3:17" x14ac:dyDescent="0.3">
      <c r="C171" s="81"/>
      <c r="F171" s="85"/>
      <c r="G171" s="86"/>
      <c r="H171" s="86"/>
      <c r="I171" s="87"/>
      <c r="J171" s="85"/>
      <c r="K171" s="85"/>
      <c r="M171" s="81"/>
      <c r="O171" s="85"/>
      <c r="P171" s="85"/>
      <c r="Q171" s="81"/>
    </row>
    <row r="172" spans="3:17" x14ac:dyDescent="0.3">
      <c r="C172" s="81"/>
      <c r="F172" s="85"/>
      <c r="G172" s="86"/>
      <c r="H172" s="86"/>
      <c r="I172" s="87"/>
      <c r="J172" s="85"/>
      <c r="K172" s="85"/>
      <c r="M172" s="81"/>
      <c r="O172" s="85"/>
      <c r="P172" s="85"/>
      <c r="Q172" s="81"/>
    </row>
    <row r="173" spans="3:17" x14ac:dyDescent="0.3">
      <c r="C173" s="81"/>
      <c r="F173" s="85"/>
      <c r="G173" s="86"/>
      <c r="H173" s="86"/>
      <c r="I173" s="87"/>
      <c r="J173" s="85"/>
      <c r="K173" s="85"/>
      <c r="M173" s="81"/>
      <c r="O173" s="85"/>
      <c r="P173" s="85"/>
      <c r="Q173" s="81"/>
    </row>
    <row r="174" spans="3:17" x14ac:dyDescent="0.3">
      <c r="C174" s="81"/>
      <c r="F174" s="85"/>
      <c r="G174" s="86"/>
      <c r="H174" s="86"/>
      <c r="I174" s="87"/>
      <c r="J174" s="85"/>
      <c r="K174" s="85"/>
      <c r="M174" s="81"/>
      <c r="O174" s="85"/>
      <c r="P174" s="85"/>
      <c r="Q174" s="81"/>
    </row>
    <row r="175" spans="3:17" x14ac:dyDescent="0.3">
      <c r="C175" s="81"/>
      <c r="F175" s="85"/>
      <c r="G175" s="86"/>
      <c r="H175" s="86"/>
      <c r="I175" s="87"/>
      <c r="J175" s="85"/>
      <c r="K175" s="85"/>
      <c r="M175" s="81"/>
      <c r="O175" s="85"/>
      <c r="P175" s="85"/>
      <c r="Q175" s="81"/>
    </row>
    <row r="176" spans="3:17" x14ac:dyDescent="0.3">
      <c r="C176" s="81"/>
      <c r="F176" s="85"/>
      <c r="G176" s="86"/>
      <c r="H176" s="86"/>
      <c r="I176" s="87"/>
      <c r="J176" s="85"/>
      <c r="K176" s="85"/>
      <c r="M176" s="81"/>
      <c r="O176" s="85"/>
      <c r="P176" s="85"/>
      <c r="Q176" s="81"/>
    </row>
    <row r="177" spans="3:17" x14ac:dyDescent="0.3">
      <c r="C177" s="81"/>
      <c r="F177" s="85"/>
      <c r="G177" s="86"/>
      <c r="H177" s="86"/>
      <c r="I177" s="87"/>
      <c r="J177" s="85"/>
      <c r="K177" s="85"/>
      <c r="M177" s="81"/>
      <c r="O177" s="85"/>
      <c r="P177" s="85"/>
      <c r="Q177" s="81"/>
    </row>
    <row r="178" spans="3:17" x14ac:dyDescent="0.3">
      <c r="C178" s="81"/>
      <c r="F178" s="85"/>
      <c r="G178" s="86"/>
      <c r="H178" s="86"/>
      <c r="I178" s="87"/>
      <c r="J178" s="85"/>
      <c r="K178" s="85"/>
      <c r="M178" s="81"/>
      <c r="O178" s="85"/>
      <c r="P178" s="85"/>
      <c r="Q178" s="81"/>
    </row>
    <row r="179" spans="3:17" x14ac:dyDescent="0.3">
      <c r="C179" s="81"/>
      <c r="F179" s="85"/>
      <c r="G179" s="86"/>
      <c r="H179" s="86"/>
      <c r="I179" s="87"/>
      <c r="J179" s="85"/>
      <c r="K179" s="85"/>
      <c r="M179" s="81"/>
      <c r="O179" s="85"/>
      <c r="P179" s="85"/>
      <c r="Q179" s="81"/>
    </row>
    <row r="180" spans="3:17" x14ac:dyDescent="0.3">
      <c r="C180" s="81"/>
      <c r="F180" s="85"/>
      <c r="G180" s="86"/>
      <c r="H180" s="86"/>
      <c r="I180" s="87"/>
      <c r="J180" s="85"/>
      <c r="K180" s="85"/>
      <c r="M180" s="81"/>
      <c r="O180" s="85"/>
      <c r="P180" s="85"/>
      <c r="Q180" s="81"/>
    </row>
    <row r="181" spans="3:17" x14ac:dyDescent="0.3">
      <c r="C181" s="81"/>
      <c r="F181" s="85"/>
      <c r="G181" s="86"/>
      <c r="H181" s="86"/>
      <c r="I181" s="87"/>
      <c r="J181" s="85"/>
      <c r="K181" s="85"/>
      <c r="M181" s="81"/>
      <c r="O181" s="85"/>
      <c r="P181" s="85"/>
      <c r="Q181" s="81"/>
    </row>
    <row r="182" spans="3:17" x14ac:dyDescent="0.3">
      <c r="C182" s="81"/>
      <c r="F182" s="85"/>
      <c r="G182" s="86"/>
      <c r="H182" s="86"/>
      <c r="I182" s="87"/>
      <c r="J182" s="85"/>
      <c r="K182" s="85"/>
      <c r="M182" s="81"/>
      <c r="O182" s="85"/>
      <c r="P182" s="85"/>
      <c r="Q182" s="81"/>
    </row>
    <row r="183" spans="3:17" x14ac:dyDescent="0.3">
      <c r="C183" s="81"/>
      <c r="F183" s="85"/>
      <c r="G183" s="86"/>
      <c r="H183" s="86"/>
      <c r="I183" s="87"/>
      <c r="J183" s="85"/>
      <c r="K183" s="85"/>
      <c r="M183" s="81"/>
      <c r="O183" s="85"/>
      <c r="P183" s="85"/>
      <c r="Q183" s="81"/>
    </row>
    <row r="184" spans="3:17" x14ac:dyDescent="0.3">
      <c r="C184" s="81"/>
      <c r="F184" s="85"/>
      <c r="G184" s="86"/>
      <c r="H184" s="86"/>
      <c r="I184" s="87"/>
      <c r="J184" s="85"/>
      <c r="K184" s="85"/>
      <c r="M184" s="81"/>
      <c r="O184" s="85"/>
      <c r="P184" s="85"/>
      <c r="Q184" s="81"/>
    </row>
    <row r="185" spans="3:17" x14ac:dyDescent="0.3">
      <c r="C185" s="81"/>
      <c r="F185" s="85"/>
      <c r="G185" s="86"/>
      <c r="H185" s="86"/>
      <c r="I185" s="87"/>
      <c r="J185" s="85"/>
      <c r="K185" s="85"/>
      <c r="M185" s="81"/>
      <c r="O185" s="85"/>
      <c r="P185" s="85"/>
      <c r="Q185" s="81"/>
    </row>
    <row r="186" spans="3:17" x14ac:dyDescent="0.3">
      <c r="C186" s="81"/>
      <c r="F186" s="85"/>
      <c r="G186" s="86"/>
      <c r="H186" s="86"/>
      <c r="I186" s="87"/>
      <c r="J186" s="85"/>
      <c r="K186" s="85"/>
      <c r="M186" s="81"/>
      <c r="O186" s="85"/>
      <c r="P186" s="85"/>
      <c r="Q186" s="81"/>
    </row>
    <row r="187" spans="3:17" x14ac:dyDescent="0.3">
      <c r="C187" s="81"/>
      <c r="F187" s="85"/>
      <c r="G187" s="86"/>
      <c r="H187" s="86"/>
      <c r="I187" s="87"/>
      <c r="J187" s="85"/>
      <c r="K187" s="85"/>
      <c r="M187" s="81"/>
      <c r="O187" s="85"/>
      <c r="P187" s="85"/>
      <c r="Q187" s="81"/>
    </row>
    <row r="188" spans="3:17" x14ac:dyDescent="0.3">
      <c r="C188" s="81"/>
      <c r="F188" s="85"/>
      <c r="G188" s="86"/>
      <c r="H188" s="86"/>
      <c r="I188" s="87"/>
      <c r="J188" s="85"/>
      <c r="K188" s="85"/>
      <c r="M188" s="81"/>
      <c r="O188" s="85"/>
      <c r="P188" s="85"/>
      <c r="Q188" s="81"/>
    </row>
    <row r="189" spans="3:17" x14ac:dyDescent="0.3">
      <c r="C189" s="81"/>
      <c r="F189" s="85"/>
      <c r="G189" s="86"/>
      <c r="H189" s="86"/>
      <c r="I189" s="87"/>
      <c r="J189" s="85"/>
      <c r="K189" s="85"/>
      <c r="M189" s="81"/>
      <c r="O189" s="85"/>
      <c r="P189" s="85"/>
      <c r="Q189" s="81"/>
    </row>
    <row r="190" spans="3:17" x14ac:dyDescent="0.3">
      <c r="C190" s="81"/>
      <c r="F190" s="85"/>
      <c r="G190" s="86"/>
      <c r="H190" s="86"/>
      <c r="I190" s="87"/>
      <c r="J190" s="85"/>
      <c r="K190" s="85"/>
      <c r="M190" s="81"/>
      <c r="O190" s="85"/>
      <c r="P190" s="85"/>
      <c r="Q190" s="81"/>
    </row>
    <row r="191" spans="3:17" x14ac:dyDescent="0.3">
      <c r="C191" s="81"/>
      <c r="F191" s="85"/>
      <c r="G191" s="86"/>
      <c r="H191" s="86"/>
      <c r="I191" s="87"/>
      <c r="J191" s="85"/>
      <c r="K191" s="85"/>
      <c r="M191" s="81"/>
      <c r="O191" s="85"/>
      <c r="P191" s="85"/>
      <c r="Q191" s="81"/>
    </row>
    <row r="192" spans="3:17" x14ac:dyDescent="0.3">
      <c r="C192" s="81"/>
      <c r="F192" s="85"/>
      <c r="G192" s="86"/>
      <c r="H192" s="86"/>
      <c r="I192" s="87"/>
      <c r="J192" s="85"/>
      <c r="K192" s="85"/>
      <c r="M192" s="81"/>
      <c r="O192" s="85"/>
      <c r="P192" s="85"/>
      <c r="Q192" s="81"/>
    </row>
    <row r="193" spans="3:17" x14ac:dyDescent="0.3">
      <c r="C193" s="81"/>
      <c r="F193" s="85"/>
      <c r="G193" s="86"/>
      <c r="H193" s="86"/>
      <c r="I193" s="87"/>
      <c r="J193" s="85"/>
      <c r="K193" s="85"/>
      <c r="M193" s="81"/>
      <c r="O193" s="85"/>
      <c r="P193" s="85"/>
      <c r="Q193" s="81"/>
    </row>
    <row r="194" spans="3:17" x14ac:dyDescent="0.3">
      <c r="C194" s="81"/>
      <c r="F194" s="85"/>
      <c r="G194" s="86"/>
      <c r="H194" s="86"/>
      <c r="I194" s="87"/>
      <c r="J194" s="85"/>
      <c r="K194" s="85"/>
      <c r="M194" s="81"/>
      <c r="O194" s="85"/>
      <c r="P194" s="85"/>
      <c r="Q194" s="81"/>
    </row>
    <row r="195" spans="3:17" x14ac:dyDescent="0.3">
      <c r="C195" s="81"/>
      <c r="F195" s="85"/>
      <c r="G195" s="86"/>
      <c r="H195" s="86"/>
      <c r="I195" s="87"/>
      <c r="J195" s="85"/>
      <c r="K195" s="85"/>
      <c r="M195" s="81"/>
      <c r="O195" s="85"/>
      <c r="P195" s="85"/>
      <c r="Q195" s="81"/>
    </row>
    <row r="196" spans="3:17" x14ac:dyDescent="0.3">
      <c r="C196" s="81"/>
      <c r="F196" s="85"/>
      <c r="G196" s="86"/>
      <c r="H196" s="86"/>
      <c r="I196" s="87"/>
      <c r="J196" s="85"/>
      <c r="K196" s="85"/>
      <c r="M196" s="81"/>
      <c r="O196" s="85"/>
      <c r="P196" s="85"/>
      <c r="Q196" s="81"/>
    </row>
    <row r="197" spans="3:17" x14ac:dyDescent="0.3">
      <c r="C197" s="81"/>
      <c r="F197" s="85"/>
      <c r="G197" s="86"/>
      <c r="H197" s="86"/>
      <c r="I197" s="87"/>
      <c r="J197" s="85"/>
      <c r="K197" s="85"/>
      <c r="M197" s="81"/>
      <c r="O197" s="85"/>
      <c r="P197" s="85"/>
      <c r="Q197" s="81"/>
    </row>
    <row r="198" spans="3:17" x14ac:dyDescent="0.3">
      <c r="C198" s="81"/>
      <c r="F198" s="85"/>
      <c r="G198" s="86"/>
      <c r="H198" s="86"/>
      <c r="I198" s="87"/>
      <c r="J198" s="85"/>
      <c r="K198" s="85"/>
      <c r="M198" s="81"/>
      <c r="O198" s="85"/>
      <c r="P198" s="85"/>
      <c r="Q198" s="81"/>
    </row>
    <row r="199" spans="3:17" x14ac:dyDescent="0.3">
      <c r="C199" s="81"/>
      <c r="F199" s="85"/>
      <c r="G199" s="86"/>
      <c r="H199" s="86"/>
      <c r="I199" s="87"/>
      <c r="J199" s="85"/>
      <c r="K199" s="85"/>
      <c r="M199" s="81"/>
      <c r="O199" s="85"/>
      <c r="P199" s="85"/>
      <c r="Q199" s="81"/>
    </row>
    <row r="200" spans="3:17" x14ac:dyDescent="0.3">
      <c r="C200" s="81"/>
      <c r="F200" s="85"/>
      <c r="G200" s="86"/>
      <c r="H200" s="86"/>
      <c r="I200" s="87"/>
      <c r="J200" s="85"/>
      <c r="K200" s="85"/>
      <c r="M200" s="81"/>
      <c r="O200" s="85"/>
      <c r="P200" s="85"/>
      <c r="Q200" s="81"/>
    </row>
    <row r="201" spans="3:17" x14ac:dyDescent="0.3">
      <c r="C201" s="81"/>
      <c r="F201" s="85"/>
      <c r="G201" s="86"/>
      <c r="H201" s="86"/>
      <c r="I201" s="87"/>
      <c r="J201" s="85"/>
      <c r="K201" s="85"/>
      <c r="M201" s="81"/>
      <c r="O201" s="85"/>
      <c r="P201" s="85"/>
      <c r="Q201" s="81"/>
    </row>
    <row r="202" spans="3:17" x14ac:dyDescent="0.3">
      <c r="C202" s="81"/>
      <c r="F202" s="85"/>
      <c r="G202" s="86"/>
      <c r="H202" s="86"/>
      <c r="I202" s="87"/>
      <c r="J202" s="85"/>
      <c r="K202" s="85"/>
      <c r="M202" s="81"/>
      <c r="O202" s="85"/>
      <c r="P202" s="85"/>
      <c r="Q202" s="81"/>
    </row>
    <row r="203" spans="3:17" x14ac:dyDescent="0.3">
      <c r="C203" s="81"/>
      <c r="F203" s="85"/>
      <c r="G203" s="86"/>
      <c r="H203" s="86"/>
      <c r="I203" s="87"/>
      <c r="J203" s="85"/>
      <c r="K203" s="85"/>
      <c r="M203" s="81"/>
      <c r="O203" s="85"/>
      <c r="P203" s="85"/>
      <c r="Q203" s="81"/>
    </row>
    <row r="204" spans="3:17" x14ac:dyDescent="0.3">
      <c r="C204" s="81"/>
      <c r="F204" s="85"/>
      <c r="G204" s="86"/>
      <c r="H204" s="86"/>
      <c r="I204" s="87"/>
      <c r="J204" s="85"/>
      <c r="K204" s="85"/>
      <c r="M204" s="81"/>
      <c r="O204" s="85"/>
      <c r="P204" s="85"/>
      <c r="Q204" s="81"/>
    </row>
    <row r="205" spans="3:17" x14ac:dyDescent="0.3">
      <c r="C205" s="81"/>
      <c r="F205" s="85"/>
      <c r="G205" s="86"/>
      <c r="H205" s="86"/>
      <c r="I205" s="87"/>
      <c r="J205" s="85"/>
      <c r="K205" s="85"/>
      <c r="M205" s="81"/>
      <c r="O205" s="85"/>
      <c r="P205" s="85"/>
      <c r="Q205" s="81"/>
    </row>
    <row r="206" spans="3:17" x14ac:dyDescent="0.3">
      <c r="C206" s="81"/>
      <c r="F206" s="85"/>
      <c r="G206" s="86"/>
      <c r="H206" s="86"/>
      <c r="I206" s="87"/>
      <c r="J206" s="85"/>
      <c r="K206" s="85"/>
      <c r="M206" s="81"/>
      <c r="O206" s="85"/>
      <c r="P206" s="85"/>
      <c r="Q206" s="81"/>
    </row>
    <row r="207" spans="3:17" x14ac:dyDescent="0.3">
      <c r="C207" s="81"/>
      <c r="F207" s="85"/>
      <c r="G207" s="86"/>
      <c r="H207" s="86"/>
      <c r="I207" s="87"/>
      <c r="J207" s="85"/>
      <c r="K207" s="85"/>
      <c r="M207" s="81"/>
      <c r="O207" s="85"/>
      <c r="P207" s="85"/>
      <c r="Q207" s="81"/>
    </row>
    <row r="208" spans="3:17" x14ac:dyDescent="0.3">
      <c r="C208" s="81"/>
      <c r="F208" s="85"/>
      <c r="G208" s="86"/>
      <c r="H208" s="86"/>
      <c r="I208" s="87"/>
      <c r="J208" s="85"/>
      <c r="K208" s="85"/>
      <c r="M208" s="81"/>
      <c r="O208" s="85"/>
      <c r="P208" s="85"/>
      <c r="Q208" s="81"/>
    </row>
    <row r="209" spans="3:17" x14ac:dyDescent="0.3">
      <c r="C209" s="81"/>
      <c r="F209" s="85"/>
      <c r="G209" s="86"/>
      <c r="H209" s="86"/>
      <c r="I209" s="87"/>
      <c r="J209" s="85"/>
      <c r="K209" s="85"/>
      <c r="M209" s="81"/>
      <c r="O209" s="85"/>
      <c r="P209" s="85"/>
      <c r="Q209" s="81"/>
    </row>
    <row r="210" spans="3:17" x14ac:dyDescent="0.3">
      <c r="C210" s="81"/>
      <c r="F210" s="85"/>
      <c r="G210" s="86"/>
      <c r="H210" s="86"/>
      <c r="I210" s="87"/>
      <c r="J210" s="85"/>
      <c r="K210" s="85"/>
      <c r="M210" s="81"/>
      <c r="O210" s="85"/>
      <c r="P210" s="85"/>
      <c r="Q210" s="81"/>
    </row>
    <row r="211" spans="3:17" x14ac:dyDescent="0.3">
      <c r="C211" s="81"/>
      <c r="F211" s="85"/>
      <c r="G211" s="86"/>
      <c r="H211" s="86"/>
      <c r="I211" s="87"/>
      <c r="J211" s="85"/>
      <c r="K211" s="85"/>
      <c r="M211" s="81"/>
      <c r="O211" s="85"/>
      <c r="P211" s="85"/>
      <c r="Q211" s="81"/>
    </row>
    <row r="212" spans="3:17" x14ac:dyDescent="0.3">
      <c r="C212" s="81"/>
      <c r="F212" s="85"/>
      <c r="G212" s="86"/>
      <c r="H212" s="86"/>
      <c r="I212" s="87"/>
      <c r="J212" s="85"/>
      <c r="K212" s="85"/>
      <c r="M212" s="81"/>
      <c r="O212" s="85"/>
      <c r="P212" s="85"/>
      <c r="Q212" s="81"/>
    </row>
    <row r="213" spans="3:17" x14ac:dyDescent="0.3">
      <c r="C213" s="81"/>
      <c r="F213" s="85"/>
      <c r="G213" s="86"/>
      <c r="H213" s="86"/>
      <c r="I213" s="87"/>
      <c r="J213" s="85"/>
      <c r="K213" s="85"/>
      <c r="M213" s="81"/>
      <c r="O213" s="85"/>
      <c r="P213" s="85"/>
      <c r="Q213" s="81"/>
    </row>
    <row r="214" spans="3:17" x14ac:dyDescent="0.3">
      <c r="C214" s="81"/>
      <c r="F214" s="85"/>
      <c r="G214" s="86"/>
      <c r="H214" s="86"/>
      <c r="I214" s="87"/>
      <c r="J214" s="85"/>
      <c r="K214" s="85"/>
      <c r="M214" s="81"/>
      <c r="O214" s="85"/>
      <c r="P214" s="85"/>
      <c r="Q214" s="81"/>
    </row>
    <row r="215" spans="3:17" x14ac:dyDescent="0.3">
      <c r="C215" s="81"/>
      <c r="F215" s="85"/>
      <c r="G215" s="86"/>
      <c r="H215" s="86"/>
      <c r="I215" s="87"/>
      <c r="J215" s="85"/>
      <c r="K215" s="85"/>
      <c r="M215" s="81"/>
      <c r="O215" s="85"/>
      <c r="P215" s="85"/>
      <c r="Q215" s="81"/>
    </row>
    <row r="216" spans="3:17" x14ac:dyDescent="0.3">
      <c r="C216" s="81"/>
      <c r="F216" s="85"/>
      <c r="G216" s="86"/>
      <c r="H216" s="86"/>
      <c r="I216" s="87"/>
      <c r="J216" s="85"/>
      <c r="K216" s="85"/>
      <c r="M216" s="81"/>
      <c r="O216" s="85"/>
      <c r="P216" s="85"/>
      <c r="Q216" s="81"/>
    </row>
    <row r="217" spans="3:17" x14ac:dyDescent="0.3">
      <c r="C217" s="81"/>
      <c r="F217" s="85"/>
      <c r="G217" s="86"/>
      <c r="H217" s="86"/>
      <c r="I217" s="87"/>
      <c r="J217" s="85"/>
      <c r="K217" s="85"/>
      <c r="M217" s="81"/>
      <c r="O217" s="85"/>
      <c r="P217" s="85"/>
      <c r="Q217" s="81"/>
    </row>
    <row r="218" spans="3:17" x14ac:dyDescent="0.3">
      <c r="C218" s="81"/>
      <c r="F218" s="85"/>
      <c r="G218" s="86"/>
      <c r="H218" s="86"/>
      <c r="I218" s="87"/>
      <c r="J218" s="85"/>
      <c r="K218" s="85"/>
      <c r="M218" s="81"/>
      <c r="O218" s="85"/>
      <c r="P218" s="85"/>
      <c r="Q218" s="81"/>
    </row>
    <row r="219" spans="3:17" x14ac:dyDescent="0.3">
      <c r="C219" s="81"/>
      <c r="F219" s="85"/>
      <c r="G219" s="86"/>
      <c r="H219" s="86"/>
      <c r="I219" s="87"/>
      <c r="J219" s="85"/>
      <c r="K219" s="85"/>
      <c r="M219" s="81"/>
      <c r="O219" s="85"/>
      <c r="P219" s="85"/>
      <c r="Q219" s="81"/>
    </row>
    <row r="220" spans="3:17" x14ac:dyDescent="0.3">
      <c r="C220" s="81"/>
      <c r="F220" s="85"/>
      <c r="G220" s="86"/>
      <c r="H220" s="86"/>
      <c r="I220" s="87"/>
      <c r="J220" s="85"/>
      <c r="K220" s="85"/>
      <c r="M220" s="81"/>
      <c r="O220" s="85"/>
      <c r="P220" s="85"/>
      <c r="Q220" s="81"/>
    </row>
    <row r="221" spans="3:17" x14ac:dyDescent="0.3">
      <c r="C221" s="81"/>
      <c r="F221" s="85"/>
      <c r="G221" s="86"/>
      <c r="H221" s="86"/>
      <c r="I221" s="87"/>
      <c r="J221" s="85"/>
      <c r="K221" s="85"/>
      <c r="M221" s="81"/>
      <c r="O221" s="85"/>
      <c r="P221" s="85"/>
      <c r="Q221" s="81"/>
    </row>
    <row r="222" spans="3:17" x14ac:dyDescent="0.3">
      <c r="C222" s="81"/>
      <c r="F222" s="85"/>
      <c r="G222" s="86"/>
      <c r="H222" s="86"/>
      <c r="I222" s="87"/>
      <c r="J222" s="85"/>
      <c r="K222" s="85"/>
      <c r="M222" s="81"/>
      <c r="O222" s="85"/>
      <c r="P222" s="85"/>
      <c r="Q222" s="81"/>
    </row>
    <row r="223" spans="3:17" x14ac:dyDescent="0.3">
      <c r="C223" s="81"/>
      <c r="F223" s="85"/>
      <c r="G223" s="86"/>
      <c r="H223" s="86"/>
      <c r="I223" s="87"/>
      <c r="J223" s="85"/>
      <c r="K223" s="85"/>
      <c r="M223" s="81"/>
      <c r="O223" s="85"/>
      <c r="P223" s="85"/>
      <c r="Q223" s="81"/>
    </row>
    <row r="224" spans="3:17" x14ac:dyDescent="0.3">
      <c r="C224" s="81"/>
      <c r="F224" s="85"/>
      <c r="G224" s="86"/>
      <c r="H224" s="86"/>
      <c r="I224" s="87"/>
      <c r="J224" s="85"/>
      <c r="K224" s="85"/>
      <c r="M224" s="81"/>
      <c r="O224" s="85"/>
      <c r="P224" s="85"/>
      <c r="Q224" s="81"/>
    </row>
    <row r="225" spans="3:17" x14ac:dyDescent="0.3">
      <c r="C225" s="81"/>
      <c r="F225" s="85"/>
      <c r="G225" s="86"/>
      <c r="H225" s="86"/>
      <c r="I225" s="87"/>
      <c r="J225" s="85"/>
      <c r="K225" s="85"/>
      <c r="M225" s="81"/>
      <c r="O225" s="85"/>
      <c r="P225" s="85"/>
      <c r="Q225" s="81"/>
    </row>
    <row r="226" spans="3:17" x14ac:dyDescent="0.3">
      <c r="C226" s="81"/>
      <c r="F226" s="85"/>
      <c r="G226" s="86"/>
      <c r="H226" s="86"/>
      <c r="I226" s="87"/>
      <c r="J226" s="85"/>
      <c r="K226" s="85"/>
      <c r="M226" s="81"/>
      <c r="O226" s="85"/>
      <c r="P226" s="85"/>
      <c r="Q226" s="81"/>
    </row>
    <row r="227" spans="3:17" x14ac:dyDescent="0.3">
      <c r="C227" s="81"/>
      <c r="F227" s="85"/>
      <c r="G227" s="86"/>
      <c r="H227" s="86"/>
      <c r="I227" s="87"/>
      <c r="J227" s="85"/>
      <c r="K227" s="85"/>
      <c r="M227" s="81"/>
      <c r="O227" s="85"/>
      <c r="P227" s="85"/>
      <c r="Q227" s="81"/>
    </row>
    <row r="228" spans="3:17" x14ac:dyDescent="0.3">
      <c r="C228" s="81"/>
      <c r="F228" s="85"/>
      <c r="G228" s="86"/>
      <c r="H228" s="86"/>
      <c r="I228" s="87"/>
      <c r="J228" s="85"/>
      <c r="K228" s="85"/>
      <c r="M228" s="81"/>
      <c r="O228" s="85"/>
      <c r="P228" s="85"/>
      <c r="Q228" s="81"/>
    </row>
    <row r="229" spans="3:17" x14ac:dyDescent="0.3">
      <c r="C229" s="81"/>
      <c r="F229" s="85"/>
      <c r="G229" s="86"/>
      <c r="H229" s="86"/>
      <c r="I229" s="87"/>
      <c r="J229" s="85"/>
      <c r="K229" s="85"/>
      <c r="M229" s="81"/>
      <c r="O229" s="85"/>
      <c r="P229" s="85"/>
      <c r="Q229" s="81"/>
    </row>
    <row r="230" spans="3:17" x14ac:dyDescent="0.3">
      <c r="C230" s="81"/>
      <c r="F230" s="85"/>
      <c r="G230" s="86"/>
      <c r="H230" s="86"/>
      <c r="I230" s="87"/>
      <c r="J230" s="85"/>
      <c r="K230" s="85"/>
      <c r="M230" s="81"/>
      <c r="O230" s="85"/>
      <c r="P230" s="85"/>
      <c r="Q230" s="81"/>
    </row>
    <row r="231" spans="3:17" x14ac:dyDescent="0.3">
      <c r="C231" s="81"/>
      <c r="F231" s="85"/>
      <c r="G231" s="86"/>
      <c r="H231" s="86"/>
      <c r="I231" s="87"/>
      <c r="J231" s="85"/>
      <c r="K231" s="85"/>
      <c r="M231" s="81"/>
      <c r="O231" s="85"/>
      <c r="P231" s="85"/>
      <c r="Q231" s="81"/>
    </row>
    <row r="232" spans="3:17" x14ac:dyDescent="0.3">
      <c r="C232" s="81"/>
      <c r="F232" s="85"/>
      <c r="G232" s="86"/>
      <c r="H232" s="86"/>
      <c r="I232" s="87"/>
      <c r="J232" s="85"/>
      <c r="K232" s="85"/>
      <c r="M232" s="81"/>
      <c r="O232" s="85"/>
      <c r="P232" s="85"/>
      <c r="Q232" s="81"/>
    </row>
    <row r="233" spans="3:17" x14ac:dyDescent="0.3">
      <c r="C233" s="81"/>
      <c r="F233" s="85"/>
      <c r="G233" s="86"/>
      <c r="H233" s="86"/>
      <c r="I233" s="87"/>
      <c r="J233" s="85"/>
      <c r="K233" s="85"/>
      <c r="M233" s="81"/>
      <c r="O233" s="85"/>
      <c r="P233" s="85"/>
      <c r="Q233" s="81"/>
    </row>
    <row r="234" spans="3:17" x14ac:dyDescent="0.3">
      <c r="C234" s="81"/>
      <c r="F234" s="85"/>
      <c r="G234" s="86"/>
      <c r="H234" s="86"/>
      <c r="I234" s="87"/>
      <c r="J234" s="85"/>
      <c r="K234" s="85"/>
      <c r="M234" s="81"/>
      <c r="O234" s="85"/>
      <c r="P234" s="85"/>
      <c r="Q234" s="81"/>
    </row>
    <row r="235" spans="3:17" x14ac:dyDescent="0.3">
      <c r="C235" s="81"/>
      <c r="F235" s="85"/>
      <c r="G235" s="86"/>
      <c r="H235" s="86"/>
      <c r="I235" s="87"/>
      <c r="J235" s="85"/>
      <c r="K235" s="85"/>
      <c r="M235" s="81"/>
      <c r="O235" s="85"/>
      <c r="P235" s="85"/>
      <c r="Q235" s="81"/>
    </row>
    <row r="236" spans="3:17" x14ac:dyDescent="0.3">
      <c r="C236" s="81"/>
      <c r="F236" s="85"/>
      <c r="G236" s="86"/>
      <c r="H236" s="86"/>
      <c r="I236" s="87"/>
      <c r="J236" s="85"/>
      <c r="K236" s="85"/>
      <c r="M236" s="81"/>
      <c r="O236" s="85"/>
      <c r="P236" s="85"/>
      <c r="Q236" s="81"/>
    </row>
    <row r="237" spans="3:17" x14ac:dyDescent="0.3">
      <c r="C237" s="81"/>
      <c r="F237" s="85"/>
      <c r="G237" s="86"/>
      <c r="H237" s="86"/>
      <c r="I237" s="87"/>
      <c r="J237" s="85"/>
      <c r="K237" s="85"/>
      <c r="M237" s="81"/>
      <c r="O237" s="85"/>
      <c r="P237" s="85"/>
      <c r="Q237" s="81"/>
    </row>
    <row r="238" spans="3:17" x14ac:dyDescent="0.3">
      <c r="C238" s="81"/>
      <c r="F238" s="85"/>
      <c r="G238" s="86"/>
      <c r="H238" s="86"/>
      <c r="I238" s="87"/>
      <c r="J238" s="85"/>
      <c r="K238" s="85"/>
      <c r="M238" s="81"/>
      <c r="O238" s="85"/>
      <c r="P238" s="85"/>
      <c r="Q238" s="81"/>
    </row>
    <row r="239" spans="3:17" x14ac:dyDescent="0.3">
      <c r="C239" s="81"/>
      <c r="F239" s="85"/>
      <c r="G239" s="86"/>
      <c r="H239" s="86"/>
      <c r="I239" s="87"/>
      <c r="J239" s="85"/>
      <c r="K239" s="85"/>
      <c r="M239" s="81"/>
      <c r="O239" s="85"/>
      <c r="P239" s="85"/>
      <c r="Q239" s="81"/>
    </row>
    <row r="240" spans="3:17" x14ac:dyDescent="0.3">
      <c r="C240" s="81"/>
      <c r="F240" s="85"/>
      <c r="G240" s="86"/>
      <c r="H240" s="86"/>
      <c r="I240" s="87"/>
      <c r="J240" s="85"/>
      <c r="K240" s="85"/>
      <c r="M240" s="81"/>
      <c r="O240" s="85"/>
      <c r="P240" s="85"/>
      <c r="Q240" s="81"/>
    </row>
    <row r="241" spans="3:17" x14ac:dyDescent="0.3">
      <c r="C241" s="81"/>
      <c r="F241" s="85"/>
      <c r="G241" s="86"/>
      <c r="H241" s="86"/>
      <c r="I241" s="87"/>
      <c r="J241" s="85"/>
      <c r="K241" s="85"/>
      <c r="M241" s="81"/>
      <c r="O241" s="85"/>
      <c r="P241" s="85"/>
      <c r="Q241" s="81"/>
    </row>
    <row r="242" spans="3:17" x14ac:dyDescent="0.3">
      <c r="C242" s="81"/>
      <c r="F242" s="85"/>
      <c r="G242" s="86"/>
      <c r="H242" s="86"/>
      <c r="I242" s="87"/>
      <c r="J242" s="85"/>
      <c r="K242" s="85"/>
      <c r="M242" s="81"/>
      <c r="O242" s="85"/>
      <c r="P242" s="85"/>
      <c r="Q242" s="81"/>
    </row>
    <row r="243" spans="3:17" x14ac:dyDescent="0.3">
      <c r="C243" s="81"/>
      <c r="F243" s="85"/>
      <c r="G243" s="86"/>
      <c r="H243" s="86"/>
      <c r="I243" s="87"/>
      <c r="J243" s="85"/>
      <c r="K243" s="85"/>
      <c r="M243" s="81"/>
      <c r="O243" s="85"/>
      <c r="P243" s="85"/>
      <c r="Q243" s="81"/>
    </row>
    <row r="244" spans="3:17" x14ac:dyDescent="0.3">
      <c r="C244" s="81"/>
      <c r="F244" s="85"/>
      <c r="G244" s="86"/>
      <c r="H244" s="86"/>
      <c r="I244" s="87"/>
      <c r="J244" s="85"/>
      <c r="K244" s="85"/>
      <c r="M244" s="81"/>
      <c r="O244" s="85"/>
      <c r="P244" s="85"/>
      <c r="Q244" s="81"/>
    </row>
    <row r="245" spans="3:17" x14ac:dyDescent="0.3">
      <c r="C245" s="81"/>
      <c r="F245" s="85"/>
      <c r="G245" s="86"/>
      <c r="H245" s="86"/>
      <c r="I245" s="87"/>
      <c r="J245" s="85"/>
      <c r="K245" s="85"/>
      <c r="M245" s="81"/>
      <c r="O245" s="85"/>
      <c r="P245" s="85"/>
      <c r="Q245" s="81"/>
    </row>
    <row r="246" spans="3:17" x14ac:dyDescent="0.3">
      <c r="C246" s="81"/>
      <c r="F246" s="85"/>
      <c r="G246" s="86"/>
      <c r="H246" s="86"/>
      <c r="I246" s="87"/>
      <c r="J246" s="85"/>
      <c r="K246" s="85"/>
      <c r="M246" s="81"/>
      <c r="O246" s="85"/>
      <c r="P246" s="85"/>
      <c r="Q246" s="81"/>
    </row>
    <row r="247" spans="3:17" x14ac:dyDescent="0.3">
      <c r="C247" s="81"/>
      <c r="F247" s="85"/>
      <c r="G247" s="86"/>
      <c r="H247" s="86"/>
      <c r="I247" s="87"/>
      <c r="J247" s="85"/>
      <c r="K247" s="85"/>
      <c r="M247" s="81"/>
      <c r="O247" s="85"/>
      <c r="P247" s="85"/>
      <c r="Q247" s="81"/>
    </row>
    <row r="248" spans="3:17" x14ac:dyDescent="0.3">
      <c r="C248" s="81"/>
      <c r="F248" s="85"/>
      <c r="G248" s="86"/>
      <c r="H248" s="86"/>
      <c r="I248" s="87"/>
      <c r="J248" s="85"/>
      <c r="K248" s="85"/>
      <c r="M248" s="81"/>
      <c r="O248" s="85"/>
      <c r="P248" s="85"/>
      <c r="Q248" s="81"/>
    </row>
    <row r="249" spans="3:17" x14ac:dyDescent="0.3">
      <c r="C249" s="81"/>
      <c r="F249" s="85"/>
      <c r="G249" s="86"/>
      <c r="H249" s="86"/>
      <c r="I249" s="87"/>
      <c r="J249" s="85"/>
      <c r="K249" s="85"/>
      <c r="M249" s="81"/>
      <c r="O249" s="85"/>
      <c r="P249" s="85"/>
      <c r="Q249" s="81"/>
    </row>
    <row r="250" spans="3:17" x14ac:dyDescent="0.3">
      <c r="C250" s="81"/>
      <c r="F250" s="85"/>
      <c r="G250" s="86"/>
      <c r="H250" s="86"/>
      <c r="I250" s="87"/>
      <c r="J250" s="85"/>
      <c r="K250" s="85"/>
      <c r="M250" s="81"/>
      <c r="O250" s="85"/>
      <c r="P250" s="85"/>
      <c r="Q250" s="81"/>
    </row>
    <row r="251" spans="3:17" x14ac:dyDescent="0.3">
      <c r="C251" s="81"/>
      <c r="F251" s="85"/>
      <c r="G251" s="86"/>
      <c r="H251" s="86"/>
      <c r="I251" s="87"/>
      <c r="J251" s="85"/>
      <c r="K251" s="85"/>
      <c r="M251" s="81"/>
      <c r="O251" s="85"/>
      <c r="P251" s="85"/>
      <c r="Q251" s="81"/>
    </row>
    <row r="252" spans="3:17" x14ac:dyDescent="0.3">
      <c r="C252" s="81"/>
      <c r="F252" s="85"/>
      <c r="G252" s="86"/>
      <c r="H252" s="86"/>
      <c r="I252" s="87"/>
      <c r="J252" s="85"/>
      <c r="K252" s="85"/>
      <c r="M252" s="81"/>
      <c r="O252" s="85"/>
      <c r="P252" s="85"/>
      <c r="Q252" s="81"/>
    </row>
    <row r="253" spans="3:17" x14ac:dyDescent="0.3">
      <c r="C253" s="81"/>
      <c r="F253" s="85"/>
      <c r="G253" s="86"/>
      <c r="H253" s="86"/>
      <c r="I253" s="87"/>
      <c r="J253" s="85"/>
      <c r="K253" s="85"/>
      <c r="M253" s="81"/>
      <c r="O253" s="85"/>
      <c r="P253" s="85"/>
      <c r="Q253" s="81"/>
    </row>
    <row r="254" spans="3:17" x14ac:dyDescent="0.3">
      <c r="C254" s="81"/>
      <c r="F254" s="85"/>
      <c r="G254" s="86"/>
      <c r="H254" s="86"/>
      <c r="I254" s="87"/>
      <c r="J254" s="85"/>
      <c r="K254" s="85"/>
      <c r="M254" s="81"/>
      <c r="O254" s="85"/>
      <c r="P254" s="85"/>
      <c r="Q254" s="81"/>
    </row>
    <row r="255" spans="3:17" x14ac:dyDescent="0.3">
      <c r="C255" s="81"/>
      <c r="F255" s="85"/>
      <c r="G255" s="86"/>
      <c r="H255" s="86"/>
      <c r="I255" s="87"/>
      <c r="J255" s="85"/>
      <c r="K255" s="85"/>
      <c r="M255" s="81"/>
      <c r="O255" s="85"/>
      <c r="P255" s="85"/>
      <c r="Q255" s="81"/>
    </row>
    <row r="256" spans="3:17" x14ac:dyDescent="0.3">
      <c r="C256" s="81"/>
      <c r="F256" s="85"/>
      <c r="G256" s="86"/>
      <c r="H256" s="86"/>
      <c r="I256" s="87"/>
      <c r="J256" s="85"/>
      <c r="K256" s="85"/>
      <c r="M256" s="81"/>
      <c r="O256" s="85"/>
      <c r="P256" s="85"/>
      <c r="Q256" s="81"/>
    </row>
    <row r="257" spans="3:17" x14ac:dyDescent="0.3">
      <c r="C257" s="81"/>
      <c r="F257" s="85"/>
      <c r="G257" s="86"/>
      <c r="H257" s="86"/>
      <c r="I257" s="87"/>
      <c r="J257" s="85"/>
      <c r="K257" s="85"/>
      <c r="M257" s="81"/>
      <c r="O257" s="85"/>
      <c r="P257" s="85"/>
      <c r="Q257" s="81"/>
    </row>
    <row r="258" spans="3:17" x14ac:dyDescent="0.3">
      <c r="C258" s="81"/>
      <c r="F258" s="85"/>
      <c r="G258" s="86"/>
      <c r="H258" s="86"/>
      <c r="I258" s="87"/>
      <c r="J258" s="85"/>
      <c r="K258" s="85"/>
      <c r="M258" s="81"/>
      <c r="O258" s="85"/>
      <c r="P258" s="85"/>
      <c r="Q258" s="81"/>
    </row>
    <row r="259" spans="3:17" x14ac:dyDescent="0.3">
      <c r="C259" s="81"/>
      <c r="F259" s="85"/>
      <c r="G259" s="86"/>
      <c r="H259" s="86"/>
      <c r="I259" s="87"/>
      <c r="J259" s="85"/>
      <c r="K259" s="85"/>
      <c r="M259" s="81"/>
      <c r="O259" s="85"/>
      <c r="P259" s="85"/>
      <c r="Q259" s="81"/>
    </row>
    <row r="260" spans="3:17" x14ac:dyDescent="0.3">
      <c r="C260" s="81"/>
      <c r="F260" s="85"/>
      <c r="G260" s="86"/>
      <c r="H260" s="86"/>
      <c r="I260" s="87"/>
      <c r="J260" s="85"/>
      <c r="K260" s="85"/>
      <c r="M260" s="81"/>
      <c r="O260" s="85"/>
      <c r="P260" s="85"/>
      <c r="Q260" s="81"/>
    </row>
    <row r="261" spans="3:17" x14ac:dyDescent="0.3">
      <c r="C261" s="81"/>
      <c r="F261" s="85"/>
      <c r="G261" s="86"/>
      <c r="H261" s="86"/>
      <c r="I261" s="87"/>
      <c r="J261" s="85"/>
      <c r="K261" s="85"/>
      <c r="M261" s="81"/>
      <c r="O261" s="85"/>
      <c r="P261" s="85"/>
      <c r="Q261" s="81"/>
    </row>
    <row r="262" spans="3:17" x14ac:dyDescent="0.3">
      <c r="C262" s="81"/>
      <c r="F262" s="85"/>
      <c r="G262" s="86"/>
      <c r="H262" s="86"/>
      <c r="I262" s="87"/>
      <c r="J262" s="85"/>
      <c r="K262" s="85"/>
      <c r="M262" s="81"/>
      <c r="O262" s="85"/>
      <c r="P262" s="85"/>
      <c r="Q262" s="81"/>
    </row>
    <row r="263" spans="3:17" x14ac:dyDescent="0.3">
      <c r="C263" s="81"/>
      <c r="F263" s="85"/>
      <c r="G263" s="86"/>
      <c r="H263" s="86"/>
      <c r="I263" s="87"/>
      <c r="J263" s="85"/>
      <c r="K263" s="85"/>
      <c r="M263" s="81"/>
      <c r="O263" s="85"/>
      <c r="P263" s="85"/>
      <c r="Q263" s="81"/>
    </row>
    <row r="264" spans="3:17" x14ac:dyDescent="0.3">
      <c r="C264" s="81"/>
      <c r="F264" s="85"/>
      <c r="G264" s="86"/>
      <c r="H264" s="86"/>
      <c r="I264" s="87"/>
      <c r="J264" s="85"/>
      <c r="K264" s="85"/>
      <c r="M264" s="81"/>
      <c r="O264" s="85"/>
      <c r="P264" s="85"/>
      <c r="Q264" s="81"/>
    </row>
    <row r="265" spans="3:17" x14ac:dyDescent="0.3">
      <c r="C265" s="81"/>
      <c r="F265" s="85"/>
      <c r="G265" s="86"/>
      <c r="H265" s="86"/>
      <c r="I265" s="87"/>
      <c r="J265" s="85"/>
      <c r="K265" s="85"/>
      <c r="M265" s="81"/>
      <c r="O265" s="85"/>
      <c r="P265" s="85"/>
      <c r="Q265" s="81"/>
    </row>
    <row r="266" spans="3:17" x14ac:dyDescent="0.3">
      <c r="C266" s="81"/>
      <c r="F266" s="85"/>
      <c r="G266" s="86"/>
      <c r="H266" s="86"/>
      <c r="I266" s="87"/>
      <c r="J266" s="85"/>
      <c r="K266" s="85"/>
      <c r="M266" s="81"/>
      <c r="O266" s="85"/>
      <c r="P266" s="85"/>
      <c r="Q266" s="81"/>
    </row>
    <row r="267" spans="3:17" x14ac:dyDescent="0.3">
      <c r="C267" s="81"/>
      <c r="F267" s="85"/>
      <c r="G267" s="86"/>
      <c r="H267" s="86"/>
      <c r="I267" s="87"/>
      <c r="J267" s="85"/>
      <c r="K267" s="85"/>
      <c r="M267" s="81"/>
      <c r="O267" s="85"/>
      <c r="P267" s="85"/>
      <c r="Q267" s="81"/>
    </row>
    <row r="268" spans="3:17" x14ac:dyDescent="0.3">
      <c r="C268" s="81"/>
      <c r="F268" s="85"/>
      <c r="G268" s="86"/>
      <c r="H268" s="86"/>
      <c r="I268" s="87"/>
      <c r="J268" s="85"/>
      <c r="K268" s="85"/>
      <c r="M268" s="81"/>
      <c r="O268" s="85"/>
      <c r="P268" s="85"/>
      <c r="Q268" s="81"/>
    </row>
    <row r="269" spans="3:17" x14ac:dyDescent="0.3">
      <c r="C269" s="81"/>
      <c r="F269" s="85"/>
      <c r="G269" s="86"/>
      <c r="H269" s="86"/>
      <c r="I269" s="87"/>
      <c r="J269" s="85"/>
      <c r="K269" s="85"/>
      <c r="M269" s="81"/>
      <c r="O269" s="85"/>
      <c r="P269" s="85"/>
      <c r="Q269" s="81"/>
    </row>
    <row r="270" spans="3:17" x14ac:dyDescent="0.3">
      <c r="C270" s="81"/>
      <c r="F270" s="85"/>
      <c r="G270" s="86"/>
      <c r="H270" s="86"/>
      <c r="I270" s="87"/>
      <c r="J270" s="85"/>
      <c r="K270" s="85"/>
      <c r="M270" s="81"/>
      <c r="O270" s="85"/>
      <c r="P270" s="85"/>
      <c r="Q270" s="81"/>
    </row>
    <row r="271" spans="3:17" x14ac:dyDescent="0.3">
      <c r="C271" s="81"/>
      <c r="F271" s="85"/>
      <c r="G271" s="86"/>
      <c r="H271" s="86"/>
      <c r="I271" s="87"/>
      <c r="J271" s="85"/>
      <c r="K271" s="85"/>
      <c r="M271" s="81"/>
      <c r="O271" s="85"/>
      <c r="P271" s="85"/>
      <c r="Q271" s="81"/>
    </row>
    <row r="272" spans="3:17" x14ac:dyDescent="0.3">
      <c r="C272" s="81"/>
      <c r="F272" s="85"/>
      <c r="G272" s="86"/>
      <c r="H272" s="86"/>
      <c r="I272" s="87"/>
      <c r="J272" s="85"/>
      <c r="K272" s="85"/>
      <c r="M272" s="81"/>
      <c r="O272" s="85"/>
      <c r="P272" s="85"/>
      <c r="Q272" s="81"/>
    </row>
    <row r="273" spans="3:17" x14ac:dyDescent="0.3">
      <c r="C273" s="81"/>
      <c r="F273" s="85"/>
      <c r="G273" s="86"/>
      <c r="H273" s="86"/>
      <c r="I273" s="87"/>
      <c r="J273" s="85"/>
      <c r="K273" s="85"/>
      <c r="M273" s="81"/>
      <c r="O273" s="85"/>
      <c r="P273" s="85"/>
      <c r="Q273" s="81"/>
    </row>
    <row r="274" spans="3:17" x14ac:dyDescent="0.3">
      <c r="C274" s="81"/>
      <c r="F274" s="85"/>
      <c r="G274" s="86"/>
      <c r="H274" s="86"/>
      <c r="I274" s="87"/>
      <c r="J274" s="85"/>
      <c r="K274" s="85"/>
      <c r="M274" s="81"/>
      <c r="O274" s="85"/>
      <c r="P274" s="85"/>
      <c r="Q274" s="81"/>
    </row>
    <row r="275" spans="3:17" x14ac:dyDescent="0.3">
      <c r="C275" s="81"/>
      <c r="F275" s="85"/>
      <c r="G275" s="86"/>
      <c r="H275" s="86"/>
      <c r="I275" s="87"/>
      <c r="J275" s="85"/>
      <c r="K275" s="85"/>
      <c r="M275" s="81"/>
      <c r="O275" s="85"/>
      <c r="P275" s="85"/>
      <c r="Q275" s="81"/>
    </row>
    <row r="276" spans="3:17" x14ac:dyDescent="0.3">
      <c r="C276" s="81"/>
      <c r="F276" s="85"/>
      <c r="G276" s="86"/>
      <c r="H276" s="86"/>
      <c r="I276" s="87"/>
      <c r="J276" s="85"/>
      <c r="K276" s="85"/>
      <c r="M276" s="81"/>
      <c r="O276" s="85"/>
      <c r="P276" s="85"/>
      <c r="Q276" s="81"/>
    </row>
    <row r="277" spans="3:17" x14ac:dyDescent="0.3">
      <c r="C277" s="81"/>
      <c r="F277" s="85"/>
      <c r="G277" s="86"/>
      <c r="H277" s="86"/>
      <c r="I277" s="87"/>
      <c r="J277" s="85"/>
      <c r="K277" s="85"/>
      <c r="M277" s="81"/>
      <c r="O277" s="85"/>
      <c r="P277" s="85"/>
      <c r="Q277" s="81"/>
    </row>
    <row r="278" spans="3:17" x14ac:dyDescent="0.3">
      <c r="C278" s="81"/>
      <c r="F278" s="85"/>
      <c r="G278" s="86"/>
      <c r="H278" s="86"/>
      <c r="I278" s="87"/>
      <c r="J278" s="85"/>
      <c r="K278" s="85"/>
      <c r="M278" s="81"/>
      <c r="O278" s="85"/>
      <c r="P278" s="85"/>
      <c r="Q278" s="81"/>
    </row>
    <row r="279" spans="3:17" x14ac:dyDescent="0.3">
      <c r="C279" s="81"/>
      <c r="F279" s="85"/>
      <c r="G279" s="86"/>
      <c r="H279" s="86"/>
      <c r="I279" s="87"/>
      <c r="J279" s="85"/>
      <c r="K279" s="85"/>
      <c r="M279" s="81"/>
      <c r="O279" s="85"/>
      <c r="P279" s="85"/>
      <c r="Q279" s="81"/>
    </row>
    <row r="280" spans="3:17" x14ac:dyDescent="0.3">
      <c r="C280" s="81"/>
      <c r="F280" s="85"/>
      <c r="G280" s="86"/>
      <c r="H280" s="86"/>
      <c r="I280" s="87"/>
      <c r="J280" s="85"/>
      <c r="K280" s="85"/>
      <c r="M280" s="81"/>
      <c r="O280" s="85"/>
      <c r="P280" s="85"/>
      <c r="Q280" s="81"/>
    </row>
    <row r="281" spans="3:17" x14ac:dyDescent="0.3">
      <c r="C281" s="81"/>
      <c r="F281" s="85"/>
      <c r="G281" s="86"/>
      <c r="H281" s="86"/>
      <c r="I281" s="87"/>
      <c r="J281" s="85"/>
      <c r="K281" s="85"/>
      <c r="M281" s="81"/>
      <c r="O281" s="85"/>
      <c r="P281" s="85"/>
      <c r="Q281" s="81"/>
    </row>
    <row r="282" spans="3:17" x14ac:dyDescent="0.3">
      <c r="C282" s="81"/>
      <c r="F282" s="85"/>
      <c r="G282" s="86"/>
      <c r="H282" s="86"/>
      <c r="I282" s="87"/>
      <c r="J282" s="85"/>
      <c r="K282" s="85"/>
      <c r="M282" s="81"/>
      <c r="O282" s="85"/>
      <c r="P282" s="85"/>
      <c r="Q282" s="81"/>
    </row>
    <row r="283" spans="3:17" x14ac:dyDescent="0.3">
      <c r="C283" s="81"/>
      <c r="F283" s="85"/>
      <c r="G283" s="86"/>
      <c r="H283" s="86"/>
      <c r="I283" s="87"/>
      <c r="J283" s="85"/>
      <c r="K283" s="85"/>
      <c r="M283" s="81"/>
      <c r="O283" s="85"/>
      <c r="P283" s="85"/>
      <c r="Q283" s="81"/>
    </row>
    <row r="284" spans="3:17" x14ac:dyDescent="0.3">
      <c r="C284" s="81"/>
      <c r="F284" s="85"/>
      <c r="G284" s="86"/>
      <c r="H284" s="86"/>
      <c r="I284" s="87"/>
      <c r="J284" s="85"/>
      <c r="K284" s="85"/>
      <c r="M284" s="81"/>
      <c r="O284" s="85"/>
      <c r="P284" s="85"/>
      <c r="Q284" s="81"/>
    </row>
    <row r="285" spans="3:17" x14ac:dyDescent="0.3">
      <c r="C285" s="81"/>
      <c r="F285" s="85"/>
      <c r="G285" s="86"/>
      <c r="H285" s="86"/>
      <c r="I285" s="87"/>
      <c r="J285" s="85"/>
      <c r="K285" s="85"/>
      <c r="M285" s="81"/>
      <c r="O285" s="85"/>
      <c r="P285" s="85"/>
      <c r="Q285" s="81"/>
    </row>
    <row r="286" spans="3:17" x14ac:dyDescent="0.3">
      <c r="C286" s="81"/>
      <c r="F286" s="85"/>
      <c r="G286" s="86"/>
      <c r="H286" s="86"/>
      <c r="I286" s="87"/>
      <c r="J286" s="85"/>
      <c r="K286" s="85"/>
      <c r="M286" s="81"/>
      <c r="O286" s="85"/>
      <c r="P286" s="85"/>
      <c r="Q286" s="81"/>
    </row>
    <row r="287" spans="3:17" x14ac:dyDescent="0.3">
      <c r="C287" s="81"/>
      <c r="F287" s="85"/>
      <c r="G287" s="86"/>
      <c r="H287" s="86"/>
      <c r="I287" s="87"/>
      <c r="J287" s="85"/>
      <c r="K287" s="85"/>
      <c r="M287" s="81"/>
      <c r="O287" s="85"/>
      <c r="P287" s="85"/>
      <c r="Q287" s="81"/>
    </row>
    <row r="288" spans="3:17" x14ac:dyDescent="0.3">
      <c r="C288" s="81"/>
      <c r="F288" s="85"/>
      <c r="G288" s="86"/>
      <c r="H288" s="86"/>
      <c r="I288" s="87"/>
      <c r="J288" s="85"/>
      <c r="K288" s="85"/>
      <c r="M288" s="81"/>
      <c r="O288" s="85"/>
      <c r="P288" s="85"/>
      <c r="Q288" s="81"/>
    </row>
    <row r="289" spans="3:17" x14ac:dyDescent="0.3">
      <c r="C289" s="81"/>
      <c r="F289" s="85"/>
      <c r="G289" s="86"/>
      <c r="H289" s="86"/>
      <c r="I289" s="87"/>
      <c r="J289" s="85"/>
      <c r="K289" s="85"/>
      <c r="M289" s="81"/>
      <c r="O289" s="85"/>
      <c r="P289" s="85"/>
      <c r="Q289" s="81"/>
    </row>
    <row r="290" spans="3:17" x14ac:dyDescent="0.3">
      <c r="C290" s="81"/>
      <c r="F290" s="85"/>
      <c r="G290" s="86"/>
      <c r="H290" s="86"/>
      <c r="I290" s="87"/>
      <c r="J290" s="85"/>
      <c r="K290" s="85"/>
      <c r="M290" s="81"/>
      <c r="O290" s="85"/>
      <c r="P290" s="85"/>
      <c r="Q290" s="81"/>
    </row>
    <row r="291" spans="3:17" x14ac:dyDescent="0.3">
      <c r="C291" s="81"/>
      <c r="F291" s="85"/>
      <c r="G291" s="86"/>
      <c r="H291" s="86"/>
      <c r="I291" s="87"/>
      <c r="J291" s="85"/>
      <c r="K291" s="85"/>
      <c r="M291" s="81"/>
      <c r="O291" s="85"/>
      <c r="P291" s="85"/>
      <c r="Q291" s="81"/>
    </row>
    <row r="292" spans="3:17" x14ac:dyDescent="0.3">
      <c r="C292" s="81"/>
      <c r="F292" s="85"/>
      <c r="G292" s="86"/>
      <c r="H292" s="86"/>
      <c r="I292" s="87"/>
      <c r="J292" s="85"/>
      <c r="K292" s="85"/>
      <c r="M292" s="81"/>
      <c r="O292" s="85"/>
      <c r="P292" s="85"/>
      <c r="Q292" s="81"/>
    </row>
    <row r="293" spans="3:17" x14ac:dyDescent="0.3">
      <c r="C293" s="81"/>
      <c r="F293" s="85"/>
      <c r="G293" s="86"/>
      <c r="H293" s="86"/>
      <c r="I293" s="87"/>
      <c r="J293" s="85"/>
      <c r="K293" s="85"/>
      <c r="M293" s="81"/>
      <c r="O293" s="85"/>
      <c r="P293" s="85"/>
      <c r="Q293" s="81"/>
    </row>
    <row r="294" spans="3:17" x14ac:dyDescent="0.3">
      <c r="C294" s="81"/>
      <c r="F294" s="85"/>
      <c r="G294" s="86"/>
      <c r="H294" s="86"/>
      <c r="I294" s="87"/>
      <c r="J294" s="85"/>
      <c r="K294" s="85"/>
      <c r="M294" s="81"/>
      <c r="O294" s="85"/>
      <c r="P294" s="85"/>
      <c r="Q294" s="81"/>
    </row>
    <row r="295" spans="3:17" x14ac:dyDescent="0.3">
      <c r="C295" s="81"/>
      <c r="F295" s="85"/>
      <c r="G295" s="86"/>
      <c r="H295" s="86"/>
      <c r="I295" s="87"/>
      <c r="J295" s="85"/>
      <c r="K295" s="85"/>
      <c r="M295" s="81"/>
      <c r="O295" s="85"/>
      <c r="P295" s="85"/>
      <c r="Q295" s="81"/>
    </row>
    <row r="296" spans="3:17" x14ac:dyDescent="0.3">
      <c r="C296" s="81"/>
      <c r="F296" s="85"/>
      <c r="G296" s="86"/>
      <c r="H296" s="86"/>
      <c r="I296" s="87"/>
      <c r="J296" s="85"/>
      <c r="K296" s="85"/>
      <c r="M296" s="81"/>
      <c r="O296" s="85"/>
      <c r="P296" s="85"/>
      <c r="Q296" s="81"/>
    </row>
    <row r="297" spans="3:17" x14ac:dyDescent="0.3">
      <c r="C297" s="81"/>
      <c r="F297" s="85"/>
      <c r="G297" s="86"/>
      <c r="H297" s="86"/>
      <c r="I297" s="87"/>
      <c r="J297" s="85"/>
      <c r="K297" s="85"/>
      <c r="M297" s="81"/>
      <c r="O297" s="85"/>
      <c r="P297" s="85"/>
      <c r="Q297" s="81"/>
    </row>
    <row r="298" spans="3:17" x14ac:dyDescent="0.3">
      <c r="C298" s="81"/>
      <c r="F298" s="85"/>
      <c r="G298" s="86"/>
      <c r="H298" s="86"/>
      <c r="I298" s="87"/>
      <c r="J298" s="85"/>
      <c r="K298" s="85"/>
      <c r="M298" s="81"/>
      <c r="O298" s="85"/>
      <c r="P298" s="85"/>
      <c r="Q298" s="81"/>
    </row>
    <row r="299" spans="3:17" x14ac:dyDescent="0.3">
      <c r="C299" s="81"/>
      <c r="F299" s="85"/>
      <c r="G299" s="86"/>
      <c r="H299" s="86"/>
      <c r="I299" s="87"/>
      <c r="J299" s="85"/>
      <c r="K299" s="85"/>
      <c r="M299" s="81"/>
      <c r="O299" s="85"/>
      <c r="P299" s="85"/>
      <c r="Q299" s="81"/>
    </row>
    <row r="300" spans="3:17" x14ac:dyDescent="0.3">
      <c r="C300" s="81"/>
      <c r="F300" s="85"/>
      <c r="G300" s="86"/>
      <c r="H300" s="86"/>
      <c r="I300" s="87"/>
      <c r="J300" s="85"/>
      <c r="K300" s="85"/>
      <c r="M300" s="81"/>
      <c r="O300" s="85"/>
      <c r="P300" s="85"/>
      <c r="Q300" s="81"/>
    </row>
    <row r="301" spans="3:17" x14ac:dyDescent="0.3">
      <c r="C301" s="81"/>
      <c r="F301" s="85"/>
      <c r="G301" s="86"/>
      <c r="H301" s="86"/>
      <c r="I301" s="87"/>
      <c r="J301" s="85"/>
      <c r="K301" s="85"/>
      <c r="M301" s="81"/>
      <c r="O301" s="85"/>
      <c r="P301" s="85"/>
      <c r="Q301" s="81"/>
    </row>
    <row r="302" spans="3:17" x14ac:dyDescent="0.3">
      <c r="C302" s="81"/>
      <c r="F302" s="85"/>
      <c r="G302" s="86"/>
      <c r="H302" s="86"/>
      <c r="I302" s="87"/>
      <c r="J302" s="85"/>
      <c r="K302" s="85"/>
      <c r="M302" s="81"/>
      <c r="O302" s="85"/>
      <c r="P302" s="85"/>
      <c r="Q302" s="81"/>
    </row>
    <row r="303" spans="3:17" x14ac:dyDescent="0.3">
      <c r="C303" s="81"/>
      <c r="F303" s="85"/>
      <c r="G303" s="86"/>
      <c r="H303" s="86"/>
      <c r="I303" s="87"/>
      <c r="J303" s="85"/>
      <c r="K303" s="85"/>
      <c r="M303" s="81"/>
      <c r="O303" s="85"/>
      <c r="P303" s="85"/>
      <c r="Q303" s="81"/>
    </row>
    <row r="304" spans="3:17" x14ac:dyDescent="0.3">
      <c r="C304" s="81"/>
      <c r="F304" s="85"/>
      <c r="G304" s="86"/>
      <c r="H304" s="86"/>
      <c r="I304" s="87"/>
      <c r="J304" s="85"/>
      <c r="K304" s="85"/>
      <c r="M304" s="81"/>
      <c r="O304" s="85"/>
      <c r="P304" s="85"/>
      <c r="Q304" s="81"/>
    </row>
    <row r="305" spans="3:17" x14ac:dyDescent="0.3">
      <c r="C305" s="81"/>
      <c r="F305" s="85"/>
      <c r="G305" s="86"/>
      <c r="H305" s="86"/>
      <c r="I305" s="87"/>
      <c r="J305" s="85"/>
      <c r="K305" s="85"/>
      <c r="M305" s="81"/>
      <c r="O305" s="85"/>
      <c r="P305" s="85"/>
      <c r="Q305" s="81"/>
    </row>
    <row r="306" spans="3:17" x14ac:dyDescent="0.3">
      <c r="C306" s="81"/>
      <c r="F306" s="85"/>
      <c r="G306" s="86"/>
      <c r="H306" s="86"/>
      <c r="I306" s="87"/>
      <c r="J306" s="85"/>
      <c r="K306" s="85"/>
      <c r="M306" s="81"/>
      <c r="O306" s="85"/>
      <c r="P306" s="85"/>
      <c r="Q306" s="81"/>
    </row>
    <row r="307" spans="3:17" x14ac:dyDescent="0.3">
      <c r="C307" s="81"/>
      <c r="F307" s="85"/>
      <c r="G307" s="86"/>
      <c r="H307" s="86"/>
      <c r="I307" s="87"/>
      <c r="J307" s="85"/>
      <c r="K307" s="85"/>
      <c r="M307" s="81"/>
      <c r="O307" s="85"/>
      <c r="P307" s="85"/>
      <c r="Q307" s="81"/>
    </row>
    <row r="308" spans="3:17" x14ac:dyDescent="0.3">
      <c r="C308" s="81"/>
      <c r="F308" s="85"/>
      <c r="G308" s="86"/>
      <c r="H308" s="86"/>
      <c r="I308" s="87"/>
      <c r="J308" s="85"/>
      <c r="K308" s="85"/>
      <c r="M308" s="81"/>
      <c r="O308" s="85"/>
      <c r="P308" s="85"/>
      <c r="Q308" s="81"/>
    </row>
    <row r="309" spans="3:17" x14ac:dyDescent="0.3">
      <c r="C309" s="81"/>
      <c r="F309" s="85"/>
      <c r="G309" s="86"/>
      <c r="H309" s="86"/>
      <c r="I309" s="87"/>
      <c r="J309" s="85"/>
      <c r="K309" s="85"/>
      <c r="M309" s="81"/>
      <c r="O309" s="85"/>
      <c r="P309" s="85"/>
      <c r="Q309" s="81"/>
    </row>
    <row r="310" spans="3:17" x14ac:dyDescent="0.3">
      <c r="C310" s="81"/>
      <c r="F310" s="85"/>
      <c r="G310" s="86"/>
      <c r="H310" s="86"/>
      <c r="I310" s="87"/>
      <c r="J310" s="85"/>
      <c r="K310" s="85"/>
      <c r="M310" s="81"/>
      <c r="O310" s="85"/>
      <c r="P310" s="85"/>
      <c r="Q310" s="81"/>
    </row>
    <row r="311" spans="3:17" x14ac:dyDescent="0.3">
      <c r="C311" s="81"/>
      <c r="F311" s="85"/>
      <c r="G311" s="86"/>
      <c r="H311" s="86"/>
      <c r="I311" s="87"/>
      <c r="J311" s="85"/>
      <c r="K311" s="85"/>
      <c r="M311" s="81"/>
      <c r="O311" s="85"/>
      <c r="P311" s="85"/>
      <c r="Q311" s="81"/>
    </row>
    <row r="312" spans="3:17" x14ac:dyDescent="0.3">
      <c r="C312" s="81"/>
      <c r="F312" s="85"/>
      <c r="G312" s="86"/>
      <c r="H312" s="86"/>
      <c r="I312" s="87"/>
      <c r="J312" s="85"/>
      <c r="K312" s="85"/>
      <c r="M312" s="81"/>
      <c r="O312" s="85"/>
      <c r="P312" s="85"/>
      <c r="Q312" s="81"/>
    </row>
    <row r="313" spans="3:17" x14ac:dyDescent="0.3">
      <c r="C313" s="81"/>
      <c r="F313" s="85"/>
      <c r="G313" s="86"/>
      <c r="H313" s="86"/>
      <c r="I313" s="87"/>
      <c r="J313" s="85"/>
      <c r="K313" s="85"/>
      <c r="M313" s="81"/>
      <c r="O313" s="85"/>
      <c r="P313" s="85"/>
      <c r="Q313" s="81"/>
    </row>
    <row r="314" spans="3:17" x14ac:dyDescent="0.3">
      <c r="C314" s="81"/>
      <c r="F314" s="85"/>
      <c r="G314" s="86"/>
      <c r="H314" s="86"/>
      <c r="I314" s="87"/>
      <c r="J314" s="85"/>
      <c r="K314" s="85"/>
      <c r="M314" s="81"/>
      <c r="O314" s="85"/>
      <c r="P314" s="85"/>
      <c r="Q314" s="81"/>
    </row>
    <row r="315" spans="3:17" x14ac:dyDescent="0.3">
      <c r="C315" s="81"/>
      <c r="F315" s="85"/>
      <c r="G315" s="86"/>
      <c r="H315" s="86"/>
      <c r="I315" s="87"/>
      <c r="J315" s="85"/>
      <c r="K315" s="85"/>
      <c r="M315" s="81"/>
      <c r="O315" s="85"/>
      <c r="P315" s="85"/>
      <c r="Q315" s="81"/>
    </row>
    <row r="316" spans="3:17" x14ac:dyDescent="0.3">
      <c r="C316" s="81"/>
      <c r="F316" s="85"/>
      <c r="G316" s="86"/>
      <c r="H316" s="86"/>
      <c r="I316" s="87"/>
      <c r="J316" s="85"/>
      <c r="K316" s="85"/>
      <c r="M316" s="81"/>
      <c r="O316" s="85"/>
      <c r="P316" s="85"/>
      <c r="Q316" s="81"/>
    </row>
    <row r="317" spans="3:17" x14ac:dyDescent="0.3">
      <c r="C317" s="81"/>
      <c r="F317" s="85"/>
      <c r="G317" s="86"/>
      <c r="H317" s="86"/>
      <c r="I317" s="87"/>
      <c r="J317" s="85"/>
      <c r="K317" s="85"/>
      <c r="M317" s="81"/>
      <c r="O317" s="85"/>
      <c r="P317" s="85"/>
      <c r="Q317" s="81"/>
    </row>
    <row r="318" spans="3:17" x14ac:dyDescent="0.3">
      <c r="C318" s="81"/>
      <c r="F318" s="85"/>
      <c r="G318" s="86"/>
      <c r="H318" s="86"/>
      <c r="I318" s="87"/>
      <c r="J318" s="85"/>
      <c r="K318" s="85"/>
      <c r="M318" s="81"/>
      <c r="O318" s="85"/>
      <c r="P318" s="85"/>
      <c r="Q318" s="81"/>
    </row>
    <row r="319" spans="3:17" x14ac:dyDescent="0.3">
      <c r="C319" s="81"/>
      <c r="F319" s="85"/>
      <c r="G319" s="86"/>
      <c r="H319" s="86"/>
      <c r="I319" s="87"/>
      <c r="J319" s="85"/>
      <c r="K319" s="85"/>
      <c r="M319" s="81"/>
      <c r="O319" s="85"/>
      <c r="P319" s="85"/>
      <c r="Q319" s="81"/>
    </row>
    <row r="320" spans="3:17" x14ac:dyDescent="0.3">
      <c r="C320" s="81"/>
      <c r="F320" s="85"/>
      <c r="G320" s="86"/>
      <c r="H320" s="86"/>
      <c r="I320" s="87"/>
      <c r="J320" s="85"/>
      <c r="K320" s="85"/>
      <c r="M320" s="81"/>
      <c r="O320" s="85"/>
      <c r="P320" s="85"/>
      <c r="Q320" s="81"/>
    </row>
    <row r="321" spans="3:17" x14ac:dyDescent="0.3">
      <c r="C321" s="81"/>
      <c r="F321" s="85"/>
      <c r="G321" s="86"/>
      <c r="H321" s="86"/>
      <c r="I321" s="87"/>
      <c r="J321" s="85"/>
      <c r="K321" s="85"/>
      <c r="M321" s="81"/>
      <c r="O321" s="85"/>
      <c r="P321" s="85"/>
      <c r="Q321" s="81"/>
    </row>
    <row r="322" spans="3:17" x14ac:dyDescent="0.3">
      <c r="C322" s="81"/>
      <c r="F322" s="85"/>
      <c r="G322" s="86"/>
      <c r="H322" s="86"/>
      <c r="I322" s="87"/>
      <c r="J322" s="85"/>
      <c r="K322" s="85"/>
      <c r="M322" s="81"/>
      <c r="O322" s="85"/>
      <c r="P322" s="85"/>
      <c r="Q322" s="81"/>
    </row>
    <row r="323" spans="3:17" x14ac:dyDescent="0.3">
      <c r="C323" s="81"/>
      <c r="F323" s="85"/>
      <c r="G323" s="86"/>
      <c r="H323" s="86"/>
      <c r="I323" s="87"/>
      <c r="J323" s="85"/>
      <c r="K323" s="85"/>
      <c r="M323" s="81"/>
      <c r="O323" s="85"/>
      <c r="P323" s="85"/>
      <c r="Q323" s="81"/>
    </row>
    <row r="324" spans="3:17" x14ac:dyDescent="0.3">
      <c r="C324" s="81"/>
      <c r="F324" s="85"/>
      <c r="G324" s="86"/>
      <c r="H324" s="86"/>
      <c r="I324" s="87"/>
      <c r="J324" s="85"/>
      <c r="K324" s="85"/>
      <c r="M324" s="81"/>
      <c r="O324" s="85"/>
      <c r="P324" s="85"/>
      <c r="Q324" s="81"/>
    </row>
    <row r="325" spans="3:17" x14ac:dyDescent="0.3">
      <c r="C325" s="81"/>
      <c r="F325" s="85"/>
      <c r="G325" s="86"/>
      <c r="H325" s="86"/>
      <c r="I325" s="87"/>
      <c r="J325" s="85"/>
      <c r="K325" s="85"/>
      <c r="M325" s="81"/>
      <c r="O325" s="85"/>
      <c r="P325" s="85"/>
      <c r="Q325" s="81"/>
    </row>
    <row r="326" spans="3:17" x14ac:dyDescent="0.3">
      <c r="C326" s="81"/>
      <c r="F326" s="85"/>
      <c r="G326" s="86"/>
      <c r="H326" s="86"/>
      <c r="I326" s="87"/>
      <c r="J326" s="85"/>
      <c r="K326" s="85"/>
      <c r="M326" s="81"/>
      <c r="O326" s="85"/>
      <c r="P326" s="85"/>
      <c r="Q326" s="81"/>
    </row>
    <row r="327" spans="3:17" x14ac:dyDescent="0.3">
      <c r="C327" s="81"/>
      <c r="F327" s="85"/>
      <c r="G327" s="86"/>
      <c r="H327" s="86"/>
      <c r="I327" s="87"/>
      <c r="J327" s="85"/>
      <c r="K327" s="85"/>
      <c r="M327" s="81"/>
      <c r="O327" s="85"/>
      <c r="P327" s="85"/>
      <c r="Q327" s="81"/>
    </row>
    <row r="328" spans="3:17" x14ac:dyDescent="0.3">
      <c r="C328" s="81"/>
      <c r="F328" s="85"/>
      <c r="G328" s="86"/>
      <c r="H328" s="86"/>
      <c r="I328" s="87"/>
      <c r="J328" s="85"/>
      <c r="K328" s="85"/>
      <c r="M328" s="81"/>
      <c r="O328" s="85"/>
      <c r="P328" s="85"/>
      <c r="Q328" s="81"/>
    </row>
    <row r="329" spans="3:17" x14ac:dyDescent="0.3">
      <c r="C329" s="81"/>
      <c r="F329" s="85"/>
      <c r="G329" s="86"/>
      <c r="H329" s="86"/>
      <c r="I329" s="87"/>
      <c r="J329" s="85"/>
      <c r="K329" s="85"/>
      <c r="M329" s="81"/>
      <c r="O329" s="85"/>
      <c r="P329" s="85"/>
      <c r="Q329" s="81"/>
    </row>
    <row r="330" spans="3:17" x14ac:dyDescent="0.3">
      <c r="C330" s="81"/>
      <c r="F330" s="85"/>
      <c r="G330" s="86"/>
      <c r="H330" s="86"/>
      <c r="I330" s="87"/>
      <c r="J330" s="85"/>
      <c r="K330" s="85"/>
      <c r="M330" s="81"/>
      <c r="O330" s="85"/>
      <c r="P330" s="85"/>
      <c r="Q330" s="81"/>
    </row>
    <row r="331" spans="3:17" x14ac:dyDescent="0.3">
      <c r="C331" s="81"/>
      <c r="F331" s="85"/>
      <c r="G331" s="86"/>
      <c r="H331" s="86"/>
      <c r="I331" s="87"/>
      <c r="J331" s="85"/>
      <c r="K331" s="85"/>
      <c r="M331" s="81"/>
      <c r="O331" s="85"/>
      <c r="P331" s="85"/>
      <c r="Q331" s="81"/>
    </row>
    <row r="332" spans="3:17" x14ac:dyDescent="0.3">
      <c r="C332" s="81"/>
      <c r="F332" s="85"/>
      <c r="G332" s="86"/>
      <c r="H332" s="86"/>
      <c r="I332" s="87"/>
      <c r="J332" s="85"/>
      <c r="K332" s="85"/>
      <c r="M332" s="81"/>
      <c r="O332" s="85"/>
      <c r="P332" s="85"/>
      <c r="Q332" s="81"/>
    </row>
    <row r="333" spans="3:17" x14ac:dyDescent="0.3">
      <c r="C333" s="81"/>
      <c r="F333" s="85"/>
      <c r="G333" s="86"/>
      <c r="H333" s="86"/>
      <c r="I333" s="87"/>
      <c r="J333" s="85"/>
      <c r="K333" s="85"/>
      <c r="M333" s="81"/>
      <c r="O333" s="85"/>
      <c r="P333" s="85"/>
      <c r="Q333" s="81"/>
    </row>
    <row r="334" spans="3:17" x14ac:dyDescent="0.3">
      <c r="C334" s="81"/>
      <c r="F334" s="85"/>
      <c r="G334" s="86"/>
      <c r="H334" s="86"/>
      <c r="I334" s="87"/>
      <c r="J334" s="85"/>
      <c r="K334" s="85"/>
      <c r="M334" s="81"/>
      <c r="O334" s="85"/>
      <c r="P334" s="85"/>
      <c r="Q334" s="81"/>
    </row>
    <row r="335" spans="3:17" x14ac:dyDescent="0.3">
      <c r="C335" s="81"/>
      <c r="F335" s="85"/>
      <c r="G335" s="86"/>
      <c r="H335" s="86"/>
      <c r="I335" s="87"/>
      <c r="J335" s="85"/>
      <c r="K335" s="85"/>
      <c r="M335" s="81"/>
      <c r="O335" s="85"/>
      <c r="P335" s="85"/>
      <c r="Q335" s="81"/>
    </row>
    <row r="336" spans="3:17" x14ac:dyDescent="0.3">
      <c r="C336" s="81"/>
      <c r="F336" s="85"/>
      <c r="G336" s="86"/>
      <c r="H336" s="86"/>
      <c r="I336" s="87"/>
      <c r="J336" s="85"/>
      <c r="K336" s="85"/>
      <c r="M336" s="81"/>
      <c r="O336" s="85"/>
      <c r="P336" s="85"/>
      <c r="Q336" s="81"/>
    </row>
    <row r="337" spans="3:17" x14ac:dyDescent="0.3">
      <c r="C337" s="81"/>
      <c r="F337" s="85"/>
      <c r="G337" s="86"/>
      <c r="H337" s="86"/>
      <c r="I337" s="87"/>
      <c r="J337" s="85"/>
      <c r="K337" s="85"/>
      <c r="M337" s="81"/>
      <c r="O337" s="85"/>
      <c r="P337" s="85"/>
      <c r="Q337" s="81"/>
    </row>
    <row r="338" spans="3:17" x14ac:dyDescent="0.3">
      <c r="C338" s="81"/>
      <c r="F338" s="85"/>
      <c r="G338" s="86"/>
      <c r="H338" s="86"/>
      <c r="I338" s="87"/>
      <c r="J338" s="85"/>
      <c r="K338" s="85"/>
      <c r="M338" s="81"/>
      <c r="O338" s="85"/>
      <c r="P338" s="85"/>
      <c r="Q338" s="81"/>
    </row>
    <row r="339" spans="3:17" x14ac:dyDescent="0.3">
      <c r="C339" s="81"/>
      <c r="F339" s="85"/>
      <c r="G339" s="86"/>
      <c r="H339" s="86"/>
      <c r="I339" s="87"/>
      <c r="J339" s="85"/>
      <c r="K339" s="85"/>
      <c r="M339" s="81"/>
      <c r="O339" s="85"/>
      <c r="P339" s="85"/>
      <c r="Q339" s="81"/>
    </row>
    <row r="340" spans="3:17" x14ac:dyDescent="0.3">
      <c r="C340" s="81"/>
      <c r="F340" s="85"/>
      <c r="G340" s="86"/>
      <c r="H340" s="86"/>
      <c r="I340" s="87"/>
      <c r="J340" s="85"/>
      <c r="K340" s="85"/>
      <c r="M340" s="81"/>
      <c r="O340" s="85"/>
      <c r="P340" s="85"/>
      <c r="Q340" s="81"/>
    </row>
    <row r="341" spans="3:17" x14ac:dyDescent="0.3">
      <c r="C341" s="81"/>
      <c r="F341" s="85"/>
      <c r="G341" s="86"/>
      <c r="H341" s="86"/>
      <c r="I341" s="87"/>
      <c r="J341" s="85"/>
      <c r="K341" s="85"/>
      <c r="M341" s="81"/>
      <c r="O341" s="85"/>
      <c r="P341" s="85"/>
      <c r="Q341" s="81"/>
    </row>
    <row r="342" spans="3:17" x14ac:dyDescent="0.3">
      <c r="C342" s="81"/>
      <c r="F342" s="85"/>
      <c r="G342" s="86"/>
      <c r="H342" s="86"/>
      <c r="I342" s="87"/>
      <c r="J342" s="85"/>
      <c r="K342" s="85"/>
      <c r="M342" s="81"/>
      <c r="O342" s="85"/>
      <c r="P342" s="85"/>
      <c r="Q342" s="81"/>
    </row>
    <row r="343" spans="3:17" x14ac:dyDescent="0.3">
      <c r="C343" s="81"/>
      <c r="F343" s="85"/>
      <c r="G343" s="86"/>
      <c r="H343" s="86"/>
      <c r="I343" s="87"/>
      <c r="J343" s="85"/>
      <c r="K343" s="85"/>
      <c r="M343" s="81"/>
      <c r="O343" s="85"/>
      <c r="P343" s="85"/>
      <c r="Q343" s="81"/>
    </row>
    <row r="344" spans="3:17" x14ac:dyDescent="0.3">
      <c r="C344" s="81"/>
      <c r="F344" s="85"/>
      <c r="G344" s="86"/>
      <c r="H344" s="86"/>
      <c r="I344" s="87"/>
      <c r="J344" s="85"/>
      <c r="K344" s="85"/>
      <c r="M344" s="81"/>
      <c r="O344" s="85"/>
      <c r="P344" s="85"/>
      <c r="Q344" s="81"/>
    </row>
    <row r="345" spans="3:17" x14ac:dyDescent="0.3">
      <c r="C345" s="81"/>
      <c r="F345" s="85"/>
      <c r="G345" s="86"/>
      <c r="H345" s="86"/>
      <c r="I345" s="87"/>
      <c r="J345" s="85"/>
      <c r="K345" s="85"/>
      <c r="M345" s="81"/>
      <c r="O345" s="85"/>
      <c r="P345" s="85"/>
      <c r="Q345" s="81"/>
    </row>
    <row r="346" spans="3:17" x14ac:dyDescent="0.3">
      <c r="C346" s="81"/>
      <c r="F346" s="85"/>
      <c r="G346" s="86"/>
      <c r="H346" s="86"/>
      <c r="I346" s="87"/>
      <c r="J346" s="85"/>
      <c r="K346" s="85"/>
      <c r="M346" s="81"/>
      <c r="O346" s="85"/>
      <c r="P346" s="85"/>
      <c r="Q346" s="81"/>
    </row>
    <row r="347" spans="3:17" x14ac:dyDescent="0.3">
      <c r="C347" s="81"/>
      <c r="F347" s="85"/>
      <c r="G347" s="86"/>
      <c r="H347" s="86"/>
      <c r="I347" s="87"/>
      <c r="J347" s="85"/>
      <c r="K347" s="85"/>
      <c r="M347" s="81"/>
      <c r="O347" s="85"/>
      <c r="P347" s="85"/>
      <c r="Q347" s="81"/>
    </row>
    <row r="348" spans="3:17" x14ac:dyDescent="0.3">
      <c r="C348" s="81"/>
      <c r="F348" s="85"/>
      <c r="G348" s="86"/>
      <c r="H348" s="86"/>
      <c r="I348" s="87"/>
      <c r="J348" s="85"/>
      <c r="K348" s="85"/>
      <c r="M348" s="81"/>
      <c r="O348" s="85"/>
      <c r="P348" s="85"/>
      <c r="Q348" s="81"/>
    </row>
    <row r="349" spans="3:17" x14ac:dyDescent="0.3">
      <c r="C349" s="81"/>
      <c r="F349" s="85"/>
      <c r="G349" s="86"/>
      <c r="H349" s="86"/>
      <c r="I349" s="87"/>
      <c r="J349" s="85"/>
      <c r="K349" s="85"/>
      <c r="M349" s="81"/>
      <c r="O349" s="85"/>
      <c r="P349" s="85"/>
      <c r="Q349" s="81"/>
    </row>
    <row r="350" spans="3:17" x14ac:dyDescent="0.3">
      <c r="C350" s="81"/>
      <c r="F350" s="85"/>
      <c r="G350" s="86"/>
      <c r="H350" s="86"/>
      <c r="I350" s="87"/>
      <c r="J350" s="85"/>
      <c r="K350" s="85"/>
      <c r="M350" s="81"/>
      <c r="O350" s="85"/>
      <c r="P350" s="85"/>
      <c r="Q350" s="81"/>
    </row>
    <row r="351" spans="3:17" x14ac:dyDescent="0.3">
      <c r="C351" s="81"/>
      <c r="F351" s="85"/>
      <c r="G351" s="86"/>
      <c r="H351" s="86"/>
      <c r="I351" s="87"/>
      <c r="J351" s="85"/>
      <c r="K351" s="85"/>
      <c r="M351" s="81"/>
      <c r="O351" s="85"/>
      <c r="P351" s="85"/>
      <c r="Q351" s="81"/>
    </row>
    <row r="352" spans="3:17" x14ac:dyDescent="0.3">
      <c r="C352" s="81"/>
      <c r="F352" s="85"/>
      <c r="G352" s="86"/>
      <c r="H352" s="86"/>
      <c r="I352" s="87"/>
      <c r="J352" s="85"/>
      <c r="K352" s="85"/>
      <c r="M352" s="81"/>
      <c r="O352" s="85"/>
      <c r="P352" s="85"/>
      <c r="Q352" s="81"/>
    </row>
    <row r="353" spans="3:17" x14ac:dyDescent="0.3">
      <c r="C353" s="81"/>
      <c r="F353" s="85"/>
      <c r="G353" s="86"/>
      <c r="H353" s="86"/>
      <c r="I353" s="87"/>
      <c r="J353" s="85"/>
      <c r="K353" s="85"/>
      <c r="M353" s="81"/>
      <c r="O353" s="85"/>
      <c r="P353" s="85"/>
      <c r="Q353" s="81"/>
    </row>
    <row r="354" spans="3:17" x14ac:dyDescent="0.3">
      <c r="C354" s="81"/>
      <c r="F354" s="85"/>
      <c r="G354" s="86"/>
      <c r="H354" s="86"/>
      <c r="I354" s="87"/>
      <c r="J354" s="85"/>
      <c r="K354" s="85"/>
      <c r="M354" s="81"/>
      <c r="O354" s="85"/>
      <c r="P354" s="85"/>
      <c r="Q354" s="81"/>
    </row>
    <row r="355" spans="3:17" x14ac:dyDescent="0.3">
      <c r="C355" s="81"/>
      <c r="F355" s="85"/>
      <c r="G355" s="86"/>
      <c r="H355" s="86"/>
      <c r="I355" s="87"/>
      <c r="J355" s="85"/>
      <c r="K355" s="85"/>
      <c r="M355" s="81"/>
      <c r="O355" s="85"/>
      <c r="P355" s="85"/>
      <c r="Q355" s="81"/>
    </row>
    <row r="356" spans="3:17" x14ac:dyDescent="0.3">
      <c r="C356" s="81"/>
      <c r="F356" s="85"/>
      <c r="G356" s="86"/>
      <c r="H356" s="86"/>
      <c r="I356" s="87"/>
      <c r="J356" s="85"/>
      <c r="K356" s="85"/>
      <c r="M356" s="81"/>
      <c r="O356" s="85"/>
      <c r="P356" s="85"/>
      <c r="Q356" s="81"/>
    </row>
    <row r="357" spans="3:17" x14ac:dyDescent="0.3">
      <c r="C357" s="81"/>
      <c r="F357" s="85"/>
      <c r="G357" s="86"/>
      <c r="H357" s="86"/>
      <c r="I357" s="87"/>
      <c r="J357" s="85"/>
      <c r="K357" s="85"/>
      <c r="M357" s="81"/>
      <c r="O357" s="85"/>
      <c r="P357" s="85"/>
      <c r="Q357" s="81"/>
    </row>
    <row r="358" spans="3:17" x14ac:dyDescent="0.3">
      <c r="C358" s="81"/>
      <c r="F358" s="85"/>
      <c r="G358" s="86"/>
      <c r="H358" s="86"/>
      <c r="I358" s="87"/>
      <c r="J358" s="85"/>
      <c r="K358" s="85"/>
      <c r="M358" s="81"/>
      <c r="O358" s="85"/>
      <c r="P358" s="85"/>
      <c r="Q358" s="81"/>
    </row>
    <row r="359" spans="3:17" x14ac:dyDescent="0.3">
      <c r="C359" s="81"/>
      <c r="F359" s="85"/>
      <c r="G359" s="86"/>
      <c r="H359" s="86"/>
      <c r="I359" s="87"/>
      <c r="J359" s="85"/>
      <c r="K359" s="85"/>
      <c r="M359" s="81"/>
      <c r="O359" s="85"/>
      <c r="P359" s="85"/>
      <c r="Q359" s="81"/>
    </row>
    <row r="360" spans="3:17" x14ac:dyDescent="0.3">
      <c r="C360" s="81"/>
      <c r="F360" s="85"/>
      <c r="G360" s="86"/>
      <c r="H360" s="86"/>
      <c r="I360" s="87"/>
      <c r="J360" s="85"/>
      <c r="K360" s="85"/>
      <c r="M360" s="81"/>
      <c r="O360" s="85"/>
      <c r="P360" s="85"/>
      <c r="Q360" s="81"/>
    </row>
    <row r="361" spans="3:17" x14ac:dyDescent="0.3">
      <c r="C361" s="81"/>
      <c r="F361" s="85"/>
      <c r="G361" s="86"/>
      <c r="H361" s="86"/>
      <c r="I361" s="87"/>
      <c r="J361" s="85"/>
      <c r="K361" s="85"/>
      <c r="M361" s="81"/>
      <c r="O361" s="85"/>
      <c r="P361" s="85"/>
      <c r="Q361" s="81"/>
    </row>
    <row r="362" spans="3:17" x14ac:dyDescent="0.3">
      <c r="C362" s="81"/>
      <c r="F362" s="85"/>
      <c r="G362" s="86"/>
      <c r="H362" s="86"/>
      <c r="I362" s="87"/>
      <c r="J362" s="85"/>
      <c r="K362" s="85"/>
      <c r="M362" s="81"/>
      <c r="O362" s="85"/>
      <c r="P362" s="85"/>
      <c r="Q362" s="81"/>
    </row>
    <row r="363" spans="3:17" x14ac:dyDescent="0.3">
      <c r="C363" s="81"/>
      <c r="F363" s="85"/>
      <c r="G363" s="86"/>
      <c r="H363" s="86"/>
      <c r="I363" s="87"/>
      <c r="J363" s="85"/>
      <c r="K363" s="85"/>
      <c r="M363" s="81"/>
      <c r="O363" s="85"/>
      <c r="P363" s="85"/>
      <c r="Q363" s="81"/>
    </row>
    <row r="364" spans="3:17" x14ac:dyDescent="0.3">
      <c r="C364" s="81"/>
      <c r="F364" s="85"/>
      <c r="G364" s="86"/>
      <c r="H364" s="86"/>
      <c r="I364" s="87"/>
      <c r="J364" s="85"/>
      <c r="K364" s="85"/>
      <c r="M364" s="81"/>
      <c r="O364" s="85"/>
      <c r="P364" s="85"/>
      <c r="Q364" s="81"/>
    </row>
    <row r="365" spans="3:17" x14ac:dyDescent="0.3">
      <c r="C365" s="81"/>
      <c r="F365" s="85"/>
      <c r="G365" s="86"/>
      <c r="H365" s="86"/>
      <c r="I365" s="87"/>
      <c r="J365" s="85"/>
      <c r="K365" s="85"/>
      <c r="M365" s="81"/>
      <c r="O365" s="85"/>
      <c r="P365" s="85"/>
      <c r="Q365" s="81"/>
    </row>
    <row r="366" spans="3:17" x14ac:dyDescent="0.3">
      <c r="C366" s="81"/>
      <c r="F366" s="85"/>
      <c r="G366" s="86"/>
      <c r="H366" s="86"/>
      <c r="I366" s="87"/>
      <c r="J366" s="85"/>
      <c r="K366" s="85"/>
      <c r="M366" s="81"/>
      <c r="O366" s="85"/>
      <c r="P366" s="85"/>
      <c r="Q366" s="81"/>
    </row>
    <row r="367" spans="3:17" x14ac:dyDescent="0.3">
      <c r="C367" s="81"/>
      <c r="F367" s="85"/>
      <c r="G367" s="86"/>
      <c r="H367" s="86"/>
      <c r="I367" s="87"/>
      <c r="J367" s="85"/>
      <c r="K367" s="85"/>
      <c r="M367" s="81"/>
      <c r="O367" s="85"/>
      <c r="P367" s="85"/>
      <c r="Q367" s="81"/>
    </row>
    <row r="368" spans="3:17" x14ac:dyDescent="0.3">
      <c r="C368" s="81"/>
      <c r="F368" s="85"/>
      <c r="G368" s="86"/>
      <c r="H368" s="86"/>
      <c r="I368" s="87"/>
      <c r="J368" s="85"/>
      <c r="K368" s="85"/>
      <c r="M368" s="81"/>
      <c r="O368" s="85"/>
      <c r="P368" s="85"/>
      <c r="Q368" s="81"/>
    </row>
    <row r="369" spans="3:17" x14ac:dyDescent="0.3">
      <c r="C369" s="81"/>
      <c r="F369" s="85"/>
      <c r="G369" s="86"/>
      <c r="H369" s="86"/>
      <c r="I369" s="87"/>
      <c r="J369" s="85"/>
      <c r="K369" s="85"/>
      <c r="M369" s="81"/>
      <c r="O369" s="85"/>
      <c r="P369" s="85"/>
      <c r="Q369" s="81"/>
    </row>
    <row r="370" spans="3:17" x14ac:dyDescent="0.3">
      <c r="C370" s="81"/>
      <c r="F370" s="85"/>
      <c r="G370" s="86"/>
      <c r="H370" s="86"/>
      <c r="I370" s="87"/>
      <c r="J370" s="85"/>
      <c r="K370" s="85"/>
      <c r="M370" s="81"/>
      <c r="O370" s="85"/>
      <c r="P370" s="85"/>
      <c r="Q370" s="81"/>
    </row>
    <row r="371" spans="3:17" x14ac:dyDescent="0.3">
      <c r="C371" s="81"/>
      <c r="F371" s="85"/>
      <c r="G371" s="86"/>
      <c r="H371" s="86"/>
      <c r="I371" s="87"/>
      <c r="J371" s="85"/>
      <c r="K371" s="85"/>
      <c r="M371" s="81"/>
      <c r="O371" s="85"/>
      <c r="P371" s="85"/>
      <c r="Q371" s="81"/>
    </row>
    <row r="372" spans="3:17" x14ac:dyDescent="0.3">
      <c r="C372" s="81"/>
      <c r="F372" s="85"/>
      <c r="G372" s="86"/>
      <c r="H372" s="86"/>
      <c r="I372" s="87"/>
      <c r="J372" s="85"/>
      <c r="K372" s="85"/>
      <c r="M372" s="81"/>
      <c r="O372" s="85"/>
      <c r="P372" s="85"/>
      <c r="Q372" s="81"/>
    </row>
    <row r="373" spans="3:17" x14ac:dyDescent="0.3">
      <c r="C373" s="81"/>
      <c r="F373" s="85"/>
      <c r="G373" s="86"/>
      <c r="H373" s="86"/>
      <c r="I373" s="87"/>
      <c r="J373" s="85"/>
      <c r="K373" s="85"/>
      <c r="M373" s="81"/>
      <c r="O373" s="85"/>
      <c r="P373" s="85"/>
      <c r="Q373" s="81"/>
    </row>
    <row r="374" spans="3:17" x14ac:dyDescent="0.3">
      <c r="C374" s="81"/>
      <c r="F374" s="85"/>
      <c r="G374" s="86"/>
      <c r="H374" s="86"/>
      <c r="I374" s="87"/>
      <c r="J374" s="85"/>
      <c r="K374" s="85"/>
      <c r="M374" s="81"/>
      <c r="O374" s="85"/>
      <c r="P374" s="85"/>
      <c r="Q374" s="81"/>
    </row>
    <row r="375" spans="3:17" x14ac:dyDescent="0.3">
      <c r="C375" s="81"/>
      <c r="F375" s="85"/>
      <c r="G375" s="86"/>
      <c r="H375" s="86"/>
      <c r="I375" s="87"/>
      <c r="J375" s="85"/>
      <c r="K375" s="85"/>
      <c r="M375" s="81"/>
      <c r="O375" s="85"/>
      <c r="P375" s="85"/>
      <c r="Q375" s="81"/>
    </row>
    <row r="376" spans="3:17" x14ac:dyDescent="0.3">
      <c r="C376" s="81"/>
      <c r="F376" s="85"/>
      <c r="G376" s="86"/>
      <c r="H376" s="86"/>
      <c r="I376" s="87"/>
      <c r="J376" s="85"/>
      <c r="K376" s="85"/>
      <c r="M376" s="81"/>
      <c r="O376" s="85"/>
      <c r="P376" s="85"/>
      <c r="Q376" s="81"/>
    </row>
    <row r="377" spans="3:17" x14ac:dyDescent="0.3">
      <c r="C377" s="81"/>
      <c r="F377" s="85"/>
      <c r="G377" s="86"/>
      <c r="H377" s="86"/>
      <c r="I377" s="87"/>
      <c r="J377" s="85"/>
      <c r="K377" s="85"/>
      <c r="M377" s="81"/>
      <c r="O377" s="85"/>
      <c r="P377" s="85"/>
      <c r="Q377" s="81"/>
    </row>
    <row r="378" spans="3:17" x14ac:dyDescent="0.3">
      <c r="C378" s="81"/>
      <c r="F378" s="85"/>
      <c r="G378" s="86"/>
      <c r="H378" s="86"/>
      <c r="I378" s="87"/>
      <c r="J378" s="85"/>
      <c r="K378" s="85"/>
      <c r="M378" s="81"/>
      <c r="O378" s="85"/>
      <c r="P378" s="85"/>
      <c r="Q378" s="81"/>
    </row>
    <row r="379" spans="3:17" x14ac:dyDescent="0.3">
      <c r="C379" s="81"/>
      <c r="F379" s="85"/>
      <c r="G379" s="86"/>
      <c r="H379" s="86"/>
      <c r="I379" s="87"/>
      <c r="J379" s="85"/>
      <c r="K379" s="85"/>
      <c r="M379" s="81"/>
      <c r="O379" s="85"/>
      <c r="P379" s="85"/>
      <c r="Q379" s="81"/>
    </row>
    <row r="380" spans="3:17" x14ac:dyDescent="0.3">
      <c r="C380" s="81"/>
      <c r="F380" s="85"/>
      <c r="G380" s="86"/>
      <c r="H380" s="86"/>
      <c r="I380" s="87"/>
      <c r="J380" s="85"/>
      <c r="K380" s="85"/>
      <c r="M380" s="81"/>
      <c r="O380" s="85"/>
      <c r="P380" s="85"/>
      <c r="Q380" s="81"/>
    </row>
    <row r="381" spans="3:17" x14ac:dyDescent="0.3">
      <c r="C381" s="81"/>
      <c r="F381" s="85"/>
      <c r="G381" s="86"/>
      <c r="H381" s="86"/>
      <c r="I381" s="87"/>
      <c r="J381" s="85"/>
      <c r="K381" s="85"/>
      <c r="M381" s="81"/>
      <c r="O381" s="85"/>
      <c r="P381" s="85"/>
      <c r="Q381" s="81"/>
    </row>
    <row r="382" spans="3:17" x14ac:dyDescent="0.3">
      <c r="C382" s="81"/>
      <c r="F382" s="85"/>
      <c r="G382" s="86"/>
      <c r="H382" s="86"/>
      <c r="I382" s="87"/>
      <c r="J382" s="85"/>
      <c r="K382" s="85"/>
      <c r="M382" s="81"/>
      <c r="O382" s="85"/>
      <c r="P382" s="85"/>
      <c r="Q382" s="81"/>
    </row>
    <row r="383" spans="3:17" x14ac:dyDescent="0.3">
      <c r="C383" s="81"/>
      <c r="F383" s="85"/>
      <c r="G383" s="86"/>
      <c r="H383" s="86"/>
      <c r="I383" s="87"/>
      <c r="J383" s="85"/>
      <c r="K383" s="85"/>
      <c r="M383" s="81"/>
      <c r="O383" s="85"/>
      <c r="P383" s="85"/>
      <c r="Q383" s="81"/>
    </row>
    <row r="384" spans="3:17" x14ac:dyDescent="0.3">
      <c r="C384" s="81"/>
      <c r="F384" s="85"/>
      <c r="G384" s="86"/>
      <c r="H384" s="86"/>
      <c r="I384" s="87"/>
      <c r="J384" s="85"/>
      <c r="K384" s="85"/>
      <c r="M384" s="81"/>
      <c r="O384" s="85"/>
      <c r="P384" s="85"/>
      <c r="Q384" s="81"/>
    </row>
    <row r="385" spans="3:17" x14ac:dyDescent="0.3">
      <c r="C385" s="81"/>
      <c r="F385" s="85"/>
      <c r="G385" s="86"/>
      <c r="H385" s="86"/>
      <c r="I385" s="87"/>
      <c r="J385" s="85"/>
      <c r="K385" s="85"/>
      <c r="M385" s="81"/>
      <c r="O385" s="85"/>
      <c r="P385" s="85"/>
      <c r="Q385" s="81"/>
    </row>
    <row r="386" spans="3:17" x14ac:dyDescent="0.3">
      <c r="C386" s="81"/>
      <c r="F386" s="85"/>
      <c r="G386" s="86"/>
      <c r="H386" s="86"/>
      <c r="I386" s="87"/>
      <c r="J386" s="85"/>
      <c r="K386" s="85"/>
      <c r="M386" s="81"/>
      <c r="O386" s="85"/>
      <c r="P386" s="85"/>
      <c r="Q386" s="81"/>
    </row>
    <row r="387" spans="3:17" x14ac:dyDescent="0.3">
      <c r="C387" s="81"/>
      <c r="F387" s="85"/>
      <c r="G387" s="86"/>
      <c r="H387" s="86"/>
      <c r="I387" s="87"/>
      <c r="J387" s="85"/>
      <c r="K387" s="85"/>
      <c r="M387" s="81"/>
      <c r="O387" s="85"/>
      <c r="P387" s="85"/>
      <c r="Q387" s="81"/>
    </row>
    <row r="388" spans="3:17" x14ac:dyDescent="0.3">
      <c r="C388" s="81"/>
      <c r="F388" s="85"/>
      <c r="G388" s="86"/>
      <c r="H388" s="86"/>
      <c r="I388" s="87"/>
      <c r="J388" s="85"/>
      <c r="K388" s="85"/>
      <c r="M388" s="81"/>
      <c r="O388" s="85"/>
      <c r="P388" s="85"/>
      <c r="Q388" s="81"/>
    </row>
    <row r="389" spans="3:17" x14ac:dyDescent="0.3">
      <c r="C389" s="81"/>
      <c r="F389" s="85"/>
      <c r="G389" s="86"/>
      <c r="H389" s="86"/>
      <c r="I389" s="87"/>
      <c r="J389" s="85"/>
      <c r="K389" s="85"/>
      <c r="M389" s="81"/>
      <c r="O389" s="85"/>
      <c r="P389" s="85"/>
      <c r="Q389" s="81"/>
    </row>
    <row r="390" spans="3:17" x14ac:dyDescent="0.3">
      <c r="C390" s="81"/>
      <c r="F390" s="85"/>
      <c r="G390" s="86"/>
      <c r="H390" s="86"/>
      <c r="I390" s="87"/>
      <c r="J390" s="85"/>
      <c r="K390" s="85"/>
      <c r="M390" s="81"/>
      <c r="O390" s="85"/>
      <c r="P390" s="85"/>
      <c r="Q390" s="81"/>
    </row>
    <row r="391" spans="3:17" x14ac:dyDescent="0.3">
      <c r="C391" s="81"/>
      <c r="F391" s="85"/>
      <c r="G391" s="86"/>
      <c r="H391" s="86"/>
      <c r="I391" s="87"/>
      <c r="J391" s="85"/>
      <c r="K391" s="85"/>
      <c r="M391" s="81"/>
      <c r="O391" s="85"/>
      <c r="P391" s="85"/>
      <c r="Q391" s="81"/>
    </row>
    <row r="392" spans="3:17" x14ac:dyDescent="0.3">
      <c r="C392" s="81"/>
      <c r="F392" s="85"/>
      <c r="G392" s="86"/>
      <c r="H392" s="86"/>
      <c r="I392" s="87"/>
      <c r="J392" s="85"/>
      <c r="K392" s="85"/>
      <c r="M392" s="81"/>
      <c r="O392" s="85"/>
      <c r="P392" s="85"/>
      <c r="Q392" s="81"/>
    </row>
    <row r="393" spans="3:17" x14ac:dyDescent="0.3">
      <c r="C393" s="81"/>
      <c r="F393" s="85"/>
      <c r="G393" s="86"/>
      <c r="H393" s="86"/>
      <c r="I393" s="87"/>
      <c r="J393" s="85"/>
      <c r="K393" s="85"/>
      <c r="M393" s="81"/>
      <c r="O393" s="85"/>
      <c r="P393" s="85"/>
      <c r="Q393" s="81"/>
    </row>
    <row r="394" spans="3:17" x14ac:dyDescent="0.3">
      <c r="C394" s="81"/>
      <c r="F394" s="85"/>
      <c r="G394" s="86"/>
      <c r="H394" s="86"/>
      <c r="I394" s="87"/>
      <c r="J394" s="85"/>
      <c r="K394" s="85"/>
      <c r="M394" s="81"/>
      <c r="O394" s="85"/>
      <c r="P394" s="85"/>
      <c r="Q394" s="81"/>
    </row>
    <row r="395" spans="3:17" x14ac:dyDescent="0.3">
      <c r="C395" s="81"/>
      <c r="F395" s="85"/>
      <c r="G395" s="86"/>
      <c r="H395" s="86"/>
      <c r="I395" s="87"/>
      <c r="J395" s="85"/>
      <c r="K395" s="85"/>
      <c r="M395" s="81"/>
      <c r="O395" s="85"/>
      <c r="P395" s="85"/>
      <c r="Q395" s="81"/>
    </row>
    <row r="396" spans="3:17" x14ac:dyDescent="0.3">
      <c r="C396" s="81"/>
      <c r="F396" s="85"/>
      <c r="G396" s="86"/>
      <c r="H396" s="86"/>
      <c r="I396" s="87"/>
      <c r="J396" s="85"/>
      <c r="K396" s="85"/>
      <c r="M396" s="81"/>
      <c r="O396" s="85"/>
      <c r="P396" s="85"/>
      <c r="Q396" s="81"/>
    </row>
    <row r="397" spans="3:17" x14ac:dyDescent="0.3">
      <c r="C397" s="81"/>
      <c r="F397" s="85"/>
      <c r="G397" s="86"/>
      <c r="H397" s="86"/>
      <c r="I397" s="87"/>
      <c r="J397" s="85"/>
      <c r="K397" s="85"/>
      <c r="M397" s="81"/>
      <c r="O397" s="85"/>
      <c r="P397" s="85"/>
      <c r="Q397" s="81"/>
    </row>
    <row r="398" spans="3:17" x14ac:dyDescent="0.3">
      <c r="C398" s="81"/>
      <c r="F398" s="85"/>
      <c r="G398" s="86"/>
      <c r="H398" s="86"/>
      <c r="I398" s="87"/>
      <c r="J398" s="85"/>
      <c r="K398" s="85"/>
      <c r="M398" s="81"/>
      <c r="O398" s="85"/>
      <c r="P398" s="85"/>
      <c r="Q398" s="81"/>
    </row>
    <row r="399" spans="3:17" x14ac:dyDescent="0.3">
      <c r="C399" s="81"/>
      <c r="F399" s="85"/>
      <c r="G399" s="86"/>
      <c r="H399" s="86"/>
      <c r="I399" s="87"/>
      <c r="J399" s="85"/>
      <c r="K399" s="85"/>
      <c r="M399" s="81"/>
      <c r="O399" s="85"/>
      <c r="P399" s="85"/>
      <c r="Q399" s="81"/>
    </row>
    <row r="400" spans="3:17" x14ac:dyDescent="0.3">
      <c r="C400" s="81"/>
      <c r="F400" s="85"/>
      <c r="G400" s="86"/>
      <c r="H400" s="86"/>
      <c r="I400" s="87"/>
      <c r="J400" s="85"/>
      <c r="K400" s="85"/>
      <c r="M400" s="81"/>
      <c r="O400" s="85"/>
      <c r="P400" s="85"/>
      <c r="Q400" s="81"/>
    </row>
    <row r="401" spans="3:17" x14ac:dyDescent="0.3">
      <c r="C401" s="81"/>
      <c r="F401" s="85"/>
      <c r="G401" s="86"/>
      <c r="H401" s="86"/>
      <c r="I401" s="87"/>
      <c r="J401" s="85"/>
      <c r="K401" s="85"/>
      <c r="M401" s="81"/>
      <c r="O401" s="85"/>
      <c r="P401" s="85"/>
      <c r="Q401" s="81"/>
    </row>
    <row r="402" spans="3:17" x14ac:dyDescent="0.3">
      <c r="C402" s="81"/>
      <c r="F402" s="85"/>
      <c r="G402" s="86"/>
      <c r="H402" s="86"/>
      <c r="I402" s="87"/>
      <c r="J402" s="85"/>
      <c r="K402" s="85"/>
      <c r="M402" s="81"/>
      <c r="O402" s="85"/>
      <c r="P402" s="85"/>
      <c r="Q402" s="81"/>
    </row>
    <row r="403" spans="3:17" x14ac:dyDescent="0.3">
      <c r="C403" s="81"/>
      <c r="F403" s="85"/>
      <c r="G403" s="86"/>
      <c r="H403" s="86"/>
      <c r="I403" s="87"/>
      <c r="J403" s="85"/>
      <c r="K403" s="85"/>
      <c r="M403" s="81"/>
      <c r="O403" s="85"/>
      <c r="P403" s="85"/>
      <c r="Q403" s="81"/>
    </row>
    <row r="404" spans="3:17" x14ac:dyDescent="0.3">
      <c r="C404" s="81"/>
      <c r="F404" s="85"/>
      <c r="G404" s="86"/>
      <c r="H404" s="86"/>
      <c r="I404" s="87"/>
      <c r="J404" s="85"/>
      <c r="K404" s="85"/>
      <c r="M404" s="81"/>
      <c r="O404" s="85"/>
      <c r="P404" s="85"/>
      <c r="Q404" s="81"/>
    </row>
    <row r="405" spans="3:17" x14ac:dyDescent="0.3">
      <c r="C405" s="81"/>
      <c r="F405" s="85"/>
      <c r="G405" s="86"/>
      <c r="H405" s="86"/>
      <c r="I405" s="87"/>
      <c r="J405" s="85"/>
      <c r="K405" s="85"/>
      <c r="M405" s="81"/>
      <c r="O405" s="85"/>
      <c r="P405" s="85"/>
      <c r="Q405" s="81"/>
    </row>
    <row r="406" spans="3:17" x14ac:dyDescent="0.3">
      <c r="C406" s="81"/>
      <c r="F406" s="85"/>
      <c r="G406" s="86"/>
      <c r="H406" s="86"/>
      <c r="I406" s="87"/>
      <c r="J406" s="85"/>
      <c r="K406" s="85"/>
      <c r="M406" s="81"/>
      <c r="O406" s="85"/>
      <c r="P406" s="85"/>
      <c r="Q406" s="81"/>
    </row>
    <row r="407" spans="3:17" x14ac:dyDescent="0.3">
      <c r="C407" s="81"/>
      <c r="F407" s="85"/>
      <c r="G407" s="86"/>
      <c r="H407" s="86"/>
      <c r="I407" s="87"/>
      <c r="J407" s="85"/>
      <c r="K407" s="85"/>
      <c r="M407" s="81"/>
      <c r="O407" s="85"/>
      <c r="P407" s="85"/>
      <c r="Q407" s="81"/>
    </row>
    <row r="408" spans="3:17" x14ac:dyDescent="0.3">
      <c r="C408" s="81"/>
      <c r="F408" s="85"/>
      <c r="G408" s="86"/>
      <c r="H408" s="86"/>
      <c r="I408" s="87"/>
      <c r="J408" s="85"/>
      <c r="K408" s="85"/>
      <c r="M408" s="81"/>
      <c r="O408" s="85"/>
      <c r="P408" s="85"/>
      <c r="Q408" s="81"/>
    </row>
    <row r="409" spans="3:17" x14ac:dyDescent="0.3">
      <c r="C409" s="81"/>
      <c r="F409" s="85"/>
      <c r="G409" s="86"/>
      <c r="H409" s="86"/>
      <c r="I409" s="87"/>
      <c r="J409" s="85"/>
      <c r="K409" s="85"/>
      <c r="M409" s="81"/>
      <c r="O409" s="85"/>
      <c r="P409" s="85"/>
      <c r="Q409" s="81"/>
    </row>
    <row r="410" spans="3:17" x14ac:dyDescent="0.3">
      <c r="C410" s="81"/>
      <c r="F410" s="85"/>
      <c r="G410" s="86"/>
      <c r="H410" s="86"/>
      <c r="I410" s="87"/>
      <c r="J410" s="85"/>
      <c r="K410" s="85"/>
      <c r="M410" s="81"/>
      <c r="O410" s="85"/>
      <c r="P410" s="85"/>
      <c r="Q410" s="81"/>
    </row>
    <row r="411" spans="3:17" x14ac:dyDescent="0.3">
      <c r="C411" s="81"/>
      <c r="F411" s="85"/>
      <c r="G411" s="86"/>
      <c r="H411" s="86"/>
      <c r="I411" s="87"/>
      <c r="J411" s="85"/>
      <c r="K411" s="85"/>
      <c r="M411" s="81"/>
      <c r="O411" s="85"/>
      <c r="P411" s="85"/>
      <c r="Q411" s="81"/>
    </row>
    <row r="412" spans="3:17" x14ac:dyDescent="0.3">
      <c r="C412" s="81"/>
      <c r="F412" s="85"/>
      <c r="G412" s="86"/>
      <c r="H412" s="86"/>
      <c r="I412" s="87"/>
      <c r="J412" s="85"/>
      <c r="K412" s="85"/>
      <c r="M412" s="81"/>
      <c r="O412" s="85"/>
      <c r="P412" s="85"/>
      <c r="Q412" s="81"/>
    </row>
    <row r="413" spans="3:17" x14ac:dyDescent="0.3">
      <c r="C413" s="81"/>
      <c r="F413" s="85"/>
      <c r="G413" s="86"/>
      <c r="H413" s="86"/>
      <c r="I413" s="87"/>
      <c r="J413" s="85"/>
      <c r="K413" s="85"/>
      <c r="M413" s="81"/>
      <c r="O413" s="85"/>
      <c r="P413" s="85"/>
      <c r="Q413" s="81"/>
    </row>
    <row r="414" spans="3:17" x14ac:dyDescent="0.3">
      <c r="C414" s="81"/>
      <c r="F414" s="85"/>
      <c r="G414" s="86"/>
      <c r="H414" s="86"/>
      <c r="I414" s="87"/>
      <c r="J414" s="85"/>
      <c r="K414" s="85"/>
      <c r="M414" s="81"/>
      <c r="O414" s="85"/>
      <c r="P414" s="85"/>
      <c r="Q414" s="81"/>
    </row>
    <row r="415" spans="3:17" x14ac:dyDescent="0.3">
      <c r="C415" s="81"/>
      <c r="F415" s="85"/>
      <c r="G415" s="86"/>
      <c r="H415" s="86"/>
      <c r="I415" s="87"/>
      <c r="J415" s="85"/>
      <c r="K415" s="85"/>
      <c r="M415" s="81"/>
      <c r="O415" s="85"/>
      <c r="P415" s="85"/>
      <c r="Q415" s="81"/>
    </row>
    <row r="416" spans="3:17" x14ac:dyDescent="0.3">
      <c r="C416" s="81"/>
      <c r="F416" s="85"/>
      <c r="G416" s="86"/>
      <c r="H416" s="86"/>
      <c r="I416" s="87"/>
      <c r="J416" s="85"/>
      <c r="K416" s="85"/>
      <c r="M416" s="81"/>
      <c r="O416" s="85"/>
      <c r="P416" s="85"/>
      <c r="Q416" s="81"/>
    </row>
    <row r="417" spans="3:17" x14ac:dyDescent="0.3">
      <c r="C417" s="81"/>
      <c r="F417" s="85"/>
      <c r="G417" s="86"/>
      <c r="H417" s="86"/>
      <c r="I417" s="87"/>
      <c r="J417" s="85"/>
      <c r="K417" s="85"/>
      <c r="M417" s="81"/>
      <c r="O417" s="85"/>
      <c r="P417" s="85"/>
      <c r="Q417" s="81"/>
    </row>
    <row r="418" spans="3:17" x14ac:dyDescent="0.3">
      <c r="C418" s="81"/>
      <c r="F418" s="85"/>
      <c r="G418" s="86"/>
      <c r="H418" s="86"/>
      <c r="I418" s="87"/>
      <c r="J418" s="85"/>
      <c r="K418" s="85"/>
      <c r="M418" s="81"/>
      <c r="O418" s="85"/>
      <c r="P418" s="85"/>
      <c r="Q418" s="81"/>
    </row>
    <row r="419" spans="3:17" x14ac:dyDescent="0.3">
      <c r="C419" s="81"/>
      <c r="F419" s="85"/>
      <c r="G419" s="86"/>
      <c r="H419" s="86"/>
      <c r="I419" s="87"/>
      <c r="J419" s="85"/>
      <c r="K419" s="85"/>
      <c r="M419" s="81"/>
      <c r="O419" s="85"/>
      <c r="P419" s="85"/>
      <c r="Q419" s="81"/>
    </row>
    <row r="420" spans="3:17" x14ac:dyDescent="0.3">
      <c r="C420" s="81"/>
      <c r="F420" s="85"/>
      <c r="G420" s="86"/>
      <c r="H420" s="86"/>
      <c r="I420" s="87"/>
      <c r="J420" s="85"/>
      <c r="K420" s="85"/>
      <c r="M420" s="81"/>
      <c r="O420" s="85"/>
      <c r="P420" s="85"/>
      <c r="Q420" s="81"/>
    </row>
    <row r="421" spans="3:17" x14ac:dyDescent="0.3">
      <c r="C421" s="81"/>
      <c r="F421" s="85"/>
      <c r="G421" s="86"/>
      <c r="H421" s="86"/>
      <c r="I421" s="87"/>
      <c r="J421" s="85"/>
      <c r="K421" s="85"/>
      <c r="M421" s="81"/>
      <c r="O421" s="85"/>
      <c r="P421" s="85"/>
      <c r="Q421" s="81"/>
    </row>
    <row r="422" spans="3:17" x14ac:dyDescent="0.3">
      <c r="C422" s="81"/>
      <c r="F422" s="85"/>
      <c r="G422" s="86"/>
      <c r="H422" s="86"/>
      <c r="I422" s="87"/>
      <c r="J422" s="85"/>
      <c r="K422" s="85"/>
      <c r="M422" s="81"/>
      <c r="O422" s="85"/>
      <c r="P422" s="85"/>
      <c r="Q422" s="81"/>
    </row>
    <row r="423" spans="3:17" x14ac:dyDescent="0.3">
      <c r="C423" s="81"/>
      <c r="F423" s="85"/>
      <c r="G423" s="86"/>
      <c r="H423" s="86"/>
      <c r="I423" s="87"/>
      <c r="J423" s="85"/>
      <c r="K423" s="85"/>
      <c r="M423" s="81"/>
      <c r="O423" s="85"/>
      <c r="P423" s="85"/>
      <c r="Q423" s="81"/>
    </row>
    <row r="424" spans="3:17" x14ac:dyDescent="0.3">
      <c r="C424" s="81"/>
      <c r="F424" s="85"/>
      <c r="G424" s="86"/>
      <c r="H424" s="86"/>
      <c r="I424" s="87"/>
      <c r="J424" s="85"/>
      <c r="K424" s="85"/>
      <c r="M424" s="81"/>
      <c r="O424" s="85"/>
      <c r="P424" s="85"/>
      <c r="Q424" s="81"/>
    </row>
    <row r="425" spans="3:17" x14ac:dyDescent="0.3">
      <c r="C425" s="81"/>
      <c r="F425" s="85"/>
      <c r="G425" s="86"/>
      <c r="H425" s="86"/>
      <c r="I425" s="87"/>
      <c r="J425" s="85"/>
      <c r="K425" s="85"/>
      <c r="M425" s="81"/>
      <c r="O425" s="85"/>
      <c r="P425" s="85"/>
      <c r="Q425" s="81"/>
    </row>
    <row r="426" spans="3:17" x14ac:dyDescent="0.3">
      <c r="C426" s="81"/>
      <c r="F426" s="85"/>
      <c r="G426" s="86"/>
      <c r="H426" s="86"/>
      <c r="I426" s="87"/>
      <c r="J426" s="85"/>
      <c r="K426" s="85"/>
      <c r="M426" s="81"/>
      <c r="O426" s="85"/>
      <c r="P426" s="85"/>
      <c r="Q426" s="81"/>
    </row>
    <row r="427" spans="3:17" x14ac:dyDescent="0.3">
      <c r="C427" s="81"/>
      <c r="F427" s="85"/>
      <c r="G427" s="86"/>
      <c r="H427" s="86"/>
      <c r="I427" s="87"/>
      <c r="J427" s="85"/>
      <c r="K427" s="85"/>
      <c r="M427" s="81"/>
      <c r="O427" s="85"/>
      <c r="P427" s="85"/>
      <c r="Q427" s="81"/>
    </row>
    <row r="428" spans="3:17" x14ac:dyDescent="0.3">
      <c r="C428" s="81"/>
      <c r="F428" s="85"/>
      <c r="G428" s="86"/>
      <c r="H428" s="86"/>
      <c r="I428" s="87"/>
      <c r="J428" s="85"/>
      <c r="K428" s="85"/>
      <c r="M428" s="81"/>
      <c r="O428" s="85"/>
      <c r="P428" s="85"/>
      <c r="Q428" s="81"/>
    </row>
    <row r="429" spans="3:17" x14ac:dyDescent="0.3">
      <c r="C429" s="81"/>
      <c r="F429" s="85"/>
      <c r="G429" s="86"/>
      <c r="H429" s="86"/>
      <c r="I429" s="87"/>
      <c r="J429" s="85"/>
      <c r="K429" s="85"/>
      <c r="M429" s="81"/>
      <c r="O429" s="85"/>
      <c r="P429" s="85"/>
      <c r="Q429" s="81"/>
    </row>
    <row r="430" spans="3:17" x14ac:dyDescent="0.3">
      <c r="C430" s="81"/>
      <c r="F430" s="85"/>
      <c r="G430" s="86"/>
      <c r="H430" s="86"/>
      <c r="I430" s="87"/>
      <c r="J430" s="85"/>
      <c r="K430" s="85"/>
      <c r="M430" s="81"/>
      <c r="O430" s="85"/>
      <c r="P430" s="85"/>
      <c r="Q430" s="81"/>
    </row>
    <row r="431" spans="3:17" x14ac:dyDescent="0.3">
      <c r="C431" s="81"/>
      <c r="F431" s="85"/>
      <c r="G431" s="86"/>
      <c r="H431" s="86"/>
      <c r="I431" s="87"/>
      <c r="J431" s="85"/>
      <c r="K431" s="85"/>
      <c r="M431" s="81"/>
      <c r="O431" s="85"/>
      <c r="P431" s="85"/>
      <c r="Q431" s="81"/>
    </row>
    <row r="432" spans="3:17" x14ac:dyDescent="0.3">
      <c r="C432" s="81"/>
      <c r="F432" s="85"/>
      <c r="G432" s="86"/>
      <c r="H432" s="86"/>
      <c r="I432" s="87"/>
      <c r="J432" s="85"/>
      <c r="K432" s="85"/>
      <c r="M432" s="81"/>
      <c r="O432" s="85"/>
      <c r="P432" s="85"/>
      <c r="Q432" s="81"/>
    </row>
    <row r="433" spans="3:17" x14ac:dyDescent="0.3">
      <c r="C433" s="81"/>
      <c r="F433" s="85"/>
      <c r="G433" s="86"/>
      <c r="H433" s="86"/>
      <c r="I433" s="87"/>
      <c r="J433" s="85"/>
      <c r="K433" s="85"/>
      <c r="M433" s="81"/>
      <c r="O433" s="85"/>
      <c r="P433" s="85"/>
      <c r="Q433" s="81"/>
    </row>
    <row r="434" spans="3:17" x14ac:dyDescent="0.3">
      <c r="C434" s="81"/>
      <c r="F434" s="85"/>
      <c r="G434" s="86"/>
      <c r="H434" s="86"/>
      <c r="I434" s="87"/>
      <c r="J434" s="85"/>
      <c r="K434" s="85"/>
      <c r="M434" s="81"/>
      <c r="O434" s="85"/>
      <c r="P434" s="85"/>
      <c r="Q434" s="81"/>
    </row>
    <row r="435" spans="3:17" x14ac:dyDescent="0.3">
      <c r="C435" s="81"/>
      <c r="F435" s="85"/>
      <c r="G435" s="86"/>
      <c r="H435" s="86"/>
      <c r="I435" s="87"/>
      <c r="J435" s="85"/>
      <c r="K435" s="85"/>
      <c r="M435" s="81"/>
      <c r="O435" s="85"/>
      <c r="P435" s="85"/>
      <c r="Q435" s="81"/>
    </row>
    <row r="436" spans="3:17" x14ac:dyDescent="0.3">
      <c r="C436" s="81"/>
      <c r="F436" s="85"/>
      <c r="G436" s="86"/>
      <c r="H436" s="86"/>
      <c r="I436" s="87"/>
      <c r="J436" s="85"/>
      <c r="K436" s="85"/>
      <c r="M436" s="81"/>
      <c r="O436" s="85"/>
      <c r="P436" s="85"/>
      <c r="Q436" s="81"/>
    </row>
    <row r="437" spans="3:17" x14ac:dyDescent="0.3">
      <c r="C437" s="81"/>
      <c r="F437" s="85"/>
      <c r="G437" s="86"/>
      <c r="H437" s="86"/>
      <c r="I437" s="87"/>
      <c r="J437" s="85"/>
      <c r="K437" s="85"/>
      <c r="M437" s="81"/>
      <c r="O437" s="85"/>
      <c r="P437" s="85"/>
      <c r="Q437" s="81"/>
    </row>
    <row r="438" spans="3:17" x14ac:dyDescent="0.3">
      <c r="C438" s="81"/>
      <c r="F438" s="85"/>
      <c r="G438" s="86"/>
      <c r="H438" s="86"/>
      <c r="I438" s="87"/>
      <c r="J438" s="85"/>
      <c r="K438" s="85"/>
      <c r="M438" s="81"/>
      <c r="O438" s="85"/>
      <c r="P438" s="85"/>
      <c r="Q438" s="81"/>
    </row>
    <row r="439" spans="3:17" x14ac:dyDescent="0.3">
      <c r="C439" s="81"/>
      <c r="F439" s="85"/>
      <c r="G439" s="86"/>
      <c r="H439" s="86"/>
      <c r="I439" s="87"/>
      <c r="J439" s="85"/>
      <c r="K439" s="85"/>
      <c r="M439" s="81"/>
      <c r="O439" s="85"/>
      <c r="P439" s="85"/>
      <c r="Q439" s="81"/>
    </row>
    <row r="440" spans="3:17" x14ac:dyDescent="0.3">
      <c r="C440" s="81"/>
      <c r="F440" s="85"/>
      <c r="G440" s="86"/>
      <c r="H440" s="86"/>
      <c r="I440" s="87"/>
      <c r="J440" s="85"/>
      <c r="K440" s="85"/>
      <c r="M440" s="81"/>
      <c r="O440" s="85"/>
      <c r="P440" s="85"/>
      <c r="Q440" s="81"/>
    </row>
    <row r="441" spans="3:17" x14ac:dyDescent="0.3">
      <c r="C441" s="81"/>
      <c r="F441" s="85"/>
      <c r="G441" s="86"/>
      <c r="H441" s="86"/>
      <c r="I441" s="87"/>
      <c r="J441" s="85"/>
      <c r="K441" s="85"/>
      <c r="M441" s="81"/>
      <c r="O441" s="85"/>
      <c r="P441" s="85"/>
      <c r="Q441" s="81"/>
    </row>
    <row r="442" spans="3:17" x14ac:dyDescent="0.3">
      <c r="C442" s="81"/>
      <c r="F442" s="85"/>
      <c r="G442" s="86"/>
      <c r="H442" s="86"/>
      <c r="I442" s="87"/>
      <c r="J442" s="85"/>
      <c r="K442" s="85"/>
      <c r="M442" s="81"/>
      <c r="O442" s="85"/>
      <c r="P442" s="85"/>
      <c r="Q442" s="81"/>
    </row>
    <row r="443" spans="3:17" x14ac:dyDescent="0.3">
      <c r="C443" s="81"/>
      <c r="F443" s="85"/>
      <c r="G443" s="86"/>
      <c r="H443" s="86"/>
      <c r="I443" s="87"/>
      <c r="J443" s="85"/>
      <c r="K443" s="85"/>
      <c r="M443" s="81"/>
      <c r="O443" s="85"/>
      <c r="P443" s="85"/>
      <c r="Q443" s="81"/>
    </row>
    <row r="444" spans="3:17" x14ac:dyDescent="0.3">
      <c r="C444" s="81"/>
      <c r="F444" s="85"/>
      <c r="G444" s="86"/>
      <c r="H444" s="86"/>
      <c r="I444" s="87"/>
      <c r="J444" s="85"/>
      <c r="K444" s="85"/>
      <c r="M444" s="81"/>
      <c r="O444" s="85"/>
      <c r="P444" s="85"/>
      <c r="Q444" s="81"/>
    </row>
    <row r="445" spans="3:17" x14ac:dyDescent="0.3">
      <c r="C445" s="81"/>
      <c r="F445" s="85"/>
      <c r="G445" s="86"/>
      <c r="H445" s="86"/>
      <c r="I445" s="87"/>
      <c r="J445" s="85"/>
      <c r="K445" s="85"/>
      <c r="M445" s="81"/>
      <c r="O445" s="85"/>
      <c r="P445" s="85"/>
      <c r="Q445" s="81"/>
    </row>
    <row r="446" spans="3:17" x14ac:dyDescent="0.3">
      <c r="C446" s="81"/>
      <c r="F446" s="85"/>
      <c r="G446" s="86"/>
      <c r="H446" s="86"/>
      <c r="I446" s="87"/>
      <c r="J446" s="85"/>
      <c r="K446" s="85"/>
      <c r="M446" s="81"/>
      <c r="O446" s="85"/>
      <c r="P446" s="85"/>
      <c r="Q446" s="81"/>
    </row>
    <row r="447" spans="3:17" x14ac:dyDescent="0.3">
      <c r="C447" s="81"/>
      <c r="F447" s="85"/>
      <c r="G447" s="86"/>
      <c r="H447" s="86"/>
      <c r="I447" s="87"/>
      <c r="J447" s="85"/>
      <c r="K447" s="85"/>
      <c r="M447" s="81"/>
      <c r="O447" s="85"/>
      <c r="P447" s="85"/>
      <c r="Q447" s="81"/>
    </row>
    <row r="448" spans="3:17" x14ac:dyDescent="0.3">
      <c r="C448" s="81"/>
      <c r="F448" s="85"/>
      <c r="G448" s="86"/>
      <c r="H448" s="86"/>
      <c r="I448" s="87"/>
      <c r="J448" s="85"/>
      <c r="K448" s="85"/>
      <c r="M448" s="81"/>
      <c r="O448" s="85"/>
      <c r="P448" s="85"/>
      <c r="Q448" s="81"/>
    </row>
    <row r="449" spans="3:17" x14ac:dyDescent="0.3">
      <c r="C449" s="81"/>
      <c r="F449" s="85"/>
      <c r="G449" s="86"/>
      <c r="H449" s="86"/>
      <c r="I449" s="87"/>
      <c r="J449" s="85"/>
      <c r="K449" s="85"/>
      <c r="M449" s="81"/>
      <c r="O449" s="85"/>
      <c r="P449" s="85"/>
      <c r="Q449" s="81"/>
    </row>
    <row r="450" spans="3:17" x14ac:dyDescent="0.3">
      <c r="C450" s="81"/>
      <c r="F450" s="85"/>
      <c r="G450" s="86"/>
      <c r="H450" s="86"/>
      <c r="I450" s="87"/>
      <c r="J450" s="85"/>
      <c r="K450" s="85"/>
      <c r="M450" s="81"/>
      <c r="O450" s="85"/>
      <c r="P450" s="85"/>
      <c r="Q450" s="81"/>
    </row>
    <row r="451" spans="3:17" x14ac:dyDescent="0.3">
      <c r="C451" s="81"/>
      <c r="F451" s="85"/>
      <c r="G451" s="86"/>
      <c r="H451" s="86"/>
      <c r="I451" s="87"/>
      <c r="J451" s="85"/>
      <c r="K451" s="85"/>
      <c r="M451" s="81"/>
      <c r="O451" s="85"/>
      <c r="P451" s="85"/>
      <c r="Q451" s="81"/>
    </row>
    <row r="452" spans="3:17" x14ac:dyDescent="0.3">
      <c r="C452" s="81"/>
      <c r="F452" s="85"/>
      <c r="G452" s="86"/>
      <c r="H452" s="86"/>
      <c r="I452" s="87"/>
      <c r="J452" s="85"/>
      <c r="K452" s="85"/>
      <c r="M452" s="81"/>
      <c r="O452" s="85"/>
      <c r="P452" s="85"/>
      <c r="Q452" s="81"/>
    </row>
    <row r="453" spans="3:17" x14ac:dyDescent="0.3">
      <c r="C453" s="81"/>
      <c r="F453" s="85"/>
      <c r="G453" s="86"/>
      <c r="H453" s="86"/>
      <c r="I453" s="87"/>
      <c r="J453" s="85"/>
      <c r="K453" s="85"/>
      <c r="M453" s="81"/>
      <c r="O453" s="85"/>
      <c r="P453" s="85"/>
      <c r="Q453" s="81"/>
    </row>
    <row r="454" spans="3:17" x14ac:dyDescent="0.3">
      <c r="C454" s="81"/>
      <c r="F454" s="85"/>
      <c r="G454" s="86"/>
      <c r="H454" s="86"/>
      <c r="I454" s="87"/>
      <c r="J454" s="85"/>
      <c r="K454" s="85"/>
      <c r="M454" s="81"/>
      <c r="O454" s="85"/>
      <c r="P454" s="85"/>
      <c r="Q454" s="81"/>
    </row>
    <row r="455" spans="3:17" x14ac:dyDescent="0.3">
      <c r="C455" s="81"/>
      <c r="F455" s="85"/>
      <c r="G455" s="86"/>
      <c r="H455" s="86"/>
      <c r="I455" s="87"/>
      <c r="J455" s="85"/>
      <c r="K455" s="85"/>
      <c r="M455" s="81"/>
      <c r="O455" s="85"/>
      <c r="P455" s="85"/>
      <c r="Q455" s="81"/>
    </row>
    <row r="456" spans="3:17" x14ac:dyDescent="0.3">
      <c r="C456" s="81"/>
      <c r="F456" s="85"/>
      <c r="G456" s="86"/>
      <c r="H456" s="86"/>
      <c r="I456" s="87"/>
      <c r="J456" s="85"/>
      <c r="K456" s="85"/>
      <c r="M456" s="81"/>
      <c r="O456" s="85"/>
      <c r="P456" s="85"/>
      <c r="Q456" s="81"/>
    </row>
    <row r="457" spans="3:17" x14ac:dyDescent="0.3">
      <c r="C457" s="81"/>
      <c r="F457" s="85"/>
      <c r="G457" s="86"/>
      <c r="H457" s="86"/>
      <c r="I457" s="87"/>
      <c r="J457" s="85"/>
      <c r="K457" s="85"/>
      <c r="M457" s="81"/>
      <c r="O457" s="85"/>
      <c r="P457" s="85"/>
      <c r="Q457" s="81"/>
    </row>
    <row r="458" spans="3:17" x14ac:dyDescent="0.3">
      <c r="C458" s="81"/>
      <c r="F458" s="85"/>
      <c r="G458" s="86"/>
      <c r="H458" s="86"/>
      <c r="I458" s="87"/>
      <c r="J458" s="85"/>
      <c r="K458" s="85"/>
      <c r="M458" s="81"/>
      <c r="O458" s="85"/>
      <c r="P458" s="85"/>
      <c r="Q458" s="81"/>
    </row>
    <row r="459" spans="3:17" x14ac:dyDescent="0.3">
      <c r="C459" s="81"/>
      <c r="F459" s="85"/>
      <c r="G459" s="86"/>
      <c r="H459" s="86"/>
      <c r="I459" s="87"/>
      <c r="J459" s="85"/>
      <c r="K459" s="85"/>
      <c r="M459" s="81"/>
      <c r="O459" s="85"/>
      <c r="P459" s="85"/>
      <c r="Q459" s="81"/>
    </row>
    <row r="460" spans="3:17" x14ac:dyDescent="0.3">
      <c r="C460" s="81"/>
      <c r="F460" s="85"/>
      <c r="G460" s="86"/>
      <c r="H460" s="86"/>
      <c r="I460" s="87"/>
      <c r="J460" s="85"/>
      <c r="K460" s="85"/>
      <c r="M460" s="81"/>
      <c r="O460" s="85"/>
      <c r="P460" s="85"/>
      <c r="Q460" s="81"/>
    </row>
    <row r="461" spans="3:17" x14ac:dyDescent="0.3">
      <c r="C461" s="81"/>
      <c r="F461" s="85"/>
      <c r="G461" s="86"/>
      <c r="H461" s="86"/>
      <c r="I461" s="87"/>
      <c r="J461" s="85"/>
      <c r="K461" s="85"/>
      <c r="M461" s="81"/>
      <c r="O461" s="85"/>
      <c r="P461" s="85"/>
      <c r="Q461" s="81"/>
    </row>
    <row r="462" spans="3:17" x14ac:dyDescent="0.3">
      <c r="C462" s="81"/>
      <c r="F462" s="85"/>
      <c r="G462" s="86"/>
      <c r="H462" s="86"/>
      <c r="I462" s="87"/>
      <c r="J462" s="85"/>
      <c r="K462" s="85"/>
      <c r="M462" s="81"/>
      <c r="O462" s="85"/>
      <c r="P462" s="85"/>
      <c r="Q462" s="81"/>
    </row>
    <row r="463" spans="3:17" x14ac:dyDescent="0.3">
      <c r="C463" s="81"/>
      <c r="F463" s="85"/>
      <c r="G463" s="86"/>
      <c r="H463" s="86"/>
      <c r="I463" s="87"/>
      <c r="J463" s="85"/>
      <c r="K463" s="85"/>
      <c r="M463" s="81"/>
      <c r="O463" s="85"/>
      <c r="P463" s="85"/>
      <c r="Q463" s="81"/>
    </row>
    <row r="464" spans="3:17" x14ac:dyDescent="0.3">
      <c r="C464" s="81"/>
      <c r="F464" s="85"/>
      <c r="G464" s="86"/>
      <c r="H464" s="86"/>
      <c r="I464" s="87"/>
      <c r="J464" s="85"/>
      <c r="K464" s="85"/>
      <c r="M464" s="81"/>
      <c r="O464" s="85"/>
      <c r="P464" s="85"/>
      <c r="Q464" s="81"/>
    </row>
    <row r="465" spans="3:17" x14ac:dyDescent="0.3">
      <c r="C465" s="81"/>
      <c r="F465" s="85"/>
      <c r="G465" s="86"/>
      <c r="H465" s="86"/>
      <c r="I465" s="87"/>
      <c r="J465" s="85"/>
      <c r="K465" s="85"/>
      <c r="M465" s="81"/>
      <c r="O465" s="85"/>
      <c r="P465" s="85"/>
      <c r="Q465" s="81"/>
    </row>
    <row r="466" spans="3:17" x14ac:dyDescent="0.3">
      <c r="C466" s="81"/>
      <c r="F466" s="85"/>
      <c r="G466" s="86"/>
      <c r="H466" s="86"/>
      <c r="I466" s="87"/>
      <c r="J466" s="85"/>
      <c r="K466" s="85"/>
      <c r="M466" s="81"/>
      <c r="O466" s="85"/>
      <c r="P466" s="85"/>
      <c r="Q466" s="81"/>
    </row>
    <row r="467" spans="3:17" x14ac:dyDescent="0.3">
      <c r="C467" s="81"/>
      <c r="F467" s="85"/>
      <c r="G467" s="86"/>
      <c r="H467" s="86"/>
      <c r="I467" s="87"/>
      <c r="J467" s="85"/>
      <c r="K467" s="85"/>
      <c r="M467" s="81"/>
      <c r="O467" s="85"/>
      <c r="P467" s="85"/>
      <c r="Q467" s="81"/>
    </row>
    <row r="468" spans="3:17" x14ac:dyDescent="0.3">
      <c r="C468" s="81"/>
      <c r="F468" s="85"/>
      <c r="G468" s="86"/>
      <c r="H468" s="86"/>
      <c r="I468" s="87"/>
      <c r="J468" s="85"/>
      <c r="K468" s="85"/>
      <c r="M468" s="81"/>
      <c r="O468" s="85"/>
      <c r="P468" s="85"/>
      <c r="Q468" s="81"/>
    </row>
    <row r="469" spans="3:17" x14ac:dyDescent="0.3">
      <c r="C469" s="81"/>
      <c r="F469" s="85"/>
      <c r="G469" s="86"/>
      <c r="H469" s="86"/>
      <c r="I469" s="87"/>
      <c r="J469" s="85"/>
      <c r="K469" s="85"/>
      <c r="M469" s="81"/>
      <c r="O469" s="85"/>
      <c r="P469" s="85"/>
      <c r="Q469" s="81"/>
    </row>
    <row r="470" spans="3:17" x14ac:dyDescent="0.3">
      <c r="C470" s="81"/>
      <c r="F470" s="85"/>
      <c r="G470" s="86"/>
      <c r="H470" s="86"/>
      <c r="I470" s="87"/>
      <c r="J470" s="85"/>
      <c r="K470" s="85"/>
      <c r="M470" s="81"/>
      <c r="O470" s="85"/>
      <c r="P470" s="85"/>
      <c r="Q470" s="81"/>
    </row>
    <row r="471" spans="3:17" x14ac:dyDescent="0.3">
      <c r="C471" s="81"/>
      <c r="F471" s="85"/>
      <c r="G471" s="86"/>
      <c r="H471" s="86"/>
      <c r="I471" s="87"/>
      <c r="J471" s="85"/>
      <c r="K471" s="85"/>
      <c r="M471" s="81"/>
      <c r="O471" s="85"/>
      <c r="P471" s="85"/>
      <c r="Q471" s="81"/>
    </row>
    <row r="472" spans="3:17" x14ac:dyDescent="0.3">
      <c r="C472" s="81"/>
      <c r="F472" s="85"/>
      <c r="G472" s="86"/>
      <c r="H472" s="86"/>
      <c r="I472" s="87"/>
      <c r="J472" s="85"/>
      <c r="K472" s="85"/>
      <c r="M472" s="81"/>
      <c r="O472" s="85"/>
      <c r="P472" s="85"/>
      <c r="Q472" s="81"/>
    </row>
    <row r="473" spans="3:17" x14ac:dyDescent="0.3">
      <c r="C473" s="81"/>
      <c r="F473" s="85"/>
      <c r="G473" s="86"/>
      <c r="H473" s="86"/>
      <c r="I473" s="87"/>
      <c r="J473" s="85"/>
      <c r="K473" s="85"/>
      <c r="M473" s="81"/>
      <c r="O473" s="85"/>
      <c r="P473" s="85"/>
      <c r="Q473" s="81"/>
    </row>
    <row r="474" spans="3:17" x14ac:dyDescent="0.3">
      <c r="C474" s="81"/>
      <c r="F474" s="85"/>
      <c r="G474" s="86"/>
      <c r="H474" s="86"/>
      <c r="I474" s="87"/>
      <c r="J474" s="85"/>
      <c r="K474" s="85"/>
      <c r="M474" s="81"/>
      <c r="O474" s="85"/>
      <c r="P474" s="85"/>
      <c r="Q474" s="81"/>
    </row>
    <row r="475" spans="3:17" x14ac:dyDescent="0.3">
      <c r="C475" s="81"/>
      <c r="F475" s="85"/>
      <c r="G475" s="86"/>
      <c r="H475" s="86"/>
      <c r="I475" s="87"/>
      <c r="J475" s="85"/>
      <c r="K475" s="85"/>
      <c r="M475" s="81"/>
      <c r="O475" s="85"/>
      <c r="P475" s="85"/>
      <c r="Q475" s="81"/>
    </row>
    <row r="476" spans="3:17" x14ac:dyDescent="0.3">
      <c r="C476" s="81"/>
      <c r="F476" s="85"/>
      <c r="G476" s="86"/>
      <c r="H476" s="86"/>
      <c r="I476" s="87"/>
      <c r="J476" s="85"/>
      <c r="K476" s="85"/>
      <c r="M476" s="81"/>
      <c r="O476" s="85"/>
      <c r="P476" s="85"/>
      <c r="Q476" s="81"/>
    </row>
    <row r="477" spans="3:17" x14ac:dyDescent="0.3">
      <c r="C477" s="81"/>
      <c r="F477" s="85"/>
      <c r="G477" s="86"/>
      <c r="H477" s="86"/>
      <c r="I477" s="87"/>
      <c r="J477" s="85"/>
      <c r="K477" s="85"/>
      <c r="M477" s="81"/>
      <c r="O477" s="85"/>
      <c r="P477" s="85"/>
      <c r="Q477" s="81"/>
    </row>
    <row r="478" spans="3:17" x14ac:dyDescent="0.3">
      <c r="C478" s="81"/>
      <c r="F478" s="85"/>
      <c r="G478" s="86"/>
      <c r="H478" s="86"/>
      <c r="I478" s="87"/>
      <c r="J478" s="85"/>
      <c r="K478" s="85"/>
      <c r="M478" s="81"/>
      <c r="O478" s="85"/>
      <c r="P478" s="85"/>
      <c r="Q478" s="81"/>
    </row>
    <row r="479" spans="3:17" x14ac:dyDescent="0.3">
      <c r="C479" s="81"/>
      <c r="F479" s="85"/>
      <c r="G479" s="86"/>
      <c r="H479" s="86"/>
      <c r="I479" s="87"/>
      <c r="J479" s="85"/>
      <c r="K479" s="85"/>
      <c r="M479" s="81"/>
      <c r="O479" s="85"/>
      <c r="P479" s="85"/>
      <c r="Q479" s="81"/>
    </row>
    <row r="480" spans="3:17" x14ac:dyDescent="0.3">
      <c r="C480" s="81"/>
      <c r="F480" s="85"/>
      <c r="G480" s="86"/>
      <c r="H480" s="86"/>
      <c r="I480" s="87"/>
      <c r="J480" s="85"/>
      <c r="K480" s="85"/>
      <c r="M480" s="81"/>
      <c r="O480" s="85"/>
      <c r="P480" s="85"/>
      <c r="Q480" s="81"/>
    </row>
    <row r="481" spans="3:17" x14ac:dyDescent="0.3">
      <c r="C481" s="81"/>
      <c r="F481" s="85"/>
      <c r="G481" s="86"/>
      <c r="H481" s="86"/>
      <c r="I481" s="87"/>
      <c r="J481" s="85"/>
      <c r="K481" s="85"/>
      <c r="M481" s="81"/>
      <c r="O481" s="85"/>
      <c r="P481" s="85"/>
      <c r="Q481" s="81"/>
    </row>
    <row r="482" spans="3:17" x14ac:dyDescent="0.3">
      <c r="C482" s="81"/>
      <c r="F482" s="85"/>
      <c r="G482" s="86"/>
      <c r="H482" s="86"/>
      <c r="I482" s="87"/>
      <c r="J482" s="85"/>
      <c r="K482" s="85"/>
      <c r="M482" s="81"/>
      <c r="O482" s="85"/>
      <c r="P482" s="85"/>
      <c r="Q482" s="81"/>
    </row>
    <row r="483" spans="3:17" x14ac:dyDescent="0.3">
      <c r="C483" s="81"/>
      <c r="F483" s="85"/>
      <c r="G483" s="86"/>
      <c r="H483" s="86"/>
      <c r="I483" s="87"/>
      <c r="J483" s="85"/>
      <c r="K483" s="85"/>
      <c r="M483" s="81"/>
      <c r="O483" s="85"/>
      <c r="P483" s="85"/>
      <c r="Q483" s="81"/>
    </row>
    <row r="484" spans="3:17" x14ac:dyDescent="0.3">
      <c r="C484" s="81"/>
      <c r="F484" s="85"/>
      <c r="G484" s="86"/>
      <c r="H484" s="86"/>
      <c r="I484" s="87"/>
      <c r="J484" s="85"/>
      <c r="K484" s="85"/>
      <c r="M484" s="81"/>
      <c r="O484" s="85"/>
      <c r="P484" s="85"/>
      <c r="Q484" s="81"/>
    </row>
    <row r="485" spans="3:17" x14ac:dyDescent="0.3">
      <c r="C485" s="81"/>
      <c r="F485" s="85"/>
      <c r="G485" s="86"/>
      <c r="H485" s="86"/>
      <c r="I485" s="87"/>
      <c r="J485" s="85"/>
      <c r="K485" s="85"/>
      <c r="M485" s="81"/>
      <c r="O485" s="85"/>
      <c r="P485" s="85"/>
      <c r="Q485" s="81"/>
    </row>
    <row r="486" spans="3:17" x14ac:dyDescent="0.3">
      <c r="C486" s="81"/>
      <c r="F486" s="85"/>
      <c r="G486" s="86"/>
      <c r="H486" s="86"/>
      <c r="I486" s="87"/>
      <c r="J486" s="85"/>
      <c r="K486" s="85"/>
      <c r="M486" s="81"/>
      <c r="O486" s="85"/>
      <c r="P486" s="85"/>
      <c r="Q486" s="81"/>
    </row>
    <row r="487" spans="3:17" x14ac:dyDescent="0.3">
      <c r="C487" s="81"/>
      <c r="F487" s="85"/>
      <c r="G487" s="86"/>
      <c r="H487" s="86"/>
      <c r="I487" s="87"/>
      <c r="J487" s="85"/>
      <c r="K487" s="85"/>
      <c r="M487" s="81"/>
      <c r="O487" s="85"/>
      <c r="P487" s="85"/>
      <c r="Q487" s="81"/>
    </row>
    <row r="488" spans="3:17" x14ac:dyDescent="0.3">
      <c r="C488" s="81"/>
      <c r="F488" s="85"/>
      <c r="G488" s="86"/>
      <c r="H488" s="86"/>
      <c r="I488" s="87"/>
      <c r="J488" s="85"/>
      <c r="K488" s="85"/>
      <c r="M488" s="81"/>
      <c r="O488" s="85"/>
      <c r="P488" s="85"/>
      <c r="Q488" s="81"/>
    </row>
    <row r="489" spans="3:17" x14ac:dyDescent="0.3">
      <c r="C489" s="81"/>
      <c r="F489" s="85"/>
      <c r="G489" s="86"/>
      <c r="H489" s="86"/>
      <c r="I489" s="87"/>
      <c r="J489" s="85"/>
      <c r="K489" s="85"/>
      <c r="M489" s="81"/>
      <c r="O489" s="85"/>
      <c r="P489" s="85"/>
      <c r="Q489" s="81"/>
    </row>
    <row r="490" spans="3:17" x14ac:dyDescent="0.3">
      <c r="C490" s="81"/>
      <c r="F490" s="85"/>
      <c r="G490" s="86"/>
      <c r="H490" s="86"/>
      <c r="I490" s="87"/>
      <c r="J490" s="85"/>
      <c r="K490" s="85"/>
      <c r="M490" s="81"/>
      <c r="O490" s="85"/>
      <c r="P490" s="85"/>
      <c r="Q490" s="81"/>
    </row>
    <row r="491" spans="3:17" x14ac:dyDescent="0.3">
      <c r="C491" s="81"/>
      <c r="F491" s="85"/>
      <c r="G491" s="86"/>
      <c r="H491" s="86"/>
      <c r="I491" s="87"/>
      <c r="J491" s="85"/>
      <c r="K491" s="85"/>
      <c r="M491" s="81"/>
      <c r="O491" s="85"/>
      <c r="P491" s="85"/>
      <c r="Q491" s="81"/>
    </row>
    <row r="492" spans="3:17" x14ac:dyDescent="0.3">
      <c r="C492" s="81"/>
      <c r="F492" s="85"/>
      <c r="G492" s="86"/>
      <c r="H492" s="86"/>
      <c r="I492" s="87"/>
      <c r="J492" s="85"/>
      <c r="K492" s="85"/>
      <c r="M492" s="81"/>
      <c r="O492" s="85"/>
      <c r="P492" s="85"/>
      <c r="Q492" s="81"/>
    </row>
    <row r="493" spans="3:17" x14ac:dyDescent="0.3">
      <c r="C493" s="81"/>
      <c r="F493" s="85"/>
      <c r="G493" s="86"/>
      <c r="H493" s="86"/>
      <c r="I493" s="87"/>
      <c r="J493" s="85"/>
      <c r="K493" s="85"/>
      <c r="M493" s="81"/>
      <c r="O493" s="85"/>
      <c r="P493" s="85"/>
      <c r="Q493" s="81"/>
    </row>
    <row r="494" spans="3:17" x14ac:dyDescent="0.3">
      <c r="C494" s="81"/>
      <c r="F494" s="85"/>
      <c r="G494" s="86"/>
      <c r="H494" s="86"/>
      <c r="I494" s="87"/>
      <c r="J494" s="85"/>
      <c r="K494" s="85"/>
      <c r="M494" s="81"/>
      <c r="O494" s="85"/>
      <c r="P494" s="85"/>
      <c r="Q494" s="81"/>
    </row>
    <row r="495" spans="3:17" x14ac:dyDescent="0.3">
      <c r="C495" s="81"/>
      <c r="F495" s="85"/>
      <c r="G495" s="86"/>
      <c r="H495" s="86"/>
      <c r="I495" s="87"/>
      <c r="J495" s="85"/>
      <c r="K495" s="85"/>
      <c r="M495" s="81"/>
      <c r="O495" s="85"/>
      <c r="P495" s="85"/>
      <c r="Q495" s="81"/>
    </row>
    <row r="496" spans="3:17" x14ac:dyDescent="0.3">
      <c r="C496" s="81"/>
      <c r="F496" s="85"/>
      <c r="G496" s="86"/>
      <c r="H496" s="86"/>
      <c r="I496" s="87"/>
      <c r="J496" s="85"/>
      <c r="K496" s="85"/>
      <c r="M496" s="81"/>
      <c r="O496" s="85"/>
      <c r="P496" s="85"/>
      <c r="Q496" s="81"/>
    </row>
    <row r="497" spans="3:17" x14ac:dyDescent="0.3">
      <c r="C497" s="81"/>
      <c r="F497" s="85"/>
      <c r="G497" s="86"/>
      <c r="H497" s="86"/>
      <c r="I497" s="87"/>
      <c r="J497" s="85"/>
      <c r="K497" s="85"/>
      <c r="M497" s="81"/>
      <c r="O497" s="85"/>
      <c r="P497" s="85"/>
      <c r="Q497" s="81"/>
    </row>
    <row r="498" spans="3:17" x14ac:dyDescent="0.3">
      <c r="C498" s="81"/>
      <c r="F498" s="85"/>
      <c r="G498" s="86"/>
      <c r="H498" s="86"/>
      <c r="I498" s="87"/>
      <c r="J498" s="85"/>
      <c r="K498" s="85"/>
      <c r="M498" s="81"/>
      <c r="O498" s="85"/>
      <c r="P498" s="85"/>
      <c r="Q498" s="81"/>
    </row>
    <row r="499" spans="3:17" x14ac:dyDescent="0.3">
      <c r="C499" s="81"/>
      <c r="F499" s="85"/>
      <c r="G499" s="86"/>
      <c r="H499" s="86"/>
      <c r="I499" s="87"/>
      <c r="J499" s="85"/>
      <c r="K499" s="85"/>
      <c r="M499" s="81"/>
      <c r="O499" s="85"/>
      <c r="P499" s="85"/>
      <c r="Q499" s="81"/>
    </row>
    <row r="500" spans="3:17" x14ac:dyDescent="0.3">
      <c r="C500" s="81"/>
      <c r="F500" s="85"/>
      <c r="G500" s="86"/>
      <c r="H500" s="86"/>
      <c r="I500" s="87"/>
      <c r="J500" s="85"/>
      <c r="K500" s="85"/>
      <c r="M500" s="81"/>
      <c r="O500" s="85"/>
      <c r="P500" s="85"/>
      <c r="Q500" s="81"/>
    </row>
    <row r="501" spans="3:17" x14ac:dyDescent="0.3">
      <c r="C501" s="81"/>
      <c r="F501" s="85"/>
      <c r="G501" s="86"/>
      <c r="H501" s="86"/>
      <c r="I501" s="87"/>
      <c r="J501" s="85"/>
      <c r="K501" s="85"/>
      <c r="M501" s="81"/>
      <c r="O501" s="85"/>
      <c r="P501" s="85"/>
      <c r="Q501" s="81"/>
    </row>
    <row r="502" spans="3:17" x14ac:dyDescent="0.3">
      <c r="C502" s="81"/>
      <c r="F502" s="85"/>
      <c r="G502" s="86"/>
      <c r="H502" s="86"/>
      <c r="I502" s="87"/>
      <c r="J502" s="85"/>
      <c r="K502" s="85"/>
      <c r="M502" s="81"/>
      <c r="O502" s="85"/>
      <c r="P502" s="85"/>
      <c r="Q502" s="81"/>
    </row>
    <row r="503" spans="3:17" x14ac:dyDescent="0.3">
      <c r="C503" s="81"/>
      <c r="F503" s="85"/>
      <c r="G503" s="86"/>
      <c r="H503" s="86"/>
      <c r="I503" s="87"/>
      <c r="J503" s="85"/>
      <c r="K503" s="85"/>
      <c r="M503" s="81"/>
      <c r="O503" s="85"/>
      <c r="P503" s="85"/>
      <c r="Q503" s="81"/>
    </row>
    <row r="504" spans="3:17" x14ac:dyDescent="0.3">
      <c r="C504" s="81"/>
      <c r="F504" s="85"/>
      <c r="G504" s="86"/>
      <c r="H504" s="86"/>
      <c r="I504" s="87"/>
      <c r="J504" s="85"/>
      <c r="K504" s="85"/>
      <c r="M504" s="81"/>
      <c r="O504" s="85"/>
      <c r="P504" s="85"/>
      <c r="Q504" s="81"/>
    </row>
    <row r="505" spans="3:17" x14ac:dyDescent="0.3">
      <c r="C505" s="81"/>
      <c r="F505" s="85"/>
      <c r="G505" s="86"/>
      <c r="H505" s="86"/>
      <c r="I505" s="87"/>
      <c r="J505" s="85"/>
      <c r="K505" s="85"/>
      <c r="M505" s="81"/>
      <c r="O505" s="85"/>
      <c r="P505" s="85"/>
      <c r="Q505" s="81"/>
    </row>
    <row r="506" spans="3:17" x14ac:dyDescent="0.3">
      <c r="C506" s="81"/>
      <c r="F506" s="85"/>
      <c r="G506" s="86"/>
      <c r="H506" s="86"/>
      <c r="I506" s="87"/>
      <c r="J506" s="85"/>
      <c r="K506" s="85"/>
      <c r="M506" s="81"/>
      <c r="O506" s="85"/>
      <c r="P506" s="85"/>
      <c r="Q506" s="81"/>
    </row>
    <row r="507" spans="3:17" x14ac:dyDescent="0.3">
      <c r="C507" s="81"/>
      <c r="F507" s="85"/>
      <c r="G507" s="86"/>
      <c r="H507" s="86"/>
      <c r="I507" s="87"/>
      <c r="J507" s="85"/>
      <c r="K507" s="85"/>
      <c r="M507" s="81"/>
      <c r="O507" s="85"/>
      <c r="P507" s="85"/>
      <c r="Q507" s="81"/>
    </row>
    <row r="508" spans="3:17" x14ac:dyDescent="0.3">
      <c r="C508" s="81"/>
      <c r="F508" s="85"/>
      <c r="G508" s="86"/>
      <c r="H508" s="86"/>
      <c r="I508" s="87"/>
      <c r="J508" s="85"/>
      <c r="K508" s="85"/>
      <c r="M508" s="81"/>
      <c r="O508" s="85"/>
      <c r="P508" s="85"/>
      <c r="Q508" s="81"/>
    </row>
    <row r="509" spans="3:17" x14ac:dyDescent="0.3">
      <c r="C509" s="81"/>
      <c r="F509" s="85"/>
      <c r="G509" s="86"/>
      <c r="H509" s="86"/>
      <c r="I509" s="87"/>
      <c r="J509" s="85"/>
      <c r="K509" s="85"/>
      <c r="M509" s="81"/>
      <c r="O509" s="85"/>
      <c r="P509" s="85"/>
      <c r="Q509" s="81"/>
    </row>
    <row r="510" spans="3:17" x14ac:dyDescent="0.3">
      <c r="C510" s="81"/>
      <c r="F510" s="85"/>
      <c r="G510" s="86"/>
      <c r="H510" s="86"/>
      <c r="I510" s="87"/>
      <c r="J510" s="85"/>
      <c r="K510" s="85"/>
      <c r="M510" s="81"/>
      <c r="O510" s="85"/>
      <c r="P510" s="85"/>
      <c r="Q510" s="81"/>
    </row>
    <row r="511" spans="3:17" x14ac:dyDescent="0.3">
      <c r="C511" s="81"/>
      <c r="F511" s="85"/>
      <c r="G511" s="86"/>
      <c r="H511" s="86"/>
      <c r="I511" s="87"/>
      <c r="J511" s="85"/>
      <c r="K511" s="85"/>
      <c r="M511" s="81"/>
      <c r="O511" s="85"/>
      <c r="P511" s="85"/>
      <c r="Q511" s="81"/>
    </row>
    <row r="512" spans="3:17" x14ac:dyDescent="0.3">
      <c r="C512" s="81"/>
      <c r="F512" s="85"/>
      <c r="G512" s="86"/>
      <c r="H512" s="86"/>
      <c r="I512" s="87"/>
      <c r="J512" s="85"/>
      <c r="K512" s="85"/>
      <c r="M512" s="81"/>
      <c r="O512" s="85"/>
      <c r="P512" s="85"/>
      <c r="Q512" s="81"/>
    </row>
    <row r="513" spans="3:17" x14ac:dyDescent="0.3">
      <c r="C513" s="81"/>
      <c r="F513" s="85"/>
      <c r="G513" s="86"/>
      <c r="H513" s="86"/>
      <c r="I513" s="87"/>
      <c r="J513" s="85"/>
      <c r="K513" s="85"/>
      <c r="M513" s="81"/>
      <c r="O513" s="85"/>
      <c r="P513" s="85"/>
      <c r="Q513" s="81"/>
    </row>
    <row r="514" spans="3:17" x14ac:dyDescent="0.3">
      <c r="C514" s="81"/>
      <c r="F514" s="85"/>
      <c r="G514" s="86"/>
      <c r="H514" s="86"/>
      <c r="I514" s="87"/>
      <c r="J514" s="85"/>
      <c r="K514" s="85"/>
      <c r="M514" s="81"/>
      <c r="O514" s="85"/>
      <c r="P514" s="85"/>
      <c r="Q514" s="81"/>
    </row>
    <row r="515" spans="3:17" x14ac:dyDescent="0.3">
      <c r="C515" s="81"/>
      <c r="F515" s="85"/>
      <c r="G515" s="86"/>
      <c r="H515" s="86"/>
      <c r="I515" s="87"/>
      <c r="J515" s="85"/>
      <c r="K515" s="85"/>
      <c r="M515" s="81"/>
      <c r="O515" s="85"/>
      <c r="P515" s="85"/>
      <c r="Q515" s="81"/>
    </row>
    <row r="516" spans="3:17" x14ac:dyDescent="0.3">
      <c r="C516" s="81"/>
      <c r="F516" s="85"/>
      <c r="G516" s="86"/>
      <c r="H516" s="86"/>
      <c r="I516" s="87"/>
      <c r="J516" s="85"/>
      <c r="K516" s="85"/>
      <c r="M516" s="81"/>
      <c r="O516" s="85"/>
      <c r="P516" s="85"/>
      <c r="Q516" s="81"/>
    </row>
    <row r="517" spans="3:17" x14ac:dyDescent="0.3">
      <c r="C517" s="81"/>
      <c r="F517" s="85"/>
      <c r="G517" s="86"/>
      <c r="H517" s="86"/>
      <c r="I517" s="87"/>
      <c r="J517" s="85"/>
      <c r="K517" s="85"/>
      <c r="M517" s="81"/>
      <c r="O517" s="85"/>
      <c r="P517" s="85"/>
      <c r="Q517" s="81"/>
    </row>
    <row r="518" spans="3:17" x14ac:dyDescent="0.3">
      <c r="C518" s="81"/>
      <c r="F518" s="85"/>
      <c r="G518" s="86"/>
      <c r="H518" s="86"/>
      <c r="I518" s="87"/>
      <c r="J518" s="85"/>
      <c r="K518" s="85"/>
      <c r="M518" s="81"/>
      <c r="O518" s="85"/>
      <c r="P518" s="85"/>
      <c r="Q518" s="81"/>
    </row>
    <row r="519" spans="3:17" x14ac:dyDescent="0.3">
      <c r="C519" s="81"/>
      <c r="F519" s="85"/>
      <c r="G519" s="86"/>
      <c r="H519" s="86"/>
      <c r="I519" s="87"/>
      <c r="J519" s="85"/>
      <c r="K519" s="85"/>
      <c r="M519" s="81"/>
      <c r="O519" s="85"/>
      <c r="P519" s="85"/>
      <c r="Q519" s="81"/>
    </row>
    <row r="520" spans="3:17" x14ac:dyDescent="0.3">
      <c r="C520" s="81"/>
      <c r="F520" s="85"/>
      <c r="G520" s="86"/>
      <c r="H520" s="86"/>
      <c r="I520" s="87"/>
      <c r="J520" s="85"/>
      <c r="K520" s="85"/>
      <c r="M520" s="81"/>
      <c r="O520" s="85"/>
      <c r="P520" s="85"/>
      <c r="Q520" s="81"/>
    </row>
    <row r="521" spans="3:17" x14ac:dyDescent="0.3">
      <c r="C521" s="81"/>
      <c r="F521" s="85"/>
      <c r="G521" s="86"/>
      <c r="H521" s="86"/>
      <c r="I521" s="87"/>
      <c r="J521" s="85"/>
      <c r="K521" s="85"/>
      <c r="M521" s="81"/>
      <c r="O521" s="85"/>
      <c r="P521" s="85"/>
      <c r="Q521" s="81"/>
    </row>
    <row r="522" spans="3:17" x14ac:dyDescent="0.3">
      <c r="C522" s="81"/>
      <c r="F522" s="85"/>
      <c r="G522" s="86"/>
      <c r="H522" s="86"/>
      <c r="I522" s="87"/>
      <c r="J522" s="85"/>
      <c r="K522" s="85"/>
      <c r="M522" s="81"/>
      <c r="O522" s="85"/>
      <c r="P522" s="85"/>
      <c r="Q522" s="81"/>
    </row>
    <row r="523" spans="3:17" x14ac:dyDescent="0.3">
      <c r="C523" s="81"/>
      <c r="F523" s="85"/>
      <c r="G523" s="86"/>
      <c r="H523" s="86"/>
      <c r="I523" s="87"/>
      <c r="J523" s="85"/>
      <c r="K523" s="85"/>
      <c r="M523" s="81"/>
      <c r="O523" s="85"/>
      <c r="P523" s="85"/>
      <c r="Q523" s="81"/>
    </row>
    <row r="524" spans="3:17" x14ac:dyDescent="0.3">
      <c r="C524" s="81"/>
      <c r="F524" s="85"/>
      <c r="G524" s="86"/>
      <c r="H524" s="86"/>
      <c r="I524" s="87"/>
      <c r="J524" s="85"/>
      <c r="K524" s="85"/>
      <c r="M524" s="81"/>
      <c r="O524" s="85"/>
      <c r="P524" s="85"/>
      <c r="Q524" s="81"/>
    </row>
    <row r="525" spans="3:17" x14ac:dyDescent="0.3">
      <c r="C525" s="81"/>
      <c r="F525" s="85"/>
      <c r="G525" s="86"/>
      <c r="H525" s="86"/>
      <c r="I525" s="87"/>
      <c r="J525" s="85"/>
      <c r="K525" s="85"/>
      <c r="M525" s="81"/>
      <c r="O525" s="85"/>
      <c r="P525" s="85"/>
      <c r="Q525" s="81"/>
    </row>
    <row r="526" spans="3:17" x14ac:dyDescent="0.3">
      <c r="C526" s="81"/>
      <c r="F526" s="85"/>
      <c r="G526" s="86"/>
      <c r="H526" s="86"/>
      <c r="I526" s="87"/>
      <c r="J526" s="85"/>
      <c r="K526" s="85"/>
      <c r="M526" s="81"/>
      <c r="O526" s="85"/>
      <c r="P526" s="85"/>
      <c r="Q526" s="81"/>
    </row>
    <row r="527" spans="3:17" x14ac:dyDescent="0.3">
      <c r="C527" s="81"/>
      <c r="F527" s="85"/>
      <c r="G527" s="86"/>
      <c r="H527" s="86"/>
      <c r="I527" s="87"/>
      <c r="J527" s="85"/>
      <c r="K527" s="85"/>
      <c r="M527" s="81"/>
      <c r="O527" s="85"/>
      <c r="P527" s="85"/>
      <c r="Q527" s="81"/>
    </row>
    <row r="528" spans="3:17" x14ac:dyDescent="0.3">
      <c r="C528" s="81"/>
      <c r="F528" s="85"/>
      <c r="G528" s="86"/>
      <c r="H528" s="86"/>
      <c r="I528" s="87"/>
      <c r="J528" s="85"/>
      <c r="K528" s="85"/>
      <c r="M528" s="81"/>
      <c r="O528" s="85"/>
      <c r="P528" s="85"/>
      <c r="Q528" s="81"/>
    </row>
    <row r="529" spans="3:17" x14ac:dyDescent="0.3">
      <c r="C529" s="81"/>
      <c r="F529" s="85"/>
      <c r="G529" s="86"/>
      <c r="H529" s="86"/>
      <c r="I529" s="87"/>
      <c r="J529" s="85"/>
      <c r="K529" s="85"/>
      <c r="M529" s="81"/>
      <c r="O529" s="85"/>
      <c r="P529" s="85"/>
      <c r="Q529" s="81"/>
    </row>
    <row r="530" spans="3:17" x14ac:dyDescent="0.3">
      <c r="C530" s="81"/>
      <c r="F530" s="85"/>
      <c r="G530" s="86"/>
      <c r="H530" s="86"/>
      <c r="I530" s="87"/>
      <c r="J530" s="85"/>
      <c r="K530" s="85"/>
      <c r="M530" s="81"/>
      <c r="O530" s="85"/>
      <c r="P530" s="85"/>
      <c r="Q530" s="81"/>
    </row>
    <row r="531" spans="3:17" x14ac:dyDescent="0.3">
      <c r="C531" s="81"/>
      <c r="F531" s="85"/>
      <c r="G531" s="86"/>
      <c r="H531" s="86"/>
      <c r="I531" s="87"/>
      <c r="J531" s="85"/>
      <c r="K531" s="85"/>
      <c r="M531" s="81"/>
      <c r="O531" s="85"/>
      <c r="P531" s="85"/>
      <c r="Q531" s="81"/>
    </row>
    <row r="532" spans="3:17" x14ac:dyDescent="0.3">
      <c r="C532" s="81"/>
      <c r="F532" s="85"/>
      <c r="G532" s="86"/>
      <c r="H532" s="86"/>
      <c r="I532" s="87"/>
      <c r="J532" s="85"/>
      <c r="K532" s="85"/>
      <c r="M532" s="81"/>
      <c r="O532" s="85"/>
      <c r="P532" s="85"/>
      <c r="Q532" s="81"/>
    </row>
    <row r="533" spans="3:17" x14ac:dyDescent="0.3">
      <c r="C533" s="81"/>
      <c r="F533" s="85"/>
      <c r="G533" s="86"/>
      <c r="H533" s="86"/>
      <c r="I533" s="87"/>
      <c r="J533" s="85"/>
      <c r="K533" s="85"/>
      <c r="M533" s="81"/>
      <c r="O533" s="85"/>
      <c r="P533" s="85"/>
      <c r="Q533" s="81"/>
    </row>
    <row r="534" spans="3:17" x14ac:dyDescent="0.3">
      <c r="C534" s="81"/>
      <c r="F534" s="85"/>
      <c r="G534" s="86"/>
      <c r="H534" s="86"/>
      <c r="I534" s="87"/>
      <c r="J534" s="85"/>
      <c r="K534" s="85"/>
      <c r="M534" s="81"/>
      <c r="O534" s="85"/>
      <c r="P534" s="85"/>
      <c r="Q534" s="81"/>
    </row>
    <row r="535" spans="3:17" x14ac:dyDescent="0.3">
      <c r="C535" s="81"/>
      <c r="F535" s="85"/>
      <c r="G535" s="86"/>
      <c r="H535" s="86"/>
      <c r="I535" s="87"/>
      <c r="J535" s="85"/>
      <c r="K535" s="85"/>
      <c r="M535" s="81"/>
      <c r="O535" s="85"/>
      <c r="P535" s="85"/>
      <c r="Q535" s="81"/>
    </row>
    <row r="536" spans="3:17" x14ac:dyDescent="0.3">
      <c r="C536" s="81"/>
      <c r="F536" s="85"/>
      <c r="G536" s="86"/>
      <c r="H536" s="86"/>
      <c r="I536" s="87"/>
      <c r="J536" s="85"/>
      <c r="K536" s="85"/>
      <c r="M536" s="81"/>
      <c r="O536" s="85"/>
      <c r="P536" s="85"/>
      <c r="Q536" s="81"/>
    </row>
    <row r="537" spans="3:17" x14ac:dyDescent="0.3">
      <c r="C537" s="81"/>
      <c r="F537" s="85"/>
      <c r="G537" s="86"/>
      <c r="H537" s="86"/>
      <c r="I537" s="87"/>
      <c r="J537" s="85"/>
      <c r="K537" s="85"/>
      <c r="M537" s="81"/>
      <c r="O537" s="85"/>
      <c r="P537" s="85"/>
      <c r="Q537" s="81"/>
    </row>
    <row r="538" spans="3:17" x14ac:dyDescent="0.3">
      <c r="C538" s="81"/>
      <c r="F538" s="85"/>
      <c r="G538" s="86"/>
      <c r="H538" s="86"/>
      <c r="I538" s="87"/>
      <c r="J538" s="85"/>
      <c r="K538" s="85"/>
      <c r="M538" s="81"/>
      <c r="O538" s="85"/>
      <c r="P538" s="85"/>
      <c r="Q538" s="81"/>
    </row>
    <row r="539" spans="3:17" x14ac:dyDescent="0.3">
      <c r="C539" s="81"/>
      <c r="F539" s="85"/>
      <c r="G539" s="86"/>
      <c r="H539" s="86"/>
      <c r="I539" s="87"/>
      <c r="J539" s="85"/>
      <c r="K539" s="85"/>
      <c r="M539" s="81"/>
      <c r="O539" s="85"/>
      <c r="P539" s="85"/>
      <c r="Q539" s="81"/>
    </row>
    <row r="540" spans="3:17" x14ac:dyDescent="0.3">
      <c r="C540" s="81"/>
      <c r="F540" s="85"/>
      <c r="G540" s="86"/>
      <c r="H540" s="86"/>
      <c r="I540" s="87"/>
      <c r="J540" s="85"/>
      <c r="K540" s="85"/>
      <c r="M540" s="81"/>
      <c r="O540" s="85"/>
      <c r="P540" s="85"/>
      <c r="Q540" s="81"/>
    </row>
    <row r="541" spans="3:17" x14ac:dyDescent="0.3">
      <c r="C541" s="81"/>
      <c r="F541" s="85"/>
      <c r="G541" s="86"/>
      <c r="H541" s="86"/>
      <c r="I541" s="87"/>
      <c r="J541" s="85"/>
      <c r="K541" s="85"/>
      <c r="M541" s="81"/>
      <c r="O541" s="85"/>
      <c r="P541" s="85"/>
      <c r="Q541" s="81"/>
    </row>
    <row r="542" spans="3:17" x14ac:dyDescent="0.3">
      <c r="C542" s="81"/>
      <c r="F542" s="85"/>
      <c r="G542" s="86"/>
      <c r="H542" s="86"/>
      <c r="I542" s="87"/>
      <c r="J542" s="85"/>
      <c r="K542" s="85"/>
      <c r="M542" s="81"/>
      <c r="O542" s="85"/>
      <c r="P542" s="85"/>
      <c r="Q542" s="81"/>
    </row>
    <row r="543" spans="3:17" x14ac:dyDescent="0.3">
      <c r="C543" s="81"/>
      <c r="F543" s="85"/>
      <c r="G543" s="86"/>
      <c r="H543" s="86"/>
      <c r="I543" s="87"/>
      <c r="J543" s="85"/>
      <c r="K543" s="85"/>
      <c r="M543" s="81"/>
      <c r="O543" s="85"/>
      <c r="P543" s="85"/>
      <c r="Q543" s="81"/>
    </row>
    <row r="544" spans="3:17" x14ac:dyDescent="0.3">
      <c r="C544" s="81"/>
      <c r="F544" s="85"/>
      <c r="G544" s="86"/>
      <c r="H544" s="86"/>
      <c r="I544" s="87"/>
      <c r="J544" s="85"/>
      <c r="K544" s="85"/>
      <c r="M544" s="81"/>
      <c r="O544" s="85"/>
      <c r="P544" s="85"/>
      <c r="Q544" s="81"/>
    </row>
    <row r="545" spans="3:17" x14ac:dyDescent="0.3">
      <c r="C545" s="81"/>
      <c r="F545" s="85"/>
      <c r="G545" s="86"/>
      <c r="H545" s="86"/>
      <c r="I545" s="87"/>
      <c r="J545" s="85"/>
      <c r="K545" s="85"/>
      <c r="M545" s="81"/>
      <c r="O545" s="85"/>
      <c r="P545" s="85"/>
      <c r="Q545" s="81"/>
    </row>
    <row r="546" spans="3:17" x14ac:dyDescent="0.3">
      <c r="C546" s="81"/>
      <c r="F546" s="85"/>
      <c r="G546" s="86"/>
      <c r="H546" s="86"/>
      <c r="I546" s="87"/>
      <c r="J546" s="85"/>
      <c r="K546" s="85"/>
      <c r="M546" s="81"/>
      <c r="O546" s="85"/>
      <c r="P546" s="85"/>
      <c r="Q546" s="81"/>
    </row>
    <row r="547" spans="3:17" x14ac:dyDescent="0.3">
      <c r="C547" s="81"/>
      <c r="F547" s="85"/>
      <c r="G547" s="86"/>
      <c r="H547" s="86"/>
      <c r="I547" s="87"/>
      <c r="J547" s="85"/>
      <c r="K547" s="85"/>
      <c r="M547" s="81"/>
      <c r="O547" s="85"/>
      <c r="P547" s="85"/>
      <c r="Q547" s="81"/>
    </row>
    <row r="548" spans="3:17" x14ac:dyDescent="0.3">
      <c r="C548" s="81"/>
      <c r="F548" s="85"/>
      <c r="G548" s="86"/>
      <c r="H548" s="86"/>
      <c r="I548" s="87"/>
      <c r="J548" s="85"/>
      <c r="K548" s="85"/>
      <c r="M548" s="81"/>
      <c r="O548" s="85"/>
      <c r="P548" s="85"/>
      <c r="Q548" s="81"/>
    </row>
    <row r="549" spans="3:17" x14ac:dyDescent="0.3">
      <c r="C549" s="81"/>
      <c r="F549" s="85"/>
      <c r="G549" s="86"/>
      <c r="H549" s="86"/>
      <c r="I549" s="87"/>
      <c r="J549" s="85"/>
      <c r="K549" s="85"/>
      <c r="M549" s="81"/>
      <c r="O549" s="85"/>
      <c r="P549" s="85"/>
      <c r="Q549" s="81"/>
    </row>
    <row r="550" spans="3:17" x14ac:dyDescent="0.3">
      <c r="C550" s="81"/>
      <c r="F550" s="85"/>
      <c r="G550" s="86"/>
      <c r="H550" s="86"/>
      <c r="I550" s="87"/>
      <c r="J550" s="85"/>
      <c r="K550" s="85"/>
      <c r="M550" s="81"/>
      <c r="O550" s="85"/>
      <c r="P550" s="85"/>
      <c r="Q550" s="81"/>
    </row>
    <row r="551" spans="3:17" x14ac:dyDescent="0.3">
      <c r="C551" s="81"/>
      <c r="F551" s="85"/>
      <c r="G551" s="86"/>
      <c r="H551" s="86"/>
      <c r="I551" s="87"/>
      <c r="J551" s="85"/>
      <c r="K551" s="85"/>
      <c r="M551" s="81"/>
      <c r="O551" s="85"/>
      <c r="P551" s="85"/>
      <c r="Q551" s="81"/>
    </row>
    <row r="552" spans="3:17" x14ac:dyDescent="0.3">
      <c r="C552" s="81"/>
      <c r="F552" s="85"/>
      <c r="G552" s="86"/>
      <c r="H552" s="86"/>
      <c r="I552" s="87"/>
      <c r="J552" s="85"/>
      <c r="K552" s="85"/>
      <c r="M552" s="81"/>
      <c r="O552" s="85"/>
      <c r="P552" s="85"/>
      <c r="Q552" s="81"/>
    </row>
    <row r="553" spans="3:17" x14ac:dyDescent="0.3">
      <c r="C553" s="81"/>
      <c r="F553" s="85"/>
      <c r="G553" s="86"/>
      <c r="H553" s="86"/>
      <c r="I553" s="87"/>
      <c r="J553" s="85"/>
      <c r="K553" s="85"/>
      <c r="M553" s="81"/>
      <c r="O553" s="85"/>
      <c r="P553" s="85"/>
      <c r="Q553" s="81"/>
    </row>
    <row r="554" spans="3:17" x14ac:dyDescent="0.3">
      <c r="C554" s="81"/>
      <c r="F554" s="85"/>
      <c r="G554" s="86"/>
      <c r="H554" s="86"/>
      <c r="I554" s="87"/>
      <c r="J554" s="85"/>
      <c r="K554" s="85"/>
      <c r="M554" s="81"/>
      <c r="O554" s="85"/>
      <c r="P554" s="85"/>
      <c r="Q554" s="81"/>
    </row>
    <row r="555" spans="3:17" x14ac:dyDescent="0.3">
      <c r="C555" s="81"/>
      <c r="F555" s="85"/>
      <c r="G555" s="86"/>
      <c r="H555" s="86"/>
      <c r="I555" s="87"/>
      <c r="J555" s="85"/>
      <c r="K555" s="85"/>
      <c r="M555" s="81"/>
      <c r="O555" s="85"/>
      <c r="P555" s="85"/>
      <c r="Q555" s="81"/>
    </row>
    <row r="556" spans="3:17" x14ac:dyDescent="0.3">
      <c r="C556" s="81"/>
      <c r="F556" s="85"/>
      <c r="G556" s="86"/>
      <c r="H556" s="86"/>
      <c r="I556" s="87"/>
      <c r="J556" s="85"/>
      <c r="K556" s="85"/>
      <c r="M556" s="81"/>
      <c r="O556" s="85"/>
      <c r="P556" s="85"/>
      <c r="Q556" s="81"/>
    </row>
    <row r="557" spans="3:17" x14ac:dyDescent="0.3">
      <c r="C557" s="81"/>
      <c r="F557" s="85"/>
      <c r="G557" s="86"/>
      <c r="H557" s="86"/>
      <c r="I557" s="87"/>
      <c r="J557" s="85"/>
      <c r="K557" s="85"/>
      <c r="M557" s="81"/>
      <c r="O557" s="85"/>
      <c r="P557" s="85"/>
      <c r="Q557" s="81"/>
    </row>
    <row r="558" spans="3:17" x14ac:dyDescent="0.3">
      <c r="C558" s="81"/>
      <c r="F558" s="85"/>
      <c r="G558" s="86"/>
      <c r="H558" s="86"/>
      <c r="I558" s="87"/>
      <c r="J558" s="85"/>
      <c r="K558" s="85"/>
      <c r="M558" s="81"/>
      <c r="O558" s="85"/>
      <c r="P558" s="85"/>
      <c r="Q558" s="81"/>
    </row>
    <row r="559" spans="3:17" x14ac:dyDescent="0.3">
      <c r="C559" s="81"/>
      <c r="F559" s="85"/>
      <c r="G559" s="86"/>
      <c r="H559" s="86"/>
      <c r="I559" s="87"/>
      <c r="J559" s="85"/>
      <c r="K559" s="85"/>
      <c r="M559" s="81"/>
      <c r="O559" s="85"/>
      <c r="P559" s="85"/>
      <c r="Q559" s="81"/>
    </row>
    <row r="560" spans="3:17" x14ac:dyDescent="0.3">
      <c r="C560" s="81"/>
      <c r="F560" s="85"/>
      <c r="G560" s="86"/>
      <c r="H560" s="86"/>
      <c r="I560" s="87"/>
      <c r="J560" s="85"/>
      <c r="K560" s="85"/>
      <c r="M560" s="81"/>
      <c r="O560" s="85"/>
      <c r="P560" s="85"/>
      <c r="Q560" s="81"/>
    </row>
    <row r="561" spans="3:17" x14ac:dyDescent="0.3">
      <c r="C561" s="81"/>
      <c r="F561" s="85"/>
      <c r="G561" s="86"/>
      <c r="H561" s="86"/>
      <c r="I561" s="87"/>
      <c r="J561" s="85"/>
      <c r="K561" s="85"/>
      <c r="M561" s="81"/>
      <c r="O561" s="85"/>
      <c r="P561" s="85"/>
      <c r="Q561" s="81"/>
    </row>
    <row r="562" spans="3:17" x14ac:dyDescent="0.3">
      <c r="C562" s="81"/>
      <c r="F562" s="85"/>
      <c r="G562" s="86"/>
      <c r="H562" s="86"/>
      <c r="I562" s="87"/>
      <c r="J562" s="85"/>
      <c r="K562" s="85"/>
      <c r="M562" s="81"/>
      <c r="O562" s="85"/>
      <c r="P562" s="85"/>
      <c r="Q562" s="81"/>
    </row>
    <row r="563" spans="3:17" x14ac:dyDescent="0.3">
      <c r="C563" s="81"/>
      <c r="F563" s="85"/>
      <c r="G563" s="86"/>
      <c r="H563" s="86"/>
      <c r="I563" s="87"/>
      <c r="J563" s="85"/>
      <c r="K563" s="85"/>
      <c r="M563" s="81"/>
      <c r="O563" s="85"/>
      <c r="P563" s="85"/>
      <c r="Q563" s="81"/>
    </row>
    <row r="564" spans="3:17" x14ac:dyDescent="0.3">
      <c r="C564" s="81"/>
      <c r="F564" s="85"/>
      <c r="G564" s="86"/>
      <c r="H564" s="86"/>
      <c r="I564" s="87"/>
      <c r="J564" s="85"/>
      <c r="K564" s="85"/>
      <c r="M564" s="81"/>
      <c r="O564" s="85"/>
      <c r="P564" s="85"/>
      <c r="Q564" s="81"/>
    </row>
    <row r="565" spans="3:17" x14ac:dyDescent="0.3">
      <c r="C565" s="81"/>
      <c r="F565" s="85"/>
      <c r="G565" s="86"/>
      <c r="H565" s="86"/>
      <c r="I565" s="87"/>
      <c r="J565" s="85"/>
      <c r="K565" s="85"/>
      <c r="M565" s="81"/>
      <c r="O565" s="85"/>
      <c r="P565" s="85"/>
      <c r="Q565" s="81"/>
    </row>
    <row r="566" spans="3:17" x14ac:dyDescent="0.3">
      <c r="C566" s="81"/>
      <c r="F566" s="85"/>
      <c r="G566" s="86"/>
      <c r="H566" s="86"/>
      <c r="I566" s="87"/>
      <c r="J566" s="85"/>
      <c r="K566" s="85"/>
      <c r="M566" s="81"/>
      <c r="O566" s="85"/>
      <c r="P566" s="85"/>
      <c r="Q566" s="81"/>
    </row>
    <row r="567" spans="3:17" x14ac:dyDescent="0.3">
      <c r="C567" s="81"/>
      <c r="F567" s="85"/>
      <c r="G567" s="86"/>
      <c r="H567" s="86"/>
      <c r="I567" s="87"/>
      <c r="J567" s="85"/>
      <c r="K567" s="85"/>
      <c r="M567" s="81"/>
      <c r="O567" s="85"/>
      <c r="P567" s="85"/>
      <c r="Q567" s="81"/>
    </row>
    <row r="568" spans="3:17" x14ac:dyDescent="0.3">
      <c r="C568" s="81"/>
      <c r="F568" s="85"/>
      <c r="G568" s="86"/>
      <c r="H568" s="86"/>
      <c r="I568" s="87"/>
      <c r="J568" s="85"/>
      <c r="K568" s="85"/>
      <c r="M568" s="81"/>
      <c r="O568" s="85"/>
      <c r="P568" s="85"/>
      <c r="Q568" s="81"/>
    </row>
    <row r="569" spans="3:17" x14ac:dyDescent="0.3">
      <c r="C569" s="81"/>
      <c r="F569" s="85"/>
      <c r="G569" s="86"/>
      <c r="H569" s="86"/>
      <c r="I569" s="87"/>
      <c r="J569" s="85"/>
      <c r="K569" s="85"/>
      <c r="M569" s="81"/>
      <c r="O569" s="85"/>
      <c r="P569" s="85"/>
      <c r="Q569" s="81"/>
    </row>
    <row r="570" spans="3:17" x14ac:dyDescent="0.3">
      <c r="C570" s="81"/>
      <c r="F570" s="85"/>
      <c r="G570" s="86"/>
      <c r="H570" s="86"/>
      <c r="I570" s="87"/>
      <c r="J570" s="85"/>
      <c r="K570" s="85"/>
      <c r="M570" s="81"/>
      <c r="O570" s="85"/>
      <c r="P570" s="85"/>
      <c r="Q570" s="81"/>
    </row>
    <row r="571" spans="3:17" x14ac:dyDescent="0.3">
      <c r="C571" s="81"/>
      <c r="F571" s="85"/>
      <c r="G571" s="86"/>
      <c r="H571" s="86"/>
      <c r="I571" s="87"/>
      <c r="J571" s="85"/>
      <c r="K571" s="85"/>
      <c r="M571" s="81"/>
      <c r="O571" s="85"/>
      <c r="P571" s="85"/>
      <c r="Q571" s="81"/>
    </row>
    <row r="572" spans="3:17" x14ac:dyDescent="0.3">
      <c r="C572" s="81"/>
      <c r="F572" s="85"/>
      <c r="G572" s="86"/>
      <c r="H572" s="86"/>
      <c r="I572" s="87"/>
      <c r="J572" s="85"/>
      <c r="K572" s="85"/>
      <c r="M572" s="81"/>
      <c r="O572" s="85"/>
      <c r="P572" s="85"/>
      <c r="Q572" s="81"/>
    </row>
    <row r="573" spans="3:17" x14ac:dyDescent="0.3">
      <c r="C573" s="81"/>
      <c r="F573" s="85"/>
      <c r="G573" s="86"/>
      <c r="H573" s="86"/>
      <c r="I573" s="87"/>
      <c r="J573" s="85"/>
      <c r="K573" s="85"/>
      <c r="M573" s="81"/>
      <c r="O573" s="85"/>
      <c r="P573" s="85"/>
      <c r="Q573" s="81"/>
    </row>
    <row r="574" spans="3:17" x14ac:dyDescent="0.3">
      <c r="C574" s="81"/>
      <c r="F574" s="85"/>
      <c r="G574" s="86"/>
      <c r="H574" s="86"/>
      <c r="I574" s="87"/>
      <c r="J574" s="85"/>
      <c r="K574" s="85"/>
      <c r="M574" s="81"/>
      <c r="O574" s="85"/>
      <c r="P574" s="85"/>
      <c r="Q574" s="81"/>
    </row>
    <row r="575" spans="3:17" x14ac:dyDescent="0.3">
      <c r="C575" s="81"/>
      <c r="F575" s="85"/>
      <c r="G575" s="86"/>
      <c r="H575" s="86"/>
      <c r="I575" s="87"/>
      <c r="J575" s="85"/>
      <c r="K575" s="85"/>
      <c r="M575" s="81"/>
      <c r="O575" s="85"/>
      <c r="P575" s="85"/>
      <c r="Q575" s="81"/>
    </row>
    <row r="576" spans="3:17" x14ac:dyDescent="0.3">
      <c r="C576" s="81"/>
      <c r="F576" s="85"/>
      <c r="G576" s="86"/>
      <c r="H576" s="86"/>
      <c r="I576" s="87"/>
      <c r="J576" s="85"/>
      <c r="K576" s="85"/>
      <c r="M576" s="81"/>
      <c r="O576" s="85"/>
      <c r="P576" s="85"/>
      <c r="Q576" s="81"/>
    </row>
    <row r="577" spans="3:17" x14ac:dyDescent="0.3">
      <c r="C577" s="81"/>
      <c r="F577" s="85"/>
      <c r="G577" s="86"/>
      <c r="H577" s="86"/>
      <c r="I577" s="87"/>
      <c r="J577" s="85"/>
      <c r="K577" s="85"/>
      <c r="M577" s="81"/>
      <c r="O577" s="85"/>
      <c r="P577" s="85"/>
      <c r="Q577" s="81"/>
    </row>
    <row r="578" spans="3:17" x14ac:dyDescent="0.3">
      <c r="C578" s="81"/>
      <c r="F578" s="85"/>
      <c r="G578" s="86"/>
      <c r="H578" s="86"/>
      <c r="I578" s="87"/>
      <c r="J578" s="85"/>
      <c r="K578" s="85"/>
      <c r="M578" s="81"/>
      <c r="O578" s="85"/>
      <c r="P578" s="85"/>
      <c r="Q578" s="81"/>
    </row>
    <row r="579" spans="3:17" x14ac:dyDescent="0.3">
      <c r="C579" s="81"/>
      <c r="F579" s="85"/>
      <c r="G579" s="86"/>
      <c r="H579" s="86"/>
      <c r="I579" s="87"/>
      <c r="J579" s="85"/>
      <c r="K579" s="85"/>
      <c r="M579" s="81"/>
      <c r="O579" s="85"/>
      <c r="P579" s="85"/>
      <c r="Q579" s="81"/>
    </row>
    <row r="580" spans="3:17" x14ac:dyDescent="0.3">
      <c r="C580" s="81"/>
      <c r="F580" s="85"/>
      <c r="G580" s="86"/>
      <c r="H580" s="86"/>
      <c r="I580" s="87"/>
      <c r="J580" s="85"/>
      <c r="K580" s="85"/>
      <c r="M580" s="81"/>
      <c r="O580" s="85"/>
      <c r="P580" s="85"/>
      <c r="Q580" s="81"/>
    </row>
    <row r="581" spans="3:17" x14ac:dyDescent="0.3">
      <c r="C581" s="81"/>
      <c r="F581" s="85"/>
      <c r="G581" s="86"/>
      <c r="H581" s="86"/>
      <c r="I581" s="87"/>
      <c r="J581" s="85"/>
      <c r="K581" s="85"/>
      <c r="M581" s="81"/>
      <c r="O581" s="85"/>
      <c r="P581" s="85"/>
      <c r="Q581" s="81"/>
    </row>
    <row r="582" spans="3:17" x14ac:dyDescent="0.3">
      <c r="C582" s="81"/>
      <c r="F582" s="85"/>
      <c r="G582" s="86"/>
      <c r="H582" s="86"/>
      <c r="I582" s="87"/>
      <c r="J582" s="85"/>
      <c r="K582" s="85"/>
      <c r="M582" s="81"/>
      <c r="O582" s="85"/>
      <c r="P582" s="85"/>
      <c r="Q582" s="81"/>
    </row>
    <row r="583" spans="3:17" x14ac:dyDescent="0.3">
      <c r="C583" s="81"/>
      <c r="F583" s="85"/>
      <c r="G583" s="86"/>
      <c r="H583" s="86"/>
      <c r="I583" s="87"/>
      <c r="J583" s="85"/>
      <c r="K583" s="85"/>
      <c r="M583" s="81"/>
      <c r="O583" s="85"/>
      <c r="P583" s="85"/>
      <c r="Q583" s="81"/>
    </row>
    <row r="584" spans="3:17" x14ac:dyDescent="0.3">
      <c r="C584" s="81"/>
      <c r="F584" s="85"/>
      <c r="G584" s="86"/>
      <c r="H584" s="86"/>
      <c r="I584" s="87"/>
      <c r="J584" s="85"/>
      <c r="K584" s="85"/>
      <c r="M584" s="81"/>
      <c r="O584" s="85"/>
      <c r="P584" s="85"/>
      <c r="Q584" s="81"/>
    </row>
    <row r="585" spans="3:17" x14ac:dyDescent="0.3">
      <c r="C585" s="81"/>
      <c r="F585" s="85"/>
      <c r="G585" s="86"/>
      <c r="H585" s="86"/>
      <c r="I585" s="87"/>
      <c r="J585" s="85"/>
      <c r="K585" s="85"/>
      <c r="M585" s="81"/>
      <c r="O585" s="85"/>
      <c r="P585" s="85"/>
      <c r="Q585" s="81"/>
    </row>
    <row r="586" spans="3:17" x14ac:dyDescent="0.3">
      <c r="C586" s="81"/>
      <c r="F586" s="85"/>
      <c r="G586" s="86"/>
      <c r="H586" s="86"/>
      <c r="I586" s="87"/>
      <c r="J586" s="85"/>
      <c r="K586" s="85"/>
      <c r="M586" s="81"/>
      <c r="O586" s="85"/>
      <c r="P586" s="85"/>
      <c r="Q586" s="81"/>
    </row>
    <row r="587" spans="3:17" x14ac:dyDescent="0.3">
      <c r="C587" s="81"/>
      <c r="F587" s="85"/>
      <c r="G587" s="86"/>
      <c r="H587" s="86"/>
      <c r="I587" s="87"/>
      <c r="J587" s="85"/>
      <c r="K587" s="85"/>
      <c r="M587" s="81"/>
      <c r="O587" s="85"/>
      <c r="P587" s="85"/>
      <c r="Q587" s="81"/>
    </row>
    <row r="588" spans="3:17" x14ac:dyDescent="0.3">
      <c r="C588" s="81"/>
      <c r="F588" s="85"/>
      <c r="G588" s="86"/>
      <c r="H588" s="86"/>
      <c r="I588" s="87"/>
      <c r="J588" s="85"/>
      <c r="K588" s="85"/>
      <c r="M588" s="81"/>
      <c r="O588" s="85"/>
      <c r="P588" s="85"/>
      <c r="Q588" s="81"/>
    </row>
    <row r="589" spans="3:17" x14ac:dyDescent="0.3">
      <c r="C589" s="81"/>
      <c r="F589" s="85"/>
      <c r="G589" s="86"/>
      <c r="H589" s="86"/>
      <c r="I589" s="87"/>
      <c r="J589" s="85"/>
      <c r="K589" s="85"/>
      <c r="M589" s="81"/>
      <c r="O589" s="85"/>
      <c r="P589" s="85"/>
      <c r="Q589" s="81"/>
    </row>
    <row r="590" spans="3:17" x14ac:dyDescent="0.3">
      <c r="C590" s="81"/>
      <c r="F590" s="85"/>
      <c r="G590" s="86"/>
      <c r="H590" s="86"/>
      <c r="I590" s="87"/>
      <c r="J590" s="85"/>
      <c r="K590" s="85"/>
      <c r="M590" s="81"/>
      <c r="O590" s="85"/>
      <c r="P590" s="85"/>
      <c r="Q590" s="81"/>
    </row>
    <row r="591" spans="3:17" x14ac:dyDescent="0.3">
      <c r="C591" s="81"/>
      <c r="F591" s="85"/>
      <c r="G591" s="86"/>
      <c r="H591" s="86"/>
      <c r="I591" s="87"/>
      <c r="J591" s="85"/>
      <c r="K591" s="85"/>
      <c r="M591" s="81"/>
      <c r="O591" s="85"/>
      <c r="P591" s="85"/>
      <c r="Q591" s="81"/>
    </row>
    <row r="592" spans="3:17" x14ac:dyDescent="0.3">
      <c r="C592" s="81"/>
      <c r="F592" s="85"/>
      <c r="G592" s="86"/>
      <c r="H592" s="86"/>
      <c r="I592" s="87"/>
      <c r="J592" s="85"/>
      <c r="K592" s="85"/>
      <c r="M592" s="81"/>
      <c r="O592" s="85"/>
      <c r="P592" s="85"/>
      <c r="Q592" s="81"/>
    </row>
    <row r="593" spans="3:17" x14ac:dyDescent="0.3">
      <c r="C593" s="81"/>
      <c r="F593" s="85"/>
      <c r="G593" s="86"/>
      <c r="H593" s="86"/>
      <c r="I593" s="87"/>
      <c r="J593" s="85"/>
      <c r="K593" s="85"/>
      <c r="M593" s="81"/>
      <c r="O593" s="85"/>
      <c r="P593" s="85"/>
      <c r="Q593" s="81"/>
    </row>
    <row r="594" spans="3:17" x14ac:dyDescent="0.3">
      <c r="C594" s="81"/>
      <c r="F594" s="85"/>
      <c r="G594" s="86"/>
      <c r="H594" s="86"/>
      <c r="I594" s="87"/>
      <c r="J594" s="85"/>
      <c r="K594" s="85"/>
      <c r="M594" s="81"/>
      <c r="O594" s="85"/>
      <c r="P594" s="85"/>
      <c r="Q594" s="81"/>
    </row>
    <row r="595" spans="3:17" x14ac:dyDescent="0.3">
      <c r="C595" s="81"/>
      <c r="F595" s="85"/>
      <c r="G595" s="86"/>
      <c r="H595" s="86"/>
      <c r="I595" s="87"/>
      <c r="J595" s="85"/>
      <c r="K595" s="85"/>
      <c r="M595" s="81"/>
      <c r="O595" s="85"/>
      <c r="P595" s="85"/>
      <c r="Q595" s="81"/>
    </row>
    <row r="596" spans="3:17" x14ac:dyDescent="0.3">
      <c r="C596" s="81"/>
      <c r="F596" s="85"/>
      <c r="G596" s="86"/>
      <c r="H596" s="86"/>
      <c r="I596" s="87"/>
      <c r="J596" s="85"/>
      <c r="K596" s="85"/>
      <c r="M596" s="81"/>
      <c r="O596" s="85"/>
      <c r="P596" s="85"/>
      <c r="Q596" s="81"/>
    </row>
    <row r="597" spans="3:17" x14ac:dyDescent="0.3">
      <c r="C597" s="81"/>
      <c r="F597" s="85"/>
      <c r="G597" s="86"/>
      <c r="H597" s="86"/>
      <c r="I597" s="87"/>
      <c r="J597" s="85"/>
      <c r="K597" s="85"/>
      <c r="M597" s="81"/>
      <c r="O597" s="85"/>
      <c r="P597" s="85"/>
      <c r="Q597" s="81"/>
    </row>
    <row r="598" spans="3:17" x14ac:dyDescent="0.3">
      <c r="C598" s="81"/>
      <c r="F598" s="85"/>
      <c r="G598" s="86"/>
      <c r="H598" s="86"/>
      <c r="I598" s="87"/>
      <c r="J598" s="85"/>
      <c r="K598" s="85"/>
      <c r="M598" s="81"/>
      <c r="O598" s="85"/>
      <c r="P598" s="85"/>
      <c r="Q598" s="81"/>
    </row>
    <row r="599" spans="3:17" x14ac:dyDescent="0.3">
      <c r="C599" s="81"/>
      <c r="F599" s="85"/>
      <c r="G599" s="86"/>
      <c r="H599" s="86"/>
      <c r="I599" s="87"/>
      <c r="J599" s="85"/>
      <c r="K599" s="85"/>
      <c r="M599" s="81"/>
      <c r="O599" s="85"/>
      <c r="P599" s="85"/>
      <c r="Q599" s="81"/>
    </row>
    <row r="600" spans="3:17" x14ac:dyDescent="0.3">
      <c r="C600" s="81"/>
      <c r="F600" s="85"/>
      <c r="G600" s="86"/>
      <c r="H600" s="86"/>
      <c r="I600" s="87"/>
      <c r="J600" s="85"/>
      <c r="K600" s="85"/>
      <c r="M600" s="81"/>
      <c r="O600" s="85"/>
      <c r="P600" s="85"/>
      <c r="Q600" s="81"/>
    </row>
    <row r="601" spans="3:17" x14ac:dyDescent="0.3">
      <c r="C601" s="81"/>
      <c r="F601" s="85"/>
      <c r="G601" s="86"/>
      <c r="H601" s="86"/>
      <c r="I601" s="87"/>
      <c r="J601" s="85"/>
      <c r="K601" s="85"/>
      <c r="M601" s="81"/>
      <c r="O601" s="85"/>
      <c r="P601" s="85"/>
      <c r="Q601" s="81"/>
    </row>
    <row r="602" spans="3:17" x14ac:dyDescent="0.3">
      <c r="C602" s="81"/>
      <c r="F602" s="85"/>
      <c r="G602" s="86"/>
      <c r="H602" s="86"/>
      <c r="I602" s="87"/>
      <c r="J602" s="85"/>
      <c r="K602" s="85"/>
      <c r="M602" s="81"/>
      <c r="O602" s="85"/>
      <c r="P602" s="85"/>
      <c r="Q602" s="81"/>
    </row>
    <row r="603" spans="3:17" x14ac:dyDescent="0.3">
      <c r="C603" s="81"/>
      <c r="F603" s="85"/>
      <c r="G603" s="86"/>
      <c r="H603" s="86"/>
      <c r="I603" s="87"/>
      <c r="J603" s="85"/>
      <c r="K603" s="85"/>
      <c r="M603" s="81"/>
      <c r="O603" s="85"/>
      <c r="P603" s="85"/>
      <c r="Q603" s="81"/>
    </row>
    <row r="604" spans="3:17" x14ac:dyDescent="0.3">
      <c r="C604" s="81"/>
      <c r="F604" s="85"/>
      <c r="G604" s="86"/>
      <c r="H604" s="86"/>
      <c r="I604" s="87"/>
      <c r="J604" s="85"/>
      <c r="K604" s="85"/>
      <c r="M604" s="81"/>
      <c r="O604" s="85"/>
      <c r="P604" s="85"/>
      <c r="Q604" s="81"/>
    </row>
    <row r="605" spans="3:17" x14ac:dyDescent="0.3">
      <c r="C605" s="81"/>
      <c r="F605" s="85"/>
      <c r="G605" s="86"/>
      <c r="H605" s="86"/>
      <c r="I605" s="87"/>
      <c r="J605" s="85"/>
      <c r="K605" s="85"/>
      <c r="M605" s="81"/>
      <c r="O605" s="85"/>
      <c r="P605" s="85"/>
      <c r="Q605" s="81"/>
    </row>
    <row r="606" spans="3:17" x14ac:dyDescent="0.3">
      <c r="C606" s="81"/>
      <c r="F606" s="85"/>
      <c r="G606" s="86"/>
      <c r="H606" s="86"/>
      <c r="I606" s="87"/>
      <c r="J606" s="85"/>
      <c r="K606" s="85"/>
      <c r="M606" s="81"/>
      <c r="O606" s="85"/>
      <c r="P606" s="85"/>
      <c r="Q606" s="81"/>
    </row>
    <row r="607" spans="3:17" x14ac:dyDescent="0.3">
      <c r="C607" s="81"/>
      <c r="F607" s="85"/>
      <c r="G607" s="86"/>
      <c r="H607" s="86"/>
      <c r="I607" s="87"/>
      <c r="J607" s="85"/>
      <c r="K607" s="85"/>
      <c r="M607" s="81"/>
      <c r="O607" s="85"/>
      <c r="P607" s="85"/>
      <c r="Q607" s="81"/>
    </row>
    <row r="608" spans="3:17" x14ac:dyDescent="0.3">
      <c r="C608" s="81"/>
      <c r="F608" s="85"/>
      <c r="G608" s="86"/>
      <c r="H608" s="86"/>
      <c r="I608" s="87"/>
      <c r="J608" s="85"/>
      <c r="K608" s="85"/>
      <c r="M608" s="81"/>
      <c r="O608" s="85"/>
      <c r="P608" s="85"/>
      <c r="Q608" s="81"/>
    </row>
    <row r="609" spans="3:17" x14ac:dyDescent="0.3">
      <c r="C609" s="81"/>
      <c r="F609" s="85"/>
      <c r="G609" s="86"/>
      <c r="H609" s="86"/>
      <c r="I609" s="87"/>
      <c r="J609" s="85"/>
      <c r="K609" s="85"/>
      <c r="M609" s="81"/>
      <c r="O609" s="85"/>
      <c r="P609" s="85"/>
      <c r="Q609" s="81"/>
    </row>
    <row r="610" spans="3:17" x14ac:dyDescent="0.3">
      <c r="C610" s="81"/>
      <c r="F610" s="85"/>
      <c r="G610" s="86"/>
      <c r="H610" s="86"/>
      <c r="I610" s="87"/>
      <c r="J610" s="85"/>
      <c r="K610" s="85"/>
      <c r="M610" s="81"/>
      <c r="O610" s="85"/>
      <c r="P610" s="85"/>
      <c r="Q610" s="81"/>
    </row>
    <row r="611" spans="3:17" x14ac:dyDescent="0.3">
      <c r="C611" s="81"/>
      <c r="F611" s="85"/>
      <c r="G611" s="86"/>
      <c r="H611" s="86"/>
      <c r="I611" s="87"/>
      <c r="J611" s="85"/>
      <c r="K611" s="85"/>
      <c r="M611" s="81"/>
      <c r="O611" s="85"/>
      <c r="P611" s="85"/>
      <c r="Q611" s="81"/>
    </row>
    <row r="612" spans="3:17" x14ac:dyDescent="0.3">
      <c r="C612" s="81"/>
      <c r="F612" s="85"/>
      <c r="G612" s="86"/>
      <c r="H612" s="86"/>
      <c r="I612" s="87"/>
      <c r="J612" s="85"/>
      <c r="K612" s="85"/>
      <c r="M612" s="81"/>
      <c r="O612" s="85"/>
      <c r="P612" s="85"/>
      <c r="Q612" s="81"/>
    </row>
    <row r="613" spans="3:17" x14ac:dyDescent="0.3">
      <c r="C613" s="81"/>
      <c r="F613" s="85"/>
      <c r="G613" s="86"/>
      <c r="H613" s="86"/>
      <c r="I613" s="87"/>
      <c r="J613" s="85"/>
      <c r="K613" s="85"/>
      <c r="M613" s="81"/>
      <c r="O613" s="85"/>
      <c r="P613" s="85"/>
      <c r="Q613" s="81"/>
    </row>
    <row r="614" spans="3:17" x14ac:dyDescent="0.3">
      <c r="C614" s="81"/>
      <c r="F614" s="85"/>
      <c r="G614" s="86"/>
      <c r="H614" s="86"/>
      <c r="I614" s="87"/>
      <c r="J614" s="85"/>
      <c r="K614" s="85"/>
      <c r="M614" s="81"/>
      <c r="O614" s="85"/>
      <c r="P614" s="85"/>
      <c r="Q614" s="81"/>
    </row>
    <row r="615" spans="3:17" x14ac:dyDescent="0.3">
      <c r="C615" s="81"/>
      <c r="F615" s="85"/>
      <c r="G615" s="86"/>
      <c r="H615" s="86"/>
      <c r="I615" s="87"/>
      <c r="J615" s="85"/>
      <c r="K615" s="85"/>
      <c r="M615" s="81"/>
      <c r="O615" s="85"/>
      <c r="P615" s="85"/>
      <c r="Q615" s="81"/>
    </row>
    <row r="616" spans="3:17" x14ac:dyDescent="0.3">
      <c r="C616" s="81"/>
      <c r="F616" s="85"/>
      <c r="G616" s="86"/>
      <c r="H616" s="86"/>
      <c r="I616" s="87"/>
      <c r="J616" s="85"/>
      <c r="K616" s="85"/>
      <c r="M616" s="81"/>
      <c r="O616" s="85"/>
      <c r="P616" s="85"/>
      <c r="Q616" s="81"/>
    </row>
    <row r="617" spans="3:17" x14ac:dyDescent="0.3">
      <c r="C617" s="81"/>
      <c r="F617" s="85"/>
      <c r="G617" s="86"/>
      <c r="H617" s="86"/>
      <c r="I617" s="87"/>
      <c r="J617" s="85"/>
      <c r="K617" s="85"/>
      <c r="M617" s="81"/>
      <c r="O617" s="85"/>
      <c r="P617" s="85"/>
      <c r="Q617" s="81"/>
    </row>
    <row r="618" spans="3:17" x14ac:dyDescent="0.3">
      <c r="C618" s="81"/>
      <c r="F618" s="85"/>
      <c r="G618" s="86"/>
      <c r="H618" s="86"/>
      <c r="I618" s="87"/>
      <c r="J618" s="85"/>
      <c r="K618" s="85"/>
      <c r="M618" s="81"/>
      <c r="O618" s="85"/>
      <c r="P618" s="85"/>
      <c r="Q618" s="81"/>
    </row>
    <row r="619" spans="3:17" x14ac:dyDescent="0.3">
      <c r="C619" s="81"/>
      <c r="F619" s="85"/>
      <c r="G619" s="86"/>
      <c r="H619" s="86"/>
      <c r="I619" s="87"/>
      <c r="J619" s="85"/>
      <c r="K619" s="85"/>
      <c r="M619" s="81"/>
      <c r="O619" s="85"/>
      <c r="P619" s="85"/>
      <c r="Q619" s="81"/>
    </row>
    <row r="620" spans="3:17" x14ac:dyDescent="0.3">
      <c r="C620" s="81"/>
      <c r="F620" s="85"/>
      <c r="G620" s="86"/>
      <c r="H620" s="86"/>
      <c r="I620" s="87"/>
      <c r="J620" s="85"/>
      <c r="K620" s="85"/>
      <c r="M620" s="81"/>
      <c r="O620" s="85"/>
      <c r="P620" s="85"/>
      <c r="Q620" s="81"/>
    </row>
    <row r="621" spans="3:17" x14ac:dyDescent="0.3">
      <c r="C621" s="81"/>
      <c r="F621" s="85"/>
      <c r="G621" s="86"/>
      <c r="H621" s="86"/>
      <c r="I621" s="87"/>
      <c r="J621" s="85"/>
      <c r="K621" s="85"/>
      <c r="M621" s="81"/>
      <c r="O621" s="85"/>
      <c r="P621" s="85"/>
      <c r="Q621" s="81"/>
    </row>
    <row r="622" spans="3:17" x14ac:dyDescent="0.3">
      <c r="C622" s="81"/>
      <c r="F622" s="85"/>
      <c r="G622" s="86"/>
      <c r="H622" s="86"/>
      <c r="I622" s="87"/>
      <c r="J622" s="85"/>
      <c r="K622" s="85"/>
      <c r="M622" s="81"/>
      <c r="O622" s="85"/>
      <c r="P622" s="85"/>
      <c r="Q622" s="81"/>
    </row>
    <row r="623" spans="3:17" x14ac:dyDescent="0.3">
      <c r="C623" s="81"/>
      <c r="F623" s="85"/>
      <c r="G623" s="86"/>
      <c r="H623" s="86"/>
      <c r="I623" s="87"/>
      <c r="J623" s="85"/>
      <c r="K623" s="85"/>
      <c r="M623" s="81"/>
      <c r="O623" s="85"/>
      <c r="P623" s="85"/>
      <c r="Q623" s="81"/>
    </row>
    <row r="624" spans="3:17" x14ac:dyDescent="0.3">
      <c r="C624" s="81"/>
      <c r="F624" s="85"/>
      <c r="G624" s="86"/>
      <c r="H624" s="86"/>
      <c r="I624" s="87"/>
      <c r="J624" s="85"/>
      <c r="K624" s="85"/>
      <c r="M624" s="81"/>
      <c r="O624" s="85"/>
      <c r="P624" s="85"/>
      <c r="Q624" s="81"/>
    </row>
    <row r="625" spans="3:17" x14ac:dyDescent="0.3">
      <c r="C625" s="81"/>
      <c r="F625" s="85"/>
      <c r="G625" s="86"/>
      <c r="H625" s="86"/>
      <c r="I625" s="87"/>
      <c r="J625" s="85"/>
      <c r="K625" s="85"/>
      <c r="M625" s="81"/>
      <c r="O625" s="85"/>
      <c r="P625" s="85"/>
      <c r="Q625" s="81"/>
    </row>
    <row r="626" spans="3:17" x14ac:dyDescent="0.3">
      <c r="C626" s="81"/>
      <c r="F626" s="85"/>
      <c r="G626" s="86"/>
      <c r="H626" s="86"/>
      <c r="I626" s="87"/>
      <c r="J626" s="85"/>
      <c r="K626" s="85"/>
      <c r="M626" s="81"/>
      <c r="O626" s="85"/>
      <c r="P626" s="85"/>
      <c r="Q626" s="81"/>
    </row>
    <row r="627" spans="3:17" x14ac:dyDescent="0.3">
      <c r="C627" s="81"/>
      <c r="F627" s="85"/>
      <c r="G627" s="86"/>
      <c r="H627" s="86"/>
      <c r="I627" s="87"/>
      <c r="J627" s="85"/>
      <c r="K627" s="85"/>
      <c r="M627" s="81"/>
      <c r="O627" s="85"/>
      <c r="P627" s="85"/>
      <c r="Q627" s="81"/>
    </row>
    <row r="628" spans="3:17" x14ac:dyDescent="0.3">
      <c r="C628" s="81"/>
      <c r="F628" s="85"/>
      <c r="G628" s="86"/>
      <c r="H628" s="86"/>
      <c r="I628" s="87"/>
      <c r="J628" s="85"/>
      <c r="K628" s="85"/>
      <c r="M628" s="81"/>
      <c r="O628" s="85"/>
      <c r="P628" s="85"/>
      <c r="Q628" s="81"/>
    </row>
    <row r="629" spans="3:17" x14ac:dyDescent="0.3">
      <c r="C629" s="81"/>
      <c r="F629" s="85"/>
      <c r="G629" s="86"/>
      <c r="H629" s="86"/>
      <c r="I629" s="87"/>
      <c r="J629" s="85"/>
      <c r="K629" s="85"/>
      <c r="M629" s="81"/>
      <c r="O629" s="85"/>
      <c r="P629" s="85"/>
      <c r="Q629" s="81"/>
    </row>
    <row r="630" spans="3:17" x14ac:dyDescent="0.3">
      <c r="C630" s="81"/>
      <c r="F630" s="85"/>
      <c r="G630" s="86"/>
      <c r="H630" s="86"/>
      <c r="I630" s="87"/>
      <c r="J630" s="85"/>
      <c r="K630" s="85"/>
      <c r="M630" s="81"/>
      <c r="O630" s="85"/>
      <c r="P630" s="85"/>
      <c r="Q630" s="81"/>
    </row>
    <row r="631" spans="3:17" x14ac:dyDescent="0.3">
      <c r="C631" s="81"/>
      <c r="F631" s="85"/>
      <c r="G631" s="86"/>
      <c r="H631" s="86"/>
      <c r="I631" s="87"/>
      <c r="J631" s="85"/>
      <c r="K631" s="85"/>
      <c r="M631" s="81"/>
      <c r="O631" s="85"/>
      <c r="P631" s="85"/>
      <c r="Q631" s="81"/>
    </row>
    <row r="632" spans="3:17" x14ac:dyDescent="0.3">
      <c r="C632" s="81"/>
      <c r="F632" s="85"/>
      <c r="G632" s="86"/>
      <c r="H632" s="86"/>
      <c r="I632" s="87"/>
      <c r="J632" s="85"/>
      <c r="K632" s="85"/>
      <c r="M632" s="81"/>
      <c r="O632" s="85"/>
      <c r="P632" s="85"/>
      <c r="Q632" s="81"/>
    </row>
    <row r="633" spans="3:17" x14ac:dyDescent="0.3">
      <c r="C633" s="81"/>
      <c r="F633" s="85"/>
      <c r="G633" s="86"/>
      <c r="H633" s="86"/>
      <c r="I633" s="87"/>
      <c r="J633" s="85"/>
      <c r="K633" s="85"/>
      <c r="M633" s="81"/>
      <c r="O633" s="85"/>
      <c r="P633" s="85"/>
      <c r="Q633" s="81"/>
    </row>
    <row r="634" spans="3:17" x14ac:dyDescent="0.3">
      <c r="C634" s="81"/>
      <c r="F634" s="85"/>
      <c r="G634" s="86"/>
      <c r="H634" s="86"/>
      <c r="I634" s="87"/>
      <c r="J634" s="85"/>
      <c r="K634" s="85"/>
      <c r="M634" s="81"/>
      <c r="O634" s="85"/>
      <c r="P634" s="85"/>
      <c r="Q634" s="81"/>
    </row>
    <row r="635" spans="3:17" x14ac:dyDescent="0.3">
      <c r="C635" s="81"/>
      <c r="F635" s="85"/>
      <c r="G635" s="86"/>
      <c r="H635" s="86"/>
      <c r="I635" s="87"/>
      <c r="J635" s="85"/>
      <c r="K635" s="85"/>
      <c r="M635" s="81"/>
      <c r="O635" s="85"/>
      <c r="P635" s="85"/>
      <c r="Q635" s="81"/>
    </row>
    <row r="636" spans="3:17" x14ac:dyDescent="0.3">
      <c r="C636" s="81"/>
      <c r="F636" s="85"/>
      <c r="G636" s="86"/>
      <c r="H636" s="86"/>
      <c r="I636" s="87"/>
      <c r="J636" s="85"/>
      <c r="K636" s="85"/>
      <c r="M636" s="81"/>
      <c r="O636" s="85"/>
      <c r="P636" s="85"/>
      <c r="Q636" s="81"/>
    </row>
    <row r="637" spans="3:17" x14ac:dyDescent="0.3">
      <c r="C637" s="81"/>
      <c r="F637" s="85"/>
      <c r="G637" s="86"/>
      <c r="H637" s="86"/>
      <c r="I637" s="87"/>
      <c r="J637" s="85"/>
      <c r="K637" s="85"/>
      <c r="M637" s="81"/>
      <c r="O637" s="85"/>
      <c r="P637" s="85"/>
      <c r="Q637" s="81"/>
    </row>
    <row r="638" spans="3:17" x14ac:dyDescent="0.3">
      <c r="C638" s="81"/>
      <c r="F638" s="85"/>
      <c r="G638" s="86"/>
      <c r="H638" s="86"/>
      <c r="I638" s="87"/>
      <c r="J638" s="85"/>
      <c r="K638" s="85"/>
      <c r="M638" s="81"/>
      <c r="O638" s="85"/>
      <c r="P638" s="85"/>
      <c r="Q638" s="81"/>
    </row>
    <row r="639" spans="3:17" x14ac:dyDescent="0.3">
      <c r="C639" s="81"/>
      <c r="F639" s="85"/>
      <c r="G639" s="86"/>
      <c r="H639" s="86"/>
      <c r="I639" s="87"/>
      <c r="J639" s="85"/>
      <c r="K639" s="85"/>
      <c r="M639" s="81"/>
      <c r="O639" s="85"/>
      <c r="P639" s="85"/>
      <c r="Q639" s="81"/>
    </row>
    <row r="640" spans="3:17" x14ac:dyDescent="0.3">
      <c r="C640" s="81"/>
      <c r="F640" s="85"/>
      <c r="G640" s="86"/>
      <c r="H640" s="86"/>
      <c r="I640" s="87"/>
      <c r="J640" s="85"/>
      <c r="K640" s="85"/>
      <c r="M640" s="81"/>
      <c r="O640" s="85"/>
      <c r="P640" s="85"/>
      <c r="Q640" s="81"/>
    </row>
    <row r="641" spans="3:17" x14ac:dyDescent="0.3">
      <c r="C641" s="81"/>
      <c r="F641" s="85"/>
      <c r="G641" s="86"/>
      <c r="H641" s="86"/>
      <c r="I641" s="87"/>
      <c r="J641" s="85"/>
      <c r="K641" s="85"/>
      <c r="M641" s="81"/>
      <c r="O641" s="85"/>
      <c r="P641" s="85"/>
      <c r="Q641" s="81"/>
    </row>
    <row r="642" spans="3:17" x14ac:dyDescent="0.3">
      <c r="C642" s="81"/>
      <c r="F642" s="85"/>
      <c r="G642" s="86"/>
      <c r="H642" s="86"/>
      <c r="I642" s="87"/>
      <c r="J642" s="85"/>
      <c r="K642" s="85"/>
      <c r="M642" s="81"/>
      <c r="O642" s="85"/>
      <c r="P642" s="85"/>
      <c r="Q642" s="81"/>
    </row>
    <row r="643" spans="3:17" x14ac:dyDescent="0.3">
      <c r="C643" s="81"/>
      <c r="F643" s="85"/>
      <c r="G643" s="86"/>
      <c r="H643" s="86"/>
      <c r="I643" s="87"/>
      <c r="J643" s="85"/>
      <c r="K643" s="85"/>
      <c r="M643" s="81"/>
      <c r="O643" s="85"/>
      <c r="P643" s="85"/>
      <c r="Q643" s="81"/>
    </row>
    <row r="644" spans="3:17" x14ac:dyDescent="0.3">
      <c r="C644" s="81"/>
      <c r="F644" s="85"/>
      <c r="G644" s="86"/>
      <c r="H644" s="86"/>
      <c r="I644" s="87"/>
      <c r="J644" s="85"/>
      <c r="K644" s="85"/>
      <c r="M644" s="81"/>
      <c r="O644" s="85"/>
      <c r="P644" s="85"/>
      <c r="Q644" s="81"/>
    </row>
    <row r="645" spans="3:17" x14ac:dyDescent="0.3">
      <c r="C645" s="81"/>
      <c r="F645" s="85"/>
      <c r="G645" s="86"/>
      <c r="H645" s="86"/>
      <c r="I645" s="87"/>
      <c r="J645" s="85"/>
      <c r="K645" s="85"/>
      <c r="M645" s="81"/>
      <c r="O645" s="85"/>
      <c r="P645" s="85"/>
      <c r="Q645" s="81"/>
    </row>
    <row r="646" spans="3:17" x14ac:dyDescent="0.3">
      <c r="C646" s="81"/>
      <c r="F646" s="85"/>
      <c r="G646" s="86"/>
      <c r="H646" s="86"/>
      <c r="I646" s="87"/>
      <c r="J646" s="85"/>
      <c r="K646" s="85"/>
      <c r="M646" s="81"/>
      <c r="O646" s="85"/>
      <c r="P646" s="85"/>
      <c r="Q646" s="81"/>
    </row>
    <row r="647" spans="3:17" x14ac:dyDescent="0.3">
      <c r="C647" s="81"/>
      <c r="F647" s="85"/>
      <c r="G647" s="86"/>
      <c r="H647" s="86"/>
      <c r="I647" s="87"/>
      <c r="J647" s="85"/>
      <c r="K647" s="85"/>
      <c r="M647" s="81"/>
      <c r="O647" s="85"/>
      <c r="P647" s="85"/>
      <c r="Q647" s="81"/>
    </row>
    <row r="648" spans="3:17" x14ac:dyDescent="0.3">
      <c r="C648" s="81"/>
      <c r="F648" s="85"/>
      <c r="G648" s="86"/>
      <c r="H648" s="86"/>
      <c r="I648" s="87"/>
      <c r="J648" s="85"/>
      <c r="K648" s="85"/>
      <c r="M648" s="81"/>
      <c r="O648" s="85"/>
      <c r="P648" s="85"/>
      <c r="Q648" s="81"/>
    </row>
    <row r="649" spans="3:17" x14ac:dyDescent="0.3">
      <c r="C649" s="81"/>
      <c r="F649" s="85"/>
      <c r="G649" s="86"/>
      <c r="H649" s="86"/>
      <c r="I649" s="87"/>
      <c r="J649" s="85"/>
      <c r="K649" s="85"/>
      <c r="M649" s="81"/>
      <c r="O649" s="85"/>
      <c r="P649" s="85"/>
      <c r="Q649" s="81"/>
    </row>
    <row r="650" spans="3:17" x14ac:dyDescent="0.3">
      <c r="C650" s="81"/>
      <c r="F650" s="85"/>
      <c r="G650" s="86"/>
      <c r="H650" s="86"/>
      <c r="I650" s="87"/>
      <c r="J650" s="85"/>
      <c r="K650" s="85"/>
      <c r="M650" s="81"/>
      <c r="O650" s="85"/>
      <c r="P650" s="85"/>
      <c r="Q650" s="81"/>
    </row>
    <row r="651" spans="3:17" x14ac:dyDescent="0.3">
      <c r="C651" s="81"/>
      <c r="F651" s="85"/>
      <c r="G651" s="86"/>
      <c r="H651" s="86"/>
      <c r="I651" s="87"/>
      <c r="J651" s="85"/>
      <c r="K651" s="85"/>
      <c r="M651" s="81"/>
      <c r="O651" s="85"/>
      <c r="P651" s="85"/>
      <c r="Q651" s="81"/>
    </row>
    <row r="652" spans="3:17" x14ac:dyDescent="0.3">
      <c r="C652" s="81"/>
      <c r="F652" s="85"/>
      <c r="G652" s="86"/>
      <c r="H652" s="86"/>
      <c r="I652" s="87"/>
      <c r="J652" s="85"/>
      <c r="K652" s="85"/>
      <c r="M652" s="81"/>
      <c r="O652" s="85"/>
      <c r="P652" s="85"/>
      <c r="Q652" s="81"/>
    </row>
    <row r="653" spans="3:17" x14ac:dyDescent="0.3">
      <c r="C653" s="81"/>
      <c r="F653" s="85"/>
      <c r="G653" s="86"/>
      <c r="H653" s="86"/>
      <c r="I653" s="87"/>
      <c r="J653" s="85"/>
      <c r="K653" s="85"/>
      <c r="M653" s="81"/>
      <c r="O653" s="85"/>
      <c r="P653" s="85"/>
      <c r="Q653" s="81"/>
    </row>
    <row r="654" spans="3:17" x14ac:dyDescent="0.3">
      <c r="C654" s="81"/>
      <c r="F654" s="85"/>
      <c r="G654" s="86"/>
      <c r="H654" s="86"/>
      <c r="I654" s="87"/>
      <c r="J654" s="85"/>
      <c r="K654" s="85"/>
      <c r="M654" s="81"/>
      <c r="O654" s="85"/>
      <c r="P654" s="85"/>
      <c r="Q654" s="81"/>
    </row>
    <row r="655" spans="3:17" x14ac:dyDescent="0.3">
      <c r="C655" s="81"/>
      <c r="F655" s="85"/>
      <c r="G655" s="86"/>
      <c r="H655" s="86"/>
      <c r="I655" s="87"/>
      <c r="J655" s="85"/>
      <c r="K655" s="85"/>
      <c r="M655" s="81"/>
      <c r="O655" s="85"/>
      <c r="P655" s="85"/>
      <c r="Q655" s="81"/>
    </row>
    <row r="656" spans="3:17" x14ac:dyDescent="0.3">
      <c r="C656" s="81"/>
      <c r="F656" s="85"/>
      <c r="G656" s="86"/>
      <c r="H656" s="86"/>
      <c r="I656" s="87"/>
      <c r="J656" s="85"/>
      <c r="K656" s="85"/>
      <c r="M656" s="81"/>
      <c r="O656" s="85"/>
      <c r="P656" s="85"/>
      <c r="Q656" s="81"/>
    </row>
    <row r="657" spans="3:17" x14ac:dyDescent="0.3">
      <c r="C657" s="81"/>
      <c r="F657" s="85"/>
      <c r="G657" s="86"/>
      <c r="H657" s="86"/>
      <c r="I657" s="87"/>
      <c r="J657" s="85"/>
      <c r="K657" s="85"/>
      <c r="M657" s="81"/>
      <c r="O657" s="85"/>
      <c r="P657" s="85"/>
      <c r="Q657" s="81"/>
    </row>
    <row r="658" spans="3:17" x14ac:dyDescent="0.3">
      <c r="C658" s="81"/>
      <c r="F658" s="85"/>
      <c r="G658" s="86"/>
      <c r="H658" s="86"/>
      <c r="I658" s="87"/>
      <c r="J658" s="85"/>
      <c r="K658" s="85"/>
      <c r="M658" s="81"/>
      <c r="O658" s="85"/>
      <c r="P658" s="85"/>
      <c r="Q658" s="81"/>
    </row>
    <row r="659" spans="3:17" x14ac:dyDescent="0.3">
      <c r="C659" s="81"/>
      <c r="F659" s="85"/>
      <c r="G659" s="86"/>
      <c r="H659" s="86"/>
      <c r="I659" s="87"/>
      <c r="J659" s="85"/>
      <c r="K659" s="85"/>
      <c r="M659" s="81"/>
      <c r="O659" s="85"/>
      <c r="P659" s="85"/>
      <c r="Q659" s="81"/>
    </row>
    <row r="660" spans="3:17" x14ac:dyDescent="0.3">
      <c r="C660" s="81"/>
      <c r="F660" s="85"/>
      <c r="G660" s="86"/>
      <c r="H660" s="86"/>
      <c r="I660" s="87"/>
      <c r="J660" s="85"/>
      <c r="K660" s="85"/>
      <c r="M660" s="81"/>
      <c r="O660" s="85"/>
      <c r="P660" s="85"/>
      <c r="Q660" s="81"/>
    </row>
    <row r="661" spans="3:17" x14ac:dyDescent="0.3">
      <c r="C661" s="81"/>
      <c r="F661" s="85"/>
      <c r="G661" s="86"/>
      <c r="H661" s="86"/>
      <c r="I661" s="87"/>
      <c r="J661" s="85"/>
      <c r="K661" s="85"/>
      <c r="M661" s="81"/>
      <c r="O661" s="85"/>
      <c r="P661" s="85"/>
      <c r="Q661" s="81"/>
    </row>
    <row r="662" spans="3:17" x14ac:dyDescent="0.3">
      <c r="C662" s="81"/>
      <c r="F662" s="85"/>
      <c r="G662" s="86"/>
      <c r="H662" s="86"/>
      <c r="I662" s="87"/>
      <c r="J662" s="85"/>
      <c r="K662" s="85"/>
      <c r="M662" s="81"/>
      <c r="O662" s="85"/>
      <c r="P662" s="85"/>
      <c r="Q662" s="81"/>
    </row>
    <row r="663" spans="3:17" x14ac:dyDescent="0.3">
      <c r="C663" s="81"/>
      <c r="F663" s="85"/>
      <c r="G663" s="86"/>
      <c r="H663" s="86"/>
      <c r="I663" s="87"/>
      <c r="J663" s="85"/>
      <c r="K663" s="85"/>
      <c r="M663" s="81"/>
      <c r="O663" s="85"/>
      <c r="P663" s="85"/>
      <c r="Q663" s="81"/>
    </row>
    <row r="664" spans="3:17" x14ac:dyDescent="0.3">
      <c r="C664" s="81"/>
      <c r="F664" s="85"/>
      <c r="G664" s="86"/>
      <c r="H664" s="86"/>
      <c r="I664" s="87"/>
      <c r="J664" s="85"/>
      <c r="K664" s="85"/>
      <c r="M664" s="81"/>
      <c r="O664" s="85"/>
      <c r="P664" s="85"/>
      <c r="Q664" s="81"/>
    </row>
    <row r="665" spans="3:17" x14ac:dyDescent="0.3">
      <c r="C665" s="81"/>
      <c r="F665" s="85"/>
      <c r="G665" s="86"/>
      <c r="H665" s="86"/>
      <c r="I665" s="87"/>
      <c r="J665" s="85"/>
      <c r="K665" s="85"/>
      <c r="M665" s="81"/>
      <c r="O665" s="85"/>
      <c r="P665" s="85"/>
      <c r="Q665" s="81"/>
    </row>
    <row r="666" spans="3:17" x14ac:dyDescent="0.3">
      <c r="C666" s="81"/>
      <c r="F666" s="85"/>
      <c r="G666" s="86"/>
      <c r="H666" s="86"/>
      <c r="I666" s="87"/>
      <c r="J666" s="85"/>
      <c r="K666" s="85"/>
      <c r="M666" s="81"/>
      <c r="O666" s="85"/>
      <c r="P666" s="85"/>
      <c r="Q666" s="81"/>
    </row>
    <row r="667" spans="3:17" x14ac:dyDescent="0.3">
      <c r="C667" s="81"/>
      <c r="F667" s="85"/>
      <c r="G667" s="86"/>
      <c r="H667" s="86"/>
      <c r="I667" s="87"/>
      <c r="J667" s="85"/>
      <c r="K667" s="85"/>
      <c r="M667" s="81"/>
      <c r="O667" s="85"/>
      <c r="P667" s="85"/>
      <c r="Q667" s="81"/>
    </row>
    <row r="668" spans="3:17" x14ac:dyDescent="0.3">
      <c r="C668" s="81"/>
      <c r="F668" s="85"/>
      <c r="G668" s="86"/>
      <c r="H668" s="86"/>
      <c r="I668" s="87"/>
      <c r="J668" s="85"/>
      <c r="K668" s="85"/>
      <c r="M668" s="81"/>
      <c r="O668" s="85"/>
      <c r="P668" s="85"/>
      <c r="Q668" s="81"/>
    </row>
    <row r="669" spans="3:17" x14ac:dyDescent="0.3">
      <c r="C669" s="81"/>
      <c r="F669" s="85"/>
      <c r="G669" s="86"/>
      <c r="H669" s="86"/>
      <c r="I669" s="87"/>
      <c r="J669" s="85"/>
      <c r="K669" s="85"/>
      <c r="M669" s="81"/>
      <c r="O669" s="85"/>
      <c r="P669" s="85"/>
      <c r="Q669" s="81"/>
    </row>
    <row r="670" spans="3:17" x14ac:dyDescent="0.3">
      <c r="C670" s="81"/>
      <c r="F670" s="85"/>
      <c r="G670" s="86"/>
      <c r="H670" s="86"/>
      <c r="I670" s="87"/>
      <c r="J670" s="85"/>
      <c r="K670" s="85"/>
      <c r="M670" s="81"/>
      <c r="O670" s="85"/>
      <c r="P670" s="85"/>
      <c r="Q670" s="81"/>
    </row>
    <row r="671" spans="3:17" x14ac:dyDescent="0.3">
      <c r="C671" s="81"/>
      <c r="F671" s="85"/>
      <c r="G671" s="86"/>
      <c r="H671" s="86"/>
      <c r="I671" s="87"/>
      <c r="J671" s="85"/>
      <c r="K671" s="85"/>
      <c r="M671" s="81"/>
      <c r="O671" s="85"/>
      <c r="P671" s="85"/>
      <c r="Q671" s="81"/>
    </row>
    <row r="672" spans="3:17" x14ac:dyDescent="0.3">
      <c r="C672" s="81"/>
      <c r="F672" s="85"/>
      <c r="G672" s="86"/>
      <c r="H672" s="86"/>
      <c r="I672" s="87"/>
      <c r="J672" s="85"/>
      <c r="K672" s="85"/>
      <c r="M672" s="81"/>
      <c r="O672" s="85"/>
      <c r="P672" s="85"/>
      <c r="Q672" s="81"/>
    </row>
    <row r="673" spans="3:17" x14ac:dyDescent="0.3">
      <c r="C673" s="81"/>
      <c r="F673" s="85"/>
      <c r="G673" s="86"/>
      <c r="H673" s="86"/>
      <c r="I673" s="87"/>
      <c r="J673" s="85"/>
      <c r="K673" s="85"/>
      <c r="M673" s="81"/>
      <c r="O673" s="85"/>
      <c r="P673" s="85"/>
      <c r="Q673" s="81"/>
    </row>
    <row r="674" spans="3:17" x14ac:dyDescent="0.3">
      <c r="C674" s="81"/>
      <c r="F674" s="85"/>
      <c r="G674" s="86"/>
      <c r="H674" s="86"/>
      <c r="I674" s="87"/>
      <c r="J674" s="85"/>
      <c r="K674" s="85"/>
      <c r="M674" s="81"/>
      <c r="O674" s="85"/>
      <c r="P674" s="85"/>
      <c r="Q674" s="81"/>
    </row>
    <row r="675" spans="3:17" x14ac:dyDescent="0.3">
      <c r="C675" s="81"/>
      <c r="F675" s="85"/>
      <c r="G675" s="86"/>
      <c r="H675" s="86"/>
      <c r="I675" s="87"/>
      <c r="J675" s="85"/>
      <c r="K675" s="85"/>
      <c r="M675" s="81"/>
      <c r="O675" s="85"/>
      <c r="P675" s="85"/>
      <c r="Q675" s="81"/>
    </row>
    <row r="676" spans="3:17" x14ac:dyDescent="0.3">
      <c r="C676" s="81"/>
      <c r="F676" s="85"/>
      <c r="G676" s="86"/>
      <c r="H676" s="86"/>
      <c r="I676" s="87"/>
      <c r="J676" s="85"/>
      <c r="K676" s="85"/>
      <c r="M676" s="81"/>
      <c r="O676" s="85"/>
      <c r="P676" s="85"/>
      <c r="Q676" s="81"/>
    </row>
    <row r="677" spans="3:17" x14ac:dyDescent="0.3">
      <c r="C677" s="81"/>
      <c r="F677" s="85"/>
      <c r="G677" s="86"/>
      <c r="H677" s="86"/>
      <c r="I677" s="87"/>
      <c r="J677" s="85"/>
      <c r="K677" s="85"/>
      <c r="M677" s="81"/>
      <c r="O677" s="85"/>
      <c r="P677" s="85"/>
      <c r="Q677" s="81"/>
    </row>
    <row r="678" spans="3:17" x14ac:dyDescent="0.3">
      <c r="C678" s="81"/>
      <c r="F678" s="85"/>
      <c r="G678" s="86"/>
      <c r="H678" s="86"/>
      <c r="I678" s="87"/>
      <c r="J678" s="85"/>
      <c r="K678" s="85"/>
      <c r="M678" s="81"/>
      <c r="O678" s="85"/>
      <c r="P678" s="85"/>
      <c r="Q678" s="81"/>
    </row>
    <row r="679" spans="3:17" x14ac:dyDescent="0.3">
      <c r="C679" s="81"/>
      <c r="F679" s="85"/>
      <c r="G679" s="86"/>
      <c r="H679" s="86"/>
      <c r="I679" s="87"/>
      <c r="J679" s="85"/>
      <c r="K679" s="85"/>
      <c r="M679" s="81"/>
      <c r="O679" s="85"/>
      <c r="P679" s="85"/>
      <c r="Q679" s="81"/>
    </row>
    <row r="680" spans="3:17" x14ac:dyDescent="0.3">
      <c r="C680" s="81"/>
      <c r="F680" s="85"/>
      <c r="G680" s="86"/>
      <c r="H680" s="86"/>
      <c r="I680" s="87"/>
      <c r="J680" s="85"/>
      <c r="K680" s="85"/>
      <c r="M680" s="81"/>
      <c r="O680" s="85"/>
      <c r="P680" s="85"/>
      <c r="Q680" s="81"/>
    </row>
    <row r="681" spans="3:17" x14ac:dyDescent="0.3">
      <c r="C681" s="81"/>
      <c r="F681" s="85"/>
      <c r="G681" s="86"/>
      <c r="H681" s="86"/>
      <c r="I681" s="87"/>
      <c r="J681" s="85"/>
      <c r="K681" s="85"/>
      <c r="M681" s="81"/>
      <c r="O681" s="85"/>
      <c r="P681" s="85"/>
      <c r="Q681" s="81"/>
    </row>
    <row r="682" spans="3:17" x14ac:dyDescent="0.3">
      <c r="C682" s="81"/>
      <c r="F682" s="85"/>
      <c r="G682" s="86"/>
      <c r="H682" s="86"/>
      <c r="I682" s="87"/>
      <c r="J682" s="85"/>
      <c r="K682" s="85"/>
      <c r="M682" s="81"/>
      <c r="O682" s="85"/>
      <c r="P682" s="85"/>
      <c r="Q682" s="81"/>
    </row>
    <row r="683" spans="3:17" x14ac:dyDescent="0.3">
      <c r="C683" s="81"/>
      <c r="F683" s="85"/>
      <c r="G683" s="86"/>
      <c r="H683" s="86"/>
      <c r="I683" s="87"/>
      <c r="J683" s="85"/>
      <c r="K683" s="85"/>
      <c r="M683" s="81"/>
      <c r="O683" s="85"/>
      <c r="P683" s="85"/>
      <c r="Q683" s="81"/>
    </row>
    <row r="684" spans="3:17" x14ac:dyDescent="0.3">
      <c r="C684" s="81"/>
      <c r="F684" s="85"/>
      <c r="G684" s="86"/>
      <c r="H684" s="86"/>
      <c r="I684" s="87"/>
      <c r="J684" s="85"/>
      <c r="K684" s="85"/>
      <c r="M684" s="81"/>
      <c r="O684" s="85"/>
      <c r="P684" s="85"/>
      <c r="Q684" s="81"/>
    </row>
    <row r="685" spans="3:17" x14ac:dyDescent="0.3">
      <c r="C685" s="81"/>
      <c r="F685" s="85"/>
      <c r="G685" s="86"/>
      <c r="H685" s="86"/>
      <c r="I685" s="87"/>
      <c r="J685" s="85"/>
      <c r="K685" s="85"/>
      <c r="M685" s="81"/>
      <c r="O685" s="85"/>
      <c r="P685" s="85"/>
      <c r="Q685" s="81"/>
    </row>
    <row r="686" spans="3:17" x14ac:dyDescent="0.3">
      <c r="C686" s="81"/>
      <c r="F686" s="85"/>
      <c r="G686" s="86"/>
      <c r="H686" s="86"/>
      <c r="I686" s="87"/>
      <c r="J686" s="85"/>
      <c r="K686" s="85"/>
      <c r="M686" s="81"/>
      <c r="O686" s="85"/>
      <c r="P686" s="85"/>
      <c r="Q686" s="81"/>
    </row>
    <row r="687" spans="3:17" x14ac:dyDescent="0.3">
      <c r="C687" s="81"/>
      <c r="F687" s="85"/>
      <c r="G687" s="86"/>
      <c r="H687" s="86"/>
      <c r="I687" s="87"/>
      <c r="J687" s="85"/>
      <c r="K687" s="85"/>
      <c r="M687" s="81"/>
      <c r="O687" s="85"/>
      <c r="P687" s="85"/>
      <c r="Q687" s="81"/>
    </row>
    <row r="688" spans="3:17" x14ac:dyDescent="0.3">
      <c r="C688" s="81"/>
      <c r="F688" s="85"/>
      <c r="G688" s="86"/>
      <c r="H688" s="86"/>
      <c r="I688" s="87"/>
      <c r="J688" s="85"/>
      <c r="K688" s="85"/>
      <c r="M688" s="81"/>
      <c r="O688" s="85"/>
      <c r="P688" s="85"/>
      <c r="Q688" s="81"/>
    </row>
    <row r="689" spans="3:17" x14ac:dyDescent="0.3">
      <c r="C689" s="81"/>
      <c r="F689" s="85"/>
      <c r="G689" s="86"/>
      <c r="H689" s="86"/>
      <c r="I689" s="87"/>
      <c r="J689" s="85"/>
      <c r="K689" s="85"/>
      <c r="M689" s="81"/>
      <c r="O689" s="85"/>
      <c r="P689" s="85"/>
      <c r="Q689" s="81"/>
    </row>
    <row r="690" spans="3:17" x14ac:dyDescent="0.3">
      <c r="C690" s="81"/>
      <c r="F690" s="85"/>
      <c r="G690" s="86"/>
      <c r="H690" s="86"/>
      <c r="I690" s="87"/>
      <c r="J690" s="85"/>
      <c r="K690" s="85"/>
      <c r="M690" s="81"/>
      <c r="O690" s="85"/>
      <c r="P690" s="85"/>
      <c r="Q690" s="81"/>
    </row>
    <row r="691" spans="3:17" x14ac:dyDescent="0.3">
      <c r="C691" s="81"/>
      <c r="F691" s="85"/>
      <c r="G691" s="86"/>
      <c r="H691" s="86"/>
      <c r="I691" s="87"/>
      <c r="J691" s="85"/>
      <c r="K691" s="85"/>
      <c r="M691" s="81"/>
      <c r="O691" s="85"/>
      <c r="P691" s="85"/>
      <c r="Q691" s="81"/>
    </row>
    <row r="692" spans="3:17" x14ac:dyDescent="0.3">
      <c r="C692" s="81"/>
      <c r="F692" s="85"/>
      <c r="G692" s="86"/>
      <c r="H692" s="86"/>
      <c r="I692" s="87"/>
      <c r="J692" s="85"/>
      <c r="K692" s="85"/>
      <c r="M692" s="81"/>
      <c r="O692" s="85"/>
      <c r="P692" s="85"/>
      <c r="Q692" s="81"/>
    </row>
    <row r="693" spans="3:17" x14ac:dyDescent="0.3">
      <c r="C693" s="81"/>
      <c r="F693" s="85"/>
      <c r="G693" s="86"/>
      <c r="H693" s="86"/>
      <c r="I693" s="87"/>
      <c r="J693" s="85"/>
      <c r="K693" s="85"/>
      <c r="M693" s="81"/>
      <c r="O693" s="85"/>
      <c r="P693" s="85"/>
      <c r="Q693" s="81"/>
    </row>
    <row r="694" spans="3:17" x14ac:dyDescent="0.3">
      <c r="C694" s="81"/>
      <c r="F694" s="85"/>
      <c r="G694" s="86"/>
      <c r="H694" s="86"/>
      <c r="I694" s="87"/>
      <c r="J694" s="85"/>
      <c r="K694" s="85"/>
      <c r="M694" s="81"/>
      <c r="O694" s="85"/>
      <c r="P694" s="85"/>
      <c r="Q694" s="81"/>
    </row>
    <row r="695" spans="3:17" x14ac:dyDescent="0.3">
      <c r="C695" s="81"/>
      <c r="F695" s="85"/>
      <c r="G695" s="86"/>
      <c r="H695" s="86"/>
      <c r="I695" s="87"/>
      <c r="J695" s="85"/>
      <c r="K695" s="85"/>
      <c r="M695" s="81"/>
      <c r="O695" s="85"/>
      <c r="P695" s="85"/>
      <c r="Q695" s="81"/>
    </row>
    <row r="696" spans="3:17" x14ac:dyDescent="0.3">
      <c r="C696" s="81"/>
      <c r="F696" s="85"/>
      <c r="G696" s="86"/>
      <c r="H696" s="86"/>
      <c r="I696" s="87"/>
      <c r="J696" s="85"/>
      <c r="K696" s="85"/>
      <c r="M696" s="81"/>
      <c r="O696" s="85"/>
      <c r="P696" s="85"/>
      <c r="Q696" s="81"/>
    </row>
    <row r="697" spans="3:17" x14ac:dyDescent="0.3">
      <c r="C697" s="81"/>
      <c r="F697" s="85"/>
      <c r="G697" s="86"/>
      <c r="H697" s="86"/>
      <c r="I697" s="87"/>
      <c r="J697" s="85"/>
      <c r="K697" s="85"/>
      <c r="M697" s="81"/>
      <c r="O697" s="85"/>
      <c r="P697" s="85"/>
      <c r="Q697" s="81"/>
    </row>
    <row r="698" spans="3:17" x14ac:dyDescent="0.3">
      <c r="C698" s="81"/>
      <c r="F698" s="85"/>
      <c r="G698" s="86"/>
      <c r="H698" s="86"/>
      <c r="I698" s="87"/>
      <c r="J698" s="85"/>
      <c r="K698" s="85"/>
      <c r="M698" s="81"/>
      <c r="O698" s="85"/>
      <c r="P698" s="85"/>
      <c r="Q698" s="81"/>
    </row>
    <row r="699" spans="3:17" x14ac:dyDescent="0.3">
      <c r="C699" s="81"/>
      <c r="F699" s="85"/>
      <c r="G699" s="86"/>
      <c r="H699" s="86"/>
      <c r="I699" s="87"/>
      <c r="J699" s="85"/>
      <c r="K699" s="85"/>
      <c r="M699" s="81"/>
      <c r="O699" s="85"/>
      <c r="P699" s="85"/>
      <c r="Q699" s="81"/>
    </row>
    <row r="700" spans="3:17" x14ac:dyDescent="0.3">
      <c r="C700" s="81"/>
      <c r="F700" s="85"/>
      <c r="G700" s="86"/>
      <c r="H700" s="86"/>
      <c r="I700" s="87"/>
      <c r="J700" s="85"/>
      <c r="K700" s="85"/>
      <c r="M700" s="81"/>
      <c r="O700" s="85"/>
      <c r="P700" s="85"/>
      <c r="Q700" s="81"/>
    </row>
    <row r="701" spans="3:17" x14ac:dyDescent="0.3">
      <c r="C701" s="81"/>
      <c r="F701" s="85"/>
      <c r="G701" s="86"/>
      <c r="H701" s="86"/>
      <c r="I701" s="87"/>
      <c r="J701" s="85"/>
      <c r="K701" s="85"/>
      <c r="M701" s="81"/>
      <c r="O701" s="85"/>
      <c r="P701" s="85"/>
      <c r="Q701" s="81"/>
    </row>
    <row r="702" spans="3:17" x14ac:dyDescent="0.3">
      <c r="C702" s="81"/>
      <c r="F702" s="85"/>
      <c r="G702" s="86"/>
      <c r="H702" s="86"/>
      <c r="I702" s="87"/>
      <c r="J702" s="85"/>
      <c r="K702" s="85"/>
      <c r="M702" s="81"/>
      <c r="O702" s="85"/>
      <c r="P702" s="85"/>
      <c r="Q702" s="81"/>
    </row>
    <row r="703" spans="3:17" x14ac:dyDescent="0.3">
      <c r="C703" s="81"/>
      <c r="F703" s="85"/>
      <c r="G703" s="86"/>
      <c r="H703" s="86"/>
      <c r="I703" s="87"/>
      <c r="J703" s="85"/>
      <c r="K703" s="85"/>
      <c r="M703" s="81"/>
      <c r="O703" s="85"/>
      <c r="P703" s="85"/>
      <c r="Q703" s="81"/>
    </row>
    <row r="704" spans="3:17" x14ac:dyDescent="0.3">
      <c r="C704" s="81"/>
      <c r="F704" s="85"/>
      <c r="G704" s="86"/>
      <c r="H704" s="86"/>
      <c r="I704" s="87"/>
      <c r="J704" s="85"/>
      <c r="K704" s="85"/>
      <c r="M704" s="81"/>
      <c r="O704" s="85"/>
      <c r="P704" s="85"/>
      <c r="Q704" s="81"/>
    </row>
    <row r="705" spans="3:17" x14ac:dyDescent="0.3">
      <c r="C705" s="81"/>
      <c r="F705" s="85"/>
      <c r="G705" s="86"/>
      <c r="H705" s="86"/>
      <c r="I705" s="87"/>
      <c r="J705" s="85"/>
      <c r="K705" s="85"/>
      <c r="M705" s="81"/>
      <c r="O705" s="85"/>
      <c r="P705" s="85"/>
      <c r="Q705" s="81"/>
    </row>
    <row r="706" spans="3:17" x14ac:dyDescent="0.3">
      <c r="C706" s="81"/>
      <c r="F706" s="85"/>
      <c r="G706" s="86"/>
      <c r="H706" s="86"/>
      <c r="I706" s="87"/>
      <c r="J706" s="85"/>
      <c r="K706" s="85"/>
      <c r="M706" s="81"/>
      <c r="O706" s="85"/>
      <c r="P706" s="85"/>
      <c r="Q706" s="81"/>
    </row>
    <row r="707" spans="3:17" x14ac:dyDescent="0.3">
      <c r="C707" s="81"/>
      <c r="F707" s="85"/>
      <c r="G707" s="86"/>
      <c r="H707" s="86"/>
      <c r="I707" s="87"/>
      <c r="J707" s="85"/>
      <c r="K707" s="85"/>
      <c r="M707" s="81"/>
      <c r="O707" s="85"/>
      <c r="P707" s="85"/>
      <c r="Q707" s="81"/>
    </row>
    <row r="708" spans="3:17" x14ac:dyDescent="0.3">
      <c r="C708" s="81"/>
      <c r="F708" s="85"/>
      <c r="G708" s="86"/>
      <c r="H708" s="86"/>
      <c r="I708" s="87"/>
      <c r="J708" s="85"/>
      <c r="K708" s="85"/>
      <c r="M708" s="81"/>
      <c r="O708" s="85"/>
      <c r="P708" s="85"/>
      <c r="Q708" s="81"/>
    </row>
    <row r="709" spans="3:17" x14ac:dyDescent="0.3">
      <c r="C709" s="81"/>
      <c r="F709" s="85"/>
      <c r="G709" s="86"/>
      <c r="H709" s="86"/>
      <c r="I709" s="87"/>
      <c r="J709" s="85"/>
      <c r="K709" s="85"/>
      <c r="M709" s="81"/>
      <c r="O709" s="85"/>
      <c r="P709" s="85"/>
      <c r="Q709" s="81"/>
    </row>
    <row r="710" spans="3:17" x14ac:dyDescent="0.3">
      <c r="C710" s="81"/>
      <c r="F710" s="85"/>
      <c r="G710" s="86"/>
      <c r="H710" s="86"/>
      <c r="I710" s="87"/>
      <c r="J710" s="85"/>
      <c r="K710" s="85"/>
      <c r="M710" s="81"/>
      <c r="O710" s="85"/>
      <c r="P710" s="85"/>
      <c r="Q710" s="81"/>
    </row>
    <row r="711" spans="3:17" x14ac:dyDescent="0.3">
      <c r="C711" s="81"/>
      <c r="F711" s="85"/>
      <c r="G711" s="86"/>
      <c r="H711" s="86"/>
      <c r="I711" s="87"/>
      <c r="J711" s="85"/>
      <c r="K711" s="85"/>
      <c r="M711" s="81"/>
      <c r="O711" s="85"/>
      <c r="P711" s="85"/>
      <c r="Q711" s="81"/>
    </row>
    <row r="712" spans="3:17" x14ac:dyDescent="0.3">
      <c r="C712" s="81"/>
      <c r="F712" s="85"/>
      <c r="G712" s="86"/>
      <c r="H712" s="86"/>
      <c r="I712" s="87"/>
      <c r="J712" s="85"/>
      <c r="K712" s="85"/>
      <c r="M712" s="81"/>
      <c r="O712" s="85"/>
      <c r="P712" s="85"/>
      <c r="Q712" s="81"/>
    </row>
    <row r="713" spans="3:17" x14ac:dyDescent="0.3">
      <c r="C713" s="81"/>
      <c r="F713" s="85"/>
      <c r="G713" s="86"/>
      <c r="H713" s="86"/>
      <c r="I713" s="87"/>
      <c r="J713" s="85"/>
      <c r="K713" s="85"/>
      <c r="M713" s="81"/>
      <c r="O713" s="85"/>
      <c r="P713" s="85"/>
      <c r="Q713" s="81"/>
    </row>
    <row r="714" spans="3:17" x14ac:dyDescent="0.3">
      <c r="C714" s="81"/>
      <c r="F714" s="85"/>
      <c r="G714" s="86"/>
      <c r="H714" s="86"/>
      <c r="I714" s="87"/>
      <c r="J714" s="85"/>
      <c r="K714" s="85"/>
      <c r="M714" s="81"/>
      <c r="O714" s="85"/>
      <c r="P714" s="85"/>
      <c r="Q714" s="81"/>
    </row>
    <row r="715" spans="3:17" x14ac:dyDescent="0.3">
      <c r="C715" s="81"/>
      <c r="F715" s="85"/>
      <c r="G715" s="86"/>
      <c r="H715" s="86"/>
      <c r="I715" s="87"/>
      <c r="J715" s="85"/>
      <c r="K715" s="85"/>
      <c r="M715" s="81"/>
      <c r="O715" s="85"/>
      <c r="P715" s="85"/>
      <c r="Q715" s="81"/>
    </row>
    <row r="716" spans="3:17" x14ac:dyDescent="0.3">
      <c r="C716" s="81"/>
      <c r="F716" s="85"/>
      <c r="G716" s="86"/>
      <c r="H716" s="86"/>
      <c r="I716" s="87"/>
      <c r="J716" s="85"/>
      <c r="K716" s="85"/>
      <c r="M716" s="81"/>
      <c r="O716" s="85"/>
      <c r="P716" s="85"/>
      <c r="Q716" s="81"/>
    </row>
    <row r="717" spans="3:17" x14ac:dyDescent="0.3">
      <c r="C717" s="81"/>
      <c r="F717" s="85"/>
      <c r="G717" s="86"/>
      <c r="H717" s="86"/>
      <c r="I717" s="87"/>
      <c r="J717" s="85"/>
      <c r="K717" s="85"/>
      <c r="M717" s="81"/>
      <c r="O717" s="85"/>
      <c r="P717" s="85"/>
      <c r="Q717" s="81"/>
    </row>
    <row r="718" spans="3:17" x14ac:dyDescent="0.3">
      <c r="C718" s="81"/>
      <c r="F718" s="85"/>
      <c r="G718" s="86"/>
      <c r="H718" s="86"/>
      <c r="I718" s="87"/>
      <c r="J718" s="85"/>
      <c r="K718" s="85"/>
      <c r="M718" s="81"/>
      <c r="O718" s="85"/>
      <c r="P718" s="85"/>
      <c r="Q718" s="81"/>
    </row>
    <row r="719" spans="3:17" x14ac:dyDescent="0.3">
      <c r="C719" s="81"/>
      <c r="F719" s="85"/>
      <c r="G719" s="86"/>
      <c r="H719" s="86"/>
      <c r="I719" s="87"/>
      <c r="J719" s="85"/>
      <c r="K719" s="85"/>
      <c r="M719" s="81"/>
      <c r="O719" s="85"/>
      <c r="P719" s="85"/>
      <c r="Q719" s="81"/>
    </row>
    <row r="720" spans="3:17" x14ac:dyDescent="0.3">
      <c r="C720" s="81"/>
      <c r="F720" s="85"/>
      <c r="G720" s="86"/>
      <c r="H720" s="86"/>
      <c r="I720" s="87"/>
      <c r="J720" s="85"/>
      <c r="K720" s="85"/>
      <c r="M720" s="81"/>
      <c r="O720" s="85"/>
      <c r="P720" s="85"/>
      <c r="Q720" s="81"/>
    </row>
    <row r="721" spans="3:17" x14ac:dyDescent="0.3">
      <c r="C721" s="81"/>
      <c r="F721" s="85"/>
      <c r="G721" s="86"/>
      <c r="H721" s="86"/>
      <c r="I721" s="87"/>
      <c r="J721" s="85"/>
      <c r="K721" s="85"/>
      <c r="M721" s="81"/>
      <c r="O721" s="85"/>
      <c r="P721" s="85"/>
      <c r="Q721" s="81"/>
    </row>
    <row r="722" spans="3:17" x14ac:dyDescent="0.3">
      <c r="C722" s="81"/>
      <c r="F722" s="85"/>
      <c r="G722" s="86"/>
      <c r="H722" s="86"/>
      <c r="I722" s="87"/>
      <c r="J722" s="85"/>
      <c r="K722" s="85"/>
      <c r="M722" s="81"/>
      <c r="O722" s="85"/>
      <c r="P722" s="85"/>
      <c r="Q722" s="81"/>
    </row>
    <row r="723" spans="3:17" x14ac:dyDescent="0.3">
      <c r="C723" s="81"/>
      <c r="F723" s="85"/>
      <c r="G723" s="86"/>
      <c r="H723" s="86"/>
      <c r="I723" s="87"/>
      <c r="J723" s="85"/>
      <c r="K723" s="85"/>
      <c r="M723" s="81"/>
      <c r="O723" s="85"/>
      <c r="P723" s="85"/>
      <c r="Q723" s="81"/>
    </row>
    <row r="724" spans="3:17" x14ac:dyDescent="0.3">
      <c r="C724" s="81"/>
      <c r="F724" s="85"/>
      <c r="G724" s="86"/>
      <c r="H724" s="86"/>
      <c r="I724" s="87"/>
      <c r="J724" s="85"/>
      <c r="K724" s="85"/>
      <c r="M724" s="81"/>
      <c r="O724" s="85"/>
      <c r="P724" s="85"/>
      <c r="Q724" s="81"/>
    </row>
    <row r="725" spans="3:17" x14ac:dyDescent="0.3">
      <c r="C725" s="81"/>
      <c r="F725" s="85"/>
      <c r="G725" s="86"/>
      <c r="H725" s="86"/>
      <c r="I725" s="87"/>
      <c r="J725" s="85"/>
      <c r="K725" s="85"/>
      <c r="M725" s="81"/>
      <c r="O725" s="85"/>
      <c r="P725" s="85"/>
      <c r="Q725" s="81"/>
    </row>
    <row r="726" spans="3:17" x14ac:dyDescent="0.3">
      <c r="C726" s="81"/>
      <c r="F726" s="85"/>
      <c r="G726" s="86"/>
      <c r="H726" s="86"/>
      <c r="I726" s="87"/>
      <c r="J726" s="85"/>
      <c r="K726" s="85"/>
      <c r="M726" s="81"/>
      <c r="O726" s="85"/>
      <c r="P726" s="85"/>
      <c r="Q726" s="81"/>
    </row>
    <row r="727" spans="3:17" x14ac:dyDescent="0.3">
      <c r="C727" s="81"/>
      <c r="F727" s="85"/>
      <c r="G727" s="86"/>
      <c r="H727" s="86"/>
      <c r="I727" s="87"/>
      <c r="J727" s="85"/>
      <c r="K727" s="85"/>
      <c r="M727" s="81"/>
      <c r="O727" s="85"/>
      <c r="P727" s="85"/>
      <c r="Q727" s="81"/>
    </row>
    <row r="728" spans="3:17" x14ac:dyDescent="0.3">
      <c r="C728" s="81"/>
      <c r="F728" s="85"/>
      <c r="G728" s="86"/>
      <c r="H728" s="86"/>
      <c r="I728" s="87"/>
      <c r="J728" s="85"/>
      <c r="K728" s="85"/>
      <c r="M728" s="81"/>
      <c r="O728" s="85"/>
      <c r="P728" s="85"/>
      <c r="Q728" s="81"/>
    </row>
    <row r="729" spans="3:17" x14ac:dyDescent="0.3">
      <c r="C729" s="81"/>
      <c r="F729" s="85"/>
      <c r="G729" s="86"/>
      <c r="H729" s="86"/>
      <c r="I729" s="87"/>
      <c r="J729" s="85"/>
      <c r="K729" s="85"/>
      <c r="M729" s="81"/>
      <c r="O729" s="85"/>
      <c r="P729" s="85"/>
      <c r="Q729" s="81"/>
    </row>
    <row r="730" spans="3:17" x14ac:dyDescent="0.3">
      <c r="C730" s="81"/>
      <c r="F730" s="85"/>
      <c r="G730" s="86"/>
      <c r="H730" s="86"/>
      <c r="I730" s="87"/>
      <c r="J730" s="85"/>
      <c r="K730" s="85"/>
      <c r="M730" s="81"/>
      <c r="O730" s="85"/>
      <c r="P730" s="85"/>
      <c r="Q730" s="81"/>
    </row>
    <row r="731" spans="3:17" x14ac:dyDescent="0.3">
      <c r="C731" s="81"/>
      <c r="F731" s="85"/>
      <c r="G731" s="86"/>
      <c r="H731" s="86"/>
      <c r="I731" s="87"/>
      <c r="J731" s="85"/>
      <c r="K731" s="85"/>
      <c r="M731" s="81"/>
      <c r="O731" s="85"/>
      <c r="P731" s="85"/>
      <c r="Q731" s="81"/>
    </row>
    <row r="732" spans="3:17" x14ac:dyDescent="0.3">
      <c r="C732" s="81"/>
      <c r="F732" s="85"/>
      <c r="G732" s="86"/>
      <c r="H732" s="86"/>
      <c r="I732" s="87"/>
      <c r="J732" s="85"/>
      <c r="K732" s="85"/>
      <c r="M732" s="81"/>
      <c r="O732" s="85"/>
      <c r="P732" s="85"/>
      <c r="Q732" s="81"/>
    </row>
    <row r="733" spans="3:17" x14ac:dyDescent="0.3">
      <c r="C733" s="81"/>
      <c r="F733" s="85"/>
      <c r="G733" s="86"/>
      <c r="H733" s="86"/>
      <c r="I733" s="87"/>
      <c r="J733" s="85"/>
      <c r="K733" s="85"/>
      <c r="M733" s="81"/>
      <c r="O733" s="85"/>
      <c r="P733" s="85"/>
      <c r="Q733" s="81"/>
    </row>
    <row r="734" spans="3:17" x14ac:dyDescent="0.3">
      <c r="C734" s="81"/>
      <c r="F734" s="85"/>
      <c r="G734" s="86"/>
      <c r="H734" s="86"/>
      <c r="I734" s="87"/>
      <c r="J734" s="85"/>
      <c r="K734" s="85"/>
      <c r="M734" s="81"/>
      <c r="O734" s="85"/>
      <c r="P734" s="85"/>
      <c r="Q734" s="81"/>
    </row>
    <row r="735" spans="3:17" x14ac:dyDescent="0.3">
      <c r="C735" s="81"/>
      <c r="F735" s="85"/>
      <c r="G735" s="86"/>
      <c r="H735" s="86"/>
      <c r="I735" s="87"/>
      <c r="J735" s="85"/>
      <c r="K735" s="85"/>
      <c r="M735" s="81"/>
      <c r="O735" s="85"/>
      <c r="P735" s="85"/>
      <c r="Q735" s="81"/>
    </row>
    <row r="736" spans="3:17" x14ac:dyDescent="0.3">
      <c r="C736" s="81"/>
      <c r="F736" s="85"/>
      <c r="G736" s="86"/>
      <c r="H736" s="86"/>
      <c r="I736" s="87"/>
      <c r="J736" s="85"/>
      <c r="K736" s="85"/>
      <c r="M736" s="81"/>
      <c r="O736" s="85"/>
      <c r="P736" s="85"/>
      <c r="Q736" s="81"/>
    </row>
    <row r="737" spans="3:17" x14ac:dyDescent="0.3">
      <c r="C737" s="81"/>
      <c r="F737" s="85"/>
      <c r="G737" s="86"/>
      <c r="H737" s="86"/>
      <c r="I737" s="87"/>
      <c r="J737" s="85"/>
      <c r="K737" s="85"/>
      <c r="M737" s="81"/>
      <c r="O737" s="85"/>
      <c r="P737" s="85"/>
      <c r="Q737" s="81"/>
    </row>
    <row r="738" spans="3:17" x14ac:dyDescent="0.3">
      <c r="C738" s="81"/>
      <c r="F738" s="85"/>
      <c r="G738" s="86"/>
      <c r="H738" s="86"/>
      <c r="I738" s="87"/>
      <c r="J738" s="85"/>
      <c r="K738" s="85"/>
      <c r="M738" s="81"/>
      <c r="O738" s="85"/>
      <c r="P738" s="85"/>
      <c r="Q738" s="81"/>
    </row>
    <row r="739" spans="3:17" x14ac:dyDescent="0.3">
      <c r="C739" s="81"/>
      <c r="F739" s="85"/>
      <c r="G739" s="86"/>
      <c r="H739" s="86"/>
      <c r="I739" s="87"/>
      <c r="J739" s="85"/>
      <c r="K739" s="85"/>
      <c r="M739" s="81"/>
      <c r="O739" s="85"/>
      <c r="P739" s="85"/>
      <c r="Q739" s="81"/>
    </row>
    <row r="740" spans="3:17" x14ac:dyDescent="0.3">
      <c r="C740" s="81"/>
      <c r="F740" s="85"/>
      <c r="G740" s="86"/>
      <c r="H740" s="86"/>
      <c r="I740" s="87"/>
      <c r="J740" s="85"/>
      <c r="K740" s="85"/>
      <c r="M740" s="81"/>
      <c r="O740" s="85"/>
      <c r="P740" s="85"/>
      <c r="Q740" s="81"/>
    </row>
    <row r="741" spans="3:17" x14ac:dyDescent="0.3">
      <c r="C741" s="81"/>
      <c r="F741" s="85"/>
      <c r="G741" s="86"/>
      <c r="H741" s="86"/>
      <c r="I741" s="87"/>
      <c r="J741" s="85"/>
      <c r="K741" s="85"/>
      <c r="M741" s="81"/>
      <c r="O741" s="85"/>
      <c r="P741" s="85"/>
      <c r="Q741" s="81"/>
    </row>
    <row r="742" spans="3:17" x14ac:dyDescent="0.3">
      <c r="C742" s="81"/>
      <c r="F742" s="85"/>
      <c r="G742" s="86"/>
      <c r="H742" s="86"/>
      <c r="I742" s="87"/>
      <c r="J742" s="85"/>
      <c r="K742" s="85"/>
      <c r="M742" s="81"/>
      <c r="O742" s="85"/>
      <c r="P742" s="85"/>
      <c r="Q742" s="81"/>
    </row>
    <row r="743" spans="3:17" x14ac:dyDescent="0.3">
      <c r="C743" s="81"/>
      <c r="F743" s="85"/>
      <c r="G743" s="86"/>
      <c r="H743" s="86"/>
      <c r="I743" s="87"/>
      <c r="J743" s="85"/>
      <c r="K743" s="85"/>
      <c r="M743" s="81"/>
      <c r="O743" s="85"/>
      <c r="P743" s="85"/>
      <c r="Q743" s="81"/>
    </row>
    <row r="744" spans="3:17" x14ac:dyDescent="0.3">
      <c r="C744" s="81"/>
      <c r="F744" s="85"/>
      <c r="G744" s="86"/>
      <c r="H744" s="86"/>
      <c r="I744" s="87"/>
      <c r="J744" s="85"/>
      <c r="K744" s="85"/>
      <c r="M744" s="81"/>
      <c r="O744" s="85"/>
      <c r="P744" s="85"/>
      <c r="Q744" s="81"/>
    </row>
    <row r="745" spans="3:17" x14ac:dyDescent="0.3">
      <c r="C745" s="81"/>
      <c r="F745" s="85"/>
      <c r="G745" s="86"/>
      <c r="H745" s="86"/>
      <c r="I745" s="87"/>
      <c r="J745" s="85"/>
      <c r="K745" s="85"/>
      <c r="M745" s="81"/>
      <c r="O745" s="85"/>
      <c r="P745" s="85"/>
      <c r="Q745" s="81"/>
    </row>
    <row r="746" spans="3:17" x14ac:dyDescent="0.3">
      <c r="C746" s="81"/>
      <c r="F746" s="85"/>
      <c r="G746" s="86"/>
      <c r="H746" s="86"/>
      <c r="I746" s="87"/>
      <c r="J746" s="85"/>
      <c r="K746" s="85"/>
      <c r="M746" s="81"/>
      <c r="O746" s="85"/>
      <c r="P746" s="85"/>
      <c r="Q746" s="81"/>
    </row>
    <row r="747" spans="3:17" x14ac:dyDescent="0.3">
      <c r="C747" s="81"/>
      <c r="F747" s="85"/>
      <c r="G747" s="86"/>
      <c r="H747" s="86"/>
      <c r="I747" s="87"/>
      <c r="J747" s="85"/>
      <c r="K747" s="85"/>
      <c r="M747" s="81"/>
      <c r="O747" s="85"/>
      <c r="P747" s="85"/>
      <c r="Q747" s="81"/>
    </row>
    <row r="748" spans="3:17" x14ac:dyDescent="0.3">
      <c r="C748" s="81"/>
      <c r="F748" s="85"/>
      <c r="G748" s="86"/>
      <c r="H748" s="86"/>
      <c r="I748" s="87"/>
      <c r="J748" s="85"/>
      <c r="K748" s="85"/>
      <c r="M748" s="81"/>
      <c r="O748" s="85"/>
      <c r="P748" s="85"/>
      <c r="Q748" s="81"/>
    </row>
    <row r="749" spans="3:17" x14ac:dyDescent="0.3">
      <c r="C749" s="81"/>
      <c r="F749" s="85"/>
      <c r="G749" s="86"/>
      <c r="H749" s="86"/>
      <c r="I749" s="87"/>
      <c r="J749" s="85"/>
      <c r="K749" s="85"/>
      <c r="M749" s="81"/>
      <c r="O749" s="85"/>
      <c r="P749" s="85"/>
      <c r="Q749" s="81"/>
    </row>
    <row r="750" spans="3:17" x14ac:dyDescent="0.3">
      <c r="C750" s="81"/>
      <c r="F750" s="85"/>
      <c r="G750" s="86"/>
      <c r="H750" s="86"/>
      <c r="I750" s="87"/>
      <c r="J750" s="85"/>
      <c r="K750" s="85"/>
      <c r="M750" s="81"/>
      <c r="O750" s="85"/>
      <c r="P750" s="85"/>
      <c r="Q750" s="81"/>
    </row>
    <row r="751" spans="3:17" x14ac:dyDescent="0.3">
      <c r="C751" s="81"/>
      <c r="F751" s="85"/>
      <c r="G751" s="86"/>
      <c r="H751" s="86"/>
      <c r="I751" s="87"/>
      <c r="J751" s="85"/>
      <c r="K751" s="85"/>
      <c r="M751" s="81"/>
      <c r="O751" s="85"/>
      <c r="P751" s="85"/>
      <c r="Q751" s="81"/>
    </row>
    <row r="752" spans="3:17" x14ac:dyDescent="0.3">
      <c r="C752" s="81"/>
      <c r="F752" s="85"/>
      <c r="G752" s="86"/>
      <c r="H752" s="86"/>
      <c r="I752" s="87"/>
      <c r="J752" s="85"/>
      <c r="K752" s="85"/>
      <c r="M752" s="81"/>
      <c r="O752" s="85"/>
      <c r="P752" s="85"/>
      <c r="Q752" s="81"/>
    </row>
    <row r="753" spans="3:17" x14ac:dyDescent="0.3">
      <c r="C753" s="81"/>
      <c r="F753" s="85"/>
      <c r="G753" s="86"/>
      <c r="H753" s="86"/>
      <c r="I753" s="87"/>
      <c r="J753" s="85"/>
      <c r="K753" s="85"/>
      <c r="M753" s="81"/>
      <c r="O753" s="85"/>
      <c r="P753" s="85"/>
      <c r="Q753" s="81"/>
    </row>
    <row r="754" spans="3:17" x14ac:dyDescent="0.3">
      <c r="C754" s="81"/>
      <c r="F754" s="85"/>
      <c r="G754" s="86"/>
      <c r="H754" s="86"/>
      <c r="I754" s="87"/>
      <c r="J754" s="85"/>
      <c r="K754" s="85"/>
      <c r="M754" s="81"/>
      <c r="O754" s="85"/>
      <c r="P754" s="85"/>
      <c r="Q754" s="81"/>
    </row>
    <row r="755" spans="3:17" x14ac:dyDescent="0.3">
      <c r="C755" s="81"/>
      <c r="F755" s="85"/>
      <c r="G755" s="86"/>
      <c r="H755" s="86"/>
      <c r="I755" s="87"/>
      <c r="J755" s="85"/>
      <c r="K755" s="85"/>
      <c r="M755" s="81"/>
      <c r="O755" s="85"/>
      <c r="P755" s="85"/>
      <c r="Q755" s="81"/>
    </row>
    <row r="756" spans="3:17" x14ac:dyDescent="0.3">
      <c r="C756" s="81"/>
      <c r="F756" s="85"/>
      <c r="G756" s="86"/>
      <c r="H756" s="86"/>
      <c r="I756" s="87"/>
      <c r="J756" s="85"/>
      <c r="K756" s="85"/>
      <c r="M756" s="81"/>
      <c r="O756" s="85"/>
      <c r="P756" s="85"/>
      <c r="Q756" s="81"/>
    </row>
    <row r="757" spans="3:17" x14ac:dyDescent="0.3">
      <c r="C757" s="81"/>
      <c r="F757" s="85"/>
      <c r="G757" s="86"/>
      <c r="H757" s="86"/>
      <c r="I757" s="87"/>
      <c r="J757" s="85"/>
      <c r="K757" s="85"/>
      <c r="M757" s="81"/>
      <c r="O757" s="85"/>
      <c r="P757" s="85"/>
      <c r="Q757" s="81"/>
    </row>
    <row r="758" spans="3:17" x14ac:dyDescent="0.3">
      <c r="C758" s="81"/>
      <c r="F758" s="85"/>
      <c r="G758" s="86"/>
      <c r="H758" s="86"/>
      <c r="I758" s="87"/>
      <c r="J758" s="85"/>
      <c r="K758" s="85"/>
      <c r="M758" s="81"/>
      <c r="O758" s="85"/>
      <c r="P758" s="85"/>
      <c r="Q758" s="81"/>
    </row>
    <row r="759" spans="3:17" x14ac:dyDescent="0.3">
      <c r="C759" s="81"/>
      <c r="F759" s="85"/>
      <c r="G759" s="86"/>
      <c r="H759" s="86"/>
      <c r="I759" s="87"/>
      <c r="J759" s="85"/>
      <c r="K759" s="85"/>
      <c r="M759" s="81"/>
      <c r="O759" s="85"/>
      <c r="P759" s="85"/>
      <c r="Q759" s="81"/>
    </row>
    <row r="760" spans="3:17" x14ac:dyDescent="0.3">
      <c r="C760" s="81"/>
      <c r="F760" s="85"/>
      <c r="G760" s="86"/>
      <c r="H760" s="86"/>
      <c r="I760" s="87"/>
      <c r="J760" s="85"/>
      <c r="K760" s="85"/>
      <c r="M760" s="81"/>
      <c r="O760" s="85"/>
      <c r="P760" s="85"/>
      <c r="Q760" s="81"/>
    </row>
    <row r="761" spans="3:17" x14ac:dyDescent="0.3">
      <c r="C761" s="81"/>
      <c r="F761" s="85"/>
      <c r="G761" s="86"/>
      <c r="H761" s="86"/>
      <c r="I761" s="87"/>
      <c r="J761" s="85"/>
      <c r="K761" s="85"/>
      <c r="M761" s="81"/>
      <c r="O761" s="85"/>
      <c r="P761" s="85"/>
      <c r="Q761" s="81"/>
    </row>
    <row r="762" spans="3:17" x14ac:dyDescent="0.3">
      <c r="C762" s="81"/>
      <c r="F762" s="85"/>
      <c r="G762" s="86"/>
      <c r="H762" s="86"/>
      <c r="I762" s="87"/>
      <c r="J762" s="85"/>
      <c r="K762" s="85"/>
      <c r="M762" s="81"/>
      <c r="O762" s="85"/>
      <c r="P762" s="85"/>
      <c r="Q762" s="81"/>
    </row>
    <row r="763" spans="3:17" x14ac:dyDescent="0.3">
      <c r="C763" s="81"/>
      <c r="F763" s="85"/>
      <c r="G763" s="86"/>
      <c r="H763" s="86"/>
      <c r="I763" s="87"/>
      <c r="J763" s="85"/>
      <c r="K763" s="85"/>
      <c r="M763" s="81"/>
      <c r="O763" s="85"/>
      <c r="P763" s="85"/>
      <c r="Q763" s="81"/>
    </row>
    <row r="764" spans="3:17" x14ac:dyDescent="0.3">
      <c r="C764" s="81"/>
      <c r="F764" s="85"/>
      <c r="G764" s="86"/>
      <c r="H764" s="86"/>
      <c r="I764" s="87"/>
      <c r="J764" s="85"/>
      <c r="K764" s="85"/>
      <c r="M764" s="81"/>
      <c r="O764" s="85"/>
      <c r="P764" s="85"/>
      <c r="Q764" s="81"/>
    </row>
    <row r="765" spans="3:17" x14ac:dyDescent="0.3">
      <c r="C765" s="81"/>
      <c r="F765" s="85"/>
      <c r="G765" s="86"/>
      <c r="H765" s="86"/>
      <c r="I765" s="87"/>
      <c r="J765" s="85"/>
      <c r="K765" s="85"/>
      <c r="M765" s="81"/>
      <c r="O765" s="85"/>
      <c r="P765" s="85"/>
      <c r="Q765" s="81"/>
    </row>
    <row r="766" spans="3:17" x14ac:dyDescent="0.3">
      <c r="C766" s="81"/>
      <c r="F766" s="85"/>
      <c r="G766" s="86"/>
      <c r="H766" s="86"/>
      <c r="I766" s="87"/>
      <c r="J766" s="85"/>
      <c r="K766" s="85"/>
      <c r="M766" s="81"/>
      <c r="O766" s="85"/>
      <c r="P766" s="85"/>
      <c r="Q766" s="81"/>
    </row>
    <row r="767" spans="3:17" x14ac:dyDescent="0.3">
      <c r="C767" s="81"/>
      <c r="F767" s="85"/>
      <c r="G767" s="86"/>
      <c r="H767" s="86"/>
      <c r="I767" s="87"/>
      <c r="J767" s="85"/>
      <c r="K767" s="85"/>
      <c r="M767" s="81"/>
      <c r="O767" s="85"/>
      <c r="P767" s="85"/>
      <c r="Q767" s="81"/>
    </row>
    <row r="768" spans="3:17" x14ac:dyDescent="0.3">
      <c r="C768" s="81"/>
      <c r="F768" s="85"/>
      <c r="G768" s="86"/>
      <c r="H768" s="86"/>
      <c r="I768" s="87"/>
      <c r="J768" s="85"/>
      <c r="K768" s="85"/>
      <c r="M768" s="81"/>
      <c r="O768" s="85"/>
      <c r="P768" s="85"/>
      <c r="Q768" s="81"/>
    </row>
    <row r="769" spans="3:17" x14ac:dyDescent="0.3">
      <c r="C769" s="81"/>
      <c r="F769" s="85"/>
      <c r="G769" s="86"/>
      <c r="H769" s="86"/>
      <c r="I769" s="87"/>
      <c r="J769" s="85"/>
      <c r="K769" s="85"/>
      <c r="M769" s="81"/>
      <c r="O769" s="85"/>
      <c r="P769" s="85"/>
      <c r="Q769" s="81"/>
    </row>
    <row r="770" spans="3:17" x14ac:dyDescent="0.3">
      <c r="C770" s="81"/>
      <c r="F770" s="85"/>
      <c r="G770" s="86"/>
      <c r="H770" s="86"/>
      <c r="I770" s="87"/>
      <c r="J770" s="85"/>
      <c r="K770" s="85"/>
      <c r="M770" s="81"/>
      <c r="O770" s="85"/>
      <c r="P770" s="85"/>
      <c r="Q770" s="81"/>
    </row>
    <row r="771" spans="3:17" x14ac:dyDescent="0.3">
      <c r="C771" s="81"/>
      <c r="F771" s="85"/>
      <c r="G771" s="86"/>
      <c r="H771" s="86"/>
      <c r="I771" s="87"/>
      <c r="J771" s="85"/>
      <c r="K771" s="85"/>
      <c r="M771" s="81"/>
      <c r="O771" s="85"/>
      <c r="P771" s="85"/>
      <c r="Q771" s="81"/>
    </row>
    <row r="772" spans="3:17" x14ac:dyDescent="0.3">
      <c r="C772" s="81"/>
      <c r="F772" s="85"/>
      <c r="G772" s="86"/>
      <c r="H772" s="86"/>
      <c r="I772" s="87"/>
      <c r="J772" s="85"/>
      <c r="K772" s="85"/>
      <c r="M772" s="81"/>
      <c r="O772" s="85"/>
      <c r="P772" s="85"/>
      <c r="Q772" s="81"/>
    </row>
    <row r="773" spans="3:17" x14ac:dyDescent="0.3">
      <c r="C773" s="81"/>
      <c r="F773" s="85"/>
      <c r="G773" s="86"/>
      <c r="H773" s="86"/>
      <c r="I773" s="87"/>
      <c r="J773" s="85"/>
      <c r="K773" s="85"/>
      <c r="M773" s="81"/>
      <c r="O773" s="85"/>
      <c r="P773" s="85"/>
      <c r="Q773" s="81"/>
    </row>
    <row r="774" spans="3:17" x14ac:dyDescent="0.3">
      <c r="C774" s="81"/>
      <c r="F774" s="85"/>
      <c r="G774" s="86"/>
      <c r="H774" s="86"/>
      <c r="I774" s="87"/>
      <c r="J774" s="85"/>
      <c r="K774" s="85"/>
      <c r="M774" s="81"/>
      <c r="O774" s="85"/>
      <c r="P774" s="85"/>
      <c r="Q774" s="81"/>
    </row>
    <row r="775" spans="3:17" x14ac:dyDescent="0.3">
      <c r="C775" s="81"/>
      <c r="F775" s="85"/>
      <c r="G775" s="86"/>
      <c r="H775" s="86"/>
      <c r="I775" s="87"/>
      <c r="J775" s="85"/>
      <c r="K775" s="85"/>
      <c r="M775" s="81"/>
      <c r="O775" s="85"/>
      <c r="P775" s="85"/>
      <c r="Q775" s="81"/>
    </row>
    <row r="776" spans="3:17" x14ac:dyDescent="0.3">
      <c r="C776" s="81"/>
      <c r="F776" s="85"/>
      <c r="G776" s="86"/>
      <c r="H776" s="86"/>
      <c r="I776" s="87"/>
      <c r="J776" s="85"/>
      <c r="K776" s="85"/>
      <c r="M776" s="81"/>
      <c r="O776" s="85"/>
      <c r="P776" s="85"/>
      <c r="Q776" s="81"/>
    </row>
    <row r="777" spans="3:17" x14ac:dyDescent="0.3">
      <c r="C777" s="81"/>
      <c r="F777" s="85"/>
      <c r="G777" s="86"/>
      <c r="H777" s="86"/>
      <c r="I777" s="87"/>
      <c r="J777" s="85"/>
      <c r="K777" s="85"/>
      <c r="M777" s="81"/>
      <c r="O777" s="85"/>
      <c r="P777" s="85"/>
      <c r="Q777" s="81"/>
    </row>
    <row r="778" spans="3:17" x14ac:dyDescent="0.3">
      <c r="C778" s="81"/>
      <c r="F778" s="85"/>
      <c r="G778" s="86"/>
      <c r="H778" s="86"/>
      <c r="I778" s="87"/>
      <c r="J778" s="85"/>
      <c r="K778" s="85"/>
      <c r="M778" s="81"/>
      <c r="O778" s="85"/>
      <c r="P778" s="85"/>
      <c r="Q778" s="81"/>
    </row>
    <row r="779" spans="3:17" x14ac:dyDescent="0.3">
      <c r="C779" s="81"/>
      <c r="F779" s="85"/>
      <c r="G779" s="86"/>
      <c r="H779" s="86"/>
      <c r="I779" s="87"/>
      <c r="J779" s="85"/>
      <c r="K779" s="85"/>
      <c r="M779" s="81"/>
      <c r="O779" s="85"/>
      <c r="P779" s="85"/>
      <c r="Q779" s="81"/>
    </row>
    <row r="780" spans="3:17" x14ac:dyDescent="0.3">
      <c r="C780" s="81"/>
      <c r="F780" s="85"/>
      <c r="G780" s="86"/>
      <c r="H780" s="86"/>
      <c r="I780" s="87"/>
      <c r="J780" s="85"/>
      <c r="K780" s="85"/>
      <c r="M780" s="81"/>
      <c r="O780" s="85"/>
      <c r="P780" s="85"/>
      <c r="Q780" s="81"/>
    </row>
    <row r="781" spans="3:17" x14ac:dyDescent="0.3">
      <c r="C781" s="81"/>
      <c r="F781" s="85"/>
      <c r="G781" s="86"/>
      <c r="H781" s="86"/>
      <c r="I781" s="87"/>
      <c r="J781" s="85"/>
      <c r="K781" s="85"/>
      <c r="M781" s="81"/>
      <c r="O781" s="85"/>
      <c r="P781" s="85"/>
      <c r="Q781" s="81"/>
    </row>
    <row r="782" spans="3:17" x14ac:dyDescent="0.3">
      <c r="C782" s="81"/>
      <c r="F782" s="85"/>
      <c r="G782" s="86"/>
      <c r="H782" s="86"/>
      <c r="I782" s="87"/>
      <c r="J782" s="85"/>
      <c r="K782" s="85"/>
      <c r="M782" s="81"/>
      <c r="O782" s="85"/>
      <c r="P782" s="85"/>
      <c r="Q782" s="81"/>
    </row>
    <row r="783" spans="3:17" x14ac:dyDescent="0.3">
      <c r="C783" s="81"/>
      <c r="F783" s="85"/>
      <c r="G783" s="86"/>
      <c r="H783" s="86"/>
      <c r="I783" s="87"/>
      <c r="J783" s="85"/>
      <c r="K783" s="85"/>
      <c r="M783" s="81"/>
      <c r="O783" s="85"/>
      <c r="P783" s="85"/>
      <c r="Q783" s="81"/>
    </row>
    <row r="784" spans="3:17" x14ac:dyDescent="0.3">
      <c r="C784" s="81"/>
      <c r="F784" s="85"/>
      <c r="G784" s="86"/>
      <c r="H784" s="86"/>
      <c r="I784" s="87"/>
      <c r="J784" s="85"/>
      <c r="K784" s="85"/>
      <c r="M784" s="81"/>
      <c r="O784" s="85"/>
      <c r="P784" s="85"/>
      <c r="Q784" s="81"/>
    </row>
    <row r="785" spans="3:17" x14ac:dyDescent="0.3">
      <c r="C785" s="81"/>
      <c r="F785" s="85"/>
      <c r="G785" s="86"/>
      <c r="H785" s="86"/>
      <c r="I785" s="87"/>
      <c r="J785" s="85"/>
      <c r="K785" s="85"/>
      <c r="M785" s="81"/>
      <c r="O785" s="85"/>
      <c r="P785" s="85"/>
      <c r="Q785" s="81"/>
    </row>
    <row r="786" spans="3:17" x14ac:dyDescent="0.3">
      <c r="C786" s="81"/>
      <c r="F786" s="85"/>
      <c r="G786" s="86"/>
      <c r="H786" s="86"/>
      <c r="I786" s="87"/>
      <c r="J786" s="85"/>
      <c r="K786" s="85"/>
      <c r="M786" s="81"/>
      <c r="O786" s="85"/>
      <c r="P786" s="85"/>
      <c r="Q786" s="81"/>
    </row>
    <row r="787" spans="3:17" x14ac:dyDescent="0.3">
      <c r="C787" s="81"/>
      <c r="F787" s="85"/>
      <c r="G787" s="86"/>
      <c r="H787" s="86"/>
      <c r="I787" s="87"/>
      <c r="J787" s="85"/>
      <c r="K787" s="85"/>
      <c r="M787" s="81"/>
      <c r="O787" s="85"/>
      <c r="P787" s="85"/>
      <c r="Q787" s="81"/>
    </row>
    <row r="788" spans="3:17" x14ac:dyDescent="0.3">
      <c r="C788" s="81"/>
      <c r="F788" s="85"/>
      <c r="G788" s="86"/>
      <c r="H788" s="86"/>
      <c r="I788" s="87"/>
      <c r="J788" s="85"/>
      <c r="K788" s="85"/>
      <c r="M788" s="81"/>
      <c r="O788" s="85"/>
      <c r="P788" s="85"/>
      <c r="Q788" s="81"/>
    </row>
    <row r="789" spans="3:17" x14ac:dyDescent="0.3">
      <c r="C789" s="81"/>
      <c r="F789" s="85"/>
      <c r="G789" s="86"/>
      <c r="H789" s="86"/>
      <c r="I789" s="87"/>
      <c r="J789" s="85"/>
      <c r="K789" s="85"/>
      <c r="M789" s="81"/>
      <c r="O789" s="85"/>
      <c r="P789" s="85"/>
      <c r="Q789" s="81"/>
    </row>
    <row r="790" spans="3:17" x14ac:dyDescent="0.3">
      <c r="C790" s="81"/>
      <c r="F790" s="85"/>
      <c r="G790" s="86"/>
      <c r="H790" s="86"/>
      <c r="I790" s="87"/>
      <c r="J790" s="85"/>
      <c r="K790" s="85"/>
      <c r="M790" s="81"/>
      <c r="O790" s="85"/>
      <c r="P790" s="85"/>
      <c r="Q790" s="81"/>
    </row>
    <row r="791" spans="3:17" x14ac:dyDescent="0.3">
      <c r="C791" s="81"/>
      <c r="F791" s="85"/>
      <c r="G791" s="86"/>
      <c r="H791" s="86"/>
      <c r="I791" s="87"/>
      <c r="J791" s="85"/>
      <c r="K791" s="85"/>
      <c r="M791" s="81"/>
      <c r="O791" s="85"/>
      <c r="P791" s="85"/>
      <c r="Q791" s="81"/>
    </row>
    <row r="792" spans="3:17" x14ac:dyDescent="0.3">
      <c r="C792" s="81"/>
      <c r="F792" s="85"/>
      <c r="G792" s="86"/>
      <c r="H792" s="86"/>
      <c r="I792" s="87"/>
      <c r="J792" s="85"/>
      <c r="K792" s="85"/>
      <c r="M792" s="81"/>
      <c r="O792" s="85"/>
      <c r="P792" s="85"/>
      <c r="Q792" s="81"/>
    </row>
    <row r="793" spans="3:17" x14ac:dyDescent="0.3">
      <c r="C793" s="81"/>
      <c r="F793" s="85"/>
      <c r="G793" s="86"/>
      <c r="H793" s="86"/>
      <c r="I793" s="87"/>
      <c r="J793" s="85"/>
      <c r="K793" s="85"/>
      <c r="M793" s="81"/>
      <c r="O793" s="85"/>
      <c r="P793" s="85"/>
      <c r="Q793" s="81"/>
    </row>
    <row r="794" spans="3:17" x14ac:dyDescent="0.3">
      <c r="C794" s="81"/>
      <c r="F794" s="85"/>
      <c r="G794" s="86"/>
      <c r="H794" s="86"/>
      <c r="I794" s="87"/>
      <c r="J794" s="85"/>
      <c r="K794" s="85"/>
      <c r="M794" s="81"/>
      <c r="O794" s="85"/>
      <c r="P794" s="85"/>
      <c r="Q794" s="81"/>
    </row>
    <row r="795" spans="3:17" x14ac:dyDescent="0.3">
      <c r="C795" s="81"/>
      <c r="F795" s="85"/>
      <c r="G795" s="86"/>
      <c r="H795" s="86"/>
      <c r="I795" s="87"/>
      <c r="J795" s="85"/>
      <c r="K795" s="85"/>
      <c r="M795" s="81"/>
      <c r="O795" s="85"/>
      <c r="P795" s="85"/>
      <c r="Q795" s="81"/>
    </row>
    <row r="796" spans="3:17" x14ac:dyDescent="0.3">
      <c r="C796" s="81"/>
      <c r="F796" s="85"/>
      <c r="G796" s="86"/>
      <c r="H796" s="86"/>
      <c r="I796" s="87"/>
      <c r="J796" s="85"/>
      <c r="K796" s="85"/>
      <c r="M796" s="81"/>
      <c r="O796" s="85"/>
      <c r="P796" s="85"/>
      <c r="Q796" s="81"/>
    </row>
    <row r="797" spans="3:17" x14ac:dyDescent="0.3">
      <c r="C797" s="81"/>
      <c r="F797" s="85"/>
      <c r="G797" s="86"/>
      <c r="H797" s="86"/>
      <c r="I797" s="87"/>
      <c r="J797" s="85"/>
      <c r="K797" s="85"/>
      <c r="M797" s="81"/>
      <c r="O797" s="85"/>
      <c r="P797" s="85"/>
      <c r="Q797" s="81"/>
    </row>
    <row r="798" spans="3:17" x14ac:dyDescent="0.3">
      <c r="C798" s="81"/>
      <c r="F798" s="85"/>
      <c r="G798" s="86"/>
      <c r="H798" s="86"/>
      <c r="I798" s="87"/>
      <c r="J798" s="85"/>
      <c r="K798" s="85"/>
      <c r="M798" s="81"/>
      <c r="O798" s="85"/>
      <c r="P798" s="85"/>
      <c r="Q798" s="81"/>
    </row>
    <row r="799" spans="3:17" x14ac:dyDescent="0.3">
      <c r="C799" s="81"/>
      <c r="F799" s="85"/>
      <c r="G799" s="86"/>
      <c r="H799" s="86"/>
      <c r="I799" s="87"/>
      <c r="J799" s="85"/>
      <c r="K799" s="85"/>
      <c r="M799" s="81"/>
      <c r="O799" s="85"/>
      <c r="P799" s="85"/>
      <c r="Q799" s="81"/>
    </row>
    <row r="800" spans="3:17" x14ac:dyDescent="0.3">
      <c r="C800" s="81"/>
      <c r="F800" s="85"/>
      <c r="G800" s="86"/>
      <c r="H800" s="86"/>
      <c r="I800" s="87"/>
      <c r="J800" s="85"/>
      <c r="K800" s="85"/>
      <c r="M800" s="81"/>
      <c r="O800" s="85"/>
      <c r="P800" s="85"/>
      <c r="Q800" s="81"/>
    </row>
    <row r="801" spans="3:17" x14ac:dyDescent="0.3">
      <c r="C801" s="81"/>
      <c r="F801" s="85"/>
      <c r="G801" s="86"/>
      <c r="H801" s="86"/>
      <c r="I801" s="87"/>
      <c r="J801" s="85"/>
      <c r="K801" s="85"/>
      <c r="M801" s="81"/>
      <c r="O801" s="85"/>
      <c r="P801" s="85"/>
      <c r="Q801" s="81"/>
    </row>
    <row r="802" spans="3:17" x14ac:dyDescent="0.3">
      <c r="C802" s="81"/>
      <c r="F802" s="85"/>
      <c r="G802" s="86"/>
      <c r="H802" s="86"/>
      <c r="I802" s="87"/>
      <c r="J802" s="85"/>
      <c r="K802" s="85"/>
      <c r="M802" s="81"/>
      <c r="O802" s="85"/>
      <c r="P802" s="85"/>
      <c r="Q802" s="81"/>
    </row>
    <row r="803" spans="3:17" x14ac:dyDescent="0.3">
      <c r="C803" s="81"/>
      <c r="F803" s="85"/>
      <c r="G803" s="86"/>
      <c r="H803" s="86"/>
      <c r="I803" s="87"/>
      <c r="J803" s="85"/>
      <c r="K803" s="85"/>
      <c r="M803" s="81"/>
      <c r="O803" s="85"/>
      <c r="P803" s="85"/>
      <c r="Q803" s="81"/>
    </row>
    <row r="804" spans="3:17" x14ac:dyDescent="0.3">
      <c r="C804" s="81"/>
      <c r="F804" s="85"/>
      <c r="G804" s="86"/>
      <c r="H804" s="86"/>
      <c r="I804" s="87"/>
      <c r="J804" s="85"/>
      <c r="K804" s="85"/>
      <c r="M804" s="81"/>
      <c r="O804" s="85"/>
      <c r="P804" s="85"/>
      <c r="Q804" s="81"/>
    </row>
    <row r="805" spans="3:17" x14ac:dyDescent="0.3">
      <c r="C805" s="81"/>
      <c r="F805" s="85"/>
      <c r="G805" s="86"/>
      <c r="H805" s="86"/>
      <c r="I805" s="87"/>
      <c r="J805" s="85"/>
      <c r="K805" s="85"/>
      <c r="M805" s="81"/>
      <c r="O805" s="85"/>
      <c r="P805" s="85"/>
      <c r="Q805" s="81"/>
    </row>
    <row r="806" spans="3:17" x14ac:dyDescent="0.3">
      <c r="C806" s="81"/>
      <c r="F806" s="85"/>
      <c r="G806" s="86"/>
      <c r="H806" s="86"/>
      <c r="I806" s="87"/>
      <c r="J806" s="85"/>
      <c r="K806" s="85"/>
      <c r="M806" s="81"/>
      <c r="O806" s="85"/>
      <c r="P806" s="85"/>
      <c r="Q806" s="81"/>
    </row>
    <row r="807" spans="3:17" x14ac:dyDescent="0.3">
      <c r="C807" s="81"/>
      <c r="F807" s="85"/>
      <c r="G807" s="86"/>
      <c r="H807" s="86"/>
      <c r="I807" s="87"/>
      <c r="J807" s="85"/>
      <c r="K807" s="85"/>
      <c r="M807" s="81"/>
      <c r="O807" s="85"/>
      <c r="P807" s="85"/>
      <c r="Q807" s="81"/>
    </row>
    <row r="808" spans="3:17" x14ac:dyDescent="0.3">
      <c r="C808" s="81"/>
      <c r="F808" s="85"/>
      <c r="G808" s="86"/>
      <c r="H808" s="86"/>
      <c r="I808" s="87"/>
      <c r="J808" s="85"/>
      <c r="K808" s="85"/>
      <c r="M808" s="81"/>
      <c r="O808" s="85"/>
      <c r="P808" s="85"/>
      <c r="Q808" s="81"/>
    </row>
    <row r="809" spans="3:17" x14ac:dyDescent="0.3">
      <c r="C809" s="81"/>
      <c r="F809" s="85"/>
      <c r="G809" s="86"/>
      <c r="H809" s="86"/>
      <c r="I809" s="87"/>
      <c r="J809" s="85"/>
      <c r="K809" s="85"/>
      <c r="M809" s="81"/>
      <c r="O809" s="85"/>
      <c r="P809" s="85"/>
      <c r="Q809" s="81"/>
    </row>
    <row r="810" spans="3:17" x14ac:dyDescent="0.3">
      <c r="C810" s="81"/>
      <c r="F810" s="85"/>
      <c r="G810" s="86"/>
      <c r="H810" s="86"/>
      <c r="I810" s="87"/>
      <c r="J810" s="85"/>
      <c r="K810" s="85"/>
      <c r="M810" s="81"/>
      <c r="O810" s="85"/>
      <c r="P810" s="85"/>
      <c r="Q810" s="81"/>
    </row>
    <row r="811" spans="3:17" x14ac:dyDescent="0.3">
      <c r="C811" s="81"/>
      <c r="F811" s="85"/>
      <c r="G811" s="86"/>
      <c r="H811" s="86"/>
      <c r="I811" s="87"/>
      <c r="J811" s="85"/>
      <c r="K811" s="85"/>
      <c r="M811" s="81"/>
      <c r="O811" s="85"/>
      <c r="P811" s="85"/>
      <c r="Q811" s="81"/>
    </row>
    <row r="812" spans="3:17" x14ac:dyDescent="0.3">
      <c r="C812" s="81"/>
      <c r="F812" s="85"/>
      <c r="G812" s="86"/>
      <c r="H812" s="86"/>
      <c r="I812" s="87"/>
      <c r="J812" s="85"/>
      <c r="K812" s="85"/>
      <c r="M812" s="81"/>
      <c r="O812" s="85"/>
      <c r="P812" s="85"/>
      <c r="Q812" s="81"/>
    </row>
    <row r="813" spans="3:17" x14ac:dyDescent="0.3">
      <c r="C813" s="81"/>
      <c r="F813" s="85"/>
      <c r="G813" s="86"/>
      <c r="H813" s="86"/>
      <c r="I813" s="87"/>
      <c r="J813" s="85"/>
      <c r="K813" s="85"/>
      <c r="M813" s="81"/>
      <c r="O813" s="85"/>
      <c r="P813" s="85"/>
      <c r="Q813" s="81"/>
    </row>
    <row r="814" spans="3:17" x14ac:dyDescent="0.3">
      <c r="C814" s="81"/>
      <c r="F814" s="85"/>
      <c r="G814" s="86"/>
      <c r="H814" s="86"/>
      <c r="I814" s="87"/>
      <c r="J814" s="85"/>
      <c r="K814" s="85"/>
      <c r="M814" s="81"/>
      <c r="O814" s="85"/>
      <c r="P814" s="85"/>
      <c r="Q814" s="81"/>
    </row>
    <row r="815" spans="3:17" x14ac:dyDescent="0.3">
      <c r="C815" s="81"/>
      <c r="F815" s="85"/>
      <c r="G815" s="86"/>
      <c r="H815" s="86"/>
      <c r="I815" s="87"/>
      <c r="J815" s="85"/>
      <c r="K815" s="85"/>
      <c r="M815" s="81"/>
      <c r="O815" s="85"/>
      <c r="P815" s="85"/>
      <c r="Q815" s="81"/>
    </row>
    <row r="816" spans="3:17" x14ac:dyDescent="0.3">
      <c r="C816" s="81"/>
      <c r="F816" s="85"/>
      <c r="G816" s="86"/>
      <c r="H816" s="86"/>
      <c r="I816" s="87"/>
      <c r="J816" s="85"/>
      <c r="K816" s="85"/>
      <c r="M816" s="81"/>
      <c r="O816" s="85"/>
      <c r="P816" s="85"/>
      <c r="Q816" s="81"/>
    </row>
    <row r="817" spans="3:17" x14ac:dyDescent="0.3">
      <c r="C817" s="81"/>
      <c r="F817" s="85"/>
      <c r="G817" s="86"/>
      <c r="H817" s="86"/>
      <c r="I817" s="87"/>
      <c r="J817" s="85"/>
      <c r="K817" s="85"/>
      <c r="M817" s="81"/>
      <c r="O817" s="85"/>
      <c r="P817" s="85"/>
      <c r="Q817" s="81"/>
    </row>
    <row r="818" spans="3:17" x14ac:dyDescent="0.3">
      <c r="C818" s="81"/>
      <c r="F818" s="85"/>
      <c r="G818" s="86"/>
      <c r="H818" s="86"/>
      <c r="I818" s="87"/>
      <c r="J818" s="85"/>
      <c r="K818" s="85"/>
      <c r="M818" s="81"/>
      <c r="O818" s="85"/>
      <c r="P818" s="85"/>
      <c r="Q818" s="81"/>
    </row>
    <row r="819" spans="3:17" x14ac:dyDescent="0.3">
      <c r="C819" s="81"/>
      <c r="F819" s="85"/>
      <c r="G819" s="86"/>
      <c r="H819" s="86"/>
      <c r="I819" s="87"/>
      <c r="J819" s="85"/>
      <c r="K819" s="85"/>
      <c r="M819" s="81"/>
      <c r="O819" s="85"/>
      <c r="P819" s="85"/>
      <c r="Q819" s="81"/>
    </row>
    <row r="820" spans="3:17" x14ac:dyDescent="0.3">
      <c r="C820" s="81"/>
      <c r="F820" s="85"/>
      <c r="G820" s="86"/>
      <c r="H820" s="86"/>
      <c r="I820" s="87"/>
      <c r="J820" s="85"/>
      <c r="K820" s="85"/>
      <c r="M820" s="81"/>
      <c r="O820" s="85"/>
      <c r="P820" s="85"/>
      <c r="Q820" s="81"/>
    </row>
    <row r="821" spans="3:17" x14ac:dyDescent="0.3">
      <c r="C821" s="81"/>
      <c r="F821" s="85"/>
      <c r="G821" s="86"/>
      <c r="H821" s="86"/>
      <c r="I821" s="87"/>
      <c r="J821" s="85"/>
      <c r="K821" s="85"/>
      <c r="M821" s="81"/>
      <c r="O821" s="85"/>
      <c r="P821" s="85"/>
      <c r="Q821" s="81"/>
    </row>
    <row r="822" spans="3:17" x14ac:dyDescent="0.3">
      <c r="C822" s="81"/>
      <c r="F822" s="85"/>
      <c r="G822" s="86"/>
      <c r="H822" s="86"/>
      <c r="I822" s="87"/>
      <c r="J822" s="85"/>
      <c r="K822" s="85"/>
      <c r="M822" s="81"/>
      <c r="O822" s="85"/>
      <c r="P822" s="85"/>
      <c r="Q822" s="81"/>
    </row>
    <row r="823" spans="3:17" x14ac:dyDescent="0.3">
      <c r="C823" s="81"/>
      <c r="F823" s="85"/>
      <c r="G823" s="86"/>
      <c r="H823" s="86"/>
      <c r="I823" s="87"/>
      <c r="J823" s="85"/>
      <c r="K823" s="85"/>
      <c r="M823" s="81"/>
      <c r="O823" s="85"/>
      <c r="P823" s="85"/>
      <c r="Q823" s="81"/>
    </row>
    <row r="824" spans="3:17" x14ac:dyDescent="0.3">
      <c r="C824" s="81"/>
      <c r="F824" s="85"/>
      <c r="G824" s="86"/>
      <c r="H824" s="86"/>
      <c r="I824" s="87"/>
      <c r="J824" s="85"/>
      <c r="K824" s="85"/>
      <c r="M824" s="81"/>
      <c r="O824" s="85"/>
      <c r="P824" s="85"/>
      <c r="Q824" s="81"/>
    </row>
    <row r="825" spans="3:17" x14ac:dyDescent="0.3">
      <c r="C825" s="81"/>
      <c r="F825" s="85"/>
      <c r="G825" s="86"/>
      <c r="H825" s="86"/>
      <c r="I825" s="87"/>
      <c r="J825" s="85"/>
      <c r="K825" s="85"/>
      <c r="M825" s="81"/>
      <c r="O825" s="85"/>
      <c r="P825" s="85"/>
      <c r="Q825" s="81"/>
    </row>
    <row r="826" spans="3:17" x14ac:dyDescent="0.3">
      <c r="C826" s="81"/>
      <c r="F826" s="85"/>
      <c r="G826" s="86"/>
      <c r="H826" s="86"/>
      <c r="I826" s="87"/>
      <c r="J826" s="85"/>
      <c r="K826" s="85"/>
      <c r="M826" s="81"/>
      <c r="O826" s="85"/>
      <c r="P826" s="85"/>
      <c r="Q826" s="81"/>
    </row>
    <row r="827" spans="3:17" x14ac:dyDescent="0.3">
      <c r="C827" s="81"/>
      <c r="F827" s="85"/>
      <c r="G827" s="86"/>
      <c r="H827" s="86"/>
      <c r="I827" s="87"/>
      <c r="J827" s="85"/>
      <c r="K827" s="85"/>
      <c r="M827" s="81"/>
      <c r="O827" s="85"/>
      <c r="P827" s="85"/>
      <c r="Q827" s="81"/>
    </row>
    <row r="828" spans="3:17" x14ac:dyDescent="0.3">
      <c r="C828" s="81"/>
      <c r="F828" s="85"/>
      <c r="G828" s="86"/>
      <c r="H828" s="86"/>
      <c r="I828" s="87"/>
      <c r="J828" s="85"/>
      <c r="K828" s="85"/>
      <c r="M828" s="81"/>
      <c r="O828" s="85"/>
      <c r="P828" s="85"/>
      <c r="Q828" s="81"/>
    </row>
    <row r="829" spans="3:17" x14ac:dyDescent="0.3">
      <c r="C829" s="81"/>
      <c r="F829" s="85"/>
      <c r="G829" s="86"/>
      <c r="H829" s="86"/>
      <c r="I829" s="87"/>
      <c r="J829" s="85"/>
      <c r="K829" s="85"/>
      <c r="M829" s="81"/>
      <c r="O829" s="85"/>
      <c r="P829" s="85"/>
      <c r="Q829" s="81"/>
    </row>
    <row r="830" spans="3:17" x14ac:dyDescent="0.3">
      <c r="C830" s="81"/>
      <c r="F830" s="85"/>
      <c r="G830" s="86"/>
      <c r="H830" s="86"/>
      <c r="I830" s="87"/>
      <c r="J830" s="85"/>
      <c r="K830" s="85"/>
      <c r="M830" s="81"/>
      <c r="O830" s="85"/>
      <c r="P830" s="85"/>
      <c r="Q830" s="81"/>
    </row>
    <row r="831" spans="3:17" x14ac:dyDescent="0.3">
      <c r="C831" s="81"/>
      <c r="F831" s="85"/>
      <c r="G831" s="86"/>
      <c r="H831" s="86"/>
      <c r="I831" s="87"/>
      <c r="J831" s="85"/>
      <c r="K831" s="85"/>
      <c r="M831" s="81"/>
      <c r="O831" s="85"/>
      <c r="P831" s="85"/>
      <c r="Q831" s="81"/>
    </row>
    <row r="832" spans="3:17" x14ac:dyDescent="0.3">
      <c r="C832" s="81"/>
      <c r="F832" s="85"/>
      <c r="G832" s="86"/>
      <c r="H832" s="86"/>
      <c r="I832" s="87"/>
      <c r="J832" s="85"/>
      <c r="K832" s="85"/>
      <c r="M832" s="81"/>
      <c r="O832" s="85"/>
      <c r="P832" s="85"/>
      <c r="Q832" s="81"/>
    </row>
    <row r="833" spans="3:17" x14ac:dyDescent="0.3">
      <c r="C833" s="81"/>
      <c r="F833" s="85"/>
      <c r="G833" s="86"/>
      <c r="H833" s="86"/>
      <c r="I833" s="87"/>
      <c r="J833" s="85"/>
      <c r="K833" s="85"/>
      <c r="M833" s="81"/>
      <c r="O833" s="85"/>
      <c r="P833" s="85"/>
      <c r="Q833" s="81"/>
    </row>
    <row r="834" spans="3:17" x14ac:dyDescent="0.3">
      <c r="C834" s="81"/>
      <c r="F834" s="85"/>
      <c r="G834" s="86"/>
      <c r="H834" s="86"/>
      <c r="I834" s="87"/>
      <c r="J834" s="85"/>
      <c r="K834" s="85"/>
      <c r="M834" s="81"/>
      <c r="O834" s="85"/>
      <c r="P834" s="85"/>
      <c r="Q834" s="81"/>
    </row>
    <row r="835" spans="3:17" x14ac:dyDescent="0.3">
      <c r="C835" s="81"/>
      <c r="F835" s="85"/>
      <c r="G835" s="86"/>
      <c r="H835" s="86"/>
      <c r="I835" s="87"/>
      <c r="J835" s="85"/>
      <c r="K835" s="85"/>
      <c r="M835" s="81"/>
      <c r="O835" s="85"/>
      <c r="P835" s="85"/>
      <c r="Q835" s="81"/>
    </row>
    <row r="836" spans="3:17" x14ac:dyDescent="0.3">
      <c r="C836" s="81"/>
      <c r="F836" s="85"/>
      <c r="G836" s="86"/>
      <c r="H836" s="86"/>
      <c r="I836" s="87"/>
      <c r="J836" s="85"/>
      <c r="K836" s="85"/>
      <c r="M836" s="81"/>
      <c r="O836" s="85"/>
      <c r="P836" s="85"/>
      <c r="Q836" s="81"/>
    </row>
    <row r="837" spans="3:17" x14ac:dyDescent="0.3">
      <c r="C837" s="81"/>
      <c r="F837" s="85"/>
      <c r="G837" s="86"/>
      <c r="H837" s="86"/>
      <c r="I837" s="87"/>
      <c r="J837" s="85"/>
      <c r="K837" s="85"/>
      <c r="M837" s="81"/>
      <c r="O837" s="85"/>
      <c r="P837" s="85"/>
      <c r="Q837" s="81"/>
    </row>
    <row r="838" spans="3:17" x14ac:dyDescent="0.3">
      <c r="C838" s="81"/>
      <c r="F838" s="85"/>
      <c r="G838" s="86"/>
      <c r="H838" s="86"/>
      <c r="I838" s="87"/>
      <c r="J838" s="85"/>
      <c r="K838" s="85"/>
      <c r="M838" s="81"/>
      <c r="O838" s="85"/>
      <c r="P838" s="85"/>
      <c r="Q838" s="81"/>
    </row>
    <row r="839" spans="3:17" x14ac:dyDescent="0.3">
      <c r="C839" s="81"/>
      <c r="F839" s="85"/>
      <c r="G839" s="86"/>
      <c r="H839" s="86"/>
      <c r="I839" s="87"/>
      <c r="J839" s="85"/>
      <c r="K839" s="85"/>
      <c r="M839" s="81"/>
      <c r="O839" s="85"/>
      <c r="P839" s="85"/>
      <c r="Q839" s="81"/>
    </row>
    <row r="840" spans="3:17" x14ac:dyDescent="0.3">
      <c r="C840" s="81"/>
      <c r="F840" s="85"/>
      <c r="G840" s="86"/>
      <c r="H840" s="86"/>
      <c r="I840" s="87"/>
      <c r="J840" s="85"/>
      <c r="K840" s="85"/>
      <c r="M840" s="81"/>
      <c r="O840" s="85"/>
      <c r="P840" s="85"/>
      <c r="Q840" s="81"/>
    </row>
    <row r="841" spans="3:17" x14ac:dyDescent="0.3">
      <c r="C841" s="81"/>
      <c r="F841" s="85"/>
      <c r="G841" s="86"/>
      <c r="H841" s="86"/>
      <c r="I841" s="87"/>
      <c r="J841" s="85"/>
      <c r="K841" s="85"/>
      <c r="M841" s="81"/>
      <c r="O841" s="85"/>
      <c r="P841" s="85"/>
      <c r="Q841" s="81"/>
    </row>
    <row r="842" spans="3:17" x14ac:dyDescent="0.3">
      <c r="C842" s="81"/>
      <c r="F842" s="85"/>
      <c r="G842" s="86"/>
      <c r="H842" s="86"/>
      <c r="I842" s="87"/>
      <c r="J842" s="85"/>
      <c r="K842" s="85"/>
      <c r="M842" s="81"/>
      <c r="O842" s="85"/>
      <c r="P842" s="85"/>
      <c r="Q842" s="81"/>
    </row>
    <row r="843" spans="3:17" x14ac:dyDescent="0.3">
      <c r="C843" s="81"/>
      <c r="F843" s="85"/>
      <c r="G843" s="86"/>
      <c r="H843" s="86"/>
      <c r="I843" s="87"/>
      <c r="J843" s="85"/>
      <c r="K843" s="85"/>
      <c r="M843" s="81"/>
      <c r="O843" s="85"/>
      <c r="P843" s="85"/>
      <c r="Q843" s="81"/>
    </row>
    <row r="844" spans="3:17" x14ac:dyDescent="0.3">
      <c r="C844" s="81"/>
      <c r="F844" s="85"/>
      <c r="G844" s="86"/>
      <c r="H844" s="86"/>
      <c r="I844" s="87"/>
      <c r="J844" s="85"/>
      <c r="K844" s="85"/>
      <c r="M844" s="81"/>
      <c r="O844" s="85"/>
      <c r="P844" s="85"/>
      <c r="Q844" s="81"/>
    </row>
    <row r="845" spans="3:17" x14ac:dyDescent="0.3">
      <c r="C845" s="81"/>
      <c r="F845" s="85"/>
      <c r="G845" s="86"/>
      <c r="H845" s="86"/>
      <c r="I845" s="87"/>
      <c r="J845" s="85"/>
      <c r="K845" s="85"/>
      <c r="M845" s="81"/>
      <c r="O845" s="85"/>
      <c r="P845" s="85"/>
      <c r="Q845" s="81"/>
    </row>
    <row r="846" spans="3:17" x14ac:dyDescent="0.3">
      <c r="C846" s="81"/>
      <c r="F846" s="85"/>
      <c r="G846" s="86"/>
      <c r="H846" s="86"/>
      <c r="I846" s="87"/>
      <c r="J846" s="85"/>
      <c r="K846" s="85"/>
      <c r="M846" s="81"/>
      <c r="O846" s="85"/>
      <c r="P846" s="85"/>
      <c r="Q846" s="81"/>
    </row>
    <row r="847" spans="3:17" x14ac:dyDescent="0.3">
      <c r="C847" s="81"/>
      <c r="F847" s="85"/>
      <c r="G847" s="86"/>
      <c r="H847" s="86"/>
      <c r="I847" s="87"/>
      <c r="J847" s="85"/>
      <c r="K847" s="85"/>
      <c r="M847" s="81"/>
      <c r="O847" s="85"/>
      <c r="P847" s="85"/>
      <c r="Q847" s="81"/>
    </row>
    <row r="848" spans="3:17" x14ac:dyDescent="0.3">
      <c r="C848" s="81"/>
      <c r="F848" s="85"/>
      <c r="G848" s="86"/>
      <c r="H848" s="86"/>
      <c r="I848" s="87"/>
      <c r="J848" s="85"/>
      <c r="K848" s="85"/>
      <c r="M848" s="81"/>
      <c r="O848" s="85"/>
      <c r="P848" s="85"/>
      <c r="Q848" s="81"/>
    </row>
    <row r="849" spans="3:17" x14ac:dyDescent="0.3">
      <c r="C849" s="81"/>
      <c r="F849" s="85"/>
      <c r="G849" s="86"/>
      <c r="H849" s="86"/>
      <c r="I849" s="87"/>
      <c r="J849" s="85"/>
      <c r="K849" s="85"/>
      <c r="M849" s="81"/>
      <c r="O849" s="85"/>
      <c r="P849" s="85"/>
      <c r="Q849" s="81"/>
    </row>
    <row r="850" spans="3:17" x14ac:dyDescent="0.3">
      <c r="C850" s="81"/>
      <c r="F850" s="85"/>
      <c r="G850" s="86"/>
      <c r="H850" s="86"/>
      <c r="I850" s="87"/>
      <c r="J850" s="85"/>
      <c r="K850" s="85"/>
      <c r="M850" s="81"/>
      <c r="O850" s="85"/>
      <c r="P850" s="85"/>
      <c r="Q850" s="81"/>
    </row>
    <row r="851" spans="3:17" x14ac:dyDescent="0.3">
      <c r="C851" s="81"/>
      <c r="F851" s="85"/>
      <c r="G851" s="86"/>
      <c r="H851" s="86"/>
      <c r="I851" s="87"/>
      <c r="J851" s="85"/>
      <c r="K851" s="85"/>
      <c r="M851" s="81"/>
      <c r="O851" s="85"/>
      <c r="P851" s="85"/>
      <c r="Q851" s="81"/>
    </row>
    <row r="852" spans="3:17" x14ac:dyDescent="0.3">
      <c r="C852" s="81"/>
      <c r="F852" s="85"/>
      <c r="G852" s="86"/>
      <c r="H852" s="86"/>
      <c r="I852" s="87"/>
      <c r="J852" s="85"/>
      <c r="K852" s="85"/>
      <c r="M852" s="81"/>
      <c r="O852" s="85"/>
      <c r="P852" s="85"/>
      <c r="Q852" s="81"/>
    </row>
    <row r="853" spans="3:17" x14ac:dyDescent="0.3">
      <c r="C853" s="81"/>
      <c r="F853" s="85"/>
      <c r="G853" s="86"/>
      <c r="H853" s="86"/>
      <c r="I853" s="87"/>
      <c r="J853" s="85"/>
      <c r="K853" s="85"/>
      <c r="M853" s="81"/>
      <c r="O853" s="85"/>
      <c r="P853" s="85"/>
      <c r="Q853" s="81"/>
    </row>
    <row r="854" spans="3:17" x14ac:dyDescent="0.3">
      <c r="C854" s="81"/>
      <c r="F854" s="85"/>
      <c r="G854" s="86"/>
      <c r="H854" s="86"/>
      <c r="I854" s="87"/>
      <c r="J854" s="85"/>
      <c r="K854" s="85"/>
      <c r="M854" s="81"/>
      <c r="O854" s="85"/>
      <c r="P854" s="85"/>
      <c r="Q854" s="81"/>
    </row>
    <row r="855" spans="3:17" x14ac:dyDescent="0.3">
      <c r="C855" s="81"/>
      <c r="F855" s="85"/>
      <c r="G855" s="86"/>
      <c r="H855" s="86"/>
      <c r="I855" s="87"/>
      <c r="J855" s="85"/>
      <c r="K855" s="85"/>
      <c r="M855" s="81"/>
      <c r="O855" s="85"/>
      <c r="P855" s="85"/>
      <c r="Q855" s="81"/>
    </row>
    <row r="856" spans="3:17" x14ac:dyDescent="0.3">
      <c r="C856" s="81"/>
      <c r="F856" s="85"/>
      <c r="G856" s="86"/>
      <c r="H856" s="86"/>
      <c r="I856" s="87"/>
      <c r="J856" s="85"/>
      <c r="K856" s="85"/>
      <c r="M856" s="81"/>
      <c r="O856" s="85"/>
      <c r="P856" s="85"/>
      <c r="Q856" s="81"/>
    </row>
    <row r="857" spans="3:17" x14ac:dyDescent="0.3">
      <c r="C857" s="81"/>
      <c r="F857" s="85"/>
      <c r="G857" s="86"/>
      <c r="H857" s="86"/>
      <c r="I857" s="87"/>
      <c r="J857" s="85"/>
      <c r="K857" s="85"/>
      <c r="M857" s="81"/>
      <c r="O857" s="85"/>
      <c r="P857" s="85"/>
      <c r="Q857" s="81"/>
    </row>
    <row r="858" spans="3:17" x14ac:dyDescent="0.3">
      <c r="C858" s="81"/>
      <c r="F858" s="85"/>
      <c r="G858" s="86"/>
      <c r="H858" s="86"/>
      <c r="I858" s="87"/>
      <c r="J858" s="85"/>
      <c r="K858" s="85"/>
      <c r="M858" s="81"/>
      <c r="O858" s="85"/>
      <c r="P858" s="85"/>
      <c r="Q858" s="81"/>
    </row>
    <row r="859" spans="3:17" x14ac:dyDescent="0.3">
      <c r="C859" s="81"/>
      <c r="F859" s="85"/>
      <c r="G859" s="86"/>
      <c r="H859" s="86"/>
      <c r="I859" s="87"/>
      <c r="J859" s="85"/>
      <c r="K859" s="85"/>
      <c r="M859" s="81"/>
      <c r="O859" s="85"/>
      <c r="P859" s="85"/>
      <c r="Q859" s="81"/>
    </row>
    <row r="860" spans="3:17" x14ac:dyDescent="0.3">
      <c r="C860" s="81"/>
      <c r="F860" s="85"/>
      <c r="G860" s="86"/>
      <c r="H860" s="86"/>
      <c r="I860" s="87"/>
      <c r="J860" s="85"/>
      <c r="K860" s="85"/>
      <c r="M860" s="81"/>
      <c r="O860" s="85"/>
      <c r="P860" s="85"/>
      <c r="Q860" s="81"/>
    </row>
    <row r="861" spans="3:17" x14ac:dyDescent="0.3">
      <c r="C861" s="81"/>
      <c r="F861" s="85"/>
      <c r="G861" s="86"/>
      <c r="H861" s="86"/>
      <c r="I861" s="87"/>
      <c r="J861" s="85"/>
      <c r="K861" s="85"/>
      <c r="M861" s="81"/>
      <c r="O861" s="85"/>
      <c r="P861" s="85"/>
      <c r="Q861" s="81"/>
    </row>
    <row r="862" spans="3:17" x14ac:dyDescent="0.3">
      <c r="C862" s="81"/>
      <c r="F862" s="85"/>
      <c r="G862" s="86"/>
      <c r="H862" s="86"/>
      <c r="I862" s="87"/>
      <c r="J862" s="85"/>
      <c r="K862" s="85"/>
      <c r="M862" s="81"/>
      <c r="O862" s="85"/>
      <c r="P862" s="85"/>
      <c r="Q862" s="81"/>
    </row>
    <row r="863" spans="3:17" x14ac:dyDescent="0.3">
      <c r="C863" s="81"/>
      <c r="F863" s="85"/>
      <c r="G863" s="86"/>
      <c r="H863" s="86"/>
      <c r="I863" s="87"/>
      <c r="J863" s="85"/>
      <c r="K863" s="85"/>
      <c r="M863" s="81"/>
      <c r="O863" s="85"/>
      <c r="P863" s="85"/>
      <c r="Q863" s="81"/>
    </row>
    <row r="864" spans="3:17" x14ac:dyDescent="0.3">
      <c r="C864" s="81"/>
      <c r="F864" s="85"/>
      <c r="G864" s="86"/>
      <c r="H864" s="86"/>
      <c r="I864" s="87"/>
      <c r="J864" s="85"/>
      <c r="K864" s="85"/>
      <c r="M864" s="81"/>
      <c r="O864" s="85"/>
      <c r="P864" s="85"/>
      <c r="Q864" s="81"/>
    </row>
    <row r="865" spans="3:17" x14ac:dyDescent="0.3">
      <c r="C865" s="81"/>
      <c r="F865" s="85"/>
      <c r="G865" s="86"/>
      <c r="H865" s="86"/>
      <c r="I865" s="87"/>
      <c r="J865" s="85"/>
      <c r="K865" s="85"/>
      <c r="M865" s="81"/>
      <c r="O865" s="85"/>
      <c r="P865" s="85"/>
      <c r="Q865" s="81"/>
    </row>
    <row r="866" spans="3:17" x14ac:dyDescent="0.3">
      <c r="C866" s="81"/>
      <c r="F866" s="85"/>
      <c r="G866" s="86"/>
      <c r="H866" s="86"/>
      <c r="I866" s="87"/>
      <c r="J866" s="85"/>
      <c r="K866" s="85"/>
      <c r="M866" s="81"/>
      <c r="O866" s="85"/>
      <c r="P866" s="85"/>
      <c r="Q866" s="81"/>
    </row>
    <row r="867" spans="3:17" x14ac:dyDescent="0.3">
      <c r="C867" s="81"/>
      <c r="F867" s="85"/>
      <c r="G867" s="86"/>
      <c r="H867" s="86"/>
      <c r="I867" s="87"/>
      <c r="J867" s="85"/>
      <c r="K867" s="85"/>
      <c r="M867" s="81"/>
      <c r="O867" s="85"/>
      <c r="P867" s="85"/>
      <c r="Q867" s="81"/>
    </row>
    <row r="868" spans="3:17" x14ac:dyDescent="0.3">
      <c r="C868" s="81"/>
      <c r="F868" s="85"/>
      <c r="G868" s="86"/>
      <c r="H868" s="86"/>
      <c r="I868" s="87"/>
      <c r="J868" s="85"/>
      <c r="K868" s="85"/>
      <c r="M868" s="81"/>
      <c r="O868" s="85"/>
      <c r="P868" s="85"/>
      <c r="Q868" s="81"/>
    </row>
    <row r="869" spans="3:17" x14ac:dyDescent="0.3">
      <c r="C869" s="81"/>
      <c r="F869" s="85"/>
      <c r="G869" s="86"/>
      <c r="H869" s="86"/>
      <c r="I869" s="87"/>
      <c r="J869" s="85"/>
      <c r="K869" s="85"/>
      <c r="M869" s="81"/>
      <c r="O869" s="85"/>
      <c r="P869" s="85"/>
      <c r="Q869" s="81"/>
    </row>
    <row r="870" spans="3:17" x14ac:dyDescent="0.3">
      <c r="C870" s="81"/>
      <c r="F870" s="85"/>
      <c r="G870" s="86"/>
      <c r="H870" s="86"/>
      <c r="I870" s="87"/>
      <c r="J870" s="85"/>
      <c r="K870" s="85"/>
      <c r="M870" s="81"/>
      <c r="O870" s="85"/>
      <c r="P870" s="85"/>
      <c r="Q870" s="81"/>
    </row>
    <row r="871" spans="3:17" x14ac:dyDescent="0.3">
      <c r="C871" s="81"/>
      <c r="F871" s="85"/>
      <c r="G871" s="86"/>
      <c r="H871" s="86"/>
      <c r="I871" s="87"/>
      <c r="J871" s="85"/>
      <c r="K871" s="85"/>
      <c r="M871" s="81"/>
      <c r="O871" s="85"/>
      <c r="P871" s="85"/>
      <c r="Q871" s="81"/>
    </row>
    <row r="872" spans="3:17" x14ac:dyDescent="0.3">
      <c r="C872" s="81"/>
      <c r="F872" s="85"/>
      <c r="G872" s="86"/>
      <c r="H872" s="86"/>
      <c r="I872" s="87"/>
      <c r="J872" s="85"/>
      <c r="K872" s="85"/>
      <c r="M872" s="81"/>
      <c r="O872" s="85"/>
      <c r="P872" s="85"/>
      <c r="Q872" s="81"/>
    </row>
    <row r="873" spans="3:17" x14ac:dyDescent="0.3">
      <c r="C873" s="81"/>
      <c r="F873" s="85"/>
      <c r="G873" s="86"/>
      <c r="H873" s="86"/>
      <c r="I873" s="87"/>
      <c r="J873" s="85"/>
      <c r="K873" s="85"/>
      <c r="M873" s="81"/>
      <c r="O873" s="85"/>
      <c r="P873" s="85"/>
      <c r="Q873" s="81"/>
    </row>
    <row r="874" spans="3:17" x14ac:dyDescent="0.3">
      <c r="C874" s="81"/>
      <c r="F874" s="85"/>
      <c r="G874" s="86"/>
      <c r="H874" s="86"/>
      <c r="I874" s="87"/>
      <c r="J874" s="85"/>
      <c r="K874" s="85"/>
      <c r="M874" s="81"/>
      <c r="O874" s="85"/>
      <c r="P874" s="85"/>
      <c r="Q874" s="81"/>
    </row>
    <row r="875" spans="3:17" x14ac:dyDescent="0.3">
      <c r="C875" s="81"/>
      <c r="F875" s="85"/>
      <c r="G875" s="86"/>
      <c r="H875" s="86"/>
      <c r="I875" s="87"/>
      <c r="J875" s="85"/>
      <c r="K875" s="85"/>
      <c r="M875" s="81"/>
      <c r="O875" s="85"/>
      <c r="P875" s="85"/>
      <c r="Q875" s="81"/>
    </row>
    <row r="876" spans="3:17" x14ac:dyDescent="0.3">
      <c r="C876" s="81"/>
      <c r="F876" s="85"/>
      <c r="G876" s="86"/>
      <c r="H876" s="86"/>
      <c r="I876" s="87"/>
      <c r="J876" s="85"/>
      <c r="K876" s="85"/>
      <c r="M876" s="81"/>
      <c r="O876" s="85"/>
      <c r="P876" s="85"/>
      <c r="Q876" s="81"/>
    </row>
    <row r="877" spans="3:17" x14ac:dyDescent="0.3">
      <c r="C877" s="81"/>
      <c r="F877" s="85"/>
      <c r="G877" s="86"/>
      <c r="H877" s="86"/>
      <c r="I877" s="87"/>
      <c r="J877" s="85"/>
      <c r="K877" s="85"/>
      <c r="M877" s="81"/>
      <c r="O877" s="85"/>
      <c r="P877" s="85"/>
      <c r="Q877" s="81"/>
    </row>
    <row r="878" spans="3:17" x14ac:dyDescent="0.3">
      <c r="C878" s="81"/>
      <c r="F878" s="85"/>
      <c r="G878" s="86"/>
      <c r="H878" s="86"/>
      <c r="I878" s="87"/>
      <c r="J878" s="85"/>
      <c r="K878" s="85"/>
      <c r="M878" s="81"/>
      <c r="O878" s="85"/>
      <c r="P878" s="85"/>
      <c r="Q878" s="81"/>
    </row>
    <row r="879" spans="3:17" x14ac:dyDescent="0.3">
      <c r="C879" s="81"/>
      <c r="F879" s="85"/>
      <c r="G879" s="86"/>
      <c r="H879" s="86"/>
      <c r="I879" s="87"/>
      <c r="J879" s="85"/>
      <c r="K879" s="85"/>
      <c r="M879" s="81"/>
      <c r="O879" s="85"/>
      <c r="P879" s="85"/>
      <c r="Q879" s="81"/>
    </row>
    <row r="880" spans="3:17" x14ac:dyDescent="0.3">
      <c r="C880" s="81"/>
      <c r="F880" s="85"/>
      <c r="G880" s="86"/>
      <c r="H880" s="86"/>
      <c r="I880" s="87"/>
      <c r="J880" s="85"/>
      <c r="K880" s="85"/>
      <c r="M880" s="81"/>
      <c r="O880" s="85"/>
      <c r="P880" s="85"/>
      <c r="Q880" s="81"/>
    </row>
    <row r="881" spans="3:17" x14ac:dyDescent="0.3">
      <c r="C881" s="81"/>
      <c r="F881" s="85"/>
      <c r="G881" s="86"/>
      <c r="H881" s="86"/>
      <c r="I881" s="87"/>
      <c r="J881" s="85"/>
      <c r="K881" s="85"/>
      <c r="M881" s="81"/>
      <c r="O881" s="85"/>
      <c r="P881" s="85"/>
      <c r="Q881" s="81"/>
    </row>
    <row r="882" spans="3:17" x14ac:dyDescent="0.3">
      <c r="C882" s="81"/>
      <c r="F882" s="85"/>
      <c r="G882" s="86"/>
      <c r="H882" s="86"/>
      <c r="I882" s="87"/>
      <c r="J882" s="85"/>
      <c r="K882" s="85"/>
      <c r="M882" s="81"/>
      <c r="O882" s="85"/>
      <c r="P882" s="85"/>
      <c r="Q882" s="81"/>
    </row>
    <row r="883" spans="3:17" x14ac:dyDescent="0.3">
      <c r="C883" s="81"/>
      <c r="F883" s="85"/>
      <c r="G883" s="86"/>
      <c r="H883" s="86"/>
      <c r="I883" s="87"/>
      <c r="J883" s="85"/>
      <c r="K883" s="85"/>
      <c r="M883" s="81"/>
      <c r="O883" s="85"/>
      <c r="P883" s="85"/>
      <c r="Q883" s="81"/>
    </row>
    <row r="884" spans="3:17" x14ac:dyDescent="0.3">
      <c r="C884" s="81"/>
      <c r="F884" s="85"/>
      <c r="G884" s="86"/>
      <c r="H884" s="86"/>
      <c r="I884" s="87"/>
      <c r="J884" s="85"/>
      <c r="K884" s="85"/>
      <c r="M884" s="81"/>
      <c r="O884" s="85"/>
      <c r="P884" s="85"/>
      <c r="Q884" s="81"/>
    </row>
    <row r="885" spans="3:17" x14ac:dyDescent="0.3">
      <c r="C885" s="81"/>
      <c r="F885" s="85"/>
      <c r="G885" s="86"/>
      <c r="H885" s="86"/>
      <c r="I885" s="87"/>
      <c r="J885" s="85"/>
      <c r="K885" s="85"/>
      <c r="M885" s="81"/>
      <c r="O885" s="85"/>
      <c r="P885" s="85"/>
      <c r="Q885" s="81"/>
    </row>
    <row r="886" spans="3:17" x14ac:dyDescent="0.3">
      <c r="C886" s="81"/>
      <c r="F886" s="85"/>
      <c r="G886" s="86"/>
      <c r="H886" s="86"/>
      <c r="I886" s="87"/>
      <c r="J886" s="85"/>
      <c r="K886" s="85"/>
      <c r="M886" s="81"/>
      <c r="O886" s="85"/>
      <c r="P886" s="85"/>
      <c r="Q886" s="81"/>
    </row>
    <row r="887" spans="3:17" x14ac:dyDescent="0.3">
      <c r="C887" s="81"/>
      <c r="F887" s="85"/>
      <c r="G887" s="86"/>
      <c r="H887" s="86"/>
      <c r="I887" s="87"/>
      <c r="J887" s="85"/>
      <c r="K887" s="85"/>
      <c r="M887" s="81"/>
      <c r="O887" s="85"/>
      <c r="P887" s="85"/>
      <c r="Q887" s="81"/>
    </row>
    <row r="888" spans="3:17" x14ac:dyDescent="0.3">
      <c r="C888" s="81"/>
      <c r="F888" s="85"/>
      <c r="G888" s="86"/>
      <c r="H888" s="86"/>
      <c r="I888" s="87"/>
      <c r="J888" s="85"/>
      <c r="K888" s="85"/>
      <c r="M888" s="81"/>
      <c r="O888" s="85"/>
      <c r="P888" s="85"/>
      <c r="Q888" s="81"/>
    </row>
    <row r="889" spans="3:17" x14ac:dyDescent="0.3">
      <c r="C889" s="81"/>
      <c r="F889" s="85"/>
      <c r="G889" s="86"/>
      <c r="H889" s="86"/>
      <c r="I889" s="87"/>
      <c r="J889" s="85"/>
      <c r="K889" s="85"/>
      <c r="M889" s="81"/>
      <c r="O889" s="85"/>
      <c r="P889" s="85"/>
      <c r="Q889" s="81"/>
    </row>
    <row r="890" spans="3:17" x14ac:dyDescent="0.3">
      <c r="C890" s="81"/>
      <c r="F890" s="85"/>
      <c r="G890" s="86"/>
      <c r="H890" s="86"/>
      <c r="I890" s="87"/>
      <c r="J890" s="85"/>
      <c r="K890" s="85"/>
      <c r="M890" s="81"/>
      <c r="O890" s="85"/>
      <c r="P890" s="85"/>
      <c r="Q890" s="81"/>
    </row>
    <row r="891" spans="3:17" x14ac:dyDescent="0.3">
      <c r="C891" s="81"/>
      <c r="F891" s="85"/>
      <c r="G891" s="86"/>
      <c r="H891" s="86"/>
      <c r="I891" s="87"/>
      <c r="J891" s="85"/>
      <c r="K891" s="85"/>
      <c r="M891" s="81"/>
      <c r="O891" s="85"/>
      <c r="P891" s="85"/>
      <c r="Q891" s="81"/>
    </row>
    <row r="892" spans="3:17" x14ac:dyDescent="0.3">
      <c r="C892" s="81"/>
      <c r="F892" s="85"/>
      <c r="G892" s="86"/>
      <c r="H892" s="86"/>
      <c r="I892" s="87"/>
      <c r="J892" s="85"/>
      <c r="K892" s="85"/>
      <c r="M892" s="81"/>
      <c r="O892" s="85"/>
      <c r="P892" s="85"/>
      <c r="Q892" s="81"/>
    </row>
    <row r="893" spans="3:17" x14ac:dyDescent="0.3">
      <c r="C893" s="81"/>
      <c r="F893" s="85"/>
      <c r="G893" s="86"/>
      <c r="H893" s="86"/>
      <c r="I893" s="87"/>
      <c r="J893" s="85"/>
      <c r="K893" s="85"/>
      <c r="M893" s="81"/>
      <c r="O893" s="85"/>
      <c r="P893" s="85"/>
      <c r="Q893" s="81"/>
    </row>
    <row r="894" spans="3:17" x14ac:dyDescent="0.3">
      <c r="C894" s="81"/>
      <c r="F894" s="85"/>
      <c r="G894" s="86"/>
      <c r="H894" s="86"/>
      <c r="I894" s="87"/>
      <c r="J894" s="85"/>
      <c r="K894" s="85"/>
      <c r="M894" s="81"/>
      <c r="O894" s="85"/>
      <c r="P894" s="85"/>
      <c r="Q894" s="81"/>
    </row>
    <row r="895" spans="3:17" x14ac:dyDescent="0.3">
      <c r="C895" s="81"/>
      <c r="F895" s="85"/>
      <c r="G895" s="86"/>
      <c r="H895" s="86"/>
      <c r="I895" s="87"/>
      <c r="J895" s="85"/>
      <c r="K895" s="85"/>
      <c r="M895" s="81"/>
      <c r="O895" s="85"/>
      <c r="P895" s="85"/>
      <c r="Q895" s="81"/>
    </row>
    <row r="896" spans="3:17" x14ac:dyDescent="0.3">
      <c r="C896" s="81"/>
      <c r="F896" s="85"/>
      <c r="G896" s="86"/>
      <c r="H896" s="86"/>
      <c r="I896" s="87"/>
      <c r="J896" s="85"/>
      <c r="K896" s="85"/>
      <c r="M896" s="81"/>
      <c r="O896" s="85"/>
      <c r="P896" s="85"/>
      <c r="Q896" s="81"/>
    </row>
    <row r="897" spans="3:17" x14ac:dyDescent="0.3">
      <c r="C897" s="81"/>
      <c r="F897" s="85"/>
      <c r="G897" s="86"/>
      <c r="H897" s="86"/>
      <c r="I897" s="87"/>
      <c r="J897" s="85"/>
      <c r="K897" s="85"/>
      <c r="M897" s="81"/>
      <c r="O897" s="85"/>
      <c r="P897" s="85"/>
      <c r="Q897" s="81"/>
    </row>
    <row r="898" spans="3:17" x14ac:dyDescent="0.3">
      <c r="C898" s="81"/>
      <c r="F898" s="85"/>
      <c r="G898" s="86"/>
      <c r="H898" s="86"/>
      <c r="I898" s="87"/>
      <c r="J898" s="85"/>
      <c r="K898" s="85"/>
      <c r="M898" s="81"/>
      <c r="O898" s="85"/>
      <c r="P898" s="85"/>
      <c r="Q898" s="81"/>
    </row>
    <row r="899" spans="3:17" x14ac:dyDescent="0.3">
      <c r="C899" s="81"/>
      <c r="F899" s="85"/>
      <c r="G899" s="86"/>
      <c r="H899" s="86"/>
      <c r="I899" s="87"/>
      <c r="J899" s="85"/>
      <c r="K899" s="85"/>
      <c r="M899" s="81"/>
      <c r="O899" s="85"/>
      <c r="P899" s="85"/>
      <c r="Q899" s="81"/>
    </row>
    <row r="900" spans="3:17" x14ac:dyDescent="0.3">
      <c r="C900" s="81"/>
      <c r="F900" s="85"/>
      <c r="G900" s="86"/>
      <c r="H900" s="86"/>
      <c r="I900" s="87"/>
      <c r="J900" s="85"/>
      <c r="K900" s="85"/>
      <c r="M900" s="81"/>
      <c r="O900" s="85"/>
      <c r="P900" s="85"/>
      <c r="Q900" s="81"/>
    </row>
    <row r="901" spans="3:17" x14ac:dyDescent="0.3">
      <c r="C901" s="81"/>
      <c r="F901" s="85"/>
      <c r="G901" s="86"/>
      <c r="H901" s="86"/>
      <c r="I901" s="87"/>
      <c r="J901" s="85"/>
      <c r="K901" s="85"/>
      <c r="M901" s="81"/>
      <c r="O901" s="85"/>
      <c r="P901" s="85"/>
      <c r="Q901" s="81"/>
    </row>
    <row r="902" spans="3:17" x14ac:dyDescent="0.3">
      <c r="C902" s="81"/>
      <c r="F902" s="85"/>
      <c r="G902" s="86"/>
      <c r="H902" s="86"/>
      <c r="I902" s="87"/>
      <c r="J902" s="85"/>
      <c r="K902" s="85"/>
      <c r="M902" s="81"/>
      <c r="O902" s="85"/>
      <c r="P902" s="85"/>
      <c r="Q902" s="81"/>
    </row>
    <row r="903" spans="3:17" x14ac:dyDescent="0.3">
      <c r="C903" s="81"/>
      <c r="F903" s="85"/>
      <c r="G903" s="86"/>
      <c r="H903" s="86"/>
      <c r="I903" s="87"/>
      <c r="J903" s="85"/>
      <c r="K903" s="85"/>
      <c r="M903" s="81"/>
      <c r="O903" s="85"/>
      <c r="P903" s="85"/>
      <c r="Q903" s="81"/>
    </row>
    <row r="904" spans="3:17" x14ac:dyDescent="0.3">
      <c r="C904" s="81"/>
      <c r="F904" s="85"/>
      <c r="G904" s="86"/>
      <c r="H904" s="86"/>
      <c r="I904" s="87"/>
      <c r="J904" s="85"/>
      <c r="K904" s="85"/>
      <c r="M904" s="81"/>
      <c r="O904" s="85"/>
      <c r="P904" s="85"/>
      <c r="Q904" s="81"/>
    </row>
    <row r="905" spans="3:17" x14ac:dyDescent="0.3">
      <c r="C905" s="81"/>
      <c r="F905" s="85"/>
      <c r="G905" s="86"/>
      <c r="H905" s="86"/>
      <c r="I905" s="87"/>
      <c r="J905" s="85"/>
      <c r="K905" s="85"/>
      <c r="M905" s="81"/>
      <c r="O905" s="85"/>
      <c r="P905" s="85"/>
      <c r="Q905" s="81"/>
    </row>
    <row r="906" spans="3:17" x14ac:dyDescent="0.3">
      <c r="C906" s="81"/>
      <c r="F906" s="85"/>
      <c r="G906" s="86"/>
      <c r="H906" s="86"/>
      <c r="I906" s="87"/>
      <c r="J906" s="85"/>
      <c r="K906" s="85"/>
      <c r="M906" s="81"/>
      <c r="O906" s="85"/>
      <c r="P906" s="85"/>
      <c r="Q906" s="81"/>
    </row>
    <row r="907" spans="3:17" x14ac:dyDescent="0.3">
      <c r="C907" s="81"/>
      <c r="F907" s="85"/>
      <c r="G907" s="86"/>
      <c r="H907" s="86"/>
      <c r="I907" s="87"/>
      <c r="J907" s="85"/>
      <c r="K907" s="85"/>
      <c r="M907" s="81"/>
      <c r="O907" s="85"/>
      <c r="P907" s="85"/>
      <c r="Q907" s="81"/>
    </row>
    <row r="908" spans="3:17" x14ac:dyDescent="0.3">
      <c r="C908" s="81"/>
      <c r="F908" s="85"/>
      <c r="G908" s="86"/>
      <c r="H908" s="86"/>
      <c r="I908" s="87"/>
      <c r="J908" s="85"/>
      <c r="K908" s="85"/>
      <c r="M908" s="81"/>
      <c r="O908" s="85"/>
      <c r="P908" s="85"/>
      <c r="Q908" s="81"/>
    </row>
    <row r="909" spans="3:17" x14ac:dyDescent="0.3">
      <c r="C909" s="81"/>
      <c r="F909" s="85"/>
      <c r="G909" s="86"/>
      <c r="H909" s="86"/>
      <c r="I909" s="87"/>
      <c r="J909" s="85"/>
      <c r="K909" s="85"/>
      <c r="M909" s="81"/>
      <c r="O909" s="85"/>
      <c r="P909" s="85"/>
      <c r="Q909" s="81"/>
    </row>
    <row r="910" spans="3:17" x14ac:dyDescent="0.3">
      <c r="C910" s="81"/>
      <c r="F910" s="85"/>
      <c r="G910" s="86"/>
      <c r="H910" s="86"/>
      <c r="I910" s="87"/>
      <c r="J910" s="85"/>
      <c r="K910" s="85"/>
      <c r="M910" s="81"/>
      <c r="O910" s="85"/>
      <c r="P910" s="85"/>
      <c r="Q910" s="81"/>
    </row>
    <row r="911" spans="3:17" x14ac:dyDescent="0.3">
      <c r="C911" s="81"/>
      <c r="F911" s="85"/>
      <c r="G911" s="86"/>
      <c r="H911" s="86"/>
      <c r="I911" s="87"/>
      <c r="J911" s="85"/>
      <c r="K911" s="85"/>
      <c r="M911" s="81"/>
      <c r="O911" s="85"/>
      <c r="P911" s="85"/>
      <c r="Q911" s="81"/>
    </row>
    <row r="912" spans="3:17" x14ac:dyDescent="0.3">
      <c r="C912" s="81"/>
      <c r="F912" s="85"/>
      <c r="G912" s="86"/>
      <c r="H912" s="86"/>
      <c r="I912" s="87"/>
      <c r="J912" s="85"/>
      <c r="K912" s="85"/>
      <c r="M912" s="81"/>
      <c r="O912" s="85"/>
      <c r="P912" s="85"/>
      <c r="Q912" s="81"/>
    </row>
    <row r="913" spans="3:17" x14ac:dyDescent="0.3">
      <c r="C913" s="81"/>
      <c r="F913" s="85"/>
      <c r="G913" s="86"/>
      <c r="H913" s="86"/>
      <c r="I913" s="87"/>
      <c r="J913" s="85"/>
      <c r="K913" s="85"/>
      <c r="M913" s="81"/>
      <c r="O913" s="85"/>
      <c r="P913" s="85"/>
      <c r="Q913" s="81"/>
    </row>
    <row r="914" spans="3:17" x14ac:dyDescent="0.3">
      <c r="C914" s="81"/>
      <c r="F914" s="85"/>
      <c r="G914" s="86"/>
      <c r="H914" s="86"/>
      <c r="I914" s="87"/>
      <c r="J914" s="85"/>
      <c r="K914" s="85"/>
      <c r="M914" s="81"/>
      <c r="O914" s="85"/>
      <c r="P914" s="85"/>
      <c r="Q914" s="81"/>
    </row>
    <row r="915" spans="3:17" x14ac:dyDescent="0.3">
      <c r="C915" s="81"/>
      <c r="F915" s="85"/>
      <c r="G915" s="86"/>
      <c r="H915" s="86"/>
      <c r="I915" s="87"/>
      <c r="J915" s="85"/>
      <c r="K915" s="85"/>
      <c r="M915" s="81"/>
      <c r="O915" s="85"/>
      <c r="P915" s="85"/>
      <c r="Q915" s="81"/>
    </row>
    <row r="916" spans="3:17" x14ac:dyDescent="0.3">
      <c r="C916" s="81"/>
      <c r="F916" s="85"/>
      <c r="G916" s="86"/>
      <c r="H916" s="86"/>
      <c r="I916" s="87"/>
      <c r="J916" s="85"/>
      <c r="K916" s="85"/>
      <c r="M916" s="81"/>
      <c r="O916" s="85"/>
      <c r="P916" s="85"/>
      <c r="Q916" s="81"/>
    </row>
    <row r="917" spans="3:17" x14ac:dyDescent="0.3">
      <c r="C917" s="81"/>
      <c r="F917" s="85"/>
      <c r="G917" s="86"/>
      <c r="H917" s="86"/>
      <c r="I917" s="87"/>
      <c r="J917" s="85"/>
      <c r="K917" s="85"/>
      <c r="M917" s="81"/>
      <c r="O917" s="85"/>
      <c r="P917" s="85"/>
      <c r="Q917" s="81"/>
    </row>
    <row r="918" spans="3:17" x14ac:dyDescent="0.3">
      <c r="C918" s="81"/>
      <c r="F918" s="85"/>
      <c r="G918" s="86"/>
      <c r="H918" s="86"/>
      <c r="I918" s="87"/>
      <c r="J918" s="85"/>
      <c r="K918" s="85"/>
      <c r="M918" s="81"/>
      <c r="O918" s="85"/>
      <c r="P918" s="85"/>
      <c r="Q918" s="81"/>
    </row>
    <row r="919" spans="3:17" x14ac:dyDescent="0.3">
      <c r="C919" s="81"/>
      <c r="F919" s="85"/>
      <c r="G919" s="86"/>
      <c r="H919" s="86"/>
      <c r="I919" s="87"/>
      <c r="J919" s="85"/>
      <c r="K919" s="85"/>
      <c r="M919" s="81"/>
      <c r="O919" s="85"/>
      <c r="P919" s="85"/>
      <c r="Q919" s="81"/>
    </row>
    <row r="920" spans="3:17" x14ac:dyDescent="0.3">
      <c r="C920" s="81"/>
      <c r="F920" s="85"/>
      <c r="G920" s="86"/>
      <c r="H920" s="86"/>
      <c r="I920" s="87"/>
      <c r="J920" s="85"/>
      <c r="K920" s="85"/>
      <c r="M920" s="81"/>
      <c r="O920" s="85"/>
      <c r="P920" s="85"/>
      <c r="Q920" s="81"/>
    </row>
    <row r="921" spans="3:17" x14ac:dyDescent="0.3">
      <c r="C921" s="81"/>
      <c r="F921" s="85"/>
      <c r="G921" s="86"/>
      <c r="H921" s="86"/>
      <c r="I921" s="87"/>
      <c r="J921" s="85"/>
      <c r="K921" s="85"/>
      <c r="M921" s="81"/>
      <c r="O921" s="85"/>
      <c r="P921" s="85"/>
      <c r="Q921" s="81"/>
    </row>
    <row r="922" spans="3:17" x14ac:dyDescent="0.3">
      <c r="C922" s="81"/>
      <c r="F922" s="85"/>
      <c r="G922" s="86"/>
      <c r="H922" s="86"/>
      <c r="I922" s="87"/>
      <c r="J922" s="85"/>
      <c r="K922" s="85"/>
      <c r="M922" s="81"/>
      <c r="O922" s="85"/>
      <c r="P922" s="85"/>
      <c r="Q922" s="81"/>
    </row>
    <row r="923" spans="3:17" x14ac:dyDescent="0.3">
      <c r="C923" s="81"/>
      <c r="F923" s="85"/>
      <c r="G923" s="86"/>
      <c r="H923" s="86"/>
      <c r="I923" s="87"/>
      <c r="J923" s="85"/>
      <c r="K923" s="85"/>
      <c r="M923" s="81"/>
      <c r="O923" s="85"/>
      <c r="P923" s="85"/>
      <c r="Q923" s="81"/>
    </row>
    <row r="924" spans="3:17" x14ac:dyDescent="0.3">
      <c r="C924" s="81"/>
      <c r="F924" s="85"/>
      <c r="G924" s="86"/>
      <c r="H924" s="86"/>
      <c r="I924" s="87"/>
      <c r="J924" s="85"/>
      <c r="K924" s="85"/>
      <c r="M924" s="81"/>
      <c r="O924" s="85"/>
      <c r="P924" s="85"/>
      <c r="Q924" s="81"/>
    </row>
    <row r="925" spans="3:17" x14ac:dyDescent="0.3">
      <c r="C925" s="81"/>
      <c r="F925" s="85"/>
      <c r="G925" s="86"/>
      <c r="H925" s="86"/>
      <c r="I925" s="87"/>
      <c r="J925" s="85"/>
      <c r="K925" s="85"/>
      <c r="M925" s="81"/>
      <c r="O925" s="85"/>
      <c r="P925" s="85"/>
      <c r="Q925" s="81"/>
    </row>
    <row r="926" spans="3:17" x14ac:dyDescent="0.3">
      <c r="C926" s="81"/>
      <c r="F926" s="85"/>
      <c r="G926" s="86"/>
      <c r="H926" s="86"/>
      <c r="I926" s="87"/>
      <c r="J926" s="85"/>
      <c r="K926" s="85"/>
      <c r="M926" s="81"/>
      <c r="O926" s="85"/>
      <c r="P926" s="85"/>
      <c r="Q926" s="81"/>
    </row>
    <row r="927" spans="3:17" x14ac:dyDescent="0.3">
      <c r="C927" s="81"/>
      <c r="F927" s="85"/>
      <c r="G927" s="86"/>
      <c r="H927" s="86"/>
      <c r="I927" s="87"/>
      <c r="J927" s="85"/>
      <c r="K927" s="85"/>
      <c r="M927" s="81"/>
      <c r="O927" s="85"/>
      <c r="P927" s="85"/>
      <c r="Q927" s="81"/>
    </row>
    <row r="928" spans="3:17" x14ac:dyDescent="0.3">
      <c r="C928" s="81"/>
      <c r="F928" s="85"/>
      <c r="G928" s="86"/>
      <c r="H928" s="86"/>
      <c r="I928" s="87"/>
      <c r="J928" s="85"/>
      <c r="K928" s="85"/>
      <c r="M928" s="81"/>
      <c r="O928" s="85"/>
      <c r="P928" s="85"/>
      <c r="Q928" s="81"/>
    </row>
    <row r="929" spans="3:17" x14ac:dyDescent="0.3">
      <c r="C929" s="81"/>
      <c r="F929" s="85"/>
      <c r="G929" s="86"/>
      <c r="H929" s="86"/>
      <c r="I929" s="87"/>
      <c r="J929" s="85"/>
      <c r="K929" s="85"/>
      <c r="M929" s="81"/>
      <c r="O929" s="85"/>
      <c r="P929" s="85"/>
      <c r="Q929" s="81"/>
    </row>
    <row r="930" spans="3:17" x14ac:dyDescent="0.3">
      <c r="C930" s="81"/>
      <c r="F930" s="85"/>
      <c r="G930" s="86"/>
      <c r="H930" s="86"/>
      <c r="I930" s="87"/>
      <c r="J930" s="85"/>
      <c r="K930" s="85"/>
      <c r="M930" s="81"/>
      <c r="O930" s="85"/>
      <c r="P930" s="85"/>
      <c r="Q930" s="81"/>
    </row>
    <row r="931" spans="3:17" x14ac:dyDescent="0.3">
      <c r="C931" s="81"/>
      <c r="F931" s="85"/>
      <c r="G931" s="86"/>
      <c r="H931" s="86"/>
      <c r="I931" s="87"/>
      <c r="J931" s="85"/>
      <c r="K931" s="85"/>
      <c r="M931" s="81"/>
      <c r="O931" s="85"/>
      <c r="P931" s="85"/>
      <c r="Q931" s="81"/>
    </row>
    <row r="932" spans="3:17" x14ac:dyDescent="0.3">
      <c r="C932" s="81"/>
      <c r="F932" s="85"/>
      <c r="G932" s="86"/>
      <c r="H932" s="86"/>
      <c r="I932" s="87"/>
      <c r="J932" s="85"/>
      <c r="K932" s="85"/>
      <c r="M932" s="81"/>
      <c r="O932" s="85"/>
      <c r="P932" s="85"/>
      <c r="Q932" s="81"/>
    </row>
    <row r="933" spans="3:17" x14ac:dyDescent="0.3">
      <c r="C933" s="81"/>
      <c r="F933" s="85"/>
      <c r="G933" s="86"/>
      <c r="H933" s="86"/>
      <c r="I933" s="87"/>
      <c r="J933" s="85"/>
      <c r="K933" s="85"/>
      <c r="M933" s="81"/>
      <c r="O933" s="85"/>
      <c r="P933" s="85"/>
      <c r="Q933" s="81"/>
    </row>
    <row r="934" spans="3:17" x14ac:dyDescent="0.3">
      <c r="C934" s="81"/>
      <c r="F934" s="85"/>
      <c r="G934" s="86"/>
      <c r="H934" s="86"/>
      <c r="I934" s="87"/>
      <c r="J934" s="85"/>
      <c r="K934" s="85"/>
      <c r="M934" s="81"/>
      <c r="O934" s="85"/>
      <c r="P934" s="85"/>
      <c r="Q934" s="81"/>
    </row>
    <row r="935" spans="3:17" x14ac:dyDescent="0.3">
      <c r="C935" s="81"/>
      <c r="F935" s="85"/>
      <c r="G935" s="86"/>
      <c r="H935" s="86"/>
      <c r="I935" s="87"/>
      <c r="J935" s="85"/>
      <c r="K935" s="85"/>
      <c r="M935" s="81"/>
      <c r="O935" s="85"/>
      <c r="P935" s="85"/>
      <c r="Q935" s="81"/>
    </row>
    <row r="936" spans="3:17" x14ac:dyDescent="0.3">
      <c r="C936" s="81"/>
      <c r="F936" s="85"/>
      <c r="G936" s="86"/>
      <c r="H936" s="86"/>
      <c r="I936" s="87"/>
      <c r="J936" s="85"/>
      <c r="K936" s="85"/>
      <c r="M936" s="81"/>
      <c r="O936" s="85"/>
      <c r="P936" s="85"/>
      <c r="Q936" s="81"/>
    </row>
    <row r="937" spans="3:17" x14ac:dyDescent="0.3">
      <c r="C937" s="81"/>
      <c r="F937" s="85"/>
      <c r="G937" s="86"/>
      <c r="H937" s="86"/>
      <c r="I937" s="87"/>
      <c r="J937" s="85"/>
      <c r="K937" s="85"/>
      <c r="M937" s="81"/>
      <c r="O937" s="85"/>
      <c r="P937" s="85"/>
      <c r="Q937" s="81"/>
    </row>
    <row r="938" spans="3:17" x14ac:dyDescent="0.3">
      <c r="C938" s="81"/>
      <c r="F938" s="85"/>
      <c r="G938" s="86"/>
      <c r="H938" s="86"/>
      <c r="I938" s="87"/>
      <c r="J938" s="85"/>
      <c r="K938" s="85"/>
      <c r="M938" s="81"/>
      <c r="O938" s="85"/>
      <c r="P938" s="85"/>
      <c r="Q938" s="81"/>
    </row>
    <row r="939" spans="3:17" x14ac:dyDescent="0.3">
      <c r="C939" s="81"/>
      <c r="F939" s="85"/>
      <c r="G939" s="86"/>
      <c r="H939" s="86"/>
      <c r="I939" s="87"/>
      <c r="J939" s="85"/>
      <c r="K939" s="85"/>
      <c r="M939" s="81"/>
      <c r="O939" s="85"/>
      <c r="P939" s="85"/>
      <c r="Q939" s="81"/>
    </row>
    <row r="940" spans="3:17" x14ac:dyDescent="0.3">
      <c r="C940" s="81"/>
      <c r="F940" s="85"/>
      <c r="G940" s="86"/>
      <c r="H940" s="86"/>
      <c r="I940" s="87"/>
      <c r="J940" s="85"/>
      <c r="K940" s="85"/>
      <c r="M940" s="81"/>
      <c r="O940" s="85"/>
      <c r="P940" s="85"/>
      <c r="Q940" s="81"/>
    </row>
    <row r="941" spans="3:17" x14ac:dyDescent="0.3">
      <c r="C941" s="81"/>
      <c r="F941" s="85"/>
      <c r="G941" s="86"/>
      <c r="H941" s="86"/>
      <c r="I941" s="87"/>
      <c r="J941" s="85"/>
      <c r="K941" s="85"/>
      <c r="M941" s="81"/>
      <c r="O941" s="85"/>
      <c r="P941" s="85"/>
      <c r="Q941" s="81"/>
    </row>
    <row r="942" spans="3:17" x14ac:dyDescent="0.3">
      <c r="C942" s="81"/>
      <c r="F942" s="85"/>
      <c r="G942" s="86"/>
      <c r="H942" s="86"/>
      <c r="I942" s="87"/>
      <c r="J942" s="85"/>
      <c r="K942" s="85"/>
      <c r="M942" s="81"/>
      <c r="O942" s="85"/>
      <c r="P942" s="85"/>
      <c r="Q942" s="81"/>
    </row>
    <row r="943" spans="3:17" x14ac:dyDescent="0.3">
      <c r="C943" s="81"/>
      <c r="F943" s="85"/>
      <c r="G943" s="86"/>
      <c r="H943" s="86"/>
      <c r="I943" s="87"/>
      <c r="J943" s="85"/>
      <c r="K943" s="85"/>
      <c r="M943" s="81"/>
      <c r="O943" s="85"/>
      <c r="P943" s="85"/>
      <c r="Q943" s="81"/>
    </row>
    <row r="944" spans="3:17" x14ac:dyDescent="0.3">
      <c r="C944" s="81"/>
      <c r="F944" s="85"/>
      <c r="G944" s="86"/>
      <c r="H944" s="86"/>
      <c r="I944" s="87"/>
      <c r="J944" s="85"/>
      <c r="K944" s="85"/>
      <c r="M944" s="81"/>
      <c r="O944" s="85"/>
      <c r="P944" s="85"/>
      <c r="Q944" s="81"/>
    </row>
    <row r="945" spans="3:17" x14ac:dyDescent="0.3">
      <c r="C945" s="81"/>
      <c r="F945" s="85"/>
      <c r="G945" s="86"/>
      <c r="H945" s="86"/>
      <c r="I945" s="87"/>
      <c r="J945" s="85"/>
      <c r="K945" s="85"/>
      <c r="M945" s="81"/>
      <c r="O945" s="85"/>
      <c r="P945" s="85"/>
      <c r="Q945" s="81"/>
    </row>
    <row r="946" spans="3:17" x14ac:dyDescent="0.3">
      <c r="C946" s="81"/>
      <c r="F946" s="85"/>
      <c r="G946" s="86"/>
      <c r="H946" s="86"/>
      <c r="I946" s="87"/>
      <c r="J946" s="85"/>
      <c r="K946" s="85"/>
      <c r="M946" s="81"/>
      <c r="O946" s="85"/>
      <c r="P946" s="85"/>
      <c r="Q946" s="81"/>
    </row>
    <row r="947" spans="3:17" x14ac:dyDescent="0.3">
      <c r="C947" s="81"/>
      <c r="F947" s="85"/>
      <c r="G947" s="86"/>
      <c r="H947" s="86"/>
      <c r="I947" s="87"/>
      <c r="J947" s="85"/>
      <c r="K947" s="85"/>
      <c r="M947" s="81"/>
      <c r="O947" s="85"/>
      <c r="P947" s="85"/>
      <c r="Q947" s="81"/>
    </row>
    <row r="948" spans="3:17" x14ac:dyDescent="0.3">
      <c r="C948" s="81"/>
      <c r="F948" s="85"/>
      <c r="G948" s="86"/>
      <c r="H948" s="86"/>
      <c r="I948" s="87"/>
      <c r="J948" s="85"/>
      <c r="K948" s="85"/>
      <c r="M948" s="81"/>
      <c r="O948" s="85"/>
      <c r="P948" s="85"/>
      <c r="Q948" s="81"/>
    </row>
    <row r="949" spans="3:17" x14ac:dyDescent="0.3">
      <c r="C949" s="81"/>
      <c r="F949" s="85"/>
      <c r="G949" s="86"/>
      <c r="H949" s="86"/>
      <c r="I949" s="87"/>
      <c r="J949" s="85"/>
      <c r="K949" s="85"/>
      <c r="M949" s="81"/>
      <c r="O949" s="85"/>
      <c r="P949" s="85"/>
      <c r="Q949" s="81"/>
    </row>
    <row r="950" spans="3:17" x14ac:dyDescent="0.3">
      <c r="C950" s="81"/>
      <c r="F950" s="85"/>
      <c r="G950" s="86"/>
      <c r="H950" s="86"/>
      <c r="I950" s="87"/>
      <c r="J950" s="85"/>
      <c r="K950" s="85"/>
      <c r="M950" s="81"/>
      <c r="O950" s="85"/>
      <c r="P950" s="85"/>
      <c r="Q950" s="81"/>
    </row>
    <row r="951" spans="3:17" x14ac:dyDescent="0.3">
      <c r="C951" s="81"/>
      <c r="F951" s="85"/>
      <c r="G951" s="86"/>
      <c r="H951" s="86"/>
      <c r="I951" s="87"/>
      <c r="J951" s="85"/>
      <c r="K951" s="85"/>
      <c r="M951" s="81"/>
      <c r="O951" s="85"/>
      <c r="P951" s="85"/>
      <c r="Q951" s="81"/>
    </row>
    <row r="952" spans="3:17" x14ac:dyDescent="0.3">
      <c r="C952" s="81"/>
      <c r="F952" s="85"/>
      <c r="G952" s="86"/>
      <c r="H952" s="86"/>
      <c r="I952" s="87"/>
      <c r="J952" s="85"/>
      <c r="K952" s="85"/>
      <c r="M952" s="81"/>
      <c r="O952" s="85"/>
      <c r="P952" s="85"/>
      <c r="Q952" s="81"/>
    </row>
    <row r="953" spans="3:17" x14ac:dyDescent="0.3">
      <c r="C953" s="81"/>
      <c r="F953" s="85"/>
      <c r="G953" s="86"/>
      <c r="H953" s="86"/>
      <c r="I953" s="87"/>
      <c r="J953" s="85"/>
      <c r="K953" s="85"/>
      <c r="M953" s="81"/>
      <c r="O953" s="85"/>
      <c r="P953" s="85"/>
      <c r="Q953" s="81"/>
    </row>
    <row r="954" spans="3:17" x14ac:dyDescent="0.3">
      <c r="C954" s="81"/>
      <c r="F954" s="85"/>
      <c r="G954" s="86"/>
      <c r="H954" s="86"/>
      <c r="I954" s="87"/>
      <c r="J954" s="85"/>
      <c r="K954" s="85"/>
      <c r="M954" s="81"/>
      <c r="O954" s="85"/>
      <c r="P954" s="85"/>
      <c r="Q954" s="81"/>
    </row>
    <row r="955" spans="3:17" x14ac:dyDescent="0.3">
      <c r="C955" s="81"/>
      <c r="F955" s="85"/>
      <c r="G955" s="86"/>
      <c r="H955" s="86"/>
      <c r="I955" s="87"/>
      <c r="J955" s="85"/>
      <c r="K955" s="85"/>
      <c r="M955" s="81"/>
      <c r="O955" s="85"/>
      <c r="P955" s="85"/>
      <c r="Q955" s="81"/>
    </row>
    <row r="956" spans="3:17" x14ac:dyDescent="0.3">
      <c r="C956" s="81"/>
      <c r="F956" s="85"/>
      <c r="G956" s="86"/>
      <c r="H956" s="86"/>
      <c r="I956" s="87"/>
      <c r="J956" s="85"/>
      <c r="K956" s="85"/>
      <c r="M956" s="81"/>
      <c r="O956" s="85"/>
      <c r="P956" s="85"/>
      <c r="Q956" s="81"/>
    </row>
    <row r="957" spans="3:17" x14ac:dyDescent="0.3">
      <c r="C957" s="81"/>
      <c r="F957" s="85"/>
      <c r="G957" s="86"/>
      <c r="H957" s="86"/>
      <c r="I957" s="87"/>
      <c r="J957" s="85"/>
      <c r="K957" s="85"/>
      <c r="M957" s="81"/>
      <c r="O957" s="85"/>
      <c r="P957" s="85"/>
      <c r="Q957" s="81"/>
    </row>
    <row r="958" spans="3:17" x14ac:dyDescent="0.3">
      <c r="C958" s="81"/>
      <c r="F958" s="85"/>
      <c r="G958" s="86"/>
      <c r="H958" s="86"/>
      <c r="I958" s="87"/>
      <c r="J958" s="85"/>
      <c r="K958" s="85"/>
      <c r="M958" s="81"/>
      <c r="O958" s="85"/>
      <c r="P958" s="85"/>
      <c r="Q958" s="81"/>
    </row>
    <row r="959" spans="3:17" x14ac:dyDescent="0.3">
      <c r="C959" s="81"/>
      <c r="F959" s="85"/>
      <c r="G959" s="86"/>
      <c r="H959" s="86"/>
      <c r="I959" s="87"/>
      <c r="J959" s="85"/>
      <c r="K959" s="85"/>
      <c r="M959" s="81"/>
      <c r="O959" s="85"/>
      <c r="P959" s="85"/>
      <c r="Q959" s="81"/>
    </row>
    <row r="960" spans="3:17" x14ac:dyDescent="0.3">
      <c r="C960" s="81"/>
      <c r="F960" s="85"/>
      <c r="G960" s="86"/>
      <c r="H960" s="86"/>
      <c r="I960" s="87"/>
      <c r="J960" s="85"/>
      <c r="K960" s="85"/>
      <c r="M960" s="81"/>
      <c r="O960" s="85"/>
      <c r="P960" s="85"/>
      <c r="Q960" s="81"/>
    </row>
    <row r="961" spans="3:17" x14ac:dyDescent="0.3">
      <c r="C961" s="81"/>
      <c r="F961" s="85"/>
      <c r="G961" s="86"/>
      <c r="H961" s="86"/>
      <c r="I961" s="87"/>
      <c r="J961" s="85"/>
      <c r="K961" s="85"/>
      <c r="M961" s="81"/>
      <c r="O961" s="85"/>
      <c r="P961" s="85"/>
      <c r="Q961" s="81"/>
    </row>
    <row r="962" spans="3:17" x14ac:dyDescent="0.3">
      <c r="C962" s="81"/>
      <c r="F962" s="85"/>
      <c r="G962" s="86"/>
      <c r="H962" s="86"/>
      <c r="I962" s="87"/>
      <c r="J962" s="85"/>
      <c r="K962" s="85"/>
      <c r="M962" s="81"/>
      <c r="O962" s="85"/>
      <c r="P962" s="85"/>
      <c r="Q962" s="81"/>
    </row>
    <row r="963" spans="3:17" x14ac:dyDescent="0.3">
      <c r="C963" s="81"/>
      <c r="F963" s="85"/>
      <c r="G963" s="86"/>
      <c r="H963" s="86"/>
      <c r="I963" s="87"/>
      <c r="J963" s="85"/>
      <c r="K963" s="85"/>
      <c r="M963" s="81"/>
      <c r="O963" s="85"/>
      <c r="P963" s="85"/>
      <c r="Q963" s="81"/>
    </row>
    <row r="964" spans="3:17" x14ac:dyDescent="0.3">
      <c r="C964" s="81"/>
      <c r="F964" s="85"/>
      <c r="G964" s="86"/>
      <c r="H964" s="86"/>
      <c r="I964" s="87"/>
      <c r="J964" s="85"/>
      <c r="K964" s="85"/>
      <c r="M964" s="81"/>
      <c r="O964" s="85"/>
      <c r="P964" s="85"/>
      <c r="Q964" s="81"/>
    </row>
    <row r="965" spans="3:17" x14ac:dyDescent="0.3">
      <c r="C965" s="81"/>
      <c r="F965" s="85"/>
      <c r="G965" s="86"/>
      <c r="H965" s="86"/>
      <c r="I965" s="87"/>
      <c r="J965" s="85"/>
      <c r="K965" s="85"/>
      <c r="M965" s="81"/>
      <c r="O965" s="85"/>
      <c r="P965" s="85"/>
      <c r="Q965" s="81"/>
    </row>
    <row r="966" spans="3:17" x14ac:dyDescent="0.3">
      <c r="C966" s="81"/>
      <c r="F966" s="85"/>
      <c r="G966" s="86"/>
      <c r="H966" s="86"/>
      <c r="I966" s="87"/>
      <c r="J966" s="85"/>
      <c r="K966" s="85"/>
      <c r="M966" s="81"/>
      <c r="O966" s="85"/>
      <c r="P966" s="85"/>
      <c r="Q966" s="81"/>
    </row>
    <row r="967" spans="3:17" x14ac:dyDescent="0.3">
      <c r="C967" s="81"/>
      <c r="F967" s="85"/>
      <c r="G967" s="86"/>
      <c r="H967" s="86"/>
      <c r="I967" s="87"/>
      <c r="J967" s="85"/>
      <c r="K967" s="85"/>
      <c r="M967" s="81"/>
      <c r="O967" s="85"/>
      <c r="P967" s="85"/>
      <c r="Q967" s="81"/>
    </row>
    <row r="968" spans="3:17" x14ac:dyDescent="0.3">
      <c r="C968" s="81"/>
      <c r="F968" s="85"/>
      <c r="G968" s="86"/>
      <c r="H968" s="86"/>
      <c r="I968" s="87"/>
      <c r="J968" s="85"/>
      <c r="K968" s="85"/>
      <c r="M968" s="81"/>
      <c r="O968" s="85"/>
      <c r="P968" s="85"/>
      <c r="Q968" s="81"/>
    </row>
    <row r="969" spans="3:17" x14ac:dyDescent="0.3">
      <c r="C969" s="81"/>
      <c r="F969" s="85"/>
      <c r="G969" s="86"/>
      <c r="H969" s="86"/>
      <c r="I969" s="87"/>
      <c r="J969" s="85"/>
      <c r="K969" s="85"/>
      <c r="M969" s="81"/>
      <c r="O969" s="85"/>
      <c r="P969" s="85"/>
      <c r="Q969" s="81"/>
    </row>
    <row r="970" spans="3:17" x14ac:dyDescent="0.3">
      <c r="C970" s="81"/>
      <c r="F970" s="85"/>
      <c r="G970" s="86"/>
      <c r="H970" s="86"/>
      <c r="I970" s="87"/>
      <c r="J970" s="85"/>
      <c r="K970" s="85"/>
      <c r="M970" s="81"/>
      <c r="O970" s="85"/>
      <c r="P970" s="85"/>
      <c r="Q970" s="81"/>
    </row>
    <row r="971" spans="3:17" x14ac:dyDescent="0.3">
      <c r="C971" s="81"/>
      <c r="F971" s="85"/>
      <c r="G971" s="86"/>
      <c r="H971" s="86"/>
      <c r="I971" s="87"/>
      <c r="J971" s="85"/>
      <c r="K971" s="85"/>
      <c r="M971" s="81"/>
      <c r="O971" s="85"/>
      <c r="P971" s="85"/>
      <c r="Q971" s="81"/>
    </row>
    <row r="972" spans="3:17" x14ac:dyDescent="0.3">
      <c r="C972" s="81"/>
      <c r="F972" s="85"/>
      <c r="G972" s="86"/>
      <c r="H972" s="86"/>
      <c r="I972" s="87"/>
      <c r="J972" s="85"/>
      <c r="K972" s="85"/>
      <c r="M972" s="81"/>
      <c r="O972" s="85"/>
      <c r="P972" s="85"/>
      <c r="Q972" s="81"/>
    </row>
    <row r="973" spans="3:17" x14ac:dyDescent="0.3">
      <c r="C973" s="81"/>
      <c r="F973" s="85"/>
      <c r="G973" s="86"/>
      <c r="H973" s="86"/>
      <c r="I973" s="87"/>
      <c r="J973" s="85"/>
      <c r="K973" s="85"/>
      <c r="M973" s="81"/>
      <c r="O973" s="85"/>
      <c r="P973" s="85"/>
      <c r="Q973" s="81"/>
    </row>
    <row r="974" spans="3:17" x14ac:dyDescent="0.3">
      <c r="C974" s="81"/>
      <c r="F974" s="85"/>
      <c r="G974" s="86"/>
      <c r="H974" s="86"/>
      <c r="I974" s="87"/>
      <c r="J974" s="85"/>
      <c r="K974" s="85"/>
      <c r="M974" s="81"/>
      <c r="O974" s="85"/>
      <c r="P974" s="85"/>
      <c r="Q974" s="81"/>
    </row>
    <row r="975" spans="3:17" x14ac:dyDescent="0.3">
      <c r="C975" s="81"/>
      <c r="F975" s="85"/>
      <c r="G975" s="86"/>
      <c r="H975" s="86"/>
      <c r="I975" s="87"/>
      <c r="J975" s="85"/>
      <c r="K975" s="85"/>
      <c r="M975" s="81"/>
      <c r="O975" s="85"/>
      <c r="P975" s="85"/>
      <c r="Q975" s="81"/>
    </row>
    <row r="976" spans="3:17" x14ac:dyDescent="0.3">
      <c r="C976" s="81"/>
      <c r="F976" s="85"/>
      <c r="G976" s="86"/>
      <c r="H976" s="86"/>
      <c r="I976" s="87"/>
      <c r="J976" s="85"/>
      <c r="K976" s="85"/>
      <c r="M976" s="81"/>
      <c r="O976" s="85"/>
      <c r="P976" s="85"/>
      <c r="Q976" s="81"/>
    </row>
    <row r="977" spans="3:17" x14ac:dyDescent="0.3">
      <c r="C977" s="81"/>
      <c r="F977" s="85"/>
      <c r="G977" s="86"/>
      <c r="H977" s="86"/>
      <c r="I977" s="87"/>
      <c r="J977" s="85"/>
      <c r="K977" s="85"/>
      <c r="M977" s="81"/>
      <c r="O977" s="85"/>
      <c r="P977" s="85"/>
      <c r="Q977" s="81"/>
    </row>
    <row r="978" spans="3:17" x14ac:dyDescent="0.3">
      <c r="C978" s="81"/>
      <c r="F978" s="85"/>
      <c r="G978" s="86"/>
      <c r="H978" s="86"/>
      <c r="I978" s="87"/>
      <c r="J978" s="85"/>
      <c r="K978" s="85"/>
      <c r="M978" s="81"/>
      <c r="O978" s="85"/>
      <c r="P978" s="85"/>
      <c r="Q978" s="81"/>
    </row>
    <row r="979" spans="3:17" x14ac:dyDescent="0.3">
      <c r="C979" s="81"/>
      <c r="F979" s="85"/>
      <c r="G979" s="86"/>
      <c r="H979" s="86"/>
      <c r="I979" s="87"/>
      <c r="J979" s="85"/>
      <c r="K979" s="85"/>
      <c r="M979" s="81"/>
      <c r="O979" s="85"/>
      <c r="P979" s="85"/>
      <c r="Q979" s="81"/>
    </row>
    <row r="980" spans="3:17" x14ac:dyDescent="0.3">
      <c r="C980" s="81"/>
      <c r="F980" s="85"/>
      <c r="G980" s="86"/>
      <c r="H980" s="86"/>
      <c r="I980" s="87"/>
      <c r="J980" s="85"/>
      <c r="K980" s="85"/>
      <c r="M980" s="81"/>
      <c r="O980" s="85"/>
      <c r="P980" s="85"/>
      <c r="Q980" s="81"/>
    </row>
    <row r="981" spans="3:17" x14ac:dyDescent="0.3">
      <c r="C981" s="81"/>
      <c r="F981" s="85"/>
      <c r="G981" s="86"/>
      <c r="H981" s="86"/>
      <c r="I981" s="87"/>
      <c r="J981" s="85"/>
      <c r="K981" s="85"/>
      <c r="M981" s="81"/>
      <c r="O981" s="85"/>
      <c r="P981" s="85"/>
      <c r="Q981" s="81"/>
    </row>
    <row r="982" spans="3:17" x14ac:dyDescent="0.3">
      <c r="C982" s="81"/>
      <c r="F982" s="85"/>
      <c r="G982" s="86"/>
      <c r="H982" s="86"/>
      <c r="I982" s="87"/>
      <c r="J982" s="85"/>
      <c r="K982" s="85"/>
      <c r="M982" s="81"/>
      <c r="O982" s="85"/>
      <c r="P982" s="85"/>
      <c r="Q982" s="81"/>
    </row>
    <row r="983" spans="3:17" x14ac:dyDescent="0.3">
      <c r="C983" s="81"/>
      <c r="F983" s="85"/>
      <c r="G983" s="86"/>
      <c r="H983" s="86"/>
      <c r="I983" s="87"/>
      <c r="J983" s="85"/>
      <c r="K983" s="85"/>
      <c r="M983" s="81"/>
      <c r="O983" s="85"/>
      <c r="P983" s="85"/>
      <c r="Q983" s="81"/>
    </row>
    <row r="984" spans="3:17" x14ac:dyDescent="0.3">
      <c r="C984" s="81"/>
      <c r="F984" s="85"/>
      <c r="G984" s="86"/>
      <c r="H984" s="86"/>
      <c r="I984" s="87"/>
      <c r="J984" s="85"/>
      <c r="K984" s="85"/>
      <c r="M984" s="81"/>
      <c r="O984" s="85"/>
      <c r="P984" s="85"/>
      <c r="Q984" s="81"/>
    </row>
    <row r="985" spans="3:17" x14ac:dyDescent="0.3">
      <c r="C985" s="81"/>
      <c r="F985" s="85"/>
      <c r="G985" s="86"/>
      <c r="H985" s="86"/>
      <c r="I985" s="87"/>
      <c r="J985" s="85"/>
      <c r="K985" s="85"/>
      <c r="M985" s="81"/>
      <c r="O985" s="85"/>
      <c r="P985" s="85"/>
      <c r="Q985" s="81"/>
    </row>
    <row r="986" spans="3:17" x14ac:dyDescent="0.3">
      <c r="C986" s="81"/>
      <c r="F986" s="85"/>
      <c r="G986" s="86"/>
      <c r="H986" s="86"/>
      <c r="I986" s="87"/>
      <c r="J986" s="85"/>
      <c r="K986" s="85"/>
      <c r="M986" s="81"/>
      <c r="O986" s="85"/>
      <c r="P986" s="85"/>
      <c r="Q986" s="81"/>
    </row>
    <row r="987" spans="3:17" x14ac:dyDescent="0.3">
      <c r="C987" s="81"/>
      <c r="F987" s="85"/>
      <c r="G987" s="86"/>
      <c r="H987" s="86"/>
      <c r="I987" s="87"/>
      <c r="J987" s="85"/>
      <c r="K987" s="85"/>
      <c r="M987" s="81"/>
      <c r="O987" s="85"/>
      <c r="P987" s="85"/>
      <c r="Q987" s="81"/>
    </row>
    <row r="988" spans="3:17" x14ac:dyDescent="0.3">
      <c r="C988" s="81"/>
      <c r="F988" s="85"/>
      <c r="G988" s="86"/>
      <c r="H988" s="86"/>
      <c r="I988" s="87"/>
      <c r="J988" s="85"/>
      <c r="K988" s="85"/>
      <c r="M988" s="81"/>
      <c r="O988" s="85"/>
      <c r="P988" s="85"/>
      <c r="Q988" s="81"/>
    </row>
    <row r="989" spans="3:17" x14ac:dyDescent="0.3">
      <c r="C989" s="81"/>
      <c r="F989" s="85"/>
      <c r="G989" s="86"/>
      <c r="H989" s="86"/>
      <c r="I989" s="87"/>
      <c r="J989" s="85"/>
      <c r="K989" s="85"/>
      <c r="M989" s="81"/>
      <c r="O989" s="85"/>
      <c r="P989" s="85"/>
      <c r="Q989" s="81"/>
    </row>
    <row r="990" spans="3:17" x14ac:dyDescent="0.3">
      <c r="C990" s="81"/>
      <c r="F990" s="85"/>
      <c r="G990" s="86"/>
      <c r="H990" s="86"/>
      <c r="I990" s="87"/>
      <c r="J990" s="85"/>
      <c r="K990" s="85"/>
      <c r="M990" s="81"/>
      <c r="O990" s="85"/>
      <c r="P990" s="85"/>
      <c r="Q990" s="81"/>
    </row>
    <row r="991" spans="3:17" x14ac:dyDescent="0.3">
      <c r="C991" s="81"/>
      <c r="F991" s="85"/>
      <c r="G991" s="86"/>
      <c r="H991" s="86"/>
      <c r="I991" s="87"/>
      <c r="J991" s="85"/>
      <c r="K991" s="85"/>
      <c r="M991" s="81"/>
      <c r="O991" s="85"/>
      <c r="P991" s="85"/>
      <c r="Q991" s="81"/>
    </row>
    <row r="992" spans="3:17" x14ac:dyDescent="0.3">
      <c r="C992" s="81"/>
      <c r="F992" s="85"/>
      <c r="G992" s="86"/>
      <c r="H992" s="86"/>
      <c r="I992" s="87"/>
      <c r="J992" s="85"/>
      <c r="K992" s="85"/>
      <c r="M992" s="81"/>
      <c r="O992" s="85"/>
      <c r="P992" s="85"/>
      <c r="Q992" s="81"/>
    </row>
    <row r="993" spans="3:17" x14ac:dyDescent="0.3">
      <c r="C993" s="81"/>
      <c r="F993" s="85"/>
      <c r="G993" s="86"/>
      <c r="H993" s="86"/>
      <c r="I993" s="87"/>
      <c r="J993" s="85"/>
      <c r="K993" s="85"/>
      <c r="M993" s="81"/>
      <c r="O993" s="85"/>
      <c r="P993" s="85"/>
      <c r="Q993" s="81"/>
    </row>
    <row r="994" spans="3:17" x14ac:dyDescent="0.3">
      <c r="C994" s="81"/>
      <c r="F994" s="85"/>
      <c r="G994" s="86"/>
      <c r="H994" s="86"/>
      <c r="I994" s="87"/>
      <c r="J994" s="85"/>
      <c r="K994" s="85"/>
      <c r="M994" s="81"/>
      <c r="O994" s="85"/>
      <c r="P994" s="85"/>
      <c r="Q994" s="81"/>
    </row>
    <row r="995" spans="3:17" x14ac:dyDescent="0.3">
      <c r="C995" s="81"/>
      <c r="F995" s="85"/>
      <c r="G995" s="86"/>
      <c r="H995" s="86"/>
      <c r="I995" s="87"/>
      <c r="J995" s="85"/>
      <c r="K995" s="85"/>
      <c r="M995" s="81"/>
      <c r="O995" s="85"/>
      <c r="P995" s="85"/>
      <c r="Q995" s="81"/>
    </row>
    <row r="996" spans="3:17" x14ac:dyDescent="0.3">
      <c r="C996" s="81"/>
      <c r="F996" s="85"/>
      <c r="G996" s="86"/>
      <c r="H996" s="86"/>
      <c r="I996" s="87"/>
      <c r="J996" s="85"/>
      <c r="K996" s="85"/>
      <c r="M996" s="81"/>
      <c r="O996" s="85"/>
      <c r="P996" s="85"/>
      <c r="Q996" s="81"/>
    </row>
    <row r="997" spans="3:17" x14ac:dyDescent="0.3">
      <c r="C997" s="81"/>
      <c r="F997" s="85"/>
      <c r="G997" s="86"/>
      <c r="H997" s="86"/>
      <c r="I997" s="87"/>
      <c r="J997" s="85"/>
      <c r="K997" s="85"/>
      <c r="M997" s="81"/>
      <c r="O997" s="85"/>
      <c r="P997" s="85"/>
      <c r="Q997" s="81"/>
    </row>
    <row r="998" spans="3:17" x14ac:dyDescent="0.3">
      <c r="C998" s="81"/>
      <c r="F998" s="85"/>
      <c r="G998" s="86"/>
      <c r="H998" s="86"/>
      <c r="I998" s="87"/>
      <c r="J998" s="85"/>
      <c r="K998" s="85"/>
      <c r="M998" s="81"/>
      <c r="O998" s="85"/>
      <c r="P998" s="85"/>
      <c r="Q998" s="81"/>
    </row>
    <row r="999" spans="3:17" x14ac:dyDescent="0.3">
      <c r="C999" s="81"/>
      <c r="F999" s="85"/>
      <c r="G999" s="86"/>
      <c r="H999" s="86"/>
      <c r="I999" s="87"/>
      <c r="J999" s="85"/>
      <c r="K999" s="85"/>
      <c r="M999" s="81"/>
      <c r="O999" s="85"/>
      <c r="P999" s="85"/>
      <c r="Q999" s="81"/>
    </row>
    <row r="1000" spans="3:17" x14ac:dyDescent="0.3">
      <c r="C1000" s="81"/>
      <c r="F1000" s="85"/>
      <c r="G1000" s="86"/>
      <c r="H1000" s="86"/>
      <c r="I1000" s="87"/>
      <c r="J1000" s="85"/>
      <c r="K1000" s="85"/>
      <c r="M1000" s="81"/>
      <c r="O1000" s="85"/>
      <c r="P1000" s="85"/>
      <c r="Q1000" s="81"/>
    </row>
    <row r="1001" spans="3:17" x14ac:dyDescent="0.3">
      <c r="C1001" s="81"/>
      <c r="F1001" s="85"/>
      <c r="G1001" s="86"/>
      <c r="H1001" s="86"/>
      <c r="I1001" s="87"/>
      <c r="J1001" s="85"/>
      <c r="K1001" s="85"/>
      <c r="M1001" s="81"/>
      <c r="O1001" s="85"/>
      <c r="P1001" s="85"/>
      <c r="Q1001" s="81"/>
    </row>
    <row r="1002" spans="3:17" x14ac:dyDescent="0.3">
      <c r="C1002" s="81"/>
      <c r="F1002" s="85"/>
      <c r="G1002" s="86"/>
      <c r="H1002" s="86"/>
      <c r="I1002" s="87"/>
      <c r="J1002" s="85"/>
      <c r="K1002" s="85"/>
      <c r="M1002" s="81"/>
      <c r="O1002" s="85"/>
      <c r="P1002" s="85"/>
      <c r="Q1002" s="81"/>
    </row>
    <row r="1003" spans="3:17" x14ac:dyDescent="0.3">
      <c r="C1003" s="81"/>
      <c r="F1003" s="85"/>
      <c r="G1003" s="86"/>
      <c r="H1003" s="86"/>
      <c r="I1003" s="87"/>
      <c r="J1003" s="85"/>
      <c r="K1003" s="85"/>
      <c r="M1003" s="81"/>
      <c r="O1003" s="85"/>
      <c r="P1003" s="85"/>
      <c r="Q1003" s="81"/>
    </row>
    <row r="1004" spans="3:17" x14ac:dyDescent="0.3">
      <c r="C1004" s="81"/>
      <c r="F1004" s="85"/>
      <c r="G1004" s="86"/>
      <c r="H1004" s="86"/>
      <c r="I1004" s="87"/>
      <c r="J1004" s="85"/>
      <c r="K1004" s="85"/>
      <c r="M1004" s="81"/>
      <c r="O1004" s="85"/>
      <c r="P1004" s="85"/>
      <c r="Q1004" s="81"/>
    </row>
    <row r="1005" spans="3:17" x14ac:dyDescent="0.3">
      <c r="C1005" s="81"/>
      <c r="F1005" s="85"/>
      <c r="G1005" s="86"/>
      <c r="H1005" s="86"/>
      <c r="I1005" s="87"/>
      <c r="J1005" s="85"/>
      <c r="K1005" s="85"/>
      <c r="M1005" s="81"/>
      <c r="O1005" s="85"/>
      <c r="P1005" s="85"/>
      <c r="Q1005" s="81"/>
    </row>
    <row r="1006" spans="3:17" x14ac:dyDescent="0.3">
      <c r="C1006" s="81"/>
      <c r="F1006" s="85"/>
      <c r="G1006" s="86"/>
      <c r="H1006" s="86"/>
      <c r="I1006" s="87"/>
      <c r="J1006" s="85"/>
      <c r="K1006" s="85"/>
      <c r="M1006" s="81"/>
      <c r="O1006" s="85"/>
      <c r="P1006" s="85"/>
      <c r="Q1006" s="81"/>
    </row>
    <row r="1007" spans="3:17" x14ac:dyDescent="0.3">
      <c r="C1007" s="81"/>
      <c r="F1007" s="85"/>
      <c r="G1007" s="86"/>
      <c r="H1007" s="86"/>
      <c r="I1007" s="87"/>
      <c r="J1007" s="85"/>
      <c r="K1007" s="85"/>
      <c r="M1007" s="81"/>
      <c r="O1007" s="85"/>
      <c r="P1007" s="85"/>
      <c r="Q1007" s="81"/>
    </row>
    <row r="1008" spans="3:17" x14ac:dyDescent="0.3">
      <c r="C1008" s="81"/>
      <c r="F1008" s="85"/>
      <c r="G1008" s="86"/>
      <c r="H1008" s="86"/>
      <c r="I1008" s="87"/>
      <c r="J1008" s="85"/>
      <c r="K1008" s="85"/>
      <c r="M1008" s="81"/>
      <c r="O1008" s="85"/>
      <c r="P1008" s="85"/>
      <c r="Q1008" s="81"/>
    </row>
    <row r="1009" spans="3:17" x14ac:dyDescent="0.3">
      <c r="C1009" s="81"/>
      <c r="F1009" s="85"/>
      <c r="G1009" s="86"/>
      <c r="H1009" s="86"/>
      <c r="I1009" s="87"/>
      <c r="J1009" s="85"/>
      <c r="K1009" s="85"/>
      <c r="M1009" s="81"/>
      <c r="O1009" s="85"/>
      <c r="P1009" s="85"/>
      <c r="Q1009" s="81"/>
    </row>
    <row r="1010" spans="3:17" x14ac:dyDescent="0.3">
      <c r="C1010" s="81"/>
      <c r="F1010" s="85"/>
      <c r="G1010" s="86"/>
      <c r="H1010" s="86"/>
      <c r="I1010" s="87"/>
      <c r="J1010" s="85"/>
      <c r="K1010" s="85"/>
      <c r="M1010" s="81"/>
      <c r="O1010" s="85"/>
      <c r="P1010" s="85"/>
      <c r="Q1010" s="81"/>
    </row>
    <row r="1011" spans="3:17" x14ac:dyDescent="0.3">
      <c r="C1011" s="81"/>
      <c r="F1011" s="85"/>
      <c r="G1011" s="86"/>
      <c r="H1011" s="86"/>
      <c r="I1011" s="87"/>
      <c r="J1011" s="85"/>
      <c r="K1011" s="85"/>
      <c r="M1011" s="81"/>
      <c r="O1011" s="85"/>
      <c r="P1011" s="85"/>
      <c r="Q1011" s="81"/>
    </row>
    <row r="1012" spans="3:17" x14ac:dyDescent="0.3">
      <c r="C1012" s="81"/>
      <c r="F1012" s="85"/>
      <c r="G1012" s="86"/>
      <c r="H1012" s="86"/>
      <c r="I1012" s="87"/>
      <c r="J1012" s="85"/>
      <c r="K1012" s="85"/>
      <c r="M1012" s="81"/>
      <c r="O1012" s="85"/>
      <c r="P1012" s="85"/>
      <c r="Q1012" s="81"/>
    </row>
    <row r="1013" spans="3:17" x14ac:dyDescent="0.3">
      <c r="C1013" s="81"/>
      <c r="F1013" s="85"/>
      <c r="G1013" s="86"/>
      <c r="H1013" s="86"/>
      <c r="I1013" s="87"/>
      <c r="J1013" s="85"/>
      <c r="K1013" s="85"/>
      <c r="M1013" s="81"/>
      <c r="O1013" s="85"/>
      <c r="P1013" s="85"/>
      <c r="Q1013" s="81"/>
    </row>
    <row r="1014" spans="3:17" x14ac:dyDescent="0.3">
      <c r="C1014" s="81"/>
      <c r="F1014" s="85"/>
      <c r="G1014" s="86"/>
      <c r="H1014" s="86"/>
      <c r="I1014" s="87"/>
      <c r="J1014" s="85"/>
      <c r="K1014" s="85"/>
      <c r="M1014" s="81"/>
      <c r="O1014" s="85"/>
      <c r="P1014" s="85"/>
      <c r="Q1014" s="81"/>
    </row>
    <row r="1015" spans="3:17" x14ac:dyDescent="0.3">
      <c r="C1015" s="81"/>
      <c r="F1015" s="85"/>
      <c r="G1015" s="86"/>
      <c r="H1015" s="86"/>
      <c r="I1015" s="87"/>
      <c r="J1015" s="85"/>
      <c r="K1015" s="85"/>
      <c r="M1015" s="81"/>
      <c r="O1015" s="85"/>
      <c r="P1015" s="85"/>
      <c r="Q1015" s="81"/>
    </row>
    <row r="1016" spans="3:17" x14ac:dyDescent="0.3">
      <c r="C1016" s="81"/>
      <c r="F1016" s="85"/>
      <c r="G1016" s="86"/>
      <c r="H1016" s="86"/>
      <c r="I1016" s="87"/>
      <c r="J1016" s="85"/>
      <c r="K1016" s="85"/>
      <c r="M1016" s="81"/>
      <c r="O1016" s="85"/>
      <c r="P1016" s="85"/>
      <c r="Q1016" s="81"/>
    </row>
    <row r="1017" spans="3:17" x14ac:dyDescent="0.3">
      <c r="C1017" s="81"/>
      <c r="F1017" s="85"/>
      <c r="G1017" s="86"/>
      <c r="H1017" s="86"/>
      <c r="I1017" s="87"/>
      <c r="J1017" s="85"/>
      <c r="K1017" s="85"/>
      <c r="M1017" s="81"/>
      <c r="O1017" s="85"/>
      <c r="P1017" s="85"/>
      <c r="Q1017" s="81"/>
    </row>
    <row r="1018" spans="3:17" x14ac:dyDescent="0.3">
      <c r="C1018" s="81"/>
      <c r="F1018" s="85"/>
      <c r="G1018" s="86"/>
      <c r="H1018" s="86"/>
      <c r="I1018" s="87"/>
      <c r="J1018" s="85"/>
      <c r="K1018" s="85"/>
      <c r="M1018" s="81"/>
      <c r="O1018" s="85"/>
      <c r="P1018" s="85"/>
      <c r="Q1018" s="81"/>
    </row>
    <row r="1019" spans="3:17" x14ac:dyDescent="0.3">
      <c r="C1019" s="81"/>
      <c r="F1019" s="85"/>
      <c r="G1019" s="86"/>
      <c r="H1019" s="86"/>
      <c r="I1019" s="87"/>
      <c r="J1019" s="85"/>
      <c r="K1019" s="85"/>
      <c r="M1019" s="81"/>
      <c r="O1019" s="85"/>
      <c r="P1019" s="85"/>
      <c r="Q1019" s="81"/>
    </row>
    <row r="1020" spans="3:17" x14ac:dyDescent="0.3">
      <c r="C1020" s="81"/>
      <c r="F1020" s="85"/>
      <c r="G1020" s="86"/>
      <c r="H1020" s="86"/>
      <c r="I1020" s="87"/>
      <c r="J1020" s="85"/>
      <c r="K1020" s="85"/>
      <c r="M1020" s="81"/>
      <c r="O1020" s="85"/>
      <c r="P1020" s="85"/>
      <c r="Q1020" s="81"/>
    </row>
    <row r="1021" spans="3:17" x14ac:dyDescent="0.3">
      <c r="C1021" s="81"/>
      <c r="F1021" s="85"/>
      <c r="G1021" s="86"/>
      <c r="H1021" s="86"/>
      <c r="I1021" s="87"/>
      <c r="J1021" s="85"/>
      <c r="K1021" s="85"/>
      <c r="M1021" s="81"/>
      <c r="O1021" s="85"/>
      <c r="P1021" s="85"/>
      <c r="Q1021" s="81"/>
    </row>
    <row r="1022" spans="3:17" x14ac:dyDescent="0.3">
      <c r="C1022" s="81"/>
      <c r="F1022" s="85"/>
      <c r="G1022" s="86"/>
      <c r="H1022" s="86"/>
      <c r="I1022" s="87"/>
      <c r="J1022" s="85"/>
      <c r="K1022" s="85"/>
      <c r="M1022" s="81"/>
      <c r="O1022" s="85"/>
      <c r="P1022" s="85"/>
      <c r="Q1022" s="81"/>
    </row>
    <row r="1023" spans="3:17" x14ac:dyDescent="0.3">
      <c r="C1023" s="81"/>
      <c r="F1023" s="85"/>
      <c r="G1023" s="86"/>
      <c r="H1023" s="86"/>
      <c r="I1023" s="87"/>
      <c r="J1023" s="85"/>
      <c r="K1023" s="85"/>
      <c r="M1023" s="81"/>
      <c r="O1023" s="85"/>
      <c r="P1023" s="85"/>
      <c r="Q1023" s="81"/>
    </row>
    <row r="1024" spans="3:17" x14ac:dyDescent="0.3">
      <c r="C1024" s="81"/>
      <c r="F1024" s="85"/>
      <c r="G1024" s="86"/>
      <c r="H1024" s="86"/>
      <c r="I1024" s="87"/>
      <c r="J1024" s="85"/>
      <c r="K1024" s="85"/>
      <c r="M1024" s="81"/>
      <c r="O1024" s="85"/>
      <c r="P1024" s="85"/>
      <c r="Q1024" s="81"/>
    </row>
    <row r="1025" spans="3:17" x14ac:dyDescent="0.3">
      <c r="C1025" s="81"/>
      <c r="F1025" s="85"/>
      <c r="G1025" s="86"/>
      <c r="H1025" s="86"/>
      <c r="I1025" s="87"/>
      <c r="J1025" s="85"/>
      <c r="K1025" s="85"/>
      <c r="M1025" s="81"/>
      <c r="O1025" s="85"/>
      <c r="P1025" s="85"/>
      <c r="Q1025" s="81"/>
    </row>
    <row r="1026" spans="3:17" x14ac:dyDescent="0.3">
      <c r="C1026" s="81"/>
      <c r="F1026" s="85"/>
      <c r="G1026" s="86"/>
      <c r="H1026" s="86"/>
      <c r="I1026" s="87"/>
      <c r="J1026" s="85"/>
      <c r="K1026" s="85"/>
      <c r="M1026" s="81"/>
      <c r="O1026" s="85"/>
      <c r="P1026" s="85"/>
      <c r="Q1026" s="81"/>
    </row>
    <row r="1027" spans="3:17" x14ac:dyDescent="0.3">
      <c r="C1027" s="81"/>
      <c r="F1027" s="85"/>
      <c r="G1027" s="86"/>
      <c r="H1027" s="86"/>
      <c r="I1027" s="87"/>
      <c r="J1027" s="85"/>
      <c r="K1027" s="85"/>
      <c r="M1027" s="81"/>
      <c r="O1027" s="85"/>
      <c r="P1027" s="85"/>
      <c r="Q1027" s="81"/>
    </row>
    <row r="1028" spans="3:17" x14ac:dyDescent="0.3">
      <c r="C1028" s="81"/>
      <c r="F1028" s="85"/>
      <c r="G1028" s="86"/>
      <c r="H1028" s="86"/>
      <c r="I1028" s="87"/>
      <c r="J1028" s="85"/>
      <c r="K1028" s="85"/>
      <c r="M1028" s="81"/>
      <c r="O1028" s="85"/>
      <c r="P1028" s="85"/>
      <c r="Q1028" s="81"/>
    </row>
    <row r="1029" spans="3:17" x14ac:dyDescent="0.3">
      <c r="C1029" s="81"/>
      <c r="F1029" s="85"/>
      <c r="G1029" s="86"/>
      <c r="H1029" s="86"/>
      <c r="I1029" s="87"/>
      <c r="J1029" s="85"/>
      <c r="K1029" s="85"/>
      <c r="M1029" s="81"/>
      <c r="O1029" s="85"/>
      <c r="P1029" s="85"/>
      <c r="Q1029" s="81"/>
    </row>
    <row r="1030" spans="3:17" x14ac:dyDescent="0.3">
      <c r="C1030" s="81"/>
      <c r="F1030" s="85"/>
      <c r="G1030" s="86"/>
      <c r="H1030" s="86"/>
      <c r="I1030" s="87"/>
      <c r="J1030" s="85"/>
      <c r="K1030" s="85"/>
      <c r="M1030" s="81"/>
      <c r="O1030" s="85"/>
      <c r="P1030" s="85"/>
      <c r="Q1030" s="81"/>
    </row>
    <row r="1031" spans="3:17" x14ac:dyDescent="0.3">
      <c r="C1031" s="81"/>
      <c r="F1031" s="85"/>
      <c r="G1031" s="86"/>
      <c r="H1031" s="86"/>
      <c r="I1031" s="87"/>
      <c r="J1031" s="85"/>
      <c r="K1031" s="85"/>
      <c r="M1031" s="81"/>
      <c r="O1031" s="85"/>
      <c r="P1031" s="85"/>
      <c r="Q1031" s="81"/>
    </row>
    <row r="1032" spans="3:17" x14ac:dyDescent="0.3">
      <c r="C1032" s="81"/>
      <c r="F1032" s="85"/>
      <c r="G1032" s="86"/>
      <c r="H1032" s="86"/>
      <c r="I1032" s="87"/>
      <c r="J1032" s="85"/>
      <c r="K1032" s="85"/>
      <c r="M1032" s="81"/>
      <c r="O1032" s="85"/>
      <c r="P1032" s="85"/>
      <c r="Q1032" s="81"/>
    </row>
    <row r="1033" spans="3:17" x14ac:dyDescent="0.3">
      <c r="C1033" s="81"/>
      <c r="F1033" s="85"/>
      <c r="G1033" s="86"/>
      <c r="H1033" s="86"/>
      <c r="I1033" s="87"/>
      <c r="J1033" s="85"/>
      <c r="K1033" s="85"/>
      <c r="M1033" s="81"/>
      <c r="O1033" s="85"/>
      <c r="P1033" s="85"/>
      <c r="Q1033" s="81"/>
    </row>
    <row r="1034" spans="3:17" x14ac:dyDescent="0.3">
      <c r="C1034" s="81"/>
      <c r="F1034" s="85"/>
      <c r="G1034" s="86"/>
      <c r="H1034" s="86"/>
      <c r="I1034" s="87"/>
      <c r="J1034" s="85"/>
      <c r="K1034" s="85"/>
      <c r="M1034" s="81"/>
      <c r="O1034" s="85"/>
      <c r="P1034" s="85"/>
      <c r="Q1034" s="81"/>
    </row>
    <row r="1035" spans="3:17" x14ac:dyDescent="0.3">
      <c r="C1035" s="81"/>
      <c r="F1035" s="85"/>
      <c r="G1035" s="86"/>
      <c r="H1035" s="86"/>
      <c r="I1035" s="87"/>
      <c r="J1035" s="85"/>
      <c r="K1035" s="85"/>
      <c r="M1035" s="81"/>
      <c r="O1035" s="85"/>
      <c r="P1035" s="85"/>
      <c r="Q1035" s="81"/>
    </row>
    <row r="1036" spans="3:17" x14ac:dyDescent="0.3">
      <c r="C1036" s="81"/>
      <c r="F1036" s="85"/>
      <c r="G1036" s="86"/>
      <c r="H1036" s="86"/>
      <c r="I1036" s="87"/>
      <c r="J1036" s="85"/>
      <c r="K1036" s="85"/>
      <c r="M1036" s="81"/>
      <c r="O1036" s="85"/>
      <c r="P1036" s="85"/>
      <c r="Q1036" s="81"/>
    </row>
    <row r="1037" spans="3:17" x14ac:dyDescent="0.3">
      <c r="C1037" s="81"/>
      <c r="F1037" s="85"/>
      <c r="G1037" s="86"/>
      <c r="H1037" s="86"/>
      <c r="I1037" s="87"/>
      <c r="J1037" s="85"/>
      <c r="K1037" s="85"/>
      <c r="M1037" s="81"/>
      <c r="O1037" s="85"/>
      <c r="P1037" s="85"/>
      <c r="Q1037" s="81"/>
    </row>
    <row r="1038" spans="3:17" x14ac:dyDescent="0.3">
      <c r="C1038" s="81"/>
      <c r="F1038" s="85"/>
      <c r="G1038" s="86"/>
      <c r="H1038" s="86"/>
      <c r="I1038" s="87"/>
      <c r="J1038" s="85"/>
      <c r="K1038" s="85"/>
      <c r="M1038" s="81"/>
      <c r="O1038" s="85"/>
      <c r="P1038" s="85"/>
      <c r="Q1038" s="81"/>
    </row>
    <row r="1039" spans="3:17" x14ac:dyDescent="0.3">
      <c r="C1039" s="81"/>
      <c r="F1039" s="85"/>
      <c r="G1039" s="86"/>
      <c r="H1039" s="86"/>
      <c r="I1039" s="87"/>
      <c r="J1039" s="85"/>
      <c r="K1039" s="85"/>
      <c r="M1039" s="81"/>
      <c r="O1039" s="85"/>
      <c r="P1039" s="85"/>
      <c r="Q1039" s="81"/>
    </row>
    <row r="1040" spans="3:17" x14ac:dyDescent="0.3">
      <c r="C1040" s="81"/>
      <c r="F1040" s="85"/>
      <c r="G1040" s="86"/>
      <c r="H1040" s="86"/>
      <c r="I1040" s="87"/>
      <c r="J1040" s="85"/>
      <c r="K1040" s="85"/>
      <c r="M1040" s="81"/>
      <c r="O1040" s="85"/>
      <c r="P1040" s="85"/>
      <c r="Q1040" s="81"/>
    </row>
    <row r="1041" spans="3:17" x14ac:dyDescent="0.3">
      <c r="C1041" s="81"/>
      <c r="F1041" s="85"/>
      <c r="G1041" s="86"/>
      <c r="H1041" s="86"/>
      <c r="I1041" s="87"/>
      <c r="J1041" s="85"/>
      <c r="K1041" s="85"/>
      <c r="M1041" s="81"/>
      <c r="O1041" s="85"/>
      <c r="P1041" s="85"/>
      <c r="Q1041" s="81"/>
    </row>
    <row r="1042" spans="3:17" x14ac:dyDescent="0.3">
      <c r="C1042" s="81"/>
      <c r="F1042" s="85"/>
      <c r="G1042" s="86"/>
      <c r="H1042" s="86"/>
      <c r="I1042" s="87"/>
      <c r="J1042" s="85"/>
      <c r="K1042" s="85"/>
      <c r="M1042" s="81"/>
      <c r="O1042" s="85"/>
      <c r="P1042" s="85"/>
      <c r="Q1042" s="81"/>
    </row>
    <row r="1043" spans="3:17" x14ac:dyDescent="0.3">
      <c r="C1043" s="81"/>
      <c r="F1043" s="85"/>
      <c r="G1043" s="86"/>
      <c r="H1043" s="86"/>
      <c r="I1043" s="87"/>
      <c r="J1043" s="85"/>
      <c r="K1043" s="85"/>
      <c r="M1043" s="81"/>
      <c r="O1043" s="85"/>
      <c r="P1043" s="85"/>
      <c r="Q1043" s="81"/>
    </row>
    <row r="1044" spans="3:17" x14ac:dyDescent="0.3">
      <c r="C1044" s="81"/>
      <c r="F1044" s="85"/>
      <c r="G1044" s="86"/>
      <c r="H1044" s="86"/>
      <c r="I1044" s="87"/>
      <c r="J1044" s="85"/>
      <c r="K1044" s="85"/>
      <c r="M1044" s="81"/>
      <c r="O1044" s="85"/>
      <c r="P1044" s="85"/>
      <c r="Q1044" s="81"/>
    </row>
    <row r="1045" spans="3:17" x14ac:dyDescent="0.3">
      <c r="C1045" s="81"/>
      <c r="F1045" s="85"/>
      <c r="G1045" s="86"/>
      <c r="H1045" s="86"/>
      <c r="I1045" s="87"/>
      <c r="J1045" s="85"/>
      <c r="K1045" s="85"/>
      <c r="M1045" s="81"/>
      <c r="O1045" s="85"/>
      <c r="P1045" s="85"/>
      <c r="Q1045" s="81"/>
    </row>
    <row r="1046" spans="3:17" x14ac:dyDescent="0.3">
      <c r="C1046" s="81"/>
      <c r="F1046" s="85"/>
      <c r="G1046" s="86"/>
      <c r="H1046" s="86"/>
      <c r="I1046" s="87"/>
      <c r="J1046" s="85"/>
      <c r="K1046" s="85"/>
      <c r="M1046" s="81"/>
      <c r="O1046" s="85"/>
      <c r="P1046" s="85"/>
      <c r="Q1046" s="81"/>
    </row>
    <row r="1047" spans="3:17" x14ac:dyDescent="0.3">
      <c r="C1047" s="81"/>
      <c r="F1047" s="85"/>
      <c r="G1047" s="86"/>
      <c r="H1047" s="86"/>
      <c r="I1047" s="87"/>
      <c r="J1047" s="85"/>
      <c r="K1047" s="85"/>
      <c r="M1047" s="81"/>
      <c r="O1047" s="85"/>
      <c r="P1047" s="85"/>
      <c r="Q1047" s="81"/>
    </row>
    <row r="1048" spans="3:17" x14ac:dyDescent="0.3">
      <c r="C1048" s="81"/>
      <c r="F1048" s="85"/>
      <c r="G1048" s="86"/>
      <c r="H1048" s="86"/>
      <c r="I1048" s="87"/>
      <c r="J1048" s="85"/>
      <c r="K1048" s="85"/>
      <c r="M1048" s="81"/>
      <c r="O1048" s="85"/>
      <c r="P1048" s="85"/>
      <c r="Q1048" s="81"/>
    </row>
    <row r="1049" spans="3:17" x14ac:dyDescent="0.3">
      <c r="C1049" s="81"/>
      <c r="F1049" s="85"/>
      <c r="G1049" s="86"/>
      <c r="H1049" s="86"/>
      <c r="I1049" s="87"/>
      <c r="J1049" s="85"/>
      <c r="K1049" s="85"/>
      <c r="M1049" s="81"/>
      <c r="O1049" s="85"/>
      <c r="P1049" s="85"/>
      <c r="Q1049" s="81"/>
    </row>
    <row r="1050" spans="3:17" x14ac:dyDescent="0.3">
      <c r="C1050" s="81"/>
      <c r="F1050" s="85"/>
      <c r="G1050" s="86"/>
      <c r="H1050" s="86"/>
      <c r="I1050" s="87"/>
      <c r="J1050" s="85"/>
      <c r="K1050" s="85"/>
      <c r="M1050" s="81"/>
      <c r="O1050" s="85"/>
      <c r="P1050" s="85"/>
      <c r="Q1050" s="81"/>
    </row>
    <row r="1051" spans="3:17" x14ac:dyDescent="0.3">
      <c r="C1051" s="81"/>
      <c r="F1051" s="85"/>
      <c r="G1051" s="86"/>
      <c r="H1051" s="86"/>
      <c r="I1051" s="87"/>
      <c r="J1051" s="85"/>
      <c r="K1051" s="85"/>
      <c r="M1051" s="81"/>
      <c r="O1051" s="85"/>
      <c r="P1051" s="85"/>
      <c r="Q1051" s="81"/>
    </row>
    <row r="1052" spans="3:17" x14ac:dyDescent="0.3">
      <c r="C1052" s="81"/>
      <c r="F1052" s="85"/>
      <c r="G1052" s="86"/>
      <c r="H1052" s="86"/>
      <c r="I1052" s="87"/>
      <c r="J1052" s="85"/>
      <c r="K1052" s="85"/>
      <c r="M1052" s="81"/>
      <c r="O1052" s="85"/>
      <c r="P1052" s="85"/>
      <c r="Q1052" s="81"/>
    </row>
    <row r="1053" spans="3:17" x14ac:dyDescent="0.3">
      <c r="C1053" s="81"/>
      <c r="F1053" s="85"/>
      <c r="G1053" s="86"/>
      <c r="H1053" s="86"/>
      <c r="I1053" s="87"/>
      <c r="J1053" s="85"/>
      <c r="K1053" s="85"/>
      <c r="M1053" s="81"/>
      <c r="O1053" s="85"/>
      <c r="P1053" s="85"/>
      <c r="Q1053" s="81"/>
    </row>
    <row r="1054" spans="3:17" x14ac:dyDescent="0.3">
      <c r="C1054" s="81"/>
      <c r="F1054" s="85"/>
      <c r="G1054" s="86"/>
      <c r="H1054" s="86"/>
      <c r="I1054" s="87"/>
      <c r="J1054" s="85"/>
      <c r="K1054" s="85"/>
      <c r="M1054" s="81"/>
      <c r="O1054" s="85"/>
      <c r="P1054" s="85"/>
      <c r="Q1054" s="81"/>
    </row>
    <row r="1055" spans="3:17" x14ac:dyDescent="0.3">
      <c r="C1055" s="81"/>
      <c r="F1055" s="85"/>
      <c r="G1055" s="86"/>
      <c r="H1055" s="86"/>
      <c r="I1055" s="87"/>
      <c r="J1055" s="85"/>
      <c r="K1055" s="85"/>
      <c r="M1055" s="81"/>
      <c r="O1055" s="85"/>
      <c r="P1055" s="85"/>
      <c r="Q1055" s="81"/>
    </row>
    <row r="1056" spans="3:17" x14ac:dyDescent="0.3">
      <c r="C1056" s="81"/>
      <c r="F1056" s="85"/>
      <c r="G1056" s="86"/>
      <c r="H1056" s="86"/>
      <c r="I1056" s="87"/>
      <c r="J1056" s="85"/>
      <c r="K1056" s="85"/>
      <c r="M1056" s="81"/>
      <c r="O1056" s="85"/>
      <c r="P1056" s="85"/>
      <c r="Q1056" s="81"/>
    </row>
    <row r="1057" spans="3:17" x14ac:dyDescent="0.3">
      <c r="C1057" s="81"/>
      <c r="F1057" s="85"/>
      <c r="G1057" s="86"/>
      <c r="H1057" s="86"/>
      <c r="I1057" s="87"/>
      <c r="J1057" s="85"/>
      <c r="K1057" s="85"/>
      <c r="M1057" s="81"/>
      <c r="O1057" s="85"/>
      <c r="P1057" s="85"/>
      <c r="Q1057" s="81"/>
    </row>
    <row r="1058" spans="3:17" x14ac:dyDescent="0.3">
      <c r="C1058" s="81"/>
      <c r="F1058" s="85"/>
      <c r="G1058" s="86"/>
      <c r="H1058" s="86"/>
      <c r="I1058" s="87"/>
      <c r="J1058" s="85"/>
      <c r="K1058" s="85"/>
      <c r="M1058" s="81"/>
      <c r="O1058" s="85"/>
      <c r="P1058" s="85"/>
      <c r="Q1058" s="81"/>
    </row>
    <row r="1059" spans="3:17" x14ac:dyDescent="0.3">
      <c r="C1059" s="81"/>
      <c r="F1059" s="85"/>
      <c r="G1059" s="86"/>
      <c r="H1059" s="86"/>
      <c r="I1059" s="87"/>
      <c r="J1059" s="85"/>
      <c r="K1059" s="85"/>
      <c r="M1059" s="81"/>
      <c r="O1059" s="85"/>
      <c r="P1059" s="85"/>
      <c r="Q1059" s="81"/>
    </row>
    <row r="1060" spans="3:17" x14ac:dyDescent="0.3">
      <c r="C1060" s="81"/>
      <c r="F1060" s="85"/>
      <c r="G1060" s="86"/>
      <c r="H1060" s="86"/>
      <c r="I1060" s="87"/>
      <c r="J1060" s="85"/>
      <c r="K1060" s="85"/>
      <c r="M1060" s="81"/>
      <c r="O1060" s="85"/>
      <c r="P1060" s="85"/>
      <c r="Q1060" s="81"/>
    </row>
    <row r="1061" spans="3:17" x14ac:dyDescent="0.3">
      <c r="C1061" s="81"/>
      <c r="F1061" s="85"/>
      <c r="G1061" s="86"/>
      <c r="H1061" s="86"/>
      <c r="I1061" s="87"/>
      <c r="J1061" s="85"/>
      <c r="K1061" s="85"/>
      <c r="M1061" s="81"/>
      <c r="O1061" s="85"/>
      <c r="P1061" s="85"/>
      <c r="Q1061" s="81"/>
    </row>
    <row r="1062" spans="3:17" x14ac:dyDescent="0.3">
      <c r="C1062" s="81"/>
      <c r="F1062" s="85"/>
      <c r="G1062" s="86"/>
      <c r="H1062" s="86"/>
      <c r="I1062" s="87"/>
      <c r="J1062" s="85"/>
      <c r="K1062" s="85"/>
      <c r="M1062" s="81"/>
      <c r="O1062" s="85"/>
      <c r="P1062" s="85"/>
      <c r="Q1062" s="81"/>
    </row>
    <row r="1063" spans="3:17" x14ac:dyDescent="0.3">
      <c r="C1063" s="81"/>
      <c r="F1063" s="85"/>
      <c r="G1063" s="86"/>
      <c r="H1063" s="86"/>
      <c r="I1063" s="87"/>
      <c r="J1063" s="85"/>
      <c r="K1063" s="85"/>
      <c r="M1063" s="81"/>
      <c r="O1063" s="85"/>
      <c r="P1063" s="85"/>
      <c r="Q1063" s="81"/>
    </row>
    <row r="1064" spans="3:17" x14ac:dyDescent="0.3">
      <c r="C1064" s="81"/>
      <c r="F1064" s="85"/>
      <c r="G1064" s="86"/>
      <c r="H1064" s="86"/>
      <c r="I1064" s="87"/>
      <c r="J1064" s="85"/>
      <c r="K1064" s="85"/>
      <c r="M1064" s="81"/>
      <c r="O1064" s="85"/>
      <c r="P1064" s="85"/>
      <c r="Q1064" s="81"/>
    </row>
    <row r="1065" spans="3:17" x14ac:dyDescent="0.3">
      <c r="C1065" s="81"/>
      <c r="F1065" s="85"/>
      <c r="G1065" s="86"/>
      <c r="H1065" s="86"/>
      <c r="I1065" s="87"/>
      <c r="J1065" s="85"/>
      <c r="K1065" s="85"/>
      <c r="M1065" s="81"/>
      <c r="O1065" s="85"/>
      <c r="P1065" s="85"/>
      <c r="Q1065" s="81"/>
    </row>
    <row r="1066" spans="3:17" x14ac:dyDescent="0.3">
      <c r="C1066" s="81"/>
      <c r="F1066" s="85"/>
      <c r="G1066" s="86"/>
      <c r="H1066" s="86"/>
      <c r="I1066" s="87"/>
      <c r="J1066" s="85"/>
      <c r="K1066" s="85"/>
      <c r="M1066" s="81"/>
      <c r="O1066" s="85"/>
      <c r="P1066" s="85"/>
      <c r="Q1066" s="81"/>
    </row>
    <row r="1067" spans="3:17" x14ac:dyDescent="0.3">
      <c r="C1067" s="81"/>
      <c r="F1067" s="85"/>
      <c r="G1067" s="86"/>
      <c r="H1067" s="86"/>
      <c r="I1067" s="87"/>
      <c r="J1067" s="85"/>
      <c r="K1067" s="85"/>
      <c r="M1067" s="81"/>
      <c r="O1067" s="85"/>
      <c r="P1067" s="85"/>
      <c r="Q1067" s="81"/>
    </row>
    <row r="1068" spans="3:17" x14ac:dyDescent="0.3">
      <c r="C1068" s="81"/>
      <c r="F1068" s="85"/>
      <c r="G1068" s="86"/>
      <c r="H1068" s="86"/>
      <c r="I1068" s="87"/>
      <c r="J1068" s="85"/>
      <c r="K1068" s="85"/>
      <c r="M1068" s="81"/>
      <c r="O1068" s="85"/>
      <c r="P1068" s="85"/>
      <c r="Q1068" s="81"/>
    </row>
    <row r="1069" spans="3:17" x14ac:dyDescent="0.3">
      <c r="C1069" s="81"/>
      <c r="F1069" s="85"/>
      <c r="G1069" s="86"/>
      <c r="H1069" s="86"/>
      <c r="I1069" s="87"/>
      <c r="J1069" s="85"/>
      <c r="K1069" s="85"/>
      <c r="M1069" s="81"/>
      <c r="O1069" s="85"/>
      <c r="P1069" s="85"/>
      <c r="Q1069" s="81"/>
    </row>
    <row r="1070" spans="3:17" x14ac:dyDescent="0.3">
      <c r="C1070" s="81"/>
      <c r="F1070" s="85"/>
      <c r="G1070" s="86"/>
      <c r="H1070" s="86"/>
      <c r="I1070" s="87"/>
      <c r="J1070" s="85"/>
      <c r="K1070" s="85"/>
      <c r="M1070" s="81"/>
      <c r="O1070" s="85"/>
      <c r="P1070" s="85"/>
      <c r="Q1070" s="81"/>
    </row>
    <row r="1071" spans="3:17" x14ac:dyDescent="0.3">
      <c r="C1071" s="81"/>
      <c r="F1071" s="85"/>
      <c r="G1071" s="86"/>
      <c r="H1071" s="86"/>
      <c r="I1071" s="87"/>
      <c r="J1071" s="85"/>
      <c r="K1071" s="85"/>
      <c r="M1071" s="81"/>
      <c r="O1071" s="85"/>
      <c r="P1071" s="85"/>
      <c r="Q1071" s="81"/>
    </row>
    <row r="1072" spans="3:17" x14ac:dyDescent="0.3">
      <c r="C1072" s="81"/>
      <c r="F1072" s="85"/>
      <c r="G1072" s="86"/>
      <c r="H1072" s="86"/>
      <c r="I1072" s="87"/>
      <c r="J1072" s="85"/>
      <c r="K1072" s="85"/>
      <c r="M1072" s="81"/>
      <c r="O1072" s="85"/>
      <c r="P1072" s="85"/>
      <c r="Q1072" s="81"/>
    </row>
    <row r="1073" spans="3:17" x14ac:dyDescent="0.3">
      <c r="C1073" s="81"/>
      <c r="F1073" s="85"/>
      <c r="G1073" s="86"/>
      <c r="H1073" s="86"/>
      <c r="I1073" s="87"/>
      <c r="J1073" s="85"/>
      <c r="K1073" s="85"/>
      <c r="M1073" s="81"/>
      <c r="O1073" s="85"/>
      <c r="P1073" s="85"/>
      <c r="Q1073" s="81"/>
    </row>
    <row r="1074" spans="3:17" x14ac:dyDescent="0.3">
      <c r="C1074" s="81"/>
      <c r="F1074" s="85"/>
      <c r="G1074" s="86"/>
      <c r="H1074" s="86"/>
      <c r="I1074" s="87"/>
      <c r="J1074" s="85"/>
      <c r="K1074" s="85"/>
      <c r="M1074" s="81"/>
      <c r="O1074" s="85"/>
      <c r="P1074" s="85"/>
      <c r="Q1074" s="81"/>
    </row>
    <row r="1075" spans="3:17" x14ac:dyDescent="0.3">
      <c r="C1075" s="81"/>
      <c r="F1075" s="85"/>
      <c r="G1075" s="86"/>
      <c r="H1075" s="86"/>
      <c r="I1075" s="87"/>
      <c r="J1075" s="85"/>
      <c r="K1075" s="85"/>
      <c r="M1075" s="81"/>
      <c r="O1075" s="85"/>
      <c r="P1075" s="85"/>
      <c r="Q1075" s="81"/>
    </row>
    <row r="1076" spans="3:17" x14ac:dyDescent="0.3">
      <c r="C1076" s="81"/>
      <c r="F1076" s="85"/>
      <c r="G1076" s="86"/>
      <c r="H1076" s="86"/>
      <c r="I1076" s="87"/>
      <c r="J1076" s="85"/>
      <c r="K1076" s="85"/>
      <c r="M1076" s="81"/>
      <c r="O1076" s="85"/>
      <c r="P1076" s="85"/>
      <c r="Q1076" s="81"/>
    </row>
    <row r="1077" spans="3:17" x14ac:dyDescent="0.3">
      <c r="C1077" s="81"/>
      <c r="F1077" s="85"/>
      <c r="G1077" s="86"/>
      <c r="H1077" s="86"/>
      <c r="I1077" s="87"/>
      <c r="J1077" s="85"/>
      <c r="K1077" s="85"/>
      <c r="M1077" s="81"/>
      <c r="O1077" s="85"/>
      <c r="P1077" s="85"/>
      <c r="Q1077" s="81"/>
    </row>
    <row r="1078" spans="3:17" x14ac:dyDescent="0.3">
      <c r="C1078" s="81"/>
      <c r="F1078" s="85"/>
      <c r="G1078" s="86"/>
      <c r="H1078" s="86"/>
      <c r="I1078" s="87"/>
      <c r="J1078" s="85"/>
      <c r="K1078" s="85"/>
      <c r="M1078" s="81"/>
      <c r="O1078" s="85"/>
      <c r="P1078" s="85"/>
      <c r="Q1078" s="81"/>
    </row>
    <row r="1079" spans="3:17" x14ac:dyDescent="0.3">
      <c r="C1079" s="81"/>
      <c r="F1079" s="85"/>
      <c r="G1079" s="86"/>
      <c r="H1079" s="86"/>
      <c r="I1079" s="87"/>
      <c r="J1079" s="85"/>
      <c r="K1079" s="85"/>
      <c r="M1079" s="81"/>
      <c r="O1079" s="85"/>
      <c r="P1079" s="85"/>
      <c r="Q1079" s="81"/>
    </row>
    <row r="1080" spans="3:17" x14ac:dyDescent="0.3">
      <c r="C1080" s="81"/>
      <c r="F1080" s="85"/>
      <c r="G1080" s="86"/>
      <c r="H1080" s="86"/>
      <c r="I1080" s="87"/>
      <c r="J1080" s="85"/>
      <c r="K1080" s="85"/>
      <c r="M1080" s="81"/>
      <c r="O1080" s="85"/>
      <c r="P1080" s="85"/>
      <c r="Q1080" s="81"/>
    </row>
    <row r="1081" spans="3:17" x14ac:dyDescent="0.3">
      <c r="C1081" s="81"/>
      <c r="F1081" s="85"/>
      <c r="G1081" s="86"/>
      <c r="H1081" s="86"/>
      <c r="I1081" s="87"/>
      <c r="J1081" s="85"/>
      <c r="K1081" s="85"/>
      <c r="M1081" s="81"/>
      <c r="O1081" s="85"/>
      <c r="P1081" s="85"/>
      <c r="Q1081" s="81"/>
    </row>
    <row r="1082" spans="3:17" x14ac:dyDescent="0.3">
      <c r="C1082" s="81"/>
      <c r="F1082" s="85"/>
      <c r="G1082" s="86"/>
      <c r="H1082" s="86"/>
      <c r="I1082" s="87"/>
      <c r="J1082" s="85"/>
      <c r="K1082" s="85"/>
      <c r="M1082" s="81"/>
      <c r="O1082" s="85"/>
      <c r="P1082" s="85"/>
      <c r="Q1082" s="81"/>
    </row>
    <row r="1083" spans="3:17" x14ac:dyDescent="0.3">
      <c r="C1083" s="81"/>
      <c r="F1083" s="85"/>
      <c r="G1083" s="86"/>
      <c r="H1083" s="86"/>
      <c r="I1083" s="87"/>
      <c r="J1083" s="85"/>
      <c r="K1083" s="85"/>
      <c r="M1083" s="81"/>
      <c r="O1083" s="85"/>
      <c r="P1083" s="85"/>
      <c r="Q1083" s="81"/>
    </row>
    <row r="1084" spans="3:17" x14ac:dyDescent="0.3">
      <c r="C1084" s="81"/>
      <c r="F1084" s="85"/>
      <c r="G1084" s="86"/>
      <c r="H1084" s="86"/>
      <c r="I1084" s="87"/>
      <c r="J1084" s="85"/>
      <c r="K1084" s="85"/>
      <c r="M1084" s="81"/>
      <c r="O1084" s="85"/>
      <c r="P1084" s="85"/>
      <c r="Q1084" s="81"/>
    </row>
    <row r="1085" spans="3:17" x14ac:dyDescent="0.3">
      <c r="C1085" s="81"/>
      <c r="F1085" s="85"/>
      <c r="G1085" s="86"/>
      <c r="H1085" s="86"/>
      <c r="I1085" s="87"/>
      <c r="J1085" s="85"/>
      <c r="K1085" s="85"/>
      <c r="M1085" s="81"/>
      <c r="O1085" s="85"/>
      <c r="P1085" s="85"/>
      <c r="Q1085" s="81"/>
    </row>
    <row r="1086" spans="3:17" x14ac:dyDescent="0.3">
      <c r="C1086" s="81"/>
      <c r="F1086" s="85"/>
      <c r="G1086" s="86"/>
      <c r="H1086" s="86"/>
      <c r="I1086" s="87"/>
      <c r="J1086" s="85"/>
      <c r="K1086" s="85"/>
      <c r="M1086" s="81"/>
      <c r="O1086" s="85"/>
      <c r="P1086" s="85"/>
      <c r="Q1086" s="81"/>
    </row>
    <row r="1087" spans="3:17" x14ac:dyDescent="0.3">
      <c r="C1087" s="81"/>
      <c r="F1087" s="85"/>
      <c r="G1087" s="86"/>
      <c r="H1087" s="86"/>
      <c r="I1087" s="87"/>
      <c r="J1087" s="85"/>
      <c r="K1087" s="85"/>
      <c r="M1087" s="81"/>
      <c r="O1087" s="85"/>
      <c r="P1087" s="85"/>
      <c r="Q1087" s="81"/>
    </row>
    <row r="1088" spans="3:17" x14ac:dyDescent="0.3">
      <c r="C1088" s="81"/>
      <c r="F1088" s="85"/>
      <c r="G1088" s="86"/>
      <c r="H1088" s="86"/>
      <c r="I1088" s="87"/>
      <c r="J1088" s="85"/>
      <c r="K1088" s="85"/>
      <c r="M1088" s="81"/>
      <c r="O1088" s="85"/>
      <c r="P1088" s="85"/>
      <c r="Q1088" s="81"/>
    </row>
    <row r="1089" spans="3:17" x14ac:dyDescent="0.3">
      <c r="C1089" s="81"/>
      <c r="F1089" s="85"/>
      <c r="G1089" s="86"/>
      <c r="H1089" s="86"/>
      <c r="I1089" s="87"/>
      <c r="J1089" s="85"/>
      <c r="K1089" s="85"/>
      <c r="M1089" s="81"/>
      <c r="O1089" s="85"/>
      <c r="P1089" s="85"/>
      <c r="Q1089" s="81"/>
    </row>
    <row r="1090" spans="3:17" x14ac:dyDescent="0.3">
      <c r="C1090" s="81"/>
      <c r="F1090" s="85"/>
      <c r="G1090" s="86"/>
      <c r="H1090" s="86"/>
      <c r="I1090" s="87"/>
      <c r="J1090" s="85"/>
      <c r="K1090" s="85"/>
      <c r="M1090" s="81"/>
      <c r="O1090" s="85"/>
      <c r="P1090" s="85"/>
      <c r="Q1090" s="81"/>
    </row>
    <row r="1091" spans="3:17" x14ac:dyDescent="0.3">
      <c r="C1091" s="81"/>
      <c r="F1091" s="85"/>
      <c r="G1091" s="86"/>
      <c r="H1091" s="86"/>
      <c r="I1091" s="87"/>
      <c r="J1091" s="85"/>
      <c r="K1091" s="85"/>
      <c r="M1091" s="81"/>
      <c r="O1091" s="85"/>
      <c r="P1091" s="85"/>
      <c r="Q1091" s="81"/>
    </row>
    <row r="1092" spans="3:17" x14ac:dyDescent="0.3">
      <c r="C1092" s="81"/>
      <c r="F1092" s="85"/>
      <c r="G1092" s="86"/>
      <c r="H1092" s="86"/>
      <c r="I1092" s="87"/>
      <c r="J1092" s="85"/>
      <c r="K1092" s="85"/>
      <c r="M1092" s="81"/>
      <c r="O1092" s="85"/>
      <c r="P1092" s="85"/>
      <c r="Q1092" s="81"/>
    </row>
    <row r="1093" spans="3:17" x14ac:dyDescent="0.3">
      <c r="C1093" s="81"/>
      <c r="F1093" s="85"/>
      <c r="G1093" s="86"/>
      <c r="H1093" s="86"/>
      <c r="I1093" s="87"/>
      <c r="J1093" s="85"/>
      <c r="K1093" s="85"/>
      <c r="M1093" s="81"/>
      <c r="O1093" s="85"/>
      <c r="P1093" s="85"/>
      <c r="Q1093" s="81"/>
    </row>
    <row r="1094" spans="3:17" x14ac:dyDescent="0.3">
      <c r="C1094" s="81"/>
      <c r="F1094" s="85"/>
      <c r="G1094" s="86"/>
      <c r="H1094" s="86"/>
      <c r="I1094" s="87"/>
      <c r="J1094" s="85"/>
      <c r="K1094" s="85"/>
      <c r="M1094" s="81"/>
      <c r="O1094" s="85"/>
      <c r="P1094" s="85"/>
      <c r="Q1094" s="81"/>
    </row>
    <row r="1095" spans="3:17" x14ac:dyDescent="0.3">
      <c r="C1095" s="81"/>
      <c r="F1095" s="85"/>
      <c r="G1095" s="86"/>
      <c r="H1095" s="86"/>
      <c r="I1095" s="87"/>
      <c r="J1095" s="85"/>
      <c r="K1095" s="85"/>
      <c r="M1095" s="81"/>
      <c r="O1095" s="85"/>
      <c r="P1095" s="85"/>
      <c r="Q1095" s="81"/>
    </row>
    <row r="1096" spans="3:17" x14ac:dyDescent="0.3">
      <c r="C1096" s="81"/>
      <c r="F1096" s="85"/>
      <c r="G1096" s="86"/>
      <c r="H1096" s="86"/>
      <c r="I1096" s="87"/>
      <c r="J1096" s="85"/>
      <c r="K1096" s="85"/>
      <c r="M1096" s="81"/>
      <c r="O1096" s="85"/>
      <c r="P1096" s="85"/>
      <c r="Q1096" s="81"/>
    </row>
    <row r="1097" spans="3:17" x14ac:dyDescent="0.3">
      <c r="C1097" s="81"/>
      <c r="F1097" s="85"/>
      <c r="G1097" s="86"/>
      <c r="H1097" s="86"/>
      <c r="I1097" s="87"/>
      <c r="J1097" s="85"/>
      <c r="K1097" s="85"/>
      <c r="M1097" s="81"/>
      <c r="O1097" s="85"/>
      <c r="P1097" s="85"/>
      <c r="Q1097" s="81"/>
    </row>
    <row r="1098" spans="3:17" x14ac:dyDescent="0.3">
      <c r="C1098" s="81"/>
      <c r="F1098" s="85"/>
      <c r="G1098" s="86"/>
      <c r="H1098" s="86"/>
      <c r="I1098" s="87"/>
      <c r="J1098" s="85"/>
      <c r="K1098" s="85"/>
      <c r="M1098" s="81"/>
      <c r="O1098" s="85"/>
      <c r="P1098" s="85"/>
      <c r="Q1098" s="81"/>
    </row>
    <row r="1099" spans="3:17" x14ac:dyDescent="0.3">
      <c r="C1099" s="81"/>
      <c r="F1099" s="85"/>
      <c r="G1099" s="86"/>
      <c r="H1099" s="86"/>
      <c r="I1099" s="87"/>
      <c r="J1099" s="85"/>
      <c r="K1099" s="85"/>
      <c r="M1099" s="81"/>
      <c r="O1099" s="85"/>
      <c r="P1099" s="85"/>
      <c r="Q1099" s="81"/>
    </row>
    <row r="1100" spans="3:17" x14ac:dyDescent="0.3">
      <c r="C1100" s="81"/>
      <c r="F1100" s="85"/>
      <c r="G1100" s="86"/>
      <c r="H1100" s="86"/>
      <c r="I1100" s="87"/>
      <c r="J1100" s="85"/>
      <c r="K1100" s="85"/>
      <c r="M1100" s="81"/>
      <c r="O1100" s="85"/>
      <c r="P1100" s="85"/>
      <c r="Q1100" s="81"/>
    </row>
    <row r="1101" spans="3:17" x14ac:dyDescent="0.3">
      <c r="C1101" s="81"/>
      <c r="F1101" s="85"/>
      <c r="G1101" s="86"/>
      <c r="H1101" s="86"/>
      <c r="I1101" s="87"/>
      <c r="J1101" s="85"/>
      <c r="K1101" s="85"/>
      <c r="M1101" s="81"/>
      <c r="O1101" s="85"/>
      <c r="P1101" s="85"/>
      <c r="Q1101" s="81"/>
    </row>
    <row r="1102" spans="3:17" x14ac:dyDescent="0.3">
      <c r="C1102" s="81"/>
      <c r="F1102" s="85"/>
      <c r="G1102" s="86"/>
      <c r="H1102" s="86"/>
      <c r="I1102" s="87"/>
      <c r="J1102" s="85"/>
      <c r="K1102" s="85"/>
      <c r="M1102" s="81"/>
      <c r="O1102" s="85"/>
      <c r="P1102" s="85"/>
      <c r="Q1102" s="81"/>
    </row>
    <row r="1103" spans="3:17" x14ac:dyDescent="0.3">
      <c r="C1103" s="81"/>
      <c r="F1103" s="85"/>
      <c r="G1103" s="86"/>
      <c r="H1103" s="86"/>
      <c r="I1103" s="87"/>
      <c r="J1103" s="85"/>
      <c r="K1103" s="85"/>
      <c r="M1103" s="81"/>
      <c r="O1103" s="85"/>
      <c r="P1103" s="85"/>
      <c r="Q1103" s="81"/>
    </row>
    <row r="1104" spans="3:17" x14ac:dyDescent="0.3">
      <c r="C1104" s="81"/>
      <c r="F1104" s="85"/>
      <c r="G1104" s="86"/>
      <c r="H1104" s="86"/>
      <c r="I1104" s="87"/>
      <c r="J1104" s="85"/>
      <c r="K1104" s="85"/>
      <c r="M1104" s="81"/>
      <c r="O1104" s="85"/>
      <c r="P1104" s="85"/>
      <c r="Q1104" s="81"/>
    </row>
    <row r="1105" spans="3:17" x14ac:dyDescent="0.3">
      <c r="C1105" s="81"/>
      <c r="F1105" s="85"/>
      <c r="G1105" s="86"/>
      <c r="H1105" s="86"/>
      <c r="I1105" s="87"/>
      <c r="J1105" s="85"/>
      <c r="K1105" s="85"/>
      <c r="M1105" s="81"/>
      <c r="O1105" s="85"/>
      <c r="P1105" s="85"/>
      <c r="Q1105" s="81"/>
    </row>
    <row r="1106" spans="3:17" x14ac:dyDescent="0.3">
      <c r="C1106" s="81"/>
      <c r="F1106" s="85"/>
      <c r="G1106" s="86"/>
      <c r="H1106" s="86"/>
      <c r="I1106" s="87"/>
      <c r="J1106" s="85"/>
      <c r="K1106" s="85"/>
      <c r="M1106" s="81"/>
      <c r="O1106" s="85"/>
      <c r="P1106" s="85"/>
      <c r="Q1106" s="81"/>
    </row>
    <row r="1107" spans="3:17" x14ac:dyDescent="0.3">
      <c r="C1107" s="81"/>
      <c r="F1107" s="85"/>
      <c r="G1107" s="86"/>
      <c r="H1107" s="86"/>
      <c r="I1107" s="87"/>
      <c r="J1107" s="85"/>
      <c r="K1107" s="85"/>
      <c r="M1107" s="81"/>
      <c r="O1107" s="85"/>
      <c r="P1107" s="85"/>
      <c r="Q1107" s="81"/>
    </row>
    <row r="1108" spans="3:17" x14ac:dyDescent="0.3">
      <c r="C1108" s="81"/>
      <c r="F1108" s="85"/>
      <c r="G1108" s="86"/>
      <c r="H1108" s="86"/>
      <c r="I1108" s="87"/>
      <c r="J1108" s="85"/>
      <c r="K1108" s="85"/>
      <c r="M1108" s="81"/>
      <c r="O1108" s="85"/>
      <c r="P1108" s="85"/>
      <c r="Q1108" s="81"/>
    </row>
    <row r="1109" spans="3:17" x14ac:dyDescent="0.3">
      <c r="C1109" s="81"/>
      <c r="F1109" s="85"/>
      <c r="G1109" s="86"/>
      <c r="H1109" s="86"/>
      <c r="I1109" s="87"/>
      <c r="J1109" s="85"/>
      <c r="K1109" s="85"/>
      <c r="M1109" s="81"/>
      <c r="O1109" s="85"/>
      <c r="P1109" s="85"/>
      <c r="Q1109" s="81"/>
    </row>
    <row r="1110" spans="3:17" x14ac:dyDescent="0.3">
      <c r="C1110" s="81"/>
      <c r="F1110" s="85"/>
      <c r="G1110" s="86"/>
      <c r="H1110" s="86"/>
      <c r="I1110" s="87"/>
      <c r="J1110" s="85"/>
      <c r="K1110" s="85"/>
      <c r="M1110" s="81"/>
      <c r="O1110" s="85"/>
      <c r="P1110" s="85"/>
      <c r="Q1110" s="81"/>
    </row>
    <row r="1111" spans="3:17" x14ac:dyDescent="0.3">
      <c r="C1111" s="81"/>
      <c r="F1111" s="85"/>
      <c r="G1111" s="86"/>
      <c r="H1111" s="86"/>
      <c r="I1111" s="87"/>
      <c r="J1111" s="85"/>
      <c r="K1111" s="85"/>
      <c r="M1111" s="81"/>
      <c r="O1111" s="85"/>
      <c r="P1111" s="85"/>
      <c r="Q1111" s="81"/>
    </row>
    <row r="1112" spans="3:17" x14ac:dyDescent="0.3">
      <c r="C1112" s="81"/>
      <c r="F1112" s="85"/>
      <c r="G1112" s="86"/>
      <c r="H1112" s="86"/>
      <c r="I1112" s="87"/>
      <c r="J1112" s="85"/>
      <c r="K1112" s="85"/>
      <c r="M1112" s="81"/>
      <c r="O1112" s="85"/>
      <c r="P1112" s="85"/>
      <c r="Q1112" s="81"/>
    </row>
    <row r="1113" spans="3:17" x14ac:dyDescent="0.3">
      <c r="C1113" s="81"/>
      <c r="F1113" s="85"/>
      <c r="G1113" s="86"/>
      <c r="H1113" s="86"/>
      <c r="I1113" s="87"/>
      <c r="J1113" s="85"/>
      <c r="K1113" s="85"/>
      <c r="M1113" s="81"/>
      <c r="O1113" s="85"/>
      <c r="P1113" s="85"/>
      <c r="Q1113" s="81"/>
    </row>
    <row r="1114" spans="3:17" x14ac:dyDescent="0.3">
      <c r="C1114" s="81"/>
      <c r="F1114" s="85"/>
      <c r="G1114" s="86"/>
      <c r="H1114" s="86"/>
      <c r="I1114" s="87"/>
      <c r="J1114" s="85"/>
      <c r="K1114" s="85"/>
      <c r="M1114" s="81"/>
      <c r="O1114" s="85"/>
      <c r="P1114" s="85"/>
      <c r="Q1114" s="81"/>
    </row>
    <row r="1115" spans="3:17" x14ac:dyDescent="0.3">
      <c r="C1115" s="81"/>
      <c r="F1115" s="85"/>
      <c r="G1115" s="86"/>
      <c r="H1115" s="86"/>
      <c r="I1115" s="87"/>
      <c r="J1115" s="85"/>
      <c r="K1115" s="85"/>
      <c r="M1115" s="81"/>
      <c r="O1115" s="85"/>
      <c r="P1115" s="85"/>
      <c r="Q1115" s="81"/>
    </row>
    <row r="1116" spans="3:17" x14ac:dyDescent="0.3">
      <c r="C1116" s="81"/>
      <c r="F1116" s="85"/>
      <c r="G1116" s="86"/>
      <c r="H1116" s="86"/>
      <c r="I1116" s="87"/>
      <c r="J1116" s="85"/>
      <c r="K1116" s="85"/>
      <c r="M1116" s="81"/>
      <c r="O1116" s="85"/>
      <c r="P1116" s="85"/>
      <c r="Q1116" s="81"/>
    </row>
    <row r="1117" spans="3:17" x14ac:dyDescent="0.3">
      <c r="C1117" s="81"/>
      <c r="F1117" s="85"/>
      <c r="G1117" s="86"/>
      <c r="H1117" s="86"/>
      <c r="I1117" s="87"/>
      <c r="J1117" s="85"/>
      <c r="K1117" s="85"/>
      <c r="M1117" s="81"/>
      <c r="O1117" s="85"/>
      <c r="P1117" s="85"/>
      <c r="Q1117" s="81"/>
    </row>
    <row r="1118" spans="3:17" x14ac:dyDescent="0.3">
      <c r="C1118" s="81"/>
      <c r="F1118" s="85"/>
      <c r="G1118" s="86"/>
      <c r="H1118" s="86"/>
      <c r="I1118" s="87"/>
      <c r="J1118" s="85"/>
      <c r="K1118" s="85"/>
      <c r="M1118" s="81"/>
      <c r="O1118" s="85"/>
      <c r="P1118" s="85"/>
      <c r="Q1118" s="81"/>
    </row>
    <row r="1119" spans="3:17" x14ac:dyDescent="0.3">
      <c r="C1119" s="81"/>
      <c r="F1119" s="85"/>
      <c r="G1119" s="86"/>
      <c r="H1119" s="86"/>
      <c r="I1119" s="87"/>
      <c r="J1119" s="85"/>
      <c r="K1119" s="85"/>
      <c r="M1119" s="81"/>
      <c r="O1119" s="85"/>
      <c r="P1119" s="85"/>
      <c r="Q1119" s="81"/>
    </row>
    <row r="1120" spans="3:17" x14ac:dyDescent="0.3">
      <c r="C1120" s="81"/>
      <c r="F1120" s="85"/>
      <c r="G1120" s="86"/>
      <c r="H1120" s="86"/>
      <c r="I1120" s="87"/>
      <c r="J1120" s="85"/>
      <c r="K1120" s="85"/>
      <c r="M1120" s="81"/>
      <c r="O1120" s="85"/>
      <c r="P1120" s="85"/>
      <c r="Q1120" s="81"/>
    </row>
    <row r="1121" spans="3:17" x14ac:dyDescent="0.3">
      <c r="C1121" s="81"/>
      <c r="F1121" s="85"/>
      <c r="G1121" s="86"/>
      <c r="H1121" s="86"/>
      <c r="I1121" s="87"/>
      <c r="J1121" s="85"/>
      <c r="K1121" s="85"/>
      <c r="M1121" s="81"/>
      <c r="O1121" s="85"/>
      <c r="P1121" s="85"/>
      <c r="Q1121" s="81"/>
    </row>
    <row r="1122" spans="3:17" x14ac:dyDescent="0.3">
      <c r="C1122" s="81"/>
      <c r="F1122" s="85"/>
      <c r="G1122" s="86"/>
      <c r="H1122" s="86"/>
      <c r="I1122" s="87"/>
      <c r="J1122" s="85"/>
      <c r="K1122" s="85"/>
      <c r="M1122" s="81"/>
      <c r="O1122" s="85"/>
      <c r="P1122" s="85"/>
      <c r="Q1122" s="81"/>
    </row>
    <row r="1123" spans="3:17" x14ac:dyDescent="0.3">
      <c r="C1123" s="81"/>
      <c r="F1123" s="85"/>
      <c r="G1123" s="86"/>
      <c r="H1123" s="86"/>
      <c r="I1123" s="87"/>
      <c r="J1123" s="85"/>
      <c r="K1123" s="85"/>
      <c r="M1123" s="81"/>
      <c r="O1123" s="85"/>
      <c r="P1123" s="85"/>
      <c r="Q1123" s="81"/>
    </row>
    <row r="1124" spans="3:17" x14ac:dyDescent="0.3">
      <c r="C1124" s="81"/>
      <c r="F1124" s="85"/>
      <c r="G1124" s="86"/>
      <c r="H1124" s="86"/>
      <c r="I1124" s="87"/>
      <c r="J1124" s="85"/>
      <c r="K1124" s="85"/>
      <c r="M1124" s="81"/>
      <c r="O1124" s="85"/>
      <c r="P1124" s="85"/>
      <c r="Q1124" s="81"/>
    </row>
    <row r="1125" spans="3:17" x14ac:dyDescent="0.3">
      <c r="C1125" s="81"/>
      <c r="F1125" s="85"/>
      <c r="G1125" s="86"/>
      <c r="H1125" s="86"/>
      <c r="I1125" s="87"/>
      <c r="J1125" s="85"/>
      <c r="K1125" s="85"/>
      <c r="M1125" s="81"/>
      <c r="O1125" s="85"/>
      <c r="P1125" s="85"/>
      <c r="Q1125" s="81"/>
    </row>
    <row r="1126" spans="3:17" x14ac:dyDescent="0.3">
      <c r="C1126" s="81"/>
      <c r="F1126" s="85"/>
      <c r="G1126" s="86"/>
      <c r="H1126" s="86"/>
      <c r="I1126" s="87"/>
      <c r="J1126" s="85"/>
      <c r="K1126" s="85"/>
      <c r="M1126" s="81"/>
      <c r="O1126" s="85"/>
      <c r="P1126" s="85"/>
      <c r="Q1126" s="81"/>
    </row>
    <row r="1127" spans="3:17" x14ac:dyDescent="0.3">
      <c r="C1127" s="81"/>
      <c r="F1127" s="85"/>
      <c r="G1127" s="86"/>
      <c r="H1127" s="86"/>
      <c r="I1127" s="87"/>
      <c r="J1127" s="85"/>
      <c r="K1127" s="85"/>
      <c r="M1127" s="81"/>
      <c r="O1127" s="85"/>
      <c r="P1127" s="85"/>
      <c r="Q1127" s="81"/>
    </row>
    <row r="1128" spans="3:17" x14ac:dyDescent="0.3">
      <c r="C1128" s="81"/>
      <c r="F1128" s="85"/>
      <c r="G1128" s="86"/>
      <c r="H1128" s="86"/>
      <c r="I1128" s="87"/>
      <c r="J1128" s="85"/>
      <c r="K1128" s="85"/>
      <c r="M1128" s="81"/>
      <c r="O1128" s="85"/>
      <c r="P1128" s="85"/>
      <c r="Q1128" s="81"/>
    </row>
    <row r="1129" spans="3:17" x14ac:dyDescent="0.3">
      <c r="C1129" s="81"/>
      <c r="F1129" s="85"/>
      <c r="G1129" s="86"/>
      <c r="H1129" s="86"/>
      <c r="I1129" s="87"/>
      <c r="J1129" s="85"/>
      <c r="K1129" s="85"/>
      <c r="M1129" s="81"/>
      <c r="O1129" s="85"/>
      <c r="P1129" s="85"/>
      <c r="Q1129" s="81"/>
    </row>
    <row r="1130" spans="3:17" x14ac:dyDescent="0.3">
      <c r="C1130" s="81"/>
      <c r="F1130" s="85"/>
      <c r="G1130" s="86"/>
      <c r="H1130" s="86"/>
      <c r="I1130" s="87"/>
      <c r="J1130" s="85"/>
      <c r="K1130" s="85"/>
      <c r="M1130" s="81"/>
      <c r="O1130" s="85"/>
      <c r="P1130" s="85"/>
      <c r="Q1130" s="81"/>
    </row>
    <row r="1131" spans="3:17" x14ac:dyDescent="0.3">
      <c r="C1131" s="81"/>
      <c r="F1131" s="85"/>
      <c r="G1131" s="86"/>
      <c r="H1131" s="86"/>
      <c r="I1131" s="87"/>
      <c r="J1131" s="85"/>
      <c r="K1131" s="85"/>
      <c r="M1131" s="81"/>
      <c r="O1131" s="85"/>
      <c r="P1131" s="85"/>
      <c r="Q1131" s="81"/>
    </row>
    <row r="1132" spans="3:17" x14ac:dyDescent="0.3">
      <c r="C1132" s="81"/>
      <c r="F1132" s="85"/>
      <c r="G1132" s="86"/>
      <c r="H1132" s="86"/>
      <c r="I1132" s="87"/>
      <c r="J1132" s="85"/>
      <c r="K1132" s="85"/>
      <c r="M1132" s="81"/>
      <c r="O1132" s="85"/>
      <c r="P1132" s="85"/>
      <c r="Q1132" s="81"/>
    </row>
    <row r="1133" spans="3:17" x14ac:dyDescent="0.3">
      <c r="C1133" s="81"/>
      <c r="F1133" s="85"/>
      <c r="G1133" s="86"/>
      <c r="H1133" s="86"/>
      <c r="I1133" s="87"/>
      <c r="J1133" s="85"/>
      <c r="K1133" s="85"/>
      <c r="M1133" s="81"/>
      <c r="O1133" s="85"/>
      <c r="P1133" s="85"/>
      <c r="Q1133" s="81"/>
    </row>
    <row r="1134" spans="3:17" x14ac:dyDescent="0.3">
      <c r="C1134" s="81"/>
      <c r="F1134" s="85"/>
      <c r="G1134" s="86"/>
      <c r="H1134" s="86"/>
      <c r="I1134" s="87"/>
      <c r="J1134" s="85"/>
      <c r="K1134" s="85"/>
      <c r="M1134" s="81"/>
      <c r="O1134" s="85"/>
      <c r="P1134" s="85"/>
      <c r="Q1134" s="81"/>
    </row>
    <row r="1135" spans="3:17" x14ac:dyDescent="0.3">
      <c r="C1135" s="81"/>
      <c r="F1135" s="85"/>
      <c r="G1135" s="86"/>
      <c r="H1135" s="86"/>
      <c r="I1135" s="87"/>
      <c r="J1135" s="85"/>
      <c r="K1135" s="85"/>
      <c r="M1135" s="81"/>
      <c r="O1135" s="85"/>
      <c r="P1135" s="85"/>
      <c r="Q1135" s="81"/>
    </row>
    <row r="1136" spans="3:17" x14ac:dyDescent="0.3">
      <c r="C1136" s="81"/>
      <c r="F1136" s="85"/>
      <c r="G1136" s="86"/>
      <c r="H1136" s="86"/>
      <c r="I1136" s="87"/>
      <c r="J1136" s="85"/>
      <c r="K1136" s="85"/>
      <c r="M1136" s="81"/>
      <c r="O1136" s="85"/>
      <c r="P1136" s="85"/>
      <c r="Q1136" s="81"/>
    </row>
    <row r="1137" spans="3:17" x14ac:dyDescent="0.3">
      <c r="C1137" s="81"/>
      <c r="F1137" s="85"/>
      <c r="G1137" s="86"/>
      <c r="H1137" s="86"/>
      <c r="I1137" s="87"/>
      <c r="J1137" s="85"/>
      <c r="K1137" s="85"/>
      <c r="M1137" s="81"/>
      <c r="O1137" s="85"/>
      <c r="P1137" s="85"/>
      <c r="Q1137" s="81"/>
    </row>
    <row r="1138" spans="3:17" x14ac:dyDescent="0.3">
      <c r="C1138" s="81"/>
      <c r="F1138" s="85"/>
      <c r="G1138" s="86"/>
      <c r="H1138" s="86"/>
      <c r="I1138" s="87"/>
      <c r="J1138" s="85"/>
      <c r="K1138" s="85"/>
      <c r="M1138" s="81"/>
      <c r="O1138" s="85"/>
      <c r="P1138" s="85"/>
      <c r="Q1138" s="81"/>
    </row>
    <row r="1139" spans="3:17" x14ac:dyDescent="0.3">
      <c r="C1139" s="81"/>
      <c r="F1139" s="85"/>
      <c r="G1139" s="86"/>
      <c r="H1139" s="86"/>
      <c r="I1139" s="87"/>
      <c r="J1139" s="85"/>
      <c r="K1139" s="85"/>
      <c r="M1139" s="81"/>
      <c r="O1139" s="85"/>
      <c r="P1139" s="85"/>
      <c r="Q1139" s="81"/>
    </row>
    <row r="1140" spans="3:17" x14ac:dyDescent="0.3">
      <c r="C1140" s="81"/>
      <c r="F1140" s="85"/>
      <c r="G1140" s="86"/>
      <c r="H1140" s="86"/>
      <c r="I1140" s="87"/>
      <c r="J1140" s="85"/>
      <c r="K1140" s="85"/>
      <c r="M1140" s="81"/>
      <c r="O1140" s="85"/>
      <c r="P1140" s="85"/>
      <c r="Q1140" s="81"/>
    </row>
    <row r="1141" spans="3:17" x14ac:dyDescent="0.3">
      <c r="C1141" s="81"/>
      <c r="F1141" s="85"/>
      <c r="G1141" s="86"/>
      <c r="H1141" s="86"/>
      <c r="I1141" s="87"/>
      <c r="J1141" s="85"/>
      <c r="K1141" s="85"/>
      <c r="M1141" s="81"/>
      <c r="O1141" s="85"/>
      <c r="P1141" s="85"/>
      <c r="Q1141" s="81"/>
    </row>
    <row r="1142" spans="3:17" x14ac:dyDescent="0.3">
      <c r="C1142" s="81"/>
      <c r="F1142" s="85"/>
      <c r="G1142" s="86"/>
      <c r="H1142" s="86"/>
      <c r="I1142" s="87"/>
      <c r="J1142" s="85"/>
      <c r="K1142" s="85"/>
      <c r="M1142" s="81"/>
      <c r="O1142" s="85"/>
      <c r="P1142" s="85"/>
      <c r="Q1142" s="81"/>
    </row>
    <row r="1143" spans="3:17" x14ac:dyDescent="0.3">
      <c r="C1143" s="81"/>
      <c r="F1143" s="85"/>
      <c r="G1143" s="86"/>
      <c r="H1143" s="86"/>
      <c r="I1143" s="87"/>
      <c r="J1143" s="85"/>
      <c r="K1143" s="85"/>
      <c r="M1143" s="81"/>
      <c r="O1143" s="85"/>
      <c r="P1143" s="85"/>
      <c r="Q1143" s="81"/>
    </row>
    <row r="1144" spans="3:17" x14ac:dyDescent="0.3">
      <c r="C1144" s="81"/>
      <c r="F1144" s="85"/>
      <c r="G1144" s="86"/>
      <c r="H1144" s="86"/>
      <c r="I1144" s="87"/>
      <c r="J1144" s="85"/>
      <c r="K1144" s="85"/>
      <c r="M1144" s="81"/>
      <c r="O1144" s="85"/>
      <c r="P1144" s="85"/>
      <c r="Q1144" s="81"/>
    </row>
    <row r="1145" spans="3:17" x14ac:dyDescent="0.3">
      <c r="C1145" s="81"/>
      <c r="F1145" s="85"/>
      <c r="G1145" s="86"/>
      <c r="H1145" s="86"/>
      <c r="I1145" s="87"/>
      <c r="J1145" s="85"/>
      <c r="K1145" s="85"/>
      <c r="M1145" s="81"/>
      <c r="O1145" s="85"/>
      <c r="P1145" s="85"/>
      <c r="Q1145" s="81"/>
    </row>
    <row r="1146" spans="3:17" x14ac:dyDescent="0.3">
      <c r="C1146" s="81"/>
      <c r="F1146" s="85"/>
      <c r="G1146" s="86"/>
      <c r="H1146" s="86"/>
      <c r="I1146" s="87"/>
      <c r="J1146" s="85"/>
      <c r="K1146" s="85"/>
      <c r="M1146" s="81"/>
      <c r="O1146" s="85"/>
      <c r="P1146" s="85"/>
      <c r="Q1146" s="81"/>
    </row>
    <row r="1147" spans="3:17" x14ac:dyDescent="0.3">
      <c r="C1147" s="81"/>
      <c r="F1147" s="85"/>
      <c r="G1147" s="86"/>
      <c r="H1147" s="86"/>
      <c r="I1147" s="87"/>
      <c r="J1147" s="85"/>
      <c r="K1147" s="85"/>
      <c r="M1147" s="81"/>
      <c r="O1147" s="85"/>
      <c r="P1147" s="85"/>
      <c r="Q1147" s="81"/>
    </row>
    <row r="1148" spans="3:17" x14ac:dyDescent="0.3">
      <c r="C1148" s="81"/>
      <c r="F1148" s="85"/>
      <c r="G1148" s="86"/>
      <c r="H1148" s="86"/>
      <c r="I1148" s="87"/>
      <c r="J1148" s="85"/>
      <c r="K1148" s="85"/>
      <c r="M1148" s="81"/>
      <c r="O1148" s="85"/>
      <c r="P1148" s="85"/>
      <c r="Q1148" s="81"/>
    </row>
    <row r="1149" spans="3:17" x14ac:dyDescent="0.3">
      <c r="C1149" s="81"/>
      <c r="F1149" s="85"/>
      <c r="G1149" s="86"/>
      <c r="H1149" s="86"/>
      <c r="I1149" s="87"/>
      <c r="J1149" s="85"/>
      <c r="K1149" s="85"/>
      <c r="M1149" s="81"/>
      <c r="O1149" s="85"/>
      <c r="P1149" s="85"/>
      <c r="Q1149" s="81"/>
    </row>
    <row r="1150" spans="3:17" x14ac:dyDescent="0.3">
      <c r="C1150" s="81"/>
      <c r="F1150" s="85"/>
      <c r="G1150" s="86"/>
      <c r="H1150" s="86"/>
      <c r="I1150" s="87"/>
      <c r="J1150" s="85"/>
      <c r="K1150" s="85"/>
      <c r="M1150" s="81"/>
      <c r="O1150" s="85"/>
      <c r="P1150" s="85"/>
      <c r="Q1150" s="81"/>
    </row>
    <row r="1151" spans="3:17" x14ac:dyDescent="0.3">
      <c r="C1151" s="81"/>
      <c r="F1151" s="85"/>
      <c r="G1151" s="86"/>
      <c r="H1151" s="86"/>
      <c r="I1151" s="87"/>
      <c r="J1151" s="85"/>
      <c r="K1151" s="85"/>
      <c r="M1151" s="81"/>
      <c r="O1151" s="85"/>
      <c r="P1151" s="85"/>
      <c r="Q1151" s="81"/>
    </row>
    <row r="1152" spans="3:17" x14ac:dyDescent="0.3">
      <c r="C1152" s="81"/>
      <c r="F1152" s="85"/>
      <c r="G1152" s="86"/>
      <c r="H1152" s="86"/>
      <c r="I1152" s="87"/>
      <c r="J1152" s="85"/>
      <c r="K1152" s="85"/>
      <c r="M1152" s="81"/>
      <c r="O1152" s="85"/>
      <c r="P1152" s="85"/>
      <c r="Q1152" s="81"/>
    </row>
    <row r="1153" spans="3:17" x14ac:dyDescent="0.3">
      <c r="C1153" s="81"/>
      <c r="F1153" s="85"/>
      <c r="G1153" s="86"/>
      <c r="H1153" s="86"/>
      <c r="I1153" s="87"/>
      <c r="J1153" s="85"/>
      <c r="K1153" s="85"/>
      <c r="M1153" s="81"/>
      <c r="O1153" s="85"/>
      <c r="P1153" s="85"/>
      <c r="Q1153" s="81"/>
    </row>
    <row r="1154" spans="3:17" x14ac:dyDescent="0.3">
      <c r="C1154" s="81"/>
      <c r="F1154" s="85"/>
      <c r="G1154" s="86"/>
      <c r="H1154" s="86"/>
      <c r="I1154" s="87"/>
      <c r="J1154" s="85"/>
      <c r="K1154" s="85"/>
      <c r="M1154" s="81"/>
      <c r="O1154" s="85"/>
      <c r="P1154" s="85"/>
      <c r="Q1154" s="81"/>
    </row>
    <row r="1155" spans="3:17" x14ac:dyDescent="0.3">
      <c r="C1155" s="81"/>
      <c r="F1155" s="85"/>
      <c r="G1155" s="86"/>
      <c r="H1155" s="86"/>
      <c r="I1155" s="87"/>
      <c r="J1155" s="85"/>
      <c r="K1155" s="85"/>
      <c r="M1155" s="81"/>
      <c r="O1155" s="85"/>
      <c r="P1155" s="85"/>
      <c r="Q1155" s="81"/>
    </row>
    <row r="1156" spans="3:17" x14ac:dyDescent="0.3">
      <c r="C1156" s="81"/>
      <c r="F1156" s="85"/>
      <c r="G1156" s="86"/>
      <c r="H1156" s="86"/>
      <c r="I1156" s="87"/>
      <c r="J1156" s="85"/>
      <c r="K1156" s="85"/>
      <c r="M1156" s="81"/>
      <c r="O1156" s="85"/>
      <c r="P1156" s="85"/>
      <c r="Q1156" s="81"/>
    </row>
    <row r="1157" spans="3:17" x14ac:dyDescent="0.3">
      <c r="C1157" s="81"/>
      <c r="F1157" s="85"/>
      <c r="G1157" s="86"/>
      <c r="H1157" s="86"/>
      <c r="I1157" s="87"/>
      <c r="J1157" s="85"/>
      <c r="K1157" s="85"/>
      <c r="M1157" s="81"/>
      <c r="O1157" s="85"/>
      <c r="P1157" s="85"/>
      <c r="Q1157" s="81"/>
    </row>
    <row r="1158" spans="3:17" x14ac:dyDescent="0.3">
      <c r="C1158" s="81"/>
      <c r="F1158" s="85"/>
      <c r="G1158" s="86"/>
      <c r="H1158" s="86"/>
      <c r="I1158" s="87"/>
      <c r="J1158" s="85"/>
      <c r="K1158" s="85"/>
      <c r="M1158" s="81"/>
      <c r="O1158" s="85"/>
      <c r="P1158" s="85"/>
      <c r="Q1158" s="81"/>
    </row>
    <row r="1159" spans="3:17" x14ac:dyDescent="0.3">
      <c r="C1159" s="81"/>
      <c r="F1159" s="85"/>
      <c r="G1159" s="86"/>
      <c r="H1159" s="86"/>
      <c r="I1159" s="87"/>
      <c r="J1159" s="85"/>
      <c r="K1159" s="85"/>
      <c r="M1159" s="81"/>
      <c r="O1159" s="85"/>
      <c r="P1159" s="85"/>
      <c r="Q1159" s="81"/>
    </row>
    <row r="1160" spans="3:17" x14ac:dyDescent="0.3">
      <c r="C1160" s="81"/>
      <c r="F1160" s="85"/>
      <c r="G1160" s="86"/>
      <c r="H1160" s="86"/>
      <c r="I1160" s="87"/>
      <c r="J1160" s="85"/>
      <c r="K1160" s="85"/>
      <c r="M1160" s="81"/>
      <c r="O1160" s="85"/>
      <c r="P1160" s="85"/>
      <c r="Q1160" s="81"/>
    </row>
    <row r="1161" spans="3:17" x14ac:dyDescent="0.3">
      <c r="C1161" s="81"/>
      <c r="F1161" s="85"/>
      <c r="G1161" s="86"/>
      <c r="H1161" s="86"/>
      <c r="I1161" s="87"/>
      <c r="J1161" s="85"/>
      <c r="K1161" s="85"/>
      <c r="M1161" s="81"/>
      <c r="O1161" s="85"/>
      <c r="P1161" s="85"/>
      <c r="Q1161" s="81"/>
    </row>
    <row r="1162" spans="3:17" x14ac:dyDescent="0.3">
      <c r="C1162" s="81"/>
      <c r="F1162" s="85"/>
      <c r="G1162" s="86"/>
      <c r="H1162" s="86"/>
      <c r="I1162" s="87"/>
      <c r="J1162" s="85"/>
      <c r="K1162" s="85"/>
      <c r="M1162" s="81"/>
      <c r="O1162" s="85"/>
      <c r="P1162" s="85"/>
      <c r="Q1162" s="81"/>
    </row>
    <row r="1163" spans="3:17" x14ac:dyDescent="0.3">
      <c r="C1163" s="81"/>
      <c r="F1163" s="85"/>
      <c r="G1163" s="86"/>
      <c r="H1163" s="86"/>
      <c r="I1163" s="87"/>
      <c r="J1163" s="85"/>
      <c r="K1163" s="85"/>
      <c r="M1163" s="81"/>
      <c r="O1163" s="85"/>
      <c r="P1163" s="85"/>
      <c r="Q1163" s="81"/>
    </row>
    <row r="1164" spans="3:17" x14ac:dyDescent="0.3">
      <c r="C1164" s="81"/>
      <c r="F1164" s="85"/>
      <c r="G1164" s="86"/>
      <c r="H1164" s="86"/>
      <c r="I1164" s="87"/>
      <c r="J1164" s="85"/>
      <c r="K1164" s="85"/>
      <c r="M1164" s="81"/>
      <c r="O1164" s="85"/>
      <c r="P1164" s="85"/>
      <c r="Q1164" s="81"/>
    </row>
    <row r="1165" spans="3:17" x14ac:dyDescent="0.3">
      <c r="C1165" s="81"/>
      <c r="F1165" s="85"/>
      <c r="G1165" s="86"/>
      <c r="H1165" s="86"/>
      <c r="I1165" s="87"/>
      <c r="J1165" s="85"/>
      <c r="K1165" s="85"/>
      <c r="M1165" s="81"/>
      <c r="O1165" s="85"/>
      <c r="P1165" s="85"/>
      <c r="Q1165" s="81"/>
    </row>
    <row r="1166" spans="3:17" x14ac:dyDescent="0.3">
      <c r="C1166" s="81"/>
      <c r="F1166" s="85"/>
      <c r="G1166" s="86"/>
      <c r="H1166" s="86"/>
      <c r="I1166" s="87"/>
      <c r="J1166" s="85"/>
      <c r="K1166" s="85"/>
      <c r="M1166" s="81"/>
      <c r="O1166" s="85"/>
      <c r="P1166" s="85"/>
      <c r="Q1166" s="81"/>
    </row>
    <row r="1167" spans="3:17" x14ac:dyDescent="0.3">
      <c r="C1167" s="81"/>
      <c r="F1167" s="85"/>
      <c r="G1167" s="86"/>
      <c r="H1167" s="86"/>
      <c r="I1167" s="87"/>
      <c r="J1167" s="85"/>
      <c r="K1167" s="85"/>
      <c r="M1167" s="81"/>
      <c r="O1167" s="85"/>
      <c r="P1167" s="85"/>
      <c r="Q1167" s="81"/>
    </row>
    <row r="1168" spans="3:17" x14ac:dyDescent="0.3">
      <c r="C1168" s="81"/>
      <c r="F1168" s="85"/>
      <c r="G1168" s="86"/>
      <c r="H1168" s="86"/>
      <c r="I1168" s="87"/>
      <c r="J1168" s="85"/>
      <c r="K1168" s="85"/>
      <c r="M1168" s="81"/>
      <c r="O1168" s="85"/>
      <c r="P1168" s="85"/>
      <c r="Q1168" s="81"/>
    </row>
    <row r="1169" spans="3:17" x14ac:dyDescent="0.3">
      <c r="C1169" s="81"/>
      <c r="F1169" s="85"/>
      <c r="G1169" s="86"/>
      <c r="H1169" s="86"/>
      <c r="I1169" s="87"/>
      <c r="J1169" s="85"/>
      <c r="K1169" s="85"/>
      <c r="M1169" s="81"/>
      <c r="O1169" s="85"/>
      <c r="P1169" s="85"/>
      <c r="Q1169" s="81"/>
    </row>
    <row r="1170" spans="3:17" x14ac:dyDescent="0.3">
      <c r="C1170" s="81"/>
      <c r="F1170" s="85"/>
      <c r="G1170" s="86"/>
      <c r="H1170" s="86"/>
      <c r="I1170" s="87"/>
      <c r="J1170" s="85"/>
      <c r="K1170" s="85"/>
      <c r="M1170" s="81"/>
      <c r="O1170" s="85"/>
      <c r="P1170" s="85"/>
      <c r="Q1170" s="81"/>
    </row>
    <row r="1171" spans="3:17" x14ac:dyDescent="0.3">
      <c r="C1171" s="81"/>
      <c r="F1171" s="85"/>
      <c r="G1171" s="86"/>
      <c r="H1171" s="86"/>
      <c r="I1171" s="87"/>
      <c r="J1171" s="85"/>
      <c r="K1171" s="85"/>
      <c r="M1171" s="81"/>
      <c r="O1171" s="85"/>
      <c r="P1171" s="85"/>
      <c r="Q1171" s="81"/>
    </row>
    <row r="1172" spans="3:17" x14ac:dyDescent="0.3">
      <c r="C1172" s="81"/>
      <c r="F1172" s="85"/>
      <c r="G1172" s="86"/>
      <c r="H1172" s="86"/>
      <c r="I1172" s="87"/>
      <c r="J1172" s="85"/>
      <c r="K1172" s="85"/>
      <c r="M1172" s="81"/>
      <c r="O1172" s="85"/>
      <c r="P1172" s="85"/>
      <c r="Q1172" s="81"/>
    </row>
    <row r="1173" spans="3:17" x14ac:dyDescent="0.3">
      <c r="C1173" s="81"/>
      <c r="F1173" s="85"/>
      <c r="G1173" s="86"/>
      <c r="H1173" s="86"/>
      <c r="I1173" s="87"/>
      <c r="J1173" s="85"/>
      <c r="K1173" s="85"/>
      <c r="M1173" s="81"/>
      <c r="O1173" s="85"/>
      <c r="P1173" s="85"/>
      <c r="Q1173" s="81"/>
    </row>
    <row r="1174" spans="3:17" x14ac:dyDescent="0.3">
      <c r="C1174" s="81"/>
      <c r="F1174" s="85"/>
      <c r="G1174" s="86"/>
      <c r="H1174" s="86"/>
      <c r="I1174" s="87"/>
      <c r="J1174" s="85"/>
      <c r="K1174" s="85"/>
      <c r="M1174" s="81"/>
      <c r="O1174" s="85"/>
      <c r="P1174" s="85"/>
      <c r="Q1174" s="81"/>
    </row>
    <row r="1175" spans="3:17" x14ac:dyDescent="0.3">
      <c r="C1175" s="81"/>
      <c r="F1175" s="85"/>
      <c r="G1175" s="86"/>
      <c r="H1175" s="86"/>
      <c r="I1175" s="87"/>
      <c r="J1175" s="85"/>
      <c r="K1175" s="85"/>
      <c r="M1175" s="81"/>
      <c r="O1175" s="85"/>
      <c r="P1175" s="85"/>
      <c r="Q1175" s="81"/>
    </row>
    <row r="1176" spans="3:17" x14ac:dyDescent="0.3">
      <c r="C1176" s="81"/>
      <c r="F1176" s="85"/>
      <c r="G1176" s="86"/>
      <c r="H1176" s="86"/>
      <c r="I1176" s="87"/>
      <c r="J1176" s="85"/>
      <c r="K1176" s="85"/>
      <c r="M1176" s="81"/>
      <c r="O1176" s="85"/>
      <c r="P1176" s="85"/>
      <c r="Q1176" s="81"/>
    </row>
    <row r="1177" spans="3:17" x14ac:dyDescent="0.3">
      <c r="C1177" s="81"/>
      <c r="F1177" s="85"/>
      <c r="G1177" s="86"/>
      <c r="H1177" s="86"/>
      <c r="I1177" s="87"/>
      <c r="J1177" s="85"/>
      <c r="K1177" s="85"/>
      <c r="M1177" s="81"/>
      <c r="O1177" s="85"/>
      <c r="P1177" s="85"/>
      <c r="Q1177" s="81"/>
    </row>
    <row r="1178" spans="3:17" x14ac:dyDescent="0.3">
      <c r="C1178" s="81"/>
      <c r="F1178" s="85"/>
      <c r="G1178" s="86"/>
      <c r="H1178" s="86"/>
      <c r="I1178" s="87"/>
      <c r="J1178" s="85"/>
      <c r="K1178" s="85"/>
      <c r="M1178" s="81"/>
      <c r="O1178" s="85"/>
      <c r="P1178" s="85"/>
      <c r="Q1178" s="81"/>
    </row>
    <row r="1179" spans="3:17" x14ac:dyDescent="0.3">
      <c r="C1179" s="81"/>
      <c r="F1179" s="85"/>
      <c r="G1179" s="86"/>
      <c r="H1179" s="86"/>
      <c r="I1179" s="87"/>
      <c r="J1179" s="85"/>
      <c r="K1179" s="85"/>
      <c r="M1179" s="81"/>
      <c r="O1179" s="85"/>
      <c r="P1179" s="85"/>
      <c r="Q1179" s="81"/>
    </row>
    <row r="1180" spans="3:17" x14ac:dyDescent="0.3">
      <c r="C1180" s="81"/>
      <c r="F1180" s="85"/>
      <c r="G1180" s="86"/>
      <c r="H1180" s="86"/>
      <c r="I1180" s="87"/>
      <c r="J1180" s="85"/>
      <c r="K1180" s="85"/>
      <c r="M1180" s="81"/>
      <c r="O1180" s="85"/>
      <c r="P1180" s="85"/>
      <c r="Q1180" s="81"/>
    </row>
    <row r="1181" spans="3:17" x14ac:dyDescent="0.3">
      <c r="C1181" s="81"/>
      <c r="F1181" s="85"/>
      <c r="G1181" s="86"/>
      <c r="H1181" s="86"/>
      <c r="I1181" s="87"/>
      <c r="J1181" s="85"/>
      <c r="K1181" s="85"/>
      <c r="M1181" s="81"/>
      <c r="O1181" s="85"/>
      <c r="P1181" s="85"/>
      <c r="Q1181" s="81"/>
    </row>
    <row r="1182" spans="3:17" x14ac:dyDescent="0.3">
      <c r="C1182" s="81"/>
      <c r="F1182" s="85"/>
      <c r="G1182" s="86"/>
      <c r="H1182" s="86"/>
      <c r="I1182" s="87"/>
      <c r="J1182" s="85"/>
      <c r="K1182" s="85"/>
      <c r="M1182" s="81"/>
      <c r="O1182" s="85"/>
      <c r="P1182" s="85"/>
      <c r="Q1182" s="81"/>
    </row>
    <row r="1183" spans="3:17" x14ac:dyDescent="0.3">
      <c r="C1183" s="81"/>
      <c r="F1183" s="85"/>
      <c r="G1183" s="86"/>
      <c r="H1183" s="86"/>
      <c r="I1183" s="87"/>
      <c r="J1183" s="85"/>
      <c r="K1183" s="85"/>
      <c r="M1183" s="81"/>
      <c r="O1183" s="85"/>
      <c r="P1183" s="85"/>
      <c r="Q1183" s="81"/>
    </row>
    <row r="1184" spans="3:17" x14ac:dyDescent="0.3">
      <c r="C1184" s="81"/>
      <c r="F1184" s="85"/>
      <c r="G1184" s="86"/>
      <c r="H1184" s="86"/>
      <c r="I1184" s="87"/>
      <c r="J1184" s="85"/>
      <c r="K1184" s="85"/>
      <c r="M1184" s="81"/>
      <c r="O1184" s="85"/>
      <c r="P1184" s="85"/>
      <c r="Q1184" s="81"/>
    </row>
    <row r="1185" spans="3:17" x14ac:dyDescent="0.3">
      <c r="C1185" s="81"/>
      <c r="F1185" s="85"/>
      <c r="G1185" s="86"/>
      <c r="H1185" s="86"/>
      <c r="I1185" s="87"/>
      <c r="J1185" s="85"/>
      <c r="K1185" s="85"/>
      <c r="M1185" s="81"/>
      <c r="O1185" s="85"/>
      <c r="P1185" s="85"/>
      <c r="Q1185" s="81"/>
    </row>
    <row r="1186" spans="3:17" x14ac:dyDescent="0.3">
      <c r="C1186" s="81"/>
      <c r="F1186" s="85"/>
      <c r="G1186" s="86"/>
      <c r="H1186" s="86"/>
      <c r="I1186" s="87"/>
      <c r="J1186" s="85"/>
      <c r="K1186" s="85"/>
      <c r="M1186" s="81"/>
      <c r="O1186" s="85"/>
      <c r="P1186" s="85"/>
      <c r="Q1186" s="81"/>
    </row>
    <row r="1187" spans="3:17" x14ac:dyDescent="0.3">
      <c r="C1187" s="81"/>
      <c r="F1187" s="85"/>
      <c r="G1187" s="86"/>
      <c r="H1187" s="86"/>
      <c r="I1187" s="87"/>
      <c r="J1187" s="85"/>
      <c r="K1187" s="85"/>
      <c r="M1187" s="81"/>
      <c r="O1187" s="85"/>
      <c r="P1187" s="85"/>
      <c r="Q1187" s="81"/>
    </row>
    <row r="1188" spans="3:17" x14ac:dyDescent="0.3">
      <c r="C1188" s="81"/>
      <c r="F1188" s="85"/>
      <c r="G1188" s="86"/>
      <c r="H1188" s="86"/>
      <c r="I1188" s="87"/>
      <c r="J1188" s="85"/>
      <c r="K1188" s="85"/>
      <c r="M1188" s="81"/>
      <c r="O1188" s="85"/>
      <c r="P1188" s="85"/>
      <c r="Q1188" s="81"/>
    </row>
    <row r="1189" spans="3:17" x14ac:dyDescent="0.3">
      <c r="C1189" s="81"/>
      <c r="F1189" s="85"/>
      <c r="G1189" s="86"/>
      <c r="H1189" s="86"/>
      <c r="I1189" s="87"/>
      <c r="J1189" s="85"/>
      <c r="K1189" s="85"/>
      <c r="M1189" s="81"/>
      <c r="O1189" s="85"/>
      <c r="P1189" s="85"/>
      <c r="Q1189" s="81"/>
    </row>
    <row r="1190" spans="3:17" x14ac:dyDescent="0.3">
      <c r="C1190" s="81"/>
      <c r="F1190" s="85"/>
      <c r="G1190" s="86"/>
      <c r="H1190" s="86"/>
      <c r="I1190" s="87"/>
      <c r="J1190" s="85"/>
      <c r="K1190" s="85"/>
      <c r="M1190" s="81"/>
      <c r="O1190" s="85"/>
      <c r="P1190" s="85"/>
      <c r="Q1190" s="81"/>
    </row>
    <row r="1191" spans="3:17" x14ac:dyDescent="0.3">
      <c r="C1191" s="81"/>
      <c r="F1191" s="85"/>
      <c r="G1191" s="86"/>
      <c r="H1191" s="86"/>
      <c r="I1191" s="87"/>
      <c r="J1191" s="85"/>
      <c r="K1191" s="85"/>
      <c r="M1191" s="81"/>
      <c r="O1191" s="85"/>
      <c r="P1191" s="85"/>
      <c r="Q1191" s="81"/>
    </row>
    <row r="1192" spans="3:17" x14ac:dyDescent="0.3">
      <c r="C1192" s="81"/>
      <c r="F1192" s="85"/>
      <c r="G1192" s="86"/>
      <c r="H1192" s="86"/>
      <c r="I1192" s="87"/>
      <c r="J1192" s="85"/>
      <c r="K1192" s="85"/>
      <c r="M1192" s="81"/>
      <c r="O1192" s="85"/>
      <c r="P1192" s="85"/>
      <c r="Q1192" s="81"/>
    </row>
    <row r="1193" spans="3:17" x14ac:dyDescent="0.3">
      <c r="C1193" s="81"/>
      <c r="F1193" s="85"/>
      <c r="G1193" s="86"/>
      <c r="H1193" s="86"/>
      <c r="I1193" s="87"/>
      <c r="J1193" s="85"/>
      <c r="K1193" s="85"/>
      <c r="M1193" s="81"/>
      <c r="O1193" s="85"/>
      <c r="P1193" s="85"/>
      <c r="Q1193" s="81"/>
    </row>
    <row r="1194" spans="3:17" x14ac:dyDescent="0.3">
      <c r="C1194" s="81"/>
      <c r="F1194" s="85"/>
      <c r="G1194" s="86"/>
      <c r="H1194" s="86"/>
      <c r="I1194" s="87"/>
      <c r="J1194" s="85"/>
      <c r="K1194" s="85"/>
      <c r="M1194" s="81"/>
      <c r="O1194" s="85"/>
      <c r="P1194" s="85"/>
      <c r="Q1194" s="81"/>
    </row>
    <row r="1195" spans="3:17" x14ac:dyDescent="0.3">
      <c r="C1195" s="81"/>
      <c r="F1195" s="85"/>
      <c r="G1195" s="86"/>
      <c r="H1195" s="86"/>
      <c r="I1195" s="87"/>
      <c r="J1195" s="85"/>
      <c r="K1195" s="85"/>
      <c r="M1195" s="81"/>
      <c r="O1195" s="85"/>
      <c r="P1195" s="85"/>
      <c r="Q1195" s="81"/>
    </row>
    <row r="1196" spans="3:17" x14ac:dyDescent="0.3">
      <c r="C1196" s="81"/>
      <c r="F1196" s="85"/>
      <c r="G1196" s="86"/>
      <c r="H1196" s="86"/>
      <c r="I1196" s="87"/>
      <c r="J1196" s="85"/>
      <c r="K1196" s="85"/>
      <c r="M1196" s="81"/>
      <c r="O1196" s="85"/>
      <c r="P1196" s="85"/>
      <c r="Q1196" s="81"/>
    </row>
    <row r="1197" spans="3:17" x14ac:dyDescent="0.3">
      <c r="C1197" s="81"/>
      <c r="F1197" s="85"/>
      <c r="G1197" s="86"/>
      <c r="H1197" s="86"/>
      <c r="I1197" s="87"/>
      <c r="J1197" s="85"/>
      <c r="K1197" s="85"/>
      <c r="M1197" s="81"/>
      <c r="O1197" s="85"/>
      <c r="P1197" s="85"/>
      <c r="Q1197" s="81"/>
    </row>
    <row r="1198" spans="3:17" x14ac:dyDescent="0.3">
      <c r="C1198" s="81"/>
      <c r="F1198" s="85"/>
      <c r="G1198" s="86"/>
      <c r="H1198" s="86"/>
      <c r="I1198" s="87"/>
      <c r="J1198" s="85"/>
      <c r="K1198" s="85"/>
      <c r="M1198" s="81"/>
      <c r="O1198" s="85"/>
      <c r="P1198" s="85"/>
      <c r="Q1198" s="81"/>
    </row>
    <row r="1199" spans="3:17" x14ac:dyDescent="0.3">
      <c r="C1199" s="81"/>
      <c r="F1199" s="85"/>
      <c r="G1199" s="86"/>
      <c r="H1199" s="86"/>
      <c r="I1199" s="87"/>
      <c r="J1199" s="85"/>
      <c r="K1199" s="85"/>
      <c r="M1199" s="81"/>
      <c r="O1199" s="85"/>
      <c r="P1199" s="85"/>
      <c r="Q1199" s="81"/>
    </row>
    <row r="1200" spans="3:17" x14ac:dyDescent="0.3">
      <c r="C1200" s="81"/>
      <c r="F1200" s="85"/>
      <c r="G1200" s="86"/>
      <c r="H1200" s="86"/>
      <c r="I1200" s="87"/>
      <c r="J1200" s="85"/>
      <c r="K1200" s="85"/>
      <c r="M1200" s="81"/>
      <c r="O1200" s="85"/>
      <c r="P1200" s="85"/>
      <c r="Q1200" s="81"/>
    </row>
    <row r="1201" spans="3:17" x14ac:dyDescent="0.3">
      <c r="C1201" s="81"/>
      <c r="F1201" s="85"/>
      <c r="G1201" s="86"/>
      <c r="H1201" s="86"/>
      <c r="I1201" s="87"/>
      <c r="J1201" s="85"/>
      <c r="K1201" s="85"/>
      <c r="M1201" s="81"/>
      <c r="O1201" s="85"/>
      <c r="P1201" s="85"/>
      <c r="Q1201" s="81"/>
    </row>
    <row r="1202" spans="3:17" x14ac:dyDescent="0.3">
      <c r="C1202" s="81"/>
      <c r="F1202" s="85"/>
      <c r="G1202" s="86"/>
      <c r="H1202" s="86"/>
      <c r="I1202" s="87"/>
      <c r="J1202" s="85"/>
      <c r="K1202" s="85"/>
      <c r="M1202" s="81"/>
      <c r="O1202" s="85"/>
      <c r="P1202" s="85"/>
      <c r="Q1202" s="81"/>
    </row>
    <row r="1203" spans="3:17" x14ac:dyDescent="0.3">
      <c r="C1203" s="81"/>
      <c r="F1203" s="85"/>
      <c r="G1203" s="86"/>
      <c r="H1203" s="86"/>
      <c r="I1203" s="87"/>
      <c r="J1203" s="85"/>
      <c r="K1203" s="85"/>
      <c r="M1203" s="81"/>
      <c r="O1203" s="85"/>
      <c r="P1203" s="85"/>
      <c r="Q1203" s="81"/>
    </row>
    <row r="1204" spans="3:17" x14ac:dyDescent="0.3">
      <c r="C1204" s="81"/>
      <c r="F1204" s="85"/>
      <c r="G1204" s="86"/>
      <c r="H1204" s="86"/>
      <c r="I1204" s="87"/>
      <c r="J1204" s="85"/>
      <c r="K1204" s="85"/>
      <c r="M1204" s="81"/>
      <c r="O1204" s="85"/>
      <c r="P1204" s="85"/>
      <c r="Q1204" s="81"/>
    </row>
    <row r="1205" spans="3:17" x14ac:dyDescent="0.3">
      <c r="C1205" s="81"/>
      <c r="F1205" s="85"/>
      <c r="G1205" s="86"/>
      <c r="H1205" s="86"/>
      <c r="I1205" s="87"/>
      <c r="J1205" s="85"/>
      <c r="K1205" s="85"/>
      <c r="M1205" s="81"/>
      <c r="O1205" s="85"/>
      <c r="P1205" s="85"/>
      <c r="Q1205" s="81"/>
    </row>
    <row r="1206" spans="3:17" x14ac:dyDescent="0.3">
      <c r="C1206" s="81"/>
      <c r="F1206" s="85"/>
      <c r="G1206" s="86"/>
      <c r="H1206" s="86"/>
      <c r="I1206" s="87"/>
      <c r="J1206" s="85"/>
      <c r="K1206" s="85"/>
      <c r="M1206" s="81"/>
      <c r="O1206" s="85"/>
      <c r="P1206" s="85"/>
      <c r="Q1206" s="81"/>
    </row>
    <row r="1207" spans="3:17" x14ac:dyDescent="0.3">
      <c r="C1207" s="81"/>
      <c r="F1207" s="85"/>
      <c r="G1207" s="86"/>
      <c r="H1207" s="86"/>
      <c r="I1207" s="87"/>
      <c r="J1207" s="85"/>
      <c r="K1207" s="85"/>
      <c r="M1207" s="81"/>
      <c r="O1207" s="85"/>
      <c r="P1207" s="85"/>
      <c r="Q1207" s="81"/>
    </row>
    <row r="1208" spans="3:17" x14ac:dyDescent="0.3">
      <c r="C1208" s="81"/>
      <c r="F1208" s="85"/>
      <c r="G1208" s="86"/>
      <c r="H1208" s="86"/>
      <c r="I1208" s="87"/>
      <c r="J1208" s="85"/>
      <c r="K1208" s="85"/>
      <c r="M1208" s="81"/>
      <c r="O1208" s="85"/>
      <c r="P1208" s="85"/>
      <c r="Q1208" s="81"/>
    </row>
    <row r="1209" spans="3:17" x14ac:dyDescent="0.3">
      <c r="C1209" s="81"/>
      <c r="F1209" s="85"/>
      <c r="G1209" s="86"/>
      <c r="H1209" s="86"/>
      <c r="I1209" s="87"/>
      <c r="J1209" s="85"/>
      <c r="K1209" s="85"/>
      <c r="M1209" s="81"/>
      <c r="O1209" s="85"/>
      <c r="P1209" s="85"/>
      <c r="Q1209" s="81"/>
    </row>
    <row r="1210" spans="3:17" x14ac:dyDescent="0.3">
      <c r="C1210" s="81"/>
      <c r="F1210" s="85"/>
      <c r="G1210" s="86"/>
      <c r="H1210" s="86"/>
      <c r="I1210" s="87"/>
      <c r="J1210" s="85"/>
      <c r="K1210" s="85"/>
      <c r="M1210" s="81"/>
      <c r="O1210" s="85"/>
      <c r="P1210" s="85"/>
      <c r="Q1210" s="81"/>
    </row>
    <row r="1211" spans="3:17" x14ac:dyDescent="0.3">
      <c r="C1211" s="81"/>
      <c r="F1211" s="85"/>
      <c r="G1211" s="86"/>
      <c r="H1211" s="86"/>
      <c r="I1211" s="87"/>
      <c r="J1211" s="85"/>
      <c r="K1211" s="85"/>
      <c r="M1211" s="81"/>
      <c r="O1211" s="85"/>
      <c r="P1211" s="85"/>
      <c r="Q1211" s="81"/>
    </row>
    <row r="1212" spans="3:17" x14ac:dyDescent="0.3">
      <c r="C1212" s="81"/>
      <c r="F1212" s="85"/>
      <c r="G1212" s="86"/>
      <c r="H1212" s="86"/>
      <c r="I1212" s="87"/>
      <c r="J1212" s="85"/>
      <c r="K1212" s="85"/>
      <c r="M1212" s="81"/>
      <c r="O1212" s="85"/>
      <c r="P1212" s="85"/>
      <c r="Q1212" s="81"/>
    </row>
    <row r="1213" spans="3:17" x14ac:dyDescent="0.3">
      <c r="C1213" s="81"/>
      <c r="F1213" s="85"/>
      <c r="G1213" s="86"/>
      <c r="H1213" s="86"/>
      <c r="I1213" s="87"/>
      <c r="J1213" s="85"/>
      <c r="K1213" s="85"/>
      <c r="M1213" s="81"/>
      <c r="O1213" s="85"/>
      <c r="P1213" s="85"/>
      <c r="Q1213" s="81"/>
    </row>
    <row r="1214" spans="3:17" x14ac:dyDescent="0.3">
      <c r="C1214" s="81"/>
      <c r="F1214" s="85"/>
      <c r="G1214" s="86"/>
      <c r="H1214" s="86"/>
      <c r="I1214" s="87"/>
      <c r="J1214" s="85"/>
      <c r="K1214" s="85"/>
      <c r="M1214" s="81"/>
      <c r="O1214" s="85"/>
      <c r="P1214" s="85"/>
      <c r="Q1214" s="81"/>
    </row>
    <row r="1215" spans="3:17" x14ac:dyDescent="0.3">
      <c r="C1215" s="81"/>
      <c r="F1215" s="85"/>
      <c r="G1215" s="86"/>
      <c r="H1215" s="86"/>
      <c r="I1215" s="87"/>
      <c r="J1215" s="85"/>
      <c r="K1215" s="85"/>
      <c r="M1215" s="81"/>
      <c r="O1215" s="85"/>
      <c r="P1215" s="85"/>
      <c r="Q1215" s="81"/>
    </row>
    <row r="1216" spans="3:17" x14ac:dyDescent="0.3">
      <c r="C1216" s="81"/>
      <c r="F1216" s="85"/>
      <c r="G1216" s="86"/>
      <c r="H1216" s="86"/>
      <c r="I1216" s="87"/>
      <c r="J1216" s="85"/>
      <c r="K1216" s="85"/>
      <c r="M1216" s="81"/>
      <c r="O1216" s="85"/>
      <c r="P1216" s="85"/>
      <c r="Q1216" s="81"/>
    </row>
    <row r="1217" spans="3:17" x14ac:dyDescent="0.3">
      <c r="C1217" s="81"/>
      <c r="F1217" s="85"/>
      <c r="G1217" s="86"/>
      <c r="H1217" s="86"/>
      <c r="I1217" s="87"/>
      <c r="J1217" s="85"/>
      <c r="K1217" s="85"/>
      <c r="M1217" s="81"/>
      <c r="O1217" s="85"/>
      <c r="P1217" s="85"/>
      <c r="Q1217" s="81"/>
    </row>
    <row r="1218" spans="3:17" x14ac:dyDescent="0.3">
      <c r="C1218" s="81"/>
      <c r="F1218" s="85"/>
      <c r="G1218" s="86"/>
      <c r="H1218" s="86"/>
      <c r="I1218" s="87"/>
      <c r="J1218" s="85"/>
      <c r="K1218" s="85"/>
      <c r="M1218" s="81"/>
      <c r="O1218" s="85"/>
      <c r="P1218" s="85"/>
      <c r="Q1218" s="81"/>
    </row>
    <row r="1219" spans="3:17" x14ac:dyDescent="0.3">
      <c r="C1219" s="81"/>
      <c r="F1219" s="85"/>
      <c r="G1219" s="86"/>
      <c r="H1219" s="86"/>
      <c r="I1219" s="87"/>
      <c r="J1219" s="85"/>
      <c r="K1219" s="85"/>
      <c r="M1219" s="81"/>
      <c r="O1219" s="85"/>
      <c r="P1219" s="85"/>
      <c r="Q1219" s="81"/>
    </row>
    <row r="1220" spans="3:17" x14ac:dyDescent="0.3">
      <c r="C1220" s="81"/>
      <c r="F1220" s="85"/>
      <c r="G1220" s="86"/>
      <c r="H1220" s="86"/>
      <c r="I1220" s="87"/>
      <c r="J1220" s="85"/>
      <c r="K1220" s="85"/>
      <c r="M1220" s="81"/>
      <c r="O1220" s="85"/>
      <c r="P1220" s="85"/>
      <c r="Q1220" s="81"/>
    </row>
    <row r="1221" spans="3:17" x14ac:dyDescent="0.3">
      <c r="C1221" s="81"/>
      <c r="F1221" s="85"/>
      <c r="G1221" s="86"/>
      <c r="H1221" s="86"/>
      <c r="I1221" s="87"/>
      <c r="J1221" s="85"/>
      <c r="K1221" s="85"/>
      <c r="M1221" s="81"/>
      <c r="O1221" s="85"/>
      <c r="P1221" s="85"/>
      <c r="Q1221" s="81"/>
    </row>
    <row r="1222" spans="3:17" x14ac:dyDescent="0.3">
      <c r="C1222" s="81"/>
      <c r="F1222" s="85"/>
      <c r="G1222" s="86"/>
      <c r="H1222" s="86"/>
      <c r="I1222" s="87"/>
      <c r="J1222" s="85"/>
      <c r="K1222" s="85"/>
      <c r="M1222" s="81"/>
      <c r="O1222" s="85"/>
      <c r="P1222" s="85"/>
      <c r="Q1222" s="81"/>
    </row>
    <row r="1223" spans="3:17" x14ac:dyDescent="0.3">
      <c r="C1223" s="81"/>
      <c r="F1223" s="85"/>
      <c r="G1223" s="86"/>
      <c r="H1223" s="86"/>
      <c r="I1223" s="87"/>
      <c r="J1223" s="85"/>
      <c r="K1223" s="85"/>
      <c r="M1223" s="81"/>
      <c r="O1223" s="85"/>
      <c r="P1223" s="85"/>
      <c r="Q1223" s="81"/>
    </row>
    <row r="1224" spans="3:17" x14ac:dyDescent="0.3">
      <c r="C1224" s="81"/>
      <c r="F1224" s="85"/>
      <c r="G1224" s="86"/>
      <c r="H1224" s="86"/>
      <c r="I1224" s="87"/>
      <c r="J1224" s="85"/>
      <c r="K1224" s="85"/>
      <c r="M1224" s="81"/>
      <c r="O1224" s="85"/>
      <c r="P1224" s="85"/>
      <c r="Q1224" s="81"/>
    </row>
    <row r="1225" spans="3:17" x14ac:dyDescent="0.3">
      <c r="C1225" s="81"/>
      <c r="F1225" s="85"/>
      <c r="G1225" s="86"/>
      <c r="H1225" s="86"/>
      <c r="I1225" s="87"/>
      <c r="J1225" s="85"/>
      <c r="K1225" s="85"/>
      <c r="M1225" s="81"/>
      <c r="O1225" s="85"/>
      <c r="P1225" s="85"/>
      <c r="Q1225" s="81"/>
    </row>
    <row r="1226" spans="3:17" x14ac:dyDescent="0.3">
      <c r="C1226" s="81"/>
      <c r="F1226" s="85"/>
      <c r="G1226" s="86"/>
      <c r="H1226" s="86"/>
      <c r="I1226" s="87"/>
      <c r="J1226" s="85"/>
      <c r="K1226" s="85"/>
      <c r="M1226" s="81"/>
      <c r="O1226" s="85"/>
      <c r="P1226" s="85"/>
      <c r="Q1226" s="81"/>
    </row>
    <row r="1227" spans="3:17" x14ac:dyDescent="0.3">
      <c r="C1227" s="81"/>
      <c r="F1227" s="85"/>
      <c r="G1227" s="86"/>
      <c r="H1227" s="86"/>
      <c r="I1227" s="87"/>
      <c r="J1227" s="85"/>
      <c r="K1227" s="85"/>
      <c r="M1227" s="81"/>
      <c r="O1227" s="85"/>
      <c r="P1227" s="85"/>
      <c r="Q1227" s="81"/>
    </row>
    <row r="1228" spans="3:17" x14ac:dyDescent="0.3">
      <c r="C1228" s="81"/>
      <c r="F1228" s="85"/>
      <c r="G1228" s="86"/>
      <c r="H1228" s="86"/>
      <c r="I1228" s="87"/>
      <c r="J1228" s="85"/>
      <c r="K1228" s="85"/>
      <c r="M1228" s="81"/>
      <c r="O1228" s="85"/>
      <c r="P1228" s="85"/>
      <c r="Q1228" s="81"/>
    </row>
    <row r="1229" spans="3:17" x14ac:dyDescent="0.3">
      <c r="C1229" s="81"/>
      <c r="F1229" s="85"/>
      <c r="G1229" s="86"/>
      <c r="H1229" s="86"/>
      <c r="I1229" s="87"/>
      <c r="J1229" s="85"/>
      <c r="K1229" s="85"/>
      <c r="M1229" s="81"/>
      <c r="O1229" s="85"/>
      <c r="P1229" s="85"/>
      <c r="Q1229" s="81"/>
    </row>
    <row r="1230" spans="3:17" x14ac:dyDescent="0.3">
      <c r="C1230" s="81"/>
      <c r="F1230" s="85"/>
      <c r="G1230" s="86"/>
      <c r="H1230" s="86"/>
      <c r="I1230" s="87"/>
      <c r="J1230" s="85"/>
      <c r="K1230" s="85"/>
      <c r="M1230" s="81"/>
      <c r="O1230" s="85"/>
      <c r="P1230" s="85"/>
      <c r="Q1230" s="81"/>
    </row>
    <row r="1231" spans="3:17" x14ac:dyDescent="0.3">
      <c r="C1231" s="81"/>
      <c r="F1231" s="85"/>
      <c r="G1231" s="86"/>
      <c r="H1231" s="86"/>
      <c r="I1231" s="87"/>
      <c r="J1231" s="85"/>
      <c r="K1231" s="85"/>
      <c r="M1231" s="81"/>
      <c r="O1231" s="85"/>
      <c r="P1231" s="85"/>
      <c r="Q1231" s="81"/>
    </row>
    <row r="1232" spans="3:17" x14ac:dyDescent="0.3">
      <c r="C1232" s="81"/>
      <c r="F1232" s="85"/>
      <c r="G1232" s="86"/>
      <c r="H1232" s="86"/>
      <c r="I1232" s="87"/>
      <c r="J1232" s="85"/>
      <c r="K1232" s="85"/>
      <c r="M1232" s="81"/>
      <c r="O1232" s="85"/>
      <c r="P1232" s="85"/>
      <c r="Q1232" s="81"/>
    </row>
    <row r="1233" spans="3:17" x14ac:dyDescent="0.3">
      <c r="C1233" s="81"/>
      <c r="F1233" s="85"/>
      <c r="G1233" s="86"/>
      <c r="H1233" s="86"/>
      <c r="I1233" s="87"/>
      <c r="J1233" s="85"/>
      <c r="K1233" s="85"/>
      <c r="M1233" s="81"/>
      <c r="O1233" s="85"/>
      <c r="P1233" s="85"/>
      <c r="Q1233" s="81"/>
    </row>
    <row r="1234" spans="3:17" x14ac:dyDescent="0.3">
      <c r="C1234" s="81"/>
      <c r="F1234" s="85"/>
      <c r="G1234" s="86"/>
      <c r="H1234" s="86"/>
      <c r="I1234" s="87"/>
      <c r="J1234" s="85"/>
      <c r="K1234" s="85"/>
      <c r="M1234" s="81"/>
      <c r="O1234" s="85"/>
      <c r="P1234" s="85"/>
      <c r="Q1234" s="81"/>
    </row>
    <row r="1235" spans="3:17" x14ac:dyDescent="0.3">
      <c r="C1235" s="81"/>
      <c r="F1235" s="85"/>
      <c r="G1235" s="86"/>
      <c r="H1235" s="86"/>
      <c r="I1235" s="87"/>
      <c r="J1235" s="85"/>
      <c r="K1235" s="85"/>
      <c r="M1235" s="81"/>
      <c r="O1235" s="85"/>
      <c r="P1235" s="85"/>
      <c r="Q1235" s="81"/>
    </row>
    <row r="1236" spans="3:17" x14ac:dyDescent="0.3">
      <c r="C1236" s="81"/>
      <c r="F1236" s="85"/>
      <c r="G1236" s="86"/>
      <c r="H1236" s="86"/>
      <c r="I1236" s="87"/>
      <c r="J1236" s="85"/>
      <c r="K1236" s="85"/>
      <c r="M1236" s="81"/>
      <c r="O1236" s="85"/>
      <c r="P1236" s="85"/>
      <c r="Q1236" s="81"/>
    </row>
    <row r="1237" spans="3:17" x14ac:dyDescent="0.3">
      <c r="C1237" s="81"/>
      <c r="F1237" s="85"/>
      <c r="G1237" s="86"/>
      <c r="H1237" s="86"/>
      <c r="I1237" s="87"/>
      <c r="J1237" s="85"/>
      <c r="K1237" s="85"/>
      <c r="M1237" s="81"/>
      <c r="O1237" s="85"/>
      <c r="P1237" s="85"/>
      <c r="Q1237" s="81"/>
    </row>
    <row r="1238" spans="3:17" x14ac:dyDescent="0.3">
      <c r="C1238" s="81"/>
      <c r="F1238" s="85"/>
      <c r="G1238" s="86"/>
      <c r="H1238" s="86"/>
      <c r="I1238" s="87"/>
      <c r="J1238" s="85"/>
      <c r="K1238" s="85"/>
      <c r="M1238" s="81"/>
      <c r="O1238" s="85"/>
      <c r="P1238" s="85"/>
      <c r="Q1238" s="81"/>
    </row>
    <row r="1239" spans="3:17" x14ac:dyDescent="0.3">
      <c r="C1239" s="81"/>
      <c r="F1239" s="85"/>
      <c r="G1239" s="86"/>
      <c r="H1239" s="86"/>
      <c r="I1239" s="87"/>
      <c r="J1239" s="85"/>
      <c r="K1239" s="85"/>
      <c r="M1239" s="81"/>
      <c r="O1239" s="85"/>
      <c r="P1239" s="85"/>
      <c r="Q1239" s="81"/>
    </row>
    <row r="1240" spans="3:17" x14ac:dyDescent="0.3">
      <c r="C1240" s="81"/>
      <c r="F1240" s="85"/>
      <c r="G1240" s="86"/>
      <c r="H1240" s="86"/>
      <c r="I1240" s="87"/>
      <c r="J1240" s="85"/>
      <c r="K1240" s="85"/>
      <c r="M1240" s="81"/>
      <c r="O1240" s="85"/>
      <c r="P1240" s="85"/>
      <c r="Q1240" s="81"/>
    </row>
    <row r="1241" spans="3:17" x14ac:dyDescent="0.3">
      <c r="C1241" s="81"/>
      <c r="F1241" s="85"/>
      <c r="G1241" s="86"/>
      <c r="H1241" s="86"/>
      <c r="I1241" s="87"/>
      <c r="J1241" s="85"/>
      <c r="K1241" s="85"/>
      <c r="M1241" s="81"/>
      <c r="O1241" s="85"/>
      <c r="P1241" s="85"/>
      <c r="Q1241" s="81"/>
    </row>
    <row r="1242" spans="3:17" x14ac:dyDescent="0.3">
      <c r="C1242" s="81"/>
      <c r="F1242" s="85"/>
      <c r="G1242" s="86"/>
      <c r="H1242" s="86"/>
      <c r="I1242" s="87"/>
      <c r="J1242" s="85"/>
      <c r="K1242" s="85"/>
      <c r="M1242" s="81"/>
      <c r="O1242" s="85"/>
      <c r="P1242" s="85"/>
      <c r="Q1242" s="81"/>
    </row>
    <row r="1243" spans="3:17" x14ac:dyDescent="0.3">
      <c r="C1243" s="81"/>
      <c r="F1243" s="85"/>
      <c r="G1243" s="86"/>
      <c r="H1243" s="86"/>
      <c r="I1243" s="87"/>
      <c r="J1243" s="85"/>
      <c r="K1243" s="85"/>
      <c r="M1243" s="81"/>
      <c r="O1243" s="85"/>
      <c r="P1243" s="85"/>
      <c r="Q1243" s="81"/>
    </row>
    <row r="1244" spans="3:17" x14ac:dyDescent="0.3">
      <c r="C1244" s="81"/>
      <c r="F1244" s="85"/>
      <c r="G1244" s="86"/>
      <c r="H1244" s="86"/>
      <c r="I1244" s="87"/>
      <c r="J1244" s="85"/>
      <c r="K1244" s="85"/>
      <c r="M1244" s="81"/>
      <c r="O1244" s="85"/>
      <c r="P1244" s="85"/>
      <c r="Q1244" s="81"/>
    </row>
    <row r="1245" spans="3:17" x14ac:dyDescent="0.3">
      <c r="C1245" s="81"/>
      <c r="F1245" s="85"/>
      <c r="G1245" s="86"/>
      <c r="H1245" s="86"/>
      <c r="I1245" s="87"/>
      <c r="J1245" s="85"/>
      <c r="K1245" s="85"/>
      <c r="M1245" s="81"/>
      <c r="O1245" s="85"/>
      <c r="P1245" s="85"/>
      <c r="Q1245" s="81"/>
    </row>
    <row r="1246" spans="3:17" x14ac:dyDescent="0.3">
      <c r="C1246" s="81"/>
      <c r="F1246" s="85"/>
      <c r="G1246" s="86"/>
      <c r="H1246" s="86"/>
      <c r="I1246" s="87"/>
      <c r="J1246" s="85"/>
      <c r="K1246" s="85"/>
      <c r="M1246" s="81"/>
      <c r="O1246" s="85"/>
      <c r="P1246" s="85"/>
      <c r="Q1246" s="81"/>
    </row>
    <row r="1247" spans="3:17" x14ac:dyDescent="0.3">
      <c r="C1247" s="81"/>
      <c r="F1247" s="85"/>
      <c r="G1247" s="86"/>
      <c r="H1247" s="86"/>
      <c r="I1247" s="87"/>
      <c r="J1247" s="85"/>
      <c r="K1247" s="85"/>
      <c r="M1247" s="81"/>
      <c r="O1247" s="85"/>
      <c r="P1247" s="85"/>
      <c r="Q1247" s="81"/>
    </row>
    <row r="1248" spans="3:17" x14ac:dyDescent="0.3">
      <c r="C1248" s="81"/>
      <c r="F1248" s="85"/>
      <c r="G1248" s="86"/>
      <c r="H1248" s="86"/>
      <c r="I1248" s="87"/>
      <c r="J1248" s="85"/>
      <c r="K1248" s="85"/>
      <c r="M1248" s="81"/>
      <c r="O1248" s="85"/>
      <c r="P1248" s="85"/>
      <c r="Q1248" s="81"/>
    </row>
    <row r="1249" spans="3:17" x14ac:dyDescent="0.3">
      <c r="C1249" s="81"/>
      <c r="F1249" s="85"/>
      <c r="G1249" s="86"/>
      <c r="H1249" s="86"/>
      <c r="I1249" s="87"/>
      <c r="J1249" s="85"/>
      <c r="K1249" s="85"/>
      <c r="M1249" s="81"/>
      <c r="O1249" s="85"/>
      <c r="P1249" s="85"/>
      <c r="Q1249" s="81"/>
    </row>
    <row r="1250" spans="3:17" x14ac:dyDescent="0.3">
      <c r="C1250" s="81"/>
      <c r="F1250" s="85"/>
      <c r="G1250" s="86"/>
      <c r="H1250" s="86"/>
      <c r="I1250" s="87"/>
      <c r="J1250" s="85"/>
      <c r="K1250" s="85"/>
      <c r="M1250" s="81"/>
      <c r="O1250" s="85"/>
      <c r="P1250" s="85"/>
      <c r="Q1250" s="81"/>
    </row>
    <row r="1251" spans="3:17" x14ac:dyDescent="0.3">
      <c r="C1251" s="81"/>
      <c r="F1251" s="85"/>
      <c r="G1251" s="86"/>
      <c r="H1251" s="86"/>
      <c r="I1251" s="87"/>
      <c r="J1251" s="85"/>
      <c r="K1251" s="85"/>
      <c r="M1251" s="81"/>
      <c r="O1251" s="85"/>
      <c r="P1251" s="85"/>
      <c r="Q1251" s="81"/>
    </row>
    <row r="1252" spans="3:17" x14ac:dyDescent="0.3">
      <c r="C1252" s="81"/>
      <c r="F1252" s="85"/>
      <c r="G1252" s="86"/>
      <c r="H1252" s="86"/>
      <c r="I1252" s="87"/>
      <c r="J1252" s="85"/>
      <c r="K1252" s="85"/>
      <c r="M1252" s="81"/>
      <c r="O1252" s="85"/>
      <c r="P1252" s="85"/>
      <c r="Q1252" s="81"/>
    </row>
    <row r="1253" spans="3:17" x14ac:dyDescent="0.3">
      <c r="C1253" s="81"/>
      <c r="F1253" s="85"/>
      <c r="G1253" s="86"/>
      <c r="H1253" s="86"/>
      <c r="I1253" s="87"/>
      <c r="J1253" s="85"/>
      <c r="K1253" s="85"/>
      <c r="M1253" s="81"/>
      <c r="O1253" s="85"/>
      <c r="P1253" s="85"/>
      <c r="Q1253" s="81"/>
    </row>
    <row r="1254" spans="3:17" x14ac:dyDescent="0.3">
      <c r="C1254" s="81"/>
      <c r="F1254" s="85"/>
      <c r="G1254" s="86"/>
      <c r="H1254" s="86"/>
      <c r="I1254" s="87"/>
      <c r="J1254" s="85"/>
      <c r="K1254" s="85"/>
      <c r="M1254" s="81"/>
      <c r="O1254" s="85"/>
      <c r="P1254" s="85"/>
      <c r="Q1254" s="81"/>
    </row>
    <row r="1255" spans="3:17" x14ac:dyDescent="0.3">
      <c r="C1255" s="81"/>
      <c r="F1255" s="85"/>
      <c r="G1255" s="86"/>
      <c r="H1255" s="86"/>
      <c r="I1255" s="87"/>
      <c r="J1255" s="85"/>
      <c r="K1255" s="85"/>
      <c r="M1255" s="81"/>
      <c r="O1255" s="85"/>
      <c r="P1255" s="85"/>
      <c r="Q1255" s="81"/>
    </row>
    <row r="1256" spans="3:17" x14ac:dyDescent="0.3">
      <c r="C1256" s="81"/>
      <c r="F1256" s="85"/>
      <c r="G1256" s="86"/>
      <c r="H1256" s="86"/>
      <c r="I1256" s="87"/>
      <c r="J1256" s="85"/>
      <c r="K1256" s="85"/>
      <c r="M1256" s="81"/>
      <c r="O1256" s="85"/>
      <c r="P1256" s="85"/>
      <c r="Q1256" s="81"/>
    </row>
    <row r="1257" spans="3:17" x14ac:dyDescent="0.3">
      <c r="C1257" s="81"/>
      <c r="F1257" s="85"/>
      <c r="G1257" s="86"/>
      <c r="H1257" s="86"/>
      <c r="I1257" s="87"/>
      <c r="J1257" s="85"/>
      <c r="K1257" s="85"/>
      <c r="M1257" s="81"/>
      <c r="O1257" s="85"/>
      <c r="P1257" s="85"/>
      <c r="Q1257" s="81"/>
    </row>
    <row r="1258" spans="3:17" x14ac:dyDescent="0.3">
      <c r="C1258" s="81"/>
      <c r="F1258" s="85"/>
      <c r="G1258" s="86"/>
      <c r="H1258" s="86"/>
      <c r="I1258" s="87"/>
      <c r="J1258" s="85"/>
      <c r="K1258" s="85"/>
      <c r="M1258" s="81"/>
      <c r="O1258" s="85"/>
      <c r="P1258" s="85"/>
      <c r="Q1258" s="81"/>
    </row>
    <row r="1259" spans="3:17" x14ac:dyDescent="0.3">
      <c r="C1259" s="81"/>
      <c r="F1259" s="85"/>
      <c r="G1259" s="86"/>
      <c r="H1259" s="86"/>
      <c r="I1259" s="87"/>
      <c r="J1259" s="85"/>
      <c r="K1259" s="85"/>
      <c r="M1259" s="81"/>
      <c r="O1259" s="85"/>
      <c r="P1259" s="85"/>
      <c r="Q1259" s="81"/>
    </row>
    <row r="1260" spans="3:17" x14ac:dyDescent="0.3">
      <c r="C1260" s="81"/>
      <c r="F1260" s="85"/>
      <c r="G1260" s="86"/>
      <c r="H1260" s="86"/>
      <c r="I1260" s="87"/>
      <c r="J1260" s="85"/>
      <c r="K1260" s="85"/>
      <c r="M1260" s="81"/>
      <c r="O1260" s="85"/>
      <c r="P1260" s="85"/>
      <c r="Q1260" s="81"/>
    </row>
    <row r="1261" spans="3:17" x14ac:dyDescent="0.3">
      <c r="C1261" s="81"/>
      <c r="F1261" s="85"/>
      <c r="G1261" s="86"/>
      <c r="H1261" s="86"/>
      <c r="I1261" s="87"/>
      <c r="J1261" s="85"/>
      <c r="K1261" s="85"/>
      <c r="M1261" s="81"/>
      <c r="O1261" s="85"/>
      <c r="P1261" s="85"/>
      <c r="Q1261" s="81"/>
    </row>
    <row r="1262" spans="3:17" x14ac:dyDescent="0.3">
      <c r="C1262" s="81"/>
      <c r="F1262" s="85"/>
      <c r="G1262" s="86"/>
      <c r="H1262" s="86"/>
      <c r="I1262" s="87"/>
      <c r="J1262" s="85"/>
      <c r="K1262" s="85"/>
      <c r="M1262" s="81"/>
      <c r="O1262" s="85"/>
      <c r="P1262" s="85"/>
      <c r="Q1262" s="81"/>
    </row>
    <row r="1263" spans="3:17" x14ac:dyDescent="0.3">
      <c r="C1263" s="81"/>
      <c r="F1263" s="85"/>
      <c r="G1263" s="86"/>
      <c r="H1263" s="86"/>
      <c r="I1263" s="87"/>
      <c r="J1263" s="85"/>
      <c r="K1263" s="85"/>
      <c r="M1263" s="81"/>
      <c r="O1263" s="85"/>
      <c r="P1263" s="85"/>
      <c r="Q1263" s="81"/>
    </row>
    <row r="1264" spans="3:17" x14ac:dyDescent="0.3">
      <c r="C1264" s="81"/>
      <c r="F1264" s="85"/>
      <c r="G1264" s="86"/>
      <c r="H1264" s="86"/>
      <c r="I1264" s="87"/>
      <c r="J1264" s="85"/>
      <c r="K1264" s="85"/>
      <c r="M1264" s="81"/>
      <c r="O1264" s="85"/>
      <c r="P1264" s="85"/>
      <c r="Q1264" s="81"/>
    </row>
    <row r="1265" spans="3:17" x14ac:dyDescent="0.3">
      <c r="C1265" s="81"/>
      <c r="F1265" s="85"/>
      <c r="G1265" s="86"/>
      <c r="H1265" s="86"/>
      <c r="I1265" s="87"/>
      <c r="J1265" s="85"/>
      <c r="K1265" s="85"/>
      <c r="M1265" s="81"/>
      <c r="O1265" s="85"/>
      <c r="P1265" s="85"/>
      <c r="Q1265" s="81"/>
    </row>
    <row r="1266" spans="3:17" x14ac:dyDescent="0.3">
      <c r="C1266" s="81"/>
      <c r="F1266" s="85"/>
      <c r="G1266" s="86"/>
      <c r="H1266" s="86"/>
      <c r="I1266" s="87"/>
      <c r="J1266" s="85"/>
      <c r="K1266" s="85"/>
      <c r="M1266" s="81"/>
      <c r="O1266" s="85"/>
      <c r="P1266" s="85"/>
      <c r="Q1266" s="81"/>
    </row>
    <row r="1267" spans="3:17" x14ac:dyDescent="0.3">
      <c r="C1267" s="81"/>
      <c r="F1267" s="85"/>
      <c r="G1267" s="86"/>
      <c r="H1267" s="86"/>
      <c r="I1267" s="87"/>
      <c r="J1267" s="85"/>
      <c r="K1267" s="85"/>
      <c r="M1267" s="81"/>
      <c r="O1267" s="85"/>
      <c r="P1267" s="85"/>
      <c r="Q1267" s="81"/>
    </row>
    <row r="1268" spans="3:17" x14ac:dyDescent="0.3">
      <c r="C1268" s="81"/>
      <c r="F1268" s="85"/>
      <c r="G1268" s="86"/>
      <c r="H1268" s="86"/>
      <c r="I1268" s="87"/>
      <c r="J1268" s="85"/>
      <c r="K1268" s="85"/>
      <c r="M1268" s="81"/>
      <c r="O1268" s="85"/>
      <c r="P1268" s="85"/>
      <c r="Q1268" s="81"/>
    </row>
    <row r="1269" spans="3:17" x14ac:dyDescent="0.3">
      <c r="C1269" s="81"/>
      <c r="F1269" s="85"/>
      <c r="G1269" s="86"/>
      <c r="H1269" s="86"/>
      <c r="I1269" s="87"/>
      <c r="J1269" s="85"/>
      <c r="K1269" s="85"/>
      <c r="M1269" s="81"/>
      <c r="O1269" s="85"/>
      <c r="P1269" s="85"/>
      <c r="Q1269" s="81"/>
    </row>
    <row r="1270" spans="3:17" x14ac:dyDescent="0.3">
      <c r="C1270" s="81"/>
      <c r="F1270" s="85"/>
      <c r="G1270" s="86"/>
      <c r="H1270" s="86"/>
      <c r="I1270" s="87"/>
      <c r="J1270" s="85"/>
      <c r="K1270" s="85"/>
      <c r="M1270" s="81"/>
      <c r="O1270" s="85"/>
      <c r="P1270" s="85"/>
      <c r="Q1270" s="81"/>
    </row>
    <row r="1271" spans="3:17" x14ac:dyDescent="0.3">
      <c r="C1271" s="81"/>
      <c r="F1271" s="85"/>
      <c r="G1271" s="86"/>
      <c r="H1271" s="86"/>
      <c r="I1271" s="87"/>
      <c r="J1271" s="85"/>
      <c r="K1271" s="85"/>
      <c r="M1271" s="81"/>
      <c r="O1271" s="85"/>
      <c r="P1271" s="85"/>
      <c r="Q1271" s="81"/>
    </row>
    <row r="1272" spans="3:17" x14ac:dyDescent="0.3">
      <c r="C1272" s="81"/>
      <c r="F1272" s="85"/>
      <c r="G1272" s="86"/>
      <c r="H1272" s="86"/>
      <c r="I1272" s="87"/>
      <c r="J1272" s="85"/>
      <c r="K1272" s="85"/>
      <c r="M1272" s="81"/>
      <c r="O1272" s="85"/>
      <c r="P1272" s="85"/>
      <c r="Q1272" s="81"/>
    </row>
    <row r="1273" spans="3:17" x14ac:dyDescent="0.3">
      <c r="C1273" s="81"/>
      <c r="F1273" s="85"/>
      <c r="G1273" s="86"/>
      <c r="H1273" s="86"/>
      <c r="I1273" s="87"/>
      <c r="J1273" s="85"/>
      <c r="K1273" s="85"/>
      <c r="M1273" s="81"/>
      <c r="O1273" s="85"/>
      <c r="P1273" s="85"/>
      <c r="Q1273" s="81"/>
    </row>
    <row r="1274" spans="3:17" x14ac:dyDescent="0.3">
      <c r="C1274" s="81"/>
      <c r="F1274" s="85"/>
      <c r="G1274" s="86"/>
      <c r="H1274" s="86"/>
      <c r="I1274" s="87"/>
      <c r="J1274" s="85"/>
      <c r="K1274" s="85"/>
      <c r="M1274" s="81"/>
      <c r="O1274" s="85"/>
      <c r="P1274" s="85"/>
      <c r="Q1274" s="81"/>
    </row>
    <row r="1275" spans="3:17" x14ac:dyDescent="0.3">
      <c r="C1275" s="81"/>
      <c r="F1275" s="85"/>
      <c r="G1275" s="86"/>
      <c r="H1275" s="86"/>
      <c r="I1275" s="87"/>
      <c r="J1275" s="85"/>
      <c r="K1275" s="85"/>
      <c r="M1275" s="81"/>
      <c r="O1275" s="85"/>
      <c r="P1275" s="85"/>
      <c r="Q1275" s="81"/>
    </row>
    <row r="1276" spans="3:17" x14ac:dyDescent="0.3">
      <c r="C1276" s="81"/>
      <c r="F1276" s="85"/>
      <c r="G1276" s="86"/>
      <c r="H1276" s="86"/>
      <c r="I1276" s="87"/>
      <c r="J1276" s="85"/>
      <c r="K1276" s="85"/>
      <c r="M1276" s="81"/>
      <c r="O1276" s="85"/>
      <c r="P1276" s="85"/>
      <c r="Q1276" s="81"/>
    </row>
    <row r="1277" spans="3:17" x14ac:dyDescent="0.3">
      <c r="C1277" s="81"/>
      <c r="F1277" s="85"/>
      <c r="G1277" s="86"/>
      <c r="H1277" s="86"/>
      <c r="I1277" s="87"/>
      <c r="J1277" s="85"/>
      <c r="K1277" s="85"/>
      <c r="M1277" s="81"/>
      <c r="O1277" s="85"/>
      <c r="P1277" s="85"/>
      <c r="Q1277" s="81"/>
    </row>
    <row r="1278" spans="3:17" x14ac:dyDescent="0.3">
      <c r="C1278" s="81"/>
      <c r="F1278" s="85"/>
      <c r="G1278" s="86"/>
      <c r="H1278" s="86"/>
      <c r="I1278" s="87"/>
      <c r="J1278" s="85"/>
      <c r="K1278" s="85"/>
      <c r="M1278" s="81"/>
      <c r="O1278" s="85"/>
      <c r="P1278" s="85"/>
      <c r="Q1278" s="81"/>
    </row>
    <row r="1279" spans="3:17" x14ac:dyDescent="0.3">
      <c r="C1279" s="81"/>
      <c r="F1279" s="85"/>
      <c r="G1279" s="86"/>
      <c r="H1279" s="86"/>
      <c r="I1279" s="87"/>
      <c r="J1279" s="85"/>
      <c r="K1279" s="85"/>
      <c r="M1279" s="81"/>
      <c r="O1279" s="85"/>
      <c r="P1279" s="85"/>
      <c r="Q1279" s="81"/>
    </row>
    <row r="1280" spans="3:17" x14ac:dyDescent="0.3">
      <c r="C1280" s="81"/>
      <c r="F1280" s="85"/>
      <c r="G1280" s="86"/>
      <c r="H1280" s="86"/>
      <c r="I1280" s="87"/>
      <c r="J1280" s="85"/>
      <c r="K1280" s="85"/>
      <c r="M1280" s="81"/>
      <c r="O1280" s="85"/>
      <c r="P1280" s="85"/>
      <c r="Q1280" s="81"/>
    </row>
    <row r="1281" spans="3:17" x14ac:dyDescent="0.3">
      <c r="C1281" s="81"/>
      <c r="F1281" s="85"/>
      <c r="G1281" s="86"/>
      <c r="H1281" s="86"/>
      <c r="I1281" s="87"/>
      <c r="J1281" s="85"/>
      <c r="K1281" s="85"/>
      <c r="M1281" s="81"/>
      <c r="O1281" s="85"/>
      <c r="P1281" s="85"/>
      <c r="Q1281" s="81"/>
    </row>
    <row r="1282" spans="3:17" x14ac:dyDescent="0.3">
      <c r="C1282" s="81"/>
      <c r="F1282" s="85"/>
      <c r="G1282" s="86"/>
      <c r="H1282" s="86"/>
      <c r="I1282" s="87"/>
      <c r="J1282" s="85"/>
      <c r="K1282" s="85"/>
      <c r="M1282" s="81"/>
      <c r="O1282" s="85"/>
      <c r="P1282" s="85"/>
      <c r="Q1282" s="81"/>
    </row>
    <row r="1283" spans="3:17" x14ac:dyDescent="0.3">
      <c r="C1283" s="81"/>
      <c r="F1283" s="85"/>
      <c r="G1283" s="86"/>
      <c r="H1283" s="86"/>
      <c r="I1283" s="87"/>
      <c r="J1283" s="85"/>
      <c r="K1283" s="85"/>
      <c r="M1283" s="81"/>
      <c r="O1283" s="85"/>
      <c r="P1283" s="85"/>
      <c r="Q1283" s="81"/>
    </row>
    <row r="1284" spans="3:17" x14ac:dyDescent="0.3">
      <c r="C1284" s="81"/>
      <c r="F1284" s="85"/>
      <c r="G1284" s="86"/>
      <c r="H1284" s="86"/>
      <c r="I1284" s="87"/>
      <c r="J1284" s="85"/>
      <c r="K1284" s="85"/>
      <c r="M1284" s="81"/>
      <c r="O1284" s="85"/>
      <c r="P1284" s="85"/>
      <c r="Q1284" s="81"/>
    </row>
    <row r="1285" spans="3:17" x14ac:dyDescent="0.3">
      <c r="C1285" s="81"/>
      <c r="F1285" s="85"/>
      <c r="G1285" s="86"/>
      <c r="H1285" s="86"/>
      <c r="I1285" s="87"/>
      <c r="J1285" s="85"/>
      <c r="K1285" s="85"/>
      <c r="M1285" s="81"/>
      <c r="O1285" s="85"/>
      <c r="P1285" s="85"/>
      <c r="Q1285" s="81"/>
    </row>
    <row r="1286" spans="3:17" x14ac:dyDescent="0.3">
      <c r="C1286" s="81"/>
      <c r="F1286" s="85"/>
      <c r="G1286" s="86"/>
      <c r="H1286" s="86"/>
      <c r="I1286" s="87"/>
      <c r="J1286" s="85"/>
      <c r="K1286" s="85"/>
      <c r="M1286" s="81"/>
      <c r="O1286" s="85"/>
      <c r="P1286" s="85"/>
      <c r="Q1286" s="81"/>
    </row>
    <row r="1287" spans="3:17" x14ac:dyDescent="0.3">
      <c r="C1287" s="81"/>
      <c r="F1287" s="85"/>
      <c r="G1287" s="86"/>
      <c r="H1287" s="86"/>
      <c r="I1287" s="87"/>
      <c r="J1287" s="85"/>
      <c r="K1287" s="85"/>
      <c r="M1287" s="81"/>
      <c r="O1287" s="85"/>
      <c r="P1287" s="85"/>
      <c r="Q1287" s="81"/>
    </row>
    <row r="1288" spans="3:17" x14ac:dyDescent="0.3">
      <c r="C1288" s="81"/>
      <c r="F1288" s="85"/>
      <c r="G1288" s="86"/>
      <c r="H1288" s="86"/>
      <c r="I1288" s="87"/>
      <c r="J1288" s="85"/>
      <c r="K1288" s="85"/>
      <c r="M1288" s="81"/>
      <c r="O1288" s="85"/>
      <c r="P1288" s="85"/>
      <c r="Q1288" s="81"/>
    </row>
    <row r="1289" spans="3:17" x14ac:dyDescent="0.3">
      <c r="C1289" s="81"/>
      <c r="F1289" s="85"/>
      <c r="G1289" s="86"/>
      <c r="H1289" s="86"/>
      <c r="I1289" s="87"/>
      <c r="J1289" s="85"/>
      <c r="K1289" s="85"/>
      <c r="M1289" s="81"/>
      <c r="O1289" s="85"/>
      <c r="P1289" s="85"/>
      <c r="Q1289" s="81"/>
    </row>
    <row r="1290" spans="3:17" x14ac:dyDescent="0.3">
      <c r="C1290" s="81"/>
      <c r="F1290" s="85"/>
      <c r="G1290" s="86"/>
      <c r="H1290" s="86"/>
      <c r="I1290" s="87"/>
      <c r="J1290" s="85"/>
      <c r="K1290" s="85"/>
      <c r="M1290" s="81"/>
      <c r="O1290" s="85"/>
      <c r="P1290" s="85"/>
      <c r="Q1290" s="81"/>
    </row>
    <row r="1291" spans="3:17" x14ac:dyDescent="0.3">
      <c r="C1291" s="81"/>
      <c r="F1291" s="85"/>
      <c r="G1291" s="86"/>
      <c r="H1291" s="86"/>
      <c r="I1291" s="87"/>
      <c r="J1291" s="85"/>
      <c r="K1291" s="85"/>
      <c r="M1291" s="81"/>
      <c r="O1291" s="85"/>
      <c r="P1291" s="85"/>
      <c r="Q1291" s="81"/>
    </row>
    <row r="1292" spans="3:17" x14ac:dyDescent="0.3">
      <c r="C1292" s="81"/>
      <c r="F1292" s="85"/>
      <c r="G1292" s="86"/>
      <c r="H1292" s="86"/>
      <c r="I1292" s="87"/>
      <c r="J1292" s="85"/>
      <c r="K1292" s="85"/>
      <c r="M1292" s="81"/>
      <c r="O1292" s="85"/>
      <c r="P1292" s="85"/>
      <c r="Q1292" s="81"/>
    </row>
    <row r="1293" spans="3:17" x14ac:dyDescent="0.3">
      <c r="C1293" s="81"/>
      <c r="F1293" s="85"/>
      <c r="G1293" s="86"/>
      <c r="H1293" s="86"/>
      <c r="I1293" s="87"/>
      <c r="J1293" s="85"/>
      <c r="K1293" s="85"/>
      <c r="M1293" s="81"/>
      <c r="O1293" s="85"/>
      <c r="P1293" s="85"/>
      <c r="Q1293" s="81"/>
    </row>
    <row r="1294" spans="3:17" x14ac:dyDescent="0.3">
      <c r="C1294" s="81"/>
      <c r="F1294" s="85"/>
      <c r="G1294" s="86"/>
      <c r="H1294" s="86"/>
      <c r="I1294" s="87"/>
      <c r="J1294" s="85"/>
      <c r="K1294" s="85"/>
      <c r="M1294" s="81"/>
      <c r="O1294" s="85"/>
      <c r="P1294" s="85"/>
      <c r="Q1294" s="81"/>
    </row>
    <row r="1295" spans="3:17" x14ac:dyDescent="0.3">
      <c r="C1295" s="81"/>
      <c r="F1295" s="85"/>
      <c r="G1295" s="86"/>
      <c r="H1295" s="86"/>
      <c r="I1295" s="87"/>
      <c r="J1295" s="85"/>
      <c r="K1295" s="85"/>
      <c r="M1295" s="81"/>
      <c r="O1295" s="85"/>
      <c r="P1295" s="85"/>
      <c r="Q1295" s="81"/>
    </row>
    <row r="1296" spans="3:17" x14ac:dyDescent="0.3">
      <c r="C1296" s="81"/>
      <c r="F1296" s="85"/>
      <c r="G1296" s="86"/>
      <c r="H1296" s="86"/>
      <c r="I1296" s="87"/>
      <c r="J1296" s="85"/>
      <c r="K1296" s="85"/>
      <c r="M1296" s="81"/>
      <c r="O1296" s="85"/>
      <c r="P1296" s="85"/>
      <c r="Q1296" s="81"/>
    </row>
    <row r="1297" spans="3:17" x14ac:dyDescent="0.3">
      <c r="C1297" s="81"/>
      <c r="F1297" s="85"/>
      <c r="G1297" s="86"/>
      <c r="H1297" s="86"/>
      <c r="I1297" s="87"/>
      <c r="J1297" s="85"/>
      <c r="K1297" s="85"/>
      <c r="M1297" s="81"/>
      <c r="O1297" s="85"/>
      <c r="P1297" s="85"/>
      <c r="Q1297" s="81"/>
    </row>
    <row r="1298" spans="3:17" x14ac:dyDescent="0.3">
      <c r="C1298" s="81"/>
      <c r="F1298" s="85"/>
      <c r="G1298" s="86"/>
      <c r="H1298" s="86"/>
      <c r="I1298" s="87"/>
      <c r="J1298" s="85"/>
      <c r="K1298" s="85"/>
      <c r="M1298" s="81"/>
      <c r="O1298" s="85"/>
      <c r="P1298" s="85"/>
      <c r="Q1298" s="81"/>
    </row>
    <row r="1299" spans="3:17" x14ac:dyDescent="0.3">
      <c r="C1299" s="81"/>
      <c r="F1299" s="85"/>
      <c r="G1299" s="86"/>
      <c r="H1299" s="86"/>
      <c r="I1299" s="87"/>
      <c r="J1299" s="85"/>
      <c r="K1299" s="85"/>
      <c r="M1299" s="81"/>
      <c r="O1299" s="85"/>
      <c r="P1299" s="85"/>
      <c r="Q1299" s="81"/>
    </row>
    <row r="1300" spans="3:17" x14ac:dyDescent="0.3">
      <c r="C1300" s="81"/>
      <c r="F1300" s="85"/>
      <c r="G1300" s="86"/>
      <c r="H1300" s="86"/>
      <c r="I1300" s="87"/>
      <c r="J1300" s="85"/>
      <c r="K1300" s="85"/>
      <c r="M1300" s="81"/>
      <c r="O1300" s="85"/>
      <c r="P1300" s="85"/>
      <c r="Q1300" s="81"/>
    </row>
    <row r="1301" spans="3:17" x14ac:dyDescent="0.3">
      <c r="C1301" s="81"/>
      <c r="F1301" s="85"/>
      <c r="G1301" s="86"/>
      <c r="H1301" s="86"/>
      <c r="I1301" s="87"/>
      <c r="J1301" s="85"/>
      <c r="K1301" s="85"/>
      <c r="M1301" s="81"/>
      <c r="O1301" s="85"/>
      <c r="P1301" s="85"/>
      <c r="Q1301" s="81"/>
    </row>
    <row r="1302" spans="3:17" x14ac:dyDescent="0.3">
      <c r="C1302" s="81"/>
      <c r="F1302" s="85"/>
      <c r="G1302" s="86"/>
      <c r="H1302" s="86"/>
      <c r="I1302" s="87"/>
      <c r="J1302" s="85"/>
      <c r="K1302" s="85"/>
      <c r="M1302" s="81"/>
      <c r="O1302" s="85"/>
      <c r="P1302" s="85"/>
      <c r="Q1302" s="81"/>
    </row>
    <row r="1303" spans="3:17" x14ac:dyDescent="0.3">
      <c r="C1303" s="81"/>
      <c r="F1303" s="85"/>
      <c r="G1303" s="86"/>
      <c r="H1303" s="86"/>
      <c r="I1303" s="87"/>
      <c r="J1303" s="85"/>
      <c r="K1303" s="85"/>
      <c r="M1303" s="81"/>
      <c r="O1303" s="85"/>
      <c r="P1303" s="85"/>
      <c r="Q1303" s="81"/>
    </row>
    <row r="1304" spans="3:17" x14ac:dyDescent="0.3">
      <c r="C1304" s="81"/>
      <c r="F1304" s="85"/>
      <c r="G1304" s="86"/>
      <c r="H1304" s="86"/>
      <c r="I1304" s="87"/>
      <c r="J1304" s="85"/>
      <c r="K1304" s="85"/>
      <c r="M1304" s="81"/>
      <c r="O1304" s="85"/>
      <c r="P1304" s="85"/>
      <c r="Q1304" s="81"/>
    </row>
    <row r="1305" spans="3:17" x14ac:dyDescent="0.3">
      <c r="C1305" s="81"/>
      <c r="F1305" s="85"/>
      <c r="G1305" s="86"/>
      <c r="H1305" s="86"/>
      <c r="I1305" s="87"/>
      <c r="J1305" s="85"/>
      <c r="K1305" s="85"/>
      <c r="M1305" s="81"/>
      <c r="O1305" s="85"/>
      <c r="P1305" s="85"/>
      <c r="Q1305" s="81"/>
    </row>
    <row r="1306" spans="3:17" x14ac:dyDescent="0.3">
      <c r="C1306" s="81"/>
      <c r="F1306" s="85"/>
      <c r="G1306" s="86"/>
      <c r="H1306" s="86"/>
      <c r="I1306" s="87"/>
      <c r="J1306" s="85"/>
      <c r="K1306" s="85"/>
      <c r="M1306" s="81"/>
      <c r="O1306" s="85"/>
      <c r="P1306" s="85"/>
      <c r="Q1306" s="81"/>
    </row>
    <row r="1307" spans="3:17" x14ac:dyDescent="0.3">
      <c r="C1307" s="81"/>
      <c r="F1307" s="85"/>
      <c r="G1307" s="86"/>
      <c r="H1307" s="86"/>
      <c r="I1307" s="87"/>
      <c r="J1307" s="85"/>
      <c r="K1307" s="85"/>
      <c r="M1307" s="81"/>
      <c r="O1307" s="85"/>
      <c r="P1307" s="85"/>
      <c r="Q1307" s="81"/>
    </row>
    <row r="1308" spans="3:17" x14ac:dyDescent="0.3">
      <c r="C1308" s="81"/>
      <c r="F1308" s="85"/>
      <c r="G1308" s="86"/>
      <c r="H1308" s="86"/>
      <c r="I1308" s="87"/>
      <c r="J1308" s="85"/>
      <c r="K1308" s="85"/>
      <c r="M1308" s="81"/>
      <c r="O1308" s="85"/>
      <c r="P1308" s="85"/>
      <c r="Q1308" s="81"/>
    </row>
    <row r="1309" spans="3:17" x14ac:dyDescent="0.3">
      <c r="C1309" s="81"/>
      <c r="F1309" s="85"/>
      <c r="G1309" s="86"/>
      <c r="H1309" s="86"/>
      <c r="I1309" s="87"/>
      <c r="J1309" s="85"/>
      <c r="K1309" s="85"/>
      <c r="M1309" s="81"/>
      <c r="O1309" s="85"/>
      <c r="P1309" s="85"/>
      <c r="Q1309" s="81"/>
    </row>
    <row r="1310" spans="3:17" x14ac:dyDescent="0.3">
      <c r="C1310" s="81"/>
      <c r="F1310" s="85"/>
      <c r="G1310" s="86"/>
      <c r="H1310" s="86"/>
      <c r="I1310" s="87"/>
      <c r="J1310" s="85"/>
      <c r="K1310" s="85"/>
      <c r="M1310" s="81"/>
      <c r="O1310" s="85"/>
      <c r="P1310" s="85"/>
      <c r="Q1310" s="81"/>
    </row>
    <row r="1311" spans="3:17" x14ac:dyDescent="0.3">
      <c r="C1311" s="81"/>
      <c r="F1311" s="85"/>
      <c r="G1311" s="86"/>
      <c r="H1311" s="86"/>
      <c r="I1311" s="87"/>
      <c r="J1311" s="85"/>
      <c r="K1311" s="85"/>
      <c r="M1311" s="81"/>
      <c r="O1311" s="85"/>
      <c r="P1311" s="85"/>
      <c r="Q1311" s="81"/>
    </row>
    <row r="1312" spans="3:17" x14ac:dyDescent="0.3">
      <c r="C1312" s="81"/>
      <c r="F1312" s="85"/>
      <c r="G1312" s="86"/>
      <c r="H1312" s="86"/>
      <c r="I1312" s="87"/>
      <c r="J1312" s="85"/>
      <c r="K1312" s="85"/>
      <c r="M1312" s="81"/>
      <c r="O1312" s="85"/>
      <c r="P1312" s="85"/>
      <c r="Q1312" s="81"/>
    </row>
    <row r="1313" spans="3:17" x14ac:dyDescent="0.3">
      <c r="C1313" s="81"/>
      <c r="F1313" s="85"/>
      <c r="G1313" s="86"/>
      <c r="H1313" s="86"/>
      <c r="I1313" s="87"/>
      <c r="J1313" s="85"/>
      <c r="K1313" s="85"/>
      <c r="M1313" s="81"/>
      <c r="O1313" s="85"/>
      <c r="P1313" s="85"/>
      <c r="Q1313" s="81"/>
    </row>
    <row r="1314" spans="3:17" x14ac:dyDescent="0.3">
      <c r="C1314" s="81"/>
      <c r="F1314" s="85"/>
      <c r="G1314" s="86"/>
      <c r="H1314" s="86"/>
      <c r="I1314" s="87"/>
      <c r="J1314" s="85"/>
      <c r="K1314" s="85"/>
      <c r="M1314" s="81"/>
      <c r="O1314" s="85"/>
      <c r="P1314" s="85"/>
      <c r="Q1314" s="81"/>
    </row>
    <row r="1315" spans="3:17" x14ac:dyDescent="0.3">
      <c r="C1315" s="81"/>
      <c r="F1315" s="85"/>
      <c r="G1315" s="86"/>
      <c r="H1315" s="86"/>
      <c r="I1315" s="87"/>
      <c r="J1315" s="85"/>
      <c r="K1315" s="85"/>
      <c r="M1315" s="81"/>
      <c r="O1315" s="85"/>
      <c r="P1315" s="85"/>
      <c r="Q1315" s="81"/>
    </row>
    <row r="1316" spans="3:17" x14ac:dyDescent="0.3">
      <c r="C1316" s="81"/>
      <c r="F1316" s="85"/>
      <c r="G1316" s="86"/>
      <c r="H1316" s="86"/>
      <c r="I1316" s="87"/>
      <c r="J1316" s="85"/>
      <c r="K1316" s="85"/>
      <c r="M1316" s="81"/>
      <c r="O1316" s="85"/>
      <c r="P1316" s="85"/>
      <c r="Q1316" s="81"/>
    </row>
    <row r="1317" spans="3:17" x14ac:dyDescent="0.3">
      <c r="C1317" s="81"/>
      <c r="F1317" s="85"/>
      <c r="G1317" s="86"/>
      <c r="H1317" s="86"/>
      <c r="I1317" s="87"/>
      <c r="J1317" s="85"/>
      <c r="K1317" s="85"/>
      <c r="M1317" s="81"/>
      <c r="O1317" s="85"/>
      <c r="P1317" s="85"/>
      <c r="Q1317" s="81"/>
    </row>
    <row r="1318" spans="3:17" x14ac:dyDescent="0.3">
      <c r="C1318" s="81"/>
      <c r="F1318" s="85"/>
      <c r="G1318" s="86"/>
      <c r="H1318" s="86"/>
      <c r="I1318" s="87"/>
      <c r="J1318" s="85"/>
      <c r="K1318" s="85"/>
      <c r="M1318" s="81"/>
      <c r="O1318" s="85"/>
      <c r="P1318" s="85"/>
      <c r="Q1318" s="81"/>
    </row>
    <row r="1319" spans="3:17" x14ac:dyDescent="0.3">
      <c r="C1319" s="81"/>
      <c r="F1319" s="85"/>
      <c r="G1319" s="86"/>
      <c r="H1319" s="86"/>
      <c r="I1319" s="87"/>
      <c r="J1319" s="85"/>
      <c r="K1319" s="85"/>
      <c r="M1319" s="81"/>
      <c r="O1319" s="85"/>
      <c r="P1319" s="85"/>
      <c r="Q1319" s="81"/>
    </row>
    <row r="1320" spans="3:17" x14ac:dyDescent="0.3">
      <c r="C1320" s="81"/>
      <c r="F1320" s="85"/>
      <c r="G1320" s="86"/>
      <c r="H1320" s="86"/>
      <c r="I1320" s="87"/>
      <c r="J1320" s="85"/>
      <c r="K1320" s="85"/>
      <c r="M1320" s="81"/>
      <c r="O1320" s="85"/>
      <c r="P1320" s="85"/>
      <c r="Q1320" s="81"/>
    </row>
    <row r="1321" spans="3:17" x14ac:dyDescent="0.3">
      <c r="C1321" s="81"/>
      <c r="F1321" s="85"/>
      <c r="G1321" s="86"/>
      <c r="H1321" s="86"/>
      <c r="I1321" s="87"/>
      <c r="J1321" s="85"/>
      <c r="K1321" s="85"/>
      <c r="M1321" s="81"/>
      <c r="O1321" s="85"/>
      <c r="P1321" s="85"/>
      <c r="Q1321" s="81"/>
    </row>
    <row r="1322" spans="3:17" x14ac:dyDescent="0.3">
      <c r="C1322" s="81"/>
      <c r="F1322" s="85"/>
      <c r="G1322" s="86"/>
      <c r="H1322" s="86"/>
      <c r="I1322" s="87"/>
      <c r="J1322" s="85"/>
      <c r="K1322" s="85"/>
      <c r="M1322" s="81"/>
      <c r="O1322" s="85"/>
      <c r="P1322" s="85"/>
      <c r="Q1322" s="81"/>
    </row>
    <row r="1323" spans="3:17" x14ac:dyDescent="0.3">
      <c r="C1323" s="81"/>
      <c r="F1323" s="85"/>
      <c r="G1323" s="86"/>
      <c r="H1323" s="86"/>
      <c r="I1323" s="87"/>
      <c r="J1323" s="85"/>
      <c r="K1323" s="85"/>
      <c r="M1323" s="81"/>
      <c r="O1323" s="85"/>
      <c r="P1323" s="85"/>
      <c r="Q1323" s="81"/>
    </row>
    <row r="1324" spans="3:17" x14ac:dyDescent="0.3">
      <c r="C1324" s="81"/>
      <c r="F1324" s="85"/>
      <c r="G1324" s="86"/>
      <c r="H1324" s="86"/>
      <c r="I1324" s="87"/>
      <c r="J1324" s="85"/>
      <c r="K1324" s="85"/>
      <c r="M1324" s="81"/>
      <c r="O1324" s="85"/>
      <c r="P1324" s="85"/>
      <c r="Q1324" s="81"/>
    </row>
    <row r="1325" spans="3:17" x14ac:dyDescent="0.3">
      <c r="C1325" s="81"/>
      <c r="F1325" s="85"/>
      <c r="G1325" s="86"/>
      <c r="H1325" s="86"/>
      <c r="I1325" s="87"/>
      <c r="J1325" s="85"/>
      <c r="K1325" s="85"/>
      <c r="M1325" s="81"/>
      <c r="O1325" s="85"/>
      <c r="P1325" s="85"/>
      <c r="Q1325" s="81"/>
    </row>
    <row r="1326" spans="3:17" x14ac:dyDescent="0.3">
      <c r="C1326" s="81"/>
      <c r="F1326" s="85"/>
      <c r="G1326" s="86"/>
      <c r="H1326" s="86"/>
      <c r="I1326" s="87"/>
      <c r="J1326" s="85"/>
      <c r="K1326" s="85"/>
      <c r="M1326" s="81"/>
      <c r="O1326" s="85"/>
      <c r="P1326" s="85"/>
      <c r="Q1326" s="81"/>
    </row>
    <row r="1327" spans="3:17" x14ac:dyDescent="0.3">
      <c r="C1327" s="81"/>
      <c r="F1327" s="85"/>
      <c r="G1327" s="86"/>
      <c r="H1327" s="86"/>
      <c r="I1327" s="87"/>
      <c r="J1327" s="85"/>
      <c r="K1327" s="85"/>
      <c r="M1327" s="81"/>
      <c r="O1327" s="85"/>
      <c r="P1327" s="85"/>
      <c r="Q1327" s="81"/>
    </row>
    <row r="1328" spans="3:17" x14ac:dyDescent="0.3">
      <c r="C1328" s="81"/>
      <c r="F1328" s="85"/>
      <c r="G1328" s="86"/>
      <c r="H1328" s="86"/>
      <c r="I1328" s="87"/>
      <c r="J1328" s="85"/>
      <c r="K1328" s="85"/>
      <c r="M1328" s="81"/>
      <c r="O1328" s="85"/>
      <c r="P1328" s="85"/>
      <c r="Q1328" s="81"/>
    </row>
    <row r="1329" spans="3:17" x14ac:dyDescent="0.3">
      <c r="C1329" s="81"/>
      <c r="F1329" s="85"/>
      <c r="G1329" s="86"/>
      <c r="H1329" s="86"/>
      <c r="I1329" s="87"/>
      <c r="J1329" s="85"/>
      <c r="K1329" s="85"/>
      <c r="M1329" s="81"/>
      <c r="O1329" s="85"/>
      <c r="P1329" s="85"/>
      <c r="Q1329" s="81"/>
    </row>
    <row r="1330" spans="3:17" x14ac:dyDescent="0.3">
      <c r="C1330" s="81"/>
      <c r="F1330" s="85"/>
      <c r="G1330" s="86"/>
      <c r="H1330" s="86"/>
      <c r="I1330" s="87"/>
      <c r="J1330" s="85"/>
      <c r="K1330" s="85"/>
      <c r="M1330" s="81"/>
      <c r="O1330" s="85"/>
      <c r="P1330" s="85"/>
      <c r="Q1330" s="81"/>
    </row>
    <row r="1331" spans="3:17" x14ac:dyDescent="0.3">
      <c r="C1331" s="81"/>
      <c r="F1331" s="85"/>
      <c r="G1331" s="86"/>
      <c r="H1331" s="86"/>
      <c r="I1331" s="87"/>
      <c r="J1331" s="85"/>
      <c r="K1331" s="85"/>
      <c r="M1331" s="81"/>
      <c r="O1331" s="85"/>
      <c r="P1331" s="85"/>
      <c r="Q1331" s="81"/>
    </row>
    <row r="1332" spans="3:17" x14ac:dyDescent="0.3">
      <c r="C1332" s="81"/>
      <c r="F1332" s="85"/>
      <c r="G1332" s="86"/>
      <c r="H1332" s="86"/>
      <c r="I1332" s="87"/>
      <c r="J1332" s="85"/>
      <c r="K1332" s="85"/>
      <c r="M1332" s="81"/>
      <c r="O1332" s="85"/>
      <c r="P1332" s="85"/>
      <c r="Q1332" s="81"/>
    </row>
    <row r="1333" spans="3:17" x14ac:dyDescent="0.3">
      <c r="C1333" s="81"/>
      <c r="F1333" s="85"/>
      <c r="G1333" s="86"/>
      <c r="H1333" s="86"/>
      <c r="I1333" s="87"/>
      <c r="J1333" s="85"/>
      <c r="K1333" s="85"/>
      <c r="M1333" s="81"/>
      <c r="O1333" s="85"/>
      <c r="P1333" s="85"/>
      <c r="Q1333" s="81"/>
    </row>
    <row r="1334" spans="3:17" x14ac:dyDescent="0.3">
      <c r="C1334" s="81"/>
      <c r="F1334" s="85"/>
      <c r="G1334" s="86"/>
      <c r="H1334" s="86"/>
      <c r="I1334" s="87"/>
      <c r="J1334" s="85"/>
      <c r="K1334" s="85"/>
      <c r="M1334" s="81"/>
      <c r="O1334" s="85"/>
      <c r="P1334" s="85"/>
      <c r="Q1334" s="81"/>
    </row>
    <row r="1335" spans="3:17" x14ac:dyDescent="0.3">
      <c r="C1335" s="81"/>
      <c r="F1335" s="85"/>
      <c r="G1335" s="86"/>
      <c r="H1335" s="86"/>
      <c r="I1335" s="87"/>
      <c r="J1335" s="85"/>
      <c r="K1335" s="85"/>
      <c r="M1335" s="81"/>
      <c r="O1335" s="85"/>
      <c r="P1335" s="85"/>
      <c r="Q1335" s="81"/>
    </row>
    <row r="1336" spans="3:17" x14ac:dyDescent="0.3">
      <c r="C1336" s="81"/>
      <c r="F1336" s="85"/>
      <c r="G1336" s="86"/>
      <c r="H1336" s="86"/>
      <c r="I1336" s="87"/>
      <c r="J1336" s="85"/>
      <c r="K1336" s="85"/>
      <c r="M1336" s="81"/>
      <c r="O1336" s="85"/>
      <c r="P1336" s="85"/>
      <c r="Q1336" s="81"/>
    </row>
    <row r="1337" spans="3:17" x14ac:dyDescent="0.3">
      <c r="C1337" s="81"/>
      <c r="F1337" s="85"/>
      <c r="G1337" s="86"/>
      <c r="H1337" s="86"/>
      <c r="I1337" s="87"/>
      <c r="J1337" s="85"/>
      <c r="K1337" s="85"/>
      <c r="M1337" s="81"/>
      <c r="O1337" s="85"/>
      <c r="P1337" s="85"/>
      <c r="Q1337" s="81"/>
    </row>
    <row r="1338" spans="3:17" x14ac:dyDescent="0.3">
      <c r="C1338" s="81"/>
      <c r="F1338" s="85"/>
      <c r="G1338" s="86"/>
      <c r="H1338" s="86"/>
      <c r="I1338" s="87"/>
      <c r="J1338" s="85"/>
      <c r="K1338" s="85"/>
      <c r="M1338" s="81"/>
      <c r="O1338" s="85"/>
      <c r="P1338" s="85"/>
      <c r="Q1338" s="81"/>
    </row>
    <row r="1339" spans="3:17" x14ac:dyDescent="0.3">
      <c r="C1339" s="81"/>
      <c r="F1339" s="85"/>
      <c r="G1339" s="86"/>
      <c r="H1339" s="86"/>
      <c r="I1339" s="87"/>
      <c r="J1339" s="85"/>
      <c r="K1339" s="85"/>
      <c r="M1339" s="81"/>
      <c r="O1339" s="85"/>
      <c r="P1339" s="85"/>
      <c r="Q1339" s="81"/>
    </row>
    <row r="1340" spans="3:17" x14ac:dyDescent="0.3">
      <c r="C1340" s="81"/>
      <c r="F1340" s="85"/>
      <c r="G1340" s="86"/>
      <c r="H1340" s="86"/>
      <c r="I1340" s="87"/>
      <c r="J1340" s="85"/>
      <c r="K1340" s="85"/>
      <c r="M1340" s="81"/>
      <c r="O1340" s="85"/>
      <c r="P1340" s="85"/>
      <c r="Q1340" s="81"/>
    </row>
    <row r="1341" spans="3:17" x14ac:dyDescent="0.3">
      <c r="C1341" s="81"/>
      <c r="F1341" s="85"/>
      <c r="G1341" s="86"/>
      <c r="H1341" s="86"/>
      <c r="I1341" s="87"/>
      <c r="J1341" s="85"/>
      <c r="K1341" s="85"/>
      <c r="M1341" s="81"/>
      <c r="O1341" s="85"/>
      <c r="P1341" s="85"/>
      <c r="Q1341" s="81"/>
    </row>
    <row r="1342" spans="3:17" x14ac:dyDescent="0.3">
      <c r="C1342" s="81"/>
      <c r="F1342" s="85"/>
      <c r="G1342" s="86"/>
      <c r="H1342" s="86"/>
      <c r="I1342" s="87"/>
      <c r="J1342" s="85"/>
      <c r="K1342" s="85"/>
      <c r="M1342" s="81"/>
      <c r="O1342" s="85"/>
      <c r="P1342" s="85"/>
      <c r="Q1342" s="81"/>
    </row>
    <row r="1343" spans="3:17" x14ac:dyDescent="0.3">
      <c r="C1343" s="81"/>
      <c r="F1343" s="85"/>
      <c r="G1343" s="86"/>
      <c r="H1343" s="86"/>
      <c r="I1343" s="87"/>
      <c r="J1343" s="85"/>
      <c r="K1343" s="85"/>
      <c r="M1343" s="81"/>
      <c r="O1343" s="85"/>
      <c r="P1343" s="85"/>
      <c r="Q1343" s="81"/>
    </row>
    <row r="1344" spans="3:17" x14ac:dyDescent="0.3">
      <c r="C1344" s="81"/>
      <c r="F1344" s="85"/>
      <c r="G1344" s="86"/>
      <c r="H1344" s="86"/>
      <c r="I1344" s="87"/>
      <c r="J1344" s="85"/>
      <c r="K1344" s="85"/>
      <c r="M1344" s="81"/>
      <c r="O1344" s="85"/>
      <c r="P1344" s="85"/>
      <c r="Q1344" s="81"/>
    </row>
    <row r="1345" spans="3:17" x14ac:dyDescent="0.3">
      <c r="C1345" s="81"/>
      <c r="F1345" s="85"/>
      <c r="G1345" s="86"/>
      <c r="H1345" s="86"/>
      <c r="I1345" s="87"/>
      <c r="J1345" s="85"/>
      <c r="K1345" s="85"/>
      <c r="M1345" s="81"/>
      <c r="O1345" s="85"/>
      <c r="P1345" s="85"/>
      <c r="Q1345" s="81"/>
    </row>
    <row r="1346" spans="3:17" x14ac:dyDescent="0.3">
      <c r="C1346" s="81"/>
      <c r="F1346" s="85"/>
      <c r="G1346" s="86"/>
      <c r="H1346" s="86"/>
      <c r="I1346" s="87"/>
      <c r="J1346" s="85"/>
      <c r="K1346" s="85"/>
      <c r="M1346" s="81"/>
      <c r="O1346" s="85"/>
      <c r="P1346" s="85"/>
      <c r="Q1346" s="81"/>
    </row>
    <row r="1347" spans="3:17" x14ac:dyDescent="0.3">
      <c r="C1347" s="81"/>
      <c r="F1347" s="85"/>
      <c r="G1347" s="86"/>
      <c r="H1347" s="86"/>
      <c r="I1347" s="87"/>
      <c r="J1347" s="85"/>
      <c r="K1347" s="85"/>
      <c r="M1347" s="81"/>
      <c r="O1347" s="85"/>
      <c r="P1347" s="85"/>
      <c r="Q1347" s="81"/>
    </row>
    <row r="1348" spans="3:17" x14ac:dyDescent="0.3">
      <c r="C1348" s="81"/>
      <c r="F1348" s="85"/>
      <c r="G1348" s="86"/>
      <c r="H1348" s="86"/>
      <c r="I1348" s="87"/>
      <c r="J1348" s="85"/>
      <c r="K1348" s="85"/>
      <c r="M1348" s="81"/>
      <c r="O1348" s="85"/>
      <c r="P1348" s="85"/>
      <c r="Q1348" s="81"/>
    </row>
    <row r="1349" spans="3:17" x14ac:dyDescent="0.3">
      <c r="C1349" s="81"/>
      <c r="F1349" s="85"/>
      <c r="G1349" s="86"/>
      <c r="H1349" s="86"/>
      <c r="I1349" s="87"/>
      <c r="J1349" s="85"/>
      <c r="K1349" s="85"/>
      <c r="M1349" s="81"/>
      <c r="O1349" s="85"/>
      <c r="P1349" s="85"/>
      <c r="Q1349" s="81"/>
    </row>
    <row r="1350" spans="3:17" x14ac:dyDescent="0.3">
      <c r="C1350" s="81"/>
      <c r="F1350" s="85"/>
      <c r="G1350" s="86"/>
      <c r="H1350" s="86"/>
      <c r="I1350" s="87"/>
      <c r="J1350" s="85"/>
      <c r="K1350" s="85"/>
      <c r="M1350" s="81"/>
      <c r="O1350" s="85"/>
      <c r="P1350" s="85"/>
      <c r="Q1350" s="81"/>
    </row>
    <row r="1351" spans="3:17" x14ac:dyDescent="0.3">
      <c r="C1351" s="81"/>
      <c r="F1351" s="85"/>
      <c r="G1351" s="86"/>
      <c r="H1351" s="86"/>
      <c r="I1351" s="87"/>
      <c r="J1351" s="85"/>
      <c r="K1351" s="85"/>
      <c r="M1351" s="81"/>
      <c r="O1351" s="85"/>
      <c r="P1351" s="85"/>
      <c r="Q1351" s="81"/>
    </row>
    <row r="1352" spans="3:17" x14ac:dyDescent="0.3">
      <c r="C1352" s="81"/>
      <c r="F1352" s="85"/>
      <c r="G1352" s="86"/>
      <c r="H1352" s="86"/>
      <c r="I1352" s="87"/>
      <c r="J1352" s="85"/>
      <c r="K1352" s="85"/>
      <c r="M1352" s="81"/>
      <c r="O1352" s="85"/>
      <c r="P1352" s="85"/>
      <c r="Q1352" s="81"/>
    </row>
    <row r="1353" spans="3:17" x14ac:dyDescent="0.3">
      <c r="C1353" s="81"/>
      <c r="F1353" s="85"/>
      <c r="G1353" s="86"/>
      <c r="H1353" s="86"/>
      <c r="I1353" s="87"/>
      <c r="J1353" s="85"/>
      <c r="K1353" s="85"/>
      <c r="M1353" s="81"/>
      <c r="O1353" s="85"/>
      <c r="P1353" s="85"/>
      <c r="Q1353" s="81"/>
    </row>
    <row r="1354" spans="3:17" x14ac:dyDescent="0.3">
      <c r="C1354" s="81"/>
      <c r="F1354" s="85"/>
      <c r="G1354" s="86"/>
      <c r="H1354" s="86"/>
      <c r="I1354" s="87"/>
      <c r="J1354" s="85"/>
      <c r="K1354" s="85"/>
      <c r="M1354" s="81"/>
      <c r="O1354" s="85"/>
      <c r="P1354" s="85"/>
      <c r="Q1354" s="81"/>
    </row>
    <row r="1355" spans="3:17" x14ac:dyDescent="0.3">
      <c r="C1355" s="81"/>
      <c r="F1355" s="85"/>
      <c r="G1355" s="86"/>
      <c r="H1355" s="86"/>
      <c r="I1355" s="87"/>
      <c r="J1355" s="85"/>
      <c r="K1355" s="85"/>
      <c r="M1355" s="81"/>
      <c r="O1355" s="85"/>
      <c r="P1355" s="85"/>
      <c r="Q1355" s="81"/>
    </row>
    <row r="1356" spans="3:17" x14ac:dyDescent="0.3">
      <c r="C1356" s="81"/>
      <c r="F1356" s="85"/>
      <c r="G1356" s="86"/>
      <c r="H1356" s="86"/>
      <c r="I1356" s="87"/>
      <c r="J1356" s="85"/>
      <c r="K1356" s="85"/>
      <c r="M1356" s="81"/>
      <c r="O1356" s="85"/>
      <c r="P1356" s="85"/>
      <c r="Q1356" s="81"/>
    </row>
    <row r="1357" spans="3:17" x14ac:dyDescent="0.3">
      <c r="C1357" s="81"/>
      <c r="F1357" s="85"/>
      <c r="G1357" s="86"/>
      <c r="H1357" s="86"/>
      <c r="I1357" s="87"/>
      <c r="J1357" s="85"/>
      <c r="K1357" s="85"/>
      <c r="M1357" s="81"/>
      <c r="O1357" s="85"/>
      <c r="P1357" s="85"/>
      <c r="Q1357" s="81"/>
    </row>
    <row r="1358" spans="3:17" x14ac:dyDescent="0.3">
      <c r="C1358" s="81"/>
      <c r="F1358" s="85"/>
      <c r="G1358" s="86"/>
      <c r="H1358" s="86"/>
      <c r="I1358" s="87"/>
      <c r="J1358" s="85"/>
      <c r="K1358" s="85"/>
      <c r="M1358" s="81"/>
      <c r="O1358" s="85"/>
      <c r="P1358" s="85"/>
      <c r="Q1358" s="81"/>
    </row>
    <row r="1359" spans="3:17" x14ac:dyDescent="0.3">
      <c r="C1359" s="81"/>
      <c r="F1359" s="85"/>
      <c r="G1359" s="86"/>
      <c r="H1359" s="86"/>
      <c r="I1359" s="87"/>
      <c r="J1359" s="85"/>
      <c r="K1359" s="85"/>
      <c r="M1359" s="81"/>
      <c r="O1359" s="85"/>
      <c r="P1359" s="85"/>
      <c r="Q1359" s="81"/>
    </row>
    <row r="1360" spans="3:17" x14ac:dyDescent="0.3">
      <c r="C1360" s="81"/>
      <c r="F1360" s="85"/>
      <c r="G1360" s="86"/>
      <c r="H1360" s="86"/>
      <c r="I1360" s="87"/>
      <c r="J1360" s="85"/>
      <c r="K1360" s="85"/>
      <c r="M1360" s="81"/>
      <c r="O1360" s="85"/>
      <c r="P1360" s="85"/>
      <c r="Q1360" s="81"/>
    </row>
    <row r="1361" spans="3:17" x14ac:dyDescent="0.3">
      <c r="C1361" s="81"/>
      <c r="F1361" s="85"/>
      <c r="G1361" s="86"/>
      <c r="H1361" s="86"/>
      <c r="I1361" s="87"/>
      <c r="J1361" s="85"/>
      <c r="K1361" s="85"/>
      <c r="M1361" s="81"/>
      <c r="O1361" s="85"/>
      <c r="P1361" s="85"/>
      <c r="Q1361" s="81"/>
    </row>
    <row r="1362" spans="3:17" x14ac:dyDescent="0.3">
      <c r="C1362" s="81"/>
      <c r="F1362" s="85"/>
      <c r="G1362" s="86"/>
      <c r="H1362" s="86"/>
      <c r="I1362" s="87"/>
      <c r="J1362" s="85"/>
      <c r="K1362" s="85"/>
      <c r="M1362" s="81"/>
      <c r="O1362" s="85"/>
      <c r="P1362" s="85"/>
      <c r="Q1362" s="81"/>
    </row>
    <row r="1363" spans="3:17" x14ac:dyDescent="0.3">
      <c r="C1363" s="81"/>
      <c r="F1363" s="85"/>
      <c r="G1363" s="86"/>
      <c r="H1363" s="86"/>
      <c r="I1363" s="87"/>
      <c r="J1363" s="85"/>
      <c r="K1363" s="85"/>
      <c r="M1363" s="81"/>
      <c r="O1363" s="85"/>
      <c r="P1363" s="85"/>
      <c r="Q1363" s="81"/>
    </row>
    <row r="1364" spans="3:17" x14ac:dyDescent="0.3">
      <c r="C1364" s="81"/>
      <c r="F1364" s="85"/>
      <c r="G1364" s="86"/>
      <c r="H1364" s="86"/>
      <c r="I1364" s="87"/>
      <c r="J1364" s="85"/>
      <c r="K1364" s="85"/>
      <c r="M1364" s="81"/>
      <c r="O1364" s="85"/>
      <c r="P1364" s="85"/>
      <c r="Q1364" s="81"/>
    </row>
    <row r="1365" spans="3:17" x14ac:dyDescent="0.3">
      <c r="C1365" s="81"/>
      <c r="F1365" s="85"/>
      <c r="G1365" s="86"/>
      <c r="H1365" s="86"/>
      <c r="I1365" s="87"/>
      <c r="J1365" s="85"/>
      <c r="K1365" s="85"/>
      <c r="M1365" s="81"/>
      <c r="O1365" s="85"/>
      <c r="P1365" s="85"/>
      <c r="Q1365" s="81"/>
    </row>
    <row r="1366" spans="3:17" x14ac:dyDescent="0.3">
      <c r="C1366" s="81"/>
      <c r="F1366" s="85"/>
      <c r="G1366" s="86"/>
      <c r="H1366" s="86"/>
      <c r="I1366" s="87"/>
      <c r="J1366" s="85"/>
      <c r="K1366" s="85"/>
      <c r="M1366" s="81"/>
      <c r="O1366" s="85"/>
      <c r="P1366" s="85"/>
      <c r="Q1366" s="81"/>
    </row>
    <row r="1367" spans="3:17" x14ac:dyDescent="0.3">
      <c r="C1367" s="81"/>
      <c r="F1367" s="85"/>
      <c r="G1367" s="86"/>
      <c r="H1367" s="86"/>
      <c r="I1367" s="87"/>
      <c r="J1367" s="85"/>
      <c r="K1367" s="85"/>
      <c r="M1367" s="81"/>
      <c r="O1367" s="85"/>
      <c r="P1367" s="85"/>
      <c r="Q1367" s="81"/>
    </row>
    <row r="1368" spans="3:17" x14ac:dyDescent="0.3">
      <c r="C1368" s="81"/>
      <c r="F1368" s="85"/>
      <c r="G1368" s="86"/>
      <c r="H1368" s="86"/>
      <c r="I1368" s="87"/>
      <c r="J1368" s="85"/>
      <c r="K1368" s="85"/>
      <c r="M1368" s="81"/>
      <c r="O1368" s="85"/>
      <c r="P1368" s="85"/>
      <c r="Q1368" s="81"/>
    </row>
    <row r="1369" spans="3:17" x14ac:dyDescent="0.3">
      <c r="C1369" s="81"/>
      <c r="F1369" s="85"/>
      <c r="G1369" s="86"/>
      <c r="H1369" s="86"/>
      <c r="I1369" s="87"/>
      <c r="J1369" s="85"/>
      <c r="K1369" s="85"/>
      <c r="M1369" s="81"/>
      <c r="O1369" s="85"/>
      <c r="P1369" s="85"/>
      <c r="Q1369" s="81"/>
    </row>
    <row r="1370" spans="3:17" x14ac:dyDescent="0.3">
      <c r="C1370" s="81"/>
      <c r="F1370" s="85"/>
      <c r="G1370" s="86"/>
      <c r="H1370" s="86"/>
      <c r="I1370" s="87"/>
      <c r="J1370" s="85"/>
      <c r="K1370" s="85"/>
      <c r="M1370" s="81"/>
      <c r="O1370" s="85"/>
      <c r="P1370" s="85"/>
      <c r="Q1370" s="81"/>
    </row>
    <row r="1371" spans="3:17" x14ac:dyDescent="0.3">
      <c r="C1371" s="81"/>
      <c r="F1371" s="85"/>
      <c r="G1371" s="86"/>
      <c r="H1371" s="86"/>
      <c r="I1371" s="87"/>
      <c r="J1371" s="85"/>
      <c r="K1371" s="85"/>
      <c r="M1371" s="81"/>
      <c r="O1371" s="85"/>
      <c r="P1371" s="85"/>
      <c r="Q1371" s="81"/>
    </row>
    <row r="1372" spans="3:17" x14ac:dyDescent="0.3">
      <c r="C1372" s="81"/>
      <c r="F1372" s="85"/>
      <c r="G1372" s="86"/>
      <c r="H1372" s="86"/>
      <c r="I1372" s="87"/>
      <c r="J1372" s="85"/>
      <c r="K1372" s="85"/>
      <c r="M1372" s="81"/>
      <c r="O1372" s="85"/>
      <c r="P1372" s="85"/>
      <c r="Q1372" s="81"/>
    </row>
    <row r="1373" spans="3:17" x14ac:dyDescent="0.3">
      <c r="C1373" s="81"/>
      <c r="F1373" s="85"/>
      <c r="G1373" s="86"/>
      <c r="H1373" s="86"/>
      <c r="I1373" s="87"/>
      <c r="J1373" s="85"/>
      <c r="K1373" s="85"/>
      <c r="M1373" s="81"/>
      <c r="O1373" s="85"/>
      <c r="P1373" s="85"/>
      <c r="Q1373" s="81"/>
    </row>
    <row r="1374" spans="3:17" x14ac:dyDescent="0.3">
      <c r="C1374" s="81"/>
      <c r="F1374" s="85"/>
      <c r="G1374" s="86"/>
      <c r="H1374" s="86"/>
      <c r="I1374" s="87"/>
      <c r="J1374" s="85"/>
      <c r="K1374" s="85"/>
      <c r="M1374" s="81"/>
      <c r="O1374" s="85"/>
      <c r="P1374" s="85"/>
      <c r="Q1374" s="81"/>
    </row>
    <row r="1375" spans="3:17" x14ac:dyDescent="0.3">
      <c r="C1375" s="81"/>
      <c r="F1375" s="85"/>
      <c r="G1375" s="86"/>
      <c r="H1375" s="86"/>
      <c r="I1375" s="87"/>
      <c r="J1375" s="85"/>
      <c r="K1375" s="85"/>
      <c r="M1375" s="81"/>
      <c r="O1375" s="85"/>
      <c r="P1375" s="85"/>
      <c r="Q1375" s="81"/>
    </row>
    <row r="1376" spans="3:17" x14ac:dyDescent="0.3">
      <c r="C1376" s="81"/>
      <c r="F1376" s="85"/>
      <c r="G1376" s="86"/>
      <c r="H1376" s="86"/>
      <c r="I1376" s="87"/>
      <c r="J1376" s="85"/>
      <c r="K1376" s="85"/>
      <c r="M1376" s="81"/>
      <c r="O1376" s="85"/>
      <c r="P1376" s="85"/>
      <c r="Q1376" s="81"/>
    </row>
    <row r="1377" spans="3:17" x14ac:dyDescent="0.3">
      <c r="C1377" s="81"/>
      <c r="F1377" s="85"/>
      <c r="G1377" s="86"/>
      <c r="H1377" s="86"/>
      <c r="I1377" s="87"/>
      <c r="J1377" s="85"/>
      <c r="K1377" s="85"/>
      <c r="M1377" s="81"/>
      <c r="O1377" s="85"/>
      <c r="P1377" s="85"/>
      <c r="Q1377" s="81"/>
    </row>
    <row r="1378" spans="3:17" x14ac:dyDescent="0.3">
      <c r="C1378" s="81"/>
      <c r="F1378" s="85"/>
      <c r="G1378" s="86"/>
      <c r="H1378" s="86"/>
      <c r="I1378" s="87"/>
      <c r="J1378" s="85"/>
      <c r="K1378" s="85"/>
      <c r="M1378" s="81"/>
      <c r="O1378" s="85"/>
      <c r="P1378" s="85"/>
      <c r="Q1378" s="81"/>
    </row>
    <row r="1379" spans="3:17" x14ac:dyDescent="0.3">
      <c r="C1379" s="81"/>
      <c r="F1379" s="85"/>
      <c r="G1379" s="86"/>
      <c r="H1379" s="86"/>
      <c r="I1379" s="87"/>
      <c r="J1379" s="85"/>
      <c r="K1379" s="85"/>
      <c r="M1379" s="81"/>
      <c r="O1379" s="85"/>
      <c r="P1379" s="85"/>
      <c r="Q1379" s="81"/>
    </row>
    <row r="1380" spans="3:17" x14ac:dyDescent="0.3">
      <c r="C1380" s="81"/>
      <c r="F1380" s="85"/>
      <c r="G1380" s="86"/>
      <c r="H1380" s="86"/>
      <c r="I1380" s="87"/>
      <c r="J1380" s="85"/>
      <c r="K1380" s="85"/>
      <c r="M1380" s="81"/>
      <c r="O1380" s="85"/>
      <c r="P1380" s="85"/>
      <c r="Q1380" s="81"/>
    </row>
    <row r="1381" spans="3:17" x14ac:dyDescent="0.3">
      <c r="C1381" s="81"/>
      <c r="F1381" s="85"/>
      <c r="G1381" s="86"/>
      <c r="H1381" s="86"/>
      <c r="I1381" s="87"/>
      <c r="J1381" s="85"/>
      <c r="K1381" s="85"/>
      <c r="M1381" s="81"/>
      <c r="O1381" s="85"/>
      <c r="P1381" s="85"/>
      <c r="Q1381" s="81"/>
    </row>
    <row r="1382" spans="3:17" x14ac:dyDescent="0.3">
      <c r="C1382" s="81"/>
      <c r="F1382" s="85"/>
      <c r="G1382" s="86"/>
      <c r="H1382" s="86"/>
      <c r="I1382" s="87"/>
      <c r="J1382" s="85"/>
      <c r="K1382" s="85"/>
      <c r="M1382" s="81"/>
      <c r="O1382" s="85"/>
      <c r="P1382" s="85"/>
      <c r="Q1382" s="81"/>
    </row>
    <row r="1383" spans="3:17" x14ac:dyDescent="0.3">
      <c r="C1383" s="81"/>
      <c r="F1383" s="85"/>
      <c r="G1383" s="86"/>
      <c r="H1383" s="86"/>
      <c r="I1383" s="87"/>
      <c r="J1383" s="85"/>
      <c r="K1383" s="85"/>
      <c r="M1383" s="81"/>
      <c r="O1383" s="85"/>
      <c r="P1383" s="85"/>
      <c r="Q1383" s="81"/>
    </row>
    <row r="1384" spans="3:17" x14ac:dyDescent="0.3">
      <c r="C1384" s="81"/>
      <c r="F1384" s="85"/>
      <c r="G1384" s="86"/>
      <c r="H1384" s="86"/>
      <c r="I1384" s="87"/>
      <c r="J1384" s="85"/>
      <c r="K1384" s="85"/>
      <c r="M1384" s="81"/>
      <c r="O1384" s="85"/>
      <c r="P1384" s="85"/>
      <c r="Q1384" s="81"/>
    </row>
    <row r="1385" spans="3:17" x14ac:dyDescent="0.3">
      <c r="C1385" s="81"/>
      <c r="F1385" s="85"/>
      <c r="G1385" s="86"/>
      <c r="H1385" s="86"/>
      <c r="I1385" s="87"/>
      <c r="J1385" s="85"/>
      <c r="K1385" s="85"/>
      <c r="M1385" s="81"/>
      <c r="O1385" s="85"/>
      <c r="P1385" s="85"/>
      <c r="Q1385" s="81"/>
    </row>
    <row r="1386" spans="3:17" x14ac:dyDescent="0.3">
      <c r="C1386" s="81"/>
      <c r="F1386" s="85"/>
      <c r="G1386" s="86"/>
      <c r="H1386" s="86"/>
      <c r="I1386" s="87"/>
      <c r="J1386" s="85"/>
      <c r="K1386" s="85"/>
      <c r="M1386" s="81"/>
      <c r="O1386" s="85"/>
      <c r="P1386" s="85"/>
      <c r="Q1386" s="81"/>
    </row>
    <row r="1387" spans="3:17" x14ac:dyDescent="0.3">
      <c r="C1387" s="81"/>
      <c r="F1387" s="85"/>
      <c r="G1387" s="86"/>
      <c r="H1387" s="86"/>
      <c r="I1387" s="87"/>
      <c r="J1387" s="85"/>
      <c r="K1387" s="85"/>
      <c r="M1387" s="81"/>
      <c r="O1387" s="85"/>
      <c r="P1387" s="85"/>
      <c r="Q1387" s="81"/>
    </row>
    <row r="1388" spans="3:17" x14ac:dyDescent="0.3">
      <c r="C1388" s="81"/>
      <c r="F1388" s="85"/>
      <c r="G1388" s="86"/>
      <c r="H1388" s="86"/>
      <c r="I1388" s="87"/>
      <c r="J1388" s="85"/>
      <c r="K1388" s="85"/>
      <c r="M1388" s="81"/>
      <c r="O1388" s="85"/>
      <c r="P1388" s="85"/>
      <c r="Q1388" s="81"/>
    </row>
    <row r="1389" spans="3:17" x14ac:dyDescent="0.3">
      <c r="C1389" s="81"/>
      <c r="F1389" s="85"/>
      <c r="G1389" s="86"/>
      <c r="H1389" s="86"/>
      <c r="I1389" s="87"/>
      <c r="J1389" s="85"/>
      <c r="K1389" s="85"/>
      <c r="M1389" s="81"/>
      <c r="O1389" s="85"/>
      <c r="P1389" s="85"/>
      <c r="Q1389" s="81"/>
    </row>
    <row r="1390" spans="3:17" x14ac:dyDescent="0.3">
      <c r="C1390" s="81"/>
      <c r="F1390" s="85"/>
      <c r="G1390" s="86"/>
      <c r="H1390" s="86"/>
      <c r="I1390" s="87"/>
      <c r="J1390" s="85"/>
      <c r="K1390" s="85"/>
      <c r="M1390" s="81"/>
      <c r="O1390" s="85"/>
      <c r="P1390" s="85"/>
      <c r="Q1390" s="81"/>
    </row>
    <row r="1391" spans="3:17" x14ac:dyDescent="0.3">
      <c r="C1391" s="81"/>
      <c r="F1391" s="85"/>
      <c r="G1391" s="86"/>
      <c r="H1391" s="86"/>
      <c r="I1391" s="87"/>
      <c r="J1391" s="85"/>
      <c r="K1391" s="85"/>
      <c r="M1391" s="81"/>
      <c r="O1391" s="85"/>
      <c r="P1391" s="85"/>
      <c r="Q1391" s="81"/>
    </row>
    <row r="1392" spans="3:17" x14ac:dyDescent="0.3">
      <c r="C1392" s="81"/>
      <c r="F1392" s="85"/>
      <c r="G1392" s="86"/>
      <c r="H1392" s="86"/>
      <c r="I1392" s="87"/>
      <c r="J1392" s="85"/>
      <c r="K1392" s="85"/>
      <c r="M1392" s="81"/>
      <c r="O1392" s="85"/>
      <c r="P1392" s="85"/>
      <c r="Q1392" s="81"/>
    </row>
    <row r="1393" spans="3:17" x14ac:dyDescent="0.3">
      <c r="C1393" s="81"/>
      <c r="F1393" s="85"/>
      <c r="G1393" s="86"/>
      <c r="H1393" s="86"/>
      <c r="I1393" s="87"/>
      <c r="J1393" s="85"/>
      <c r="K1393" s="85"/>
      <c r="M1393" s="81"/>
      <c r="O1393" s="85"/>
      <c r="P1393" s="85"/>
      <c r="Q1393" s="81"/>
    </row>
    <row r="1394" spans="3:17" x14ac:dyDescent="0.3">
      <c r="C1394" s="81"/>
      <c r="F1394" s="85"/>
      <c r="G1394" s="86"/>
      <c r="H1394" s="86"/>
      <c r="I1394" s="87"/>
      <c r="J1394" s="85"/>
      <c r="K1394" s="85"/>
      <c r="M1394" s="81"/>
      <c r="O1394" s="85"/>
      <c r="P1394" s="85"/>
      <c r="Q1394" s="81"/>
    </row>
    <row r="1395" spans="3:17" x14ac:dyDescent="0.3">
      <c r="C1395" s="81"/>
      <c r="F1395" s="85"/>
      <c r="G1395" s="86"/>
      <c r="H1395" s="86"/>
      <c r="I1395" s="87"/>
      <c r="J1395" s="85"/>
      <c r="K1395" s="85"/>
      <c r="M1395" s="81"/>
      <c r="O1395" s="85"/>
      <c r="P1395" s="85"/>
      <c r="Q1395" s="81"/>
    </row>
    <row r="1396" spans="3:17" x14ac:dyDescent="0.3">
      <c r="C1396" s="81"/>
      <c r="F1396" s="85"/>
      <c r="G1396" s="86"/>
      <c r="H1396" s="86"/>
      <c r="I1396" s="87"/>
      <c r="J1396" s="85"/>
      <c r="K1396" s="85"/>
      <c r="M1396" s="81"/>
      <c r="O1396" s="85"/>
      <c r="P1396" s="85"/>
      <c r="Q1396" s="81"/>
    </row>
    <row r="1397" spans="3:17" x14ac:dyDescent="0.3">
      <c r="C1397" s="81"/>
      <c r="F1397" s="85"/>
      <c r="G1397" s="86"/>
      <c r="H1397" s="86"/>
      <c r="I1397" s="87"/>
      <c r="J1397" s="85"/>
      <c r="K1397" s="85"/>
      <c r="M1397" s="81"/>
      <c r="O1397" s="85"/>
      <c r="P1397" s="85"/>
      <c r="Q1397" s="81"/>
    </row>
    <row r="1398" spans="3:17" x14ac:dyDescent="0.3">
      <c r="C1398" s="81"/>
      <c r="F1398" s="85"/>
      <c r="G1398" s="86"/>
      <c r="H1398" s="86"/>
      <c r="I1398" s="87"/>
      <c r="J1398" s="85"/>
      <c r="K1398" s="85"/>
      <c r="M1398" s="81"/>
      <c r="O1398" s="85"/>
      <c r="P1398" s="85"/>
      <c r="Q1398" s="81"/>
    </row>
    <row r="1399" spans="3:17" x14ac:dyDescent="0.3">
      <c r="C1399" s="81"/>
      <c r="F1399" s="85"/>
      <c r="G1399" s="86"/>
      <c r="H1399" s="86"/>
      <c r="I1399" s="87"/>
      <c r="J1399" s="85"/>
      <c r="K1399" s="85"/>
      <c r="M1399" s="81"/>
      <c r="O1399" s="85"/>
      <c r="P1399" s="85"/>
      <c r="Q1399" s="81"/>
    </row>
    <row r="1400" spans="3:17" x14ac:dyDescent="0.3">
      <c r="C1400" s="81"/>
      <c r="F1400" s="85"/>
      <c r="G1400" s="86"/>
      <c r="H1400" s="86"/>
      <c r="I1400" s="87"/>
      <c r="J1400" s="85"/>
      <c r="K1400" s="85"/>
      <c r="M1400" s="81"/>
      <c r="O1400" s="85"/>
      <c r="P1400" s="85"/>
      <c r="Q1400" s="81"/>
    </row>
    <row r="1401" spans="3:17" x14ac:dyDescent="0.3">
      <c r="C1401" s="81"/>
      <c r="F1401" s="85"/>
      <c r="G1401" s="86"/>
      <c r="H1401" s="86"/>
      <c r="I1401" s="87"/>
      <c r="J1401" s="85"/>
      <c r="K1401" s="85"/>
      <c r="M1401" s="81"/>
      <c r="O1401" s="85"/>
      <c r="P1401" s="85"/>
      <c r="Q1401" s="81"/>
    </row>
    <row r="1402" spans="3:17" x14ac:dyDescent="0.3">
      <c r="C1402" s="81"/>
      <c r="F1402" s="85"/>
      <c r="G1402" s="86"/>
      <c r="H1402" s="86"/>
      <c r="I1402" s="87"/>
      <c r="J1402" s="85"/>
      <c r="K1402" s="85"/>
      <c r="M1402" s="81"/>
      <c r="O1402" s="85"/>
      <c r="P1402" s="85"/>
      <c r="Q1402" s="81"/>
    </row>
    <row r="1403" spans="3:17" x14ac:dyDescent="0.3">
      <c r="C1403" s="81"/>
      <c r="F1403" s="85"/>
      <c r="G1403" s="86"/>
      <c r="H1403" s="86"/>
      <c r="I1403" s="87"/>
      <c r="J1403" s="85"/>
      <c r="K1403" s="85"/>
      <c r="M1403" s="81"/>
      <c r="O1403" s="85"/>
      <c r="P1403" s="85"/>
      <c r="Q1403" s="81"/>
    </row>
    <row r="1404" spans="3:17" x14ac:dyDescent="0.3">
      <c r="C1404" s="81"/>
      <c r="F1404" s="85"/>
      <c r="G1404" s="86"/>
      <c r="H1404" s="86"/>
      <c r="I1404" s="87"/>
      <c r="J1404" s="85"/>
      <c r="K1404" s="85"/>
      <c r="M1404" s="81"/>
      <c r="O1404" s="85"/>
      <c r="P1404" s="85"/>
      <c r="Q1404" s="81"/>
    </row>
    <row r="1405" spans="3:17" x14ac:dyDescent="0.3">
      <c r="C1405" s="81"/>
      <c r="F1405" s="85"/>
      <c r="G1405" s="86"/>
      <c r="H1405" s="86"/>
      <c r="I1405" s="87"/>
      <c r="J1405" s="85"/>
      <c r="K1405" s="85"/>
      <c r="M1405" s="81"/>
      <c r="O1405" s="85"/>
      <c r="P1405" s="85"/>
      <c r="Q1405" s="81"/>
    </row>
    <row r="1406" spans="3:17" x14ac:dyDescent="0.3">
      <c r="C1406" s="81"/>
      <c r="F1406" s="85"/>
      <c r="G1406" s="86"/>
      <c r="H1406" s="86"/>
      <c r="I1406" s="87"/>
      <c r="J1406" s="85"/>
      <c r="K1406" s="85"/>
      <c r="M1406" s="81"/>
      <c r="O1406" s="85"/>
      <c r="P1406" s="85"/>
      <c r="Q1406" s="81"/>
    </row>
    <row r="1407" spans="3:17" x14ac:dyDescent="0.3">
      <c r="C1407" s="81"/>
      <c r="F1407" s="85"/>
      <c r="G1407" s="86"/>
      <c r="H1407" s="86"/>
      <c r="I1407" s="87"/>
      <c r="J1407" s="85"/>
      <c r="K1407" s="85"/>
      <c r="M1407" s="81"/>
      <c r="O1407" s="85"/>
      <c r="P1407" s="85"/>
      <c r="Q1407" s="81"/>
    </row>
    <row r="1408" spans="3:17" x14ac:dyDescent="0.3">
      <c r="C1408" s="81"/>
      <c r="F1408" s="85"/>
      <c r="G1408" s="86"/>
      <c r="H1408" s="86"/>
      <c r="I1408" s="87"/>
      <c r="J1408" s="85"/>
      <c r="K1408" s="85"/>
      <c r="M1408" s="81"/>
      <c r="O1408" s="85"/>
      <c r="P1408" s="85"/>
      <c r="Q1408" s="81"/>
    </row>
    <row r="1409" spans="3:17" x14ac:dyDescent="0.3">
      <c r="C1409" s="81"/>
      <c r="F1409" s="85"/>
      <c r="G1409" s="86"/>
      <c r="H1409" s="86"/>
      <c r="I1409" s="87"/>
      <c r="J1409" s="85"/>
      <c r="K1409" s="85"/>
      <c r="M1409" s="81"/>
      <c r="O1409" s="85"/>
      <c r="P1409" s="85"/>
      <c r="Q1409" s="81"/>
    </row>
    <row r="1410" spans="3:17" x14ac:dyDescent="0.3">
      <c r="C1410" s="81"/>
      <c r="F1410" s="85"/>
      <c r="G1410" s="86"/>
      <c r="H1410" s="86"/>
      <c r="I1410" s="87"/>
      <c r="J1410" s="85"/>
      <c r="K1410" s="85"/>
      <c r="M1410" s="81"/>
      <c r="O1410" s="85"/>
      <c r="P1410" s="85"/>
      <c r="Q1410" s="81"/>
    </row>
    <row r="1411" spans="3:17" x14ac:dyDescent="0.3">
      <c r="C1411" s="81"/>
      <c r="F1411" s="85"/>
      <c r="G1411" s="86"/>
      <c r="H1411" s="86"/>
      <c r="I1411" s="87"/>
      <c r="J1411" s="85"/>
      <c r="K1411" s="85"/>
      <c r="M1411" s="81"/>
      <c r="O1411" s="85"/>
      <c r="P1411" s="85"/>
      <c r="Q1411" s="81"/>
    </row>
    <row r="1412" spans="3:17" x14ac:dyDescent="0.3">
      <c r="C1412" s="81"/>
      <c r="F1412" s="85"/>
      <c r="G1412" s="86"/>
      <c r="H1412" s="86"/>
      <c r="I1412" s="87"/>
      <c r="J1412" s="85"/>
      <c r="K1412" s="85"/>
      <c r="M1412" s="81"/>
      <c r="O1412" s="85"/>
      <c r="P1412" s="85"/>
      <c r="Q1412" s="81"/>
    </row>
    <row r="1413" spans="3:17" x14ac:dyDescent="0.3">
      <c r="C1413" s="81"/>
      <c r="F1413" s="85"/>
      <c r="G1413" s="86"/>
      <c r="H1413" s="86"/>
      <c r="I1413" s="87"/>
      <c r="J1413" s="85"/>
      <c r="K1413" s="85"/>
      <c r="M1413" s="81"/>
      <c r="O1413" s="85"/>
      <c r="P1413" s="85"/>
      <c r="Q1413" s="81"/>
    </row>
    <row r="1414" spans="3:17" x14ac:dyDescent="0.3">
      <c r="C1414" s="81"/>
      <c r="F1414" s="85"/>
      <c r="G1414" s="86"/>
      <c r="H1414" s="86"/>
      <c r="I1414" s="87"/>
      <c r="J1414" s="85"/>
      <c r="K1414" s="85"/>
      <c r="M1414" s="81"/>
      <c r="O1414" s="85"/>
      <c r="P1414" s="85"/>
      <c r="Q1414" s="81"/>
    </row>
    <row r="1415" spans="3:17" x14ac:dyDescent="0.3">
      <c r="C1415" s="81"/>
      <c r="F1415" s="85"/>
      <c r="G1415" s="86"/>
      <c r="H1415" s="86"/>
      <c r="I1415" s="87"/>
      <c r="J1415" s="85"/>
      <c r="K1415" s="85"/>
      <c r="M1415" s="81"/>
      <c r="O1415" s="85"/>
      <c r="P1415" s="85"/>
      <c r="Q1415" s="81"/>
    </row>
    <row r="1416" spans="3:17" x14ac:dyDescent="0.3">
      <c r="C1416" s="81"/>
      <c r="F1416" s="85"/>
      <c r="G1416" s="86"/>
      <c r="H1416" s="86"/>
      <c r="I1416" s="87"/>
      <c r="J1416" s="85"/>
      <c r="K1416" s="85"/>
      <c r="M1416" s="81"/>
      <c r="O1416" s="85"/>
      <c r="P1416" s="85"/>
      <c r="Q1416" s="81"/>
    </row>
    <row r="1417" spans="3:17" x14ac:dyDescent="0.3">
      <c r="C1417" s="81"/>
      <c r="F1417" s="85"/>
      <c r="G1417" s="86"/>
      <c r="H1417" s="86"/>
      <c r="I1417" s="87"/>
      <c r="J1417" s="85"/>
      <c r="K1417" s="85"/>
      <c r="M1417" s="81"/>
      <c r="O1417" s="85"/>
      <c r="P1417" s="85"/>
      <c r="Q1417" s="81"/>
    </row>
    <row r="1418" spans="3:17" x14ac:dyDescent="0.3">
      <c r="C1418" s="81"/>
      <c r="F1418" s="85"/>
      <c r="G1418" s="86"/>
      <c r="H1418" s="86"/>
      <c r="I1418" s="87"/>
      <c r="J1418" s="85"/>
      <c r="K1418" s="85"/>
      <c r="M1418" s="81"/>
      <c r="O1418" s="85"/>
      <c r="P1418" s="85"/>
      <c r="Q1418" s="81"/>
    </row>
    <row r="1419" spans="3:17" x14ac:dyDescent="0.3">
      <c r="C1419" s="81"/>
      <c r="F1419" s="85"/>
      <c r="G1419" s="86"/>
      <c r="H1419" s="86"/>
      <c r="I1419" s="87"/>
      <c r="J1419" s="85"/>
      <c r="K1419" s="85"/>
      <c r="M1419" s="81"/>
      <c r="O1419" s="85"/>
      <c r="P1419" s="85"/>
      <c r="Q1419" s="81"/>
    </row>
    <row r="1420" spans="3:17" x14ac:dyDescent="0.3">
      <c r="C1420" s="81"/>
      <c r="F1420" s="85"/>
      <c r="G1420" s="86"/>
      <c r="H1420" s="86"/>
      <c r="I1420" s="87"/>
      <c r="J1420" s="85"/>
      <c r="K1420" s="85"/>
      <c r="M1420" s="81"/>
      <c r="O1420" s="85"/>
      <c r="P1420" s="85"/>
      <c r="Q1420" s="81"/>
    </row>
    <row r="1421" spans="3:17" x14ac:dyDescent="0.3">
      <c r="C1421" s="81"/>
      <c r="F1421" s="85"/>
      <c r="G1421" s="86"/>
      <c r="H1421" s="86"/>
      <c r="I1421" s="87"/>
      <c r="J1421" s="85"/>
      <c r="K1421" s="85"/>
      <c r="M1421" s="81"/>
      <c r="O1421" s="85"/>
      <c r="P1421" s="85"/>
      <c r="Q1421" s="81"/>
    </row>
    <row r="1422" spans="3:17" x14ac:dyDescent="0.3">
      <c r="C1422" s="81"/>
      <c r="F1422" s="85"/>
      <c r="G1422" s="86"/>
      <c r="H1422" s="86"/>
      <c r="I1422" s="87"/>
      <c r="J1422" s="85"/>
      <c r="K1422" s="85"/>
      <c r="M1422" s="81"/>
      <c r="O1422" s="85"/>
      <c r="P1422" s="85"/>
      <c r="Q1422" s="81"/>
    </row>
    <row r="1423" spans="3:17" x14ac:dyDescent="0.3">
      <c r="C1423" s="81"/>
      <c r="F1423" s="85"/>
      <c r="G1423" s="86"/>
      <c r="H1423" s="86"/>
      <c r="I1423" s="87"/>
      <c r="J1423" s="85"/>
      <c r="K1423" s="85"/>
      <c r="M1423" s="81"/>
      <c r="O1423" s="85"/>
      <c r="P1423" s="85"/>
      <c r="Q1423" s="81"/>
    </row>
    <row r="1424" spans="3:17" x14ac:dyDescent="0.3">
      <c r="C1424" s="81"/>
      <c r="F1424" s="85"/>
      <c r="G1424" s="86"/>
      <c r="H1424" s="86"/>
      <c r="I1424" s="87"/>
      <c r="J1424" s="85"/>
      <c r="K1424" s="85"/>
      <c r="M1424" s="81"/>
      <c r="O1424" s="85"/>
      <c r="P1424" s="85"/>
      <c r="Q1424" s="81"/>
    </row>
    <row r="1425" spans="3:17" x14ac:dyDescent="0.3">
      <c r="C1425" s="81"/>
      <c r="F1425" s="85"/>
      <c r="G1425" s="86"/>
      <c r="H1425" s="86"/>
      <c r="I1425" s="87"/>
      <c r="J1425" s="85"/>
      <c r="K1425" s="85"/>
      <c r="M1425" s="81"/>
      <c r="O1425" s="85"/>
      <c r="P1425" s="85"/>
      <c r="Q1425" s="81"/>
    </row>
    <row r="1426" spans="3:17" x14ac:dyDescent="0.3">
      <c r="C1426" s="81"/>
      <c r="F1426" s="85"/>
      <c r="G1426" s="86"/>
      <c r="H1426" s="86"/>
      <c r="I1426" s="87"/>
      <c r="J1426" s="85"/>
      <c r="K1426" s="85"/>
      <c r="M1426" s="81"/>
      <c r="O1426" s="85"/>
      <c r="P1426" s="85"/>
      <c r="Q1426" s="81"/>
    </row>
    <row r="1427" spans="3:17" x14ac:dyDescent="0.3">
      <c r="C1427" s="81"/>
      <c r="F1427" s="85"/>
      <c r="G1427" s="86"/>
      <c r="H1427" s="86"/>
      <c r="I1427" s="87"/>
      <c r="J1427" s="85"/>
      <c r="K1427" s="85"/>
      <c r="M1427" s="81"/>
      <c r="O1427" s="85"/>
      <c r="P1427" s="85"/>
      <c r="Q1427" s="81"/>
    </row>
    <row r="1428" spans="3:17" x14ac:dyDescent="0.3">
      <c r="C1428" s="81"/>
      <c r="F1428" s="85"/>
      <c r="G1428" s="86"/>
      <c r="H1428" s="86"/>
      <c r="I1428" s="87"/>
      <c r="J1428" s="85"/>
      <c r="K1428" s="85"/>
      <c r="M1428" s="81"/>
      <c r="O1428" s="85"/>
      <c r="P1428" s="85"/>
      <c r="Q1428" s="81"/>
    </row>
    <row r="1429" spans="3:17" x14ac:dyDescent="0.3">
      <c r="C1429" s="81"/>
      <c r="F1429" s="85"/>
      <c r="G1429" s="86"/>
      <c r="H1429" s="86"/>
      <c r="I1429" s="87"/>
      <c r="J1429" s="85"/>
      <c r="K1429" s="85"/>
      <c r="M1429" s="81"/>
      <c r="O1429" s="85"/>
      <c r="P1429" s="85"/>
      <c r="Q1429" s="81"/>
    </row>
    <row r="1430" spans="3:17" x14ac:dyDescent="0.3">
      <c r="C1430" s="81"/>
      <c r="F1430" s="85"/>
      <c r="G1430" s="86"/>
      <c r="H1430" s="86"/>
      <c r="I1430" s="87"/>
      <c r="J1430" s="85"/>
      <c r="K1430" s="85"/>
      <c r="M1430" s="81"/>
      <c r="O1430" s="85"/>
      <c r="P1430" s="85"/>
      <c r="Q1430" s="81"/>
    </row>
    <row r="1431" spans="3:17" x14ac:dyDescent="0.3">
      <c r="C1431" s="81"/>
      <c r="F1431" s="85"/>
      <c r="G1431" s="86"/>
      <c r="H1431" s="86"/>
      <c r="I1431" s="87"/>
      <c r="J1431" s="85"/>
      <c r="K1431" s="85"/>
      <c r="M1431" s="81"/>
      <c r="O1431" s="85"/>
      <c r="P1431" s="85"/>
      <c r="Q1431" s="81"/>
    </row>
    <row r="1432" spans="3:17" x14ac:dyDescent="0.3">
      <c r="C1432" s="81"/>
      <c r="F1432" s="85"/>
      <c r="G1432" s="86"/>
      <c r="H1432" s="86"/>
      <c r="I1432" s="87"/>
      <c r="J1432" s="85"/>
      <c r="K1432" s="85"/>
      <c r="M1432" s="81"/>
      <c r="O1432" s="85"/>
      <c r="P1432" s="85"/>
      <c r="Q1432" s="81"/>
    </row>
    <row r="1433" spans="3:17" x14ac:dyDescent="0.3">
      <c r="C1433" s="81"/>
      <c r="F1433" s="85"/>
      <c r="G1433" s="86"/>
      <c r="H1433" s="86"/>
      <c r="I1433" s="87"/>
      <c r="J1433" s="85"/>
      <c r="K1433" s="85"/>
      <c r="M1433" s="81"/>
      <c r="O1433" s="85"/>
      <c r="P1433" s="85"/>
      <c r="Q1433" s="81"/>
    </row>
    <row r="1434" spans="3:17" x14ac:dyDescent="0.3">
      <c r="C1434" s="81"/>
      <c r="F1434" s="85"/>
      <c r="G1434" s="86"/>
      <c r="H1434" s="86"/>
      <c r="I1434" s="87"/>
      <c r="J1434" s="85"/>
      <c r="K1434" s="85"/>
      <c r="M1434" s="81"/>
      <c r="O1434" s="85"/>
      <c r="P1434" s="85"/>
      <c r="Q1434" s="81"/>
    </row>
    <row r="1435" spans="3:17" x14ac:dyDescent="0.3">
      <c r="C1435" s="81"/>
      <c r="F1435" s="85"/>
      <c r="G1435" s="86"/>
      <c r="H1435" s="86"/>
      <c r="I1435" s="87"/>
      <c r="J1435" s="85"/>
      <c r="K1435" s="85"/>
      <c r="M1435" s="81"/>
      <c r="O1435" s="85"/>
      <c r="P1435" s="85"/>
      <c r="Q1435" s="81"/>
    </row>
    <row r="1436" spans="3:17" x14ac:dyDescent="0.3">
      <c r="C1436" s="81"/>
      <c r="F1436" s="85"/>
      <c r="G1436" s="86"/>
      <c r="H1436" s="86"/>
      <c r="I1436" s="87"/>
      <c r="J1436" s="85"/>
      <c r="K1436" s="85"/>
      <c r="M1436" s="81"/>
      <c r="O1436" s="85"/>
      <c r="P1436" s="85"/>
      <c r="Q1436" s="81"/>
    </row>
    <row r="1437" spans="3:17" x14ac:dyDescent="0.3">
      <c r="C1437" s="81"/>
      <c r="F1437" s="85"/>
      <c r="G1437" s="86"/>
      <c r="H1437" s="86"/>
      <c r="I1437" s="87"/>
      <c r="J1437" s="85"/>
      <c r="K1437" s="85"/>
      <c r="M1437" s="81"/>
      <c r="O1437" s="85"/>
      <c r="P1437" s="85"/>
      <c r="Q1437" s="81"/>
    </row>
    <row r="1438" spans="3:17" x14ac:dyDescent="0.3">
      <c r="C1438" s="81"/>
      <c r="F1438" s="85"/>
      <c r="G1438" s="86"/>
      <c r="H1438" s="86"/>
      <c r="I1438" s="87"/>
      <c r="J1438" s="85"/>
      <c r="K1438" s="85"/>
      <c r="M1438" s="81"/>
      <c r="O1438" s="85"/>
      <c r="P1438" s="85"/>
      <c r="Q1438" s="81"/>
    </row>
    <row r="1439" spans="3:17" x14ac:dyDescent="0.3">
      <c r="C1439" s="81"/>
      <c r="F1439" s="85"/>
      <c r="G1439" s="86"/>
      <c r="H1439" s="86"/>
      <c r="I1439" s="87"/>
      <c r="J1439" s="85"/>
      <c r="K1439" s="85"/>
      <c r="M1439" s="81"/>
      <c r="O1439" s="85"/>
      <c r="P1439" s="85"/>
      <c r="Q1439" s="81"/>
    </row>
    <row r="1440" spans="3:17" x14ac:dyDescent="0.3">
      <c r="C1440" s="81"/>
      <c r="F1440" s="85"/>
      <c r="G1440" s="86"/>
      <c r="H1440" s="86"/>
      <c r="I1440" s="87"/>
      <c r="J1440" s="85"/>
      <c r="K1440" s="85"/>
      <c r="M1440" s="81"/>
      <c r="O1440" s="85"/>
      <c r="P1440" s="85"/>
      <c r="Q1440" s="81"/>
    </row>
    <row r="1441" spans="3:17" x14ac:dyDescent="0.3">
      <c r="C1441" s="81"/>
      <c r="F1441" s="85"/>
      <c r="G1441" s="86"/>
      <c r="H1441" s="86"/>
      <c r="I1441" s="87"/>
      <c r="J1441" s="85"/>
      <c r="K1441" s="85"/>
      <c r="M1441" s="81"/>
      <c r="O1441" s="85"/>
      <c r="P1441" s="85"/>
      <c r="Q1441" s="81"/>
    </row>
    <row r="1442" spans="3:17" x14ac:dyDescent="0.3">
      <c r="C1442" s="81"/>
      <c r="F1442" s="85"/>
      <c r="G1442" s="86"/>
      <c r="H1442" s="86"/>
      <c r="I1442" s="87"/>
      <c r="J1442" s="85"/>
      <c r="K1442" s="85"/>
      <c r="M1442" s="81"/>
      <c r="O1442" s="85"/>
      <c r="P1442" s="85"/>
      <c r="Q1442" s="81"/>
    </row>
    <row r="1443" spans="3:17" x14ac:dyDescent="0.3">
      <c r="C1443" s="81"/>
      <c r="F1443" s="85"/>
      <c r="G1443" s="86"/>
      <c r="H1443" s="86"/>
      <c r="I1443" s="87"/>
      <c r="J1443" s="85"/>
      <c r="K1443" s="85"/>
      <c r="M1443" s="81"/>
      <c r="O1443" s="85"/>
      <c r="P1443" s="85"/>
      <c r="Q1443" s="81"/>
    </row>
    <row r="1444" spans="3:17" x14ac:dyDescent="0.3">
      <c r="C1444" s="81"/>
      <c r="F1444" s="85"/>
      <c r="G1444" s="86"/>
      <c r="H1444" s="86"/>
      <c r="I1444" s="87"/>
      <c r="J1444" s="85"/>
      <c r="K1444" s="85"/>
      <c r="M1444" s="81"/>
      <c r="O1444" s="85"/>
      <c r="P1444" s="85"/>
      <c r="Q1444" s="81"/>
    </row>
    <row r="1445" spans="3:17" x14ac:dyDescent="0.3">
      <c r="C1445" s="81"/>
      <c r="F1445" s="85"/>
      <c r="G1445" s="86"/>
      <c r="H1445" s="86"/>
      <c r="I1445" s="87"/>
      <c r="J1445" s="85"/>
      <c r="K1445" s="85"/>
      <c r="M1445" s="81"/>
      <c r="O1445" s="85"/>
      <c r="P1445" s="85"/>
      <c r="Q1445" s="81"/>
    </row>
    <row r="1446" spans="3:17" x14ac:dyDescent="0.3">
      <c r="C1446" s="81"/>
      <c r="F1446" s="85"/>
      <c r="G1446" s="86"/>
      <c r="H1446" s="86"/>
      <c r="I1446" s="87"/>
      <c r="J1446" s="85"/>
      <c r="K1446" s="85"/>
      <c r="M1446" s="81"/>
      <c r="O1446" s="85"/>
      <c r="P1446" s="85"/>
      <c r="Q1446" s="81"/>
    </row>
    <row r="1447" spans="3:17" x14ac:dyDescent="0.3">
      <c r="C1447" s="81"/>
      <c r="F1447" s="85"/>
      <c r="G1447" s="86"/>
      <c r="H1447" s="86"/>
      <c r="I1447" s="87"/>
      <c r="J1447" s="85"/>
      <c r="K1447" s="85"/>
      <c r="M1447" s="81"/>
      <c r="O1447" s="85"/>
      <c r="P1447" s="85"/>
      <c r="Q1447" s="81"/>
    </row>
    <row r="1448" spans="3:17" x14ac:dyDescent="0.3">
      <c r="C1448" s="81"/>
      <c r="F1448" s="85"/>
      <c r="G1448" s="86"/>
      <c r="H1448" s="86"/>
      <c r="I1448" s="87"/>
      <c r="J1448" s="85"/>
      <c r="K1448" s="85"/>
      <c r="M1448" s="81"/>
      <c r="O1448" s="85"/>
      <c r="P1448" s="85"/>
      <c r="Q1448" s="81"/>
    </row>
    <row r="1449" spans="3:17" x14ac:dyDescent="0.3">
      <c r="C1449" s="81"/>
      <c r="F1449" s="85"/>
      <c r="G1449" s="86"/>
      <c r="H1449" s="86"/>
      <c r="I1449" s="87"/>
      <c r="J1449" s="85"/>
      <c r="K1449" s="85"/>
      <c r="M1449" s="81"/>
      <c r="O1449" s="85"/>
      <c r="P1449" s="85"/>
      <c r="Q1449" s="81"/>
    </row>
    <row r="1450" spans="3:17" x14ac:dyDescent="0.3">
      <c r="C1450" s="81"/>
      <c r="F1450" s="85"/>
      <c r="G1450" s="86"/>
      <c r="H1450" s="86"/>
      <c r="I1450" s="87"/>
      <c r="J1450" s="85"/>
      <c r="K1450" s="85"/>
      <c r="M1450" s="81"/>
      <c r="O1450" s="85"/>
      <c r="P1450" s="85"/>
      <c r="Q1450" s="81"/>
    </row>
    <row r="1451" spans="3:17" x14ac:dyDescent="0.3">
      <c r="C1451" s="81"/>
      <c r="F1451" s="85"/>
      <c r="G1451" s="86"/>
      <c r="H1451" s="86"/>
      <c r="I1451" s="87"/>
      <c r="J1451" s="85"/>
      <c r="K1451" s="85"/>
      <c r="M1451" s="81"/>
      <c r="O1451" s="85"/>
      <c r="P1451" s="85"/>
      <c r="Q1451" s="81"/>
    </row>
    <row r="1452" spans="3:17" x14ac:dyDescent="0.3">
      <c r="C1452" s="81"/>
      <c r="F1452" s="85"/>
      <c r="G1452" s="86"/>
      <c r="H1452" s="86"/>
      <c r="I1452" s="87"/>
      <c r="J1452" s="85"/>
      <c r="K1452" s="85"/>
      <c r="M1452" s="81"/>
      <c r="O1452" s="85"/>
      <c r="P1452" s="85"/>
      <c r="Q1452" s="81"/>
    </row>
    <row r="1453" spans="3:17" x14ac:dyDescent="0.3">
      <c r="C1453" s="81"/>
      <c r="F1453" s="85"/>
      <c r="G1453" s="86"/>
      <c r="H1453" s="86"/>
      <c r="I1453" s="87"/>
      <c r="J1453" s="85"/>
      <c r="K1453" s="85"/>
      <c r="M1453" s="81"/>
      <c r="O1453" s="85"/>
      <c r="P1453" s="85"/>
      <c r="Q1453" s="81"/>
    </row>
    <row r="1454" spans="3:17" x14ac:dyDescent="0.3">
      <c r="C1454" s="81"/>
      <c r="F1454" s="85"/>
      <c r="G1454" s="86"/>
      <c r="H1454" s="86"/>
      <c r="I1454" s="87"/>
      <c r="J1454" s="85"/>
      <c r="K1454" s="85"/>
      <c r="M1454" s="81"/>
      <c r="O1454" s="85"/>
      <c r="P1454" s="85"/>
      <c r="Q1454" s="81"/>
    </row>
    <row r="1455" spans="3:17" x14ac:dyDescent="0.3">
      <c r="C1455" s="81"/>
      <c r="F1455" s="85"/>
      <c r="G1455" s="86"/>
      <c r="H1455" s="86"/>
      <c r="I1455" s="87"/>
      <c r="J1455" s="85"/>
      <c r="K1455" s="85"/>
      <c r="M1455" s="81"/>
      <c r="O1455" s="85"/>
      <c r="P1455" s="85"/>
      <c r="Q1455" s="81"/>
    </row>
    <row r="1456" spans="3:17" x14ac:dyDescent="0.3">
      <c r="C1456" s="81"/>
      <c r="F1456" s="85"/>
      <c r="G1456" s="86"/>
      <c r="H1456" s="86"/>
      <c r="I1456" s="87"/>
      <c r="J1456" s="85"/>
      <c r="K1456" s="85"/>
      <c r="M1456" s="81"/>
      <c r="O1456" s="85"/>
      <c r="P1456" s="85"/>
      <c r="Q1456" s="81"/>
    </row>
    <row r="1457" spans="3:17" x14ac:dyDescent="0.3">
      <c r="C1457" s="81"/>
      <c r="F1457" s="85"/>
      <c r="G1457" s="86"/>
      <c r="H1457" s="86"/>
      <c r="I1457" s="87"/>
      <c r="J1457" s="85"/>
      <c r="K1457" s="85"/>
      <c r="M1457" s="81"/>
      <c r="O1457" s="85"/>
      <c r="P1457" s="85"/>
      <c r="Q1457" s="81"/>
    </row>
    <row r="1458" spans="3:17" x14ac:dyDescent="0.3">
      <c r="C1458" s="81"/>
      <c r="F1458" s="85"/>
      <c r="G1458" s="86"/>
      <c r="H1458" s="86"/>
      <c r="I1458" s="87"/>
      <c r="J1458" s="85"/>
      <c r="K1458" s="85"/>
      <c r="M1458" s="81"/>
      <c r="O1458" s="85"/>
      <c r="P1458" s="85"/>
      <c r="Q1458" s="81"/>
    </row>
    <row r="1459" spans="3:17" x14ac:dyDescent="0.3">
      <c r="C1459" s="81"/>
      <c r="F1459" s="85"/>
      <c r="G1459" s="86"/>
      <c r="H1459" s="86"/>
      <c r="I1459" s="87"/>
      <c r="J1459" s="85"/>
      <c r="K1459" s="85"/>
      <c r="M1459" s="81"/>
      <c r="O1459" s="85"/>
      <c r="P1459" s="85"/>
      <c r="Q1459" s="81"/>
    </row>
    <row r="1460" spans="3:17" x14ac:dyDescent="0.3">
      <c r="C1460" s="81"/>
      <c r="F1460" s="85"/>
      <c r="G1460" s="86"/>
      <c r="H1460" s="86"/>
      <c r="I1460" s="87"/>
      <c r="J1460" s="85"/>
      <c r="K1460" s="85"/>
      <c r="M1460" s="81"/>
      <c r="O1460" s="85"/>
      <c r="P1460" s="85"/>
      <c r="Q1460" s="81"/>
    </row>
    <row r="1461" spans="3:17" x14ac:dyDescent="0.3">
      <c r="C1461" s="81"/>
      <c r="F1461" s="85"/>
      <c r="G1461" s="86"/>
      <c r="H1461" s="86"/>
      <c r="I1461" s="87"/>
      <c r="J1461" s="85"/>
      <c r="K1461" s="85"/>
      <c r="M1461" s="81"/>
      <c r="O1461" s="85"/>
      <c r="P1461" s="85"/>
      <c r="Q1461" s="81"/>
    </row>
    <row r="1462" spans="3:17" x14ac:dyDescent="0.3">
      <c r="C1462" s="81"/>
      <c r="F1462" s="85"/>
      <c r="G1462" s="86"/>
      <c r="H1462" s="86"/>
      <c r="I1462" s="87"/>
      <c r="J1462" s="85"/>
      <c r="K1462" s="85"/>
      <c r="M1462" s="81"/>
      <c r="O1462" s="85"/>
      <c r="P1462" s="85"/>
      <c r="Q1462" s="81"/>
    </row>
    <row r="1463" spans="3:17" x14ac:dyDescent="0.3">
      <c r="C1463" s="81"/>
      <c r="F1463" s="85"/>
      <c r="G1463" s="86"/>
      <c r="H1463" s="86"/>
      <c r="I1463" s="87"/>
      <c r="J1463" s="85"/>
      <c r="K1463" s="85"/>
      <c r="M1463" s="81"/>
      <c r="O1463" s="85"/>
      <c r="P1463" s="85"/>
      <c r="Q1463" s="81"/>
    </row>
    <row r="1464" spans="3:17" x14ac:dyDescent="0.3">
      <c r="C1464" s="81"/>
      <c r="F1464" s="85"/>
      <c r="G1464" s="86"/>
      <c r="H1464" s="86"/>
      <c r="I1464" s="87"/>
      <c r="J1464" s="85"/>
      <c r="K1464" s="85"/>
      <c r="M1464" s="81"/>
      <c r="O1464" s="85"/>
      <c r="P1464" s="85"/>
      <c r="Q1464" s="81"/>
    </row>
    <row r="1465" spans="3:17" x14ac:dyDescent="0.3">
      <c r="C1465" s="81"/>
      <c r="F1465" s="85"/>
      <c r="G1465" s="86"/>
      <c r="H1465" s="86"/>
      <c r="I1465" s="87"/>
      <c r="J1465" s="85"/>
      <c r="K1465" s="85"/>
      <c r="M1465" s="81"/>
      <c r="O1465" s="85"/>
      <c r="P1465" s="85"/>
      <c r="Q1465" s="81"/>
    </row>
    <row r="1466" spans="3:17" x14ac:dyDescent="0.3">
      <c r="C1466" s="81"/>
      <c r="F1466" s="85"/>
      <c r="G1466" s="86"/>
      <c r="H1466" s="86"/>
      <c r="I1466" s="87"/>
      <c r="J1466" s="85"/>
      <c r="K1466" s="85"/>
      <c r="M1466" s="81"/>
      <c r="O1466" s="85"/>
      <c r="P1466" s="85"/>
      <c r="Q1466" s="81"/>
    </row>
    <row r="1467" spans="3:17" x14ac:dyDescent="0.3">
      <c r="C1467" s="81"/>
      <c r="F1467" s="85"/>
      <c r="G1467" s="86"/>
      <c r="H1467" s="86"/>
      <c r="I1467" s="87"/>
      <c r="J1467" s="85"/>
      <c r="K1467" s="85"/>
      <c r="M1467" s="81"/>
      <c r="O1467" s="85"/>
      <c r="P1467" s="85"/>
      <c r="Q1467" s="81"/>
    </row>
    <row r="1468" spans="3:17" x14ac:dyDescent="0.3">
      <c r="C1468" s="81"/>
      <c r="F1468" s="85"/>
      <c r="G1468" s="86"/>
      <c r="H1468" s="86"/>
      <c r="I1468" s="87"/>
      <c r="J1468" s="85"/>
      <c r="K1468" s="85"/>
      <c r="M1468" s="81"/>
      <c r="O1468" s="85"/>
      <c r="P1468" s="85"/>
      <c r="Q1468" s="81"/>
    </row>
    <row r="1469" spans="3:17" x14ac:dyDescent="0.3">
      <c r="C1469" s="81"/>
      <c r="F1469" s="85"/>
      <c r="G1469" s="86"/>
      <c r="H1469" s="86"/>
      <c r="I1469" s="87"/>
      <c r="J1469" s="85"/>
      <c r="K1469" s="85"/>
      <c r="M1469" s="81"/>
      <c r="O1469" s="85"/>
      <c r="P1469" s="85"/>
      <c r="Q1469" s="81"/>
    </row>
    <row r="1470" spans="3:17" x14ac:dyDescent="0.3">
      <c r="C1470" s="81"/>
      <c r="F1470" s="85"/>
      <c r="G1470" s="86"/>
      <c r="H1470" s="86"/>
      <c r="I1470" s="87"/>
      <c r="J1470" s="85"/>
      <c r="K1470" s="85"/>
      <c r="M1470" s="81"/>
      <c r="O1470" s="85"/>
      <c r="P1470" s="85"/>
      <c r="Q1470" s="81"/>
    </row>
    <row r="1471" spans="3:17" x14ac:dyDescent="0.3">
      <c r="C1471" s="81"/>
      <c r="F1471" s="85"/>
      <c r="G1471" s="86"/>
      <c r="H1471" s="86"/>
      <c r="I1471" s="87"/>
      <c r="J1471" s="85"/>
      <c r="K1471" s="85"/>
      <c r="M1471" s="81"/>
      <c r="O1471" s="85"/>
      <c r="P1471" s="85"/>
      <c r="Q1471" s="81"/>
    </row>
    <row r="1472" spans="3:17" x14ac:dyDescent="0.3">
      <c r="C1472" s="81"/>
      <c r="F1472" s="85"/>
      <c r="G1472" s="86"/>
      <c r="H1472" s="86"/>
      <c r="I1472" s="87"/>
      <c r="J1472" s="85"/>
      <c r="K1472" s="85"/>
      <c r="M1472" s="81"/>
      <c r="O1472" s="85"/>
      <c r="P1472" s="85"/>
      <c r="Q1472" s="81"/>
    </row>
    <row r="1473" spans="3:17" x14ac:dyDescent="0.3">
      <c r="C1473" s="81"/>
      <c r="F1473" s="85"/>
      <c r="G1473" s="86"/>
      <c r="H1473" s="86"/>
      <c r="I1473" s="87"/>
      <c r="J1473" s="85"/>
      <c r="K1473" s="85"/>
      <c r="M1473" s="81"/>
      <c r="O1473" s="85"/>
      <c r="P1473" s="85"/>
      <c r="Q1473" s="81"/>
    </row>
    <row r="1474" spans="3:17" x14ac:dyDescent="0.3">
      <c r="C1474" s="81"/>
      <c r="F1474" s="85"/>
      <c r="G1474" s="86"/>
      <c r="H1474" s="86"/>
      <c r="I1474" s="87"/>
      <c r="J1474" s="85"/>
      <c r="K1474" s="85"/>
      <c r="M1474" s="81"/>
      <c r="O1474" s="85"/>
      <c r="P1474" s="85"/>
      <c r="Q1474" s="81"/>
    </row>
    <row r="1475" spans="3:17" x14ac:dyDescent="0.3">
      <c r="C1475" s="81"/>
      <c r="F1475" s="85"/>
      <c r="G1475" s="86"/>
      <c r="H1475" s="86"/>
      <c r="I1475" s="87"/>
      <c r="J1475" s="85"/>
      <c r="K1475" s="85"/>
      <c r="M1475" s="81"/>
      <c r="O1475" s="85"/>
      <c r="P1475" s="85"/>
      <c r="Q1475" s="81"/>
    </row>
    <row r="1476" spans="3:17" x14ac:dyDescent="0.3">
      <c r="C1476" s="81"/>
      <c r="F1476" s="85"/>
      <c r="G1476" s="86"/>
      <c r="H1476" s="86"/>
      <c r="I1476" s="87"/>
      <c r="J1476" s="85"/>
      <c r="K1476" s="85"/>
      <c r="M1476" s="81"/>
      <c r="O1476" s="85"/>
      <c r="P1476" s="85"/>
      <c r="Q1476" s="81"/>
    </row>
    <row r="1477" spans="3:17" x14ac:dyDescent="0.3">
      <c r="C1477" s="81"/>
      <c r="F1477" s="85"/>
      <c r="G1477" s="86"/>
      <c r="H1477" s="86"/>
      <c r="I1477" s="87"/>
      <c r="J1477" s="85"/>
      <c r="K1477" s="85"/>
      <c r="M1477" s="81"/>
      <c r="O1477" s="85"/>
      <c r="P1477" s="85"/>
      <c r="Q1477" s="81"/>
    </row>
    <row r="1478" spans="3:17" x14ac:dyDescent="0.3">
      <c r="C1478" s="81"/>
      <c r="F1478" s="85"/>
      <c r="G1478" s="86"/>
      <c r="H1478" s="86"/>
      <c r="I1478" s="87"/>
      <c r="J1478" s="85"/>
      <c r="K1478" s="85"/>
      <c r="M1478" s="81"/>
      <c r="O1478" s="85"/>
      <c r="P1478" s="85"/>
      <c r="Q1478" s="81"/>
    </row>
    <row r="1479" spans="3:17" x14ac:dyDescent="0.3">
      <c r="C1479" s="81"/>
      <c r="F1479" s="85"/>
      <c r="G1479" s="86"/>
      <c r="H1479" s="86"/>
      <c r="I1479" s="87"/>
      <c r="J1479" s="85"/>
      <c r="K1479" s="85"/>
      <c r="M1479" s="81"/>
      <c r="O1479" s="85"/>
      <c r="P1479" s="85"/>
      <c r="Q1479" s="81"/>
    </row>
    <row r="1480" spans="3:17" x14ac:dyDescent="0.3">
      <c r="C1480" s="81"/>
      <c r="F1480" s="85"/>
      <c r="G1480" s="86"/>
      <c r="H1480" s="86"/>
      <c r="I1480" s="87"/>
      <c r="J1480" s="85"/>
      <c r="K1480" s="85"/>
      <c r="M1480" s="81"/>
      <c r="O1480" s="85"/>
      <c r="P1480" s="85"/>
      <c r="Q1480" s="81"/>
    </row>
    <row r="1481" spans="3:17" x14ac:dyDescent="0.3">
      <c r="C1481" s="81"/>
      <c r="F1481" s="85"/>
      <c r="G1481" s="86"/>
      <c r="H1481" s="86"/>
      <c r="I1481" s="87"/>
      <c r="J1481" s="85"/>
      <c r="K1481" s="85"/>
      <c r="M1481" s="81"/>
      <c r="O1481" s="85"/>
      <c r="P1481" s="85"/>
      <c r="Q1481" s="81"/>
    </row>
    <row r="1482" spans="3:17" x14ac:dyDescent="0.3">
      <c r="C1482" s="81"/>
      <c r="F1482" s="85"/>
      <c r="G1482" s="86"/>
      <c r="H1482" s="86"/>
      <c r="I1482" s="87"/>
      <c r="J1482" s="85"/>
      <c r="K1482" s="85"/>
      <c r="M1482" s="81"/>
      <c r="O1482" s="85"/>
      <c r="P1482" s="85"/>
      <c r="Q1482" s="81"/>
    </row>
    <row r="1483" spans="3:17" x14ac:dyDescent="0.3">
      <c r="C1483" s="81"/>
      <c r="F1483" s="85"/>
      <c r="G1483" s="86"/>
      <c r="H1483" s="86"/>
      <c r="I1483" s="87"/>
      <c r="J1483" s="85"/>
      <c r="K1483" s="85"/>
      <c r="M1483" s="81"/>
      <c r="O1483" s="85"/>
      <c r="P1483" s="85"/>
      <c r="Q1483" s="81"/>
    </row>
    <row r="1484" spans="3:17" x14ac:dyDescent="0.3">
      <c r="C1484" s="81"/>
      <c r="F1484" s="85"/>
      <c r="G1484" s="86"/>
      <c r="H1484" s="86"/>
      <c r="I1484" s="87"/>
      <c r="J1484" s="85"/>
      <c r="K1484" s="85"/>
      <c r="M1484" s="81"/>
      <c r="O1484" s="85"/>
      <c r="P1484" s="85"/>
      <c r="Q1484" s="81"/>
    </row>
    <row r="1485" spans="3:17" x14ac:dyDescent="0.3">
      <c r="C1485" s="81"/>
      <c r="F1485" s="85"/>
      <c r="G1485" s="86"/>
      <c r="H1485" s="86"/>
      <c r="I1485" s="87"/>
      <c r="J1485" s="85"/>
      <c r="K1485" s="85"/>
      <c r="M1485" s="81"/>
      <c r="O1485" s="85"/>
      <c r="P1485" s="85"/>
      <c r="Q1485" s="81"/>
    </row>
    <row r="1486" spans="3:17" x14ac:dyDescent="0.3">
      <c r="C1486" s="81"/>
      <c r="F1486" s="85"/>
      <c r="G1486" s="86"/>
      <c r="H1486" s="86"/>
      <c r="I1486" s="87"/>
      <c r="J1486" s="85"/>
      <c r="K1486" s="85"/>
      <c r="M1486" s="81"/>
      <c r="O1486" s="85"/>
      <c r="P1486" s="85"/>
      <c r="Q1486" s="81"/>
    </row>
    <row r="1487" spans="3:17" x14ac:dyDescent="0.3">
      <c r="C1487" s="81"/>
      <c r="F1487" s="85"/>
      <c r="G1487" s="86"/>
      <c r="H1487" s="86"/>
      <c r="I1487" s="87"/>
      <c r="J1487" s="85"/>
      <c r="K1487" s="85"/>
      <c r="M1487" s="81"/>
      <c r="O1487" s="85"/>
      <c r="P1487" s="85"/>
      <c r="Q1487" s="81"/>
    </row>
    <row r="1488" spans="3:17" x14ac:dyDescent="0.3">
      <c r="C1488" s="81"/>
      <c r="F1488" s="85"/>
      <c r="G1488" s="86"/>
      <c r="H1488" s="86"/>
      <c r="I1488" s="87"/>
      <c r="J1488" s="85"/>
      <c r="K1488" s="85"/>
      <c r="M1488" s="81"/>
      <c r="O1488" s="85"/>
      <c r="P1488" s="85"/>
      <c r="Q1488" s="81"/>
    </row>
    <row r="1489" spans="3:17" x14ac:dyDescent="0.3">
      <c r="C1489" s="81"/>
      <c r="F1489" s="85"/>
      <c r="G1489" s="86"/>
      <c r="H1489" s="86"/>
      <c r="I1489" s="87"/>
      <c r="J1489" s="85"/>
      <c r="K1489" s="85"/>
      <c r="M1489" s="81"/>
      <c r="O1489" s="85"/>
      <c r="P1489" s="85"/>
      <c r="Q1489" s="81"/>
    </row>
    <row r="1490" spans="3:17" x14ac:dyDescent="0.3">
      <c r="C1490" s="81"/>
      <c r="F1490" s="85"/>
      <c r="G1490" s="86"/>
      <c r="H1490" s="86"/>
      <c r="I1490" s="87"/>
      <c r="J1490" s="85"/>
      <c r="K1490" s="85"/>
      <c r="M1490" s="81"/>
      <c r="O1490" s="85"/>
      <c r="P1490" s="85"/>
      <c r="Q1490" s="81"/>
    </row>
    <row r="1491" spans="3:17" x14ac:dyDescent="0.3">
      <c r="C1491" s="81"/>
      <c r="F1491" s="85"/>
      <c r="G1491" s="86"/>
      <c r="H1491" s="86"/>
      <c r="I1491" s="87"/>
      <c r="J1491" s="85"/>
      <c r="K1491" s="85"/>
      <c r="M1491" s="81"/>
      <c r="O1491" s="85"/>
      <c r="P1491" s="85"/>
      <c r="Q1491" s="81"/>
    </row>
    <row r="1492" spans="3:17" x14ac:dyDescent="0.3">
      <c r="C1492" s="81"/>
      <c r="F1492" s="85"/>
      <c r="G1492" s="86"/>
      <c r="H1492" s="86"/>
      <c r="I1492" s="87"/>
      <c r="J1492" s="85"/>
      <c r="K1492" s="85"/>
      <c r="M1492" s="81"/>
      <c r="O1492" s="85"/>
      <c r="P1492" s="85"/>
      <c r="Q1492" s="81"/>
    </row>
    <row r="1493" spans="3:17" x14ac:dyDescent="0.3">
      <c r="C1493" s="81"/>
      <c r="F1493" s="85"/>
      <c r="G1493" s="86"/>
      <c r="H1493" s="86"/>
      <c r="I1493" s="87"/>
      <c r="J1493" s="85"/>
      <c r="K1493" s="85"/>
      <c r="M1493" s="81"/>
      <c r="O1493" s="85"/>
      <c r="P1493" s="85"/>
      <c r="Q1493" s="81"/>
    </row>
    <row r="1494" spans="3:17" x14ac:dyDescent="0.3">
      <c r="C1494" s="81"/>
      <c r="F1494" s="85"/>
      <c r="G1494" s="86"/>
      <c r="H1494" s="86"/>
      <c r="I1494" s="87"/>
      <c r="J1494" s="85"/>
      <c r="K1494" s="85"/>
      <c r="M1494" s="81"/>
      <c r="O1494" s="85"/>
      <c r="P1494" s="85"/>
      <c r="Q1494" s="81"/>
    </row>
    <row r="1495" spans="3:17" x14ac:dyDescent="0.3">
      <c r="C1495" s="81"/>
      <c r="F1495" s="85"/>
      <c r="G1495" s="86"/>
      <c r="H1495" s="86"/>
      <c r="I1495" s="87"/>
      <c r="J1495" s="85"/>
      <c r="K1495" s="85"/>
      <c r="M1495" s="81"/>
      <c r="O1495" s="85"/>
      <c r="P1495" s="85"/>
      <c r="Q1495" s="81"/>
    </row>
    <row r="1496" spans="3:17" x14ac:dyDescent="0.3">
      <c r="C1496" s="81"/>
      <c r="F1496" s="85"/>
      <c r="G1496" s="86"/>
      <c r="H1496" s="86"/>
      <c r="I1496" s="87"/>
      <c r="J1496" s="85"/>
      <c r="K1496" s="85"/>
      <c r="M1496" s="81"/>
      <c r="O1496" s="85"/>
      <c r="P1496" s="85"/>
      <c r="Q1496" s="81"/>
    </row>
    <row r="1497" spans="3:17" x14ac:dyDescent="0.3">
      <c r="C1497" s="81"/>
      <c r="F1497" s="85"/>
      <c r="G1497" s="86"/>
      <c r="H1497" s="86"/>
      <c r="I1497" s="87"/>
      <c r="J1497" s="85"/>
      <c r="K1497" s="85"/>
      <c r="M1497" s="81"/>
      <c r="O1497" s="85"/>
      <c r="P1497" s="85"/>
      <c r="Q1497" s="81"/>
    </row>
    <row r="1498" spans="3:17" x14ac:dyDescent="0.3">
      <c r="C1498" s="81"/>
      <c r="F1498" s="85"/>
      <c r="G1498" s="86"/>
      <c r="H1498" s="86"/>
      <c r="I1498" s="87"/>
      <c r="J1498" s="85"/>
      <c r="K1498" s="85"/>
      <c r="M1498" s="81"/>
      <c r="O1498" s="85"/>
      <c r="P1498" s="85"/>
      <c r="Q1498" s="81"/>
    </row>
    <row r="1499" spans="3:17" x14ac:dyDescent="0.3">
      <c r="C1499" s="81"/>
      <c r="F1499" s="85"/>
      <c r="G1499" s="86"/>
      <c r="H1499" s="86"/>
      <c r="I1499" s="87"/>
      <c r="J1499" s="85"/>
      <c r="K1499" s="85"/>
      <c r="M1499" s="81"/>
      <c r="O1499" s="85"/>
      <c r="P1499" s="85"/>
      <c r="Q1499" s="81"/>
    </row>
    <row r="1500" spans="3:17" x14ac:dyDescent="0.3">
      <c r="C1500" s="81"/>
      <c r="F1500" s="85"/>
      <c r="G1500" s="86"/>
      <c r="H1500" s="86"/>
      <c r="I1500" s="87"/>
      <c r="J1500" s="85"/>
      <c r="K1500" s="85"/>
      <c r="M1500" s="81"/>
      <c r="O1500" s="85"/>
      <c r="P1500" s="85"/>
      <c r="Q1500" s="81"/>
    </row>
    <row r="1501" spans="3:17" x14ac:dyDescent="0.3">
      <c r="C1501" s="81"/>
      <c r="F1501" s="85"/>
      <c r="G1501" s="86"/>
      <c r="H1501" s="86"/>
      <c r="I1501" s="87"/>
      <c r="J1501" s="85"/>
      <c r="K1501" s="85"/>
      <c r="M1501" s="81"/>
      <c r="O1501" s="85"/>
      <c r="P1501" s="85"/>
      <c r="Q1501" s="81"/>
    </row>
    <row r="1502" spans="3:17" x14ac:dyDescent="0.3">
      <c r="C1502" s="81"/>
      <c r="F1502" s="85"/>
      <c r="G1502" s="86"/>
      <c r="H1502" s="86"/>
      <c r="I1502" s="87"/>
      <c r="J1502" s="85"/>
      <c r="K1502" s="85"/>
      <c r="M1502" s="81"/>
      <c r="O1502" s="85"/>
      <c r="P1502" s="85"/>
      <c r="Q1502" s="81"/>
    </row>
    <row r="1503" spans="3:17" x14ac:dyDescent="0.3">
      <c r="C1503" s="81"/>
      <c r="F1503" s="85"/>
      <c r="G1503" s="86"/>
      <c r="H1503" s="86"/>
      <c r="I1503" s="87"/>
      <c r="J1503" s="85"/>
      <c r="K1503" s="85"/>
      <c r="M1503" s="81"/>
      <c r="O1503" s="85"/>
      <c r="P1503" s="85"/>
      <c r="Q1503" s="81"/>
    </row>
    <row r="1504" spans="3:17" x14ac:dyDescent="0.3">
      <c r="C1504" s="81"/>
      <c r="F1504" s="85"/>
      <c r="G1504" s="86"/>
      <c r="H1504" s="86"/>
      <c r="I1504" s="87"/>
      <c r="J1504" s="85"/>
      <c r="K1504" s="85"/>
      <c r="M1504" s="81"/>
      <c r="O1504" s="85"/>
      <c r="P1504" s="85"/>
      <c r="Q1504" s="81"/>
    </row>
    <row r="1505" spans="3:17" x14ac:dyDescent="0.3">
      <c r="C1505" s="81"/>
      <c r="F1505" s="85"/>
      <c r="G1505" s="86"/>
      <c r="H1505" s="86"/>
      <c r="I1505" s="87"/>
      <c r="J1505" s="85"/>
      <c r="K1505" s="85"/>
      <c r="M1505" s="81"/>
      <c r="O1505" s="85"/>
      <c r="P1505" s="85"/>
      <c r="Q1505" s="81"/>
    </row>
    <row r="1506" spans="3:17" x14ac:dyDescent="0.3">
      <c r="C1506" s="81"/>
      <c r="F1506" s="85"/>
      <c r="G1506" s="86"/>
      <c r="H1506" s="86"/>
      <c r="I1506" s="87"/>
      <c r="J1506" s="85"/>
      <c r="K1506" s="85"/>
      <c r="M1506" s="81"/>
      <c r="O1506" s="85"/>
      <c r="P1506" s="85"/>
      <c r="Q1506" s="81"/>
    </row>
    <row r="1507" spans="3:17" x14ac:dyDescent="0.3">
      <c r="C1507" s="81"/>
      <c r="F1507" s="85"/>
      <c r="G1507" s="86"/>
      <c r="H1507" s="86"/>
      <c r="I1507" s="87"/>
      <c r="J1507" s="85"/>
      <c r="K1507" s="85"/>
      <c r="M1507" s="81"/>
      <c r="O1507" s="85"/>
      <c r="P1507" s="85"/>
      <c r="Q1507" s="81"/>
    </row>
    <row r="1508" spans="3:17" x14ac:dyDescent="0.3">
      <c r="C1508" s="81"/>
      <c r="F1508" s="85"/>
      <c r="G1508" s="86"/>
      <c r="H1508" s="86"/>
      <c r="I1508" s="87"/>
      <c r="J1508" s="85"/>
      <c r="K1508" s="85"/>
      <c r="M1508" s="81"/>
      <c r="O1508" s="85"/>
      <c r="P1508" s="85"/>
      <c r="Q1508" s="81"/>
    </row>
    <row r="1509" spans="3:17" x14ac:dyDescent="0.3">
      <c r="C1509" s="81"/>
      <c r="F1509" s="85"/>
      <c r="G1509" s="86"/>
      <c r="H1509" s="86"/>
      <c r="I1509" s="87"/>
      <c r="J1509" s="85"/>
      <c r="K1509" s="85"/>
      <c r="M1509" s="81"/>
      <c r="O1509" s="85"/>
      <c r="P1509" s="85"/>
      <c r="Q1509" s="81"/>
    </row>
    <row r="1510" spans="3:17" x14ac:dyDescent="0.3">
      <c r="C1510" s="81"/>
      <c r="F1510" s="85"/>
      <c r="G1510" s="86"/>
      <c r="H1510" s="86"/>
      <c r="I1510" s="87"/>
      <c r="J1510" s="85"/>
      <c r="K1510" s="85"/>
      <c r="M1510" s="81"/>
      <c r="O1510" s="85"/>
      <c r="P1510" s="85"/>
      <c r="Q1510" s="81"/>
    </row>
    <row r="1511" spans="3:17" x14ac:dyDescent="0.3">
      <c r="C1511" s="81"/>
      <c r="F1511" s="85"/>
      <c r="G1511" s="86"/>
      <c r="H1511" s="86"/>
      <c r="I1511" s="87"/>
      <c r="J1511" s="85"/>
      <c r="K1511" s="85"/>
      <c r="M1511" s="81"/>
      <c r="O1511" s="85"/>
      <c r="P1511" s="85"/>
      <c r="Q1511" s="81"/>
    </row>
    <row r="1512" spans="3:17" x14ac:dyDescent="0.3">
      <c r="C1512" s="81"/>
      <c r="F1512" s="85"/>
      <c r="G1512" s="86"/>
      <c r="H1512" s="86"/>
      <c r="I1512" s="87"/>
      <c r="J1512" s="85"/>
      <c r="K1512" s="85"/>
      <c r="M1512" s="81"/>
      <c r="O1512" s="85"/>
      <c r="P1512" s="85"/>
      <c r="Q1512" s="81"/>
    </row>
    <row r="1513" spans="3:17" x14ac:dyDescent="0.3">
      <c r="C1513" s="81"/>
      <c r="F1513" s="85"/>
      <c r="G1513" s="86"/>
      <c r="H1513" s="86"/>
      <c r="I1513" s="87"/>
      <c r="J1513" s="85"/>
      <c r="K1513" s="85"/>
      <c r="M1513" s="81"/>
      <c r="O1513" s="85"/>
      <c r="P1513" s="85"/>
      <c r="Q1513" s="81"/>
    </row>
    <row r="1514" spans="3:17" x14ac:dyDescent="0.3">
      <c r="C1514" s="81"/>
      <c r="F1514" s="85"/>
      <c r="G1514" s="86"/>
      <c r="H1514" s="86"/>
      <c r="I1514" s="87"/>
      <c r="J1514" s="85"/>
      <c r="K1514" s="85"/>
      <c r="M1514" s="81"/>
      <c r="O1514" s="85"/>
      <c r="P1514" s="85"/>
      <c r="Q1514" s="81"/>
    </row>
    <row r="1515" spans="3:17" x14ac:dyDescent="0.3">
      <c r="C1515" s="81"/>
      <c r="F1515" s="85"/>
      <c r="G1515" s="86"/>
      <c r="H1515" s="86"/>
      <c r="I1515" s="87"/>
      <c r="J1515" s="85"/>
      <c r="K1515" s="85"/>
      <c r="M1515" s="81"/>
      <c r="O1515" s="85"/>
      <c r="P1515" s="85"/>
      <c r="Q1515" s="81"/>
    </row>
    <row r="1516" spans="3:17" x14ac:dyDescent="0.3">
      <c r="C1516" s="81"/>
      <c r="F1516" s="85"/>
      <c r="G1516" s="86"/>
      <c r="H1516" s="86"/>
      <c r="I1516" s="87"/>
      <c r="J1516" s="85"/>
      <c r="K1516" s="85"/>
      <c r="M1516" s="81"/>
      <c r="O1516" s="85"/>
      <c r="P1516" s="85"/>
      <c r="Q1516" s="81"/>
    </row>
    <row r="1517" spans="3:17" x14ac:dyDescent="0.3">
      <c r="C1517" s="81"/>
      <c r="F1517" s="85"/>
      <c r="G1517" s="86"/>
      <c r="H1517" s="86"/>
      <c r="I1517" s="87"/>
      <c r="J1517" s="85"/>
      <c r="K1517" s="85"/>
      <c r="M1517" s="81"/>
      <c r="O1517" s="85"/>
      <c r="P1517" s="85"/>
      <c r="Q1517" s="81"/>
    </row>
    <row r="1518" spans="3:17" x14ac:dyDescent="0.3">
      <c r="C1518" s="81"/>
      <c r="F1518" s="85"/>
      <c r="G1518" s="86"/>
      <c r="H1518" s="86"/>
      <c r="I1518" s="87"/>
      <c r="J1518" s="85"/>
      <c r="K1518" s="85"/>
      <c r="M1518" s="81"/>
      <c r="O1518" s="85"/>
      <c r="P1518" s="85"/>
      <c r="Q1518" s="81"/>
    </row>
    <row r="1519" spans="3:17" x14ac:dyDescent="0.3">
      <c r="C1519" s="81"/>
      <c r="F1519" s="85"/>
      <c r="G1519" s="86"/>
      <c r="H1519" s="86"/>
      <c r="I1519" s="87"/>
      <c r="J1519" s="85"/>
      <c r="K1519" s="85"/>
      <c r="M1519" s="81"/>
      <c r="O1519" s="85"/>
      <c r="P1519" s="85"/>
      <c r="Q1519" s="81"/>
    </row>
    <row r="1520" spans="3:17" x14ac:dyDescent="0.3">
      <c r="C1520" s="81"/>
      <c r="F1520" s="85"/>
      <c r="G1520" s="86"/>
      <c r="H1520" s="86"/>
      <c r="I1520" s="87"/>
      <c r="J1520" s="85"/>
      <c r="K1520" s="85"/>
      <c r="M1520" s="81"/>
      <c r="O1520" s="85"/>
      <c r="P1520" s="85"/>
      <c r="Q1520" s="81"/>
    </row>
    <row r="1521" spans="3:17" x14ac:dyDescent="0.3">
      <c r="C1521" s="81"/>
      <c r="F1521" s="85"/>
      <c r="G1521" s="86"/>
      <c r="H1521" s="86"/>
      <c r="I1521" s="87"/>
      <c r="J1521" s="85"/>
      <c r="K1521" s="85"/>
      <c r="M1521" s="81"/>
      <c r="O1521" s="85"/>
      <c r="P1521" s="85"/>
      <c r="Q1521" s="81"/>
    </row>
    <row r="1522" spans="3:17" x14ac:dyDescent="0.3">
      <c r="C1522" s="81"/>
      <c r="F1522" s="85"/>
      <c r="G1522" s="86"/>
      <c r="H1522" s="86"/>
      <c r="I1522" s="87"/>
      <c r="J1522" s="85"/>
      <c r="K1522" s="85"/>
      <c r="M1522" s="81"/>
      <c r="O1522" s="85"/>
      <c r="P1522" s="85"/>
      <c r="Q1522" s="81"/>
    </row>
    <row r="1523" spans="3:17" x14ac:dyDescent="0.3">
      <c r="C1523" s="81"/>
      <c r="F1523" s="85"/>
      <c r="G1523" s="86"/>
      <c r="H1523" s="86"/>
      <c r="I1523" s="87"/>
      <c r="J1523" s="85"/>
      <c r="K1523" s="85"/>
      <c r="M1523" s="81"/>
      <c r="O1523" s="85"/>
      <c r="P1523" s="85"/>
      <c r="Q1523" s="81"/>
    </row>
    <row r="1524" spans="3:17" x14ac:dyDescent="0.3">
      <c r="C1524" s="81"/>
      <c r="F1524" s="85"/>
      <c r="G1524" s="86"/>
      <c r="H1524" s="86"/>
      <c r="I1524" s="87"/>
      <c r="J1524" s="85"/>
      <c r="K1524" s="85"/>
      <c r="M1524" s="81"/>
      <c r="O1524" s="85"/>
      <c r="P1524" s="85"/>
      <c r="Q1524" s="81"/>
    </row>
    <row r="1525" spans="3:17" x14ac:dyDescent="0.3">
      <c r="C1525" s="81"/>
      <c r="F1525" s="85"/>
      <c r="G1525" s="86"/>
      <c r="H1525" s="86"/>
      <c r="I1525" s="87"/>
      <c r="J1525" s="85"/>
      <c r="K1525" s="85"/>
      <c r="M1525" s="81"/>
      <c r="O1525" s="85"/>
      <c r="P1525" s="85"/>
      <c r="Q1525" s="81"/>
    </row>
    <row r="1526" spans="3:17" x14ac:dyDescent="0.3">
      <c r="C1526" s="81"/>
      <c r="F1526" s="85"/>
      <c r="G1526" s="86"/>
      <c r="H1526" s="86"/>
      <c r="I1526" s="87"/>
      <c r="J1526" s="85"/>
      <c r="K1526" s="85"/>
      <c r="M1526" s="81"/>
      <c r="O1526" s="85"/>
      <c r="P1526" s="85"/>
      <c r="Q1526" s="81"/>
    </row>
    <row r="1527" spans="3:17" x14ac:dyDescent="0.3">
      <c r="C1527" s="81"/>
      <c r="F1527" s="85"/>
      <c r="G1527" s="86"/>
      <c r="H1527" s="86"/>
      <c r="I1527" s="87"/>
      <c r="J1527" s="85"/>
      <c r="K1527" s="85"/>
      <c r="M1527" s="81"/>
      <c r="O1527" s="85"/>
      <c r="P1527" s="85"/>
      <c r="Q1527" s="81"/>
    </row>
    <row r="1528" spans="3:17" x14ac:dyDescent="0.3">
      <c r="C1528" s="81"/>
      <c r="F1528" s="85"/>
      <c r="G1528" s="86"/>
      <c r="H1528" s="86"/>
      <c r="I1528" s="87"/>
      <c r="J1528" s="85"/>
      <c r="K1528" s="85"/>
      <c r="M1528" s="81"/>
      <c r="O1528" s="85"/>
      <c r="P1528" s="85"/>
      <c r="Q1528" s="81"/>
    </row>
    <row r="1529" spans="3:17" x14ac:dyDescent="0.3">
      <c r="C1529" s="81"/>
      <c r="F1529" s="85"/>
      <c r="G1529" s="86"/>
      <c r="H1529" s="86"/>
      <c r="I1529" s="87"/>
      <c r="J1529" s="85"/>
      <c r="K1529" s="85"/>
      <c r="M1529" s="81"/>
      <c r="O1529" s="85"/>
      <c r="P1529" s="85"/>
      <c r="Q1529" s="81"/>
    </row>
    <row r="1530" spans="3:17" x14ac:dyDescent="0.3">
      <c r="C1530" s="81"/>
      <c r="F1530" s="85"/>
      <c r="G1530" s="86"/>
      <c r="H1530" s="86"/>
      <c r="I1530" s="87"/>
      <c r="J1530" s="85"/>
      <c r="K1530" s="85"/>
      <c r="M1530" s="81"/>
      <c r="O1530" s="85"/>
      <c r="P1530" s="85"/>
      <c r="Q1530" s="81"/>
    </row>
    <row r="1531" spans="3:17" x14ac:dyDescent="0.3">
      <c r="C1531" s="81"/>
      <c r="F1531" s="85"/>
      <c r="G1531" s="86"/>
      <c r="H1531" s="86"/>
      <c r="I1531" s="87"/>
      <c r="J1531" s="85"/>
      <c r="K1531" s="85"/>
      <c r="M1531" s="81"/>
      <c r="O1531" s="85"/>
      <c r="P1531" s="85"/>
      <c r="Q1531" s="81"/>
    </row>
    <row r="1532" spans="3:17" x14ac:dyDescent="0.3">
      <c r="C1532" s="81"/>
      <c r="F1532" s="85"/>
      <c r="G1532" s="86"/>
      <c r="H1532" s="86"/>
      <c r="I1532" s="87"/>
      <c r="J1532" s="85"/>
      <c r="K1532" s="85"/>
      <c r="M1532" s="81"/>
      <c r="O1532" s="85"/>
      <c r="P1532" s="85"/>
      <c r="Q1532" s="81"/>
    </row>
    <row r="1533" spans="3:17" x14ac:dyDescent="0.3">
      <c r="C1533" s="81"/>
      <c r="F1533" s="85"/>
      <c r="G1533" s="86"/>
      <c r="H1533" s="86"/>
      <c r="I1533" s="87"/>
      <c r="J1533" s="85"/>
      <c r="K1533" s="85"/>
      <c r="M1533" s="81"/>
      <c r="O1533" s="85"/>
      <c r="P1533" s="85"/>
      <c r="Q1533" s="81"/>
    </row>
    <row r="1534" spans="3:17" x14ac:dyDescent="0.3">
      <c r="C1534" s="81"/>
      <c r="F1534" s="85"/>
      <c r="G1534" s="86"/>
      <c r="H1534" s="86"/>
      <c r="I1534" s="87"/>
      <c r="J1534" s="85"/>
      <c r="K1534" s="85"/>
      <c r="M1534" s="81"/>
      <c r="O1534" s="85"/>
      <c r="P1534" s="85"/>
      <c r="Q1534" s="81"/>
    </row>
    <row r="1535" spans="3:17" x14ac:dyDescent="0.3">
      <c r="C1535" s="81"/>
      <c r="F1535" s="85"/>
      <c r="G1535" s="86"/>
      <c r="H1535" s="86"/>
      <c r="I1535" s="87"/>
      <c r="J1535" s="85"/>
      <c r="K1535" s="85"/>
      <c r="M1535" s="81"/>
      <c r="O1535" s="85"/>
      <c r="P1535" s="85"/>
      <c r="Q1535" s="81"/>
    </row>
    <row r="1536" spans="3:17" x14ac:dyDescent="0.3">
      <c r="C1536" s="81"/>
      <c r="F1536" s="85"/>
      <c r="G1536" s="86"/>
      <c r="H1536" s="86"/>
      <c r="I1536" s="87"/>
      <c r="J1536" s="85"/>
      <c r="K1536" s="85"/>
      <c r="M1536" s="81"/>
      <c r="O1536" s="85"/>
      <c r="P1536" s="85"/>
      <c r="Q1536" s="81"/>
    </row>
    <row r="1537" spans="3:17" x14ac:dyDescent="0.3">
      <c r="C1537" s="81"/>
      <c r="F1537" s="85"/>
      <c r="G1537" s="86"/>
      <c r="H1537" s="86"/>
      <c r="I1537" s="87"/>
      <c r="J1537" s="85"/>
      <c r="K1537" s="85"/>
      <c r="M1537" s="81"/>
      <c r="O1537" s="85"/>
      <c r="P1537" s="85"/>
      <c r="Q1537" s="81"/>
    </row>
    <row r="1538" spans="3:17" x14ac:dyDescent="0.3">
      <c r="C1538" s="81"/>
      <c r="F1538" s="85"/>
      <c r="G1538" s="86"/>
      <c r="H1538" s="86"/>
      <c r="I1538" s="87"/>
      <c r="J1538" s="85"/>
      <c r="K1538" s="85"/>
      <c r="M1538" s="81"/>
      <c r="O1538" s="85"/>
      <c r="P1538" s="85"/>
      <c r="Q1538" s="81"/>
    </row>
    <row r="1539" spans="3:17" x14ac:dyDescent="0.3">
      <c r="C1539" s="81"/>
      <c r="F1539" s="85"/>
      <c r="G1539" s="86"/>
      <c r="H1539" s="86"/>
      <c r="I1539" s="87"/>
      <c r="J1539" s="85"/>
      <c r="K1539" s="85"/>
      <c r="M1539" s="81"/>
      <c r="O1539" s="85"/>
      <c r="P1539" s="85"/>
      <c r="Q1539" s="81"/>
    </row>
    <row r="1540" spans="3:17" x14ac:dyDescent="0.3">
      <c r="C1540" s="81"/>
      <c r="F1540" s="85"/>
      <c r="G1540" s="86"/>
      <c r="H1540" s="86"/>
      <c r="I1540" s="87"/>
      <c r="J1540" s="85"/>
      <c r="K1540" s="85"/>
      <c r="M1540" s="81"/>
      <c r="O1540" s="85"/>
      <c r="P1540" s="85"/>
      <c r="Q1540" s="81"/>
    </row>
    <row r="1541" spans="3:17" x14ac:dyDescent="0.3">
      <c r="C1541" s="81"/>
      <c r="F1541" s="85"/>
      <c r="G1541" s="86"/>
      <c r="H1541" s="86"/>
      <c r="I1541" s="87"/>
      <c r="J1541" s="85"/>
      <c r="K1541" s="85"/>
      <c r="M1541" s="81"/>
      <c r="O1541" s="85"/>
      <c r="P1541" s="85"/>
      <c r="Q1541" s="81"/>
    </row>
    <row r="1542" spans="3:17" x14ac:dyDescent="0.3">
      <c r="C1542" s="81"/>
      <c r="F1542" s="85"/>
      <c r="G1542" s="86"/>
      <c r="H1542" s="86"/>
      <c r="I1542" s="87"/>
      <c r="J1542" s="85"/>
      <c r="K1542" s="85"/>
      <c r="M1542" s="81"/>
      <c r="O1542" s="85"/>
      <c r="P1542" s="85"/>
      <c r="Q1542" s="81"/>
    </row>
    <row r="1543" spans="3:17" x14ac:dyDescent="0.3">
      <c r="C1543" s="81"/>
      <c r="F1543" s="85"/>
      <c r="G1543" s="86"/>
      <c r="H1543" s="86"/>
      <c r="I1543" s="87"/>
      <c r="J1543" s="85"/>
      <c r="K1543" s="85"/>
      <c r="M1543" s="81"/>
      <c r="O1543" s="85"/>
      <c r="P1543" s="85"/>
      <c r="Q1543" s="81"/>
    </row>
    <row r="1544" spans="3:17" x14ac:dyDescent="0.3">
      <c r="C1544" s="81"/>
      <c r="F1544" s="85"/>
      <c r="G1544" s="86"/>
      <c r="H1544" s="86"/>
      <c r="I1544" s="87"/>
      <c r="J1544" s="85"/>
      <c r="K1544" s="85"/>
      <c r="M1544" s="81"/>
      <c r="O1544" s="85"/>
      <c r="P1544" s="85"/>
      <c r="Q1544" s="81"/>
    </row>
    <row r="1545" spans="3:17" x14ac:dyDescent="0.3">
      <c r="C1545" s="81"/>
      <c r="F1545" s="85"/>
      <c r="G1545" s="86"/>
      <c r="H1545" s="86"/>
      <c r="I1545" s="87"/>
      <c r="J1545" s="85"/>
      <c r="K1545" s="85"/>
      <c r="M1545" s="81"/>
      <c r="O1545" s="85"/>
      <c r="P1545" s="85"/>
      <c r="Q1545" s="81"/>
    </row>
    <row r="1546" spans="3:17" x14ac:dyDescent="0.3">
      <c r="C1546" s="81"/>
      <c r="F1546" s="85"/>
      <c r="G1546" s="86"/>
      <c r="H1546" s="86"/>
      <c r="I1546" s="87"/>
      <c r="J1546" s="85"/>
      <c r="K1546" s="85"/>
      <c r="M1546" s="81"/>
      <c r="O1546" s="85"/>
      <c r="P1546" s="85"/>
      <c r="Q1546" s="81"/>
    </row>
    <row r="1547" spans="3:17" x14ac:dyDescent="0.3">
      <c r="C1547" s="81"/>
      <c r="F1547" s="85"/>
      <c r="G1547" s="86"/>
      <c r="H1547" s="86"/>
      <c r="I1547" s="87"/>
      <c r="J1547" s="85"/>
      <c r="K1547" s="85"/>
      <c r="M1547" s="81"/>
      <c r="O1547" s="85"/>
      <c r="P1547" s="85"/>
      <c r="Q1547" s="81"/>
    </row>
    <row r="1548" spans="3:17" x14ac:dyDescent="0.3">
      <c r="C1548" s="81"/>
      <c r="F1548" s="85"/>
      <c r="G1548" s="86"/>
      <c r="H1548" s="86"/>
      <c r="I1548" s="87"/>
      <c r="J1548" s="85"/>
      <c r="K1548" s="85"/>
      <c r="M1548" s="81"/>
      <c r="O1548" s="85"/>
      <c r="P1548" s="85"/>
      <c r="Q1548" s="81"/>
    </row>
    <row r="1549" spans="3:17" x14ac:dyDescent="0.3">
      <c r="C1549" s="81"/>
      <c r="F1549" s="85"/>
      <c r="G1549" s="86"/>
      <c r="H1549" s="86"/>
      <c r="I1549" s="87"/>
      <c r="J1549" s="85"/>
      <c r="K1549" s="85"/>
      <c r="M1549" s="81"/>
      <c r="O1549" s="85"/>
      <c r="P1549" s="85"/>
      <c r="Q1549" s="81"/>
    </row>
    <row r="1550" spans="3:17" x14ac:dyDescent="0.3">
      <c r="C1550" s="81"/>
      <c r="F1550" s="85"/>
      <c r="G1550" s="86"/>
      <c r="H1550" s="86"/>
      <c r="I1550" s="87"/>
      <c r="J1550" s="85"/>
      <c r="K1550" s="85"/>
      <c r="M1550" s="81"/>
      <c r="O1550" s="85"/>
      <c r="P1550" s="85"/>
      <c r="Q1550" s="81"/>
    </row>
    <row r="1551" spans="3:17" x14ac:dyDescent="0.3">
      <c r="C1551" s="81"/>
      <c r="F1551" s="85"/>
      <c r="G1551" s="86"/>
      <c r="H1551" s="86"/>
      <c r="I1551" s="87"/>
      <c r="J1551" s="85"/>
      <c r="K1551" s="85"/>
      <c r="M1551" s="81"/>
      <c r="O1551" s="85"/>
      <c r="P1551" s="85"/>
      <c r="Q1551" s="81"/>
    </row>
    <row r="1552" spans="3:17" x14ac:dyDescent="0.3">
      <c r="C1552" s="81"/>
      <c r="F1552" s="85"/>
      <c r="G1552" s="86"/>
      <c r="H1552" s="86"/>
      <c r="I1552" s="87"/>
      <c r="J1552" s="85"/>
      <c r="K1552" s="85"/>
      <c r="M1552" s="81"/>
      <c r="O1552" s="85"/>
      <c r="P1552" s="85"/>
      <c r="Q1552" s="81"/>
    </row>
    <row r="1553" spans="3:17" x14ac:dyDescent="0.3">
      <c r="C1553" s="81"/>
      <c r="F1553" s="85"/>
      <c r="G1553" s="86"/>
      <c r="H1553" s="86"/>
      <c r="I1553" s="87"/>
      <c r="J1553" s="85"/>
      <c r="K1553" s="85"/>
      <c r="M1553" s="81"/>
      <c r="O1553" s="85"/>
      <c r="P1553" s="85"/>
      <c r="Q1553" s="81"/>
    </row>
    <row r="1554" spans="3:17" x14ac:dyDescent="0.3">
      <c r="C1554" s="81"/>
      <c r="F1554" s="85"/>
      <c r="G1554" s="86"/>
      <c r="H1554" s="86"/>
      <c r="I1554" s="87"/>
      <c r="J1554" s="85"/>
      <c r="K1554" s="85"/>
      <c r="M1554" s="81"/>
      <c r="O1554" s="85"/>
      <c r="P1554" s="85"/>
      <c r="Q1554" s="81"/>
    </row>
    <row r="1555" spans="3:17" x14ac:dyDescent="0.3">
      <c r="C1555" s="81"/>
      <c r="F1555" s="85"/>
      <c r="G1555" s="86"/>
      <c r="H1555" s="86"/>
      <c r="I1555" s="87"/>
      <c r="J1555" s="85"/>
      <c r="K1555" s="85"/>
      <c r="M1555" s="81"/>
      <c r="O1555" s="85"/>
      <c r="P1555" s="85"/>
      <c r="Q1555" s="81"/>
    </row>
    <row r="1556" spans="3:17" x14ac:dyDescent="0.3">
      <c r="C1556" s="81"/>
      <c r="F1556" s="85"/>
      <c r="G1556" s="86"/>
      <c r="H1556" s="86"/>
      <c r="I1556" s="87"/>
      <c r="J1556" s="85"/>
      <c r="K1556" s="85"/>
      <c r="M1556" s="81"/>
      <c r="O1556" s="85"/>
      <c r="P1556" s="85"/>
      <c r="Q1556" s="81"/>
    </row>
    <row r="1557" spans="3:17" x14ac:dyDescent="0.3">
      <c r="C1557" s="81"/>
      <c r="F1557" s="85"/>
      <c r="G1557" s="86"/>
      <c r="H1557" s="86"/>
      <c r="I1557" s="87"/>
      <c r="J1557" s="85"/>
      <c r="K1557" s="85"/>
      <c r="M1557" s="81"/>
      <c r="O1557" s="85"/>
      <c r="P1557" s="85"/>
      <c r="Q1557" s="81"/>
    </row>
    <row r="1558" spans="3:17" x14ac:dyDescent="0.3">
      <c r="C1558" s="81"/>
      <c r="F1558" s="85"/>
      <c r="G1558" s="86"/>
      <c r="H1558" s="86"/>
      <c r="I1558" s="87"/>
      <c r="J1558" s="85"/>
      <c r="K1558" s="85"/>
      <c r="M1558" s="81"/>
      <c r="O1558" s="85"/>
      <c r="P1558" s="85"/>
      <c r="Q1558" s="81"/>
    </row>
    <row r="1559" spans="3:17" x14ac:dyDescent="0.3">
      <c r="C1559" s="81"/>
      <c r="F1559" s="85"/>
      <c r="G1559" s="86"/>
      <c r="H1559" s="86"/>
      <c r="I1559" s="87"/>
      <c r="J1559" s="85"/>
      <c r="K1559" s="85"/>
      <c r="M1559" s="81"/>
      <c r="O1559" s="85"/>
      <c r="P1559" s="85"/>
      <c r="Q1559" s="81"/>
    </row>
    <row r="1560" spans="3:17" x14ac:dyDescent="0.3">
      <c r="C1560" s="81"/>
      <c r="F1560" s="85"/>
      <c r="G1560" s="86"/>
      <c r="H1560" s="86"/>
      <c r="I1560" s="87"/>
      <c r="J1560" s="85"/>
      <c r="K1560" s="85"/>
      <c r="M1560" s="81"/>
      <c r="O1560" s="85"/>
      <c r="P1560" s="85"/>
      <c r="Q1560" s="81"/>
    </row>
    <row r="1561" spans="3:17" x14ac:dyDescent="0.3">
      <c r="C1561" s="81"/>
      <c r="F1561" s="85"/>
      <c r="G1561" s="86"/>
      <c r="H1561" s="86"/>
      <c r="I1561" s="87"/>
      <c r="J1561" s="85"/>
      <c r="K1561" s="85"/>
      <c r="M1561" s="81"/>
      <c r="O1561" s="85"/>
      <c r="P1561" s="85"/>
      <c r="Q1561" s="81"/>
    </row>
    <row r="1562" spans="3:17" x14ac:dyDescent="0.3">
      <c r="C1562" s="81"/>
      <c r="F1562" s="85"/>
      <c r="G1562" s="86"/>
      <c r="H1562" s="86"/>
      <c r="I1562" s="87"/>
      <c r="J1562" s="85"/>
      <c r="K1562" s="85"/>
      <c r="M1562" s="81"/>
      <c r="O1562" s="85"/>
      <c r="P1562" s="85"/>
      <c r="Q1562" s="81"/>
    </row>
    <row r="1563" spans="3:17" x14ac:dyDescent="0.3">
      <c r="C1563" s="81"/>
      <c r="F1563" s="85"/>
      <c r="G1563" s="86"/>
      <c r="H1563" s="86"/>
      <c r="I1563" s="87"/>
      <c r="J1563" s="85"/>
      <c r="K1563" s="85"/>
      <c r="M1563" s="81"/>
      <c r="O1563" s="85"/>
      <c r="P1563" s="85"/>
      <c r="Q1563" s="81"/>
    </row>
    <row r="1564" spans="3:17" x14ac:dyDescent="0.3">
      <c r="C1564" s="81"/>
      <c r="F1564" s="85"/>
      <c r="G1564" s="86"/>
      <c r="H1564" s="86"/>
      <c r="I1564" s="87"/>
      <c r="J1564" s="85"/>
      <c r="K1564" s="85"/>
      <c r="M1564" s="81"/>
      <c r="O1564" s="85"/>
      <c r="P1564" s="85"/>
      <c r="Q1564" s="81"/>
    </row>
    <row r="1565" spans="3:17" x14ac:dyDescent="0.3">
      <c r="C1565" s="81"/>
      <c r="F1565" s="85"/>
      <c r="G1565" s="86"/>
      <c r="H1565" s="86"/>
      <c r="I1565" s="87"/>
      <c r="J1565" s="85"/>
      <c r="K1565" s="85"/>
      <c r="M1565" s="81"/>
      <c r="O1565" s="85"/>
      <c r="P1565" s="85"/>
      <c r="Q1565" s="81"/>
    </row>
    <row r="1566" spans="3:17" x14ac:dyDescent="0.3">
      <c r="C1566" s="81"/>
      <c r="F1566" s="85"/>
      <c r="G1566" s="86"/>
      <c r="H1566" s="86"/>
      <c r="I1566" s="87"/>
      <c r="J1566" s="85"/>
      <c r="K1566" s="85"/>
      <c r="M1566" s="81"/>
      <c r="O1566" s="85"/>
      <c r="P1566" s="85"/>
      <c r="Q1566" s="81"/>
    </row>
    <row r="1567" spans="3:17" x14ac:dyDescent="0.3">
      <c r="C1567" s="81"/>
      <c r="F1567" s="85"/>
      <c r="G1567" s="86"/>
      <c r="H1567" s="86"/>
      <c r="I1567" s="87"/>
      <c r="J1567" s="85"/>
      <c r="K1567" s="85"/>
      <c r="M1567" s="81"/>
      <c r="O1567" s="85"/>
      <c r="P1567" s="85"/>
      <c r="Q1567" s="81"/>
    </row>
    <row r="1568" spans="3:17" x14ac:dyDescent="0.3">
      <c r="C1568" s="81"/>
      <c r="F1568" s="85"/>
      <c r="G1568" s="86"/>
      <c r="H1568" s="86"/>
      <c r="I1568" s="87"/>
      <c r="J1568" s="85"/>
      <c r="K1568" s="85"/>
      <c r="M1568" s="81"/>
      <c r="O1568" s="85"/>
      <c r="P1568" s="85"/>
      <c r="Q1568" s="81"/>
    </row>
    <row r="1569" spans="3:17" x14ac:dyDescent="0.3">
      <c r="C1569" s="81"/>
      <c r="F1569" s="85"/>
      <c r="G1569" s="86"/>
      <c r="H1569" s="86"/>
      <c r="I1569" s="87"/>
      <c r="J1569" s="85"/>
      <c r="K1569" s="85"/>
      <c r="M1569" s="81"/>
      <c r="O1569" s="85"/>
      <c r="P1569" s="85"/>
      <c r="Q1569" s="81"/>
    </row>
    <row r="1570" spans="3:17" x14ac:dyDescent="0.3">
      <c r="C1570" s="81"/>
      <c r="F1570" s="85"/>
      <c r="G1570" s="86"/>
      <c r="H1570" s="86"/>
      <c r="I1570" s="87"/>
      <c r="J1570" s="85"/>
      <c r="K1570" s="85"/>
      <c r="M1570" s="81"/>
      <c r="O1570" s="85"/>
      <c r="P1570" s="85"/>
      <c r="Q1570" s="81"/>
    </row>
    <row r="1571" spans="3:17" x14ac:dyDescent="0.3">
      <c r="C1571" s="81"/>
      <c r="F1571" s="85"/>
      <c r="G1571" s="86"/>
      <c r="H1571" s="86"/>
      <c r="I1571" s="87"/>
      <c r="J1571" s="85"/>
      <c r="K1571" s="85"/>
      <c r="M1571" s="81"/>
      <c r="O1571" s="85"/>
      <c r="P1571" s="85"/>
      <c r="Q1571" s="81"/>
    </row>
    <row r="1572" spans="3:17" x14ac:dyDescent="0.3">
      <c r="C1572" s="81"/>
      <c r="F1572" s="85"/>
      <c r="G1572" s="86"/>
      <c r="H1572" s="86"/>
      <c r="I1572" s="87"/>
      <c r="J1572" s="85"/>
      <c r="K1572" s="85"/>
      <c r="M1572" s="81"/>
      <c r="O1572" s="85"/>
      <c r="P1572" s="85"/>
      <c r="Q1572" s="81"/>
    </row>
    <row r="1573" spans="3:17" x14ac:dyDescent="0.3">
      <c r="C1573" s="81"/>
      <c r="F1573" s="85"/>
      <c r="G1573" s="86"/>
      <c r="H1573" s="86"/>
      <c r="I1573" s="87"/>
      <c r="J1573" s="85"/>
      <c r="K1573" s="85"/>
      <c r="M1573" s="81"/>
      <c r="O1573" s="85"/>
      <c r="P1573" s="85"/>
      <c r="Q1573" s="81"/>
    </row>
    <row r="1574" spans="3:17" x14ac:dyDescent="0.3">
      <c r="C1574" s="81"/>
      <c r="F1574" s="85"/>
      <c r="G1574" s="86"/>
      <c r="H1574" s="86"/>
      <c r="I1574" s="87"/>
      <c r="J1574" s="85"/>
      <c r="K1574" s="85"/>
      <c r="M1574" s="81"/>
      <c r="O1574" s="85"/>
      <c r="P1574" s="85"/>
      <c r="Q1574" s="81"/>
    </row>
    <row r="1575" spans="3:17" x14ac:dyDescent="0.3">
      <c r="C1575" s="81"/>
      <c r="F1575" s="85"/>
      <c r="G1575" s="86"/>
      <c r="H1575" s="86"/>
      <c r="I1575" s="87"/>
      <c r="J1575" s="85"/>
      <c r="K1575" s="85"/>
      <c r="M1575" s="81"/>
      <c r="O1575" s="85"/>
      <c r="P1575" s="85"/>
      <c r="Q1575" s="81"/>
    </row>
    <row r="1576" spans="3:17" x14ac:dyDescent="0.3">
      <c r="C1576" s="81"/>
      <c r="F1576" s="85"/>
      <c r="G1576" s="86"/>
      <c r="H1576" s="86"/>
      <c r="I1576" s="87"/>
      <c r="J1576" s="85"/>
      <c r="K1576" s="85"/>
      <c r="M1576" s="81"/>
      <c r="O1576" s="85"/>
      <c r="P1576" s="85"/>
      <c r="Q1576" s="81"/>
    </row>
    <row r="1577" spans="3:17" x14ac:dyDescent="0.3">
      <c r="C1577" s="81"/>
      <c r="F1577" s="85"/>
      <c r="G1577" s="86"/>
      <c r="H1577" s="86"/>
      <c r="I1577" s="87"/>
      <c r="J1577" s="85"/>
      <c r="K1577" s="85"/>
      <c r="M1577" s="81"/>
      <c r="O1577" s="85"/>
      <c r="P1577" s="85"/>
      <c r="Q1577" s="81"/>
    </row>
    <row r="1578" spans="3:17" x14ac:dyDescent="0.3">
      <c r="C1578" s="81"/>
      <c r="F1578" s="85"/>
      <c r="G1578" s="86"/>
      <c r="H1578" s="86"/>
      <c r="I1578" s="87"/>
      <c r="J1578" s="85"/>
      <c r="K1578" s="85"/>
      <c r="M1578" s="81"/>
      <c r="O1578" s="85"/>
      <c r="P1578" s="85"/>
      <c r="Q1578" s="81"/>
    </row>
    <row r="1579" spans="3:17" x14ac:dyDescent="0.3">
      <c r="C1579" s="81"/>
      <c r="F1579" s="85"/>
      <c r="G1579" s="86"/>
      <c r="H1579" s="86"/>
      <c r="I1579" s="87"/>
      <c r="J1579" s="85"/>
      <c r="K1579" s="85"/>
      <c r="M1579" s="81"/>
      <c r="O1579" s="85"/>
      <c r="P1579" s="85"/>
      <c r="Q1579" s="81"/>
    </row>
    <row r="1580" spans="3:17" x14ac:dyDescent="0.3">
      <c r="C1580" s="81"/>
      <c r="F1580" s="85"/>
      <c r="G1580" s="86"/>
      <c r="H1580" s="86"/>
      <c r="I1580" s="87"/>
      <c r="J1580" s="85"/>
      <c r="K1580" s="85"/>
      <c r="M1580" s="81"/>
      <c r="O1580" s="85"/>
      <c r="P1580" s="85"/>
      <c r="Q1580" s="81"/>
    </row>
    <row r="1581" spans="3:17" x14ac:dyDescent="0.3">
      <c r="C1581" s="81"/>
      <c r="F1581" s="85"/>
      <c r="G1581" s="86"/>
      <c r="H1581" s="86"/>
      <c r="I1581" s="87"/>
      <c r="J1581" s="85"/>
      <c r="K1581" s="85"/>
      <c r="M1581" s="81"/>
      <c r="O1581" s="85"/>
      <c r="P1581" s="85"/>
      <c r="Q1581" s="81"/>
    </row>
    <row r="1582" spans="3:17" x14ac:dyDescent="0.3">
      <c r="C1582" s="81"/>
      <c r="F1582" s="85"/>
      <c r="G1582" s="86"/>
      <c r="H1582" s="86"/>
      <c r="I1582" s="87"/>
      <c r="J1582" s="85"/>
      <c r="K1582" s="85"/>
      <c r="M1582" s="81"/>
      <c r="O1582" s="85"/>
      <c r="P1582" s="85"/>
      <c r="Q1582" s="81"/>
    </row>
    <row r="1583" spans="3:17" x14ac:dyDescent="0.3">
      <c r="C1583" s="81"/>
      <c r="F1583" s="85"/>
      <c r="G1583" s="86"/>
      <c r="H1583" s="86"/>
      <c r="I1583" s="87"/>
      <c r="J1583" s="85"/>
      <c r="K1583" s="85"/>
      <c r="M1583" s="81"/>
      <c r="O1583" s="85"/>
      <c r="P1583" s="85"/>
      <c r="Q1583" s="81"/>
    </row>
    <row r="1584" spans="3:17" x14ac:dyDescent="0.3">
      <c r="C1584" s="81"/>
      <c r="F1584" s="85"/>
      <c r="G1584" s="86"/>
      <c r="H1584" s="86"/>
      <c r="I1584" s="87"/>
      <c r="J1584" s="85"/>
      <c r="K1584" s="85"/>
      <c r="M1584" s="81"/>
      <c r="O1584" s="85"/>
      <c r="P1584" s="85"/>
      <c r="Q1584" s="81"/>
    </row>
    <row r="1585" spans="3:17" x14ac:dyDescent="0.3">
      <c r="C1585" s="81"/>
      <c r="F1585" s="85"/>
      <c r="G1585" s="86"/>
      <c r="H1585" s="86"/>
      <c r="I1585" s="87"/>
      <c r="J1585" s="85"/>
      <c r="K1585" s="85"/>
      <c r="M1585" s="81"/>
      <c r="O1585" s="85"/>
      <c r="P1585" s="85"/>
      <c r="Q1585" s="81"/>
    </row>
    <row r="1586" spans="3:17" x14ac:dyDescent="0.3">
      <c r="C1586" s="81"/>
      <c r="F1586" s="85"/>
      <c r="G1586" s="86"/>
      <c r="H1586" s="86"/>
      <c r="I1586" s="87"/>
      <c r="J1586" s="85"/>
      <c r="K1586" s="85"/>
      <c r="M1586" s="81"/>
      <c r="O1586" s="85"/>
      <c r="P1586" s="85"/>
      <c r="Q1586" s="81"/>
    </row>
    <row r="1587" spans="3:17" x14ac:dyDescent="0.3">
      <c r="C1587" s="81"/>
      <c r="F1587" s="85"/>
      <c r="G1587" s="86"/>
      <c r="H1587" s="86"/>
      <c r="I1587" s="87"/>
      <c r="J1587" s="85"/>
      <c r="K1587" s="85"/>
      <c r="M1587" s="81"/>
      <c r="O1587" s="85"/>
      <c r="P1587" s="85"/>
      <c r="Q1587" s="81"/>
    </row>
    <row r="1588" spans="3:17" x14ac:dyDescent="0.3">
      <c r="C1588" s="81"/>
      <c r="F1588" s="85"/>
      <c r="G1588" s="86"/>
      <c r="H1588" s="86"/>
      <c r="I1588" s="87"/>
      <c r="J1588" s="85"/>
      <c r="K1588" s="85"/>
      <c r="M1588" s="81"/>
      <c r="O1588" s="85"/>
      <c r="P1588" s="85"/>
      <c r="Q1588" s="81"/>
    </row>
    <row r="1589" spans="3:17" x14ac:dyDescent="0.3">
      <c r="C1589" s="81"/>
      <c r="F1589" s="85"/>
      <c r="G1589" s="86"/>
      <c r="H1589" s="86"/>
      <c r="I1589" s="87"/>
      <c r="J1589" s="85"/>
      <c r="K1589" s="85"/>
      <c r="M1589" s="81"/>
      <c r="O1589" s="85"/>
      <c r="P1589" s="85"/>
      <c r="Q1589" s="81"/>
    </row>
    <row r="1590" spans="3:17" x14ac:dyDescent="0.3">
      <c r="C1590" s="81"/>
      <c r="F1590" s="85"/>
      <c r="G1590" s="86"/>
      <c r="H1590" s="86"/>
      <c r="I1590" s="87"/>
      <c r="J1590" s="85"/>
      <c r="K1590" s="85"/>
      <c r="M1590" s="81"/>
      <c r="O1590" s="85"/>
      <c r="P1590" s="85"/>
      <c r="Q1590" s="81"/>
    </row>
    <row r="1591" spans="3:17" x14ac:dyDescent="0.3">
      <c r="C1591" s="81"/>
      <c r="F1591" s="85"/>
      <c r="G1591" s="86"/>
      <c r="H1591" s="86"/>
      <c r="I1591" s="87"/>
      <c r="J1591" s="85"/>
      <c r="K1591" s="85"/>
      <c r="M1591" s="81"/>
      <c r="O1591" s="85"/>
      <c r="P1591" s="85"/>
      <c r="Q1591" s="81"/>
    </row>
    <row r="1592" spans="3:17" x14ac:dyDescent="0.3">
      <c r="C1592" s="81"/>
      <c r="F1592" s="85"/>
      <c r="G1592" s="86"/>
      <c r="H1592" s="86"/>
      <c r="I1592" s="87"/>
      <c r="J1592" s="85"/>
      <c r="K1592" s="85"/>
      <c r="M1592" s="81"/>
      <c r="O1592" s="85"/>
      <c r="P1592" s="85"/>
      <c r="Q1592" s="81"/>
    </row>
    <row r="1593" spans="3:17" x14ac:dyDescent="0.3">
      <c r="C1593" s="81"/>
      <c r="F1593" s="85"/>
      <c r="G1593" s="86"/>
      <c r="H1593" s="86"/>
      <c r="I1593" s="87"/>
      <c r="J1593" s="85"/>
      <c r="K1593" s="85"/>
      <c r="M1593" s="81"/>
      <c r="O1593" s="85"/>
      <c r="P1593" s="85"/>
      <c r="Q1593" s="81"/>
    </row>
    <row r="1594" spans="3:17" x14ac:dyDescent="0.3">
      <c r="C1594" s="81"/>
      <c r="F1594" s="85"/>
      <c r="G1594" s="86"/>
      <c r="H1594" s="86"/>
      <c r="I1594" s="87"/>
      <c r="J1594" s="85"/>
      <c r="K1594" s="85"/>
      <c r="M1594" s="81"/>
      <c r="O1594" s="85"/>
      <c r="P1594" s="85"/>
      <c r="Q1594" s="81"/>
    </row>
    <row r="1595" spans="3:17" x14ac:dyDescent="0.3">
      <c r="C1595" s="81"/>
      <c r="F1595" s="85"/>
      <c r="G1595" s="86"/>
      <c r="H1595" s="86"/>
      <c r="I1595" s="87"/>
      <c r="J1595" s="85"/>
      <c r="K1595" s="85"/>
      <c r="M1595" s="81"/>
      <c r="O1595" s="85"/>
      <c r="P1595" s="85"/>
      <c r="Q1595" s="81"/>
    </row>
    <row r="1596" spans="3:17" x14ac:dyDescent="0.3">
      <c r="C1596" s="81"/>
      <c r="F1596" s="85"/>
      <c r="G1596" s="86"/>
      <c r="H1596" s="86"/>
      <c r="I1596" s="87"/>
      <c r="J1596" s="85"/>
      <c r="K1596" s="85"/>
      <c r="M1596" s="81"/>
      <c r="O1596" s="85"/>
      <c r="P1596" s="85"/>
      <c r="Q1596" s="81"/>
    </row>
    <row r="1597" spans="3:17" x14ac:dyDescent="0.3">
      <c r="C1597" s="81"/>
      <c r="F1597" s="85"/>
      <c r="G1597" s="86"/>
      <c r="H1597" s="86"/>
      <c r="I1597" s="87"/>
      <c r="J1597" s="85"/>
      <c r="K1597" s="85"/>
      <c r="M1597" s="81"/>
      <c r="O1597" s="85"/>
      <c r="P1597" s="85"/>
      <c r="Q1597" s="81"/>
    </row>
    <row r="1598" spans="3:17" x14ac:dyDescent="0.3">
      <c r="C1598" s="81"/>
      <c r="F1598" s="85"/>
      <c r="G1598" s="86"/>
      <c r="H1598" s="86"/>
      <c r="I1598" s="87"/>
      <c r="J1598" s="85"/>
      <c r="K1598" s="85"/>
      <c r="M1598" s="81"/>
      <c r="O1598" s="85"/>
      <c r="P1598" s="85"/>
      <c r="Q1598" s="81"/>
    </row>
    <row r="1599" spans="3:17" x14ac:dyDescent="0.3">
      <c r="C1599" s="81"/>
      <c r="F1599" s="85"/>
      <c r="G1599" s="86"/>
      <c r="H1599" s="86"/>
      <c r="I1599" s="87"/>
      <c r="J1599" s="85"/>
      <c r="K1599" s="85"/>
      <c r="M1599" s="81"/>
      <c r="O1599" s="85"/>
      <c r="P1599" s="85"/>
      <c r="Q1599" s="81"/>
    </row>
    <row r="1600" spans="3:17" x14ac:dyDescent="0.3">
      <c r="C1600" s="81"/>
      <c r="F1600" s="85"/>
      <c r="G1600" s="86"/>
      <c r="H1600" s="86"/>
      <c r="I1600" s="87"/>
      <c r="J1600" s="85"/>
      <c r="K1600" s="85"/>
      <c r="M1600" s="81"/>
      <c r="O1600" s="85"/>
      <c r="P1600" s="85"/>
      <c r="Q1600" s="81"/>
    </row>
    <row r="1601" spans="3:17" x14ac:dyDescent="0.3">
      <c r="C1601" s="81"/>
      <c r="F1601" s="85"/>
      <c r="G1601" s="86"/>
      <c r="H1601" s="86"/>
      <c r="I1601" s="87"/>
      <c r="J1601" s="85"/>
      <c r="K1601" s="85"/>
      <c r="M1601" s="81"/>
      <c r="O1601" s="85"/>
      <c r="P1601" s="85"/>
      <c r="Q1601" s="81"/>
    </row>
    <row r="1602" spans="3:17" x14ac:dyDescent="0.3">
      <c r="C1602" s="81"/>
      <c r="F1602" s="85"/>
      <c r="G1602" s="86"/>
      <c r="H1602" s="86"/>
      <c r="I1602" s="87"/>
      <c r="J1602" s="85"/>
      <c r="K1602" s="85"/>
      <c r="M1602" s="81"/>
      <c r="O1602" s="85"/>
      <c r="P1602" s="85"/>
      <c r="Q1602" s="81"/>
    </row>
    <row r="1603" spans="3:17" x14ac:dyDescent="0.3">
      <c r="C1603" s="81"/>
      <c r="F1603" s="85"/>
      <c r="G1603" s="86"/>
      <c r="H1603" s="86"/>
      <c r="I1603" s="87"/>
      <c r="J1603" s="85"/>
      <c r="K1603" s="85"/>
      <c r="M1603" s="81"/>
      <c r="O1603" s="85"/>
      <c r="P1603" s="85"/>
      <c r="Q1603" s="81"/>
    </row>
    <row r="1604" spans="3:17" x14ac:dyDescent="0.3">
      <c r="C1604" s="81"/>
      <c r="F1604" s="85"/>
      <c r="G1604" s="86"/>
      <c r="H1604" s="86"/>
      <c r="I1604" s="87"/>
      <c r="J1604" s="85"/>
      <c r="K1604" s="85"/>
      <c r="M1604" s="81"/>
      <c r="O1604" s="85"/>
      <c r="P1604" s="85"/>
      <c r="Q1604" s="81"/>
    </row>
    <row r="1605" spans="3:17" x14ac:dyDescent="0.3">
      <c r="C1605" s="81"/>
      <c r="F1605" s="85"/>
      <c r="G1605" s="86"/>
      <c r="H1605" s="86"/>
      <c r="I1605" s="87"/>
      <c r="J1605" s="85"/>
      <c r="K1605" s="85"/>
      <c r="M1605" s="81"/>
      <c r="O1605" s="85"/>
      <c r="P1605" s="85"/>
      <c r="Q1605" s="81"/>
    </row>
    <row r="1606" spans="3:17" x14ac:dyDescent="0.3">
      <c r="C1606" s="81"/>
      <c r="F1606" s="85"/>
      <c r="G1606" s="86"/>
      <c r="H1606" s="86"/>
      <c r="I1606" s="87"/>
      <c r="J1606" s="85"/>
      <c r="K1606" s="85"/>
      <c r="M1606" s="81"/>
      <c r="O1606" s="85"/>
      <c r="P1606" s="85"/>
      <c r="Q1606" s="81"/>
    </row>
    <row r="1607" spans="3:17" x14ac:dyDescent="0.3">
      <c r="C1607" s="81"/>
      <c r="F1607" s="85"/>
      <c r="G1607" s="86"/>
      <c r="H1607" s="86"/>
      <c r="I1607" s="87"/>
      <c r="J1607" s="85"/>
      <c r="K1607" s="85"/>
      <c r="M1607" s="81"/>
      <c r="O1607" s="85"/>
      <c r="P1607" s="85"/>
      <c r="Q1607" s="81"/>
    </row>
    <row r="1608" spans="3:17" x14ac:dyDescent="0.3">
      <c r="C1608" s="81"/>
      <c r="F1608" s="85"/>
      <c r="G1608" s="86"/>
      <c r="H1608" s="86"/>
      <c r="I1608" s="87"/>
      <c r="J1608" s="85"/>
      <c r="K1608" s="85"/>
      <c r="M1608" s="81"/>
      <c r="O1608" s="85"/>
      <c r="P1608" s="85"/>
      <c r="Q1608" s="81"/>
    </row>
    <row r="1609" spans="3:17" x14ac:dyDescent="0.3">
      <c r="C1609" s="81"/>
      <c r="F1609" s="85"/>
      <c r="G1609" s="86"/>
      <c r="H1609" s="86"/>
      <c r="I1609" s="87"/>
      <c r="J1609" s="85"/>
      <c r="K1609" s="85"/>
      <c r="M1609" s="81"/>
      <c r="O1609" s="85"/>
      <c r="P1609" s="85"/>
      <c r="Q1609" s="81"/>
    </row>
    <row r="1610" spans="3:17" x14ac:dyDescent="0.3">
      <c r="C1610" s="81"/>
      <c r="F1610" s="85"/>
      <c r="G1610" s="86"/>
      <c r="H1610" s="86"/>
      <c r="I1610" s="87"/>
      <c r="J1610" s="85"/>
      <c r="K1610" s="85"/>
      <c r="M1610" s="81"/>
      <c r="O1610" s="85"/>
      <c r="P1610" s="85"/>
      <c r="Q1610" s="81"/>
    </row>
    <row r="1611" spans="3:17" x14ac:dyDescent="0.3">
      <c r="C1611" s="81"/>
      <c r="F1611" s="85"/>
      <c r="G1611" s="86"/>
      <c r="H1611" s="86"/>
      <c r="I1611" s="87"/>
      <c r="J1611" s="85"/>
      <c r="K1611" s="85"/>
      <c r="M1611" s="81"/>
      <c r="O1611" s="85"/>
      <c r="P1611" s="85"/>
      <c r="Q1611" s="81"/>
    </row>
    <row r="1612" spans="3:17" x14ac:dyDescent="0.3">
      <c r="C1612" s="81"/>
      <c r="F1612" s="85"/>
      <c r="G1612" s="86"/>
      <c r="H1612" s="86"/>
      <c r="I1612" s="87"/>
      <c r="J1612" s="85"/>
      <c r="K1612" s="85"/>
      <c r="M1612" s="81"/>
      <c r="O1612" s="85"/>
      <c r="P1612" s="85"/>
      <c r="Q1612" s="81"/>
    </row>
    <row r="1613" spans="3:17" x14ac:dyDescent="0.3">
      <c r="C1613" s="81"/>
      <c r="F1613" s="85"/>
      <c r="G1613" s="86"/>
      <c r="H1613" s="86"/>
      <c r="I1613" s="87"/>
      <c r="J1613" s="85"/>
      <c r="K1613" s="85"/>
      <c r="M1613" s="81"/>
      <c r="O1613" s="85"/>
      <c r="P1613" s="85"/>
      <c r="Q1613" s="81"/>
    </row>
    <row r="1614" spans="3:17" x14ac:dyDescent="0.3">
      <c r="C1614" s="81"/>
      <c r="F1614" s="85"/>
      <c r="G1614" s="86"/>
      <c r="H1614" s="86"/>
      <c r="I1614" s="87"/>
      <c r="J1614" s="85"/>
      <c r="K1614" s="85"/>
      <c r="M1614" s="81"/>
      <c r="O1614" s="85"/>
      <c r="P1614" s="85"/>
      <c r="Q1614" s="81"/>
    </row>
    <row r="1615" spans="3:17" x14ac:dyDescent="0.3">
      <c r="C1615" s="81"/>
      <c r="F1615" s="85"/>
      <c r="G1615" s="86"/>
      <c r="H1615" s="86"/>
      <c r="I1615" s="87"/>
      <c r="J1615" s="85"/>
      <c r="K1615" s="85"/>
      <c r="M1615" s="81"/>
      <c r="O1615" s="85"/>
      <c r="P1615" s="85"/>
      <c r="Q1615" s="81"/>
    </row>
    <row r="1616" spans="3:17" x14ac:dyDescent="0.3">
      <c r="C1616" s="81"/>
      <c r="F1616" s="85"/>
      <c r="G1616" s="86"/>
      <c r="H1616" s="86"/>
      <c r="I1616" s="87"/>
      <c r="J1616" s="85"/>
      <c r="K1616" s="85"/>
      <c r="M1616" s="81"/>
      <c r="O1616" s="85"/>
      <c r="P1616" s="85"/>
      <c r="Q1616" s="81"/>
    </row>
    <row r="1617" spans="3:17" x14ac:dyDescent="0.3">
      <c r="C1617" s="81"/>
      <c r="F1617" s="85"/>
      <c r="G1617" s="86"/>
      <c r="H1617" s="86"/>
      <c r="I1617" s="87"/>
      <c r="J1617" s="85"/>
      <c r="K1617" s="85"/>
      <c r="M1617" s="81"/>
      <c r="O1617" s="85"/>
      <c r="P1617" s="85"/>
      <c r="Q1617" s="81"/>
    </row>
    <row r="1618" spans="3:17" x14ac:dyDescent="0.3">
      <c r="C1618" s="81"/>
      <c r="F1618" s="85"/>
      <c r="G1618" s="86"/>
      <c r="H1618" s="86"/>
      <c r="I1618" s="87"/>
      <c r="J1618" s="85"/>
      <c r="K1618" s="85"/>
      <c r="M1618" s="81"/>
      <c r="O1618" s="85"/>
      <c r="P1618" s="85"/>
      <c r="Q1618" s="81"/>
    </row>
    <row r="1619" spans="3:17" x14ac:dyDescent="0.3">
      <c r="C1619" s="81"/>
      <c r="F1619" s="85"/>
      <c r="G1619" s="86"/>
      <c r="H1619" s="86"/>
      <c r="I1619" s="87"/>
      <c r="J1619" s="85"/>
      <c r="K1619" s="85"/>
      <c r="M1619" s="81"/>
      <c r="O1619" s="85"/>
      <c r="P1619" s="85"/>
      <c r="Q1619" s="81"/>
    </row>
    <row r="1620" spans="3:17" x14ac:dyDescent="0.3">
      <c r="C1620" s="81"/>
      <c r="F1620" s="85"/>
      <c r="G1620" s="86"/>
      <c r="H1620" s="86"/>
      <c r="I1620" s="87"/>
      <c r="J1620" s="85"/>
      <c r="K1620" s="85"/>
      <c r="M1620" s="81"/>
      <c r="O1620" s="85"/>
      <c r="P1620" s="85"/>
      <c r="Q1620" s="81"/>
    </row>
    <row r="1621" spans="3:17" x14ac:dyDescent="0.3">
      <c r="C1621" s="81"/>
      <c r="F1621" s="85"/>
      <c r="G1621" s="86"/>
      <c r="H1621" s="86"/>
      <c r="I1621" s="87"/>
      <c r="J1621" s="85"/>
      <c r="K1621" s="85"/>
      <c r="M1621" s="81"/>
      <c r="O1621" s="85"/>
      <c r="P1621" s="85"/>
      <c r="Q1621" s="81"/>
    </row>
    <row r="1622" spans="3:17" x14ac:dyDescent="0.3">
      <c r="C1622" s="81"/>
      <c r="F1622" s="85"/>
      <c r="G1622" s="86"/>
      <c r="H1622" s="86"/>
      <c r="I1622" s="87"/>
      <c r="J1622" s="85"/>
      <c r="K1622" s="85"/>
      <c r="M1622" s="81"/>
      <c r="O1622" s="85"/>
      <c r="P1622" s="85"/>
      <c r="Q1622" s="81"/>
    </row>
    <row r="1623" spans="3:17" x14ac:dyDescent="0.3">
      <c r="C1623" s="81"/>
      <c r="F1623" s="85"/>
      <c r="G1623" s="86"/>
      <c r="H1623" s="86"/>
      <c r="I1623" s="87"/>
      <c r="J1623" s="85"/>
      <c r="K1623" s="85"/>
      <c r="M1623" s="81"/>
      <c r="O1623" s="85"/>
      <c r="P1623" s="85"/>
      <c r="Q1623" s="81"/>
    </row>
    <row r="1624" spans="3:17" x14ac:dyDescent="0.3">
      <c r="C1624" s="81"/>
      <c r="F1624" s="85"/>
      <c r="G1624" s="86"/>
      <c r="H1624" s="86"/>
      <c r="I1624" s="87"/>
      <c r="J1624" s="85"/>
      <c r="K1624" s="85"/>
      <c r="M1624" s="81"/>
      <c r="O1624" s="85"/>
      <c r="P1624" s="85"/>
      <c r="Q1624" s="81"/>
    </row>
    <row r="1625" spans="3:17" x14ac:dyDescent="0.3">
      <c r="C1625" s="81"/>
      <c r="F1625" s="85"/>
      <c r="G1625" s="86"/>
      <c r="H1625" s="86"/>
      <c r="I1625" s="87"/>
      <c r="J1625" s="85"/>
      <c r="K1625" s="85"/>
      <c r="M1625" s="81"/>
      <c r="O1625" s="85"/>
      <c r="P1625" s="85"/>
      <c r="Q1625" s="81"/>
    </row>
    <row r="1626" spans="3:17" x14ac:dyDescent="0.3">
      <c r="C1626" s="81"/>
      <c r="F1626" s="85"/>
      <c r="G1626" s="86"/>
      <c r="H1626" s="86"/>
      <c r="I1626" s="87"/>
      <c r="J1626" s="85"/>
      <c r="K1626" s="85"/>
      <c r="M1626" s="81"/>
      <c r="O1626" s="85"/>
      <c r="P1626" s="85"/>
      <c r="Q1626" s="81"/>
    </row>
    <row r="1627" spans="3:17" x14ac:dyDescent="0.3">
      <c r="C1627" s="81"/>
      <c r="F1627" s="85"/>
      <c r="G1627" s="86"/>
      <c r="H1627" s="86"/>
      <c r="I1627" s="87"/>
      <c r="J1627" s="85"/>
      <c r="K1627" s="85"/>
      <c r="M1627" s="81"/>
      <c r="O1627" s="85"/>
      <c r="P1627" s="85"/>
      <c r="Q1627" s="81"/>
    </row>
    <row r="1628" spans="3:17" x14ac:dyDescent="0.3">
      <c r="C1628" s="81"/>
      <c r="F1628" s="85"/>
      <c r="G1628" s="86"/>
      <c r="H1628" s="86"/>
      <c r="I1628" s="87"/>
      <c r="J1628" s="85"/>
      <c r="K1628" s="85"/>
      <c r="M1628" s="81"/>
      <c r="O1628" s="85"/>
      <c r="P1628" s="85"/>
      <c r="Q1628" s="81"/>
    </row>
    <row r="1629" spans="3:17" x14ac:dyDescent="0.3">
      <c r="C1629" s="81"/>
      <c r="F1629" s="85"/>
      <c r="G1629" s="86"/>
      <c r="H1629" s="86"/>
      <c r="I1629" s="87"/>
      <c r="J1629" s="85"/>
      <c r="K1629" s="85"/>
      <c r="M1629" s="81"/>
      <c r="O1629" s="85"/>
      <c r="P1629" s="85"/>
      <c r="Q1629" s="81"/>
    </row>
    <row r="1630" spans="3:17" x14ac:dyDescent="0.3">
      <c r="C1630" s="81"/>
      <c r="F1630" s="85"/>
      <c r="G1630" s="86"/>
      <c r="H1630" s="86"/>
      <c r="I1630" s="87"/>
      <c r="J1630" s="85"/>
      <c r="K1630" s="85"/>
      <c r="M1630" s="81"/>
      <c r="O1630" s="85"/>
      <c r="P1630" s="85"/>
      <c r="Q1630" s="81"/>
    </row>
    <row r="1631" spans="3:17" x14ac:dyDescent="0.3">
      <c r="C1631" s="81"/>
      <c r="F1631" s="85"/>
      <c r="G1631" s="86"/>
      <c r="H1631" s="86"/>
      <c r="I1631" s="87"/>
      <c r="J1631" s="85"/>
      <c r="K1631" s="85"/>
      <c r="M1631" s="81"/>
      <c r="O1631" s="85"/>
      <c r="P1631" s="85"/>
      <c r="Q1631" s="81"/>
    </row>
    <row r="1632" spans="3:17" x14ac:dyDescent="0.3">
      <c r="C1632" s="81"/>
      <c r="F1632" s="85"/>
      <c r="G1632" s="86"/>
      <c r="H1632" s="86"/>
      <c r="I1632" s="87"/>
      <c r="J1632" s="85"/>
      <c r="K1632" s="85"/>
      <c r="M1632" s="81"/>
      <c r="O1632" s="85"/>
      <c r="P1632" s="85"/>
      <c r="Q1632" s="81"/>
    </row>
    <row r="1633" spans="3:17" x14ac:dyDescent="0.3">
      <c r="C1633" s="81"/>
      <c r="F1633" s="85"/>
      <c r="G1633" s="86"/>
      <c r="H1633" s="86"/>
      <c r="I1633" s="87"/>
      <c r="J1633" s="85"/>
      <c r="K1633" s="85"/>
      <c r="M1633" s="81"/>
      <c r="O1633" s="85"/>
      <c r="P1633" s="85"/>
      <c r="Q1633" s="81"/>
    </row>
    <row r="1634" spans="3:17" x14ac:dyDescent="0.3">
      <c r="C1634" s="81"/>
      <c r="F1634" s="85"/>
      <c r="G1634" s="86"/>
      <c r="H1634" s="86"/>
      <c r="I1634" s="87"/>
      <c r="J1634" s="85"/>
      <c r="K1634" s="85"/>
      <c r="M1634" s="81"/>
      <c r="O1634" s="85"/>
      <c r="P1634" s="85"/>
      <c r="Q1634" s="81"/>
    </row>
    <row r="1635" spans="3:17" x14ac:dyDescent="0.3">
      <c r="C1635" s="81"/>
      <c r="F1635" s="85"/>
      <c r="G1635" s="86"/>
      <c r="H1635" s="86"/>
      <c r="I1635" s="87"/>
      <c r="J1635" s="85"/>
      <c r="K1635" s="85"/>
      <c r="M1635" s="81"/>
      <c r="O1635" s="85"/>
      <c r="P1635" s="85"/>
      <c r="Q1635" s="81"/>
    </row>
    <row r="1636" spans="3:17" x14ac:dyDescent="0.3">
      <c r="C1636" s="81"/>
      <c r="F1636" s="85"/>
      <c r="G1636" s="86"/>
      <c r="H1636" s="86"/>
      <c r="I1636" s="87"/>
      <c r="J1636" s="85"/>
      <c r="K1636" s="85"/>
      <c r="M1636" s="81"/>
      <c r="O1636" s="85"/>
      <c r="P1636" s="85"/>
      <c r="Q1636" s="81"/>
    </row>
    <row r="1637" spans="3:17" x14ac:dyDescent="0.3">
      <c r="C1637" s="81"/>
      <c r="F1637" s="85"/>
      <c r="G1637" s="86"/>
      <c r="H1637" s="86"/>
      <c r="I1637" s="87"/>
      <c r="J1637" s="85"/>
      <c r="K1637" s="85"/>
      <c r="M1637" s="81"/>
      <c r="O1637" s="85"/>
      <c r="P1637" s="85"/>
      <c r="Q1637" s="81"/>
    </row>
    <row r="1638" spans="3:17" x14ac:dyDescent="0.3">
      <c r="C1638" s="81"/>
      <c r="F1638" s="85"/>
      <c r="G1638" s="86"/>
      <c r="H1638" s="86"/>
      <c r="I1638" s="87"/>
      <c r="J1638" s="85"/>
      <c r="K1638" s="85"/>
      <c r="M1638" s="81"/>
      <c r="O1638" s="85"/>
      <c r="P1638" s="85"/>
      <c r="Q1638" s="81"/>
    </row>
    <row r="1639" spans="3:17" x14ac:dyDescent="0.3">
      <c r="C1639" s="81"/>
      <c r="F1639" s="85"/>
      <c r="G1639" s="86"/>
      <c r="H1639" s="86"/>
      <c r="I1639" s="87"/>
      <c r="J1639" s="85"/>
      <c r="K1639" s="85"/>
      <c r="M1639" s="81"/>
      <c r="O1639" s="85"/>
      <c r="P1639" s="85"/>
      <c r="Q1639" s="81"/>
    </row>
    <row r="1640" spans="3:17" x14ac:dyDescent="0.3">
      <c r="C1640" s="81"/>
      <c r="F1640" s="85"/>
      <c r="G1640" s="86"/>
      <c r="H1640" s="86"/>
      <c r="I1640" s="87"/>
      <c r="J1640" s="85"/>
      <c r="K1640" s="85"/>
      <c r="M1640" s="81"/>
      <c r="O1640" s="85"/>
      <c r="P1640" s="85"/>
      <c r="Q1640" s="81"/>
    </row>
    <row r="1641" spans="3:17" x14ac:dyDescent="0.3">
      <c r="C1641" s="81"/>
      <c r="F1641" s="85"/>
      <c r="G1641" s="86"/>
      <c r="H1641" s="86"/>
      <c r="I1641" s="87"/>
      <c r="J1641" s="85"/>
      <c r="K1641" s="85"/>
      <c r="M1641" s="81"/>
      <c r="O1641" s="85"/>
      <c r="P1641" s="85"/>
      <c r="Q1641" s="81"/>
    </row>
    <row r="1642" spans="3:17" x14ac:dyDescent="0.3">
      <c r="C1642" s="81"/>
      <c r="F1642" s="85"/>
      <c r="G1642" s="86"/>
      <c r="H1642" s="86"/>
      <c r="I1642" s="87"/>
      <c r="J1642" s="85"/>
      <c r="K1642" s="85"/>
      <c r="M1642" s="81"/>
      <c r="O1642" s="85"/>
      <c r="P1642" s="85"/>
      <c r="Q1642" s="81"/>
    </row>
    <row r="1643" spans="3:17" x14ac:dyDescent="0.3">
      <c r="C1643" s="81"/>
      <c r="F1643" s="85"/>
      <c r="G1643" s="86"/>
      <c r="H1643" s="86"/>
      <c r="I1643" s="87"/>
      <c r="J1643" s="85"/>
      <c r="K1643" s="85"/>
      <c r="M1643" s="81"/>
      <c r="O1643" s="85"/>
      <c r="P1643" s="85"/>
      <c r="Q1643" s="81"/>
    </row>
    <row r="1644" spans="3:17" x14ac:dyDescent="0.3">
      <c r="C1644" s="81"/>
      <c r="F1644" s="85"/>
      <c r="G1644" s="86"/>
      <c r="H1644" s="86"/>
      <c r="I1644" s="87"/>
      <c r="J1644" s="85"/>
      <c r="K1644" s="85"/>
      <c r="M1644" s="81"/>
      <c r="O1644" s="85"/>
      <c r="P1644" s="85"/>
      <c r="Q1644" s="81"/>
    </row>
    <row r="1645" spans="3:17" x14ac:dyDescent="0.3">
      <c r="C1645" s="81"/>
      <c r="F1645" s="85"/>
      <c r="G1645" s="86"/>
      <c r="H1645" s="86"/>
      <c r="I1645" s="87"/>
      <c r="J1645" s="85"/>
      <c r="K1645" s="85"/>
      <c r="M1645" s="81"/>
      <c r="O1645" s="85"/>
      <c r="P1645" s="85"/>
      <c r="Q1645" s="81"/>
    </row>
    <row r="1646" spans="3:17" x14ac:dyDescent="0.3">
      <c r="C1646" s="81"/>
      <c r="F1646" s="85"/>
      <c r="G1646" s="86"/>
      <c r="H1646" s="86"/>
      <c r="I1646" s="87"/>
      <c r="J1646" s="85"/>
      <c r="K1646" s="85"/>
      <c r="M1646" s="81"/>
      <c r="O1646" s="85"/>
      <c r="P1646" s="85"/>
      <c r="Q1646" s="81"/>
    </row>
    <row r="1647" spans="3:17" x14ac:dyDescent="0.3">
      <c r="C1647" s="81"/>
      <c r="F1647" s="85"/>
      <c r="G1647" s="86"/>
      <c r="H1647" s="86"/>
      <c r="I1647" s="87"/>
      <c r="J1647" s="85"/>
      <c r="K1647" s="85"/>
      <c r="M1647" s="81"/>
      <c r="O1647" s="85"/>
      <c r="P1647" s="85"/>
      <c r="Q1647" s="81"/>
    </row>
    <row r="1648" spans="3:17" x14ac:dyDescent="0.3">
      <c r="C1648" s="81"/>
      <c r="F1648" s="85"/>
      <c r="G1648" s="86"/>
      <c r="H1648" s="86"/>
      <c r="I1648" s="87"/>
      <c r="J1648" s="85"/>
      <c r="K1648" s="85"/>
      <c r="M1648" s="81"/>
      <c r="O1648" s="85"/>
      <c r="P1648" s="85"/>
      <c r="Q1648" s="81"/>
    </row>
    <row r="1649" spans="3:17" x14ac:dyDescent="0.3">
      <c r="C1649" s="81"/>
      <c r="F1649" s="85"/>
      <c r="G1649" s="86"/>
      <c r="H1649" s="86"/>
      <c r="I1649" s="87"/>
      <c r="J1649" s="85"/>
      <c r="K1649" s="85"/>
      <c r="M1649" s="81"/>
      <c r="O1649" s="85"/>
      <c r="P1649" s="85"/>
      <c r="Q1649" s="81"/>
    </row>
    <row r="1650" spans="3:17" x14ac:dyDescent="0.3">
      <c r="C1650" s="81"/>
      <c r="F1650" s="85"/>
      <c r="G1650" s="86"/>
      <c r="H1650" s="86"/>
      <c r="I1650" s="87"/>
      <c r="J1650" s="85"/>
      <c r="K1650" s="85"/>
      <c r="M1650" s="81"/>
      <c r="O1650" s="85"/>
      <c r="P1650" s="85"/>
      <c r="Q1650" s="81"/>
    </row>
    <row r="1651" spans="3:17" x14ac:dyDescent="0.3">
      <c r="C1651" s="81"/>
      <c r="F1651" s="85"/>
      <c r="G1651" s="86"/>
      <c r="H1651" s="86"/>
      <c r="I1651" s="87"/>
      <c r="J1651" s="85"/>
      <c r="K1651" s="85"/>
      <c r="M1651" s="81"/>
      <c r="O1651" s="85"/>
      <c r="P1651" s="85"/>
      <c r="Q1651" s="81"/>
    </row>
    <row r="1652" spans="3:17" x14ac:dyDescent="0.3">
      <c r="C1652" s="81"/>
      <c r="F1652" s="85"/>
      <c r="G1652" s="86"/>
      <c r="H1652" s="86"/>
      <c r="I1652" s="87"/>
      <c r="J1652" s="85"/>
      <c r="K1652" s="85"/>
      <c r="M1652" s="81"/>
      <c r="O1652" s="85"/>
      <c r="P1652" s="85"/>
      <c r="Q1652" s="81"/>
    </row>
    <row r="1653" spans="3:17" x14ac:dyDescent="0.3">
      <c r="C1653" s="81"/>
      <c r="F1653" s="85"/>
      <c r="G1653" s="86"/>
      <c r="H1653" s="86"/>
      <c r="I1653" s="87"/>
      <c r="J1653" s="85"/>
      <c r="K1653" s="85"/>
      <c r="M1653" s="81"/>
      <c r="O1653" s="85"/>
      <c r="P1653" s="85"/>
      <c r="Q1653" s="81"/>
    </row>
    <row r="1654" spans="3:17" x14ac:dyDescent="0.3">
      <c r="C1654" s="81"/>
      <c r="F1654" s="85"/>
      <c r="G1654" s="86"/>
      <c r="H1654" s="86"/>
      <c r="I1654" s="87"/>
      <c r="J1654" s="85"/>
      <c r="K1654" s="85"/>
      <c r="M1654" s="81"/>
      <c r="O1654" s="85"/>
      <c r="P1654" s="85"/>
      <c r="Q1654" s="81"/>
    </row>
    <row r="1655" spans="3:17" x14ac:dyDescent="0.3">
      <c r="C1655" s="81"/>
      <c r="F1655" s="85"/>
      <c r="G1655" s="86"/>
      <c r="H1655" s="86"/>
      <c r="I1655" s="87"/>
      <c r="J1655" s="85"/>
      <c r="K1655" s="85"/>
      <c r="M1655" s="81"/>
      <c r="O1655" s="85"/>
      <c r="P1655" s="85"/>
      <c r="Q1655" s="81"/>
    </row>
    <row r="1656" spans="3:17" x14ac:dyDescent="0.3">
      <c r="C1656" s="81"/>
      <c r="F1656" s="85"/>
      <c r="G1656" s="86"/>
      <c r="H1656" s="86"/>
      <c r="I1656" s="87"/>
      <c r="J1656" s="85"/>
      <c r="K1656" s="85"/>
      <c r="M1656" s="81"/>
      <c r="O1656" s="85"/>
      <c r="P1656" s="85"/>
      <c r="Q1656" s="81"/>
    </row>
    <row r="1657" spans="3:17" x14ac:dyDescent="0.3">
      <c r="C1657" s="81"/>
      <c r="F1657" s="85"/>
      <c r="G1657" s="86"/>
      <c r="H1657" s="86"/>
      <c r="I1657" s="87"/>
      <c r="J1657" s="85"/>
      <c r="K1657" s="85"/>
      <c r="M1657" s="81"/>
      <c r="O1657" s="85"/>
      <c r="P1657" s="85"/>
      <c r="Q1657" s="81"/>
    </row>
    <row r="1658" spans="3:17" x14ac:dyDescent="0.3">
      <c r="C1658" s="81"/>
      <c r="F1658" s="85"/>
      <c r="G1658" s="86"/>
      <c r="H1658" s="86"/>
      <c r="I1658" s="87"/>
      <c r="J1658" s="85"/>
      <c r="K1658" s="85"/>
      <c r="M1658" s="81"/>
      <c r="O1658" s="85"/>
      <c r="P1658" s="85"/>
      <c r="Q1658" s="81"/>
    </row>
    <row r="1659" spans="3:17" x14ac:dyDescent="0.3">
      <c r="C1659" s="81"/>
      <c r="F1659" s="85"/>
      <c r="G1659" s="86"/>
      <c r="H1659" s="86"/>
      <c r="I1659" s="87"/>
      <c r="J1659" s="85"/>
      <c r="K1659" s="85"/>
      <c r="M1659" s="81"/>
      <c r="O1659" s="85"/>
      <c r="P1659" s="85"/>
      <c r="Q1659" s="81"/>
    </row>
    <row r="1660" spans="3:17" x14ac:dyDescent="0.3">
      <c r="C1660" s="81"/>
      <c r="F1660" s="85"/>
      <c r="G1660" s="86"/>
      <c r="H1660" s="86"/>
      <c r="I1660" s="87"/>
      <c r="J1660" s="85"/>
      <c r="K1660" s="85"/>
      <c r="M1660" s="81"/>
      <c r="O1660" s="85"/>
      <c r="P1660" s="85"/>
      <c r="Q1660" s="81"/>
    </row>
    <row r="1661" spans="3:17" x14ac:dyDescent="0.3">
      <c r="C1661" s="81"/>
      <c r="F1661" s="85"/>
      <c r="G1661" s="86"/>
      <c r="H1661" s="86"/>
      <c r="I1661" s="87"/>
      <c r="J1661" s="85"/>
      <c r="K1661" s="85"/>
      <c r="M1661" s="81"/>
      <c r="O1661" s="85"/>
      <c r="P1661" s="85"/>
      <c r="Q1661" s="81"/>
    </row>
    <row r="1662" spans="3:17" x14ac:dyDescent="0.3">
      <c r="C1662" s="81"/>
      <c r="F1662" s="85"/>
      <c r="G1662" s="86"/>
      <c r="H1662" s="86"/>
      <c r="I1662" s="87"/>
      <c r="J1662" s="85"/>
      <c r="K1662" s="85"/>
      <c r="M1662" s="81"/>
      <c r="O1662" s="85"/>
      <c r="P1662" s="85"/>
      <c r="Q1662" s="81"/>
    </row>
    <row r="1663" spans="3:17" x14ac:dyDescent="0.3">
      <c r="C1663" s="81"/>
      <c r="F1663" s="85"/>
      <c r="G1663" s="86"/>
      <c r="H1663" s="86"/>
      <c r="I1663" s="87"/>
      <c r="J1663" s="85"/>
      <c r="K1663" s="85"/>
      <c r="M1663" s="81"/>
      <c r="O1663" s="85"/>
      <c r="P1663" s="85"/>
      <c r="Q1663" s="81"/>
    </row>
    <row r="1664" spans="3:17" x14ac:dyDescent="0.3">
      <c r="C1664" s="81"/>
      <c r="F1664" s="85"/>
      <c r="G1664" s="86"/>
      <c r="H1664" s="86"/>
      <c r="I1664" s="87"/>
      <c r="J1664" s="85"/>
      <c r="K1664" s="85"/>
      <c r="M1664" s="81"/>
      <c r="O1664" s="85"/>
      <c r="P1664" s="85"/>
      <c r="Q1664" s="81"/>
    </row>
    <row r="1665" spans="3:17" x14ac:dyDescent="0.3">
      <c r="C1665" s="81"/>
      <c r="F1665" s="85"/>
      <c r="G1665" s="86"/>
      <c r="H1665" s="86"/>
      <c r="I1665" s="87"/>
      <c r="J1665" s="85"/>
      <c r="K1665" s="85"/>
      <c r="M1665" s="81"/>
      <c r="O1665" s="85"/>
      <c r="P1665" s="85"/>
      <c r="Q1665" s="81"/>
    </row>
    <row r="1666" spans="3:17" x14ac:dyDescent="0.3">
      <c r="C1666" s="81"/>
      <c r="F1666" s="85"/>
      <c r="G1666" s="86"/>
      <c r="H1666" s="86"/>
      <c r="I1666" s="87"/>
      <c r="J1666" s="85"/>
      <c r="K1666" s="85"/>
      <c r="M1666" s="81"/>
      <c r="O1666" s="85"/>
      <c r="P1666" s="85"/>
      <c r="Q1666" s="81"/>
    </row>
    <row r="1667" spans="3:17" x14ac:dyDescent="0.3">
      <c r="C1667" s="81"/>
      <c r="F1667" s="85"/>
      <c r="G1667" s="86"/>
      <c r="H1667" s="86"/>
      <c r="I1667" s="87"/>
      <c r="J1667" s="85"/>
      <c r="K1667" s="85"/>
      <c r="M1667" s="81"/>
      <c r="O1667" s="85"/>
      <c r="P1667" s="85"/>
      <c r="Q1667" s="81"/>
    </row>
    <row r="1668" spans="3:17" x14ac:dyDescent="0.3">
      <c r="C1668" s="81"/>
      <c r="F1668" s="85"/>
      <c r="G1668" s="86"/>
      <c r="H1668" s="86"/>
      <c r="I1668" s="87"/>
      <c r="J1668" s="85"/>
      <c r="K1668" s="85"/>
      <c r="M1668" s="81"/>
      <c r="O1668" s="85"/>
      <c r="P1668" s="85"/>
      <c r="Q1668" s="81"/>
    </row>
    <row r="1669" spans="3:17" x14ac:dyDescent="0.3">
      <c r="C1669" s="81"/>
      <c r="F1669" s="85"/>
      <c r="G1669" s="86"/>
      <c r="H1669" s="86"/>
      <c r="I1669" s="87"/>
      <c r="J1669" s="85"/>
      <c r="K1669" s="85"/>
      <c r="M1669" s="81"/>
      <c r="O1669" s="85"/>
      <c r="P1669" s="85"/>
      <c r="Q1669" s="81"/>
    </row>
    <row r="1670" spans="3:17" x14ac:dyDescent="0.3">
      <c r="C1670" s="81"/>
      <c r="F1670" s="85"/>
      <c r="G1670" s="86"/>
      <c r="H1670" s="86"/>
      <c r="I1670" s="87"/>
      <c r="J1670" s="85"/>
      <c r="K1670" s="85"/>
      <c r="M1670" s="81"/>
      <c r="O1670" s="85"/>
      <c r="P1670" s="85"/>
      <c r="Q1670" s="81"/>
    </row>
    <row r="1671" spans="3:17" x14ac:dyDescent="0.3">
      <c r="C1671" s="81"/>
      <c r="F1671" s="85"/>
      <c r="G1671" s="86"/>
      <c r="H1671" s="86"/>
      <c r="I1671" s="87"/>
      <c r="J1671" s="85"/>
      <c r="K1671" s="85"/>
      <c r="M1671" s="81"/>
      <c r="O1671" s="85"/>
      <c r="P1671" s="85"/>
      <c r="Q1671" s="81"/>
    </row>
    <row r="1672" spans="3:17" x14ac:dyDescent="0.3">
      <c r="C1672" s="81"/>
      <c r="F1672" s="85"/>
      <c r="G1672" s="86"/>
      <c r="H1672" s="86"/>
      <c r="I1672" s="87"/>
      <c r="J1672" s="85"/>
      <c r="K1672" s="85"/>
      <c r="M1672" s="81"/>
      <c r="O1672" s="85"/>
      <c r="P1672" s="85"/>
      <c r="Q1672" s="81"/>
    </row>
    <row r="1673" spans="3:17" x14ac:dyDescent="0.3">
      <c r="C1673" s="81"/>
      <c r="F1673" s="85"/>
      <c r="G1673" s="86"/>
      <c r="H1673" s="86"/>
      <c r="I1673" s="87"/>
      <c r="J1673" s="85"/>
      <c r="K1673" s="85"/>
      <c r="M1673" s="81"/>
      <c r="O1673" s="85"/>
      <c r="P1673" s="85"/>
      <c r="Q1673" s="81"/>
    </row>
    <row r="1674" spans="3:17" x14ac:dyDescent="0.3">
      <c r="C1674" s="81"/>
      <c r="F1674" s="85"/>
      <c r="G1674" s="86"/>
      <c r="H1674" s="86"/>
      <c r="I1674" s="87"/>
      <c r="J1674" s="85"/>
      <c r="K1674" s="85"/>
      <c r="M1674" s="81"/>
      <c r="O1674" s="85"/>
      <c r="P1674" s="85"/>
      <c r="Q1674" s="81"/>
    </row>
    <row r="1675" spans="3:17" x14ac:dyDescent="0.3">
      <c r="C1675" s="81"/>
      <c r="F1675" s="85"/>
      <c r="G1675" s="86"/>
      <c r="H1675" s="86"/>
      <c r="I1675" s="87"/>
      <c r="J1675" s="85"/>
      <c r="K1675" s="85"/>
      <c r="M1675" s="81"/>
      <c r="O1675" s="85"/>
      <c r="P1675" s="85"/>
      <c r="Q1675" s="81"/>
    </row>
    <row r="1676" spans="3:17" x14ac:dyDescent="0.3">
      <c r="C1676" s="81"/>
      <c r="F1676" s="85"/>
      <c r="G1676" s="86"/>
      <c r="H1676" s="86"/>
      <c r="I1676" s="87"/>
      <c r="J1676" s="85"/>
      <c r="K1676" s="85"/>
      <c r="M1676" s="81"/>
      <c r="O1676" s="85"/>
      <c r="P1676" s="85"/>
      <c r="Q1676" s="81"/>
    </row>
    <row r="1677" spans="3:17" x14ac:dyDescent="0.3">
      <c r="C1677" s="81"/>
      <c r="F1677" s="85"/>
      <c r="G1677" s="86"/>
      <c r="H1677" s="86"/>
      <c r="I1677" s="87"/>
      <c r="J1677" s="85"/>
      <c r="K1677" s="85"/>
      <c r="M1677" s="81"/>
      <c r="O1677" s="85"/>
      <c r="P1677" s="85"/>
      <c r="Q1677" s="81"/>
    </row>
    <row r="1678" spans="3:17" x14ac:dyDescent="0.3">
      <c r="C1678" s="81"/>
      <c r="F1678" s="85"/>
      <c r="G1678" s="86"/>
      <c r="H1678" s="86"/>
      <c r="I1678" s="87"/>
      <c r="J1678" s="85"/>
      <c r="K1678" s="85"/>
      <c r="M1678" s="81"/>
      <c r="O1678" s="85"/>
      <c r="P1678" s="85"/>
      <c r="Q1678" s="81"/>
    </row>
    <row r="1679" spans="3:17" x14ac:dyDescent="0.3">
      <c r="C1679" s="81"/>
      <c r="F1679" s="85"/>
      <c r="G1679" s="86"/>
      <c r="H1679" s="86"/>
      <c r="I1679" s="87"/>
      <c r="J1679" s="85"/>
      <c r="K1679" s="85"/>
      <c r="M1679" s="81"/>
      <c r="O1679" s="85"/>
      <c r="P1679" s="85"/>
      <c r="Q1679" s="81"/>
    </row>
    <row r="1680" spans="3:17" x14ac:dyDescent="0.3">
      <c r="C1680" s="81"/>
      <c r="F1680" s="85"/>
      <c r="G1680" s="86"/>
      <c r="H1680" s="86"/>
      <c r="I1680" s="87"/>
      <c r="J1680" s="85"/>
      <c r="K1680" s="85"/>
      <c r="M1680" s="81"/>
      <c r="O1680" s="85"/>
      <c r="P1680" s="85"/>
      <c r="Q1680" s="81"/>
    </row>
    <row r="1681" spans="3:17" x14ac:dyDescent="0.3">
      <c r="C1681" s="81"/>
      <c r="F1681" s="85"/>
      <c r="G1681" s="86"/>
      <c r="H1681" s="86"/>
      <c r="I1681" s="87"/>
      <c r="J1681" s="85"/>
      <c r="K1681" s="85"/>
      <c r="M1681" s="81"/>
      <c r="O1681" s="85"/>
      <c r="P1681" s="85"/>
      <c r="Q1681" s="81"/>
    </row>
    <row r="1682" spans="3:17" x14ac:dyDescent="0.3">
      <c r="C1682" s="81"/>
      <c r="F1682" s="85"/>
      <c r="G1682" s="86"/>
      <c r="H1682" s="86"/>
      <c r="I1682" s="87"/>
      <c r="J1682" s="85"/>
      <c r="K1682" s="85"/>
      <c r="M1682" s="81"/>
      <c r="O1682" s="85"/>
      <c r="P1682" s="85"/>
      <c r="Q1682" s="81"/>
    </row>
    <row r="1683" spans="3:17" x14ac:dyDescent="0.3">
      <c r="C1683" s="81"/>
      <c r="F1683" s="85"/>
      <c r="G1683" s="86"/>
      <c r="H1683" s="86"/>
      <c r="I1683" s="87"/>
      <c r="J1683" s="85"/>
      <c r="K1683" s="85"/>
      <c r="M1683" s="81"/>
      <c r="O1683" s="85"/>
      <c r="P1683" s="85"/>
      <c r="Q1683" s="81"/>
    </row>
    <row r="1684" spans="3:17" x14ac:dyDescent="0.3">
      <c r="C1684" s="81"/>
      <c r="F1684" s="85"/>
      <c r="G1684" s="86"/>
      <c r="H1684" s="86"/>
      <c r="I1684" s="87"/>
      <c r="J1684" s="85"/>
      <c r="K1684" s="85"/>
      <c r="M1684" s="81"/>
      <c r="O1684" s="85"/>
      <c r="P1684" s="85"/>
      <c r="Q1684" s="81"/>
    </row>
    <row r="1685" spans="3:17" x14ac:dyDescent="0.3">
      <c r="C1685" s="81"/>
      <c r="F1685" s="85"/>
      <c r="G1685" s="86"/>
      <c r="H1685" s="86"/>
      <c r="I1685" s="87"/>
      <c r="J1685" s="85"/>
      <c r="K1685" s="85"/>
      <c r="M1685" s="81"/>
      <c r="O1685" s="85"/>
      <c r="P1685" s="85"/>
      <c r="Q1685" s="81"/>
    </row>
    <row r="1686" spans="3:17" x14ac:dyDescent="0.3">
      <c r="C1686" s="81"/>
      <c r="F1686" s="85"/>
      <c r="G1686" s="86"/>
      <c r="H1686" s="86"/>
      <c r="I1686" s="87"/>
      <c r="J1686" s="85"/>
      <c r="K1686" s="85"/>
      <c r="M1686" s="81"/>
      <c r="O1686" s="85"/>
      <c r="P1686" s="85"/>
      <c r="Q1686" s="81"/>
    </row>
    <row r="1687" spans="3:17" x14ac:dyDescent="0.3">
      <c r="C1687" s="81"/>
      <c r="F1687" s="85"/>
      <c r="G1687" s="86"/>
      <c r="H1687" s="86"/>
      <c r="I1687" s="87"/>
      <c r="J1687" s="85"/>
      <c r="K1687" s="85"/>
      <c r="M1687" s="81"/>
      <c r="O1687" s="85"/>
      <c r="P1687" s="85"/>
      <c r="Q1687" s="81"/>
    </row>
    <row r="1688" spans="3:17" x14ac:dyDescent="0.3">
      <c r="C1688" s="81"/>
      <c r="F1688" s="85"/>
      <c r="G1688" s="86"/>
      <c r="H1688" s="86"/>
      <c r="I1688" s="87"/>
      <c r="J1688" s="85"/>
      <c r="K1688" s="85"/>
      <c r="M1688" s="81"/>
      <c r="O1688" s="85"/>
      <c r="P1688" s="85"/>
      <c r="Q1688" s="81"/>
    </row>
    <row r="1689" spans="3:17" x14ac:dyDescent="0.3">
      <c r="C1689" s="81"/>
      <c r="F1689" s="85"/>
      <c r="G1689" s="86"/>
      <c r="H1689" s="86"/>
      <c r="I1689" s="87"/>
      <c r="J1689" s="85"/>
      <c r="K1689" s="85"/>
      <c r="M1689" s="81"/>
      <c r="O1689" s="85"/>
      <c r="P1689" s="85"/>
      <c r="Q1689" s="81"/>
    </row>
    <row r="1690" spans="3:17" x14ac:dyDescent="0.3">
      <c r="C1690" s="81"/>
      <c r="F1690" s="85"/>
      <c r="G1690" s="86"/>
      <c r="H1690" s="86"/>
      <c r="I1690" s="87"/>
      <c r="J1690" s="85"/>
      <c r="K1690" s="85"/>
      <c r="M1690" s="81"/>
      <c r="O1690" s="85"/>
      <c r="P1690" s="85"/>
      <c r="Q1690" s="81"/>
    </row>
    <row r="1691" spans="3:17" x14ac:dyDescent="0.3">
      <c r="C1691" s="81"/>
      <c r="F1691" s="85"/>
      <c r="G1691" s="86"/>
      <c r="H1691" s="86"/>
      <c r="I1691" s="87"/>
      <c r="J1691" s="85"/>
      <c r="K1691" s="85"/>
      <c r="M1691" s="81"/>
      <c r="O1691" s="85"/>
      <c r="P1691" s="85"/>
      <c r="Q1691" s="81"/>
    </row>
    <row r="1692" spans="3:17" x14ac:dyDescent="0.3">
      <c r="C1692" s="81"/>
      <c r="F1692" s="85"/>
      <c r="G1692" s="86"/>
      <c r="H1692" s="86"/>
      <c r="I1692" s="87"/>
      <c r="J1692" s="85"/>
      <c r="K1692" s="85"/>
      <c r="M1692" s="81"/>
      <c r="O1692" s="85"/>
      <c r="P1692" s="85"/>
      <c r="Q1692" s="81"/>
    </row>
    <row r="1693" spans="3:17" x14ac:dyDescent="0.3">
      <c r="C1693" s="81"/>
      <c r="F1693" s="85"/>
      <c r="G1693" s="86"/>
      <c r="H1693" s="86"/>
      <c r="I1693" s="87"/>
      <c r="J1693" s="85"/>
      <c r="K1693" s="85"/>
      <c r="M1693" s="81"/>
      <c r="O1693" s="85"/>
      <c r="P1693" s="85"/>
      <c r="Q1693" s="81"/>
    </row>
    <row r="1694" spans="3:17" x14ac:dyDescent="0.3">
      <c r="C1694" s="81"/>
      <c r="F1694" s="85"/>
      <c r="G1694" s="86"/>
      <c r="H1694" s="86"/>
      <c r="I1694" s="87"/>
      <c r="J1694" s="85"/>
      <c r="K1694" s="85"/>
      <c r="M1694" s="81"/>
      <c r="O1694" s="85"/>
      <c r="P1694" s="85"/>
      <c r="Q1694" s="81"/>
    </row>
    <row r="1695" spans="3:17" x14ac:dyDescent="0.3">
      <c r="C1695" s="81"/>
      <c r="F1695" s="85"/>
      <c r="G1695" s="86"/>
      <c r="H1695" s="86"/>
      <c r="I1695" s="87"/>
      <c r="J1695" s="85"/>
      <c r="K1695" s="85"/>
      <c r="M1695" s="81"/>
      <c r="O1695" s="85"/>
      <c r="P1695" s="85"/>
      <c r="Q1695" s="81"/>
    </row>
    <row r="1696" spans="3:17" x14ac:dyDescent="0.3">
      <c r="C1696" s="81"/>
      <c r="F1696" s="85"/>
      <c r="G1696" s="86"/>
      <c r="H1696" s="86"/>
      <c r="I1696" s="87"/>
      <c r="J1696" s="85"/>
      <c r="K1696" s="85"/>
      <c r="M1696" s="81"/>
      <c r="O1696" s="85"/>
      <c r="P1696" s="85"/>
      <c r="Q1696" s="81"/>
    </row>
    <row r="1697" spans="3:17" x14ac:dyDescent="0.3">
      <c r="C1697" s="81"/>
      <c r="F1697" s="85"/>
      <c r="G1697" s="86"/>
      <c r="H1697" s="86"/>
      <c r="I1697" s="87"/>
      <c r="J1697" s="85"/>
      <c r="K1697" s="85"/>
      <c r="M1697" s="81"/>
      <c r="O1697" s="85"/>
      <c r="P1697" s="85"/>
      <c r="Q1697" s="81"/>
    </row>
    <row r="1698" spans="3:17" x14ac:dyDescent="0.3">
      <c r="C1698" s="81"/>
      <c r="F1698" s="85"/>
      <c r="G1698" s="86"/>
      <c r="H1698" s="86"/>
      <c r="I1698" s="87"/>
      <c r="J1698" s="85"/>
      <c r="K1698" s="85"/>
      <c r="M1698" s="81"/>
      <c r="O1698" s="85"/>
      <c r="P1698" s="85"/>
      <c r="Q1698" s="81"/>
    </row>
    <row r="1699" spans="3:17" x14ac:dyDescent="0.3">
      <c r="C1699" s="81"/>
      <c r="F1699" s="85"/>
      <c r="G1699" s="86"/>
      <c r="H1699" s="86"/>
      <c r="I1699" s="87"/>
      <c r="J1699" s="85"/>
      <c r="K1699" s="85"/>
      <c r="M1699" s="81"/>
      <c r="O1699" s="85"/>
      <c r="P1699" s="85"/>
      <c r="Q1699" s="81"/>
    </row>
    <row r="1700" spans="3:17" x14ac:dyDescent="0.3">
      <c r="C1700" s="81"/>
      <c r="F1700" s="85"/>
      <c r="G1700" s="86"/>
      <c r="H1700" s="86"/>
      <c r="I1700" s="87"/>
      <c r="J1700" s="85"/>
      <c r="K1700" s="85"/>
      <c r="M1700" s="81"/>
      <c r="O1700" s="85"/>
      <c r="P1700" s="85"/>
      <c r="Q1700" s="81"/>
    </row>
    <row r="1701" spans="3:17" x14ac:dyDescent="0.3">
      <c r="C1701" s="81"/>
      <c r="F1701" s="85"/>
      <c r="G1701" s="86"/>
      <c r="H1701" s="86"/>
      <c r="I1701" s="87"/>
      <c r="J1701" s="85"/>
      <c r="K1701" s="85"/>
      <c r="M1701" s="81"/>
      <c r="O1701" s="85"/>
      <c r="P1701" s="85"/>
      <c r="Q1701" s="81"/>
    </row>
    <row r="1702" spans="3:17" x14ac:dyDescent="0.3">
      <c r="C1702" s="81"/>
      <c r="F1702" s="85"/>
      <c r="G1702" s="86"/>
      <c r="H1702" s="86"/>
      <c r="I1702" s="87"/>
      <c r="J1702" s="85"/>
      <c r="K1702" s="85"/>
      <c r="M1702" s="81"/>
      <c r="O1702" s="85"/>
      <c r="P1702" s="85"/>
      <c r="Q1702" s="81"/>
    </row>
    <row r="1703" spans="3:17" x14ac:dyDescent="0.3">
      <c r="C1703" s="81"/>
      <c r="F1703" s="85"/>
      <c r="G1703" s="86"/>
      <c r="H1703" s="86"/>
      <c r="I1703" s="87"/>
      <c r="J1703" s="85"/>
      <c r="K1703" s="85"/>
      <c r="M1703" s="81"/>
      <c r="O1703" s="85"/>
      <c r="P1703" s="85"/>
      <c r="Q1703" s="81"/>
    </row>
    <row r="1704" spans="3:17" x14ac:dyDescent="0.3">
      <c r="C1704" s="81"/>
      <c r="F1704" s="85"/>
      <c r="G1704" s="86"/>
      <c r="H1704" s="86"/>
      <c r="I1704" s="87"/>
      <c r="J1704" s="85"/>
      <c r="K1704" s="85"/>
      <c r="M1704" s="81"/>
      <c r="O1704" s="85"/>
      <c r="P1704" s="85"/>
      <c r="Q1704" s="81"/>
    </row>
    <row r="1705" spans="3:17" x14ac:dyDescent="0.3">
      <c r="C1705" s="81"/>
      <c r="F1705" s="85"/>
      <c r="G1705" s="86"/>
      <c r="H1705" s="86"/>
      <c r="I1705" s="87"/>
      <c r="J1705" s="85"/>
      <c r="K1705" s="85"/>
      <c r="M1705" s="81"/>
      <c r="O1705" s="85"/>
      <c r="P1705" s="85"/>
      <c r="Q1705" s="81"/>
    </row>
    <row r="1706" spans="3:17" x14ac:dyDescent="0.3">
      <c r="C1706" s="81"/>
      <c r="F1706" s="85"/>
      <c r="G1706" s="86"/>
      <c r="H1706" s="86"/>
      <c r="I1706" s="87"/>
      <c r="J1706" s="85"/>
      <c r="K1706" s="85"/>
      <c r="M1706" s="81"/>
      <c r="O1706" s="85"/>
      <c r="P1706" s="85"/>
      <c r="Q1706" s="81"/>
    </row>
    <row r="1707" spans="3:17" x14ac:dyDescent="0.3">
      <c r="C1707" s="81"/>
      <c r="F1707" s="85"/>
      <c r="G1707" s="86"/>
      <c r="H1707" s="86"/>
      <c r="I1707" s="87"/>
      <c r="J1707" s="85"/>
      <c r="K1707" s="85"/>
      <c r="M1707" s="81"/>
      <c r="O1707" s="85"/>
      <c r="P1707" s="85"/>
      <c r="Q1707" s="81"/>
    </row>
    <row r="1708" spans="3:17" x14ac:dyDescent="0.3">
      <c r="C1708" s="81"/>
      <c r="F1708" s="85"/>
      <c r="G1708" s="86"/>
      <c r="H1708" s="86"/>
      <c r="I1708" s="87"/>
      <c r="J1708" s="85"/>
      <c r="K1708" s="85"/>
      <c r="M1708" s="81"/>
      <c r="O1708" s="85"/>
      <c r="P1708" s="85"/>
      <c r="Q1708" s="81"/>
    </row>
    <row r="1709" spans="3:17" x14ac:dyDescent="0.3">
      <c r="C1709" s="81"/>
      <c r="F1709" s="85"/>
      <c r="G1709" s="86"/>
      <c r="H1709" s="86"/>
      <c r="I1709" s="87"/>
      <c r="J1709" s="85"/>
      <c r="K1709" s="85"/>
      <c r="M1709" s="81"/>
      <c r="O1709" s="85"/>
      <c r="P1709" s="85"/>
      <c r="Q1709" s="81"/>
    </row>
    <row r="1710" spans="3:17" x14ac:dyDescent="0.3">
      <c r="C1710" s="81"/>
      <c r="F1710" s="85"/>
      <c r="G1710" s="86"/>
      <c r="H1710" s="86"/>
      <c r="I1710" s="87"/>
      <c r="J1710" s="85"/>
      <c r="K1710" s="85"/>
      <c r="M1710" s="81"/>
      <c r="O1710" s="85"/>
      <c r="P1710" s="85"/>
      <c r="Q1710" s="81"/>
    </row>
    <row r="1711" spans="3:17" x14ac:dyDescent="0.3">
      <c r="C1711" s="81"/>
      <c r="F1711" s="85"/>
      <c r="G1711" s="86"/>
      <c r="H1711" s="86"/>
      <c r="I1711" s="87"/>
      <c r="J1711" s="85"/>
      <c r="K1711" s="85"/>
      <c r="M1711" s="81"/>
      <c r="O1711" s="85"/>
      <c r="P1711" s="85"/>
      <c r="Q1711" s="81"/>
    </row>
    <row r="1712" spans="3:17" x14ac:dyDescent="0.3">
      <c r="C1712" s="81"/>
      <c r="F1712" s="85"/>
      <c r="G1712" s="86"/>
      <c r="H1712" s="86"/>
      <c r="I1712" s="87"/>
      <c r="J1712" s="85"/>
      <c r="K1712" s="85"/>
      <c r="M1712" s="81"/>
      <c r="O1712" s="85"/>
      <c r="P1712" s="85"/>
      <c r="Q1712" s="81"/>
    </row>
    <row r="1713" spans="3:17" x14ac:dyDescent="0.3">
      <c r="C1713" s="81"/>
      <c r="F1713" s="85"/>
      <c r="G1713" s="86"/>
      <c r="H1713" s="86"/>
      <c r="I1713" s="87"/>
      <c r="J1713" s="85"/>
      <c r="K1713" s="85"/>
      <c r="M1713" s="81"/>
      <c r="O1713" s="85"/>
      <c r="P1713" s="85"/>
      <c r="Q1713" s="81"/>
    </row>
    <row r="1714" spans="3:17" x14ac:dyDescent="0.3">
      <c r="C1714" s="81"/>
      <c r="F1714" s="85"/>
      <c r="G1714" s="86"/>
      <c r="H1714" s="86"/>
      <c r="I1714" s="87"/>
      <c r="J1714" s="85"/>
      <c r="K1714" s="85"/>
      <c r="M1714" s="81"/>
      <c r="O1714" s="85"/>
      <c r="P1714" s="85"/>
      <c r="Q1714" s="81"/>
    </row>
    <row r="1715" spans="3:17" x14ac:dyDescent="0.3">
      <c r="C1715" s="81"/>
      <c r="F1715" s="85"/>
      <c r="G1715" s="86"/>
      <c r="H1715" s="86"/>
      <c r="I1715" s="87"/>
      <c r="J1715" s="85"/>
      <c r="K1715" s="85"/>
      <c r="M1715" s="81"/>
      <c r="O1715" s="85"/>
      <c r="P1715" s="85"/>
      <c r="Q1715" s="81"/>
    </row>
    <row r="1716" spans="3:17" x14ac:dyDescent="0.3">
      <c r="C1716" s="81"/>
      <c r="F1716" s="85"/>
      <c r="G1716" s="86"/>
      <c r="H1716" s="86"/>
      <c r="I1716" s="87"/>
      <c r="J1716" s="85"/>
      <c r="K1716" s="85"/>
      <c r="M1716" s="81"/>
      <c r="O1716" s="85"/>
      <c r="P1716" s="85"/>
      <c r="Q1716" s="81"/>
    </row>
    <row r="1717" spans="3:17" x14ac:dyDescent="0.3">
      <c r="C1717" s="81"/>
      <c r="F1717" s="85"/>
      <c r="G1717" s="86"/>
      <c r="H1717" s="86"/>
      <c r="I1717" s="87"/>
      <c r="J1717" s="85"/>
      <c r="K1717" s="85"/>
      <c r="M1717" s="81"/>
      <c r="O1717" s="85"/>
      <c r="P1717" s="85"/>
      <c r="Q1717" s="81"/>
    </row>
    <row r="1718" spans="3:17" x14ac:dyDescent="0.3">
      <c r="C1718" s="81"/>
      <c r="F1718" s="85"/>
      <c r="G1718" s="86"/>
      <c r="H1718" s="86"/>
      <c r="I1718" s="87"/>
      <c r="J1718" s="85"/>
      <c r="K1718" s="85"/>
      <c r="M1718" s="81"/>
      <c r="O1718" s="85"/>
      <c r="P1718" s="85"/>
      <c r="Q1718" s="81"/>
    </row>
    <row r="1719" spans="3:17" x14ac:dyDescent="0.3">
      <c r="C1719" s="81"/>
      <c r="F1719" s="85"/>
      <c r="G1719" s="86"/>
      <c r="H1719" s="86"/>
      <c r="I1719" s="87"/>
      <c r="J1719" s="85"/>
      <c r="K1719" s="85"/>
      <c r="M1719" s="81"/>
      <c r="O1719" s="85"/>
      <c r="P1719" s="85"/>
      <c r="Q1719" s="81"/>
    </row>
    <row r="1720" spans="3:17" x14ac:dyDescent="0.3">
      <c r="C1720" s="81"/>
      <c r="F1720" s="85"/>
      <c r="G1720" s="86"/>
      <c r="H1720" s="86"/>
      <c r="I1720" s="87"/>
      <c r="J1720" s="85"/>
      <c r="K1720" s="85"/>
      <c r="M1720" s="81"/>
      <c r="O1720" s="85"/>
      <c r="P1720" s="85"/>
      <c r="Q1720" s="81"/>
    </row>
    <row r="1721" spans="3:17" x14ac:dyDescent="0.3">
      <c r="C1721" s="81"/>
      <c r="F1721" s="85"/>
      <c r="G1721" s="86"/>
      <c r="H1721" s="86"/>
      <c r="I1721" s="87"/>
      <c r="J1721" s="85"/>
      <c r="K1721" s="85"/>
      <c r="M1721" s="81"/>
      <c r="O1721" s="85"/>
      <c r="P1721" s="85"/>
      <c r="Q1721" s="81"/>
    </row>
    <row r="1722" spans="3:17" x14ac:dyDescent="0.3">
      <c r="C1722" s="81"/>
      <c r="F1722" s="85"/>
      <c r="G1722" s="86"/>
      <c r="H1722" s="86"/>
      <c r="I1722" s="87"/>
      <c r="J1722" s="85"/>
      <c r="K1722" s="85"/>
      <c r="M1722" s="81"/>
      <c r="O1722" s="85"/>
      <c r="P1722" s="85"/>
      <c r="Q1722" s="81"/>
    </row>
    <row r="1723" spans="3:17" x14ac:dyDescent="0.3">
      <c r="C1723" s="81"/>
      <c r="F1723" s="85"/>
      <c r="G1723" s="86"/>
      <c r="H1723" s="86"/>
      <c r="I1723" s="87"/>
      <c r="J1723" s="85"/>
      <c r="K1723" s="85"/>
      <c r="M1723" s="81"/>
      <c r="O1723" s="85"/>
      <c r="P1723" s="85"/>
      <c r="Q1723" s="81"/>
    </row>
    <row r="1724" spans="3:17" x14ac:dyDescent="0.3">
      <c r="C1724" s="81"/>
      <c r="F1724" s="85"/>
      <c r="G1724" s="86"/>
      <c r="H1724" s="86"/>
      <c r="I1724" s="87"/>
      <c r="J1724" s="85"/>
      <c r="K1724" s="85"/>
      <c r="M1724" s="81"/>
      <c r="O1724" s="85"/>
      <c r="P1724" s="85"/>
      <c r="Q1724" s="81"/>
    </row>
    <row r="1725" spans="3:17" x14ac:dyDescent="0.3">
      <c r="C1725" s="81"/>
      <c r="F1725" s="85"/>
      <c r="G1725" s="86"/>
      <c r="H1725" s="86"/>
      <c r="I1725" s="87"/>
      <c r="J1725" s="85"/>
      <c r="K1725" s="85"/>
      <c r="M1725" s="81"/>
      <c r="O1725" s="85"/>
      <c r="P1725" s="85"/>
      <c r="Q1725" s="81"/>
    </row>
    <row r="1726" spans="3:17" x14ac:dyDescent="0.3">
      <c r="C1726" s="81"/>
      <c r="F1726" s="85"/>
      <c r="G1726" s="86"/>
      <c r="H1726" s="86"/>
      <c r="I1726" s="87"/>
      <c r="J1726" s="85"/>
      <c r="K1726" s="85"/>
      <c r="M1726" s="81"/>
      <c r="O1726" s="85"/>
      <c r="P1726" s="85"/>
      <c r="Q1726" s="81"/>
    </row>
    <row r="1727" spans="3:17" x14ac:dyDescent="0.3">
      <c r="C1727" s="81"/>
      <c r="F1727" s="85"/>
      <c r="G1727" s="86"/>
      <c r="H1727" s="86"/>
      <c r="I1727" s="87"/>
      <c r="J1727" s="85"/>
      <c r="K1727" s="85"/>
      <c r="M1727" s="81"/>
      <c r="O1727" s="85"/>
      <c r="P1727" s="85"/>
      <c r="Q1727" s="81"/>
    </row>
    <row r="1728" spans="3:17" x14ac:dyDescent="0.3">
      <c r="C1728" s="81"/>
      <c r="F1728" s="85"/>
      <c r="G1728" s="86"/>
      <c r="H1728" s="86"/>
      <c r="I1728" s="87"/>
      <c r="J1728" s="85"/>
      <c r="K1728" s="85"/>
      <c r="M1728" s="81"/>
      <c r="O1728" s="85"/>
      <c r="P1728" s="85"/>
      <c r="Q1728" s="81"/>
    </row>
    <row r="1729" spans="3:17" x14ac:dyDescent="0.3">
      <c r="C1729" s="81"/>
      <c r="F1729" s="85"/>
      <c r="G1729" s="86"/>
      <c r="H1729" s="86"/>
      <c r="I1729" s="87"/>
      <c r="J1729" s="85"/>
      <c r="K1729" s="85"/>
      <c r="M1729" s="81"/>
      <c r="O1729" s="85"/>
      <c r="P1729" s="85"/>
      <c r="Q1729" s="81"/>
    </row>
    <row r="1730" spans="3:17" x14ac:dyDescent="0.3">
      <c r="C1730" s="81"/>
      <c r="F1730" s="85"/>
      <c r="G1730" s="86"/>
      <c r="H1730" s="86"/>
      <c r="I1730" s="87"/>
      <c r="J1730" s="85"/>
      <c r="K1730" s="85"/>
      <c r="M1730" s="81"/>
      <c r="O1730" s="85"/>
      <c r="P1730" s="85"/>
      <c r="Q1730" s="81"/>
    </row>
    <row r="1731" spans="3:17" x14ac:dyDescent="0.3">
      <c r="C1731" s="81"/>
      <c r="F1731" s="85"/>
      <c r="G1731" s="86"/>
      <c r="H1731" s="86"/>
      <c r="I1731" s="87"/>
      <c r="J1731" s="85"/>
      <c r="K1731" s="85"/>
      <c r="M1731" s="81"/>
      <c r="O1731" s="85"/>
      <c r="P1731" s="85"/>
      <c r="Q1731" s="81"/>
    </row>
    <row r="1732" spans="3:17" x14ac:dyDescent="0.3">
      <c r="C1732" s="81"/>
      <c r="F1732" s="85"/>
      <c r="G1732" s="86"/>
      <c r="H1732" s="86"/>
      <c r="I1732" s="87"/>
      <c r="J1732" s="85"/>
      <c r="K1732" s="85"/>
      <c r="M1732" s="81"/>
      <c r="O1732" s="85"/>
      <c r="P1732" s="85"/>
      <c r="Q1732" s="81"/>
    </row>
    <row r="1733" spans="3:17" x14ac:dyDescent="0.3">
      <c r="C1733" s="81"/>
      <c r="F1733" s="85"/>
      <c r="G1733" s="86"/>
      <c r="H1733" s="86"/>
      <c r="I1733" s="87"/>
      <c r="J1733" s="85"/>
      <c r="K1733" s="85"/>
      <c r="M1733" s="81"/>
      <c r="O1733" s="85"/>
      <c r="P1733" s="85"/>
      <c r="Q1733" s="81"/>
    </row>
    <row r="1734" spans="3:17" x14ac:dyDescent="0.3">
      <c r="C1734" s="81"/>
      <c r="F1734" s="85"/>
      <c r="G1734" s="86"/>
      <c r="H1734" s="86"/>
      <c r="I1734" s="87"/>
      <c r="J1734" s="85"/>
      <c r="K1734" s="85"/>
      <c r="M1734" s="81"/>
      <c r="O1734" s="85"/>
      <c r="P1734" s="85"/>
      <c r="Q1734" s="81"/>
    </row>
    <row r="1735" spans="3:17" x14ac:dyDescent="0.3">
      <c r="C1735" s="81"/>
      <c r="F1735" s="85"/>
      <c r="G1735" s="86"/>
      <c r="H1735" s="86"/>
      <c r="I1735" s="87"/>
      <c r="J1735" s="85"/>
      <c r="K1735" s="85"/>
      <c r="M1735" s="81"/>
      <c r="O1735" s="85"/>
      <c r="P1735" s="85"/>
      <c r="Q1735" s="81"/>
    </row>
    <row r="1736" spans="3:17" x14ac:dyDescent="0.3">
      <c r="C1736" s="81"/>
      <c r="F1736" s="85"/>
      <c r="G1736" s="86"/>
      <c r="H1736" s="86"/>
      <c r="I1736" s="87"/>
      <c r="J1736" s="85"/>
      <c r="K1736" s="85"/>
      <c r="M1736" s="81"/>
      <c r="O1736" s="85"/>
      <c r="P1736" s="85"/>
      <c r="Q1736" s="81"/>
    </row>
    <row r="1737" spans="3:17" x14ac:dyDescent="0.3">
      <c r="C1737" s="81"/>
      <c r="F1737" s="85"/>
      <c r="G1737" s="86"/>
      <c r="H1737" s="86"/>
      <c r="I1737" s="87"/>
      <c r="J1737" s="85"/>
      <c r="K1737" s="85"/>
      <c r="M1737" s="81"/>
      <c r="O1737" s="85"/>
      <c r="P1737" s="85"/>
      <c r="Q1737" s="81"/>
    </row>
    <row r="1738" spans="3:17" x14ac:dyDescent="0.3">
      <c r="C1738" s="81"/>
      <c r="F1738" s="85"/>
      <c r="G1738" s="86"/>
      <c r="H1738" s="86"/>
      <c r="I1738" s="87"/>
      <c r="J1738" s="85"/>
      <c r="K1738" s="85"/>
      <c r="M1738" s="81"/>
      <c r="O1738" s="85"/>
      <c r="P1738" s="85"/>
      <c r="Q1738" s="81"/>
    </row>
    <row r="1739" spans="3:17" x14ac:dyDescent="0.3">
      <c r="C1739" s="81"/>
      <c r="F1739" s="85"/>
      <c r="G1739" s="86"/>
      <c r="H1739" s="86"/>
      <c r="I1739" s="87"/>
      <c r="J1739" s="85"/>
      <c r="K1739" s="85"/>
      <c r="M1739" s="81"/>
      <c r="O1739" s="85"/>
      <c r="P1739" s="85"/>
      <c r="Q1739" s="81"/>
    </row>
    <row r="1740" spans="3:17" x14ac:dyDescent="0.3">
      <c r="C1740" s="81"/>
      <c r="F1740" s="85"/>
      <c r="G1740" s="86"/>
      <c r="H1740" s="86"/>
      <c r="I1740" s="87"/>
      <c r="J1740" s="85"/>
      <c r="K1740" s="85"/>
      <c r="M1740" s="81"/>
      <c r="O1740" s="85"/>
      <c r="P1740" s="85"/>
      <c r="Q1740" s="81"/>
    </row>
    <row r="1741" spans="3:17" x14ac:dyDescent="0.3">
      <c r="C1741" s="81"/>
      <c r="F1741" s="85"/>
      <c r="G1741" s="86"/>
      <c r="H1741" s="86"/>
      <c r="I1741" s="87"/>
      <c r="J1741" s="85"/>
      <c r="K1741" s="85"/>
      <c r="M1741" s="81"/>
      <c r="O1741" s="85"/>
      <c r="P1741" s="85"/>
      <c r="Q1741" s="81"/>
    </row>
    <row r="1742" spans="3:17" x14ac:dyDescent="0.3">
      <c r="C1742" s="81"/>
      <c r="F1742" s="85"/>
      <c r="G1742" s="86"/>
      <c r="H1742" s="86"/>
      <c r="I1742" s="87"/>
      <c r="J1742" s="85"/>
      <c r="K1742" s="85"/>
      <c r="M1742" s="81"/>
      <c r="O1742" s="85"/>
      <c r="P1742" s="85"/>
      <c r="Q1742" s="81"/>
    </row>
    <row r="1743" spans="3:17" x14ac:dyDescent="0.3">
      <c r="C1743" s="81"/>
      <c r="F1743" s="85"/>
      <c r="G1743" s="86"/>
      <c r="H1743" s="86"/>
      <c r="I1743" s="87"/>
      <c r="J1743" s="85"/>
      <c r="K1743" s="85"/>
      <c r="M1743" s="81"/>
      <c r="O1743" s="85"/>
      <c r="P1743" s="85"/>
      <c r="Q1743" s="81"/>
    </row>
    <row r="1744" spans="3:17" x14ac:dyDescent="0.3">
      <c r="C1744" s="81"/>
      <c r="F1744" s="85"/>
      <c r="G1744" s="86"/>
      <c r="H1744" s="86"/>
      <c r="I1744" s="87"/>
      <c r="J1744" s="85"/>
      <c r="K1744" s="85"/>
      <c r="M1744" s="81"/>
      <c r="O1744" s="85"/>
      <c r="P1744" s="85"/>
      <c r="Q1744" s="81"/>
    </row>
    <row r="1745" spans="3:17" x14ac:dyDescent="0.3">
      <c r="C1745" s="81"/>
      <c r="F1745" s="85"/>
      <c r="G1745" s="86"/>
      <c r="H1745" s="86"/>
      <c r="I1745" s="87"/>
      <c r="J1745" s="85"/>
      <c r="K1745" s="85"/>
      <c r="M1745" s="81"/>
      <c r="O1745" s="85"/>
      <c r="P1745" s="85"/>
      <c r="Q1745" s="81"/>
    </row>
    <row r="1746" spans="3:17" x14ac:dyDescent="0.3">
      <c r="C1746" s="81"/>
      <c r="F1746" s="85"/>
      <c r="G1746" s="86"/>
      <c r="H1746" s="86"/>
      <c r="I1746" s="87"/>
      <c r="J1746" s="85"/>
      <c r="K1746" s="85"/>
      <c r="M1746" s="81"/>
      <c r="O1746" s="85"/>
      <c r="P1746" s="85"/>
      <c r="Q1746" s="81"/>
    </row>
    <row r="1747" spans="3:17" x14ac:dyDescent="0.3">
      <c r="C1747" s="81"/>
      <c r="F1747" s="85"/>
      <c r="G1747" s="86"/>
      <c r="H1747" s="86"/>
      <c r="I1747" s="87"/>
      <c r="J1747" s="85"/>
      <c r="K1747" s="85"/>
      <c r="M1747" s="81"/>
      <c r="O1747" s="85"/>
      <c r="P1747" s="85"/>
      <c r="Q1747" s="81"/>
    </row>
    <row r="1748" spans="3:17" x14ac:dyDescent="0.3">
      <c r="C1748" s="81"/>
      <c r="F1748" s="85"/>
      <c r="G1748" s="86"/>
      <c r="H1748" s="86"/>
      <c r="I1748" s="87"/>
      <c r="J1748" s="85"/>
      <c r="K1748" s="85"/>
      <c r="M1748" s="81"/>
      <c r="O1748" s="85"/>
      <c r="P1748" s="85"/>
      <c r="Q1748" s="81"/>
    </row>
    <row r="1749" spans="3:17" x14ac:dyDescent="0.3">
      <c r="C1749" s="81"/>
      <c r="F1749" s="85"/>
      <c r="G1749" s="86"/>
      <c r="H1749" s="86"/>
      <c r="I1749" s="87"/>
      <c r="J1749" s="85"/>
      <c r="K1749" s="85"/>
      <c r="M1749" s="81"/>
      <c r="O1749" s="85"/>
      <c r="P1749" s="85"/>
      <c r="Q1749" s="81"/>
    </row>
    <row r="1750" spans="3:17" x14ac:dyDescent="0.3">
      <c r="C1750" s="81"/>
      <c r="F1750" s="85"/>
      <c r="G1750" s="86"/>
      <c r="H1750" s="86"/>
      <c r="I1750" s="87"/>
      <c r="J1750" s="85"/>
      <c r="K1750" s="85"/>
      <c r="M1750" s="81"/>
      <c r="O1750" s="85"/>
      <c r="P1750" s="85"/>
      <c r="Q1750" s="81"/>
    </row>
    <row r="1751" spans="3:17" x14ac:dyDescent="0.3">
      <c r="C1751" s="81"/>
      <c r="F1751" s="85"/>
      <c r="G1751" s="86"/>
      <c r="H1751" s="86"/>
      <c r="I1751" s="87"/>
      <c r="J1751" s="85"/>
      <c r="K1751" s="85"/>
      <c r="M1751" s="81"/>
      <c r="O1751" s="85"/>
      <c r="P1751" s="85"/>
      <c r="Q1751" s="81"/>
    </row>
    <row r="1752" spans="3:17" x14ac:dyDescent="0.3">
      <c r="C1752" s="81"/>
      <c r="F1752" s="85"/>
      <c r="G1752" s="86"/>
      <c r="H1752" s="86"/>
      <c r="I1752" s="87"/>
      <c r="J1752" s="85"/>
      <c r="K1752" s="85"/>
      <c r="M1752" s="81"/>
      <c r="O1752" s="85"/>
      <c r="P1752" s="85"/>
      <c r="Q1752" s="81"/>
    </row>
    <row r="1753" spans="3:17" x14ac:dyDescent="0.3">
      <c r="C1753" s="81"/>
      <c r="F1753" s="85"/>
      <c r="G1753" s="86"/>
      <c r="H1753" s="86"/>
      <c r="I1753" s="87"/>
      <c r="J1753" s="85"/>
      <c r="K1753" s="85"/>
      <c r="M1753" s="81"/>
      <c r="O1753" s="85"/>
      <c r="P1753" s="85"/>
      <c r="Q1753" s="81"/>
    </row>
    <row r="1754" spans="3:17" x14ac:dyDescent="0.3">
      <c r="C1754" s="81"/>
      <c r="F1754" s="85"/>
      <c r="G1754" s="86"/>
      <c r="H1754" s="86"/>
      <c r="I1754" s="87"/>
      <c r="J1754" s="85"/>
      <c r="K1754" s="85"/>
      <c r="M1754" s="81"/>
      <c r="O1754" s="85"/>
      <c r="P1754" s="85"/>
      <c r="Q1754" s="81"/>
    </row>
    <row r="1755" spans="3:17" x14ac:dyDescent="0.3">
      <c r="C1755" s="81"/>
      <c r="F1755" s="85"/>
      <c r="G1755" s="86"/>
      <c r="H1755" s="86"/>
      <c r="I1755" s="87"/>
      <c r="J1755" s="85"/>
      <c r="K1755" s="85"/>
      <c r="M1755" s="81"/>
      <c r="O1755" s="85"/>
      <c r="P1755" s="85"/>
      <c r="Q1755" s="81"/>
    </row>
    <row r="1756" spans="3:17" x14ac:dyDescent="0.3">
      <c r="C1756" s="81"/>
      <c r="F1756" s="85"/>
      <c r="G1756" s="86"/>
      <c r="H1756" s="86"/>
      <c r="I1756" s="87"/>
      <c r="J1756" s="85"/>
      <c r="K1756" s="85"/>
      <c r="M1756" s="81"/>
      <c r="O1756" s="85"/>
      <c r="P1756" s="85"/>
      <c r="Q1756" s="81"/>
    </row>
    <row r="1757" spans="3:17" x14ac:dyDescent="0.3">
      <c r="C1757" s="81"/>
      <c r="F1757" s="85"/>
      <c r="G1757" s="86"/>
      <c r="H1757" s="86"/>
      <c r="I1757" s="87"/>
      <c r="J1757" s="85"/>
      <c r="K1757" s="85"/>
      <c r="M1757" s="81"/>
      <c r="O1757" s="85"/>
      <c r="P1757" s="85"/>
      <c r="Q1757" s="81"/>
    </row>
    <row r="1758" spans="3:17" x14ac:dyDescent="0.3">
      <c r="C1758" s="81"/>
      <c r="F1758" s="85"/>
      <c r="G1758" s="86"/>
      <c r="H1758" s="86"/>
      <c r="I1758" s="87"/>
      <c r="J1758" s="85"/>
      <c r="K1758" s="85"/>
      <c r="M1758" s="81"/>
      <c r="O1758" s="85"/>
      <c r="P1758" s="85"/>
      <c r="Q1758" s="81"/>
    </row>
    <row r="1759" spans="3:17" x14ac:dyDescent="0.3">
      <c r="C1759" s="81"/>
      <c r="F1759" s="85"/>
      <c r="G1759" s="86"/>
      <c r="H1759" s="86"/>
      <c r="I1759" s="87"/>
      <c r="J1759" s="85"/>
      <c r="K1759" s="85"/>
      <c r="M1759" s="81"/>
      <c r="O1759" s="85"/>
      <c r="P1759" s="85"/>
      <c r="Q1759" s="81"/>
    </row>
    <row r="1760" spans="3:17" x14ac:dyDescent="0.3">
      <c r="C1760" s="81"/>
      <c r="F1760" s="85"/>
      <c r="G1760" s="86"/>
      <c r="H1760" s="86"/>
      <c r="I1760" s="87"/>
      <c r="J1760" s="85"/>
      <c r="K1760" s="85"/>
      <c r="M1760" s="81"/>
      <c r="O1760" s="85"/>
      <c r="P1760" s="85"/>
      <c r="Q1760" s="81"/>
    </row>
    <row r="1761" spans="3:17" x14ac:dyDescent="0.3">
      <c r="C1761" s="81"/>
      <c r="F1761" s="85"/>
      <c r="G1761" s="86"/>
      <c r="H1761" s="86"/>
      <c r="I1761" s="87"/>
      <c r="J1761" s="85"/>
      <c r="K1761" s="85"/>
      <c r="M1761" s="81"/>
      <c r="O1761" s="85"/>
      <c r="P1761" s="85"/>
      <c r="Q1761" s="81"/>
    </row>
    <row r="1762" spans="3:17" x14ac:dyDescent="0.3">
      <c r="C1762" s="81"/>
      <c r="F1762" s="85"/>
      <c r="G1762" s="86"/>
      <c r="H1762" s="86"/>
      <c r="I1762" s="87"/>
      <c r="J1762" s="85"/>
      <c r="K1762" s="85"/>
      <c r="M1762" s="81"/>
      <c r="O1762" s="85"/>
      <c r="P1762" s="85"/>
      <c r="Q1762" s="81"/>
    </row>
    <row r="1763" spans="3:17" x14ac:dyDescent="0.3">
      <c r="C1763" s="81"/>
      <c r="F1763" s="85"/>
      <c r="G1763" s="86"/>
      <c r="H1763" s="86"/>
      <c r="I1763" s="87"/>
      <c r="J1763" s="85"/>
      <c r="K1763" s="85"/>
      <c r="M1763" s="81"/>
      <c r="O1763" s="85"/>
      <c r="P1763" s="85"/>
      <c r="Q1763" s="81"/>
    </row>
    <row r="1764" spans="3:17" x14ac:dyDescent="0.3">
      <c r="C1764" s="81"/>
      <c r="F1764" s="85"/>
      <c r="G1764" s="86"/>
      <c r="H1764" s="86"/>
      <c r="I1764" s="87"/>
      <c r="J1764" s="85"/>
      <c r="K1764" s="85"/>
      <c r="M1764" s="81"/>
      <c r="O1764" s="85"/>
      <c r="P1764" s="85"/>
      <c r="Q1764" s="81"/>
    </row>
    <row r="1765" spans="3:17" x14ac:dyDescent="0.3">
      <c r="C1765" s="81"/>
      <c r="F1765" s="85"/>
      <c r="G1765" s="86"/>
      <c r="H1765" s="86"/>
      <c r="I1765" s="87"/>
      <c r="J1765" s="85"/>
      <c r="K1765" s="85"/>
      <c r="M1765" s="81"/>
      <c r="O1765" s="85"/>
      <c r="P1765" s="85"/>
      <c r="Q1765" s="81"/>
    </row>
    <row r="1766" spans="3:17" x14ac:dyDescent="0.3">
      <c r="C1766" s="81"/>
      <c r="F1766" s="85"/>
      <c r="G1766" s="86"/>
      <c r="H1766" s="86"/>
      <c r="I1766" s="87"/>
      <c r="J1766" s="85"/>
      <c r="K1766" s="85"/>
      <c r="M1766" s="81"/>
      <c r="O1766" s="85"/>
      <c r="P1766" s="85"/>
      <c r="Q1766" s="81"/>
    </row>
    <row r="1767" spans="3:17" x14ac:dyDescent="0.3">
      <c r="C1767" s="81"/>
      <c r="F1767" s="85"/>
      <c r="G1767" s="86"/>
      <c r="H1767" s="86"/>
      <c r="I1767" s="87"/>
      <c r="J1767" s="85"/>
      <c r="K1767" s="85"/>
      <c r="M1767" s="81"/>
      <c r="O1767" s="85"/>
      <c r="P1767" s="85"/>
      <c r="Q1767" s="81"/>
    </row>
    <row r="1768" spans="3:17" x14ac:dyDescent="0.3">
      <c r="C1768" s="81"/>
      <c r="F1768" s="85"/>
      <c r="G1768" s="86"/>
      <c r="H1768" s="86"/>
      <c r="I1768" s="87"/>
      <c r="J1768" s="85"/>
      <c r="K1768" s="85"/>
      <c r="M1768" s="81"/>
      <c r="O1768" s="85"/>
      <c r="P1768" s="85"/>
      <c r="Q1768" s="81"/>
    </row>
    <row r="1769" spans="3:17" x14ac:dyDescent="0.3">
      <c r="C1769" s="81"/>
      <c r="F1769" s="85"/>
      <c r="G1769" s="86"/>
      <c r="H1769" s="86"/>
      <c r="I1769" s="87"/>
      <c r="J1769" s="85"/>
      <c r="K1769" s="85"/>
      <c r="M1769" s="81"/>
      <c r="O1769" s="85"/>
      <c r="P1769" s="85"/>
      <c r="Q1769" s="81"/>
    </row>
    <row r="1770" spans="3:17" x14ac:dyDescent="0.3">
      <c r="C1770" s="81"/>
      <c r="F1770" s="85"/>
      <c r="G1770" s="86"/>
      <c r="H1770" s="86"/>
      <c r="I1770" s="87"/>
      <c r="J1770" s="85"/>
      <c r="K1770" s="85"/>
      <c r="M1770" s="81"/>
      <c r="O1770" s="85"/>
      <c r="P1770" s="85"/>
      <c r="Q1770" s="81"/>
    </row>
    <row r="1771" spans="3:17" x14ac:dyDescent="0.3">
      <c r="C1771" s="81"/>
      <c r="F1771" s="85"/>
      <c r="G1771" s="86"/>
      <c r="H1771" s="86"/>
      <c r="I1771" s="87"/>
      <c r="J1771" s="85"/>
      <c r="K1771" s="85"/>
      <c r="M1771" s="81"/>
      <c r="O1771" s="85"/>
      <c r="P1771" s="85"/>
      <c r="Q1771" s="81"/>
    </row>
    <row r="1772" spans="3:17" x14ac:dyDescent="0.3">
      <c r="C1772" s="81"/>
      <c r="F1772" s="85"/>
      <c r="G1772" s="86"/>
      <c r="H1772" s="86"/>
      <c r="I1772" s="87"/>
      <c r="J1772" s="85"/>
      <c r="K1772" s="85"/>
      <c r="M1772" s="81"/>
      <c r="O1772" s="85"/>
      <c r="P1772" s="85"/>
      <c r="Q1772" s="81"/>
    </row>
    <row r="1773" spans="3:17" x14ac:dyDescent="0.3">
      <c r="C1773" s="81"/>
      <c r="F1773" s="85"/>
      <c r="G1773" s="86"/>
      <c r="H1773" s="86"/>
      <c r="I1773" s="87"/>
      <c r="J1773" s="85"/>
      <c r="K1773" s="85"/>
      <c r="M1773" s="81"/>
      <c r="O1773" s="85"/>
      <c r="P1773" s="85"/>
      <c r="Q1773" s="81"/>
    </row>
    <row r="1774" spans="3:17" x14ac:dyDescent="0.3">
      <c r="C1774" s="81"/>
      <c r="F1774" s="85"/>
      <c r="G1774" s="86"/>
      <c r="H1774" s="86"/>
      <c r="I1774" s="87"/>
      <c r="J1774" s="85"/>
      <c r="K1774" s="85"/>
      <c r="M1774" s="81"/>
      <c r="O1774" s="85"/>
      <c r="P1774" s="85"/>
      <c r="Q1774" s="81"/>
    </row>
    <row r="1775" spans="3:17" x14ac:dyDescent="0.3">
      <c r="C1775" s="81"/>
      <c r="F1775" s="85"/>
      <c r="G1775" s="86"/>
      <c r="H1775" s="86"/>
      <c r="I1775" s="87"/>
      <c r="J1775" s="85"/>
      <c r="K1775" s="85"/>
      <c r="M1775" s="81"/>
      <c r="O1775" s="85"/>
      <c r="P1775" s="85"/>
      <c r="Q1775" s="81"/>
    </row>
    <row r="1776" spans="3:17" x14ac:dyDescent="0.3">
      <c r="C1776" s="81"/>
      <c r="F1776" s="85"/>
      <c r="G1776" s="86"/>
      <c r="H1776" s="86"/>
      <c r="I1776" s="87"/>
      <c r="J1776" s="85"/>
      <c r="K1776" s="85"/>
      <c r="M1776" s="81"/>
      <c r="O1776" s="85"/>
      <c r="P1776" s="85"/>
      <c r="Q1776" s="81"/>
    </row>
    <row r="1777" spans="3:17" x14ac:dyDescent="0.3">
      <c r="C1777" s="81"/>
      <c r="F1777" s="85"/>
      <c r="G1777" s="86"/>
      <c r="H1777" s="86"/>
      <c r="I1777" s="87"/>
      <c r="J1777" s="85"/>
      <c r="K1777" s="85"/>
      <c r="M1777" s="81"/>
      <c r="O1777" s="85"/>
      <c r="P1777" s="85"/>
      <c r="Q1777" s="81"/>
    </row>
    <row r="1778" spans="3:17" x14ac:dyDescent="0.3">
      <c r="C1778" s="81"/>
      <c r="F1778" s="85"/>
      <c r="G1778" s="86"/>
      <c r="H1778" s="86"/>
      <c r="I1778" s="87"/>
      <c r="J1778" s="85"/>
      <c r="K1778" s="85"/>
      <c r="M1778" s="81"/>
      <c r="O1778" s="85"/>
      <c r="P1778" s="85"/>
      <c r="Q1778" s="81"/>
    </row>
    <row r="1779" spans="3:17" x14ac:dyDescent="0.3">
      <c r="C1779" s="81"/>
      <c r="F1779" s="85"/>
      <c r="G1779" s="86"/>
      <c r="H1779" s="86"/>
      <c r="I1779" s="87"/>
      <c r="J1779" s="85"/>
      <c r="K1779" s="85"/>
      <c r="M1779" s="81"/>
      <c r="O1779" s="85"/>
      <c r="P1779" s="85"/>
      <c r="Q1779" s="81"/>
    </row>
    <row r="1780" spans="3:17" x14ac:dyDescent="0.3">
      <c r="C1780" s="81"/>
      <c r="F1780" s="85"/>
      <c r="G1780" s="86"/>
      <c r="H1780" s="86"/>
      <c r="I1780" s="87"/>
      <c r="J1780" s="85"/>
      <c r="K1780" s="85"/>
      <c r="M1780" s="81"/>
      <c r="O1780" s="85"/>
      <c r="P1780" s="85"/>
      <c r="Q1780" s="81"/>
    </row>
    <row r="1781" spans="3:17" x14ac:dyDescent="0.3">
      <c r="C1781" s="81"/>
      <c r="F1781" s="85"/>
      <c r="G1781" s="86"/>
      <c r="H1781" s="86"/>
      <c r="I1781" s="87"/>
      <c r="J1781" s="85"/>
      <c r="K1781" s="85"/>
      <c r="M1781" s="81"/>
      <c r="O1781" s="85"/>
      <c r="P1781" s="85"/>
      <c r="Q1781" s="81"/>
    </row>
    <row r="1782" spans="3:17" x14ac:dyDescent="0.3">
      <c r="C1782" s="81"/>
      <c r="F1782" s="85"/>
      <c r="G1782" s="86"/>
      <c r="H1782" s="86"/>
      <c r="I1782" s="87"/>
      <c r="J1782" s="85"/>
      <c r="K1782" s="85"/>
      <c r="M1782" s="81"/>
      <c r="O1782" s="85"/>
      <c r="P1782" s="85"/>
      <c r="Q1782" s="81"/>
    </row>
    <row r="1783" spans="3:17" x14ac:dyDescent="0.3">
      <c r="C1783" s="81"/>
      <c r="F1783" s="85"/>
      <c r="G1783" s="86"/>
      <c r="H1783" s="86"/>
      <c r="I1783" s="87"/>
      <c r="J1783" s="85"/>
      <c r="K1783" s="85"/>
      <c r="M1783" s="81"/>
      <c r="O1783" s="85"/>
      <c r="P1783" s="85"/>
      <c r="Q1783" s="81"/>
    </row>
    <row r="1784" spans="3:17" x14ac:dyDescent="0.3">
      <c r="C1784" s="81"/>
      <c r="F1784" s="85"/>
      <c r="G1784" s="86"/>
      <c r="H1784" s="86"/>
      <c r="I1784" s="87"/>
      <c r="J1784" s="85"/>
      <c r="K1784" s="85"/>
      <c r="M1784" s="81"/>
      <c r="O1784" s="85"/>
      <c r="P1784" s="85"/>
      <c r="Q1784" s="81"/>
    </row>
    <row r="1785" spans="3:17" x14ac:dyDescent="0.3">
      <c r="C1785" s="81"/>
      <c r="F1785" s="85"/>
      <c r="G1785" s="86"/>
      <c r="H1785" s="86"/>
      <c r="I1785" s="87"/>
      <c r="J1785" s="85"/>
      <c r="K1785" s="85"/>
      <c r="M1785" s="81"/>
      <c r="O1785" s="85"/>
      <c r="P1785" s="85"/>
      <c r="Q1785" s="81"/>
    </row>
    <row r="1786" spans="3:17" x14ac:dyDescent="0.3">
      <c r="C1786" s="81"/>
      <c r="F1786" s="85"/>
      <c r="G1786" s="86"/>
      <c r="H1786" s="86"/>
      <c r="I1786" s="87"/>
      <c r="J1786" s="85"/>
      <c r="K1786" s="85"/>
      <c r="M1786" s="81"/>
      <c r="O1786" s="85"/>
      <c r="P1786" s="85"/>
      <c r="Q1786" s="81"/>
    </row>
    <row r="1787" spans="3:17" x14ac:dyDescent="0.3">
      <c r="C1787" s="81"/>
      <c r="F1787" s="85"/>
      <c r="G1787" s="86"/>
      <c r="H1787" s="86"/>
      <c r="I1787" s="87"/>
      <c r="J1787" s="85"/>
      <c r="K1787" s="85"/>
      <c r="M1787" s="81"/>
      <c r="O1787" s="85"/>
      <c r="P1787" s="85"/>
      <c r="Q1787" s="81"/>
    </row>
    <row r="1788" spans="3:17" x14ac:dyDescent="0.3">
      <c r="C1788" s="81"/>
      <c r="F1788" s="85"/>
      <c r="G1788" s="86"/>
      <c r="H1788" s="86"/>
      <c r="I1788" s="87"/>
      <c r="J1788" s="85"/>
      <c r="K1788" s="85"/>
      <c r="M1788" s="81"/>
      <c r="O1788" s="85"/>
      <c r="P1788" s="85"/>
      <c r="Q1788" s="81"/>
    </row>
    <row r="1789" spans="3:17" x14ac:dyDescent="0.3">
      <c r="C1789" s="81"/>
      <c r="F1789" s="85"/>
      <c r="G1789" s="86"/>
      <c r="H1789" s="86"/>
      <c r="I1789" s="87"/>
      <c r="J1789" s="85"/>
      <c r="K1789" s="85"/>
      <c r="M1789" s="81"/>
      <c r="O1789" s="85"/>
      <c r="P1789" s="85"/>
      <c r="Q1789" s="81"/>
    </row>
    <row r="1790" spans="3:17" x14ac:dyDescent="0.3">
      <c r="C1790" s="81"/>
      <c r="F1790" s="85"/>
      <c r="G1790" s="86"/>
      <c r="H1790" s="86"/>
      <c r="I1790" s="87"/>
      <c r="J1790" s="85"/>
      <c r="K1790" s="85"/>
      <c r="M1790" s="81"/>
      <c r="O1790" s="85"/>
      <c r="P1790" s="85"/>
      <c r="Q1790" s="81"/>
    </row>
    <row r="1791" spans="3:17" x14ac:dyDescent="0.3">
      <c r="C1791" s="81"/>
      <c r="F1791" s="85"/>
      <c r="G1791" s="86"/>
      <c r="H1791" s="86"/>
      <c r="I1791" s="87"/>
      <c r="J1791" s="85"/>
      <c r="K1791" s="85"/>
      <c r="M1791" s="81"/>
      <c r="O1791" s="85"/>
      <c r="P1791" s="85"/>
      <c r="Q1791" s="81"/>
    </row>
    <row r="1792" spans="3:17" x14ac:dyDescent="0.3">
      <c r="C1792" s="81"/>
      <c r="F1792" s="85"/>
      <c r="G1792" s="86"/>
      <c r="H1792" s="86"/>
      <c r="I1792" s="87"/>
      <c r="J1792" s="85"/>
      <c r="K1792" s="85"/>
      <c r="M1792" s="81"/>
      <c r="O1792" s="85"/>
      <c r="P1792" s="85"/>
      <c r="Q1792" s="81"/>
    </row>
    <row r="1793" spans="3:17" x14ac:dyDescent="0.3">
      <c r="C1793" s="81"/>
      <c r="F1793" s="85"/>
      <c r="G1793" s="86"/>
      <c r="H1793" s="86"/>
      <c r="I1793" s="87"/>
      <c r="J1793" s="85"/>
      <c r="K1793" s="85"/>
      <c r="M1793" s="81"/>
      <c r="O1793" s="85"/>
      <c r="P1793" s="85"/>
      <c r="Q1793" s="81"/>
    </row>
    <row r="1794" spans="3:17" x14ac:dyDescent="0.3">
      <c r="C1794" s="81"/>
      <c r="F1794" s="85"/>
      <c r="G1794" s="86"/>
      <c r="H1794" s="86"/>
      <c r="I1794" s="87"/>
      <c r="J1794" s="85"/>
      <c r="K1794" s="85"/>
      <c r="M1794" s="81"/>
      <c r="O1794" s="85"/>
      <c r="P1794" s="85"/>
      <c r="Q1794" s="81"/>
    </row>
    <row r="1795" spans="3:17" x14ac:dyDescent="0.3">
      <c r="C1795" s="81"/>
      <c r="F1795" s="85"/>
      <c r="G1795" s="86"/>
      <c r="H1795" s="86"/>
      <c r="I1795" s="87"/>
      <c r="J1795" s="85"/>
      <c r="K1795" s="85"/>
      <c r="M1795" s="81"/>
      <c r="O1795" s="85"/>
      <c r="P1795" s="85"/>
      <c r="Q1795" s="81"/>
    </row>
    <row r="1796" spans="3:17" x14ac:dyDescent="0.3">
      <c r="C1796" s="81"/>
      <c r="F1796" s="85"/>
      <c r="G1796" s="86"/>
      <c r="H1796" s="86"/>
      <c r="I1796" s="87"/>
      <c r="J1796" s="85"/>
      <c r="K1796" s="85"/>
      <c r="M1796" s="81"/>
      <c r="O1796" s="85"/>
      <c r="P1796" s="85"/>
      <c r="Q1796" s="81"/>
    </row>
    <row r="1797" spans="3:17" x14ac:dyDescent="0.3">
      <c r="C1797" s="81"/>
      <c r="F1797" s="85"/>
      <c r="G1797" s="86"/>
      <c r="H1797" s="86"/>
      <c r="I1797" s="87"/>
      <c r="J1797" s="85"/>
      <c r="K1797" s="85"/>
      <c r="M1797" s="81"/>
      <c r="O1797" s="85"/>
      <c r="P1797" s="85"/>
      <c r="Q1797" s="81"/>
    </row>
    <row r="1798" spans="3:17" x14ac:dyDescent="0.3">
      <c r="C1798" s="81"/>
      <c r="F1798" s="85"/>
      <c r="G1798" s="86"/>
      <c r="H1798" s="86"/>
      <c r="I1798" s="87"/>
      <c r="J1798" s="85"/>
      <c r="K1798" s="85"/>
      <c r="M1798" s="81"/>
      <c r="O1798" s="85"/>
      <c r="P1798" s="85"/>
      <c r="Q1798" s="81"/>
    </row>
    <row r="1799" spans="3:17" x14ac:dyDescent="0.3">
      <c r="C1799" s="81"/>
      <c r="F1799" s="85"/>
      <c r="G1799" s="86"/>
      <c r="H1799" s="86"/>
      <c r="I1799" s="87"/>
      <c r="J1799" s="85"/>
      <c r="K1799" s="85"/>
      <c r="M1799" s="81"/>
      <c r="O1799" s="85"/>
      <c r="P1799" s="85"/>
      <c r="Q1799" s="81"/>
    </row>
    <row r="1800" spans="3:17" x14ac:dyDescent="0.3">
      <c r="C1800" s="81"/>
      <c r="F1800" s="85"/>
      <c r="G1800" s="86"/>
      <c r="H1800" s="86"/>
      <c r="I1800" s="87"/>
      <c r="J1800" s="85"/>
      <c r="K1800" s="85"/>
      <c r="M1800" s="81"/>
      <c r="O1800" s="85"/>
      <c r="P1800" s="85"/>
      <c r="Q1800" s="81"/>
    </row>
    <row r="1801" spans="3:17" x14ac:dyDescent="0.3">
      <c r="C1801" s="81"/>
      <c r="F1801" s="85"/>
      <c r="G1801" s="86"/>
      <c r="H1801" s="86"/>
      <c r="I1801" s="87"/>
      <c r="J1801" s="85"/>
      <c r="K1801" s="85"/>
      <c r="M1801" s="81"/>
      <c r="O1801" s="85"/>
      <c r="P1801" s="85"/>
      <c r="Q1801" s="81"/>
    </row>
    <row r="1802" spans="3:17" x14ac:dyDescent="0.3">
      <c r="C1802" s="81"/>
      <c r="F1802" s="85"/>
      <c r="G1802" s="86"/>
      <c r="H1802" s="86"/>
      <c r="I1802" s="87"/>
      <c r="J1802" s="85"/>
      <c r="K1802" s="85"/>
      <c r="M1802" s="81"/>
      <c r="O1802" s="85"/>
      <c r="P1802" s="85"/>
      <c r="Q1802" s="81"/>
    </row>
    <row r="1803" spans="3:17" x14ac:dyDescent="0.3">
      <c r="C1803" s="81"/>
      <c r="F1803" s="85"/>
      <c r="G1803" s="86"/>
      <c r="H1803" s="86"/>
      <c r="I1803" s="87"/>
      <c r="J1803" s="85"/>
      <c r="K1803" s="85"/>
      <c r="M1803" s="81"/>
      <c r="O1803" s="85"/>
      <c r="P1803" s="85"/>
      <c r="Q1803" s="81"/>
    </row>
    <row r="1804" spans="3:17" x14ac:dyDescent="0.3">
      <c r="C1804" s="81"/>
      <c r="F1804" s="85"/>
      <c r="G1804" s="86"/>
      <c r="H1804" s="86"/>
      <c r="I1804" s="87"/>
      <c r="J1804" s="85"/>
      <c r="K1804" s="85"/>
      <c r="M1804" s="81"/>
      <c r="O1804" s="85"/>
      <c r="P1804" s="85"/>
      <c r="Q1804" s="81"/>
    </row>
    <row r="1805" spans="3:17" x14ac:dyDescent="0.3">
      <c r="C1805" s="81"/>
      <c r="F1805" s="85"/>
      <c r="G1805" s="86"/>
      <c r="H1805" s="86"/>
      <c r="I1805" s="87"/>
      <c r="J1805" s="85"/>
      <c r="K1805" s="85"/>
      <c r="M1805" s="81"/>
      <c r="O1805" s="85"/>
      <c r="P1805" s="85"/>
      <c r="Q1805" s="81"/>
    </row>
    <row r="1806" spans="3:17" x14ac:dyDescent="0.3">
      <c r="C1806" s="81"/>
      <c r="F1806" s="85"/>
      <c r="G1806" s="86"/>
      <c r="H1806" s="86"/>
      <c r="I1806" s="87"/>
      <c r="J1806" s="85"/>
      <c r="K1806" s="85"/>
      <c r="M1806" s="81"/>
      <c r="O1806" s="85"/>
      <c r="P1806" s="85"/>
      <c r="Q1806" s="81"/>
    </row>
    <row r="1807" spans="3:17" x14ac:dyDescent="0.3">
      <c r="C1807" s="81"/>
      <c r="F1807" s="85"/>
      <c r="G1807" s="86"/>
      <c r="H1807" s="86"/>
      <c r="I1807" s="87"/>
      <c r="J1807" s="85"/>
      <c r="K1807" s="85"/>
      <c r="M1807" s="81"/>
      <c r="O1807" s="85"/>
      <c r="P1807" s="85"/>
      <c r="Q1807" s="81"/>
    </row>
    <row r="1808" spans="3:17" x14ac:dyDescent="0.3">
      <c r="C1808" s="81"/>
      <c r="F1808" s="85"/>
      <c r="G1808" s="86"/>
      <c r="H1808" s="86"/>
      <c r="I1808" s="87"/>
      <c r="J1808" s="85"/>
      <c r="K1808" s="85"/>
      <c r="M1808" s="81"/>
      <c r="O1808" s="85"/>
      <c r="P1808" s="85"/>
      <c r="Q1808" s="81"/>
    </row>
    <row r="1809" spans="3:17" x14ac:dyDescent="0.3">
      <c r="C1809" s="81"/>
      <c r="F1809" s="85"/>
      <c r="G1809" s="86"/>
      <c r="H1809" s="86"/>
      <c r="I1809" s="87"/>
      <c r="J1809" s="85"/>
      <c r="K1809" s="85"/>
      <c r="M1809" s="81"/>
      <c r="O1809" s="85"/>
      <c r="P1809" s="85"/>
      <c r="Q1809" s="81"/>
    </row>
    <row r="1810" spans="3:17" x14ac:dyDescent="0.3">
      <c r="C1810" s="81"/>
      <c r="F1810" s="85"/>
      <c r="G1810" s="86"/>
      <c r="H1810" s="86"/>
      <c r="I1810" s="87"/>
      <c r="J1810" s="85"/>
      <c r="K1810" s="85"/>
      <c r="M1810" s="81"/>
      <c r="O1810" s="85"/>
      <c r="P1810" s="85"/>
      <c r="Q1810" s="81"/>
    </row>
    <row r="1811" spans="3:17" x14ac:dyDescent="0.3">
      <c r="C1811" s="81"/>
      <c r="F1811" s="85"/>
      <c r="G1811" s="86"/>
      <c r="H1811" s="86"/>
      <c r="I1811" s="87"/>
      <c r="J1811" s="85"/>
      <c r="K1811" s="85"/>
      <c r="M1811" s="81"/>
      <c r="O1811" s="85"/>
      <c r="P1811" s="85"/>
      <c r="Q1811" s="81"/>
    </row>
    <row r="1812" spans="3:17" x14ac:dyDescent="0.3">
      <c r="C1812" s="81"/>
      <c r="F1812" s="85"/>
      <c r="G1812" s="86"/>
      <c r="H1812" s="86"/>
      <c r="I1812" s="87"/>
      <c r="J1812" s="85"/>
      <c r="K1812" s="85"/>
      <c r="M1812" s="81"/>
      <c r="O1812" s="85"/>
      <c r="P1812" s="85"/>
      <c r="Q1812" s="81"/>
    </row>
    <row r="1813" spans="3:17" x14ac:dyDescent="0.3">
      <c r="C1813" s="81"/>
      <c r="F1813" s="85"/>
      <c r="G1813" s="86"/>
      <c r="H1813" s="86"/>
      <c r="I1813" s="87"/>
      <c r="J1813" s="85"/>
      <c r="K1813" s="85"/>
      <c r="M1813" s="81"/>
      <c r="O1813" s="85"/>
      <c r="P1813" s="85"/>
      <c r="Q1813" s="81"/>
    </row>
    <row r="1814" spans="3:17" x14ac:dyDescent="0.3">
      <c r="C1814" s="81"/>
      <c r="F1814" s="85"/>
      <c r="G1814" s="86"/>
      <c r="H1814" s="86"/>
      <c r="I1814" s="87"/>
      <c r="J1814" s="85"/>
      <c r="K1814" s="85"/>
      <c r="M1814" s="81"/>
      <c r="O1814" s="85"/>
      <c r="P1814" s="85"/>
      <c r="Q1814" s="81"/>
    </row>
    <row r="1815" spans="3:17" x14ac:dyDescent="0.3">
      <c r="C1815" s="81"/>
      <c r="F1815" s="85"/>
      <c r="G1815" s="86"/>
      <c r="H1815" s="86"/>
      <c r="I1815" s="87"/>
      <c r="J1815" s="85"/>
      <c r="K1815" s="85"/>
      <c r="M1815" s="81"/>
      <c r="O1815" s="85"/>
      <c r="P1815" s="85"/>
      <c r="Q1815" s="81"/>
    </row>
    <row r="1816" spans="3:17" x14ac:dyDescent="0.3">
      <c r="C1816" s="81"/>
      <c r="F1816" s="85"/>
      <c r="G1816" s="86"/>
      <c r="H1816" s="86"/>
      <c r="I1816" s="87"/>
      <c r="J1816" s="85"/>
      <c r="K1816" s="85"/>
      <c r="M1816" s="81"/>
      <c r="O1816" s="85"/>
      <c r="P1816" s="85"/>
      <c r="Q1816" s="81"/>
    </row>
    <row r="1817" spans="3:17" x14ac:dyDescent="0.3">
      <c r="C1817" s="81"/>
      <c r="F1817" s="85"/>
      <c r="G1817" s="86"/>
      <c r="H1817" s="86"/>
      <c r="I1817" s="87"/>
      <c r="J1817" s="85"/>
      <c r="K1817" s="85"/>
      <c r="M1817" s="81"/>
      <c r="O1817" s="85"/>
      <c r="P1817" s="85"/>
      <c r="Q1817" s="81"/>
    </row>
    <row r="1818" spans="3:17" x14ac:dyDescent="0.3">
      <c r="C1818" s="81"/>
      <c r="F1818" s="85"/>
      <c r="G1818" s="86"/>
      <c r="H1818" s="86"/>
      <c r="I1818" s="87"/>
      <c r="J1818" s="85"/>
      <c r="K1818" s="85"/>
      <c r="M1818" s="81"/>
      <c r="O1818" s="85"/>
      <c r="P1818" s="85"/>
      <c r="Q1818" s="81"/>
    </row>
    <row r="1819" spans="3:17" x14ac:dyDescent="0.3">
      <c r="C1819" s="81"/>
      <c r="F1819" s="85"/>
      <c r="G1819" s="86"/>
      <c r="H1819" s="86"/>
      <c r="I1819" s="87"/>
      <c r="J1819" s="85"/>
      <c r="K1819" s="85"/>
      <c r="M1819" s="81"/>
      <c r="O1819" s="85"/>
      <c r="P1819" s="85"/>
      <c r="Q1819" s="81"/>
    </row>
    <row r="1820" spans="3:17" x14ac:dyDescent="0.3">
      <c r="C1820" s="81"/>
      <c r="F1820" s="85"/>
      <c r="G1820" s="86"/>
      <c r="H1820" s="86"/>
      <c r="I1820" s="87"/>
      <c r="J1820" s="85"/>
      <c r="K1820" s="85"/>
      <c r="M1820" s="81"/>
      <c r="O1820" s="85"/>
      <c r="P1820" s="85"/>
      <c r="Q1820" s="81"/>
    </row>
    <row r="1821" spans="3:17" x14ac:dyDescent="0.3">
      <c r="C1821" s="81"/>
      <c r="F1821" s="85"/>
      <c r="G1821" s="86"/>
      <c r="H1821" s="86"/>
      <c r="I1821" s="87"/>
      <c r="J1821" s="85"/>
      <c r="K1821" s="85"/>
      <c r="M1821" s="81"/>
      <c r="O1821" s="85"/>
      <c r="P1821" s="85"/>
      <c r="Q1821" s="81"/>
    </row>
    <row r="1822" spans="3:17" x14ac:dyDescent="0.3">
      <c r="C1822" s="81"/>
      <c r="F1822" s="85"/>
      <c r="G1822" s="86"/>
      <c r="H1822" s="86"/>
      <c r="I1822" s="87"/>
      <c r="J1822" s="85"/>
      <c r="K1822" s="85"/>
      <c r="M1822" s="81"/>
      <c r="O1822" s="85"/>
      <c r="P1822" s="85"/>
      <c r="Q1822" s="81"/>
    </row>
    <row r="1823" spans="3:17" x14ac:dyDescent="0.3">
      <c r="C1823" s="81"/>
      <c r="F1823" s="85"/>
      <c r="G1823" s="86"/>
      <c r="H1823" s="86"/>
      <c r="I1823" s="87"/>
      <c r="J1823" s="85"/>
      <c r="K1823" s="85"/>
      <c r="M1823" s="81"/>
      <c r="O1823" s="85"/>
      <c r="P1823" s="85"/>
      <c r="Q1823" s="81"/>
    </row>
    <row r="1824" spans="3:17" x14ac:dyDescent="0.3">
      <c r="C1824" s="81"/>
      <c r="F1824" s="85"/>
      <c r="G1824" s="86"/>
      <c r="H1824" s="86"/>
      <c r="I1824" s="87"/>
      <c r="J1824" s="85"/>
      <c r="K1824" s="85"/>
      <c r="M1824" s="81"/>
      <c r="O1824" s="85"/>
      <c r="P1824" s="85"/>
      <c r="Q1824" s="81"/>
    </row>
    <row r="1825" spans="3:17" x14ac:dyDescent="0.3">
      <c r="C1825" s="81"/>
      <c r="F1825" s="85"/>
      <c r="G1825" s="86"/>
      <c r="H1825" s="86"/>
      <c r="I1825" s="87"/>
      <c r="J1825" s="85"/>
      <c r="K1825" s="85"/>
      <c r="M1825" s="81"/>
      <c r="O1825" s="85"/>
      <c r="P1825" s="85"/>
      <c r="Q1825" s="81"/>
    </row>
    <row r="1826" spans="3:17" x14ac:dyDescent="0.3">
      <c r="C1826" s="81"/>
      <c r="F1826" s="85"/>
      <c r="G1826" s="86"/>
      <c r="H1826" s="86"/>
      <c r="I1826" s="87"/>
      <c r="J1826" s="85"/>
      <c r="K1826" s="85"/>
      <c r="M1826" s="81"/>
      <c r="O1826" s="85"/>
      <c r="P1826" s="85"/>
      <c r="Q1826" s="81"/>
    </row>
    <row r="1827" spans="3:17" x14ac:dyDescent="0.3">
      <c r="C1827" s="81"/>
      <c r="F1827" s="85"/>
      <c r="G1827" s="86"/>
      <c r="H1827" s="86"/>
      <c r="I1827" s="87"/>
      <c r="J1827" s="85"/>
      <c r="K1827" s="85"/>
      <c r="M1827" s="81"/>
      <c r="O1827" s="85"/>
      <c r="P1827" s="85"/>
      <c r="Q1827" s="81"/>
    </row>
    <row r="1828" spans="3:17" x14ac:dyDescent="0.3">
      <c r="C1828" s="81"/>
      <c r="F1828" s="85"/>
      <c r="G1828" s="86"/>
      <c r="H1828" s="86"/>
      <c r="I1828" s="87"/>
      <c r="J1828" s="85"/>
      <c r="K1828" s="85"/>
      <c r="M1828" s="81"/>
      <c r="O1828" s="85"/>
      <c r="P1828" s="85"/>
      <c r="Q1828" s="81"/>
    </row>
    <row r="1829" spans="3:17" x14ac:dyDescent="0.3">
      <c r="C1829" s="81"/>
      <c r="F1829" s="85"/>
      <c r="G1829" s="86"/>
      <c r="H1829" s="86"/>
      <c r="I1829" s="87"/>
      <c r="J1829" s="85"/>
      <c r="K1829" s="85"/>
      <c r="M1829" s="81"/>
      <c r="O1829" s="85"/>
      <c r="P1829" s="85"/>
      <c r="Q1829" s="81"/>
    </row>
    <row r="1830" spans="3:17" x14ac:dyDescent="0.3">
      <c r="C1830" s="81"/>
      <c r="F1830" s="85"/>
      <c r="G1830" s="86"/>
      <c r="H1830" s="86"/>
      <c r="I1830" s="87"/>
      <c r="J1830" s="85"/>
      <c r="K1830" s="85"/>
      <c r="M1830" s="81"/>
      <c r="O1830" s="85"/>
      <c r="P1830" s="85"/>
      <c r="Q1830" s="81"/>
    </row>
    <row r="1831" spans="3:17" x14ac:dyDescent="0.3">
      <c r="C1831" s="81"/>
      <c r="F1831" s="85"/>
      <c r="G1831" s="86"/>
      <c r="H1831" s="86"/>
      <c r="I1831" s="87"/>
      <c r="J1831" s="85"/>
      <c r="K1831" s="85"/>
      <c r="M1831" s="81"/>
      <c r="O1831" s="85"/>
      <c r="P1831" s="85"/>
      <c r="Q1831" s="81"/>
    </row>
    <row r="1832" spans="3:17" x14ac:dyDescent="0.3">
      <c r="C1832" s="81"/>
      <c r="F1832" s="85"/>
      <c r="G1832" s="86"/>
      <c r="H1832" s="86"/>
      <c r="I1832" s="87"/>
      <c r="J1832" s="85"/>
      <c r="K1832" s="85"/>
      <c r="M1832" s="81"/>
      <c r="O1832" s="85"/>
      <c r="P1832" s="85"/>
      <c r="Q1832" s="81"/>
    </row>
    <row r="1833" spans="3:17" x14ac:dyDescent="0.3">
      <c r="C1833" s="81"/>
      <c r="F1833" s="85"/>
      <c r="G1833" s="86"/>
      <c r="H1833" s="86"/>
      <c r="I1833" s="87"/>
      <c r="J1833" s="85"/>
      <c r="K1833" s="85"/>
      <c r="M1833" s="81"/>
      <c r="O1833" s="85"/>
      <c r="P1833" s="85"/>
      <c r="Q1833" s="81"/>
    </row>
    <row r="1834" spans="3:17" x14ac:dyDescent="0.3">
      <c r="C1834" s="81"/>
      <c r="F1834" s="85"/>
      <c r="G1834" s="86"/>
      <c r="H1834" s="86"/>
      <c r="I1834" s="87"/>
      <c r="J1834" s="85"/>
      <c r="K1834" s="85"/>
      <c r="M1834" s="81"/>
      <c r="O1834" s="85"/>
      <c r="P1834" s="85"/>
      <c r="Q1834" s="81"/>
    </row>
    <row r="1835" spans="3:17" x14ac:dyDescent="0.3">
      <c r="C1835" s="81"/>
      <c r="F1835" s="85"/>
      <c r="G1835" s="86"/>
      <c r="H1835" s="86"/>
      <c r="I1835" s="87"/>
      <c r="J1835" s="85"/>
      <c r="K1835" s="85"/>
      <c r="M1835" s="81"/>
      <c r="O1835" s="85"/>
      <c r="P1835" s="85"/>
      <c r="Q1835" s="81"/>
    </row>
    <row r="1836" spans="3:17" x14ac:dyDescent="0.3">
      <c r="C1836" s="81"/>
      <c r="F1836" s="85"/>
      <c r="G1836" s="86"/>
      <c r="H1836" s="86"/>
      <c r="I1836" s="87"/>
      <c r="J1836" s="85"/>
      <c r="K1836" s="85"/>
      <c r="M1836" s="81"/>
      <c r="O1836" s="85"/>
      <c r="P1836" s="85"/>
      <c r="Q1836" s="81"/>
    </row>
    <row r="1837" spans="3:17" x14ac:dyDescent="0.3">
      <c r="C1837" s="81"/>
      <c r="F1837" s="85"/>
      <c r="G1837" s="86"/>
      <c r="H1837" s="86"/>
      <c r="I1837" s="87"/>
      <c r="J1837" s="85"/>
      <c r="K1837" s="85"/>
      <c r="M1837" s="81"/>
      <c r="O1837" s="85"/>
      <c r="P1837" s="85"/>
      <c r="Q1837" s="81"/>
    </row>
    <row r="1838" spans="3:17" x14ac:dyDescent="0.3">
      <c r="C1838" s="81"/>
      <c r="F1838" s="85"/>
      <c r="G1838" s="86"/>
      <c r="H1838" s="86"/>
      <c r="I1838" s="87"/>
      <c r="J1838" s="85"/>
      <c r="K1838" s="85"/>
      <c r="M1838" s="81"/>
      <c r="O1838" s="85"/>
      <c r="P1838" s="85"/>
      <c r="Q1838" s="81"/>
    </row>
    <row r="1839" spans="3:17" x14ac:dyDescent="0.3">
      <c r="C1839" s="81"/>
      <c r="F1839" s="85"/>
      <c r="G1839" s="86"/>
      <c r="H1839" s="86"/>
      <c r="I1839" s="87"/>
      <c r="J1839" s="85"/>
      <c r="K1839" s="85"/>
      <c r="M1839" s="81"/>
      <c r="O1839" s="85"/>
      <c r="P1839" s="85"/>
      <c r="Q1839" s="81"/>
    </row>
    <row r="1840" spans="3:17" x14ac:dyDescent="0.3">
      <c r="C1840" s="81"/>
      <c r="F1840" s="85"/>
      <c r="G1840" s="86"/>
      <c r="H1840" s="86"/>
      <c r="I1840" s="87"/>
      <c r="J1840" s="85"/>
      <c r="K1840" s="85"/>
      <c r="M1840" s="81"/>
      <c r="O1840" s="85"/>
      <c r="P1840" s="85"/>
      <c r="Q1840" s="81"/>
    </row>
    <row r="1841" spans="3:17" x14ac:dyDescent="0.3">
      <c r="C1841" s="81"/>
      <c r="F1841" s="85"/>
      <c r="G1841" s="86"/>
      <c r="H1841" s="86"/>
      <c r="I1841" s="87"/>
      <c r="J1841" s="85"/>
      <c r="K1841" s="85"/>
      <c r="M1841" s="81"/>
      <c r="O1841" s="85"/>
      <c r="P1841" s="85"/>
      <c r="Q1841" s="81"/>
    </row>
    <row r="1842" spans="3:17" x14ac:dyDescent="0.3">
      <c r="C1842" s="81"/>
      <c r="F1842" s="85"/>
      <c r="G1842" s="86"/>
      <c r="H1842" s="86"/>
      <c r="I1842" s="87"/>
      <c r="J1842" s="85"/>
      <c r="K1842" s="85"/>
      <c r="M1842" s="81"/>
      <c r="O1842" s="85"/>
      <c r="P1842" s="85"/>
      <c r="Q1842" s="81"/>
    </row>
    <row r="1843" spans="3:17" x14ac:dyDescent="0.3">
      <c r="C1843" s="81"/>
      <c r="F1843" s="85"/>
      <c r="G1843" s="86"/>
      <c r="H1843" s="86"/>
      <c r="I1843" s="87"/>
      <c r="J1843" s="85"/>
      <c r="K1843" s="85"/>
      <c r="M1843" s="81"/>
      <c r="O1843" s="85"/>
      <c r="P1843" s="85"/>
      <c r="Q1843" s="81"/>
    </row>
    <row r="1844" spans="3:17" x14ac:dyDescent="0.3">
      <c r="C1844" s="81"/>
      <c r="F1844" s="85"/>
      <c r="G1844" s="86"/>
      <c r="H1844" s="86"/>
      <c r="I1844" s="87"/>
      <c r="J1844" s="85"/>
      <c r="K1844" s="85"/>
      <c r="M1844" s="81"/>
      <c r="O1844" s="85"/>
      <c r="P1844" s="85"/>
      <c r="Q1844" s="81"/>
    </row>
    <row r="1845" spans="3:17" x14ac:dyDescent="0.3">
      <c r="C1845" s="81"/>
      <c r="F1845" s="85"/>
      <c r="G1845" s="86"/>
      <c r="H1845" s="86"/>
      <c r="I1845" s="87"/>
      <c r="J1845" s="85"/>
      <c r="K1845" s="85"/>
      <c r="M1845" s="81"/>
      <c r="O1845" s="85"/>
      <c r="P1845" s="85"/>
      <c r="Q1845" s="81"/>
    </row>
    <row r="1846" spans="3:17" x14ac:dyDescent="0.3">
      <c r="C1846" s="81"/>
      <c r="F1846" s="85"/>
      <c r="G1846" s="86"/>
      <c r="H1846" s="86"/>
      <c r="I1846" s="87"/>
      <c r="J1846" s="85"/>
      <c r="K1846" s="85"/>
      <c r="M1846" s="81"/>
      <c r="O1846" s="85"/>
      <c r="P1846" s="85"/>
      <c r="Q1846" s="81"/>
    </row>
    <row r="1847" spans="3:17" x14ac:dyDescent="0.3">
      <c r="C1847" s="81"/>
      <c r="F1847" s="85"/>
      <c r="G1847" s="86"/>
      <c r="H1847" s="86"/>
      <c r="I1847" s="87"/>
      <c r="J1847" s="85"/>
      <c r="K1847" s="85"/>
      <c r="M1847" s="81"/>
      <c r="O1847" s="85"/>
      <c r="P1847" s="85"/>
      <c r="Q1847" s="81"/>
    </row>
    <row r="1848" spans="3:17" x14ac:dyDescent="0.3">
      <c r="C1848" s="81"/>
      <c r="F1848" s="85"/>
      <c r="G1848" s="86"/>
      <c r="H1848" s="86"/>
      <c r="I1848" s="87"/>
      <c r="J1848" s="85"/>
      <c r="K1848" s="85"/>
      <c r="M1848" s="81"/>
      <c r="O1848" s="85"/>
      <c r="P1848" s="85"/>
      <c r="Q1848" s="81"/>
    </row>
    <row r="1849" spans="3:17" x14ac:dyDescent="0.3">
      <c r="C1849" s="81"/>
      <c r="F1849" s="85"/>
      <c r="G1849" s="86"/>
      <c r="H1849" s="86"/>
      <c r="I1849" s="87"/>
      <c r="J1849" s="85"/>
      <c r="K1849" s="85"/>
      <c r="M1849" s="81"/>
      <c r="O1849" s="85"/>
      <c r="P1849" s="85"/>
      <c r="Q1849" s="81"/>
    </row>
    <row r="1850" spans="3:17" x14ac:dyDescent="0.3">
      <c r="C1850" s="81"/>
      <c r="F1850" s="85"/>
      <c r="G1850" s="86"/>
      <c r="H1850" s="86"/>
      <c r="I1850" s="87"/>
      <c r="J1850" s="85"/>
      <c r="K1850" s="85"/>
      <c r="M1850" s="81"/>
      <c r="O1850" s="85"/>
      <c r="P1850" s="85"/>
      <c r="Q1850" s="81"/>
    </row>
    <row r="1851" spans="3:17" x14ac:dyDescent="0.3">
      <c r="C1851" s="81"/>
      <c r="F1851" s="85"/>
      <c r="G1851" s="86"/>
      <c r="H1851" s="86"/>
      <c r="I1851" s="87"/>
      <c r="J1851" s="85"/>
      <c r="K1851" s="85"/>
      <c r="M1851" s="81"/>
      <c r="O1851" s="85"/>
      <c r="P1851" s="85"/>
      <c r="Q1851" s="81"/>
    </row>
    <row r="1852" spans="3:17" x14ac:dyDescent="0.3">
      <c r="C1852" s="81"/>
      <c r="F1852" s="85"/>
      <c r="G1852" s="86"/>
      <c r="H1852" s="86"/>
      <c r="I1852" s="87"/>
      <c r="J1852" s="85"/>
      <c r="K1852" s="85"/>
      <c r="M1852" s="81"/>
      <c r="O1852" s="85"/>
      <c r="P1852" s="85"/>
      <c r="Q1852" s="81"/>
    </row>
    <row r="1853" spans="3:17" x14ac:dyDescent="0.3">
      <c r="C1853" s="81"/>
      <c r="F1853" s="85"/>
      <c r="G1853" s="86"/>
      <c r="H1853" s="86"/>
      <c r="I1853" s="87"/>
      <c r="J1853" s="85"/>
      <c r="K1853" s="85"/>
      <c r="M1853" s="81"/>
      <c r="O1853" s="85"/>
      <c r="P1853" s="85"/>
      <c r="Q1853" s="81"/>
    </row>
    <row r="1854" spans="3:17" x14ac:dyDescent="0.3">
      <c r="C1854" s="81"/>
      <c r="F1854" s="85"/>
      <c r="G1854" s="86"/>
      <c r="H1854" s="86"/>
      <c r="I1854" s="87"/>
      <c r="J1854" s="85"/>
      <c r="K1854" s="85"/>
      <c r="M1854" s="81"/>
      <c r="O1854" s="85"/>
      <c r="P1854" s="85"/>
      <c r="Q1854" s="81"/>
    </row>
    <row r="1855" spans="3:17" x14ac:dyDescent="0.3">
      <c r="C1855" s="81"/>
      <c r="F1855" s="85"/>
      <c r="G1855" s="86"/>
      <c r="H1855" s="86"/>
      <c r="I1855" s="87"/>
      <c r="J1855" s="85"/>
      <c r="K1855" s="85"/>
      <c r="M1855" s="81"/>
      <c r="O1855" s="85"/>
      <c r="P1855" s="85"/>
      <c r="Q1855" s="81"/>
    </row>
    <row r="1856" spans="3:17" x14ac:dyDescent="0.3">
      <c r="C1856" s="81"/>
      <c r="F1856" s="85"/>
      <c r="G1856" s="86"/>
      <c r="H1856" s="86"/>
      <c r="I1856" s="87"/>
      <c r="J1856" s="85"/>
      <c r="K1856" s="85"/>
      <c r="M1856" s="81"/>
      <c r="O1856" s="85"/>
      <c r="P1856" s="85"/>
      <c r="Q1856" s="81"/>
    </row>
    <row r="1857" spans="3:17" x14ac:dyDescent="0.3">
      <c r="C1857" s="81"/>
      <c r="F1857" s="85"/>
      <c r="G1857" s="86"/>
      <c r="H1857" s="86"/>
      <c r="I1857" s="87"/>
      <c r="J1857" s="85"/>
      <c r="K1857" s="85"/>
      <c r="M1857" s="81"/>
      <c r="O1857" s="85"/>
      <c r="P1857" s="85"/>
      <c r="Q1857" s="81"/>
    </row>
    <row r="1858" spans="3:17" x14ac:dyDescent="0.3">
      <c r="C1858" s="81"/>
      <c r="F1858" s="85"/>
      <c r="G1858" s="86"/>
      <c r="H1858" s="86"/>
      <c r="I1858" s="87"/>
      <c r="J1858" s="85"/>
      <c r="K1858" s="85"/>
      <c r="M1858" s="81"/>
      <c r="O1858" s="85"/>
      <c r="P1858" s="85"/>
      <c r="Q1858" s="81"/>
    </row>
    <row r="1859" spans="3:17" x14ac:dyDescent="0.3">
      <c r="C1859" s="81"/>
      <c r="F1859" s="85"/>
      <c r="G1859" s="86"/>
      <c r="H1859" s="86"/>
      <c r="I1859" s="87"/>
      <c r="J1859" s="85"/>
      <c r="K1859" s="85"/>
      <c r="M1859" s="81"/>
      <c r="O1859" s="85"/>
      <c r="P1859" s="85"/>
      <c r="Q1859" s="81"/>
    </row>
    <row r="1860" spans="3:17" x14ac:dyDescent="0.3">
      <c r="C1860" s="81"/>
      <c r="F1860" s="85"/>
      <c r="G1860" s="86"/>
      <c r="H1860" s="86"/>
      <c r="I1860" s="87"/>
      <c r="J1860" s="85"/>
      <c r="K1860" s="85"/>
      <c r="M1860" s="81"/>
      <c r="O1860" s="85"/>
      <c r="P1860" s="85"/>
      <c r="Q1860" s="81"/>
    </row>
    <row r="1861" spans="3:17" x14ac:dyDescent="0.3">
      <c r="C1861" s="81"/>
      <c r="F1861" s="85"/>
      <c r="G1861" s="86"/>
      <c r="H1861" s="86"/>
      <c r="I1861" s="87"/>
      <c r="J1861" s="85"/>
      <c r="K1861" s="85"/>
      <c r="M1861" s="81"/>
      <c r="O1861" s="85"/>
      <c r="P1861" s="85"/>
      <c r="Q1861" s="81"/>
    </row>
    <row r="1862" spans="3:17" x14ac:dyDescent="0.3">
      <c r="C1862" s="81"/>
      <c r="F1862" s="85"/>
      <c r="G1862" s="86"/>
      <c r="H1862" s="86"/>
      <c r="I1862" s="87"/>
      <c r="J1862" s="85"/>
      <c r="K1862" s="85"/>
      <c r="M1862" s="81"/>
      <c r="O1862" s="85"/>
      <c r="P1862" s="85"/>
      <c r="Q1862" s="81"/>
    </row>
    <row r="1863" spans="3:17" x14ac:dyDescent="0.3">
      <c r="C1863" s="81"/>
      <c r="F1863" s="85"/>
      <c r="G1863" s="86"/>
      <c r="H1863" s="86"/>
      <c r="I1863" s="87"/>
      <c r="J1863" s="85"/>
      <c r="K1863" s="85"/>
      <c r="M1863" s="81"/>
      <c r="O1863" s="85"/>
      <c r="P1863" s="85"/>
      <c r="Q1863" s="81"/>
    </row>
    <row r="1864" spans="3:17" x14ac:dyDescent="0.3">
      <c r="C1864" s="81"/>
      <c r="F1864" s="85"/>
      <c r="G1864" s="86"/>
      <c r="H1864" s="86"/>
      <c r="I1864" s="87"/>
      <c r="J1864" s="85"/>
      <c r="K1864" s="85"/>
      <c r="M1864" s="81"/>
      <c r="O1864" s="85"/>
      <c r="P1864" s="85"/>
      <c r="Q1864" s="81"/>
    </row>
    <row r="1865" spans="3:17" x14ac:dyDescent="0.3">
      <c r="C1865" s="81"/>
      <c r="F1865" s="85"/>
      <c r="G1865" s="86"/>
      <c r="H1865" s="86"/>
      <c r="I1865" s="87"/>
      <c r="J1865" s="85"/>
      <c r="K1865" s="85"/>
      <c r="M1865" s="81"/>
      <c r="O1865" s="85"/>
      <c r="P1865" s="85"/>
      <c r="Q1865" s="81"/>
    </row>
    <row r="1866" spans="3:17" x14ac:dyDescent="0.3">
      <c r="C1866" s="81"/>
      <c r="F1866" s="85"/>
      <c r="G1866" s="86"/>
      <c r="H1866" s="86"/>
      <c r="I1866" s="87"/>
      <c r="J1866" s="85"/>
      <c r="K1866" s="85"/>
      <c r="M1866" s="81"/>
      <c r="O1866" s="85"/>
      <c r="P1866" s="85"/>
      <c r="Q1866" s="81"/>
    </row>
    <row r="1867" spans="3:17" x14ac:dyDescent="0.3">
      <c r="C1867" s="81"/>
      <c r="F1867" s="85"/>
      <c r="G1867" s="86"/>
      <c r="H1867" s="86"/>
      <c r="I1867" s="87"/>
      <c r="J1867" s="85"/>
      <c r="K1867" s="85"/>
      <c r="M1867" s="81"/>
      <c r="O1867" s="85"/>
      <c r="P1867" s="85"/>
      <c r="Q1867" s="81"/>
    </row>
    <row r="1868" spans="3:17" x14ac:dyDescent="0.3">
      <c r="C1868" s="81"/>
      <c r="F1868" s="85"/>
      <c r="G1868" s="86"/>
      <c r="H1868" s="86"/>
      <c r="I1868" s="87"/>
      <c r="J1868" s="85"/>
      <c r="K1868" s="85"/>
      <c r="M1868" s="81"/>
      <c r="O1868" s="85"/>
      <c r="P1868" s="85"/>
      <c r="Q1868" s="81"/>
    </row>
    <row r="1869" spans="3:17" x14ac:dyDescent="0.3">
      <c r="C1869" s="81"/>
      <c r="F1869" s="85"/>
      <c r="G1869" s="86"/>
      <c r="H1869" s="86"/>
      <c r="I1869" s="87"/>
      <c r="J1869" s="85"/>
      <c r="K1869" s="85"/>
      <c r="M1869" s="81"/>
      <c r="O1869" s="85"/>
      <c r="P1869" s="85"/>
      <c r="Q1869" s="81"/>
    </row>
    <row r="1870" spans="3:17" x14ac:dyDescent="0.3">
      <c r="C1870" s="81"/>
      <c r="F1870" s="85"/>
      <c r="G1870" s="86"/>
      <c r="H1870" s="86"/>
      <c r="I1870" s="87"/>
      <c r="J1870" s="85"/>
      <c r="K1870" s="85"/>
      <c r="M1870" s="81"/>
      <c r="O1870" s="85"/>
      <c r="P1870" s="85"/>
      <c r="Q1870" s="81"/>
    </row>
    <row r="1871" spans="3:17" x14ac:dyDescent="0.3">
      <c r="C1871" s="81"/>
      <c r="F1871" s="85"/>
      <c r="G1871" s="86"/>
      <c r="H1871" s="86"/>
      <c r="I1871" s="87"/>
      <c r="J1871" s="85"/>
      <c r="K1871" s="85"/>
      <c r="M1871" s="81"/>
      <c r="O1871" s="85"/>
      <c r="P1871" s="85"/>
      <c r="Q1871" s="81"/>
    </row>
    <row r="1872" spans="3:17" x14ac:dyDescent="0.3">
      <c r="C1872" s="81"/>
      <c r="F1872" s="85"/>
      <c r="G1872" s="86"/>
      <c r="H1872" s="86"/>
      <c r="I1872" s="87"/>
      <c r="J1872" s="85"/>
      <c r="K1872" s="85"/>
      <c r="M1872" s="81"/>
      <c r="O1872" s="85"/>
      <c r="P1872" s="85"/>
      <c r="Q1872" s="81"/>
    </row>
    <row r="1873" spans="3:17" x14ac:dyDescent="0.3">
      <c r="C1873" s="81"/>
      <c r="F1873" s="85"/>
      <c r="G1873" s="86"/>
      <c r="H1873" s="86"/>
      <c r="I1873" s="87"/>
      <c r="J1873" s="85"/>
      <c r="K1873" s="85"/>
      <c r="M1873" s="81"/>
      <c r="O1873" s="85"/>
      <c r="P1873" s="85"/>
      <c r="Q1873" s="81"/>
    </row>
    <row r="1874" spans="3:17" x14ac:dyDescent="0.3">
      <c r="C1874" s="81"/>
      <c r="F1874" s="85"/>
      <c r="G1874" s="86"/>
      <c r="H1874" s="86"/>
      <c r="I1874" s="87"/>
      <c r="J1874" s="85"/>
      <c r="K1874" s="85"/>
      <c r="M1874" s="81"/>
      <c r="O1874" s="85"/>
      <c r="P1874" s="85"/>
      <c r="Q1874" s="81"/>
    </row>
    <row r="1875" spans="3:17" x14ac:dyDescent="0.3">
      <c r="C1875" s="81"/>
      <c r="F1875" s="85"/>
      <c r="G1875" s="86"/>
      <c r="H1875" s="86"/>
      <c r="I1875" s="87"/>
      <c r="J1875" s="85"/>
      <c r="K1875" s="85"/>
      <c r="M1875" s="81"/>
      <c r="O1875" s="85"/>
      <c r="P1875" s="85"/>
      <c r="Q1875" s="81"/>
    </row>
    <row r="1876" spans="3:17" x14ac:dyDescent="0.3">
      <c r="C1876" s="81"/>
      <c r="F1876" s="85"/>
      <c r="G1876" s="86"/>
      <c r="H1876" s="86"/>
      <c r="I1876" s="87"/>
      <c r="J1876" s="85"/>
      <c r="K1876" s="85"/>
      <c r="M1876" s="81"/>
      <c r="O1876" s="85"/>
      <c r="P1876" s="85"/>
      <c r="Q1876" s="81"/>
    </row>
    <row r="1877" spans="3:17" x14ac:dyDescent="0.3">
      <c r="C1877" s="81"/>
      <c r="F1877" s="85"/>
      <c r="G1877" s="86"/>
      <c r="H1877" s="86"/>
      <c r="I1877" s="87"/>
      <c r="J1877" s="85"/>
      <c r="K1877" s="85"/>
      <c r="M1877" s="81"/>
      <c r="O1877" s="85"/>
      <c r="P1877" s="85"/>
      <c r="Q1877" s="81"/>
    </row>
    <row r="1878" spans="3:17" x14ac:dyDescent="0.3">
      <c r="C1878" s="81"/>
      <c r="F1878" s="85"/>
      <c r="G1878" s="86"/>
      <c r="H1878" s="86"/>
      <c r="I1878" s="87"/>
      <c r="J1878" s="85"/>
      <c r="K1878" s="85"/>
      <c r="M1878" s="81"/>
      <c r="O1878" s="85"/>
      <c r="P1878" s="85"/>
      <c r="Q1878" s="81"/>
    </row>
    <row r="1879" spans="3:17" x14ac:dyDescent="0.3">
      <c r="C1879" s="81"/>
      <c r="F1879" s="85"/>
      <c r="G1879" s="86"/>
      <c r="H1879" s="86"/>
      <c r="I1879" s="87"/>
      <c r="J1879" s="85"/>
      <c r="K1879" s="85"/>
      <c r="M1879" s="81"/>
      <c r="O1879" s="85"/>
      <c r="P1879" s="85"/>
      <c r="Q1879" s="81"/>
    </row>
    <row r="1880" spans="3:17" x14ac:dyDescent="0.3">
      <c r="C1880" s="81"/>
      <c r="F1880" s="85"/>
      <c r="G1880" s="86"/>
      <c r="H1880" s="86"/>
      <c r="I1880" s="87"/>
      <c r="J1880" s="85"/>
      <c r="K1880" s="85"/>
      <c r="M1880" s="81"/>
      <c r="O1880" s="85"/>
      <c r="P1880" s="85"/>
      <c r="Q1880" s="81"/>
    </row>
    <row r="1881" spans="3:17" x14ac:dyDescent="0.3">
      <c r="C1881" s="81"/>
      <c r="F1881" s="85"/>
      <c r="G1881" s="86"/>
      <c r="H1881" s="86"/>
      <c r="I1881" s="87"/>
      <c r="J1881" s="85"/>
      <c r="K1881" s="85"/>
      <c r="M1881" s="81"/>
      <c r="O1881" s="85"/>
      <c r="P1881" s="85"/>
      <c r="Q1881" s="81"/>
    </row>
    <row r="1882" spans="3:17" x14ac:dyDescent="0.3">
      <c r="C1882" s="81"/>
      <c r="F1882" s="85"/>
      <c r="G1882" s="86"/>
      <c r="H1882" s="86"/>
      <c r="I1882" s="87"/>
      <c r="J1882" s="85"/>
      <c r="K1882" s="85"/>
      <c r="M1882" s="81"/>
      <c r="O1882" s="85"/>
      <c r="P1882" s="85"/>
      <c r="Q1882" s="81"/>
    </row>
    <row r="1883" spans="3:17" x14ac:dyDescent="0.3">
      <c r="C1883" s="81"/>
      <c r="F1883" s="85"/>
      <c r="G1883" s="86"/>
      <c r="H1883" s="86"/>
      <c r="I1883" s="87"/>
      <c r="J1883" s="85"/>
      <c r="K1883" s="85"/>
      <c r="M1883" s="81"/>
      <c r="O1883" s="85"/>
      <c r="P1883" s="85"/>
      <c r="Q1883" s="81"/>
    </row>
    <row r="1884" spans="3:17" x14ac:dyDescent="0.3">
      <c r="C1884" s="81"/>
      <c r="F1884" s="85"/>
      <c r="G1884" s="86"/>
      <c r="H1884" s="86"/>
      <c r="I1884" s="87"/>
      <c r="J1884" s="85"/>
      <c r="K1884" s="85"/>
      <c r="M1884" s="81"/>
      <c r="O1884" s="85"/>
      <c r="P1884" s="85"/>
      <c r="Q1884" s="81"/>
    </row>
    <row r="1885" spans="3:17" x14ac:dyDescent="0.3">
      <c r="C1885" s="81"/>
      <c r="F1885" s="85"/>
      <c r="G1885" s="86"/>
      <c r="H1885" s="86"/>
      <c r="I1885" s="87"/>
      <c r="J1885" s="85"/>
      <c r="K1885" s="85"/>
      <c r="M1885" s="81"/>
      <c r="O1885" s="85"/>
      <c r="P1885" s="85"/>
      <c r="Q1885" s="81"/>
    </row>
    <row r="1886" spans="3:17" x14ac:dyDescent="0.3">
      <c r="C1886" s="81"/>
      <c r="F1886" s="85"/>
      <c r="G1886" s="86"/>
      <c r="H1886" s="86"/>
      <c r="I1886" s="87"/>
      <c r="J1886" s="85"/>
      <c r="K1886" s="85"/>
      <c r="M1886" s="81"/>
      <c r="O1886" s="85"/>
      <c r="P1886" s="85"/>
      <c r="Q1886" s="81"/>
    </row>
    <row r="1887" spans="3:17" x14ac:dyDescent="0.3">
      <c r="C1887" s="81"/>
      <c r="F1887" s="85"/>
      <c r="G1887" s="86"/>
      <c r="H1887" s="86"/>
      <c r="I1887" s="87"/>
      <c r="J1887" s="85"/>
      <c r="K1887" s="85"/>
      <c r="M1887" s="81"/>
      <c r="O1887" s="85"/>
      <c r="P1887" s="85"/>
      <c r="Q1887" s="81"/>
    </row>
    <row r="1888" spans="3:17" x14ac:dyDescent="0.3">
      <c r="C1888" s="81"/>
      <c r="F1888" s="85"/>
      <c r="G1888" s="86"/>
      <c r="H1888" s="86"/>
      <c r="I1888" s="87"/>
      <c r="J1888" s="85"/>
      <c r="K1888" s="85"/>
      <c r="M1888" s="81"/>
      <c r="O1888" s="85"/>
      <c r="P1888" s="85"/>
      <c r="Q1888" s="81"/>
    </row>
    <row r="1889" spans="3:17" x14ac:dyDescent="0.3">
      <c r="C1889" s="81"/>
      <c r="F1889" s="85"/>
      <c r="G1889" s="86"/>
      <c r="H1889" s="86"/>
      <c r="I1889" s="87"/>
      <c r="J1889" s="85"/>
      <c r="K1889" s="85"/>
      <c r="M1889" s="81"/>
      <c r="O1889" s="85"/>
      <c r="P1889" s="85"/>
      <c r="Q1889" s="81"/>
    </row>
    <row r="1890" spans="3:17" x14ac:dyDescent="0.3">
      <c r="C1890" s="81"/>
      <c r="F1890" s="85"/>
      <c r="G1890" s="86"/>
      <c r="H1890" s="86"/>
      <c r="I1890" s="87"/>
      <c r="J1890" s="85"/>
      <c r="K1890" s="85"/>
      <c r="M1890" s="81"/>
      <c r="O1890" s="85"/>
      <c r="P1890" s="85"/>
      <c r="Q1890" s="81"/>
    </row>
    <row r="1891" spans="3:17" x14ac:dyDescent="0.3">
      <c r="C1891" s="81"/>
      <c r="F1891" s="85"/>
      <c r="G1891" s="86"/>
      <c r="H1891" s="86"/>
      <c r="I1891" s="87"/>
      <c r="J1891" s="85"/>
      <c r="K1891" s="85"/>
      <c r="M1891" s="81"/>
      <c r="O1891" s="85"/>
      <c r="P1891" s="85"/>
      <c r="Q1891" s="81"/>
    </row>
    <row r="1892" spans="3:17" x14ac:dyDescent="0.3">
      <c r="C1892" s="81"/>
      <c r="F1892" s="85"/>
      <c r="G1892" s="86"/>
      <c r="H1892" s="86"/>
      <c r="I1892" s="87"/>
      <c r="J1892" s="85"/>
      <c r="K1892" s="85"/>
      <c r="M1892" s="81"/>
      <c r="O1892" s="85"/>
      <c r="P1892" s="85"/>
      <c r="Q1892" s="81"/>
    </row>
    <row r="1893" spans="3:17" x14ac:dyDescent="0.3">
      <c r="C1893" s="81"/>
      <c r="F1893" s="85"/>
      <c r="G1893" s="86"/>
      <c r="H1893" s="86"/>
      <c r="I1893" s="87"/>
      <c r="J1893" s="85"/>
      <c r="K1893" s="85"/>
      <c r="M1893" s="81"/>
      <c r="O1893" s="85"/>
      <c r="P1893" s="85"/>
      <c r="Q1893" s="81"/>
    </row>
    <row r="1894" spans="3:17" x14ac:dyDescent="0.3">
      <c r="C1894" s="81"/>
      <c r="F1894" s="85"/>
      <c r="G1894" s="86"/>
      <c r="H1894" s="86"/>
      <c r="I1894" s="87"/>
      <c r="J1894" s="85"/>
      <c r="K1894" s="85"/>
      <c r="M1894" s="81"/>
      <c r="O1894" s="85"/>
      <c r="P1894" s="85"/>
      <c r="Q1894" s="81"/>
    </row>
    <row r="1895" spans="3:17" x14ac:dyDescent="0.3">
      <c r="C1895" s="81"/>
      <c r="F1895" s="85"/>
      <c r="G1895" s="86"/>
      <c r="H1895" s="86"/>
      <c r="I1895" s="87"/>
      <c r="J1895" s="85"/>
      <c r="K1895" s="85"/>
      <c r="M1895" s="81"/>
      <c r="O1895" s="85"/>
      <c r="P1895" s="85"/>
      <c r="Q1895" s="81"/>
    </row>
    <row r="1896" spans="3:17" x14ac:dyDescent="0.3">
      <c r="C1896" s="81"/>
      <c r="F1896" s="85"/>
      <c r="G1896" s="86"/>
      <c r="H1896" s="86"/>
      <c r="I1896" s="87"/>
      <c r="J1896" s="85"/>
      <c r="K1896" s="85"/>
      <c r="M1896" s="81"/>
      <c r="O1896" s="85"/>
      <c r="P1896" s="85"/>
      <c r="Q1896" s="81"/>
    </row>
    <row r="1897" spans="3:17" x14ac:dyDescent="0.3">
      <c r="C1897" s="81"/>
      <c r="F1897" s="85"/>
      <c r="G1897" s="86"/>
      <c r="H1897" s="86"/>
      <c r="I1897" s="87"/>
      <c r="J1897" s="85"/>
      <c r="K1897" s="85"/>
      <c r="M1897" s="81"/>
      <c r="O1897" s="85"/>
      <c r="P1897" s="85"/>
      <c r="Q1897" s="81"/>
    </row>
    <row r="1898" spans="3:17" x14ac:dyDescent="0.3">
      <c r="C1898" s="81"/>
      <c r="F1898" s="85"/>
      <c r="G1898" s="86"/>
      <c r="H1898" s="86"/>
      <c r="I1898" s="87"/>
      <c r="J1898" s="85"/>
      <c r="K1898" s="85"/>
      <c r="M1898" s="81"/>
      <c r="O1898" s="85"/>
      <c r="P1898" s="85"/>
      <c r="Q1898" s="81"/>
    </row>
    <row r="1899" spans="3:17" x14ac:dyDescent="0.3">
      <c r="C1899" s="81"/>
      <c r="F1899" s="85"/>
      <c r="G1899" s="86"/>
      <c r="H1899" s="86"/>
      <c r="I1899" s="87"/>
      <c r="J1899" s="85"/>
      <c r="K1899" s="85"/>
      <c r="M1899" s="81"/>
      <c r="O1899" s="85"/>
      <c r="P1899" s="85"/>
      <c r="Q1899" s="81"/>
    </row>
    <row r="1900" spans="3:17" x14ac:dyDescent="0.3">
      <c r="C1900" s="81"/>
      <c r="F1900" s="85"/>
      <c r="G1900" s="86"/>
      <c r="H1900" s="86"/>
      <c r="I1900" s="87"/>
      <c r="J1900" s="85"/>
      <c r="K1900" s="85"/>
      <c r="M1900" s="81"/>
      <c r="O1900" s="85"/>
      <c r="P1900" s="85"/>
      <c r="Q1900" s="81"/>
    </row>
    <row r="1901" spans="3:17" x14ac:dyDescent="0.3">
      <c r="C1901" s="81"/>
      <c r="F1901" s="85"/>
      <c r="G1901" s="86"/>
      <c r="H1901" s="86"/>
      <c r="I1901" s="87"/>
      <c r="J1901" s="85"/>
      <c r="K1901" s="85"/>
      <c r="M1901" s="81"/>
      <c r="O1901" s="85"/>
      <c r="P1901" s="85"/>
      <c r="Q1901" s="81"/>
    </row>
    <row r="1902" spans="3:17" x14ac:dyDescent="0.3">
      <c r="C1902" s="81"/>
      <c r="F1902" s="85"/>
      <c r="G1902" s="86"/>
      <c r="H1902" s="86"/>
      <c r="I1902" s="87"/>
      <c r="J1902" s="85"/>
      <c r="K1902" s="85"/>
      <c r="M1902" s="81"/>
      <c r="O1902" s="85"/>
      <c r="P1902" s="85"/>
      <c r="Q1902" s="81"/>
    </row>
    <row r="1903" spans="3:17" x14ac:dyDescent="0.3">
      <c r="C1903" s="81"/>
      <c r="F1903" s="85"/>
      <c r="G1903" s="86"/>
      <c r="H1903" s="86"/>
      <c r="I1903" s="87"/>
      <c r="J1903" s="85"/>
      <c r="K1903" s="85"/>
      <c r="M1903" s="81"/>
      <c r="O1903" s="85"/>
      <c r="P1903" s="85"/>
      <c r="Q1903" s="81"/>
    </row>
    <row r="1904" spans="3:17" x14ac:dyDescent="0.3">
      <c r="C1904" s="81"/>
      <c r="F1904" s="85"/>
      <c r="G1904" s="86"/>
      <c r="H1904" s="86"/>
      <c r="I1904" s="87"/>
      <c r="J1904" s="85"/>
      <c r="K1904" s="85"/>
      <c r="M1904" s="81"/>
      <c r="O1904" s="85"/>
      <c r="P1904" s="85"/>
      <c r="Q1904" s="81"/>
    </row>
    <row r="1905" spans="3:17" x14ac:dyDescent="0.3">
      <c r="C1905" s="81"/>
      <c r="F1905" s="85"/>
      <c r="G1905" s="86"/>
      <c r="H1905" s="86"/>
      <c r="I1905" s="87"/>
      <c r="J1905" s="85"/>
      <c r="K1905" s="85"/>
      <c r="M1905" s="81"/>
      <c r="O1905" s="85"/>
      <c r="P1905" s="85"/>
      <c r="Q1905" s="81"/>
    </row>
    <row r="1906" spans="3:17" x14ac:dyDescent="0.3">
      <c r="C1906" s="81"/>
      <c r="F1906" s="85"/>
      <c r="G1906" s="86"/>
      <c r="H1906" s="86"/>
      <c r="I1906" s="87"/>
      <c r="J1906" s="85"/>
      <c r="K1906" s="85"/>
      <c r="M1906" s="81"/>
      <c r="O1906" s="85"/>
      <c r="P1906" s="85"/>
      <c r="Q1906" s="81"/>
    </row>
    <row r="1907" spans="3:17" x14ac:dyDescent="0.3">
      <c r="C1907" s="81"/>
      <c r="F1907" s="85"/>
      <c r="G1907" s="86"/>
      <c r="H1907" s="86"/>
      <c r="I1907" s="87"/>
      <c r="J1907" s="85"/>
      <c r="K1907" s="85"/>
      <c r="M1907" s="81"/>
      <c r="O1907" s="85"/>
      <c r="P1907" s="85"/>
      <c r="Q1907" s="81"/>
    </row>
    <row r="1908" spans="3:17" x14ac:dyDescent="0.3">
      <c r="C1908" s="81"/>
      <c r="F1908" s="85"/>
      <c r="G1908" s="86"/>
      <c r="H1908" s="86"/>
      <c r="I1908" s="87"/>
      <c r="J1908" s="85"/>
      <c r="K1908" s="85"/>
      <c r="M1908" s="81"/>
      <c r="O1908" s="85"/>
      <c r="P1908" s="85"/>
      <c r="Q1908" s="81"/>
    </row>
    <row r="1909" spans="3:17" x14ac:dyDescent="0.3">
      <c r="C1909" s="81"/>
      <c r="F1909" s="85"/>
      <c r="G1909" s="86"/>
      <c r="H1909" s="86"/>
      <c r="I1909" s="87"/>
      <c r="J1909" s="85"/>
      <c r="K1909" s="85"/>
      <c r="M1909" s="81"/>
      <c r="O1909" s="85"/>
      <c r="P1909" s="85"/>
      <c r="Q1909" s="81"/>
    </row>
    <row r="1910" spans="3:17" x14ac:dyDescent="0.3">
      <c r="C1910" s="81"/>
      <c r="F1910" s="85"/>
      <c r="G1910" s="86"/>
      <c r="H1910" s="86"/>
      <c r="I1910" s="87"/>
      <c r="J1910" s="85"/>
      <c r="K1910" s="85"/>
      <c r="M1910" s="81"/>
      <c r="O1910" s="85"/>
      <c r="P1910" s="85"/>
      <c r="Q1910" s="81"/>
    </row>
    <row r="1911" spans="3:17" x14ac:dyDescent="0.3">
      <c r="C1911" s="81"/>
      <c r="F1911" s="85"/>
      <c r="G1911" s="86"/>
      <c r="H1911" s="86"/>
      <c r="I1911" s="87"/>
      <c r="J1911" s="85"/>
      <c r="K1911" s="85"/>
      <c r="M1911" s="81"/>
      <c r="O1911" s="85"/>
      <c r="P1911" s="85"/>
      <c r="Q1911" s="81"/>
    </row>
    <row r="1912" spans="3:17" x14ac:dyDescent="0.3">
      <c r="C1912" s="81"/>
      <c r="F1912" s="85"/>
      <c r="G1912" s="86"/>
      <c r="H1912" s="86"/>
      <c r="I1912" s="87"/>
      <c r="J1912" s="85"/>
      <c r="K1912" s="85"/>
      <c r="M1912" s="81"/>
      <c r="O1912" s="85"/>
      <c r="P1912" s="85"/>
      <c r="Q1912" s="81"/>
    </row>
    <row r="1913" spans="3:17" x14ac:dyDescent="0.3">
      <c r="C1913" s="81"/>
      <c r="F1913" s="85"/>
      <c r="G1913" s="86"/>
      <c r="H1913" s="86"/>
      <c r="I1913" s="87"/>
      <c r="J1913" s="85"/>
      <c r="K1913" s="85"/>
      <c r="M1913" s="81"/>
      <c r="O1913" s="85"/>
      <c r="P1913" s="85"/>
      <c r="Q1913" s="81"/>
    </row>
    <row r="1914" spans="3:17" x14ac:dyDescent="0.3">
      <c r="C1914" s="81"/>
      <c r="F1914" s="85"/>
      <c r="G1914" s="86"/>
      <c r="H1914" s="86"/>
      <c r="I1914" s="87"/>
      <c r="J1914" s="85"/>
      <c r="K1914" s="85"/>
      <c r="M1914" s="81"/>
      <c r="O1914" s="85"/>
      <c r="P1914" s="85"/>
      <c r="Q1914" s="81"/>
    </row>
    <row r="1915" spans="3:17" x14ac:dyDescent="0.3">
      <c r="C1915" s="81"/>
      <c r="F1915" s="85"/>
      <c r="G1915" s="86"/>
      <c r="H1915" s="86"/>
      <c r="I1915" s="87"/>
      <c r="J1915" s="85"/>
      <c r="K1915" s="85"/>
      <c r="M1915" s="81"/>
      <c r="O1915" s="85"/>
      <c r="P1915" s="85"/>
      <c r="Q1915" s="81"/>
    </row>
    <row r="1916" spans="3:17" x14ac:dyDescent="0.3">
      <c r="C1916" s="81"/>
      <c r="F1916" s="85"/>
      <c r="G1916" s="86"/>
      <c r="H1916" s="86"/>
      <c r="I1916" s="87"/>
      <c r="J1916" s="85"/>
      <c r="K1916" s="85"/>
      <c r="M1916" s="81"/>
      <c r="O1916" s="85"/>
      <c r="P1916" s="85"/>
      <c r="Q1916" s="81"/>
    </row>
    <row r="1917" spans="3:17" x14ac:dyDescent="0.3">
      <c r="C1917" s="81"/>
      <c r="F1917" s="85"/>
      <c r="G1917" s="86"/>
      <c r="H1917" s="86"/>
      <c r="I1917" s="87"/>
      <c r="J1917" s="85"/>
      <c r="K1917" s="85"/>
      <c r="M1917" s="81"/>
      <c r="O1917" s="85"/>
      <c r="P1917" s="85"/>
      <c r="Q1917" s="81"/>
    </row>
    <row r="1918" spans="3:17" x14ac:dyDescent="0.3">
      <c r="C1918" s="81"/>
      <c r="F1918" s="85"/>
      <c r="G1918" s="86"/>
      <c r="H1918" s="86"/>
      <c r="I1918" s="87"/>
      <c r="J1918" s="85"/>
      <c r="K1918" s="85"/>
      <c r="M1918" s="81"/>
      <c r="O1918" s="85"/>
      <c r="P1918" s="85"/>
      <c r="Q1918" s="81"/>
    </row>
    <row r="1919" spans="3:17" x14ac:dyDescent="0.3">
      <c r="C1919" s="81"/>
      <c r="F1919" s="85"/>
      <c r="G1919" s="86"/>
      <c r="H1919" s="86"/>
      <c r="I1919" s="87"/>
      <c r="J1919" s="85"/>
      <c r="K1919" s="85"/>
      <c r="M1919" s="81"/>
      <c r="O1919" s="85"/>
      <c r="P1919" s="85"/>
      <c r="Q1919" s="81"/>
    </row>
    <row r="1920" spans="3:17" x14ac:dyDescent="0.3">
      <c r="C1920" s="81"/>
      <c r="F1920" s="85"/>
      <c r="G1920" s="86"/>
      <c r="H1920" s="86"/>
      <c r="I1920" s="87"/>
      <c r="J1920" s="85"/>
      <c r="K1920" s="85"/>
      <c r="M1920" s="81"/>
      <c r="O1920" s="85"/>
      <c r="P1920" s="85"/>
      <c r="Q1920" s="81"/>
    </row>
    <row r="1921" spans="3:17" x14ac:dyDescent="0.3">
      <c r="C1921" s="81"/>
      <c r="F1921" s="85"/>
      <c r="G1921" s="86"/>
      <c r="H1921" s="86"/>
      <c r="I1921" s="87"/>
      <c r="J1921" s="85"/>
      <c r="K1921" s="85"/>
      <c r="M1921" s="81"/>
      <c r="O1921" s="85"/>
      <c r="P1921" s="85"/>
      <c r="Q1921" s="81"/>
    </row>
    <row r="1922" spans="3:17" x14ac:dyDescent="0.3">
      <c r="C1922" s="81"/>
      <c r="F1922" s="85"/>
      <c r="G1922" s="86"/>
      <c r="H1922" s="86"/>
      <c r="I1922" s="87"/>
      <c r="J1922" s="85"/>
      <c r="K1922" s="85"/>
      <c r="M1922" s="81"/>
      <c r="O1922" s="85"/>
      <c r="P1922" s="85"/>
      <c r="Q1922" s="81"/>
    </row>
    <row r="1923" spans="3:17" x14ac:dyDescent="0.3">
      <c r="C1923" s="81"/>
      <c r="F1923" s="85"/>
      <c r="G1923" s="86"/>
      <c r="H1923" s="86"/>
      <c r="I1923" s="87"/>
      <c r="J1923" s="85"/>
      <c r="K1923" s="85"/>
      <c r="M1923" s="81"/>
      <c r="O1923" s="85"/>
      <c r="P1923" s="85"/>
      <c r="Q1923" s="81"/>
    </row>
    <row r="1924" spans="3:17" x14ac:dyDescent="0.3">
      <c r="C1924" s="81"/>
      <c r="F1924" s="85"/>
      <c r="G1924" s="86"/>
      <c r="H1924" s="86"/>
      <c r="I1924" s="87"/>
      <c r="J1924" s="85"/>
      <c r="K1924" s="85"/>
      <c r="M1924" s="81"/>
      <c r="O1924" s="85"/>
      <c r="P1924" s="85"/>
      <c r="Q1924" s="81"/>
    </row>
    <row r="1925" spans="3:17" x14ac:dyDescent="0.3">
      <c r="C1925" s="81"/>
      <c r="F1925" s="85"/>
      <c r="G1925" s="86"/>
      <c r="H1925" s="86"/>
      <c r="I1925" s="87"/>
      <c r="J1925" s="85"/>
      <c r="K1925" s="85"/>
      <c r="M1925" s="81"/>
      <c r="O1925" s="85"/>
      <c r="P1925" s="85"/>
      <c r="Q1925" s="81"/>
    </row>
    <row r="1926" spans="3:17" x14ac:dyDescent="0.3">
      <c r="C1926" s="81"/>
      <c r="F1926" s="85"/>
      <c r="G1926" s="86"/>
      <c r="H1926" s="86"/>
      <c r="I1926" s="87"/>
      <c r="J1926" s="85"/>
      <c r="K1926" s="85"/>
      <c r="M1926" s="81"/>
      <c r="O1926" s="85"/>
      <c r="P1926" s="85"/>
      <c r="Q1926" s="81"/>
    </row>
    <row r="1927" spans="3:17" x14ac:dyDescent="0.3">
      <c r="C1927" s="81"/>
      <c r="F1927" s="85"/>
      <c r="G1927" s="86"/>
      <c r="H1927" s="86"/>
      <c r="I1927" s="87"/>
      <c r="J1927" s="85"/>
      <c r="K1927" s="85"/>
      <c r="M1927" s="81"/>
      <c r="O1927" s="85"/>
      <c r="P1927" s="85"/>
      <c r="Q1927" s="81"/>
    </row>
    <row r="1928" spans="3:17" x14ac:dyDescent="0.3">
      <c r="C1928" s="81"/>
      <c r="F1928" s="85"/>
      <c r="G1928" s="86"/>
      <c r="H1928" s="86"/>
      <c r="I1928" s="87"/>
      <c r="J1928" s="85"/>
      <c r="K1928" s="85"/>
      <c r="M1928" s="81"/>
      <c r="O1928" s="85"/>
      <c r="P1928" s="85"/>
      <c r="Q1928" s="81"/>
    </row>
    <row r="1929" spans="3:17" x14ac:dyDescent="0.3">
      <c r="C1929" s="81"/>
      <c r="F1929" s="85"/>
      <c r="G1929" s="86"/>
      <c r="H1929" s="86"/>
      <c r="I1929" s="87"/>
      <c r="J1929" s="85"/>
      <c r="K1929" s="85"/>
      <c r="M1929" s="81"/>
      <c r="O1929" s="85"/>
      <c r="P1929" s="85"/>
      <c r="Q1929" s="81"/>
    </row>
    <row r="1930" spans="3:17" x14ac:dyDescent="0.3">
      <c r="C1930" s="81"/>
      <c r="F1930" s="85"/>
      <c r="G1930" s="86"/>
      <c r="H1930" s="86"/>
      <c r="I1930" s="87"/>
      <c r="J1930" s="85"/>
      <c r="K1930" s="85"/>
      <c r="M1930" s="81"/>
      <c r="O1930" s="85"/>
      <c r="P1930" s="85"/>
      <c r="Q1930" s="81"/>
    </row>
    <row r="1931" spans="3:17" x14ac:dyDescent="0.3">
      <c r="C1931" s="81"/>
      <c r="F1931" s="85"/>
      <c r="G1931" s="86"/>
      <c r="H1931" s="86"/>
      <c r="I1931" s="87"/>
      <c r="J1931" s="85"/>
      <c r="K1931" s="85"/>
      <c r="M1931" s="81"/>
      <c r="O1931" s="85"/>
      <c r="P1931" s="85"/>
      <c r="Q1931" s="81"/>
    </row>
    <row r="1932" spans="3:17" x14ac:dyDescent="0.3">
      <c r="C1932" s="81"/>
      <c r="F1932" s="85"/>
      <c r="G1932" s="86"/>
      <c r="H1932" s="86"/>
      <c r="I1932" s="87"/>
      <c r="J1932" s="85"/>
      <c r="K1932" s="85"/>
      <c r="M1932" s="81"/>
      <c r="O1932" s="85"/>
      <c r="P1932" s="85"/>
      <c r="Q1932" s="81"/>
    </row>
    <row r="1933" spans="3:17" x14ac:dyDescent="0.3">
      <c r="C1933" s="81"/>
      <c r="F1933" s="85"/>
      <c r="G1933" s="86"/>
      <c r="H1933" s="86"/>
      <c r="I1933" s="87"/>
      <c r="J1933" s="85"/>
      <c r="K1933" s="85"/>
      <c r="M1933" s="81"/>
      <c r="O1933" s="85"/>
      <c r="P1933" s="85"/>
      <c r="Q1933" s="81"/>
    </row>
    <row r="1934" spans="3:17" x14ac:dyDescent="0.3">
      <c r="C1934" s="81"/>
      <c r="F1934" s="85"/>
      <c r="G1934" s="86"/>
      <c r="H1934" s="86"/>
      <c r="I1934" s="87"/>
      <c r="J1934" s="85"/>
      <c r="K1934" s="85"/>
      <c r="M1934" s="81"/>
      <c r="O1934" s="85"/>
      <c r="P1934" s="85"/>
      <c r="Q1934" s="81"/>
    </row>
    <row r="1935" spans="3:17" x14ac:dyDescent="0.3">
      <c r="C1935" s="81"/>
      <c r="F1935" s="85"/>
      <c r="G1935" s="86"/>
      <c r="H1935" s="86"/>
      <c r="I1935" s="87"/>
      <c r="J1935" s="85"/>
      <c r="K1935" s="85"/>
      <c r="M1935" s="81"/>
      <c r="O1935" s="85"/>
      <c r="P1935" s="85"/>
      <c r="Q1935" s="81"/>
    </row>
    <row r="1936" spans="3:17" x14ac:dyDescent="0.3">
      <c r="C1936" s="81"/>
      <c r="F1936" s="85"/>
      <c r="G1936" s="86"/>
      <c r="H1936" s="86"/>
      <c r="I1936" s="87"/>
      <c r="J1936" s="85"/>
      <c r="K1936" s="85"/>
      <c r="M1936" s="81"/>
      <c r="O1936" s="85"/>
      <c r="P1936" s="85"/>
      <c r="Q1936" s="81"/>
    </row>
    <row r="1937" spans="3:17" x14ac:dyDescent="0.3">
      <c r="C1937" s="81"/>
      <c r="F1937" s="85"/>
      <c r="G1937" s="86"/>
      <c r="H1937" s="86"/>
      <c r="I1937" s="87"/>
      <c r="J1937" s="85"/>
      <c r="K1937" s="85"/>
      <c r="M1937" s="81"/>
      <c r="O1937" s="85"/>
      <c r="P1937" s="85"/>
      <c r="Q1937" s="81"/>
    </row>
    <row r="1938" spans="3:17" x14ac:dyDescent="0.3">
      <c r="C1938" s="81"/>
      <c r="F1938" s="85"/>
      <c r="G1938" s="86"/>
      <c r="H1938" s="86"/>
      <c r="I1938" s="87"/>
      <c r="J1938" s="85"/>
      <c r="K1938" s="85"/>
      <c r="M1938" s="81"/>
      <c r="O1938" s="85"/>
      <c r="P1938" s="85"/>
      <c r="Q1938" s="81"/>
    </row>
    <row r="1939" spans="3:17" x14ac:dyDescent="0.3">
      <c r="C1939" s="81"/>
      <c r="F1939" s="85"/>
      <c r="G1939" s="86"/>
      <c r="H1939" s="86"/>
      <c r="I1939" s="87"/>
      <c r="J1939" s="85"/>
      <c r="K1939" s="85"/>
      <c r="M1939" s="81"/>
      <c r="O1939" s="85"/>
      <c r="P1939" s="85"/>
      <c r="Q1939" s="81"/>
    </row>
    <row r="1940" spans="3:17" x14ac:dyDescent="0.3">
      <c r="C1940" s="81"/>
      <c r="F1940" s="85"/>
      <c r="G1940" s="86"/>
      <c r="H1940" s="86"/>
      <c r="I1940" s="87"/>
      <c r="J1940" s="85"/>
      <c r="K1940" s="85"/>
      <c r="M1940" s="81"/>
      <c r="O1940" s="85"/>
      <c r="P1940" s="85"/>
      <c r="Q1940" s="81"/>
    </row>
    <row r="1941" spans="3:17" x14ac:dyDescent="0.3">
      <c r="C1941" s="81"/>
      <c r="F1941" s="85"/>
      <c r="G1941" s="86"/>
      <c r="H1941" s="86"/>
      <c r="I1941" s="87"/>
      <c r="J1941" s="85"/>
      <c r="K1941" s="85"/>
      <c r="M1941" s="81"/>
      <c r="O1941" s="85"/>
      <c r="P1941" s="85"/>
      <c r="Q1941" s="81"/>
    </row>
    <row r="1942" spans="3:17" x14ac:dyDescent="0.3">
      <c r="C1942" s="81"/>
      <c r="F1942" s="85"/>
      <c r="G1942" s="86"/>
      <c r="H1942" s="86"/>
      <c r="I1942" s="87"/>
      <c r="J1942" s="85"/>
      <c r="K1942" s="85"/>
      <c r="M1942" s="81"/>
      <c r="O1942" s="85"/>
      <c r="P1942" s="85"/>
      <c r="Q1942" s="81"/>
    </row>
    <row r="1943" spans="3:17" x14ac:dyDescent="0.3">
      <c r="C1943" s="81"/>
      <c r="F1943" s="85"/>
      <c r="G1943" s="86"/>
      <c r="H1943" s="86"/>
      <c r="I1943" s="87"/>
      <c r="J1943" s="85"/>
      <c r="K1943" s="85"/>
      <c r="M1943" s="81"/>
      <c r="O1943" s="85"/>
      <c r="P1943" s="85"/>
      <c r="Q1943" s="81"/>
    </row>
    <row r="1944" spans="3:17" x14ac:dyDescent="0.3">
      <c r="C1944" s="81"/>
      <c r="F1944" s="85"/>
      <c r="G1944" s="86"/>
      <c r="H1944" s="86"/>
      <c r="I1944" s="87"/>
      <c r="J1944" s="85"/>
      <c r="K1944" s="85"/>
      <c r="M1944" s="81"/>
      <c r="O1944" s="85"/>
      <c r="P1944" s="85"/>
      <c r="Q1944" s="81"/>
    </row>
    <row r="1945" spans="3:17" x14ac:dyDescent="0.3">
      <c r="C1945" s="81"/>
      <c r="F1945" s="85"/>
      <c r="G1945" s="86"/>
      <c r="H1945" s="86"/>
      <c r="I1945" s="87"/>
      <c r="J1945" s="85"/>
      <c r="K1945" s="85"/>
      <c r="M1945" s="81"/>
      <c r="O1945" s="85"/>
      <c r="P1945" s="85"/>
      <c r="Q1945" s="81"/>
    </row>
    <row r="1946" spans="3:17" x14ac:dyDescent="0.3">
      <c r="C1946" s="81"/>
      <c r="F1946" s="85"/>
      <c r="G1946" s="86"/>
      <c r="H1946" s="86"/>
      <c r="I1946" s="87"/>
      <c r="J1946" s="85"/>
      <c r="K1946" s="85"/>
      <c r="M1946" s="81"/>
      <c r="O1946" s="85"/>
      <c r="P1946" s="85"/>
      <c r="Q1946" s="81"/>
    </row>
    <row r="1947" spans="3:17" x14ac:dyDescent="0.3">
      <c r="C1947" s="81"/>
      <c r="F1947" s="85"/>
      <c r="G1947" s="86"/>
      <c r="H1947" s="86"/>
      <c r="I1947" s="87"/>
      <c r="J1947" s="85"/>
      <c r="K1947" s="85"/>
      <c r="M1947" s="81"/>
      <c r="O1947" s="85"/>
      <c r="P1947" s="85"/>
      <c r="Q1947" s="81"/>
    </row>
    <row r="1948" spans="3:17" x14ac:dyDescent="0.3">
      <c r="C1948" s="81"/>
      <c r="F1948" s="85"/>
      <c r="G1948" s="86"/>
      <c r="H1948" s="86"/>
      <c r="I1948" s="87"/>
      <c r="J1948" s="85"/>
      <c r="K1948" s="85"/>
      <c r="M1948" s="81"/>
      <c r="O1948" s="85"/>
      <c r="P1948" s="85"/>
      <c r="Q1948" s="81"/>
    </row>
    <row r="1949" spans="3:17" x14ac:dyDescent="0.3">
      <c r="C1949" s="81"/>
      <c r="F1949" s="85"/>
      <c r="G1949" s="86"/>
      <c r="H1949" s="86"/>
      <c r="I1949" s="87"/>
      <c r="J1949" s="85"/>
      <c r="K1949" s="85"/>
      <c r="M1949" s="81"/>
      <c r="O1949" s="85"/>
      <c r="P1949" s="85"/>
      <c r="Q1949" s="81"/>
    </row>
    <row r="1950" spans="3:17" x14ac:dyDescent="0.3">
      <c r="C1950" s="81"/>
      <c r="F1950" s="85"/>
      <c r="G1950" s="86"/>
      <c r="H1950" s="86"/>
      <c r="I1950" s="87"/>
      <c r="J1950" s="85"/>
      <c r="K1950" s="85"/>
      <c r="M1950" s="81"/>
      <c r="O1950" s="85"/>
      <c r="P1950" s="85"/>
      <c r="Q1950" s="81"/>
    </row>
    <row r="1951" spans="3:17" x14ac:dyDescent="0.3">
      <c r="C1951" s="81"/>
      <c r="F1951" s="85"/>
      <c r="G1951" s="86"/>
      <c r="H1951" s="86"/>
      <c r="I1951" s="87"/>
      <c r="J1951" s="85"/>
      <c r="K1951" s="85"/>
      <c r="M1951" s="81"/>
      <c r="O1951" s="85"/>
      <c r="P1951" s="85"/>
      <c r="Q1951" s="81"/>
    </row>
    <row r="1952" spans="3:17" x14ac:dyDescent="0.3">
      <c r="C1952" s="81"/>
      <c r="F1952" s="85"/>
      <c r="G1952" s="86"/>
      <c r="H1952" s="86"/>
      <c r="I1952" s="87"/>
      <c r="J1952" s="85"/>
      <c r="K1952" s="85"/>
      <c r="M1952" s="81"/>
      <c r="O1952" s="85"/>
      <c r="P1952" s="85"/>
      <c r="Q1952" s="81"/>
    </row>
    <row r="1953" spans="3:17" x14ac:dyDescent="0.3">
      <c r="C1953" s="81"/>
      <c r="F1953" s="85"/>
      <c r="G1953" s="86"/>
      <c r="H1953" s="86"/>
      <c r="I1953" s="87"/>
      <c r="J1953" s="85"/>
      <c r="K1953" s="85"/>
      <c r="M1953" s="81"/>
      <c r="O1953" s="85"/>
      <c r="P1953" s="85"/>
      <c r="Q1953" s="81"/>
    </row>
    <row r="1954" spans="3:17" x14ac:dyDescent="0.3">
      <c r="C1954" s="81"/>
      <c r="F1954" s="85"/>
      <c r="G1954" s="86"/>
      <c r="H1954" s="86"/>
      <c r="I1954" s="87"/>
      <c r="J1954" s="85"/>
      <c r="K1954" s="85"/>
      <c r="M1954" s="81"/>
      <c r="O1954" s="85"/>
      <c r="P1954" s="85"/>
      <c r="Q1954" s="81"/>
    </row>
    <row r="1955" spans="3:17" x14ac:dyDescent="0.3">
      <c r="C1955" s="81"/>
      <c r="F1955" s="85"/>
      <c r="G1955" s="86"/>
      <c r="H1955" s="86"/>
      <c r="I1955" s="87"/>
      <c r="J1955" s="85"/>
      <c r="K1955" s="85"/>
      <c r="M1955" s="81"/>
      <c r="O1955" s="85"/>
      <c r="P1955" s="85"/>
      <c r="Q1955" s="81"/>
    </row>
    <row r="1956" spans="3:17" x14ac:dyDescent="0.3">
      <c r="C1956" s="81"/>
      <c r="F1956" s="85"/>
      <c r="G1956" s="86"/>
      <c r="H1956" s="86"/>
      <c r="I1956" s="87"/>
      <c r="J1956" s="85"/>
      <c r="K1956" s="85"/>
      <c r="M1956" s="81"/>
      <c r="O1956" s="85"/>
      <c r="P1956" s="85"/>
      <c r="Q1956" s="81"/>
    </row>
    <row r="1957" spans="3:17" x14ac:dyDescent="0.3">
      <c r="C1957" s="81"/>
      <c r="F1957" s="85"/>
      <c r="G1957" s="86"/>
      <c r="H1957" s="86"/>
      <c r="I1957" s="87"/>
      <c r="J1957" s="85"/>
      <c r="K1957" s="85"/>
      <c r="M1957" s="81"/>
      <c r="O1957" s="85"/>
      <c r="P1957" s="85"/>
      <c r="Q1957" s="81"/>
    </row>
    <row r="1958" spans="3:17" x14ac:dyDescent="0.3">
      <c r="C1958" s="81"/>
      <c r="F1958" s="85"/>
      <c r="G1958" s="86"/>
      <c r="H1958" s="86"/>
      <c r="I1958" s="87"/>
      <c r="J1958" s="85"/>
      <c r="K1958" s="85"/>
      <c r="M1958" s="81"/>
      <c r="O1958" s="85"/>
      <c r="P1958" s="85"/>
      <c r="Q1958" s="81"/>
    </row>
    <row r="1959" spans="3:17" x14ac:dyDescent="0.3">
      <c r="C1959" s="81"/>
      <c r="F1959" s="85"/>
      <c r="G1959" s="86"/>
      <c r="H1959" s="86"/>
      <c r="I1959" s="87"/>
      <c r="J1959" s="85"/>
      <c r="K1959" s="85"/>
      <c r="M1959" s="81"/>
      <c r="O1959" s="85"/>
      <c r="P1959" s="85"/>
      <c r="Q1959" s="81"/>
    </row>
    <row r="1960" spans="3:17" x14ac:dyDescent="0.3">
      <c r="C1960" s="81"/>
      <c r="F1960" s="85"/>
      <c r="G1960" s="86"/>
      <c r="H1960" s="86"/>
      <c r="I1960" s="87"/>
      <c r="J1960" s="85"/>
      <c r="K1960" s="85"/>
      <c r="M1960" s="81"/>
      <c r="O1960" s="85"/>
      <c r="P1960" s="85"/>
      <c r="Q1960" s="81"/>
    </row>
    <row r="1961" spans="3:17" x14ac:dyDescent="0.3">
      <c r="C1961" s="81"/>
      <c r="F1961" s="85"/>
      <c r="G1961" s="86"/>
      <c r="H1961" s="86"/>
      <c r="I1961" s="87"/>
      <c r="J1961" s="85"/>
      <c r="K1961" s="85"/>
      <c r="M1961" s="81"/>
      <c r="O1961" s="85"/>
      <c r="P1961" s="85"/>
      <c r="Q1961" s="81"/>
    </row>
    <row r="1962" spans="3:17" x14ac:dyDescent="0.3">
      <c r="C1962" s="81"/>
      <c r="F1962" s="85"/>
      <c r="G1962" s="86"/>
      <c r="H1962" s="86"/>
      <c r="I1962" s="87"/>
      <c r="J1962" s="85"/>
      <c r="K1962" s="85"/>
      <c r="M1962" s="81"/>
      <c r="O1962" s="85"/>
      <c r="P1962" s="85"/>
      <c r="Q1962" s="81"/>
    </row>
    <row r="1963" spans="3:17" x14ac:dyDescent="0.3">
      <c r="C1963" s="81"/>
      <c r="F1963" s="85"/>
      <c r="G1963" s="86"/>
      <c r="H1963" s="86"/>
      <c r="I1963" s="87"/>
      <c r="J1963" s="85"/>
      <c r="K1963" s="85"/>
      <c r="M1963" s="81"/>
      <c r="O1963" s="85"/>
      <c r="P1963" s="85"/>
      <c r="Q1963" s="81"/>
    </row>
    <row r="1964" spans="3:17" x14ac:dyDescent="0.3">
      <c r="C1964" s="81"/>
      <c r="F1964" s="85"/>
      <c r="G1964" s="86"/>
      <c r="H1964" s="86"/>
      <c r="I1964" s="87"/>
      <c r="J1964" s="85"/>
      <c r="K1964" s="85"/>
      <c r="M1964" s="81"/>
      <c r="O1964" s="85"/>
      <c r="P1964" s="85"/>
      <c r="Q1964" s="81"/>
    </row>
    <row r="1965" spans="3:17" x14ac:dyDescent="0.3">
      <c r="C1965" s="81"/>
      <c r="F1965" s="85"/>
      <c r="G1965" s="86"/>
      <c r="H1965" s="86"/>
      <c r="I1965" s="87"/>
      <c r="J1965" s="85"/>
      <c r="K1965" s="85"/>
      <c r="M1965" s="81"/>
      <c r="O1965" s="85"/>
      <c r="P1965" s="85"/>
      <c r="Q1965" s="81"/>
    </row>
    <row r="1966" spans="3:17" x14ac:dyDescent="0.3">
      <c r="C1966" s="81"/>
      <c r="F1966" s="85"/>
      <c r="G1966" s="86"/>
      <c r="H1966" s="86"/>
      <c r="I1966" s="87"/>
      <c r="J1966" s="85"/>
      <c r="K1966" s="85"/>
      <c r="M1966" s="81"/>
      <c r="O1966" s="85"/>
      <c r="P1966" s="85"/>
      <c r="Q1966" s="81"/>
    </row>
    <row r="1967" spans="3:17" x14ac:dyDescent="0.3">
      <c r="C1967" s="81"/>
      <c r="F1967" s="85"/>
      <c r="G1967" s="86"/>
      <c r="H1967" s="86"/>
      <c r="I1967" s="87"/>
      <c r="J1967" s="85"/>
      <c r="K1967" s="85"/>
      <c r="M1967" s="81"/>
      <c r="O1967" s="85"/>
      <c r="P1967" s="85"/>
      <c r="Q1967" s="81"/>
    </row>
    <row r="1968" spans="3:17" x14ac:dyDescent="0.3">
      <c r="C1968" s="81"/>
      <c r="F1968" s="85"/>
      <c r="G1968" s="86"/>
      <c r="H1968" s="86"/>
      <c r="I1968" s="87"/>
      <c r="J1968" s="85"/>
      <c r="K1968" s="85"/>
      <c r="M1968" s="81"/>
      <c r="O1968" s="85"/>
      <c r="P1968" s="85"/>
      <c r="Q1968" s="81"/>
    </row>
    <row r="1969" spans="3:17" x14ac:dyDescent="0.3">
      <c r="C1969" s="81"/>
      <c r="F1969" s="85"/>
      <c r="G1969" s="86"/>
      <c r="H1969" s="86"/>
      <c r="I1969" s="87"/>
      <c r="J1969" s="85"/>
      <c r="K1969" s="85"/>
      <c r="M1969" s="81"/>
      <c r="O1969" s="85"/>
      <c r="P1969" s="85"/>
      <c r="Q1969" s="81"/>
    </row>
    <row r="1970" spans="3:17" x14ac:dyDescent="0.3">
      <c r="C1970" s="81"/>
      <c r="F1970" s="85"/>
      <c r="G1970" s="86"/>
      <c r="H1970" s="86"/>
      <c r="I1970" s="87"/>
      <c r="J1970" s="85"/>
      <c r="K1970" s="85"/>
      <c r="M1970" s="81"/>
      <c r="O1970" s="85"/>
      <c r="P1970" s="85"/>
      <c r="Q1970" s="81"/>
    </row>
    <row r="1971" spans="3:17" x14ac:dyDescent="0.3">
      <c r="C1971" s="81"/>
      <c r="F1971" s="85"/>
      <c r="G1971" s="86"/>
      <c r="H1971" s="86"/>
      <c r="I1971" s="87"/>
      <c r="J1971" s="85"/>
      <c r="K1971" s="85"/>
      <c r="M1971" s="81"/>
      <c r="O1971" s="85"/>
      <c r="P1971" s="85"/>
      <c r="Q1971" s="81"/>
    </row>
    <row r="1972" spans="3:17" x14ac:dyDescent="0.3">
      <c r="C1972" s="81"/>
      <c r="F1972" s="85"/>
      <c r="G1972" s="86"/>
      <c r="H1972" s="86"/>
      <c r="I1972" s="87"/>
      <c r="J1972" s="85"/>
      <c r="K1972" s="85"/>
      <c r="M1972" s="81"/>
      <c r="O1972" s="85"/>
      <c r="P1972" s="85"/>
      <c r="Q1972" s="81"/>
    </row>
    <row r="1973" spans="3:17" x14ac:dyDescent="0.3">
      <c r="C1973" s="81"/>
      <c r="F1973" s="85"/>
      <c r="G1973" s="86"/>
      <c r="H1973" s="86"/>
      <c r="I1973" s="87"/>
      <c r="J1973" s="85"/>
      <c r="K1973" s="85"/>
      <c r="M1973" s="81"/>
      <c r="O1973" s="85"/>
      <c r="P1973" s="85"/>
      <c r="Q1973" s="81"/>
    </row>
    <row r="1974" spans="3:17" x14ac:dyDescent="0.3">
      <c r="C1974" s="81"/>
      <c r="F1974" s="85"/>
      <c r="G1974" s="86"/>
      <c r="H1974" s="86"/>
      <c r="I1974" s="87"/>
      <c r="J1974" s="85"/>
      <c r="K1974" s="85"/>
      <c r="M1974" s="81"/>
      <c r="O1974" s="85"/>
      <c r="P1974" s="85"/>
      <c r="Q1974" s="81"/>
    </row>
    <row r="1975" spans="3:17" x14ac:dyDescent="0.3">
      <c r="C1975" s="81"/>
      <c r="F1975" s="85"/>
      <c r="G1975" s="86"/>
      <c r="H1975" s="86"/>
      <c r="I1975" s="87"/>
      <c r="J1975" s="85"/>
      <c r="K1975" s="85"/>
      <c r="M1975" s="81"/>
      <c r="O1975" s="85"/>
      <c r="P1975" s="85"/>
      <c r="Q1975" s="81"/>
    </row>
    <row r="1976" spans="3:17" x14ac:dyDescent="0.3">
      <c r="C1976" s="81"/>
      <c r="F1976" s="85"/>
      <c r="G1976" s="86"/>
      <c r="H1976" s="86"/>
      <c r="I1976" s="87"/>
      <c r="J1976" s="85"/>
      <c r="K1976" s="85"/>
      <c r="M1976" s="81"/>
      <c r="O1976" s="85"/>
      <c r="P1976" s="85"/>
      <c r="Q1976" s="81"/>
    </row>
    <row r="1977" spans="3:17" x14ac:dyDescent="0.3">
      <c r="C1977" s="81"/>
      <c r="F1977" s="85"/>
      <c r="G1977" s="86"/>
      <c r="H1977" s="86"/>
      <c r="I1977" s="87"/>
      <c r="J1977" s="85"/>
      <c r="K1977" s="85"/>
      <c r="M1977" s="81"/>
      <c r="O1977" s="85"/>
      <c r="P1977" s="85"/>
      <c r="Q1977" s="81"/>
    </row>
    <row r="1978" spans="3:17" x14ac:dyDescent="0.3">
      <c r="C1978" s="81"/>
      <c r="F1978" s="85"/>
      <c r="G1978" s="86"/>
      <c r="H1978" s="86"/>
      <c r="I1978" s="87"/>
      <c r="J1978" s="85"/>
      <c r="K1978" s="85"/>
      <c r="M1978" s="81"/>
      <c r="O1978" s="85"/>
      <c r="P1978" s="85"/>
      <c r="Q1978" s="81"/>
    </row>
    <row r="1979" spans="3:17" x14ac:dyDescent="0.3">
      <c r="C1979" s="81"/>
      <c r="F1979" s="85"/>
      <c r="G1979" s="86"/>
      <c r="H1979" s="86"/>
      <c r="I1979" s="87"/>
      <c r="J1979" s="85"/>
      <c r="K1979" s="85"/>
      <c r="M1979" s="81"/>
      <c r="O1979" s="85"/>
      <c r="P1979" s="85"/>
      <c r="Q1979" s="81"/>
    </row>
    <row r="1980" spans="3:17" x14ac:dyDescent="0.3">
      <c r="C1980" s="81"/>
      <c r="F1980" s="85"/>
      <c r="G1980" s="86"/>
      <c r="H1980" s="86"/>
      <c r="I1980" s="87"/>
      <c r="J1980" s="85"/>
      <c r="K1980" s="85"/>
      <c r="M1980" s="81"/>
      <c r="O1980" s="85"/>
      <c r="P1980" s="85"/>
      <c r="Q1980" s="81"/>
    </row>
    <row r="1981" spans="3:17" x14ac:dyDescent="0.3">
      <c r="C1981" s="81"/>
      <c r="F1981" s="85"/>
      <c r="G1981" s="86"/>
      <c r="H1981" s="86"/>
      <c r="I1981" s="87"/>
      <c r="J1981" s="85"/>
      <c r="K1981" s="85"/>
      <c r="M1981" s="81"/>
      <c r="O1981" s="85"/>
      <c r="P1981" s="85"/>
      <c r="Q1981" s="81"/>
    </row>
    <row r="1982" spans="3:17" x14ac:dyDescent="0.3">
      <c r="C1982" s="81"/>
      <c r="F1982" s="85"/>
      <c r="G1982" s="86"/>
      <c r="H1982" s="86"/>
      <c r="I1982" s="87"/>
      <c r="J1982" s="85"/>
      <c r="K1982" s="85"/>
      <c r="M1982" s="81"/>
      <c r="O1982" s="85"/>
      <c r="P1982" s="85"/>
      <c r="Q1982" s="81"/>
    </row>
    <row r="1983" spans="3:17" x14ac:dyDescent="0.3">
      <c r="C1983" s="81"/>
      <c r="F1983" s="85"/>
      <c r="G1983" s="86"/>
      <c r="H1983" s="86"/>
      <c r="I1983" s="87"/>
      <c r="J1983" s="85"/>
      <c r="K1983" s="85"/>
      <c r="M1983" s="81"/>
      <c r="O1983" s="85"/>
      <c r="P1983" s="85"/>
      <c r="Q1983" s="81"/>
    </row>
    <row r="1984" spans="3:17" x14ac:dyDescent="0.3">
      <c r="C1984" s="81"/>
      <c r="F1984" s="85"/>
      <c r="G1984" s="86"/>
      <c r="H1984" s="86"/>
      <c r="I1984" s="87"/>
      <c r="J1984" s="85"/>
      <c r="K1984" s="85"/>
      <c r="M1984" s="81"/>
      <c r="O1984" s="85"/>
      <c r="P1984" s="85"/>
      <c r="Q1984" s="81"/>
    </row>
    <row r="1985" spans="3:17" x14ac:dyDescent="0.3">
      <c r="C1985" s="81"/>
      <c r="F1985" s="85"/>
      <c r="G1985" s="86"/>
      <c r="H1985" s="86"/>
      <c r="I1985" s="87"/>
      <c r="J1985" s="85"/>
      <c r="K1985" s="85"/>
      <c r="M1985" s="81"/>
      <c r="O1985" s="85"/>
      <c r="P1985" s="85"/>
      <c r="Q1985" s="81"/>
    </row>
    <row r="1986" spans="3:17" x14ac:dyDescent="0.3">
      <c r="C1986" s="81"/>
      <c r="F1986" s="85"/>
      <c r="G1986" s="86"/>
      <c r="H1986" s="86"/>
      <c r="I1986" s="87"/>
      <c r="J1986" s="85"/>
      <c r="K1986" s="85"/>
      <c r="M1986" s="81"/>
      <c r="O1986" s="85"/>
      <c r="P1986" s="85"/>
      <c r="Q1986" s="81"/>
    </row>
    <row r="1987" spans="3:17" x14ac:dyDescent="0.3">
      <c r="C1987" s="81"/>
      <c r="F1987" s="85"/>
      <c r="G1987" s="86"/>
      <c r="H1987" s="86"/>
      <c r="I1987" s="87"/>
      <c r="J1987" s="85"/>
      <c r="K1987" s="85"/>
      <c r="M1987" s="81"/>
      <c r="O1987" s="85"/>
      <c r="P1987" s="85"/>
      <c r="Q1987" s="81"/>
    </row>
    <row r="1988" spans="3:17" x14ac:dyDescent="0.3">
      <c r="C1988" s="81"/>
      <c r="F1988" s="85"/>
      <c r="G1988" s="86"/>
      <c r="H1988" s="86"/>
      <c r="I1988" s="87"/>
      <c r="J1988" s="85"/>
      <c r="K1988" s="85"/>
      <c r="M1988" s="81"/>
      <c r="O1988" s="85"/>
      <c r="P1988" s="85"/>
      <c r="Q1988" s="81"/>
    </row>
    <row r="1989" spans="3:17" x14ac:dyDescent="0.3">
      <c r="C1989" s="81"/>
      <c r="F1989" s="85"/>
      <c r="G1989" s="86"/>
      <c r="H1989" s="86"/>
      <c r="I1989" s="87"/>
      <c r="J1989" s="85"/>
      <c r="K1989" s="85"/>
      <c r="M1989" s="81"/>
      <c r="O1989" s="85"/>
      <c r="P1989" s="85"/>
      <c r="Q1989" s="81"/>
    </row>
    <row r="1990" spans="3:17" x14ac:dyDescent="0.3">
      <c r="C1990" s="81"/>
      <c r="F1990" s="85"/>
      <c r="G1990" s="86"/>
      <c r="H1990" s="86"/>
      <c r="I1990" s="87"/>
      <c r="J1990" s="85"/>
      <c r="K1990" s="85"/>
      <c r="M1990" s="81"/>
      <c r="O1990" s="85"/>
      <c r="P1990" s="85"/>
      <c r="Q1990" s="81"/>
    </row>
    <row r="1991" spans="3:17" x14ac:dyDescent="0.3">
      <c r="C1991" s="81"/>
      <c r="F1991" s="85"/>
      <c r="G1991" s="86"/>
      <c r="H1991" s="86"/>
      <c r="I1991" s="87"/>
      <c r="J1991" s="85"/>
      <c r="K1991" s="85"/>
      <c r="M1991" s="81"/>
      <c r="O1991" s="85"/>
      <c r="P1991" s="85"/>
      <c r="Q1991" s="81"/>
    </row>
    <row r="1992" spans="3:17" x14ac:dyDescent="0.3">
      <c r="C1992" s="81"/>
      <c r="F1992" s="85"/>
      <c r="G1992" s="86"/>
      <c r="H1992" s="86"/>
      <c r="I1992" s="87"/>
      <c r="J1992" s="85"/>
      <c r="K1992" s="85"/>
      <c r="M1992" s="81"/>
      <c r="O1992" s="85"/>
      <c r="P1992" s="85"/>
      <c r="Q1992" s="81"/>
    </row>
    <row r="1993" spans="3:17" x14ac:dyDescent="0.3">
      <c r="C1993" s="81"/>
      <c r="F1993" s="85"/>
      <c r="G1993" s="86"/>
      <c r="H1993" s="86"/>
      <c r="I1993" s="87"/>
      <c r="J1993" s="85"/>
      <c r="K1993" s="85"/>
      <c r="M1993" s="81"/>
      <c r="O1993" s="85"/>
      <c r="P1993" s="85"/>
      <c r="Q1993" s="81"/>
    </row>
    <row r="1994" spans="3:17" x14ac:dyDescent="0.3">
      <c r="C1994" s="81"/>
      <c r="F1994" s="85"/>
      <c r="G1994" s="86"/>
      <c r="H1994" s="86"/>
      <c r="I1994" s="87"/>
      <c r="J1994" s="85"/>
      <c r="K1994" s="85"/>
      <c r="M1994" s="81"/>
      <c r="O1994" s="85"/>
      <c r="P1994" s="85"/>
      <c r="Q1994" s="81"/>
    </row>
    <row r="1995" spans="3:17" x14ac:dyDescent="0.3">
      <c r="C1995" s="81"/>
      <c r="F1995" s="85"/>
      <c r="G1995" s="86"/>
      <c r="H1995" s="86"/>
      <c r="I1995" s="87"/>
      <c r="J1995" s="85"/>
      <c r="K1995" s="85"/>
      <c r="M1995" s="81"/>
      <c r="O1995" s="85"/>
      <c r="P1995" s="85"/>
      <c r="Q1995" s="81"/>
    </row>
    <row r="1996" spans="3:17" x14ac:dyDescent="0.3">
      <c r="C1996" s="81"/>
      <c r="F1996" s="85"/>
      <c r="G1996" s="86"/>
      <c r="H1996" s="86"/>
      <c r="I1996" s="87"/>
      <c r="J1996" s="85"/>
      <c r="K1996" s="85"/>
      <c r="M1996" s="81"/>
      <c r="O1996" s="85"/>
      <c r="P1996" s="85"/>
      <c r="Q1996" s="81"/>
    </row>
    <row r="1997" spans="3:17" x14ac:dyDescent="0.3">
      <c r="C1997" s="81"/>
      <c r="F1997" s="85"/>
      <c r="G1997" s="86"/>
      <c r="H1997" s="86"/>
      <c r="I1997" s="87"/>
      <c r="J1997" s="85"/>
      <c r="K1997" s="85"/>
      <c r="M1997" s="81"/>
      <c r="O1997" s="85"/>
      <c r="P1997" s="85"/>
      <c r="Q1997" s="81"/>
    </row>
    <row r="1998" spans="3:17" x14ac:dyDescent="0.3">
      <c r="C1998" s="81"/>
      <c r="F1998" s="85"/>
      <c r="G1998" s="86"/>
      <c r="H1998" s="86"/>
      <c r="I1998" s="87"/>
      <c r="J1998" s="85"/>
      <c r="K1998" s="85"/>
      <c r="M1998" s="81"/>
      <c r="O1998" s="85"/>
      <c r="P1998" s="85"/>
      <c r="Q1998" s="81"/>
    </row>
    <row r="1999" spans="3:17" x14ac:dyDescent="0.3">
      <c r="C1999" s="81"/>
      <c r="F1999" s="85"/>
      <c r="G1999" s="86"/>
      <c r="H1999" s="86"/>
      <c r="I1999" s="87"/>
      <c r="J1999" s="85"/>
      <c r="K1999" s="85"/>
      <c r="M1999" s="81"/>
      <c r="O1999" s="85"/>
      <c r="P1999" s="85"/>
      <c r="Q1999" s="81"/>
    </row>
    <row r="2000" spans="3:17" x14ac:dyDescent="0.3">
      <c r="C2000" s="81"/>
      <c r="F2000" s="85"/>
      <c r="G2000" s="86"/>
      <c r="H2000" s="86"/>
      <c r="I2000" s="87"/>
      <c r="J2000" s="85"/>
      <c r="K2000" s="85"/>
      <c r="M2000" s="81"/>
      <c r="O2000" s="85"/>
      <c r="P2000" s="85"/>
      <c r="Q2000" s="81"/>
    </row>
  </sheetData>
  <sheetProtection algorithmName="SHA-512" hashValue="3IfhZ9bD97qnvuXUhhGDeKqdN8Hhh93LO2K3XsDNToaYrxnSpZzDMNyjJ7YT6CU4oYe00EL5lTwl93UQPB6/gQ==" saltValue="VWWAqakAV/KV2NojQ/PYyA==" spinCount="100000" sheet="1" scenarios="1"/>
  <phoneticPr fontId="42" type="noConversion"/>
  <conditionalFormatting sqref="L2:L2000">
    <cfRule type="expression" dxfId="47" priority="1" stopIfTrue="1">
      <formula>mEQA.PadronizarStatus($L2)="NAO ACEITO"</formula>
    </cfRule>
    <cfRule type="expression" dxfId="46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{9B2104E6-717A-4A91-B5B3-FB34CDF972B4}</x14:id>
        </ext>
      </extLst>
    </cfRule>
  </conditionalFormatting>
  <conditionalFormatting sqref="Z3">
    <cfRule type="expression" dxfId="45" priority="4" stopIfTrue="1">
      <formula>LEFT($Z$3,4)="BASE"</formula>
    </cfRule>
    <cfRule type="expression" dxfId="44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2104E6-717A-4A91-B5B3-FB34CDF972B4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59EE-5930-4E32-A00C-F06523F02658}">
  <sheetPr codeName="Planilha23">
    <tabColor rgb="FF1F6F5C"/>
  </sheetPr>
  <dimension ref="A1:O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5" ht="19.8" x14ac:dyDescent="0.4">
      <c r="A1" s="90" t="s">
        <v>954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5" x14ac:dyDescent="0.3">
      <c r="A2" s="79" t="s">
        <v>955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</row>
    <row r="4" spans="1:15" ht="30" customHeight="1" x14ac:dyDescent="0.3">
      <c r="A4" s="91" t="s">
        <v>290</v>
      </c>
      <c r="B4" s="91" t="s">
        <v>289</v>
      </c>
      <c r="C4" s="91" t="s">
        <v>940</v>
      </c>
      <c r="D4" s="91" t="s">
        <v>941</v>
      </c>
      <c r="E4" s="91" t="s">
        <v>956</v>
      </c>
      <c r="F4" s="91" t="s">
        <v>957</v>
      </c>
      <c r="G4" s="91" t="s">
        <v>958</v>
      </c>
    </row>
    <row r="5" spans="1:15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93" t="str">
        <f t="shared" ref="G5:G12" si="0">IF(OR($A5="",$D5=0),"",$E5/$D5*100)</f>
        <v/>
      </c>
    </row>
    <row r="6" spans="1:15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93" t="str">
        <f t="shared" si="0"/>
        <v/>
      </c>
    </row>
    <row r="7" spans="1:15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93" t="str">
        <f t="shared" si="0"/>
        <v/>
      </c>
    </row>
    <row r="8" spans="1:15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93" t="str">
        <f t="shared" si="0"/>
        <v/>
      </c>
    </row>
    <row r="9" spans="1:15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93" t="str">
        <f t="shared" si="0"/>
        <v/>
      </c>
    </row>
    <row r="10" spans="1:15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93" t="str">
        <f t="shared" si="0"/>
        <v/>
      </c>
    </row>
    <row r="11" spans="1:15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93" t="str">
        <f t="shared" si="0"/>
        <v/>
      </c>
    </row>
    <row r="12" spans="1:15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93" t="str">
        <f t="shared" si="0"/>
        <v/>
      </c>
    </row>
    <row r="13" spans="1:15" x14ac:dyDescent="0.3">
      <c r="A13" s="92" t="s">
        <v>943</v>
      </c>
      <c r="B13" s="92"/>
      <c r="C13" s="92">
        <f>SUM(EQA.Controllab_Dados!$V$2:$V$5000)</f>
        <v>0</v>
      </c>
      <c r="D13" s="92">
        <f>COUNTA(EQA.Controllab_Dados!$B$2:$B$5000)</f>
        <v>0</v>
      </c>
      <c r="E13" s="92">
        <f>COUNTIF(EQA.Controllab_Dados!$W$2:$W$5000,"ACEITO")</f>
        <v>0</v>
      </c>
      <c r="F13" s="92">
        <f>COUNTIF(EQA.Controllab_Dados!$W$2:$W$5000,"NAO ACEITO")</f>
        <v>0</v>
      </c>
      <c r="G13" s="94" t="str">
        <f>IF($D13=0,"",$E13/$D13*100)</f>
        <v/>
      </c>
    </row>
    <row r="15" spans="1:15" ht="30" customHeight="1" x14ac:dyDescent="0.3">
      <c r="I15" s="91" t="s">
        <v>944</v>
      </c>
      <c r="J15" s="91" t="s">
        <v>945</v>
      </c>
    </row>
    <row r="16" spans="1:15" x14ac:dyDescent="0.3">
      <c r="I16" t="s">
        <v>946</v>
      </c>
      <c r="J16">
        <f>COUNT(EQA.Controllab_Dados!$T$2:$T$5000)</f>
        <v>0</v>
      </c>
    </row>
    <row r="17" spans="1:10" x14ac:dyDescent="0.3">
      <c r="I17" t="s">
        <v>947</v>
      </c>
      <c r="J17">
        <f>COUNT(EQA.Controllab_Dados!$U$2:$U$5000)</f>
        <v>0</v>
      </c>
    </row>
    <row r="18" spans="1:10" x14ac:dyDescent="0.3">
      <c r="I18" t="s">
        <v>941</v>
      </c>
      <c r="J18">
        <f>COUNTA(EQA.Controllab_Dados!$B$2:$B$5000)</f>
        <v>0</v>
      </c>
    </row>
    <row r="19" spans="1:10" x14ac:dyDescent="0.3">
      <c r="I19" t="s">
        <v>957</v>
      </c>
      <c r="J19">
        <f>COUNTIF(EQA.Controllab_Dados!$W$2:$W$5000,"NAO ACEITO")</f>
        <v>0</v>
      </c>
    </row>
    <row r="20" spans="1:10" x14ac:dyDescent="0.3">
      <c r="I20" t="s">
        <v>959</v>
      </c>
      <c r="J20">
        <f>SUM(EQA.Controllab_Dados!$X$2:$X$5000)</f>
        <v>0</v>
      </c>
    </row>
    <row r="21" spans="1:10" x14ac:dyDescent="0.3">
      <c r="I21" t="s">
        <v>949</v>
      </c>
      <c r="J21">
        <f>COUNTIF(EQA.Controllab_Dados!$W$2:$W$5000,"NAO AVALIADO")</f>
        <v>0</v>
      </c>
    </row>
    <row r="22" spans="1:10" x14ac:dyDescent="0.3">
      <c r="I22" t="s">
        <v>950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951</v>
      </c>
      <c r="J23">
        <f>SUMPRODUCT((EQA_Base!$A$2:$A$5001="Controllab")*(EQA_Base!$T$2:$T$5001="NAO"))</f>
        <v>0</v>
      </c>
    </row>
    <row r="26" spans="1:10" ht="15.6" x14ac:dyDescent="0.3">
      <c r="A26" s="77" t="s">
        <v>960</v>
      </c>
    </row>
    <row r="27" spans="1:10" ht="30" customHeight="1" x14ac:dyDescent="0.3">
      <c r="A27" s="91" t="s">
        <v>88</v>
      </c>
      <c r="B27" s="91" t="str">
        <f>IF($A5="","",$A5)</f>
        <v/>
      </c>
      <c r="C27" s="91" t="str">
        <f>IF($A6="","",$A6)</f>
        <v/>
      </c>
      <c r="D27" s="91" t="str">
        <f>IF($A7="","",$A7)</f>
        <v/>
      </c>
      <c r="E27" s="91" t="str">
        <f>IF($A8="","",$A8)</f>
        <v/>
      </c>
      <c r="F27" s="91" t="str">
        <f>IF($A9="","",$A9)</f>
        <v/>
      </c>
      <c r="G27" s="91" t="str">
        <f>IF($A10="","",$A10)</f>
        <v/>
      </c>
      <c r="H27" s="91" t="str">
        <f>IF($A11="","",$A11)</f>
        <v/>
      </c>
      <c r="I27" s="91" t="str">
        <f>IF($A12="","",$A12)</f>
        <v/>
      </c>
      <c r="J27" s="91" t="s">
        <v>953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sheetProtection algorithmName="SHA-512" hashValue="7Yzq8cEwQQ5ZWVZnVgb452cbzOog9JH1LAtSSaI0tyQUPF7rotvQZrVTZRsdqUuMug50zYjkTFoOnogCOzYzrA==" saltValue="fnZPLyECR3Z8rj+OWUixeQ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4650-1F79-4131-93BF-3AA2EDC90D1C}">
  <sheetPr codeName="Planilha26">
    <tabColor rgb="FF1F6F5C"/>
  </sheetPr>
  <dimension ref="A1:N13"/>
  <sheetViews>
    <sheetView workbookViewId="0"/>
  </sheetViews>
  <sheetFormatPr defaultRowHeight="14.4" x14ac:dyDescent="0.3"/>
  <cols>
    <col min="1" max="1" width="13" customWidth="1"/>
    <col min="2" max="2" width="13.33203125" customWidth="1"/>
    <col min="3" max="3" width="24.6640625" customWidth="1"/>
    <col min="4" max="4" width="30.6640625" customWidth="1"/>
    <col min="5" max="5" width="13.33203125" customWidth="1"/>
    <col min="6" max="6" width="15" customWidth="1"/>
    <col min="7" max="7" width="46.6640625" customWidth="1"/>
    <col min="8" max="8" width="34.6640625" customWidth="1"/>
    <col min="10" max="14" width="9.77734375" customWidth="1"/>
  </cols>
  <sheetData>
    <row r="1" spans="1:14" ht="17.399999999999999" x14ac:dyDescent="0.35">
      <c r="A1" s="164" t="s">
        <v>4744</v>
      </c>
      <c r="B1">
        <f>IF(COUNT(Painel!$I$7:$I$9)=0,"SEM DADOS",MIN(Painel!$I$7:$I$9))</f>
        <v>3.0433970746920931</v>
      </c>
      <c r="C1" s="79" t="s">
        <v>4745</v>
      </c>
      <c r="D1" t="str">
        <f>IF($B$2&lt;1,"",INDEX($D$4:$D$8,$B$2))</f>
        <v>1_3s / 2of3_2s / R_4s / 3_1s / 6x</v>
      </c>
    </row>
    <row r="2" spans="1:14" x14ac:dyDescent="0.3">
      <c r="A2" s="96" t="s">
        <v>4746</v>
      </c>
      <c r="B2">
        <f>IF(NOT(ISNUMBER($B$1)),0,SUMPRODUCT(($A$4:$A$8&lt;=$B$1)*($B$4:$B$8&gt;$B$1)*ROW($A$4:$A$8))-3)</f>
        <v>4</v>
      </c>
      <c r="C2" s="79" t="s">
        <v>4747</v>
      </c>
      <c r="J2" s="79" t="s">
        <v>4748</v>
      </c>
    </row>
    <row r="3" spans="1:14" ht="32.1" customHeight="1" x14ac:dyDescent="0.3">
      <c r="A3" s="91" t="s">
        <v>975</v>
      </c>
      <c r="B3" s="91" t="s">
        <v>976</v>
      </c>
      <c r="C3" s="91" t="s">
        <v>977</v>
      </c>
      <c r="D3" s="91" t="s">
        <v>978</v>
      </c>
      <c r="E3" s="91" t="s">
        <v>979</v>
      </c>
      <c r="F3" s="91" t="s">
        <v>980</v>
      </c>
      <c r="G3" s="91" t="s">
        <v>981</v>
      </c>
      <c r="H3" s="91" t="s">
        <v>982</v>
      </c>
      <c r="I3" s="91" t="s">
        <v>4750</v>
      </c>
      <c r="J3" s="91" t="s">
        <v>265</v>
      </c>
      <c r="K3" s="91" t="s">
        <v>266</v>
      </c>
      <c r="L3" s="91" t="s">
        <v>267</v>
      </c>
      <c r="M3" s="91" t="s">
        <v>268</v>
      </c>
      <c r="N3" s="91" t="s">
        <v>269</v>
      </c>
    </row>
    <row r="4" spans="1:14" x14ac:dyDescent="0.3">
      <c r="A4">
        <v>6</v>
      </c>
      <c r="B4">
        <v>999</v>
      </c>
      <c r="C4" t="s">
        <v>983</v>
      </c>
      <c r="D4" t="s">
        <v>984</v>
      </c>
      <c r="E4">
        <v>3</v>
      </c>
      <c r="F4">
        <v>1</v>
      </c>
      <c r="G4" t="s">
        <v>985</v>
      </c>
      <c r="H4" t="s">
        <v>986</v>
      </c>
      <c r="J4">
        <f>IF(ISNUMBER(SEARCH("1_3s",IF($D4="",$D$1,$D4))),1,0)</f>
        <v>1</v>
      </c>
      <c r="K4">
        <f>IF(ISNUMBER(SEARCH("3_1s",IF($D4="",$D$1,$D4))),1,0)</f>
        <v>0</v>
      </c>
      <c r="L4">
        <f>IF(ISNUMBER(SEARCH("6x",IF($D4="",$D$1,$D4))),1,0)</f>
        <v>0</v>
      </c>
      <c r="M4">
        <f>IF(ISNUMBER(SEARCH("2of3_2s",IF($D4="",$D$1,$D4))),1,0)</f>
        <v>0</v>
      </c>
      <c r="N4">
        <f>IF(ISNUMBER(SEARCH("R_4s",IF($D4="",$D$1,$D4))),1,0)</f>
        <v>0</v>
      </c>
    </row>
    <row r="5" spans="1:14" x14ac:dyDescent="0.3">
      <c r="A5">
        <v>5</v>
      </c>
      <c r="B5">
        <v>6</v>
      </c>
      <c r="C5" t="s">
        <v>987</v>
      </c>
      <c r="D5" t="s">
        <v>988</v>
      </c>
      <c r="E5">
        <v>3</v>
      </c>
      <c r="F5">
        <v>1</v>
      </c>
      <c r="G5" t="s">
        <v>985</v>
      </c>
      <c r="H5" t="s">
        <v>986</v>
      </c>
      <c r="J5">
        <f>IF(ISNUMBER(SEARCH("1_3s",IF($D5="",$D$1,$D5))),1,0)</f>
        <v>1</v>
      </c>
      <c r="K5">
        <f>IF(ISNUMBER(SEARCH("3_1s",IF($D5="",$D$1,$D5))),1,0)</f>
        <v>0</v>
      </c>
      <c r="L5">
        <f>IF(ISNUMBER(SEARCH("6x",IF($D5="",$D$1,$D5))),1,0)</f>
        <v>0</v>
      </c>
      <c r="M5">
        <f>IF(ISNUMBER(SEARCH("2of3_2s",IF($D5="",$D$1,$D5))),1,0)</f>
        <v>1</v>
      </c>
      <c r="N5">
        <f>IF(ISNUMBER(SEARCH("R_4s",IF($D5="",$D$1,$D5))),1,0)</f>
        <v>1</v>
      </c>
    </row>
    <row r="6" spans="1:14" x14ac:dyDescent="0.3">
      <c r="A6">
        <v>4</v>
      </c>
      <c r="B6">
        <v>5</v>
      </c>
      <c r="C6" t="s">
        <v>989</v>
      </c>
      <c r="D6" t="s">
        <v>990</v>
      </c>
      <c r="E6">
        <v>3</v>
      </c>
      <c r="F6">
        <v>1</v>
      </c>
      <c r="G6" t="s">
        <v>985</v>
      </c>
      <c r="H6" t="s">
        <v>986</v>
      </c>
      <c r="J6">
        <f>IF(ISNUMBER(SEARCH("1_3s",IF($D6="",$D$1,$D6))),1,0)</f>
        <v>1</v>
      </c>
      <c r="K6">
        <f>IF(ISNUMBER(SEARCH("3_1s",IF($D6="",$D$1,$D6))),1,0)</f>
        <v>1</v>
      </c>
      <c r="L6">
        <f>IF(ISNUMBER(SEARCH("6x",IF($D6="",$D$1,$D6))),1,0)</f>
        <v>0</v>
      </c>
      <c r="M6">
        <f>IF(ISNUMBER(SEARCH("2of3_2s",IF($D6="",$D$1,$D6))),1,0)</f>
        <v>1</v>
      </c>
      <c r="N6">
        <f>IF(ISNUMBER(SEARCH("R_4s",IF($D6="",$D$1,$D6))),1,0)</f>
        <v>1</v>
      </c>
    </row>
    <row r="7" spans="1:14" x14ac:dyDescent="0.3">
      <c r="A7">
        <v>3</v>
      </c>
      <c r="B7">
        <v>4</v>
      </c>
      <c r="C7" t="s">
        <v>1032</v>
      </c>
      <c r="D7" t="s">
        <v>992</v>
      </c>
      <c r="E7">
        <v>6</v>
      </c>
      <c r="F7">
        <v>1</v>
      </c>
      <c r="G7" t="s">
        <v>993</v>
      </c>
      <c r="H7" t="s">
        <v>1033</v>
      </c>
      <c r="J7">
        <f>IF(ISNUMBER(SEARCH("1_3s",IF($D7="",$D$1,$D7))),1,0)</f>
        <v>1</v>
      </c>
      <c r="K7">
        <f>IF(ISNUMBER(SEARCH("3_1s",IF($D7="",$D$1,$D7))),1,0)</f>
        <v>1</v>
      </c>
      <c r="L7">
        <f>IF(ISNUMBER(SEARCH("6x",IF($D7="",$D$1,$D7))),1,0)</f>
        <v>1</v>
      </c>
      <c r="M7">
        <f>IF(ISNUMBER(SEARCH("2of3_2s",IF($D7="",$D$1,$D7))),1,0)</f>
        <v>1</v>
      </c>
      <c r="N7">
        <f>IF(ISNUMBER(SEARCH("R_4s",IF($D7="",$D$1,$D7))),1,0)</f>
        <v>1</v>
      </c>
    </row>
    <row r="8" spans="1:14" x14ac:dyDescent="0.3">
      <c r="A8">
        <v>-999</v>
      </c>
      <c r="B8">
        <v>3</v>
      </c>
      <c r="C8" t="s">
        <v>991</v>
      </c>
      <c r="D8" t="s">
        <v>992</v>
      </c>
      <c r="G8" t="s">
        <v>1034</v>
      </c>
      <c r="H8" t="s">
        <v>994</v>
      </c>
      <c r="J8">
        <f>IF(ISNUMBER(SEARCH("1_3s",IF($D8="",$D$1,$D8))),1,0)</f>
        <v>1</v>
      </c>
      <c r="K8">
        <f>IF(ISNUMBER(SEARCH("3_1s",IF($D8="",$D$1,$D8))),1,0)</f>
        <v>1</v>
      </c>
      <c r="L8">
        <f>IF(ISNUMBER(SEARCH("6x",IF($D8="",$D$1,$D8))),1,0)</f>
        <v>1</v>
      </c>
      <c r="M8">
        <f>IF(ISNUMBER(SEARCH("2of3_2s",IF($D8="",$D$1,$D8))),1,0)</f>
        <v>1</v>
      </c>
      <c r="N8">
        <f>IF(ISNUMBER(SEARCH("R_4s",IF($D8="",$D$1,$D8))),1,0)</f>
        <v>1</v>
      </c>
    </row>
    <row r="9" spans="1:14" x14ac:dyDescent="0.3">
      <c r="J9" s="79" t="s">
        <v>4749</v>
      </c>
      <c r="K9">
        <f>IF(ISNUMBER(SEARCH("3_1s",IF($D9="",$D$1,$D9))),1,0)</f>
        <v>1</v>
      </c>
      <c r="L9">
        <f>IF(ISNUMBER(SEARCH("6x",IF($D9="",$D$1,$D9))),1,0)</f>
        <v>1</v>
      </c>
      <c r="M9">
        <f>IF(ISNUMBER(SEARCH("2of3_2s",IF($D9="",$D$1,$D9))),1,0)</f>
        <v>1</v>
      </c>
      <c r="N9">
        <f>IF(ISNUMBER(SEARCH("R_4s",IF($D9="",$D$1,$D9))),1,0)</f>
        <v>1</v>
      </c>
    </row>
    <row r="10" spans="1:14" x14ac:dyDescent="0.3">
      <c r="A10" s="96" t="s">
        <v>995</v>
      </c>
      <c r="J10" s="239">
        <f>IF(OR(NOT(ISNUMBER($B$1)),$B$2&lt;1),0,INDEX(J$4:J$8,$B$2))</f>
        <v>1</v>
      </c>
      <c r="K10" s="239">
        <f>IF(OR(NOT(ISNUMBER($B$1)),$B$2&lt;1),0,INDEX(K$4:K$8,$B$2))</f>
        <v>1</v>
      </c>
      <c r="L10" s="239">
        <f>IF(OR(NOT(ISNUMBER($B$1)),$B$2&lt;1),0,INDEX(L$4:L$8,$B$2))</f>
        <v>1</v>
      </c>
      <c r="M10" s="239">
        <f>IF(OR(NOT(ISNUMBER($B$1)),$B$2&lt;1),0,INDEX(M$4:M$8,$B$2))</f>
        <v>1</v>
      </c>
      <c r="N10" s="239">
        <f>IF(OR(NOT(ISNUMBER($B$1)),$B$2&lt;1),0,INDEX(N$4:N$8,$B$2))</f>
        <v>1</v>
      </c>
    </row>
    <row r="11" spans="1:14" x14ac:dyDescent="0.3">
      <c r="A11" s="96" t="s">
        <v>996</v>
      </c>
    </row>
    <row r="12" spans="1:14" x14ac:dyDescent="0.3">
      <c r="A12" t="s">
        <v>973</v>
      </c>
    </row>
    <row r="13" spans="1:14" x14ac:dyDescent="0.3">
      <c r="A13" t="s">
        <v>974</v>
      </c>
    </row>
  </sheetData>
  <sheetProtection algorithmName="SHA-512" hashValue="kw1mYDGaKQN4S1+0Ta3sdmpiMhAM4aMQ6GopSlGgyyuJDgBfdRS75xSiRUGSFbS/1QoByerQO8fqr9qvkdFuYA==" saltValue="aNzsKofB/DbaEWA4mEdqxQ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6453A-5DB3-42E4-8E87-211E234E9BDD}">
  <sheetPr codeName="Planilha27">
    <tabColor rgb="FF1F6F5C"/>
  </sheetPr>
  <dimension ref="A1:M11"/>
  <sheetViews>
    <sheetView workbookViewId="0"/>
  </sheetViews>
  <sheetFormatPr defaultRowHeight="14.4" x14ac:dyDescent="0.3"/>
  <cols>
    <col min="1" max="1" width="137.44140625" bestFit="1" customWidth="1"/>
    <col min="2" max="2" width="10.109375" bestFit="1" customWidth="1"/>
    <col min="3" max="3" width="7.6640625" bestFit="1" customWidth="1"/>
    <col min="4" max="4" width="15.33203125" bestFit="1" customWidth="1"/>
    <col min="5" max="5" width="32.44140625" bestFit="1" customWidth="1"/>
    <col min="6" max="6" width="2.44140625" bestFit="1" customWidth="1"/>
    <col min="7" max="7" width="2.109375" bestFit="1" customWidth="1"/>
    <col min="8" max="8" width="6.44140625" bestFit="1" customWidth="1"/>
    <col min="9" max="10" width="12.44140625" bestFit="1" customWidth="1"/>
    <col min="11" max="11" width="14.44140625" bestFit="1" customWidth="1"/>
    <col min="12" max="12" width="80.33203125" bestFit="1" customWidth="1"/>
    <col min="13" max="13" width="13.33203125" bestFit="1" customWidth="1"/>
  </cols>
  <sheetData>
    <row r="1" spans="1:13" x14ac:dyDescent="0.3">
      <c r="A1" t="s">
        <v>1035</v>
      </c>
    </row>
    <row r="2" spans="1:13" x14ac:dyDescent="0.3">
      <c r="A2" t="s">
        <v>1036</v>
      </c>
    </row>
    <row r="3" spans="1:13" x14ac:dyDescent="0.3">
      <c r="A3" s="76" t="s">
        <v>1037</v>
      </c>
      <c r="B3" s="76" t="s">
        <v>1038</v>
      </c>
      <c r="C3" s="76" t="s">
        <v>380</v>
      </c>
      <c r="D3" s="76" t="s">
        <v>1039</v>
      </c>
      <c r="E3" s="76" t="s">
        <v>1040</v>
      </c>
      <c r="F3" s="76" t="s">
        <v>1041</v>
      </c>
      <c r="G3" s="76" t="s">
        <v>1042</v>
      </c>
      <c r="H3" s="76" t="s">
        <v>1043</v>
      </c>
      <c r="I3" s="76" t="s">
        <v>352</v>
      </c>
      <c r="J3" s="76" t="s">
        <v>1044</v>
      </c>
      <c r="K3" s="76" t="s">
        <v>1045</v>
      </c>
      <c r="L3" s="76" t="s">
        <v>1046</v>
      </c>
      <c r="M3" s="76" t="s">
        <v>1047</v>
      </c>
    </row>
    <row r="4" spans="1:13" x14ac:dyDescent="0.3">
      <c r="A4" t="s">
        <v>1048</v>
      </c>
      <c r="B4">
        <v>3</v>
      </c>
      <c r="C4" t="s">
        <v>984</v>
      </c>
      <c r="D4" t="s">
        <v>1049</v>
      </c>
      <c r="E4" t="s">
        <v>1050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1051</v>
      </c>
      <c r="M4" t="s">
        <v>1052</v>
      </c>
    </row>
    <row r="5" spans="1:13" x14ac:dyDescent="0.3">
      <c r="A5" t="s">
        <v>1048</v>
      </c>
      <c r="B5">
        <v>3</v>
      </c>
      <c r="C5" t="s">
        <v>1053</v>
      </c>
      <c r="D5" t="s">
        <v>1050</v>
      </c>
      <c r="E5" t="s">
        <v>1054</v>
      </c>
      <c r="F5">
        <v>3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1055</v>
      </c>
      <c r="M5" t="s">
        <v>1052</v>
      </c>
    </row>
    <row r="6" spans="1:13" x14ac:dyDescent="0.3">
      <c r="A6" t="s">
        <v>1048</v>
      </c>
      <c r="B6">
        <v>3</v>
      </c>
      <c r="C6" t="s">
        <v>1053</v>
      </c>
      <c r="D6" t="s">
        <v>1056</v>
      </c>
      <c r="E6" t="s">
        <v>1057</v>
      </c>
      <c r="F6">
        <v>1</v>
      </c>
      <c r="G6">
        <v>3</v>
      </c>
      <c r="H6">
        <v>2</v>
      </c>
      <c r="I6" t="b">
        <v>0</v>
      </c>
      <c r="J6" t="b">
        <v>0</v>
      </c>
      <c r="K6" t="b">
        <v>1</v>
      </c>
      <c r="L6" t="s">
        <v>1058</v>
      </c>
      <c r="M6" t="s">
        <v>1052</v>
      </c>
    </row>
    <row r="7" spans="1:13" x14ac:dyDescent="0.3">
      <c r="A7" t="s">
        <v>1048</v>
      </c>
      <c r="B7">
        <v>3</v>
      </c>
      <c r="C7" t="s">
        <v>1059</v>
      </c>
      <c r="D7" t="s">
        <v>1050</v>
      </c>
      <c r="E7" t="s">
        <v>1054</v>
      </c>
      <c r="F7">
        <v>3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1055</v>
      </c>
      <c r="M7" t="s">
        <v>1052</v>
      </c>
    </row>
    <row r="8" spans="1:13" x14ac:dyDescent="0.3">
      <c r="A8" t="s">
        <v>1048</v>
      </c>
      <c r="B8">
        <v>3</v>
      </c>
      <c r="C8" t="s">
        <v>1060</v>
      </c>
      <c r="D8" t="s">
        <v>1061</v>
      </c>
      <c r="E8" t="s">
        <v>1054</v>
      </c>
      <c r="F8">
        <v>3</v>
      </c>
      <c r="G8">
        <v>1</v>
      </c>
      <c r="H8">
        <v>1</v>
      </c>
      <c r="I8" t="b">
        <v>1</v>
      </c>
      <c r="J8" t="b">
        <v>1</v>
      </c>
      <c r="K8" t="b">
        <v>0</v>
      </c>
      <c r="L8" t="s">
        <v>1062</v>
      </c>
      <c r="M8" t="s">
        <v>1052</v>
      </c>
    </row>
    <row r="9" spans="1:13" x14ac:dyDescent="0.3">
      <c r="A9" t="s">
        <v>1048</v>
      </c>
      <c r="B9">
        <v>3</v>
      </c>
      <c r="C9" t="s">
        <v>1060</v>
      </c>
      <c r="D9" t="s">
        <v>1056</v>
      </c>
      <c r="E9" t="s">
        <v>1057</v>
      </c>
      <c r="F9">
        <v>1</v>
      </c>
      <c r="G9">
        <v>3</v>
      </c>
      <c r="H9">
        <v>1</v>
      </c>
      <c r="I9" t="b">
        <v>0</v>
      </c>
      <c r="J9" t="b">
        <v>0</v>
      </c>
      <c r="K9" t="b">
        <v>1</v>
      </c>
      <c r="L9" t="s">
        <v>1058</v>
      </c>
      <c r="M9" t="s">
        <v>1052</v>
      </c>
    </row>
    <row r="10" spans="1:13" x14ac:dyDescent="0.3">
      <c r="A10" t="s">
        <v>1048</v>
      </c>
      <c r="B10">
        <v>3</v>
      </c>
      <c r="C10" t="s">
        <v>1063</v>
      </c>
      <c r="D10" t="s">
        <v>1068</v>
      </c>
      <c r="E10" t="s">
        <v>1064</v>
      </c>
      <c r="F10">
        <v>3</v>
      </c>
      <c r="G10">
        <v>2</v>
      </c>
      <c r="H10">
        <v>0</v>
      </c>
      <c r="I10" t="b">
        <v>1</v>
      </c>
      <c r="J10" t="b">
        <v>1</v>
      </c>
      <c r="K10" t="b">
        <v>0</v>
      </c>
      <c r="L10" t="s">
        <v>1065</v>
      </c>
      <c r="M10" t="s">
        <v>1052</v>
      </c>
    </row>
    <row r="11" spans="1:13" x14ac:dyDescent="0.3">
      <c r="A11" t="s">
        <v>1048</v>
      </c>
      <c r="B11">
        <v>3</v>
      </c>
      <c r="C11" t="s">
        <v>1063</v>
      </c>
      <c r="D11" t="s">
        <v>1066</v>
      </c>
      <c r="E11" t="s">
        <v>1057</v>
      </c>
      <c r="F11">
        <v>1</v>
      </c>
      <c r="G11">
        <v>6</v>
      </c>
      <c r="H11">
        <v>0</v>
      </c>
      <c r="I11" t="b">
        <v>0</v>
      </c>
      <c r="J11" t="b">
        <v>0</v>
      </c>
      <c r="K11" t="b">
        <v>1</v>
      </c>
      <c r="L11" t="s">
        <v>1067</v>
      </c>
      <c r="M11" t="s">
        <v>1052</v>
      </c>
    </row>
  </sheetData>
  <sheetProtection algorithmName="SHA-512" hashValue="UAkgJioVZHVZkQm1aGBVjONttlA/eRRPEb7+Apdk8zySNDnfehumwM7WQevKpLqGzKWWPEYZ4D89ptjM+KbXoQ==" saltValue="f16djs1XERmVugDeW5EhnA==" spinCount="100000" sheet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9B24-586D-47B9-BDC5-25454B44A193}">
  <sheetPr codeName="Planilha24">
    <tabColor rgb="FF1F6F5C"/>
  </sheetPr>
  <dimension ref="A1:R204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90" t="s">
        <v>963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</row>
    <row r="2" spans="1:18" x14ac:dyDescent="0.3">
      <c r="A2" s="79" t="s">
        <v>964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8" x14ac:dyDescent="0.3">
      <c r="A3" s="79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91" t="s">
        <v>291</v>
      </c>
      <c r="B4" s="91" t="s">
        <v>381</v>
      </c>
      <c r="C4" s="91" t="s">
        <v>289</v>
      </c>
      <c r="D4" s="91" t="s">
        <v>88</v>
      </c>
      <c r="E4" s="91" t="s">
        <v>292</v>
      </c>
      <c r="F4" s="91" t="s">
        <v>382</v>
      </c>
      <c r="G4" s="91" t="s">
        <v>383</v>
      </c>
      <c r="H4" s="91" t="s">
        <v>384</v>
      </c>
      <c r="I4" s="91" t="s">
        <v>296</v>
      </c>
      <c r="J4" s="91" t="s">
        <v>385</v>
      </c>
      <c r="K4" s="91" t="s">
        <v>386</v>
      </c>
      <c r="L4" s="91" t="s">
        <v>387</v>
      </c>
      <c r="M4" s="91" t="s">
        <v>388</v>
      </c>
      <c r="N4" s="91" t="s">
        <v>389</v>
      </c>
      <c r="O4" s="91" t="s">
        <v>390</v>
      </c>
      <c r="P4" s="91" t="s">
        <v>391</v>
      </c>
      <c r="Q4" s="91" t="s">
        <v>392</v>
      </c>
      <c r="R4" s="91" t="s">
        <v>393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81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85" t="str">
        <f>IFERROR(INDEX(EQA.Controllab_Dados!F$2:F$5000,MATCH(ROW()-4,EQA.Controllab_Dados!$S$2:$S$5000,0)),"")</f>
        <v/>
      </c>
      <c r="G5" s="86" t="str">
        <f>IFERROR(INDEX(EQA.Controllab_Dados!G$2:G$5000,MATCH(ROW()-4,EQA.Controllab_Dados!$S$2:$S$5000,0)),"")</f>
        <v/>
      </c>
      <c r="H5" s="86" t="str">
        <f>IFERROR(INDEX(EQA.Controllab_Dados!H$2:H$5000,MATCH(ROW()-4,EQA.Controllab_Dados!$S$2:$S$5000,0)),"")</f>
        <v/>
      </c>
      <c r="I5" s="87" t="str">
        <f>IFERROR(INDEX(EQA.Controllab_Dados!I$2:I$5000,MATCH(ROW()-4,EQA.Controllab_Dados!$S$2:$S$5000,0)),"")</f>
        <v/>
      </c>
      <c r="J5" s="85" t="str">
        <f>IFERROR(INDEX(EQA.Controllab_Dados!J$2:J$5000,MATCH(ROW()-4,EQA.Controllab_Dados!$S$2:$S$5000,0)),"")</f>
        <v/>
      </c>
      <c r="K5" s="85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81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85" t="str">
        <f>IFERROR(INDEX(EQA.Controllab_Dados!O$2:O$5000,MATCH(ROW()-4,EQA.Controllab_Dados!$S$2:$S$5000,0)),"")</f>
        <v/>
      </c>
      <c r="P5" s="85" t="str">
        <f>IFERROR(INDEX(EQA.Controllab_Dados!P$2:P$5000,MATCH(ROW()-4,EQA.Controllab_Dados!$S$2:$S$5000,0)),"")</f>
        <v/>
      </c>
      <c r="Q5" s="81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81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85" t="str">
        <f>IFERROR(INDEX(EQA.Controllab_Dados!F$2:F$5000,MATCH(ROW()-4,EQA.Controllab_Dados!$S$2:$S$5000,0)),"")</f>
        <v/>
      </c>
      <c r="G6" s="86" t="str">
        <f>IFERROR(INDEX(EQA.Controllab_Dados!G$2:G$5000,MATCH(ROW()-4,EQA.Controllab_Dados!$S$2:$S$5000,0)),"")</f>
        <v/>
      </c>
      <c r="H6" s="86" t="str">
        <f>IFERROR(INDEX(EQA.Controllab_Dados!H$2:H$5000,MATCH(ROW()-4,EQA.Controllab_Dados!$S$2:$S$5000,0)),"")</f>
        <v/>
      </c>
      <c r="I6" s="87" t="str">
        <f>IFERROR(INDEX(EQA.Controllab_Dados!I$2:I$5000,MATCH(ROW()-4,EQA.Controllab_Dados!$S$2:$S$5000,0)),"")</f>
        <v/>
      </c>
      <c r="J6" s="85" t="str">
        <f>IFERROR(INDEX(EQA.Controllab_Dados!J$2:J$5000,MATCH(ROW()-4,EQA.Controllab_Dados!$S$2:$S$5000,0)),"")</f>
        <v/>
      </c>
      <c r="K6" s="85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81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85" t="str">
        <f>IFERROR(INDEX(EQA.Controllab_Dados!O$2:O$5000,MATCH(ROW()-4,EQA.Controllab_Dados!$S$2:$S$5000,0)),"")</f>
        <v/>
      </c>
      <c r="P6" s="85" t="str">
        <f>IFERROR(INDEX(EQA.Controllab_Dados!P$2:P$5000,MATCH(ROW()-4,EQA.Controllab_Dados!$S$2:$S$5000,0)),"")</f>
        <v/>
      </c>
      <c r="Q6" s="81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81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85" t="str">
        <f>IFERROR(INDEX(EQA.Controllab_Dados!F$2:F$5000,MATCH(ROW()-4,EQA.Controllab_Dados!$S$2:$S$5000,0)),"")</f>
        <v/>
      </c>
      <c r="G7" s="86" t="str">
        <f>IFERROR(INDEX(EQA.Controllab_Dados!G$2:G$5000,MATCH(ROW()-4,EQA.Controllab_Dados!$S$2:$S$5000,0)),"")</f>
        <v/>
      </c>
      <c r="H7" s="86" t="str">
        <f>IFERROR(INDEX(EQA.Controllab_Dados!H$2:H$5000,MATCH(ROW()-4,EQA.Controllab_Dados!$S$2:$S$5000,0)),"")</f>
        <v/>
      </c>
      <c r="I7" s="87" t="str">
        <f>IFERROR(INDEX(EQA.Controllab_Dados!I$2:I$5000,MATCH(ROW()-4,EQA.Controllab_Dados!$S$2:$S$5000,0)),"")</f>
        <v/>
      </c>
      <c r="J7" s="85" t="str">
        <f>IFERROR(INDEX(EQA.Controllab_Dados!J$2:J$5000,MATCH(ROW()-4,EQA.Controllab_Dados!$S$2:$S$5000,0)),"")</f>
        <v/>
      </c>
      <c r="K7" s="85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81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85" t="str">
        <f>IFERROR(INDEX(EQA.Controllab_Dados!O$2:O$5000,MATCH(ROW()-4,EQA.Controllab_Dados!$S$2:$S$5000,0)),"")</f>
        <v/>
      </c>
      <c r="P7" s="85" t="str">
        <f>IFERROR(INDEX(EQA.Controllab_Dados!P$2:P$5000,MATCH(ROW()-4,EQA.Controllab_Dados!$S$2:$S$5000,0)),"")</f>
        <v/>
      </c>
      <c r="Q7" s="81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81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85" t="str">
        <f>IFERROR(INDEX(EQA.Controllab_Dados!F$2:F$5000,MATCH(ROW()-4,EQA.Controllab_Dados!$S$2:$S$5000,0)),"")</f>
        <v/>
      </c>
      <c r="G8" s="86" t="str">
        <f>IFERROR(INDEX(EQA.Controllab_Dados!G$2:G$5000,MATCH(ROW()-4,EQA.Controllab_Dados!$S$2:$S$5000,0)),"")</f>
        <v/>
      </c>
      <c r="H8" s="86" t="str">
        <f>IFERROR(INDEX(EQA.Controllab_Dados!H$2:H$5000,MATCH(ROW()-4,EQA.Controllab_Dados!$S$2:$S$5000,0)),"")</f>
        <v/>
      </c>
      <c r="I8" s="87" t="str">
        <f>IFERROR(INDEX(EQA.Controllab_Dados!I$2:I$5000,MATCH(ROW()-4,EQA.Controllab_Dados!$S$2:$S$5000,0)),"")</f>
        <v/>
      </c>
      <c r="J8" s="85" t="str">
        <f>IFERROR(INDEX(EQA.Controllab_Dados!J$2:J$5000,MATCH(ROW()-4,EQA.Controllab_Dados!$S$2:$S$5000,0)),"")</f>
        <v/>
      </c>
      <c r="K8" s="85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81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85" t="str">
        <f>IFERROR(INDEX(EQA.Controllab_Dados!O$2:O$5000,MATCH(ROW()-4,EQA.Controllab_Dados!$S$2:$S$5000,0)),"")</f>
        <v/>
      </c>
      <c r="P8" s="85" t="str">
        <f>IFERROR(INDEX(EQA.Controllab_Dados!P$2:P$5000,MATCH(ROW()-4,EQA.Controllab_Dados!$S$2:$S$5000,0)),"")</f>
        <v/>
      </c>
      <c r="Q8" s="81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81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85" t="str">
        <f>IFERROR(INDEX(EQA.Controllab_Dados!F$2:F$5000,MATCH(ROW()-4,EQA.Controllab_Dados!$S$2:$S$5000,0)),"")</f>
        <v/>
      </c>
      <c r="G9" s="86" t="str">
        <f>IFERROR(INDEX(EQA.Controllab_Dados!G$2:G$5000,MATCH(ROW()-4,EQA.Controllab_Dados!$S$2:$S$5000,0)),"")</f>
        <v/>
      </c>
      <c r="H9" s="86" t="str">
        <f>IFERROR(INDEX(EQA.Controllab_Dados!H$2:H$5000,MATCH(ROW()-4,EQA.Controllab_Dados!$S$2:$S$5000,0)),"")</f>
        <v/>
      </c>
      <c r="I9" s="87" t="str">
        <f>IFERROR(INDEX(EQA.Controllab_Dados!I$2:I$5000,MATCH(ROW()-4,EQA.Controllab_Dados!$S$2:$S$5000,0)),"")</f>
        <v/>
      </c>
      <c r="J9" s="85" t="str">
        <f>IFERROR(INDEX(EQA.Controllab_Dados!J$2:J$5000,MATCH(ROW()-4,EQA.Controllab_Dados!$S$2:$S$5000,0)),"")</f>
        <v/>
      </c>
      <c r="K9" s="85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81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85" t="str">
        <f>IFERROR(INDEX(EQA.Controllab_Dados!O$2:O$5000,MATCH(ROW()-4,EQA.Controllab_Dados!$S$2:$S$5000,0)),"")</f>
        <v/>
      </c>
      <c r="P9" s="85" t="str">
        <f>IFERROR(INDEX(EQA.Controllab_Dados!P$2:P$5000,MATCH(ROW()-4,EQA.Controllab_Dados!$S$2:$S$5000,0)),"")</f>
        <v/>
      </c>
      <c r="Q9" s="81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81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85" t="str">
        <f>IFERROR(INDEX(EQA.Controllab_Dados!F$2:F$5000,MATCH(ROW()-4,EQA.Controllab_Dados!$S$2:$S$5000,0)),"")</f>
        <v/>
      </c>
      <c r="G10" s="86" t="str">
        <f>IFERROR(INDEX(EQA.Controllab_Dados!G$2:G$5000,MATCH(ROW()-4,EQA.Controllab_Dados!$S$2:$S$5000,0)),"")</f>
        <v/>
      </c>
      <c r="H10" s="86" t="str">
        <f>IFERROR(INDEX(EQA.Controllab_Dados!H$2:H$5000,MATCH(ROW()-4,EQA.Controllab_Dados!$S$2:$S$5000,0)),"")</f>
        <v/>
      </c>
      <c r="I10" s="87" t="str">
        <f>IFERROR(INDEX(EQA.Controllab_Dados!I$2:I$5000,MATCH(ROW()-4,EQA.Controllab_Dados!$S$2:$S$5000,0)),"")</f>
        <v/>
      </c>
      <c r="J10" s="85" t="str">
        <f>IFERROR(INDEX(EQA.Controllab_Dados!J$2:J$5000,MATCH(ROW()-4,EQA.Controllab_Dados!$S$2:$S$5000,0)),"")</f>
        <v/>
      </c>
      <c r="K10" s="85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81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85" t="str">
        <f>IFERROR(INDEX(EQA.Controllab_Dados!O$2:O$5000,MATCH(ROW()-4,EQA.Controllab_Dados!$S$2:$S$5000,0)),"")</f>
        <v/>
      </c>
      <c r="P10" s="85" t="str">
        <f>IFERROR(INDEX(EQA.Controllab_Dados!P$2:P$5000,MATCH(ROW()-4,EQA.Controllab_Dados!$S$2:$S$5000,0)),"")</f>
        <v/>
      </c>
      <c r="Q10" s="81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81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85" t="str">
        <f>IFERROR(INDEX(EQA.Controllab_Dados!F$2:F$5000,MATCH(ROW()-4,EQA.Controllab_Dados!$S$2:$S$5000,0)),"")</f>
        <v/>
      </c>
      <c r="G11" s="86" t="str">
        <f>IFERROR(INDEX(EQA.Controllab_Dados!G$2:G$5000,MATCH(ROW()-4,EQA.Controllab_Dados!$S$2:$S$5000,0)),"")</f>
        <v/>
      </c>
      <c r="H11" s="86" t="str">
        <f>IFERROR(INDEX(EQA.Controllab_Dados!H$2:H$5000,MATCH(ROW()-4,EQA.Controllab_Dados!$S$2:$S$5000,0)),"")</f>
        <v/>
      </c>
      <c r="I11" s="87" t="str">
        <f>IFERROR(INDEX(EQA.Controllab_Dados!I$2:I$5000,MATCH(ROW()-4,EQA.Controllab_Dados!$S$2:$S$5000,0)),"")</f>
        <v/>
      </c>
      <c r="J11" s="85" t="str">
        <f>IFERROR(INDEX(EQA.Controllab_Dados!J$2:J$5000,MATCH(ROW()-4,EQA.Controllab_Dados!$S$2:$S$5000,0)),"")</f>
        <v/>
      </c>
      <c r="K11" s="85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81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85" t="str">
        <f>IFERROR(INDEX(EQA.Controllab_Dados!O$2:O$5000,MATCH(ROW()-4,EQA.Controllab_Dados!$S$2:$S$5000,0)),"")</f>
        <v/>
      </c>
      <c r="P11" s="85" t="str">
        <f>IFERROR(INDEX(EQA.Controllab_Dados!P$2:P$5000,MATCH(ROW()-4,EQA.Controllab_Dados!$S$2:$S$5000,0)),"")</f>
        <v/>
      </c>
      <c r="Q11" s="81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81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85" t="str">
        <f>IFERROR(INDEX(EQA.Controllab_Dados!F$2:F$5000,MATCH(ROW()-4,EQA.Controllab_Dados!$S$2:$S$5000,0)),"")</f>
        <v/>
      </c>
      <c r="G12" s="86" t="str">
        <f>IFERROR(INDEX(EQA.Controllab_Dados!G$2:G$5000,MATCH(ROW()-4,EQA.Controllab_Dados!$S$2:$S$5000,0)),"")</f>
        <v/>
      </c>
      <c r="H12" s="86" t="str">
        <f>IFERROR(INDEX(EQA.Controllab_Dados!H$2:H$5000,MATCH(ROW()-4,EQA.Controllab_Dados!$S$2:$S$5000,0)),"")</f>
        <v/>
      </c>
      <c r="I12" s="87" t="str">
        <f>IFERROR(INDEX(EQA.Controllab_Dados!I$2:I$5000,MATCH(ROW()-4,EQA.Controllab_Dados!$S$2:$S$5000,0)),"")</f>
        <v/>
      </c>
      <c r="J12" s="85" t="str">
        <f>IFERROR(INDEX(EQA.Controllab_Dados!J$2:J$5000,MATCH(ROW()-4,EQA.Controllab_Dados!$S$2:$S$5000,0)),"")</f>
        <v/>
      </c>
      <c r="K12" s="85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81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85" t="str">
        <f>IFERROR(INDEX(EQA.Controllab_Dados!O$2:O$5000,MATCH(ROW()-4,EQA.Controllab_Dados!$S$2:$S$5000,0)),"")</f>
        <v/>
      </c>
      <c r="P12" s="85" t="str">
        <f>IFERROR(INDEX(EQA.Controllab_Dados!P$2:P$5000,MATCH(ROW()-4,EQA.Controllab_Dados!$S$2:$S$5000,0)),"")</f>
        <v/>
      </c>
      <c r="Q12" s="81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81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85" t="str">
        <f>IFERROR(INDEX(EQA.Controllab_Dados!F$2:F$5000,MATCH(ROW()-4,EQA.Controllab_Dados!$S$2:$S$5000,0)),"")</f>
        <v/>
      </c>
      <c r="G13" s="86" t="str">
        <f>IFERROR(INDEX(EQA.Controllab_Dados!G$2:G$5000,MATCH(ROW()-4,EQA.Controllab_Dados!$S$2:$S$5000,0)),"")</f>
        <v/>
      </c>
      <c r="H13" s="86" t="str">
        <f>IFERROR(INDEX(EQA.Controllab_Dados!H$2:H$5000,MATCH(ROW()-4,EQA.Controllab_Dados!$S$2:$S$5000,0)),"")</f>
        <v/>
      </c>
      <c r="I13" s="87" t="str">
        <f>IFERROR(INDEX(EQA.Controllab_Dados!I$2:I$5000,MATCH(ROW()-4,EQA.Controllab_Dados!$S$2:$S$5000,0)),"")</f>
        <v/>
      </c>
      <c r="J13" s="85" t="str">
        <f>IFERROR(INDEX(EQA.Controllab_Dados!J$2:J$5000,MATCH(ROW()-4,EQA.Controllab_Dados!$S$2:$S$5000,0)),"")</f>
        <v/>
      </c>
      <c r="K13" s="85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81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85" t="str">
        <f>IFERROR(INDEX(EQA.Controllab_Dados!O$2:O$5000,MATCH(ROW()-4,EQA.Controllab_Dados!$S$2:$S$5000,0)),"")</f>
        <v/>
      </c>
      <c r="P13" s="85" t="str">
        <f>IFERROR(INDEX(EQA.Controllab_Dados!P$2:P$5000,MATCH(ROW()-4,EQA.Controllab_Dados!$S$2:$S$5000,0)),"")</f>
        <v/>
      </c>
      <c r="Q13" s="81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81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85" t="str">
        <f>IFERROR(INDEX(EQA.Controllab_Dados!F$2:F$5000,MATCH(ROW()-4,EQA.Controllab_Dados!$S$2:$S$5000,0)),"")</f>
        <v/>
      </c>
      <c r="G14" s="86" t="str">
        <f>IFERROR(INDEX(EQA.Controllab_Dados!G$2:G$5000,MATCH(ROW()-4,EQA.Controllab_Dados!$S$2:$S$5000,0)),"")</f>
        <v/>
      </c>
      <c r="H14" s="86" t="str">
        <f>IFERROR(INDEX(EQA.Controllab_Dados!H$2:H$5000,MATCH(ROW()-4,EQA.Controllab_Dados!$S$2:$S$5000,0)),"")</f>
        <v/>
      </c>
      <c r="I14" s="87" t="str">
        <f>IFERROR(INDEX(EQA.Controllab_Dados!I$2:I$5000,MATCH(ROW()-4,EQA.Controllab_Dados!$S$2:$S$5000,0)),"")</f>
        <v/>
      </c>
      <c r="J14" s="85" t="str">
        <f>IFERROR(INDEX(EQA.Controllab_Dados!J$2:J$5000,MATCH(ROW()-4,EQA.Controllab_Dados!$S$2:$S$5000,0)),"")</f>
        <v/>
      </c>
      <c r="K14" s="85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81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85" t="str">
        <f>IFERROR(INDEX(EQA.Controllab_Dados!O$2:O$5000,MATCH(ROW()-4,EQA.Controllab_Dados!$S$2:$S$5000,0)),"")</f>
        <v/>
      </c>
      <c r="P14" s="85" t="str">
        <f>IFERROR(INDEX(EQA.Controllab_Dados!P$2:P$5000,MATCH(ROW()-4,EQA.Controllab_Dados!$S$2:$S$5000,0)),"")</f>
        <v/>
      </c>
      <c r="Q14" s="81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81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85" t="str">
        <f>IFERROR(INDEX(EQA.Controllab_Dados!F$2:F$5000,MATCH(ROW()-4,EQA.Controllab_Dados!$S$2:$S$5000,0)),"")</f>
        <v/>
      </c>
      <c r="G15" s="86" t="str">
        <f>IFERROR(INDEX(EQA.Controllab_Dados!G$2:G$5000,MATCH(ROW()-4,EQA.Controllab_Dados!$S$2:$S$5000,0)),"")</f>
        <v/>
      </c>
      <c r="H15" s="86" t="str">
        <f>IFERROR(INDEX(EQA.Controllab_Dados!H$2:H$5000,MATCH(ROW()-4,EQA.Controllab_Dados!$S$2:$S$5000,0)),"")</f>
        <v/>
      </c>
      <c r="I15" s="87" t="str">
        <f>IFERROR(INDEX(EQA.Controllab_Dados!I$2:I$5000,MATCH(ROW()-4,EQA.Controllab_Dados!$S$2:$S$5000,0)),"")</f>
        <v/>
      </c>
      <c r="J15" s="85" t="str">
        <f>IFERROR(INDEX(EQA.Controllab_Dados!J$2:J$5000,MATCH(ROW()-4,EQA.Controllab_Dados!$S$2:$S$5000,0)),"")</f>
        <v/>
      </c>
      <c r="K15" s="85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81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85" t="str">
        <f>IFERROR(INDEX(EQA.Controllab_Dados!O$2:O$5000,MATCH(ROW()-4,EQA.Controllab_Dados!$S$2:$S$5000,0)),"")</f>
        <v/>
      </c>
      <c r="P15" s="85" t="str">
        <f>IFERROR(INDEX(EQA.Controllab_Dados!P$2:P$5000,MATCH(ROW()-4,EQA.Controllab_Dados!$S$2:$S$5000,0)),"")</f>
        <v/>
      </c>
      <c r="Q15" s="81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81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85" t="str">
        <f>IFERROR(INDEX(EQA.Controllab_Dados!F$2:F$5000,MATCH(ROW()-4,EQA.Controllab_Dados!$S$2:$S$5000,0)),"")</f>
        <v/>
      </c>
      <c r="G16" s="86" t="str">
        <f>IFERROR(INDEX(EQA.Controllab_Dados!G$2:G$5000,MATCH(ROW()-4,EQA.Controllab_Dados!$S$2:$S$5000,0)),"")</f>
        <v/>
      </c>
      <c r="H16" s="86" t="str">
        <f>IFERROR(INDEX(EQA.Controllab_Dados!H$2:H$5000,MATCH(ROW()-4,EQA.Controllab_Dados!$S$2:$S$5000,0)),"")</f>
        <v/>
      </c>
      <c r="I16" s="87" t="str">
        <f>IFERROR(INDEX(EQA.Controllab_Dados!I$2:I$5000,MATCH(ROW()-4,EQA.Controllab_Dados!$S$2:$S$5000,0)),"")</f>
        <v/>
      </c>
      <c r="J16" s="85" t="str">
        <f>IFERROR(INDEX(EQA.Controllab_Dados!J$2:J$5000,MATCH(ROW()-4,EQA.Controllab_Dados!$S$2:$S$5000,0)),"")</f>
        <v/>
      </c>
      <c r="K16" s="85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81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85" t="str">
        <f>IFERROR(INDEX(EQA.Controllab_Dados!O$2:O$5000,MATCH(ROW()-4,EQA.Controllab_Dados!$S$2:$S$5000,0)),"")</f>
        <v/>
      </c>
      <c r="P16" s="85" t="str">
        <f>IFERROR(INDEX(EQA.Controllab_Dados!P$2:P$5000,MATCH(ROW()-4,EQA.Controllab_Dados!$S$2:$S$5000,0)),"")</f>
        <v/>
      </c>
      <c r="Q16" s="81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81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85" t="str">
        <f>IFERROR(INDEX(EQA.Controllab_Dados!F$2:F$5000,MATCH(ROW()-4,EQA.Controllab_Dados!$S$2:$S$5000,0)),"")</f>
        <v/>
      </c>
      <c r="G17" s="86" t="str">
        <f>IFERROR(INDEX(EQA.Controllab_Dados!G$2:G$5000,MATCH(ROW()-4,EQA.Controllab_Dados!$S$2:$S$5000,0)),"")</f>
        <v/>
      </c>
      <c r="H17" s="86" t="str">
        <f>IFERROR(INDEX(EQA.Controllab_Dados!H$2:H$5000,MATCH(ROW()-4,EQA.Controllab_Dados!$S$2:$S$5000,0)),"")</f>
        <v/>
      </c>
      <c r="I17" s="87" t="str">
        <f>IFERROR(INDEX(EQA.Controllab_Dados!I$2:I$5000,MATCH(ROW()-4,EQA.Controllab_Dados!$S$2:$S$5000,0)),"")</f>
        <v/>
      </c>
      <c r="J17" s="85" t="str">
        <f>IFERROR(INDEX(EQA.Controllab_Dados!J$2:J$5000,MATCH(ROW()-4,EQA.Controllab_Dados!$S$2:$S$5000,0)),"")</f>
        <v/>
      </c>
      <c r="K17" s="85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81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85" t="str">
        <f>IFERROR(INDEX(EQA.Controllab_Dados!O$2:O$5000,MATCH(ROW()-4,EQA.Controllab_Dados!$S$2:$S$5000,0)),"")</f>
        <v/>
      </c>
      <c r="P17" s="85" t="str">
        <f>IFERROR(INDEX(EQA.Controllab_Dados!P$2:P$5000,MATCH(ROW()-4,EQA.Controllab_Dados!$S$2:$S$5000,0)),"")</f>
        <v/>
      </c>
      <c r="Q17" s="81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81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85" t="str">
        <f>IFERROR(INDEX(EQA.Controllab_Dados!F$2:F$5000,MATCH(ROW()-4,EQA.Controllab_Dados!$S$2:$S$5000,0)),"")</f>
        <v/>
      </c>
      <c r="G18" s="86" t="str">
        <f>IFERROR(INDEX(EQA.Controllab_Dados!G$2:G$5000,MATCH(ROW()-4,EQA.Controllab_Dados!$S$2:$S$5000,0)),"")</f>
        <v/>
      </c>
      <c r="H18" s="86" t="str">
        <f>IFERROR(INDEX(EQA.Controllab_Dados!H$2:H$5000,MATCH(ROW()-4,EQA.Controllab_Dados!$S$2:$S$5000,0)),"")</f>
        <v/>
      </c>
      <c r="I18" s="87" t="str">
        <f>IFERROR(INDEX(EQA.Controllab_Dados!I$2:I$5000,MATCH(ROW()-4,EQA.Controllab_Dados!$S$2:$S$5000,0)),"")</f>
        <v/>
      </c>
      <c r="J18" s="85" t="str">
        <f>IFERROR(INDEX(EQA.Controllab_Dados!J$2:J$5000,MATCH(ROW()-4,EQA.Controllab_Dados!$S$2:$S$5000,0)),"")</f>
        <v/>
      </c>
      <c r="K18" s="85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81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85" t="str">
        <f>IFERROR(INDEX(EQA.Controllab_Dados!O$2:O$5000,MATCH(ROW()-4,EQA.Controllab_Dados!$S$2:$S$5000,0)),"")</f>
        <v/>
      </c>
      <c r="P18" s="85" t="str">
        <f>IFERROR(INDEX(EQA.Controllab_Dados!P$2:P$5000,MATCH(ROW()-4,EQA.Controllab_Dados!$S$2:$S$5000,0)),"")</f>
        <v/>
      </c>
      <c r="Q18" s="81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81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85" t="str">
        <f>IFERROR(INDEX(EQA.Controllab_Dados!F$2:F$5000,MATCH(ROW()-4,EQA.Controllab_Dados!$S$2:$S$5000,0)),"")</f>
        <v/>
      </c>
      <c r="G19" s="86" t="str">
        <f>IFERROR(INDEX(EQA.Controllab_Dados!G$2:G$5000,MATCH(ROW()-4,EQA.Controllab_Dados!$S$2:$S$5000,0)),"")</f>
        <v/>
      </c>
      <c r="H19" s="86" t="str">
        <f>IFERROR(INDEX(EQA.Controllab_Dados!H$2:H$5000,MATCH(ROW()-4,EQA.Controllab_Dados!$S$2:$S$5000,0)),"")</f>
        <v/>
      </c>
      <c r="I19" s="87" t="str">
        <f>IFERROR(INDEX(EQA.Controllab_Dados!I$2:I$5000,MATCH(ROW()-4,EQA.Controllab_Dados!$S$2:$S$5000,0)),"")</f>
        <v/>
      </c>
      <c r="J19" s="85" t="str">
        <f>IFERROR(INDEX(EQA.Controllab_Dados!J$2:J$5000,MATCH(ROW()-4,EQA.Controllab_Dados!$S$2:$S$5000,0)),"")</f>
        <v/>
      </c>
      <c r="K19" s="85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81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85" t="str">
        <f>IFERROR(INDEX(EQA.Controllab_Dados!O$2:O$5000,MATCH(ROW()-4,EQA.Controllab_Dados!$S$2:$S$5000,0)),"")</f>
        <v/>
      </c>
      <c r="P19" s="85" t="str">
        <f>IFERROR(INDEX(EQA.Controllab_Dados!P$2:P$5000,MATCH(ROW()-4,EQA.Controllab_Dados!$S$2:$S$5000,0)),"")</f>
        <v/>
      </c>
      <c r="Q19" s="81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81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85" t="str">
        <f>IFERROR(INDEX(EQA.Controllab_Dados!F$2:F$5000,MATCH(ROW()-4,EQA.Controllab_Dados!$S$2:$S$5000,0)),"")</f>
        <v/>
      </c>
      <c r="G20" s="86" t="str">
        <f>IFERROR(INDEX(EQA.Controllab_Dados!G$2:G$5000,MATCH(ROW()-4,EQA.Controllab_Dados!$S$2:$S$5000,0)),"")</f>
        <v/>
      </c>
      <c r="H20" s="86" t="str">
        <f>IFERROR(INDEX(EQA.Controllab_Dados!H$2:H$5000,MATCH(ROW()-4,EQA.Controllab_Dados!$S$2:$S$5000,0)),"")</f>
        <v/>
      </c>
      <c r="I20" s="87" t="str">
        <f>IFERROR(INDEX(EQA.Controllab_Dados!I$2:I$5000,MATCH(ROW()-4,EQA.Controllab_Dados!$S$2:$S$5000,0)),"")</f>
        <v/>
      </c>
      <c r="J20" s="85" t="str">
        <f>IFERROR(INDEX(EQA.Controllab_Dados!J$2:J$5000,MATCH(ROW()-4,EQA.Controllab_Dados!$S$2:$S$5000,0)),"")</f>
        <v/>
      </c>
      <c r="K20" s="85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81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85" t="str">
        <f>IFERROR(INDEX(EQA.Controllab_Dados!O$2:O$5000,MATCH(ROW()-4,EQA.Controllab_Dados!$S$2:$S$5000,0)),"")</f>
        <v/>
      </c>
      <c r="P20" s="85" t="str">
        <f>IFERROR(INDEX(EQA.Controllab_Dados!P$2:P$5000,MATCH(ROW()-4,EQA.Controllab_Dados!$S$2:$S$5000,0)),"")</f>
        <v/>
      </c>
      <c r="Q20" s="81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81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85" t="str">
        <f>IFERROR(INDEX(EQA.Controllab_Dados!F$2:F$5000,MATCH(ROW()-4,EQA.Controllab_Dados!$S$2:$S$5000,0)),"")</f>
        <v/>
      </c>
      <c r="G21" s="86" t="str">
        <f>IFERROR(INDEX(EQA.Controllab_Dados!G$2:G$5000,MATCH(ROW()-4,EQA.Controllab_Dados!$S$2:$S$5000,0)),"")</f>
        <v/>
      </c>
      <c r="H21" s="86" t="str">
        <f>IFERROR(INDEX(EQA.Controllab_Dados!H$2:H$5000,MATCH(ROW()-4,EQA.Controllab_Dados!$S$2:$S$5000,0)),"")</f>
        <v/>
      </c>
      <c r="I21" s="87" t="str">
        <f>IFERROR(INDEX(EQA.Controllab_Dados!I$2:I$5000,MATCH(ROW()-4,EQA.Controllab_Dados!$S$2:$S$5000,0)),"")</f>
        <v/>
      </c>
      <c r="J21" s="85" t="str">
        <f>IFERROR(INDEX(EQA.Controllab_Dados!J$2:J$5000,MATCH(ROW()-4,EQA.Controllab_Dados!$S$2:$S$5000,0)),"")</f>
        <v/>
      </c>
      <c r="K21" s="85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81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85" t="str">
        <f>IFERROR(INDEX(EQA.Controllab_Dados!O$2:O$5000,MATCH(ROW()-4,EQA.Controllab_Dados!$S$2:$S$5000,0)),"")</f>
        <v/>
      </c>
      <c r="P21" s="85" t="str">
        <f>IFERROR(INDEX(EQA.Controllab_Dados!P$2:P$5000,MATCH(ROW()-4,EQA.Controllab_Dados!$S$2:$S$5000,0)),"")</f>
        <v/>
      </c>
      <c r="Q21" s="81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81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85" t="str">
        <f>IFERROR(INDEX(EQA.Controllab_Dados!F$2:F$5000,MATCH(ROW()-4,EQA.Controllab_Dados!$S$2:$S$5000,0)),"")</f>
        <v/>
      </c>
      <c r="G22" s="86" t="str">
        <f>IFERROR(INDEX(EQA.Controllab_Dados!G$2:G$5000,MATCH(ROW()-4,EQA.Controllab_Dados!$S$2:$S$5000,0)),"")</f>
        <v/>
      </c>
      <c r="H22" s="86" t="str">
        <f>IFERROR(INDEX(EQA.Controllab_Dados!H$2:H$5000,MATCH(ROW()-4,EQA.Controllab_Dados!$S$2:$S$5000,0)),"")</f>
        <v/>
      </c>
      <c r="I22" s="87" t="str">
        <f>IFERROR(INDEX(EQA.Controllab_Dados!I$2:I$5000,MATCH(ROW()-4,EQA.Controllab_Dados!$S$2:$S$5000,0)),"")</f>
        <v/>
      </c>
      <c r="J22" s="85" t="str">
        <f>IFERROR(INDEX(EQA.Controllab_Dados!J$2:J$5000,MATCH(ROW()-4,EQA.Controllab_Dados!$S$2:$S$5000,0)),"")</f>
        <v/>
      </c>
      <c r="K22" s="85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81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85" t="str">
        <f>IFERROR(INDEX(EQA.Controllab_Dados!O$2:O$5000,MATCH(ROW()-4,EQA.Controllab_Dados!$S$2:$S$5000,0)),"")</f>
        <v/>
      </c>
      <c r="P22" s="85" t="str">
        <f>IFERROR(INDEX(EQA.Controllab_Dados!P$2:P$5000,MATCH(ROW()-4,EQA.Controllab_Dados!$S$2:$S$5000,0)),"")</f>
        <v/>
      </c>
      <c r="Q22" s="81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81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85" t="str">
        <f>IFERROR(INDEX(EQA.Controllab_Dados!F$2:F$5000,MATCH(ROW()-4,EQA.Controllab_Dados!$S$2:$S$5000,0)),"")</f>
        <v/>
      </c>
      <c r="G23" s="86" t="str">
        <f>IFERROR(INDEX(EQA.Controllab_Dados!G$2:G$5000,MATCH(ROW()-4,EQA.Controllab_Dados!$S$2:$S$5000,0)),"")</f>
        <v/>
      </c>
      <c r="H23" s="86" t="str">
        <f>IFERROR(INDEX(EQA.Controllab_Dados!H$2:H$5000,MATCH(ROW()-4,EQA.Controllab_Dados!$S$2:$S$5000,0)),"")</f>
        <v/>
      </c>
      <c r="I23" s="87" t="str">
        <f>IFERROR(INDEX(EQA.Controllab_Dados!I$2:I$5000,MATCH(ROW()-4,EQA.Controllab_Dados!$S$2:$S$5000,0)),"")</f>
        <v/>
      </c>
      <c r="J23" s="85" t="str">
        <f>IFERROR(INDEX(EQA.Controllab_Dados!J$2:J$5000,MATCH(ROW()-4,EQA.Controllab_Dados!$S$2:$S$5000,0)),"")</f>
        <v/>
      </c>
      <c r="K23" s="85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81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85" t="str">
        <f>IFERROR(INDEX(EQA.Controllab_Dados!O$2:O$5000,MATCH(ROW()-4,EQA.Controllab_Dados!$S$2:$S$5000,0)),"")</f>
        <v/>
      </c>
      <c r="P23" s="85" t="str">
        <f>IFERROR(INDEX(EQA.Controllab_Dados!P$2:P$5000,MATCH(ROW()-4,EQA.Controllab_Dados!$S$2:$S$5000,0)),"")</f>
        <v/>
      </c>
      <c r="Q23" s="81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81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85" t="str">
        <f>IFERROR(INDEX(EQA.Controllab_Dados!F$2:F$5000,MATCH(ROW()-4,EQA.Controllab_Dados!$S$2:$S$5000,0)),"")</f>
        <v/>
      </c>
      <c r="G24" s="86" t="str">
        <f>IFERROR(INDEX(EQA.Controllab_Dados!G$2:G$5000,MATCH(ROW()-4,EQA.Controllab_Dados!$S$2:$S$5000,0)),"")</f>
        <v/>
      </c>
      <c r="H24" s="86" t="str">
        <f>IFERROR(INDEX(EQA.Controllab_Dados!H$2:H$5000,MATCH(ROW()-4,EQA.Controllab_Dados!$S$2:$S$5000,0)),"")</f>
        <v/>
      </c>
      <c r="I24" s="87" t="str">
        <f>IFERROR(INDEX(EQA.Controllab_Dados!I$2:I$5000,MATCH(ROW()-4,EQA.Controllab_Dados!$S$2:$S$5000,0)),"")</f>
        <v/>
      </c>
      <c r="J24" s="85" t="str">
        <f>IFERROR(INDEX(EQA.Controllab_Dados!J$2:J$5000,MATCH(ROW()-4,EQA.Controllab_Dados!$S$2:$S$5000,0)),"")</f>
        <v/>
      </c>
      <c r="K24" s="85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81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85" t="str">
        <f>IFERROR(INDEX(EQA.Controllab_Dados!O$2:O$5000,MATCH(ROW()-4,EQA.Controllab_Dados!$S$2:$S$5000,0)),"")</f>
        <v/>
      </c>
      <c r="P24" s="85" t="str">
        <f>IFERROR(INDEX(EQA.Controllab_Dados!P$2:P$5000,MATCH(ROW()-4,EQA.Controllab_Dados!$S$2:$S$5000,0)),"")</f>
        <v/>
      </c>
      <c r="Q24" s="81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81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85" t="str">
        <f>IFERROR(INDEX(EQA.Controllab_Dados!F$2:F$5000,MATCH(ROW()-4,EQA.Controllab_Dados!$S$2:$S$5000,0)),"")</f>
        <v/>
      </c>
      <c r="G25" s="86" t="str">
        <f>IFERROR(INDEX(EQA.Controllab_Dados!G$2:G$5000,MATCH(ROW()-4,EQA.Controllab_Dados!$S$2:$S$5000,0)),"")</f>
        <v/>
      </c>
      <c r="H25" s="86" t="str">
        <f>IFERROR(INDEX(EQA.Controllab_Dados!H$2:H$5000,MATCH(ROW()-4,EQA.Controllab_Dados!$S$2:$S$5000,0)),"")</f>
        <v/>
      </c>
      <c r="I25" s="87" t="str">
        <f>IFERROR(INDEX(EQA.Controllab_Dados!I$2:I$5000,MATCH(ROW()-4,EQA.Controllab_Dados!$S$2:$S$5000,0)),"")</f>
        <v/>
      </c>
      <c r="J25" s="85" t="str">
        <f>IFERROR(INDEX(EQA.Controllab_Dados!J$2:J$5000,MATCH(ROW()-4,EQA.Controllab_Dados!$S$2:$S$5000,0)),"")</f>
        <v/>
      </c>
      <c r="K25" s="85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81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85" t="str">
        <f>IFERROR(INDEX(EQA.Controllab_Dados!O$2:O$5000,MATCH(ROW()-4,EQA.Controllab_Dados!$S$2:$S$5000,0)),"")</f>
        <v/>
      </c>
      <c r="P25" s="85" t="str">
        <f>IFERROR(INDEX(EQA.Controllab_Dados!P$2:P$5000,MATCH(ROW()-4,EQA.Controllab_Dados!$S$2:$S$5000,0)),"")</f>
        <v/>
      </c>
      <c r="Q25" s="81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81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85" t="str">
        <f>IFERROR(INDEX(EQA.Controllab_Dados!F$2:F$5000,MATCH(ROW()-4,EQA.Controllab_Dados!$S$2:$S$5000,0)),"")</f>
        <v/>
      </c>
      <c r="G26" s="86" t="str">
        <f>IFERROR(INDEX(EQA.Controllab_Dados!G$2:G$5000,MATCH(ROW()-4,EQA.Controllab_Dados!$S$2:$S$5000,0)),"")</f>
        <v/>
      </c>
      <c r="H26" s="86" t="str">
        <f>IFERROR(INDEX(EQA.Controllab_Dados!H$2:H$5000,MATCH(ROW()-4,EQA.Controllab_Dados!$S$2:$S$5000,0)),"")</f>
        <v/>
      </c>
      <c r="I26" s="87" t="str">
        <f>IFERROR(INDEX(EQA.Controllab_Dados!I$2:I$5000,MATCH(ROW()-4,EQA.Controllab_Dados!$S$2:$S$5000,0)),"")</f>
        <v/>
      </c>
      <c r="J26" s="85" t="str">
        <f>IFERROR(INDEX(EQA.Controllab_Dados!J$2:J$5000,MATCH(ROW()-4,EQA.Controllab_Dados!$S$2:$S$5000,0)),"")</f>
        <v/>
      </c>
      <c r="K26" s="85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81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85" t="str">
        <f>IFERROR(INDEX(EQA.Controllab_Dados!O$2:O$5000,MATCH(ROW()-4,EQA.Controllab_Dados!$S$2:$S$5000,0)),"")</f>
        <v/>
      </c>
      <c r="P26" s="85" t="str">
        <f>IFERROR(INDEX(EQA.Controllab_Dados!P$2:P$5000,MATCH(ROW()-4,EQA.Controllab_Dados!$S$2:$S$5000,0)),"")</f>
        <v/>
      </c>
      <c r="Q26" s="81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81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85" t="str">
        <f>IFERROR(INDEX(EQA.Controllab_Dados!F$2:F$5000,MATCH(ROW()-4,EQA.Controllab_Dados!$S$2:$S$5000,0)),"")</f>
        <v/>
      </c>
      <c r="G27" s="86" t="str">
        <f>IFERROR(INDEX(EQA.Controllab_Dados!G$2:G$5000,MATCH(ROW()-4,EQA.Controllab_Dados!$S$2:$S$5000,0)),"")</f>
        <v/>
      </c>
      <c r="H27" s="86" t="str">
        <f>IFERROR(INDEX(EQA.Controllab_Dados!H$2:H$5000,MATCH(ROW()-4,EQA.Controllab_Dados!$S$2:$S$5000,0)),"")</f>
        <v/>
      </c>
      <c r="I27" s="87" t="str">
        <f>IFERROR(INDEX(EQA.Controllab_Dados!I$2:I$5000,MATCH(ROW()-4,EQA.Controllab_Dados!$S$2:$S$5000,0)),"")</f>
        <v/>
      </c>
      <c r="J27" s="85" t="str">
        <f>IFERROR(INDEX(EQA.Controllab_Dados!J$2:J$5000,MATCH(ROW()-4,EQA.Controllab_Dados!$S$2:$S$5000,0)),"")</f>
        <v/>
      </c>
      <c r="K27" s="85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81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85" t="str">
        <f>IFERROR(INDEX(EQA.Controllab_Dados!O$2:O$5000,MATCH(ROW()-4,EQA.Controllab_Dados!$S$2:$S$5000,0)),"")</f>
        <v/>
      </c>
      <c r="P27" s="85" t="str">
        <f>IFERROR(INDEX(EQA.Controllab_Dados!P$2:P$5000,MATCH(ROW()-4,EQA.Controllab_Dados!$S$2:$S$5000,0)),"")</f>
        <v/>
      </c>
      <c r="Q27" s="81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81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85" t="str">
        <f>IFERROR(INDEX(EQA.Controllab_Dados!F$2:F$5000,MATCH(ROW()-4,EQA.Controllab_Dados!$S$2:$S$5000,0)),"")</f>
        <v/>
      </c>
      <c r="G28" s="86" t="str">
        <f>IFERROR(INDEX(EQA.Controllab_Dados!G$2:G$5000,MATCH(ROW()-4,EQA.Controllab_Dados!$S$2:$S$5000,0)),"")</f>
        <v/>
      </c>
      <c r="H28" s="86" t="str">
        <f>IFERROR(INDEX(EQA.Controllab_Dados!H$2:H$5000,MATCH(ROW()-4,EQA.Controllab_Dados!$S$2:$S$5000,0)),"")</f>
        <v/>
      </c>
      <c r="I28" s="87" t="str">
        <f>IFERROR(INDEX(EQA.Controllab_Dados!I$2:I$5000,MATCH(ROW()-4,EQA.Controllab_Dados!$S$2:$S$5000,0)),"")</f>
        <v/>
      </c>
      <c r="J28" s="85" t="str">
        <f>IFERROR(INDEX(EQA.Controllab_Dados!J$2:J$5000,MATCH(ROW()-4,EQA.Controllab_Dados!$S$2:$S$5000,0)),"")</f>
        <v/>
      </c>
      <c r="K28" s="85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81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85" t="str">
        <f>IFERROR(INDEX(EQA.Controllab_Dados!O$2:O$5000,MATCH(ROW()-4,EQA.Controllab_Dados!$S$2:$S$5000,0)),"")</f>
        <v/>
      </c>
      <c r="P28" s="85" t="str">
        <f>IFERROR(INDEX(EQA.Controllab_Dados!P$2:P$5000,MATCH(ROW()-4,EQA.Controllab_Dados!$S$2:$S$5000,0)),"")</f>
        <v/>
      </c>
      <c r="Q28" s="81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81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85" t="str">
        <f>IFERROR(INDEX(EQA.Controllab_Dados!F$2:F$5000,MATCH(ROW()-4,EQA.Controllab_Dados!$S$2:$S$5000,0)),"")</f>
        <v/>
      </c>
      <c r="G29" s="86" t="str">
        <f>IFERROR(INDEX(EQA.Controllab_Dados!G$2:G$5000,MATCH(ROW()-4,EQA.Controllab_Dados!$S$2:$S$5000,0)),"")</f>
        <v/>
      </c>
      <c r="H29" s="86" t="str">
        <f>IFERROR(INDEX(EQA.Controllab_Dados!H$2:H$5000,MATCH(ROW()-4,EQA.Controllab_Dados!$S$2:$S$5000,0)),"")</f>
        <v/>
      </c>
      <c r="I29" s="87" t="str">
        <f>IFERROR(INDEX(EQA.Controllab_Dados!I$2:I$5000,MATCH(ROW()-4,EQA.Controllab_Dados!$S$2:$S$5000,0)),"")</f>
        <v/>
      </c>
      <c r="J29" s="85" t="str">
        <f>IFERROR(INDEX(EQA.Controllab_Dados!J$2:J$5000,MATCH(ROW()-4,EQA.Controllab_Dados!$S$2:$S$5000,0)),"")</f>
        <v/>
      </c>
      <c r="K29" s="85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81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85" t="str">
        <f>IFERROR(INDEX(EQA.Controllab_Dados!O$2:O$5000,MATCH(ROW()-4,EQA.Controllab_Dados!$S$2:$S$5000,0)),"")</f>
        <v/>
      </c>
      <c r="P29" s="85" t="str">
        <f>IFERROR(INDEX(EQA.Controllab_Dados!P$2:P$5000,MATCH(ROW()-4,EQA.Controllab_Dados!$S$2:$S$5000,0)),"")</f>
        <v/>
      </c>
      <c r="Q29" s="81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81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85" t="str">
        <f>IFERROR(INDEX(EQA.Controllab_Dados!F$2:F$5000,MATCH(ROW()-4,EQA.Controllab_Dados!$S$2:$S$5000,0)),"")</f>
        <v/>
      </c>
      <c r="G30" s="86" t="str">
        <f>IFERROR(INDEX(EQA.Controllab_Dados!G$2:G$5000,MATCH(ROW()-4,EQA.Controllab_Dados!$S$2:$S$5000,0)),"")</f>
        <v/>
      </c>
      <c r="H30" s="86" t="str">
        <f>IFERROR(INDEX(EQA.Controllab_Dados!H$2:H$5000,MATCH(ROW()-4,EQA.Controllab_Dados!$S$2:$S$5000,0)),"")</f>
        <v/>
      </c>
      <c r="I30" s="87" t="str">
        <f>IFERROR(INDEX(EQA.Controllab_Dados!I$2:I$5000,MATCH(ROW()-4,EQA.Controllab_Dados!$S$2:$S$5000,0)),"")</f>
        <v/>
      </c>
      <c r="J30" s="85" t="str">
        <f>IFERROR(INDEX(EQA.Controllab_Dados!J$2:J$5000,MATCH(ROW()-4,EQA.Controllab_Dados!$S$2:$S$5000,0)),"")</f>
        <v/>
      </c>
      <c r="K30" s="85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81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85" t="str">
        <f>IFERROR(INDEX(EQA.Controllab_Dados!O$2:O$5000,MATCH(ROW()-4,EQA.Controllab_Dados!$S$2:$S$5000,0)),"")</f>
        <v/>
      </c>
      <c r="P30" s="85" t="str">
        <f>IFERROR(INDEX(EQA.Controllab_Dados!P$2:P$5000,MATCH(ROW()-4,EQA.Controllab_Dados!$S$2:$S$5000,0)),"")</f>
        <v/>
      </c>
      <c r="Q30" s="81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81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85" t="str">
        <f>IFERROR(INDEX(EQA.Controllab_Dados!F$2:F$5000,MATCH(ROW()-4,EQA.Controllab_Dados!$S$2:$S$5000,0)),"")</f>
        <v/>
      </c>
      <c r="G31" s="86" t="str">
        <f>IFERROR(INDEX(EQA.Controllab_Dados!G$2:G$5000,MATCH(ROW()-4,EQA.Controllab_Dados!$S$2:$S$5000,0)),"")</f>
        <v/>
      </c>
      <c r="H31" s="86" t="str">
        <f>IFERROR(INDEX(EQA.Controllab_Dados!H$2:H$5000,MATCH(ROW()-4,EQA.Controllab_Dados!$S$2:$S$5000,0)),"")</f>
        <v/>
      </c>
      <c r="I31" s="87" t="str">
        <f>IFERROR(INDEX(EQA.Controllab_Dados!I$2:I$5000,MATCH(ROW()-4,EQA.Controllab_Dados!$S$2:$S$5000,0)),"")</f>
        <v/>
      </c>
      <c r="J31" s="85" t="str">
        <f>IFERROR(INDEX(EQA.Controllab_Dados!J$2:J$5000,MATCH(ROW()-4,EQA.Controllab_Dados!$S$2:$S$5000,0)),"")</f>
        <v/>
      </c>
      <c r="K31" s="85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81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85" t="str">
        <f>IFERROR(INDEX(EQA.Controllab_Dados!O$2:O$5000,MATCH(ROW()-4,EQA.Controllab_Dados!$S$2:$S$5000,0)),"")</f>
        <v/>
      </c>
      <c r="P31" s="85" t="str">
        <f>IFERROR(INDEX(EQA.Controllab_Dados!P$2:P$5000,MATCH(ROW()-4,EQA.Controllab_Dados!$S$2:$S$5000,0)),"")</f>
        <v/>
      </c>
      <c r="Q31" s="81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81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85" t="str">
        <f>IFERROR(INDEX(EQA.Controllab_Dados!F$2:F$5000,MATCH(ROW()-4,EQA.Controllab_Dados!$S$2:$S$5000,0)),"")</f>
        <v/>
      </c>
      <c r="G32" s="86" t="str">
        <f>IFERROR(INDEX(EQA.Controllab_Dados!G$2:G$5000,MATCH(ROW()-4,EQA.Controllab_Dados!$S$2:$S$5000,0)),"")</f>
        <v/>
      </c>
      <c r="H32" s="86" t="str">
        <f>IFERROR(INDEX(EQA.Controllab_Dados!H$2:H$5000,MATCH(ROW()-4,EQA.Controllab_Dados!$S$2:$S$5000,0)),"")</f>
        <v/>
      </c>
      <c r="I32" s="87" t="str">
        <f>IFERROR(INDEX(EQA.Controllab_Dados!I$2:I$5000,MATCH(ROW()-4,EQA.Controllab_Dados!$S$2:$S$5000,0)),"")</f>
        <v/>
      </c>
      <c r="J32" s="85" t="str">
        <f>IFERROR(INDEX(EQA.Controllab_Dados!J$2:J$5000,MATCH(ROW()-4,EQA.Controllab_Dados!$S$2:$S$5000,0)),"")</f>
        <v/>
      </c>
      <c r="K32" s="85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81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85" t="str">
        <f>IFERROR(INDEX(EQA.Controllab_Dados!O$2:O$5000,MATCH(ROW()-4,EQA.Controllab_Dados!$S$2:$S$5000,0)),"")</f>
        <v/>
      </c>
      <c r="P32" s="85" t="str">
        <f>IFERROR(INDEX(EQA.Controllab_Dados!P$2:P$5000,MATCH(ROW()-4,EQA.Controllab_Dados!$S$2:$S$5000,0)),"")</f>
        <v/>
      </c>
      <c r="Q32" s="81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81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85" t="str">
        <f>IFERROR(INDEX(EQA.Controllab_Dados!F$2:F$5000,MATCH(ROW()-4,EQA.Controllab_Dados!$S$2:$S$5000,0)),"")</f>
        <v/>
      </c>
      <c r="G33" s="86" t="str">
        <f>IFERROR(INDEX(EQA.Controllab_Dados!G$2:G$5000,MATCH(ROW()-4,EQA.Controllab_Dados!$S$2:$S$5000,0)),"")</f>
        <v/>
      </c>
      <c r="H33" s="86" t="str">
        <f>IFERROR(INDEX(EQA.Controllab_Dados!H$2:H$5000,MATCH(ROW()-4,EQA.Controllab_Dados!$S$2:$S$5000,0)),"")</f>
        <v/>
      </c>
      <c r="I33" s="87" t="str">
        <f>IFERROR(INDEX(EQA.Controllab_Dados!I$2:I$5000,MATCH(ROW()-4,EQA.Controllab_Dados!$S$2:$S$5000,0)),"")</f>
        <v/>
      </c>
      <c r="J33" s="85" t="str">
        <f>IFERROR(INDEX(EQA.Controllab_Dados!J$2:J$5000,MATCH(ROW()-4,EQA.Controllab_Dados!$S$2:$S$5000,0)),"")</f>
        <v/>
      </c>
      <c r="K33" s="85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81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85" t="str">
        <f>IFERROR(INDEX(EQA.Controllab_Dados!O$2:O$5000,MATCH(ROW()-4,EQA.Controllab_Dados!$S$2:$S$5000,0)),"")</f>
        <v/>
      </c>
      <c r="P33" s="85" t="str">
        <f>IFERROR(INDEX(EQA.Controllab_Dados!P$2:P$5000,MATCH(ROW()-4,EQA.Controllab_Dados!$S$2:$S$5000,0)),"")</f>
        <v/>
      </c>
      <c r="Q33" s="81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81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85" t="str">
        <f>IFERROR(INDEX(EQA.Controllab_Dados!F$2:F$5000,MATCH(ROW()-4,EQA.Controllab_Dados!$S$2:$S$5000,0)),"")</f>
        <v/>
      </c>
      <c r="G34" s="86" t="str">
        <f>IFERROR(INDEX(EQA.Controllab_Dados!G$2:G$5000,MATCH(ROW()-4,EQA.Controllab_Dados!$S$2:$S$5000,0)),"")</f>
        <v/>
      </c>
      <c r="H34" s="86" t="str">
        <f>IFERROR(INDEX(EQA.Controllab_Dados!H$2:H$5000,MATCH(ROW()-4,EQA.Controllab_Dados!$S$2:$S$5000,0)),"")</f>
        <v/>
      </c>
      <c r="I34" s="87" t="str">
        <f>IFERROR(INDEX(EQA.Controllab_Dados!I$2:I$5000,MATCH(ROW()-4,EQA.Controllab_Dados!$S$2:$S$5000,0)),"")</f>
        <v/>
      </c>
      <c r="J34" s="85" t="str">
        <f>IFERROR(INDEX(EQA.Controllab_Dados!J$2:J$5000,MATCH(ROW()-4,EQA.Controllab_Dados!$S$2:$S$5000,0)),"")</f>
        <v/>
      </c>
      <c r="K34" s="85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81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85" t="str">
        <f>IFERROR(INDEX(EQA.Controllab_Dados!O$2:O$5000,MATCH(ROW()-4,EQA.Controllab_Dados!$S$2:$S$5000,0)),"")</f>
        <v/>
      </c>
      <c r="P34" s="85" t="str">
        <f>IFERROR(INDEX(EQA.Controllab_Dados!P$2:P$5000,MATCH(ROW()-4,EQA.Controllab_Dados!$S$2:$S$5000,0)),"")</f>
        <v/>
      </c>
      <c r="Q34" s="81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81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85" t="str">
        <f>IFERROR(INDEX(EQA.Controllab_Dados!F$2:F$5000,MATCH(ROW()-4,EQA.Controllab_Dados!$S$2:$S$5000,0)),"")</f>
        <v/>
      </c>
      <c r="G35" s="86" t="str">
        <f>IFERROR(INDEX(EQA.Controllab_Dados!G$2:G$5000,MATCH(ROW()-4,EQA.Controllab_Dados!$S$2:$S$5000,0)),"")</f>
        <v/>
      </c>
      <c r="H35" s="86" t="str">
        <f>IFERROR(INDEX(EQA.Controllab_Dados!H$2:H$5000,MATCH(ROW()-4,EQA.Controllab_Dados!$S$2:$S$5000,0)),"")</f>
        <v/>
      </c>
      <c r="I35" s="87" t="str">
        <f>IFERROR(INDEX(EQA.Controllab_Dados!I$2:I$5000,MATCH(ROW()-4,EQA.Controllab_Dados!$S$2:$S$5000,0)),"")</f>
        <v/>
      </c>
      <c r="J35" s="85" t="str">
        <f>IFERROR(INDEX(EQA.Controllab_Dados!J$2:J$5000,MATCH(ROW()-4,EQA.Controllab_Dados!$S$2:$S$5000,0)),"")</f>
        <v/>
      </c>
      <c r="K35" s="85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81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85" t="str">
        <f>IFERROR(INDEX(EQA.Controllab_Dados!O$2:O$5000,MATCH(ROW()-4,EQA.Controllab_Dados!$S$2:$S$5000,0)),"")</f>
        <v/>
      </c>
      <c r="P35" s="85" t="str">
        <f>IFERROR(INDEX(EQA.Controllab_Dados!P$2:P$5000,MATCH(ROW()-4,EQA.Controllab_Dados!$S$2:$S$5000,0)),"")</f>
        <v/>
      </c>
      <c r="Q35" s="81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81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85" t="str">
        <f>IFERROR(INDEX(EQA.Controllab_Dados!F$2:F$5000,MATCH(ROW()-4,EQA.Controllab_Dados!$S$2:$S$5000,0)),"")</f>
        <v/>
      </c>
      <c r="G36" s="86" t="str">
        <f>IFERROR(INDEX(EQA.Controllab_Dados!G$2:G$5000,MATCH(ROW()-4,EQA.Controllab_Dados!$S$2:$S$5000,0)),"")</f>
        <v/>
      </c>
      <c r="H36" s="86" t="str">
        <f>IFERROR(INDEX(EQA.Controllab_Dados!H$2:H$5000,MATCH(ROW()-4,EQA.Controllab_Dados!$S$2:$S$5000,0)),"")</f>
        <v/>
      </c>
      <c r="I36" s="87" t="str">
        <f>IFERROR(INDEX(EQA.Controllab_Dados!I$2:I$5000,MATCH(ROW()-4,EQA.Controllab_Dados!$S$2:$S$5000,0)),"")</f>
        <v/>
      </c>
      <c r="J36" s="85" t="str">
        <f>IFERROR(INDEX(EQA.Controllab_Dados!J$2:J$5000,MATCH(ROW()-4,EQA.Controllab_Dados!$S$2:$S$5000,0)),"")</f>
        <v/>
      </c>
      <c r="K36" s="85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81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85" t="str">
        <f>IFERROR(INDEX(EQA.Controllab_Dados!O$2:O$5000,MATCH(ROW()-4,EQA.Controllab_Dados!$S$2:$S$5000,0)),"")</f>
        <v/>
      </c>
      <c r="P36" s="85" t="str">
        <f>IFERROR(INDEX(EQA.Controllab_Dados!P$2:P$5000,MATCH(ROW()-4,EQA.Controllab_Dados!$S$2:$S$5000,0)),"")</f>
        <v/>
      </c>
      <c r="Q36" s="81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81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85" t="str">
        <f>IFERROR(INDEX(EQA.Controllab_Dados!F$2:F$5000,MATCH(ROW()-4,EQA.Controllab_Dados!$S$2:$S$5000,0)),"")</f>
        <v/>
      </c>
      <c r="G37" s="86" t="str">
        <f>IFERROR(INDEX(EQA.Controllab_Dados!G$2:G$5000,MATCH(ROW()-4,EQA.Controllab_Dados!$S$2:$S$5000,0)),"")</f>
        <v/>
      </c>
      <c r="H37" s="86" t="str">
        <f>IFERROR(INDEX(EQA.Controllab_Dados!H$2:H$5000,MATCH(ROW()-4,EQA.Controllab_Dados!$S$2:$S$5000,0)),"")</f>
        <v/>
      </c>
      <c r="I37" s="87" t="str">
        <f>IFERROR(INDEX(EQA.Controllab_Dados!I$2:I$5000,MATCH(ROW()-4,EQA.Controllab_Dados!$S$2:$S$5000,0)),"")</f>
        <v/>
      </c>
      <c r="J37" s="85" t="str">
        <f>IFERROR(INDEX(EQA.Controllab_Dados!J$2:J$5000,MATCH(ROW()-4,EQA.Controllab_Dados!$S$2:$S$5000,0)),"")</f>
        <v/>
      </c>
      <c r="K37" s="85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81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85" t="str">
        <f>IFERROR(INDEX(EQA.Controllab_Dados!O$2:O$5000,MATCH(ROW()-4,EQA.Controllab_Dados!$S$2:$S$5000,0)),"")</f>
        <v/>
      </c>
      <c r="P37" s="85" t="str">
        <f>IFERROR(INDEX(EQA.Controllab_Dados!P$2:P$5000,MATCH(ROW()-4,EQA.Controllab_Dados!$S$2:$S$5000,0)),"")</f>
        <v/>
      </c>
      <c r="Q37" s="81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81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85" t="str">
        <f>IFERROR(INDEX(EQA.Controllab_Dados!F$2:F$5000,MATCH(ROW()-4,EQA.Controllab_Dados!$S$2:$S$5000,0)),"")</f>
        <v/>
      </c>
      <c r="G38" s="86" t="str">
        <f>IFERROR(INDEX(EQA.Controllab_Dados!G$2:G$5000,MATCH(ROW()-4,EQA.Controllab_Dados!$S$2:$S$5000,0)),"")</f>
        <v/>
      </c>
      <c r="H38" s="86" t="str">
        <f>IFERROR(INDEX(EQA.Controllab_Dados!H$2:H$5000,MATCH(ROW()-4,EQA.Controllab_Dados!$S$2:$S$5000,0)),"")</f>
        <v/>
      </c>
      <c r="I38" s="87" t="str">
        <f>IFERROR(INDEX(EQA.Controllab_Dados!I$2:I$5000,MATCH(ROW()-4,EQA.Controllab_Dados!$S$2:$S$5000,0)),"")</f>
        <v/>
      </c>
      <c r="J38" s="85" t="str">
        <f>IFERROR(INDEX(EQA.Controllab_Dados!J$2:J$5000,MATCH(ROW()-4,EQA.Controllab_Dados!$S$2:$S$5000,0)),"")</f>
        <v/>
      </c>
      <c r="K38" s="85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81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85" t="str">
        <f>IFERROR(INDEX(EQA.Controllab_Dados!O$2:O$5000,MATCH(ROW()-4,EQA.Controllab_Dados!$S$2:$S$5000,0)),"")</f>
        <v/>
      </c>
      <c r="P38" s="85" t="str">
        <f>IFERROR(INDEX(EQA.Controllab_Dados!P$2:P$5000,MATCH(ROW()-4,EQA.Controllab_Dados!$S$2:$S$5000,0)),"")</f>
        <v/>
      </c>
      <c r="Q38" s="81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81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85" t="str">
        <f>IFERROR(INDEX(EQA.Controllab_Dados!F$2:F$5000,MATCH(ROW()-4,EQA.Controllab_Dados!$S$2:$S$5000,0)),"")</f>
        <v/>
      </c>
      <c r="G39" s="86" t="str">
        <f>IFERROR(INDEX(EQA.Controllab_Dados!G$2:G$5000,MATCH(ROW()-4,EQA.Controllab_Dados!$S$2:$S$5000,0)),"")</f>
        <v/>
      </c>
      <c r="H39" s="86" t="str">
        <f>IFERROR(INDEX(EQA.Controllab_Dados!H$2:H$5000,MATCH(ROW()-4,EQA.Controllab_Dados!$S$2:$S$5000,0)),"")</f>
        <v/>
      </c>
      <c r="I39" s="87" t="str">
        <f>IFERROR(INDEX(EQA.Controllab_Dados!I$2:I$5000,MATCH(ROW()-4,EQA.Controllab_Dados!$S$2:$S$5000,0)),"")</f>
        <v/>
      </c>
      <c r="J39" s="85" t="str">
        <f>IFERROR(INDEX(EQA.Controllab_Dados!J$2:J$5000,MATCH(ROW()-4,EQA.Controllab_Dados!$S$2:$S$5000,0)),"")</f>
        <v/>
      </c>
      <c r="K39" s="85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81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85" t="str">
        <f>IFERROR(INDEX(EQA.Controllab_Dados!O$2:O$5000,MATCH(ROW()-4,EQA.Controllab_Dados!$S$2:$S$5000,0)),"")</f>
        <v/>
      </c>
      <c r="P39" s="85" t="str">
        <f>IFERROR(INDEX(EQA.Controllab_Dados!P$2:P$5000,MATCH(ROW()-4,EQA.Controllab_Dados!$S$2:$S$5000,0)),"")</f>
        <v/>
      </c>
      <c r="Q39" s="81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81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85" t="str">
        <f>IFERROR(INDEX(EQA.Controllab_Dados!F$2:F$5000,MATCH(ROW()-4,EQA.Controllab_Dados!$S$2:$S$5000,0)),"")</f>
        <v/>
      </c>
      <c r="G40" s="86" t="str">
        <f>IFERROR(INDEX(EQA.Controllab_Dados!G$2:G$5000,MATCH(ROW()-4,EQA.Controllab_Dados!$S$2:$S$5000,0)),"")</f>
        <v/>
      </c>
      <c r="H40" s="86" t="str">
        <f>IFERROR(INDEX(EQA.Controllab_Dados!H$2:H$5000,MATCH(ROW()-4,EQA.Controllab_Dados!$S$2:$S$5000,0)),"")</f>
        <v/>
      </c>
      <c r="I40" s="87" t="str">
        <f>IFERROR(INDEX(EQA.Controllab_Dados!I$2:I$5000,MATCH(ROW()-4,EQA.Controllab_Dados!$S$2:$S$5000,0)),"")</f>
        <v/>
      </c>
      <c r="J40" s="85" t="str">
        <f>IFERROR(INDEX(EQA.Controllab_Dados!J$2:J$5000,MATCH(ROW()-4,EQA.Controllab_Dados!$S$2:$S$5000,0)),"")</f>
        <v/>
      </c>
      <c r="K40" s="85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81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85" t="str">
        <f>IFERROR(INDEX(EQA.Controllab_Dados!O$2:O$5000,MATCH(ROW()-4,EQA.Controllab_Dados!$S$2:$S$5000,0)),"")</f>
        <v/>
      </c>
      <c r="P40" s="85" t="str">
        <f>IFERROR(INDEX(EQA.Controllab_Dados!P$2:P$5000,MATCH(ROW()-4,EQA.Controllab_Dados!$S$2:$S$5000,0)),"")</f>
        <v/>
      </c>
      <c r="Q40" s="81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81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85" t="str">
        <f>IFERROR(INDEX(EQA.Controllab_Dados!F$2:F$5000,MATCH(ROW()-4,EQA.Controllab_Dados!$S$2:$S$5000,0)),"")</f>
        <v/>
      </c>
      <c r="G41" s="86" t="str">
        <f>IFERROR(INDEX(EQA.Controllab_Dados!G$2:G$5000,MATCH(ROW()-4,EQA.Controllab_Dados!$S$2:$S$5000,0)),"")</f>
        <v/>
      </c>
      <c r="H41" s="86" t="str">
        <f>IFERROR(INDEX(EQA.Controllab_Dados!H$2:H$5000,MATCH(ROW()-4,EQA.Controllab_Dados!$S$2:$S$5000,0)),"")</f>
        <v/>
      </c>
      <c r="I41" s="87" t="str">
        <f>IFERROR(INDEX(EQA.Controllab_Dados!I$2:I$5000,MATCH(ROW()-4,EQA.Controllab_Dados!$S$2:$S$5000,0)),"")</f>
        <v/>
      </c>
      <c r="J41" s="85" t="str">
        <f>IFERROR(INDEX(EQA.Controllab_Dados!J$2:J$5000,MATCH(ROW()-4,EQA.Controllab_Dados!$S$2:$S$5000,0)),"")</f>
        <v/>
      </c>
      <c r="K41" s="85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81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85" t="str">
        <f>IFERROR(INDEX(EQA.Controllab_Dados!O$2:O$5000,MATCH(ROW()-4,EQA.Controllab_Dados!$S$2:$S$5000,0)),"")</f>
        <v/>
      </c>
      <c r="P41" s="85" t="str">
        <f>IFERROR(INDEX(EQA.Controllab_Dados!P$2:P$5000,MATCH(ROW()-4,EQA.Controllab_Dados!$S$2:$S$5000,0)),"")</f>
        <v/>
      </c>
      <c r="Q41" s="81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81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85" t="str">
        <f>IFERROR(INDEX(EQA.Controllab_Dados!F$2:F$5000,MATCH(ROW()-4,EQA.Controllab_Dados!$S$2:$S$5000,0)),"")</f>
        <v/>
      </c>
      <c r="G42" s="86" t="str">
        <f>IFERROR(INDEX(EQA.Controllab_Dados!G$2:G$5000,MATCH(ROW()-4,EQA.Controllab_Dados!$S$2:$S$5000,0)),"")</f>
        <v/>
      </c>
      <c r="H42" s="86" t="str">
        <f>IFERROR(INDEX(EQA.Controllab_Dados!H$2:H$5000,MATCH(ROW()-4,EQA.Controllab_Dados!$S$2:$S$5000,0)),"")</f>
        <v/>
      </c>
      <c r="I42" s="87" t="str">
        <f>IFERROR(INDEX(EQA.Controllab_Dados!I$2:I$5000,MATCH(ROW()-4,EQA.Controllab_Dados!$S$2:$S$5000,0)),"")</f>
        <v/>
      </c>
      <c r="J42" s="85" t="str">
        <f>IFERROR(INDEX(EQA.Controllab_Dados!J$2:J$5000,MATCH(ROW()-4,EQA.Controllab_Dados!$S$2:$S$5000,0)),"")</f>
        <v/>
      </c>
      <c r="K42" s="85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81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85" t="str">
        <f>IFERROR(INDEX(EQA.Controllab_Dados!O$2:O$5000,MATCH(ROW()-4,EQA.Controllab_Dados!$S$2:$S$5000,0)),"")</f>
        <v/>
      </c>
      <c r="P42" s="85" t="str">
        <f>IFERROR(INDEX(EQA.Controllab_Dados!P$2:P$5000,MATCH(ROW()-4,EQA.Controllab_Dados!$S$2:$S$5000,0)),"")</f>
        <v/>
      </c>
      <c r="Q42" s="81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81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85" t="str">
        <f>IFERROR(INDEX(EQA.Controllab_Dados!F$2:F$5000,MATCH(ROW()-4,EQA.Controllab_Dados!$S$2:$S$5000,0)),"")</f>
        <v/>
      </c>
      <c r="G43" s="86" t="str">
        <f>IFERROR(INDEX(EQA.Controllab_Dados!G$2:G$5000,MATCH(ROW()-4,EQA.Controllab_Dados!$S$2:$S$5000,0)),"")</f>
        <v/>
      </c>
      <c r="H43" s="86" t="str">
        <f>IFERROR(INDEX(EQA.Controllab_Dados!H$2:H$5000,MATCH(ROW()-4,EQA.Controllab_Dados!$S$2:$S$5000,0)),"")</f>
        <v/>
      </c>
      <c r="I43" s="87" t="str">
        <f>IFERROR(INDEX(EQA.Controllab_Dados!I$2:I$5000,MATCH(ROW()-4,EQA.Controllab_Dados!$S$2:$S$5000,0)),"")</f>
        <v/>
      </c>
      <c r="J43" s="85" t="str">
        <f>IFERROR(INDEX(EQA.Controllab_Dados!J$2:J$5000,MATCH(ROW()-4,EQA.Controllab_Dados!$S$2:$S$5000,0)),"")</f>
        <v/>
      </c>
      <c r="K43" s="85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81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85" t="str">
        <f>IFERROR(INDEX(EQA.Controllab_Dados!O$2:O$5000,MATCH(ROW()-4,EQA.Controllab_Dados!$S$2:$S$5000,0)),"")</f>
        <v/>
      </c>
      <c r="P43" s="85" t="str">
        <f>IFERROR(INDEX(EQA.Controllab_Dados!P$2:P$5000,MATCH(ROW()-4,EQA.Controllab_Dados!$S$2:$S$5000,0)),"")</f>
        <v/>
      </c>
      <c r="Q43" s="81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81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85" t="str">
        <f>IFERROR(INDEX(EQA.Controllab_Dados!F$2:F$5000,MATCH(ROW()-4,EQA.Controllab_Dados!$S$2:$S$5000,0)),"")</f>
        <v/>
      </c>
      <c r="G44" s="86" t="str">
        <f>IFERROR(INDEX(EQA.Controllab_Dados!G$2:G$5000,MATCH(ROW()-4,EQA.Controllab_Dados!$S$2:$S$5000,0)),"")</f>
        <v/>
      </c>
      <c r="H44" s="86" t="str">
        <f>IFERROR(INDEX(EQA.Controllab_Dados!H$2:H$5000,MATCH(ROW()-4,EQA.Controllab_Dados!$S$2:$S$5000,0)),"")</f>
        <v/>
      </c>
      <c r="I44" s="87" t="str">
        <f>IFERROR(INDEX(EQA.Controllab_Dados!I$2:I$5000,MATCH(ROW()-4,EQA.Controllab_Dados!$S$2:$S$5000,0)),"")</f>
        <v/>
      </c>
      <c r="J44" s="85" t="str">
        <f>IFERROR(INDEX(EQA.Controllab_Dados!J$2:J$5000,MATCH(ROW()-4,EQA.Controllab_Dados!$S$2:$S$5000,0)),"")</f>
        <v/>
      </c>
      <c r="K44" s="85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81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85" t="str">
        <f>IFERROR(INDEX(EQA.Controllab_Dados!O$2:O$5000,MATCH(ROW()-4,EQA.Controllab_Dados!$S$2:$S$5000,0)),"")</f>
        <v/>
      </c>
      <c r="P44" s="85" t="str">
        <f>IFERROR(INDEX(EQA.Controllab_Dados!P$2:P$5000,MATCH(ROW()-4,EQA.Controllab_Dados!$S$2:$S$5000,0)),"")</f>
        <v/>
      </c>
      <c r="Q44" s="81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81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85" t="str">
        <f>IFERROR(INDEX(EQA.Controllab_Dados!F$2:F$5000,MATCH(ROW()-4,EQA.Controllab_Dados!$S$2:$S$5000,0)),"")</f>
        <v/>
      </c>
      <c r="G45" s="86" t="str">
        <f>IFERROR(INDEX(EQA.Controllab_Dados!G$2:G$5000,MATCH(ROW()-4,EQA.Controllab_Dados!$S$2:$S$5000,0)),"")</f>
        <v/>
      </c>
      <c r="H45" s="86" t="str">
        <f>IFERROR(INDEX(EQA.Controllab_Dados!H$2:H$5000,MATCH(ROW()-4,EQA.Controllab_Dados!$S$2:$S$5000,0)),"")</f>
        <v/>
      </c>
      <c r="I45" s="87" t="str">
        <f>IFERROR(INDEX(EQA.Controllab_Dados!I$2:I$5000,MATCH(ROW()-4,EQA.Controllab_Dados!$S$2:$S$5000,0)),"")</f>
        <v/>
      </c>
      <c r="J45" s="85" t="str">
        <f>IFERROR(INDEX(EQA.Controllab_Dados!J$2:J$5000,MATCH(ROW()-4,EQA.Controllab_Dados!$S$2:$S$5000,0)),"")</f>
        <v/>
      </c>
      <c r="K45" s="85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81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85" t="str">
        <f>IFERROR(INDEX(EQA.Controllab_Dados!O$2:O$5000,MATCH(ROW()-4,EQA.Controllab_Dados!$S$2:$S$5000,0)),"")</f>
        <v/>
      </c>
      <c r="P45" s="85" t="str">
        <f>IFERROR(INDEX(EQA.Controllab_Dados!P$2:P$5000,MATCH(ROW()-4,EQA.Controllab_Dados!$S$2:$S$5000,0)),"")</f>
        <v/>
      </c>
      <c r="Q45" s="81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81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85" t="str">
        <f>IFERROR(INDEX(EQA.Controllab_Dados!F$2:F$5000,MATCH(ROW()-4,EQA.Controllab_Dados!$S$2:$S$5000,0)),"")</f>
        <v/>
      </c>
      <c r="G46" s="86" t="str">
        <f>IFERROR(INDEX(EQA.Controllab_Dados!G$2:G$5000,MATCH(ROW()-4,EQA.Controllab_Dados!$S$2:$S$5000,0)),"")</f>
        <v/>
      </c>
      <c r="H46" s="86" t="str">
        <f>IFERROR(INDEX(EQA.Controllab_Dados!H$2:H$5000,MATCH(ROW()-4,EQA.Controllab_Dados!$S$2:$S$5000,0)),"")</f>
        <v/>
      </c>
      <c r="I46" s="87" t="str">
        <f>IFERROR(INDEX(EQA.Controllab_Dados!I$2:I$5000,MATCH(ROW()-4,EQA.Controllab_Dados!$S$2:$S$5000,0)),"")</f>
        <v/>
      </c>
      <c r="J46" s="85" t="str">
        <f>IFERROR(INDEX(EQA.Controllab_Dados!J$2:J$5000,MATCH(ROW()-4,EQA.Controllab_Dados!$S$2:$S$5000,0)),"")</f>
        <v/>
      </c>
      <c r="K46" s="85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81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85" t="str">
        <f>IFERROR(INDEX(EQA.Controllab_Dados!O$2:O$5000,MATCH(ROW()-4,EQA.Controllab_Dados!$S$2:$S$5000,0)),"")</f>
        <v/>
      </c>
      <c r="P46" s="85" t="str">
        <f>IFERROR(INDEX(EQA.Controllab_Dados!P$2:P$5000,MATCH(ROW()-4,EQA.Controllab_Dados!$S$2:$S$5000,0)),"")</f>
        <v/>
      </c>
      <c r="Q46" s="81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81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85" t="str">
        <f>IFERROR(INDEX(EQA.Controllab_Dados!F$2:F$5000,MATCH(ROW()-4,EQA.Controllab_Dados!$S$2:$S$5000,0)),"")</f>
        <v/>
      </c>
      <c r="G47" s="86" t="str">
        <f>IFERROR(INDEX(EQA.Controllab_Dados!G$2:G$5000,MATCH(ROW()-4,EQA.Controllab_Dados!$S$2:$S$5000,0)),"")</f>
        <v/>
      </c>
      <c r="H47" s="86" t="str">
        <f>IFERROR(INDEX(EQA.Controllab_Dados!H$2:H$5000,MATCH(ROW()-4,EQA.Controllab_Dados!$S$2:$S$5000,0)),"")</f>
        <v/>
      </c>
      <c r="I47" s="87" t="str">
        <f>IFERROR(INDEX(EQA.Controllab_Dados!I$2:I$5000,MATCH(ROW()-4,EQA.Controllab_Dados!$S$2:$S$5000,0)),"")</f>
        <v/>
      </c>
      <c r="J47" s="85" t="str">
        <f>IFERROR(INDEX(EQA.Controllab_Dados!J$2:J$5000,MATCH(ROW()-4,EQA.Controllab_Dados!$S$2:$S$5000,0)),"")</f>
        <v/>
      </c>
      <c r="K47" s="85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81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85" t="str">
        <f>IFERROR(INDEX(EQA.Controllab_Dados!O$2:O$5000,MATCH(ROW()-4,EQA.Controllab_Dados!$S$2:$S$5000,0)),"")</f>
        <v/>
      </c>
      <c r="P47" s="85" t="str">
        <f>IFERROR(INDEX(EQA.Controllab_Dados!P$2:P$5000,MATCH(ROW()-4,EQA.Controllab_Dados!$S$2:$S$5000,0)),"")</f>
        <v/>
      </c>
      <c r="Q47" s="81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81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85" t="str">
        <f>IFERROR(INDEX(EQA.Controllab_Dados!F$2:F$5000,MATCH(ROW()-4,EQA.Controllab_Dados!$S$2:$S$5000,0)),"")</f>
        <v/>
      </c>
      <c r="G48" s="86" t="str">
        <f>IFERROR(INDEX(EQA.Controllab_Dados!G$2:G$5000,MATCH(ROW()-4,EQA.Controllab_Dados!$S$2:$S$5000,0)),"")</f>
        <v/>
      </c>
      <c r="H48" s="86" t="str">
        <f>IFERROR(INDEX(EQA.Controllab_Dados!H$2:H$5000,MATCH(ROW()-4,EQA.Controllab_Dados!$S$2:$S$5000,0)),"")</f>
        <v/>
      </c>
      <c r="I48" s="87" t="str">
        <f>IFERROR(INDEX(EQA.Controllab_Dados!I$2:I$5000,MATCH(ROW()-4,EQA.Controllab_Dados!$S$2:$S$5000,0)),"")</f>
        <v/>
      </c>
      <c r="J48" s="85" t="str">
        <f>IFERROR(INDEX(EQA.Controllab_Dados!J$2:J$5000,MATCH(ROW()-4,EQA.Controllab_Dados!$S$2:$S$5000,0)),"")</f>
        <v/>
      </c>
      <c r="K48" s="85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81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85" t="str">
        <f>IFERROR(INDEX(EQA.Controllab_Dados!O$2:O$5000,MATCH(ROW()-4,EQA.Controllab_Dados!$S$2:$S$5000,0)),"")</f>
        <v/>
      </c>
      <c r="P48" s="85" t="str">
        <f>IFERROR(INDEX(EQA.Controllab_Dados!P$2:P$5000,MATCH(ROW()-4,EQA.Controllab_Dados!$S$2:$S$5000,0)),"")</f>
        <v/>
      </c>
      <c r="Q48" s="81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81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85" t="str">
        <f>IFERROR(INDEX(EQA.Controllab_Dados!F$2:F$5000,MATCH(ROW()-4,EQA.Controllab_Dados!$S$2:$S$5000,0)),"")</f>
        <v/>
      </c>
      <c r="G49" s="86" t="str">
        <f>IFERROR(INDEX(EQA.Controllab_Dados!G$2:G$5000,MATCH(ROW()-4,EQA.Controllab_Dados!$S$2:$S$5000,0)),"")</f>
        <v/>
      </c>
      <c r="H49" s="86" t="str">
        <f>IFERROR(INDEX(EQA.Controllab_Dados!H$2:H$5000,MATCH(ROW()-4,EQA.Controllab_Dados!$S$2:$S$5000,0)),"")</f>
        <v/>
      </c>
      <c r="I49" s="87" t="str">
        <f>IFERROR(INDEX(EQA.Controllab_Dados!I$2:I$5000,MATCH(ROW()-4,EQA.Controllab_Dados!$S$2:$S$5000,0)),"")</f>
        <v/>
      </c>
      <c r="J49" s="85" t="str">
        <f>IFERROR(INDEX(EQA.Controllab_Dados!J$2:J$5000,MATCH(ROW()-4,EQA.Controllab_Dados!$S$2:$S$5000,0)),"")</f>
        <v/>
      </c>
      <c r="K49" s="85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81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85" t="str">
        <f>IFERROR(INDEX(EQA.Controllab_Dados!O$2:O$5000,MATCH(ROW()-4,EQA.Controllab_Dados!$S$2:$S$5000,0)),"")</f>
        <v/>
      </c>
      <c r="P49" s="85" t="str">
        <f>IFERROR(INDEX(EQA.Controllab_Dados!P$2:P$5000,MATCH(ROW()-4,EQA.Controllab_Dados!$S$2:$S$5000,0)),"")</f>
        <v/>
      </c>
      <c r="Q49" s="81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81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85" t="str">
        <f>IFERROR(INDEX(EQA.Controllab_Dados!F$2:F$5000,MATCH(ROW()-4,EQA.Controllab_Dados!$S$2:$S$5000,0)),"")</f>
        <v/>
      </c>
      <c r="G50" s="86" t="str">
        <f>IFERROR(INDEX(EQA.Controllab_Dados!G$2:G$5000,MATCH(ROW()-4,EQA.Controllab_Dados!$S$2:$S$5000,0)),"")</f>
        <v/>
      </c>
      <c r="H50" s="86" t="str">
        <f>IFERROR(INDEX(EQA.Controllab_Dados!H$2:H$5000,MATCH(ROW()-4,EQA.Controllab_Dados!$S$2:$S$5000,0)),"")</f>
        <v/>
      </c>
      <c r="I50" s="87" t="str">
        <f>IFERROR(INDEX(EQA.Controllab_Dados!I$2:I$5000,MATCH(ROW()-4,EQA.Controllab_Dados!$S$2:$S$5000,0)),"")</f>
        <v/>
      </c>
      <c r="J50" s="85" t="str">
        <f>IFERROR(INDEX(EQA.Controllab_Dados!J$2:J$5000,MATCH(ROW()-4,EQA.Controllab_Dados!$S$2:$S$5000,0)),"")</f>
        <v/>
      </c>
      <c r="K50" s="85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81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85" t="str">
        <f>IFERROR(INDEX(EQA.Controllab_Dados!O$2:O$5000,MATCH(ROW()-4,EQA.Controllab_Dados!$S$2:$S$5000,0)),"")</f>
        <v/>
      </c>
      <c r="P50" s="85" t="str">
        <f>IFERROR(INDEX(EQA.Controllab_Dados!P$2:P$5000,MATCH(ROW()-4,EQA.Controllab_Dados!$S$2:$S$5000,0)),"")</f>
        <v/>
      </c>
      <c r="Q50" s="81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81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85" t="str">
        <f>IFERROR(INDEX(EQA.Controllab_Dados!F$2:F$5000,MATCH(ROW()-4,EQA.Controllab_Dados!$S$2:$S$5000,0)),"")</f>
        <v/>
      </c>
      <c r="G51" s="86" t="str">
        <f>IFERROR(INDEX(EQA.Controllab_Dados!G$2:G$5000,MATCH(ROW()-4,EQA.Controllab_Dados!$S$2:$S$5000,0)),"")</f>
        <v/>
      </c>
      <c r="H51" s="86" t="str">
        <f>IFERROR(INDEX(EQA.Controllab_Dados!H$2:H$5000,MATCH(ROW()-4,EQA.Controllab_Dados!$S$2:$S$5000,0)),"")</f>
        <v/>
      </c>
      <c r="I51" s="87" t="str">
        <f>IFERROR(INDEX(EQA.Controllab_Dados!I$2:I$5000,MATCH(ROW()-4,EQA.Controllab_Dados!$S$2:$S$5000,0)),"")</f>
        <v/>
      </c>
      <c r="J51" s="85" t="str">
        <f>IFERROR(INDEX(EQA.Controllab_Dados!J$2:J$5000,MATCH(ROW()-4,EQA.Controllab_Dados!$S$2:$S$5000,0)),"")</f>
        <v/>
      </c>
      <c r="K51" s="85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81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85" t="str">
        <f>IFERROR(INDEX(EQA.Controllab_Dados!O$2:O$5000,MATCH(ROW()-4,EQA.Controllab_Dados!$S$2:$S$5000,0)),"")</f>
        <v/>
      </c>
      <c r="P51" s="85" t="str">
        <f>IFERROR(INDEX(EQA.Controllab_Dados!P$2:P$5000,MATCH(ROW()-4,EQA.Controllab_Dados!$S$2:$S$5000,0)),"")</f>
        <v/>
      </c>
      <c r="Q51" s="81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81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85" t="str">
        <f>IFERROR(INDEX(EQA.Controllab_Dados!F$2:F$5000,MATCH(ROW()-4,EQA.Controllab_Dados!$S$2:$S$5000,0)),"")</f>
        <v/>
      </c>
      <c r="G52" s="86" t="str">
        <f>IFERROR(INDEX(EQA.Controllab_Dados!G$2:G$5000,MATCH(ROW()-4,EQA.Controllab_Dados!$S$2:$S$5000,0)),"")</f>
        <v/>
      </c>
      <c r="H52" s="86" t="str">
        <f>IFERROR(INDEX(EQA.Controllab_Dados!H$2:H$5000,MATCH(ROW()-4,EQA.Controllab_Dados!$S$2:$S$5000,0)),"")</f>
        <v/>
      </c>
      <c r="I52" s="87" t="str">
        <f>IFERROR(INDEX(EQA.Controllab_Dados!I$2:I$5000,MATCH(ROW()-4,EQA.Controllab_Dados!$S$2:$S$5000,0)),"")</f>
        <v/>
      </c>
      <c r="J52" s="85" t="str">
        <f>IFERROR(INDEX(EQA.Controllab_Dados!J$2:J$5000,MATCH(ROW()-4,EQA.Controllab_Dados!$S$2:$S$5000,0)),"")</f>
        <v/>
      </c>
      <c r="K52" s="85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81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85" t="str">
        <f>IFERROR(INDEX(EQA.Controllab_Dados!O$2:O$5000,MATCH(ROW()-4,EQA.Controllab_Dados!$S$2:$S$5000,0)),"")</f>
        <v/>
      </c>
      <c r="P52" s="85" t="str">
        <f>IFERROR(INDEX(EQA.Controllab_Dados!P$2:P$5000,MATCH(ROW()-4,EQA.Controllab_Dados!$S$2:$S$5000,0)),"")</f>
        <v/>
      </c>
      <c r="Q52" s="81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81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85" t="str">
        <f>IFERROR(INDEX(EQA.Controllab_Dados!F$2:F$5000,MATCH(ROW()-4,EQA.Controllab_Dados!$S$2:$S$5000,0)),"")</f>
        <v/>
      </c>
      <c r="G53" s="86" t="str">
        <f>IFERROR(INDEX(EQA.Controllab_Dados!G$2:G$5000,MATCH(ROW()-4,EQA.Controllab_Dados!$S$2:$S$5000,0)),"")</f>
        <v/>
      </c>
      <c r="H53" s="86" t="str">
        <f>IFERROR(INDEX(EQA.Controllab_Dados!H$2:H$5000,MATCH(ROW()-4,EQA.Controllab_Dados!$S$2:$S$5000,0)),"")</f>
        <v/>
      </c>
      <c r="I53" s="87" t="str">
        <f>IFERROR(INDEX(EQA.Controllab_Dados!I$2:I$5000,MATCH(ROW()-4,EQA.Controllab_Dados!$S$2:$S$5000,0)),"")</f>
        <v/>
      </c>
      <c r="J53" s="85" t="str">
        <f>IFERROR(INDEX(EQA.Controllab_Dados!J$2:J$5000,MATCH(ROW()-4,EQA.Controllab_Dados!$S$2:$S$5000,0)),"")</f>
        <v/>
      </c>
      <c r="K53" s="85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81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85" t="str">
        <f>IFERROR(INDEX(EQA.Controllab_Dados!O$2:O$5000,MATCH(ROW()-4,EQA.Controllab_Dados!$S$2:$S$5000,0)),"")</f>
        <v/>
      </c>
      <c r="P53" s="85" t="str">
        <f>IFERROR(INDEX(EQA.Controllab_Dados!P$2:P$5000,MATCH(ROW()-4,EQA.Controllab_Dados!$S$2:$S$5000,0)),"")</f>
        <v/>
      </c>
      <c r="Q53" s="81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81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85" t="str">
        <f>IFERROR(INDEX(EQA.Controllab_Dados!F$2:F$5000,MATCH(ROW()-4,EQA.Controllab_Dados!$S$2:$S$5000,0)),"")</f>
        <v/>
      </c>
      <c r="G54" s="86" t="str">
        <f>IFERROR(INDEX(EQA.Controllab_Dados!G$2:G$5000,MATCH(ROW()-4,EQA.Controllab_Dados!$S$2:$S$5000,0)),"")</f>
        <v/>
      </c>
      <c r="H54" s="86" t="str">
        <f>IFERROR(INDEX(EQA.Controllab_Dados!H$2:H$5000,MATCH(ROW()-4,EQA.Controllab_Dados!$S$2:$S$5000,0)),"")</f>
        <v/>
      </c>
      <c r="I54" s="87" t="str">
        <f>IFERROR(INDEX(EQA.Controllab_Dados!I$2:I$5000,MATCH(ROW()-4,EQA.Controllab_Dados!$S$2:$S$5000,0)),"")</f>
        <v/>
      </c>
      <c r="J54" s="85" t="str">
        <f>IFERROR(INDEX(EQA.Controllab_Dados!J$2:J$5000,MATCH(ROW()-4,EQA.Controllab_Dados!$S$2:$S$5000,0)),"")</f>
        <v/>
      </c>
      <c r="K54" s="85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81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85" t="str">
        <f>IFERROR(INDEX(EQA.Controllab_Dados!O$2:O$5000,MATCH(ROW()-4,EQA.Controllab_Dados!$S$2:$S$5000,0)),"")</f>
        <v/>
      </c>
      <c r="P54" s="85" t="str">
        <f>IFERROR(INDEX(EQA.Controllab_Dados!P$2:P$5000,MATCH(ROW()-4,EQA.Controllab_Dados!$S$2:$S$5000,0)),"")</f>
        <v/>
      </c>
      <c r="Q54" s="81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81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85" t="str">
        <f>IFERROR(INDEX(EQA.Controllab_Dados!F$2:F$5000,MATCH(ROW()-4,EQA.Controllab_Dados!$S$2:$S$5000,0)),"")</f>
        <v/>
      </c>
      <c r="G55" s="86" t="str">
        <f>IFERROR(INDEX(EQA.Controllab_Dados!G$2:G$5000,MATCH(ROW()-4,EQA.Controllab_Dados!$S$2:$S$5000,0)),"")</f>
        <v/>
      </c>
      <c r="H55" s="86" t="str">
        <f>IFERROR(INDEX(EQA.Controllab_Dados!H$2:H$5000,MATCH(ROW()-4,EQA.Controllab_Dados!$S$2:$S$5000,0)),"")</f>
        <v/>
      </c>
      <c r="I55" s="87" t="str">
        <f>IFERROR(INDEX(EQA.Controllab_Dados!I$2:I$5000,MATCH(ROW()-4,EQA.Controllab_Dados!$S$2:$S$5000,0)),"")</f>
        <v/>
      </c>
      <c r="J55" s="85" t="str">
        <f>IFERROR(INDEX(EQA.Controllab_Dados!J$2:J$5000,MATCH(ROW()-4,EQA.Controllab_Dados!$S$2:$S$5000,0)),"")</f>
        <v/>
      </c>
      <c r="K55" s="85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81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85" t="str">
        <f>IFERROR(INDEX(EQA.Controllab_Dados!O$2:O$5000,MATCH(ROW()-4,EQA.Controllab_Dados!$S$2:$S$5000,0)),"")</f>
        <v/>
      </c>
      <c r="P55" s="85" t="str">
        <f>IFERROR(INDEX(EQA.Controllab_Dados!P$2:P$5000,MATCH(ROW()-4,EQA.Controllab_Dados!$S$2:$S$5000,0)),"")</f>
        <v/>
      </c>
      <c r="Q55" s="81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81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85" t="str">
        <f>IFERROR(INDEX(EQA.Controllab_Dados!F$2:F$5000,MATCH(ROW()-4,EQA.Controllab_Dados!$S$2:$S$5000,0)),"")</f>
        <v/>
      </c>
      <c r="G56" s="86" t="str">
        <f>IFERROR(INDEX(EQA.Controllab_Dados!G$2:G$5000,MATCH(ROW()-4,EQA.Controllab_Dados!$S$2:$S$5000,0)),"")</f>
        <v/>
      </c>
      <c r="H56" s="86" t="str">
        <f>IFERROR(INDEX(EQA.Controllab_Dados!H$2:H$5000,MATCH(ROW()-4,EQA.Controllab_Dados!$S$2:$S$5000,0)),"")</f>
        <v/>
      </c>
      <c r="I56" s="87" t="str">
        <f>IFERROR(INDEX(EQA.Controllab_Dados!I$2:I$5000,MATCH(ROW()-4,EQA.Controllab_Dados!$S$2:$S$5000,0)),"")</f>
        <v/>
      </c>
      <c r="J56" s="85" t="str">
        <f>IFERROR(INDEX(EQA.Controllab_Dados!J$2:J$5000,MATCH(ROW()-4,EQA.Controllab_Dados!$S$2:$S$5000,0)),"")</f>
        <v/>
      </c>
      <c r="K56" s="85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81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85" t="str">
        <f>IFERROR(INDEX(EQA.Controllab_Dados!O$2:O$5000,MATCH(ROW()-4,EQA.Controllab_Dados!$S$2:$S$5000,0)),"")</f>
        <v/>
      </c>
      <c r="P56" s="85" t="str">
        <f>IFERROR(INDEX(EQA.Controllab_Dados!P$2:P$5000,MATCH(ROW()-4,EQA.Controllab_Dados!$S$2:$S$5000,0)),"")</f>
        <v/>
      </c>
      <c r="Q56" s="81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81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85" t="str">
        <f>IFERROR(INDEX(EQA.Controllab_Dados!F$2:F$5000,MATCH(ROW()-4,EQA.Controllab_Dados!$S$2:$S$5000,0)),"")</f>
        <v/>
      </c>
      <c r="G57" s="86" t="str">
        <f>IFERROR(INDEX(EQA.Controllab_Dados!G$2:G$5000,MATCH(ROW()-4,EQA.Controllab_Dados!$S$2:$S$5000,0)),"")</f>
        <v/>
      </c>
      <c r="H57" s="86" t="str">
        <f>IFERROR(INDEX(EQA.Controllab_Dados!H$2:H$5000,MATCH(ROW()-4,EQA.Controllab_Dados!$S$2:$S$5000,0)),"")</f>
        <v/>
      </c>
      <c r="I57" s="87" t="str">
        <f>IFERROR(INDEX(EQA.Controllab_Dados!I$2:I$5000,MATCH(ROW()-4,EQA.Controllab_Dados!$S$2:$S$5000,0)),"")</f>
        <v/>
      </c>
      <c r="J57" s="85" t="str">
        <f>IFERROR(INDEX(EQA.Controllab_Dados!J$2:J$5000,MATCH(ROW()-4,EQA.Controllab_Dados!$S$2:$S$5000,0)),"")</f>
        <v/>
      </c>
      <c r="K57" s="85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81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85" t="str">
        <f>IFERROR(INDEX(EQA.Controllab_Dados!O$2:O$5000,MATCH(ROW()-4,EQA.Controllab_Dados!$S$2:$S$5000,0)),"")</f>
        <v/>
      </c>
      <c r="P57" s="85" t="str">
        <f>IFERROR(INDEX(EQA.Controllab_Dados!P$2:P$5000,MATCH(ROW()-4,EQA.Controllab_Dados!$S$2:$S$5000,0)),"")</f>
        <v/>
      </c>
      <c r="Q57" s="81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81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85" t="str">
        <f>IFERROR(INDEX(EQA.Controllab_Dados!F$2:F$5000,MATCH(ROW()-4,EQA.Controllab_Dados!$S$2:$S$5000,0)),"")</f>
        <v/>
      </c>
      <c r="G58" s="86" t="str">
        <f>IFERROR(INDEX(EQA.Controllab_Dados!G$2:G$5000,MATCH(ROW()-4,EQA.Controllab_Dados!$S$2:$S$5000,0)),"")</f>
        <v/>
      </c>
      <c r="H58" s="86" t="str">
        <f>IFERROR(INDEX(EQA.Controllab_Dados!H$2:H$5000,MATCH(ROW()-4,EQA.Controllab_Dados!$S$2:$S$5000,0)),"")</f>
        <v/>
      </c>
      <c r="I58" s="87" t="str">
        <f>IFERROR(INDEX(EQA.Controllab_Dados!I$2:I$5000,MATCH(ROW()-4,EQA.Controllab_Dados!$S$2:$S$5000,0)),"")</f>
        <v/>
      </c>
      <c r="J58" s="85" t="str">
        <f>IFERROR(INDEX(EQA.Controllab_Dados!J$2:J$5000,MATCH(ROW()-4,EQA.Controllab_Dados!$S$2:$S$5000,0)),"")</f>
        <v/>
      </c>
      <c r="K58" s="85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81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85" t="str">
        <f>IFERROR(INDEX(EQA.Controllab_Dados!O$2:O$5000,MATCH(ROW()-4,EQA.Controllab_Dados!$S$2:$S$5000,0)),"")</f>
        <v/>
      </c>
      <c r="P58" s="85" t="str">
        <f>IFERROR(INDEX(EQA.Controllab_Dados!P$2:P$5000,MATCH(ROW()-4,EQA.Controllab_Dados!$S$2:$S$5000,0)),"")</f>
        <v/>
      </c>
      <c r="Q58" s="81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81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85" t="str">
        <f>IFERROR(INDEX(EQA.Controllab_Dados!F$2:F$5000,MATCH(ROW()-4,EQA.Controllab_Dados!$S$2:$S$5000,0)),"")</f>
        <v/>
      </c>
      <c r="G59" s="86" t="str">
        <f>IFERROR(INDEX(EQA.Controllab_Dados!G$2:G$5000,MATCH(ROW()-4,EQA.Controllab_Dados!$S$2:$S$5000,0)),"")</f>
        <v/>
      </c>
      <c r="H59" s="86" t="str">
        <f>IFERROR(INDEX(EQA.Controllab_Dados!H$2:H$5000,MATCH(ROW()-4,EQA.Controllab_Dados!$S$2:$S$5000,0)),"")</f>
        <v/>
      </c>
      <c r="I59" s="87" t="str">
        <f>IFERROR(INDEX(EQA.Controllab_Dados!I$2:I$5000,MATCH(ROW()-4,EQA.Controllab_Dados!$S$2:$S$5000,0)),"")</f>
        <v/>
      </c>
      <c r="J59" s="85" t="str">
        <f>IFERROR(INDEX(EQA.Controllab_Dados!J$2:J$5000,MATCH(ROW()-4,EQA.Controllab_Dados!$S$2:$S$5000,0)),"")</f>
        <v/>
      </c>
      <c r="K59" s="85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81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85" t="str">
        <f>IFERROR(INDEX(EQA.Controllab_Dados!O$2:O$5000,MATCH(ROW()-4,EQA.Controllab_Dados!$S$2:$S$5000,0)),"")</f>
        <v/>
      </c>
      <c r="P59" s="85" t="str">
        <f>IFERROR(INDEX(EQA.Controllab_Dados!P$2:P$5000,MATCH(ROW()-4,EQA.Controllab_Dados!$S$2:$S$5000,0)),"")</f>
        <v/>
      </c>
      <c r="Q59" s="81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81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85" t="str">
        <f>IFERROR(INDEX(EQA.Controllab_Dados!F$2:F$5000,MATCH(ROW()-4,EQA.Controllab_Dados!$S$2:$S$5000,0)),"")</f>
        <v/>
      </c>
      <c r="G60" s="86" t="str">
        <f>IFERROR(INDEX(EQA.Controllab_Dados!G$2:G$5000,MATCH(ROW()-4,EQA.Controllab_Dados!$S$2:$S$5000,0)),"")</f>
        <v/>
      </c>
      <c r="H60" s="86" t="str">
        <f>IFERROR(INDEX(EQA.Controllab_Dados!H$2:H$5000,MATCH(ROW()-4,EQA.Controllab_Dados!$S$2:$S$5000,0)),"")</f>
        <v/>
      </c>
      <c r="I60" s="87" t="str">
        <f>IFERROR(INDEX(EQA.Controllab_Dados!I$2:I$5000,MATCH(ROW()-4,EQA.Controllab_Dados!$S$2:$S$5000,0)),"")</f>
        <v/>
      </c>
      <c r="J60" s="85" t="str">
        <f>IFERROR(INDEX(EQA.Controllab_Dados!J$2:J$5000,MATCH(ROW()-4,EQA.Controllab_Dados!$S$2:$S$5000,0)),"")</f>
        <v/>
      </c>
      <c r="K60" s="85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81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85" t="str">
        <f>IFERROR(INDEX(EQA.Controllab_Dados!O$2:O$5000,MATCH(ROW()-4,EQA.Controllab_Dados!$S$2:$S$5000,0)),"")</f>
        <v/>
      </c>
      <c r="P60" s="85" t="str">
        <f>IFERROR(INDEX(EQA.Controllab_Dados!P$2:P$5000,MATCH(ROW()-4,EQA.Controllab_Dados!$S$2:$S$5000,0)),"")</f>
        <v/>
      </c>
      <c r="Q60" s="81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81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85" t="str">
        <f>IFERROR(INDEX(EQA.Controllab_Dados!F$2:F$5000,MATCH(ROW()-4,EQA.Controllab_Dados!$S$2:$S$5000,0)),"")</f>
        <v/>
      </c>
      <c r="G61" s="86" t="str">
        <f>IFERROR(INDEX(EQA.Controllab_Dados!G$2:G$5000,MATCH(ROW()-4,EQA.Controllab_Dados!$S$2:$S$5000,0)),"")</f>
        <v/>
      </c>
      <c r="H61" s="86" t="str">
        <f>IFERROR(INDEX(EQA.Controllab_Dados!H$2:H$5000,MATCH(ROW()-4,EQA.Controllab_Dados!$S$2:$S$5000,0)),"")</f>
        <v/>
      </c>
      <c r="I61" s="87" t="str">
        <f>IFERROR(INDEX(EQA.Controllab_Dados!I$2:I$5000,MATCH(ROW()-4,EQA.Controllab_Dados!$S$2:$S$5000,0)),"")</f>
        <v/>
      </c>
      <c r="J61" s="85" t="str">
        <f>IFERROR(INDEX(EQA.Controllab_Dados!J$2:J$5000,MATCH(ROW()-4,EQA.Controllab_Dados!$S$2:$S$5000,0)),"")</f>
        <v/>
      </c>
      <c r="K61" s="85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81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85" t="str">
        <f>IFERROR(INDEX(EQA.Controllab_Dados!O$2:O$5000,MATCH(ROW()-4,EQA.Controllab_Dados!$S$2:$S$5000,0)),"")</f>
        <v/>
      </c>
      <c r="P61" s="85" t="str">
        <f>IFERROR(INDEX(EQA.Controllab_Dados!P$2:P$5000,MATCH(ROW()-4,EQA.Controllab_Dados!$S$2:$S$5000,0)),"")</f>
        <v/>
      </c>
      <c r="Q61" s="81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81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85" t="str">
        <f>IFERROR(INDEX(EQA.Controllab_Dados!F$2:F$5000,MATCH(ROW()-4,EQA.Controllab_Dados!$S$2:$S$5000,0)),"")</f>
        <v/>
      </c>
      <c r="G62" s="86" t="str">
        <f>IFERROR(INDEX(EQA.Controllab_Dados!G$2:G$5000,MATCH(ROW()-4,EQA.Controllab_Dados!$S$2:$S$5000,0)),"")</f>
        <v/>
      </c>
      <c r="H62" s="86" t="str">
        <f>IFERROR(INDEX(EQA.Controllab_Dados!H$2:H$5000,MATCH(ROW()-4,EQA.Controllab_Dados!$S$2:$S$5000,0)),"")</f>
        <v/>
      </c>
      <c r="I62" s="87" t="str">
        <f>IFERROR(INDEX(EQA.Controllab_Dados!I$2:I$5000,MATCH(ROW()-4,EQA.Controllab_Dados!$S$2:$S$5000,0)),"")</f>
        <v/>
      </c>
      <c r="J62" s="85" t="str">
        <f>IFERROR(INDEX(EQA.Controllab_Dados!J$2:J$5000,MATCH(ROW()-4,EQA.Controllab_Dados!$S$2:$S$5000,0)),"")</f>
        <v/>
      </c>
      <c r="K62" s="85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81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85" t="str">
        <f>IFERROR(INDEX(EQA.Controllab_Dados!O$2:O$5000,MATCH(ROW()-4,EQA.Controllab_Dados!$S$2:$S$5000,0)),"")</f>
        <v/>
      </c>
      <c r="P62" s="85" t="str">
        <f>IFERROR(INDEX(EQA.Controllab_Dados!P$2:P$5000,MATCH(ROW()-4,EQA.Controllab_Dados!$S$2:$S$5000,0)),"")</f>
        <v/>
      </c>
      <c r="Q62" s="81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81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85" t="str">
        <f>IFERROR(INDEX(EQA.Controllab_Dados!F$2:F$5000,MATCH(ROW()-4,EQA.Controllab_Dados!$S$2:$S$5000,0)),"")</f>
        <v/>
      </c>
      <c r="G63" s="86" t="str">
        <f>IFERROR(INDEX(EQA.Controllab_Dados!G$2:G$5000,MATCH(ROW()-4,EQA.Controllab_Dados!$S$2:$S$5000,0)),"")</f>
        <v/>
      </c>
      <c r="H63" s="86" t="str">
        <f>IFERROR(INDEX(EQA.Controllab_Dados!H$2:H$5000,MATCH(ROW()-4,EQA.Controllab_Dados!$S$2:$S$5000,0)),"")</f>
        <v/>
      </c>
      <c r="I63" s="87" t="str">
        <f>IFERROR(INDEX(EQA.Controllab_Dados!I$2:I$5000,MATCH(ROW()-4,EQA.Controllab_Dados!$S$2:$S$5000,0)),"")</f>
        <v/>
      </c>
      <c r="J63" s="85" t="str">
        <f>IFERROR(INDEX(EQA.Controllab_Dados!J$2:J$5000,MATCH(ROW()-4,EQA.Controllab_Dados!$S$2:$S$5000,0)),"")</f>
        <v/>
      </c>
      <c r="K63" s="85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81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85" t="str">
        <f>IFERROR(INDEX(EQA.Controllab_Dados!O$2:O$5000,MATCH(ROW()-4,EQA.Controllab_Dados!$S$2:$S$5000,0)),"")</f>
        <v/>
      </c>
      <c r="P63" s="85" t="str">
        <f>IFERROR(INDEX(EQA.Controllab_Dados!P$2:P$5000,MATCH(ROW()-4,EQA.Controllab_Dados!$S$2:$S$5000,0)),"")</f>
        <v/>
      </c>
      <c r="Q63" s="81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81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85" t="str">
        <f>IFERROR(INDEX(EQA.Controllab_Dados!F$2:F$5000,MATCH(ROW()-4,EQA.Controllab_Dados!$S$2:$S$5000,0)),"")</f>
        <v/>
      </c>
      <c r="G64" s="86" t="str">
        <f>IFERROR(INDEX(EQA.Controllab_Dados!G$2:G$5000,MATCH(ROW()-4,EQA.Controllab_Dados!$S$2:$S$5000,0)),"")</f>
        <v/>
      </c>
      <c r="H64" s="86" t="str">
        <f>IFERROR(INDEX(EQA.Controllab_Dados!H$2:H$5000,MATCH(ROW()-4,EQA.Controllab_Dados!$S$2:$S$5000,0)),"")</f>
        <v/>
      </c>
      <c r="I64" s="87" t="str">
        <f>IFERROR(INDEX(EQA.Controllab_Dados!I$2:I$5000,MATCH(ROW()-4,EQA.Controllab_Dados!$S$2:$S$5000,0)),"")</f>
        <v/>
      </c>
      <c r="J64" s="85" t="str">
        <f>IFERROR(INDEX(EQA.Controllab_Dados!J$2:J$5000,MATCH(ROW()-4,EQA.Controllab_Dados!$S$2:$S$5000,0)),"")</f>
        <v/>
      </c>
      <c r="K64" s="85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81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85" t="str">
        <f>IFERROR(INDEX(EQA.Controllab_Dados!O$2:O$5000,MATCH(ROW()-4,EQA.Controllab_Dados!$S$2:$S$5000,0)),"")</f>
        <v/>
      </c>
      <c r="P64" s="85" t="str">
        <f>IFERROR(INDEX(EQA.Controllab_Dados!P$2:P$5000,MATCH(ROW()-4,EQA.Controllab_Dados!$S$2:$S$5000,0)),"")</f>
        <v/>
      </c>
      <c r="Q64" s="81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81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85" t="str">
        <f>IFERROR(INDEX(EQA.Controllab_Dados!F$2:F$5000,MATCH(ROW()-4,EQA.Controllab_Dados!$S$2:$S$5000,0)),"")</f>
        <v/>
      </c>
      <c r="G65" s="86" t="str">
        <f>IFERROR(INDEX(EQA.Controllab_Dados!G$2:G$5000,MATCH(ROW()-4,EQA.Controllab_Dados!$S$2:$S$5000,0)),"")</f>
        <v/>
      </c>
      <c r="H65" s="86" t="str">
        <f>IFERROR(INDEX(EQA.Controllab_Dados!H$2:H$5000,MATCH(ROW()-4,EQA.Controllab_Dados!$S$2:$S$5000,0)),"")</f>
        <v/>
      </c>
      <c r="I65" s="87" t="str">
        <f>IFERROR(INDEX(EQA.Controllab_Dados!I$2:I$5000,MATCH(ROW()-4,EQA.Controllab_Dados!$S$2:$S$5000,0)),"")</f>
        <v/>
      </c>
      <c r="J65" s="85" t="str">
        <f>IFERROR(INDEX(EQA.Controllab_Dados!J$2:J$5000,MATCH(ROW()-4,EQA.Controllab_Dados!$S$2:$S$5000,0)),"")</f>
        <v/>
      </c>
      <c r="K65" s="85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81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85" t="str">
        <f>IFERROR(INDEX(EQA.Controllab_Dados!O$2:O$5000,MATCH(ROW()-4,EQA.Controllab_Dados!$S$2:$S$5000,0)),"")</f>
        <v/>
      </c>
      <c r="P65" s="85" t="str">
        <f>IFERROR(INDEX(EQA.Controllab_Dados!P$2:P$5000,MATCH(ROW()-4,EQA.Controllab_Dados!$S$2:$S$5000,0)),"")</f>
        <v/>
      </c>
      <c r="Q65" s="81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81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85" t="str">
        <f>IFERROR(INDEX(EQA.Controllab_Dados!F$2:F$5000,MATCH(ROW()-4,EQA.Controllab_Dados!$S$2:$S$5000,0)),"")</f>
        <v/>
      </c>
      <c r="G66" s="86" t="str">
        <f>IFERROR(INDEX(EQA.Controllab_Dados!G$2:G$5000,MATCH(ROW()-4,EQA.Controllab_Dados!$S$2:$S$5000,0)),"")</f>
        <v/>
      </c>
      <c r="H66" s="86" t="str">
        <f>IFERROR(INDEX(EQA.Controllab_Dados!H$2:H$5000,MATCH(ROW()-4,EQA.Controllab_Dados!$S$2:$S$5000,0)),"")</f>
        <v/>
      </c>
      <c r="I66" s="87" t="str">
        <f>IFERROR(INDEX(EQA.Controllab_Dados!I$2:I$5000,MATCH(ROW()-4,EQA.Controllab_Dados!$S$2:$S$5000,0)),"")</f>
        <v/>
      </c>
      <c r="J66" s="85" t="str">
        <f>IFERROR(INDEX(EQA.Controllab_Dados!J$2:J$5000,MATCH(ROW()-4,EQA.Controllab_Dados!$S$2:$S$5000,0)),"")</f>
        <v/>
      </c>
      <c r="K66" s="85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81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85" t="str">
        <f>IFERROR(INDEX(EQA.Controllab_Dados!O$2:O$5000,MATCH(ROW()-4,EQA.Controllab_Dados!$S$2:$S$5000,0)),"")</f>
        <v/>
      </c>
      <c r="P66" s="85" t="str">
        <f>IFERROR(INDEX(EQA.Controllab_Dados!P$2:P$5000,MATCH(ROW()-4,EQA.Controllab_Dados!$S$2:$S$5000,0)),"")</f>
        <v/>
      </c>
      <c r="Q66" s="81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81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85" t="str">
        <f>IFERROR(INDEX(EQA.Controllab_Dados!F$2:F$5000,MATCH(ROW()-4,EQA.Controllab_Dados!$S$2:$S$5000,0)),"")</f>
        <v/>
      </c>
      <c r="G67" s="86" t="str">
        <f>IFERROR(INDEX(EQA.Controllab_Dados!G$2:G$5000,MATCH(ROW()-4,EQA.Controllab_Dados!$S$2:$S$5000,0)),"")</f>
        <v/>
      </c>
      <c r="H67" s="86" t="str">
        <f>IFERROR(INDEX(EQA.Controllab_Dados!H$2:H$5000,MATCH(ROW()-4,EQA.Controllab_Dados!$S$2:$S$5000,0)),"")</f>
        <v/>
      </c>
      <c r="I67" s="87" t="str">
        <f>IFERROR(INDEX(EQA.Controllab_Dados!I$2:I$5000,MATCH(ROW()-4,EQA.Controllab_Dados!$S$2:$S$5000,0)),"")</f>
        <v/>
      </c>
      <c r="J67" s="85" t="str">
        <f>IFERROR(INDEX(EQA.Controllab_Dados!J$2:J$5000,MATCH(ROW()-4,EQA.Controllab_Dados!$S$2:$S$5000,0)),"")</f>
        <v/>
      </c>
      <c r="K67" s="85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81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85" t="str">
        <f>IFERROR(INDEX(EQA.Controllab_Dados!O$2:O$5000,MATCH(ROW()-4,EQA.Controllab_Dados!$S$2:$S$5000,0)),"")</f>
        <v/>
      </c>
      <c r="P67" s="85" t="str">
        <f>IFERROR(INDEX(EQA.Controllab_Dados!P$2:P$5000,MATCH(ROW()-4,EQA.Controllab_Dados!$S$2:$S$5000,0)),"")</f>
        <v/>
      </c>
      <c r="Q67" s="81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81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85" t="str">
        <f>IFERROR(INDEX(EQA.Controllab_Dados!F$2:F$5000,MATCH(ROW()-4,EQA.Controllab_Dados!$S$2:$S$5000,0)),"")</f>
        <v/>
      </c>
      <c r="G68" s="86" t="str">
        <f>IFERROR(INDEX(EQA.Controllab_Dados!G$2:G$5000,MATCH(ROW()-4,EQA.Controllab_Dados!$S$2:$S$5000,0)),"")</f>
        <v/>
      </c>
      <c r="H68" s="86" t="str">
        <f>IFERROR(INDEX(EQA.Controllab_Dados!H$2:H$5000,MATCH(ROW()-4,EQA.Controllab_Dados!$S$2:$S$5000,0)),"")</f>
        <v/>
      </c>
      <c r="I68" s="87" t="str">
        <f>IFERROR(INDEX(EQA.Controllab_Dados!I$2:I$5000,MATCH(ROW()-4,EQA.Controllab_Dados!$S$2:$S$5000,0)),"")</f>
        <v/>
      </c>
      <c r="J68" s="85" t="str">
        <f>IFERROR(INDEX(EQA.Controllab_Dados!J$2:J$5000,MATCH(ROW()-4,EQA.Controllab_Dados!$S$2:$S$5000,0)),"")</f>
        <v/>
      </c>
      <c r="K68" s="85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81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85" t="str">
        <f>IFERROR(INDEX(EQA.Controllab_Dados!O$2:O$5000,MATCH(ROW()-4,EQA.Controllab_Dados!$S$2:$S$5000,0)),"")</f>
        <v/>
      </c>
      <c r="P68" s="85" t="str">
        <f>IFERROR(INDEX(EQA.Controllab_Dados!P$2:P$5000,MATCH(ROW()-4,EQA.Controllab_Dados!$S$2:$S$5000,0)),"")</f>
        <v/>
      </c>
      <c r="Q68" s="81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81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85" t="str">
        <f>IFERROR(INDEX(EQA.Controllab_Dados!F$2:F$5000,MATCH(ROW()-4,EQA.Controllab_Dados!$S$2:$S$5000,0)),"")</f>
        <v/>
      </c>
      <c r="G69" s="86" t="str">
        <f>IFERROR(INDEX(EQA.Controllab_Dados!G$2:G$5000,MATCH(ROW()-4,EQA.Controllab_Dados!$S$2:$S$5000,0)),"")</f>
        <v/>
      </c>
      <c r="H69" s="86" t="str">
        <f>IFERROR(INDEX(EQA.Controllab_Dados!H$2:H$5000,MATCH(ROW()-4,EQA.Controllab_Dados!$S$2:$S$5000,0)),"")</f>
        <v/>
      </c>
      <c r="I69" s="87" t="str">
        <f>IFERROR(INDEX(EQA.Controllab_Dados!I$2:I$5000,MATCH(ROW()-4,EQA.Controllab_Dados!$S$2:$S$5000,0)),"")</f>
        <v/>
      </c>
      <c r="J69" s="85" t="str">
        <f>IFERROR(INDEX(EQA.Controllab_Dados!J$2:J$5000,MATCH(ROW()-4,EQA.Controllab_Dados!$S$2:$S$5000,0)),"")</f>
        <v/>
      </c>
      <c r="K69" s="85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81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85" t="str">
        <f>IFERROR(INDEX(EQA.Controllab_Dados!O$2:O$5000,MATCH(ROW()-4,EQA.Controllab_Dados!$S$2:$S$5000,0)),"")</f>
        <v/>
      </c>
      <c r="P69" s="85" t="str">
        <f>IFERROR(INDEX(EQA.Controllab_Dados!P$2:P$5000,MATCH(ROW()-4,EQA.Controllab_Dados!$S$2:$S$5000,0)),"")</f>
        <v/>
      </c>
      <c r="Q69" s="81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81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85" t="str">
        <f>IFERROR(INDEX(EQA.Controllab_Dados!F$2:F$5000,MATCH(ROW()-4,EQA.Controllab_Dados!$S$2:$S$5000,0)),"")</f>
        <v/>
      </c>
      <c r="G70" s="86" t="str">
        <f>IFERROR(INDEX(EQA.Controllab_Dados!G$2:G$5000,MATCH(ROW()-4,EQA.Controllab_Dados!$S$2:$S$5000,0)),"")</f>
        <v/>
      </c>
      <c r="H70" s="86" t="str">
        <f>IFERROR(INDEX(EQA.Controllab_Dados!H$2:H$5000,MATCH(ROW()-4,EQA.Controllab_Dados!$S$2:$S$5000,0)),"")</f>
        <v/>
      </c>
      <c r="I70" s="87" t="str">
        <f>IFERROR(INDEX(EQA.Controllab_Dados!I$2:I$5000,MATCH(ROW()-4,EQA.Controllab_Dados!$S$2:$S$5000,0)),"")</f>
        <v/>
      </c>
      <c r="J70" s="85" t="str">
        <f>IFERROR(INDEX(EQA.Controllab_Dados!J$2:J$5000,MATCH(ROW()-4,EQA.Controllab_Dados!$S$2:$S$5000,0)),"")</f>
        <v/>
      </c>
      <c r="K70" s="85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81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85" t="str">
        <f>IFERROR(INDEX(EQA.Controllab_Dados!O$2:O$5000,MATCH(ROW()-4,EQA.Controllab_Dados!$S$2:$S$5000,0)),"")</f>
        <v/>
      </c>
      <c r="P70" s="85" t="str">
        <f>IFERROR(INDEX(EQA.Controllab_Dados!P$2:P$5000,MATCH(ROW()-4,EQA.Controllab_Dados!$S$2:$S$5000,0)),"")</f>
        <v/>
      </c>
      <c r="Q70" s="81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81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85" t="str">
        <f>IFERROR(INDEX(EQA.Controllab_Dados!F$2:F$5000,MATCH(ROW()-4,EQA.Controllab_Dados!$S$2:$S$5000,0)),"")</f>
        <v/>
      </c>
      <c r="G71" s="86" t="str">
        <f>IFERROR(INDEX(EQA.Controllab_Dados!G$2:G$5000,MATCH(ROW()-4,EQA.Controllab_Dados!$S$2:$S$5000,0)),"")</f>
        <v/>
      </c>
      <c r="H71" s="86" t="str">
        <f>IFERROR(INDEX(EQA.Controllab_Dados!H$2:H$5000,MATCH(ROW()-4,EQA.Controllab_Dados!$S$2:$S$5000,0)),"")</f>
        <v/>
      </c>
      <c r="I71" s="87" t="str">
        <f>IFERROR(INDEX(EQA.Controllab_Dados!I$2:I$5000,MATCH(ROW()-4,EQA.Controllab_Dados!$S$2:$S$5000,0)),"")</f>
        <v/>
      </c>
      <c r="J71" s="85" t="str">
        <f>IFERROR(INDEX(EQA.Controllab_Dados!J$2:J$5000,MATCH(ROW()-4,EQA.Controllab_Dados!$S$2:$S$5000,0)),"")</f>
        <v/>
      </c>
      <c r="K71" s="85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81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85" t="str">
        <f>IFERROR(INDEX(EQA.Controllab_Dados!O$2:O$5000,MATCH(ROW()-4,EQA.Controllab_Dados!$S$2:$S$5000,0)),"")</f>
        <v/>
      </c>
      <c r="P71" s="85" t="str">
        <f>IFERROR(INDEX(EQA.Controllab_Dados!P$2:P$5000,MATCH(ROW()-4,EQA.Controllab_Dados!$S$2:$S$5000,0)),"")</f>
        <v/>
      </c>
      <c r="Q71" s="81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81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85" t="str">
        <f>IFERROR(INDEX(EQA.Controllab_Dados!F$2:F$5000,MATCH(ROW()-4,EQA.Controllab_Dados!$S$2:$S$5000,0)),"")</f>
        <v/>
      </c>
      <c r="G72" s="86" t="str">
        <f>IFERROR(INDEX(EQA.Controllab_Dados!G$2:G$5000,MATCH(ROW()-4,EQA.Controllab_Dados!$S$2:$S$5000,0)),"")</f>
        <v/>
      </c>
      <c r="H72" s="86" t="str">
        <f>IFERROR(INDEX(EQA.Controllab_Dados!H$2:H$5000,MATCH(ROW()-4,EQA.Controllab_Dados!$S$2:$S$5000,0)),"")</f>
        <v/>
      </c>
      <c r="I72" s="87" t="str">
        <f>IFERROR(INDEX(EQA.Controllab_Dados!I$2:I$5000,MATCH(ROW()-4,EQA.Controllab_Dados!$S$2:$S$5000,0)),"")</f>
        <v/>
      </c>
      <c r="J72" s="85" t="str">
        <f>IFERROR(INDEX(EQA.Controllab_Dados!J$2:J$5000,MATCH(ROW()-4,EQA.Controllab_Dados!$S$2:$S$5000,0)),"")</f>
        <v/>
      </c>
      <c r="K72" s="85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81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85" t="str">
        <f>IFERROR(INDEX(EQA.Controllab_Dados!O$2:O$5000,MATCH(ROW()-4,EQA.Controllab_Dados!$S$2:$S$5000,0)),"")</f>
        <v/>
      </c>
      <c r="P72" s="85" t="str">
        <f>IFERROR(INDEX(EQA.Controllab_Dados!P$2:P$5000,MATCH(ROW()-4,EQA.Controllab_Dados!$S$2:$S$5000,0)),"")</f>
        <v/>
      </c>
      <c r="Q72" s="81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81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85" t="str">
        <f>IFERROR(INDEX(EQA.Controllab_Dados!F$2:F$5000,MATCH(ROW()-4,EQA.Controllab_Dados!$S$2:$S$5000,0)),"")</f>
        <v/>
      </c>
      <c r="G73" s="86" t="str">
        <f>IFERROR(INDEX(EQA.Controllab_Dados!G$2:G$5000,MATCH(ROW()-4,EQA.Controllab_Dados!$S$2:$S$5000,0)),"")</f>
        <v/>
      </c>
      <c r="H73" s="86" t="str">
        <f>IFERROR(INDEX(EQA.Controllab_Dados!H$2:H$5000,MATCH(ROW()-4,EQA.Controllab_Dados!$S$2:$S$5000,0)),"")</f>
        <v/>
      </c>
      <c r="I73" s="87" t="str">
        <f>IFERROR(INDEX(EQA.Controllab_Dados!I$2:I$5000,MATCH(ROW()-4,EQA.Controllab_Dados!$S$2:$S$5000,0)),"")</f>
        <v/>
      </c>
      <c r="J73" s="85" t="str">
        <f>IFERROR(INDEX(EQA.Controllab_Dados!J$2:J$5000,MATCH(ROW()-4,EQA.Controllab_Dados!$S$2:$S$5000,0)),"")</f>
        <v/>
      </c>
      <c r="K73" s="85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81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85" t="str">
        <f>IFERROR(INDEX(EQA.Controllab_Dados!O$2:O$5000,MATCH(ROW()-4,EQA.Controllab_Dados!$S$2:$S$5000,0)),"")</f>
        <v/>
      </c>
      <c r="P73" s="85" t="str">
        <f>IFERROR(INDEX(EQA.Controllab_Dados!P$2:P$5000,MATCH(ROW()-4,EQA.Controllab_Dados!$S$2:$S$5000,0)),"")</f>
        <v/>
      </c>
      <c r="Q73" s="81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81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85" t="str">
        <f>IFERROR(INDEX(EQA.Controllab_Dados!F$2:F$5000,MATCH(ROW()-4,EQA.Controllab_Dados!$S$2:$S$5000,0)),"")</f>
        <v/>
      </c>
      <c r="G74" s="86" t="str">
        <f>IFERROR(INDEX(EQA.Controllab_Dados!G$2:G$5000,MATCH(ROW()-4,EQA.Controllab_Dados!$S$2:$S$5000,0)),"")</f>
        <v/>
      </c>
      <c r="H74" s="86" t="str">
        <f>IFERROR(INDEX(EQA.Controllab_Dados!H$2:H$5000,MATCH(ROW()-4,EQA.Controllab_Dados!$S$2:$S$5000,0)),"")</f>
        <v/>
      </c>
      <c r="I74" s="87" t="str">
        <f>IFERROR(INDEX(EQA.Controllab_Dados!I$2:I$5000,MATCH(ROW()-4,EQA.Controllab_Dados!$S$2:$S$5000,0)),"")</f>
        <v/>
      </c>
      <c r="J74" s="85" t="str">
        <f>IFERROR(INDEX(EQA.Controllab_Dados!J$2:J$5000,MATCH(ROW()-4,EQA.Controllab_Dados!$S$2:$S$5000,0)),"")</f>
        <v/>
      </c>
      <c r="K74" s="85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81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85" t="str">
        <f>IFERROR(INDEX(EQA.Controllab_Dados!O$2:O$5000,MATCH(ROW()-4,EQA.Controllab_Dados!$S$2:$S$5000,0)),"")</f>
        <v/>
      </c>
      <c r="P74" s="85" t="str">
        <f>IFERROR(INDEX(EQA.Controllab_Dados!P$2:P$5000,MATCH(ROW()-4,EQA.Controllab_Dados!$S$2:$S$5000,0)),"")</f>
        <v/>
      </c>
      <c r="Q74" s="81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81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85" t="str">
        <f>IFERROR(INDEX(EQA.Controllab_Dados!F$2:F$5000,MATCH(ROW()-4,EQA.Controllab_Dados!$S$2:$S$5000,0)),"")</f>
        <v/>
      </c>
      <c r="G75" s="86" t="str">
        <f>IFERROR(INDEX(EQA.Controllab_Dados!G$2:G$5000,MATCH(ROW()-4,EQA.Controllab_Dados!$S$2:$S$5000,0)),"")</f>
        <v/>
      </c>
      <c r="H75" s="86" t="str">
        <f>IFERROR(INDEX(EQA.Controllab_Dados!H$2:H$5000,MATCH(ROW()-4,EQA.Controllab_Dados!$S$2:$S$5000,0)),"")</f>
        <v/>
      </c>
      <c r="I75" s="87" t="str">
        <f>IFERROR(INDEX(EQA.Controllab_Dados!I$2:I$5000,MATCH(ROW()-4,EQA.Controllab_Dados!$S$2:$S$5000,0)),"")</f>
        <v/>
      </c>
      <c r="J75" s="85" t="str">
        <f>IFERROR(INDEX(EQA.Controllab_Dados!J$2:J$5000,MATCH(ROW()-4,EQA.Controllab_Dados!$S$2:$S$5000,0)),"")</f>
        <v/>
      </c>
      <c r="K75" s="85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81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85" t="str">
        <f>IFERROR(INDEX(EQA.Controllab_Dados!O$2:O$5000,MATCH(ROW()-4,EQA.Controllab_Dados!$S$2:$S$5000,0)),"")</f>
        <v/>
      </c>
      <c r="P75" s="85" t="str">
        <f>IFERROR(INDEX(EQA.Controllab_Dados!P$2:P$5000,MATCH(ROW()-4,EQA.Controllab_Dados!$S$2:$S$5000,0)),"")</f>
        <v/>
      </c>
      <c r="Q75" s="81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81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85" t="str">
        <f>IFERROR(INDEX(EQA.Controllab_Dados!F$2:F$5000,MATCH(ROW()-4,EQA.Controllab_Dados!$S$2:$S$5000,0)),"")</f>
        <v/>
      </c>
      <c r="G76" s="86" t="str">
        <f>IFERROR(INDEX(EQA.Controllab_Dados!G$2:G$5000,MATCH(ROW()-4,EQA.Controllab_Dados!$S$2:$S$5000,0)),"")</f>
        <v/>
      </c>
      <c r="H76" s="86" t="str">
        <f>IFERROR(INDEX(EQA.Controllab_Dados!H$2:H$5000,MATCH(ROW()-4,EQA.Controllab_Dados!$S$2:$S$5000,0)),"")</f>
        <v/>
      </c>
      <c r="I76" s="87" t="str">
        <f>IFERROR(INDEX(EQA.Controllab_Dados!I$2:I$5000,MATCH(ROW()-4,EQA.Controllab_Dados!$S$2:$S$5000,0)),"")</f>
        <v/>
      </c>
      <c r="J76" s="85" t="str">
        <f>IFERROR(INDEX(EQA.Controllab_Dados!J$2:J$5000,MATCH(ROW()-4,EQA.Controllab_Dados!$S$2:$S$5000,0)),"")</f>
        <v/>
      </c>
      <c r="K76" s="85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81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85" t="str">
        <f>IFERROR(INDEX(EQA.Controllab_Dados!O$2:O$5000,MATCH(ROW()-4,EQA.Controllab_Dados!$S$2:$S$5000,0)),"")</f>
        <v/>
      </c>
      <c r="P76" s="85" t="str">
        <f>IFERROR(INDEX(EQA.Controllab_Dados!P$2:P$5000,MATCH(ROW()-4,EQA.Controllab_Dados!$S$2:$S$5000,0)),"")</f>
        <v/>
      </c>
      <c r="Q76" s="81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81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85" t="str">
        <f>IFERROR(INDEX(EQA.Controllab_Dados!F$2:F$5000,MATCH(ROW()-4,EQA.Controllab_Dados!$S$2:$S$5000,0)),"")</f>
        <v/>
      </c>
      <c r="G77" s="86" t="str">
        <f>IFERROR(INDEX(EQA.Controllab_Dados!G$2:G$5000,MATCH(ROW()-4,EQA.Controllab_Dados!$S$2:$S$5000,0)),"")</f>
        <v/>
      </c>
      <c r="H77" s="86" t="str">
        <f>IFERROR(INDEX(EQA.Controllab_Dados!H$2:H$5000,MATCH(ROW()-4,EQA.Controllab_Dados!$S$2:$S$5000,0)),"")</f>
        <v/>
      </c>
      <c r="I77" s="87" t="str">
        <f>IFERROR(INDEX(EQA.Controllab_Dados!I$2:I$5000,MATCH(ROW()-4,EQA.Controllab_Dados!$S$2:$S$5000,0)),"")</f>
        <v/>
      </c>
      <c r="J77" s="85" t="str">
        <f>IFERROR(INDEX(EQA.Controllab_Dados!J$2:J$5000,MATCH(ROW()-4,EQA.Controllab_Dados!$S$2:$S$5000,0)),"")</f>
        <v/>
      </c>
      <c r="K77" s="85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81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85" t="str">
        <f>IFERROR(INDEX(EQA.Controllab_Dados!O$2:O$5000,MATCH(ROW()-4,EQA.Controllab_Dados!$S$2:$S$5000,0)),"")</f>
        <v/>
      </c>
      <c r="P77" s="85" t="str">
        <f>IFERROR(INDEX(EQA.Controllab_Dados!P$2:P$5000,MATCH(ROW()-4,EQA.Controllab_Dados!$S$2:$S$5000,0)),"")</f>
        <v/>
      </c>
      <c r="Q77" s="81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81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85" t="str">
        <f>IFERROR(INDEX(EQA.Controllab_Dados!F$2:F$5000,MATCH(ROW()-4,EQA.Controllab_Dados!$S$2:$S$5000,0)),"")</f>
        <v/>
      </c>
      <c r="G78" s="86" t="str">
        <f>IFERROR(INDEX(EQA.Controllab_Dados!G$2:G$5000,MATCH(ROW()-4,EQA.Controllab_Dados!$S$2:$S$5000,0)),"")</f>
        <v/>
      </c>
      <c r="H78" s="86" t="str">
        <f>IFERROR(INDEX(EQA.Controllab_Dados!H$2:H$5000,MATCH(ROW()-4,EQA.Controllab_Dados!$S$2:$S$5000,0)),"")</f>
        <v/>
      </c>
      <c r="I78" s="87" t="str">
        <f>IFERROR(INDEX(EQA.Controllab_Dados!I$2:I$5000,MATCH(ROW()-4,EQA.Controllab_Dados!$S$2:$S$5000,0)),"")</f>
        <v/>
      </c>
      <c r="J78" s="85" t="str">
        <f>IFERROR(INDEX(EQA.Controllab_Dados!J$2:J$5000,MATCH(ROW()-4,EQA.Controllab_Dados!$S$2:$S$5000,0)),"")</f>
        <v/>
      </c>
      <c r="K78" s="85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81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85" t="str">
        <f>IFERROR(INDEX(EQA.Controllab_Dados!O$2:O$5000,MATCH(ROW()-4,EQA.Controllab_Dados!$S$2:$S$5000,0)),"")</f>
        <v/>
      </c>
      <c r="P78" s="85" t="str">
        <f>IFERROR(INDEX(EQA.Controllab_Dados!P$2:P$5000,MATCH(ROW()-4,EQA.Controllab_Dados!$S$2:$S$5000,0)),"")</f>
        <v/>
      </c>
      <c r="Q78" s="81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81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85" t="str">
        <f>IFERROR(INDEX(EQA.Controllab_Dados!F$2:F$5000,MATCH(ROW()-4,EQA.Controllab_Dados!$S$2:$S$5000,0)),"")</f>
        <v/>
      </c>
      <c r="G79" s="86" t="str">
        <f>IFERROR(INDEX(EQA.Controllab_Dados!G$2:G$5000,MATCH(ROW()-4,EQA.Controllab_Dados!$S$2:$S$5000,0)),"")</f>
        <v/>
      </c>
      <c r="H79" s="86" t="str">
        <f>IFERROR(INDEX(EQA.Controllab_Dados!H$2:H$5000,MATCH(ROW()-4,EQA.Controllab_Dados!$S$2:$S$5000,0)),"")</f>
        <v/>
      </c>
      <c r="I79" s="87" t="str">
        <f>IFERROR(INDEX(EQA.Controllab_Dados!I$2:I$5000,MATCH(ROW()-4,EQA.Controllab_Dados!$S$2:$S$5000,0)),"")</f>
        <v/>
      </c>
      <c r="J79" s="85" t="str">
        <f>IFERROR(INDEX(EQA.Controllab_Dados!J$2:J$5000,MATCH(ROW()-4,EQA.Controllab_Dados!$S$2:$S$5000,0)),"")</f>
        <v/>
      </c>
      <c r="K79" s="85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81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85" t="str">
        <f>IFERROR(INDEX(EQA.Controllab_Dados!O$2:O$5000,MATCH(ROW()-4,EQA.Controllab_Dados!$S$2:$S$5000,0)),"")</f>
        <v/>
      </c>
      <c r="P79" s="85" t="str">
        <f>IFERROR(INDEX(EQA.Controllab_Dados!P$2:P$5000,MATCH(ROW()-4,EQA.Controllab_Dados!$S$2:$S$5000,0)),"")</f>
        <v/>
      </c>
      <c r="Q79" s="81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81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85" t="str">
        <f>IFERROR(INDEX(EQA.Controllab_Dados!F$2:F$5000,MATCH(ROW()-4,EQA.Controllab_Dados!$S$2:$S$5000,0)),"")</f>
        <v/>
      </c>
      <c r="G80" s="86" t="str">
        <f>IFERROR(INDEX(EQA.Controllab_Dados!G$2:G$5000,MATCH(ROW()-4,EQA.Controllab_Dados!$S$2:$S$5000,0)),"")</f>
        <v/>
      </c>
      <c r="H80" s="86" t="str">
        <f>IFERROR(INDEX(EQA.Controllab_Dados!H$2:H$5000,MATCH(ROW()-4,EQA.Controllab_Dados!$S$2:$S$5000,0)),"")</f>
        <v/>
      </c>
      <c r="I80" s="87" t="str">
        <f>IFERROR(INDEX(EQA.Controllab_Dados!I$2:I$5000,MATCH(ROW()-4,EQA.Controllab_Dados!$S$2:$S$5000,0)),"")</f>
        <v/>
      </c>
      <c r="J80" s="85" t="str">
        <f>IFERROR(INDEX(EQA.Controllab_Dados!J$2:J$5000,MATCH(ROW()-4,EQA.Controllab_Dados!$S$2:$S$5000,0)),"")</f>
        <v/>
      </c>
      <c r="K80" s="85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81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85" t="str">
        <f>IFERROR(INDEX(EQA.Controllab_Dados!O$2:O$5000,MATCH(ROW()-4,EQA.Controllab_Dados!$S$2:$S$5000,0)),"")</f>
        <v/>
      </c>
      <c r="P80" s="85" t="str">
        <f>IFERROR(INDEX(EQA.Controllab_Dados!P$2:P$5000,MATCH(ROW()-4,EQA.Controllab_Dados!$S$2:$S$5000,0)),"")</f>
        <v/>
      </c>
      <c r="Q80" s="81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81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85" t="str">
        <f>IFERROR(INDEX(EQA.Controllab_Dados!F$2:F$5000,MATCH(ROW()-4,EQA.Controllab_Dados!$S$2:$S$5000,0)),"")</f>
        <v/>
      </c>
      <c r="G81" s="86" t="str">
        <f>IFERROR(INDEX(EQA.Controllab_Dados!G$2:G$5000,MATCH(ROW()-4,EQA.Controllab_Dados!$S$2:$S$5000,0)),"")</f>
        <v/>
      </c>
      <c r="H81" s="86" t="str">
        <f>IFERROR(INDEX(EQA.Controllab_Dados!H$2:H$5000,MATCH(ROW()-4,EQA.Controllab_Dados!$S$2:$S$5000,0)),"")</f>
        <v/>
      </c>
      <c r="I81" s="87" t="str">
        <f>IFERROR(INDEX(EQA.Controllab_Dados!I$2:I$5000,MATCH(ROW()-4,EQA.Controllab_Dados!$S$2:$S$5000,0)),"")</f>
        <v/>
      </c>
      <c r="J81" s="85" t="str">
        <f>IFERROR(INDEX(EQA.Controllab_Dados!J$2:J$5000,MATCH(ROW()-4,EQA.Controllab_Dados!$S$2:$S$5000,0)),"")</f>
        <v/>
      </c>
      <c r="K81" s="85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81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85" t="str">
        <f>IFERROR(INDEX(EQA.Controllab_Dados!O$2:O$5000,MATCH(ROW()-4,EQA.Controllab_Dados!$S$2:$S$5000,0)),"")</f>
        <v/>
      </c>
      <c r="P81" s="85" t="str">
        <f>IFERROR(INDEX(EQA.Controllab_Dados!P$2:P$5000,MATCH(ROW()-4,EQA.Controllab_Dados!$S$2:$S$5000,0)),"")</f>
        <v/>
      </c>
      <c r="Q81" s="81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81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85" t="str">
        <f>IFERROR(INDEX(EQA.Controllab_Dados!F$2:F$5000,MATCH(ROW()-4,EQA.Controllab_Dados!$S$2:$S$5000,0)),"")</f>
        <v/>
      </c>
      <c r="G82" s="86" t="str">
        <f>IFERROR(INDEX(EQA.Controllab_Dados!G$2:G$5000,MATCH(ROW()-4,EQA.Controllab_Dados!$S$2:$S$5000,0)),"")</f>
        <v/>
      </c>
      <c r="H82" s="86" t="str">
        <f>IFERROR(INDEX(EQA.Controllab_Dados!H$2:H$5000,MATCH(ROW()-4,EQA.Controllab_Dados!$S$2:$S$5000,0)),"")</f>
        <v/>
      </c>
      <c r="I82" s="87" t="str">
        <f>IFERROR(INDEX(EQA.Controllab_Dados!I$2:I$5000,MATCH(ROW()-4,EQA.Controllab_Dados!$S$2:$S$5000,0)),"")</f>
        <v/>
      </c>
      <c r="J82" s="85" t="str">
        <f>IFERROR(INDEX(EQA.Controllab_Dados!J$2:J$5000,MATCH(ROW()-4,EQA.Controllab_Dados!$S$2:$S$5000,0)),"")</f>
        <v/>
      </c>
      <c r="K82" s="85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81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85" t="str">
        <f>IFERROR(INDEX(EQA.Controllab_Dados!O$2:O$5000,MATCH(ROW()-4,EQA.Controllab_Dados!$S$2:$S$5000,0)),"")</f>
        <v/>
      </c>
      <c r="P82" s="85" t="str">
        <f>IFERROR(INDEX(EQA.Controllab_Dados!P$2:P$5000,MATCH(ROW()-4,EQA.Controllab_Dados!$S$2:$S$5000,0)),"")</f>
        <v/>
      </c>
      <c r="Q82" s="81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81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85" t="str">
        <f>IFERROR(INDEX(EQA.Controllab_Dados!F$2:F$5000,MATCH(ROW()-4,EQA.Controllab_Dados!$S$2:$S$5000,0)),"")</f>
        <v/>
      </c>
      <c r="G83" s="86" t="str">
        <f>IFERROR(INDEX(EQA.Controllab_Dados!G$2:G$5000,MATCH(ROW()-4,EQA.Controllab_Dados!$S$2:$S$5000,0)),"")</f>
        <v/>
      </c>
      <c r="H83" s="86" t="str">
        <f>IFERROR(INDEX(EQA.Controllab_Dados!H$2:H$5000,MATCH(ROW()-4,EQA.Controllab_Dados!$S$2:$S$5000,0)),"")</f>
        <v/>
      </c>
      <c r="I83" s="87" t="str">
        <f>IFERROR(INDEX(EQA.Controllab_Dados!I$2:I$5000,MATCH(ROW()-4,EQA.Controllab_Dados!$S$2:$S$5000,0)),"")</f>
        <v/>
      </c>
      <c r="J83" s="85" t="str">
        <f>IFERROR(INDEX(EQA.Controllab_Dados!J$2:J$5000,MATCH(ROW()-4,EQA.Controllab_Dados!$S$2:$S$5000,0)),"")</f>
        <v/>
      </c>
      <c r="K83" s="85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81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85" t="str">
        <f>IFERROR(INDEX(EQA.Controllab_Dados!O$2:O$5000,MATCH(ROW()-4,EQA.Controllab_Dados!$S$2:$S$5000,0)),"")</f>
        <v/>
      </c>
      <c r="P83" s="85" t="str">
        <f>IFERROR(INDEX(EQA.Controllab_Dados!P$2:P$5000,MATCH(ROW()-4,EQA.Controllab_Dados!$S$2:$S$5000,0)),"")</f>
        <v/>
      </c>
      <c r="Q83" s="81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81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85" t="str">
        <f>IFERROR(INDEX(EQA.Controllab_Dados!F$2:F$5000,MATCH(ROW()-4,EQA.Controllab_Dados!$S$2:$S$5000,0)),"")</f>
        <v/>
      </c>
      <c r="G84" s="86" t="str">
        <f>IFERROR(INDEX(EQA.Controllab_Dados!G$2:G$5000,MATCH(ROW()-4,EQA.Controllab_Dados!$S$2:$S$5000,0)),"")</f>
        <v/>
      </c>
      <c r="H84" s="86" t="str">
        <f>IFERROR(INDEX(EQA.Controllab_Dados!H$2:H$5000,MATCH(ROW()-4,EQA.Controllab_Dados!$S$2:$S$5000,0)),"")</f>
        <v/>
      </c>
      <c r="I84" s="87" t="str">
        <f>IFERROR(INDEX(EQA.Controllab_Dados!I$2:I$5000,MATCH(ROW()-4,EQA.Controllab_Dados!$S$2:$S$5000,0)),"")</f>
        <v/>
      </c>
      <c r="J84" s="85" t="str">
        <f>IFERROR(INDEX(EQA.Controllab_Dados!J$2:J$5000,MATCH(ROW()-4,EQA.Controllab_Dados!$S$2:$S$5000,0)),"")</f>
        <v/>
      </c>
      <c r="K84" s="85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81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85" t="str">
        <f>IFERROR(INDEX(EQA.Controllab_Dados!O$2:O$5000,MATCH(ROW()-4,EQA.Controllab_Dados!$S$2:$S$5000,0)),"")</f>
        <v/>
      </c>
      <c r="P84" s="85" t="str">
        <f>IFERROR(INDEX(EQA.Controllab_Dados!P$2:P$5000,MATCH(ROW()-4,EQA.Controllab_Dados!$S$2:$S$5000,0)),"")</f>
        <v/>
      </c>
      <c r="Q84" s="81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81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85" t="str">
        <f>IFERROR(INDEX(EQA.Controllab_Dados!F$2:F$5000,MATCH(ROW()-4,EQA.Controllab_Dados!$S$2:$S$5000,0)),"")</f>
        <v/>
      </c>
      <c r="G85" s="86" t="str">
        <f>IFERROR(INDEX(EQA.Controllab_Dados!G$2:G$5000,MATCH(ROW()-4,EQA.Controllab_Dados!$S$2:$S$5000,0)),"")</f>
        <v/>
      </c>
      <c r="H85" s="86" t="str">
        <f>IFERROR(INDEX(EQA.Controllab_Dados!H$2:H$5000,MATCH(ROW()-4,EQA.Controllab_Dados!$S$2:$S$5000,0)),"")</f>
        <v/>
      </c>
      <c r="I85" s="87" t="str">
        <f>IFERROR(INDEX(EQA.Controllab_Dados!I$2:I$5000,MATCH(ROW()-4,EQA.Controllab_Dados!$S$2:$S$5000,0)),"")</f>
        <v/>
      </c>
      <c r="J85" s="85" t="str">
        <f>IFERROR(INDEX(EQA.Controllab_Dados!J$2:J$5000,MATCH(ROW()-4,EQA.Controllab_Dados!$S$2:$S$5000,0)),"")</f>
        <v/>
      </c>
      <c r="K85" s="85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81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85" t="str">
        <f>IFERROR(INDEX(EQA.Controllab_Dados!O$2:O$5000,MATCH(ROW()-4,EQA.Controllab_Dados!$S$2:$S$5000,0)),"")</f>
        <v/>
      </c>
      <c r="P85" s="85" t="str">
        <f>IFERROR(INDEX(EQA.Controllab_Dados!P$2:P$5000,MATCH(ROW()-4,EQA.Controllab_Dados!$S$2:$S$5000,0)),"")</f>
        <v/>
      </c>
      <c r="Q85" s="81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81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85" t="str">
        <f>IFERROR(INDEX(EQA.Controllab_Dados!F$2:F$5000,MATCH(ROW()-4,EQA.Controllab_Dados!$S$2:$S$5000,0)),"")</f>
        <v/>
      </c>
      <c r="G86" s="86" t="str">
        <f>IFERROR(INDEX(EQA.Controllab_Dados!G$2:G$5000,MATCH(ROW()-4,EQA.Controllab_Dados!$S$2:$S$5000,0)),"")</f>
        <v/>
      </c>
      <c r="H86" s="86" t="str">
        <f>IFERROR(INDEX(EQA.Controllab_Dados!H$2:H$5000,MATCH(ROW()-4,EQA.Controllab_Dados!$S$2:$S$5000,0)),"")</f>
        <v/>
      </c>
      <c r="I86" s="87" t="str">
        <f>IFERROR(INDEX(EQA.Controllab_Dados!I$2:I$5000,MATCH(ROW()-4,EQA.Controllab_Dados!$S$2:$S$5000,0)),"")</f>
        <v/>
      </c>
      <c r="J86" s="85" t="str">
        <f>IFERROR(INDEX(EQA.Controllab_Dados!J$2:J$5000,MATCH(ROW()-4,EQA.Controllab_Dados!$S$2:$S$5000,0)),"")</f>
        <v/>
      </c>
      <c r="K86" s="85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81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85" t="str">
        <f>IFERROR(INDEX(EQA.Controllab_Dados!O$2:O$5000,MATCH(ROW()-4,EQA.Controllab_Dados!$S$2:$S$5000,0)),"")</f>
        <v/>
      </c>
      <c r="P86" s="85" t="str">
        <f>IFERROR(INDEX(EQA.Controllab_Dados!P$2:P$5000,MATCH(ROW()-4,EQA.Controllab_Dados!$S$2:$S$5000,0)),"")</f>
        <v/>
      </c>
      <c r="Q86" s="81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81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85" t="str">
        <f>IFERROR(INDEX(EQA.Controllab_Dados!F$2:F$5000,MATCH(ROW()-4,EQA.Controllab_Dados!$S$2:$S$5000,0)),"")</f>
        <v/>
      </c>
      <c r="G87" s="86" t="str">
        <f>IFERROR(INDEX(EQA.Controllab_Dados!G$2:G$5000,MATCH(ROW()-4,EQA.Controllab_Dados!$S$2:$S$5000,0)),"")</f>
        <v/>
      </c>
      <c r="H87" s="86" t="str">
        <f>IFERROR(INDEX(EQA.Controllab_Dados!H$2:H$5000,MATCH(ROW()-4,EQA.Controllab_Dados!$S$2:$S$5000,0)),"")</f>
        <v/>
      </c>
      <c r="I87" s="87" t="str">
        <f>IFERROR(INDEX(EQA.Controllab_Dados!I$2:I$5000,MATCH(ROW()-4,EQA.Controllab_Dados!$S$2:$S$5000,0)),"")</f>
        <v/>
      </c>
      <c r="J87" s="85" t="str">
        <f>IFERROR(INDEX(EQA.Controllab_Dados!J$2:J$5000,MATCH(ROW()-4,EQA.Controllab_Dados!$S$2:$S$5000,0)),"")</f>
        <v/>
      </c>
      <c r="K87" s="85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81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85" t="str">
        <f>IFERROR(INDEX(EQA.Controllab_Dados!O$2:O$5000,MATCH(ROW()-4,EQA.Controllab_Dados!$S$2:$S$5000,0)),"")</f>
        <v/>
      </c>
      <c r="P87" s="85" t="str">
        <f>IFERROR(INDEX(EQA.Controllab_Dados!P$2:P$5000,MATCH(ROW()-4,EQA.Controllab_Dados!$S$2:$S$5000,0)),"")</f>
        <v/>
      </c>
      <c r="Q87" s="81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81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85" t="str">
        <f>IFERROR(INDEX(EQA.Controllab_Dados!F$2:F$5000,MATCH(ROW()-4,EQA.Controllab_Dados!$S$2:$S$5000,0)),"")</f>
        <v/>
      </c>
      <c r="G88" s="86" t="str">
        <f>IFERROR(INDEX(EQA.Controllab_Dados!G$2:G$5000,MATCH(ROW()-4,EQA.Controllab_Dados!$S$2:$S$5000,0)),"")</f>
        <v/>
      </c>
      <c r="H88" s="86" t="str">
        <f>IFERROR(INDEX(EQA.Controllab_Dados!H$2:H$5000,MATCH(ROW()-4,EQA.Controllab_Dados!$S$2:$S$5000,0)),"")</f>
        <v/>
      </c>
      <c r="I88" s="87" t="str">
        <f>IFERROR(INDEX(EQA.Controllab_Dados!I$2:I$5000,MATCH(ROW()-4,EQA.Controllab_Dados!$S$2:$S$5000,0)),"")</f>
        <v/>
      </c>
      <c r="J88" s="85" t="str">
        <f>IFERROR(INDEX(EQA.Controllab_Dados!J$2:J$5000,MATCH(ROW()-4,EQA.Controllab_Dados!$S$2:$S$5000,0)),"")</f>
        <v/>
      </c>
      <c r="K88" s="85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81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85" t="str">
        <f>IFERROR(INDEX(EQA.Controllab_Dados!O$2:O$5000,MATCH(ROW()-4,EQA.Controllab_Dados!$S$2:$S$5000,0)),"")</f>
        <v/>
      </c>
      <c r="P88" s="85" t="str">
        <f>IFERROR(INDEX(EQA.Controllab_Dados!P$2:P$5000,MATCH(ROW()-4,EQA.Controllab_Dados!$S$2:$S$5000,0)),"")</f>
        <v/>
      </c>
      <c r="Q88" s="81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81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85" t="str">
        <f>IFERROR(INDEX(EQA.Controllab_Dados!F$2:F$5000,MATCH(ROW()-4,EQA.Controllab_Dados!$S$2:$S$5000,0)),"")</f>
        <v/>
      </c>
      <c r="G89" s="86" t="str">
        <f>IFERROR(INDEX(EQA.Controllab_Dados!G$2:G$5000,MATCH(ROW()-4,EQA.Controllab_Dados!$S$2:$S$5000,0)),"")</f>
        <v/>
      </c>
      <c r="H89" s="86" t="str">
        <f>IFERROR(INDEX(EQA.Controllab_Dados!H$2:H$5000,MATCH(ROW()-4,EQA.Controllab_Dados!$S$2:$S$5000,0)),"")</f>
        <v/>
      </c>
      <c r="I89" s="87" t="str">
        <f>IFERROR(INDEX(EQA.Controllab_Dados!I$2:I$5000,MATCH(ROW()-4,EQA.Controllab_Dados!$S$2:$S$5000,0)),"")</f>
        <v/>
      </c>
      <c r="J89" s="85" t="str">
        <f>IFERROR(INDEX(EQA.Controllab_Dados!J$2:J$5000,MATCH(ROW()-4,EQA.Controllab_Dados!$S$2:$S$5000,0)),"")</f>
        <v/>
      </c>
      <c r="K89" s="85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81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85" t="str">
        <f>IFERROR(INDEX(EQA.Controllab_Dados!O$2:O$5000,MATCH(ROW()-4,EQA.Controllab_Dados!$S$2:$S$5000,0)),"")</f>
        <v/>
      </c>
      <c r="P89" s="85" t="str">
        <f>IFERROR(INDEX(EQA.Controllab_Dados!P$2:P$5000,MATCH(ROW()-4,EQA.Controllab_Dados!$S$2:$S$5000,0)),"")</f>
        <v/>
      </c>
      <c r="Q89" s="81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81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85" t="str">
        <f>IFERROR(INDEX(EQA.Controllab_Dados!F$2:F$5000,MATCH(ROW()-4,EQA.Controllab_Dados!$S$2:$S$5000,0)),"")</f>
        <v/>
      </c>
      <c r="G90" s="86" t="str">
        <f>IFERROR(INDEX(EQA.Controllab_Dados!G$2:G$5000,MATCH(ROW()-4,EQA.Controllab_Dados!$S$2:$S$5000,0)),"")</f>
        <v/>
      </c>
      <c r="H90" s="86" t="str">
        <f>IFERROR(INDEX(EQA.Controllab_Dados!H$2:H$5000,MATCH(ROW()-4,EQA.Controllab_Dados!$S$2:$S$5000,0)),"")</f>
        <v/>
      </c>
      <c r="I90" s="87" t="str">
        <f>IFERROR(INDEX(EQA.Controllab_Dados!I$2:I$5000,MATCH(ROW()-4,EQA.Controllab_Dados!$S$2:$S$5000,0)),"")</f>
        <v/>
      </c>
      <c r="J90" s="85" t="str">
        <f>IFERROR(INDEX(EQA.Controllab_Dados!J$2:J$5000,MATCH(ROW()-4,EQA.Controllab_Dados!$S$2:$S$5000,0)),"")</f>
        <v/>
      </c>
      <c r="K90" s="85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81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85" t="str">
        <f>IFERROR(INDEX(EQA.Controllab_Dados!O$2:O$5000,MATCH(ROW()-4,EQA.Controllab_Dados!$S$2:$S$5000,0)),"")</f>
        <v/>
      </c>
      <c r="P90" s="85" t="str">
        <f>IFERROR(INDEX(EQA.Controllab_Dados!P$2:P$5000,MATCH(ROW()-4,EQA.Controllab_Dados!$S$2:$S$5000,0)),"")</f>
        <v/>
      </c>
      <c r="Q90" s="81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81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85" t="str">
        <f>IFERROR(INDEX(EQA.Controllab_Dados!F$2:F$5000,MATCH(ROW()-4,EQA.Controllab_Dados!$S$2:$S$5000,0)),"")</f>
        <v/>
      </c>
      <c r="G91" s="86" t="str">
        <f>IFERROR(INDEX(EQA.Controllab_Dados!G$2:G$5000,MATCH(ROW()-4,EQA.Controllab_Dados!$S$2:$S$5000,0)),"")</f>
        <v/>
      </c>
      <c r="H91" s="86" t="str">
        <f>IFERROR(INDEX(EQA.Controllab_Dados!H$2:H$5000,MATCH(ROW()-4,EQA.Controllab_Dados!$S$2:$S$5000,0)),"")</f>
        <v/>
      </c>
      <c r="I91" s="87" t="str">
        <f>IFERROR(INDEX(EQA.Controllab_Dados!I$2:I$5000,MATCH(ROW()-4,EQA.Controllab_Dados!$S$2:$S$5000,0)),"")</f>
        <v/>
      </c>
      <c r="J91" s="85" t="str">
        <f>IFERROR(INDEX(EQA.Controllab_Dados!J$2:J$5000,MATCH(ROW()-4,EQA.Controllab_Dados!$S$2:$S$5000,0)),"")</f>
        <v/>
      </c>
      <c r="K91" s="85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81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85" t="str">
        <f>IFERROR(INDEX(EQA.Controllab_Dados!O$2:O$5000,MATCH(ROW()-4,EQA.Controllab_Dados!$S$2:$S$5000,0)),"")</f>
        <v/>
      </c>
      <c r="P91" s="85" t="str">
        <f>IFERROR(INDEX(EQA.Controllab_Dados!P$2:P$5000,MATCH(ROW()-4,EQA.Controllab_Dados!$S$2:$S$5000,0)),"")</f>
        <v/>
      </c>
      <c r="Q91" s="81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81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85" t="str">
        <f>IFERROR(INDEX(EQA.Controllab_Dados!F$2:F$5000,MATCH(ROW()-4,EQA.Controllab_Dados!$S$2:$S$5000,0)),"")</f>
        <v/>
      </c>
      <c r="G92" s="86" t="str">
        <f>IFERROR(INDEX(EQA.Controllab_Dados!G$2:G$5000,MATCH(ROW()-4,EQA.Controllab_Dados!$S$2:$S$5000,0)),"")</f>
        <v/>
      </c>
      <c r="H92" s="86" t="str">
        <f>IFERROR(INDEX(EQA.Controllab_Dados!H$2:H$5000,MATCH(ROW()-4,EQA.Controllab_Dados!$S$2:$S$5000,0)),"")</f>
        <v/>
      </c>
      <c r="I92" s="87" t="str">
        <f>IFERROR(INDEX(EQA.Controllab_Dados!I$2:I$5000,MATCH(ROW()-4,EQA.Controllab_Dados!$S$2:$S$5000,0)),"")</f>
        <v/>
      </c>
      <c r="J92" s="85" t="str">
        <f>IFERROR(INDEX(EQA.Controllab_Dados!J$2:J$5000,MATCH(ROW()-4,EQA.Controllab_Dados!$S$2:$S$5000,0)),"")</f>
        <v/>
      </c>
      <c r="K92" s="85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81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85" t="str">
        <f>IFERROR(INDEX(EQA.Controllab_Dados!O$2:O$5000,MATCH(ROW()-4,EQA.Controllab_Dados!$S$2:$S$5000,0)),"")</f>
        <v/>
      </c>
      <c r="P92" s="85" t="str">
        <f>IFERROR(INDEX(EQA.Controllab_Dados!P$2:P$5000,MATCH(ROW()-4,EQA.Controllab_Dados!$S$2:$S$5000,0)),"")</f>
        <v/>
      </c>
      <c r="Q92" s="81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81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85" t="str">
        <f>IFERROR(INDEX(EQA.Controllab_Dados!F$2:F$5000,MATCH(ROW()-4,EQA.Controllab_Dados!$S$2:$S$5000,0)),"")</f>
        <v/>
      </c>
      <c r="G93" s="86" t="str">
        <f>IFERROR(INDEX(EQA.Controllab_Dados!G$2:G$5000,MATCH(ROW()-4,EQA.Controllab_Dados!$S$2:$S$5000,0)),"")</f>
        <v/>
      </c>
      <c r="H93" s="86" t="str">
        <f>IFERROR(INDEX(EQA.Controllab_Dados!H$2:H$5000,MATCH(ROW()-4,EQA.Controllab_Dados!$S$2:$S$5000,0)),"")</f>
        <v/>
      </c>
      <c r="I93" s="87" t="str">
        <f>IFERROR(INDEX(EQA.Controllab_Dados!I$2:I$5000,MATCH(ROW()-4,EQA.Controllab_Dados!$S$2:$S$5000,0)),"")</f>
        <v/>
      </c>
      <c r="J93" s="85" t="str">
        <f>IFERROR(INDEX(EQA.Controllab_Dados!J$2:J$5000,MATCH(ROW()-4,EQA.Controllab_Dados!$S$2:$S$5000,0)),"")</f>
        <v/>
      </c>
      <c r="K93" s="85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81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85" t="str">
        <f>IFERROR(INDEX(EQA.Controllab_Dados!O$2:O$5000,MATCH(ROW()-4,EQA.Controllab_Dados!$S$2:$S$5000,0)),"")</f>
        <v/>
      </c>
      <c r="P93" s="85" t="str">
        <f>IFERROR(INDEX(EQA.Controllab_Dados!P$2:P$5000,MATCH(ROW()-4,EQA.Controllab_Dados!$S$2:$S$5000,0)),"")</f>
        <v/>
      </c>
      <c r="Q93" s="81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81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85" t="str">
        <f>IFERROR(INDEX(EQA.Controllab_Dados!F$2:F$5000,MATCH(ROW()-4,EQA.Controllab_Dados!$S$2:$S$5000,0)),"")</f>
        <v/>
      </c>
      <c r="G94" s="86" t="str">
        <f>IFERROR(INDEX(EQA.Controllab_Dados!G$2:G$5000,MATCH(ROW()-4,EQA.Controllab_Dados!$S$2:$S$5000,0)),"")</f>
        <v/>
      </c>
      <c r="H94" s="86" t="str">
        <f>IFERROR(INDEX(EQA.Controllab_Dados!H$2:H$5000,MATCH(ROW()-4,EQA.Controllab_Dados!$S$2:$S$5000,0)),"")</f>
        <v/>
      </c>
      <c r="I94" s="87" t="str">
        <f>IFERROR(INDEX(EQA.Controllab_Dados!I$2:I$5000,MATCH(ROW()-4,EQA.Controllab_Dados!$S$2:$S$5000,0)),"")</f>
        <v/>
      </c>
      <c r="J94" s="85" t="str">
        <f>IFERROR(INDEX(EQA.Controllab_Dados!J$2:J$5000,MATCH(ROW()-4,EQA.Controllab_Dados!$S$2:$S$5000,0)),"")</f>
        <v/>
      </c>
      <c r="K94" s="85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81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85" t="str">
        <f>IFERROR(INDEX(EQA.Controllab_Dados!O$2:O$5000,MATCH(ROW()-4,EQA.Controllab_Dados!$S$2:$S$5000,0)),"")</f>
        <v/>
      </c>
      <c r="P94" s="85" t="str">
        <f>IFERROR(INDEX(EQA.Controllab_Dados!P$2:P$5000,MATCH(ROW()-4,EQA.Controllab_Dados!$S$2:$S$5000,0)),"")</f>
        <v/>
      </c>
      <c r="Q94" s="81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81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85" t="str">
        <f>IFERROR(INDEX(EQA.Controllab_Dados!F$2:F$5000,MATCH(ROW()-4,EQA.Controllab_Dados!$S$2:$S$5000,0)),"")</f>
        <v/>
      </c>
      <c r="G95" s="86" t="str">
        <f>IFERROR(INDEX(EQA.Controllab_Dados!G$2:G$5000,MATCH(ROW()-4,EQA.Controllab_Dados!$S$2:$S$5000,0)),"")</f>
        <v/>
      </c>
      <c r="H95" s="86" t="str">
        <f>IFERROR(INDEX(EQA.Controllab_Dados!H$2:H$5000,MATCH(ROW()-4,EQA.Controllab_Dados!$S$2:$S$5000,0)),"")</f>
        <v/>
      </c>
      <c r="I95" s="87" t="str">
        <f>IFERROR(INDEX(EQA.Controllab_Dados!I$2:I$5000,MATCH(ROW()-4,EQA.Controllab_Dados!$S$2:$S$5000,0)),"")</f>
        <v/>
      </c>
      <c r="J95" s="85" t="str">
        <f>IFERROR(INDEX(EQA.Controllab_Dados!J$2:J$5000,MATCH(ROW()-4,EQA.Controllab_Dados!$S$2:$S$5000,0)),"")</f>
        <v/>
      </c>
      <c r="K95" s="85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81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85" t="str">
        <f>IFERROR(INDEX(EQA.Controllab_Dados!O$2:O$5000,MATCH(ROW()-4,EQA.Controllab_Dados!$S$2:$S$5000,0)),"")</f>
        <v/>
      </c>
      <c r="P95" s="85" t="str">
        <f>IFERROR(INDEX(EQA.Controllab_Dados!P$2:P$5000,MATCH(ROW()-4,EQA.Controllab_Dados!$S$2:$S$5000,0)),"")</f>
        <v/>
      </c>
      <c r="Q95" s="81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81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85" t="str">
        <f>IFERROR(INDEX(EQA.Controllab_Dados!F$2:F$5000,MATCH(ROW()-4,EQA.Controllab_Dados!$S$2:$S$5000,0)),"")</f>
        <v/>
      </c>
      <c r="G96" s="86" t="str">
        <f>IFERROR(INDEX(EQA.Controllab_Dados!G$2:G$5000,MATCH(ROW()-4,EQA.Controllab_Dados!$S$2:$S$5000,0)),"")</f>
        <v/>
      </c>
      <c r="H96" s="86" t="str">
        <f>IFERROR(INDEX(EQA.Controllab_Dados!H$2:H$5000,MATCH(ROW()-4,EQA.Controllab_Dados!$S$2:$S$5000,0)),"")</f>
        <v/>
      </c>
      <c r="I96" s="87" t="str">
        <f>IFERROR(INDEX(EQA.Controllab_Dados!I$2:I$5000,MATCH(ROW()-4,EQA.Controllab_Dados!$S$2:$S$5000,0)),"")</f>
        <v/>
      </c>
      <c r="J96" s="85" t="str">
        <f>IFERROR(INDEX(EQA.Controllab_Dados!J$2:J$5000,MATCH(ROW()-4,EQA.Controllab_Dados!$S$2:$S$5000,0)),"")</f>
        <v/>
      </c>
      <c r="K96" s="85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81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85" t="str">
        <f>IFERROR(INDEX(EQA.Controllab_Dados!O$2:O$5000,MATCH(ROW()-4,EQA.Controllab_Dados!$S$2:$S$5000,0)),"")</f>
        <v/>
      </c>
      <c r="P96" s="85" t="str">
        <f>IFERROR(INDEX(EQA.Controllab_Dados!P$2:P$5000,MATCH(ROW()-4,EQA.Controllab_Dados!$S$2:$S$5000,0)),"")</f>
        <v/>
      </c>
      <c r="Q96" s="81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81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85" t="str">
        <f>IFERROR(INDEX(EQA.Controllab_Dados!F$2:F$5000,MATCH(ROW()-4,EQA.Controllab_Dados!$S$2:$S$5000,0)),"")</f>
        <v/>
      </c>
      <c r="G97" s="86" t="str">
        <f>IFERROR(INDEX(EQA.Controllab_Dados!G$2:G$5000,MATCH(ROW()-4,EQA.Controllab_Dados!$S$2:$S$5000,0)),"")</f>
        <v/>
      </c>
      <c r="H97" s="86" t="str">
        <f>IFERROR(INDEX(EQA.Controllab_Dados!H$2:H$5000,MATCH(ROW()-4,EQA.Controllab_Dados!$S$2:$S$5000,0)),"")</f>
        <v/>
      </c>
      <c r="I97" s="87" t="str">
        <f>IFERROR(INDEX(EQA.Controllab_Dados!I$2:I$5000,MATCH(ROW()-4,EQA.Controllab_Dados!$S$2:$S$5000,0)),"")</f>
        <v/>
      </c>
      <c r="J97" s="85" t="str">
        <f>IFERROR(INDEX(EQA.Controllab_Dados!J$2:J$5000,MATCH(ROW()-4,EQA.Controllab_Dados!$S$2:$S$5000,0)),"")</f>
        <v/>
      </c>
      <c r="K97" s="85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81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85" t="str">
        <f>IFERROR(INDEX(EQA.Controllab_Dados!O$2:O$5000,MATCH(ROW()-4,EQA.Controllab_Dados!$S$2:$S$5000,0)),"")</f>
        <v/>
      </c>
      <c r="P97" s="85" t="str">
        <f>IFERROR(INDEX(EQA.Controllab_Dados!P$2:P$5000,MATCH(ROW()-4,EQA.Controllab_Dados!$S$2:$S$5000,0)),"")</f>
        <v/>
      </c>
      <c r="Q97" s="81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81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85" t="str">
        <f>IFERROR(INDEX(EQA.Controllab_Dados!F$2:F$5000,MATCH(ROW()-4,EQA.Controllab_Dados!$S$2:$S$5000,0)),"")</f>
        <v/>
      </c>
      <c r="G98" s="86" t="str">
        <f>IFERROR(INDEX(EQA.Controllab_Dados!G$2:G$5000,MATCH(ROW()-4,EQA.Controllab_Dados!$S$2:$S$5000,0)),"")</f>
        <v/>
      </c>
      <c r="H98" s="86" t="str">
        <f>IFERROR(INDEX(EQA.Controllab_Dados!H$2:H$5000,MATCH(ROW()-4,EQA.Controllab_Dados!$S$2:$S$5000,0)),"")</f>
        <v/>
      </c>
      <c r="I98" s="87" t="str">
        <f>IFERROR(INDEX(EQA.Controllab_Dados!I$2:I$5000,MATCH(ROW()-4,EQA.Controllab_Dados!$S$2:$S$5000,0)),"")</f>
        <v/>
      </c>
      <c r="J98" s="85" t="str">
        <f>IFERROR(INDEX(EQA.Controllab_Dados!J$2:J$5000,MATCH(ROW()-4,EQA.Controllab_Dados!$S$2:$S$5000,0)),"")</f>
        <v/>
      </c>
      <c r="K98" s="85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81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85" t="str">
        <f>IFERROR(INDEX(EQA.Controllab_Dados!O$2:O$5000,MATCH(ROW()-4,EQA.Controllab_Dados!$S$2:$S$5000,0)),"")</f>
        <v/>
      </c>
      <c r="P98" s="85" t="str">
        <f>IFERROR(INDEX(EQA.Controllab_Dados!P$2:P$5000,MATCH(ROW()-4,EQA.Controllab_Dados!$S$2:$S$5000,0)),"")</f>
        <v/>
      </c>
      <c r="Q98" s="81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81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85" t="str">
        <f>IFERROR(INDEX(EQA.Controllab_Dados!F$2:F$5000,MATCH(ROW()-4,EQA.Controllab_Dados!$S$2:$S$5000,0)),"")</f>
        <v/>
      </c>
      <c r="G99" s="86" t="str">
        <f>IFERROR(INDEX(EQA.Controllab_Dados!G$2:G$5000,MATCH(ROW()-4,EQA.Controllab_Dados!$S$2:$S$5000,0)),"")</f>
        <v/>
      </c>
      <c r="H99" s="86" t="str">
        <f>IFERROR(INDEX(EQA.Controllab_Dados!H$2:H$5000,MATCH(ROW()-4,EQA.Controllab_Dados!$S$2:$S$5000,0)),"")</f>
        <v/>
      </c>
      <c r="I99" s="87" t="str">
        <f>IFERROR(INDEX(EQA.Controllab_Dados!I$2:I$5000,MATCH(ROW()-4,EQA.Controllab_Dados!$S$2:$S$5000,0)),"")</f>
        <v/>
      </c>
      <c r="J99" s="85" t="str">
        <f>IFERROR(INDEX(EQA.Controllab_Dados!J$2:J$5000,MATCH(ROW()-4,EQA.Controllab_Dados!$S$2:$S$5000,0)),"")</f>
        <v/>
      </c>
      <c r="K99" s="85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81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85" t="str">
        <f>IFERROR(INDEX(EQA.Controllab_Dados!O$2:O$5000,MATCH(ROW()-4,EQA.Controllab_Dados!$S$2:$S$5000,0)),"")</f>
        <v/>
      </c>
      <c r="P99" s="85" t="str">
        <f>IFERROR(INDEX(EQA.Controllab_Dados!P$2:P$5000,MATCH(ROW()-4,EQA.Controllab_Dados!$S$2:$S$5000,0)),"")</f>
        <v/>
      </c>
      <c r="Q99" s="81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81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85" t="str">
        <f>IFERROR(INDEX(EQA.Controllab_Dados!F$2:F$5000,MATCH(ROW()-4,EQA.Controllab_Dados!$S$2:$S$5000,0)),"")</f>
        <v/>
      </c>
      <c r="G100" s="86" t="str">
        <f>IFERROR(INDEX(EQA.Controllab_Dados!G$2:G$5000,MATCH(ROW()-4,EQA.Controllab_Dados!$S$2:$S$5000,0)),"")</f>
        <v/>
      </c>
      <c r="H100" s="86" t="str">
        <f>IFERROR(INDEX(EQA.Controllab_Dados!H$2:H$5000,MATCH(ROW()-4,EQA.Controllab_Dados!$S$2:$S$5000,0)),"")</f>
        <v/>
      </c>
      <c r="I100" s="87" t="str">
        <f>IFERROR(INDEX(EQA.Controllab_Dados!I$2:I$5000,MATCH(ROW()-4,EQA.Controllab_Dados!$S$2:$S$5000,0)),"")</f>
        <v/>
      </c>
      <c r="J100" s="85" t="str">
        <f>IFERROR(INDEX(EQA.Controllab_Dados!J$2:J$5000,MATCH(ROW()-4,EQA.Controllab_Dados!$S$2:$S$5000,0)),"")</f>
        <v/>
      </c>
      <c r="K100" s="85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81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85" t="str">
        <f>IFERROR(INDEX(EQA.Controllab_Dados!O$2:O$5000,MATCH(ROW()-4,EQA.Controllab_Dados!$S$2:$S$5000,0)),"")</f>
        <v/>
      </c>
      <c r="P100" s="85" t="str">
        <f>IFERROR(INDEX(EQA.Controllab_Dados!P$2:P$5000,MATCH(ROW()-4,EQA.Controllab_Dados!$S$2:$S$5000,0)),"")</f>
        <v/>
      </c>
      <c r="Q100" s="81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81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85" t="str">
        <f>IFERROR(INDEX(EQA.Controllab_Dados!F$2:F$5000,MATCH(ROW()-4,EQA.Controllab_Dados!$S$2:$S$5000,0)),"")</f>
        <v/>
      </c>
      <c r="G101" s="86" t="str">
        <f>IFERROR(INDEX(EQA.Controllab_Dados!G$2:G$5000,MATCH(ROW()-4,EQA.Controllab_Dados!$S$2:$S$5000,0)),"")</f>
        <v/>
      </c>
      <c r="H101" s="86" t="str">
        <f>IFERROR(INDEX(EQA.Controllab_Dados!H$2:H$5000,MATCH(ROW()-4,EQA.Controllab_Dados!$S$2:$S$5000,0)),"")</f>
        <v/>
      </c>
      <c r="I101" s="87" t="str">
        <f>IFERROR(INDEX(EQA.Controllab_Dados!I$2:I$5000,MATCH(ROW()-4,EQA.Controllab_Dados!$S$2:$S$5000,0)),"")</f>
        <v/>
      </c>
      <c r="J101" s="85" t="str">
        <f>IFERROR(INDEX(EQA.Controllab_Dados!J$2:J$5000,MATCH(ROW()-4,EQA.Controllab_Dados!$S$2:$S$5000,0)),"")</f>
        <v/>
      </c>
      <c r="K101" s="85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81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85" t="str">
        <f>IFERROR(INDEX(EQA.Controllab_Dados!O$2:O$5000,MATCH(ROW()-4,EQA.Controllab_Dados!$S$2:$S$5000,0)),"")</f>
        <v/>
      </c>
      <c r="P101" s="85" t="str">
        <f>IFERROR(INDEX(EQA.Controllab_Dados!P$2:P$5000,MATCH(ROW()-4,EQA.Controllab_Dados!$S$2:$S$5000,0)),"")</f>
        <v/>
      </c>
      <c r="Q101" s="81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81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85" t="str">
        <f>IFERROR(INDEX(EQA.Controllab_Dados!F$2:F$5000,MATCH(ROW()-4,EQA.Controllab_Dados!$S$2:$S$5000,0)),"")</f>
        <v/>
      </c>
      <c r="G102" s="86" t="str">
        <f>IFERROR(INDEX(EQA.Controllab_Dados!G$2:G$5000,MATCH(ROW()-4,EQA.Controllab_Dados!$S$2:$S$5000,0)),"")</f>
        <v/>
      </c>
      <c r="H102" s="86" t="str">
        <f>IFERROR(INDEX(EQA.Controllab_Dados!H$2:H$5000,MATCH(ROW()-4,EQA.Controllab_Dados!$S$2:$S$5000,0)),"")</f>
        <v/>
      </c>
      <c r="I102" s="87" t="str">
        <f>IFERROR(INDEX(EQA.Controllab_Dados!I$2:I$5000,MATCH(ROW()-4,EQA.Controllab_Dados!$S$2:$S$5000,0)),"")</f>
        <v/>
      </c>
      <c r="J102" s="85" t="str">
        <f>IFERROR(INDEX(EQA.Controllab_Dados!J$2:J$5000,MATCH(ROW()-4,EQA.Controllab_Dados!$S$2:$S$5000,0)),"")</f>
        <v/>
      </c>
      <c r="K102" s="85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81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85" t="str">
        <f>IFERROR(INDEX(EQA.Controllab_Dados!O$2:O$5000,MATCH(ROW()-4,EQA.Controllab_Dados!$S$2:$S$5000,0)),"")</f>
        <v/>
      </c>
      <c r="P102" s="85" t="str">
        <f>IFERROR(INDEX(EQA.Controllab_Dados!P$2:P$5000,MATCH(ROW()-4,EQA.Controllab_Dados!$S$2:$S$5000,0)),"")</f>
        <v/>
      </c>
      <c r="Q102" s="81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81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85" t="str">
        <f>IFERROR(INDEX(EQA.Controllab_Dados!F$2:F$5000,MATCH(ROW()-4,EQA.Controllab_Dados!$S$2:$S$5000,0)),"")</f>
        <v/>
      </c>
      <c r="G103" s="86" t="str">
        <f>IFERROR(INDEX(EQA.Controllab_Dados!G$2:G$5000,MATCH(ROW()-4,EQA.Controllab_Dados!$S$2:$S$5000,0)),"")</f>
        <v/>
      </c>
      <c r="H103" s="86" t="str">
        <f>IFERROR(INDEX(EQA.Controllab_Dados!H$2:H$5000,MATCH(ROW()-4,EQA.Controllab_Dados!$S$2:$S$5000,0)),"")</f>
        <v/>
      </c>
      <c r="I103" s="87" t="str">
        <f>IFERROR(INDEX(EQA.Controllab_Dados!I$2:I$5000,MATCH(ROW()-4,EQA.Controllab_Dados!$S$2:$S$5000,0)),"")</f>
        <v/>
      </c>
      <c r="J103" s="85" t="str">
        <f>IFERROR(INDEX(EQA.Controllab_Dados!J$2:J$5000,MATCH(ROW()-4,EQA.Controllab_Dados!$S$2:$S$5000,0)),"")</f>
        <v/>
      </c>
      <c r="K103" s="85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81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85" t="str">
        <f>IFERROR(INDEX(EQA.Controllab_Dados!O$2:O$5000,MATCH(ROW()-4,EQA.Controllab_Dados!$S$2:$S$5000,0)),"")</f>
        <v/>
      </c>
      <c r="P103" s="85" t="str">
        <f>IFERROR(INDEX(EQA.Controllab_Dados!P$2:P$5000,MATCH(ROW()-4,EQA.Controllab_Dados!$S$2:$S$5000,0)),"")</f>
        <v/>
      </c>
      <c r="Q103" s="81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81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85" t="str">
        <f>IFERROR(INDEX(EQA.Controllab_Dados!F$2:F$5000,MATCH(ROW()-4,EQA.Controllab_Dados!$S$2:$S$5000,0)),"")</f>
        <v/>
      </c>
      <c r="G104" s="86" t="str">
        <f>IFERROR(INDEX(EQA.Controllab_Dados!G$2:G$5000,MATCH(ROW()-4,EQA.Controllab_Dados!$S$2:$S$5000,0)),"")</f>
        <v/>
      </c>
      <c r="H104" s="86" t="str">
        <f>IFERROR(INDEX(EQA.Controllab_Dados!H$2:H$5000,MATCH(ROW()-4,EQA.Controllab_Dados!$S$2:$S$5000,0)),"")</f>
        <v/>
      </c>
      <c r="I104" s="87" t="str">
        <f>IFERROR(INDEX(EQA.Controllab_Dados!I$2:I$5000,MATCH(ROW()-4,EQA.Controllab_Dados!$S$2:$S$5000,0)),"")</f>
        <v/>
      </c>
      <c r="J104" s="85" t="str">
        <f>IFERROR(INDEX(EQA.Controllab_Dados!J$2:J$5000,MATCH(ROW()-4,EQA.Controllab_Dados!$S$2:$S$5000,0)),"")</f>
        <v/>
      </c>
      <c r="K104" s="85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81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85" t="str">
        <f>IFERROR(INDEX(EQA.Controllab_Dados!O$2:O$5000,MATCH(ROW()-4,EQA.Controllab_Dados!$S$2:$S$5000,0)),"")</f>
        <v/>
      </c>
      <c r="P104" s="85" t="str">
        <f>IFERROR(INDEX(EQA.Controllab_Dados!P$2:P$5000,MATCH(ROW()-4,EQA.Controllab_Dados!$S$2:$S$5000,0)),"")</f>
        <v/>
      </c>
      <c r="Q104" s="81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81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85" t="str">
        <f>IFERROR(INDEX(EQA.Controllab_Dados!F$2:F$5000,MATCH(ROW()-4,EQA.Controllab_Dados!$S$2:$S$5000,0)),"")</f>
        <v/>
      </c>
      <c r="G105" s="86" t="str">
        <f>IFERROR(INDEX(EQA.Controllab_Dados!G$2:G$5000,MATCH(ROW()-4,EQA.Controllab_Dados!$S$2:$S$5000,0)),"")</f>
        <v/>
      </c>
      <c r="H105" s="86" t="str">
        <f>IFERROR(INDEX(EQA.Controllab_Dados!H$2:H$5000,MATCH(ROW()-4,EQA.Controllab_Dados!$S$2:$S$5000,0)),"")</f>
        <v/>
      </c>
      <c r="I105" s="87" t="str">
        <f>IFERROR(INDEX(EQA.Controllab_Dados!I$2:I$5000,MATCH(ROW()-4,EQA.Controllab_Dados!$S$2:$S$5000,0)),"")</f>
        <v/>
      </c>
      <c r="J105" s="85" t="str">
        <f>IFERROR(INDEX(EQA.Controllab_Dados!J$2:J$5000,MATCH(ROW()-4,EQA.Controllab_Dados!$S$2:$S$5000,0)),"")</f>
        <v/>
      </c>
      <c r="K105" s="85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81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85" t="str">
        <f>IFERROR(INDEX(EQA.Controllab_Dados!O$2:O$5000,MATCH(ROW()-4,EQA.Controllab_Dados!$S$2:$S$5000,0)),"")</f>
        <v/>
      </c>
      <c r="P105" s="85" t="str">
        <f>IFERROR(INDEX(EQA.Controllab_Dados!P$2:P$5000,MATCH(ROW()-4,EQA.Controllab_Dados!$S$2:$S$5000,0)),"")</f>
        <v/>
      </c>
      <c r="Q105" s="81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81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85" t="str">
        <f>IFERROR(INDEX(EQA.Controllab_Dados!F$2:F$5000,MATCH(ROW()-4,EQA.Controllab_Dados!$S$2:$S$5000,0)),"")</f>
        <v/>
      </c>
      <c r="G106" s="86" t="str">
        <f>IFERROR(INDEX(EQA.Controllab_Dados!G$2:G$5000,MATCH(ROW()-4,EQA.Controllab_Dados!$S$2:$S$5000,0)),"")</f>
        <v/>
      </c>
      <c r="H106" s="86" t="str">
        <f>IFERROR(INDEX(EQA.Controllab_Dados!H$2:H$5000,MATCH(ROW()-4,EQA.Controllab_Dados!$S$2:$S$5000,0)),"")</f>
        <v/>
      </c>
      <c r="I106" s="87" t="str">
        <f>IFERROR(INDEX(EQA.Controllab_Dados!I$2:I$5000,MATCH(ROW()-4,EQA.Controllab_Dados!$S$2:$S$5000,0)),"")</f>
        <v/>
      </c>
      <c r="J106" s="85" t="str">
        <f>IFERROR(INDEX(EQA.Controllab_Dados!J$2:J$5000,MATCH(ROW()-4,EQA.Controllab_Dados!$S$2:$S$5000,0)),"")</f>
        <v/>
      </c>
      <c r="K106" s="85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81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85" t="str">
        <f>IFERROR(INDEX(EQA.Controllab_Dados!O$2:O$5000,MATCH(ROW()-4,EQA.Controllab_Dados!$S$2:$S$5000,0)),"")</f>
        <v/>
      </c>
      <c r="P106" s="85" t="str">
        <f>IFERROR(INDEX(EQA.Controllab_Dados!P$2:P$5000,MATCH(ROW()-4,EQA.Controllab_Dados!$S$2:$S$5000,0)),"")</f>
        <v/>
      </c>
      <c r="Q106" s="81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81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85" t="str">
        <f>IFERROR(INDEX(EQA.Controllab_Dados!F$2:F$5000,MATCH(ROW()-4,EQA.Controllab_Dados!$S$2:$S$5000,0)),"")</f>
        <v/>
      </c>
      <c r="G107" s="86" t="str">
        <f>IFERROR(INDEX(EQA.Controllab_Dados!G$2:G$5000,MATCH(ROW()-4,EQA.Controllab_Dados!$S$2:$S$5000,0)),"")</f>
        <v/>
      </c>
      <c r="H107" s="86" t="str">
        <f>IFERROR(INDEX(EQA.Controllab_Dados!H$2:H$5000,MATCH(ROW()-4,EQA.Controllab_Dados!$S$2:$S$5000,0)),"")</f>
        <v/>
      </c>
      <c r="I107" s="87" t="str">
        <f>IFERROR(INDEX(EQA.Controllab_Dados!I$2:I$5000,MATCH(ROW()-4,EQA.Controllab_Dados!$S$2:$S$5000,0)),"")</f>
        <v/>
      </c>
      <c r="J107" s="85" t="str">
        <f>IFERROR(INDEX(EQA.Controllab_Dados!J$2:J$5000,MATCH(ROW()-4,EQA.Controllab_Dados!$S$2:$S$5000,0)),"")</f>
        <v/>
      </c>
      <c r="K107" s="85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81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85" t="str">
        <f>IFERROR(INDEX(EQA.Controllab_Dados!O$2:O$5000,MATCH(ROW()-4,EQA.Controllab_Dados!$S$2:$S$5000,0)),"")</f>
        <v/>
      </c>
      <c r="P107" s="85" t="str">
        <f>IFERROR(INDEX(EQA.Controllab_Dados!P$2:P$5000,MATCH(ROW()-4,EQA.Controllab_Dados!$S$2:$S$5000,0)),"")</f>
        <v/>
      </c>
      <c r="Q107" s="81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81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85" t="str">
        <f>IFERROR(INDEX(EQA.Controllab_Dados!F$2:F$5000,MATCH(ROW()-4,EQA.Controllab_Dados!$S$2:$S$5000,0)),"")</f>
        <v/>
      </c>
      <c r="G108" s="86" t="str">
        <f>IFERROR(INDEX(EQA.Controllab_Dados!G$2:G$5000,MATCH(ROW()-4,EQA.Controllab_Dados!$S$2:$S$5000,0)),"")</f>
        <v/>
      </c>
      <c r="H108" s="86" t="str">
        <f>IFERROR(INDEX(EQA.Controllab_Dados!H$2:H$5000,MATCH(ROW()-4,EQA.Controllab_Dados!$S$2:$S$5000,0)),"")</f>
        <v/>
      </c>
      <c r="I108" s="87" t="str">
        <f>IFERROR(INDEX(EQA.Controllab_Dados!I$2:I$5000,MATCH(ROW()-4,EQA.Controllab_Dados!$S$2:$S$5000,0)),"")</f>
        <v/>
      </c>
      <c r="J108" s="85" t="str">
        <f>IFERROR(INDEX(EQA.Controllab_Dados!J$2:J$5000,MATCH(ROW()-4,EQA.Controllab_Dados!$S$2:$S$5000,0)),"")</f>
        <v/>
      </c>
      <c r="K108" s="85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81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85" t="str">
        <f>IFERROR(INDEX(EQA.Controllab_Dados!O$2:O$5000,MATCH(ROW()-4,EQA.Controllab_Dados!$S$2:$S$5000,0)),"")</f>
        <v/>
      </c>
      <c r="P108" s="85" t="str">
        <f>IFERROR(INDEX(EQA.Controllab_Dados!P$2:P$5000,MATCH(ROW()-4,EQA.Controllab_Dados!$S$2:$S$5000,0)),"")</f>
        <v/>
      </c>
      <c r="Q108" s="81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81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85" t="str">
        <f>IFERROR(INDEX(EQA.Controllab_Dados!F$2:F$5000,MATCH(ROW()-4,EQA.Controllab_Dados!$S$2:$S$5000,0)),"")</f>
        <v/>
      </c>
      <c r="G109" s="86" t="str">
        <f>IFERROR(INDEX(EQA.Controllab_Dados!G$2:G$5000,MATCH(ROW()-4,EQA.Controllab_Dados!$S$2:$S$5000,0)),"")</f>
        <v/>
      </c>
      <c r="H109" s="86" t="str">
        <f>IFERROR(INDEX(EQA.Controllab_Dados!H$2:H$5000,MATCH(ROW()-4,EQA.Controllab_Dados!$S$2:$S$5000,0)),"")</f>
        <v/>
      </c>
      <c r="I109" s="87" t="str">
        <f>IFERROR(INDEX(EQA.Controllab_Dados!I$2:I$5000,MATCH(ROW()-4,EQA.Controllab_Dados!$S$2:$S$5000,0)),"")</f>
        <v/>
      </c>
      <c r="J109" s="85" t="str">
        <f>IFERROR(INDEX(EQA.Controllab_Dados!J$2:J$5000,MATCH(ROW()-4,EQA.Controllab_Dados!$S$2:$S$5000,0)),"")</f>
        <v/>
      </c>
      <c r="K109" s="85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81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85" t="str">
        <f>IFERROR(INDEX(EQA.Controllab_Dados!O$2:O$5000,MATCH(ROW()-4,EQA.Controllab_Dados!$S$2:$S$5000,0)),"")</f>
        <v/>
      </c>
      <c r="P109" s="85" t="str">
        <f>IFERROR(INDEX(EQA.Controllab_Dados!P$2:P$5000,MATCH(ROW()-4,EQA.Controllab_Dados!$S$2:$S$5000,0)),"")</f>
        <v/>
      </c>
      <c r="Q109" s="81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81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85" t="str">
        <f>IFERROR(INDEX(EQA.Controllab_Dados!F$2:F$5000,MATCH(ROW()-4,EQA.Controllab_Dados!$S$2:$S$5000,0)),"")</f>
        <v/>
      </c>
      <c r="G110" s="86" t="str">
        <f>IFERROR(INDEX(EQA.Controllab_Dados!G$2:G$5000,MATCH(ROW()-4,EQA.Controllab_Dados!$S$2:$S$5000,0)),"")</f>
        <v/>
      </c>
      <c r="H110" s="86" t="str">
        <f>IFERROR(INDEX(EQA.Controllab_Dados!H$2:H$5000,MATCH(ROW()-4,EQA.Controllab_Dados!$S$2:$S$5000,0)),"")</f>
        <v/>
      </c>
      <c r="I110" s="87" t="str">
        <f>IFERROR(INDEX(EQA.Controllab_Dados!I$2:I$5000,MATCH(ROW()-4,EQA.Controllab_Dados!$S$2:$S$5000,0)),"")</f>
        <v/>
      </c>
      <c r="J110" s="85" t="str">
        <f>IFERROR(INDEX(EQA.Controllab_Dados!J$2:J$5000,MATCH(ROW()-4,EQA.Controllab_Dados!$S$2:$S$5000,0)),"")</f>
        <v/>
      </c>
      <c r="K110" s="85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81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85" t="str">
        <f>IFERROR(INDEX(EQA.Controllab_Dados!O$2:O$5000,MATCH(ROW()-4,EQA.Controllab_Dados!$S$2:$S$5000,0)),"")</f>
        <v/>
      </c>
      <c r="P110" s="85" t="str">
        <f>IFERROR(INDEX(EQA.Controllab_Dados!P$2:P$5000,MATCH(ROW()-4,EQA.Controllab_Dados!$S$2:$S$5000,0)),"")</f>
        <v/>
      </c>
      <c r="Q110" s="81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81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85" t="str">
        <f>IFERROR(INDEX(EQA.Controllab_Dados!F$2:F$5000,MATCH(ROW()-4,EQA.Controllab_Dados!$S$2:$S$5000,0)),"")</f>
        <v/>
      </c>
      <c r="G111" s="86" t="str">
        <f>IFERROR(INDEX(EQA.Controllab_Dados!G$2:G$5000,MATCH(ROW()-4,EQA.Controllab_Dados!$S$2:$S$5000,0)),"")</f>
        <v/>
      </c>
      <c r="H111" s="86" t="str">
        <f>IFERROR(INDEX(EQA.Controllab_Dados!H$2:H$5000,MATCH(ROW()-4,EQA.Controllab_Dados!$S$2:$S$5000,0)),"")</f>
        <v/>
      </c>
      <c r="I111" s="87" t="str">
        <f>IFERROR(INDEX(EQA.Controllab_Dados!I$2:I$5000,MATCH(ROW()-4,EQA.Controllab_Dados!$S$2:$S$5000,0)),"")</f>
        <v/>
      </c>
      <c r="J111" s="85" t="str">
        <f>IFERROR(INDEX(EQA.Controllab_Dados!J$2:J$5000,MATCH(ROW()-4,EQA.Controllab_Dados!$S$2:$S$5000,0)),"")</f>
        <v/>
      </c>
      <c r="K111" s="85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81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85" t="str">
        <f>IFERROR(INDEX(EQA.Controllab_Dados!O$2:O$5000,MATCH(ROW()-4,EQA.Controllab_Dados!$S$2:$S$5000,0)),"")</f>
        <v/>
      </c>
      <c r="P111" s="85" t="str">
        <f>IFERROR(INDEX(EQA.Controllab_Dados!P$2:P$5000,MATCH(ROW()-4,EQA.Controllab_Dados!$S$2:$S$5000,0)),"")</f>
        <v/>
      </c>
      <c r="Q111" s="81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81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85" t="str">
        <f>IFERROR(INDEX(EQA.Controllab_Dados!F$2:F$5000,MATCH(ROW()-4,EQA.Controllab_Dados!$S$2:$S$5000,0)),"")</f>
        <v/>
      </c>
      <c r="G112" s="86" t="str">
        <f>IFERROR(INDEX(EQA.Controllab_Dados!G$2:G$5000,MATCH(ROW()-4,EQA.Controllab_Dados!$S$2:$S$5000,0)),"")</f>
        <v/>
      </c>
      <c r="H112" s="86" t="str">
        <f>IFERROR(INDEX(EQA.Controllab_Dados!H$2:H$5000,MATCH(ROW()-4,EQA.Controllab_Dados!$S$2:$S$5000,0)),"")</f>
        <v/>
      </c>
      <c r="I112" s="87" t="str">
        <f>IFERROR(INDEX(EQA.Controllab_Dados!I$2:I$5000,MATCH(ROW()-4,EQA.Controllab_Dados!$S$2:$S$5000,0)),"")</f>
        <v/>
      </c>
      <c r="J112" s="85" t="str">
        <f>IFERROR(INDEX(EQA.Controllab_Dados!J$2:J$5000,MATCH(ROW()-4,EQA.Controllab_Dados!$S$2:$S$5000,0)),"")</f>
        <v/>
      </c>
      <c r="K112" s="85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81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85" t="str">
        <f>IFERROR(INDEX(EQA.Controllab_Dados!O$2:O$5000,MATCH(ROW()-4,EQA.Controllab_Dados!$S$2:$S$5000,0)),"")</f>
        <v/>
      </c>
      <c r="P112" s="85" t="str">
        <f>IFERROR(INDEX(EQA.Controllab_Dados!P$2:P$5000,MATCH(ROW()-4,EQA.Controllab_Dados!$S$2:$S$5000,0)),"")</f>
        <v/>
      </c>
      <c r="Q112" s="81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81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85" t="str">
        <f>IFERROR(INDEX(EQA.Controllab_Dados!F$2:F$5000,MATCH(ROW()-4,EQA.Controllab_Dados!$S$2:$S$5000,0)),"")</f>
        <v/>
      </c>
      <c r="G113" s="86" t="str">
        <f>IFERROR(INDEX(EQA.Controllab_Dados!G$2:G$5000,MATCH(ROW()-4,EQA.Controllab_Dados!$S$2:$S$5000,0)),"")</f>
        <v/>
      </c>
      <c r="H113" s="86" t="str">
        <f>IFERROR(INDEX(EQA.Controllab_Dados!H$2:H$5000,MATCH(ROW()-4,EQA.Controllab_Dados!$S$2:$S$5000,0)),"")</f>
        <v/>
      </c>
      <c r="I113" s="87" t="str">
        <f>IFERROR(INDEX(EQA.Controllab_Dados!I$2:I$5000,MATCH(ROW()-4,EQA.Controllab_Dados!$S$2:$S$5000,0)),"")</f>
        <v/>
      </c>
      <c r="J113" s="85" t="str">
        <f>IFERROR(INDEX(EQA.Controllab_Dados!J$2:J$5000,MATCH(ROW()-4,EQA.Controllab_Dados!$S$2:$S$5000,0)),"")</f>
        <v/>
      </c>
      <c r="K113" s="85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81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85" t="str">
        <f>IFERROR(INDEX(EQA.Controllab_Dados!O$2:O$5000,MATCH(ROW()-4,EQA.Controllab_Dados!$S$2:$S$5000,0)),"")</f>
        <v/>
      </c>
      <c r="P113" s="85" t="str">
        <f>IFERROR(INDEX(EQA.Controllab_Dados!P$2:P$5000,MATCH(ROW()-4,EQA.Controllab_Dados!$S$2:$S$5000,0)),"")</f>
        <v/>
      </c>
      <c r="Q113" s="81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81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85" t="str">
        <f>IFERROR(INDEX(EQA.Controllab_Dados!F$2:F$5000,MATCH(ROW()-4,EQA.Controllab_Dados!$S$2:$S$5000,0)),"")</f>
        <v/>
      </c>
      <c r="G114" s="86" t="str">
        <f>IFERROR(INDEX(EQA.Controllab_Dados!G$2:G$5000,MATCH(ROW()-4,EQA.Controllab_Dados!$S$2:$S$5000,0)),"")</f>
        <v/>
      </c>
      <c r="H114" s="86" t="str">
        <f>IFERROR(INDEX(EQA.Controllab_Dados!H$2:H$5000,MATCH(ROW()-4,EQA.Controllab_Dados!$S$2:$S$5000,0)),"")</f>
        <v/>
      </c>
      <c r="I114" s="87" t="str">
        <f>IFERROR(INDEX(EQA.Controllab_Dados!I$2:I$5000,MATCH(ROW()-4,EQA.Controllab_Dados!$S$2:$S$5000,0)),"")</f>
        <v/>
      </c>
      <c r="J114" s="85" t="str">
        <f>IFERROR(INDEX(EQA.Controllab_Dados!J$2:J$5000,MATCH(ROW()-4,EQA.Controllab_Dados!$S$2:$S$5000,0)),"")</f>
        <v/>
      </c>
      <c r="K114" s="85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81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85" t="str">
        <f>IFERROR(INDEX(EQA.Controllab_Dados!O$2:O$5000,MATCH(ROW()-4,EQA.Controllab_Dados!$S$2:$S$5000,0)),"")</f>
        <v/>
      </c>
      <c r="P114" s="85" t="str">
        <f>IFERROR(INDEX(EQA.Controllab_Dados!P$2:P$5000,MATCH(ROW()-4,EQA.Controllab_Dados!$S$2:$S$5000,0)),"")</f>
        <v/>
      </c>
      <c r="Q114" s="81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81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85" t="str">
        <f>IFERROR(INDEX(EQA.Controllab_Dados!F$2:F$5000,MATCH(ROW()-4,EQA.Controllab_Dados!$S$2:$S$5000,0)),"")</f>
        <v/>
      </c>
      <c r="G115" s="86" t="str">
        <f>IFERROR(INDEX(EQA.Controllab_Dados!G$2:G$5000,MATCH(ROW()-4,EQA.Controllab_Dados!$S$2:$S$5000,0)),"")</f>
        <v/>
      </c>
      <c r="H115" s="86" t="str">
        <f>IFERROR(INDEX(EQA.Controllab_Dados!H$2:H$5000,MATCH(ROW()-4,EQA.Controllab_Dados!$S$2:$S$5000,0)),"")</f>
        <v/>
      </c>
      <c r="I115" s="87" t="str">
        <f>IFERROR(INDEX(EQA.Controllab_Dados!I$2:I$5000,MATCH(ROW()-4,EQA.Controllab_Dados!$S$2:$S$5000,0)),"")</f>
        <v/>
      </c>
      <c r="J115" s="85" t="str">
        <f>IFERROR(INDEX(EQA.Controllab_Dados!J$2:J$5000,MATCH(ROW()-4,EQA.Controllab_Dados!$S$2:$S$5000,0)),"")</f>
        <v/>
      </c>
      <c r="K115" s="85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81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85" t="str">
        <f>IFERROR(INDEX(EQA.Controllab_Dados!O$2:O$5000,MATCH(ROW()-4,EQA.Controllab_Dados!$S$2:$S$5000,0)),"")</f>
        <v/>
      </c>
      <c r="P115" s="85" t="str">
        <f>IFERROR(INDEX(EQA.Controllab_Dados!P$2:P$5000,MATCH(ROW()-4,EQA.Controllab_Dados!$S$2:$S$5000,0)),"")</f>
        <v/>
      </c>
      <c r="Q115" s="81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81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85" t="str">
        <f>IFERROR(INDEX(EQA.Controllab_Dados!F$2:F$5000,MATCH(ROW()-4,EQA.Controllab_Dados!$S$2:$S$5000,0)),"")</f>
        <v/>
      </c>
      <c r="G116" s="86" t="str">
        <f>IFERROR(INDEX(EQA.Controllab_Dados!G$2:G$5000,MATCH(ROW()-4,EQA.Controllab_Dados!$S$2:$S$5000,0)),"")</f>
        <v/>
      </c>
      <c r="H116" s="86" t="str">
        <f>IFERROR(INDEX(EQA.Controllab_Dados!H$2:H$5000,MATCH(ROW()-4,EQA.Controllab_Dados!$S$2:$S$5000,0)),"")</f>
        <v/>
      </c>
      <c r="I116" s="87" t="str">
        <f>IFERROR(INDEX(EQA.Controllab_Dados!I$2:I$5000,MATCH(ROW()-4,EQA.Controllab_Dados!$S$2:$S$5000,0)),"")</f>
        <v/>
      </c>
      <c r="J116" s="85" t="str">
        <f>IFERROR(INDEX(EQA.Controllab_Dados!J$2:J$5000,MATCH(ROW()-4,EQA.Controllab_Dados!$S$2:$S$5000,0)),"")</f>
        <v/>
      </c>
      <c r="K116" s="85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81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85" t="str">
        <f>IFERROR(INDEX(EQA.Controllab_Dados!O$2:O$5000,MATCH(ROW()-4,EQA.Controllab_Dados!$S$2:$S$5000,0)),"")</f>
        <v/>
      </c>
      <c r="P116" s="85" t="str">
        <f>IFERROR(INDEX(EQA.Controllab_Dados!P$2:P$5000,MATCH(ROW()-4,EQA.Controllab_Dados!$S$2:$S$5000,0)),"")</f>
        <v/>
      </c>
      <c r="Q116" s="81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81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85" t="str">
        <f>IFERROR(INDEX(EQA.Controllab_Dados!F$2:F$5000,MATCH(ROW()-4,EQA.Controllab_Dados!$S$2:$S$5000,0)),"")</f>
        <v/>
      </c>
      <c r="G117" s="86" t="str">
        <f>IFERROR(INDEX(EQA.Controllab_Dados!G$2:G$5000,MATCH(ROW()-4,EQA.Controllab_Dados!$S$2:$S$5000,0)),"")</f>
        <v/>
      </c>
      <c r="H117" s="86" t="str">
        <f>IFERROR(INDEX(EQA.Controllab_Dados!H$2:H$5000,MATCH(ROW()-4,EQA.Controllab_Dados!$S$2:$S$5000,0)),"")</f>
        <v/>
      </c>
      <c r="I117" s="87" t="str">
        <f>IFERROR(INDEX(EQA.Controllab_Dados!I$2:I$5000,MATCH(ROW()-4,EQA.Controllab_Dados!$S$2:$S$5000,0)),"")</f>
        <v/>
      </c>
      <c r="J117" s="85" t="str">
        <f>IFERROR(INDEX(EQA.Controllab_Dados!J$2:J$5000,MATCH(ROW()-4,EQA.Controllab_Dados!$S$2:$S$5000,0)),"")</f>
        <v/>
      </c>
      <c r="K117" s="85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81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85" t="str">
        <f>IFERROR(INDEX(EQA.Controllab_Dados!O$2:O$5000,MATCH(ROW()-4,EQA.Controllab_Dados!$S$2:$S$5000,0)),"")</f>
        <v/>
      </c>
      <c r="P117" s="85" t="str">
        <f>IFERROR(INDEX(EQA.Controllab_Dados!P$2:P$5000,MATCH(ROW()-4,EQA.Controllab_Dados!$S$2:$S$5000,0)),"")</f>
        <v/>
      </c>
      <c r="Q117" s="81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81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85" t="str">
        <f>IFERROR(INDEX(EQA.Controllab_Dados!F$2:F$5000,MATCH(ROW()-4,EQA.Controllab_Dados!$S$2:$S$5000,0)),"")</f>
        <v/>
      </c>
      <c r="G118" s="86" t="str">
        <f>IFERROR(INDEX(EQA.Controllab_Dados!G$2:G$5000,MATCH(ROW()-4,EQA.Controllab_Dados!$S$2:$S$5000,0)),"")</f>
        <v/>
      </c>
      <c r="H118" s="86" t="str">
        <f>IFERROR(INDEX(EQA.Controllab_Dados!H$2:H$5000,MATCH(ROW()-4,EQA.Controllab_Dados!$S$2:$S$5000,0)),"")</f>
        <v/>
      </c>
      <c r="I118" s="87" t="str">
        <f>IFERROR(INDEX(EQA.Controllab_Dados!I$2:I$5000,MATCH(ROW()-4,EQA.Controllab_Dados!$S$2:$S$5000,0)),"")</f>
        <v/>
      </c>
      <c r="J118" s="85" t="str">
        <f>IFERROR(INDEX(EQA.Controllab_Dados!J$2:J$5000,MATCH(ROW()-4,EQA.Controllab_Dados!$S$2:$S$5000,0)),"")</f>
        <v/>
      </c>
      <c r="K118" s="85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81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85" t="str">
        <f>IFERROR(INDEX(EQA.Controllab_Dados!O$2:O$5000,MATCH(ROW()-4,EQA.Controllab_Dados!$S$2:$S$5000,0)),"")</f>
        <v/>
      </c>
      <c r="P118" s="85" t="str">
        <f>IFERROR(INDEX(EQA.Controllab_Dados!P$2:P$5000,MATCH(ROW()-4,EQA.Controllab_Dados!$S$2:$S$5000,0)),"")</f>
        <v/>
      </c>
      <c r="Q118" s="81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81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85" t="str">
        <f>IFERROR(INDEX(EQA.Controllab_Dados!F$2:F$5000,MATCH(ROW()-4,EQA.Controllab_Dados!$S$2:$S$5000,0)),"")</f>
        <v/>
      </c>
      <c r="G119" s="86" t="str">
        <f>IFERROR(INDEX(EQA.Controllab_Dados!G$2:G$5000,MATCH(ROW()-4,EQA.Controllab_Dados!$S$2:$S$5000,0)),"")</f>
        <v/>
      </c>
      <c r="H119" s="86" t="str">
        <f>IFERROR(INDEX(EQA.Controllab_Dados!H$2:H$5000,MATCH(ROW()-4,EQA.Controllab_Dados!$S$2:$S$5000,0)),"")</f>
        <v/>
      </c>
      <c r="I119" s="87" t="str">
        <f>IFERROR(INDEX(EQA.Controllab_Dados!I$2:I$5000,MATCH(ROW()-4,EQA.Controllab_Dados!$S$2:$S$5000,0)),"")</f>
        <v/>
      </c>
      <c r="J119" s="85" t="str">
        <f>IFERROR(INDEX(EQA.Controllab_Dados!J$2:J$5000,MATCH(ROW()-4,EQA.Controllab_Dados!$S$2:$S$5000,0)),"")</f>
        <v/>
      </c>
      <c r="K119" s="85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81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85" t="str">
        <f>IFERROR(INDEX(EQA.Controllab_Dados!O$2:O$5000,MATCH(ROW()-4,EQA.Controllab_Dados!$S$2:$S$5000,0)),"")</f>
        <v/>
      </c>
      <c r="P119" s="85" t="str">
        <f>IFERROR(INDEX(EQA.Controllab_Dados!P$2:P$5000,MATCH(ROW()-4,EQA.Controllab_Dados!$S$2:$S$5000,0)),"")</f>
        <v/>
      </c>
      <c r="Q119" s="81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81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85" t="str">
        <f>IFERROR(INDEX(EQA.Controllab_Dados!F$2:F$5000,MATCH(ROW()-4,EQA.Controllab_Dados!$S$2:$S$5000,0)),"")</f>
        <v/>
      </c>
      <c r="G120" s="86" t="str">
        <f>IFERROR(INDEX(EQA.Controllab_Dados!G$2:G$5000,MATCH(ROW()-4,EQA.Controllab_Dados!$S$2:$S$5000,0)),"")</f>
        <v/>
      </c>
      <c r="H120" s="86" t="str">
        <f>IFERROR(INDEX(EQA.Controllab_Dados!H$2:H$5000,MATCH(ROW()-4,EQA.Controllab_Dados!$S$2:$S$5000,0)),"")</f>
        <v/>
      </c>
      <c r="I120" s="87" t="str">
        <f>IFERROR(INDEX(EQA.Controllab_Dados!I$2:I$5000,MATCH(ROW()-4,EQA.Controllab_Dados!$S$2:$S$5000,0)),"")</f>
        <v/>
      </c>
      <c r="J120" s="85" t="str">
        <f>IFERROR(INDEX(EQA.Controllab_Dados!J$2:J$5000,MATCH(ROW()-4,EQA.Controllab_Dados!$S$2:$S$5000,0)),"")</f>
        <v/>
      </c>
      <c r="K120" s="85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81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85" t="str">
        <f>IFERROR(INDEX(EQA.Controllab_Dados!O$2:O$5000,MATCH(ROW()-4,EQA.Controllab_Dados!$S$2:$S$5000,0)),"")</f>
        <v/>
      </c>
      <c r="P120" s="85" t="str">
        <f>IFERROR(INDEX(EQA.Controllab_Dados!P$2:P$5000,MATCH(ROW()-4,EQA.Controllab_Dados!$S$2:$S$5000,0)),"")</f>
        <v/>
      </c>
      <c r="Q120" s="81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81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85" t="str">
        <f>IFERROR(INDEX(EQA.Controllab_Dados!F$2:F$5000,MATCH(ROW()-4,EQA.Controllab_Dados!$S$2:$S$5000,0)),"")</f>
        <v/>
      </c>
      <c r="G121" s="86" t="str">
        <f>IFERROR(INDEX(EQA.Controllab_Dados!G$2:G$5000,MATCH(ROW()-4,EQA.Controllab_Dados!$S$2:$S$5000,0)),"")</f>
        <v/>
      </c>
      <c r="H121" s="86" t="str">
        <f>IFERROR(INDEX(EQA.Controllab_Dados!H$2:H$5000,MATCH(ROW()-4,EQA.Controllab_Dados!$S$2:$S$5000,0)),"")</f>
        <v/>
      </c>
      <c r="I121" s="87" t="str">
        <f>IFERROR(INDEX(EQA.Controllab_Dados!I$2:I$5000,MATCH(ROW()-4,EQA.Controllab_Dados!$S$2:$S$5000,0)),"")</f>
        <v/>
      </c>
      <c r="J121" s="85" t="str">
        <f>IFERROR(INDEX(EQA.Controllab_Dados!J$2:J$5000,MATCH(ROW()-4,EQA.Controllab_Dados!$S$2:$S$5000,0)),"")</f>
        <v/>
      </c>
      <c r="K121" s="85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81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85" t="str">
        <f>IFERROR(INDEX(EQA.Controllab_Dados!O$2:O$5000,MATCH(ROW()-4,EQA.Controllab_Dados!$S$2:$S$5000,0)),"")</f>
        <v/>
      </c>
      <c r="P121" s="85" t="str">
        <f>IFERROR(INDEX(EQA.Controllab_Dados!P$2:P$5000,MATCH(ROW()-4,EQA.Controllab_Dados!$S$2:$S$5000,0)),"")</f>
        <v/>
      </c>
      <c r="Q121" s="81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81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85" t="str">
        <f>IFERROR(INDEX(EQA.Controllab_Dados!F$2:F$5000,MATCH(ROW()-4,EQA.Controllab_Dados!$S$2:$S$5000,0)),"")</f>
        <v/>
      </c>
      <c r="G122" s="86" t="str">
        <f>IFERROR(INDEX(EQA.Controllab_Dados!G$2:G$5000,MATCH(ROW()-4,EQA.Controllab_Dados!$S$2:$S$5000,0)),"")</f>
        <v/>
      </c>
      <c r="H122" s="86" t="str">
        <f>IFERROR(INDEX(EQA.Controllab_Dados!H$2:H$5000,MATCH(ROW()-4,EQA.Controllab_Dados!$S$2:$S$5000,0)),"")</f>
        <v/>
      </c>
      <c r="I122" s="87" t="str">
        <f>IFERROR(INDEX(EQA.Controllab_Dados!I$2:I$5000,MATCH(ROW()-4,EQA.Controllab_Dados!$S$2:$S$5000,0)),"")</f>
        <v/>
      </c>
      <c r="J122" s="85" t="str">
        <f>IFERROR(INDEX(EQA.Controllab_Dados!J$2:J$5000,MATCH(ROW()-4,EQA.Controllab_Dados!$S$2:$S$5000,0)),"")</f>
        <v/>
      </c>
      <c r="K122" s="85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81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85" t="str">
        <f>IFERROR(INDEX(EQA.Controllab_Dados!O$2:O$5000,MATCH(ROW()-4,EQA.Controllab_Dados!$S$2:$S$5000,0)),"")</f>
        <v/>
      </c>
      <c r="P122" s="85" t="str">
        <f>IFERROR(INDEX(EQA.Controllab_Dados!P$2:P$5000,MATCH(ROW()-4,EQA.Controllab_Dados!$S$2:$S$5000,0)),"")</f>
        <v/>
      </c>
      <c r="Q122" s="81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81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85" t="str">
        <f>IFERROR(INDEX(EQA.Controllab_Dados!F$2:F$5000,MATCH(ROW()-4,EQA.Controllab_Dados!$S$2:$S$5000,0)),"")</f>
        <v/>
      </c>
      <c r="G123" s="86" t="str">
        <f>IFERROR(INDEX(EQA.Controllab_Dados!G$2:G$5000,MATCH(ROW()-4,EQA.Controllab_Dados!$S$2:$S$5000,0)),"")</f>
        <v/>
      </c>
      <c r="H123" s="86" t="str">
        <f>IFERROR(INDEX(EQA.Controllab_Dados!H$2:H$5000,MATCH(ROW()-4,EQA.Controllab_Dados!$S$2:$S$5000,0)),"")</f>
        <v/>
      </c>
      <c r="I123" s="87" t="str">
        <f>IFERROR(INDEX(EQA.Controllab_Dados!I$2:I$5000,MATCH(ROW()-4,EQA.Controllab_Dados!$S$2:$S$5000,0)),"")</f>
        <v/>
      </c>
      <c r="J123" s="85" t="str">
        <f>IFERROR(INDEX(EQA.Controllab_Dados!J$2:J$5000,MATCH(ROW()-4,EQA.Controllab_Dados!$S$2:$S$5000,0)),"")</f>
        <v/>
      </c>
      <c r="K123" s="85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81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85" t="str">
        <f>IFERROR(INDEX(EQA.Controllab_Dados!O$2:O$5000,MATCH(ROW()-4,EQA.Controllab_Dados!$S$2:$S$5000,0)),"")</f>
        <v/>
      </c>
      <c r="P123" s="85" t="str">
        <f>IFERROR(INDEX(EQA.Controllab_Dados!P$2:P$5000,MATCH(ROW()-4,EQA.Controllab_Dados!$S$2:$S$5000,0)),"")</f>
        <v/>
      </c>
      <c r="Q123" s="81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81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85" t="str">
        <f>IFERROR(INDEX(EQA.Controllab_Dados!F$2:F$5000,MATCH(ROW()-4,EQA.Controllab_Dados!$S$2:$S$5000,0)),"")</f>
        <v/>
      </c>
      <c r="G124" s="86" t="str">
        <f>IFERROR(INDEX(EQA.Controllab_Dados!G$2:G$5000,MATCH(ROW()-4,EQA.Controllab_Dados!$S$2:$S$5000,0)),"")</f>
        <v/>
      </c>
      <c r="H124" s="86" t="str">
        <f>IFERROR(INDEX(EQA.Controllab_Dados!H$2:H$5000,MATCH(ROW()-4,EQA.Controllab_Dados!$S$2:$S$5000,0)),"")</f>
        <v/>
      </c>
      <c r="I124" s="87" t="str">
        <f>IFERROR(INDEX(EQA.Controllab_Dados!I$2:I$5000,MATCH(ROW()-4,EQA.Controllab_Dados!$S$2:$S$5000,0)),"")</f>
        <v/>
      </c>
      <c r="J124" s="85" t="str">
        <f>IFERROR(INDEX(EQA.Controllab_Dados!J$2:J$5000,MATCH(ROW()-4,EQA.Controllab_Dados!$S$2:$S$5000,0)),"")</f>
        <v/>
      </c>
      <c r="K124" s="85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81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85" t="str">
        <f>IFERROR(INDEX(EQA.Controllab_Dados!O$2:O$5000,MATCH(ROW()-4,EQA.Controllab_Dados!$S$2:$S$5000,0)),"")</f>
        <v/>
      </c>
      <c r="P124" s="85" t="str">
        <f>IFERROR(INDEX(EQA.Controllab_Dados!P$2:P$5000,MATCH(ROW()-4,EQA.Controllab_Dados!$S$2:$S$5000,0)),"")</f>
        <v/>
      </c>
      <c r="Q124" s="81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81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85" t="str">
        <f>IFERROR(INDEX(EQA.Controllab_Dados!F$2:F$5000,MATCH(ROW()-4,EQA.Controllab_Dados!$S$2:$S$5000,0)),"")</f>
        <v/>
      </c>
      <c r="G125" s="86" t="str">
        <f>IFERROR(INDEX(EQA.Controllab_Dados!G$2:G$5000,MATCH(ROW()-4,EQA.Controllab_Dados!$S$2:$S$5000,0)),"")</f>
        <v/>
      </c>
      <c r="H125" s="86" t="str">
        <f>IFERROR(INDEX(EQA.Controllab_Dados!H$2:H$5000,MATCH(ROW()-4,EQA.Controllab_Dados!$S$2:$S$5000,0)),"")</f>
        <v/>
      </c>
      <c r="I125" s="87" t="str">
        <f>IFERROR(INDEX(EQA.Controllab_Dados!I$2:I$5000,MATCH(ROW()-4,EQA.Controllab_Dados!$S$2:$S$5000,0)),"")</f>
        <v/>
      </c>
      <c r="J125" s="85" t="str">
        <f>IFERROR(INDEX(EQA.Controllab_Dados!J$2:J$5000,MATCH(ROW()-4,EQA.Controllab_Dados!$S$2:$S$5000,0)),"")</f>
        <v/>
      </c>
      <c r="K125" s="85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81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85" t="str">
        <f>IFERROR(INDEX(EQA.Controllab_Dados!O$2:O$5000,MATCH(ROW()-4,EQA.Controllab_Dados!$S$2:$S$5000,0)),"")</f>
        <v/>
      </c>
      <c r="P125" s="85" t="str">
        <f>IFERROR(INDEX(EQA.Controllab_Dados!P$2:P$5000,MATCH(ROW()-4,EQA.Controllab_Dados!$S$2:$S$5000,0)),"")</f>
        <v/>
      </c>
      <c r="Q125" s="81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81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85" t="str">
        <f>IFERROR(INDEX(EQA.Controllab_Dados!F$2:F$5000,MATCH(ROW()-4,EQA.Controllab_Dados!$S$2:$S$5000,0)),"")</f>
        <v/>
      </c>
      <c r="G126" s="86" t="str">
        <f>IFERROR(INDEX(EQA.Controllab_Dados!G$2:G$5000,MATCH(ROW()-4,EQA.Controllab_Dados!$S$2:$S$5000,0)),"")</f>
        <v/>
      </c>
      <c r="H126" s="86" t="str">
        <f>IFERROR(INDEX(EQA.Controllab_Dados!H$2:H$5000,MATCH(ROW()-4,EQA.Controllab_Dados!$S$2:$S$5000,0)),"")</f>
        <v/>
      </c>
      <c r="I126" s="87" t="str">
        <f>IFERROR(INDEX(EQA.Controllab_Dados!I$2:I$5000,MATCH(ROW()-4,EQA.Controllab_Dados!$S$2:$S$5000,0)),"")</f>
        <v/>
      </c>
      <c r="J126" s="85" t="str">
        <f>IFERROR(INDEX(EQA.Controllab_Dados!J$2:J$5000,MATCH(ROW()-4,EQA.Controllab_Dados!$S$2:$S$5000,0)),"")</f>
        <v/>
      </c>
      <c r="K126" s="85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81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85" t="str">
        <f>IFERROR(INDEX(EQA.Controllab_Dados!O$2:O$5000,MATCH(ROW()-4,EQA.Controllab_Dados!$S$2:$S$5000,0)),"")</f>
        <v/>
      </c>
      <c r="P126" s="85" t="str">
        <f>IFERROR(INDEX(EQA.Controllab_Dados!P$2:P$5000,MATCH(ROW()-4,EQA.Controllab_Dados!$S$2:$S$5000,0)),"")</f>
        <v/>
      </c>
      <c r="Q126" s="81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81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85" t="str">
        <f>IFERROR(INDEX(EQA.Controllab_Dados!F$2:F$5000,MATCH(ROW()-4,EQA.Controllab_Dados!$S$2:$S$5000,0)),"")</f>
        <v/>
      </c>
      <c r="G127" s="86" t="str">
        <f>IFERROR(INDEX(EQA.Controllab_Dados!G$2:G$5000,MATCH(ROW()-4,EQA.Controllab_Dados!$S$2:$S$5000,0)),"")</f>
        <v/>
      </c>
      <c r="H127" s="86" t="str">
        <f>IFERROR(INDEX(EQA.Controllab_Dados!H$2:H$5000,MATCH(ROW()-4,EQA.Controllab_Dados!$S$2:$S$5000,0)),"")</f>
        <v/>
      </c>
      <c r="I127" s="87" t="str">
        <f>IFERROR(INDEX(EQA.Controllab_Dados!I$2:I$5000,MATCH(ROW()-4,EQA.Controllab_Dados!$S$2:$S$5000,0)),"")</f>
        <v/>
      </c>
      <c r="J127" s="85" t="str">
        <f>IFERROR(INDEX(EQA.Controllab_Dados!J$2:J$5000,MATCH(ROW()-4,EQA.Controllab_Dados!$S$2:$S$5000,0)),"")</f>
        <v/>
      </c>
      <c r="K127" s="85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81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85" t="str">
        <f>IFERROR(INDEX(EQA.Controllab_Dados!O$2:O$5000,MATCH(ROW()-4,EQA.Controllab_Dados!$S$2:$S$5000,0)),"")</f>
        <v/>
      </c>
      <c r="P127" s="85" t="str">
        <f>IFERROR(INDEX(EQA.Controllab_Dados!P$2:P$5000,MATCH(ROW()-4,EQA.Controllab_Dados!$S$2:$S$5000,0)),"")</f>
        <v/>
      </c>
      <c r="Q127" s="81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81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85" t="str">
        <f>IFERROR(INDEX(EQA.Controllab_Dados!F$2:F$5000,MATCH(ROW()-4,EQA.Controllab_Dados!$S$2:$S$5000,0)),"")</f>
        <v/>
      </c>
      <c r="G128" s="86" t="str">
        <f>IFERROR(INDEX(EQA.Controllab_Dados!G$2:G$5000,MATCH(ROW()-4,EQA.Controllab_Dados!$S$2:$S$5000,0)),"")</f>
        <v/>
      </c>
      <c r="H128" s="86" t="str">
        <f>IFERROR(INDEX(EQA.Controllab_Dados!H$2:H$5000,MATCH(ROW()-4,EQA.Controllab_Dados!$S$2:$S$5000,0)),"")</f>
        <v/>
      </c>
      <c r="I128" s="87" t="str">
        <f>IFERROR(INDEX(EQA.Controllab_Dados!I$2:I$5000,MATCH(ROW()-4,EQA.Controllab_Dados!$S$2:$S$5000,0)),"")</f>
        <v/>
      </c>
      <c r="J128" s="85" t="str">
        <f>IFERROR(INDEX(EQA.Controllab_Dados!J$2:J$5000,MATCH(ROW()-4,EQA.Controllab_Dados!$S$2:$S$5000,0)),"")</f>
        <v/>
      </c>
      <c r="K128" s="85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81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85" t="str">
        <f>IFERROR(INDEX(EQA.Controllab_Dados!O$2:O$5000,MATCH(ROW()-4,EQA.Controllab_Dados!$S$2:$S$5000,0)),"")</f>
        <v/>
      </c>
      <c r="P128" s="85" t="str">
        <f>IFERROR(INDEX(EQA.Controllab_Dados!P$2:P$5000,MATCH(ROW()-4,EQA.Controllab_Dados!$S$2:$S$5000,0)),"")</f>
        <v/>
      </c>
      <c r="Q128" s="81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81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85" t="str">
        <f>IFERROR(INDEX(EQA.Controllab_Dados!F$2:F$5000,MATCH(ROW()-4,EQA.Controllab_Dados!$S$2:$S$5000,0)),"")</f>
        <v/>
      </c>
      <c r="G129" s="86" t="str">
        <f>IFERROR(INDEX(EQA.Controllab_Dados!G$2:G$5000,MATCH(ROW()-4,EQA.Controllab_Dados!$S$2:$S$5000,0)),"")</f>
        <v/>
      </c>
      <c r="H129" s="86" t="str">
        <f>IFERROR(INDEX(EQA.Controllab_Dados!H$2:H$5000,MATCH(ROW()-4,EQA.Controllab_Dados!$S$2:$S$5000,0)),"")</f>
        <v/>
      </c>
      <c r="I129" s="87" t="str">
        <f>IFERROR(INDEX(EQA.Controllab_Dados!I$2:I$5000,MATCH(ROW()-4,EQA.Controllab_Dados!$S$2:$S$5000,0)),"")</f>
        <v/>
      </c>
      <c r="J129" s="85" t="str">
        <f>IFERROR(INDEX(EQA.Controllab_Dados!J$2:J$5000,MATCH(ROW()-4,EQA.Controllab_Dados!$S$2:$S$5000,0)),"")</f>
        <v/>
      </c>
      <c r="K129" s="85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81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85" t="str">
        <f>IFERROR(INDEX(EQA.Controllab_Dados!O$2:O$5000,MATCH(ROW()-4,EQA.Controllab_Dados!$S$2:$S$5000,0)),"")</f>
        <v/>
      </c>
      <c r="P129" s="85" t="str">
        <f>IFERROR(INDEX(EQA.Controllab_Dados!P$2:P$5000,MATCH(ROW()-4,EQA.Controllab_Dados!$S$2:$S$5000,0)),"")</f>
        <v/>
      </c>
      <c r="Q129" s="81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81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85" t="str">
        <f>IFERROR(INDEX(EQA.Controllab_Dados!F$2:F$5000,MATCH(ROW()-4,EQA.Controllab_Dados!$S$2:$S$5000,0)),"")</f>
        <v/>
      </c>
      <c r="G130" s="86" t="str">
        <f>IFERROR(INDEX(EQA.Controllab_Dados!G$2:G$5000,MATCH(ROW()-4,EQA.Controllab_Dados!$S$2:$S$5000,0)),"")</f>
        <v/>
      </c>
      <c r="H130" s="86" t="str">
        <f>IFERROR(INDEX(EQA.Controllab_Dados!H$2:H$5000,MATCH(ROW()-4,EQA.Controllab_Dados!$S$2:$S$5000,0)),"")</f>
        <v/>
      </c>
      <c r="I130" s="87" t="str">
        <f>IFERROR(INDEX(EQA.Controllab_Dados!I$2:I$5000,MATCH(ROW()-4,EQA.Controllab_Dados!$S$2:$S$5000,0)),"")</f>
        <v/>
      </c>
      <c r="J130" s="85" t="str">
        <f>IFERROR(INDEX(EQA.Controllab_Dados!J$2:J$5000,MATCH(ROW()-4,EQA.Controllab_Dados!$S$2:$S$5000,0)),"")</f>
        <v/>
      </c>
      <c r="K130" s="85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81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85" t="str">
        <f>IFERROR(INDEX(EQA.Controllab_Dados!O$2:O$5000,MATCH(ROW()-4,EQA.Controllab_Dados!$S$2:$S$5000,0)),"")</f>
        <v/>
      </c>
      <c r="P130" s="85" t="str">
        <f>IFERROR(INDEX(EQA.Controllab_Dados!P$2:P$5000,MATCH(ROW()-4,EQA.Controllab_Dados!$S$2:$S$5000,0)),"")</f>
        <v/>
      </c>
      <c r="Q130" s="81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81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85" t="str">
        <f>IFERROR(INDEX(EQA.Controllab_Dados!F$2:F$5000,MATCH(ROW()-4,EQA.Controllab_Dados!$S$2:$S$5000,0)),"")</f>
        <v/>
      </c>
      <c r="G131" s="86" t="str">
        <f>IFERROR(INDEX(EQA.Controllab_Dados!G$2:G$5000,MATCH(ROW()-4,EQA.Controllab_Dados!$S$2:$S$5000,0)),"")</f>
        <v/>
      </c>
      <c r="H131" s="86" t="str">
        <f>IFERROR(INDEX(EQA.Controllab_Dados!H$2:H$5000,MATCH(ROW()-4,EQA.Controllab_Dados!$S$2:$S$5000,0)),"")</f>
        <v/>
      </c>
      <c r="I131" s="87" t="str">
        <f>IFERROR(INDEX(EQA.Controllab_Dados!I$2:I$5000,MATCH(ROW()-4,EQA.Controllab_Dados!$S$2:$S$5000,0)),"")</f>
        <v/>
      </c>
      <c r="J131" s="85" t="str">
        <f>IFERROR(INDEX(EQA.Controllab_Dados!J$2:J$5000,MATCH(ROW()-4,EQA.Controllab_Dados!$S$2:$S$5000,0)),"")</f>
        <v/>
      </c>
      <c r="K131" s="85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81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85" t="str">
        <f>IFERROR(INDEX(EQA.Controllab_Dados!O$2:O$5000,MATCH(ROW()-4,EQA.Controllab_Dados!$S$2:$S$5000,0)),"")</f>
        <v/>
      </c>
      <c r="P131" s="85" t="str">
        <f>IFERROR(INDEX(EQA.Controllab_Dados!P$2:P$5000,MATCH(ROW()-4,EQA.Controllab_Dados!$S$2:$S$5000,0)),"")</f>
        <v/>
      </c>
      <c r="Q131" s="81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81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85" t="str">
        <f>IFERROR(INDEX(EQA.Controllab_Dados!F$2:F$5000,MATCH(ROW()-4,EQA.Controllab_Dados!$S$2:$S$5000,0)),"")</f>
        <v/>
      </c>
      <c r="G132" s="86" t="str">
        <f>IFERROR(INDEX(EQA.Controllab_Dados!G$2:G$5000,MATCH(ROW()-4,EQA.Controllab_Dados!$S$2:$S$5000,0)),"")</f>
        <v/>
      </c>
      <c r="H132" s="86" t="str">
        <f>IFERROR(INDEX(EQA.Controllab_Dados!H$2:H$5000,MATCH(ROW()-4,EQA.Controllab_Dados!$S$2:$S$5000,0)),"")</f>
        <v/>
      </c>
      <c r="I132" s="87" t="str">
        <f>IFERROR(INDEX(EQA.Controllab_Dados!I$2:I$5000,MATCH(ROW()-4,EQA.Controllab_Dados!$S$2:$S$5000,0)),"")</f>
        <v/>
      </c>
      <c r="J132" s="85" t="str">
        <f>IFERROR(INDEX(EQA.Controllab_Dados!J$2:J$5000,MATCH(ROW()-4,EQA.Controllab_Dados!$S$2:$S$5000,0)),"")</f>
        <v/>
      </c>
      <c r="K132" s="85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81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85" t="str">
        <f>IFERROR(INDEX(EQA.Controllab_Dados!O$2:O$5000,MATCH(ROW()-4,EQA.Controllab_Dados!$S$2:$S$5000,0)),"")</f>
        <v/>
      </c>
      <c r="P132" s="85" t="str">
        <f>IFERROR(INDEX(EQA.Controllab_Dados!P$2:P$5000,MATCH(ROW()-4,EQA.Controllab_Dados!$S$2:$S$5000,0)),"")</f>
        <v/>
      </c>
      <c r="Q132" s="81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81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85" t="str">
        <f>IFERROR(INDEX(EQA.Controllab_Dados!F$2:F$5000,MATCH(ROW()-4,EQA.Controllab_Dados!$S$2:$S$5000,0)),"")</f>
        <v/>
      </c>
      <c r="G133" s="86" t="str">
        <f>IFERROR(INDEX(EQA.Controllab_Dados!G$2:G$5000,MATCH(ROW()-4,EQA.Controllab_Dados!$S$2:$S$5000,0)),"")</f>
        <v/>
      </c>
      <c r="H133" s="86" t="str">
        <f>IFERROR(INDEX(EQA.Controllab_Dados!H$2:H$5000,MATCH(ROW()-4,EQA.Controllab_Dados!$S$2:$S$5000,0)),"")</f>
        <v/>
      </c>
      <c r="I133" s="87" t="str">
        <f>IFERROR(INDEX(EQA.Controllab_Dados!I$2:I$5000,MATCH(ROW()-4,EQA.Controllab_Dados!$S$2:$S$5000,0)),"")</f>
        <v/>
      </c>
      <c r="J133" s="85" t="str">
        <f>IFERROR(INDEX(EQA.Controllab_Dados!J$2:J$5000,MATCH(ROW()-4,EQA.Controllab_Dados!$S$2:$S$5000,0)),"")</f>
        <v/>
      </c>
      <c r="K133" s="85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81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85" t="str">
        <f>IFERROR(INDEX(EQA.Controllab_Dados!O$2:O$5000,MATCH(ROW()-4,EQA.Controllab_Dados!$S$2:$S$5000,0)),"")</f>
        <v/>
      </c>
      <c r="P133" s="85" t="str">
        <f>IFERROR(INDEX(EQA.Controllab_Dados!P$2:P$5000,MATCH(ROW()-4,EQA.Controllab_Dados!$S$2:$S$5000,0)),"")</f>
        <v/>
      </c>
      <c r="Q133" s="81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81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85" t="str">
        <f>IFERROR(INDEX(EQA.Controllab_Dados!F$2:F$5000,MATCH(ROW()-4,EQA.Controllab_Dados!$S$2:$S$5000,0)),"")</f>
        <v/>
      </c>
      <c r="G134" s="86" t="str">
        <f>IFERROR(INDEX(EQA.Controllab_Dados!G$2:G$5000,MATCH(ROW()-4,EQA.Controllab_Dados!$S$2:$S$5000,0)),"")</f>
        <v/>
      </c>
      <c r="H134" s="86" t="str">
        <f>IFERROR(INDEX(EQA.Controllab_Dados!H$2:H$5000,MATCH(ROW()-4,EQA.Controllab_Dados!$S$2:$S$5000,0)),"")</f>
        <v/>
      </c>
      <c r="I134" s="87" t="str">
        <f>IFERROR(INDEX(EQA.Controllab_Dados!I$2:I$5000,MATCH(ROW()-4,EQA.Controllab_Dados!$S$2:$S$5000,0)),"")</f>
        <v/>
      </c>
      <c r="J134" s="85" t="str">
        <f>IFERROR(INDEX(EQA.Controllab_Dados!J$2:J$5000,MATCH(ROW()-4,EQA.Controllab_Dados!$S$2:$S$5000,0)),"")</f>
        <v/>
      </c>
      <c r="K134" s="85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81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85" t="str">
        <f>IFERROR(INDEX(EQA.Controllab_Dados!O$2:O$5000,MATCH(ROW()-4,EQA.Controllab_Dados!$S$2:$S$5000,0)),"")</f>
        <v/>
      </c>
      <c r="P134" s="85" t="str">
        <f>IFERROR(INDEX(EQA.Controllab_Dados!P$2:P$5000,MATCH(ROW()-4,EQA.Controllab_Dados!$S$2:$S$5000,0)),"")</f>
        <v/>
      </c>
      <c r="Q134" s="81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81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85" t="str">
        <f>IFERROR(INDEX(EQA.Controllab_Dados!F$2:F$5000,MATCH(ROW()-4,EQA.Controllab_Dados!$S$2:$S$5000,0)),"")</f>
        <v/>
      </c>
      <c r="G135" s="86" t="str">
        <f>IFERROR(INDEX(EQA.Controllab_Dados!G$2:G$5000,MATCH(ROW()-4,EQA.Controllab_Dados!$S$2:$S$5000,0)),"")</f>
        <v/>
      </c>
      <c r="H135" s="86" t="str">
        <f>IFERROR(INDEX(EQA.Controllab_Dados!H$2:H$5000,MATCH(ROW()-4,EQA.Controllab_Dados!$S$2:$S$5000,0)),"")</f>
        <v/>
      </c>
      <c r="I135" s="87" t="str">
        <f>IFERROR(INDEX(EQA.Controllab_Dados!I$2:I$5000,MATCH(ROW()-4,EQA.Controllab_Dados!$S$2:$S$5000,0)),"")</f>
        <v/>
      </c>
      <c r="J135" s="85" t="str">
        <f>IFERROR(INDEX(EQA.Controllab_Dados!J$2:J$5000,MATCH(ROW()-4,EQA.Controllab_Dados!$S$2:$S$5000,0)),"")</f>
        <v/>
      </c>
      <c r="K135" s="85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81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85" t="str">
        <f>IFERROR(INDEX(EQA.Controllab_Dados!O$2:O$5000,MATCH(ROW()-4,EQA.Controllab_Dados!$S$2:$S$5000,0)),"")</f>
        <v/>
      </c>
      <c r="P135" s="85" t="str">
        <f>IFERROR(INDEX(EQA.Controllab_Dados!P$2:P$5000,MATCH(ROW()-4,EQA.Controllab_Dados!$S$2:$S$5000,0)),"")</f>
        <v/>
      </c>
      <c r="Q135" s="81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81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85" t="str">
        <f>IFERROR(INDEX(EQA.Controllab_Dados!F$2:F$5000,MATCH(ROW()-4,EQA.Controllab_Dados!$S$2:$S$5000,0)),"")</f>
        <v/>
      </c>
      <c r="G136" s="86" t="str">
        <f>IFERROR(INDEX(EQA.Controllab_Dados!G$2:G$5000,MATCH(ROW()-4,EQA.Controllab_Dados!$S$2:$S$5000,0)),"")</f>
        <v/>
      </c>
      <c r="H136" s="86" t="str">
        <f>IFERROR(INDEX(EQA.Controllab_Dados!H$2:H$5000,MATCH(ROW()-4,EQA.Controllab_Dados!$S$2:$S$5000,0)),"")</f>
        <v/>
      </c>
      <c r="I136" s="87" t="str">
        <f>IFERROR(INDEX(EQA.Controllab_Dados!I$2:I$5000,MATCH(ROW()-4,EQA.Controllab_Dados!$S$2:$S$5000,0)),"")</f>
        <v/>
      </c>
      <c r="J136" s="85" t="str">
        <f>IFERROR(INDEX(EQA.Controllab_Dados!J$2:J$5000,MATCH(ROW()-4,EQA.Controllab_Dados!$S$2:$S$5000,0)),"")</f>
        <v/>
      </c>
      <c r="K136" s="85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81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85" t="str">
        <f>IFERROR(INDEX(EQA.Controllab_Dados!O$2:O$5000,MATCH(ROW()-4,EQA.Controllab_Dados!$S$2:$S$5000,0)),"")</f>
        <v/>
      </c>
      <c r="P136" s="85" t="str">
        <f>IFERROR(INDEX(EQA.Controllab_Dados!P$2:P$5000,MATCH(ROW()-4,EQA.Controllab_Dados!$S$2:$S$5000,0)),"")</f>
        <v/>
      </c>
      <c r="Q136" s="81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81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85" t="str">
        <f>IFERROR(INDEX(EQA.Controllab_Dados!F$2:F$5000,MATCH(ROW()-4,EQA.Controllab_Dados!$S$2:$S$5000,0)),"")</f>
        <v/>
      </c>
      <c r="G137" s="86" t="str">
        <f>IFERROR(INDEX(EQA.Controllab_Dados!G$2:G$5000,MATCH(ROW()-4,EQA.Controllab_Dados!$S$2:$S$5000,0)),"")</f>
        <v/>
      </c>
      <c r="H137" s="86" t="str">
        <f>IFERROR(INDEX(EQA.Controllab_Dados!H$2:H$5000,MATCH(ROW()-4,EQA.Controllab_Dados!$S$2:$S$5000,0)),"")</f>
        <v/>
      </c>
      <c r="I137" s="87" t="str">
        <f>IFERROR(INDEX(EQA.Controllab_Dados!I$2:I$5000,MATCH(ROW()-4,EQA.Controllab_Dados!$S$2:$S$5000,0)),"")</f>
        <v/>
      </c>
      <c r="J137" s="85" t="str">
        <f>IFERROR(INDEX(EQA.Controllab_Dados!J$2:J$5000,MATCH(ROW()-4,EQA.Controllab_Dados!$S$2:$S$5000,0)),"")</f>
        <v/>
      </c>
      <c r="K137" s="85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81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85" t="str">
        <f>IFERROR(INDEX(EQA.Controllab_Dados!O$2:O$5000,MATCH(ROW()-4,EQA.Controllab_Dados!$S$2:$S$5000,0)),"")</f>
        <v/>
      </c>
      <c r="P137" s="85" t="str">
        <f>IFERROR(INDEX(EQA.Controllab_Dados!P$2:P$5000,MATCH(ROW()-4,EQA.Controllab_Dados!$S$2:$S$5000,0)),"")</f>
        <v/>
      </c>
      <c r="Q137" s="81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81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85" t="str">
        <f>IFERROR(INDEX(EQA.Controllab_Dados!F$2:F$5000,MATCH(ROW()-4,EQA.Controllab_Dados!$S$2:$S$5000,0)),"")</f>
        <v/>
      </c>
      <c r="G138" s="86" t="str">
        <f>IFERROR(INDEX(EQA.Controllab_Dados!G$2:G$5000,MATCH(ROW()-4,EQA.Controllab_Dados!$S$2:$S$5000,0)),"")</f>
        <v/>
      </c>
      <c r="H138" s="86" t="str">
        <f>IFERROR(INDEX(EQA.Controllab_Dados!H$2:H$5000,MATCH(ROW()-4,EQA.Controllab_Dados!$S$2:$S$5000,0)),"")</f>
        <v/>
      </c>
      <c r="I138" s="87" t="str">
        <f>IFERROR(INDEX(EQA.Controllab_Dados!I$2:I$5000,MATCH(ROW()-4,EQA.Controllab_Dados!$S$2:$S$5000,0)),"")</f>
        <v/>
      </c>
      <c r="J138" s="85" t="str">
        <f>IFERROR(INDEX(EQA.Controllab_Dados!J$2:J$5000,MATCH(ROW()-4,EQA.Controllab_Dados!$S$2:$S$5000,0)),"")</f>
        <v/>
      </c>
      <c r="K138" s="85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81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85" t="str">
        <f>IFERROR(INDEX(EQA.Controllab_Dados!O$2:O$5000,MATCH(ROW()-4,EQA.Controllab_Dados!$S$2:$S$5000,0)),"")</f>
        <v/>
      </c>
      <c r="P138" s="85" t="str">
        <f>IFERROR(INDEX(EQA.Controllab_Dados!P$2:P$5000,MATCH(ROW()-4,EQA.Controllab_Dados!$S$2:$S$5000,0)),"")</f>
        <v/>
      </c>
      <c r="Q138" s="81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81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85" t="str">
        <f>IFERROR(INDEX(EQA.Controllab_Dados!F$2:F$5000,MATCH(ROW()-4,EQA.Controllab_Dados!$S$2:$S$5000,0)),"")</f>
        <v/>
      </c>
      <c r="G139" s="86" t="str">
        <f>IFERROR(INDEX(EQA.Controllab_Dados!G$2:G$5000,MATCH(ROW()-4,EQA.Controllab_Dados!$S$2:$S$5000,0)),"")</f>
        <v/>
      </c>
      <c r="H139" s="86" t="str">
        <f>IFERROR(INDEX(EQA.Controllab_Dados!H$2:H$5000,MATCH(ROW()-4,EQA.Controllab_Dados!$S$2:$S$5000,0)),"")</f>
        <v/>
      </c>
      <c r="I139" s="87" t="str">
        <f>IFERROR(INDEX(EQA.Controllab_Dados!I$2:I$5000,MATCH(ROW()-4,EQA.Controllab_Dados!$S$2:$S$5000,0)),"")</f>
        <v/>
      </c>
      <c r="J139" s="85" t="str">
        <f>IFERROR(INDEX(EQA.Controllab_Dados!J$2:J$5000,MATCH(ROW()-4,EQA.Controllab_Dados!$S$2:$S$5000,0)),"")</f>
        <v/>
      </c>
      <c r="K139" s="85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81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85" t="str">
        <f>IFERROR(INDEX(EQA.Controllab_Dados!O$2:O$5000,MATCH(ROW()-4,EQA.Controllab_Dados!$S$2:$S$5000,0)),"")</f>
        <v/>
      </c>
      <c r="P139" s="85" t="str">
        <f>IFERROR(INDEX(EQA.Controllab_Dados!P$2:P$5000,MATCH(ROW()-4,EQA.Controllab_Dados!$S$2:$S$5000,0)),"")</f>
        <v/>
      </c>
      <c r="Q139" s="81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81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85" t="str">
        <f>IFERROR(INDEX(EQA.Controllab_Dados!F$2:F$5000,MATCH(ROW()-4,EQA.Controllab_Dados!$S$2:$S$5000,0)),"")</f>
        <v/>
      </c>
      <c r="G140" s="86" t="str">
        <f>IFERROR(INDEX(EQA.Controllab_Dados!G$2:G$5000,MATCH(ROW()-4,EQA.Controllab_Dados!$S$2:$S$5000,0)),"")</f>
        <v/>
      </c>
      <c r="H140" s="86" t="str">
        <f>IFERROR(INDEX(EQA.Controllab_Dados!H$2:H$5000,MATCH(ROW()-4,EQA.Controllab_Dados!$S$2:$S$5000,0)),"")</f>
        <v/>
      </c>
      <c r="I140" s="87" t="str">
        <f>IFERROR(INDEX(EQA.Controllab_Dados!I$2:I$5000,MATCH(ROW()-4,EQA.Controllab_Dados!$S$2:$S$5000,0)),"")</f>
        <v/>
      </c>
      <c r="J140" s="85" t="str">
        <f>IFERROR(INDEX(EQA.Controllab_Dados!J$2:J$5000,MATCH(ROW()-4,EQA.Controllab_Dados!$S$2:$S$5000,0)),"")</f>
        <v/>
      </c>
      <c r="K140" s="85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81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85" t="str">
        <f>IFERROR(INDEX(EQA.Controllab_Dados!O$2:O$5000,MATCH(ROW()-4,EQA.Controllab_Dados!$S$2:$S$5000,0)),"")</f>
        <v/>
      </c>
      <c r="P140" s="85" t="str">
        <f>IFERROR(INDEX(EQA.Controllab_Dados!P$2:P$5000,MATCH(ROW()-4,EQA.Controllab_Dados!$S$2:$S$5000,0)),"")</f>
        <v/>
      </c>
      <c r="Q140" s="81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81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85" t="str">
        <f>IFERROR(INDEX(EQA.Controllab_Dados!F$2:F$5000,MATCH(ROW()-4,EQA.Controllab_Dados!$S$2:$S$5000,0)),"")</f>
        <v/>
      </c>
      <c r="G141" s="86" t="str">
        <f>IFERROR(INDEX(EQA.Controllab_Dados!G$2:G$5000,MATCH(ROW()-4,EQA.Controllab_Dados!$S$2:$S$5000,0)),"")</f>
        <v/>
      </c>
      <c r="H141" s="86" t="str">
        <f>IFERROR(INDEX(EQA.Controllab_Dados!H$2:H$5000,MATCH(ROW()-4,EQA.Controllab_Dados!$S$2:$S$5000,0)),"")</f>
        <v/>
      </c>
      <c r="I141" s="87" t="str">
        <f>IFERROR(INDEX(EQA.Controllab_Dados!I$2:I$5000,MATCH(ROW()-4,EQA.Controllab_Dados!$S$2:$S$5000,0)),"")</f>
        <v/>
      </c>
      <c r="J141" s="85" t="str">
        <f>IFERROR(INDEX(EQA.Controllab_Dados!J$2:J$5000,MATCH(ROW()-4,EQA.Controllab_Dados!$S$2:$S$5000,0)),"")</f>
        <v/>
      </c>
      <c r="K141" s="85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81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85" t="str">
        <f>IFERROR(INDEX(EQA.Controllab_Dados!O$2:O$5000,MATCH(ROW()-4,EQA.Controllab_Dados!$S$2:$S$5000,0)),"")</f>
        <v/>
      </c>
      <c r="P141" s="85" t="str">
        <f>IFERROR(INDEX(EQA.Controllab_Dados!P$2:P$5000,MATCH(ROW()-4,EQA.Controllab_Dados!$S$2:$S$5000,0)),"")</f>
        <v/>
      </c>
      <c r="Q141" s="81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81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85" t="str">
        <f>IFERROR(INDEX(EQA.Controllab_Dados!F$2:F$5000,MATCH(ROW()-4,EQA.Controllab_Dados!$S$2:$S$5000,0)),"")</f>
        <v/>
      </c>
      <c r="G142" s="86" t="str">
        <f>IFERROR(INDEX(EQA.Controllab_Dados!G$2:G$5000,MATCH(ROW()-4,EQA.Controllab_Dados!$S$2:$S$5000,0)),"")</f>
        <v/>
      </c>
      <c r="H142" s="86" t="str">
        <f>IFERROR(INDEX(EQA.Controllab_Dados!H$2:H$5000,MATCH(ROW()-4,EQA.Controllab_Dados!$S$2:$S$5000,0)),"")</f>
        <v/>
      </c>
      <c r="I142" s="87" t="str">
        <f>IFERROR(INDEX(EQA.Controllab_Dados!I$2:I$5000,MATCH(ROW()-4,EQA.Controllab_Dados!$S$2:$S$5000,0)),"")</f>
        <v/>
      </c>
      <c r="J142" s="85" t="str">
        <f>IFERROR(INDEX(EQA.Controllab_Dados!J$2:J$5000,MATCH(ROW()-4,EQA.Controllab_Dados!$S$2:$S$5000,0)),"")</f>
        <v/>
      </c>
      <c r="K142" s="85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81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85" t="str">
        <f>IFERROR(INDEX(EQA.Controllab_Dados!O$2:O$5000,MATCH(ROW()-4,EQA.Controllab_Dados!$S$2:$S$5000,0)),"")</f>
        <v/>
      </c>
      <c r="P142" s="85" t="str">
        <f>IFERROR(INDEX(EQA.Controllab_Dados!P$2:P$5000,MATCH(ROW()-4,EQA.Controllab_Dados!$S$2:$S$5000,0)),"")</f>
        <v/>
      </c>
      <c r="Q142" s="81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81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85" t="str">
        <f>IFERROR(INDEX(EQA.Controllab_Dados!F$2:F$5000,MATCH(ROW()-4,EQA.Controllab_Dados!$S$2:$S$5000,0)),"")</f>
        <v/>
      </c>
      <c r="G143" s="86" t="str">
        <f>IFERROR(INDEX(EQA.Controllab_Dados!G$2:G$5000,MATCH(ROW()-4,EQA.Controllab_Dados!$S$2:$S$5000,0)),"")</f>
        <v/>
      </c>
      <c r="H143" s="86" t="str">
        <f>IFERROR(INDEX(EQA.Controllab_Dados!H$2:H$5000,MATCH(ROW()-4,EQA.Controllab_Dados!$S$2:$S$5000,0)),"")</f>
        <v/>
      </c>
      <c r="I143" s="87" t="str">
        <f>IFERROR(INDEX(EQA.Controllab_Dados!I$2:I$5000,MATCH(ROW()-4,EQA.Controllab_Dados!$S$2:$S$5000,0)),"")</f>
        <v/>
      </c>
      <c r="J143" s="85" t="str">
        <f>IFERROR(INDEX(EQA.Controllab_Dados!J$2:J$5000,MATCH(ROW()-4,EQA.Controllab_Dados!$S$2:$S$5000,0)),"")</f>
        <v/>
      </c>
      <c r="K143" s="85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81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85" t="str">
        <f>IFERROR(INDEX(EQA.Controllab_Dados!O$2:O$5000,MATCH(ROW()-4,EQA.Controllab_Dados!$S$2:$S$5000,0)),"")</f>
        <v/>
      </c>
      <c r="P143" s="85" t="str">
        <f>IFERROR(INDEX(EQA.Controllab_Dados!P$2:P$5000,MATCH(ROW()-4,EQA.Controllab_Dados!$S$2:$S$5000,0)),"")</f>
        <v/>
      </c>
      <c r="Q143" s="81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81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85" t="str">
        <f>IFERROR(INDEX(EQA.Controllab_Dados!F$2:F$5000,MATCH(ROW()-4,EQA.Controllab_Dados!$S$2:$S$5000,0)),"")</f>
        <v/>
      </c>
      <c r="G144" s="86" t="str">
        <f>IFERROR(INDEX(EQA.Controllab_Dados!G$2:G$5000,MATCH(ROW()-4,EQA.Controllab_Dados!$S$2:$S$5000,0)),"")</f>
        <v/>
      </c>
      <c r="H144" s="86" t="str">
        <f>IFERROR(INDEX(EQA.Controllab_Dados!H$2:H$5000,MATCH(ROW()-4,EQA.Controllab_Dados!$S$2:$S$5000,0)),"")</f>
        <v/>
      </c>
      <c r="I144" s="87" t="str">
        <f>IFERROR(INDEX(EQA.Controllab_Dados!I$2:I$5000,MATCH(ROW()-4,EQA.Controllab_Dados!$S$2:$S$5000,0)),"")</f>
        <v/>
      </c>
      <c r="J144" s="85" t="str">
        <f>IFERROR(INDEX(EQA.Controllab_Dados!J$2:J$5000,MATCH(ROW()-4,EQA.Controllab_Dados!$S$2:$S$5000,0)),"")</f>
        <v/>
      </c>
      <c r="K144" s="85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81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85" t="str">
        <f>IFERROR(INDEX(EQA.Controllab_Dados!O$2:O$5000,MATCH(ROW()-4,EQA.Controllab_Dados!$S$2:$S$5000,0)),"")</f>
        <v/>
      </c>
      <c r="P144" s="85" t="str">
        <f>IFERROR(INDEX(EQA.Controllab_Dados!P$2:P$5000,MATCH(ROW()-4,EQA.Controllab_Dados!$S$2:$S$5000,0)),"")</f>
        <v/>
      </c>
      <c r="Q144" s="81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81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85" t="str">
        <f>IFERROR(INDEX(EQA.Controllab_Dados!F$2:F$5000,MATCH(ROW()-4,EQA.Controllab_Dados!$S$2:$S$5000,0)),"")</f>
        <v/>
      </c>
      <c r="G145" s="86" t="str">
        <f>IFERROR(INDEX(EQA.Controllab_Dados!G$2:G$5000,MATCH(ROW()-4,EQA.Controllab_Dados!$S$2:$S$5000,0)),"")</f>
        <v/>
      </c>
      <c r="H145" s="86" t="str">
        <f>IFERROR(INDEX(EQA.Controllab_Dados!H$2:H$5000,MATCH(ROW()-4,EQA.Controllab_Dados!$S$2:$S$5000,0)),"")</f>
        <v/>
      </c>
      <c r="I145" s="87" t="str">
        <f>IFERROR(INDEX(EQA.Controllab_Dados!I$2:I$5000,MATCH(ROW()-4,EQA.Controllab_Dados!$S$2:$S$5000,0)),"")</f>
        <v/>
      </c>
      <c r="J145" s="85" t="str">
        <f>IFERROR(INDEX(EQA.Controllab_Dados!J$2:J$5000,MATCH(ROW()-4,EQA.Controllab_Dados!$S$2:$S$5000,0)),"")</f>
        <v/>
      </c>
      <c r="K145" s="85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81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85" t="str">
        <f>IFERROR(INDEX(EQA.Controllab_Dados!O$2:O$5000,MATCH(ROW()-4,EQA.Controllab_Dados!$S$2:$S$5000,0)),"")</f>
        <v/>
      </c>
      <c r="P145" s="85" t="str">
        <f>IFERROR(INDEX(EQA.Controllab_Dados!P$2:P$5000,MATCH(ROW()-4,EQA.Controllab_Dados!$S$2:$S$5000,0)),"")</f>
        <v/>
      </c>
      <c r="Q145" s="81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81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85" t="str">
        <f>IFERROR(INDEX(EQA.Controllab_Dados!F$2:F$5000,MATCH(ROW()-4,EQA.Controllab_Dados!$S$2:$S$5000,0)),"")</f>
        <v/>
      </c>
      <c r="G146" s="86" t="str">
        <f>IFERROR(INDEX(EQA.Controllab_Dados!G$2:G$5000,MATCH(ROW()-4,EQA.Controllab_Dados!$S$2:$S$5000,0)),"")</f>
        <v/>
      </c>
      <c r="H146" s="86" t="str">
        <f>IFERROR(INDEX(EQA.Controllab_Dados!H$2:H$5000,MATCH(ROW()-4,EQA.Controllab_Dados!$S$2:$S$5000,0)),"")</f>
        <v/>
      </c>
      <c r="I146" s="87" t="str">
        <f>IFERROR(INDEX(EQA.Controllab_Dados!I$2:I$5000,MATCH(ROW()-4,EQA.Controllab_Dados!$S$2:$S$5000,0)),"")</f>
        <v/>
      </c>
      <c r="J146" s="85" t="str">
        <f>IFERROR(INDEX(EQA.Controllab_Dados!J$2:J$5000,MATCH(ROW()-4,EQA.Controllab_Dados!$S$2:$S$5000,0)),"")</f>
        <v/>
      </c>
      <c r="K146" s="85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81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85" t="str">
        <f>IFERROR(INDEX(EQA.Controllab_Dados!O$2:O$5000,MATCH(ROW()-4,EQA.Controllab_Dados!$S$2:$S$5000,0)),"")</f>
        <v/>
      </c>
      <c r="P146" s="85" t="str">
        <f>IFERROR(INDEX(EQA.Controllab_Dados!P$2:P$5000,MATCH(ROW()-4,EQA.Controllab_Dados!$S$2:$S$5000,0)),"")</f>
        <v/>
      </c>
      <c r="Q146" s="81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81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85" t="str">
        <f>IFERROR(INDEX(EQA.Controllab_Dados!F$2:F$5000,MATCH(ROW()-4,EQA.Controllab_Dados!$S$2:$S$5000,0)),"")</f>
        <v/>
      </c>
      <c r="G147" s="86" t="str">
        <f>IFERROR(INDEX(EQA.Controllab_Dados!G$2:G$5000,MATCH(ROW()-4,EQA.Controllab_Dados!$S$2:$S$5000,0)),"")</f>
        <v/>
      </c>
      <c r="H147" s="86" t="str">
        <f>IFERROR(INDEX(EQA.Controllab_Dados!H$2:H$5000,MATCH(ROW()-4,EQA.Controllab_Dados!$S$2:$S$5000,0)),"")</f>
        <v/>
      </c>
      <c r="I147" s="87" t="str">
        <f>IFERROR(INDEX(EQA.Controllab_Dados!I$2:I$5000,MATCH(ROW()-4,EQA.Controllab_Dados!$S$2:$S$5000,0)),"")</f>
        <v/>
      </c>
      <c r="J147" s="85" t="str">
        <f>IFERROR(INDEX(EQA.Controllab_Dados!J$2:J$5000,MATCH(ROW()-4,EQA.Controllab_Dados!$S$2:$S$5000,0)),"")</f>
        <v/>
      </c>
      <c r="K147" s="85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81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85" t="str">
        <f>IFERROR(INDEX(EQA.Controllab_Dados!O$2:O$5000,MATCH(ROW()-4,EQA.Controllab_Dados!$S$2:$S$5000,0)),"")</f>
        <v/>
      </c>
      <c r="P147" s="85" t="str">
        <f>IFERROR(INDEX(EQA.Controllab_Dados!P$2:P$5000,MATCH(ROW()-4,EQA.Controllab_Dados!$S$2:$S$5000,0)),"")</f>
        <v/>
      </c>
      <c r="Q147" s="81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81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85" t="str">
        <f>IFERROR(INDEX(EQA.Controllab_Dados!F$2:F$5000,MATCH(ROW()-4,EQA.Controllab_Dados!$S$2:$S$5000,0)),"")</f>
        <v/>
      </c>
      <c r="G148" s="86" t="str">
        <f>IFERROR(INDEX(EQA.Controllab_Dados!G$2:G$5000,MATCH(ROW()-4,EQA.Controllab_Dados!$S$2:$S$5000,0)),"")</f>
        <v/>
      </c>
      <c r="H148" s="86" t="str">
        <f>IFERROR(INDEX(EQA.Controllab_Dados!H$2:H$5000,MATCH(ROW()-4,EQA.Controllab_Dados!$S$2:$S$5000,0)),"")</f>
        <v/>
      </c>
      <c r="I148" s="87" t="str">
        <f>IFERROR(INDEX(EQA.Controllab_Dados!I$2:I$5000,MATCH(ROW()-4,EQA.Controllab_Dados!$S$2:$S$5000,0)),"")</f>
        <v/>
      </c>
      <c r="J148" s="85" t="str">
        <f>IFERROR(INDEX(EQA.Controllab_Dados!J$2:J$5000,MATCH(ROW()-4,EQA.Controllab_Dados!$S$2:$S$5000,0)),"")</f>
        <v/>
      </c>
      <c r="K148" s="85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81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85" t="str">
        <f>IFERROR(INDEX(EQA.Controllab_Dados!O$2:O$5000,MATCH(ROW()-4,EQA.Controllab_Dados!$S$2:$S$5000,0)),"")</f>
        <v/>
      </c>
      <c r="P148" s="85" t="str">
        <f>IFERROR(INDEX(EQA.Controllab_Dados!P$2:P$5000,MATCH(ROW()-4,EQA.Controllab_Dados!$S$2:$S$5000,0)),"")</f>
        <v/>
      </c>
      <c r="Q148" s="81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81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85" t="str">
        <f>IFERROR(INDEX(EQA.Controllab_Dados!F$2:F$5000,MATCH(ROW()-4,EQA.Controllab_Dados!$S$2:$S$5000,0)),"")</f>
        <v/>
      </c>
      <c r="G149" s="86" t="str">
        <f>IFERROR(INDEX(EQA.Controllab_Dados!G$2:G$5000,MATCH(ROW()-4,EQA.Controllab_Dados!$S$2:$S$5000,0)),"")</f>
        <v/>
      </c>
      <c r="H149" s="86" t="str">
        <f>IFERROR(INDEX(EQA.Controllab_Dados!H$2:H$5000,MATCH(ROW()-4,EQA.Controllab_Dados!$S$2:$S$5000,0)),"")</f>
        <v/>
      </c>
      <c r="I149" s="87" t="str">
        <f>IFERROR(INDEX(EQA.Controllab_Dados!I$2:I$5000,MATCH(ROW()-4,EQA.Controllab_Dados!$S$2:$S$5000,0)),"")</f>
        <v/>
      </c>
      <c r="J149" s="85" t="str">
        <f>IFERROR(INDEX(EQA.Controllab_Dados!J$2:J$5000,MATCH(ROW()-4,EQA.Controllab_Dados!$S$2:$S$5000,0)),"")</f>
        <v/>
      </c>
      <c r="K149" s="85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81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85" t="str">
        <f>IFERROR(INDEX(EQA.Controllab_Dados!O$2:O$5000,MATCH(ROW()-4,EQA.Controllab_Dados!$S$2:$S$5000,0)),"")</f>
        <v/>
      </c>
      <c r="P149" s="85" t="str">
        <f>IFERROR(INDEX(EQA.Controllab_Dados!P$2:P$5000,MATCH(ROW()-4,EQA.Controllab_Dados!$S$2:$S$5000,0)),"")</f>
        <v/>
      </c>
      <c r="Q149" s="81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81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85" t="str">
        <f>IFERROR(INDEX(EQA.Controllab_Dados!F$2:F$5000,MATCH(ROW()-4,EQA.Controllab_Dados!$S$2:$S$5000,0)),"")</f>
        <v/>
      </c>
      <c r="G150" s="86" t="str">
        <f>IFERROR(INDEX(EQA.Controllab_Dados!G$2:G$5000,MATCH(ROW()-4,EQA.Controllab_Dados!$S$2:$S$5000,0)),"")</f>
        <v/>
      </c>
      <c r="H150" s="86" t="str">
        <f>IFERROR(INDEX(EQA.Controllab_Dados!H$2:H$5000,MATCH(ROW()-4,EQA.Controllab_Dados!$S$2:$S$5000,0)),"")</f>
        <v/>
      </c>
      <c r="I150" s="87" t="str">
        <f>IFERROR(INDEX(EQA.Controllab_Dados!I$2:I$5000,MATCH(ROW()-4,EQA.Controllab_Dados!$S$2:$S$5000,0)),"")</f>
        <v/>
      </c>
      <c r="J150" s="85" t="str">
        <f>IFERROR(INDEX(EQA.Controllab_Dados!J$2:J$5000,MATCH(ROW()-4,EQA.Controllab_Dados!$S$2:$S$5000,0)),"")</f>
        <v/>
      </c>
      <c r="K150" s="85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81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85" t="str">
        <f>IFERROR(INDEX(EQA.Controllab_Dados!O$2:O$5000,MATCH(ROW()-4,EQA.Controllab_Dados!$S$2:$S$5000,0)),"")</f>
        <v/>
      </c>
      <c r="P150" s="85" t="str">
        <f>IFERROR(INDEX(EQA.Controllab_Dados!P$2:P$5000,MATCH(ROW()-4,EQA.Controllab_Dados!$S$2:$S$5000,0)),"")</f>
        <v/>
      </c>
      <c r="Q150" s="81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81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85" t="str">
        <f>IFERROR(INDEX(EQA.Controllab_Dados!F$2:F$5000,MATCH(ROW()-4,EQA.Controllab_Dados!$S$2:$S$5000,0)),"")</f>
        <v/>
      </c>
      <c r="G151" s="86" t="str">
        <f>IFERROR(INDEX(EQA.Controllab_Dados!G$2:G$5000,MATCH(ROW()-4,EQA.Controllab_Dados!$S$2:$S$5000,0)),"")</f>
        <v/>
      </c>
      <c r="H151" s="86" t="str">
        <f>IFERROR(INDEX(EQA.Controllab_Dados!H$2:H$5000,MATCH(ROW()-4,EQA.Controllab_Dados!$S$2:$S$5000,0)),"")</f>
        <v/>
      </c>
      <c r="I151" s="87" t="str">
        <f>IFERROR(INDEX(EQA.Controllab_Dados!I$2:I$5000,MATCH(ROW()-4,EQA.Controllab_Dados!$S$2:$S$5000,0)),"")</f>
        <v/>
      </c>
      <c r="J151" s="85" t="str">
        <f>IFERROR(INDEX(EQA.Controllab_Dados!J$2:J$5000,MATCH(ROW()-4,EQA.Controllab_Dados!$S$2:$S$5000,0)),"")</f>
        <v/>
      </c>
      <c r="K151" s="85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81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85" t="str">
        <f>IFERROR(INDEX(EQA.Controllab_Dados!O$2:O$5000,MATCH(ROW()-4,EQA.Controllab_Dados!$S$2:$S$5000,0)),"")</f>
        <v/>
      </c>
      <c r="P151" s="85" t="str">
        <f>IFERROR(INDEX(EQA.Controllab_Dados!P$2:P$5000,MATCH(ROW()-4,EQA.Controllab_Dados!$S$2:$S$5000,0)),"")</f>
        <v/>
      </c>
      <c r="Q151" s="81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81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85" t="str">
        <f>IFERROR(INDEX(EQA.Controllab_Dados!F$2:F$5000,MATCH(ROW()-4,EQA.Controllab_Dados!$S$2:$S$5000,0)),"")</f>
        <v/>
      </c>
      <c r="G152" s="86" t="str">
        <f>IFERROR(INDEX(EQA.Controllab_Dados!G$2:G$5000,MATCH(ROW()-4,EQA.Controllab_Dados!$S$2:$S$5000,0)),"")</f>
        <v/>
      </c>
      <c r="H152" s="86" t="str">
        <f>IFERROR(INDEX(EQA.Controllab_Dados!H$2:H$5000,MATCH(ROW()-4,EQA.Controllab_Dados!$S$2:$S$5000,0)),"")</f>
        <v/>
      </c>
      <c r="I152" s="87" t="str">
        <f>IFERROR(INDEX(EQA.Controllab_Dados!I$2:I$5000,MATCH(ROW()-4,EQA.Controllab_Dados!$S$2:$S$5000,0)),"")</f>
        <v/>
      </c>
      <c r="J152" s="85" t="str">
        <f>IFERROR(INDEX(EQA.Controllab_Dados!J$2:J$5000,MATCH(ROW()-4,EQA.Controllab_Dados!$S$2:$S$5000,0)),"")</f>
        <v/>
      </c>
      <c r="K152" s="85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81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85" t="str">
        <f>IFERROR(INDEX(EQA.Controllab_Dados!O$2:O$5000,MATCH(ROW()-4,EQA.Controllab_Dados!$S$2:$S$5000,0)),"")</f>
        <v/>
      </c>
      <c r="P152" s="85" t="str">
        <f>IFERROR(INDEX(EQA.Controllab_Dados!P$2:P$5000,MATCH(ROW()-4,EQA.Controllab_Dados!$S$2:$S$5000,0)),"")</f>
        <v/>
      </c>
      <c r="Q152" s="81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81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85" t="str">
        <f>IFERROR(INDEX(EQA.Controllab_Dados!F$2:F$5000,MATCH(ROW()-4,EQA.Controllab_Dados!$S$2:$S$5000,0)),"")</f>
        <v/>
      </c>
      <c r="G153" s="86" t="str">
        <f>IFERROR(INDEX(EQA.Controllab_Dados!G$2:G$5000,MATCH(ROW()-4,EQA.Controllab_Dados!$S$2:$S$5000,0)),"")</f>
        <v/>
      </c>
      <c r="H153" s="86" t="str">
        <f>IFERROR(INDEX(EQA.Controllab_Dados!H$2:H$5000,MATCH(ROW()-4,EQA.Controllab_Dados!$S$2:$S$5000,0)),"")</f>
        <v/>
      </c>
      <c r="I153" s="87" t="str">
        <f>IFERROR(INDEX(EQA.Controllab_Dados!I$2:I$5000,MATCH(ROW()-4,EQA.Controllab_Dados!$S$2:$S$5000,0)),"")</f>
        <v/>
      </c>
      <c r="J153" s="85" t="str">
        <f>IFERROR(INDEX(EQA.Controllab_Dados!J$2:J$5000,MATCH(ROW()-4,EQA.Controllab_Dados!$S$2:$S$5000,0)),"")</f>
        <v/>
      </c>
      <c r="K153" s="85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81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85" t="str">
        <f>IFERROR(INDEX(EQA.Controllab_Dados!O$2:O$5000,MATCH(ROW()-4,EQA.Controllab_Dados!$S$2:$S$5000,0)),"")</f>
        <v/>
      </c>
      <c r="P153" s="85" t="str">
        <f>IFERROR(INDEX(EQA.Controllab_Dados!P$2:P$5000,MATCH(ROW()-4,EQA.Controllab_Dados!$S$2:$S$5000,0)),"")</f>
        <v/>
      </c>
      <c r="Q153" s="81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81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85" t="str">
        <f>IFERROR(INDEX(EQA.Controllab_Dados!F$2:F$5000,MATCH(ROW()-4,EQA.Controllab_Dados!$S$2:$S$5000,0)),"")</f>
        <v/>
      </c>
      <c r="G154" s="86" t="str">
        <f>IFERROR(INDEX(EQA.Controllab_Dados!G$2:G$5000,MATCH(ROW()-4,EQA.Controllab_Dados!$S$2:$S$5000,0)),"")</f>
        <v/>
      </c>
      <c r="H154" s="86" t="str">
        <f>IFERROR(INDEX(EQA.Controllab_Dados!H$2:H$5000,MATCH(ROW()-4,EQA.Controllab_Dados!$S$2:$S$5000,0)),"")</f>
        <v/>
      </c>
      <c r="I154" s="87" t="str">
        <f>IFERROR(INDEX(EQA.Controllab_Dados!I$2:I$5000,MATCH(ROW()-4,EQA.Controllab_Dados!$S$2:$S$5000,0)),"")</f>
        <v/>
      </c>
      <c r="J154" s="85" t="str">
        <f>IFERROR(INDEX(EQA.Controllab_Dados!J$2:J$5000,MATCH(ROW()-4,EQA.Controllab_Dados!$S$2:$S$5000,0)),"")</f>
        <v/>
      </c>
      <c r="K154" s="85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81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85" t="str">
        <f>IFERROR(INDEX(EQA.Controllab_Dados!O$2:O$5000,MATCH(ROW()-4,EQA.Controllab_Dados!$S$2:$S$5000,0)),"")</f>
        <v/>
      </c>
      <c r="P154" s="85" t="str">
        <f>IFERROR(INDEX(EQA.Controllab_Dados!P$2:P$5000,MATCH(ROW()-4,EQA.Controllab_Dados!$S$2:$S$5000,0)),"")</f>
        <v/>
      </c>
      <c r="Q154" s="81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81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85" t="str">
        <f>IFERROR(INDEX(EQA.Controllab_Dados!F$2:F$5000,MATCH(ROW()-4,EQA.Controllab_Dados!$S$2:$S$5000,0)),"")</f>
        <v/>
      </c>
      <c r="G155" s="86" t="str">
        <f>IFERROR(INDEX(EQA.Controllab_Dados!G$2:G$5000,MATCH(ROW()-4,EQA.Controllab_Dados!$S$2:$S$5000,0)),"")</f>
        <v/>
      </c>
      <c r="H155" s="86" t="str">
        <f>IFERROR(INDEX(EQA.Controllab_Dados!H$2:H$5000,MATCH(ROW()-4,EQA.Controllab_Dados!$S$2:$S$5000,0)),"")</f>
        <v/>
      </c>
      <c r="I155" s="87" t="str">
        <f>IFERROR(INDEX(EQA.Controllab_Dados!I$2:I$5000,MATCH(ROW()-4,EQA.Controllab_Dados!$S$2:$S$5000,0)),"")</f>
        <v/>
      </c>
      <c r="J155" s="85" t="str">
        <f>IFERROR(INDEX(EQA.Controllab_Dados!J$2:J$5000,MATCH(ROW()-4,EQA.Controllab_Dados!$S$2:$S$5000,0)),"")</f>
        <v/>
      </c>
      <c r="K155" s="85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81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85" t="str">
        <f>IFERROR(INDEX(EQA.Controllab_Dados!O$2:O$5000,MATCH(ROW()-4,EQA.Controllab_Dados!$S$2:$S$5000,0)),"")</f>
        <v/>
      </c>
      <c r="P155" s="85" t="str">
        <f>IFERROR(INDEX(EQA.Controllab_Dados!P$2:P$5000,MATCH(ROW()-4,EQA.Controllab_Dados!$S$2:$S$5000,0)),"")</f>
        <v/>
      </c>
      <c r="Q155" s="81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81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85" t="str">
        <f>IFERROR(INDEX(EQA.Controllab_Dados!F$2:F$5000,MATCH(ROW()-4,EQA.Controllab_Dados!$S$2:$S$5000,0)),"")</f>
        <v/>
      </c>
      <c r="G156" s="86" t="str">
        <f>IFERROR(INDEX(EQA.Controllab_Dados!G$2:G$5000,MATCH(ROW()-4,EQA.Controllab_Dados!$S$2:$S$5000,0)),"")</f>
        <v/>
      </c>
      <c r="H156" s="86" t="str">
        <f>IFERROR(INDEX(EQA.Controllab_Dados!H$2:H$5000,MATCH(ROW()-4,EQA.Controllab_Dados!$S$2:$S$5000,0)),"")</f>
        <v/>
      </c>
      <c r="I156" s="87" t="str">
        <f>IFERROR(INDEX(EQA.Controllab_Dados!I$2:I$5000,MATCH(ROW()-4,EQA.Controllab_Dados!$S$2:$S$5000,0)),"")</f>
        <v/>
      </c>
      <c r="J156" s="85" t="str">
        <f>IFERROR(INDEX(EQA.Controllab_Dados!J$2:J$5000,MATCH(ROW()-4,EQA.Controllab_Dados!$S$2:$S$5000,0)),"")</f>
        <v/>
      </c>
      <c r="K156" s="85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81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85" t="str">
        <f>IFERROR(INDEX(EQA.Controllab_Dados!O$2:O$5000,MATCH(ROW()-4,EQA.Controllab_Dados!$S$2:$S$5000,0)),"")</f>
        <v/>
      </c>
      <c r="P156" s="85" t="str">
        <f>IFERROR(INDEX(EQA.Controllab_Dados!P$2:P$5000,MATCH(ROW()-4,EQA.Controllab_Dados!$S$2:$S$5000,0)),"")</f>
        <v/>
      </c>
      <c r="Q156" s="81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81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85" t="str">
        <f>IFERROR(INDEX(EQA.Controllab_Dados!F$2:F$5000,MATCH(ROW()-4,EQA.Controllab_Dados!$S$2:$S$5000,0)),"")</f>
        <v/>
      </c>
      <c r="G157" s="86" t="str">
        <f>IFERROR(INDEX(EQA.Controllab_Dados!G$2:G$5000,MATCH(ROW()-4,EQA.Controllab_Dados!$S$2:$S$5000,0)),"")</f>
        <v/>
      </c>
      <c r="H157" s="86" t="str">
        <f>IFERROR(INDEX(EQA.Controllab_Dados!H$2:H$5000,MATCH(ROW()-4,EQA.Controllab_Dados!$S$2:$S$5000,0)),"")</f>
        <v/>
      </c>
      <c r="I157" s="87" t="str">
        <f>IFERROR(INDEX(EQA.Controllab_Dados!I$2:I$5000,MATCH(ROW()-4,EQA.Controllab_Dados!$S$2:$S$5000,0)),"")</f>
        <v/>
      </c>
      <c r="J157" s="85" t="str">
        <f>IFERROR(INDEX(EQA.Controllab_Dados!J$2:J$5000,MATCH(ROW()-4,EQA.Controllab_Dados!$S$2:$S$5000,0)),"")</f>
        <v/>
      </c>
      <c r="K157" s="85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81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85" t="str">
        <f>IFERROR(INDEX(EQA.Controllab_Dados!O$2:O$5000,MATCH(ROW()-4,EQA.Controllab_Dados!$S$2:$S$5000,0)),"")</f>
        <v/>
      </c>
      <c r="P157" s="85" t="str">
        <f>IFERROR(INDEX(EQA.Controllab_Dados!P$2:P$5000,MATCH(ROW()-4,EQA.Controllab_Dados!$S$2:$S$5000,0)),"")</f>
        <v/>
      </c>
      <c r="Q157" s="81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81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85" t="str">
        <f>IFERROR(INDEX(EQA.Controllab_Dados!F$2:F$5000,MATCH(ROW()-4,EQA.Controllab_Dados!$S$2:$S$5000,0)),"")</f>
        <v/>
      </c>
      <c r="G158" s="86" t="str">
        <f>IFERROR(INDEX(EQA.Controllab_Dados!G$2:G$5000,MATCH(ROW()-4,EQA.Controllab_Dados!$S$2:$S$5000,0)),"")</f>
        <v/>
      </c>
      <c r="H158" s="86" t="str">
        <f>IFERROR(INDEX(EQA.Controllab_Dados!H$2:H$5000,MATCH(ROW()-4,EQA.Controllab_Dados!$S$2:$S$5000,0)),"")</f>
        <v/>
      </c>
      <c r="I158" s="87" t="str">
        <f>IFERROR(INDEX(EQA.Controllab_Dados!I$2:I$5000,MATCH(ROW()-4,EQA.Controllab_Dados!$S$2:$S$5000,0)),"")</f>
        <v/>
      </c>
      <c r="J158" s="85" t="str">
        <f>IFERROR(INDEX(EQA.Controllab_Dados!J$2:J$5000,MATCH(ROW()-4,EQA.Controllab_Dados!$S$2:$S$5000,0)),"")</f>
        <v/>
      </c>
      <c r="K158" s="85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81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85" t="str">
        <f>IFERROR(INDEX(EQA.Controllab_Dados!O$2:O$5000,MATCH(ROW()-4,EQA.Controllab_Dados!$S$2:$S$5000,0)),"")</f>
        <v/>
      </c>
      <c r="P158" s="85" t="str">
        <f>IFERROR(INDEX(EQA.Controllab_Dados!P$2:P$5000,MATCH(ROW()-4,EQA.Controllab_Dados!$S$2:$S$5000,0)),"")</f>
        <v/>
      </c>
      <c r="Q158" s="81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81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85" t="str">
        <f>IFERROR(INDEX(EQA.Controllab_Dados!F$2:F$5000,MATCH(ROW()-4,EQA.Controllab_Dados!$S$2:$S$5000,0)),"")</f>
        <v/>
      </c>
      <c r="G159" s="86" t="str">
        <f>IFERROR(INDEX(EQA.Controllab_Dados!G$2:G$5000,MATCH(ROW()-4,EQA.Controllab_Dados!$S$2:$S$5000,0)),"")</f>
        <v/>
      </c>
      <c r="H159" s="86" t="str">
        <f>IFERROR(INDEX(EQA.Controllab_Dados!H$2:H$5000,MATCH(ROW()-4,EQA.Controllab_Dados!$S$2:$S$5000,0)),"")</f>
        <v/>
      </c>
      <c r="I159" s="87" t="str">
        <f>IFERROR(INDEX(EQA.Controllab_Dados!I$2:I$5000,MATCH(ROW()-4,EQA.Controllab_Dados!$S$2:$S$5000,0)),"")</f>
        <v/>
      </c>
      <c r="J159" s="85" t="str">
        <f>IFERROR(INDEX(EQA.Controllab_Dados!J$2:J$5000,MATCH(ROW()-4,EQA.Controllab_Dados!$S$2:$S$5000,0)),"")</f>
        <v/>
      </c>
      <c r="K159" s="85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81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85" t="str">
        <f>IFERROR(INDEX(EQA.Controllab_Dados!O$2:O$5000,MATCH(ROW()-4,EQA.Controllab_Dados!$S$2:$S$5000,0)),"")</f>
        <v/>
      </c>
      <c r="P159" s="85" t="str">
        <f>IFERROR(INDEX(EQA.Controllab_Dados!P$2:P$5000,MATCH(ROW()-4,EQA.Controllab_Dados!$S$2:$S$5000,0)),"")</f>
        <v/>
      </c>
      <c r="Q159" s="81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81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85" t="str">
        <f>IFERROR(INDEX(EQA.Controllab_Dados!F$2:F$5000,MATCH(ROW()-4,EQA.Controllab_Dados!$S$2:$S$5000,0)),"")</f>
        <v/>
      </c>
      <c r="G160" s="86" t="str">
        <f>IFERROR(INDEX(EQA.Controllab_Dados!G$2:G$5000,MATCH(ROW()-4,EQA.Controllab_Dados!$S$2:$S$5000,0)),"")</f>
        <v/>
      </c>
      <c r="H160" s="86" t="str">
        <f>IFERROR(INDEX(EQA.Controllab_Dados!H$2:H$5000,MATCH(ROW()-4,EQA.Controllab_Dados!$S$2:$S$5000,0)),"")</f>
        <v/>
      </c>
      <c r="I160" s="87" t="str">
        <f>IFERROR(INDEX(EQA.Controllab_Dados!I$2:I$5000,MATCH(ROW()-4,EQA.Controllab_Dados!$S$2:$S$5000,0)),"")</f>
        <v/>
      </c>
      <c r="J160" s="85" t="str">
        <f>IFERROR(INDEX(EQA.Controllab_Dados!J$2:J$5000,MATCH(ROW()-4,EQA.Controllab_Dados!$S$2:$S$5000,0)),"")</f>
        <v/>
      </c>
      <c r="K160" s="85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81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85" t="str">
        <f>IFERROR(INDEX(EQA.Controllab_Dados!O$2:O$5000,MATCH(ROW()-4,EQA.Controllab_Dados!$S$2:$S$5000,0)),"")</f>
        <v/>
      </c>
      <c r="P160" s="85" t="str">
        <f>IFERROR(INDEX(EQA.Controllab_Dados!P$2:P$5000,MATCH(ROW()-4,EQA.Controllab_Dados!$S$2:$S$5000,0)),"")</f>
        <v/>
      </c>
      <c r="Q160" s="81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81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85" t="str">
        <f>IFERROR(INDEX(EQA.Controllab_Dados!F$2:F$5000,MATCH(ROW()-4,EQA.Controllab_Dados!$S$2:$S$5000,0)),"")</f>
        <v/>
      </c>
      <c r="G161" s="86" t="str">
        <f>IFERROR(INDEX(EQA.Controllab_Dados!G$2:G$5000,MATCH(ROW()-4,EQA.Controllab_Dados!$S$2:$S$5000,0)),"")</f>
        <v/>
      </c>
      <c r="H161" s="86" t="str">
        <f>IFERROR(INDEX(EQA.Controllab_Dados!H$2:H$5000,MATCH(ROW()-4,EQA.Controllab_Dados!$S$2:$S$5000,0)),"")</f>
        <v/>
      </c>
      <c r="I161" s="87" t="str">
        <f>IFERROR(INDEX(EQA.Controllab_Dados!I$2:I$5000,MATCH(ROW()-4,EQA.Controllab_Dados!$S$2:$S$5000,0)),"")</f>
        <v/>
      </c>
      <c r="J161" s="85" t="str">
        <f>IFERROR(INDEX(EQA.Controllab_Dados!J$2:J$5000,MATCH(ROW()-4,EQA.Controllab_Dados!$S$2:$S$5000,0)),"")</f>
        <v/>
      </c>
      <c r="K161" s="85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81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85" t="str">
        <f>IFERROR(INDEX(EQA.Controllab_Dados!O$2:O$5000,MATCH(ROW()-4,EQA.Controllab_Dados!$S$2:$S$5000,0)),"")</f>
        <v/>
      </c>
      <c r="P161" s="85" t="str">
        <f>IFERROR(INDEX(EQA.Controllab_Dados!P$2:P$5000,MATCH(ROW()-4,EQA.Controllab_Dados!$S$2:$S$5000,0)),"")</f>
        <v/>
      </c>
      <c r="Q161" s="81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81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85" t="str">
        <f>IFERROR(INDEX(EQA.Controllab_Dados!F$2:F$5000,MATCH(ROW()-4,EQA.Controllab_Dados!$S$2:$S$5000,0)),"")</f>
        <v/>
      </c>
      <c r="G162" s="86" t="str">
        <f>IFERROR(INDEX(EQA.Controllab_Dados!G$2:G$5000,MATCH(ROW()-4,EQA.Controllab_Dados!$S$2:$S$5000,0)),"")</f>
        <v/>
      </c>
      <c r="H162" s="86" t="str">
        <f>IFERROR(INDEX(EQA.Controllab_Dados!H$2:H$5000,MATCH(ROW()-4,EQA.Controllab_Dados!$S$2:$S$5000,0)),"")</f>
        <v/>
      </c>
      <c r="I162" s="87" t="str">
        <f>IFERROR(INDEX(EQA.Controllab_Dados!I$2:I$5000,MATCH(ROW()-4,EQA.Controllab_Dados!$S$2:$S$5000,0)),"")</f>
        <v/>
      </c>
      <c r="J162" s="85" t="str">
        <f>IFERROR(INDEX(EQA.Controllab_Dados!J$2:J$5000,MATCH(ROW()-4,EQA.Controllab_Dados!$S$2:$S$5000,0)),"")</f>
        <v/>
      </c>
      <c r="K162" s="85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81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85" t="str">
        <f>IFERROR(INDEX(EQA.Controllab_Dados!O$2:O$5000,MATCH(ROW()-4,EQA.Controllab_Dados!$S$2:$S$5000,0)),"")</f>
        <v/>
      </c>
      <c r="P162" s="85" t="str">
        <f>IFERROR(INDEX(EQA.Controllab_Dados!P$2:P$5000,MATCH(ROW()-4,EQA.Controllab_Dados!$S$2:$S$5000,0)),"")</f>
        <v/>
      </c>
      <c r="Q162" s="81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81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85" t="str">
        <f>IFERROR(INDEX(EQA.Controllab_Dados!F$2:F$5000,MATCH(ROW()-4,EQA.Controllab_Dados!$S$2:$S$5000,0)),"")</f>
        <v/>
      </c>
      <c r="G163" s="86" t="str">
        <f>IFERROR(INDEX(EQA.Controllab_Dados!G$2:G$5000,MATCH(ROW()-4,EQA.Controllab_Dados!$S$2:$S$5000,0)),"")</f>
        <v/>
      </c>
      <c r="H163" s="86" t="str">
        <f>IFERROR(INDEX(EQA.Controllab_Dados!H$2:H$5000,MATCH(ROW()-4,EQA.Controllab_Dados!$S$2:$S$5000,0)),"")</f>
        <v/>
      </c>
      <c r="I163" s="87" t="str">
        <f>IFERROR(INDEX(EQA.Controllab_Dados!I$2:I$5000,MATCH(ROW()-4,EQA.Controllab_Dados!$S$2:$S$5000,0)),"")</f>
        <v/>
      </c>
      <c r="J163" s="85" t="str">
        <f>IFERROR(INDEX(EQA.Controllab_Dados!J$2:J$5000,MATCH(ROW()-4,EQA.Controllab_Dados!$S$2:$S$5000,0)),"")</f>
        <v/>
      </c>
      <c r="K163" s="85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81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85" t="str">
        <f>IFERROR(INDEX(EQA.Controllab_Dados!O$2:O$5000,MATCH(ROW()-4,EQA.Controllab_Dados!$S$2:$S$5000,0)),"")</f>
        <v/>
      </c>
      <c r="P163" s="85" t="str">
        <f>IFERROR(INDEX(EQA.Controllab_Dados!P$2:P$5000,MATCH(ROW()-4,EQA.Controllab_Dados!$S$2:$S$5000,0)),"")</f>
        <v/>
      </c>
      <c r="Q163" s="81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81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85" t="str">
        <f>IFERROR(INDEX(EQA.Controllab_Dados!F$2:F$5000,MATCH(ROW()-4,EQA.Controllab_Dados!$S$2:$S$5000,0)),"")</f>
        <v/>
      </c>
      <c r="G164" s="86" t="str">
        <f>IFERROR(INDEX(EQA.Controllab_Dados!G$2:G$5000,MATCH(ROW()-4,EQA.Controllab_Dados!$S$2:$S$5000,0)),"")</f>
        <v/>
      </c>
      <c r="H164" s="86" t="str">
        <f>IFERROR(INDEX(EQA.Controllab_Dados!H$2:H$5000,MATCH(ROW()-4,EQA.Controllab_Dados!$S$2:$S$5000,0)),"")</f>
        <v/>
      </c>
      <c r="I164" s="87" t="str">
        <f>IFERROR(INDEX(EQA.Controllab_Dados!I$2:I$5000,MATCH(ROW()-4,EQA.Controllab_Dados!$S$2:$S$5000,0)),"")</f>
        <v/>
      </c>
      <c r="J164" s="85" t="str">
        <f>IFERROR(INDEX(EQA.Controllab_Dados!J$2:J$5000,MATCH(ROW()-4,EQA.Controllab_Dados!$S$2:$S$5000,0)),"")</f>
        <v/>
      </c>
      <c r="K164" s="85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81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85" t="str">
        <f>IFERROR(INDEX(EQA.Controllab_Dados!O$2:O$5000,MATCH(ROW()-4,EQA.Controllab_Dados!$S$2:$S$5000,0)),"")</f>
        <v/>
      </c>
      <c r="P164" s="85" t="str">
        <f>IFERROR(INDEX(EQA.Controllab_Dados!P$2:P$5000,MATCH(ROW()-4,EQA.Controllab_Dados!$S$2:$S$5000,0)),"")</f>
        <v/>
      </c>
      <c r="Q164" s="81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81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85" t="str">
        <f>IFERROR(INDEX(EQA.Controllab_Dados!F$2:F$5000,MATCH(ROW()-4,EQA.Controllab_Dados!$S$2:$S$5000,0)),"")</f>
        <v/>
      </c>
      <c r="G165" s="86" t="str">
        <f>IFERROR(INDEX(EQA.Controllab_Dados!G$2:G$5000,MATCH(ROW()-4,EQA.Controllab_Dados!$S$2:$S$5000,0)),"")</f>
        <v/>
      </c>
      <c r="H165" s="86" t="str">
        <f>IFERROR(INDEX(EQA.Controllab_Dados!H$2:H$5000,MATCH(ROW()-4,EQA.Controllab_Dados!$S$2:$S$5000,0)),"")</f>
        <v/>
      </c>
      <c r="I165" s="87" t="str">
        <f>IFERROR(INDEX(EQA.Controllab_Dados!I$2:I$5000,MATCH(ROW()-4,EQA.Controllab_Dados!$S$2:$S$5000,0)),"")</f>
        <v/>
      </c>
      <c r="J165" s="85" t="str">
        <f>IFERROR(INDEX(EQA.Controllab_Dados!J$2:J$5000,MATCH(ROW()-4,EQA.Controllab_Dados!$S$2:$S$5000,0)),"")</f>
        <v/>
      </c>
      <c r="K165" s="85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81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85" t="str">
        <f>IFERROR(INDEX(EQA.Controllab_Dados!O$2:O$5000,MATCH(ROW()-4,EQA.Controllab_Dados!$S$2:$S$5000,0)),"")</f>
        <v/>
      </c>
      <c r="P165" s="85" t="str">
        <f>IFERROR(INDEX(EQA.Controllab_Dados!P$2:P$5000,MATCH(ROW()-4,EQA.Controllab_Dados!$S$2:$S$5000,0)),"")</f>
        <v/>
      </c>
      <c r="Q165" s="81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81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85" t="str">
        <f>IFERROR(INDEX(EQA.Controllab_Dados!F$2:F$5000,MATCH(ROW()-4,EQA.Controllab_Dados!$S$2:$S$5000,0)),"")</f>
        <v/>
      </c>
      <c r="G166" s="86" t="str">
        <f>IFERROR(INDEX(EQA.Controllab_Dados!G$2:G$5000,MATCH(ROW()-4,EQA.Controllab_Dados!$S$2:$S$5000,0)),"")</f>
        <v/>
      </c>
      <c r="H166" s="86" t="str">
        <f>IFERROR(INDEX(EQA.Controllab_Dados!H$2:H$5000,MATCH(ROW()-4,EQA.Controllab_Dados!$S$2:$S$5000,0)),"")</f>
        <v/>
      </c>
      <c r="I166" s="87" t="str">
        <f>IFERROR(INDEX(EQA.Controllab_Dados!I$2:I$5000,MATCH(ROW()-4,EQA.Controllab_Dados!$S$2:$S$5000,0)),"")</f>
        <v/>
      </c>
      <c r="J166" s="85" t="str">
        <f>IFERROR(INDEX(EQA.Controllab_Dados!J$2:J$5000,MATCH(ROW()-4,EQA.Controllab_Dados!$S$2:$S$5000,0)),"")</f>
        <v/>
      </c>
      <c r="K166" s="85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81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85" t="str">
        <f>IFERROR(INDEX(EQA.Controllab_Dados!O$2:O$5000,MATCH(ROW()-4,EQA.Controllab_Dados!$S$2:$S$5000,0)),"")</f>
        <v/>
      </c>
      <c r="P166" s="85" t="str">
        <f>IFERROR(INDEX(EQA.Controllab_Dados!P$2:P$5000,MATCH(ROW()-4,EQA.Controllab_Dados!$S$2:$S$5000,0)),"")</f>
        <v/>
      </c>
      <c r="Q166" s="81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81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85" t="str">
        <f>IFERROR(INDEX(EQA.Controllab_Dados!F$2:F$5000,MATCH(ROW()-4,EQA.Controllab_Dados!$S$2:$S$5000,0)),"")</f>
        <v/>
      </c>
      <c r="G167" s="86" t="str">
        <f>IFERROR(INDEX(EQA.Controllab_Dados!G$2:G$5000,MATCH(ROW()-4,EQA.Controllab_Dados!$S$2:$S$5000,0)),"")</f>
        <v/>
      </c>
      <c r="H167" s="86" t="str">
        <f>IFERROR(INDEX(EQA.Controllab_Dados!H$2:H$5000,MATCH(ROW()-4,EQA.Controllab_Dados!$S$2:$S$5000,0)),"")</f>
        <v/>
      </c>
      <c r="I167" s="87" t="str">
        <f>IFERROR(INDEX(EQA.Controllab_Dados!I$2:I$5000,MATCH(ROW()-4,EQA.Controllab_Dados!$S$2:$S$5000,0)),"")</f>
        <v/>
      </c>
      <c r="J167" s="85" t="str">
        <f>IFERROR(INDEX(EQA.Controllab_Dados!J$2:J$5000,MATCH(ROW()-4,EQA.Controllab_Dados!$S$2:$S$5000,0)),"")</f>
        <v/>
      </c>
      <c r="K167" s="85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81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85" t="str">
        <f>IFERROR(INDEX(EQA.Controllab_Dados!O$2:O$5000,MATCH(ROW()-4,EQA.Controllab_Dados!$S$2:$S$5000,0)),"")</f>
        <v/>
      </c>
      <c r="P167" s="85" t="str">
        <f>IFERROR(INDEX(EQA.Controllab_Dados!P$2:P$5000,MATCH(ROW()-4,EQA.Controllab_Dados!$S$2:$S$5000,0)),"")</f>
        <v/>
      </c>
      <c r="Q167" s="81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81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85" t="str">
        <f>IFERROR(INDEX(EQA.Controllab_Dados!F$2:F$5000,MATCH(ROW()-4,EQA.Controllab_Dados!$S$2:$S$5000,0)),"")</f>
        <v/>
      </c>
      <c r="G168" s="86" t="str">
        <f>IFERROR(INDEX(EQA.Controllab_Dados!G$2:G$5000,MATCH(ROW()-4,EQA.Controllab_Dados!$S$2:$S$5000,0)),"")</f>
        <v/>
      </c>
      <c r="H168" s="86" t="str">
        <f>IFERROR(INDEX(EQA.Controllab_Dados!H$2:H$5000,MATCH(ROW()-4,EQA.Controllab_Dados!$S$2:$S$5000,0)),"")</f>
        <v/>
      </c>
      <c r="I168" s="87" t="str">
        <f>IFERROR(INDEX(EQA.Controllab_Dados!I$2:I$5000,MATCH(ROW()-4,EQA.Controllab_Dados!$S$2:$S$5000,0)),"")</f>
        <v/>
      </c>
      <c r="J168" s="85" t="str">
        <f>IFERROR(INDEX(EQA.Controllab_Dados!J$2:J$5000,MATCH(ROW()-4,EQA.Controllab_Dados!$S$2:$S$5000,0)),"")</f>
        <v/>
      </c>
      <c r="K168" s="85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81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85" t="str">
        <f>IFERROR(INDEX(EQA.Controllab_Dados!O$2:O$5000,MATCH(ROW()-4,EQA.Controllab_Dados!$S$2:$S$5000,0)),"")</f>
        <v/>
      </c>
      <c r="P168" s="85" t="str">
        <f>IFERROR(INDEX(EQA.Controllab_Dados!P$2:P$5000,MATCH(ROW()-4,EQA.Controllab_Dados!$S$2:$S$5000,0)),"")</f>
        <v/>
      </c>
      <c r="Q168" s="81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81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85" t="str">
        <f>IFERROR(INDEX(EQA.Controllab_Dados!F$2:F$5000,MATCH(ROW()-4,EQA.Controllab_Dados!$S$2:$S$5000,0)),"")</f>
        <v/>
      </c>
      <c r="G169" s="86" t="str">
        <f>IFERROR(INDEX(EQA.Controllab_Dados!G$2:G$5000,MATCH(ROW()-4,EQA.Controllab_Dados!$S$2:$S$5000,0)),"")</f>
        <v/>
      </c>
      <c r="H169" s="86" t="str">
        <f>IFERROR(INDEX(EQA.Controllab_Dados!H$2:H$5000,MATCH(ROW()-4,EQA.Controllab_Dados!$S$2:$S$5000,0)),"")</f>
        <v/>
      </c>
      <c r="I169" s="87" t="str">
        <f>IFERROR(INDEX(EQA.Controllab_Dados!I$2:I$5000,MATCH(ROW()-4,EQA.Controllab_Dados!$S$2:$S$5000,0)),"")</f>
        <v/>
      </c>
      <c r="J169" s="85" t="str">
        <f>IFERROR(INDEX(EQA.Controllab_Dados!J$2:J$5000,MATCH(ROW()-4,EQA.Controllab_Dados!$S$2:$S$5000,0)),"")</f>
        <v/>
      </c>
      <c r="K169" s="85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81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85" t="str">
        <f>IFERROR(INDEX(EQA.Controllab_Dados!O$2:O$5000,MATCH(ROW()-4,EQA.Controllab_Dados!$S$2:$S$5000,0)),"")</f>
        <v/>
      </c>
      <c r="P169" s="85" t="str">
        <f>IFERROR(INDEX(EQA.Controllab_Dados!P$2:P$5000,MATCH(ROW()-4,EQA.Controllab_Dados!$S$2:$S$5000,0)),"")</f>
        <v/>
      </c>
      <c r="Q169" s="81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81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85" t="str">
        <f>IFERROR(INDEX(EQA.Controllab_Dados!F$2:F$5000,MATCH(ROW()-4,EQA.Controllab_Dados!$S$2:$S$5000,0)),"")</f>
        <v/>
      </c>
      <c r="G170" s="86" t="str">
        <f>IFERROR(INDEX(EQA.Controllab_Dados!G$2:G$5000,MATCH(ROW()-4,EQA.Controllab_Dados!$S$2:$S$5000,0)),"")</f>
        <v/>
      </c>
      <c r="H170" s="86" t="str">
        <f>IFERROR(INDEX(EQA.Controllab_Dados!H$2:H$5000,MATCH(ROW()-4,EQA.Controllab_Dados!$S$2:$S$5000,0)),"")</f>
        <v/>
      </c>
      <c r="I170" s="87" t="str">
        <f>IFERROR(INDEX(EQA.Controllab_Dados!I$2:I$5000,MATCH(ROW()-4,EQA.Controllab_Dados!$S$2:$S$5000,0)),"")</f>
        <v/>
      </c>
      <c r="J170" s="85" t="str">
        <f>IFERROR(INDEX(EQA.Controllab_Dados!J$2:J$5000,MATCH(ROW()-4,EQA.Controllab_Dados!$S$2:$S$5000,0)),"")</f>
        <v/>
      </c>
      <c r="K170" s="85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81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85" t="str">
        <f>IFERROR(INDEX(EQA.Controllab_Dados!O$2:O$5000,MATCH(ROW()-4,EQA.Controllab_Dados!$S$2:$S$5000,0)),"")</f>
        <v/>
      </c>
      <c r="P170" s="85" t="str">
        <f>IFERROR(INDEX(EQA.Controllab_Dados!P$2:P$5000,MATCH(ROW()-4,EQA.Controllab_Dados!$S$2:$S$5000,0)),"")</f>
        <v/>
      </c>
      <c r="Q170" s="81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81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85" t="str">
        <f>IFERROR(INDEX(EQA.Controllab_Dados!F$2:F$5000,MATCH(ROW()-4,EQA.Controllab_Dados!$S$2:$S$5000,0)),"")</f>
        <v/>
      </c>
      <c r="G171" s="86" t="str">
        <f>IFERROR(INDEX(EQA.Controllab_Dados!G$2:G$5000,MATCH(ROW()-4,EQA.Controllab_Dados!$S$2:$S$5000,0)),"")</f>
        <v/>
      </c>
      <c r="H171" s="86" t="str">
        <f>IFERROR(INDEX(EQA.Controllab_Dados!H$2:H$5000,MATCH(ROW()-4,EQA.Controllab_Dados!$S$2:$S$5000,0)),"")</f>
        <v/>
      </c>
      <c r="I171" s="87" t="str">
        <f>IFERROR(INDEX(EQA.Controllab_Dados!I$2:I$5000,MATCH(ROW()-4,EQA.Controllab_Dados!$S$2:$S$5000,0)),"")</f>
        <v/>
      </c>
      <c r="J171" s="85" t="str">
        <f>IFERROR(INDEX(EQA.Controllab_Dados!J$2:J$5000,MATCH(ROW()-4,EQA.Controllab_Dados!$S$2:$S$5000,0)),"")</f>
        <v/>
      </c>
      <c r="K171" s="85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81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85" t="str">
        <f>IFERROR(INDEX(EQA.Controllab_Dados!O$2:O$5000,MATCH(ROW()-4,EQA.Controllab_Dados!$S$2:$S$5000,0)),"")</f>
        <v/>
      </c>
      <c r="P171" s="85" t="str">
        <f>IFERROR(INDEX(EQA.Controllab_Dados!P$2:P$5000,MATCH(ROW()-4,EQA.Controllab_Dados!$S$2:$S$5000,0)),"")</f>
        <v/>
      </c>
      <c r="Q171" s="81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81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85" t="str">
        <f>IFERROR(INDEX(EQA.Controllab_Dados!F$2:F$5000,MATCH(ROW()-4,EQA.Controllab_Dados!$S$2:$S$5000,0)),"")</f>
        <v/>
      </c>
      <c r="G172" s="86" t="str">
        <f>IFERROR(INDEX(EQA.Controllab_Dados!G$2:G$5000,MATCH(ROW()-4,EQA.Controllab_Dados!$S$2:$S$5000,0)),"")</f>
        <v/>
      </c>
      <c r="H172" s="86" t="str">
        <f>IFERROR(INDEX(EQA.Controllab_Dados!H$2:H$5000,MATCH(ROW()-4,EQA.Controllab_Dados!$S$2:$S$5000,0)),"")</f>
        <v/>
      </c>
      <c r="I172" s="87" t="str">
        <f>IFERROR(INDEX(EQA.Controllab_Dados!I$2:I$5000,MATCH(ROW()-4,EQA.Controllab_Dados!$S$2:$S$5000,0)),"")</f>
        <v/>
      </c>
      <c r="J172" s="85" t="str">
        <f>IFERROR(INDEX(EQA.Controllab_Dados!J$2:J$5000,MATCH(ROW()-4,EQA.Controllab_Dados!$S$2:$S$5000,0)),"")</f>
        <v/>
      </c>
      <c r="K172" s="85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81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85" t="str">
        <f>IFERROR(INDEX(EQA.Controllab_Dados!O$2:O$5000,MATCH(ROW()-4,EQA.Controllab_Dados!$S$2:$S$5000,0)),"")</f>
        <v/>
      </c>
      <c r="P172" s="85" t="str">
        <f>IFERROR(INDEX(EQA.Controllab_Dados!P$2:P$5000,MATCH(ROW()-4,EQA.Controllab_Dados!$S$2:$S$5000,0)),"")</f>
        <v/>
      </c>
      <c r="Q172" s="81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81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85" t="str">
        <f>IFERROR(INDEX(EQA.Controllab_Dados!F$2:F$5000,MATCH(ROW()-4,EQA.Controllab_Dados!$S$2:$S$5000,0)),"")</f>
        <v/>
      </c>
      <c r="G173" s="86" t="str">
        <f>IFERROR(INDEX(EQA.Controllab_Dados!G$2:G$5000,MATCH(ROW()-4,EQA.Controllab_Dados!$S$2:$S$5000,0)),"")</f>
        <v/>
      </c>
      <c r="H173" s="86" t="str">
        <f>IFERROR(INDEX(EQA.Controllab_Dados!H$2:H$5000,MATCH(ROW()-4,EQA.Controllab_Dados!$S$2:$S$5000,0)),"")</f>
        <v/>
      </c>
      <c r="I173" s="87" t="str">
        <f>IFERROR(INDEX(EQA.Controllab_Dados!I$2:I$5000,MATCH(ROW()-4,EQA.Controllab_Dados!$S$2:$S$5000,0)),"")</f>
        <v/>
      </c>
      <c r="J173" s="85" t="str">
        <f>IFERROR(INDEX(EQA.Controllab_Dados!J$2:J$5000,MATCH(ROW()-4,EQA.Controllab_Dados!$S$2:$S$5000,0)),"")</f>
        <v/>
      </c>
      <c r="K173" s="85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81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85" t="str">
        <f>IFERROR(INDEX(EQA.Controllab_Dados!O$2:O$5000,MATCH(ROW()-4,EQA.Controllab_Dados!$S$2:$S$5000,0)),"")</f>
        <v/>
      </c>
      <c r="P173" s="85" t="str">
        <f>IFERROR(INDEX(EQA.Controllab_Dados!P$2:P$5000,MATCH(ROW()-4,EQA.Controllab_Dados!$S$2:$S$5000,0)),"")</f>
        <v/>
      </c>
      <c r="Q173" s="81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81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85" t="str">
        <f>IFERROR(INDEX(EQA.Controllab_Dados!F$2:F$5000,MATCH(ROW()-4,EQA.Controllab_Dados!$S$2:$S$5000,0)),"")</f>
        <v/>
      </c>
      <c r="G174" s="86" t="str">
        <f>IFERROR(INDEX(EQA.Controllab_Dados!G$2:G$5000,MATCH(ROW()-4,EQA.Controllab_Dados!$S$2:$S$5000,0)),"")</f>
        <v/>
      </c>
      <c r="H174" s="86" t="str">
        <f>IFERROR(INDEX(EQA.Controllab_Dados!H$2:H$5000,MATCH(ROW()-4,EQA.Controllab_Dados!$S$2:$S$5000,0)),"")</f>
        <v/>
      </c>
      <c r="I174" s="87" t="str">
        <f>IFERROR(INDEX(EQA.Controllab_Dados!I$2:I$5000,MATCH(ROW()-4,EQA.Controllab_Dados!$S$2:$S$5000,0)),"")</f>
        <v/>
      </c>
      <c r="J174" s="85" t="str">
        <f>IFERROR(INDEX(EQA.Controllab_Dados!J$2:J$5000,MATCH(ROW()-4,EQA.Controllab_Dados!$S$2:$S$5000,0)),"")</f>
        <v/>
      </c>
      <c r="K174" s="85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81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85" t="str">
        <f>IFERROR(INDEX(EQA.Controllab_Dados!O$2:O$5000,MATCH(ROW()-4,EQA.Controllab_Dados!$S$2:$S$5000,0)),"")</f>
        <v/>
      </c>
      <c r="P174" s="85" t="str">
        <f>IFERROR(INDEX(EQA.Controllab_Dados!P$2:P$5000,MATCH(ROW()-4,EQA.Controllab_Dados!$S$2:$S$5000,0)),"")</f>
        <v/>
      </c>
      <c r="Q174" s="81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81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85" t="str">
        <f>IFERROR(INDEX(EQA.Controllab_Dados!F$2:F$5000,MATCH(ROW()-4,EQA.Controllab_Dados!$S$2:$S$5000,0)),"")</f>
        <v/>
      </c>
      <c r="G175" s="86" t="str">
        <f>IFERROR(INDEX(EQA.Controllab_Dados!G$2:G$5000,MATCH(ROW()-4,EQA.Controllab_Dados!$S$2:$S$5000,0)),"")</f>
        <v/>
      </c>
      <c r="H175" s="86" t="str">
        <f>IFERROR(INDEX(EQA.Controllab_Dados!H$2:H$5000,MATCH(ROW()-4,EQA.Controllab_Dados!$S$2:$S$5000,0)),"")</f>
        <v/>
      </c>
      <c r="I175" s="87" t="str">
        <f>IFERROR(INDEX(EQA.Controllab_Dados!I$2:I$5000,MATCH(ROW()-4,EQA.Controllab_Dados!$S$2:$S$5000,0)),"")</f>
        <v/>
      </c>
      <c r="J175" s="85" t="str">
        <f>IFERROR(INDEX(EQA.Controllab_Dados!J$2:J$5000,MATCH(ROW()-4,EQA.Controllab_Dados!$S$2:$S$5000,0)),"")</f>
        <v/>
      </c>
      <c r="K175" s="85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81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85" t="str">
        <f>IFERROR(INDEX(EQA.Controllab_Dados!O$2:O$5000,MATCH(ROW()-4,EQA.Controllab_Dados!$S$2:$S$5000,0)),"")</f>
        <v/>
      </c>
      <c r="P175" s="85" t="str">
        <f>IFERROR(INDEX(EQA.Controllab_Dados!P$2:P$5000,MATCH(ROW()-4,EQA.Controllab_Dados!$S$2:$S$5000,0)),"")</f>
        <v/>
      </c>
      <c r="Q175" s="81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81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85" t="str">
        <f>IFERROR(INDEX(EQA.Controllab_Dados!F$2:F$5000,MATCH(ROW()-4,EQA.Controllab_Dados!$S$2:$S$5000,0)),"")</f>
        <v/>
      </c>
      <c r="G176" s="86" t="str">
        <f>IFERROR(INDEX(EQA.Controllab_Dados!G$2:G$5000,MATCH(ROW()-4,EQA.Controllab_Dados!$S$2:$S$5000,0)),"")</f>
        <v/>
      </c>
      <c r="H176" s="86" t="str">
        <f>IFERROR(INDEX(EQA.Controllab_Dados!H$2:H$5000,MATCH(ROW()-4,EQA.Controllab_Dados!$S$2:$S$5000,0)),"")</f>
        <v/>
      </c>
      <c r="I176" s="87" t="str">
        <f>IFERROR(INDEX(EQA.Controllab_Dados!I$2:I$5000,MATCH(ROW()-4,EQA.Controllab_Dados!$S$2:$S$5000,0)),"")</f>
        <v/>
      </c>
      <c r="J176" s="85" t="str">
        <f>IFERROR(INDEX(EQA.Controllab_Dados!J$2:J$5000,MATCH(ROW()-4,EQA.Controllab_Dados!$S$2:$S$5000,0)),"")</f>
        <v/>
      </c>
      <c r="K176" s="85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81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85" t="str">
        <f>IFERROR(INDEX(EQA.Controllab_Dados!O$2:O$5000,MATCH(ROW()-4,EQA.Controllab_Dados!$S$2:$S$5000,0)),"")</f>
        <v/>
      </c>
      <c r="P176" s="85" t="str">
        <f>IFERROR(INDEX(EQA.Controllab_Dados!P$2:P$5000,MATCH(ROW()-4,EQA.Controllab_Dados!$S$2:$S$5000,0)),"")</f>
        <v/>
      </c>
      <c r="Q176" s="81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81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85" t="str">
        <f>IFERROR(INDEX(EQA.Controllab_Dados!F$2:F$5000,MATCH(ROW()-4,EQA.Controllab_Dados!$S$2:$S$5000,0)),"")</f>
        <v/>
      </c>
      <c r="G177" s="86" t="str">
        <f>IFERROR(INDEX(EQA.Controllab_Dados!G$2:G$5000,MATCH(ROW()-4,EQA.Controllab_Dados!$S$2:$S$5000,0)),"")</f>
        <v/>
      </c>
      <c r="H177" s="86" t="str">
        <f>IFERROR(INDEX(EQA.Controllab_Dados!H$2:H$5000,MATCH(ROW()-4,EQA.Controllab_Dados!$S$2:$S$5000,0)),"")</f>
        <v/>
      </c>
      <c r="I177" s="87" t="str">
        <f>IFERROR(INDEX(EQA.Controllab_Dados!I$2:I$5000,MATCH(ROW()-4,EQA.Controllab_Dados!$S$2:$S$5000,0)),"")</f>
        <v/>
      </c>
      <c r="J177" s="85" t="str">
        <f>IFERROR(INDEX(EQA.Controllab_Dados!J$2:J$5000,MATCH(ROW()-4,EQA.Controllab_Dados!$S$2:$S$5000,0)),"")</f>
        <v/>
      </c>
      <c r="K177" s="85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81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85" t="str">
        <f>IFERROR(INDEX(EQA.Controllab_Dados!O$2:O$5000,MATCH(ROW()-4,EQA.Controllab_Dados!$S$2:$S$5000,0)),"")</f>
        <v/>
      </c>
      <c r="P177" s="85" t="str">
        <f>IFERROR(INDEX(EQA.Controllab_Dados!P$2:P$5000,MATCH(ROW()-4,EQA.Controllab_Dados!$S$2:$S$5000,0)),"")</f>
        <v/>
      </c>
      <c r="Q177" s="81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81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85" t="str">
        <f>IFERROR(INDEX(EQA.Controllab_Dados!F$2:F$5000,MATCH(ROW()-4,EQA.Controllab_Dados!$S$2:$S$5000,0)),"")</f>
        <v/>
      </c>
      <c r="G178" s="86" t="str">
        <f>IFERROR(INDEX(EQA.Controllab_Dados!G$2:G$5000,MATCH(ROW()-4,EQA.Controllab_Dados!$S$2:$S$5000,0)),"")</f>
        <v/>
      </c>
      <c r="H178" s="86" t="str">
        <f>IFERROR(INDEX(EQA.Controllab_Dados!H$2:H$5000,MATCH(ROW()-4,EQA.Controllab_Dados!$S$2:$S$5000,0)),"")</f>
        <v/>
      </c>
      <c r="I178" s="87" t="str">
        <f>IFERROR(INDEX(EQA.Controllab_Dados!I$2:I$5000,MATCH(ROW()-4,EQA.Controllab_Dados!$S$2:$S$5000,0)),"")</f>
        <v/>
      </c>
      <c r="J178" s="85" t="str">
        <f>IFERROR(INDEX(EQA.Controllab_Dados!J$2:J$5000,MATCH(ROW()-4,EQA.Controllab_Dados!$S$2:$S$5000,0)),"")</f>
        <v/>
      </c>
      <c r="K178" s="85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81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85" t="str">
        <f>IFERROR(INDEX(EQA.Controllab_Dados!O$2:O$5000,MATCH(ROW()-4,EQA.Controllab_Dados!$S$2:$S$5000,0)),"")</f>
        <v/>
      </c>
      <c r="P178" s="85" t="str">
        <f>IFERROR(INDEX(EQA.Controllab_Dados!P$2:P$5000,MATCH(ROW()-4,EQA.Controllab_Dados!$S$2:$S$5000,0)),"")</f>
        <v/>
      </c>
      <c r="Q178" s="81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81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85" t="str">
        <f>IFERROR(INDEX(EQA.Controllab_Dados!F$2:F$5000,MATCH(ROW()-4,EQA.Controllab_Dados!$S$2:$S$5000,0)),"")</f>
        <v/>
      </c>
      <c r="G179" s="86" t="str">
        <f>IFERROR(INDEX(EQA.Controllab_Dados!G$2:G$5000,MATCH(ROW()-4,EQA.Controllab_Dados!$S$2:$S$5000,0)),"")</f>
        <v/>
      </c>
      <c r="H179" s="86" t="str">
        <f>IFERROR(INDEX(EQA.Controllab_Dados!H$2:H$5000,MATCH(ROW()-4,EQA.Controllab_Dados!$S$2:$S$5000,0)),"")</f>
        <v/>
      </c>
      <c r="I179" s="87" t="str">
        <f>IFERROR(INDEX(EQA.Controllab_Dados!I$2:I$5000,MATCH(ROW()-4,EQA.Controllab_Dados!$S$2:$S$5000,0)),"")</f>
        <v/>
      </c>
      <c r="J179" s="85" t="str">
        <f>IFERROR(INDEX(EQA.Controllab_Dados!J$2:J$5000,MATCH(ROW()-4,EQA.Controllab_Dados!$S$2:$S$5000,0)),"")</f>
        <v/>
      </c>
      <c r="K179" s="85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81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85" t="str">
        <f>IFERROR(INDEX(EQA.Controllab_Dados!O$2:O$5000,MATCH(ROW()-4,EQA.Controllab_Dados!$S$2:$S$5000,0)),"")</f>
        <v/>
      </c>
      <c r="P179" s="85" t="str">
        <f>IFERROR(INDEX(EQA.Controllab_Dados!P$2:P$5000,MATCH(ROW()-4,EQA.Controllab_Dados!$S$2:$S$5000,0)),"")</f>
        <v/>
      </c>
      <c r="Q179" s="81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81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85" t="str">
        <f>IFERROR(INDEX(EQA.Controllab_Dados!F$2:F$5000,MATCH(ROW()-4,EQA.Controllab_Dados!$S$2:$S$5000,0)),"")</f>
        <v/>
      </c>
      <c r="G180" s="86" t="str">
        <f>IFERROR(INDEX(EQA.Controllab_Dados!G$2:G$5000,MATCH(ROW()-4,EQA.Controllab_Dados!$S$2:$S$5000,0)),"")</f>
        <v/>
      </c>
      <c r="H180" s="86" t="str">
        <f>IFERROR(INDEX(EQA.Controllab_Dados!H$2:H$5000,MATCH(ROW()-4,EQA.Controllab_Dados!$S$2:$S$5000,0)),"")</f>
        <v/>
      </c>
      <c r="I180" s="87" t="str">
        <f>IFERROR(INDEX(EQA.Controllab_Dados!I$2:I$5000,MATCH(ROW()-4,EQA.Controllab_Dados!$S$2:$S$5000,0)),"")</f>
        <v/>
      </c>
      <c r="J180" s="85" t="str">
        <f>IFERROR(INDEX(EQA.Controllab_Dados!J$2:J$5000,MATCH(ROW()-4,EQA.Controllab_Dados!$S$2:$S$5000,0)),"")</f>
        <v/>
      </c>
      <c r="K180" s="85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81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85" t="str">
        <f>IFERROR(INDEX(EQA.Controllab_Dados!O$2:O$5000,MATCH(ROW()-4,EQA.Controllab_Dados!$S$2:$S$5000,0)),"")</f>
        <v/>
      </c>
      <c r="P180" s="85" t="str">
        <f>IFERROR(INDEX(EQA.Controllab_Dados!P$2:P$5000,MATCH(ROW()-4,EQA.Controllab_Dados!$S$2:$S$5000,0)),"")</f>
        <v/>
      </c>
      <c r="Q180" s="81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81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85" t="str">
        <f>IFERROR(INDEX(EQA.Controllab_Dados!F$2:F$5000,MATCH(ROW()-4,EQA.Controllab_Dados!$S$2:$S$5000,0)),"")</f>
        <v/>
      </c>
      <c r="G181" s="86" t="str">
        <f>IFERROR(INDEX(EQA.Controllab_Dados!G$2:G$5000,MATCH(ROW()-4,EQA.Controllab_Dados!$S$2:$S$5000,0)),"")</f>
        <v/>
      </c>
      <c r="H181" s="86" t="str">
        <f>IFERROR(INDEX(EQA.Controllab_Dados!H$2:H$5000,MATCH(ROW()-4,EQA.Controllab_Dados!$S$2:$S$5000,0)),"")</f>
        <v/>
      </c>
      <c r="I181" s="87" t="str">
        <f>IFERROR(INDEX(EQA.Controllab_Dados!I$2:I$5000,MATCH(ROW()-4,EQA.Controllab_Dados!$S$2:$S$5000,0)),"")</f>
        <v/>
      </c>
      <c r="J181" s="85" t="str">
        <f>IFERROR(INDEX(EQA.Controllab_Dados!J$2:J$5000,MATCH(ROW()-4,EQA.Controllab_Dados!$S$2:$S$5000,0)),"")</f>
        <v/>
      </c>
      <c r="K181" s="85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81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85" t="str">
        <f>IFERROR(INDEX(EQA.Controllab_Dados!O$2:O$5000,MATCH(ROW()-4,EQA.Controllab_Dados!$S$2:$S$5000,0)),"")</f>
        <v/>
      </c>
      <c r="P181" s="85" t="str">
        <f>IFERROR(INDEX(EQA.Controllab_Dados!P$2:P$5000,MATCH(ROW()-4,EQA.Controllab_Dados!$S$2:$S$5000,0)),"")</f>
        <v/>
      </c>
      <c r="Q181" s="81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81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85" t="str">
        <f>IFERROR(INDEX(EQA.Controllab_Dados!F$2:F$5000,MATCH(ROW()-4,EQA.Controllab_Dados!$S$2:$S$5000,0)),"")</f>
        <v/>
      </c>
      <c r="G182" s="86" t="str">
        <f>IFERROR(INDEX(EQA.Controllab_Dados!G$2:G$5000,MATCH(ROW()-4,EQA.Controllab_Dados!$S$2:$S$5000,0)),"")</f>
        <v/>
      </c>
      <c r="H182" s="86" t="str">
        <f>IFERROR(INDEX(EQA.Controllab_Dados!H$2:H$5000,MATCH(ROW()-4,EQA.Controllab_Dados!$S$2:$S$5000,0)),"")</f>
        <v/>
      </c>
      <c r="I182" s="87" t="str">
        <f>IFERROR(INDEX(EQA.Controllab_Dados!I$2:I$5000,MATCH(ROW()-4,EQA.Controllab_Dados!$S$2:$S$5000,0)),"")</f>
        <v/>
      </c>
      <c r="J182" s="85" t="str">
        <f>IFERROR(INDEX(EQA.Controllab_Dados!J$2:J$5000,MATCH(ROW()-4,EQA.Controllab_Dados!$S$2:$S$5000,0)),"")</f>
        <v/>
      </c>
      <c r="K182" s="85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81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85" t="str">
        <f>IFERROR(INDEX(EQA.Controllab_Dados!O$2:O$5000,MATCH(ROW()-4,EQA.Controllab_Dados!$S$2:$S$5000,0)),"")</f>
        <v/>
      </c>
      <c r="P182" s="85" t="str">
        <f>IFERROR(INDEX(EQA.Controllab_Dados!P$2:P$5000,MATCH(ROW()-4,EQA.Controllab_Dados!$S$2:$S$5000,0)),"")</f>
        <v/>
      </c>
      <c r="Q182" s="81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81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85" t="str">
        <f>IFERROR(INDEX(EQA.Controllab_Dados!F$2:F$5000,MATCH(ROW()-4,EQA.Controllab_Dados!$S$2:$S$5000,0)),"")</f>
        <v/>
      </c>
      <c r="G183" s="86" t="str">
        <f>IFERROR(INDEX(EQA.Controllab_Dados!G$2:G$5000,MATCH(ROW()-4,EQA.Controllab_Dados!$S$2:$S$5000,0)),"")</f>
        <v/>
      </c>
      <c r="H183" s="86" t="str">
        <f>IFERROR(INDEX(EQA.Controllab_Dados!H$2:H$5000,MATCH(ROW()-4,EQA.Controllab_Dados!$S$2:$S$5000,0)),"")</f>
        <v/>
      </c>
      <c r="I183" s="87" t="str">
        <f>IFERROR(INDEX(EQA.Controllab_Dados!I$2:I$5000,MATCH(ROW()-4,EQA.Controllab_Dados!$S$2:$S$5000,0)),"")</f>
        <v/>
      </c>
      <c r="J183" s="85" t="str">
        <f>IFERROR(INDEX(EQA.Controllab_Dados!J$2:J$5000,MATCH(ROW()-4,EQA.Controllab_Dados!$S$2:$S$5000,0)),"")</f>
        <v/>
      </c>
      <c r="K183" s="85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81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85" t="str">
        <f>IFERROR(INDEX(EQA.Controllab_Dados!O$2:O$5000,MATCH(ROW()-4,EQA.Controllab_Dados!$S$2:$S$5000,0)),"")</f>
        <v/>
      </c>
      <c r="P183" s="85" t="str">
        <f>IFERROR(INDEX(EQA.Controllab_Dados!P$2:P$5000,MATCH(ROW()-4,EQA.Controllab_Dados!$S$2:$S$5000,0)),"")</f>
        <v/>
      </c>
      <c r="Q183" s="81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81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85" t="str">
        <f>IFERROR(INDEX(EQA.Controllab_Dados!F$2:F$5000,MATCH(ROW()-4,EQA.Controllab_Dados!$S$2:$S$5000,0)),"")</f>
        <v/>
      </c>
      <c r="G184" s="86" t="str">
        <f>IFERROR(INDEX(EQA.Controllab_Dados!G$2:G$5000,MATCH(ROW()-4,EQA.Controllab_Dados!$S$2:$S$5000,0)),"")</f>
        <v/>
      </c>
      <c r="H184" s="86" t="str">
        <f>IFERROR(INDEX(EQA.Controllab_Dados!H$2:H$5000,MATCH(ROW()-4,EQA.Controllab_Dados!$S$2:$S$5000,0)),"")</f>
        <v/>
      </c>
      <c r="I184" s="87" t="str">
        <f>IFERROR(INDEX(EQA.Controllab_Dados!I$2:I$5000,MATCH(ROW()-4,EQA.Controllab_Dados!$S$2:$S$5000,0)),"")</f>
        <v/>
      </c>
      <c r="J184" s="85" t="str">
        <f>IFERROR(INDEX(EQA.Controllab_Dados!J$2:J$5000,MATCH(ROW()-4,EQA.Controllab_Dados!$S$2:$S$5000,0)),"")</f>
        <v/>
      </c>
      <c r="K184" s="85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81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85" t="str">
        <f>IFERROR(INDEX(EQA.Controllab_Dados!O$2:O$5000,MATCH(ROW()-4,EQA.Controllab_Dados!$S$2:$S$5000,0)),"")</f>
        <v/>
      </c>
      <c r="P184" s="85" t="str">
        <f>IFERROR(INDEX(EQA.Controllab_Dados!P$2:P$5000,MATCH(ROW()-4,EQA.Controllab_Dados!$S$2:$S$5000,0)),"")</f>
        <v/>
      </c>
      <c r="Q184" s="81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81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85" t="str">
        <f>IFERROR(INDEX(EQA.Controllab_Dados!F$2:F$5000,MATCH(ROW()-4,EQA.Controllab_Dados!$S$2:$S$5000,0)),"")</f>
        <v/>
      </c>
      <c r="G185" s="86" t="str">
        <f>IFERROR(INDEX(EQA.Controllab_Dados!G$2:G$5000,MATCH(ROW()-4,EQA.Controllab_Dados!$S$2:$S$5000,0)),"")</f>
        <v/>
      </c>
      <c r="H185" s="86" t="str">
        <f>IFERROR(INDEX(EQA.Controllab_Dados!H$2:H$5000,MATCH(ROW()-4,EQA.Controllab_Dados!$S$2:$S$5000,0)),"")</f>
        <v/>
      </c>
      <c r="I185" s="87" t="str">
        <f>IFERROR(INDEX(EQA.Controllab_Dados!I$2:I$5000,MATCH(ROW()-4,EQA.Controllab_Dados!$S$2:$S$5000,0)),"")</f>
        <v/>
      </c>
      <c r="J185" s="85" t="str">
        <f>IFERROR(INDEX(EQA.Controllab_Dados!J$2:J$5000,MATCH(ROW()-4,EQA.Controllab_Dados!$S$2:$S$5000,0)),"")</f>
        <v/>
      </c>
      <c r="K185" s="85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81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85" t="str">
        <f>IFERROR(INDEX(EQA.Controllab_Dados!O$2:O$5000,MATCH(ROW()-4,EQA.Controllab_Dados!$S$2:$S$5000,0)),"")</f>
        <v/>
      </c>
      <c r="P185" s="85" t="str">
        <f>IFERROR(INDEX(EQA.Controllab_Dados!P$2:P$5000,MATCH(ROW()-4,EQA.Controllab_Dados!$S$2:$S$5000,0)),"")</f>
        <v/>
      </c>
      <c r="Q185" s="81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81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85" t="str">
        <f>IFERROR(INDEX(EQA.Controllab_Dados!F$2:F$5000,MATCH(ROW()-4,EQA.Controllab_Dados!$S$2:$S$5000,0)),"")</f>
        <v/>
      </c>
      <c r="G186" s="86" t="str">
        <f>IFERROR(INDEX(EQA.Controllab_Dados!G$2:G$5000,MATCH(ROW()-4,EQA.Controllab_Dados!$S$2:$S$5000,0)),"")</f>
        <v/>
      </c>
      <c r="H186" s="86" t="str">
        <f>IFERROR(INDEX(EQA.Controllab_Dados!H$2:H$5000,MATCH(ROW()-4,EQA.Controllab_Dados!$S$2:$S$5000,0)),"")</f>
        <v/>
      </c>
      <c r="I186" s="87" t="str">
        <f>IFERROR(INDEX(EQA.Controllab_Dados!I$2:I$5000,MATCH(ROW()-4,EQA.Controllab_Dados!$S$2:$S$5000,0)),"")</f>
        <v/>
      </c>
      <c r="J186" s="85" t="str">
        <f>IFERROR(INDEX(EQA.Controllab_Dados!J$2:J$5000,MATCH(ROW()-4,EQA.Controllab_Dados!$S$2:$S$5000,0)),"")</f>
        <v/>
      </c>
      <c r="K186" s="85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81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85" t="str">
        <f>IFERROR(INDEX(EQA.Controllab_Dados!O$2:O$5000,MATCH(ROW()-4,EQA.Controllab_Dados!$S$2:$S$5000,0)),"")</f>
        <v/>
      </c>
      <c r="P186" s="85" t="str">
        <f>IFERROR(INDEX(EQA.Controllab_Dados!P$2:P$5000,MATCH(ROW()-4,EQA.Controllab_Dados!$S$2:$S$5000,0)),"")</f>
        <v/>
      </c>
      <c r="Q186" s="81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81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85" t="str">
        <f>IFERROR(INDEX(EQA.Controllab_Dados!F$2:F$5000,MATCH(ROW()-4,EQA.Controllab_Dados!$S$2:$S$5000,0)),"")</f>
        <v/>
      </c>
      <c r="G187" s="86" t="str">
        <f>IFERROR(INDEX(EQA.Controllab_Dados!G$2:G$5000,MATCH(ROW()-4,EQA.Controllab_Dados!$S$2:$S$5000,0)),"")</f>
        <v/>
      </c>
      <c r="H187" s="86" t="str">
        <f>IFERROR(INDEX(EQA.Controllab_Dados!H$2:H$5000,MATCH(ROW()-4,EQA.Controllab_Dados!$S$2:$S$5000,0)),"")</f>
        <v/>
      </c>
      <c r="I187" s="87" t="str">
        <f>IFERROR(INDEX(EQA.Controllab_Dados!I$2:I$5000,MATCH(ROW()-4,EQA.Controllab_Dados!$S$2:$S$5000,0)),"")</f>
        <v/>
      </c>
      <c r="J187" s="85" t="str">
        <f>IFERROR(INDEX(EQA.Controllab_Dados!J$2:J$5000,MATCH(ROW()-4,EQA.Controllab_Dados!$S$2:$S$5000,0)),"")</f>
        <v/>
      </c>
      <c r="K187" s="85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81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85" t="str">
        <f>IFERROR(INDEX(EQA.Controllab_Dados!O$2:O$5000,MATCH(ROW()-4,EQA.Controllab_Dados!$S$2:$S$5000,0)),"")</f>
        <v/>
      </c>
      <c r="P187" s="85" t="str">
        <f>IFERROR(INDEX(EQA.Controllab_Dados!P$2:P$5000,MATCH(ROW()-4,EQA.Controllab_Dados!$S$2:$S$5000,0)),"")</f>
        <v/>
      </c>
      <c r="Q187" s="81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81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85" t="str">
        <f>IFERROR(INDEX(EQA.Controllab_Dados!F$2:F$5000,MATCH(ROW()-4,EQA.Controllab_Dados!$S$2:$S$5000,0)),"")</f>
        <v/>
      </c>
      <c r="G188" s="86" t="str">
        <f>IFERROR(INDEX(EQA.Controllab_Dados!G$2:G$5000,MATCH(ROW()-4,EQA.Controllab_Dados!$S$2:$S$5000,0)),"")</f>
        <v/>
      </c>
      <c r="H188" s="86" t="str">
        <f>IFERROR(INDEX(EQA.Controllab_Dados!H$2:H$5000,MATCH(ROW()-4,EQA.Controllab_Dados!$S$2:$S$5000,0)),"")</f>
        <v/>
      </c>
      <c r="I188" s="87" t="str">
        <f>IFERROR(INDEX(EQA.Controllab_Dados!I$2:I$5000,MATCH(ROW()-4,EQA.Controllab_Dados!$S$2:$S$5000,0)),"")</f>
        <v/>
      </c>
      <c r="J188" s="85" t="str">
        <f>IFERROR(INDEX(EQA.Controllab_Dados!J$2:J$5000,MATCH(ROW()-4,EQA.Controllab_Dados!$S$2:$S$5000,0)),"")</f>
        <v/>
      </c>
      <c r="K188" s="85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81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85" t="str">
        <f>IFERROR(INDEX(EQA.Controllab_Dados!O$2:O$5000,MATCH(ROW()-4,EQA.Controllab_Dados!$S$2:$S$5000,0)),"")</f>
        <v/>
      </c>
      <c r="P188" s="85" t="str">
        <f>IFERROR(INDEX(EQA.Controllab_Dados!P$2:P$5000,MATCH(ROW()-4,EQA.Controllab_Dados!$S$2:$S$5000,0)),"")</f>
        <v/>
      </c>
      <c r="Q188" s="81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81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85" t="str">
        <f>IFERROR(INDEX(EQA.Controllab_Dados!F$2:F$5000,MATCH(ROW()-4,EQA.Controllab_Dados!$S$2:$S$5000,0)),"")</f>
        <v/>
      </c>
      <c r="G189" s="86" t="str">
        <f>IFERROR(INDEX(EQA.Controllab_Dados!G$2:G$5000,MATCH(ROW()-4,EQA.Controllab_Dados!$S$2:$S$5000,0)),"")</f>
        <v/>
      </c>
      <c r="H189" s="86" t="str">
        <f>IFERROR(INDEX(EQA.Controllab_Dados!H$2:H$5000,MATCH(ROW()-4,EQA.Controllab_Dados!$S$2:$S$5000,0)),"")</f>
        <v/>
      </c>
      <c r="I189" s="87" t="str">
        <f>IFERROR(INDEX(EQA.Controllab_Dados!I$2:I$5000,MATCH(ROW()-4,EQA.Controllab_Dados!$S$2:$S$5000,0)),"")</f>
        <v/>
      </c>
      <c r="J189" s="85" t="str">
        <f>IFERROR(INDEX(EQA.Controllab_Dados!J$2:J$5000,MATCH(ROW()-4,EQA.Controllab_Dados!$S$2:$S$5000,0)),"")</f>
        <v/>
      </c>
      <c r="K189" s="85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81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85" t="str">
        <f>IFERROR(INDEX(EQA.Controllab_Dados!O$2:O$5000,MATCH(ROW()-4,EQA.Controllab_Dados!$S$2:$S$5000,0)),"")</f>
        <v/>
      </c>
      <c r="P189" s="85" t="str">
        <f>IFERROR(INDEX(EQA.Controllab_Dados!P$2:P$5000,MATCH(ROW()-4,EQA.Controllab_Dados!$S$2:$S$5000,0)),"")</f>
        <v/>
      </c>
      <c r="Q189" s="81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81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85" t="str">
        <f>IFERROR(INDEX(EQA.Controllab_Dados!F$2:F$5000,MATCH(ROW()-4,EQA.Controllab_Dados!$S$2:$S$5000,0)),"")</f>
        <v/>
      </c>
      <c r="G190" s="86" t="str">
        <f>IFERROR(INDEX(EQA.Controllab_Dados!G$2:G$5000,MATCH(ROW()-4,EQA.Controllab_Dados!$S$2:$S$5000,0)),"")</f>
        <v/>
      </c>
      <c r="H190" s="86" t="str">
        <f>IFERROR(INDEX(EQA.Controllab_Dados!H$2:H$5000,MATCH(ROW()-4,EQA.Controllab_Dados!$S$2:$S$5000,0)),"")</f>
        <v/>
      </c>
      <c r="I190" s="87" t="str">
        <f>IFERROR(INDEX(EQA.Controllab_Dados!I$2:I$5000,MATCH(ROW()-4,EQA.Controllab_Dados!$S$2:$S$5000,0)),"")</f>
        <v/>
      </c>
      <c r="J190" s="85" t="str">
        <f>IFERROR(INDEX(EQA.Controllab_Dados!J$2:J$5000,MATCH(ROW()-4,EQA.Controllab_Dados!$S$2:$S$5000,0)),"")</f>
        <v/>
      </c>
      <c r="K190" s="85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81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85" t="str">
        <f>IFERROR(INDEX(EQA.Controllab_Dados!O$2:O$5000,MATCH(ROW()-4,EQA.Controllab_Dados!$S$2:$S$5000,0)),"")</f>
        <v/>
      </c>
      <c r="P190" s="85" t="str">
        <f>IFERROR(INDEX(EQA.Controllab_Dados!P$2:P$5000,MATCH(ROW()-4,EQA.Controllab_Dados!$S$2:$S$5000,0)),"")</f>
        <v/>
      </c>
      <c r="Q190" s="81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81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85" t="str">
        <f>IFERROR(INDEX(EQA.Controllab_Dados!F$2:F$5000,MATCH(ROW()-4,EQA.Controllab_Dados!$S$2:$S$5000,0)),"")</f>
        <v/>
      </c>
      <c r="G191" s="86" t="str">
        <f>IFERROR(INDEX(EQA.Controllab_Dados!G$2:G$5000,MATCH(ROW()-4,EQA.Controllab_Dados!$S$2:$S$5000,0)),"")</f>
        <v/>
      </c>
      <c r="H191" s="86" t="str">
        <f>IFERROR(INDEX(EQA.Controllab_Dados!H$2:H$5000,MATCH(ROW()-4,EQA.Controllab_Dados!$S$2:$S$5000,0)),"")</f>
        <v/>
      </c>
      <c r="I191" s="87" t="str">
        <f>IFERROR(INDEX(EQA.Controllab_Dados!I$2:I$5000,MATCH(ROW()-4,EQA.Controllab_Dados!$S$2:$S$5000,0)),"")</f>
        <v/>
      </c>
      <c r="J191" s="85" t="str">
        <f>IFERROR(INDEX(EQA.Controllab_Dados!J$2:J$5000,MATCH(ROW()-4,EQA.Controllab_Dados!$S$2:$S$5000,0)),"")</f>
        <v/>
      </c>
      <c r="K191" s="85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81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85" t="str">
        <f>IFERROR(INDEX(EQA.Controllab_Dados!O$2:O$5000,MATCH(ROW()-4,EQA.Controllab_Dados!$S$2:$S$5000,0)),"")</f>
        <v/>
      </c>
      <c r="P191" s="85" t="str">
        <f>IFERROR(INDEX(EQA.Controllab_Dados!P$2:P$5000,MATCH(ROW()-4,EQA.Controllab_Dados!$S$2:$S$5000,0)),"")</f>
        <v/>
      </c>
      <c r="Q191" s="81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81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85" t="str">
        <f>IFERROR(INDEX(EQA.Controllab_Dados!F$2:F$5000,MATCH(ROW()-4,EQA.Controllab_Dados!$S$2:$S$5000,0)),"")</f>
        <v/>
      </c>
      <c r="G192" s="86" t="str">
        <f>IFERROR(INDEX(EQA.Controllab_Dados!G$2:G$5000,MATCH(ROW()-4,EQA.Controllab_Dados!$S$2:$S$5000,0)),"")</f>
        <v/>
      </c>
      <c r="H192" s="86" t="str">
        <f>IFERROR(INDEX(EQA.Controllab_Dados!H$2:H$5000,MATCH(ROW()-4,EQA.Controllab_Dados!$S$2:$S$5000,0)),"")</f>
        <v/>
      </c>
      <c r="I192" s="87" t="str">
        <f>IFERROR(INDEX(EQA.Controllab_Dados!I$2:I$5000,MATCH(ROW()-4,EQA.Controllab_Dados!$S$2:$S$5000,0)),"")</f>
        <v/>
      </c>
      <c r="J192" s="85" t="str">
        <f>IFERROR(INDEX(EQA.Controllab_Dados!J$2:J$5000,MATCH(ROW()-4,EQA.Controllab_Dados!$S$2:$S$5000,0)),"")</f>
        <v/>
      </c>
      <c r="K192" s="85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81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85" t="str">
        <f>IFERROR(INDEX(EQA.Controllab_Dados!O$2:O$5000,MATCH(ROW()-4,EQA.Controllab_Dados!$S$2:$S$5000,0)),"")</f>
        <v/>
      </c>
      <c r="P192" s="85" t="str">
        <f>IFERROR(INDEX(EQA.Controllab_Dados!P$2:P$5000,MATCH(ROW()-4,EQA.Controllab_Dados!$S$2:$S$5000,0)),"")</f>
        <v/>
      </c>
      <c r="Q192" s="81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81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85" t="str">
        <f>IFERROR(INDEX(EQA.Controllab_Dados!F$2:F$5000,MATCH(ROW()-4,EQA.Controllab_Dados!$S$2:$S$5000,0)),"")</f>
        <v/>
      </c>
      <c r="G193" s="86" t="str">
        <f>IFERROR(INDEX(EQA.Controllab_Dados!G$2:G$5000,MATCH(ROW()-4,EQA.Controllab_Dados!$S$2:$S$5000,0)),"")</f>
        <v/>
      </c>
      <c r="H193" s="86" t="str">
        <f>IFERROR(INDEX(EQA.Controllab_Dados!H$2:H$5000,MATCH(ROW()-4,EQA.Controllab_Dados!$S$2:$S$5000,0)),"")</f>
        <v/>
      </c>
      <c r="I193" s="87" t="str">
        <f>IFERROR(INDEX(EQA.Controllab_Dados!I$2:I$5000,MATCH(ROW()-4,EQA.Controllab_Dados!$S$2:$S$5000,0)),"")</f>
        <v/>
      </c>
      <c r="J193" s="85" t="str">
        <f>IFERROR(INDEX(EQA.Controllab_Dados!J$2:J$5000,MATCH(ROW()-4,EQA.Controllab_Dados!$S$2:$S$5000,0)),"")</f>
        <v/>
      </c>
      <c r="K193" s="85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81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85" t="str">
        <f>IFERROR(INDEX(EQA.Controllab_Dados!O$2:O$5000,MATCH(ROW()-4,EQA.Controllab_Dados!$S$2:$S$5000,0)),"")</f>
        <v/>
      </c>
      <c r="P193" s="85" t="str">
        <f>IFERROR(INDEX(EQA.Controllab_Dados!P$2:P$5000,MATCH(ROW()-4,EQA.Controllab_Dados!$S$2:$S$5000,0)),"")</f>
        <v/>
      </c>
      <c r="Q193" s="81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81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85" t="str">
        <f>IFERROR(INDEX(EQA.Controllab_Dados!F$2:F$5000,MATCH(ROW()-4,EQA.Controllab_Dados!$S$2:$S$5000,0)),"")</f>
        <v/>
      </c>
      <c r="G194" s="86" t="str">
        <f>IFERROR(INDEX(EQA.Controllab_Dados!G$2:G$5000,MATCH(ROW()-4,EQA.Controllab_Dados!$S$2:$S$5000,0)),"")</f>
        <v/>
      </c>
      <c r="H194" s="86" t="str">
        <f>IFERROR(INDEX(EQA.Controllab_Dados!H$2:H$5000,MATCH(ROW()-4,EQA.Controllab_Dados!$S$2:$S$5000,0)),"")</f>
        <v/>
      </c>
      <c r="I194" s="87" t="str">
        <f>IFERROR(INDEX(EQA.Controllab_Dados!I$2:I$5000,MATCH(ROW()-4,EQA.Controllab_Dados!$S$2:$S$5000,0)),"")</f>
        <v/>
      </c>
      <c r="J194" s="85" t="str">
        <f>IFERROR(INDEX(EQA.Controllab_Dados!J$2:J$5000,MATCH(ROW()-4,EQA.Controllab_Dados!$S$2:$S$5000,0)),"")</f>
        <v/>
      </c>
      <c r="K194" s="85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81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85" t="str">
        <f>IFERROR(INDEX(EQA.Controllab_Dados!O$2:O$5000,MATCH(ROW()-4,EQA.Controllab_Dados!$S$2:$S$5000,0)),"")</f>
        <v/>
      </c>
      <c r="P194" s="85" t="str">
        <f>IFERROR(INDEX(EQA.Controllab_Dados!P$2:P$5000,MATCH(ROW()-4,EQA.Controllab_Dados!$S$2:$S$5000,0)),"")</f>
        <v/>
      </c>
      <c r="Q194" s="81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81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85" t="str">
        <f>IFERROR(INDEX(EQA.Controllab_Dados!F$2:F$5000,MATCH(ROW()-4,EQA.Controllab_Dados!$S$2:$S$5000,0)),"")</f>
        <v/>
      </c>
      <c r="G195" s="86" t="str">
        <f>IFERROR(INDEX(EQA.Controllab_Dados!G$2:G$5000,MATCH(ROW()-4,EQA.Controllab_Dados!$S$2:$S$5000,0)),"")</f>
        <v/>
      </c>
      <c r="H195" s="86" t="str">
        <f>IFERROR(INDEX(EQA.Controllab_Dados!H$2:H$5000,MATCH(ROW()-4,EQA.Controllab_Dados!$S$2:$S$5000,0)),"")</f>
        <v/>
      </c>
      <c r="I195" s="87" t="str">
        <f>IFERROR(INDEX(EQA.Controllab_Dados!I$2:I$5000,MATCH(ROW()-4,EQA.Controllab_Dados!$S$2:$S$5000,0)),"")</f>
        <v/>
      </c>
      <c r="J195" s="85" t="str">
        <f>IFERROR(INDEX(EQA.Controllab_Dados!J$2:J$5000,MATCH(ROW()-4,EQA.Controllab_Dados!$S$2:$S$5000,0)),"")</f>
        <v/>
      </c>
      <c r="K195" s="85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81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85" t="str">
        <f>IFERROR(INDEX(EQA.Controllab_Dados!O$2:O$5000,MATCH(ROW()-4,EQA.Controllab_Dados!$S$2:$S$5000,0)),"")</f>
        <v/>
      </c>
      <c r="P195" s="85" t="str">
        <f>IFERROR(INDEX(EQA.Controllab_Dados!P$2:P$5000,MATCH(ROW()-4,EQA.Controllab_Dados!$S$2:$S$5000,0)),"")</f>
        <v/>
      </c>
      <c r="Q195" s="81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81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85" t="str">
        <f>IFERROR(INDEX(EQA.Controllab_Dados!F$2:F$5000,MATCH(ROW()-4,EQA.Controllab_Dados!$S$2:$S$5000,0)),"")</f>
        <v/>
      </c>
      <c r="G196" s="86" t="str">
        <f>IFERROR(INDEX(EQA.Controllab_Dados!G$2:G$5000,MATCH(ROW()-4,EQA.Controllab_Dados!$S$2:$S$5000,0)),"")</f>
        <v/>
      </c>
      <c r="H196" s="86" t="str">
        <f>IFERROR(INDEX(EQA.Controllab_Dados!H$2:H$5000,MATCH(ROW()-4,EQA.Controllab_Dados!$S$2:$S$5000,0)),"")</f>
        <v/>
      </c>
      <c r="I196" s="87" t="str">
        <f>IFERROR(INDEX(EQA.Controllab_Dados!I$2:I$5000,MATCH(ROW()-4,EQA.Controllab_Dados!$S$2:$S$5000,0)),"")</f>
        <v/>
      </c>
      <c r="J196" s="85" t="str">
        <f>IFERROR(INDEX(EQA.Controllab_Dados!J$2:J$5000,MATCH(ROW()-4,EQA.Controllab_Dados!$S$2:$S$5000,0)),"")</f>
        <v/>
      </c>
      <c r="K196" s="85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81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85" t="str">
        <f>IFERROR(INDEX(EQA.Controllab_Dados!O$2:O$5000,MATCH(ROW()-4,EQA.Controllab_Dados!$S$2:$S$5000,0)),"")</f>
        <v/>
      </c>
      <c r="P196" s="85" t="str">
        <f>IFERROR(INDEX(EQA.Controllab_Dados!P$2:P$5000,MATCH(ROW()-4,EQA.Controllab_Dados!$S$2:$S$5000,0)),"")</f>
        <v/>
      </c>
      <c r="Q196" s="81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81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85" t="str">
        <f>IFERROR(INDEX(EQA.Controllab_Dados!F$2:F$5000,MATCH(ROW()-4,EQA.Controllab_Dados!$S$2:$S$5000,0)),"")</f>
        <v/>
      </c>
      <c r="G197" s="86" t="str">
        <f>IFERROR(INDEX(EQA.Controllab_Dados!G$2:G$5000,MATCH(ROW()-4,EQA.Controllab_Dados!$S$2:$S$5000,0)),"")</f>
        <v/>
      </c>
      <c r="H197" s="86" t="str">
        <f>IFERROR(INDEX(EQA.Controllab_Dados!H$2:H$5000,MATCH(ROW()-4,EQA.Controllab_Dados!$S$2:$S$5000,0)),"")</f>
        <v/>
      </c>
      <c r="I197" s="87" t="str">
        <f>IFERROR(INDEX(EQA.Controllab_Dados!I$2:I$5000,MATCH(ROW()-4,EQA.Controllab_Dados!$S$2:$S$5000,0)),"")</f>
        <v/>
      </c>
      <c r="J197" s="85" t="str">
        <f>IFERROR(INDEX(EQA.Controllab_Dados!J$2:J$5000,MATCH(ROW()-4,EQA.Controllab_Dados!$S$2:$S$5000,0)),"")</f>
        <v/>
      </c>
      <c r="K197" s="85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81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85" t="str">
        <f>IFERROR(INDEX(EQA.Controllab_Dados!O$2:O$5000,MATCH(ROW()-4,EQA.Controllab_Dados!$S$2:$S$5000,0)),"")</f>
        <v/>
      </c>
      <c r="P197" s="85" t="str">
        <f>IFERROR(INDEX(EQA.Controllab_Dados!P$2:P$5000,MATCH(ROW()-4,EQA.Controllab_Dados!$S$2:$S$5000,0)),"")</f>
        <v/>
      </c>
      <c r="Q197" s="81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81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85" t="str">
        <f>IFERROR(INDEX(EQA.Controllab_Dados!F$2:F$5000,MATCH(ROW()-4,EQA.Controllab_Dados!$S$2:$S$5000,0)),"")</f>
        <v/>
      </c>
      <c r="G198" s="86" t="str">
        <f>IFERROR(INDEX(EQA.Controllab_Dados!G$2:G$5000,MATCH(ROW()-4,EQA.Controllab_Dados!$S$2:$S$5000,0)),"")</f>
        <v/>
      </c>
      <c r="H198" s="86" t="str">
        <f>IFERROR(INDEX(EQA.Controllab_Dados!H$2:H$5000,MATCH(ROW()-4,EQA.Controllab_Dados!$S$2:$S$5000,0)),"")</f>
        <v/>
      </c>
      <c r="I198" s="87" t="str">
        <f>IFERROR(INDEX(EQA.Controllab_Dados!I$2:I$5000,MATCH(ROW()-4,EQA.Controllab_Dados!$S$2:$S$5000,0)),"")</f>
        <v/>
      </c>
      <c r="J198" s="85" t="str">
        <f>IFERROR(INDEX(EQA.Controllab_Dados!J$2:J$5000,MATCH(ROW()-4,EQA.Controllab_Dados!$S$2:$S$5000,0)),"")</f>
        <v/>
      </c>
      <c r="K198" s="85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81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85" t="str">
        <f>IFERROR(INDEX(EQA.Controllab_Dados!O$2:O$5000,MATCH(ROW()-4,EQA.Controllab_Dados!$S$2:$S$5000,0)),"")</f>
        <v/>
      </c>
      <c r="P198" s="85" t="str">
        <f>IFERROR(INDEX(EQA.Controllab_Dados!P$2:P$5000,MATCH(ROW()-4,EQA.Controllab_Dados!$S$2:$S$5000,0)),"")</f>
        <v/>
      </c>
      <c r="Q198" s="81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81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85" t="str">
        <f>IFERROR(INDEX(EQA.Controllab_Dados!F$2:F$5000,MATCH(ROW()-4,EQA.Controllab_Dados!$S$2:$S$5000,0)),"")</f>
        <v/>
      </c>
      <c r="G199" s="86" t="str">
        <f>IFERROR(INDEX(EQA.Controllab_Dados!G$2:G$5000,MATCH(ROW()-4,EQA.Controllab_Dados!$S$2:$S$5000,0)),"")</f>
        <v/>
      </c>
      <c r="H199" s="86" t="str">
        <f>IFERROR(INDEX(EQA.Controllab_Dados!H$2:H$5000,MATCH(ROW()-4,EQA.Controllab_Dados!$S$2:$S$5000,0)),"")</f>
        <v/>
      </c>
      <c r="I199" s="87" t="str">
        <f>IFERROR(INDEX(EQA.Controllab_Dados!I$2:I$5000,MATCH(ROW()-4,EQA.Controllab_Dados!$S$2:$S$5000,0)),"")</f>
        <v/>
      </c>
      <c r="J199" s="85" t="str">
        <f>IFERROR(INDEX(EQA.Controllab_Dados!J$2:J$5000,MATCH(ROW()-4,EQA.Controllab_Dados!$S$2:$S$5000,0)),"")</f>
        <v/>
      </c>
      <c r="K199" s="85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81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85" t="str">
        <f>IFERROR(INDEX(EQA.Controllab_Dados!O$2:O$5000,MATCH(ROW()-4,EQA.Controllab_Dados!$S$2:$S$5000,0)),"")</f>
        <v/>
      </c>
      <c r="P199" s="85" t="str">
        <f>IFERROR(INDEX(EQA.Controllab_Dados!P$2:P$5000,MATCH(ROW()-4,EQA.Controllab_Dados!$S$2:$S$5000,0)),"")</f>
        <v/>
      </c>
      <c r="Q199" s="81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81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85" t="str">
        <f>IFERROR(INDEX(EQA.Controllab_Dados!F$2:F$5000,MATCH(ROW()-4,EQA.Controllab_Dados!$S$2:$S$5000,0)),"")</f>
        <v/>
      </c>
      <c r="G200" s="86" t="str">
        <f>IFERROR(INDEX(EQA.Controllab_Dados!G$2:G$5000,MATCH(ROW()-4,EQA.Controllab_Dados!$S$2:$S$5000,0)),"")</f>
        <v/>
      </c>
      <c r="H200" s="86" t="str">
        <f>IFERROR(INDEX(EQA.Controllab_Dados!H$2:H$5000,MATCH(ROW()-4,EQA.Controllab_Dados!$S$2:$S$5000,0)),"")</f>
        <v/>
      </c>
      <c r="I200" s="87" t="str">
        <f>IFERROR(INDEX(EQA.Controllab_Dados!I$2:I$5000,MATCH(ROW()-4,EQA.Controllab_Dados!$S$2:$S$5000,0)),"")</f>
        <v/>
      </c>
      <c r="J200" s="85" t="str">
        <f>IFERROR(INDEX(EQA.Controllab_Dados!J$2:J$5000,MATCH(ROW()-4,EQA.Controllab_Dados!$S$2:$S$5000,0)),"")</f>
        <v/>
      </c>
      <c r="K200" s="85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81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85" t="str">
        <f>IFERROR(INDEX(EQA.Controllab_Dados!O$2:O$5000,MATCH(ROW()-4,EQA.Controllab_Dados!$S$2:$S$5000,0)),"")</f>
        <v/>
      </c>
      <c r="P200" s="85" t="str">
        <f>IFERROR(INDEX(EQA.Controllab_Dados!P$2:P$5000,MATCH(ROW()-4,EQA.Controllab_Dados!$S$2:$S$5000,0)),"")</f>
        <v/>
      </c>
      <c r="Q200" s="81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81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85" t="str">
        <f>IFERROR(INDEX(EQA.Controllab_Dados!F$2:F$5000,MATCH(ROW()-4,EQA.Controllab_Dados!$S$2:$S$5000,0)),"")</f>
        <v/>
      </c>
      <c r="G201" s="86" t="str">
        <f>IFERROR(INDEX(EQA.Controllab_Dados!G$2:G$5000,MATCH(ROW()-4,EQA.Controllab_Dados!$S$2:$S$5000,0)),"")</f>
        <v/>
      </c>
      <c r="H201" s="86" t="str">
        <f>IFERROR(INDEX(EQA.Controllab_Dados!H$2:H$5000,MATCH(ROW()-4,EQA.Controllab_Dados!$S$2:$S$5000,0)),"")</f>
        <v/>
      </c>
      <c r="I201" s="87" t="str">
        <f>IFERROR(INDEX(EQA.Controllab_Dados!I$2:I$5000,MATCH(ROW()-4,EQA.Controllab_Dados!$S$2:$S$5000,0)),"")</f>
        <v/>
      </c>
      <c r="J201" s="85" t="str">
        <f>IFERROR(INDEX(EQA.Controllab_Dados!J$2:J$5000,MATCH(ROW()-4,EQA.Controllab_Dados!$S$2:$S$5000,0)),"")</f>
        <v/>
      </c>
      <c r="K201" s="85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81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85" t="str">
        <f>IFERROR(INDEX(EQA.Controllab_Dados!O$2:O$5000,MATCH(ROW()-4,EQA.Controllab_Dados!$S$2:$S$5000,0)),"")</f>
        <v/>
      </c>
      <c r="P201" s="85" t="str">
        <f>IFERROR(INDEX(EQA.Controllab_Dados!P$2:P$5000,MATCH(ROW()-4,EQA.Controllab_Dados!$S$2:$S$5000,0)),"")</f>
        <v/>
      </c>
      <c r="Q201" s="81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81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85" t="str">
        <f>IFERROR(INDEX(EQA.Controllab_Dados!F$2:F$5000,MATCH(ROW()-4,EQA.Controllab_Dados!$S$2:$S$5000,0)),"")</f>
        <v/>
      </c>
      <c r="G202" s="86" t="str">
        <f>IFERROR(INDEX(EQA.Controllab_Dados!G$2:G$5000,MATCH(ROW()-4,EQA.Controllab_Dados!$S$2:$S$5000,0)),"")</f>
        <v/>
      </c>
      <c r="H202" s="86" t="str">
        <f>IFERROR(INDEX(EQA.Controllab_Dados!H$2:H$5000,MATCH(ROW()-4,EQA.Controllab_Dados!$S$2:$S$5000,0)),"")</f>
        <v/>
      </c>
      <c r="I202" s="87" t="str">
        <f>IFERROR(INDEX(EQA.Controllab_Dados!I$2:I$5000,MATCH(ROW()-4,EQA.Controllab_Dados!$S$2:$S$5000,0)),"")</f>
        <v/>
      </c>
      <c r="J202" s="85" t="str">
        <f>IFERROR(INDEX(EQA.Controllab_Dados!J$2:J$5000,MATCH(ROW()-4,EQA.Controllab_Dados!$S$2:$S$5000,0)),"")</f>
        <v/>
      </c>
      <c r="K202" s="85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81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85" t="str">
        <f>IFERROR(INDEX(EQA.Controllab_Dados!O$2:O$5000,MATCH(ROW()-4,EQA.Controllab_Dados!$S$2:$S$5000,0)),"")</f>
        <v/>
      </c>
      <c r="P202" s="85" t="str">
        <f>IFERROR(INDEX(EQA.Controllab_Dados!P$2:P$5000,MATCH(ROW()-4,EQA.Controllab_Dados!$S$2:$S$5000,0)),"")</f>
        <v/>
      </c>
      <c r="Q202" s="81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81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85" t="str">
        <f>IFERROR(INDEX(EQA.Controllab_Dados!F$2:F$5000,MATCH(ROW()-4,EQA.Controllab_Dados!$S$2:$S$5000,0)),"")</f>
        <v/>
      </c>
      <c r="G203" s="86" t="str">
        <f>IFERROR(INDEX(EQA.Controllab_Dados!G$2:G$5000,MATCH(ROW()-4,EQA.Controllab_Dados!$S$2:$S$5000,0)),"")</f>
        <v/>
      </c>
      <c r="H203" s="86" t="str">
        <f>IFERROR(INDEX(EQA.Controllab_Dados!H$2:H$5000,MATCH(ROW()-4,EQA.Controllab_Dados!$S$2:$S$5000,0)),"")</f>
        <v/>
      </c>
      <c r="I203" s="87" t="str">
        <f>IFERROR(INDEX(EQA.Controllab_Dados!I$2:I$5000,MATCH(ROW()-4,EQA.Controllab_Dados!$S$2:$S$5000,0)),"")</f>
        <v/>
      </c>
      <c r="J203" s="85" t="str">
        <f>IFERROR(INDEX(EQA.Controllab_Dados!J$2:J$5000,MATCH(ROW()-4,EQA.Controllab_Dados!$S$2:$S$5000,0)),"")</f>
        <v/>
      </c>
      <c r="K203" s="85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81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85" t="str">
        <f>IFERROR(INDEX(EQA.Controllab_Dados!O$2:O$5000,MATCH(ROW()-4,EQA.Controllab_Dados!$S$2:$S$5000,0)),"")</f>
        <v/>
      </c>
      <c r="P203" s="85" t="str">
        <f>IFERROR(INDEX(EQA.Controllab_Dados!P$2:P$5000,MATCH(ROW()-4,EQA.Controllab_Dados!$S$2:$S$5000,0)),"")</f>
        <v/>
      </c>
      <c r="Q203" s="81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81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85" t="str">
        <f>IFERROR(INDEX(EQA.Controllab_Dados!F$2:F$5000,MATCH(ROW()-4,EQA.Controllab_Dados!$S$2:$S$5000,0)),"")</f>
        <v/>
      </c>
      <c r="G204" s="86" t="str">
        <f>IFERROR(INDEX(EQA.Controllab_Dados!G$2:G$5000,MATCH(ROW()-4,EQA.Controllab_Dados!$S$2:$S$5000,0)),"")</f>
        <v/>
      </c>
      <c r="H204" s="86" t="str">
        <f>IFERROR(INDEX(EQA.Controllab_Dados!H$2:H$5000,MATCH(ROW()-4,EQA.Controllab_Dados!$S$2:$S$5000,0)),"")</f>
        <v/>
      </c>
      <c r="I204" s="87" t="str">
        <f>IFERROR(INDEX(EQA.Controllab_Dados!I$2:I$5000,MATCH(ROW()-4,EQA.Controllab_Dados!$S$2:$S$5000,0)),"")</f>
        <v/>
      </c>
      <c r="J204" s="85" t="str">
        <f>IFERROR(INDEX(EQA.Controllab_Dados!J$2:J$5000,MATCH(ROW()-4,EQA.Controllab_Dados!$S$2:$S$5000,0)),"")</f>
        <v/>
      </c>
      <c r="K204" s="85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81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85" t="str">
        <f>IFERROR(INDEX(EQA.Controllab_Dados!O$2:O$5000,MATCH(ROW()-4,EQA.Controllab_Dados!$S$2:$S$5000,0)),"")</f>
        <v/>
      </c>
      <c r="P204" s="85" t="str">
        <f>IFERROR(INDEX(EQA.Controllab_Dados!P$2:P$5000,MATCH(ROW()-4,EQA.Controllab_Dados!$S$2:$S$5000,0)),"")</f>
        <v/>
      </c>
      <c r="Q204" s="81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</sheetData>
  <sheetProtection algorithmName="SHA-512" hashValue="9D9QrrNtJRQw2UuaCsPxNrxU2mvc9YNWae3IKBgSzYIzaWvLmMzdtow0Hn0Ym7xJ9wS4bSwMlxlbmFsmM8FNWw==" saltValue="8eHHQioMbV6okvE5Xvdop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874B-AB35-4537-8657-CA35E36AD99F}">
  <sheetPr codeName="Planilha25">
    <tabColor rgb="FF707070"/>
  </sheetPr>
  <dimension ref="A1:Z5001"/>
  <sheetViews>
    <sheetView workbookViewId="0"/>
  </sheetViews>
  <sheetFormatPr defaultRowHeight="14.4" x14ac:dyDescent="0.3"/>
  <cols>
    <col min="1" max="3" width="16.6640625" customWidth="1"/>
    <col min="4" max="5" width="27.6640625" customWidth="1"/>
    <col min="6" max="18" width="16.6640625" customWidth="1"/>
    <col min="19" max="19" width="42.6640625" customWidth="1"/>
    <col min="20" max="20" width="16.6640625" customWidth="1"/>
    <col min="21" max="21" width="46.6640625" customWidth="1"/>
    <col min="23" max="25" width="28.6640625" customWidth="1"/>
    <col min="26" max="26" width="90.6640625" customWidth="1"/>
  </cols>
  <sheetData>
    <row r="1" spans="1:26" x14ac:dyDescent="0.3">
      <c r="A1" s="84" t="s">
        <v>291</v>
      </c>
      <c r="B1" s="84" t="s">
        <v>289</v>
      </c>
      <c r="C1" s="84" t="s">
        <v>290</v>
      </c>
      <c r="D1" s="84" t="s">
        <v>88</v>
      </c>
      <c r="E1" s="84" t="s">
        <v>398</v>
      </c>
      <c r="F1" s="84" t="s">
        <v>292</v>
      </c>
      <c r="G1" s="84" t="s">
        <v>354</v>
      </c>
      <c r="H1" s="84" t="s">
        <v>399</v>
      </c>
      <c r="I1" s="84" t="s">
        <v>384</v>
      </c>
      <c r="J1" s="84" t="s">
        <v>296</v>
      </c>
      <c r="K1" s="84" t="s">
        <v>400</v>
      </c>
      <c r="L1" s="84" t="s">
        <v>401</v>
      </c>
      <c r="M1" s="84" t="s">
        <v>402</v>
      </c>
      <c r="N1" s="84" t="s">
        <v>403</v>
      </c>
      <c r="O1" s="84" t="s">
        <v>389</v>
      </c>
      <c r="P1" s="84" t="s">
        <v>404</v>
      </c>
      <c r="Q1" s="84" t="s">
        <v>405</v>
      </c>
      <c r="R1" s="84" t="s">
        <v>406</v>
      </c>
      <c r="S1" s="84" t="s">
        <v>407</v>
      </c>
      <c r="T1" s="84" t="s">
        <v>408</v>
      </c>
      <c r="U1" s="84" t="s">
        <v>409</v>
      </c>
      <c r="W1" s="84" t="s">
        <v>291</v>
      </c>
      <c r="X1" s="84" t="s">
        <v>410</v>
      </c>
      <c r="Y1" s="84" t="s">
        <v>411</v>
      </c>
      <c r="Z1" t="s">
        <v>933</v>
      </c>
    </row>
    <row r="2" spans="1:26" x14ac:dyDescent="0.3">
      <c r="A2" t="s">
        <v>397</v>
      </c>
      <c r="B2">
        <v>2025</v>
      </c>
      <c r="C2" t="s">
        <v>434</v>
      </c>
      <c r="D2" t="s">
        <v>413</v>
      </c>
      <c r="E2" t="s">
        <v>137</v>
      </c>
      <c r="F2" t="s">
        <v>435</v>
      </c>
      <c r="G2" s="85">
        <v>4.8</v>
      </c>
      <c r="H2" s="86">
        <v>4.82</v>
      </c>
      <c r="I2" s="86">
        <v>0.12</v>
      </c>
      <c r="J2" s="87">
        <v>-0.2</v>
      </c>
      <c r="K2" s="85">
        <v>4.4000000000000004</v>
      </c>
      <c r="L2" s="85">
        <v>5.2</v>
      </c>
      <c r="M2" t="s">
        <v>436</v>
      </c>
      <c r="N2" t="s">
        <v>464</v>
      </c>
      <c r="O2" t="s">
        <v>437</v>
      </c>
      <c r="P2" s="85">
        <v>-0.4149377593361091</v>
      </c>
      <c r="Q2" s="85">
        <v>0.4149377593361091</v>
      </c>
      <c r="R2" s="81"/>
      <c r="T2" t="s">
        <v>360</v>
      </c>
      <c r="U2" t="s">
        <v>465</v>
      </c>
      <c r="W2" t="s">
        <v>397</v>
      </c>
      <c r="X2" t="s">
        <v>413</v>
      </c>
      <c r="Y2" t="s">
        <v>137</v>
      </c>
    </row>
    <row r="3" spans="1:26" x14ac:dyDescent="0.3">
      <c r="A3" t="s">
        <v>397</v>
      </c>
      <c r="B3">
        <v>2025</v>
      </c>
      <c r="C3" t="s">
        <v>434</v>
      </c>
      <c r="D3" t="s">
        <v>413</v>
      </c>
      <c r="E3" t="s">
        <v>137</v>
      </c>
      <c r="F3" t="s">
        <v>438</v>
      </c>
      <c r="G3" s="85">
        <v>4.7</v>
      </c>
      <c r="H3" s="86">
        <v>4.82</v>
      </c>
      <c r="I3" s="86">
        <v>0.12</v>
      </c>
      <c r="J3" s="87">
        <v>-1.1000000000000001</v>
      </c>
      <c r="K3" s="85">
        <v>4.4000000000000004</v>
      </c>
      <c r="L3" s="85">
        <v>5.2</v>
      </c>
      <c r="M3" t="s">
        <v>436</v>
      </c>
      <c r="N3" t="s">
        <v>464</v>
      </c>
      <c r="O3" t="s">
        <v>437</v>
      </c>
      <c r="P3" s="85">
        <v>-2.4896265560165993</v>
      </c>
      <c r="Q3" s="85">
        <v>2.4896265560165993</v>
      </c>
      <c r="R3" s="81"/>
      <c r="T3" t="s">
        <v>360</v>
      </c>
      <c r="U3" t="s">
        <v>466</v>
      </c>
      <c r="W3" t="s">
        <v>397</v>
      </c>
      <c r="X3" t="s">
        <v>414</v>
      </c>
      <c r="Y3" t="s">
        <v>142</v>
      </c>
    </row>
    <row r="4" spans="1:26" x14ac:dyDescent="0.3">
      <c r="A4" t="s">
        <v>397</v>
      </c>
      <c r="B4">
        <v>2025</v>
      </c>
      <c r="C4" t="s">
        <v>434</v>
      </c>
      <c r="D4" t="s">
        <v>413</v>
      </c>
      <c r="E4" t="s">
        <v>137</v>
      </c>
      <c r="F4" t="s">
        <v>439</v>
      </c>
      <c r="G4" s="85">
        <v>4.9000000000000004</v>
      </c>
      <c r="H4" s="86">
        <v>4.82</v>
      </c>
      <c r="I4" s="86">
        <v>0.16</v>
      </c>
      <c r="J4" s="87">
        <v>0.5</v>
      </c>
      <c r="K4" s="85">
        <v>4.3</v>
      </c>
      <c r="L4" s="85">
        <v>5.4</v>
      </c>
      <c r="M4" t="s">
        <v>436</v>
      </c>
      <c r="N4" t="s">
        <v>464</v>
      </c>
      <c r="O4" t="s">
        <v>437</v>
      </c>
      <c r="P4" s="85">
        <v>1.6597510373443998</v>
      </c>
      <c r="Q4" s="85">
        <v>1.6597510373443998</v>
      </c>
      <c r="R4" s="81"/>
      <c r="T4" t="s">
        <v>360</v>
      </c>
      <c r="U4" t="s">
        <v>467</v>
      </c>
      <c r="W4" t="s">
        <v>397</v>
      </c>
      <c r="X4" t="s">
        <v>415</v>
      </c>
      <c r="Y4" t="s">
        <v>136</v>
      </c>
    </row>
    <row r="5" spans="1:26" x14ac:dyDescent="0.3">
      <c r="A5" t="s">
        <v>397</v>
      </c>
      <c r="B5">
        <v>2025</v>
      </c>
      <c r="C5" t="s">
        <v>434</v>
      </c>
      <c r="D5" t="s">
        <v>413</v>
      </c>
      <c r="E5" t="s">
        <v>137</v>
      </c>
      <c r="F5" t="s">
        <v>440</v>
      </c>
      <c r="G5" s="85">
        <v>4.8</v>
      </c>
      <c r="H5" s="86">
        <v>4.78</v>
      </c>
      <c r="I5" s="86">
        <v>0.17</v>
      </c>
      <c r="J5" s="87">
        <v>0.1</v>
      </c>
      <c r="K5" s="85">
        <v>4.2</v>
      </c>
      <c r="L5" s="85">
        <v>5.3</v>
      </c>
      <c r="M5" t="s">
        <v>436</v>
      </c>
      <c r="N5" t="s">
        <v>464</v>
      </c>
      <c r="O5" t="s">
        <v>437</v>
      </c>
      <c r="P5" s="85">
        <v>0.41841004184099523</v>
      </c>
      <c r="Q5" s="85">
        <v>0.41841004184099523</v>
      </c>
      <c r="R5" s="81"/>
      <c r="T5" t="s">
        <v>360</v>
      </c>
      <c r="U5" t="s">
        <v>468</v>
      </c>
      <c r="W5" t="s">
        <v>397</v>
      </c>
      <c r="X5" t="s">
        <v>416</v>
      </c>
      <c r="Y5" t="s">
        <v>141</v>
      </c>
    </row>
    <row r="6" spans="1:26" x14ac:dyDescent="0.3">
      <c r="A6" t="s">
        <v>397</v>
      </c>
      <c r="B6">
        <v>2025</v>
      </c>
      <c r="C6" t="s">
        <v>434</v>
      </c>
      <c r="D6" t="s">
        <v>413</v>
      </c>
      <c r="E6" t="s">
        <v>137</v>
      </c>
      <c r="F6" t="s">
        <v>441</v>
      </c>
      <c r="G6" s="85">
        <v>5</v>
      </c>
      <c r="H6" s="86">
        <v>4.8099999999999996</v>
      </c>
      <c r="I6" s="86">
        <v>0.13</v>
      </c>
      <c r="J6" s="87">
        <v>1.5</v>
      </c>
      <c r="K6" s="85">
        <v>4.4000000000000004</v>
      </c>
      <c r="L6" s="85">
        <v>5.2</v>
      </c>
      <c r="M6" t="s">
        <v>436</v>
      </c>
      <c r="N6" t="s">
        <v>464</v>
      </c>
      <c r="O6" t="s">
        <v>437</v>
      </c>
      <c r="P6" s="85">
        <v>3.9501039501039585</v>
      </c>
      <c r="Q6" s="85">
        <v>3.9501039501039585</v>
      </c>
      <c r="R6" s="81"/>
      <c r="T6" t="s">
        <v>360</v>
      </c>
      <c r="U6" t="s">
        <v>469</v>
      </c>
      <c r="W6" t="s">
        <v>397</v>
      </c>
      <c r="X6" t="s">
        <v>417</v>
      </c>
      <c r="Y6" t="s">
        <v>128</v>
      </c>
    </row>
    <row r="7" spans="1:26" x14ac:dyDescent="0.3">
      <c r="A7" t="s">
        <v>397</v>
      </c>
      <c r="B7">
        <v>2025</v>
      </c>
      <c r="C7" t="s">
        <v>434</v>
      </c>
      <c r="D7" t="s">
        <v>414</v>
      </c>
      <c r="E7" t="s">
        <v>142</v>
      </c>
      <c r="F7" t="s">
        <v>435</v>
      </c>
      <c r="G7" s="85">
        <v>0.3</v>
      </c>
      <c r="H7" s="86">
        <v>0.30199999999999999</v>
      </c>
      <c r="I7" s="86">
        <v>0.01</v>
      </c>
      <c r="J7" s="87">
        <v>-0.2</v>
      </c>
      <c r="K7" s="85">
        <v>0.27</v>
      </c>
      <c r="L7" s="85">
        <v>0.34</v>
      </c>
      <c r="M7" t="s">
        <v>436</v>
      </c>
      <c r="N7" t="s">
        <v>464</v>
      </c>
      <c r="O7" t="s">
        <v>442</v>
      </c>
      <c r="P7" s="85">
        <v>-0.66225165562913968</v>
      </c>
      <c r="Q7" s="85">
        <v>0.66225165562913968</v>
      </c>
      <c r="R7" s="81"/>
      <c r="T7" t="s">
        <v>360</v>
      </c>
      <c r="U7" t="s">
        <v>470</v>
      </c>
      <c r="W7" t="s">
        <v>397</v>
      </c>
      <c r="X7" t="s">
        <v>418</v>
      </c>
      <c r="Y7" t="s">
        <v>127</v>
      </c>
    </row>
    <row r="8" spans="1:26" x14ac:dyDescent="0.3">
      <c r="A8" t="s">
        <v>397</v>
      </c>
      <c r="B8">
        <v>2025</v>
      </c>
      <c r="C8" t="s">
        <v>434</v>
      </c>
      <c r="D8" t="s">
        <v>414</v>
      </c>
      <c r="E8" t="s">
        <v>142</v>
      </c>
      <c r="F8" t="s">
        <v>438</v>
      </c>
      <c r="G8" s="85">
        <v>0.8</v>
      </c>
      <c r="H8" s="86">
        <v>0.82699999999999996</v>
      </c>
      <c r="I8" s="86">
        <v>2.3E-2</v>
      </c>
      <c r="J8" s="87">
        <v>-1.2</v>
      </c>
      <c r="K8" s="85">
        <v>0.75</v>
      </c>
      <c r="L8" s="85">
        <v>0.9</v>
      </c>
      <c r="M8" t="s">
        <v>436</v>
      </c>
      <c r="N8" t="s">
        <v>464</v>
      </c>
      <c r="O8" t="s">
        <v>442</v>
      </c>
      <c r="P8" s="85">
        <v>-3.2648125755743553</v>
      </c>
      <c r="Q8" s="85">
        <v>3.2648125755743553</v>
      </c>
      <c r="R8" s="81"/>
      <c r="T8" t="s">
        <v>360</v>
      </c>
      <c r="U8" t="s">
        <v>471</v>
      </c>
      <c r="W8" t="s">
        <v>397</v>
      </c>
      <c r="X8" t="s">
        <v>419</v>
      </c>
      <c r="Y8" t="s">
        <v>143</v>
      </c>
    </row>
    <row r="9" spans="1:26" x14ac:dyDescent="0.3">
      <c r="A9" t="s">
        <v>397</v>
      </c>
      <c r="B9">
        <v>2025</v>
      </c>
      <c r="C9" t="s">
        <v>434</v>
      </c>
      <c r="D9" t="s">
        <v>414</v>
      </c>
      <c r="E9" t="s">
        <v>142</v>
      </c>
      <c r="F9" t="s">
        <v>439</v>
      </c>
      <c r="G9" s="85">
        <v>0.13</v>
      </c>
      <c r="H9" s="86">
        <v>0.13600000000000001</v>
      </c>
      <c r="I9" s="86">
        <v>6.0000000000000001E-3</v>
      </c>
      <c r="J9" s="87">
        <v>-1</v>
      </c>
      <c r="K9" s="85">
        <v>0.11</v>
      </c>
      <c r="L9" s="85">
        <v>0.16</v>
      </c>
      <c r="M9" t="s">
        <v>436</v>
      </c>
      <c r="N9" t="s">
        <v>464</v>
      </c>
      <c r="O9" t="s">
        <v>442</v>
      </c>
      <c r="P9" s="85">
        <v>-4.4117647058823568</v>
      </c>
      <c r="Q9" s="85">
        <v>4.4117647058823568</v>
      </c>
      <c r="R9" s="81"/>
      <c r="T9" t="s">
        <v>360</v>
      </c>
      <c r="U9" t="s">
        <v>472</v>
      </c>
      <c r="W9" t="s">
        <v>397</v>
      </c>
      <c r="X9" t="s">
        <v>420</v>
      </c>
      <c r="Y9" t="s">
        <v>144</v>
      </c>
    </row>
    <row r="10" spans="1:26" x14ac:dyDescent="0.3">
      <c r="A10" t="s">
        <v>397</v>
      </c>
      <c r="B10">
        <v>2025</v>
      </c>
      <c r="C10" t="s">
        <v>434</v>
      </c>
      <c r="D10" t="s">
        <v>414</v>
      </c>
      <c r="E10" t="s">
        <v>142</v>
      </c>
      <c r="F10" t="s">
        <v>440</v>
      </c>
      <c r="G10" s="85">
        <v>0.14000000000000001</v>
      </c>
      <c r="H10" s="86">
        <v>0.13800000000000001</v>
      </c>
      <c r="I10" s="86">
        <v>7.0000000000000001E-3</v>
      </c>
      <c r="J10" s="87">
        <v>0.2</v>
      </c>
      <c r="K10" s="85">
        <v>0.11</v>
      </c>
      <c r="L10" s="85">
        <v>0.16</v>
      </c>
      <c r="M10" t="s">
        <v>436</v>
      </c>
      <c r="N10" t="s">
        <v>464</v>
      </c>
      <c r="O10" t="s">
        <v>442</v>
      </c>
      <c r="P10" s="85">
        <v>1.4492753623188419</v>
      </c>
      <c r="Q10" s="85">
        <v>1.4492753623188419</v>
      </c>
      <c r="R10" s="81"/>
      <c r="T10" t="s">
        <v>360</v>
      </c>
      <c r="U10" t="s">
        <v>473</v>
      </c>
      <c r="W10" t="s">
        <v>397</v>
      </c>
      <c r="X10" t="s">
        <v>421</v>
      </c>
    </row>
    <row r="11" spans="1:26" x14ac:dyDescent="0.3">
      <c r="A11" t="s">
        <v>397</v>
      </c>
      <c r="B11">
        <v>2025</v>
      </c>
      <c r="C11" t="s">
        <v>434</v>
      </c>
      <c r="D11" t="s">
        <v>414</v>
      </c>
      <c r="E11" t="s">
        <v>142</v>
      </c>
      <c r="F11" t="s">
        <v>441</v>
      </c>
      <c r="G11" s="85">
        <v>0.38</v>
      </c>
      <c r="H11" s="86">
        <v>0.378</v>
      </c>
      <c r="I11" s="86">
        <v>1.2E-2</v>
      </c>
      <c r="J11" s="87">
        <v>0.2</v>
      </c>
      <c r="K11" s="85">
        <v>0.34</v>
      </c>
      <c r="L11" s="85">
        <v>0.42</v>
      </c>
      <c r="M11" t="s">
        <v>436</v>
      </c>
      <c r="N11" t="s">
        <v>464</v>
      </c>
      <c r="O11" t="s">
        <v>442</v>
      </c>
      <c r="P11" s="85">
        <v>0.52910052910052963</v>
      </c>
      <c r="Q11" s="85">
        <v>0.52910052910052963</v>
      </c>
      <c r="R11" s="81"/>
      <c r="T11" t="s">
        <v>360</v>
      </c>
      <c r="U11" t="s">
        <v>474</v>
      </c>
      <c r="W11" t="s">
        <v>397</v>
      </c>
      <c r="X11" t="s">
        <v>422</v>
      </c>
      <c r="Y11" t="s">
        <v>134</v>
      </c>
    </row>
    <row r="12" spans="1:26" x14ac:dyDescent="0.3">
      <c r="A12" t="s">
        <v>397</v>
      </c>
      <c r="B12">
        <v>2025</v>
      </c>
      <c r="C12" t="s">
        <v>434</v>
      </c>
      <c r="D12" t="s">
        <v>415</v>
      </c>
      <c r="E12" t="s">
        <v>136</v>
      </c>
      <c r="F12" t="s">
        <v>435</v>
      </c>
      <c r="G12" s="85">
        <v>11.8</v>
      </c>
      <c r="H12" s="86">
        <v>10.77</v>
      </c>
      <c r="I12" s="86">
        <v>0.78</v>
      </c>
      <c r="J12" s="87">
        <v>1.3</v>
      </c>
      <c r="K12" s="85">
        <v>8.4</v>
      </c>
      <c r="L12" s="85">
        <v>13.2</v>
      </c>
      <c r="M12" t="s">
        <v>436</v>
      </c>
      <c r="N12" t="s">
        <v>464</v>
      </c>
      <c r="O12" t="s">
        <v>437</v>
      </c>
      <c r="P12" s="85">
        <v>9.5636025998143097</v>
      </c>
      <c r="Q12" s="85">
        <v>9.5636025998143097</v>
      </c>
      <c r="R12" s="81"/>
      <c r="T12" t="s">
        <v>360</v>
      </c>
      <c r="U12" t="s">
        <v>475</v>
      </c>
      <c r="W12" t="s">
        <v>397</v>
      </c>
      <c r="X12" t="s">
        <v>423</v>
      </c>
      <c r="Y12" t="s">
        <v>139</v>
      </c>
    </row>
    <row r="13" spans="1:26" x14ac:dyDescent="0.3">
      <c r="A13" t="s">
        <v>397</v>
      </c>
      <c r="B13">
        <v>2025</v>
      </c>
      <c r="C13" t="s">
        <v>434</v>
      </c>
      <c r="D13" t="s">
        <v>415</v>
      </c>
      <c r="E13" t="s">
        <v>136</v>
      </c>
      <c r="F13" t="s">
        <v>438</v>
      </c>
      <c r="G13" s="85">
        <v>11</v>
      </c>
      <c r="H13" s="86">
        <v>11.58</v>
      </c>
      <c r="I13" s="86">
        <v>0.81</v>
      </c>
      <c r="J13" s="87">
        <v>-0.7</v>
      </c>
      <c r="K13" s="85">
        <v>9.1</v>
      </c>
      <c r="L13" s="85">
        <v>14</v>
      </c>
      <c r="M13" t="s">
        <v>436</v>
      </c>
      <c r="N13" t="s">
        <v>464</v>
      </c>
      <c r="O13" t="s">
        <v>437</v>
      </c>
      <c r="P13" s="85">
        <v>-5.0086355785837657</v>
      </c>
      <c r="Q13" s="85">
        <v>5.0086355785837657</v>
      </c>
      <c r="R13" s="81"/>
      <c r="T13" t="s">
        <v>360</v>
      </c>
      <c r="U13" t="s">
        <v>476</v>
      </c>
      <c r="W13" t="s">
        <v>397</v>
      </c>
      <c r="X13" t="s">
        <v>130</v>
      </c>
      <c r="Y13" t="s">
        <v>130</v>
      </c>
    </row>
    <row r="14" spans="1:26" x14ac:dyDescent="0.3">
      <c r="A14" t="s">
        <v>397</v>
      </c>
      <c r="B14">
        <v>2025</v>
      </c>
      <c r="C14" t="s">
        <v>434</v>
      </c>
      <c r="D14" t="s">
        <v>415</v>
      </c>
      <c r="E14" t="s">
        <v>136</v>
      </c>
      <c r="F14" t="s">
        <v>439</v>
      </c>
      <c r="G14" s="85">
        <v>9</v>
      </c>
      <c r="H14" s="86">
        <v>9.89</v>
      </c>
      <c r="I14" s="86">
        <v>0.69</v>
      </c>
      <c r="J14" s="87">
        <v>-1.3</v>
      </c>
      <c r="K14" s="85">
        <v>7.8</v>
      </c>
      <c r="L14" s="85">
        <v>12</v>
      </c>
      <c r="M14" t="s">
        <v>436</v>
      </c>
      <c r="N14" t="s">
        <v>464</v>
      </c>
      <c r="O14" t="s">
        <v>437</v>
      </c>
      <c r="P14" s="85">
        <v>-8.9989888776542024</v>
      </c>
      <c r="Q14" s="85">
        <v>8.9989888776542024</v>
      </c>
      <c r="R14" s="81"/>
      <c r="T14" t="s">
        <v>360</v>
      </c>
      <c r="U14" t="s">
        <v>477</v>
      </c>
      <c r="W14" t="s">
        <v>397</v>
      </c>
      <c r="X14" t="s">
        <v>131</v>
      </c>
      <c r="Y14" t="s">
        <v>131</v>
      </c>
    </row>
    <row r="15" spans="1:26" x14ac:dyDescent="0.3">
      <c r="A15" t="s">
        <v>397</v>
      </c>
      <c r="B15">
        <v>2025</v>
      </c>
      <c r="C15" t="s">
        <v>434</v>
      </c>
      <c r="D15" t="s">
        <v>415</v>
      </c>
      <c r="E15" t="s">
        <v>136</v>
      </c>
      <c r="F15" t="s">
        <v>440</v>
      </c>
      <c r="G15" s="85">
        <v>11.7</v>
      </c>
      <c r="H15" s="86">
        <v>10.74</v>
      </c>
      <c r="I15" s="86">
        <v>0.78</v>
      </c>
      <c r="J15" s="87">
        <v>1.2</v>
      </c>
      <c r="K15" s="85">
        <v>8.3000000000000007</v>
      </c>
      <c r="L15" s="85">
        <v>13.1</v>
      </c>
      <c r="M15" t="s">
        <v>436</v>
      </c>
      <c r="N15" t="s">
        <v>464</v>
      </c>
      <c r="O15" t="s">
        <v>437</v>
      </c>
      <c r="P15" s="85">
        <v>8.9385474860335101</v>
      </c>
      <c r="Q15" s="85">
        <v>8.9385474860335101</v>
      </c>
      <c r="R15" s="81"/>
      <c r="T15" t="s">
        <v>360</v>
      </c>
      <c r="U15" t="s">
        <v>478</v>
      </c>
      <c r="W15" t="s">
        <v>397</v>
      </c>
      <c r="X15" t="s">
        <v>129</v>
      </c>
      <c r="Y15" t="s">
        <v>129</v>
      </c>
    </row>
    <row r="16" spans="1:26" x14ac:dyDescent="0.3">
      <c r="A16" t="s">
        <v>397</v>
      </c>
      <c r="B16">
        <v>2025</v>
      </c>
      <c r="C16" t="s">
        <v>434</v>
      </c>
      <c r="D16" t="s">
        <v>415</v>
      </c>
      <c r="E16" t="s">
        <v>136</v>
      </c>
      <c r="F16" t="s">
        <v>441</v>
      </c>
      <c r="G16" s="85">
        <v>9.6</v>
      </c>
      <c r="H16" s="86">
        <v>10.74</v>
      </c>
      <c r="I16" s="86">
        <v>0.76</v>
      </c>
      <c r="J16" s="87">
        <v>-1.5</v>
      </c>
      <c r="K16" s="85">
        <v>8.4</v>
      </c>
      <c r="L16" s="85">
        <v>13.1</v>
      </c>
      <c r="M16" t="s">
        <v>436</v>
      </c>
      <c r="N16" t="s">
        <v>464</v>
      </c>
      <c r="O16" t="s">
        <v>437</v>
      </c>
      <c r="P16" s="85">
        <v>-10.61452513966481</v>
      </c>
      <c r="Q16" s="85">
        <v>10.61452513966481</v>
      </c>
      <c r="R16" s="81"/>
      <c r="T16" t="s">
        <v>360</v>
      </c>
      <c r="U16" t="s">
        <v>479</v>
      </c>
      <c r="W16" t="s">
        <v>397</v>
      </c>
      <c r="X16" t="s">
        <v>149</v>
      </c>
      <c r="Y16" t="s">
        <v>149</v>
      </c>
    </row>
    <row r="17" spans="1:25" x14ac:dyDescent="0.3">
      <c r="A17" t="s">
        <v>397</v>
      </c>
      <c r="B17">
        <v>2025</v>
      </c>
      <c r="C17" t="s">
        <v>434</v>
      </c>
      <c r="D17" t="s">
        <v>416</v>
      </c>
      <c r="E17" t="s">
        <v>141</v>
      </c>
      <c r="F17" t="s">
        <v>435</v>
      </c>
      <c r="G17" s="85">
        <v>0.73</v>
      </c>
      <c r="H17" s="86">
        <v>0.67500000000000004</v>
      </c>
      <c r="I17" s="86">
        <v>5.0999999999999997E-2</v>
      </c>
      <c r="J17" s="87">
        <v>1.1000000000000001</v>
      </c>
      <c r="K17" s="85">
        <v>0.52</v>
      </c>
      <c r="L17" s="85">
        <v>0.83</v>
      </c>
      <c r="M17" t="s">
        <v>436</v>
      </c>
      <c r="N17" t="s">
        <v>464</v>
      </c>
      <c r="O17" t="s">
        <v>442</v>
      </c>
      <c r="P17" s="85">
        <v>8.1481481481481399</v>
      </c>
      <c r="Q17" s="85">
        <v>8.1481481481481399</v>
      </c>
      <c r="R17" s="81"/>
      <c r="T17" t="s">
        <v>360</v>
      </c>
      <c r="U17" t="s">
        <v>480</v>
      </c>
      <c r="W17" t="s">
        <v>397</v>
      </c>
      <c r="X17" t="s">
        <v>424</v>
      </c>
      <c r="Y17" t="s">
        <v>135</v>
      </c>
    </row>
    <row r="18" spans="1:25" x14ac:dyDescent="0.3">
      <c r="A18" t="s">
        <v>397</v>
      </c>
      <c r="B18">
        <v>2025</v>
      </c>
      <c r="C18" t="s">
        <v>434</v>
      </c>
      <c r="D18" t="s">
        <v>416</v>
      </c>
      <c r="E18" t="s">
        <v>141</v>
      </c>
      <c r="F18" t="s">
        <v>438</v>
      </c>
      <c r="G18" s="85">
        <v>1.86</v>
      </c>
      <c r="H18" s="86">
        <v>1.986</v>
      </c>
      <c r="I18" s="86">
        <v>0.14099999999999999</v>
      </c>
      <c r="J18" s="87">
        <v>-0.9</v>
      </c>
      <c r="K18" s="85">
        <v>1.56</v>
      </c>
      <c r="L18" s="85">
        <v>2.41</v>
      </c>
      <c r="M18" t="s">
        <v>436</v>
      </c>
      <c r="N18" t="s">
        <v>464</v>
      </c>
      <c r="O18" t="s">
        <v>442</v>
      </c>
      <c r="P18" s="85">
        <v>-6.3444108761329252</v>
      </c>
      <c r="Q18" s="85">
        <v>6.3444108761329252</v>
      </c>
      <c r="R18" s="81"/>
      <c r="T18" t="s">
        <v>360</v>
      </c>
      <c r="U18" t="s">
        <v>481</v>
      </c>
      <c r="W18" t="s">
        <v>397</v>
      </c>
      <c r="X18" t="s">
        <v>425</v>
      </c>
      <c r="Y18" t="s">
        <v>140</v>
      </c>
    </row>
    <row r="19" spans="1:25" x14ac:dyDescent="0.3">
      <c r="A19" t="s">
        <v>397</v>
      </c>
      <c r="B19">
        <v>2025</v>
      </c>
      <c r="C19" t="s">
        <v>434</v>
      </c>
      <c r="D19" t="s">
        <v>416</v>
      </c>
      <c r="E19" t="s">
        <v>141</v>
      </c>
      <c r="F19" t="s">
        <v>439</v>
      </c>
      <c r="G19" s="85">
        <v>0.24</v>
      </c>
      <c r="H19" s="86">
        <v>0.28000000000000003</v>
      </c>
      <c r="I19" s="86">
        <v>2.1000000000000001E-2</v>
      </c>
      <c r="J19" s="87">
        <v>-1.9</v>
      </c>
      <c r="K19" s="85">
        <v>0.21</v>
      </c>
      <c r="L19" s="85">
        <v>0.35</v>
      </c>
      <c r="M19" t="s">
        <v>436</v>
      </c>
      <c r="N19" t="s">
        <v>464</v>
      </c>
      <c r="O19" t="s">
        <v>442</v>
      </c>
      <c r="P19" s="85">
        <v>-14.285714285714295</v>
      </c>
      <c r="Q19" s="85">
        <v>14.285714285714295</v>
      </c>
      <c r="R19" s="81"/>
      <c r="T19" t="s">
        <v>360</v>
      </c>
      <c r="U19" t="s">
        <v>482</v>
      </c>
      <c r="W19" t="s">
        <v>397</v>
      </c>
      <c r="X19" t="s">
        <v>426</v>
      </c>
      <c r="Y19" t="s">
        <v>133</v>
      </c>
    </row>
    <row r="20" spans="1:25" x14ac:dyDescent="0.3">
      <c r="A20" t="s">
        <v>397</v>
      </c>
      <c r="B20">
        <v>2025</v>
      </c>
      <c r="C20" t="s">
        <v>434</v>
      </c>
      <c r="D20" t="s">
        <v>416</v>
      </c>
      <c r="E20" t="s">
        <v>141</v>
      </c>
      <c r="F20" t="s">
        <v>440</v>
      </c>
      <c r="G20" s="85">
        <v>0.34</v>
      </c>
      <c r="H20" s="86">
        <v>0.311</v>
      </c>
      <c r="I20" s="86">
        <v>2.4E-2</v>
      </c>
      <c r="J20" s="87">
        <v>1.2</v>
      </c>
      <c r="K20" s="85">
        <v>0.23</v>
      </c>
      <c r="L20" s="85">
        <v>0.39</v>
      </c>
      <c r="M20" t="s">
        <v>436</v>
      </c>
      <c r="N20" t="s">
        <v>464</v>
      </c>
      <c r="O20" t="s">
        <v>442</v>
      </c>
      <c r="P20" s="85">
        <v>9.3247588424437389</v>
      </c>
      <c r="Q20" s="85">
        <v>9.3247588424437389</v>
      </c>
      <c r="R20" s="81"/>
      <c r="T20" t="s">
        <v>360</v>
      </c>
      <c r="U20" t="s">
        <v>483</v>
      </c>
      <c r="W20" t="s">
        <v>397</v>
      </c>
      <c r="X20" t="s">
        <v>427</v>
      </c>
      <c r="Y20" t="s">
        <v>138</v>
      </c>
    </row>
    <row r="21" spans="1:25" x14ac:dyDescent="0.3">
      <c r="A21" t="s">
        <v>397</v>
      </c>
      <c r="B21">
        <v>2025</v>
      </c>
      <c r="C21" t="s">
        <v>434</v>
      </c>
      <c r="D21" t="s">
        <v>416</v>
      </c>
      <c r="E21" t="s">
        <v>141</v>
      </c>
      <c r="F21" t="s">
        <v>441</v>
      </c>
      <c r="G21" s="85">
        <v>0.73</v>
      </c>
      <c r="H21" s="86">
        <v>0.84399999999999997</v>
      </c>
      <c r="I21" s="86">
        <v>6.2E-2</v>
      </c>
      <c r="J21" s="87">
        <v>-1.9</v>
      </c>
      <c r="K21" s="85">
        <v>0.65</v>
      </c>
      <c r="L21" s="85">
        <v>1.03</v>
      </c>
      <c r="M21" t="s">
        <v>436</v>
      </c>
      <c r="N21" t="s">
        <v>464</v>
      </c>
      <c r="O21" t="s">
        <v>442</v>
      </c>
      <c r="P21" s="85">
        <v>-13.507109004739334</v>
      </c>
      <c r="Q21" s="85">
        <v>13.507109004739334</v>
      </c>
      <c r="R21" s="81"/>
      <c r="T21" t="s">
        <v>360</v>
      </c>
      <c r="U21" t="s">
        <v>484</v>
      </c>
      <c r="W21" t="s">
        <v>397</v>
      </c>
      <c r="X21" t="s">
        <v>428</v>
      </c>
      <c r="Y21" t="s">
        <v>132</v>
      </c>
    </row>
    <row r="22" spans="1:25" x14ac:dyDescent="0.3">
      <c r="A22" t="s">
        <v>397</v>
      </c>
      <c r="B22">
        <v>2025</v>
      </c>
      <c r="C22" t="s">
        <v>434</v>
      </c>
      <c r="D22" t="s">
        <v>417</v>
      </c>
      <c r="E22" t="s">
        <v>128</v>
      </c>
      <c r="F22" t="s">
        <v>435</v>
      </c>
      <c r="G22" s="85">
        <v>34.200000000000003</v>
      </c>
      <c r="H22" s="86">
        <v>34.468000000000004</v>
      </c>
      <c r="I22" s="86">
        <v>0.46899999999999997</v>
      </c>
      <c r="J22" s="87">
        <v>-0.6</v>
      </c>
      <c r="K22" s="85">
        <v>33.08</v>
      </c>
      <c r="L22" s="85">
        <v>35.85</v>
      </c>
      <c r="M22" t="s">
        <v>436</v>
      </c>
      <c r="N22" t="s">
        <v>464</v>
      </c>
      <c r="O22" t="s">
        <v>437</v>
      </c>
      <c r="P22" s="85">
        <v>-0.77753278403156745</v>
      </c>
      <c r="Q22" s="85">
        <v>0.77753278403156745</v>
      </c>
      <c r="R22" s="81"/>
      <c r="T22" t="s">
        <v>360</v>
      </c>
      <c r="U22" t="s">
        <v>485</v>
      </c>
      <c r="W22" t="s">
        <v>397</v>
      </c>
      <c r="X22" t="s">
        <v>429</v>
      </c>
      <c r="Y22" t="s">
        <v>148</v>
      </c>
    </row>
    <row r="23" spans="1:25" x14ac:dyDescent="0.3">
      <c r="A23" t="s">
        <v>397</v>
      </c>
      <c r="B23">
        <v>2025</v>
      </c>
      <c r="C23" t="s">
        <v>434</v>
      </c>
      <c r="D23" t="s">
        <v>417</v>
      </c>
      <c r="E23" t="s">
        <v>128</v>
      </c>
      <c r="F23" t="s">
        <v>438</v>
      </c>
      <c r="G23" s="85">
        <v>45.3</v>
      </c>
      <c r="H23" s="86">
        <v>45.926000000000002</v>
      </c>
      <c r="I23" s="86">
        <v>0.61399999999999999</v>
      </c>
      <c r="J23" s="87">
        <v>-1</v>
      </c>
      <c r="K23" s="85">
        <v>44.08</v>
      </c>
      <c r="L23" s="85">
        <v>47.77</v>
      </c>
      <c r="M23" t="s">
        <v>436</v>
      </c>
      <c r="N23" t="s">
        <v>464</v>
      </c>
      <c r="O23" t="s">
        <v>437</v>
      </c>
      <c r="P23" s="85">
        <v>-1.3630623176414334</v>
      </c>
      <c r="Q23" s="85">
        <v>1.3630623176414334</v>
      </c>
      <c r="R23" s="81"/>
      <c r="T23" t="s">
        <v>360</v>
      </c>
      <c r="U23" t="s">
        <v>486</v>
      </c>
      <c r="W23" t="s">
        <v>397</v>
      </c>
      <c r="X23" t="s">
        <v>430</v>
      </c>
      <c r="Y23" t="s">
        <v>125</v>
      </c>
    </row>
    <row r="24" spans="1:25" x14ac:dyDescent="0.3">
      <c r="A24" t="s">
        <v>397</v>
      </c>
      <c r="B24">
        <v>2025</v>
      </c>
      <c r="C24" t="s">
        <v>434</v>
      </c>
      <c r="D24" t="s">
        <v>417</v>
      </c>
      <c r="E24" t="s">
        <v>128</v>
      </c>
      <c r="F24" t="s">
        <v>439</v>
      </c>
      <c r="G24" s="85">
        <v>15.9</v>
      </c>
      <c r="H24" s="86">
        <v>16.236999999999998</v>
      </c>
      <c r="I24" s="86">
        <v>0.26700000000000002</v>
      </c>
      <c r="J24" s="87">
        <v>-1.3</v>
      </c>
      <c r="K24" s="85">
        <v>15.58</v>
      </c>
      <c r="L24" s="85">
        <v>16.89</v>
      </c>
      <c r="M24" t="s">
        <v>436</v>
      </c>
      <c r="N24" t="s">
        <v>464</v>
      </c>
      <c r="O24" t="s">
        <v>437</v>
      </c>
      <c r="P24" s="85">
        <v>-2.0755065590934163</v>
      </c>
      <c r="Q24" s="85">
        <v>2.0755065590934163</v>
      </c>
      <c r="R24" s="81"/>
      <c r="T24" t="s">
        <v>360</v>
      </c>
      <c r="U24" t="s">
        <v>487</v>
      </c>
      <c r="W24" t="s">
        <v>397</v>
      </c>
      <c r="X24" t="s">
        <v>431</v>
      </c>
      <c r="Y24" t="s">
        <v>122</v>
      </c>
    </row>
    <row r="25" spans="1:25" x14ac:dyDescent="0.3">
      <c r="A25" t="s">
        <v>397</v>
      </c>
      <c r="B25">
        <v>2025</v>
      </c>
      <c r="C25" t="s">
        <v>434</v>
      </c>
      <c r="D25" t="s">
        <v>417</v>
      </c>
      <c r="E25" t="s">
        <v>128</v>
      </c>
      <c r="F25" t="s">
        <v>440</v>
      </c>
      <c r="G25" s="85">
        <v>44.1</v>
      </c>
      <c r="H25" s="86">
        <v>44.316000000000003</v>
      </c>
      <c r="I25" s="86">
        <v>0.60199999999999998</v>
      </c>
      <c r="J25" s="87">
        <v>-0.4</v>
      </c>
      <c r="K25" s="85">
        <v>42.54</v>
      </c>
      <c r="L25" s="85">
        <v>46.09</v>
      </c>
      <c r="M25" t="s">
        <v>436</v>
      </c>
      <c r="N25" t="s">
        <v>464</v>
      </c>
      <c r="O25" t="s">
        <v>437</v>
      </c>
      <c r="P25" s="85">
        <v>-0.48740861088546145</v>
      </c>
      <c r="Q25" s="85">
        <v>0.48740861088546145</v>
      </c>
      <c r="R25" s="81"/>
      <c r="T25" t="s">
        <v>360</v>
      </c>
      <c r="U25" t="s">
        <v>488</v>
      </c>
      <c r="W25" t="s">
        <v>397</v>
      </c>
      <c r="X25" t="s">
        <v>432</v>
      </c>
      <c r="Y25" t="s">
        <v>146</v>
      </c>
    </row>
    <row r="26" spans="1:25" x14ac:dyDescent="0.3">
      <c r="A26" t="s">
        <v>397</v>
      </c>
      <c r="B26">
        <v>2025</v>
      </c>
      <c r="C26" t="s">
        <v>434</v>
      </c>
      <c r="D26" t="s">
        <v>417</v>
      </c>
      <c r="E26" t="s">
        <v>128</v>
      </c>
      <c r="F26" t="s">
        <v>441</v>
      </c>
      <c r="G26" s="85">
        <v>17.3</v>
      </c>
      <c r="H26" s="86">
        <v>17.547000000000001</v>
      </c>
      <c r="I26" s="86">
        <v>0.28100000000000003</v>
      </c>
      <c r="J26" s="87">
        <v>-0.9</v>
      </c>
      <c r="K26" s="85">
        <v>16.84</v>
      </c>
      <c r="L26" s="85">
        <v>18.25</v>
      </c>
      <c r="M26" t="s">
        <v>436</v>
      </c>
      <c r="N26" t="s">
        <v>464</v>
      </c>
      <c r="O26" t="s">
        <v>437</v>
      </c>
      <c r="P26" s="85">
        <v>-1.4076480310024497</v>
      </c>
      <c r="Q26" s="85">
        <v>1.4076480310024497</v>
      </c>
      <c r="R26" s="81"/>
      <c r="T26" t="s">
        <v>360</v>
      </c>
      <c r="U26" t="s">
        <v>489</v>
      </c>
      <c r="W26" t="s">
        <v>397</v>
      </c>
      <c r="X26" t="s">
        <v>433</v>
      </c>
      <c r="Y26" t="s">
        <v>145</v>
      </c>
    </row>
    <row r="27" spans="1:25" x14ac:dyDescent="0.3">
      <c r="A27" t="s">
        <v>397</v>
      </c>
      <c r="B27">
        <v>2025</v>
      </c>
      <c r="C27" t="s">
        <v>434</v>
      </c>
      <c r="D27" t="s">
        <v>418</v>
      </c>
      <c r="E27" t="s">
        <v>127</v>
      </c>
      <c r="F27" t="s">
        <v>435</v>
      </c>
      <c r="G27" s="85">
        <v>12</v>
      </c>
      <c r="H27" s="86">
        <v>11.75</v>
      </c>
      <c r="I27" s="86">
        <v>0.11</v>
      </c>
      <c r="J27" s="87">
        <v>2.4</v>
      </c>
      <c r="K27" s="85">
        <v>11.2</v>
      </c>
      <c r="L27" s="85">
        <v>12.3</v>
      </c>
      <c r="M27" t="s">
        <v>436</v>
      </c>
      <c r="N27" t="s">
        <v>464</v>
      </c>
      <c r="O27" t="s">
        <v>443</v>
      </c>
      <c r="P27" s="85">
        <v>2.1276595744680851</v>
      </c>
      <c r="Q27" s="85">
        <v>2.1276595744680851</v>
      </c>
      <c r="R27" s="81"/>
      <c r="T27" t="s">
        <v>360</v>
      </c>
      <c r="U27" t="s">
        <v>490</v>
      </c>
      <c r="W27" t="s">
        <v>397</v>
      </c>
      <c r="X27" t="s">
        <v>128</v>
      </c>
      <c r="Y27" t="s">
        <v>128</v>
      </c>
    </row>
    <row r="28" spans="1:25" x14ac:dyDescent="0.3">
      <c r="A28" t="s">
        <v>397</v>
      </c>
      <c r="B28">
        <v>2025</v>
      </c>
      <c r="C28" t="s">
        <v>434</v>
      </c>
      <c r="D28" t="s">
        <v>418</v>
      </c>
      <c r="E28" t="s">
        <v>127</v>
      </c>
      <c r="F28" t="s">
        <v>438</v>
      </c>
      <c r="G28" s="85">
        <v>16.100000000000001</v>
      </c>
      <c r="H28" s="86">
        <v>15.9</v>
      </c>
      <c r="I28" s="86">
        <v>0.15</v>
      </c>
      <c r="J28" s="87">
        <v>1.3</v>
      </c>
      <c r="K28" s="85">
        <v>15.2</v>
      </c>
      <c r="L28" s="85">
        <v>16.600000000000001</v>
      </c>
      <c r="M28" t="s">
        <v>436</v>
      </c>
      <c r="N28" t="s">
        <v>464</v>
      </c>
      <c r="O28" t="s">
        <v>443</v>
      </c>
      <c r="P28" s="85">
        <v>1.2578616352201324</v>
      </c>
      <c r="Q28" s="85">
        <v>1.2578616352201324</v>
      </c>
      <c r="R28" s="81"/>
      <c r="T28" t="s">
        <v>360</v>
      </c>
      <c r="U28" t="s">
        <v>491</v>
      </c>
      <c r="W28" t="s">
        <v>397</v>
      </c>
      <c r="X28" t="s">
        <v>127</v>
      </c>
      <c r="Y28" t="s">
        <v>127</v>
      </c>
    </row>
    <row r="29" spans="1:25" x14ac:dyDescent="0.3">
      <c r="A29" t="s">
        <v>397</v>
      </c>
      <c r="B29">
        <v>2025</v>
      </c>
      <c r="C29" t="s">
        <v>434</v>
      </c>
      <c r="D29" t="s">
        <v>418</v>
      </c>
      <c r="E29" t="s">
        <v>127</v>
      </c>
      <c r="F29" t="s">
        <v>439</v>
      </c>
      <c r="G29" s="85">
        <v>5.5</v>
      </c>
      <c r="H29" s="86">
        <v>5.39</v>
      </c>
      <c r="I29" s="86">
        <v>7.0000000000000007E-2</v>
      </c>
      <c r="J29" s="87">
        <v>1.5</v>
      </c>
      <c r="K29" s="85">
        <v>5.0999999999999996</v>
      </c>
      <c r="L29" s="85">
        <v>5.7</v>
      </c>
      <c r="M29" t="s">
        <v>436</v>
      </c>
      <c r="N29" t="s">
        <v>464</v>
      </c>
      <c r="O29" t="s">
        <v>443</v>
      </c>
      <c r="P29" s="85">
        <v>2.0408163265306185</v>
      </c>
      <c r="Q29" s="85">
        <v>2.0408163265306185</v>
      </c>
      <c r="R29" s="81"/>
      <c r="T29" t="s">
        <v>360</v>
      </c>
      <c r="U29" t="s">
        <v>492</v>
      </c>
      <c r="W29" t="s">
        <v>397</v>
      </c>
      <c r="X29" t="s">
        <v>130</v>
      </c>
      <c r="Y29" t="s">
        <v>130</v>
      </c>
    </row>
    <row r="30" spans="1:25" x14ac:dyDescent="0.3">
      <c r="A30" t="s">
        <v>397</v>
      </c>
      <c r="B30">
        <v>2025</v>
      </c>
      <c r="C30" t="s">
        <v>434</v>
      </c>
      <c r="D30" t="s">
        <v>418</v>
      </c>
      <c r="E30" t="s">
        <v>127</v>
      </c>
      <c r="F30" t="s">
        <v>440</v>
      </c>
      <c r="G30" s="85">
        <v>15.5</v>
      </c>
      <c r="H30" s="86">
        <v>15.11</v>
      </c>
      <c r="I30" s="86">
        <v>0.15</v>
      </c>
      <c r="J30" s="87">
        <v>2.7</v>
      </c>
      <c r="K30" s="85">
        <v>14.5</v>
      </c>
      <c r="L30" s="85">
        <v>15.8</v>
      </c>
      <c r="M30" t="s">
        <v>436</v>
      </c>
      <c r="N30" t="s">
        <v>464</v>
      </c>
      <c r="O30" t="s">
        <v>443</v>
      </c>
      <c r="P30" s="85">
        <v>2.5810721376571846</v>
      </c>
      <c r="Q30" s="85">
        <v>2.5810721376571846</v>
      </c>
      <c r="R30" s="81"/>
      <c r="T30" t="s">
        <v>360</v>
      </c>
      <c r="U30" t="s">
        <v>493</v>
      </c>
      <c r="W30" t="s">
        <v>397</v>
      </c>
      <c r="X30" t="s">
        <v>129</v>
      </c>
      <c r="Y30" t="s">
        <v>129</v>
      </c>
    </row>
    <row r="31" spans="1:25" x14ac:dyDescent="0.3">
      <c r="A31" t="s">
        <v>397</v>
      </c>
      <c r="B31">
        <v>2025</v>
      </c>
      <c r="C31" t="s">
        <v>434</v>
      </c>
      <c r="D31" t="s">
        <v>418</v>
      </c>
      <c r="E31" t="s">
        <v>127</v>
      </c>
      <c r="F31" t="s">
        <v>441</v>
      </c>
      <c r="G31" s="85">
        <v>6.3</v>
      </c>
      <c r="H31" s="86">
        <v>6.07</v>
      </c>
      <c r="I31" s="86">
        <v>0.08</v>
      </c>
      <c r="J31" s="87">
        <v>3</v>
      </c>
      <c r="K31" s="85">
        <v>5.8</v>
      </c>
      <c r="L31" s="85">
        <v>6.4</v>
      </c>
      <c r="M31" t="s">
        <v>436</v>
      </c>
      <c r="N31" t="s">
        <v>464</v>
      </c>
      <c r="O31" t="s">
        <v>443</v>
      </c>
      <c r="P31" s="85">
        <v>3.7891268533772573</v>
      </c>
      <c r="Q31" s="85">
        <v>3.7891268533772573</v>
      </c>
      <c r="R31" s="81"/>
      <c r="T31" t="s">
        <v>360</v>
      </c>
      <c r="U31" t="s">
        <v>494</v>
      </c>
      <c r="W31" t="s">
        <v>397</v>
      </c>
      <c r="X31" t="s">
        <v>125</v>
      </c>
      <c r="Y31" t="s">
        <v>125</v>
      </c>
    </row>
    <row r="32" spans="1:25" x14ac:dyDescent="0.3">
      <c r="A32" t="s">
        <v>397</v>
      </c>
      <c r="B32">
        <v>2025</v>
      </c>
      <c r="C32" t="s">
        <v>434</v>
      </c>
      <c r="D32" t="s">
        <v>419</v>
      </c>
      <c r="E32" t="s">
        <v>143</v>
      </c>
      <c r="F32" t="s">
        <v>435</v>
      </c>
      <c r="G32" s="85">
        <v>11.6</v>
      </c>
      <c r="H32" s="86">
        <v>11.41</v>
      </c>
      <c r="I32" s="86">
        <v>0.38</v>
      </c>
      <c r="J32" s="87">
        <v>0.5</v>
      </c>
      <c r="K32" s="85"/>
      <c r="L32" s="85"/>
      <c r="M32" t="s">
        <v>444</v>
      </c>
      <c r="N32" t="s">
        <v>495</v>
      </c>
      <c r="O32" t="s">
        <v>437</v>
      </c>
      <c r="P32" s="85">
        <v>1.665205959684483</v>
      </c>
      <c r="Q32" s="85">
        <v>1.665205959684483</v>
      </c>
      <c r="R32" s="81"/>
      <c r="T32" t="s">
        <v>360</v>
      </c>
      <c r="U32" t="s">
        <v>496</v>
      </c>
      <c r="W32" t="s">
        <v>397</v>
      </c>
      <c r="X32" t="s">
        <v>122</v>
      </c>
      <c r="Y32" t="s">
        <v>122</v>
      </c>
    </row>
    <row r="33" spans="1:21" x14ac:dyDescent="0.3">
      <c r="A33" t="s">
        <v>397</v>
      </c>
      <c r="B33">
        <v>2025</v>
      </c>
      <c r="C33" t="s">
        <v>434</v>
      </c>
      <c r="D33" t="s">
        <v>419</v>
      </c>
      <c r="E33" t="s">
        <v>143</v>
      </c>
      <c r="F33" t="s">
        <v>438</v>
      </c>
      <c r="G33" s="85">
        <v>11.8</v>
      </c>
      <c r="H33" s="86">
        <v>12.21</v>
      </c>
      <c r="I33" s="86">
        <v>0.38</v>
      </c>
      <c r="J33" s="87">
        <v>-1.1000000000000001</v>
      </c>
      <c r="K33" s="85"/>
      <c r="L33" s="85"/>
      <c r="M33" t="s">
        <v>444</v>
      </c>
      <c r="N33" t="s">
        <v>495</v>
      </c>
      <c r="O33" t="s">
        <v>437</v>
      </c>
      <c r="P33" s="85">
        <v>-3.3579033579033588</v>
      </c>
      <c r="Q33" s="85">
        <v>3.3579033579033588</v>
      </c>
      <c r="R33" s="81"/>
      <c r="T33" t="s">
        <v>360</v>
      </c>
      <c r="U33" t="s">
        <v>497</v>
      </c>
    </row>
    <row r="34" spans="1:21" x14ac:dyDescent="0.3">
      <c r="A34" t="s">
        <v>397</v>
      </c>
      <c r="B34">
        <v>2025</v>
      </c>
      <c r="C34" t="s">
        <v>434</v>
      </c>
      <c r="D34" t="s">
        <v>419</v>
      </c>
      <c r="E34" t="s">
        <v>143</v>
      </c>
      <c r="F34" t="s">
        <v>439</v>
      </c>
      <c r="G34" s="85">
        <v>9.6999999999999993</v>
      </c>
      <c r="H34" s="86">
        <v>10.32</v>
      </c>
      <c r="I34" s="86">
        <v>0.37</v>
      </c>
      <c r="J34" s="87">
        <v>-1.7</v>
      </c>
      <c r="K34" s="85"/>
      <c r="L34" s="85"/>
      <c r="M34" t="s">
        <v>444</v>
      </c>
      <c r="N34" t="s">
        <v>495</v>
      </c>
      <c r="O34" t="s">
        <v>437</v>
      </c>
      <c r="P34" s="85">
        <v>-6.007751937984505</v>
      </c>
      <c r="Q34" s="85">
        <v>6.007751937984505</v>
      </c>
      <c r="R34" s="81"/>
      <c r="T34" t="s">
        <v>360</v>
      </c>
      <c r="U34" t="s">
        <v>498</v>
      </c>
    </row>
    <row r="35" spans="1:21" x14ac:dyDescent="0.3">
      <c r="A35" t="s">
        <v>397</v>
      </c>
      <c r="B35">
        <v>2025</v>
      </c>
      <c r="C35" t="s">
        <v>434</v>
      </c>
      <c r="D35" t="s">
        <v>419</v>
      </c>
      <c r="E35" t="s">
        <v>143</v>
      </c>
      <c r="F35" t="s">
        <v>440</v>
      </c>
      <c r="G35" s="85">
        <v>11</v>
      </c>
      <c r="H35" s="86">
        <v>11.34</v>
      </c>
      <c r="I35" s="86">
        <v>0.42</v>
      </c>
      <c r="J35" s="87">
        <v>-0.8</v>
      </c>
      <c r="K35" s="85"/>
      <c r="L35" s="85"/>
      <c r="M35" t="s">
        <v>444</v>
      </c>
      <c r="N35" t="s">
        <v>495</v>
      </c>
      <c r="O35" t="s">
        <v>437</v>
      </c>
      <c r="P35" s="85">
        <v>-2.9982363315696636</v>
      </c>
      <c r="Q35" s="85">
        <v>2.9982363315696636</v>
      </c>
      <c r="R35" s="81"/>
      <c r="T35" t="s">
        <v>360</v>
      </c>
      <c r="U35" t="s">
        <v>499</v>
      </c>
    </row>
    <row r="36" spans="1:21" x14ac:dyDescent="0.3">
      <c r="A36" t="s">
        <v>397</v>
      </c>
      <c r="B36">
        <v>2025</v>
      </c>
      <c r="C36" t="s">
        <v>434</v>
      </c>
      <c r="D36" t="s">
        <v>419</v>
      </c>
      <c r="E36" t="s">
        <v>143</v>
      </c>
      <c r="F36" t="s">
        <v>441</v>
      </c>
      <c r="G36" s="85">
        <v>10.9</v>
      </c>
      <c r="H36" s="86">
        <v>11.33</v>
      </c>
      <c r="I36" s="86">
        <v>0.33</v>
      </c>
      <c r="J36" s="87">
        <v>-1.3</v>
      </c>
      <c r="K36" s="85"/>
      <c r="L36" s="85"/>
      <c r="M36" t="s">
        <v>444</v>
      </c>
      <c r="N36" t="s">
        <v>495</v>
      </c>
      <c r="O36" t="s">
        <v>437</v>
      </c>
      <c r="P36" s="85">
        <v>-3.7952338923212681</v>
      </c>
      <c r="Q36" s="85">
        <v>3.7952338923212681</v>
      </c>
      <c r="R36" s="81"/>
      <c r="T36" t="s">
        <v>360</v>
      </c>
      <c r="U36" t="s">
        <v>500</v>
      </c>
    </row>
    <row r="37" spans="1:21" x14ac:dyDescent="0.3">
      <c r="A37" t="s">
        <v>397</v>
      </c>
      <c r="B37">
        <v>2025</v>
      </c>
      <c r="C37" t="s">
        <v>434</v>
      </c>
      <c r="D37" t="s">
        <v>420</v>
      </c>
      <c r="E37" t="s">
        <v>144</v>
      </c>
      <c r="F37" t="s">
        <v>435</v>
      </c>
      <c r="G37" s="85">
        <v>0.72</v>
      </c>
      <c r="H37" s="86">
        <v>0.71499999999999997</v>
      </c>
      <c r="I37" s="86">
        <v>2.8000000000000001E-2</v>
      </c>
      <c r="J37" s="87">
        <v>0.2</v>
      </c>
      <c r="K37" s="85"/>
      <c r="L37" s="85"/>
      <c r="M37" t="s">
        <v>444</v>
      </c>
      <c r="N37" t="s">
        <v>495</v>
      </c>
      <c r="O37" t="s">
        <v>442</v>
      </c>
      <c r="P37" s="85">
        <v>0.69930069930070005</v>
      </c>
      <c r="Q37" s="85">
        <v>0.69930069930070005</v>
      </c>
      <c r="R37" s="81"/>
      <c r="T37" t="s">
        <v>360</v>
      </c>
      <c r="U37" t="s">
        <v>501</v>
      </c>
    </row>
    <row r="38" spans="1:21" x14ac:dyDescent="0.3">
      <c r="A38" t="s">
        <v>397</v>
      </c>
      <c r="B38">
        <v>2025</v>
      </c>
      <c r="C38" t="s">
        <v>434</v>
      </c>
      <c r="D38" t="s">
        <v>420</v>
      </c>
      <c r="E38" t="s">
        <v>144</v>
      </c>
      <c r="F38" t="s">
        <v>438</v>
      </c>
      <c r="G38" s="85">
        <v>2</v>
      </c>
      <c r="H38" s="86">
        <v>2.093</v>
      </c>
      <c r="I38" s="86">
        <v>7.0999999999999994E-2</v>
      </c>
      <c r="J38" s="87">
        <v>-1.3</v>
      </c>
      <c r="K38" s="85"/>
      <c r="L38" s="85"/>
      <c r="M38" t="s">
        <v>444</v>
      </c>
      <c r="N38" t="s">
        <v>495</v>
      </c>
      <c r="O38" t="s">
        <v>442</v>
      </c>
      <c r="P38" s="85">
        <v>-4.4433827042522678</v>
      </c>
      <c r="Q38" s="85">
        <v>4.4433827042522678</v>
      </c>
      <c r="R38" s="81"/>
      <c r="T38" t="s">
        <v>360</v>
      </c>
      <c r="U38" t="s">
        <v>502</v>
      </c>
    </row>
    <row r="39" spans="1:21" x14ac:dyDescent="0.3">
      <c r="A39" t="s">
        <v>397</v>
      </c>
      <c r="B39">
        <v>2025</v>
      </c>
      <c r="C39" t="s">
        <v>434</v>
      </c>
      <c r="D39" t="s">
        <v>420</v>
      </c>
      <c r="E39" t="s">
        <v>144</v>
      </c>
      <c r="F39" t="s">
        <v>439</v>
      </c>
      <c r="G39" s="85">
        <v>0.26</v>
      </c>
      <c r="H39" s="86">
        <v>0.29199999999999998</v>
      </c>
      <c r="I39" s="86">
        <v>1.2999999999999999E-2</v>
      </c>
      <c r="J39" s="87">
        <v>-2.5</v>
      </c>
      <c r="K39" s="85"/>
      <c r="L39" s="85"/>
      <c r="M39" t="s">
        <v>444</v>
      </c>
      <c r="N39" t="s">
        <v>495</v>
      </c>
      <c r="O39" t="s">
        <v>442</v>
      </c>
      <c r="P39" s="85">
        <v>-10.958904109589032</v>
      </c>
      <c r="Q39" s="85">
        <v>10.958904109589032</v>
      </c>
      <c r="R39" s="81"/>
      <c r="T39" t="s">
        <v>360</v>
      </c>
      <c r="U39" t="s">
        <v>503</v>
      </c>
    </row>
    <row r="40" spans="1:21" x14ac:dyDescent="0.3">
      <c r="A40" t="s">
        <v>397</v>
      </c>
      <c r="B40">
        <v>2025</v>
      </c>
      <c r="C40" t="s">
        <v>434</v>
      </c>
      <c r="D40" t="s">
        <v>420</v>
      </c>
      <c r="E40" t="s">
        <v>144</v>
      </c>
      <c r="F40" t="s">
        <v>440</v>
      </c>
      <c r="G40" s="85">
        <v>0.32</v>
      </c>
      <c r="H40" s="86">
        <v>0.32900000000000001</v>
      </c>
      <c r="I40" s="86">
        <v>1.4999999999999999E-2</v>
      </c>
      <c r="J40" s="87">
        <v>-0.6</v>
      </c>
      <c r="K40" s="85"/>
      <c r="L40" s="85"/>
      <c r="M40" t="s">
        <v>444</v>
      </c>
      <c r="N40" t="s">
        <v>495</v>
      </c>
      <c r="O40" t="s">
        <v>442</v>
      </c>
      <c r="P40" s="85">
        <v>-2.7355623100303976</v>
      </c>
      <c r="Q40" s="85">
        <v>2.7355623100303976</v>
      </c>
      <c r="R40" s="81"/>
      <c r="T40" t="s">
        <v>360</v>
      </c>
      <c r="U40" t="s">
        <v>504</v>
      </c>
    </row>
    <row r="41" spans="1:21" x14ac:dyDescent="0.3">
      <c r="A41" t="s">
        <v>397</v>
      </c>
      <c r="B41">
        <v>2025</v>
      </c>
      <c r="C41" t="s">
        <v>434</v>
      </c>
      <c r="D41" t="s">
        <v>420</v>
      </c>
      <c r="E41" t="s">
        <v>144</v>
      </c>
      <c r="F41" t="s">
        <v>441</v>
      </c>
      <c r="G41" s="85">
        <v>0.83</v>
      </c>
      <c r="H41" s="86">
        <v>0.89</v>
      </c>
      <c r="I41" s="86">
        <v>3.1E-2</v>
      </c>
      <c r="J41" s="87">
        <v>-1.9</v>
      </c>
      <c r="K41" s="85"/>
      <c r="L41" s="85"/>
      <c r="M41" t="s">
        <v>444</v>
      </c>
      <c r="N41" t="s">
        <v>495</v>
      </c>
      <c r="O41" t="s">
        <v>442</v>
      </c>
      <c r="P41" s="85">
        <v>-6.741573033707871</v>
      </c>
      <c r="Q41" s="85">
        <v>6.741573033707871</v>
      </c>
      <c r="R41" s="81"/>
      <c r="T41" t="s">
        <v>360</v>
      </c>
      <c r="U41" t="s">
        <v>505</v>
      </c>
    </row>
    <row r="42" spans="1:21" x14ac:dyDescent="0.3">
      <c r="A42" t="s">
        <v>397</v>
      </c>
      <c r="B42">
        <v>2025</v>
      </c>
      <c r="C42" t="s">
        <v>434</v>
      </c>
      <c r="D42" t="s">
        <v>421</v>
      </c>
      <c r="F42" t="s">
        <v>435</v>
      </c>
      <c r="G42" s="85">
        <v>19.899999999999999</v>
      </c>
      <c r="H42" s="86">
        <v>20.010000000000002</v>
      </c>
      <c r="I42" s="86">
        <v>0.74</v>
      </c>
      <c r="J42" s="87">
        <v>-0.1</v>
      </c>
      <c r="K42" s="85"/>
      <c r="L42" s="85"/>
      <c r="M42" t="s">
        <v>444</v>
      </c>
      <c r="N42" t="s">
        <v>495</v>
      </c>
      <c r="O42" t="s">
        <v>437</v>
      </c>
      <c r="P42" s="85">
        <v>-0.54972513743129925</v>
      </c>
      <c r="Q42" s="85">
        <v>0.54972513743129925</v>
      </c>
      <c r="R42" s="81"/>
      <c r="T42" t="s">
        <v>360</v>
      </c>
      <c r="U42" t="s">
        <v>506</v>
      </c>
    </row>
    <row r="43" spans="1:21" x14ac:dyDescent="0.3">
      <c r="A43" t="s">
        <v>397</v>
      </c>
      <c r="B43">
        <v>2025</v>
      </c>
      <c r="C43" t="s">
        <v>434</v>
      </c>
      <c r="D43" t="s">
        <v>421</v>
      </c>
      <c r="F43" t="s">
        <v>438</v>
      </c>
      <c r="G43" s="85">
        <v>20</v>
      </c>
      <c r="H43" s="86">
        <v>20.03</v>
      </c>
      <c r="I43" s="86">
        <v>0.76</v>
      </c>
      <c r="J43" s="87">
        <v>0</v>
      </c>
      <c r="K43" s="85"/>
      <c r="L43" s="85"/>
      <c r="M43" t="s">
        <v>444</v>
      </c>
      <c r="N43" t="s">
        <v>495</v>
      </c>
      <c r="O43" t="s">
        <v>437</v>
      </c>
      <c r="P43" s="85">
        <v>-0.1497753369945139</v>
      </c>
      <c r="Q43" s="85">
        <v>0.1497753369945139</v>
      </c>
      <c r="R43" s="81"/>
      <c r="T43" t="s">
        <v>360</v>
      </c>
      <c r="U43" t="s">
        <v>507</v>
      </c>
    </row>
    <row r="44" spans="1:21" x14ac:dyDescent="0.3">
      <c r="A44" t="s">
        <v>397</v>
      </c>
      <c r="B44">
        <v>2025</v>
      </c>
      <c r="C44" t="s">
        <v>434</v>
      </c>
      <c r="D44" t="s">
        <v>421</v>
      </c>
      <c r="F44" t="s">
        <v>439</v>
      </c>
      <c r="G44" s="85">
        <v>19.5</v>
      </c>
      <c r="H44" s="86">
        <v>19.989999999999998</v>
      </c>
      <c r="I44" s="86">
        <v>0.57999999999999996</v>
      </c>
      <c r="J44" s="87">
        <v>-0.8</v>
      </c>
      <c r="K44" s="85"/>
      <c r="L44" s="85"/>
      <c r="M44" t="s">
        <v>444</v>
      </c>
      <c r="N44" t="s">
        <v>495</v>
      </c>
      <c r="O44" t="s">
        <v>437</v>
      </c>
      <c r="P44" s="85">
        <v>-2.4512256128063954</v>
      </c>
      <c r="Q44" s="85">
        <v>2.4512256128063954</v>
      </c>
      <c r="R44" s="81"/>
      <c r="T44" t="s">
        <v>360</v>
      </c>
      <c r="U44" t="s">
        <v>508</v>
      </c>
    </row>
    <row r="45" spans="1:21" x14ac:dyDescent="0.3">
      <c r="A45" t="s">
        <v>397</v>
      </c>
      <c r="B45">
        <v>2025</v>
      </c>
      <c r="C45" t="s">
        <v>434</v>
      </c>
      <c r="D45" t="s">
        <v>421</v>
      </c>
      <c r="F45" t="s">
        <v>440</v>
      </c>
      <c r="G45" s="85">
        <v>20.8</v>
      </c>
      <c r="H45" s="86">
        <v>20.010000000000002</v>
      </c>
      <c r="I45" s="86">
        <v>0.65</v>
      </c>
      <c r="J45" s="87">
        <v>1.2</v>
      </c>
      <c r="K45" s="85"/>
      <c r="L45" s="85"/>
      <c r="M45" t="s">
        <v>444</v>
      </c>
      <c r="N45" t="s">
        <v>495</v>
      </c>
      <c r="O45" t="s">
        <v>437</v>
      </c>
      <c r="P45" s="85">
        <v>3.948025987006492</v>
      </c>
      <c r="Q45" s="85">
        <v>3.948025987006492</v>
      </c>
      <c r="R45" s="81"/>
      <c r="T45" t="s">
        <v>360</v>
      </c>
      <c r="U45" t="s">
        <v>509</v>
      </c>
    </row>
    <row r="46" spans="1:21" x14ac:dyDescent="0.3">
      <c r="A46" t="s">
        <v>397</v>
      </c>
      <c r="B46">
        <v>2025</v>
      </c>
      <c r="C46" t="s">
        <v>434</v>
      </c>
      <c r="D46" t="s">
        <v>421</v>
      </c>
      <c r="F46" t="s">
        <v>441</v>
      </c>
      <c r="G46" s="85">
        <v>20.6</v>
      </c>
      <c r="H46" s="86">
        <v>20</v>
      </c>
      <c r="I46" s="86">
        <v>0.79</v>
      </c>
      <c r="J46" s="87">
        <v>0.8</v>
      </c>
      <c r="K46" s="85"/>
      <c r="L46" s="85"/>
      <c r="M46" t="s">
        <v>444</v>
      </c>
      <c r="N46" t="s">
        <v>495</v>
      </c>
      <c r="O46" t="s">
        <v>437</v>
      </c>
      <c r="P46" s="85">
        <v>3.0000000000000071</v>
      </c>
      <c r="Q46" s="85">
        <v>3.0000000000000071</v>
      </c>
      <c r="R46" s="81"/>
      <c r="T46" t="s">
        <v>360</v>
      </c>
      <c r="U46" t="s">
        <v>510</v>
      </c>
    </row>
    <row r="47" spans="1:21" x14ac:dyDescent="0.3">
      <c r="A47" t="s">
        <v>397</v>
      </c>
      <c r="B47">
        <v>2025</v>
      </c>
      <c r="C47" t="s">
        <v>434</v>
      </c>
      <c r="D47" t="s">
        <v>422</v>
      </c>
      <c r="E47" t="s">
        <v>134</v>
      </c>
      <c r="F47" t="s">
        <v>435</v>
      </c>
      <c r="G47" s="85">
        <v>28.2</v>
      </c>
      <c r="H47" s="86">
        <v>27.94</v>
      </c>
      <c r="I47" s="86">
        <v>1.07</v>
      </c>
      <c r="J47" s="87">
        <v>0.2</v>
      </c>
      <c r="K47" s="85">
        <v>24.7</v>
      </c>
      <c r="L47" s="85">
        <v>31.2</v>
      </c>
      <c r="M47" t="s">
        <v>436</v>
      </c>
      <c r="N47" t="s">
        <v>464</v>
      </c>
      <c r="O47" t="s">
        <v>437</v>
      </c>
      <c r="P47" s="85">
        <v>0.93056549749462414</v>
      </c>
      <c r="Q47" s="85">
        <v>0.93056549749462414</v>
      </c>
      <c r="R47" s="81"/>
      <c r="T47" t="s">
        <v>360</v>
      </c>
      <c r="U47" t="s">
        <v>511</v>
      </c>
    </row>
    <row r="48" spans="1:21" x14ac:dyDescent="0.3">
      <c r="A48" t="s">
        <v>397</v>
      </c>
      <c r="B48">
        <v>2025</v>
      </c>
      <c r="C48" t="s">
        <v>434</v>
      </c>
      <c r="D48" t="s">
        <v>422</v>
      </c>
      <c r="E48" t="s">
        <v>134</v>
      </c>
      <c r="F48" t="s">
        <v>438</v>
      </c>
      <c r="G48" s="85">
        <v>24.6</v>
      </c>
      <c r="H48" s="86">
        <v>23.88</v>
      </c>
      <c r="I48" s="86">
        <v>0.84</v>
      </c>
      <c r="J48" s="87">
        <v>0.9</v>
      </c>
      <c r="K48" s="85">
        <v>21.3</v>
      </c>
      <c r="L48" s="85">
        <v>26.4</v>
      </c>
      <c r="M48" t="s">
        <v>436</v>
      </c>
      <c r="N48" t="s">
        <v>464</v>
      </c>
      <c r="O48" t="s">
        <v>437</v>
      </c>
      <c r="P48" s="85">
        <v>3.0150753768844325</v>
      </c>
      <c r="Q48" s="85">
        <v>3.0150753768844325</v>
      </c>
      <c r="R48" s="81"/>
      <c r="T48" t="s">
        <v>360</v>
      </c>
      <c r="U48" t="s">
        <v>512</v>
      </c>
    </row>
    <row r="49" spans="1:21" x14ac:dyDescent="0.3">
      <c r="A49" t="s">
        <v>397</v>
      </c>
      <c r="B49">
        <v>2025</v>
      </c>
      <c r="C49" t="s">
        <v>434</v>
      </c>
      <c r="D49" t="s">
        <v>422</v>
      </c>
      <c r="E49" t="s">
        <v>134</v>
      </c>
      <c r="F49" t="s">
        <v>439</v>
      </c>
      <c r="G49" s="85">
        <v>36.700000000000003</v>
      </c>
      <c r="H49" s="86">
        <v>32.93</v>
      </c>
      <c r="I49" s="86">
        <v>1.45</v>
      </c>
      <c r="J49" s="87">
        <v>2.6</v>
      </c>
      <c r="K49" s="85">
        <v>28.5</v>
      </c>
      <c r="L49" s="85">
        <v>37.299999999999997</v>
      </c>
      <c r="M49" t="s">
        <v>436</v>
      </c>
      <c r="N49" t="s">
        <v>464</v>
      </c>
      <c r="O49" t="s">
        <v>437</v>
      </c>
      <c r="P49" s="85">
        <v>11.448527178864266</v>
      </c>
      <c r="Q49" s="85">
        <v>11.448527178864266</v>
      </c>
      <c r="R49" s="81"/>
      <c r="T49" t="s">
        <v>360</v>
      </c>
      <c r="U49" t="s">
        <v>513</v>
      </c>
    </row>
    <row r="50" spans="1:21" x14ac:dyDescent="0.3">
      <c r="A50" t="s">
        <v>397</v>
      </c>
      <c r="B50">
        <v>2025</v>
      </c>
      <c r="C50" t="s">
        <v>434</v>
      </c>
      <c r="D50" t="s">
        <v>422</v>
      </c>
      <c r="E50" t="s">
        <v>134</v>
      </c>
      <c r="F50" t="s">
        <v>440</v>
      </c>
      <c r="G50" s="85">
        <v>29.3</v>
      </c>
      <c r="H50" s="86">
        <v>27.55</v>
      </c>
      <c r="I50" s="86">
        <v>1.1499999999999999</v>
      </c>
      <c r="J50" s="87">
        <v>1.5</v>
      </c>
      <c r="K50" s="85">
        <v>24.1</v>
      </c>
      <c r="L50" s="85">
        <v>31.1</v>
      </c>
      <c r="M50" t="s">
        <v>436</v>
      </c>
      <c r="N50" t="s">
        <v>464</v>
      </c>
      <c r="O50" t="s">
        <v>437</v>
      </c>
      <c r="P50" s="85">
        <v>6.3520871143375679</v>
      </c>
      <c r="Q50" s="85">
        <v>6.3520871143375679</v>
      </c>
      <c r="R50" s="81"/>
      <c r="T50" t="s">
        <v>360</v>
      </c>
      <c r="U50" t="s">
        <v>514</v>
      </c>
    </row>
    <row r="51" spans="1:21" x14ac:dyDescent="0.3">
      <c r="A51" t="s">
        <v>397</v>
      </c>
      <c r="B51">
        <v>2025</v>
      </c>
      <c r="C51" t="s">
        <v>434</v>
      </c>
      <c r="D51" t="s">
        <v>422</v>
      </c>
      <c r="E51" t="s">
        <v>134</v>
      </c>
      <c r="F51" t="s">
        <v>441</v>
      </c>
      <c r="G51" s="85">
        <v>28.5</v>
      </c>
      <c r="H51" s="86">
        <v>27.37</v>
      </c>
      <c r="I51" s="86">
        <v>0.93</v>
      </c>
      <c r="J51" s="87">
        <v>1.2</v>
      </c>
      <c r="K51" s="85">
        <v>24.5</v>
      </c>
      <c r="L51" s="85">
        <v>30.2</v>
      </c>
      <c r="M51" t="s">
        <v>436</v>
      </c>
      <c r="N51" t="s">
        <v>464</v>
      </c>
      <c r="O51" t="s">
        <v>437</v>
      </c>
      <c r="P51" s="85">
        <v>4.1286079649250969</v>
      </c>
      <c r="Q51" s="85">
        <v>4.1286079649250969</v>
      </c>
      <c r="R51" s="81"/>
      <c r="T51" t="s">
        <v>360</v>
      </c>
      <c r="U51" t="s">
        <v>515</v>
      </c>
    </row>
    <row r="52" spans="1:21" x14ac:dyDescent="0.3">
      <c r="A52" t="s">
        <v>397</v>
      </c>
      <c r="B52">
        <v>2025</v>
      </c>
      <c r="C52" t="s">
        <v>434</v>
      </c>
      <c r="D52" t="s">
        <v>423</v>
      </c>
      <c r="E52" t="s">
        <v>139</v>
      </c>
      <c r="F52" t="s">
        <v>435</v>
      </c>
      <c r="G52" s="85">
        <v>1.75</v>
      </c>
      <c r="H52" s="86">
        <v>1.7509999999999999</v>
      </c>
      <c r="I52" s="86">
        <v>7.5999999999999998E-2</v>
      </c>
      <c r="J52" s="87">
        <v>0</v>
      </c>
      <c r="K52" s="85">
        <v>1.52</v>
      </c>
      <c r="L52" s="85">
        <v>1.98</v>
      </c>
      <c r="M52" t="s">
        <v>436</v>
      </c>
      <c r="N52" t="s">
        <v>464</v>
      </c>
      <c r="O52" t="s">
        <v>442</v>
      </c>
      <c r="P52" s="85">
        <v>-5.711022272986236E-2</v>
      </c>
      <c r="Q52" s="85">
        <v>5.711022272986236E-2</v>
      </c>
      <c r="R52" s="81"/>
      <c r="T52" t="s">
        <v>360</v>
      </c>
      <c r="U52" t="s">
        <v>516</v>
      </c>
    </row>
    <row r="53" spans="1:21" x14ac:dyDescent="0.3">
      <c r="A53" t="s">
        <v>397</v>
      </c>
      <c r="B53">
        <v>2025</v>
      </c>
      <c r="C53" t="s">
        <v>434</v>
      </c>
      <c r="D53" t="s">
        <v>423</v>
      </c>
      <c r="E53" t="s">
        <v>139</v>
      </c>
      <c r="F53" t="s">
        <v>438</v>
      </c>
      <c r="G53" s="85">
        <v>4.16</v>
      </c>
      <c r="H53" s="86">
        <v>4.093</v>
      </c>
      <c r="I53" s="86">
        <v>0.159</v>
      </c>
      <c r="J53" s="87">
        <v>0.4</v>
      </c>
      <c r="K53" s="85">
        <v>3.61</v>
      </c>
      <c r="L53" s="85">
        <v>4.57</v>
      </c>
      <c r="M53" t="s">
        <v>436</v>
      </c>
      <c r="N53" t="s">
        <v>464</v>
      </c>
      <c r="O53" t="s">
        <v>442</v>
      </c>
      <c r="P53" s="85">
        <v>1.6369411189836349</v>
      </c>
      <c r="Q53" s="85">
        <v>1.6369411189836349</v>
      </c>
      <c r="R53" s="81"/>
      <c r="T53" t="s">
        <v>360</v>
      </c>
      <c r="U53" t="s">
        <v>517</v>
      </c>
    </row>
    <row r="54" spans="1:21" x14ac:dyDescent="0.3">
      <c r="A54" t="s">
        <v>397</v>
      </c>
      <c r="B54">
        <v>2025</v>
      </c>
      <c r="C54" t="s">
        <v>434</v>
      </c>
      <c r="D54" t="s">
        <v>423</v>
      </c>
      <c r="E54" t="s">
        <v>139</v>
      </c>
      <c r="F54" t="s">
        <v>439</v>
      </c>
      <c r="G54" s="85">
        <v>0.98</v>
      </c>
      <c r="H54" s="86">
        <v>0.93200000000000005</v>
      </c>
      <c r="I54" s="86">
        <v>4.7E-2</v>
      </c>
      <c r="J54" s="87">
        <v>1</v>
      </c>
      <c r="K54" s="85">
        <v>0.78</v>
      </c>
      <c r="L54" s="85">
        <v>1.08</v>
      </c>
      <c r="M54" t="s">
        <v>436</v>
      </c>
      <c r="N54" t="s">
        <v>464</v>
      </c>
      <c r="O54" t="s">
        <v>442</v>
      </c>
      <c r="P54" s="85">
        <v>5.1502145922746703</v>
      </c>
      <c r="Q54" s="85">
        <v>5.1502145922746703</v>
      </c>
      <c r="R54" s="81"/>
      <c r="T54" t="s">
        <v>360</v>
      </c>
      <c r="U54" t="s">
        <v>518</v>
      </c>
    </row>
    <row r="55" spans="1:21" x14ac:dyDescent="0.3">
      <c r="A55" t="s">
        <v>397</v>
      </c>
      <c r="B55">
        <v>2025</v>
      </c>
      <c r="C55" t="s">
        <v>434</v>
      </c>
      <c r="D55" t="s">
        <v>423</v>
      </c>
      <c r="E55" t="s">
        <v>139</v>
      </c>
      <c r="F55" t="s">
        <v>440</v>
      </c>
      <c r="G55" s="85">
        <v>0.85</v>
      </c>
      <c r="H55" s="86">
        <v>0.79900000000000004</v>
      </c>
      <c r="I55" s="86">
        <v>0.04</v>
      </c>
      <c r="J55" s="87">
        <v>1.3</v>
      </c>
      <c r="K55" s="85">
        <v>0.67</v>
      </c>
      <c r="L55" s="85">
        <v>0.92</v>
      </c>
      <c r="M55" t="s">
        <v>436</v>
      </c>
      <c r="N55" t="s">
        <v>464</v>
      </c>
      <c r="O55" t="s">
        <v>442</v>
      </c>
      <c r="P55" s="85">
        <v>6.3829787234042463</v>
      </c>
      <c r="Q55" s="85">
        <v>6.3829787234042463</v>
      </c>
      <c r="R55" s="81"/>
      <c r="T55" t="s">
        <v>360</v>
      </c>
      <c r="U55" t="s">
        <v>519</v>
      </c>
    </row>
    <row r="56" spans="1:21" x14ac:dyDescent="0.3">
      <c r="A56" t="s">
        <v>397</v>
      </c>
      <c r="B56">
        <v>2025</v>
      </c>
      <c r="C56" t="s">
        <v>434</v>
      </c>
      <c r="D56" t="s">
        <v>423</v>
      </c>
      <c r="E56" t="s">
        <v>139</v>
      </c>
      <c r="F56" t="s">
        <v>441</v>
      </c>
      <c r="G56" s="85">
        <v>2.16</v>
      </c>
      <c r="H56" s="86">
        <v>2.15</v>
      </c>
      <c r="I56" s="86">
        <v>8.3000000000000004E-2</v>
      </c>
      <c r="J56" s="87">
        <v>0.1</v>
      </c>
      <c r="K56" s="85">
        <v>1.9</v>
      </c>
      <c r="L56" s="85">
        <v>2.4</v>
      </c>
      <c r="M56" t="s">
        <v>436</v>
      </c>
      <c r="N56" t="s">
        <v>464</v>
      </c>
      <c r="O56" t="s">
        <v>442</v>
      </c>
      <c r="P56" s="85">
        <v>0.4651162790697782</v>
      </c>
      <c r="Q56" s="85">
        <v>0.4651162790697782</v>
      </c>
      <c r="R56" s="81"/>
      <c r="T56" t="s">
        <v>360</v>
      </c>
      <c r="U56" t="s">
        <v>520</v>
      </c>
    </row>
    <row r="57" spans="1:21" x14ac:dyDescent="0.3">
      <c r="A57" t="s">
        <v>397</v>
      </c>
      <c r="B57">
        <v>2025</v>
      </c>
      <c r="C57" t="s">
        <v>434</v>
      </c>
      <c r="D57" t="s">
        <v>130</v>
      </c>
      <c r="E57" t="s">
        <v>130</v>
      </c>
      <c r="F57" t="s">
        <v>435</v>
      </c>
      <c r="G57" s="85">
        <v>27.9</v>
      </c>
      <c r="H57" s="86">
        <v>27.6</v>
      </c>
      <c r="I57" s="86">
        <v>0.32</v>
      </c>
      <c r="J57" s="87">
        <v>0.9</v>
      </c>
      <c r="K57" s="85">
        <v>26.6</v>
      </c>
      <c r="L57" s="85">
        <v>28.6</v>
      </c>
      <c r="M57" t="s">
        <v>436</v>
      </c>
      <c r="N57" t="s">
        <v>464</v>
      </c>
      <c r="O57" t="s">
        <v>445</v>
      </c>
      <c r="P57" s="85">
        <v>1.0869565217391199</v>
      </c>
      <c r="Q57" s="85">
        <v>1.0869565217391199</v>
      </c>
      <c r="R57" s="81"/>
      <c r="T57" t="s">
        <v>360</v>
      </c>
      <c r="U57" t="s">
        <v>521</v>
      </c>
    </row>
    <row r="58" spans="1:21" x14ac:dyDescent="0.3">
      <c r="A58" t="s">
        <v>397</v>
      </c>
      <c r="B58">
        <v>2025</v>
      </c>
      <c r="C58" t="s">
        <v>434</v>
      </c>
      <c r="D58" t="s">
        <v>130</v>
      </c>
      <c r="E58" t="s">
        <v>130</v>
      </c>
      <c r="F58" t="s">
        <v>438</v>
      </c>
      <c r="G58" s="85">
        <v>30.8</v>
      </c>
      <c r="H58" s="86">
        <v>30.51</v>
      </c>
      <c r="I58" s="86">
        <v>0.35</v>
      </c>
      <c r="J58" s="87">
        <v>0.8</v>
      </c>
      <c r="K58" s="85">
        <v>29.4</v>
      </c>
      <c r="L58" s="85">
        <v>31.6</v>
      </c>
      <c r="M58" t="s">
        <v>436</v>
      </c>
      <c r="N58" t="s">
        <v>464</v>
      </c>
      <c r="O58" t="s">
        <v>445</v>
      </c>
      <c r="P58" s="85">
        <v>0.95050803015404495</v>
      </c>
      <c r="Q58" s="85">
        <v>0.95050803015404495</v>
      </c>
      <c r="R58" s="81"/>
      <c r="T58" t="s">
        <v>360</v>
      </c>
      <c r="U58" t="s">
        <v>522</v>
      </c>
    </row>
    <row r="59" spans="1:21" x14ac:dyDescent="0.3">
      <c r="A59" t="s">
        <v>397</v>
      </c>
      <c r="B59">
        <v>2025</v>
      </c>
      <c r="C59" t="s">
        <v>434</v>
      </c>
      <c r="D59" t="s">
        <v>130</v>
      </c>
      <c r="E59" t="s">
        <v>130</v>
      </c>
      <c r="F59" t="s">
        <v>439</v>
      </c>
      <c r="G59" s="85">
        <v>24.8</v>
      </c>
      <c r="H59" s="86">
        <v>24.36</v>
      </c>
      <c r="I59" s="86">
        <v>0.34</v>
      </c>
      <c r="J59" s="87">
        <v>1.3</v>
      </c>
      <c r="K59" s="85">
        <v>23.3</v>
      </c>
      <c r="L59" s="85">
        <v>25.4</v>
      </c>
      <c r="M59" t="s">
        <v>436</v>
      </c>
      <c r="N59" t="s">
        <v>464</v>
      </c>
      <c r="O59" t="s">
        <v>445</v>
      </c>
      <c r="P59" s="85">
        <v>1.8062397372742254</v>
      </c>
      <c r="Q59" s="85">
        <v>1.8062397372742254</v>
      </c>
      <c r="R59" s="81"/>
      <c r="T59" t="s">
        <v>360</v>
      </c>
      <c r="U59" t="s">
        <v>523</v>
      </c>
    </row>
    <row r="60" spans="1:21" x14ac:dyDescent="0.3">
      <c r="A60" t="s">
        <v>397</v>
      </c>
      <c r="B60">
        <v>2025</v>
      </c>
      <c r="C60" t="s">
        <v>434</v>
      </c>
      <c r="D60" t="s">
        <v>130</v>
      </c>
      <c r="E60" t="s">
        <v>130</v>
      </c>
      <c r="F60" t="s">
        <v>440</v>
      </c>
      <c r="G60" s="85">
        <v>29.2</v>
      </c>
      <c r="H60" s="86">
        <v>28.87</v>
      </c>
      <c r="I60" s="86">
        <v>0.33</v>
      </c>
      <c r="J60" s="87">
        <v>1</v>
      </c>
      <c r="K60" s="85">
        <v>27.8</v>
      </c>
      <c r="L60" s="85">
        <v>29.9</v>
      </c>
      <c r="M60" t="s">
        <v>436</v>
      </c>
      <c r="N60" t="s">
        <v>464</v>
      </c>
      <c r="O60" t="s">
        <v>445</v>
      </c>
      <c r="P60" s="85">
        <v>1.143055074471764</v>
      </c>
      <c r="Q60" s="85">
        <v>1.143055074471764</v>
      </c>
      <c r="R60" s="81"/>
      <c r="T60" t="s">
        <v>360</v>
      </c>
      <c r="U60" t="s">
        <v>524</v>
      </c>
    </row>
    <row r="61" spans="1:21" x14ac:dyDescent="0.3">
      <c r="A61" t="s">
        <v>397</v>
      </c>
      <c r="B61">
        <v>2025</v>
      </c>
      <c r="C61" t="s">
        <v>434</v>
      </c>
      <c r="D61" t="s">
        <v>130</v>
      </c>
      <c r="E61" t="s">
        <v>130</v>
      </c>
      <c r="F61" t="s">
        <v>441</v>
      </c>
      <c r="G61" s="85">
        <v>26</v>
      </c>
      <c r="H61" s="86">
        <v>25.27</v>
      </c>
      <c r="I61" s="86">
        <v>0.32</v>
      </c>
      <c r="J61" s="87">
        <v>2.2999999999999998</v>
      </c>
      <c r="K61" s="85">
        <v>24.2</v>
      </c>
      <c r="L61" s="85">
        <v>26.3</v>
      </c>
      <c r="M61" t="s">
        <v>436</v>
      </c>
      <c r="N61" t="s">
        <v>464</v>
      </c>
      <c r="O61" t="s">
        <v>445</v>
      </c>
      <c r="P61" s="85">
        <v>2.8888009497427798</v>
      </c>
      <c r="Q61" s="85">
        <v>2.8888009497427798</v>
      </c>
      <c r="R61" s="81"/>
      <c r="T61" t="s">
        <v>360</v>
      </c>
      <c r="U61" t="s">
        <v>525</v>
      </c>
    </row>
    <row r="62" spans="1:21" x14ac:dyDescent="0.3">
      <c r="A62" t="s">
        <v>397</v>
      </c>
      <c r="B62">
        <v>2025</v>
      </c>
      <c r="C62" t="s">
        <v>434</v>
      </c>
      <c r="D62" t="s">
        <v>131</v>
      </c>
      <c r="E62" t="s">
        <v>131</v>
      </c>
      <c r="F62" t="s">
        <v>435</v>
      </c>
      <c r="G62" s="85">
        <v>35.1</v>
      </c>
      <c r="H62" s="86">
        <v>34.08</v>
      </c>
      <c r="I62" s="86">
        <v>0.5</v>
      </c>
      <c r="J62" s="87">
        <v>2</v>
      </c>
      <c r="K62" s="85">
        <v>32.5</v>
      </c>
      <c r="L62" s="85">
        <v>35.6</v>
      </c>
      <c r="M62" t="s">
        <v>436</v>
      </c>
      <c r="N62" t="s">
        <v>464</v>
      </c>
      <c r="O62" t="s">
        <v>443</v>
      </c>
      <c r="P62" s="85">
        <v>2.9929577464788824</v>
      </c>
      <c r="Q62" s="85">
        <v>2.9929577464788824</v>
      </c>
      <c r="R62" s="81"/>
      <c r="T62" t="s">
        <v>360</v>
      </c>
      <c r="U62" t="s">
        <v>526</v>
      </c>
    </row>
    <row r="63" spans="1:21" x14ac:dyDescent="0.3">
      <c r="A63" t="s">
        <v>397</v>
      </c>
      <c r="B63">
        <v>2025</v>
      </c>
      <c r="C63" t="s">
        <v>434</v>
      </c>
      <c r="D63" t="s">
        <v>131</v>
      </c>
      <c r="E63" t="s">
        <v>131</v>
      </c>
      <c r="F63" t="s">
        <v>438</v>
      </c>
      <c r="G63" s="85">
        <v>35.5</v>
      </c>
      <c r="H63" s="86">
        <v>34.630000000000003</v>
      </c>
      <c r="I63" s="86">
        <v>0.5</v>
      </c>
      <c r="J63" s="87">
        <v>1.7</v>
      </c>
      <c r="K63" s="85">
        <v>33.1</v>
      </c>
      <c r="L63" s="85">
        <v>36.200000000000003</v>
      </c>
      <c r="M63" t="s">
        <v>436</v>
      </c>
      <c r="N63" t="s">
        <v>464</v>
      </c>
      <c r="O63" t="s">
        <v>443</v>
      </c>
      <c r="P63" s="85">
        <v>2.5122725960150083</v>
      </c>
      <c r="Q63" s="85">
        <v>2.5122725960150083</v>
      </c>
      <c r="R63" s="81"/>
      <c r="T63" t="s">
        <v>360</v>
      </c>
      <c r="U63" t="s">
        <v>527</v>
      </c>
    </row>
    <row r="64" spans="1:21" x14ac:dyDescent="0.3">
      <c r="A64" t="s">
        <v>397</v>
      </c>
      <c r="B64">
        <v>2025</v>
      </c>
      <c r="C64" t="s">
        <v>434</v>
      </c>
      <c r="D64" t="s">
        <v>131</v>
      </c>
      <c r="E64" t="s">
        <v>131</v>
      </c>
      <c r="F64" t="s">
        <v>439</v>
      </c>
      <c r="G64" s="85">
        <v>34.6</v>
      </c>
      <c r="H64" s="86">
        <v>33.159999999999997</v>
      </c>
      <c r="I64" s="86">
        <v>0.59</v>
      </c>
      <c r="J64" s="87">
        <v>2.4</v>
      </c>
      <c r="K64" s="85">
        <v>31.3</v>
      </c>
      <c r="L64" s="85">
        <v>35</v>
      </c>
      <c r="M64" t="s">
        <v>436</v>
      </c>
      <c r="N64" t="s">
        <v>464</v>
      </c>
      <c r="O64" t="s">
        <v>443</v>
      </c>
      <c r="P64" s="85">
        <v>4.3425814234017039</v>
      </c>
      <c r="Q64" s="85">
        <v>4.3425814234017039</v>
      </c>
      <c r="R64" s="81"/>
      <c r="T64" t="s">
        <v>360</v>
      </c>
      <c r="U64" t="s">
        <v>528</v>
      </c>
    </row>
    <row r="65" spans="1:21" x14ac:dyDescent="0.3">
      <c r="A65" t="s">
        <v>397</v>
      </c>
      <c r="B65">
        <v>2025</v>
      </c>
      <c r="C65" t="s">
        <v>434</v>
      </c>
      <c r="D65" t="s">
        <v>131</v>
      </c>
      <c r="E65" t="s">
        <v>131</v>
      </c>
      <c r="F65" t="s">
        <v>440</v>
      </c>
      <c r="G65" s="85">
        <v>35.1</v>
      </c>
      <c r="H65" s="86">
        <v>34.11</v>
      </c>
      <c r="I65" s="86">
        <v>0.5</v>
      </c>
      <c r="J65" s="87">
        <v>2</v>
      </c>
      <c r="K65" s="85">
        <v>32.5</v>
      </c>
      <c r="L65" s="85">
        <v>35.700000000000003</v>
      </c>
      <c r="M65" t="s">
        <v>436</v>
      </c>
      <c r="N65" t="s">
        <v>464</v>
      </c>
      <c r="O65" t="s">
        <v>443</v>
      </c>
      <c r="P65" s="85">
        <v>2.9023746701847024</v>
      </c>
      <c r="Q65" s="85">
        <v>2.9023746701847024</v>
      </c>
      <c r="R65" s="81"/>
      <c r="T65" t="s">
        <v>360</v>
      </c>
      <c r="U65" t="s">
        <v>529</v>
      </c>
    </row>
    <row r="66" spans="1:21" x14ac:dyDescent="0.3">
      <c r="A66" t="s">
        <v>397</v>
      </c>
      <c r="B66">
        <v>2025</v>
      </c>
      <c r="C66" t="s">
        <v>434</v>
      </c>
      <c r="D66" t="s">
        <v>131</v>
      </c>
      <c r="E66" t="s">
        <v>131</v>
      </c>
      <c r="F66" t="s">
        <v>441</v>
      </c>
      <c r="G66" s="85">
        <v>36.4</v>
      </c>
      <c r="H66" s="86">
        <v>34.590000000000003</v>
      </c>
      <c r="I66" s="86">
        <v>0.56999999999999995</v>
      </c>
      <c r="J66" s="87">
        <v>3.2</v>
      </c>
      <c r="K66" s="85">
        <v>32.799999999999997</v>
      </c>
      <c r="L66" s="85">
        <v>36.299999999999997</v>
      </c>
      <c r="M66" t="s">
        <v>446</v>
      </c>
      <c r="N66" t="s">
        <v>530</v>
      </c>
      <c r="O66" t="s">
        <v>443</v>
      </c>
      <c r="P66" s="85">
        <v>5.232726221451272</v>
      </c>
      <c r="Q66" s="85">
        <v>5.232726221451272</v>
      </c>
      <c r="R66" s="81"/>
      <c r="T66" t="s">
        <v>360</v>
      </c>
      <c r="U66" t="s">
        <v>531</v>
      </c>
    </row>
    <row r="67" spans="1:21" x14ac:dyDescent="0.3">
      <c r="A67" t="s">
        <v>397</v>
      </c>
      <c r="B67">
        <v>2025</v>
      </c>
      <c r="C67" t="s">
        <v>434</v>
      </c>
      <c r="D67" t="s">
        <v>129</v>
      </c>
      <c r="E67" t="s">
        <v>129</v>
      </c>
      <c r="F67" t="s">
        <v>435</v>
      </c>
      <c r="G67" s="85">
        <v>79.5</v>
      </c>
      <c r="H67" s="86">
        <v>80.959999999999994</v>
      </c>
      <c r="I67" s="86">
        <v>0.81</v>
      </c>
      <c r="J67" s="87">
        <v>-1.8</v>
      </c>
      <c r="K67" s="85">
        <v>78.5</v>
      </c>
      <c r="L67" s="85">
        <v>83.4</v>
      </c>
      <c r="M67" t="s">
        <v>436</v>
      </c>
      <c r="N67" t="s">
        <v>464</v>
      </c>
      <c r="O67" t="s">
        <v>447</v>
      </c>
      <c r="P67" s="85">
        <v>-1.8033596837944588</v>
      </c>
      <c r="Q67" s="85">
        <v>1.8033596837944588</v>
      </c>
      <c r="R67" s="81"/>
      <c r="T67" t="s">
        <v>360</v>
      </c>
      <c r="U67" t="s">
        <v>532</v>
      </c>
    </row>
    <row r="68" spans="1:21" x14ac:dyDescent="0.3">
      <c r="A68" t="s">
        <v>397</v>
      </c>
      <c r="B68">
        <v>2025</v>
      </c>
      <c r="C68" t="s">
        <v>434</v>
      </c>
      <c r="D68" t="s">
        <v>129</v>
      </c>
      <c r="E68" t="s">
        <v>129</v>
      </c>
      <c r="F68" t="s">
        <v>438</v>
      </c>
      <c r="G68" s="85">
        <v>86.6</v>
      </c>
      <c r="H68" s="86">
        <v>88.12</v>
      </c>
      <c r="I68" s="86">
        <v>0.88</v>
      </c>
      <c r="J68" s="87">
        <v>-1.7</v>
      </c>
      <c r="K68" s="85">
        <v>85.4</v>
      </c>
      <c r="L68" s="85">
        <v>90.8</v>
      </c>
      <c r="M68" t="s">
        <v>436</v>
      </c>
      <c r="N68" t="s">
        <v>464</v>
      </c>
      <c r="O68" t="s">
        <v>447</v>
      </c>
      <c r="P68" s="85">
        <v>-1.7249205628688269</v>
      </c>
      <c r="Q68" s="85">
        <v>1.7249205628688269</v>
      </c>
      <c r="R68" s="81"/>
      <c r="T68" t="s">
        <v>360</v>
      </c>
      <c r="U68" t="s">
        <v>533</v>
      </c>
    </row>
    <row r="69" spans="1:21" x14ac:dyDescent="0.3">
      <c r="A69" t="s">
        <v>397</v>
      </c>
      <c r="B69">
        <v>2025</v>
      </c>
      <c r="C69" t="s">
        <v>434</v>
      </c>
      <c r="D69" t="s">
        <v>129</v>
      </c>
      <c r="E69" t="s">
        <v>129</v>
      </c>
      <c r="F69" t="s">
        <v>439</v>
      </c>
      <c r="G69" s="85">
        <v>71.599999999999994</v>
      </c>
      <c r="H69" s="86">
        <v>73.44</v>
      </c>
      <c r="I69" s="86">
        <v>0.83</v>
      </c>
      <c r="J69" s="87">
        <v>-2.2000000000000002</v>
      </c>
      <c r="K69" s="85">
        <v>70.900000000000006</v>
      </c>
      <c r="L69" s="85">
        <v>76</v>
      </c>
      <c r="M69" t="s">
        <v>436</v>
      </c>
      <c r="N69" t="s">
        <v>464</v>
      </c>
      <c r="O69" t="s">
        <v>447</v>
      </c>
      <c r="P69" s="85">
        <v>-2.5054466230936869</v>
      </c>
      <c r="Q69" s="85">
        <v>2.5054466230936869</v>
      </c>
      <c r="R69" s="81"/>
      <c r="T69" t="s">
        <v>360</v>
      </c>
      <c r="U69" t="s">
        <v>534</v>
      </c>
    </row>
    <row r="70" spans="1:21" x14ac:dyDescent="0.3">
      <c r="A70" t="s">
        <v>397</v>
      </c>
      <c r="B70">
        <v>2025</v>
      </c>
      <c r="C70" t="s">
        <v>434</v>
      </c>
      <c r="D70" t="s">
        <v>129</v>
      </c>
      <c r="E70" t="s">
        <v>129</v>
      </c>
      <c r="F70" t="s">
        <v>440</v>
      </c>
      <c r="G70" s="85">
        <v>83.1</v>
      </c>
      <c r="H70" s="86">
        <v>84.65</v>
      </c>
      <c r="I70" s="86">
        <v>0.87</v>
      </c>
      <c r="J70" s="87">
        <v>-1.8</v>
      </c>
      <c r="K70" s="85">
        <v>82</v>
      </c>
      <c r="L70" s="85">
        <v>87.3</v>
      </c>
      <c r="M70" t="s">
        <v>436</v>
      </c>
      <c r="N70" t="s">
        <v>464</v>
      </c>
      <c r="O70" t="s">
        <v>447</v>
      </c>
      <c r="P70" s="85">
        <v>-1.8310691080921575</v>
      </c>
      <c r="Q70" s="85">
        <v>1.8310691080921575</v>
      </c>
      <c r="R70" s="81"/>
      <c r="T70" t="s">
        <v>360</v>
      </c>
      <c r="U70" t="s">
        <v>535</v>
      </c>
    </row>
    <row r="71" spans="1:21" x14ac:dyDescent="0.3">
      <c r="A71" t="s">
        <v>397</v>
      </c>
      <c r="B71">
        <v>2025</v>
      </c>
      <c r="C71" t="s">
        <v>434</v>
      </c>
      <c r="D71" t="s">
        <v>129</v>
      </c>
      <c r="E71" t="s">
        <v>129</v>
      </c>
      <c r="F71" t="s">
        <v>441</v>
      </c>
      <c r="G71" s="85">
        <v>71.5</v>
      </c>
      <c r="H71" s="86">
        <v>73.12</v>
      </c>
      <c r="I71" s="86">
        <v>0.79</v>
      </c>
      <c r="J71" s="87">
        <v>-2</v>
      </c>
      <c r="K71" s="85">
        <v>70.7</v>
      </c>
      <c r="L71" s="85">
        <v>75.5</v>
      </c>
      <c r="M71" t="s">
        <v>436</v>
      </c>
      <c r="N71" t="s">
        <v>464</v>
      </c>
      <c r="O71" t="s">
        <v>447</v>
      </c>
      <c r="P71" s="85">
        <v>-2.2155361050328288</v>
      </c>
      <c r="Q71" s="85">
        <v>2.2155361050328288</v>
      </c>
      <c r="R71" s="81"/>
      <c r="T71" t="s">
        <v>360</v>
      </c>
      <c r="U71" t="s">
        <v>536</v>
      </c>
    </row>
    <row r="72" spans="1:21" x14ac:dyDescent="0.3">
      <c r="A72" t="s">
        <v>397</v>
      </c>
      <c r="B72">
        <v>2025</v>
      </c>
      <c r="C72" t="s">
        <v>434</v>
      </c>
      <c r="D72" t="s">
        <v>149</v>
      </c>
      <c r="E72" t="s">
        <v>149</v>
      </c>
      <c r="F72" t="s">
        <v>435</v>
      </c>
      <c r="G72" s="85">
        <v>9.4</v>
      </c>
      <c r="H72" s="86">
        <v>9.48</v>
      </c>
      <c r="I72" s="86">
        <v>0.15</v>
      </c>
      <c r="J72" s="87">
        <v>-0.5</v>
      </c>
      <c r="K72" s="85">
        <v>9</v>
      </c>
      <c r="L72" s="85">
        <v>10</v>
      </c>
      <c r="M72" t="s">
        <v>436</v>
      </c>
      <c r="N72" t="s">
        <v>464</v>
      </c>
      <c r="O72" t="s">
        <v>447</v>
      </c>
      <c r="P72" s="85">
        <v>-0.84388185654008518</v>
      </c>
      <c r="Q72" s="85">
        <v>0.84388185654008518</v>
      </c>
      <c r="R72" s="81"/>
      <c r="T72" t="s">
        <v>360</v>
      </c>
      <c r="U72" t="s">
        <v>537</v>
      </c>
    </row>
    <row r="73" spans="1:21" x14ac:dyDescent="0.3">
      <c r="A73" t="s">
        <v>397</v>
      </c>
      <c r="B73">
        <v>2025</v>
      </c>
      <c r="C73" t="s">
        <v>434</v>
      </c>
      <c r="D73" t="s">
        <v>149</v>
      </c>
      <c r="E73" t="s">
        <v>149</v>
      </c>
      <c r="F73" t="s">
        <v>438</v>
      </c>
      <c r="G73" s="85">
        <v>9</v>
      </c>
      <c r="H73" s="86">
        <v>9.33</v>
      </c>
      <c r="I73" s="86">
        <v>0.13</v>
      </c>
      <c r="J73" s="87">
        <v>-2.5</v>
      </c>
      <c r="K73" s="85">
        <v>8.9</v>
      </c>
      <c r="L73" s="85">
        <v>9.8000000000000007</v>
      </c>
      <c r="M73" t="s">
        <v>436</v>
      </c>
      <c r="N73" t="s">
        <v>464</v>
      </c>
      <c r="O73" t="s">
        <v>447</v>
      </c>
      <c r="P73" s="85">
        <v>-3.5369774919614154</v>
      </c>
      <c r="Q73" s="85">
        <v>3.5369774919614154</v>
      </c>
      <c r="R73" s="81"/>
      <c r="T73" t="s">
        <v>360</v>
      </c>
      <c r="U73" t="s">
        <v>538</v>
      </c>
    </row>
    <row r="74" spans="1:21" x14ac:dyDescent="0.3">
      <c r="A74" t="s">
        <v>397</v>
      </c>
      <c r="B74">
        <v>2025</v>
      </c>
      <c r="C74" t="s">
        <v>434</v>
      </c>
      <c r="D74" t="s">
        <v>149</v>
      </c>
      <c r="E74" t="s">
        <v>149</v>
      </c>
      <c r="F74" t="s">
        <v>439</v>
      </c>
      <c r="G74" s="85">
        <v>9.9</v>
      </c>
      <c r="H74" s="86">
        <v>9.84</v>
      </c>
      <c r="I74" s="86">
        <v>0.25</v>
      </c>
      <c r="J74" s="87">
        <v>0.2</v>
      </c>
      <c r="K74" s="85">
        <v>9</v>
      </c>
      <c r="L74" s="85">
        <v>10.6</v>
      </c>
      <c r="M74" t="s">
        <v>436</v>
      </c>
      <c r="N74" t="s">
        <v>464</v>
      </c>
      <c r="O74" t="s">
        <v>447</v>
      </c>
      <c r="P74" s="85">
        <v>0.6097560975609807</v>
      </c>
      <c r="Q74" s="85">
        <v>0.6097560975609807</v>
      </c>
      <c r="R74" s="81"/>
      <c r="T74" t="s">
        <v>360</v>
      </c>
      <c r="U74" t="s">
        <v>539</v>
      </c>
    </row>
    <row r="75" spans="1:21" x14ac:dyDescent="0.3">
      <c r="A75" t="s">
        <v>397</v>
      </c>
      <c r="B75">
        <v>2025</v>
      </c>
      <c r="C75" t="s">
        <v>434</v>
      </c>
      <c r="D75" t="s">
        <v>149</v>
      </c>
      <c r="E75" t="s">
        <v>149</v>
      </c>
      <c r="F75" t="s">
        <v>440</v>
      </c>
      <c r="G75" s="85">
        <v>9.1999999999999993</v>
      </c>
      <c r="H75" s="86">
        <v>9.4700000000000006</v>
      </c>
      <c r="I75" s="86">
        <v>0.19</v>
      </c>
      <c r="J75" s="87">
        <v>-1.4</v>
      </c>
      <c r="K75" s="85">
        <v>8.8000000000000007</v>
      </c>
      <c r="L75" s="85">
        <v>10.1</v>
      </c>
      <c r="M75" t="s">
        <v>436</v>
      </c>
      <c r="N75" t="s">
        <v>464</v>
      </c>
      <c r="O75" t="s">
        <v>447</v>
      </c>
      <c r="P75" s="85">
        <v>-2.8511087645195494</v>
      </c>
      <c r="Q75" s="85">
        <v>2.8511087645195494</v>
      </c>
      <c r="R75" s="81"/>
      <c r="T75" t="s">
        <v>360</v>
      </c>
      <c r="U75" t="s">
        <v>540</v>
      </c>
    </row>
    <row r="76" spans="1:21" x14ac:dyDescent="0.3">
      <c r="A76" t="s">
        <v>397</v>
      </c>
      <c r="B76">
        <v>2025</v>
      </c>
      <c r="C76" t="s">
        <v>434</v>
      </c>
      <c r="D76" t="s">
        <v>149</v>
      </c>
      <c r="E76" t="s">
        <v>149</v>
      </c>
      <c r="F76" t="s">
        <v>441</v>
      </c>
      <c r="G76" s="85">
        <v>9.4</v>
      </c>
      <c r="H76" s="86">
        <v>9.6</v>
      </c>
      <c r="I76" s="86">
        <v>0.14000000000000001</v>
      </c>
      <c r="J76" s="87">
        <v>-1.4</v>
      </c>
      <c r="K76" s="85">
        <v>9.1</v>
      </c>
      <c r="L76" s="85">
        <v>10.1</v>
      </c>
      <c r="M76" t="s">
        <v>436</v>
      </c>
      <c r="N76" t="s">
        <v>464</v>
      </c>
      <c r="O76" t="s">
        <v>447</v>
      </c>
      <c r="P76" s="85">
        <v>-2.0833333333333259</v>
      </c>
      <c r="Q76" s="85">
        <v>2.0833333333333259</v>
      </c>
      <c r="R76" s="81"/>
      <c r="T76" t="s">
        <v>360</v>
      </c>
      <c r="U76" t="s">
        <v>541</v>
      </c>
    </row>
    <row r="77" spans="1:21" x14ac:dyDescent="0.3">
      <c r="A77" t="s">
        <v>397</v>
      </c>
      <c r="B77">
        <v>2025</v>
      </c>
      <c r="C77" t="s">
        <v>434</v>
      </c>
      <c r="D77" t="s">
        <v>424</v>
      </c>
      <c r="E77" t="s">
        <v>135</v>
      </c>
      <c r="F77" t="s">
        <v>435</v>
      </c>
      <c r="G77" s="85">
        <v>12.1</v>
      </c>
      <c r="H77" s="86">
        <v>11.51</v>
      </c>
      <c r="I77" s="86">
        <v>1</v>
      </c>
      <c r="J77" s="87">
        <v>0.6</v>
      </c>
      <c r="K77" s="85">
        <v>8.5</v>
      </c>
      <c r="L77" s="85">
        <v>14.5</v>
      </c>
      <c r="M77" t="s">
        <v>436</v>
      </c>
      <c r="N77" t="s">
        <v>464</v>
      </c>
      <c r="O77" t="s">
        <v>437</v>
      </c>
      <c r="P77" s="85">
        <v>5.1259774109470015</v>
      </c>
      <c r="Q77" s="85">
        <v>5.1259774109470015</v>
      </c>
      <c r="R77" s="81"/>
      <c r="T77" t="s">
        <v>360</v>
      </c>
      <c r="U77" t="s">
        <v>542</v>
      </c>
    </row>
    <row r="78" spans="1:21" x14ac:dyDescent="0.3">
      <c r="A78" t="s">
        <v>397</v>
      </c>
      <c r="B78">
        <v>2025</v>
      </c>
      <c r="C78" t="s">
        <v>434</v>
      </c>
      <c r="D78" t="s">
        <v>424</v>
      </c>
      <c r="E78" t="s">
        <v>135</v>
      </c>
      <c r="F78" t="s">
        <v>438</v>
      </c>
      <c r="G78" s="85">
        <v>12.1</v>
      </c>
      <c r="H78" s="86">
        <v>11.24</v>
      </c>
      <c r="I78" s="86">
        <v>0.86</v>
      </c>
      <c r="J78" s="87">
        <v>1</v>
      </c>
      <c r="K78" s="85">
        <v>8.6</v>
      </c>
      <c r="L78" s="85">
        <v>13.9</v>
      </c>
      <c r="M78" t="s">
        <v>436</v>
      </c>
      <c r="N78" t="s">
        <v>464</v>
      </c>
      <c r="O78" t="s">
        <v>437</v>
      </c>
      <c r="P78" s="85">
        <v>7.6512455516014182</v>
      </c>
      <c r="Q78" s="85">
        <v>7.6512455516014182</v>
      </c>
      <c r="R78" s="81"/>
      <c r="T78" t="s">
        <v>360</v>
      </c>
      <c r="U78" t="s">
        <v>543</v>
      </c>
    </row>
    <row r="79" spans="1:21" x14ac:dyDescent="0.3">
      <c r="A79" t="s">
        <v>397</v>
      </c>
      <c r="B79">
        <v>2025</v>
      </c>
      <c r="C79" t="s">
        <v>434</v>
      </c>
      <c r="D79" t="s">
        <v>424</v>
      </c>
      <c r="E79" t="s">
        <v>135</v>
      </c>
      <c r="F79" t="s">
        <v>439</v>
      </c>
      <c r="G79" s="85">
        <v>10.5</v>
      </c>
      <c r="H79" s="86">
        <v>12.02</v>
      </c>
      <c r="I79" s="86">
        <v>1.27</v>
      </c>
      <c r="J79" s="87">
        <v>-1.2</v>
      </c>
      <c r="K79" s="85">
        <v>8.1999999999999993</v>
      </c>
      <c r="L79" s="85">
        <v>15.9</v>
      </c>
      <c r="M79" t="s">
        <v>436</v>
      </c>
      <c r="N79" t="s">
        <v>464</v>
      </c>
      <c r="O79" t="s">
        <v>437</v>
      </c>
      <c r="P79" s="85">
        <v>-12.645590682196337</v>
      </c>
      <c r="Q79" s="85">
        <v>12.645590682196337</v>
      </c>
      <c r="R79" s="81"/>
      <c r="T79" t="s">
        <v>360</v>
      </c>
      <c r="U79" t="s">
        <v>544</v>
      </c>
    </row>
    <row r="80" spans="1:21" x14ac:dyDescent="0.3">
      <c r="A80" t="s">
        <v>397</v>
      </c>
      <c r="B80">
        <v>2025</v>
      </c>
      <c r="C80" t="s">
        <v>434</v>
      </c>
      <c r="D80" t="s">
        <v>424</v>
      </c>
      <c r="E80" t="s">
        <v>135</v>
      </c>
      <c r="F80" t="s">
        <v>440</v>
      </c>
      <c r="G80" s="85">
        <v>12.4</v>
      </c>
      <c r="H80" s="86">
        <v>12.36</v>
      </c>
      <c r="I80" s="86">
        <v>1.01</v>
      </c>
      <c r="J80" s="87">
        <v>0</v>
      </c>
      <c r="K80" s="85">
        <v>9.3000000000000007</v>
      </c>
      <c r="L80" s="85">
        <v>15.4</v>
      </c>
      <c r="M80" t="s">
        <v>436</v>
      </c>
      <c r="N80" t="s">
        <v>464</v>
      </c>
      <c r="O80" t="s">
        <v>437</v>
      </c>
      <c r="P80" s="85">
        <v>0.32362459546926314</v>
      </c>
      <c r="Q80" s="85">
        <v>0.32362459546926314</v>
      </c>
      <c r="R80" s="81"/>
      <c r="T80" t="s">
        <v>360</v>
      </c>
      <c r="U80" t="s">
        <v>545</v>
      </c>
    </row>
    <row r="81" spans="1:21" x14ac:dyDescent="0.3">
      <c r="A81" t="s">
        <v>397</v>
      </c>
      <c r="B81">
        <v>2025</v>
      </c>
      <c r="C81" t="s">
        <v>434</v>
      </c>
      <c r="D81" t="s">
        <v>424</v>
      </c>
      <c r="E81" t="s">
        <v>135</v>
      </c>
      <c r="F81" t="s">
        <v>441</v>
      </c>
      <c r="G81" s="85">
        <v>12</v>
      </c>
      <c r="H81" s="86">
        <v>12.34</v>
      </c>
      <c r="I81" s="86">
        <v>0.88</v>
      </c>
      <c r="J81" s="87">
        <v>-0.4</v>
      </c>
      <c r="K81" s="85">
        <v>9.6</v>
      </c>
      <c r="L81" s="85">
        <v>15</v>
      </c>
      <c r="M81" t="s">
        <v>436</v>
      </c>
      <c r="N81" t="s">
        <v>464</v>
      </c>
      <c r="O81" t="s">
        <v>437</v>
      </c>
      <c r="P81" s="85">
        <v>-2.7552674230145855</v>
      </c>
      <c r="Q81" s="85">
        <v>2.7552674230145855</v>
      </c>
      <c r="R81" s="81"/>
      <c r="T81" t="s">
        <v>360</v>
      </c>
      <c r="U81" t="s">
        <v>546</v>
      </c>
    </row>
    <row r="82" spans="1:21" x14ac:dyDescent="0.3">
      <c r="A82" t="s">
        <v>397</v>
      </c>
      <c r="B82">
        <v>2025</v>
      </c>
      <c r="C82" t="s">
        <v>434</v>
      </c>
      <c r="D82" t="s">
        <v>425</v>
      </c>
      <c r="E82" t="s">
        <v>140</v>
      </c>
      <c r="F82" t="s">
        <v>435</v>
      </c>
      <c r="G82" s="85">
        <v>0.75</v>
      </c>
      <c r="H82" s="86">
        <v>0.72099999999999997</v>
      </c>
      <c r="I82" s="86">
        <v>6.5000000000000002E-2</v>
      </c>
      <c r="J82" s="87">
        <v>0.5</v>
      </c>
      <c r="K82" s="85">
        <v>0.52</v>
      </c>
      <c r="L82" s="85">
        <v>0.92</v>
      </c>
      <c r="M82" t="s">
        <v>436</v>
      </c>
      <c r="N82" t="s">
        <v>464</v>
      </c>
      <c r="O82" t="s">
        <v>442</v>
      </c>
      <c r="P82" s="85">
        <v>4.0221914008321811</v>
      </c>
      <c r="Q82" s="85">
        <v>4.0221914008321811</v>
      </c>
      <c r="R82" s="81"/>
      <c r="T82" t="s">
        <v>360</v>
      </c>
      <c r="U82" t="s">
        <v>547</v>
      </c>
    </row>
    <row r="83" spans="1:21" x14ac:dyDescent="0.3">
      <c r="A83" t="s">
        <v>397</v>
      </c>
      <c r="B83">
        <v>2025</v>
      </c>
      <c r="C83" t="s">
        <v>434</v>
      </c>
      <c r="D83" t="s">
        <v>425</v>
      </c>
      <c r="E83" t="s">
        <v>140</v>
      </c>
      <c r="F83" t="s">
        <v>438</v>
      </c>
      <c r="G83" s="85">
        <v>2.0499999999999998</v>
      </c>
      <c r="H83" s="86">
        <v>1.9259999999999999</v>
      </c>
      <c r="I83" s="86">
        <v>0.151</v>
      </c>
      <c r="J83" s="87">
        <v>0.8</v>
      </c>
      <c r="K83" s="85">
        <v>1.47</v>
      </c>
      <c r="L83" s="85">
        <v>2.38</v>
      </c>
      <c r="M83" t="s">
        <v>436</v>
      </c>
      <c r="N83" t="s">
        <v>464</v>
      </c>
      <c r="O83" t="s">
        <v>442</v>
      </c>
      <c r="P83" s="85">
        <v>6.438213914849424</v>
      </c>
      <c r="Q83" s="85">
        <v>6.438213914849424</v>
      </c>
      <c r="R83" s="81"/>
      <c r="T83" t="s">
        <v>360</v>
      </c>
      <c r="U83" t="s">
        <v>548</v>
      </c>
    </row>
    <row r="84" spans="1:21" x14ac:dyDescent="0.3">
      <c r="A84" t="s">
        <v>397</v>
      </c>
      <c r="B84">
        <v>2025</v>
      </c>
      <c r="C84" t="s">
        <v>434</v>
      </c>
      <c r="D84" t="s">
        <v>425</v>
      </c>
      <c r="E84" t="s">
        <v>140</v>
      </c>
      <c r="F84" t="s">
        <v>439</v>
      </c>
      <c r="G84" s="85">
        <v>0.28000000000000003</v>
      </c>
      <c r="H84" s="86">
        <v>0.34</v>
      </c>
      <c r="I84" s="86">
        <v>3.7999999999999999E-2</v>
      </c>
      <c r="J84" s="87">
        <v>-1.6</v>
      </c>
      <c r="K84" s="85">
        <v>0.22</v>
      </c>
      <c r="L84" s="85">
        <v>0.46</v>
      </c>
      <c r="M84" t="s">
        <v>436</v>
      </c>
      <c r="N84" t="s">
        <v>464</v>
      </c>
      <c r="O84" t="s">
        <v>442</v>
      </c>
      <c r="P84" s="85">
        <v>-17.647058823529409</v>
      </c>
      <c r="Q84" s="85">
        <v>17.647058823529409</v>
      </c>
      <c r="R84" s="81"/>
      <c r="T84" t="s">
        <v>360</v>
      </c>
      <c r="U84" t="s">
        <v>549</v>
      </c>
    </row>
    <row r="85" spans="1:21" x14ac:dyDescent="0.3">
      <c r="A85" t="s">
        <v>397</v>
      </c>
      <c r="B85">
        <v>2025</v>
      </c>
      <c r="C85" t="s">
        <v>434</v>
      </c>
      <c r="D85" t="s">
        <v>425</v>
      </c>
      <c r="E85" t="s">
        <v>140</v>
      </c>
      <c r="F85" t="s">
        <v>440</v>
      </c>
      <c r="G85" s="85">
        <v>0.36</v>
      </c>
      <c r="H85" s="86">
        <v>0.35799999999999998</v>
      </c>
      <c r="I85" s="86">
        <v>3.2000000000000001E-2</v>
      </c>
      <c r="J85" s="87">
        <v>0.1</v>
      </c>
      <c r="K85" s="85">
        <v>0.26</v>
      </c>
      <c r="L85" s="85">
        <v>0.46</v>
      </c>
      <c r="M85" t="s">
        <v>436</v>
      </c>
      <c r="N85" t="s">
        <v>464</v>
      </c>
      <c r="O85" t="s">
        <v>442</v>
      </c>
      <c r="P85" s="85">
        <v>0.55865921787709549</v>
      </c>
      <c r="Q85" s="85">
        <v>0.55865921787709549</v>
      </c>
      <c r="R85" s="81"/>
      <c r="T85" t="s">
        <v>360</v>
      </c>
      <c r="U85" t="s">
        <v>550</v>
      </c>
    </row>
    <row r="86" spans="1:21" x14ac:dyDescent="0.3">
      <c r="A86" t="s">
        <v>397</v>
      </c>
      <c r="B86">
        <v>2025</v>
      </c>
      <c r="C86" t="s">
        <v>434</v>
      </c>
      <c r="D86" t="s">
        <v>425</v>
      </c>
      <c r="E86" t="s">
        <v>140</v>
      </c>
      <c r="F86" t="s">
        <v>441</v>
      </c>
      <c r="G86" s="85">
        <v>0.92</v>
      </c>
      <c r="H86" s="86">
        <v>0.96799999999999997</v>
      </c>
      <c r="I86" s="86">
        <v>7.2999999999999995E-2</v>
      </c>
      <c r="J86" s="87">
        <v>-0.7</v>
      </c>
      <c r="K86" s="85">
        <v>0.74</v>
      </c>
      <c r="L86" s="85">
        <v>1.19</v>
      </c>
      <c r="M86" t="s">
        <v>436</v>
      </c>
      <c r="N86" t="s">
        <v>464</v>
      </c>
      <c r="O86" t="s">
        <v>442</v>
      </c>
      <c r="P86" s="85">
        <v>-4.9586776859504065</v>
      </c>
      <c r="Q86" s="85">
        <v>4.9586776859504065</v>
      </c>
      <c r="R86" s="81"/>
      <c r="T86" t="s">
        <v>360</v>
      </c>
      <c r="U86" t="s">
        <v>551</v>
      </c>
    </row>
    <row r="87" spans="1:21" x14ac:dyDescent="0.3">
      <c r="A87" t="s">
        <v>397</v>
      </c>
      <c r="B87">
        <v>2025</v>
      </c>
      <c r="C87" t="s">
        <v>434</v>
      </c>
      <c r="D87" t="s">
        <v>426</v>
      </c>
      <c r="E87" t="s">
        <v>133</v>
      </c>
      <c r="F87" t="s">
        <v>435</v>
      </c>
      <c r="G87" s="85">
        <v>43.1</v>
      </c>
      <c r="H87" s="86">
        <v>44.93</v>
      </c>
      <c r="I87" s="86">
        <v>0.96</v>
      </c>
      <c r="J87" s="87">
        <v>-1.9</v>
      </c>
      <c r="K87" s="85">
        <v>42</v>
      </c>
      <c r="L87" s="85">
        <v>47.9</v>
      </c>
      <c r="M87" t="s">
        <v>436</v>
      </c>
      <c r="N87" t="s">
        <v>464</v>
      </c>
      <c r="O87" t="s">
        <v>437</v>
      </c>
      <c r="P87" s="85">
        <v>-4.0730024482528338</v>
      </c>
      <c r="Q87" s="85">
        <v>4.0730024482528338</v>
      </c>
      <c r="R87" s="81"/>
      <c r="T87" t="s">
        <v>360</v>
      </c>
      <c r="U87" t="s">
        <v>552</v>
      </c>
    </row>
    <row r="88" spans="1:21" x14ac:dyDescent="0.3">
      <c r="A88" t="s">
        <v>397</v>
      </c>
      <c r="B88">
        <v>2025</v>
      </c>
      <c r="C88" t="s">
        <v>434</v>
      </c>
      <c r="D88" t="s">
        <v>426</v>
      </c>
      <c r="E88" t="s">
        <v>133</v>
      </c>
      <c r="F88" t="s">
        <v>438</v>
      </c>
      <c r="G88" s="85">
        <v>47.6</v>
      </c>
      <c r="H88" s="86">
        <v>48.46</v>
      </c>
      <c r="I88" s="86">
        <v>0.91</v>
      </c>
      <c r="J88" s="87">
        <v>-0.9</v>
      </c>
      <c r="K88" s="85">
        <v>45.7</v>
      </c>
      <c r="L88" s="85">
        <v>51.2</v>
      </c>
      <c r="M88" t="s">
        <v>436</v>
      </c>
      <c r="N88" t="s">
        <v>464</v>
      </c>
      <c r="O88" t="s">
        <v>437</v>
      </c>
      <c r="P88" s="85">
        <v>-1.7746595130004115</v>
      </c>
      <c r="Q88" s="85">
        <v>1.7746595130004115</v>
      </c>
      <c r="R88" s="81"/>
      <c r="T88" t="s">
        <v>360</v>
      </c>
      <c r="U88" t="s">
        <v>553</v>
      </c>
    </row>
    <row r="89" spans="1:21" x14ac:dyDescent="0.3">
      <c r="A89" t="s">
        <v>397</v>
      </c>
      <c r="B89">
        <v>2025</v>
      </c>
      <c r="C89" t="s">
        <v>434</v>
      </c>
      <c r="D89" t="s">
        <v>426</v>
      </c>
      <c r="E89" t="s">
        <v>133</v>
      </c>
      <c r="F89" t="s">
        <v>439</v>
      </c>
      <c r="G89" s="85">
        <v>38.9</v>
      </c>
      <c r="H89" s="86">
        <v>40.299999999999997</v>
      </c>
      <c r="I89" s="86">
        <v>1.1299999999999999</v>
      </c>
      <c r="J89" s="87">
        <v>-1.2</v>
      </c>
      <c r="K89" s="85">
        <v>36.9</v>
      </c>
      <c r="L89" s="85">
        <v>43.7</v>
      </c>
      <c r="M89" t="s">
        <v>436</v>
      </c>
      <c r="N89" t="s">
        <v>464</v>
      </c>
      <c r="O89" t="s">
        <v>437</v>
      </c>
      <c r="P89" s="85">
        <v>-3.4739454094292772</v>
      </c>
      <c r="Q89" s="85">
        <v>3.4739454094292772</v>
      </c>
      <c r="R89" s="81"/>
      <c r="T89" t="s">
        <v>360</v>
      </c>
      <c r="U89" t="s">
        <v>554</v>
      </c>
    </row>
    <row r="90" spans="1:21" x14ac:dyDescent="0.3">
      <c r="A90" t="s">
        <v>397</v>
      </c>
      <c r="B90">
        <v>2025</v>
      </c>
      <c r="C90" t="s">
        <v>434</v>
      </c>
      <c r="D90" t="s">
        <v>426</v>
      </c>
      <c r="E90" t="s">
        <v>133</v>
      </c>
      <c r="F90" t="s">
        <v>440</v>
      </c>
      <c r="G90" s="85">
        <v>41.8</v>
      </c>
      <c r="H90" s="86">
        <v>44.56</v>
      </c>
      <c r="I90" s="86">
        <v>1.1299999999999999</v>
      </c>
      <c r="J90" s="87">
        <v>-2.4</v>
      </c>
      <c r="K90" s="85">
        <v>41.4</v>
      </c>
      <c r="L90" s="85">
        <v>48</v>
      </c>
      <c r="M90" t="s">
        <v>436</v>
      </c>
      <c r="N90" t="s">
        <v>464</v>
      </c>
      <c r="O90" t="s">
        <v>437</v>
      </c>
      <c r="P90" s="85">
        <v>-6.1938958707360969</v>
      </c>
      <c r="Q90" s="85">
        <v>6.1938958707360969</v>
      </c>
      <c r="R90" s="81"/>
      <c r="T90" t="s">
        <v>360</v>
      </c>
      <c r="U90" t="s">
        <v>555</v>
      </c>
    </row>
    <row r="91" spans="1:21" x14ac:dyDescent="0.3">
      <c r="A91" t="s">
        <v>397</v>
      </c>
      <c r="B91">
        <v>2025</v>
      </c>
      <c r="C91" t="s">
        <v>434</v>
      </c>
      <c r="D91" t="s">
        <v>426</v>
      </c>
      <c r="E91" t="s">
        <v>133</v>
      </c>
      <c r="F91" t="s">
        <v>441</v>
      </c>
      <c r="G91" s="85">
        <v>44.9</v>
      </c>
      <c r="H91" s="86">
        <v>44.74</v>
      </c>
      <c r="I91" s="86">
        <v>0.91</v>
      </c>
      <c r="J91" s="87">
        <v>0.2</v>
      </c>
      <c r="K91" s="85">
        <v>42</v>
      </c>
      <c r="L91" s="85">
        <v>47.5</v>
      </c>
      <c r="M91" t="s">
        <v>436</v>
      </c>
      <c r="N91" t="s">
        <v>464</v>
      </c>
      <c r="O91" t="s">
        <v>437</v>
      </c>
      <c r="P91" s="85">
        <v>0.35762181493070316</v>
      </c>
      <c r="Q91" s="85">
        <v>0.35762181493070316</v>
      </c>
      <c r="R91" s="81"/>
      <c r="T91" t="s">
        <v>360</v>
      </c>
      <c r="U91" t="s">
        <v>556</v>
      </c>
    </row>
    <row r="92" spans="1:21" x14ac:dyDescent="0.3">
      <c r="A92" t="s">
        <v>397</v>
      </c>
      <c r="B92">
        <v>2025</v>
      </c>
      <c r="C92" t="s">
        <v>434</v>
      </c>
      <c r="D92" t="s">
        <v>427</v>
      </c>
      <c r="E92" t="s">
        <v>138</v>
      </c>
      <c r="F92" t="s">
        <v>435</v>
      </c>
      <c r="G92" s="85">
        <v>2.68</v>
      </c>
      <c r="H92" s="86">
        <v>2.8159999999999998</v>
      </c>
      <c r="I92" s="86">
        <v>8.3000000000000004E-2</v>
      </c>
      <c r="J92" s="87">
        <v>-1.6</v>
      </c>
      <c r="K92" s="85">
        <v>2.56</v>
      </c>
      <c r="L92" s="85">
        <v>3.07</v>
      </c>
      <c r="M92" t="s">
        <v>436</v>
      </c>
      <c r="N92" t="s">
        <v>464</v>
      </c>
      <c r="O92" t="s">
        <v>442</v>
      </c>
      <c r="P92" s="85">
        <v>-4.8295454545454435</v>
      </c>
      <c r="Q92" s="85">
        <v>4.8295454545454435</v>
      </c>
      <c r="R92" s="81"/>
      <c r="T92" t="s">
        <v>360</v>
      </c>
      <c r="U92" t="s">
        <v>557</v>
      </c>
    </row>
    <row r="93" spans="1:21" x14ac:dyDescent="0.3">
      <c r="A93" t="s">
        <v>397</v>
      </c>
      <c r="B93">
        <v>2025</v>
      </c>
      <c r="C93" t="s">
        <v>434</v>
      </c>
      <c r="D93" t="s">
        <v>427</v>
      </c>
      <c r="E93" t="s">
        <v>138</v>
      </c>
      <c r="F93" t="s">
        <v>438</v>
      </c>
      <c r="G93" s="85">
        <v>8.02</v>
      </c>
      <c r="H93" s="86">
        <v>8.3070000000000004</v>
      </c>
      <c r="I93" s="86">
        <v>0.20100000000000001</v>
      </c>
      <c r="J93" s="87">
        <v>-1.4</v>
      </c>
      <c r="K93" s="85">
        <v>7.7</v>
      </c>
      <c r="L93" s="85">
        <v>8.91</v>
      </c>
      <c r="M93" t="s">
        <v>436</v>
      </c>
      <c r="N93" t="s">
        <v>464</v>
      </c>
      <c r="O93" t="s">
        <v>442</v>
      </c>
      <c r="P93" s="85">
        <v>-3.4549175394245917</v>
      </c>
      <c r="Q93" s="85">
        <v>3.4549175394245917</v>
      </c>
      <c r="R93" s="81"/>
      <c r="T93" t="s">
        <v>360</v>
      </c>
      <c r="U93" t="s">
        <v>558</v>
      </c>
    </row>
    <row r="94" spans="1:21" x14ac:dyDescent="0.3">
      <c r="A94" t="s">
        <v>397</v>
      </c>
      <c r="B94">
        <v>2025</v>
      </c>
      <c r="C94" t="s">
        <v>434</v>
      </c>
      <c r="D94" t="s">
        <v>427</v>
      </c>
      <c r="E94" t="s">
        <v>138</v>
      </c>
      <c r="F94" t="s">
        <v>439</v>
      </c>
      <c r="G94" s="85">
        <v>1.04</v>
      </c>
      <c r="H94" s="86">
        <v>1.141</v>
      </c>
      <c r="I94" s="86">
        <v>4.2000000000000003E-2</v>
      </c>
      <c r="J94" s="87">
        <v>-2.4</v>
      </c>
      <c r="K94" s="85">
        <v>1.01</v>
      </c>
      <c r="L94" s="85">
        <v>1.27</v>
      </c>
      <c r="M94" t="s">
        <v>436</v>
      </c>
      <c r="N94" t="s">
        <v>464</v>
      </c>
      <c r="O94" t="s">
        <v>442</v>
      </c>
      <c r="P94" s="85">
        <v>-8.8518843120070088</v>
      </c>
      <c r="Q94" s="85">
        <v>8.8518843120070088</v>
      </c>
      <c r="R94" s="81"/>
      <c r="T94" t="s">
        <v>360</v>
      </c>
      <c r="U94" t="s">
        <v>559</v>
      </c>
    </row>
    <row r="95" spans="1:21" x14ac:dyDescent="0.3">
      <c r="A95" t="s">
        <v>397</v>
      </c>
      <c r="B95">
        <v>2025</v>
      </c>
      <c r="C95" t="s">
        <v>434</v>
      </c>
      <c r="D95" t="s">
        <v>427</v>
      </c>
      <c r="E95" t="s">
        <v>138</v>
      </c>
      <c r="F95" t="s">
        <v>440</v>
      </c>
      <c r="G95" s="85">
        <v>1.21</v>
      </c>
      <c r="H95" s="86">
        <v>1.292</v>
      </c>
      <c r="I95" s="86">
        <v>4.4999999999999998E-2</v>
      </c>
      <c r="J95" s="87">
        <v>-1.8</v>
      </c>
      <c r="K95" s="85">
        <v>1.1499999999999999</v>
      </c>
      <c r="L95" s="85">
        <v>1.43</v>
      </c>
      <c r="M95" t="s">
        <v>436</v>
      </c>
      <c r="N95" t="s">
        <v>464</v>
      </c>
      <c r="O95" t="s">
        <v>442</v>
      </c>
      <c r="P95" s="85">
        <v>-6.3467492260061968</v>
      </c>
      <c r="Q95" s="85">
        <v>6.3467492260061968</v>
      </c>
      <c r="R95" s="81"/>
      <c r="T95" t="s">
        <v>360</v>
      </c>
      <c r="U95" t="s">
        <v>560</v>
      </c>
    </row>
    <row r="96" spans="1:21" x14ac:dyDescent="0.3">
      <c r="A96" t="s">
        <v>397</v>
      </c>
      <c r="B96">
        <v>2025</v>
      </c>
      <c r="C96" t="s">
        <v>434</v>
      </c>
      <c r="D96" t="s">
        <v>427</v>
      </c>
      <c r="E96" t="s">
        <v>138</v>
      </c>
      <c r="F96" t="s">
        <v>441</v>
      </c>
      <c r="G96" s="85">
        <v>3.41</v>
      </c>
      <c r="H96" s="86">
        <v>3.5150000000000001</v>
      </c>
      <c r="I96" s="86">
        <v>9.6000000000000002E-2</v>
      </c>
      <c r="J96" s="87">
        <v>-1.1000000000000001</v>
      </c>
      <c r="K96" s="85">
        <v>3.22</v>
      </c>
      <c r="L96" s="85">
        <v>3.81</v>
      </c>
      <c r="M96" t="s">
        <v>436</v>
      </c>
      <c r="N96" t="s">
        <v>464</v>
      </c>
      <c r="O96" t="s">
        <v>442</v>
      </c>
      <c r="P96" s="85">
        <v>-2.9871977240398286</v>
      </c>
      <c r="Q96" s="85">
        <v>2.9871977240398286</v>
      </c>
      <c r="R96" s="81"/>
      <c r="T96" t="s">
        <v>360</v>
      </c>
      <c r="U96" t="s">
        <v>561</v>
      </c>
    </row>
    <row r="97" spans="1:21" x14ac:dyDescent="0.3">
      <c r="A97" t="s">
        <v>397</v>
      </c>
      <c r="B97">
        <v>2025</v>
      </c>
      <c r="C97" t="s">
        <v>434</v>
      </c>
      <c r="D97" t="s">
        <v>428</v>
      </c>
      <c r="E97" t="s">
        <v>132</v>
      </c>
      <c r="F97" t="s">
        <v>435</v>
      </c>
      <c r="G97" s="85">
        <v>207</v>
      </c>
      <c r="H97" s="86">
        <v>208.2</v>
      </c>
      <c r="I97" s="86">
        <v>5.9</v>
      </c>
      <c r="J97" s="87">
        <v>-0.2</v>
      </c>
      <c r="K97" s="85">
        <v>156</v>
      </c>
      <c r="L97" s="85">
        <v>261</v>
      </c>
      <c r="M97" t="s">
        <v>436</v>
      </c>
      <c r="N97" t="s">
        <v>464</v>
      </c>
      <c r="O97" t="s">
        <v>442</v>
      </c>
      <c r="P97" s="85">
        <v>-0.57636887608068621</v>
      </c>
      <c r="Q97" s="85">
        <v>0.57636887608068621</v>
      </c>
      <c r="R97" s="81"/>
      <c r="T97" t="s">
        <v>360</v>
      </c>
      <c r="U97" t="s">
        <v>562</v>
      </c>
    </row>
    <row r="98" spans="1:21" x14ac:dyDescent="0.3">
      <c r="A98" t="s">
        <v>397</v>
      </c>
      <c r="B98">
        <v>2025</v>
      </c>
      <c r="C98" t="s">
        <v>434</v>
      </c>
      <c r="D98" t="s">
        <v>428</v>
      </c>
      <c r="E98" t="s">
        <v>132</v>
      </c>
      <c r="F98" t="s">
        <v>438</v>
      </c>
      <c r="G98" s="85">
        <v>496</v>
      </c>
      <c r="H98" s="86">
        <v>494.8</v>
      </c>
      <c r="I98" s="86">
        <v>10.6</v>
      </c>
      <c r="J98" s="87">
        <v>0.1</v>
      </c>
      <c r="K98" s="85">
        <v>371</v>
      </c>
      <c r="L98" s="85">
        <v>619</v>
      </c>
      <c r="M98" t="s">
        <v>436</v>
      </c>
      <c r="N98" t="s">
        <v>464</v>
      </c>
      <c r="O98" t="s">
        <v>442</v>
      </c>
      <c r="P98" s="85">
        <v>0.24252223120452476</v>
      </c>
      <c r="Q98" s="85">
        <v>0.24252223120452476</v>
      </c>
      <c r="R98" s="81"/>
      <c r="T98" t="s">
        <v>360</v>
      </c>
      <c r="U98" t="s">
        <v>563</v>
      </c>
    </row>
    <row r="99" spans="1:21" x14ac:dyDescent="0.3">
      <c r="A99" t="s">
        <v>397</v>
      </c>
      <c r="B99">
        <v>2025</v>
      </c>
      <c r="C99" t="s">
        <v>434</v>
      </c>
      <c r="D99" t="s">
        <v>428</v>
      </c>
      <c r="E99" t="s">
        <v>132</v>
      </c>
      <c r="F99" t="s">
        <v>439</v>
      </c>
      <c r="G99" s="85">
        <v>52</v>
      </c>
      <c r="H99" s="86">
        <v>50.8</v>
      </c>
      <c r="I99" s="86">
        <v>2.7</v>
      </c>
      <c r="J99" s="87">
        <v>0.4</v>
      </c>
      <c r="K99" s="85">
        <v>38</v>
      </c>
      <c r="L99" s="85">
        <v>64</v>
      </c>
      <c r="M99" t="s">
        <v>436</v>
      </c>
      <c r="N99" t="s">
        <v>464</v>
      </c>
      <c r="O99" t="s">
        <v>442</v>
      </c>
      <c r="P99" s="85">
        <v>2.3622047244094548</v>
      </c>
      <c r="Q99" s="85">
        <v>2.3622047244094548</v>
      </c>
      <c r="R99" s="81"/>
      <c r="T99" t="s">
        <v>360</v>
      </c>
      <c r="U99" t="s">
        <v>564</v>
      </c>
    </row>
    <row r="100" spans="1:21" x14ac:dyDescent="0.3">
      <c r="A100" t="s">
        <v>397</v>
      </c>
      <c r="B100">
        <v>2025</v>
      </c>
      <c r="C100" t="s">
        <v>434</v>
      </c>
      <c r="D100" t="s">
        <v>428</v>
      </c>
      <c r="E100" t="s">
        <v>132</v>
      </c>
      <c r="F100" t="s">
        <v>440</v>
      </c>
      <c r="G100" s="85">
        <v>121</v>
      </c>
      <c r="H100" s="86">
        <v>120.8</v>
      </c>
      <c r="I100" s="86">
        <v>4.4000000000000004</v>
      </c>
      <c r="J100" s="87">
        <v>0</v>
      </c>
      <c r="K100" s="85">
        <v>90</v>
      </c>
      <c r="L100" s="85">
        <v>152</v>
      </c>
      <c r="M100" t="s">
        <v>436</v>
      </c>
      <c r="N100" t="s">
        <v>464</v>
      </c>
      <c r="O100" t="s">
        <v>442</v>
      </c>
      <c r="P100" s="85">
        <v>0.16556291390728714</v>
      </c>
      <c r="Q100" s="85">
        <v>0.16556291390728714</v>
      </c>
      <c r="R100" s="81"/>
      <c r="T100" t="s">
        <v>360</v>
      </c>
      <c r="U100" t="s">
        <v>565</v>
      </c>
    </row>
    <row r="101" spans="1:21" x14ac:dyDescent="0.3">
      <c r="A101" t="s">
        <v>397</v>
      </c>
      <c r="B101">
        <v>2025</v>
      </c>
      <c r="C101" t="s">
        <v>434</v>
      </c>
      <c r="D101" t="s">
        <v>428</v>
      </c>
      <c r="E101" t="s">
        <v>132</v>
      </c>
      <c r="F101" t="s">
        <v>441</v>
      </c>
      <c r="G101" s="85">
        <v>291</v>
      </c>
      <c r="H101" s="86">
        <v>299.2</v>
      </c>
      <c r="I101" s="86">
        <v>9</v>
      </c>
      <c r="J101" s="87">
        <v>-0.9</v>
      </c>
      <c r="K101" s="85">
        <v>224</v>
      </c>
      <c r="L101" s="85">
        <v>375</v>
      </c>
      <c r="M101" t="s">
        <v>436</v>
      </c>
      <c r="N101" t="s">
        <v>464</v>
      </c>
      <c r="O101" t="s">
        <v>442</v>
      </c>
      <c r="P101" s="85">
        <v>-2.740641711229943</v>
      </c>
      <c r="Q101" s="85">
        <v>2.740641711229943</v>
      </c>
      <c r="R101" s="81"/>
      <c r="T101" t="s">
        <v>360</v>
      </c>
      <c r="U101" t="s">
        <v>566</v>
      </c>
    </row>
    <row r="102" spans="1:21" x14ac:dyDescent="0.3">
      <c r="A102" t="s">
        <v>397</v>
      </c>
      <c r="B102">
        <v>2025</v>
      </c>
      <c r="C102" t="s">
        <v>434</v>
      </c>
      <c r="D102" t="s">
        <v>429</v>
      </c>
      <c r="E102" t="s">
        <v>148</v>
      </c>
      <c r="F102" t="s">
        <v>435</v>
      </c>
      <c r="G102" s="85">
        <v>16.399999999999999</v>
      </c>
      <c r="H102" s="86">
        <v>16.190000000000001</v>
      </c>
      <c r="I102" s="86">
        <v>0.11</v>
      </c>
      <c r="J102" s="87">
        <v>1.9</v>
      </c>
      <c r="K102" s="85">
        <v>15.8</v>
      </c>
      <c r="L102" s="85">
        <v>16.600000000000001</v>
      </c>
      <c r="M102" t="s">
        <v>436</v>
      </c>
      <c r="N102" t="s">
        <v>464</v>
      </c>
      <c r="O102" t="s">
        <v>437</v>
      </c>
      <c r="P102" s="85">
        <v>1.2970969734403786</v>
      </c>
      <c r="Q102" s="85">
        <v>1.2970969734403786</v>
      </c>
      <c r="R102" s="81"/>
      <c r="T102" t="s">
        <v>360</v>
      </c>
      <c r="U102" t="s">
        <v>567</v>
      </c>
    </row>
    <row r="103" spans="1:21" x14ac:dyDescent="0.3">
      <c r="A103" t="s">
        <v>397</v>
      </c>
      <c r="B103">
        <v>2025</v>
      </c>
      <c r="C103" t="s">
        <v>434</v>
      </c>
      <c r="D103" t="s">
        <v>429</v>
      </c>
      <c r="E103" t="s">
        <v>148</v>
      </c>
      <c r="F103" t="s">
        <v>438</v>
      </c>
      <c r="G103" s="85">
        <v>15</v>
      </c>
      <c r="H103" s="86">
        <v>14.84</v>
      </c>
      <c r="I103" s="86">
        <v>0.13</v>
      </c>
      <c r="J103" s="87">
        <v>1.3</v>
      </c>
      <c r="K103" s="85">
        <v>14.4</v>
      </c>
      <c r="L103" s="85">
        <v>15.3</v>
      </c>
      <c r="M103" t="s">
        <v>436</v>
      </c>
      <c r="N103" t="s">
        <v>464</v>
      </c>
      <c r="O103" t="s">
        <v>437</v>
      </c>
      <c r="P103" s="85">
        <v>1.078167115902966</v>
      </c>
      <c r="Q103" s="85">
        <v>1.078167115902966</v>
      </c>
      <c r="R103" s="81"/>
      <c r="T103" t="s">
        <v>360</v>
      </c>
      <c r="U103" t="s">
        <v>568</v>
      </c>
    </row>
    <row r="104" spans="1:21" x14ac:dyDescent="0.3">
      <c r="A104" t="s">
        <v>397</v>
      </c>
      <c r="B104">
        <v>2025</v>
      </c>
      <c r="C104" t="s">
        <v>434</v>
      </c>
      <c r="D104" t="s">
        <v>429</v>
      </c>
      <c r="E104" t="s">
        <v>148</v>
      </c>
      <c r="F104" t="s">
        <v>439</v>
      </c>
      <c r="G104" s="85">
        <v>18.899999999999999</v>
      </c>
      <c r="H104" s="86">
        <v>18.559999999999999</v>
      </c>
      <c r="I104" s="86">
        <v>0.13</v>
      </c>
      <c r="J104" s="87">
        <v>2.6</v>
      </c>
      <c r="K104" s="85">
        <v>18.100000000000001</v>
      </c>
      <c r="L104" s="85">
        <v>19</v>
      </c>
      <c r="M104" t="s">
        <v>436</v>
      </c>
      <c r="N104" t="s">
        <v>464</v>
      </c>
      <c r="O104" t="s">
        <v>437</v>
      </c>
      <c r="P104" s="85">
        <v>1.8318965517241375</v>
      </c>
      <c r="Q104" s="85">
        <v>1.8318965517241375</v>
      </c>
      <c r="R104" s="81"/>
      <c r="T104" t="s">
        <v>360</v>
      </c>
      <c r="U104" t="s">
        <v>569</v>
      </c>
    </row>
    <row r="105" spans="1:21" x14ac:dyDescent="0.3">
      <c r="A105" t="s">
        <v>397</v>
      </c>
      <c r="B105">
        <v>2025</v>
      </c>
      <c r="C105" t="s">
        <v>434</v>
      </c>
      <c r="D105" t="s">
        <v>429</v>
      </c>
      <c r="E105" t="s">
        <v>148</v>
      </c>
      <c r="F105" t="s">
        <v>440</v>
      </c>
      <c r="G105" s="85">
        <v>15</v>
      </c>
      <c r="H105" s="86">
        <v>14.86</v>
      </c>
      <c r="I105" s="86">
        <v>0.12</v>
      </c>
      <c r="J105" s="87">
        <v>1.2</v>
      </c>
      <c r="K105" s="85">
        <v>14.5</v>
      </c>
      <c r="L105" s="85">
        <v>15.3</v>
      </c>
      <c r="M105" t="s">
        <v>436</v>
      </c>
      <c r="N105" t="s">
        <v>464</v>
      </c>
      <c r="O105" t="s">
        <v>437</v>
      </c>
      <c r="P105" s="85">
        <v>0.94212651413190152</v>
      </c>
      <c r="Q105" s="85">
        <v>0.94212651413190152</v>
      </c>
      <c r="R105" s="81"/>
      <c r="T105" t="s">
        <v>360</v>
      </c>
      <c r="U105" t="s">
        <v>570</v>
      </c>
    </row>
    <row r="106" spans="1:21" x14ac:dyDescent="0.3">
      <c r="A106" t="s">
        <v>397</v>
      </c>
      <c r="B106">
        <v>2025</v>
      </c>
      <c r="C106" t="s">
        <v>434</v>
      </c>
      <c r="D106" t="s">
        <v>429</v>
      </c>
      <c r="E106" t="s">
        <v>148</v>
      </c>
      <c r="F106" t="s">
        <v>441</v>
      </c>
      <c r="G106" s="85">
        <v>17.899999999999999</v>
      </c>
      <c r="H106" s="86">
        <v>17.600000000000001</v>
      </c>
      <c r="I106" s="86">
        <v>0.13</v>
      </c>
      <c r="J106" s="87">
        <v>2.4</v>
      </c>
      <c r="K106" s="85">
        <v>17.2</v>
      </c>
      <c r="L106" s="85">
        <v>18</v>
      </c>
      <c r="M106" t="s">
        <v>436</v>
      </c>
      <c r="N106" t="s">
        <v>464</v>
      </c>
      <c r="O106" t="s">
        <v>437</v>
      </c>
      <c r="P106" s="85">
        <v>1.7045454545454382</v>
      </c>
      <c r="Q106" s="85">
        <v>1.7045454545454382</v>
      </c>
      <c r="R106" s="81"/>
      <c r="T106" t="s">
        <v>360</v>
      </c>
      <c r="U106" t="s">
        <v>571</v>
      </c>
    </row>
    <row r="107" spans="1:21" x14ac:dyDescent="0.3">
      <c r="A107" t="s">
        <v>397</v>
      </c>
      <c r="B107">
        <v>2025</v>
      </c>
      <c r="C107" t="s">
        <v>434</v>
      </c>
      <c r="D107" t="s">
        <v>430</v>
      </c>
      <c r="E107" t="s">
        <v>125</v>
      </c>
      <c r="F107" t="s">
        <v>435</v>
      </c>
      <c r="G107" s="85">
        <v>4.3</v>
      </c>
      <c r="H107" s="86">
        <v>4.2569999999999997</v>
      </c>
      <c r="I107" s="86">
        <v>4.1000000000000002E-2</v>
      </c>
      <c r="J107" s="87">
        <v>1</v>
      </c>
      <c r="K107" s="85">
        <v>4.08</v>
      </c>
      <c r="L107" s="85">
        <v>4.43</v>
      </c>
      <c r="M107" t="s">
        <v>436</v>
      </c>
      <c r="N107" t="s">
        <v>464</v>
      </c>
      <c r="O107" t="s">
        <v>448</v>
      </c>
      <c r="P107" s="85">
        <v>1.0101010101010137</v>
      </c>
      <c r="Q107" s="85">
        <v>1.0101010101010137</v>
      </c>
      <c r="R107" s="81"/>
      <c r="T107" t="s">
        <v>360</v>
      </c>
      <c r="U107" t="s">
        <v>572</v>
      </c>
    </row>
    <row r="108" spans="1:21" x14ac:dyDescent="0.3">
      <c r="A108" t="s">
        <v>397</v>
      </c>
      <c r="B108">
        <v>2025</v>
      </c>
      <c r="C108" t="s">
        <v>434</v>
      </c>
      <c r="D108" t="s">
        <v>430</v>
      </c>
      <c r="E108" t="s">
        <v>125</v>
      </c>
      <c r="F108" t="s">
        <v>438</v>
      </c>
      <c r="G108" s="85">
        <v>5.23</v>
      </c>
      <c r="H108" s="86">
        <v>5.2119999999999997</v>
      </c>
      <c r="I108" s="86">
        <v>5.0999999999999997E-2</v>
      </c>
      <c r="J108" s="87">
        <v>0.3</v>
      </c>
      <c r="K108" s="85">
        <v>5</v>
      </c>
      <c r="L108" s="85">
        <v>5.43</v>
      </c>
      <c r="M108" t="s">
        <v>436</v>
      </c>
      <c r="N108" t="s">
        <v>464</v>
      </c>
      <c r="O108" t="s">
        <v>448</v>
      </c>
      <c r="P108" s="85">
        <v>0.34535686876440297</v>
      </c>
      <c r="Q108" s="85">
        <v>0.34535686876440297</v>
      </c>
      <c r="R108" s="81"/>
      <c r="T108" t="s">
        <v>360</v>
      </c>
      <c r="U108" t="s">
        <v>573</v>
      </c>
    </row>
    <row r="109" spans="1:21" x14ac:dyDescent="0.3">
      <c r="A109" t="s">
        <v>397</v>
      </c>
      <c r="B109">
        <v>2025</v>
      </c>
      <c r="C109" t="s">
        <v>434</v>
      </c>
      <c r="D109" t="s">
        <v>430</v>
      </c>
      <c r="E109" t="s">
        <v>125</v>
      </c>
      <c r="F109" t="s">
        <v>439</v>
      </c>
      <c r="G109" s="85">
        <v>2.2200000000000002</v>
      </c>
      <c r="H109" s="86">
        <v>2.2109999999999999</v>
      </c>
      <c r="I109" s="86">
        <v>2.8000000000000001E-2</v>
      </c>
      <c r="J109" s="87">
        <v>0.3</v>
      </c>
      <c r="K109" s="85">
        <v>2.12</v>
      </c>
      <c r="L109" s="85">
        <v>2.2999999999999998</v>
      </c>
      <c r="M109" t="s">
        <v>436</v>
      </c>
      <c r="N109" t="s">
        <v>464</v>
      </c>
      <c r="O109" t="s">
        <v>448</v>
      </c>
      <c r="P109" s="85">
        <v>0.40705563093624342</v>
      </c>
      <c r="Q109" s="85">
        <v>0.40705563093624342</v>
      </c>
      <c r="R109" s="81"/>
      <c r="T109" t="s">
        <v>360</v>
      </c>
      <c r="U109" t="s">
        <v>574</v>
      </c>
    </row>
    <row r="110" spans="1:21" x14ac:dyDescent="0.3">
      <c r="A110" t="s">
        <v>397</v>
      </c>
      <c r="B110">
        <v>2025</v>
      </c>
      <c r="C110" t="s">
        <v>434</v>
      </c>
      <c r="D110" t="s">
        <v>430</v>
      </c>
      <c r="E110" t="s">
        <v>125</v>
      </c>
      <c r="F110" t="s">
        <v>440</v>
      </c>
      <c r="G110" s="85">
        <v>5.31</v>
      </c>
      <c r="H110" s="86">
        <v>5.2350000000000003</v>
      </c>
      <c r="I110" s="86">
        <v>0.05</v>
      </c>
      <c r="J110" s="87">
        <v>1.5</v>
      </c>
      <c r="K110" s="85">
        <v>5.0199999999999996</v>
      </c>
      <c r="L110" s="85">
        <v>5.45</v>
      </c>
      <c r="M110" t="s">
        <v>436</v>
      </c>
      <c r="N110" t="s">
        <v>464</v>
      </c>
      <c r="O110" t="s">
        <v>448</v>
      </c>
      <c r="P110" s="85">
        <v>1.4326647564469779</v>
      </c>
      <c r="Q110" s="85">
        <v>1.4326647564469779</v>
      </c>
      <c r="R110" s="81"/>
      <c r="T110" t="s">
        <v>360</v>
      </c>
      <c r="U110" t="s">
        <v>575</v>
      </c>
    </row>
    <row r="111" spans="1:21" x14ac:dyDescent="0.3">
      <c r="A111" t="s">
        <v>397</v>
      </c>
      <c r="B111">
        <v>2025</v>
      </c>
      <c r="C111" t="s">
        <v>434</v>
      </c>
      <c r="D111" t="s">
        <v>430</v>
      </c>
      <c r="E111" t="s">
        <v>125</v>
      </c>
      <c r="F111" t="s">
        <v>441</v>
      </c>
      <c r="G111" s="85">
        <v>2.42</v>
      </c>
      <c r="H111" s="86">
        <v>2.4</v>
      </c>
      <c r="I111" s="86">
        <v>0.03</v>
      </c>
      <c r="J111" s="87">
        <v>0.7</v>
      </c>
      <c r="K111" s="85">
        <v>2.2999999999999998</v>
      </c>
      <c r="L111" s="85">
        <v>2.5</v>
      </c>
      <c r="M111" t="s">
        <v>436</v>
      </c>
      <c r="N111" t="s">
        <v>464</v>
      </c>
      <c r="O111" t="s">
        <v>448</v>
      </c>
      <c r="P111" s="85">
        <v>0.83333333333333415</v>
      </c>
      <c r="Q111" s="85">
        <v>0.83333333333333415</v>
      </c>
      <c r="R111" s="81"/>
      <c r="T111" t="s">
        <v>360</v>
      </c>
      <c r="U111" t="s">
        <v>576</v>
      </c>
    </row>
    <row r="112" spans="1:21" x14ac:dyDescent="0.3">
      <c r="A112" t="s">
        <v>397</v>
      </c>
      <c r="B112">
        <v>2025</v>
      </c>
      <c r="C112" t="s">
        <v>434</v>
      </c>
      <c r="D112" t="s">
        <v>431</v>
      </c>
      <c r="E112" t="s">
        <v>122</v>
      </c>
      <c r="F112" t="s">
        <v>435</v>
      </c>
      <c r="G112" s="85">
        <v>6.2</v>
      </c>
      <c r="H112" s="86">
        <v>6.27</v>
      </c>
      <c r="I112" s="86">
        <v>0.12</v>
      </c>
      <c r="J112" s="87">
        <v>-0.6</v>
      </c>
      <c r="K112" s="85">
        <v>5.6</v>
      </c>
      <c r="L112" s="85">
        <v>6.9</v>
      </c>
      <c r="M112" t="s">
        <v>436</v>
      </c>
      <c r="N112" t="s">
        <v>464</v>
      </c>
      <c r="O112" t="s">
        <v>442</v>
      </c>
      <c r="P112" s="85">
        <v>-1.1164274322168963</v>
      </c>
      <c r="Q112" s="85">
        <v>1.1164274322168963</v>
      </c>
      <c r="R112" s="81"/>
      <c r="T112" t="s">
        <v>360</v>
      </c>
      <c r="U112" t="s">
        <v>577</v>
      </c>
    </row>
    <row r="113" spans="1:21" x14ac:dyDescent="0.3">
      <c r="A113" t="s">
        <v>397</v>
      </c>
      <c r="B113">
        <v>2025</v>
      </c>
      <c r="C113" t="s">
        <v>434</v>
      </c>
      <c r="D113" t="s">
        <v>431</v>
      </c>
      <c r="E113" t="s">
        <v>122</v>
      </c>
      <c r="F113" t="s">
        <v>438</v>
      </c>
      <c r="G113" s="85">
        <v>16.899999999999999</v>
      </c>
      <c r="H113" s="86">
        <v>17.149999999999999</v>
      </c>
      <c r="I113" s="86">
        <v>0.27</v>
      </c>
      <c r="J113" s="87">
        <v>-0.9</v>
      </c>
      <c r="K113" s="85">
        <v>15.4</v>
      </c>
      <c r="L113" s="85">
        <v>18.899999999999999</v>
      </c>
      <c r="M113" t="s">
        <v>436</v>
      </c>
      <c r="N113" t="s">
        <v>464</v>
      </c>
      <c r="O113" t="s">
        <v>442</v>
      </c>
      <c r="P113" s="85">
        <v>-1.457725947521866</v>
      </c>
      <c r="Q113" s="85">
        <v>1.457725947521866</v>
      </c>
      <c r="R113" s="81"/>
      <c r="T113" t="s">
        <v>360</v>
      </c>
      <c r="U113" t="s">
        <v>578</v>
      </c>
    </row>
    <row r="114" spans="1:21" x14ac:dyDescent="0.3">
      <c r="A114" t="s">
        <v>397</v>
      </c>
      <c r="B114">
        <v>2025</v>
      </c>
      <c r="C114" t="s">
        <v>434</v>
      </c>
      <c r="D114" t="s">
        <v>431</v>
      </c>
      <c r="E114" t="s">
        <v>122</v>
      </c>
      <c r="F114" t="s">
        <v>439</v>
      </c>
      <c r="G114" s="85">
        <v>2.7</v>
      </c>
      <c r="H114" s="86">
        <v>2.83</v>
      </c>
      <c r="I114" s="86">
        <v>7.0000000000000007E-2</v>
      </c>
      <c r="J114" s="87">
        <v>-1.8</v>
      </c>
      <c r="K114" s="85">
        <v>2.5</v>
      </c>
      <c r="L114" s="85">
        <v>3.2</v>
      </c>
      <c r="M114" t="s">
        <v>436</v>
      </c>
      <c r="N114" t="s">
        <v>464</v>
      </c>
      <c r="O114" t="s">
        <v>442</v>
      </c>
      <c r="P114" s="85">
        <v>-4.5936395759717277</v>
      </c>
      <c r="Q114" s="85">
        <v>4.5936395759717277</v>
      </c>
      <c r="R114" s="81"/>
      <c r="T114" t="s">
        <v>360</v>
      </c>
      <c r="U114" t="s">
        <v>579</v>
      </c>
    </row>
    <row r="115" spans="1:21" x14ac:dyDescent="0.3">
      <c r="A115" t="s">
        <v>397</v>
      </c>
      <c r="B115">
        <v>2025</v>
      </c>
      <c r="C115" t="s">
        <v>434</v>
      </c>
      <c r="D115" t="s">
        <v>431</v>
      </c>
      <c r="E115" t="s">
        <v>122</v>
      </c>
      <c r="F115" t="s">
        <v>440</v>
      </c>
      <c r="G115" s="85">
        <v>2.9</v>
      </c>
      <c r="H115" s="86">
        <v>2.9</v>
      </c>
      <c r="I115" s="86">
        <v>0.08</v>
      </c>
      <c r="J115" s="87">
        <v>0</v>
      </c>
      <c r="K115" s="85">
        <v>2.6</v>
      </c>
      <c r="L115" s="85">
        <v>3.2</v>
      </c>
      <c r="M115" t="s">
        <v>436</v>
      </c>
      <c r="N115" t="s">
        <v>464</v>
      </c>
      <c r="O115" t="s">
        <v>442</v>
      </c>
      <c r="P115" s="85">
        <v>0</v>
      </c>
      <c r="Q115" s="85">
        <v>0</v>
      </c>
      <c r="R115" s="81"/>
      <c r="T115" t="s">
        <v>360</v>
      </c>
      <c r="U115" t="s">
        <v>580</v>
      </c>
    </row>
    <row r="116" spans="1:21" x14ac:dyDescent="0.3">
      <c r="A116" t="s">
        <v>397</v>
      </c>
      <c r="B116">
        <v>2025</v>
      </c>
      <c r="C116" t="s">
        <v>434</v>
      </c>
      <c r="D116" t="s">
        <v>431</v>
      </c>
      <c r="E116" t="s">
        <v>122</v>
      </c>
      <c r="F116" t="s">
        <v>441</v>
      </c>
      <c r="G116" s="85">
        <v>7.6</v>
      </c>
      <c r="H116" s="86">
        <v>7.86</v>
      </c>
      <c r="I116" s="86">
        <v>0.14000000000000001</v>
      </c>
      <c r="J116" s="87">
        <v>-1.8</v>
      </c>
      <c r="K116" s="85">
        <v>7</v>
      </c>
      <c r="L116" s="85">
        <v>8.6999999999999993</v>
      </c>
      <c r="M116" t="s">
        <v>436</v>
      </c>
      <c r="N116" t="s">
        <v>464</v>
      </c>
      <c r="O116" t="s">
        <v>442</v>
      </c>
      <c r="P116" s="85">
        <v>-3.3078880407124771</v>
      </c>
      <c r="Q116" s="85">
        <v>3.3078880407124771</v>
      </c>
      <c r="R116" s="81"/>
      <c r="T116" t="s">
        <v>360</v>
      </c>
      <c r="U116" t="s">
        <v>581</v>
      </c>
    </row>
    <row r="117" spans="1:21" x14ac:dyDescent="0.3">
      <c r="A117" t="s">
        <v>397</v>
      </c>
      <c r="B117">
        <v>2025</v>
      </c>
      <c r="C117" t="s">
        <v>434</v>
      </c>
      <c r="D117" t="s">
        <v>432</v>
      </c>
      <c r="E117" t="s">
        <v>146</v>
      </c>
      <c r="F117" t="s">
        <v>435</v>
      </c>
      <c r="G117" s="85">
        <v>0.38</v>
      </c>
      <c r="H117" s="86">
        <v>0.377</v>
      </c>
      <c r="I117" s="86">
        <v>2.1999999999999999E-2</v>
      </c>
      <c r="J117" s="87">
        <v>0.1</v>
      </c>
      <c r="K117" s="85"/>
      <c r="L117" s="85"/>
      <c r="M117" t="s">
        <v>444</v>
      </c>
      <c r="N117" t="s">
        <v>495</v>
      </c>
      <c r="O117" t="s">
        <v>442</v>
      </c>
      <c r="P117" s="85">
        <v>0.79575596816976202</v>
      </c>
      <c r="Q117" s="85">
        <v>0.79575596816976202</v>
      </c>
      <c r="R117" s="81"/>
      <c r="T117" t="s">
        <v>360</v>
      </c>
      <c r="U117" t="s">
        <v>582</v>
      </c>
    </row>
    <row r="118" spans="1:21" x14ac:dyDescent="0.3">
      <c r="A118" t="s">
        <v>397</v>
      </c>
      <c r="B118">
        <v>2025</v>
      </c>
      <c r="C118" t="s">
        <v>434</v>
      </c>
      <c r="D118" t="s">
        <v>432</v>
      </c>
      <c r="E118" t="s">
        <v>146</v>
      </c>
      <c r="F118" t="s">
        <v>438</v>
      </c>
      <c r="G118" s="85">
        <v>1.03</v>
      </c>
      <c r="H118" s="86">
        <v>1.0049999999999999</v>
      </c>
      <c r="I118" s="86">
        <v>3.6999999999999998E-2</v>
      </c>
      <c r="J118" s="87">
        <v>0.7</v>
      </c>
      <c r="K118" s="85"/>
      <c r="L118" s="85"/>
      <c r="M118" t="s">
        <v>444</v>
      </c>
      <c r="N118" t="s">
        <v>495</v>
      </c>
      <c r="O118" t="s">
        <v>442</v>
      </c>
      <c r="P118" s="85">
        <v>2.4875621890547399</v>
      </c>
      <c r="Q118" s="85">
        <v>2.4875621890547399</v>
      </c>
      <c r="R118" s="81"/>
      <c r="T118" t="s">
        <v>360</v>
      </c>
      <c r="U118" t="s">
        <v>583</v>
      </c>
    </row>
    <row r="119" spans="1:21" x14ac:dyDescent="0.3">
      <c r="A119" t="s">
        <v>397</v>
      </c>
      <c r="B119">
        <v>2025</v>
      </c>
      <c r="C119" t="s">
        <v>434</v>
      </c>
      <c r="D119" t="s">
        <v>432</v>
      </c>
      <c r="E119" t="s">
        <v>146</v>
      </c>
      <c r="F119" t="s">
        <v>439</v>
      </c>
      <c r="G119" s="85">
        <v>0.13</v>
      </c>
      <c r="H119" s="86">
        <v>0.13900000000000001</v>
      </c>
      <c r="I119" s="86">
        <v>1.4E-2</v>
      </c>
      <c r="J119" s="87">
        <v>-0.6</v>
      </c>
      <c r="K119" s="85"/>
      <c r="L119" s="85"/>
      <c r="M119" t="s">
        <v>444</v>
      </c>
      <c r="N119" t="s">
        <v>495</v>
      </c>
      <c r="O119" t="s">
        <v>442</v>
      </c>
      <c r="P119" s="85">
        <v>-6.474820143884898</v>
      </c>
      <c r="Q119" s="85">
        <v>6.474820143884898</v>
      </c>
      <c r="R119" s="81"/>
      <c r="T119" t="s">
        <v>360</v>
      </c>
      <c r="U119" t="s">
        <v>584</v>
      </c>
    </row>
    <row r="120" spans="1:21" x14ac:dyDescent="0.3">
      <c r="A120" t="s">
        <v>397</v>
      </c>
      <c r="B120">
        <v>2025</v>
      </c>
      <c r="C120" t="s">
        <v>434</v>
      </c>
      <c r="D120" t="s">
        <v>432</v>
      </c>
      <c r="E120" t="s">
        <v>146</v>
      </c>
      <c r="F120" t="s">
        <v>440</v>
      </c>
      <c r="G120" s="85">
        <v>0</v>
      </c>
      <c r="H120" s="86">
        <v>2E-3</v>
      </c>
      <c r="I120" s="86">
        <v>4.0000000000000001E-3</v>
      </c>
      <c r="J120" s="87">
        <v>-0.5</v>
      </c>
      <c r="K120" s="85"/>
      <c r="L120" s="85"/>
      <c r="M120" t="s">
        <v>444</v>
      </c>
      <c r="N120" t="s">
        <v>495</v>
      </c>
      <c r="O120" t="s">
        <v>442</v>
      </c>
      <c r="P120" s="85">
        <v>-100</v>
      </c>
      <c r="Q120" s="85">
        <v>100</v>
      </c>
      <c r="R120" s="81"/>
      <c r="T120" t="s">
        <v>360</v>
      </c>
      <c r="U120" t="s">
        <v>585</v>
      </c>
    </row>
    <row r="121" spans="1:21" x14ac:dyDescent="0.3">
      <c r="A121" t="s">
        <v>397</v>
      </c>
      <c r="B121">
        <v>2025</v>
      </c>
      <c r="C121" t="s">
        <v>434</v>
      </c>
      <c r="D121" t="s">
        <v>432</v>
      </c>
      <c r="E121" t="s">
        <v>146</v>
      </c>
      <c r="F121" t="s">
        <v>441</v>
      </c>
      <c r="G121" s="85">
        <v>0.01</v>
      </c>
      <c r="H121" s="86">
        <v>5.0000000000000001E-3</v>
      </c>
      <c r="I121" s="86">
        <v>6.0000000000000001E-3</v>
      </c>
      <c r="J121" s="87">
        <v>0.8</v>
      </c>
      <c r="K121" s="85"/>
      <c r="L121" s="85"/>
      <c r="M121" t="s">
        <v>444</v>
      </c>
      <c r="N121" t="s">
        <v>495</v>
      </c>
      <c r="O121" t="s">
        <v>442</v>
      </c>
      <c r="P121" s="85">
        <v>100</v>
      </c>
      <c r="Q121" s="85">
        <v>100</v>
      </c>
      <c r="R121" s="81"/>
      <c r="T121" t="s">
        <v>360</v>
      </c>
      <c r="U121" t="s">
        <v>586</v>
      </c>
    </row>
    <row r="122" spans="1:21" x14ac:dyDescent="0.3">
      <c r="A122" t="s">
        <v>397</v>
      </c>
      <c r="B122">
        <v>2025</v>
      </c>
      <c r="C122" t="s">
        <v>434</v>
      </c>
      <c r="D122" t="s">
        <v>433</v>
      </c>
      <c r="E122" t="s">
        <v>145</v>
      </c>
      <c r="F122" t="s">
        <v>435</v>
      </c>
      <c r="G122" s="85">
        <v>6.1</v>
      </c>
      <c r="H122" s="86">
        <v>6.02</v>
      </c>
      <c r="I122" s="86">
        <v>0.35</v>
      </c>
      <c r="J122" s="87">
        <v>0.2</v>
      </c>
      <c r="K122" s="85"/>
      <c r="L122" s="85"/>
      <c r="M122" t="s">
        <v>444</v>
      </c>
      <c r="N122" t="s">
        <v>495</v>
      </c>
      <c r="O122" t="s">
        <v>449</v>
      </c>
      <c r="P122" s="85">
        <v>1.328903654485051</v>
      </c>
      <c r="Q122" s="85">
        <v>1.328903654485051</v>
      </c>
      <c r="R122" s="81"/>
      <c r="T122" t="s">
        <v>360</v>
      </c>
      <c r="U122" t="s">
        <v>587</v>
      </c>
    </row>
    <row r="123" spans="1:21" x14ac:dyDescent="0.3">
      <c r="A123" t="s">
        <v>397</v>
      </c>
      <c r="B123">
        <v>2025</v>
      </c>
      <c r="C123" t="s">
        <v>434</v>
      </c>
      <c r="D123" t="s">
        <v>433</v>
      </c>
      <c r="E123" t="s">
        <v>145</v>
      </c>
      <c r="F123" t="s">
        <v>438</v>
      </c>
      <c r="G123" s="85">
        <v>6.1</v>
      </c>
      <c r="H123" s="86">
        <v>5.87</v>
      </c>
      <c r="I123" s="86">
        <v>0.21</v>
      </c>
      <c r="J123" s="87">
        <v>1.1000000000000001</v>
      </c>
      <c r="K123" s="85"/>
      <c r="L123" s="85"/>
      <c r="M123" t="s">
        <v>444</v>
      </c>
      <c r="N123" t="s">
        <v>495</v>
      </c>
      <c r="O123" t="s">
        <v>449</v>
      </c>
      <c r="P123" s="85">
        <v>3.918228279386704</v>
      </c>
      <c r="Q123" s="85">
        <v>3.918228279386704</v>
      </c>
      <c r="R123" s="81"/>
      <c r="T123" t="s">
        <v>360</v>
      </c>
      <c r="U123" t="s">
        <v>588</v>
      </c>
    </row>
    <row r="124" spans="1:21" x14ac:dyDescent="0.3">
      <c r="A124" t="s">
        <v>397</v>
      </c>
      <c r="B124">
        <v>2025</v>
      </c>
      <c r="C124" t="s">
        <v>434</v>
      </c>
      <c r="D124" t="s">
        <v>433</v>
      </c>
      <c r="E124" t="s">
        <v>145</v>
      </c>
      <c r="F124" t="s">
        <v>439</v>
      </c>
      <c r="G124" s="85">
        <v>4.9000000000000004</v>
      </c>
      <c r="H124" s="86">
        <v>4.91</v>
      </c>
      <c r="I124" s="86">
        <v>0.48</v>
      </c>
      <c r="J124" s="87">
        <v>0</v>
      </c>
      <c r="K124" s="85"/>
      <c r="L124" s="85"/>
      <c r="M124" t="s">
        <v>444</v>
      </c>
      <c r="N124" t="s">
        <v>495</v>
      </c>
      <c r="O124" t="s">
        <v>449</v>
      </c>
      <c r="P124" s="85">
        <v>-0.20366598778003639</v>
      </c>
      <c r="Q124" s="85">
        <v>0.20366598778003639</v>
      </c>
      <c r="R124" s="81"/>
      <c r="T124" t="s">
        <v>360</v>
      </c>
      <c r="U124" t="s">
        <v>589</v>
      </c>
    </row>
    <row r="125" spans="1:21" x14ac:dyDescent="0.3">
      <c r="A125" t="s">
        <v>397</v>
      </c>
      <c r="B125">
        <v>2025</v>
      </c>
      <c r="C125" t="s">
        <v>434</v>
      </c>
      <c r="D125" t="s">
        <v>433</v>
      </c>
      <c r="E125" t="s">
        <v>145</v>
      </c>
      <c r="F125" t="s">
        <v>440</v>
      </c>
      <c r="G125" s="85">
        <v>0</v>
      </c>
      <c r="H125" s="86">
        <v>0.05</v>
      </c>
      <c r="I125" s="86">
        <v>0.12</v>
      </c>
      <c r="J125" s="87">
        <v>-0.4</v>
      </c>
      <c r="K125" s="85"/>
      <c r="L125" s="85"/>
      <c r="M125" t="s">
        <v>444</v>
      </c>
      <c r="N125" t="s">
        <v>495</v>
      </c>
      <c r="O125" t="s">
        <v>449</v>
      </c>
      <c r="P125" s="85">
        <v>-100</v>
      </c>
      <c r="Q125" s="85">
        <v>100</v>
      </c>
      <c r="R125" s="81"/>
      <c r="T125" t="s">
        <v>360</v>
      </c>
      <c r="U125" t="s">
        <v>590</v>
      </c>
    </row>
    <row r="126" spans="1:21" x14ac:dyDescent="0.3">
      <c r="A126" t="s">
        <v>397</v>
      </c>
      <c r="B126">
        <v>2025</v>
      </c>
      <c r="C126" t="s">
        <v>434</v>
      </c>
      <c r="D126" t="s">
        <v>433</v>
      </c>
      <c r="E126" t="s">
        <v>145</v>
      </c>
      <c r="F126" t="s">
        <v>441</v>
      </c>
      <c r="G126" s="85">
        <v>0.1</v>
      </c>
      <c r="H126" s="86">
        <v>0.04</v>
      </c>
      <c r="I126" s="86">
        <v>0.05</v>
      </c>
      <c r="J126" s="87">
        <v>1.2</v>
      </c>
      <c r="K126" s="85"/>
      <c r="L126" s="85"/>
      <c r="M126" t="s">
        <v>444</v>
      </c>
      <c r="N126" t="s">
        <v>495</v>
      </c>
      <c r="O126" t="s">
        <v>449</v>
      </c>
      <c r="P126" s="85">
        <v>150</v>
      </c>
      <c r="Q126" s="85">
        <v>150</v>
      </c>
      <c r="R126" s="81"/>
      <c r="T126" t="s">
        <v>360</v>
      </c>
      <c r="U126" t="s">
        <v>591</v>
      </c>
    </row>
    <row r="127" spans="1:21" x14ac:dyDescent="0.3">
      <c r="A127" t="s">
        <v>397</v>
      </c>
      <c r="B127">
        <v>2025</v>
      </c>
      <c r="C127" t="s">
        <v>450</v>
      </c>
      <c r="D127" t="s">
        <v>413</v>
      </c>
      <c r="E127" t="s">
        <v>137</v>
      </c>
      <c r="F127" t="s">
        <v>451</v>
      </c>
      <c r="G127" s="85">
        <v>5</v>
      </c>
      <c r="H127" s="86">
        <v>4.82</v>
      </c>
      <c r="I127" s="86">
        <v>0.12</v>
      </c>
      <c r="J127" s="87">
        <v>1.5</v>
      </c>
      <c r="K127" s="85">
        <v>4.4000000000000004</v>
      </c>
      <c r="L127" s="85">
        <v>5.2</v>
      </c>
      <c r="M127" t="s">
        <v>436</v>
      </c>
      <c r="N127" t="s">
        <v>464</v>
      </c>
      <c r="O127" t="s">
        <v>437</v>
      </c>
      <c r="P127" s="85">
        <v>3.7344398340248901</v>
      </c>
      <c r="Q127" s="85">
        <v>3.7344398340248901</v>
      </c>
      <c r="R127" s="81"/>
      <c r="T127" t="s">
        <v>360</v>
      </c>
      <c r="U127" t="s">
        <v>592</v>
      </c>
    </row>
    <row r="128" spans="1:21" x14ac:dyDescent="0.3">
      <c r="A128" t="s">
        <v>397</v>
      </c>
      <c r="B128">
        <v>2025</v>
      </c>
      <c r="C128" t="s">
        <v>450</v>
      </c>
      <c r="D128" t="s">
        <v>413</v>
      </c>
      <c r="E128" t="s">
        <v>137</v>
      </c>
      <c r="F128" t="s">
        <v>452</v>
      </c>
      <c r="G128" s="85">
        <v>4.8</v>
      </c>
      <c r="H128" s="86">
        <v>4.8099999999999996</v>
      </c>
      <c r="I128" s="86">
        <v>0.17</v>
      </c>
      <c r="J128" s="87">
        <v>0</v>
      </c>
      <c r="K128" s="85">
        <v>4.2</v>
      </c>
      <c r="L128" s="85">
        <v>5.4</v>
      </c>
      <c r="M128" t="s">
        <v>436</v>
      </c>
      <c r="N128" t="s">
        <v>464</v>
      </c>
      <c r="O128" t="s">
        <v>437</v>
      </c>
      <c r="P128" s="85">
        <v>-0.2079002079002035</v>
      </c>
      <c r="Q128" s="85">
        <v>0.2079002079002035</v>
      </c>
      <c r="R128" s="81"/>
      <c r="T128" t="s">
        <v>360</v>
      </c>
      <c r="U128" t="s">
        <v>593</v>
      </c>
    </row>
    <row r="129" spans="1:21" x14ac:dyDescent="0.3">
      <c r="A129" t="s">
        <v>397</v>
      </c>
      <c r="B129">
        <v>2025</v>
      </c>
      <c r="C129" t="s">
        <v>450</v>
      </c>
      <c r="D129" t="s">
        <v>413</v>
      </c>
      <c r="E129" t="s">
        <v>137</v>
      </c>
      <c r="F129" t="s">
        <v>453</v>
      </c>
      <c r="G129" s="85">
        <v>4.5999999999999996</v>
      </c>
      <c r="H129" s="86">
        <v>4.8099999999999996</v>
      </c>
      <c r="I129" s="86">
        <v>0.12</v>
      </c>
      <c r="J129" s="87">
        <v>-1.7</v>
      </c>
      <c r="K129" s="85">
        <v>4.4000000000000004</v>
      </c>
      <c r="L129" s="85">
        <v>5.2</v>
      </c>
      <c r="M129" t="s">
        <v>436</v>
      </c>
      <c r="N129" t="s">
        <v>464</v>
      </c>
      <c r="O129" t="s">
        <v>437</v>
      </c>
      <c r="P129" s="85">
        <v>-4.365904365904365</v>
      </c>
      <c r="Q129" s="85">
        <v>4.365904365904365</v>
      </c>
      <c r="R129" s="81"/>
      <c r="T129" t="s">
        <v>360</v>
      </c>
      <c r="U129" t="s">
        <v>594</v>
      </c>
    </row>
    <row r="130" spans="1:21" x14ac:dyDescent="0.3">
      <c r="A130" t="s">
        <v>397</v>
      </c>
      <c r="B130">
        <v>2025</v>
      </c>
      <c r="C130" t="s">
        <v>450</v>
      </c>
      <c r="D130" t="s">
        <v>413</v>
      </c>
      <c r="E130" t="s">
        <v>137</v>
      </c>
      <c r="F130" t="s">
        <v>454</v>
      </c>
      <c r="G130" s="85">
        <v>4.9000000000000004</v>
      </c>
      <c r="H130" s="86">
        <v>4.8099999999999996</v>
      </c>
      <c r="I130" s="86">
        <v>0.13</v>
      </c>
      <c r="J130" s="87">
        <v>0.7</v>
      </c>
      <c r="K130" s="85">
        <v>4.4000000000000004</v>
      </c>
      <c r="L130" s="85">
        <v>5.2</v>
      </c>
      <c r="M130" t="s">
        <v>436</v>
      </c>
      <c r="N130" t="s">
        <v>464</v>
      </c>
      <c r="O130" t="s">
        <v>437</v>
      </c>
      <c r="P130" s="85">
        <v>1.8711018711018867</v>
      </c>
      <c r="Q130" s="85">
        <v>1.8711018711018867</v>
      </c>
      <c r="R130" s="81"/>
      <c r="T130" t="s">
        <v>360</v>
      </c>
      <c r="U130" t="s">
        <v>595</v>
      </c>
    </row>
    <row r="131" spans="1:21" x14ac:dyDescent="0.3">
      <c r="A131" t="s">
        <v>397</v>
      </c>
      <c r="B131">
        <v>2025</v>
      </c>
      <c r="C131" t="s">
        <v>450</v>
      </c>
      <c r="D131" t="s">
        <v>413</v>
      </c>
      <c r="E131" t="s">
        <v>137</v>
      </c>
      <c r="F131" t="s">
        <v>455</v>
      </c>
      <c r="G131" s="85">
        <v>5</v>
      </c>
      <c r="H131" s="86">
        <v>4.8</v>
      </c>
      <c r="I131" s="86">
        <v>0.17</v>
      </c>
      <c r="J131" s="87">
        <v>1.2</v>
      </c>
      <c r="K131" s="85">
        <v>4.2</v>
      </c>
      <c r="L131" s="85">
        <v>5.4</v>
      </c>
      <c r="M131" t="s">
        <v>436</v>
      </c>
      <c r="N131" t="s">
        <v>464</v>
      </c>
      <c r="O131" t="s">
        <v>437</v>
      </c>
      <c r="P131" s="85">
        <v>4.1666666666666705</v>
      </c>
      <c r="Q131" s="85">
        <v>4.1666666666666705</v>
      </c>
      <c r="R131" s="81"/>
      <c r="T131" t="s">
        <v>360</v>
      </c>
      <c r="U131" t="s">
        <v>596</v>
      </c>
    </row>
    <row r="132" spans="1:21" x14ac:dyDescent="0.3">
      <c r="A132" t="s">
        <v>397</v>
      </c>
      <c r="B132">
        <v>2025</v>
      </c>
      <c r="C132" t="s">
        <v>450</v>
      </c>
      <c r="D132" t="s">
        <v>414</v>
      </c>
      <c r="E132" t="s">
        <v>142</v>
      </c>
      <c r="F132" t="s">
        <v>451</v>
      </c>
      <c r="G132" s="85">
        <v>0.37</v>
      </c>
      <c r="H132" s="86">
        <v>0.36899999999999999</v>
      </c>
      <c r="I132" s="86">
        <v>1.2999999999999999E-2</v>
      </c>
      <c r="J132" s="87">
        <v>0</v>
      </c>
      <c r="K132" s="85">
        <v>0.33</v>
      </c>
      <c r="L132" s="85">
        <v>0.41</v>
      </c>
      <c r="M132" t="s">
        <v>436</v>
      </c>
      <c r="N132" t="s">
        <v>464</v>
      </c>
      <c r="O132" t="s">
        <v>442</v>
      </c>
      <c r="P132" s="85">
        <v>0.27100271002710052</v>
      </c>
      <c r="Q132" s="85">
        <v>0.27100271002710052</v>
      </c>
      <c r="R132" s="81"/>
      <c r="T132" t="s">
        <v>360</v>
      </c>
      <c r="U132" t="s">
        <v>597</v>
      </c>
    </row>
    <row r="133" spans="1:21" x14ac:dyDescent="0.3">
      <c r="A133" t="s">
        <v>397</v>
      </c>
      <c r="B133">
        <v>2025</v>
      </c>
      <c r="C133" t="s">
        <v>450</v>
      </c>
      <c r="D133" t="s">
        <v>414</v>
      </c>
      <c r="E133" t="s">
        <v>142</v>
      </c>
      <c r="F133" t="s">
        <v>452</v>
      </c>
      <c r="G133" s="85">
        <v>0.13</v>
      </c>
      <c r="H133" s="86">
        <v>0.13600000000000001</v>
      </c>
      <c r="I133" s="86">
        <v>7.0000000000000001E-3</v>
      </c>
      <c r="J133" s="87">
        <v>-0.9</v>
      </c>
      <c r="K133" s="85">
        <v>0.11</v>
      </c>
      <c r="L133" s="85">
        <v>0.16</v>
      </c>
      <c r="M133" t="s">
        <v>436</v>
      </c>
      <c r="N133" t="s">
        <v>464</v>
      </c>
      <c r="O133" t="s">
        <v>442</v>
      </c>
      <c r="P133" s="85">
        <v>-4.4117647058823568</v>
      </c>
      <c r="Q133" s="85">
        <v>4.4117647058823568</v>
      </c>
      <c r="R133" s="81"/>
      <c r="T133" t="s">
        <v>360</v>
      </c>
      <c r="U133" t="s">
        <v>598</v>
      </c>
    </row>
    <row r="134" spans="1:21" x14ac:dyDescent="0.3">
      <c r="A134" t="s">
        <v>397</v>
      </c>
      <c r="B134">
        <v>2025</v>
      </c>
      <c r="C134" t="s">
        <v>450</v>
      </c>
      <c r="D134" t="s">
        <v>414</v>
      </c>
      <c r="E134" t="s">
        <v>142</v>
      </c>
      <c r="F134" t="s">
        <v>453</v>
      </c>
      <c r="G134" s="85">
        <v>0.78</v>
      </c>
      <c r="H134" s="86">
        <v>0.80900000000000005</v>
      </c>
      <c r="I134" s="86">
        <v>2.3E-2</v>
      </c>
      <c r="J134" s="87">
        <v>-1.3</v>
      </c>
      <c r="K134" s="85">
        <v>0.73</v>
      </c>
      <c r="L134" s="85">
        <v>0.88</v>
      </c>
      <c r="M134" t="s">
        <v>436</v>
      </c>
      <c r="N134" t="s">
        <v>464</v>
      </c>
      <c r="O134" t="s">
        <v>442</v>
      </c>
      <c r="P134" s="85">
        <v>-3.5846724351050714</v>
      </c>
      <c r="Q134" s="85">
        <v>3.5846724351050714</v>
      </c>
      <c r="R134" s="81"/>
      <c r="T134" t="s">
        <v>360</v>
      </c>
      <c r="U134" t="s">
        <v>599</v>
      </c>
    </row>
    <row r="135" spans="1:21" x14ac:dyDescent="0.3">
      <c r="A135" t="s">
        <v>397</v>
      </c>
      <c r="B135">
        <v>2025</v>
      </c>
      <c r="C135" t="s">
        <v>450</v>
      </c>
      <c r="D135" t="s">
        <v>414</v>
      </c>
      <c r="E135" t="s">
        <v>142</v>
      </c>
      <c r="F135" t="s">
        <v>454</v>
      </c>
      <c r="G135" s="85">
        <v>0.33</v>
      </c>
      <c r="H135" s="86">
        <v>0.32900000000000001</v>
      </c>
      <c r="I135" s="86">
        <v>1.0999999999999999E-2</v>
      </c>
      <c r="J135" s="87">
        <v>0.1</v>
      </c>
      <c r="K135" s="85">
        <v>0.28999999999999998</v>
      </c>
      <c r="L135" s="85">
        <v>0.37</v>
      </c>
      <c r="M135" t="s">
        <v>436</v>
      </c>
      <c r="N135" t="s">
        <v>464</v>
      </c>
      <c r="O135" t="s">
        <v>442</v>
      </c>
      <c r="P135" s="85">
        <v>0.30395136778115528</v>
      </c>
      <c r="Q135" s="85">
        <v>0.30395136778115528</v>
      </c>
      <c r="R135" s="81"/>
      <c r="T135" t="s">
        <v>360</v>
      </c>
      <c r="U135" t="s">
        <v>600</v>
      </c>
    </row>
    <row r="136" spans="1:21" x14ac:dyDescent="0.3">
      <c r="A136" t="s">
        <v>397</v>
      </c>
      <c r="B136">
        <v>2025</v>
      </c>
      <c r="C136" t="s">
        <v>450</v>
      </c>
      <c r="D136" t="s">
        <v>414</v>
      </c>
      <c r="E136" t="s">
        <v>142</v>
      </c>
      <c r="F136" t="s">
        <v>455</v>
      </c>
      <c r="G136" s="85">
        <v>0.14000000000000001</v>
      </c>
      <c r="H136" s="86">
        <v>0.13600000000000001</v>
      </c>
      <c r="I136" s="86">
        <v>7.0000000000000001E-3</v>
      </c>
      <c r="J136" s="87">
        <v>0.6</v>
      </c>
      <c r="K136" s="85">
        <v>0.11</v>
      </c>
      <c r="L136" s="85">
        <v>0.16</v>
      </c>
      <c r="M136" t="s">
        <v>436</v>
      </c>
      <c r="N136" t="s">
        <v>464</v>
      </c>
      <c r="O136" t="s">
        <v>442</v>
      </c>
      <c r="P136" s="85">
        <v>2.9411764705882377</v>
      </c>
      <c r="Q136" s="85">
        <v>2.9411764705882377</v>
      </c>
      <c r="R136" s="81"/>
      <c r="T136" t="s">
        <v>360</v>
      </c>
      <c r="U136" t="s">
        <v>601</v>
      </c>
    </row>
    <row r="137" spans="1:21" x14ac:dyDescent="0.3">
      <c r="A137" t="s">
        <v>397</v>
      </c>
      <c r="B137">
        <v>2025</v>
      </c>
      <c r="C137" t="s">
        <v>450</v>
      </c>
      <c r="D137" t="s">
        <v>415</v>
      </c>
      <c r="E137" t="s">
        <v>136</v>
      </c>
      <c r="F137" t="s">
        <v>451</v>
      </c>
      <c r="G137" s="85">
        <v>12</v>
      </c>
      <c r="H137" s="86">
        <v>10.64</v>
      </c>
      <c r="I137" s="86">
        <v>0.82</v>
      </c>
      <c r="J137" s="87">
        <v>1.7</v>
      </c>
      <c r="K137" s="85">
        <v>8.1</v>
      </c>
      <c r="L137" s="85">
        <v>13.2</v>
      </c>
      <c r="M137" t="s">
        <v>436</v>
      </c>
      <c r="N137" t="s">
        <v>464</v>
      </c>
      <c r="O137" t="s">
        <v>437</v>
      </c>
      <c r="P137" s="85">
        <v>12.781954887218038</v>
      </c>
      <c r="Q137" s="85">
        <v>12.781954887218038</v>
      </c>
      <c r="R137" s="81"/>
      <c r="T137" t="s">
        <v>360</v>
      </c>
      <c r="U137" t="s">
        <v>602</v>
      </c>
    </row>
    <row r="138" spans="1:21" x14ac:dyDescent="0.3">
      <c r="A138" t="s">
        <v>397</v>
      </c>
      <c r="B138">
        <v>2025</v>
      </c>
      <c r="C138" t="s">
        <v>450</v>
      </c>
      <c r="D138" t="s">
        <v>415</v>
      </c>
      <c r="E138" t="s">
        <v>136</v>
      </c>
      <c r="F138" t="s">
        <v>452</v>
      </c>
      <c r="G138" s="85">
        <v>11</v>
      </c>
      <c r="H138" s="86">
        <v>9.9499999999999993</v>
      </c>
      <c r="I138" s="86">
        <v>0.7</v>
      </c>
      <c r="J138" s="87">
        <v>1.5</v>
      </c>
      <c r="K138" s="85">
        <v>7.8</v>
      </c>
      <c r="L138" s="85">
        <v>12.4</v>
      </c>
      <c r="M138" t="s">
        <v>436</v>
      </c>
      <c r="N138" t="s">
        <v>464</v>
      </c>
      <c r="O138" t="s">
        <v>437</v>
      </c>
      <c r="P138" s="85">
        <v>10.552763819095485</v>
      </c>
      <c r="Q138" s="85">
        <v>10.552763819095485</v>
      </c>
      <c r="R138" s="81"/>
      <c r="T138" t="s">
        <v>360</v>
      </c>
      <c r="U138" t="s">
        <v>603</v>
      </c>
    </row>
    <row r="139" spans="1:21" x14ac:dyDescent="0.3">
      <c r="A139" t="s">
        <v>397</v>
      </c>
      <c r="B139">
        <v>2025</v>
      </c>
      <c r="C139" t="s">
        <v>450</v>
      </c>
      <c r="D139" t="s">
        <v>415</v>
      </c>
      <c r="E139" t="s">
        <v>136</v>
      </c>
      <c r="F139" t="s">
        <v>453</v>
      </c>
      <c r="G139" s="85">
        <v>12.1</v>
      </c>
      <c r="H139" s="86">
        <v>11.57</v>
      </c>
      <c r="I139" s="86">
        <v>0.81</v>
      </c>
      <c r="J139" s="87">
        <v>0.6</v>
      </c>
      <c r="K139" s="85">
        <v>9.1</v>
      </c>
      <c r="L139" s="85">
        <v>14.1</v>
      </c>
      <c r="M139" t="s">
        <v>436</v>
      </c>
      <c r="N139" t="s">
        <v>464</v>
      </c>
      <c r="O139" t="s">
        <v>437</v>
      </c>
      <c r="P139" s="85">
        <v>4.58081244598098</v>
      </c>
      <c r="Q139" s="85">
        <v>4.58081244598098</v>
      </c>
      <c r="R139" s="81"/>
      <c r="T139" t="s">
        <v>360</v>
      </c>
      <c r="U139" t="s">
        <v>604</v>
      </c>
    </row>
    <row r="140" spans="1:21" x14ac:dyDescent="0.3">
      <c r="A140" t="s">
        <v>397</v>
      </c>
      <c r="B140">
        <v>2025</v>
      </c>
      <c r="C140" t="s">
        <v>450</v>
      </c>
      <c r="D140" t="s">
        <v>415</v>
      </c>
      <c r="E140" t="s">
        <v>136</v>
      </c>
      <c r="F140" t="s">
        <v>454</v>
      </c>
      <c r="G140" s="85">
        <v>9.9</v>
      </c>
      <c r="H140" s="86">
        <v>10.77</v>
      </c>
      <c r="I140" s="86">
        <v>0.74</v>
      </c>
      <c r="J140" s="87">
        <v>-1.2</v>
      </c>
      <c r="K140" s="85">
        <v>8.5</v>
      </c>
      <c r="L140" s="85">
        <v>13</v>
      </c>
      <c r="M140" t="s">
        <v>436</v>
      </c>
      <c r="N140" t="s">
        <v>464</v>
      </c>
      <c r="O140" t="s">
        <v>437</v>
      </c>
      <c r="P140" s="85">
        <v>-8.0779944289693528</v>
      </c>
      <c r="Q140" s="85">
        <v>8.0779944289693528</v>
      </c>
      <c r="R140" s="81"/>
      <c r="T140" t="s">
        <v>360</v>
      </c>
      <c r="U140" t="s">
        <v>605</v>
      </c>
    </row>
    <row r="141" spans="1:21" x14ac:dyDescent="0.3">
      <c r="A141" t="s">
        <v>397</v>
      </c>
      <c r="B141">
        <v>2025</v>
      </c>
      <c r="C141" t="s">
        <v>450</v>
      </c>
      <c r="D141" t="s">
        <v>415</v>
      </c>
      <c r="E141" t="s">
        <v>136</v>
      </c>
      <c r="F141" t="s">
        <v>455</v>
      </c>
      <c r="G141" s="85">
        <v>10.1</v>
      </c>
      <c r="H141" s="86">
        <v>10.65</v>
      </c>
      <c r="I141" s="86">
        <v>0.85</v>
      </c>
      <c r="J141" s="87">
        <v>-0.7</v>
      </c>
      <c r="K141" s="85">
        <v>8.1</v>
      </c>
      <c r="L141" s="85">
        <v>13.2</v>
      </c>
      <c r="M141" t="s">
        <v>436</v>
      </c>
      <c r="N141" t="s">
        <v>464</v>
      </c>
      <c r="O141" t="s">
        <v>437</v>
      </c>
      <c r="P141" s="85">
        <v>-5.1643192488262972</v>
      </c>
      <c r="Q141" s="85">
        <v>5.1643192488262972</v>
      </c>
      <c r="R141" s="81"/>
      <c r="T141" t="s">
        <v>360</v>
      </c>
      <c r="U141" t="s">
        <v>606</v>
      </c>
    </row>
    <row r="142" spans="1:21" x14ac:dyDescent="0.3">
      <c r="A142" t="s">
        <v>397</v>
      </c>
      <c r="B142">
        <v>2025</v>
      </c>
      <c r="C142" t="s">
        <v>450</v>
      </c>
      <c r="D142" t="s">
        <v>416</v>
      </c>
      <c r="E142" t="s">
        <v>141</v>
      </c>
      <c r="F142" t="s">
        <v>451</v>
      </c>
      <c r="G142" s="85">
        <v>0.89</v>
      </c>
      <c r="H142" s="86">
        <v>0.81499999999999995</v>
      </c>
      <c r="I142" s="86">
        <v>6.5000000000000002E-2</v>
      </c>
      <c r="J142" s="87">
        <v>1.2</v>
      </c>
      <c r="K142" s="85">
        <v>0.62</v>
      </c>
      <c r="L142" s="85">
        <v>1.01</v>
      </c>
      <c r="M142" t="s">
        <v>436</v>
      </c>
      <c r="N142" t="s">
        <v>464</v>
      </c>
      <c r="O142" t="s">
        <v>442</v>
      </c>
      <c r="P142" s="85">
        <v>9.2024539877300704</v>
      </c>
      <c r="Q142" s="85">
        <v>9.2024539877300704</v>
      </c>
      <c r="R142" s="81"/>
      <c r="T142" t="s">
        <v>360</v>
      </c>
      <c r="U142" t="s">
        <v>607</v>
      </c>
    </row>
    <row r="143" spans="1:21" x14ac:dyDescent="0.3">
      <c r="A143" t="s">
        <v>397</v>
      </c>
      <c r="B143">
        <v>2025</v>
      </c>
      <c r="C143" t="s">
        <v>450</v>
      </c>
      <c r="D143" t="s">
        <v>416</v>
      </c>
      <c r="E143" t="s">
        <v>141</v>
      </c>
      <c r="F143" t="s">
        <v>452</v>
      </c>
      <c r="G143" s="85">
        <v>0.3</v>
      </c>
      <c r="H143" s="86">
        <v>0.28100000000000003</v>
      </c>
      <c r="I143" s="86">
        <v>2.1000000000000001E-2</v>
      </c>
      <c r="J143" s="87">
        <v>0.9</v>
      </c>
      <c r="K143" s="85">
        <v>0.21</v>
      </c>
      <c r="L143" s="85">
        <v>0.35</v>
      </c>
      <c r="M143" t="s">
        <v>436</v>
      </c>
      <c r="N143" t="s">
        <v>464</v>
      </c>
      <c r="O143" t="s">
        <v>442</v>
      </c>
      <c r="P143" s="85">
        <v>6.7615658362989173</v>
      </c>
      <c r="Q143" s="85">
        <v>6.7615658362989173</v>
      </c>
      <c r="R143" s="81"/>
      <c r="T143" t="s">
        <v>360</v>
      </c>
      <c r="U143" t="s">
        <v>608</v>
      </c>
    </row>
    <row r="144" spans="1:21" x14ac:dyDescent="0.3">
      <c r="A144" t="s">
        <v>397</v>
      </c>
      <c r="B144">
        <v>2025</v>
      </c>
      <c r="C144" t="s">
        <v>450</v>
      </c>
      <c r="D144" t="s">
        <v>416</v>
      </c>
      <c r="E144" t="s">
        <v>141</v>
      </c>
      <c r="F144" t="s">
        <v>453</v>
      </c>
      <c r="G144" s="85">
        <v>2.0299999999999998</v>
      </c>
      <c r="H144" s="86">
        <v>1.9510000000000001</v>
      </c>
      <c r="I144" s="86">
        <v>0.13900000000000001</v>
      </c>
      <c r="J144" s="87">
        <v>0.6</v>
      </c>
      <c r="K144" s="85">
        <v>1.53</v>
      </c>
      <c r="L144" s="85">
        <v>2.37</v>
      </c>
      <c r="M144" t="s">
        <v>436</v>
      </c>
      <c r="N144" t="s">
        <v>464</v>
      </c>
      <c r="O144" t="s">
        <v>442</v>
      </c>
      <c r="P144" s="85">
        <v>4.0492055356227441</v>
      </c>
      <c r="Q144" s="85">
        <v>4.0492055356227441</v>
      </c>
      <c r="R144" s="81"/>
      <c r="T144" t="s">
        <v>360</v>
      </c>
      <c r="U144" t="s">
        <v>609</v>
      </c>
    </row>
    <row r="145" spans="1:21" x14ac:dyDescent="0.3">
      <c r="A145" t="s">
        <v>397</v>
      </c>
      <c r="B145">
        <v>2025</v>
      </c>
      <c r="C145" t="s">
        <v>450</v>
      </c>
      <c r="D145" t="s">
        <v>416</v>
      </c>
      <c r="E145" t="s">
        <v>141</v>
      </c>
      <c r="F145" t="s">
        <v>454</v>
      </c>
      <c r="G145" s="85">
        <v>0.67</v>
      </c>
      <c r="H145" s="86">
        <v>0.73699999999999999</v>
      </c>
      <c r="I145" s="86">
        <v>5.2999999999999999E-2</v>
      </c>
      <c r="J145" s="87">
        <v>-1.3</v>
      </c>
      <c r="K145" s="85">
        <v>0.56999999999999995</v>
      </c>
      <c r="L145" s="85">
        <v>0.9</v>
      </c>
      <c r="M145" t="s">
        <v>436</v>
      </c>
      <c r="N145" t="s">
        <v>464</v>
      </c>
      <c r="O145" t="s">
        <v>442</v>
      </c>
      <c r="P145" s="85">
        <v>-9.0909090909090846</v>
      </c>
      <c r="Q145" s="85">
        <v>9.0909090909090846</v>
      </c>
      <c r="R145" s="81"/>
      <c r="T145" t="s">
        <v>360</v>
      </c>
      <c r="U145" t="s">
        <v>610</v>
      </c>
    </row>
    <row r="146" spans="1:21" x14ac:dyDescent="0.3">
      <c r="A146" t="s">
        <v>397</v>
      </c>
      <c r="B146">
        <v>2025</v>
      </c>
      <c r="C146" t="s">
        <v>450</v>
      </c>
      <c r="D146" t="s">
        <v>416</v>
      </c>
      <c r="E146" t="s">
        <v>141</v>
      </c>
      <c r="F146" t="s">
        <v>455</v>
      </c>
      <c r="G146" s="85">
        <v>0.28000000000000003</v>
      </c>
      <c r="H146" s="86">
        <v>0.30199999999999999</v>
      </c>
      <c r="I146" s="86">
        <v>2.5000000000000001E-2</v>
      </c>
      <c r="J146" s="87">
        <v>-0.9</v>
      </c>
      <c r="K146" s="85">
        <v>0.22</v>
      </c>
      <c r="L146" s="85">
        <v>0.38</v>
      </c>
      <c r="M146" t="s">
        <v>436</v>
      </c>
      <c r="N146" t="s">
        <v>464</v>
      </c>
      <c r="O146" t="s">
        <v>442</v>
      </c>
      <c r="P146" s="85">
        <v>-7.2847682119205182</v>
      </c>
      <c r="Q146" s="85">
        <v>7.2847682119205182</v>
      </c>
      <c r="R146" s="81"/>
      <c r="T146" t="s">
        <v>360</v>
      </c>
      <c r="U146" t="s">
        <v>611</v>
      </c>
    </row>
    <row r="147" spans="1:21" x14ac:dyDescent="0.3">
      <c r="A147" t="s">
        <v>397</v>
      </c>
      <c r="B147">
        <v>2025</v>
      </c>
      <c r="C147" t="s">
        <v>450</v>
      </c>
      <c r="D147" t="s">
        <v>417</v>
      </c>
      <c r="E147" t="s">
        <v>128</v>
      </c>
      <c r="F147" t="s">
        <v>451</v>
      </c>
      <c r="G147" s="85">
        <v>17.8</v>
      </c>
      <c r="H147" s="86">
        <v>17.61</v>
      </c>
      <c r="I147" s="86">
        <v>0.28000000000000003</v>
      </c>
      <c r="J147" s="87">
        <v>0.7</v>
      </c>
      <c r="K147" s="85">
        <v>16.899999999999999</v>
      </c>
      <c r="L147" s="85">
        <v>18.32</v>
      </c>
      <c r="M147" t="s">
        <v>436</v>
      </c>
      <c r="N147" t="s">
        <v>464</v>
      </c>
      <c r="O147" t="s">
        <v>437</v>
      </c>
      <c r="P147" s="85">
        <v>1.0789324247586671</v>
      </c>
      <c r="Q147" s="85">
        <v>1.0789324247586671</v>
      </c>
      <c r="R147" s="81"/>
      <c r="T147" t="s">
        <v>360</v>
      </c>
      <c r="U147" t="s">
        <v>612</v>
      </c>
    </row>
    <row r="148" spans="1:21" x14ac:dyDescent="0.3">
      <c r="A148" t="s">
        <v>397</v>
      </c>
      <c r="B148">
        <v>2025</v>
      </c>
      <c r="C148" t="s">
        <v>450</v>
      </c>
      <c r="D148" t="s">
        <v>417</v>
      </c>
      <c r="E148" t="s">
        <v>128</v>
      </c>
      <c r="F148" t="s">
        <v>452</v>
      </c>
      <c r="G148" s="85">
        <v>16.7</v>
      </c>
      <c r="H148" s="86">
        <v>16.510000000000002</v>
      </c>
      <c r="I148" s="86">
        <v>0.27500000000000002</v>
      </c>
      <c r="J148" s="87">
        <v>0.7</v>
      </c>
      <c r="K148" s="85">
        <v>15.84</v>
      </c>
      <c r="L148" s="85">
        <v>17.18</v>
      </c>
      <c r="M148" t="s">
        <v>436</v>
      </c>
      <c r="N148" t="s">
        <v>464</v>
      </c>
      <c r="O148" t="s">
        <v>437</v>
      </c>
      <c r="P148" s="85">
        <v>1.1508176862507431</v>
      </c>
      <c r="Q148" s="85">
        <v>1.1508176862507431</v>
      </c>
      <c r="R148" s="81"/>
      <c r="T148" t="s">
        <v>360</v>
      </c>
      <c r="U148" t="s">
        <v>613</v>
      </c>
    </row>
    <row r="149" spans="1:21" x14ac:dyDescent="0.3">
      <c r="A149" t="s">
        <v>397</v>
      </c>
      <c r="B149">
        <v>2025</v>
      </c>
      <c r="C149" t="s">
        <v>450</v>
      </c>
      <c r="D149" t="s">
        <v>417</v>
      </c>
      <c r="E149" t="s">
        <v>128</v>
      </c>
      <c r="F149" t="s">
        <v>453</v>
      </c>
      <c r="G149" s="85">
        <v>47.9</v>
      </c>
      <c r="H149" s="86">
        <v>46.999000000000002</v>
      </c>
      <c r="I149" s="86">
        <v>0.64</v>
      </c>
      <c r="J149" s="87">
        <v>1.4</v>
      </c>
      <c r="K149" s="85">
        <v>45.11</v>
      </c>
      <c r="L149" s="85">
        <v>48.88</v>
      </c>
      <c r="M149" t="s">
        <v>436</v>
      </c>
      <c r="N149" t="s">
        <v>464</v>
      </c>
      <c r="O149" t="s">
        <v>437</v>
      </c>
      <c r="P149" s="85">
        <v>1.9170620651503143</v>
      </c>
      <c r="Q149" s="85">
        <v>1.9170620651503143</v>
      </c>
      <c r="R149" s="81"/>
      <c r="T149" t="s">
        <v>360</v>
      </c>
      <c r="U149" t="s">
        <v>614</v>
      </c>
    </row>
    <row r="150" spans="1:21" x14ac:dyDescent="0.3">
      <c r="A150" t="s">
        <v>397</v>
      </c>
      <c r="B150">
        <v>2025</v>
      </c>
      <c r="C150" t="s">
        <v>450</v>
      </c>
      <c r="D150" t="s">
        <v>417</v>
      </c>
      <c r="E150" t="s">
        <v>128</v>
      </c>
      <c r="F150" t="s">
        <v>454</v>
      </c>
      <c r="G150" s="85">
        <v>37.4</v>
      </c>
      <c r="H150" s="86">
        <v>36.682000000000002</v>
      </c>
      <c r="I150" s="86">
        <v>0.50800000000000001</v>
      </c>
      <c r="J150" s="87">
        <v>1.4</v>
      </c>
      <c r="K150" s="85">
        <v>35.21</v>
      </c>
      <c r="L150" s="85">
        <v>38.15</v>
      </c>
      <c r="M150" t="s">
        <v>436</v>
      </c>
      <c r="N150" t="s">
        <v>464</v>
      </c>
      <c r="O150" t="s">
        <v>437</v>
      </c>
      <c r="P150" s="85">
        <v>1.9573632844446771</v>
      </c>
      <c r="Q150" s="85">
        <v>1.9573632844446771</v>
      </c>
      <c r="R150" s="81"/>
      <c r="T150" t="s">
        <v>360</v>
      </c>
      <c r="U150" t="s">
        <v>615</v>
      </c>
    </row>
    <row r="151" spans="1:21" x14ac:dyDescent="0.3">
      <c r="A151" t="s">
        <v>397</v>
      </c>
      <c r="B151">
        <v>2025</v>
      </c>
      <c r="C151" t="s">
        <v>450</v>
      </c>
      <c r="D151" t="s">
        <v>417</v>
      </c>
      <c r="E151" t="s">
        <v>128</v>
      </c>
      <c r="F151" t="s">
        <v>455</v>
      </c>
      <c r="G151" s="85">
        <v>44.5</v>
      </c>
      <c r="H151" s="86">
        <v>43.874000000000002</v>
      </c>
      <c r="I151" s="86">
        <v>0.59399999999999997</v>
      </c>
      <c r="J151" s="87">
        <v>1.1000000000000001</v>
      </c>
      <c r="K151" s="85">
        <v>42.11</v>
      </c>
      <c r="L151" s="85">
        <v>45.63</v>
      </c>
      <c r="M151" t="s">
        <v>436</v>
      </c>
      <c r="N151" t="s">
        <v>464</v>
      </c>
      <c r="O151" t="s">
        <v>437</v>
      </c>
      <c r="P151" s="85">
        <v>1.4268131467383818</v>
      </c>
      <c r="Q151" s="85">
        <v>1.4268131467383818</v>
      </c>
      <c r="R151" s="81"/>
      <c r="T151" t="s">
        <v>360</v>
      </c>
      <c r="U151" t="s">
        <v>616</v>
      </c>
    </row>
    <row r="152" spans="1:21" x14ac:dyDescent="0.3">
      <c r="A152" t="s">
        <v>397</v>
      </c>
      <c r="B152">
        <v>2025</v>
      </c>
      <c r="C152" t="s">
        <v>450</v>
      </c>
      <c r="D152" t="s">
        <v>418</v>
      </c>
      <c r="E152" t="s">
        <v>127</v>
      </c>
      <c r="F152" t="s">
        <v>451</v>
      </c>
      <c r="G152" s="85">
        <v>6.2</v>
      </c>
      <c r="H152" s="86">
        <v>6.12</v>
      </c>
      <c r="I152" s="86">
        <v>0.08</v>
      </c>
      <c r="J152" s="87">
        <v>1</v>
      </c>
      <c r="K152" s="85">
        <v>5.8</v>
      </c>
      <c r="L152" s="85">
        <v>6.4</v>
      </c>
      <c r="M152" t="s">
        <v>436</v>
      </c>
      <c r="N152" t="s">
        <v>464</v>
      </c>
      <c r="O152" t="s">
        <v>443</v>
      </c>
      <c r="P152" s="85">
        <v>1.3071895424836613</v>
      </c>
      <c r="Q152" s="85">
        <v>1.3071895424836613</v>
      </c>
      <c r="R152" s="81"/>
      <c r="T152" t="s">
        <v>360</v>
      </c>
      <c r="U152" t="s">
        <v>617</v>
      </c>
    </row>
    <row r="153" spans="1:21" x14ac:dyDescent="0.3">
      <c r="A153" t="s">
        <v>397</v>
      </c>
      <c r="B153">
        <v>2025</v>
      </c>
      <c r="C153" t="s">
        <v>450</v>
      </c>
      <c r="D153" t="s">
        <v>418</v>
      </c>
      <c r="E153" t="s">
        <v>127</v>
      </c>
      <c r="F153" t="s">
        <v>452</v>
      </c>
      <c r="G153" s="85">
        <v>5.5</v>
      </c>
      <c r="H153" s="86">
        <v>5.51</v>
      </c>
      <c r="I153" s="86">
        <v>7.0000000000000007E-2</v>
      </c>
      <c r="J153" s="87">
        <v>-0.2</v>
      </c>
      <c r="K153" s="85">
        <v>5.2</v>
      </c>
      <c r="L153" s="85">
        <v>5.8</v>
      </c>
      <c r="M153" t="s">
        <v>436</v>
      </c>
      <c r="N153" t="s">
        <v>464</v>
      </c>
      <c r="O153" t="s">
        <v>443</v>
      </c>
      <c r="P153" s="85">
        <v>-0.1814882032667838</v>
      </c>
      <c r="Q153" s="85">
        <v>0.1814882032667838</v>
      </c>
      <c r="R153" s="81"/>
      <c r="T153" t="s">
        <v>360</v>
      </c>
      <c r="U153" t="s">
        <v>618</v>
      </c>
    </row>
    <row r="154" spans="1:21" x14ac:dyDescent="0.3">
      <c r="A154" t="s">
        <v>397</v>
      </c>
      <c r="B154">
        <v>2025</v>
      </c>
      <c r="C154" t="s">
        <v>450</v>
      </c>
      <c r="D154" t="s">
        <v>418</v>
      </c>
      <c r="E154" t="s">
        <v>127</v>
      </c>
      <c r="F154" t="s">
        <v>453</v>
      </c>
      <c r="G154" s="85">
        <v>16.5</v>
      </c>
      <c r="H154" s="86">
        <v>16.3</v>
      </c>
      <c r="I154" s="86">
        <v>0.15</v>
      </c>
      <c r="J154" s="87">
        <v>1.3</v>
      </c>
      <c r="K154" s="85">
        <v>15.6</v>
      </c>
      <c r="L154" s="85">
        <v>17</v>
      </c>
      <c r="M154" t="s">
        <v>436</v>
      </c>
      <c r="N154" t="s">
        <v>464</v>
      </c>
      <c r="O154" t="s">
        <v>443</v>
      </c>
      <c r="P154" s="85">
        <v>1.2269938650306704</v>
      </c>
      <c r="Q154" s="85">
        <v>1.2269938650306704</v>
      </c>
      <c r="R154" s="81"/>
      <c r="T154" t="s">
        <v>360</v>
      </c>
      <c r="U154" t="s">
        <v>619</v>
      </c>
    </row>
    <row r="155" spans="1:21" x14ac:dyDescent="0.3">
      <c r="A155" t="s">
        <v>397</v>
      </c>
      <c r="B155">
        <v>2025</v>
      </c>
      <c r="C155" t="s">
        <v>450</v>
      </c>
      <c r="D155" t="s">
        <v>418</v>
      </c>
      <c r="E155" t="s">
        <v>127</v>
      </c>
      <c r="F155" t="s">
        <v>454</v>
      </c>
      <c r="G155" s="85">
        <v>12.8</v>
      </c>
      <c r="H155" s="86">
        <v>12.68</v>
      </c>
      <c r="I155" s="86">
        <v>0.12</v>
      </c>
      <c r="J155" s="87">
        <v>1</v>
      </c>
      <c r="K155" s="85">
        <v>12.1</v>
      </c>
      <c r="L155" s="85">
        <v>13.2</v>
      </c>
      <c r="M155" t="s">
        <v>436</v>
      </c>
      <c r="N155" t="s">
        <v>464</v>
      </c>
      <c r="O155" t="s">
        <v>443</v>
      </c>
      <c r="P155" s="85">
        <v>0.94637223974764184</v>
      </c>
      <c r="Q155" s="85">
        <v>0.94637223974764184</v>
      </c>
      <c r="R155" s="81"/>
      <c r="T155" t="s">
        <v>360</v>
      </c>
      <c r="U155" t="s">
        <v>620</v>
      </c>
    </row>
    <row r="156" spans="1:21" x14ac:dyDescent="0.3">
      <c r="A156" t="s">
        <v>397</v>
      </c>
      <c r="B156">
        <v>2025</v>
      </c>
      <c r="C156" t="s">
        <v>450</v>
      </c>
      <c r="D156" t="s">
        <v>418</v>
      </c>
      <c r="E156" t="s">
        <v>127</v>
      </c>
      <c r="F156" t="s">
        <v>455</v>
      </c>
      <c r="G156" s="85">
        <v>15.5</v>
      </c>
      <c r="H156" s="86">
        <v>15.21</v>
      </c>
      <c r="I156" s="86">
        <v>0.14000000000000001</v>
      </c>
      <c r="J156" s="87">
        <v>2.1</v>
      </c>
      <c r="K156" s="85">
        <v>14.5</v>
      </c>
      <c r="L156" s="85">
        <v>15.9</v>
      </c>
      <c r="M156" t="s">
        <v>436</v>
      </c>
      <c r="N156" t="s">
        <v>464</v>
      </c>
      <c r="O156" t="s">
        <v>443</v>
      </c>
      <c r="P156" s="85">
        <v>1.906640368178824</v>
      </c>
      <c r="Q156" s="85">
        <v>1.906640368178824</v>
      </c>
      <c r="R156" s="81"/>
      <c r="T156" t="s">
        <v>360</v>
      </c>
      <c r="U156" t="s">
        <v>621</v>
      </c>
    </row>
    <row r="157" spans="1:21" x14ac:dyDescent="0.3">
      <c r="A157" t="s">
        <v>397</v>
      </c>
      <c r="B157">
        <v>2025</v>
      </c>
      <c r="C157" t="s">
        <v>450</v>
      </c>
      <c r="D157" t="s">
        <v>419</v>
      </c>
      <c r="E157" t="s">
        <v>143</v>
      </c>
      <c r="F157" t="s">
        <v>451</v>
      </c>
      <c r="G157" s="85">
        <v>11.3</v>
      </c>
      <c r="H157" s="86">
        <v>11.37</v>
      </c>
      <c r="I157" s="86">
        <v>0.34</v>
      </c>
      <c r="J157" s="87">
        <v>-0.2</v>
      </c>
      <c r="K157" s="85"/>
      <c r="L157" s="85"/>
      <c r="M157" t="s">
        <v>444</v>
      </c>
      <c r="N157" t="s">
        <v>495</v>
      </c>
      <c r="O157" t="s">
        <v>437</v>
      </c>
      <c r="P157" s="85">
        <v>-0.61565523306946801</v>
      </c>
      <c r="Q157" s="85">
        <v>0.61565523306946801</v>
      </c>
      <c r="R157" s="81"/>
      <c r="T157" t="s">
        <v>360</v>
      </c>
      <c r="U157" t="s">
        <v>622</v>
      </c>
    </row>
    <row r="158" spans="1:21" x14ac:dyDescent="0.3">
      <c r="A158" t="s">
        <v>397</v>
      </c>
      <c r="B158">
        <v>2025</v>
      </c>
      <c r="C158" t="s">
        <v>450</v>
      </c>
      <c r="D158" t="s">
        <v>419</v>
      </c>
      <c r="E158" t="s">
        <v>143</v>
      </c>
      <c r="F158" t="s">
        <v>452</v>
      </c>
      <c r="G158" s="85">
        <v>10.3</v>
      </c>
      <c r="H158" s="86">
        <v>10.39</v>
      </c>
      <c r="I158" s="86">
        <v>0.37</v>
      </c>
      <c r="J158" s="87">
        <v>-0.2</v>
      </c>
      <c r="K158" s="85"/>
      <c r="L158" s="85"/>
      <c r="M158" t="s">
        <v>444</v>
      </c>
      <c r="N158" t="s">
        <v>495</v>
      </c>
      <c r="O158" t="s">
        <v>437</v>
      </c>
      <c r="P158" s="85">
        <v>-0.86621751684311699</v>
      </c>
      <c r="Q158" s="85">
        <v>0.86621751684311699</v>
      </c>
      <c r="R158" s="81"/>
      <c r="T158" t="s">
        <v>360</v>
      </c>
      <c r="U158" t="s">
        <v>623</v>
      </c>
    </row>
    <row r="159" spans="1:21" x14ac:dyDescent="0.3">
      <c r="A159" t="s">
        <v>397</v>
      </c>
      <c r="B159">
        <v>2025</v>
      </c>
      <c r="C159" t="s">
        <v>450</v>
      </c>
      <c r="D159" t="s">
        <v>419</v>
      </c>
      <c r="E159" t="s">
        <v>143</v>
      </c>
      <c r="F159" t="s">
        <v>453</v>
      </c>
      <c r="G159" s="85">
        <v>12</v>
      </c>
      <c r="H159" s="86">
        <v>12.22</v>
      </c>
      <c r="I159" s="86">
        <v>0.35</v>
      </c>
      <c r="J159" s="87">
        <v>-0.6</v>
      </c>
      <c r="K159" s="85"/>
      <c r="L159" s="85"/>
      <c r="M159" t="s">
        <v>444</v>
      </c>
      <c r="N159" t="s">
        <v>495</v>
      </c>
      <c r="O159" t="s">
        <v>437</v>
      </c>
      <c r="P159" s="85">
        <v>-1.8003273322422311</v>
      </c>
      <c r="Q159" s="85">
        <v>1.8003273322422311</v>
      </c>
      <c r="R159" s="81"/>
      <c r="T159" t="s">
        <v>360</v>
      </c>
      <c r="U159" t="s">
        <v>624</v>
      </c>
    </row>
    <row r="160" spans="1:21" x14ac:dyDescent="0.3">
      <c r="A160" t="s">
        <v>397</v>
      </c>
      <c r="B160">
        <v>2025</v>
      </c>
      <c r="C160" t="s">
        <v>450</v>
      </c>
      <c r="D160" t="s">
        <v>419</v>
      </c>
      <c r="E160" t="s">
        <v>143</v>
      </c>
      <c r="F160" t="s">
        <v>454</v>
      </c>
      <c r="G160" s="85">
        <v>11.3</v>
      </c>
      <c r="H160" s="86">
        <v>11.3</v>
      </c>
      <c r="I160" s="86">
        <v>0.34</v>
      </c>
      <c r="J160" s="87">
        <v>0</v>
      </c>
      <c r="K160" s="85"/>
      <c r="L160" s="85"/>
      <c r="M160" t="s">
        <v>444</v>
      </c>
      <c r="N160" t="s">
        <v>495</v>
      </c>
      <c r="O160" t="s">
        <v>437</v>
      </c>
      <c r="P160" s="85">
        <v>0</v>
      </c>
      <c r="Q160" s="85">
        <v>0</v>
      </c>
      <c r="R160" s="81"/>
      <c r="T160" t="s">
        <v>360</v>
      </c>
      <c r="U160" t="s">
        <v>625</v>
      </c>
    </row>
    <row r="161" spans="1:21" x14ac:dyDescent="0.3">
      <c r="A161" t="s">
        <v>397</v>
      </c>
      <c r="B161">
        <v>2025</v>
      </c>
      <c r="C161" t="s">
        <v>450</v>
      </c>
      <c r="D161" t="s">
        <v>419</v>
      </c>
      <c r="E161" t="s">
        <v>143</v>
      </c>
      <c r="F161" t="s">
        <v>455</v>
      </c>
      <c r="G161" s="85">
        <v>11.2</v>
      </c>
      <c r="H161" s="86">
        <v>11.38</v>
      </c>
      <c r="I161" s="86">
        <v>0.41</v>
      </c>
      <c r="J161" s="87">
        <v>-0.4</v>
      </c>
      <c r="K161" s="85"/>
      <c r="L161" s="85"/>
      <c r="M161" t="s">
        <v>444</v>
      </c>
      <c r="N161" t="s">
        <v>495</v>
      </c>
      <c r="O161" t="s">
        <v>437</v>
      </c>
      <c r="P161" s="85">
        <v>-1.5817223198594152</v>
      </c>
      <c r="Q161" s="85">
        <v>1.5817223198594152</v>
      </c>
      <c r="R161" s="81"/>
      <c r="T161" t="s">
        <v>360</v>
      </c>
      <c r="U161" t="s">
        <v>626</v>
      </c>
    </row>
    <row r="162" spans="1:21" x14ac:dyDescent="0.3">
      <c r="A162" t="s">
        <v>397</v>
      </c>
      <c r="B162">
        <v>2025</v>
      </c>
      <c r="C162" t="s">
        <v>450</v>
      </c>
      <c r="D162" t="s">
        <v>420</v>
      </c>
      <c r="E162" t="s">
        <v>144</v>
      </c>
      <c r="F162" t="s">
        <v>451</v>
      </c>
      <c r="G162" s="85">
        <v>0.84</v>
      </c>
      <c r="H162" s="86">
        <v>0.871</v>
      </c>
      <c r="I162" s="86">
        <v>3.1E-2</v>
      </c>
      <c r="J162" s="87">
        <v>-1</v>
      </c>
      <c r="K162" s="85"/>
      <c r="L162" s="85"/>
      <c r="M162" t="s">
        <v>444</v>
      </c>
      <c r="N162" t="s">
        <v>495</v>
      </c>
      <c r="O162" t="s">
        <v>442</v>
      </c>
      <c r="P162" s="85">
        <v>-3.5591274397244579</v>
      </c>
      <c r="Q162" s="85">
        <v>3.5591274397244579</v>
      </c>
      <c r="R162" s="81"/>
      <c r="T162" t="s">
        <v>360</v>
      </c>
      <c r="U162" t="s">
        <v>627</v>
      </c>
    </row>
    <row r="163" spans="1:21" x14ac:dyDescent="0.3">
      <c r="A163" t="s">
        <v>397</v>
      </c>
      <c r="B163">
        <v>2025</v>
      </c>
      <c r="C163" t="s">
        <v>450</v>
      </c>
      <c r="D163" t="s">
        <v>420</v>
      </c>
      <c r="E163" t="s">
        <v>144</v>
      </c>
      <c r="F163" t="s">
        <v>452</v>
      </c>
      <c r="G163" s="85">
        <v>0.28000000000000003</v>
      </c>
      <c r="H163" s="86">
        <v>0.29399999999999998</v>
      </c>
      <c r="I163" s="86">
        <v>1.2999999999999999E-2</v>
      </c>
      <c r="J163" s="87">
        <v>-1.1000000000000001</v>
      </c>
      <c r="K163" s="85"/>
      <c r="L163" s="85"/>
      <c r="M163" t="s">
        <v>444</v>
      </c>
      <c r="N163" t="s">
        <v>495</v>
      </c>
      <c r="O163" t="s">
        <v>442</v>
      </c>
      <c r="P163" s="85">
        <v>-4.7619047619047477</v>
      </c>
      <c r="Q163" s="85">
        <v>4.7619047619047477</v>
      </c>
      <c r="R163" s="81"/>
      <c r="T163" t="s">
        <v>360</v>
      </c>
      <c r="U163" t="s">
        <v>628</v>
      </c>
    </row>
    <row r="164" spans="1:21" x14ac:dyDescent="0.3">
      <c r="A164" t="s">
        <v>397</v>
      </c>
      <c r="B164">
        <v>2025</v>
      </c>
      <c r="C164" t="s">
        <v>450</v>
      </c>
      <c r="D164" t="s">
        <v>420</v>
      </c>
      <c r="E164" t="s">
        <v>144</v>
      </c>
      <c r="F164" t="s">
        <v>453</v>
      </c>
      <c r="G164" s="85">
        <v>2.0099999999999998</v>
      </c>
      <c r="H164" s="86">
        <v>2.0590000000000002</v>
      </c>
      <c r="I164" s="86">
        <v>6.6000000000000003E-2</v>
      </c>
      <c r="J164" s="87">
        <v>-0.7</v>
      </c>
      <c r="K164" s="85"/>
      <c r="L164" s="85"/>
      <c r="M164" t="s">
        <v>444</v>
      </c>
      <c r="N164" t="s">
        <v>495</v>
      </c>
      <c r="O164" t="s">
        <v>442</v>
      </c>
      <c r="P164" s="85">
        <v>-2.3797960174842339</v>
      </c>
      <c r="Q164" s="85">
        <v>2.3797960174842339</v>
      </c>
      <c r="R164" s="81"/>
      <c r="T164" t="s">
        <v>360</v>
      </c>
      <c r="U164" t="s">
        <v>629</v>
      </c>
    </row>
    <row r="165" spans="1:21" x14ac:dyDescent="0.3">
      <c r="A165" t="s">
        <v>397</v>
      </c>
      <c r="B165">
        <v>2025</v>
      </c>
      <c r="C165" t="s">
        <v>450</v>
      </c>
      <c r="D165" t="s">
        <v>420</v>
      </c>
      <c r="E165" t="s">
        <v>144</v>
      </c>
      <c r="F165" t="s">
        <v>454</v>
      </c>
      <c r="G165" s="85">
        <v>0.76</v>
      </c>
      <c r="H165" s="86">
        <v>0.77300000000000002</v>
      </c>
      <c r="I165" s="86">
        <v>2.7E-2</v>
      </c>
      <c r="J165" s="87">
        <v>-0.5</v>
      </c>
      <c r="K165" s="85"/>
      <c r="L165" s="85"/>
      <c r="M165" t="s">
        <v>444</v>
      </c>
      <c r="N165" t="s">
        <v>495</v>
      </c>
      <c r="O165" t="s">
        <v>442</v>
      </c>
      <c r="P165" s="85">
        <v>-1.6817593790426923</v>
      </c>
      <c r="Q165" s="85">
        <v>1.6817593790426923</v>
      </c>
      <c r="R165" s="81"/>
      <c r="T165" t="s">
        <v>360</v>
      </c>
      <c r="U165" t="s">
        <v>630</v>
      </c>
    </row>
    <row r="166" spans="1:21" x14ac:dyDescent="0.3">
      <c r="A166" t="s">
        <v>397</v>
      </c>
      <c r="B166">
        <v>2025</v>
      </c>
      <c r="C166" t="s">
        <v>450</v>
      </c>
      <c r="D166" t="s">
        <v>420</v>
      </c>
      <c r="E166" t="s">
        <v>144</v>
      </c>
      <c r="F166" t="s">
        <v>455</v>
      </c>
      <c r="G166" s="85">
        <v>0.31</v>
      </c>
      <c r="H166" s="86">
        <v>0.32200000000000001</v>
      </c>
      <c r="I166" s="86">
        <v>1.4E-2</v>
      </c>
      <c r="J166" s="87">
        <v>-0.9</v>
      </c>
      <c r="K166" s="85"/>
      <c r="L166" s="85"/>
      <c r="M166" t="s">
        <v>444</v>
      </c>
      <c r="N166" t="s">
        <v>495</v>
      </c>
      <c r="O166" t="s">
        <v>442</v>
      </c>
      <c r="P166" s="85">
        <v>-3.7267080745341645</v>
      </c>
      <c r="Q166" s="85">
        <v>3.7267080745341645</v>
      </c>
      <c r="R166" s="81"/>
      <c r="T166" t="s">
        <v>360</v>
      </c>
      <c r="U166" t="s">
        <v>631</v>
      </c>
    </row>
    <row r="167" spans="1:21" x14ac:dyDescent="0.3">
      <c r="A167" t="s">
        <v>397</v>
      </c>
      <c r="B167">
        <v>2025</v>
      </c>
      <c r="C167" t="s">
        <v>450</v>
      </c>
      <c r="D167" t="s">
        <v>421</v>
      </c>
      <c r="F167" t="s">
        <v>451</v>
      </c>
      <c r="G167" s="85">
        <v>20</v>
      </c>
      <c r="H167" s="86">
        <v>20.010000000000002</v>
      </c>
      <c r="I167" s="86">
        <v>0.79</v>
      </c>
      <c r="J167" s="87">
        <v>0</v>
      </c>
      <c r="K167" s="85"/>
      <c r="L167" s="85"/>
      <c r="M167" t="s">
        <v>444</v>
      </c>
      <c r="N167" t="s">
        <v>495</v>
      </c>
      <c r="O167" t="s">
        <v>437</v>
      </c>
      <c r="P167" s="85">
        <v>-4.9975012493760927E-2</v>
      </c>
      <c r="Q167" s="85">
        <v>4.9975012493760927E-2</v>
      </c>
      <c r="R167" s="81"/>
      <c r="T167" t="s">
        <v>360</v>
      </c>
      <c r="U167" t="s">
        <v>632</v>
      </c>
    </row>
    <row r="168" spans="1:21" x14ac:dyDescent="0.3">
      <c r="A168" t="s">
        <v>397</v>
      </c>
      <c r="B168">
        <v>2025</v>
      </c>
      <c r="C168" t="s">
        <v>450</v>
      </c>
      <c r="D168" t="s">
        <v>421</v>
      </c>
      <c r="F168" t="s">
        <v>452</v>
      </c>
      <c r="G168" s="85">
        <v>20</v>
      </c>
      <c r="H168" s="86">
        <v>20</v>
      </c>
      <c r="I168" s="86">
        <v>0.56999999999999995</v>
      </c>
      <c r="J168" s="87">
        <v>0</v>
      </c>
      <c r="K168" s="85"/>
      <c r="L168" s="85"/>
      <c r="M168" t="s">
        <v>444</v>
      </c>
      <c r="N168" t="s">
        <v>495</v>
      </c>
      <c r="O168" t="s">
        <v>437</v>
      </c>
      <c r="P168" s="85">
        <v>0</v>
      </c>
      <c r="Q168" s="85">
        <v>0</v>
      </c>
      <c r="R168" s="81"/>
      <c r="T168" t="s">
        <v>360</v>
      </c>
      <c r="U168" t="s">
        <v>633</v>
      </c>
    </row>
    <row r="169" spans="1:21" x14ac:dyDescent="0.3">
      <c r="A169" t="s">
        <v>397</v>
      </c>
      <c r="B169">
        <v>2025</v>
      </c>
      <c r="C169" t="s">
        <v>450</v>
      </c>
      <c r="D169" t="s">
        <v>421</v>
      </c>
      <c r="F169" t="s">
        <v>453</v>
      </c>
      <c r="G169" s="85">
        <v>19</v>
      </c>
      <c r="H169" s="86">
        <v>20.02</v>
      </c>
      <c r="I169" s="86">
        <v>0.68</v>
      </c>
      <c r="J169" s="87">
        <v>-1.5</v>
      </c>
      <c r="K169" s="85"/>
      <c r="L169" s="85"/>
      <c r="M169" t="s">
        <v>444</v>
      </c>
      <c r="N169" t="s">
        <v>495</v>
      </c>
      <c r="O169" t="s">
        <v>437</v>
      </c>
      <c r="P169" s="85">
        <v>-5.0949050949050934</v>
      </c>
      <c r="Q169" s="85">
        <v>5.0949050949050934</v>
      </c>
      <c r="R169" s="81"/>
      <c r="T169" t="s">
        <v>360</v>
      </c>
      <c r="U169" t="s">
        <v>634</v>
      </c>
    </row>
    <row r="170" spans="1:21" x14ac:dyDescent="0.3">
      <c r="A170" t="s">
        <v>397</v>
      </c>
      <c r="B170">
        <v>2025</v>
      </c>
      <c r="C170" t="s">
        <v>450</v>
      </c>
      <c r="D170" t="s">
        <v>421</v>
      </c>
      <c r="F170" t="s">
        <v>454</v>
      </c>
      <c r="G170" s="85">
        <v>20</v>
      </c>
      <c r="H170" s="86">
        <v>20.02</v>
      </c>
      <c r="I170" s="86">
        <v>0.64</v>
      </c>
      <c r="J170" s="87">
        <v>0</v>
      </c>
      <c r="K170" s="85"/>
      <c r="L170" s="85"/>
      <c r="M170" t="s">
        <v>444</v>
      </c>
      <c r="N170" t="s">
        <v>495</v>
      </c>
      <c r="O170" t="s">
        <v>437</v>
      </c>
      <c r="P170" s="85">
        <v>-9.990009990009778E-2</v>
      </c>
      <c r="Q170" s="85">
        <v>9.990009990009778E-2</v>
      </c>
      <c r="R170" s="81"/>
      <c r="T170" t="s">
        <v>360</v>
      </c>
      <c r="U170" t="s">
        <v>635</v>
      </c>
    </row>
    <row r="171" spans="1:21" x14ac:dyDescent="0.3">
      <c r="A171" t="s">
        <v>397</v>
      </c>
      <c r="B171">
        <v>2025</v>
      </c>
      <c r="C171" t="s">
        <v>450</v>
      </c>
      <c r="D171" t="s">
        <v>421</v>
      </c>
      <c r="F171" t="s">
        <v>455</v>
      </c>
      <c r="G171" s="85">
        <v>20.3</v>
      </c>
      <c r="H171" s="86">
        <v>20.010000000000002</v>
      </c>
      <c r="I171" s="86">
        <v>0.63</v>
      </c>
      <c r="J171" s="87">
        <v>0.5</v>
      </c>
      <c r="K171" s="85"/>
      <c r="L171" s="85"/>
      <c r="M171" t="s">
        <v>444</v>
      </c>
      <c r="N171" t="s">
        <v>495</v>
      </c>
      <c r="O171" t="s">
        <v>437</v>
      </c>
      <c r="P171" s="85">
        <v>1.4492753623188364</v>
      </c>
      <c r="Q171" s="85">
        <v>1.4492753623188364</v>
      </c>
      <c r="R171" s="81"/>
      <c r="T171" t="s">
        <v>360</v>
      </c>
      <c r="U171" t="s">
        <v>636</v>
      </c>
    </row>
    <row r="172" spans="1:21" x14ac:dyDescent="0.3">
      <c r="A172" t="s">
        <v>397</v>
      </c>
      <c r="B172">
        <v>2025</v>
      </c>
      <c r="C172" t="s">
        <v>450</v>
      </c>
      <c r="D172" t="s">
        <v>422</v>
      </c>
      <c r="E172" t="s">
        <v>134</v>
      </c>
      <c r="F172" t="s">
        <v>451</v>
      </c>
      <c r="G172" s="85">
        <v>28.5</v>
      </c>
      <c r="H172" s="86">
        <v>28.6</v>
      </c>
      <c r="I172" s="86">
        <v>1.18</v>
      </c>
      <c r="J172" s="87">
        <v>-0.1</v>
      </c>
      <c r="K172" s="85">
        <v>25</v>
      </c>
      <c r="L172" s="85">
        <v>32.200000000000003</v>
      </c>
      <c r="M172" t="s">
        <v>436</v>
      </c>
      <c r="N172" t="s">
        <v>464</v>
      </c>
      <c r="O172" t="s">
        <v>437</v>
      </c>
      <c r="P172" s="85">
        <v>-0.34965034965035457</v>
      </c>
      <c r="Q172" s="85">
        <v>0.34965034965035457</v>
      </c>
      <c r="R172" s="81"/>
      <c r="T172" t="s">
        <v>360</v>
      </c>
      <c r="U172" t="s">
        <v>637</v>
      </c>
    </row>
    <row r="173" spans="1:21" x14ac:dyDescent="0.3">
      <c r="A173" t="s">
        <v>397</v>
      </c>
      <c r="B173">
        <v>2025</v>
      </c>
      <c r="C173" t="s">
        <v>450</v>
      </c>
      <c r="D173" t="s">
        <v>422</v>
      </c>
      <c r="E173" t="s">
        <v>134</v>
      </c>
      <c r="F173" t="s">
        <v>452</v>
      </c>
      <c r="G173" s="85">
        <v>31.3</v>
      </c>
      <c r="H173" s="86">
        <v>32.020000000000003</v>
      </c>
      <c r="I173" s="86">
        <v>1.31</v>
      </c>
      <c r="J173" s="87">
        <v>-0.5</v>
      </c>
      <c r="K173" s="85">
        <v>28</v>
      </c>
      <c r="L173" s="85">
        <v>36</v>
      </c>
      <c r="M173" t="s">
        <v>436</v>
      </c>
      <c r="N173" t="s">
        <v>464</v>
      </c>
      <c r="O173" t="s">
        <v>437</v>
      </c>
      <c r="P173" s="85">
        <v>-2.2485946283572842</v>
      </c>
      <c r="Q173" s="85">
        <v>2.2485946283572842</v>
      </c>
      <c r="R173" s="81"/>
      <c r="T173" t="s">
        <v>360</v>
      </c>
      <c r="U173" t="s">
        <v>638</v>
      </c>
    </row>
    <row r="174" spans="1:21" x14ac:dyDescent="0.3">
      <c r="A174" t="s">
        <v>397</v>
      </c>
      <c r="B174">
        <v>2025</v>
      </c>
      <c r="C174" t="s">
        <v>450</v>
      </c>
      <c r="D174" t="s">
        <v>422</v>
      </c>
      <c r="E174" t="s">
        <v>134</v>
      </c>
      <c r="F174" t="s">
        <v>453</v>
      </c>
      <c r="G174" s="85">
        <v>22.8</v>
      </c>
      <c r="H174" s="86">
        <v>23.93</v>
      </c>
      <c r="I174" s="86">
        <v>0.88</v>
      </c>
      <c r="J174" s="87">
        <v>-1.3</v>
      </c>
      <c r="K174" s="85">
        <v>21.2</v>
      </c>
      <c r="L174" s="85">
        <v>26.6</v>
      </c>
      <c r="M174" t="s">
        <v>436</v>
      </c>
      <c r="N174" t="s">
        <v>464</v>
      </c>
      <c r="O174" t="s">
        <v>437</v>
      </c>
      <c r="P174" s="85">
        <v>-4.7221061429168367</v>
      </c>
      <c r="Q174" s="85">
        <v>4.7221061429168367</v>
      </c>
      <c r="R174" s="81"/>
      <c r="T174" t="s">
        <v>360</v>
      </c>
      <c r="U174" t="s">
        <v>639</v>
      </c>
    </row>
    <row r="175" spans="1:21" x14ac:dyDescent="0.3">
      <c r="A175" t="s">
        <v>397</v>
      </c>
      <c r="B175">
        <v>2025</v>
      </c>
      <c r="C175" t="s">
        <v>450</v>
      </c>
      <c r="D175" t="s">
        <v>422</v>
      </c>
      <c r="E175" t="s">
        <v>134</v>
      </c>
      <c r="F175" t="s">
        <v>454</v>
      </c>
      <c r="G175" s="85">
        <v>27.7</v>
      </c>
      <c r="H175" s="86">
        <v>27.82</v>
      </c>
      <c r="I175" s="86">
        <v>1.1200000000000001</v>
      </c>
      <c r="J175" s="87">
        <v>-0.4</v>
      </c>
      <c r="K175" s="85">
        <v>24.4</v>
      </c>
      <c r="L175" s="85">
        <v>31.2</v>
      </c>
      <c r="M175" t="s">
        <v>436</v>
      </c>
      <c r="N175" t="s">
        <v>464</v>
      </c>
      <c r="O175" t="s">
        <v>437</v>
      </c>
      <c r="P175" s="85">
        <v>-0.43134435657800496</v>
      </c>
      <c r="Q175" s="85">
        <v>0.43134435657800496</v>
      </c>
      <c r="R175" s="81"/>
      <c r="T175" t="s">
        <v>360</v>
      </c>
      <c r="U175" t="s">
        <v>640</v>
      </c>
    </row>
    <row r="176" spans="1:21" x14ac:dyDescent="0.3">
      <c r="A176" t="s">
        <v>397</v>
      </c>
      <c r="B176">
        <v>2025</v>
      </c>
      <c r="C176" t="s">
        <v>450</v>
      </c>
      <c r="D176" t="s">
        <v>422</v>
      </c>
      <c r="E176" t="s">
        <v>134</v>
      </c>
      <c r="F176" t="s">
        <v>455</v>
      </c>
      <c r="G176" s="85">
        <v>29.5</v>
      </c>
      <c r="H176" s="86">
        <v>28.7</v>
      </c>
      <c r="I176" s="86">
        <v>1.36</v>
      </c>
      <c r="J176" s="87">
        <v>0.6</v>
      </c>
      <c r="K176" s="85">
        <v>24.6</v>
      </c>
      <c r="L176" s="85">
        <v>32.799999999999997</v>
      </c>
      <c r="M176" t="s">
        <v>436</v>
      </c>
      <c r="N176" t="s">
        <v>464</v>
      </c>
      <c r="O176" t="s">
        <v>437</v>
      </c>
      <c r="P176" s="85">
        <v>2.7874564459930338</v>
      </c>
      <c r="Q176" s="85">
        <v>2.7874564459930338</v>
      </c>
      <c r="R176" s="81"/>
      <c r="T176" t="s">
        <v>360</v>
      </c>
      <c r="U176" t="s">
        <v>641</v>
      </c>
    </row>
    <row r="177" spans="1:21" x14ac:dyDescent="0.3">
      <c r="A177" t="s">
        <v>397</v>
      </c>
      <c r="B177">
        <v>2025</v>
      </c>
      <c r="C177" t="s">
        <v>450</v>
      </c>
      <c r="D177" t="s">
        <v>423</v>
      </c>
      <c r="E177" t="s">
        <v>139</v>
      </c>
      <c r="F177" t="s">
        <v>451</v>
      </c>
      <c r="G177" s="85">
        <v>2.12</v>
      </c>
      <c r="H177" s="86">
        <v>2.1909999999999998</v>
      </c>
      <c r="I177" s="86">
        <v>9.9000000000000005E-2</v>
      </c>
      <c r="J177" s="87">
        <v>-0.7</v>
      </c>
      <c r="K177" s="85">
        <v>1.89</v>
      </c>
      <c r="L177" s="85">
        <v>2.4900000000000002</v>
      </c>
      <c r="M177" t="s">
        <v>436</v>
      </c>
      <c r="N177" t="s">
        <v>464</v>
      </c>
      <c r="O177" t="s">
        <v>442</v>
      </c>
      <c r="P177" s="85">
        <v>-3.2405294386124939</v>
      </c>
      <c r="Q177" s="85">
        <v>3.2405294386124939</v>
      </c>
      <c r="R177" s="81"/>
      <c r="T177" t="s">
        <v>360</v>
      </c>
      <c r="U177" t="s">
        <v>642</v>
      </c>
    </row>
    <row r="178" spans="1:21" x14ac:dyDescent="0.3">
      <c r="A178" t="s">
        <v>397</v>
      </c>
      <c r="B178">
        <v>2025</v>
      </c>
      <c r="C178" t="s">
        <v>450</v>
      </c>
      <c r="D178" t="s">
        <v>423</v>
      </c>
      <c r="E178" t="s">
        <v>139</v>
      </c>
      <c r="F178" t="s">
        <v>452</v>
      </c>
      <c r="G178" s="85">
        <v>0.85</v>
      </c>
      <c r="H178" s="86">
        <v>0.90500000000000003</v>
      </c>
      <c r="I178" s="86">
        <v>4.3999999999999997E-2</v>
      </c>
      <c r="J178" s="87">
        <v>-1.3</v>
      </c>
      <c r="K178" s="85">
        <v>0.77</v>
      </c>
      <c r="L178" s="85">
        <v>1.04</v>
      </c>
      <c r="M178" t="s">
        <v>436</v>
      </c>
      <c r="N178" t="s">
        <v>464</v>
      </c>
      <c r="O178" t="s">
        <v>442</v>
      </c>
      <c r="P178" s="85">
        <v>-6.0773480662983479</v>
      </c>
      <c r="Q178" s="85">
        <v>6.0773480662983479</v>
      </c>
      <c r="R178" s="81"/>
      <c r="T178" t="s">
        <v>360</v>
      </c>
      <c r="U178" t="s">
        <v>643</v>
      </c>
    </row>
    <row r="179" spans="1:21" x14ac:dyDescent="0.3">
      <c r="A179" t="s">
        <v>397</v>
      </c>
      <c r="B179">
        <v>2025</v>
      </c>
      <c r="C179" t="s">
        <v>450</v>
      </c>
      <c r="D179" t="s">
        <v>423</v>
      </c>
      <c r="E179" t="s">
        <v>139</v>
      </c>
      <c r="F179" t="s">
        <v>453</v>
      </c>
      <c r="G179" s="85">
        <v>3.83</v>
      </c>
      <c r="H179" s="86">
        <v>4.03</v>
      </c>
      <c r="I179" s="86">
        <v>0.16300000000000001</v>
      </c>
      <c r="J179" s="87">
        <v>-1.2</v>
      </c>
      <c r="K179" s="85">
        <v>3.54</v>
      </c>
      <c r="L179" s="85">
        <v>4.5199999999999996</v>
      </c>
      <c r="M179" t="s">
        <v>436</v>
      </c>
      <c r="N179" t="s">
        <v>464</v>
      </c>
      <c r="O179" t="s">
        <v>442</v>
      </c>
      <c r="P179" s="85">
        <v>-4.9627791563275476</v>
      </c>
      <c r="Q179" s="85">
        <v>4.9627791563275476</v>
      </c>
      <c r="R179" s="81"/>
      <c r="T179" t="s">
        <v>360</v>
      </c>
      <c r="U179" t="s">
        <v>644</v>
      </c>
    </row>
    <row r="180" spans="1:21" x14ac:dyDescent="0.3">
      <c r="A180" t="s">
        <v>397</v>
      </c>
      <c r="B180">
        <v>2025</v>
      </c>
      <c r="C180" t="s">
        <v>450</v>
      </c>
      <c r="D180" t="s">
        <v>423</v>
      </c>
      <c r="E180" t="s">
        <v>139</v>
      </c>
      <c r="F180" t="s">
        <v>454</v>
      </c>
      <c r="G180" s="85">
        <v>1.87</v>
      </c>
      <c r="H180" s="86">
        <v>1.9019999999999999</v>
      </c>
      <c r="I180" s="86">
        <v>8.6999999999999994E-2</v>
      </c>
      <c r="J180" s="87">
        <v>-0.4</v>
      </c>
      <c r="K180" s="85">
        <v>1.64</v>
      </c>
      <c r="L180" s="85">
        <v>2.17</v>
      </c>
      <c r="M180" t="s">
        <v>436</v>
      </c>
      <c r="N180" t="s">
        <v>464</v>
      </c>
      <c r="O180" t="s">
        <v>442</v>
      </c>
      <c r="P180" s="85">
        <v>-1.6824395373291172</v>
      </c>
      <c r="Q180" s="85">
        <v>1.6824395373291172</v>
      </c>
      <c r="R180" s="81"/>
      <c r="T180" t="s">
        <v>360</v>
      </c>
      <c r="U180" t="s">
        <v>645</v>
      </c>
    </row>
    <row r="181" spans="1:21" x14ac:dyDescent="0.3">
      <c r="A181" t="s">
        <v>397</v>
      </c>
      <c r="B181">
        <v>2025</v>
      </c>
      <c r="C181" t="s">
        <v>450</v>
      </c>
      <c r="D181" t="s">
        <v>423</v>
      </c>
      <c r="E181" t="s">
        <v>139</v>
      </c>
      <c r="F181" t="s">
        <v>455</v>
      </c>
      <c r="G181" s="85">
        <v>0.82</v>
      </c>
      <c r="H181" s="86">
        <v>0.81299999999999994</v>
      </c>
      <c r="I181" s="86">
        <v>4.4999999999999998E-2</v>
      </c>
      <c r="J181" s="87">
        <v>0.2</v>
      </c>
      <c r="K181" s="85">
        <v>0.67</v>
      </c>
      <c r="L181" s="85">
        <v>0.95</v>
      </c>
      <c r="M181" t="s">
        <v>436</v>
      </c>
      <c r="N181" t="s">
        <v>464</v>
      </c>
      <c r="O181" t="s">
        <v>442</v>
      </c>
      <c r="P181" s="85">
        <v>0.86100861008610163</v>
      </c>
      <c r="Q181" s="85">
        <v>0.86100861008610163</v>
      </c>
      <c r="R181" s="81"/>
      <c r="T181" t="s">
        <v>360</v>
      </c>
      <c r="U181" t="s">
        <v>646</v>
      </c>
    </row>
    <row r="182" spans="1:21" x14ac:dyDescent="0.3">
      <c r="A182" t="s">
        <v>397</v>
      </c>
      <c r="B182">
        <v>2025</v>
      </c>
      <c r="C182" t="s">
        <v>450</v>
      </c>
      <c r="D182" t="s">
        <v>130</v>
      </c>
      <c r="E182" t="s">
        <v>130</v>
      </c>
      <c r="F182" t="s">
        <v>451</v>
      </c>
      <c r="G182" s="85">
        <v>25.6</v>
      </c>
      <c r="H182" s="86">
        <v>25.44</v>
      </c>
      <c r="I182" s="86">
        <v>0.34</v>
      </c>
      <c r="J182" s="87">
        <v>0.5</v>
      </c>
      <c r="K182" s="85">
        <v>24.4</v>
      </c>
      <c r="L182" s="85">
        <v>26.5</v>
      </c>
      <c r="M182" t="s">
        <v>436</v>
      </c>
      <c r="N182" t="s">
        <v>464</v>
      </c>
      <c r="O182" t="s">
        <v>445</v>
      </c>
      <c r="P182" s="85">
        <v>0.62893081761006342</v>
      </c>
      <c r="Q182" s="85">
        <v>0.62893081761006342</v>
      </c>
      <c r="R182" s="81"/>
      <c r="T182" t="s">
        <v>360</v>
      </c>
      <c r="U182" t="s">
        <v>647</v>
      </c>
    </row>
    <row r="183" spans="1:21" x14ac:dyDescent="0.3">
      <c r="A183" t="s">
        <v>397</v>
      </c>
      <c r="B183">
        <v>2025</v>
      </c>
      <c r="C183" t="s">
        <v>450</v>
      </c>
      <c r="D183" t="s">
        <v>130</v>
      </c>
      <c r="E183" t="s">
        <v>130</v>
      </c>
      <c r="F183" t="s">
        <v>452</v>
      </c>
      <c r="G183" s="85">
        <v>24.2</v>
      </c>
      <c r="H183" s="86">
        <v>24.53</v>
      </c>
      <c r="I183" s="86">
        <v>0.34</v>
      </c>
      <c r="J183" s="87">
        <v>-1</v>
      </c>
      <c r="K183" s="85">
        <v>23.5</v>
      </c>
      <c r="L183" s="85">
        <v>25.6</v>
      </c>
      <c r="M183" t="s">
        <v>436</v>
      </c>
      <c r="N183" t="s">
        <v>464</v>
      </c>
      <c r="O183" t="s">
        <v>445</v>
      </c>
      <c r="P183" s="85">
        <v>-1.3452914798206352</v>
      </c>
      <c r="Q183" s="85">
        <v>1.3452914798206352</v>
      </c>
      <c r="R183" s="81"/>
      <c r="T183" t="s">
        <v>360</v>
      </c>
      <c r="U183" t="s">
        <v>648</v>
      </c>
    </row>
    <row r="184" spans="1:21" x14ac:dyDescent="0.3">
      <c r="A184" t="s">
        <v>397</v>
      </c>
      <c r="B184">
        <v>2025</v>
      </c>
      <c r="C184" t="s">
        <v>450</v>
      </c>
      <c r="D184" t="s">
        <v>130</v>
      </c>
      <c r="E184" t="s">
        <v>130</v>
      </c>
      <c r="F184" t="s">
        <v>453</v>
      </c>
      <c r="G184" s="85">
        <v>30.8</v>
      </c>
      <c r="H184" s="86">
        <v>31.09</v>
      </c>
      <c r="I184" s="86">
        <v>0.36</v>
      </c>
      <c r="J184" s="87">
        <v>-0.8</v>
      </c>
      <c r="K184" s="85">
        <v>30</v>
      </c>
      <c r="L184" s="85">
        <v>32.200000000000003</v>
      </c>
      <c r="M184" t="s">
        <v>436</v>
      </c>
      <c r="N184" t="s">
        <v>464</v>
      </c>
      <c r="O184" t="s">
        <v>445</v>
      </c>
      <c r="P184" s="85">
        <v>-0.93277581215824756</v>
      </c>
      <c r="Q184" s="85">
        <v>0.93277581215824756</v>
      </c>
      <c r="R184" s="81"/>
      <c r="T184" t="s">
        <v>360</v>
      </c>
      <c r="U184" t="s">
        <v>649</v>
      </c>
    </row>
    <row r="185" spans="1:21" x14ac:dyDescent="0.3">
      <c r="A185" t="s">
        <v>397</v>
      </c>
      <c r="B185">
        <v>2025</v>
      </c>
      <c r="C185" t="s">
        <v>450</v>
      </c>
      <c r="D185" t="s">
        <v>130</v>
      </c>
      <c r="E185" t="s">
        <v>130</v>
      </c>
      <c r="F185" t="s">
        <v>454</v>
      </c>
      <c r="G185" s="85">
        <v>29</v>
      </c>
      <c r="H185" s="86">
        <v>29.26</v>
      </c>
      <c r="I185" s="86">
        <v>0.34</v>
      </c>
      <c r="J185" s="87">
        <v>-0.8</v>
      </c>
      <c r="K185" s="85">
        <v>28.2</v>
      </c>
      <c r="L185" s="85">
        <v>30.3</v>
      </c>
      <c r="M185" t="s">
        <v>436</v>
      </c>
      <c r="N185" t="s">
        <v>464</v>
      </c>
      <c r="O185" t="s">
        <v>445</v>
      </c>
      <c r="P185" s="85">
        <v>-0.88858509911142014</v>
      </c>
      <c r="Q185" s="85">
        <v>0.88858509911142014</v>
      </c>
      <c r="R185" s="81"/>
      <c r="T185" t="s">
        <v>360</v>
      </c>
      <c r="U185" t="s">
        <v>650</v>
      </c>
    </row>
    <row r="186" spans="1:21" x14ac:dyDescent="0.3">
      <c r="A186" t="s">
        <v>397</v>
      </c>
      <c r="B186">
        <v>2025</v>
      </c>
      <c r="C186" t="s">
        <v>450</v>
      </c>
      <c r="D186" t="s">
        <v>130</v>
      </c>
      <c r="E186" t="s">
        <v>130</v>
      </c>
      <c r="F186" t="s">
        <v>455</v>
      </c>
      <c r="G186" s="85">
        <v>29.3</v>
      </c>
      <c r="H186" s="86">
        <v>29.32</v>
      </c>
      <c r="I186" s="86">
        <v>0.34</v>
      </c>
      <c r="J186" s="87">
        <v>-0.1</v>
      </c>
      <c r="K186" s="85">
        <v>28.3</v>
      </c>
      <c r="L186" s="85">
        <v>30.4</v>
      </c>
      <c r="M186" t="s">
        <v>436</v>
      </c>
      <c r="N186" t="s">
        <v>464</v>
      </c>
      <c r="O186" t="s">
        <v>445</v>
      </c>
      <c r="P186" s="85">
        <v>-6.8212824010912596E-2</v>
      </c>
      <c r="Q186" s="85">
        <v>6.8212824010912596E-2</v>
      </c>
      <c r="R186" s="81"/>
      <c r="T186" t="s">
        <v>360</v>
      </c>
      <c r="U186" t="s">
        <v>651</v>
      </c>
    </row>
    <row r="187" spans="1:21" x14ac:dyDescent="0.3">
      <c r="A187" t="s">
        <v>397</v>
      </c>
      <c r="B187">
        <v>2025</v>
      </c>
      <c r="C187" t="s">
        <v>450</v>
      </c>
      <c r="D187" t="s">
        <v>131</v>
      </c>
      <c r="E187" t="s">
        <v>131</v>
      </c>
      <c r="F187" t="s">
        <v>451</v>
      </c>
      <c r="G187" s="85">
        <v>34.799999999999997</v>
      </c>
      <c r="H187" s="86">
        <v>34.78</v>
      </c>
      <c r="I187" s="86">
        <v>0.56999999999999995</v>
      </c>
      <c r="J187" s="87">
        <v>0</v>
      </c>
      <c r="K187" s="85">
        <v>33</v>
      </c>
      <c r="L187" s="85">
        <v>36.5</v>
      </c>
      <c r="M187" t="s">
        <v>436</v>
      </c>
      <c r="N187" t="s">
        <v>464</v>
      </c>
      <c r="O187" t="s">
        <v>443</v>
      </c>
      <c r="P187" s="85">
        <v>5.7504312823450324E-2</v>
      </c>
      <c r="Q187" s="85">
        <v>5.7504312823450324E-2</v>
      </c>
      <c r="R187" s="81"/>
      <c r="T187" t="s">
        <v>360</v>
      </c>
      <c r="U187" t="s">
        <v>652</v>
      </c>
    </row>
    <row r="188" spans="1:21" x14ac:dyDescent="0.3">
      <c r="A188" t="s">
        <v>397</v>
      </c>
      <c r="B188">
        <v>2025</v>
      </c>
      <c r="C188" t="s">
        <v>450</v>
      </c>
      <c r="D188" t="s">
        <v>131</v>
      </c>
      <c r="E188" t="s">
        <v>131</v>
      </c>
      <c r="F188" t="s">
        <v>452</v>
      </c>
      <c r="G188" s="85">
        <v>32.9</v>
      </c>
      <c r="H188" s="86">
        <v>33.369999999999997</v>
      </c>
      <c r="I188" s="86">
        <v>0.56000000000000005</v>
      </c>
      <c r="J188" s="87">
        <v>-0.8</v>
      </c>
      <c r="K188" s="85">
        <v>31.6</v>
      </c>
      <c r="L188" s="85">
        <v>35.1</v>
      </c>
      <c r="M188" t="s">
        <v>436</v>
      </c>
      <c r="N188" t="s">
        <v>464</v>
      </c>
      <c r="O188" t="s">
        <v>443</v>
      </c>
      <c r="P188" s="85">
        <v>-1.4084507042253489</v>
      </c>
      <c r="Q188" s="85">
        <v>1.4084507042253489</v>
      </c>
      <c r="R188" s="81"/>
      <c r="T188" t="s">
        <v>360</v>
      </c>
      <c r="U188" t="s">
        <v>653</v>
      </c>
    </row>
    <row r="189" spans="1:21" x14ac:dyDescent="0.3">
      <c r="A189" t="s">
        <v>397</v>
      </c>
      <c r="B189">
        <v>2025</v>
      </c>
      <c r="C189" t="s">
        <v>450</v>
      </c>
      <c r="D189" t="s">
        <v>131</v>
      </c>
      <c r="E189" t="s">
        <v>131</v>
      </c>
      <c r="F189" t="s">
        <v>453</v>
      </c>
      <c r="G189" s="85">
        <v>34.4</v>
      </c>
      <c r="H189" s="86">
        <v>34.69</v>
      </c>
      <c r="I189" s="86">
        <v>0.5</v>
      </c>
      <c r="J189" s="87">
        <v>-0.6</v>
      </c>
      <c r="K189" s="85">
        <v>33.1</v>
      </c>
      <c r="L189" s="85">
        <v>36.200000000000003</v>
      </c>
      <c r="M189" t="s">
        <v>436</v>
      </c>
      <c r="N189" t="s">
        <v>464</v>
      </c>
      <c r="O189" t="s">
        <v>443</v>
      </c>
      <c r="P189" s="85">
        <v>-0.83597578552896856</v>
      </c>
      <c r="Q189" s="85">
        <v>0.83597578552896856</v>
      </c>
      <c r="R189" s="81"/>
      <c r="T189" t="s">
        <v>360</v>
      </c>
      <c r="U189" t="s">
        <v>654</v>
      </c>
    </row>
    <row r="190" spans="1:21" x14ac:dyDescent="0.3">
      <c r="A190" t="s">
        <v>397</v>
      </c>
      <c r="B190">
        <v>2025</v>
      </c>
      <c r="C190" t="s">
        <v>450</v>
      </c>
      <c r="D190" t="s">
        <v>131</v>
      </c>
      <c r="E190" t="s">
        <v>131</v>
      </c>
      <c r="F190" t="s">
        <v>454</v>
      </c>
      <c r="G190" s="85">
        <v>34.200000000000003</v>
      </c>
      <c r="H190" s="86">
        <v>34.56</v>
      </c>
      <c r="I190" s="86">
        <v>0.51</v>
      </c>
      <c r="J190" s="87">
        <v>-0.7</v>
      </c>
      <c r="K190" s="85">
        <v>33</v>
      </c>
      <c r="L190" s="85">
        <v>36.200000000000003</v>
      </c>
      <c r="M190" t="s">
        <v>436</v>
      </c>
      <c r="N190" t="s">
        <v>464</v>
      </c>
      <c r="O190" t="s">
        <v>443</v>
      </c>
      <c r="P190" s="85">
        <v>-1.041666666666665</v>
      </c>
      <c r="Q190" s="85">
        <v>1.041666666666665</v>
      </c>
      <c r="R190" s="81"/>
      <c r="T190" t="s">
        <v>360</v>
      </c>
      <c r="U190" t="s">
        <v>655</v>
      </c>
    </row>
    <row r="191" spans="1:21" x14ac:dyDescent="0.3">
      <c r="A191" t="s">
        <v>397</v>
      </c>
      <c r="B191">
        <v>2025</v>
      </c>
      <c r="C191" t="s">
        <v>450</v>
      </c>
      <c r="D191" t="s">
        <v>131</v>
      </c>
      <c r="E191" t="s">
        <v>131</v>
      </c>
      <c r="F191" t="s">
        <v>455</v>
      </c>
      <c r="G191" s="85">
        <v>34.799999999999997</v>
      </c>
      <c r="H191" s="86">
        <v>34.659999999999997</v>
      </c>
      <c r="I191" s="86">
        <v>0.5</v>
      </c>
      <c r="J191" s="87">
        <v>0.3</v>
      </c>
      <c r="K191" s="85">
        <v>33.1</v>
      </c>
      <c r="L191" s="85">
        <v>36.200000000000003</v>
      </c>
      <c r="M191" t="s">
        <v>436</v>
      </c>
      <c r="N191" t="s">
        <v>464</v>
      </c>
      <c r="O191" t="s">
        <v>443</v>
      </c>
      <c r="P191" s="85">
        <v>0.40392383150606059</v>
      </c>
      <c r="Q191" s="85">
        <v>0.40392383150606059</v>
      </c>
      <c r="R191" s="81"/>
      <c r="T191" t="s">
        <v>360</v>
      </c>
      <c r="U191" t="s">
        <v>656</v>
      </c>
    </row>
    <row r="192" spans="1:21" x14ac:dyDescent="0.3">
      <c r="A192" t="s">
        <v>397</v>
      </c>
      <c r="B192">
        <v>2025</v>
      </c>
      <c r="C192" t="s">
        <v>450</v>
      </c>
      <c r="D192" t="s">
        <v>129</v>
      </c>
      <c r="E192" t="s">
        <v>129</v>
      </c>
      <c r="F192" t="s">
        <v>451</v>
      </c>
      <c r="G192" s="85">
        <v>73.599999999999994</v>
      </c>
      <c r="H192" s="86">
        <v>73.22</v>
      </c>
      <c r="I192" s="86">
        <v>0.79</v>
      </c>
      <c r="J192" s="87">
        <v>0.5</v>
      </c>
      <c r="K192" s="85">
        <v>70.8</v>
      </c>
      <c r="L192" s="85">
        <v>75.599999999999994</v>
      </c>
      <c r="M192" t="s">
        <v>436</v>
      </c>
      <c r="N192" t="s">
        <v>464</v>
      </c>
      <c r="O192" t="s">
        <v>447</v>
      </c>
      <c r="P192" s="85">
        <v>0.51898388418464281</v>
      </c>
      <c r="Q192" s="85">
        <v>0.51898388418464281</v>
      </c>
      <c r="R192" s="81"/>
      <c r="T192" t="s">
        <v>360</v>
      </c>
      <c r="U192" t="s">
        <v>657</v>
      </c>
    </row>
    <row r="193" spans="1:21" x14ac:dyDescent="0.3">
      <c r="A193" t="s">
        <v>397</v>
      </c>
      <c r="B193">
        <v>2025</v>
      </c>
      <c r="C193" t="s">
        <v>450</v>
      </c>
      <c r="D193" t="s">
        <v>129</v>
      </c>
      <c r="E193" t="s">
        <v>129</v>
      </c>
      <c r="F193" t="s">
        <v>452</v>
      </c>
      <c r="G193" s="85">
        <v>73.599999999999994</v>
      </c>
      <c r="H193" s="86">
        <v>73.47</v>
      </c>
      <c r="I193" s="86">
        <v>0.8</v>
      </c>
      <c r="J193" s="87">
        <v>0.2</v>
      </c>
      <c r="K193" s="85">
        <v>71</v>
      </c>
      <c r="L193" s="85">
        <v>75.900000000000006</v>
      </c>
      <c r="M193" t="s">
        <v>436</v>
      </c>
      <c r="N193" t="s">
        <v>464</v>
      </c>
      <c r="O193" t="s">
        <v>447</v>
      </c>
      <c r="P193" s="85">
        <v>0.17694296991968894</v>
      </c>
      <c r="Q193" s="85">
        <v>0.17694296991968894</v>
      </c>
      <c r="R193" s="81"/>
      <c r="T193" t="s">
        <v>360</v>
      </c>
      <c r="U193" t="s">
        <v>658</v>
      </c>
    </row>
    <row r="194" spans="1:21" x14ac:dyDescent="0.3">
      <c r="A194" t="s">
        <v>397</v>
      </c>
      <c r="B194">
        <v>2025</v>
      </c>
      <c r="C194" t="s">
        <v>450</v>
      </c>
      <c r="D194" t="s">
        <v>129</v>
      </c>
      <c r="E194" t="s">
        <v>129</v>
      </c>
      <c r="F194" t="s">
        <v>453</v>
      </c>
      <c r="G194" s="85">
        <v>89.5</v>
      </c>
      <c r="H194" s="86">
        <v>89.64</v>
      </c>
      <c r="I194" s="86">
        <v>0.91</v>
      </c>
      <c r="J194" s="87">
        <v>-0.2</v>
      </c>
      <c r="K194" s="85">
        <v>86.9</v>
      </c>
      <c r="L194" s="85">
        <v>92.4</v>
      </c>
      <c r="M194" t="s">
        <v>436</v>
      </c>
      <c r="N194" t="s">
        <v>464</v>
      </c>
      <c r="O194" t="s">
        <v>447</v>
      </c>
      <c r="P194" s="85">
        <v>-0.15618027666220502</v>
      </c>
      <c r="Q194" s="85">
        <v>0.15618027666220502</v>
      </c>
      <c r="R194" s="81"/>
      <c r="T194" t="s">
        <v>360</v>
      </c>
      <c r="U194" t="s">
        <v>659</v>
      </c>
    </row>
    <row r="195" spans="1:21" x14ac:dyDescent="0.3">
      <c r="A195" t="s">
        <v>397</v>
      </c>
      <c r="B195">
        <v>2025</v>
      </c>
      <c r="C195" t="s">
        <v>450</v>
      </c>
      <c r="D195" t="s">
        <v>129</v>
      </c>
      <c r="E195" t="s">
        <v>129</v>
      </c>
      <c r="F195" t="s">
        <v>454</v>
      </c>
      <c r="G195" s="85">
        <v>84.8</v>
      </c>
      <c r="H195" s="86">
        <v>84.67</v>
      </c>
      <c r="I195" s="86">
        <v>0.87</v>
      </c>
      <c r="J195" s="87">
        <v>0.2</v>
      </c>
      <c r="K195" s="85">
        <v>82</v>
      </c>
      <c r="L195" s="85">
        <v>87.3</v>
      </c>
      <c r="M195" t="s">
        <v>436</v>
      </c>
      <c r="N195" t="s">
        <v>464</v>
      </c>
      <c r="O195" t="s">
        <v>447</v>
      </c>
      <c r="P195" s="85">
        <v>0.153537262312502</v>
      </c>
      <c r="Q195" s="85">
        <v>0.153537262312502</v>
      </c>
      <c r="R195" s="81"/>
      <c r="T195" t="s">
        <v>360</v>
      </c>
      <c r="U195" t="s">
        <v>660</v>
      </c>
    </row>
    <row r="196" spans="1:21" x14ac:dyDescent="0.3">
      <c r="A196" t="s">
        <v>397</v>
      </c>
      <c r="B196">
        <v>2025</v>
      </c>
      <c r="C196" t="s">
        <v>450</v>
      </c>
      <c r="D196" t="s">
        <v>129</v>
      </c>
      <c r="E196" t="s">
        <v>129</v>
      </c>
      <c r="F196" t="s">
        <v>455</v>
      </c>
      <c r="G196" s="85">
        <v>84.1</v>
      </c>
      <c r="H196" s="86">
        <v>84.6</v>
      </c>
      <c r="I196" s="86">
        <v>0.86</v>
      </c>
      <c r="J196" s="87">
        <v>-0.6</v>
      </c>
      <c r="K196" s="85">
        <v>82</v>
      </c>
      <c r="L196" s="85">
        <v>87.2</v>
      </c>
      <c r="M196" t="s">
        <v>436</v>
      </c>
      <c r="N196" t="s">
        <v>464</v>
      </c>
      <c r="O196" t="s">
        <v>447</v>
      </c>
      <c r="P196" s="85">
        <v>-0.59101654846335705</v>
      </c>
      <c r="Q196" s="85">
        <v>0.59101654846335705</v>
      </c>
      <c r="R196" s="81"/>
      <c r="T196" t="s">
        <v>360</v>
      </c>
      <c r="U196" t="s">
        <v>661</v>
      </c>
    </row>
    <row r="197" spans="1:21" x14ac:dyDescent="0.3">
      <c r="A197" t="s">
        <v>397</v>
      </c>
      <c r="B197">
        <v>2025</v>
      </c>
      <c r="C197" t="s">
        <v>450</v>
      </c>
      <c r="D197" t="s">
        <v>149</v>
      </c>
      <c r="E197" t="s">
        <v>149</v>
      </c>
      <c r="F197" t="s">
        <v>451</v>
      </c>
      <c r="G197" s="85">
        <v>9.6999999999999993</v>
      </c>
      <c r="H197" s="86">
        <v>9.9499999999999993</v>
      </c>
      <c r="I197" s="86">
        <v>0.2</v>
      </c>
      <c r="J197" s="87">
        <v>-1.3</v>
      </c>
      <c r="K197" s="85">
        <v>9.3000000000000007</v>
      </c>
      <c r="L197" s="85">
        <v>10.6</v>
      </c>
      <c r="M197" t="s">
        <v>436</v>
      </c>
      <c r="N197" t="s">
        <v>464</v>
      </c>
      <c r="O197" t="s">
        <v>447</v>
      </c>
      <c r="P197" s="85">
        <v>-2.512562814070352</v>
      </c>
      <c r="Q197" s="85">
        <v>2.512562814070352</v>
      </c>
      <c r="R197" s="81"/>
      <c r="T197" t="s">
        <v>360</v>
      </c>
      <c r="U197" t="s">
        <v>662</v>
      </c>
    </row>
    <row r="198" spans="1:21" x14ac:dyDescent="0.3">
      <c r="A198" t="s">
        <v>397</v>
      </c>
      <c r="B198">
        <v>2025</v>
      </c>
      <c r="C198" t="s">
        <v>450</v>
      </c>
      <c r="D198" t="s">
        <v>149</v>
      </c>
      <c r="E198" t="s">
        <v>149</v>
      </c>
      <c r="F198" t="s">
        <v>452</v>
      </c>
      <c r="G198" s="85">
        <v>9.9</v>
      </c>
      <c r="H198" s="86">
        <v>10.36</v>
      </c>
      <c r="I198" s="86">
        <v>0.37</v>
      </c>
      <c r="J198" s="87">
        <v>-1.2</v>
      </c>
      <c r="K198" s="85">
        <v>9.1999999999999993</v>
      </c>
      <c r="L198" s="85">
        <v>11.5</v>
      </c>
      <c r="M198" t="s">
        <v>436</v>
      </c>
      <c r="N198" t="s">
        <v>464</v>
      </c>
      <c r="O198" t="s">
        <v>447</v>
      </c>
      <c r="P198" s="85">
        <v>-4.4401544401544317</v>
      </c>
      <c r="Q198" s="85">
        <v>4.4401544401544317</v>
      </c>
      <c r="R198" s="81"/>
      <c r="T198" t="s">
        <v>360</v>
      </c>
      <c r="U198" t="s">
        <v>663</v>
      </c>
    </row>
    <row r="199" spans="1:21" x14ac:dyDescent="0.3">
      <c r="A199" t="s">
        <v>397</v>
      </c>
      <c r="B199">
        <v>2025</v>
      </c>
      <c r="C199" t="s">
        <v>450</v>
      </c>
      <c r="D199" t="s">
        <v>149</v>
      </c>
      <c r="E199" t="s">
        <v>149</v>
      </c>
      <c r="F199" t="s">
        <v>453</v>
      </c>
      <c r="G199" s="85">
        <v>9.3000000000000007</v>
      </c>
      <c r="H199" s="86">
        <v>9.58</v>
      </c>
      <c r="I199" s="86">
        <v>0.16</v>
      </c>
      <c r="J199" s="87">
        <v>-1.8</v>
      </c>
      <c r="K199" s="85">
        <v>9.1</v>
      </c>
      <c r="L199" s="85">
        <v>10.1</v>
      </c>
      <c r="M199" t="s">
        <v>436</v>
      </c>
      <c r="N199" t="s">
        <v>464</v>
      </c>
      <c r="O199" t="s">
        <v>447</v>
      </c>
      <c r="P199" s="85">
        <v>-2.9227557411273422</v>
      </c>
      <c r="Q199" s="85">
        <v>2.9227557411273422</v>
      </c>
      <c r="R199" s="81"/>
      <c r="T199" t="s">
        <v>360</v>
      </c>
      <c r="U199" t="s">
        <v>664</v>
      </c>
    </row>
    <row r="200" spans="1:21" x14ac:dyDescent="0.3">
      <c r="A200" t="s">
        <v>397</v>
      </c>
      <c r="B200">
        <v>2025</v>
      </c>
      <c r="C200" t="s">
        <v>450</v>
      </c>
      <c r="D200" t="s">
        <v>149</v>
      </c>
      <c r="E200" t="s">
        <v>149</v>
      </c>
      <c r="F200" t="s">
        <v>454</v>
      </c>
      <c r="G200" s="85">
        <v>9.5</v>
      </c>
      <c r="H200" s="86">
        <v>9.82</v>
      </c>
      <c r="I200" s="86">
        <v>0.21</v>
      </c>
      <c r="J200" s="87">
        <v>-1.5</v>
      </c>
      <c r="K200" s="85">
        <v>9.4</v>
      </c>
      <c r="L200" s="85">
        <v>10.5</v>
      </c>
      <c r="M200" t="s">
        <v>436</v>
      </c>
      <c r="N200" t="s">
        <v>464</v>
      </c>
      <c r="O200" t="s">
        <v>447</v>
      </c>
      <c r="P200" s="85">
        <v>-3.2586558044806542</v>
      </c>
      <c r="Q200" s="85">
        <v>3.2586558044806542</v>
      </c>
      <c r="R200" s="81"/>
      <c r="T200" t="s">
        <v>360</v>
      </c>
      <c r="U200" t="s">
        <v>665</v>
      </c>
    </row>
    <row r="201" spans="1:21" x14ac:dyDescent="0.3">
      <c r="A201" t="s">
        <v>397</v>
      </c>
      <c r="B201">
        <v>2025</v>
      </c>
      <c r="C201" t="s">
        <v>450</v>
      </c>
      <c r="D201" t="s">
        <v>149</v>
      </c>
      <c r="E201" t="s">
        <v>149</v>
      </c>
      <c r="F201" t="s">
        <v>455</v>
      </c>
      <c r="G201" s="85">
        <v>9.4</v>
      </c>
      <c r="H201" s="86">
        <v>9.77</v>
      </c>
      <c r="I201" s="86">
        <v>0.24</v>
      </c>
      <c r="J201" s="87">
        <v>-1.6</v>
      </c>
      <c r="K201" s="85">
        <v>9</v>
      </c>
      <c r="L201" s="85">
        <v>10.5</v>
      </c>
      <c r="M201" t="s">
        <v>436</v>
      </c>
      <c r="N201" t="s">
        <v>464</v>
      </c>
      <c r="O201" t="s">
        <v>447</v>
      </c>
      <c r="P201" s="85">
        <v>-3.7871033776867886</v>
      </c>
      <c r="Q201" s="85">
        <v>3.7871033776867886</v>
      </c>
      <c r="R201" s="81"/>
      <c r="T201" t="s">
        <v>360</v>
      </c>
      <c r="U201" t="s">
        <v>666</v>
      </c>
    </row>
    <row r="202" spans="1:21" x14ac:dyDescent="0.3">
      <c r="A202" t="s">
        <v>397</v>
      </c>
      <c r="B202">
        <v>2025</v>
      </c>
      <c r="C202" t="s">
        <v>450</v>
      </c>
      <c r="D202" t="s">
        <v>424</v>
      </c>
      <c r="E202" t="s">
        <v>135</v>
      </c>
      <c r="F202" t="s">
        <v>451</v>
      </c>
      <c r="G202" s="85">
        <v>11.4</v>
      </c>
      <c r="H202" s="86">
        <v>11.01</v>
      </c>
      <c r="I202" s="86">
        <v>1.1399999999999999</v>
      </c>
      <c r="J202" s="87">
        <v>0.3</v>
      </c>
      <c r="K202" s="85">
        <v>7.5</v>
      </c>
      <c r="L202" s="85">
        <v>14.5</v>
      </c>
      <c r="M202" t="s">
        <v>436</v>
      </c>
      <c r="N202" t="s">
        <v>464</v>
      </c>
      <c r="O202" t="s">
        <v>437</v>
      </c>
      <c r="P202" s="85">
        <v>3.5422343324250734</v>
      </c>
      <c r="Q202" s="85">
        <v>3.5422343324250734</v>
      </c>
      <c r="R202" s="81"/>
      <c r="T202" t="s">
        <v>360</v>
      </c>
      <c r="U202" t="s">
        <v>667</v>
      </c>
    </row>
    <row r="203" spans="1:21" x14ac:dyDescent="0.3">
      <c r="A203" t="s">
        <v>397</v>
      </c>
      <c r="B203">
        <v>2025</v>
      </c>
      <c r="C203" t="s">
        <v>450</v>
      </c>
      <c r="D203" t="s">
        <v>424</v>
      </c>
      <c r="E203" t="s">
        <v>135</v>
      </c>
      <c r="F203" t="s">
        <v>452</v>
      </c>
      <c r="G203" s="85">
        <v>12.9</v>
      </c>
      <c r="H203" s="86">
        <v>12.55</v>
      </c>
      <c r="I203" s="86">
        <v>1.1499999999999999</v>
      </c>
      <c r="J203" s="87">
        <v>0.3</v>
      </c>
      <c r="K203" s="85">
        <v>9.1</v>
      </c>
      <c r="L203" s="85">
        <v>16</v>
      </c>
      <c r="M203" t="s">
        <v>436</v>
      </c>
      <c r="N203" t="s">
        <v>464</v>
      </c>
      <c r="O203" t="s">
        <v>437</v>
      </c>
      <c r="P203" s="85">
        <v>2.7888446215139413</v>
      </c>
      <c r="Q203" s="85">
        <v>2.7888446215139413</v>
      </c>
      <c r="R203" s="81"/>
      <c r="T203" t="s">
        <v>360</v>
      </c>
      <c r="U203" t="s">
        <v>668</v>
      </c>
    </row>
    <row r="204" spans="1:21" x14ac:dyDescent="0.3">
      <c r="A204" t="s">
        <v>397</v>
      </c>
      <c r="B204">
        <v>2025</v>
      </c>
      <c r="C204" t="s">
        <v>450</v>
      </c>
      <c r="D204" t="s">
        <v>424</v>
      </c>
      <c r="E204" t="s">
        <v>135</v>
      </c>
      <c r="F204" t="s">
        <v>453</v>
      </c>
      <c r="G204" s="85">
        <v>12.4</v>
      </c>
      <c r="H204" s="86">
        <v>11.03</v>
      </c>
      <c r="I204" s="86">
        <v>0.88</v>
      </c>
      <c r="J204" s="87">
        <v>1.6</v>
      </c>
      <c r="K204" s="85">
        <v>8.3000000000000007</v>
      </c>
      <c r="L204" s="85">
        <v>13.7</v>
      </c>
      <c r="M204" t="s">
        <v>436</v>
      </c>
      <c r="N204" t="s">
        <v>464</v>
      </c>
      <c r="O204" t="s">
        <v>437</v>
      </c>
      <c r="P204" s="85">
        <v>12.42067089755214</v>
      </c>
      <c r="Q204" s="85">
        <v>12.42067089755214</v>
      </c>
      <c r="R204" s="81"/>
      <c r="T204" t="s">
        <v>360</v>
      </c>
      <c r="U204" t="s">
        <v>669</v>
      </c>
    </row>
    <row r="205" spans="1:21" x14ac:dyDescent="0.3">
      <c r="A205" t="s">
        <v>397</v>
      </c>
      <c r="B205">
        <v>2025</v>
      </c>
      <c r="C205" t="s">
        <v>450</v>
      </c>
      <c r="D205" t="s">
        <v>424</v>
      </c>
      <c r="E205" t="s">
        <v>135</v>
      </c>
      <c r="F205" t="s">
        <v>454</v>
      </c>
      <c r="G205" s="85">
        <v>12.7</v>
      </c>
      <c r="H205" s="86">
        <v>11.94</v>
      </c>
      <c r="I205" s="86">
        <v>1.04</v>
      </c>
      <c r="J205" s="87">
        <v>0.7</v>
      </c>
      <c r="K205" s="85">
        <v>8.8000000000000007</v>
      </c>
      <c r="L205" s="85">
        <v>15.1</v>
      </c>
      <c r="M205" t="s">
        <v>436</v>
      </c>
      <c r="N205" t="s">
        <v>464</v>
      </c>
      <c r="O205" t="s">
        <v>437</v>
      </c>
      <c r="P205" s="85">
        <v>6.365159128978223</v>
      </c>
      <c r="Q205" s="85">
        <v>6.365159128978223</v>
      </c>
      <c r="R205" s="81"/>
      <c r="T205" t="s">
        <v>360</v>
      </c>
      <c r="U205" t="s">
        <v>670</v>
      </c>
    </row>
    <row r="206" spans="1:21" x14ac:dyDescent="0.3">
      <c r="A206" t="s">
        <v>397</v>
      </c>
      <c r="B206">
        <v>2025</v>
      </c>
      <c r="C206" t="s">
        <v>450</v>
      </c>
      <c r="D206" t="s">
        <v>424</v>
      </c>
      <c r="E206" t="s">
        <v>135</v>
      </c>
      <c r="F206" t="s">
        <v>455</v>
      </c>
      <c r="G206" s="85">
        <v>10.4</v>
      </c>
      <c r="H206" s="86">
        <v>10.98</v>
      </c>
      <c r="I206" s="86">
        <v>1.22</v>
      </c>
      <c r="J206" s="87">
        <v>-0.5</v>
      </c>
      <c r="K206" s="85">
        <v>7.3</v>
      </c>
      <c r="L206" s="85">
        <v>14.7</v>
      </c>
      <c r="M206" t="s">
        <v>436</v>
      </c>
      <c r="N206" t="s">
        <v>464</v>
      </c>
      <c r="O206" t="s">
        <v>437</v>
      </c>
      <c r="P206" s="85">
        <v>-5.2823315118397094</v>
      </c>
      <c r="Q206" s="85">
        <v>5.2823315118397094</v>
      </c>
      <c r="R206" s="81"/>
      <c r="T206" t="s">
        <v>360</v>
      </c>
      <c r="U206" t="s">
        <v>671</v>
      </c>
    </row>
    <row r="207" spans="1:21" x14ac:dyDescent="0.3">
      <c r="A207" t="s">
        <v>397</v>
      </c>
      <c r="B207">
        <v>2025</v>
      </c>
      <c r="C207" t="s">
        <v>450</v>
      </c>
      <c r="D207" t="s">
        <v>425</v>
      </c>
      <c r="E207" t="s">
        <v>140</v>
      </c>
      <c r="F207" t="s">
        <v>451</v>
      </c>
      <c r="G207" s="85">
        <v>0.85</v>
      </c>
      <c r="H207" s="86">
        <v>0.84299999999999997</v>
      </c>
      <c r="I207" s="86">
        <v>0.09</v>
      </c>
      <c r="J207" s="87">
        <v>0.1</v>
      </c>
      <c r="K207" s="85">
        <v>0.56999999999999995</v>
      </c>
      <c r="L207" s="85">
        <v>1.1200000000000001</v>
      </c>
      <c r="M207" t="s">
        <v>436</v>
      </c>
      <c r="N207" t="s">
        <v>464</v>
      </c>
      <c r="O207" t="s">
        <v>442</v>
      </c>
      <c r="P207" s="85">
        <v>0.8303677342823258</v>
      </c>
      <c r="Q207" s="85">
        <v>0.8303677342823258</v>
      </c>
      <c r="R207" s="81"/>
      <c r="T207" t="s">
        <v>360</v>
      </c>
      <c r="U207" t="s">
        <v>672</v>
      </c>
    </row>
    <row r="208" spans="1:21" x14ac:dyDescent="0.3">
      <c r="A208" t="s">
        <v>397</v>
      </c>
      <c r="B208">
        <v>2025</v>
      </c>
      <c r="C208" t="s">
        <v>450</v>
      </c>
      <c r="D208" t="s">
        <v>425</v>
      </c>
      <c r="E208" t="s">
        <v>140</v>
      </c>
      <c r="F208" t="s">
        <v>452</v>
      </c>
      <c r="G208" s="85">
        <v>0.35</v>
      </c>
      <c r="H208" s="86">
        <v>0.35499999999999998</v>
      </c>
      <c r="I208" s="86">
        <v>3.4000000000000002E-2</v>
      </c>
      <c r="J208" s="87">
        <v>-0.1</v>
      </c>
      <c r="K208" s="85">
        <v>0.25</v>
      </c>
      <c r="L208" s="85">
        <v>0.46</v>
      </c>
      <c r="M208" t="s">
        <v>436</v>
      </c>
      <c r="N208" t="s">
        <v>464</v>
      </c>
      <c r="O208" t="s">
        <v>442</v>
      </c>
      <c r="P208" s="85">
        <v>-1.4084507042253533</v>
      </c>
      <c r="Q208" s="85">
        <v>1.4084507042253533</v>
      </c>
      <c r="R208" s="81"/>
      <c r="T208" t="s">
        <v>360</v>
      </c>
      <c r="U208" t="s">
        <v>673</v>
      </c>
    </row>
    <row r="209" spans="1:21" x14ac:dyDescent="0.3">
      <c r="A209" t="s">
        <v>397</v>
      </c>
      <c r="B209">
        <v>2025</v>
      </c>
      <c r="C209" t="s">
        <v>450</v>
      </c>
      <c r="D209" t="s">
        <v>425</v>
      </c>
      <c r="E209" t="s">
        <v>140</v>
      </c>
      <c r="F209" t="s">
        <v>453</v>
      </c>
      <c r="G209" s="85">
        <v>2.08</v>
      </c>
      <c r="H209" s="86">
        <v>1.8580000000000001</v>
      </c>
      <c r="I209" s="86">
        <v>0.151</v>
      </c>
      <c r="J209" s="87">
        <v>1.5</v>
      </c>
      <c r="K209" s="85">
        <v>1.4</v>
      </c>
      <c r="L209" s="85">
        <v>2.3199999999999998</v>
      </c>
      <c r="M209" t="s">
        <v>436</v>
      </c>
      <c r="N209" t="s">
        <v>464</v>
      </c>
      <c r="O209" t="s">
        <v>442</v>
      </c>
      <c r="P209" s="85">
        <v>11.948331539289557</v>
      </c>
      <c r="Q209" s="85">
        <v>11.948331539289557</v>
      </c>
      <c r="R209" s="81"/>
      <c r="T209" t="s">
        <v>360</v>
      </c>
      <c r="U209" t="s">
        <v>674</v>
      </c>
    </row>
    <row r="210" spans="1:21" x14ac:dyDescent="0.3">
      <c r="A210" t="s">
        <v>397</v>
      </c>
      <c r="B210">
        <v>2025</v>
      </c>
      <c r="C210" t="s">
        <v>450</v>
      </c>
      <c r="D210" t="s">
        <v>425</v>
      </c>
      <c r="E210" t="s">
        <v>140</v>
      </c>
      <c r="F210" t="s">
        <v>454</v>
      </c>
      <c r="G210" s="85">
        <v>0.86</v>
      </c>
      <c r="H210" s="86">
        <v>0.81599999999999995</v>
      </c>
      <c r="I210" s="86">
        <v>7.3999999999999996E-2</v>
      </c>
      <c r="J210" s="87">
        <v>0.6</v>
      </c>
      <c r="K210" s="85">
        <v>0.59</v>
      </c>
      <c r="L210" s="85">
        <v>1.04</v>
      </c>
      <c r="M210" t="s">
        <v>436</v>
      </c>
      <c r="N210" t="s">
        <v>464</v>
      </c>
      <c r="O210" t="s">
        <v>442</v>
      </c>
      <c r="P210" s="85">
        <v>5.3921568627451029</v>
      </c>
      <c r="Q210" s="85">
        <v>5.3921568627451029</v>
      </c>
      <c r="R210" s="81"/>
      <c r="T210" t="s">
        <v>360</v>
      </c>
      <c r="U210" t="s">
        <v>675</v>
      </c>
    </row>
    <row r="211" spans="1:21" x14ac:dyDescent="0.3">
      <c r="A211" t="s">
        <v>397</v>
      </c>
      <c r="B211">
        <v>2025</v>
      </c>
      <c r="C211" t="s">
        <v>450</v>
      </c>
      <c r="D211" t="s">
        <v>425</v>
      </c>
      <c r="E211" t="s">
        <v>140</v>
      </c>
      <c r="F211" t="s">
        <v>455</v>
      </c>
      <c r="G211" s="85">
        <v>0.28999999999999998</v>
      </c>
      <c r="H211" s="86">
        <v>0.31</v>
      </c>
      <c r="I211" s="86">
        <v>3.6999999999999998E-2</v>
      </c>
      <c r="J211" s="87">
        <v>-0.5</v>
      </c>
      <c r="K211" s="85">
        <v>0.2</v>
      </c>
      <c r="L211" s="85">
        <v>0.42</v>
      </c>
      <c r="M211" t="s">
        <v>436</v>
      </c>
      <c r="N211" t="s">
        <v>464</v>
      </c>
      <c r="O211" t="s">
        <v>442</v>
      </c>
      <c r="P211" s="85">
        <v>-6.4516129032258114</v>
      </c>
      <c r="Q211" s="85">
        <v>6.4516129032258114</v>
      </c>
      <c r="R211" s="81"/>
      <c r="T211" t="s">
        <v>360</v>
      </c>
      <c r="U211" t="s">
        <v>676</v>
      </c>
    </row>
    <row r="212" spans="1:21" x14ac:dyDescent="0.3">
      <c r="A212" t="s">
        <v>397</v>
      </c>
      <c r="B212">
        <v>2025</v>
      </c>
      <c r="C212" t="s">
        <v>450</v>
      </c>
      <c r="D212" t="s">
        <v>426</v>
      </c>
      <c r="E212" t="s">
        <v>133</v>
      </c>
      <c r="F212" t="s">
        <v>451</v>
      </c>
      <c r="G212" s="85">
        <v>43.1</v>
      </c>
      <c r="H212" s="86">
        <v>44.93</v>
      </c>
      <c r="I212" s="86">
        <v>0.97</v>
      </c>
      <c r="J212" s="87">
        <v>-1.9</v>
      </c>
      <c r="K212" s="85">
        <v>42</v>
      </c>
      <c r="L212" s="85">
        <v>47.9</v>
      </c>
      <c r="M212" t="s">
        <v>436</v>
      </c>
      <c r="N212" t="s">
        <v>464</v>
      </c>
      <c r="O212" t="s">
        <v>437</v>
      </c>
      <c r="P212" s="85">
        <v>-4.0730024482528338</v>
      </c>
      <c r="Q212" s="85">
        <v>4.0730024482528338</v>
      </c>
      <c r="R212" s="81"/>
      <c r="T212" t="s">
        <v>360</v>
      </c>
      <c r="U212" t="s">
        <v>677</v>
      </c>
    </row>
    <row r="213" spans="1:21" x14ac:dyDescent="0.3">
      <c r="A213" t="s">
        <v>397</v>
      </c>
      <c r="B213">
        <v>2025</v>
      </c>
      <c r="C213" t="s">
        <v>450</v>
      </c>
      <c r="D213" t="s">
        <v>426</v>
      </c>
      <c r="E213" t="s">
        <v>133</v>
      </c>
      <c r="F213" t="s">
        <v>452</v>
      </c>
      <c r="G213" s="85">
        <v>40</v>
      </c>
      <c r="H213" s="86">
        <v>40.65</v>
      </c>
      <c r="I213" s="86">
        <v>1.07</v>
      </c>
      <c r="J213" s="87">
        <v>-0.6</v>
      </c>
      <c r="K213" s="85">
        <v>37.4</v>
      </c>
      <c r="L213" s="85">
        <v>43.9</v>
      </c>
      <c r="M213" t="s">
        <v>436</v>
      </c>
      <c r="N213" t="s">
        <v>464</v>
      </c>
      <c r="O213" t="s">
        <v>437</v>
      </c>
      <c r="P213" s="85">
        <v>-1.5990159901598984</v>
      </c>
      <c r="Q213" s="85">
        <v>1.5990159901598984</v>
      </c>
      <c r="R213" s="81"/>
      <c r="T213" t="s">
        <v>360</v>
      </c>
      <c r="U213" t="s">
        <v>678</v>
      </c>
    </row>
    <row r="214" spans="1:21" x14ac:dyDescent="0.3">
      <c r="A214" t="s">
        <v>397</v>
      </c>
      <c r="B214">
        <v>2025</v>
      </c>
      <c r="C214" t="s">
        <v>450</v>
      </c>
      <c r="D214" t="s">
        <v>426</v>
      </c>
      <c r="E214" t="s">
        <v>133</v>
      </c>
      <c r="F214" t="s">
        <v>453</v>
      </c>
      <c r="G214" s="85">
        <v>48.1</v>
      </c>
      <c r="H214" s="86">
        <v>48.64</v>
      </c>
      <c r="I214" s="86">
        <v>0.91</v>
      </c>
      <c r="J214" s="87">
        <v>-0.6</v>
      </c>
      <c r="K214" s="85">
        <v>45.9</v>
      </c>
      <c r="L214" s="85">
        <v>51.4</v>
      </c>
      <c r="M214" t="s">
        <v>436</v>
      </c>
      <c r="N214" t="s">
        <v>464</v>
      </c>
      <c r="O214" t="s">
        <v>437</v>
      </c>
      <c r="P214" s="85">
        <v>-1.1101973684210509</v>
      </c>
      <c r="Q214" s="85">
        <v>1.1101973684210509</v>
      </c>
      <c r="R214" s="81"/>
      <c r="T214" t="s">
        <v>360</v>
      </c>
      <c r="U214" t="s">
        <v>679</v>
      </c>
    </row>
    <row r="215" spans="1:21" x14ac:dyDescent="0.3">
      <c r="A215" t="s">
        <v>397</v>
      </c>
      <c r="B215">
        <v>2025</v>
      </c>
      <c r="C215" t="s">
        <v>450</v>
      </c>
      <c r="D215" t="s">
        <v>426</v>
      </c>
      <c r="E215" t="s">
        <v>133</v>
      </c>
      <c r="F215" t="s">
        <v>454</v>
      </c>
      <c r="G215" s="85">
        <v>44.8</v>
      </c>
      <c r="H215" s="86">
        <v>44.62</v>
      </c>
      <c r="I215" s="86">
        <v>0.92</v>
      </c>
      <c r="J215" s="87">
        <v>0.2</v>
      </c>
      <c r="K215" s="85">
        <v>41.8</v>
      </c>
      <c r="L215" s="85">
        <v>47.4</v>
      </c>
      <c r="M215" t="s">
        <v>436</v>
      </c>
      <c r="N215" t="s">
        <v>464</v>
      </c>
      <c r="O215" t="s">
        <v>437</v>
      </c>
      <c r="P215" s="85">
        <v>0.40340654415060451</v>
      </c>
      <c r="Q215" s="85">
        <v>0.40340654415060451</v>
      </c>
      <c r="R215" s="81"/>
      <c r="T215" t="s">
        <v>360</v>
      </c>
      <c r="U215" t="s">
        <v>680</v>
      </c>
    </row>
    <row r="216" spans="1:21" x14ac:dyDescent="0.3">
      <c r="A216" t="s">
        <v>397</v>
      </c>
      <c r="B216">
        <v>2025</v>
      </c>
      <c r="C216" t="s">
        <v>450</v>
      </c>
      <c r="D216" t="s">
        <v>426</v>
      </c>
      <c r="E216" t="s">
        <v>133</v>
      </c>
      <c r="F216" t="s">
        <v>455</v>
      </c>
      <c r="G216" s="85">
        <v>45</v>
      </c>
      <c r="H216" s="86">
        <v>44.86</v>
      </c>
      <c r="I216" s="86">
        <v>1.18</v>
      </c>
      <c r="J216" s="87">
        <v>0.1</v>
      </c>
      <c r="K216" s="85">
        <v>41.3</v>
      </c>
      <c r="L216" s="85">
        <v>48.4</v>
      </c>
      <c r="M216" t="s">
        <v>436</v>
      </c>
      <c r="N216" t="s">
        <v>464</v>
      </c>
      <c r="O216" t="s">
        <v>437</v>
      </c>
      <c r="P216" s="85">
        <v>0.31208203299153048</v>
      </c>
      <c r="Q216" s="85">
        <v>0.31208203299153048</v>
      </c>
      <c r="R216" s="81"/>
      <c r="T216" t="s">
        <v>360</v>
      </c>
      <c r="U216" t="s">
        <v>681</v>
      </c>
    </row>
    <row r="217" spans="1:21" x14ac:dyDescent="0.3">
      <c r="A217" t="s">
        <v>397</v>
      </c>
      <c r="B217">
        <v>2025</v>
      </c>
      <c r="C217" t="s">
        <v>450</v>
      </c>
      <c r="D217" t="s">
        <v>427</v>
      </c>
      <c r="E217" t="s">
        <v>138</v>
      </c>
      <c r="F217" t="s">
        <v>451</v>
      </c>
      <c r="G217" s="85">
        <v>3.21</v>
      </c>
      <c r="H217" s="86">
        <v>3.4420000000000002</v>
      </c>
      <c r="I217" s="86">
        <v>0.10100000000000001</v>
      </c>
      <c r="J217" s="87">
        <v>-2.2999999999999998</v>
      </c>
      <c r="K217" s="85">
        <v>3.13</v>
      </c>
      <c r="L217" s="85">
        <v>3.75</v>
      </c>
      <c r="M217" t="s">
        <v>436</v>
      </c>
      <c r="N217" t="s">
        <v>464</v>
      </c>
      <c r="O217" t="s">
        <v>442</v>
      </c>
      <c r="P217" s="85">
        <v>-6.740267286461366</v>
      </c>
      <c r="Q217" s="85">
        <v>6.740267286461366</v>
      </c>
      <c r="R217" s="81"/>
      <c r="T217" t="s">
        <v>360</v>
      </c>
      <c r="U217" t="s">
        <v>682</v>
      </c>
    </row>
    <row r="218" spans="1:21" x14ac:dyDescent="0.3">
      <c r="A218" t="s">
        <v>397</v>
      </c>
      <c r="B218">
        <v>2025</v>
      </c>
      <c r="C218" t="s">
        <v>450</v>
      </c>
      <c r="D218" t="s">
        <v>427</v>
      </c>
      <c r="E218" t="s">
        <v>138</v>
      </c>
      <c r="F218" t="s">
        <v>452</v>
      </c>
      <c r="G218" s="85">
        <v>1.0900000000000001</v>
      </c>
      <c r="H218" s="86">
        <v>1.1499999999999999</v>
      </c>
      <c r="I218" s="86">
        <v>4.3999999999999997E-2</v>
      </c>
      <c r="J218" s="87">
        <v>-1.4</v>
      </c>
      <c r="K218" s="85">
        <v>1.01</v>
      </c>
      <c r="L218" s="85">
        <v>1.29</v>
      </c>
      <c r="M218" t="s">
        <v>436</v>
      </c>
      <c r="N218" t="s">
        <v>464</v>
      </c>
      <c r="O218" t="s">
        <v>442</v>
      </c>
      <c r="P218" s="85">
        <v>-5.217391304347812</v>
      </c>
      <c r="Q218" s="85">
        <v>5.217391304347812</v>
      </c>
      <c r="R218" s="81"/>
      <c r="T218" t="s">
        <v>360</v>
      </c>
      <c r="U218" t="s">
        <v>683</v>
      </c>
    </row>
    <row r="219" spans="1:21" x14ac:dyDescent="0.3">
      <c r="A219" t="s">
        <v>397</v>
      </c>
      <c r="B219">
        <v>2025</v>
      </c>
      <c r="C219" t="s">
        <v>450</v>
      </c>
      <c r="D219" t="s">
        <v>427</v>
      </c>
      <c r="E219" t="s">
        <v>138</v>
      </c>
      <c r="F219" t="s">
        <v>453</v>
      </c>
      <c r="G219" s="85">
        <v>8.08</v>
      </c>
      <c r="H219" s="86">
        <v>8.1959999999999997</v>
      </c>
      <c r="I219" s="86">
        <v>0.19700000000000001</v>
      </c>
      <c r="J219" s="87">
        <v>-0.6</v>
      </c>
      <c r="K219" s="85">
        <v>7.6</v>
      </c>
      <c r="L219" s="85">
        <v>8.7899999999999991</v>
      </c>
      <c r="M219" t="s">
        <v>436</v>
      </c>
      <c r="N219" t="s">
        <v>464</v>
      </c>
      <c r="O219" t="s">
        <v>442</v>
      </c>
      <c r="P219" s="85">
        <v>-1.4153245485602692</v>
      </c>
      <c r="Q219" s="85">
        <v>1.4153245485602692</v>
      </c>
      <c r="R219" s="81"/>
      <c r="T219" t="s">
        <v>360</v>
      </c>
      <c r="U219" t="s">
        <v>684</v>
      </c>
    </row>
    <row r="220" spans="1:21" x14ac:dyDescent="0.3">
      <c r="A220" t="s">
        <v>397</v>
      </c>
      <c r="B220">
        <v>2025</v>
      </c>
      <c r="C220" t="s">
        <v>450</v>
      </c>
      <c r="D220" t="s">
        <v>427</v>
      </c>
      <c r="E220" t="s">
        <v>138</v>
      </c>
      <c r="F220" t="s">
        <v>454</v>
      </c>
      <c r="G220" s="85">
        <v>3.02</v>
      </c>
      <c r="H220" s="86">
        <v>3.0510000000000002</v>
      </c>
      <c r="I220" s="86">
        <v>8.4000000000000005E-2</v>
      </c>
      <c r="J220" s="87">
        <v>-0.4</v>
      </c>
      <c r="K220" s="85">
        <v>2.79</v>
      </c>
      <c r="L220" s="85">
        <v>3.31</v>
      </c>
      <c r="M220" t="s">
        <v>436</v>
      </c>
      <c r="N220" t="s">
        <v>464</v>
      </c>
      <c r="O220" t="s">
        <v>442</v>
      </c>
      <c r="P220" s="85">
        <v>-1.0160603080957109</v>
      </c>
      <c r="Q220" s="85">
        <v>1.0160603080957109</v>
      </c>
      <c r="R220" s="81"/>
      <c r="T220" t="s">
        <v>360</v>
      </c>
      <c r="U220" t="s">
        <v>685</v>
      </c>
    </row>
    <row r="221" spans="1:21" x14ac:dyDescent="0.3">
      <c r="A221" t="s">
        <v>397</v>
      </c>
      <c r="B221">
        <v>2025</v>
      </c>
      <c r="C221" t="s">
        <v>450</v>
      </c>
      <c r="D221" t="s">
        <v>427</v>
      </c>
      <c r="E221" t="s">
        <v>138</v>
      </c>
      <c r="F221" t="s">
        <v>455</v>
      </c>
      <c r="G221" s="85">
        <v>1.25</v>
      </c>
      <c r="H221" s="86">
        <v>1.2709999999999999</v>
      </c>
      <c r="I221" s="86">
        <v>5.0999999999999997E-2</v>
      </c>
      <c r="J221" s="87">
        <v>-0.4</v>
      </c>
      <c r="K221" s="85">
        <v>1.1100000000000001</v>
      </c>
      <c r="L221" s="85">
        <v>1.43</v>
      </c>
      <c r="M221" t="s">
        <v>436</v>
      </c>
      <c r="N221" t="s">
        <v>464</v>
      </c>
      <c r="O221" t="s">
        <v>442</v>
      </c>
      <c r="P221" s="85">
        <v>-1.6522423288748946</v>
      </c>
      <c r="Q221" s="85">
        <v>1.6522423288748946</v>
      </c>
      <c r="R221" s="81"/>
      <c r="T221" t="s">
        <v>360</v>
      </c>
      <c r="U221" t="s">
        <v>686</v>
      </c>
    </row>
    <row r="222" spans="1:21" x14ac:dyDescent="0.3">
      <c r="A222" t="s">
        <v>397</v>
      </c>
      <c r="B222">
        <v>2025</v>
      </c>
      <c r="C222" t="s">
        <v>450</v>
      </c>
      <c r="D222" t="s">
        <v>428</v>
      </c>
      <c r="E222" t="s">
        <v>132</v>
      </c>
      <c r="F222" t="s">
        <v>451</v>
      </c>
      <c r="G222" s="85">
        <v>312</v>
      </c>
      <c r="H222" s="86">
        <v>290.5</v>
      </c>
      <c r="I222" s="86">
        <v>13</v>
      </c>
      <c r="J222" s="87">
        <v>1.7</v>
      </c>
      <c r="K222" s="85">
        <v>217</v>
      </c>
      <c r="L222" s="85">
        <v>364</v>
      </c>
      <c r="M222" t="s">
        <v>436</v>
      </c>
      <c r="N222" t="s">
        <v>464</v>
      </c>
      <c r="O222" t="s">
        <v>442</v>
      </c>
      <c r="P222" s="85">
        <v>7.4010327022375213</v>
      </c>
      <c r="Q222" s="85">
        <v>7.4010327022375213</v>
      </c>
      <c r="R222" s="81"/>
      <c r="T222" t="s">
        <v>360</v>
      </c>
      <c r="U222" t="s">
        <v>687</v>
      </c>
    </row>
    <row r="223" spans="1:21" x14ac:dyDescent="0.3">
      <c r="A223" t="s">
        <v>397</v>
      </c>
      <c r="B223">
        <v>2025</v>
      </c>
      <c r="C223" t="s">
        <v>450</v>
      </c>
      <c r="D223" t="s">
        <v>428</v>
      </c>
      <c r="E223" t="s">
        <v>132</v>
      </c>
      <c r="F223" t="s">
        <v>452</v>
      </c>
      <c r="G223" s="85">
        <v>52</v>
      </c>
      <c r="H223" s="86">
        <v>49</v>
      </c>
      <c r="I223" s="86">
        <v>3.4</v>
      </c>
      <c r="J223" s="87">
        <v>0.9</v>
      </c>
      <c r="K223" s="85">
        <v>36</v>
      </c>
      <c r="L223" s="85">
        <v>62</v>
      </c>
      <c r="M223" t="s">
        <v>436</v>
      </c>
      <c r="N223" t="s">
        <v>464</v>
      </c>
      <c r="O223" t="s">
        <v>442</v>
      </c>
      <c r="P223" s="85">
        <v>6.1224489795918364</v>
      </c>
      <c r="Q223" s="85">
        <v>6.1224489795918364</v>
      </c>
      <c r="R223" s="81"/>
      <c r="T223" t="s">
        <v>360</v>
      </c>
      <c r="U223" t="s">
        <v>688</v>
      </c>
    </row>
    <row r="224" spans="1:21" x14ac:dyDescent="0.3">
      <c r="A224" t="s">
        <v>397</v>
      </c>
      <c r="B224">
        <v>2025</v>
      </c>
      <c r="C224" t="s">
        <v>450</v>
      </c>
      <c r="D224" t="s">
        <v>428</v>
      </c>
      <c r="E224" t="s">
        <v>132</v>
      </c>
      <c r="F224" t="s">
        <v>453</v>
      </c>
      <c r="G224" s="85">
        <v>538</v>
      </c>
      <c r="H224" s="86">
        <v>495.9</v>
      </c>
      <c r="I224" s="86">
        <v>11.6</v>
      </c>
      <c r="J224" s="87">
        <v>3.6</v>
      </c>
      <c r="K224" s="85">
        <v>371</v>
      </c>
      <c r="L224" s="85">
        <v>620</v>
      </c>
      <c r="M224" t="s">
        <v>436</v>
      </c>
      <c r="N224" t="s">
        <v>464</v>
      </c>
      <c r="O224" t="s">
        <v>442</v>
      </c>
      <c r="P224" s="85">
        <v>8.489614841701961</v>
      </c>
      <c r="Q224" s="85">
        <v>8.489614841701961</v>
      </c>
      <c r="R224" s="81"/>
      <c r="T224" t="s">
        <v>360</v>
      </c>
      <c r="U224" t="s">
        <v>689</v>
      </c>
    </row>
    <row r="225" spans="1:21" x14ac:dyDescent="0.3">
      <c r="A225" t="s">
        <v>397</v>
      </c>
      <c r="B225">
        <v>2025</v>
      </c>
      <c r="C225" t="s">
        <v>450</v>
      </c>
      <c r="D225" t="s">
        <v>428</v>
      </c>
      <c r="E225" t="s">
        <v>132</v>
      </c>
      <c r="F225" t="s">
        <v>454</v>
      </c>
      <c r="G225" s="85">
        <v>226</v>
      </c>
      <c r="H225" s="86">
        <v>203.8</v>
      </c>
      <c r="I225" s="86">
        <v>7</v>
      </c>
      <c r="J225" s="87">
        <v>3.2</v>
      </c>
      <c r="K225" s="85">
        <v>152</v>
      </c>
      <c r="L225" s="85">
        <v>255</v>
      </c>
      <c r="M225" t="s">
        <v>436</v>
      </c>
      <c r="N225" t="s">
        <v>464</v>
      </c>
      <c r="O225" t="s">
        <v>442</v>
      </c>
      <c r="P225" s="85">
        <v>10.893032384690867</v>
      </c>
      <c r="Q225" s="85">
        <v>10.893032384690867</v>
      </c>
      <c r="R225" s="81"/>
      <c r="T225" t="s">
        <v>360</v>
      </c>
      <c r="U225" t="s">
        <v>690</v>
      </c>
    </row>
    <row r="226" spans="1:21" x14ac:dyDescent="0.3">
      <c r="A226" t="s">
        <v>397</v>
      </c>
      <c r="B226">
        <v>2025</v>
      </c>
      <c r="C226" t="s">
        <v>450</v>
      </c>
      <c r="D226" t="s">
        <v>428</v>
      </c>
      <c r="E226" t="s">
        <v>132</v>
      </c>
      <c r="F226" t="s">
        <v>455</v>
      </c>
      <c r="G226" s="85">
        <v>127</v>
      </c>
      <c r="H226" s="86">
        <v>121.8</v>
      </c>
      <c r="I226" s="86">
        <v>4.5999999999999996</v>
      </c>
      <c r="J226" s="87">
        <v>1.1000000000000001</v>
      </c>
      <c r="K226" s="85">
        <v>91</v>
      </c>
      <c r="L226" s="85">
        <v>153</v>
      </c>
      <c r="M226" t="s">
        <v>436</v>
      </c>
      <c r="N226" t="s">
        <v>464</v>
      </c>
      <c r="O226" t="s">
        <v>442</v>
      </c>
      <c r="P226" s="85">
        <v>4.269293924466341</v>
      </c>
      <c r="Q226" s="85">
        <v>4.269293924466341</v>
      </c>
      <c r="R226" s="81"/>
      <c r="T226" t="s">
        <v>360</v>
      </c>
      <c r="U226" t="s">
        <v>691</v>
      </c>
    </row>
    <row r="227" spans="1:21" x14ac:dyDescent="0.3">
      <c r="A227" t="s">
        <v>397</v>
      </c>
      <c r="B227">
        <v>2025</v>
      </c>
      <c r="C227" t="s">
        <v>450</v>
      </c>
      <c r="D227" t="s">
        <v>429</v>
      </c>
      <c r="E227" t="s">
        <v>148</v>
      </c>
      <c r="F227" t="s">
        <v>451</v>
      </c>
      <c r="G227" s="85">
        <v>17.899999999999999</v>
      </c>
      <c r="H227" s="86">
        <v>17.89</v>
      </c>
      <c r="I227" s="86">
        <v>0.14000000000000001</v>
      </c>
      <c r="J227" s="87">
        <v>0.1</v>
      </c>
      <c r="K227" s="85">
        <v>17.399999999999999</v>
      </c>
      <c r="L227" s="85">
        <v>18.399999999999999</v>
      </c>
      <c r="M227" t="s">
        <v>436</v>
      </c>
      <c r="N227" t="s">
        <v>464</v>
      </c>
      <c r="O227" t="s">
        <v>437</v>
      </c>
      <c r="P227" s="85">
        <v>5.5897149245377364E-2</v>
      </c>
      <c r="Q227" s="85">
        <v>5.5897149245377364E-2</v>
      </c>
      <c r="R227" s="81"/>
      <c r="T227" t="s">
        <v>360</v>
      </c>
      <c r="U227" t="s">
        <v>692</v>
      </c>
    </row>
    <row r="228" spans="1:21" x14ac:dyDescent="0.3">
      <c r="A228" t="s">
        <v>397</v>
      </c>
      <c r="B228">
        <v>2025</v>
      </c>
      <c r="C228" t="s">
        <v>450</v>
      </c>
      <c r="D228" t="s">
        <v>429</v>
      </c>
      <c r="E228" t="s">
        <v>148</v>
      </c>
      <c r="F228" t="s">
        <v>452</v>
      </c>
      <c r="G228" s="85">
        <v>17.8</v>
      </c>
      <c r="H228" s="86">
        <v>17.68</v>
      </c>
      <c r="I228" s="86">
        <v>0.13</v>
      </c>
      <c r="J228" s="87">
        <v>0.9</v>
      </c>
      <c r="K228" s="85">
        <v>17.2</v>
      </c>
      <c r="L228" s="85">
        <v>18.100000000000001</v>
      </c>
      <c r="M228" t="s">
        <v>436</v>
      </c>
      <c r="N228" t="s">
        <v>464</v>
      </c>
      <c r="O228" t="s">
        <v>437</v>
      </c>
      <c r="P228" s="85">
        <v>0.67873303167421384</v>
      </c>
      <c r="Q228" s="85">
        <v>0.67873303167421384</v>
      </c>
      <c r="R228" s="81"/>
      <c r="T228" t="s">
        <v>360</v>
      </c>
      <c r="U228" t="s">
        <v>693</v>
      </c>
    </row>
    <row r="229" spans="1:21" x14ac:dyDescent="0.3">
      <c r="A229" t="s">
        <v>397</v>
      </c>
      <c r="B229">
        <v>2025</v>
      </c>
      <c r="C229" t="s">
        <v>450</v>
      </c>
      <c r="D229" t="s">
        <v>429</v>
      </c>
      <c r="E229" t="s">
        <v>148</v>
      </c>
      <c r="F229" t="s">
        <v>453</v>
      </c>
      <c r="G229" s="85">
        <v>15.4</v>
      </c>
      <c r="H229" s="86">
        <v>15.41</v>
      </c>
      <c r="I229" s="86">
        <v>0.18</v>
      </c>
      <c r="J229" s="87">
        <v>0</v>
      </c>
      <c r="K229" s="85">
        <v>14.8</v>
      </c>
      <c r="L229" s="85">
        <v>16</v>
      </c>
      <c r="M229" t="s">
        <v>436</v>
      </c>
      <c r="N229" t="s">
        <v>464</v>
      </c>
      <c r="O229" t="s">
        <v>437</v>
      </c>
      <c r="P229" s="85">
        <v>-6.4892926670991474E-2</v>
      </c>
      <c r="Q229" s="85">
        <v>6.4892926670991474E-2</v>
      </c>
      <c r="R229" s="81"/>
      <c r="T229" t="s">
        <v>360</v>
      </c>
      <c r="U229" t="s">
        <v>694</v>
      </c>
    </row>
    <row r="230" spans="1:21" x14ac:dyDescent="0.3">
      <c r="A230" t="s">
        <v>397</v>
      </c>
      <c r="B230">
        <v>2025</v>
      </c>
      <c r="C230" t="s">
        <v>450</v>
      </c>
      <c r="D230" t="s">
        <v>429</v>
      </c>
      <c r="E230" t="s">
        <v>148</v>
      </c>
      <c r="F230" t="s">
        <v>454</v>
      </c>
      <c r="G230" s="85">
        <v>15.3</v>
      </c>
      <c r="H230" s="86">
        <v>15.23</v>
      </c>
      <c r="I230" s="86">
        <v>0.13</v>
      </c>
      <c r="J230" s="87">
        <v>0.5</v>
      </c>
      <c r="K230" s="85">
        <v>14.8</v>
      </c>
      <c r="L230" s="85">
        <v>15.7</v>
      </c>
      <c r="M230" t="s">
        <v>436</v>
      </c>
      <c r="N230" t="s">
        <v>464</v>
      </c>
      <c r="O230" t="s">
        <v>437</v>
      </c>
      <c r="P230" s="85">
        <v>0.45961917268549102</v>
      </c>
      <c r="Q230" s="85">
        <v>0.45961917268549102</v>
      </c>
      <c r="R230" s="81"/>
      <c r="T230" t="s">
        <v>360</v>
      </c>
      <c r="U230" t="s">
        <v>695</v>
      </c>
    </row>
    <row r="231" spans="1:21" x14ac:dyDescent="0.3">
      <c r="A231" t="s">
        <v>397</v>
      </c>
      <c r="B231">
        <v>2025</v>
      </c>
      <c r="C231" t="s">
        <v>450</v>
      </c>
      <c r="D231" t="s">
        <v>429</v>
      </c>
      <c r="E231" t="s">
        <v>148</v>
      </c>
      <c r="F231" t="s">
        <v>455</v>
      </c>
      <c r="G231" s="85">
        <v>15.1</v>
      </c>
      <c r="H231" s="86">
        <v>15</v>
      </c>
      <c r="I231" s="86">
        <v>0.12</v>
      </c>
      <c r="J231" s="87">
        <v>0.9</v>
      </c>
      <c r="K231" s="85">
        <v>14.6</v>
      </c>
      <c r="L231" s="85">
        <v>15.4</v>
      </c>
      <c r="M231" t="s">
        <v>436</v>
      </c>
      <c r="N231" t="s">
        <v>464</v>
      </c>
      <c r="O231" t="s">
        <v>437</v>
      </c>
      <c r="P231" s="85">
        <v>0.6666666666666643</v>
      </c>
      <c r="Q231" s="85">
        <v>0.6666666666666643</v>
      </c>
      <c r="R231" s="81"/>
      <c r="T231" t="s">
        <v>360</v>
      </c>
      <c r="U231" t="s">
        <v>696</v>
      </c>
    </row>
    <row r="232" spans="1:21" x14ac:dyDescent="0.3">
      <c r="A232" t="s">
        <v>397</v>
      </c>
      <c r="B232">
        <v>2025</v>
      </c>
      <c r="C232" t="s">
        <v>450</v>
      </c>
      <c r="D232" t="s">
        <v>430</v>
      </c>
      <c r="E232" t="s">
        <v>125</v>
      </c>
      <c r="F232" t="s">
        <v>451</v>
      </c>
      <c r="G232" s="85">
        <v>2.42</v>
      </c>
      <c r="H232" s="86">
        <v>2.4060000000000001</v>
      </c>
      <c r="I232" s="86">
        <v>2.9000000000000001E-2</v>
      </c>
      <c r="J232" s="87">
        <v>0.5</v>
      </c>
      <c r="K232" s="85">
        <v>2.2999999999999998</v>
      </c>
      <c r="L232" s="85">
        <v>2.5099999999999998</v>
      </c>
      <c r="M232" t="s">
        <v>436</v>
      </c>
      <c r="N232" t="s">
        <v>464</v>
      </c>
      <c r="O232" t="s">
        <v>448</v>
      </c>
      <c r="P232" s="85">
        <v>0.58187863674147089</v>
      </c>
      <c r="Q232" s="85">
        <v>0.58187863674147089</v>
      </c>
      <c r="R232" s="81"/>
      <c r="T232" t="s">
        <v>360</v>
      </c>
      <c r="U232" t="s">
        <v>697</v>
      </c>
    </row>
    <row r="233" spans="1:21" x14ac:dyDescent="0.3">
      <c r="A233" t="s">
        <v>397</v>
      </c>
      <c r="B233">
        <v>2025</v>
      </c>
      <c r="C233" t="s">
        <v>450</v>
      </c>
      <c r="D233" t="s">
        <v>430</v>
      </c>
      <c r="E233" t="s">
        <v>125</v>
      </c>
      <c r="F233" t="s">
        <v>452</v>
      </c>
      <c r="G233" s="85">
        <v>2.27</v>
      </c>
      <c r="H233" s="86">
        <v>2.2469999999999999</v>
      </c>
      <c r="I233" s="86">
        <v>2.9000000000000001E-2</v>
      </c>
      <c r="J233" s="87">
        <v>0.8</v>
      </c>
      <c r="K233" s="85">
        <v>2.15</v>
      </c>
      <c r="L233" s="85">
        <v>2.34</v>
      </c>
      <c r="M233" t="s">
        <v>436</v>
      </c>
      <c r="N233" t="s">
        <v>464</v>
      </c>
      <c r="O233" t="s">
        <v>448</v>
      </c>
      <c r="P233" s="85">
        <v>1.0235870048954221</v>
      </c>
      <c r="Q233" s="85">
        <v>1.0235870048954221</v>
      </c>
      <c r="R233" s="81"/>
      <c r="T233" t="s">
        <v>360</v>
      </c>
      <c r="U233" t="s">
        <v>698</v>
      </c>
    </row>
    <row r="234" spans="1:21" x14ac:dyDescent="0.3">
      <c r="A234" t="s">
        <v>397</v>
      </c>
      <c r="B234">
        <v>2025</v>
      </c>
      <c r="C234" t="s">
        <v>450</v>
      </c>
      <c r="D234" t="s">
        <v>430</v>
      </c>
      <c r="E234" t="s">
        <v>125</v>
      </c>
      <c r="F234" t="s">
        <v>453</v>
      </c>
      <c r="G234" s="85">
        <v>5.35</v>
      </c>
      <c r="H234" s="86">
        <v>5.2439999999999998</v>
      </c>
      <c r="I234" s="86">
        <v>5.2999999999999999E-2</v>
      </c>
      <c r="J234" s="87">
        <v>2</v>
      </c>
      <c r="K234" s="85">
        <v>5.03</v>
      </c>
      <c r="L234" s="85">
        <v>5.46</v>
      </c>
      <c r="M234" t="s">
        <v>436</v>
      </c>
      <c r="N234" t="s">
        <v>464</v>
      </c>
      <c r="O234" t="s">
        <v>448</v>
      </c>
      <c r="P234" s="85">
        <v>2.0213577421815385</v>
      </c>
      <c r="Q234" s="85">
        <v>2.0213577421815385</v>
      </c>
      <c r="R234" s="81"/>
      <c r="T234" t="s">
        <v>360</v>
      </c>
      <c r="U234" t="s">
        <v>699</v>
      </c>
    </row>
    <row r="235" spans="1:21" x14ac:dyDescent="0.3">
      <c r="A235" t="s">
        <v>397</v>
      </c>
      <c r="B235">
        <v>2025</v>
      </c>
      <c r="C235" t="s">
        <v>450</v>
      </c>
      <c r="D235" t="s">
        <v>430</v>
      </c>
      <c r="E235" t="s">
        <v>125</v>
      </c>
      <c r="F235" t="s">
        <v>454</v>
      </c>
      <c r="G235" s="85">
        <v>4.41</v>
      </c>
      <c r="H235" s="86">
        <v>4.3330000000000002</v>
      </c>
      <c r="I235" s="86">
        <v>4.2999999999999997E-2</v>
      </c>
      <c r="J235" s="87">
        <v>1.8</v>
      </c>
      <c r="K235" s="85">
        <v>4.1500000000000004</v>
      </c>
      <c r="L235" s="85">
        <v>4.51</v>
      </c>
      <c r="M235" t="s">
        <v>436</v>
      </c>
      <c r="N235" t="s">
        <v>464</v>
      </c>
      <c r="O235" t="s">
        <v>448</v>
      </c>
      <c r="P235" s="85">
        <v>1.7770597738287552</v>
      </c>
      <c r="Q235" s="85">
        <v>1.7770597738287552</v>
      </c>
      <c r="R235" s="81"/>
      <c r="T235" t="s">
        <v>360</v>
      </c>
      <c r="U235" t="s">
        <v>700</v>
      </c>
    </row>
    <row r="236" spans="1:21" x14ac:dyDescent="0.3">
      <c r="A236" t="s">
        <v>397</v>
      </c>
      <c r="B236">
        <v>2025</v>
      </c>
      <c r="C236" t="s">
        <v>450</v>
      </c>
      <c r="D236" t="s">
        <v>430</v>
      </c>
      <c r="E236" t="s">
        <v>125</v>
      </c>
      <c r="F236" t="s">
        <v>455</v>
      </c>
      <c r="G236" s="85">
        <v>5.29</v>
      </c>
      <c r="H236" s="86">
        <v>5.1859999999999999</v>
      </c>
      <c r="I236" s="86">
        <v>0.05</v>
      </c>
      <c r="J236" s="87">
        <v>2.1</v>
      </c>
      <c r="K236" s="85">
        <v>4.97</v>
      </c>
      <c r="L236" s="85">
        <v>5.4</v>
      </c>
      <c r="M236" t="s">
        <v>436</v>
      </c>
      <c r="N236" t="s">
        <v>464</v>
      </c>
      <c r="O236" t="s">
        <v>448</v>
      </c>
      <c r="P236" s="85">
        <v>2.0053991515618992</v>
      </c>
      <c r="Q236" s="85">
        <v>2.0053991515618992</v>
      </c>
      <c r="R236" s="81"/>
      <c r="T236" t="s">
        <v>360</v>
      </c>
      <c r="U236" t="s">
        <v>701</v>
      </c>
    </row>
    <row r="237" spans="1:21" x14ac:dyDescent="0.3">
      <c r="A237" t="s">
        <v>397</v>
      </c>
      <c r="B237">
        <v>2025</v>
      </c>
      <c r="C237" t="s">
        <v>450</v>
      </c>
      <c r="D237" t="s">
        <v>431</v>
      </c>
      <c r="E237" t="s">
        <v>122</v>
      </c>
      <c r="F237" t="s">
        <v>451</v>
      </c>
      <c r="G237" s="85">
        <v>7.4</v>
      </c>
      <c r="H237" s="86">
        <v>7.66</v>
      </c>
      <c r="I237" s="86">
        <v>0.14000000000000001</v>
      </c>
      <c r="J237" s="87">
        <v>-1.8</v>
      </c>
      <c r="K237" s="85">
        <v>6.8</v>
      </c>
      <c r="L237" s="85">
        <v>8.5</v>
      </c>
      <c r="M237" t="s">
        <v>436</v>
      </c>
      <c r="N237" t="s">
        <v>464</v>
      </c>
      <c r="O237" t="s">
        <v>442</v>
      </c>
      <c r="P237" s="85">
        <v>-3.3942558746736262</v>
      </c>
      <c r="Q237" s="85">
        <v>3.3942558746736262</v>
      </c>
      <c r="R237" s="81"/>
      <c r="T237" t="s">
        <v>360</v>
      </c>
      <c r="U237" t="s">
        <v>702</v>
      </c>
    </row>
    <row r="238" spans="1:21" x14ac:dyDescent="0.3">
      <c r="A238" t="s">
        <v>397</v>
      </c>
      <c r="B238">
        <v>2025</v>
      </c>
      <c r="C238" t="s">
        <v>450</v>
      </c>
      <c r="D238" t="s">
        <v>431</v>
      </c>
      <c r="E238" t="s">
        <v>122</v>
      </c>
      <c r="F238" t="s">
        <v>452</v>
      </c>
      <c r="G238" s="85">
        <v>2.7</v>
      </c>
      <c r="H238" s="86">
        <v>2.83</v>
      </c>
      <c r="I238" s="86">
        <v>7.0000000000000007E-2</v>
      </c>
      <c r="J238" s="87">
        <v>-1.8</v>
      </c>
      <c r="K238" s="85">
        <v>2.5</v>
      </c>
      <c r="L238" s="85">
        <v>3.2</v>
      </c>
      <c r="M238" t="s">
        <v>436</v>
      </c>
      <c r="N238" t="s">
        <v>464</v>
      </c>
      <c r="O238" t="s">
        <v>442</v>
      </c>
      <c r="P238" s="85">
        <v>-4.5936395759717277</v>
      </c>
      <c r="Q238" s="85">
        <v>4.5936395759717277</v>
      </c>
      <c r="R238" s="81"/>
      <c r="T238" t="s">
        <v>360</v>
      </c>
      <c r="U238" t="s">
        <v>703</v>
      </c>
    </row>
    <row r="239" spans="1:21" x14ac:dyDescent="0.3">
      <c r="A239" t="s">
        <v>397</v>
      </c>
      <c r="B239">
        <v>2025</v>
      </c>
      <c r="C239" t="s">
        <v>450</v>
      </c>
      <c r="D239" t="s">
        <v>431</v>
      </c>
      <c r="E239" t="s">
        <v>122</v>
      </c>
      <c r="F239" t="s">
        <v>453</v>
      </c>
      <c r="G239" s="85">
        <v>16.8</v>
      </c>
      <c r="H239" s="86">
        <v>16.850000000000001</v>
      </c>
      <c r="I239" s="86">
        <v>0.26</v>
      </c>
      <c r="J239" s="87">
        <v>-0.2</v>
      </c>
      <c r="K239" s="85">
        <v>15.1</v>
      </c>
      <c r="L239" s="85">
        <v>18.600000000000001</v>
      </c>
      <c r="M239" t="s">
        <v>436</v>
      </c>
      <c r="N239" t="s">
        <v>464</v>
      </c>
      <c r="O239" t="s">
        <v>442</v>
      </c>
      <c r="P239" s="85">
        <v>-0.29673590504451458</v>
      </c>
      <c r="Q239" s="85">
        <v>0.29673590504451458</v>
      </c>
      <c r="R239" s="81"/>
      <c r="T239" t="s">
        <v>360</v>
      </c>
      <c r="U239" t="s">
        <v>704</v>
      </c>
    </row>
    <row r="240" spans="1:21" x14ac:dyDescent="0.3">
      <c r="A240" t="s">
        <v>397</v>
      </c>
      <c r="B240">
        <v>2025</v>
      </c>
      <c r="C240" t="s">
        <v>450</v>
      </c>
      <c r="D240" t="s">
        <v>431</v>
      </c>
      <c r="E240" t="s">
        <v>122</v>
      </c>
      <c r="F240" t="s">
        <v>454</v>
      </c>
      <c r="G240" s="85">
        <v>6.8</v>
      </c>
      <c r="H240" s="86">
        <v>6.84</v>
      </c>
      <c r="I240" s="86">
        <v>0.13</v>
      </c>
      <c r="J240" s="87">
        <v>-0.3</v>
      </c>
      <c r="K240" s="85">
        <v>6.1</v>
      </c>
      <c r="L240" s="85">
        <v>7.6</v>
      </c>
      <c r="M240" t="s">
        <v>436</v>
      </c>
      <c r="N240" t="s">
        <v>464</v>
      </c>
      <c r="O240" t="s">
        <v>442</v>
      </c>
      <c r="P240" s="85">
        <v>-0.58479532163742742</v>
      </c>
      <c r="Q240" s="85">
        <v>0.58479532163742742</v>
      </c>
      <c r="R240" s="81"/>
      <c r="T240" t="s">
        <v>360</v>
      </c>
      <c r="U240" t="s">
        <v>705</v>
      </c>
    </row>
    <row r="241" spans="1:21" x14ac:dyDescent="0.3">
      <c r="A241" t="s">
        <v>397</v>
      </c>
      <c r="B241">
        <v>2025</v>
      </c>
      <c r="C241" t="s">
        <v>450</v>
      </c>
      <c r="D241" t="s">
        <v>431</v>
      </c>
      <c r="E241" t="s">
        <v>122</v>
      </c>
      <c r="F241" t="s">
        <v>455</v>
      </c>
      <c r="G241" s="85">
        <v>2.8</v>
      </c>
      <c r="H241" s="86">
        <v>2.83</v>
      </c>
      <c r="I241" s="86">
        <v>7.0000000000000007E-2</v>
      </c>
      <c r="J241" s="87">
        <v>-0.5</v>
      </c>
      <c r="K241" s="85">
        <v>2.5</v>
      </c>
      <c r="L241" s="85">
        <v>3.2</v>
      </c>
      <c r="M241" t="s">
        <v>436</v>
      </c>
      <c r="N241" t="s">
        <v>464</v>
      </c>
      <c r="O241" t="s">
        <v>442</v>
      </c>
      <c r="P241" s="85">
        <v>-1.0600706713781005</v>
      </c>
      <c r="Q241" s="85">
        <v>1.0600706713781005</v>
      </c>
      <c r="R241" s="81"/>
      <c r="T241" t="s">
        <v>360</v>
      </c>
      <c r="U241" t="s">
        <v>706</v>
      </c>
    </row>
    <row r="242" spans="1:21" x14ac:dyDescent="0.3">
      <c r="A242" t="s">
        <v>397</v>
      </c>
      <c r="B242">
        <v>2025</v>
      </c>
      <c r="C242" t="s">
        <v>450</v>
      </c>
      <c r="D242" t="s">
        <v>432</v>
      </c>
      <c r="E242" t="s">
        <v>146</v>
      </c>
      <c r="F242" t="s">
        <v>451</v>
      </c>
      <c r="G242" s="85">
        <v>0</v>
      </c>
      <c r="H242" s="86">
        <v>4.0000000000000001E-3</v>
      </c>
      <c r="I242" s="86">
        <v>5.0000000000000001E-3</v>
      </c>
      <c r="J242" s="87">
        <v>-0.8</v>
      </c>
      <c r="K242" s="85"/>
      <c r="L242" s="85"/>
      <c r="M242" t="s">
        <v>444</v>
      </c>
      <c r="N242" t="s">
        <v>495</v>
      </c>
      <c r="O242" t="s">
        <v>442</v>
      </c>
      <c r="P242" s="85">
        <v>-100</v>
      </c>
      <c r="Q242" s="85">
        <v>100</v>
      </c>
      <c r="R242" s="81"/>
      <c r="T242" t="s">
        <v>360</v>
      </c>
      <c r="U242" t="s">
        <v>707</v>
      </c>
    </row>
    <row r="243" spans="1:21" x14ac:dyDescent="0.3">
      <c r="A243" t="s">
        <v>397</v>
      </c>
      <c r="B243">
        <v>2025</v>
      </c>
      <c r="C243" t="s">
        <v>450</v>
      </c>
      <c r="D243" t="s">
        <v>432</v>
      </c>
      <c r="E243" t="s">
        <v>146</v>
      </c>
      <c r="F243" t="s">
        <v>452</v>
      </c>
      <c r="G243" s="85">
        <v>0.13</v>
      </c>
      <c r="H243" s="86">
        <v>0.14000000000000001</v>
      </c>
      <c r="I243" s="86">
        <v>1.4E-2</v>
      </c>
      <c r="J243" s="87">
        <v>-0.7</v>
      </c>
      <c r="K243" s="85"/>
      <c r="L243" s="85"/>
      <c r="M243" t="s">
        <v>444</v>
      </c>
      <c r="N243" t="s">
        <v>495</v>
      </c>
      <c r="O243" t="s">
        <v>442</v>
      </c>
      <c r="P243" s="85">
        <v>-7.1428571428571477</v>
      </c>
      <c r="Q243" s="85">
        <v>7.1428571428571477</v>
      </c>
      <c r="R243" s="81"/>
      <c r="T243" t="s">
        <v>360</v>
      </c>
      <c r="U243" t="s">
        <v>708</v>
      </c>
    </row>
    <row r="244" spans="1:21" x14ac:dyDescent="0.3">
      <c r="A244" t="s">
        <v>397</v>
      </c>
      <c r="B244">
        <v>2025</v>
      </c>
      <c r="C244" t="s">
        <v>450</v>
      </c>
      <c r="D244" t="s">
        <v>432</v>
      </c>
      <c r="E244" t="s">
        <v>146</v>
      </c>
      <c r="F244" t="s">
        <v>453</v>
      </c>
      <c r="G244" s="85">
        <v>1.07</v>
      </c>
      <c r="H244" s="86">
        <v>1.0669999999999999</v>
      </c>
      <c r="I244" s="86">
        <v>3.7999999999999999E-2</v>
      </c>
      <c r="J244" s="87">
        <v>0.1</v>
      </c>
      <c r="K244" s="85"/>
      <c r="L244" s="85"/>
      <c r="M244" t="s">
        <v>444</v>
      </c>
      <c r="N244" t="s">
        <v>495</v>
      </c>
      <c r="O244" t="s">
        <v>442</v>
      </c>
      <c r="P244" s="85">
        <v>0.28116213683225061</v>
      </c>
      <c r="Q244" s="85">
        <v>0.28116213683225061</v>
      </c>
      <c r="R244" s="81"/>
      <c r="T244" t="s">
        <v>360</v>
      </c>
      <c r="U244" t="s">
        <v>709</v>
      </c>
    </row>
    <row r="245" spans="1:21" x14ac:dyDescent="0.3">
      <c r="A245" t="s">
        <v>397</v>
      </c>
      <c r="B245">
        <v>2025</v>
      </c>
      <c r="C245" t="s">
        <v>450</v>
      </c>
      <c r="D245" t="s">
        <v>432</v>
      </c>
      <c r="E245" t="s">
        <v>146</v>
      </c>
      <c r="F245" t="s">
        <v>454</v>
      </c>
      <c r="G245" s="85">
        <v>0.36</v>
      </c>
      <c r="H245" s="86">
        <v>0.377</v>
      </c>
      <c r="I245" s="86">
        <v>2.1999999999999999E-2</v>
      </c>
      <c r="J245" s="87">
        <v>-0.8</v>
      </c>
      <c r="K245" s="85"/>
      <c r="L245" s="85"/>
      <c r="M245" t="s">
        <v>444</v>
      </c>
      <c r="N245" t="s">
        <v>495</v>
      </c>
      <c r="O245" t="s">
        <v>442</v>
      </c>
      <c r="P245" s="85">
        <v>-4.5092838196286511</v>
      </c>
      <c r="Q245" s="85">
        <v>4.5092838196286511</v>
      </c>
      <c r="R245" s="81"/>
      <c r="T245" t="s">
        <v>360</v>
      </c>
      <c r="U245" t="s">
        <v>710</v>
      </c>
    </row>
    <row r="246" spans="1:21" x14ac:dyDescent="0.3">
      <c r="A246" t="s">
        <v>397</v>
      </c>
      <c r="B246">
        <v>2025</v>
      </c>
      <c r="C246" t="s">
        <v>450</v>
      </c>
      <c r="D246" t="s">
        <v>432</v>
      </c>
      <c r="E246" t="s">
        <v>146</v>
      </c>
      <c r="F246" t="s">
        <v>455</v>
      </c>
      <c r="G246" s="85">
        <v>0</v>
      </c>
      <c r="H246" s="86">
        <v>2E-3</v>
      </c>
      <c r="I246" s="86">
        <v>4.0000000000000001E-3</v>
      </c>
      <c r="J246" s="87">
        <v>-0.5</v>
      </c>
      <c r="K246" s="85"/>
      <c r="L246" s="85"/>
      <c r="M246" t="s">
        <v>444</v>
      </c>
      <c r="N246" t="s">
        <v>495</v>
      </c>
      <c r="O246" t="s">
        <v>442</v>
      </c>
      <c r="P246" s="85">
        <v>-100</v>
      </c>
      <c r="Q246" s="85">
        <v>100</v>
      </c>
      <c r="R246" s="81"/>
      <c r="T246" t="s">
        <v>360</v>
      </c>
      <c r="U246" t="s">
        <v>711</v>
      </c>
    </row>
    <row r="247" spans="1:21" x14ac:dyDescent="0.3">
      <c r="A247" t="s">
        <v>397</v>
      </c>
      <c r="B247">
        <v>2025</v>
      </c>
      <c r="C247" t="s">
        <v>450</v>
      </c>
      <c r="D247" t="s">
        <v>433</v>
      </c>
      <c r="E247" t="s">
        <v>145</v>
      </c>
      <c r="F247" t="s">
        <v>451</v>
      </c>
      <c r="G247" s="85">
        <v>0</v>
      </c>
      <c r="H247" s="86">
        <v>0.03</v>
      </c>
      <c r="I247" s="86">
        <v>0.05</v>
      </c>
      <c r="J247" s="87">
        <v>-0.6</v>
      </c>
      <c r="K247" s="85"/>
      <c r="L247" s="85"/>
      <c r="M247" t="s">
        <v>444</v>
      </c>
      <c r="N247" t="s">
        <v>495</v>
      </c>
      <c r="O247" t="s">
        <v>449</v>
      </c>
      <c r="P247" s="85">
        <v>-100</v>
      </c>
      <c r="Q247" s="85">
        <v>100</v>
      </c>
      <c r="R247" s="81"/>
      <c r="T247" t="s">
        <v>360</v>
      </c>
      <c r="U247" t="s">
        <v>712</v>
      </c>
    </row>
    <row r="248" spans="1:21" x14ac:dyDescent="0.3">
      <c r="A248" t="s">
        <v>397</v>
      </c>
      <c r="B248">
        <v>2025</v>
      </c>
      <c r="C248" t="s">
        <v>450</v>
      </c>
      <c r="D248" t="s">
        <v>433</v>
      </c>
      <c r="E248" t="s">
        <v>145</v>
      </c>
      <c r="F248" t="s">
        <v>452</v>
      </c>
      <c r="G248" s="85">
        <v>4.8</v>
      </c>
      <c r="H248" s="86">
        <v>4.95</v>
      </c>
      <c r="I248" s="86">
        <v>0.49</v>
      </c>
      <c r="J248" s="87">
        <v>-0.3</v>
      </c>
      <c r="K248" s="85"/>
      <c r="L248" s="85"/>
      <c r="M248" t="s">
        <v>444</v>
      </c>
      <c r="N248" t="s">
        <v>495</v>
      </c>
      <c r="O248" t="s">
        <v>449</v>
      </c>
      <c r="P248" s="85">
        <v>-3.0303030303030374</v>
      </c>
      <c r="Q248" s="85">
        <v>3.0303030303030374</v>
      </c>
      <c r="R248" s="81"/>
      <c r="T248" t="s">
        <v>360</v>
      </c>
      <c r="U248" t="s">
        <v>713</v>
      </c>
    </row>
    <row r="249" spans="1:21" x14ac:dyDescent="0.3">
      <c r="A249" t="s">
        <v>397</v>
      </c>
      <c r="B249">
        <v>2025</v>
      </c>
      <c r="C249" t="s">
        <v>450</v>
      </c>
      <c r="D249" t="s">
        <v>433</v>
      </c>
      <c r="E249" t="s">
        <v>145</v>
      </c>
      <c r="F249" t="s">
        <v>453</v>
      </c>
      <c r="G249" s="85">
        <v>6.4</v>
      </c>
      <c r="H249" s="86">
        <v>6.33</v>
      </c>
      <c r="I249" s="86">
        <v>0.21</v>
      </c>
      <c r="J249" s="87">
        <v>0.3</v>
      </c>
      <c r="K249" s="85"/>
      <c r="L249" s="85"/>
      <c r="M249" t="s">
        <v>444</v>
      </c>
      <c r="N249" t="s">
        <v>495</v>
      </c>
      <c r="O249" t="s">
        <v>449</v>
      </c>
      <c r="P249" s="85">
        <v>1.10584518167457</v>
      </c>
      <c r="Q249" s="85">
        <v>1.10584518167457</v>
      </c>
      <c r="R249" s="81"/>
      <c r="T249" t="s">
        <v>360</v>
      </c>
      <c r="U249" t="s">
        <v>714</v>
      </c>
    </row>
    <row r="250" spans="1:21" x14ac:dyDescent="0.3">
      <c r="A250" t="s">
        <v>397</v>
      </c>
      <c r="B250">
        <v>2025</v>
      </c>
      <c r="C250" t="s">
        <v>450</v>
      </c>
      <c r="D250" t="s">
        <v>433</v>
      </c>
      <c r="E250" t="s">
        <v>145</v>
      </c>
      <c r="F250" t="s">
        <v>454</v>
      </c>
      <c r="G250" s="85">
        <v>5.3</v>
      </c>
      <c r="H250" s="86">
        <v>5.51</v>
      </c>
      <c r="I250" s="86">
        <v>0.32</v>
      </c>
      <c r="J250" s="87">
        <v>-0.7</v>
      </c>
      <c r="K250" s="85"/>
      <c r="L250" s="85"/>
      <c r="M250" t="s">
        <v>444</v>
      </c>
      <c r="N250" t="s">
        <v>495</v>
      </c>
      <c r="O250" t="s">
        <v>449</v>
      </c>
      <c r="P250" s="85">
        <v>-3.8112522686025407</v>
      </c>
      <c r="Q250" s="85">
        <v>3.8112522686025407</v>
      </c>
      <c r="R250" s="81"/>
      <c r="T250" t="s">
        <v>360</v>
      </c>
      <c r="U250" t="s">
        <v>715</v>
      </c>
    </row>
    <row r="251" spans="1:21" x14ac:dyDescent="0.3">
      <c r="A251" t="s">
        <v>397</v>
      </c>
      <c r="B251">
        <v>2025</v>
      </c>
      <c r="C251" t="s">
        <v>450</v>
      </c>
      <c r="D251" t="s">
        <v>433</v>
      </c>
      <c r="E251" t="s">
        <v>145</v>
      </c>
      <c r="F251" t="s">
        <v>455</v>
      </c>
      <c r="G251" s="85">
        <v>0</v>
      </c>
      <c r="H251" s="86">
        <v>7.0000000000000007E-2</v>
      </c>
      <c r="I251" s="86">
        <v>0.15</v>
      </c>
      <c r="J251" s="87">
        <v>-0.5</v>
      </c>
      <c r="K251" s="85"/>
      <c r="L251" s="85"/>
      <c r="M251" t="s">
        <v>444</v>
      </c>
      <c r="N251" t="s">
        <v>495</v>
      </c>
      <c r="O251" t="s">
        <v>449</v>
      </c>
      <c r="P251" s="85">
        <v>-100</v>
      </c>
      <c r="Q251" s="85">
        <v>100</v>
      </c>
      <c r="R251" s="81"/>
      <c r="T251" t="s">
        <v>360</v>
      </c>
      <c r="U251" t="s">
        <v>716</v>
      </c>
    </row>
    <row r="252" spans="1:21" x14ac:dyDescent="0.3">
      <c r="A252" t="s">
        <v>397</v>
      </c>
      <c r="B252">
        <v>2025</v>
      </c>
      <c r="C252" t="s">
        <v>456</v>
      </c>
      <c r="D252" t="s">
        <v>413</v>
      </c>
      <c r="E252" t="s">
        <v>137</v>
      </c>
      <c r="F252" t="s">
        <v>457</v>
      </c>
      <c r="G252" s="85">
        <v>4.5999999999999996</v>
      </c>
      <c r="H252" s="86">
        <v>4.8</v>
      </c>
      <c r="I252" s="86">
        <v>0.17</v>
      </c>
      <c r="J252" s="87">
        <v>-1.1000000000000001</v>
      </c>
      <c r="K252" s="85">
        <v>4.2</v>
      </c>
      <c r="L252" s="85">
        <v>5.4</v>
      </c>
      <c r="M252" t="s">
        <v>436</v>
      </c>
      <c r="N252" t="s">
        <v>464</v>
      </c>
      <c r="O252" t="s">
        <v>437</v>
      </c>
      <c r="P252" s="85">
        <v>-4.1666666666666705</v>
      </c>
      <c r="Q252" s="85">
        <v>4.1666666666666705</v>
      </c>
      <c r="R252" s="81"/>
      <c r="T252" t="s">
        <v>360</v>
      </c>
      <c r="U252" t="s">
        <v>717</v>
      </c>
    </row>
    <row r="253" spans="1:21" x14ac:dyDescent="0.3">
      <c r="A253" t="s">
        <v>397</v>
      </c>
      <c r="B253">
        <v>2025</v>
      </c>
      <c r="C253" t="s">
        <v>456</v>
      </c>
      <c r="D253" t="s">
        <v>413</v>
      </c>
      <c r="E253" t="s">
        <v>137</v>
      </c>
      <c r="F253" t="s">
        <v>458</v>
      </c>
      <c r="G253" s="85">
        <v>5</v>
      </c>
      <c r="H253" s="86">
        <v>4.8099999999999996</v>
      </c>
      <c r="I253" s="86">
        <v>0.13</v>
      </c>
      <c r="J253" s="87">
        <v>1.5</v>
      </c>
      <c r="K253" s="85">
        <v>4.4000000000000004</v>
      </c>
      <c r="L253" s="85">
        <v>5.2</v>
      </c>
      <c r="M253" t="s">
        <v>436</v>
      </c>
      <c r="N253" t="s">
        <v>464</v>
      </c>
      <c r="O253" t="s">
        <v>437</v>
      </c>
      <c r="P253" s="85">
        <v>3.9501039501039585</v>
      </c>
      <c r="Q253" s="85">
        <v>3.9501039501039585</v>
      </c>
      <c r="R253" s="81"/>
      <c r="T253" t="s">
        <v>360</v>
      </c>
      <c r="U253" t="s">
        <v>718</v>
      </c>
    </row>
    <row r="254" spans="1:21" x14ac:dyDescent="0.3">
      <c r="A254" t="s">
        <v>397</v>
      </c>
      <c r="B254">
        <v>2025</v>
      </c>
      <c r="C254" t="s">
        <v>456</v>
      </c>
      <c r="D254" t="s">
        <v>413</v>
      </c>
      <c r="E254" t="s">
        <v>137</v>
      </c>
      <c r="F254" t="s">
        <v>459</v>
      </c>
      <c r="G254" s="85">
        <v>4.9000000000000004</v>
      </c>
      <c r="H254" s="86">
        <v>4.82</v>
      </c>
      <c r="I254" s="86">
        <v>0.12</v>
      </c>
      <c r="J254" s="87">
        <v>0.7</v>
      </c>
      <c r="K254" s="85">
        <v>4.4000000000000004</v>
      </c>
      <c r="L254" s="85">
        <v>5.2</v>
      </c>
      <c r="M254" t="s">
        <v>436</v>
      </c>
      <c r="N254" t="s">
        <v>464</v>
      </c>
      <c r="O254" t="s">
        <v>437</v>
      </c>
      <c r="P254" s="85">
        <v>1.6597510373443998</v>
      </c>
      <c r="Q254" s="85">
        <v>1.6597510373443998</v>
      </c>
      <c r="R254" s="81"/>
      <c r="T254" t="s">
        <v>360</v>
      </c>
      <c r="U254" t="s">
        <v>719</v>
      </c>
    </row>
    <row r="255" spans="1:21" x14ac:dyDescent="0.3">
      <c r="A255" t="s">
        <v>397</v>
      </c>
      <c r="B255">
        <v>2025</v>
      </c>
      <c r="C255" t="s">
        <v>456</v>
      </c>
      <c r="D255" t="s">
        <v>413</v>
      </c>
      <c r="E255" t="s">
        <v>137</v>
      </c>
      <c r="F255" t="s">
        <v>460</v>
      </c>
      <c r="G255" s="85">
        <v>4.9000000000000004</v>
      </c>
      <c r="H255" s="86">
        <v>4.8</v>
      </c>
      <c r="I255" s="86">
        <v>0.16</v>
      </c>
      <c r="J255" s="87">
        <v>0.6</v>
      </c>
      <c r="K255" s="85">
        <v>4.3</v>
      </c>
      <c r="L255" s="85">
        <v>5.3</v>
      </c>
      <c r="M255" t="s">
        <v>436</v>
      </c>
      <c r="N255" t="s">
        <v>464</v>
      </c>
      <c r="O255" t="s">
        <v>437</v>
      </c>
      <c r="P255" s="85">
        <v>2.0833333333333446</v>
      </c>
      <c r="Q255" s="85">
        <v>2.0833333333333446</v>
      </c>
      <c r="R255" s="81"/>
      <c r="T255" t="s">
        <v>360</v>
      </c>
      <c r="U255" t="s">
        <v>720</v>
      </c>
    </row>
    <row r="256" spans="1:21" x14ac:dyDescent="0.3">
      <c r="A256" t="s">
        <v>397</v>
      </c>
      <c r="B256">
        <v>2025</v>
      </c>
      <c r="C256" t="s">
        <v>456</v>
      </c>
      <c r="D256" t="s">
        <v>413</v>
      </c>
      <c r="E256" t="s">
        <v>137</v>
      </c>
      <c r="F256" t="s">
        <v>461</v>
      </c>
      <c r="G256" s="85">
        <v>4.7</v>
      </c>
      <c r="H256" s="86">
        <v>4.82</v>
      </c>
      <c r="I256" s="86">
        <v>0.12</v>
      </c>
      <c r="J256" s="87">
        <v>-1</v>
      </c>
      <c r="K256" s="85">
        <v>4.4000000000000004</v>
      </c>
      <c r="L256" s="85">
        <v>5.2</v>
      </c>
      <c r="M256" t="s">
        <v>436</v>
      </c>
      <c r="N256" t="s">
        <v>464</v>
      </c>
      <c r="O256" t="s">
        <v>437</v>
      </c>
      <c r="P256" s="85">
        <v>-2.4896265560165993</v>
      </c>
      <c r="Q256" s="85">
        <v>2.4896265560165993</v>
      </c>
      <c r="R256" s="81"/>
      <c r="T256" t="s">
        <v>360</v>
      </c>
      <c r="U256" t="s">
        <v>721</v>
      </c>
    </row>
    <row r="257" spans="1:21" x14ac:dyDescent="0.3">
      <c r="A257" t="s">
        <v>397</v>
      </c>
      <c r="B257">
        <v>2025</v>
      </c>
      <c r="C257" t="s">
        <v>456</v>
      </c>
      <c r="D257" t="s">
        <v>414</v>
      </c>
      <c r="E257" t="s">
        <v>142</v>
      </c>
      <c r="F257" t="s">
        <v>457</v>
      </c>
      <c r="G257" s="85">
        <v>0.13</v>
      </c>
      <c r="H257" s="86">
        <v>0.13400000000000001</v>
      </c>
      <c r="I257" s="86">
        <v>6.0000000000000001E-3</v>
      </c>
      <c r="J257" s="87">
        <v>-0.8</v>
      </c>
      <c r="K257" s="85">
        <v>0.11</v>
      </c>
      <c r="L257" s="85">
        <v>0.16</v>
      </c>
      <c r="M257" t="s">
        <v>436</v>
      </c>
      <c r="N257" t="s">
        <v>464</v>
      </c>
      <c r="O257" t="s">
        <v>442</v>
      </c>
      <c r="P257" s="85">
        <v>-2.985074626865674</v>
      </c>
      <c r="Q257" s="85">
        <v>2.985074626865674</v>
      </c>
      <c r="R257" s="81"/>
      <c r="T257" t="s">
        <v>360</v>
      </c>
      <c r="U257" t="s">
        <v>722</v>
      </c>
    </row>
    <row r="258" spans="1:21" x14ac:dyDescent="0.3">
      <c r="A258" t="s">
        <v>397</v>
      </c>
      <c r="B258">
        <v>2025</v>
      </c>
      <c r="C258" t="s">
        <v>456</v>
      </c>
      <c r="D258" t="s">
        <v>414</v>
      </c>
      <c r="E258" t="s">
        <v>142</v>
      </c>
      <c r="F258" t="s">
        <v>458</v>
      </c>
      <c r="G258" s="85">
        <v>0.33</v>
      </c>
      <c r="H258" s="86">
        <v>0.32100000000000001</v>
      </c>
      <c r="I258" s="86">
        <v>1.0999999999999999E-2</v>
      </c>
      <c r="J258" s="87">
        <v>0.9</v>
      </c>
      <c r="K258" s="85">
        <v>0.28000000000000003</v>
      </c>
      <c r="L258" s="85">
        <v>0.36</v>
      </c>
      <c r="M258" t="s">
        <v>436</v>
      </c>
      <c r="N258" t="s">
        <v>464</v>
      </c>
      <c r="O258" t="s">
        <v>442</v>
      </c>
      <c r="P258" s="85">
        <v>2.8037383177570119</v>
      </c>
      <c r="Q258" s="85">
        <v>2.8037383177570119</v>
      </c>
      <c r="R258" s="81"/>
      <c r="T258" t="s">
        <v>360</v>
      </c>
      <c r="U258" t="s">
        <v>723</v>
      </c>
    </row>
    <row r="259" spans="1:21" x14ac:dyDescent="0.3">
      <c r="A259" t="s">
        <v>397</v>
      </c>
      <c r="B259">
        <v>2025</v>
      </c>
      <c r="C259" t="s">
        <v>456</v>
      </c>
      <c r="D259" t="s">
        <v>414</v>
      </c>
      <c r="E259" t="s">
        <v>142</v>
      </c>
      <c r="F259" t="s">
        <v>459</v>
      </c>
      <c r="G259" s="85">
        <v>0.37</v>
      </c>
      <c r="H259" s="86">
        <v>0.36699999999999999</v>
      </c>
      <c r="I259" s="86">
        <v>1.0999999999999999E-2</v>
      </c>
      <c r="J259" s="87">
        <v>0.3</v>
      </c>
      <c r="K259" s="85">
        <v>0.33</v>
      </c>
      <c r="L259" s="85">
        <v>0.41</v>
      </c>
      <c r="M259" t="s">
        <v>436</v>
      </c>
      <c r="N259" t="s">
        <v>464</v>
      </c>
      <c r="O259" t="s">
        <v>442</v>
      </c>
      <c r="P259" s="85">
        <v>0.81743869209809339</v>
      </c>
      <c r="Q259" s="85">
        <v>0.81743869209809339</v>
      </c>
      <c r="R259" s="81"/>
      <c r="T259" t="s">
        <v>360</v>
      </c>
      <c r="U259" t="s">
        <v>724</v>
      </c>
    </row>
    <row r="260" spans="1:21" x14ac:dyDescent="0.3">
      <c r="A260" t="s">
        <v>397</v>
      </c>
      <c r="B260">
        <v>2025</v>
      </c>
      <c r="C260" t="s">
        <v>456</v>
      </c>
      <c r="D260" t="s">
        <v>414</v>
      </c>
      <c r="E260" t="s">
        <v>142</v>
      </c>
      <c r="F260" t="s">
        <v>460</v>
      </c>
      <c r="G260" s="85">
        <v>0.14000000000000001</v>
      </c>
      <c r="H260" s="86">
        <v>0.14099999999999999</v>
      </c>
      <c r="I260" s="86">
        <v>6.0000000000000001E-3</v>
      </c>
      <c r="J260" s="87">
        <v>-0.1</v>
      </c>
      <c r="K260" s="85">
        <v>0.12</v>
      </c>
      <c r="L260" s="85">
        <v>0.16</v>
      </c>
      <c r="M260" t="s">
        <v>436</v>
      </c>
      <c r="N260" t="s">
        <v>464</v>
      </c>
      <c r="O260" t="s">
        <v>442</v>
      </c>
      <c r="P260" s="85">
        <v>-0.70921985815600941</v>
      </c>
      <c r="Q260" s="85">
        <v>0.70921985815600941</v>
      </c>
      <c r="R260" s="81"/>
      <c r="T260" t="s">
        <v>360</v>
      </c>
      <c r="U260" t="s">
        <v>725</v>
      </c>
    </row>
    <row r="261" spans="1:21" x14ac:dyDescent="0.3">
      <c r="A261" t="s">
        <v>397</v>
      </c>
      <c r="B261">
        <v>2025</v>
      </c>
      <c r="C261" t="s">
        <v>456</v>
      </c>
      <c r="D261" t="s">
        <v>414</v>
      </c>
      <c r="E261" t="s">
        <v>142</v>
      </c>
      <c r="F261" t="s">
        <v>461</v>
      </c>
      <c r="G261" s="85">
        <v>0.83</v>
      </c>
      <c r="H261" s="86">
        <v>0.85699999999999998</v>
      </c>
      <c r="I261" s="86">
        <v>2.4E-2</v>
      </c>
      <c r="J261" s="87">
        <v>-1.1000000000000001</v>
      </c>
      <c r="K261" s="85">
        <v>0.78</v>
      </c>
      <c r="L261" s="85">
        <v>0.93</v>
      </c>
      <c r="M261" t="s">
        <v>436</v>
      </c>
      <c r="N261" t="s">
        <v>464</v>
      </c>
      <c r="O261" t="s">
        <v>442</v>
      </c>
      <c r="P261" s="85">
        <v>-3.1505250875145885</v>
      </c>
      <c r="Q261" s="85">
        <v>3.1505250875145885</v>
      </c>
      <c r="R261" s="81"/>
      <c r="T261" t="s">
        <v>360</v>
      </c>
      <c r="U261" t="s">
        <v>726</v>
      </c>
    </row>
    <row r="262" spans="1:21" x14ac:dyDescent="0.3">
      <c r="A262" t="s">
        <v>397</v>
      </c>
      <c r="B262">
        <v>2025</v>
      </c>
      <c r="C262" t="s">
        <v>456</v>
      </c>
      <c r="D262" t="s">
        <v>415</v>
      </c>
      <c r="E262" t="s">
        <v>136</v>
      </c>
      <c r="F262" t="s">
        <v>457</v>
      </c>
      <c r="G262" s="85">
        <v>11</v>
      </c>
      <c r="H262" s="86">
        <v>10.73</v>
      </c>
      <c r="I262" s="86">
        <v>0.77</v>
      </c>
      <c r="J262" s="87">
        <v>0.4</v>
      </c>
      <c r="K262" s="85">
        <v>8.4</v>
      </c>
      <c r="L262" s="85">
        <v>13.1</v>
      </c>
      <c r="M262" t="s">
        <v>436</v>
      </c>
      <c r="N262" t="s">
        <v>464</v>
      </c>
      <c r="O262" t="s">
        <v>437</v>
      </c>
      <c r="P262" s="85">
        <v>2.516309412861133</v>
      </c>
      <c r="Q262" s="85">
        <v>2.516309412861133</v>
      </c>
      <c r="R262" s="81"/>
      <c r="T262" t="s">
        <v>360</v>
      </c>
      <c r="U262" t="s">
        <v>727</v>
      </c>
    </row>
    <row r="263" spans="1:21" x14ac:dyDescent="0.3">
      <c r="A263" t="s">
        <v>397</v>
      </c>
      <c r="B263">
        <v>2025</v>
      </c>
      <c r="C263" t="s">
        <v>456</v>
      </c>
      <c r="D263" t="s">
        <v>415</v>
      </c>
      <c r="E263" t="s">
        <v>136</v>
      </c>
      <c r="F263" t="s">
        <v>458</v>
      </c>
      <c r="G263" s="85">
        <v>9.9</v>
      </c>
      <c r="H263" s="86">
        <v>10.7</v>
      </c>
      <c r="I263" s="86">
        <v>0.75</v>
      </c>
      <c r="J263" s="87">
        <v>-1.1000000000000001</v>
      </c>
      <c r="K263" s="85">
        <v>8.4</v>
      </c>
      <c r="L263" s="85">
        <v>13</v>
      </c>
      <c r="M263" t="s">
        <v>436</v>
      </c>
      <c r="N263" t="s">
        <v>464</v>
      </c>
      <c r="O263" t="s">
        <v>437</v>
      </c>
      <c r="P263" s="85">
        <v>-7.4766355140186826</v>
      </c>
      <c r="Q263" s="85">
        <v>7.4766355140186826</v>
      </c>
      <c r="R263" s="81"/>
      <c r="T263" t="s">
        <v>360</v>
      </c>
      <c r="U263" t="s">
        <v>728</v>
      </c>
    </row>
    <row r="264" spans="1:21" x14ac:dyDescent="0.3">
      <c r="A264" t="s">
        <v>397</v>
      </c>
      <c r="B264">
        <v>2025</v>
      </c>
      <c r="C264" t="s">
        <v>456</v>
      </c>
      <c r="D264" t="s">
        <v>415</v>
      </c>
      <c r="E264" t="s">
        <v>136</v>
      </c>
      <c r="F264" t="s">
        <v>459</v>
      </c>
      <c r="G264" s="85">
        <v>10.9</v>
      </c>
      <c r="H264" s="86">
        <v>10.73</v>
      </c>
      <c r="I264" s="86">
        <v>0.74</v>
      </c>
      <c r="J264" s="87">
        <v>0.2</v>
      </c>
      <c r="K264" s="85">
        <v>8.5</v>
      </c>
      <c r="L264" s="85">
        <v>13</v>
      </c>
      <c r="M264" t="s">
        <v>436</v>
      </c>
      <c r="N264" t="s">
        <v>464</v>
      </c>
      <c r="O264" t="s">
        <v>437</v>
      </c>
      <c r="P264" s="85">
        <v>1.584342963653308</v>
      </c>
      <c r="Q264" s="85">
        <v>1.584342963653308</v>
      </c>
      <c r="R264" s="81"/>
      <c r="T264" t="s">
        <v>360</v>
      </c>
      <c r="U264" t="s">
        <v>729</v>
      </c>
    </row>
    <row r="265" spans="1:21" x14ac:dyDescent="0.3">
      <c r="A265" t="s">
        <v>397</v>
      </c>
      <c r="B265">
        <v>2025</v>
      </c>
      <c r="C265" t="s">
        <v>456</v>
      </c>
      <c r="D265" t="s">
        <v>415</v>
      </c>
      <c r="E265" t="s">
        <v>136</v>
      </c>
      <c r="F265" t="s">
        <v>460</v>
      </c>
      <c r="G265" s="85">
        <v>8.5</v>
      </c>
      <c r="H265" s="86">
        <v>9.5500000000000007</v>
      </c>
      <c r="I265" s="86">
        <v>0.74</v>
      </c>
      <c r="J265" s="87">
        <v>-1.4</v>
      </c>
      <c r="K265" s="85">
        <v>7.3</v>
      </c>
      <c r="L265" s="85">
        <v>11.8</v>
      </c>
      <c r="M265" t="s">
        <v>436</v>
      </c>
      <c r="N265" t="s">
        <v>464</v>
      </c>
      <c r="O265" t="s">
        <v>437</v>
      </c>
      <c r="P265" s="85">
        <v>-10.994764397905765</v>
      </c>
      <c r="Q265" s="85">
        <v>10.994764397905765</v>
      </c>
      <c r="R265" s="81"/>
      <c r="T265" t="s">
        <v>360</v>
      </c>
      <c r="U265" t="s">
        <v>730</v>
      </c>
    </row>
    <row r="266" spans="1:21" x14ac:dyDescent="0.3">
      <c r="A266" t="s">
        <v>397</v>
      </c>
      <c r="B266">
        <v>2025</v>
      </c>
      <c r="C266" t="s">
        <v>456</v>
      </c>
      <c r="D266" t="s">
        <v>415</v>
      </c>
      <c r="E266" t="s">
        <v>136</v>
      </c>
      <c r="F266" t="s">
        <v>461</v>
      </c>
      <c r="G266" s="85">
        <v>12.4</v>
      </c>
      <c r="H266" s="86">
        <v>11.43</v>
      </c>
      <c r="I266" s="86">
        <v>0.84</v>
      </c>
      <c r="J266" s="87">
        <v>1.2</v>
      </c>
      <c r="K266" s="85">
        <v>8.9</v>
      </c>
      <c r="L266" s="85">
        <v>14</v>
      </c>
      <c r="M266" t="s">
        <v>436</v>
      </c>
      <c r="N266" t="s">
        <v>464</v>
      </c>
      <c r="O266" t="s">
        <v>437</v>
      </c>
      <c r="P266" s="85">
        <v>8.4864391951006191</v>
      </c>
      <c r="Q266" s="85">
        <v>8.4864391951006191</v>
      </c>
      <c r="R266" s="81"/>
      <c r="T266" t="s">
        <v>360</v>
      </c>
      <c r="U266" t="s">
        <v>731</v>
      </c>
    </row>
    <row r="267" spans="1:21" x14ac:dyDescent="0.3">
      <c r="A267" t="s">
        <v>397</v>
      </c>
      <c r="B267">
        <v>2025</v>
      </c>
      <c r="C267" t="s">
        <v>456</v>
      </c>
      <c r="D267" t="s">
        <v>416</v>
      </c>
      <c r="E267" t="s">
        <v>141</v>
      </c>
      <c r="F267" t="s">
        <v>457</v>
      </c>
      <c r="G267" s="85">
        <v>0.31</v>
      </c>
      <c r="H267" s="86">
        <v>0.3</v>
      </c>
      <c r="I267" s="86">
        <v>2.3E-2</v>
      </c>
      <c r="J267" s="87">
        <v>0.4</v>
      </c>
      <c r="K267" s="85">
        <v>0.23</v>
      </c>
      <c r="L267" s="85">
        <v>0.37</v>
      </c>
      <c r="M267" t="s">
        <v>436</v>
      </c>
      <c r="N267" t="s">
        <v>464</v>
      </c>
      <c r="O267" t="s">
        <v>442</v>
      </c>
      <c r="P267" s="85">
        <v>3.3333333333333366</v>
      </c>
      <c r="Q267" s="85">
        <v>3.3333333333333366</v>
      </c>
      <c r="R267" s="81"/>
      <c r="T267" t="s">
        <v>360</v>
      </c>
      <c r="U267" t="s">
        <v>732</v>
      </c>
    </row>
    <row r="268" spans="1:21" x14ac:dyDescent="0.3">
      <c r="A268" t="s">
        <v>397</v>
      </c>
      <c r="B268">
        <v>2025</v>
      </c>
      <c r="C268" t="s">
        <v>456</v>
      </c>
      <c r="D268" t="s">
        <v>416</v>
      </c>
      <c r="E268" t="s">
        <v>141</v>
      </c>
      <c r="F268" t="s">
        <v>458</v>
      </c>
      <c r="G268" s="85">
        <v>0.65</v>
      </c>
      <c r="H268" s="86">
        <v>0.71399999999999997</v>
      </c>
      <c r="I268" s="86">
        <v>5.1999999999999998E-2</v>
      </c>
      <c r="J268" s="87">
        <v>-1.2</v>
      </c>
      <c r="K268" s="85">
        <v>0.55000000000000004</v>
      </c>
      <c r="L268" s="85">
        <v>0.87</v>
      </c>
      <c r="M268" t="s">
        <v>436</v>
      </c>
      <c r="N268" t="s">
        <v>464</v>
      </c>
      <c r="O268" t="s">
        <v>442</v>
      </c>
      <c r="P268" s="85">
        <v>-8.9635854341736625</v>
      </c>
      <c r="Q268" s="85">
        <v>8.9635854341736625</v>
      </c>
      <c r="R268" s="81"/>
      <c r="T268" t="s">
        <v>360</v>
      </c>
      <c r="U268" t="s">
        <v>733</v>
      </c>
    </row>
    <row r="269" spans="1:21" x14ac:dyDescent="0.3">
      <c r="A269" t="s">
        <v>397</v>
      </c>
      <c r="B269">
        <v>2025</v>
      </c>
      <c r="C269" t="s">
        <v>456</v>
      </c>
      <c r="D269" t="s">
        <v>416</v>
      </c>
      <c r="E269" t="s">
        <v>141</v>
      </c>
      <c r="F269" t="s">
        <v>459</v>
      </c>
      <c r="G269" s="85">
        <v>0.82</v>
      </c>
      <c r="H269" s="86">
        <v>0.81699999999999995</v>
      </c>
      <c r="I269" s="86">
        <v>5.8000000000000003E-2</v>
      </c>
      <c r="J269" s="87">
        <v>0.1</v>
      </c>
      <c r="K269" s="85">
        <v>0.64</v>
      </c>
      <c r="L269" s="85">
        <v>1</v>
      </c>
      <c r="M269" t="s">
        <v>436</v>
      </c>
      <c r="N269" t="s">
        <v>464</v>
      </c>
      <c r="O269" t="s">
        <v>442</v>
      </c>
      <c r="P269" s="85">
        <v>0.36719706242350098</v>
      </c>
      <c r="Q269" s="85">
        <v>0.36719706242350098</v>
      </c>
      <c r="R269" s="81"/>
      <c r="T269" t="s">
        <v>360</v>
      </c>
      <c r="U269" t="s">
        <v>734</v>
      </c>
    </row>
    <row r="270" spans="1:21" x14ac:dyDescent="0.3">
      <c r="A270" t="s">
        <v>397</v>
      </c>
      <c r="B270">
        <v>2025</v>
      </c>
      <c r="C270" t="s">
        <v>456</v>
      </c>
      <c r="D270" t="s">
        <v>416</v>
      </c>
      <c r="E270" t="s">
        <v>141</v>
      </c>
      <c r="F270" t="s">
        <v>460</v>
      </c>
      <c r="G270" s="85">
        <v>0.24</v>
      </c>
      <c r="H270" s="86">
        <v>0.28000000000000003</v>
      </c>
      <c r="I270" s="86">
        <v>2.3E-2</v>
      </c>
      <c r="J270" s="87">
        <v>-1.7</v>
      </c>
      <c r="K270" s="85">
        <v>0.21</v>
      </c>
      <c r="L270" s="85">
        <v>0.35</v>
      </c>
      <c r="M270" t="s">
        <v>436</v>
      </c>
      <c r="N270" t="s">
        <v>464</v>
      </c>
      <c r="O270" t="s">
        <v>442</v>
      </c>
      <c r="P270" s="85">
        <v>-14.285714285714295</v>
      </c>
      <c r="Q270" s="85">
        <v>14.285714285714295</v>
      </c>
      <c r="R270" s="81"/>
      <c r="T270" t="s">
        <v>360</v>
      </c>
      <c r="U270" t="s">
        <v>735</v>
      </c>
    </row>
    <row r="271" spans="1:21" x14ac:dyDescent="0.3">
      <c r="A271" t="s">
        <v>397</v>
      </c>
      <c r="B271">
        <v>2025</v>
      </c>
      <c r="C271" t="s">
        <v>456</v>
      </c>
      <c r="D271" t="s">
        <v>416</v>
      </c>
      <c r="E271" t="s">
        <v>141</v>
      </c>
      <c r="F271" t="s">
        <v>461</v>
      </c>
      <c r="G271" s="85">
        <v>2.19</v>
      </c>
      <c r="H271" s="86">
        <v>2.032</v>
      </c>
      <c r="I271" s="86">
        <v>0.154</v>
      </c>
      <c r="J271" s="87">
        <v>1</v>
      </c>
      <c r="K271" s="85">
        <v>1.57</v>
      </c>
      <c r="L271" s="85">
        <v>2.5</v>
      </c>
      <c r="M271" t="s">
        <v>436</v>
      </c>
      <c r="N271" t="s">
        <v>464</v>
      </c>
      <c r="O271" t="s">
        <v>442</v>
      </c>
      <c r="P271" s="85">
        <v>7.7755905511810983</v>
      </c>
      <c r="Q271" s="85">
        <v>7.7755905511810983</v>
      </c>
      <c r="R271" s="81"/>
      <c r="T271" t="s">
        <v>360</v>
      </c>
      <c r="U271" t="s">
        <v>736</v>
      </c>
    </row>
    <row r="272" spans="1:21" x14ac:dyDescent="0.3">
      <c r="A272" t="s">
        <v>397</v>
      </c>
      <c r="B272">
        <v>2025</v>
      </c>
      <c r="C272" t="s">
        <v>456</v>
      </c>
      <c r="D272" t="s">
        <v>417</v>
      </c>
      <c r="E272" t="s">
        <v>128</v>
      </c>
      <c r="F272" t="s">
        <v>457</v>
      </c>
      <c r="G272" s="85">
        <v>53.3</v>
      </c>
      <c r="H272" s="86">
        <v>52.843000000000004</v>
      </c>
      <c r="I272" s="86">
        <v>0.72399999999999998</v>
      </c>
      <c r="J272" s="87">
        <v>0.6</v>
      </c>
      <c r="K272" s="85">
        <v>50.72</v>
      </c>
      <c r="L272" s="85">
        <v>54.96</v>
      </c>
      <c r="M272" t="s">
        <v>436</v>
      </c>
      <c r="N272" t="s">
        <v>464</v>
      </c>
      <c r="O272" t="s">
        <v>437</v>
      </c>
      <c r="P272" s="85">
        <v>0.86482599398216142</v>
      </c>
      <c r="Q272" s="85">
        <v>0.86482599398216142</v>
      </c>
      <c r="R272" s="81"/>
      <c r="T272" t="s">
        <v>360</v>
      </c>
      <c r="U272" t="s">
        <v>737</v>
      </c>
    </row>
    <row r="273" spans="1:21" x14ac:dyDescent="0.3">
      <c r="A273" t="s">
        <v>397</v>
      </c>
      <c r="B273">
        <v>2025</v>
      </c>
      <c r="C273" t="s">
        <v>456</v>
      </c>
      <c r="D273" t="s">
        <v>417</v>
      </c>
      <c r="E273" t="s">
        <v>128</v>
      </c>
      <c r="F273" t="s">
        <v>458</v>
      </c>
      <c r="G273" s="85">
        <v>35.5</v>
      </c>
      <c r="H273" s="86">
        <v>35.49</v>
      </c>
      <c r="I273" s="86">
        <v>0.48699999999999999</v>
      </c>
      <c r="J273" s="87">
        <v>0</v>
      </c>
      <c r="K273" s="85">
        <v>34.07</v>
      </c>
      <c r="L273" s="85">
        <v>36.909999999999997</v>
      </c>
      <c r="M273" t="s">
        <v>436</v>
      </c>
      <c r="N273" t="s">
        <v>464</v>
      </c>
      <c r="O273" t="s">
        <v>437</v>
      </c>
      <c r="P273" s="85">
        <v>2.8176951253868723E-2</v>
      </c>
      <c r="Q273" s="85">
        <v>2.8176951253868723E-2</v>
      </c>
      <c r="R273" s="81"/>
      <c r="T273" t="s">
        <v>360</v>
      </c>
      <c r="U273" t="s">
        <v>738</v>
      </c>
    </row>
    <row r="274" spans="1:21" x14ac:dyDescent="0.3">
      <c r="A274" t="s">
        <v>397</v>
      </c>
      <c r="B274">
        <v>2025</v>
      </c>
      <c r="C274" t="s">
        <v>456</v>
      </c>
      <c r="D274" t="s">
        <v>417</v>
      </c>
      <c r="E274" t="s">
        <v>128</v>
      </c>
      <c r="F274" t="s">
        <v>459</v>
      </c>
      <c r="G274" s="85">
        <v>17.7</v>
      </c>
      <c r="H274" s="86">
        <v>17.670999999999999</v>
      </c>
      <c r="I274" s="86">
        <v>0.28899999999999998</v>
      </c>
      <c r="J274" s="87">
        <v>0.1</v>
      </c>
      <c r="K274" s="85">
        <v>16.96</v>
      </c>
      <c r="L274" s="85">
        <v>18.38</v>
      </c>
      <c r="M274" t="s">
        <v>436</v>
      </c>
      <c r="N274" t="s">
        <v>464</v>
      </c>
      <c r="O274" t="s">
        <v>437</v>
      </c>
      <c r="P274" s="85">
        <v>0.16411068983079574</v>
      </c>
      <c r="Q274" s="85">
        <v>0.16411068983079574</v>
      </c>
      <c r="R274" s="81"/>
      <c r="T274" t="s">
        <v>360</v>
      </c>
      <c r="U274" t="s">
        <v>739</v>
      </c>
    </row>
    <row r="275" spans="1:21" x14ac:dyDescent="0.3">
      <c r="A275" t="s">
        <v>397</v>
      </c>
      <c r="B275">
        <v>2025</v>
      </c>
      <c r="C275" t="s">
        <v>456</v>
      </c>
      <c r="D275" t="s">
        <v>417</v>
      </c>
      <c r="E275" t="s">
        <v>128</v>
      </c>
      <c r="F275" t="s">
        <v>460</v>
      </c>
      <c r="G275" s="85">
        <v>16.600000000000001</v>
      </c>
      <c r="H275" s="86">
        <v>16.492000000000001</v>
      </c>
      <c r="I275" s="86">
        <v>0.27800000000000002</v>
      </c>
      <c r="J275" s="87">
        <v>0.4</v>
      </c>
      <c r="K275" s="85">
        <v>15.83</v>
      </c>
      <c r="L275" s="85">
        <v>17.16</v>
      </c>
      <c r="M275" t="s">
        <v>436</v>
      </c>
      <c r="N275" t="s">
        <v>464</v>
      </c>
      <c r="O275" t="s">
        <v>437</v>
      </c>
      <c r="P275" s="85">
        <v>0.6548629638612693</v>
      </c>
      <c r="Q275" s="85">
        <v>0.6548629638612693</v>
      </c>
      <c r="R275" s="81"/>
      <c r="T275" t="s">
        <v>360</v>
      </c>
      <c r="U275" t="s">
        <v>740</v>
      </c>
    </row>
    <row r="276" spans="1:21" x14ac:dyDescent="0.3">
      <c r="A276" t="s">
        <v>397</v>
      </c>
      <c r="B276">
        <v>2025</v>
      </c>
      <c r="C276" t="s">
        <v>456</v>
      </c>
      <c r="D276" t="s">
        <v>417</v>
      </c>
      <c r="E276" t="s">
        <v>128</v>
      </c>
      <c r="F276" t="s">
        <v>461</v>
      </c>
      <c r="G276" s="85">
        <v>47.1</v>
      </c>
      <c r="H276" s="86">
        <v>46.302999999999997</v>
      </c>
      <c r="I276" s="86">
        <v>0.628</v>
      </c>
      <c r="J276" s="87">
        <v>1.3</v>
      </c>
      <c r="K276" s="85">
        <v>44.45</v>
      </c>
      <c r="L276" s="85">
        <v>48.16</v>
      </c>
      <c r="M276" t="s">
        <v>436</v>
      </c>
      <c r="N276" t="s">
        <v>464</v>
      </c>
      <c r="O276" t="s">
        <v>437</v>
      </c>
      <c r="P276" s="85">
        <v>1.7212707599939621</v>
      </c>
      <c r="Q276" s="85">
        <v>1.7212707599939621</v>
      </c>
      <c r="R276" s="81"/>
      <c r="T276" t="s">
        <v>360</v>
      </c>
      <c r="U276" t="s">
        <v>741</v>
      </c>
    </row>
    <row r="277" spans="1:21" x14ac:dyDescent="0.3">
      <c r="A277" t="s">
        <v>397</v>
      </c>
      <c r="B277">
        <v>2025</v>
      </c>
      <c r="C277" t="s">
        <v>456</v>
      </c>
      <c r="D277" t="s">
        <v>418</v>
      </c>
      <c r="E277" t="s">
        <v>127</v>
      </c>
      <c r="F277" t="s">
        <v>457</v>
      </c>
      <c r="G277" s="85">
        <v>18.3</v>
      </c>
      <c r="H277" s="86">
        <v>18.100000000000001</v>
      </c>
      <c r="I277" s="86">
        <v>0.17</v>
      </c>
      <c r="J277" s="87">
        <v>1.2</v>
      </c>
      <c r="K277" s="85">
        <v>17.3</v>
      </c>
      <c r="L277" s="85">
        <v>18.899999999999999</v>
      </c>
      <c r="M277" t="s">
        <v>436</v>
      </c>
      <c r="N277" t="s">
        <v>464</v>
      </c>
      <c r="O277" t="s">
        <v>443</v>
      </c>
      <c r="P277" s="85">
        <v>1.1049723756906038</v>
      </c>
      <c r="Q277" s="85">
        <v>1.1049723756906038</v>
      </c>
      <c r="R277" s="81"/>
      <c r="T277" t="s">
        <v>360</v>
      </c>
      <c r="U277" t="s">
        <v>742</v>
      </c>
    </row>
    <row r="278" spans="1:21" x14ac:dyDescent="0.3">
      <c r="A278" t="s">
        <v>397</v>
      </c>
      <c r="B278">
        <v>2025</v>
      </c>
      <c r="C278" t="s">
        <v>456</v>
      </c>
      <c r="D278" t="s">
        <v>418</v>
      </c>
      <c r="E278" t="s">
        <v>127</v>
      </c>
      <c r="F278" t="s">
        <v>458</v>
      </c>
      <c r="G278" s="85">
        <v>12.2</v>
      </c>
      <c r="H278" s="86">
        <v>12.22</v>
      </c>
      <c r="I278" s="86">
        <v>0.11</v>
      </c>
      <c r="J278" s="87">
        <v>-0.1</v>
      </c>
      <c r="K278" s="85">
        <v>11.7</v>
      </c>
      <c r="L278" s="85">
        <v>12.8</v>
      </c>
      <c r="M278" t="s">
        <v>436</v>
      </c>
      <c r="N278" t="s">
        <v>464</v>
      </c>
      <c r="O278" t="s">
        <v>443</v>
      </c>
      <c r="P278" s="85">
        <v>-0.16366612111294065</v>
      </c>
      <c r="Q278" s="85">
        <v>0.16366612111294065</v>
      </c>
      <c r="R278" s="81"/>
      <c r="T278" t="s">
        <v>360</v>
      </c>
      <c r="U278" t="s">
        <v>743</v>
      </c>
    </row>
    <row r="279" spans="1:21" x14ac:dyDescent="0.3">
      <c r="A279" t="s">
        <v>397</v>
      </c>
      <c r="B279">
        <v>2025</v>
      </c>
      <c r="C279" t="s">
        <v>456</v>
      </c>
      <c r="D279" t="s">
        <v>418</v>
      </c>
      <c r="E279" t="s">
        <v>127</v>
      </c>
      <c r="F279" t="s">
        <v>459</v>
      </c>
      <c r="G279" s="85">
        <v>6.1</v>
      </c>
      <c r="H279" s="86">
        <v>6.04</v>
      </c>
      <c r="I279" s="86">
        <v>7.0000000000000007E-2</v>
      </c>
      <c r="J279" s="87">
        <v>0.8</v>
      </c>
      <c r="K279" s="85">
        <v>5.7</v>
      </c>
      <c r="L279" s="85">
        <v>6.3</v>
      </c>
      <c r="M279" t="s">
        <v>436</v>
      </c>
      <c r="N279" t="s">
        <v>464</v>
      </c>
      <c r="O279" t="s">
        <v>443</v>
      </c>
      <c r="P279" s="85">
        <v>0.99337748344370203</v>
      </c>
      <c r="Q279" s="85">
        <v>0.99337748344370203</v>
      </c>
      <c r="R279" s="81"/>
      <c r="T279" t="s">
        <v>360</v>
      </c>
      <c r="U279" t="s">
        <v>744</v>
      </c>
    </row>
    <row r="280" spans="1:21" x14ac:dyDescent="0.3">
      <c r="A280" t="s">
        <v>397</v>
      </c>
      <c r="B280">
        <v>2025</v>
      </c>
      <c r="C280" t="s">
        <v>456</v>
      </c>
      <c r="D280" t="s">
        <v>418</v>
      </c>
      <c r="E280" t="s">
        <v>127</v>
      </c>
      <c r="F280" t="s">
        <v>460</v>
      </c>
      <c r="G280" s="85">
        <v>5.6</v>
      </c>
      <c r="H280" s="86">
        <v>5.62</v>
      </c>
      <c r="I280" s="86">
        <v>0.08</v>
      </c>
      <c r="J280" s="87">
        <v>-0.3</v>
      </c>
      <c r="K280" s="85">
        <v>5.3</v>
      </c>
      <c r="L280" s="85">
        <v>5.9</v>
      </c>
      <c r="M280" t="s">
        <v>436</v>
      </c>
      <c r="N280" t="s">
        <v>464</v>
      </c>
      <c r="O280" t="s">
        <v>443</v>
      </c>
      <c r="P280" s="85">
        <v>-0.35587188612100468</v>
      </c>
      <c r="Q280" s="85">
        <v>0.35587188612100468</v>
      </c>
      <c r="R280" s="81"/>
      <c r="T280" t="s">
        <v>360</v>
      </c>
      <c r="U280" t="s">
        <v>745</v>
      </c>
    </row>
    <row r="281" spans="1:21" x14ac:dyDescent="0.3">
      <c r="A281" t="s">
        <v>397</v>
      </c>
      <c r="B281">
        <v>2025</v>
      </c>
      <c r="C281" t="s">
        <v>456</v>
      </c>
      <c r="D281" t="s">
        <v>418</v>
      </c>
      <c r="E281" t="s">
        <v>127</v>
      </c>
      <c r="F281" t="s">
        <v>461</v>
      </c>
      <c r="G281" s="85">
        <v>16.5</v>
      </c>
      <c r="H281" s="86">
        <v>16.23</v>
      </c>
      <c r="I281" s="86">
        <v>0.15</v>
      </c>
      <c r="J281" s="87">
        <v>1.8</v>
      </c>
      <c r="K281" s="85">
        <v>15.5</v>
      </c>
      <c r="L281" s="85">
        <v>16.899999999999999</v>
      </c>
      <c r="M281" t="s">
        <v>436</v>
      </c>
      <c r="N281" t="s">
        <v>464</v>
      </c>
      <c r="O281" t="s">
        <v>443</v>
      </c>
      <c r="P281" s="85">
        <v>1.6635859519408478</v>
      </c>
      <c r="Q281" s="85">
        <v>1.6635859519408478</v>
      </c>
      <c r="R281" s="81"/>
      <c r="T281" t="s">
        <v>360</v>
      </c>
      <c r="U281" t="s">
        <v>746</v>
      </c>
    </row>
    <row r="282" spans="1:21" x14ac:dyDescent="0.3">
      <c r="A282" t="s">
        <v>397</v>
      </c>
      <c r="B282">
        <v>2025</v>
      </c>
      <c r="C282" t="s">
        <v>456</v>
      </c>
      <c r="D282" t="s">
        <v>419</v>
      </c>
      <c r="E282" t="s">
        <v>143</v>
      </c>
      <c r="F282" t="s">
        <v>457</v>
      </c>
      <c r="G282" s="85">
        <v>11</v>
      </c>
      <c r="H282" s="86">
        <v>11.31</v>
      </c>
      <c r="I282" s="86">
        <v>0.41</v>
      </c>
      <c r="J282" s="87">
        <v>-0.8</v>
      </c>
      <c r="K282" s="85"/>
      <c r="L282" s="85"/>
      <c r="M282" t="s">
        <v>444</v>
      </c>
      <c r="N282" t="s">
        <v>495</v>
      </c>
      <c r="O282" t="s">
        <v>437</v>
      </c>
      <c r="P282" s="85">
        <v>-2.7409372236958487</v>
      </c>
      <c r="Q282" s="85">
        <v>2.7409372236958487</v>
      </c>
      <c r="R282" s="81"/>
      <c r="T282" t="s">
        <v>360</v>
      </c>
      <c r="U282" t="s">
        <v>747</v>
      </c>
    </row>
    <row r="283" spans="1:21" x14ac:dyDescent="0.3">
      <c r="A283" t="s">
        <v>397</v>
      </c>
      <c r="B283">
        <v>2025</v>
      </c>
      <c r="C283" t="s">
        <v>456</v>
      </c>
      <c r="D283" t="s">
        <v>419</v>
      </c>
      <c r="E283" t="s">
        <v>143</v>
      </c>
      <c r="F283" t="s">
        <v>458</v>
      </c>
      <c r="G283" s="85">
        <v>11.8</v>
      </c>
      <c r="H283" s="86">
        <v>11.24</v>
      </c>
      <c r="I283" s="86">
        <v>0.33</v>
      </c>
      <c r="J283" s="87">
        <v>1.7</v>
      </c>
      <c r="K283" s="85"/>
      <c r="L283" s="85"/>
      <c r="M283" t="s">
        <v>444</v>
      </c>
      <c r="N283" t="s">
        <v>495</v>
      </c>
      <c r="O283" t="s">
        <v>437</v>
      </c>
      <c r="P283" s="85">
        <v>4.9822064056939546</v>
      </c>
      <c r="Q283" s="85">
        <v>4.9822064056939546</v>
      </c>
      <c r="R283" s="81"/>
      <c r="T283" t="s">
        <v>360</v>
      </c>
      <c r="U283" t="s">
        <v>748</v>
      </c>
    </row>
    <row r="284" spans="1:21" x14ac:dyDescent="0.3">
      <c r="A284" t="s">
        <v>397</v>
      </c>
      <c r="B284">
        <v>2025</v>
      </c>
      <c r="C284" t="s">
        <v>456</v>
      </c>
      <c r="D284" t="s">
        <v>419</v>
      </c>
      <c r="E284" t="s">
        <v>143</v>
      </c>
      <c r="F284" t="s">
        <v>459</v>
      </c>
      <c r="G284" s="85">
        <v>11.4</v>
      </c>
      <c r="H284" s="86">
        <v>11.19</v>
      </c>
      <c r="I284" s="86">
        <v>0.32</v>
      </c>
      <c r="J284" s="87">
        <v>0.7</v>
      </c>
      <c r="K284" s="85"/>
      <c r="L284" s="85"/>
      <c r="M284" t="s">
        <v>444</v>
      </c>
      <c r="N284" t="s">
        <v>495</v>
      </c>
      <c r="O284" t="s">
        <v>437</v>
      </c>
      <c r="P284" s="85">
        <v>1.8766756032171661</v>
      </c>
      <c r="Q284" s="85">
        <v>1.8766756032171661</v>
      </c>
      <c r="R284" s="81"/>
      <c r="T284" t="s">
        <v>360</v>
      </c>
      <c r="U284" t="s">
        <v>749</v>
      </c>
    </row>
    <row r="285" spans="1:21" x14ac:dyDescent="0.3">
      <c r="A285" t="s">
        <v>397</v>
      </c>
      <c r="B285">
        <v>2025</v>
      </c>
      <c r="C285" t="s">
        <v>456</v>
      </c>
      <c r="D285" t="s">
        <v>419</v>
      </c>
      <c r="E285" t="s">
        <v>143</v>
      </c>
      <c r="F285" t="s">
        <v>460</v>
      </c>
      <c r="G285" s="85">
        <v>9.5</v>
      </c>
      <c r="H285" s="86">
        <v>10.18</v>
      </c>
      <c r="I285" s="86">
        <v>0.38</v>
      </c>
      <c r="J285" s="87">
        <v>-1.8</v>
      </c>
      <c r="K285" s="85"/>
      <c r="L285" s="85"/>
      <c r="M285" t="s">
        <v>444</v>
      </c>
      <c r="N285" t="s">
        <v>495</v>
      </c>
      <c r="O285" t="s">
        <v>437</v>
      </c>
      <c r="P285" s="85">
        <v>-6.6797642436149287</v>
      </c>
      <c r="Q285" s="85">
        <v>6.6797642436149287</v>
      </c>
      <c r="R285" s="81"/>
      <c r="T285" t="s">
        <v>360</v>
      </c>
      <c r="U285" t="s">
        <v>750</v>
      </c>
    </row>
    <row r="286" spans="1:21" x14ac:dyDescent="0.3">
      <c r="A286" t="s">
        <v>397</v>
      </c>
      <c r="B286">
        <v>2025</v>
      </c>
      <c r="C286" t="s">
        <v>456</v>
      </c>
      <c r="D286" t="s">
        <v>419</v>
      </c>
      <c r="E286" t="s">
        <v>143</v>
      </c>
      <c r="F286" t="s">
        <v>461</v>
      </c>
      <c r="G286" s="85">
        <v>11.4</v>
      </c>
      <c r="H286" s="86">
        <v>12.15</v>
      </c>
      <c r="I286" s="86">
        <v>0.35</v>
      </c>
      <c r="J286" s="87">
        <v>-2.1</v>
      </c>
      <c r="K286" s="85"/>
      <c r="L286" s="85"/>
      <c r="M286" t="s">
        <v>444</v>
      </c>
      <c r="N286" t="s">
        <v>495</v>
      </c>
      <c r="O286" t="s">
        <v>437</v>
      </c>
      <c r="P286" s="85">
        <v>-6.1728395061728394</v>
      </c>
      <c r="Q286" s="85">
        <v>6.1728395061728394</v>
      </c>
      <c r="R286" s="81"/>
      <c r="T286" t="s">
        <v>360</v>
      </c>
      <c r="U286" t="s">
        <v>751</v>
      </c>
    </row>
    <row r="287" spans="1:21" x14ac:dyDescent="0.3">
      <c r="A287" t="s">
        <v>397</v>
      </c>
      <c r="B287">
        <v>2025</v>
      </c>
      <c r="C287" t="s">
        <v>456</v>
      </c>
      <c r="D287" t="s">
        <v>420</v>
      </c>
      <c r="E287" t="s">
        <v>144</v>
      </c>
      <c r="F287" t="s">
        <v>457</v>
      </c>
      <c r="G287" s="85">
        <v>0.31</v>
      </c>
      <c r="H287" s="86">
        <v>0.316</v>
      </c>
      <c r="I287" s="86">
        <v>1.4E-2</v>
      </c>
      <c r="J287" s="87">
        <v>-0.4</v>
      </c>
      <c r="K287" s="85"/>
      <c r="L287" s="85"/>
      <c r="M287" t="s">
        <v>444</v>
      </c>
      <c r="N287" t="s">
        <v>495</v>
      </c>
      <c r="O287" t="s">
        <v>442</v>
      </c>
      <c r="P287" s="85">
        <v>-1.8987341772151916</v>
      </c>
      <c r="Q287" s="85">
        <v>1.8987341772151916</v>
      </c>
      <c r="R287" s="81"/>
      <c r="T287" t="s">
        <v>360</v>
      </c>
      <c r="U287" t="s">
        <v>752</v>
      </c>
    </row>
    <row r="288" spans="1:21" x14ac:dyDescent="0.3">
      <c r="A288" t="s">
        <v>397</v>
      </c>
      <c r="B288">
        <v>2025</v>
      </c>
      <c r="C288" t="s">
        <v>456</v>
      </c>
      <c r="D288" t="s">
        <v>420</v>
      </c>
      <c r="E288" t="s">
        <v>144</v>
      </c>
      <c r="F288" t="s">
        <v>458</v>
      </c>
      <c r="G288" s="85">
        <v>0.78</v>
      </c>
      <c r="H288" s="86">
        <v>0.75</v>
      </c>
      <c r="I288" s="86">
        <v>2.5999999999999999E-2</v>
      </c>
      <c r="J288" s="87">
        <v>1.2</v>
      </c>
      <c r="K288" s="85"/>
      <c r="L288" s="85"/>
      <c r="M288" t="s">
        <v>444</v>
      </c>
      <c r="N288" t="s">
        <v>495</v>
      </c>
      <c r="O288" t="s">
        <v>442</v>
      </c>
      <c r="P288" s="85">
        <v>4.0000000000000036</v>
      </c>
      <c r="Q288" s="85">
        <v>4.0000000000000036</v>
      </c>
      <c r="R288" s="81"/>
      <c r="T288" t="s">
        <v>360</v>
      </c>
      <c r="U288" t="s">
        <v>753</v>
      </c>
    </row>
    <row r="289" spans="1:21" x14ac:dyDescent="0.3">
      <c r="A289" t="s">
        <v>397</v>
      </c>
      <c r="B289">
        <v>2025</v>
      </c>
      <c r="C289" t="s">
        <v>456</v>
      </c>
      <c r="D289" t="s">
        <v>420</v>
      </c>
      <c r="E289" t="s">
        <v>144</v>
      </c>
      <c r="F289" t="s">
        <v>459</v>
      </c>
      <c r="G289" s="85">
        <v>0.86</v>
      </c>
      <c r="H289" s="86">
        <v>0.85199999999999998</v>
      </c>
      <c r="I289" s="86">
        <v>2.9000000000000001E-2</v>
      </c>
      <c r="J289" s="87">
        <v>0.3</v>
      </c>
      <c r="K289" s="85"/>
      <c r="L289" s="85"/>
      <c r="M289" t="s">
        <v>444</v>
      </c>
      <c r="N289" t="s">
        <v>495</v>
      </c>
      <c r="O289" t="s">
        <v>442</v>
      </c>
      <c r="P289" s="85">
        <v>0.93896713615023564</v>
      </c>
      <c r="Q289" s="85">
        <v>0.93896713615023564</v>
      </c>
      <c r="R289" s="81"/>
      <c r="T289" t="s">
        <v>360</v>
      </c>
      <c r="U289" t="s">
        <v>754</v>
      </c>
    </row>
    <row r="290" spans="1:21" x14ac:dyDescent="0.3">
      <c r="A290" t="s">
        <v>397</v>
      </c>
      <c r="B290">
        <v>2025</v>
      </c>
      <c r="C290" t="s">
        <v>456</v>
      </c>
      <c r="D290" t="s">
        <v>420</v>
      </c>
      <c r="E290" t="s">
        <v>144</v>
      </c>
      <c r="F290" t="s">
        <v>460</v>
      </c>
      <c r="G290" s="85">
        <v>0.27</v>
      </c>
      <c r="H290" s="86">
        <v>0.29799999999999999</v>
      </c>
      <c r="I290" s="86">
        <v>1.2999999999999999E-2</v>
      </c>
      <c r="J290" s="87">
        <v>-2.2000000000000002</v>
      </c>
      <c r="K290" s="85"/>
      <c r="L290" s="85"/>
      <c r="M290" t="s">
        <v>444</v>
      </c>
      <c r="N290" t="s">
        <v>495</v>
      </c>
      <c r="O290" t="s">
        <v>442</v>
      </c>
      <c r="P290" s="85">
        <v>-9.395973154362407</v>
      </c>
      <c r="Q290" s="85">
        <v>9.395973154362407</v>
      </c>
      <c r="R290" s="81"/>
      <c r="T290" t="s">
        <v>360</v>
      </c>
      <c r="U290" t="s">
        <v>755</v>
      </c>
    </row>
    <row r="291" spans="1:21" x14ac:dyDescent="0.3">
      <c r="A291" t="s">
        <v>397</v>
      </c>
      <c r="B291">
        <v>2025</v>
      </c>
      <c r="C291" t="s">
        <v>456</v>
      </c>
      <c r="D291" t="s">
        <v>420</v>
      </c>
      <c r="E291" t="s">
        <v>144</v>
      </c>
      <c r="F291" t="s">
        <v>461</v>
      </c>
      <c r="G291" s="85">
        <v>2.0099999999999998</v>
      </c>
      <c r="H291" s="86">
        <v>2.161</v>
      </c>
      <c r="I291" s="86">
        <v>7.0000000000000007E-2</v>
      </c>
      <c r="J291" s="87">
        <v>-2.2000000000000002</v>
      </c>
      <c r="K291" s="85"/>
      <c r="L291" s="85"/>
      <c r="M291" t="s">
        <v>444</v>
      </c>
      <c r="N291" t="s">
        <v>495</v>
      </c>
      <c r="O291" t="s">
        <v>442</v>
      </c>
      <c r="P291" s="85">
        <v>-6.9875057843591044</v>
      </c>
      <c r="Q291" s="85">
        <v>6.9875057843591044</v>
      </c>
      <c r="R291" s="81"/>
      <c r="T291" t="s">
        <v>360</v>
      </c>
      <c r="U291" t="s">
        <v>756</v>
      </c>
    </row>
    <row r="292" spans="1:21" x14ac:dyDescent="0.3">
      <c r="A292" t="s">
        <v>397</v>
      </c>
      <c r="B292">
        <v>2025</v>
      </c>
      <c r="C292" t="s">
        <v>456</v>
      </c>
      <c r="D292" t="s">
        <v>421</v>
      </c>
      <c r="F292" t="s">
        <v>457</v>
      </c>
      <c r="G292" s="85">
        <v>20.8</v>
      </c>
      <c r="H292" s="86">
        <v>19.989999999999998</v>
      </c>
      <c r="I292" s="86">
        <v>0.5</v>
      </c>
      <c r="J292" s="87">
        <v>1.6</v>
      </c>
      <c r="K292" s="85"/>
      <c r="L292" s="85"/>
      <c r="M292" t="s">
        <v>444</v>
      </c>
      <c r="N292" t="s">
        <v>495</v>
      </c>
      <c r="O292" t="s">
        <v>437</v>
      </c>
      <c r="P292" s="85">
        <v>4.0520260130065147</v>
      </c>
      <c r="Q292" s="85">
        <v>4.0520260130065147</v>
      </c>
      <c r="R292" s="81"/>
      <c r="T292" t="s">
        <v>360</v>
      </c>
      <c r="U292" t="s">
        <v>757</v>
      </c>
    </row>
    <row r="293" spans="1:21" x14ac:dyDescent="0.3">
      <c r="A293" t="s">
        <v>397</v>
      </c>
      <c r="B293">
        <v>2025</v>
      </c>
      <c r="C293" t="s">
        <v>456</v>
      </c>
      <c r="D293" t="s">
        <v>421</v>
      </c>
      <c r="F293" t="s">
        <v>458</v>
      </c>
      <c r="G293" s="85">
        <v>20.100000000000001</v>
      </c>
      <c r="H293" s="86">
        <v>20</v>
      </c>
      <c r="I293" s="86">
        <v>0.72</v>
      </c>
      <c r="J293" s="87">
        <v>0.1</v>
      </c>
      <c r="K293" s="85"/>
      <c r="L293" s="85"/>
      <c r="M293" t="s">
        <v>444</v>
      </c>
      <c r="N293" t="s">
        <v>495</v>
      </c>
      <c r="O293" t="s">
        <v>437</v>
      </c>
      <c r="P293" s="85">
        <v>0.50000000000000711</v>
      </c>
      <c r="Q293" s="85">
        <v>0.50000000000000711</v>
      </c>
      <c r="R293" s="81"/>
      <c r="T293" t="s">
        <v>360</v>
      </c>
      <c r="U293" t="s">
        <v>758</v>
      </c>
    </row>
    <row r="294" spans="1:21" x14ac:dyDescent="0.3">
      <c r="A294" t="s">
        <v>397</v>
      </c>
      <c r="B294">
        <v>2025</v>
      </c>
      <c r="C294" t="s">
        <v>456</v>
      </c>
      <c r="D294" t="s">
        <v>421</v>
      </c>
      <c r="F294" t="s">
        <v>459</v>
      </c>
      <c r="G294" s="85">
        <v>20</v>
      </c>
      <c r="H294" s="86">
        <v>20.010000000000002</v>
      </c>
      <c r="I294" s="86">
        <v>0.82</v>
      </c>
      <c r="J294" s="87">
        <v>0</v>
      </c>
      <c r="K294" s="85"/>
      <c r="L294" s="85"/>
      <c r="M294" t="s">
        <v>444</v>
      </c>
      <c r="N294" t="s">
        <v>495</v>
      </c>
      <c r="O294" t="s">
        <v>437</v>
      </c>
      <c r="P294" s="85">
        <v>-4.9975012493760927E-2</v>
      </c>
      <c r="Q294" s="85">
        <v>4.9975012493760927E-2</v>
      </c>
      <c r="R294" s="81"/>
      <c r="T294" t="s">
        <v>360</v>
      </c>
      <c r="U294" t="s">
        <v>759</v>
      </c>
    </row>
    <row r="295" spans="1:21" x14ac:dyDescent="0.3">
      <c r="A295" t="s">
        <v>397</v>
      </c>
      <c r="B295">
        <v>2025</v>
      </c>
      <c r="C295" t="s">
        <v>456</v>
      </c>
      <c r="D295" t="s">
        <v>421</v>
      </c>
      <c r="F295" t="s">
        <v>460</v>
      </c>
      <c r="G295" s="85">
        <v>20</v>
      </c>
      <c r="H295" s="86">
        <v>19.98</v>
      </c>
      <c r="I295" s="86">
        <v>0.54</v>
      </c>
      <c r="J295" s="87">
        <v>0</v>
      </c>
      <c r="K295" s="85"/>
      <c r="L295" s="85"/>
      <c r="M295" t="s">
        <v>444</v>
      </c>
      <c r="N295" t="s">
        <v>495</v>
      </c>
      <c r="O295" t="s">
        <v>437</v>
      </c>
      <c r="P295" s="85">
        <v>0.10010010010009797</v>
      </c>
      <c r="Q295" s="85">
        <v>0.10010010010009797</v>
      </c>
      <c r="R295" s="81"/>
      <c r="T295" t="s">
        <v>360</v>
      </c>
      <c r="U295" t="s">
        <v>760</v>
      </c>
    </row>
    <row r="296" spans="1:21" x14ac:dyDescent="0.3">
      <c r="A296" t="s">
        <v>397</v>
      </c>
      <c r="B296">
        <v>2025</v>
      </c>
      <c r="C296" t="s">
        <v>456</v>
      </c>
      <c r="D296" t="s">
        <v>421</v>
      </c>
      <c r="F296" t="s">
        <v>461</v>
      </c>
      <c r="G296" s="85">
        <v>20.399999999999999</v>
      </c>
      <c r="H296" s="86">
        <v>20.02</v>
      </c>
      <c r="I296" s="86">
        <v>0.75</v>
      </c>
      <c r="J296" s="87">
        <v>0.5</v>
      </c>
      <c r="K296" s="85"/>
      <c r="L296" s="85"/>
      <c r="M296" t="s">
        <v>444</v>
      </c>
      <c r="N296" t="s">
        <v>495</v>
      </c>
      <c r="O296" t="s">
        <v>437</v>
      </c>
      <c r="P296" s="85">
        <v>1.8981018981018931</v>
      </c>
      <c r="Q296" s="85">
        <v>1.8981018981018931</v>
      </c>
      <c r="R296" s="81"/>
      <c r="T296" t="s">
        <v>360</v>
      </c>
      <c r="U296" t="s">
        <v>761</v>
      </c>
    </row>
    <row r="297" spans="1:21" x14ac:dyDescent="0.3">
      <c r="A297" t="s">
        <v>397</v>
      </c>
      <c r="B297">
        <v>2025</v>
      </c>
      <c r="C297" t="s">
        <v>456</v>
      </c>
      <c r="D297" t="s">
        <v>422</v>
      </c>
      <c r="E297" t="s">
        <v>134</v>
      </c>
      <c r="F297" t="s">
        <v>457</v>
      </c>
      <c r="G297" s="85">
        <v>28.8</v>
      </c>
      <c r="H297" s="86">
        <v>27.65</v>
      </c>
      <c r="I297" s="86">
        <v>1.54</v>
      </c>
      <c r="J297" s="87">
        <v>0.7</v>
      </c>
      <c r="K297" s="85">
        <v>23</v>
      </c>
      <c r="L297" s="85">
        <v>32.299999999999997</v>
      </c>
      <c r="M297" t="s">
        <v>436</v>
      </c>
      <c r="N297" t="s">
        <v>464</v>
      </c>
      <c r="O297" t="s">
        <v>437</v>
      </c>
      <c r="P297" s="85">
        <v>4.1591320072332811</v>
      </c>
      <c r="Q297" s="85">
        <v>4.1591320072332811</v>
      </c>
      <c r="R297" s="81"/>
      <c r="T297" t="s">
        <v>360</v>
      </c>
      <c r="U297" t="s">
        <v>762</v>
      </c>
    </row>
    <row r="298" spans="1:21" x14ac:dyDescent="0.3">
      <c r="A298" t="s">
        <v>397</v>
      </c>
      <c r="B298">
        <v>2025</v>
      </c>
      <c r="C298" t="s">
        <v>456</v>
      </c>
      <c r="D298" t="s">
        <v>422</v>
      </c>
      <c r="E298" t="s">
        <v>134</v>
      </c>
      <c r="F298" t="s">
        <v>458</v>
      </c>
      <c r="G298" s="85">
        <v>27.6</v>
      </c>
      <c r="H298" s="86">
        <v>28.43</v>
      </c>
      <c r="I298" s="86">
        <v>1.33</v>
      </c>
      <c r="J298" s="87">
        <v>-0.6</v>
      </c>
      <c r="K298" s="85">
        <v>24.4</v>
      </c>
      <c r="L298" s="85">
        <v>32.5</v>
      </c>
      <c r="M298" t="s">
        <v>436</v>
      </c>
      <c r="N298" t="s">
        <v>464</v>
      </c>
      <c r="O298" t="s">
        <v>437</v>
      </c>
      <c r="P298" s="85">
        <v>-2.9194512838550768</v>
      </c>
      <c r="Q298" s="85">
        <v>2.9194512838550768</v>
      </c>
      <c r="R298" s="81"/>
      <c r="T298" t="s">
        <v>360</v>
      </c>
      <c r="U298" t="s">
        <v>763</v>
      </c>
    </row>
    <row r="299" spans="1:21" x14ac:dyDescent="0.3">
      <c r="A299" t="s">
        <v>397</v>
      </c>
      <c r="B299">
        <v>2025</v>
      </c>
      <c r="C299" t="s">
        <v>456</v>
      </c>
      <c r="D299" t="s">
        <v>422</v>
      </c>
      <c r="E299" t="s">
        <v>134</v>
      </c>
      <c r="F299" t="s">
        <v>459</v>
      </c>
      <c r="G299" s="85">
        <v>28.5</v>
      </c>
      <c r="H299" s="86">
        <v>28.34</v>
      </c>
      <c r="I299" s="86">
        <v>1.24</v>
      </c>
      <c r="J299" s="87">
        <v>0.1</v>
      </c>
      <c r="K299" s="85">
        <v>24.6</v>
      </c>
      <c r="L299" s="85">
        <v>32.1</v>
      </c>
      <c r="M299" t="s">
        <v>436</v>
      </c>
      <c r="N299" t="s">
        <v>464</v>
      </c>
      <c r="O299" t="s">
        <v>437</v>
      </c>
      <c r="P299" s="85">
        <v>0.5645730416372623</v>
      </c>
      <c r="Q299" s="85">
        <v>0.5645730416372623</v>
      </c>
      <c r="R299" s="81"/>
      <c r="T299" t="s">
        <v>360</v>
      </c>
      <c r="U299" t="s">
        <v>764</v>
      </c>
    </row>
    <row r="300" spans="1:21" x14ac:dyDescent="0.3">
      <c r="A300" t="s">
        <v>397</v>
      </c>
      <c r="B300">
        <v>2025</v>
      </c>
      <c r="C300" t="s">
        <v>456</v>
      </c>
      <c r="D300" t="s">
        <v>422</v>
      </c>
      <c r="E300" t="s">
        <v>134</v>
      </c>
      <c r="F300" t="s">
        <v>460</v>
      </c>
      <c r="G300" s="85">
        <v>35.299999999999997</v>
      </c>
      <c r="H300" s="86">
        <v>34.659999999999997</v>
      </c>
      <c r="I300" s="86">
        <v>1.48</v>
      </c>
      <c r="J300" s="87">
        <v>0.4</v>
      </c>
      <c r="K300" s="85">
        <v>30.2</v>
      </c>
      <c r="L300" s="85">
        <v>39.1</v>
      </c>
      <c r="M300" t="s">
        <v>436</v>
      </c>
      <c r="N300" t="s">
        <v>464</v>
      </c>
      <c r="O300" t="s">
        <v>437</v>
      </c>
      <c r="P300" s="85">
        <v>1.8465089440276996</v>
      </c>
      <c r="Q300" s="85">
        <v>1.8465089440276996</v>
      </c>
      <c r="R300" s="81"/>
      <c r="T300" t="s">
        <v>360</v>
      </c>
      <c r="U300" t="s">
        <v>765</v>
      </c>
    </row>
    <row r="301" spans="1:21" x14ac:dyDescent="0.3">
      <c r="A301" t="s">
        <v>397</v>
      </c>
      <c r="B301">
        <v>2025</v>
      </c>
      <c r="C301" t="s">
        <v>456</v>
      </c>
      <c r="D301" t="s">
        <v>422</v>
      </c>
      <c r="E301" t="s">
        <v>134</v>
      </c>
      <c r="F301" t="s">
        <v>461</v>
      </c>
      <c r="G301" s="85">
        <v>26.7</v>
      </c>
      <c r="H301" s="86">
        <v>24.6</v>
      </c>
      <c r="I301" s="86">
        <v>1.18</v>
      </c>
      <c r="J301" s="87">
        <v>1.8</v>
      </c>
      <c r="K301" s="85">
        <v>21</v>
      </c>
      <c r="L301" s="85">
        <v>28.2</v>
      </c>
      <c r="M301" t="s">
        <v>436</v>
      </c>
      <c r="N301" t="s">
        <v>464</v>
      </c>
      <c r="O301" t="s">
        <v>437</v>
      </c>
      <c r="P301" s="85">
        <v>8.5365853658536501</v>
      </c>
      <c r="Q301" s="85">
        <v>8.5365853658536501</v>
      </c>
      <c r="R301" s="81"/>
      <c r="T301" t="s">
        <v>360</v>
      </c>
      <c r="U301" t="s">
        <v>766</v>
      </c>
    </row>
    <row r="302" spans="1:21" x14ac:dyDescent="0.3">
      <c r="A302" t="s">
        <v>397</v>
      </c>
      <c r="B302">
        <v>2025</v>
      </c>
      <c r="C302" t="s">
        <v>456</v>
      </c>
      <c r="D302" t="s">
        <v>423</v>
      </c>
      <c r="E302" t="s">
        <v>139</v>
      </c>
      <c r="F302" t="s">
        <v>457</v>
      </c>
      <c r="G302" s="85">
        <v>0.81</v>
      </c>
      <c r="H302" s="86">
        <v>0.77400000000000002</v>
      </c>
      <c r="I302" s="86">
        <v>4.7E-2</v>
      </c>
      <c r="J302" s="87">
        <v>0.8</v>
      </c>
      <c r="K302" s="85">
        <v>0.63</v>
      </c>
      <c r="L302" s="85">
        <v>0.92</v>
      </c>
      <c r="M302" t="s">
        <v>436</v>
      </c>
      <c r="N302" t="s">
        <v>464</v>
      </c>
      <c r="O302" t="s">
        <v>442</v>
      </c>
      <c r="P302" s="85">
        <v>4.6511627906976782</v>
      </c>
      <c r="Q302" s="85">
        <v>4.6511627906976782</v>
      </c>
      <c r="R302" s="81"/>
      <c r="T302" t="s">
        <v>360</v>
      </c>
      <c r="U302" t="s">
        <v>767</v>
      </c>
    </row>
    <row r="303" spans="1:21" x14ac:dyDescent="0.3">
      <c r="A303" t="s">
        <v>397</v>
      </c>
      <c r="B303">
        <v>2025</v>
      </c>
      <c r="C303" t="s">
        <v>456</v>
      </c>
      <c r="D303" t="s">
        <v>423</v>
      </c>
      <c r="E303" t="s">
        <v>139</v>
      </c>
      <c r="F303" t="s">
        <v>458</v>
      </c>
      <c r="G303" s="85">
        <v>1.82</v>
      </c>
      <c r="H303" s="86">
        <v>1.897</v>
      </c>
      <c r="I303" s="86">
        <v>9.8000000000000004E-2</v>
      </c>
      <c r="J303" s="87">
        <v>-0.8</v>
      </c>
      <c r="K303" s="85">
        <v>1.6</v>
      </c>
      <c r="L303" s="85">
        <v>2.2000000000000002</v>
      </c>
      <c r="M303" t="s">
        <v>436</v>
      </c>
      <c r="N303" t="s">
        <v>464</v>
      </c>
      <c r="O303" t="s">
        <v>442</v>
      </c>
      <c r="P303" s="85">
        <v>-4.0590405904059015</v>
      </c>
      <c r="Q303" s="85">
        <v>4.0590405904059015</v>
      </c>
      <c r="R303" s="81"/>
      <c r="T303" t="s">
        <v>360</v>
      </c>
      <c r="U303" t="s">
        <v>768</v>
      </c>
    </row>
    <row r="304" spans="1:21" x14ac:dyDescent="0.3">
      <c r="A304" t="s">
        <v>397</v>
      </c>
      <c r="B304">
        <v>2025</v>
      </c>
      <c r="C304" t="s">
        <v>456</v>
      </c>
      <c r="D304" t="s">
        <v>423</v>
      </c>
      <c r="E304" t="s">
        <v>139</v>
      </c>
      <c r="F304" t="s">
        <v>459</v>
      </c>
      <c r="G304" s="85">
        <v>2.15</v>
      </c>
      <c r="H304" s="86">
        <v>2.1579999999999999</v>
      </c>
      <c r="I304" s="86">
        <v>0.10100000000000001</v>
      </c>
      <c r="J304" s="87">
        <v>-0.1</v>
      </c>
      <c r="K304" s="85">
        <v>1.85</v>
      </c>
      <c r="L304" s="85">
        <v>2.4700000000000002</v>
      </c>
      <c r="M304" t="s">
        <v>436</v>
      </c>
      <c r="N304" t="s">
        <v>464</v>
      </c>
      <c r="O304" t="s">
        <v>442</v>
      </c>
      <c r="P304" s="85">
        <v>-0.37071362372567229</v>
      </c>
      <c r="Q304" s="85">
        <v>0.37071362372567229</v>
      </c>
      <c r="R304" s="81"/>
      <c r="T304" t="s">
        <v>360</v>
      </c>
      <c r="U304" t="s">
        <v>769</v>
      </c>
    </row>
    <row r="305" spans="1:21" x14ac:dyDescent="0.3">
      <c r="A305" t="s">
        <v>397</v>
      </c>
      <c r="B305">
        <v>2025</v>
      </c>
      <c r="C305" t="s">
        <v>456</v>
      </c>
      <c r="D305" t="s">
        <v>423</v>
      </c>
      <c r="E305" t="s">
        <v>139</v>
      </c>
      <c r="F305" t="s">
        <v>460</v>
      </c>
      <c r="G305" s="85">
        <v>1</v>
      </c>
      <c r="H305" s="86">
        <v>1.016</v>
      </c>
      <c r="I305" s="86">
        <v>0.05</v>
      </c>
      <c r="J305" s="87">
        <v>-0.3</v>
      </c>
      <c r="K305" s="85">
        <v>0.86</v>
      </c>
      <c r="L305" s="85">
        <v>1.17</v>
      </c>
      <c r="M305" t="s">
        <v>436</v>
      </c>
      <c r="N305" t="s">
        <v>464</v>
      </c>
      <c r="O305" t="s">
        <v>442</v>
      </c>
      <c r="P305" s="85">
        <v>-1.5748031496063006</v>
      </c>
      <c r="Q305" s="85">
        <v>1.5748031496063006</v>
      </c>
      <c r="R305" s="81"/>
      <c r="T305" t="s">
        <v>360</v>
      </c>
      <c r="U305" t="s">
        <v>770</v>
      </c>
    </row>
    <row r="306" spans="1:21" x14ac:dyDescent="0.3">
      <c r="A306" t="s">
        <v>397</v>
      </c>
      <c r="B306">
        <v>2025</v>
      </c>
      <c r="C306" t="s">
        <v>456</v>
      </c>
      <c r="D306" t="s">
        <v>423</v>
      </c>
      <c r="E306" t="s">
        <v>139</v>
      </c>
      <c r="F306" t="s">
        <v>461</v>
      </c>
      <c r="G306" s="85">
        <v>4.72</v>
      </c>
      <c r="H306" s="86">
        <v>4.375</v>
      </c>
      <c r="I306" s="86">
        <v>0.224</v>
      </c>
      <c r="J306" s="87">
        <v>1.5</v>
      </c>
      <c r="K306" s="85">
        <v>3.7</v>
      </c>
      <c r="L306" s="85">
        <v>5.05</v>
      </c>
      <c r="M306" t="s">
        <v>436</v>
      </c>
      <c r="N306" t="s">
        <v>464</v>
      </c>
      <c r="O306" t="s">
        <v>442</v>
      </c>
      <c r="P306" s="85">
        <v>7.8857142857142808</v>
      </c>
      <c r="Q306" s="85">
        <v>7.8857142857142808</v>
      </c>
      <c r="R306" s="81"/>
      <c r="T306" t="s">
        <v>360</v>
      </c>
      <c r="U306" t="s">
        <v>771</v>
      </c>
    </row>
    <row r="307" spans="1:21" x14ac:dyDescent="0.3">
      <c r="A307" t="s">
        <v>397</v>
      </c>
      <c r="B307">
        <v>2025</v>
      </c>
      <c r="C307" t="s">
        <v>456</v>
      </c>
      <c r="D307" t="s">
        <v>130</v>
      </c>
      <c r="E307" t="s">
        <v>130</v>
      </c>
      <c r="F307" t="s">
        <v>457</v>
      </c>
      <c r="G307" s="85">
        <v>28.4</v>
      </c>
      <c r="H307" s="86">
        <v>28.72</v>
      </c>
      <c r="I307" s="86">
        <v>0.33</v>
      </c>
      <c r="J307" s="87">
        <v>-1</v>
      </c>
      <c r="K307" s="85">
        <v>27.7</v>
      </c>
      <c r="L307" s="85">
        <v>29.8</v>
      </c>
      <c r="M307" t="s">
        <v>436</v>
      </c>
      <c r="N307" t="s">
        <v>464</v>
      </c>
      <c r="O307" t="s">
        <v>445</v>
      </c>
      <c r="P307" s="85">
        <v>-1.1142061281337057</v>
      </c>
      <c r="Q307" s="85">
        <v>1.1142061281337057</v>
      </c>
      <c r="R307" s="81"/>
      <c r="T307" t="s">
        <v>360</v>
      </c>
      <c r="U307" t="s">
        <v>772</v>
      </c>
    </row>
    <row r="308" spans="1:21" x14ac:dyDescent="0.3">
      <c r="A308" t="s">
        <v>397</v>
      </c>
      <c r="B308">
        <v>2025</v>
      </c>
      <c r="C308" t="s">
        <v>456</v>
      </c>
      <c r="D308" t="s">
        <v>130</v>
      </c>
      <c r="E308" t="s">
        <v>130</v>
      </c>
      <c r="F308" t="s">
        <v>458</v>
      </c>
      <c r="G308" s="85">
        <v>28</v>
      </c>
      <c r="H308" s="86">
        <v>28.57</v>
      </c>
      <c r="I308" s="86">
        <v>0.32</v>
      </c>
      <c r="J308" s="87">
        <v>-1.8</v>
      </c>
      <c r="K308" s="85">
        <v>27.6</v>
      </c>
      <c r="L308" s="85">
        <v>29.6</v>
      </c>
      <c r="M308" t="s">
        <v>436</v>
      </c>
      <c r="N308" t="s">
        <v>464</v>
      </c>
      <c r="O308" t="s">
        <v>445</v>
      </c>
      <c r="P308" s="85">
        <v>-1.9950997549877503</v>
      </c>
      <c r="Q308" s="85">
        <v>1.9950997549877503</v>
      </c>
      <c r="R308" s="81"/>
      <c r="T308" t="s">
        <v>360</v>
      </c>
      <c r="U308" t="s">
        <v>773</v>
      </c>
    </row>
    <row r="309" spans="1:21" x14ac:dyDescent="0.3">
      <c r="A309" t="s">
        <v>397</v>
      </c>
      <c r="B309">
        <v>2025</v>
      </c>
      <c r="C309" t="s">
        <v>456</v>
      </c>
      <c r="D309" t="s">
        <v>130</v>
      </c>
      <c r="E309" t="s">
        <v>130</v>
      </c>
      <c r="F309" t="s">
        <v>459</v>
      </c>
      <c r="G309" s="85">
        <v>25</v>
      </c>
      <c r="H309" s="86">
        <v>25.3</v>
      </c>
      <c r="I309" s="86">
        <v>0.32</v>
      </c>
      <c r="J309" s="87">
        <v>-0.9</v>
      </c>
      <c r="K309" s="85">
        <v>24.3</v>
      </c>
      <c r="L309" s="85">
        <v>26.3</v>
      </c>
      <c r="M309" t="s">
        <v>436</v>
      </c>
      <c r="N309" t="s">
        <v>464</v>
      </c>
      <c r="O309" t="s">
        <v>445</v>
      </c>
      <c r="P309" s="85">
        <v>-1.185770750988145</v>
      </c>
      <c r="Q309" s="85">
        <v>1.185770750988145</v>
      </c>
      <c r="R309" s="81"/>
      <c r="T309" t="s">
        <v>360</v>
      </c>
      <c r="U309" t="s">
        <v>774</v>
      </c>
    </row>
    <row r="310" spans="1:21" x14ac:dyDescent="0.3">
      <c r="A310" t="s">
        <v>397</v>
      </c>
      <c r="B310">
        <v>2025</v>
      </c>
      <c r="C310" t="s">
        <v>456</v>
      </c>
      <c r="D310" t="s">
        <v>130</v>
      </c>
      <c r="E310" t="s">
        <v>130</v>
      </c>
      <c r="F310" t="s">
        <v>460</v>
      </c>
      <c r="G310" s="85">
        <v>24.9</v>
      </c>
      <c r="H310" s="86">
        <v>25.5</v>
      </c>
      <c r="I310" s="86">
        <v>0.35</v>
      </c>
      <c r="J310" s="87">
        <v>-1.7</v>
      </c>
      <c r="K310" s="85">
        <v>24.4</v>
      </c>
      <c r="L310" s="85">
        <v>26.6</v>
      </c>
      <c r="M310" t="s">
        <v>436</v>
      </c>
      <c r="N310" t="s">
        <v>464</v>
      </c>
      <c r="O310" t="s">
        <v>445</v>
      </c>
      <c r="P310" s="85">
        <v>-2.3529411764705936</v>
      </c>
      <c r="Q310" s="85">
        <v>2.3529411764705936</v>
      </c>
      <c r="R310" s="81"/>
      <c r="T310" t="s">
        <v>360</v>
      </c>
      <c r="U310" t="s">
        <v>775</v>
      </c>
    </row>
    <row r="311" spans="1:21" x14ac:dyDescent="0.3">
      <c r="A311" t="s">
        <v>397</v>
      </c>
      <c r="B311">
        <v>2025</v>
      </c>
      <c r="C311" t="s">
        <v>456</v>
      </c>
      <c r="D311" t="s">
        <v>130</v>
      </c>
      <c r="E311" t="s">
        <v>130</v>
      </c>
      <c r="F311" t="s">
        <v>461</v>
      </c>
      <c r="G311" s="85">
        <v>30.8</v>
      </c>
      <c r="H311" s="86">
        <v>31.29</v>
      </c>
      <c r="I311" s="86">
        <v>0.36</v>
      </c>
      <c r="J311" s="87">
        <v>-1.4</v>
      </c>
      <c r="K311" s="85">
        <v>30.2</v>
      </c>
      <c r="L311" s="85">
        <v>32.4</v>
      </c>
      <c r="M311" t="s">
        <v>436</v>
      </c>
      <c r="N311" t="s">
        <v>464</v>
      </c>
      <c r="O311" t="s">
        <v>445</v>
      </c>
      <c r="P311" s="85">
        <v>-1.5659955257270646</v>
      </c>
      <c r="Q311" s="85">
        <v>1.5659955257270646</v>
      </c>
      <c r="R311" s="81"/>
      <c r="T311" t="s">
        <v>360</v>
      </c>
      <c r="U311" t="s">
        <v>776</v>
      </c>
    </row>
    <row r="312" spans="1:21" x14ac:dyDescent="0.3">
      <c r="A312" t="s">
        <v>397</v>
      </c>
      <c r="B312">
        <v>2025</v>
      </c>
      <c r="C312" t="s">
        <v>456</v>
      </c>
      <c r="D312" t="s">
        <v>131</v>
      </c>
      <c r="E312" t="s">
        <v>131</v>
      </c>
      <c r="F312" t="s">
        <v>457</v>
      </c>
      <c r="G312" s="85">
        <v>34.299999999999997</v>
      </c>
      <c r="H312" s="86">
        <v>34.25</v>
      </c>
      <c r="I312" s="86">
        <v>0.49</v>
      </c>
      <c r="J312" s="87">
        <v>0.1</v>
      </c>
      <c r="K312" s="85">
        <v>32.700000000000003</v>
      </c>
      <c r="L312" s="85">
        <v>35.799999999999997</v>
      </c>
      <c r="M312" t="s">
        <v>436</v>
      </c>
      <c r="N312" t="s">
        <v>464</v>
      </c>
      <c r="O312" t="s">
        <v>443</v>
      </c>
      <c r="P312" s="85">
        <v>0.14598540145984573</v>
      </c>
      <c r="Q312" s="85">
        <v>0.14598540145984573</v>
      </c>
      <c r="R312" s="81"/>
      <c r="T312" t="s">
        <v>360</v>
      </c>
      <c r="U312" t="s">
        <v>777</v>
      </c>
    </row>
    <row r="313" spans="1:21" x14ac:dyDescent="0.3">
      <c r="A313" t="s">
        <v>397</v>
      </c>
      <c r="B313">
        <v>2025</v>
      </c>
      <c r="C313" t="s">
        <v>456</v>
      </c>
      <c r="D313" t="s">
        <v>131</v>
      </c>
      <c r="E313" t="s">
        <v>131</v>
      </c>
      <c r="F313" t="s">
        <v>458</v>
      </c>
      <c r="G313" s="85">
        <v>34.4</v>
      </c>
      <c r="H313" s="86">
        <v>34.43</v>
      </c>
      <c r="I313" s="86">
        <v>0.49</v>
      </c>
      <c r="J313" s="87">
        <v>-0.1</v>
      </c>
      <c r="K313" s="85">
        <v>32.9</v>
      </c>
      <c r="L313" s="85">
        <v>36</v>
      </c>
      <c r="M313" t="s">
        <v>436</v>
      </c>
      <c r="N313" t="s">
        <v>464</v>
      </c>
      <c r="O313" t="s">
        <v>443</v>
      </c>
      <c r="P313" s="85">
        <v>-8.7133313970377976E-2</v>
      </c>
      <c r="Q313" s="85">
        <v>8.7133313970377976E-2</v>
      </c>
      <c r="R313" s="81"/>
      <c r="T313" t="s">
        <v>360</v>
      </c>
      <c r="U313" t="s">
        <v>778</v>
      </c>
    </row>
    <row r="314" spans="1:21" x14ac:dyDescent="0.3">
      <c r="A314" t="s">
        <v>397</v>
      </c>
      <c r="B314">
        <v>2025</v>
      </c>
      <c r="C314" t="s">
        <v>456</v>
      </c>
      <c r="D314" t="s">
        <v>131</v>
      </c>
      <c r="E314" t="s">
        <v>131</v>
      </c>
      <c r="F314" t="s">
        <v>459</v>
      </c>
      <c r="G314" s="85">
        <v>34.5</v>
      </c>
      <c r="H314" s="86">
        <v>34.21</v>
      </c>
      <c r="I314" s="86">
        <v>0.56999999999999995</v>
      </c>
      <c r="J314" s="87">
        <v>0.5</v>
      </c>
      <c r="K314" s="85">
        <v>32.4</v>
      </c>
      <c r="L314" s="85">
        <v>36</v>
      </c>
      <c r="M314" t="s">
        <v>436</v>
      </c>
      <c r="N314" t="s">
        <v>464</v>
      </c>
      <c r="O314" t="s">
        <v>443</v>
      </c>
      <c r="P314" s="85">
        <v>0.84770534931306385</v>
      </c>
      <c r="Q314" s="85">
        <v>0.84770534931306385</v>
      </c>
      <c r="R314" s="81"/>
      <c r="T314" t="s">
        <v>360</v>
      </c>
      <c r="U314" t="s">
        <v>779</v>
      </c>
    </row>
    <row r="315" spans="1:21" x14ac:dyDescent="0.3">
      <c r="A315" t="s">
        <v>397</v>
      </c>
      <c r="B315">
        <v>2025</v>
      </c>
      <c r="C315" t="s">
        <v>456</v>
      </c>
      <c r="D315" t="s">
        <v>131</v>
      </c>
      <c r="E315" t="s">
        <v>131</v>
      </c>
      <c r="F315" t="s">
        <v>460</v>
      </c>
      <c r="G315" s="85">
        <v>33.700000000000003</v>
      </c>
      <c r="H315" s="86">
        <v>34.090000000000003</v>
      </c>
      <c r="I315" s="86">
        <v>0.61</v>
      </c>
      <c r="J315" s="87">
        <v>-0.6</v>
      </c>
      <c r="K315" s="85">
        <v>32.200000000000003</v>
      </c>
      <c r="L315" s="85">
        <v>36</v>
      </c>
      <c r="M315" t="s">
        <v>436</v>
      </c>
      <c r="N315" t="s">
        <v>464</v>
      </c>
      <c r="O315" t="s">
        <v>443</v>
      </c>
      <c r="P315" s="85">
        <v>-1.1440305074802009</v>
      </c>
      <c r="Q315" s="85">
        <v>1.1440305074802009</v>
      </c>
      <c r="R315" s="81"/>
      <c r="T315" t="s">
        <v>360</v>
      </c>
      <c r="U315" t="s">
        <v>780</v>
      </c>
    </row>
    <row r="316" spans="1:21" x14ac:dyDescent="0.3">
      <c r="A316" t="s">
        <v>397</v>
      </c>
      <c r="B316">
        <v>2025</v>
      </c>
      <c r="C316" t="s">
        <v>456</v>
      </c>
      <c r="D316" t="s">
        <v>131</v>
      </c>
      <c r="E316" t="s">
        <v>131</v>
      </c>
      <c r="F316" t="s">
        <v>461</v>
      </c>
      <c r="G316" s="85">
        <v>35</v>
      </c>
      <c r="H316" s="86">
        <v>35.049999999999997</v>
      </c>
      <c r="I316" s="86">
        <v>0.51</v>
      </c>
      <c r="J316" s="87">
        <v>-0.1</v>
      </c>
      <c r="K316" s="85">
        <v>33.5</v>
      </c>
      <c r="L316" s="85">
        <v>36.6</v>
      </c>
      <c r="M316" t="s">
        <v>436</v>
      </c>
      <c r="N316" t="s">
        <v>464</v>
      </c>
      <c r="O316" t="s">
        <v>443</v>
      </c>
      <c r="P316" s="85">
        <v>-0.14265335235377222</v>
      </c>
      <c r="Q316" s="85">
        <v>0.14265335235377222</v>
      </c>
      <c r="R316" s="81"/>
      <c r="T316" t="s">
        <v>360</v>
      </c>
      <c r="U316" t="s">
        <v>781</v>
      </c>
    </row>
    <row r="317" spans="1:21" x14ac:dyDescent="0.3">
      <c r="A317" t="s">
        <v>397</v>
      </c>
      <c r="B317">
        <v>2025</v>
      </c>
      <c r="C317" t="s">
        <v>456</v>
      </c>
      <c r="D317" t="s">
        <v>129</v>
      </c>
      <c r="E317" t="s">
        <v>129</v>
      </c>
      <c r="F317" t="s">
        <v>457</v>
      </c>
      <c r="G317" s="85">
        <v>82.6</v>
      </c>
      <c r="H317" s="86">
        <v>83.87</v>
      </c>
      <c r="I317" s="86">
        <v>0.86</v>
      </c>
      <c r="J317" s="87">
        <v>-1.5</v>
      </c>
      <c r="K317" s="85">
        <v>81.2</v>
      </c>
      <c r="L317" s="85">
        <v>86.5</v>
      </c>
      <c r="M317" t="s">
        <v>436</v>
      </c>
      <c r="N317" t="s">
        <v>464</v>
      </c>
      <c r="O317" t="s">
        <v>447</v>
      </c>
      <c r="P317" s="85">
        <v>-1.5142482413258735</v>
      </c>
      <c r="Q317" s="85">
        <v>1.5142482413258735</v>
      </c>
      <c r="R317" s="81"/>
      <c r="T317" t="s">
        <v>360</v>
      </c>
      <c r="U317" t="s">
        <v>782</v>
      </c>
    </row>
    <row r="318" spans="1:21" x14ac:dyDescent="0.3">
      <c r="A318" t="s">
        <v>397</v>
      </c>
      <c r="B318">
        <v>2025</v>
      </c>
      <c r="C318" t="s">
        <v>456</v>
      </c>
      <c r="D318" t="s">
        <v>129</v>
      </c>
      <c r="E318" t="s">
        <v>129</v>
      </c>
      <c r="F318" t="s">
        <v>458</v>
      </c>
      <c r="G318" s="85">
        <v>81.599999999999994</v>
      </c>
      <c r="H318" s="86">
        <v>83.02</v>
      </c>
      <c r="I318" s="86">
        <v>0.86</v>
      </c>
      <c r="J318" s="87">
        <v>-1.6</v>
      </c>
      <c r="K318" s="85">
        <v>80.400000000000006</v>
      </c>
      <c r="L318" s="85">
        <v>85.7</v>
      </c>
      <c r="M318" t="s">
        <v>436</v>
      </c>
      <c r="N318" t="s">
        <v>464</v>
      </c>
      <c r="O318" t="s">
        <v>447</v>
      </c>
      <c r="P318" s="85">
        <v>-1.7104312213924378</v>
      </c>
      <c r="Q318" s="85">
        <v>1.7104312213924378</v>
      </c>
      <c r="R318" s="81"/>
      <c r="T318" t="s">
        <v>360</v>
      </c>
      <c r="U318" t="s">
        <v>783</v>
      </c>
    </row>
    <row r="319" spans="1:21" x14ac:dyDescent="0.3">
      <c r="A319" t="s">
        <v>397</v>
      </c>
      <c r="B319">
        <v>2025</v>
      </c>
      <c r="C319" t="s">
        <v>456</v>
      </c>
      <c r="D319" t="s">
        <v>129</v>
      </c>
      <c r="E319" t="s">
        <v>129</v>
      </c>
      <c r="F319" t="s">
        <v>459</v>
      </c>
      <c r="G319" s="85">
        <v>72.5</v>
      </c>
      <c r="H319" s="86">
        <v>74.02</v>
      </c>
      <c r="I319" s="86">
        <v>0.83</v>
      </c>
      <c r="J319" s="87">
        <v>-1.8</v>
      </c>
      <c r="K319" s="85">
        <v>71.5</v>
      </c>
      <c r="L319" s="85">
        <v>76.599999999999994</v>
      </c>
      <c r="M319" t="s">
        <v>436</v>
      </c>
      <c r="N319" t="s">
        <v>464</v>
      </c>
      <c r="O319" t="s">
        <v>447</v>
      </c>
      <c r="P319" s="85">
        <v>-2.0534990543096407</v>
      </c>
      <c r="Q319" s="85">
        <v>2.0534990543096407</v>
      </c>
      <c r="R319" s="81"/>
      <c r="T319" t="s">
        <v>360</v>
      </c>
      <c r="U319" t="s">
        <v>784</v>
      </c>
    </row>
    <row r="320" spans="1:21" x14ac:dyDescent="0.3">
      <c r="A320" t="s">
        <v>397</v>
      </c>
      <c r="B320">
        <v>2025</v>
      </c>
      <c r="C320" t="s">
        <v>456</v>
      </c>
      <c r="D320" t="s">
        <v>129</v>
      </c>
      <c r="E320" t="s">
        <v>129</v>
      </c>
      <c r="F320" t="s">
        <v>460</v>
      </c>
      <c r="G320" s="85">
        <v>73.8</v>
      </c>
      <c r="H320" s="86">
        <v>74.75</v>
      </c>
      <c r="I320" s="86">
        <v>0.84</v>
      </c>
      <c r="J320" s="87">
        <v>-1.4</v>
      </c>
      <c r="K320" s="85">
        <v>72.2</v>
      </c>
      <c r="L320" s="85">
        <v>77.3</v>
      </c>
      <c r="M320" t="s">
        <v>436</v>
      </c>
      <c r="N320" t="s">
        <v>464</v>
      </c>
      <c r="O320" t="s">
        <v>447</v>
      </c>
      <c r="P320" s="85">
        <v>-1.2709030100334486</v>
      </c>
      <c r="Q320" s="85">
        <v>1.2709030100334486</v>
      </c>
      <c r="R320" s="81"/>
      <c r="T320" t="s">
        <v>360</v>
      </c>
      <c r="U320" t="s">
        <v>785</v>
      </c>
    </row>
    <row r="321" spans="1:21" x14ac:dyDescent="0.3">
      <c r="A321" t="s">
        <v>397</v>
      </c>
      <c r="B321">
        <v>2025</v>
      </c>
      <c r="C321" t="s">
        <v>456</v>
      </c>
      <c r="D321" t="s">
        <v>129</v>
      </c>
      <c r="E321" t="s">
        <v>129</v>
      </c>
      <c r="F321" t="s">
        <v>461</v>
      </c>
      <c r="G321" s="85">
        <v>87.9</v>
      </c>
      <c r="H321" s="86">
        <v>89.28</v>
      </c>
      <c r="I321" s="86">
        <v>0.92</v>
      </c>
      <c r="J321" s="87">
        <v>-1.5</v>
      </c>
      <c r="K321" s="85">
        <v>86.5</v>
      </c>
      <c r="L321" s="85">
        <v>92.1</v>
      </c>
      <c r="M321" t="s">
        <v>436</v>
      </c>
      <c r="N321" t="s">
        <v>464</v>
      </c>
      <c r="O321" t="s">
        <v>447</v>
      </c>
      <c r="P321" s="85">
        <v>-1.5456989247311776</v>
      </c>
      <c r="Q321" s="85">
        <v>1.5456989247311776</v>
      </c>
      <c r="R321" s="81"/>
      <c r="T321" t="s">
        <v>360</v>
      </c>
      <c r="U321" t="s">
        <v>786</v>
      </c>
    </row>
    <row r="322" spans="1:21" x14ac:dyDescent="0.3">
      <c r="A322" t="s">
        <v>397</v>
      </c>
      <c r="B322">
        <v>2025</v>
      </c>
      <c r="C322" t="s">
        <v>456</v>
      </c>
      <c r="D322" t="s">
        <v>149</v>
      </c>
      <c r="E322" t="s">
        <v>149</v>
      </c>
      <c r="F322" t="s">
        <v>457</v>
      </c>
      <c r="G322" s="85">
        <v>9.1</v>
      </c>
      <c r="H322" s="86">
        <v>9.6</v>
      </c>
      <c r="I322" s="86">
        <v>0.22</v>
      </c>
      <c r="J322" s="87">
        <v>-2.2999999999999998</v>
      </c>
      <c r="K322" s="85">
        <v>8.9</v>
      </c>
      <c r="L322" s="85">
        <v>10.3</v>
      </c>
      <c r="M322" t="s">
        <v>436</v>
      </c>
      <c r="N322" t="s">
        <v>464</v>
      </c>
      <c r="O322" t="s">
        <v>447</v>
      </c>
      <c r="P322" s="85">
        <v>-5.2083333333333339</v>
      </c>
      <c r="Q322" s="85">
        <v>5.2083333333333339</v>
      </c>
      <c r="R322" s="81"/>
      <c r="T322" t="s">
        <v>360</v>
      </c>
      <c r="U322" t="s">
        <v>787</v>
      </c>
    </row>
    <row r="323" spans="1:21" x14ac:dyDescent="0.3">
      <c r="A323" t="s">
        <v>397</v>
      </c>
      <c r="B323">
        <v>2025</v>
      </c>
      <c r="C323" t="s">
        <v>456</v>
      </c>
      <c r="D323" t="s">
        <v>149</v>
      </c>
      <c r="E323" t="s">
        <v>149</v>
      </c>
      <c r="F323" t="s">
        <v>458</v>
      </c>
      <c r="G323" s="85">
        <v>9.4</v>
      </c>
      <c r="H323" s="86">
        <v>9.7899999999999991</v>
      </c>
      <c r="I323" s="86">
        <v>0.19</v>
      </c>
      <c r="J323" s="87">
        <v>-2</v>
      </c>
      <c r="K323" s="85">
        <v>9.1999999999999993</v>
      </c>
      <c r="L323" s="85">
        <v>10.4</v>
      </c>
      <c r="M323" t="s">
        <v>436</v>
      </c>
      <c r="N323" t="s">
        <v>464</v>
      </c>
      <c r="O323" t="s">
        <v>447</v>
      </c>
      <c r="P323" s="85">
        <v>-3.9836567926455451</v>
      </c>
      <c r="Q323" s="85">
        <v>3.9836567926455451</v>
      </c>
      <c r="R323" s="81"/>
      <c r="T323" t="s">
        <v>360</v>
      </c>
      <c r="U323" t="s">
        <v>788</v>
      </c>
    </row>
    <row r="324" spans="1:21" x14ac:dyDescent="0.3">
      <c r="A324" t="s">
        <v>397</v>
      </c>
      <c r="B324">
        <v>2025</v>
      </c>
      <c r="C324" t="s">
        <v>456</v>
      </c>
      <c r="D324" t="s">
        <v>149</v>
      </c>
      <c r="E324" t="s">
        <v>149</v>
      </c>
      <c r="F324" t="s">
        <v>459</v>
      </c>
      <c r="G324" s="85">
        <v>9.6</v>
      </c>
      <c r="H324" s="86">
        <v>9.9499999999999993</v>
      </c>
      <c r="I324" s="86">
        <v>0.19</v>
      </c>
      <c r="J324" s="87">
        <v>-1.9</v>
      </c>
      <c r="K324" s="85">
        <v>9.3000000000000007</v>
      </c>
      <c r="L324" s="85">
        <v>10.6</v>
      </c>
      <c r="M324" t="s">
        <v>436</v>
      </c>
      <c r="N324" t="s">
        <v>464</v>
      </c>
      <c r="O324" t="s">
        <v>447</v>
      </c>
      <c r="P324" s="85">
        <v>-3.517587939698489</v>
      </c>
      <c r="Q324" s="85">
        <v>3.517587939698489</v>
      </c>
      <c r="R324" s="81"/>
      <c r="T324" t="s">
        <v>360</v>
      </c>
      <c r="U324" t="s">
        <v>789</v>
      </c>
    </row>
    <row r="325" spans="1:21" x14ac:dyDescent="0.3">
      <c r="A325" t="s">
        <v>397</v>
      </c>
      <c r="B325">
        <v>2025</v>
      </c>
      <c r="C325" t="s">
        <v>456</v>
      </c>
      <c r="D325" t="s">
        <v>149</v>
      </c>
      <c r="E325" t="s">
        <v>149</v>
      </c>
      <c r="F325" t="s">
        <v>460</v>
      </c>
      <c r="G325" s="85">
        <v>10.199999999999999</v>
      </c>
      <c r="H325" s="86">
        <v>10.29</v>
      </c>
      <c r="I325" s="86">
        <v>0.34</v>
      </c>
      <c r="J325" s="87">
        <v>-0.3</v>
      </c>
      <c r="K325" s="85">
        <v>9.1999999999999993</v>
      </c>
      <c r="L325" s="85">
        <v>11.4</v>
      </c>
      <c r="M325" t="s">
        <v>436</v>
      </c>
      <c r="N325" t="s">
        <v>464</v>
      </c>
      <c r="O325" t="s">
        <v>447</v>
      </c>
      <c r="P325" s="85">
        <v>-0.87463556851311819</v>
      </c>
      <c r="Q325" s="85">
        <v>0.87463556851311819</v>
      </c>
      <c r="R325" s="81"/>
      <c r="T325" t="s">
        <v>360</v>
      </c>
      <c r="U325" t="s">
        <v>790</v>
      </c>
    </row>
    <row r="326" spans="1:21" x14ac:dyDescent="0.3">
      <c r="A326" t="s">
        <v>397</v>
      </c>
      <c r="B326">
        <v>2025</v>
      </c>
      <c r="C326" t="s">
        <v>456</v>
      </c>
      <c r="D326" t="s">
        <v>149</v>
      </c>
      <c r="E326" t="s">
        <v>149</v>
      </c>
      <c r="F326" t="s">
        <v>461</v>
      </c>
      <c r="G326" s="85">
        <v>9.3000000000000007</v>
      </c>
      <c r="H326" s="86">
        <v>9.57</v>
      </c>
      <c r="I326" s="86">
        <v>0.15</v>
      </c>
      <c r="J326" s="87">
        <v>-1.8</v>
      </c>
      <c r="K326" s="85">
        <v>9.1</v>
      </c>
      <c r="L326" s="85">
        <v>10.1</v>
      </c>
      <c r="M326" t="s">
        <v>436</v>
      </c>
      <c r="N326" t="s">
        <v>464</v>
      </c>
      <c r="O326" t="s">
        <v>447</v>
      </c>
      <c r="P326" s="85">
        <v>-2.8213166144200579</v>
      </c>
      <c r="Q326" s="85">
        <v>2.8213166144200579</v>
      </c>
      <c r="R326" s="81"/>
      <c r="T326" t="s">
        <v>360</v>
      </c>
      <c r="U326" t="s">
        <v>791</v>
      </c>
    </row>
    <row r="327" spans="1:21" x14ac:dyDescent="0.3">
      <c r="A327" t="s">
        <v>397</v>
      </c>
      <c r="B327">
        <v>2025</v>
      </c>
      <c r="C327" t="s">
        <v>456</v>
      </c>
      <c r="D327" t="s">
        <v>424</v>
      </c>
      <c r="E327" t="s">
        <v>135</v>
      </c>
      <c r="F327" t="s">
        <v>457</v>
      </c>
      <c r="G327" s="85">
        <v>12.1</v>
      </c>
      <c r="H327" s="86">
        <v>12.21</v>
      </c>
      <c r="I327" s="86">
        <v>1.48</v>
      </c>
      <c r="J327" s="87">
        <v>-0.1</v>
      </c>
      <c r="K327" s="85">
        <v>7.7</v>
      </c>
      <c r="L327" s="85">
        <v>16.7</v>
      </c>
      <c r="M327" t="s">
        <v>436</v>
      </c>
      <c r="N327" t="s">
        <v>464</v>
      </c>
      <c r="O327" t="s">
        <v>437</v>
      </c>
      <c r="P327" s="85">
        <v>-0.90090090090091079</v>
      </c>
      <c r="Q327" s="85">
        <v>0.90090090090091079</v>
      </c>
      <c r="R327" s="81"/>
      <c r="T327" t="s">
        <v>360</v>
      </c>
      <c r="U327" t="s">
        <v>792</v>
      </c>
    </row>
    <row r="328" spans="1:21" x14ac:dyDescent="0.3">
      <c r="A328" t="s">
        <v>397</v>
      </c>
      <c r="B328">
        <v>2025</v>
      </c>
      <c r="C328" t="s">
        <v>456</v>
      </c>
      <c r="D328" t="s">
        <v>424</v>
      </c>
      <c r="E328" t="s">
        <v>135</v>
      </c>
      <c r="F328" t="s">
        <v>458</v>
      </c>
      <c r="G328" s="85">
        <v>12.1</v>
      </c>
      <c r="H328" s="86">
        <v>11.63</v>
      </c>
      <c r="I328" s="86">
        <v>1.27</v>
      </c>
      <c r="J328" s="87">
        <v>0.4</v>
      </c>
      <c r="K328" s="85">
        <v>7.8</v>
      </c>
      <c r="L328" s="85">
        <v>15.5</v>
      </c>
      <c r="M328" t="s">
        <v>436</v>
      </c>
      <c r="N328" t="s">
        <v>464</v>
      </c>
      <c r="O328" t="s">
        <v>437</v>
      </c>
      <c r="P328" s="85">
        <v>4.0412725709372213</v>
      </c>
      <c r="Q328" s="85">
        <v>4.0412725709372213</v>
      </c>
      <c r="R328" s="81"/>
      <c r="T328" t="s">
        <v>360</v>
      </c>
      <c r="U328" t="s">
        <v>793</v>
      </c>
    </row>
    <row r="329" spans="1:21" x14ac:dyDescent="0.3">
      <c r="A329" t="s">
        <v>397</v>
      </c>
      <c r="B329">
        <v>2025</v>
      </c>
      <c r="C329" t="s">
        <v>456</v>
      </c>
      <c r="D329" t="s">
        <v>424</v>
      </c>
      <c r="E329" t="s">
        <v>135</v>
      </c>
      <c r="F329" t="s">
        <v>459</v>
      </c>
      <c r="G329" s="85">
        <v>12.1</v>
      </c>
      <c r="H329" s="86">
        <v>11.83</v>
      </c>
      <c r="I329" s="86">
        <v>1.1599999999999999</v>
      </c>
      <c r="J329" s="87">
        <v>0.2</v>
      </c>
      <c r="K329" s="85">
        <v>8.3000000000000007</v>
      </c>
      <c r="L329" s="85">
        <v>15.4</v>
      </c>
      <c r="M329" t="s">
        <v>436</v>
      </c>
      <c r="N329" t="s">
        <v>464</v>
      </c>
      <c r="O329" t="s">
        <v>437</v>
      </c>
      <c r="P329" s="85">
        <v>2.2823330515638172</v>
      </c>
      <c r="Q329" s="85">
        <v>2.2823330515638172</v>
      </c>
      <c r="R329" s="81"/>
      <c r="T329" t="s">
        <v>360</v>
      </c>
      <c r="U329" t="s">
        <v>794</v>
      </c>
    </row>
    <row r="330" spans="1:21" x14ac:dyDescent="0.3">
      <c r="A330" t="s">
        <v>397</v>
      </c>
      <c r="B330">
        <v>2025</v>
      </c>
      <c r="C330" t="s">
        <v>456</v>
      </c>
      <c r="D330" t="s">
        <v>424</v>
      </c>
      <c r="E330" t="s">
        <v>135</v>
      </c>
      <c r="F330" t="s">
        <v>460</v>
      </c>
      <c r="G330" s="85">
        <v>13.4</v>
      </c>
      <c r="H330" s="86">
        <v>11.36</v>
      </c>
      <c r="I330" s="86">
        <v>1.31</v>
      </c>
      <c r="J330" s="87">
        <v>1.6</v>
      </c>
      <c r="K330" s="85">
        <v>7.4</v>
      </c>
      <c r="L330" s="85">
        <v>15.3</v>
      </c>
      <c r="M330" t="s">
        <v>436</v>
      </c>
      <c r="N330" t="s">
        <v>464</v>
      </c>
      <c r="O330" t="s">
        <v>437</v>
      </c>
      <c r="P330" s="85">
        <v>17.957746478873247</v>
      </c>
      <c r="Q330" s="85">
        <v>17.957746478873247</v>
      </c>
      <c r="R330" s="81"/>
      <c r="T330" t="s">
        <v>360</v>
      </c>
      <c r="U330" t="s">
        <v>795</v>
      </c>
    </row>
    <row r="331" spans="1:21" x14ac:dyDescent="0.3">
      <c r="A331" t="s">
        <v>397</v>
      </c>
      <c r="B331">
        <v>2025</v>
      </c>
      <c r="C331" t="s">
        <v>456</v>
      </c>
      <c r="D331" t="s">
        <v>424</v>
      </c>
      <c r="E331" t="s">
        <v>135</v>
      </c>
      <c r="F331" t="s">
        <v>461</v>
      </c>
      <c r="G331" s="85">
        <v>9.4</v>
      </c>
      <c r="H331" s="86">
        <v>10.84</v>
      </c>
      <c r="I331" s="86">
        <v>1.17</v>
      </c>
      <c r="J331" s="87">
        <v>-1.2</v>
      </c>
      <c r="K331" s="85">
        <v>7.3</v>
      </c>
      <c r="L331" s="85">
        <v>14.4</v>
      </c>
      <c r="M331" t="s">
        <v>436</v>
      </c>
      <c r="N331" t="s">
        <v>464</v>
      </c>
      <c r="O331" t="s">
        <v>437</v>
      </c>
      <c r="P331" s="85">
        <v>-13.284132841328407</v>
      </c>
      <c r="Q331" s="85">
        <v>13.284132841328407</v>
      </c>
      <c r="R331" s="81"/>
      <c r="T331" t="s">
        <v>360</v>
      </c>
      <c r="U331" t="s">
        <v>796</v>
      </c>
    </row>
    <row r="332" spans="1:21" x14ac:dyDescent="0.3">
      <c r="A332" t="s">
        <v>397</v>
      </c>
      <c r="B332">
        <v>2025</v>
      </c>
      <c r="C332" t="s">
        <v>456</v>
      </c>
      <c r="D332" t="s">
        <v>425</v>
      </c>
      <c r="E332" t="s">
        <v>140</v>
      </c>
      <c r="F332" t="s">
        <v>457</v>
      </c>
      <c r="G332" s="85">
        <v>0.34</v>
      </c>
      <c r="H332" s="86">
        <v>0.34200000000000003</v>
      </c>
      <c r="I332" s="86">
        <v>4.2999999999999997E-2</v>
      </c>
      <c r="J332" s="87">
        <v>0</v>
      </c>
      <c r="K332" s="85">
        <v>0.21</v>
      </c>
      <c r="L332" s="85">
        <v>0.47</v>
      </c>
      <c r="M332" t="s">
        <v>436</v>
      </c>
      <c r="N332" t="s">
        <v>464</v>
      </c>
      <c r="O332" t="s">
        <v>442</v>
      </c>
      <c r="P332" s="85">
        <v>-0.58479532163742742</v>
      </c>
      <c r="Q332" s="85">
        <v>0.58479532163742742</v>
      </c>
      <c r="R332" s="81"/>
      <c r="T332" t="s">
        <v>360</v>
      </c>
      <c r="U332" t="s">
        <v>797</v>
      </c>
    </row>
    <row r="333" spans="1:21" x14ac:dyDescent="0.3">
      <c r="A333" t="s">
        <v>397</v>
      </c>
      <c r="B333">
        <v>2025</v>
      </c>
      <c r="C333" t="s">
        <v>456</v>
      </c>
      <c r="D333" t="s">
        <v>425</v>
      </c>
      <c r="E333" t="s">
        <v>140</v>
      </c>
      <c r="F333" t="s">
        <v>458</v>
      </c>
      <c r="G333" s="85">
        <v>0.8</v>
      </c>
      <c r="H333" s="86">
        <v>0.77600000000000002</v>
      </c>
      <c r="I333" s="86">
        <v>8.5999999999999993E-2</v>
      </c>
      <c r="J333" s="87">
        <v>0.3</v>
      </c>
      <c r="K333" s="85">
        <v>0.51</v>
      </c>
      <c r="L333" s="85">
        <v>1.04</v>
      </c>
      <c r="M333" t="s">
        <v>436</v>
      </c>
      <c r="N333" t="s">
        <v>464</v>
      </c>
      <c r="O333" t="s">
        <v>442</v>
      </c>
      <c r="P333" s="85">
        <v>3.0927835051546415</v>
      </c>
      <c r="Q333" s="85">
        <v>3.0927835051546415</v>
      </c>
      <c r="R333" s="81"/>
      <c r="T333" t="s">
        <v>360</v>
      </c>
      <c r="U333" t="s">
        <v>798</v>
      </c>
    </row>
    <row r="334" spans="1:21" x14ac:dyDescent="0.3">
      <c r="A334" t="s">
        <v>397</v>
      </c>
      <c r="B334">
        <v>2025</v>
      </c>
      <c r="C334" t="s">
        <v>456</v>
      </c>
      <c r="D334" t="s">
        <v>425</v>
      </c>
      <c r="E334" t="s">
        <v>140</v>
      </c>
      <c r="F334" t="s">
        <v>459</v>
      </c>
      <c r="G334" s="85">
        <v>0.91</v>
      </c>
      <c r="H334" s="86">
        <v>0.90100000000000002</v>
      </c>
      <c r="I334" s="86">
        <v>9.0999999999999998E-2</v>
      </c>
      <c r="J334" s="87">
        <v>0.1</v>
      </c>
      <c r="K334" s="85">
        <v>0.62</v>
      </c>
      <c r="L334" s="85">
        <v>1.18</v>
      </c>
      <c r="M334" t="s">
        <v>436</v>
      </c>
      <c r="N334" t="s">
        <v>464</v>
      </c>
      <c r="O334" t="s">
        <v>442</v>
      </c>
      <c r="P334" s="85">
        <v>0.99889012208657124</v>
      </c>
      <c r="Q334" s="85">
        <v>0.99889012208657124</v>
      </c>
      <c r="R334" s="81"/>
      <c r="T334" t="s">
        <v>360</v>
      </c>
      <c r="U334" t="s">
        <v>799</v>
      </c>
    </row>
    <row r="335" spans="1:21" x14ac:dyDescent="0.3">
      <c r="A335" t="s">
        <v>397</v>
      </c>
      <c r="B335">
        <v>2025</v>
      </c>
      <c r="C335" t="s">
        <v>456</v>
      </c>
      <c r="D335" t="s">
        <v>425</v>
      </c>
      <c r="E335" t="s">
        <v>140</v>
      </c>
      <c r="F335" t="s">
        <v>460</v>
      </c>
      <c r="G335" s="85">
        <v>0.38</v>
      </c>
      <c r="H335" s="86">
        <v>0.33300000000000002</v>
      </c>
      <c r="I335" s="86">
        <v>3.9E-2</v>
      </c>
      <c r="J335" s="87">
        <v>1.2</v>
      </c>
      <c r="K335" s="85">
        <v>0.21</v>
      </c>
      <c r="L335" s="85">
        <v>0.46</v>
      </c>
      <c r="M335" t="s">
        <v>436</v>
      </c>
      <c r="N335" t="s">
        <v>464</v>
      </c>
      <c r="O335" t="s">
        <v>442</v>
      </c>
      <c r="P335" s="85">
        <v>14.114114114114109</v>
      </c>
      <c r="Q335" s="85">
        <v>14.114114114114109</v>
      </c>
      <c r="R335" s="81"/>
      <c r="T335" t="s">
        <v>360</v>
      </c>
      <c r="U335" t="s">
        <v>800</v>
      </c>
    </row>
    <row r="336" spans="1:21" x14ac:dyDescent="0.3">
      <c r="A336" t="s">
        <v>397</v>
      </c>
      <c r="B336">
        <v>2025</v>
      </c>
      <c r="C336" t="s">
        <v>456</v>
      </c>
      <c r="D336" t="s">
        <v>425</v>
      </c>
      <c r="E336" t="s">
        <v>140</v>
      </c>
      <c r="F336" t="s">
        <v>461</v>
      </c>
      <c r="G336" s="85">
        <v>1.67</v>
      </c>
      <c r="H336" s="86">
        <v>1.927</v>
      </c>
      <c r="I336" s="86">
        <v>0.21099999999999999</v>
      </c>
      <c r="J336" s="87">
        <v>-1.2</v>
      </c>
      <c r="K336" s="85">
        <v>1.29</v>
      </c>
      <c r="L336" s="85">
        <v>2.56</v>
      </c>
      <c r="M336" t="s">
        <v>436</v>
      </c>
      <c r="N336" t="s">
        <v>464</v>
      </c>
      <c r="O336" t="s">
        <v>442</v>
      </c>
      <c r="P336" s="85">
        <v>-13.336792942397516</v>
      </c>
      <c r="Q336" s="85">
        <v>13.336792942397516</v>
      </c>
      <c r="R336" s="81"/>
      <c r="T336" t="s">
        <v>360</v>
      </c>
      <c r="U336" t="s">
        <v>801</v>
      </c>
    </row>
    <row r="337" spans="1:21" x14ac:dyDescent="0.3">
      <c r="A337" t="s">
        <v>397</v>
      </c>
      <c r="B337">
        <v>2025</v>
      </c>
      <c r="C337" t="s">
        <v>456</v>
      </c>
      <c r="D337" t="s">
        <v>426</v>
      </c>
      <c r="E337" t="s">
        <v>133</v>
      </c>
      <c r="F337" t="s">
        <v>457</v>
      </c>
      <c r="G337" s="85">
        <v>43.5</v>
      </c>
      <c r="H337" s="86">
        <v>44.59</v>
      </c>
      <c r="I337" s="86">
        <v>1.1499999999999999</v>
      </c>
      <c r="J337" s="87">
        <v>-1</v>
      </c>
      <c r="K337" s="85">
        <v>41.1</v>
      </c>
      <c r="L337" s="85">
        <v>48.1</v>
      </c>
      <c r="M337" t="s">
        <v>436</v>
      </c>
      <c r="N337" t="s">
        <v>464</v>
      </c>
      <c r="O337" t="s">
        <v>437</v>
      </c>
      <c r="P337" s="85">
        <v>-2.4444942812289825</v>
      </c>
      <c r="Q337" s="85">
        <v>2.4444942812289825</v>
      </c>
      <c r="R337" s="81"/>
      <c r="T337" t="s">
        <v>360</v>
      </c>
      <c r="U337" t="s">
        <v>802</v>
      </c>
    </row>
    <row r="338" spans="1:21" x14ac:dyDescent="0.3">
      <c r="A338" t="s">
        <v>397</v>
      </c>
      <c r="B338">
        <v>2025</v>
      </c>
      <c r="C338" t="s">
        <v>456</v>
      </c>
      <c r="D338" t="s">
        <v>426</v>
      </c>
      <c r="E338" t="s">
        <v>133</v>
      </c>
      <c r="F338" t="s">
        <v>458</v>
      </c>
      <c r="G338" s="85">
        <v>45.4</v>
      </c>
      <c r="H338" s="86">
        <v>44.4</v>
      </c>
      <c r="I338" s="86">
        <v>0.92</v>
      </c>
      <c r="J338" s="87">
        <v>1.1000000000000001</v>
      </c>
      <c r="K338" s="85">
        <v>41.6</v>
      </c>
      <c r="L338" s="85">
        <v>47.2</v>
      </c>
      <c r="M338" t="s">
        <v>436</v>
      </c>
      <c r="N338" t="s">
        <v>464</v>
      </c>
      <c r="O338" t="s">
        <v>437</v>
      </c>
      <c r="P338" s="85">
        <v>2.2522522522522523</v>
      </c>
      <c r="Q338" s="85">
        <v>2.2522522522522523</v>
      </c>
      <c r="R338" s="81"/>
      <c r="T338" t="s">
        <v>360</v>
      </c>
      <c r="U338" t="s">
        <v>803</v>
      </c>
    </row>
    <row r="339" spans="1:21" x14ac:dyDescent="0.3">
      <c r="A339" t="s">
        <v>397</v>
      </c>
      <c r="B339">
        <v>2025</v>
      </c>
      <c r="C339" t="s">
        <v>456</v>
      </c>
      <c r="D339" t="s">
        <v>426</v>
      </c>
      <c r="E339" t="s">
        <v>133</v>
      </c>
      <c r="F339" t="s">
        <v>459</v>
      </c>
      <c r="G339" s="85">
        <v>43.6</v>
      </c>
      <c r="H339" s="86">
        <v>44.28</v>
      </c>
      <c r="I339" s="86">
        <v>0.9</v>
      </c>
      <c r="J339" s="87">
        <v>-0.8</v>
      </c>
      <c r="K339" s="85">
        <v>41.5</v>
      </c>
      <c r="L339" s="85">
        <v>47</v>
      </c>
      <c r="M339" t="s">
        <v>436</v>
      </c>
      <c r="N339" t="s">
        <v>464</v>
      </c>
      <c r="O339" t="s">
        <v>437</v>
      </c>
      <c r="P339" s="85">
        <v>-1.5356820234869009</v>
      </c>
      <c r="Q339" s="85">
        <v>1.5356820234869009</v>
      </c>
      <c r="R339" s="81"/>
      <c r="T339" t="s">
        <v>360</v>
      </c>
      <c r="U339" t="s">
        <v>804</v>
      </c>
    </row>
    <row r="340" spans="1:21" x14ac:dyDescent="0.3">
      <c r="A340" t="s">
        <v>397</v>
      </c>
      <c r="B340">
        <v>2025</v>
      </c>
      <c r="C340" t="s">
        <v>456</v>
      </c>
      <c r="D340" t="s">
        <v>426</v>
      </c>
      <c r="E340" t="s">
        <v>133</v>
      </c>
      <c r="F340" t="s">
        <v>460</v>
      </c>
      <c r="G340" s="85">
        <v>37.9</v>
      </c>
      <c r="H340" s="86">
        <v>39.590000000000003</v>
      </c>
      <c r="I340" s="86">
        <v>1.1100000000000001</v>
      </c>
      <c r="J340" s="87">
        <v>-1.5</v>
      </c>
      <c r="K340" s="85">
        <v>36.200000000000003</v>
      </c>
      <c r="L340" s="85">
        <v>43</v>
      </c>
      <c r="M340" t="s">
        <v>436</v>
      </c>
      <c r="N340" t="s">
        <v>464</v>
      </c>
      <c r="O340" t="s">
        <v>437</v>
      </c>
      <c r="P340" s="85">
        <v>-4.2687547360444675</v>
      </c>
      <c r="Q340" s="85">
        <v>4.2687547360444675</v>
      </c>
      <c r="R340" s="81"/>
      <c r="T340" t="s">
        <v>360</v>
      </c>
      <c r="U340" t="s">
        <v>805</v>
      </c>
    </row>
    <row r="341" spans="1:21" x14ac:dyDescent="0.3">
      <c r="A341" t="s">
        <v>397</v>
      </c>
      <c r="B341">
        <v>2025</v>
      </c>
      <c r="C341" t="s">
        <v>456</v>
      </c>
      <c r="D341" t="s">
        <v>426</v>
      </c>
      <c r="E341" t="s">
        <v>133</v>
      </c>
      <c r="F341" t="s">
        <v>461</v>
      </c>
      <c r="G341" s="85">
        <v>46.8</v>
      </c>
      <c r="H341" s="86">
        <v>48.3</v>
      </c>
      <c r="I341" s="86">
        <v>0.94</v>
      </c>
      <c r="J341" s="87">
        <v>-1.6</v>
      </c>
      <c r="K341" s="85">
        <v>45.4</v>
      </c>
      <c r="L341" s="85">
        <v>51.2</v>
      </c>
      <c r="M341" t="s">
        <v>436</v>
      </c>
      <c r="N341" t="s">
        <v>464</v>
      </c>
      <c r="O341" t="s">
        <v>437</v>
      </c>
      <c r="P341" s="85">
        <v>-3.1055900621118013</v>
      </c>
      <c r="Q341" s="85">
        <v>3.1055900621118013</v>
      </c>
      <c r="R341" s="81"/>
      <c r="T341" t="s">
        <v>360</v>
      </c>
      <c r="U341" t="s">
        <v>806</v>
      </c>
    </row>
    <row r="342" spans="1:21" x14ac:dyDescent="0.3">
      <c r="A342" t="s">
        <v>397</v>
      </c>
      <c r="B342">
        <v>2025</v>
      </c>
      <c r="C342" t="s">
        <v>456</v>
      </c>
      <c r="D342" t="s">
        <v>427</v>
      </c>
      <c r="E342" t="s">
        <v>138</v>
      </c>
      <c r="F342" t="s">
        <v>457</v>
      </c>
      <c r="G342" s="85">
        <v>1.22</v>
      </c>
      <c r="H342" s="86">
        <v>1.2490000000000001</v>
      </c>
      <c r="I342" s="86">
        <v>4.2999999999999997E-2</v>
      </c>
      <c r="J342" s="87">
        <v>-0.7</v>
      </c>
      <c r="K342" s="85">
        <v>1.1100000000000001</v>
      </c>
      <c r="L342" s="85">
        <v>1.38</v>
      </c>
      <c r="M342" t="s">
        <v>436</v>
      </c>
      <c r="N342" t="s">
        <v>464</v>
      </c>
      <c r="O342" t="s">
        <v>442</v>
      </c>
      <c r="P342" s="85">
        <v>-2.3218574859888017</v>
      </c>
      <c r="Q342" s="85">
        <v>2.3218574859888017</v>
      </c>
      <c r="R342" s="81"/>
      <c r="T342" t="s">
        <v>360</v>
      </c>
      <c r="U342" t="s">
        <v>807</v>
      </c>
    </row>
    <row r="343" spans="1:21" x14ac:dyDescent="0.3">
      <c r="A343" t="s">
        <v>397</v>
      </c>
      <c r="B343">
        <v>2025</v>
      </c>
      <c r="C343" t="s">
        <v>456</v>
      </c>
      <c r="D343" t="s">
        <v>427</v>
      </c>
      <c r="E343" t="s">
        <v>138</v>
      </c>
      <c r="F343" t="s">
        <v>458</v>
      </c>
      <c r="G343" s="85">
        <v>2.99</v>
      </c>
      <c r="H343" s="86">
        <v>2.9630000000000001</v>
      </c>
      <c r="I343" s="86">
        <v>8.4000000000000005E-2</v>
      </c>
      <c r="J343" s="87">
        <v>0.3</v>
      </c>
      <c r="K343" s="85">
        <v>2.7</v>
      </c>
      <c r="L343" s="85">
        <v>3.22</v>
      </c>
      <c r="M343" t="s">
        <v>436</v>
      </c>
      <c r="N343" t="s">
        <v>464</v>
      </c>
      <c r="O343" t="s">
        <v>442</v>
      </c>
      <c r="P343" s="85">
        <v>0.91123860951738545</v>
      </c>
      <c r="Q343" s="85">
        <v>0.91123860951738545</v>
      </c>
      <c r="R343" s="81"/>
      <c r="T343" t="s">
        <v>360</v>
      </c>
      <c r="U343" t="s">
        <v>808</v>
      </c>
    </row>
    <row r="344" spans="1:21" x14ac:dyDescent="0.3">
      <c r="A344" t="s">
        <v>397</v>
      </c>
      <c r="B344">
        <v>2025</v>
      </c>
      <c r="C344" t="s">
        <v>456</v>
      </c>
      <c r="D344" t="s">
        <v>427</v>
      </c>
      <c r="E344" t="s">
        <v>138</v>
      </c>
      <c r="F344" t="s">
        <v>459</v>
      </c>
      <c r="G344" s="85">
        <v>3.29</v>
      </c>
      <c r="H344" s="86">
        <v>3.3719999999999999</v>
      </c>
      <c r="I344" s="86">
        <v>9.1999999999999998E-2</v>
      </c>
      <c r="J344" s="87">
        <v>-0.9</v>
      </c>
      <c r="K344" s="85">
        <v>3.09</v>
      </c>
      <c r="L344" s="85">
        <v>3.65</v>
      </c>
      <c r="M344" t="s">
        <v>436</v>
      </c>
      <c r="N344" t="s">
        <v>464</v>
      </c>
      <c r="O344" t="s">
        <v>442</v>
      </c>
      <c r="P344" s="85">
        <v>-2.4317912218268045</v>
      </c>
      <c r="Q344" s="85">
        <v>2.4317912218268045</v>
      </c>
      <c r="R344" s="81"/>
      <c r="T344" t="s">
        <v>360</v>
      </c>
      <c r="U344" t="s">
        <v>809</v>
      </c>
    </row>
    <row r="345" spans="1:21" x14ac:dyDescent="0.3">
      <c r="A345" t="s">
        <v>397</v>
      </c>
      <c r="B345">
        <v>2025</v>
      </c>
      <c r="C345" t="s">
        <v>456</v>
      </c>
      <c r="D345" t="s">
        <v>427</v>
      </c>
      <c r="E345" t="s">
        <v>138</v>
      </c>
      <c r="F345" t="s">
        <v>460</v>
      </c>
      <c r="G345" s="85">
        <v>1.07</v>
      </c>
      <c r="H345" s="86">
        <v>1.161</v>
      </c>
      <c r="I345" s="86">
        <v>4.3999999999999997E-2</v>
      </c>
      <c r="J345" s="87">
        <v>-2</v>
      </c>
      <c r="K345" s="85">
        <v>1.02</v>
      </c>
      <c r="L345" s="85">
        <v>1.3</v>
      </c>
      <c r="M345" t="s">
        <v>436</v>
      </c>
      <c r="N345" t="s">
        <v>464</v>
      </c>
      <c r="O345" t="s">
        <v>442</v>
      </c>
      <c r="P345" s="85">
        <v>-7.8380706287682997</v>
      </c>
      <c r="Q345" s="85">
        <v>7.8380706287682997</v>
      </c>
      <c r="R345" s="81"/>
      <c r="T345" t="s">
        <v>360</v>
      </c>
      <c r="U345" t="s">
        <v>810</v>
      </c>
    </row>
    <row r="346" spans="1:21" x14ac:dyDescent="0.3">
      <c r="A346" t="s">
        <v>397</v>
      </c>
      <c r="B346">
        <v>2025</v>
      </c>
      <c r="C346" t="s">
        <v>456</v>
      </c>
      <c r="D346" t="s">
        <v>427</v>
      </c>
      <c r="E346" t="s">
        <v>138</v>
      </c>
      <c r="F346" t="s">
        <v>461</v>
      </c>
      <c r="G346" s="85">
        <v>8.27</v>
      </c>
      <c r="H346" s="86">
        <v>8.5909999999999993</v>
      </c>
      <c r="I346" s="86">
        <v>0.21</v>
      </c>
      <c r="J346" s="87">
        <v>-1.5</v>
      </c>
      <c r="K346" s="85">
        <v>7.96</v>
      </c>
      <c r="L346" s="85">
        <v>9.23</v>
      </c>
      <c r="M346" t="s">
        <v>436</v>
      </c>
      <c r="N346" t="s">
        <v>464</v>
      </c>
      <c r="O346" t="s">
        <v>442</v>
      </c>
      <c r="P346" s="85">
        <v>-3.736468397159816</v>
      </c>
      <c r="Q346" s="85">
        <v>3.736468397159816</v>
      </c>
      <c r="R346" s="81"/>
      <c r="T346" t="s">
        <v>360</v>
      </c>
      <c r="U346" t="s">
        <v>811</v>
      </c>
    </row>
    <row r="347" spans="1:21" x14ac:dyDescent="0.3">
      <c r="A347" t="s">
        <v>397</v>
      </c>
      <c r="B347">
        <v>2025</v>
      </c>
      <c r="C347" t="s">
        <v>456</v>
      </c>
      <c r="D347" t="s">
        <v>428</v>
      </c>
      <c r="E347" t="s">
        <v>132</v>
      </c>
      <c r="F347" t="s">
        <v>457</v>
      </c>
      <c r="G347" s="85">
        <v>143</v>
      </c>
      <c r="H347" s="86">
        <v>127.8</v>
      </c>
      <c r="I347" s="86">
        <v>5.0999999999999996</v>
      </c>
      <c r="J347" s="87">
        <v>3</v>
      </c>
      <c r="K347" s="85">
        <v>95</v>
      </c>
      <c r="L347" s="85">
        <v>160</v>
      </c>
      <c r="M347" t="s">
        <v>436</v>
      </c>
      <c r="N347" t="s">
        <v>464</v>
      </c>
      <c r="O347" t="s">
        <v>442</v>
      </c>
      <c r="P347" s="85">
        <v>11.893583724569643</v>
      </c>
      <c r="Q347" s="85">
        <v>11.893583724569643</v>
      </c>
      <c r="R347" s="81"/>
      <c r="T347" t="s">
        <v>360</v>
      </c>
      <c r="U347" t="s">
        <v>812</v>
      </c>
    </row>
    <row r="348" spans="1:21" x14ac:dyDescent="0.3">
      <c r="A348" t="s">
        <v>397</v>
      </c>
      <c r="B348">
        <v>2025</v>
      </c>
      <c r="C348" t="s">
        <v>456</v>
      </c>
      <c r="D348" t="s">
        <v>428</v>
      </c>
      <c r="E348" t="s">
        <v>132</v>
      </c>
      <c r="F348" t="s">
        <v>458</v>
      </c>
      <c r="G348" s="85">
        <v>219</v>
      </c>
      <c r="H348" s="86">
        <v>213</v>
      </c>
      <c r="I348" s="86">
        <v>6.3</v>
      </c>
      <c r="J348" s="87">
        <v>0.9</v>
      </c>
      <c r="K348" s="85">
        <v>159</v>
      </c>
      <c r="L348" s="85">
        <v>267</v>
      </c>
      <c r="M348" t="s">
        <v>436</v>
      </c>
      <c r="N348" t="s">
        <v>464</v>
      </c>
      <c r="O348" t="s">
        <v>442</v>
      </c>
      <c r="P348" s="85">
        <v>2.8169014084507045</v>
      </c>
      <c r="Q348" s="85">
        <v>2.8169014084507045</v>
      </c>
      <c r="R348" s="81"/>
      <c r="T348" t="s">
        <v>360</v>
      </c>
      <c r="U348" t="s">
        <v>813</v>
      </c>
    </row>
    <row r="349" spans="1:21" x14ac:dyDescent="0.3">
      <c r="A349" t="s">
        <v>397</v>
      </c>
      <c r="B349">
        <v>2025</v>
      </c>
      <c r="C349" t="s">
        <v>456</v>
      </c>
      <c r="D349" t="s">
        <v>428</v>
      </c>
      <c r="E349" t="s">
        <v>132</v>
      </c>
      <c r="F349" t="s">
        <v>459</v>
      </c>
      <c r="G349" s="85">
        <v>313</v>
      </c>
      <c r="H349" s="86">
        <v>304.89999999999998</v>
      </c>
      <c r="I349" s="86">
        <v>11.3</v>
      </c>
      <c r="J349" s="87">
        <v>0.7</v>
      </c>
      <c r="K349" s="85">
        <v>228</v>
      </c>
      <c r="L349" s="85">
        <v>382</v>
      </c>
      <c r="M349" t="s">
        <v>436</v>
      </c>
      <c r="N349" t="s">
        <v>464</v>
      </c>
      <c r="O349" t="s">
        <v>442</v>
      </c>
      <c r="P349" s="85">
        <v>2.6566087241718672</v>
      </c>
      <c r="Q349" s="85">
        <v>2.6566087241718672</v>
      </c>
      <c r="R349" s="81"/>
      <c r="T349" t="s">
        <v>360</v>
      </c>
      <c r="U349" t="s">
        <v>814</v>
      </c>
    </row>
    <row r="350" spans="1:21" x14ac:dyDescent="0.3">
      <c r="A350" t="s">
        <v>397</v>
      </c>
      <c r="B350">
        <v>2025</v>
      </c>
      <c r="C350" t="s">
        <v>456</v>
      </c>
      <c r="D350" t="s">
        <v>428</v>
      </c>
      <c r="E350" t="s">
        <v>132</v>
      </c>
      <c r="F350" t="s">
        <v>460</v>
      </c>
      <c r="G350" s="85">
        <v>53</v>
      </c>
      <c r="H350" s="86">
        <v>51.4</v>
      </c>
      <c r="I350" s="86">
        <v>3</v>
      </c>
      <c r="J350" s="87">
        <v>0.5</v>
      </c>
      <c r="K350" s="85">
        <v>38</v>
      </c>
      <c r="L350" s="85">
        <v>65</v>
      </c>
      <c r="M350" t="s">
        <v>436</v>
      </c>
      <c r="N350" t="s">
        <v>464</v>
      </c>
      <c r="O350" t="s">
        <v>442</v>
      </c>
      <c r="P350" s="85">
        <v>3.1128404669260727</v>
      </c>
      <c r="Q350" s="85">
        <v>3.1128404669260727</v>
      </c>
      <c r="R350" s="81"/>
      <c r="T350" t="s">
        <v>360</v>
      </c>
      <c r="U350" t="s">
        <v>815</v>
      </c>
    </row>
    <row r="351" spans="1:21" x14ac:dyDescent="0.3">
      <c r="A351" t="s">
        <v>397</v>
      </c>
      <c r="B351">
        <v>2025</v>
      </c>
      <c r="C351" t="s">
        <v>456</v>
      </c>
      <c r="D351" t="s">
        <v>428</v>
      </c>
      <c r="E351" t="s">
        <v>132</v>
      </c>
      <c r="F351" t="s">
        <v>461</v>
      </c>
      <c r="G351" s="85">
        <v>563</v>
      </c>
      <c r="H351" s="86">
        <v>508.6</v>
      </c>
      <c r="I351" s="86">
        <v>12.2</v>
      </c>
      <c r="J351" s="87">
        <v>4.5</v>
      </c>
      <c r="K351" s="85">
        <v>381</v>
      </c>
      <c r="L351" s="85">
        <v>636</v>
      </c>
      <c r="M351" t="s">
        <v>436</v>
      </c>
      <c r="N351" t="s">
        <v>464</v>
      </c>
      <c r="O351" t="s">
        <v>442</v>
      </c>
      <c r="P351" s="85">
        <v>10.696028313016118</v>
      </c>
      <c r="Q351" s="85">
        <v>10.696028313016118</v>
      </c>
      <c r="R351" s="81"/>
      <c r="T351" t="s">
        <v>360</v>
      </c>
      <c r="U351" t="s">
        <v>816</v>
      </c>
    </row>
    <row r="352" spans="1:21" x14ac:dyDescent="0.3">
      <c r="A352" t="s">
        <v>397</v>
      </c>
      <c r="B352">
        <v>2025</v>
      </c>
      <c r="C352" t="s">
        <v>456</v>
      </c>
      <c r="D352" t="s">
        <v>429</v>
      </c>
      <c r="E352" t="s">
        <v>148</v>
      </c>
      <c r="F352" t="s">
        <v>457</v>
      </c>
      <c r="G352" s="85">
        <v>18.399999999999999</v>
      </c>
      <c r="H352" s="86">
        <v>18</v>
      </c>
      <c r="I352" s="86">
        <v>0.32</v>
      </c>
      <c r="J352" s="87">
        <v>1.2</v>
      </c>
      <c r="K352" s="85">
        <v>17</v>
      </c>
      <c r="L352" s="85">
        <v>19</v>
      </c>
      <c r="M352" t="s">
        <v>436</v>
      </c>
      <c r="N352" t="s">
        <v>464</v>
      </c>
      <c r="O352" t="s">
        <v>437</v>
      </c>
      <c r="P352" s="85">
        <v>2.2222222222222143</v>
      </c>
      <c r="Q352" s="85">
        <v>2.2222222222222143</v>
      </c>
      <c r="R352" s="81"/>
      <c r="T352" t="s">
        <v>360</v>
      </c>
      <c r="U352" t="s">
        <v>817</v>
      </c>
    </row>
    <row r="353" spans="1:21" x14ac:dyDescent="0.3">
      <c r="A353" t="s">
        <v>397</v>
      </c>
      <c r="B353">
        <v>2025</v>
      </c>
      <c r="C353" t="s">
        <v>456</v>
      </c>
      <c r="D353" t="s">
        <v>429</v>
      </c>
      <c r="E353" t="s">
        <v>148</v>
      </c>
      <c r="F353" t="s">
        <v>458</v>
      </c>
      <c r="G353" s="85">
        <v>15.3</v>
      </c>
      <c r="H353" s="86">
        <v>15.46</v>
      </c>
      <c r="I353" s="86">
        <v>0.12</v>
      </c>
      <c r="J353" s="87">
        <v>-1.3</v>
      </c>
      <c r="K353" s="85">
        <v>15</v>
      </c>
      <c r="L353" s="85">
        <v>15.9</v>
      </c>
      <c r="M353" t="s">
        <v>436</v>
      </c>
      <c r="N353" t="s">
        <v>464</v>
      </c>
      <c r="O353" t="s">
        <v>437</v>
      </c>
      <c r="P353" s="85">
        <v>-1.0349288486416566</v>
      </c>
      <c r="Q353" s="85">
        <v>1.0349288486416566</v>
      </c>
      <c r="R353" s="81"/>
      <c r="T353" t="s">
        <v>360</v>
      </c>
      <c r="U353" t="s">
        <v>818</v>
      </c>
    </row>
    <row r="354" spans="1:21" x14ac:dyDescent="0.3">
      <c r="A354" t="s">
        <v>397</v>
      </c>
      <c r="B354">
        <v>2025</v>
      </c>
      <c r="C354" t="s">
        <v>456</v>
      </c>
      <c r="D354" t="s">
        <v>429</v>
      </c>
      <c r="E354" t="s">
        <v>148</v>
      </c>
      <c r="F354" t="s">
        <v>459</v>
      </c>
      <c r="G354" s="85">
        <v>17.399999999999999</v>
      </c>
      <c r="H354" s="86">
        <v>17.2</v>
      </c>
      <c r="I354" s="86">
        <v>0.14000000000000001</v>
      </c>
      <c r="J354" s="87">
        <v>1.4</v>
      </c>
      <c r="K354" s="85">
        <v>16.7</v>
      </c>
      <c r="L354" s="85">
        <v>17.7</v>
      </c>
      <c r="M354" t="s">
        <v>436</v>
      </c>
      <c r="N354" t="s">
        <v>464</v>
      </c>
      <c r="O354" t="s">
        <v>437</v>
      </c>
      <c r="P354" s="85">
        <v>1.1627906976744147</v>
      </c>
      <c r="Q354" s="85">
        <v>1.1627906976744147</v>
      </c>
      <c r="R354" s="81"/>
      <c r="T354" t="s">
        <v>360</v>
      </c>
      <c r="U354" t="s">
        <v>819</v>
      </c>
    </row>
    <row r="355" spans="1:21" x14ac:dyDescent="0.3">
      <c r="A355" t="s">
        <v>397</v>
      </c>
      <c r="B355">
        <v>2025</v>
      </c>
      <c r="C355" t="s">
        <v>456</v>
      </c>
      <c r="D355" t="s">
        <v>429</v>
      </c>
      <c r="E355" t="s">
        <v>148</v>
      </c>
      <c r="F355" t="s">
        <v>460</v>
      </c>
      <c r="G355" s="85">
        <v>18</v>
      </c>
      <c r="H355" s="86">
        <v>17.68</v>
      </c>
      <c r="I355" s="86">
        <v>0.13</v>
      </c>
      <c r="J355" s="87">
        <v>2.4</v>
      </c>
      <c r="K355" s="85">
        <v>17.2</v>
      </c>
      <c r="L355" s="85">
        <v>18.100000000000001</v>
      </c>
      <c r="M355" t="s">
        <v>436</v>
      </c>
      <c r="N355" t="s">
        <v>464</v>
      </c>
      <c r="O355" t="s">
        <v>437</v>
      </c>
      <c r="P355" s="85">
        <v>1.8099547511312233</v>
      </c>
      <c r="Q355" s="85">
        <v>1.8099547511312233</v>
      </c>
      <c r="R355" s="81"/>
      <c r="T355" t="s">
        <v>360</v>
      </c>
      <c r="U355" t="s">
        <v>820</v>
      </c>
    </row>
    <row r="356" spans="1:21" x14ac:dyDescent="0.3">
      <c r="A356" t="s">
        <v>397</v>
      </c>
      <c r="B356">
        <v>2025</v>
      </c>
      <c r="C356" t="s">
        <v>456</v>
      </c>
      <c r="D356" t="s">
        <v>429</v>
      </c>
      <c r="E356" t="s">
        <v>148</v>
      </c>
      <c r="F356" t="s">
        <v>461</v>
      </c>
      <c r="G356" s="85">
        <v>14.9</v>
      </c>
      <c r="H356" s="86">
        <v>14.85</v>
      </c>
      <c r="I356" s="86">
        <v>0.13</v>
      </c>
      <c r="J356" s="87">
        <v>0.4</v>
      </c>
      <c r="K356" s="85">
        <v>14.4</v>
      </c>
      <c r="L356" s="85">
        <v>15.3</v>
      </c>
      <c r="M356" t="s">
        <v>436</v>
      </c>
      <c r="N356" t="s">
        <v>464</v>
      </c>
      <c r="O356" t="s">
        <v>437</v>
      </c>
      <c r="P356" s="85">
        <v>0.3367003367003415</v>
      </c>
      <c r="Q356" s="85">
        <v>0.3367003367003415</v>
      </c>
      <c r="R356" s="81"/>
      <c r="T356" t="s">
        <v>360</v>
      </c>
      <c r="U356" t="s">
        <v>821</v>
      </c>
    </row>
    <row r="357" spans="1:21" x14ac:dyDescent="0.3">
      <c r="A357" t="s">
        <v>397</v>
      </c>
      <c r="B357">
        <v>2025</v>
      </c>
      <c r="C357" t="s">
        <v>456</v>
      </c>
      <c r="D357" t="s">
        <v>430</v>
      </c>
      <c r="E357" t="s">
        <v>125</v>
      </c>
      <c r="F357" t="s">
        <v>457</v>
      </c>
      <c r="G357" s="85">
        <v>6.45</v>
      </c>
      <c r="H357" s="86">
        <v>6.3019999999999996</v>
      </c>
      <c r="I357" s="86">
        <v>6.0999999999999999E-2</v>
      </c>
      <c r="J357" s="87">
        <v>2.4</v>
      </c>
      <c r="K357" s="85">
        <v>6.05</v>
      </c>
      <c r="L357" s="85">
        <v>6.56</v>
      </c>
      <c r="M357" t="s">
        <v>436</v>
      </c>
      <c r="N357" t="s">
        <v>464</v>
      </c>
      <c r="O357" t="s">
        <v>448</v>
      </c>
      <c r="P357" s="85">
        <v>2.3484608060933132</v>
      </c>
      <c r="Q357" s="85">
        <v>2.3484608060933132</v>
      </c>
      <c r="R357" s="81"/>
      <c r="T357" t="s">
        <v>360</v>
      </c>
      <c r="U357" t="s">
        <v>822</v>
      </c>
    </row>
    <row r="358" spans="1:21" x14ac:dyDescent="0.3">
      <c r="A358" t="s">
        <v>397</v>
      </c>
      <c r="B358">
        <v>2025</v>
      </c>
      <c r="C358" t="s">
        <v>456</v>
      </c>
      <c r="D358" t="s">
        <v>430</v>
      </c>
      <c r="E358" t="s">
        <v>125</v>
      </c>
      <c r="F358" t="s">
        <v>458</v>
      </c>
      <c r="G358" s="85">
        <v>4.3499999999999996</v>
      </c>
      <c r="H358" s="86">
        <v>4.2759999999999998</v>
      </c>
      <c r="I358" s="86">
        <v>4.2000000000000003E-2</v>
      </c>
      <c r="J358" s="87">
        <v>1.8</v>
      </c>
      <c r="K358" s="85">
        <v>4.0999999999999996</v>
      </c>
      <c r="L358" s="85">
        <v>4.45</v>
      </c>
      <c r="M358" t="s">
        <v>436</v>
      </c>
      <c r="N358" t="s">
        <v>464</v>
      </c>
      <c r="O358" t="s">
        <v>448</v>
      </c>
      <c r="P358" s="85">
        <v>1.7305893358278728</v>
      </c>
      <c r="Q358" s="85">
        <v>1.7305893358278728</v>
      </c>
      <c r="R358" s="81"/>
      <c r="T358" t="s">
        <v>360</v>
      </c>
      <c r="U358" t="s">
        <v>823</v>
      </c>
    </row>
    <row r="359" spans="1:21" x14ac:dyDescent="0.3">
      <c r="A359" t="s">
        <v>397</v>
      </c>
      <c r="B359">
        <v>2025</v>
      </c>
      <c r="C359" t="s">
        <v>456</v>
      </c>
      <c r="D359" t="s">
        <v>430</v>
      </c>
      <c r="E359" t="s">
        <v>125</v>
      </c>
      <c r="F359" t="s">
        <v>459</v>
      </c>
      <c r="G359" s="85">
        <v>2.44</v>
      </c>
      <c r="H359" s="86">
        <v>2.3879999999999999</v>
      </c>
      <c r="I359" s="86">
        <v>2.9000000000000001E-2</v>
      </c>
      <c r="J359" s="87">
        <v>1.8</v>
      </c>
      <c r="K359" s="85">
        <v>2.29</v>
      </c>
      <c r="L359" s="85">
        <v>2.4900000000000002</v>
      </c>
      <c r="M359" t="s">
        <v>436</v>
      </c>
      <c r="N359" t="s">
        <v>464</v>
      </c>
      <c r="O359" t="s">
        <v>448</v>
      </c>
      <c r="P359" s="85">
        <v>2.1775544388609736</v>
      </c>
      <c r="Q359" s="85">
        <v>2.1775544388609736</v>
      </c>
      <c r="R359" s="81"/>
      <c r="T359" t="s">
        <v>360</v>
      </c>
      <c r="U359" t="s">
        <v>824</v>
      </c>
    </row>
    <row r="360" spans="1:21" x14ac:dyDescent="0.3">
      <c r="A360" t="s">
        <v>397</v>
      </c>
      <c r="B360">
        <v>2025</v>
      </c>
      <c r="C360" t="s">
        <v>456</v>
      </c>
      <c r="D360" t="s">
        <v>430</v>
      </c>
      <c r="E360" t="s">
        <v>125</v>
      </c>
      <c r="F360" t="s">
        <v>460</v>
      </c>
      <c r="G360" s="85">
        <v>2.25</v>
      </c>
      <c r="H360" s="86">
        <v>2.206</v>
      </c>
      <c r="I360" s="86">
        <v>2.8000000000000001E-2</v>
      </c>
      <c r="J360" s="87">
        <v>1.6</v>
      </c>
      <c r="K360" s="85">
        <v>2.11</v>
      </c>
      <c r="L360" s="85">
        <v>2.2999999999999998</v>
      </c>
      <c r="M360" t="s">
        <v>436</v>
      </c>
      <c r="N360" t="s">
        <v>464</v>
      </c>
      <c r="O360" t="s">
        <v>448</v>
      </c>
      <c r="P360" s="85">
        <v>1.9945602901178621</v>
      </c>
      <c r="Q360" s="85">
        <v>1.9945602901178621</v>
      </c>
      <c r="R360" s="81"/>
      <c r="T360" t="s">
        <v>360</v>
      </c>
      <c r="U360" t="s">
        <v>825</v>
      </c>
    </row>
    <row r="361" spans="1:21" x14ac:dyDescent="0.3">
      <c r="A361" t="s">
        <v>397</v>
      </c>
      <c r="B361">
        <v>2025</v>
      </c>
      <c r="C361" t="s">
        <v>456</v>
      </c>
      <c r="D361" t="s">
        <v>430</v>
      </c>
      <c r="E361" t="s">
        <v>125</v>
      </c>
      <c r="F361" t="s">
        <v>461</v>
      </c>
      <c r="G361" s="85">
        <v>5.36</v>
      </c>
      <c r="H361" s="86">
        <v>5.1879999999999997</v>
      </c>
      <c r="I361" s="86">
        <v>0.05</v>
      </c>
      <c r="J361" s="87">
        <v>3.4</v>
      </c>
      <c r="K361" s="85">
        <v>4.9800000000000004</v>
      </c>
      <c r="L361" s="85">
        <v>5.4</v>
      </c>
      <c r="M361" t="s">
        <v>436</v>
      </c>
      <c r="N361" t="s">
        <v>464</v>
      </c>
      <c r="O361" t="s">
        <v>448</v>
      </c>
      <c r="P361" s="85">
        <v>3.3153430994603044</v>
      </c>
      <c r="Q361" s="85">
        <v>3.3153430994603044</v>
      </c>
      <c r="R361" s="81"/>
      <c r="T361" t="s">
        <v>360</v>
      </c>
      <c r="U361" t="s">
        <v>826</v>
      </c>
    </row>
    <row r="362" spans="1:21" x14ac:dyDescent="0.3">
      <c r="A362" t="s">
        <v>397</v>
      </c>
      <c r="B362">
        <v>2025</v>
      </c>
      <c r="C362" t="s">
        <v>456</v>
      </c>
      <c r="D362" t="s">
        <v>431</v>
      </c>
      <c r="E362" t="s">
        <v>122</v>
      </c>
      <c r="F362" t="s">
        <v>457</v>
      </c>
      <c r="G362" s="85">
        <v>2.8</v>
      </c>
      <c r="H362" s="86">
        <v>2.8</v>
      </c>
      <c r="I362" s="86">
        <v>7.0000000000000007E-2</v>
      </c>
      <c r="J362" s="87">
        <v>0</v>
      </c>
      <c r="K362" s="85">
        <v>2.5</v>
      </c>
      <c r="L362" s="85">
        <v>3.1</v>
      </c>
      <c r="M362" t="s">
        <v>436</v>
      </c>
      <c r="N362" t="s">
        <v>464</v>
      </c>
      <c r="O362" t="s">
        <v>442</v>
      </c>
      <c r="P362" s="85">
        <v>0</v>
      </c>
      <c r="Q362" s="85">
        <v>0</v>
      </c>
      <c r="R362" s="81"/>
      <c r="T362" t="s">
        <v>360</v>
      </c>
      <c r="U362" t="s">
        <v>827</v>
      </c>
    </row>
    <row r="363" spans="1:21" x14ac:dyDescent="0.3">
      <c r="A363" t="s">
        <v>397</v>
      </c>
      <c r="B363">
        <v>2025</v>
      </c>
      <c r="C363" t="s">
        <v>456</v>
      </c>
      <c r="D363" t="s">
        <v>431</v>
      </c>
      <c r="E363" t="s">
        <v>122</v>
      </c>
      <c r="F363" t="s">
        <v>458</v>
      </c>
      <c r="G363" s="85">
        <v>6.6</v>
      </c>
      <c r="H363" s="86">
        <v>6.67</v>
      </c>
      <c r="I363" s="86">
        <v>0.13</v>
      </c>
      <c r="J363" s="87">
        <v>-0.6</v>
      </c>
      <c r="K363" s="85">
        <v>6</v>
      </c>
      <c r="L363" s="85">
        <v>7.4</v>
      </c>
      <c r="M363" t="s">
        <v>436</v>
      </c>
      <c r="N363" t="s">
        <v>464</v>
      </c>
      <c r="O363" t="s">
        <v>442</v>
      </c>
      <c r="P363" s="85">
        <v>-1.0494752623688197</v>
      </c>
      <c r="Q363" s="85">
        <v>1.0494752623688197</v>
      </c>
      <c r="R363" s="81"/>
      <c r="T363" t="s">
        <v>360</v>
      </c>
      <c r="U363" t="s">
        <v>828</v>
      </c>
    </row>
    <row r="364" spans="1:21" x14ac:dyDescent="0.3">
      <c r="A364" t="s">
        <v>397</v>
      </c>
      <c r="B364">
        <v>2025</v>
      </c>
      <c r="C364" t="s">
        <v>456</v>
      </c>
      <c r="D364" t="s">
        <v>431</v>
      </c>
      <c r="E364" t="s">
        <v>122</v>
      </c>
      <c r="F364" t="s">
        <v>459</v>
      </c>
      <c r="G364" s="85">
        <v>7.5</v>
      </c>
      <c r="H364" s="86">
        <v>7.62</v>
      </c>
      <c r="I364" s="86">
        <v>0.14000000000000001</v>
      </c>
      <c r="J364" s="87">
        <v>-0.8</v>
      </c>
      <c r="K364" s="85">
        <v>6.8</v>
      </c>
      <c r="L364" s="85">
        <v>8.4</v>
      </c>
      <c r="M364" t="s">
        <v>436</v>
      </c>
      <c r="N364" t="s">
        <v>464</v>
      </c>
      <c r="O364" t="s">
        <v>442</v>
      </c>
      <c r="P364" s="85">
        <v>-1.5748031496063006</v>
      </c>
      <c r="Q364" s="85">
        <v>1.5748031496063006</v>
      </c>
      <c r="R364" s="81"/>
      <c r="T364" t="s">
        <v>360</v>
      </c>
      <c r="U364" t="s">
        <v>829</v>
      </c>
    </row>
    <row r="365" spans="1:21" x14ac:dyDescent="0.3">
      <c r="A365" t="s">
        <v>397</v>
      </c>
      <c r="B365">
        <v>2025</v>
      </c>
      <c r="C365" t="s">
        <v>456</v>
      </c>
      <c r="D365" t="s">
        <v>431</v>
      </c>
      <c r="E365" t="s">
        <v>122</v>
      </c>
      <c r="F365" t="s">
        <v>460</v>
      </c>
      <c r="G365" s="85">
        <v>2.8</v>
      </c>
      <c r="H365" s="86">
        <v>2.93</v>
      </c>
      <c r="I365" s="86">
        <v>0.08</v>
      </c>
      <c r="J365" s="87">
        <v>-1.7</v>
      </c>
      <c r="K365" s="85">
        <v>2.6</v>
      </c>
      <c r="L365" s="85">
        <v>3.3</v>
      </c>
      <c r="M365" t="s">
        <v>436</v>
      </c>
      <c r="N365" t="s">
        <v>464</v>
      </c>
      <c r="O365" t="s">
        <v>442</v>
      </c>
      <c r="P365" s="85">
        <v>-4.4368600682593966</v>
      </c>
      <c r="Q365" s="85">
        <v>4.4368600682593966</v>
      </c>
      <c r="R365" s="81"/>
      <c r="T365" t="s">
        <v>360</v>
      </c>
      <c r="U365" t="s">
        <v>830</v>
      </c>
    </row>
    <row r="366" spans="1:21" x14ac:dyDescent="0.3">
      <c r="A366" t="s">
        <v>397</v>
      </c>
      <c r="B366">
        <v>2025</v>
      </c>
      <c r="C366" t="s">
        <v>456</v>
      </c>
      <c r="D366" t="s">
        <v>431</v>
      </c>
      <c r="E366" t="s">
        <v>122</v>
      </c>
      <c r="F366" t="s">
        <v>461</v>
      </c>
      <c r="G366" s="85">
        <v>17.7</v>
      </c>
      <c r="H366" s="86">
        <v>17.79</v>
      </c>
      <c r="I366" s="86">
        <v>0.27</v>
      </c>
      <c r="J366" s="87">
        <v>-0.3</v>
      </c>
      <c r="K366" s="85">
        <v>16</v>
      </c>
      <c r="L366" s="85">
        <v>19.600000000000001</v>
      </c>
      <c r="M366" t="s">
        <v>436</v>
      </c>
      <c r="N366" t="s">
        <v>464</v>
      </c>
      <c r="O366" t="s">
        <v>442</v>
      </c>
      <c r="P366" s="85">
        <v>-0.50590219224283228</v>
      </c>
      <c r="Q366" s="85">
        <v>0.50590219224283228</v>
      </c>
      <c r="R366" s="81"/>
      <c r="T366" t="s">
        <v>360</v>
      </c>
      <c r="U366" t="s">
        <v>831</v>
      </c>
    </row>
    <row r="367" spans="1:21" x14ac:dyDescent="0.3">
      <c r="A367" t="s">
        <v>397</v>
      </c>
      <c r="B367">
        <v>2025</v>
      </c>
      <c r="C367" t="s">
        <v>456</v>
      </c>
      <c r="D367" t="s">
        <v>432</v>
      </c>
      <c r="E367" t="s">
        <v>146</v>
      </c>
      <c r="F367" t="s">
        <v>457</v>
      </c>
      <c r="G367" s="85">
        <v>0</v>
      </c>
      <c r="H367" s="86">
        <v>1E-3</v>
      </c>
      <c r="I367" s="86">
        <v>4.0000000000000001E-3</v>
      </c>
      <c r="J367" s="87">
        <v>-0.3</v>
      </c>
      <c r="K367" s="85"/>
      <c r="L367" s="85"/>
      <c r="M367" t="s">
        <v>444</v>
      </c>
      <c r="N367" t="s">
        <v>495</v>
      </c>
      <c r="O367" t="s">
        <v>442</v>
      </c>
      <c r="P367" s="85">
        <v>-100</v>
      </c>
      <c r="Q367" s="85">
        <v>100</v>
      </c>
      <c r="R367" s="81"/>
      <c r="T367" t="s">
        <v>360</v>
      </c>
      <c r="U367" t="s">
        <v>832</v>
      </c>
    </row>
    <row r="368" spans="1:21" x14ac:dyDescent="0.3">
      <c r="A368" t="s">
        <v>397</v>
      </c>
      <c r="B368">
        <v>2025</v>
      </c>
      <c r="C368" t="s">
        <v>456</v>
      </c>
      <c r="D368" t="s">
        <v>432</v>
      </c>
      <c r="E368" t="s">
        <v>146</v>
      </c>
      <c r="F368" t="s">
        <v>458</v>
      </c>
      <c r="G368" s="85">
        <v>0.48</v>
      </c>
      <c r="H368" s="86">
        <v>0.432</v>
      </c>
      <c r="I368" s="86">
        <v>3.5999999999999997E-2</v>
      </c>
      <c r="J368" s="87">
        <v>1.3</v>
      </c>
      <c r="K368" s="85"/>
      <c r="L368" s="85"/>
      <c r="M368" t="s">
        <v>444</v>
      </c>
      <c r="N368" t="s">
        <v>495</v>
      </c>
      <c r="O368" t="s">
        <v>442</v>
      </c>
      <c r="P368" s="85">
        <v>11.111111111111107</v>
      </c>
      <c r="Q368" s="85">
        <v>11.111111111111107</v>
      </c>
      <c r="R368" s="81"/>
      <c r="T368" t="s">
        <v>360</v>
      </c>
      <c r="U368" t="s">
        <v>833</v>
      </c>
    </row>
    <row r="369" spans="1:21" x14ac:dyDescent="0.3">
      <c r="A369" t="s">
        <v>397</v>
      </c>
      <c r="B369">
        <v>2025</v>
      </c>
      <c r="C369" t="s">
        <v>456</v>
      </c>
      <c r="D369" t="s">
        <v>432</v>
      </c>
      <c r="E369" t="s">
        <v>146</v>
      </c>
      <c r="F369" t="s">
        <v>459</v>
      </c>
      <c r="G369" s="85">
        <v>0</v>
      </c>
      <c r="H369" s="86">
        <v>4.0000000000000001E-3</v>
      </c>
      <c r="I369" s="86">
        <v>5.0000000000000001E-3</v>
      </c>
      <c r="J369" s="87">
        <v>-0.8</v>
      </c>
      <c r="K369" s="85"/>
      <c r="L369" s="85"/>
      <c r="M369" t="s">
        <v>444</v>
      </c>
      <c r="N369" t="s">
        <v>495</v>
      </c>
      <c r="O369" t="s">
        <v>442</v>
      </c>
      <c r="P369" s="85">
        <v>-100</v>
      </c>
      <c r="Q369" s="85">
        <v>100</v>
      </c>
      <c r="R369" s="81"/>
      <c r="T369" t="s">
        <v>360</v>
      </c>
      <c r="U369" t="s">
        <v>834</v>
      </c>
    </row>
    <row r="370" spans="1:21" x14ac:dyDescent="0.3">
      <c r="A370" t="s">
        <v>397</v>
      </c>
      <c r="B370">
        <v>2025</v>
      </c>
      <c r="C370" t="s">
        <v>456</v>
      </c>
      <c r="D370" t="s">
        <v>432</v>
      </c>
      <c r="E370" t="s">
        <v>146</v>
      </c>
      <c r="F370" t="s">
        <v>460</v>
      </c>
      <c r="G370" s="85">
        <v>0.13</v>
      </c>
      <c r="H370" s="86">
        <v>0.151</v>
      </c>
      <c r="I370" s="86">
        <v>1.7000000000000001E-2</v>
      </c>
      <c r="J370" s="87">
        <v>-1.2</v>
      </c>
      <c r="K370" s="85"/>
      <c r="L370" s="85"/>
      <c r="M370" t="s">
        <v>444</v>
      </c>
      <c r="N370" t="s">
        <v>495</v>
      </c>
      <c r="O370" t="s">
        <v>442</v>
      </c>
      <c r="P370" s="85">
        <v>-13.907284768211914</v>
      </c>
      <c r="Q370" s="85">
        <v>13.907284768211914</v>
      </c>
      <c r="R370" s="81"/>
      <c r="T370" t="s">
        <v>360</v>
      </c>
      <c r="U370" t="s">
        <v>835</v>
      </c>
    </row>
    <row r="371" spans="1:21" x14ac:dyDescent="0.3">
      <c r="A371" t="s">
        <v>397</v>
      </c>
      <c r="B371">
        <v>2025</v>
      </c>
      <c r="C371" t="s">
        <v>456</v>
      </c>
      <c r="D371" t="s">
        <v>432</v>
      </c>
      <c r="E371" t="s">
        <v>146</v>
      </c>
      <c r="F371" t="s">
        <v>461</v>
      </c>
      <c r="G371" s="85">
        <v>1.1399999999999999</v>
      </c>
      <c r="H371" s="86">
        <v>1.109</v>
      </c>
      <c r="I371" s="86">
        <v>3.9E-2</v>
      </c>
      <c r="J371" s="87">
        <v>0.8</v>
      </c>
      <c r="K371" s="85"/>
      <c r="L371" s="85"/>
      <c r="M371" t="s">
        <v>444</v>
      </c>
      <c r="N371" t="s">
        <v>495</v>
      </c>
      <c r="O371" t="s">
        <v>442</v>
      </c>
      <c r="P371" s="85">
        <v>2.7953110910730312</v>
      </c>
      <c r="Q371" s="85">
        <v>2.7953110910730312</v>
      </c>
      <c r="R371" s="81"/>
      <c r="T371" t="s">
        <v>360</v>
      </c>
      <c r="U371" t="s">
        <v>836</v>
      </c>
    </row>
    <row r="372" spans="1:21" x14ac:dyDescent="0.3">
      <c r="A372" t="s">
        <v>397</v>
      </c>
      <c r="B372">
        <v>2025</v>
      </c>
      <c r="C372" t="s">
        <v>456</v>
      </c>
      <c r="D372" t="s">
        <v>433</v>
      </c>
      <c r="E372" t="s">
        <v>145</v>
      </c>
      <c r="F372" t="s">
        <v>457</v>
      </c>
      <c r="G372" s="85">
        <v>0</v>
      </c>
      <c r="H372" s="86">
        <v>0.05</v>
      </c>
      <c r="I372" s="86">
        <v>0.14000000000000001</v>
      </c>
      <c r="J372" s="87">
        <v>-0.4</v>
      </c>
      <c r="K372" s="85"/>
      <c r="L372" s="85"/>
      <c r="M372" t="s">
        <v>444</v>
      </c>
      <c r="N372" t="s">
        <v>495</v>
      </c>
      <c r="O372" t="s">
        <v>449</v>
      </c>
      <c r="P372" s="85">
        <v>-100</v>
      </c>
      <c r="Q372" s="85">
        <v>100</v>
      </c>
      <c r="R372" s="81"/>
      <c r="T372" t="s">
        <v>360</v>
      </c>
      <c r="U372" t="s">
        <v>837</v>
      </c>
    </row>
    <row r="373" spans="1:21" x14ac:dyDescent="0.3">
      <c r="A373" t="s">
        <v>397</v>
      </c>
      <c r="B373">
        <v>2025</v>
      </c>
      <c r="C373" t="s">
        <v>456</v>
      </c>
      <c r="D373" t="s">
        <v>433</v>
      </c>
      <c r="E373" t="s">
        <v>145</v>
      </c>
      <c r="F373" t="s">
        <v>458</v>
      </c>
      <c r="G373" s="85">
        <v>7.3</v>
      </c>
      <c r="H373" s="86">
        <v>6.53</v>
      </c>
      <c r="I373" s="86">
        <v>0.35</v>
      </c>
      <c r="J373" s="87">
        <v>2.2000000000000002</v>
      </c>
      <c r="K373" s="85"/>
      <c r="L373" s="85"/>
      <c r="M373" t="s">
        <v>444</v>
      </c>
      <c r="N373" t="s">
        <v>495</v>
      </c>
      <c r="O373" t="s">
        <v>449</v>
      </c>
      <c r="P373" s="85">
        <v>11.791730474732001</v>
      </c>
      <c r="Q373" s="85">
        <v>11.791730474732001</v>
      </c>
      <c r="R373" s="81"/>
      <c r="T373" t="s">
        <v>360</v>
      </c>
      <c r="U373" t="s">
        <v>838</v>
      </c>
    </row>
    <row r="374" spans="1:21" x14ac:dyDescent="0.3">
      <c r="A374" t="s">
        <v>397</v>
      </c>
      <c r="B374">
        <v>2025</v>
      </c>
      <c r="C374" t="s">
        <v>456</v>
      </c>
      <c r="D374" t="s">
        <v>433</v>
      </c>
      <c r="E374" t="s">
        <v>145</v>
      </c>
      <c r="F374" t="s">
        <v>459</v>
      </c>
      <c r="G374" s="85">
        <v>0</v>
      </c>
      <c r="H374" s="86">
        <v>0.04</v>
      </c>
      <c r="I374" s="86">
        <v>0.05</v>
      </c>
      <c r="J374" s="87">
        <v>-0.8</v>
      </c>
      <c r="K374" s="85"/>
      <c r="L374" s="85"/>
      <c r="M374" t="s">
        <v>444</v>
      </c>
      <c r="N374" t="s">
        <v>495</v>
      </c>
      <c r="O374" t="s">
        <v>449</v>
      </c>
      <c r="P374" s="85">
        <v>-100</v>
      </c>
      <c r="Q374" s="85">
        <v>100</v>
      </c>
      <c r="R374" s="81"/>
      <c r="T374" t="s">
        <v>360</v>
      </c>
      <c r="U374" t="s">
        <v>839</v>
      </c>
    </row>
    <row r="375" spans="1:21" x14ac:dyDescent="0.3">
      <c r="A375" t="s">
        <v>397</v>
      </c>
      <c r="B375">
        <v>2025</v>
      </c>
      <c r="C375" t="s">
        <v>456</v>
      </c>
      <c r="D375" t="s">
        <v>433</v>
      </c>
      <c r="E375" t="s">
        <v>145</v>
      </c>
      <c r="F375" t="s">
        <v>460</v>
      </c>
      <c r="G375" s="85">
        <v>4.5999999999999996</v>
      </c>
      <c r="H375" s="86">
        <v>5.17</v>
      </c>
      <c r="I375" s="86">
        <v>0.5</v>
      </c>
      <c r="J375" s="87">
        <v>-1.1000000000000001</v>
      </c>
      <c r="K375" s="85"/>
      <c r="L375" s="85"/>
      <c r="M375" t="s">
        <v>444</v>
      </c>
      <c r="N375" t="s">
        <v>495</v>
      </c>
      <c r="O375" t="s">
        <v>449</v>
      </c>
      <c r="P375" s="85">
        <v>-11.025145067698265</v>
      </c>
      <c r="Q375" s="85">
        <v>11.025145067698265</v>
      </c>
      <c r="R375" s="81"/>
      <c r="T375" t="s">
        <v>360</v>
      </c>
      <c r="U375" t="s">
        <v>840</v>
      </c>
    </row>
    <row r="376" spans="1:21" x14ac:dyDescent="0.3">
      <c r="A376" t="s">
        <v>397</v>
      </c>
      <c r="B376">
        <v>2025</v>
      </c>
      <c r="C376" t="s">
        <v>456</v>
      </c>
      <c r="D376" t="s">
        <v>433</v>
      </c>
      <c r="E376" t="s">
        <v>145</v>
      </c>
      <c r="F376" t="s">
        <v>461</v>
      </c>
      <c r="G376" s="85">
        <v>6.4</v>
      </c>
      <c r="H376" s="86">
        <v>6.23</v>
      </c>
      <c r="I376" s="86">
        <v>0.21</v>
      </c>
      <c r="J376" s="87">
        <v>0.8</v>
      </c>
      <c r="K376" s="85"/>
      <c r="L376" s="85"/>
      <c r="M376" t="s">
        <v>444</v>
      </c>
      <c r="N376" t="s">
        <v>495</v>
      </c>
      <c r="O376" t="s">
        <v>449</v>
      </c>
      <c r="P376" s="85">
        <v>2.7287319422150871</v>
      </c>
      <c r="Q376" s="85">
        <v>2.7287319422150871</v>
      </c>
      <c r="R376" s="81"/>
      <c r="T376" t="s">
        <v>360</v>
      </c>
      <c r="U376" t="s">
        <v>841</v>
      </c>
    </row>
    <row r="377" spans="1:21" x14ac:dyDescent="0.3">
      <c r="A377" t="s">
        <v>397</v>
      </c>
      <c r="B377">
        <v>2025</v>
      </c>
      <c r="C377">
        <v>1</v>
      </c>
      <c r="D377" t="s">
        <v>128</v>
      </c>
      <c r="E377" t="s">
        <v>128</v>
      </c>
      <c r="F377">
        <v>1</v>
      </c>
      <c r="G377" s="85">
        <v>46.004300000000001</v>
      </c>
      <c r="H377" s="86">
        <v>45.819099999999999</v>
      </c>
      <c r="I377" s="86">
        <v>1.3746</v>
      </c>
      <c r="J377" s="87">
        <v>0.13473010330278029</v>
      </c>
      <c r="K377" s="85">
        <v>41.695300000000003</v>
      </c>
      <c r="L377" s="85">
        <v>49.942900000000002</v>
      </c>
      <c r="M377" t="s">
        <v>462</v>
      </c>
      <c r="N377" t="s">
        <v>464</v>
      </c>
      <c r="P377" s="85">
        <v>0.40419824920175607</v>
      </c>
      <c r="Q377" s="85">
        <v>0.40419824920175607</v>
      </c>
      <c r="R377" s="81"/>
      <c r="S377" t="s">
        <v>463</v>
      </c>
      <c r="T377" t="s">
        <v>842</v>
      </c>
      <c r="U377" t="s">
        <v>843</v>
      </c>
    </row>
    <row r="378" spans="1:21" x14ac:dyDescent="0.3">
      <c r="A378" t="s">
        <v>397</v>
      </c>
      <c r="B378">
        <v>2025</v>
      </c>
      <c r="C378">
        <v>1</v>
      </c>
      <c r="D378" t="s">
        <v>128</v>
      </c>
      <c r="E378" t="s">
        <v>128</v>
      </c>
      <c r="F378">
        <v>2</v>
      </c>
      <c r="G378" s="85">
        <v>45.453200000000002</v>
      </c>
      <c r="H378" s="86">
        <v>44.652099999999997</v>
      </c>
      <c r="I378" s="86">
        <v>1.3395999999999999</v>
      </c>
      <c r="J378" s="87">
        <v>0.59801433263661186</v>
      </c>
      <c r="K378" s="85">
        <v>40.633299999999998</v>
      </c>
      <c r="L378" s="85">
        <v>48.670900000000003</v>
      </c>
      <c r="M378" t="s">
        <v>462</v>
      </c>
      <c r="N378" t="s">
        <v>464</v>
      </c>
      <c r="P378" s="85">
        <v>1.7940925510782368</v>
      </c>
      <c r="Q378" s="85">
        <v>1.7940925510782368</v>
      </c>
      <c r="R378" s="81"/>
      <c r="S378" t="s">
        <v>463</v>
      </c>
      <c r="T378" t="s">
        <v>842</v>
      </c>
      <c r="U378" t="s">
        <v>844</v>
      </c>
    </row>
    <row r="379" spans="1:21" x14ac:dyDescent="0.3">
      <c r="A379" t="s">
        <v>397</v>
      </c>
      <c r="B379">
        <v>2025</v>
      </c>
      <c r="C379">
        <v>1</v>
      </c>
      <c r="D379" t="s">
        <v>128</v>
      </c>
      <c r="E379" t="s">
        <v>128</v>
      </c>
      <c r="F379">
        <v>3</v>
      </c>
      <c r="G379" s="85">
        <v>46.365900000000003</v>
      </c>
      <c r="H379" s="86">
        <v>45.619599999999998</v>
      </c>
      <c r="I379" s="86">
        <v>1.3686</v>
      </c>
      <c r="J379" s="87">
        <v>0.54530176823031207</v>
      </c>
      <c r="K379" s="85">
        <v>41.513800000000003</v>
      </c>
      <c r="L379" s="85">
        <v>49.7254</v>
      </c>
      <c r="M379" t="s">
        <v>462</v>
      </c>
      <c r="N379" t="s">
        <v>464</v>
      </c>
      <c r="P379" s="85">
        <v>1.6359196485721161</v>
      </c>
      <c r="Q379" s="85">
        <v>1.6359196485721161</v>
      </c>
      <c r="R379" s="81"/>
      <c r="S379" t="s">
        <v>463</v>
      </c>
      <c r="T379" t="s">
        <v>842</v>
      </c>
      <c r="U379" t="s">
        <v>845</v>
      </c>
    </row>
    <row r="380" spans="1:21" x14ac:dyDescent="0.3">
      <c r="A380" t="s">
        <v>397</v>
      </c>
      <c r="B380">
        <v>2025</v>
      </c>
      <c r="C380">
        <v>1</v>
      </c>
      <c r="D380" t="s">
        <v>128</v>
      </c>
      <c r="E380" t="s">
        <v>128</v>
      </c>
      <c r="F380">
        <v>4</v>
      </c>
      <c r="G380" s="85">
        <v>45.273400000000002</v>
      </c>
      <c r="H380" s="86">
        <v>44.575200000000002</v>
      </c>
      <c r="I380" s="86">
        <v>1.3372999999999999</v>
      </c>
      <c r="J380" s="87">
        <v>0.52209676213265532</v>
      </c>
      <c r="K380" s="85">
        <v>40.563299999999998</v>
      </c>
      <c r="L380" s="85">
        <v>48.5871</v>
      </c>
      <c r="M380" t="s">
        <v>462</v>
      </c>
      <c r="N380" t="s">
        <v>464</v>
      </c>
      <c r="P380" s="85">
        <v>1.5663418223586207</v>
      </c>
      <c r="Q380" s="85">
        <v>1.5663418223586207</v>
      </c>
      <c r="R380" s="81"/>
      <c r="S380" t="s">
        <v>463</v>
      </c>
      <c r="T380" t="s">
        <v>842</v>
      </c>
      <c r="U380" t="s">
        <v>846</v>
      </c>
    </row>
    <row r="381" spans="1:21" x14ac:dyDescent="0.3">
      <c r="A381" t="s">
        <v>397</v>
      </c>
      <c r="B381">
        <v>2025</v>
      </c>
      <c r="C381">
        <v>1</v>
      </c>
      <c r="D381" t="s">
        <v>128</v>
      </c>
      <c r="E381" t="s">
        <v>128</v>
      </c>
      <c r="F381">
        <v>5</v>
      </c>
      <c r="G381" s="85">
        <v>45.4803</v>
      </c>
      <c r="H381" s="86">
        <v>44.902900000000002</v>
      </c>
      <c r="I381" s="86">
        <v>1.3471</v>
      </c>
      <c r="J381" s="87">
        <v>0.42862445252764997</v>
      </c>
      <c r="K381" s="85">
        <v>40.861600000000003</v>
      </c>
      <c r="L381" s="85">
        <v>48.944200000000002</v>
      </c>
      <c r="M381" t="s">
        <v>462</v>
      </c>
      <c r="N381" t="s">
        <v>464</v>
      </c>
      <c r="P381" s="85">
        <v>1.2858857668435606</v>
      </c>
      <c r="Q381" s="85">
        <v>1.2858857668435606</v>
      </c>
      <c r="R381" s="81"/>
      <c r="S381" t="s">
        <v>463</v>
      </c>
      <c r="T381" t="s">
        <v>842</v>
      </c>
      <c r="U381" t="s">
        <v>847</v>
      </c>
    </row>
    <row r="382" spans="1:21" x14ac:dyDescent="0.3">
      <c r="A382" t="s">
        <v>397</v>
      </c>
      <c r="B382">
        <v>2025</v>
      </c>
      <c r="C382">
        <v>1</v>
      </c>
      <c r="D382" t="s">
        <v>127</v>
      </c>
      <c r="E382" t="s">
        <v>127</v>
      </c>
      <c r="F382">
        <v>1</v>
      </c>
      <c r="G382" s="85">
        <v>15.679399999999999</v>
      </c>
      <c r="H382" s="86">
        <v>15.5265</v>
      </c>
      <c r="I382" s="86">
        <v>0.46579999999999999</v>
      </c>
      <c r="J382" s="87">
        <v>0.32825246887075771</v>
      </c>
      <c r="K382" s="85">
        <v>14.129099999999999</v>
      </c>
      <c r="L382" s="85">
        <v>16.9239</v>
      </c>
      <c r="M382" t="s">
        <v>462</v>
      </c>
      <c r="N382" t="s">
        <v>464</v>
      </c>
      <c r="P382" s="85">
        <v>0.98476797732907562</v>
      </c>
      <c r="Q382" s="85">
        <v>0.98476797732907562</v>
      </c>
      <c r="R382" s="81"/>
      <c r="S382" t="s">
        <v>463</v>
      </c>
      <c r="T382" t="s">
        <v>842</v>
      </c>
      <c r="U382" t="s">
        <v>848</v>
      </c>
    </row>
    <row r="383" spans="1:21" x14ac:dyDescent="0.3">
      <c r="A383" t="s">
        <v>397</v>
      </c>
      <c r="B383">
        <v>2025</v>
      </c>
      <c r="C383">
        <v>1</v>
      </c>
      <c r="D383" t="s">
        <v>127</v>
      </c>
      <c r="E383" t="s">
        <v>127</v>
      </c>
      <c r="F383">
        <v>2</v>
      </c>
      <c r="G383" s="85">
        <v>15.6126</v>
      </c>
      <c r="H383" s="86">
        <v>15.497199999999999</v>
      </c>
      <c r="I383" s="86">
        <v>0.46489999999999998</v>
      </c>
      <c r="J383" s="87">
        <v>0.24822542482254475</v>
      </c>
      <c r="K383" s="85">
        <v>14.102499999999999</v>
      </c>
      <c r="L383" s="85">
        <v>16.8919</v>
      </c>
      <c r="M383" t="s">
        <v>462</v>
      </c>
      <c r="N383" t="s">
        <v>464</v>
      </c>
      <c r="P383" s="85">
        <v>0.74465064656841917</v>
      </c>
      <c r="Q383" s="85">
        <v>0.74465064656841917</v>
      </c>
      <c r="R383" s="81"/>
      <c r="S383" t="s">
        <v>463</v>
      </c>
      <c r="T383" t="s">
        <v>842</v>
      </c>
      <c r="U383" t="s">
        <v>849</v>
      </c>
    </row>
    <row r="384" spans="1:21" x14ac:dyDescent="0.3">
      <c r="A384" t="s">
        <v>397</v>
      </c>
      <c r="B384">
        <v>2025</v>
      </c>
      <c r="C384">
        <v>1</v>
      </c>
      <c r="D384" t="s">
        <v>127</v>
      </c>
      <c r="E384" t="s">
        <v>127</v>
      </c>
      <c r="F384">
        <v>3</v>
      </c>
      <c r="G384" s="85">
        <v>15.695</v>
      </c>
      <c r="H384" s="86">
        <v>15.6189</v>
      </c>
      <c r="I384" s="86">
        <v>0.46860000000000002</v>
      </c>
      <c r="J384" s="87">
        <v>0.16239863422962073</v>
      </c>
      <c r="K384" s="85">
        <v>14.213100000000001</v>
      </c>
      <c r="L384" s="85">
        <v>17.024699999999999</v>
      </c>
      <c r="M384" t="s">
        <v>462</v>
      </c>
      <c r="N384" t="s">
        <v>464</v>
      </c>
      <c r="P384" s="85">
        <v>0.48723021467581118</v>
      </c>
      <c r="Q384" s="85">
        <v>0.48723021467581118</v>
      </c>
      <c r="R384" s="81"/>
      <c r="S384" t="s">
        <v>463</v>
      </c>
      <c r="T384" t="s">
        <v>842</v>
      </c>
      <c r="U384" t="s">
        <v>850</v>
      </c>
    </row>
    <row r="385" spans="1:21" x14ac:dyDescent="0.3">
      <c r="A385" t="s">
        <v>397</v>
      </c>
      <c r="B385">
        <v>2025</v>
      </c>
      <c r="C385">
        <v>1</v>
      </c>
      <c r="D385" t="s">
        <v>127</v>
      </c>
      <c r="E385" t="s">
        <v>127</v>
      </c>
      <c r="F385">
        <v>4</v>
      </c>
      <c r="G385" s="85">
        <v>15.7712</v>
      </c>
      <c r="H385" s="86">
        <v>15.6587</v>
      </c>
      <c r="I385" s="86">
        <v>0.4698</v>
      </c>
      <c r="J385" s="87">
        <v>0.23946360153256857</v>
      </c>
      <c r="K385" s="85">
        <v>14.2493</v>
      </c>
      <c r="L385" s="85">
        <v>17.068100000000001</v>
      </c>
      <c r="M385" t="s">
        <v>462</v>
      </c>
      <c r="N385" t="s">
        <v>464</v>
      </c>
      <c r="P385" s="85">
        <v>0.71845044607790376</v>
      </c>
      <c r="Q385" s="85">
        <v>0.71845044607790376</v>
      </c>
      <c r="R385" s="81"/>
      <c r="S385" t="s">
        <v>463</v>
      </c>
      <c r="T385" t="s">
        <v>842</v>
      </c>
      <c r="U385" t="s">
        <v>851</v>
      </c>
    </row>
    <row r="386" spans="1:21" x14ac:dyDescent="0.3">
      <c r="A386" t="s">
        <v>397</v>
      </c>
      <c r="B386">
        <v>2025</v>
      </c>
      <c r="C386">
        <v>1</v>
      </c>
      <c r="D386" t="s">
        <v>127</v>
      </c>
      <c r="E386" t="s">
        <v>127</v>
      </c>
      <c r="F386">
        <v>5</v>
      </c>
      <c r="G386" s="85">
        <v>15.734999999999999</v>
      </c>
      <c r="H386" s="86">
        <v>15.642200000000001</v>
      </c>
      <c r="I386" s="86">
        <v>0.46929999999999999</v>
      </c>
      <c r="J386" s="87">
        <v>0.19774131685488741</v>
      </c>
      <c r="K386" s="85">
        <v>14.234299999999999</v>
      </c>
      <c r="L386" s="85">
        <v>17.0501</v>
      </c>
      <c r="M386" t="s">
        <v>462</v>
      </c>
      <c r="N386" t="s">
        <v>464</v>
      </c>
      <c r="P386" s="85">
        <v>0.59326693176150835</v>
      </c>
      <c r="Q386" s="85">
        <v>0.59326693176150835</v>
      </c>
      <c r="R386" s="81"/>
      <c r="S386" t="s">
        <v>463</v>
      </c>
      <c r="T386" t="s">
        <v>842</v>
      </c>
      <c r="U386" t="s">
        <v>852</v>
      </c>
    </row>
    <row r="387" spans="1:21" x14ac:dyDescent="0.3">
      <c r="A387" t="s">
        <v>397</v>
      </c>
      <c r="B387">
        <v>2025</v>
      </c>
      <c r="C387">
        <v>1</v>
      </c>
      <c r="D387" t="s">
        <v>130</v>
      </c>
      <c r="E387" t="s">
        <v>130</v>
      </c>
      <c r="F387">
        <v>1</v>
      </c>
      <c r="G387" s="85">
        <v>30.723700000000001</v>
      </c>
      <c r="H387" s="86">
        <v>30.461600000000001</v>
      </c>
      <c r="I387" s="86">
        <v>0.91379999999999995</v>
      </c>
      <c r="J387" s="87">
        <v>0.28682425038301623</v>
      </c>
      <c r="K387" s="85">
        <v>27.720199999999998</v>
      </c>
      <c r="L387" s="85">
        <v>33.203000000000003</v>
      </c>
      <c r="M387" t="s">
        <v>462</v>
      </c>
      <c r="N387" t="s">
        <v>464</v>
      </c>
      <c r="P387" s="85">
        <v>0.86042755469180943</v>
      </c>
      <c r="Q387" s="85">
        <v>0.86042755469180943</v>
      </c>
      <c r="R387" s="81"/>
      <c r="S387" t="s">
        <v>463</v>
      </c>
      <c r="T387" t="s">
        <v>842</v>
      </c>
      <c r="U387" t="s">
        <v>853</v>
      </c>
    </row>
    <row r="388" spans="1:21" x14ac:dyDescent="0.3">
      <c r="A388" t="s">
        <v>397</v>
      </c>
      <c r="B388">
        <v>2025</v>
      </c>
      <c r="C388">
        <v>1</v>
      </c>
      <c r="D388" t="s">
        <v>130</v>
      </c>
      <c r="E388" t="s">
        <v>130</v>
      </c>
      <c r="F388">
        <v>2</v>
      </c>
      <c r="G388" s="85">
        <v>30.704899999999999</v>
      </c>
      <c r="H388" s="86">
        <v>30.5687</v>
      </c>
      <c r="I388" s="86">
        <v>0.91710000000000003</v>
      </c>
      <c r="J388" s="87">
        <v>0.14851161269218052</v>
      </c>
      <c r="K388" s="85">
        <v>27.817399999999999</v>
      </c>
      <c r="L388" s="85">
        <v>33.32</v>
      </c>
      <c r="M388" t="s">
        <v>462</v>
      </c>
      <c r="N388" t="s">
        <v>464</v>
      </c>
      <c r="P388" s="85">
        <v>0.44555378540794588</v>
      </c>
      <c r="Q388" s="85">
        <v>0.44555378540794588</v>
      </c>
      <c r="R388" s="81"/>
      <c r="S388" t="s">
        <v>463</v>
      </c>
      <c r="T388" t="s">
        <v>842</v>
      </c>
      <c r="U388" t="s">
        <v>854</v>
      </c>
    </row>
    <row r="389" spans="1:21" x14ac:dyDescent="0.3">
      <c r="A389" t="s">
        <v>397</v>
      </c>
      <c r="B389">
        <v>2025</v>
      </c>
      <c r="C389">
        <v>1</v>
      </c>
      <c r="D389" t="s">
        <v>130</v>
      </c>
      <c r="E389" t="s">
        <v>130</v>
      </c>
      <c r="F389">
        <v>3</v>
      </c>
      <c r="G389" s="85">
        <v>30.499700000000001</v>
      </c>
      <c r="H389" s="86">
        <v>30.173100000000002</v>
      </c>
      <c r="I389" s="86">
        <v>0.9052</v>
      </c>
      <c r="J389" s="87">
        <v>0.36080424215642853</v>
      </c>
      <c r="K389" s="85">
        <v>27.4575</v>
      </c>
      <c r="L389" s="85">
        <v>32.8887</v>
      </c>
      <c r="M389" t="s">
        <v>462</v>
      </c>
      <c r="N389" t="s">
        <v>464</v>
      </c>
      <c r="P389" s="85">
        <v>1.0824210969373351</v>
      </c>
      <c r="Q389" s="85">
        <v>1.0824210969373351</v>
      </c>
      <c r="R389" s="81"/>
      <c r="S389" t="s">
        <v>463</v>
      </c>
      <c r="T389" t="s">
        <v>842</v>
      </c>
      <c r="U389" t="s">
        <v>855</v>
      </c>
    </row>
    <row r="390" spans="1:21" x14ac:dyDescent="0.3">
      <c r="A390" t="s">
        <v>397</v>
      </c>
      <c r="B390">
        <v>2025</v>
      </c>
      <c r="C390">
        <v>1</v>
      </c>
      <c r="D390" t="s">
        <v>130</v>
      </c>
      <c r="E390" t="s">
        <v>130</v>
      </c>
      <c r="F390">
        <v>4</v>
      </c>
      <c r="G390" s="85">
        <v>30.941400000000002</v>
      </c>
      <c r="H390" s="86">
        <v>30.623100000000001</v>
      </c>
      <c r="I390" s="86">
        <v>0.91869999999999996</v>
      </c>
      <c r="J390" s="87">
        <v>0.34646783498421757</v>
      </c>
      <c r="K390" s="85">
        <v>27.867000000000001</v>
      </c>
      <c r="L390" s="85">
        <v>33.379199999999997</v>
      </c>
      <c r="M390" t="s">
        <v>462</v>
      </c>
      <c r="N390" t="s">
        <v>464</v>
      </c>
      <c r="P390" s="85">
        <v>1.0394114247088007</v>
      </c>
      <c r="Q390" s="85">
        <v>1.0394114247088007</v>
      </c>
      <c r="R390" s="81"/>
      <c r="S390" t="s">
        <v>463</v>
      </c>
      <c r="T390" t="s">
        <v>842</v>
      </c>
      <c r="U390" t="s">
        <v>856</v>
      </c>
    </row>
    <row r="391" spans="1:21" x14ac:dyDescent="0.3">
      <c r="A391" t="s">
        <v>397</v>
      </c>
      <c r="B391">
        <v>2025</v>
      </c>
      <c r="C391">
        <v>1</v>
      </c>
      <c r="D391" t="s">
        <v>130</v>
      </c>
      <c r="E391" t="s">
        <v>130</v>
      </c>
      <c r="F391">
        <v>5</v>
      </c>
      <c r="G391" s="85">
        <v>31.165600000000001</v>
      </c>
      <c r="H391" s="86">
        <v>31.040299999999998</v>
      </c>
      <c r="I391" s="86">
        <v>0.93120000000000003</v>
      </c>
      <c r="J391" s="87">
        <v>0.13455756013746009</v>
      </c>
      <c r="K391" s="85">
        <v>28.246700000000001</v>
      </c>
      <c r="L391" s="85">
        <v>33.8339</v>
      </c>
      <c r="M391" t="s">
        <v>462</v>
      </c>
      <c r="N391" t="s">
        <v>464</v>
      </c>
      <c r="P391" s="85">
        <v>0.4036687789744392</v>
      </c>
      <c r="Q391" s="85">
        <v>0.4036687789744392</v>
      </c>
      <c r="R391" s="81"/>
      <c r="S391" t="s">
        <v>463</v>
      </c>
      <c r="T391" t="s">
        <v>842</v>
      </c>
      <c r="U391" t="s">
        <v>857</v>
      </c>
    </row>
    <row r="392" spans="1:21" x14ac:dyDescent="0.3">
      <c r="A392" t="s">
        <v>397</v>
      </c>
      <c r="B392">
        <v>2025</v>
      </c>
      <c r="C392">
        <v>1</v>
      </c>
      <c r="D392" t="s">
        <v>129</v>
      </c>
      <c r="E392" t="s">
        <v>129</v>
      </c>
      <c r="F392">
        <v>1</v>
      </c>
      <c r="G392" s="85">
        <v>88.894999999999996</v>
      </c>
      <c r="H392" s="86">
        <v>88.188199999999995</v>
      </c>
      <c r="I392" s="86">
        <v>2.6456</v>
      </c>
      <c r="J392" s="87">
        <v>0.26716056849108</v>
      </c>
      <c r="K392" s="85">
        <v>80.251400000000004</v>
      </c>
      <c r="L392" s="85">
        <v>96.125</v>
      </c>
      <c r="M392" t="s">
        <v>462</v>
      </c>
      <c r="N392" t="s">
        <v>464</v>
      </c>
      <c r="P392" s="85">
        <v>0.80146777006447711</v>
      </c>
      <c r="Q392" s="85">
        <v>0.80146777006447711</v>
      </c>
      <c r="R392" s="81"/>
      <c r="S392" t="s">
        <v>463</v>
      </c>
      <c r="T392" t="s">
        <v>842</v>
      </c>
      <c r="U392" t="s">
        <v>858</v>
      </c>
    </row>
    <row r="393" spans="1:21" x14ac:dyDescent="0.3">
      <c r="A393" t="s">
        <v>397</v>
      </c>
      <c r="B393">
        <v>2025</v>
      </c>
      <c r="C393">
        <v>1</v>
      </c>
      <c r="D393" t="s">
        <v>129</v>
      </c>
      <c r="E393" t="s">
        <v>129</v>
      </c>
      <c r="F393">
        <v>2</v>
      </c>
      <c r="G393" s="85">
        <v>88.330600000000004</v>
      </c>
      <c r="H393" s="86">
        <v>87.428299999999993</v>
      </c>
      <c r="I393" s="86">
        <v>2.6227999999999998</v>
      </c>
      <c r="J393" s="87">
        <v>0.34402165624523834</v>
      </c>
      <c r="K393" s="85">
        <v>79.559899999999999</v>
      </c>
      <c r="L393" s="85">
        <v>95.296700000000001</v>
      </c>
      <c r="M393" t="s">
        <v>462</v>
      </c>
      <c r="N393" t="s">
        <v>464</v>
      </c>
      <c r="P393" s="85">
        <v>1.0320456877235529</v>
      </c>
      <c r="Q393" s="85">
        <v>1.0320456877235529</v>
      </c>
      <c r="R393" s="81"/>
      <c r="S393" t="s">
        <v>463</v>
      </c>
      <c r="T393" t="s">
        <v>842</v>
      </c>
      <c r="U393" t="s">
        <v>859</v>
      </c>
    </row>
    <row r="394" spans="1:21" x14ac:dyDescent="0.3">
      <c r="A394" t="s">
        <v>397</v>
      </c>
      <c r="B394">
        <v>2025</v>
      </c>
      <c r="C394">
        <v>1</v>
      </c>
      <c r="D394" t="s">
        <v>129</v>
      </c>
      <c r="E394" t="s">
        <v>129</v>
      </c>
      <c r="F394">
        <v>3</v>
      </c>
      <c r="G394" s="85">
        <v>89.349400000000003</v>
      </c>
      <c r="H394" s="86">
        <v>87.833799999999997</v>
      </c>
      <c r="I394" s="86">
        <v>2.6349999999999998</v>
      </c>
      <c r="J394" s="87">
        <v>0.57518026565465141</v>
      </c>
      <c r="K394" s="85">
        <v>79.928799999999995</v>
      </c>
      <c r="L394" s="85">
        <v>95.738799999999998</v>
      </c>
      <c r="M394" t="s">
        <v>462</v>
      </c>
      <c r="N394" t="s">
        <v>464</v>
      </c>
      <c r="P394" s="85">
        <v>1.7255316290539706</v>
      </c>
      <c r="Q394" s="85">
        <v>1.7255316290539706</v>
      </c>
      <c r="R394" s="81"/>
      <c r="S394" t="s">
        <v>463</v>
      </c>
      <c r="T394" t="s">
        <v>842</v>
      </c>
      <c r="U394" t="s">
        <v>860</v>
      </c>
    </row>
    <row r="395" spans="1:21" x14ac:dyDescent="0.3">
      <c r="A395" t="s">
        <v>397</v>
      </c>
      <c r="B395">
        <v>2025</v>
      </c>
      <c r="C395">
        <v>1</v>
      </c>
      <c r="D395" t="s">
        <v>129</v>
      </c>
      <c r="E395" t="s">
        <v>129</v>
      </c>
      <c r="F395">
        <v>4</v>
      </c>
      <c r="G395" s="85">
        <v>89.123900000000006</v>
      </c>
      <c r="H395" s="86">
        <v>87.684899999999999</v>
      </c>
      <c r="I395" s="86">
        <v>2.6305000000000001</v>
      </c>
      <c r="J395" s="87">
        <v>0.54704428815814754</v>
      </c>
      <c r="K395" s="85">
        <v>79.793400000000005</v>
      </c>
      <c r="L395" s="85">
        <v>95.576400000000007</v>
      </c>
      <c r="M395" t="s">
        <v>462</v>
      </c>
      <c r="N395" t="s">
        <v>464</v>
      </c>
      <c r="P395" s="85">
        <v>1.6411035423431026</v>
      </c>
      <c r="Q395" s="85">
        <v>1.6411035423431026</v>
      </c>
      <c r="R395" s="81"/>
      <c r="S395" t="s">
        <v>463</v>
      </c>
      <c r="T395" t="s">
        <v>842</v>
      </c>
      <c r="U395" t="s">
        <v>861</v>
      </c>
    </row>
    <row r="396" spans="1:21" x14ac:dyDescent="0.3">
      <c r="A396" t="s">
        <v>397</v>
      </c>
      <c r="B396">
        <v>2025</v>
      </c>
      <c r="C396">
        <v>1</v>
      </c>
      <c r="D396" t="s">
        <v>129</v>
      </c>
      <c r="E396" t="s">
        <v>129</v>
      </c>
      <c r="F396">
        <v>5</v>
      </c>
      <c r="G396" s="85">
        <v>88.482299999999995</v>
      </c>
      <c r="H396" s="86">
        <v>87.297399999999996</v>
      </c>
      <c r="I396" s="86">
        <v>2.6189</v>
      </c>
      <c r="J396" s="87">
        <v>0.45244186490511246</v>
      </c>
      <c r="K396" s="85">
        <v>79.440700000000007</v>
      </c>
      <c r="L396" s="85">
        <v>95.1541</v>
      </c>
      <c r="M396" t="s">
        <v>462</v>
      </c>
      <c r="N396" t="s">
        <v>464</v>
      </c>
      <c r="P396" s="85">
        <v>1.3573141926334564</v>
      </c>
      <c r="Q396" s="85">
        <v>1.3573141926334564</v>
      </c>
      <c r="R396" s="81"/>
      <c r="S396" t="s">
        <v>463</v>
      </c>
      <c r="T396" t="s">
        <v>842</v>
      </c>
      <c r="U396" t="s">
        <v>862</v>
      </c>
    </row>
    <row r="397" spans="1:21" x14ac:dyDescent="0.3">
      <c r="A397" t="s">
        <v>397</v>
      </c>
      <c r="B397">
        <v>2025</v>
      </c>
      <c r="C397">
        <v>1</v>
      </c>
      <c r="D397" t="s">
        <v>125</v>
      </c>
      <c r="E397" t="s">
        <v>125</v>
      </c>
      <c r="F397">
        <v>1</v>
      </c>
      <c r="G397" s="85">
        <v>5.2108999999999996</v>
      </c>
      <c r="H397" s="86">
        <v>5.1687000000000003</v>
      </c>
      <c r="I397" s="86">
        <v>0.15509999999999999</v>
      </c>
      <c r="J397" s="87">
        <v>0.27208252740167216</v>
      </c>
      <c r="K397" s="85">
        <v>4.7034000000000002</v>
      </c>
      <c r="L397" s="85">
        <v>5.6340000000000003</v>
      </c>
      <c r="M397" t="s">
        <v>462</v>
      </c>
      <c r="N397" t="s">
        <v>464</v>
      </c>
      <c r="P397" s="85">
        <v>0.81645287983437509</v>
      </c>
      <c r="Q397" s="85">
        <v>0.81645287983437509</v>
      </c>
      <c r="R397" s="81"/>
      <c r="S397" t="s">
        <v>463</v>
      </c>
      <c r="T397" t="s">
        <v>842</v>
      </c>
      <c r="U397" t="s">
        <v>863</v>
      </c>
    </row>
    <row r="398" spans="1:21" x14ac:dyDescent="0.3">
      <c r="A398" t="s">
        <v>397</v>
      </c>
      <c r="B398">
        <v>2025</v>
      </c>
      <c r="C398">
        <v>1</v>
      </c>
      <c r="D398" t="s">
        <v>125</v>
      </c>
      <c r="E398" t="s">
        <v>125</v>
      </c>
      <c r="F398">
        <v>2</v>
      </c>
      <c r="G398" s="85">
        <v>5.1375000000000002</v>
      </c>
      <c r="H398" s="86">
        <v>5.0846999999999998</v>
      </c>
      <c r="I398" s="86">
        <v>0.1525</v>
      </c>
      <c r="J398" s="87">
        <v>0.34622950819672393</v>
      </c>
      <c r="K398" s="85">
        <v>4.6272000000000002</v>
      </c>
      <c r="L398" s="85">
        <v>5.5422000000000002</v>
      </c>
      <c r="M398" t="s">
        <v>462</v>
      </c>
      <c r="N398" t="s">
        <v>464</v>
      </c>
      <c r="P398" s="85">
        <v>1.038409345684119</v>
      </c>
      <c r="Q398" s="85">
        <v>1.038409345684119</v>
      </c>
      <c r="R398" s="81"/>
      <c r="S398" t="s">
        <v>463</v>
      </c>
      <c r="T398" t="s">
        <v>842</v>
      </c>
      <c r="U398" t="s">
        <v>864</v>
      </c>
    </row>
    <row r="399" spans="1:21" x14ac:dyDescent="0.3">
      <c r="A399" t="s">
        <v>397</v>
      </c>
      <c r="B399">
        <v>2025</v>
      </c>
      <c r="C399">
        <v>1</v>
      </c>
      <c r="D399" t="s">
        <v>125</v>
      </c>
      <c r="E399" t="s">
        <v>125</v>
      </c>
      <c r="F399">
        <v>3</v>
      </c>
      <c r="G399" s="85">
        <v>5.2004000000000001</v>
      </c>
      <c r="H399" s="86">
        <v>5.1595000000000004</v>
      </c>
      <c r="I399" s="86">
        <v>0.15479999999999999</v>
      </c>
      <c r="J399" s="87">
        <v>0.26421188630490772</v>
      </c>
      <c r="K399" s="85">
        <v>4.6951000000000001</v>
      </c>
      <c r="L399" s="85">
        <v>5.6238999999999999</v>
      </c>
      <c r="M399" t="s">
        <v>462</v>
      </c>
      <c r="N399" t="s">
        <v>464</v>
      </c>
      <c r="P399" s="85">
        <v>0.79271247213876761</v>
      </c>
      <c r="Q399" s="85">
        <v>0.79271247213876761</v>
      </c>
      <c r="R399" s="81"/>
      <c r="S399" t="s">
        <v>463</v>
      </c>
      <c r="T399" t="s">
        <v>842</v>
      </c>
      <c r="U399" t="s">
        <v>865</v>
      </c>
    </row>
    <row r="400" spans="1:21" x14ac:dyDescent="0.3">
      <c r="A400" t="s">
        <v>397</v>
      </c>
      <c r="B400">
        <v>2025</v>
      </c>
      <c r="C400">
        <v>1</v>
      </c>
      <c r="D400" t="s">
        <v>125</v>
      </c>
      <c r="E400" t="s">
        <v>125</v>
      </c>
      <c r="F400">
        <v>4</v>
      </c>
      <c r="G400" s="85">
        <v>5.2164000000000001</v>
      </c>
      <c r="H400" s="86">
        <v>5.1506999999999996</v>
      </c>
      <c r="I400" s="86">
        <v>0.1545</v>
      </c>
      <c r="J400" s="87">
        <v>0.42524271844660544</v>
      </c>
      <c r="K400" s="85">
        <v>4.6871999999999998</v>
      </c>
      <c r="L400" s="85">
        <v>5.6142000000000003</v>
      </c>
      <c r="M400" t="s">
        <v>462</v>
      </c>
      <c r="N400" t="s">
        <v>464</v>
      </c>
      <c r="P400" s="85">
        <v>1.2755547789620933</v>
      </c>
      <c r="Q400" s="85">
        <v>1.2755547789620933</v>
      </c>
      <c r="R400" s="81"/>
      <c r="S400" t="s">
        <v>463</v>
      </c>
      <c r="T400" t="s">
        <v>842</v>
      </c>
      <c r="U400" t="s">
        <v>866</v>
      </c>
    </row>
    <row r="401" spans="1:21" x14ac:dyDescent="0.3">
      <c r="A401" t="s">
        <v>397</v>
      </c>
      <c r="B401">
        <v>2025</v>
      </c>
      <c r="C401">
        <v>1</v>
      </c>
      <c r="D401" t="s">
        <v>125</v>
      </c>
      <c r="E401" t="s">
        <v>125</v>
      </c>
      <c r="F401">
        <v>5</v>
      </c>
      <c r="G401" s="85">
        <v>5.1432000000000002</v>
      </c>
      <c r="H401" s="86">
        <v>5.1121999999999996</v>
      </c>
      <c r="I401" s="86">
        <v>0.15340000000000001</v>
      </c>
      <c r="J401" s="87">
        <v>0.20208604954368045</v>
      </c>
      <c r="K401" s="85">
        <v>4.6520000000000001</v>
      </c>
      <c r="L401" s="85">
        <v>5.5724</v>
      </c>
      <c r="M401" t="s">
        <v>462</v>
      </c>
      <c r="N401" t="s">
        <v>464</v>
      </c>
      <c r="P401" s="85">
        <v>0.60639255115215729</v>
      </c>
      <c r="Q401" s="85">
        <v>0.60639255115215729</v>
      </c>
      <c r="R401" s="81"/>
      <c r="S401" t="s">
        <v>463</v>
      </c>
      <c r="T401" t="s">
        <v>842</v>
      </c>
      <c r="U401" t="s">
        <v>867</v>
      </c>
    </row>
    <row r="402" spans="1:21" x14ac:dyDescent="0.3">
      <c r="A402" t="s">
        <v>397</v>
      </c>
      <c r="B402">
        <v>2025</v>
      </c>
      <c r="C402">
        <v>1</v>
      </c>
      <c r="D402" t="s">
        <v>122</v>
      </c>
      <c r="E402" t="s">
        <v>122</v>
      </c>
      <c r="F402">
        <v>1</v>
      </c>
      <c r="G402" s="85">
        <v>16.810099999999998</v>
      </c>
      <c r="H402" s="86">
        <v>16.529399999999999</v>
      </c>
      <c r="I402" s="86">
        <v>0.49590000000000001</v>
      </c>
      <c r="J402" s="87">
        <v>0.56604154063319112</v>
      </c>
      <c r="K402" s="85">
        <v>15.041700000000001</v>
      </c>
      <c r="L402" s="85">
        <v>18.017099999999999</v>
      </c>
      <c r="M402" t="s">
        <v>462</v>
      </c>
      <c r="N402" t="s">
        <v>464</v>
      </c>
      <c r="P402" s="85">
        <v>1.698186262054276</v>
      </c>
      <c r="Q402" s="85">
        <v>1.698186262054276</v>
      </c>
      <c r="R402" s="81"/>
      <c r="S402" t="s">
        <v>463</v>
      </c>
      <c r="T402" t="s">
        <v>842</v>
      </c>
      <c r="U402" t="s">
        <v>868</v>
      </c>
    </row>
    <row r="403" spans="1:21" x14ac:dyDescent="0.3">
      <c r="A403" t="s">
        <v>397</v>
      </c>
      <c r="B403">
        <v>2025</v>
      </c>
      <c r="C403">
        <v>1</v>
      </c>
      <c r="D403" t="s">
        <v>122</v>
      </c>
      <c r="E403" t="s">
        <v>122</v>
      </c>
      <c r="F403">
        <v>2</v>
      </c>
      <c r="G403" s="85">
        <v>16.872599999999998</v>
      </c>
      <c r="H403" s="86">
        <v>16.726199999999999</v>
      </c>
      <c r="I403" s="86">
        <v>0.50180000000000002</v>
      </c>
      <c r="J403" s="87">
        <v>0.29174970107612563</v>
      </c>
      <c r="K403" s="85">
        <v>15.220800000000001</v>
      </c>
      <c r="L403" s="85">
        <v>18.2316</v>
      </c>
      <c r="M403" t="s">
        <v>462</v>
      </c>
      <c r="N403" t="s">
        <v>464</v>
      </c>
      <c r="P403" s="85">
        <v>0.8752735229759292</v>
      </c>
      <c r="Q403" s="85">
        <v>0.8752735229759292</v>
      </c>
      <c r="R403" s="81"/>
      <c r="S403" t="s">
        <v>463</v>
      </c>
      <c r="T403" t="s">
        <v>842</v>
      </c>
      <c r="U403" t="s">
        <v>869</v>
      </c>
    </row>
    <row r="404" spans="1:21" x14ac:dyDescent="0.3">
      <c r="A404" t="s">
        <v>397</v>
      </c>
      <c r="B404">
        <v>2025</v>
      </c>
      <c r="C404">
        <v>1</v>
      </c>
      <c r="D404" t="s">
        <v>122</v>
      </c>
      <c r="E404" t="s">
        <v>122</v>
      </c>
      <c r="F404">
        <v>3</v>
      </c>
      <c r="G404" s="85">
        <v>16.617599999999999</v>
      </c>
      <c r="H404" s="86">
        <v>16.474599999999999</v>
      </c>
      <c r="I404" s="86">
        <v>0.49419999999999997</v>
      </c>
      <c r="J404" s="87">
        <v>0.28935653581546072</v>
      </c>
      <c r="K404" s="85">
        <v>14.992000000000001</v>
      </c>
      <c r="L404" s="85">
        <v>17.9572</v>
      </c>
      <c r="M404" t="s">
        <v>462</v>
      </c>
      <c r="N404" t="s">
        <v>464</v>
      </c>
      <c r="P404" s="85">
        <v>0.86800286501645374</v>
      </c>
      <c r="Q404" s="85">
        <v>0.86800286501645374</v>
      </c>
      <c r="R404" s="81"/>
      <c r="S404" t="s">
        <v>463</v>
      </c>
      <c r="T404" t="s">
        <v>842</v>
      </c>
      <c r="U404" t="s">
        <v>870</v>
      </c>
    </row>
    <row r="405" spans="1:21" x14ac:dyDescent="0.3">
      <c r="A405" t="s">
        <v>397</v>
      </c>
      <c r="B405">
        <v>2025</v>
      </c>
      <c r="C405">
        <v>1</v>
      </c>
      <c r="D405" t="s">
        <v>122</v>
      </c>
      <c r="E405" t="s">
        <v>122</v>
      </c>
      <c r="F405">
        <v>4</v>
      </c>
      <c r="G405" s="85">
        <v>16.796600000000002</v>
      </c>
      <c r="H405" s="86">
        <v>16.617899999999999</v>
      </c>
      <c r="I405" s="86">
        <v>0.4985</v>
      </c>
      <c r="J405" s="87">
        <v>0.35847542627884199</v>
      </c>
      <c r="K405" s="85">
        <v>15.122400000000001</v>
      </c>
      <c r="L405" s="85">
        <v>18.113399999999999</v>
      </c>
      <c r="M405" t="s">
        <v>462</v>
      </c>
      <c r="N405" t="s">
        <v>464</v>
      </c>
      <c r="P405" s="85">
        <v>1.0753464637529577</v>
      </c>
      <c r="Q405" s="85">
        <v>1.0753464637529577</v>
      </c>
      <c r="R405" s="81"/>
      <c r="S405" t="s">
        <v>463</v>
      </c>
      <c r="T405" t="s">
        <v>842</v>
      </c>
      <c r="U405" t="s">
        <v>871</v>
      </c>
    </row>
    <row r="406" spans="1:21" x14ac:dyDescent="0.3">
      <c r="A406" t="s">
        <v>397</v>
      </c>
      <c r="B406">
        <v>2025</v>
      </c>
      <c r="C406">
        <v>1</v>
      </c>
      <c r="D406" t="s">
        <v>122</v>
      </c>
      <c r="E406" t="s">
        <v>122</v>
      </c>
      <c r="F406">
        <v>5</v>
      </c>
      <c r="G406" s="85">
        <v>16.695</v>
      </c>
      <c r="H406" s="86">
        <v>16.647200000000002</v>
      </c>
      <c r="I406" s="86">
        <v>0.49940000000000001</v>
      </c>
      <c r="J406" s="87">
        <v>9.5714857829392735E-2</v>
      </c>
      <c r="K406" s="85">
        <v>15.148999999999999</v>
      </c>
      <c r="L406" s="85">
        <v>18.145399999999999</v>
      </c>
      <c r="M406" t="s">
        <v>462</v>
      </c>
      <c r="N406" t="s">
        <v>464</v>
      </c>
      <c r="P406" s="85">
        <v>0.287135374116961</v>
      </c>
      <c r="Q406" s="85">
        <v>0.287135374116961</v>
      </c>
      <c r="R406" s="81"/>
      <c r="S406" t="s">
        <v>463</v>
      </c>
      <c r="T406" t="s">
        <v>842</v>
      </c>
      <c r="U406" t="s">
        <v>872</v>
      </c>
    </row>
    <row r="407" spans="1:21" x14ac:dyDescent="0.3">
      <c r="A407" t="s">
        <v>397</v>
      </c>
      <c r="B407">
        <v>2025</v>
      </c>
      <c r="C407">
        <v>2</v>
      </c>
      <c r="D407" t="s">
        <v>128</v>
      </c>
      <c r="E407" t="s">
        <v>128</v>
      </c>
      <c r="F407">
        <v>1</v>
      </c>
      <c r="G407" s="85">
        <v>45.301299999999998</v>
      </c>
      <c r="H407" s="86">
        <v>44.580500000000001</v>
      </c>
      <c r="I407" s="86">
        <v>1.3373999999999999</v>
      </c>
      <c r="J407" s="87">
        <v>0.53895618363989606</v>
      </c>
      <c r="K407" s="85">
        <v>40.568300000000001</v>
      </c>
      <c r="L407" s="85">
        <v>48.592700000000001</v>
      </c>
      <c r="M407" t="s">
        <v>462</v>
      </c>
      <c r="N407" t="s">
        <v>464</v>
      </c>
      <c r="P407" s="85">
        <v>1.6168504166619868</v>
      </c>
      <c r="Q407" s="85">
        <v>1.6168504166619868</v>
      </c>
      <c r="R407" s="81"/>
      <c r="S407" t="s">
        <v>463</v>
      </c>
      <c r="T407" t="s">
        <v>842</v>
      </c>
      <c r="U407" t="s">
        <v>873</v>
      </c>
    </row>
    <row r="408" spans="1:21" x14ac:dyDescent="0.3">
      <c r="A408" t="s">
        <v>397</v>
      </c>
      <c r="B408">
        <v>2025</v>
      </c>
      <c r="C408">
        <v>2</v>
      </c>
      <c r="D408" t="s">
        <v>128</v>
      </c>
      <c r="E408" t="s">
        <v>128</v>
      </c>
      <c r="F408">
        <v>2</v>
      </c>
      <c r="G408" s="85">
        <v>45.655799999999999</v>
      </c>
      <c r="H408" s="86">
        <v>45.0486</v>
      </c>
      <c r="I408" s="86">
        <v>1.3514999999999999</v>
      </c>
      <c r="J408" s="87">
        <v>0.44927857935626997</v>
      </c>
      <c r="K408" s="85">
        <v>40.994100000000003</v>
      </c>
      <c r="L408" s="85">
        <v>49.103099999999998</v>
      </c>
      <c r="M408" t="s">
        <v>462</v>
      </c>
      <c r="N408" t="s">
        <v>464</v>
      </c>
      <c r="P408" s="85">
        <v>1.3478776254977931</v>
      </c>
      <c r="Q408" s="85">
        <v>1.3478776254977931</v>
      </c>
      <c r="R408" s="81"/>
      <c r="S408" t="s">
        <v>463</v>
      </c>
      <c r="T408" t="s">
        <v>842</v>
      </c>
      <c r="U408" t="s">
        <v>874</v>
      </c>
    </row>
    <row r="409" spans="1:21" x14ac:dyDescent="0.3">
      <c r="A409" t="s">
        <v>397</v>
      </c>
      <c r="B409">
        <v>2025</v>
      </c>
      <c r="C409">
        <v>2</v>
      </c>
      <c r="D409" t="s">
        <v>128</v>
      </c>
      <c r="E409" t="s">
        <v>128</v>
      </c>
      <c r="F409">
        <v>3</v>
      </c>
      <c r="G409" s="85">
        <v>45.115699999999997</v>
      </c>
      <c r="H409" s="86">
        <v>44.8108</v>
      </c>
      <c r="I409" s="86">
        <v>1.3443000000000001</v>
      </c>
      <c r="J409" s="87">
        <v>0.22680949192888222</v>
      </c>
      <c r="K409" s="85">
        <v>40.777900000000002</v>
      </c>
      <c r="L409" s="85">
        <v>48.843699999999998</v>
      </c>
      <c r="M409" t="s">
        <v>462</v>
      </c>
      <c r="N409" t="s">
        <v>464</v>
      </c>
      <c r="P409" s="85">
        <v>0.68041632820658504</v>
      </c>
      <c r="Q409" s="85">
        <v>0.68041632820658504</v>
      </c>
      <c r="R409" s="81"/>
      <c r="S409" t="s">
        <v>463</v>
      </c>
      <c r="T409" t="s">
        <v>842</v>
      </c>
      <c r="U409" t="s">
        <v>875</v>
      </c>
    </row>
    <row r="410" spans="1:21" x14ac:dyDescent="0.3">
      <c r="A410" t="s">
        <v>397</v>
      </c>
      <c r="B410">
        <v>2025</v>
      </c>
      <c r="C410">
        <v>2</v>
      </c>
      <c r="D410" t="s">
        <v>128</v>
      </c>
      <c r="E410" t="s">
        <v>128</v>
      </c>
      <c r="F410">
        <v>4</v>
      </c>
      <c r="G410" s="85">
        <v>45.619599999999998</v>
      </c>
      <c r="H410" s="86">
        <v>44.692</v>
      </c>
      <c r="I410" s="86">
        <v>1.3408</v>
      </c>
      <c r="J410" s="87">
        <v>0.69182577565632319</v>
      </c>
      <c r="K410" s="85">
        <v>40.669600000000003</v>
      </c>
      <c r="L410" s="85">
        <v>48.714399999999998</v>
      </c>
      <c r="M410" t="s">
        <v>462</v>
      </c>
      <c r="N410" t="s">
        <v>464</v>
      </c>
      <c r="P410" s="85">
        <v>2.0755392463975615</v>
      </c>
      <c r="Q410" s="85">
        <v>2.0755392463975615</v>
      </c>
      <c r="R410" s="81"/>
      <c r="S410" t="s">
        <v>463</v>
      </c>
      <c r="T410" t="s">
        <v>842</v>
      </c>
      <c r="U410" t="s">
        <v>876</v>
      </c>
    </row>
    <row r="411" spans="1:21" x14ac:dyDescent="0.3">
      <c r="A411" t="s">
        <v>397</v>
      </c>
      <c r="B411">
        <v>2025</v>
      </c>
      <c r="C411">
        <v>2</v>
      </c>
      <c r="D411" t="s">
        <v>128</v>
      </c>
      <c r="E411" t="s">
        <v>128</v>
      </c>
      <c r="F411">
        <v>5</v>
      </c>
      <c r="G411" s="85">
        <v>45.091000000000001</v>
      </c>
      <c r="H411" s="86">
        <v>44.824800000000003</v>
      </c>
      <c r="I411" s="86">
        <v>1.3447</v>
      </c>
      <c r="J411" s="87">
        <v>0.19796237078902193</v>
      </c>
      <c r="K411" s="85">
        <v>40.790700000000001</v>
      </c>
      <c r="L411" s="85">
        <v>48.858899999999998</v>
      </c>
      <c r="M411" t="s">
        <v>462</v>
      </c>
      <c r="N411" t="s">
        <v>464</v>
      </c>
      <c r="P411" s="85">
        <v>0.59386768039120696</v>
      </c>
      <c r="Q411" s="85">
        <v>0.59386768039120696</v>
      </c>
      <c r="R411" s="81"/>
      <c r="S411" t="s">
        <v>463</v>
      </c>
      <c r="T411" t="s">
        <v>842</v>
      </c>
      <c r="U411" t="s">
        <v>877</v>
      </c>
    </row>
    <row r="412" spans="1:21" x14ac:dyDescent="0.3">
      <c r="A412" t="s">
        <v>397</v>
      </c>
      <c r="B412">
        <v>2025</v>
      </c>
      <c r="C412">
        <v>2</v>
      </c>
      <c r="D412" t="s">
        <v>127</v>
      </c>
      <c r="E412" t="s">
        <v>127</v>
      </c>
      <c r="F412">
        <v>1</v>
      </c>
      <c r="G412" s="85">
        <v>15.8812</v>
      </c>
      <c r="H412" s="86">
        <v>15.7346</v>
      </c>
      <c r="I412" s="86">
        <v>0.47199999999999998</v>
      </c>
      <c r="J412" s="87">
        <v>0.31059322033898179</v>
      </c>
      <c r="K412" s="85">
        <v>14.3186</v>
      </c>
      <c r="L412" s="85">
        <v>17.150600000000001</v>
      </c>
      <c r="M412" t="s">
        <v>462</v>
      </c>
      <c r="N412" t="s">
        <v>464</v>
      </c>
      <c r="P412" s="85">
        <v>0.93170465089674592</v>
      </c>
      <c r="Q412" s="85">
        <v>0.93170465089674592</v>
      </c>
      <c r="R412" s="81"/>
      <c r="S412" t="s">
        <v>463</v>
      </c>
      <c r="T412" t="s">
        <v>842</v>
      </c>
      <c r="U412" t="s">
        <v>878</v>
      </c>
    </row>
    <row r="413" spans="1:21" x14ac:dyDescent="0.3">
      <c r="A413" t="s">
        <v>397</v>
      </c>
      <c r="B413">
        <v>2025</v>
      </c>
      <c r="C413">
        <v>2</v>
      </c>
      <c r="D413" t="s">
        <v>127</v>
      </c>
      <c r="E413" t="s">
        <v>127</v>
      </c>
      <c r="F413">
        <v>2</v>
      </c>
      <c r="G413" s="85">
        <v>15.6838</v>
      </c>
      <c r="H413" s="86">
        <v>15.537800000000001</v>
      </c>
      <c r="I413" s="86">
        <v>0.46610000000000001</v>
      </c>
      <c r="J413" s="87">
        <v>0.31323750268182582</v>
      </c>
      <c r="K413" s="85">
        <v>14.1395</v>
      </c>
      <c r="L413" s="85">
        <v>16.9361</v>
      </c>
      <c r="M413" t="s">
        <v>462</v>
      </c>
      <c r="N413" t="s">
        <v>464</v>
      </c>
      <c r="P413" s="85">
        <v>0.9396439650400894</v>
      </c>
      <c r="Q413" s="85">
        <v>0.9396439650400894</v>
      </c>
      <c r="R413" s="81"/>
      <c r="S413" t="s">
        <v>463</v>
      </c>
      <c r="T413" t="s">
        <v>842</v>
      </c>
      <c r="U413" t="s">
        <v>879</v>
      </c>
    </row>
    <row r="414" spans="1:21" x14ac:dyDescent="0.3">
      <c r="A414" t="s">
        <v>397</v>
      </c>
      <c r="B414">
        <v>2025</v>
      </c>
      <c r="C414">
        <v>2</v>
      </c>
      <c r="D414" t="s">
        <v>127</v>
      </c>
      <c r="E414" t="s">
        <v>127</v>
      </c>
      <c r="F414">
        <v>3</v>
      </c>
      <c r="G414" s="85">
        <v>15.964499999999999</v>
      </c>
      <c r="H414" s="86">
        <v>15.7616</v>
      </c>
      <c r="I414" s="86">
        <v>0.4728</v>
      </c>
      <c r="J414" s="87">
        <v>0.42914551607444934</v>
      </c>
      <c r="K414" s="85">
        <v>14.3432</v>
      </c>
      <c r="L414" s="85">
        <v>17.18</v>
      </c>
      <c r="M414" t="s">
        <v>462</v>
      </c>
      <c r="N414" t="s">
        <v>464</v>
      </c>
      <c r="P414" s="85">
        <v>1.2873058572733709</v>
      </c>
      <c r="Q414" s="85">
        <v>1.2873058572733709</v>
      </c>
      <c r="R414" s="81"/>
      <c r="S414" t="s">
        <v>463</v>
      </c>
      <c r="T414" t="s">
        <v>842</v>
      </c>
      <c r="U414" t="s">
        <v>880</v>
      </c>
    </row>
    <row r="415" spans="1:21" x14ac:dyDescent="0.3">
      <c r="A415" t="s">
        <v>397</v>
      </c>
      <c r="B415">
        <v>2025</v>
      </c>
      <c r="C415">
        <v>2</v>
      </c>
      <c r="D415" t="s">
        <v>127</v>
      </c>
      <c r="E415" t="s">
        <v>127</v>
      </c>
      <c r="F415">
        <v>4</v>
      </c>
      <c r="G415" s="85">
        <v>15.476100000000001</v>
      </c>
      <c r="H415" s="86">
        <v>15.320600000000001</v>
      </c>
      <c r="I415" s="86">
        <v>0.45960000000000001</v>
      </c>
      <c r="J415" s="87">
        <v>0.33833768494342897</v>
      </c>
      <c r="K415" s="85">
        <v>13.941800000000001</v>
      </c>
      <c r="L415" s="85">
        <v>16.699400000000001</v>
      </c>
      <c r="M415" t="s">
        <v>462</v>
      </c>
      <c r="N415" t="s">
        <v>464</v>
      </c>
      <c r="P415" s="85">
        <v>1.014973303917601</v>
      </c>
      <c r="Q415" s="85">
        <v>1.014973303917601</v>
      </c>
      <c r="R415" s="81"/>
      <c r="S415" t="s">
        <v>463</v>
      </c>
      <c r="T415" t="s">
        <v>842</v>
      </c>
      <c r="U415" t="s">
        <v>881</v>
      </c>
    </row>
    <row r="416" spans="1:21" x14ac:dyDescent="0.3">
      <c r="A416" t="s">
        <v>397</v>
      </c>
      <c r="B416">
        <v>2025</v>
      </c>
      <c r="C416">
        <v>2</v>
      </c>
      <c r="D416" t="s">
        <v>127</v>
      </c>
      <c r="E416" t="s">
        <v>127</v>
      </c>
      <c r="F416">
        <v>5</v>
      </c>
      <c r="G416" s="85">
        <v>15.7508</v>
      </c>
      <c r="H416" s="86">
        <v>15.6379</v>
      </c>
      <c r="I416" s="86">
        <v>0.46910000000000002</v>
      </c>
      <c r="J416" s="87">
        <v>0.24067363035600037</v>
      </c>
      <c r="K416" s="85">
        <v>14.230600000000001</v>
      </c>
      <c r="L416" s="85">
        <v>17.045200000000001</v>
      </c>
      <c r="M416" t="s">
        <v>462</v>
      </c>
      <c r="N416" t="s">
        <v>464</v>
      </c>
      <c r="P416" s="85">
        <v>0.72196394656571394</v>
      </c>
      <c r="Q416" s="85">
        <v>0.72196394656571394</v>
      </c>
      <c r="R416" s="81"/>
      <c r="S416" t="s">
        <v>463</v>
      </c>
      <c r="T416" t="s">
        <v>842</v>
      </c>
      <c r="U416" t="s">
        <v>882</v>
      </c>
    </row>
    <row r="417" spans="1:21" x14ac:dyDescent="0.3">
      <c r="A417" t="s">
        <v>397</v>
      </c>
      <c r="B417">
        <v>2025</v>
      </c>
      <c r="C417">
        <v>2</v>
      </c>
      <c r="D417" t="s">
        <v>130</v>
      </c>
      <c r="E417" t="s">
        <v>130</v>
      </c>
      <c r="F417">
        <v>1</v>
      </c>
      <c r="G417" s="85">
        <v>30.726800000000001</v>
      </c>
      <c r="H417" s="86">
        <v>30.510200000000001</v>
      </c>
      <c r="I417" s="86">
        <v>0.9153</v>
      </c>
      <c r="J417" s="87">
        <v>0.23664372336938674</v>
      </c>
      <c r="K417" s="85">
        <v>27.764299999999999</v>
      </c>
      <c r="L417" s="85">
        <v>33.256100000000004</v>
      </c>
      <c r="M417" t="s">
        <v>462</v>
      </c>
      <c r="N417" t="s">
        <v>464</v>
      </c>
      <c r="P417" s="85">
        <v>0.7099265163781282</v>
      </c>
      <c r="Q417" s="85">
        <v>0.7099265163781282</v>
      </c>
      <c r="R417" s="81"/>
      <c r="S417" t="s">
        <v>463</v>
      </c>
      <c r="T417" t="s">
        <v>842</v>
      </c>
      <c r="U417" t="s">
        <v>883</v>
      </c>
    </row>
    <row r="418" spans="1:21" x14ac:dyDescent="0.3">
      <c r="A418" t="s">
        <v>397</v>
      </c>
      <c r="B418">
        <v>2025</v>
      </c>
      <c r="C418">
        <v>2</v>
      </c>
      <c r="D418" t="s">
        <v>130</v>
      </c>
      <c r="E418" t="s">
        <v>130</v>
      </c>
      <c r="F418">
        <v>2</v>
      </c>
      <c r="G418" s="85">
        <v>30.786300000000001</v>
      </c>
      <c r="H418" s="86">
        <v>30.563199999999998</v>
      </c>
      <c r="I418" s="86">
        <v>0.91690000000000005</v>
      </c>
      <c r="J418" s="87">
        <v>0.24331988221180312</v>
      </c>
      <c r="K418" s="85">
        <v>27.8125</v>
      </c>
      <c r="L418" s="85">
        <v>33.313899999999997</v>
      </c>
      <c r="M418" t="s">
        <v>462</v>
      </c>
      <c r="N418" t="s">
        <v>464</v>
      </c>
      <c r="P418" s="85">
        <v>0.72996283111716798</v>
      </c>
      <c r="Q418" s="85">
        <v>0.72996283111716798</v>
      </c>
      <c r="R418" s="81"/>
      <c r="S418" t="s">
        <v>463</v>
      </c>
      <c r="T418" t="s">
        <v>842</v>
      </c>
      <c r="U418" t="s">
        <v>884</v>
      </c>
    </row>
    <row r="419" spans="1:21" x14ac:dyDescent="0.3">
      <c r="A419" t="s">
        <v>397</v>
      </c>
      <c r="B419">
        <v>2025</v>
      </c>
      <c r="C419">
        <v>2</v>
      </c>
      <c r="D419" t="s">
        <v>130</v>
      </c>
      <c r="E419" t="s">
        <v>130</v>
      </c>
      <c r="F419">
        <v>3</v>
      </c>
      <c r="G419" s="85">
        <v>30.65</v>
      </c>
      <c r="H419" s="86">
        <v>30.454499999999999</v>
      </c>
      <c r="I419" s="86">
        <v>0.91359999999999997</v>
      </c>
      <c r="J419" s="87">
        <v>0.21398861646234579</v>
      </c>
      <c r="K419" s="85">
        <v>27.713699999999999</v>
      </c>
      <c r="L419" s="85">
        <v>33.195300000000003</v>
      </c>
      <c r="M419" t="s">
        <v>462</v>
      </c>
      <c r="N419" t="s">
        <v>464</v>
      </c>
      <c r="P419" s="85">
        <v>0.64194125662873835</v>
      </c>
      <c r="Q419" s="85">
        <v>0.64194125662873835</v>
      </c>
      <c r="R419" s="81"/>
      <c r="S419" t="s">
        <v>463</v>
      </c>
      <c r="T419" t="s">
        <v>842</v>
      </c>
      <c r="U419" t="s">
        <v>885</v>
      </c>
    </row>
    <row r="420" spans="1:21" x14ac:dyDescent="0.3">
      <c r="A420" t="s">
        <v>397</v>
      </c>
      <c r="B420">
        <v>2025</v>
      </c>
      <c r="C420">
        <v>2</v>
      </c>
      <c r="D420" t="s">
        <v>130</v>
      </c>
      <c r="E420" t="s">
        <v>130</v>
      </c>
      <c r="F420">
        <v>4</v>
      </c>
      <c r="G420" s="85">
        <v>30.104099999999999</v>
      </c>
      <c r="H420" s="86">
        <v>29.936399999999999</v>
      </c>
      <c r="I420" s="86">
        <v>0.89810000000000001</v>
      </c>
      <c r="J420" s="87">
        <v>0.18672753590914148</v>
      </c>
      <c r="K420" s="85">
        <v>27.242100000000001</v>
      </c>
      <c r="L420" s="85">
        <v>32.630699999999997</v>
      </c>
      <c r="M420" t="s">
        <v>462</v>
      </c>
      <c r="N420" t="s">
        <v>464</v>
      </c>
      <c r="P420" s="85">
        <v>0.560187597707139</v>
      </c>
      <c r="Q420" s="85">
        <v>0.560187597707139</v>
      </c>
      <c r="R420" s="81"/>
      <c r="S420" t="s">
        <v>463</v>
      </c>
      <c r="T420" t="s">
        <v>842</v>
      </c>
      <c r="U420" t="s">
        <v>886</v>
      </c>
    </row>
    <row r="421" spans="1:21" x14ac:dyDescent="0.3">
      <c r="A421" t="s">
        <v>397</v>
      </c>
      <c r="B421">
        <v>2025</v>
      </c>
      <c r="C421">
        <v>2</v>
      </c>
      <c r="D421" t="s">
        <v>130</v>
      </c>
      <c r="E421" t="s">
        <v>130</v>
      </c>
      <c r="F421">
        <v>5</v>
      </c>
      <c r="G421" s="85">
        <v>30.356000000000002</v>
      </c>
      <c r="H421" s="86">
        <v>30.165900000000001</v>
      </c>
      <c r="I421" s="86">
        <v>0.90500000000000003</v>
      </c>
      <c r="J421" s="87">
        <v>0.21005524861878569</v>
      </c>
      <c r="K421" s="85">
        <v>27.450900000000001</v>
      </c>
      <c r="L421" s="85">
        <v>32.880899999999997</v>
      </c>
      <c r="M421" t="s">
        <v>462</v>
      </c>
      <c r="N421" t="s">
        <v>464</v>
      </c>
      <c r="P421" s="85">
        <v>0.63018176152543448</v>
      </c>
      <c r="Q421" s="85">
        <v>0.63018176152543448</v>
      </c>
      <c r="R421" s="81"/>
      <c r="S421" t="s">
        <v>463</v>
      </c>
      <c r="T421" t="s">
        <v>842</v>
      </c>
      <c r="U421" t="s">
        <v>887</v>
      </c>
    </row>
    <row r="422" spans="1:21" x14ac:dyDescent="0.3">
      <c r="A422" t="s">
        <v>397</v>
      </c>
      <c r="B422">
        <v>2025</v>
      </c>
      <c r="C422">
        <v>2</v>
      </c>
      <c r="D422" t="s">
        <v>129</v>
      </c>
      <c r="E422" t="s">
        <v>129</v>
      </c>
      <c r="F422">
        <v>1</v>
      </c>
      <c r="G422" s="85">
        <v>86.223399999999998</v>
      </c>
      <c r="H422" s="86">
        <v>85.790999999999997</v>
      </c>
      <c r="I422" s="86">
        <v>2.5737000000000001</v>
      </c>
      <c r="J422" s="87">
        <v>0.16800714924039367</v>
      </c>
      <c r="K422" s="85">
        <v>78.069900000000004</v>
      </c>
      <c r="L422" s="85">
        <v>93.512100000000004</v>
      </c>
      <c r="M422" t="s">
        <v>462</v>
      </c>
      <c r="N422" t="s">
        <v>464</v>
      </c>
      <c r="P422" s="85">
        <v>0.5040155727290756</v>
      </c>
      <c r="Q422" s="85">
        <v>0.5040155727290756</v>
      </c>
      <c r="R422" s="81"/>
      <c r="S422" t="s">
        <v>463</v>
      </c>
      <c r="T422" t="s">
        <v>842</v>
      </c>
      <c r="U422" t="s">
        <v>888</v>
      </c>
    </row>
    <row r="423" spans="1:21" x14ac:dyDescent="0.3">
      <c r="A423" t="s">
        <v>397</v>
      </c>
      <c r="B423">
        <v>2025</v>
      </c>
      <c r="C423">
        <v>2</v>
      </c>
      <c r="D423" t="s">
        <v>129</v>
      </c>
      <c r="E423" t="s">
        <v>129</v>
      </c>
      <c r="F423">
        <v>2</v>
      </c>
      <c r="G423" s="85">
        <v>89.173400000000001</v>
      </c>
      <c r="H423" s="86">
        <v>88.363299999999995</v>
      </c>
      <c r="I423" s="86">
        <v>2.6509</v>
      </c>
      <c r="J423" s="87">
        <v>0.30559432645516826</v>
      </c>
      <c r="K423" s="85">
        <v>80.410600000000002</v>
      </c>
      <c r="L423" s="85">
        <v>96.316000000000003</v>
      </c>
      <c r="M423" t="s">
        <v>462</v>
      </c>
      <c r="N423" t="s">
        <v>464</v>
      </c>
      <c r="P423" s="85">
        <v>0.91678332520402206</v>
      </c>
      <c r="Q423" s="85">
        <v>0.91678332520402206</v>
      </c>
      <c r="R423" s="81"/>
      <c r="S423" t="s">
        <v>463</v>
      </c>
      <c r="T423" t="s">
        <v>842</v>
      </c>
      <c r="U423" t="s">
        <v>889</v>
      </c>
    </row>
    <row r="424" spans="1:21" x14ac:dyDescent="0.3">
      <c r="A424" t="s">
        <v>397</v>
      </c>
      <c r="B424">
        <v>2025</v>
      </c>
      <c r="C424">
        <v>2</v>
      </c>
      <c r="D424" t="s">
        <v>129</v>
      </c>
      <c r="E424" t="s">
        <v>129</v>
      </c>
      <c r="F424">
        <v>3</v>
      </c>
      <c r="G424" s="85">
        <v>89.461500000000001</v>
      </c>
      <c r="H424" s="86">
        <v>88.173900000000003</v>
      </c>
      <c r="I424" s="86">
        <v>2.6452</v>
      </c>
      <c r="J424" s="87">
        <v>0.48676848631483355</v>
      </c>
      <c r="K424" s="85">
        <v>80.238299999999995</v>
      </c>
      <c r="L424" s="85">
        <v>96.109499999999997</v>
      </c>
      <c r="M424" t="s">
        <v>462</v>
      </c>
      <c r="N424" t="s">
        <v>464</v>
      </c>
      <c r="P424" s="85">
        <v>1.4602960740082922</v>
      </c>
      <c r="Q424" s="85">
        <v>1.4602960740082922</v>
      </c>
      <c r="R424" s="81"/>
      <c r="S424" t="s">
        <v>463</v>
      </c>
      <c r="T424" t="s">
        <v>842</v>
      </c>
      <c r="U424" t="s">
        <v>890</v>
      </c>
    </row>
    <row r="425" spans="1:21" x14ac:dyDescent="0.3">
      <c r="A425" t="s">
        <v>397</v>
      </c>
      <c r="B425">
        <v>2025</v>
      </c>
      <c r="C425">
        <v>2</v>
      </c>
      <c r="D425" t="s">
        <v>129</v>
      </c>
      <c r="E425" t="s">
        <v>129</v>
      </c>
      <c r="F425">
        <v>4</v>
      </c>
      <c r="G425" s="85">
        <v>90.236699999999999</v>
      </c>
      <c r="H425" s="86">
        <v>88.824700000000007</v>
      </c>
      <c r="I425" s="86">
        <v>2.6646999999999998</v>
      </c>
      <c r="J425" s="87">
        <v>0.52989079446091192</v>
      </c>
      <c r="K425" s="85">
        <v>80.830600000000004</v>
      </c>
      <c r="L425" s="85">
        <v>96.818799999999996</v>
      </c>
      <c r="M425" t="s">
        <v>462</v>
      </c>
      <c r="N425" t="s">
        <v>464</v>
      </c>
      <c r="P425" s="85">
        <v>1.5896479245074757</v>
      </c>
      <c r="Q425" s="85">
        <v>1.5896479245074757</v>
      </c>
      <c r="R425" s="81"/>
      <c r="S425" t="s">
        <v>463</v>
      </c>
      <c r="T425" t="s">
        <v>842</v>
      </c>
      <c r="U425" t="s">
        <v>891</v>
      </c>
    </row>
    <row r="426" spans="1:21" x14ac:dyDescent="0.3">
      <c r="A426" t="s">
        <v>397</v>
      </c>
      <c r="B426">
        <v>2025</v>
      </c>
      <c r="C426">
        <v>2</v>
      </c>
      <c r="D426" t="s">
        <v>129</v>
      </c>
      <c r="E426" t="s">
        <v>129</v>
      </c>
      <c r="F426">
        <v>5</v>
      </c>
      <c r="G426" s="85">
        <v>89.572299999999998</v>
      </c>
      <c r="H426" s="86">
        <v>88.557100000000005</v>
      </c>
      <c r="I426" s="86">
        <v>2.6566999999999998</v>
      </c>
      <c r="J426" s="87">
        <v>0.38212820416305682</v>
      </c>
      <c r="K426" s="85">
        <v>80.587000000000003</v>
      </c>
      <c r="L426" s="85">
        <v>96.527199999999993</v>
      </c>
      <c r="M426" t="s">
        <v>462</v>
      </c>
      <c r="N426" t="s">
        <v>464</v>
      </c>
      <c r="P426" s="85">
        <v>1.1463790029257879</v>
      </c>
      <c r="Q426" s="85">
        <v>1.1463790029257879</v>
      </c>
      <c r="R426" s="81"/>
      <c r="S426" t="s">
        <v>463</v>
      </c>
      <c r="T426" t="s">
        <v>842</v>
      </c>
      <c r="U426" t="s">
        <v>892</v>
      </c>
    </row>
    <row r="427" spans="1:21" x14ac:dyDescent="0.3">
      <c r="A427" t="s">
        <v>397</v>
      </c>
      <c r="B427">
        <v>2025</v>
      </c>
      <c r="C427">
        <v>2</v>
      </c>
      <c r="D427" t="s">
        <v>125</v>
      </c>
      <c r="E427" t="s">
        <v>125</v>
      </c>
      <c r="F427">
        <v>1</v>
      </c>
      <c r="G427" s="85">
        <v>5.1913999999999998</v>
      </c>
      <c r="H427" s="86">
        <v>5.1406000000000001</v>
      </c>
      <c r="I427" s="86">
        <v>0.1542</v>
      </c>
      <c r="J427" s="87">
        <v>0.32944228274967402</v>
      </c>
      <c r="K427" s="85">
        <v>4.6779999999999999</v>
      </c>
      <c r="L427" s="85">
        <v>5.6032000000000002</v>
      </c>
      <c r="M427" t="s">
        <v>462</v>
      </c>
      <c r="N427" t="s">
        <v>464</v>
      </c>
      <c r="P427" s="85">
        <v>0.98821149282184439</v>
      </c>
      <c r="Q427" s="85">
        <v>0.98821149282184439</v>
      </c>
      <c r="R427" s="81"/>
      <c r="S427" t="s">
        <v>463</v>
      </c>
      <c r="T427" t="s">
        <v>842</v>
      </c>
      <c r="U427" t="s">
        <v>893</v>
      </c>
    </row>
    <row r="428" spans="1:21" x14ac:dyDescent="0.3">
      <c r="A428" t="s">
        <v>397</v>
      </c>
      <c r="B428">
        <v>2025</v>
      </c>
      <c r="C428">
        <v>2</v>
      </c>
      <c r="D428" t="s">
        <v>125</v>
      </c>
      <c r="E428" t="s">
        <v>125</v>
      </c>
      <c r="F428">
        <v>2</v>
      </c>
      <c r="G428" s="85">
        <v>5.2016999999999998</v>
      </c>
      <c r="H428" s="86">
        <v>5.1790000000000003</v>
      </c>
      <c r="I428" s="86">
        <v>0.15540000000000001</v>
      </c>
      <c r="J428" s="87">
        <v>0.14607464607464285</v>
      </c>
      <c r="K428" s="85">
        <v>4.7127999999999997</v>
      </c>
      <c r="L428" s="85">
        <v>5.6452</v>
      </c>
      <c r="M428" t="s">
        <v>462</v>
      </c>
      <c r="N428" t="s">
        <v>464</v>
      </c>
      <c r="P428" s="85">
        <v>0.43830855377485028</v>
      </c>
      <c r="Q428" s="85">
        <v>0.43830855377485028</v>
      </c>
      <c r="R428" s="81"/>
      <c r="S428" t="s">
        <v>463</v>
      </c>
      <c r="T428" t="s">
        <v>842</v>
      </c>
      <c r="U428" t="s">
        <v>894</v>
      </c>
    </row>
    <row r="429" spans="1:21" x14ac:dyDescent="0.3">
      <c r="A429" t="s">
        <v>397</v>
      </c>
      <c r="B429">
        <v>2025</v>
      </c>
      <c r="C429">
        <v>2</v>
      </c>
      <c r="D429" t="s">
        <v>125</v>
      </c>
      <c r="E429" t="s">
        <v>125</v>
      </c>
      <c r="F429">
        <v>3</v>
      </c>
      <c r="G429" s="85">
        <v>5.1193</v>
      </c>
      <c r="H429" s="86">
        <v>5.0888999999999998</v>
      </c>
      <c r="I429" s="86">
        <v>0.1527</v>
      </c>
      <c r="J429" s="87">
        <v>0.19908316961362282</v>
      </c>
      <c r="K429" s="85">
        <v>4.6307999999999998</v>
      </c>
      <c r="L429" s="85">
        <v>5.5469999999999997</v>
      </c>
      <c r="M429" t="s">
        <v>462</v>
      </c>
      <c r="N429" t="s">
        <v>464</v>
      </c>
      <c r="P429" s="85">
        <v>0.59737860834365397</v>
      </c>
      <c r="Q429" s="85">
        <v>0.59737860834365397</v>
      </c>
      <c r="R429" s="81"/>
      <c r="S429" t="s">
        <v>463</v>
      </c>
      <c r="T429" t="s">
        <v>842</v>
      </c>
      <c r="U429" t="s">
        <v>895</v>
      </c>
    </row>
    <row r="430" spans="1:21" x14ac:dyDescent="0.3">
      <c r="A430" t="s">
        <v>397</v>
      </c>
      <c r="B430">
        <v>2025</v>
      </c>
      <c r="C430">
        <v>2</v>
      </c>
      <c r="D430" t="s">
        <v>125</v>
      </c>
      <c r="E430" t="s">
        <v>125</v>
      </c>
      <c r="F430">
        <v>4</v>
      </c>
      <c r="G430" s="85">
        <v>5.0815000000000001</v>
      </c>
      <c r="H430" s="86">
        <v>5.0339</v>
      </c>
      <c r="I430" s="86">
        <v>0.151</v>
      </c>
      <c r="J430" s="87">
        <v>0.31523178807947078</v>
      </c>
      <c r="K430" s="85">
        <v>4.5808999999999997</v>
      </c>
      <c r="L430" s="85">
        <v>5.4869000000000003</v>
      </c>
      <c r="M430" t="s">
        <v>462</v>
      </c>
      <c r="N430" t="s">
        <v>464</v>
      </c>
      <c r="P430" s="85">
        <v>0.94558890720912381</v>
      </c>
      <c r="Q430" s="85">
        <v>0.94558890720912381</v>
      </c>
      <c r="R430" s="81"/>
      <c r="S430" t="s">
        <v>463</v>
      </c>
      <c r="T430" t="s">
        <v>842</v>
      </c>
      <c r="U430" t="s">
        <v>896</v>
      </c>
    </row>
    <row r="431" spans="1:21" x14ac:dyDescent="0.3">
      <c r="A431" t="s">
        <v>397</v>
      </c>
      <c r="B431">
        <v>2025</v>
      </c>
      <c r="C431">
        <v>2</v>
      </c>
      <c r="D431" t="s">
        <v>125</v>
      </c>
      <c r="E431" t="s">
        <v>125</v>
      </c>
      <c r="F431">
        <v>5</v>
      </c>
      <c r="G431" s="85">
        <v>5.1825000000000001</v>
      </c>
      <c r="H431" s="86">
        <v>5.1497999999999999</v>
      </c>
      <c r="I431" s="86">
        <v>0.1545</v>
      </c>
      <c r="J431" s="87">
        <v>0.21165048543689433</v>
      </c>
      <c r="K431" s="85">
        <v>4.6863000000000001</v>
      </c>
      <c r="L431" s="85">
        <v>5.6132999999999997</v>
      </c>
      <c r="M431" t="s">
        <v>462</v>
      </c>
      <c r="N431" t="s">
        <v>464</v>
      </c>
      <c r="P431" s="85">
        <v>0.63497611557730738</v>
      </c>
      <c r="Q431" s="85">
        <v>0.63497611557730738</v>
      </c>
      <c r="R431" s="81"/>
      <c r="S431" t="s">
        <v>463</v>
      </c>
      <c r="T431" t="s">
        <v>842</v>
      </c>
      <c r="U431" t="s">
        <v>897</v>
      </c>
    </row>
    <row r="432" spans="1:21" x14ac:dyDescent="0.3">
      <c r="A432" t="s">
        <v>397</v>
      </c>
      <c r="B432">
        <v>2025</v>
      </c>
      <c r="C432">
        <v>2</v>
      </c>
      <c r="D432" t="s">
        <v>122</v>
      </c>
      <c r="E432" t="s">
        <v>122</v>
      </c>
      <c r="F432">
        <v>1</v>
      </c>
      <c r="G432" s="85">
        <v>16.960100000000001</v>
      </c>
      <c r="H432" s="86">
        <v>16.782599999999999</v>
      </c>
      <c r="I432" s="86">
        <v>0.50349999999999995</v>
      </c>
      <c r="J432" s="87">
        <v>0.35253227408143401</v>
      </c>
      <c r="K432" s="85">
        <v>15.2721</v>
      </c>
      <c r="L432" s="85">
        <v>18.293099999999999</v>
      </c>
      <c r="M432" t="s">
        <v>462</v>
      </c>
      <c r="N432" t="s">
        <v>464</v>
      </c>
      <c r="P432" s="85">
        <v>1.0576430350482167</v>
      </c>
      <c r="Q432" s="85">
        <v>1.0576430350482167</v>
      </c>
      <c r="R432" s="81"/>
      <c r="S432" t="s">
        <v>463</v>
      </c>
      <c r="T432" t="s">
        <v>842</v>
      </c>
      <c r="U432" t="s">
        <v>898</v>
      </c>
    </row>
    <row r="433" spans="1:21" x14ac:dyDescent="0.3">
      <c r="A433" t="s">
        <v>397</v>
      </c>
      <c r="B433">
        <v>2025</v>
      </c>
      <c r="C433">
        <v>2</v>
      </c>
      <c r="D433" t="s">
        <v>122</v>
      </c>
      <c r="E433" t="s">
        <v>122</v>
      </c>
      <c r="F433">
        <v>2</v>
      </c>
      <c r="G433" s="85">
        <v>16.809200000000001</v>
      </c>
      <c r="H433" s="86">
        <v>16.636199999999999</v>
      </c>
      <c r="I433" s="86">
        <v>0.49909999999999999</v>
      </c>
      <c r="J433" s="87">
        <v>0.34662392306151435</v>
      </c>
      <c r="K433" s="85">
        <v>15.1389</v>
      </c>
      <c r="L433" s="85">
        <v>18.133500000000002</v>
      </c>
      <c r="M433" t="s">
        <v>462</v>
      </c>
      <c r="N433" t="s">
        <v>464</v>
      </c>
      <c r="P433" s="85">
        <v>1.03990093891635</v>
      </c>
      <c r="Q433" s="85">
        <v>1.03990093891635</v>
      </c>
      <c r="R433" s="81"/>
      <c r="S433" t="s">
        <v>463</v>
      </c>
      <c r="T433" t="s">
        <v>842</v>
      </c>
      <c r="U433" t="s">
        <v>899</v>
      </c>
    </row>
    <row r="434" spans="1:21" x14ac:dyDescent="0.3">
      <c r="A434" t="s">
        <v>397</v>
      </c>
      <c r="B434">
        <v>2025</v>
      </c>
      <c r="C434">
        <v>2</v>
      </c>
      <c r="D434" t="s">
        <v>122</v>
      </c>
      <c r="E434" t="s">
        <v>122</v>
      </c>
      <c r="F434">
        <v>3</v>
      </c>
      <c r="G434" s="85">
        <v>16.675799999999999</v>
      </c>
      <c r="H434" s="86">
        <v>16.461200000000002</v>
      </c>
      <c r="I434" s="86">
        <v>0.49380000000000002</v>
      </c>
      <c r="J434" s="87">
        <v>0.43458890238962583</v>
      </c>
      <c r="K434" s="85">
        <v>14.979799999999999</v>
      </c>
      <c r="L434" s="85">
        <v>17.942599999999999</v>
      </c>
      <c r="M434" t="s">
        <v>462</v>
      </c>
      <c r="N434" t="s">
        <v>464</v>
      </c>
      <c r="P434" s="85">
        <v>1.3036716642771924</v>
      </c>
      <c r="Q434" s="85">
        <v>1.3036716642771924</v>
      </c>
      <c r="R434" s="81"/>
      <c r="S434" t="s">
        <v>463</v>
      </c>
      <c r="T434" t="s">
        <v>842</v>
      </c>
      <c r="U434" t="s">
        <v>900</v>
      </c>
    </row>
    <row r="435" spans="1:21" x14ac:dyDescent="0.3">
      <c r="A435" t="s">
        <v>397</v>
      </c>
      <c r="B435">
        <v>2025</v>
      </c>
      <c r="C435">
        <v>2</v>
      </c>
      <c r="D435" t="s">
        <v>122</v>
      </c>
      <c r="E435" t="s">
        <v>122</v>
      </c>
      <c r="F435">
        <v>4</v>
      </c>
      <c r="G435" s="85">
        <v>16.828399999999998</v>
      </c>
      <c r="H435" s="86">
        <v>16.66</v>
      </c>
      <c r="I435" s="86">
        <v>0.49980000000000002</v>
      </c>
      <c r="J435" s="87">
        <v>0.33693477390956045</v>
      </c>
      <c r="K435" s="85">
        <v>15.160600000000001</v>
      </c>
      <c r="L435" s="85">
        <v>18.159400000000002</v>
      </c>
      <c r="M435" t="s">
        <v>462</v>
      </c>
      <c r="N435" t="s">
        <v>464</v>
      </c>
      <c r="P435" s="85">
        <v>1.0108043217286815</v>
      </c>
      <c r="Q435" s="85">
        <v>1.0108043217286815</v>
      </c>
      <c r="R435" s="81"/>
      <c r="S435" t="s">
        <v>463</v>
      </c>
      <c r="T435" t="s">
        <v>842</v>
      </c>
      <c r="U435" t="s">
        <v>901</v>
      </c>
    </row>
    <row r="436" spans="1:21" x14ac:dyDescent="0.3">
      <c r="A436" t="s">
        <v>397</v>
      </c>
      <c r="B436">
        <v>2025</v>
      </c>
      <c r="C436">
        <v>2</v>
      </c>
      <c r="D436" t="s">
        <v>122</v>
      </c>
      <c r="E436" t="s">
        <v>122</v>
      </c>
      <c r="F436">
        <v>5</v>
      </c>
      <c r="G436" s="85">
        <v>16.729800000000001</v>
      </c>
      <c r="H436" s="86">
        <v>16.4985</v>
      </c>
      <c r="I436" s="86">
        <v>0.495</v>
      </c>
      <c r="J436" s="87">
        <v>0.46727272727272917</v>
      </c>
      <c r="K436" s="85">
        <v>15.013500000000001</v>
      </c>
      <c r="L436" s="85">
        <v>17.983499999999999</v>
      </c>
      <c r="M436" t="s">
        <v>462</v>
      </c>
      <c r="N436" t="s">
        <v>464</v>
      </c>
      <c r="P436" s="85">
        <v>1.4019456314210441</v>
      </c>
      <c r="Q436" s="85">
        <v>1.4019456314210441</v>
      </c>
      <c r="R436" s="81"/>
      <c r="S436" t="s">
        <v>463</v>
      </c>
      <c r="T436" t="s">
        <v>842</v>
      </c>
      <c r="U436" t="s">
        <v>902</v>
      </c>
    </row>
    <row r="437" spans="1:21" x14ac:dyDescent="0.3">
      <c r="A437" t="s">
        <v>397</v>
      </c>
      <c r="B437">
        <v>2025</v>
      </c>
      <c r="C437">
        <v>3</v>
      </c>
      <c r="D437" t="s">
        <v>128</v>
      </c>
      <c r="E437" t="s">
        <v>128</v>
      </c>
      <c r="F437">
        <v>1</v>
      </c>
      <c r="G437" s="85">
        <v>46.2819</v>
      </c>
      <c r="H437" s="86">
        <v>45.509599999999999</v>
      </c>
      <c r="I437" s="86">
        <v>1.3653</v>
      </c>
      <c r="J437" s="87">
        <v>0.56566322419981052</v>
      </c>
      <c r="K437" s="85">
        <v>41.413699999999999</v>
      </c>
      <c r="L437" s="85">
        <v>49.605499999999999</v>
      </c>
      <c r="M437" t="s">
        <v>462</v>
      </c>
      <c r="N437" t="s">
        <v>464</v>
      </c>
      <c r="P437" s="85">
        <v>1.6970045880429652</v>
      </c>
      <c r="Q437" s="85">
        <v>1.6970045880429652</v>
      </c>
      <c r="R437" s="81"/>
      <c r="S437" t="s">
        <v>463</v>
      </c>
      <c r="T437" t="s">
        <v>842</v>
      </c>
      <c r="U437" t="s">
        <v>903</v>
      </c>
    </row>
    <row r="438" spans="1:21" x14ac:dyDescent="0.3">
      <c r="A438" t="s">
        <v>397</v>
      </c>
      <c r="B438">
        <v>2025</v>
      </c>
      <c r="C438">
        <v>3</v>
      </c>
      <c r="D438" t="s">
        <v>128</v>
      </c>
      <c r="E438" t="s">
        <v>128</v>
      </c>
      <c r="F438">
        <v>2</v>
      </c>
      <c r="G438" s="85">
        <v>46.5152</v>
      </c>
      <c r="H438" s="86">
        <v>45.857100000000003</v>
      </c>
      <c r="I438" s="86">
        <v>1.3756999999999999</v>
      </c>
      <c r="J438" s="87">
        <v>0.47837464563494764</v>
      </c>
      <c r="K438" s="85">
        <v>41.73</v>
      </c>
      <c r="L438" s="85">
        <v>49.984200000000001</v>
      </c>
      <c r="M438" t="s">
        <v>462</v>
      </c>
      <c r="N438" t="s">
        <v>464</v>
      </c>
      <c r="P438" s="85">
        <v>1.4351103754925572</v>
      </c>
      <c r="Q438" s="85">
        <v>1.4351103754925572</v>
      </c>
      <c r="R438" s="81"/>
      <c r="S438" t="s">
        <v>463</v>
      </c>
      <c r="T438" t="s">
        <v>842</v>
      </c>
      <c r="U438" t="s">
        <v>904</v>
      </c>
    </row>
    <row r="439" spans="1:21" x14ac:dyDescent="0.3">
      <c r="A439" t="s">
        <v>397</v>
      </c>
      <c r="B439">
        <v>2025</v>
      </c>
      <c r="C439">
        <v>3</v>
      </c>
      <c r="D439" t="s">
        <v>128</v>
      </c>
      <c r="E439" t="s">
        <v>128</v>
      </c>
      <c r="F439">
        <v>3</v>
      </c>
      <c r="G439" s="85">
        <v>44.966500000000003</v>
      </c>
      <c r="H439" s="86">
        <v>44.703099999999999</v>
      </c>
      <c r="I439" s="86">
        <v>1.3411</v>
      </c>
      <c r="J439" s="87">
        <v>0.19640593542614593</v>
      </c>
      <c r="K439" s="85">
        <v>40.6798</v>
      </c>
      <c r="L439" s="85">
        <v>48.726399999999998</v>
      </c>
      <c r="M439" t="s">
        <v>462</v>
      </c>
      <c r="N439" t="s">
        <v>464</v>
      </c>
      <c r="P439" s="85">
        <v>0.58922088177330945</v>
      </c>
      <c r="Q439" s="85">
        <v>0.58922088177330945</v>
      </c>
      <c r="R439" s="81"/>
      <c r="S439" t="s">
        <v>463</v>
      </c>
      <c r="T439" t="s">
        <v>842</v>
      </c>
      <c r="U439" t="s">
        <v>905</v>
      </c>
    </row>
    <row r="440" spans="1:21" x14ac:dyDescent="0.3">
      <c r="A440" t="s">
        <v>397</v>
      </c>
      <c r="B440">
        <v>2025</v>
      </c>
      <c r="C440">
        <v>3</v>
      </c>
      <c r="D440" t="s">
        <v>128</v>
      </c>
      <c r="E440" t="s">
        <v>128</v>
      </c>
      <c r="F440">
        <v>4</v>
      </c>
      <c r="G440" s="85">
        <v>46.796799999999998</v>
      </c>
      <c r="H440" s="86">
        <v>45.504899999999999</v>
      </c>
      <c r="I440" s="86">
        <v>1.3651</v>
      </c>
      <c r="J440" s="87">
        <v>0.94637755475789198</v>
      </c>
      <c r="K440" s="85">
        <v>41.409599999999998</v>
      </c>
      <c r="L440" s="85">
        <v>49.600200000000001</v>
      </c>
      <c r="M440" t="s">
        <v>462</v>
      </c>
      <c r="N440" t="s">
        <v>464</v>
      </c>
      <c r="P440" s="85">
        <v>2.8390349171188123</v>
      </c>
      <c r="Q440" s="85">
        <v>2.8390349171188123</v>
      </c>
      <c r="R440" s="81"/>
      <c r="S440" t="s">
        <v>463</v>
      </c>
      <c r="T440" t="s">
        <v>842</v>
      </c>
      <c r="U440" t="s">
        <v>906</v>
      </c>
    </row>
    <row r="441" spans="1:21" x14ac:dyDescent="0.3">
      <c r="A441" t="s">
        <v>397</v>
      </c>
      <c r="B441">
        <v>2025</v>
      </c>
      <c r="C441">
        <v>3</v>
      </c>
      <c r="D441" t="s">
        <v>128</v>
      </c>
      <c r="E441" t="s">
        <v>128</v>
      </c>
      <c r="F441">
        <v>5</v>
      </c>
      <c r="G441" s="85">
        <v>45.003900000000002</v>
      </c>
      <c r="H441" s="86">
        <v>44.541699999999999</v>
      </c>
      <c r="I441" s="86">
        <v>1.3363</v>
      </c>
      <c r="J441" s="87">
        <v>0.34588041607423692</v>
      </c>
      <c r="K441" s="85">
        <v>40.532800000000002</v>
      </c>
      <c r="L441" s="85">
        <v>48.550600000000003</v>
      </c>
      <c r="M441" t="s">
        <v>462</v>
      </c>
      <c r="N441" t="s">
        <v>464</v>
      </c>
      <c r="P441" s="85">
        <v>1.0376792982755549</v>
      </c>
      <c r="Q441" s="85">
        <v>1.0376792982755549</v>
      </c>
      <c r="R441" s="81"/>
      <c r="S441" t="s">
        <v>463</v>
      </c>
      <c r="T441" t="s">
        <v>842</v>
      </c>
      <c r="U441" t="s">
        <v>907</v>
      </c>
    </row>
    <row r="442" spans="1:21" x14ac:dyDescent="0.3">
      <c r="A442" t="s">
        <v>397</v>
      </c>
      <c r="B442">
        <v>2025</v>
      </c>
      <c r="C442">
        <v>3</v>
      </c>
      <c r="D442" t="s">
        <v>127</v>
      </c>
      <c r="E442" t="s">
        <v>127</v>
      </c>
      <c r="F442">
        <v>1</v>
      </c>
      <c r="G442" s="85">
        <v>15.5825</v>
      </c>
      <c r="H442" s="86">
        <v>15.408799999999999</v>
      </c>
      <c r="I442" s="86">
        <v>0.46229999999999999</v>
      </c>
      <c r="J442" s="87">
        <v>0.37573004542504906</v>
      </c>
      <c r="K442" s="85">
        <v>14.0219</v>
      </c>
      <c r="L442" s="85">
        <v>16.7957</v>
      </c>
      <c r="M442" t="s">
        <v>462</v>
      </c>
      <c r="N442" t="s">
        <v>464</v>
      </c>
      <c r="P442" s="85">
        <v>1.1272779191111586</v>
      </c>
      <c r="Q442" s="85">
        <v>1.1272779191111586</v>
      </c>
      <c r="R442" s="81"/>
      <c r="S442" t="s">
        <v>463</v>
      </c>
      <c r="T442" t="s">
        <v>842</v>
      </c>
      <c r="U442" t="s">
        <v>908</v>
      </c>
    </row>
    <row r="443" spans="1:21" x14ac:dyDescent="0.3">
      <c r="A443" t="s">
        <v>397</v>
      </c>
      <c r="B443">
        <v>2025</v>
      </c>
      <c r="C443">
        <v>3</v>
      </c>
      <c r="D443" t="s">
        <v>127</v>
      </c>
      <c r="E443" t="s">
        <v>127</v>
      </c>
      <c r="F443">
        <v>2</v>
      </c>
      <c r="G443" s="85">
        <v>15.5105</v>
      </c>
      <c r="H443" s="86">
        <v>15.3691</v>
      </c>
      <c r="I443" s="86">
        <v>0.46110000000000001</v>
      </c>
      <c r="J443" s="87">
        <v>0.3066579917588394</v>
      </c>
      <c r="K443" s="85">
        <v>13.985799999999999</v>
      </c>
      <c r="L443" s="85">
        <v>16.752400000000002</v>
      </c>
      <c r="M443" t="s">
        <v>462</v>
      </c>
      <c r="N443" t="s">
        <v>464</v>
      </c>
      <c r="P443" s="85">
        <v>0.92002784808479909</v>
      </c>
      <c r="Q443" s="85">
        <v>0.92002784808479909</v>
      </c>
      <c r="R443" s="81"/>
      <c r="S443" t="s">
        <v>463</v>
      </c>
      <c r="T443" t="s">
        <v>842</v>
      </c>
      <c r="U443" t="s">
        <v>909</v>
      </c>
    </row>
    <row r="444" spans="1:21" x14ac:dyDescent="0.3">
      <c r="A444" t="s">
        <v>397</v>
      </c>
      <c r="B444">
        <v>2025</v>
      </c>
      <c r="C444">
        <v>3</v>
      </c>
      <c r="D444" t="s">
        <v>127</v>
      </c>
      <c r="E444" t="s">
        <v>127</v>
      </c>
      <c r="F444">
        <v>3</v>
      </c>
      <c r="G444" s="85">
        <v>15.8108</v>
      </c>
      <c r="H444" s="86">
        <v>15.7682</v>
      </c>
      <c r="I444" s="86">
        <v>0.47299999999999998</v>
      </c>
      <c r="J444" s="87">
        <v>9.0063424947146295E-2</v>
      </c>
      <c r="K444" s="85">
        <v>14.3492</v>
      </c>
      <c r="L444" s="85">
        <v>17.187200000000001</v>
      </c>
      <c r="M444" t="s">
        <v>462</v>
      </c>
      <c r="N444" t="s">
        <v>464</v>
      </c>
      <c r="P444" s="85">
        <v>0.27016400096396664</v>
      </c>
      <c r="Q444" s="85">
        <v>0.27016400096396664</v>
      </c>
      <c r="R444" s="81"/>
      <c r="S444" t="s">
        <v>463</v>
      </c>
      <c r="T444" t="s">
        <v>842</v>
      </c>
      <c r="U444" t="s">
        <v>910</v>
      </c>
    </row>
    <row r="445" spans="1:21" x14ac:dyDescent="0.3">
      <c r="A445" t="s">
        <v>397</v>
      </c>
      <c r="B445">
        <v>2025</v>
      </c>
      <c r="C445">
        <v>3</v>
      </c>
      <c r="D445" t="s">
        <v>127</v>
      </c>
      <c r="E445" t="s">
        <v>127</v>
      </c>
      <c r="F445">
        <v>4</v>
      </c>
      <c r="G445" s="85">
        <v>15.5738</v>
      </c>
      <c r="H445" s="86">
        <v>15.5184</v>
      </c>
      <c r="I445" s="86">
        <v>0.46560000000000001</v>
      </c>
      <c r="J445" s="87">
        <v>0.11898625429553385</v>
      </c>
      <c r="K445" s="85">
        <v>14.121600000000001</v>
      </c>
      <c r="L445" s="85">
        <v>16.915199999999999</v>
      </c>
      <c r="M445" t="s">
        <v>462</v>
      </c>
      <c r="N445" t="s">
        <v>464</v>
      </c>
      <c r="P445" s="85">
        <v>0.35699556655325654</v>
      </c>
      <c r="Q445" s="85">
        <v>0.35699556655325654</v>
      </c>
      <c r="R445" s="81"/>
      <c r="S445" t="s">
        <v>463</v>
      </c>
      <c r="T445" t="s">
        <v>842</v>
      </c>
      <c r="U445" t="s">
        <v>911</v>
      </c>
    </row>
    <row r="446" spans="1:21" x14ac:dyDescent="0.3">
      <c r="A446" t="s">
        <v>397</v>
      </c>
      <c r="B446">
        <v>2025</v>
      </c>
      <c r="C446">
        <v>3</v>
      </c>
      <c r="D446" t="s">
        <v>127</v>
      </c>
      <c r="E446" t="s">
        <v>127</v>
      </c>
      <c r="F446">
        <v>5</v>
      </c>
      <c r="G446" s="85">
        <v>15.791399999999999</v>
      </c>
      <c r="H446" s="86">
        <v>15.6035</v>
      </c>
      <c r="I446" s="86">
        <v>0.46810000000000002</v>
      </c>
      <c r="J446" s="87">
        <v>0.40140995513778904</v>
      </c>
      <c r="K446" s="85">
        <v>14.199199999999999</v>
      </c>
      <c r="L446" s="85">
        <v>17.0078</v>
      </c>
      <c r="M446" t="s">
        <v>462</v>
      </c>
      <c r="N446" t="s">
        <v>464</v>
      </c>
      <c r="P446" s="85">
        <v>1.2042170025955656</v>
      </c>
      <c r="Q446" s="85">
        <v>1.2042170025955656</v>
      </c>
      <c r="R446" s="81"/>
      <c r="S446" t="s">
        <v>463</v>
      </c>
      <c r="T446" t="s">
        <v>842</v>
      </c>
      <c r="U446" t="s">
        <v>912</v>
      </c>
    </row>
    <row r="447" spans="1:21" x14ac:dyDescent="0.3">
      <c r="A447" t="s">
        <v>397</v>
      </c>
      <c r="B447">
        <v>2025</v>
      </c>
      <c r="C447">
        <v>3</v>
      </c>
      <c r="D447" t="s">
        <v>130</v>
      </c>
      <c r="E447" t="s">
        <v>130</v>
      </c>
      <c r="F447">
        <v>1</v>
      </c>
      <c r="G447" s="85">
        <v>30.477399999999999</v>
      </c>
      <c r="H447" s="86">
        <v>30.251000000000001</v>
      </c>
      <c r="I447" s="86">
        <v>0.90749999999999997</v>
      </c>
      <c r="J447" s="87">
        <v>0.24947658402203654</v>
      </c>
      <c r="K447" s="85">
        <v>27.528500000000001</v>
      </c>
      <c r="L447" s="85">
        <v>32.973500000000001</v>
      </c>
      <c r="M447" t="s">
        <v>462</v>
      </c>
      <c r="N447" t="s">
        <v>464</v>
      </c>
      <c r="P447" s="85">
        <v>0.74840501140457549</v>
      </c>
      <c r="Q447" s="85">
        <v>0.74840501140457549</v>
      </c>
      <c r="R447" s="81"/>
      <c r="S447" t="s">
        <v>463</v>
      </c>
      <c r="T447" t="s">
        <v>842</v>
      </c>
      <c r="U447" t="s">
        <v>913</v>
      </c>
    </row>
    <row r="448" spans="1:21" x14ac:dyDescent="0.3">
      <c r="A448" t="s">
        <v>397</v>
      </c>
      <c r="B448">
        <v>2025</v>
      </c>
      <c r="C448">
        <v>3</v>
      </c>
      <c r="D448" t="s">
        <v>130</v>
      </c>
      <c r="E448" t="s">
        <v>130</v>
      </c>
      <c r="F448">
        <v>2</v>
      </c>
      <c r="G448" s="85">
        <v>30.848600000000001</v>
      </c>
      <c r="H448" s="86">
        <v>30.641999999999999</v>
      </c>
      <c r="I448" s="86">
        <v>0.91930000000000001</v>
      </c>
      <c r="J448" s="87">
        <v>0.22473621233547447</v>
      </c>
      <c r="K448" s="85">
        <v>27.8841</v>
      </c>
      <c r="L448" s="85">
        <v>33.399900000000002</v>
      </c>
      <c r="M448" t="s">
        <v>462</v>
      </c>
      <c r="N448" t="s">
        <v>464</v>
      </c>
      <c r="P448" s="85">
        <v>0.67423797402258878</v>
      </c>
      <c r="Q448" s="85">
        <v>0.67423797402258878</v>
      </c>
      <c r="R448" s="81"/>
      <c r="S448" t="s">
        <v>463</v>
      </c>
      <c r="T448" t="s">
        <v>842</v>
      </c>
      <c r="U448" t="s">
        <v>914</v>
      </c>
    </row>
    <row r="449" spans="1:21" x14ac:dyDescent="0.3">
      <c r="A449" t="s">
        <v>397</v>
      </c>
      <c r="B449">
        <v>2025</v>
      </c>
      <c r="C449">
        <v>3</v>
      </c>
      <c r="D449" t="s">
        <v>130</v>
      </c>
      <c r="E449" t="s">
        <v>130</v>
      </c>
      <c r="F449">
        <v>3</v>
      </c>
      <c r="G449" s="85">
        <v>30.678899999999999</v>
      </c>
      <c r="H449" s="86">
        <v>30.4892</v>
      </c>
      <c r="I449" s="86">
        <v>0.91469999999999996</v>
      </c>
      <c r="J449" s="87">
        <v>0.20739040122444347</v>
      </c>
      <c r="K449" s="85">
        <v>27.745100000000001</v>
      </c>
      <c r="L449" s="85">
        <v>33.2333</v>
      </c>
      <c r="M449" t="s">
        <v>462</v>
      </c>
      <c r="N449" t="s">
        <v>464</v>
      </c>
      <c r="P449" s="85">
        <v>0.62218752869868155</v>
      </c>
      <c r="Q449" s="85">
        <v>0.62218752869868155</v>
      </c>
      <c r="R449" s="81"/>
      <c r="S449" t="s">
        <v>463</v>
      </c>
      <c r="T449" t="s">
        <v>842</v>
      </c>
      <c r="U449" t="s">
        <v>915</v>
      </c>
    </row>
    <row r="450" spans="1:21" x14ac:dyDescent="0.3">
      <c r="A450" t="s">
        <v>397</v>
      </c>
      <c r="B450">
        <v>2025</v>
      </c>
      <c r="C450">
        <v>3</v>
      </c>
      <c r="D450" t="s">
        <v>130</v>
      </c>
      <c r="E450" t="s">
        <v>130</v>
      </c>
      <c r="F450">
        <v>4</v>
      </c>
      <c r="G450" s="85">
        <v>30.426600000000001</v>
      </c>
      <c r="H450" s="86">
        <v>30.257000000000001</v>
      </c>
      <c r="I450" s="86">
        <v>0.90769999999999995</v>
      </c>
      <c r="J450" s="87">
        <v>0.18684587418750589</v>
      </c>
      <c r="K450" s="85">
        <v>27.533899999999999</v>
      </c>
      <c r="L450" s="85">
        <v>32.9801</v>
      </c>
      <c r="M450" t="s">
        <v>462</v>
      </c>
      <c r="N450" t="s">
        <v>464</v>
      </c>
      <c r="P450" s="85">
        <v>0.56053144726839765</v>
      </c>
      <c r="Q450" s="85">
        <v>0.56053144726839765</v>
      </c>
      <c r="R450" s="81"/>
      <c r="S450" t="s">
        <v>463</v>
      </c>
      <c r="T450" t="s">
        <v>842</v>
      </c>
      <c r="U450" t="s">
        <v>916</v>
      </c>
    </row>
    <row r="451" spans="1:21" x14ac:dyDescent="0.3">
      <c r="A451" t="s">
        <v>397</v>
      </c>
      <c r="B451">
        <v>2025</v>
      </c>
      <c r="C451">
        <v>3</v>
      </c>
      <c r="D451" t="s">
        <v>130</v>
      </c>
      <c r="E451" t="s">
        <v>130</v>
      </c>
      <c r="F451">
        <v>5</v>
      </c>
      <c r="G451" s="85">
        <v>30.452100000000002</v>
      </c>
      <c r="H451" s="86">
        <v>30.2425</v>
      </c>
      <c r="I451" s="86">
        <v>0.9073</v>
      </c>
      <c r="J451" s="87">
        <v>0.23101509974650258</v>
      </c>
      <c r="K451" s="85">
        <v>27.520600000000002</v>
      </c>
      <c r="L451" s="85">
        <v>32.964399999999998</v>
      </c>
      <c r="M451" t="s">
        <v>462</v>
      </c>
      <c r="N451" t="s">
        <v>464</v>
      </c>
      <c r="P451" s="85">
        <v>0.69306439613127813</v>
      </c>
      <c r="Q451" s="85">
        <v>0.69306439613127813</v>
      </c>
      <c r="R451" s="81"/>
      <c r="S451" t="s">
        <v>463</v>
      </c>
      <c r="T451" t="s">
        <v>842</v>
      </c>
      <c r="U451" t="s">
        <v>917</v>
      </c>
    </row>
    <row r="452" spans="1:21" x14ac:dyDescent="0.3">
      <c r="A452" t="s">
        <v>397</v>
      </c>
      <c r="B452">
        <v>2025</v>
      </c>
      <c r="C452">
        <v>3</v>
      </c>
      <c r="D452" t="s">
        <v>129</v>
      </c>
      <c r="E452" t="s">
        <v>129</v>
      </c>
      <c r="F452">
        <v>1</v>
      </c>
      <c r="G452" s="85">
        <v>87.792400000000001</v>
      </c>
      <c r="H452" s="86">
        <v>87.053399999999996</v>
      </c>
      <c r="I452" s="86">
        <v>2.6116000000000001</v>
      </c>
      <c r="J452" s="87">
        <v>0.28296829529790329</v>
      </c>
      <c r="K452" s="85">
        <v>79.218599999999995</v>
      </c>
      <c r="L452" s="85">
        <v>94.888199999999998</v>
      </c>
      <c r="M452" t="s">
        <v>462</v>
      </c>
      <c r="N452" t="s">
        <v>464</v>
      </c>
      <c r="P452" s="85">
        <v>0.84890423579091034</v>
      </c>
      <c r="Q452" s="85">
        <v>0.84890423579091034</v>
      </c>
      <c r="R452" s="81"/>
      <c r="S452" t="s">
        <v>463</v>
      </c>
      <c r="T452" t="s">
        <v>842</v>
      </c>
      <c r="U452" t="s">
        <v>918</v>
      </c>
    </row>
    <row r="453" spans="1:21" x14ac:dyDescent="0.3">
      <c r="A453" t="s">
        <v>397</v>
      </c>
      <c r="B453">
        <v>2025</v>
      </c>
      <c r="C453">
        <v>3</v>
      </c>
      <c r="D453" t="s">
        <v>129</v>
      </c>
      <c r="E453" t="s">
        <v>129</v>
      </c>
      <c r="F453">
        <v>2</v>
      </c>
      <c r="G453" s="85">
        <v>87.811400000000006</v>
      </c>
      <c r="H453" s="86">
        <v>87.237700000000004</v>
      </c>
      <c r="I453" s="86">
        <v>2.6171000000000002</v>
      </c>
      <c r="J453" s="87">
        <v>0.21921210500172034</v>
      </c>
      <c r="K453" s="85">
        <v>79.386399999999995</v>
      </c>
      <c r="L453" s="85">
        <v>95.088999999999999</v>
      </c>
      <c r="M453" t="s">
        <v>462</v>
      </c>
      <c r="N453" t="s">
        <v>464</v>
      </c>
      <c r="P453" s="85">
        <v>0.65762852528207683</v>
      </c>
      <c r="Q453" s="85">
        <v>0.65762852528207683</v>
      </c>
      <c r="R453" s="81"/>
      <c r="S453" t="s">
        <v>463</v>
      </c>
      <c r="T453" t="s">
        <v>842</v>
      </c>
      <c r="U453" t="s">
        <v>919</v>
      </c>
    </row>
    <row r="454" spans="1:21" x14ac:dyDescent="0.3">
      <c r="A454" t="s">
        <v>397</v>
      </c>
      <c r="B454">
        <v>2025</v>
      </c>
      <c r="C454">
        <v>3</v>
      </c>
      <c r="D454" t="s">
        <v>129</v>
      </c>
      <c r="E454" t="s">
        <v>129</v>
      </c>
      <c r="F454">
        <v>3</v>
      </c>
      <c r="G454" s="85">
        <v>88.193100000000001</v>
      </c>
      <c r="H454" s="86">
        <v>87.185599999999994</v>
      </c>
      <c r="I454" s="86">
        <v>2.6156000000000001</v>
      </c>
      <c r="J454" s="87">
        <v>0.38518886679920755</v>
      </c>
      <c r="K454" s="85">
        <v>79.338800000000006</v>
      </c>
      <c r="L454" s="85">
        <v>95.032399999999996</v>
      </c>
      <c r="M454" t="s">
        <v>462</v>
      </c>
      <c r="N454" t="s">
        <v>464</v>
      </c>
      <c r="P454" s="85">
        <v>1.1555807381035486</v>
      </c>
      <c r="Q454" s="85">
        <v>1.1555807381035486</v>
      </c>
      <c r="R454" s="81"/>
      <c r="S454" t="s">
        <v>463</v>
      </c>
      <c r="T454" t="s">
        <v>842</v>
      </c>
      <c r="U454" t="s">
        <v>920</v>
      </c>
    </row>
    <row r="455" spans="1:21" x14ac:dyDescent="0.3">
      <c r="A455" t="s">
        <v>397</v>
      </c>
      <c r="B455">
        <v>2025</v>
      </c>
      <c r="C455">
        <v>3</v>
      </c>
      <c r="D455" t="s">
        <v>129</v>
      </c>
      <c r="E455" t="s">
        <v>129</v>
      </c>
      <c r="F455">
        <v>4</v>
      </c>
      <c r="G455" s="85">
        <v>88.797799999999995</v>
      </c>
      <c r="H455" s="86">
        <v>87.886099999999999</v>
      </c>
      <c r="I455" s="86">
        <v>2.6366000000000001</v>
      </c>
      <c r="J455" s="87">
        <v>0.34578623985435641</v>
      </c>
      <c r="K455" s="85">
        <v>79.976299999999995</v>
      </c>
      <c r="L455" s="85">
        <v>95.795900000000003</v>
      </c>
      <c r="M455" t="s">
        <v>462</v>
      </c>
      <c r="N455" t="s">
        <v>464</v>
      </c>
      <c r="P455" s="85">
        <v>1.0373654081817218</v>
      </c>
      <c r="Q455" s="85">
        <v>1.0373654081817218</v>
      </c>
      <c r="R455" s="81"/>
      <c r="S455" t="s">
        <v>463</v>
      </c>
      <c r="T455" t="s">
        <v>842</v>
      </c>
      <c r="U455" t="s">
        <v>921</v>
      </c>
    </row>
    <row r="456" spans="1:21" x14ac:dyDescent="0.3">
      <c r="A456" t="s">
        <v>397</v>
      </c>
      <c r="B456">
        <v>2025</v>
      </c>
      <c r="C456">
        <v>3</v>
      </c>
      <c r="D456" t="s">
        <v>129</v>
      </c>
      <c r="E456" t="s">
        <v>129</v>
      </c>
      <c r="F456">
        <v>5</v>
      </c>
      <c r="G456" s="85">
        <v>86.980999999999995</v>
      </c>
      <c r="H456" s="86">
        <v>85.979100000000003</v>
      </c>
      <c r="I456" s="86">
        <v>2.5794000000000001</v>
      </c>
      <c r="J456" s="87">
        <v>0.38842366441807863</v>
      </c>
      <c r="K456" s="85">
        <v>78.240899999999996</v>
      </c>
      <c r="L456" s="85">
        <v>93.717299999999994</v>
      </c>
      <c r="M456" t="s">
        <v>462</v>
      </c>
      <c r="N456" t="s">
        <v>464</v>
      </c>
      <c r="P456" s="85">
        <v>1.1652831909149921</v>
      </c>
      <c r="Q456" s="85">
        <v>1.1652831909149921</v>
      </c>
      <c r="R456" s="81"/>
      <c r="S456" t="s">
        <v>463</v>
      </c>
      <c r="T456" t="s">
        <v>842</v>
      </c>
      <c r="U456" t="s">
        <v>922</v>
      </c>
    </row>
    <row r="457" spans="1:21" x14ac:dyDescent="0.3">
      <c r="A457" t="s">
        <v>397</v>
      </c>
      <c r="B457">
        <v>2025</v>
      </c>
      <c r="C457">
        <v>3</v>
      </c>
      <c r="D457" t="s">
        <v>125</v>
      </c>
      <c r="E457" t="s">
        <v>125</v>
      </c>
      <c r="F457">
        <v>1</v>
      </c>
      <c r="G457" s="85">
        <v>5.2557999999999998</v>
      </c>
      <c r="H457" s="86">
        <v>5.1936999999999998</v>
      </c>
      <c r="I457" s="86">
        <v>0.15579999999999999</v>
      </c>
      <c r="J457" s="87">
        <v>0.39858793324775382</v>
      </c>
      <c r="K457" s="85">
        <v>4.7263000000000002</v>
      </c>
      <c r="L457" s="85">
        <v>5.6611000000000002</v>
      </c>
      <c r="M457" t="s">
        <v>462</v>
      </c>
      <c r="N457" t="s">
        <v>464</v>
      </c>
      <c r="P457" s="85">
        <v>1.1956793807882635</v>
      </c>
      <c r="Q457" s="85">
        <v>1.1956793807882635</v>
      </c>
      <c r="R457" s="81"/>
      <c r="S457" t="s">
        <v>463</v>
      </c>
      <c r="T457" t="s">
        <v>842</v>
      </c>
      <c r="U457" t="s">
        <v>923</v>
      </c>
    </row>
    <row r="458" spans="1:21" x14ac:dyDescent="0.3">
      <c r="A458" t="s">
        <v>397</v>
      </c>
      <c r="B458">
        <v>2025</v>
      </c>
      <c r="C458">
        <v>3</v>
      </c>
      <c r="D458" t="s">
        <v>125</v>
      </c>
      <c r="E458" t="s">
        <v>125</v>
      </c>
      <c r="F458">
        <v>2</v>
      </c>
      <c r="G458" s="85">
        <v>5.2087000000000003</v>
      </c>
      <c r="H458" s="86">
        <v>5.1548999999999996</v>
      </c>
      <c r="I458" s="86">
        <v>0.15459999999999999</v>
      </c>
      <c r="J458" s="87">
        <v>0.34799482535576159</v>
      </c>
      <c r="K458" s="85">
        <v>4.6910999999999996</v>
      </c>
      <c r="L458" s="85">
        <v>5.6186999999999996</v>
      </c>
      <c r="M458" t="s">
        <v>462</v>
      </c>
      <c r="N458" t="s">
        <v>464</v>
      </c>
      <c r="P458" s="85">
        <v>1.043667190440178</v>
      </c>
      <c r="Q458" s="85">
        <v>1.043667190440178</v>
      </c>
      <c r="R458" s="81"/>
      <c r="S458" t="s">
        <v>463</v>
      </c>
      <c r="T458" t="s">
        <v>842</v>
      </c>
      <c r="U458" t="s">
        <v>924</v>
      </c>
    </row>
    <row r="459" spans="1:21" x14ac:dyDescent="0.3">
      <c r="A459" t="s">
        <v>397</v>
      </c>
      <c r="B459">
        <v>2025</v>
      </c>
      <c r="C459">
        <v>3</v>
      </c>
      <c r="D459" t="s">
        <v>125</v>
      </c>
      <c r="E459" t="s">
        <v>125</v>
      </c>
      <c r="F459">
        <v>3</v>
      </c>
      <c r="G459" s="85">
        <v>5.1933999999999996</v>
      </c>
      <c r="H459" s="86">
        <v>5.1717000000000004</v>
      </c>
      <c r="I459" s="86">
        <v>0.1552</v>
      </c>
      <c r="J459" s="87">
        <v>0.1398195876288606</v>
      </c>
      <c r="K459" s="85">
        <v>4.7061000000000002</v>
      </c>
      <c r="L459" s="85">
        <v>5.6372999999999998</v>
      </c>
      <c r="M459" t="s">
        <v>462</v>
      </c>
      <c r="N459" t="s">
        <v>464</v>
      </c>
      <c r="P459" s="85">
        <v>0.41959123692401268</v>
      </c>
      <c r="Q459" s="85">
        <v>0.41959123692401268</v>
      </c>
      <c r="R459" s="81"/>
      <c r="S459" t="s">
        <v>463</v>
      </c>
      <c r="T459" t="s">
        <v>842</v>
      </c>
      <c r="U459" t="s">
        <v>925</v>
      </c>
    </row>
    <row r="460" spans="1:21" x14ac:dyDescent="0.3">
      <c r="A460" t="s">
        <v>397</v>
      </c>
      <c r="B460">
        <v>2025</v>
      </c>
      <c r="C460">
        <v>3</v>
      </c>
      <c r="D460" t="s">
        <v>125</v>
      </c>
      <c r="E460" t="s">
        <v>125</v>
      </c>
      <c r="F460">
        <v>4</v>
      </c>
      <c r="G460" s="85">
        <v>5.2118000000000002</v>
      </c>
      <c r="H460" s="86">
        <v>5.1542000000000003</v>
      </c>
      <c r="I460" s="86">
        <v>0.15459999999999999</v>
      </c>
      <c r="J460" s="87">
        <v>0.37257438551099531</v>
      </c>
      <c r="K460" s="85">
        <v>4.6904000000000003</v>
      </c>
      <c r="L460" s="85">
        <v>5.6180000000000003</v>
      </c>
      <c r="M460" t="s">
        <v>462</v>
      </c>
      <c r="N460" t="s">
        <v>464</v>
      </c>
      <c r="P460" s="85">
        <v>1.1175352140002304</v>
      </c>
      <c r="Q460" s="85">
        <v>1.1175352140002304</v>
      </c>
      <c r="R460" s="81"/>
      <c r="S460" t="s">
        <v>463</v>
      </c>
      <c r="T460" t="s">
        <v>842</v>
      </c>
      <c r="U460" t="s">
        <v>926</v>
      </c>
    </row>
    <row r="461" spans="1:21" x14ac:dyDescent="0.3">
      <c r="A461" t="s">
        <v>397</v>
      </c>
      <c r="B461">
        <v>2025</v>
      </c>
      <c r="C461">
        <v>3</v>
      </c>
      <c r="D461" t="s">
        <v>125</v>
      </c>
      <c r="E461" t="s">
        <v>125</v>
      </c>
      <c r="F461">
        <v>5</v>
      </c>
      <c r="G461" s="85">
        <v>5.0838000000000001</v>
      </c>
      <c r="H461" s="86">
        <v>5.0321999999999996</v>
      </c>
      <c r="I461" s="86">
        <v>0.151</v>
      </c>
      <c r="J461" s="87">
        <v>0.34172185430463931</v>
      </c>
      <c r="K461" s="85">
        <v>4.5792000000000002</v>
      </c>
      <c r="L461" s="85">
        <v>5.4851999999999999</v>
      </c>
      <c r="M461" t="s">
        <v>462</v>
      </c>
      <c r="N461" t="s">
        <v>464</v>
      </c>
      <c r="P461" s="85">
        <v>1.0253964468820902</v>
      </c>
      <c r="Q461" s="85">
        <v>1.0253964468820902</v>
      </c>
      <c r="R461" s="81"/>
      <c r="S461" t="s">
        <v>463</v>
      </c>
      <c r="T461" t="s">
        <v>842</v>
      </c>
      <c r="U461" t="s">
        <v>927</v>
      </c>
    </row>
    <row r="462" spans="1:21" x14ac:dyDescent="0.3">
      <c r="A462" t="s">
        <v>397</v>
      </c>
      <c r="B462">
        <v>2025</v>
      </c>
      <c r="C462">
        <v>3</v>
      </c>
      <c r="D462" t="s">
        <v>122</v>
      </c>
      <c r="E462" t="s">
        <v>122</v>
      </c>
      <c r="F462">
        <v>1</v>
      </c>
      <c r="G462" s="85">
        <v>16.451000000000001</v>
      </c>
      <c r="H462" s="86">
        <v>16.38</v>
      </c>
      <c r="I462" s="86">
        <v>0.4914</v>
      </c>
      <c r="J462" s="87">
        <v>0.14448514448514754</v>
      </c>
      <c r="K462" s="85">
        <v>14.905799999999999</v>
      </c>
      <c r="L462" s="85">
        <v>17.854199999999999</v>
      </c>
      <c r="M462" t="s">
        <v>462</v>
      </c>
      <c r="N462" t="s">
        <v>464</v>
      </c>
      <c r="P462" s="85">
        <v>0.43345543345544268</v>
      </c>
      <c r="Q462" s="85">
        <v>0.43345543345544268</v>
      </c>
      <c r="R462" s="81"/>
      <c r="S462" t="s">
        <v>463</v>
      </c>
      <c r="T462" t="s">
        <v>842</v>
      </c>
      <c r="U462" t="s">
        <v>928</v>
      </c>
    </row>
    <row r="463" spans="1:21" x14ac:dyDescent="0.3">
      <c r="A463" t="s">
        <v>397</v>
      </c>
      <c r="B463">
        <v>2025</v>
      </c>
      <c r="C463">
        <v>3</v>
      </c>
      <c r="D463" t="s">
        <v>122</v>
      </c>
      <c r="E463" t="s">
        <v>122</v>
      </c>
      <c r="F463">
        <v>2</v>
      </c>
      <c r="G463" s="85">
        <v>16.7226</v>
      </c>
      <c r="H463" s="86">
        <v>16.589099999999998</v>
      </c>
      <c r="I463" s="86">
        <v>0.49769999999999998</v>
      </c>
      <c r="J463" s="87">
        <v>0.26823387582881558</v>
      </c>
      <c r="K463" s="85">
        <v>15.096</v>
      </c>
      <c r="L463" s="85">
        <v>18.0822</v>
      </c>
      <c r="M463" t="s">
        <v>462</v>
      </c>
      <c r="N463" t="s">
        <v>464</v>
      </c>
      <c r="P463" s="85">
        <v>0.80474528455432504</v>
      </c>
      <c r="Q463" s="85">
        <v>0.80474528455432504</v>
      </c>
      <c r="R463" s="81"/>
      <c r="S463" t="s">
        <v>463</v>
      </c>
      <c r="T463" t="s">
        <v>842</v>
      </c>
      <c r="U463" t="s">
        <v>929</v>
      </c>
    </row>
    <row r="464" spans="1:21" x14ac:dyDescent="0.3">
      <c r="A464" t="s">
        <v>397</v>
      </c>
      <c r="B464">
        <v>2025</v>
      </c>
      <c r="C464">
        <v>3</v>
      </c>
      <c r="D464" t="s">
        <v>122</v>
      </c>
      <c r="E464" t="s">
        <v>122</v>
      </c>
      <c r="F464">
        <v>3</v>
      </c>
      <c r="G464" s="85">
        <v>16.326699999999999</v>
      </c>
      <c r="H464" s="86">
        <v>16.206499999999998</v>
      </c>
      <c r="I464" s="86">
        <v>0.48620000000000002</v>
      </c>
      <c r="J464" s="87">
        <v>0.24722336487042476</v>
      </c>
      <c r="K464" s="85">
        <v>14.7479</v>
      </c>
      <c r="L464" s="85">
        <v>17.665099999999999</v>
      </c>
      <c r="M464" t="s">
        <v>462</v>
      </c>
      <c r="N464" t="s">
        <v>464</v>
      </c>
      <c r="P464" s="85">
        <v>0.74167772190170944</v>
      </c>
      <c r="Q464" s="85">
        <v>0.74167772190170944</v>
      </c>
      <c r="R464" s="81"/>
      <c r="S464" t="s">
        <v>463</v>
      </c>
      <c r="T464" t="s">
        <v>842</v>
      </c>
      <c r="U464" t="s">
        <v>930</v>
      </c>
    </row>
    <row r="465" spans="1:21" x14ac:dyDescent="0.3">
      <c r="A465" t="s">
        <v>397</v>
      </c>
      <c r="B465">
        <v>2025</v>
      </c>
      <c r="C465">
        <v>3</v>
      </c>
      <c r="D465" t="s">
        <v>122</v>
      </c>
      <c r="E465" t="s">
        <v>122</v>
      </c>
      <c r="F465">
        <v>4</v>
      </c>
      <c r="G465" s="85">
        <v>16.5411</v>
      </c>
      <c r="H465" s="86">
        <v>16.4465</v>
      </c>
      <c r="I465" s="86">
        <v>0.49340000000000001</v>
      </c>
      <c r="J465" s="87">
        <v>0.19173084718281272</v>
      </c>
      <c r="K465" s="85">
        <v>14.9663</v>
      </c>
      <c r="L465" s="85">
        <v>17.9267</v>
      </c>
      <c r="M465" t="s">
        <v>462</v>
      </c>
      <c r="N465" t="s">
        <v>464</v>
      </c>
      <c r="P465" s="85">
        <v>0.57519837047395983</v>
      </c>
      <c r="Q465" s="85">
        <v>0.57519837047395983</v>
      </c>
      <c r="R465" s="81"/>
      <c r="S465" t="s">
        <v>463</v>
      </c>
      <c r="T465" t="s">
        <v>842</v>
      </c>
      <c r="U465" t="s">
        <v>931</v>
      </c>
    </row>
    <row r="466" spans="1:21" x14ac:dyDescent="0.3">
      <c r="A466" t="s">
        <v>397</v>
      </c>
      <c r="B466">
        <v>2025</v>
      </c>
      <c r="C466">
        <v>3</v>
      </c>
      <c r="D466" t="s">
        <v>122</v>
      </c>
      <c r="E466" t="s">
        <v>122</v>
      </c>
      <c r="F466">
        <v>5</v>
      </c>
      <c r="G466" s="85">
        <v>16.4589</v>
      </c>
      <c r="H466" s="86">
        <v>16.277200000000001</v>
      </c>
      <c r="I466" s="86">
        <v>0.48830000000000001</v>
      </c>
      <c r="J466" s="87">
        <v>0.3721073110792531</v>
      </c>
      <c r="K466" s="85">
        <v>14.8123</v>
      </c>
      <c r="L466" s="85">
        <v>17.742100000000001</v>
      </c>
      <c r="M466" t="s">
        <v>462</v>
      </c>
      <c r="N466" t="s">
        <v>464</v>
      </c>
      <c r="P466" s="85">
        <v>1.1162853562037656</v>
      </c>
      <c r="Q466" s="85">
        <v>1.1162853562037656</v>
      </c>
      <c r="R466" s="81"/>
      <c r="S466" t="s">
        <v>463</v>
      </c>
      <c r="T466" t="s">
        <v>842</v>
      </c>
      <c r="U466" t="s">
        <v>932</v>
      </c>
    </row>
    <row r="467" spans="1:21" x14ac:dyDescent="0.3">
      <c r="G467" s="85"/>
      <c r="H467" s="86"/>
      <c r="I467" s="86"/>
      <c r="J467" s="87"/>
      <c r="K467" s="85"/>
      <c r="L467" s="85"/>
      <c r="P467" s="85"/>
      <c r="Q467" s="85"/>
      <c r="R467" s="81"/>
    </row>
    <row r="468" spans="1:21" x14ac:dyDescent="0.3">
      <c r="G468" s="85"/>
      <c r="H468" s="86"/>
      <c r="I468" s="86"/>
      <c r="J468" s="87"/>
      <c r="K468" s="85"/>
      <c r="L468" s="85"/>
      <c r="P468" s="85"/>
      <c r="Q468" s="85"/>
      <c r="R468" s="81"/>
    </row>
    <row r="469" spans="1:21" x14ac:dyDescent="0.3">
      <c r="G469" s="85"/>
      <c r="H469" s="86"/>
      <c r="I469" s="86"/>
      <c r="J469" s="87"/>
      <c r="K469" s="85"/>
      <c r="L469" s="85"/>
      <c r="P469" s="85"/>
      <c r="Q469" s="85"/>
      <c r="R469" s="81"/>
    </row>
    <row r="470" spans="1:21" x14ac:dyDescent="0.3">
      <c r="G470" s="85"/>
      <c r="H470" s="86"/>
      <c r="I470" s="86"/>
      <c r="J470" s="87"/>
      <c r="K470" s="85"/>
      <c r="L470" s="85"/>
      <c r="P470" s="85"/>
      <c r="Q470" s="85"/>
      <c r="R470" s="81"/>
    </row>
    <row r="471" spans="1:21" x14ac:dyDescent="0.3">
      <c r="G471" s="85"/>
      <c r="H471" s="86"/>
      <c r="I471" s="86"/>
      <c r="J471" s="87"/>
      <c r="K471" s="85"/>
      <c r="L471" s="85"/>
      <c r="P471" s="85"/>
      <c r="Q471" s="85"/>
      <c r="R471" s="81"/>
    </row>
    <row r="472" spans="1:21" x14ac:dyDescent="0.3">
      <c r="G472" s="85"/>
      <c r="H472" s="86"/>
      <c r="I472" s="86"/>
      <c r="J472" s="87"/>
      <c r="K472" s="85"/>
      <c r="L472" s="85"/>
      <c r="P472" s="85"/>
      <c r="Q472" s="85"/>
      <c r="R472" s="81"/>
    </row>
    <row r="473" spans="1:21" x14ac:dyDescent="0.3">
      <c r="G473" s="85"/>
      <c r="H473" s="86"/>
      <c r="I473" s="86"/>
      <c r="J473" s="87"/>
      <c r="K473" s="85"/>
      <c r="L473" s="85"/>
      <c r="P473" s="85"/>
      <c r="Q473" s="85"/>
      <c r="R473" s="81"/>
    </row>
    <row r="474" spans="1:21" x14ac:dyDescent="0.3">
      <c r="G474" s="85"/>
      <c r="H474" s="86"/>
      <c r="I474" s="86"/>
      <c r="J474" s="87"/>
      <c r="K474" s="85"/>
      <c r="L474" s="85"/>
      <c r="P474" s="85"/>
      <c r="Q474" s="85"/>
      <c r="R474" s="81"/>
    </row>
    <row r="475" spans="1:21" x14ac:dyDescent="0.3">
      <c r="G475" s="85"/>
      <c r="H475" s="86"/>
      <c r="I475" s="86"/>
      <c r="J475" s="87"/>
      <c r="K475" s="85"/>
      <c r="L475" s="85"/>
      <c r="P475" s="85"/>
      <c r="Q475" s="85"/>
      <c r="R475" s="81"/>
    </row>
    <row r="476" spans="1:21" x14ac:dyDescent="0.3">
      <c r="G476" s="85"/>
      <c r="H476" s="86"/>
      <c r="I476" s="86"/>
      <c r="J476" s="87"/>
      <c r="K476" s="85"/>
      <c r="L476" s="85"/>
      <c r="P476" s="85"/>
      <c r="Q476" s="85"/>
      <c r="R476" s="81"/>
    </row>
    <row r="477" spans="1:21" x14ac:dyDescent="0.3">
      <c r="G477" s="85"/>
      <c r="H477" s="86"/>
      <c r="I477" s="86"/>
      <c r="J477" s="87"/>
      <c r="K477" s="85"/>
      <c r="L477" s="85"/>
      <c r="P477" s="85"/>
      <c r="Q477" s="85"/>
      <c r="R477" s="81"/>
    </row>
    <row r="478" spans="1:21" x14ac:dyDescent="0.3">
      <c r="G478" s="85"/>
      <c r="H478" s="86"/>
      <c r="I478" s="86"/>
      <c r="J478" s="87"/>
      <c r="K478" s="85"/>
      <c r="L478" s="85"/>
      <c r="P478" s="85"/>
      <c r="Q478" s="85"/>
      <c r="R478" s="81"/>
    </row>
    <row r="479" spans="1:21" x14ac:dyDescent="0.3">
      <c r="G479" s="85"/>
      <c r="H479" s="86"/>
      <c r="I479" s="86"/>
      <c r="J479" s="87"/>
      <c r="K479" s="85"/>
      <c r="L479" s="85"/>
      <c r="P479" s="85"/>
      <c r="Q479" s="85"/>
      <c r="R479" s="81"/>
    </row>
    <row r="480" spans="1:21" x14ac:dyDescent="0.3">
      <c r="G480" s="85"/>
      <c r="H480" s="86"/>
      <c r="I480" s="86"/>
      <c r="J480" s="87"/>
      <c r="K480" s="85"/>
      <c r="L480" s="85"/>
      <c r="P480" s="85"/>
      <c r="Q480" s="85"/>
      <c r="R480" s="81"/>
    </row>
    <row r="481" spans="7:18" x14ac:dyDescent="0.3">
      <c r="G481" s="85"/>
      <c r="H481" s="86"/>
      <c r="I481" s="86"/>
      <c r="J481" s="87"/>
      <c r="K481" s="85"/>
      <c r="L481" s="85"/>
      <c r="P481" s="85"/>
      <c r="Q481" s="85"/>
      <c r="R481" s="81"/>
    </row>
    <row r="482" spans="7:18" x14ac:dyDescent="0.3">
      <c r="G482" s="85"/>
      <c r="H482" s="86"/>
      <c r="I482" s="86"/>
      <c r="J482" s="87"/>
      <c r="K482" s="85"/>
      <c r="L482" s="85"/>
      <c r="P482" s="85"/>
      <c r="Q482" s="85"/>
      <c r="R482" s="81"/>
    </row>
    <row r="483" spans="7:18" x14ac:dyDescent="0.3">
      <c r="G483" s="85"/>
      <c r="H483" s="86"/>
      <c r="I483" s="86"/>
      <c r="J483" s="87"/>
      <c r="K483" s="85"/>
      <c r="L483" s="85"/>
      <c r="P483" s="85"/>
      <c r="Q483" s="85"/>
      <c r="R483" s="81"/>
    </row>
    <row r="484" spans="7:18" x14ac:dyDescent="0.3">
      <c r="G484" s="85"/>
      <c r="H484" s="86"/>
      <c r="I484" s="86"/>
      <c r="J484" s="87"/>
      <c r="K484" s="85"/>
      <c r="L484" s="85"/>
      <c r="P484" s="85"/>
      <c r="Q484" s="85"/>
      <c r="R484" s="81"/>
    </row>
    <row r="485" spans="7:18" x14ac:dyDescent="0.3">
      <c r="G485" s="85"/>
      <c r="H485" s="86"/>
      <c r="I485" s="86"/>
      <c r="J485" s="87"/>
      <c r="K485" s="85"/>
      <c r="L485" s="85"/>
      <c r="P485" s="85"/>
      <c r="Q485" s="85"/>
      <c r="R485" s="81"/>
    </row>
    <row r="486" spans="7:18" x14ac:dyDescent="0.3">
      <c r="G486" s="85"/>
      <c r="H486" s="86"/>
      <c r="I486" s="86"/>
      <c r="J486" s="87"/>
      <c r="K486" s="85"/>
      <c r="L486" s="85"/>
      <c r="P486" s="85"/>
      <c r="Q486" s="85"/>
      <c r="R486" s="81"/>
    </row>
    <row r="487" spans="7:18" x14ac:dyDescent="0.3">
      <c r="G487" s="85"/>
      <c r="H487" s="86"/>
      <c r="I487" s="86"/>
      <c r="J487" s="87"/>
      <c r="K487" s="85"/>
      <c r="L487" s="85"/>
      <c r="P487" s="85"/>
      <c r="Q487" s="85"/>
      <c r="R487" s="81"/>
    </row>
    <row r="488" spans="7:18" x14ac:dyDescent="0.3">
      <c r="G488" s="85"/>
      <c r="H488" s="86"/>
      <c r="I488" s="86"/>
      <c r="J488" s="87"/>
      <c r="K488" s="85"/>
      <c r="L488" s="85"/>
      <c r="P488" s="85"/>
      <c r="Q488" s="85"/>
      <c r="R488" s="81"/>
    </row>
    <row r="489" spans="7:18" x14ac:dyDescent="0.3">
      <c r="G489" s="85"/>
      <c r="H489" s="86"/>
      <c r="I489" s="86"/>
      <c r="J489" s="87"/>
      <c r="K489" s="85"/>
      <c r="L489" s="85"/>
      <c r="P489" s="85"/>
      <c r="Q489" s="85"/>
      <c r="R489" s="81"/>
    </row>
    <row r="490" spans="7:18" x14ac:dyDescent="0.3">
      <c r="G490" s="85"/>
      <c r="H490" s="86"/>
      <c r="I490" s="86"/>
      <c r="J490" s="87"/>
      <c r="K490" s="85"/>
      <c r="L490" s="85"/>
      <c r="P490" s="85"/>
      <c r="Q490" s="85"/>
      <c r="R490" s="81"/>
    </row>
    <row r="491" spans="7:18" x14ac:dyDescent="0.3">
      <c r="G491" s="85"/>
      <c r="H491" s="86"/>
      <c r="I491" s="86"/>
      <c r="J491" s="87"/>
      <c r="K491" s="85"/>
      <c r="L491" s="85"/>
      <c r="P491" s="85"/>
      <c r="Q491" s="85"/>
      <c r="R491" s="81"/>
    </row>
    <row r="492" spans="7:18" x14ac:dyDescent="0.3">
      <c r="G492" s="85"/>
      <c r="H492" s="86"/>
      <c r="I492" s="86"/>
      <c r="J492" s="87"/>
      <c r="K492" s="85"/>
      <c r="L492" s="85"/>
      <c r="P492" s="85"/>
      <c r="Q492" s="85"/>
      <c r="R492" s="81"/>
    </row>
    <row r="493" spans="7:18" x14ac:dyDescent="0.3">
      <c r="G493" s="85"/>
      <c r="H493" s="86"/>
      <c r="I493" s="86"/>
      <c r="J493" s="87"/>
      <c r="K493" s="85"/>
      <c r="L493" s="85"/>
      <c r="P493" s="85"/>
      <c r="Q493" s="85"/>
      <c r="R493" s="81"/>
    </row>
    <row r="494" spans="7:18" x14ac:dyDescent="0.3">
      <c r="G494" s="85"/>
      <c r="H494" s="86"/>
      <c r="I494" s="86"/>
      <c r="J494" s="87"/>
      <c r="K494" s="85"/>
      <c r="L494" s="85"/>
      <c r="P494" s="85"/>
      <c r="Q494" s="85"/>
      <c r="R494" s="81"/>
    </row>
    <row r="495" spans="7:18" x14ac:dyDescent="0.3">
      <c r="G495" s="85"/>
      <c r="H495" s="86"/>
      <c r="I495" s="86"/>
      <c r="J495" s="87"/>
      <c r="K495" s="85"/>
      <c r="L495" s="85"/>
      <c r="P495" s="85"/>
      <c r="Q495" s="85"/>
      <c r="R495" s="81"/>
    </row>
    <row r="496" spans="7:18" x14ac:dyDescent="0.3">
      <c r="G496" s="85"/>
      <c r="H496" s="86"/>
      <c r="I496" s="86"/>
      <c r="J496" s="87"/>
      <c r="K496" s="85"/>
      <c r="L496" s="85"/>
      <c r="P496" s="85"/>
      <c r="Q496" s="85"/>
      <c r="R496" s="81"/>
    </row>
    <row r="497" spans="7:18" x14ac:dyDescent="0.3">
      <c r="G497" s="85"/>
      <c r="H497" s="86"/>
      <c r="I497" s="86"/>
      <c r="J497" s="87"/>
      <c r="K497" s="85"/>
      <c r="L497" s="85"/>
      <c r="P497" s="85"/>
      <c r="Q497" s="85"/>
      <c r="R497" s="81"/>
    </row>
    <row r="498" spans="7:18" x14ac:dyDescent="0.3">
      <c r="G498" s="85"/>
      <c r="H498" s="86"/>
      <c r="I498" s="86"/>
      <c r="J498" s="87"/>
      <c r="K498" s="85"/>
      <c r="L498" s="85"/>
      <c r="P498" s="85"/>
      <c r="Q498" s="85"/>
      <c r="R498" s="81"/>
    </row>
    <row r="499" spans="7:18" x14ac:dyDescent="0.3">
      <c r="G499" s="85"/>
      <c r="H499" s="86"/>
      <c r="I499" s="86"/>
      <c r="J499" s="87"/>
      <c r="K499" s="85"/>
      <c r="L499" s="85"/>
      <c r="P499" s="85"/>
      <c r="Q499" s="85"/>
      <c r="R499" s="81"/>
    </row>
    <row r="500" spans="7:18" x14ac:dyDescent="0.3">
      <c r="G500" s="85"/>
      <c r="H500" s="86"/>
      <c r="I500" s="86"/>
      <c r="J500" s="87"/>
      <c r="K500" s="85"/>
      <c r="L500" s="85"/>
      <c r="P500" s="85"/>
      <c r="Q500" s="85"/>
      <c r="R500" s="81"/>
    </row>
    <row r="501" spans="7:18" x14ac:dyDescent="0.3">
      <c r="G501" s="85"/>
      <c r="H501" s="86"/>
      <c r="I501" s="86"/>
      <c r="J501" s="87"/>
      <c r="K501" s="85"/>
      <c r="L501" s="85"/>
      <c r="P501" s="85"/>
      <c r="Q501" s="85"/>
      <c r="R501" s="81"/>
    </row>
    <row r="502" spans="7:18" x14ac:dyDescent="0.3">
      <c r="G502" s="85"/>
      <c r="H502" s="86"/>
      <c r="I502" s="86"/>
      <c r="J502" s="87"/>
      <c r="K502" s="85"/>
      <c r="L502" s="85"/>
      <c r="P502" s="85"/>
      <c r="Q502" s="85"/>
      <c r="R502" s="81"/>
    </row>
    <row r="503" spans="7:18" x14ac:dyDescent="0.3">
      <c r="G503" s="85"/>
      <c r="H503" s="86"/>
      <c r="I503" s="86"/>
      <c r="J503" s="87"/>
      <c r="K503" s="85"/>
      <c r="L503" s="85"/>
      <c r="P503" s="85"/>
      <c r="Q503" s="85"/>
      <c r="R503" s="81"/>
    </row>
    <row r="504" spans="7:18" x14ac:dyDescent="0.3">
      <c r="G504" s="85"/>
      <c r="H504" s="86"/>
      <c r="I504" s="86"/>
      <c r="J504" s="87"/>
      <c r="K504" s="85"/>
      <c r="L504" s="85"/>
      <c r="P504" s="85"/>
      <c r="Q504" s="85"/>
      <c r="R504" s="81"/>
    </row>
    <row r="505" spans="7:18" x14ac:dyDescent="0.3">
      <c r="G505" s="85"/>
      <c r="H505" s="86"/>
      <c r="I505" s="86"/>
      <c r="J505" s="87"/>
      <c r="K505" s="85"/>
      <c r="L505" s="85"/>
      <c r="P505" s="85"/>
      <c r="Q505" s="85"/>
      <c r="R505" s="81"/>
    </row>
    <row r="506" spans="7:18" x14ac:dyDescent="0.3">
      <c r="G506" s="85"/>
      <c r="H506" s="86"/>
      <c r="I506" s="86"/>
      <c r="J506" s="87"/>
      <c r="K506" s="85"/>
      <c r="L506" s="85"/>
      <c r="P506" s="85"/>
      <c r="Q506" s="85"/>
      <c r="R506" s="81"/>
    </row>
    <row r="507" spans="7:18" x14ac:dyDescent="0.3">
      <c r="G507" s="85"/>
      <c r="H507" s="86"/>
      <c r="I507" s="86"/>
      <c r="J507" s="87"/>
      <c r="K507" s="85"/>
      <c r="L507" s="85"/>
      <c r="P507" s="85"/>
      <c r="Q507" s="85"/>
      <c r="R507" s="81"/>
    </row>
    <row r="508" spans="7:18" x14ac:dyDescent="0.3">
      <c r="G508" s="85"/>
      <c r="H508" s="86"/>
      <c r="I508" s="86"/>
      <c r="J508" s="87"/>
      <c r="K508" s="85"/>
      <c r="L508" s="85"/>
      <c r="P508" s="85"/>
      <c r="Q508" s="85"/>
      <c r="R508" s="81"/>
    </row>
    <row r="509" spans="7:18" x14ac:dyDescent="0.3">
      <c r="G509" s="85"/>
      <c r="H509" s="86"/>
      <c r="I509" s="86"/>
      <c r="J509" s="87"/>
      <c r="K509" s="85"/>
      <c r="L509" s="85"/>
      <c r="P509" s="85"/>
      <c r="Q509" s="85"/>
      <c r="R509" s="81"/>
    </row>
    <row r="510" spans="7:18" x14ac:dyDescent="0.3">
      <c r="G510" s="85"/>
      <c r="H510" s="86"/>
      <c r="I510" s="86"/>
      <c r="J510" s="87"/>
      <c r="K510" s="85"/>
      <c r="L510" s="85"/>
      <c r="P510" s="85"/>
      <c r="Q510" s="85"/>
      <c r="R510" s="81"/>
    </row>
    <row r="511" spans="7:18" x14ac:dyDescent="0.3">
      <c r="G511" s="85"/>
      <c r="H511" s="86"/>
      <c r="I511" s="86"/>
      <c r="J511" s="87"/>
      <c r="K511" s="85"/>
      <c r="L511" s="85"/>
      <c r="P511" s="85"/>
      <c r="Q511" s="85"/>
      <c r="R511" s="81"/>
    </row>
    <row r="512" spans="7:18" x14ac:dyDescent="0.3">
      <c r="G512" s="85"/>
      <c r="H512" s="86"/>
      <c r="I512" s="86"/>
      <c r="J512" s="87"/>
      <c r="K512" s="85"/>
      <c r="L512" s="85"/>
      <c r="P512" s="85"/>
      <c r="Q512" s="85"/>
      <c r="R512" s="81"/>
    </row>
    <row r="513" spans="7:18" x14ac:dyDescent="0.3">
      <c r="G513" s="85"/>
      <c r="H513" s="86"/>
      <c r="I513" s="86"/>
      <c r="J513" s="87"/>
      <c r="K513" s="85"/>
      <c r="L513" s="85"/>
      <c r="P513" s="85"/>
      <c r="Q513" s="85"/>
      <c r="R513" s="81"/>
    </row>
    <row r="514" spans="7:18" x14ac:dyDescent="0.3">
      <c r="G514" s="85"/>
      <c r="H514" s="86"/>
      <c r="I514" s="86"/>
      <c r="J514" s="87"/>
      <c r="K514" s="85"/>
      <c r="L514" s="85"/>
      <c r="P514" s="85"/>
      <c r="Q514" s="85"/>
      <c r="R514" s="81"/>
    </row>
    <row r="515" spans="7:18" x14ac:dyDescent="0.3">
      <c r="G515" s="85"/>
      <c r="H515" s="86"/>
      <c r="I515" s="86"/>
      <c r="J515" s="87"/>
      <c r="K515" s="85"/>
      <c r="L515" s="85"/>
      <c r="P515" s="85"/>
      <c r="Q515" s="85"/>
      <c r="R515" s="81"/>
    </row>
    <row r="516" spans="7:18" x14ac:dyDescent="0.3">
      <c r="G516" s="85"/>
      <c r="H516" s="86"/>
      <c r="I516" s="86"/>
      <c r="J516" s="87"/>
      <c r="K516" s="85"/>
      <c r="L516" s="85"/>
      <c r="P516" s="85"/>
      <c r="Q516" s="85"/>
      <c r="R516" s="81"/>
    </row>
    <row r="517" spans="7:18" x14ac:dyDescent="0.3">
      <c r="G517" s="85"/>
      <c r="H517" s="86"/>
      <c r="I517" s="86"/>
      <c r="J517" s="87"/>
      <c r="K517" s="85"/>
      <c r="L517" s="85"/>
      <c r="P517" s="85"/>
      <c r="Q517" s="85"/>
      <c r="R517" s="81"/>
    </row>
    <row r="518" spans="7:18" x14ac:dyDescent="0.3">
      <c r="G518" s="85"/>
      <c r="H518" s="86"/>
      <c r="I518" s="86"/>
      <c r="J518" s="87"/>
      <c r="K518" s="85"/>
      <c r="L518" s="85"/>
      <c r="P518" s="85"/>
      <c r="Q518" s="85"/>
      <c r="R518" s="81"/>
    </row>
    <row r="519" spans="7:18" x14ac:dyDescent="0.3">
      <c r="G519" s="85"/>
      <c r="H519" s="86"/>
      <c r="I519" s="86"/>
      <c r="J519" s="87"/>
      <c r="K519" s="85"/>
      <c r="L519" s="85"/>
      <c r="P519" s="85"/>
      <c r="Q519" s="85"/>
      <c r="R519" s="81"/>
    </row>
    <row r="520" spans="7:18" x14ac:dyDescent="0.3">
      <c r="G520" s="85"/>
      <c r="H520" s="86"/>
      <c r="I520" s="86"/>
      <c r="J520" s="87"/>
      <c r="K520" s="85"/>
      <c r="L520" s="85"/>
      <c r="P520" s="85"/>
      <c r="Q520" s="85"/>
      <c r="R520" s="81"/>
    </row>
    <row r="521" spans="7:18" x14ac:dyDescent="0.3">
      <c r="G521" s="85"/>
      <c r="H521" s="86"/>
      <c r="I521" s="86"/>
      <c r="J521" s="87"/>
      <c r="K521" s="85"/>
      <c r="L521" s="85"/>
      <c r="P521" s="85"/>
      <c r="Q521" s="85"/>
      <c r="R521" s="81"/>
    </row>
    <row r="522" spans="7:18" x14ac:dyDescent="0.3">
      <c r="G522" s="85"/>
      <c r="H522" s="86"/>
      <c r="I522" s="86"/>
      <c r="J522" s="87"/>
      <c r="K522" s="85"/>
      <c r="L522" s="85"/>
      <c r="P522" s="85"/>
      <c r="Q522" s="85"/>
      <c r="R522" s="81"/>
    </row>
    <row r="523" spans="7:18" x14ac:dyDescent="0.3">
      <c r="G523" s="85"/>
      <c r="H523" s="86"/>
      <c r="I523" s="86"/>
      <c r="J523" s="87"/>
      <c r="K523" s="85"/>
      <c r="L523" s="85"/>
      <c r="P523" s="85"/>
      <c r="Q523" s="85"/>
      <c r="R523" s="81"/>
    </row>
    <row r="524" spans="7:18" x14ac:dyDescent="0.3">
      <c r="G524" s="85"/>
      <c r="H524" s="86"/>
      <c r="I524" s="86"/>
      <c r="J524" s="87"/>
      <c r="K524" s="85"/>
      <c r="L524" s="85"/>
      <c r="P524" s="85"/>
      <c r="Q524" s="85"/>
      <c r="R524" s="81"/>
    </row>
    <row r="525" spans="7:18" x14ac:dyDescent="0.3">
      <c r="G525" s="85"/>
      <c r="H525" s="86"/>
      <c r="I525" s="86"/>
      <c r="J525" s="87"/>
      <c r="K525" s="85"/>
      <c r="L525" s="85"/>
      <c r="P525" s="85"/>
      <c r="Q525" s="85"/>
      <c r="R525" s="81"/>
    </row>
    <row r="526" spans="7:18" x14ac:dyDescent="0.3">
      <c r="G526" s="85"/>
      <c r="H526" s="86"/>
      <c r="I526" s="86"/>
      <c r="J526" s="87"/>
      <c r="K526" s="85"/>
      <c r="L526" s="85"/>
      <c r="P526" s="85"/>
      <c r="Q526" s="85"/>
      <c r="R526" s="81"/>
    </row>
    <row r="527" spans="7:18" x14ac:dyDescent="0.3">
      <c r="G527" s="85"/>
      <c r="H527" s="86"/>
      <c r="I527" s="86"/>
      <c r="J527" s="87"/>
      <c r="K527" s="85"/>
      <c r="L527" s="85"/>
      <c r="P527" s="85"/>
      <c r="Q527" s="85"/>
      <c r="R527" s="81"/>
    </row>
    <row r="528" spans="7:18" x14ac:dyDescent="0.3">
      <c r="G528" s="85"/>
      <c r="H528" s="86"/>
      <c r="I528" s="86"/>
      <c r="J528" s="87"/>
      <c r="K528" s="85"/>
      <c r="L528" s="85"/>
      <c r="P528" s="85"/>
      <c r="Q528" s="85"/>
      <c r="R528" s="81"/>
    </row>
    <row r="529" spans="7:18" x14ac:dyDescent="0.3">
      <c r="G529" s="85"/>
      <c r="H529" s="86"/>
      <c r="I529" s="86"/>
      <c r="J529" s="87"/>
      <c r="K529" s="85"/>
      <c r="L529" s="85"/>
      <c r="P529" s="85"/>
      <c r="Q529" s="85"/>
      <c r="R529" s="81"/>
    </row>
    <row r="530" spans="7:18" x14ac:dyDescent="0.3">
      <c r="G530" s="85"/>
      <c r="H530" s="86"/>
      <c r="I530" s="86"/>
      <c r="J530" s="87"/>
      <c r="K530" s="85"/>
      <c r="L530" s="85"/>
      <c r="P530" s="85"/>
      <c r="Q530" s="85"/>
      <c r="R530" s="81"/>
    </row>
    <row r="531" spans="7:18" x14ac:dyDescent="0.3">
      <c r="G531" s="85"/>
      <c r="H531" s="86"/>
      <c r="I531" s="86"/>
      <c r="J531" s="87"/>
      <c r="K531" s="85"/>
      <c r="L531" s="85"/>
      <c r="P531" s="85"/>
      <c r="Q531" s="85"/>
      <c r="R531" s="81"/>
    </row>
    <row r="532" spans="7:18" x14ac:dyDescent="0.3">
      <c r="G532" s="85"/>
      <c r="H532" s="86"/>
      <c r="I532" s="86"/>
      <c r="J532" s="87"/>
      <c r="K532" s="85"/>
      <c r="L532" s="85"/>
      <c r="P532" s="85"/>
      <c r="Q532" s="85"/>
      <c r="R532" s="81"/>
    </row>
    <row r="533" spans="7:18" x14ac:dyDescent="0.3">
      <c r="G533" s="85"/>
      <c r="H533" s="86"/>
      <c r="I533" s="86"/>
      <c r="J533" s="87"/>
      <c r="K533" s="85"/>
      <c r="L533" s="85"/>
      <c r="P533" s="85"/>
      <c r="Q533" s="85"/>
      <c r="R533" s="81"/>
    </row>
    <row r="534" spans="7:18" x14ac:dyDescent="0.3">
      <c r="G534" s="85"/>
      <c r="H534" s="86"/>
      <c r="I534" s="86"/>
      <c r="J534" s="87"/>
      <c r="K534" s="85"/>
      <c r="L534" s="85"/>
      <c r="P534" s="85"/>
      <c r="Q534" s="85"/>
      <c r="R534" s="81"/>
    </row>
    <row r="535" spans="7:18" x14ac:dyDescent="0.3">
      <c r="G535" s="85"/>
      <c r="H535" s="86"/>
      <c r="I535" s="86"/>
      <c r="J535" s="87"/>
      <c r="K535" s="85"/>
      <c r="L535" s="85"/>
      <c r="P535" s="85"/>
      <c r="Q535" s="85"/>
      <c r="R535" s="81"/>
    </row>
    <row r="536" spans="7:18" x14ac:dyDescent="0.3">
      <c r="G536" s="85"/>
      <c r="H536" s="86"/>
      <c r="I536" s="86"/>
      <c r="J536" s="87"/>
      <c r="K536" s="85"/>
      <c r="L536" s="85"/>
      <c r="P536" s="85"/>
      <c r="Q536" s="85"/>
      <c r="R536" s="81"/>
    </row>
    <row r="537" spans="7:18" x14ac:dyDescent="0.3">
      <c r="G537" s="85"/>
      <c r="H537" s="86"/>
      <c r="I537" s="86"/>
      <c r="J537" s="87"/>
      <c r="K537" s="85"/>
      <c r="L537" s="85"/>
      <c r="P537" s="85"/>
      <c r="Q537" s="85"/>
      <c r="R537" s="81"/>
    </row>
    <row r="538" spans="7:18" x14ac:dyDescent="0.3">
      <c r="G538" s="85"/>
      <c r="H538" s="86"/>
      <c r="I538" s="86"/>
      <c r="J538" s="87"/>
      <c r="K538" s="85"/>
      <c r="L538" s="85"/>
      <c r="P538" s="85"/>
      <c r="Q538" s="85"/>
      <c r="R538" s="81"/>
    </row>
    <row r="539" spans="7:18" x14ac:dyDescent="0.3">
      <c r="G539" s="85"/>
      <c r="H539" s="86"/>
      <c r="I539" s="86"/>
      <c r="J539" s="87"/>
      <c r="K539" s="85"/>
      <c r="L539" s="85"/>
      <c r="P539" s="85"/>
      <c r="Q539" s="85"/>
      <c r="R539" s="81"/>
    </row>
    <row r="540" spans="7:18" x14ac:dyDescent="0.3">
      <c r="G540" s="85"/>
      <c r="H540" s="86"/>
      <c r="I540" s="86"/>
      <c r="J540" s="87"/>
      <c r="K540" s="85"/>
      <c r="L540" s="85"/>
      <c r="P540" s="85"/>
      <c r="Q540" s="85"/>
      <c r="R540" s="81"/>
    </row>
    <row r="541" spans="7:18" x14ac:dyDescent="0.3">
      <c r="G541" s="85"/>
      <c r="H541" s="86"/>
      <c r="I541" s="86"/>
      <c r="J541" s="87"/>
      <c r="K541" s="85"/>
      <c r="L541" s="85"/>
      <c r="P541" s="85"/>
      <c r="Q541" s="85"/>
      <c r="R541" s="81"/>
    </row>
    <row r="542" spans="7:18" x14ac:dyDescent="0.3">
      <c r="G542" s="85"/>
      <c r="H542" s="86"/>
      <c r="I542" s="86"/>
      <c r="J542" s="87"/>
      <c r="K542" s="85"/>
      <c r="L542" s="85"/>
      <c r="P542" s="85"/>
      <c r="Q542" s="85"/>
      <c r="R542" s="81"/>
    </row>
    <row r="543" spans="7:18" x14ac:dyDescent="0.3">
      <c r="G543" s="85"/>
      <c r="H543" s="86"/>
      <c r="I543" s="86"/>
      <c r="J543" s="87"/>
      <c r="K543" s="85"/>
      <c r="L543" s="85"/>
      <c r="P543" s="85"/>
      <c r="Q543" s="85"/>
      <c r="R543" s="81"/>
    </row>
    <row r="544" spans="7:18" x14ac:dyDescent="0.3">
      <c r="G544" s="85"/>
      <c r="H544" s="86"/>
      <c r="I544" s="86"/>
      <c r="J544" s="87"/>
      <c r="K544" s="85"/>
      <c r="L544" s="85"/>
      <c r="P544" s="85"/>
      <c r="Q544" s="85"/>
      <c r="R544" s="81"/>
    </row>
    <row r="545" spans="7:18" x14ac:dyDescent="0.3">
      <c r="G545" s="85"/>
      <c r="H545" s="86"/>
      <c r="I545" s="86"/>
      <c r="J545" s="87"/>
      <c r="K545" s="85"/>
      <c r="L545" s="85"/>
      <c r="P545" s="85"/>
      <c r="Q545" s="85"/>
      <c r="R545" s="81"/>
    </row>
    <row r="546" spans="7:18" x14ac:dyDescent="0.3">
      <c r="G546" s="85"/>
      <c r="H546" s="86"/>
      <c r="I546" s="86"/>
      <c r="J546" s="87"/>
      <c r="K546" s="85"/>
      <c r="L546" s="85"/>
      <c r="P546" s="85"/>
      <c r="Q546" s="85"/>
      <c r="R546" s="81"/>
    </row>
    <row r="547" spans="7:18" x14ac:dyDescent="0.3">
      <c r="G547" s="85"/>
      <c r="H547" s="86"/>
      <c r="I547" s="86"/>
      <c r="J547" s="87"/>
      <c r="K547" s="85"/>
      <c r="L547" s="85"/>
      <c r="P547" s="85"/>
      <c r="Q547" s="85"/>
      <c r="R547" s="81"/>
    </row>
    <row r="548" spans="7:18" x14ac:dyDescent="0.3">
      <c r="G548" s="85"/>
      <c r="H548" s="86"/>
      <c r="I548" s="86"/>
      <c r="J548" s="87"/>
      <c r="K548" s="85"/>
      <c r="L548" s="85"/>
      <c r="P548" s="85"/>
      <c r="Q548" s="85"/>
      <c r="R548" s="81"/>
    </row>
    <row r="549" spans="7:18" x14ac:dyDescent="0.3">
      <c r="G549" s="85"/>
      <c r="H549" s="86"/>
      <c r="I549" s="86"/>
      <c r="J549" s="87"/>
      <c r="K549" s="85"/>
      <c r="L549" s="85"/>
      <c r="P549" s="85"/>
      <c r="Q549" s="85"/>
      <c r="R549" s="81"/>
    </row>
    <row r="550" spans="7:18" x14ac:dyDescent="0.3">
      <c r="G550" s="85"/>
      <c r="H550" s="86"/>
      <c r="I550" s="86"/>
      <c r="J550" s="87"/>
      <c r="K550" s="85"/>
      <c r="L550" s="85"/>
      <c r="P550" s="85"/>
      <c r="Q550" s="85"/>
      <c r="R550" s="81"/>
    </row>
    <row r="551" spans="7:18" x14ac:dyDescent="0.3">
      <c r="G551" s="85"/>
      <c r="H551" s="86"/>
      <c r="I551" s="86"/>
      <c r="J551" s="87"/>
      <c r="K551" s="85"/>
      <c r="L551" s="85"/>
      <c r="P551" s="85"/>
      <c r="Q551" s="85"/>
      <c r="R551" s="81"/>
    </row>
    <row r="552" spans="7:18" x14ac:dyDescent="0.3">
      <c r="G552" s="85"/>
      <c r="H552" s="86"/>
      <c r="I552" s="86"/>
      <c r="J552" s="87"/>
      <c r="K552" s="85"/>
      <c r="L552" s="85"/>
      <c r="P552" s="85"/>
      <c r="Q552" s="85"/>
      <c r="R552" s="81"/>
    </row>
    <row r="553" spans="7:18" x14ac:dyDescent="0.3">
      <c r="G553" s="85"/>
      <c r="H553" s="86"/>
      <c r="I553" s="86"/>
      <c r="J553" s="87"/>
      <c r="K553" s="85"/>
      <c r="L553" s="85"/>
      <c r="P553" s="85"/>
      <c r="Q553" s="85"/>
      <c r="R553" s="81"/>
    </row>
    <row r="554" spans="7:18" x14ac:dyDescent="0.3">
      <c r="G554" s="85"/>
      <c r="H554" s="86"/>
      <c r="I554" s="86"/>
      <c r="J554" s="87"/>
      <c r="K554" s="85"/>
      <c r="L554" s="85"/>
      <c r="P554" s="85"/>
      <c r="Q554" s="85"/>
      <c r="R554" s="81"/>
    </row>
    <row r="555" spans="7:18" x14ac:dyDescent="0.3">
      <c r="G555" s="85"/>
      <c r="H555" s="86"/>
      <c r="I555" s="86"/>
      <c r="J555" s="87"/>
      <c r="K555" s="85"/>
      <c r="L555" s="85"/>
      <c r="P555" s="85"/>
      <c r="Q555" s="85"/>
      <c r="R555" s="81"/>
    </row>
    <row r="556" spans="7:18" x14ac:dyDescent="0.3">
      <c r="G556" s="85"/>
      <c r="H556" s="86"/>
      <c r="I556" s="86"/>
      <c r="J556" s="87"/>
      <c r="K556" s="85"/>
      <c r="L556" s="85"/>
      <c r="P556" s="85"/>
      <c r="Q556" s="85"/>
      <c r="R556" s="81"/>
    </row>
    <row r="557" spans="7:18" x14ac:dyDescent="0.3">
      <c r="G557" s="85"/>
      <c r="H557" s="86"/>
      <c r="I557" s="86"/>
      <c r="J557" s="87"/>
      <c r="K557" s="85"/>
      <c r="L557" s="85"/>
      <c r="P557" s="85"/>
      <c r="Q557" s="85"/>
      <c r="R557" s="81"/>
    </row>
    <row r="558" spans="7:18" x14ac:dyDescent="0.3">
      <c r="G558" s="85"/>
      <c r="H558" s="86"/>
      <c r="I558" s="86"/>
      <c r="J558" s="87"/>
      <c r="K558" s="85"/>
      <c r="L558" s="85"/>
      <c r="P558" s="85"/>
      <c r="Q558" s="85"/>
      <c r="R558" s="81"/>
    </row>
    <row r="559" spans="7:18" x14ac:dyDescent="0.3">
      <c r="G559" s="85"/>
      <c r="H559" s="86"/>
      <c r="I559" s="86"/>
      <c r="J559" s="87"/>
      <c r="K559" s="85"/>
      <c r="L559" s="85"/>
      <c r="P559" s="85"/>
      <c r="Q559" s="85"/>
      <c r="R559" s="81"/>
    </row>
    <row r="560" spans="7:18" x14ac:dyDescent="0.3">
      <c r="G560" s="85"/>
      <c r="H560" s="86"/>
      <c r="I560" s="86"/>
      <c r="J560" s="87"/>
      <c r="K560" s="85"/>
      <c r="L560" s="85"/>
      <c r="P560" s="85"/>
      <c r="Q560" s="85"/>
      <c r="R560" s="81"/>
    </row>
    <row r="561" spans="7:18" x14ac:dyDescent="0.3">
      <c r="G561" s="85"/>
      <c r="H561" s="86"/>
      <c r="I561" s="86"/>
      <c r="J561" s="87"/>
      <c r="K561" s="85"/>
      <c r="L561" s="85"/>
      <c r="P561" s="85"/>
      <c r="Q561" s="85"/>
      <c r="R561" s="81"/>
    </row>
    <row r="562" spans="7:18" x14ac:dyDescent="0.3">
      <c r="G562" s="85"/>
      <c r="H562" s="86"/>
      <c r="I562" s="86"/>
      <c r="J562" s="87"/>
      <c r="K562" s="85"/>
      <c r="L562" s="85"/>
      <c r="P562" s="85"/>
      <c r="Q562" s="85"/>
      <c r="R562" s="81"/>
    </row>
    <row r="563" spans="7:18" x14ac:dyDescent="0.3">
      <c r="G563" s="85"/>
      <c r="H563" s="86"/>
      <c r="I563" s="86"/>
      <c r="J563" s="87"/>
      <c r="K563" s="85"/>
      <c r="L563" s="85"/>
      <c r="P563" s="85"/>
      <c r="Q563" s="85"/>
      <c r="R563" s="81"/>
    </row>
    <row r="564" spans="7:18" x14ac:dyDescent="0.3">
      <c r="G564" s="85"/>
      <c r="H564" s="86"/>
      <c r="I564" s="86"/>
      <c r="J564" s="87"/>
      <c r="K564" s="85"/>
      <c r="L564" s="85"/>
      <c r="P564" s="85"/>
      <c r="Q564" s="85"/>
      <c r="R564" s="81"/>
    </row>
    <row r="565" spans="7:18" x14ac:dyDescent="0.3">
      <c r="G565" s="85"/>
      <c r="H565" s="86"/>
      <c r="I565" s="86"/>
      <c r="J565" s="87"/>
      <c r="K565" s="85"/>
      <c r="L565" s="85"/>
      <c r="P565" s="85"/>
      <c r="Q565" s="85"/>
      <c r="R565" s="81"/>
    </row>
    <row r="566" spans="7:18" x14ac:dyDescent="0.3">
      <c r="G566" s="85"/>
      <c r="H566" s="86"/>
      <c r="I566" s="86"/>
      <c r="J566" s="87"/>
      <c r="K566" s="85"/>
      <c r="L566" s="85"/>
      <c r="P566" s="85"/>
      <c r="Q566" s="85"/>
      <c r="R566" s="81"/>
    </row>
    <row r="567" spans="7:18" x14ac:dyDescent="0.3">
      <c r="G567" s="85"/>
      <c r="H567" s="86"/>
      <c r="I567" s="86"/>
      <c r="J567" s="87"/>
      <c r="K567" s="85"/>
      <c r="L567" s="85"/>
      <c r="P567" s="85"/>
      <c r="Q567" s="85"/>
      <c r="R567" s="81"/>
    </row>
    <row r="568" spans="7:18" x14ac:dyDescent="0.3">
      <c r="G568" s="85"/>
      <c r="H568" s="86"/>
      <c r="I568" s="86"/>
      <c r="J568" s="87"/>
      <c r="K568" s="85"/>
      <c r="L568" s="85"/>
      <c r="P568" s="85"/>
      <c r="Q568" s="85"/>
      <c r="R568" s="81"/>
    </row>
    <row r="569" spans="7:18" x14ac:dyDescent="0.3">
      <c r="G569" s="85"/>
      <c r="H569" s="86"/>
      <c r="I569" s="86"/>
      <c r="J569" s="87"/>
      <c r="K569" s="85"/>
      <c r="L569" s="85"/>
      <c r="P569" s="85"/>
      <c r="Q569" s="85"/>
      <c r="R569" s="81"/>
    </row>
    <row r="570" spans="7:18" x14ac:dyDescent="0.3">
      <c r="G570" s="85"/>
      <c r="H570" s="86"/>
      <c r="I570" s="86"/>
      <c r="J570" s="87"/>
      <c r="K570" s="85"/>
      <c r="L570" s="85"/>
      <c r="P570" s="85"/>
      <c r="Q570" s="85"/>
      <c r="R570" s="81"/>
    </row>
    <row r="571" spans="7:18" x14ac:dyDescent="0.3">
      <c r="G571" s="85"/>
      <c r="H571" s="86"/>
      <c r="I571" s="86"/>
      <c r="J571" s="87"/>
      <c r="K571" s="85"/>
      <c r="L571" s="85"/>
      <c r="P571" s="85"/>
      <c r="Q571" s="85"/>
      <c r="R571" s="81"/>
    </row>
    <row r="572" spans="7:18" x14ac:dyDescent="0.3">
      <c r="G572" s="85"/>
      <c r="H572" s="86"/>
      <c r="I572" s="86"/>
      <c r="J572" s="87"/>
      <c r="K572" s="85"/>
      <c r="L572" s="85"/>
      <c r="P572" s="85"/>
      <c r="Q572" s="85"/>
      <c r="R572" s="81"/>
    </row>
    <row r="573" spans="7:18" x14ac:dyDescent="0.3">
      <c r="G573" s="85"/>
      <c r="H573" s="86"/>
      <c r="I573" s="86"/>
      <c r="J573" s="87"/>
      <c r="K573" s="85"/>
      <c r="L573" s="85"/>
      <c r="P573" s="85"/>
      <c r="Q573" s="85"/>
      <c r="R573" s="81"/>
    </row>
    <row r="574" spans="7:18" x14ac:dyDescent="0.3">
      <c r="G574" s="85"/>
      <c r="H574" s="86"/>
      <c r="I574" s="86"/>
      <c r="J574" s="87"/>
      <c r="K574" s="85"/>
      <c r="L574" s="85"/>
      <c r="P574" s="85"/>
      <c r="Q574" s="85"/>
      <c r="R574" s="81"/>
    </row>
    <row r="575" spans="7:18" x14ac:dyDescent="0.3">
      <c r="G575" s="85"/>
      <c r="H575" s="86"/>
      <c r="I575" s="86"/>
      <c r="J575" s="87"/>
      <c r="K575" s="85"/>
      <c r="L575" s="85"/>
      <c r="P575" s="85"/>
      <c r="Q575" s="85"/>
      <c r="R575" s="81"/>
    </row>
    <row r="576" spans="7:18" x14ac:dyDescent="0.3">
      <c r="G576" s="85"/>
      <c r="H576" s="86"/>
      <c r="I576" s="86"/>
      <c r="J576" s="87"/>
      <c r="K576" s="85"/>
      <c r="L576" s="85"/>
      <c r="P576" s="85"/>
      <c r="Q576" s="85"/>
      <c r="R576" s="81"/>
    </row>
    <row r="577" spans="7:18" x14ac:dyDescent="0.3">
      <c r="G577" s="85"/>
      <c r="H577" s="86"/>
      <c r="I577" s="86"/>
      <c r="J577" s="87"/>
      <c r="K577" s="85"/>
      <c r="L577" s="85"/>
      <c r="P577" s="85"/>
      <c r="Q577" s="85"/>
      <c r="R577" s="81"/>
    </row>
    <row r="578" spans="7:18" x14ac:dyDescent="0.3">
      <c r="G578" s="85"/>
      <c r="H578" s="86"/>
      <c r="I578" s="86"/>
      <c r="J578" s="87"/>
      <c r="K578" s="85"/>
      <c r="L578" s="85"/>
      <c r="P578" s="85"/>
      <c r="Q578" s="85"/>
      <c r="R578" s="81"/>
    </row>
    <row r="579" spans="7:18" x14ac:dyDescent="0.3">
      <c r="G579" s="85"/>
      <c r="H579" s="86"/>
      <c r="I579" s="86"/>
      <c r="J579" s="87"/>
      <c r="K579" s="85"/>
      <c r="L579" s="85"/>
      <c r="P579" s="85"/>
      <c r="Q579" s="85"/>
      <c r="R579" s="81"/>
    </row>
    <row r="580" spans="7:18" x14ac:dyDescent="0.3">
      <c r="G580" s="85"/>
      <c r="H580" s="86"/>
      <c r="I580" s="86"/>
      <c r="J580" s="87"/>
      <c r="K580" s="85"/>
      <c r="L580" s="85"/>
      <c r="P580" s="85"/>
      <c r="Q580" s="85"/>
      <c r="R580" s="81"/>
    </row>
    <row r="581" spans="7:18" x14ac:dyDescent="0.3">
      <c r="G581" s="85"/>
      <c r="H581" s="86"/>
      <c r="I581" s="86"/>
      <c r="J581" s="87"/>
      <c r="K581" s="85"/>
      <c r="L581" s="85"/>
      <c r="P581" s="85"/>
      <c r="Q581" s="85"/>
      <c r="R581" s="81"/>
    </row>
    <row r="582" spans="7:18" x14ac:dyDescent="0.3">
      <c r="G582" s="85"/>
      <c r="H582" s="86"/>
      <c r="I582" s="86"/>
      <c r="J582" s="87"/>
      <c r="K582" s="85"/>
      <c r="L582" s="85"/>
      <c r="P582" s="85"/>
      <c r="Q582" s="85"/>
      <c r="R582" s="81"/>
    </row>
    <row r="583" spans="7:18" x14ac:dyDescent="0.3">
      <c r="G583" s="85"/>
      <c r="H583" s="86"/>
      <c r="I583" s="86"/>
      <c r="J583" s="87"/>
      <c r="K583" s="85"/>
      <c r="L583" s="85"/>
      <c r="P583" s="85"/>
      <c r="Q583" s="85"/>
      <c r="R583" s="81"/>
    </row>
    <row r="584" spans="7:18" x14ac:dyDescent="0.3">
      <c r="G584" s="85"/>
      <c r="H584" s="86"/>
      <c r="I584" s="86"/>
      <c r="J584" s="87"/>
      <c r="K584" s="85"/>
      <c r="L584" s="85"/>
      <c r="P584" s="85"/>
      <c r="Q584" s="85"/>
      <c r="R584" s="81"/>
    </row>
    <row r="585" spans="7:18" x14ac:dyDescent="0.3">
      <c r="G585" s="85"/>
      <c r="H585" s="86"/>
      <c r="I585" s="86"/>
      <c r="J585" s="87"/>
      <c r="K585" s="85"/>
      <c r="L585" s="85"/>
      <c r="P585" s="85"/>
      <c r="Q585" s="85"/>
      <c r="R585" s="81"/>
    </row>
    <row r="586" spans="7:18" x14ac:dyDescent="0.3">
      <c r="G586" s="85"/>
      <c r="H586" s="86"/>
      <c r="I586" s="86"/>
      <c r="J586" s="87"/>
      <c r="K586" s="85"/>
      <c r="L586" s="85"/>
      <c r="P586" s="85"/>
      <c r="Q586" s="85"/>
      <c r="R586" s="81"/>
    </row>
    <row r="587" spans="7:18" x14ac:dyDescent="0.3">
      <c r="G587" s="85"/>
      <c r="H587" s="86"/>
      <c r="I587" s="86"/>
      <c r="J587" s="87"/>
      <c r="K587" s="85"/>
      <c r="L587" s="85"/>
      <c r="P587" s="85"/>
      <c r="Q587" s="85"/>
      <c r="R587" s="81"/>
    </row>
    <row r="588" spans="7:18" x14ac:dyDescent="0.3">
      <c r="G588" s="85"/>
      <c r="H588" s="86"/>
      <c r="I588" s="86"/>
      <c r="J588" s="87"/>
      <c r="K588" s="85"/>
      <c r="L588" s="85"/>
      <c r="P588" s="85"/>
      <c r="Q588" s="85"/>
      <c r="R588" s="81"/>
    </row>
    <row r="589" spans="7:18" x14ac:dyDescent="0.3">
      <c r="G589" s="85"/>
      <c r="H589" s="86"/>
      <c r="I589" s="86"/>
      <c r="J589" s="87"/>
      <c r="K589" s="85"/>
      <c r="L589" s="85"/>
      <c r="P589" s="85"/>
      <c r="Q589" s="85"/>
      <c r="R589" s="81"/>
    </row>
    <row r="590" spans="7:18" x14ac:dyDescent="0.3">
      <c r="G590" s="85"/>
      <c r="H590" s="86"/>
      <c r="I590" s="86"/>
      <c r="J590" s="87"/>
      <c r="K590" s="85"/>
      <c r="L590" s="85"/>
      <c r="P590" s="85"/>
      <c r="Q590" s="85"/>
      <c r="R590" s="81"/>
    </row>
    <row r="591" spans="7:18" x14ac:dyDescent="0.3">
      <c r="G591" s="85"/>
      <c r="H591" s="86"/>
      <c r="I591" s="86"/>
      <c r="J591" s="87"/>
      <c r="K591" s="85"/>
      <c r="L591" s="85"/>
      <c r="P591" s="85"/>
      <c r="Q591" s="85"/>
      <c r="R591" s="81"/>
    </row>
    <row r="592" spans="7:18" x14ac:dyDescent="0.3">
      <c r="G592" s="85"/>
      <c r="H592" s="86"/>
      <c r="I592" s="86"/>
      <c r="J592" s="87"/>
      <c r="K592" s="85"/>
      <c r="L592" s="85"/>
      <c r="P592" s="85"/>
      <c r="Q592" s="85"/>
      <c r="R592" s="81"/>
    </row>
    <row r="593" spans="7:18" x14ac:dyDescent="0.3">
      <c r="G593" s="85"/>
      <c r="H593" s="86"/>
      <c r="I593" s="86"/>
      <c r="J593" s="87"/>
      <c r="K593" s="85"/>
      <c r="L593" s="85"/>
      <c r="P593" s="85"/>
      <c r="Q593" s="85"/>
      <c r="R593" s="81"/>
    </row>
    <row r="594" spans="7:18" x14ac:dyDescent="0.3">
      <c r="G594" s="85"/>
      <c r="H594" s="86"/>
      <c r="I594" s="86"/>
      <c r="J594" s="87"/>
      <c r="K594" s="85"/>
      <c r="L594" s="85"/>
      <c r="P594" s="85"/>
      <c r="Q594" s="85"/>
      <c r="R594" s="81"/>
    </row>
    <row r="595" spans="7:18" x14ac:dyDescent="0.3">
      <c r="G595" s="85"/>
      <c r="H595" s="86"/>
      <c r="I595" s="86"/>
      <c r="J595" s="87"/>
      <c r="K595" s="85"/>
      <c r="L595" s="85"/>
      <c r="P595" s="85"/>
      <c r="Q595" s="85"/>
      <c r="R595" s="81"/>
    </row>
    <row r="596" spans="7:18" x14ac:dyDescent="0.3">
      <c r="G596" s="85"/>
      <c r="H596" s="86"/>
      <c r="I596" s="86"/>
      <c r="J596" s="87"/>
      <c r="K596" s="85"/>
      <c r="L596" s="85"/>
      <c r="P596" s="85"/>
      <c r="Q596" s="85"/>
      <c r="R596" s="81"/>
    </row>
    <row r="597" spans="7:18" x14ac:dyDescent="0.3">
      <c r="G597" s="85"/>
      <c r="H597" s="86"/>
      <c r="I597" s="86"/>
      <c r="J597" s="87"/>
      <c r="K597" s="85"/>
      <c r="L597" s="85"/>
      <c r="P597" s="85"/>
      <c r="Q597" s="85"/>
      <c r="R597" s="81"/>
    </row>
    <row r="598" spans="7:18" x14ac:dyDescent="0.3">
      <c r="G598" s="85"/>
      <c r="H598" s="86"/>
      <c r="I598" s="86"/>
      <c r="J598" s="87"/>
      <c r="K598" s="85"/>
      <c r="L598" s="85"/>
      <c r="P598" s="85"/>
      <c r="Q598" s="85"/>
      <c r="R598" s="81"/>
    </row>
    <row r="599" spans="7:18" x14ac:dyDescent="0.3">
      <c r="G599" s="85"/>
      <c r="H599" s="86"/>
      <c r="I599" s="86"/>
      <c r="J599" s="87"/>
      <c r="K599" s="85"/>
      <c r="L599" s="85"/>
      <c r="P599" s="85"/>
      <c r="Q599" s="85"/>
      <c r="R599" s="81"/>
    </row>
    <row r="600" spans="7:18" x14ac:dyDescent="0.3">
      <c r="G600" s="85"/>
      <c r="H600" s="86"/>
      <c r="I600" s="86"/>
      <c r="J600" s="87"/>
      <c r="K600" s="85"/>
      <c r="L600" s="85"/>
      <c r="P600" s="85"/>
      <c r="Q600" s="85"/>
      <c r="R600" s="81"/>
    </row>
    <row r="601" spans="7:18" x14ac:dyDescent="0.3">
      <c r="G601" s="85"/>
      <c r="H601" s="86"/>
      <c r="I601" s="86"/>
      <c r="J601" s="87"/>
      <c r="K601" s="85"/>
      <c r="L601" s="85"/>
      <c r="P601" s="85"/>
      <c r="Q601" s="85"/>
      <c r="R601" s="81"/>
    </row>
    <row r="602" spans="7:18" x14ac:dyDescent="0.3">
      <c r="G602" s="85"/>
      <c r="H602" s="86"/>
      <c r="I602" s="86"/>
      <c r="J602" s="87"/>
      <c r="K602" s="85"/>
      <c r="L602" s="85"/>
      <c r="P602" s="85"/>
      <c r="Q602" s="85"/>
      <c r="R602" s="81"/>
    </row>
    <row r="603" spans="7:18" x14ac:dyDescent="0.3">
      <c r="G603" s="85"/>
      <c r="H603" s="86"/>
      <c r="I603" s="86"/>
      <c r="J603" s="87"/>
      <c r="K603" s="85"/>
      <c r="L603" s="85"/>
      <c r="P603" s="85"/>
      <c r="Q603" s="85"/>
      <c r="R603" s="81"/>
    </row>
    <row r="604" spans="7:18" x14ac:dyDescent="0.3">
      <c r="G604" s="85"/>
      <c r="H604" s="86"/>
      <c r="I604" s="86"/>
      <c r="J604" s="87"/>
      <c r="K604" s="85"/>
      <c r="L604" s="85"/>
      <c r="P604" s="85"/>
      <c r="Q604" s="85"/>
      <c r="R604" s="81"/>
    </row>
    <row r="605" spans="7:18" x14ac:dyDescent="0.3">
      <c r="G605" s="85"/>
      <c r="H605" s="86"/>
      <c r="I605" s="86"/>
      <c r="J605" s="87"/>
      <c r="K605" s="85"/>
      <c r="L605" s="85"/>
      <c r="P605" s="85"/>
      <c r="Q605" s="85"/>
      <c r="R605" s="81"/>
    </row>
    <row r="606" spans="7:18" x14ac:dyDescent="0.3">
      <c r="G606" s="85"/>
      <c r="H606" s="86"/>
      <c r="I606" s="86"/>
      <c r="J606" s="87"/>
      <c r="K606" s="85"/>
      <c r="L606" s="85"/>
      <c r="P606" s="85"/>
      <c r="Q606" s="85"/>
      <c r="R606" s="81"/>
    </row>
    <row r="607" spans="7:18" x14ac:dyDescent="0.3">
      <c r="G607" s="85"/>
      <c r="H607" s="86"/>
      <c r="I607" s="86"/>
      <c r="J607" s="87"/>
      <c r="K607" s="85"/>
      <c r="L607" s="85"/>
      <c r="P607" s="85"/>
      <c r="Q607" s="85"/>
      <c r="R607" s="81"/>
    </row>
    <row r="608" spans="7:18" x14ac:dyDescent="0.3">
      <c r="G608" s="85"/>
      <c r="H608" s="86"/>
      <c r="I608" s="86"/>
      <c r="J608" s="87"/>
      <c r="K608" s="85"/>
      <c r="L608" s="85"/>
      <c r="P608" s="85"/>
      <c r="Q608" s="85"/>
      <c r="R608" s="81"/>
    </row>
    <row r="609" spans="7:18" x14ac:dyDescent="0.3">
      <c r="G609" s="85"/>
      <c r="H609" s="86"/>
      <c r="I609" s="86"/>
      <c r="J609" s="87"/>
      <c r="K609" s="85"/>
      <c r="L609" s="85"/>
      <c r="P609" s="85"/>
      <c r="Q609" s="85"/>
      <c r="R609" s="81"/>
    </row>
    <row r="610" spans="7:18" x14ac:dyDescent="0.3">
      <c r="G610" s="85"/>
      <c r="H610" s="86"/>
      <c r="I610" s="86"/>
      <c r="J610" s="87"/>
      <c r="K610" s="85"/>
      <c r="L610" s="85"/>
      <c r="P610" s="85"/>
      <c r="Q610" s="85"/>
      <c r="R610" s="81"/>
    </row>
    <row r="611" spans="7:18" x14ac:dyDescent="0.3">
      <c r="G611" s="85"/>
      <c r="H611" s="86"/>
      <c r="I611" s="86"/>
      <c r="J611" s="87"/>
      <c r="K611" s="85"/>
      <c r="L611" s="85"/>
      <c r="P611" s="85"/>
      <c r="Q611" s="85"/>
      <c r="R611" s="81"/>
    </row>
    <row r="612" spans="7:18" x14ac:dyDescent="0.3">
      <c r="G612" s="85"/>
      <c r="H612" s="86"/>
      <c r="I612" s="86"/>
      <c r="J612" s="87"/>
      <c r="K612" s="85"/>
      <c r="L612" s="85"/>
      <c r="P612" s="85"/>
      <c r="Q612" s="85"/>
      <c r="R612" s="81"/>
    </row>
    <row r="613" spans="7:18" x14ac:dyDescent="0.3">
      <c r="G613" s="85"/>
      <c r="H613" s="86"/>
      <c r="I613" s="86"/>
      <c r="J613" s="87"/>
      <c r="K613" s="85"/>
      <c r="L613" s="85"/>
      <c r="P613" s="85"/>
      <c r="Q613" s="85"/>
      <c r="R613" s="81"/>
    </row>
    <row r="614" spans="7:18" x14ac:dyDescent="0.3">
      <c r="G614" s="85"/>
      <c r="H614" s="86"/>
      <c r="I614" s="86"/>
      <c r="J614" s="87"/>
      <c r="K614" s="85"/>
      <c r="L614" s="85"/>
      <c r="P614" s="85"/>
      <c r="Q614" s="85"/>
      <c r="R614" s="81"/>
    </row>
    <row r="615" spans="7:18" x14ac:dyDescent="0.3">
      <c r="G615" s="85"/>
      <c r="H615" s="86"/>
      <c r="I615" s="86"/>
      <c r="J615" s="87"/>
      <c r="K615" s="85"/>
      <c r="L615" s="85"/>
      <c r="P615" s="85"/>
      <c r="Q615" s="85"/>
      <c r="R615" s="81"/>
    </row>
    <row r="616" spans="7:18" x14ac:dyDescent="0.3">
      <c r="G616" s="85"/>
      <c r="H616" s="86"/>
      <c r="I616" s="86"/>
      <c r="J616" s="87"/>
      <c r="K616" s="85"/>
      <c r="L616" s="85"/>
      <c r="P616" s="85"/>
      <c r="Q616" s="85"/>
      <c r="R616" s="81"/>
    </row>
    <row r="617" spans="7:18" x14ac:dyDescent="0.3">
      <c r="G617" s="85"/>
      <c r="H617" s="86"/>
      <c r="I617" s="86"/>
      <c r="J617" s="87"/>
      <c r="K617" s="85"/>
      <c r="L617" s="85"/>
      <c r="P617" s="85"/>
      <c r="Q617" s="85"/>
      <c r="R617" s="81"/>
    </row>
    <row r="618" spans="7:18" x14ac:dyDescent="0.3">
      <c r="G618" s="85"/>
      <c r="H618" s="86"/>
      <c r="I618" s="86"/>
      <c r="J618" s="87"/>
      <c r="K618" s="85"/>
      <c r="L618" s="85"/>
      <c r="P618" s="85"/>
      <c r="Q618" s="85"/>
      <c r="R618" s="81"/>
    </row>
    <row r="619" spans="7:18" x14ac:dyDescent="0.3">
      <c r="G619" s="85"/>
      <c r="H619" s="86"/>
      <c r="I619" s="86"/>
      <c r="J619" s="87"/>
      <c r="K619" s="85"/>
      <c r="L619" s="85"/>
      <c r="P619" s="85"/>
      <c r="Q619" s="85"/>
      <c r="R619" s="81"/>
    </row>
    <row r="620" spans="7:18" x14ac:dyDescent="0.3">
      <c r="G620" s="85"/>
      <c r="H620" s="86"/>
      <c r="I620" s="86"/>
      <c r="J620" s="87"/>
      <c r="K620" s="85"/>
      <c r="L620" s="85"/>
      <c r="P620" s="85"/>
      <c r="Q620" s="85"/>
      <c r="R620" s="81"/>
    </row>
    <row r="621" spans="7:18" x14ac:dyDescent="0.3">
      <c r="G621" s="85"/>
      <c r="H621" s="86"/>
      <c r="I621" s="86"/>
      <c r="J621" s="87"/>
      <c r="K621" s="85"/>
      <c r="L621" s="85"/>
      <c r="P621" s="85"/>
      <c r="Q621" s="85"/>
      <c r="R621" s="81"/>
    </row>
    <row r="622" spans="7:18" x14ac:dyDescent="0.3">
      <c r="G622" s="85"/>
      <c r="H622" s="86"/>
      <c r="I622" s="86"/>
      <c r="J622" s="87"/>
      <c r="K622" s="85"/>
      <c r="L622" s="85"/>
      <c r="P622" s="85"/>
      <c r="Q622" s="85"/>
      <c r="R622" s="81"/>
    </row>
    <row r="623" spans="7:18" x14ac:dyDescent="0.3">
      <c r="G623" s="85"/>
      <c r="H623" s="86"/>
      <c r="I623" s="86"/>
      <c r="J623" s="87"/>
      <c r="K623" s="85"/>
      <c r="L623" s="85"/>
      <c r="P623" s="85"/>
      <c r="Q623" s="85"/>
      <c r="R623" s="81"/>
    </row>
    <row r="624" spans="7:18" x14ac:dyDescent="0.3">
      <c r="G624" s="85"/>
      <c r="H624" s="86"/>
      <c r="I624" s="86"/>
      <c r="J624" s="87"/>
      <c r="K624" s="85"/>
      <c r="L624" s="85"/>
      <c r="P624" s="85"/>
      <c r="Q624" s="85"/>
      <c r="R624" s="81"/>
    </row>
    <row r="625" spans="7:18" x14ac:dyDescent="0.3">
      <c r="G625" s="85"/>
      <c r="H625" s="86"/>
      <c r="I625" s="86"/>
      <c r="J625" s="87"/>
      <c r="K625" s="85"/>
      <c r="L625" s="85"/>
      <c r="P625" s="85"/>
      <c r="Q625" s="85"/>
      <c r="R625" s="81"/>
    </row>
    <row r="626" spans="7:18" x14ac:dyDescent="0.3">
      <c r="G626" s="85"/>
      <c r="H626" s="86"/>
      <c r="I626" s="86"/>
      <c r="J626" s="87"/>
      <c r="K626" s="85"/>
      <c r="L626" s="85"/>
      <c r="P626" s="85"/>
      <c r="Q626" s="85"/>
      <c r="R626" s="81"/>
    </row>
    <row r="627" spans="7:18" x14ac:dyDescent="0.3">
      <c r="G627" s="85"/>
      <c r="H627" s="86"/>
      <c r="I627" s="86"/>
      <c r="J627" s="87"/>
      <c r="K627" s="85"/>
      <c r="L627" s="85"/>
      <c r="P627" s="85"/>
      <c r="Q627" s="85"/>
      <c r="R627" s="81"/>
    </row>
    <row r="628" spans="7:18" x14ac:dyDescent="0.3">
      <c r="G628" s="85"/>
      <c r="H628" s="86"/>
      <c r="I628" s="86"/>
      <c r="J628" s="87"/>
      <c r="K628" s="85"/>
      <c r="L628" s="85"/>
      <c r="P628" s="85"/>
      <c r="Q628" s="85"/>
      <c r="R628" s="81"/>
    </row>
    <row r="629" spans="7:18" x14ac:dyDescent="0.3">
      <c r="G629" s="85"/>
      <c r="H629" s="86"/>
      <c r="I629" s="86"/>
      <c r="J629" s="87"/>
      <c r="K629" s="85"/>
      <c r="L629" s="85"/>
      <c r="P629" s="85"/>
      <c r="Q629" s="85"/>
      <c r="R629" s="81"/>
    </row>
    <row r="630" spans="7:18" x14ac:dyDescent="0.3">
      <c r="G630" s="85"/>
      <c r="H630" s="86"/>
      <c r="I630" s="86"/>
      <c r="J630" s="87"/>
      <c r="K630" s="85"/>
      <c r="L630" s="85"/>
      <c r="P630" s="85"/>
      <c r="Q630" s="85"/>
      <c r="R630" s="81"/>
    </row>
    <row r="631" spans="7:18" x14ac:dyDescent="0.3">
      <c r="G631" s="85"/>
      <c r="H631" s="86"/>
      <c r="I631" s="86"/>
      <c r="J631" s="87"/>
      <c r="K631" s="85"/>
      <c r="L631" s="85"/>
      <c r="P631" s="85"/>
      <c r="Q631" s="85"/>
      <c r="R631" s="81"/>
    </row>
    <row r="632" spans="7:18" x14ac:dyDescent="0.3">
      <c r="G632" s="85"/>
      <c r="H632" s="86"/>
      <c r="I632" s="86"/>
      <c r="J632" s="87"/>
      <c r="K632" s="85"/>
      <c r="L632" s="85"/>
      <c r="P632" s="85"/>
      <c r="Q632" s="85"/>
      <c r="R632" s="81"/>
    </row>
    <row r="633" spans="7:18" x14ac:dyDescent="0.3">
      <c r="G633" s="85"/>
      <c r="H633" s="86"/>
      <c r="I633" s="86"/>
      <c r="J633" s="87"/>
      <c r="K633" s="85"/>
      <c r="L633" s="85"/>
      <c r="P633" s="85"/>
      <c r="Q633" s="85"/>
      <c r="R633" s="81"/>
    </row>
    <row r="634" spans="7:18" x14ac:dyDescent="0.3">
      <c r="G634" s="85"/>
      <c r="H634" s="86"/>
      <c r="I634" s="86"/>
      <c r="J634" s="87"/>
      <c r="K634" s="85"/>
      <c r="L634" s="85"/>
      <c r="P634" s="85"/>
      <c r="Q634" s="85"/>
      <c r="R634" s="81"/>
    </row>
    <row r="635" spans="7:18" x14ac:dyDescent="0.3">
      <c r="G635" s="85"/>
      <c r="H635" s="86"/>
      <c r="I635" s="86"/>
      <c r="J635" s="87"/>
      <c r="K635" s="85"/>
      <c r="L635" s="85"/>
      <c r="P635" s="85"/>
      <c r="Q635" s="85"/>
      <c r="R635" s="81"/>
    </row>
    <row r="636" spans="7:18" x14ac:dyDescent="0.3">
      <c r="G636" s="85"/>
      <c r="H636" s="86"/>
      <c r="I636" s="86"/>
      <c r="J636" s="87"/>
      <c r="K636" s="85"/>
      <c r="L636" s="85"/>
      <c r="P636" s="85"/>
      <c r="Q636" s="85"/>
      <c r="R636" s="81"/>
    </row>
    <row r="637" spans="7:18" x14ac:dyDescent="0.3">
      <c r="G637" s="85"/>
      <c r="H637" s="86"/>
      <c r="I637" s="86"/>
      <c r="J637" s="87"/>
      <c r="K637" s="85"/>
      <c r="L637" s="85"/>
      <c r="P637" s="85"/>
      <c r="Q637" s="85"/>
      <c r="R637" s="81"/>
    </row>
    <row r="638" spans="7:18" x14ac:dyDescent="0.3">
      <c r="G638" s="85"/>
      <c r="H638" s="86"/>
      <c r="I638" s="86"/>
      <c r="J638" s="87"/>
      <c r="K638" s="85"/>
      <c r="L638" s="85"/>
      <c r="P638" s="85"/>
      <c r="Q638" s="85"/>
      <c r="R638" s="81"/>
    </row>
    <row r="639" spans="7:18" x14ac:dyDescent="0.3">
      <c r="G639" s="85"/>
      <c r="H639" s="86"/>
      <c r="I639" s="86"/>
      <c r="J639" s="87"/>
      <c r="K639" s="85"/>
      <c r="L639" s="85"/>
      <c r="P639" s="85"/>
      <c r="Q639" s="85"/>
      <c r="R639" s="81"/>
    </row>
    <row r="640" spans="7:18" x14ac:dyDescent="0.3">
      <c r="G640" s="85"/>
      <c r="H640" s="86"/>
      <c r="I640" s="86"/>
      <c r="J640" s="87"/>
      <c r="K640" s="85"/>
      <c r="L640" s="85"/>
      <c r="P640" s="85"/>
      <c r="Q640" s="85"/>
      <c r="R640" s="81"/>
    </row>
    <row r="641" spans="7:18" x14ac:dyDescent="0.3">
      <c r="G641" s="85"/>
      <c r="H641" s="86"/>
      <c r="I641" s="86"/>
      <c r="J641" s="87"/>
      <c r="K641" s="85"/>
      <c r="L641" s="85"/>
      <c r="P641" s="85"/>
      <c r="Q641" s="85"/>
      <c r="R641" s="81"/>
    </row>
    <row r="642" spans="7:18" x14ac:dyDescent="0.3">
      <c r="G642" s="85"/>
      <c r="H642" s="86"/>
      <c r="I642" s="86"/>
      <c r="J642" s="87"/>
      <c r="K642" s="85"/>
      <c r="L642" s="85"/>
      <c r="P642" s="85"/>
      <c r="Q642" s="85"/>
      <c r="R642" s="81"/>
    </row>
    <row r="643" spans="7:18" x14ac:dyDescent="0.3">
      <c r="G643" s="85"/>
      <c r="H643" s="86"/>
      <c r="I643" s="86"/>
      <c r="J643" s="87"/>
      <c r="K643" s="85"/>
      <c r="L643" s="85"/>
      <c r="P643" s="85"/>
      <c r="Q643" s="85"/>
      <c r="R643" s="81"/>
    </row>
    <row r="644" spans="7:18" x14ac:dyDescent="0.3">
      <c r="G644" s="85"/>
      <c r="H644" s="86"/>
      <c r="I644" s="86"/>
      <c r="J644" s="87"/>
      <c r="K644" s="85"/>
      <c r="L644" s="85"/>
      <c r="P644" s="85"/>
      <c r="Q644" s="85"/>
      <c r="R644" s="81"/>
    </row>
    <row r="645" spans="7:18" x14ac:dyDescent="0.3">
      <c r="G645" s="85"/>
      <c r="H645" s="86"/>
      <c r="I645" s="86"/>
      <c r="J645" s="87"/>
      <c r="K645" s="85"/>
      <c r="L645" s="85"/>
      <c r="P645" s="85"/>
      <c r="Q645" s="85"/>
      <c r="R645" s="81"/>
    </row>
    <row r="646" spans="7:18" x14ac:dyDescent="0.3">
      <c r="G646" s="85"/>
      <c r="H646" s="86"/>
      <c r="I646" s="86"/>
      <c r="J646" s="87"/>
      <c r="K646" s="85"/>
      <c r="L646" s="85"/>
      <c r="P646" s="85"/>
      <c r="Q646" s="85"/>
      <c r="R646" s="81"/>
    </row>
    <row r="647" spans="7:18" x14ac:dyDescent="0.3">
      <c r="G647" s="85"/>
      <c r="H647" s="86"/>
      <c r="I647" s="86"/>
      <c r="J647" s="87"/>
      <c r="K647" s="85"/>
      <c r="L647" s="85"/>
      <c r="P647" s="85"/>
      <c r="Q647" s="85"/>
      <c r="R647" s="81"/>
    </row>
    <row r="648" spans="7:18" x14ac:dyDescent="0.3">
      <c r="G648" s="85"/>
      <c r="H648" s="86"/>
      <c r="I648" s="86"/>
      <c r="J648" s="87"/>
      <c r="K648" s="85"/>
      <c r="L648" s="85"/>
      <c r="P648" s="85"/>
      <c r="Q648" s="85"/>
      <c r="R648" s="81"/>
    </row>
    <row r="649" spans="7:18" x14ac:dyDescent="0.3">
      <c r="G649" s="85"/>
      <c r="H649" s="86"/>
      <c r="I649" s="86"/>
      <c r="J649" s="87"/>
      <c r="K649" s="85"/>
      <c r="L649" s="85"/>
      <c r="P649" s="85"/>
      <c r="Q649" s="85"/>
      <c r="R649" s="81"/>
    </row>
    <row r="650" spans="7:18" x14ac:dyDescent="0.3">
      <c r="G650" s="85"/>
      <c r="H650" s="86"/>
      <c r="I650" s="86"/>
      <c r="J650" s="87"/>
      <c r="K650" s="85"/>
      <c r="L650" s="85"/>
      <c r="P650" s="85"/>
      <c r="Q650" s="85"/>
      <c r="R650" s="81"/>
    </row>
    <row r="651" spans="7:18" x14ac:dyDescent="0.3">
      <c r="G651" s="85"/>
      <c r="H651" s="86"/>
      <c r="I651" s="86"/>
      <c r="J651" s="87"/>
      <c r="K651" s="85"/>
      <c r="L651" s="85"/>
      <c r="P651" s="85"/>
      <c r="Q651" s="85"/>
      <c r="R651" s="81"/>
    </row>
    <row r="652" spans="7:18" x14ac:dyDescent="0.3">
      <c r="G652" s="85"/>
      <c r="H652" s="86"/>
      <c r="I652" s="86"/>
      <c r="J652" s="87"/>
      <c r="K652" s="85"/>
      <c r="L652" s="85"/>
      <c r="P652" s="85"/>
      <c r="Q652" s="85"/>
      <c r="R652" s="81"/>
    </row>
    <row r="653" spans="7:18" x14ac:dyDescent="0.3">
      <c r="G653" s="85"/>
      <c r="H653" s="86"/>
      <c r="I653" s="86"/>
      <c r="J653" s="87"/>
      <c r="K653" s="85"/>
      <c r="L653" s="85"/>
      <c r="P653" s="85"/>
      <c r="Q653" s="85"/>
      <c r="R653" s="81"/>
    </row>
    <row r="654" spans="7:18" x14ac:dyDescent="0.3">
      <c r="G654" s="85"/>
      <c r="H654" s="86"/>
      <c r="I654" s="86"/>
      <c r="J654" s="87"/>
      <c r="K654" s="85"/>
      <c r="L654" s="85"/>
      <c r="P654" s="85"/>
      <c r="Q654" s="85"/>
      <c r="R654" s="81"/>
    </row>
    <row r="655" spans="7:18" x14ac:dyDescent="0.3">
      <c r="G655" s="85"/>
      <c r="H655" s="86"/>
      <c r="I655" s="86"/>
      <c r="J655" s="87"/>
      <c r="K655" s="85"/>
      <c r="L655" s="85"/>
      <c r="P655" s="85"/>
      <c r="Q655" s="85"/>
      <c r="R655" s="81"/>
    </row>
    <row r="656" spans="7:18" x14ac:dyDescent="0.3">
      <c r="G656" s="85"/>
      <c r="H656" s="86"/>
      <c r="I656" s="86"/>
      <c r="J656" s="87"/>
      <c r="K656" s="85"/>
      <c r="L656" s="85"/>
      <c r="P656" s="85"/>
      <c r="Q656" s="85"/>
      <c r="R656" s="81"/>
    </row>
    <row r="657" spans="7:18" x14ac:dyDescent="0.3">
      <c r="G657" s="85"/>
      <c r="H657" s="86"/>
      <c r="I657" s="86"/>
      <c r="J657" s="87"/>
      <c r="K657" s="85"/>
      <c r="L657" s="85"/>
      <c r="P657" s="85"/>
      <c r="Q657" s="85"/>
      <c r="R657" s="81"/>
    </row>
    <row r="658" spans="7:18" x14ac:dyDescent="0.3">
      <c r="G658" s="85"/>
      <c r="H658" s="86"/>
      <c r="I658" s="86"/>
      <c r="J658" s="87"/>
      <c r="K658" s="85"/>
      <c r="L658" s="85"/>
      <c r="P658" s="85"/>
      <c r="Q658" s="85"/>
      <c r="R658" s="81"/>
    </row>
    <row r="659" spans="7:18" x14ac:dyDescent="0.3">
      <c r="G659" s="85"/>
      <c r="H659" s="86"/>
      <c r="I659" s="86"/>
      <c r="J659" s="87"/>
      <c r="K659" s="85"/>
      <c r="L659" s="85"/>
      <c r="P659" s="85"/>
      <c r="Q659" s="85"/>
      <c r="R659" s="81"/>
    </row>
    <row r="660" spans="7:18" x14ac:dyDescent="0.3">
      <c r="G660" s="85"/>
      <c r="H660" s="86"/>
      <c r="I660" s="86"/>
      <c r="J660" s="87"/>
      <c r="K660" s="85"/>
      <c r="L660" s="85"/>
      <c r="P660" s="85"/>
      <c r="Q660" s="85"/>
      <c r="R660" s="81"/>
    </row>
    <row r="661" spans="7:18" x14ac:dyDescent="0.3">
      <c r="G661" s="85"/>
      <c r="H661" s="86"/>
      <c r="I661" s="86"/>
      <c r="J661" s="87"/>
      <c r="K661" s="85"/>
      <c r="L661" s="85"/>
      <c r="P661" s="85"/>
      <c r="Q661" s="85"/>
      <c r="R661" s="81"/>
    </row>
    <row r="662" spans="7:18" x14ac:dyDescent="0.3">
      <c r="G662" s="85"/>
      <c r="H662" s="86"/>
      <c r="I662" s="86"/>
      <c r="J662" s="87"/>
      <c r="K662" s="85"/>
      <c r="L662" s="85"/>
      <c r="P662" s="85"/>
      <c r="Q662" s="85"/>
      <c r="R662" s="81"/>
    </row>
    <row r="663" spans="7:18" x14ac:dyDescent="0.3">
      <c r="G663" s="85"/>
      <c r="H663" s="86"/>
      <c r="I663" s="86"/>
      <c r="J663" s="87"/>
      <c r="K663" s="85"/>
      <c r="L663" s="85"/>
      <c r="P663" s="85"/>
      <c r="Q663" s="85"/>
      <c r="R663" s="81"/>
    </row>
    <row r="664" spans="7:18" x14ac:dyDescent="0.3">
      <c r="G664" s="85"/>
      <c r="H664" s="86"/>
      <c r="I664" s="86"/>
      <c r="J664" s="87"/>
      <c r="K664" s="85"/>
      <c r="L664" s="85"/>
      <c r="P664" s="85"/>
      <c r="Q664" s="85"/>
      <c r="R664" s="81"/>
    </row>
    <row r="665" spans="7:18" x14ac:dyDescent="0.3">
      <c r="G665" s="85"/>
      <c r="H665" s="86"/>
      <c r="I665" s="86"/>
      <c r="J665" s="87"/>
      <c r="K665" s="85"/>
      <c r="L665" s="85"/>
      <c r="P665" s="85"/>
      <c r="Q665" s="85"/>
      <c r="R665" s="81"/>
    </row>
    <row r="666" spans="7:18" x14ac:dyDescent="0.3">
      <c r="G666" s="85"/>
      <c r="H666" s="86"/>
      <c r="I666" s="86"/>
      <c r="J666" s="87"/>
      <c r="K666" s="85"/>
      <c r="L666" s="85"/>
      <c r="P666" s="85"/>
      <c r="Q666" s="85"/>
      <c r="R666" s="81"/>
    </row>
    <row r="667" spans="7:18" x14ac:dyDescent="0.3">
      <c r="G667" s="85"/>
      <c r="H667" s="86"/>
      <c r="I667" s="86"/>
      <c r="J667" s="87"/>
      <c r="K667" s="85"/>
      <c r="L667" s="85"/>
      <c r="P667" s="85"/>
      <c r="Q667" s="85"/>
      <c r="R667" s="81"/>
    </row>
    <row r="668" spans="7:18" x14ac:dyDescent="0.3">
      <c r="G668" s="85"/>
      <c r="H668" s="86"/>
      <c r="I668" s="86"/>
      <c r="J668" s="87"/>
      <c r="K668" s="85"/>
      <c r="L668" s="85"/>
      <c r="P668" s="85"/>
      <c r="Q668" s="85"/>
      <c r="R668" s="81"/>
    </row>
    <row r="669" spans="7:18" x14ac:dyDescent="0.3">
      <c r="G669" s="85"/>
      <c r="H669" s="86"/>
      <c r="I669" s="86"/>
      <c r="J669" s="87"/>
      <c r="K669" s="85"/>
      <c r="L669" s="85"/>
      <c r="P669" s="85"/>
      <c r="Q669" s="85"/>
      <c r="R669" s="81"/>
    </row>
    <row r="670" spans="7:18" x14ac:dyDescent="0.3">
      <c r="G670" s="85"/>
      <c r="H670" s="86"/>
      <c r="I670" s="86"/>
      <c r="J670" s="87"/>
      <c r="K670" s="85"/>
      <c r="L670" s="85"/>
      <c r="P670" s="85"/>
      <c r="Q670" s="85"/>
      <c r="R670" s="81"/>
    </row>
    <row r="671" spans="7:18" x14ac:dyDescent="0.3">
      <c r="G671" s="85"/>
      <c r="H671" s="86"/>
      <c r="I671" s="86"/>
      <c r="J671" s="87"/>
      <c r="K671" s="85"/>
      <c r="L671" s="85"/>
      <c r="P671" s="85"/>
      <c r="Q671" s="85"/>
      <c r="R671" s="81"/>
    </row>
    <row r="672" spans="7:18" x14ac:dyDescent="0.3">
      <c r="G672" s="85"/>
      <c r="H672" s="86"/>
      <c r="I672" s="86"/>
      <c r="J672" s="87"/>
      <c r="K672" s="85"/>
      <c r="L672" s="85"/>
      <c r="P672" s="85"/>
      <c r="Q672" s="85"/>
      <c r="R672" s="81"/>
    </row>
    <row r="673" spans="7:18" x14ac:dyDescent="0.3">
      <c r="G673" s="85"/>
      <c r="H673" s="86"/>
      <c r="I673" s="86"/>
      <c r="J673" s="87"/>
      <c r="K673" s="85"/>
      <c r="L673" s="85"/>
      <c r="P673" s="85"/>
      <c r="Q673" s="85"/>
      <c r="R673" s="81"/>
    </row>
    <row r="674" spans="7:18" x14ac:dyDescent="0.3">
      <c r="G674" s="85"/>
      <c r="H674" s="86"/>
      <c r="I674" s="86"/>
      <c r="J674" s="87"/>
      <c r="K674" s="85"/>
      <c r="L674" s="85"/>
      <c r="P674" s="85"/>
      <c r="Q674" s="85"/>
      <c r="R674" s="81"/>
    </row>
    <row r="675" spans="7:18" x14ac:dyDescent="0.3">
      <c r="G675" s="85"/>
      <c r="H675" s="86"/>
      <c r="I675" s="86"/>
      <c r="J675" s="87"/>
      <c r="K675" s="85"/>
      <c r="L675" s="85"/>
      <c r="P675" s="85"/>
      <c r="Q675" s="85"/>
      <c r="R675" s="81"/>
    </row>
    <row r="676" spans="7:18" x14ac:dyDescent="0.3">
      <c r="G676" s="85"/>
      <c r="H676" s="86"/>
      <c r="I676" s="86"/>
      <c r="J676" s="87"/>
      <c r="K676" s="85"/>
      <c r="L676" s="85"/>
      <c r="P676" s="85"/>
      <c r="Q676" s="85"/>
      <c r="R676" s="81"/>
    </row>
    <row r="677" spans="7:18" x14ac:dyDescent="0.3">
      <c r="G677" s="85"/>
      <c r="H677" s="86"/>
      <c r="I677" s="86"/>
      <c r="J677" s="87"/>
      <c r="K677" s="85"/>
      <c r="L677" s="85"/>
      <c r="P677" s="85"/>
      <c r="Q677" s="85"/>
      <c r="R677" s="81"/>
    </row>
    <row r="678" spans="7:18" x14ac:dyDescent="0.3">
      <c r="G678" s="85"/>
      <c r="H678" s="86"/>
      <c r="I678" s="86"/>
      <c r="J678" s="87"/>
      <c r="K678" s="85"/>
      <c r="L678" s="85"/>
      <c r="P678" s="85"/>
      <c r="Q678" s="85"/>
      <c r="R678" s="81"/>
    </row>
    <row r="679" spans="7:18" x14ac:dyDescent="0.3">
      <c r="G679" s="85"/>
      <c r="H679" s="86"/>
      <c r="I679" s="86"/>
      <c r="J679" s="87"/>
      <c r="K679" s="85"/>
      <c r="L679" s="85"/>
      <c r="P679" s="85"/>
      <c r="Q679" s="85"/>
      <c r="R679" s="81"/>
    </row>
    <row r="680" spans="7:18" x14ac:dyDescent="0.3">
      <c r="G680" s="85"/>
      <c r="H680" s="86"/>
      <c r="I680" s="86"/>
      <c r="J680" s="87"/>
      <c r="K680" s="85"/>
      <c r="L680" s="85"/>
      <c r="P680" s="85"/>
      <c r="Q680" s="85"/>
      <c r="R680" s="81"/>
    </row>
    <row r="681" spans="7:18" x14ac:dyDescent="0.3">
      <c r="G681" s="85"/>
      <c r="H681" s="86"/>
      <c r="I681" s="86"/>
      <c r="J681" s="87"/>
      <c r="K681" s="85"/>
      <c r="L681" s="85"/>
      <c r="P681" s="85"/>
      <c r="Q681" s="85"/>
      <c r="R681" s="81"/>
    </row>
    <row r="682" spans="7:18" x14ac:dyDescent="0.3">
      <c r="G682" s="85"/>
      <c r="H682" s="86"/>
      <c r="I682" s="86"/>
      <c r="J682" s="87"/>
      <c r="K682" s="85"/>
      <c r="L682" s="85"/>
      <c r="P682" s="85"/>
      <c r="Q682" s="85"/>
      <c r="R682" s="81"/>
    </row>
    <row r="683" spans="7:18" x14ac:dyDescent="0.3">
      <c r="G683" s="85"/>
      <c r="H683" s="86"/>
      <c r="I683" s="86"/>
      <c r="J683" s="87"/>
      <c r="K683" s="85"/>
      <c r="L683" s="85"/>
      <c r="P683" s="85"/>
      <c r="Q683" s="85"/>
      <c r="R683" s="81"/>
    </row>
    <row r="684" spans="7:18" x14ac:dyDescent="0.3">
      <c r="G684" s="85"/>
      <c r="H684" s="86"/>
      <c r="I684" s="86"/>
      <c r="J684" s="87"/>
      <c r="K684" s="85"/>
      <c r="L684" s="85"/>
      <c r="P684" s="85"/>
      <c r="Q684" s="85"/>
      <c r="R684" s="81"/>
    </row>
    <row r="685" spans="7:18" x14ac:dyDescent="0.3">
      <c r="G685" s="85"/>
      <c r="H685" s="86"/>
      <c r="I685" s="86"/>
      <c r="J685" s="87"/>
      <c r="K685" s="85"/>
      <c r="L685" s="85"/>
      <c r="P685" s="85"/>
      <c r="Q685" s="85"/>
      <c r="R685" s="81"/>
    </row>
    <row r="686" spans="7:18" x14ac:dyDescent="0.3">
      <c r="G686" s="85"/>
      <c r="H686" s="86"/>
      <c r="I686" s="86"/>
      <c r="J686" s="87"/>
      <c r="K686" s="85"/>
      <c r="L686" s="85"/>
      <c r="P686" s="85"/>
      <c r="Q686" s="85"/>
      <c r="R686" s="81"/>
    </row>
    <row r="687" spans="7:18" x14ac:dyDescent="0.3">
      <c r="G687" s="85"/>
      <c r="H687" s="86"/>
      <c r="I687" s="86"/>
      <c r="J687" s="87"/>
      <c r="K687" s="85"/>
      <c r="L687" s="85"/>
      <c r="P687" s="85"/>
      <c r="Q687" s="85"/>
      <c r="R687" s="81"/>
    </row>
    <row r="688" spans="7:18" x14ac:dyDescent="0.3">
      <c r="G688" s="85"/>
      <c r="H688" s="86"/>
      <c r="I688" s="86"/>
      <c r="J688" s="87"/>
      <c r="K688" s="85"/>
      <c r="L688" s="85"/>
      <c r="P688" s="85"/>
      <c r="Q688" s="85"/>
      <c r="R688" s="81"/>
    </row>
    <row r="689" spans="7:18" x14ac:dyDescent="0.3">
      <c r="G689" s="85"/>
      <c r="H689" s="86"/>
      <c r="I689" s="86"/>
      <c r="J689" s="87"/>
      <c r="K689" s="85"/>
      <c r="L689" s="85"/>
      <c r="P689" s="85"/>
      <c r="Q689" s="85"/>
      <c r="R689" s="81"/>
    </row>
    <row r="690" spans="7:18" x14ac:dyDescent="0.3">
      <c r="G690" s="85"/>
      <c r="H690" s="86"/>
      <c r="I690" s="86"/>
      <c r="J690" s="87"/>
      <c r="K690" s="85"/>
      <c r="L690" s="85"/>
      <c r="P690" s="85"/>
      <c r="Q690" s="85"/>
      <c r="R690" s="81"/>
    </row>
    <row r="691" spans="7:18" x14ac:dyDescent="0.3">
      <c r="G691" s="85"/>
      <c r="H691" s="86"/>
      <c r="I691" s="86"/>
      <c r="J691" s="87"/>
      <c r="K691" s="85"/>
      <c r="L691" s="85"/>
      <c r="P691" s="85"/>
      <c r="Q691" s="85"/>
      <c r="R691" s="81"/>
    </row>
    <row r="692" spans="7:18" x14ac:dyDescent="0.3">
      <c r="G692" s="85"/>
      <c r="H692" s="86"/>
      <c r="I692" s="86"/>
      <c r="J692" s="87"/>
      <c r="K692" s="85"/>
      <c r="L692" s="85"/>
      <c r="P692" s="85"/>
      <c r="Q692" s="85"/>
      <c r="R692" s="81"/>
    </row>
    <row r="693" spans="7:18" x14ac:dyDescent="0.3">
      <c r="G693" s="85"/>
      <c r="H693" s="86"/>
      <c r="I693" s="86"/>
      <c r="J693" s="87"/>
      <c r="K693" s="85"/>
      <c r="L693" s="85"/>
      <c r="P693" s="85"/>
      <c r="Q693" s="85"/>
      <c r="R693" s="81"/>
    </row>
    <row r="694" spans="7:18" x14ac:dyDescent="0.3">
      <c r="G694" s="85"/>
      <c r="H694" s="86"/>
      <c r="I694" s="86"/>
      <c r="J694" s="87"/>
      <c r="K694" s="85"/>
      <c r="L694" s="85"/>
      <c r="P694" s="85"/>
      <c r="Q694" s="85"/>
      <c r="R694" s="81"/>
    </row>
    <row r="695" spans="7:18" x14ac:dyDescent="0.3">
      <c r="G695" s="85"/>
      <c r="H695" s="86"/>
      <c r="I695" s="86"/>
      <c r="J695" s="87"/>
      <c r="K695" s="85"/>
      <c r="L695" s="85"/>
      <c r="P695" s="85"/>
      <c r="Q695" s="85"/>
      <c r="R695" s="81"/>
    </row>
    <row r="696" spans="7:18" x14ac:dyDescent="0.3">
      <c r="G696" s="85"/>
      <c r="H696" s="86"/>
      <c r="I696" s="86"/>
      <c r="J696" s="87"/>
      <c r="K696" s="85"/>
      <c r="L696" s="85"/>
      <c r="P696" s="85"/>
      <c r="Q696" s="85"/>
      <c r="R696" s="81"/>
    </row>
    <row r="697" spans="7:18" x14ac:dyDescent="0.3">
      <c r="G697" s="85"/>
      <c r="H697" s="86"/>
      <c r="I697" s="86"/>
      <c r="J697" s="87"/>
      <c r="K697" s="85"/>
      <c r="L697" s="85"/>
      <c r="P697" s="85"/>
      <c r="Q697" s="85"/>
      <c r="R697" s="81"/>
    </row>
    <row r="698" spans="7:18" x14ac:dyDescent="0.3">
      <c r="G698" s="85"/>
      <c r="H698" s="86"/>
      <c r="I698" s="86"/>
      <c r="J698" s="87"/>
      <c r="K698" s="85"/>
      <c r="L698" s="85"/>
      <c r="P698" s="85"/>
      <c r="Q698" s="85"/>
      <c r="R698" s="81"/>
    </row>
    <row r="699" spans="7:18" x14ac:dyDescent="0.3">
      <c r="G699" s="85"/>
      <c r="H699" s="86"/>
      <c r="I699" s="86"/>
      <c r="J699" s="87"/>
      <c r="K699" s="85"/>
      <c r="L699" s="85"/>
      <c r="P699" s="85"/>
      <c r="Q699" s="85"/>
      <c r="R699" s="81"/>
    </row>
    <row r="700" spans="7:18" x14ac:dyDescent="0.3">
      <c r="G700" s="85"/>
      <c r="H700" s="86"/>
      <c r="I700" s="86"/>
      <c r="J700" s="87"/>
      <c r="K700" s="85"/>
      <c r="L700" s="85"/>
      <c r="P700" s="85"/>
      <c r="Q700" s="85"/>
      <c r="R700" s="81"/>
    </row>
    <row r="701" spans="7:18" x14ac:dyDescent="0.3">
      <c r="G701" s="85"/>
      <c r="H701" s="86"/>
      <c r="I701" s="86"/>
      <c r="J701" s="87"/>
      <c r="K701" s="85"/>
      <c r="L701" s="85"/>
      <c r="P701" s="85"/>
      <c r="Q701" s="85"/>
      <c r="R701" s="81"/>
    </row>
    <row r="702" spans="7:18" x14ac:dyDescent="0.3">
      <c r="G702" s="85"/>
      <c r="H702" s="86"/>
      <c r="I702" s="86"/>
      <c r="J702" s="87"/>
      <c r="K702" s="85"/>
      <c r="L702" s="85"/>
      <c r="P702" s="85"/>
      <c r="Q702" s="85"/>
      <c r="R702" s="81"/>
    </row>
    <row r="703" spans="7:18" x14ac:dyDescent="0.3">
      <c r="G703" s="85"/>
      <c r="H703" s="86"/>
      <c r="I703" s="86"/>
      <c r="J703" s="87"/>
      <c r="K703" s="85"/>
      <c r="L703" s="85"/>
      <c r="P703" s="85"/>
      <c r="Q703" s="85"/>
      <c r="R703" s="81"/>
    </row>
    <row r="704" spans="7:18" x14ac:dyDescent="0.3">
      <c r="G704" s="85"/>
      <c r="H704" s="86"/>
      <c r="I704" s="86"/>
      <c r="J704" s="87"/>
      <c r="K704" s="85"/>
      <c r="L704" s="85"/>
      <c r="P704" s="85"/>
      <c r="Q704" s="85"/>
      <c r="R704" s="81"/>
    </row>
    <row r="705" spans="7:18" x14ac:dyDescent="0.3">
      <c r="G705" s="85"/>
      <c r="H705" s="86"/>
      <c r="I705" s="86"/>
      <c r="J705" s="87"/>
      <c r="K705" s="85"/>
      <c r="L705" s="85"/>
      <c r="P705" s="85"/>
      <c r="Q705" s="85"/>
      <c r="R705" s="81"/>
    </row>
    <row r="706" spans="7:18" x14ac:dyDescent="0.3">
      <c r="G706" s="85"/>
      <c r="H706" s="86"/>
      <c r="I706" s="86"/>
      <c r="J706" s="87"/>
      <c r="K706" s="85"/>
      <c r="L706" s="85"/>
      <c r="P706" s="85"/>
      <c r="Q706" s="85"/>
      <c r="R706" s="81"/>
    </row>
    <row r="707" spans="7:18" x14ac:dyDescent="0.3">
      <c r="G707" s="85"/>
      <c r="H707" s="86"/>
      <c r="I707" s="86"/>
      <c r="J707" s="87"/>
      <c r="K707" s="85"/>
      <c r="L707" s="85"/>
      <c r="P707" s="85"/>
      <c r="Q707" s="85"/>
      <c r="R707" s="81"/>
    </row>
    <row r="708" spans="7:18" x14ac:dyDescent="0.3">
      <c r="G708" s="85"/>
      <c r="H708" s="86"/>
      <c r="I708" s="86"/>
      <c r="J708" s="87"/>
      <c r="K708" s="85"/>
      <c r="L708" s="85"/>
      <c r="P708" s="85"/>
      <c r="Q708" s="85"/>
      <c r="R708" s="81"/>
    </row>
    <row r="709" spans="7:18" x14ac:dyDescent="0.3">
      <c r="G709" s="85"/>
      <c r="H709" s="86"/>
      <c r="I709" s="86"/>
      <c r="J709" s="87"/>
      <c r="K709" s="85"/>
      <c r="L709" s="85"/>
      <c r="P709" s="85"/>
      <c r="Q709" s="85"/>
      <c r="R709" s="81"/>
    </row>
    <row r="710" spans="7:18" x14ac:dyDescent="0.3">
      <c r="G710" s="85"/>
      <c r="H710" s="86"/>
      <c r="I710" s="86"/>
      <c r="J710" s="87"/>
      <c r="K710" s="85"/>
      <c r="L710" s="85"/>
      <c r="P710" s="85"/>
      <c r="Q710" s="85"/>
      <c r="R710" s="81"/>
    </row>
    <row r="711" spans="7:18" x14ac:dyDescent="0.3">
      <c r="G711" s="85"/>
      <c r="H711" s="86"/>
      <c r="I711" s="86"/>
      <c r="J711" s="87"/>
      <c r="K711" s="85"/>
      <c r="L711" s="85"/>
      <c r="P711" s="85"/>
      <c r="Q711" s="85"/>
      <c r="R711" s="81"/>
    </row>
    <row r="712" spans="7:18" x14ac:dyDescent="0.3">
      <c r="G712" s="85"/>
      <c r="H712" s="86"/>
      <c r="I712" s="86"/>
      <c r="J712" s="87"/>
      <c r="K712" s="85"/>
      <c r="L712" s="85"/>
      <c r="P712" s="85"/>
      <c r="Q712" s="85"/>
      <c r="R712" s="81"/>
    </row>
    <row r="713" spans="7:18" x14ac:dyDescent="0.3">
      <c r="G713" s="85"/>
      <c r="H713" s="86"/>
      <c r="I713" s="86"/>
      <c r="J713" s="87"/>
      <c r="K713" s="85"/>
      <c r="L713" s="85"/>
      <c r="P713" s="85"/>
      <c r="Q713" s="85"/>
      <c r="R713" s="81"/>
    </row>
    <row r="714" spans="7:18" x14ac:dyDescent="0.3">
      <c r="G714" s="85"/>
      <c r="H714" s="86"/>
      <c r="I714" s="86"/>
      <c r="J714" s="87"/>
      <c r="K714" s="85"/>
      <c r="L714" s="85"/>
      <c r="P714" s="85"/>
      <c r="Q714" s="85"/>
      <c r="R714" s="81"/>
    </row>
    <row r="715" spans="7:18" x14ac:dyDescent="0.3">
      <c r="G715" s="85"/>
      <c r="H715" s="86"/>
      <c r="I715" s="86"/>
      <c r="J715" s="87"/>
      <c r="K715" s="85"/>
      <c r="L715" s="85"/>
      <c r="P715" s="85"/>
      <c r="Q715" s="85"/>
      <c r="R715" s="81"/>
    </row>
    <row r="716" spans="7:18" x14ac:dyDescent="0.3">
      <c r="G716" s="85"/>
      <c r="H716" s="86"/>
      <c r="I716" s="86"/>
      <c r="J716" s="87"/>
      <c r="K716" s="85"/>
      <c r="L716" s="85"/>
      <c r="P716" s="85"/>
      <c r="Q716" s="85"/>
      <c r="R716" s="81"/>
    </row>
    <row r="717" spans="7:18" x14ac:dyDescent="0.3">
      <c r="G717" s="85"/>
      <c r="H717" s="86"/>
      <c r="I717" s="86"/>
      <c r="J717" s="87"/>
      <c r="K717" s="85"/>
      <c r="L717" s="85"/>
      <c r="P717" s="85"/>
      <c r="Q717" s="85"/>
      <c r="R717" s="81"/>
    </row>
    <row r="718" spans="7:18" x14ac:dyDescent="0.3">
      <c r="G718" s="85"/>
      <c r="H718" s="86"/>
      <c r="I718" s="86"/>
      <c r="J718" s="87"/>
      <c r="K718" s="85"/>
      <c r="L718" s="85"/>
      <c r="P718" s="85"/>
      <c r="Q718" s="85"/>
      <c r="R718" s="81"/>
    </row>
    <row r="719" spans="7:18" x14ac:dyDescent="0.3">
      <c r="G719" s="85"/>
      <c r="H719" s="86"/>
      <c r="I719" s="86"/>
      <c r="J719" s="87"/>
      <c r="K719" s="85"/>
      <c r="L719" s="85"/>
      <c r="P719" s="85"/>
      <c r="Q719" s="85"/>
      <c r="R719" s="81"/>
    </row>
    <row r="720" spans="7:18" x14ac:dyDescent="0.3">
      <c r="G720" s="85"/>
      <c r="H720" s="86"/>
      <c r="I720" s="86"/>
      <c r="J720" s="87"/>
      <c r="K720" s="85"/>
      <c r="L720" s="85"/>
      <c r="P720" s="85"/>
      <c r="Q720" s="85"/>
      <c r="R720" s="81"/>
    </row>
    <row r="721" spans="7:18" x14ac:dyDescent="0.3">
      <c r="G721" s="85"/>
      <c r="H721" s="86"/>
      <c r="I721" s="86"/>
      <c r="J721" s="87"/>
      <c r="K721" s="85"/>
      <c r="L721" s="85"/>
      <c r="P721" s="85"/>
      <c r="Q721" s="85"/>
      <c r="R721" s="81"/>
    </row>
    <row r="722" spans="7:18" x14ac:dyDescent="0.3">
      <c r="G722" s="85"/>
      <c r="H722" s="86"/>
      <c r="I722" s="86"/>
      <c r="J722" s="87"/>
      <c r="K722" s="85"/>
      <c r="L722" s="85"/>
      <c r="P722" s="85"/>
      <c r="Q722" s="85"/>
      <c r="R722" s="81"/>
    </row>
    <row r="723" spans="7:18" x14ac:dyDescent="0.3">
      <c r="G723" s="85"/>
      <c r="H723" s="86"/>
      <c r="I723" s="86"/>
      <c r="J723" s="87"/>
      <c r="K723" s="85"/>
      <c r="L723" s="85"/>
      <c r="P723" s="85"/>
      <c r="Q723" s="85"/>
      <c r="R723" s="81"/>
    </row>
    <row r="724" spans="7:18" x14ac:dyDescent="0.3">
      <c r="G724" s="85"/>
      <c r="H724" s="86"/>
      <c r="I724" s="86"/>
      <c r="J724" s="87"/>
      <c r="K724" s="85"/>
      <c r="L724" s="85"/>
      <c r="P724" s="85"/>
      <c r="Q724" s="85"/>
      <c r="R724" s="81"/>
    </row>
    <row r="725" spans="7:18" x14ac:dyDescent="0.3">
      <c r="G725" s="85"/>
      <c r="H725" s="86"/>
      <c r="I725" s="86"/>
      <c r="J725" s="87"/>
      <c r="K725" s="85"/>
      <c r="L725" s="85"/>
      <c r="P725" s="85"/>
      <c r="Q725" s="85"/>
      <c r="R725" s="81"/>
    </row>
    <row r="726" spans="7:18" x14ac:dyDescent="0.3">
      <c r="G726" s="85"/>
      <c r="H726" s="86"/>
      <c r="I726" s="86"/>
      <c r="J726" s="87"/>
      <c r="K726" s="85"/>
      <c r="L726" s="85"/>
      <c r="P726" s="85"/>
      <c r="Q726" s="85"/>
      <c r="R726" s="81"/>
    </row>
    <row r="727" spans="7:18" x14ac:dyDescent="0.3">
      <c r="G727" s="85"/>
      <c r="H727" s="86"/>
      <c r="I727" s="86"/>
      <c r="J727" s="87"/>
      <c r="K727" s="85"/>
      <c r="L727" s="85"/>
      <c r="P727" s="85"/>
      <c r="Q727" s="85"/>
      <c r="R727" s="81"/>
    </row>
    <row r="728" spans="7:18" x14ac:dyDescent="0.3">
      <c r="G728" s="85"/>
      <c r="H728" s="86"/>
      <c r="I728" s="86"/>
      <c r="J728" s="87"/>
      <c r="K728" s="85"/>
      <c r="L728" s="85"/>
      <c r="P728" s="85"/>
      <c r="Q728" s="85"/>
      <c r="R728" s="81"/>
    </row>
    <row r="729" spans="7:18" x14ac:dyDescent="0.3">
      <c r="G729" s="85"/>
      <c r="H729" s="86"/>
      <c r="I729" s="86"/>
      <c r="J729" s="87"/>
      <c r="K729" s="85"/>
      <c r="L729" s="85"/>
      <c r="P729" s="85"/>
      <c r="Q729" s="85"/>
      <c r="R729" s="81"/>
    </row>
    <row r="730" spans="7:18" x14ac:dyDescent="0.3">
      <c r="G730" s="85"/>
      <c r="H730" s="86"/>
      <c r="I730" s="86"/>
      <c r="J730" s="87"/>
      <c r="K730" s="85"/>
      <c r="L730" s="85"/>
      <c r="P730" s="85"/>
      <c r="Q730" s="85"/>
      <c r="R730" s="81"/>
    </row>
    <row r="731" spans="7:18" x14ac:dyDescent="0.3">
      <c r="G731" s="85"/>
      <c r="H731" s="86"/>
      <c r="I731" s="86"/>
      <c r="J731" s="87"/>
      <c r="K731" s="85"/>
      <c r="L731" s="85"/>
      <c r="P731" s="85"/>
      <c r="Q731" s="85"/>
      <c r="R731" s="81"/>
    </row>
    <row r="732" spans="7:18" x14ac:dyDescent="0.3">
      <c r="G732" s="85"/>
      <c r="H732" s="86"/>
      <c r="I732" s="86"/>
      <c r="J732" s="87"/>
      <c r="K732" s="85"/>
      <c r="L732" s="85"/>
      <c r="P732" s="85"/>
      <c r="Q732" s="85"/>
      <c r="R732" s="81"/>
    </row>
    <row r="733" spans="7:18" x14ac:dyDescent="0.3">
      <c r="G733" s="85"/>
      <c r="H733" s="86"/>
      <c r="I733" s="86"/>
      <c r="J733" s="87"/>
      <c r="K733" s="85"/>
      <c r="L733" s="85"/>
      <c r="P733" s="85"/>
      <c r="Q733" s="85"/>
      <c r="R733" s="81"/>
    </row>
    <row r="734" spans="7:18" x14ac:dyDescent="0.3">
      <c r="G734" s="85"/>
      <c r="H734" s="86"/>
      <c r="I734" s="86"/>
      <c r="J734" s="87"/>
      <c r="K734" s="85"/>
      <c r="L734" s="85"/>
      <c r="P734" s="85"/>
      <c r="Q734" s="85"/>
      <c r="R734" s="81"/>
    </row>
    <row r="735" spans="7:18" x14ac:dyDescent="0.3">
      <c r="G735" s="85"/>
      <c r="H735" s="86"/>
      <c r="I735" s="86"/>
      <c r="J735" s="87"/>
      <c r="K735" s="85"/>
      <c r="L735" s="85"/>
      <c r="P735" s="85"/>
      <c r="Q735" s="85"/>
      <c r="R735" s="81"/>
    </row>
    <row r="736" spans="7:18" x14ac:dyDescent="0.3">
      <c r="G736" s="85"/>
      <c r="H736" s="86"/>
      <c r="I736" s="86"/>
      <c r="J736" s="87"/>
      <c r="K736" s="85"/>
      <c r="L736" s="85"/>
      <c r="P736" s="85"/>
      <c r="Q736" s="85"/>
      <c r="R736" s="81"/>
    </row>
    <row r="737" spans="7:18" x14ac:dyDescent="0.3">
      <c r="G737" s="85"/>
      <c r="H737" s="86"/>
      <c r="I737" s="86"/>
      <c r="J737" s="87"/>
      <c r="K737" s="85"/>
      <c r="L737" s="85"/>
      <c r="P737" s="85"/>
      <c r="Q737" s="85"/>
      <c r="R737" s="81"/>
    </row>
    <row r="738" spans="7:18" x14ac:dyDescent="0.3">
      <c r="G738" s="85"/>
      <c r="H738" s="86"/>
      <c r="I738" s="86"/>
      <c r="J738" s="87"/>
      <c r="K738" s="85"/>
      <c r="L738" s="85"/>
      <c r="P738" s="85"/>
      <c r="Q738" s="85"/>
      <c r="R738" s="81"/>
    </row>
    <row r="739" spans="7:18" x14ac:dyDescent="0.3">
      <c r="G739" s="85"/>
      <c r="H739" s="86"/>
      <c r="I739" s="86"/>
      <c r="J739" s="87"/>
      <c r="K739" s="85"/>
      <c r="L739" s="85"/>
      <c r="P739" s="85"/>
      <c r="Q739" s="85"/>
      <c r="R739" s="81"/>
    </row>
    <row r="740" spans="7:18" x14ac:dyDescent="0.3">
      <c r="G740" s="85"/>
      <c r="H740" s="86"/>
      <c r="I740" s="86"/>
      <c r="J740" s="87"/>
      <c r="K740" s="85"/>
      <c r="L740" s="85"/>
      <c r="P740" s="85"/>
      <c r="Q740" s="85"/>
      <c r="R740" s="81"/>
    </row>
    <row r="741" spans="7:18" x14ac:dyDescent="0.3">
      <c r="G741" s="85"/>
      <c r="H741" s="86"/>
      <c r="I741" s="86"/>
      <c r="J741" s="87"/>
      <c r="K741" s="85"/>
      <c r="L741" s="85"/>
      <c r="P741" s="85"/>
      <c r="Q741" s="85"/>
      <c r="R741" s="81"/>
    </row>
    <row r="742" spans="7:18" x14ac:dyDescent="0.3">
      <c r="G742" s="85"/>
      <c r="H742" s="86"/>
      <c r="I742" s="86"/>
      <c r="J742" s="87"/>
      <c r="K742" s="85"/>
      <c r="L742" s="85"/>
      <c r="P742" s="85"/>
      <c r="Q742" s="85"/>
      <c r="R742" s="81"/>
    </row>
    <row r="743" spans="7:18" x14ac:dyDescent="0.3">
      <c r="G743" s="85"/>
      <c r="H743" s="86"/>
      <c r="I743" s="86"/>
      <c r="J743" s="87"/>
      <c r="K743" s="85"/>
      <c r="L743" s="85"/>
      <c r="P743" s="85"/>
      <c r="Q743" s="85"/>
      <c r="R743" s="81"/>
    </row>
    <row r="744" spans="7:18" x14ac:dyDescent="0.3">
      <c r="G744" s="85"/>
      <c r="H744" s="86"/>
      <c r="I744" s="86"/>
      <c r="J744" s="87"/>
      <c r="K744" s="85"/>
      <c r="L744" s="85"/>
      <c r="P744" s="85"/>
      <c r="Q744" s="85"/>
      <c r="R744" s="81"/>
    </row>
    <row r="745" spans="7:18" x14ac:dyDescent="0.3">
      <c r="G745" s="85"/>
      <c r="H745" s="86"/>
      <c r="I745" s="86"/>
      <c r="J745" s="87"/>
      <c r="K745" s="85"/>
      <c r="L745" s="85"/>
      <c r="P745" s="85"/>
      <c r="Q745" s="85"/>
      <c r="R745" s="81"/>
    </row>
    <row r="746" spans="7:18" x14ac:dyDescent="0.3">
      <c r="G746" s="85"/>
      <c r="H746" s="86"/>
      <c r="I746" s="86"/>
      <c r="J746" s="87"/>
      <c r="K746" s="85"/>
      <c r="L746" s="85"/>
      <c r="P746" s="85"/>
      <c r="Q746" s="85"/>
      <c r="R746" s="81"/>
    </row>
    <row r="747" spans="7:18" x14ac:dyDescent="0.3">
      <c r="G747" s="85"/>
      <c r="H747" s="86"/>
      <c r="I747" s="86"/>
      <c r="J747" s="87"/>
      <c r="K747" s="85"/>
      <c r="L747" s="85"/>
      <c r="P747" s="85"/>
      <c r="Q747" s="85"/>
      <c r="R747" s="81"/>
    </row>
    <row r="748" spans="7:18" x14ac:dyDescent="0.3">
      <c r="G748" s="85"/>
      <c r="H748" s="86"/>
      <c r="I748" s="86"/>
      <c r="J748" s="87"/>
      <c r="K748" s="85"/>
      <c r="L748" s="85"/>
      <c r="P748" s="85"/>
      <c r="Q748" s="85"/>
      <c r="R748" s="81"/>
    </row>
    <row r="749" spans="7:18" x14ac:dyDescent="0.3">
      <c r="G749" s="85"/>
      <c r="H749" s="86"/>
      <c r="I749" s="86"/>
      <c r="J749" s="87"/>
      <c r="K749" s="85"/>
      <c r="L749" s="85"/>
      <c r="P749" s="85"/>
      <c r="Q749" s="85"/>
      <c r="R749" s="81"/>
    </row>
    <row r="750" spans="7:18" x14ac:dyDescent="0.3">
      <c r="G750" s="85"/>
      <c r="H750" s="86"/>
      <c r="I750" s="86"/>
      <c r="J750" s="87"/>
      <c r="K750" s="85"/>
      <c r="L750" s="85"/>
      <c r="P750" s="85"/>
      <c r="Q750" s="85"/>
      <c r="R750" s="81"/>
    </row>
    <row r="751" spans="7:18" x14ac:dyDescent="0.3">
      <c r="G751" s="85"/>
      <c r="H751" s="86"/>
      <c r="I751" s="86"/>
      <c r="J751" s="87"/>
      <c r="K751" s="85"/>
      <c r="L751" s="85"/>
      <c r="P751" s="85"/>
      <c r="Q751" s="85"/>
      <c r="R751" s="81"/>
    </row>
    <row r="752" spans="7:18" x14ac:dyDescent="0.3">
      <c r="G752" s="85"/>
      <c r="H752" s="86"/>
      <c r="I752" s="86"/>
      <c r="J752" s="87"/>
      <c r="K752" s="85"/>
      <c r="L752" s="85"/>
      <c r="P752" s="85"/>
      <c r="Q752" s="85"/>
      <c r="R752" s="81"/>
    </row>
    <row r="753" spans="7:18" x14ac:dyDescent="0.3">
      <c r="G753" s="85"/>
      <c r="H753" s="86"/>
      <c r="I753" s="86"/>
      <c r="J753" s="87"/>
      <c r="K753" s="85"/>
      <c r="L753" s="85"/>
      <c r="P753" s="85"/>
      <c r="Q753" s="85"/>
      <c r="R753" s="81"/>
    </row>
    <row r="754" spans="7:18" x14ac:dyDescent="0.3">
      <c r="G754" s="85"/>
      <c r="H754" s="86"/>
      <c r="I754" s="86"/>
      <c r="J754" s="87"/>
      <c r="K754" s="85"/>
      <c r="L754" s="85"/>
      <c r="P754" s="85"/>
      <c r="Q754" s="85"/>
      <c r="R754" s="81"/>
    </row>
    <row r="755" spans="7:18" x14ac:dyDescent="0.3">
      <c r="G755" s="85"/>
      <c r="H755" s="86"/>
      <c r="I755" s="86"/>
      <c r="J755" s="87"/>
      <c r="K755" s="85"/>
      <c r="L755" s="85"/>
      <c r="P755" s="85"/>
      <c r="Q755" s="85"/>
      <c r="R755" s="81"/>
    </row>
    <row r="756" spans="7:18" x14ac:dyDescent="0.3">
      <c r="G756" s="85"/>
      <c r="H756" s="86"/>
      <c r="I756" s="86"/>
      <c r="J756" s="87"/>
      <c r="K756" s="85"/>
      <c r="L756" s="85"/>
      <c r="P756" s="85"/>
      <c r="Q756" s="85"/>
      <c r="R756" s="81"/>
    </row>
    <row r="757" spans="7:18" x14ac:dyDescent="0.3">
      <c r="G757" s="85"/>
      <c r="H757" s="86"/>
      <c r="I757" s="86"/>
      <c r="J757" s="87"/>
      <c r="K757" s="85"/>
      <c r="L757" s="85"/>
      <c r="P757" s="85"/>
      <c r="Q757" s="85"/>
      <c r="R757" s="81"/>
    </row>
    <row r="758" spans="7:18" x14ac:dyDescent="0.3">
      <c r="G758" s="85"/>
      <c r="H758" s="86"/>
      <c r="I758" s="86"/>
      <c r="J758" s="87"/>
      <c r="K758" s="85"/>
      <c r="L758" s="85"/>
      <c r="P758" s="85"/>
      <c r="Q758" s="85"/>
      <c r="R758" s="81"/>
    </row>
    <row r="759" spans="7:18" x14ac:dyDescent="0.3">
      <c r="G759" s="85"/>
      <c r="H759" s="86"/>
      <c r="I759" s="86"/>
      <c r="J759" s="87"/>
      <c r="K759" s="85"/>
      <c r="L759" s="85"/>
      <c r="P759" s="85"/>
      <c r="Q759" s="85"/>
      <c r="R759" s="81"/>
    </row>
    <row r="760" spans="7:18" x14ac:dyDescent="0.3">
      <c r="G760" s="85"/>
      <c r="H760" s="86"/>
      <c r="I760" s="86"/>
      <c r="J760" s="87"/>
      <c r="K760" s="85"/>
      <c r="L760" s="85"/>
      <c r="P760" s="85"/>
      <c r="Q760" s="85"/>
      <c r="R760" s="81"/>
    </row>
    <row r="761" spans="7:18" x14ac:dyDescent="0.3">
      <c r="G761" s="85"/>
      <c r="H761" s="86"/>
      <c r="I761" s="86"/>
      <c r="J761" s="87"/>
      <c r="K761" s="85"/>
      <c r="L761" s="85"/>
      <c r="P761" s="85"/>
      <c r="Q761" s="85"/>
      <c r="R761" s="81"/>
    </row>
    <row r="762" spans="7:18" x14ac:dyDescent="0.3">
      <c r="G762" s="85"/>
      <c r="H762" s="86"/>
      <c r="I762" s="86"/>
      <c r="J762" s="87"/>
      <c r="K762" s="85"/>
      <c r="L762" s="85"/>
      <c r="P762" s="85"/>
      <c r="Q762" s="85"/>
      <c r="R762" s="81"/>
    </row>
    <row r="763" spans="7:18" x14ac:dyDescent="0.3">
      <c r="G763" s="85"/>
      <c r="H763" s="86"/>
      <c r="I763" s="86"/>
      <c r="J763" s="87"/>
      <c r="K763" s="85"/>
      <c r="L763" s="85"/>
      <c r="P763" s="85"/>
      <c r="Q763" s="85"/>
      <c r="R763" s="81"/>
    </row>
    <row r="764" spans="7:18" x14ac:dyDescent="0.3">
      <c r="G764" s="85"/>
      <c r="H764" s="86"/>
      <c r="I764" s="86"/>
      <c r="J764" s="87"/>
      <c r="K764" s="85"/>
      <c r="L764" s="85"/>
      <c r="P764" s="85"/>
      <c r="Q764" s="85"/>
      <c r="R764" s="81"/>
    </row>
    <row r="765" spans="7:18" x14ac:dyDescent="0.3">
      <c r="G765" s="85"/>
      <c r="H765" s="86"/>
      <c r="I765" s="86"/>
      <c r="J765" s="87"/>
      <c r="K765" s="85"/>
      <c r="L765" s="85"/>
      <c r="P765" s="85"/>
      <c r="Q765" s="85"/>
      <c r="R765" s="81"/>
    </row>
    <row r="766" spans="7:18" x14ac:dyDescent="0.3">
      <c r="G766" s="85"/>
      <c r="H766" s="86"/>
      <c r="I766" s="86"/>
      <c r="J766" s="87"/>
      <c r="K766" s="85"/>
      <c r="L766" s="85"/>
      <c r="P766" s="85"/>
      <c r="Q766" s="85"/>
      <c r="R766" s="81"/>
    </row>
    <row r="767" spans="7:18" x14ac:dyDescent="0.3">
      <c r="G767" s="85"/>
      <c r="H767" s="86"/>
      <c r="I767" s="86"/>
      <c r="J767" s="87"/>
      <c r="K767" s="85"/>
      <c r="L767" s="85"/>
      <c r="P767" s="85"/>
      <c r="Q767" s="85"/>
      <c r="R767" s="81"/>
    </row>
    <row r="768" spans="7:18" x14ac:dyDescent="0.3">
      <c r="G768" s="85"/>
      <c r="H768" s="86"/>
      <c r="I768" s="86"/>
      <c r="J768" s="87"/>
      <c r="K768" s="85"/>
      <c r="L768" s="85"/>
      <c r="P768" s="85"/>
      <c r="Q768" s="85"/>
      <c r="R768" s="81"/>
    </row>
    <row r="769" spans="7:18" x14ac:dyDescent="0.3">
      <c r="G769" s="85"/>
      <c r="H769" s="86"/>
      <c r="I769" s="86"/>
      <c r="J769" s="87"/>
      <c r="K769" s="85"/>
      <c r="L769" s="85"/>
      <c r="P769" s="85"/>
      <c r="Q769" s="85"/>
      <c r="R769" s="81"/>
    </row>
    <row r="770" spans="7:18" x14ac:dyDescent="0.3">
      <c r="G770" s="85"/>
      <c r="H770" s="86"/>
      <c r="I770" s="86"/>
      <c r="J770" s="87"/>
      <c r="K770" s="85"/>
      <c r="L770" s="85"/>
      <c r="P770" s="85"/>
      <c r="Q770" s="85"/>
      <c r="R770" s="81"/>
    </row>
    <row r="771" spans="7:18" x14ac:dyDescent="0.3">
      <c r="G771" s="85"/>
      <c r="H771" s="86"/>
      <c r="I771" s="86"/>
      <c r="J771" s="87"/>
      <c r="K771" s="85"/>
      <c r="L771" s="85"/>
      <c r="P771" s="85"/>
      <c r="Q771" s="85"/>
      <c r="R771" s="81"/>
    </row>
    <row r="772" spans="7:18" x14ac:dyDescent="0.3">
      <c r="G772" s="85"/>
      <c r="H772" s="86"/>
      <c r="I772" s="86"/>
      <c r="J772" s="87"/>
      <c r="K772" s="85"/>
      <c r="L772" s="85"/>
      <c r="P772" s="85"/>
      <c r="Q772" s="85"/>
      <c r="R772" s="81"/>
    </row>
    <row r="773" spans="7:18" x14ac:dyDescent="0.3">
      <c r="G773" s="85"/>
      <c r="H773" s="86"/>
      <c r="I773" s="86"/>
      <c r="J773" s="87"/>
      <c r="K773" s="85"/>
      <c r="L773" s="85"/>
      <c r="P773" s="85"/>
      <c r="Q773" s="85"/>
      <c r="R773" s="81"/>
    </row>
    <row r="774" spans="7:18" x14ac:dyDescent="0.3">
      <c r="G774" s="85"/>
      <c r="H774" s="86"/>
      <c r="I774" s="86"/>
      <c r="J774" s="87"/>
      <c r="K774" s="85"/>
      <c r="L774" s="85"/>
      <c r="P774" s="85"/>
      <c r="Q774" s="85"/>
      <c r="R774" s="81"/>
    </row>
    <row r="775" spans="7:18" x14ac:dyDescent="0.3">
      <c r="G775" s="85"/>
      <c r="H775" s="86"/>
      <c r="I775" s="86"/>
      <c r="J775" s="87"/>
      <c r="K775" s="85"/>
      <c r="L775" s="85"/>
      <c r="P775" s="85"/>
      <c r="Q775" s="85"/>
      <c r="R775" s="81"/>
    </row>
    <row r="776" spans="7:18" x14ac:dyDescent="0.3">
      <c r="G776" s="85"/>
      <c r="H776" s="86"/>
      <c r="I776" s="86"/>
      <c r="J776" s="87"/>
      <c r="K776" s="85"/>
      <c r="L776" s="85"/>
      <c r="P776" s="85"/>
      <c r="Q776" s="85"/>
      <c r="R776" s="81"/>
    </row>
    <row r="777" spans="7:18" x14ac:dyDescent="0.3">
      <c r="G777" s="85"/>
      <c r="H777" s="86"/>
      <c r="I777" s="86"/>
      <c r="J777" s="87"/>
      <c r="K777" s="85"/>
      <c r="L777" s="85"/>
      <c r="P777" s="85"/>
      <c r="Q777" s="85"/>
      <c r="R777" s="81"/>
    </row>
    <row r="778" spans="7:18" x14ac:dyDescent="0.3">
      <c r="G778" s="85"/>
      <c r="H778" s="86"/>
      <c r="I778" s="86"/>
      <c r="J778" s="87"/>
      <c r="K778" s="85"/>
      <c r="L778" s="85"/>
      <c r="P778" s="85"/>
      <c r="Q778" s="85"/>
      <c r="R778" s="81"/>
    </row>
    <row r="779" spans="7:18" x14ac:dyDescent="0.3">
      <c r="G779" s="85"/>
      <c r="H779" s="86"/>
      <c r="I779" s="86"/>
      <c r="J779" s="87"/>
      <c r="K779" s="85"/>
      <c r="L779" s="85"/>
      <c r="P779" s="85"/>
      <c r="Q779" s="85"/>
      <c r="R779" s="81"/>
    </row>
    <row r="780" spans="7:18" x14ac:dyDescent="0.3">
      <c r="G780" s="85"/>
      <c r="H780" s="86"/>
      <c r="I780" s="86"/>
      <c r="J780" s="87"/>
      <c r="K780" s="85"/>
      <c r="L780" s="85"/>
      <c r="P780" s="85"/>
      <c r="Q780" s="85"/>
      <c r="R780" s="81"/>
    </row>
    <row r="781" spans="7:18" x14ac:dyDescent="0.3">
      <c r="G781" s="85"/>
      <c r="H781" s="86"/>
      <c r="I781" s="86"/>
      <c r="J781" s="87"/>
      <c r="K781" s="85"/>
      <c r="L781" s="85"/>
      <c r="P781" s="85"/>
      <c r="Q781" s="85"/>
      <c r="R781" s="81"/>
    </row>
    <row r="782" spans="7:18" x14ac:dyDescent="0.3">
      <c r="G782" s="85"/>
      <c r="H782" s="86"/>
      <c r="I782" s="86"/>
      <c r="J782" s="87"/>
      <c r="K782" s="85"/>
      <c r="L782" s="85"/>
      <c r="P782" s="85"/>
      <c r="Q782" s="85"/>
      <c r="R782" s="81"/>
    </row>
    <row r="783" spans="7:18" x14ac:dyDescent="0.3">
      <c r="G783" s="85"/>
      <c r="H783" s="86"/>
      <c r="I783" s="86"/>
      <c r="J783" s="87"/>
      <c r="K783" s="85"/>
      <c r="L783" s="85"/>
      <c r="P783" s="85"/>
      <c r="Q783" s="85"/>
      <c r="R783" s="81"/>
    </row>
    <row r="784" spans="7:18" x14ac:dyDescent="0.3">
      <c r="G784" s="85"/>
      <c r="H784" s="86"/>
      <c r="I784" s="86"/>
      <c r="J784" s="87"/>
      <c r="K784" s="85"/>
      <c r="L784" s="85"/>
      <c r="P784" s="85"/>
      <c r="Q784" s="85"/>
      <c r="R784" s="81"/>
    </row>
    <row r="785" spans="7:18" x14ac:dyDescent="0.3">
      <c r="G785" s="85"/>
      <c r="H785" s="86"/>
      <c r="I785" s="86"/>
      <c r="J785" s="87"/>
      <c r="K785" s="85"/>
      <c r="L785" s="85"/>
      <c r="P785" s="85"/>
      <c r="Q785" s="85"/>
      <c r="R785" s="81"/>
    </row>
    <row r="786" spans="7:18" x14ac:dyDescent="0.3">
      <c r="G786" s="85"/>
      <c r="H786" s="86"/>
      <c r="I786" s="86"/>
      <c r="J786" s="87"/>
      <c r="K786" s="85"/>
      <c r="L786" s="85"/>
      <c r="P786" s="85"/>
      <c r="Q786" s="85"/>
      <c r="R786" s="81"/>
    </row>
    <row r="787" spans="7:18" x14ac:dyDescent="0.3">
      <c r="G787" s="85"/>
      <c r="H787" s="86"/>
      <c r="I787" s="86"/>
      <c r="J787" s="87"/>
      <c r="K787" s="85"/>
      <c r="L787" s="85"/>
      <c r="P787" s="85"/>
      <c r="Q787" s="85"/>
      <c r="R787" s="81"/>
    </row>
    <row r="788" spans="7:18" x14ac:dyDescent="0.3">
      <c r="G788" s="85"/>
      <c r="H788" s="86"/>
      <c r="I788" s="86"/>
      <c r="J788" s="87"/>
      <c r="K788" s="85"/>
      <c r="L788" s="85"/>
      <c r="P788" s="85"/>
      <c r="Q788" s="85"/>
      <c r="R788" s="81"/>
    </row>
    <row r="789" spans="7:18" x14ac:dyDescent="0.3">
      <c r="G789" s="85"/>
      <c r="H789" s="86"/>
      <c r="I789" s="86"/>
      <c r="J789" s="87"/>
      <c r="K789" s="85"/>
      <c r="L789" s="85"/>
      <c r="P789" s="85"/>
      <c r="Q789" s="85"/>
      <c r="R789" s="81"/>
    </row>
    <row r="790" spans="7:18" x14ac:dyDescent="0.3">
      <c r="G790" s="85"/>
      <c r="H790" s="86"/>
      <c r="I790" s="86"/>
      <c r="J790" s="87"/>
      <c r="K790" s="85"/>
      <c r="L790" s="85"/>
      <c r="P790" s="85"/>
      <c r="Q790" s="85"/>
      <c r="R790" s="81"/>
    </row>
    <row r="791" spans="7:18" x14ac:dyDescent="0.3">
      <c r="G791" s="85"/>
      <c r="H791" s="86"/>
      <c r="I791" s="86"/>
      <c r="J791" s="87"/>
      <c r="K791" s="85"/>
      <c r="L791" s="85"/>
      <c r="P791" s="85"/>
      <c r="Q791" s="85"/>
      <c r="R791" s="81"/>
    </row>
    <row r="792" spans="7:18" x14ac:dyDescent="0.3">
      <c r="G792" s="85"/>
      <c r="H792" s="86"/>
      <c r="I792" s="86"/>
      <c r="J792" s="87"/>
      <c r="K792" s="85"/>
      <c r="L792" s="85"/>
      <c r="P792" s="85"/>
      <c r="Q792" s="85"/>
      <c r="R792" s="81"/>
    </row>
    <row r="793" spans="7:18" x14ac:dyDescent="0.3">
      <c r="G793" s="85"/>
      <c r="H793" s="86"/>
      <c r="I793" s="86"/>
      <c r="J793" s="87"/>
      <c r="K793" s="85"/>
      <c r="L793" s="85"/>
      <c r="P793" s="85"/>
      <c r="Q793" s="85"/>
      <c r="R793" s="81"/>
    </row>
    <row r="794" spans="7:18" x14ac:dyDescent="0.3">
      <c r="G794" s="85"/>
      <c r="H794" s="86"/>
      <c r="I794" s="86"/>
      <c r="J794" s="87"/>
      <c r="K794" s="85"/>
      <c r="L794" s="85"/>
      <c r="P794" s="85"/>
      <c r="Q794" s="85"/>
      <c r="R794" s="81"/>
    </row>
    <row r="795" spans="7:18" x14ac:dyDescent="0.3">
      <c r="G795" s="85"/>
      <c r="H795" s="86"/>
      <c r="I795" s="86"/>
      <c r="J795" s="87"/>
      <c r="K795" s="85"/>
      <c r="L795" s="85"/>
      <c r="P795" s="85"/>
      <c r="Q795" s="85"/>
      <c r="R795" s="81"/>
    </row>
    <row r="796" spans="7:18" x14ac:dyDescent="0.3">
      <c r="G796" s="85"/>
      <c r="H796" s="86"/>
      <c r="I796" s="86"/>
      <c r="J796" s="87"/>
      <c r="K796" s="85"/>
      <c r="L796" s="85"/>
      <c r="P796" s="85"/>
      <c r="Q796" s="85"/>
      <c r="R796" s="81"/>
    </row>
    <row r="797" spans="7:18" x14ac:dyDescent="0.3">
      <c r="G797" s="85"/>
      <c r="H797" s="86"/>
      <c r="I797" s="86"/>
      <c r="J797" s="87"/>
      <c r="K797" s="85"/>
      <c r="L797" s="85"/>
      <c r="P797" s="85"/>
      <c r="Q797" s="85"/>
      <c r="R797" s="81"/>
    </row>
    <row r="798" spans="7:18" x14ac:dyDescent="0.3">
      <c r="G798" s="85"/>
      <c r="H798" s="86"/>
      <c r="I798" s="86"/>
      <c r="J798" s="87"/>
      <c r="K798" s="85"/>
      <c r="L798" s="85"/>
      <c r="P798" s="85"/>
      <c r="Q798" s="85"/>
      <c r="R798" s="81"/>
    </row>
    <row r="799" spans="7:18" x14ac:dyDescent="0.3">
      <c r="G799" s="85"/>
      <c r="H799" s="86"/>
      <c r="I799" s="86"/>
      <c r="J799" s="87"/>
      <c r="K799" s="85"/>
      <c r="L799" s="85"/>
      <c r="P799" s="85"/>
      <c r="Q799" s="85"/>
      <c r="R799" s="81"/>
    </row>
    <row r="800" spans="7:18" x14ac:dyDescent="0.3">
      <c r="G800" s="85"/>
      <c r="H800" s="86"/>
      <c r="I800" s="86"/>
      <c r="J800" s="87"/>
      <c r="K800" s="85"/>
      <c r="L800" s="85"/>
      <c r="P800" s="85"/>
      <c r="Q800" s="85"/>
      <c r="R800" s="81"/>
    </row>
    <row r="801" spans="7:18" x14ac:dyDescent="0.3">
      <c r="G801" s="85"/>
      <c r="H801" s="86"/>
      <c r="I801" s="86"/>
      <c r="J801" s="87"/>
      <c r="K801" s="85"/>
      <c r="L801" s="85"/>
      <c r="P801" s="85"/>
      <c r="Q801" s="85"/>
      <c r="R801" s="81"/>
    </row>
    <row r="802" spans="7:18" x14ac:dyDescent="0.3">
      <c r="G802" s="85"/>
      <c r="H802" s="86"/>
      <c r="I802" s="86"/>
      <c r="J802" s="87"/>
      <c r="K802" s="85"/>
      <c r="L802" s="85"/>
      <c r="P802" s="85"/>
      <c r="Q802" s="85"/>
      <c r="R802" s="81"/>
    </row>
    <row r="803" spans="7:18" x14ac:dyDescent="0.3">
      <c r="G803" s="85"/>
      <c r="H803" s="86"/>
      <c r="I803" s="86"/>
      <c r="J803" s="87"/>
      <c r="K803" s="85"/>
      <c r="L803" s="85"/>
      <c r="P803" s="85"/>
      <c r="Q803" s="85"/>
      <c r="R803" s="81"/>
    </row>
    <row r="804" spans="7:18" x14ac:dyDescent="0.3">
      <c r="G804" s="85"/>
      <c r="H804" s="86"/>
      <c r="I804" s="86"/>
      <c r="J804" s="87"/>
      <c r="K804" s="85"/>
      <c r="L804" s="85"/>
      <c r="P804" s="85"/>
      <c r="Q804" s="85"/>
      <c r="R804" s="81"/>
    </row>
    <row r="805" spans="7:18" x14ac:dyDescent="0.3">
      <c r="G805" s="85"/>
      <c r="H805" s="86"/>
      <c r="I805" s="86"/>
      <c r="J805" s="87"/>
      <c r="K805" s="85"/>
      <c r="L805" s="85"/>
      <c r="P805" s="85"/>
      <c r="Q805" s="85"/>
      <c r="R805" s="81"/>
    </row>
    <row r="806" spans="7:18" x14ac:dyDescent="0.3">
      <c r="G806" s="85"/>
      <c r="H806" s="86"/>
      <c r="I806" s="86"/>
      <c r="J806" s="87"/>
      <c r="K806" s="85"/>
      <c r="L806" s="85"/>
      <c r="P806" s="85"/>
      <c r="Q806" s="85"/>
      <c r="R806" s="81"/>
    </row>
    <row r="807" spans="7:18" x14ac:dyDescent="0.3">
      <c r="G807" s="85"/>
      <c r="H807" s="86"/>
      <c r="I807" s="86"/>
      <c r="J807" s="87"/>
      <c r="K807" s="85"/>
      <c r="L807" s="85"/>
      <c r="P807" s="85"/>
      <c r="Q807" s="85"/>
      <c r="R807" s="81"/>
    </row>
    <row r="808" spans="7:18" x14ac:dyDescent="0.3">
      <c r="G808" s="85"/>
      <c r="H808" s="86"/>
      <c r="I808" s="86"/>
      <c r="J808" s="87"/>
      <c r="K808" s="85"/>
      <c r="L808" s="85"/>
      <c r="P808" s="85"/>
      <c r="Q808" s="85"/>
      <c r="R808" s="81"/>
    </row>
    <row r="809" spans="7:18" x14ac:dyDescent="0.3">
      <c r="G809" s="85"/>
      <c r="H809" s="86"/>
      <c r="I809" s="86"/>
      <c r="J809" s="87"/>
      <c r="K809" s="85"/>
      <c r="L809" s="85"/>
      <c r="P809" s="85"/>
      <c r="Q809" s="85"/>
      <c r="R809" s="81"/>
    </row>
    <row r="810" spans="7:18" x14ac:dyDescent="0.3">
      <c r="G810" s="85"/>
      <c r="H810" s="86"/>
      <c r="I810" s="86"/>
      <c r="J810" s="87"/>
      <c r="K810" s="85"/>
      <c r="L810" s="85"/>
      <c r="P810" s="85"/>
      <c r="Q810" s="85"/>
      <c r="R810" s="81"/>
    </row>
    <row r="811" spans="7:18" x14ac:dyDescent="0.3">
      <c r="G811" s="85"/>
      <c r="H811" s="86"/>
      <c r="I811" s="86"/>
      <c r="J811" s="87"/>
      <c r="K811" s="85"/>
      <c r="L811" s="85"/>
      <c r="P811" s="85"/>
      <c r="Q811" s="85"/>
      <c r="R811" s="81"/>
    </row>
    <row r="812" spans="7:18" x14ac:dyDescent="0.3">
      <c r="G812" s="85"/>
      <c r="H812" s="86"/>
      <c r="I812" s="86"/>
      <c r="J812" s="87"/>
      <c r="K812" s="85"/>
      <c r="L812" s="85"/>
      <c r="P812" s="85"/>
      <c r="Q812" s="85"/>
      <c r="R812" s="81"/>
    </row>
    <row r="813" spans="7:18" x14ac:dyDescent="0.3">
      <c r="G813" s="85"/>
      <c r="H813" s="86"/>
      <c r="I813" s="86"/>
      <c r="J813" s="87"/>
      <c r="K813" s="85"/>
      <c r="L813" s="85"/>
      <c r="P813" s="85"/>
      <c r="Q813" s="85"/>
      <c r="R813" s="81"/>
    </row>
    <row r="814" spans="7:18" x14ac:dyDescent="0.3">
      <c r="G814" s="85"/>
      <c r="H814" s="86"/>
      <c r="I814" s="86"/>
      <c r="J814" s="87"/>
      <c r="K814" s="85"/>
      <c r="L814" s="85"/>
      <c r="P814" s="85"/>
      <c r="Q814" s="85"/>
      <c r="R814" s="81"/>
    </row>
    <row r="815" spans="7:18" x14ac:dyDescent="0.3">
      <c r="G815" s="85"/>
      <c r="H815" s="86"/>
      <c r="I815" s="86"/>
      <c r="J815" s="87"/>
      <c r="K815" s="85"/>
      <c r="L815" s="85"/>
      <c r="P815" s="85"/>
      <c r="Q815" s="85"/>
      <c r="R815" s="81"/>
    </row>
    <row r="816" spans="7:18" x14ac:dyDescent="0.3">
      <c r="G816" s="85"/>
      <c r="H816" s="86"/>
      <c r="I816" s="86"/>
      <c r="J816" s="87"/>
      <c r="K816" s="85"/>
      <c r="L816" s="85"/>
      <c r="P816" s="85"/>
      <c r="Q816" s="85"/>
      <c r="R816" s="81"/>
    </row>
    <row r="817" spans="7:18" x14ac:dyDescent="0.3">
      <c r="G817" s="85"/>
      <c r="H817" s="86"/>
      <c r="I817" s="86"/>
      <c r="J817" s="87"/>
      <c r="K817" s="85"/>
      <c r="L817" s="85"/>
      <c r="P817" s="85"/>
      <c r="Q817" s="85"/>
      <c r="R817" s="81"/>
    </row>
    <row r="818" spans="7:18" x14ac:dyDescent="0.3">
      <c r="G818" s="85"/>
      <c r="H818" s="86"/>
      <c r="I818" s="86"/>
      <c r="J818" s="87"/>
      <c r="K818" s="85"/>
      <c r="L818" s="85"/>
      <c r="P818" s="85"/>
      <c r="Q818" s="85"/>
      <c r="R818" s="81"/>
    </row>
    <row r="819" spans="7:18" x14ac:dyDescent="0.3">
      <c r="G819" s="85"/>
      <c r="H819" s="86"/>
      <c r="I819" s="86"/>
      <c r="J819" s="87"/>
      <c r="K819" s="85"/>
      <c r="L819" s="85"/>
      <c r="P819" s="85"/>
      <c r="Q819" s="85"/>
      <c r="R819" s="81"/>
    </row>
    <row r="820" spans="7:18" x14ac:dyDescent="0.3">
      <c r="G820" s="85"/>
      <c r="H820" s="86"/>
      <c r="I820" s="86"/>
      <c r="J820" s="87"/>
      <c r="K820" s="85"/>
      <c r="L820" s="85"/>
      <c r="P820" s="85"/>
      <c r="Q820" s="85"/>
      <c r="R820" s="81"/>
    </row>
    <row r="821" spans="7:18" x14ac:dyDescent="0.3">
      <c r="G821" s="85"/>
      <c r="H821" s="86"/>
      <c r="I821" s="86"/>
      <c r="J821" s="87"/>
      <c r="K821" s="85"/>
      <c r="L821" s="85"/>
      <c r="P821" s="85"/>
      <c r="Q821" s="85"/>
      <c r="R821" s="81"/>
    </row>
    <row r="822" spans="7:18" x14ac:dyDescent="0.3">
      <c r="G822" s="85"/>
      <c r="H822" s="86"/>
      <c r="I822" s="86"/>
      <c r="J822" s="87"/>
      <c r="K822" s="85"/>
      <c r="L822" s="85"/>
      <c r="P822" s="85"/>
      <c r="Q822" s="85"/>
      <c r="R822" s="81"/>
    </row>
    <row r="823" spans="7:18" x14ac:dyDescent="0.3">
      <c r="G823" s="85"/>
      <c r="H823" s="86"/>
      <c r="I823" s="86"/>
      <c r="J823" s="87"/>
      <c r="K823" s="85"/>
      <c r="L823" s="85"/>
      <c r="P823" s="85"/>
      <c r="Q823" s="85"/>
      <c r="R823" s="81"/>
    </row>
    <row r="824" spans="7:18" x14ac:dyDescent="0.3">
      <c r="G824" s="85"/>
      <c r="H824" s="86"/>
      <c r="I824" s="86"/>
      <c r="J824" s="87"/>
      <c r="K824" s="85"/>
      <c r="L824" s="85"/>
      <c r="P824" s="85"/>
      <c r="Q824" s="85"/>
      <c r="R824" s="81"/>
    </row>
    <row r="825" spans="7:18" x14ac:dyDescent="0.3">
      <c r="G825" s="85"/>
      <c r="H825" s="86"/>
      <c r="I825" s="86"/>
      <c r="J825" s="87"/>
      <c r="K825" s="85"/>
      <c r="L825" s="85"/>
      <c r="P825" s="85"/>
      <c r="Q825" s="85"/>
      <c r="R825" s="81"/>
    </row>
    <row r="826" spans="7:18" x14ac:dyDescent="0.3">
      <c r="G826" s="85"/>
      <c r="H826" s="86"/>
      <c r="I826" s="86"/>
      <c r="J826" s="87"/>
      <c r="K826" s="85"/>
      <c r="L826" s="85"/>
      <c r="P826" s="85"/>
      <c r="Q826" s="85"/>
      <c r="R826" s="81"/>
    </row>
    <row r="827" spans="7:18" x14ac:dyDescent="0.3">
      <c r="G827" s="85"/>
      <c r="H827" s="86"/>
      <c r="I827" s="86"/>
      <c r="J827" s="87"/>
      <c r="K827" s="85"/>
      <c r="L827" s="85"/>
      <c r="P827" s="85"/>
      <c r="Q827" s="85"/>
      <c r="R827" s="81"/>
    </row>
    <row r="828" spans="7:18" x14ac:dyDescent="0.3">
      <c r="G828" s="85"/>
      <c r="H828" s="86"/>
      <c r="I828" s="86"/>
      <c r="J828" s="87"/>
      <c r="K828" s="85"/>
      <c r="L828" s="85"/>
      <c r="P828" s="85"/>
      <c r="Q828" s="85"/>
      <c r="R828" s="81"/>
    </row>
    <row r="829" spans="7:18" x14ac:dyDescent="0.3">
      <c r="G829" s="85"/>
      <c r="H829" s="86"/>
      <c r="I829" s="86"/>
      <c r="J829" s="87"/>
      <c r="K829" s="85"/>
      <c r="L829" s="85"/>
      <c r="P829" s="85"/>
      <c r="Q829" s="85"/>
      <c r="R829" s="81"/>
    </row>
    <row r="830" spans="7:18" x14ac:dyDescent="0.3">
      <c r="G830" s="85"/>
      <c r="H830" s="86"/>
      <c r="I830" s="86"/>
      <c r="J830" s="87"/>
      <c r="K830" s="85"/>
      <c r="L830" s="85"/>
      <c r="P830" s="85"/>
      <c r="Q830" s="85"/>
      <c r="R830" s="81"/>
    </row>
    <row r="831" spans="7:18" x14ac:dyDescent="0.3">
      <c r="G831" s="85"/>
      <c r="H831" s="86"/>
      <c r="I831" s="86"/>
      <c r="J831" s="87"/>
      <c r="K831" s="85"/>
      <c r="L831" s="85"/>
      <c r="P831" s="85"/>
      <c r="Q831" s="85"/>
      <c r="R831" s="81"/>
    </row>
    <row r="832" spans="7:18" x14ac:dyDescent="0.3">
      <c r="G832" s="85"/>
      <c r="H832" s="86"/>
      <c r="I832" s="86"/>
      <c r="J832" s="87"/>
      <c r="K832" s="85"/>
      <c r="L832" s="85"/>
      <c r="P832" s="85"/>
      <c r="Q832" s="85"/>
      <c r="R832" s="81"/>
    </row>
    <row r="833" spans="7:18" x14ac:dyDescent="0.3">
      <c r="G833" s="85"/>
      <c r="H833" s="86"/>
      <c r="I833" s="86"/>
      <c r="J833" s="87"/>
      <c r="K833" s="85"/>
      <c r="L833" s="85"/>
      <c r="P833" s="85"/>
      <c r="Q833" s="85"/>
      <c r="R833" s="81"/>
    </row>
    <row r="834" spans="7:18" x14ac:dyDescent="0.3">
      <c r="G834" s="85"/>
      <c r="H834" s="86"/>
      <c r="I834" s="86"/>
      <c r="J834" s="87"/>
      <c r="K834" s="85"/>
      <c r="L834" s="85"/>
      <c r="P834" s="85"/>
      <c r="Q834" s="85"/>
      <c r="R834" s="81"/>
    </row>
    <row r="835" spans="7:18" x14ac:dyDescent="0.3">
      <c r="G835" s="85"/>
      <c r="H835" s="86"/>
      <c r="I835" s="86"/>
      <c r="J835" s="87"/>
      <c r="K835" s="85"/>
      <c r="L835" s="85"/>
      <c r="P835" s="85"/>
      <c r="Q835" s="85"/>
      <c r="R835" s="81"/>
    </row>
    <row r="836" spans="7:18" x14ac:dyDescent="0.3">
      <c r="G836" s="85"/>
      <c r="H836" s="86"/>
      <c r="I836" s="86"/>
      <c r="J836" s="87"/>
      <c r="K836" s="85"/>
      <c r="L836" s="85"/>
      <c r="P836" s="85"/>
      <c r="Q836" s="85"/>
      <c r="R836" s="81"/>
    </row>
    <row r="837" spans="7:18" x14ac:dyDescent="0.3">
      <c r="G837" s="85"/>
      <c r="H837" s="86"/>
      <c r="I837" s="86"/>
      <c r="J837" s="87"/>
      <c r="K837" s="85"/>
      <c r="L837" s="85"/>
      <c r="P837" s="85"/>
      <c r="Q837" s="85"/>
      <c r="R837" s="81"/>
    </row>
    <row r="838" spans="7:18" x14ac:dyDescent="0.3">
      <c r="G838" s="85"/>
      <c r="H838" s="86"/>
      <c r="I838" s="86"/>
      <c r="J838" s="87"/>
      <c r="K838" s="85"/>
      <c r="L838" s="85"/>
      <c r="P838" s="85"/>
      <c r="Q838" s="85"/>
      <c r="R838" s="81"/>
    </row>
    <row r="839" spans="7:18" x14ac:dyDescent="0.3">
      <c r="G839" s="85"/>
      <c r="H839" s="86"/>
      <c r="I839" s="86"/>
      <c r="J839" s="87"/>
      <c r="K839" s="85"/>
      <c r="L839" s="85"/>
      <c r="P839" s="85"/>
      <c r="Q839" s="85"/>
      <c r="R839" s="81"/>
    </row>
    <row r="840" spans="7:18" x14ac:dyDescent="0.3">
      <c r="G840" s="85"/>
      <c r="H840" s="86"/>
      <c r="I840" s="86"/>
      <c r="J840" s="87"/>
      <c r="K840" s="85"/>
      <c r="L840" s="85"/>
      <c r="P840" s="85"/>
      <c r="Q840" s="85"/>
      <c r="R840" s="81"/>
    </row>
    <row r="841" spans="7:18" x14ac:dyDescent="0.3">
      <c r="G841" s="85"/>
      <c r="H841" s="86"/>
      <c r="I841" s="86"/>
      <c r="J841" s="87"/>
      <c r="K841" s="85"/>
      <c r="L841" s="85"/>
      <c r="P841" s="85"/>
      <c r="Q841" s="85"/>
      <c r="R841" s="81"/>
    </row>
    <row r="842" spans="7:18" x14ac:dyDescent="0.3">
      <c r="G842" s="85"/>
      <c r="H842" s="86"/>
      <c r="I842" s="86"/>
      <c r="J842" s="87"/>
      <c r="K842" s="85"/>
      <c r="L842" s="85"/>
      <c r="P842" s="85"/>
      <c r="Q842" s="85"/>
      <c r="R842" s="81"/>
    </row>
    <row r="843" spans="7:18" x14ac:dyDescent="0.3">
      <c r="G843" s="85"/>
      <c r="H843" s="86"/>
      <c r="I843" s="86"/>
      <c r="J843" s="87"/>
      <c r="K843" s="85"/>
      <c r="L843" s="85"/>
      <c r="P843" s="85"/>
      <c r="Q843" s="85"/>
      <c r="R843" s="81"/>
    </row>
    <row r="844" spans="7:18" x14ac:dyDescent="0.3">
      <c r="G844" s="85"/>
      <c r="H844" s="86"/>
      <c r="I844" s="86"/>
      <c r="J844" s="87"/>
      <c r="K844" s="85"/>
      <c r="L844" s="85"/>
      <c r="P844" s="85"/>
      <c r="Q844" s="85"/>
      <c r="R844" s="81"/>
    </row>
    <row r="845" spans="7:18" x14ac:dyDescent="0.3">
      <c r="G845" s="85"/>
      <c r="H845" s="86"/>
      <c r="I845" s="86"/>
      <c r="J845" s="87"/>
      <c r="K845" s="85"/>
      <c r="L845" s="85"/>
      <c r="P845" s="85"/>
      <c r="Q845" s="85"/>
      <c r="R845" s="81"/>
    </row>
    <row r="846" spans="7:18" x14ac:dyDescent="0.3">
      <c r="G846" s="85"/>
      <c r="H846" s="86"/>
      <c r="I846" s="86"/>
      <c r="J846" s="87"/>
      <c r="K846" s="85"/>
      <c r="L846" s="85"/>
      <c r="P846" s="85"/>
      <c r="Q846" s="85"/>
      <c r="R846" s="81"/>
    </row>
    <row r="847" spans="7:18" x14ac:dyDescent="0.3">
      <c r="G847" s="85"/>
      <c r="H847" s="86"/>
      <c r="I847" s="86"/>
      <c r="J847" s="87"/>
      <c r="K847" s="85"/>
      <c r="L847" s="85"/>
      <c r="P847" s="85"/>
      <c r="Q847" s="85"/>
      <c r="R847" s="81"/>
    </row>
    <row r="848" spans="7:18" x14ac:dyDescent="0.3">
      <c r="G848" s="85"/>
      <c r="H848" s="86"/>
      <c r="I848" s="86"/>
      <c r="J848" s="87"/>
      <c r="K848" s="85"/>
      <c r="L848" s="85"/>
      <c r="P848" s="85"/>
      <c r="Q848" s="85"/>
      <c r="R848" s="81"/>
    </row>
    <row r="849" spans="7:18" x14ac:dyDescent="0.3">
      <c r="G849" s="85"/>
      <c r="H849" s="86"/>
      <c r="I849" s="86"/>
      <c r="J849" s="87"/>
      <c r="K849" s="85"/>
      <c r="L849" s="85"/>
      <c r="P849" s="85"/>
      <c r="Q849" s="85"/>
      <c r="R849" s="81"/>
    </row>
    <row r="850" spans="7:18" x14ac:dyDescent="0.3">
      <c r="G850" s="85"/>
      <c r="H850" s="86"/>
      <c r="I850" s="86"/>
      <c r="J850" s="87"/>
      <c r="K850" s="85"/>
      <c r="L850" s="85"/>
      <c r="P850" s="85"/>
      <c r="Q850" s="85"/>
      <c r="R850" s="81"/>
    </row>
    <row r="851" spans="7:18" x14ac:dyDescent="0.3">
      <c r="G851" s="85"/>
      <c r="H851" s="86"/>
      <c r="I851" s="86"/>
      <c r="J851" s="87"/>
      <c r="K851" s="85"/>
      <c r="L851" s="85"/>
      <c r="P851" s="85"/>
      <c r="Q851" s="85"/>
      <c r="R851" s="81"/>
    </row>
    <row r="852" spans="7:18" x14ac:dyDescent="0.3">
      <c r="G852" s="85"/>
      <c r="H852" s="86"/>
      <c r="I852" s="86"/>
      <c r="J852" s="87"/>
      <c r="K852" s="85"/>
      <c r="L852" s="85"/>
      <c r="P852" s="85"/>
      <c r="Q852" s="85"/>
      <c r="R852" s="81"/>
    </row>
    <row r="853" spans="7:18" x14ac:dyDescent="0.3">
      <c r="G853" s="85"/>
      <c r="H853" s="86"/>
      <c r="I853" s="86"/>
      <c r="J853" s="87"/>
      <c r="K853" s="85"/>
      <c r="L853" s="85"/>
      <c r="P853" s="85"/>
      <c r="Q853" s="85"/>
      <c r="R853" s="81"/>
    </row>
    <row r="854" spans="7:18" x14ac:dyDescent="0.3">
      <c r="G854" s="85"/>
      <c r="H854" s="86"/>
      <c r="I854" s="86"/>
      <c r="J854" s="87"/>
      <c r="K854" s="85"/>
      <c r="L854" s="85"/>
      <c r="P854" s="85"/>
      <c r="Q854" s="85"/>
      <c r="R854" s="81"/>
    </row>
    <row r="855" spans="7:18" x14ac:dyDescent="0.3">
      <c r="G855" s="85"/>
      <c r="H855" s="86"/>
      <c r="I855" s="86"/>
      <c r="J855" s="87"/>
      <c r="K855" s="85"/>
      <c r="L855" s="85"/>
      <c r="P855" s="85"/>
      <c r="Q855" s="85"/>
      <c r="R855" s="81"/>
    </row>
    <row r="856" spans="7:18" x14ac:dyDescent="0.3">
      <c r="G856" s="85"/>
      <c r="H856" s="86"/>
      <c r="I856" s="86"/>
      <c r="J856" s="87"/>
      <c r="K856" s="85"/>
      <c r="L856" s="85"/>
      <c r="P856" s="85"/>
      <c r="Q856" s="85"/>
      <c r="R856" s="81"/>
    </row>
    <row r="857" spans="7:18" x14ac:dyDescent="0.3">
      <c r="G857" s="85"/>
      <c r="H857" s="86"/>
      <c r="I857" s="86"/>
      <c r="J857" s="87"/>
      <c r="K857" s="85"/>
      <c r="L857" s="85"/>
      <c r="P857" s="85"/>
      <c r="Q857" s="85"/>
      <c r="R857" s="81"/>
    </row>
    <row r="858" spans="7:18" x14ac:dyDescent="0.3">
      <c r="G858" s="85"/>
      <c r="H858" s="86"/>
      <c r="I858" s="86"/>
      <c r="J858" s="87"/>
      <c r="K858" s="85"/>
      <c r="L858" s="85"/>
      <c r="P858" s="85"/>
      <c r="Q858" s="85"/>
      <c r="R858" s="81"/>
    </row>
    <row r="859" spans="7:18" x14ac:dyDescent="0.3">
      <c r="G859" s="85"/>
      <c r="H859" s="86"/>
      <c r="I859" s="86"/>
      <c r="J859" s="87"/>
      <c r="K859" s="85"/>
      <c r="L859" s="85"/>
      <c r="P859" s="85"/>
      <c r="Q859" s="85"/>
      <c r="R859" s="81"/>
    </row>
    <row r="860" spans="7:18" x14ac:dyDescent="0.3">
      <c r="G860" s="85"/>
      <c r="H860" s="86"/>
      <c r="I860" s="86"/>
      <c r="J860" s="87"/>
      <c r="K860" s="85"/>
      <c r="L860" s="85"/>
      <c r="P860" s="85"/>
      <c r="Q860" s="85"/>
      <c r="R860" s="81"/>
    </row>
    <row r="861" spans="7:18" x14ac:dyDescent="0.3">
      <c r="G861" s="85"/>
      <c r="H861" s="86"/>
      <c r="I861" s="86"/>
      <c r="J861" s="87"/>
      <c r="K861" s="85"/>
      <c r="L861" s="85"/>
      <c r="P861" s="85"/>
      <c r="Q861" s="85"/>
      <c r="R861" s="81"/>
    </row>
    <row r="862" spans="7:18" x14ac:dyDescent="0.3">
      <c r="G862" s="85"/>
      <c r="H862" s="86"/>
      <c r="I862" s="86"/>
      <c r="J862" s="87"/>
      <c r="K862" s="85"/>
      <c r="L862" s="85"/>
      <c r="P862" s="85"/>
      <c r="Q862" s="85"/>
      <c r="R862" s="81"/>
    </row>
    <row r="863" spans="7:18" x14ac:dyDescent="0.3">
      <c r="G863" s="85"/>
      <c r="H863" s="86"/>
      <c r="I863" s="86"/>
      <c r="J863" s="87"/>
      <c r="K863" s="85"/>
      <c r="L863" s="85"/>
      <c r="P863" s="85"/>
      <c r="Q863" s="85"/>
      <c r="R863" s="81"/>
    </row>
    <row r="864" spans="7:18" x14ac:dyDescent="0.3">
      <c r="G864" s="85"/>
      <c r="H864" s="86"/>
      <c r="I864" s="86"/>
      <c r="J864" s="87"/>
      <c r="K864" s="85"/>
      <c r="L864" s="85"/>
      <c r="P864" s="85"/>
      <c r="Q864" s="85"/>
      <c r="R864" s="81"/>
    </row>
    <row r="865" spans="7:18" x14ac:dyDescent="0.3">
      <c r="G865" s="85"/>
      <c r="H865" s="86"/>
      <c r="I865" s="86"/>
      <c r="J865" s="87"/>
      <c r="K865" s="85"/>
      <c r="L865" s="85"/>
      <c r="P865" s="85"/>
      <c r="Q865" s="85"/>
      <c r="R865" s="81"/>
    </row>
    <row r="866" spans="7:18" x14ac:dyDescent="0.3">
      <c r="G866" s="85"/>
      <c r="H866" s="86"/>
      <c r="I866" s="86"/>
      <c r="J866" s="87"/>
      <c r="K866" s="85"/>
      <c r="L866" s="85"/>
      <c r="P866" s="85"/>
      <c r="Q866" s="85"/>
      <c r="R866" s="81"/>
    </row>
    <row r="867" spans="7:18" x14ac:dyDescent="0.3">
      <c r="G867" s="85"/>
      <c r="H867" s="86"/>
      <c r="I867" s="86"/>
      <c r="J867" s="87"/>
      <c r="K867" s="85"/>
      <c r="L867" s="85"/>
      <c r="P867" s="85"/>
      <c r="Q867" s="85"/>
      <c r="R867" s="81"/>
    </row>
    <row r="868" spans="7:18" x14ac:dyDescent="0.3">
      <c r="G868" s="85"/>
      <c r="H868" s="86"/>
      <c r="I868" s="86"/>
      <c r="J868" s="87"/>
      <c r="K868" s="85"/>
      <c r="L868" s="85"/>
      <c r="P868" s="85"/>
      <c r="Q868" s="85"/>
      <c r="R868" s="81"/>
    </row>
    <row r="869" spans="7:18" x14ac:dyDescent="0.3">
      <c r="G869" s="85"/>
      <c r="H869" s="86"/>
      <c r="I869" s="86"/>
      <c r="J869" s="87"/>
      <c r="K869" s="85"/>
      <c r="L869" s="85"/>
      <c r="P869" s="85"/>
      <c r="Q869" s="85"/>
      <c r="R869" s="81"/>
    </row>
    <row r="870" spans="7:18" x14ac:dyDescent="0.3">
      <c r="G870" s="85"/>
      <c r="H870" s="86"/>
      <c r="I870" s="86"/>
      <c r="J870" s="87"/>
      <c r="K870" s="85"/>
      <c r="L870" s="85"/>
      <c r="P870" s="85"/>
      <c r="Q870" s="85"/>
      <c r="R870" s="81"/>
    </row>
    <row r="871" spans="7:18" x14ac:dyDescent="0.3">
      <c r="G871" s="85"/>
      <c r="H871" s="86"/>
      <c r="I871" s="86"/>
      <c r="J871" s="87"/>
      <c r="K871" s="85"/>
      <c r="L871" s="85"/>
      <c r="P871" s="85"/>
      <c r="Q871" s="85"/>
      <c r="R871" s="81"/>
    </row>
    <row r="872" spans="7:18" x14ac:dyDescent="0.3">
      <c r="G872" s="85"/>
      <c r="H872" s="86"/>
      <c r="I872" s="86"/>
      <c r="J872" s="87"/>
      <c r="K872" s="85"/>
      <c r="L872" s="85"/>
      <c r="P872" s="85"/>
      <c r="Q872" s="85"/>
      <c r="R872" s="81"/>
    </row>
    <row r="873" spans="7:18" x14ac:dyDescent="0.3">
      <c r="G873" s="85"/>
      <c r="H873" s="86"/>
      <c r="I873" s="86"/>
      <c r="J873" s="87"/>
      <c r="K873" s="85"/>
      <c r="L873" s="85"/>
      <c r="P873" s="85"/>
      <c r="Q873" s="85"/>
      <c r="R873" s="81"/>
    </row>
    <row r="874" spans="7:18" x14ac:dyDescent="0.3">
      <c r="G874" s="85"/>
      <c r="H874" s="86"/>
      <c r="I874" s="86"/>
      <c r="J874" s="87"/>
      <c r="K874" s="85"/>
      <c r="L874" s="85"/>
      <c r="P874" s="85"/>
      <c r="Q874" s="85"/>
      <c r="R874" s="81"/>
    </row>
    <row r="875" spans="7:18" x14ac:dyDescent="0.3">
      <c r="G875" s="85"/>
      <c r="H875" s="86"/>
      <c r="I875" s="86"/>
      <c r="J875" s="87"/>
      <c r="K875" s="85"/>
      <c r="L875" s="85"/>
      <c r="P875" s="85"/>
      <c r="Q875" s="85"/>
      <c r="R875" s="81"/>
    </row>
    <row r="876" spans="7:18" x14ac:dyDescent="0.3">
      <c r="G876" s="85"/>
      <c r="H876" s="86"/>
      <c r="I876" s="86"/>
      <c r="J876" s="87"/>
      <c r="K876" s="85"/>
      <c r="L876" s="85"/>
      <c r="P876" s="85"/>
      <c r="Q876" s="85"/>
      <c r="R876" s="81"/>
    </row>
    <row r="877" spans="7:18" x14ac:dyDescent="0.3">
      <c r="G877" s="85"/>
      <c r="H877" s="86"/>
      <c r="I877" s="86"/>
      <c r="J877" s="87"/>
      <c r="K877" s="85"/>
      <c r="L877" s="85"/>
      <c r="P877" s="85"/>
      <c r="Q877" s="85"/>
      <c r="R877" s="81"/>
    </row>
    <row r="878" spans="7:18" x14ac:dyDescent="0.3">
      <c r="G878" s="85"/>
      <c r="H878" s="86"/>
      <c r="I878" s="86"/>
      <c r="J878" s="87"/>
      <c r="K878" s="85"/>
      <c r="L878" s="85"/>
      <c r="P878" s="85"/>
      <c r="Q878" s="85"/>
      <c r="R878" s="81"/>
    </row>
    <row r="879" spans="7:18" x14ac:dyDescent="0.3">
      <c r="G879" s="85"/>
      <c r="H879" s="86"/>
      <c r="I879" s="86"/>
      <c r="J879" s="87"/>
      <c r="K879" s="85"/>
      <c r="L879" s="85"/>
      <c r="P879" s="85"/>
      <c r="Q879" s="85"/>
      <c r="R879" s="81"/>
    </row>
    <row r="880" spans="7:18" x14ac:dyDescent="0.3">
      <c r="G880" s="85"/>
      <c r="H880" s="86"/>
      <c r="I880" s="86"/>
      <c r="J880" s="87"/>
      <c r="K880" s="85"/>
      <c r="L880" s="85"/>
      <c r="P880" s="85"/>
      <c r="Q880" s="85"/>
      <c r="R880" s="81"/>
    </row>
    <row r="881" spans="7:18" x14ac:dyDescent="0.3">
      <c r="G881" s="85"/>
      <c r="H881" s="86"/>
      <c r="I881" s="86"/>
      <c r="J881" s="87"/>
      <c r="K881" s="85"/>
      <c r="L881" s="85"/>
      <c r="P881" s="85"/>
      <c r="Q881" s="85"/>
      <c r="R881" s="81"/>
    </row>
    <row r="882" spans="7:18" x14ac:dyDescent="0.3">
      <c r="G882" s="85"/>
      <c r="H882" s="86"/>
      <c r="I882" s="86"/>
      <c r="J882" s="87"/>
      <c r="K882" s="85"/>
      <c r="L882" s="85"/>
      <c r="P882" s="85"/>
      <c r="Q882" s="85"/>
      <c r="R882" s="81"/>
    </row>
    <row r="883" spans="7:18" x14ac:dyDescent="0.3">
      <c r="G883" s="85"/>
      <c r="H883" s="86"/>
      <c r="I883" s="86"/>
      <c r="J883" s="87"/>
      <c r="K883" s="85"/>
      <c r="L883" s="85"/>
      <c r="P883" s="85"/>
      <c r="Q883" s="85"/>
      <c r="R883" s="81"/>
    </row>
    <row r="884" spans="7:18" x14ac:dyDescent="0.3">
      <c r="G884" s="85"/>
      <c r="H884" s="86"/>
      <c r="I884" s="86"/>
      <c r="J884" s="87"/>
      <c r="K884" s="85"/>
      <c r="L884" s="85"/>
      <c r="P884" s="85"/>
      <c r="Q884" s="85"/>
      <c r="R884" s="81"/>
    </row>
    <row r="885" spans="7:18" x14ac:dyDescent="0.3">
      <c r="G885" s="85"/>
      <c r="H885" s="86"/>
      <c r="I885" s="86"/>
      <c r="J885" s="87"/>
      <c r="K885" s="85"/>
      <c r="L885" s="85"/>
      <c r="P885" s="85"/>
      <c r="Q885" s="85"/>
      <c r="R885" s="81"/>
    </row>
    <row r="886" spans="7:18" x14ac:dyDescent="0.3">
      <c r="G886" s="85"/>
      <c r="H886" s="86"/>
      <c r="I886" s="86"/>
      <c r="J886" s="87"/>
      <c r="K886" s="85"/>
      <c r="L886" s="85"/>
      <c r="P886" s="85"/>
      <c r="Q886" s="85"/>
      <c r="R886" s="81"/>
    </row>
    <row r="887" spans="7:18" x14ac:dyDescent="0.3">
      <c r="G887" s="85"/>
      <c r="H887" s="86"/>
      <c r="I887" s="86"/>
      <c r="J887" s="87"/>
      <c r="K887" s="85"/>
      <c r="L887" s="85"/>
      <c r="P887" s="85"/>
      <c r="Q887" s="85"/>
      <c r="R887" s="81"/>
    </row>
    <row r="888" spans="7:18" x14ac:dyDescent="0.3">
      <c r="G888" s="85"/>
      <c r="H888" s="86"/>
      <c r="I888" s="86"/>
      <c r="J888" s="87"/>
      <c r="K888" s="85"/>
      <c r="L888" s="85"/>
      <c r="P888" s="85"/>
      <c r="Q888" s="85"/>
      <c r="R888" s="81"/>
    </row>
    <row r="889" spans="7:18" x14ac:dyDescent="0.3">
      <c r="G889" s="85"/>
      <c r="H889" s="86"/>
      <c r="I889" s="86"/>
      <c r="J889" s="87"/>
      <c r="K889" s="85"/>
      <c r="L889" s="85"/>
      <c r="P889" s="85"/>
      <c r="Q889" s="85"/>
      <c r="R889" s="81"/>
    </row>
    <row r="890" spans="7:18" x14ac:dyDescent="0.3">
      <c r="G890" s="85"/>
      <c r="H890" s="86"/>
      <c r="I890" s="86"/>
      <c r="J890" s="87"/>
      <c r="K890" s="85"/>
      <c r="L890" s="85"/>
      <c r="P890" s="85"/>
      <c r="Q890" s="85"/>
      <c r="R890" s="81"/>
    </row>
    <row r="891" spans="7:18" x14ac:dyDescent="0.3">
      <c r="G891" s="85"/>
      <c r="H891" s="86"/>
      <c r="I891" s="86"/>
      <c r="J891" s="87"/>
      <c r="K891" s="85"/>
      <c r="L891" s="85"/>
      <c r="P891" s="85"/>
      <c r="Q891" s="85"/>
      <c r="R891" s="81"/>
    </row>
    <row r="892" spans="7:18" x14ac:dyDescent="0.3">
      <c r="G892" s="85"/>
      <c r="H892" s="86"/>
      <c r="I892" s="86"/>
      <c r="J892" s="87"/>
      <c r="K892" s="85"/>
      <c r="L892" s="85"/>
      <c r="P892" s="85"/>
      <c r="Q892" s="85"/>
      <c r="R892" s="81"/>
    </row>
    <row r="893" spans="7:18" x14ac:dyDescent="0.3">
      <c r="G893" s="85"/>
      <c r="H893" s="86"/>
      <c r="I893" s="86"/>
      <c r="J893" s="87"/>
      <c r="K893" s="85"/>
      <c r="L893" s="85"/>
      <c r="P893" s="85"/>
      <c r="Q893" s="85"/>
      <c r="R893" s="81"/>
    </row>
    <row r="894" spans="7:18" x14ac:dyDescent="0.3">
      <c r="G894" s="85"/>
      <c r="H894" s="86"/>
      <c r="I894" s="86"/>
      <c r="J894" s="87"/>
      <c r="K894" s="85"/>
      <c r="L894" s="85"/>
      <c r="P894" s="85"/>
      <c r="Q894" s="85"/>
      <c r="R894" s="81"/>
    </row>
    <row r="895" spans="7:18" x14ac:dyDescent="0.3">
      <c r="G895" s="85"/>
      <c r="H895" s="86"/>
      <c r="I895" s="86"/>
      <c r="J895" s="87"/>
      <c r="K895" s="85"/>
      <c r="L895" s="85"/>
      <c r="P895" s="85"/>
      <c r="Q895" s="85"/>
      <c r="R895" s="81"/>
    </row>
    <row r="896" spans="7:18" x14ac:dyDescent="0.3">
      <c r="G896" s="85"/>
      <c r="H896" s="86"/>
      <c r="I896" s="86"/>
      <c r="J896" s="87"/>
      <c r="K896" s="85"/>
      <c r="L896" s="85"/>
      <c r="P896" s="85"/>
      <c r="Q896" s="85"/>
      <c r="R896" s="81"/>
    </row>
    <row r="897" spans="7:18" x14ac:dyDescent="0.3">
      <c r="G897" s="85"/>
      <c r="H897" s="86"/>
      <c r="I897" s="86"/>
      <c r="J897" s="87"/>
      <c r="K897" s="85"/>
      <c r="L897" s="85"/>
      <c r="P897" s="85"/>
      <c r="Q897" s="85"/>
      <c r="R897" s="81"/>
    </row>
    <row r="898" spans="7:18" x14ac:dyDescent="0.3">
      <c r="G898" s="85"/>
      <c r="H898" s="86"/>
      <c r="I898" s="86"/>
      <c r="J898" s="87"/>
      <c r="K898" s="85"/>
      <c r="L898" s="85"/>
      <c r="P898" s="85"/>
      <c r="Q898" s="85"/>
      <c r="R898" s="81"/>
    </row>
    <row r="899" spans="7:18" x14ac:dyDescent="0.3">
      <c r="G899" s="85"/>
      <c r="H899" s="86"/>
      <c r="I899" s="86"/>
      <c r="J899" s="87"/>
      <c r="K899" s="85"/>
      <c r="L899" s="85"/>
      <c r="P899" s="85"/>
      <c r="Q899" s="85"/>
      <c r="R899" s="81"/>
    </row>
    <row r="900" spans="7:18" x14ac:dyDescent="0.3">
      <c r="G900" s="85"/>
      <c r="H900" s="86"/>
      <c r="I900" s="86"/>
      <c r="J900" s="87"/>
      <c r="K900" s="85"/>
      <c r="L900" s="85"/>
      <c r="P900" s="85"/>
      <c r="Q900" s="85"/>
      <c r="R900" s="81"/>
    </row>
    <row r="901" spans="7:18" x14ac:dyDescent="0.3">
      <c r="G901" s="85"/>
      <c r="H901" s="86"/>
      <c r="I901" s="86"/>
      <c r="J901" s="87"/>
      <c r="K901" s="85"/>
      <c r="L901" s="85"/>
      <c r="P901" s="85"/>
      <c r="Q901" s="85"/>
      <c r="R901" s="81"/>
    </row>
    <row r="902" spans="7:18" x14ac:dyDescent="0.3">
      <c r="G902" s="85"/>
      <c r="H902" s="86"/>
      <c r="I902" s="86"/>
      <c r="J902" s="87"/>
      <c r="K902" s="85"/>
      <c r="L902" s="85"/>
      <c r="P902" s="85"/>
      <c r="Q902" s="85"/>
      <c r="R902" s="81"/>
    </row>
    <row r="903" spans="7:18" x14ac:dyDescent="0.3">
      <c r="G903" s="85"/>
      <c r="H903" s="86"/>
      <c r="I903" s="86"/>
      <c r="J903" s="87"/>
      <c r="K903" s="85"/>
      <c r="L903" s="85"/>
      <c r="P903" s="85"/>
      <c r="Q903" s="85"/>
      <c r="R903" s="81"/>
    </row>
    <row r="904" spans="7:18" x14ac:dyDescent="0.3">
      <c r="G904" s="85"/>
      <c r="H904" s="86"/>
      <c r="I904" s="86"/>
      <c r="J904" s="87"/>
      <c r="K904" s="85"/>
      <c r="L904" s="85"/>
      <c r="P904" s="85"/>
      <c r="Q904" s="85"/>
      <c r="R904" s="81"/>
    </row>
    <row r="905" spans="7:18" x14ac:dyDescent="0.3">
      <c r="G905" s="85"/>
      <c r="H905" s="86"/>
      <c r="I905" s="86"/>
      <c r="J905" s="87"/>
      <c r="K905" s="85"/>
      <c r="L905" s="85"/>
      <c r="P905" s="85"/>
      <c r="Q905" s="85"/>
      <c r="R905" s="81"/>
    </row>
    <row r="906" spans="7:18" x14ac:dyDescent="0.3">
      <c r="G906" s="85"/>
      <c r="H906" s="86"/>
      <c r="I906" s="86"/>
      <c r="J906" s="87"/>
      <c r="K906" s="85"/>
      <c r="L906" s="85"/>
      <c r="P906" s="85"/>
      <c r="Q906" s="85"/>
      <c r="R906" s="81"/>
    </row>
    <row r="907" spans="7:18" x14ac:dyDescent="0.3">
      <c r="G907" s="85"/>
      <c r="H907" s="86"/>
      <c r="I907" s="86"/>
      <c r="J907" s="87"/>
      <c r="K907" s="85"/>
      <c r="L907" s="85"/>
      <c r="P907" s="85"/>
      <c r="Q907" s="85"/>
      <c r="R907" s="81"/>
    </row>
    <row r="908" spans="7:18" x14ac:dyDescent="0.3">
      <c r="G908" s="85"/>
      <c r="H908" s="86"/>
      <c r="I908" s="86"/>
      <c r="J908" s="87"/>
      <c r="K908" s="85"/>
      <c r="L908" s="85"/>
      <c r="P908" s="85"/>
      <c r="Q908" s="85"/>
      <c r="R908" s="81"/>
    </row>
    <row r="909" spans="7:18" x14ac:dyDescent="0.3">
      <c r="G909" s="85"/>
      <c r="H909" s="86"/>
      <c r="I909" s="86"/>
      <c r="J909" s="87"/>
      <c r="K909" s="85"/>
      <c r="L909" s="85"/>
      <c r="P909" s="85"/>
      <c r="Q909" s="85"/>
      <c r="R909" s="81"/>
    </row>
    <row r="910" spans="7:18" x14ac:dyDescent="0.3">
      <c r="G910" s="85"/>
      <c r="H910" s="86"/>
      <c r="I910" s="86"/>
      <c r="J910" s="87"/>
      <c r="K910" s="85"/>
      <c r="L910" s="85"/>
      <c r="P910" s="85"/>
      <c r="Q910" s="85"/>
      <c r="R910" s="81"/>
    </row>
    <row r="911" spans="7:18" x14ac:dyDescent="0.3">
      <c r="G911" s="85"/>
      <c r="H911" s="86"/>
      <c r="I911" s="86"/>
      <c r="J911" s="87"/>
      <c r="K911" s="85"/>
      <c r="L911" s="85"/>
      <c r="P911" s="85"/>
      <c r="Q911" s="85"/>
      <c r="R911" s="81"/>
    </row>
    <row r="912" spans="7:18" x14ac:dyDescent="0.3">
      <c r="G912" s="85"/>
      <c r="H912" s="86"/>
      <c r="I912" s="86"/>
      <c r="J912" s="87"/>
      <c r="K912" s="85"/>
      <c r="L912" s="85"/>
      <c r="P912" s="85"/>
      <c r="Q912" s="85"/>
      <c r="R912" s="81"/>
    </row>
    <row r="913" spans="7:18" x14ac:dyDescent="0.3">
      <c r="G913" s="85"/>
      <c r="H913" s="86"/>
      <c r="I913" s="86"/>
      <c r="J913" s="87"/>
      <c r="K913" s="85"/>
      <c r="L913" s="85"/>
      <c r="P913" s="85"/>
      <c r="Q913" s="85"/>
      <c r="R913" s="81"/>
    </row>
    <row r="914" spans="7:18" x14ac:dyDescent="0.3">
      <c r="G914" s="85"/>
      <c r="H914" s="86"/>
      <c r="I914" s="86"/>
      <c r="J914" s="87"/>
      <c r="K914" s="85"/>
      <c r="L914" s="85"/>
      <c r="P914" s="85"/>
      <c r="Q914" s="85"/>
      <c r="R914" s="81"/>
    </row>
    <row r="915" spans="7:18" x14ac:dyDescent="0.3">
      <c r="G915" s="85"/>
      <c r="H915" s="86"/>
      <c r="I915" s="86"/>
      <c r="J915" s="87"/>
      <c r="K915" s="85"/>
      <c r="L915" s="85"/>
      <c r="P915" s="85"/>
      <c r="Q915" s="85"/>
      <c r="R915" s="81"/>
    </row>
    <row r="916" spans="7:18" x14ac:dyDescent="0.3">
      <c r="G916" s="85"/>
      <c r="H916" s="86"/>
      <c r="I916" s="86"/>
      <c r="J916" s="87"/>
      <c r="K916" s="85"/>
      <c r="L916" s="85"/>
      <c r="P916" s="85"/>
      <c r="Q916" s="85"/>
      <c r="R916" s="81"/>
    </row>
    <row r="917" spans="7:18" x14ac:dyDescent="0.3">
      <c r="G917" s="85"/>
      <c r="H917" s="86"/>
      <c r="I917" s="86"/>
      <c r="J917" s="87"/>
      <c r="K917" s="85"/>
      <c r="L917" s="85"/>
      <c r="P917" s="85"/>
      <c r="Q917" s="85"/>
      <c r="R917" s="81"/>
    </row>
    <row r="918" spans="7:18" x14ac:dyDescent="0.3">
      <c r="G918" s="85"/>
      <c r="H918" s="86"/>
      <c r="I918" s="86"/>
      <c r="J918" s="87"/>
      <c r="K918" s="85"/>
      <c r="L918" s="85"/>
      <c r="P918" s="85"/>
      <c r="Q918" s="85"/>
      <c r="R918" s="81"/>
    </row>
    <row r="919" spans="7:18" x14ac:dyDescent="0.3">
      <c r="G919" s="85"/>
      <c r="H919" s="86"/>
      <c r="I919" s="86"/>
      <c r="J919" s="87"/>
      <c r="K919" s="85"/>
      <c r="L919" s="85"/>
      <c r="P919" s="85"/>
      <c r="Q919" s="85"/>
      <c r="R919" s="81"/>
    </row>
    <row r="920" spans="7:18" x14ac:dyDescent="0.3">
      <c r="G920" s="85"/>
      <c r="H920" s="86"/>
      <c r="I920" s="86"/>
      <c r="J920" s="87"/>
      <c r="K920" s="85"/>
      <c r="L920" s="85"/>
      <c r="P920" s="85"/>
      <c r="Q920" s="85"/>
      <c r="R920" s="81"/>
    </row>
    <row r="921" spans="7:18" x14ac:dyDescent="0.3">
      <c r="G921" s="85"/>
      <c r="H921" s="86"/>
      <c r="I921" s="86"/>
      <c r="J921" s="87"/>
      <c r="K921" s="85"/>
      <c r="L921" s="85"/>
      <c r="P921" s="85"/>
      <c r="Q921" s="85"/>
      <c r="R921" s="81"/>
    </row>
    <row r="922" spans="7:18" x14ac:dyDescent="0.3">
      <c r="G922" s="85"/>
      <c r="H922" s="86"/>
      <c r="I922" s="86"/>
      <c r="J922" s="87"/>
      <c r="K922" s="85"/>
      <c r="L922" s="85"/>
      <c r="P922" s="85"/>
      <c r="Q922" s="85"/>
      <c r="R922" s="81"/>
    </row>
    <row r="923" spans="7:18" x14ac:dyDescent="0.3">
      <c r="G923" s="85"/>
      <c r="H923" s="86"/>
      <c r="I923" s="86"/>
      <c r="J923" s="87"/>
      <c r="K923" s="85"/>
      <c r="L923" s="85"/>
      <c r="P923" s="85"/>
      <c r="Q923" s="85"/>
      <c r="R923" s="81"/>
    </row>
    <row r="924" spans="7:18" x14ac:dyDescent="0.3">
      <c r="G924" s="85"/>
      <c r="H924" s="86"/>
      <c r="I924" s="86"/>
      <c r="J924" s="87"/>
      <c r="K924" s="85"/>
      <c r="L924" s="85"/>
      <c r="P924" s="85"/>
      <c r="Q924" s="85"/>
      <c r="R924" s="81"/>
    </row>
    <row r="925" spans="7:18" x14ac:dyDescent="0.3">
      <c r="G925" s="85"/>
      <c r="H925" s="86"/>
      <c r="I925" s="86"/>
      <c r="J925" s="87"/>
      <c r="K925" s="85"/>
      <c r="L925" s="85"/>
      <c r="P925" s="85"/>
      <c r="Q925" s="85"/>
      <c r="R925" s="81"/>
    </row>
    <row r="926" spans="7:18" x14ac:dyDescent="0.3">
      <c r="G926" s="85"/>
      <c r="H926" s="86"/>
      <c r="I926" s="86"/>
      <c r="J926" s="87"/>
      <c r="K926" s="85"/>
      <c r="L926" s="85"/>
      <c r="P926" s="85"/>
      <c r="Q926" s="85"/>
      <c r="R926" s="81"/>
    </row>
    <row r="927" spans="7:18" x14ac:dyDescent="0.3">
      <c r="G927" s="85"/>
      <c r="H927" s="86"/>
      <c r="I927" s="86"/>
      <c r="J927" s="87"/>
      <c r="K927" s="85"/>
      <c r="L927" s="85"/>
      <c r="P927" s="85"/>
      <c r="Q927" s="85"/>
      <c r="R927" s="81"/>
    </row>
    <row r="928" spans="7:18" x14ac:dyDescent="0.3">
      <c r="G928" s="85"/>
      <c r="H928" s="86"/>
      <c r="I928" s="86"/>
      <c r="J928" s="87"/>
      <c r="K928" s="85"/>
      <c r="L928" s="85"/>
      <c r="P928" s="85"/>
      <c r="Q928" s="85"/>
      <c r="R928" s="81"/>
    </row>
    <row r="929" spans="7:18" x14ac:dyDescent="0.3">
      <c r="G929" s="85"/>
      <c r="H929" s="86"/>
      <c r="I929" s="86"/>
      <c r="J929" s="87"/>
      <c r="K929" s="85"/>
      <c r="L929" s="85"/>
      <c r="P929" s="85"/>
      <c r="Q929" s="85"/>
      <c r="R929" s="81"/>
    </row>
    <row r="930" spans="7:18" x14ac:dyDescent="0.3">
      <c r="G930" s="85"/>
      <c r="H930" s="86"/>
      <c r="I930" s="86"/>
      <c r="J930" s="87"/>
      <c r="K930" s="85"/>
      <c r="L930" s="85"/>
      <c r="P930" s="85"/>
      <c r="Q930" s="85"/>
      <c r="R930" s="81"/>
    </row>
    <row r="931" spans="7:18" x14ac:dyDescent="0.3">
      <c r="G931" s="85"/>
      <c r="H931" s="86"/>
      <c r="I931" s="86"/>
      <c r="J931" s="87"/>
      <c r="K931" s="85"/>
      <c r="L931" s="85"/>
      <c r="P931" s="85"/>
      <c r="Q931" s="85"/>
      <c r="R931" s="81"/>
    </row>
    <row r="932" spans="7:18" x14ac:dyDescent="0.3">
      <c r="G932" s="85"/>
      <c r="H932" s="86"/>
      <c r="I932" s="86"/>
      <c r="J932" s="87"/>
      <c r="K932" s="85"/>
      <c r="L932" s="85"/>
      <c r="P932" s="85"/>
      <c r="Q932" s="85"/>
      <c r="R932" s="81"/>
    </row>
    <row r="933" spans="7:18" x14ac:dyDescent="0.3">
      <c r="G933" s="85"/>
      <c r="H933" s="86"/>
      <c r="I933" s="86"/>
      <c r="J933" s="87"/>
      <c r="K933" s="85"/>
      <c r="L933" s="85"/>
      <c r="P933" s="85"/>
      <c r="Q933" s="85"/>
      <c r="R933" s="81"/>
    </row>
    <row r="934" spans="7:18" x14ac:dyDescent="0.3">
      <c r="G934" s="85"/>
      <c r="H934" s="86"/>
      <c r="I934" s="86"/>
      <c r="J934" s="87"/>
      <c r="K934" s="85"/>
      <c r="L934" s="85"/>
      <c r="P934" s="85"/>
      <c r="Q934" s="85"/>
      <c r="R934" s="81"/>
    </row>
    <row r="935" spans="7:18" x14ac:dyDescent="0.3">
      <c r="G935" s="85"/>
      <c r="H935" s="86"/>
      <c r="I935" s="86"/>
      <c r="J935" s="87"/>
      <c r="K935" s="85"/>
      <c r="L935" s="85"/>
      <c r="P935" s="85"/>
      <c r="Q935" s="85"/>
      <c r="R935" s="81"/>
    </row>
    <row r="936" spans="7:18" x14ac:dyDescent="0.3">
      <c r="G936" s="85"/>
      <c r="H936" s="86"/>
      <c r="I936" s="86"/>
      <c r="J936" s="87"/>
      <c r="K936" s="85"/>
      <c r="L936" s="85"/>
      <c r="P936" s="85"/>
      <c r="Q936" s="85"/>
      <c r="R936" s="81"/>
    </row>
    <row r="937" spans="7:18" x14ac:dyDescent="0.3">
      <c r="G937" s="85"/>
      <c r="H937" s="86"/>
      <c r="I937" s="86"/>
      <c r="J937" s="87"/>
      <c r="K937" s="85"/>
      <c r="L937" s="85"/>
      <c r="P937" s="85"/>
      <c r="Q937" s="85"/>
      <c r="R937" s="81"/>
    </row>
    <row r="938" spans="7:18" x14ac:dyDescent="0.3">
      <c r="G938" s="85"/>
      <c r="H938" s="86"/>
      <c r="I938" s="86"/>
      <c r="J938" s="87"/>
      <c r="K938" s="85"/>
      <c r="L938" s="85"/>
      <c r="P938" s="85"/>
      <c r="Q938" s="85"/>
      <c r="R938" s="81"/>
    </row>
    <row r="939" spans="7:18" x14ac:dyDescent="0.3">
      <c r="G939" s="85"/>
      <c r="H939" s="86"/>
      <c r="I939" s="86"/>
      <c r="J939" s="87"/>
      <c r="K939" s="85"/>
      <c r="L939" s="85"/>
      <c r="P939" s="85"/>
      <c r="Q939" s="85"/>
      <c r="R939" s="81"/>
    </row>
    <row r="940" spans="7:18" x14ac:dyDescent="0.3">
      <c r="G940" s="85"/>
      <c r="H940" s="86"/>
      <c r="I940" s="86"/>
      <c r="J940" s="87"/>
      <c r="K940" s="85"/>
      <c r="L940" s="85"/>
      <c r="P940" s="85"/>
      <c r="Q940" s="85"/>
      <c r="R940" s="81"/>
    </row>
    <row r="941" spans="7:18" x14ac:dyDescent="0.3">
      <c r="G941" s="85"/>
      <c r="H941" s="86"/>
      <c r="I941" s="86"/>
      <c r="J941" s="87"/>
      <c r="K941" s="85"/>
      <c r="L941" s="85"/>
      <c r="P941" s="85"/>
      <c r="Q941" s="85"/>
      <c r="R941" s="81"/>
    </row>
    <row r="942" spans="7:18" x14ac:dyDescent="0.3">
      <c r="G942" s="85"/>
      <c r="H942" s="86"/>
      <c r="I942" s="86"/>
      <c r="J942" s="87"/>
      <c r="K942" s="85"/>
      <c r="L942" s="85"/>
      <c r="P942" s="85"/>
      <c r="Q942" s="85"/>
      <c r="R942" s="81"/>
    </row>
    <row r="943" spans="7:18" x14ac:dyDescent="0.3">
      <c r="G943" s="85"/>
      <c r="H943" s="86"/>
      <c r="I943" s="86"/>
      <c r="J943" s="87"/>
      <c r="K943" s="85"/>
      <c r="L943" s="85"/>
      <c r="P943" s="85"/>
      <c r="Q943" s="85"/>
      <c r="R943" s="81"/>
    </row>
    <row r="944" spans="7:18" x14ac:dyDescent="0.3">
      <c r="G944" s="85"/>
      <c r="H944" s="86"/>
      <c r="I944" s="86"/>
      <c r="J944" s="87"/>
      <c r="K944" s="85"/>
      <c r="L944" s="85"/>
      <c r="P944" s="85"/>
      <c r="Q944" s="85"/>
      <c r="R944" s="81"/>
    </row>
    <row r="945" spans="7:18" x14ac:dyDescent="0.3">
      <c r="G945" s="85"/>
      <c r="H945" s="86"/>
      <c r="I945" s="86"/>
      <c r="J945" s="87"/>
      <c r="K945" s="85"/>
      <c r="L945" s="85"/>
      <c r="P945" s="85"/>
      <c r="Q945" s="85"/>
      <c r="R945" s="81"/>
    </row>
    <row r="946" spans="7:18" x14ac:dyDescent="0.3">
      <c r="G946" s="85"/>
      <c r="H946" s="86"/>
      <c r="I946" s="86"/>
      <c r="J946" s="87"/>
      <c r="K946" s="85"/>
      <c r="L946" s="85"/>
      <c r="P946" s="85"/>
      <c r="Q946" s="85"/>
      <c r="R946" s="81"/>
    </row>
    <row r="947" spans="7:18" x14ac:dyDescent="0.3">
      <c r="G947" s="85"/>
      <c r="H947" s="86"/>
      <c r="I947" s="86"/>
      <c r="J947" s="87"/>
      <c r="K947" s="85"/>
      <c r="L947" s="85"/>
      <c r="P947" s="85"/>
      <c r="Q947" s="85"/>
      <c r="R947" s="81"/>
    </row>
    <row r="948" spans="7:18" x14ac:dyDescent="0.3">
      <c r="G948" s="85"/>
      <c r="H948" s="86"/>
      <c r="I948" s="86"/>
      <c r="J948" s="87"/>
      <c r="K948" s="85"/>
      <c r="L948" s="85"/>
      <c r="P948" s="85"/>
      <c r="Q948" s="85"/>
      <c r="R948" s="81"/>
    </row>
    <row r="949" spans="7:18" x14ac:dyDescent="0.3">
      <c r="G949" s="85"/>
      <c r="H949" s="86"/>
      <c r="I949" s="86"/>
      <c r="J949" s="87"/>
      <c r="K949" s="85"/>
      <c r="L949" s="85"/>
      <c r="P949" s="85"/>
      <c r="Q949" s="85"/>
      <c r="R949" s="81"/>
    </row>
    <row r="950" spans="7:18" x14ac:dyDescent="0.3">
      <c r="G950" s="85"/>
      <c r="H950" s="86"/>
      <c r="I950" s="86"/>
      <c r="J950" s="87"/>
      <c r="K950" s="85"/>
      <c r="L950" s="85"/>
      <c r="P950" s="85"/>
      <c r="Q950" s="85"/>
      <c r="R950" s="81"/>
    </row>
    <row r="951" spans="7:18" x14ac:dyDescent="0.3">
      <c r="G951" s="85"/>
      <c r="H951" s="86"/>
      <c r="I951" s="86"/>
      <c r="J951" s="87"/>
      <c r="K951" s="85"/>
      <c r="L951" s="85"/>
      <c r="P951" s="85"/>
      <c r="Q951" s="85"/>
      <c r="R951" s="81"/>
    </row>
    <row r="952" spans="7:18" x14ac:dyDescent="0.3">
      <c r="G952" s="85"/>
      <c r="H952" s="86"/>
      <c r="I952" s="86"/>
      <c r="J952" s="87"/>
      <c r="K952" s="85"/>
      <c r="L952" s="85"/>
      <c r="P952" s="85"/>
      <c r="Q952" s="85"/>
      <c r="R952" s="81"/>
    </row>
    <row r="953" spans="7:18" x14ac:dyDescent="0.3">
      <c r="G953" s="85"/>
      <c r="H953" s="86"/>
      <c r="I953" s="86"/>
      <c r="J953" s="87"/>
      <c r="K953" s="85"/>
      <c r="L953" s="85"/>
      <c r="P953" s="85"/>
      <c r="Q953" s="85"/>
      <c r="R953" s="81"/>
    </row>
    <row r="954" spans="7:18" x14ac:dyDescent="0.3">
      <c r="G954" s="85"/>
      <c r="H954" s="86"/>
      <c r="I954" s="86"/>
      <c r="J954" s="87"/>
      <c r="K954" s="85"/>
      <c r="L954" s="85"/>
      <c r="P954" s="85"/>
      <c r="Q954" s="85"/>
      <c r="R954" s="81"/>
    </row>
    <row r="955" spans="7:18" x14ac:dyDescent="0.3">
      <c r="G955" s="85"/>
      <c r="H955" s="86"/>
      <c r="I955" s="86"/>
      <c r="J955" s="87"/>
      <c r="K955" s="85"/>
      <c r="L955" s="85"/>
      <c r="P955" s="85"/>
      <c r="Q955" s="85"/>
      <c r="R955" s="81"/>
    </row>
    <row r="956" spans="7:18" x14ac:dyDescent="0.3">
      <c r="G956" s="85"/>
      <c r="H956" s="86"/>
      <c r="I956" s="86"/>
      <c r="J956" s="87"/>
      <c r="K956" s="85"/>
      <c r="L956" s="85"/>
      <c r="P956" s="85"/>
      <c r="Q956" s="85"/>
      <c r="R956" s="81"/>
    </row>
    <row r="957" spans="7:18" x14ac:dyDescent="0.3">
      <c r="G957" s="85"/>
      <c r="H957" s="86"/>
      <c r="I957" s="86"/>
      <c r="J957" s="87"/>
      <c r="K957" s="85"/>
      <c r="L957" s="85"/>
      <c r="P957" s="85"/>
      <c r="Q957" s="85"/>
      <c r="R957" s="81"/>
    </row>
    <row r="958" spans="7:18" x14ac:dyDescent="0.3">
      <c r="G958" s="85"/>
      <c r="H958" s="86"/>
      <c r="I958" s="86"/>
      <c r="J958" s="87"/>
      <c r="K958" s="85"/>
      <c r="L958" s="85"/>
      <c r="P958" s="85"/>
      <c r="Q958" s="85"/>
      <c r="R958" s="81"/>
    </row>
    <row r="959" spans="7:18" x14ac:dyDescent="0.3">
      <c r="G959" s="85"/>
      <c r="H959" s="86"/>
      <c r="I959" s="86"/>
      <c r="J959" s="87"/>
      <c r="K959" s="85"/>
      <c r="L959" s="85"/>
      <c r="P959" s="85"/>
      <c r="Q959" s="85"/>
      <c r="R959" s="81"/>
    </row>
    <row r="960" spans="7:18" x14ac:dyDescent="0.3">
      <c r="G960" s="85"/>
      <c r="H960" s="86"/>
      <c r="I960" s="86"/>
      <c r="J960" s="87"/>
      <c r="K960" s="85"/>
      <c r="L960" s="85"/>
      <c r="P960" s="85"/>
      <c r="Q960" s="85"/>
      <c r="R960" s="81"/>
    </row>
    <row r="961" spans="7:18" x14ac:dyDescent="0.3">
      <c r="G961" s="85"/>
      <c r="H961" s="86"/>
      <c r="I961" s="86"/>
      <c r="J961" s="87"/>
      <c r="K961" s="85"/>
      <c r="L961" s="85"/>
      <c r="P961" s="85"/>
      <c r="Q961" s="85"/>
      <c r="R961" s="81"/>
    </row>
    <row r="962" spans="7:18" x14ac:dyDescent="0.3">
      <c r="G962" s="85"/>
      <c r="H962" s="86"/>
      <c r="I962" s="86"/>
      <c r="J962" s="87"/>
      <c r="K962" s="85"/>
      <c r="L962" s="85"/>
      <c r="P962" s="85"/>
      <c r="Q962" s="85"/>
      <c r="R962" s="81"/>
    </row>
    <row r="963" spans="7:18" x14ac:dyDescent="0.3">
      <c r="G963" s="85"/>
      <c r="H963" s="86"/>
      <c r="I963" s="86"/>
      <c r="J963" s="87"/>
      <c r="K963" s="85"/>
      <c r="L963" s="85"/>
      <c r="P963" s="85"/>
      <c r="Q963" s="85"/>
      <c r="R963" s="81"/>
    </row>
    <row r="964" spans="7:18" x14ac:dyDescent="0.3">
      <c r="G964" s="85"/>
      <c r="H964" s="86"/>
      <c r="I964" s="86"/>
      <c r="J964" s="87"/>
      <c r="K964" s="85"/>
      <c r="L964" s="85"/>
      <c r="P964" s="85"/>
      <c r="Q964" s="85"/>
      <c r="R964" s="81"/>
    </row>
    <row r="965" spans="7:18" x14ac:dyDescent="0.3">
      <c r="G965" s="85"/>
      <c r="H965" s="86"/>
      <c r="I965" s="86"/>
      <c r="J965" s="87"/>
      <c r="K965" s="85"/>
      <c r="L965" s="85"/>
      <c r="P965" s="85"/>
      <c r="Q965" s="85"/>
      <c r="R965" s="81"/>
    </row>
    <row r="966" spans="7:18" x14ac:dyDescent="0.3">
      <c r="G966" s="85"/>
      <c r="H966" s="86"/>
      <c r="I966" s="86"/>
      <c r="J966" s="87"/>
      <c r="K966" s="85"/>
      <c r="L966" s="85"/>
      <c r="P966" s="85"/>
      <c r="Q966" s="85"/>
      <c r="R966" s="81"/>
    </row>
    <row r="967" spans="7:18" x14ac:dyDescent="0.3">
      <c r="G967" s="85"/>
      <c r="H967" s="86"/>
      <c r="I967" s="86"/>
      <c r="J967" s="87"/>
      <c r="K967" s="85"/>
      <c r="L967" s="85"/>
      <c r="P967" s="85"/>
      <c r="Q967" s="85"/>
      <c r="R967" s="81"/>
    </row>
    <row r="968" spans="7:18" x14ac:dyDescent="0.3">
      <c r="G968" s="85"/>
      <c r="H968" s="86"/>
      <c r="I968" s="86"/>
      <c r="J968" s="87"/>
      <c r="K968" s="85"/>
      <c r="L968" s="85"/>
      <c r="P968" s="85"/>
      <c r="Q968" s="85"/>
      <c r="R968" s="81"/>
    </row>
    <row r="969" spans="7:18" x14ac:dyDescent="0.3">
      <c r="G969" s="85"/>
      <c r="H969" s="86"/>
      <c r="I969" s="86"/>
      <c r="J969" s="87"/>
      <c r="K969" s="85"/>
      <c r="L969" s="85"/>
      <c r="P969" s="85"/>
      <c r="Q969" s="85"/>
      <c r="R969" s="81"/>
    </row>
    <row r="970" spans="7:18" x14ac:dyDescent="0.3">
      <c r="G970" s="85"/>
      <c r="H970" s="86"/>
      <c r="I970" s="86"/>
      <c r="J970" s="87"/>
      <c r="K970" s="85"/>
      <c r="L970" s="85"/>
      <c r="P970" s="85"/>
      <c r="Q970" s="85"/>
      <c r="R970" s="81"/>
    </row>
    <row r="971" spans="7:18" x14ac:dyDescent="0.3">
      <c r="G971" s="85"/>
      <c r="H971" s="86"/>
      <c r="I971" s="86"/>
      <c r="J971" s="87"/>
      <c r="K971" s="85"/>
      <c r="L971" s="85"/>
      <c r="P971" s="85"/>
      <c r="Q971" s="85"/>
      <c r="R971" s="81"/>
    </row>
    <row r="972" spans="7:18" x14ac:dyDescent="0.3">
      <c r="G972" s="85"/>
      <c r="H972" s="86"/>
      <c r="I972" s="86"/>
      <c r="J972" s="87"/>
      <c r="K972" s="85"/>
      <c r="L972" s="85"/>
      <c r="P972" s="85"/>
      <c r="Q972" s="85"/>
      <c r="R972" s="81"/>
    </row>
    <row r="973" spans="7:18" x14ac:dyDescent="0.3">
      <c r="G973" s="85"/>
      <c r="H973" s="86"/>
      <c r="I973" s="86"/>
      <c r="J973" s="87"/>
      <c r="K973" s="85"/>
      <c r="L973" s="85"/>
      <c r="P973" s="85"/>
      <c r="Q973" s="85"/>
      <c r="R973" s="81"/>
    </row>
    <row r="974" spans="7:18" x14ac:dyDescent="0.3">
      <c r="G974" s="85"/>
      <c r="H974" s="86"/>
      <c r="I974" s="86"/>
      <c r="J974" s="87"/>
      <c r="K974" s="85"/>
      <c r="L974" s="85"/>
      <c r="P974" s="85"/>
      <c r="Q974" s="85"/>
      <c r="R974" s="81"/>
    </row>
    <row r="975" spans="7:18" x14ac:dyDescent="0.3">
      <c r="G975" s="85"/>
      <c r="H975" s="86"/>
      <c r="I975" s="86"/>
      <c r="J975" s="87"/>
      <c r="K975" s="85"/>
      <c r="L975" s="85"/>
      <c r="P975" s="85"/>
      <c r="Q975" s="85"/>
      <c r="R975" s="81"/>
    </row>
    <row r="976" spans="7:18" x14ac:dyDescent="0.3">
      <c r="G976" s="85"/>
      <c r="H976" s="86"/>
      <c r="I976" s="86"/>
      <c r="J976" s="87"/>
      <c r="K976" s="85"/>
      <c r="L976" s="85"/>
      <c r="P976" s="85"/>
      <c r="Q976" s="85"/>
      <c r="R976" s="81"/>
    </row>
    <row r="977" spans="7:18" x14ac:dyDescent="0.3">
      <c r="G977" s="85"/>
      <c r="H977" s="86"/>
      <c r="I977" s="86"/>
      <c r="J977" s="87"/>
      <c r="K977" s="85"/>
      <c r="L977" s="85"/>
      <c r="P977" s="85"/>
      <c r="Q977" s="85"/>
      <c r="R977" s="81"/>
    </row>
    <row r="978" spans="7:18" x14ac:dyDescent="0.3">
      <c r="G978" s="85"/>
      <c r="H978" s="86"/>
      <c r="I978" s="86"/>
      <c r="J978" s="87"/>
      <c r="K978" s="85"/>
      <c r="L978" s="85"/>
      <c r="P978" s="85"/>
      <c r="Q978" s="85"/>
      <c r="R978" s="81"/>
    </row>
    <row r="979" spans="7:18" x14ac:dyDescent="0.3">
      <c r="G979" s="85"/>
      <c r="H979" s="86"/>
      <c r="I979" s="86"/>
      <c r="J979" s="87"/>
      <c r="K979" s="85"/>
      <c r="L979" s="85"/>
      <c r="P979" s="85"/>
      <c r="Q979" s="85"/>
      <c r="R979" s="81"/>
    </row>
    <row r="980" spans="7:18" x14ac:dyDescent="0.3">
      <c r="G980" s="85"/>
      <c r="H980" s="86"/>
      <c r="I980" s="86"/>
      <c r="J980" s="87"/>
      <c r="K980" s="85"/>
      <c r="L980" s="85"/>
      <c r="P980" s="85"/>
      <c r="Q980" s="85"/>
      <c r="R980" s="81"/>
    </row>
    <row r="981" spans="7:18" x14ac:dyDescent="0.3">
      <c r="G981" s="85"/>
      <c r="H981" s="86"/>
      <c r="I981" s="86"/>
      <c r="J981" s="87"/>
      <c r="K981" s="85"/>
      <c r="L981" s="85"/>
      <c r="P981" s="85"/>
      <c r="Q981" s="85"/>
      <c r="R981" s="81"/>
    </row>
    <row r="982" spans="7:18" x14ac:dyDescent="0.3">
      <c r="G982" s="85"/>
      <c r="H982" s="86"/>
      <c r="I982" s="86"/>
      <c r="J982" s="87"/>
      <c r="K982" s="85"/>
      <c r="L982" s="85"/>
      <c r="P982" s="85"/>
      <c r="Q982" s="85"/>
      <c r="R982" s="81"/>
    </row>
    <row r="983" spans="7:18" x14ac:dyDescent="0.3">
      <c r="G983" s="85"/>
      <c r="H983" s="86"/>
      <c r="I983" s="86"/>
      <c r="J983" s="87"/>
      <c r="K983" s="85"/>
      <c r="L983" s="85"/>
      <c r="P983" s="85"/>
      <c r="Q983" s="85"/>
      <c r="R983" s="81"/>
    </row>
    <row r="984" spans="7:18" x14ac:dyDescent="0.3">
      <c r="G984" s="85"/>
      <c r="H984" s="86"/>
      <c r="I984" s="86"/>
      <c r="J984" s="87"/>
      <c r="K984" s="85"/>
      <c r="L984" s="85"/>
      <c r="P984" s="85"/>
      <c r="Q984" s="85"/>
      <c r="R984" s="81"/>
    </row>
    <row r="985" spans="7:18" x14ac:dyDescent="0.3">
      <c r="G985" s="85"/>
      <c r="H985" s="86"/>
      <c r="I985" s="86"/>
      <c r="J985" s="87"/>
      <c r="K985" s="85"/>
      <c r="L985" s="85"/>
      <c r="P985" s="85"/>
      <c r="Q985" s="85"/>
      <c r="R985" s="81"/>
    </row>
    <row r="986" spans="7:18" x14ac:dyDescent="0.3">
      <c r="G986" s="85"/>
      <c r="H986" s="86"/>
      <c r="I986" s="86"/>
      <c r="J986" s="87"/>
      <c r="K986" s="85"/>
      <c r="L986" s="85"/>
      <c r="P986" s="85"/>
      <c r="Q986" s="85"/>
      <c r="R986" s="81"/>
    </row>
    <row r="987" spans="7:18" x14ac:dyDescent="0.3">
      <c r="G987" s="85"/>
      <c r="H987" s="86"/>
      <c r="I987" s="86"/>
      <c r="J987" s="87"/>
      <c r="K987" s="85"/>
      <c r="L987" s="85"/>
      <c r="P987" s="85"/>
      <c r="Q987" s="85"/>
      <c r="R987" s="81"/>
    </row>
    <row r="988" spans="7:18" x14ac:dyDescent="0.3">
      <c r="G988" s="85"/>
      <c r="H988" s="86"/>
      <c r="I988" s="86"/>
      <c r="J988" s="87"/>
      <c r="K988" s="85"/>
      <c r="L988" s="85"/>
      <c r="P988" s="85"/>
      <c r="Q988" s="85"/>
      <c r="R988" s="81"/>
    </row>
    <row r="989" spans="7:18" x14ac:dyDescent="0.3">
      <c r="G989" s="85"/>
      <c r="H989" s="86"/>
      <c r="I989" s="86"/>
      <c r="J989" s="87"/>
      <c r="K989" s="85"/>
      <c r="L989" s="85"/>
      <c r="P989" s="85"/>
      <c r="Q989" s="85"/>
      <c r="R989" s="81"/>
    </row>
    <row r="990" spans="7:18" x14ac:dyDescent="0.3">
      <c r="G990" s="85"/>
      <c r="H990" s="86"/>
      <c r="I990" s="86"/>
      <c r="J990" s="87"/>
      <c r="K990" s="85"/>
      <c r="L990" s="85"/>
      <c r="P990" s="85"/>
      <c r="Q990" s="85"/>
      <c r="R990" s="81"/>
    </row>
    <row r="991" spans="7:18" x14ac:dyDescent="0.3">
      <c r="G991" s="85"/>
      <c r="H991" s="86"/>
      <c r="I991" s="86"/>
      <c r="J991" s="87"/>
      <c r="K991" s="85"/>
      <c r="L991" s="85"/>
      <c r="P991" s="85"/>
      <c r="Q991" s="85"/>
      <c r="R991" s="81"/>
    </row>
    <row r="992" spans="7:18" x14ac:dyDescent="0.3">
      <c r="G992" s="85"/>
      <c r="H992" s="86"/>
      <c r="I992" s="86"/>
      <c r="J992" s="87"/>
      <c r="K992" s="85"/>
      <c r="L992" s="85"/>
      <c r="P992" s="85"/>
      <c r="Q992" s="85"/>
      <c r="R992" s="81"/>
    </row>
    <row r="993" spans="7:18" x14ac:dyDescent="0.3">
      <c r="G993" s="85"/>
      <c r="H993" s="86"/>
      <c r="I993" s="86"/>
      <c r="J993" s="87"/>
      <c r="K993" s="85"/>
      <c r="L993" s="85"/>
      <c r="P993" s="85"/>
      <c r="Q993" s="85"/>
      <c r="R993" s="81"/>
    </row>
    <row r="994" spans="7:18" x14ac:dyDescent="0.3">
      <c r="G994" s="85"/>
      <c r="H994" s="86"/>
      <c r="I994" s="86"/>
      <c r="J994" s="87"/>
      <c r="K994" s="85"/>
      <c r="L994" s="85"/>
      <c r="P994" s="85"/>
      <c r="Q994" s="85"/>
      <c r="R994" s="81"/>
    </row>
    <row r="995" spans="7:18" x14ac:dyDescent="0.3">
      <c r="G995" s="85"/>
      <c r="H995" s="86"/>
      <c r="I995" s="86"/>
      <c r="J995" s="87"/>
      <c r="K995" s="85"/>
      <c r="L995" s="85"/>
      <c r="P995" s="85"/>
      <c r="Q995" s="85"/>
      <c r="R995" s="81"/>
    </row>
    <row r="996" spans="7:18" x14ac:dyDescent="0.3">
      <c r="G996" s="85"/>
      <c r="H996" s="86"/>
      <c r="I996" s="86"/>
      <c r="J996" s="87"/>
      <c r="K996" s="85"/>
      <c r="L996" s="85"/>
      <c r="P996" s="85"/>
      <c r="Q996" s="85"/>
      <c r="R996" s="81"/>
    </row>
    <row r="997" spans="7:18" x14ac:dyDescent="0.3">
      <c r="G997" s="85"/>
      <c r="H997" s="86"/>
      <c r="I997" s="86"/>
      <c r="J997" s="87"/>
      <c r="K997" s="85"/>
      <c r="L997" s="85"/>
      <c r="P997" s="85"/>
      <c r="Q997" s="85"/>
      <c r="R997" s="81"/>
    </row>
    <row r="998" spans="7:18" x14ac:dyDescent="0.3">
      <c r="G998" s="85"/>
      <c r="H998" s="86"/>
      <c r="I998" s="86"/>
      <c r="J998" s="87"/>
      <c r="K998" s="85"/>
      <c r="L998" s="85"/>
      <c r="P998" s="85"/>
      <c r="Q998" s="85"/>
      <c r="R998" s="81"/>
    </row>
    <row r="999" spans="7:18" x14ac:dyDescent="0.3">
      <c r="G999" s="85"/>
      <c r="H999" s="86"/>
      <c r="I999" s="86"/>
      <c r="J999" s="87"/>
      <c r="K999" s="85"/>
      <c r="L999" s="85"/>
      <c r="P999" s="85"/>
      <c r="Q999" s="85"/>
      <c r="R999" s="81"/>
    </row>
    <row r="1000" spans="7:18" x14ac:dyDescent="0.3">
      <c r="G1000" s="85"/>
      <c r="H1000" s="86"/>
      <c r="I1000" s="86"/>
      <c r="J1000" s="87"/>
      <c r="K1000" s="85"/>
      <c r="L1000" s="85"/>
      <c r="P1000" s="85"/>
      <c r="Q1000" s="85"/>
      <c r="R1000" s="81"/>
    </row>
    <row r="1001" spans="7:18" x14ac:dyDescent="0.3">
      <c r="G1001" s="85"/>
      <c r="H1001" s="86"/>
      <c r="I1001" s="86"/>
      <c r="J1001" s="87"/>
      <c r="K1001" s="85"/>
      <c r="L1001" s="85"/>
      <c r="P1001" s="85"/>
      <c r="Q1001" s="85"/>
      <c r="R1001" s="81"/>
    </row>
    <row r="1002" spans="7:18" x14ac:dyDescent="0.3">
      <c r="G1002" s="85"/>
      <c r="H1002" s="86"/>
      <c r="I1002" s="86"/>
      <c r="J1002" s="87"/>
      <c r="K1002" s="85"/>
      <c r="L1002" s="85"/>
      <c r="P1002" s="85"/>
      <c r="Q1002" s="85"/>
      <c r="R1002" s="81"/>
    </row>
    <row r="1003" spans="7:18" x14ac:dyDescent="0.3">
      <c r="G1003" s="85"/>
      <c r="H1003" s="86"/>
      <c r="I1003" s="86"/>
      <c r="J1003" s="87"/>
      <c r="K1003" s="85"/>
      <c r="L1003" s="85"/>
      <c r="P1003" s="85"/>
      <c r="Q1003" s="85"/>
      <c r="R1003" s="81"/>
    </row>
    <row r="1004" spans="7:18" x14ac:dyDescent="0.3">
      <c r="G1004" s="85"/>
      <c r="H1004" s="86"/>
      <c r="I1004" s="86"/>
      <c r="J1004" s="87"/>
      <c r="K1004" s="85"/>
      <c r="L1004" s="85"/>
      <c r="P1004" s="85"/>
      <c r="Q1004" s="85"/>
      <c r="R1004" s="81"/>
    </row>
    <row r="1005" spans="7:18" x14ac:dyDescent="0.3">
      <c r="G1005" s="85"/>
      <c r="H1005" s="86"/>
      <c r="I1005" s="86"/>
      <c r="J1005" s="87"/>
      <c r="K1005" s="85"/>
      <c r="L1005" s="85"/>
      <c r="P1005" s="85"/>
      <c r="Q1005" s="85"/>
      <c r="R1005" s="81"/>
    </row>
    <row r="1006" spans="7:18" x14ac:dyDescent="0.3">
      <c r="G1006" s="85"/>
      <c r="H1006" s="86"/>
      <c r="I1006" s="86"/>
      <c r="J1006" s="87"/>
      <c r="K1006" s="85"/>
      <c r="L1006" s="85"/>
      <c r="P1006" s="85"/>
      <c r="Q1006" s="85"/>
      <c r="R1006" s="81"/>
    </row>
    <row r="1007" spans="7:18" x14ac:dyDescent="0.3">
      <c r="G1007" s="85"/>
      <c r="H1007" s="86"/>
      <c r="I1007" s="86"/>
      <c r="J1007" s="87"/>
      <c r="K1007" s="85"/>
      <c r="L1007" s="85"/>
      <c r="P1007" s="85"/>
      <c r="Q1007" s="85"/>
      <c r="R1007" s="81"/>
    </row>
    <row r="1008" spans="7:18" x14ac:dyDescent="0.3">
      <c r="G1008" s="85"/>
      <c r="H1008" s="86"/>
      <c r="I1008" s="86"/>
      <c r="J1008" s="87"/>
      <c r="K1008" s="85"/>
      <c r="L1008" s="85"/>
      <c r="P1008" s="85"/>
      <c r="Q1008" s="85"/>
      <c r="R1008" s="81"/>
    </row>
    <row r="1009" spans="7:18" x14ac:dyDescent="0.3">
      <c r="G1009" s="85"/>
      <c r="H1009" s="86"/>
      <c r="I1009" s="86"/>
      <c r="J1009" s="87"/>
      <c r="K1009" s="85"/>
      <c r="L1009" s="85"/>
      <c r="P1009" s="85"/>
      <c r="Q1009" s="85"/>
      <c r="R1009" s="81"/>
    </row>
    <row r="1010" spans="7:18" x14ac:dyDescent="0.3">
      <c r="G1010" s="85"/>
      <c r="H1010" s="86"/>
      <c r="I1010" s="86"/>
      <c r="J1010" s="87"/>
      <c r="K1010" s="85"/>
      <c r="L1010" s="85"/>
      <c r="P1010" s="85"/>
      <c r="Q1010" s="85"/>
      <c r="R1010" s="81"/>
    </row>
    <row r="1011" spans="7:18" x14ac:dyDescent="0.3">
      <c r="G1011" s="85"/>
      <c r="H1011" s="86"/>
      <c r="I1011" s="86"/>
      <c r="J1011" s="87"/>
      <c r="K1011" s="85"/>
      <c r="L1011" s="85"/>
      <c r="P1011" s="85"/>
      <c r="Q1011" s="85"/>
      <c r="R1011" s="81"/>
    </row>
    <row r="1012" spans="7:18" x14ac:dyDescent="0.3">
      <c r="G1012" s="85"/>
      <c r="H1012" s="86"/>
      <c r="I1012" s="86"/>
      <c r="J1012" s="87"/>
      <c r="K1012" s="85"/>
      <c r="L1012" s="85"/>
      <c r="P1012" s="85"/>
      <c r="Q1012" s="85"/>
      <c r="R1012" s="81"/>
    </row>
    <row r="1013" spans="7:18" x14ac:dyDescent="0.3">
      <c r="G1013" s="85"/>
      <c r="H1013" s="86"/>
      <c r="I1013" s="86"/>
      <c r="J1013" s="87"/>
      <c r="K1013" s="85"/>
      <c r="L1013" s="85"/>
      <c r="P1013" s="85"/>
      <c r="Q1013" s="85"/>
      <c r="R1013" s="81"/>
    </row>
    <row r="1014" spans="7:18" x14ac:dyDescent="0.3">
      <c r="G1014" s="85"/>
      <c r="H1014" s="86"/>
      <c r="I1014" s="86"/>
      <c r="J1014" s="87"/>
      <c r="K1014" s="85"/>
      <c r="L1014" s="85"/>
      <c r="P1014" s="85"/>
      <c r="Q1014" s="85"/>
      <c r="R1014" s="81"/>
    </row>
    <row r="1015" spans="7:18" x14ac:dyDescent="0.3">
      <c r="G1015" s="85"/>
      <c r="H1015" s="86"/>
      <c r="I1015" s="86"/>
      <c r="J1015" s="87"/>
      <c r="K1015" s="85"/>
      <c r="L1015" s="85"/>
      <c r="P1015" s="85"/>
      <c r="Q1015" s="85"/>
      <c r="R1015" s="81"/>
    </row>
    <row r="1016" spans="7:18" x14ac:dyDescent="0.3">
      <c r="G1016" s="85"/>
      <c r="H1016" s="86"/>
      <c r="I1016" s="86"/>
      <c r="J1016" s="87"/>
      <c r="K1016" s="85"/>
      <c r="L1016" s="85"/>
      <c r="P1016" s="85"/>
      <c r="Q1016" s="85"/>
      <c r="R1016" s="81"/>
    </row>
    <row r="1017" spans="7:18" x14ac:dyDescent="0.3">
      <c r="G1017" s="85"/>
      <c r="H1017" s="86"/>
      <c r="I1017" s="86"/>
      <c r="J1017" s="87"/>
      <c r="K1017" s="85"/>
      <c r="L1017" s="85"/>
      <c r="P1017" s="85"/>
      <c r="Q1017" s="85"/>
      <c r="R1017" s="81"/>
    </row>
    <row r="1018" spans="7:18" x14ac:dyDescent="0.3">
      <c r="G1018" s="85"/>
      <c r="H1018" s="86"/>
      <c r="I1018" s="86"/>
      <c r="J1018" s="87"/>
      <c r="K1018" s="85"/>
      <c r="L1018" s="85"/>
      <c r="P1018" s="85"/>
      <c r="Q1018" s="85"/>
      <c r="R1018" s="81"/>
    </row>
    <row r="1019" spans="7:18" x14ac:dyDescent="0.3">
      <c r="G1019" s="85"/>
      <c r="H1019" s="86"/>
      <c r="I1019" s="86"/>
      <c r="J1019" s="87"/>
      <c r="K1019" s="85"/>
      <c r="L1019" s="85"/>
      <c r="P1019" s="85"/>
      <c r="Q1019" s="85"/>
      <c r="R1019" s="81"/>
    </row>
    <row r="1020" spans="7:18" x14ac:dyDescent="0.3">
      <c r="G1020" s="85"/>
      <c r="H1020" s="86"/>
      <c r="I1020" s="86"/>
      <c r="J1020" s="87"/>
      <c r="K1020" s="85"/>
      <c r="L1020" s="85"/>
      <c r="P1020" s="85"/>
      <c r="Q1020" s="85"/>
      <c r="R1020" s="81"/>
    </row>
    <row r="1021" spans="7:18" x14ac:dyDescent="0.3">
      <c r="G1021" s="85"/>
      <c r="H1021" s="86"/>
      <c r="I1021" s="86"/>
      <c r="J1021" s="87"/>
      <c r="K1021" s="85"/>
      <c r="L1021" s="85"/>
      <c r="P1021" s="85"/>
      <c r="Q1021" s="85"/>
      <c r="R1021" s="81"/>
    </row>
    <row r="1022" spans="7:18" x14ac:dyDescent="0.3">
      <c r="G1022" s="85"/>
      <c r="H1022" s="86"/>
      <c r="I1022" s="86"/>
      <c r="J1022" s="87"/>
      <c r="K1022" s="85"/>
      <c r="L1022" s="85"/>
      <c r="P1022" s="85"/>
      <c r="Q1022" s="85"/>
      <c r="R1022" s="81"/>
    </row>
    <row r="1023" spans="7:18" x14ac:dyDescent="0.3">
      <c r="G1023" s="85"/>
      <c r="H1023" s="86"/>
      <c r="I1023" s="86"/>
      <c r="J1023" s="87"/>
      <c r="K1023" s="85"/>
      <c r="L1023" s="85"/>
      <c r="P1023" s="85"/>
      <c r="Q1023" s="85"/>
      <c r="R1023" s="81"/>
    </row>
    <row r="1024" spans="7:18" x14ac:dyDescent="0.3">
      <c r="G1024" s="85"/>
      <c r="H1024" s="86"/>
      <c r="I1024" s="86"/>
      <c r="J1024" s="87"/>
      <c r="K1024" s="85"/>
      <c r="L1024" s="85"/>
      <c r="P1024" s="85"/>
      <c r="Q1024" s="85"/>
      <c r="R1024" s="81"/>
    </row>
    <row r="1025" spans="7:18" x14ac:dyDescent="0.3">
      <c r="G1025" s="85"/>
      <c r="H1025" s="86"/>
      <c r="I1025" s="86"/>
      <c r="J1025" s="87"/>
      <c r="K1025" s="85"/>
      <c r="L1025" s="85"/>
      <c r="P1025" s="85"/>
      <c r="Q1025" s="85"/>
      <c r="R1025" s="81"/>
    </row>
    <row r="1026" spans="7:18" x14ac:dyDescent="0.3">
      <c r="G1026" s="85"/>
      <c r="H1026" s="86"/>
      <c r="I1026" s="86"/>
      <c r="J1026" s="87"/>
      <c r="K1026" s="85"/>
      <c r="L1026" s="85"/>
      <c r="P1026" s="85"/>
      <c r="Q1026" s="85"/>
      <c r="R1026" s="81"/>
    </row>
    <row r="1027" spans="7:18" x14ac:dyDescent="0.3">
      <c r="G1027" s="85"/>
      <c r="H1027" s="86"/>
      <c r="I1027" s="86"/>
      <c r="J1027" s="87"/>
      <c r="K1027" s="85"/>
      <c r="L1027" s="85"/>
      <c r="P1027" s="85"/>
      <c r="Q1027" s="85"/>
      <c r="R1027" s="81"/>
    </row>
    <row r="1028" spans="7:18" x14ac:dyDescent="0.3">
      <c r="G1028" s="85"/>
      <c r="H1028" s="86"/>
      <c r="I1028" s="86"/>
      <c r="J1028" s="87"/>
      <c r="K1028" s="85"/>
      <c r="L1028" s="85"/>
      <c r="P1028" s="85"/>
      <c r="Q1028" s="85"/>
      <c r="R1028" s="81"/>
    </row>
    <row r="1029" spans="7:18" x14ac:dyDescent="0.3">
      <c r="G1029" s="85"/>
      <c r="H1029" s="86"/>
      <c r="I1029" s="86"/>
      <c r="J1029" s="87"/>
      <c r="K1029" s="85"/>
      <c r="L1029" s="85"/>
      <c r="P1029" s="85"/>
      <c r="Q1029" s="85"/>
      <c r="R1029" s="81"/>
    </row>
    <row r="1030" spans="7:18" x14ac:dyDescent="0.3">
      <c r="G1030" s="85"/>
      <c r="H1030" s="86"/>
      <c r="I1030" s="86"/>
      <c r="J1030" s="87"/>
      <c r="K1030" s="85"/>
      <c r="L1030" s="85"/>
      <c r="P1030" s="85"/>
      <c r="Q1030" s="85"/>
      <c r="R1030" s="81"/>
    </row>
    <row r="1031" spans="7:18" x14ac:dyDescent="0.3">
      <c r="G1031" s="85"/>
      <c r="H1031" s="86"/>
      <c r="I1031" s="86"/>
      <c r="J1031" s="87"/>
      <c r="K1031" s="85"/>
      <c r="L1031" s="85"/>
      <c r="P1031" s="85"/>
      <c r="Q1031" s="85"/>
      <c r="R1031" s="81"/>
    </row>
    <row r="1032" spans="7:18" x14ac:dyDescent="0.3">
      <c r="G1032" s="85"/>
      <c r="H1032" s="86"/>
      <c r="I1032" s="86"/>
      <c r="J1032" s="87"/>
      <c r="K1032" s="85"/>
      <c r="L1032" s="85"/>
      <c r="P1032" s="85"/>
      <c r="Q1032" s="85"/>
      <c r="R1032" s="81"/>
    </row>
    <row r="1033" spans="7:18" x14ac:dyDescent="0.3">
      <c r="G1033" s="85"/>
      <c r="H1033" s="86"/>
      <c r="I1033" s="86"/>
      <c r="J1033" s="87"/>
      <c r="K1033" s="85"/>
      <c r="L1033" s="85"/>
      <c r="P1033" s="85"/>
      <c r="Q1033" s="85"/>
      <c r="R1033" s="81"/>
    </row>
    <row r="1034" spans="7:18" x14ac:dyDescent="0.3">
      <c r="G1034" s="85"/>
      <c r="H1034" s="86"/>
      <c r="I1034" s="86"/>
      <c r="J1034" s="87"/>
      <c r="K1034" s="85"/>
      <c r="L1034" s="85"/>
      <c r="P1034" s="85"/>
      <c r="Q1034" s="85"/>
      <c r="R1034" s="81"/>
    </row>
    <row r="1035" spans="7:18" x14ac:dyDescent="0.3">
      <c r="G1035" s="85"/>
      <c r="H1035" s="86"/>
      <c r="I1035" s="86"/>
      <c r="J1035" s="87"/>
      <c r="K1035" s="85"/>
      <c r="L1035" s="85"/>
      <c r="P1035" s="85"/>
      <c r="Q1035" s="85"/>
      <c r="R1035" s="81"/>
    </row>
    <row r="1036" spans="7:18" x14ac:dyDescent="0.3">
      <c r="G1036" s="85"/>
      <c r="H1036" s="86"/>
      <c r="I1036" s="86"/>
      <c r="J1036" s="87"/>
      <c r="K1036" s="85"/>
      <c r="L1036" s="85"/>
      <c r="P1036" s="85"/>
      <c r="Q1036" s="85"/>
      <c r="R1036" s="81"/>
    </row>
    <row r="1037" spans="7:18" x14ac:dyDescent="0.3">
      <c r="G1037" s="85"/>
      <c r="H1037" s="86"/>
      <c r="I1037" s="86"/>
      <c r="J1037" s="87"/>
      <c r="K1037" s="85"/>
      <c r="L1037" s="85"/>
      <c r="P1037" s="85"/>
      <c r="Q1037" s="85"/>
      <c r="R1037" s="81"/>
    </row>
    <row r="1038" spans="7:18" x14ac:dyDescent="0.3">
      <c r="G1038" s="85"/>
      <c r="H1038" s="86"/>
      <c r="I1038" s="86"/>
      <c r="J1038" s="87"/>
      <c r="K1038" s="85"/>
      <c r="L1038" s="85"/>
      <c r="P1038" s="85"/>
      <c r="Q1038" s="85"/>
      <c r="R1038" s="81"/>
    </row>
    <row r="1039" spans="7:18" x14ac:dyDescent="0.3">
      <c r="G1039" s="85"/>
      <c r="H1039" s="86"/>
      <c r="I1039" s="86"/>
      <c r="J1039" s="87"/>
      <c r="K1039" s="85"/>
      <c r="L1039" s="85"/>
      <c r="P1039" s="85"/>
      <c r="Q1039" s="85"/>
      <c r="R1039" s="81"/>
    </row>
    <row r="1040" spans="7:18" x14ac:dyDescent="0.3">
      <c r="G1040" s="85"/>
      <c r="H1040" s="86"/>
      <c r="I1040" s="86"/>
      <c r="J1040" s="87"/>
      <c r="K1040" s="85"/>
      <c r="L1040" s="85"/>
      <c r="P1040" s="85"/>
      <c r="Q1040" s="85"/>
      <c r="R1040" s="81"/>
    </row>
    <row r="1041" spans="7:18" x14ac:dyDescent="0.3">
      <c r="G1041" s="85"/>
      <c r="H1041" s="86"/>
      <c r="I1041" s="86"/>
      <c r="J1041" s="87"/>
      <c r="K1041" s="85"/>
      <c r="L1041" s="85"/>
      <c r="P1041" s="85"/>
      <c r="Q1041" s="85"/>
      <c r="R1041" s="81"/>
    </row>
    <row r="1042" spans="7:18" x14ac:dyDescent="0.3">
      <c r="G1042" s="85"/>
      <c r="H1042" s="86"/>
      <c r="I1042" s="86"/>
      <c r="J1042" s="87"/>
      <c r="K1042" s="85"/>
      <c r="L1042" s="85"/>
      <c r="P1042" s="85"/>
      <c r="Q1042" s="85"/>
      <c r="R1042" s="81"/>
    </row>
    <row r="1043" spans="7:18" x14ac:dyDescent="0.3">
      <c r="G1043" s="85"/>
      <c r="H1043" s="86"/>
      <c r="I1043" s="86"/>
      <c r="J1043" s="87"/>
      <c r="K1043" s="85"/>
      <c r="L1043" s="85"/>
      <c r="P1043" s="85"/>
      <c r="Q1043" s="85"/>
      <c r="R1043" s="81"/>
    </row>
    <row r="1044" spans="7:18" x14ac:dyDescent="0.3">
      <c r="G1044" s="85"/>
      <c r="H1044" s="86"/>
      <c r="I1044" s="86"/>
      <c r="J1044" s="87"/>
      <c r="K1044" s="85"/>
      <c r="L1044" s="85"/>
      <c r="P1044" s="85"/>
      <c r="Q1044" s="85"/>
      <c r="R1044" s="81"/>
    </row>
    <row r="1045" spans="7:18" x14ac:dyDescent="0.3">
      <c r="G1045" s="85"/>
      <c r="H1045" s="86"/>
      <c r="I1045" s="86"/>
      <c r="J1045" s="87"/>
      <c r="K1045" s="85"/>
      <c r="L1045" s="85"/>
      <c r="P1045" s="85"/>
      <c r="Q1045" s="85"/>
      <c r="R1045" s="81"/>
    </row>
    <row r="1046" spans="7:18" x14ac:dyDescent="0.3">
      <c r="G1046" s="85"/>
      <c r="H1046" s="86"/>
      <c r="I1046" s="86"/>
      <c r="J1046" s="87"/>
      <c r="K1046" s="85"/>
      <c r="L1046" s="85"/>
      <c r="P1046" s="85"/>
      <c r="Q1046" s="85"/>
      <c r="R1046" s="81"/>
    </row>
    <row r="1047" spans="7:18" x14ac:dyDescent="0.3">
      <c r="G1047" s="85"/>
      <c r="H1047" s="86"/>
      <c r="I1047" s="86"/>
      <c r="J1047" s="87"/>
      <c r="K1047" s="85"/>
      <c r="L1047" s="85"/>
      <c r="P1047" s="85"/>
      <c r="Q1047" s="85"/>
      <c r="R1047" s="81"/>
    </row>
    <row r="1048" spans="7:18" x14ac:dyDescent="0.3">
      <c r="G1048" s="85"/>
      <c r="H1048" s="86"/>
      <c r="I1048" s="86"/>
      <c r="J1048" s="87"/>
      <c r="K1048" s="85"/>
      <c r="L1048" s="85"/>
      <c r="P1048" s="85"/>
      <c r="Q1048" s="85"/>
      <c r="R1048" s="81"/>
    </row>
    <row r="1049" spans="7:18" x14ac:dyDescent="0.3">
      <c r="G1049" s="85"/>
      <c r="H1049" s="86"/>
      <c r="I1049" s="86"/>
      <c r="J1049" s="87"/>
      <c r="K1049" s="85"/>
      <c r="L1049" s="85"/>
      <c r="P1049" s="85"/>
      <c r="Q1049" s="85"/>
      <c r="R1049" s="81"/>
    </row>
    <row r="1050" spans="7:18" x14ac:dyDescent="0.3">
      <c r="G1050" s="85"/>
      <c r="H1050" s="86"/>
      <c r="I1050" s="86"/>
      <c r="J1050" s="87"/>
      <c r="K1050" s="85"/>
      <c r="L1050" s="85"/>
      <c r="P1050" s="85"/>
      <c r="Q1050" s="85"/>
      <c r="R1050" s="81"/>
    </row>
    <row r="1051" spans="7:18" x14ac:dyDescent="0.3">
      <c r="G1051" s="85"/>
      <c r="H1051" s="86"/>
      <c r="I1051" s="86"/>
      <c r="J1051" s="87"/>
      <c r="K1051" s="85"/>
      <c r="L1051" s="85"/>
      <c r="P1051" s="85"/>
      <c r="Q1051" s="85"/>
      <c r="R1051" s="81"/>
    </row>
    <row r="1052" spans="7:18" x14ac:dyDescent="0.3">
      <c r="G1052" s="85"/>
      <c r="H1052" s="86"/>
      <c r="I1052" s="86"/>
      <c r="J1052" s="87"/>
      <c r="K1052" s="85"/>
      <c r="L1052" s="85"/>
      <c r="P1052" s="85"/>
      <c r="Q1052" s="85"/>
      <c r="R1052" s="81"/>
    </row>
    <row r="1053" spans="7:18" x14ac:dyDescent="0.3">
      <c r="G1053" s="85"/>
      <c r="H1053" s="86"/>
      <c r="I1053" s="86"/>
      <c r="J1053" s="87"/>
      <c r="K1053" s="85"/>
      <c r="L1053" s="85"/>
      <c r="P1053" s="85"/>
      <c r="Q1053" s="85"/>
      <c r="R1053" s="81"/>
    </row>
    <row r="1054" spans="7:18" x14ac:dyDescent="0.3">
      <c r="G1054" s="85"/>
      <c r="H1054" s="86"/>
      <c r="I1054" s="86"/>
      <c r="J1054" s="87"/>
      <c r="K1054" s="85"/>
      <c r="L1054" s="85"/>
      <c r="P1054" s="85"/>
      <c r="Q1054" s="85"/>
      <c r="R1054" s="81"/>
    </row>
    <row r="1055" spans="7:18" x14ac:dyDescent="0.3">
      <c r="G1055" s="85"/>
      <c r="H1055" s="86"/>
      <c r="I1055" s="86"/>
      <c r="J1055" s="87"/>
      <c r="K1055" s="85"/>
      <c r="L1055" s="85"/>
      <c r="P1055" s="85"/>
      <c r="Q1055" s="85"/>
      <c r="R1055" s="81"/>
    </row>
    <row r="1056" spans="7:18" x14ac:dyDescent="0.3">
      <c r="G1056" s="85"/>
      <c r="H1056" s="86"/>
      <c r="I1056" s="86"/>
      <c r="J1056" s="87"/>
      <c r="K1056" s="85"/>
      <c r="L1056" s="85"/>
      <c r="P1056" s="85"/>
      <c r="Q1056" s="85"/>
      <c r="R1056" s="81"/>
    </row>
    <row r="1057" spans="7:18" x14ac:dyDescent="0.3">
      <c r="G1057" s="85"/>
      <c r="H1057" s="86"/>
      <c r="I1057" s="86"/>
      <c r="J1057" s="87"/>
      <c r="K1057" s="85"/>
      <c r="L1057" s="85"/>
      <c r="P1057" s="85"/>
      <c r="Q1057" s="85"/>
      <c r="R1057" s="81"/>
    </row>
    <row r="1058" spans="7:18" x14ac:dyDescent="0.3">
      <c r="G1058" s="85"/>
      <c r="H1058" s="86"/>
      <c r="I1058" s="86"/>
      <c r="J1058" s="87"/>
      <c r="K1058" s="85"/>
      <c r="L1058" s="85"/>
      <c r="P1058" s="85"/>
      <c r="Q1058" s="85"/>
      <c r="R1058" s="81"/>
    </row>
    <row r="1059" spans="7:18" x14ac:dyDescent="0.3">
      <c r="G1059" s="85"/>
      <c r="H1059" s="86"/>
      <c r="I1059" s="86"/>
      <c r="J1059" s="87"/>
      <c r="K1059" s="85"/>
      <c r="L1059" s="85"/>
      <c r="P1059" s="85"/>
      <c r="Q1059" s="85"/>
      <c r="R1059" s="81"/>
    </row>
    <row r="1060" spans="7:18" x14ac:dyDescent="0.3">
      <c r="G1060" s="85"/>
      <c r="H1060" s="86"/>
      <c r="I1060" s="86"/>
      <c r="J1060" s="87"/>
      <c r="K1060" s="85"/>
      <c r="L1060" s="85"/>
      <c r="P1060" s="85"/>
      <c r="Q1060" s="85"/>
      <c r="R1060" s="81"/>
    </row>
    <row r="1061" spans="7:18" x14ac:dyDescent="0.3">
      <c r="G1061" s="85"/>
      <c r="H1061" s="86"/>
      <c r="I1061" s="86"/>
      <c r="J1061" s="87"/>
      <c r="K1061" s="85"/>
      <c r="L1061" s="85"/>
      <c r="P1061" s="85"/>
      <c r="Q1061" s="85"/>
      <c r="R1061" s="81"/>
    </row>
    <row r="1062" spans="7:18" x14ac:dyDescent="0.3">
      <c r="G1062" s="85"/>
      <c r="H1062" s="86"/>
      <c r="I1062" s="86"/>
      <c r="J1062" s="87"/>
      <c r="K1062" s="85"/>
      <c r="L1062" s="85"/>
      <c r="P1062" s="85"/>
      <c r="Q1062" s="85"/>
      <c r="R1062" s="81"/>
    </row>
    <row r="1063" spans="7:18" x14ac:dyDescent="0.3">
      <c r="G1063" s="85"/>
      <c r="H1063" s="86"/>
      <c r="I1063" s="86"/>
      <c r="J1063" s="87"/>
      <c r="K1063" s="85"/>
      <c r="L1063" s="85"/>
      <c r="P1063" s="85"/>
      <c r="Q1063" s="85"/>
      <c r="R1063" s="81"/>
    </row>
    <row r="1064" spans="7:18" x14ac:dyDescent="0.3">
      <c r="G1064" s="85"/>
      <c r="H1064" s="86"/>
      <c r="I1064" s="86"/>
      <c r="J1064" s="87"/>
      <c r="K1064" s="85"/>
      <c r="L1064" s="85"/>
      <c r="P1064" s="85"/>
      <c r="Q1064" s="85"/>
      <c r="R1064" s="81"/>
    </row>
    <row r="1065" spans="7:18" x14ac:dyDescent="0.3">
      <c r="G1065" s="85"/>
      <c r="H1065" s="86"/>
      <c r="I1065" s="86"/>
      <c r="J1065" s="87"/>
      <c r="K1065" s="85"/>
      <c r="L1065" s="85"/>
      <c r="P1065" s="85"/>
      <c r="Q1065" s="85"/>
      <c r="R1065" s="81"/>
    </row>
    <row r="1066" spans="7:18" x14ac:dyDescent="0.3">
      <c r="G1066" s="85"/>
      <c r="H1066" s="86"/>
      <c r="I1066" s="86"/>
      <c r="J1066" s="87"/>
      <c r="K1066" s="85"/>
      <c r="L1066" s="85"/>
      <c r="P1066" s="85"/>
      <c r="Q1066" s="85"/>
      <c r="R1066" s="81"/>
    </row>
    <row r="1067" spans="7:18" x14ac:dyDescent="0.3">
      <c r="G1067" s="85"/>
      <c r="H1067" s="86"/>
      <c r="I1067" s="86"/>
      <c r="J1067" s="87"/>
      <c r="K1067" s="85"/>
      <c r="L1067" s="85"/>
      <c r="P1067" s="85"/>
      <c r="Q1067" s="85"/>
      <c r="R1067" s="81"/>
    </row>
    <row r="1068" spans="7:18" x14ac:dyDescent="0.3">
      <c r="G1068" s="85"/>
      <c r="H1068" s="86"/>
      <c r="I1068" s="86"/>
      <c r="J1068" s="87"/>
      <c r="K1068" s="85"/>
      <c r="L1068" s="85"/>
      <c r="P1068" s="85"/>
      <c r="Q1068" s="85"/>
      <c r="R1068" s="81"/>
    </row>
    <row r="1069" spans="7:18" x14ac:dyDescent="0.3">
      <c r="G1069" s="85"/>
      <c r="H1069" s="86"/>
      <c r="I1069" s="86"/>
      <c r="J1069" s="87"/>
      <c r="K1069" s="85"/>
      <c r="L1069" s="85"/>
      <c r="P1069" s="85"/>
      <c r="Q1069" s="85"/>
      <c r="R1069" s="81"/>
    </row>
    <row r="1070" spans="7:18" x14ac:dyDescent="0.3">
      <c r="G1070" s="85"/>
      <c r="H1070" s="86"/>
      <c r="I1070" s="86"/>
      <c r="J1070" s="87"/>
      <c r="K1070" s="85"/>
      <c r="L1070" s="85"/>
      <c r="P1070" s="85"/>
      <c r="Q1070" s="85"/>
      <c r="R1070" s="81"/>
    </row>
    <row r="1071" spans="7:18" x14ac:dyDescent="0.3">
      <c r="G1071" s="85"/>
      <c r="H1071" s="86"/>
      <c r="I1071" s="86"/>
      <c r="J1071" s="87"/>
      <c r="K1071" s="85"/>
      <c r="L1071" s="85"/>
      <c r="P1071" s="85"/>
      <c r="Q1071" s="85"/>
      <c r="R1071" s="81"/>
    </row>
    <row r="1072" spans="7:18" x14ac:dyDescent="0.3">
      <c r="G1072" s="85"/>
      <c r="H1072" s="86"/>
      <c r="I1072" s="86"/>
      <c r="J1072" s="87"/>
      <c r="K1072" s="85"/>
      <c r="L1072" s="85"/>
      <c r="P1072" s="85"/>
      <c r="Q1072" s="85"/>
      <c r="R1072" s="81"/>
    </row>
    <row r="1073" spans="7:18" x14ac:dyDescent="0.3">
      <c r="G1073" s="85"/>
      <c r="H1073" s="86"/>
      <c r="I1073" s="86"/>
      <c r="J1073" s="87"/>
      <c r="K1073" s="85"/>
      <c r="L1073" s="85"/>
      <c r="P1073" s="85"/>
      <c r="Q1073" s="85"/>
      <c r="R1073" s="81"/>
    </row>
    <row r="1074" spans="7:18" x14ac:dyDescent="0.3">
      <c r="G1074" s="85"/>
      <c r="H1074" s="86"/>
      <c r="I1074" s="86"/>
      <c r="J1074" s="87"/>
      <c r="K1074" s="85"/>
      <c r="L1074" s="85"/>
      <c r="P1074" s="85"/>
      <c r="Q1074" s="85"/>
      <c r="R1074" s="81"/>
    </row>
    <row r="1075" spans="7:18" x14ac:dyDescent="0.3">
      <c r="G1075" s="85"/>
      <c r="H1075" s="86"/>
      <c r="I1075" s="86"/>
      <c r="J1075" s="87"/>
      <c r="K1075" s="85"/>
      <c r="L1075" s="85"/>
      <c r="P1075" s="85"/>
      <c r="Q1075" s="85"/>
      <c r="R1075" s="81"/>
    </row>
    <row r="1076" spans="7:18" x14ac:dyDescent="0.3">
      <c r="G1076" s="85"/>
      <c r="H1076" s="86"/>
      <c r="I1076" s="86"/>
      <c r="J1076" s="87"/>
      <c r="K1076" s="85"/>
      <c r="L1076" s="85"/>
      <c r="P1076" s="85"/>
      <c r="Q1076" s="85"/>
      <c r="R1076" s="81"/>
    </row>
    <row r="1077" spans="7:18" x14ac:dyDescent="0.3">
      <c r="G1077" s="85"/>
      <c r="H1077" s="86"/>
      <c r="I1077" s="86"/>
      <c r="J1077" s="87"/>
      <c r="K1077" s="85"/>
      <c r="L1077" s="85"/>
      <c r="P1077" s="85"/>
      <c r="Q1077" s="85"/>
      <c r="R1077" s="81"/>
    </row>
    <row r="1078" spans="7:18" x14ac:dyDescent="0.3">
      <c r="G1078" s="85"/>
      <c r="H1078" s="86"/>
      <c r="I1078" s="86"/>
      <c r="J1078" s="87"/>
      <c r="K1078" s="85"/>
      <c r="L1078" s="85"/>
      <c r="P1078" s="85"/>
      <c r="Q1078" s="85"/>
      <c r="R1078" s="81"/>
    </row>
    <row r="1079" spans="7:18" x14ac:dyDescent="0.3">
      <c r="G1079" s="85"/>
      <c r="H1079" s="86"/>
      <c r="I1079" s="86"/>
      <c r="J1079" s="87"/>
      <c r="K1079" s="85"/>
      <c r="L1079" s="85"/>
      <c r="P1079" s="85"/>
      <c r="Q1079" s="85"/>
      <c r="R1079" s="81"/>
    </row>
    <row r="1080" spans="7:18" x14ac:dyDescent="0.3">
      <c r="G1080" s="85"/>
      <c r="H1080" s="86"/>
      <c r="I1080" s="86"/>
      <c r="J1080" s="87"/>
      <c r="K1080" s="85"/>
      <c r="L1080" s="85"/>
      <c r="P1080" s="85"/>
      <c r="Q1080" s="85"/>
      <c r="R1080" s="81"/>
    </row>
    <row r="1081" spans="7:18" x14ac:dyDescent="0.3">
      <c r="G1081" s="85"/>
      <c r="H1081" s="86"/>
      <c r="I1081" s="86"/>
      <c r="J1081" s="87"/>
      <c r="K1081" s="85"/>
      <c r="L1081" s="85"/>
      <c r="P1081" s="85"/>
      <c r="Q1081" s="85"/>
      <c r="R1081" s="81"/>
    </row>
    <row r="1082" spans="7:18" x14ac:dyDescent="0.3">
      <c r="G1082" s="85"/>
      <c r="H1082" s="86"/>
      <c r="I1082" s="86"/>
      <c r="J1082" s="87"/>
      <c r="K1082" s="85"/>
      <c r="L1082" s="85"/>
      <c r="P1082" s="85"/>
      <c r="Q1082" s="85"/>
      <c r="R1082" s="81"/>
    </row>
    <row r="1083" spans="7:18" x14ac:dyDescent="0.3">
      <c r="G1083" s="85"/>
      <c r="H1083" s="86"/>
      <c r="I1083" s="86"/>
      <c r="J1083" s="87"/>
      <c r="K1083" s="85"/>
      <c r="L1083" s="85"/>
      <c r="P1083" s="85"/>
      <c r="Q1083" s="85"/>
      <c r="R1083" s="81"/>
    </row>
    <row r="1084" spans="7:18" x14ac:dyDescent="0.3">
      <c r="G1084" s="85"/>
      <c r="H1084" s="86"/>
      <c r="I1084" s="86"/>
      <c r="J1084" s="87"/>
      <c r="K1084" s="85"/>
      <c r="L1084" s="85"/>
      <c r="P1084" s="85"/>
      <c r="Q1084" s="85"/>
      <c r="R1084" s="81"/>
    </row>
    <row r="1085" spans="7:18" x14ac:dyDescent="0.3">
      <c r="G1085" s="85"/>
      <c r="H1085" s="86"/>
      <c r="I1085" s="86"/>
      <c r="J1085" s="87"/>
      <c r="K1085" s="85"/>
      <c r="L1085" s="85"/>
      <c r="P1085" s="85"/>
      <c r="Q1085" s="85"/>
      <c r="R1085" s="81"/>
    </row>
    <row r="1086" spans="7:18" x14ac:dyDescent="0.3">
      <c r="G1086" s="85"/>
      <c r="H1086" s="86"/>
      <c r="I1086" s="86"/>
      <c r="J1086" s="87"/>
      <c r="K1086" s="85"/>
      <c r="L1086" s="85"/>
      <c r="P1086" s="85"/>
      <c r="Q1086" s="85"/>
      <c r="R1086" s="81"/>
    </row>
    <row r="1087" spans="7:18" x14ac:dyDescent="0.3">
      <c r="G1087" s="85"/>
      <c r="H1087" s="86"/>
      <c r="I1087" s="86"/>
      <c r="J1087" s="87"/>
      <c r="K1087" s="85"/>
      <c r="L1087" s="85"/>
      <c r="P1087" s="85"/>
      <c r="Q1087" s="85"/>
      <c r="R1087" s="81"/>
    </row>
    <row r="1088" spans="7:18" x14ac:dyDescent="0.3">
      <c r="G1088" s="85"/>
      <c r="H1088" s="86"/>
      <c r="I1088" s="86"/>
      <c r="J1088" s="87"/>
      <c r="K1088" s="85"/>
      <c r="L1088" s="85"/>
      <c r="P1088" s="85"/>
      <c r="Q1088" s="85"/>
      <c r="R1088" s="81"/>
    </row>
    <row r="1089" spans="7:18" x14ac:dyDescent="0.3">
      <c r="G1089" s="85"/>
      <c r="H1089" s="86"/>
      <c r="I1089" s="86"/>
      <c r="J1089" s="87"/>
      <c r="K1089" s="85"/>
      <c r="L1089" s="85"/>
      <c r="P1089" s="85"/>
      <c r="Q1089" s="85"/>
      <c r="R1089" s="81"/>
    </row>
    <row r="1090" spans="7:18" x14ac:dyDescent="0.3">
      <c r="G1090" s="85"/>
      <c r="H1090" s="86"/>
      <c r="I1090" s="86"/>
      <c r="J1090" s="87"/>
      <c r="K1090" s="85"/>
      <c r="L1090" s="85"/>
      <c r="P1090" s="85"/>
      <c r="Q1090" s="85"/>
      <c r="R1090" s="81"/>
    </row>
    <row r="1091" spans="7:18" x14ac:dyDescent="0.3">
      <c r="G1091" s="85"/>
      <c r="H1091" s="86"/>
      <c r="I1091" s="86"/>
      <c r="J1091" s="87"/>
      <c r="K1091" s="85"/>
      <c r="L1091" s="85"/>
      <c r="P1091" s="85"/>
      <c r="Q1091" s="85"/>
      <c r="R1091" s="81"/>
    </row>
    <row r="1092" spans="7:18" x14ac:dyDescent="0.3">
      <c r="G1092" s="85"/>
      <c r="H1092" s="86"/>
      <c r="I1092" s="86"/>
      <c r="J1092" s="87"/>
      <c r="K1092" s="85"/>
      <c r="L1092" s="85"/>
      <c r="P1092" s="85"/>
      <c r="Q1092" s="85"/>
      <c r="R1092" s="81"/>
    </row>
    <row r="1093" spans="7:18" x14ac:dyDescent="0.3">
      <c r="G1093" s="85"/>
      <c r="H1093" s="86"/>
      <c r="I1093" s="86"/>
      <c r="J1093" s="87"/>
      <c r="K1093" s="85"/>
      <c r="L1093" s="85"/>
      <c r="P1093" s="85"/>
      <c r="Q1093" s="85"/>
      <c r="R1093" s="81"/>
    </row>
    <row r="1094" spans="7:18" x14ac:dyDescent="0.3">
      <c r="G1094" s="85"/>
      <c r="H1094" s="86"/>
      <c r="I1094" s="86"/>
      <c r="J1094" s="87"/>
      <c r="K1094" s="85"/>
      <c r="L1094" s="85"/>
      <c r="P1094" s="85"/>
      <c r="Q1094" s="85"/>
      <c r="R1094" s="81"/>
    </row>
    <row r="1095" spans="7:18" x14ac:dyDescent="0.3">
      <c r="G1095" s="85"/>
      <c r="H1095" s="86"/>
      <c r="I1095" s="86"/>
      <c r="J1095" s="87"/>
      <c r="K1095" s="85"/>
      <c r="L1095" s="85"/>
      <c r="P1095" s="85"/>
      <c r="Q1095" s="85"/>
      <c r="R1095" s="81"/>
    </row>
    <row r="1096" spans="7:18" x14ac:dyDescent="0.3">
      <c r="G1096" s="85"/>
      <c r="H1096" s="86"/>
      <c r="I1096" s="86"/>
      <c r="J1096" s="87"/>
      <c r="K1096" s="85"/>
      <c r="L1096" s="85"/>
      <c r="P1096" s="85"/>
      <c r="Q1096" s="85"/>
      <c r="R1096" s="81"/>
    </row>
    <row r="1097" spans="7:18" x14ac:dyDescent="0.3">
      <c r="G1097" s="85"/>
      <c r="H1097" s="86"/>
      <c r="I1097" s="86"/>
      <c r="J1097" s="87"/>
      <c r="K1097" s="85"/>
      <c r="L1097" s="85"/>
      <c r="P1097" s="85"/>
      <c r="Q1097" s="85"/>
      <c r="R1097" s="81"/>
    </row>
    <row r="1098" spans="7:18" x14ac:dyDescent="0.3">
      <c r="G1098" s="85"/>
      <c r="H1098" s="86"/>
      <c r="I1098" s="86"/>
      <c r="J1098" s="87"/>
      <c r="K1098" s="85"/>
      <c r="L1098" s="85"/>
      <c r="P1098" s="85"/>
      <c r="Q1098" s="85"/>
      <c r="R1098" s="81"/>
    </row>
    <row r="1099" spans="7:18" x14ac:dyDescent="0.3">
      <c r="G1099" s="85"/>
      <c r="H1099" s="86"/>
      <c r="I1099" s="86"/>
      <c r="J1099" s="87"/>
      <c r="K1099" s="85"/>
      <c r="L1099" s="85"/>
      <c r="P1099" s="85"/>
      <c r="Q1099" s="85"/>
      <c r="R1099" s="81"/>
    </row>
    <row r="1100" spans="7:18" x14ac:dyDescent="0.3">
      <c r="G1100" s="85"/>
      <c r="H1100" s="86"/>
      <c r="I1100" s="86"/>
      <c r="J1100" s="87"/>
      <c r="K1100" s="85"/>
      <c r="L1100" s="85"/>
      <c r="P1100" s="85"/>
      <c r="Q1100" s="85"/>
      <c r="R1100" s="81"/>
    </row>
    <row r="1101" spans="7:18" x14ac:dyDescent="0.3">
      <c r="G1101" s="85"/>
      <c r="H1101" s="86"/>
      <c r="I1101" s="86"/>
      <c r="J1101" s="87"/>
      <c r="K1101" s="85"/>
      <c r="L1101" s="85"/>
      <c r="P1101" s="85"/>
      <c r="Q1101" s="85"/>
      <c r="R1101" s="81"/>
    </row>
    <row r="1102" spans="7:18" x14ac:dyDescent="0.3">
      <c r="G1102" s="85"/>
      <c r="H1102" s="86"/>
      <c r="I1102" s="86"/>
      <c r="J1102" s="87"/>
      <c r="K1102" s="85"/>
      <c r="L1102" s="85"/>
      <c r="P1102" s="85"/>
      <c r="Q1102" s="85"/>
      <c r="R1102" s="81"/>
    </row>
    <row r="1103" spans="7:18" x14ac:dyDescent="0.3">
      <c r="G1103" s="85"/>
      <c r="H1103" s="86"/>
      <c r="I1103" s="86"/>
      <c r="J1103" s="87"/>
      <c r="K1103" s="85"/>
      <c r="L1103" s="85"/>
      <c r="P1103" s="85"/>
      <c r="Q1103" s="85"/>
      <c r="R1103" s="81"/>
    </row>
    <row r="1104" spans="7:18" x14ac:dyDescent="0.3">
      <c r="G1104" s="85"/>
      <c r="H1104" s="86"/>
      <c r="I1104" s="86"/>
      <c r="J1104" s="87"/>
      <c r="K1104" s="85"/>
      <c r="L1104" s="85"/>
      <c r="P1104" s="85"/>
      <c r="Q1104" s="85"/>
      <c r="R1104" s="81"/>
    </row>
    <row r="1105" spans="7:18" x14ac:dyDescent="0.3">
      <c r="G1105" s="85"/>
      <c r="H1105" s="86"/>
      <c r="I1105" s="86"/>
      <c r="J1105" s="87"/>
      <c r="K1105" s="85"/>
      <c r="L1105" s="85"/>
      <c r="P1105" s="85"/>
      <c r="Q1105" s="85"/>
      <c r="R1105" s="81"/>
    </row>
    <row r="1106" spans="7:18" x14ac:dyDescent="0.3">
      <c r="G1106" s="85"/>
      <c r="H1106" s="86"/>
      <c r="I1106" s="86"/>
      <c r="J1106" s="87"/>
      <c r="K1106" s="85"/>
      <c r="L1106" s="85"/>
      <c r="P1106" s="85"/>
      <c r="Q1106" s="85"/>
      <c r="R1106" s="81"/>
    </row>
    <row r="1107" spans="7:18" x14ac:dyDescent="0.3">
      <c r="G1107" s="85"/>
      <c r="H1107" s="86"/>
      <c r="I1107" s="86"/>
      <c r="J1107" s="87"/>
      <c r="K1107" s="85"/>
      <c r="L1107" s="85"/>
      <c r="P1107" s="85"/>
      <c r="Q1107" s="85"/>
      <c r="R1107" s="81"/>
    </row>
    <row r="1108" spans="7:18" x14ac:dyDescent="0.3">
      <c r="G1108" s="85"/>
      <c r="H1108" s="86"/>
      <c r="I1108" s="86"/>
      <c r="J1108" s="87"/>
      <c r="K1108" s="85"/>
      <c r="L1108" s="85"/>
      <c r="P1108" s="85"/>
      <c r="Q1108" s="85"/>
      <c r="R1108" s="81"/>
    </row>
    <row r="1109" spans="7:18" x14ac:dyDescent="0.3">
      <c r="G1109" s="85"/>
      <c r="H1109" s="86"/>
      <c r="I1109" s="86"/>
      <c r="J1109" s="87"/>
      <c r="K1109" s="85"/>
      <c r="L1109" s="85"/>
      <c r="P1109" s="85"/>
      <c r="Q1109" s="85"/>
      <c r="R1109" s="81"/>
    </row>
    <row r="1110" spans="7:18" x14ac:dyDescent="0.3">
      <c r="G1110" s="85"/>
      <c r="H1110" s="86"/>
      <c r="I1110" s="86"/>
      <c r="J1110" s="87"/>
      <c r="K1110" s="85"/>
      <c r="L1110" s="85"/>
      <c r="P1110" s="85"/>
      <c r="Q1110" s="85"/>
      <c r="R1110" s="81"/>
    </row>
    <row r="1111" spans="7:18" x14ac:dyDescent="0.3">
      <c r="G1111" s="85"/>
      <c r="H1111" s="86"/>
      <c r="I1111" s="86"/>
      <c r="J1111" s="87"/>
      <c r="K1111" s="85"/>
      <c r="L1111" s="85"/>
      <c r="P1111" s="85"/>
      <c r="Q1111" s="85"/>
      <c r="R1111" s="81"/>
    </row>
    <row r="1112" spans="7:18" x14ac:dyDescent="0.3">
      <c r="G1112" s="85"/>
      <c r="H1112" s="86"/>
      <c r="I1112" s="86"/>
      <c r="J1112" s="87"/>
      <c r="K1112" s="85"/>
      <c r="L1112" s="85"/>
      <c r="P1112" s="85"/>
      <c r="Q1112" s="85"/>
      <c r="R1112" s="81"/>
    </row>
    <row r="1113" spans="7:18" x14ac:dyDescent="0.3">
      <c r="G1113" s="85"/>
      <c r="H1113" s="86"/>
      <c r="I1113" s="86"/>
      <c r="J1113" s="87"/>
      <c r="K1113" s="85"/>
      <c r="L1113" s="85"/>
      <c r="P1113" s="85"/>
      <c r="Q1113" s="85"/>
      <c r="R1113" s="81"/>
    </row>
    <row r="1114" spans="7:18" x14ac:dyDescent="0.3">
      <c r="G1114" s="85"/>
      <c r="H1114" s="86"/>
      <c r="I1114" s="86"/>
      <c r="J1114" s="87"/>
      <c r="K1114" s="85"/>
      <c r="L1114" s="85"/>
      <c r="P1114" s="85"/>
      <c r="Q1114" s="85"/>
      <c r="R1114" s="81"/>
    </row>
    <row r="1115" spans="7:18" x14ac:dyDescent="0.3">
      <c r="G1115" s="85"/>
      <c r="H1115" s="86"/>
      <c r="I1115" s="86"/>
      <c r="J1115" s="87"/>
      <c r="K1115" s="85"/>
      <c r="L1115" s="85"/>
      <c r="P1115" s="85"/>
      <c r="Q1115" s="85"/>
      <c r="R1115" s="81"/>
    </row>
    <row r="1116" spans="7:18" x14ac:dyDescent="0.3">
      <c r="G1116" s="85"/>
      <c r="H1116" s="86"/>
      <c r="I1116" s="86"/>
      <c r="J1116" s="87"/>
      <c r="K1116" s="85"/>
      <c r="L1116" s="85"/>
      <c r="P1116" s="85"/>
      <c r="Q1116" s="85"/>
      <c r="R1116" s="81"/>
    </row>
    <row r="1117" spans="7:18" x14ac:dyDescent="0.3">
      <c r="G1117" s="85"/>
      <c r="H1117" s="86"/>
      <c r="I1117" s="86"/>
      <c r="J1117" s="87"/>
      <c r="K1117" s="85"/>
      <c r="L1117" s="85"/>
      <c r="P1117" s="85"/>
      <c r="Q1117" s="85"/>
      <c r="R1117" s="81"/>
    </row>
    <row r="1118" spans="7:18" x14ac:dyDescent="0.3">
      <c r="G1118" s="85"/>
      <c r="H1118" s="86"/>
      <c r="I1118" s="86"/>
      <c r="J1118" s="87"/>
      <c r="K1118" s="85"/>
      <c r="L1118" s="85"/>
      <c r="P1118" s="85"/>
      <c r="Q1118" s="85"/>
      <c r="R1118" s="81"/>
    </row>
    <row r="1119" spans="7:18" x14ac:dyDescent="0.3">
      <c r="G1119" s="85"/>
      <c r="H1119" s="86"/>
      <c r="I1119" s="86"/>
      <c r="J1119" s="87"/>
      <c r="K1119" s="85"/>
      <c r="L1119" s="85"/>
      <c r="P1119" s="85"/>
      <c r="Q1119" s="85"/>
      <c r="R1119" s="81"/>
    </row>
    <row r="1120" spans="7:18" x14ac:dyDescent="0.3">
      <c r="G1120" s="85"/>
      <c r="H1120" s="86"/>
      <c r="I1120" s="86"/>
      <c r="J1120" s="87"/>
      <c r="K1120" s="85"/>
      <c r="L1120" s="85"/>
      <c r="P1120" s="85"/>
      <c r="Q1120" s="85"/>
      <c r="R1120" s="81"/>
    </row>
    <row r="1121" spans="7:18" x14ac:dyDescent="0.3">
      <c r="G1121" s="85"/>
      <c r="H1121" s="86"/>
      <c r="I1121" s="86"/>
      <c r="J1121" s="87"/>
      <c r="K1121" s="85"/>
      <c r="L1121" s="85"/>
      <c r="P1121" s="85"/>
      <c r="Q1121" s="85"/>
      <c r="R1121" s="81"/>
    </row>
    <row r="1122" spans="7:18" x14ac:dyDescent="0.3">
      <c r="G1122" s="85"/>
      <c r="H1122" s="86"/>
      <c r="I1122" s="86"/>
      <c r="J1122" s="87"/>
      <c r="K1122" s="85"/>
      <c r="L1122" s="85"/>
      <c r="P1122" s="85"/>
      <c r="Q1122" s="85"/>
      <c r="R1122" s="81"/>
    </row>
    <row r="1123" spans="7:18" x14ac:dyDescent="0.3">
      <c r="G1123" s="85"/>
      <c r="H1123" s="86"/>
      <c r="I1123" s="86"/>
      <c r="J1123" s="87"/>
      <c r="K1123" s="85"/>
      <c r="L1123" s="85"/>
      <c r="P1123" s="85"/>
      <c r="Q1123" s="85"/>
      <c r="R1123" s="81"/>
    </row>
    <row r="1124" spans="7:18" x14ac:dyDescent="0.3">
      <c r="G1124" s="85"/>
      <c r="H1124" s="86"/>
      <c r="I1124" s="86"/>
      <c r="J1124" s="87"/>
      <c r="K1124" s="85"/>
      <c r="L1124" s="85"/>
      <c r="P1124" s="85"/>
      <c r="Q1124" s="85"/>
      <c r="R1124" s="81"/>
    </row>
    <row r="1125" spans="7:18" x14ac:dyDescent="0.3">
      <c r="G1125" s="85"/>
      <c r="H1125" s="86"/>
      <c r="I1125" s="86"/>
      <c r="J1125" s="87"/>
      <c r="K1125" s="85"/>
      <c r="L1125" s="85"/>
      <c r="P1125" s="85"/>
      <c r="Q1125" s="85"/>
      <c r="R1125" s="81"/>
    </row>
    <row r="1126" spans="7:18" x14ac:dyDescent="0.3">
      <c r="G1126" s="85"/>
      <c r="H1126" s="86"/>
      <c r="I1126" s="86"/>
      <c r="J1126" s="87"/>
      <c r="K1126" s="85"/>
      <c r="L1126" s="85"/>
      <c r="P1126" s="85"/>
      <c r="Q1126" s="85"/>
      <c r="R1126" s="81"/>
    </row>
    <row r="1127" spans="7:18" x14ac:dyDescent="0.3">
      <c r="G1127" s="85"/>
      <c r="H1127" s="86"/>
      <c r="I1127" s="86"/>
      <c r="J1127" s="87"/>
      <c r="K1127" s="85"/>
      <c r="L1127" s="85"/>
      <c r="P1127" s="85"/>
      <c r="Q1127" s="85"/>
      <c r="R1127" s="81"/>
    </row>
    <row r="1128" spans="7:18" x14ac:dyDescent="0.3">
      <c r="G1128" s="85"/>
      <c r="H1128" s="86"/>
      <c r="I1128" s="86"/>
      <c r="J1128" s="87"/>
      <c r="K1128" s="85"/>
      <c r="L1128" s="85"/>
      <c r="P1128" s="85"/>
      <c r="Q1128" s="85"/>
      <c r="R1128" s="81"/>
    </row>
    <row r="1129" spans="7:18" x14ac:dyDescent="0.3">
      <c r="G1129" s="85"/>
      <c r="H1129" s="86"/>
      <c r="I1129" s="86"/>
      <c r="J1129" s="87"/>
      <c r="K1129" s="85"/>
      <c r="L1129" s="85"/>
      <c r="P1129" s="85"/>
      <c r="Q1129" s="85"/>
      <c r="R1129" s="81"/>
    </row>
    <row r="1130" spans="7:18" x14ac:dyDescent="0.3">
      <c r="G1130" s="85"/>
      <c r="H1130" s="86"/>
      <c r="I1130" s="86"/>
      <c r="J1130" s="87"/>
      <c r="K1130" s="85"/>
      <c r="L1130" s="85"/>
      <c r="P1130" s="85"/>
      <c r="Q1130" s="85"/>
      <c r="R1130" s="81"/>
    </row>
    <row r="1131" spans="7:18" x14ac:dyDescent="0.3">
      <c r="G1131" s="85"/>
      <c r="H1131" s="86"/>
      <c r="I1131" s="86"/>
      <c r="J1131" s="87"/>
      <c r="K1131" s="85"/>
      <c r="L1131" s="85"/>
      <c r="P1131" s="85"/>
      <c r="Q1131" s="85"/>
      <c r="R1131" s="81"/>
    </row>
    <row r="1132" spans="7:18" x14ac:dyDescent="0.3">
      <c r="G1132" s="85"/>
      <c r="H1132" s="86"/>
      <c r="I1132" s="86"/>
      <c r="J1132" s="87"/>
      <c r="K1132" s="85"/>
      <c r="L1132" s="85"/>
      <c r="P1132" s="85"/>
      <c r="Q1132" s="85"/>
      <c r="R1132" s="81"/>
    </row>
    <row r="1133" spans="7:18" x14ac:dyDescent="0.3">
      <c r="G1133" s="85"/>
      <c r="H1133" s="86"/>
      <c r="I1133" s="86"/>
      <c r="J1133" s="87"/>
      <c r="K1133" s="85"/>
      <c r="L1133" s="85"/>
      <c r="P1133" s="85"/>
      <c r="Q1133" s="85"/>
      <c r="R1133" s="81"/>
    </row>
    <row r="1134" spans="7:18" x14ac:dyDescent="0.3">
      <c r="G1134" s="85"/>
      <c r="H1134" s="86"/>
      <c r="I1134" s="86"/>
      <c r="J1134" s="87"/>
      <c r="K1134" s="85"/>
      <c r="L1134" s="85"/>
      <c r="P1134" s="85"/>
      <c r="Q1134" s="85"/>
      <c r="R1134" s="81"/>
    </row>
    <row r="1135" spans="7:18" x14ac:dyDescent="0.3">
      <c r="G1135" s="85"/>
      <c r="H1135" s="86"/>
      <c r="I1135" s="86"/>
      <c r="J1135" s="87"/>
      <c r="K1135" s="85"/>
      <c r="L1135" s="85"/>
      <c r="P1135" s="85"/>
      <c r="Q1135" s="85"/>
      <c r="R1135" s="81"/>
    </row>
    <row r="1136" spans="7:18" x14ac:dyDescent="0.3">
      <c r="G1136" s="85"/>
      <c r="H1136" s="86"/>
      <c r="I1136" s="86"/>
      <c r="J1136" s="87"/>
      <c r="K1136" s="85"/>
      <c r="L1136" s="85"/>
      <c r="P1136" s="85"/>
      <c r="Q1136" s="85"/>
      <c r="R1136" s="81"/>
    </row>
    <row r="1137" spans="7:18" x14ac:dyDescent="0.3">
      <c r="G1137" s="85"/>
      <c r="H1137" s="86"/>
      <c r="I1137" s="86"/>
      <c r="J1137" s="87"/>
      <c r="K1137" s="85"/>
      <c r="L1137" s="85"/>
      <c r="P1137" s="85"/>
      <c r="Q1137" s="85"/>
      <c r="R1137" s="81"/>
    </row>
    <row r="1138" spans="7:18" x14ac:dyDescent="0.3">
      <c r="G1138" s="85"/>
      <c r="H1138" s="86"/>
      <c r="I1138" s="86"/>
      <c r="J1138" s="87"/>
      <c r="K1138" s="85"/>
      <c r="L1138" s="85"/>
      <c r="P1138" s="85"/>
      <c r="Q1138" s="85"/>
      <c r="R1138" s="81"/>
    </row>
    <row r="1139" spans="7:18" x14ac:dyDescent="0.3">
      <c r="G1139" s="85"/>
      <c r="H1139" s="86"/>
      <c r="I1139" s="86"/>
      <c r="J1139" s="87"/>
      <c r="K1139" s="85"/>
      <c r="L1139" s="85"/>
      <c r="P1139" s="85"/>
      <c r="Q1139" s="85"/>
      <c r="R1139" s="81"/>
    </row>
    <row r="1140" spans="7:18" x14ac:dyDescent="0.3">
      <c r="G1140" s="85"/>
      <c r="H1140" s="86"/>
      <c r="I1140" s="86"/>
      <c r="J1140" s="87"/>
      <c r="K1140" s="85"/>
      <c r="L1140" s="85"/>
      <c r="P1140" s="85"/>
      <c r="Q1140" s="85"/>
      <c r="R1140" s="81"/>
    </row>
    <row r="1141" spans="7:18" x14ac:dyDescent="0.3">
      <c r="G1141" s="85"/>
      <c r="H1141" s="86"/>
      <c r="I1141" s="86"/>
      <c r="J1141" s="87"/>
      <c r="K1141" s="85"/>
      <c r="L1141" s="85"/>
      <c r="P1141" s="85"/>
      <c r="Q1141" s="85"/>
      <c r="R1141" s="81"/>
    </row>
    <row r="1142" spans="7:18" x14ac:dyDescent="0.3">
      <c r="G1142" s="85"/>
      <c r="H1142" s="86"/>
      <c r="I1142" s="86"/>
      <c r="J1142" s="87"/>
      <c r="K1142" s="85"/>
      <c r="L1142" s="85"/>
      <c r="P1142" s="85"/>
      <c r="Q1142" s="85"/>
      <c r="R1142" s="81"/>
    </row>
    <row r="1143" spans="7:18" x14ac:dyDescent="0.3">
      <c r="G1143" s="85"/>
      <c r="H1143" s="86"/>
      <c r="I1143" s="86"/>
      <c r="J1143" s="87"/>
      <c r="K1143" s="85"/>
      <c r="L1143" s="85"/>
      <c r="P1143" s="85"/>
      <c r="Q1143" s="85"/>
      <c r="R1143" s="81"/>
    </row>
    <row r="1144" spans="7:18" x14ac:dyDescent="0.3">
      <c r="G1144" s="85"/>
      <c r="H1144" s="86"/>
      <c r="I1144" s="86"/>
      <c r="J1144" s="87"/>
      <c r="K1144" s="85"/>
      <c r="L1144" s="85"/>
      <c r="P1144" s="85"/>
      <c r="Q1144" s="85"/>
      <c r="R1144" s="81"/>
    </row>
    <row r="1145" spans="7:18" x14ac:dyDescent="0.3">
      <c r="G1145" s="85"/>
      <c r="H1145" s="86"/>
      <c r="I1145" s="86"/>
      <c r="J1145" s="87"/>
      <c r="K1145" s="85"/>
      <c r="L1145" s="85"/>
      <c r="P1145" s="85"/>
      <c r="Q1145" s="85"/>
      <c r="R1145" s="81"/>
    </row>
    <row r="1146" spans="7:18" x14ac:dyDescent="0.3">
      <c r="G1146" s="85"/>
      <c r="H1146" s="86"/>
      <c r="I1146" s="86"/>
      <c r="J1146" s="87"/>
      <c r="K1146" s="85"/>
      <c r="L1146" s="85"/>
      <c r="P1146" s="85"/>
      <c r="Q1146" s="85"/>
      <c r="R1146" s="81"/>
    </row>
    <row r="1147" spans="7:18" x14ac:dyDescent="0.3">
      <c r="G1147" s="85"/>
      <c r="H1147" s="86"/>
      <c r="I1147" s="86"/>
      <c r="J1147" s="87"/>
      <c r="K1147" s="85"/>
      <c r="L1147" s="85"/>
      <c r="P1147" s="85"/>
      <c r="Q1147" s="85"/>
      <c r="R1147" s="81"/>
    </row>
    <row r="1148" spans="7:18" x14ac:dyDescent="0.3">
      <c r="G1148" s="85"/>
      <c r="H1148" s="86"/>
      <c r="I1148" s="86"/>
      <c r="J1148" s="87"/>
      <c r="K1148" s="85"/>
      <c r="L1148" s="85"/>
      <c r="P1148" s="85"/>
      <c r="Q1148" s="85"/>
      <c r="R1148" s="81"/>
    </row>
    <row r="1149" spans="7:18" x14ac:dyDescent="0.3">
      <c r="G1149" s="85"/>
      <c r="H1149" s="86"/>
      <c r="I1149" s="86"/>
      <c r="J1149" s="87"/>
      <c r="K1149" s="85"/>
      <c r="L1149" s="85"/>
      <c r="P1149" s="85"/>
      <c r="Q1149" s="85"/>
      <c r="R1149" s="81"/>
    </row>
    <row r="1150" spans="7:18" x14ac:dyDescent="0.3">
      <c r="G1150" s="85"/>
      <c r="H1150" s="86"/>
      <c r="I1150" s="86"/>
      <c r="J1150" s="87"/>
      <c r="K1150" s="85"/>
      <c r="L1150" s="85"/>
      <c r="P1150" s="85"/>
      <c r="Q1150" s="85"/>
      <c r="R1150" s="81"/>
    </row>
    <row r="1151" spans="7:18" x14ac:dyDescent="0.3">
      <c r="G1151" s="85"/>
      <c r="H1151" s="86"/>
      <c r="I1151" s="86"/>
      <c r="J1151" s="87"/>
      <c r="K1151" s="85"/>
      <c r="L1151" s="85"/>
      <c r="P1151" s="85"/>
      <c r="Q1151" s="85"/>
      <c r="R1151" s="81"/>
    </row>
    <row r="1152" spans="7:18" x14ac:dyDescent="0.3">
      <c r="G1152" s="85"/>
      <c r="H1152" s="86"/>
      <c r="I1152" s="86"/>
      <c r="J1152" s="87"/>
      <c r="K1152" s="85"/>
      <c r="L1152" s="85"/>
      <c r="P1152" s="85"/>
      <c r="Q1152" s="85"/>
      <c r="R1152" s="81"/>
    </row>
    <row r="1153" spans="7:18" x14ac:dyDescent="0.3">
      <c r="G1153" s="85"/>
      <c r="H1153" s="86"/>
      <c r="I1153" s="86"/>
      <c r="J1153" s="87"/>
      <c r="K1153" s="85"/>
      <c r="L1153" s="85"/>
      <c r="P1153" s="85"/>
      <c r="Q1153" s="85"/>
      <c r="R1153" s="81"/>
    </row>
    <row r="1154" spans="7:18" x14ac:dyDescent="0.3">
      <c r="G1154" s="85"/>
      <c r="H1154" s="86"/>
      <c r="I1154" s="86"/>
      <c r="J1154" s="87"/>
      <c r="K1154" s="85"/>
      <c r="L1154" s="85"/>
      <c r="P1154" s="85"/>
      <c r="Q1154" s="85"/>
      <c r="R1154" s="81"/>
    </row>
    <row r="1155" spans="7:18" x14ac:dyDescent="0.3">
      <c r="G1155" s="85"/>
      <c r="H1155" s="86"/>
      <c r="I1155" s="86"/>
      <c r="J1155" s="87"/>
      <c r="K1155" s="85"/>
      <c r="L1155" s="85"/>
      <c r="P1155" s="85"/>
      <c r="Q1155" s="85"/>
      <c r="R1155" s="81"/>
    </row>
    <row r="1156" spans="7:18" x14ac:dyDescent="0.3">
      <c r="G1156" s="85"/>
      <c r="H1156" s="86"/>
      <c r="I1156" s="86"/>
      <c r="J1156" s="87"/>
      <c r="K1156" s="85"/>
      <c r="L1156" s="85"/>
      <c r="P1156" s="85"/>
      <c r="Q1156" s="85"/>
      <c r="R1156" s="81"/>
    </row>
    <row r="1157" spans="7:18" x14ac:dyDescent="0.3">
      <c r="G1157" s="85"/>
      <c r="H1157" s="86"/>
      <c r="I1157" s="86"/>
      <c r="J1157" s="87"/>
      <c r="K1157" s="85"/>
      <c r="L1157" s="85"/>
      <c r="P1157" s="85"/>
      <c r="Q1157" s="85"/>
      <c r="R1157" s="81"/>
    </row>
    <row r="1158" spans="7:18" x14ac:dyDescent="0.3">
      <c r="G1158" s="85"/>
      <c r="H1158" s="86"/>
      <c r="I1158" s="86"/>
      <c r="J1158" s="87"/>
      <c r="K1158" s="85"/>
      <c r="L1158" s="85"/>
      <c r="P1158" s="85"/>
      <c r="Q1158" s="85"/>
      <c r="R1158" s="81"/>
    </row>
    <row r="1159" spans="7:18" x14ac:dyDescent="0.3">
      <c r="G1159" s="85"/>
      <c r="H1159" s="86"/>
      <c r="I1159" s="86"/>
      <c r="J1159" s="87"/>
      <c r="K1159" s="85"/>
      <c r="L1159" s="85"/>
      <c r="P1159" s="85"/>
      <c r="Q1159" s="85"/>
      <c r="R1159" s="81"/>
    </row>
    <row r="1160" spans="7:18" x14ac:dyDescent="0.3">
      <c r="G1160" s="85"/>
      <c r="H1160" s="86"/>
      <c r="I1160" s="86"/>
      <c r="J1160" s="87"/>
      <c r="K1160" s="85"/>
      <c r="L1160" s="85"/>
      <c r="P1160" s="85"/>
      <c r="Q1160" s="85"/>
      <c r="R1160" s="81"/>
    </row>
    <row r="1161" spans="7:18" x14ac:dyDescent="0.3">
      <c r="G1161" s="85"/>
      <c r="H1161" s="86"/>
      <c r="I1161" s="86"/>
      <c r="J1161" s="87"/>
      <c r="K1161" s="85"/>
      <c r="L1161" s="85"/>
      <c r="P1161" s="85"/>
      <c r="Q1161" s="85"/>
      <c r="R1161" s="81"/>
    </row>
    <row r="1162" spans="7:18" x14ac:dyDescent="0.3">
      <c r="G1162" s="85"/>
      <c r="H1162" s="86"/>
      <c r="I1162" s="86"/>
      <c r="J1162" s="87"/>
      <c r="K1162" s="85"/>
      <c r="L1162" s="85"/>
      <c r="P1162" s="85"/>
      <c r="Q1162" s="85"/>
      <c r="R1162" s="81"/>
    </row>
    <row r="1163" spans="7:18" x14ac:dyDescent="0.3">
      <c r="G1163" s="85"/>
      <c r="H1163" s="86"/>
      <c r="I1163" s="86"/>
      <c r="J1163" s="87"/>
      <c r="K1163" s="85"/>
      <c r="L1163" s="85"/>
      <c r="P1163" s="85"/>
      <c r="Q1163" s="85"/>
      <c r="R1163" s="81"/>
    </row>
    <row r="1164" spans="7:18" x14ac:dyDescent="0.3">
      <c r="G1164" s="85"/>
      <c r="H1164" s="86"/>
      <c r="I1164" s="86"/>
      <c r="J1164" s="87"/>
      <c r="K1164" s="85"/>
      <c r="L1164" s="85"/>
      <c r="P1164" s="85"/>
      <c r="Q1164" s="85"/>
      <c r="R1164" s="81"/>
    </row>
    <row r="1165" spans="7:18" x14ac:dyDescent="0.3">
      <c r="G1165" s="85"/>
      <c r="H1165" s="86"/>
      <c r="I1165" s="86"/>
      <c r="J1165" s="87"/>
      <c r="K1165" s="85"/>
      <c r="L1165" s="85"/>
      <c r="P1165" s="85"/>
      <c r="Q1165" s="85"/>
      <c r="R1165" s="81"/>
    </row>
    <row r="1166" spans="7:18" x14ac:dyDescent="0.3">
      <c r="G1166" s="85"/>
      <c r="H1166" s="86"/>
      <c r="I1166" s="86"/>
      <c r="J1166" s="87"/>
      <c r="K1166" s="85"/>
      <c r="L1166" s="85"/>
      <c r="P1166" s="85"/>
      <c r="Q1166" s="85"/>
      <c r="R1166" s="81"/>
    </row>
    <row r="1167" spans="7:18" x14ac:dyDescent="0.3">
      <c r="G1167" s="85"/>
      <c r="H1167" s="86"/>
      <c r="I1167" s="86"/>
      <c r="J1167" s="87"/>
      <c r="K1167" s="85"/>
      <c r="L1167" s="85"/>
      <c r="P1167" s="85"/>
      <c r="Q1167" s="85"/>
      <c r="R1167" s="81"/>
    </row>
    <row r="1168" spans="7:18" x14ac:dyDescent="0.3">
      <c r="G1168" s="85"/>
      <c r="H1168" s="86"/>
      <c r="I1168" s="86"/>
      <c r="J1168" s="87"/>
      <c r="K1168" s="85"/>
      <c r="L1168" s="85"/>
      <c r="P1168" s="85"/>
      <c r="Q1168" s="85"/>
      <c r="R1168" s="81"/>
    </row>
    <row r="1169" spans="7:18" x14ac:dyDescent="0.3">
      <c r="G1169" s="85"/>
      <c r="H1169" s="86"/>
      <c r="I1169" s="86"/>
      <c r="J1169" s="87"/>
      <c r="K1169" s="85"/>
      <c r="L1169" s="85"/>
      <c r="P1169" s="85"/>
      <c r="Q1169" s="85"/>
      <c r="R1169" s="81"/>
    </row>
    <row r="1170" spans="7:18" x14ac:dyDescent="0.3">
      <c r="G1170" s="85"/>
      <c r="H1170" s="86"/>
      <c r="I1170" s="86"/>
      <c r="J1170" s="87"/>
      <c r="K1170" s="85"/>
      <c r="L1170" s="85"/>
      <c r="P1170" s="85"/>
      <c r="Q1170" s="85"/>
      <c r="R1170" s="81"/>
    </row>
    <row r="1171" spans="7:18" x14ac:dyDescent="0.3">
      <c r="G1171" s="85"/>
      <c r="H1171" s="86"/>
      <c r="I1171" s="86"/>
      <c r="J1171" s="87"/>
      <c r="K1171" s="85"/>
      <c r="L1171" s="85"/>
      <c r="P1171" s="85"/>
      <c r="Q1171" s="85"/>
      <c r="R1171" s="81"/>
    </row>
    <row r="1172" spans="7:18" x14ac:dyDescent="0.3">
      <c r="G1172" s="85"/>
      <c r="H1172" s="86"/>
      <c r="I1172" s="86"/>
      <c r="J1172" s="87"/>
      <c r="K1172" s="85"/>
      <c r="L1172" s="85"/>
      <c r="P1172" s="85"/>
      <c r="Q1172" s="85"/>
      <c r="R1172" s="81"/>
    </row>
    <row r="1173" spans="7:18" x14ac:dyDescent="0.3">
      <c r="G1173" s="85"/>
      <c r="H1173" s="86"/>
      <c r="I1173" s="86"/>
      <c r="J1173" s="87"/>
      <c r="K1173" s="85"/>
      <c r="L1173" s="85"/>
      <c r="P1173" s="85"/>
      <c r="Q1173" s="85"/>
      <c r="R1173" s="81"/>
    </row>
    <row r="1174" spans="7:18" x14ac:dyDescent="0.3">
      <c r="G1174" s="85"/>
      <c r="H1174" s="86"/>
      <c r="I1174" s="86"/>
      <c r="J1174" s="87"/>
      <c r="K1174" s="85"/>
      <c r="L1174" s="85"/>
      <c r="P1174" s="85"/>
      <c r="Q1174" s="85"/>
      <c r="R1174" s="81"/>
    </row>
    <row r="1175" spans="7:18" x14ac:dyDescent="0.3">
      <c r="G1175" s="85"/>
      <c r="H1175" s="86"/>
      <c r="I1175" s="86"/>
      <c r="J1175" s="87"/>
      <c r="K1175" s="85"/>
      <c r="L1175" s="85"/>
      <c r="P1175" s="85"/>
      <c r="Q1175" s="85"/>
      <c r="R1175" s="81"/>
    </row>
    <row r="1176" spans="7:18" x14ac:dyDescent="0.3">
      <c r="G1176" s="85"/>
      <c r="H1176" s="86"/>
      <c r="I1176" s="86"/>
      <c r="J1176" s="87"/>
      <c r="K1176" s="85"/>
      <c r="L1176" s="85"/>
      <c r="P1176" s="85"/>
      <c r="Q1176" s="85"/>
      <c r="R1176" s="81"/>
    </row>
    <row r="1177" spans="7:18" x14ac:dyDescent="0.3">
      <c r="G1177" s="85"/>
      <c r="H1177" s="86"/>
      <c r="I1177" s="86"/>
      <c r="J1177" s="87"/>
      <c r="K1177" s="85"/>
      <c r="L1177" s="85"/>
      <c r="P1177" s="85"/>
      <c r="Q1177" s="85"/>
      <c r="R1177" s="81"/>
    </row>
    <row r="1178" spans="7:18" x14ac:dyDescent="0.3">
      <c r="G1178" s="85"/>
      <c r="H1178" s="86"/>
      <c r="I1178" s="86"/>
      <c r="J1178" s="87"/>
      <c r="K1178" s="85"/>
      <c r="L1178" s="85"/>
      <c r="P1178" s="85"/>
      <c r="Q1178" s="85"/>
      <c r="R1178" s="81"/>
    </row>
    <row r="1179" spans="7:18" x14ac:dyDescent="0.3">
      <c r="G1179" s="85"/>
      <c r="H1179" s="86"/>
      <c r="I1179" s="86"/>
      <c r="J1179" s="87"/>
      <c r="K1179" s="85"/>
      <c r="L1179" s="85"/>
      <c r="P1179" s="85"/>
      <c r="Q1179" s="85"/>
      <c r="R1179" s="81"/>
    </row>
    <row r="1180" spans="7:18" x14ac:dyDescent="0.3">
      <c r="G1180" s="85"/>
      <c r="H1180" s="86"/>
      <c r="I1180" s="86"/>
      <c r="J1180" s="87"/>
      <c r="K1180" s="85"/>
      <c r="L1180" s="85"/>
      <c r="P1180" s="85"/>
      <c r="Q1180" s="85"/>
      <c r="R1180" s="81"/>
    </row>
    <row r="1181" spans="7:18" x14ac:dyDescent="0.3">
      <c r="G1181" s="85"/>
      <c r="H1181" s="86"/>
      <c r="I1181" s="86"/>
      <c r="J1181" s="87"/>
      <c r="K1181" s="85"/>
      <c r="L1181" s="85"/>
      <c r="P1181" s="85"/>
      <c r="Q1181" s="85"/>
      <c r="R1181" s="81"/>
    </row>
    <row r="1182" spans="7:18" x14ac:dyDescent="0.3">
      <c r="G1182" s="85"/>
      <c r="H1182" s="86"/>
      <c r="I1182" s="86"/>
      <c r="J1182" s="87"/>
      <c r="K1182" s="85"/>
      <c r="L1182" s="85"/>
      <c r="P1182" s="85"/>
      <c r="Q1182" s="85"/>
      <c r="R1182" s="81"/>
    </row>
    <row r="1183" spans="7:18" x14ac:dyDescent="0.3">
      <c r="G1183" s="85"/>
      <c r="H1183" s="86"/>
      <c r="I1183" s="86"/>
      <c r="J1183" s="87"/>
      <c r="K1183" s="85"/>
      <c r="L1183" s="85"/>
      <c r="P1183" s="85"/>
      <c r="Q1183" s="85"/>
      <c r="R1183" s="81"/>
    </row>
    <row r="1184" spans="7:18" x14ac:dyDescent="0.3">
      <c r="G1184" s="85"/>
      <c r="H1184" s="86"/>
      <c r="I1184" s="86"/>
      <c r="J1184" s="87"/>
      <c r="K1184" s="85"/>
      <c r="L1184" s="85"/>
      <c r="P1184" s="85"/>
      <c r="Q1184" s="85"/>
      <c r="R1184" s="81"/>
    </row>
    <row r="1185" spans="7:18" x14ac:dyDescent="0.3">
      <c r="G1185" s="85"/>
      <c r="H1185" s="86"/>
      <c r="I1185" s="86"/>
      <c r="J1185" s="87"/>
      <c r="K1185" s="85"/>
      <c r="L1185" s="85"/>
      <c r="P1185" s="85"/>
      <c r="Q1185" s="85"/>
      <c r="R1185" s="81"/>
    </row>
    <row r="1186" spans="7:18" x14ac:dyDescent="0.3">
      <c r="G1186" s="85"/>
      <c r="H1186" s="86"/>
      <c r="I1186" s="86"/>
      <c r="J1186" s="87"/>
      <c r="K1186" s="85"/>
      <c r="L1186" s="85"/>
      <c r="P1186" s="85"/>
      <c r="Q1186" s="85"/>
      <c r="R1186" s="81"/>
    </row>
    <row r="1187" spans="7:18" x14ac:dyDescent="0.3">
      <c r="G1187" s="85"/>
      <c r="H1187" s="86"/>
      <c r="I1187" s="86"/>
      <c r="J1187" s="87"/>
      <c r="K1187" s="85"/>
      <c r="L1187" s="85"/>
      <c r="P1187" s="85"/>
      <c r="Q1187" s="85"/>
      <c r="R1187" s="81"/>
    </row>
    <row r="1188" spans="7:18" x14ac:dyDescent="0.3">
      <c r="G1188" s="85"/>
      <c r="H1188" s="86"/>
      <c r="I1188" s="86"/>
      <c r="J1188" s="87"/>
      <c r="K1188" s="85"/>
      <c r="L1188" s="85"/>
      <c r="P1188" s="85"/>
      <c r="Q1188" s="85"/>
      <c r="R1188" s="81"/>
    </row>
    <row r="1189" spans="7:18" x14ac:dyDescent="0.3">
      <c r="G1189" s="85"/>
      <c r="H1189" s="86"/>
      <c r="I1189" s="86"/>
      <c r="J1189" s="87"/>
      <c r="K1189" s="85"/>
      <c r="L1189" s="85"/>
      <c r="P1189" s="85"/>
      <c r="Q1189" s="85"/>
      <c r="R1189" s="81"/>
    </row>
    <row r="1190" spans="7:18" x14ac:dyDescent="0.3">
      <c r="G1190" s="85"/>
      <c r="H1190" s="86"/>
      <c r="I1190" s="86"/>
      <c r="J1190" s="87"/>
      <c r="K1190" s="85"/>
      <c r="L1190" s="85"/>
      <c r="P1190" s="85"/>
      <c r="Q1190" s="85"/>
      <c r="R1190" s="81"/>
    </row>
    <row r="1191" spans="7:18" x14ac:dyDescent="0.3">
      <c r="G1191" s="85"/>
      <c r="H1191" s="86"/>
      <c r="I1191" s="86"/>
      <c r="J1191" s="87"/>
      <c r="K1191" s="85"/>
      <c r="L1191" s="85"/>
      <c r="P1191" s="85"/>
      <c r="Q1191" s="85"/>
      <c r="R1191" s="81"/>
    </row>
    <row r="1192" spans="7:18" x14ac:dyDescent="0.3">
      <c r="G1192" s="85"/>
      <c r="H1192" s="86"/>
      <c r="I1192" s="86"/>
      <c r="J1192" s="87"/>
      <c r="K1192" s="85"/>
      <c r="L1192" s="85"/>
      <c r="P1192" s="85"/>
      <c r="Q1192" s="85"/>
      <c r="R1192" s="81"/>
    </row>
    <row r="1193" spans="7:18" x14ac:dyDescent="0.3">
      <c r="G1193" s="85"/>
      <c r="H1193" s="86"/>
      <c r="I1193" s="86"/>
      <c r="J1193" s="87"/>
      <c r="K1193" s="85"/>
      <c r="L1193" s="85"/>
      <c r="P1193" s="85"/>
      <c r="Q1193" s="85"/>
      <c r="R1193" s="81"/>
    </row>
    <row r="1194" spans="7:18" x14ac:dyDescent="0.3">
      <c r="G1194" s="85"/>
      <c r="H1194" s="86"/>
      <c r="I1194" s="86"/>
      <c r="J1194" s="87"/>
      <c r="K1194" s="85"/>
      <c r="L1194" s="85"/>
      <c r="P1194" s="85"/>
      <c r="Q1194" s="85"/>
      <c r="R1194" s="81"/>
    </row>
    <row r="1195" spans="7:18" x14ac:dyDescent="0.3">
      <c r="G1195" s="85"/>
      <c r="H1195" s="86"/>
      <c r="I1195" s="86"/>
      <c r="J1195" s="87"/>
      <c r="K1195" s="85"/>
      <c r="L1195" s="85"/>
      <c r="P1195" s="85"/>
      <c r="Q1195" s="85"/>
      <c r="R1195" s="81"/>
    </row>
    <row r="1196" spans="7:18" x14ac:dyDescent="0.3">
      <c r="G1196" s="85"/>
      <c r="H1196" s="86"/>
      <c r="I1196" s="86"/>
      <c r="J1196" s="87"/>
      <c r="K1196" s="85"/>
      <c r="L1196" s="85"/>
      <c r="P1196" s="85"/>
      <c r="Q1196" s="85"/>
      <c r="R1196" s="81"/>
    </row>
    <row r="1197" spans="7:18" x14ac:dyDescent="0.3">
      <c r="G1197" s="85"/>
      <c r="H1197" s="86"/>
      <c r="I1197" s="86"/>
      <c r="J1197" s="87"/>
      <c r="K1197" s="85"/>
      <c r="L1197" s="85"/>
      <c r="P1197" s="85"/>
      <c r="Q1197" s="85"/>
      <c r="R1197" s="81"/>
    </row>
    <row r="1198" spans="7:18" x14ac:dyDescent="0.3">
      <c r="G1198" s="85"/>
      <c r="H1198" s="86"/>
      <c r="I1198" s="86"/>
      <c r="J1198" s="87"/>
      <c r="K1198" s="85"/>
      <c r="L1198" s="85"/>
      <c r="P1198" s="85"/>
      <c r="Q1198" s="85"/>
      <c r="R1198" s="81"/>
    </row>
    <row r="1199" spans="7:18" x14ac:dyDescent="0.3">
      <c r="G1199" s="85"/>
      <c r="H1199" s="86"/>
      <c r="I1199" s="86"/>
      <c r="J1199" s="87"/>
      <c r="K1199" s="85"/>
      <c r="L1199" s="85"/>
      <c r="P1199" s="85"/>
      <c r="Q1199" s="85"/>
      <c r="R1199" s="81"/>
    </row>
    <row r="1200" spans="7:18" x14ac:dyDescent="0.3">
      <c r="G1200" s="85"/>
      <c r="H1200" s="86"/>
      <c r="I1200" s="86"/>
      <c r="J1200" s="87"/>
      <c r="K1200" s="85"/>
      <c r="L1200" s="85"/>
      <c r="P1200" s="85"/>
      <c r="Q1200" s="85"/>
      <c r="R1200" s="81"/>
    </row>
    <row r="1201" spans="7:18" x14ac:dyDescent="0.3">
      <c r="G1201" s="85"/>
      <c r="H1201" s="86"/>
      <c r="I1201" s="86"/>
      <c r="J1201" s="87"/>
      <c r="K1201" s="85"/>
      <c r="L1201" s="85"/>
      <c r="P1201" s="85"/>
      <c r="Q1201" s="85"/>
      <c r="R1201" s="81"/>
    </row>
    <row r="1202" spans="7:18" x14ac:dyDescent="0.3">
      <c r="G1202" s="85"/>
      <c r="H1202" s="86"/>
      <c r="I1202" s="86"/>
      <c r="J1202" s="87"/>
      <c r="K1202" s="85"/>
      <c r="L1202" s="85"/>
      <c r="P1202" s="85"/>
      <c r="Q1202" s="85"/>
      <c r="R1202" s="81"/>
    </row>
    <row r="1203" spans="7:18" x14ac:dyDescent="0.3">
      <c r="G1203" s="85"/>
      <c r="H1203" s="86"/>
      <c r="I1203" s="86"/>
      <c r="J1203" s="87"/>
      <c r="K1203" s="85"/>
      <c r="L1203" s="85"/>
      <c r="P1203" s="85"/>
      <c r="Q1203" s="85"/>
      <c r="R1203" s="81"/>
    </row>
    <row r="1204" spans="7:18" x14ac:dyDescent="0.3">
      <c r="G1204" s="85"/>
      <c r="H1204" s="86"/>
      <c r="I1204" s="86"/>
      <c r="J1204" s="87"/>
      <c r="K1204" s="85"/>
      <c r="L1204" s="85"/>
      <c r="P1204" s="85"/>
      <c r="Q1204" s="85"/>
      <c r="R1204" s="81"/>
    </row>
    <row r="1205" spans="7:18" x14ac:dyDescent="0.3">
      <c r="G1205" s="85"/>
      <c r="H1205" s="86"/>
      <c r="I1205" s="86"/>
      <c r="J1205" s="87"/>
      <c r="K1205" s="85"/>
      <c r="L1205" s="85"/>
      <c r="P1205" s="85"/>
      <c r="Q1205" s="85"/>
      <c r="R1205" s="81"/>
    </row>
    <row r="1206" spans="7:18" x14ac:dyDescent="0.3">
      <c r="G1206" s="85"/>
      <c r="H1206" s="86"/>
      <c r="I1206" s="86"/>
      <c r="J1206" s="87"/>
      <c r="K1206" s="85"/>
      <c r="L1206" s="85"/>
      <c r="P1206" s="85"/>
      <c r="Q1206" s="85"/>
      <c r="R1206" s="81"/>
    </row>
    <row r="1207" spans="7:18" x14ac:dyDescent="0.3">
      <c r="G1207" s="85"/>
      <c r="H1207" s="86"/>
      <c r="I1207" s="86"/>
      <c r="J1207" s="87"/>
      <c r="K1207" s="85"/>
      <c r="L1207" s="85"/>
      <c r="P1207" s="85"/>
      <c r="Q1207" s="85"/>
      <c r="R1207" s="81"/>
    </row>
    <row r="1208" spans="7:18" x14ac:dyDescent="0.3">
      <c r="G1208" s="85"/>
      <c r="H1208" s="86"/>
      <c r="I1208" s="86"/>
      <c r="J1208" s="87"/>
      <c r="K1208" s="85"/>
      <c r="L1208" s="85"/>
      <c r="P1208" s="85"/>
      <c r="Q1208" s="85"/>
      <c r="R1208" s="81"/>
    </row>
    <row r="1209" spans="7:18" x14ac:dyDescent="0.3">
      <c r="G1209" s="85"/>
      <c r="H1209" s="86"/>
      <c r="I1209" s="86"/>
      <c r="J1209" s="87"/>
      <c r="K1209" s="85"/>
      <c r="L1209" s="85"/>
      <c r="P1209" s="85"/>
      <c r="Q1209" s="85"/>
      <c r="R1209" s="81"/>
    </row>
    <row r="1210" spans="7:18" x14ac:dyDescent="0.3">
      <c r="G1210" s="85"/>
      <c r="H1210" s="86"/>
      <c r="I1210" s="86"/>
      <c r="J1210" s="87"/>
      <c r="K1210" s="85"/>
      <c r="L1210" s="85"/>
      <c r="P1210" s="85"/>
      <c r="Q1210" s="85"/>
      <c r="R1210" s="81"/>
    </row>
    <row r="1211" spans="7:18" x14ac:dyDescent="0.3">
      <c r="G1211" s="85"/>
      <c r="H1211" s="86"/>
      <c r="I1211" s="86"/>
      <c r="J1211" s="87"/>
      <c r="K1211" s="85"/>
      <c r="L1211" s="85"/>
      <c r="P1211" s="85"/>
      <c r="Q1211" s="85"/>
      <c r="R1211" s="81"/>
    </row>
    <row r="1212" spans="7:18" x14ac:dyDescent="0.3">
      <c r="G1212" s="85"/>
      <c r="H1212" s="86"/>
      <c r="I1212" s="86"/>
      <c r="J1212" s="87"/>
      <c r="K1212" s="85"/>
      <c r="L1212" s="85"/>
      <c r="P1212" s="85"/>
      <c r="Q1212" s="85"/>
      <c r="R1212" s="81"/>
    </row>
    <row r="1213" spans="7:18" x14ac:dyDescent="0.3">
      <c r="G1213" s="85"/>
      <c r="H1213" s="86"/>
      <c r="I1213" s="86"/>
      <c r="J1213" s="87"/>
      <c r="K1213" s="85"/>
      <c r="L1213" s="85"/>
      <c r="P1213" s="85"/>
      <c r="Q1213" s="85"/>
      <c r="R1213" s="81"/>
    </row>
    <row r="1214" spans="7:18" x14ac:dyDescent="0.3">
      <c r="G1214" s="85"/>
      <c r="H1214" s="86"/>
      <c r="I1214" s="86"/>
      <c r="J1214" s="87"/>
      <c r="K1214" s="85"/>
      <c r="L1214" s="85"/>
      <c r="P1214" s="85"/>
      <c r="Q1214" s="85"/>
      <c r="R1214" s="81"/>
    </row>
    <row r="1215" spans="7:18" x14ac:dyDescent="0.3">
      <c r="G1215" s="85"/>
      <c r="H1215" s="86"/>
      <c r="I1215" s="86"/>
      <c r="J1215" s="87"/>
      <c r="K1215" s="85"/>
      <c r="L1215" s="85"/>
      <c r="P1215" s="85"/>
      <c r="Q1215" s="85"/>
      <c r="R1215" s="81"/>
    </row>
    <row r="1216" spans="7:18" x14ac:dyDescent="0.3">
      <c r="G1216" s="85"/>
      <c r="H1216" s="86"/>
      <c r="I1216" s="86"/>
      <c r="J1216" s="87"/>
      <c r="K1216" s="85"/>
      <c r="L1216" s="85"/>
      <c r="P1216" s="85"/>
      <c r="Q1216" s="85"/>
      <c r="R1216" s="81"/>
    </row>
    <row r="1217" spans="7:18" x14ac:dyDescent="0.3">
      <c r="G1217" s="85"/>
      <c r="H1217" s="86"/>
      <c r="I1217" s="86"/>
      <c r="J1217" s="87"/>
      <c r="K1217" s="85"/>
      <c r="L1217" s="85"/>
      <c r="P1217" s="85"/>
      <c r="Q1217" s="85"/>
      <c r="R1217" s="81"/>
    </row>
    <row r="1218" spans="7:18" x14ac:dyDescent="0.3">
      <c r="G1218" s="85"/>
      <c r="H1218" s="86"/>
      <c r="I1218" s="86"/>
      <c r="J1218" s="87"/>
      <c r="K1218" s="85"/>
      <c r="L1218" s="85"/>
      <c r="P1218" s="85"/>
      <c r="Q1218" s="85"/>
      <c r="R1218" s="81"/>
    </row>
    <row r="1219" spans="7:18" x14ac:dyDescent="0.3">
      <c r="G1219" s="85"/>
      <c r="H1219" s="86"/>
      <c r="I1219" s="86"/>
      <c r="J1219" s="87"/>
      <c r="K1219" s="85"/>
      <c r="L1219" s="85"/>
      <c r="P1219" s="85"/>
      <c r="Q1219" s="85"/>
      <c r="R1219" s="81"/>
    </row>
    <row r="1220" spans="7:18" x14ac:dyDescent="0.3">
      <c r="G1220" s="85"/>
      <c r="H1220" s="86"/>
      <c r="I1220" s="86"/>
      <c r="J1220" s="87"/>
      <c r="K1220" s="85"/>
      <c r="L1220" s="85"/>
      <c r="P1220" s="85"/>
      <c r="Q1220" s="85"/>
      <c r="R1220" s="81"/>
    </row>
    <row r="1221" spans="7:18" x14ac:dyDescent="0.3">
      <c r="G1221" s="85"/>
      <c r="H1221" s="86"/>
      <c r="I1221" s="86"/>
      <c r="J1221" s="87"/>
      <c r="K1221" s="85"/>
      <c r="L1221" s="85"/>
      <c r="P1221" s="85"/>
      <c r="Q1221" s="85"/>
      <c r="R1221" s="81"/>
    </row>
    <row r="1222" spans="7:18" x14ac:dyDescent="0.3">
      <c r="G1222" s="85"/>
      <c r="H1222" s="86"/>
      <c r="I1222" s="86"/>
      <c r="J1222" s="87"/>
      <c r="K1222" s="85"/>
      <c r="L1222" s="85"/>
      <c r="P1222" s="85"/>
      <c r="Q1222" s="85"/>
      <c r="R1222" s="81"/>
    </row>
    <row r="1223" spans="7:18" x14ac:dyDescent="0.3">
      <c r="G1223" s="85"/>
      <c r="H1223" s="86"/>
      <c r="I1223" s="86"/>
      <c r="J1223" s="87"/>
      <c r="K1223" s="85"/>
      <c r="L1223" s="85"/>
      <c r="P1223" s="85"/>
      <c r="Q1223" s="85"/>
      <c r="R1223" s="81"/>
    </row>
    <row r="1224" spans="7:18" x14ac:dyDescent="0.3">
      <c r="G1224" s="85"/>
      <c r="H1224" s="86"/>
      <c r="I1224" s="86"/>
      <c r="J1224" s="87"/>
      <c r="K1224" s="85"/>
      <c r="L1224" s="85"/>
      <c r="P1224" s="85"/>
      <c r="Q1224" s="85"/>
      <c r="R1224" s="81"/>
    </row>
    <row r="1225" spans="7:18" x14ac:dyDescent="0.3">
      <c r="G1225" s="85"/>
      <c r="H1225" s="86"/>
      <c r="I1225" s="86"/>
      <c r="J1225" s="87"/>
      <c r="K1225" s="85"/>
      <c r="L1225" s="85"/>
      <c r="P1225" s="85"/>
      <c r="Q1225" s="85"/>
      <c r="R1225" s="81"/>
    </row>
    <row r="1226" spans="7:18" x14ac:dyDescent="0.3">
      <c r="G1226" s="85"/>
      <c r="H1226" s="86"/>
      <c r="I1226" s="86"/>
      <c r="J1226" s="87"/>
      <c r="K1226" s="85"/>
      <c r="L1226" s="85"/>
      <c r="P1226" s="85"/>
      <c r="Q1226" s="85"/>
      <c r="R1226" s="81"/>
    </row>
    <row r="1227" spans="7:18" x14ac:dyDescent="0.3">
      <c r="G1227" s="85"/>
      <c r="H1227" s="86"/>
      <c r="I1227" s="86"/>
      <c r="J1227" s="87"/>
      <c r="K1227" s="85"/>
      <c r="L1227" s="85"/>
      <c r="P1227" s="85"/>
      <c r="Q1227" s="85"/>
      <c r="R1227" s="81"/>
    </row>
    <row r="1228" spans="7:18" x14ac:dyDescent="0.3">
      <c r="G1228" s="85"/>
      <c r="H1228" s="86"/>
      <c r="I1228" s="86"/>
      <c r="J1228" s="87"/>
      <c r="K1228" s="85"/>
      <c r="L1228" s="85"/>
      <c r="P1228" s="85"/>
      <c r="Q1228" s="85"/>
      <c r="R1228" s="81"/>
    </row>
    <row r="1229" spans="7:18" x14ac:dyDescent="0.3">
      <c r="G1229" s="85"/>
      <c r="H1229" s="86"/>
      <c r="I1229" s="86"/>
      <c r="J1229" s="87"/>
      <c r="K1229" s="85"/>
      <c r="L1229" s="85"/>
      <c r="P1229" s="85"/>
      <c r="Q1229" s="85"/>
      <c r="R1229" s="81"/>
    </row>
    <row r="1230" spans="7:18" x14ac:dyDescent="0.3">
      <c r="G1230" s="85"/>
      <c r="H1230" s="86"/>
      <c r="I1230" s="86"/>
      <c r="J1230" s="87"/>
      <c r="K1230" s="85"/>
      <c r="L1230" s="85"/>
      <c r="P1230" s="85"/>
      <c r="Q1230" s="85"/>
      <c r="R1230" s="81"/>
    </row>
    <row r="1231" spans="7:18" x14ac:dyDescent="0.3">
      <c r="G1231" s="85"/>
      <c r="H1231" s="86"/>
      <c r="I1231" s="86"/>
      <c r="J1231" s="87"/>
      <c r="K1231" s="85"/>
      <c r="L1231" s="85"/>
      <c r="P1231" s="85"/>
      <c r="Q1231" s="85"/>
      <c r="R1231" s="81"/>
    </row>
    <row r="1232" spans="7:18" x14ac:dyDescent="0.3">
      <c r="G1232" s="85"/>
      <c r="H1232" s="86"/>
      <c r="I1232" s="86"/>
      <c r="J1232" s="87"/>
      <c r="K1232" s="85"/>
      <c r="L1232" s="85"/>
      <c r="P1232" s="85"/>
      <c r="Q1232" s="85"/>
      <c r="R1232" s="81"/>
    </row>
    <row r="1233" spans="7:18" x14ac:dyDescent="0.3">
      <c r="G1233" s="85"/>
      <c r="H1233" s="86"/>
      <c r="I1233" s="86"/>
      <c r="J1233" s="87"/>
      <c r="K1233" s="85"/>
      <c r="L1233" s="85"/>
      <c r="P1233" s="85"/>
      <c r="Q1233" s="85"/>
      <c r="R1233" s="81"/>
    </row>
    <row r="1234" spans="7:18" x14ac:dyDescent="0.3">
      <c r="G1234" s="85"/>
      <c r="H1234" s="86"/>
      <c r="I1234" s="86"/>
      <c r="J1234" s="87"/>
      <c r="K1234" s="85"/>
      <c r="L1234" s="85"/>
      <c r="P1234" s="85"/>
      <c r="Q1234" s="85"/>
      <c r="R1234" s="81"/>
    </row>
    <row r="1235" spans="7:18" x14ac:dyDescent="0.3">
      <c r="G1235" s="85"/>
      <c r="H1235" s="86"/>
      <c r="I1235" s="86"/>
      <c r="J1235" s="87"/>
      <c r="K1235" s="85"/>
      <c r="L1235" s="85"/>
      <c r="P1235" s="85"/>
      <c r="Q1235" s="85"/>
      <c r="R1235" s="81"/>
    </row>
    <row r="1236" spans="7:18" x14ac:dyDescent="0.3">
      <c r="G1236" s="85"/>
      <c r="H1236" s="86"/>
      <c r="I1236" s="86"/>
      <c r="J1236" s="87"/>
      <c r="K1236" s="85"/>
      <c r="L1236" s="85"/>
      <c r="P1236" s="85"/>
      <c r="Q1236" s="85"/>
      <c r="R1236" s="81"/>
    </row>
    <row r="1237" spans="7:18" x14ac:dyDescent="0.3">
      <c r="G1237" s="85"/>
      <c r="H1237" s="86"/>
      <c r="I1237" s="86"/>
      <c r="J1237" s="87"/>
      <c r="K1237" s="85"/>
      <c r="L1237" s="85"/>
      <c r="P1237" s="85"/>
      <c r="Q1237" s="85"/>
      <c r="R1237" s="81"/>
    </row>
    <row r="1238" spans="7:18" x14ac:dyDescent="0.3">
      <c r="G1238" s="85"/>
      <c r="H1238" s="86"/>
      <c r="I1238" s="86"/>
      <c r="J1238" s="87"/>
      <c r="K1238" s="85"/>
      <c r="L1238" s="85"/>
      <c r="P1238" s="85"/>
      <c r="Q1238" s="85"/>
      <c r="R1238" s="81"/>
    </row>
    <row r="1239" spans="7:18" x14ac:dyDescent="0.3">
      <c r="G1239" s="85"/>
      <c r="H1239" s="86"/>
      <c r="I1239" s="86"/>
      <c r="J1239" s="87"/>
      <c r="K1239" s="85"/>
      <c r="L1239" s="85"/>
      <c r="P1239" s="85"/>
      <c r="Q1239" s="85"/>
      <c r="R1239" s="81"/>
    </row>
    <row r="1240" spans="7:18" x14ac:dyDescent="0.3">
      <c r="G1240" s="85"/>
      <c r="H1240" s="86"/>
      <c r="I1240" s="86"/>
      <c r="J1240" s="87"/>
      <c r="K1240" s="85"/>
      <c r="L1240" s="85"/>
      <c r="P1240" s="85"/>
      <c r="Q1240" s="85"/>
      <c r="R1240" s="81"/>
    </row>
    <row r="1241" spans="7:18" x14ac:dyDescent="0.3">
      <c r="G1241" s="85"/>
      <c r="H1241" s="86"/>
      <c r="I1241" s="86"/>
      <c r="J1241" s="87"/>
      <c r="K1241" s="85"/>
      <c r="L1241" s="85"/>
      <c r="P1241" s="85"/>
      <c r="Q1241" s="85"/>
      <c r="R1241" s="81"/>
    </row>
    <row r="1242" spans="7:18" x14ac:dyDescent="0.3">
      <c r="G1242" s="85"/>
      <c r="H1242" s="86"/>
      <c r="I1242" s="86"/>
      <c r="J1242" s="87"/>
      <c r="K1242" s="85"/>
      <c r="L1242" s="85"/>
      <c r="P1242" s="85"/>
      <c r="Q1242" s="85"/>
      <c r="R1242" s="81"/>
    </row>
    <row r="1243" spans="7:18" x14ac:dyDescent="0.3">
      <c r="G1243" s="85"/>
      <c r="H1243" s="86"/>
      <c r="I1243" s="86"/>
      <c r="J1243" s="87"/>
      <c r="K1243" s="85"/>
      <c r="L1243" s="85"/>
      <c r="P1243" s="85"/>
      <c r="Q1243" s="85"/>
      <c r="R1243" s="81"/>
    </row>
    <row r="1244" spans="7:18" x14ac:dyDescent="0.3">
      <c r="G1244" s="85"/>
      <c r="H1244" s="86"/>
      <c r="I1244" s="86"/>
      <c r="J1244" s="87"/>
      <c r="K1244" s="85"/>
      <c r="L1244" s="85"/>
      <c r="P1244" s="85"/>
      <c r="Q1244" s="85"/>
      <c r="R1244" s="81"/>
    </row>
    <row r="1245" spans="7:18" x14ac:dyDescent="0.3">
      <c r="G1245" s="85"/>
      <c r="H1245" s="86"/>
      <c r="I1245" s="86"/>
      <c r="J1245" s="87"/>
      <c r="K1245" s="85"/>
      <c r="L1245" s="85"/>
      <c r="P1245" s="85"/>
      <c r="Q1245" s="85"/>
      <c r="R1245" s="81"/>
    </row>
    <row r="1246" spans="7:18" x14ac:dyDescent="0.3">
      <c r="G1246" s="85"/>
      <c r="H1246" s="86"/>
      <c r="I1246" s="86"/>
      <c r="J1246" s="87"/>
      <c r="K1246" s="85"/>
      <c r="L1246" s="85"/>
      <c r="P1246" s="85"/>
      <c r="Q1246" s="85"/>
      <c r="R1246" s="81"/>
    </row>
    <row r="1247" spans="7:18" x14ac:dyDescent="0.3">
      <c r="G1247" s="85"/>
      <c r="H1247" s="86"/>
      <c r="I1247" s="86"/>
      <c r="J1247" s="87"/>
      <c r="K1247" s="85"/>
      <c r="L1247" s="85"/>
      <c r="P1247" s="85"/>
      <c r="Q1247" s="85"/>
      <c r="R1247" s="81"/>
    </row>
    <row r="1248" spans="7:18" x14ac:dyDescent="0.3">
      <c r="G1248" s="85"/>
      <c r="H1248" s="86"/>
      <c r="I1248" s="86"/>
      <c r="J1248" s="87"/>
      <c r="K1248" s="85"/>
      <c r="L1248" s="85"/>
      <c r="P1248" s="85"/>
      <c r="Q1248" s="85"/>
      <c r="R1248" s="81"/>
    </row>
    <row r="1249" spans="7:18" x14ac:dyDescent="0.3">
      <c r="G1249" s="85"/>
      <c r="H1249" s="86"/>
      <c r="I1249" s="86"/>
      <c r="J1249" s="87"/>
      <c r="K1249" s="85"/>
      <c r="L1249" s="85"/>
      <c r="P1249" s="85"/>
      <c r="Q1249" s="85"/>
      <c r="R1249" s="81"/>
    </row>
    <row r="1250" spans="7:18" x14ac:dyDescent="0.3">
      <c r="G1250" s="85"/>
      <c r="H1250" s="86"/>
      <c r="I1250" s="86"/>
      <c r="J1250" s="87"/>
      <c r="K1250" s="85"/>
      <c r="L1250" s="85"/>
      <c r="P1250" s="85"/>
      <c r="Q1250" s="85"/>
      <c r="R1250" s="81"/>
    </row>
    <row r="1251" spans="7:18" x14ac:dyDescent="0.3">
      <c r="G1251" s="85"/>
      <c r="H1251" s="86"/>
      <c r="I1251" s="86"/>
      <c r="J1251" s="87"/>
      <c r="K1251" s="85"/>
      <c r="L1251" s="85"/>
      <c r="P1251" s="85"/>
      <c r="Q1251" s="85"/>
      <c r="R1251" s="81"/>
    </row>
    <row r="1252" spans="7:18" x14ac:dyDescent="0.3">
      <c r="G1252" s="85"/>
      <c r="H1252" s="86"/>
      <c r="I1252" s="86"/>
      <c r="J1252" s="87"/>
      <c r="K1252" s="85"/>
      <c r="L1252" s="85"/>
      <c r="P1252" s="85"/>
      <c r="Q1252" s="85"/>
      <c r="R1252" s="81"/>
    </row>
    <row r="1253" spans="7:18" x14ac:dyDescent="0.3">
      <c r="G1253" s="85"/>
      <c r="H1253" s="86"/>
      <c r="I1253" s="86"/>
      <c r="J1253" s="87"/>
      <c r="K1253" s="85"/>
      <c r="L1253" s="85"/>
      <c r="P1253" s="85"/>
      <c r="Q1253" s="85"/>
      <c r="R1253" s="81"/>
    </row>
    <row r="1254" spans="7:18" x14ac:dyDescent="0.3">
      <c r="G1254" s="85"/>
      <c r="H1254" s="86"/>
      <c r="I1254" s="86"/>
      <c r="J1254" s="87"/>
      <c r="K1254" s="85"/>
      <c r="L1254" s="85"/>
      <c r="P1254" s="85"/>
      <c r="Q1254" s="85"/>
      <c r="R1254" s="81"/>
    </row>
    <row r="1255" spans="7:18" x14ac:dyDescent="0.3">
      <c r="G1255" s="85"/>
      <c r="H1255" s="86"/>
      <c r="I1255" s="86"/>
      <c r="J1255" s="87"/>
      <c r="K1255" s="85"/>
      <c r="L1255" s="85"/>
      <c r="P1255" s="85"/>
      <c r="Q1255" s="85"/>
      <c r="R1255" s="81"/>
    </row>
    <row r="1256" spans="7:18" x14ac:dyDescent="0.3">
      <c r="G1256" s="85"/>
      <c r="H1256" s="86"/>
      <c r="I1256" s="86"/>
      <c r="J1256" s="87"/>
      <c r="K1256" s="85"/>
      <c r="L1256" s="85"/>
      <c r="P1256" s="85"/>
      <c r="Q1256" s="85"/>
      <c r="R1256" s="81"/>
    </row>
    <row r="1257" spans="7:18" x14ac:dyDescent="0.3">
      <c r="G1257" s="85"/>
      <c r="H1257" s="86"/>
      <c r="I1257" s="86"/>
      <c r="J1257" s="87"/>
      <c r="K1257" s="85"/>
      <c r="L1257" s="85"/>
      <c r="P1257" s="85"/>
      <c r="Q1257" s="85"/>
      <c r="R1257" s="81"/>
    </row>
    <row r="1258" spans="7:18" x14ac:dyDescent="0.3">
      <c r="G1258" s="85"/>
      <c r="H1258" s="86"/>
      <c r="I1258" s="86"/>
      <c r="J1258" s="87"/>
      <c r="K1258" s="85"/>
      <c r="L1258" s="85"/>
      <c r="P1258" s="85"/>
      <c r="Q1258" s="85"/>
      <c r="R1258" s="81"/>
    </row>
    <row r="1259" spans="7:18" x14ac:dyDescent="0.3">
      <c r="G1259" s="85"/>
      <c r="H1259" s="86"/>
      <c r="I1259" s="86"/>
      <c r="J1259" s="87"/>
      <c r="K1259" s="85"/>
      <c r="L1259" s="85"/>
      <c r="P1259" s="85"/>
      <c r="Q1259" s="85"/>
      <c r="R1259" s="81"/>
    </row>
    <row r="1260" spans="7:18" x14ac:dyDescent="0.3">
      <c r="G1260" s="85"/>
      <c r="H1260" s="86"/>
      <c r="I1260" s="86"/>
      <c r="J1260" s="87"/>
      <c r="K1260" s="85"/>
      <c r="L1260" s="85"/>
      <c r="P1260" s="85"/>
      <c r="Q1260" s="85"/>
      <c r="R1260" s="81"/>
    </row>
    <row r="1261" spans="7:18" x14ac:dyDescent="0.3">
      <c r="G1261" s="85"/>
      <c r="H1261" s="86"/>
      <c r="I1261" s="86"/>
      <c r="J1261" s="87"/>
      <c r="K1261" s="85"/>
      <c r="L1261" s="85"/>
      <c r="P1261" s="85"/>
      <c r="Q1261" s="85"/>
      <c r="R1261" s="81"/>
    </row>
    <row r="1262" spans="7:18" x14ac:dyDescent="0.3">
      <c r="G1262" s="85"/>
      <c r="H1262" s="86"/>
      <c r="I1262" s="86"/>
      <c r="J1262" s="87"/>
      <c r="K1262" s="85"/>
      <c r="L1262" s="85"/>
      <c r="P1262" s="85"/>
      <c r="Q1262" s="85"/>
      <c r="R1262" s="81"/>
    </row>
    <row r="1263" spans="7:18" x14ac:dyDescent="0.3">
      <c r="G1263" s="85"/>
      <c r="H1263" s="86"/>
      <c r="I1263" s="86"/>
      <c r="J1263" s="87"/>
      <c r="K1263" s="85"/>
      <c r="L1263" s="85"/>
      <c r="P1263" s="85"/>
      <c r="Q1263" s="85"/>
      <c r="R1263" s="81"/>
    </row>
    <row r="1264" spans="7:18" x14ac:dyDescent="0.3">
      <c r="G1264" s="85"/>
      <c r="H1264" s="86"/>
      <c r="I1264" s="86"/>
      <c r="J1264" s="87"/>
      <c r="K1264" s="85"/>
      <c r="L1264" s="85"/>
      <c r="P1264" s="85"/>
      <c r="Q1264" s="85"/>
      <c r="R1264" s="81"/>
    </row>
    <row r="1265" spans="7:18" x14ac:dyDescent="0.3">
      <c r="G1265" s="85"/>
      <c r="H1265" s="86"/>
      <c r="I1265" s="86"/>
      <c r="J1265" s="87"/>
      <c r="K1265" s="85"/>
      <c r="L1265" s="85"/>
      <c r="P1265" s="85"/>
      <c r="Q1265" s="85"/>
      <c r="R1265" s="81"/>
    </row>
    <row r="1266" spans="7:18" x14ac:dyDescent="0.3">
      <c r="G1266" s="85"/>
      <c r="H1266" s="86"/>
      <c r="I1266" s="86"/>
      <c r="J1266" s="87"/>
      <c r="K1266" s="85"/>
      <c r="L1266" s="85"/>
      <c r="P1266" s="85"/>
      <c r="Q1266" s="85"/>
      <c r="R1266" s="81"/>
    </row>
    <row r="1267" spans="7:18" x14ac:dyDescent="0.3">
      <c r="G1267" s="85"/>
      <c r="H1267" s="86"/>
      <c r="I1267" s="86"/>
      <c r="J1267" s="87"/>
      <c r="K1267" s="85"/>
      <c r="L1267" s="85"/>
      <c r="P1267" s="85"/>
      <c r="Q1267" s="85"/>
      <c r="R1267" s="81"/>
    </row>
    <row r="1268" spans="7:18" x14ac:dyDescent="0.3">
      <c r="G1268" s="85"/>
      <c r="H1268" s="86"/>
      <c r="I1268" s="86"/>
      <c r="J1268" s="87"/>
      <c r="K1268" s="85"/>
      <c r="L1268" s="85"/>
      <c r="P1268" s="85"/>
      <c r="Q1268" s="85"/>
      <c r="R1268" s="81"/>
    </row>
    <row r="1269" spans="7:18" x14ac:dyDescent="0.3">
      <c r="G1269" s="85"/>
      <c r="H1269" s="86"/>
      <c r="I1269" s="86"/>
      <c r="J1269" s="87"/>
      <c r="K1269" s="85"/>
      <c r="L1269" s="85"/>
      <c r="P1269" s="85"/>
      <c r="Q1269" s="85"/>
      <c r="R1269" s="81"/>
    </row>
    <row r="1270" spans="7:18" x14ac:dyDescent="0.3">
      <c r="G1270" s="85"/>
      <c r="H1270" s="86"/>
      <c r="I1270" s="86"/>
      <c r="J1270" s="87"/>
      <c r="K1270" s="85"/>
      <c r="L1270" s="85"/>
      <c r="P1270" s="85"/>
      <c r="Q1270" s="85"/>
      <c r="R1270" s="81"/>
    </row>
    <row r="1271" spans="7:18" x14ac:dyDescent="0.3">
      <c r="G1271" s="85"/>
      <c r="H1271" s="86"/>
      <c r="I1271" s="86"/>
      <c r="J1271" s="87"/>
      <c r="K1271" s="85"/>
      <c r="L1271" s="85"/>
      <c r="P1271" s="85"/>
      <c r="Q1271" s="85"/>
      <c r="R1271" s="81"/>
    </row>
    <row r="1272" spans="7:18" x14ac:dyDescent="0.3">
      <c r="G1272" s="85"/>
      <c r="H1272" s="86"/>
      <c r="I1272" s="86"/>
      <c r="J1272" s="87"/>
      <c r="K1272" s="85"/>
      <c r="L1272" s="85"/>
      <c r="P1272" s="85"/>
      <c r="Q1272" s="85"/>
      <c r="R1272" s="81"/>
    </row>
    <row r="1273" spans="7:18" x14ac:dyDescent="0.3">
      <c r="G1273" s="85"/>
      <c r="H1273" s="86"/>
      <c r="I1273" s="86"/>
      <c r="J1273" s="87"/>
      <c r="K1273" s="85"/>
      <c r="L1273" s="85"/>
      <c r="P1273" s="85"/>
      <c r="Q1273" s="85"/>
      <c r="R1273" s="81"/>
    </row>
    <row r="1274" spans="7:18" x14ac:dyDescent="0.3">
      <c r="G1274" s="85"/>
      <c r="H1274" s="86"/>
      <c r="I1274" s="86"/>
      <c r="J1274" s="87"/>
      <c r="K1274" s="85"/>
      <c r="L1274" s="85"/>
      <c r="P1274" s="85"/>
      <c r="Q1274" s="85"/>
      <c r="R1274" s="81"/>
    </row>
    <row r="1275" spans="7:18" x14ac:dyDescent="0.3">
      <c r="G1275" s="85"/>
      <c r="H1275" s="86"/>
      <c r="I1275" s="86"/>
      <c r="J1275" s="87"/>
      <c r="K1275" s="85"/>
      <c r="L1275" s="85"/>
      <c r="P1275" s="85"/>
      <c r="Q1275" s="85"/>
      <c r="R1275" s="81"/>
    </row>
    <row r="1276" spans="7:18" x14ac:dyDescent="0.3">
      <c r="G1276" s="85"/>
      <c r="H1276" s="86"/>
      <c r="I1276" s="86"/>
      <c r="J1276" s="87"/>
      <c r="K1276" s="85"/>
      <c r="L1276" s="85"/>
      <c r="P1276" s="85"/>
      <c r="Q1276" s="85"/>
      <c r="R1276" s="81"/>
    </row>
    <row r="1277" spans="7:18" x14ac:dyDescent="0.3">
      <c r="G1277" s="85"/>
      <c r="H1277" s="86"/>
      <c r="I1277" s="86"/>
      <c r="J1277" s="87"/>
      <c r="K1277" s="85"/>
      <c r="L1277" s="85"/>
      <c r="P1277" s="85"/>
      <c r="Q1277" s="85"/>
      <c r="R1277" s="81"/>
    </row>
    <row r="1278" spans="7:18" x14ac:dyDescent="0.3">
      <c r="G1278" s="85"/>
      <c r="H1278" s="86"/>
      <c r="I1278" s="86"/>
      <c r="J1278" s="87"/>
      <c r="K1278" s="85"/>
      <c r="L1278" s="85"/>
      <c r="P1278" s="85"/>
      <c r="Q1278" s="85"/>
      <c r="R1278" s="81"/>
    </row>
    <row r="1279" spans="7:18" x14ac:dyDescent="0.3">
      <c r="G1279" s="85"/>
      <c r="H1279" s="86"/>
      <c r="I1279" s="86"/>
      <c r="J1279" s="87"/>
      <c r="K1279" s="85"/>
      <c r="L1279" s="85"/>
      <c r="P1279" s="85"/>
      <c r="Q1279" s="85"/>
      <c r="R1279" s="81"/>
    </row>
    <row r="1280" spans="7:18" x14ac:dyDescent="0.3">
      <c r="G1280" s="85"/>
      <c r="H1280" s="86"/>
      <c r="I1280" s="86"/>
      <c r="J1280" s="87"/>
      <c r="K1280" s="85"/>
      <c r="L1280" s="85"/>
      <c r="P1280" s="85"/>
      <c r="Q1280" s="85"/>
      <c r="R1280" s="81"/>
    </row>
    <row r="1281" spans="7:18" x14ac:dyDescent="0.3">
      <c r="G1281" s="85"/>
      <c r="H1281" s="86"/>
      <c r="I1281" s="86"/>
      <c r="J1281" s="87"/>
      <c r="K1281" s="85"/>
      <c r="L1281" s="85"/>
      <c r="P1281" s="85"/>
      <c r="Q1281" s="85"/>
      <c r="R1281" s="81"/>
    </row>
    <row r="1282" spans="7:18" x14ac:dyDescent="0.3">
      <c r="G1282" s="85"/>
      <c r="H1282" s="86"/>
      <c r="I1282" s="86"/>
      <c r="J1282" s="87"/>
      <c r="K1282" s="85"/>
      <c r="L1282" s="85"/>
      <c r="P1282" s="85"/>
      <c r="Q1282" s="85"/>
      <c r="R1282" s="81"/>
    </row>
    <row r="1283" spans="7:18" x14ac:dyDescent="0.3">
      <c r="G1283" s="85"/>
      <c r="H1283" s="86"/>
      <c r="I1283" s="86"/>
      <c r="J1283" s="87"/>
      <c r="K1283" s="85"/>
      <c r="L1283" s="85"/>
      <c r="P1283" s="85"/>
      <c r="Q1283" s="85"/>
      <c r="R1283" s="81"/>
    </row>
    <row r="1284" spans="7:18" x14ac:dyDescent="0.3">
      <c r="G1284" s="85"/>
      <c r="H1284" s="86"/>
      <c r="I1284" s="86"/>
      <c r="J1284" s="87"/>
      <c r="K1284" s="85"/>
      <c r="L1284" s="85"/>
      <c r="P1284" s="85"/>
      <c r="Q1284" s="85"/>
      <c r="R1284" s="81"/>
    </row>
    <row r="1285" spans="7:18" x14ac:dyDescent="0.3">
      <c r="G1285" s="85"/>
      <c r="H1285" s="86"/>
      <c r="I1285" s="86"/>
      <c r="J1285" s="87"/>
      <c r="K1285" s="85"/>
      <c r="L1285" s="85"/>
      <c r="P1285" s="85"/>
      <c r="Q1285" s="85"/>
      <c r="R1285" s="81"/>
    </row>
    <row r="1286" spans="7:18" x14ac:dyDescent="0.3">
      <c r="G1286" s="85"/>
      <c r="H1286" s="86"/>
      <c r="I1286" s="86"/>
      <c r="J1286" s="87"/>
      <c r="K1286" s="85"/>
      <c r="L1286" s="85"/>
      <c r="P1286" s="85"/>
      <c r="Q1286" s="85"/>
      <c r="R1286" s="81"/>
    </row>
    <row r="1287" spans="7:18" x14ac:dyDescent="0.3">
      <c r="G1287" s="85"/>
      <c r="H1287" s="86"/>
      <c r="I1287" s="86"/>
      <c r="J1287" s="87"/>
      <c r="K1287" s="85"/>
      <c r="L1287" s="85"/>
      <c r="P1287" s="85"/>
      <c r="Q1287" s="85"/>
      <c r="R1287" s="81"/>
    </row>
    <row r="1288" spans="7:18" x14ac:dyDescent="0.3">
      <c r="G1288" s="85"/>
      <c r="H1288" s="86"/>
      <c r="I1288" s="86"/>
      <c r="J1288" s="87"/>
      <c r="K1288" s="85"/>
      <c r="L1288" s="85"/>
      <c r="P1288" s="85"/>
      <c r="Q1288" s="85"/>
      <c r="R1288" s="81"/>
    </row>
    <row r="1289" spans="7:18" x14ac:dyDescent="0.3">
      <c r="G1289" s="85"/>
      <c r="H1289" s="86"/>
      <c r="I1289" s="86"/>
      <c r="J1289" s="87"/>
      <c r="K1289" s="85"/>
      <c r="L1289" s="85"/>
      <c r="P1289" s="85"/>
      <c r="Q1289" s="85"/>
      <c r="R1289" s="81"/>
    </row>
    <row r="1290" spans="7:18" x14ac:dyDescent="0.3">
      <c r="G1290" s="85"/>
      <c r="H1290" s="86"/>
      <c r="I1290" s="86"/>
      <c r="J1290" s="87"/>
      <c r="K1290" s="85"/>
      <c r="L1290" s="85"/>
      <c r="P1290" s="85"/>
      <c r="Q1290" s="85"/>
      <c r="R1290" s="81"/>
    </row>
    <row r="1291" spans="7:18" x14ac:dyDescent="0.3">
      <c r="G1291" s="85"/>
      <c r="H1291" s="86"/>
      <c r="I1291" s="86"/>
      <c r="J1291" s="87"/>
      <c r="K1291" s="85"/>
      <c r="L1291" s="85"/>
      <c r="P1291" s="85"/>
      <c r="Q1291" s="85"/>
      <c r="R1291" s="81"/>
    </row>
    <row r="1292" spans="7:18" x14ac:dyDescent="0.3">
      <c r="G1292" s="85"/>
      <c r="H1292" s="86"/>
      <c r="I1292" s="86"/>
      <c r="J1292" s="87"/>
      <c r="K1292" s="85"/>
      <c r="L1292" s="85"/>
      <c r="P1292" s="85"/>
      <c r="Q1292" s="85"/>
      <c r="R1292" s="81"/>
    </row>
    <row r="1293" spans="7:18" x14ac:dyDescent="0.3">
      <c r="G1293" s="85"/>
      <c r="H1293" s="86"/>
      <c r="I1293" s="86"/>
      <c r="J1293" s="87"/>
      <c r="K1293" s="85"/>
      <c r="L1293" s="85"/>
      <c r="P1293" s="85"/>
      <c r="Q1293" s="85"/>
      <c r="R1293" s="81"/>
    </row>
    <row r="1294" spans="7:18" x14ac:dyDescent="0.3">
      <c r="G1294" s="85"/>
      <c r="H1294" s="86"/>
      <c r="I1294" s="86"/>
      <c r="J1294" s="87"/>
      <c r="K1294" s="85"/>
      <c r="L1294" s="85"/>
      <c r="P1294" s="85"/>
      <c r="Q1294" s="85"/>
      <c r="R1294" s="81"/>
    </row>
    <row r="1295" spans="7:18" x14ac:dyDescent="0.3">
      <c r="G1295" s="85"/>
      <c r="H1295" s="86"/>
      <c r="I1295" s="86"/>
      <c r="J1295" s="87"/>
      <c r="K1295" s="85"/>
      <c r="L1295" s="85"/>
      <c r="P1295" s="85"/>
      <c r="Q1295" s="85"/>
      <c r="R1295" s="81"/>
    </row>
    <row r="1296" spans="7:18" x14ac:dyDescent="0.3">
      <c r="G1296" s="85"/>
      <c r="H1296" s="86"/>
      <c r="I1296" s="86"/>
      <c r="J1296" s="87"/>
      <c r="K1296" s="85"/>
      <c r="L1296" s="85"/>
      <c r="P1296" s="85"/>
      <c r="Q1296" s="85"/>
      <c r="R1296" s="81"/>
    </row>
    <row r="1297" spans="7:18" x14ac:dyDescent="0.3">
      <c r="G1297" s="85"/>
      <c r="H1297" s="86"/>
      <c r="I1297" s="86"/>
      <c r="J1297" s="87"/>
      <c r="K1297" s="85"/>
      <c r="L1297" s="85"/>
      <c r="P1297" s="85"/>
      <c r="Q1297" s="85"/>
      <c r="R1297" s="81"/>
    </row>
    <row r="1298" spans="7:18" x14ac:dyDescent="0.3">
      <c r="G1298" s="85"/>
      <c r="H1298" s="86"/>
      <c r="I1298" s="86"/>
      <c r="J1298" s="87"/>
      <c r="K1298" s="85"/>
      <c r="L1298" s="85"/>
      <c r="P1298" s="85"/>
      <c r="Q1298" s="85"/>
      <c r="R1298" s="81"/>
    </row>
    <row r="1299" spans="7:18" x14ac:dyDescent="0.3">
      <c r="G1299" s="85"/>
      <c r="H1299" s="86"/>
      <c r="I1299" s="86"/>
      <c r="J1299" s="87"/>
      <c r="K1299" s="85"/>
      <c r="L1299" s="85"/>
      <c r="P1299" s="85"/>
      <c r="Q1299" s="85"/>
      <c r="R1299" s="81"/>
    </row>
    <row r="1300" spans="7:18" x14ac:dyDescent="0.3">
      <c r="G1300" s="85"/>
      <c r="H1300" s="86"/>
      <c r="I1300" s="86"/>
      <c r="J1300" s="87"/>
      <c r="K1300" s="85"/>
      <c r="L1300" s="85"/>
      <c r="P1300" s="85"/>
      <c r="Q1300" s="85"/>
      <c r="R1300" s="81"/>
    </row>
    <row r="1301" spans="7:18" x14ac:dyDescent="0.3">
      <c r="G1301" s="85"/>
      <c r="H1301" s="86"/>
      <c r="I1301" s="86"/>
      <c r="J1301" s="87"/>
      <c r="K1301" s="85"/>
      <c r="L1301" s="85"/>
      <c r="P1301" s="85"/>
      <c r="Q1301" s="85"/>
      <c r="R1301" s="81"/>
    </row>
    <row r="1302" spans="7:18" x14ac:dyDescent="0.3">
      <c r="G1302" s="85"/>
      <c r="H1302" s="86"/>
      <c r="I1302" s="86"/>
      <c r="J1302" s="87"/>
      <c r="K1302" s="85"/>
      <c r="L1302" s="85"/>
      <c r="P1302" s="85"/>
      <c r="Q1302" s="85"/>
      <c r="R1302" s="81"/>
    </row>
    <row r="1303" spans="7:18" x14ac:dyDescent="0.3">
      <c r="G1303" s="85"/>
      <c r="H1303" s="86"/>
      <c r="I1303" s="86"/>
      <c r="J1303" s="87"/>
      <c r="K1303" s="85"/>
      <c r="L1303" s="85"/>
      <c r="P1303" s="85"/>
      <c r="Q1303" s="85"/>
      <c r="R1303" s="81"/>
    </row>
    <row r="1304" spans="7:18" x14ac:dyDescent="0.3">
      <c r="G1304" s="85"/>
      <c r="H1304" s="86"/>
      <c r="I1304" s="86"/>
      <c r="J1304" s="87"/>
      <c r="K1304" s="85"/>
      <c r="L1304" s="85"/>
      <c r="P1304" s="85"/>
      <c r="Q1304" s="85"/>
      <c r="R1304" s="81"/>
    </row>
    <row r="1305" spans="7:18" x14ac:dyDescent="0.3">
      <c r="G1305" s="85"/>
      <c r="H1305" s="86"/>
      <c r="I1305" s="86"/>
      <c r="J1305" s="87"/>
      <c r="K1305" s="85"/>
      <c r="L1305" s="85"/>
      <c r="P1305" s="85"/>
      <c r="Q1305" s="85"/>
      <c r="R1305" s="81"/>
    </row>
    <row r="1306" spans="7:18" x14ac:dyDescent="0.3">
      <c r="G1306" s="85"/>
      <c r="H1306" s="86"/>
      <c r="I1306" s="86"/>
      <c r="J1306" s="87"/>
      <c r="K1306" s="85"/>
      <c r="L1306" s="85"/>
      <c r="P1306" s="85"/>
      <c r="Q1306" s="85"/>
      <c r="R1306" s="81"/>
    </row>
    <row r="1307" spans="7:18" x14ac:dyDescent="0.3">
      <c r="G1307" s="85"/>
      <c r="H1307" s="86"/>
      <c r="I1307" s="86"/>
      <c r="J1307" s="87"/>
      <c r="K1307" s="85"/>
      <c r="L1307" s="85"/>
      <c r="P1307" s="85"/>
      <c r="Q1307" s="85"/>
      <c r="R1307" s="81"/>
    </row>
    <row r="1308" spans="7:18" x14ac:dyDescent="0.3">
      <c r="G1308" s="85"/>
      <c r="H1308" s="86"/>
      <c r="I1308" s="86"/>
      <c r="J1308" s="87"/>
      <c r="K1308" s="85"/>
      <c r="L1308" s="85"/>
      <c r="P1308" s="85"/>
      <c r="Q1308" s="85"/>
      <c r="R1308" s="81"/>
    </row>
    <row r="1309" spans="7:18" x14ac:dyDescent="0.3">
      <c r="G1309" s="85"/>
      <c r="H1309" s="86"/>
      <c r="I1309" s="86"/>
      <c r="J1309" s="87"/>
      <c r="K1309" s="85"/>
      <c r="L1309" s="85"/>
      <c r="P1309" s="85"/>
      <c r="Q1309" s="85"/>
      <c r="R1309" s="81"/>
    </row>
    <row r="1310" spans="7:18" x14ac:dyDescent="0.3">
      <c r="G1310" s="85"/>
      <c r="H1310" s="86"/>
      <c r="I1310" s="86"/>
      <c r="J1310" s="87"/>
      <c r="K1310" s="85"/>
      <c r="L1310" s="85"/>
      <c r="P1310" s="85"/>
      <c r="Q1310" s="85"/>
      <c r="R1310" s="81"/>
    </row>
    <row r="1311" spans="7:18" x14ac:dyDescent="0.3">
      <c r="G1311" s="85"/>
      <c r="H1311" s="86"/>
      <c r="I1311" s="86"/>
      <c r="J1311" s="87"/>
      <c r="K1311" s="85"/>
      <c r="L1311" s="85"/>
      <c r="P1311" s="85"/>
      <c r="Q1311" s="85"/>
      <c r="R1311" s="81"/>
    </row>
    <row r="1312" spans="7:18" x14ac:dyDescent="0.3">
      <c r="G1312" s="85"/>
      <c r="H1312" s="86"/>
      <c r="I1312" s="86"/>
      <c r="J1312" s="87"/>
      <c r="K1312" s="85"/>
      <c r="L1312" s="85"/>
      <c r="P1312" s="85"/>
      <c r="Q1312" s="85"/>
      <c r="R1312" s="81"/>
    </row>
    <row r="1313" spans="7:18" x14ac:dyDescent="0.3">
      <c r="G1313" s="85"/>
      <c r="H1313" s="86"/>
      <c r="I1313" s="86"/>
      <c r="J1313" s="87"/>
      <c r="K1313" s="85"/>
      <c r="L1313" s="85"/>
      <c r="P1313" s="85"/>
      <c r="Q1313" s="85"/>
      <c r="R1313" s="81"/>
    </row>
    <row r="1314" spans="7:18" x14ac:dyDescent="0.3">
      <c r="G1314" s="85"/>
      <c r="H1314" s="86"/>
      <c r="I1314" s="86"/>
      <c r="J1314" s="87"/>
      <c r="K1314" s="85"/>
      <c r="L1314" s="85"/>
      <c r="P1314" s="85"/>
      <c r="Q1314" s="85"/>
      <c r="R1314" s="81"/>
    </row>
    <row r="1315" spans="7:18" x14ac:dyDescent="0.3">
      <c r="G1315" s="85"/>
      <c r="H1315" s="86"/>
      <c r="I1315" s="86"/>
      <c r="J1315" s="87"/>
      <c r="K1315" s="85"/>
      <c r="L1315" s="85"/>
      <c r="P1315" s="85"/>
      <c r="Q1315" s="85"/>
      <c r="R1315" s="81"/>
    </row>
    <row r="1316" spans="7:18" x14ac:dyDescent="0.3">
      <c r="G1316" s="85"/>
      <c r="H1316" s="86"/>
      <c r="I1316" s="86"/>
      <c r="J1316" s="87"/>
      <c r="K1316" s="85"/>
      <c r="L1316" s="85"/>
      <c r="P1316" s="85"/>
      <c r="Q1316" s="85"/>
      <c r="R1316" s="81"/>
    </row>
    <row r="1317" spans="7:18" x14ac:dyDescent="0.3">
      <c r="G1317" s="85"/>
      <c r="H1317" s="86"/>
      <c r="I1317" s="86"/>
      <c r="J1317" s="87"/>
      <c r="K1317" s="85"/>
      <c r="L1317" s="85"/>
      <c r="P1317" s="85"/>
      <c r="Q1317" s="85"/>
      <c r="R1317" s="81"/>
    </row>
    <row r="1318" spans="7:18" x14ac:dyDescent="0.3">
      <c r="G1318" s="85"/>
      <c r="H1318" s="86"/>
      <c r="I1318" s="86"/>
      <c r="J1318" s="87"/>
      <c r="K1318" s="85"/>
      <c r="L1318" s="85"/>
      <c r="P1318" s="85"/>
      <c r="Q1318" s="85"/>
      <c r="R1318" s="81"/>
    </row>
    <row r="1319" spans="7:18" x14ac:dyDescent="0.3">
      <c r="G1319" s="85"/>
      <c r="H1319" s="86"/>
      <c r="I1319" s="86"/>
      <c r="J1319" s="87"/>
      <c r="K1319" s="85"/>
      <c r="L1319" s="85"/>
      <c r="P1319" s="85"/>
      <c r="Q1319" s="85"/>
      <c r="R1319" s="81"/>
    </row>
    <row r="1320" spans="7:18" x14ac:dyDescent="0.3">
      <c r="G1320" s="85"/>
      <c r="H1320" s="86"/>
      <c r="I1320" s="86"/>
      <c r="J1320" s="87"/>
      <c r="K1320" s="85"/>
      <c r="L1320" s="85"/>
      <c r="P1320" s="85"/>
      <c r="Q1320" s="85"/>
      <c r="R1320" s="81"/>
    </row>
    <row r="1321" spans="7:18" x14ac:dyDescent="0.3">
      <c r="G1321" s="85"/>
      <c r="H1321" s="86"/>
      <c r="I1321" s="86"/>
      <c r="J1321" s="87"/>
      <c r="K1321" s="85"/>
      <c r="L1321" s="85"/>
      <c r="P1321" s="85"/>
      <c r="Q1321" s="85"/>
      <c r="R1321" s="81"/>
    </row>
    <row r="1322" spans="7:18" x14ac:dyDescent="0.3">
      <c r="G1322" s="85"/>
      <c r="H1322" s="86"/>
      <c r="I1322" s="86"/>
      <c r="J1322" s="87"/>
      <c r="K1322" s="85"/>
      <c r="L1322" s="85"/>
      <c r="P1322" s="85"/>
      <c r="Q1322" s="85"/>
      <c r="R1322" s="81"/>
    </row>
    <row r="1323" spans="7:18" x14ac:dyDescent="0.3">
      <c r="G1323" s="85"/>
      <c r="H1323" s="86"/>
      <c r="I1323" s="86"/>
      <c r="J1323" s="87"/>
      <c r="K1323" s="85"/>
      <c r="L1323" s="85"/>
      <c r="P1323" s="85"/>
      <c r="Q1323" s="85"/>
      <c r="R1323" s="81"/>
    </row>
    <row r="1324" spans="7:18" x14ac:dyDescent="0.3">
      <c r="G1324" s="85"/>
      <c r="H1324" s="86"/>
      <c r="I1324" s="86"/>
      <c r="J1324" s="87"/>
      <c r="K1324" s="85"/>
      <c r="L1324" s="85"/>
      <c r="P1324" s="85"/>
      <c r="Q1324" s="85"/>
      <c r="R1324" s="81"/>
    </row>
    <row r="1325" spans="7:18" x14ac:dyDescent="0.3">
      <c r="G1325" s="85"/>
      <c r="H1325" s="86"/>
      <c r="I1325" s="86"/>
      <c r="J1325" s="87"/>
      <c r="K1325" s="85"/>
      <c r="L1325" s="85"/>
      <c r="P1325" s="85"/>
      <c r="Q1325" s="85"/>
      <c r="R1325" s="81"/>
    </row>
    <row r="1326" spans="7:18" x14ac:dyDescent="0.3">
      <c r="G1326" s="85"/>
      <c r="H1326" s="86"/>
      <c r="I1326" s="86"/>
      <c r="J1326" s="87"/>
      <c r="K1326" s="85"/>
      <c r="L1326" s="85"/>
      <c r="P1326" s="85"/>
      <c r="Q1326" s="85"/>
      <c r="R1326" s="81"/>
    </row>
    <row r="1327" spans="7:18" x14ac:dyDescent="0.3">
      <c r="G1327" s="85"/>
      <c r="H1327" s="86"/>
      <c r="I1327" s="86"/>
      <c r="J1327" s="87"/>
      <c r="K1327" s="85"/>
      <c r="L1327" s="85"/>
      <c r="P1327" s="85"/>
      <c r="Q1327" s="85"/>
      <c r="R1327" s="81"/>
    </row>
    <row r="1328" spans="7:18" x14ac:dyDescent="0.3">
      <c r="G1328" s="85"/>
      <c r="H1328" s="86"/>
      <c r="I1328" s="86"/>
      <c r="J1328" s="87"/>
      <c r="K1328" s="85"/>
      <c r="L1328" s="85"/>
      <c r="P1328" s="85"/>
      <c r="Q1328" s="85"/>
      <c r="R1328" s="81"/>
    </row>
    <row r="1329" spans="7:18" x14ac:dyDescent="0.3">
      <c r="G1329" s="85"/>
      <c r="H1329" s="86"/>
      <c r="I1329" s="86"/>
      <c r="J1329" s="87"/>
      <c r="K1329" s="85"/>
      <c r="L1329" s="85"/>
      <c r="P1329" s="85"/>
      <c r="Q1329" s="85"/>
      <c r="R1329" s="81"/>
    </row>
    <row r="1330" spans="7:18" x14ac:dyDescent="0.3">
      <c r="G1330" s="85"/>
      <c r="H1330" s="86"/>
      <c r="I1330" s="86"/>
      <c r="J1330" s="87"/>
      <c r="K1330" s="85"/>
      <c r="L1330" s="85"/>
      <c r="P1330" s="85"/>
      <c r="Q1330" s="85"/>
      <c r="R1330" s="81"/>
    </row>
    <row r="1331" spans="7:18" x14ac:dyDescent="0.3">
      <c r="G1331" s="85"/>
      <c r="H1331" s="86"/>
      <c r="I1331" s="86"/>
      <c r="J1331" s="87"/>
      <c r="K1331" s="85"/>
      <c r="L1331" s="85"/>
      <c r="P1331" s="85"/>
      <c r="Q1331" s="85"/>
      <c r="R1331" s="81"/>
    </row>
    <row r="1332" spans="7:18" x14ac:dyDescent="0.3">
      <c r="G1332" s="85"/>
      <c r="H1332" s="86"/>
      <c r="I1332" s="86"/>
      <c r="J1332" s="87"/>
      <c r="K1332" s="85"/>
      <c r="L1332" s="85"/>
      <c r="P1332" s="85"/>
      <c r="Q1332" s="85"/>
      <c r="R1332" s="81"/>
    </row>
    <row r="1333" spans="7:18" x14ac:dyDescent="0.3">
      <c r="G1333" s="85"/>
      <c r="H1333" s="86"/>
      <c r="I1333" s="86"/>
      <c r="J1333" s="87"/>
      <c r="K1333" s="85"/>
      <c r="L1333" s="85"/>
      <c r="P1333" s="85"/>
      <c r="Q1333" s="85"/>
      <c r="R1333" s="81"/>
    </row>
    <row r="1334" spans="7:18" x14ac:dyDescent="0.3">
      <c r="G1334" s="85"/>
      <c r="H1334" s="86"/>
      <c r="I1334" s="86"/>
      <c r="J1334" s="87"/>
      <c r="K1334" s="85"/>
      <c r="L1334" s="85"/>
      <c r="P1334" s="85"/>
      <c r="Q1334" s="85"/>
      <c r="R1334" s="81"/>
    </row>
    <row r="1335" spans="7:18" x14ac:dyDescent="0.3">
      <c r="G1335" s="85"/>
      <c r="H1335" s="86"/>
      <c r="I1335" s="86"/>
      <c r="J1335" s="87"/>
      <c r="K1335" s="85"/>
      <c r="L1335" s="85"/>
      <c r="P1335" s="85"/>
      <c r="Q1335" s="85"/>
      <c r="R1335" s="81"/>
    </row>
    <row r="1336" spans="7:18" x14ac:dyDescent="0.3">
      <c r="G1336" s="85"/>
      <c r="H1336" s="86"/>
      <c r="I1336" s="86"/>
      <c r="J1336" s="87"/>
      <c r="K1336" s="85"/>
      <c r="L1336" s="85"/>
      <c r="P1336" s="85"/>
      <c r="Q1336" s="85"/>
      <c r="R1336" s="81"/>
    </row>
    <row r="1337" spans="7:18" x14ac:dyDescent="0.3">
      <c r="G1337" s="85"/>
      <c r="H1337" s="86"/>
      <c r="I1337" s="86"/>
      <c r="J1337" s="87"/>
      <c r="K1337" s="85"/>
      <c r="L1337" s="85"/>
      <c r="P1337" s="85"/>
      <c r="Q1337" s="85"/>
      <c r="R1337" s="81"/>
    </row>
    <row r="1338" spans="7:18" x14ac:dyDescent="0.3">
      <c r="G1338" s="85"/>
      <c r="H1338" s="86"/>
      <c r="I1338" s="86"/>
      <c r="J1338" s="87"/>
      <c r="K1338" s="85"/>
      <c r="L1338" s="85"/>
      <c r="P1338" s="85"/>
      <c r="Q1338" s="85"/>
      <c r="R1338" s="81"/>
    </row>
    <row r="1339" spans="7:18" x14ac:dyDescent="0.3">
      <c r="G1339" s="85"/>
      <c r="H1339" s="86"/>
      <c r="I1339" s="86"/>
      <c r="J1339" s="87"/>
      <c r="K1339" s="85"/>
      <c r="L1339" s="85"/>
      <c r="P1339" s="85"/>
      <c r="Q1339" s="85"/>
      <c r="R1339" s="81"/>
    </row>
    <row r="1340" spans="7:18" x14ac:dyDescent="0.3">
      <c r="G1340" s="85"/>
      <c r="H1340" s="86"/>
      <c r="I1340" s="86"/>
      <c r="J1340" s="87"/>
      <c r="K1340" s="85"/>
      <c r="L1340" s="85"/>
      <c r="P1340" s="85"/>
      <c r="Q1340" s="85"/>
      <c r="R1340" s="81"/>
    </row>
    <row r="1341" spans="7:18" x14ac:dyDescent="0.3">
      <c r="G1341" s="85"/>
      <c r="H1341" s="86"/>
      <c r="I1341" s="86"/>
      <c r="J1341" s="87"/>
      <c r="K1341" s="85"/>
      <c r="L1341" s="85"/>
      <c r="P1341" s="85"/>
      <c r="Q1341" s="85"/>
      <c r="R1341" s="81"/>
    </row>
    <row r="1342" spans="7:18" x14ac:dyDescent="0.3">
      <c r="G1342" s="85"/>
      <c r="H1342" s="86"/>
      <c r="I1342" s="86"/>
      <c r="J1342" s="87"/>
      <c r="K1342" s="85"/>
      <c r="L1342" s="85"/>
      <c r="P1342" s="85"/>
      <c r="Q1342" s="85"/>
      <c r="R1342" s="81"/>
    </row>
    <row r="1343" spans="7:18" x14ac:dyDescent="0.3">
      <c r="G1343" s="85"/>
      <c r="H1343" s="86"/>
      <c r="I1343" s="86"/>
      <c r="J1343" s="87"/>
      <c r="K1343" s="85"/>
      <c r="L1343" s="85"/>
      <c r="P1343" s="85"/>
      <c r="Q1343" s="85"/>
      <c r="R1343" s="81"/>
    </row>
    <row r="1344" spans="7:18" x14ac:dyDescent="0.3">
      <c r="G1344" s="85"/>
      <c r="H1344" s="86"/>
      <c r="I1344" s="86"/>
      <c r="J1344" s="87"/>
      <c r="K1344" s="85"/>
      <c r="L1344" s="85"/>
      <c r="P1344" s="85"/>
      <c r="Q1344" s="85"/>
      <c r="R1344" s="81"/>
    </row>
    <row r="1345" spans="7:18" x14ac:dyDescent="0.3">
      <c r="G1345" s="85"/>
      <c r="H1345" s="86"/>
      <c r="I1345" s="86"/>
      <c r="J1345" s="87"/>
      <c r="K1345" s="85"/>
      <c r="L1345" s="85"/>
      <c r="P1345" s="85"/>
      <c r="Q1345" s="85"/>
      <c r="R1345" s="81"/>
    </row>
    <row r="1346" spans="7:18" x14ac:dyDescent="0.3">
      <c r="G1346" s="85"/>
      <c r="H1346" s="86"/>
      <c r="I1346" s="86"/>
      <c r="J1346" s="87"/>
      <c r="K1346" s="85"/>
      <c r="L1346" s="85"/>
      <c r="P1346" s="85"/>
      <c r="Q1346" s="85"/>
      <c r="R1346" s="81"/>
    </row>
    <row r="1347" spans="7:18" x14ac:dyDescent="0.3">
      <c r="G1347" s="85"/>
      <c r="H1347" s="86"/>
      <c r="I1347" s="86"/>
      <c r="J1347" s="87"/>
      <c r="K1347" s="85"/>
      <c r="L1347" s="85"/>
      <c r="P1347" s="85"/>
      <c r="Q1347" s="85"/>
      <c r="R1347" s="81"/>
    </row>
    <row r="1348" spans="7:18" x14ac:dyDescent="0.3">
      <c r="G1348" s="85"/>
      <c r="H1348" s="86"/>
      <c r="I1348" s="86"/>
      <c r="J1348" s="87"/>
      <c r="K1348" s="85"/>
      <c r="L1348" s="85"/>
      <c r="P1348" s="85"/>
      <c r="Q1348" s="85"/>
      <c r="R1348" s="81"/>
    </row>
    <row r="1349" spans="7:18" x14ac:dyDescent="0.3">
      <c r="G1349" s="85"/>
      <c r="H1349" s="86"/>
      <c r="I1349" s="86"/>
      <c r="J1349" s="87"/>
      <c r="K1349" s="85"/>
      <c r="L1349" s="85"/>
      <c r="P1349" s="85"/>
      <c r="Q1349" s="85"/>
      <c r="R1349" s="81"/>
    </row>
    <row r="1350" spans="7:18" x14ac:dyDescent="0.3">
      <c r="G1350" s="85"/>
      <c r="H1350" s="86"/>
      <c r="I1350" s="86"/>
      <c r="J1350" s="87"/>
      <c r="K1350" s="85"/>
      <c r="L1350" s="85"/>
      <c r="P1350" s="85"/>
      <c r="Q1350" s="85"/>
      <c r="R1350" s="81"/>
    </row>
    <row r="1351" spans="7:18" x14ac:dyDescent="0.3">
      <c r="G1351" s="85"/>
      <c r="H1351" s="86"/>
      <c r="I1351" s="86"/>
      <c r="J1351" s="87"/>
      <c r="K1351" s="85"/>
      <c r="L1351" s="85"/>
      <c r="P1351" s="85"/>
      <c r="Q1351" s="85"/>
      <c r="R1351" s="81"/>
    </row>
    <row r="1352" spans="7:18" x14ac:dyDescent="0.3">
      <c r="G1352" s="85"/>
      <c r="H1352" s="86"/>
      <c r="I1352" s="86"/>
      <c r="J1352" s="87"/>
      <c r="K1352" s="85"/>
      <c r="L1352" s="85"/>
      <c r="P1352" s="85"/>
      <c r="Q1352" s="85"/>
      <c r="R1352" s="81"/>
    </row>
    <row r="1353" spans="7:18" x14ac:dyDescent="0.3">
      <c r="G1353" s="85"/>
      <c r="H1353" s="86"/>
      <c r="I1353" s="86"/>
      <c r="J1353" s="87"/>
      <c r="K1353" s="85"/>
      <c r="L1353" s="85"/>
      <c r="P1353" s="85"/>
      <c r="Q1353" s="85"/>
      <c r="R1353" s="81"/>
    </row>
    <row r="1354" spans="7:18" x14ac:dyDescent="0.3">
      <c r="G1354" s="85"/>
      <c r="H1354" s="86"/>
      <c r="I1354" s="86"/>
      <c r="J1354" s="87"/>
      <c r="K1354" s="85"/>
      <c r="L1354" s="85"/>
      <c r="P1354" s="85"/>
      <c r="Q1354" s="85"/>
      <c r="R1354" s="81"/>
    </row>
    <row r="1355" spans="7:18" x14ac:dyDescent="0.3">
      <c r="G1355" s="85"/>
      <c r="H1355" s="86"/>
      <c r="I1355" s="86"/>
      <c r="J1355" s="87"/>
      <c r="K1355" s="85"/>
      <c r="L1355" s="85"/>
      <c r="P1355" s="85"/>
      <c r="Q1355" s="85"/>
      <c r="R1355" s="81"/>
    </row>
    <row r="1356" spans="7:18" x14ac:dyDescent="0.3">
      <c r="G1356" s="85"/>
      <c r="H1356" s="86"/>
      <c r="I1356" s="86"/>
      <c r="J1356" s="87"/>
      <c r="K1356" s="85"/>
      <c r="L1356" s="85"/>
      <c r="P1356" s="85"/>
      <c r="Q1356" s="85"/>
      <c r="R1356" s="81"/>
    </row>
    <row r="1357" spans="7:18" x14ac:dyDescent="0.3">
      <c r="G1357" s="85"/>
      <c r="H1357" s="86"/>
      <c r="I1357" s="86"/>
      <c r="J1357" s="87"/>
      <c r="K1357" s="85"/>
      <c r="L1357" s="85"/>
      <c r="P1357" s="85"/>
      <c r="Q1357" s="85"/>
      <c r="R1357" s="81"/>
    </row>
    <row r="1358" spans="7:18" x14ac:dyDescent="0.3">
      <c r="G1358" s="85"/>
      <c r="H1358" s="86"/>
      <c r="I1358" s="86"/>
      <c r="J1358" s="87"/>
      <c r="K1358" s="85"/>
      <c r="L1358" s="85"/>
      <c r="P1358" s="85"/>
      <c r="Q1358" s="85"/>
      <c r="R1358" s="81"/>
    </row>
    <row r="1359" spans="7:18" x14ac:dyDescent="0.3">
      <c r="G1359" s="85"/>
      <c r="H1359" s="86"/>
      <c r="I1359" s="86"/>
      <c r="J1359" s="87"/>
      <c r="K1359" s="85"/>
      <c r="L1359" s="85"/>
      <c r="P1359" s="85"/>
      <c r="Q1359" s="85"/>
      <c r="R1359" s="81"/>
    </row>
    <row r="1360" spans="7:18" x14ac:dyDescent="0.3">
      <c r="G1360" s="85"/>
      <c r="H1360" s="86"/>
      <c r="I1360" s="86"/>
      <c r="J1360" s="87"/>
      <c r="K1360" s="85"/>
      <c r="L1360" s="85"/>
      <c r="P1360" s="85"/>
      <c r="Q1360" s="85"/>
      <c r="R1360" s="81"/>
    </row>
    <row r="1361" spans="7:18" x14ac:dyDescent="0.3">
      <c r="G1361" s="85"/>
      <c r="H1361" s="86"/>
      <c r="I1361" s="86"/>
      <c r="J1361" s="87"/>
      <c r="K1361" s="85"/>
      <c r="L1361" s="85"/>
      <c r="P1361" s="85"/>
      <c r="Q1361" s="85"/>
      <c r="R1361" s="81"/>
    </row>
    <row r="1362" spans="7:18" x14ac:dyDescent="0.3">
      <c r="G1362" s="85"/>
      <c r="H1362" s="86"/>
      <c r="I1362" s="86"/>
      <c r="J1362" s="87"/>
      <c r="K1362" s="85"/>
      <c r="L1362" s="85"/>
      <c r="P1362" s="85"/>
      <c r="Q1362" s="85"/>
      <c r="R1362" s="81"/>
    </row>
    <row r="1363" spans="7:18" x14ac:dyDescent="0.3">
      <c r="G1363" s="85"/>
      <c r="H1363" s="86"/>
      <c r="I1363" s="86"/>
      <c r="J1363" s="87"/>
      <c r="K1363" s="85"/>
      <c r="L1363" s="85"/>
      <c r="P1363" s="85"/>
      <c r="Q1363" s="85"/>
      <c r="R1363" s="81"/>
    </row>
    <row r="1364" spans="7:18" x14ac:dyDescent="0.3">
      <c r="G1364" s="85"/>
      <c r="H1364" s="86"/>
      <c r="I1364" s="86"/>
      <c r="J1364" s="87"/>
      <c r="K1364" s="85"/>
      <c r="L1364" s="85"/>
      <c r="P1364" s="85"/>
      <c r="Q1364" s="85"/>
      <c r="R1364" s="81"/>
    </row>
    <row r="1365" spans="7:18" x14ac:dyDescent="0.3">
      <c r="G1365" s="85"/>
      <c r="H1365" s="86"/>
      <c r="I1365" s="86"/>
      <c r="J1365" s="87"/>
      <c r="K1365" s="85"/>
      <c r="L1365" s="85"/>
      <c r="P1365" s="85"/>
      <c r="Q1365" s="85"/>
      <c r="R1365" s="81"/>
    </row>
    <row r="1366" spans="7:18" x14ac:dyDescent="0.3">
      <c r="G1366" s="85"/>
      <c r="H1366" s="86"/>
      <c r="I1366" s="86"/>
      <c r="J1366" s="87"/>
      <c r="K1366" s="85"/>
      <c r="L1366" s="85"/>
      <c r="P1366" s="85"/>
      <c r="Q1366" s="85"/>
      <c r="R1366" s="81"/>
    </row>
    <row r="1367" spans="7:18" x14ac:dyDescent="0.3">
      <c r="G1367" s="85"/>
      <c r="H1367" s="86"/>
      <c r="I1367" s="86"/>
      <c r="J1367" s="87"/>
      <c r="K1367" s="85"/>
      <c r="L1367" s="85"/>
      <c r="P1367" s="85"/>
      <c r="Q1367" s="85"/>
      <c r="R1367" s="81"/>
    </row>
    <row r="1368" spans="7:18" x14ac:dyDescent="0.3">
      <c r="G1368" s="85"/>
      <c r="H1368" s="86"/>
      <c r="I1368" s="86"/>
      <c r="J1368" s="87"/>
      <c r="K1368" s="85"/>
      <c r="L1368" s="85"/>
      <c r="P1368" s="85"/>
      <c r="Q1368" s="85"/>
      <c r="R1368" s="81"/>
    </row>
    <row r="1369" spans="7:18" x14ac:dyDescent="0.3">
      <c r="G1369" s="85"/>
      <c r="H1369" s="86"/>
      <c r="I1369" s="86"/>
      <c r="J1369" s="87"/>
      <c r="K1369" s="85"/>
      <c r="L1369" s="85"/>
      <c r="P1369" s="85"/>
      <c r="Q1369" s="85"/>
      <c r="R1369" s="81"/>
    </row>
    <row r="1370" spans="7:18" x14ac:dyDescent="0.3">
      <c r="G1370" s="85"/>
      <c r="H1370" s="86"/>
      <c r="I1370" s="86"/>
      <c r="J1370" s="87"/>
      <c r="K1370" s="85"/>
      <c r="L1370" s="85"/>
      <c r="P1370" s="85"/>
      <c r="Q1370" s="85"/>
      <c r="R1370" s="81"/>
    </row>
    <row r="1371" spans="7:18" x14ac:dyDescent="0.3">
      <c r="G1371" s="85"/>
      <c r="H1371" s="86"/>
      <c r="I1371" s="86"/>
      <c r="J1371" s="87"/>
      <c r="K1371" s="85"/>
      <c r="L1371" s="85"/>
      <c r="P1371" s="85"/>
      <c r="Q1371" s="85"/>
      <c r="R1371" s="81"/>
    </row>
    <row r="1372" spans="7:18" x14ac:dyDescent="0.3">
      <c r="G1372" s="85"/>
      <c r="H1372" s="86"/>
      <c r="I1372" s="86"/>
      <c r="J1372" s="87"/>
      <c r="K1372" s="85"/>
      <c r="L1372" s="85"/>
      <c r="P1372" s="85"/>
      <c r="Q1372" s="85"/>
      <c r="R1372" s="81"/>
    </row>
    <row r="1373" spans="7:18" x14ac:dyDescent="0.3">
      <c r="G1373" s="85"/>
      <c r="H1373" s="86"/>
      <c r="I1373" s="86"/>
      <c r="J1373" s="87"/>
      <c r="K1373" s="85"/>
      <c r="L1373" s="85"/>
      <c r="P1373" s="85"/>
      <c r="Q1373" s="85"/>
      <c r="R1373" s="81"/>
    </row>
    <row r="1374" spans="7:18" x14ac:dyDescent="0.3">
      <c r="G1374" s="85"/>
      <c r="H1374" s="86"/>
      <c r="I1374" s="86"/>
      <c r="J1374" s="87"/>
      <c r="K1374" s="85"/>
      <c r="L1374" s="85"/>
      <c r="P1374" s="85"/>
      <c r="Q1374" s="85"/>
      <c r="R1374" s="81"/>
    </row>
    <row r="1375" spans="7:18" x14ac:dyDescent="0.3">
      <c r="G1375" s="85"/>
      <c r="H1375" s="86"/>
      <c r="I1375" s="86"/>
      <c r="J1375" s="87"/>
      <c r="K1375" s="85"/>
      <c r="L1375" s="85"/>
      <c r="P1375" s="85"/>
      <c r="Q1375" s="85"/>
      <c r="R1375" s="81"/>
    </row>
    <row r="1376" spans="7:18" x14ac:dyDescent="0.3">
      <c r="G1376" s="85"/>
      <c r="H1376" s="86"/>
      <c r="I1376" s="86"/>
      <c r="J1376" s="87"/>
      <c r="K1376" s="85"/>
      <c r="L1376" s="85"/>
      <c r="P1376" s="85"/>
      <c r="Q1376" s="85"/>
      <c r="R1376" s="81"/>
    </row>
    <row r="1377" spans="7:18" x14ac:dyDescent="0.3">
      <c r="G1377" s="85"/>
      <c r="H1377" s="86"/>
      <c r="I1377" s="86"/>
      <c r="J1377" s="87"/>
      <c r="K1377" s="85"/>
      <c r="L1377" s="85"/>
      <c r="P1377" s="85"/>
      <c r="Q1377" s="85"/>
      <c r="R1377" s="81"/>
    </row>
    <row r="1378" spans="7:18" x14ac:dyDescent="0.3">
      <c r="G1378" s="85"/>
      <c r="H1378" s="86"/>
      <c r="I1378" s="86"/>
      <c r="J1378" s="87"/>
      <c r="K1378" s="85"/>
      <c r="L1378" s="85"/>
      <c r="P1378" s="85"/>
      <c r="Q1378" s="85"/>
      <c r="R1378" s="81"/>
    </row>
    <row r="1379" spans="7:18" x14ac:dyDescent="0.3">
      <c r="G1379" s="85"/>
      <c r="H1379" s="86"/>
      <c r="I1379" s="86"/>
      <c r="J1379" s="87"/>
      <c r="K1379" s="85"/>
      <c r="L1379" s="85"/>
      <c r="P1379" s="85"/>
      <c r="Q1379" s="85"/>
      <c r="R1379" s="81"/>
    </row>
    <row r="1380" spans="7:18" x14ac:dyDescent="0.3">
      <c r="G1380" s="85"/>
      <c r="H1380" s="86"/>
      <c r="I1380" s="86"/>
      <c r="J1380" s="87"/>
      <c r="K1380" s="85"/>
      <c r="L1380" s="85"/>
      <c r="P1380" s="85"/>
      <c r="Q1380" s="85"/>
      <c r="R1380" s="81"/>
    </row>
    <row r="1381" spans="7:18" x14ac:dyDescent="0.3">
      <c r="G1381" s="85"/>
      <c r="H1381" s="86"/>
      <c r="I1381" s="86"/>
      <c r="J1381" s="87"/>
      <c r="K1381" s="85"/>
      <c r="L1381" s="85"/>
      <c r="P1381" s="85"/>
      <c r="Q1381" s="85"/>
      <c r="R1381" s="81"/>
    </row>
    <row r="1382" spans="7:18" x14ac:dyDescent="0.3">
      <c r="G1382" s="85"/>
      <c r="H1382" s="86"/>
      <c r="I1382" s="86"/>
      <c r="J1382" s="87"/>
      <c r="K1382" s="85"/>
      <c r="L1382" s="85"/>
      <c r="P1382" s="85"/>
      <c r="Q1382" s="85"/>
      <c r="R1382" s="81"/>
    </row>
    <row r="1383" spans="7:18" x14ac:dyDescent="0.3">
      <c r="G1383" s="85"/>
      <c r="H1383" s="86"/>
      <c r="I1383" s="86"/>
      <c r="J1383" s="87"/>
      <c r="K1383" s="85"/>
      <c r="L1383" s="85"/>
      <c r="P1383" s="85"/>
      <c r="Q1383" s="85"/>
      <c r="R1383" s="81"/>
    </row>
    <row r="1384" spans="7:18" x14ac:dyDescent="0.3">
      <c r="G1384" s="85"/>
      <c r="H1384" s="86"/>
      <c r="I1384" s="86"/>
      <c r="J1384" s="87"/>
      <c r="K1384" s="85"/>
      <c r="L1384" s="85"/>
      <c r="P1384" s="85"/>
      <c r="Q1384" s="85"/>
      <c r="R1384" s="81"/>
    </row>
    <row r="1385" spans="7:18" x14ac:dyDescent="0.3">
      <c r="G1385" s="85"/>
      <c r="H1385" s="86"/>
      <c r="I1385" s="86"/>
      <c r="J1385" s="87"/>
      <c r="K1385" s="85"/>
      <c r="L1385" s="85"/>
      <c r="P1385" s="85"/>
      <c r="Q1385" s="85"/>
      <c r="R1385" s="81"/>
    </row>
    <row r="1386" spans="7:18" x14ac:dyDescent="0.3">
      <c r="G1386" s="85"/>
      <c r="H1386" s="86"/>
      <c r="I1386" s="86"/>
      <c r="J1386" s="87"/>
      <c r="K1386" s="85"/>
      <c r="L1386" s="85"/>
      <c r="P1386" s="85"/>
      <c r="Q1386" s="85"/>
      <c r="R1386" s="81"/>
    </row>
    <row r="1387" spans="7:18" x14ac:dyDescent="0.3">
      <c r="G1387" s="85"/>
      <c r="H1387" s="86"/>
      <c r="I1387" s="86"/>
      <c r="J1387" s="87"/>
      <c r="K1387" s="85"/>
      <c r="L1387" s="85"/>
      <c r="P1387" s="85"/>
      <c r="Q1387" s="85"/>
      <c r="R1387" s="81"/>
    </row>
    <row r="1388" spans="7:18" x14ac:dyDescent="0.3">
      <c r="G1388" s="85"/>
      <c r="H1388" s="86"/>
      <c r="I1388" s="86"/>
      <c r="J1388" s="87"/>
      <c r="K1388" s="85"/>
      <c r="L1388" s="85"/>
      <c r="P1388" s="85"/>
      <c r="Q1388" s="85"/>
      <c r="R1388" s="81"/>
    </row>
    <row r="1389" spans="7:18" x14ac:dyDescent="0.3">
      <c r="G1389" s="85"/>
      <c r="H1389" s="86"/>
      <c r="I1389" s="86"/>
      <c r="J1389" s="87"/>
      <c r="K1389" s="85"/>
      <c r="L1389" s="85"/>
      <c r="P1389" s="85"/>
      <c r="Q1389" s="85"/>
      <c r="R1389" s="81"/>
    </row>
    <row r="1390" spans="7:18" x14ac:dyDescent="0.3">
      <c r="G1390" s="85"/>
      <c r="H1390" s="86"/>
      <c r="I1390" s="86"/>
      <c r="J1390" s="87"/>
      <c r="K1390" s="85"/>
      <c r="L1390" s="85"/>
      <c r="P1390" s="85"/>
      <c r="Q1390" s="85"/>
      <c r="R1390" s="81"/>
    </row>
    <row r="1391" spans="7:18" x14ac:dyDescent="0.3">
      <c r="G1391" s="85"/>
      <c r="H1391" s="86"/>
      <c r="I1391" s="86"/>
      <c r="J1391" s="87"/>
      <c r="K1391" s="85"/>
      <c r="L1391" s="85"/>
      <c r="P1391" s="85"/>
      <c r="Q1391" s="85"/>
      <c r="R1391" s="81"/>
    </row>
    <row r="1392" spans="7:18" x14ac:dyDescent="0.3">
      <c r="G1392" s="85"/>
      <c r="H1392" s="86"/>
      <c r="I1392" s="86"/>
      <c r="J1392" s="87"/>
      <c r="K1392" s="85"/>
      <c r="L1392" s="85"/>
      <c r="P1392" s="85"/>
      <c r="Q1392" s="85"/>
      <c r="R1392" s="81"/>
    </row>
    <row r="1393" spans="7:18" x14ac:dyDescent="0.3">
      <c r="G1393" s="85"/>
      <c r="H1393" s="86"/>
      <c r="I1393" s="86"/>
      <c r="J1393" s="87"/>
      <c r="K1393" s="85"/>
      <c r="L1393" s="85"/>
      <c r="P1393" s="85"/>
      <c r="Q1393" s="85"/>
      <c r="R1393" s="81"/>
    </row>
    <row r="1394" spans="7:18" x14ac:dyDescent="0.3">
      <c r="G1394" s="85"/>
      <c r="H1394" s="86"/>
      <c r="I1394" s="86"/>
      <c r="J1394" s="87"/>
      <c r="K1394" s="85"/>
      <c r="L1394" s="85"/>
      <c r="P1394" s="85"/>
      <c r="Q1394" s="85"/>
      <c r="R1394" s="81"/>
    </row>
    <row r="1395" spans="7:18" x14ac:dyDescent="0.3">
      <c r="G1395" s="85"/>
      <c r="H1395" s="86"/>
      <c r="I1395" s="86"/>
      <c r="J1395" s="87"/>
      <c r="K1395" s="85"/>
      <c r="L1395" s="85"/>
      <c r="P1395" s="85"/>
      <c r="Q1395" s="85"/>
      <c r="R1395" s="81"/>
    </row>
    <row r="1396" spans="7:18" x14ac:dyDescent="0.3">
      <c r="G1396" s="85"/>
      <c r="H1396" s="86"/>
      <c r="I1396" s="86"/>
      <c r="J1396" s="87"/>
      <c r="K1396" s="85"/>
      <c r="L1396" s="85"/>
      <c r="P1396" s="85"/>
      <c r="Q1396" s="85"/>
      <c r="R1396" s="81"/>
    </row>
    <row r="1397" spans="7:18" x14ac:dyDescent="0.3">
      <c r="G1397" s="85"/>
      <c r="H1397" s="86"/>
      <c r="I1397" s="86"/>
      <c r="J1397" s="87"/>
      <c r="K1397" s="85"/>
      <c r="L1397" s="85"/>
      <c r="P1397" s="85"/>
      <c r="Q1397" s="85"/>
      <c r="R1397" s="81"/>
    </row>
    <row r="1398" spans="7:18" x14ac:dyDescent="0.3">
      <c r="G1398" s="85"/>
      <c r="H1398" s="86"/>
      <c r="I1398" s="86"/>
      <c r="J1398" s="87"/>
      <c r="K1398" s="85"/>
      <c r="L1398" s="85"/>
      <c r="P1398" s="85"/>
      <c r="Q1398" s="85"/>
      <c r="R1398" s="81"/>
    </row>
    <row r="1399" spans="7:18" x14ac:dyDescent="0.3">
      <c r="G1399" s="85"/>
      <c r="H1399" s="86"/>
      <c r="I1399" s="86"/>
      <c r="J1399" s="87"/>
      <c r="K1399" s="85"/>
      <c r="L1399" s="85"/>
      <c r="P1399" s="85"/>
      <c r="Q1399" s="85"/>
      <c r="R1399" s="81"/>
    </row>
    <row r="1400" spans="7:18" x14ac:dyDescent="0.3">
      <c r="G1400" s="85"/>
      <c r="H1400" s="86"/>
      <c r="I1400" s="86"/>
      <c r="J1400" s="87"/>
      <c r="K1400" s="85"/>
      <c r="L1400" s="85"/>
      <c r="P1400" s="85"/>
      <c r="Q1400" s="85"/>
      <c r="R1400" s="81"/>
    </row>
    <row r="1401" spans="7:18" x14ac:dyDescent="0.3">
      <c r="G1401" s="85"/>
      <c r="H1401" s="86"/>
      <c r="I1401" s="86"/>
      <c r="J1401" s="87"/>
      <c r="K1401" s="85"/>
      <c r="L1401" s="85"/>
      <c r="P1401" s="85"/>
      <c r="Q1401" s="85"/>
      <c r="R1401" s="81"/>
    </row>
    <row r="1402" spans="7:18" x14ac:dyDescent="0.3">
      <c r="G1402" s="85"/>
      <c r="H1402" s="86"/>
      <c r="I1402" s="86"/>
      <c r="J1402" s="87"/>
      <c r="K1402" s="85"/>
      <c r="L1402" s="85"/>
      <c r="P1402" s="85"/>
      <c r="Q1402" s="85"/>
      <c r="R1402" s="81"/>
    </row>
    <row r="1403" spans="7:18" x14ac:dyDescent="0.3">
      <c r="G1403" s="85"/>
      <c r="H1403" s="86"/>
      <c r="I1403" s="86"/>
      <c r="J1403" s="87"/>
      <c r="K1403" s="85"/>
      <c r="L1403" s="85"/>
      <c r="P1403" s="85"/>
      <c r="Q1403" s="85"/>
      <c r="R1403" s="81"/>
    </row>
    <row r="1404" spans="7:18" x14ac:dyDescent="0.3">
      <c r="G1404" s="85"/>
      <c r="H1404" s="86"/>
      <c r="I1404" s="86"/>
      <c r="J1404" s="87"/>
      <c r="K1404" s="85"/>
      <c r="L1404" s="85"/>
      <c r="P1404" s="85"/>
      <c r="Q1404" s="85"/>
      <c r="R1404" s="81"/>
    </row>
    <row r="1405" spans="7:18" x14ac:dyDescent="0.3">
      <c r="G1405" s="85"/>
      <c r="H1405" s="86"/>
      <c r="I1405" s="86"/>
      <c r="J1405" s="87"/>
      <c r="K1405" s="85"/>
      <c r="L1405" s="85"/>
      <c r="P1405" s="85"/>
      <c r="Q1405" s="85"/>
      <c r="R1405" s="81"/>
    </row>
    <row r="1406" spans="7:18" x14ac:dyDescent="0.3">
      <c r="G1406" s="85"/>
      <c r="H1406" s="86"/>
      <c r="I1406" s="86"/>
      <c r="J1406" s="87"/>
      <c r="K1406" s="85"/>
      <c r="L1406" s="85"/>
      <c r="P1406" s="85"/>
      <c r="Q1406" s="85"/>
      <c r="R1406" s="81"/>
    </row>
    <row r="1407" spans="7:18" x14ac:dyDescent="0.3">
      <c r="G1407" s="85"/>
      <c r="H1407" s="86"/>
      <c r="I1407" s="86"/>
      <c r="J1407" s="87"/>
      <c r="K1407" s="85"/>
      <c r="L1407" s="85"/>
      <c r="P1407" s="85"/>
      <c r="Q1407" s="85"/>
      <c r="R1407" s="81"/>
    </row>
    <row r="1408" spans="7:18" x14ac:dyDescent="0.3">
      <c r="G1408" s="85"/>
      <c r="H1408" s="86"/>
      <c r="I1408" s="86"/>
      <c r="J1408" s="87"/>
      <c r="K1408" s="85"/>
      <c r="L1408" s="85"/>
      <c r="P1408" s="85"/>
      <c r="Q1408" s="85"/>
      <c r="R1408" s="81"/>
    </row>
    <row r="1409" spans="7:18" x14ac:dyDescent="0.3">
      <c r="G1409" s="85"/>
      <c r="H1409" s="86"/>
      <c r="I1409" s="86"/>
      <c r="J1409" s="87"/>
      <c r="K1409" s="85"/>
      <c r="L1409" s="85"/>
      <c r="P1409" s="85"/>
      <c r="Q1409" s="85"/>
      <c r="R1409" s="81"/>
    </row>
    <row r="1410" spans="7:18" x14ac:dyDescent="0.3">
      <c r="G1410" s="85"/>
      <c r="H1410" s="86"/>
      <c r="I1410" s="86"/>
      <c r="J1410" s="87"/>
      <c r="K1410" s="85"/>
      <c r="L1410" s="85"/>
      <c r="P1410" s="85"/>
      <c r="Q1410" s="85"/>
      <c r="R1410" s="81"/>
    </row>
    <row r="1411" spans="7:18" x14ac:dyDescent="0.3">
      <c r="G1411" s="85"/>
      <c r="H1411" s="86"/>
      <c r="I1411" s="86"/>
      <c r="J1411" s="87"/>
      <c r="K1411" s="85"/>
      <c r="L1411" s="85"/>
      <c r="P1411" s="85"/>
      <c r="Q1411" s="85"/>
      <c r="R1411" s="81"/>
    </row>
    <row r="1412" spans="7:18" x14ac:dyDescent="0.3">
      <c r="G1412" s="85"/>
      <c r="H1412" s="86"/>
      <c r="I1412" s="86"/>
      <c r="J1412" s="87"/>
      <c r="K1412" s="85"/>
      <c r="L1412" s="85"/>
      <c r="P1412" s="85"/>
      <c r="Q1412" s="85"/>
      <c r="R1412" s="81"/>
    </row>
    <row r="1413" spans="7:18" x14ac:dyDescent="0.3">
      <c r="G1413" s="85"/>
      <c r="H1413" s="86"/>
      <c r="I1413" s="86"/>
      <c r="J1413" s="87"/>
      <c r="K1413" s="85"/>
      <c r="L1413" s="85"/>
      <c r="P1413" s="85"/>
      <c r="Q1413" s="85"/>
      <c r="R1413" s="81"/>
    </row>
    <row r="1414" spans="7:18" x14ac:dyDescent="0.3">
      <c r="G1414" s="85"/>
      <c r="H1414" s="86"/>
      <c r="I1414" s="86"/>
      <c r="J1414" s="87"/>
      <c r="K1414" s="85"/>
      <c r="L1414" s="85"/>
      <c r="P1414" s="85"/>
      <c r="Q1414" s="85"/>
      <c r="R1414" s="81"/>
    </row>
    <row r="1415" spans="7:18" x14ac:dyDescent="0.3">
      <c r="G1415" s="85"/>
      <c r="H1415" s="86"/>
      <c r="I1415" s="86"/>
      <c r="J1415" s="87"/>
      <c r="K1415" s="85"/>
      <c r="L1415" s="85"/>
      <c r="P1415" s="85"/>
      <c r="Q1415" s="85"/>
      <c r="R1415" s="81"/>
    </row>
    <row r="1416" spans="7:18" x14ac:dyDescent="0.3">
      <c r="G1416" s="85"/>
      <c r="H1416" s="86"/>
      <c r="I1416" s="86"/>
      <c r="J1416" s="87"/>
      <c r="K1416" s="85"/>
      <c r="L1416" s="85"/>
      <c r="P1416" s="85"/>
      <c r="Q1416" s="85"/>
      <c r="R1416" s="81"/>
    </row>
    <row r="1417" spans="7:18" x14ac:dyDescent="0.3">
      <c r="G1417" s="85"/>
      <c r="H1417" s="86"/>
      <c r="I1417" s="86"/>
      <c r="J1417" s="87"/>
      <c r="K1417" s="85"/>
      <c r="L1417" s="85"/>
      <c r="P1417" s="85"/>
      <c r="Q1417" s="85"/>
      <c r="R1417" s="81"/>
    </row>
    <row r="1418" spans="7:18" x14ac:dyDescent="0.3">
      <c r="G1418" s="85"/>
      <c r="H1418" s="86"/>
      <c r="I1418" s="86"/>
      <c r="J1418" s="87"/>
      <c r="K1418" s="85"/>
      <c r="L1418" s="85"/>
      <c r="P1418" s="85"/>
      <c r="Q1418" s="85"/>
      <c r="R1418" s="81"/>
    </row>
    <row r="1419" spans="7:18" x14ac:dyDescent="0.3">
      <c r="G1419" s="85"/>
      <c r="H1419" s="86"/>
      <c r="I1419" s="86"/>
      <c r="J1419" s="87"/>
      <c r="K1419" s="85"/>
      <c r="L1419" s="85"/>
      <c r="P1419" s="85"/>
      <c r="Q1419" s="85"/>
      <c r="R1419" s="81"/>
    </row>
    <row r="1420" spans="7:18" x14ac:dyDescent="0.3">
      <c r="G1420" s="85"/>
      <c r="H1420" s="86"/>
      <c r="I1420" s="86"/>
      <c r="J1420" s="87"/>
      <c r="K1420" s="85"/>
      <c r="L1420" s="85"/>
      <c r="P1420" s="85"/>
      <c r="Q1420" s="85"/>
      <c r="R1420" s="81"/>
    </row>
    <row r="1421" spans="7:18" x14ac:dyDescent="0.3">
      <c r="G1421" s="85"/>
      <c r="H1421" s="86"/>
      <c r="I1421" s="86"/>
      <c r="J1421" s="87"/>
      <c r="K1421" s="85"/>
      <c r="L1421" s="85"/>
      <c r="P1421" s="85"/>
      <c r="Q1421" s="85"/>
      <c r="R1421" s="81"/>
    </row>
    <row r="1422" spans="7:18" x14ac:dyDescent="0.3">
      <c r="G1422" s="85"/>
      <c r="H1422" s="86"/>
      <c r="I1422" s="86"/>
      <c r="J1422" s="87"/>
      <c r="K1422" s="85"/>
      <c r="L1422" s="85"/>
      <c r="P1422" s="85"/>
      <c r="Q1422" s="85"/>
      <c r="R1422" s="81"/>
    </row>
    <row r="1423" spans="7:18" x14ac:dyDescent="0.3">
      <c r="G1423" s="85"/>
      <c r="H1423" s="86"/>
      <c r="I1423" s="86"/>
      <c r="J1423" s="87"/>
      <c r="K1423" s="85"/>
      <c r="L1423" s="85"/>
      <c r="P1423" s="85"/>
      <c r="Q1423" s="85"/>
      <c r="R1423" s="81"/>
    </row>
    <row r="1424" spans="7:18" x14ac:dyDescent="0.3">
      <c r="G1424" s="85"/>
      <c r="H1424" s="86"/>
      <c r="I1424" s="86"/>
      <c r="J1424" s="87"/>
      <c r="K1424" s="85"/>
      <c r="L1424" s="85"/>
      <c r="P1424" s="85"/>
      <c r="Q1424" s="85"/>
      <c r="R1424" s="81"/>
    </row>
    <row r="1425" spans="7:18" x14ac:dyDescent="0.3">
      <c r="G1425" s="85"/>
      <c r="H1425" s="86"/>
      <c r="I1425" s="86"/>
      <c r="J1425" s="87"/>
      <c r="K1425" s="85"/>
      <c r="L1425" s="85"/>
      <c r="P1425" s="85"/>
      <c r="Q1425" s="85"/>
      <c r="R1425" s="81"/>
    </row>
    <row r="1426" spans="7:18" x14ac:dyDescent="0.3">
      <c r="G1426" s="85"/>
      <c r="H1426" s="86"/>
      <c r="I1426" s="86"/>
      <c r="J1426" s="87"/>
      <c r="K1426" s="85"/>
      <c r="L1426" s="85"/>
      <c r="P1426" s="85"/>
      <c r="Q1426" s="85"/>
      <c r="R1426" s="81"/>
    </row>
    <row r="1427" spans="7:18" x14ac:dyDescent="0.3">
      <c r="G1427" s="85"/>
      <c r="H1427" s="86"/>
      <c r="I1427" s="86"/>
      <c r="J1427" s="87"/>
      <c r="K1427" s="85"/>
      <c r="L1427" s="85"/>
      <c r="P1427" s="85"/>
      <c r="Q1427" s="85"/>
      <c r="R1427" s="81"/>
    </row>
    <row r="1428" spans="7:18" x14ac:dyDescent="0.3">
      <c r="G1428" s="85"/>
      <c r="H1428" s="86"/>
      <c r="I1428" s="86"/>
      <c r="J1428" s="87"/>
      <c r="K1428" s="85"/>
      <c r="L1428" s="85"/>
      <c r="P1428" s="85"/>
      <c r="Q1428" s="85"/>
      <c r="R1428" s="81"/>
    </row>
    <row r="1429" spans="7:18" x14ac:dyDescent="0.3">
      <c r="G1429" s="85"/>
      <c r="H1429" s="86"/>
      <c r="I1429" s="86"/>
      <c r="J1429" s="87"/>
      <c r="K1429" s="85"/>
      <c r="L1429" s="85"/>
      <c r="P1429" s="85"/>
      <c r="Q1429" s="85"/>
      <c r="R1429" s="81"/>
    </row>
    <row r="1430" spans="7:18" x14ac:dyDescent="0.3">
      <c r="G1430" s="85"/>
      <c r="H1430" s="86"/>
      <c r="I1430" s="86"/>
      <c r="J1430" s="87"/>
      <c r="K1430" s="85"/>
      <c r="L1430" s="85"/>
      <c r="P1430" s="85"/>
      <c r="Q1430" s="85"/>
      <c r="R1430" s="81"/>
    </row>
    <row r="1431" spans="7:18" x14ac:dyDescent="0.3">
      <c r="G1431" s="85"/>
      <c r="H1431" s="86"/>
      <c r="I1431" s="86"/>
      <c r="J1431" s="87"/>
      <c r="K1431" s="85"/>
      <c r="L1431" s="85"/>
      <c r="P1431" s="85"/>
      <c r="Q1431" s="85"/>
      <c r="R1431" s="81"/>
    </row>
    <row r="1432" spans="7:18" x14ac:dyDescent="0.3">
      <c r="G1432" s="85"/>
      <c r="H1432" s="86"/>
      <c r="I1432" s="86"/>
      <c r="J1432" s="87"/>
      <c r="K1432" s="85"/>
      <c r="L1432" s="85"/>
      <c r="P1432" s="85"/>
      <c r="Q1432" s="85"/>
      <c r="R1432" s="81"/>
    </row>
    <row r="1433" spans="7:18" x14ac:dyDescent="0.3">
      <c r="G1433" s="85"/>
      <c r="H1433" s="86"/>
      <c r="I1433" s="86"/>
      <c r="J1433" s="87"/>
      <c r="K1433" s="85"/>
      <c r="L1433" s="85"/>
      <c r="P1433" s="85"/>
      <c r="Q1433" s="85"/>
      <c r="R1433" s="81"/>
    </row>
    <row r="1434" spans="7:18" x14ac:dyDescent="0.3">
      <c r="G1434" s="85"/>
      <c r="H1434" s="86"/>
      <c r="I1434" s="86"/>
      <c r="J1434" s="87"/>
      <c r="K1434" s="85"/>
      <c r="L1434" s="85"/>
      <c r="P1434" s="85"/>
      <c r="Q1434" s="85"/>
      <c r="R1434" s="81"/>
    </row>
    <row r="1435" spans="7:18" x14ac:dyDescent="0.3">
      <c r="G1435" s="85"/>
      <c r="H1435" s="86"/>
      <c r="I1435" s="86"/>
      <c r="J1435" s="87"/>
      <c r="K1435" s="85"/>
      <c r="L1435" s="85"/>
      <c r="P1435" s="85"/>
      <c r="Q1435" s="85"/>
      <c r="R1435" s="81"/>
    </row>
    <row r="1436" spans="7:18" x14ac:dyDescent="0.3">
      <c r="G1436" s="85"/>
      <c r="H1436" s="86"/>
      <c r="I1436" s="86"/>
      <c r="J1436" s="87"/>
      <c r="K1436" s="85"/>
      <c r="L1436" s="85"/>
      <c r="P1436" s="85"/>
      <c r="Q1436" s="85"/>
      <c r="R1436" s="81"/>
    </row>
    <row r="1437" spans="7:18" x14ac:dyDescent="0.3">
      <c r="G1437" s="85"/>
      <c r="H1437" s="86"/>
      <c r="I1437" s="86"/>
      <c r="J1437" s="87"/>
      <c r="K1437" s="85"/>
      <c r="L1437" s="85"/>
      <c r="P1437" s="85"/>
      <c r="Q1437" s="85"/>
      <c r="R1437" s="81"/>
    </row>
    <row r="1438" spans="7:18" x14ac:dyDescent="0.3">
      <c r="G1438" s="85"/>
      <c r="H1438" s="86"/>
      <c r="I1438" s="86"/>
      <c r="J1438" s="87"/>
      <c r="K1438" s="85"/>
      <c r="L1438" s="85"/>
      <c r="P1438" s="85"/>
      <c r="Q1438" s="85"/>
      <c r="R1438" s="81"/>
    </row>
    <row r="1439" spans="7:18" x14ac:dyDescent="0.3">
      <c r="G1439" s="85"/>
      <c r="H1439" s="86"/>
      <c r="I1439" s="86"/>
      <c r="J1439" s="87"/>
      <c r="K1439" s="85"/>
      <c r="L1439" s="85"/>
      <c r="P1439" s="85"/>
      <c r="Q1439" s="85"/>
      <c r="R1439" s="81"/>
    </row>
    <row r="1440" spans="7:18" x14ac:dyDescent="0.3">
      <c r="G1440" s="85"/>
      <c r="H1440" s="86"/>
      <c r="I1440" s="86"/>
      <c r="J1440" s="87"/>
      <c r="K1440" s="85"/>
      <c r="L1440" s="85"/>
      <c r="P1440" s="85"/>
      <c r="Q1440" s="85"/>
      <c r="R1440" s="81"/>
    </row>
    <row r="1441" spans="7:18" x14ac:dyDescent="0.3">
      <c r="G1441" s="85"/>
      <c r="H1441" s="86"/>
      <c r="I1441" s="86"/>
      <c r="J1441" s="87"/>
      <c r="K1441" s="85"/>
      <c r="L1441" s="85"/>
      <c r="P1441" s="85"/>
      <c r="Q1441" s="85"/>
      <c r="R1441" s="81"/>
    </row>
    <row r="1442" spans="7:18" x14ac:dyDescent="0.3">
      <c r="G1442" s="85"/>
      <c r="H1442" s="86"/>
      <c r="I1442" s="86"/>
      <c r="J1442" s="87"/>
      <c r="K1442" s="85"/>
      <c r="L1442" s="85"/>
      <c r="P1442" s="85"/>
      <c r="Q1442" s="85"/>
      <c r="R1442" s="81"/>
    </row>
    <row r="1443" spans="7:18" x14ac:dyDescent="0.3">
      <c r="G1443" s="85"/>
      <c r="H1443" s="86"/>
      <c r="I1443" s="86"/>
      <c r="J1443" s="87"/>
      <c r="K1443" s="85"/>
      <c r="L1443" s="85"/>
      <c r="P1443" s="85"/>
      <c r="Q1443" s="85"/>
      <c r="R1443" s="81"/>
    </row>
    <row r="1444" spans="7:18" x14ac:dyDescent="0.3">
      <c r="G1444" s="85"/>
      <c r="H1444" s="86"/>
      <c r="I1444" s="86"/>
      <c r="J1444" s="87"/>
      <c r="K1444" s="85"/>
      <c r="L1444" s="85"/>
      <c r="P1444" s="85"/>
      <c r="Q1444" s="85"/>
      <c r="R1444" s="81"/>
    </row>
    <row r="1445" spans="7:18" x14ac:dyDescent="0.3">
      <c r="G1445" s="85"/>
      <c r="H1445" s="86"/>
      <c r="I1445" s="86"/>
      <c r="J1445" s="87"/>
      <c r="K1445" s="85"/>
      <c r="L1445" s="85"/>
      <c r="P1445" s="85"/>
      <c r="Q1445" s="85"/>
      <c r="R1445" s="81"/>
    </row>
    <row r="1446" spans="7:18" x14ac:dyDescent="0.3">
      <c r="G1446" s="85"/>
      <c r="H1446" s="86"/>
      <c r="I1446" s="86"/>
      <c r="J1446" s="87"/>
      <c r="K1446" s="85"/>
      <c r="L1446" s="85"/>
      <c r="P1446" s="85"/>
      <c r="Q1446" s="85"/>
      <c r="R1446" s="81"/>
    </row>
    <row r="1447" spans="7:18" x14ac:dyDescent="0.3">
      <c r="G1447" s="85"/>
      <c r="H1447" s="86"/>
      <c r="I1447" s="86"/>
      <c r="J1447" s="87"/>
      <c r="K1447" s="85"/>
      <c r="L1447" s="85"/>
      <c r="P1447" s="85"/>
      <c r="Q1447" s="85"/>
      <c r="R1447" s="81"/>
    </row>
    <row r="1448" spans="7:18" x14ac:dyDescent="0.3">
      <c r="G1448" s="85"/>
      <c r="H1448" s="86"/>
      <c r="I1448" s="86"/>
      <c r="J1448" s="87"/>
      <c r="K1448" s="85"/>
      <c r="L1448" s="85"/>
      <c r="P1448" s="85"/>
      <c r="Q1448" s="85"/>
      <c r="R1448" s="81"/>
    </row>
    <row r="1449" spans="7:18" x14ac:dyDescent="0.3">
      <c r="G1449" s="85"/>
      <c r="H1449" s="86"/>
      <c r="I1449" s="86"/>
      <c r="J1449" s="87"/>
      <c r="K1449" s="85"/>
      <c r="L1449" s="85"/>
      <c r="P1449" s="85"/>
      <c r="Q1449" s="85"/>
      <c r="R1449" s="81"/>
    </row>
    <row r="1450" spans="7:18" x14ac:dyDescent="0.3">
      <c r="G1450" s="85"/>
      <c r="H1450" s="86"/>
      <c r="I1450" s="86"/>
      <c r="J1450" s="87"/>
      <c r="K1450" s="85"/>
      <c r="L1450" s="85"/>
      <c r="P1450" s="85"/>
      <c r="Q1450" s="85"/>
      <c r="R1450" s="81"/>
    </row>
    <row r="1451" spans="7:18" x14ac:dyDescent="0.3">
      <c r="G1451" s="85"/>
      <c r="H1451" s="86"/>
      <c r="I1451" s="86"/>
      <c r="J1451" s="87"/>
      <c r="K1451" s="85"/>
      <c r="L1451" s="85"/>
      <c r="P1451" s="85"/>
      <c r="Q1451" s="85"/>
      <c r="R1451" s="81"/>
    </row>
    <row r="1452" spans="7:18" x14ac:dyDescent="0.3">
      <c r="G1452" s="85"/>
      <c r="H1452" s="86"/>
      <c r="I1452" s="86"/>
      <c r="J1452" s="87"/>
      <c r="K1452" s="85"/>
      <c r="L1452" s="85"/>
      <c r="P1452" s="85"/>
      <c r="Q1452" s="85"/>
      <c r="R1452" s="81"/>
    </row>
    <row r="1453" spans="7:18" x14ac:dyDescent="0.3">
      <c r="G1453" s="85"/>
      <c r="H1453" s="86"/>
      <c r="I1453" s="86"/>
      <c r="J1453" s="87"/>
      <c r="K1453" s="85"/>
      <c r="L1453" s="85"/>
      <c r="P1453" s="85"/>
      <c r="Q1453" s="85"/>
      <c r="R1453" s="81"/>
    </row>
    <row r="1454" spans="7:18" x14ac:dyDescent="0.3">
      <c r="G1454" s="85"/>
      <c r="H1454" s="86"/>
      <c r="I1454" s="86"/>
      <c r="J1454" s="87"/>
      <c r="K1454" s="85"/>
      <c r="L1454" s="85"/>
      <c r="P1454" s="85"/>
      <c r="Q1454" s="85"/>
      <c r="R1454" s="81"/>
    </row>
    <row r="1455" spans="7:18" x14ac:dyDescent="0.3">
      <c r="G1455" s="85"/>
      <c r="H1455" s="86"/>
      <c r="I1455" s="86"/>
      <c r="J1455" s="87"/>
      <c r="K1455" s="85"/>
      <c r="L1455" s="85"/>
      <c r="P1455" s="85"/>
      <c r="Q1455" s="85"/>
      <c r="R1455" s="81"/>
    </row>
    <row r="1456" spans="7:18" x14ac:dyDescent="0.3">
      <c r="G1456" s="85"/>
      <c r="H1456" s="86"/>
      <c r="I1456" s="86"/>
      <c r="J1456" s="87"/>
      <c r="K1456" s="85"/>
      <c r="L1456" s="85"/>
      <c r="P1456" s="85"/>
      <c r="Q1456" s="85"/>
      <c r="R1456" s="81"/>
    </row>
    <row r="1457" spans="7:18" x14ac:dyDescent="0.3">
      <c r="G1457" s="85"/>
      <c r="H1457" s="86"/>
      <c r="I1457" s="86"/>
      <c r="J1457" s="87"/>
      <c r="K1457" s="85"/>
      <c r="L1457" s="85"/>
      <c r="P1457" s="85"/>
      <c r="Q1457" s="85"/>
      <c r="R1457" s="81"/>
    </row>
    <row r="1458" spans="7:18" x14ac:dyDescent="0.3">
      <c r="G1458" s="85"/>
      <c r="H1458" s="86"/>
      <c r="I1458" s="86"/>
      <c r="J1458" s="87"/>
      <c r="K1458" s="85"/>
      <c r="L1458" s="85"/>
      <c r="P1458" s="85"/>
      <c r="Q1458" s="85"/>
      <c r="R1458" s="81"/>
    </row>
    <row r="1459" spans="7:18" x14ac:dyDescent="0.3">
      <c r="G1459" s="85"/>
      <c r="H1459" s="86"/>
      <c r="I1459" s="86"/>
      <c r="J1459" s="87"/>
      <c r="K1459" s="85"/>
      <c r="L1459" s="85"/>
      <c r="P1459" s="85"/>
      <c r="Q1459" s="85"/>
      <c r="R1459" s="81"/>
    </row>
    <row r="1460" spans="7:18" x14ac:dyDescent="0.3">
      <c r="G1460" s="85"/>
      <c r="H1460" s="86"/>
      <c r="I1460" s="86"/>
      <c r="J1460" s="87"/>
      <c r="K1460" s="85"/>
      <c r="L1460" s="85"/>
      <c r="P1460" s="85"/>
      <c r="Q1460" s="85"/>
      <c r="R1460" s="81"/>
    </row>
    <row r="1461" spans="7:18" x14ac:dyDescent="0.3">
      <c r="G1461" s="85"/>
      <c r="H1461" s="86"/>
      <c r="I1461" s="86"/>
      <c r="J1461" s="87"/>
      <c r="K1461" s="85"/>
      <c r="L1461" s="85"/>
      <c r="P1461" s="85"/>
      <c r="Q1461" s="85"/>
      <c r="R1461" s="81"/>
    </row>
    <row r="1462" spans="7:18" x14ac:dyDescent="0.3">
      <c r="G1462" s="85"/>
      <c r="H1462" s="86"/>
      <c r="I1462" s="86"/>
      <c r="J1462" s="87"/>
      <c r="K1462" s="85"/>
      <c r="L1462" s="85"/>
      <c r="P1462" s="85"/>
      <c r="Q1462" s="85"/>
      <c r="R1462" s="81"/>
    </row>
    <row r="1463" spans="7:18" x14ac:dyDescent="0.3">
      <c r="G1463" s="85"/>
      <c r="H1463" s="86"/>
      <c r="I1463" s="86"/>
      <c r="J1463" s="87"/>
      <c r="K1463" s="85"/>
      <c r="L1463" s="85"/>
      <c r="P1463" s="85"/>
      <c r="Q1463" s="85"/>
      <c r="R1463" s="81"/>
    </row>
    <row r="1464" spans="7:18" x14ac:dyDescent="0.3">
      <c r="G1464" s="85"/>
      <c r="H1464" s="86"/>
      <c r="I1464" s="86"/>
      <c r="J1464" s="87"/>
      <c r="K1464" s="85"/>
      <c r="L1464" s="85"/>
      <c r="P1464" s="85"/>
      <c r="Q1464" s="85"/>
      <c r="R1464" s="81"/>
    </row>
    <row r="1465" spans="7:18" x14ac:dyDescent="0.3">
      <c r="G1465" s="85"/>
      <c r="H1465" s="86"/>
      <c r="I1465" s="86"/>
      <c r="J1465" s="87"/>
      <c r="K1465" s="85"/>
      <c r="L1465" s="85"/>
      <c r="P1465" s="85"/>
      <c r="Q1465" s="85"/>
      <c r="R1465" s="81"/>
    </row>
    <row r="1466" spans="7:18" x14ac:dyDescent="0.3">
      <c r="G1466" s="85"/>
      <c r="H1466" s="86"/>
      <c r="I1466" s="86"/>
      <c r="J1466" s="87"/>
      <c r="K1466" s="85"/>
      <c r="L1466" s="85"/>
      <c r="P1466" s="85"/>
      <c r="Q1466" s="85"/>
      <c r="R1466" s="81"/>
    </row>
    <row r="1467" spans="7:18" x14ac:dyDescent="0.3">
      <c r="G1467" s="85"/>
      <c r="H1467" s="86"/>
      <c r="I1467" s="86"/>
      <c r="J1467" s="87"/>
      <c r="K1467" s="85"/>
      <c r="L1467" s="85"/>
      <c r="P1467" s="85"/>
      <c r="Q1467" s="85"/>
      <c r="R1467" s="81"/>
    </row>
    <row r="1468" spans="7:18" x14ac:dyDescent="0.3">
      <c r="G1468" s="85"/>
      <c r="H1468" s="86"/>
      <c r="I1468" s="86"/>
      <c r="J1468" s="87"/>
      <c r="K1468" s="85"/>
      <c r="L1468" s="85"/>
      <c r="P1468" s="85"/>
      <c r="Q1468" s="85"/>
      <c r="R1468" s="81"/>
    </row>
    <row r="1469" spans="7:18" x14ac:dyDescent="0.3">
      <c r="G1469" s="85"/>
      <c r="H1469" s="86"/>
      <c r="I1469" s="86"/>
      <c r="J1469" s="87"/>
      <c r="K1469" s="85"/>
      <c r="L1469" s="85"/>
      <c r="P1469" s="85"/>
      <c r="Q1469" s="85"/>
      <c r="R1469" s="81"/>
    </row>
    <row r="1470" spans="7:18" x14ac:dyDescent="0.3">
      <c r="G1470" s="85"/>
      <c r="H1470" s="86"/>
      <c r="I1470" s="86"/>
      <c r="J1470" s="87"/>
      <c r="K1470" s="85"/>
      <c r="L1470" s="85"/>
      <c r="P1470" s="85"/>
      <c r="Q1470" s="85"/>
      <c r="R1470" s="81"/>
    </row>
    <row r="1471" spans="7:18" x14ac:dyDescent="0.3">
      <c r="G1471" s="85"/>
      <c r="H1471" s="86"/>
      <c r="I1471" s="86"/>
      <c r="J1471" s="87"/>
      <c r="K1471" s="85"/>
      <c r="L1471" s="85"/>
      <c r="P1471" s="85"/>
      <c r="Q1471" s="85"/>
      <c r="R1471" s="81"/>
    </row>
    <row r="1472" spans="7:18" x14ac:dyDescent="0.3">
      <c r="G1472" s="85"/>
      <c r="H1472" s="86"/>
      <c r="I1472" s="86"/>
      <c r="J1472" s="87"/>
      <c r="K1472" s="85"/>
      <c r="L1472" s="85"/>
      <c r="P1472" s="85"/>
      <c r="Q1472" s="85"/>
      <c r="R1472" s="81"/>
    </row>
    <row r="1473" spans="7:18" x14ac:dyDescent="0.3">
      <c r="G1473" s="85"/>
      <c r="H1473" s="86"/>
      <c r="I1473" s="86"/>
      <c r="J1473" s="87"/>
      <c r="K1473" s="85"/>
      <c r="L1473" s="85"/>
      <c r="P1473" s="85"/>
      <c r="Q1473" s="85"/>
      <c r="R1473" s="81"/>
    </row>
    <row r="1474" spans="7:18" x14ac:dyDescent="0.3">
      <c r="G1474" s="85"/>
      <c r="H1474" s="86"/>
      <c r="I1474" s="86"/>
      <c r="J1474" s="87"/>
      <c r="K1474" s="85"/>
      <c r="L1474" s="85"/>
      <c r="P1474" s="85"/>
      <c r="Q1474" s="85"/>
      <c r="R1474" s="81"/>
    </row>
    <row r="1475" spans="7:18" x14ac:dyDescent="0.3">
      <c r="G1475" s="85"/>
      <c r="H1475" s="86"/>
      <c r="I1475" s="86"/>
      <c r="J1475" s="87"/>
      <c r="K1475" s="85"/>
      <c r="L1475" s="85"/>
      <c r="P1475" s="85"/>
      <c r="Q1475" s="85"/>
      <c r="R1475" s="81"/>
    </row>
    <row r="1476" spans="7:18" x14ac:dyDescent="0.3">
      <c r="G1476" s="85"/>
      <c r="H1476" s="86"/>
      <c r="I1476" s="86"/>
      <c r="J1476" s="87"/>
      <c r="K1476" s="85"/>
      <c r="L1476" s="85"/>
      <c r="P1476" s="85"/>
      <c r="Q1476" s="85"/>
      <c r="R1476" s="81"/>
    </row>
    <row r="1477" spans="7:18" x14ac:dyDescent="0.3">
      <c r="G1477" s="85"/>
      <c r="H1477" s="86"/>
      <c r="I1477" s="86"/>
      <c r="J1477" s="87"/>
      <c r="K1477" s="85"/>
      <c r="L1477" s="85"/>
      <c r="P1477" s="85"/>
      <c r="Q1477" s="85"/>
      <c r="R1477" s="81"/>
    </row>
    <row r="1478" spans="7:18" x14ac:dyDescent="0.3">
      <c r="G1478" s="85"/>
      <c r="H1478" s="86"/>
      <c r="I1478" s="86"/>
      <c r="J1478" s="87"/>
      <c r="K1478" s="85"/>
      <c r="L1478" s="85"/>
      <c r="P1478" s="85"/>
      <c r="Q1478" s="85"/>
      <c r="R1478" s="81"/>
    </row>
    <row r="1479" spans="7:18" x14ac:dyDescent="0.3">
      <c r="G1479" s="85"/>
      <c r="H1479" s="86"/>
      <c r="I1479" s="86"/>
      <c r="J1479" s="87"/>
      <c r="K1479" s="85"/>
      <c r="L1479" s="85"/>
      <c r="P1479" s="85"/>
      <c r="Q1479" s="85"/>
      <c r="R1479" s="81"/>
    </row>
    <row r="1480" spans="7:18" x14ac:dyDescent="0.3">
      <c r="G1480" s="85"/>
      <c r="H1480" s="86"/>
      <c r="I1480" s="86"/>
      <c r="J1480" s="87"/>
      <c r="K1480" s="85"/>
      <c r="L1480" s="85"/>
      <c r="P1480" s="85"/>
      <c r="Q1480" s="85"/>
      <c r="R1480" s="81"/>
    </row>
    <row r="1481" spans="7:18" x14ac:dyDescent="0.3">
      <c r="G1481" s="85"/>
      <c r="H1481" s="86"/>
      <c r="I1481" s="86"/>
      <c r="J1481" s="87"/>
      <c r="K1481" s="85"/>
      <c r="L1481" s="85"/>
      <c r="P1481" s="85"/>
      <c r="Q1481" s="85"/>
      <c r="R1481" s="81"/>
    </row>
    <row r="1482" spans="7:18" x14ac:dyDescent="0.3">
      <c r="G1482" s="85"/>
      <c r="H1482" s="86"/>
      <c r="I1482" s="86"/>
      <c r="J1482" s="87"/>
      <c r="K1482" s="85"/>
      <c r="L1482" s="85"/>
      <c r="P1482" s="85"/>
      <c r="Q1482" s="85"/>
      <c r="R1482" s="81"/>
    </row>
    <row r="1483" spans="7:18" x14ac:dyDescent="0.3">
      <c r="G1483" s="85"/>
      <c r="H1483" s="86"/>
      <c r="I1483" s="86"/>
      <c r="J1483" s="87"/>
      <c r="K1483" s="85"/>
      <c r="L1483" s="85"/>
      <c r="P1483" s="85"/>
      <c r="Q1483" s="85"/>
      <c r="R1483" s="81"/>
    </row>
    <row r="1484" spans="7:18" x14ac:dyDescent="0.3">
      <c r="G1484" s="85"/>
      <c r="H1484" s="86"/>
      <c r="I1484" s="86"/>
      <c r="J1484" s="87"/>
      <c r="K1484" s="85"/>
      <c r="L1484" s="85"/>
      <c r="P1484" s="85"/>
      <c r="Q1484" s="85"/>
      <c r="R1484" s="81"/>
    </row>
    <row r="1485" spans="7:18" x14ac:dyDescent="0.3">
      <c r="G1485" s="85"/>
      <c r="H1485" s="86"/>
      <c r="I1485" s="86"/>
      <c r="J1485" s="87"/>
      <c r="K1485" s="85"/>
      <c r="L1485" s="85"/>
      <c r="P1485" s="85"/>
      <c r="Q1485" s="85"/>
      <c r="R1485" s="81"/>
    </row>
    <row r="1486" spans="7:18" x14ac:dyDescent="0.3">
      <c r="G1486" s="85"/>
      <c r="H1486" s="86"/>
      <c r="I1486" s="86"/>
      <c r="J1486" s="87"/>
      <c r="K1486" s="85"/>
      <c r="L1486" s="85"/>
      <c r="P1486" s="85"/>
      <c r="Q1486" s="85"/>
      <c r="R1486" s="81"/>
    </row>
    <row r="1487" spans="7:18" x14ac:dyDescent="0.3">
      <c r="G1487" s="85"/>
      <c r="H1487" s="86"/>
      <c r="I1487" s="86"/>
      <c r="J1487" s="87"/>
      <c r="K1487" s="85"/>
      <c r="L1487" s="85"/>
      <c r="P1487" s="85"/>
      <c r="Q1487" s="85"/>
      <c r="R1487" s="81"/>
    </row>
    <row r="1488" spans="7:18" x14ac:dyDescent="0.3">
      <c r="G1488" s="85"/>
      <c r="H1488" s="86"/>
      <c r="I1488" s="86"/>
      <c r="J1488" s="87"/>
      <c r="K1488" s="85"/>
      <c r="L1488" s="85"/>
      <c r="P1488" s="85"/>
      <c r="Q1488" s="85"/>
      <c r="R1488" s="81"/>
    </row>
    <row r="1489" spans="7:18" x14ac:dyDescent="0.3">
      <c r="G1489" s="85"/>
      <c r="H1489" s="86"/>
      <c r="I1489" s="86"/>
      <c r="J1489" s="87"/>
      <c r="K1489" s="85"/>
      <c r="L1489" s="85"/>
      <c r="P1489" s="85"/>
      <c r="Q1489" s="85"/>
      <c r="R1489" s="81"/>
    </row>
    <row r="1490" spans="7:18" x14ac:dyDescent="0.3">
      <c r="G1490" s="85"/>
      <c r="H1490" s="86"/>
      <c r="I1490" s="86"/>
      <c r="J1490" s="87"/>
      <c r="K1490" s="85"/>
      <c r="L1490" s="85"/>
      <c r="P1490" s="85"/>
      <c r="Q1490" s="85"/>
      <c r="R1490" s="81"/>
    </row>
    <row r="1491" spans="7:18" x14ac:dyDescent="0.3">
      <c r="G1491" s="85"/>
      <c r="H1491" s="86"/>
      <c r="I1491" s="86"/>
      <c r="J1491" s="87"/>
      <c r="K1491" s="85"/>
      <c r="L1491" s="85"/>
      <c r="P1491" s="85"/>
      <c r="Q1491" s="85"/>
      <c r="R1491" s="81"/>
    </row>
    <row r="1492" spans="7:18" x14ac:dyDescent="0.3">
      <c r="G1492" s="85"/>
      <c r="H1492" s="86"/>
      <c r="I1492" s="86"/>
      <c r="J1492" s="87"/>
      <c r="K1492" s="85"/>
      <c r="L1492" s="85"/>
      <c r="P1492" s="85"/>
      <c r="Q1492" s="85"/>
      <c r="R1492" s="81"/>
    </row>
    <row r="1493" spans="7:18" x14ac:dyDescent="0.3">
      <c r="G1493" s="85"/>
      <c r="H1493" s="86"/>
      <c r="I1493" s="86"/>
      <c r="J1493" s="87"/>
      <c r="K1493" s="85"/>
      <c r="L1493" s="85"/>
      <c r="P1493" s="85"/>
      <c r="Q1493" s="85"/>
      <c r="R1493" s="81"/>
    </row>
    <row r="1494" spans="7:18" x14ac:dyDescent="0.3">
      <c r="G1494" s="85"/>
      <c r="H1494" s="86"/>
      <c r="I1494" s="86"/>
      <c r="J1494" s="87"/>
      <c r="K1494" s="85"/>
      <c r="L1494" s="85"/>
      <c r="P1494" s="85"/>
      <c r="Q1494" s="85"/>
      <c r="R1494" s="81"/>
    </row>
    <row r="1495" spans="7:18" x14ac:dyDescent="0.3">
      <c r="G1495" s="85"/>
      <c r="H1495" s="86"/>
      <c r="I1495" s="86"/>
      <c r="J1495" s="87"/>
      <c r="K1495" s="85"/>
      <c r="L1495" s="85"/>
      <c r="P1495" s="85"/>
      <c r="Q1495" s="85"/>
      <c r="R1495" s="81"/>
    </row>
    <row r="1496" spans="7:18" x14ac:dyDescent="0.3">
      <c r="G1496" s="85"/>
      <c r="H1496" s="86"/>
      <c r="I1496" s="86"/>
      <c r="J1496" s="87"/>
      <c r="K1496" s="85"/>
      <c r="L1496" s="85"/>
      <c r="P1496" s="85"/>
      <c r="Q1496" s="85"/>
      <c r="R1496" s="81"/>
    </row>
    <row r="1497" spans="7:18" x14ac:dyDescent="0.3">
      <c r="G1497" s="85"/>
      <c r="H1497" s="86"/>
      <c r="I1497" s="86"/>
      <c r="J1497" s="87"/>
      <c r="K1497" s="85"/>
      <c r="L1497" s="85"/>
      <c r="P1497" s="85"/>
      <c r="Q1497" s="85"/>
      <c r="R1497" s="81"/>
    </row>
    <row r="1498" spans="7:18" x14ac:dyDescent="0.3">
      <c r="G1498" s="85"/>
      <c r="H1498" s="86"/>
      <c r="I1498" s="86"/>
      <c r="J1498" s="87"/>
      <c r="K1498" s="85"/>
      <c r="L1498" s="85"/>
      <c r="P1498" s="85"/>
      <c r="Q1498" s="85"/>
      <c r="R1498" s="81"/>
    </row>
    <row r="1499" spans="7:18" x14ac:dyDescent="0.3">
      <c r="G1499" s="85"/>
      <c r="H1499" s="86"/>
      <c r="I1499" s="86"/>
      <c r="J1499" s="87"/>
      <c r="K1499" s="85"/>
      <c r="L1499" s="85"/>
      <c r="P1499" s="85"/>
      <c r="Q1499" s="85"/>
      <c r="R1499" s="81"/>
    </row>
    <row r="1500" spans="7:18" x14ac:dyDescent="0.3">
      <c r="G1500" s="85"/>
      <c r="H1500" s="86"/>
      <c r="I1500" s="86"/>
      <c r="J1500" s="87"/>
      <c r="K1500" s="85"/>
      <c r="L1500" s="85"/>
      <c r="P1500" s="85"/>
      <c r="Q1500" s="85"/>
      <c r="R1500" s="81"/>
    </row>
    <row r="1501" spans="7:18" x14ac:dyDescent="0.3">
      <c r="G1501" s="85"/>
      <c r="H1501" s="86"/>
      <c r="I1501" s="86"/>
      <c r="J1501" s="87"/>
      <c r="K1501" s="85"/>
      <c r="L1501" s="85"/>
      <c r="P1501" s="85"/>
      <c r="Q1501" s="85"/>
      <c r="R1501" s="81"/>
    </row>
    <row r="1502" spans="7:18" x14ac:dyDescent="0.3">
      <c r="G1502" s="85"/>
      <c r="H1502" s="86"/>
      <c r="I1502" s="86"/>
      <c r="J1502" s="87"/>
      <c r="K1502" s="85"/>
      <c r="L1502" s="85"/>
      <c r="P1502" s="85"/>
      <c r="Q1502" s="85"/>
      <c r="R1502" s="81"/>
    </row>
    <row r="1503" spans="7:18" x14ac:dyDescent="0.3">
      <c r="G1503" s="85"/>
      <c r="H1503" s="86"/>
      <c r="I1503" s="86"/>
      <c r="J1503" s="87"/>
      <c r="K1503" s="85"/>
      <c r="L1503" s="85"/>
      <c r="P1503" s="85"/>
      <c r="Q1503" s="85"/>
      <c r="R1503" s="81"/>
    </row>
    <row r="1504" spans="7:18" x14ac:dyDescent="0.3">
      <c r="G1504" s="85"/>
      <c r="H1504" s="86"/>
      <c r="I1504" s="86"/>
      <c r="J1504" s="87"/>
      <c r="K1504" s="85"/>
      <c r="L1504" s="85"/>
      <c r="P1504" s="85"/>
      <c r="Q1504" s="85"/>
      <c r="R1504" s="81"/>
    </row>
    <row r="1505" spans="7:18" x14ac:dyDescent="0.3">
      <c r="G1505" s="85"/>
      <c r="H1505" s="86"/>
      <c r="I1505" s="86"/>
      <c r="J1505" s="87"/>
      <c r="K1505" s="85"/>
      <c r="L1505" s="85"/>
      <c r="P1505" s="85"/>
      <c r="Q1505" s="85"/>
      <c r="R1505" s="81"/>
    </row>
    <row r="1506" spans="7:18" x14ac:dyDescent="0.3">
      <c r="G1506" s="85"/>
      <c r="H1506" s="86"/>
      <c r="I1506" s="86"/>
      <c r="J1506" s="87"/>
      <c r="K1506" s="85"/>
      <c r="L1506" s="85"/>
      <c r="P1506" s="85"/>
      <c r="Q1506" s="85"/>
      <c r="R1506" s="81"/>
    </row>
    <row r="1507" spans="7:18" x14ac:dyDescent="0.3">
      <c r="G1507" s="85"/>
      <c r="H1507" s="86"/>
      <c r="I1507" s="86"/>
      <c r="J1507" s="87"/>
      <c r="K1507" s="85"/>
      <c r="L1507" s="85"/>
      <c r="P1507" s="85"/>
      <c r="Q1507" s="85"/>
      <c r="R1507" s="81"/>
    </row>
    <row r="1508" spans="7:18" x14ac:dyDescent="0.3">
      <c r="G1508" s="85"/>
      <c r="H1508" s="86"/>
      <c r="I1508" s="86"/>
      <c r="J1508" s="87"/>
      <c r="K1508" s="85"/>
      <c r="L1508" s="85"/>
      <c r="P1508" s="85"/>
      <c r="Q1508" s="85"/>
      <c r="R1508" s="81"/>
    </row>
    <row r="1509" spans="7:18" x14ac:dyDescent="0.3">
      <c r="G1509" s="85"/>
      <c r="H1509" s="86"/>
      <c r="I1509" s="86"/>
      <c r="J1509" s="87"/>
      <c r="K1509" s="85"/>
      <c r="L1509" s="85"/>
      <c r="P1509" s="85"/>
      <c r="Q1509" s="85"/>
      <c r="R1509" s="81"/>
    </row>
    <row r="1510" spans="7:18" x14ac:dyDescent="0.3">
      <c r="G1510" s="85"/>
      <c r="H1510" s="86"/>
      <c r="I1510" s="86"/>
      <c r="J1510" s="87"/>
      <c r="K1510" s="85"/>
      <c r="L1510" s="85"/>
      <c r="P1510" s="85"/>
      <c r="Q1510" s="85"/>
      <c r="R1510" s="81"/>
    </row>
    <row r="1511" spans="7:18" x14ac:dyDescent="0.3">
      <c r="G1511" s="85"/>
      <c r="H1511" s="86"/>
      <c r="I1511" s="86"/>
      <c r="J1511" s="87"/>
      <c r="K1511" s="85"/>
      <c r="L1511" s="85"/>
      <c r="P1511" s="85"/>
      <c r="Q1511" s="85"/>
      <c r="R1511" s="81"/>
    </row>
    <row r="1512" spans="7:18" x14ac:dyDescent="0.3">
      <c r="G1512" s="85"/>
      <c r="H1512" s="86"/>
      <c r="I1512" s="86"/>
      <c r="J1512" s="87"/>
      <c r="K1512" s="85"/>
      <c r="L1512" s="85"/>
      <c r="P1512" s="85"/>
      <c r="Q1512" s="85"/>
      <c r="R1512" s="81"/>
    </row>
    <row r="1513" spans="7:18" x14ac:dyDescent="0.3">
      <c r="G1513" s="85"/>
      <c r="H1513" s="86"/>
      <c r="I1513" s="86"/>
      <c r="J1513" s="87"/>
      <c r="K1513" s="85"/>
      <c r="L1513" s="85"/>
      <c r="P1513" s="85"/>
      <c r="Q1513" s="85"/>
      <c r="R1513" s="81"/>
    </row>
    <row r="1514" spans="7:18" x14ac:dyDescent="0.3">
      <c r="G1514" s="85"/>
      <c r="H1514" s="86"/>
      <c r="I1514" s="86"/>
      <c r="J1514" s="87"/>
      <c r="K1514" s="85"/>
      <c r="L1514" s="85"/>
      <c r="P1514" s="85"/>
      <c r="Q1514" s="85"/>
      <c r="R1514" s="81"/>
    </row>
    <row r="1515" spans="7:18" x14ac:dyDescent="0.3">
      <c r="G1515" s="85"/>
      <c r="H1515" s="86"/>
      <c r="I1515" s="86"/>
      <c r="J1515" s="87"/>
      <c r="K1515" s="85"/>
      <c r="L1515" s="85"/>
      <c r="P1515" s="85"/>
      <c r="Q1515" s="85"/>
      <c r="R1515" s="81"/>
    </row>
    <row r="1516" spans="7:18" x14ac:dyDescent="0.3">
      <c r="G1516" s="85"/>
      <c r="H1516" s="86"/>
      <c r="I1516" s="86"/>
      <c r="J1516" s="87"/>
      <c r="K1516" s="85"/>
      <c r="L1516" s="85"/>
      <c r="P1516" s="85"/>
      <c r="Q1516" s="85"/>
      <c r="R1516" s="81"/>
    </row>
    <row r="1517" spans="7:18" x14ac:dyDescent="0.3">
      <c r="G1517" s="85"/>
      <c r="H1517" s="86"/>
      <c r="I1517" s="86"/>
      <c r="J1517" s="87"/>
      <c r="K1517" s="85"/>
      <c r="L1517" s="85"/>
      <c r="P1517" s="85"/>
      <c r="Q1517" s="85"/>
      <c r="R1517" s="81"/>
    </row>
    <row r="1518" spans="7:18" x14ac:dyDescent="0.3">
      <c r="G1518" s="85"/>
      <c r="H1518" s="86"/>
      <c r="I1518" s="86"/>
      <c r="J1518" s="87"/>
      <c r="K1518" s="85"/>
      <c r="L1518" s="85"/>
      <c r="P1518" s="85"/>
      <c r="Q1518" s="85"/>
      <c r="R1518" s="81"/>
    </row>
    <row r="1519" spans="7:18" x14ac:dyDescent="0.3">
      <c r="G1519" s="85"/>
      <c r="H1519" s="86"/>
      <c r="I1519" s="86"/>
      <c r="J1519" s="87"/>
      <c r="K1519" s="85"/>
      <c r="L1519" s="85"/>
      <c r="P1519" s="85"/>
      <c r="Q1519" s="85"/>
      <c r="R1519" s="81"/>
    </row>
    <row r="1520" spans="7:18" x14ac:dyDescent="0.3">
      <c r="G1520" s="85"/>
      <c r="H1520" s="86"/>
      <c r="I1520" s="86"/>
      <c r="J1520" s="87"/>
      <c r="K1520" s="85"/>
      <c r="L1520" s="85"/>
      <c r="P1520" s="85"/>
      <c r="Q1520" s="85"/>
      <c r="R1520" s="81"/>
    </row>
    <row r="1521" spans="7:18" x14ac:dyDescent="0.3">
      <c r="G1521" s="85"/>
      <c r="H1521" s="86"/>
      <c r="I1521" s="86"/>
      <c r="J1521" s="87"/>
      <c r="K1521" s="85"/>
      <c r="L1521" s="85"/>
      <c r="P1521" s="85"/>
      <c r="Q1521" s="85"/>
      <c r="R1521" s="81"/>
    </row>
    <row r="1522" spans="7:18" x14ac:dyDescent="0.3">
      <c r="G1522" s="85"/>
      <c r="H1522" s="86"/>
      <c r="I1522" s="86"/>
      <c r="J1522" s="87"/>
      <c r="K1522" s="85"/>
      <c r="L1522" s="85"/>
      <c r="P1522" s="85"/>
      <c r="Q1522" s="85"/>
      <c r="R1522" s="81"/>
    </row>
    <row r="1523" spans="7:18" x14ac:dyDescent="0.3">
      <c r="G1523" s="85"/>
      <c r="H1523" s="86"/>
      <c r="I1523" s="86"/>
      <c r="J1523" s="87"/>
      <c r="K1523" s="85"/>
      <c r="L1523" s="85"/>
      <c r="P1523" s="85"/>
      <c r="Q1523" s="85"/>
      <c r="R1523" s="81"/>
    </row>
    <row r="1524" spans="7:18" x14ac:dyDescent="0.3">
      <c r="G1524" s="85"/>
      <c r="H1524" s="86"/>
      <c r="I1524" s="86"/>
      <c r="J1524" s="87"/>
      <c r="K1524" s="85"/>
      <c r="L1524" s="85"/>
      <c r="P1524" s="85"/>
      <c r="Q1524" s="85"/>
      <c r="R1524" s="81"/>
    </row>
    <row r="1525" spans="7:18" x14ac:dyDescent="0.3">
      <c r="G1525" s="85"/>
      <c r="H1525" s="86"/>
      <c r="I1525" s="86"/>
      <c r="J1525" s="87"/>
      <c r="K1525" s="85"/>
      <c r="L1525" s="85"/>
      <c r="P1525" s="85"/>
      <c r="Q1525" s="85"/>
      <c r="R1525" s="81"/>
    </row>
    <row r="1526" spans="7:18" x14ac:dyDescent="0.3">
      <c r="G1526" s="85"/>
      <c r="H1526" s="86"/>
      <c r="I1526" s="86"/>
      <c r="J1526" s="87"/>
      <c r="K1526" s="85"/>
      <c r="L1526" s="85"/>
      <c r="P1526" s="85"/>
      <c r="Q1526" s="85"/>
      <c r="R1526" s="81"/>
    </row>
    <row r="1527" spans="7:18" x14ac:dyDescent="0.3">
      <c r="G1527" s="85"/>
      <c r="H1527" s="86"/>
      <c r="I1527" s="86"/>
      <c r="J1527" s="87"/>
      <c r="K1527" s="85"/>
      <c r="L1527" s="85"/>
      <c r="P1527" s="85"/>
      <c r="Q1527" s="85"/>
      <c r="R1527" s="81"/>
    </row>
    <row r="1528" spans="7:18" x14ac:dyDescent="0.3">
      <c r="G1528" s="85"/>
      <c r="H1528" s="86"/>
      <c r="I1528" s="86"/>
      <c r="J1528" s="87"/>
      <c r="K1528" s="85"/>
      <c r="L1528" s="85"/>
      <c r="P1528" s="85"/>
      <c r="Q1528" s="85"/>
      <c r="R1528" s="81"/>
    </row>
    <row r="1529" spans="7:18" x14ac:dyDescent="0.3">
      <c r="G1529" s="85"/>
      <c r="H1529" s="86"/>
      <c r="I1529" s="86"/>
      <c r="J1529" s="87"/>
      <c r="K1529" s="85"/>
      <c r="L1529" s="85"/>
      <c r="P1529" s="85"/>
      <c r="Q1529" s="85"/>
      <c r="R1529" s="81"/>
    </row>
    <row r="1530" spans="7:18" x14ac:dyDescent="0.3">
      <c r="G1530" s="85"/>
      <c r="H1530" s="86"/>
      <c r="I1530" s="86"/>
      <c r="J1530" s="87"/>
      <c r="K1530" s="85"/>
      <c r="L1530" s="85"/>
      <c r="P1530" s="85"/>
      <c r="Q1530" s="85"/>
      <c r="R1530" s="81"/>
    </row>
    <row r="1531" spans="7:18" x14ac:dyDescent="0.3">
      <c r="G1531" s="85"/>
      <c r="H1531" s="86"/>
      <c r="I1531" s="86"/>
      <c r="J1531" s="87"/>
      <c r="K1531" s="85"/>
      <c r="L1531" s="85"/>
      <c r="P1531" s="85"/>
      <c r="Q1531" s="85"/>
      <c r="R1531" s="81"/>
    </row>
    <row r="1532" spans="7:18" x14ac:dyDescent="0.3">
      <c r="G1532" s="85"/>
      <c r="H1532" s="86"/>
      <c r="I1532" s="86"/>
      <c r="J1532" s="87"/>
      <c r="K1532" s="85"/>
      <c r="L1532" s="85"/>
      <c r="P1532" s="85"/>
      <c r="Q1532" s="85"/>
      <c r="R1532" s="81"/>
    </row>
    <row r="1533" spans="7:18" x14ac:dyDescent="0.3">
      <c r="G1533" s="85"/>
      <c r="H1533" s="86"/>
      <c r="I1533" s="86"/>
      <c r="J1533" s="87"/>
      <c r="K1533" s="85"/>
      <c r="L1533" s="85"/>
      <c r="P1533" s="85"/>
      <c r="Q1533" s="85"/>
      <c r="R1533" s="81"/>
    </row>
    <row r="1534" spans="7:18" x14ac:dyDescent="0.3">
      <c r="G1534" s="85"/>
      <c r="H1534" s="86"/>
      <c r="I1534" s="86"/>
      <c r="J1534" s="87"/>
      <c r="K1534" s="85"/>
      <c r="L1534" s="85"/>
      <c r="P1534" s="85"/>
      <c r="Q1534" s="85"/>
      <c r="R1534" s="81"/>
    </row>
    <row r="1535" spans="7:18" x14ac:dyDescent="0.3">
      <c r="G1535" s="85"/>
      <c r="H1535" s="86"/>
      <c r="I1535" s="86"/>
      <c r="J1535" s="87"/>
      <c r="K1535" s="85"/>
      <c r="L1535" s="85"/>
      <c r="P1535" s="85"/>
      <c r="Q1535" s="85"/>
      <c r="R1535" s="81"/>
    </row>
    <row r="1536" spans="7:18" x14ac:dyDescent="0.3">
      <c r="G1536" s="85"/>
      <c r="H1536" s="86"/>
      <c r="I1536" s="86"/>
      <c r="J1536" s="87"/>
      <c r="K1536" s="85"/>
      <c r="L1536" s="85"/>
      <c r="P1536" s="85"/>
      <c r="Q1536" s="85"/>
      <c r="R1536" s="81"/>
    </row>
    <row r="1537" spans="7:18" x14ac:dyDescent="0.3">
      <c r="G1537" s="85"/>
      <c r="H1537" s="86"/>
      <c r="I1537" s="86"/>
      <c r="J1537" s="87"/>
      <c r="K1537" s="85"/>
      <c r="L1537" s="85"/>
      <c r="P1537" s="85"/>
      <c r="Q1537" s="85"/>
      <c r="R1537" s="81"/>
    </row>
    <row r="1538" spans="7:18" x14ac:dyDescent="0.3">
      <c r="G1538" s="85"/>
      <c r="H1538" s="86"/>
      <c r="I1538" s="86"/>
      <c r="J1538" s="87"/>
      <c r="K1538" s="85"/>
      <c r="L1538" s="85"/>
      <c r="P1538" s="85"/>
      <c r="Q1538" s="85"/>
      <c r="R1538" s="81"/>
    </row>
    <row r="1539" spans="7:18" x14ac:dyDescent="0.3">
      <c r="G1539" s="85"/>
      <c r="H1539" s="86"/>
      <c r="I1539" s="86"/>
      <c r="J1539" s="87"/>
      <c r="K1539" s="85"/>
      <c r="L1539" s="85"/>
      <c r="P1539" s="85"/>
      <c r="Q1539" s="85"/>
      <c r="R1539" s="81"/>
    </row>
    <row r="1540" spans="7:18" x14ac:dyDescent="0.3">
      <c r="G1540" s="85"/>
      <c r="H1540" s="86"/>
      <c r="I1540" s="86"/>
      <c r="J1540" s="87"/>
      <c r="K1540" s="85"/>
      <c r="L1540" s="85"/>
      <c r="P1540" s="85"/>
      <c r="Q1540" s="85"/>
      <c r="R1540" s="81"/>
    </row>
    <row r="1541" spans="7:18" x14ac:dyDescent="0.3">
      <c r="G1541" s="85"/>
      <c r="H1541" s="86"/>
      <c r="I1541" s="86"/>
      <c r="J1541" s="87"/>
      <c r="K1541" s="85"/>
      <c r="L1541" s="85"/>
      <c r="P1541" s="85"/>
      <c r="Q1541" s="85"/>
      <c r="R1541" s="81"/>
    </row>
    <row r="1542" spans="7:18" x14ac:dyDescent="0.3">
      <c r="G1542" s="85"/>
      <c r="H1542" s="86"/>
      <c r="I1542" s="86"/>
      <c r="J1542" s="87"/>
      <c r="K1542" s="85"/>
      <c r="L1542" s="85"/>
      <c r="P1542" s="85"/>
      <c r="Q1542" s="85"/>
      <c r="R1542" s="81"/>
    </row>
    <row r="1543" spans="7:18" x14ac:dyDescent="0.3">
      <c r="G1543" s="85"/>
      <c r="H1543" s="86"/>
      <c r="I1543" s="86"/>
      <c r="J1543" s="87"/>
      <c r="K1543" s="85"/>
      <c r="L1543" s="85"/>
      <c r="P1543" s="85"/>
      <c r="Q1543" s="85"/>
      <c r="R1543" s="81"/>
    </row>
    <row r="1544" spans="7:18" x14ac:dyDescent="0.3">
      <c r="G1544" s="85"/>
      <c r="H1544" s="86"/>
      <c r="I1544" s="86"/>
      <c r="J1544" s="87"/>
      <c r="K1544" s="85"/>
      <c r="L1544" s="85"/>
      <c r="P1544" s="85"/>
      <c r="Q1544" s="85"/>
      <c r="R1544" s="81"/>
    </row>
    <row r="1545" spans="7:18" x14ac:dyDescent="0.3">
      <c r="G1545" s="85"/>
      <c r="H1545" s="86"/>
      <c r="I1545" s="86"/>
      <c r="J1545" s="87"/>
      <c r="K1545" s="85"/>
      <c r="L1545" s="85"/>
      <c r="P1545" s="85"/>
      <c r="Q1545" s="85"/>
      <c r="R1545" s="81"/>
    </row>
    <row r="1546" spans="7:18" x14ac:dyDescent="0.3">
      <c r="G1546" s="85"/>
      <c r="H1546" s="86"/>
      <c r="I1546" s="86"/>
      <c r="J1546" s="87"/>
      <c r="K1546" s="85"/>
      <c r="L1546" s="85"/>
      <c r="P1546" s="85"/>
      <c r="Q1546" s="85"/>
      <c r="R1546" s="81"/>
    </row>
    <row r="1547" spans="7:18" x14ac:dyDescent="0.3">
      <c r="G1547" s="85"/>
      <c r="H1547" s="86"/>
      <c r="I1547" s="86"/>
      <c r="J1547" s="87"/>
      <c r="K1547" s="85"/>
      <c r="L1547" s="85"/>
      <c r="P1547" s="85"/>
      <c r="Q1547" s="85"/>
      <c r="R1547" s="81"/>
    </row>
    <row r="1548" spans="7:18" x14ac:dyDescent="0.3">
      <c r="G1548" s="85"/>
      <c r="H1548" s="86"/>
      <c r="I1548" s="86"/>
      <c r="J1548" s="87"/>
      <c r="K1548" s="85"/>
      <c r="L1548" s="85"/>
      <c r="P1548" s="85"/>
      <c r="Q1548" s="85"/>
      <c r="R1548" s="81"/>
    </row>
    <row r="1549" spans="7:18" x14ac:dyDescent="0.3">
      <c r="G1549" s="85"/>
      <c r="H1549" s="86"/>
      <c r="I1549" s="86"/>
      <c r="J1549" s="87"/>
      <c r="K1549" s="85"/>
      <c r="L1549" s="85"/>
      <c r="P1549" s="85"/>
      <c r="Q1549" s="85"/>
      <c r="R1549" s="81"/>
    </row>
    <row r="1550" spans="7:18" x14ac:dyDescent="0.3">
      <c r="G1550" s="85"/>
      <c r="H1550" s="86"/>
      <c r="I1550" s="86"/>
      <c r="J1550" s="87"/>
      <c r="K1550" s="85"/>
      <c r="L1550" s="85"/>
      <c r="P1550" s="85"/>
      <c r="Q1550" s="85"/>
      <c r="R1550" s="81"/>
    </row>
    <row r="1551" spans="7:18" x14ac:dyDescent="0.3">
      <c r="G1551" s="85"/>
      <c r="H1551" s="86"/>
      <c r="I1551" s="86"/>
      <c r="J1551" s="87"/>
      <c r="K1551" s="85"/>
      <c r="L1551" s="85"/>
      <c r="P1551" s="85"/>
      <c r="Q1551" s="85"/>
      <c r="R1551" s="81"/>
    </row>
    <row r="1552" spans="7:18" x14ac:dyDescent="0.3">
      <c r="G1552" s="85"/>
      <c r="H1552" s="86"/>
      <c r="I1552" s="86"/>
      <c r="J1552" s="87"/>
      <c r="K1552" s="85"/>
      <c r="L1552" s="85"/>
      <c r="P1552" s="85"/>
      <c r="Q1552" s="85"/>
      <c r="R1552" s="81"/>
    </row>
    <row r="1553" spans="7:18" x14ac:dyDescent="0.3">
      <c r="G1553" s="85"/>
      <c r="H1553" s="86"/>
      <c r="I1553" s="86"/>
      <c r="J1553" s="87"/>
      <c r="K1553" s="85"/>
      <c r="L1553" s="85"/>
      <c r="P1553" s="85"/>
      <c r="Q1553" s="85"/>
      <c r="R1553" s="81"/>
    </row>
    <row r="1554" spans="7:18" x14ac:dyDescent="0.3">
      <c r="G1554" s="85"/>
      <c r="H1554" s="86"/>
      <c r="I1554" s="86"/>
      <c r="J1554" s="87"/>
      <c r="K1554" s="85"/>
      <c r="L1554" s="85"/>
      <c r="P1554" s="85"/>
      <c r="Q1554" s="85"/>
      <c r="R1554" s="81"/>
    </row>
    <row r="1555" spans="7:18" x14ac:dyDescent="0.3">
      <c r="G1555" s="85"/>
      <c r="H1555" s="86"/>
      <c r="I1555" s="86"/>
      <c r="J1555" s="87"/>
      <c r="K1555" s="85"/>
      <c r="L1555" s="85"/>
      <c r="P1555" s="85"/>
      <c r="Q1555" s="85"/>
      <c r="R1555" s="81"/>
    </row>
    <row r="1556" spans="7:18" x14ac:dyDescent="0.3">
      <c r="G1556" s="85"/>
      <c r="H1556" s="86"/>
      <c r="I1556" s="86"/>
      <c r="J1556" s="87"/>
      <c r="K1556" s="85"/>
      <c r="L1556" s="85"/>
      <c r="P1556" s="85"/>
      <c r="Q1556" s="85"/>
      <c r="R1556" s="81"/>
    </row>
    <row r="1557" spans="7:18" x14ac:dyDescent="0.3">
      <c r="G1557" s="85"/>
      <c r="H1557" s="86"/>
      <c r="I1557" s="86"/>
      <c r="J1557" s="87"/>
      <c r="K1557" s="85"/>
      <c r="L1557" s="85"/>
      <c r="P1557" s="85"/>
      <c r="Q1557" s="85"/>
      <c r="R1557" s="81"/>
    </row>
    <row r="1558" spans="7:18" x14ac:dyDescent="0.3">
      <c r="G1558" s="85"/>
      <c r="H1558" s="86"/>
      <c r="I1558" s="86"/>
      <c r="J1558" s="87"/>
      <c r="K1558" s="85"/>
      <c r="L1558" s="85"/>
      <c r="P1558" s="85"/>
      <c r="Q1558" s="85"/>
      <c r="R1558" s="81"/>
    </row>
    <row r="1559" spans="7:18" x14ac:dyDescent="0.3">
      <c r="G1559" s="85"/>
      <c r="H1559" s="86"/>
      <c r="I1559" s="86"/>
      <c r="J1559" s="87"/>
      <c r="K1559" s="85"/>
      <c r="L1559" s="85"/>
      <c r="P1559" s="85"/>
      <c r="Q1559" s="85"/>
      <c r="R1559" s="81"/>
    </row>
    <row r="1560" spans="7:18" x14ac:dyDescent="0.3">
      <c r="G1560" s="85"/>
      <c r="H1560" s="86"/>
      <c r="I1560" s="86"/>
      <c r="J1560" s="87"/>
      <c r="K1560" s="85"/>
      <c r="L1560" s="85"/>
      <c r="P1560" s="85"/>
      <c r="Q1560" s="85"/>
      <c r="R1560" s="81"/>
    </row>
    <row r="1561" spans="7:18" x14ac:dyDescent="0.3">
      <c r="G1561" s="85"/>
      <c r="H1561" s="86"/>
      <c r="I1561" s="86"/>
      <c r="J1561" s="87"/>
      <c r="K1561" s="85"/>
      <c r="L1561" s="85"/>
      <c r="P1561" s="85"/>
      <c r="Q1561" s="85"/>
      <c r="R1561" s="81"/>
    </row>
    <row r="1562" spans="7:18" x14ac:dyDescent="0.3">
      <c r="G1562" s="85"/>
      <c r="H1562" s="86"/>
      <c r="I1562" s="86"/>
      <c r="J1562" s="87"/>
      <c r="K1562" s="85"/>
      <c r="L1562" s="85"/>
      <c r="P1562" s="85"/>
      <c r="Q1562" s="85"/>
      <c r="R1562" s="81"/>
    </row>
    <row r="1563" spans="7:18" x14ac:dyDescent="0.3">
      <c r="G1563" s="85"/>
      <c r="H1563" s="86"/>
      <c r="I1563" s="86"/>
      <c r="J1563" s="87"/>
      <c r="K1563" s="85"/>
      <c r="L1563" s="85"/>
      <c r="P1563" s="85"/>
      <c r="Q1563" s="85"/>
      <c r="R1563" s="81"/>
    </row>
    <row r="1564" spans="7:18" x14ac:dyDescent="0.3">
      <c r="G1564" s="85"/>
      <c r="H1564" s="86"/>
      <c r="I1564" s="86"/>
      <c r="J1564" s="87"/>
      <c r="K1564" s="85"/>
      <c r="L1564" s="85"/>
      <c r="P1564" s="85"/>
      <c r="Q1564" s="85"/>
      <c r="R1564" s="81"/>
    </row>
    <row r="1565" spans="7:18" x14ac:dyDescent="0.3">
      <c r="G1565" s="85"/>
      <c r="H1565" s="86"/>
      <c r="I1565" s="86"/>
      <c r="J1565" s="87"/>
      <c r="K1565" s="85"/>
      <c r="L1565" s="85"/>
      <c r="P1565" s="85"/>
      <c r="Q1565" s="85"/>
      <c r="R1565" s="81"/>
    </row>
    <row r="1566" spans="7:18" x14ac:dyDescent="0.3">
      <c r="G1566" s="85"/>
      <c r="H1566" s="86"/>
      <c r="I1566" s="86"/>
      <c r="J1566" s="87"/>
      <c r="K1566" s="85"/>
      <c r="L1566" s="85"/>
      <c r="P1566" s="85"/>
      <c r="Q1566" s="85"/>
      <c r="R1566" s="81"/>
    </row>
    <row r="1567" spans="7:18" x14ac:dyDescent="0.3">
      <c r="G1567" s="85"/>
      <c r="H1567" s="86"/>
      <c r="I1567" s="86"/>
      <c r="J1567" s="87"/>
      <c r="K1567" s="85"/>
      <c r="L1567" s="85"/>
      <c r="P1567" s="85"/>
      <c r="Q1567" s="85"/>
      <c r="R1567" s="81"/>
    </row>
    <row r="1568" spans="7:18" x14ac:dyDescent="0.3">
      <c r="G1568" s="85"/>
      <c r="H1568" s="86"/>
      <c r="I1568" s="86"/>
      <c r="J1568" s="87"/>
      <c r="K1568" s="85"/>
      <c r="L1568" s="85"/>
      <c r="P1568" s="85"/>
      <c r="Q1568" s="85"/>
      <c r="R1568" s="81"/>
    </row>
    <row r="1569" spans="7:18" x14ac:dyDescent="0.3">
      <c r="G1569" s="85"/>
      <c r="H1569" s="86"/>
      <c r="I1569" s="86"/>
      <c r="J1569" s="87"/>
      <c r="K1569" s="85"/>
      <c r="L1569" s="85"/>
      <c r="P1569" s="85"/>
      <c r="Q1569" s="85"/>
      <c r="R1569" s="81"/>
    </row>
    <row r="1570" spans="7:18" x14ac:dyDescent="0.3">
      <c r="G1570" s="85"/>
      <c r="H1570" s="86"/>
      <c r="I1570" s="86"/>
      <c r="J1570" s="87"/>
      <c r="K1570" s="85"/>
      <c r="L1570" s="85"/>
      <c r="P1570" s="85"/>
      <c r="Q1570" s="85"/>
      <c r="R1570" s="81"/>
    </row>
    <row r="1571" spans="7:18" x14ac:dyDescent="0.3">
      <c r="G1571" s="85"/>
      <c r="H1571" s="86"/>
      <c r="I1571" s="86"/>
      <c r="J1571" s="87"/>
      <c r="K1571" s="85"/>
      <c r="L1571" s="85"/>
      <c r="P1571" s="85"/>
      <c r="Q1571" s="85"/>
      <c r="R1571" s="81"/>
    </row>
    <row r="1572" spans="7:18" x14ac:dyDescent="0.3">
      <c r="G1572" s="85"/>
      <c r="H1572" s="86"/>
      <c r="I1572" s="86"/>
      <c r="J1572" s="87"/>
      <c r="K1572" s="85"/>
      <c r="L1572" s="85"/>
      <c r="P1572" s="85"/>
      <c r="Q1572" s="85"/>
      <c r="R1572" s="81"/>
    </row>
    <row r="1573" spans="7:18" x14ac:dyDescent="0.3">
      <c r="G1573" s="85"/>
      <c r="H1573" s="86"/>
      <c r="I1573" s="86"/>
      <c r="J1573" s="87"/>
      <c r="K1573" s="85"/>
      <c r="L1573" s="85"/>
      <c r="P1573" s="85"/>
      <c r="Q1573" s="85"/>
      <c r="R1573" s="81"/>
    </row>
    <row r="1574" spans="7:18" x14ac:dyDescent="0.3">
      <c r="G1574" s="85"/>
      <c r="H1574" s="86"/>
      <c r="I1574" s="86"/>
      <c r="J1574" s="87"/>
      <c r="K1574" s="85"/>
      <c r="L1574" s="85"/>
      <c r="P1574" s="85"/>
      <c r="Q1574" s="85"/>
      <c r="R1574" s="81"/>
    </row>
    <row r="1575" spans="7:18" x14ac:dyDescent="0.3">
      <c r="G1575" s="85"/>
      <c r="H1575" s="86"/>
      <c r="I1575" s="86"/>
      <c r="J1575" s="87"/>
      <c r="K1575" s="85"/>
      <c r="L1575" s="85"/>
      <c r="P1575" s="85"/>
      <c r="Q1575" s="85"/>
      <c r="R1575" s="81"/>
    </row>
    <row r="1576" spans="7:18" x14ac:dyDescent="0.3">
      <c r="G1576" s="85"/>
      <c r="H1576" s="86"/>
      <c r="I1576" s="86"/>
      <c r="J1576" s="87"/>
      <c r="K1576" s="85"/>
      <c r="L1576" s="85"/>
      <c r="P1576" s="85"/>
      <c r="Q1576" s="85"/>
      <c r="R1576" s="81"/>
    </row>
    <row r="1577" spans="7:18" x14ac:dyDescent="0.3">
      <c r="G1577" s="85"/>
      <c r="H1577" s="86"/>
      <c r="I1577" s="86"/>
      <c r="J1577" s="87"/>
      <c r="K1577" s="85"/>
      <c r="L1577" s="85"/>
      <c r="P1577" s="85"/>
      <c r="Q1577" s="85"/>
      <c r="R1577" s="81"/>
    </row>
    <row r="1578" spans="7:18" x14ac:dyDescent="0.3">
      <c r="G1578" s="85"/>
      <c r="H1578" s="86"/>
      <c r="I1578" s="86"/>
      <c r="J1578" s="87"/>
      <c r="K1578" s="85"/>
      <c r="L1578" s="85"/>
      <c r="P1578" s="85"/>
      <c r="Q1578" s="85"/>
      <c r="R1578" s="81"/>
    </row>
    <row r="1579" spans="7:18" x14ac:dyDescent="0.3">
      <c r="G1579" s="85"/>
      <c r="H1579" s="86"/>
      <c r="I1579" s="86"/>
      <c r="J1579" s="87"/>
      <c r="K1579" s="85"/>
      <c r="L1579" s="85"/>
      <c r="P1579" s="85"/>
      <c r="Q1579" s="85"/>
      <c r="R1579" s="81"/>
    </row>
    <row r="1580" spans="7:18" x14ac:dyDescent="0.3">
      <c r="G1580" s="85"/>
      <c r="H1580" s="86"/>
      <c r="I1580" s="86"/>
      <c r="J1580" s="87"/>
      <c r="K1580" s="85"/>
      <c r="L1580" s="85"/>
      <c r="P1580" s="85"/>
      <c r="Q1580" s="85"/>
      <c r="R1580" s="81"/>
    </row>
    <row r="1581" spans="7:18" x14ac:dyDescent="0.3">
      <c r="G1581" s="85"/>
      <c r="H1581" s="86"/>
      <c r="I1581" s="86"/>
      <c r="J1581" s="87"/>
      <c r="K1581" s="85"/>
      <c r="L1581" s="85"/>
      <c r="P1581" s="85"/>
      <c r="Q1581" s="85"/>
      <c r="R1581" s="81"/>
    </row>
    <row r="1582" spans="7:18" x14ac:dyDescent="0.3">
      <c r="G1582" s="85"/>
      <c r="H1582" s="86"/>
      <c r="I1582" s="86"/>
      <c r="J1582" s="87"/>
      <c r="K1582" s="85"/>
      <c r="L1582" s="85"/>
      <c r="P1582" s="85"/>
      <c r="Q1582" s="85"/>
      <c r="R1582" s="81"/>
    </row>
    <row r="1583" spans="7:18" x14ac:dyDescent="0.3">
      <c r="G1583" s="85"/>
      <c r="H1583" s="86"/>
      <c r="I1583" s="86"/>
      <c r="J1583" s="87"/>
      <c r="K1583" s="85"/>
      <c r="L1583" s="85"/>
      <c r="P1583" s="85"/>
      <c r="Q1583" s="85"/>
      <c r="R1583" s="81"/>
    </row>
    <row r="1584" spans="7:18" x14ac:dyDescent="0.3">
      <c r="G1584" s="85"/>
      <c r="H1584" s="86"/>
      <c r="I1584" s="86"/>
      <c r="J1584" s="87"/>
      <c r="K1584" s="85"/>
      <c r="L1584" s="85"/>
      <c r="P1584" s="85"/>
      <c r="Q1584" s="85"/>
      <c r="R1584" s="81"/>
    </row>
    <row r="1585" spans="7:18" x14ac:dyDescent="0.3">
      <c r="G1585" s="85"/>
      <c r="H1585" s="86"/>
      <c r="I1585" s="86"/>
      <c r="J1585" s="87"/>
      <c r="K1585" s="85"/>
      <c r="L1585" s="85"/>
      <c r="P1585" s="85"/>
      <c r="Q1585" s="85"/>
      <c r="R1585" s="81"/>
    </row>
    <row r="1586" spans="7:18" x14ac:dyDescent="0.3">
      <c r="G1586" s="85"/>
      <c r="H1586" s="86"/>
      <c r="I1586" s="86"/>
      <c r="J1586" s="87"/>
      <c r="K1586" s="85"/>
      <c r="L1586" s="85"/>
      <c r="P1586" s="85"/>
      <c r="Q1586" s="85"/>
      <c r="R1586" s="81"/>
    </row>
    <row r="1587" spans="7:18" x14ac:dyDescent="0.3">
      <c r="G1587" s="85"/>
      <c r="H1587" s="86"/>
      <c r="I1587" s="86"/>
      <c r="J1587" s="87"/>
      <c r="K1587" s="85"/>
      <c r="L1587" s="85"/>
      <c r="P1587" s="85"/>
      <c r="Q1587" s="85"/>
      <c r="R1587" s="81"/>
    </row>
    <row r="1588" spans="7:18" x14ac:dyDescent="0.3">
      <c r="G1588" s="85"/>
      <c r="H1588" s="86"/>
      <c r="I1588" s="86"/>
      <c r="J1588" s="87"/>
      <c r="K1588" s="85"/>
      <c r="L1588" s="85"/>
      <c r="P1588" s="85"/>
      <c r="Q1588" s="85"/>
      <c r="R1588" s="81"/>
    </row>
    <row r="1589" spans="7:18" x14ac:dyDescent="0.3">
      <c r="G1589" s="85"/>
      <c r="H1589" s="86"/>
      <c r="I1589" s="86"/>
      <c r="J1589" s="87"/>
      <c r="K1589" s="85"/>
      <c r="L1589" s="85"/>
      <c r="P1589" s="85"/>
      <c r="Q1589" s="85"/>
      <c r="R1589" s="81"/>
    </row>
    <row r="1590" spans="7:18" x14ac:dyDescent="0.3">
      <c r="G1590" s="85"/>
      <c r="H1590" s="86"/>
      <c r="I1590" s="86"/>
      <c r="J1590" s="87"/>
      <c r="K1590" s="85"/>
      <c r="L1590" s="85"/>
      <c r="P1590" s="85"/>
      <c r="Q1590" s="85"/>
      <c r="R1590" s="81"/>
    </row>
    <row r="1591" spans="7:18" x14ac:dyDescent="0.3">
      <c r="G1591" s="85"/>
      <c r="H1591" s="86"/>
      <c r="I1591" s="86"/>
      <c r="J1591" s="87"/>
      <c r="K1591" s="85"/>
      <c r="L1591" s="85"/>
      <c r="P1591" s="85"/>
      <c r="Q1591" s="85"/>
      <c r="R1591" s="81"/>
    </row>
    <row r="1592" spans="7:18" x14ac:dyDescent="0.3">
      <c r="G1592" s="85"/>
      <c r="H1592" s="86"/>
      <c r="I1592" s="86"/>
      <c r="J1592" s="87"/>
      <c r="K1592" s="85"/>
      <c r="L1592" s="85"/>
      <c r="P1592" s="85"/>
      <c r="Q1592" s="85"/>
      <c r="R1592" s="81"/>
    </row>
    <row r="1593" spans="7:18" x14ac:dyDescent="0.3">
      <c r="G1593" s="85"/>
      <c r="H1593" s="86"/>
      <c r="I1593" s="86"/>
      <c r="J1593" s="87"/>
      <c r="K1593" s="85"/>
      <c r="L1593" s="85"/>
      <c r="P1593" s="85"/>
      <c r="Q1593" s="85"/>
      <c r="R1593" s="81"/>
    </row>
    <row r="1594" spans="7:18" x14ac:dyDescent="0.3">
      <c r="G1594" s="85"/>
      <c r="H1594" s="86"/>
      <c r="I1594" s="86"/>
      <c r="J1594" s="87"/>
      <c r="K1594" s="85"/>
      <c r="L1594" s="85"/>
      <c r="P1594" s="85"/>
      <c r="Q1594" s="85"/>
      <c r="R1594" s="81"/>
    </row>
    <row r="1595" spans="7:18" x14ac:dyDescent="0.3">
      <c r="G1595" s="85"/>
      <c r="H1595" s="86"/>
      <c r="I1595" s="86"/>
      <c r="J1595" s="87"/>
      <c r="K1595" s="85"/>
      <c r="L1595" s="85"/>
      <c r="P1595" s="85"/>
      <c r="Q1595" s="85"/>
      <c r="R1595" s="81"/>
    </row>
    <row r="1596" spans="7:18" x14ac:dyDescent="0.3">
      <c r="G1596" s="85"/>
      <c r="H1596" s="86"/>
      <c r="I1596" s="86"/>
      <c r="J1596" s="87"/>
      <c r="K1596" s="85"/>
      <c r="L1596" s="85"/>
      <c r="P1596" s="85"/>
      <c r="Q1596" s="85"/>
      <c r="R1596" s="81"/>
    </row>
    <row r="1597" spans="7:18" x14ac:dyDescent="0.3">
      <c r="G1597" s="85"/>
      <c r="H1597" s="86"/>
      <c r="I1597" s="86"/>
      <c r="J1597" s="87"/>
      <c r="K1597" s="85"/>
      <c r="L1597" s="85"/>
      <c r="P1597" s="85"/>
      <c r="Q1597" s="85"/>
      <c r="R1597" s="81"/>
    </row>
    <row r="1598" spans="7:18" x14ac:dyDescent="0.3">
      <c r="G1598" s="85"/>
      <c r="H1598" s="86"/>
      <c r="I1598" s="86"/>
      <c r="J1598" s="87"/>
      <c r="K1598" s="85"/>
      <c r="L1598" s="85"/>
      <c r="P1598" s="85"/>
      <c r="Q1598" s="85"/>
      <c r="R1598" s="81"/>
    </row>
    <row r="1599" spans="7:18" x14ac:dyDescent="0.3">
      <c r="G1599" s="85"/>
      <c r="H1599" s="86"/>
      <c r="I1599" s="86"/>
      <c r="J1599" s="87"/>
      <c r="K1599" s="85"/>
      <c r="L1599" s="85"/>
      <c r="P1599" s="85"/>
      <c r="Q1599" s="85"/>
      <c r="R1599" s="81"/>
    </row>
    <row r="1600" spans="7:18" x14ac:dyDescent="0.3">
      <c r="G1600" s="85"/>
      <c r="H1600" s="86"/>
      <c r="I1600" s="86"/>
      <c r="J1600" s="87"/>
      <c r="K1600" s="85"/>
      <c r="L1600" s="85"/>
      <c r="P1600" s="85"/>
      <c r="Q1600" s="85"/>
      <c r="R1600" s="81"/>
    </row>
    <row r="1601" spans="7:18" x14ac:dyDescent="0.3">
      <c r="G1601" s="85"/>
      <c r="H1601" s="86"/>
      <c r="I1601" s="86"/>
      <c r="J1601" s="87"/>
      <c r="K1601" s="85"/>
      <c r="L1601" s="85"/>
      <c r="P1601" s="85"/>
      <c r="Q1601" s="85"/>
      <c r="R1601" s="81"/>
    </row>
    <row r="1602" spans="7:18" x14ac:dyDescent="0.3">
      <c r="G1602" s="85"/>
      <c r="H1602" s="86"/>
      <c r="I1602" s="86"/>
      <c r="J1602" s="87"/>
      <c r="K1602" s="85"/>
      <c r="L1602" s="85"/>
      <c r="P1602" s="85"/>
      <c r="Q1602" s="85"/>
      <c r="R1602" s="81"/>
    </row>
    <row r="1603" spans="7:18" x14ac:dyDescent="0.3">
      <c r="G1603" s="85"/>
      <c r="H1603" s="86"/>
      <c r="I1603" s="86"/>
      <c r="J1603" s="87"/>
      <c r="K1603" s="85"/>
      <c r="L1603" s="85"/>
      <c r="P1603" s="85"/>
      <c r="Q1603" s="85"/>
      <c r="R1603" s="81"/>
    </row>
    <row r="1604" spans="7:18" x14ac:dyDescent="0.3">
      <c r="G1604" s="85"/>
      <c r="H1604" s="86"/>
      <c r="I1604" s="86"/>
      <c r="J1604" s="87"/>
      <c r="K1604" s="85"/>
      <c r="L1604" s="85"/>
      <c r="P1604" s="85"/>
      <c r="Q1604" s="85"/>
      <c r="R1604" s="81"/>
    </row>
    <row r="1605" spans="7:18" x14ac:dyDescent="0.3">
      <c r="G1605" s="85"/>
      <c r="H1605" s="86"/>
      <c r="I1605" s="86"/>
      <c r="J1605" s="87"/>
      <c r="K1605" s="85"/>
      <c r="L1605" s="85"/>
      <c r="P1605" s="85"/>
      <c r="Q1605" s="85"/>
      <c r="R1605" s="81"/>
    </row>
    <row r="1606" spans="7:18" x14ac:dyDescent="0.3">
      <c r="G1606" s="85"/>
      <c r="H1606" s="86"/>
      <c r="I1606" s="86"/>
      <c r="J1606" s="87"/>
      <c r="K1606" s="85"/>
      <c r="L1606" s="85"/>
      <c r="P1606" s="85"/>
      <c r="Q1606" s="85"/>
      <c r="R1606" s="81"/>
    </row>
    <row r="1607" spans="7:18" x14ac:dyDescent="0.3">
      <c r="G1607" s="85"/>
      <c r="H1607" s="86"/>
      <c r="I1607" s="86"/>
      <c r="J1607" s="87"/>
      <c r="K1607" s="85"/>
      <c r="L1607" s="85"/>
      <c r="P1607" s="85"/>
      <c r="Q1607" s="85"/>
      <c r="R1607" s="81"/>
    </row>
    <row r="1608" spans="7:18" x14ac:dyDescent="0.3">
      <c r="G1608" s="85"/>
      <c r="H1608" s="86"/>
      <c r="I1608" s="86"/>
      <c r="J1608" s="87"/>
      <c r="K1608" s="85"/>
      <c r="L1608" s="85"/>
      <c r="P1608" s="85"/>
      <c r="Q1608" s="85"/>
      <c r="R1608" s="81"/>
    </row>
    <row r="1609" spans="7:18" x14ac:dyDescent="0.3">
      <c r="G1609" s="85"/>
      <c r="H1609" s="86"/>
      <c r="I1609" s="86"/>
      <c r="J1609" s="87"/>
      <c r="K1609" s="85"/>
      <c r="L1609" s="85"/>
      <c r="P1609" s="85"/>
      <c r="Q1609" s="85"/>
      <c r="R1609" s="81"/>
    </row>
    <row r="1610" spans="7:18" x14ac:dyDescent="0.3">
      <c r="G1610" s="85"/>
      <c r="H1610" s="86"/>
      <c r="I1610" s="86"/>
      <c r="J1610" s="87"/>
      <c r="K1610" s="85"/>
      <c r="L1610" s="85"/>
      <c r="P1610" s="85"/>
      <c r="Q1610" s="85"/>
      <c r="R1610" s="81"/>
    </row>
    <row r="1611" spans="7:18" x14ac:dyDescent="0.3">
      <c r="G1611" s="85"/>
      <c r="H1611" s="86"/>
      <c r="I1611" s="86"/>
      <c r="J1611" s="87"/>
      <c r="K1611" s="85"/>
      <c r="L1611" s="85"/>
      <c r="P1611" s="85"/>
      <c r="Q1611" s="85"/>
      <c r="R1611" s="81"/>
    </row>
    <row r="1612" spans="7:18" x14ac:dyDescent="0.3">
      <c r="G1612" s="85"/>
      <c r="H1612" s="86"/>
      <c r="I1612" s="86"/>
      <c r="J1612" s="87"/>
      <c r="K1612" s="85"/>
      <c r="L1612" s="85"/>
      <c r="P1612" s="85"/>
      <c r="Q1612" s="85"/>
      <c r="R1612" s="81"/>
    </row>
    <row r="1613" spans="7:18" x14ac:dyDescent="0.3">
      <c r="G1613" s="85"/>
      <c r="H1613" s="86"/>
      <c r="I1613" s="86"/>
      <c r="J1613" s="87"/>
      <c r="K1613" s="85"/>
      <c r="L1613" s="85"/>
      <c r="P1613" s="85"/>
      <c r="Q1613" s="85"/>
      <c r="R1613" s="81"/>
    </row>
    <row r="1614" spans="7:18" x14ac:dyDescent="0.3">
      <c r="G1614" s="85"/>
      <c r="H1614" s="86"/>
      <c r="I1614" s="86"/>
      <c r="J1614" s="87"/>
      <c r="K1614" s="85"/>
      <c r="L1614" s="85"/>
      <c r="P1614" s="85"/>
      <c r="Q1614" s="85"/>
      <c r="R1614" s="81"/>
    </row>
    <row r="1615" spans="7:18" x14ac:dyDescent="0.3">
      <c r="G1615" s="85"/>
      <c r="H1615" s="86"/>
      <c r="I1615" s="86"/>
      <c r="J1615" s="87"/>
      <c r="K1615" s="85"/>
      <c r="L1615" s="85"/>
      <c r="P1615" s="85"/>
      <c r="Q1615" s="85"/>
      <c r="R1615" s="81"/>
    </row>
    <row r="1616" spans="7:18" x14ac:dyDescent="0.3">
      <c r="G1616" s="85"/>
      <c r="H1616" s="86"/>
      <c r="I1616" s="86"/>
      <c r="J1616" s="87"/>
      <c r="K1616" s="85"/>
      <c r="L1616" s="85"/>
      <c r="P1616" s="85"/>
      <c r="Q1616" s="85"/>
      <c r="R1616" s="81"/>
    </row>
    <row r="1617" spans="7:18" x14ac:dyDescent="0.3">
      <c r="G1617" s="85"/>
      <c r="H1617" s="86"/>
      <c r="I1617" s="86"/>
      <c r="J1617" s="87"/>
      <c r="K1617" s="85"/>
      <c r="L1617" s="85"/>
      <c r="P1617" s="85"/>
      <c r="Q1617" s="85"/>
      <c r="R1617" s="81"/>
    </row>
    <row r="1618" spans="7:18" x14ac:dyDescent="0.3">
      <c r="G1618" s="85"/>
      <c r="H1618" s="86"/>
      <c r="I1618" s="86"/>
      <c r="J1618" s="87"/>
      <c r="K1618" s="85"/>
      <c r="L1618" s="85"/>
      <c r="P1618" s="85"/>
      <c r="Q1618" s="85"/>
      <c r="R1618" s="81"/>
    </row>
    <row r="1619" spans="7:18" x14ac:dyDescent="0.3">
      <c r="G1619" s="85"/>
      <c r="H1619" s="86"/>
      <c r="I1619" s="86"/>
      <c r="J1619" s="87"/>
      <c r="K1619" s="85"/>
      <c r="L1619" s="85"/>
      <c r="P1619" s="85"/>
      <c r="Q1619" s="85"/>
      <c r="R1619" s="81"/>
    </row>
    <row r="1620" spans="7:18" x14ac:dyDescent="0.3">
      <c r="G1620" s="85"/>
      <c r="H1620" s="86"/>
      <c r="I1620" s="86"/>
      <c r="J1620" s="87"/>
      <c r="K1620" s="85"/>
      <c r="L1620" s="85"/>
      <c r="P1620" s="85"/>
      <c r="Q1620" s="85"/>
      <c r="R1620" s="81"/>
    </row>
    <row r="1621" spans="7:18" x14ac:dyDescent="0.3">
      <c r="G1621" s="85"/>
      <c r="H1621" s="86"/>
      <c r="I1621" s="86"/>
      <c r="J1621" s="87"/>
      <c r="K1621" s="85"/>
      <c r="L1621" s="85"/>
      <c r="P1621" s="85"/>
      <c r="Q1621" s="85"/>
      <c r="R1621" s="81"/>
    </row>
    <row r="1622" spans="7:18" x14ac:dyDescent="0.3">
      <c r="G1622" s="85"/>
      <c r="H1622" s="86"/>
      <c r="I1622" s="86"/>
      <c r="J1622" s="87"/>
      <c r="K1622" s="85"/>
      <c r="L1622" s="85"/>
      <c r="P1622" s="85"/>
      <c r="Q1622" s="85"/>
      <c r="R1622" s="81"/>
    </row>
    <row r="1623" spans="7:18" x14ac:dyDescent="0.3">
      <c r="G1623" s="85"/>
      <c r="H1623" s="86"/>
      <c r="I1623" s="86"/>
      <c r="J1623" s="87"/>
      <c r="K1623" s="85"/>
      <c r="L1623" s="85"/>
      <c r="P1623" s="85"/>
      <c r="Q1623" s="85"/>
      <c r="R1623" s="81"/>
    </row>
    <row r="1624" spans="7:18" x14ac:dyDescent="0.3">
      <c r="G1624" s="85"/>
      <c r="H1624" s="86"/>
      <c r="I1624" s="86"/>
      <c r="J1624" s="87"/>
      <c r="K1624" s="85"/>
      <c r="L1624" s="85"/>
      <c r="P1624" s="85"/>
      <c r="Q1624" s="85"/>
      <c r="R1624" s="81"/>
    </row>
    <row r="1625" spans="7:18" x14ac:dyDescent="0.3">
      <c r="G1625" s="85"/>
      <c r="H1625" s="86"/>
      <c r="I1625" s="86"/>
      <c r="J1625" s="87"/>
      <c r="K1625" s="85"/>
      <c r="L1625" s="85"/>
      <c r="P1625" s="85"/>
      <c r="Q1625" s="85"/>
      <c r="R1625" s="81"/>
    </row>
    <row r="1626" spans="7:18" x14ac:dyDescent="0.3">
      <c r="G1626" s="85"/>
      <c r="H1626" s="86"/>
      <c r="I1626" s="86"/>
      <c r="J1626" s="87"/>
      <c r="K1626" s="85"/>
      <c r="L1626" s="85"/>
      <c r="P1626" s="85"/>
      <c r="Q1626" s="85"/>
      <c r="R1626" s="81"/>
    </row>
    <row r="1627" spans="7:18" x14ac:dyDescent="0.3">
      <c r="G1627" s="85"/>
      <c r="H1627" s="86"/>
      <c r="I1627" s="86"/>
      <c r="J1627" s="87"/>
      <c r="K1627" s="85"/>
      <c r="L1627" s="85"/>
      <c r="P1627" s="85"/>
      <c r="Q1627" s="85"/>
      <c r="R1627" s="81"/>
    </row>
    <row r="1628" spans="7:18" x14ac:dyDescent="0.3">
      <c r="G1628" s="85"/>
      <c r="H1628" s="86"/>
      <c r="I1628" s="86"/>
      <c r="J1628" s="87"/>
      <c r="K1628" s="85"/>
      <c r="L1628" s="85"/>
      <c r="P1628" s="85"/>
      <c r="Q1628" s="85"/>
      <c r="R1628" s="81"/>
    </row>
    <row r="1629" spans="7:18" x14ac:dyDescent="0.3">
      <c r="G1629" s="85"/>
      <c r="H1629" s="86"/>
      <c r="I1629" s="86"/>
      <c r="J1629" s="87"/>
      <c r="K1629" s="85"/>
      <c r="L1629" s="85"/>
      <c r="P1629" s="85"/>
      <c r="Q1629" s="85"/>
      <c r="R1629" s="81"/>
    </row>
    <row r="1630" spans="7:18" x14ac:dyDescent="0.3">
      <c r="G1630" s="85"/>
      <c r="H1630" s="86"/>
      <c r="I1630" s="86"/>
      <c r="J1630" s="87"/>
      <c r="K1630" s="85"/>
      <c r="L1630" s="85"/>
      <c r="P1630" s="85"/>
      <c r="Q1630" s="85"/>
      <c r="R1630" s="81"/>
    </row>
    <row r="1631" spans="7:18" x14ac:dyDescent="0.3">
      <c r="G1631" s="85"/>
      <c r="H1631" s="86"/>
      <c r="I1631" s="86"/>
      <c r="J1631" s="87"/>
      <c r="K1631" s="85"/>
      <c r="L1631" s="85"/>
      <c r="P1631" s="85"/>
      <c r="Q1631" s="85"/>
      <c r="R1631" s="81"/>
    </row>
    <row r="1632" spans="7:18" x14ac:dyDescent="0.3">
      <c r="G1632" s="85"/>
      <c r="H1632" s="86"/>
      <c r="I1632" s="86"/>
      <c r="J1632" s="87"/>
      <c r="K1632" s="85"/>
      <c r="L1632" s="85"/>
      <c r="P1632" s="85"/>
      <c r="Q1632" s="85"/>
      <c r="R1632" s="81"/>
    </row>
    <row r="1633" spans="7:18" x14ac:dyDescent="0.3">
      <c r="G1633" s="85"/>
      <c r="H1633" s="86"/>
      <c r="I1633" s="86"/>
      <c r="J1633" s="87"/>
      <c r="K1633" s="85"/>
      <c r="L1633" s="85"/>
      <c r="P1633" s="85"/>
      <c r="Q1633" s="85"/>
      <c r="R1633" s="81"/>
    </row>
    <row r="1634" spans="7:18" x14ac:dyDescent="0.3">
      <c r="G1634" s="85"/>
      <c r="H1634" s="86"/>
      <c r="I1634" s="86"/>
      <c r="J1634" s="87"/>
      <c r="K1634" s="85"/>
      <c r="L1634" s="85"/>
      <c r="P1634" s="85"/>
      <c r="Q1634" s="85"/>
      <c r="R1634" s="81"/>
    </row>
    <row r="1635" spans="7:18" x14ac:dyDescent="0.3">
      <c r="G1635" s="85"/>
      <c r="H1635" s="86"/>
      <c r="I1635" s="86"/>
      <c r="J1635" s="87"/>
      <c r="K1635" s="85"/>
      <c r="L1635" s="85"/>
      <c r="P1635" s="85"/>
      <c r="Q1635" s="85"/>
      <c r="R1635" s="81"/>
    </row>
    <row r="1636" spans="7:18" x14ac:dyDescent="0.3">
      <c r="G1636" s="85"/>
      <c r="H1636" s="86"/>
      <c r="I1636" s="86"/>
      <c r="J1636" s="87"/>
      <c r="K1636" s="85"/>
      <c r="L1636" s="85"/>
      <c r="P1636" s="85"/>
      <c r="Q1636" s="85"/>
      <c r="R1636" s="81"/>
    </row>
    <row r="1637" spans="7:18" x14ac:dyDescent="0.3">
      <c r="G1637" s="85"/>
      <c r="H1637" s="86"/>
      <c r="I1637" s="86"/>
      <c r="J1637" s="87"/>
      <c r="K1637" s="85"/>
      <c r="L1637" s="85"/>
      <c r="P1637" s="85"/>
      <c r="Q1637" s="85"/>
      <c r="R1637" s="81"/>
    </row>
    <row r="1638" spans="7:18" x14ac:dyDescent="0.3">
      <c r="G1638" s="85"/>
      <c r="H1638" s="86"/>
      <c r="I1638" s="86"/>
      <c r="J1638" s="87"/>
      <c r="K1638" s="85"/>
      <c r="L1638" s="85"/>
      <c r="P1638" s="85"/>
      <c r="Q1638" s="85"/>
      <c r="R1638" s="81"/>
    </row>
    <row r="1639" spans="7:18" x14ac:dyDescent="0.3">
      <c r="G1639" s="85"/>
      <c r="H1639" s="86"/>
      <c r="I1639" s="86"/>
      <c r="J1639" s="87"/>
      <c r="K1639" s="85"/>
      <c r="L1639" s="85"/>
      <c r="P1639" s="85"/>
      <c r="Q1639" s="85"/>
      <c r="R1639" s="81"/>
    </row>
    <row r="1640" spans="7:18" x14ac:dyDescent="0.3">
      <c r="G1640" s="85"/>
      <c r="H1640" s="86"/>
      <c r="I1640" s="86"/>
      <c r="J1640" s="87"/>
      <c r="K1640" s="85"/>
      <c r="L1640" s="85"/>
      <c r="P1640" s="85"/>
      <c r="Q1640" s="85"/>
      <c r="R1640" s="81"/>
    </row>
    <row r="1641" spans="7:18" x14ac:dyDescent="0.3">
      <c r="G1641" s="85"/>
      <c r="H1641" s="86"/>
      <c r="I1641" s="86"/>
      <c r="J1641" s="87"/>
      <c r="K1641" s="85"/>
      <c r="L1641" s="85"/>
      <c r="P1641" s="85"/>
      <c r="Q1641" s="85"/>
      <c r="R1641" s="81"/>
    </row>
    <row r="1642" spans="7:18" x14ac:dyDescent="0.3">
      <c r="G1642" s="85"/>
      <c r="H1642" s="86"/>
      <c r="I1642" s="86"/>
      <c r="J1642" s="87"/>
      <c r="K1642" s="85"/>
      <c r="L1642" s="85"/>
      <c r="P1642" s="85"/>
      <c r="Q1642" s="85"/>
      <c r="R1642" s="81"/>
    </row>
    <row r="1643" spans="7:18" x14ac:dyDescent="0.3">
      <c r="G1643" s="85"/>
      <c r="H1643" s="86"/>
      <c r="I1643" s="86"/>
      <c r="J1643" s="87"/>
      <c r="K1643" s="85"/>
      <c r="L1643" s="85"/>
      <c r="P1643" s="85"/>
      <c r="Q1643" s="85"/>
      <c r="R1643" s="81"/>
    </row>
    <row r="1644" spans="7:18" x14ac:dyDescent="0.3">
      <c r="G1644" s="85"/>
      <c r="H1644" s="86"/>
      <c r="I1644" s="86"/>
      <c r="J1644" s="87"/>
      <c r="K1644" s="85"/>
      <c r="L1644" s="85"/>
      <c r="P1644" s="85"/>
      <c r="Q1644" s="85"/>
      <c r="R1644" s="81"/>
    </row>
    <row r="1645" spans="7:18" x14ac:dyDescent="0.3">
      <c r="G1645" s="85"/>
      <c r="H1645" s="86"/>
      <c r="I1645" s="86"/>
      <c r="J1645" s="87"/>
      <c r="K1645" s="85"/>
      <c r="L1645" s="85"/>
      <c r="P1645" s="85"/>
      <c r="Q1645" s="85"/>
      <c r="R1645" s="81"/>
    </row>
    <row r="1646" spans="7:18" x14ac:dyDescent="0.3">
      <c r="G1646" s="85"/>
      <c r="H1646" s="86"/>
      <c r="I1646" s="86"/>
      <c r="J1646" s="87"/>
      <c r="K1646" s="85"/>
      <c r="L1646" s="85"/>
      <c r="P1646" s="85"/>
      <c r="Q1646" s="85"/>
      <c r="R1646" s="81"/>
    </row>
    <row r="1647" spans="7:18" x14ac:dyDescent="0.3">
      <c r="G1647" s="85"/>
      <c r="H1647" s="86"/>
      <c r="I1647" s="86"/>
      <c r="J1647" s="87"/>
      <c r="K1647" s="85"/>
      <c r="L1647" s="85"/>
      <c r="P1647" s="85"/>
      <c r="Q1647" s="85"/>
      <c r="R1647" s="81"/>
    </row>
    <row r="1648" spans="7:18" x14ac:dyDescent="0.3">
      <c r="G1648" s="85"/>
      <c r="H1648" s="86"/>
      <c r="I1648" s="86"/>
      <c r="J1648" s="87"/>
      <c r="K1648" s="85"/>
      <c r="L1648" s="85"/>
      <c r="P1648" s="85"/>
      <c r="Q1648" s="85"/>
      <c r="R1648" s="81"/>
    </row>
    <row r="1649" spans="7:18" x14ac:dyDescent="0.3">
      <c r="G1649" s="85"/>
      <c r="H1649" s="86"/>
      <c r="I1649" s="86"/>
      <c r="J1649" s="87"/>
      <c r="K1649" s="85"/>
      <c r="L1649" s="85"/>
      <c r="P1649" s="85"/>
      <c r="Q1649" s="85"/>
      <c r="R1649" s="81"/>
    </row>
    <row r="1650" spans="7:18" x14ac:dyDescent="0.3">
      <c r="G1650" s="85"/>
      <c r="H1650" s="86"/>
      <c r="I1650" s="86"/>
      <c r="J1650" s="87"/>
      <c r="K1650" s="85"/>
      <c r="L1650" s="85"/>
      <c r="P1650" s="85"/>
      <c r="Q1650" s="85"/>
      <c r="R1650" s="81"/>
    </row>
    <row r="1651" spans="7:18" x14ac:dyDescent="0.3">
      <c r="G1651" s="85"/>
      <c r="H1651" s="86"/>
      <c r="I1651" s="86"/>
      <c r="J1651" s="87"/>
      <c r="K1651" s="85"/>
      <c r="L1651" s="85"/>
      <c r="P1651" s="85"/>
      <c r="Q1651" s="85"/>
      <c r="R1651" s="81"/>
    </row>
    <row r="1652" spans="7:18" x14ac:dyDescent="0.3">
      <c r="G1652" s="85"/>
      <c r="H1652" s="86"/>
      <c r="I1652" s="86"/>
      <c r="J1652" s="87"/>
      <c r="K1652" s="85"/>
      <c r="L1652" s="85"/>
      <c r="P1652" s="85"/>
      <c r="Q1652" s="85"/>
      <c r="R1652" s="81"/>
    </row>
    <row r="1653" spans="7:18" x14ac:dyDescent="0.3">
      <c r="G1653" s="85"/>
      <c r="H1653" s="86"/>
      <c r="I1653" s="86"/>
      <c r="J1653" s="87"/>
      <c r="K1653" s="85"/>
      <c r="L1653" s="85"/>
      <c r="P1653" s="85"/>
      <c r="Q1653" s="85"/>
      <c r="R1653" s="81"/>
    </row>
    <row r="1654" spans="7:18" x14ac:dyDescent="0.3">
      <c r="G1654" s="85"/>
      <c r="H1654" s="86"/>
      <c r="I1654" s="86"/>
      <c r="J1654" s="87"/>
      <c r="K1654" s="85"/>
      <c r="L1654" s="85"/>
      <c r="P1654" s="85"/>
      <c r="Q1654" s="85"/>
      <c r="R1654" s="81"/>
    </row>
    <row r="1655" spans="7:18" x14ac:dyDescent="0.3">
      <c r="G1655" s="85"/>
      <c r="H1655" s="86"/>
      <c r="I1655" s="86"/>
      <c r="J1655" s="87"/>
      <c r="K1655" s="85"/>
      <c r="L1655" s="85"/>
      <c r="P1655" s="85"/>
      <c r="Q1655" s="85"/>
      <c r="R1655" s="81"/>
    </row>
    <row r="1656" spans="7:18" x14ac:dyDescent="0.3">
      <c r="G1656" s="85"/>
      <c r="H1656" s="86"/>
      <c r="I1656" s="86"/>
      <c r="J1656" s="87"/>
      <c r="K1656" s="85"/>
      <c r="L1656" s="85"/>
      <c r="P1656" s="85"/>
      <c r="Q1656" s="85"/>
      <c r="R1656" s="81"/>
    </row>
    <row r="1657" spans="7:18" x14ac:dyDescent="0.3">
      <c r="G1657" s="85"/>
      <c r="H1657" s="86"/>
      <c r="I1657" s="86"/>
      <c r="J1657" s="87"/>
      <c r="K1657" s="85"/>
      <c r="L1657" s="85"/>
      <c r="P1657" s="85"/>
      <c r="Q1657" s="85"/>
      <c r="R1657" s="81"/>
    </row>
    <row r="1658" spans="7:18" x14ac:dyDescent="0.3">
      <c r="G1658" s="85"/>
      <c r="H1658" s="86"/>
      <c r="I1658" s="86"/>
      <c r="J1658" s="87"/>
      <c r="K1658" s="85"/>
      <c r="L1658" s="85"/>
      <c r="P1658" s="85"/>
      <c r="Q1658" s="85"/>
      <c r="R1658" s="81"/>
    </row>
    <row r="1659" spans="7:18" x14ac:dyDescent="0.3">
      <c r="G1659" s="85"/>
      <c r="H1659" s="86"/>
      <c r="I1659" s="86"/>
      <c r="J1659" s="87"/>
      <c r="K1659" s="85"/>
      <c r="L1659" s="85"/>
      <c r="P1659" s="85"/>
      <c r="Q1659" s="85"/>
      <c r="R1659" s="81"/>
    </row>
    <row r="1660" spans="7:18" x14ac:dyDescent="0.3">
      <c r="G1660" s="85"/>
      <c r="H1660" s="86"/>
      <c r="I1660" s="86"/>
      <c r="J1660" s="87"/>
      <c r="K1660" s="85"/>
      <c r="L1660" s="85"/>
      <c r="P1660" s="85"/>
      <c r="Q1660" s="85"/>
      <c r="R1660" s="81"/>
    </row>
    <row r="1661" spans="7:18" x14ac:dyDescent="0.3">
      <c r="G1661" s="85"/>
      <c r="H1661" s="86"/>
      <c r="I1661" s="86"/>
      <c r="J1661" s="87"/>
      <c r="K1661" s="85"/>
      <c r="L1661" s="85"/>
      <c r="P1661" s="85"/>
      <c r="Q1661" s="85"/>
      <c r="R1661" s="81"/>
    </row>
    <row r="1662" spans="7:18" x14ac:dyDescent="0.3">
      <c r="G1662" s="85"/>
      <c r="H1662" s="86"/>
      <c r="I1662" s="86"/>
      <c r="J1662" s="87"/>
      <c r="K1662" s="85"/>
      <c r="L1662" s="85"/>
      <c r="P1662" s="85"/>
      <c r="Q1662" s="85"/>
      <c r="R1662" s="81"/>
    </row>
    <row r="1663" spans="7:18" x14ac:dyDescent="0.3">
      <c r="G1663" s="85"/>
      <c r="H1663" s="86"/>
      <c r="I1663" s="86"/>
      <c r="J1663" s="87"/>
      <c r="K1663" s="85"/>
      <c r="L1663" s="85"/>
      <c r="P1663" s="85"/>
      <c r="Q1663" s="85"/>
      <c r="R1663" s="81"/>
    </row>
    <row r="1664" spans="7:18" x14ac:dyDescent="0.3">
      <c r="G1664" s="85"/>
      <c r="H1664" s="86"/>
      <c r="I1664" s="86"/>
      <c r="J1664" s="87"/>
      <c r="K1664" s="85"/>
      <c r="L1664" s="85"/>
      <c r="P1664" s="85"/>
      <c r="Q1664" s="85"/>
      <c r="R1664" s="81"/>
    </row>
    <row r="1665" spans="7:18" x14ac:dyDescent="0.3">
      <c r="G1665" s="85"/>
      <c r="H1665" s="86"/>
      <c r="I1665" s="86"/>
      <c r="J1665" s="87"/>
      <c r="K1665" s="85"/>
      <c r="L1665" s="85"/>
      <c r="P1665" s="85"/>
      <c r="Q1665" s="85"/>
      <c r="R1665" s="81"/>
    </row>
    <row r="1666" spans="7:18" x14ac:dyDescent="0.3">
      <c r="G1666" s="85"/>
      <c r="H1666" s="86"/>
      <c r="I1666" s="86"/>
      <c r="J1666" s="87"/>
      <c r="K1666" s="85"/>
      <c r="L1666" s="85"/>
      <c r="P1666" s="85"/>
      <c r="Q1666" s="85"/>
      <c r="R1666" s="81"/>
    </row>
    <row r="1667" spans="7:18" x14ac:dyDescent="0.3">
      <c r="G1667" s="85"/>
      <c r="H1667" s="86"/>
      <c r="I1667" s="86"/>
      <c r="J1667" s="87"/>
      <c r="K1667" s="85"/>
      <c r="L1667" s="85"/>
      <c r="P1667" s="85"/>
      <c r="Q1667" s="85"/>
      <c r="R1667" s="81"/>
    </row>
    <row r="1668" spans="7:18" x14ac:dyDescent="0.3">
      <c r="G1668" s="85"/>
      <c r="H1668" s="86"/>
      <c r="I1668" s="86"/>
      <c r="J1668" s="87"/>
      <c r="K1668" s="85"/>
      <c r="L1668" s="85"/>
      <c r="P1668" s="85"/>
      <c r="Q1668" s="85"/>
      <c r="R1668" s="81"/>
    </row>
    <row r="1669" spans="7:18" x14ac:dyDescent="0.3">
      <c r="G1669" s="85"/>
      <c r="H1669" s="86"/>
      <c r="I1669" s="86"/>
      <c r="J1669" s="87"/>
      <c r="K1669" s="85"/>
      <c r="L1669" s="85"/>
      <c r="P1669" s="85"/>
      <c r="Q1669" s="85"/>
      <c r="R1669" s="81"/>
    </row>
    <row r="1670" spans="7:18" x14ac:dyDescent="0.3">
      <c r="G1670" s="85"/>
      <c r="H1670" s="86"/>
      <c r="I1670" s="86"/>
      <c r="J1670" s="87"/>
      <c r="K1670" s="85"/>
      <c r="L1670" s="85"/>
      <c r="P1670" s="85"/>
      <c r="Q1670" s="85"/>
      <c r="R1670" s="81"/>
    </row>
    <row r="1671" spans="7:18" x14ac:dyDescent="0.3">
      <c r="G1671" s="85"/>
      <c r="H1671" s="86"/>
      <c r="I1671" s="86"/>
      <c r="J1671" s="87"/>
      <c r="K1671" s="85"/>
      <c r="L1671" s="85"/>
      <c r="P1671" s="85"/>
      <c r="Q1671" s="85"/>
      <c r="R1671" s="81"/>
    </row>
    <row r="1672" spans="7:18" x14ac:dyDescent="0.3">
      <c r="G1672" s="85"/>
      <c r="H1672" s="86"/>
      <c r="I1672" s="86"/>
      <c r="J1672" s="87"/>
      <c r="K1672" s="85"/>
      <c r="L1672" s="85"/>
      <c r="P1672" s="85"/>
      <c r="Q1672" s="85"/>
      <c r="R1672" s="81"/>
    </row>
    <row r="1673" spans="7:18" x14ac:dyDescent="0.3">
      <c r="G1673" s="85"/>
      <c r="H1673" s="86"/>
      <c r="I1673" s="86"/>
      <c r="J1673" s="87"/>
      <c r="K1673" s="85"/>
      <c r="L1673" s="85"/>
      <c r="P1673" s="85"/>
      <c r="Q1673" s="85"/>
      <c r="R1673" s="81"/>
    </row>
    <row r="1674" spans="7:18" x14ac:dyDescent="0.3">
      <c r="G1674" s="85"/>
      <c r="H1674" s="86"/>
      <c r="I1674" s="86"/>
      <c r="J1674" s="87"/>
      <c r="K1674" s="85"/>
      <c r="L1674" s="85"/>
      <c r="P1674" s="85"/>
      <c r="Q1674" s="85"/>
      <c r="R1674" s="81"/>
    </row>
    <row r="1675" spans="7:18" x14ac:dyDescent="0.3">
      <c r="G1675" s="85"/>
      <c r="H1675" s="86"/>
      <c r="I1675" s="86"/>
      <c r="J1675" s="87"/>
      <c r="K1675" s="85"/>
      <c r="L1675" s="85"/>
      <c r="P1675" s="85"/>
      <c r="Q1675" s="85"/>
      <c r="R1675" s="81"/>
    </row>
    <row r="1676" spans="7:18" x14ac:dyDescent="0.3">
      <c r="G1676" s="85"/>
      <c r="H1676" s="86"/>
      <c r="I1676" s="86"/>
      <c r="J1676" s="87"/>
      <c r="K1676" s="85"/>
      <c r="L1676" s="85"/>
      <c r="P1676" s="85"/>
      <c r="Q1676" s="85"/>
      <c r="R1676" s="81"/>
    </row>
    <row r="1677" spans="7:18" x14ac:dyDescent="0.3">
      <c r="G1677" s="85"/>
      <c r="H1677" s="86"/>
      <c r="I1677" s="86"/>
      <c r="J1677" s="87"/>
      <c r="K1677" s="85"/>
      <c r="L1677" s="85"/>
      <c r="P1677" s="85"/>
      <c r="Q1677" s="85"/>
      <c r="R1677" s="81"/>
    </row>
    <row r="1678" spans="7:18" x14ac:dyDescent="0.3">
      <c r="G1678" s="85"/>
      <c r="H1678" s="86"/>
      <c r="I1678" s="86"/>
      <c r="J1678" s="87"/>
      <c r="K1678" s="85"/>
      <c r="L1678" s="85"/>
      <c r="P1678" s="85"/>
      <c r="Q1678" s="85"/>
      <c r="R1678" s="81"/>
    </row>
    <row r="1679" spans="7:18" x14ac:dyDescent="0.3">
      <c r="G1679" s="85"/>
      <c r="H1679" s="86"/>
      <c r="I1679" s="86"/>
      <c r="J1679" s="87"/>
      <c r="K1679" s="85"/>
      <c r="L1679" s="85"/>
      <c r="P1679" s="85"/>
      <c r="Q1679" s="85"/>
      <c r="R1679" s="81"/>
    </row>
    <row r="1680" spans="7:18" x14ac:dyDescent="0.3">
      <c r="G1680" s="85"/>
      <c r="H1680" s="86"/>
      <c r="I1680" s="86"/>
      <c r="J1680" s="87"/>
      <c r="K1680" s="85"/>
      <c r="L1680" s="85"/>
      <c r="P1680" s="85"/>
      <c r="Q1680" s="85"/>
      <c r="R1680" s="81"/>
    </row>
    <row r="1681" spans="7:18" x14ac:dyDescent="0.3">
      <c r="G1681" s="85"/>
      <c r="H1681" s="86"/>
      <c r="I1681" s="86"/>
      <c r="J1681" s="87"/>
      <c r="K1681" s="85"/>
      <c r="L1681" s="85"/>
      <c r="P1681" s="85"/>
      <c r="Q1681" s="85"/>
      <c r="R1681" s="81"/>
    </row>
    <row r="1682" spans="7:18" x14ac:dyDescent="0.3">
      <c r="G1682" s="85"/>
      <c r="H1682" s="86"/>
      <c r="I1682" s="86"/>
      <c r="J1682" s="87"/>
      <c r="K1682" s="85"/>
      <c r="L1682" s="85"/>
      <c r="P1682" s="85"/>
      <c r="Q1682" s="85"/>
      <c r="R1682" s="81"/>
    </row>
    <row r="1683" spans="7:18" x14ac:dyDescent="0.3">
      <c r="G1683" s="85"/>
      <c r="H1683" s="86"/>
      <c r="I1683" s="86"/>
      <c r="J1683" s="87"/>
      <c r="K1683" s="85"/>
      <c r="L1683" s="85"/>
      <c r="P1683" s="85"/>
      <c r="Q1683" s="85"/>
      <c r="R1683" s="81"/>
    </row>
    <row r="1684" spans="7:18" x14ac:dyDescent="0.3">
      <c r="G1684" s="85"/>
      <c r="H1684" s="86"/>
      <c r="I1684" s="86"/>
      <c r="J1684" s="87"/>
      <c r="K1684" s="85"/>
      <c r="L1684" s="85"/>
      <c r="P1684" s="85"/>
      <c r="Q1684" s="85"/>
      <c r="R1684" s="81"/>
    </row>
    <row r="1685" spans="7:18" x14ac:dyDescent="0.3">
      <c r="G1685" s="85"/>
      <c r="H1685" s="86"/>
      <c r="I1685" s="86"/>
      <c r="J1685" s="87"/>
      <c r="K1685" s="85"/>
      <c r="L1685" s="85"/>
      <c r="P1685" s="85"/>
      <c r="Q1685" s="85"/>
      <c r="R1685" s="81"/>
    </row>
    <row r="1686" spans="7:18" x14ac:dyDescent="0.3">
      <c r="G1686" s="85"/>
      <c r="H1686" s="86"/>
      <c r="I1686" s="86"/>
      <c r="J1686" s="87"/>
      <c r="K1686" s="85"/>
      <c r="L1686" s="85"/>
      <c r="P1686" s="85"/>
      <c r="Q1686" s="85"/>
      <c r="R1686" s="81"/>
    </row>
    <row r="1687" spans="7:18" x14ac:dyDescent="0.3">
      <c r="G1687" s="85"/>
      <c r="H1687" s="86"/>
      <c r="I1687" s="86"/>
      <c r="J1687" s="87"/>
      <c r="K1687" s="85"/>
      <c r="L1687" s="85"/>
      <c r="P1687" s="85"/>
      <c r="Q1687" s="85"/>
      <c r="R1687" s="81"/>
    </row>
    <row r="1688" spans="7:18" x14ac:dyDescent="0.3">
      <c r="G1688" s="85"/>
      <c r="H1688" s="86"/>
      <c r="I1688" s="86"/>
      <c r="J1688" s="87"/>
      <c r="K1688" s="85"/>
      <c r="L1688" s="85"/>
      <c r="P1688" s="85"/>
      <c r="Q1688" s="85"/>
      <c r="R1688" s="81"/>
    </row>
    <row r="1689" spans="7:18" x14ac:dyDescent="0.3">
      <c r="G1689" s="85"/>
      <c r="H1689" s="86"/>
      <c r="I1689" s="86"/>
      <c r="J1689" s="87"/>
      <c r="K1689" s="85"/>
      <c r="L1689" s="85"/>
      <c r="P1689" s="85"/>
      <c r="Q1689" s="85"/>
      <c r="R1689" s="81"/>
    </row>
    <row r="1690" spans="7:18" x14ac:dyDescent="0.3">
      <c r="G1690" s="85"/>
      <c r="H1690" s="86"/>
      <c r="I1690" s="86"/>
      <c r="J1690" s="87"/>
      <c r="K1690" s="85"/>
      <c r="L1690" s="85"/>
      <c r="P1690" s="85"/>
      <c r="Q1690" s="85"/>
      <c r="R1690" s="81"/>
    </row>
    <row r="1691" spans="7:18" x14ac:dyDescent="0.3">
      <c r="G1691" s="85"/>
      <c r="H1691" s="86"/>
      <c r="I1691" s="86"/>
      <c r="J1691" s="87"/>
      <c r="K1691" s="85"/>
      <c r="L1691" s="85"/>
      <c r="P1691" s="85"/>
      <c r="Q1691" s="85"/>
      <c r="R1691" s="81"/>
    </row>
    <row r="1692" spans="7:18" x14ac:dyDescent="0.3">
      <c r="G1692" s="85"/>
      <c r="H1692" s="86"/>
      <c r="I1692" s="86"/>
      <c r="J1692" s="87"/>
      <c r="K1692" s="85"/>
      <c r="L1692" s="85"/>
      <c r="P1692" s="85"/>
      <c r="Q1692" s="85"/>
      <c r="R1692" s="81"/>
    </row>
    <row r="1693" spans="7:18" x14ac:dyDescent="0.3">
      <c r="G1693" s="85"/>
      <c r="H1693" s="86"/>
      <c r="I1693" s="86"/>
      <c r="J1693" s="87"/>
      <c r="K1693" s="85"/>
      <c r="L1693" s="85"/>
      <c r="P1693" s="85"/>
      <c r="Q1693" s="85"/>
      <c r="R1693" s="81"/>
    </row>
    <row r="1694" spans="7:18" x14ac:dyDescent="0.3">
      <c r="G1694" s="85"/>
      <c r="H1694" s="86"/>
      <c r="I1694" s="86"/>
      <c r="J1694" s="87"/>
      <c r="K1694" s="85"/>
      <c r="L1694" s="85"/>
      <c r="P1694" s="85"/>
      <c r="Q1694" s="85"/>
      <c r="R1694" s="81"/>
    </row>
    <row r="1695" spans="7:18" x14ac:dyDescent="0.3">
      <c r="G1695" s="85"/>
      <c r="H1695" s="86"/>
      <c r="I1695" s="86"/>
      <c r="J1695" s="87"/>
      <c r="K1695" s="85"/>
      <c r="L1695" s="85"/>
      <c r="P1695" s="85"/>
      <c r="Q1695" s="85"/>
      <c r="R1695" s="81"/>
    </row>
    <row r="1696" spans="7:18" x14ac:dyDescent="0.3">
      <c r="G1696" s="85"/>
      <c r="H1696" s="86"/>
      <c r="I1696" s="86"/>
      <c r="J1696" s="87"/>
      <c r="K1696" s="85"/>
      <c r="L1696" s="85"/>
      <c r="P1696" s="85"/>
      <c r="Q1696" s="85"/>
      <c r="R1696" s="81"/>
    </row>
    <row r="1697" spans="7:18" x14ac:dyDescent="0.3">
      <c r="G1697" s="85"/>
      <c r="H1697" s="86"/>
      <c r="I1697" s="86"/>
      <c r="J1697" s="87"/>
      <c r="K1697" s="85"/>
      <c r="L1697" s="85"/>
      <c r="P1697" s="85"/>
      <c r="Q1697" s="85"/>
      <c r="R1697" s="81"/>
    </row>
    <row r="1698" spans="7:18" x14ac:dyDescent="0.3">
      <c r="G1698" s="85"/>
      <c r="H1698" s="86"/>
      <c r="I1698" s="86"/>
      <c r="J1698" s="87"/>
      <c r="K1698" s="85"/>
      <c r="L1698" s="85"/>
      <c r="P1698" s="85"/>
      <c r="Q1698" s="85"/>
      <c r="R1698" s="81"/>
    </row>
    <row r="1699" spans="7:18" x14ac:dyDescent="0.3">
      <c r="G1699" s="85"/>
      <c r="H1699" s="86"/>
      <c r="I1699" s="86"/>
      <c r="J1699" s="87"/>
      <c r="K1699" s="85"/>
      <c r="L1699" s="85"/>
      <c r="P1699" s="85"/>
      <c r="Q1699" s="85"/>
      <c r="R1699" s="81"/>
    </row>
    <row r="1700" spans="7:18" x14ac:dyDescent="0.3">
      <c r="G1700" s="85"/>
      <c r="H1700" s="86"/>
      <c r="I1700" s="86"/>
      <c r="J1700" s="87"/>
      <c r="K1700" s="85"/>
      <c r="L1700" s="85"/>
      <c r="P1700" s="85"/>
      <c r="Q1700" s="85"/>
      <c r="R1700" s="81"/>
    </row>
    <row r="1701" spans="7:18" x14ac:dyDescent="0.3">
      <c r="G1701" s="85"/>
      <c r="H1701" s="86"/>
      <c r="I1701" s="86"/>
      <c r="J1701" s="87"/>
      <c r="K1701" s="85"/>
      <c r="L1701" s="85"/>
      <c r="P1701" s="85"/>
      <c r="Q1701" s="85"/>
      <c r="R1701" s="81"/>
    </row>
    <row r="1702" spans="7:18" x14ac:dyDescent="0.3">
      <c r="G1702" s="85"/>
      <c r="H1702" s="86"/>
      <c r="I1702" s="86"/>
      <c r="J1702" s="87"/>
      <c r="K1702" s="85"/>
      <c r="L1702" s="85"/>
      <c r="P1702" s="85"/>
      <c r="Q1702" s="85"/>
      <c r="R1702" s="81"/>
    </row>
    <row r="1703" spans="7:18" x14ac:dyDescent="0.3">
      <c r="G1703" s="85"/>
      <c r="H1703" s="86"/>
      <c r="I1703" s="86"/>
      <c r="J1703" s="87"/>
      <c r="K1703" s="85"/>
      <c r="L1703" s="85"/>
      <c r="P1703" s="85"/>
      <c r="Q1703" s="85"/>
      <c r="R1703" s="81"/>
    </row>
    <row r="1704" spans="7:18" x14ac:dyDescent="0.3">
      <c r="G1704" s="85"/>
      <c r="H1704" s="86"/>
      <c r="I1704" s="86"/>
      <c r="J1704" s="87"/>
      <c r="K1704" s="85"/>
      <c r="L1704" s="85"/>
      <c r="P1704" s="85"/>
      <c r="Q1704" s="85"/>
      <c r="R1704" s="81"/>
    </row>
    <row r="1705" spans="7:18" x14ac:dyDescent="0.3">
      <c r="G1705" s="85"/>
      <c r="H1705" s="86"/>
      <c r="I1705" s="86"/>
      <c r="J1705" s="87"/>
      <c r="K1705" s="85"/>
      <c r="L1705" s="85"/>
      <c r="P1705" s="85"/>
      <c r="Q1705" s="85"/>
      <c r="R1705" s="81"/>
    </row>
    <row r="1706" spans="7:18" x14ac:dyDescent="0.3">
      <c r="G1706" s="85"/>
      <c r="H1706" s="86"/>
      <c r="I1706" s="86"/>
      <c r="J1706" s="87"/>
      <c r="K1706" s="85"/>
      <c r="L1706" s="85"/>
      <c r="P1706" s="85"/>
      <c r="Q1706" s="85"/>
      <c r="R1706" s="81"/>
    </row>
    <row r="1707" spans="7:18" x14ac:dyDescent="0.3">
      <c r="G1707" s="85"/>
      <c r="H1707" s="86"/>
      <c r="I1707" s="86"/>
      <c r="J1707" s="87"/>
      <c r="K1707" s="85"/>
      <c r="L1707" s="85"/>
      <c r="P1707" s="85"/>
      <c r="Q1707" s="85"/>
      <c r="R1707" s="81"/>
    </row>
    <row r="1708" spans="7:18" x14ac:dyDescent="0.3">
      <c r="G1708" s="85"/>
      <c r="H1708" s="86"/>
      <c r="I1708" s="86"/>
      <c r="J1708" s="87"/>
      <c r="K1708" s="85"/>
      <c r="L1708" s="85"/>
      <c r="P1708" s="85"/>
      <c r="Q1708" s="85"/>
      <c r="R1708" s="81"/>
    </row>
    <row r="1709" spans="7:18" x14ac:dyDescent="0.3">
      <c r="G1709" s="85"/>
      <c r="H1709" s="86"/>
      <c r="I1709" s="86"/>
      <c r="J1709" s="87"/>
      <c r="K1709" s="85"/>
      <c r="L1709" s="85"/>
      <c r="P1709" s="85"/>
      <c r="Q1709" s="85"/>
      <c r="R1709" s="81"/>
    </row>
    <row r="1710" spans="7:18" x14ac:dyDescent="0.3">
      <c r="G1710" s="85"/>
      <c r="H1710" s="86"/>
      <c r="I1710" s="86"/>
      <c r="J1710" s="87"/>
      <c r="K1710" s="85"/>
      <c r="L1710" s="85"/>
      <c r="P1710" s="85"/>
      <c r="Q1710" s="85"/>
      <c r="R1710" s="81"/>
    </row>
    <row r="1711" spans="7:18" x14ac:dyDescent="0.3">
      <c r="G1711" s="85"/>
      <c r="H1711" s="86"/>
      <c r="I1711" s="86"/>
      <c r="J1711" s="87"/>
      <c r="K1711" s="85"/>
      <c r="L1711" s="85"/>
      <c r="P1711" s="85"/>
      <c r="Q1711" s="85"/>
      <c r="R1711" s="81"/>
    </row>
    <row r="1712" spans="7:18" x14ac:dyDescent="0.3">
      <c r="G1712" s="85"/>
      <c r="H1712" s="86"/>
      <c r="I1712" s="86"/>
      <c r="J1712" s="87"/>
      <c r="K1712" s="85"/>
      <c r="L1712" s="85"/>
      <c r="P1712" s="85"/>
      <c r="Q1712" s="85"/>
      <c r="R1712" s="81"/>
    </row>
    <row r="1713" spans="7:18" x14ac:dyDescent="0.3">
      <c r="G1713" s="85"/>
      <c r="H1713" s="86"/>
      <c r="I1713" s="86"/>
      <c r="J1713" s="87"/>
      <c r="K1713" s="85"/>
      <c r="L1713" s="85"/>
      <c r="P1713" s="85"/>
      <c r="Q1713" s="85"/>
      <c r="R1713" s="81"/>
    </row>
    <row r="1714" spans="7:18" x14ac:dyDescent="0.3">
      <c r="G1714" s="85"/>
      <c r="H1714" s="86"/>
      <c r="I1714" s="86"/>
      <c r="J1714" s="87"/>
      <c r="K1714" s="85"/>
      <c r="L1714" s="85"/>
      <c r="P1714" s="85"/>
      <c r="Q1714" s="85"/>
      <c r="R1714" s="81"/>
    </row>
    <row r="1715" spans="7:18" x14ac:dyDescent="0.3">
      <c r="G1715" s="85"/>
      <c r="H1715" s="86"/>
      <c r="I1715" s="86"/>
      <c r="J1715" s="87"/>
      <c r="K1715" s="85"/>
      <c r="L1715" s="85"/>
      <c r="P1715" s="85"/>
      <c r="Q1715" s="85"/>
      <c r="R1715" s="81"/>
    </row>
    <row r="1716" spans="7:18" x14ac:dyDescent="0.3">
      <c r="G1716" s="85"/>
      <c r="H1716" s="86"/>
      <c r="I1716" s="86"/>
      <c r="J1716" s="87"/>
      <c r="K1716" s="85"/>
      <c r="L1716" s="85"/>
      <c r="P1716" s="85"/>
      <c r="Q1716" s="85"/>
      <c r="R1716" s="81"/>
    </row>
    <row r="1717" spans="7:18" x14ac:dyDescent="0.3">
      <c r="G1717" s="85"/>
      <c r="H1717" s="86"/>
      <c r="I1717" s="86"/>
      <c r="J1717" s="87"/>
      <c r="K1717" s="85"/>
      <c r="L1717" s="85"/>
      <c r="P1717" s="85"/>
      <c r="Q1717" s="85"/>
      <c r="R1717" s="81"/>
    </row>
    <row r="1718" spans="7:18" x14ac:dyDescent="0.3">
      <c r="G1718" s="85"/>
      <c r="H1718" s="86"/>
      <c r="I1718" s="86"/>
      <c r="J1718" s="87"/>
      <c r="K1718" s="85"/>
      <c r="L1718" s="85"/>
      <c r="P1718" s="85"/>
      <c r="Q1718" s="85"/>
      <c r="R1718" s="81"/>
    </row>
    <row r="1719" spans="7:18" x14ac:dyDescent="0.3">
      <c r="G1719" s="85"/>
      <c r="H1719" s="86"/>
      <c r="I1719" s="86"/>
      <c r="J1719" s="87"/>
      <c r="K1719" s="85"/>
      <c r="L1719" s="85"/>
      <c r="P1719" s="85"/>
      <c r="Q1719" s="85"/>
      <c r="R1719" s="81"/>
    </row>
    <row r="1720" spans="7:18" x14ac:dyDescent="0.3">
      <c r="G1720" s="85"/>
      <c r="H1720" s="86"/>
      <c r="I1720" s="86"/>
      <c r="J1720" s="87"/>
      <c r="K1720" s="85"/>
      <c r="L1720" s="85"/>
      <c r="P1720" s="85"/>
      <c r="Q1720" s="85"/>
      <c r="R1720" s="81"/>
    </row>
    <row r="1721" spans="7:18" x14ac:dyDescent="0.3">
      <c r="G1721" s="85"/>
      <c r="H1721" s="86"/>
      <c r="I1721" s="86"/>
      <c r="J1721" s="87"/>
      <c r="K1721" s="85"/>
      <c r="L1721" s="85"/>
      <c r="P1721" s="85"/>
      <c r="Q1721" s="85"/>
      <c r="R1721" s="81"/>
    </row>
    <row r="1722" spans="7:18" x14ac:dyDescent="0.3">
      <c r="G1722" s="85"/>
      <c r="H1722" s="86"/>
      <c r="I1722" s="86"/>
      <c r="J1722" s="87"/>
      <c r="K1722" s="85"/>
      <c r="L1722" s="85"/>
      <c r="P1722" s="85"/>
      <c r="Q1722" s="85"/>
      <c r="R1722" s="81"/>
    </row>
    <row r="1723" spans="7:18" x14ac:dyDescent="0.3">
      <c r="G1723" s="85"/>
      <c r="H1723" s="86"/>
      <c r="I1723" s="86"/>
      <c r="J1723" s="87"/>
      <c r="K1723" s="85"/>
      <c r="L1723" s="85"/>
      <c r="P1723" s="85"/>
      <c r="Q1723" s="85"/>
      <c r="R1723" s="81"/>
    </row>
    <row r="1724" spans="7:18" x14ac:dyDescent="0.3">
      <c r="G1724" s="85"/>
      <c r="H1724" s="86"/>
      <c r="I1724" s="86"/>
      <c r="J1724" s="87"/>
      <c r="K1724" s="85"/>
      <c r="L1724" s="85"/>
      <c r="P1724" s="85"/>
      <c r="Q1724" s="85"/>
      <c r="R1724" s="81"/>
    </row>
    <row r="1725" spans="7:18" x14ac:dyDescent="0.3">
      <c r="G1725" s="85"/>
      <c r="H1725" s="86"/>
      <c r="I1725" s="86"/>
      <c r="J1725" s="87"/>
      <c r="K1725" s="85"/>
      <c r="L1725" s="85"/>
      <c r="P1725" s="85"/>
      <c r="Q1725" s="85"/>
      <c r="R1725" s="81"/>
    </row>
    <row r="1726" spans="7:18" x14ac:dyDescent="0.3">
      <c r="G1726" s="85"/>
      <c r="H1726" s="86"/>
      <c r="I1726" s="86"/>
      <c r="J1726" s="87"/>
      <c r="K1726" s="85"/>
      <c r="L1726" s="85"/>
      <c r="P1726" s="85"/>
      <c r="Q1726" s="85"/>
      <c r="R1726" s="81"/>
    </row>
    <row r="1727" spans="7:18" x14ac:dyDescent="0.3">
      <c r="G1727" s="85"/>
      <c r="H1727" s="86"/>
      <c r="I1727" s="86"/>
      <c r="J1727" s="87"/>
      <c r="K1727" s="85"/>
      <c r="L1727" s="85"/>
      <c r="P1727" s="85"/>
      <c r="Q1727" s="85"/>
      <c r="R1727" s="81"/>
    </row>
    <row r="1728" spans="7:18" x14ac:dyDescent="0.3">
      <c r="G1728" s="85"/>
      <c r="H1728" s="86"/>
      <c r="I1728" s="86"/>
      <c r="J1728" s="87"/>
      <c r="K1728" s="85"/>
      <c r="L1728" s="85"/>
      <c r="P1728" s="85"/>
      <c r="Q1728" s="85"/>
      <c r="R1728" s="81"/>
    </row>
    <row r="1729" spans="7:18" x14ac:dyDescent="0.3">
      <c r="G1729" s="85"/>
      <c r="H1729" s="86"/>
      <c r="I1729" s="86"/>
      <c r="J1729" s="87"/>
      <c r="K1729" s="85"/>
      <c r="L1729" s="85"/>
      <c r="P1729" s="85"/>
      <c r="Q1729" s="85"/>
      <c r="R1729" s="81"/>
    </row>
    <row r="1730" spans="7:18" x14ac:dyDescent="0.3">
      <c r="G1730" s="85"/>
      <c r="H1730" s="86"/>
      <c r="I1730" s="86"/>
      <c r="J1730" s="87"/>
      <c r="K1730" s="85"/>
      <c r="L1730" s="85"/>
      <c r="P1730" s="85"/>
      <c r="Q1730" s="85"/>
      <c r="R1730" s="81"/>
    </row>
    <row r="1731" spans="7:18" x14ac:dyDescent="0.3">
      <c r="G1731" s="85"/>
      <c r="H1731" s="86"/>
      <c r="I1731" s="86"/>
      <c r="J1731" s="87"/>
      <c r="K1731" s="85"/>
      <c r="L1731" s="85"/>
      <c r="P1731" s="85"/>
      <c r="Q1731" s="85"/>
      <c r="R1731" s="81"/>
    </row>
    <row r="1732" spans="7:18" x14ac:dyDescent="0.3">
      <c r="G1732" s="85"/>
      <c r="H1732" s="86"/>
      <c r="I1732" s="86"/>
      <c r="J1732" s="87"/>
      <c r="K1732" s="85"/>
      <c r="L1732" s="85"/>
      <c r="P1732" s="85"/>
      <c r="Q1732" s="85"/>
      <c r="R1732" s="81"/>
    </row>
    <row r="1733" spans="7:18" x14ac:dyDescent="0.3">
      <c r="G1733" s="85"/>
      <c r="H1733" s="86"/>
      <c r="I1733" s="86"/>
      <c r="J1733" s="87"/>
      <c r="K1733" s="85"/>
      <c r="L1733" s="85"/>
      <c r="P1733" s="85"/>
      <c r="Q1733" s="85"/>
      <c r="R1733" s="81"/>
    </row>
    <row r="1734" spans="7:18" x14ac:dyDescent="0.3">
      <c r="G1734" s="85"/>
      <c r="H1734" s="86"/>
      <c r="I1734" s="86"/>
      <c r="J1734" s="87"/>
      <c r="K1734" s="85"/>
      <c r="L1734" s="85"/>
      <c r="P1734" s="85"/>
      <c r="Q1734" s="85"/>
      <c r="R1734" s="81"/>
    </row>
    <row r="1735" spans="7:18" x14ac:dyDescent="0.3">
      <c r="G1735" s="85"/>
      <c r="H1735" s="86"/>
      <c r="I1735" s="86"/>
      <c r="J1735" s="87"/>
      <c r="K1735" s="85"/>
      <c r="L1735" s="85"/>
      <c r="P1735" s="85"/>
      <c r="Q1735" s="85"/>
      <c r="R1735" s="81"/>
    </row>
    <row r="1736" spans="7:18" x14ac:dyDescent="0.3">
      <c r="G1736" s="85"/>
      <c r="H1736" s="86"/>
      <c r="I1736" s="86"/>
      <c r="J1736" s="87"/>
      <c r="K1736" s="85"/>
      <c r="L1736" s="85"/>
      <c r="P1736" s="85"/>
      <c r="Q1736" s="85"/>
      <c r="R1736" s="81"/>
    </row>
    <row r="1737" spans="7:18" x14ac:dyDescent="0.3">
      <c r="G1737" s="85"/>
      <c r="H1737" s="86"/>
      <c r="I1737" s="86"/>
      <c r="J1737" s="87"/>
      <c r="K1737" s="85"/>
      <c r="L1737" s="85"/>
      <c r="P1737" s="85"/>
      <c r="Q1737" s="85"/>
      <c r="R1737" s="81"/>
    </row>
    <row r="1738" spans="7:18" x14ac:dyDescent="0.3">
      <c r="G1738" s="85"/>
      <c r="H1738" s="86"/>
      <c r="I1738" s="86"/>
      <c r="J1738" s="87"/>
      <c r="K1738" s="85"/>
      <c r="L1738" s="85"/>
      <c r="P1738" s="85"/>
      <c r="Q1738" s="85"/>
      <c r="R1738" s="81"/>
    </row>
    <row r="1739" spans="7:18" x14ac:dyDescent="0.3">
      <c r="G1739" s="85"/>
      <c r="H1739" s="86"/>
      <c r="I1739" s="86"/>
      <c r="J1739" s="87"/>
      <c r="K1739" s="85"/>
      <c r="L1739" s="85"/>
      <c r="P1739" s="85"/>
      <c r="Q1739" s="85"/>
      <c r="R1739" s="81"/>
    </row>
    <row r="1740" spans="7:18" x14ac:dyDescent="0.3">
      <c r="G1740" s="85"/>
      <c r="H1740" s="86"/>
      <c r="I1740" s="86"/>
      <c r="J1740" s="87"/>
      <c r="K1740" s="85"/>
      <c r="L1740" s="85"/>
      <c r="P1740" s="85"/>
      <c r="Q1740" s="85"/>
      <c r="R1740" s="81"/>
    </row>
    <row r="1741" spans="7:18" x14ac:dyDescent="0.3">
      <c r="G1741" s="85"/>
      <c r="H1741" s="86"/>
      <c r="I1741" s="86"/>
      <c r="J1741" s="87"/>
      <c r="K1741" s="85"/>
      <c r="L1741" s="85"/>
      <c r="P1741" s="85"/>
      <c r="Q1741" s="85"/>
      <c r="R1741" s="81"/>
    </row>
    <row r="1742" spans="7:18" x14ac:dyDescent="0.3">
      <c r="G1742" s="85"/>
      <c r="H1742" s="86"/>
      <c r="I1742" s="86"/>
      <c r="J1742" s="87"/>
      <c r="K1742" s="85"/>
      <c r="L1742" s="85"/>
      <c r="P1742" s="85"/>
      <c r="Q1742" s="85"/>
      <c r="R1742" s="81"/>
    </row>
    <row r="1743" spans="7:18" x14ac:dyDescent="0.3">
      <c r="G1743" s="85"/>
      <c r="H1743" s="86"/>
      <c r="I1743" s="86"/>
      <c r="J1743" s="87"/>
      <c r="K1743" s="85"/>
      <c r="L1743" s="85"/>
      <c r="P1743" s="85"/>
      <c r="Q1743" s="85"/>
      <c r="R1743" s="81"/>
    </row>
    <row r="1744" spans="7:18" x14ac:dyDescent="0.3">
      <c r="G1744" s="85"/>
      <c r="H1744" s="86"/>
      <c r="I1744" s="86"/>
      <c r="J1744" s="87"/>
      <c r="K1744" s="85"/>
      <c r="L1744" s="85"/>
      <c r="P1744" s="85"/>
      <c r="Q1744" s="85"/>
      <c r="R1744" s="81"/>
    </row>
    <row r="1745" spans="7:18" x14ac:dyDescent="0.3">
      <c r="G1745" s="85"/>
      <c r="H1745" s="86"/>
      <c r="I1745" s="86"/>
      <c r="J1745" s="87"/>
      <c r="K1745" s="85"/>
      <c r="L1745" s="85"/>
      <c r="P1745" s="85"/>
      <c r="Q1745" s="85"/>
      <c r="R1745" s="81"/>
    </row>
    <row r="1746" spans="7:18" x14ac:dyDescent="0.3">
      <c r="G1746" s="85"/>
      <c r="H1746" s="86"/>
      <c r="I1746" s="86"/>
      <c r="J1746" s="87"/>
      <c r="K1746" s="85"/>
      <c r="L1746" s="85"/>
      <c r="P1746" s="85"/>
      <c r="Q1746" s="85"/>
      <c r="R1746" s="81"/>
    </row>
    <row r="1747" spans="7:18" x14ac:dyDescent="0.3">
      <c r="G1747" s="85"/>
      <c r="H1747" s="86"/>
      <c r="I1747" s="86"/>
      <c r="J1747" s="87"/>
      <c r="K1747" s="85"/>
      <c r="L1747" s="85"/>
      <c r="P1747" s="85"/>
      <c r="Q1747" s="85"/>
      <c r="R1747" s="81"/>
    </row>
    <row r="1748" spans="7:18" x14ac:dyDescent="0.3">
      <c r="G1748" s="85"/>
      <c r="H1748" s="86"/>
      <c r="I1748" s="86"/>
      <c r="J1748" s="87"/>
      <c r="K1748" s="85"/>
      <c r="L1748" s="85"/>
      <c r="P1748" s="85"/>
      <c r="Q1748" s="85"/>
      <c r="R1748" s="81"/>
    </row>
    <row r="1749" spans="7:18" x14ac:dyDescent="0.3">
      <c r="G1749" s="85"/>
      <c r="H1749" s="86"/>
      <c r="I1749" s="86"/>
      <c r="J1749" s="87"/>
      <c r="K1749" s="85"/>
      <c r="L1749" s="85"/>
      <c r="P1749" s="85"/>
      <c r="Q1749" s="85"/>
      <c r="R1749" s="81"/>
    </row>
    <row r="1750" spans="7:18" x14ac:dyDescent="0.3">
      <c r="G1750" s="85"/>
      <c r="H1750" s="86"/>
      <c r="I1750" s="86"/>
      <c r="J1750" s="87"/>
      <c r="K1750" s="85"/>
      <c r="L1750" s="85"/>
      <c r="P1750" s="85"/>
      <c r="Q1750" s="85"/>
      <c r="R1750" s="81"/>
    </row>
    <row r="1751" spans="7:18" x14ac:dyDescent="0.3">
      <c r="G1751" s="85"/>
      <c r="H1751" s="86"/>
      <c r="I1751" s="86"/>
      <c r="J1751" s="87"/>
      <c r="K1751" s="85"/>
      <c r="L1751" s="85"/>
      <c r="P1751" s="85"/>
      <c r="Q1751" s="85"/>
      <c r="R1751" s="81"/>
    </row>
    <row r="1752" spans="7:18" x14ac:dyDescent="0.3">
      <c r="G1752" s="85"/>
      <c r="H1752" s="86"/>
      <c r="I1752" s="86"/>
      <c r="J1752" s="87"/>
      <c r="K1752" s="85"/>
      <c r="L1752" s="85"/>
      <c r="P1752" s="85"/>
      <c r="Q1752" s="85"/>
      <c r="R1752" s="81"/>
    </row>
    <row r="1753" spans="7:18" x14ac:dyDescent="0.3">
      <c r="G1753" s="85"/>
      <c r="H1753" s="86"/>
      <c r="I1753" s="86"/>
      <c r="J1753" s="87"/>
      <c r="K1753" s="85"/>
      <c r="L1753" s="85"/>
      <c r="P1753" s="85"/>
      <c r="Q1753" s="85"/>
      <c r="R1753" s="81"/>
    </row>
    <row r="1754" spans="7:18" x14ac:dyDescent="0.3">
      <c r="G1754" s="85"/>
      <c r="H1754" s="86"/>
      <c r="I1754" s="86"/>
      <c r="J1754" s="87"/>
      <c r="K1754" s="85"/>
      <c r="L1754" s="85"/>
      <c r="P1754" s="85"/>
      <c r="Q1754" s="85"/>
      <c r="R1754" s="81"/>
    </row>
    <row r="1755" spans="7:18" x14ac:dyDescent="0.3">
      <c r="G1755" s="85"/>
      <c r="H1755" s="86"/>
      <c r="I1755" s="86"/>
      <c r="J1755" s="87"/>
      <c r="K1755" s="85"/>
      <c r="L1755" s="85"/>
      <c r="P1755" s="85"/>
      <c r="Q1755" s="85"/>
      <c r="R1755" s="81"/>
    </row>
    <row r="1756" spans="7:18" x14ac:dyDescent="0.3">
      <c r="G1756" s="85"/>
      <c r="H1756" s="86"/>
      <c r="I1756" s="86"/>
      <c r="J1756" s="87"/>
      <c r="K1756" s="85"/>
      <c r="L1756" s="85"/>
      <c r="P1756" s="85"/>
      <c r="Q1756" s="85"/>
      <c r="R1756" s="81"/>
    </row>
    <row r="1757" spans="7:18" x14ac:dyDescent="0.3">
      <c r="G1757" s="85"/>
      <c r="H1757" s="86"/>
      <c r="I1757" s="86"/>
      <c r="J1757" s="87"/>
      <c r="K1757" s="85"/>
      <c r="L1757" s="85"/>
      <c r="P1757" s="85"/>
      <c r="Q1757" s="85"/>
      <c r="R1757" s="81"/>
    </row>
    <row r="1758" spans="7:18" x14ac:dyDescent="0.3">
      <c r="G1758" s="85"/>
      <c r="H1758" s="86"/>
      <c r="I1758" s="86"/>
      <c r="J1758" s="87"/>
      <c r="K1758" s="85"/>
      <c r="L1758" s="85"/>
      <c r="P1758" s="85"/>
      <c r="Q1758" s="85"/>
      <c r="R1758" s="81"/>
    </row>
    <row r="1759" spans="7:18" x14ac:dyDescent="0.3">
      <c r="G1759" s="85"/>
      <c r="H1759" s="86"/>
      <c r="I1759" s="86"/>
      <c r="J1759" s="87"/>
      <c r="K1759" s="85"/>
      <c r="L1759" s="85"/>
      <c r="P1759" s="85"/>
      <c r="Q1759" s="85"/>
      <c r="R1759" s="81"/>
    </row>
    <row r="1760" spans="7:18" x14ac:dyDescent="0.3">
      <c r="G1760" s="85"/>
      <c r="H1760" s="86"/>
      <c r="I1760" s="86"/>
      <c r="J1760" s="87"/>
      <c r="K1760" s="85"/>
      <c r="L1760" s="85"/>
      <c r="P1760" s="85"/>
      <c r="Q1760" s="85"/>
      <c r="R1760" s="81"/>
    </row>
    <row r="1761" spans="7:18" x14ac:dyDescent="0.3">
      <c r="G1761" s="85"/>
      <c r="H1761" s="86"/>
      <c r="I1761" s="86"/>
      <c r="J1761" s="87"/>
      <c r="K1761" s="85"/>
      <c r="L1761" s="85"/>
      <c r="P1761" s="85"/>
      <c r="Q1761" s="85"/>
      <c r="R1761" s="81"/>
    </row>
    <row r="1762" spans="7:18" x14ac:dyDescent="0.3">
      <c r="G1762" s="85"/>
      <c r="H1762" s="86"/>
      <c r="I1762" s="86"/>
      <c r="J1762" s="87"/>
      <c r="K1762" s="85"/>
      <c r="L1762" s="85"/>
      <c r="P1762" s="85"/>
      <c r="Q1762" s="85"/>
      <c r="R1762" s="81"/>
    </row>
    <row r="1763" spans="7:18" x14ac:dyDescent="0.3">
      <c r="G1763" s="85"/>
      <c r="H1763" s="86"/>
      <c r="I1763" s="86"/>
      <c r="J1763" s="87"/>
      <c r="K1763" s="85"/>
      <c r="L1763" s="85"/>
      <c r="P1763" s="85"/>
      <c r="Q1763" s="85"/>
      <c r="R1763" s="81"/>
    </row>
    <row r="1764" spans="7:18" x14ac:dyDescent="0.3">
      <c r="G1764" s="85"/>
      <c r="H1764" s="86"/>
      <c r="I1764" s="86"/>
      <c r="J1764" s="87"/>
      <c r="K1764" s="85"/>
      <c r="L1764" s="85"/>
      <c r="P1764" s="85"/>
      <c r="Q1764" s="85"/>
      <c r="R1764" s="81"/>
    </row>
    <row r="1765" spans="7:18" x14ac:dyDescent="0.3">
      <c r="G1765" s="85"/>
      <c r="H1765" s="86"/>
      <c r="I1765" s="86"/>
      <c r="J1765" s="87"/>
      <c r="K1765" s="85"/>
      <c r="L1765" s="85"/>
      <c r="P1765" s="85"/>
      <c r="Q1765" s="85"/>
      <c r="R1765" s="81"/>
    </row>
    <row r="1766" spans="7:18" x14ac:dyDescent="0.3">
      <c r="G1766" s="85"/>
      <c r="H1766" s="86"/>
      <c r="I1766" s="86"/>
      <c r="J1766" s="87"/>
      <c r="K1766" s="85"/>
      <c r="L1766" s="85"/>
      <c r="P1766" s="85"/>
      <c r="Q1766" s="85"/>
      <c r="R1766" s="81"/>
    </row>
    <row r="1767" spans="7:18" x14ac:dyDescent="0.3">
      <c r="G1767" s="85"/>
      <c r="H1767" s="86"/>
      <c r="I1767" s="86"/>
      <c r="J1767" s="87"/>
      <c r="K1767" s="85"/>
      <c r="L1767" s="85"/>
      <c r="P1767" s="85"/>
      <c r="Q1767" s="85"/>
      <c r="R1767" s="81"/>
    </row>
    <row r="1768" spans="7:18" x14ac:dyDescent="0.3">
      <c r="G1768" s="85"/>
      <c r="H1768" s="86"/>
      <c r="I1768" s="86"/>
      <c r="J1768" s="87"/>
      <c r="K1768" s="85"/>
      <c r="L1768" s="85"/>
      <c r="P1768" s="85"/>
      <c r="Q1768" s="85"/>
      <c r="R1768" s="81"/>
    </row>
    <row r="1769" spans="7:18" x14ac:dyDescent="0.3">
      <c r="G1769" s="85"/>
      <c r="H1769" s="86"/>
      <c r="I1769" s="86"/>
      <c r="J1769" s="87"/>
      <c r="K1769" s="85"/>
      <c r="L1769" s="85"/>
      <c r="P1769" s="85"/>
      <c r="Q1769" s="85"/>
      <c r="R1769" s="81"/>
    </row>
    <row r="1770" spans="7:18" x14ac:dyDescent="0.3">
      <c r="G1770" s="85"/>
      <c r="H1770" s="86"/>
      <c r="I1770" s="86"/>
      <c r="J1770" s="87"/>
      <c r="K1770" s="85"/>
      <c r="L1770" s="85"/>
      <c r="P1770" s="85"/>
      <c r="Q1770" s="85"/>
      <c r="R1770" s="81"/>
    </row>
    <row r="1771" spans="7:18" x14ac:dyDescent="0.3">
      <c r="G1771" s="85"/>
      <c r="H1771" s="86"/>
      <c r="I1771" s="86"/>
      <c r="J1771" s="87"/>
      <c r="K1771" s="85"/>
      <c r="L1771" s="85"/>
      <c r="P1771" s="85"/>
      <c r="Q1771" s="85"/>
      <c r="R1771" s="81"/>
    </row>
    <row r="1772" spans="7:18" x14ac:dyDescent="0.3">
      <c r="G1772" s="85"/>
      <c r="H1772" s="86"/>
      <c r="I1772" s="86"/>
      <c r="J1772" s="87"/>
      <c r="K1772" s="85"/>
      <c r="L1772" s="85"/>
      <c r="P1772" s="85"/>
      <c r="Q1772" s="85"/>
      <c r="R1772" s="81"/>
    </row>
    <row r="1773" spans="7:18" x14ac:dyDescent="0.3">
      <c r="G1773" s="85"/>
      <c r="H1773" s="86"/>
      <c r="I1773" s="86"/>
      <c r="J1773" s="87"/>
      <c r="K1773" s="85"/>
      <c r="L1773" s="85"/>
      <c r="P1773" s="85"/>
      <c r="Q1773" s="85"/>
      <c r="R1773" s="81"/>
    </row>
    <row r="1774" spans="7:18" x14ac:dyDescent="0.3">
      <c r="G1774" s="85"/>
      <c r="H1774" s="86"/>
      <c r="I1774" s="86"/>
      <c r="J1774" s="87"/>
      <c r="K1774" s="85"/>
      <c r="L1774" s="85"/>
      <c r="P1774" s="85"/>
      <c r="Q1774" s="85"/>
      <c r="R1774" s="81"/>
    </row>
    <row r="1775" spans="7:18" x14ac:dyDescent="0.3">
      <c r="G1775" s="85"/>
      <c r="H1775" s="86"/>
      <c r="I1775" s="86"/>
      <c r="J1775" s="87"/>
      <c r="K1775" s="85"/>
      <c r="L1775" s="85"/>
      <c r="P1775" s="85"/>
      <c r="Q1775" s="85"/>
      <c r="R1775" s="81"/>
    </row>
    <row r="1776" spans="7:18" x14ac:dyDescent="0.3">
      <c r="G1776" s="85"/>
      <c r="H1776" s="86"/>
      <c r="I1776" s="86"/>
      <c r="J1776" s="87"/>
      <c r="K1776" s="85"/>
      <c r="L1776" s="85"/>
      <c r="P1776" s="85"/>
      <c r="Q1776" s="85"/>
      <c r="R1776" s="81"/>
    </row>
    <row r="1777" spans="7:18" x14ac:dyDescent="0.3">
      <c r="G1777" s="85"/>
      <c r="H1777" s="86"/>
      <c r="I1777" s="86"/>
      <c r="J1777" s="87"/>
      <c r="K1777" s="85"/>
      <c r="L1777" s="85"/>
      <c r="P1777" s="85"/>
      <c r="Q1777" s="85"/>
      <c r="R1777" s="81"/>
    </row>
    <row r="1778" spans="7:18" x14ac:dyDescent="0.3">
      <c r="G1778" s="85"/>
      <c r="H1778" s="86"/>
      <c r="I1778" s="86"/>
      <c r="J1778" s="87"/>
      <c r="K1778" s="85"/>
      <c r="L1778" s="85"/>
      <c r="P1778" s="85"/>
      <c r="Q1778" s="85"/>
      <c r="R1778" s="81"/>
    </row>
    <row r="1779" spans="7:18" x14ac:dyDescent="0.3">
      <c r="G1779" s="85"/>
      <c r="H1779" s="86"/>
      <c r="I1779" s="86"/>
      <c r="J1779" s="87"/>
      <c r="K1779" s="85"/>
      <c r="L1779" s="85"/>
      <c r="P1779" s="85"/>
      <c r="Q1779" s="85"/>
      <c r="R1779" s="81"/>
    </row>
    <row r="1780" spans="7:18" x14ac:dyDescent="0.3">
      <c r="G1780" s="85"/>
      <c r="H1780" s="86"/>
      <c r="I1780" s="86"/>
      <c r="J1780" s="87"/>
      <c r="K1780" s="85"/>
      <c r="L1780" s="85"/>
      <c r="P1780" s="85"/>
      <c r="Q1780" s="85"/>
      <c r="R1780" s="81"/>
    </row>
    <row r="1781" spans="7:18" x14ac:dyDescent="0.3">
      <c r="G1781" s="85"/>
      <c r="H1781" s="86"/>
      <c r="I1781" s="86"/>
      <c r="J1781" s="87"/>
      <c r="K1781" s="85"/>
      <c r="L1781" s="85"/>
      <c r="P1781" s="85"/>
      <c r="Q1781" s="85"/>
      <c r="R1781" s="81"/>
    </row>
    <row r="1782" spans="7:18" x14ac:dyDescent="0.3">
      <c r="G1782" s="85"/>
      <c r="H1782" s="86"/>
      <c r="I1782" s="86"/>
      <c r="J1782" s="87"/>
      <c r="K1782" s="85"/>
      <c r="L1782" s="85"/>
      <c r="P1782" s="85"/>
      <c r="Q1782" s="85"/>
      <c r="R1782" s="81"/>
    </row>
    <row r="1783" spans="7:18" x14ac:dyDescent="0.3">
      <c r="G1783" s="85"/>
      <c r="H1783" s="86"/>
      <c r="I1783" s="86"/>
      <c r="J1783" s="87"/>
      <c r="K1783" s="85"/>
      <c r="L1783" s="85"/>
      <c r="P1783" s="85"/>
      <c r="Q1783" s="85"/>
      <c r="R1783" s="81"/>
    </row>
    <row r="1784" spans="7:18" x14ac:dyDescent="0.3">
      <c r="G1784" s="85"/>
      <c r="H1784" s="86"/>
      <c r="I1784" s="86"/>
      <c r="J1784" s="87"/>
      <c r="K1784" s="85"/>
      <c r="L1784" s="85"/>
      <c r="P1784" s="85"/>
      <c r="Q1784" s="85"/>
      <c r="R1784" s="81"/>
    </row>
    <row r="1785" spans="7:18" x14ac:dyDescent="0.3">
      <c r="G1785" s="85"/>
      <c r="H1785" s="86"/>
      <c r="I1785" s="86"/>
      <c r="J1785" s="87"/>
      <c r="K1785" s="85"/>
      <c r="L1785" s="85"/>
      <c r="P1785" s="85"/>
      <c r="Q1785" s="85"/>
      <c r="R1785" s="81"/>
    </row>
    <row r="1786" spans="7:18" x14ac:dyDescent="0.3">
      <c r="G1786" s="85"/>
      <c r="H1786" s="86"/>
      <c r="I1786" s="86"/>
      <c r="J1786" s="87"/>
      <c r="K1786" s="85"/>
      <c r="L1786" s="85"/>
      <c r="P1786" s="85"/>
      <c r="Q1786" s="85"/>
      <c r="R1786" s="81"/>
    </row>
    <row r="1787" spans="7:18" x14ac:dyDescent="0.3">
      <c r="G1787" s="85"/>
      <c r="H1787" s="86"/>
      <c r="I1787" s="86"/>
      <c r="J1787" s="87"/>
      <c r="K1787" s="85"/>
      <c r="L1787" s="85"/>
      <c r="P1787" s="85"/>
      <c r="Q1787" s="85"/>
      <c r="R1787" s="81"/>
    </row>
    <row r="1788" spans="7:18" x14ac:dyDescent="0.3">
      <c r="G1788" s="85"/>
      <c r="H1788" s="86"/>
      <c r="I1788" s="86"/>
      <c r="J1788" s="87"/>
      <c r="K1788" s="85"/>
      <c r="L1788" s="85"/>
      <c r="P1788" s="85"/>
      <c r="Q1788" s="85"/>
      <c r="R1788" s="81"/>
    </row>
    <row r="1789" spans="7:18" x14ac:dyDescent="0.3">
      <c r="G1789" s="85"/>
      <c r="H1789" s="86"/>
      <c r="I1789" s="86"/>
      <c r="J1789" s="87"/>
      <c r="K1789" s="85"/>
      <c r="L1789" s="85"/>
      <c r="P1789" s="85"/>
      <c r="Q1789" s="85"/>
      <c r="R1789" s="81"/>
    </row>
    <row r="1790" spans="7:18" x14ac:dyDescent="0.3">
      <c r="G1790" s="85"/>
      <c r="H1790" s="86"/>
      <c r="I1790" s="86"/>
      <c r="J1790" s="87"/>
      <c r="K1790" s="85"/>
      <c r="L1790" s="85"/>
      <c r="P1790" s="85"/>
      <c r="Q1790" s="85"/>
      <c r="R1790" s="81"/>
    </row>
    <row r="1791" spans="7:18" x14ac:dyDescent="0.3">
      <c r="G1791" s="85"/>
      <c r="H1791" s="86"/>
      <c r="I1791" s="86"/>
      <c r="J1791" s="87"/>
      <c r="K1791" s="85"/>
      <c r="L1791" s="85"/>
      <c r="P1791" s="85"/>
      <c r="Q1791" s="85"/>
      <c r="R1791" s="81"/>
    </row>
    <row r="1792" spans="7:18" x14ac:dyDescent="0.3">
      <c r="G1792" s="85"/>
      <c r="H1792" s="86"/>
      <c r="I1792" s="86"/>
      <c r="J1792" s="87"/>
      <c r="K1792" s="85"/>
      <c r="L1792" s="85"/>
      <c r="P1792" s="85"/>
      <c r="Q1792" s="85"/>
      <c r="R1792" s="81"/>
    </row>
    <row r="1793" spans="7:18" x14ac:dyDescent="0.3">
      <c r="G1793" s="85"/>
      <c r="H1793" s="86"/>
      <c r="I1793" s="86"/>
      <c r="J1793" s="87"/>
      <c r="K1793" s="85"/>
      <c r="L1793" s="85"/>
      <c r="P1793" s="85"/>
      <c r="Q1793" s="85"/>
      <c r="R1793" s="81"/>
    </row>
    <row r="1794" spans="7:18" x14ac:dyDescent="0.3">
      <c r="G1794" s="85"/>
      <c r="H1794" s="86"/>
      <c r="I1794" s="86"/>
      <c r="J1794" s="87"/>
      <c r="K1794" s="85"/>
      <c r="L1794" s="85"/>
      <c r="P1794" s="85"/>
      <c r="Q1794" s="85"/>
      <c r="R1794" s="81"/>
    </row>
    <row r="1795" spans="7:18" x14ac:dyDescent="0.3">
      <c r="G1795" s="85"/>
      <c r="H1795" s="86"/>
      <c r="I1795" s="86"/>
      <c r="J1795" s="87"/>
      <c r="K1795" s="85"/>
      <c r="L1795" s="85"/>
      <c r="P1795" s="85"/>
      <c r="Q1795" s="85"/>
      <c r="R1795" s="81"/>
    </row>
    <row r="1796" spans="7:18" x14ac:dyDescent="0.3">
      <c r="G1796" s="85"/>
      <c r="H1796" s="86"/>
      <c r="I1796" s="86"/>
      <c r="J1796" s="87"/>
      <c r="K1796" s="85"/>
      <c r="L1796" s="85"/>
      <c r="P1796" s="85"/>
      <c r="Q1796" s="85"/>
      <c r="R1796" s="81"/>
    </row>
    <row r="1797" spans="7:18" x14ac:dyDescent="0.3">
      <c r="G1797" s="85"/>
      <c r="H1797" s="86"/>
      <c r="I1797" s="86"/>
      <c r="J1797" s="87"/>
      <c r="K1797" s="85"/>
      <c r="L1797" s="85"/>
      <c r="P1797" s="85"/>
      <c r="Q1797" s="85"/>
      <c r="R1797" s="81"/>
    </row>
    <row r="1798" spans="7:18" x14ac:dyDescent="0.3">
      <c r="G1798" s="85"/>
      <c r="H1798" s="86"/>
      <c r="I1798" s="86"/>
      <c r="J1798" s="87"/>
      <c r="K1798" s="85"/>
      <c r="L1798" s="85"/>
      <c r="P1798" s="85"/>
      <c r="Q1798" s="85"/>
      <c r="R1798" s="81"/>
    </row>
    <row r="1799" spans="7:18" x14ac:dyDescent="0.3">
      <c r="G1799" s="85"/>
      <c r="H1799" s="86"/>
      <c r="I1799" s="86"/>
      <c r="J1799" s="87"/>
      <c r="K1799" s="85"/>
      <c r="L1799" s="85"/>
      <c r="P1799" s="85"/>
      <c r="Q1799" s="85"/>
      <c r="R1799" s="81"/>
    </row>
    <row r="1800" spans="7:18" x14ac:dyDescent="0.3">
      <c r="G1800" s="85"/>
      <c r="H1800" s="86"/>
      <c r="I1800" s="86"/>
      <c r="J1800" s="87"/>
      <c r="K1800" s="85"/>
      <c r="L1800" s="85"/>
      <c r="P1800" s="85"/>
      <c r="Q1800" s="85"/>
      <c r="R1800" s="81"/>
    </row>
    <row r="1801" spans="7:18" x14ac:dyDescent="0.3">
      <c r="G1801" s="85"/>
      <c r="H1801" s="86"/>
      <c r="I1801" s="86"/>
      <c r="J1801" s="87"/>
      <c r="K1801" s="85"/>
      <c r="L1801" s="85"/>
      <c r="P1801" s="85"/>
      <c r="Q1801" s="85"/>
      <c r="R1801" s="81"/>
    </row>
    <row r="1802" spans="7:18" x14ac:dyDescent="0.3">
      <c r="G1802" s="85"/>
      <c r="H1802" s="86"/>
      <c r="I1802" s="86"/>
      <c r="J1802" s="87"/>
      <c r="K1802" s="85"/>
      <c r="L1802" s="85"/>
      <c r="P1802" s="85"/>
      <c r="Q1802" s="85"/>
      <c r="R1802" s="81"/>
    </row>
    <row r="1803" spans="7:18" x14ac:dyDescent="0.3">
      <c r="G1803" s="85"/>
      <c r="H1803" s="86"/>
      <c r="I1803" s="86"/>
      <c r="J1803" s="87"/>
      <c r="K1803" s="85"/>
      <c r="L1803" s="85"/>
      <c r="P1803" s="85"/>
      <c r="Q1803" s="85"/>
      <c r="R1803" s="81"/>
    </row>
    <row r="1804" spans="7:18" x14ac:dyDescent="0.3">
      <c r="G1804" s="85"/>
      <c r="H1804" s="86"/>
      <c r="I1804" s="86"/>
      <c r="J1804" s="87"/>
      <c r="K1804" s="85"/>
      <c r="L1804" s="85"/>
      <c r="P1804" s="85"/>
      <c r="Q1804" s="85"/>
      <c r="R1804" s="81"/>
    </row>
    <row r="1805" spans="7:18" x14ac:dyDescent="0.3">
      <c r="G1805" s="85"/>
      <c r="H1805" s="86"/>
      <c r="I1805" s="86"/>
      <c r="J1805" s="87"/>
      <c r="K1805" s="85"/>
      <c r="L1805" s="85"/>
      <c r="P1805" s="85"/>
      <c r="Q1805" s="85"/>
      <c r="R1805" s="81"/>
    </row>
    <row r="1806" spans="7:18" x14ac:dyDescent="0.3">
      <c r="G1806" s="85"/>
      <c r="H1806" s="86"/>
      <c r="I1806" s="86"/>
      <c r="J1806" s="87"/>
      <c r="K1806" s="85"/>
      <c r="L1806" s="85"/>
      <c r="P1806" s="85"/>
      <c r="Q1806" s="85"/>
      <c r="R1806" s="81"/>
    </row>
    <row r="1807" spans="7:18" x14ac:dyDescent="0.3">
      <c r="G1807" s="85"/>
      <c r="H1807" s="86"/>
      <c r="I1807" s="86"/>
      <c r="J1807" s="87"/>
      <c r="K1807" s="85"/>
      <c r="L1807" s="85"/>
      <c r="P1807" s="85"/>
      <c r="Q1807" s="85"/>
      <c r="R1807" s="81"/>
    </row>
    <row r="1808" spans="7:18" x14ac:dyDescent="0.3">
      <c r="G1808" s="85"/>
      <c r="H1808" s="86"/>
      <c r="I1808" s="86"/>
      <c r="J1808" s="87"/>
      <c r="K1808" s="85"/>
      <c r="L1808" s="85"/>
      <c r="P1808" s="85"/>
      <c r="Q1808" s="85"/>
      <c r="R1808" s="81"/>
    </row>
    <row r="1809" spans="7:18" x14ac:dyDescent="0.3">
      <c r="G1809" s="85"/>
      <c r="H1809" s="86"/>
      <c r="I1809" s="86"/>
      <c r="J1809" s="87"/>
      <c r="K1809" s="85"/>
      <c r="L1809" s="85"/>
      <c r="P1809" s="85"/>
      <c r="Q1809" s="85"/>
      <c r="R1809" s="81"/>
    </row>
    <row r="1810" spans="7:18" x14ac:dyDescent="0.3">
      <c r="G1810" s="85"/>
      <c r="H1810" s="86"/>
      <c r="I1810" s="86"/>
      <c r="J1810" s="87"/>
      <c r="K1810" s="85"/>
      <c r="L1810" s="85"/>
      <c r="P1810" s="85"/>
      <c r="Q1810" s="85"/>
      <c r="R1810" s="81"/>
    </row>
    <row r="1811" spans="7:18" x14ac:dyDescent="0.3">
      <c r="G1811" s="85"/>
      <c r="H1811" s="86"/>
      <c r="I1811" s="86"/>
      <c r="J1811" s="87"/>
      <c r="K1811" s="85"/>
      <c r="L1811" s="85"/>
      <c r="P1811" s="85"/>
      <c r="Q1811" s="85"/>
      <c r="R1811" s="81"/>
    </row>
    <row r="1812" spans="7:18" x14ac:dyDescent="0.3">
      <c r="G1812" s="85"/>
      <c r="H1812" s="86"/>
      <c r="I1812" s="86"/>
      <c r="J1812" s="87"/>
      <c r="K1812" s="85"/>
      <c r="L1812" s="85"/>
      <c r="P1812" s="85"/>
      <c r="Q1812" s="85"/>
      <c r="R1812" s="81"/>
    </row>
    <row r="1813" spans="7:18" x14ac:dyDescent="0.3">
      <c r="G1813" s="85"/>
      <c r="H1813" s="86"/>
      <c r="I1813" s="86"/>
      <c r="J1813" s="87"/>
      <c r="K1813" s="85"/>
      <c r="L1813" s="85"/>
      <c r="P1813" s="85"/>
      <c r="Q1813" s="85"/>
      <c r="R1813" s="81"/>
    </row>
    <row r="1814" spans="7:18" x14ac:dyDescent="0.3">
      <c r="G1814" s="85"/>
      <c r="H1814" s="86"/>
      <c r="I1814" s="86"/>
      <c r="J1814" s="87"/>
      <c r="K1814" s="85"/>
      <c r="L1814" s="85"/>
      <c r="P1814" s="85"/>
      <c r="Q1814" s="85"/>
      <c r="R1814" s="81"/>
    </row>
    <row r="1815" spans="7:18" x14ac:dyDescent="0.3">
      <c r="G1815" s="85"/>
      <c r="H1815" s="86"/>
      <c r="I1815" s="86"/>
      <c r="J1815" s="87"/>
      <c r="K1815" s="85"/>
      <c r="L1815" s="85"/>
      <c r="P1815" s="85"/>
      <c r="Q1815" s="85"/>
      <c r="R1815" s="81"/>
    </row>
    <row r="1816" spans="7:18" x14ac:dyDescent="0.3">
      <c r="G1816" s="85"/>
      <c r="H1816" s="86"/>
      <c r="I1816" s="86"/>
      <c r="J1816" s="87"/>
      <c r="K1816" s="85"/>
      <c r="L1816" s="85"/>
      <c r="P1816" s="85"/>
      <c r="Q1816" s="85"/>
      <c r="R1816" s="81"/>
    </row>
    <row r="1817" spans="7:18" x14ac:dyDescent="0.3">
      <c r="G1817" s="85"/>
      <c r="H1817" s="86"/>
      <c r="I1817" s="86"/>
      <c r="J1817" s="87"/>
      <c r="K1817" s="85"/>
      <c r="L1817" s="85"/>
      <c r="P1817" s="85"/>
      <c r="Q1817" s="85"/>
      <c r="R1817" s="81"/>
    </row>
    <row r="1818" spans="7:18" x14ac:dyDescent="0.3">
      <c r="G1818" s="85"/>
      <c r="H1818" s="86"/>
      <c r="I1818" s="86"/>
      <c r="J1818" s="87"/>
      <c r="K1818" s="85"/>
      <c r="L1818" s="85"/>
      <c r="P1818" s="85"/>
      <c r="Q1818" s="85"/>
      <c r="R1818" s="81"/>
    </row>
    <row r="1819" spans="7:18" x14ac:dyDescent="0.3">
      <c r="G1819" s="85"/>
      <c r="H1819" s="86"/>
      <c r="I1819" s="86"/>
      <c r="J1819" s="87"/>
      <c r="K1819" s="85"/>
      <c r="L1819" s="85"/>
      <c r="P1819" s="85"/>
      <c r="Q1819" s="85"/>
      <c r="R1819" s="81"/>
    </row>
    <row r="1820" spans="7:18" x14ac:dyDescent="0.3">
      <c r="G1820" s="85"/>
      <c r="H1820" s="86"/>
      <c r="I1820" s="86"/>
      <c r="J1820" s="87"/>
      <c r="K1820" s="85"/>
      <c r="L1820" s="85"/>
      <c r="P1820" s="85"/>
      <c r="Q1820" s="85"/>
      <c r="R1820" s="81"/>
    </row>
    <row r="1821" spans="7:18" x14ac:dyDescent="0.3">
      <c r="G1821" s="85"/>
      <c r="H1821" s="86"/>
      <c r="I1821" s="86"/>
      <c r="J1821" s="87"/>
      <c r="K1821" s="85"/>
      <c r="L1821" s="85"/>
      <c r="P1821" s="85"/>
      <c r="Q1821" s="85"/>
      <c r="R1821" s="81"/>
    </row>
    <row r="1822" spans="7:18" x14ac:dyDescent="0.3">
      <c r="G1822" s="85"/>
      <c r="H1822" s="86"/>
      <c r="I1822" s="86"/>
      <c r="J1822" s="87"/>
      <c r="K1822" s="85"/>
      <c r="L1822" s="85"/>
      <c r="P1822" s="85"/>
      <c r="Q1822" s="85"/>
      <c r="R1822" s="81"/>
    </row>
    <row r="1823" spans="7:18" x14ac:dyDescent="0.3">
      <c r="G1823" s="85"/>
      <c r="H1823" s="86"/>
      <c r="I1823" s="86"/>
      <c r="J1823" s="87"/>
      <c r="K1823" s="85"/>
      <c r="L1823" s="85"/>
      <c r="P1823" s="85"/>
      <c r="Q1823" s="85"/>
      <c r="R1823" s="81"/>
    </row>
    <row r="1824" spans="7:18" x14ac:dyDescent="0.3">
      <c r="G1824" s="85"/>
      <c r="H1824" s="86"/>
      <c r="I1824" s="86"/>
      <c r="J1824" s="87"/>
      <c r="K1824" s="85"/>
      <c r="L1824" s="85"/>
      <c r="P1824" s="85"/>
      <c r="Q1824" s="85"/>
      <c r="R1824" s="81"/>
    </row>
    <row r="1825" spans="7:18" x14ac:dyDescent="0.3">
      <c r="G1825" s="85"/>
      <c r="H1825" s="86"/>
      <c r="I1825" s="86"/>
      <c r="J1825" s="87"/>
      <c r="K1825" s="85"/>
      <c r="L1825" s="85"/>
      <c r="P1825" s="85"/>
      <c r="Q1825" s="85"/>
      <c r="R1825" s="81"/>
    </row>
    <row r="1826" spans="7:18" x14ac:dyDescent="0.3">
      <c r="G1826" s="85"/>
      <c r="H1826" s="86"/>
      <c r="I1826" s="86"/>
      <c r="J1826" s="87"/>
      <c r="K1826" s="85"/>
      <c r="L1826" s="85"/>
      <c r="P1826" s="85"/>
      <c r="Q1826" s="85"/>
      <c r="R1826" s="81"/>
    </row>
    <row r="1827" spans="7:18" x14ac:dyDescent="0.3">
      <c r="G1827" s="85"/>
      <c r="H1827" s="86"/>
      <c r="I1827" s="86"/>
      <c r="J1827" s="87"/>
      <c r="K1827" s="85"/>
      <c r="L1827" s="85"/>
      <c r="P1827" s="85"/>
      <c r="Q1827" s="85"/>
      <c r="R1827" s="81"/>
    </row>
    <row r="1828" spans="7:18" x14ac:dyDescent="0.3">
      <c r="G1828" s="85"/>
      <c r="H1828" s="86"/>
      <c r="I1828" s="86"/>
      <c r="J1828" s="87"/>
      <c r="K1828" s="85"/>
      <c r="L1828" s="85"/>
      <c r="P1828" s="85"/>
      <c r="Q1828" s="85"/>
      <c r="R1828" s="81"/>
    </row>
    <row r="1829" spans="7:18" x14ac:dyDescent="0.3">
      <c r="G1829" s="85"/>
      <c r="H1829" s="86"/>
      <c r="I1829" s="86"/>
      <c r="J1829" s="87"/>
      <c r="K1829" s="85"/>
      <c r="L1829" s="85"/>
      <c r="P1829" s="85"/>
      <c r="Q1829" s="85"/>
      <c r="R1829" s="81"/>
    </row>
    <row r="1830" spans="7:18" x14ac:dyDescent="0.3">
      <c r="G1830" s="85"/>
      <c r="H1830" s="86"/>
      <c r="I1830" s="86"/>
      <c r="J1830" s="87"/>
      <c r="K1830" s="85"/>
      <c r="L1830" s="85"/>
      <c r="P1830" s="85"/>
      <c r="Q1830" s="85"/>
      <c r="R1830" s="81"/>
    </row>
    <row r="1831" spans="7:18" x14ac:dyDescent="0.3">
      <c r="G1831" s="85"/>
      <c r="H1831" s="86"/>
      <c r="I1831" s="86"/>
      <c r="J1831" s="87"/>
      <c r="K1831" s="85"/>
      <c r="L1831" s="85"/>
      <c r="P1831" s="85"/>
      <c r="Q1831" s="85"/>
      <c r="R1831" s="81"/>
    </row>
    <row r="1832" spans="7:18" x14ac:dyDescent="0.3">
      <c r="G1832" s="85"/>
      <c r="H1832" s="86"/>
      <c r="I1832" s="86"/>
      <c r="J1832" s="87"/>
      <c r="K1832" s="85"/>
      <c r="L1832" s="85"/>
      <c r="P1832" s="85"/>
      <c r="Q1832" s="85"/>
      <c r="R1832" s="81"/>
    </row>
    <row r="1833" spans="7:18" x14ac:dyDescent="0.3">
      <c r="G1833" s="85"/>
      <c r="H1833" s="86"/>
      <c r="I1833" s="86"/>
      <c r="J1833" s="87"/>
      <c r="K1833" s="85"/>
      <c r="L1833" s="85"/>
      <c r="P1833" s="85"/>
      <c r="Q1833" s="85"/>
      <c r="R1833" s="81"/>
    </row>
    <row r="1834" spans="7:18" x14ac:dyDescent="0.3">
      <c r="G1834" s="85"/>
      <c r="H1834" s="86"/>
      <c r="I1834" s="86"/>
      <c r="J1834" s="87"/>
      <c r="K1834" s="85"/>
      <c r="L1834" s="85"/>
      <c r="P1834" s="85"/>
      <c r="Q1834" s="85"/>
      <c r="R1834" s="81"/>
    </row>
    <row r="1835" spans="7:18" x14ac:dyDescent="0.3">
      <c r="G1835" s="85"/>
      <c r="H1835" s="86"/>
      <c r="I1835" s="86"/>
      <c r="J1835" s="87"/>
      <c r="K1835" s="85"/>
      <c r="L1835" s="85"/>
      <c r="P1835" s="85"/>
      <c r="Q1835" s="85"/>
      <c r="R1835" s="81"/>
    </row>
    <row r="1836" spans="7:18" x14ac:dyDescent="0.3">
      <c r="G1836" s="85"/>
      <c r="H1836" s="86"/>
      <c r="I1836" s="86"/>
      <c r="J1836" s="87"/>
      <c r="K1836" s="85"/>
      <c r="L1836" s="85"/>
      <c r="P1836" s="85"/>
      <c r="Q1836" s="85"/>
      <c r="R1836" s="81"/>
    </row>
    <row r="1837" spans="7:18" x14ac:dyDescent="0.3">
      <c r="G1837" s="85"/>
      <c r="H1837" s="86"/>
      <c r="I1837" s="86"/>
      <c r="J1837" s="87"/>
      <c r="K1837" s="85"/>
      <c r="L1837" s="85"/>
      <c r="P1837" s="85"/>
      <c r="Q1837" s="85"/>
      <c r="R1837" s="81"/>
    </row>
    <row r="1838" spans="7:18" x14ac:dyDescent="0.3">
      <c r="G1838" s="85"/>
      <c r="H1838" s="86"/>
      <c r="I1838" s="86"/>
      <c r="J1838" s="87"/>
      <c r="K1838" s="85"/>
      <c r="L1838" s="85"/>
      <c r="P1838" s="85"/>
      <c r="Q1838" s="85"/>
      <c r="R1838" s="81"/>
    </row>
    <row r="1839" spans="7:18" x14ac:dyDescent="0.3">
      <c r="G1839" s="85"/>
      <c r="H1839" s="86"/>
      <c r="I1839" s="86"/>
      <c r="J1839" s="87"/>
      <c r="K1839" s="85"/>
      <c r="L1839" s="85"/>
      <c r="P1839" s="85"/>
      <c r="Q1839" s="85"/>
      <c r="R1839" s="81"/>
    </row>
    <row r="1840" spans="7:18" x14ac:dyDescent="0.3">
      <c r="G1840" s="85"/>
      <c r="H1840" s="86"/>
      <c r="I1840" s="86"/>
      <c r="J1840" s="87"/>
      <c r="K1840" s="85"/>
      <c r="L1840" s="85"/>
      <c r="P1840" s="85"/>
      <c r="Q1840" s="85"/>
      <c r="R1840" s="81"/>
    </row>
    <row r="1841" spans="7:18" x14ac:dyDescent="0.3">
      <c r="G1841" s="85"/>
      <c r="H1841" s="86"/>
      <c r="I1841" s="86"/>
      <c r="J1841" s="87"/>
      <c r="K1841" s="85"/>
      <c r="L1841" s="85"/>
      <c r="P1841" s="85"/>
      <c r="Q1841" s="85"/>
      <c r="R1841" s="81"/>
    </row>
    <row r="1842" spans="7:18" x14ac:dyDescent="0.3">
      <c r="G1842" s="85"/>
      <c r="H1842" s="86"/>
      <c r="I1842" s="86"/>
      <c r="J1842" s="87"/>
      <c r="K1842" s="85"/>
      <c r="L1842" s="85"/>
      <c r="P1842" s="85"/>
      <c r="Q1842" s="85"/>
      <c r="R1842" s="81"/>
    </row>
    <row r="1843" spans="7:18" x14ac:dyDescent="0.3">
      <c r="G1843" s="85"/>
      <c r="H1843" s="86"/>
      <c r="I1843" s="86"/>
      <c r="J1843" s="87"/>
      <c r="K1843" s="85"/>
      <c r="L1843" s="85"/>
      <c r="P1843" s="85"/>
      <c r="Q1843" s="85"/>
      <c r="R1843" s="81"/>
    </row>
    <row r="1844" spans="7:18" x14ac:dyDescent="0.3">
      <c r="G1844" s="85"/>
      <c r="H1844" s="86"/>
      <c r="I1844" s="86"/>
      <c r="J1844" s="87"/>
      <c r="K1844" s="85"/>
      <c r="L1844" s="85"/>
      <c r="P1844" s="85"/>
      <c r="Q1844" s="85"/>
      <c r="R1844" s="81"/>
    </row>
    <row r="1845" spans="7:18" x14ac:dyDescent="0.3">
      <c r="G1845" s="85"/>
      <c r="H1845" s="86"/>
      <c r="I1845" s="86"/>
      <c r="J1845" s="87"/>
      <c r="K1845" s="85"/>
      <c r="L1845" s="85"/>
      <c r="P1845" s="85"/>
      <c r="Q1845" s="85"/>
      <c r="R1845" s="81"/>
    </row>
    <row r="1846" spans="7:18" x14ac:dyDescent="0.3">
      <c r="G1846" s="85"/>
      <c r="H1846" s="86"/>
      <c r="I1846" s="86"/>
      <c r="J1846" s="87"/>
      <c r="K1846" s="85"/>
      <c r="L1846" s="85"/>
      <c r="P1846" s="85"/>
      <c r="Q1846" s="85"/>
      <c r="R1846" s="81"/>
    </row>
    <row r="1847" spans="7:18" x14ac:dyDescent="0.3">
      <c r="G1847" s="85"/>
      <c r="H1847" s="86"/>
      <c r="I1847" s="86"/>
      <c r="J1847" s="87"/>
      <c r="K1847" s="85"/>
      <c r="L1847" s="85"/>
      <c r="P1847" s="85"/>
      <c r="Q1847" s="85"/>
      <c r="R1847" s="81"/>
    </row>
    <row r="1848" spans="7:18" x14ac:dyDescent="0.3">
      <c r="G1848" s="85"/>
      <c r="H1848" s="86"/>
      <c r="I1848" s="86"/>
      <c r="J1848" s="87"/>
      <c r="K1848" s="85"/>
      <c r="L1848" s="85"/>
      <c r="P1848" s="85"/>
      <c r="Q1848" s="85"/>
      <c r="R1848" s="81"/>
    </row>
    <row r="1849" spans="7:18" x14ac:dyDescent="0.3">
      <c r="G1849" s="85"/>
      <c r="H1849" s="86"/>
      <c r="I1849" s="86"/>
      <c r="J1849" s="87"/>
      <c r="K1849" s="85"/>
      <c r="L1849" s="85"/>
      <c r="P1849" s="85"/>
      <c r="Q1849" s="85"/>
      <c r="R1849" s="81"/>
    </row>
    <row r="1850" spans="7:18" x14ac:dyDescent="0.3">
      <c r="G1850" s="85"/>
      <c r="H1850" s="86"/>
      <c r="I1850" s="86"/>
      <c r="J1850" s="87"/>
      <c r="K1850" s="85"/>
      <c r="L1850" s="85"/>
      <c r="P1850" s="85"/>
      <c r="Q1850" s="85"/>
      <c r="R1850" s="81"/>
    </row>
    <row r="1851" spans="7:18" x14ac:dyDescent="0.3">
      <c r="G1851" s="85"/>
      <c r="H1851" s="86"/>
      <c r="I1851" s="86"/>
      <c r="J1851" s="87"/>
      <c r="K1851" s="85"/>
      <c r="L1851" s="85"/>
      <c r="P1851" s="85"/>
      <c r="Q1851" s="85"/>
      <c r="R1851" s="81"/>
    </row>
    <row r="1852" spans="7:18" x14ac:dyDescent="0.3">
      <c r="G1852" s="85"/>
      <c r="H1852" s="86"/>
      <c r="I1852" s="86"/>
      <c r="J1852" s="87"/>
      <c r="K1852" s="85"/>
      <c r="L1852" s="85"/>
      <c r="P1852" s="85"/>
      <c r="Q1852" s="85"/>
      <c r="R1852" s="81"/>
    </row>
    <row r="1853" spans="7:18" x14ac:dyDescent="0.3">
      <c r="G1853" s="85"/>
      <c r="H1853" s="86"/>
      <c r="I1853" s="86"/>
      <c r="J1853" s="87"/>
      <c r="K1853" s="85"/>
      <c r="L1853" s="85"/>
      <c r="P1853" s="85"/>
      <c r="Q1853" s="85"/>
      <c r="R1853" s="81"/>
    </row>
    <row r="1854" spans="7:18" x14ac:dyDescent="0.3">
      <c r="G1854" s="85"/>
      <c r="H1854" s="86"/>
      <c r="I1854" s="86"/>
      <c r="J1854" s="87"/>
      <c r="K1854" s="85"/>
      <c r="L1854" s="85"/>
      <c r="P1854" s="85"/>
      <c r="Q1854" s="85"/>
      <c r="R1854" s="81"/>
    </row>
    <row r="1855" spans="7:18" x14ac:dyDescent="0.3">
      <c r="G1855" s="85"/>
      <c r="H1855" s="86"/>
      <c r="I1855" s="86"/>
      <c r="J1855" s="87"/>
      <c r="K1855" s="85"/>
      <c r="L1855" s="85"/>
      <c r="P1855" s="85"/>
      <c r="Q1855" s="85"/>
      <c r="R1855" s="81"/>
    </row>
    <row r="1856" spans="7:18" x14ac:dyDescent="0.3">
      <c r="G1856" s="85"/>
      <c r="H1856" s="86"/>
      <c r="I1856" s="86"/>
      <c r="J1856" s="87"/>
      <c r="K1856" s="85"/>
      <c r="L1856" s="85"/>
      <c r="P1856" s="85"/>
      <c r="Q1856" s="85"/>
      <c r="R1856" s="81"/>
    </row>
    <row r="1857" spans="7:18" x14ac:dyDescent="0.3">
      <c r="G1857" s="85"/>
      <c r="H1857" s="86"/>
      <c r="I1857" s="86"/>
      <c r="J1857" s="87"/>
      <c r="K1857" s="85"/>
      <c r="L1857" s="85"/>
      <c r="P1857" s="85"/>
      <c r="Q1857" s="85"/>
      <c r="R1857" s="81"/>
    </row>
    <row r="1858" spans="7:18" x14ac:dyDescent="0.3">
      <c r="G1858" s="85"/>
      <c r="H1858" s="86"/>
      <c r="I1858" s="86"/>
      <c r="J1858" s="87"/>
      <c r="K1858" s="85"/>
      <c r="L1858" s="85"/>
      <c r="P1858" s="85"/>
      <c r="Q1858" s="85"/>
      <c r="R1858" s="81"/>
    </row>
    <row r="1859" spans="7:18" x14ac:dyDescent="0.3">
      <c r="G1859" s="85"/>
      <c r="H1859" s="86"/>
      <c r="I1859" s="86"/>
      <c r="J1859" s="87"/>
      <c r="K1859" s="85"/>
      <c r="L1859" s="85"/>
      <c r="P1859" s="85"/>
      <c r="Q1859" s="85"/>
      <c r="R1859" s="81"/>
    </row>
    <row r="1860" spans="7:18" x14ac:dyDescent="0.3">
      <c r="G1860" s="85"/>
      <c r="H1860" s="86"/>
      <c r="I1860" s="86"/>
      <c r="J1860" s="87"/>
      <c r="K1860" s="85"/>
      <c r="L1860" s="85"/>
      <c r="P1860" s="85"/>
      <c r="Q1860" s="85"/>
      <c r="R1860" s="81"/>
    </row>
    <row r="1861" spans="7:18" x14ac:dyDescent="0.3">
      <c r="G1861" s="85"/>
      <c r="H1861" s="86"/>
      <c r="I1861" s="86"/>
      <c r="J1861" s="87"/>
      <c r="K1861" s="85"/>
      <c r="L1861" s="85"/>
      <c r="P1861" s="85"/>
      <c r="Q1861" s="85"/>
      <c r="R1861" s="81"/>
    </row>
    <row r="1862" spans="7:18" x14ac:dyDescent="0.3">
      <c r="G1862" s="85"/>
      <c r="H1862" s="86"/>
      <c r="I1862" s="86"/>
      <c r="J1862" s="87"/>
      <c r="K1862" s="85"/>
      <c r="L1862" s="85"/>
      <c r="P1862" s="85"/>
      <c r="Q1862" s="85"/>
      <c r="R1862" s="81"/>
    </row>
    <row r="1863" spans="7:18" x14ac:dyDescent="0.3">
      <c r="G1863" s="85"/>
      <c r="H1863" s="86"/>
      <c r="I1863" s="86"/>
      <c r="J1863" s="87"/>
      <c r="K1863" s="85"/>
      <c r="L1863" s="85"/>
      <c r="P1863" s="85"/>
      <c r="Q1863" s="85"/>
      <c r="R1863" s="81"/>
    </row>
    <row r="1864" spans="7:18" x14ac:dyDescent="0.3">
      <c r="G1864" s="85"/>
      <c r="H1864" s="86"/>
      <c r="I1864" s="86"/>
      <c r="J1864" s="87"/>
      <c r="K1864" s="85"/>
      <c r="L1864" s="85"/>
      <c r="P1864" s="85"/>
      <c r="Q1864" s="85"/>
      <c r="R1864" s="81"/>
    </row>
    <row r="1865" spans="7:18" x14ac:dyDescent="0.3">
      <c r="G1865" s="85"/>
      <c r="H1865" s="86"/>
      <c r="I1865" s="86"/>
      <c r="J1865" s="87"/>
      <c r="K1865" s="85"/>
      <c r="L1865" s="85"/>
      <c r="P1865" s="85"/>
      <c r="Q1865" s="85"/>
      <c r="R1865" s="81"/>
    </row>
    <row r="1866" spans="7:18" x14ac:dyDescent="0.3">
      <c r="G1866" s="85"/>
      <c r="H1866" s="86"/>
      <c r="I1866" s="86"/>
      <c r="J1866" s="87"/>
      <c r="K1866" s="85"/>
      <c r="L1866" s="85"/>
      <c r="P1866" s="85"/>
      <c r="Q1866" s="85"/>
      <c r="R1866" s="81"/>
    </row>
    <row r="1867" spans="7:18" x14ac:dyDescent="0.3">
      <c r="G1867" s="85"/>
      <c r="H1867" s="86"/>
      <c r="I1867" s="86"/>
      <c r="J1867" s="87"/>
      <c r="K1867" s="85"/>
      <c r="L1867" s="85"/>
      <c r="P1867" s="85"/>
      <c r="Q1867" s="85"/>
      <c r="R1867" s="81"/>
    </row>
    <row r="1868" spans="7:18" x14ac:dyDescent="0.3">
      <c r="G1868" s="85"/>
      <c r="H1868" s="86"/>
      <c r="I1868" s="86"/>
      <c r="J1868" s="87"/>
      <c r="K1868" s="85"/>
      <c r="L1868" s="85"/>
      <c r="P1868" s="85"/>
      <c r="Q1868" s="85"/>
      <c r="R1868" s="81"/>
    </row>
    <row r="1869" spans="7:18" x14ac:dyDescent="0.3">
      <c r="G1869" s="85"/>
      <c r="H1869" s="86"/>
      <c r="I1869" s="86"/>
      <c r="J1869" s="87"/>
      <c r="K1869" s="85"/>
      <c r="L1869" s="85"/>
      <c r="P1869" s="85"/>
      <c r="Q1869" s="85"/>
      <c r="R1869" s="81"/>
    </row>
    <row r="1870" spans="7:18" x14ac:dyDescent="0.3">
      <c r="G1870" s="85"/>
      <c r="H1870" s="86"/>
      <c r="I1870" s="86"/>
      <c r="J1870" s="87"/>
      <c r="K1870" s="85"/>
      <c r="L1870" s="85"/>
      <c r="P1870" s="85"/>
      <c r="Q1870" s="85"/>
      <c r="R1870" s="81"/>
    </row>
    <row r="1871" spans="7:18" x14ac:dyDescent="0.3">
      <c r="G1871" s="85"/>
      <c r="H1871" s="86"/>
      <c r="I1871" s="86"/>
      <c r="J1871" s="87"/>
      <c r="K1871" s="85"/>
      <c r="L1871" s="85"/>
      <c r="P1871" s="85"/>
      <c r="Q1871" s="85"/>
      <c r="R1871" s="81"/>
    </row>
    <row r="1872" spans="7:18" x14ac:dyDescent="0.3">
      <c r="G1872" s="85"/>
      <c r="H1872" s="86"/>
      <c r="I1872" s="86"/>
      <c r="J1872" s="87"/>
      <c r="K1872" s="85"/>
      <c r="L1872" s="85"/>
      <c r="P1872" s="85"/>
      <c r="Q1872" s="85"/>
      <c r="R1872" s="81"/>
    </row>
    <row r="1873" spans="7:18" x14ac:dyDescent="0.3">
      <c r="G1873" s="85"/>
      <c r="H1873" s="86"/>
      <c r="I1873" s="86"/>
      <c r="J1873" s="87"/>
      <c r="K1873" s="85"/>
      <c r="L1873" s="85"/>
      <c r="P1873" s="85"/>
      <c r="Q1873" s="85"/>
      <c r="R1873" s="81"/>
    </row>
    <row r="1874" spans="7:18" x14ac:dyDescent="0.3">
      <c r="G1874" s="85"/>
      <c r="H1874" s="86"/>
      <c r="I1874" s="86"/>
      <c r="J1874" s="87"/>
      <c r="K1874" s="85"/>
      <c r="L1874" s="85"/>
      <c r="P1874" s="85"/>
      <c r="Q1874" s="85"/>
      <c r="R1874" s="81"/>
    </row>
    <row r="1875" spans="7:18" x14ac:dyDescent="0.3">
      <c r="G1875" s="85"/>
      <c r="H1875" s="86"/>
      <c r="I1875" s="86"/>
      <c r="J1875" s="87"/>
      <c r="K1875" s="85"/>
      <c r="L1875" s="85"/>
      <c r="P1875" s="85"/>
      <c r="Q1875" s="85"/>
      <c r="R1875" s="81"/>
    </row>
    <row r="1876" spans="7:18" x14ac:dyDescent="0.3">
      <c r="G1876" s="85"/>
      <c r="H1876" s="86"/>
      <c r="I1876" s="86"/>
      <c r="J1876" s="87"/>
      <c r="K1876" s="85"/>
      <c r="L1876" s="85"/>
      <c r="P1876" s="85"/>
      <c r="Q1876" s="85"/>
      <c r="R1876" s="81"/>
    </row>
    <row r="1877" spans="7:18" x14ac:dyDescent="0.3">
      <c r="G1877" s="85"/>
      <c r="H1877" s="86"/>
      <c r="I1877" s="86"/>
      <c r="J1877" s="87"/>
      <c r="K1877" s="85"/>
      <c r="L1877" s="85"/>
      <c r="P1877" s="85"/>
      <c r="Q1877" s="85"/>
      <c r="R1877" s="81"/>
    </row>
    <row r="1878" spans="7:18" x14ac:dyDescent="0.3">
      <c r="G1878" s="85"/>
      <c r="H1878" s="86"/>
      <c r="I1878" s="86"/>
      <c r="J1878" s="87"/>
      <c r="K1878" s="85"/>
      <c r="L1878" s="85"/>
      <c r="P1878" s="85"/>
      <c r="Q1878" s="85"/>
      <c r="R1878" s="81"/>
    </row>
    <row r="1879" spans="7:18" x14ac:dyDescent="0.3">
      <c r="G1879" s="85"/>
      <c r="H1879" s="86"/>
      <c r="I1879" s="86"/>
      <c r="J1879" s="87"/>
      <c r="K1879" s="85"/>
      <c r="L1879" s="85"/>
      <c r="P1879" s="85"/>
      <c r="Q1879" s="85"/>
      <c r="R1879" s="81"/>
    </row>
    <row r="1880" spans="7:18" x14ac:dyDescent="0.3">
      <c r="G1880" s="85"/>
      <c r="H1880" s="86"/>
      <c r="I1880" s="86"/>
      <c r="J1880" s="87"/>
      <c r="K1880" s="85"/>
      <c r="L1880" s="85"/>
      <c r="P1880" s="85"/>
      <c r="Q1880" s="85"/>
      <c r="R1880" s="81"/>
    </row>
    <row r="1881" spans="7:18" x14ac:dyDescent="0.3">
      <c r="G1881" s="85"/>
      <c r="H1881" s="86"/>
      <c r="I1881" s="86"/>
      <c r="J1881" s="87"/>
      <c r="K1881" s="85"/>
      <c r="L1881" s="85"/>
      <c r="P1881" s="85"/>
      <c r="Q1881" s="85"/>
      <c r="R1881" s="81"/>
    </row>
    <row r="1882" spans="7:18" x14ac:dyDescent="0.3">
      <c r="G1882" s="85"/>
      <c r="H1882" s="86"/>
      <c r="I1882" s="86"/>
      <c r="J1882" s="87"/>
      <c r="K1882" s="85"/>
      <c r="L1882" s="85"/>
      <c r="P1882" s="85"/>
      <c r="Q1882" s="85"/>
      <c r="R1882" s="81"/>
    </row>
    <row r="1883" spans="7:18" x14ac:dyDescent="0.3">
      <c r="G1883" s="85"/>
      <c r="H1883" s="86"/>
      <c r="I1883" s="86"/>
      <c r="J1883" s="87"/>
      <c r="K1883" s="85"/>
      <c r="L1883" s="85"/>
      <c r="P1883" s="85"/>
      <c r="Q1883" s="85"/>
      <c r="R1883" s="81"/>
    </row>
    <row r="1884" spans="7:18" x14ac:dyDescent="0.3">
      <c r="G1884" s="85"/>
      <c r="H1884" s="86"/>
      <c r="I1884" s="86"/>
      <c r="J1884" s="87"/>
      <c r="K1884" s="85"/>
      <c r="L1884" s="85"/>
      <c r="P1884" s="85"/>
      <c r="Q1884" s="85"/>
      <c r="R1884" s="81"/>
    </row>
    <row r="1885" spans="7:18" x14ac:dyDescent="0.3">
      <c r="G1885" s="85"/>
      <c r="H1885" s="86"/>
      <c r="I1885" s="86"/>
      <c r="J1885" s="87"/>
      <c r="K1885" s="85"/>
      <c r="L1885" s="85"/>
      <c r="P1885" s="85"/>
      <c r="Q1885" s="85"/>
      <c r="R1885" s="81"/>
    </row>
    <row r="1886" spans="7:18" x14ac:dyDescent="0.3">
      <c r="G1886" s="85"/>
      <c r="H1886" s="86"/>
      <c r="I1886" s="86"/>
      <c r="J1886" s="87"/>
      <c r="K1886" s="85"/>
      <c r="L1886" s="85"/>
      <c r="P1886" s="85"/>
      <c r="Q1886" s="85"/>
      <c r="R1886" s="81"/>
    </row>
    <row r="1887" spans="7:18" x14ac:dyDescent="0.3">
      <c r="G1887" s="85"/>
      <c r="H1887" s="86"/>
      <c r="I1887" s="86"/>
      <c r="J1887" s="87"/>
      <c r="K1887" s="85"/>
      <c r="L1887" s="85"/>
      <c r="P1887" s="85"/>
      <c r="Q1887" s="85"/>
      <c r="R1887" s="81"/>
    </row>
    <row r="1888" spans="7:18" x14ac:dyDescent="0.3">
      <c r="G1888" s="85"/>
      <c r="H1888" s="86"/>
      <c r="I1888" s="86"/>
      <c r="J1888" s="87"/>
      <c r="K1888" s="85"/>
      <c r="L1888" s="85"/>
      <c r="P1888" s="85"/>
      <c r="Q1888" s="85"/>
      <c r="R1888" s="81"/>
    </row>
    <row r="1889" spans="7:18" x14ac:dyDescent="0.3">
      <c r="G1889" s="85"/>
      <c r="H1889" s="86"/>
      <c r="I1889" s="86"/>
      <c r="J1889" s="87"/>
      <c r="K1889" s="85"/>
      <c r="L1889" s="85"/>
      <c r="P1889" s="85"/>
      <c r="Q1889" s="85"/>
      <c r="R1889" s="81"/>
    </row>
    <row r="1890" spans="7:18" x14ac:dyDescent="0.3">
      <c r="G1890" s="85"/>
      <c r="H1890" s="86"/>
      <c r="I1890" s="86"/>
      <c r="J1890" s="87"/>
      <c r="K1890" s="85"/>
      <c r="L1890" s="85"/>
      <c r="P1890" s="85"/>
      <c r="Q1890" s="85"/>
      <c r="R1890" s="81"/>
    </row>
    <row r="1891" spans="7:18" x14ac:dyDescent="0.3">
      <c r="G1891" s="85"/>
      <c r="H1891" s="86"/>
      <c r="I1891" s="86"/>
      <c r="J1891" s="87"/>
      <c r="K1891" s="85"/>
      <c r="L1891" s="85"/>
      <c r="P1891" s="85"/>
      <c r="Q1891" s="85"/>
      <c r="R1891" s="81"/>
    </row>
    <row r="1892" spans="7:18" x14ac:dyDescent="0.3">
      <c r="G1892" s="85"/>
      <c r="H1892" s="86"/>
      <c r="I1892" s="86"/>
      <c r="J1892" s="87"/>
      <c r="K1892" s="85"/>
      <c r="L1892" s="85"/>
      <c r="P1892" s="85"/>
      <c r="Q1892" s="85"/>
      <c r="R1892" s="81"/>
    </row>
    <row r="1893" spans="7:18" x14ac:dyDescent="0.3">
      <c r="G1893" s="85"/>
      <c r="H1893" s="86"/>
      <c r="I1893" s="86"/>
      <c r="J1893" s="87"/>
      <c r="K1893" s="85"/>
      <c r="L1893" s="85"/>
      <c r="P1893" s="85"/>
      <c r="Q1893" s="85"/>
      <c r="R1893" s="81"/>
    </row>
    <row r="1894" spans="7:18" x14ac:dyDescent="0.3">
      <c r="G1894" s="85"/>
      <c r="H1894" s="86"/>
      <c r="I1894" s="86"/>
      <c r="J1894" s="87"/>
      <c r="K1894" s="85"/>
      <c r="L1894" s="85"/>
      <c r="P1894" s="85"/>
      <c r="Q1894" s="85"/>
      <c r="R1894" s="81"/>
    </row>
    <row r="1895" spans="7:18" x14ac:dyDescent="0.3">
      <c r="G1895" s="85"/>
      <c r="H1895" s="86"/>
      <c r="I1895" s="86"/>
      <c r="J1895" s="87"/>
      <c r="K1895" s="85"/>
      <c r="L1895" s="85"/>
      <c r="P1895" s="85"/>
      <c r="Q1895" s="85"/>
      <c r="R1895" s="81"/>
    </row>
    <row r="1896" spans="7:18" x14ac:dyDescent="0.3">
      <c r="G1896" s="85"/>
      <c r="H1896" s="86"/>
      <c r="I1896" s="86"/>
      <c r="J1896" s="87"/>
      <c r="K1896" s="85"/>
      <c r="L1896" s="85"/>
      <c r="P1896" s="85"/>
      <c r="Q1896" s="85"/>
      <c r="R1896" s="81"/>
    </row>
    <row r="1897" spans="7:18" x14ac:dyDescent="0.3">
      <c r="G1897" s="85"/>
      <c r="H1897" s="86"/>
      <c r="I1897" s="86"/>
      <c r="J1897" s="87"/>
      <c r="K1897" s="85"/>
      <c r="L1897" s="85"/>
      <c r="P1897" s="85"/>
      <c r="Q1897" s="85"/>
      <c r="R1897" s="81"/>
    </row>
    <row r="1898" spans="7:18" x14ac:dyDescent="0.3">
      <c r="G1898" s="85"/>
      <c r="H1898" s="86"/>
      <c r="I1898" s="86"/>
      <c r="J1898" s="87"/>
      <c r="K1898" s="85"/>
      <c r="L1898" s="85"/>
      <c r="P1898" s="85"/>
      <c r="Q1898" s="85"/>
      <c r="R1898" s="81"/>
    </row>
    <row r="1899" spans="7:18" x14ac:dyDescent="0.3">
      <c r="G1899" s="85"/>
      <c r="H1899" s="86"/>
      <c r="I1899" s="86"/>
      <c r="J1899" s="87"/>
      <c r="K1899" s="85"/>
      <c r="L1899" s="85"/>
      <c r="P1899" s="85"/>
      <c r="Q1899" s="85"/>
      <c r="R1899" s="81"/>
    </row>
    <row r="1900" spans="7:18" x14ac:dyDescent="0.3">
      <c r="G1900" s="85"/>
      <c r="H1900" s="86"/>
      <c r="I1900" s="86"/>
      <c r="J1900" s="87"/>
      <c r="K1900" s="85"/>
      <c r="L1900" s="85"/>
      <c r="P1900" s="85"/>
      <c r="Q1900" s="85"/>
      <c r="R1900" s="81"/>
    </row>
    <row r="1901" spans="7:18" x14ac:dyDescent="0.3">
      <c r="G1901" s="85"/>
      <c r="H1901" s="86"/>
      <c r="I1901" s="86"/>
      <c r="J1901" s="87"/>
      <c r="K1901" s="85"/>
      <c r="L1901" s="85"/>
      <c r="P1901" s="85"/>
      <c r="Q1901" s="85"/>
      <c r="R1901" s="81"/>
    </row>
    <row r="1902" spans="7:18" x14ac:dyDescent="0.3">
      <c r="G1902" s="85"/>
      <c r="H1902" s="86"/>
      <c r="I1902" s="86"/>
      <c r="J1902" s="87"/>
      <c r="K1902" s="85"/>
      <c r="L1902" s="85"/>
      <c r="P1902" s="85"/>
      <c r="Q1902" s="85"/>
      <c r="R1902" s="81"/>
    </row>
    <row r="1903" spans="7:18" x14ac:dyDescent="0.3">
      <c r="G1903" s="85"/>
      <c r="H1903" s="86"/>
      <c r="I1903" s="86"/>
      <c r="J1903" s="87"/>
      <c r="K1903" s="85"/>
      <c r="L1903" s="85"/>
      <c r="P1903" s="85"/>
      <c r="Q1903" s="85"/>
      <c r="R1903" s="81"/>
    </row>
    <row r="1904" spans="7:18" x14ac:dyDescent="0.3">
      <c r="G1904" s="85"/>
      <c r="H1904" s="86"/>
      <c r="I1904" s="86"/>
      <c r="J1904" s="87"/>
      <c r="K1904" s="85"/>
      <c r="L1904" s="85"/>
      <c r="P1904" s="85"/>
      <c r="Q1904" s="85"/>
      <c r="R1904" s="81"/>
    </row>
    <row r="1905" spans="7:18" x14ac:dyDescent="0.3">
      <c r="G1905" s="85"/>
      <c r="H1905" s="86"/>
      <c r="I1905" s="86"/>
      <c r="J1905" s="87"/>
      <c r="K1905" s="85"/>
      <c r="L1905" s="85"/>
      <c r="P1905" s="85"/>
      <c r="Q1905" s="85"/>
      <c r="R1905" s="81"/>
    </row>
    <row r="1906" spans="7:18" x14ac:dyDescent="0.3">
      <c r="G1906" s="85"/>
      <c r="H1906" s="86"/>
      <c r="I1906" s="86"/>
      <c r="J1906" s="87"/>
      <c r="K1906" s="85"/>
      <c r="L1906" s="85"/>
      <c r="P1906" s="85"/>
      <c r="Q1906" s="85"/>
      <c r="R1906" s="81"/>
    </row>
    <row r="1907" spans="7:18" x14ac:dyDescent="0.3">
      <c r="G1907" s="85"/>
      <c r="H1907" s="86"/>
      <c r="I1907" s="86"/>
      <c r="J1907" s="87"/>
      <c r="K1907" s="85"/>
      <c r="L1907" s="85"/>
      <c r="P1907" s="85"/>
      <c r="Q1907" s="85"/>
      <c r="R1907" s="81"/>
    </row>
    <row r="1908" spans="7:18" x14ac:dyDescent="0.3">
      <c r="G1908" s="85"/>
      <c r="H1908" s="86"/>
      <c r="I1908" s="86"/>
      <c r="J1908" s="87"/>
      <c r="K1908" s="85"/>
      <c r="L1908" s="85"/>
      <c r="P1908" s="85"/>
      <c r="Q1908" s="85"/>
      <c r="R1908" s="81"/>
    </row>
    <row r="1909" spans="7:18" x14ac:dyDescent="0.3">
      <c r="G1909" s="85"/>
      <c r="H1909" s="86"/>
      <c r="I1909" s="86"/>
      <c r="J1909" s="87"/>
      <c r="K1909" s="85"/>
      <c r="L1909" s="85"/>
      <c r="P1909" s="85"/>
      <c r="Q1909" s="85"/>
      <c r="R1909" s="81"/>
    </row>
    <row r="1910" spans="7:18" x14ac:dyDescent="0.3">
      <c r="G1910" s="85"/>
      <c r="H1910" s="86"/>
      <c r="I1910" s="86"/>
      <c r="J1910" s="87"/>
      <c r="K1910" s="85"/>
      <c r="L1910" s="85"/>
      <c r="P1910" s="85"/>
      <c r="Q1910" s="85"/>
      <c r="R1910" s="81"/>
    </row>
    <row r="1911" spans="7:18" x14ac:dyDescent="0.3">
      <c r="G1911" s="85"/>
      <c r="H1911" s="86"/>
      <c r="I1911" s="86"/>
      <c r="J1911" s="87"/>
      <c r="K1911" s="85"/>
      <c r="L1911" s="85"/>
      <c r="P1911" s="85"/>
      <c r="Q1911" s="85"/>
      <c r="R1911" s="81"/>
    </row>
    <row r="1912" spans="7:18" x14ac:dyDescent="0.3">
      <c r="G1912" s="85"/>
      <c r="H1912" s="86"/>
      <c r="I1912" s="86"/>
      <c r="J1912" s="87"/>
      <c r="K1912" s="85"/>
      <c r="L1912" s="85"/>
      <c r="P1912" s="85"/>
      <c r="Q1912" s="85"/>
      <c r="R1912" s="81"/>
    </row>
    <row r="1913" spans="7:18" x14ac:dyDescent="0.3">
      <c r="G1913" s="85"/>
      <c r="H1913" s="86"/>
      <c r="I1913" s="86"/>
      <c r="J1913" s="87"/>
      <c r="K1913" s="85"/>
      <c r="L1913" s="85"/>
      <c r="P1913" s="85"/>
      <c r="Q1913" s="85"/>
      <c r="R1913" s="81"/>
    </row>
    <row r="1914" spans="7:18" x14ac:dyDescent="0.3">
      <c r="G1914" s="85"/>
      <c r="H1914" s="86"/>
      <c r="I1914" s="86"/>
      <c r="J1914" s="87"/>
      <c r="K1914" s="85"/>
      <c r="L1914" s="85"/>
      <c r="P1914" s="85"/>
      <c r="Q1914" s="85"/>
      <c r="R1914" s="81"/>
    </row>
    <row r="1915" spans="7:18" x14ac:dyDescent="0.3">
      <c r="G1915" s="85"/>
      <c r="H1915" s="86"/>
      <c r="I1915" s="86"/>
      <c r="J1915" s="87"/>
      <c r="K1915" s="85"/>
      <c r="L1915" s="85"/>
      <c r="P1915" s="85"/>
      <c r="Q1915" s="85"/>
      <c r="R1915" s="81"/>
    </row>
    <row r="1916" spans="7:18" x14ac:dyDescent="0.3">
      <c r="G1916" s="85"/>
      <c r="H1916" s="86"/>
      <c r="I1916" s="86"/>
      <c r="J1916" s="87"/>
      <c r="K1916" s="85"/>
      <c r="L1916" s="85"/>
      <c r="P1916" s="85"/>
      <c r="Q1916" s="85"/>
      <c r="R1916" s="81"/>
    </row>
    <row r="1917" spans="7:18" x14ac:dyDescent="0.3">
      <c r="G1917" s="85"/>
      <c r="H1917" s="86"/>
      <c r="I1917" s="86"/>
      <c r="J1917" s="87"/>
      <c r="K1917" s="85"/>
      <c r="L1917" s="85"/>
      <c r="P1917" s="85"/>
      <c r="Q1917" s="85"/>
      <c r="R1917" s="81"/>
    </row>
    <row r="1918" spans="7:18" x14ac:dyDescent="0.3">
      <c r="G1918" s="85"/>
      <c r="H1918" s="86"/>
      <c r="I1918" s="86"/>
      <c r="J1918" s="87"/>
      <c r="K1918" s="85"/>
      <c r="L1918" s="85"/>
      <c r="P1918" s="85"/>
      <c r="Q1918" s="85"/>
      <c r="R1918" s="81"/>
    </row>
    <row r="1919" spans="7:18" x14ac:dyDescent="0.3">
      <c r="G1919" s="85"/>
      <c r="H1919" s="86"/>
      <c r="I1919" s="86"/>
      <c r="J1919" s="87"/>
      <c r="K1919" s="85"/>
      <c r="L1919" s="85"/>
      <c r="P1919" s="85"/>
      <c r="Q1919" s="85"/>
      <c r="R1919" s="81"/>
    </row>
    <row r="1920" spans="7:18" x14ac:dyDescent="0.3">
      <c r="G1920" s="85"/>
      <c r="H1920" s="86"/>
      <c r="I1920" s="86"/>
      <c r="J1920" s="87"/>
      <c r="K1920" s="85"/>
      <c r="L1920" s="85"/>
      <c r="P1920" s="85"/>
      <c r="Q1920" s="85"/>
      <c r="R1920" s="81"/>
    </row>
    <row r="1921" spans="7:18" x14ac:dyDescent="0.3">
      <c r="G1921" s="85"/>
      <c r="H1921" s="86"/>
      <c r="I1921" s="86"/>
      <c r="J1921" s="87"/>
      <c r="K1921" s="85"/>
      <c r="L1921" s="85"/>
      <c r="P1921" s="85"/>
      <c r="Q1921" s="85"/>
      <c r="R1921" s="81"/>
    </row>
    <row r="1922" spans="7:18" x14ac:dyDescent="0.3">
      <c r="G1922" s="85"/>
      <c r="H1922" s="86"/>
      <c r="I1922" s="86"/>
      <c r="J1922" s="87"/>
      <c r="K1922" s="85"/>
      <c r="L1922" s="85"/>
      <c r="P1922" s="85"/>
      <c r="Q1922" s="85"/>
      <c r="R1922" s="81"/>
    </row>
    <row r="1923" spans="7:18" x14ac:dyDescent="0.3">
      <c r="G1923" s="85"/>
      <c r="H1923" s="86"/>
      <c r="I1923" s="86"/>
      <c r="J1923" s="87"/>
      <c r="K1923" s="85"/>
      <c r="L1923" s="85"/>
      <c r="P1923" s="85"/>
      <c r="Q1923" s="85"/>
      <c r="R1923" s="81"/>
    </row>
    <row r="1924" spans="7:18" x14ac:dyDescent="0.3">
      <c r="G1924" s="85"/>
      <c r="H1924" s="86"/>
      <c r="I1924" s="86"/>
      <c r="J1924" s="87"/>
      <c r="K1924" s="85"/>
      <c r="L1924" s="85"/>
      <c r="P1924" s="85"/>
      <c r="Q1924" s="85"/>
      <c r="R1924" s="81"/>
    </row>
    <row r="1925" spans="7:18" x14ac:dyDescent="0.3">
      <c r="G1925" s="85"/>
      <c r="H1925" s="86"/>
      <c r="I1925" s="86"/>
      <c r="J1925" s="87"/>
      <c r="K1925" s="85"/>
      <c r="L1925" s="85"/>
      <c r="P1925" s="85"/>
      <c r="Q1925" s="85"/>
      <c r="R1925" s="81"/>
    </row>
    <row r="1926" spans="7:18" x14ac:dyDescent="0.3">
      <c r="G1926" s="85"/>
      <c r="H1926" s="86"/>
      <c r="I1926" s="86"/>
      <c r="J1926" s="87"/>
      <c r="K1926" s="85"/>
      <c r="L1926" s="85"/>
      <c r="P1926" s="85"/>
      <c r="Q1926" s="85"/>
      <c r="R1926" s="81"/>
    </row>
    <row r="1927" spans="7:18" x14ac:dyDescent="0.3">
      <c r="G1927" s="85"/>
      <c r="H1927" s="86"/>
      <c r="I1927" s="86"/>
      <c r="J1927" s="87"/>
      <c r="K1927" s="85"/>
      <c r="L1927" s="85"/>
      <c r="P1927" s="85"/>
      <c r="Q1927" s="85"/>
      <c r="R1927" s="81"/>
    </row>
    <row r="1928" spans="7:18" x14ac:dyDescent="0.3">
      <c r="G1928" s="85"/>
      <c r="H1928" s="86"/>
      <c r="I1928" s="86"/>
      <c r="J1928" s="87"/>
      <c r="K1928" s="85"/>
      <c r="L1928" s="85"/>
      <c r="P1928" s="85"/>
      <c r="Q1928" s="85"/>
      <c r="R1928" s="81"/>
    </row>
    <row r="1929" spans="7:18" x14ac:dyDescent="0.3">
      <c r="G1929" s="85"/>
      <c r="H1929" s="86"/>
      <c r="I1929" s="86"/>
      <c r="J1929" s="87"/>
      <c r="K1929" s="85"/>
      <c r="L1929" s="85"/>
      <c r="P1929" s="85"/>
      <c r="Q1929" s="85"/>
      <c r="R1929" s="81"/>
    </row>
    <row r="1930" spans="7:18" x14ac:dyDescent="0.3">
      <c r="G1930" s="85"/>
      <c r="H1930" s="86"/>
      <c r="I1930" s="86"/>
      <c r="J1930" s="87"/>
      <c r="K1930" s="85"/>
      <c r="L1930" s="85"/>
      <c r="P1930" s="85"/>
      <c r="Q1930" s="85"/>
      <c r="R1930" s="81"/>
    </row>
    <row r="1931" spans="7:18" x14ac:dyDescent="0.3">
      <c r="G1931" s="85"/>
      <c r="H1931" s="86"/>
      <c r="I1931" s="86"/>
      <c r="J1931" s="87"/>
      <c r="K1931" s="85"/>
      <c r="L1931" s="85"/>
      <c r="P1931" s="85"/>
      <c r="Q1931" s="85"/>
      <c r="R1931" s="81"/>
    </row>
    <row r="1932" spans="7:18" x14ac:dyDescent="0.3">
      <c r="G1932" s="85"/>
      <c r="H1932" s="86"/>
      <c r="I1932" s="86"/>
      <c r="J1932" s="87"/>
      <c r="K1932" s="85"/>
      <c r="L1932" s="85"/>
      <c r="P1932" s="85"/>
      <c r="Q1932" s="85"/>
      <c r="R1932" s="81"/>
    </row>
    <row r="1933" spans="7:18" x14ac:dyDescent="0.3">
      <c r="G1933" s="85"/>
      <c r="H1933" s="86"/>
      <c r="I1933" s="86"/>
      <c r="J1933" s="87"/>
      <c r="K1933" s="85"/>
      <c r="L1933" s="85"/>
      <c r="P1933" s="85"/>
      <c r="Q1933" s="85"/>
      <c r="R1933" s="81"/>
    </row>
    <row r="1934" spans="7:18" x14ac:dyDescent="0.3">
      <c r="G1934" s="85"/>
      <c r="H1934" s="86"/>
      <c r="I1934" s="86"/>
      <c r="J1934" s="87"/>
      <c r="K1934" s="85"/>
      <c r="L1934" s="85"/>
      <c r="P1934" s="85"/>
      <c r="Q1934" s="85"/>
      <c r="R1934" s="81"/>
    </row>
    <row r="1935" spans="7:18" x14ac:dyDescent="0.3">
      <c r="G1935" s="85"/>
      <c r="H1935" s="86"/>
      <c r="I1935" s="86"/>
      <c r="J1935" s="87"/>
      <c r="K1935" s="85"/>
      <c r="L1935" s="85"/>
      <c r="P1935" s="85"/>
      <c r="Q1935" s="85"/>
      <c r="R1935" s="81"/>
    </row>
    <row r="1936" spans="7:18" x14ac:dyDescent="0.3">
      <c r="G1936" s="85"/>
      <c r="H1936" s="86"/>
      <c r="I1936" s="86"/>
      <c r="J1936" s="87"/>
      <c r="K1936" s="85"/>
      <c r="L1936" s="85"/>
      <c r="P1936" s="85"/>
      <c r="Q1936" s="85"/>
      <c r="R1936" s="81"/>
    </row>
    <row r="1937" spans="7:18" x14ac:dyDescent="0.3">
      <c r="G1937" s="85"/>
      <c r="H1937" s="86"/>
      <c r="I1937" s="86"/>
      <c r="J1937" s="87"/>
      <c r="K1937" s="85"/>
      <c r="L1937" s="85"/>
      <c r="P1937" s="85"/>
      <c r="Q1937" s="85"/>
      <c r="R1937" s="81"/>
    </row>
    <row r="1938" spans="7:18" x14ac:dyDescent="0.3">
      <c r="G1938" s="85"/>
      <c r="H1938" s="86"/>
      <c r="I1938" s="86"/>
      <c r="J1938" s="87"/>
      <c r="K1938" s="85"/>
      <c r="L1938" s="85"/>
      <c r="P1938" s="85"/>
      <c r="Q1938" s="85"/>
      <c r="R1938" s="81"/>
    </row>
    <row r="1939" spans="7:18" x14ac:dyDescent="0.3">
      <c r="G1939" s="85"/>
      <c r="H1939" s="86"/>
      <c r="I1939" s="86"/>
      <c r="J1939" s="87"/>
      <c r="K1939" s="85"/>
      <c r="L1939" s="85"/>
      <c r="P1939" s="85"/>
      <c r="Q1939" s="85"/>
      <c r="R1939" s="81"/>
    </row>
    <row r="1940" spans="7:18" x14ac:dyDescent="0.3">
      <c r="G1940" s="85"/>
      <c r="H1940" s="86"/>
      <c r="I1940" s="86"/>
      <c r="J1940" s="87"/>
      <c r="K1940" s="85"/>
      <c r="L1940" s="85"/>
      <c r="P1940" s="85"/>
      <c r="Q1940" s="85"/>
      <c r="R1940" s="81"/>
    </row>
    <row r="1941" spans="7:18" x14ac:dyDescent="0.3">
      <c r="G1941" s="85"/>
      <c r="H1941" s="86"/>
      <c r="I1941" s="86"/>
      <c r="J1941" s="87"/>
      <c r="K1941" s="85"/>
      <c r="L1941" s="85"/>
      <c r="P1941" s="85"/>
      <c r="Q1941" s="85"/>
      <c r="R1941" s="81"/>
    </row>
    <row r="1942" spans="7:18" x14ac:dyDescent="0.3">
      <c r="G1942" s="85"/>
      <c r="H1942" s="86"/>
      <c r="I1942" s="86"/>
      <c r="J1942" s="87"/>
      <c r="K1942" s="85"/>
      <c r="L1942" s="85"/>
      <c r="P1942" s="85"/>
      <c r="Q1942" s="85"/>
      <c r="R1942" s="81"/>
    </row>
    <row r="1943" spans="7:18" x14ac:dyDescent="0.3">
      <c r="G1943" s="85"/>
      <c r="H1943" s="86"/>
      <c r="I1943" s="86"/>
      <c r="J1943" s="87"/>
      <c r="K1943" s="85"/>
      <c r="L1943" s="85"/>
      <c r="P1943" s="85"/>
      <c r="Q1943" s="85"/>
      <c r="R1943" s="81"/>
    </row>
    <row r="1944" spans="7:18" x14ac:dyDescent="0.3">
      <c r="G1944" s="85"/>
      <c r="H1944" s="86"/>
      <c r="I1944" s="86"/>
      <c r="J1944" s="87"/>
      <c r="K1944" s="85"/>
      <c r="L1944" s="85"/>
      <c r="P1944" s="85"/>
      <c r="Q1944" s="85"/>
      <c r="R1944" s="81"/>
    </row>
    <row r="1945" spans="7:18" x14ac:dyDescent="0.3">
      <c r="G1945" s="85"/>
      <c r="H1945" s="86"/>
      <c r="I1945" s="86"/>
      <c r="J1945" s="87"/>
      <c r="K1945" s="85"/>
      <c r="L1945" s="85"/>
      <c r="P1945" s="85"/>
      <c r="Q1945" s="85"/>
      <c r="R1945" s="81"/>
    </row>
    <row r="1946" spans="7:18" x14ac:dyDescent="0.3">
      <c r="G1946" s="85"/>
      <c r="H1946" s="86"/>
      <c r="I1946" s="86"/>
      <c r="J1946" s="87"/>
      <c r="K1946" s="85"/>
      <c r="L1946" s="85"/>
      <c r="P1946" s="85"/>
      <c r="Q1946" s="85"/>
      <c r="R1946" s="81"/>
    </row>
    <row r="1947" spans="7:18" x14ac:dyDescent="0.3">
      <c r="G1947" s="85"/>
      <c r="H1947" s="86"/>
      <c r="I1947" s="86"/>
      <c r="J1947" s="87"/>
      <c r="K1947" s="85"/>
      <c r="L1947" s="85"/>
      <c r="P1947" s="85"/>
      <c r="Q1947" s="85"/>
      <c r="R1947" s="81"/>
    </row>
    <row r="1948" spans="7:18" x14ac:dyDescent="0.3">
      <c r="G1948" s="85"/>
      <c r="H1948" s="86"/>
      <c r="I1948" s="86"/>
      <c r="J1948" s="87"/>
      <c r="K1948" s="85"/>
      <c r="L1948" s="85"/>
      <c r="P1948" s="85"/>
      <c r="Q1948" s="85"/>
      <c r="R1948" s="81"/>
    </row>
    <row r="1949" spans="7:18" x14ac:dyDescent="0.3">
      <c r="G1949" s="85"/>
      <c r="H1949" s="86"/>
      <c r="I1949" s="86"/>
      <c r="J1949" s="87"/>
      <c r="K1949" s="85"/>
      <c r="L1949" s="85"/>
      <c r="P1949" s="85"/>
      <c r="Q1949" s="85"/>
      <c r="R1949" s="81"/>
    </row>
    <row r="1950" spans="7:18" x14ac:dyDescent="0.3">
      <c r="G1950" s="85"/>
      <c r="H1950" s="86"/>
      <c r="I1950" s="86"/>
      <c r="J1950" s="87"/>
      <c r="K1950" s="85"/>
      <c r="L1950" s="85"/>
      <c r="P1950" s="85"/>
      <c r="Q1950" s="85"/>
      <c r="R1950" s="81"/>
    </row>
    <row r="1951" spans="7:18" x14ac:dyDescent="0.3">
      <c r="G1951" s="85"/>
      <c r="H1951" s="86"/>
      <c r="I1951" s="86"/>
      <c r="J1951" s="87"/>
      <c r="K1951" s="85"/>
      <c r="L1951" s="85"/>
      <c r="P1951" s="85"/>
      <c r="Q1951" s="85"/>
      <c r="R1951" s="81"/>
    </row>
    <row r="1952" spans="7:18" x14ac:dyDescent="0.3">
      <c r="G1952" s="85"/>
      <c r="H1952" s="86"/>
      <c r="I1952" s="86"/>
      <c r="J1952" s="87"/>
      <c r="K1952" s="85"/>
      <c r="L1952" s="85"/>
      <c r="P1952" s="85"/>
      <c r="Q1952" s="85"/>
      <c r="R1952" s="81"/>
    </row>
    <row r="1953" spans="7:18" x14ac:dyDescent="0.3">
      <c r="G1953" s="85"/>
      <c r="H1953" s="86"/>
      <c r="I1953" s="86"/>
      <c r="J1953" s="87"/>
      <c r="K1953" s="85"/>
      <c r="L1953" s="85"/>
      <c r="P1953" s="85"/>
      <c r="Q1953" s="85"/>
      <c r="R1953" s="81"/>
    </row>
    <row r="1954" spans="7:18" x14ac:dyDescent="0.3">
      <c r="G1954" s="85"/>
      <c r="H1954" s="86"/>
      <c r="I1954" s="86"/>
      <c r="J1954" s="87"/>
      <c r="K1954" s="85"/>
      <c r="L1954" s="85"/>
      <c r="P1954" s="85"/>
      <c r="Q1954" s="85"/>
      <c r="R1954" s="81"/>
    </row>
    <row r="1955" spans="7:18" x14ac:dyDescent="0.3">
      <c r="G1955" s="85"/>
      <c r="H1955" s="86"/>
      <c r="I1955" s="86"/>
      <c r="J1955" s="87"/>
      <c r="K1955" s="85"/>
      <c r="L1955" s="85"/>
      <c r="P1955" s="85"/>
      <c r="Q1955" s="85"/>
      <c r="R1955" s="81"/>
    </row>
    <row r="1956" spans="7:18" x14ac:dyDescent="0.3">
      <c r="G1956" s="85"/>
      <c r="H1956" s="86"/>
      <c r="I1956" s="86"/>
      <c r="J1956" s="87"/>
      <c r="K1956" s="85"/>
      <c r="L1956" s="85"/>
      <c r="P1956" s="85"/>
      <c r="Q1956" s="85"/>
      <c r="R1956" s="81"/>
    </row>
    <row r="1957" spans="7:18" x14ac:dyDescent="0.3">
      <c r="G1957" s="85"/>
      <c r="H1957" s="86"/>
      <c r="I1957" s="86"/>
      <c r="J1957" s="87"/>
      <c r="K1957" s="85"/>
      <c r="L1957" s="85"/>
      <c r="P1957" s="85"/>
      <c r="Q1957" s="85"/>
      <c r="R1957" s="81"/>
    </row>
    <row r="1958" spans="7:18" x14ac:dyDescent="0.3">
      <c r="G1958" s="85"/>
      <c r="H1958" s="86"/>
      <c r="I1958" s="86"/>
      <c r="J1958" s="87"/>
      <c r="K1958" s="85"/>
      <c r="L1958" s="85"/>
      <c r="P1958" s="85"/>
      <c r="Q1958" s="85"/>
      <c r="R1958" s="81"/>
    </row>
    <row r="1959" spans="7:18" x14ac:dyDescent="0.3">
      <c r="G1959" s="85"/>
      <c r="H1959" s="86"/>
      <c r="I1959" s="86"/>
      <c r="J1959" s="87"/>
      <c r="K1959" s="85"/>
      <c r="L1959" s="85"/>
      <c r="P1959" s="85"/>
      <c r="Q1959" s="85"/>
      <c r="R1959" s="81"/>
    </row>
    <row r="1960" spans="7:18" x14ac:dyDescent="0.3">
      <c r="G1960" s="85"/>
      <c r="H1960" s="86"/>
      <c r="I1960" s="86"/>
      <c r="J1960" s="87"/>
      <c r="K1960" s="85"/>
      <c r="L1960" s="85"/>
      <c r="P1960" s="85"/>
      <c r="Q1960" s="85"/>
      <c r="R1960" s="81"/>
    </row>
    <row r="1961" spans="7:18" x14ac:dyDescent="0.3">
      <c r="G1961" s="85"/>
      <c r="H1961" s="86"/>
      <c r="I1961" s="86"/>
      <c r="J1961" s="87"/>
      <c r="K1961" s="85"/>
      <c r="L1961" s="85"/>
      <c r="P1961" s="85"/>
      <c r="Q1961" s="85"/>
      <c r="R1961" s="81"/>
    </row>
    <row r="1962" spans="7:18" x14ac:dyDescent="0.3">
      <c r="G1962" s="85"/>
      <c r="H1962" s="86"/>
      <c r="I1962" s="86"/>
      <c r="J1962" s="87"/>
      <c r="K1962" s="85"/>
      <c r="L1962" s="85"/>
      <c r="P1962" s="85"/>
      <c r="Q1962" s="85"/>
      <c r="R1962" s="81"/>
    </row>
    <row r="1963" spans="7:18" x14ac:dyDescent="0.3">
      <c r="G1963" s="85"/>
      <c r="H1963" s="86"/>
      <c r="I1963" s="86"/>
      <c r="J1963" s="87"/>
      <c r="K1963" s="85"/>
      <c r="L1963" s="85"/>
      <c r="P1963" s="85"/>
      <c r="Q1963" s="85"/>
      <c r="R1963" s="81"/>
    </row>
    <row r="1964" spans="7:18" x14ac:dyDescent="0.3">
      <c r="G1964" s="85"/>
      <c r="H1964" s="86"/>
      <c r="I1964" s="86"/>
      <c r="J1964" s="87"/>
      <c r="K1964" s="85"/>
      <c r="L1964" s="85"/>
      <c r="P1964" s="85"/>
      <c r="Q1964" s="85"/>
      <c r="R1964" s="81"/>
    </row>
    <row r="1965" spans="7:18" x14ac:dyDescent="0.3">
      <c r="G1965" s="85"/>
      <c r="H1965" s="86"/>
      <c r="I1965" s="86"/>
      <c r="J1965" s="87"/>
      <c r="K1965" s="85"/>
      <c r="L1965" s="85"/>
      <c r="P1965" s="85"/>
      <c r="Q1965" s="85"/>
      <c r="R1965" s="81"/>
    </row>
    <row r="1966" spans="7:18" x14ac:dyDescent="0.3">
      <c r="G1966" s="85"/>
      <c r="H1966" s="86"/>
      <c r="I1966" s="86"/>
      <c r="J1966" s="87"/>
      <c r="K1966" s="85"/>
      <c r="L1966" s="85"/>
      <c r="P1966" s="85"/>
      <c r="Q1966" s="85"/>
      <c r="R1966" s="81"/>
    </row>
    <row r="1967" spans="7:18" x14ac:dyDescent="0.3">
      <c r="G1967" s="85"/>
      <c r="H1967" s="86"/>
      <c r="I1967" s="86"/>
      <c r="J1967" s="87"/>
      <c r="K1967" s="85"/>
      <c r="L1967" s="85"/>
      <c r="P1967" s="85"/>
      <c r="Q1967" s="85"/>
      <c r="R1967" s="81"/>
    </row>
    <row r="1968" spans="7:18" x14ac:dyDescent="0.3">
      <c r="G1968" s="85"/>
      <c r="H1968" s="86"/>
      <c r="I1968" s="86"/>
      <c r="J1968" s="87"/>
      <c r="K1968" s="85"/>
      <c r="L1968" s="85"/>
      <c r="P1968" s="85"/>
      <c r="Q1968" s="85"/>
      <c r="R1968" s="81"/>
    </row>
    <row r="1969" spans="7:18" x14ac:dyDescent="0.3">
      <c r="G1969" s="85"/>
      <c r="H1969" s="86"/>
      <c r="I1969" s="86"/>
      <c r="J1969" s="87"/>
      <c r="K1969" s="85"/>
      <c r="L1969" s="85"/>
      <c r="P1969" s="85"/>
      <c r="Q1969" s="85"/>
      <c r="R1969" s="81"/>
    </row>
    <row r="1970" spans="7:18" x14ac:dyDescent="0.3">
      <c r="G1970" s="85"/>
      <c r="H1970" s="86"/>
      <c r="I1970" s="86"/>
      <c r="J1970" s="87"/>
      <c r="K1970" s="85"/>
      <c r="L1970" s="85"/>
      <c r="P1970" s="85"/>
      <c r="Q1970" s="85"/>
      <c r="R1970" s="81"/>
    </row>
    <row r="1971" spans="7:18" x14ac:dyDescent="0.3">
      <c r="G1971" s="85"/>
      <c r="H1971" s="86"/>
      <c r="I1971" s="86"/>
      <c r="J1971" s="87"/>
      <c r="K1971" s="85"/>
      <c r="L1971" s="85"/>
      <c r="P1971" s="85"/>
      <c r="Q1971" s="85"/>
      <c r="R1971" s="81"/>
    </row>
    <row r="1972" spans="7:18" x14ac:dyDescent="0.3">
      <c r="G1972" s="85"/>
      <c r="H1972" s="86"/>
      <c r="I1972" s="86"/>
      <c r="J1972" s="87"/>
      <c r="K1972" s="85"/>
      <c r="L1972" s="85"/>
      <c r="P1972" s="85"/>
      <c r="Q1972" s="85"/>
      <c r="R1972" s="81"/>
    </row>
    <row r="1973" spans="7:18" x14ac:dyDescent="0.3">
      <c r="G1973" s="85"/>
      <c r="H1973" s="86"/>
      <c r="I1973" s="86"/>
      <c r="J1973" s="87"/>
      <c r="K1973" s="85"/>
      <c r="L1973" s="85"/>
      <c r="P1973" s="85"/>
      <c r="Q1973" s="85"/>
      <c r="R1973" s="81"/>
    </row>
    <row r="1974" spans="7:18" x14ac:dyDescent="0.3">
      <c r="G1974" s="85"/>
      <c r="H1974" s="86"/>
      <c r="I1974" s="86"/>
      <c r="J1974" s="87"/>
      <c r="K1974" s="85"/>
      <c r="L1974" s="85"/>
      <c r="P1974" s="85"/>
      <c r="Q1974" s="85"/>
      <c r="R1974" s="81"/>
    </row>
    <row r="1975" spans="7:18" x14ac:dyDescent="0.3">
      <c r="G1975" s="85"/>
      <c r="H1975" s="86"/>
      <c r="I1975" s="86"/>
      <c r="J1975" s="87"/>
      <c r="K1975" s="85"/>
      <c r="L1975" s="85"/>
      <c r="P1975" s="85"/>
      <c r="Q1975" s="85"/>
      <c r="R1975" s="81"/>
    </row>
    <row r="1976" spans="7:18" x14ac:dyDescent="0.3">
      <c r="G1976" s="85"/>
      <c r="H1976" s="86"/>
      <c r="I1976" s="86"/>
      <c r="J1976" s="87"/>
      <c r="K1976" s="85"/>
      <c r="L1976" s="85"/>
      <c r="P1976" s="85"/>
      <c r="Q1976" s="85"/>
      <c r="R1976" s="81"/>
    </row>
    <row r="1977" spans="7:18" x14ac:dyDescent="0.3">
      <c r="G1977" s="85"/>
      <c r="H1977" s="86"/>
      <c r="I1977" s="86"/>
      <c r="J1977" s="87"/>
      <c r="K1977" s="85"/>
      <c r="L1977" s="85"/>
      <c r="P1977" s="85"/>
      <c r="Q1977" s="85"/>
      <c r="R1977" s="81"/>
    </row>
    <row r="1978" spans="7:18" x14ac:dyDescent="0.3">
      <c r="G1978" s="85"/>
      <c r="H1978" s="86"/>
      <c r="I1978" s="86"/>
      <c r="J1978" s="87"/>
      <c r="K1978" s="85"/>
      <c r="L1978" s="85"/>
      <c r="P1978" s="85"/>
      <c r="Q1978" s="85"/>
      <c r="R1978" s="81"/>
    </row>
    <row r="1979" spans="7:18" x14ac:dyDescent="0.3">
      <c r="G1979" s="85"/>
      <c r="H1979" s="86"/>
      <c r="I1979" s="86"/>
      <c r="J1979" s="87"/>
      <c r="K1979" s="85"/>
      <c r="L1979" s="85"/>
      <c r="P1979" s="85"/>
      <c r="Q1979" s="85"/>
      <c r="R1979" s="81"/>
    </row>
    <row r="1980" spans="7:18" x14ac:dyDescent="0.3">
      <c r="G1980" s="85"/>
      <c r="H1980" s="86"/>
      <c r="I1980" s="86"/>
      <c r="J1980" s="87"/>
      <c r="K1980" s="85"/>
      <c r="L1980" s="85"/>
      <c r="P1980" s="85"/>
      <c r="Q1980" s="85"/>
      <c r="R1980" s="81"/>
    </row>
    <row r="1981" spans="7:18" x14ac:dyDescent="0.3">
      <c r="G1981" s="85"/>
      <c r="H1981" s="86"/>
      <c r="I1981" s="86"/>
      <c r="J1981" s="87"/>
      <c r="K1981" s="85"/>
      <c r="L1981" s="85"/>
      <c r="P1981" s="85"/>
      <c r="Q1981" s="85"/>
      <c r="R1981" s="81"/>
    </row>
    <row r="1982" spans="7:18" x14ac:dyDescent="0.3">
      <c r="G1982" s="85"/>
      <c r="H1982" s="86"/>
      <c r="I1982" s="86"/>
      <c r="J1982" s="87"/>
      <c r="K1982" s="85"/>
      <c r="L1982" s="85"/>
      <c r="P1982" s="85"/>
      <c r="Q1982" s="85"/>
      <c r="R1982" s="81"/>
    </row>
    <row r="1983" spans="7:18" x14ac:dyDescent="0.3">
      <c r="G1983" s="85"/>
      <c r="H1983" s="86"/>
      <c r="I1983" s="86"/>
      <c r="J1983" s="87"/>
      <c r="K1983" s="85"/>
      <c r="L1983" s="85"/>
      <c r="P1983" s="85"/>
      <c r="Q1983" s="85"/>
      <c r="R1983" s="81"/>
    </row>
    <row r="1984" spans="7:18" x14ac:dyDescent="0.3">
      <c r="G1984" s="85"/>
      <c r="H1984" s="86"/>
      <c r="I1984" s="86"/>
      <c r="J1984" s="87"/>
      <c r="K1984" s="85"/>
      <c r="L1984" s="85"/>
      <c r="P1984" s="85"/>
      <c r="Q1984" s="85"/>
      <c r="R1984" s="81"/>
    </row>
    <row r="1985" spans="7:18" x14ac:dyDescent="0.3">
      <c r="G1985" s="85"/>
      <c r="H1985" s="86"/>
      <c r="I1985" s="86"/>
      <c r="J1985" s="87"/>
      <c r="K1985" s="85"/>
      <c r="L1985" s="85"/>
      <c r="P1985" s="85"/>
      <c r="Q1985" s="85"/>
      <c r="R1985" s="81"/>
    </row>
    <row r="1986" spans="7:18" x14ac:dyDescent="0.3">
      <c r="G1986" s="85"/>
      <c r="H1986" s="86"/>
      <c r="I1986" s="86"/>
      <c r="J1986" s="87"/>
      <c r="K1986" s="85"/>
      <c r="L1986" s="85"/>
      <c r="P1986" s="85"/>
      <c r="Q1986" s="85"/>
      <c r="R1986" s="81"/>
    </row>
    <row r="1987" spans="7:18" x14ac:dyDescent="0.3">
      <c r="G1987" s="85"/>
      <c r="H1987" s="86"/>
      <c r="I1987" s="86"/>
      <c r="J1987" s="87"/>
      <c r="K1987" s="85"/>
      <c r="L1987" s="85"/>
      <c r="P1987" s="85"/>
      <c r="Q1987" s="85"/>
      <c r="R1987" s="81"/>
    </row>
    <row r="1988" spans="7:18" x14ac:dyDescent="0.3">
      <c r="G1988" s="85"/>
      <c r="H1988" s="86"/>
      <c r="I1988" s="86"/>
      <c r="J1988" s="87"/>
      <c r="K1988" s="85"/>
      <c r="L1988" s="85"/>
      <c r="P1988" s="85"/>
      <c r="Q1988" s="85"/>
      <c r="R1988" s="81"/>
    </row>
    <row r="1989" spans="7:18" x14ac:dyDescent="0.3">
      <c r="G1989" s="85"/>
      <c r="H1989" s="86"/>
      <c r="I1989" s="86"/>
      <c r="J1989" s="87"/>
      <c r="K1989" s="85"/>
      <c r="L1989" s="85"/>
      <c r="P1989" s="85"/>
      <c r="Q1989" s="85"/>
      <c r="R1989" s="81"/>
    </row>
    <row r="1990" spans="7:18" x14ac:dyDescent="0.3">
      <c r="G1990" s="85"/>
      <c r="H1990" s="86"/>
      <c r="I1990" s="86"/>
      <c r="J1990" s="87"/>
      <c r="K1990" s="85"/>
      <c r="L1990" s="85"/>
      <c r="P1990" s="85"/>
      <c r="Q1990" s="85"/>
      <c r="R1990" s="81"/>
    </row>
    <row r="1991" spans="7:18" x14ac:dyDescent="0.3">
      <c r="G1991" s="85"/>
      <c r="H1991" s="86"/>
      <c r="I1991" s="86"/>
      <c r="J1991" s="87"/>
      <c r="K1991" s="85"/>
      <c r="L1991" s="85"/>
      <c r="P1991" s="85"/>
      <c r="Q1991" s="85"/>
      <c r="R1991" s="81"/>
    </row>
    <row r="1992" spans="7:18" x14ac:dyDescent="0.3">
      <c r="G1992" s="85"/>
      <c r="H1992" s="86"/>
      <c r="I1992" s="86"/>
      <c r="J1992" s="87"/>
      <c r="K1992" s="85"/>
      <c r="L1992" s="85"/>
      <c r="P1992" s="85"/>
      <c r="Q1992" s="85"/>
      <c r="R1992" s="81"/>
    </row>
    <row r="1993" spans="7:18" x14ac:dyDescent="0.3">
      <c r="G1993" s="85"/>
      <c r="H1993" s="86"/>
      <c r="I1993" s="86"/>
      <c r="J1993" s="87"/>
      <c r="K1993" s="85"/>
      <c r="L1993" s="85"/>
      <c r="P1993" s="85"/>
      <c r="Q1993" s="85"/>
      <c r="R1993" s="81"/>
    </row>
    <row r="1994" spans="7:18" x14ac:dyDescent="0.3">
      <c r="G1994" s="85"/>
      <c r="H1994" s="86"/>
      <c r="I1994" s="86"/>
      <c r="J1994" s="87"/>
      <c r="K1994" s="85"/>
      <c r="L1994" s="85"/>
      <c r="P1994" s="85"/>
      <c r="Q1994" s="85"/>
      <c r="R1994" s="81"/>
    </row>
    <row r="1995" spans="7:18" x14ac:dyDescent="0.3">
      <c r="G1995" s="85"/>
      <c r="H1995" s="86"/>
      <c r="I1995" s="86"/>
      <c r="J1995" s="87"/>
      <c r="K1995" s="85"/>
      <c r="L1995" s="85"/>
      <c r="P1995" s="85"/>
      <c r="Q1995" s="85"/>
      <c r="R1995" s="81"/>
    </row>
    <row r="1996" spans="7:18" x14ac:dyDescent="0.3">
      <c r="G1996" s="85"/>
      <c r="H1996" s="86"/>
      <c r="I1996" s="86"/>
      <c r="J1996" s="87"/>
      <c r="K1996" s="85"/>
      <c r="L1996" s="85"/>
      <c r="P1996" s="85"/>
      <c r="Q1996" s="85"/>
      <c r="R1996" s="81"/>
    </row>
    <row r="1997" spans="7:18" x14ac:dyDescent="0.3">
      <c r="G1997" s="85"/>
      <c r="H1997" s="86"/>
      <c r="I1997" s="86"/>
      <c r="J1997" s="87"/>
      <c r="K1997" s="85"/>
      <c r="L1997" s="85"/>
      <c r="P1997" s="85"/>
      <c r="Q1997" s="85"/>
      <c r="R1997" s="81"/>
    </row>
    <row r="1998" spans="7:18" x14ac:dyDescent="0.3">
      <c r="G1998" s="85"/>
      <c r="H1998" s="86"/>
      <c r="I1998" s="86"/>
      <c r="J1998" s="87"/>
      <c r="K1998" s="85"/>
      <c r="L1998" s="85"/>
      <c r="P1998" s="85"/>
      <c r="Q1998" s="85"/>
      <c r="R1998" s="81"/>
    </row>
    <row r="1999" spans="7:18" x14ac:dyDescent="0.3">
      <c r="G1999" s="85"/>
      <c r="H1999" s="86"/>
      <c r="I1999" s="86"/>
      <c r="J1999" s="87"/>
      <c r="K1999" s="85"/>
      <c r="L1999" s="85"/>
      <c r="P1999" s="85"/>
      <c r="Q1999" s="85"/>
      <c r="R1999" s="81"/>
    </row>
    <row r="2000" spans="7:18" x14ac:dyDescent="0.3">
      <c r="G2000" s="85"/>
      <c r="H2000" s="86"/>
      <c r="I2000" s="86"/>
      <c r="J2000" s="87"/>
      <c r="K2000" s="85"/>
      <c r="L2000" s="85"/>
      <c r="P2000" s="85"/>
      <c r="Q2000" s="85"/>
      <c r="R2000" s="81"/>
    </row>
    <row r="2001" spans="7:18" x14ac:dyDescent="0.3">
      <c r="G2001" s="85"/>
      <c r="H2001" s="86"/>
      <c r="I2001" s="86"/>
      <c r="J2001" s="87"/>
      <c r="K2001" s="85"/>
      <c r="L2001" s="85"/>
      <c r="P2001" s="85"/>
      <c r="Q2001" s="85"/>
      <c r="R2001" s="81"/>
    </row>
    <row r="2002" spans="7:18" x14ac:dyDescent="0.3">
      <c r="G2002" s="85"/>
      <c r="H2002" s="86"/>
      <c r="I2002" s="86"/>
      <c r="J2002" s="87"/>
      <c r="K2002" s="85"/>
      <c r="L2002" s="85"/>
      <c r="P2002" s="85"/>
      <c r="Q2002" s="85"/>
      <c r="R2002" s="81"/>
    </row>
    <row r="2003" spans="7:18" x14ac:dyDescent="0.3">
      <c r="G2003" s="85"/>
      <c r="H2003" s="86"/>
      <c r="I2003" s="86"/>
      <c r="J2003" s="87"/>
      <c r="K2003" s="85"/>
      <c r="L2003" s="85"/>
      <c r="P2003" s="85"/>
      <c r="Q2003" s="85"/>
      <c r="R2003" s="81"/>
    </row>
    <row r="2004" spans="7:18" x14ac:dyDescent="0.3">
      <c r="G2004" s="85"/>
      <c r="H2004" s="86"/>
      <c r="I2004" s="86"/>
      <c r="J2004" s="87"/>
      <c r="K2004" s="85"/>
      <c r="L2004" s="85"/>
      <c r="P2004" s="85"/>
      <c r="Q2004" s="85"/>
      <c r="R2004" s="81"/>
    </row>
    <row r="2005" spans="7:18" x14ac:dyDescent="0.3">
      <c r="G2005" s="85"/>
      <c r="H2005" s="86"/>
      <c r="I2005" s="86"/>
      <c r="J2005" s="87"/>
      <c r="K2005" s="85"/>
      <c r="L2005" s="85"/>
      <c r="P2005" s="85"/>
      <c r="Q2005" s="85"/>
      <c r="R2005" s="81"/>
    </row>
    <row r="2006" spans="7:18" x14ac:dyDescent="0.3">
      <c r="G2006" s="85"/>
      <c r="H2006" s="86"/>
      <c r="I2006" s="86"/>
      <c r="J2006" s="87"/>
      <c r="K2006" s="85"/>
      <c r="L2006" s="85"/>
      <c r="P2006" s="85"/>
      <c r="Q2006" s="85"/>
      <c r="R2006" s="81"/>
    </row>
    <row r="2007" spans="7:18" x14ac:dyDescent="0.3">
      <c r="G2007" s="85"/>
      <c r="H2007" s="86"/>
      <c r="I2007" s="86"/>
      <c r="J2007" s="87"/>
      <c r="K2007" s="85"/>
      <c r="L2007" s="85"/>
      <c r="P2007" s="85"/>
      <c r="Q2007" s="85"/>
      <c r="R2007" s="81"/>
    </row>
    <row r="2008" spans="7:18" x14ac:dyDescent="0.3">
      <c r="G2008" s="85"/>
      <c r="H2008" s="86"/>
      <c r="I2008" s="86"/>
      <c r="J2008" s="87"/>
      <c r="K2008" s="85"/>
      <c r="L2008" s="85"/>
      <c r="P2008" s="85"/>
      <c r="Q2008" s="85"/>
      <c r="R2008" s="81"/>
    </row>
    <row r="2009" spans="7:18" x14ac:dyDescent="0.3">
      <c r="G2009" s="85"/>
      <c r="H2009" s="86"/>
      <c r="I2009" s="86"/>
      <c r="J2009" s="87"/>
      <c r="K2009" s="85"/>
      <c r="L2009" s="85"/>
      <c r="P2009" s="85"/>
      <c r="Q2009" s="85"/>
      <c r="R2009" s="81"/>
    </row>
    <row r="2010" spans="7:18" x14ac:dyDescent="0.3">
      <c r="G2010" s="85"/>
      <c r="H2010" s="86"/>
      <c r="I2010" s="86"/>
      <c r="J2010" s="87"/>
      <c r="K2010" s="85"/>
      <c r="L2010" s="85"/>
      <c r="P2010" s="85"/>
      <c r="Q2010" s="85"/>
      <c r="R2010" s="81"/>
    </row>
    <row r="2011" spans="7:18" x14ac:dyDescent="0.3">
      <c r="G2011" s="85"/>
      <c r="H2011" s="86"/>
      <c r="I2011" s="86"/>
      <c r="J2011" s="87"/>
      <c r="K2011" s="85"/>
      <c r="L2011" s="85"/>
      <c r="P2011" s="85"/>
      <c r="Q2011" s="85"/>
      <c r="R2011" s="81"/>
    </row>
    <row r="2012" spans="7:18" x14ac:dyDescent="0.3">
      <c r="G2012" s="85"/>
      <c r="H2012" s="86"/>
      <c r="I2012" s="86"/>
      <c r="J2012" s="87"/>
      <c r="K2012" s="85"/>
      <c r="L2012" s="85"/>
      <c r="P2012" s="85"/>
      <c r="Q2012" s="85"/>
      <c r="R2012" s="81"/>
    </row>
    <row r="2013" spans="7:18" x14ac:dyDescent="0.3">
      <c r="G2013" s="85"/>
      <c r="H2013" s="86"/>
      <c r="I2013" s="86"/>
      <c r="J2013" s="87"/>
      <c r="K2013" s="85"/>
      <c r="L2013" s="85"/>
      <c r="P2013" s="85"/>
      <c r="Q2013" s="85"/>
      <c r="R2013" s="81"/>
    </row>
    <row r="2014" spans="7:18" x14ac:dyDescent="0.3">
      <c r="G2014" s="85"/>
      <c r="H2014" s="86"/>
      <c r="I2014" s="86"/>
      <c r="J2014" s="87"/>
      <c r="K2014" s="85"/>
      <c r="L2014" s="85"/>
      <c r="P2014" s="85"/>
      <c r="Q2014" s="85"/>
      <c r="R2014" s="81"/>
    </row>
    <row r="2015" spans="7:18" x14ac:dyDescent="0.3">
      <c r="G2015" s="85"/>
      <c r="H2015" s="86"/>
      <c r="I2015" s="86"/>
      <c r="J2015" s="87"/>
      <c r="K2015" s="85"/>
      <c r="L2015" s="85"/>
      <c r="P2015" s="85"/>
      <c r="Q2015" s="85"/>
      <c r="R2015" s="81"/>
    </row>
    <row r="2016" spans="7:18" x14ac:dyDescent="0.3">
      <c r="G2016" s="85"/>
      <c r="H2016" s="86"/>
      <c r="I2016" s="86"/>
      <c r="J2016" s="87"/>
      <c r="K2016" s="85"/>
      <c r="L2016" s="85"/>
      <c r="P2016" s="85"/>
      <c r="Q2016" s="85"/>
      <c r="R2016" s="81"/>
    </row>
    <row r="2017" spans="7:18" x14ac:dyDescent="0.3">
      <c r="G2017" s="85"/>
      <c r="H2017" s="86"/>
      <c r="I2017" s="86"/>
      <c r="J2017" s="87"/>
      <c r="K2017" s="85"/>
      <c r="L2017" s="85"/>
      <c r="P2017" s="85"/>
      <c r="Q2017" s="85"/>
      <c r="R2017" s="81"/>
    </row>
    <row r="2018" spans="7:18" x14ac:dyDescent="0.3">
      <c r="G2018" s="85"/>
      <c r="H2018" s="86"/>
      <c r="I2018" s="86"/>
      <c r="J2018" s="87"/>
      <c r="K2018" s="85"/>
      <c r="L2018" s="85"/>
      <c r="P2018" s="85"/>
      <c r="Q2018" s="85"/>
      <c r="R2018" s="81"/>
    </row>
    <row r="2019" spans="7:18" x14ac:dyDescent="0.3">
      <c r="G2019" s="85"/>
      <c r="H2019" s="86"/>
      <c r="I2019" s="86"/>
      <c r="J2019" s="87"/>
      <c r="K2019" s="85"/>
      <c r="L2019" s="85"/>
      <c r="P2019" s="85"/>
      <c r="Q2019" s="85"/>
      <c r="R2019" s="81"/>
    </row>
    <row r="2020" spans="7:18" x14ac:dyDescent="0.3">
      <c r="G2020" s="85"/>
      <c r="H2020" s="86"/>
      <c r="I2020" s="86"/>
      <c r="J2020" s="87"/>
      <c r="K2020" s="85"/>
      <c r="L2020" s="85"/>
      <c r="P2020" s="85"/>
      <c r="Q2020" s="85"/>
      <c r="R2020" s="81"/>
    </row>
    <row r="2021" spans="7:18" x14ac:dyDescent="0.3">
      <c r="G2021" s="85"/>
      <c r="H2021" s="86"/>
      <c r="I2021" s="86"/>
      <c r="J2021" s="87"/>
      <c r="K2021" s="85"/>
      <c r="L2021" s="85"/>
      <c r="P2021" s="85"/>
      <c r="Q2021" s="85"/>
      <c r="R2021" s="81"/>
    </row>
    <row r="2022" spans="7:18" x14ac:dyDescent="0.3">
      <c r="G2022" s="85"/>
      <c r="H2022" s="86"/>
      <c r="I2022" s="86"/>
      <c r="J2022" s="87"/>
      <c r="K2022" s="85"/>
      <c r="L2022" s="85"/>
      <c r="P2022" s="85"/>
      <c r="Q2022" s="85"/>
      <c r="R2022" s="81"/>
    </row>
    <row r="2023" spans="7:18" x14ac:dyDescent="0.3">
      <c r="G2023" s="85"/>
      <c r="H2023" s="86"/>
      <c r="I2023" s="86"/>
      <c r="J2023" s="87"/>
      <c r="K2023" s="85"/>
      <c r="L2023" s="85"/>
      <c r="P2023" s="85"/>
      <c r="Q2023" s="85"/>
      <c r="R2023" s="81"/>
    </row>
    <row r="2024" spans="7:18" x14ac:dyDescent="0.3">
      <c r="G2024" s="85"/>
      <c r="H2024" s="86"/>
      <c r="I2024" s="86"/>
      <c r="J2024" s="87"/>
      <c r="K2024" s="85"/>
      <c r="L2024" s="85"/>
      <c r="P2024" s="85"/>
      <c r="Q2024" s="85"/>
      <c r="R2024" s="81"/>
    </row>
    <row r="2025" spans="7:18" x14ac:dyDescent="0.3">
      <c r="G2025" s="85"/>
      <c r="H2025" s="86"/>
      <c r="I2025" s="86"/>
      <c r="J2025" s="87"/>
      <c r="K2025" s="85"/>
      <c r="L2025" s="85"/>
      <c r="P2025" s="85"/>
      <c r="Q2025" s="85"/>
      <c r="R2025" s="81"/>
    </row>
    <row r="2026" spans="7:18" x14ac:dyDescent="0.3">
      <c r="G2026" s="85"/>
      <c r="H2026" s="86"/>
      <c r="I2026" s="86"/>
      <c r="J2026" s="87"/>
      <c r="K2026" s="85"/>
      <c r="L2026" s="85"/>
      <c r="P2026" s="85"/>
      <c r="Q2026" s="85"/>
      <c r="R2026" s="81"/>
    </row>
    <row r="2027" spans="7:18" x14ac:dyDescent="0.3">
      <c r="G2027" s="85"/>
      <c r="H2027" s="86"/>
      <c r="I2027" s="86"/>
      <c r="J2027" s="87"/>
      <c r="K2027" s="85"/>
      <c r="L2027" s="85"/>
      <c r="P2027" s="85"/>
      <c r="Q2027" s="85"/>
      <c r="R2027" s="81"/>
    </row>
    <row r="2028" spans="7:18" x14ac:dyDescent="0.3">
      <c r="G2028" s="85"/>
      <c r="H2028" s="86"/>
      <c r="I2028" s="86"/>
      <c r="J2028" s="87"/>
      <c r="K2028" s="85"/>
      <c r="L2028" s="85"/>
      <c r="P2028" s="85"/>
      <c r="Q2028" s="85"/>
      <c r="R2028" s="81"/>
    </row>
    <row r="2029" spans="7:18" x14ac:dyDescent="0.3">
      <c r="G2029" s="85"/>
      <c r="H2029" s="86"/>
      <c r="I2029" s="86"/>
      <c r="J2029" s="87"/>
      <c r="K2029" s="85"/>
      <c r="L2029" s="85"/>
      <c r="P2029" s="85"/>
      <c r="Q2029" s="85"/>
      <c r="R2029" s="81"/>
    </row>
    <row r="2030" spans="7:18" x14ac:dyDescent="0.3">
      <c r="G2030" s="85"/>
      <c r="H2030" s="86"/>
      <c r="I2030" s="86"/>
      <c r="J2030" s="87"/>
      <c r="K2030" s="85"/>
      <c r="L2030" s="85"/>
      <c r="P2030" s="85"/>
      <c r="Q2030" s="85"/>
      <c r="R2030" s="81"/>
    </row>
    <row r="2031" spans="7:18" x14ac:dyDescent="0.3">
      <c r="G2031" s="85"/>
      <c r="H2031" s="86"/>
      <c r="I2031" s="86"/>
      <c r="J2031" s="87"/>
      <c r="K2031" s="85"/>
      <c r="L2031" s="85"/>
      <c r="P2031" s="85"/>
      <c r="Q2031" s="85"/>
      <c r="R2031" s="81"/>
    </row>
    <row r="2032" spans="7:18" x14ac:dyDescent="0.3">
      <c r="G2032" s="85"/>
      <c r="H2032" s="86"/>
      <c r="I2032" s="86"/>
      <c r="J2032" s="87"/>
      <c r="K2032" s="85"/>
      <c r="L2032" s="85"/>
      <c r="P2032" s="85"/>
      <c r="Q2032" s="85"/>
      <c r="R2032" s="81"/>
    </row>
    <row r="2033" spans="7:18" x14ac:dyDescent="0.3">
      <c r="G2033" s="85"/>
      <c r="H2033" s="86"/>
      <c r="I2033" s="86"/>
      <c r="J2033" s="87"/>
      <c r="K2033" s="85"/>
      <c r="L2033" s="85"/>
      <c r="P2033" s="85"/>
      <c r="Q2033" s="85"/>
      <c r="R2033" s="81"/>
    </row>
    <row r="2034" spans="7:18" x14ac:dyDescent="0.3">
      <c r="G2034" s="85"/>
      <c r="H2034" s="86"/>
      <c r="I2034" s="86"/>
      <c r="J2034" s="87"/>
      <c r="K2034" s="85"/>
      <c r="L2034" s="85"/>
      <c r="P2034" s="85"/>
      <c r="Q2034" s="85"/>
      <c r="R2034" s="81"/>
    </row>
    <row r="2035" spans="7:18" x14ac:dyDescent="0.3">
      <c r="G2035" s="85"/>
      <c r="H2035" s="86"/>
      <c r="I2035" s="86"/>
      <c r="J2035" s="87"/>
      <c r="K2035" s="85"/>
      <c r="L2035" s="85"/>
      <c r="P2035" s="85"/>
      <c r="Q2035" s="85"/>
      <c r="R2035" s="81"/>
    </row>
    <row r="2036" spans="7:18" x14ac:dyDescent="0.3">
      <c r="G2036" s="85"/>
      <c r="H2036" s="86"/>
      <c r="I2036" s="86"/>
      <c r="J2036" s="87"/>
      <c r="K2036" s="85"/>
      <c r="L2036" s="85"/>
      <c r="P2036" s="85"/>
      <c r="Q2036" s="85"/>
      <c r="R2036" s="81"/>
    </row>
    <row r="2037" spans="7:18" x14ac:dyDescent="0.3">
      <c r="G2037" s="85"/>
      <c r="H2037" s="86"/>
      <c r="I2037" s="86"/>
      <c r="J2037" s="87"/>
      <c r="K2037" s="85"/>
      <c r="L2037" s="85"/>
      <c r="P2037" s="85"/>
      <c r="Q2037" s="85"/>
      <c r="R2037" s="81"/>
    </row>
    <row r="2038" spans="7:18" x14ac:dyDescent="0.3">
      <c r="G2038" s="85"/>
      <c r="H2038" s="86"/>
      <c r="I2038" s="86"/>
      <c r="J2038" s="87"/>
      <c r="K2038" s="85"/>
      <c r="L2038" s="85"/>
      <c r="P2038" s="85"/>
      <c r="Q2038" s="85"/>
      <c r="R2038" s="81"/>
    </row>
    <row r="2039" spans="7:18" x14ac:dyDescent="0.3">
      <c r="G2039" s="85"/>
      <c r="H2039" s="86"/>
      <c r="I2039" s="86"/>
      <c r="J2039" s="87"/>
      <c r="K2039" s="85"/>
      <c r="L2039" s="85"/>
      <c r="P2039" s="85"/>
      <c r="Q2039" s="85"/>
      <c r="R2039" s="81"/>
    </row>
    <row r="2040" spans="7:18" x14ac:dyDescent="0.3">
      <c r="G2040" s="85"/>
      <c r="H2040" s="86"/>
      <c r="I2040" s="86"/>
      <c r="J2040" s="87"/>
      <c r="K2040" s="85"/>
      <c r="L2040" s="85"/>
      <c r="P2040" s="85"/>
      <c r="Q2040" s="85"/>
      <c r="R2040" s="81"/>
    </row>
    <row r="2041" spans="7:18" x14ac:dyDescent="0.3">
      <c r="G2041" s="85"/>
      <c r="H2041" s="86"/>
      <c r="I2041" s="86"/>
      <c r="J2041" s="87"/>
      <c r="K2041" s="85"/>
      <c r="L2041" s="85"/>
      <c r="P2041" s="85"/>
      <c r="Q2041" s="85"/>
      <c r="R2041" s="81"/>
    </row>
    <row r="2042" spans="7:18" x14ac:dyDescent="0.3">
      <c r="G2042" s="85"/>
      <c r="H2042" s="86"/>
      <c r="I2042" s="86"/>
      <c r="J2042" s="87"/>
      <c r="K2042" s="85"/>
      <c r="L2042" s="85"/>
      <c r="P2042" s="85"/>
      <c r="Q2042" s="85"/>
      <c r="R2042" s="81"/>
    </row>
    <row r="2043" spans="7:18" x14ac:dyDescent="0.3">
      <c r="G2043" s="85"/>
      <c r="H2043" s="86"/>
      <c r="I2043" s="86"/>
      <c r="J2043" s="87"/>
      <c r="K2043" s="85"/>
      <c r="L2043" s="85"/>
      <c r="P2043" s="85"/>
      <c r="Q2043" s="85"/>
      <c r="R2043" s="81"/>
    </row>
    <row r="2044" spans="7:18" x14ac:dyDescent="0.3">
      <c r="G2044" s="85"/>
      <c r="H2044" s="86"/>
      <c r="I2044" s="86"/>
      <c r="J2044" s="87"/>
      <c r="K2044" s="85"/>
      <c r="L2044" s="85"/>
      <c r="P2044" s="85"/>
      <c r="Q2044" s="85"/>
      <c r="R2044" s="81"/>
    </row>
    <row r="2045" spans="7:18" x14ac:dyDescent="0.3">
      <c r="G2045" s="85"/>
      <c r="H2045" s="86"/>
      <c r="I2045" s="86"/>
      <c r="J2045" s="87"/>
      <c r="K2045" s="85"/>
      <c r="L2045" s="85"/>
      <c r="P2045" s="85"/>
      <c r="Q2045" s="85"/>
      <c r="R2045" s="81"/>
    </row>
    <row r="2046" spans="7:18" x14ac:dyDescent="0.3">
      <c r="G2046" s="85"/>
      <c r="H2046" s="86"/>
      <c r="I2046" s="86"/>
      <c r="J2046" s="87"/>
      <c r="K2046" s="85"/>
      <c r="L2046" s="85"/>
      <c r="P2046" s="85"/>
      <c r="Q2046" s="85"/>
      <c r="R2046" s="81"/>
    </row>
    <row r="2047" spans="7:18" x14ac:dyDescent="0.3">
      <c r="G2047" s="85"/>
      <c r="H2047" s="86"/>
      <c r="I2047" s="86"/>
      <c r="J2047" s="87"/>
      <c r="K2047" s="85"/>
      <c r="L2047" s="85"/>
      <c r="P2047" s="85"/>
      <c r="Q2047" s="85"/>
      <c r="R2047" s="81"/>
    </row>
    <row r="2048" spans="7:18" x14ac:dyDescent="0.3">
      <c r="G2048" s="85"/>
      <c r="H2048" s="86"/>
      <c r="I2048" s="86"/>
      <c r="J2048" s="87"/>
      <c r="K2048" s="85"/>
      <c r="L2048" s="85"/>
      <c r="P2048" s="85"/>
      <c r="Q2048" s="85"/>
      <c r="R2048" s="81"/>
    </row>
    <row r="2049" spans="7:18" x14ac:dyDescent="0.3">
      <c r="G2049" s="85"/>
      <c r="H2049" s="86"/>
      <c r="I2049" s="86"/>
      <c r="J2049" s="87"/>
      <c r="K2049" s="85"/>
      <c r="L2049" s="85"/>
      <c r="P2049" s="85"/>
      <c r="Q2049" s="85"/>
      <c r="R2049" s="81"/>
    </row>
    <row r="2050" spans="7:18" x14ac:dyDescent="0.3">
      <c r="G2050" s="85"/>
      <c r="H2050" s="86"/>
      <c r="I2050" s="86"/>
      <c r="J2050" s="87"/>
      <c r="K2050" s="85"/>
      <c r="L2050" s="85"/>
      <c r="P2050" s="85"/>
      <c r="Q2050" s="85"/>
      <c r="R2050" s="81"/>
    </row>
    <row r="2051" spans="7:18" x14ac:dyDescent="0.3">
      <c r="G2051" s="85"/>
      <c r="H2051" s="86"/>
      <c r="I2051" s="86"/>
      <c r="J2051" s="87"/>
      <c r="K2051" s="85"/>
      <c r="L2051" s="85"/>
      <c r="P2051" s="85"/>
      <c r="Q2051" s="85"/>
      <c r="R2051" s="81"/>
    </row>
    <row r="2052" spans="7:18" x14ac:dyDescent="0.3">
      <c r="G2052" s="85"/>
      <c r="H2052" s="86"/>
      <c r="I2052" s="86"/>
      <c r="J2052" s="87"/>
      <c r="K2052" s="85"/>
      <c r="L2052" s="85"/>
      <c r="P2052" s="85"/>
      <c r="Q2052" s="85"/>
      <c r="R2052" s="81"/>
    </row>
    <row r="2053" spans="7:18" x14ac:dyDescent="0.3">
      <c r="G2053" s="85"/>
      <c r="H2053" s="86"/>
      <c r="I2053" s="86"/>
      <c r="J2053" s="87"/>
      <c r="K2053" s="85"/>
      <c r="L2053" s="85"/>
      <c r="P2053" s="85"/>
      <c r="Q2053" s="85"/>
      <c r="R2053" s="81"/>
    </row>
    <row r="2054" spans="7:18" x14ac:dyDescent="0.3">
      <c r="G2054" s="85"/>
      <c r="H2054" s="86"/>
      <c r="I2054" s="86"/>
      <c r="J2054" s="87"/>
      <c r="K2054" s="85"/>
      <c r="L2054" s="85"/>
      <c r="P2054" s="85"/>
      <c r="Q2054" s="85"/>
      <c r="R2054" s="81"/>
    </row>
    <row r="2055" spans="7:18" x14ac:dyDescent="0.3">
      <c r="G2055" s="85"/>
      <c r="H2055" s="86"/>
      <c r="I2055" s="86"/>
      <c r="J2055" s="87"/>
      <c r="K2055" s="85"/>
      <c r="L2055" s="85"/>
      <c r="P2055" s="85"/>
      <c r="Q2055" s="85"/>
      <c r="R2055" s="81"/>
    </row>
    <row r="2056" spans="7:18" x14ac:dyDescent="0.3">
      <c r="G2056" s="85"/>
      <c r="H2056" s="86"/>
      <c r="I2056" s="86"/>
      <c r="J2056" s="87"/>
      <c r="K2056" s="85"/>
      <c r="L2056" s="85"/>
      <c r="P2056" s="85"/>
      <c r="Q2056" s="85"/>
      <c r="R2056" s="81"/>
    </row>
    <row r="2057" spans="7:18" x14ac:dyDescent="0.3">
      <c r="G2057" s="85"/>
      <c r="H2057" s="86"/>
      <c r="I2057" s="86"/>
      <c r="J2057" s="87"/>
      <c r="K2057" s="85"/>
      <c r="L2057" s="85"/>
      <c r="P2057" s="85"/>
      <c r="Q2057" s="85"/>
      <c r="R2057" s="81"/>
    </row>
    <row r="2058" spans="7:18" x14ac:dyDescent="0.3">
      <c r="G2058" s="85"/>
      <c r="H2058" s="86"/>
      <c r="I2058" s="86"/>
      <c r="J2058" s="87"/>
      <c r="K2058" s="85"/>
      <c r="L2058" s="85"/>
      <c r="P2058" s="85"/>
      <c r="Q2058" s="85"/>
      <c r="R2058" s="81"/>
    </row>
    <row r="2059" spans="7:18" x14ac:dyDescent="0.3">
      <c r="G2059" s="85"/>
      <c r="H2059" s="86"/>
      <c r="I2059" s="86"/>
      <c r="J2059" s="87"/>
      <c r="K2059" s="85"/>
      <c r="L2059" s="85"/>
      <c r="P2059" s="85"/>
      <c r="Q2059" s="85"/>
      <c r="R2059" s="81"/>
    </row>
    <row r="2060" spans="7:18" x14ac:dyDescent="0.3">
      <c r="G2060" s="85"/>
      <c r="H2060" s="86"/>
      <c r="I2060" s="86"/>
      <c r="J2060" s="87"/>
      <c r="K2060" s="85"/>
      <c r="L2060" s="85"/>
      <c r="P2060" s="85"/>
      <c r="Q2060" s="85"/>
      <c r="R2060" s="81"/>
    </row>
    <row r="2061" spans="7:18" x14ac:dyDescent="0.3">
      <c r="G2061" s="85"/>
      <c r="H2061" s="86"/>
      <c r="I2061" s="86"/>
      <c r="J2061" s="87"/>
      <c r="K2061" s="85"/>
      <c r="L2061" s="85"/>
      <c r="P2061" s="85"/>
      <c r="Q2061" s="85"/>
      <c r="R2061" s="81"/>
    </row>
    <row r="2062" spans="7:18" x14ac:dyDescent="0.3">
      <c r="G2062" s="85"/>
      <c r="H2062" s="86"/>
      <c r="I2062" s="86"/>
      <c r="J2062" s="87"/>
      <c r="K2062" s="85"/>
      <c r="L2062" s="85"/>
      <c r="P2062" s="85"/>
      <c r="Q2062" s="85"/>
      <c r="R2062" s="81"/>
    </row>
    <row r="2063" spans="7:18" x14ac:dyDescent="0.3">
      <c r="G2063" s="85"/>
      <c r="H2063" s="86"/>
      <c r="I2063" s="86"/>
      <c r="J2063" s="87"/>
      <c r="K2063" s="85"/>
      <c r="L2063" s="85"/>
      <c r="P2063" s="85"/>
      <c r="Q2063" s="85"/>
      <c r="R2063" s="81"/>
    </row>
    <row r="2064" spans="7:18" x14ac:dyDescent="0.3">
      <c r="G2064" s="85"/>
      <c r="H2064" s="86"/>
      <c r="I2064" s="86"/>
      <c r="J2064" s="87"/>
      <c r="K2064" s="85"/>
      <c r="L2064" s="85"/>
      <c r="P2064" s="85"/>
      <c r="Q2064" s="85"/>
      <c r="R2064" s="81"/>
    </row>
    <row r="2065" spans="7:18" x14ac:dyDescent="0.3">
      <c r="G2065" s="85"/>
      <c r="H2065" s="86"/>
      <c r="I2065" s="86"/>
      <c r="J2065" s="87"/>
      <c r="K2065" s="85"/>
      <c r="L2065" s="85"/>
      <c r="P2065" s="85"/>
      <c r="Q2065" s="85"/>
      <c r="R2065" s="81"/>
    </row>
    <row r="2066" spans="7:18" x14ac:dyDescent="0.3">
      <c r="G2066" s="85"/>
      <c r="H2066" s="86"/>
      <c r="I2066" s="86"/>
      <c r="J2066" s="87"/>
      <c r="K2066" s="85"/>
      <c r="L2066" s="85"/>
      <c r="P2066" s="85"/>
      <c r="Q2066" s="85"/>
      <c r="R2066" s="81"/>
    </row>
    <row r="2067" spans="7:18" x14ac:dyDescent="0.3">
      <c r="G2067" s="85"/>
      <c r="H2067" s="86"/>
      <c r="I2067" s="86"/>
      <c r="J2067" s="87"/>
      <c r="K2067" s="85"/>
      <c r="L2067" s="85"/>
      <c r="P2067" s="85"/>
      <c r="Q2067" s="85"/>
      <c r="R2067" s="81"/>
    </row>
    <row r="2068" spans="7:18" x14ac:dyDescent="0.3">
      <c r="G2068" s="85"/>
      <c r="H2068" s="86"/>
      <c r="I2068" s="86"/>
      <c r="J2068" s="87"/>
      <c r="K2068" s="85"/>
      <c r="L2068" s="85"/>
      <c r="P2068" s="85"/>
      <c r="Q2068" s="85"/>
      <c r="R2068" s="81"/>
    </row>
    <row r="2069" spans="7:18" x14ac:dyDescent="0.3">
      <c r="G2069" s="85"/>
      <c r="H2069" s="86"/>
      <c r="I2069" s="86"/>
      <c r="J2069" s="87"/>
      <c r="K2069" s="85"/>
      <c r="L2069" s="85"/>
      <c r="P2069" s="85"/>
      <c r="Q2069" s="85"/>
      <c r="R2069" s="81"/>
    </row>
    <row r="2070" spans="7:18" x14ac:dyDescent="0.3">
      <c r="G2070" s="85"/>
      <c r="H2070" s="86"/>
      <c r="I2070" s="86"/>
      <c r="J2070" s="87"/>
      <c r="K2070" s="85"/>
      <c r="L2070" s="85"/>
      <c r="P2070" s="85"/>
      <c r="Q2070" s="85"/>
      <c r="R2070" s="81"/>
    </row>
    <row r="2071" spans="7:18" x14ac:dyDescent="0.3">
      <c r="G2071" s="85"/>
      <c r="H2071" s="86"/>
      <c r="I2071" s="86"/>
      <c r="J2071" s="87"/>
      <c r="K2071" s="85"/>
      <c r="L2071" s="85"/>
      <c r="P2071" s="85"/>
      <c r="Q2071" s="85"/>
      <c r="R2071" s="81"/>
    </row>
    <row r="2072" spans="7:18" x14ac:dyDescent="0.3">
      <c r="G2072" s="85"/>
      <c r="H2072" s="86"/>
      <c r="I2072" s="86"/>
      <c r="J2072" s="87"/>
      <c r="K2072" s="85"/>
      <c r="L2072" s="85"/>
      <c r="P2072" s="85"/>
      <c r="Q2072" s="85"/>
      <c r="R2072" s="81"/>
    </row>
    <row r="2073" spans="7:18" x14ac:dyDescent="0.3">
      <c r="G2073" s="85"/>
      <c r="H2073" s="86"/>
      <c r="I2073" s="86"/>
      <c r="J2073" s="87"/>
      <c r="K2073" s="85"/>
      <c r="L2073" s="85"/>
      <c r="P2073" s="85"/>
      <c r="Q2073" s="85"/>
      <c r="R2073" s="81"/>
    </row>
    <row r="2074" spans="7:18" x14ac:dyDescent="0.3">
      <c r="G2074" s="85"/>
      <c r="H2074" s="86"/>
      <c r="I2074" s="86"/>
      <c r="J2074" s="87"/>
      <c r="K2074" s="85"/>
      <c r="L2074" s="85"/>
      <c r="P2074" s="85"/>
      <c r="Q2074" s="85"/>
      <c r="R2074" s="81"/>
    </row>
    <row r="2075" spans="7:18" x14ac:dyDescent="0.3">
      <c r="G2075" s="85"/>
      <c r="H2075" s="86"/>
      <c r="I2075" s="86"/>
      <c r="J2075" s="87"/>
      <c r="K2075" s="85"/>
      <c r="L2075" s="85"/>
      <c r="P2075" s="85"/>
      <c r="Q2075" s="85"/>
      <c r="R2075" s="81"/>
    </row>
    <row r="2076" spans="7:18" x14ac:dyDescent="0.3">
      <c r="G2076" s="85"/>
      <c r="H2076" s="86"/>
      <c r="I2076" s="86"/>
      <c r="J2076" s="87"/>
      <c r="K2076" s="85"/>
      <c r="L2076" s="85"/>
      <c r="P2076" s="85"/>
      <c r="Q2076" s="85"/>
      <c r="R2076" s="81"/>
    </row>
    <row r="2077" spans="7:18" x14ac:dyDescent="0.3">
      <c r="G2077" s="85"/>
      <c r="H2077" s="86"/>
      <c r="I2077" s="86"/>
      <c r="J2077" s="87"/>
      <c r="K2077" s="85"/>
      <c r="L2077" s="85"/>
      <c r="P2077" s="85"/>
      <c r="Q2077" s="85"/>
      <c r="R2077" s="81"/>
    </row>
    <row r="2078" spans="7:18" x14ac:dyDescent="0.3">
      <c r="G2078" s="85"/>
      <c r="H2078" s="86"/>
      <c r="I2078" s="86"/>
      <c r="J2078" s="87"/>
      <c r="K2078" s="85"/>
      <c r="L2078" s="85"/>
      <c r="P2078" s="85"/>
      <c r="Q2078" s="85"/>
      <c r="R2078" s="81"/>
    </row>
    <row r="2079" spans="7:18" x14ac:dyDescent="0.3">
      <c r="G2079" s="85"/>
      <c r="H2079" s="86"/>
      <c r="I2079" s="86"/>
      <c r="J2079" s="87"/>
      <c r="K2079" s="85"/>
      <c r="L2079" s="85"/>
      <c r="P2079" s="85"/>
      <c r="Q2079" s="85"/>
      <c r="R2079" s="81"/>
    </row>
    <row r="2080" spans="7:18" x14ac:dyDescent="0.3">
      <c r="G2080" s="85"/>
      <c r="H2080" s="86"/>
      <c r="I2080" s="86"/>
      <c r="J2080" s="87"/>
      <c r="K2080" s="85"/>
      <c r="L2080" s="85"/>
      <c r="P2080" s="85"/>
      <c r="Q2080" s="85"/>
      <c r="R2080" s="81"/>
    </row>
    <row r="2081" spans="7:18" x14ac:dyDescent="0.3">
      <c r="G2081" s="85"/>
      <c r="H2081" s="86"/>
      <c r="I2081" s="86"/>
      <c r="J2081" s="87"/>
      <c r="K2081" s="85"/>
      <c r="L2081" s="85"/>
      <c r="P2081" s="85"/>
      <c r="Q2081" s="85"/>
      <c r="R2081" s="81"/>
    </row>
    <row r="2082" spans="7:18" x14ac:dyDescent="0.3">
      <c r="G2082" s="85"/>
      <c r="H2082" s="86"/>
      <c r="I2082" s="86"/>
      <c r="J2082" s="87"/>
      <c r="K2082" s="85"/>
      <c r="L2082" s="85"/>
      <c r="P2082" s="85"/>
      <c r="Q2082" s="85"/>
      <c r="R2082" s="81"/>
    </row>
    <row r="2083" spans="7:18" x14ac:dyDescent="0.3">
      <c r="G2083" s="85"/>
      <c r="H2083" s="86"/>
      <c r="I2083" s="86"/>
      <c r="J2083" s="87"/>
      <c r="K2083" s="85"/>
      <c r="L2083" s="85"/>
      <c r="P2083" s="85"/>
      <c r="Q2083" s="85"/>
      <c r="R2083" s="81"/>
    </row>
    <row r="2084" spans="7:18" x14ac:dyDescent="0.3">
      <c r="G2084" s="85"/>
      <c r="H2084" s="86"/>
      <c r="I2084" s="86"/>
      <c r="J2084" s="87"/>
      <c r="K2084" s="85"/>
      <c r="L2084" s="85"/>
      <c r="P2084" s="85"/>
      <c r="Q2084" s="85"/>
      <c r="R2084" s="81"/>
    </row>
    <row r="2085" spans="7:18" x14ac:dyDescent="0.3">
      <c r="G2085" s="85"/>
      <c r="H2085" s="86"/>
      <c r="I2085" s="86"/>
      <c r="J2085" s="87"/>
      <c r="K2085" s="85"/>
      <c r="L2085" s="85"/>
      <c r="P2085" s="85"/>
      <c r="Q2085" s="85"/>
      <c r="R2085" s="81"/>
    </row>
    <row r="2086" spans="7:18" x14ac:dyDescent="0.3">
      <c r="G2086" s="85"/>
      <c r="H2086" s="86"/>
      <c r="I2086" s="86"/>
      <c r="J2086" s="87"/>
      <c r="K2086" s="85"/>
      <c r="L2086" s="85"/>
      <c r="P2086" s="85"/>
      <c r="Q2086" s="85"/>
      <c r="R2086" s="81"/>
    </row>
    <row r="2087" spans="7:18" x14ac:dyDescent="0.3">
      <c r="G2087" s="85"/>
      <c r="H2087" s="86"/>
      <c r="I2087" s="86"/>
      <c r="J2087" s="87"/>
      <c r="K2087" s="85"/>
      <c r="L2087" s="85"/>
      <c r="P2087" s="85"/>
      <c r="Q2087" s="85"/>
      <c r="R2087" s="81"/>
    </row>
    <row r="2088" spans="7:18" x14ac:dyDescent="0.3">
      <c r="G2088" s="85"/>
      <c r="H2088" s="86"/>
      <c r="I2088" s="86"/>
      <c r="J2088" s="87"/>
      <c r="K2088" s="85"/>
      <c r="L2088" s="85"/>
      <c r="P2088" s="85"/>
      <c r="Q2088" s="85"/>
      <c r="R2088" s="81"/>
    </row>
    <row r="2089" spans="7:18" x14ac:dyDescent="0.3">
      <c r="G2089" s="85"/>
      <c r="H2089" s="86"/>
      <c r="I2089" s="86"/>
      <c r="J2089" s="87"/>
      <c r="K2089" s="85"/>
      <c r="L2089" s="85"/>
      <c r="P2089" s="85"/>
      <c r="Q2089" s="85"/>
      <c r="R2089" s="81"/>
    </row>
    <row r="2090" spans="7:18" x14ac:dyDescent="0.3">
      <c r="G2090" s="85"/>
      <c r="H2090" s="86"/>
      <c r="I2090" s="86"/>
      <c r="J2090" s="87"/>
      <c r="K2090" s="85"/>
      <c r="L2090" s="85"/>
      <c r="P2090" s="85"/>
      <c r="Q2090" s="85"/>
      <c r="R2090" s="81"/>
    </row>
    <row r="2091" spans="7:18" x14ac:dyDescent="0.3">
      <c r="G2091" s="85"/>
      <c r="H2091" s="86"/>
      <c r="I2091" s="86"/>
      <c r="J2091" s="87"/>
      <c r="K2091" s="85"/>
      <c r="L2091" s="85"/>
      <c r="P2091" s="85"/>
      <c r="Q2091" s="85"/>
      <c r="R2091" s="81"/>
    </row>
    <row r="2092" spans="7:18" x14ac:dyDescent="0.3">
      <c r="G2092" s="85"/>
      <c r="H2092" s="86"/>
      <c r="I2092" s="86"/>
      <c r="J2092" s="87"/>
      <c r="K2092" s="85"/>
      <c r="L2092" s="85"/>
      <c r="P2092" s="85"/>
      <c r="Q2092" s="85"/>
      <c r="R2092" s="81"/>
    </row>
    <row r="2093" spans="7:18" x14ac:dyDescent="0.3">
      <c r="G2093" s="85"/>
      <c r="H2093" s="86"/>
      <c r="I2093" s="86"/>
      <c r="J2093" s="87"/>
      <c r="K2093" s="85"/>
      <c r="L2093" s="85"/>
      <c r="P2093" s="85"/>
      <c r="Q2093" s="85"/>
      <c r="R2093" s="81"/>
    </row>
    <row r="2094" spans="7:18" x14ac:dyDescent="0.3">
      <c r="G2094" s="85"/>
      <c r="H2094" s="86"/>
      <c r="I2094" s="86"/>
      <c r="J2094" s="87"/>
      <c r="K2094" s="85"/>
      <c r="L2094" s="85"/>
      <c r="P2094" s="85"/>
      <c r="Q2094" s="85"/>
      <c r="R2094" s="81"/>
    </row>
    <row r="2095" spans="7:18" x14ac:dyDescent="0.3">
      <c r="G2095" s="85"/>
      <c r="H2095" s="86"/>
      <c r="I2095" s="86"/>
      <c r="J2095" s="87"/>
      <c r="K2095" s="85"/>
      <c r="L2095" s="85"/>
      <c r="P2095" s="85"/>
      <c r="Q2095" s="85"/>
      <c r="R2095" s="81"/>
    </row>
    <row r="2096" spans="7:18" x14ac:dyDescent="0.3">
      <c r="G2096" s="85"/>
      <c r="H2096" s="86"/>
      <c r="I2096" s="86"/>
      <c r="J2096" s="87"/>
      <c r="K2096" s="85"/>
      <c r="L2096" s="85"/>
      <c r="P2096" s="85"/>
      <c r="Q2096" s="85"/>
      <c r="R2096" s="81"/>
    </row>
    <row r="2097" spans="7:18" x14ac:dyDescent="0.3">
      <c r="G2097" s="85"/>
      <c r="H2097" s="86"/>
      <c r="I2097" s="86"/>
      <c r="J2097" s="87"/>
      <c r="K2097" s="85"/>
      <c r="L2097" s="85"/>
      <c r="P2097" s="85"/>
      <c r="Q2097" s="85"/>
      <c r="R2097" s="81"/>
    </row>
    <row r="2098" spans="7:18" x14ac:dyDescent="0.3">
      <c r="G2098" s="85"/>
      <c r="H2098" s="86"/>
      <c r="I2098" s="86"/>
      <c r="J2098" s="87"/>
      <c r="K2098" s="85"/>
      <c r="L2098" s="85"/>
      <c r="P2098" s="85"/>
      <c r="Q2098" s="85"/>
      <c r="R2098" s="81"/>
    </row>
    <row r="2099" spans="7:18" x14ac:dyDescent="0.3">
      <c r="G2099" s="85"/>
      <c r="H2099" s="86"/>
      <c r="I2099" s="86"/>
      <c r="J2099" s="87"/>
      <c r="K2099" s="85"/>
      <c r="L2099" s="85"/>
      <c r="P2099" s="85"/>
      <c r="Q2099" s="85"/>
      <c r="R2099" s="81"/>
    </row>
    <row r="2100" spans="7:18" x14ac:dyDescent="0.3">
      <c r="G2100" s="85"/>
      <c r="H2100" s="86"/>
      <c r="I2100" s="86"/>
      <c r="J2100" s="87"/>
      <c r="K2100" s="85"/>
      <c r="L2100" s="85"/>
      <c r="P2100" s="85"/>
      <c r="Q2100" s="85"/>
      <c r="R2100" s="81"/>
    </row>
    <row r="2101" spans="7:18" x14ac:dyDescent="0.3">
      <c r="G2101" s="85"/>
      <c r="H2101" s="86"/>
      <c r="I2101" s="86"/>
      <c r="J2101" s="87"/>
      <c r="K2101" s="85"/>
      <c r="L2101" s="85"/>
      <c r="P2101" s="85"/>
      <c r="Q2101" s="85"/>
      <c r="R2101" s="81"/>
    </row>
    <row r="2102" spans="7:18" x14ac:dyDescent="0.3">
      <c r="G2102" s="85"/>
      <c r="H2102" s="86"/>
      <c r="I2102" s="86"/>
      <c r="J2102" s="87"/>
      <c r="K2102" s="85"/>
      <c r="L2102" s="85"/>
      <c r="P2102" s="85"/>
      <c r="Q2102" s="85"/>
      <c r="R2102" s="81"/>
    </row>
    <row r="2103" spans="7:18" x14ac:dyDescent="0.3">
      <c r="G2103" s="85"/>
      <c r="H2103" s="86"/>
      <c r="I2103" s="86"/>
      <c r="J2103" s="87"/>
      <c r="K2103" s="85"/>
      <c r="L2103" s="85"/>
      <c r="P2103" s="85"/>
      <c r="Q2103" s="85"/>
      <c r="R2103" s="81"/>
    </row>
    <row r="2104" spans="7:18" x14ac:dyDescent="0.3">
      <c r="G2104" s="85"/>
      <c r="H2104" s="86"/>
      <c r="I2104" s="86"/>
      <c r="J2104" s="87"/>
      <c r="K2104" s="85"/>
      <c r="L2104" s="85"/>
      <c r="P2104" s="85"/>
      <c r="Q2104" s="85"/>
      <c r="R2104" s="81"/>
    </row>
    <row r="2105" spans="7:18" x14ac:dyDescent="0.3">
      <c r="G2105" s="85"/>
      <c r="H2105" s="86"/>
      <c r="I2105" s="86"/>
      <c r="J2105" s="87"/>
      <c r="K2105" s="85"/>
      <c r="L2105" s="85"/>
      <c r="P2105" s="85"/>
      <c r="Q2105" s="85"/>
      <c r="R2105" s="81"/>
    </row>
    <row r="2106" spans="7:18" x14ac:dyDescent="0.3">
      <c r="G2106" s="85"/>
      <c r="H2106" s="86"/>
      <c r="I2106" s="86"/>
      <c r="J2106" s="87"/>
      <c r="K2106" s="85"/>
      <c r="L2106" s="85"/>
      <c r="P2106" s="85"/>
      <c r="Q2106" s="85"/>
      <c r="R2106" s="81"/>
    </row>
    <row r="2107" spans="7:18" x14ac:dyDescent="0.3">
      <c r="G2107" s="85"/>
      <c r="H2107" s="86"/>
      <c r="I2107" s="86"/>
      <c r="J2107" s="87"/>
      <c r="K2107" s="85"/>
      <c r="L2107" s="85"/>
      <c r="P2107" s="85"/>
      <c r="Q2107" s="85"/>
      <c r="R2107" s="81"/>
    </row>
    <row r="2108" spans="7:18" x14ac:dyDescent="0.3">
      <c r="G2108" s="85"/>
      <c r="H2108" s="86"/>
      <c r="I2108" s="86"/>
      <c r="J2108" s="87"/>
      <c r="K2108" s="85"/>
      <c r="L2108" s="85"/>
      <c r="P2108" s="85"/>
      <c r="Q2108" s="85"/>
      <c r="R2108" s="81"/>
    </row>
    <row r="2109" spans="7:18" x14ac:dyDescent="0.3">
      <c r="G2109" s="85"/>
      <c r="H2109" s="86"/>
      <c r="I2109" s="86"/>
      <c r="J2109" s="87"/>
      <c r="K2109" s="85"/>
      <c r="L2109" s="85"/>
      <c r="P2109" s="85"/>
      <c r="Q2109" s="85"/>
      <c r="R2109" s="81"/>
    </row>
    <row r="2110" spans="7:18" x14ac:dyDescent="0.3">
      <c r="G2110" s="85"/>
      <c r="H2110" s="86"/>
      <c r="I2110" s="86"/>
      <c r="J2110" s="87"/>
      <c r="K2110" s="85"/>
      <c r="L2110" s="85"/>
      <c r="P2110" s="85"/>
      <c r="Q2110" s="85"/>
      <c r="R2110" s="81"/>
    </row>
    <row r="2111" spans="7:18" x14ac:dyDescent="0.3">
      <c r="G2111" s="85"/>
      <c r="H2111" s="86"/>
      <c r="I2111" s="86"/>
      <c r="J2111" s="87"/>
      <c r="K2111" s="85"/>
      <c r="L2111" s="85"/>
      <c r="P2111" s="85"/>
      <c r="Q2111" s="85"/>
      <c r="R2111" s="81"/>
    </row>
    <row r="2112" spans="7:18" x14ac:dyDescent="0.3">
      <c r="G2112" s="85"/>
      <c r="H2112" s="86"/>
      <c r="I2112" s="86"/>
      <c r="J2112" s="87"/>
      <c r="K2112" s="85"/>
      <c r="L2112" s="85"/>
      <c r="P2112" s="85"/>
      <c r="Q2112" s="85"/>
      <c r="R2112" s="81"/>
    </row>
    <row r="2113" spans="7:18" x14ac:dyDescent="0.3">
      <c r="G2113" s="85"/>
      <c r="H2113" s="86"/>
      <c r="I2113" s="86"/>
      <c r="J2113" s="87"/>
      <c r="K2113" s="85"/>
      <c r="L2113" s="85"/>
      <c r="P2113" s="85"/>
      <c r="Q2113" s="85"/>
      <c r="R2113" s="81"/>
    </row>
    <row r="2114" spans="7:18" x14ac:dyDescent="0.3">
      <c r="G2114" s="85"/>
      <c r="H2114" s="86"/>
      <c r="I2114" s="86"/>
      <c r="J2114" s="87"/>
      <c r="K2114" s="85"/>
      <c r="L2114" s="85"/>
      <c r="P2114" s="85"/>
      <c r="Q2114" s="85"/>
      <c r="R2114" s="81"/>
    </row>
    <row r="2115" spans="7:18" x14ac:dyDescent="0.3">
      <c r="G2115" s="85"/>
      <c r="H2115" s="86"/>
      <c r="I2115" s="86"/>
      <c r="J2115" s="87"/>
      <c r="K2115" s="85"/>
      <c r="L2115" s="85"/>
      <c r="P2115" s="85"/>
      <c r="Q2115" s="85"/>
      <c r="R2115" s="81"/>
    </row>
    <row r="2116" spans="7:18" x14ac:dyDescent="0.3">
      <c r="G2116" s="85"/>
      <c r="H2116" s="86"/>
      <c r="I2116" s="86"/>
      <c r="J2116" s="87"/>
      <c r="K2116" s="85"/>
      <c r="L2116" s="85"/>
      <c r="P2116" s="85"/>
      <c r="Q2116" s="85"/>
      <c r="R2116" s="81"/>
    </row>
    <row r="2117" spans="7:18" x14ac:dyDescent="0.3">
      <c r="G2117" s="85"/>
      <c r="H2117" s="86"/>
      <c r="I2117" s="86"/>
      <c r="J2117" s="87"/>
      <c r="K2117" s="85"/>
      <c r="L2117" s="85"/>
      <c r="P2117" s="85"/>
      <c r="Q2117" s="85"/>
      <c r="R2117" s="81"/>
    </row>
    <row r="2118" spans="7:18" x14ac:dyDescent="0.3">
      <c r="G2118" s="85"/>
      <c r="H2118" s="86"/>
      <c r="I2118" s="86"/>
      <c r="J2118" s="87"/>
      <c r="K2118" s="85"/>
      <c r="L2118" s="85"/>
      <c r="P2118" s="85"/>
      <c r="Q2118" s="85"/>
      <c r="R2118" s="81"/>
    </row>
    <row r="2119" spans="7:18" x14ac:dyDescent="0.3">
      <c r="G2119" s="85"/>
      <c r="H2119" s="86"/>
      <c r="I2119" s="86"/>
      <c r="J2119" s="87"/>
      <c r="K2119" s="85"/>
      <c r="L2119" s="85"/>
      <c r="P2119" s="85"/>
      <c r="Q2119" s="85"/>
      <c r="R2119" s="81"/>
    </row>
    <row r="2120" spans="7:18" x14ac:dyDescent="0.3">
      <c r="G2120" s="85"/>
      <c r="H2120" s="86"/>
      <c r="I2120" s="86"/>
      <c r="J2120" s="87"/>
      <c r="K2120" s="85"/>
      <c r="L2120" s="85"/>
      <c r="P2120" s="85"/>
      <c r="Q2120" s="85"/>
      <c r="R2120" s="81"/>
    </row>
    <row r="2121" spans="7:18" x14ac:dyDescent="0.3">
      <c r="G2121" s="85"/>
      <c r="H2121" s="86"/>
      <c r="I2121" s="86"/>
      <c r="J2121" s="87"/>
      <c r="K2121" s="85"/>
      <c r="L2121" s="85"/>
      <c r="P2121" s="85"/>
      <c r="Q2121" s="85"/>
      <c r="R2121" s="81"/>
    </row>
    <row r="2122" spans="7:18" x14ac:dyDescent="0.3">
      <c r="G2122" s="85"/>
      <c r="H2122" s="86"/>
      <c r="I2122" s="86"/>
      <c r="J2122" s="87"/>
      <c r="K2122" s="85"/>
      <c r="L2122" s="85"/>
      <c r="P2122" s="85"/>
      <c r="Q2122" s="85"/>
      <c r="R2122" s="81"/>
    </row>
    <row r="2123" spans="7:18" x14ac:dyDescent="0.3">
      <c r="G2123" s="85"/>
      <c r="H2123" s="86"/>
      <c r="I2123" s="86"/>
      <c r="J2123" s="87"/>
      <c r="K2123" s="85"/>
      <c r="L2123" s="85"/>
      <c r="P2123" s="85"/>
      <c r="Q2123" s="85"/>
      <c r="R2123" s="81"/>
    </row>
    <row r="2124" spans="7:18" x14ac:dyDescent="0.3">
      <c r="G2124" s="85"/>
      <c r="H2124" s="86"/>
      <c r="I2124" s="86"/>
      <c r="J2124" s="87"/>
      <c r="K2124" s="85"/>
      <c r="L2124" s="85"/>
      <c r="P2124" s="85"/>
      <c r="Q2124" s="85"/>
      <c r="R2124" s="81"/>
    </row>
    <row r="2125" spans="7:18" x14ac:dyDescent="0.3">
      <c r="G2125" s="85"/>
      <c r="H2125" s="86"/>
      <c r="I2125" s="86"/>
      <c r="J2125" s="87"/>
      <c r="K2125" s="85"/>
      <c r="L2125" s="85"/>
      <c r="P2125" s="85"/>
      <c r="Q2125" s="85"/>
      <c r="R2125" s="81"/>
    </row>
    <row r="2126" spans="7:18" x14ac:dyDescent="0.3">
      <c r="G2126" s="85"/>
      <c r="H2126" s="86"/>
      <c r="I2126" s="86"/>
      <c r="J2126" s="87"/>
      <c r="K2126" s="85"/>
      <c r="L2126" s="85"/>
      <c r="P2126" s="85"/>
      <c r="Q2126" s="85"/>
      <c r="R2126" s="81"/>
    </row>
    <row r="2127" spans="7:18" x14ac:dyDescent="0.3">
      <c r="G2127" s="85"/>
      <c r="H2127" s="86"/>
      <c r="I2127" s="86"/>
      <c r="J2127" s="87"/>
      <c r="K2127" s="85"/>
      <c r="L2127" s="85"/>
      <c r="P2127" s="85"/>
      <c r="Q2127" s="85"/>
      <c r="R2127" s="81"/>
    </row>
    <row r="2128" spans="7:18" x14ac:dyDescent="0.3">
      <c r="G2128" s="85"/>
      <c r="H2128" s="86"/>
      <c r="I2128" s="86"/>
      <c r="J2128" s="87"/>
      <c r="K2128" s="85"/>
      <c r="L2128" s="85"/>
      <c r="P2128" s="85"/>
      <c r="Q2128" s="85"/>
      <c r="R2128" s="81"/>
    </row>
    <row r="2129" spans="7:18" x14ac:dyDescent="0.3">
      <c r="G2129" s="85"/>
      <c r="H2129" s="86"/>
      <c r="I2129" s="86"/>
      <c r="J2129" s="87"/>
      <c r="K2129" s="85"/>
      <c r="L2129" s="85"/>
      <c r="P2129" s="85"/>
      <c r="Q2129" s="85"/>
      <c r="R2129" s="81"/>
    </row>
    <row r="2130" spans="7:18" x14ac:dyDescent="0.3">
      <c r="G2130" s="85"/>
      <c r="H2130" s="86"/>
      <c r="I2130" s="86"/>
      <c r="J2130" s="87"/>
      <c r="K2130" s="85"/>
      <c r="L2130" s="85"/>
      <c r="P2130" s="85"/>
      <c r="Q2130" s="85"/>
      <c r="R2130" s="81"/>
    </row>
    <row r="2131" spans="7:18" x14ac:dyDescent="0.3">
      <c r="G2131" s="85"/>
      <c r="H2131" s="86"/>
      <c r="I2131" s="86"/>
      <c r="J2131" s="87"/>
      <c r="K2131" s="85"/>
      <c r="L2131" s="85"/>
      <c r="P2131" s="85"/>
      <c r="Q2131" s="85"/>
      <c r="R2131" s="81"/>
    </row>
    <row r="2132" spans="7:18" x14ac:dyDescent="0.3">
      <c r="G2132" s="85"/>
      <c r="H2132" s="86"/>
      <c r="I2132" s="86"/>
      <c r="J2132" s="87"/>
      <c r="K2132" s="85"/>
      <c r="L2132" s="85"/>
      <c r="P2132" s="85"/>
      <c r="Q2132" s="85"/>
      <c r="R2132" s="81"/>
    </row>
    <row r="2133" spans="7:18" x14ac:dyDescent="0.3">
      <c r="G2133" s="85"/>
      <c r="H2133" s="86"/>
      <c r="I2133" s="86"/>
      <c r="J2133" s="87"/>
      <c r="K2133" s="85"/>
      <c r="L2133" s="85"/>
      <c r="P2133" s="85"/>
      <c r="Q2133" s="85"/>
      <c r="R2133" s="81"/>
    </row>
    <row r="2134" spans="7:18" x14ac:dyDescent="0.3">
      <c r="G2134" s="85"/>
      <c r="H2134" s="86"/>
      <c r="I2134" s="86"/>
      <c r="J2134" s="87"/>
      <c r="K2134" s="85"/>
      <c r="L2134" s="85"/>
      <c r="P2134" s="85"/>
      <c r="Q2134" s="85"/>
      <c r="R2134" s="81"/>
    </row>
    <row r="2135" spans="7:18" x14ac:dyDescent="0.3">
      <c r="G2135" s="85"/>
      <c r="H2135" s="86"/>
      <c r="I2135" s="86"/>
      <c r="J2135" s="87"/>
      <c r="K2135" s="85"/>
      <c r="L2135" s="85"/>
      <c r="P2135" s="85"/>
      <c r="Q2135" s="85"/>
      <c r="R2135" s="81"/>
    </row>
    <row r="2136" spans="7:18" x14ac:dyDescent="0.3">
      <c r="G2136" s="85"/>
      <c r="H2136" s="86"/>
      <c r="I2136" s="86"/>
      <c r="J2136" s="87"/>
      <c r="K2136" s="85"/>
      <c r="L2136" s="85"/>
      <c r="P2136" s="85"/>
      <c r="Q2136" s="85"/>
      <c r="R2136" s="81"/>
    </row>
    <row r="2137" spans="7:18" x14ac:dyDescent="0.3">
      <c r="G2137" s="85"/>
      <c r="H2137" s="86"/>
      <c r="I2137" s="86"/>
      <c r="J2137" s="87"/>
      <c r="K2137" s="85"/>
      <c r="L2137" s="85"/>
      <c r="P2137" s="85"/>
      <c r="Q2137" s="85"/>
      <c r="R2137" s="81"/>
    </row>
    <row r="2138" spans="7:18" x14ac:dyDescent="0.3">
      <c r="G2138" s="85"/>
      <c r="H2138" s="86"/>
      <c r="I2138" s="86"/>
      <c r="J2138" s="87"/>
      <c r="K2138" s="85"/>
      <c r="L2138" s="85"/>
      <c r="P2138" s="85"/>
      <c r="Q2138" s="85"/>
      <c r="R2138" s="81"/>
    </row>
    <row r="2139" spans="7:18" x14ac:dyDescent="0.3">
      <c r="G2139" s="85"/>
      <c r="H2139" s="86"/>
      <c r="I2139" s="86"/>
      <c r="J2139" s="87"/>
      <c r="K2139" s="85"/>
      <c r="L2139" s="85"/>
      <c r="P2139" s="85"/>
      <c r="Q2139" s="85"/>
      <c r="R2139" s="81"/>
    </row>
    <row r="2140" spans="7:18" x14ac:dyDescent="0.3">
      <c r="G2140" s="85"/>
      <c r="H2140" s="86"/>
      <c r="I2140" s="86"/>
      <c r="J2140" s="87"/>
      <c r="K2140" s="85"/>
      <c r="L2140" s="85"/>
      <c r="P2140" s="85"/>
      <c r="Q2140" s="85"/>
      <c r="R2140" s="81"/>
    </row>
    <row r="2141" spans="7:18" x14ac:dyDescent="0.3">
      <c r="G2141" s="85"/>
      <c r="H2141" s="86"/>
      <c r="I2141" s="86"/>
      <c r="J2141" s="87"/>
      <c r="K2141" s="85"/>
      <c r="L2141" s="85"/>
      <c r="P2141" s="85"/>
      <c r="Q2141" s="85"/>
      <c r="R2141" s="81"/>
    </row>
    <row r="2142" spans="7:18" x14ac:dyDescent="0.3">
      <c r="G2142" s="85"/>
      <c r="H2142" s="86"/>
      <c r="I2142" s="86"/>
      <c r="J2142" s="87"/>
      <c r="K2142" s="85"/>
      <c r="L2142" s="85"/>
      <c r="P2142" s="85"/>
      <c r="Q2142" s="85"/>
      <c r="R2142" s="81"/>
    </row>
    <row r="2143" spans="7:18" x14ac:dyDescent="0.3">
      <c r="G2143" s="85"/>
      <c r="H2143" s="86"/>
      <c r="I2143" s="86"/>
      <c r="J2143" s="87"/>
      <c r="K2143" s="85"/>
      <c r="L2143" s="85"/>
      <c r="P2143" s="85"/>
      <c r="Q2143" s="85"/>
      <c r="R2143" s="81"/>
    </row>
    <row r="2144" spans="7:18" x14ac:dyDescent="0.3">
      <c r="G2144" s="85"/>
      <c r="H2144" s="86"/>
      <c r="I2144" s="86"/>
      <c r="J2144" s="87"/>
      <c r="K2144" s="85"/>
      <c r="L2144" s="85"/>
      <c r="P2144" s="85"/>
      <c r="Q2144" s="85"/>
      <c r="R2144" s="81"/>
    </row>
    <row r="2145" spans="7:18" x14ac:dyDescent="0.3">
      <c r="G2145" s="85"/>
      <c r="H2145" s="86"/>
      <c r="I2145" s="86"/>
      <c r="J2145" s="87"/>
      <c r="K2145" s="85"/>
      <c r="L2145" s="85"/>
      <c r="P2145" s="85"/>
      <c r="Q2145" s="85"/>
      <c r="R2145" s="81"/>
    </row>
    <row r="2146" spans="7:18" x14ac:dyDescent="0.3">
      <c r="G2146" s="85"/>
      <c r="H2146" s="86"/>
      <c r="I2146" s="86"/>
      <c r="J2146" s="87"/>
      <c r="K2146" s="85"/>
      <c r="L2146" s="85"/>
      <c r="P2146" s="85"/>
      <c r="Q2146" s="85"/>
      <c r="R2146" s="81"/>
    </row>
    <row r="2147" spans="7:18" x14ac:dyDescent="0.3">
      <c r="G2147" s="85"/>
      <c r="H2147" s="86"/>
      <c r="I2147" s="86"/>
      <c r="J2147" s="87"/>
      <c r="K2147" s="85"/>
      <c r="L2147" s="85"/>
      <c r="P2147" s="85"/>
      <c r="Q2147" s="85"/>
      <c r="R2147" s="81"/>
    </row>
    <row r="2148" spans="7:18" x14ac:dyDescent="0.3">
      <c r="G2148" s="85"/>
      <c r="H2148" s="86"/>
      <c r="I2148" s="86"/>
      <c r="J2148" s="87"/>
      <c r="K2148" s="85"/>
      <c r="L2148" s="85"/>
      <c r="P2148" s="85"/>
      <c r="Q2148" s="85"/>
      <c r="R2148" s="81"/>
    </row>
    <row r="2149" spans="7:18" x14ac:dyDescent="0.3">
      <c r="G2149" s="85"/>
      <c r="H2149" s="86"/>
      <c r="I2149" s="86"/>
      <c r="J2149" s="87"/>
      <c r="K2149" s="85"/>
      <c r="L2149" s="85"/>
      <c r="P2149" s="85"/>
      <c r="Q2149" s="85"/>
      <c r="R2149" s="81"/>
    </row>
    <row r="2150" spans="7:18" x14ac:dyDescent="0.3">
      <c r="G2150" s="85"/>
      <c r="H2150" s="86"/>
      <c r="I2150" s="86"/>
      <c r="J2150" s="87"/>
      <c r="K2150" s="85"/>
      <c r="L2150" s="85"/>
      <c r="P2150" s="85"/>
      <c r="Q2150" s="85"/>
      <c r="R2150" s="81"/>
    </row>
    <row r="2151" spans="7:18" x14ac:dyDescent="0.3">
      <c r="G2151" s="85"/>
      <c r="H2151" s="86"/>
      <c r="I2151" s="86"/>
      <c r="J2151" s="87"/>
      <c r="K2151" s="85"/>
      <c r="L2151" s="85"/>
      <c r="P2151" s="85"/>
      <c r="Q2151" s="85"/>
      <c r="R2151" s="81"/>
    </row>
    <row r="2152" spans="7:18" x14ac:dyDescent="0.3">
      <c r="G2152" s="85"/>
      <c r="H2152" s="86"/>
      <c r="I2152" s="86"/>
      <c r="J2152" s="87"/>
      <c r="K2152" s="85"/>
      <c r="L2152" s="85"/>
      <c r="P2152" s="85"/>
      <c r="Q2152" s="85"/>
      <c r="R2152" s="81"/>
    </row>
    <row r="2153" spans="7:18" x14ac:dyDescent="0.3">
      <c r="G2153" s="85"/>
      <c r="H2153" s="86"/>
      <c r="I2153" s="86"/>
      <c r="J2153" s="87"/>
      <c r="K2153" s="85"/>
      <c r="L2153" s="85"/>
      <c r="P2153" s="85"/>
      <c r="Q2153" s="85"/>
      <c r="R2153" s="81"/>
    </row>
    <row r="2154" spans="7:18" x14ac:dyDescent="0.3">
      <c r="G2154" s="85"/>
      <c r="H2154" s="86"/>
      <c r="I2154" s="86"/>
      <c r="J2154" s="87"/>
      <c r="K2154" s="85"/>
      <c r="L2154" s="85"/>
      <c r="P2154" s="85"/>
      <c r="Q2154" s="85"/>
      <c r="R2154" s="81"/>
    </row>
    <row r="2155" spans="7:18" x14ac:dyDescent="0.3">
      <c r="G2155" s="85"/>
      <c r="H2155" s="86"/>
      <c r="I2155" s="86"/>
      <c r="J2155" s="87"/>
      <c r="K2155" s="85"/>
      <c r="L2155" s="85"/>
      <c r="P2155" s="85"/>
      <c r="Q2155" s="85"/>
      <c r="R2155" s="81"/>
    </row>
    <row r="2156" spans="7:18" x14ac:dyDescent="0.3">
      <c r="G2156" s="85"/>
      <c r="H2156" s="86"/>
      <c r="I2156" s="86"/>
      <c r="J2156" s="87"/>
      <c r="K2156" s="85"/>
      <c r="L2156" s="85"/>
      <c r="P2156" s="85"/>
      <c r="Q2156" s="85"/>
      <c r="R2156" s="81"/>
    </row>
    <row r="2157" spans="7:18" x14ac:dyDescent="0.3">
      <c r="G2157" s="85"/>
      <c r="H2157" s="86"/>
      <c r="I2157" s="86"/>
      <c r="J2157" s="87"/>
      <c r="K2157" s="85"/>
      <c r="L2157" s="85"/>
      <c r="P2157" s="85"/>
      <c r="Q2157" s="85"/>
      <c r="R2157" s="81"/>
    </row>
    <row r="2158" spans="7:18" x14ac:dyDescent="0.3">
      <c r="G2158" s="85"/>
      <c r="H2158" s="86"/>
      <c r="I2158" s="86"/>
      <c r="J2158" s="87"/>
      <c r="K2158" s="85"/>
      <c r="L2158" s="85"/>
      <c r="P2158" s="85"/>
      <c r="Q2158" s="85"/>
      <c r="R2158" s="81"/>
    </row>
    <row r="2159" spans="7:18" x14ac:dyDescent="0.3">
      <c r="G2159" s="85"/>
      <c r="H2159" s="86"/>
      <c r="I2159" s="86"/>
      <c r="J2159" s="87"/>
      <c r="K2159" s="85"/>
      <c r="L2159" s="85"/>
      <c r="P2159" s="85"/>
      <c r="Q2159" s="85"/>
      <c r="R2159" s="81"/>
    </row>
    <row r="2160" spans="7:18" x14ac:dyDescent="0.3">
      <c r="G2160" s="85"/>
      <c r="H2160" s="86"/>
      <c r="I2160" s="86"/>
      <c r="J2160" s="87"/>
      <c r="K2160" s="85"/>
      <c r="L2160" s="85"/>
      <c r="P2160" s="85"/>
      <c r="Q2160" s="85"/>
      <c r="R2160" s="81"/>
    </row>
    <row r="2161" spans="7:18" x14ac:dyDescent="0.3">
      <c r="G2161" s="85"/>
      <c r="H2161" s="86"/>
      <c r="I2161" s="86"/>
      <c r="J2161" s="87"/>
      <c r="K2161" s="85"/>
      <c r="L2161" s="85"/>
      <c r="P2161" s="85"/>
      <c r="Q2161" s="85"/>
      <c r="R2161" s="81"/>
    </row>
    <row r="2162" spans="7:18" x14ac:dyDescent="0.3">
      <c r="G2162" s="85"/>
      <c r="H2162" s="86"/>
      <c r="I2162" s="86"/>
      <c r="J2162" s="87"/>
      <c r="K2162" s="85"/>
      <c r="L2162" s="85"/>
      <c r="P2162" s="85"/>
      <c r="Q2162" s="85"/>
      <c r="R2162" s="81"/>
    </row>
    <row r="2163" spans="7:18" x14ac:dyDescent="0.3">
      <c r="G2163" s="85"/>
      <c r="H2163" s="86"/>
      <c r="I2163" s="86"/>
      <c r="J2163" s="87"/>
      <c r="K2163" s="85"/>
      <c r="L2163" s="85"/>
      <c r="P2163" s="85"/>
      <c r="Q2163" s="85"/>
      <c r="R2163" s="81"/>
    </row>
    <row r="2164" spans="7:18" x14ac:dyDescent="0.3">
      <c r="G2164" s="85"/>
      <c r="H2164" s="86"/>
      <c r="I2164" s="86"/>
      <c r="J2164" s="87"/>
      <c r="K2164" s="85"/>
      <c r="L2164" s="85"/>
      <c r="P2164" s="85"/>
      <c r="Q2164" s="85"/>
      <c r="R2164" s="81"/>
    </row>
    <row r="2165" spans="7:18" x14ac:dyDescent="0.3">
      <c r="G2165" s="85"/>
      <c r="H2165" s="86"/>
      <c r="I2165" s="86"/>
      <c r="J2165" s="87"/>
      <c r="K2165" s="85"/>
      <c r="L2165" s="85"/>
      <c r="P2165" s="85"/>
      <c r="Q2165" s="85"/>
      <c r="R2165" s="81"/>
    </row>
    <row r="2166" spans="7:18" x14ac:dyDescent="0.3">
      <c r="G2166" s="85"/>
      <c r="H2166" s="86"/>
      <c r="I2166" s="86"/>
      <c r="J2166" s="87"/>
      <c r="K2166" s="85"/>
      <c r="L2166" s="85"/>
      <c r="P2166" s="85"/>
      <c r="Q2166" s="85"/>
      <c r="R2166" s="81"/>
    </row>
    <row r="2167" spans="7:18" x14ac:dyDescent="0.3">
      <c r="G2167" s="85"/>
      <c r="H2167" s="86"/>
      <c r="I2167" s="86"/>
      <c r="J2167" s="87"/>
      <c r="K2167" s="85"/>
      <c r="L2167" s="85"/>
      <c r="P2167" s="85"/>
      <c r="Q2167" s="85"/>
      <c r="R2167" s="81"/>
    </row>
    <row r="2168" spans="7:18" x14ac:dyDescent="0.3">
      <c r="G2168" s="85"/>
      <c r="H2168" s="86"/>
      <c r="I2168" s="86"/>
      <c r="J2168" s="87"/>
      <c r="K2168" s="85"/>
      <c r="L2168" s="85"/>
      <c r="P2168" s="85"/>
      <c r="Q2168" s="85"/>
      <c r="R2168" s="81"/>
    </row>
    <row r="2169" spans="7:18" x14ac:dyDescent="0.3">
      <c r="G2169" s="85"/>
      <c r="H2169" s="86"/>
      <c r="I2169" s="86"/>
      <c r="J2169" s="87"/>
      <c r="K2169" s="85"/>
      <c r="L2169" s="85"/>
      <c r="P2169" s="85"/>
      <c r="Q2169" s="85"/>
      <c r="R2169" s="81"/>
    </row>
    <row r="2170" spans="7:18" x14ac:dyDescent="0.3">
      <c r="G2170" s="85"/>
      <c r="H2170" s="86"/>
      <c r="I2170" s="86"/>
      <c r="J2170" s="87"/>
      <c r="K2170" s="85"/>
      <c r="L2170" s="85"/>
      <c r="P2170" s="85"/>
      <c r="Q2170" s="85"/>
      <c r="R2170" s="81"/>
    </row>
    <row r="2171" spans="7:18" x14ac:dyDescent="0.3">
      <c r="G2171" s="85"/>
      <c r="H2171" s="86"/>
      <c r="I2171" s="86"/>
      <c r="J2171" s="87"/>
      <c r="K2171" s="85"/>
      <c r="L2171" s="85"/>
      <c r="P2171" s="85"/>
      <c r="Q2171" s="85"/>
      <c r="R2171" s="81"/>
    </row>
    <row r="2172" spans="7:18" x14ac:dyDescent="0.3">
      <c r="G2172" s="85"/>
      <c r="H2172" s="86"/>
      <c r="I2172" s="86"/>
      <c r="J2172" s="87"/>
      <c r="K2172" s="85"/>
      <c r="L2172" s="85"/>
      <c r="P2172" s="85"/>
      <c r="Q2172" s="85"/>
      <c r="R2172" s="81"/>
    </row>
    <row r="2173" spans="7:18" x14ac:dyDescent="0.3">
      <c r="G2173" s="85"/>
      <c r="H2173" s="86"/>
      <c r="I2173" s="86"/>
      <c r="J2173" s="87"/>
      <c r="K2173" s="85"/>
      <c r="L2173" s="85"/>
      <c r="P2173" s="85"/>
      <c r="Q2173" s="85"/>
      <c r="R2173" s="81"/>
    </row>
    <row r="2174" spans="7:18" x14ac:dyDescent="0.3">
      <c r="G2174" s="85"/>
      <c r="H2174" s="86"/>
      <c r="I2174" s="86"/>
      <c r="J2174" s="87"/>
      <c r="K2174" s="85"/>
      <c r="L2174" s="85"/>
      <c r="P2174" s="85"/>
      <c r="Q2174" s="85"/>
      <c r="R2174" s="81"/>
    </row>
    <row r="2175" spans="7:18" x14ac:dyDescent="0.3">
      <c r="G2175" s="85"/>
      <c r="H2175" s="86"/>
      <c r="I2175" s="86"/>
      <c r="J2175" s="87"/>
      <c r="K2175" s="85"/>
      <c r="L2175" s="85"/>
      <c r="P2175" s="85"/>
      <c r="Q2175" s="85"/>
      <c r="R2175" s="81"/>
    </row>
    <row r="2176" spans="7:18" x14ac:dyDescent="0.3">
      <c r="G2176" s="85"/>
      <c r="H2176" s="86"/>
      <c r="I2176" s="86"/>
      <c r="J2176" s="87"/>
      <c r="K2176" s="85"/>
      <c r="L2176" s="85"/>
      <c r="P2176" s="85"/>
      <c r="Q2176" s="85"/>
      <c r="R2176" s="81"/>
    </row>
    <row r="2177" spans="7:18" x14ac:dyDescent="0.3">
      <c r="G2177" s="85"/>
      <c r="H2177" s="86"/>
      <c r="I2177" s="86"/>
      <c r="J2177" s="87"/>
      <c r="K2177" s="85"/>
      <c r="L2177" s="85"/>
      <c r="P2177" s="85"/>
      <c r="Q2177" s="85"/>
      <c r="R2177" s="81"/>
    </row>
    <row r="2178" spans="7:18" x14ac:dyDescent="0.3">
      <c r="G2178" s="85"/>
      <c r="H2178" s="86"/>
      <c r="I2178" s="86"/>
      <c r="J2178" s="87"/>
      <c r="K2178" s="85"/>
      <c r="L2178" s="85"/>
      <c r="P2178" s="85"/>
      <c r="Q2178" s="85"/>
      <c r="R2178" s="81"/>
    </row>
    <row r="2179" spans="7:18" x14ac:dyDescent="0.3">
      <c r="G2179" s="85"/>
      <c r="H2179" s="86"/>
      <c r="I2179" s="86"/>
      <c r="J2179" s="87"/>
      <c r="K2179" s="85"/>
      <c r="L2179" s="85"/>
      <c r="P2179" s="85"/>
      <c r="Q2179" s="85"/>
      <c r="R2179" s="81"/>
    </row>
    <row r="2180" spans="7:18" x14ac:dyDescent="0.3">
      <c r="G2180" s="85"/>
      <c r="H2180" s="86"/>
      <c r="I2180" s="86"/>
      <c r="J2180" s="87"/>
      <c r="K2180" s="85"/>
      <c r="L2180" s="85"/>
      <c r="P2180" s="85"/>
      <c r="Q2180" s="85"/>
      <c r="R2180" s="81"/>
    </row>
    <row r="2181" spans="7:18" x14ac:dyDescent="0.3">
      <c r="G2181" s="85"/>
      <c r="H2181" s="86"/>
      <c r="I2181" s="86"/>
      <c r="J2181" s="87"/>
      <c r="K2181" s="85"/>
      <c r="L2181" s="85"/>
      <c r="P2181" s="85"/>
      <c r="Q2181" s="85"/>
      <c r="R2181" s="81"/>
    </row>
    <row r="2182" spans="7:18" x14ac:dyDescent="0.3">
      <c r="G2182" s="85"/>
      <c r="H2182" s="86"/>
      <c r="I2182" s="86"/>
      <c r="J2182" s="87"/>
      <c r="K2182" s="85"/>
      <c r="L2182" s="85"/>
      <c r="P2182" s="85"/>
      <c r="Q2182" s="85"/>
      <c r="R2182" s="81"/>
    </row>
    <row r="2183" spans="7:18" x14ac:dyDescent="0.3">
      <c r="G2183" s="85"/>
      <c r="H2183" s="86"/>
      <c r="I2183" s="86"/>
      <c r="J2183" s="87"/>
      <c r="K2183" s="85"/>
      <c r="L2183" s="85"/>
      <c r="P2183" s="85"/>
      <c r="Q2183" s="85"/>
      <c r="R2183" s="81"/>
    </row>
    <row r="2184" spans="7:18" x14ac:dyDescent="0.3">
      <c r="G2184" s="85"/>
      <c r="H2184" s="86"/>
      <c r="I2184" s="86"/>
      <c r="J2184" s="87"/>
      <c r="K2184" s="85"/>
      <c r="L2184" s="85"/>
      <c r="P2184" s="85"/>
      <c r="Q2184" s="85"/>
      <c r="R2184" s="81"/>
    </row>
    <row r="2185" spans="7:18" x14ac:dyDescent="0.3">
      <c r="G2185" s="85"/>
      <c r="H2185" s="86"/>
      <c r="I2185" s="86"/>
      <c r="J2185" s="87"/>
      <c r="K2185" s="85"/>
      <c r="L2185" s="85"/>
      <c r="P2185" s="85"/>
      <c r="Q2185" s="85"/>
      <c r="R2185" s="81"/>
    </row>
    <row r="2186" spans="7:18" x14ac:dyDescent="0.3">
      <c r="G2186" s="85"/>
      <c r="H2186" s="86"/>
      <c r="I2186" s="86"/>
      <c r="J2186" s="87"/>
      <c r="K2186" s="85"/>
      <c r="L2186" s="85"/>
      <c r="P2186" s="85"/>
      <c r="Q2186" s="85"/>
      <c r="R2186" s="81"/>
    </row>
    <row r="2187" spans="7:18" x14ac:dyDescent="0.3">
      <c r="G2187" s="85"/>
      <c r="H2187" s="86"/>
      <c r="I2187" s="86"/>
      <c r="J2187" s="87"/>
      <c r="K2187" s="85"/>
      <c r="L2187" s="85"/>
      <c r="P2187" s="85"/>
      <c r="Q2187" s="85"/>
      <c r="R2187" s="81"/>
    </row>
    <row r="2188" spans="7:18" x14ac:dyDescent="0.3">
      <c r="G2188" s="85"/>
      <c r="H2188" s="86"/>
      <c r="I2188" s="86"/>
      <c r="J2188" s="87"/>
      <c r="K2188" s="85"/>
      <c r="L2188" s="85"/>
      <c r="P2188" s="85"/>
      <c r="Q2188" s="85"/>
      <c r="R2188" s="81"/>
    </row>
    <row r="2189" spans="7:18" x14ac:dyDescent="0.3">
      <c r="G2189" s="85"/>
      <c r="H2189" s="86"/>
      <c r="I2189" s="86"/>
      <c r="J2189" s="87"/>
      <c r="K2189" s="85"/>
      <c r="L2189" s="85"/>
      <c r="P2189" s="85"/>
      <c r="Q2189" s="85"/>
      <c r="R2189" s="81"/>
    </row>
    <row r="2190" spans="7:18" x14ac:dyDescent="0.3">
      <c r="G2190" s="85"/>
      <c r="H2190" s="86"/>
      <c r="I2190" s="86"/>
      <c r="J2190" s="87"/>
      <c r="K2190" s="85"/>
      <c r="L2190" s="85"/>
      <c r="P2190" s="85"/>
      <c r="Q2190" s="85"/>
      <c r="R2190" s="81"/>
    </row>
    <row r="2191" spans="7:18" x14ac:dyDescent="0.3">
      <c r="G2191" s="85"/>
      <c r="H2191" s="86"/>
      <c r="I2191" s="86"/>
      <c r="J2191" s="87"/>
      <c r="K2191" s="85"/>
      <c r="L2191" s="85"/>
      <c r="P2191" s="85"/>
      <c r="Q2191" s="85"/>
      <c r="R2191" s="81"/>
    </row>
    <row r="2192" spans="7:18" x14ac:dyDescent="0.3">
      <c r="G2192" s="85"/>
      <c r="H2192" s="86"/>
      <c r="I2192" s="86"/>
      <c r="J2192" s="87"/>
      <c r="K2192" s="85"/>
      <c r="L2192" s="85"/>
      <c r="P2192" s="85"/>
      <c r="Q2192" s="85"/>
      <c r="R2192" s="81"/>
    </row>
    <row r="2193" spans="7:18" x14ac:dyDescent="0.3">
      <c r="G2193" s="85"/>
      <c r="H2193" s="86"/>
      <c r="I2193" s="86"/>
      <c r="J2193" s="87"/>
      <c r="K2193" s="85"/>
      <c r="L2193" s="85"/>
      <c r="P2193" s="85"/>
      <c r="Q2193" s="85"/>
      <c r="R2193" s="81"/>
    </row>
    <row r="2194" spans="7:18" x14ac:dyDescent="0.3">
      <c r="G2194" s="85"/>
      <c r="H2194" s="86"/>
      <c r="I2194" s="86"/>
      <c r="J2194" s="87"/>
      <c r="K2194" s="85"/>
      <c r="L2194" s="85"/>
      <c r="P2194" s="85"/>
      <c r="Q2194" s="85"/>
      <c r="R2194" s="81"/>
    </row>
    <row r="2195" spans="7:18" x14ac:dyDescent="0.3">
      <c r="G2195" s="85"/>
      <c r="H2195" s="86"/>
      <c r="I2195" s="86"/>
      <c r="J2195" s="87"/>
      <c r="K2195" s="85"/>
      <c r="L2195" s="85"/>
      <c r="P2195" s="85"/>
      <c r="Q2195" s="85"/>
      <c r="R2195" s="81"/>
    </row>
    <row r="2196" spans="7:18" x14ac:dyDescent="0.3">
      <c r="G2196" s="85"/>
      <c r="H2196" s="86"/>
      <c r="I2196" s="86"/>
      <c r="J2196" s="87"/>
      <c r="K2196" s="85"/>
      <c r="L2196" s="85"/>
      <c r="P2196" s="85"/>
      <c r="Q2196" s="85"/>
      <c r="R2196" s="81"/>
    </row>
    <row r="2197" spans="7:18" x14ac:dyDescent="0.3">
      <c r="G2197" s="85"/>
      <c r="H2197" s="86"/>
      <c r="I2197" s="86"/>
      <c r="J2197" s="87"/>
      <c r="K2197" s="85"/>
      <c r="L2197" s="85"/>
      <c r="P2197" s="85"/>
      <c r="Q2197" s="85"/>
      <c r="R2197" s="81"/>
    </row>
    <row r="2198" spans="7:18" x14ac:dyDescent="0.3">
      <c r="G2198" s="85"/>
      <c r="H2198" s="86"/>
      <c r="I2198" s="86"/>
      <c r="J2198" s="87"/>
      <c r="K2198" s="85"/>
      <c r="L2198" s="85"/>
      <c r="P2198" s="85"/>
      <c r="Q2198" s="85"/>
      <c r="R2198" s="81"/>
    </row>
    <row r="2199" spans="7:18" x14ac:dyDescent="0.3">
      <c r="G2199" s="85"/>
      <c r="H2199" s="86"/>
      <c r="I2199" s="86"/>
      <c r="J2199" s="87"/>
      <c r="K2199" s="85"/>
      <c r="L2199" s="85"/>
      <c r="P2199" s="85"/>
      <c r="Q2199" s="85"/>
      <c r="R2199" s="81"/>
    </row>
    <row r="2200" spans="7:18" x14ac:dyDescent="0.3">
      <c r="G2200" s="85"/>
      <c r="H2200" s="86"/>
      <c r="I2200" s="86"/>
      <c r="J2200" s="87"/>
      <c r="K2200" s="85"/>
      <c r="L2200" s="85"/>
      <c r="P2200" s="85"/>
      <c r="Q2200" s="85"/>
      <c r="R2200" s="81"/>
    </row>
    <row r="2201" spans="7:18" x14ac:dyDescent="0.3">
      <c r="G2201" s="85"/>
      <c r="H2201" s="86"/>
      <c r="I2201" s="86"/>
      <c r="J2201" s="87"/>
      <c r="K2201" s="85"/>
      <c r="L2201" s="85"/>
      <c r="P2201" s="85"/>
      <c r="Q2201" s="85"/>
      <c r="R2201" s="81"/>
    </row>
    <row r="2202" spans="7:18" x14ac:dyDescent="0.3">
      <c r="G2202" s="85"/>
      <c r="H2202" s="86"/>
      <c r="I2202" s="86"/>
      <c r="J2202" s="87"/>
      <c r="K2202" s="85"/>
      <c r="L2202" s="85"/>
      <c r="P2202" s="85"/>
      <c r="Q2202" s="85"/>
      <c r="R2202" s="81"/>
    </row>
    <row r="2203" spans="7:18" x14ac:dyDescent="0.3">
      <c r="G2203" s="85"/>
      <c r="H2203" s="86"/>
      <c r="I2203" s="86"/>
      <c r="J2203" s="87"/>
      <c r="K2203" s="85"/>
      <c r="L2203" s="85"/>
      <c r="P2203" s="85"/>
      <c r="Q2203" s="85"/>
      <c r="R2203" s="81"/>
    </row>
    <row r="2204" spans="7:18" x14ac:dyDescent="0.3">
      <c r="G2204" s="85"/>
      <c r="H2204" s="86"/>
      <c r="I2204" s="86"/>
      <c r="J2204" s="87"/>
      <c r="K2204" s="85"/>
      <c r="L2204" s="85"/>
      <c r="P2204" s="85"/>
      <c r="Q2204" s="85"/>
      <c r="R2204" s="81"/>
    </row>
    <row r="2205" spans="7:18" x14ac:dyDescent="0.3">
      <c r="G2205" s="85"/>
      <c r="H2205" s="86"/>
      <c r="I2205" s="86"/>
      <c r="J2205" s="87"/>
      <c r="K2205" s="85"/>
      <c r="L2205" s="85"/>
      <c r="P2205" s="85"/>
      <c r="Q2205" s="85"/>
      <c r="R2205" s="81"/>
    </row>
    <row r="2206" spans="7:18" x14ac:dyDescent="0.3">
      <c r="G2206" s="85"/>
      <c r="H2206" s="86"/>
      <c r="I2206" s="86"/>
      <c r="J2206" s="87"/>
      <c r="K2206" s="85"/>
      <c r="L2206" s="85"/>
      <c r="P2206" s="85"/>
      <c r="Q2206" s="85"/>
      <c r="R2206" s="81"/>
    </row>
    <row r="2207" spans="7:18" x14ac:dyDescent="0.3">
      <c r="G2207" s="85"/>
      <c r="H2207" s="86"/>
      <c r="I2207" s="86"/>
      <c r="J2207" s="87"/>
      <c r="K2207" s="85"/>
      <c r="L2207" s="85"/>
      <c r="P2207" s="85"/>
      <c r="Q2207" s="85"/>
      <c r="R2207" s="81"/>
    </row>
    <row r="2208" spans="7:18" x14ac:dyDescent="0.3">
      <c r="G2208" s="85"/>
      <c r="H2208" s="86"/>
      <c r="I2208" s="86"/>
      <c r="J2208" s="87"/>
      <c r="K2208" s="85"/>
      <c r="L2208" s="85"/>
      <c r="P2208" s="85"/>
      <c r="Q2208" s="85"/>
      <c r="R2208" s="81"/>
    </row>
    <row r="2209" spans="7:18" x14ac:dyDescent="0.3">
      <c r="G2209" s="85"/>
      <c r="H2209" s="86"/>
      <c r="I2209" s="86"/>
      <c r="J2209" s="87"/>
      <c r="K2209" s="85"/>
      <c r="L2209" s="85"/>
      <c r="P2209" s="85"/>
      <c r="Q2209" s="85"/>
      <c r="R2209" s="81"/>
    </row>
    <row r="2210" spans="7:18" x14ac:dyDescent="0.3">
      <c r="G2210" s="85"/>
      <c r="H2210" s="86"/>
      <c r="I2210" s="86"/>
      <c r="J2210" s="87"/>
      <c r="K2210" s="85"/>
      <c r="L2210" s="85"/>
      <c r="P2210" s="85"/>
      <c r="Q2210" s="85"/>
      <c r="R2210" s="81"/>
    </row>
    <row r="2211" spans="7:18" x14ac:dyDescent="0.3">
      <c r="G2211" s="85"/>
      <c r="H2211" s="86"/>
      <c r="I2211" s="86"/>
      <c r="J2211" s="87"/>
      <c r="K2211" s="85"/>
      <c r="L2211" s="85"/>
      <c r="P2211" s="85"/>
      <c r="Q2211" s="85"/>
      <c r="R2211" s="81"/>
    </row>
    <row r="2212" spans="7:18" x14ac:dyDescent="0.3">
      <c r="G2212" s="85"/>
      <c r="H2212" s="86"/>
      <c r="I2212" s="86"/>
      <c r="J2212" s="87"/>
      <c r="K2212" s="85"/>
      <c r="L2212" s="85"/>
      <c r="P2212" s="85"/>
      <c r="Q2212" s="85"/>
      <c r="R2212" s="81"/>
    </row>
    <row r="2213" spans="7:18" x14ac:dyDescent="0.3">
      <c r="G2213" s="85"/>
      <c r="H2213" s="86"/>
      <c r="I2213" s="86"/>
      <c r="J2213" s="87"/>
      <c r="K2213" s="85"/>
      <c r="L2213" s="85"/>
      <c r="P2213" s="85"/>
      <c r="Q2213" s="85"/>
      <c r="R2213" s="81"/>
    </row>
    <row r="2214" spans="7:18" x14ac:dyDescent="0.3">
      <c r="G2214" s="85"/>
      <c r="H2214" s="86"/>
      <c r="I2214" s="86"/>
      <c r="J2214" s="87"/>
      <c r="K2214" s="85"/>
      <c r="L2214" s="85"/>
      <c r="P2214" s="85"/>
      <c r="Q2214" s="85"/>
      <c r="R2214" s="81"/>
    </row>
    <row r="2215" spans="7:18" x14ac:dyDescent="0.3">
      <c r="G2215" s="85"/>
      <c r="H2215" s="86"/>
      <c r="I2215" s="86"/>
      <c r="J2215" s="87"/>
      <c r="K2215" s="85"/>
      <c r="L2215" s="85"/>
      <c r="P2215" s="85"/>
      <c r="Q2215" s="85"/>
      <c r="R2215" s="81"/>
    </row>
    <row r="2216" spans="7:18" x14ac:dyDescent="0.3">
      <c r="G2216" s="85"/>
      <c r="H2216" s="86"/>
      <c r="I2216" s="86"/>
      <c r="J2216" s="87"/>
      <c r="K2216" s="85"/>
      <c r="L2216" s="85"/>
      <c r="P2216" s="85"/>
      <c r="Q2216" s="85"/>
      <c r="R2216" s="81"/>
    </row>
    <row r="2217" spans="7:18" x14ac:dyDescent="0.3">
      <c r="G2217" s="85"/>
      <c r="H2217" s="86"/>
      <c r="I2217" s="86"/>
      <c r="J2217" s="87"/>
      <c r="K2217" s="85"/>
      <c r="L2217" s="85"/>
      <c r="P2217" s="85"/>
      <c r="Q2217" s="85"/>
      <c r="R2217" s="81"/>
    </row>
    <row r="2218" spans="7:18" x14ac:dyDescent="0.3">
      <c r="G2218" s="85"/>
      <c r="H2218" s="86"/>
      <c r="I2218" s="86"/>
      <c r="J2218" s="87"/>
      <c r="K2218" s="85"/>
      <c r="L2218" s="85"/>
      <c r="P2218" s="85"/>
      <c r="Q2218" s="85"/>
      <c r="R2218" s="81"/>
    </row>
    <row r="2219" spans="7:18" x14ac:dyDescent="0.3">
      <c r="G2219" s="85"/>
      <c r="H2219" s="86"/>
      <c r="I2219" s="86"/>
      <c r="J2219" s="87"/>
      <c r="K2219" s="85"/>
      <c r="L2219" s="85"/>
      <c r="P2219" s="85"/>
      <c r="Q2219" s="85"/>
      <c r="R2219" s="81"/>
    </row>
    <row r="2220" spans="7:18" x14ac:dyDescent="0.3">
      <c r="G2220" s="85"/>
      <c r="H2220" s="86"/>
      <c r="I2220" s="86"/>
      <c r="J2220" s="87"/>
      <c r="K2220" s="85"/>
      <c r="L2220" s="85"/>
      <c r="P2220" s="85"/>
      <c r="Q2220" s="85"/>
      <c r="R2220" s="81"/>
    </row>
    <row r="2221" spans="7:18" x14ac:dyDescent="0.3">
      <c r="G2221" s="85"/>
      <c r="H2221" s="86"/>
      <c r="I2221" s="86"/>
      <c r="J2221" s="87"/>
      <c r="K2221" s="85"/>
      <c r="L2221" s="85"/>
      <c r="P2221" s="85"/>
      <c r="Q2221" s="85"/>
      <c r="R2221" s="81"/>
    </row>
    <row r="2222" spans="7:18" x14ac:dyDescent="0.3">
      <c r="G2222" s="85"/>
      <c r="H2222" s="86"/>
      <c r="I2222" s="86"/>
      <c r="J2222" s="87"/>
      <c r="K2222" s="85"/>
      <c r="L2222" s="85"/>
      <c r="P2222" s="85"/>
      <c r="Q2222" s="85"/>
      <c r="R2222" s="81"/>
    </row>
    <row r="2223" spans="7:18" x14ac:dyDescent="0.3">
      <c r="G2223" s="85"/>
      <c r="H2223" s="86"/>
      <c r="I2223" s="86"/>
      <c r="J2223" s="87"/>
      <c r="K2223" s="85"/>
      <c r="L2223" s="85"/>
      <c r="P2223" s="85"/>
      <c r="Q2223" s="85"/>
      <c r="R2223" s="81"/>
    </row>
    <row r="2224" spans="7:18" x14ac:dyDescent="0.3">
      <c r="G2224" s="85"/>
      <c r="H2224" s="86"/>
      <c r="I2224" s="86"/>
      <c r="J2224" s="87"/>
      <c r="K2224" s="85"/>
      <c r="L2224" s="85"/>
      <c r="P2224" s="85"/>
      <c r="Q2224" s="85"/>
      <c r="R2224" s="81"/>
    </row>
    <row r="2225" spans="7:18" x14ac:dyDescent="0.3">
      <c r="G2225" s="85"/>
      <c r="H2225" s="86"/>
      <c r="I2225" s="86"/>
      <c r="J2225" s="87"/>
      <c r="K2225" s="85"/>
      <c r="L2225" s="85"/>
      <c r="P2225" s="85"/>
      <c r="Q2225" s="85"/>
      <c r="R2225" s="81"/>
    </row>
    <row r="2226" spans="7:18" x14ac:dyDescent="0.3">
      <c r="G2226" s="85"/>
      <c r="H2226" s="86"/>
      <c r="I2226" s="86"/>
      <c r="J2226" s="87"/>
      <c r="K2226" s="85"/>
      <c r="L2226" s="85"/>
      <c r="P2226" s="85"/>
      <c r="Q2226" s="85"/>
      <c r="R2226" s="81"/>
    </row>
    <row r="2227" spans="7:18" x14ac:dyDescent="0.3">
      <c r="G2227" s="85"/>
      <c r="H2227" s="86"/>
      <c r="I2227" s="86"/>
      <c r="J2227" s="87"/>
      <c r="K2227" s="85"/>
      <c r="L2227" s="85"/>
      <c r="P2227" s="85"/>
      <c r="Q2227" s="85"/>
      <c r="R2227" s="81"/>
    </row>
    <row r="2228" spans="7:18" x14ac:dyDescent="0.3">
      <c r="G2228" s="85"/>
      <c r="H2228" s="86"/>
      <c r="I2228" s="86"/>
      <c r="J2228" s="87"/>
      <c r="K2228" s="85"/>
      <c r="L2228" s="85"/>
      <c r="P2228" s="85"/>
      <c r="Q2228" s="85"/>
      <c r="R2228" s="81"/>
    </row>
    <row r="2229" spans="7:18" x14ac:dyDescent="0.3">
      <c r="G2229" s="85"/>
      <c r="H2229" s="86"/>
      <c r="I2229" s="86"/>
      <c r="J2229" s="87"/>
      <c r="K2229" s="85"/>
      <c r="L2229" s="85"/>
      <c r="P2229" s="85"/>
      <c r="Q2229" s="85"/>
      <c r="R2229" s="81"/>
    </row>
    <row r="2230" spans="7:18" x14ac:dyDescent="0.3">
      <c r="G2230" s="85"/>
      <c r="H2230" s="86"/>
      <c r="I2230" s="86"/>
      <c r="J2230" s="87"/>
      <c r="K2230" s="85"/>
      <c r="L2230" s="85"/>
      <c r="P2230" s="85"/>
      <c r="Q2230" s="85"/>
      <c r="R2230" s="81"/>
    </row>
    <row r="2231" spans="7:18" x14ac:dyDescent="0.3">
      <c r="G2231" s="85"/>
      <c r="H2231" s="86"/>
      <c r="I2231" s="86"/>
      <c r="J2231" s="87"/>
      <c r="K2231" s="85"/>
      <c r="L2231" s="85"/>
      <c r="P2231" s="85"/>
      <c r="Q2231" s="85"/>
      <c r="R2231" s="81"/>
    </row>
    <row r="2232" spans="7:18" x14ac:dyDescent="0.3">
      <c r="G2232" s="85"/>
      <c r="H2232" s="86"/>
      <c r="I2232" s="86"/>
      <c r="J2232" s="87"/>
      <c r="K2232" s="85"/>
      <c r="L2232" s="85"/>
      <c r="P2232" s="85"/>
      <c r="Q2232" s="85"/>
      <c r="R2232" s="81"/>
    </row>
    <row r="2233" spans="7:18" x14ac:dyDescent="0.3">
      <c r="G2233" s="85"/>
      <c r="H2233" s="86"/>
      <c r="I2233" s="86"/>
      <c r="J2233" s="87"/>
      <c r="K2233" s="85"/>
      <c r="L2233" s="85"/>
      <c r="P2233" s="85"/>
      <c r="Q2233" s="85"/>
      <c r="R2233" s="81"/>
    </row>
    <row r="2234" spans="7:18" x14ac:dyDescent="0.3">
      <c r="G2234" s="85"/>
      <c r="H2234" s="86"/>
      <c r="I2234" s="86"/>
      <c r="J2234" s="87"/>
      <c r="K2234" s="85"/>
      <c r="L2234" s="85"/>
      <c r="P2234" s="85"/>
      <c r="Q2234" s="85"/>
      <c r="R2234" s="81"/>
    </row>
    <row r="2235" spans="7:18" x14ac:dyDescent="0.3">
      <c r="G2235" s="85"/>
      <c r="H2235" s="86"/>
      <c r="I2235" s="86"/>
      <c r="J2235" s="87"/>
      <c r="K2235" s="85"/>
      <c r="L2235" s="85"/>
      <c r="P2235" s="85"/>
      <c r="Q2235" s="85"/>
      <c r="R2235" s="81"/>
    </row>
    <row r="2236" spans="7:18" x14ac:dyDescent="0.3">
      <c r="G2236" s="85"/>
      <c r="H2236" s="86"/>
      <c r="I2236" s="86"/>
      <c r="J2236" s="87"/>
      <c r="K2236" s="85"/>
      <c r="L2236" s="85"/>
      <c r="P2236" s="85"/>
      <c r="Q2236" s="85"/>
      <c r="R2236" s="81"/>
    </row>
    <row r="2237" spans="7:18" x14ac:dyDescent="0.3">
      <c r="G2237" s="85"/>
      <c r="H2237" s="86"/>
      <c r="I2237" s="86"/>
      <c r="J2237" s="87"/>
      <c r="K2237" s="85"/>
      <c r="L2237" s="85"/>
      <c r="P2237" s="85"/>
      <c r="Q2237" s="85"/>
      <c r="R2237" s="81"/>
    </row>
    <row r="2238" spans="7:18" x14ac:dyDescent="0.3">
      <c r="G2238" s="85"/>
      <c r="H2238" s="86"/>
      <c r="I2238" s="86"/>
      <c r="J2238" s="87"/>
      <c r="K2238" s="85"/>
      <c r="L2238" s="85"/>
      <c r="P2238" s="85"/>
      <c r="Q2238" s="85"/>
      <c r="R2238" s="81"/>
    </row>
    <row r="2239" spans="7:18" x14ac:dyDescent="0.3">
      <c r="G2239" s="85"/>
      <c r="H2239" s="86"/>
      <c r="I2239" s="86"/>
      <c r="J2239" s="87"/>
      <c r="K2239" s="85"/>
      <c r="L2239" s="85"/>
      <c r="P2239" s="85"/>
      <c r="Q2239" s="85"/>
      <c r="R2239" s="81"/>
    </row>
    <row r="2240" spans="7:18" x14ac:dyDescent="0.3">
      <c r="G2240" s="85"/>
      <c r="H2240" s="86"/>
      <c r="I2240" s="86"/>
      <c r="J2240" s="87"/>
      <c r="K2240" s="85"/>
      <c r="L2240" s="85"/>
      <c r="P2240" s="85"/>
      <c r="Q2240" s="85"/>
      <c r="R2240" s="81"/>
    </row>
    <row r="2241" spans="7:18" x14ac:dyDescent="0.3">
      <c r="G2241" s="85"/>
      <c r="H2241" s="86"/>
      <c r="I2241" s="86"/>
      <c r="J2241" s="87"/>
      <c r="K2241" s="85"/>
      <c r="L2241" s="85"/>
      <c r="P2241" s="85"/>
      <c r="Q2241" s="85"/>
      <c r="R2241" s="81"/>
    </row>
    <row r="2242" spans="7:18" x14ac:dyDescent="0.3">
      <c r="G2242" s="85"/>
      <c r="H2242" s="86"/>
      <c r="I2242" s="86"/>
      <c r="J2242" s="87"/>
      <c r="K2242" s="85"/>
      <c r="L2242" s="85"/>
      <c r="P2242" s="85"/>
      <c r="Q2242" s="85"/>
      <c r="R2242" s="81"/>
    </row>
    <row r="2243" spans="7:18" x14ac:dyDescent="0.3">
      <c r="G2243" s="85"/>
      <c r="H2243" s="86"/>
      <c r="I2243" s="86"/>
      <c r="J2243" s="87"/>
      <c r="K2243" s="85"/>
      <c r="L2243" s="85"/>
      <c r="P2243" s="85"/>
      <c r="Q2243" s="85"/>
      <c r="R2243" s="81"/>
    </row>
    <row r="2244" spans="7:18" x14ac:dyDescent="0.3">
      <c r="G2244" s="85"/>
      <c r="H2244" s="86"/>
      <c r="I2244" s="86"/>
      <c r="J2244" s="87"/>
      <c r="K2244" s="85"/>
      <c r="L2244" s="85"/>
      <c r="P2244" s="85"/>
      <c r="Q2244" s="85"/>
      <c r="R2244" s="81"/>
    </row>
    <row r="2245" spans="7:18" x14ac:dyDescent="0.3">
      <c r="G2245" s="85"/>
      <c r="H2245" s="86"/>
      <c r="I2245" s="86"/>
      <c r="J2245" s="87"/>
      <c r="K2245" s="85"/>
      <c r="L2245" s="85"/>
      <c r="P2245" s="85"/>
      <c r="Q2245" s="85"/>
      <c r="R2245" s="81"/>
    </row>
    <row r="2246" spans="7:18" x14ac:dyDescent="0.3">
      <c r="G2246" s="85"/>
      <c r="H2246" s="86"/>
      <c r="I2246" s="86"/>
      <c r="J2246" s="87"/>
      <c r="K2246" s="85"/>
      <c r="L2246" s="85"/>
      <c r="P2246" s="85"/>
      <c r="Q2246" s="85"/>
      <c r="R2246" s="81"/>
    </row>
    <row r="2247" spans="7:18" x14ac:dyDescent="0.3">
      <c r="G2247" s="85"/>
      <c r="H2247" s="86"/>
      <c r="I2247" s="86"/>
      <c r="J2247" s="87"/>
      <c r="K2247" s="85"/>
      <c r="L2247" s="85"/>
      <c r="P2247" s="85"/>
      <c r="Q2247" s="85"/>
      <c r="R2247" s="81"/>
    </row>
    <row r="2248" spans="7:18" x14ac:dyDescent="0.3">
      <c r="G2248" s="85"/>
      <c r="H2248" s="86"/>
      <c r="I2248" s="86"/>
      <c r="J2248" s="87"/>
      <c r="K2248" s="85"/>
      <c r="L2248" s="85"/>
      <c r="P2248" s="85"/>
      <c r="Q2248" s="85"/>
      <c r="R2248" s="81"/>
    </row>
    <row r="2249" spans="7:18" x14ac:dyDescent="0.3">
      <c r="G2249" s="85"/>
      <c r="H2249" s="86"/>
      <c r="I2249" s="86"/>
      <c r="J2249" s="87"/>
      <c r="K2249" s="85"/>
      <c r="L2249" s="85"/>
      <c r="P2249" s="85"/>
      <c r="Q2249" s="85"/>
      <c r="R2249" s="81"/>
    </row>
    <row r="2250" spans="7:18" x14ac:dyDescent="0.3">
      <c r="G2250" s="85"/>
      <c r="H2250" s="86"/>
      <c r="I2250" s="86"/>
      <c r="J2250" s="87"/>
      <c r="K2250" s="85"/>
      <c r="L2250" s="85"/>
      <c r="P2250" s="85"/>
      <c r="Q2250" s="85"/>
      <c r="R2250" s="81"/>
    </row>
    <row r="2251" spans="7:18" x14ac:dyDescent="0.3">
      <c r="G2251" s="85"/>
      <c r="H2251" s="86"/>
      <c r="I2251" s="86"/>
      <c r="J2251" s="87"/>
      <c r="K2251" s="85"/>
      <c r="L2251" s="85"/>
      <c r="P2251" s="85"/>
      <c r="Q2251" s="85"/>
      <c r="R2251" s="81"/>
    </row>
    <row r="2252" spans="7:18" x14ac:dyDescent="0.3">
      <c r="G2252" s="85"/>
      <c r="H2252" s="86"/>
      <c r="I2252" s="86"/>
      <c r="J2252" s="87"/>
      <c r="K2252" s="85"/>
      <c r="L2252" s="85"/>
      <c r="P2252" s="85"/>
      <c r="Q2252" s="85"/>
      <c r="R2252" s="81"/>
    </row>
    <row r="2253" spans="7:18" x14ac:dyDescent="0.3">
      <c r="G2253" s="85"/>
      <c r="H2253" s="86"/>
      <c r="I2253" s="86"/>
      <c r="J2253" s="87"/>
      <c r="K2253" s="85"/>
      <c r="L2253" s="85"/>
      <c r="P2253" s="85"/>
      <c r="Q2253" s="85"/>
      <c r="R2253" s="81"/>
    </row>
    <row r="2254" spans="7:18" x14ac:dyDescent="0.3">
      <c r="G2254" s="85"/>
      <c r="H2254" s="86"/>
      <c r="I2254" s="86"/>
      <c r="J2254" s="87"/>
      <c r="K2254" s="85"/>
      <c r="L2254" s="85"/>
      <c r="P2254" s="85"/>
      <c r="Q2254" s="85"/>
      <c r="R2254" s="81"/>
    </row>
    <row r="2255" spans="7:18" x14ac:dyDescent="0.3">
      <c r="G2255" s="85"/>
      <c r="H2255" s="86"/>
      <c r="I2255" s="86"/>
      <c r="J2255" s="87"/>
      <c r="K2255" s="85"/>
      <c r="L2255" s="85"/>
      <c r="P2255" s="85"/>
      <c r="Q2255" s="85"/>
      <c r="R2255" s="81"/>
    </row>
    <row r="2256" spans="7:18" x14ac:dyDescent="0.3">
      <c r="G2256" s="85"/>
      <c r="H2256" s="86"/>
      <c r="I2256" s="86"/>
      <c r="J2256" s="87"/>
      <c r="K2256" s="85"/>
      <c r="L2256" s="85"/>
      <c r="P2256" s="85"/>
      <c r="Q2256" s="85"/>
      <c r="R2256" s="81"/>
    </row>
    <row r="2257" spans="7:18" x14ac:dyDescent="0.3">
      <c r="G2257" s="85"/>
      <c r="H2257" s="86"/>
      <c r="I2257" s="86"/>
      <c r="J2257" s="87"/>
      <c r="K2257" s="85"/>
      <c r="L2257" s="85"/>
      <c r="P2257" s="85"/>
      <c r="Q2257" s="85"/>
      <c r="R2257" s="81"/>
    </row>
    <row r="2258" spans="7:18" x14ac:dyDescent="0.3">
      <c r="G2258" s="85"/>
      <c r="H2258" s="86"/>
      <c r="I2258" s="86"/>
      <c r="J2258" s="87"/>
      <c r="K2258" s="85"/>
      <c r="L2258" s="85"/>
      <c r="P2258" s="85"/>
      <c r="Q2258" s="85"/>
      <c r="R2258" s="81"/>
    </row>
    <row r="2259" spans="7:18" x14ac:dyDescent="0.3">
      <c r="G2259" s="85"/>
      <c r="H2259" s="86"/>
      <c r="I2259" s="86"/>
      <c r="J2259" s="87"/>
      <c r="K2259" s="85"/>
      <c r="L2259" s="85"/>
      <c r="P2259" s="85"/>
      <c r="Q2259" s="85"/>
      <c r="R2259" s="81"/>
    </row>
    <row r="2260" spans="7:18" x14ac:dyDescent="0.3">
      <c r="G2260" s="85"/>
      <c r="H2260" s="86"/>
      <c r="I2260" s="86"/>
      <c r="J2260" s="87"/>
      <c r="K2260" s="85"/>
      <c r="L2260" s="85"/>
      <c r="P2260" s="85"/>
      <c r="Q2260" s="85"/>
      <c r="R2260" s="81"/>
    </row>
    <row r="2261" spans="7:18" x14ac:dyDescent="0.3">
      <c r="G2261" s="85"/>
      <c r="H2261" s="86"/>
      <c r="I2261" s="86"/>
      <c r="J2261" s="87"/>
      <c r="K2261" s="85"/>
      <c r="L2261" s="85"/>
      <c r="P2261" s="85"/>
      <c r="Q2261" s="85"/>
      <c r="R2261" s="81"/>
    </row>
    <row r="2262" spans="7:18" x14ac:dyDescent="0.3">
      <c r="G2262" s="85"/>
      <c r="H2262" s="86"/>
      <c r="I2262" s="86"/>
      <c r="J2262" s="87"/>
      <c r="K2262" s="85"/>
      <c r="L2262" s="85"/>
      <c r="P2262" s="85"/>
      <c r="Q2262" s="85"/>
      <c r="R2262" s="81"/>
    </row>
    <row r="2263" spans="7:18" x14ac:dyDescent="0.3">
      <c r="G2263" s="85"/>
      <c r="H2263" s="86"/>
      <c r="I2263" s="86"/>
      <c r="J2263" s="87"/>
      <c r="K2263" s="85"/>
      <c r="L2263" s="85"/>
      <c r="P2263" s="85"/>
      <c r="Q2263" s="85"/>
      <c r="R2263" s="81"/>
    </row>
    <row r="2264" spans="7:18" x14ac:dyDescent="0.3">
      <c r="G2264" s="85"/>
      <c r="H2264" s="86"/>
      <c r="I2264" s="86"/>
      <c r="J2264" s="87"/>
      <c r="K2264" s="85"/>
      <c r="L2264" s="85"/>
      <c r="P2264" s="85"/>
      <c r="Q2264" s="85"/>
      <c r="R2264" s="81"/>
    </row>
    <row r="2265" spans="7:18" x14ac:dyDescent="0.3">
      <c r="G2265" s="85"/>
      <c r="H2265" s="86"/>
      <c r="I2265" s="86"/>
      <c r="J2265" s="87"/>
      <c r="K2265" s="85"/>
      <c r="L2265" s="85"/>
      <c r="P2265" s="85"/>
      <c r="Q2265" s="85"/>
      <c r="R2265" s="81"/>
    </row>
    <row r="2266" spans="7:18" x14ac:dyDescent="0.3">
      <c r="G2266" s="85"/>
      <c r="H2266" s="86"/>
      <c r="I2266" s="86"/>
      <c r="J2266" s="87"/>
      <c r="K2266" s="85"/>
      <c r="L2266" s="85"/>
      <c r="P2266" s="85"/>
      <c r="Q2266" s="85"/>
      <c r="R2266" s="81"/>
    </row>
    <row r="2267" spans="7:18" x14ac:dyDescent="0.3">
      <c r="G2267" s="85"/>
      <c r="H2267" s="86"/>
      <c r="I2267" s="86"/>
      <c r="J2267" s="87"/>
      <c r="K2267" s="85"/>
      <c r="L2267" s="85"/>
      <c r="P2267" s="85"/>
      <c r="Q2267" s="85"/>
      <c r="R2267" s="81"/>
    </row>
    <row r="2268" spans="7:18" x14ac:dyDescent="0.3">
      <c r="G2268" s="85"/>
      <c r="H2268" s="86"/>
      <c r="I2268" s="86"/>
      <c r="J2268" s="87"/>
      <c r="K2268" s="85"/>
      <c r="L2268" s="85"/>
      <c r="P2268" s="85"/>
      <c r="Q2268" s="85"/>
      <c r="R2268" s="81"/>
    </row>
    <row r="2269" spans="7:18" x14ac:dyDescent="0.3">
      <c r="G2269" s="85"/>
      <c r="H2269" s="86"/>
      <c r="I2269" s="86"/>
      <c r="J2269" s="87"/>
      <c r="K2269" s="85"/>
      <c r="L2269" s="85"/>
      <c r="P2269" s="85"/>
      <c r="Q2269" s="85"/>
      <c r="R2269" s="81"/>
    </row>
    <row r="2270" spans="7:18" x14ac:dyDescent="0.3">
      <c r="G2270" s="85"/>
      <c r="H2270" s="86"/>
      <c r="I2270" s="86"/>
      <c r="J2270" s="87"/>
      <c r="K2270" s="85"/>
      <c r="L2270" s="85"/>
      <c r="P2270" s="85"/>
      <c r="Q2270" s="85"/>
      <c r="R2270" s="81"/>
    </row>
    <row r="2271" spans="7:18" x14ac:dyDescent="0.3">
      <c r="G2271" s="85"/>
      <c r="H2271" s="86"/>
      <c r="I2271" s="86"/>
      <c r="J2271" s="87"/>
      <c r="K2271" s="85"/>
      <c r="L2271" s="85"/>
      <c r="P2271" s="85"/>
      <c r="Q2271" s="85"/>
      <c r="R2271" s="81"/>
    </row>
    <row r="2272" spans="7:18" x14ac:dyDescent="0.3">
      <c r="G2272" s="85"/>
      <c r="H2272" s="86"/>
      <c r="I2272" s="86"/>
      <c r="J2272" s="87"/>
      <c r="K2272" s="85"/>
      <c r="L2272" s="85"/>
      <c r="P2272" s="85"/>
      <c r="Q2272" s="85"/>
      <c r="R2272" s="81"/>
    </row>
    <row r="2273" spans="7:18" x14ac:dyDescent="0.3">
      <c r="G2273" s="85"/>
      <c r="H2273" s="86"/>
      <c r="I2273" s="86"/>
      <c r="J2273" s="87"/>
      <c r="K2273" s="85"/>
      <c r="L2273" s="85"/>
      <c r="P2273" s="85"/>
      <c r="Q2273" s="85"/>
      <c r="R2273" s="81"/>
    </row>
    <row r="2274" spans="7:18" x14ac:dyDescent="0.3">
      <c r="G2274" s="85"/>
      <c r="H2274" s="86"/>
      <c r="I2274" s="86"/>
      <c r="J2274" s="87"/>
      <c r="K2274" s="85"/>
      <c r="L2274" s="85"/>
      <c r="P2274" s="85"/>
      <c r="Q2274" s="85"/>
      <c r="R2274" s="81"/>
    </row>
    <row r="2275" spans="7:18" x14ac:dyDescent="0.3">
      <c r="G2275" s="85"/>
      <c r="H2275" s="86"/>
      <c r="I2275" s="86"/>
      <c r="J2275" s="87"/>
      <c r="K2275" s="85"/>
      <c r="L2275" s="85"/>
      <c r="P2275" s="85"/>
      <c r="Q2275" s="85"/>
      <c r="R2275" s="81"/>
    </row>
    <row r="2276" spans="7:18" x14ac:dyDescent="0.3">
      <c r="G2276" s="85"/>
      <c r="H2276" s="86"/>
      <c r="I2276" s="86"/>
      <c r="J2276" s="87"/>
      <c r="K2276" s="85"/>
      <c r="L2276" s="85"/>
      <c r="P2276" s="85"/>
      <c r="Q2276" s="85"/>
      <c r="R2276" s="81"/>
    </row>
    <row r="2277" spans="7:18" x14ac:dyDescent="0.3">
      <c r="G2277" s="85"/>
      <c r="H2277" s="86"/>
      <c r="I2277" s="86"/>
      <c r="J2277" s="87"/>
      <c r="K2277" s="85"/>
      <c r="L2277" s="85"/>
      <c r="P2277" s="85"/>
      <c r="Q2277" s="85"/>
      <c r="R2277" s="81"/>
    </row>
    <row r="2278" spans="7:18" x14ac:dyDescent="0.3">
      <c r="G2278" s="85"/>
      <c r="H2278" s="86"/>
      <c r="I2278" s="86"/>
      <c r="J2278" s="87"/>
      <c r="K2278" s="85"/>
      <c r="L2278" s="85"/>
      <c r="P2278" s="85"/>
      <c r="Q2278" s="85"/>
      <c r="R2278" s="81"/>
    </row>
    <row r="2279" spans="7:18" x14ac:dyDescent="0.3">
      <c r="G2279" s="85"/>
      <c r="H2279" s="86"/>
      <c r="I2279" s="86"/>
      <c r="J2279" s="87"/>
      <c r="K2279" s="85"/>
      <c r="L2279" s="85"/>
      <c r="P2279" s="85"/>
      <c r="Q2279" s="85"/>
      <c r="R2279" s="81"/>
    </row>
    <row r="2280" spans="7:18" x14ac:dyDescent="0.3">
      <c r="G2280" s="85"/>
      <c r="H2280" s="86"/>
      <c r="I2280" s="86"/>
      <c r="J2280" s="87"/>
      <c r="K2280" s="85"/>
      <c r="L2280" s="85"/>
      <c r="P2280" s="85"/>
      <c r="Q2280" s="85"/>
      <c r="R2280" s="81"/>
    </row>
    <row r="2281" spans="7:18" x14ac:dyDescent="0.3">
      <c r="G2281" s="85"/>
      <c r="H2281" s="86"/>
      <c r="I2281" s="86"/>
      <c r="J2281" s="87"/>
      <c r="K2281" s="85"/>
      <c r="L2281" s="85"/>
      <c r="P2281" s="85"/>
      <c r="Q2281" s="85"/>
      <c r="R2281" s="81"/>
    </row>
    <row r="2282" spans="7:18" x14ac:dyDescent="0.3">
      <c r="G2282" s="85"/>
      <c r="H2282" s="86"/>
      <c r="I2282" s="86"/>
      <c r="J2282" s="87"/>
      <c r="K2282" s="85"/>
      <c r="L2282" s="85"/>
      <c r="P2282" s="85"/>
      <c r="Q2282" s="85"/>
      <c r="R2282" s="81"/>
    </row>
    <row r="2283" spans="7:18" x14ac:dyDescent="0.3">
      <c r="G2283" s="85"/>
      <c r="H2283" s="86"/>
      <c r="I2283" s="86"/>
      <c r="J2283" s="87"/>
      <c r="K2283" s="85"/>
      <c r="L2283" s="85"/>
      <c r="P2283" s="85"/>
      <c r="Q2283" s="85"/>
      <c r="R2283" s="81"/>
    </row>
    <row r="2284" spans="7:18" x14ac:dyDescent="0.3">
      <c r="G2284" s="85"/>
      <c r="H2284" s="86"/>
      <c r="I2284" s="86"/>
      <c r="J2284" s="87"/>
      <c r="K2284" s="85"/>
      <c r="L2284" s="85"/>
      <c r="P2284" s="85"/>
      <c r="Q2284" s="85"/>
      <c r="R2284" s="81"/>
    </row>
    <row r="2285" spans="7:18" x14ac:dyDescent="0.3">
      <c r="G2285" s="85"/>
      <c r="H2285" s="86"/>
      <c r="I2285" s="86"/>
      <c r="J2285" s="87"/>
      <c r="K2285" s="85"/>
      <c r="L2285" s="85"/>
      <c r="P2285" s="85"/>
      <c r="Q2285" s="85"/>
      <c r="R2285" s="81"/>
    </row>
    <row r="2286" spans="7:18" x14ac:dyDescent="0.3">
      <c r="G2286" s="85"/>
      <c r="H2286" s="86"/>
      <c r="I2286" s="86"/>
      <c r="J2286" s="87"/>
      <c r="K2286" s="85"/>
      <c r="L2286" s="85"/>
      <c r="P2286" s="85"/>
      <c r="Q2286" s="85"/>
      <c r="R2286" s="81"/>
    </row>
    <row r="2287" spans="7:18" x14ac:dyDescent="0.3">
      <c r="G2287" s="85"/>
      <c r="H2287" s="86"/>
      <c r="I2287" s="86"/>
      <c r="J2287" s="87"/>
      <c r="K2287" s="85"/>
      <c r="L2287" s="85"/>
      <c r="P2287" s="85"/>
      <c r="Q2287" s="85"/>
      <c r="R2287" s="81"/>
    </row>
    <row r="2288" spans="7:18" x14ac:dyDescent="0.3">
      <c r="G2288" s="85"/>
      <c r="H2288" s="86"/>
      <c r="I2288" s="86"/>
      <c r="J2288" s="87"/>
      <c r="K2288" s="85"/>
      <c r="L2288" s="85"/>
      <c r="P2288" s="85"/>
      <c r="Q2288" s="85"/>
      <c r="R2288" s="81"/>
    </row>
    <row r="2289" spans="7:18" x14ac:dyDescent="0.3">
      <c r="G2289" s="85"/>
      <c r="H2289" s="86"/>
      <c r="I2289" s="86"/>
      <c r="J2289" s="87"/>
      <c r="K2289" s="85"/>
      <c r="L2289" s="85"/>
      <c r="P2289" s="85"/>
      <c r="Q2289" s="85"/>
      <c r="R2289" s="81"/>
    </row>
    <row r="2290" spans="7:18" x14ac:dyDescent="0.3">
      <c r="G2290" s="85"/>
      <c r="H2290" s="86"/>
      <c r="I2290" s="86"/>
      <c r="J2290" s="87"/>
      <c r="K2290" s="85"/>
      <c r="L2290" s="85"/>
      <c r="P2290" s="85"/>
      <c r="Q2290" s="85"/>
      <c r="R2290" s="81"/>
    </row>
    <row r="2291" spans="7:18" x14ac:dyDescent="0.3">
      <c r="G2291" s="85"/>
      <c r="H2291" s="86"/>
      <c r="I2291" s="86"/>
      <c r="J2291" s="87"/>
      <c r="K2291" s="85"/>
      <c r="L2291" s="85"/>
      <c r="P2291" s="85"/>
      <c r="Q2291" s="85"/>
      <c r="R2291" s="81"/>
    </row>
    <row r="2292" spans="7:18" x14ac:dyDescent="0.3">
      <c r="G2292" s="85"/>
      <c r="H2292" s="86"/>
      <c r="I2292" s="86"/>
      <c r="J2292" s="87"/>
      <c r="K2292" s="85"/>
      <c r="L2292" s="85"/>
      <c r="P2292" s="85"/>
      <c r="Q2292" s="85"/>
      <c r="R2292" s="81"/>
    </row>
    <row r="2293" spans="7:18" x14ac:dyDescent="0.3">
      <c r="G2293" s="85"/>
      <c r="H2293" s="86"/>
      <c r="I2293" s="86"/>
      <c r="J2293" s="87"/>
      <c r="K2293" s="85"/>
      <c r="L2293" s="85"/>
      <c r="P2293" s="85"/>
      <c r="Q2293" s="85"/>
      <c r="R2293" s="81"/>
    </row>
    <row r="2294" spans="7:18" x14ac:dyDescent="0.3">
      <c r="G2294" s="85"/>
      <c r="H2294" s="86"/>
      <c r="I2294" s="86"/>
      <c r="J2294" s="87"/>
      <c r="K2294" s="85"/>
      <c r="L2294" s="85"/>
      <c r="P2294" s="85"/>
      <c r="Q2294" s="85"/>
      <c r="R2294" s="81"/>
    </row>
    <row r="2295" spans="7:18" x14ac:dyDescent="0.3">
      <c r="G2295" s="85"/>
      <c r="H2295" s="86"/>
      <c r="I2295" s="86"/>
      <c r="J2295" s="87"/>
      <c r="K2295" s="85"/>
      <c r="L2295" s="85"/>
      <c r="P2295" s="85"/>
      <c r="Q2295" s="85"/>
      <c r="R2295" s="81"/>
    </row>
    <row r="2296" spans="7:18" x14ac:dyDescent="0.3">
      <c r="G2296" s="85"/>
      <c r="H2296" s="86"/>
      <c r="I2296" s="86"/>
      <c r="J2296" s="87"/>
      <c r="K2296" s="85"/>
      <c r="L2296" s="85"/>
      <c r="P2296" s="85"/>
      <c r="Q2296" s="85"/>
      <c r="R2296" s="81"/>
    </row>
    <row r="2297" spans="7:18" x14ac:dyDescent="0.3">
      <c r="G2297" s="85"/>
      <c r="H2297" s="86"/>
      <c r="I2297" s="86"/>
      <c r="J2297" s="87"/>
      <c r="K2297" s="85"/>
      <c r="L2297" s="85"/>
      <c r="P2297" s="85"/>
      <c r="Q2297" s="85"/>
      <c r="R2297" s="81"/>
    </row>
    <row r="2298" spans="7:18" x14ac:dyDescent="0.3">
      <c r="G2298" s="85"/>
      <c r="H2298" s="86"/>
      <c r="I2298" s="86"/>
      <c r="J2298" s="87"/>
      <c r="K2298" s="85"/>
      <c r="L2298" s="85"/>
      <c r="P2298" s="85"/>
      <c r="Q2298" s="85"/>
      <c r="R2298" s="81"/>
    </row>
    <row r="2299" spans="7:18" x14ac:dyDescent="0.3">
      <c r="G2299" s="85"/>
      <c r="H2299" s="86"/>
      <c r="I2299" s="86"/>
      <c r="J2299" s="87"/>
      <c r="K2299" s="85"/>
      <c r="L2299" s="85"/>
      <c r="P2299" s="85"/>
      <c r="Q2299" s="85"/>
      <c r="R2299" s="81"/>
    </row>
    <row r="2300" spans="7:18" x14ac:dyDescent="0.3">
      <c r="G2300" s="85"/>
      <c r="H2300" s="86"/>
      <c r="I2300" s="86"/>
      <c r="J2300" s="87"/>
      <c r="K2300" s="85"/>
      <c r="L2300" s="85"/>
      <c r="P2300" s="85"/>
      <c r="Q2300" s="85"/>
      <c r="R2300" s="81"/>
    </row>
    <row r="2301" spans="7:18" x14ac:dyDescent="0.3">
      <c r="G2301" s="85"/>
      <c r="H2301" s="86"/>
      <c r="I2301" s="86"/>
      <c r="J2301" s="87"/>
      <c r="K2301" s="85"/>
      <c r="L2301" s="85"/>
      <c r="P2301" s="85"/>
      <c r="Q2301" s="85"/>
      <c r="R2301" s="81"/>
    </row>
    <row r="2302" spans="7:18" x14ac:dyDescent="0.3">
      <c r="G2302" s="85"/>
      <c r="H2302" s="86"/>
      <c r="I2302" s="86"/>
      <c r="J2302" s="87"/>
      <c r="K2302" s="85"/>
      <c r="L2302" s="85"/>
      <c r="P2302" s="85"/>
      <c r="Q2302" s="85"/>
      <c r="R2302" s="81"/>
    </row>
    <row r="2303" spans="7:18" x14ac:dyDescent="0.3">
      <c r="G2303" s="85"/>
      <c r="H2303" s="86"/>
      <c r="I2303" s="86"/>
      <c r="J2303" s="87"/>
      <c r="K2303" s="85"/>
      <c r="L2303" s="85"/>
      <c r="P2303" s="85"/>
      <c r="Q2303" s="85"/>
      <c r="R2303" s="81"/>
    </row>
    <row r="2304" spans="7:18" x14ac:dyDescent="0.3">
      <c r="G2304" s="85"/>
      <c r="H2304" s="86"/>
      <c r="I2304" s="86"/>
      <c r="J2304" s="87"/>
      <c r="K2304" s="85"/>
      <c r="L2304" s="85"/>
      <c r="P2304" s="85"/>
      <c r="Q2304" s="85"/>
      <c r="R2304" s="81"/>
    </row>
    <row r="2305" spans="7:18" x14ac:dyDescent="0.3">
      <c r="G2305" s="85"/>
      <c r="H2305" s="86"/>
      <c r="I2305" s="86"/>
      <c r="J2305" s="87"/>
      <c r="K2305" s="85"/>
      <c r="L2305" s="85"/>
      <c r="P2305" s="85"/>
      <c r="Q2305" s="85"/>
      <c r="R2305" s="81"/>
    </row>
    <row r="2306" spans="7:18" x14ac:dyDescent="0.3">
      <c r="G2306" s="85"/>
      <c r="H2306" s="86"/>
      <c r="I2306" s="86"/>
      <c r="J2306" s="87"/>
      <c r="K2306" s="85"/>
      <c r="L2306" s="85"/>
      <c r="P2306" s="85"/>
      <c r="Q2306" s="85"/>
      <c r="R2306" s="81"/>
    </row>
    <row r="2307" spans="7:18" x14ac:dyDescent="0.3">
      <c r="G2307" s="85"/>
      <c r="H2307" s="86"/>
      <c r="I2307" s="86"/>
      <c r="J2307" s="87"/>
      <c r="K2307" s="85"/>
      <c r="L2307" s="85"/>
      <c r="P2307" s="85"/>
      <c r="Q2307" s="85"/>
      <c r="R2307" s="81"/>
    </row>
    <row r="2308" spans="7:18" x14ac:dyDescent="0.3">
      <c r="G2308" s="85"/>
      <c r="H2308" s="86"/>
      <c r="I2308" s="86"/>
      <c r="J2308" s="87"/>
      <c r="K2308" s="85"/>
      <c r="L2308" s="85"/>
      <c r="P2308" s="85"/>
      <c r="Q2308" s="85"/>
      <c r="R2308" s="81"/>
    </row>
    <row r="2309" spans="7:18" x14ac:dyDescent="0.3">
      <c r="G2309" s="85"/>
      <c r="H2309" s="86"/>
      <c r="I2309" s="86"/>
      <c r="J2309" s="87"/>
      <c r="K2309" s="85"/>
      <c r="L2309" s="85"/>
      <c r="P2309" s="85"/>
      <c r="Q2309" s="85"/>
      <c r="R2309" s="81"/>
    </row>
    <row r="2310" spans="7:18" x14ac:dyDescent="0.3">
      <c r="G2310" s="85"/>
      <c r="H2310" s="86"/>
      <c r="I2310" s="86"/>
      <c r="J2310" s="87"/>
      <c r="K2310" s="85"/>
      <c r="L2310" s="85"/>
      <c r="P2310" s="85"/>
      <c r="Q2310" s="85"/>
      <c r="R2310" s="81"/>
    </row>
    <row r="2311" spans="7:18" x14ac:dyDescent="0.3">
      <c r="G2311" s="85"/>
      <c r="H2311" s="86"/>
      <c r="I2311" s="86"/>
      <c r="J2311" s="87"/>
      <c r="K2311" s="85"/>
      <c r="L2311" s="85"/>
      <c r="P2311" s="85"/>
      <c r="Q2311" s="85"/>
      <c r="R2311" s="81"/>
    </row>
    <row r="2312" spans="7:18" x14ac:dyDescent="0.3">
      <c r="G2312" s="85"/>
      <c r="H2312" s="86"/>
      <c r="I2312" s="86"/>
      <c r="J2312" s="87"/>
      <c r="K2312" s="85"/>
      <c r="L2312" s="85"/>
      <c r="P2312" s="85"/>
      <c r="Q2312" s="85"/>
      <c r="R2312" s="81"/>
    </row>
    <row r="2313" spans="7:18" x14ac:dyDescent="0.3">
      <c r="G2313" s="85"/>
      <c r="H2313" s="86"/>
      <c r="I2313" s="86"/>
      <c r="J2313" s="87"/>
      <c r="K2313" s="85"/>
      <c r="L2313" s="85"/>
      <c r="P2313" s="85"/>
      <c r="Q2313" s="85"/>
      <c r="R2313" s="81"/>
    </row>
    <row r="2314" spans="7:18" x14ac:dyDescent="0.3">
      <c r="G2314" s="85"/>
      <c r="H2314" s="86"/>
      <c r="I2314" s="86"/>
      <c r="J2314" s="87"/>
      <c r="K2314" s="85"/>
      <c r="L2314" s="85"/>
      <c r="P2314" s="85"/>
      <c r="Q2314" s="85"/>
      <c r="R2314" s="81"/>
    </row>
    <row r="2315" spans="7:18" x14ac:dyDescent="0.3">
      <c r="G2315" s="85"/>
      <c r="H2315" s="86"/>
      <c r="I2315" s="86"/>
      <c r="J2315" s="87"/>
      <c r="K2315" s="85"/>
      <c r="L2315" s="85"/>
      <c r="P2315" s="85"/>
      <c r="Q2315" s="85"/>
      <c r="R2315" s="81"/>
    </row>
    <row r="2316" spans="7:18" x14ac:dyDescent="0.3">
      <c r="G2316" s="85"/>
      <c r="H2316" s="86"/>
      <c r="I2316" s="86"/>
      <c r="J2316" s="87"/>
      <c r="K2316" s="85"/>
      <c r="L2316" s="85"/>
      <c r="P2316" s="85"/>
      <c r="Q2316" s="85"/>
      <c r="R2316" s="81"/>
    </row>
    <row r="2317" spans="7:18" x14ac:dyDescent="0.3">
      <c r="G2317" s="85"/>
      <c r="H2317" s="86"/>
      <c r="I2317" s="86"/>
      <c r="J2317" s="87"/>
      <c r="K2317" s="85"/>
      <c r="L2317" s="85"/>
      <c r="P2317" s="85"/>
      <c r="Q2317" s="85"/>
      <c r="R2317" s="81"/>
    </row>
    <row r="2318" spans="7:18" x14ac:dyDescent="0.3">
      <c r="G2318" s="85"/>
      <c r="H2318" s="86"/>
      <c r="I2318" s="86"/>
      <c r="J2318" s="87"/>
      <c r="K2318" s="85"/>
      <c r="L2318" s="85"/>
      <c r="P2318" s="85"/>
      <c r="Q2318" s="85"/>
      <c r="R2318" s="81"/>
    </row>
    <row r="2319" spans="7:18" x14ac:dyDescent="0.3">
      <c r="G2319" s="85"/>
      <c r="H2319" s="86"/>
      <c r="I2319" s="86"/>
      <c r="J2319" s="87"/>
      <c r="K2319" s="85"/>
      <c r="L2319" s="85"/>
      <c r="P2319" s="85"/>
      <c r="Q2319" s="85"/>
      <c r="R2319" s="81"/>
    </row>
    <row r="2320" spans="7:18" x14ac:dyDescent="0.3">
      <c r="G2320" s="85"/>
      <c r="H2320" s="86"/>
      <c r="I2320" s="86"/>
      <c r="J2320" s="87"/>
      <c r="K2320" s="85"/>
      <c r="L2320" s="85"/>
      <c r="P2320" s="85"/>
      <c r="Q2320" s="85"/>
      <c r="R2320" s="81"/>
    </row>
    <row r="2321" spans="7:18" x14ac:dyDescent="0.3">
      <c r="G2321" s="85"/>
      <c r="H2321" s="86"/>
      <c r="I2321" s="86"/>
      <c r="J2321" s="87"/>
      <c r="K2321" s="85"/>
      <c r="L2321" s="85"/>
      <c r="P2321" s="85"/>
      <c r="Q2321" s="85"/>
      <c r="R2321" s="81"/>
    </row>
    <row r="2322" spans="7:18" x14ac:dyDescent="0.3">
      <c r="G2322" s="85"/>
      <c r="H2322" s="86"/>
      <c r="I2322" s="86"/>
      <c r="J2322" s="87"/>
      <c r="K2322" s="85"/>
      <c r="L2322" s="85"/>
      <c r="P2322" s="85"/>
      <c r="Q2322" s="85"/>
      <c r="R2322" s="81"/>
    </row>
    <row r="2323" spans="7:18" x14ac:dyDescent="0.3">
      <c r="G2323" s="85"/>
      <c r="H2323" s="86"/>
      <c r="I2323" s="86"/>
      <c r="J2323" s="87"/>
      <c r="K2323" s="85"/>
      <c r="L2323" s="85"/>
      <c r="P2323" s="85"/>
      <c r="Q2323" s="85"/>
      <c r="R2323" s="81"/>
    </row>
    <row r="2324" spans="7:18" x14ac:dyDescent="0.3">
      <c r="G2324" s="85"/>
      <c r="H2324" s="86"/>
      <c r="I2324" s="86"/>
      <c r="J2324" s="87"/>
      <c r="K2324" s="85"/>
      <c r="L2324" s="85"/>
      <c r="P2324" s="85"/>
      <c r="Q2324" s="85"/>
      <c r="R2324" s="81"/>
    </row>
    <row r="2325" spans="7:18" x14ac:dyDescent="0.3">
      <c r="G2325" s="85"/>
      <c r="H2325" s="86"/>
      <c r="I2325" s="86"/>
      <c r="J2325" s="87"/>
      <c r="K2325" s="85"/>
      <c r="L2325" s="85"/>
      <c r="P2325" s="85"/>
      <c r="Q2325" s="85"/>
      <c r="R2325" s="81"/>
    </row>
    <row r="2326" spans="7:18" x14ac:dyDescent="0.3">
      <c r="G2326" s="85"/>
      <c r="H2326" s="86"/>
      <c r="I2326" s="86"/>
      <c r="J2326" s="87"/>
      <c r="K2326" s="85"/>
      <c r="L2326" s="85"/>
      <c r="P2326" s="85"/>
      <c r="Q2326" s="85"/>
      <c r="R2326" s="81"/>
    </row>
    <row r="2327" spans="7:18" x14ac:dyDescent="0.3">
      <c r="G2327" s="85"/>
      <c r="H2327" s="86"/>
      <c r="I2327" s="86"/>
      <c r="J2327" s="87"/>
      <c r="K2327" s="85"/>
      <c r="L2327" s="85"/>
      <c r="P2327" s="85"/>
      <c r="Q2327" s="85"/>
      <c r="R2327" s="81"/>
    </row>
    <row r="2328" spans="7:18" x14ac:dyDescent="0.3">
      <c r="G2328" s="85"/>
      <c r="H2328" s="86"/>
      <c r="I2328" s="86"/>
      <c r="J2328" s="87"/>
      <c r="K2328" s="85"/>
      <c r="L2328" s="85"/>
      <c r="P2328" s="85"/>
      <c r="Q2328" s="85"/>
      <c r="R2328" s="81"/>
    </row>
    <row r="2329" spans="7:18" x14ac:dyDescent="0.3">
      <c r="G2329" s="85"/>
      <c r="H2329" s="86"/>
      <c r="I2329" s="86"/>
      <c r="J2329" s="87"/>
      <c r="K2329" s="85"/>
      <c r="L2329" s="85"/>
      <c r="P2329" s="85"/>
      <c r="Q2329" s="85"/>
      <c r="R2329" s="81"/>
    </row>
    <row r="2330" spans="7:18" x14ac:dyDescent="0.3">
      <c r="G2330" s="85"/>
      <c r="H2330" s="86"/>
      <c r="I2330" s="86"/>
      <c r="J2330" s="87"/>
      <c r="K2330" s="85"/>
      <c r="L2330" s="85"/>
      <c r="P2330" s="85"/>
      <c r="Q2330" s="85"/>
      <c r="R2330" s="81"/>
    </row>
    <row r="2331" spans="7:18" x14ac:dyDescent="0.3">
      <c r="G2331" s="85"/>
      <c r="H2331" s="86"/>
      <c r="I2331" s="86"/>
      <c r="J2331" s="87"/>
      <c r="K2331" s="85"/>
      <c r="L2331" s="85"/>
      <c r="P2331" s="85"/>
      <c r="Q2331" s="85"/>
      <c r="R2331" s="81"/>
    </row>
    <row r="2332" spans="7:18" x14ac:dyDescent="0.3">
      <c r="G2332" s="85"/>
      <c r="H2332" s="86"/>
      <c r="I2332" s="86"/>
      <c r="J2332" s="87"/>
      <c r="K2332" s="85"/>
      <c r="L2332" s="85"/>
      <c r="P2332" s="85"/>
      <c r="Q2332" s="85"/>
      <c r="R2332" s="81"/>
    </row>
    <row r="2333" spans="7:18" x14ac:dyDescent="0.3">
      <c r="G2333" s="85"/>
      <c r="H2333" s="86"/>
      <c r="I2333" s="86"/>
      <c r="J2333" s="87"/>
      <c r="K2333" s="85"/>
      <c r="L2333" s="85"/>
      <c r="P2333" s="85"/>
      <c r="Q2333" s="85"/>
      <c r="R2333" s="81"/>
    </row>
    <row r="2334" spans="7:18" x14ac:dyDescent="0.3">
      <c r="G2334" s="85"/>
      <c r="H2334" s="86"/>
      <c r="I2334" s="86"/>
      <c r="J2334" s="87"/>
      <c r="K2334" s="85"/>
      <c r="L2334" s="85"/>
      <c r="P2334" s="85"/>
      <c r="Q2334" s="85"/>
      <c r="R2334" s="81"/>
    </row>
    <row r="2335" spans="7:18" x14ac:dyDescent="0.3">
      <c r="G2335" s="85"/>
      <c r="H2335" s="86"/>
      <c r="I2335" s="86"/>
      <c r="J2335" s="87"/>
      <c r="K2335" s="85"/>
      <c r="L2335" s="85"/>
      <c r="P2335" s="85"/>
      <c r="Q2335" s="85"/>
      <c r="R2335" s="81"/>
    </row>
    <row r="2336" spans="7:18" x14ac:dyDescent="0.3">
      <c r="G2336" s="85"/>
      <c r="H2336" s="86"/>
      <c r="I2336" s="86"/>
      <c r="J2336" s="87"/>
      <c r="K2336" s="85"/>
      <c r="L2336" s="85"/>
      <c r="P2336" s="85"/>
      <c r="Q2336" s="85"/>
      <c r="R2336" s="81"/>
    </row>
    <row r="2337" spans="7:18" x14ac:dyDescent="0.3">
      <c r="G2337" s="85"/>
      <c r="H2337" s="86"/>
      <c r="I2337" s="86"/>
      <c r="J2337" s="87"/>
      <c r="K2337" s="85"/>
      <c r="L2337" s="85"/>
      <c r="P2337" s="85"/>
      <c r="Q2337" s="85"/>
      <c r="R2337" s="81"/>
    </row>
    <row r="2338" spans="7:18" x14ac:dyDescent="0.3">
      <c r="G2338" s="85"/>
      <c r="H2338" s="86"/>
      <c r="I2338" s="86"/>
      <c r="J2338" s="87"/>
      <c r="K2338" s="85"/>
      <c r="L2338" s="85"/>
      <c r="P2338" s="85"/>
      <c r="Q2338" s="85"/>
      <c r="R2338" s="81"/>
    </row>
    <row r="2339" spans="7:18" x14ac:dyDescent="0.3">
      <c r="G2339" s="85"/>
      <c r="H2339" s="86"/>
      <c r="I2339" s="86"/>
      <c r="J2339" s="87"/>
      <c r="K2339" s="85"/>
      <c r="L2339" s="85"/>
      <c r="P2339" s="85"/>
      <c r="Q2339" s="85"/>
      <c r="R2339" s="81"/>
    </row>
    <row r="2340" spans="7:18" x14ac:dyDescent="0.3">
      <c r="G2340" s="85"/>
      <c r="H2340" s="86"/>
      <c r="I2340" s="86"/>
      <c r="J2340" s="87"/>
      <c r="K2340" s="85"/>
      <c r="L2340" s="85"/>
      <c r="P2340" s="85"/>
      <c r="Q2340" s="85"/>
      <c r="R2340" s="81"/>
    </row>
    <row r="2341" spans="7:18" x14ac:dyDescent="0.3">
      <c r="G2341" s="85"/>
      <c r="H2341" s="86"/>
      <c r="I2341" s="86"/>
      <c r="J2341" s="87"/>
      <c r="K2341" s="85"/>
      <c r="L2341" s="85"/>
      <c r="P2341" s="85"/>
      <c r="Q2341" s="85"/>
      <c r="R2341" s="81"/>
    </row>
    <row r="2342" spans="7:18" x14ac:dyDescent="0.3">
      <c r="G2342" s="85"/>
      <c r="H2342" s="86"/>
      <c r="I2342" s="86"/>
      <c r="J2342" s="87"/>
      <c r="K2342" s="85"/>
      <c r="L2342" s="85"/>
      <c r="P2342" s="85"/>
      <c r="Q2342" s="85"/>
      <c r="R2342" s="81"/>
    </row>
    <row r="2343" spans="7:18" x14ac:dyDescent="0.3">
      <c r="G2343" s="85"/>
      <c r="H2343" s="86"/>
      <c r="I2343" s="86"/>
      <c r="J2343" s="87"/>
      <c r="K2343" s="85"/>
      <c r="L2343" s="85"/>
      <c r="P2343" s="85"/>
      <c r="Q2343" s="85"/>
      <c r="R2343" s="81"/>
    </row>
    <row r="2344" spans="7:18" x14ac:dyDescent="0.3">
      <c r="G2344" s="85"/>
      <c r="H2344" s="86"/>
      <c r="I2344" s="86"/>
      <c r="J2344" s="87"/>
      <c r="K2344" s="85"/>
      <c r="L2344" s="85"/>
      <c r="P2344" s="85"/>
      <c r="Q2344" s="85"/>
      <c r="R2344" s="81"/>
    </row>
    <row r="2345" spans="7:18" x14ac:dyDescent="0.3">
      <c r="G2345" s="85"/>
      <c r="H2345" s="86"/>
      <c r="I2345" s="86"/>
      <c r="J2345" s="87"/>
      <c r="K2345" s="85"/>
      <c r="L2345" s="85"/>
      <c r="P2345" s="85"/>
      <c r="Q2345" s="85"/>
      <c r="R2345" s="81"/>
    </row>
    <row r="2346" spans="7:18" x14ac:dyDescent="0.3">
      <c r="G2346" s="85"/>
      <c r="H2346" s="86"/>
      <c r="I2346" s="86"/>
      <c r="J2346" s="87"/>
      <c r="K2346" s="85"/>
      <c r="L2346" s="85"/>
      <c r="P2346" s="85"/>
      <c r="Q2346" s="85"/>
      <c r="R2346" s="81"/>
    </row>
    <row r="2347" spans="7:18" x14ac:dyDescent="0.3">
      <c r="G2347" s="85"/>
      <c r="H2347" s="86"/>
      <c r="I2347" s="86"/>
      <c r="J2347" s="87"/>
      <c r="K2347" s="85"/>
      <c r="L2347" s="85"/>
      <c r="P2347" s="85"/>
      <c r="Q2347" s="85"/>
      <c r="R2347" s="81"/>
    </row>
    <row r="2348" spans="7:18" x14ac:dyDescent="0.3">
      <c r="G2348" s="85"/>
      <c r="H2348" s="86"/>
      <c r="I2348" s="86"/>
      <c r="J2348" s="87"/>
      <c r="K2348" s="85"/>
      <c r="L2348" s="85"/>
      <c r="P2348" s="85"/>
      <c r="Q2348" s="85"/>
      <c r="R2348" s="81"/>
    </row>
    <row r="2349" spans="7:18" x14ac:dyDescent="0.3">
      <c r="G2349" s="85"/>
      <c r="H2349" s="86"/>
      <c r="I2349" s="86"/>
      <c r="J2349" s="87"/>
      <c r="K2349" s="85"/>
      <c r="L2349" s="85"/>
      <c r="P2349" s="85"/>
      <c r="Q2349" s="85"/>
      <c r="R2349" s="81"/>
    </row>
    <row r="2350" spans="7:18" x14ac:dyDescent="0.3">
      <c r="G2350" s="85"/>
      <c r="H2350" s="86"/>
      <c r="I2350" s="86"/>
      <c r="J2350" s="87"/>
      <c r="K2350" s="85"/>
      <c r="L2350" s="85"/>
      <c r="P2350" s="85"/>
      <c r="Q2350" s="85"/>
      <c r="R2350" s="81"/>
    </row>
    <row r="2351" spans="7:18" x14ac:dyDescent="0.3">
      <c r="G2351" s="85"/>
      <c r="H2351" s="86"/>
      <c r="I2351" s="86"/>
      <c r="J2351" s="87"/>
      <c r="K2351" s="85"/>
      <c r="L2351" s="85"/>
      <c r="P2351" s="85"/>
      <c r="Q2351" s="85"/>
      <c r="R2351" s="81"/>
    </row>
    <row r="2352" spans="7:18" x14ac:dyDescent="0.3">
      <c r="G2352" s="85"/>
      <c r="H2352" s="86"/>
      <c r="I2352" s="86"/>
      <c r="J2352" s="87"/>
      <c r="K2352" s="85"/>
      <c r="L2352" s="85"/>
      <c r="P2352" s="85"/>
      <c r="Q2352" s="85"/>
      <c r="R2352" s="81"/>
    </row>
    <row r="2353" spans="7:18" x14ac:dyDescent="0.3">
      <c r="G2353" s="85"/>
      <c r="H2353" s="86"/>
      <c r="I2353" s="86"/>
      <c r="J2353" s="87"/>
      <c r="K2353" s="85"/>
      <c r="L2353" s="85"/>
      <c r="P2353" s="85"/>
      <c r="Q2353" s="85"/>
      <c r="R2353" s="81"/>
    </row>
    <row r="2354" spans="7:18" x14ac:dyDescent="0.3">
      <c r="G2354" s="85"/>
      <c r="H2354" s="86"/>
      <c r="I2354" s="86"/>
      <c r="J2354" s="87"/>
      <c r="K2354" s="85"/>
      <c r="L2354" s="85"/>
      <c r="P2354" s="85"/>
      <c r="Q2354" s="85"/>
      <c r="R2354" s="81"/>
    </row>
    <row r="2355" spans="7:18" x14ac:dyDescent="0.3">
      <c r="G2355" s="85"/>
      <c r="H2355" s="86"/>
      <c r="I2355" s="86"/>
      <c r="J2355" s="87"/>
      <c r="K2355" s="85"/>
      <c r="L2355" s="85"/>
      <c r="P2355" s="85"/>
      <c r="Q2355" s="85"/>
      <c r="R2355" s="81"/>
    </row>
    <row r="2356" spans="7:18" x14ac:dyDescent="0.3">
      <c r="G2356" s="85"/>
      <c r="H2356" s="86"/>
      <c r="I2356" s="86"/>
      <c r="J2356" s="87"/>
      <c r="K2356" s="85"/>
      <c r="L2356" s="85"/>
      <c r="P2356" s="85"/>
      <c r="Q2356" s="85"/>
      <c r="R2356" s="81"/>
    </row>
    <row r="2357" spans="7:18" x14ac:dyDescent="0.3">
      <c r="G2357" s="85"/>
      <c r="H2357" s="86"/>
      <c r="I2357" s="86"/>
      <c r="J2357" s="87"/>
      <c r="K2357" s="85"/>
      <c r="L2357" s="85"/>
      <c r="P2357" s="85"/>
      <c r="Q2357" s="85"/>
      <c r="R2357" s="81"/>
    </row>
    <row r="2358" spans="7:18" x14ac:dyDescent="0.3">
      <c r="G2358" s="85"/>
      <c r="H2358" s="86"/>
      <c r="I2358" s="86"/>
      <c r="J2358" s="87"/>
      <c r="K2358" s="85"/>
      <c r="L2358" s="85"/>
      <c r="P2358" s="85"/>
      <c r="Q2358" s="85"/>
      <c r="R2358" s="81"/>
    </row>
    <row r="2359" spans="7:18" x14ac:dyDescent="0.3">
      <c r="G2359" s="85"/>
      <c r="H2359" s="86"/>
      <c r="I2359" s="86"/>
      <c r="J2359" s="87"/>
      <c r="K2359" s="85"/>
      <c r="L2359" s="85"/>
      <c r="P2359" s="85"/>
      <c r="Q2359" s="85"/>
      <c r="R2359" s="81"/>
    </row>
    <row r="2360" spans="7:18" x14ac:dyDescent="0.3">
      <c r="G2360" s="85"/>
      <c r="H2360" s="86"/>
      <c r="I2360" s="86"/>
      <c r="J2360" s="87"/>
      <c r="K2360" s="85"/>
      <c r="L2360" s="85"/>
      <c r="P2360" s="85"/>
      <c r="Q2360" s="85"/>
      <c r="R2360" s="81"/>
    </row>
    <row r="2361" spans="7:18" x14ac:dyDescent="0.3">
      <c r="G2361" s="85"/>
      <c r="H2361" s="86"/>
      <c r="I2361" s="86"/>
      <c r="J2361" s="87"/>
      <c r="K2361" s="85"/>
      <c r="L2361" s="85"/>
      <c r="P2361" s="85"/>
      <c r="Q2361" s="85"/>
      <c r="R2361" s="81"/>
    </row>
    <row r="2362" spans="7:18" x14ac:dyDescent="0.3">
      <c r="G2362" s="85"/>
      <c r="H2362" s="86"/>
      <c r="I2362" s="86"/>
      <c r="J2362" s="87"/>
      <c r="K2362" s="85"/>
      <c r="L2362" s="85"/>
      <c r="P2362" s="85"/>
      <c r="Q2362" s="85"/>
      <c r="R2362" s="81"/>
    </row>
    <row r="2363" spans="7:18" x14ac:dyDescent="0.3">
      <c r="G2363" s="85"/>
      <c r="H2363" s="86"/>
      <c r="I2363" s="86"/>
      <c r="J2363" s="87"/>
      <c r="K2363" s="85"/>
      <c r="L2363" s="85"/>
      <c r="P2363" s="85"/>
      <c r="Q2363" s="85"/>
      <c r="R2363" s="81"/>
    </row>
    <row r="2364" spans="7:18" x14ac:dyDescent="0.3">
      <c r="G2364" s="85"/>
      <c r="H2364" s="86"/>
      <c r="I2364" s="86"/>
      <c r="J2364" s="87"/>
      <c r="K2364" s="85"/>
      <c r="L2364" s="85"/>
      <c r="P2364" s="85"/>
      <c r="Q2364" s="85"/>
      <c r="R2364" s="81"/>
    </row>
    <row r="2365" spans="7:18" x14ac:dyDescent="0.3">
      <c r="G2365" s="85"/>
      <c r="H2365" s="86"/>
      <c r="I2365" s="86"/>
      <c r="J2365" s="87"/>
      <c r="K2365" s="85"/>
      <c r="L2365" s="85"/>
      <c r="P2365" s="85"/>
      <c r="Q2365" s="85"/>
      <c r="R2365" s="81"/>
    </row>
    <row r="2366" spans="7:18" x14ac:dyDescent="0.3">
      <c r="G2366" s="85"/>
      <c r="H2366" s="86"/>
      <c r="I2366" s="86"/>
      <c r="J2366" s="87"/>
      <c r="K2366" s="85"/>
      <c r="L2366" s="85"/>
      <c r="P2366" s="85"/>
      <c r="Q2366" s="85"/>
      <c r="R2366" s="81"/>
    </row>
    <row r="2367" spans="7:18" x14ac:dyDescent="0.3">
      <c r="G2367" s="85"/>
      <c r="H2367" s="86"/>
      <c r="I2367" s="86"/>
      <c r="J2367" s="87"/>
      <c r="K2367" s="85"/>
      <c r="L2367" s="85"/>
      <c r="P2367" s="85"/>
      <c r="Q2367" s="85"/>
      <c r="R2367" s="81"/>
    </row>
    <row r="2368" spans="7:18" x14ac:dyDescent="0.3">
      <c r="G2368" s="85"/>
      <c r="H2368" s="86"/>
      <c r="I2368" s="86"/>
      <c r="J2368" s="87"/>
      <c r="K2368" s="85"/>
      <c r="L2368" s="85"/>
      <c r="P2368" s="85"/>
      <c r="Q2368" s="85"/>
      <c r="R2368" s="81"/>
    </row>
    <row r="2369" spans="7:18" x14ac:dyDescent="0.3">
      <c r="G2369" s="85"/>
      <c r="H2369" s="86"/>
      <c r="I2369" s="86"/>
      <c r="J2369" s="87"/>
      <c r="K2369" s="85"/>
      <c r="L2369" s="85"/>
      <c r="P2369" s="85"/>
      <c r="Q2369" s="85"/>
      <c r="R2369" s="81"/>
    </row>
    <row r="2370" spans="7:18" x14ac:dyDescent="0.3">
      <c r="G2370" s="85"/>
      <c r="H2370" s="86"/>
      <c r="I2370" s="86"/>
      <c r="J2370" s="87"/>
      <c r="K2370" s="85"/>
      <c r="L2370" s="85"/>
      <c r="P2370" s="85"/>
      <c r="Q2370" s="85"/>
      <c r="R2370" s="81"/>
    </row>
    <row r="2371" spans="7:18" x14ac:dyDescent="0.3">
      <c r="G2371" s="85"/>
      <c r="H2371" s="86"/>
      <c r="I2371" s="86"/>
      <c r="J2371" s="87"/>
      <c r="K2371" s="85"/>
      <c r="L2371" s="85"/>
      <c r="P2371" s="85"/>
      <c r="Q2371" s="85"/>
      <c r="R2371" s="81"/>
    </row>
    <row r="2372" spans="7:18" x14ac:dyDescent="0.3">
      <c r="G2372" s="85"/>
      <c r="H2372" s="86"/>
      <c r="I2372" s="86"/>
      <c r="J2372" s="87"/>
      <c r="K2372" s="85"/>
      <c r="L2372" s="85"/>
      <c r="P2372" s="85"/>
      <c r="Q2372" s="85"/>
      <c r="R2372" s="81"/>
    </row>
    <row r="2373" spans="7:18" x14ac:dyDescent="0.3">
      <c r="G2373" s="85"/>
      <c r="H2373" s="86"/>
      <c r="I2373" s="86"/>
      <c r="J2373" s="87"/>
      <c r="K2373" s="85"/>
      <c r="L2373" s="85"/>
      <c r="P2373" s="85"/>
      <c r="Q2373" s="85"/>
      <c r="R2373" s="81"/>
    </row>
    <row r="2374" spans="7:18" x14ac:dyDescent="0.3">
      <c r="G2374" s="85"/>
      <c r="H2374" s="86"/>
      <c r="I2374" s="86"/>
      <c r="J2374" s="87"/>
      <c r="K2374" s="85"/>
      <c r="L2374" s="85"/>
      <c r="P2374" s="85"/>
      <c r="Q2374" s="85"/>
      <c r="R2374" s="81"/>
    </row>
    <row r="2375" spans="7:18" x14ac:dyDescent="0.3">
      <c r="G2375" s="85"/>
      <c r="H2375" s="86"/>
      <c r="I2375" s="86"/>
      <c r="J2375" s="87"/>
      <c r="K2375" s="85"/>
      <c r="L2375" s="85"/>
      <c r="P2375" s="85"/>
      <c r="Q2375" s="85"/>
      <c r="R2375" s="81"/>
    </row>
    <row r="2376" spans="7:18" x14ac:dyDescent="0.3">
      <c r="G2376" s="85"/>
      <c r="H2376" s="86"/>
      <c r="I2376" s="86"/>
      <c r="J2376" s="87"/>
      <c r="K2376" s="85"/>
      <c r="L2376" s="85"/>
      <c r="P2376" s="85"/>
      <c r="Q2376" s="85"/>
      <c r="R2376" s="81"/>
    </row>
    <row r="2377" spans="7:18" x14ac:dyDescent="0.3">
      <c r="G2377" s="85"/>
      <c r="H2377" s="86"/>
      <c r="I2377" s="86"/>
      <c r="J2377" s="87"/>
      <c r="K2377" s="85"/>
      <c r="L2377" s="85"/>
      <c r="P2377" s="85"/>
      <c r="Q2377" s="85"/>
      <c r="R2377" s="81"/>
    </row>
    <row r="2378" spans="7:18" x14ac:dyDescent="0.3">
      <c r="G2378" s="85"/>
      <c r="H2378" s="86"/>
      <c r="I2378" s="86"/>
      <c r="J2378" s="87"/>
      <c r="K2378" s="85"/>
      <c r="L2378" s="85"/>
      <c r="P2378" s="85"/>
      <c r="Q2378" s="85"/>
      <c r="R2378" s="81"/>
    </row>
    <row r="2379" spans="7:18" x14ac:dyDescent="0.3">
      <c r="G2379" s="85"/>
      <c r="H2379" s="86"/>
      <c r="I2379" s="86"/>
      <c r="J2379" s="87"/>
      <c r="K2379" s="85"/>
      <c r="L2379" s="85"/>
      <c r="P2379" s="85"/>
      <c r="Q2379" s="85"/>
      <c r="R2379" s="81"/>
    </row>
    <row r="2380" spans="7:18" x14ac:dyDescent="0.3">
      <c r="G2380" s="85"/>
      <c r="H2380" s="86"/>
      <c r="I2380" s="86"/>
      <c r="J2380" s="87"/>
      <c r="K2380" s="85"/>
      <c r="L2380" s="85"/>
      <c r="P2380" s="85"/>
      <c r="Q2380" s="85"/>
      <c r="R2380" s="81"/>
    </row>
    <row r="2381" spans="7:18" x14ac:dyDescent="0.3">
      <c r="G2381" s="85"/>
      <c r="H2381" s="86"/>
      <c r="I2381" s="86"/>
      <c r="J2381" s="87"/>
      <c r="K2381" s="85"/>
      <c r="L2381" s="85"/>
      <c r="P2381" s="85"/>
      <c r="Q2381" s="85"/>
      <c r="R2381" s="81"/>
    </row>
    <row r="2382" spans="7:18" x14ac:dyDescent="0.3">
      <c r="G2382" s="85"/>
      <c r="H2382" s="86"/>
      <c r="I2382" s="86"/>
      <c r="J2382" s="87"/>
      <c r="K2382" s="85"/>
      <c r="L2382" s="85"/>
      <c r="P2382" s="85"/>
      <c r="Q2382" s="85"/>
      <c r="R2382" s="81"/>
    </row>
    <row r="2383" spans="7:18" x14ac:dyDescent="0.3">
      <c r="G2383" s="85"/>
      <c r="H2383" s="86"/>
      <c r="I2383" s="86"/>
      <c r="J2383" s="87"/>
      <c r="K2383" s="85"/>
      <c r="L2383" s="85"/>
      <c r="P2383" s="85"/>
      <c r="Q2383" s="85"/>
      <c r="R2383" s="81"/>
    </row>
    <row r="2384" spans="7:18" x14ac:dyDescent="0.3">
      <c r="G2384" s="85"/>
      <c r="H2384" s="86"/>
      <c r="I2384" s="86"/>
      <c r="J2384" s="87"/>
      <c r="K2384" s="85"/>
      <c r="L2384" s="85"/>
      <c r="P2384" s="85"/>
      <c r="Q2384" s="85"/>
      <c r="R2384" s="81"/>
    </row>
    <row r="2385" spans="7:18" x14ac:dyDescent="0.3">
      <c r="G2385" s="85"/>
      <c r="H2385" s="86"/>
      <c r="I2385" s="86"/>
      <c r="J2385" s="87"/>
      <c r="K2385" s="85"/>
      <c r="L2385" s="85"/>
      <c r="P2385" s="85"/>
      <c r="Q2385" s="85"/>
      <c r="R2385" s="81"/>
    </row>
    <row r="2386" spans="7:18" x14ac:dyDescent="0.3">
      <c r="G2386" s="85"/>
      <c r="H2386" s="86"/>
      <c r="I2386" s="86"/>
      <c r="J2386" s="87"/>
      <c r="K2386" s="85"/>
      <c r="L2386" s="85"/>
      <c r="P2386" s="85"/>
      <c r="Q2386" s="85"/>
      <c r="R2386" s="81"/>
    </row>
    <row r="2387" spans="7:18" x14ac:dyDescent="0.3">
      <c r="G2387" s="85"/>
      <c r="H2387" s="86"/>
      <c r="I2387" s="86"/>
      <c r="J2387" s="87"/>
      <c r="K2387" s="85"/>
      <c r="L2387" s="85"/>
      <c r="P2387" s="85"/>
      <c r="Q2387" s="85"/>
      <c r="R2387" s="81"/>
    </row>
    <row r="2388" spans="7:18" x14ac:dyDescent="0.3">
      <c r="G2388" s="85"/>
      <c r="H2388" s="86"/>
      <c r="I2388" s="86"/>
      <c r="J2388" s="87"/>
      <c r="K2388" s="85"/>
      <c r="L2388" s="85"/>
      <c r="P2388" s="85"/>
      <c r="Q2388" s="85"/>
      <c r="R2388" s="81"/>
    </row>
    <row r="2389" spans="7:18" x14ac:dyDescent="0.3">
      <c r="G2389" s="85"/>
      <c r="H2389" s="86"/>
      <c r="I2389" s="86"/>
      <c r="J2389" s="87"/>
      <c r="K2389" s="85"/>
      <c r="L2389" s="85"/>
      <c r="P2389" s="85"/>
      <c r="Q2389" s="85"/>
      <c r="R2389" s="81"/>
    </row>
    <row r="2390" spans="7:18" x14ac:dyDescent="0.3">
      <c r="G2390" s="85"/>
      <c r="H2390" s="86"/>
      <c r="I2390" s="86"/>
      <c r="J2390" s="87"/>
      <c r="K2390" s="85"/>
      <c r="L2390" s="85"/>
      <c r="P2390" s="85"/>
      <c r="Q2390" s="85"/>
      <c r="R2390" s="81"/>
    </row>
    <row r="2391" spans="7:18" x14ac:dyDescent="0.3">
      <c r="G2391" s="85"/>
      <c r="H2391" s="86"/>
      <c r="I2391" s="86"/>
      <c r="J2391" s="87"/>
      <c r="K2391" s="85"/>
      <c r="L2391" s="85"/>
      <c r="P2391" s="85"/>
      <c r="Q2391" s="85"/>
      <c r="R2391" s="81"/>
    </row>
    <row r="2392" spans="7:18" x14ac:dyDescent="0.3">
      <c r="G2392" s="85"/>
      <c r="H2392" s="86"/>
      <c r="I2392" s="86"/>
      <c r="J2392" s="87"/>
      <c r="K2392" s="85"/>
      <c r="L2392" s="85"/>
      <c r="P2392" s="85"/>
      <c r="Q2392" s="85"/>
      <c r="R2392" s="81"/>
    </row>
    <row r="2393" spans="7:18" x14ac:dyDescent="0.3">
      <c r="G2393" s="85"/>
      <c r="H2393" s="86"/>
      <c r="I2393" s="86"/>
      <c r="J2393" s="87"/>
      <c r="K2393" s="85"/>
      <c r="L2393" s="85"/>
      <c r="P2393" s="85"/>
      <c r="Q2393" s="85"/>
      <c r="R2393" s="81"/>
    </row>
    <row r="2394" spans="7:18" x14ac:dyDescent="0.3">
      <c r="G2394" s="85"/>
      <c r="H2394" s="86"/>
      <c r="I2394" s="86"/>
      <c r="J2394" s="87"/>
      <c r="K2394" s="85"/>
      <c r="L2394" s="85"/>
      <c r="P2394" s="85"/>
      <c r="Q2394" s="85"/>
      <c r="R2394" s="81"/>
    </row>
    <row r="2395" spans="7:18" x14ac:dyDescent="0.3">
      <c r="G2395" s="85"/>
      <c r="H2395" s="86"/>
      <c r="I2395" s="86"/>
      <c r="J2395" s="87"/>
      <c r="K2395" s="85"/>
      <c r="L2395" s="85"/>
      <c r="P2395" s="85"/>
      <c r="Q2395" s="85"/>
      <c r="R2395" s="81"/>
    </row>
    <row r="2396" spans="7:18" x14ac:dyDescent="0.3">
      <c r="G2396" s="85"/>
      <c r="H2396" s="86"/>
      <c r="I2396" s="86"/>
      <c r="J2396" s="87"/>
      <c r="K2396" s="85"/>
      <c r="L2396" s="85"/>
      <c r="P2396" s="85"/>
      <c r="Q2396" s="85"/>
      <c r="R2396" s="81"/>
    </row>
    <row r="2397" spans="7:18" x14ac:dyDescent="0.3">
      <c r="G2397" s="85"/>
      <c r="H2397" s="86"/>
      <c r="I2397" s="86"/>
      <c r="J2397" s="87"/>
      <c r="K2397" s="85"/>
      <c r="L2397" s="85"/>
      <c r="P2397" s="85"/>
      <c r="Q2397" s="85"/>
      <c r="R2397" s="81"/>
    </row>
    <row r="2398" spans="7:18" x14ac:dyDescent="0.3">
      <c r="G2398" s="85"/>
      <c r="H2398" s="86"/>
      <c r="I2398" s="86"/>
      <c r="J2398" s="87"/>
      <c r="K2398" s="85"/>
      <c r="L2398" s="85"/>
      <c r="P2398" s="85"/>
      <c r="Q2398" s="85"/>
      <c r="R2398" s="81"/>
    </row>
    <row r="2399" spans="7:18" x14ac:dyDescent="0.3">
      <c r="G2399" s="85"/>
      <c r="H2399" s="86"/>
      <c r="I2399" s="86"/>
      <c r="J2399" s="87"/>
      <c r="K2399" s="85"/>
      <c r="L2399" s="85"/>
      <c r="P2399" s="85"/>
      <c r="Q2399" s="85"/>
      <c r="R2399" s="81"/>
    </row>
    <row r="2400" spans="7:18" x14ac:dyDescent="0.3">
      <c r="G2400" s="85"/>
      <c r="H2400" s="86"/>
      <c r="I2400" s="86"/>
      <c r="J2400" s="87"/>
      <c r="K2400" s="85"/>
      <c r="L2400" s="85"/>
      <c r="P2400" s="85"/>
      <c r="Q2400" s="85"/>
      <c r="R2400" s="81"/>
    </row>
    <row r="2401" spans="7:18" x14ac:dyDescent="0.3">
      <c r="G2401" s="85"/>
      <c r="H2401" s="86"/>
      <c r="I2401" s="86"/>
      <c r="J2401" s="87"/>
      <c r="K2401" s="85"/>
      <c r="L2401" s="85"/>
      <c r="P2401" s="85"/>
      <c r="Q2401" s="85"/>
      <c r="R2401" s="81"/>
    </row>
    <row r="2402" spans="7:18" x14ac:dyDescent="0.3">
      <c r="G2402" s="85"/>
      <c r="H2402" s="86"/>
      <c r="I2402" s="86"/>
      <c r="J2402" s="87"/>
      <c r="K2402" s="85"/>
      <c r="L2402" s="85"/>
      <c r="P2402" s="85"/>
      <c r="Q2402" s="85"/>
      <c r="R2402" s="81"/>
    </row>
    <row r="2403" spans="7:18" x14ac:dyDescent="0.3">
      <c r="G2403" s="85"/>
      <c r="H2403" s="86"/>
      <c r="I2403" s="86"/>
      <c r="J2403" s="87"/>
      <c r="K2403" s="85"/>
      <c r="L2403" s="85"/>
      <c r="P2403" s="85"/>
      <c r="Q2403" s="85"/>
      <c r="R2403" s="81"/>
    </row>
    <row r="2404" spans="7:18" x14ac:dyDescent="0.3">
      <c r="G2404" s="85"/>
      <c r="H2404" s="86"/>
      <c r="I2404" s="86"/>
      <c r="J2404" s="87"/>
      <c r="K2404" s="85"/>
      <c r="L2404" s="85"/>
      <c r="P2404" s="85"/>
      <c r="Q2404" s="85"/>
      <c r="R2404" s="81"/>
    </row>
    <row r="2405" spans="7:18" x14ac:dyDescent="0.3">
      <c r="G2405" s="85"/>
      <c r="H2405" s="86"/>
      <c r="I2405" s="86"/>
      <c r="J2405" s="87"/>
      <c r="K2405" s="85"/>
      <c r="L2405" s="85"/>
      <c r="P2405" s="85"/>
      <c r="Q2405" s="85"/>
      <c r="R2405" s="81"/>
    </row>
    <row r="2406" spans="7:18" x14ac:dyDescent="0.3">
      <c r="G2406" s="85"/>
      <c r="H2406" s="86"/>
      <c r="I2406" s="86"/>
      <c r="J2406" s="87"/>
      <c r="K2406" s="85"/>
      <c r="L2406" s="85"/>
      <c r="P2406" s="85"/>
      <c r="Q2406" s="85"/>
      <c r="R2406" s="81"/>
    </row>
    <row r="2407" spans="7:18" x14ac:dyDescent="0.3">
      <c r="G2407" s="85"/>
      <c r="H2407" s="86"/>
      <c r="I2407" s="86"/>
      <c r="J2407" s="87"/>
      <c r="K2407" s="85"/>
      <c r="L2407" s="85"/>
      <c r="P2407" s="85"/>
      <c r="Q2407" s="85"/>
      <c r="R2407" s="81"/>
    </row>
    <row r="2408" spans="7:18" x14ac:dyDescent="0.3">
      <c r="G2408" s="85"/>
      <c r="H2408" s="86"/>
      <c r="I2408" s="86"/>
      <c r="J2408" s="87"/>
      <c r="K2408" s="85"/>
      <c r="L2408" s="85"/>
      <c r="P2408" s="85"/>
      <c r="Q2408" s="85"/>
      <c r="R2408" s="81"/>
    </row>
    <row r="2409" spans="7:18" x14ac:dyDescent="0.3">
      <c r="G2409" s="85"/>
      <c r="H2409" s="86"/>
      <c r="I2409" s="86"/>
      <c r="J2409" s="87"/>
      <c r="K2409" s="85"/>
      <c r="L2409" s="85"/>
      <c r="P2409" s="85"/>
      <c r="Q2409" s="85"/>
      <c r="R2409" s="81"/>
    </row>
    <row r="2410" spans="7:18" x14ac:dyDescent="0.3">
      <c r="G2410" s="85"/>
      <c r="H2410" s="86"/>
      <c r="I2410" s="86"/>
      <c r="J2410" s="87"/>
      <c r="K2410" s="85"/>
      <c r="L2410" s="85"/>
      <c r="P2410" s="85"/>
      <c r="Q2410" s="85"/>
      <c r="R2410" s="81"/>
    </row>
    <row r="2411" spans="7:18" x14ac:dyDescent="0.3">
      <c r="G2411" s="85"/>
      <c r="H2411" s="86"/>
      <c r="I2411" s="86"/>
      <c r="J2411" s="87"/>
      <c r="K2411" s="85"/>
      <c r="L2411" s="85"/>
      <c r="P2411" s="85"/>
      <c r="Q2411" s="85"/>
      <c r="R2411" s="81"/>
    </row>
    <row r="2412" spans="7:18" x14ac:dyDescent="0.3">
      <c r="G2412" s="85"/>
      <c r="H2412" s="86"/>
      <c r="I2412" s="86"/>
      <c r="J2412" s="87"/>
      <c r="K2412" s="85"/>
      <c r="L2412" s="85"/>
      <c r="P2412" s="85"/>
      <c r="Q2412" s="85"/>
      <c r="R2412" s="81"/>
    </row>
    <row r="2413" spans="7:18" x14ac:dyDescent="0.3">
      <c r="G2413" s="85"/>
      <c r="H2413" s="86"/>
      <c r="I2413" s="86"/>
      <c r="J2413" s="87"/>
      <c r="K2413" s="85"/>
      <c r="L2413" s="85"/>
      <c r="P2413" s="85"/>
      <c r="Q2413" s="85"/>
      <c r="R2413" s="81"/>
    </row>
    <row r="2414" spans="7:18" x14ac:dyDescent="0.3">
      <c r="G2414" s="85"/>
      <c r="H2414" s="86"/>
      <c r="I2414" s="86"/>
      <c r="J2414" s="87"/>
      <c r="K2414" s="85"/>
      <c r="L2414" s="85"/>
      <c r="P2414" s="85"/>
      <c r="Q2414" s="85"/>
      <c r="R2414" s="81"/>
    </row>
    <row r="2415" spans="7:18" x14ac:dyDescent="0.3">
      <c r="G2415" s="85"/>
      <c r="H2415" s="86"/>
      <c r="I2415" s="86"/>
      <c r="J2415" s="87"/>
      <c r="K2415" s="85"/>
      <c r="L2415" s="85"/>
      <c r="P2415" s="85"/>
      <c r="Q2415" s="85"/>
      <c r="R2415" s="81"/>
    </row>
    <row r="2416" spans="7:18" x14ac:dyDescent="0.3">
      <c r="G2416" s="85"/>
      <c r="H2416" s="86"/>
      <c r="I2416" s="86"/>
      <c r="J2416" s="87"/>
      <c r="K2416" s="85"/>
      <c r="L2416" s="85"/>
      <c r="P2416" s="85"/>
      <c r="Q2416" s="85"/>
      <c r="R2416" s="81"/>
    </row>
    <row r="2417" spans="7:18" x14ac:dyDescent="0.3">
      <c r="G2417" s="85"/>
      <c r="H2417" s="86"/>
      <c r="I2417" s="86"/>
      <c r="J2417" s="87"/>
      <c r="K2417" s="85"/>
      <c r="L2417" s="85"/>
      <c r="P2417" s="85"/>
      <c r="Q2417" s="85"/>
      <c r="R2417" s="81"/>
    </row>
    <row r="2418" spans="7:18" x14ac:dyDescent="0.3">
      <c r="G2418" s="85"/>
      <c r="H2418" s="86"/>
      <c r="I2418" s="86"/>
      <c r="J2418" s="87"/>
      <c r="K2418" s="85"/>
      <c r="L2418" s="85"/>
      <c r="P2418" s="85"/>
      <c r="Q2418" s="85"/>
      <c r="R2418" s="81"/>
    </row>
    <row r="2419" spans="7:18" x14ac:dyDescent="0.3">
      <c r="G2419" s="85"/>
      <c r="H2419" s="86"/>
      <c r="I2419" s="86"/>
      <c r="J2419" s="87"/>
      <c r="K2419" s="85"/>
      <c r="L2419" s="85"/>
      <c r="P2419" s="85"/>
      <c r="Q2419" s="85"/>
      <c r="R2419" s="81"/>
    </row>
    <row r="2420" spans="7:18" x14ac:dyDescent="0.3">
      <c r="G2420" s="85"/>
      <c r="H2420" s="86"/>
      <c r="I2420" s="86"/>
      <c r="J2420" s="87"/>
      <c r="K2420" s="85"/>
      <c r="L2420" s="85"/>
      <c r="P2420" s="85"/>
      <c r="Q2420" s="85"/>
      <c r="R2420" s="81"/>
    </row>
    <row r="2421" spans="7:18" x14ac:dyDescent="0.3">
      <c r="G2421" s="85"/>
      <c r="H2421" s="86"/>
      <c r="I2421" s="86"/>
      <c r="J2421" s="87"/>
      <c r="K2421" s="85"/>
      <c r="L2421" s="85"/>
      <c r="P2421" s="85"/>
      <c r="Q2421" s="85"/>
      <c r="R2421" s="81"/>
    </row>
    <row r="2422" spans="7:18" x14ac:dyDescent="0.3">
      <c r="G2422" s="85"/>
      <c r="H2422" s="86"/>
      <c r="I2422" s="86"/>
      <c r="J2422" s="87"/>
      <c r="K2422" s="85"/>
      <c r="L2422" s="85"/>
      <c r="P2422" s="85"/>
      <c r="Q2422" s="85"/>
      <c r="R2422" s="81"/>
    </row>
    <row r="2423" spans="7:18" x14ac:dyDescent="0.3">
      <c r="G2423" s="85"/>
      <c r="H2423" s="86"/>
      <c r="I2423" s="86"/>
      <c r="J2423" s="87"/>
      <c r="K2423" s="85"/>
      <c r="L2423" s="85"/>
      <c r="P2423" s="85"/>
      <c r="Q2423" s="85"/>
      <c r="R2423" s="81"/>
    </row>
    <row r="2424" spans="7:18" x14ac:dyDescent="0.3">
      <c r="G2424" s="85"/>
      <c r="H2424" s="86"/>
      <c r="I2424" s="86"/>
      <c r="J2424" s="87"/>
      <c r="K2424" s="85"/>
      <c r="L2424" s="85"/>
      <c r="P2424" s="85"/>
      <c r="Q2424" s="85"/>
      <c r="R2424" s="81"/>
    </row>
    <row r="2425" spans="7:18" x14ac:dyDescent="0.3">
      <c r="G2425" s="85"/>
      <c r="H2425" s="86"/>
      <c r="I2425" s="86"/>
      <c r="J2425" s="87"/>
      <c r="K2425" s="85"/>
      <c r="L2425" s="85"/>
      <c r="P2425" s="85"/>
      <c r="Q2425" s="85"/>
      <c r="R2425" s="81"/>
    </row>
    <row r="2426" spans="7:18" x14ac:dyDescent="0.3">
      <c r="G2426" s="85"/>
      <c r="H2426" s="86"/>
      <c r="I2426" s="86"/>
      <c r="J2426" s="87"/>
      <c r="K2426" s="85"/>
      <c r="L2426" s="85"/>
      <c r="P2426" s="85"/>
      <c r="Q2426" s="85"/>
      <c r="R2426" s="81"/>
    </row>
    <row r="2427" spans="7:18" x14ac:dyDescent="0.3">
      <c r="G2427" s="85"/>
      <c r="H2427" s="86"/>
      <c r="I2427" s="86"/>
      <c r="J2427" s="87"/>
      <c r="K2427" s="85"/>
      <c r="L2427" s="85"/>
      <c r="P2427" s="85"/>
      <c r="Q2427" s="85"/>
      <c r="R2427" s="81"/>
    </row>
    <row r="2428" spans="7:18" x14ac:dyDescent="0.3">
      <c r="G2428" s="85"/>
      <c r="H2428" s="86"/>
      <c r="I2428" s="86"/>
      <c r="J2428" s="87"/>
      <c r="K2428" s="85"/>
      <c r="L2428" s="85"/>
      <c r="P2428" s="85"/>
      <c r="Q2428" s="85"/>
      <c r="R2428" s="81"/>
    </row>
    <row r="2429" spans="7:18" x14ac:dyDescent="0.3">
      <c r="G2429" s="85"/>
      <c r="H2429" s="86"/>
      <c r="I2429" s="86"/>
      <c r="J2429" s="87"/>
      <c r="K2429" s="85"/>
      <c r="L2429" s="85"/>
      <c r="P2429" s="85"/>
      <c r="Q2429" s="85"/>
      <c r="R2429" s="81"/>
    </row>
    <row r="2430" spans="7:18" x14ac:dyDescent="0.3">
      <c r="G2430" s="85"/>
      <c r="H2430" s="86"/>
      <c r="I2430" s="86"/>
      <c r="J2430" s="87"/>
      <c r="K2430" s="85"/>
      <c r="L2430" s="85"/>
      <c r="P2430" s="85"/>
      <c r="Q2430" s="85"/>
      <c r="R2430" s="81"/>
    </row>
    <row r="2431" spans="7:18" x14ac:dyDescent="0.3">
      <c r="G2431" s="85"/>
      <c r="H2431" s="86"/>
      <c r="I2431" s="86"/>
      <c r="J2431" s="87"/>
      <c r="K2431" s="85"/>
      <c r="L2431" s="85"/>
      <c r="P2431" s="85"/>
      <c r="Q2431" s="85"/>
      <c r="R2431" s="81"/>
    </row>
    <row r="2432" spans="7:18" x14ac:dyDescent="0.3">
      <c r="G2432" s="85"/>
      <c r="H2432" s="86"/>
      <c r="I2432" s="86"/>
      <c r="J2432" s="87"/>
      <c r="K2432" s="85"/>
      <c r="L2432" s="85"/>
      <c r="P2432" s="85"/>
      <c r="Q2432" s="85"/>
      <c r="R2432" s="81"/>
    </row>
    <row r="2433" spans="7:18" x14ac:dyDescent="0.3">
      <c r="G2433" s="85"/>
      <c r="H2433" s="86"/>
      <c r="I2433" s="86"/>
      <c r="J2433" s="87"/>
      <c r="K2433" s="85"/>
      <c r="L2433" s="85"/>
      <c r="P2433" s="85"/>
      <c r="Q2433" s="85"/>
      <c r="R2433" s="81"/>
    </row>
    <row r="2434" spans="7:18" x14ac:dyDescent="0.3">
      <c r="G2434" s="85"/>
      <c r="H2434" s="86"/>
      <c r="I2434" s="86"/>
      <c r="J2434" s="87"/>
      <c r="K2434" s="85"/>
      <c r="L2434" s="85"/>
      <c r="P2434" s="85"/>
      <c r="Q2434" s="85"/>
      <c r="R2434" s="81"/>
    </row>
    <row r="2435" spans="7:18" x14ac:dyDescent="0.3">
      <c r="G2435" s="85"/>
      <c r="H2435" s="86"/>
      <c r="I2435" s="86"/>
      <c r="J2435" s="87"/>
      <c r="K2435" s="85"/>
      <c r="L2435" s="85"/>
      <c r="P2435" s="85"/>
      <c r="Q2435" s="85"/>
      <c r="R2435" s="81"/>
    </row>
    <row r="2436" spans="7:18" x14ac:dyDescent="0.3">
      <c r="G2436" s="85"/>
      <c r="H2436" s="86"/>
      <c r="I2436" s="86"/>
      <c r="J2436" s="87"/>
      <c r="K2436" s="85"/>
      <c r="L2436" s="85"/>
      <c r="P2436" s="85"/>
      <c r="Q2436" s="85"/>
      <c r="R2436" s="81"/>
    </row>
    <row r="2437" spans="7:18" x14ac:dyDescent="0.3">
      <c r="G2437" s="85"/>
      <c r="H2437" s="86"/>
      <c r="I2437" s="86"/>
      <c r="J2437" s="87"/>
      <c r="K2437" s="85"/>
      <c r="L2437" s="85"/>
      <c r="P2437" s="85"/>
      <c r="Q2437" s="85"/>
      <c r="R2437" s="81"/>
    </row>
    <row r="2438" spans="7:18" x14ac:dyDescent="0.3">
      <c r="G2438" s="85"/>
      <c r="H2438" s="86"/>
      <c r="I2438" s="86"/>
      <c r="J2438" s="87"/>
      <c r="K2438" s="85"/>
      <c r="L2438" s="85"/>
      <c r="P2438" s="85"/>
      <c r="Q2438" s="85"/>
      <c r="R2438" s="81"/>
    </row>
    <row r="2439" spans="7:18" x14ac:dyDescent="0.3">
      <c r="G2439" s="85"/>
      <c r="H2439" s="86"/>
      <c r="I2439" s="86"/>
      <c r="J2439" s="87"/>
      <c r="K2439" s="85"/>
      <c r="L2439" s="85"/>
      <c r="P2439" s="85"/>
      <c r="Q2439" s="85"/>
      <c r="R2439" s="81"/>
    </row>
    <row r="2440" spans="7:18" x14ac:dyDescent="0.3">
      <c r="G2440" s="85"/>
      <c r="H2440" s="86"/>
      <c r="I2440" s="86"/>
      <c r="J2440" s="87"/>
      <c r="K2440" s="85"/>
      <c r="L2440" s="85"/>
      <c r="P2440" s="85"/>
      <c r="Q2440" s="85"/>
      <c r="R2440" s="81"/>
    </row>
    <row r="2441" spans="7:18" x14ac:dyDescent="0.3">
      <c r="G2441" s="85"/>
      <c r="H2441" s="86"/>
      <c r="I2441" s="86"/>
      <c r="J2441" s="87"/>
      <c r="K2441" s="85"/>
      <c r="L2441" s="85"/>
      <c r="P2441" s="85"/>
      <c r="Q2441" s="85"/>
      <c r="R2441" s="81"/>
    </row>
    <row r="2442" spans="7:18" x14ac:dyDescent="0.3">
      <c r="G2442" s="85"/>
      <c r="H2442" s="86"/>
      <c r="I2442" s="86"/>
      <c r="J2442" s="87"/>
      <c r="K2442" s="85"/>
      <c r="L2442" s="85"/>
      <c r="P2442" s="85"/>
      <c r="Q2442" s="85"/>
      <c r="R2442" s="81"/>
    </row>
    <row r="2443" spans="7:18" x14ac:dyDescent="0.3">
      <c r="G2443" s="85"/>
      <c r="H2443" s="86"/>
      <c r="I2443" s="86"/>
      <c r="J2443" s="87"/>
      <c r="K2443" s="85"/>
      <c r="L2443" s="85"/>
      <c r="P2443" s="85"/>
      <c r="Q2443" s="85"/>
      <c r="R2443" s="81"/>
    </row>
    <row r="2444" spans="7:18" x14ac:dyDescent="0.3">
      <c r="G2444" s="85"/>
      <c r="H2444" s="86"/>
      <c r="I2444" s="86"/>
      <c r="J2444" s="87"/>
      <c r="K2444" s="85"/>
      <c r="L2444" s="85"/>
      <c r="P2444" s="85"/>
      <c r="Q2444" s="85"/>
      <c r="R2444" s="81"/>
    </row>
    <row r="2445" spans="7:18" x14ac:dyDescent="0.3">
      <c r="G2445" s="85"/>
      <c r="H2445" s="86"/>
      <c r="I2445" s="86"/>
      <c r="J2445" s="87"/>
      <c r="K2445" s="85"/>
      <c r="L2445" s="85"/>
      <c r="P2445" s="85"/>
      <c r="Q2445" s="85"/>
      <c r="R2445" s="81"/>
    </row>
    <row r="2446" spans="7:18" x14ac:dyDescent="0.3">
      <c r="G2446" s="85"/>
      <c r="H2446" s="86"/>
      <c r="I2446" s="86"/>
      <c r="J2446" s="87"/>
      <c r="K2446" s="85"/>
      <c r="L2446" s="85"/>
      <c r="P2446" s="85"/>
      <c r="Q2446" s="85"/>
      <c r="R2446" s="81"/>
    </row>
    <row r="2447" spans="7:18" x14ac:dyDescent="0.3">
      <c r="G2447" s="85"/>
      <c r="H2447" s="86"/>
      <c r="I2447" s="86"/>
      <c r="J2447" s="87"/>
      <c r="K2447" s="85"/>
      <c r="L2447" s="85"/>
      <c r="P2447" s="85"/>
      <c r="Q2447" s="85"/>
      <c r="R2447" s="81"/>
    </row>
    <row r="2448" spans="7:18" x14ac:dyDescent="0.3">
      <c r="G2448" s="85"/>
      <c r="H2448" s="86"/>
      <c r="I2448" s="86"/>
      <c r="J2448" s="87"/>
      <c r="K2448" s="85"/>
      <c r="L2448" s="85"/>
      <c r="P2448" s="85"/>
      <c r="Q2448" s="85"/>
      <c r="R2448" s="81"/>
    </row>
    <row r="2449" spans="7:18" x14ac:dyDescent="0.3">
      <c r="G2449" s="85"/>
      <c r="H2449" s="86"/>
      <c r="I2449" s="86"/>
      <c r="J2449" s="87"/>
      <c r="K2449" s="85"/>
      <c r="L2449" s="85"/>
      <c r="P2449" s="85"/>
      <c r="Q2449" s="85"/>
      <c r="R2449" s="81"/>
    </row>
    <row r="2450" spans="7:18" x14ac:dyDescent="0.3">
      <c r="G2450" s="85"/>
      <c r="H2450" s="86"/>
      <c r="I2450" s="86"/>
      <c r="J2450" s="87"/>
      <c r="K2450" s="85"/>
      <c r="L2450" s="85"/>
      <c r="P2450" s="85"/>
      <c r="Q2450" s="85"/>
      <c r="R2450" s="81"/>
    </row>
    <row r="2451" spans="7:18" x14ac:dyDescent="0.3">
      <c r="G2451" s="85"/>
      <c r="H2451" s="86"/>
      <c r="I2451" s="86"/>
      <c r="J2451" s="87"/>
      <c r="K2451" s="85"/>
      <c r="L2451" s="85"/>
      <c r="P2451" s="85"/>
      <c r="Q2451" s="85"/>
      <c r="R2451" s="81"/>
    </row>
    <row r="2452" spans="7:18" x14ac:dyDescent="0.3">
      <c r="G2452" s="85"/>
      <c r="H2452" s="86"/>
      <c r="I2452" s="86"/>
      <c r="J2452" s="87"/>
      <c r="K2452" s="85"/>
      <c r="L2452" s="85"/>
      <c r="P2452" s="85"/>
      <c r="Q2452" s="85"/>
      <c r="R2452" s="81"/>
    </row>
    <row r="2453" spans="7:18" x14ac:dyDescent="0.3">
      <c r="G2453" s="85"/>
      <c r="H2453" s="86"/>
      <c r="I2453" s="86"/>
      <c r="J2453" s="87"/>
      <c r="K2453" s="85"/>
      <c r="L2453" s="85"/>
      <c r="P2453" s="85"/>
      <c r="Q2453" s="85"/>
      <c r="R2453" s="81"/>
    </row>
    <row r="2454" spans="7:18" x14ac:dyDescent="0.3">
      <c r="G2454" s="85"/>
      <c r="H2454" s="86"/>
      <c r="I2454" s="86"/>
      <c r="J2454" s="87"/>
      <c r="K2454" s="85"/>
      <c r="L2454" s="85"/>
      <c r="P2454" s="85"/>
      <c r="Q2454" s="85"/>
      <c r="R2454" s="81"/>
    </row>
    <row r="2455" spans="7:18" x14ac:dyDescent="0.3">
      <c r="G2455" s="85"/>
      <c r="H2455" s="86"/>
      <c r="I2455" s="86"/>
      <c r="J2455" s="87"/>
      <c r="K2455" s="85"/>
      <c r="L2455" s="85"/>
      <c r="P2455" s="85"/>
      <c r="Q2455" s="85"/>
      <c r="R2455" s="81"/>
    </row>
    <row r="2456" spans="7:18" x14ac:dyDescent="0.3">
      <c r="G2456" s="85"/>
      <c r="H2456" s="86"/>
      <c r="I2456" s="86"/>
      <c r="J2456" s="87"/>
      <c r="K2456" s="85"/>
      <c r="L2456" s="85"/>
      <c r="P2456" s="85"/>
      <c r="Q2456" s="85"/>
      <c r="R2456" s="81"/>
    </row>
    <row r="2457" spans="7:18" x14ac:dyDescent="0.3">
      <c r="G2457" s="85"/>
      <c r="H2457" s="86"/>
      <c r="I2457" s="86"/>
      <c r="J2457" s="87"/>
      <c r="K2457" s="85"/>
      <c r="L2457" s="85"/>
      <c r="P2457" s="85"/>
      <c r="Q2457" s="85"/>
      <c r="R2457" s="81"/>
    </row>
    <row r="2458" spans="7:18" x14ac:dyDescent="0.3">
      <c r="G2458" s="85"/>
      <c r="H2458" s="86"/>
      <c r="I2458" s="86"/>
      <c r="J2458" s="87"/>
      <c r="K2458" s="85"/>
      <c r="L2458" s="85"/>
      <c r="P2458" s="85"/>
      <c r="Q2458" s="85"/>
      <c r="R2458" s="81"/>
    </row>
    <row r="2459" spans="7:18" x14ac:dyDescent="0.3">
      <c r="G2459" s="85"/>
      <c r="H2459" s="86"/>
      <c r="I2459" s="86"/>
      <c r="J2459" s="87"/>
      <c r="K2459" s="85"/>
      <c r="L2459" s="85"/>
      <c r="P2459" s="85"/>
      <c r="Q2459" s="85"/>
      <c r="R2459" s="81"/>
    </row>
    <row r="2460" spans="7:18" x14ac:dyDescent="0.3">
      <c r="G2460" s="85"/>
      <c r="H2460" s="86"/>
      <c r="I2460" s="86"/>
      <c r="J2460" s="87"/>
      <c r="K2460" s="85"/>
      <c r="L2460" s="85"/>
      <c r="P2460" s="85"/>
      <c r="Q2460" s="85"/>
      <c r="R2460" s="81"/>
    </row>
    <row r="2461" spans="7:18" x14ac:dyDescent="0.3">
      <c r="G2461" s="85"/>
      <c r="H2461" s="86"/>
      <c r="I2461" s="86"/>
      <c r="J2461" s="87"/>
      <c r="K2461" s="85"/>
      <c r="L2461" s="85"/>
      <c r="P2461" s="85"/>
      <c r="Q2461" s="85"/>
      <c r="R2461" s="81"/>
    </row>
    <row r="2462" spans="7:18" x14ac:dyDescent="0.3">
      <c r="G2462" s="85"/>
      <c r="H2462" s="86"/>
      <c r="I2462" s="86"/>
      <c r="J2462" s="87"/>
      <c r="K2462" s="85"/>
      <c r="L2462" s="85"/>
      <c r="P2462" s="85"/>
      <c r="Q2462" s="85"/>
      <c r="R2462" s="81"/>
    </row>
    <row r="2463" spans="7:18" x14ac:dyDescent="0.3">
      <c r="G2463" s="85"/>
      <c r="H2463" s="86"/>
      <c r="I2463" s="86"/>
      <c r="J2463" s="87"/>
      <c r="K2463" s="85"/>
      <c r="L2463" s="85"/>
      <c r="P2463" s="85"/>
      <c r="Q2463" s="85"/>
      <c r="R2463" s="81"/>
    </row>
    <row r="2464" spans="7:18" x14ac:dyDescent="0.3">
      <c r="G2464" s="85"/>
      <c r="H2464" s="86"/>
      <c r="I2464" s="86"/>
      <c r="J2464" s="87"/>
      <c r="K2464" s="85"/>
      <c r="L2464" s="85"/>
      <c r="P2464" s="85"/>
      <c r="Q2464" s="85"/>
      <c r="R2464" s="81"/>
    </row>
    <row r="2465" spans="7:18" x14ac:dyDescent="0.3">
      <c r="G2465" s="85"/>
      <c r="H2465" s="86"/>
      <c r="I2465" s="86"/>
      <c r="J2465" s="87"/>
      <c r="K2465" s="85"/>
      <c r="L2465" s="85"/>
      <c r="P2465" s="85"/>
      <c r="Q2465" s="85"/>
      <c r="R2465" s="81"/>
    </row>
    <row r="2466" spans="7:18" x14ac:dyDescent="0.3">
      <c r="G2466" s="85"/>
      <c r="H2466" s="86"/>
      <c r="I2466" s="86"/>
      <c r="J2466" s="87"/>
      <c r="K2466" s="85"/>
      <c r="L2466" s="85"/>
      <c r="P2466" s="85"/>
      <c r="Q2466" s="85"/>
      <c r="R2466" s="81"/>
    </row>
    <row r="2467" spans="7:18" x14ac:dyDescent="0.3">
      <c r="G2467" s="85"/>
      <c r="H2467" s="86"/>
      <c r="I2467" s="86"/>
      <c r="J2467" s="87"/>
      <c r="K2467" s="85"/>
      <c r="L2467" s="85"/>
      <c r="P2467" s="85"/>
      <c r="Q2467" s="85"/>
      <c r="R2467" s="81"/>
    </row>
    <row r="2468" spans="7:18" x14ac:dyDescent="0.3">
      <c r="G2468" s="85"/>
      <c r="H2468" s="86"/>
      <c r="I2468" s="86"/>
      <c r="J2468" s="87"/>
      <c r="K2468" s="85"/>
      <c r="L2468" s="85"/>
      <c r="P2468" s="85"/>
      <c r="Q2468" s="85"/>
      <c r="R2468" s="81"/>
    </row>
    <row r="2469" spans="7:18" x14ac:dyDescent="0.3">
      <c r="G2469" s="85"/>
      <c r="H2469" s="86"/>
      <c r="I2469" s="86"/>
      <c r="J2469" s="87"/>
      <c r="K2469" s="85"/>
      <c r="L2469" s="85"/>
      <c r="P2469" s="85"/>
      <c r="Q2469" s="85"/>
      <c r="R2469" s="81"/>
    </row>
    <row r="2470" spans="7:18" x14ac:dyDescent="0.3">
      <c r="G2470" s="85"/>
      <c r="H2470" s="86"/>
      <c r="I2470" s="86"/>
      <c r="J2470" s="87"/>
      <c r="K2470" s="85"/>
      <c r="L2470" s="85"/>
      <c r="P2470" s="85"/>
      <c r="Q2470" s="85"/>
      <c r="R2470" s="81"/>
    </row>
    <row r="2471" spans="7:18" x14ac:dyDescent="0.3">
      <c r="G2471" s="85"/>
      <c r="H2471" s="86"/>
      <c r="I2471" s="86"/>
      <c r="J2471" s="87"/>
      <c r="K2471" s="85"/>
      <c r="L2471" s="85"/>
      <c r="P2471" s="85"/>
      <c r="Q2471" s="85"/>
      <c r="R2471" s="81"/>
    </row>
    <row r="2472" spans="7:18" x14ac:dyDescent="0.3">
      <c r="G2472" s="85"/>
      <c r="H2472" s="86"/>
      <c r="I2472" s="86"/>
      <c r="J2472" s="87"/>
      <c r="K2472" s="85"/>
      <c r="L2472" s="85"/>
      <c r="P2472" s="85"/>
      <c r="Q2472" s="85"/>
      <c r="R2472" s="81"/>
    </row>
    <row r="2473" spans="7:18" x14ac:dyDescent="0.3">
      <c r="G2473" s="85"/>
      <c r="H2473" s="86"/>
      <c r="I2473" s="86"/>
      <c r="J2473" s="87"/>
      <c r="K2473" s="85"/>
      <c r="L2473" s="85"/>
      <c r="P2473" s="85"/>
      <c r="Q2473" s="85"/>
      <c r="R2473" s="81"/>
    </row>
    <row r="2474" spans="7:18" x14ac:dyDescent="0.3">
      <c r="G2474" s="85"/>
      <c r="H2474" s="86"/>
      <c r="I2474" s="86"/>
      <c r="J2474" s="87"/>
      <c r="K2474" s="85"/>
      <c r="L2474" s="85"/>
      <c r="P2474" s="85"/>
      <c r="Q2474" s="85"/>
      <c r="R2474" s="81"/>
    </row>
    <row r="2475" spans="7:18" x14ac:dyDescent="0.3">
      <c r="G2475" s="85"/>
      <c r="H2475" s="86"/>
      <c r="I2475" s="86"/>
      <c r="J2475" s="87"/>
      <c r="K2475" s="85"/>
      <c r="L2475" s="85"/>
      <c r="P2475" s="85"/>
      <c r="Q2475" s="85"/>
      <c r="R2475" s="81"/>
    </row>
    <row r="2476" spans="7:18" x14ac:dyDescent="0.3">
      <c r="G2476" s="85"/>
      <c r="H2476" s="86"/>
      <c r="I2476" s="86"/>
      <c r="J2476" s="87"/>
      <c r="K2476" s="85"/>
      <c r="L2476" s="85"/>
      <c r="P2476" s="85"/>
      <c r="Q2476" s="85"/>
      <c r="R2476" s="81"/>
    </row>
    <row r="2477" spans="7:18" x14ac:dyDescent="0.3">
      <c r="G2477" s="85"/>
      <c r="H2477" s="86"/>
      <c r="I2477" s="86"/>
      <c r="J2477" s="87"/>
      <c r="K2477" s="85"/>
      <c r="L2477" s="85"/>
      <c r="P2477" s="85"/>
      <c r="Q2477" s="85"/>
      <c r="R2477" s="81"/>
    </row>
    <row r="2478" spans="7:18" x14ac:dyDescent="0.3">
      <c r="G2478" s="85"/>
      <c r="H2478" s="86"/>
      <c r="I2478" s="86"/>
      <c r="J2478" s="87"/>
      <c r="K2478" s="85"/>
      <c r="L2478" s="85"/>
      <c r="P2478" s="85"/>
      <c r="Q2478" s="85"/>
      <c r="R2478" s="81"/>
    </row>
    <row r="2479" spans="7:18" x14ac:dyDescent="0.3">
      <c r="G2479" s="85"/>
      <c r="H2479" s="86"/>
      <c r="I2479" s="86"/>
      <c r="J2479" s="87"/>
      <c r="K2479" s="85"/>
      <c r="L2479" s="85"/>
      <c r="P2479" s="85"/>
      <c r="Q2479" s="85"/>
      <c r="R2479" s="81"/>
    </row>
    <row r="2480" spans="7:18" x14ac:dyDescent="0.3">
      <c r="G2480" s="85"/>
      <c r="H2480" s="86"/>
      <c r="I2480" s="86"/>
      <c r="J2480" s="87"/>
      <c r="K2480" s="85"/>
      <c r="L2480" s="85"/>
      <c r="P2480" s="85"/>
      <c r="Q2480" s="85"/>
      <c r="R2480" s="81"/>
    </row>
    <row r="2481" spans="7:18" x14ac:dyDescent="0.3">
      <c r="G2481" s="85"/>
      <c r="H2481" s="86"/>
      <c r="I2481" s="86"/>
      <c r="J2481" s="87"/>
      <c r="K2481" s="85"/>
      <c r="L2481" s="85"/>
      <c r="P2481" s="85"/>
      <c r="Q2481" s="85"/>
      <c r="R2481" s="81"/>
    </row>
    <row r="2482" spans="7:18" x14ac:dyDescent="0.3">
      <c r="G2482" s="85"/>
      <c r="H2482" s="86"/>
      <c r="I2482" s="86"/>
      <c r="J2482" s="87"/>
      <c r="K2482" s="85"/>
      <c r="L2482" s="85"/>
      <c r="P2482" s="85"/>
      <c r="Q2482" s="85"/>
      <c r="R2482" s="81"/>
    </row>
    <row r="2483" spans="7:18" x14ac:dyDescent="0.3">
      <c r="G2483" s="85"/>
      <c r="H2483" s="86"/>
      <c r="I2483" s="86"/>
      <c r="J2483" s="87"/>
      <c r="K2483" s="85"/>
      <c r="L2483" s="85"/>
      <c r="P2483" s="85"/>
      <c r="Q2483" s="85"/>
      <c r="R2483" s="81"/>
    </row>
    <row r="2484" spans="7:18" x14ac:dyDescent="0.3">
      <c r="G2484" s="85"/>
      <c r="H2484" s="86"/>
      <c r="I2484" s="86"/>
      <c r="J2484" s="87"/>
      <c r="K2484" s="85"/>
      <c r="L2484" s="85"/>
      <c r="P2484" s="85"/>
      <c r="Q2484" s="85"/>
      <c r="R2484" s="81"/>
    </row>
    <row r="2485" spans="7:18" x14ac:dyDescent="0.3">
      <c r="G2485" s="85"/>
      <c r="H2485" s="86"/>
      <c r="I2485" s="86"/>
      <c r="J2485" s="87"/>
      <c r="K2485" s="85"/>
      <c r="L2485" s="85"/>
      <c r="P2485" s="85"/>
      <c r="Q2485" s="85"/>
      <c r="R2485" s="81"/>
    </row>
    <row r="2486" spans="7:18" x14ac:dyDescent="0.3">
      <c r="G2486" s="85"/>
      <c r="H2486" s="86"/>
      <c r="I2486" s="86"/>
      <c r="J2486" s="87"/>
      <c r="K2486" s="85"/>
      <c r="L2486" s="85"/>
      <c r="P2486" s="85"/>
      <c r="Q2486" s="85"/>
      <c r="R2486" s="81"/>
    </row>
    <row r="2487" spans="7:18" x14ac:dyDescent="0.3">
      <c r="G2487" s="85"/>
      <c r="H2487" s="86"/>
      <c r="I2487" s="86"/>
      <c r="J2487" s="87"/>
      <c r="K2487" s="85"/>
      <c r="L2487" s="85"/>
      <c r="P2487" s="85"/>
      <c r="Q2487" s="85"/>
      <c r="R2487" s="81"/>
    </row>
    <row r="2488" spans="7:18" x14ac:dyDescent="0.3">
      <c r="G2488" s="85"/>
      <c r="H2488" s="86"/>
      <c r="I2488" s="86"/>
      <c r="J2488" s="87"/>
      <c r="K2488" s="85"/>
      <c r="L2488" s="85"/>
      <c r="P2488" s="85"/>
      <c r="Q2488" s="85"/>
      <c r="R2488" s="81"/>
    </row>
    <row r="2489" spans="7:18" x14ac:dyDescent="0.3">
      <c r="G2489" s="85"/>
      <c r="H2489" s="86"/>
      <c r="I2489" s="86"/>
      <c r="J2489" s="87"/>
      <c r="K2489" s="85"/>
      <c r="L2489" s="85"/>
      <c r="P2489" s="85"/>
      <c r="Q2489" s="85"/>
      <c r="R2489" s="81"/>
    </row>
    <row r="2490" spans="7:18" x14ac:dyDescent="0.3">
      <c r="G2490" s="85"/>
      <c r="H2490" s="86"/>
      <c r="I2490" s="86"/>
      <c r="J2490" s="87"/>
      <c r="K2490" s="85"/>
      <c r="L2490" s="85"/>
      <c r="P2490" s="85"/>
      <c r="Q2490" s="85"/>
      <c r="R2490" s="81"/>
    </row>
    <row r="2491" spans="7:18" x14ac:dyDescent="0.3">
      <c r="G2491" s="85"/>
      <c r="H2491" s="86"/>
      <c r="I2491" s="86"/>
      <c r="J2491" s="87"/>
      <c r="K2491" s="85"/>
      <c r="L2491" s="85"/>
      <c r="P2491" s="85"/>
      <c r="Q2491" s="85"/>
      <c r="R2491" s="81"/>
    </row>
    <row r="2492" spans="7:18" x14ac:dyDescent="0.3">
      <c r="G2492" s="85"/>
      <c r="H2492" s="86"/>
      <c r="I2492" s="86"/>
      <c r="J2492" s="87"/>
      <c r="K2492" s="85"/>
      <c r="L2492" s="85"/>
      <c r="P2492" s="85"/>
      <c r="Q2492" s="85"/>
      <c r="R2492" s="81"/>
    </row>
    <row r="2493" spans="7:18" x14ac:dyDescent="0.3">
      <c r="G2493" s="85"/>
      <c r="H2493" s="86"/>
      <c r="I2493" s="86"/>
      <c r="J2493" s="87"/>
      <c r="K2493" s="85"/>
      <c r="L2493" s="85"/>
      <c r="P2493" s="85"/>
      <c r="Q2493" s="85"/>
      <c r="R2493" s="81"/>
    </row>
    <row r="2494" spans="7:18" x14ac:dyDescent="0.3">
      <c r="G2494" s="85"/>
      <c r="H2494" s="86"/>
      <c r="I2494" s="86"/>
      <c r="J2494" s="87"/>
      <c r="K2494" s="85"/>
      <c r="L2494" s="85"/>
      <c r="P2494" s="85"/>
      <c r="Q2494" s="85"/>
      <c r="R2494" s="81"/>
    </row>
    <row r="2495" spans="7:18" x14ac:dyDescent="0.3">
      <c r="G2495" s="85"/>
      <c r="H2495" s="86"/>
      <c r="I2495" s="86"/>
      <c r="J2495" s="87"/>
      <c r="K2495" s="85"/>
      <c r="L2495" s="85"/>
      <c r="P2495" s="85"/>
      <c r="Q2495" s="85"/>
      <c r="R2495" s="81"/>
    </row>
    <row r="2496" spans="7:18" x14ac:dyDescent="0.3">
      <c r="G2496" s="85"/>
      <c r="H2496" s="86"/>
      <c r="I2496" s="86"/>
      <c r="J2496" s="87"/>
      <c r="K2496" s="85"/>
      <c r="L2496" s="85"/>
      <c r="P2496" s="85"/>
      <c r="Q2496" s="85"/>
      <c r="R2496" s="81"/>
    </row>
    <row r="2497" spans="7:18" x14ac:dyDescent="0.3">
      <c r="G2497" s="85"/>
      <c r="H2497" s="86"/>
      <c r="I2497" s="86"/>
      <c r="J2497" s="87"/>
      <c r="K2497" s="85"/>
      <c r="L2497" s="85"/>
      <c r="P2497" s="85"/>
      <c r="Q2497" s="85"/>
      <c r="R2497" s="81"/>
    </row>
    <row r="2498" spans="7:18" x14ac:dyDescent="0.3">
      <c r="G2498" s="85"/>
      <c r="H2498" s="86"/>
      <c r="I2498" s="86"/>
      <c r="J2498" s="87"/>
      <c r="K2498" s="85"/>
      <c r="L2498" s="85"/>
      <c r="P2498" s="85"/>
      <c r="Q2498" s="85"/>
      <c r="R2498" s="81"/>
    </row>
    <row r="2499" spans="7:18" x14ac:dyDescent="0.3">
      <c r="G2499" s="85"/>
      <c r="H2499" s="86"/>
      <c r="I2499" s="86"/>
      <c r="J2499" s="87"/>
      <c r="K2499" s="85"/>
      <c r="L2499" s="85"/>
      <c r="P2499" s="85"/>
      <c r="Q2499" s="85"/>
      <c r="R2499" s="81"/>
    </row>
    <row r="2500" spans="7:18" x14ac:dyDescent="0.3">
      <c r="G2500" s="85"/>
      <c r="H2500" s="86"/>
      <c r="I2500" s="86"/>
      <c r="J2500" s="87"/>
      <c r="K2500" s="85"/>
      <c r="L2500" s="85"/>
      <c r="P2500" s="85"/>
      <c r="Q2500" s="85"/>
      <c r="R2500" s="81"/>
    </row>
    <row r="2501" spans="7:18" x14ac:dyDescent="0.3">
      <c r="G2501" s="85"/>
      <c r="H2501" s="86"/>
      <c r="I2501" s="86"/>
      <c r="J2501" s="87"/>
      <c r="K2501" s="85"/>
      <c r="L2501" s="85"/>
      <c r="P2501" s="85"/>
      <c r="Q2501" s="85"/>
      <c r="R2501" s="81"/>
    </row>
    <row r="2502" spans="7:18" x14ac:dyDescent="0.3">
      <c r="G2502" s="85"/>
      <c r="H2502" s="86"/>
      <c r="I2502" s="86"/>
      <c r="J2502" s="87"/>
      <c r="K2502" s="85"/>
      <c r="L2502" s="85"/>
      <c r="P2502" s="85"/>
      <c r="Q2502" s="85"/>
      <c r="R2502" s="81"/>
    </row>
    <row r="2503" spans="7:18" x14ac:dyDescent="0.3">
      <c r="G2503" s="85"/>
      <c r="H2503" s="86"/>
      <c r="I2503" s="86"/>
      <c r="J2503" s="87"/>
      <c r="K2503" s="85"/>
      <c r="L2503" s="85"/>
      <c r="P2503" s="85"/>
      <c r="Q2503" s="85"/>
      <c r="R2503" s="81"/>
    </row>
    <row r="2504" spans="7:18" x14ac:dyDescent="0.3">
      <c r="G2504" s="85"/>
      <c r="H2504" s="86"/>
      <c r="I2504" s="86"/>
      <c r="J2504" s="87"/>
      <c r="K2504" s="85"/>
      <c r="L2504" s="85"/>
      <c r="P2504" s="85"/>
      <c r="Q2504" s="85"/>
      <c r="R2504" s="81"/>
    </row>
    <row r="2505" spans="7:18" x14ac:dyDescent="0.3">
      <c r="G2505" s="85"/>
      <c r="H2505" s="86"/>
      <c r="I2505" s="86"/>
      <c r="J2505" s="87"/>
      <c r="K2505" s="85"/>
      <c r="L2505" s="85"/>
      <c r="P2505" s="85"/>
      <c r="Q2505" s="85"/>
      <c r="R2505" s="81"/>
    </row>
    <row r="2506" spans="7:18" x14ac:dyDescent="0.3">
      <c r="G2506" s="85"/>
      <c r="H2506" s="86"/>
      <c r="I2506" s="86"/>
      <c r="J2506" s="87"/>
      <c r="K2506" s="85"/>
      <c r="L2506" s="85"/>
      <c r="P2506" s="85"/>
      <c r="Q2506" s="85"/>
      <c r="R2506" s="81"/>
    </row>
    <row r="2507" spans="7:18" x14ac:dyDescent="0.3">
      <c r="G2507" s="85"/>
      <c r="H2507" s="86"/>
      <c r="I2507" s="86"/>
      <c r="J2507" s="87"/>
      <c r="K2507" s="85"/>
      <c r="L2507" s="85"/>
      <c r="P2507" s="85"/>
      <c r="Q2507" s="85"/>
      <c r="R2507" s="81"/>
    </row>
    <row r="2508" spans="7:18" x14ac:dyDescent="0.3">
      <c r="G2508" s="85"/>
      <c r="H2508" s="86"/>
      <c r="I2508" s="86"/>
      <c r="J2508" s="87"/>
      <c r="K2508" s="85"/>
      <c r="L2508" s="85"/>
      <c r="P2508" s="85"/>
      <c r="Q2508" s="85"/>
      <c r="R2508" s="81"/>
    </row>
    <row r="2509" spans="7:18" x14ac:dyDescent="0.3">
      <c r="G2509" s="85"/>
      <c r="H2509" s="86"/>
      <c r="I2509" s="86"/>
      <c r="J2509" s="87"/>
      <c r="K2509" s="85"/>
      <c r="L2509" s="85"/>
      <c r="P2509" s="85"/>
      <c r="Q2509" s="85"/>
      <c r="R2509" s="81"/>
    </row>
    <row r="2510" spans="7:18" x14ac:dyDescent="0.3">
      <c r="G2510" s="85"/>
      <c r="H2510" s="86"/>
      <c r="I2510" s="86"/>
      <c r="J2510" s="87"/>
      <c r="K2510" s="85"/>
      <c r="L2510" s="85"/>
      <c r="P2510" s="85"/>
      <c r="Q2510" s="85"/>
      <c r="R2510" s="81"/>
    </row>
    <row r="2511" spans="7:18" x14ac:dyDescent="0.3">
      <c r="G2511" s="85"/>
      <c r="H2511" s="86"/>
      <c r="I2511" s="86"/>
      <c r="J2511" s="87"/>
      <c r="K2511" s="85"/>
      <c r="L2511" s="85"/>
      <c r="P2511" s="85"/>
      <c r="Q2511" s="85"/>
      <c r="R2511" s="81"/>
    </row>
    <row r="2512" spans="7:18" x14ac:dyDescent="0.3">
      <c r="G2512" s="85"/>
      <c r="H2512" s="86"/>
      <c r="I2512" s="86"/>
      <c r="J2512" s="87"/>
      <c r="K2512" s="85"/>
      <c r="L2512" s="85"/>
      <c r="P2512" s="85"/>
      <c r="Q2512" s="85"/>
      <c r="R2512" s="81"/>
    </row>
    <row r="2513" spans="7:18" x14ac:dyDescent="0.3">
      <c r="G2513" s="85"/>
      <c r="H2513" s="86"/>
      <c r="I2513" s="86"/>
      <c r="J2513" s="87"/>
      <c r="K2513" s="85"/>
      <c r="L2513" s="85"/>
      <c r="P2513" s="85"/>
      <c r="Q2513" s="85"/>
      <c r="R2513" s="81"/>
    </row>
    <row r="2514" spans="7:18" x14ac:dyDescent="0.3">
      <c r="G2514" s="85"/>
      <c r="H2514" s="86"/>
      <c r="I2514" s="86"/>
      <c r="J2514" s="87"/>
      <c r="K2514" s="85"/>
      <c r="L2514" s="85"/>
      <c r="P2514" s="85"/>
      <c r="Q2514" s="85"/>
      <c r="R2514" s="81"/>
    </row>
    <row r="2515" spans="7:18" x14ac:dyDescent="0.3">
      <c r="G2515" s="85"/>
      <c r="H2515" s="86"/>
      <c r="I2515" s="86"/>
      <c r="J2515" s="87"/>
      <c r="K2515" s="85"/>
      <c r="L2515" s="85"/>
      <c r="P2515" s="85"/>
      <c r="Q2515" s="85"/>
      <c r="R2515" s="81"/>
    </row>
    <row r="2516" spans="7:18" x14ac:dyDescent="0.3">
      <c r="G2516" s="85"/>
      <c r="H2516" s="86"/>
      <c r="I2516" s="86"/>
      <c r="J2516" s="87"/>
      <c r="K2516" s="85"/>
      <c r="L2516" s="85"/>
      <c r="P2516" s="85"/>
      <c r="Q2516" s="85"/>
      <c r="R2516" s="81"/>
    </row>
    <row r="2517" spans="7:18" x14ac:dyDescent="0.3">
      <c r="G2517" s="85"/>
      <c r="H2517" s="86"/>
      <c r="I2517" s="86"/>
      <c r="J2517" s="87"/>
      <c r="K2517" s="85"/>
      <c r="L2517" s="85"/>
      <c r="P2517" s="85"/>
      <c r="Q2517" s="85"/>
      <c r="R2517" s="81"/>
    </row>
    <row r="2518" spans="7:18" x14ac:dyDescent="0.3">
      <c r="G2518" s="85"/>
      <c r="H2518" s="86"/>
      <c r="I2518" s="86"/>
      <c r="J2518" s="87"/>
      <c r="K2518" s="85"/>
      <c r="L2518" s="85"/>
      <c r="P2518" s="85"/>
      <c r="Q2518" s="85"/>
      <c r="R2518" s="81"/>
    </row>
    <row r="2519" spans="7:18" x14ac:dyDescent="0.3">
      <c r="G2519" s="85"/>
      <c r="H2519" s="86"/>
      <c r="I2519" s="86"/>
      <c r="J2519" s="87"/>
      <c r="K2519" s="85"/>
      <c r="L2519" s="85"/>
      <c r="P2519" s="85"/>
      <c r="Q2519" s="85"/>
      <c r="R2519" s="81"/>
    </row>
    <row r="2520" spans="7:18" x14ac:dyDescent="0.3">
      <c r="G2520" s="85"/>
      <c r="H2520" s="86"/>
      <c r="I2520" s="86"/>
      <c r="J2520" s="87"/>
      <c r="K2520" s="85"/>
      <c r="L2520" s="85"/>
      <c r="P2520" s="85"/>
      <c r="Q2520" s="85"/>
      <c r="R2520" s="81"/>
    </row>
    <row r="2521" spans="7:18" x14ac:dyDescent="0.3">
      <c r="G2521" s="85"/>
      <c r="H2521" s="86"/>
      <c r="I2521" s="86"/>
      <c r="J2521" s="87"/>
      <c r="K2521" s="85"/>
      <c r="L2521" s="85"/>
      <c r="P2521" s="85"/>
      <c r="Q2521" s="85"/>
      <c r="R2521" s="81"/>
    </row>
    <row r="2522" spans="7:18" x14ac:dyDescent="0.3">
      <c r="G2522" s="85"/>
      <c r="H2522" s="86"/>
      <c r="I2522" s="86"/>
      <c r="J2522" s="87"/>
      <c r="K2522" s="85"/>
      <c r="L2522" s="85"/>
      <c r="P2522" s="85"/>
      <c r="Q2522" s="85"/>
      <c r="R2522" s="81"/>
    </row>
    <row r="2523" spans="7:18" x14ac:dyDescent="0.3">
      <c r="G2523" s="85"/>
      <c r="H2523" s="86"/>
      <c r="I2523" s="86"/>
      <c r="J2523" s="87"/>
      <c r="K2523" s="85"/>
      <c r="L2523" s="85"/>
      <c r="P2523" s="85"/>
      <c r="Q2523" s="85"/>
      <c r="R2523" s="81"/>
    </row>
    <row r="2524" spans="7:18" x14ac:dyDescent="0.3">
      <c r="G2524" s="85"/>
      <c r="H2524" s="86"/>
      <c r="I2524" s="86"/>
      <c r="J2524" s="87"/>
      <c r="K2524" s="85"/>
      <c r="L2524" s="85"/>
      <c r="P2524" s="85"/>
      <c r="Q2524" s="85"/>
      <c r="R2524" s="81"/>
    </row>
    <row r="2525" spans="7:18" x14ac:dyDescent="0.3">
      <c r="G2525" s="85"/>
      <c r="H2525" s="86"/>
      <c r="I2525" s="86"/>
      <c r="J2525" s="87"/>
      <c r="K2525" s="85"/>
      <c r="L2525" s="85"/>
      <c r="P2525" s="85"/>
      <c r="Q2525" s="85"/>
      <c r="R2525" s="81"/>
    </row>
    <row r="2526" spans="7:18" x14ac:dyDescent="0.3">
      <c r="G2526" s="85"/>
      <c r="H2526" s="86"/>
      <c r="I2526" s="86"/>
      <c r="J2526" s="87"/>
      <c r="K2526" s="85"/>
      <c r="L2526" s="85"/>
      <c r="P2526" s="85"/>
      <c r="Q2526" s="85"/>
      <c r="R2526" s="81"/>
    </row>
    <row r="2527" spans="7:18" x14ac:dyDescent="0.3">
      <c r="G2527" s="85"/>
      <c r="H2527" s="86"/>
      <c r="I2527" s="86"/>
      <c r="J2527" s="87"/>
      <c r="K2527" s="85"/>
      <c r="L2527" s="85"/>
      <c r="P2527" s="85"/>
      <c r="Q2527" s="85"/>
      <c r="R2527" s="81"/>
    </row>
    <row r="2528" spans="7:18" x14ac:dyDescent="0.3">
      <c r="G2528" s="85"/>
      <c r="H2528" s="86"/>
      <c r="I2528" s="86"/>
      <c r="J2528" s="87"/>
      <c r="K2528" s="85"/>
      <c r="L2528" s="85"/>
      <c r="P2528" s="85"/>
      <c r="Q2528" s="85"/>
      <c r="R2528" s="81"/>
    </row>
    <row r="2529" spans="7:18" x14ac:dyDescent="0.3">
      <c r="G2529" s="85"/>
      <c r="H2529" s="86"/>
      <c r="I2529" s="86"/>
      <c r="J2529" s="87"/>
      <c r="K2529" s="85"/>
      <c r="L2529" s="85"/>
      <c r="P2529" s="85"/>
      <c r="Q2529" s="85"/>
      <c r="R2529" s="81"/>
    </row>
    <row r="2530" spans="7:18" x14ac:dyDescent="0.3">
      <c r="G2530" s="85"/>
      <c r="H2530" s="86"/>
      <c r="I2530" s="86"/>
      <c r="J2530" s="87"/>
      <c r="K2530" s="85"/>
      <c r="L2530" s="85"/>
      <c r="P2530" s="85"/>
      <c r="Q2530" s="85"/>
      <c r="R2530" s="81"/>
    </row>
    <row r="2531" spans="7:18" x14ac:dyDescent="0.3">
      <c r="G2531" s="85"/>
      <c r="H2531" s="86"/>
      <c r="I2531" s="86"/>
      <c r="J2531" s="87"/>
      <c r="K2531" s="85"/>
      <c r="L2531" s="85"/>
      <c r="P2531" s="85"/>
      <c r="Q2531" s="85"/>
      <c r="R2531" s="81"/>
    </row>
    <row r="2532" spans="7:18" x14ac:dyDescent="0.3">
      <c r="G2532" s="85"/>
      <c r="H2532" s="86"/>
      <c r="I2532" s="86"/>
      <c r="J2532" s="87"/>
      <c r="K2532" s="85"/>
      <c r="L2532" s="85"/>
      <c r="P2532" s="85"/>
      <c r="Q2532" s="85"/>
      <c r="R2532" s="81"/>
    </row>
    <row r="2533" spans="7:18" x14ac:dyDescent="0.3">
      <c r="G2533" s="85"/>
      <c r="H2533" s="86"/>
      <c r="I2533" s="86"/>
      <c r="J2533" s="87"/>
      <c r="K2533" s="85"/>
      <c r="L2533" s="85"/>
      <c r="P2533" s="85"/>
      <c r="Q2533" s="85"/>
      <c r="R2533" s="81"/>
    </row>
    <row r="2534" spans="7:18" x14ac:dyDescent="0.3">
      <c r="G2534" s="85"/>
      <c r="H2534" s="86"/>
      <c r="I2534" s="86"/>
      <c r="J2534" s="87"/>
      <c r="K2534" s="85"/>
      <c r="L2534" s="85"/>
      <c r="P2534" s="85"/>
      <c r="Q2534" s="85"/>
      <c r="R2534" s="81"/>
    </row>
    <row r="2535" spans="7:18" x14ac:dyDescent="0.3">
      <c r="G2535" s="85"/>
      <c r="H2535" s="86"/>
      <c r="I2535" s="86"/>
      <c r="J2535" s="87"/>
      <c r="K2535" s="85"/>
      <c r="L2535" s="85"/>
      <c r="P2535" s="85"/>
      <c r="Q2535" s="85"/>
      <c r="R2535" s="81"/>
    </row>
    <row r="2536" spans="7:18" x14ac:dyDescent="0.3">
      <c r="G2536" s="85"/>
      <c r="H2536" s="86"/>
      <c r="I2536" s="86"/>
      <c r="J2536" s="87"/>
      <c r="K2536" s="85"/>
      <c r="L2536" s="85"/>
      <c r="P2536" s="85"/>
      <c r="Q2536" s="85"/>
      <c r="R2536" s="81"/>
    </row>
    <row r="2537" spans="7:18" x14ac:dyDescent="0.3">
      <c r="G2537" s="85"/>
      <c r="H2537" s="86"/>
      <c r="I2537" s="86"/>
      <c r="J2537" s="87"/>
      <c r="K2537" s="85"/>
      <c r="L2537" s="85"/>
      <c r="P2537" s="85"/>
      <c r="Q2537" s="85"/>
      <c r="R2537" s="81"/>
    </row>
    <row r="2538" spans="7:18" x14ac:dyDescent="0.3">
      <c r="G2538" s="85"/>
      <c r="H2538" s="86"/>
      <c r="I2538" s="86"/>
      <c r="J2538" s="87"/>
      <c r="K2538" s="85"/>
      <c r="L2538" s="85"/>
      <c r="P2538" s="85"/>
      <c r="Q2538" s="85"/>
      <c r="R2538" s="81"/>
    </row>
    <row r="2539" spans="7:18" x14ac:dyDescent="0.3">
      <c r="G2539" s="85"/>
      <c r="H2539" s="86"/>
      <c r="I2539" s="86"/>
      <c r="J2539" s="87"/>
      <c r="K2539" s="85"/>
      <c r="L2539" s="85"/>
      <c r="P2539" s="85"/>
      <c r="Q2539" s="85"/>
      <c r="R2539" s="81"/>
    </row>
    <row r="2540" spans="7:18" x14ac:dyDescent="0.3">
      <c r="G2540" s="85"/>
      <c r="H2540" s="86"/>
      <c r="I2540" s="86"/>
      <c r="J2540" s="87"/>
      <c r="K2540" s="85"/>
      <c r="L2540" s="85"/>
      <c r="P2540" s="85"/>
      <c r="Q2540" s="85"/>
      <c r="R2540" s="81"/>
    </row>
    <row r="2541" spans="7:18" x14ac:dyDescent="0.3">
      <c r="G2541" s="85"/>
      <c r="H2541" s="86"/>
      <c r="I2541" s="86"/>
      <c r="J2541" s="87"/>
      <c r="K2541" s="85"/>
      <c r="L2541" s="85"/>
      <c r="P2541" s="85"/>
      <c r="Q2541" s="85"/>
      <c r="R2541" s="81"/>
    </row>
    <row r="2542" spans="7:18" x14ac:dyDescent="0.3">
      <c r="G2542" s="85"/>
      <c r="H2542" s="86"/>
      <c r="I2542" s="86"/>
      <c r="J2542" s="87"/>
      <c r="K2542" s="85"/>
      <c r="L2542" s="85"/>
      <c r="P2542" s="85"/>
      <c r="Q2542" s="85"/>
      <c r="R2542" s="81"/>
    </row>
    <row r="2543" spans="7:18" x14ac:dyDescent="0.3">
      <c r="G2543" s="85"/>
      <c r="H2543" s="86"/>
      <c r="I2543" s="86"/>
      <c r="J2543" s="87"/>
      <c r="K2543" s="85"/>
      <c r="L2543" s="85"/>
      <c r="P2543" s="85"/>
      <c r="Q2543" s="85"/>
      <c r="R2543" s="81"/>
    </row>
    <row r="2544" spans="7:18" x14ac:dyDescent="0.3">
      <c r="G2544" s="85"/>
      <c r="H2544" s="86"/>
      <c r="I2544" s="86"/>
      <c r="J2544" s="87"/>
      <c r="K2544" s="85"/>
      <c r="L2544" s="85"/>
      <c r="P2544" s="85"/>
      <c r="Q2544" s="85"/>
      <c r="R2544" s="81"/>
    </row>
    <row r="2545" spans="7:18" x14ac:dyDescent="0.3">
      <c r="G2545" s="85"/>
      <c r="H2545" s="86"/>
      <c r="I2545" s="86"/>
      <c r="J2545" s="87"/>
      <c r="K2545" s="85"/>
      <c r="L2545" s="85"/>
      <c r="P2545" s="85"/>
      <c r="Q2545" s="85"/>
      <c r="R2545" s="81"/>
    </row>
    <row r="2546" spans="7:18" x14ac:dyDescent="0.3">
      <c r="G2546" s="85"/>
      <c r="H2546" s="86"/>
      <c r="I2546" s="86"/>
      <c r="J2546" s="87"/>
      <c r="K2546" s="85"/>
      <c r="L2546" s="85"/>
      <c r="P2546" s="85"/>
      <c r="Q2546" s="85"/>
      <c r="R2546" s="81"/>
    </row>
    <row r="2547" spans="7:18" x14ac:dyDescent="0.3">
      <c r="G2547" s="85"/>
      <c r="H2547" s="86"/>
      <c r="I2547" s="86"/>
      <c r="J2547" s="87"/>
      <c r="K2547" s="85"/>
      <c r="L2547" s="85"/>
      <c r="P2547" s="85"/>
      <c r="Q2547" s="85"/>
      <c r="R2547" s="81"/>
    </row>
    <row r="2548" spans="7:18" x14ac:dyDescent="0.3">
      <c r="G2548" s="85"/>
      <c r="H2548" s="86"/>
      <c r="I2548" s="86"/>
      <c r="J2548" s="87"/>
      <c r="K2548" s="85"/>
      <c r="L2548" s="85"/>
      <c r="P2548" s="85"/>
      <c r="Q2548" s="85"/>
      <c r="R2548" s="81"/>
    </row>
    <row r="2549" spans="7:18" x14ac:dyDescent="0.3">
      <c r="G2549" s="85"/>
      <c r="H2549" s="86"/>
      <c r="I2549" s="86"/>
      <c r="J2549" s="87"/>
      <c r="K2549" s="85"/>
      <c r="L2549" s="85"/>
      <c r="P2549" s="85"/>
      <c r="Q2549" s="85"/>
      <c r="R2549" s="81"/>
    </row>
    <row r="2550" spans="7:18" x14ac:dyDescent="0.3">
      <c r="G2550" s="85"/>
      <c r="H2550" s="86"/>
      <c r="I2550" s="86"/>
      <c r="J2550" s="87"/>
      <c r="K2550" s="85"/>
      <c r="L2550" s="85"/>
      <c r="P2550" s="85"/>
      <c r="Q2550" s="85"/>
      <c r="R2550" s="81"/>
    </row>
    <row r="2551" spans="7:18" x14ac:dyDescent="0.3">
      <c r="G2551" s="85"/>
      <c r="H2551" s="86"/>
      <c r="I2551" s="86"/>
      <c r="J2551" s="87"/>
      <c r="K2551" s="85"/>
      <c r="L2551" s="85"/>
      <c r="P2551" s="85"/>
      <c r="Q2551" s="85"/>
      <c r="R2551" s="81"/>
    </row>
    <row r="2552" spans="7:18" x14ac:dyDescent="0.3">
      <c r="G2552" s="85"/>
      <c r="H2552" s="86"/>
      <c r="I2552" s="86"/>
      <c r="J2552" s="87"/>
      <c r="K2552" s="85"/>
      <c r="L2552" s="85"/>
      <c r="P2552" s="85"/>
      <c r="Q2552" s="85"/>
      <c r="R2552" s="81"/>
    </row>
    <row r="2553" spans="7:18" x14ac:dyDescent="0.3">
      <c r="G2553" s="85"/>
      <c r="H2553" s="86"/>
      <c r="I2553" s="86"/>
      <c r="J2553" s="87"/>
      <c r="K2553" s="85"/>
      <c r="L2553" s="85"/>
      <c r="P2553" s="85"/>
      <c r="Q2553" s="85"/>
      <c r="R2553" s="81"/>
    </row>
    <row r="2554" spans="7:18" x14ac:dyDescent="0.3">
      <c r="G2554" s="85"/>
      <c r="H2554" s="86"/>
      <c r="I2554" s="86"/>
      <c r="J2554" s="87"/>
      <c r="K2554" s="85"/>
      <c r="L2554" s="85"/>
      <c r="P2554" s="85"/>
      <c r="Q2554" s="85"/>
      <c r="R2554" s="81"/>
    </row>
    <row r="2555" spans="7:18" x14ac:dyDescent="0.3">
      <c r="G2555" s="85"/>
      <c r="H2555" s="86"/>
      <c r="I2555" s="86"/>
      <c r="J2555" s="87"/>
      <c r="K2555" s="85"/>
      <c r="L2555" s="85"/>
      <c r="P2555" s="85"/>
      <c r="Q2555" s="85"/>
      <c r="R2555" s="81"/>
    </row>
    <row r="2556" spans="7:18" x14ac:dyDescent="0.3">
      <c r="G2556" s="85"/>
      <c r="H2556" s="86"/>
      <c r="I2556" s="86"/>
      <c r="J2556" s="87"/>
      <c r="K2556" s="85"/>
      <c r="L2556" s="85"/>
      <c r="P2556" s="85"/>
      <c r="Q2556" s="85"/>
      <c r="R2556" s="81"/>
    </row>
    <row r="2557" spans="7:18" x14ac:dyDescent="0.3">
      <c r="G2557" s="85"/>
      <c r="H2557" s="86"/>
      <c r="I2557" s="86"/>
      <c r="J2557" s="87"/>
      <c r="K2557" s="85"/>
      <c r="L2557" s="85"/>
      <c r="P2557" s="85"/>
      <c r="Q2557" s="85"/>
      <c r="R2557" s="81"/>
    </row>
    <row r="2558" spans="7:18" x14ac:dyDescent="0.3">
      <c r="G2558" s="85"/>
      <c r="H2558" s="86"/>
      <c r="I2558" s="86"/>
      <c r="J2558" s="87"/>
      <c r="K2558" s="85"/>
      <c r="L2558" s="85"/>
      <c r="P2558" s="85"/>
      <c r="Q2558" s="85"/>
      <c r="R2558" s="81"/>
    </row>
    <row r="2559" spans="7:18" x14ac:dyDescent="0.3">
      <c r="G2559" s="85"/>
      <c r="H2559" s="86"/>
      <c r="I2559" s="86"/>
      <c r="J2559" s="87"/>
      <c r="K2559" s="85"/>
      <c r="L2559" s="85"/>
      <c r="P2559" s="85"/>
      <c r="Q2559" s="85"/>
      <c r="R2559" s="81"/>
    </row>
    <row r="2560" spans="7:18" x14ac:dyDescent="0.3">
      <c r="G2560" s="85"/>
      <c r="H2560" s="86"/>
      <c r="I2560" s="86"/>
      <c r="J2560" s="87"/>
      <c r="K2560" s="85"/>
      <c r="L2560" s="85"/>
      <c r="P2560" s="85"/>
      <c r="Q2560" s="85"/>
      <c r="R2560" s="81"/>
    </row>
    <row r="2561" spans="7:18" x14ac:dyDescent="0.3">
      <c r="G2561" s="85"/>
      <c r="H2561" s="86"/>
      <c r="I2561" s="86"/>
      <c r="J2561" s="87"/>
      <c r="K2561" s="85"/>
      <c r="L2561" s="85"/>
      <c r="P2561" s="85"/>
      <c r="Q2561" s="85"/>
      <c r="R2561" s="81"/>
    </row>
    <row r="2562" spans="7:18" x14ac:dyDescent="0.3">
      <c r="G2562" s="85"/>
      <c r="H2562" s="86"/>
      <c r="I2562" s="86"/>
      <c r="J2562" s="87"/>
      <c r="K2562" s="85"/>
      <c r="L2562" s="85"/>
      <c r="P2562" s="85"/>
      <c r="Q2562" s="85"/>
      <c r="R2562" s="81"/>
    </row>
    <row r="2563" spans="7:18" x14ac:dyDescent="0.3">
      <c r="G2563" s="85"/>
      <c r="H2563" s="86"/>
      <c r="I2563" s="86"/>
      <c r="J2563" s="87"/>
      <c r="K2563" s="85"/>
      <c r="L2563" s="85"/>
      <c r="P2563" s="85"/>
      <c r="Q2563" s="85"/>
      <c r="R2563" s="81"/>
    </row>
    <row r="2564" spans="7:18" x14ac:dyDescent="0.3">
      <c r="G2564" s="85"/>
      <c r="H2564" s="86"/>
      <c r="I2564" s="86"/>
      <c r="J2564" s="87"/>
      <c r="K2564" s="85"/>
      <c r="L2564" s="85"/>
      <c r="P2564" s="85"/>
      <c r="Q2564" s="85"/>
      <c r="R2564" s="81"/>
    </row>
    <row r="2565" spans="7:18" x14ac:dyDescent="0.3">
      <c r="G2565" s="85"/>
      <c r="H2565" s="86"/>
      <c r="I2565" s="86"/>
      <c r="J2565" s="87"/>
      <c r="K2565" s="85"/>
      <c r="L2565" s="85"/>
      <c r="P2565" s="85"/>
      <c r="Q2565" s="85"/>
      <c r="R2565" s="81"/>
    </row>
    <row r="2566" spans="7:18" x14ac:dyDescent="0.3">
      <c r="G2566" s="85"/>
      <c r="H2566" s="86"/>
      <c r="I2566" s="86"/>
      <c r="J2566" s="87"/>
      <c r="K2566" s="85"/>
      <c r="L2566" s="85"/>
      <c r="P2566" s="85"/>
      <c r="Q2566" s="85"/>
      <c r="R2566" s="81"/>
    </row>
    <row r="2567" spans="7:18" x14ac:dyDescent="0.3">
      <c r="G2567" s="85"/>
      <c r="H2567" s="86"/>
      <c r="I2567" s="86"/>
      <c r="J2567" s="87"/>
      <c r="K2567" s="85"/>
      <c r="L2567" s="85"/>
      <c r="P2567" s="85"/>
      <c r="Q2567" s="85"/>
      <c r="R2567" s="81"/>
    </row>
    <row r="2568" spans="7:18" x14ac:dyDescent="0.3">
      <c r="G2568" s="85"/>
      <c r="H2568" s="86"/>
      <c r="I2568" s="86"/>
      <c r="J2568" s="87"/>
      <c r="K2568" s="85"/>
      <c r="L2568" s="85"/>
      <c r="P2568" s="85"/>
      <c r="Q2568" s="85"/>
      <c r="R2568" s="81"/>
    </row>
    <row r="2569" spans="7:18" x14ac:dyDescent="0.3">
      <c r="G2569" s="85"/>
      <c r="H2569" s="86"/>
      <c r="I2569" s="86"/>
      <c r="J2569" s="87"/>
      <c r="K2569" s="85"/>
      <c r="L2569" s="85"/>
      <c r="P2569" s="85"/>
      <c r="Q2569" s="85"/>
      <c r="R2569" s="81"/>
    </row>
    <row r="2570" spans="7:18" x14ac:dyDescent="0.3">
      <c r="G2570" s="85"/>
      <c r="H2570" s="86"/>
      <c r="I2570" s="86"/>
      <c r="J2570" s="87"/>
      <c r="K2570" s="85"/>
      <c r="L2570" s="85"/>
      <c r="P2570" s="85"/>
      <c r="Q2570" s="85"/>
      <c r="R2570" s="81"/>
    </row>
    <row r="2571" spans="7:18" x14ac:dyDescent="0.3">
      <c r="G2571" s="85"/>
      <c r="H2571" s="86"/>
      <c r="I2571" s="86"/>
      <c r="J2571" s="87"/>
      <c r="K2571" s="85"/>
      <c r="L2571" s="85"/>
      <c r="P2571" s="85"/>
      <c r="Q2571" s="85"/>
      <c r="R2571" s="81"/>
    </row>
    <row r="2572" spans="7:18" x14ac:dyDescent="0.3">
      <c r="G2572" s="85"/>
      <c r="H2572" s="86"/>
      <c r="I2572" s="86"/>
      <c r="J2572" s="87"/>
      <c r="K2572" s="85"/>
      <c r="L2572" s="85"/>
      <c r="P2572" s="85"/>
      <c r="Q2572" s="85"/>
      <c r="R2572" s="81"/>
    </row>
    <row r="2573" spans="7:18" x14ac:dyDescent="0.3">
      <c r="G2573" s="85"/>
      <c r="H2573" s="86"/>
      <c r="I2573" s="86"/>
      <c r="J2573" s="87"/>
      <c r="K2573" s="85"/>
      <c r="L2573" s="85"/>
      <c r="P2573" s="85"/>
      <c r="Q2573" s="85"/>
      <c r="R2573" s="81"/>
    </row>
    <row r="2574" spans="7:18" x14ac:dyDescent="0.3">
      <c r="G2574" s="85"/>
      <c r="H2574" s="86"/>
      <c r="I2574" s="86"/>
      <c r="J2574" s="87"/>
      <c r="K2574" s="85"/>
      <c r="L2574" s="85"/>
      <c r="P2574" s="85"/>
      <c r="Q2574" s="85"/>
      <c r="R2574" s="81"/>
    </row>
    <row r="2575" spans="7:18" x14ac:dyDescent="0.3">
      <c r="G2575" s="85"/>
      <c r="H2575" s="86"/>
      <c r="I2575" s="86"/>
      <c r="J2575" s="87"/>
      <c r="K2575" s="85"/>
      <c r="L2575" s="85"/>
      <c r="P2575" s="85"/>
      <c r="Q2575" s="85"/>
      <c r="R2575" s="81"/>
    </row>
    <row r="2576" spans="7:18" x14ac:dyDescent="0.3">
      <c r="G2576" s="85"/>
      <c r="H2576" s="86"/>
      <c r="I2576" s="86"/>
      <c r="J2576" s="87"/>
      <c r="K2576" s="85"/>
      <c r="L2576" s="85"/>
      <c r="P2576" s="85"/>
      <c r="Q2576" s="85"/>
      <c r="R2576" s="81"/>
    </row>
    <row r="2577" spans="7:18" x14ac:dyDescent="0.3">
      <c r="G2577" s="85"/>
      <c r="H2577" s="86"/>
      <c r="I2577" s="86"/>
      <c r="J2577" s="87"/>
      <c r="K2577" s="85"/>
      <c r="L2577" s="85"/>
      <c r="P2577" s="85"/>
      <c r="Q2577" s="85"/>
      <c r="R2577" s="81"/>
    </row>
    <row r="2578" spans="7:18" x14ac:dyDescent="0.3">
      <c r="G2578" s="85"/>
      <c r="H2578" s="86"/>
      <c r="I2578" s="86"/>
      <c r="J2578" s="87"/>
      <c r="K2578" s="85"/>
      <c r="L2578" s="85"/>
      <c r="P2578" s="85"/>
      <c r="Q2578" s="85"/>
      <c r="R2578" s="81"/>
    </row>
    <row r="2579" spans="7:18" x14ac:dyDescent="0.3">
      <c r="G2579" s="85"/>
      <c r="H2579" s="86"/>
      <c r="I2579" s="86"/>
      <c r="J2579" s="87"/>
      <c r="K2579" s="85"/>
      <c r="L2579" s="85"/>
      <c r="P2579" s="85"/>
      <c r="Q2579" s="85"/>
      <c r="R2579" s="81"/>
    </row>
    <row r="2580" spans="7:18" x14ac:dyDescent="0.3">
      <c r="G2580" s="85"/>
      <c r="H2580" s="86"/>
      <c r="I2580" s="86"/>
      <c r="J2580" s="87"/>
      <c r="K2580" s="85"/>
      <c r="L2580" s="85"/>
      <c r="P2580" s="85"/>
      <c r="Q2580" s="85"/>
      <c r="R2580" s="81"/>
    </row>
    <row r="2581" spans="7:18" x14ac:dyDescent="0.3">
      <c r="G2581" s="85"/>
      <c r="H2581" s="86"/>
      <c r="I2581" s="86"/>
      <c r="J2581" s="87"/>
      <c r="K2581" s="85"/>
      <c r="L2581" s="85"/>
      <c r="P2581" s="85"/>
      <c r="Q2581" s="85"/>
      <c r="R2581" s="81"/>
    </row>
    <row r="2582" spans="7:18" x14ac:dyDescent="0.3">
      <c r="G2582" s="85"/>
      <c r="H2582" s="86"/>
      <c r="I2582" s="86"/>
      <c r="J2582" s="87"/>
      <c r="K2582" s="85"/>
      <c r="L2582" s="85"/>
      <c r="P2582" s="85"/>
      <c r="Q2582" s="85"/>
      <c r="R2582" s="81"/>
    </row>
    <row r="2583" spans="7:18" x14ac:dyDescent="0.3">
      <c r="G2583" s="85"/>
      <c r="H2583" s="86"/>
      <c r="I2583" s="86"/>
      <c r="J2583" s="87"/>
      <c r="K2583" s="85"/>
      <c r="L2583" s="85"/>
      <c r="P2583" s="85"/>
      <c r="Q2583" s="85"/>
      <c r="R2583" s="81"/>
    </row>
    <row r="2584" spans="7:18" x14ac:dyDescent="0.3">
      <c r="G2584" s="85"/>
      <c r="H2584" s="86"/>
      <c r="I2584" s="86"/>
      <c r="J2584" s="87"/>
      <c r="K2584" s="85"/>
      <c r="L2584" s="85"/>
      <c r="P2584" s="85"/>
      <c r="Q2584" s="85"/>
      <c r="R2584" s="81"/>
    </row>
    <row r="2585" spans="7:18" x14ac:dyDescent="0.3">
      <c r="G2585" s="85"/>
      <c r="H2585" s="86"/>
      <c r="I2585" s="86"/>
      <c r="J2585" s="87"/>
      <c r="K2585" s="85"/>
      <c r="L2585" s="85"/>
      <c r="P2585" s="85"/>
      <c r="Q2585" s="85"/>
      <c r="R2585" s="81"/>
    </row>
    <row r="2586" spans="7:18" x14ac:dyDescent="0.3">
      <c r="G2586" s="85"/>
      <c r="H2586" s="86"/>
      <c r="I2586" s="86"/>
      <c r="J2586" s="87"/>
      <c r="K2586" s="85"/>
      <c r="L2586" s="85"/>
      <c r="P2586" s="85"/>
      <c r="Q2586" s="85"/>
      <c r="R2586" s="81"/>
    </row>
    <row r="2587" spans="7:18" x14ac:dyDescent="0.3">
      <c r="G2587" s="85"/>
      <c r="H2587" s="86"/>
      <c r="I2587" s="86"/>
      <c r="J2587" s="87"/>
      <c r="K2587" s="85"/>
      <c r="L2587" s="85"/>
      <c r="P2587" s="85"/>
      <c r="Q2587" s="85"/>
      <c r="R2587" s="81"/>
    </row>
    <row r="2588" spans="7:18" x14ac:dyDescent="0.3">
      <c r="G2588" s="85"/>
      <c r="H2588" s="86"/>
      <c r="I2588" s="86"/>
      <c r="J2588" s="87"/>
      <c r="K2588" s="85"/>
      <c r="L2588" s="85"/>
      <c r="P2588" s="85"/>
      <c r="Q2588" s="85"/>
      <c r="R2588" s="81"/>
    </row>
    <row r="2589" spans="7:18" x14ac:dyDescent="0.3">
      <c r="G2589" s="85"/>
      <c r="H2589" s="86"/>
      <c r="I2589" s="86"/>
      <c r="J2589" s="87"/>
      <c r="K2589" s="85"/>
      <c r="L2589" s="85"/>
      <c r="P2589" s="85"/>
      <c r="Q2589" s="85"/>
      <c r="R2589" s="81"/>
    </row>
    <row r="2590" spans="7:18" x14ac:dyDescent="0.3">
      <c r="G2590" s="85"/>
      <c r="H2590" s="86"/>
      <c r="I2590" s="86"/>
      <c r="J2590" s="87"/>
      <c r="K2590" s="85"/>
      <c r="L2590" s="85"/>
      <c r="P2590" s="85"/>
      <c r="Q2590" s="85"/>
      <c r="R2590" s="81"/>
    </row>
    <row r="2591" spans="7:18" x14ac:dyDescent="0.3">
      <c r="G2591" s="85"/>
      <c r="H2591" s="86"/>
      <c r="I2591" s="86"/>
      <c r="J2591" s="87"/>
      <c r="K2591" s="85"/>
      <c r="L2591" s="85"/>
      <c r="P2591" s="85"/>
      <c r="Q2591" s="85"/>
      <c r="R2591" s="81"/>
    </row>
    <row r="2592" spans="7:18" x14ac:dyDescent="0.3">
      <c r="G2592" s="85"/>
      <c r="H2592" s="86"/>
      <c r="I2592" s="86"/>
      <c r="J2592" s="87"/>
      <c r="K2592" s="85"/>
      <c r="L2592" s="85"/>
      <c r="P2592" s="85"/>
      <c r="Q2592" s="85"/>
      <c r="R2592" s="81"/>
    </row>
    <row r="2593" spans="7:18" x14ac:dyDescent="0.3">
      <c r="G2593" s="85"/>
      <c r="H2593" s="86"/>
      <c r="I2593" s="86"/>
      <c r="J2593" s="87"/>
      <c r="K2593" s="85"/>
      <c r="L2593" s="85"/>
      <c r="P2593" s="85"/>
      <c r="Q2593" s="85"/>
      <c r="R2593" s="81"/>
    </row>
    <row r="2594" spans="7:18" x14ac:dyDescent="0.3">
      <c r="G2594" s="85"/>
      <c r="H2594" s="86"/>
      <c r="I2594" s="86"/>
      <c r="J2594" s="87"/>
      <c r="K2594" s="85"/>
      <c r="L2594" s="85"/>
      <c r="P2594" s="85"/>
      <c r="Q2594" s="85"/>
      <c r="R2594" s="81"/>
    </row>
    <row r="2595" spans="7:18" x14ac:dyDescent="0.3">
      <c r="G2595" s="85"/>
      <c r="H2595" s="86"/>
      <c r="I2595" s="86"/>
      <c r="J2595" s="87"/>
      <c r="K2595" s="85"/>
      <c r="L2595" s="85"/>
      <c r="P2595" s="85"/>
      <c r="Q2595" s="85"/>
      <c r="R2595" s="81"/>
    </row>
    <row r="2596" spans="7:18" x14ac:dyDescent="0.3">
      <c r="G2596" s="85"/>
      <c r="H2596" s="86"/>
      <c r="I2596" s="86"/>
      <c r="J2596" s="87"/>
      <c r="K2596" s="85"/>
      <c r="L2596" s="85"/>
      <c r="P2596" s="85"/>
      <c r="Q2596" s="85"/>
      <c r="R2596" s="81"/>
    </row>
    <row r="2597" spans="7:18" x14ac:dyDescent="0.3">
      <c r="G2597" s="85"/>
      <c r="H2597" s="86"/>
      <c r="I2597" s="86"/>
      <c r="J2597" s="87"/>
      <c r="K2597" s="85"/>
      <c r="L2597" s="85"/>
      <c r="P2597" s="85"/>
      <c r="Q2597" s="85"/>
      <c r="R2597" s="81"/>
    </row>
    <row r="2598" spans="7:18" x14ac:dyDescent="0.3">
      <c r="G2598" s="85"/>
      <c r="H2598" s="86"/>
      <c r="I2598" s="86"/>
      <c r="J2598" s="87"/>
      <c r="K2598" s="85"/>
      <c r="L2598" s="85"/>
      <c r="P2598" s="85"/>
      <c r="Q2598" s="85"/>
      <c r="R2598" s="81"/>
    </row>
    <row r="2599" spans="7:18" x14ac:dyDescent="0.3">
      <c r="G2599" s="85"/>
      <c r="H2599" s="86"/>
      <c r="I2599" s="86"/>
      <c r="J2599" s="87"/>
      <c r="K2599" s="85"/>
      <c r="L2599" s="85"/>
      <c r="P2599" s="85"/>
      <c r="Q2599" s="85"/>
      <c r="R2599" s="81"/>
    </row>
    <row r="2600" spans="7:18" x14ac:dyDescent="0.3">
      <c r="G2600" s="85"/>
      <c r="H2600" s="86"/>
      <c r="I2600" s="86"/>
      <c r="J2600" s="87"/>
      <c r="K2600" s="85"/>
      <c r="L2600" s="85"/>
      <c r="P2600" s="85"/>
      <c r="Q2600" s="85"/>
      <c r="R2600" s="81"/>
    </row>
    <row r="2601" spans="7:18" x14ac:dyDescent="0.3">
      <c r="G2601" s="85"/>
      <c r="H2601" s="86"/>
      <c r="I2601" s="86"/>
      <c r="J2601" s="87"/>
      <c r="K2601" s="85"/>
      <c r="L2601" s="85"/>
      <c r="P2601" s="85"/>
      <c r="Q2601" s="85"/>
      <c r="R2601" s="81"/>
    </row>
    <row r="2602" spans="7:18" x14ac:dyDescent="0.3">
      <c r="G2602" s="85"/>
      <c r="H2602" s="86"/>
      <c r="I2602" s="86"/>
      <c r="J2602" s="87"/>
      <c r="K2602" s="85"/>
      <c r="L2602" s="85"/>
      <c r="P2602" s="85"/>
      <c r="Q2602" s="85"/>
      <c r="R2602" s="81"/>
    </row>
    <row r="2603" spans="7:18" x14ac:dyDescent="0.3">
      <c r="G2603" s="85"/>
      <c r="H2603" s="86"/>
      <c r="I2603" s="86"/>
      <c r="J2603" s="87"/>
      <c r="K2603" s="85"/>
      <c r="L2603" s="85"/>
      <c r="P2603" s="85"/>
      <c r="Q2603" s="85"/>
      <c r="R2603" s="81"/>
    </row>
    <row r="2604" spans="7:18" x14ac:dyDescent="0.3">
      <c r="G2604" s="85"/>
      <c r="H2604" s="86"/>
      <c r="I2604" s="86"/>
      <c r="J2604" s="87"/>
      <c r="K2604" s="85"/>
      <c r="L2604" s="85"/>
      <c r="P2604" s="85"/>
      <c r="Q2604" s="85"/>
      <c r="R2604" s="81"/>
    </row>
    <row r="2605" spans="7:18" x14ac:dyDescent="0.3">
      <c r="G2605" s="85"/>
      <c r="H2605" s="86"/>
      <c r="I2605" s="86"/>
      <c r="J2605" s="87"/>
      <c r="K2605" s="85"/>
      <c r="L2605" s="85"/>
      <c r="P2605" s="85"/>
      <c r="Q2605" s="85"/>
      <c r="R2605" s="81"/>
    </row>
    <row r="2606" spans="7:18" x14ac:dyDescent="0.3">
      <c r="G2606" s="85"/>
      <c r="H2606" s="86"/>
      <c r="I2606" s="86"/>
      <c r="J2606" s="87"/>
      <c r="K2606" s="85"/>
      <c r="L2606" s="85"/>
      <c r="P2606" s="85"/>
      <c r="Q2606" s="85"/>
      <c r="R2606" s="81"/>
    </row>
    <row r="2607" spans="7:18" x14ac:dyDescent="0.3">
      <c r="G2607" s="85"/>
      <c r="H2607" s="86"/>
      <c r="I2607" s="86"/>
      <c r="J2607" s="87"/>
      <c r="K2607" s="85"/>
      <c r="L2607" s="85"/>
      <c r="P2607" s="85"/>
      <c r="Q2607" s="85"/>
      <c r="R2607" s="81"/>
    </row>
    <row r="2608" spans="7:18" x14ac:dyDescent="0.3">
      <c r="G2608" s="85"/>
      <c r="H2608" s="86"/>
      <c r="I2608" s="86"/>
      <c r="J2608" s="87"/>
      <c r="K2608" s="85"/>
      <c r="L2608" s="85"/>
      <c r="P2608" s="85"/>
      <c r="Q2608" s="85"/>
      <c r="R2608" s="81"/>
    </row>
    <row r="2609" spans="7:18" x14ac:dyDescent="0.3">
      <c r="G2609" s="85"/>
      <c r="H2609" s="86"/>
      <c r="I2609" s="86"/>
      <c r="J2609" s="87"/>
      <c r="K2609" s="85"/>
      <c r="L2609" s="85"/>
      <c r="P2609" s="85"/>
      <c r="Q2609" s="85"/>
      <c r="R2609" s="81"/>
    </row>
    <row r="2610" spans="7:18" x14ac:dyDescent="0.3">
      <c r="G2610" s="85"/>
      <c r="H2610" s="86"/>
      <c r="I2610" s="86"/>
      <c r="J2610" s="87"/>
      <c r="K2610" s="85"/>
      <c r="L2610" s="85"/>
      <c r="P2610" s="85"/>
      <c r="Q2610" s="85"/>
      <c r="R2610" s="81"/>
    </row>
    <row r="2611" spans="7:18" x14ac:dyDescent="0.3">
      <c r="G2611" s="85"/>
      <c r="H2611" s="86"/>
      <c r="I2611" s="86"/>
      <c r="J2611" s="87"/>
      <c r="K2611" s="85"/>
      <c r="L2611" s="85"/>
      <c r="P2611" s="85"/>
      <c r="Q2611" s="85"/>
      <c r="R2611" s="81"/>
    </row>
    <row r="2612" spans="7:18" x14ac:dyDescent="0.3">
      <c r="G2612" s="85"/>
      <c r="H2612" s="86"/>
      <c r="I2612" s="86"/>
      <c r="J2612" s="87"/>
      <c r="K2612" s="85"/>
      <c r="L2612" s="85"/>
      <c r="P2612" s="85"/>
      <c r="Q2612" s="85"/>
      <c r="R2612" s="81"/>
    </row>
    <row r="2613" spans="7:18" x14ac:dyDescent="0.3">
      <c r="G2613" s="85"/>
      <c r="H2613" s="86"/>
      <c r="I2613" s="86"/>
      <c r="J2613" s="87"/>
      <c r="K2613" s="85"/>
      <c r="L2613" s="85"/>
      <c r="P2613" s="85"/>
      <c r="Q2613" s="85"/>
      <c r="R2613" s="81"/>
    </row>
    <row r="2614" spans="7:18" x14ac:dyDescent="0.3">
      <c r="G2614" s="85"/>
      <c r="H2614" s="86"/>
      <c r="I2614" s="86"/>
      <c r="J2614" s="87"/>
      <c r="K2614" s="85"/>
      <c r="L2614" s="85"/>
      <c r="P2614" s="85"/>
      <c r="Q2614" s="85"/>
      <c r="R2614" s="81"/>
    </row>
    <row r="2615" spans="7:18" x14ac:dyDescent="0.3">
      <c r="G2615" s="85"/>
      <c r="H2615" s="86"/>
      <c r="I2615" s="86"/>
      <c r="J2615" s="87"/>
      <c r="K2615" s="85"/>
      <c r="L2615" s="85"/>
      <c r="P2615" s="85"/>
      <c r="Q2615" s="85"/>
      <c r="R2615" s="81"/>
    </row>
    <row r="2616" spans="7:18" x14ac:dyDescent="0.3">
      <c r="G2616" s="85"/>
      <c r="H2616" s="86"/>
      <c r="I2616" s="86"/>
      <c r="J2616" s="87"/>
      <c r="K2616" s="85"/>
      <c r="L2616" s="85"/>
      <c r="P2616" s="85"/>
      <c r="Q2616" s="85"/>
      <c r="R2616" s="81"/>
    </row>
    <row r="2617" spans="7:18" x14ac:dyDescent="0.3">
      <c r="G2617" s="85"/>
      <c r="H2617" s="86"/>
      <c r="I2617" s="86"/>
      <c r="J2617" s="87"/>
      <c r="K2617" s="85"/>
      <c r="L2617" s="85"/>
      <c r="P2617" s="85"/>
      <c r="Q2617" s="85"/>
      <c r="R2617" s="81"/>
    </row>
    <row r="2618" spans="7:18" x14ac:dyDescent="0.3">
      <c r="G2618" s="85"/>
      <c r="H2618" s="86"/>
      <c r="I2618" s="86"/>
      <c r="J2618" s="87"/>
      <c r="K2618" s="85"/>
      <c r="L2618" s="85"/>
      <c r="P2618" s="85"/>
      <c r="Q2618" s="85"/>
      <c r="R2618" s="81"/>
    </row>
    <row r="2619" spans="7:18" x14ac:dyDescent="0.3">
      <c r="G2619" s="85"/>
      <c r="H2619" s="86"/>
      <c r="I2619" s="86"/>
      <c r="J2619" s="87"/>
      <c r="K2619" s="85"/>
      <c r="L2619" s="85"/>
      <c r="P2619" s="85"/>
      <c r="Q2619" s="85"/>
      <c r="R2619" s="81"/>
    </row>
    <row r="2620" spans="7:18" x14ac:dyDescent="0.3">
      <c r="G2620" s="85"/>
      <c r="H2620" s="86"/>
      <c r="I2620" s="86"/>
      <c r="J2620" s="87"/>
      <c r="K2620" s="85"/>
      <c r="L2620" s="85"/>
      <c r="P2620" s="85"/>
      <c r="Q2620" s="85"/>
      <c r="R2620" s="81"/>
    </row>
    <row r="2621" spans="7:18" x14ac:dyDescent="0.3">
      <c r="G2621" s="85"/>
      <c r="H2621" s="86"/>
      <c r="I2621" s="86"/>
      <c r="J2621" s="87"/>
      <c r="K2621" s="85"/>
      <c r="L2621" s="85"/>
      <c r="P2621" s="85"/>
      <c r="Q2621" s="85"/>
      <c r="R2621" s="81"/>
    </row>
    <row r="2622" spans="7:18" x14ac:dyDescent="0.3">
      <c r="G2622" s="85"/>
      <c r="H2622" s="86"/>
      <c r="I2622" s="86"/>
      <c r="J2622" s="87"/>
      <c r="K2622" s="85"/>
      <c r="L2622" s="85"/>
      <c r="P2622" s="85"/>
      <c r="Q2622" s="85"/>
      <c r="R2622" s="81"/>
    </row>
    <row r="2623" spans="7:18" x14ac:dyDescent="0.3">
      <c r="G2623" s="85"/>
      <c r="H2623" s="86"/>
      <c r="I2623" s="86"/>
      <c r="J2623" s="87"/>
      <c r="K2623" s="85"/>
      <c r="L2623" s="85"/>
      <c r="P2623" s="85"/>
      <c r="Q2623" s="85"/>
      <c r="R2623" s="81"/>
    </row>
    <row r="2624" spans="7:18" x14ac:dyDescent="0.3">
      <c r="G2624" s="85"/>
      <c r="H2624" s="86"/>
      <c r="I2624" s="86"/>
      <c r="J2624" s="87"/>
      <c r="K2624" s="85"/>
      <c r="L2624" s="85"/>
      <c r="P2624" s="85"/>
      <c r="Q2624" s="85"/>
      <c r="R2624" s="81"/>
    </row>
    <row r="2625" spans="7:18" x14ac:dyDescent="0.3">
      <c r="G2625" s="85"/>
      <c r="H2625" s="86"/>
      <c r="I2625" s="86"/>
      <c r="J2625" s="87"/>
      <c r="K2625" s="85"/>
      <c r="L2625" s="85"/>
      <c r="P2625" s="85"/>
      <c r="Q2625" s="85"/>
      <c r="R2625" s="81"/>
    </row>
    <row r="2626" spans="7:18" x14ac:dyDescent="0.3">
      <c r="G2626" s="85"/>
      <c r="H2626" s="86"/>
      <c r="I2626" s="86"/>
      <c r="J2626" s="87"/>
      <c r="K2626" s="85"/>
      <c r="L2626" s="85"/>
      <c r="P2626" s="85"/>
      <c r="Q2626" s="85"/>
      <c r="R2626" s="81"/>
    </row>
    <row r="2627" spans="7:18" x14ac:dyDescent="0.3">
      <c r="G2627" s="85"/>
      <c r="H2627" s="86"/>
      <c r="I2627" s="86"/>
      <c r="J2627" s="87"/>
      <c r="K2627" s="85"/>
      <c r="L2627" s="85"/>
      <c r="P2627" s="85"/>
      <c r="Q2627" s="85"/>
      <c r="R2627" s="81"/>
    </row>
    <row r="2628" spans="7:18" x14ac:dyDescent="0.3">
      <c r="G2628" s="85"/>
      <c r="H2628" s="86"/>
      <c r="I2628" s="86"/>
      <c r="J2628" s="87"/>
      <c r="K2628" s="85"/>
      <c r="L2628" s="85"/>
      <c r="P2628" s="85"/>
      <c r="Q2628" s="85"/>
      <c r="R2628" s="81"/>
    </row>
    <row r="2629" spans="7:18" x14ac:dyDescent="0.3">
      <c r="G2629" s="85"/>
      <c r="H2629" s="86"/>
      <c r="I2629" s="86"/>
      <c r="J2629" s="87"/>
      <c r="K2629" s="85"/>
      <c r="L2629" s="85"/>
      <c r="P2629" s="85"/>
      <c r="Q2629" s="85"/>
      <c r="R2629" s="81"/>
    </row>
    <row r="2630" spans="7:18" x14ac:dyDescent="0.3">
      <c r="G2630" s="85"/>
      <c r="H2630" s="86"/>
      <c r="I2630" s="86"/>
      <c r="J2630" s="87"/>
      <c r="K2630" s="85"/>
      <c r="L2630" s="85"/>
      <c r="P2630" s="85"/>
      <c r="Q2630" s="85"/>
      <c r="R2630" s="81"/>
    </row>
    <row r="2631" spans="7:18" x14ac:dyDescent="0.3">
      <c r="G2631" s="85"/>
      <c r="H2631" s="86"/>
      <c r="I2631" s="86"/>
      <c r="J2631" s="87"/>
      <c r="K2631" s="85"/>
      <c r="L2631" s="85"/>
      <c r="P2631" s="85"/>
      <c r="Q2631" s="85"/>
      <c r="R2631" s="81"/>
    </row>
    <row r="2632" spans="7:18" x14ac:dyDescent="0.3">
      <c r="G2632" s="85"/>
      <c r="H2632" s="86"/>
      <c r="I2632" s="86"/>
      <c r="J2632" s="87"/>
      <c r="K2632" s="85"/>
      <c r="L2632" s="85"/>
      <c r="P2632" s="85"/>
      <c r="Q2632" s="85"/>
      <c r="R2632" s="81"/>
    </row>
    <row r="2633" spans="7:18" x14ac:dyDescent="0.3">
      <c r="G2633" s="85"/>
      <c r="H2633" s="86"/>
      <c r="I2633" s="86"/>
      <c r="J2633" s="87"/>
      <c r="K2633" s="85"/>
      <c r="L2633" s="85"/>
      <c r="P2633" s="85"/>
      <c r="Q2633" s="85"/>
      <c r="R2633" s="81"/>
    </row>
    <row r="2634" spans="7:18" x14ac:dyDescent="0.3">
      <c r="G2634" s="85"/>
      <c r="H2634" s="86"/>
      <c r="I2634" s="86"/>
      <c r="J2634" s="87"/>
      <c r="K2634" s="85"/>
      <c r="L2634" s="85"/>
      <c r="P2634" s="85"/>
      <c r="Q2634" s="85"/>
      <c r="R2634" s="81"/>
    </row>
    <row r="2635" spans="7:18" x14ac:dyDescent="0.3">
      <c r="G2635" s="85"/>
      <c r="H2635" s="86"/>
      <c r="I2635" s="86"/>
      <c r="J2635" s="87"/>
      <c r="K2635" s="85"/>
      <c r="L2635" s="85"/>
      <c r="P2635" s="85"/>
      <c r="Q2635" s="85"/>
      <c r="R2635" s="81"/>
    </row>
    <row r="2636" spans="7:18" x14ac:dyDescent="0.3">
      <c r="G2636" s="85"/>
      <c r="H2636" s="86"/>
      <c r="I2636" s="86"/>
      <c r="J2636" s="87"/>
      <c r="K2636" s="85"/>
      <c r="L2636" s="85"/>
      <c r="P2636" s="85"/>
      <c r="Q2636" s="85"/>
      <c r="R2636" s="81"/>
    </row>
    <row r="2637" spans="7:18" x14ac:dyDescent="0.3">
      <c r="G2637" s="85"/>
      <c r="H2637" s="86"/>
      <c r="I2637" s="86"/>
      <c r="J2637" s="87"/>
      <c r="K2637" s="85"/>
      <c r="L2637" s="85"/>
      <c r="P2637" s="85"/>
      <c r="Q2637" s="85"/>
      <c r="R2637" s="81"/>
    </row>
    <row r="2638" spans="7:18" x14ac:dyDescent="0.3">
      <c r="G2638" s="85"/>
      <c r="H2638" s="86"/>
      <c r="I2638" s="86"/>
      <c r="J2638" s="87"/>
      <c r="K2638" s="85"/>
      <c r="L2638" s="85"/>
      <c r="P2638" s="85"/>
      <c r="Q2638" s="85"/>
      <c r="R2638" s="81"/>
    </row>
    <row r="2639" spans="7:18" x14ac:dyDescent="0.3">
      <c r="G2639" s="85"/>
      <c r="H2639" s="86"/>
      <c r="I2639" s="86"/>
      <c r="J2639" s="87"/>
      <c r="K2639" s="85"/>
      <c r="L2639" s="85"/>
      <c r="P2639" s="85"/>
      <c r="Q2639" s="85"/>
      <c r="R2639" s="81"/>
    </row>
    <row r="2640" spans="7:18" x14ac:dyDescent="0.3">
      <c r="G2640" s="85"/>
      <c r="H2640" s="86"/>
      <c r="I2640" s="86"/>
      <c r="J2640" s="87"/>
      <c r="K2640" s="85"/>
      <c r="L2640" s="85"/>
      <c r="P2640" s="85"/>
      <c r="Q2640" s="85"/>
      <c r="R2640" s="81"/>
    </row>
    <row r="2641" spans="7:18" x14ac:dyDescent="0.3">
      <c r="G2641" s="85"/>
      <c r="H2641" s="86"/>
      <c r="I2641" s="86"/>
      <c r="J2641" s="87"/>
      <c r="K2641" s="85"/>
      <c r="L2641" s="85"/>
      <c r="P2641" s="85"/>
      <c r="Q2641" s="85"/>
      <c r="R2641" s="81"/>
    </row>
    <row r="2642" spans="7:18" x14ac:dyDescent="0.3">
      <c r="G2642" s="85"/>
      <c r="H2642" s="86"/>
      <c r="I2642" s="86"/>
      <c r="J2642" s="87"/>
      <c r="K2642" s="85"/>
      <c r="L2642" s="85"/>
      <c r="P2642" s="85"/>
      <c r="Q2642" s="85"/>
      <c r="R2642" s="81"/>
    </row>
    <row r="2643" spans="7:18" x14ac:dyDescent="0.3">
      <c r="G2643" s="85"/>
      <c r="H2643" s="86"/>
      <c r="I2643" s="86"/>
      <c r="J2643" s="87"/>
      <c r="K2643" s="85"/>
      <c r="L2643" s="85"/>
      <c r="P2643" s="85"/>
      <c r="Q2643" s="85"/>
      <c r="R2643" s="81"/>
    </row>
    <row r="2644" spans="7:18" x14ac:dyDescent="0.3">
      <c r="G2644" s="85"/>
      <c r="H2644" s="86"/>
      <c r="I2644" s="86"/>
      <c r="J2644" s="87"/>
      <c r="K2644" s="85"/>
      <c r="L2644" s="85"/>
      <c r="P2644" s="85"/>
      <c r="Q2644" s="85"/>
      <c r="R2644" s="81"/>
    </row>
    <row r="2645" spans="7:18" x14ac:dyDescent="0.3">
      <c r="G2645" s="85"/>
      <c r="H2645" s="86"/>
      <c r="I2645" s="86"/>
      <c r="J2645" s="87"/>
      <c r="K2645" s="85"/>
      <c r="L2645" s="85"/>
      <c r="P2645" s="85"/>
      <c r="Q2645" s="85"/>
      <c r="R2645" s="81"/>
    </row>
    <row r="2646" spans="7:18" x14ac:dyDescent="0.3">
      <c r="G2646" s="85"/>
      <c r="H2646" s="86"/>
      <c r="I2646" s="86"/>
      <c r="J2646" s="87"/>
      <c r="K2646" s="85"/>
      <c r="L2646" s="85"/>
      <c r="P2646" s="85"/>
      <c r="Q2646" s="85"/>
      <c r="R2646" s="81"/>
    </row>
    <row r="2647" spans="7:18" x14ac:dyDescent="0.3">
      <c r="G2647" s="85"/>
      <c r="H2647" s="86"/>
      <c r="I2647" s="86"/>
      <c r="J2647" s="87"/>
      <c r="K2647" s="85"/>
      <c r="L2647" s="85"/>
      <c r="P2647" s="85"/>
      <c r="Q2647" s="85"/>
      <c r="R2647" s="81"/>
    </row>
    <row r="2648" spans="7:18" x14ac:dyDescent="0.3">
      <c r="G2648" s="85"/>
      <c r="H2648" s="86"/>
      <c r="I2648" s="86"/>
      <c r="J2648" s="87"/>
      <c r="K2648" s="85"/>
      <c r="L2648" s="85"/>
      <c r="P2648" s="85"/>
      <c r="Q2648" s="85"/>
      <c r="R2648" s="81"/>
    </row>
    <row r="2649" spans="7:18" x14ac:dyDescent="0.3">
      <c r="G2649" s="85"/>
      <c r="H2649" s="86"/>
      <c r="I2649" s="86"/>
      <c r="J2649" s="87"/>
      <c r="K2649" s="85"/>
      <c r="L2649" s="85"/>
      <c r="P2649" s="85"/>
      <c r="Q2649" s="85"/>
      <c r="R2649" s="81"/>
    </row>
    <row r="2650" spans="7:18" x14ac:dyDescent="0.3">
      <c r="G2650" s="85"/>
      <c r="H2650" s="86"/>
      <c r="I2650" s="86"/>
      <c r="J2650" s="87"/>
      <c r="K2650" s="85"/>
      <c r="L2650" s="85"/>
      <c r="P2650" s="85"/>
      <c r="Q2650" s="85"/>
      <c r="R2650" s="81"/>
    </row>
    <row r="2651" spans="7:18" x14ac:dyDescent="0.3">
      <c r="G2651" s="85"/>
      <c r="H2651" s="86"/>
      <c r="I2651" s="86"/>
      <c r="J2651" s="87"/>
      <c r="K2651" s="85"/>
      <c r="L2651" s="85"/>
      <c r="P2651" s="85"/>
      <c r="Q2651" s="85"/>
      <c r="R2651" s="81"/>
    </row>
    <row r="2652" spans="7:18" x14ac:dyDescent="0.3">
      <c r="G2652" s="85"/>
      <c r="H2652" s="86"/>
      <c r="I2652" s="86"/>
      <c r="J2652" s="87"/>
      <c r="K2652" s="85"/>
      <c r="L2652" s="85"/>
      <c r="P2652" s="85"/>
      <c r="Q2652" s="85"/>
      <c r="R2652" s="81"/>
    </row>
    <row r="2653" spans="7:18" x14ac:dyDescent="0.3">
      <c r="G2653" s="85"/>
      <c r="H2653" s="86"/>
      <c r="I2653" s="86"/>
      <c r="J2653" s="87"/>
      <c r="K2653" s="85"/>
      <c r="L2653" s="85"/>
      <c r="P2653" s="85"/>
      <c r="Q2653" s="85"/>
      <c r="R2653" s="81"/>
    </row>
    <row r="2654" spans="7:18" x14ac:dyDescent="0.3">
      <c r="G2654" s="85"/>
      <c r="H2654" s="86"/>
      <c r="I2654" s="86"/>
      <c r="J2654" s="87"/>
      <c r="K2654" s="85"/>
      <c r="L2654" s="85"/>
      <c r="P2654" s="85"/>
      <c r="Q2654" s="85"/>
      <c r="R2654" s="81"/>
    </row>
    <row r="2655" spans="7:18" x14ac:dyDescent="0.3">
      <c r="G2655" s="85"/>
      <c r="H2655" s="86"/>
      <c r="I2655" s="86"/>
      <c r="J2655" s="87"/>
      <c r="K2655" s="85"/>
      <c r="L2655" s="85"/>
      <c r="P2655" s="85"/>
      <c r="Q2655" s="85"/>
      <c r="R2655" s="81"/>
    </row>
    <row r="2656" spans="7:18" x14ac:dyDescent="0.3">
      <c r="G2656" s="85"/>
      <c r="H2656" s="86"/>
      <c r="I2656" s="86"/>
      <c r="J2656" s="87"/>
      <c r="K2656" s="85"/>
      <c r="L2656" s="85"/>
      <c r="P2656" s="85"/>
      <c r="Q2656" s="85"/>
      <c r="R2656" s="81"/>
    </row>
    <row r="2657" spans="7:18" x14ac:dyDescent="0.3">
      <c r="G2657" s="85"/>
      <c r="H2657" s="86"/>
      <c r="I2657" s="86"/>
      <c r="J2657" s="87"/>
      <c r="K2657" s="85"/>
      <c r="L2657" s="85"/>
      <c r="P2657" s="85"/>
      <c r="Q2657" s="85"/>
      <c r="R2657" s="81"/>
    </row>
    <row r="2658" spans="7:18" x14ac:dyDescent="0.3">
      <c r="G2658" s="85"/>
      <c r="H2658" s="86"/>
      <c r="I2658" s="86"/>
      <c r="J2658" s="87"/>
      <c r="K2658" s="85"/>
      <c r="L2658" s="85"/>
      <c r="P2658" s="85"/>
      <c r="Q2658" s="85"/>
      <c r="R2658" s="81"/>
    </row>
    <row r="2659" spans="7:18" x14ac:dyDescent="0.3">
      <c r="G2659" s="85"/>
      <c r="H2659" s="86"/>
      <c r="I2659" s="86"/>
      <c r="J2659" s="87"/>
      <c r="K2659" s="85"/>
      <c r="L2659" s="85"/>
      <c r="P2659" s="85"/>
      <c r="Q2659" s="85"/>
      <c r="R2659" s="81"/>
    </row>
    <row r="2660" spans="7:18" x14ac:dyDescent="0.3">
      <c r="G2660" s="85"/>
      <c r="H2660" s="86"/>
      <c r="I2660" s="86"/>
      <c r="J2660" s="87"/>
      <c r="K2660" s="85"/>
      <c r="L2660" s="85"/>
      <c r="P2660" s="85"/>
      <c r="Q2660" s="85"/>
      <c r="R2660" s="81"/>
    </row>
    <row r="2661" spans="7:18" x14ac:dyDescent="0.3">
      <c r="G2661" s="85"/>
      <c r="H2661" s="86"/>
      <c r="I2661" s="86"/>
      <c r="J2661" s="87"/>
      <c r="K2661" s="85"/>
      <c r="L2661" s="85"/>
      <c r="P2661" s="85"/>
      <c r="Q2661" s="85"/>
      <c r="R2661" s="81"/>
    </row>
    <row r="2662" spans="7:18" x14ac:dyDescent="0.3">
      <c r="G2662" s="85"/>
      <c r="H2662" s="86"/>
      <c r="I2662" s="86"/>
      <c r="J2662" s="87"/>
      <c r="K2662" s="85"/>
      <c r="L2662" s="85"/>
      <c r="P2662" s="85"/>
      <c r="Q2662" s="85"/>
      <c r="R2662" s="81"/>
    </row>
    <row r="2663" spans="7:18" x14ac:dyDescent="0.3">
      <c r="G2663" s="85"/>
      <c r="H2663" s="86"/>
      <c r="I2663" s="86"/>
      <c r="J2663" s="87"/>
      <c r="K2663" s="85"/>
      <c r="L2663" s="85"/>
      <c r="P2663" s="85"/>
      <c r="Q2663" s="85"/>
      <c r="R2663" s="81"/>
    </row>
    <row r="2664" spans="7:18" x14ac:dyDescent="0.3">
      <c r="G2664" s="85"/>
      <c r="H2664" s="86"/>
      <c r="I2664" s="86"/>
      <c r="J2664" s="87"/>
      <c r="K2664" s="85"/>
      <c r="L2664" s="85"/>
      <c r="P2664" s="85"/>
      <c r="Q2664" s="85"/>
      <c r="R2664" s="81"/>
    </row>
    <row r="2665" spans="7:18" x14ac:dyDescent="0.3">
      <c r="G2665" s="85"/>
      <c r="H2665" s="86"/>
      <c r="I2665" s="86"/>
      <c r="J2665" s="87"/>
      <c r="K2665" s="85"/>
      <c r="L2665" s="85"/>
      <c r="P2665" s="85"/>
      <c r="Q2665" s="85"/>
      <c r="R2665" s="81"/>
    </row>
    <row r="2666" spans="7:18" x14ac:dyDescent="0.3">
      <c r="G2666" s="85"/>
      <c r="H2666" s="86"/>
      <c r="I2666" s="86"/>
      <c r="J2666" s="87"/>
      <c r="K2666" s="85"/>
      <c r="L2666" s="85"/>
      <c r="P2666" s="85"/>
      <c r="Q2666" s="85"/>
      <c r="R2666" s="81"/>
    </row>
    <row r="2667" spans="7:18" x14ac:dyDescent="0.3">
      <c r="G2667" s="85"/>
      <c r="H2667" s="86"/>
      <c r="I2667" s="86"/>
      <c r="J2667" s="87"/>
      <c r="K2667" s="85"/>
      <c r="L2667" s="85"/>
      <c r="P2667" s="85"/>
      <c r="Q2667" s="85"/>
      <c r="R2667" s="81"/>
    </row>
    <row r="2668" spans="7:18" x14ac:dyDescent="0.3">
      <c r="G2668" s="85"/>
      <c r="H2668" s="86"/>
      <c r="I2668" s="86"/>
      <c r="J2668" s="87"/>
      <c r="K2668" s="85"/>
      <c r="L2668" s="85"/>
      <c r="P2668" s="85"/>
      <c r="Q2668" s="85"/>
      <c r="R2668" s="81"/>
    </row>
    <row r="2669" spans="7:18" x14ac:dyDescent="0.3">
      <c r="G2669" s="85"/>
      <c r="H2669" s="86"/>
      <c r="I2669" s="86"/>
      <c r="J2669" s="87"/>
      <c r="K2669" s="85"/>
      <c r="L2669" s="85"/>
      <c r="P2669" s="85"/>
      <c r="Q2669" s="85"/>
      <c r="R2669" s="81"/>
    </row>
    <row r="2670" spans="7:18" x14ac:dyDescent="0.3">
      <c r="G2670" s="85"/>
      <c r="H2670" s="86"/>
      <c r="I2670" s="86"/>
      <c r="J2670" s="87"/>
      <c r="K2670" s="85"/>
      <c r="L2670" s="85"/>
      <c r="P2670" s="85"/>
      <c r="Q2670" s="85"/>
      <c r="R2670" s="81"/>
    </row>
    <row r="2671" spans="7:18" x14ac:dyDescent="0.3">
      <c r="G2671" s="85"/>
      <c r="H2671" s="86"/>
      <c r="I2671" s="86"/>
      <c r="J2671" s="87"/>
      <c r="K2671" s="85"/>
      <c r="L2671" s="85"/>
      <c r="P2671" s="85"/>
      <c r="Q2671" s="85"/>
      <c r="R2671" s="81"/>
    </row>
    <row r="2672" spans="7:18" x14ac:dyDescent="0.3">
      <c r="G2672" s="85"/>
      <c r="H2672" s="86"/>
      <c r="I2672" s="86"/>
      <c r="J2672" s="87"/>
      <c r="K2672" s="85"/>
      <c r="L2672" s="85"/>
      <c r="P2672" s="85"/>
      <c r="Q2672" s="85"/>
      <c r="R2672" s="81"/>
    </row>
    <row r="2673" spans="7:18" x14ac:dyDescent="0.3">
      <c r="G2673" s="85"/>
      <c r="H2673" s="86"/>
      <c r="I2673" s="86"/>
      <c r="J2673" s="87"/>
      <c r="K2673" s="85"/>
      <c r="L2673" s="85"/>
      <c r="P2673" s="85"/>
      <c r="Q2673" s="85"/>
      <c r="R2673" s="81"/>
    </row>
    <row r="2674" spans="7:18" x14ac:dyDescent="0.3">
      <c r="G2674" s="85"/>
      <c r="H2674" s="86"/>
      <c r="I2674" s="86"/>
      <c r="J2674" s="87"/>
      <c r="K2674" s="85"/>
      <c r="L2674" s="85"/>
      <c r="P2674" s="85"/>
      <c r="Q2674" s="85"/>
      <c r="R2674" s="81"/>
    </row>
    <row r="2675" spans="7:18" x14ac:dyDescent="0.3">
      <c r="G2675" s="85"/>
      <c r="H2675" s="86"/>
      <c r="I2675" s="86"/>
      <c r="J2675" s="87"/>
      <c r="K2675" s="85"/>
      <c r="L2675" s="85"/>
      <c r="P2675" s="85"/>
      <c r="Q2675" s="85"/>
      <c r="R2675" s="81"/>
    </row>
    <row r="2676" spans="7:18" x14ac:dyDescent="0.3">
      <c r="G2676" s="85"/>
      <c r="H2676" s="86"/>
      <c r="I2676" s="86"/>
      <c r="J2676" s="87"/>
      <c r="K2676" s="85"/>
      <c r="L2676" s="85"/>
      <c r="P2676" s="85"/>
      <c r="Q2676" s="85"/>
      <c r="R2676" s="81"/>
    </row>
    <row r="2677" spans="7:18" x14ac:dyDescent="0.3">
      <c r="G2677" s="85"/>
      <c r="H2677" s="86"/>
      <c r="I2677" s="86"/>
      <c r="J2677" s="87"/>
      <c r="K2677" s="85"/>
      <c r="L2677" s="85"/>
      <c r="P2677" s="85"/>
      <c r="Q2677" s="85"/>
      <c r="R2677" s="81"/>
    </row>
    <row r="2678" spans="7:18" x14ac:dyDescent="0.3">
      <c r="G2678" s="85"/>
      <c r="H2678" s="86"/>
      <c r="I2678" s="86"/>
      <c r="J2678" s="87"/>
      <c r="K2678" s="85"/>
      <c r="L2678" s="85"/>
      <c r="P2678" s="85"/>
      <c r="Q2678" s="85"/>
      <c r="R2678" s="81"/>
    </row>
    <row r="2679" spans="7:18" x14ac:dyDescent="0.3">
      <c r="G2679" s="85"/>
      <c r="H2679" s="86"/>
      <c r="I2679" s="86"/>
      <c r="J2679" s="87"/>
      <c r="K2679" s="85"/>
      <c r="L2679" s="85"/>
      <c r="P2679" s="85"/>
      <c r="Q2679" s="85"/>
      <c r="R2679" s="81"/>
    </row>
    <row r="2680" spans="7:18" x14ac:dyDescent="0.3">
      <c r="G2680" s="85"/>
      <c r="H2680" s="86"/>
      <c r="I2680" s="86"/>
      <c r="J2680" s="87"/>
      <c r="K2680" s="85"/>
      <c r="L2680" s="85"/>
      <c r="P2680" s="85"/>
      <c r="Q2680" s="85"/>
      <c r="R2680" s="81"/>
    </row>
    <row r="2681" spans="7:18" x14ac:dyDescent="0.3">
      <c r="G2681" s="85"/>
      <c r="H2681" s="86"/>
      <c r="I2681" s="86"/>
      <c r="J2681" s="87"/>
      <c r="K2681" s="85"/>
      <c r="L2681" s="85"/>
      <c r="P2681" s="85"/>
      <c r="Q2681" s="85"/>
      <c r="R2681" s="81"/>
    </row>
    <row r="2682" spans="7:18" x14ac:dyDescent="0.3">
      <c r="G2682" s="85"/>
      <c r="H2682" s="86"/>
      <c r="I2682" s="86"/>
      <c r="J2682" s="87"/>
      <c r="K2682" s="85"/>
      <c r="L2682" s="85"/>
      <c r="P2682" s="85"/>
      <c r="Q2682" s="85"/>
      <c r="R2682" s="81"/>
    </row>
    <row r="2683" spans="7:18" x14ac:dyDescent="0.3">
      <c r="G2683" s="85"/>
      <c r="H2683" s="86"/>
      <c r="I2683" s="86"/>
      <c r="J2683" s="87"/>
      <c r="K2683" s="85"/>
      <c r="L2683" s="85"/>
      <c r="P2683" s="85"/>
      <c r="Q2683" s="85"/>
      <c r="R2683" s="81"/>
    </row>
    <row r="2684" spans="7:18" x14ac:dyDescent="0.3">
      <c r="G2684" s="85"/>
      <c r="H2684" s="86"/>
      <c r="I2684" s="86"/>
      <c r="J2684" s="87"/>
      <c r="K2684" s="85"/>
      <c r="L2684" s="85"/>
      <c r="P2684" s="85"/>
      <c r="Q2684" s="85"/>
      <c r="R2684" s="81"/>
    </row>
    <row r="2685" spans="7:18" x14ac:dyDescent="0.3">
      <c r="G2685" s="85"/>
      <c r="H2685" s="86"/>
      <c r="I2685" s="86"/>
      <c r="J2685" s="87"/>
      <c r="K2685" s="85"/>
      <c r="L2685" s="85"/>
      <c r="P2685" s="85"/>
      <c r="Q2685" s="85"/>
      <c r="R2685" s="81"/>
    </row>
    <row r="2686" spans="7:18" x14ac:dyDescent="0.3">
      <c r="G2686" s="85"/>
      <c r="H2686" s="86"/>
      <c r="I2686" s="86"/>
      <c r="J2686" s="87"/>
      <c r="K2686" s="85"/>
      <c r="L2686" s="85"/>
      <c r="P2686" s="85"/>
      <c r="Q2686" s="85"/>
      <c r="R2686" s="81"/>
    </row>
    <row r="2687" spans="7:18" x14ac:dyDescent="0.3">
      <c r="G2687" s="85"/>
      <c r="H2687" s="86"/>
      <c r="I2687" s="86"/>
      <c r="J2687" s="87"/>
      <c r="K2687" s="85"/>
      <c r="L2687" s="85"/>
      <c r="P2687" s="85"/>
      <c r="Q2687" s="85"/>
      <c r="R2687" s="81"/>
    </row>
    <row r="2688" spans="7:18" x14ac:dyDescent="0.3">
      <c r="G2688" s="85"/>
      <c r="H2688" s="86"/>
      <c r="I2688" s="86"/>
      <c r="J2688" s="87"/>
      <c r="K2688" s="85"/>
      <c r="L2688" s="85"/>
      <c r="P2688" s="85"/>
      <c r="Q2688" s="85"/>
      <c r="R2688" s="81"/>
    </row>
    <row r="2689" spans="7:18" x14ac:dyDescent="0.3">
      <c r="G2689" s="85"/>
      <c r="H2689" s="86"/>
      <c r="I2689" s="86"/>
      <c r="J2689" s="87"/>
      <c r="K2689" s="85"/>
      <c r="L2689" s="85"/>
      <c r="P2689" s="85"/>
      <c r="Q2689" s="85"/>
      <c r="R2689" s="81"/>
    </row>
    <row r="2690" spans="7:18" x14ac:dyDescent="0.3">
      <c r="G2690" s="85"/>
      <c r="H2690" s="86"/>
      <c r="I2690" s="86"/>
      <c r="J2690" s="87"/>
      <c r="K2690" s="85"/>
      <c r="L2690" s="85"/>
      <c r="P2690" s="85"/>
      <c r="Q2690" s="85"/>
      <c r="R2690" s="81"/>
    </row>
    <row r="2691" spans="7:18" x14ac:dyDescent="0.3">
      <c r="G2691" s="85"/>
      <c r="H2691" s="86"/>
      <c r="I2691" s="86"/>
      <c r="J2691" s="87"/>
      <c r="K2691" s="85"/>
      <c r="L2691" s="85"/>
      <c r="P2691" s="85"/>
      <c r="Q2691" s="85"/>
      <c r="R2691" s="81"/>
    </row>
    <row r="2692" spans="7:18" x14ac:dyDescent="0.3">
      <c r="G2692" s="85"/>
      <c r="H2692" s="86"/>
      <c r="I2692" s="86"/>
      <c r="J2692" s="87"/>
      <c r="K2692" s="85"/>
      <c r="L2692" s="85"/>
      <c r="P2692" s="85"/>
      <c r="Q2692" s="85"/>
      <c r="R2692" s="81"/>
    </row>
    <row r="2693" spans="7:18" x14ac:dyDescent="0.3">
      <c r="G2693" s="85"/>
      <c r="H2693" s="86"/>
      <c r="I2693" s="86"/>
      <c r="J2693" s="87"/>
      <c r="K2693" s="85"/>
      <c r="L2693" s="85"/>
      <c r="P2693" s="85"/>
      <c r="Q2693" s="85"/>
      <c r="R2693" s="81"/>
    </row>
    <row r="2694" spans="7:18" x14ac:dyDescent="0.3">
      <c r="G2694" s="85"/>
      <c r="H2694" s="86"/>
      <c r="I2694" s="86"/>
      <c r="J2694" s="87"/>
      <c r="K2694" s="85"/>
      <c r="L2694" s="85"/>
      <c r="P2694" s="85"/>
      <c r="Q2694" s="85"/>
      <c r="R2694" s="81"/>
    </row>
    <row r="2695" spans="7:18" x14ac:dyDescent="0.3">
      <c r="G2695" s="85"/>
      <c r="H2695" s="86"/>
      <c r="I2695" s="86"/>
      <c r="J2695" s="87"/>
      <c r="K2695" s="85"/>
      <c r="L2695" s="85"/>
      <c r="P2695" s="85"/>
      <c r="Q2695" s="85"/>
      <c r="R2695" s="81"/>
    </row>
    <row r="2696" spans="7:18" x14ac:dyDescent="0.3">
      <c r="G2696" s="85"/>
      <c r="H2696" s="86"/>
      <c r="I2696" s="86"/>
      <c r="J2696" s="87"/>
      <c r="K2696" s="85"/>
      <c r="L2696" s="85"/>
      <c r="P2696" s="85"/>
      <c r="Q2696" s="85"/>
      <c r="R2696" s="81"/>
    </row>
    <row r="2697" spans="7:18" x14ac:dyDescent="0.3">
      <c r="G2697" s="85"/>
      <c r="H2697" s="86"/>
      <c r="I2697" s="86"/>
      <c r="J2697" s="87"/>
      <c r="K2697" s="85"/>
      <c r="L2697" s="85"/>
      <c r="P2697" s="85"/>
      <c r="Q2697" s="85"/>
      <c r="R2697" s="81"/>
    </row>
    <row r="2698" spans="7:18" x14ac:dyDescent="0.3">
      <c r="G2698" s="85"/>
      <c r="H2698" s="86"/>
      <c r="I2698" s="86"/>
      <c r="J2698" s="87"/>
      <c r="K2698" s="85"/>
      <c r="L2698" s="85"/>
      <c r="P2698" s="85"/>
      <c r="Q2698" s="85"/>
      <c r="R2698" s="81"/>
    </row>
    <row r="2699" spans="7:18" x14ac:dyDescent="0.3">
      <c r="G2699" s="85"/>
      <c r="H2699" s="86"/>
      <c r="I2699" s="86"/>
      <c r="J2699" s="87"/>
      <c r="K2699" s="85"/>
      <c r="L2699" s="85"/>
      <c r="P2699" s="85"/>
      <c r="Q2699" s="85"/>
      <c r="R2699" s="81"/>
    </row>
    <row r="2700" spans="7:18" x14ac:dyDescent="0.3">
      <c r="G2700" s="85"/>
      <c r="H2700" s="86"/>
      <c r="I2700" s="86"/>
      <c r="J2700" s="87"/>
      <c r="K2700" s="85"/>
      <c r="L2700" s="85"/>
      <c r="P2700" s="85"/>
      <c r="Q2700" s="85"/>
      <c r="R2700" s="81"/>
    </row>
    <row r="2701" spans="7:18" x14ac:dyDescent="0.3">
      <c r="G2701" s="85"/>
      <c r="H2701" s="86"/>
      <c r="I2701" s="86"/>
      <c r="J2701" s="87"/>
      <c r="K2701" s="85"/>
      <c r="L2701" s="85"/>
      <c r="P2701" s="85"/>
      <c r="Q2701" s="85"/>
      <c r="R2701" s="81"/>
    </row>
    <row r="2702" spans="7:18" x14ac:dyDescent="0.3">
      <c r="G2702" s="85"/>
      <c r="H2702" s="86"/>
      <c r="I2702" s="86"/>
      <c r="J2702" s="87"/>
      <c r="K2702" s="85"/>
      <c r="L2702" s="85"/>
      <c r="P2702" s="85"/>
      <c r="Q2702" s="85"/>
      <c r="R2702" s="81"/>
    </row>
    <row r="2703" spans="7:18" x14ac:dyDescent="0.3">
      <c r="G2703" s="85"/>
      <c r="H2703" s="86"/>
      <c r="I2703" s="86"/>
      <c r="J2703" s="87"/>
      <c r="K2703" s="85"/>
      <c r="L2703" s="85"/>
      <c r="P2703" s="85"/>
      <c r="Q2703" s="85"/>
      <c r="R2703" s="81"/>
    </row>
    <row r="2704" spans="7:18" x14ac:dyDescent="0.3">
      <c r="G2704" s="85"/>
      <c r="H2704" s="86"/>
      <c r="I2704" s="86"/>
      <c r="J2704" s="87"/>
      <c r="K2704" s="85"/>
      <c r="L2704" s="85"/>
      <c r="P2704" s="85"/>
      <c r="Q2704" s="85"/>
      <c r="R2704" s="81"/>
    </row>
    <row r="2705" spans="7:18" x14ac:dyDescent="0.3">
      <c r="G2705" s="85"/>
      <c r="H2705" s="86"/>
      <c r="I2705" s="86"/>
      <c r="J2705" s="87"/>
      <c r="K2705" s="85"/>
      <c r="L2705" s="85"/>
      <c r="P2705" s="85"/>
      <c r="Q2705" s="85"/>
      <c r="R2705" s="81"/>
    </row>
    <row r="2706" spans="7:18" x14ac:dyDescent="0.3">
      <c r="G2706" s="85"/>
      <c r="H2706" s="86"/>
      <c r="I2706" s="86"/>
      <c r="J2706" s="87"/>
      <c r="K2706" s="85"/>
      <c r="L2706" s="85"/>
      <c r="P2706" s="85"/>
      <c r="Q2706" s="85"/>
      <c r="R2706" s="81"/>
    </row>
    <row r="2707" spans="7:18" x14ac:dyDescent="0.3">
      <c r="G2707" s="85"/>
      <c r="H2707" s="86"/>
      <c r="I2707" s="86"/>
      <c r="J2707" s="87"/>
      <c r="K2707" s="85"/>
      <c r="L2707" s="85"/>
      <c r="P2707" s="85"/>
      <c r="Q2707" s="85"/>
      <c r="R2707" s="81"/>
    </row>
    <row r="2708" spans="7:18" x14ac:dyDescent="0.3">
      <c r="G2708" s="85"/>
      <c r="H2708" s="86"/>
      <c r="I2708" s="86"/>
      <c r="J2708" s="87"/>
      <c r="K2708" s="85"/>
      <c r="L2708" s="85"/>
      <c r="P2708" s="85"/>
      <c r="Q2708" s="85"/>
      <c r="R2708" s="81"/>
    </row>
    <row r="2709" spans="7:18" x14ac:dyDescent="0.3">
      <c r="G2709" s="85"/>
      <c r="H2709" s="86"/>
      <c r="I2709" s="86"/>
      <c r="J2709" s="87"/>
      <c r="K2709" s="85"/>
      <c r="L2709" s="85"/>
      <c r="P2709" s="85"/>
      <c r="Q2709" s="85"/>
      <c r="R2709" s="81"/>
    </row>
    <row r="2710" spans="7:18" x14ac:dyDescent="0.3">
      <c r="G2710" s="85"/>
      <c r="H2710" s="86"/>
      <c r="I2710" s="86"/>
      <c r="J2710" s="87"/>
      <c r="K2710" s="85"/>
      <c r="L2710" s="85"/>
      <c r="P2710" s="85"/>
      <c r="Q2710" s="85"/>
      <c r="R2710" s="81"/>
    </row>
    <row r="2711" spans="7:18" x14ac:dyDescent="0.3">
      <c r="G2711" s="85"/>
      <c r="H2711" s="86"/>
      <c r="I2711" s="86"/>
      <c r="J2711" s="87"/>
      <c r="K2711" s="85"/>
      <c r="L2711" s="85"/>
      <c r="P2711" s="85"/>
      <c r="Q2711" s="85"/>
      <c r="R2711" s="81"/>
    </row>
    <row r="2712" spans="7:18" x14ac:dyDescent="0.3">
      <c r="G2712" s="85"/>
      <c r="H2712" s="86"/>
      <c r="I2712" s="86"/>
      <c r="J2712" s="87"/>
      <c r="K2712" s="85"/>
      <c r="L2712" s="85"/>
      <c r="P2712" s="85"/>
      <c r="Q2712" s="85"/>
      <c r="R2712" s="81"/>
    </row>
    <row r="2713" spans="7:18" x14ac:dyDescent="0.3">
      <c r="G2713" s="85"/>
      <c r="H2713" s="86"/>
      <c r="I2713" s="86"/>
      <c r="J2713" s="87"/>
      <c r="K2713" s="85"/>
      <c r="L2713" s="85"/>
      <c r="P2713" s="85"/>
      <c r="Q2713" s="85"/>
      <c r="R2713" s="81"/>
    </row>
    <row r="2714" spans="7:18" x14ac:dyDescent="0.3">
      <c r="G2714" s="85"/>
      <c r="H2714" s="86"/>
      <c r="I2714" s="86"/>
      <c r="J2714" s="87"/>
      <c r="K2714" s="85"/>
      <c r="L2714" s="85"/>
      <c r="P2714" s="85"/>
      <c r="Q2714" s="85"/>
      <c r="R2714" s="81"/>
    </row>
    <row r="2715" spans="7:18" x14ac:dyDescent="0.3">
      <c r="G2715" s="85"/>
      <c r="H2715" s="86"/>
      <c r="I2715" s="86"/>
      <c r="J2715" s="87"/>
      <c r="K2715" s="85"/>
      <c r="L2715" s="85"/>
      <c r="P2715" s="85"/>
      <c r="Q2715" s="85"/>
      <c r="R2715" s="81"/>
    </row>
    <row r="2716" spans="7:18" x14ac:dyDescent="0.3">
      <c r="G2716" s="85"/>
      <c r="H2716" s="86"/>
      <c r="I2716" s="86"/>
      <c r="J2716" s="87"/>
      <c r="K2716" s="85"/>
      <c r="L2716" s="85"/>
      <c r="P2716" s="85"/>
      <c r="Q2716" s="85"/>
      <c r="R2716" s="81"/>
    </row>
    <row r="2717" spans="7:18" x14ac:dyDescent="0.3">
      <c r="G2717" s="85"/>
      <c r="H2717" s="86"/>
      <c r="I2717" s="86"/>
      <c r="J2717" s="87"/>
      <c r="K2717" s="85"/>
      <c r="L2717" s="85"/>
      <c r="P2717" s="85"/>
      <c r="Q2717" s="85"/>
      <c r="R2717" s="81"/>
    </row>
    <row r="2718" spans="7:18" x14ac:dyDescent="0.3">
      <c r="G2718" s="85"/>
      <c r="H2718" s="86"/>
      <c r="I2718" s="86"/>
      <c r="J2718" s="87"/>
      <c r="K2718" s="85"/>
      <c r="L2718" s="85"/>
      <c r="P2718" s="85"/>
      <c r="Q2718" s="85"/>
      <c r="R2718" s="81"/>
    </row>
    <row r="2719" spans="7:18" x14ac:dyDescent="0.3">
      <c r="G2719" s="85"/>
      <c r="H2719" s="86"/>
      <c r="I2719" s="86"/>
      <c r="J2719" s="87"/>
      <c r="K2719" s="85"/>
      <c r="L2719" s="85"/>
      <c r="P2719" s="85"/>
      <c r="Q2719" s="85"/>
      <c r="R2719" s="81"/>
    </row>
    <row r="2720" spans="7:18" x14ac:dyDescent="0.3">
      <c r="G2720" s="85"/>
      <c r="H2720" s="86"/>
      <c r="I2720" s="86"/>
      <c r="J2720" s="87"/>
      <c r="K2720" s="85"/>
      <c r="L2720" s="85"/>
      <c r="P2720" s="85"/>
      <c r="Q2720" s="85"/>
      <c r="R2720" s="81"/>
    </row>
    <row r="2721" spans="7:18" x14ac:dyDescent="0.3">
      <c r="G2721" s="85"/>
      <c r="H2721" s="86"/>
      <c r="I2721" s="86"/>
      <c r="J2721" s="87"/>
      <c r="K2721" s="85"/>
      <c r="L2721" s="85"/>
      <c r="P2721" s="85"/>
      <c r="Q2721" s="85"/>
      <c r="R2721" s="81"/>
    </row>
    <row r="2722" spans="7:18" x14ac:dyDescent="0.3">
      <c r="G2722" s="85"/>
      <c r="H2722" s="86"/>
      <c r="I2722" s="86"/>
      <c r="J2722" s="87"/>
      <c r="K2722" s="85"/>
      <c r="L2722" s="85"/>
      <c r="P2722" s="85"/>
      <c r="Q2722" s="85"/>
      <c r="R2722" s="81"/>
    </row>
    <row r="2723" spans="7:18" x14ac:dyDescent="0.3">
      <c r="G2723" s="85"/>
      <c r="H2723" s="86"/>
      <c r="I2723" s="86"/>
      <c r="J2723" s="87"/>
      <c r="K2723" s="85"/>
      <c r="L2723" s="85"/>
      <c r="P2723" s="85"/>
      <c r="Q2723" s="85"/>
      <c r="R2723" s="81"/>
    </row>
    <row r="2724" spans="7:18" x14ac:dyDescent="0.3">
      <c r="G2724" s="85"/>
      <c r="H2724" s="86"/>
      <c r="I2724" s="86"/>
      <c r="J2724" s="87"/>
      <c r="K2724" s="85"/>
      <c r="L2724" s="85"/>
      <c r="P2724" s="85"/>
      <c r="Q2724" s="85"/>
      <c r="R2724" s="81"/>
    </row>
    <row r="2725" spans="7:18" x14ac:dyDescent="0.3">
      <c r="G2725" s="85"/>
      <c r="H2725" s="86"/>
      <c r="I2725" s="86"/>
      <c r="J2725" s="87"/>
      <c r="K2725" s="85"/>
      <c r="L2725" s="85"/>
      <c r="P2725" s="85"/>
      <c r="Q2725" s="85"/>
      <c r="R2725" s="81"/>
    </row>
    <row r="2726" spans="7:18" x14ac:dyDescent="0.3">
      <c r="G2726" s="85"/>
      <c r="H2726" s="86"/>
      <c r="I2726" s="86"/>
      <c r="J2726" s="87"/>
      <c r="K2726" s="85"/>
      <c r="L2726" s="85"/>
      <c r="P2726" s="85"/>
      <c r="Q2726" s="85"/>
      <c r="R2726" s="81"/>
    </row>
    <row r="2727" spans="7:18" x14ac:dyDescent="0.3">
      <c r="G2727" s="85"/>
      <c r="H2727" s="86"/>
      <c r="I2727" s="86"/>
      <c r="J2727" s="87"/>
      <c r="K2727" s="85"/>
      <c r="L2727" s="85"/>
      <c r="P2727" s="85"/>
      <c r="Q2727" s="85"/>
      <c r="R2727" s="81"/>
    </row>
    <row r="2728" spans="7:18" x14ac:dyDescent="0.3">
      <c r="G2728" s="85"/>
      <c r="H2728" s="86"/>
      <c r="I2728" s="86"/>
      <c r="J2728" s="87"/>
      <c r="K2728" s="85"/>
      <c r="L2728" s="85"/>
      <c r="P2728" s="85"/>
      <c r="Q2728" s="85"/>
      <c r="R2728" s="81"/>
    </row>
    <row r="2729" spans="7:18" x14ac:dyDescent="0.3">
      <c r="G2729" s="85"/>
      <c r="H2729" s="86"/>
      <c r="I2729" s="86"/>
      <c r="J2729" s="87"/>
      <c r="K2729" s="85"/>
      <c r="L2729" s="85"/>
      <c r="P2729" s="85"/>
      <c r="Q2729" s="85"/>
      <c r="R2729" s="81"/>
    </row>
    <row r="2730" spans="7:18" x14ac:dyDescent="0.3">
      <c r="G2730" s="85"/>
      <c r="H2730" s="86"/>
      <c r="I2730" s="86"/>
      <c r="J2730" s="87"/>
      <c r="K2730" s="85"/>
      <c r="L2730" s="85"/>
      <c r="P2730" s="85"/>
      <c r="Q2730" s="85"/>
      <c r="R2730" s="81"/>
    </row>
    <row r="2731" spans="7:18" x14ac:dyDescent="0.3">
      <c r="G2731" s="85"/>
      <c r="H2731" s="86"/>
      <c r="I2731" s="86"/>
      <c r="J2731" s="87"/>
      <c r="K2731" s="85"/>
      <c r="L2731" s="85"/>
      <c r="P2731" s="85"/>
      <c r="Q2731" s="85"/>
      <c r="R2731" s="81"/>
    </row>
    <row r="2732" spans="7:18" x14ac:dyDescent="0.3">
      <c r="G2732" s="85"/>
      <c r="H2732" s="86"/>
      <c r="I2732" s="86"/>
      <c r="J2732" s="87"/>
      <c r="K2732" s="85"/>
      <c r="L2732" s="85"/>
      <c r="P2732" s="85"/>
      <c r="Q2732" s="85"/>
      <c r="R2732" s="81"/>
    </row>
    <row r="2733" spans="7:18" x14ac:dyDescent="0.3">
      <c r="G2733" s="85"/>
      <c r="H2733" s="86"/>
      <c r="I2733" s="86"/>
      <c r="J2733" s="87"/>
      <c r="K2733" s="85"/>
      <c r="L2733" s="85"/>
      <c r="P2733" s="85"/>
      <c r="Q2733" s="85"/>
      <c r="R2733" s="81"/>
    </row>
    <row r="2734" spans="7:18" x14ac:dyDescent="0.3">
      <c r="G2734" s="85"/>
      <c r="H2734" s="86"/>
      <c r="I2734" s="86"/>
      <c r="J2734" s="87"/>
      <c r="K2734" s="85"/>
      <c r="L2734" s="85"/>
      <c r="P2734" s="85"/>
      <c r="Q2734" s="85"/>
      <c r="R2734" s="81"/>
    </row>
    <row r="2735" spans="7:18" x14ac:dyDescent="0.3">
      <c r="G2735" s="85"/>
      <c r="H2735" s="86"/>
      <c r="I2735" s="86"/>
      <c r="J2735" s="87"/>
      <c r="K2735" s="85"/>
      <c r="L2735" s="85"/>
      <c r="P2735" s="85"/>
      <c r="Q2735" s="85"/>
      <c r="R2735" s="81"/>
    </row>
    <row r="2736" spans="7:18" x14ac:dyDescent="0.3">
      <c r="G2736" s="85"/>
      <c r="H2736" s="86"/>
      <c r="I2736" s="86"/>
      <c r="J2736" s="87"/>
      <c r="K2736" s="85"/>
      <c r="L2736" s="85"/>
      <c r="P2736" s="85"/>
      <c r="Q2736" s="85"/>
      <c r="R2736" s="81"/>
    </row>
    <row r="2737" spans="7:18" x14ac:dyDescent="0.3">
      <c r="G2737" s="85"/>
      <c r="H2737" s="86"/>
      <c r="I2737" s="86"/>
      <c r="J2737" s="87"/>
      <c r="K2737" s="85"/>
      <c r="L2737" s="85"/>
      <c r="P2737" s="85"/>
      <c r="Q2737" s="85"/>
      <c r="R2737" s="81"/>
    </row>
    <row r="2738" spans="7:18" x14ac:dyDescent="0.3">
      <c r="G2738" s="85"/>
      <c r="H2738" s="86"/>
      <c r="I2738" s="86"/>
      <c r="J2738" s="87"/>
      <c r="K2738" s="85"/>
      <c r="L2738" s="85"/>
      <c r="P2738" s="85"/>
      <c r="Q2738" s="85"/>
      <c r="R2738" s="81"/>
    </row>
    <row r="2739" spans="7:18" x14ac:dyDescent="0.3">
      <c r="G2739" s="85"/>
      <c r="H2739" s="86"/>
      <c r="I2739" s="86"/>
      <c r="J2739" s="87"/>
      <c r="K2739" s="85"/>
      <c r="L2739" s="85"/>
      <c r="P2739" s="85"/>
      <c r="Q2739" s="85"/>
      <c r="R2739" s="81"/>
    </row>
    <row r="2740" spans="7:18" x14ac:dyDescent="0.3">
      <c r="G2740" s="85"/>
      <c r="H2740" s="86"/>
      <c r="I2740" s="86"/>
      <c r="J2740" s="87"/>
      <c r="K2740" s="85"/>
      <c r="L2740" s="85"/>
      <c r="P2740" s="85"/>
      <c r="Q2740" s="85"/>
      <c r="R2740" s="81"/>
    </row>
    <row r="2741" spans="7:18" x14ac:dyDescent="0.3">
      <c r="G2741" s="85"/>
      <c r="H2741" s="86"/>
      <c r="I2741" s="86"/>
      <c r="J2741" s="87"/>
      <c r="K2741" s="85"/>
      <c r="L2741" s="85"/>
      <c r="P2741" s="85"/>
      <c r="Q2741" s="85"/>
      <c r="R2741" s="81"/>
    </row>
    <row r="2742" spans="7:18" x14ac:dyDescent="0.3">
      <c r="G2742" s="85"/>
      <c r="H2742" s="86"/>
      <c r="I2742" s="86"/>
      <c r="J2742" s="87"/>
      <c r="K2742" s="85"/>
      <c r="L2742" s="85"/>
      <c r="P2742" s="85"/>
      <c r="Q2742" s="85"/>
      <c r="R2742" s="81"/>
    </row>
    <row r="2743" spans="7:18" x14ac:dyDescent="0.3">
      <c r="G2743" s="85"/>
      <c r="H2743" s="86"/>
      <c r="I2743" s="86"/>
      <c r="J2743" s="87"/>
      <c r="K2743" s="85"/>
      <c r="L2743" s="85"/>
      <c r="P2743" s="85"/>
      <c r="Q2743" s="85"/>
      <c r="R2743" s="81"/>
    </row>
    <row r="2744" spans="7:18" x14ac:dyDescent="0.3">
      <c r="G2744" s="85"/>
      <c r="H2744" s="86"/>
      <c r="I2744" s="86"/>
      <c r="J2744" s="87"/>
      <c r="K2744" s="85"/>
      <c r="L2744" s="85"/>
      <c r="P2744" s="85"/>
      <c r="Q2744" s="85"/>
      <c r="R2744" s="81"/>
    </row>
    <row r="2745" spans="7:18" x14ac:dyDescent="0.3">
      <c r="G2745" s="85"/>
      <c r="H2745" s="86"/>
      <c r="I2745" s="86"/>
      <c r="J2745" s="87"/>
      <c r="K2745" s="85"/>
      <c r="L2745" s="85"/>
      <c r="P2745" s="85"/>
      <c r="Q2745" s="85"/>
      <c r="R2745" s="81"/>
    </row>
    <row r="2746" spans="7:18" x14ac:dyDescent="0.3">
      <c r="G2746" s="85"/>
      <c r="H2746" s="86"/>
      <c r="I2746" s="86"/>
      <c r="J2746" s="87"/>
      <c r="K2746" s="85"/>
      <c r="L2746" s="85"/>
      <c r="P2746" s="85"/>
      <c r="Q2746" s="85"/>
      <c r="R2746" s="81"/>
    </row>
    <row r="2747" spans="7:18" x14ac:dyDescent="0.3">
      <c r="G2747" s="85"/>
      <c r="H2747" s="86"/>
      <c r="I2747" s="86"/>
      <c r="J2747" s="87"/>
      <c r="K2747" s="85"/>
      <c r="L2747" s="85"/>
      <c r="P2747" s="85"/>
      <c r="Q2747" s="85"/>
      <c r="R2747" s="81"/>
    </row>
    <row r="2748" spans="7:18" x14ac:dyDescent="0.3">
      <c r="G2748" s="85"/>
      <c r="H2748" s="86"/>
      <c r="I2748" s="86"/>
      <c r="J2748" s="87"/>
      <c r="K2748" s="85"/>
      <c r="L2748" s="85"/>
      <c r="P2748" s="85"/>
      <c r="Q2748" s="85"/>
      <c r="R2748" s="81"/>
    </row>
    <row r="2749" spans="7:18" x14ac:dyDescent="0.3">
      <c r="G2749" s="85"/>
      <c r="H2749" s="86"/>
      <c r="I2749" s="86"/>
      <c r="J2749" s="87"/>
      <c r="K2749" s="85"/>
      <c r="L2749" s="85"/>
      <c r="P2749" s="85"/>
      <c r="Q2749" s="85"/>
      <c r="R2749" s="81"/>
    </row>
    <row r="2750" spans="7:18" x14ac:dyDescent="0.3">
      <c r="G2750" s="85"/>
      <c r="H2750" s="86"/>
      <c r="I2750" s="86"/>
      <c r="J2750" s="87"/>
      <c r="K2750" s="85"/>
      <c r="L2750" s="85"/>
      <c r="P2750" s="85"/>
      <c r="Q2750" s="85"/>
      <c r="R2750" s="81"/>
    </row>
    <row r="2751" spans="7:18" x14ac:dyDescent="0.3">
      <c r="G2751" s="85"/>
      <c r="H2751" s="86"/>
      <c r="I2751" s="86"/>
      <c r="J2751" s="87"/>
      <c r="K2751" s="85"/>
      <c r="L2751" s="85"/>
      <c r="P2751" s="85"/>
      <c r="Q2751" s="85"/>
      <c r="R2751" s="81"/>
    </row>
    <row r="2752" spans="7:18" x14ac:dyDescent="0.3">
      <c r="G2752" s="85"/>
      <c r="H2752" s="86"/>
      <c r="I2752" s="86"/>
      <c r="J2752" s="87"/>
      <c r="K2752" s="85"/>
      <c r="L2752" s="85"/>
      <c r="P2752" s="85"/>
      <c r="Q2752" s="85"/>
      <c r="R2752" s="81"/>
    </row>
    <row r="2753" spans="7:18" x14ac:dyDescent="0.3">
      <c r="G2753" s="85"/>
      <c r="H2753" s="86"/>
      <c r="I2753" s="86"/>
      <c r="J2753" s="87"/>
      <c r="K2753" s="85"/>
      <c r="L2753" s="85"/>
      <c r="P2753" s="85"/>
      <c r="Q2753" s="85"/>
      <c r="R2753" s="81"/>
    </row>
    <row r="2754" spans="7:18" x14ac:dyDescent="0.3">
      <c r="G2754" s="85"/>
      <c r="H2754" s="86"/>
      <c r="I2754" s="86"/>
      <c r="J2754" s="87"/>
      <c r="K2754" s="85"/>
      <c r="L2754" s="85"/>
      <c r="P2754" s="85"/>
      <c r="Q2754" s="85"/>
      <c r="R2754" s="81"/>
    </row>
    <row r="2755" spans="7:18" x14ac:dyDescent="0.3">
      <c r="G2755" s="85"/>
      <c r="H2755" s="86"/>
      <c r="I2755" s="86"/>
      <c r="J2755" s="87"/>
      <c r="K2755" s="85"/>
      <c r="L2755" s="85"/>
      <c r="P2755" s="85"/>
      <c r="Q2755" s="85"/>
      <c r="R2755" s="81"/>
    </row>
    <row r="2756" spans="7:18" x14ac:dyDescent="0.3">
      <c r="G2756" s="85"/>
      <c r="H2756" s="86"/>
      <c r="I2756" s="86"/>
      <c r="J2756" s="87"/>
      <c r="K2756" s="85"/>
      <c r="L2756" s="85"/>
      <c r="P2756" s="85"/>
      <c r="Q2756" s="85"/>
      <c r="R2756" s="81"/>
    </row>
    <row r="2757" spans="7:18" x14ac:dyDescent="0.3">
      <c r="G2757" s="85"/>
      <c r="H2757" s="86"/>
      <c r="I2757" s="86"/>
      <c r="J2757" s="87"/>
      <c r="K2757" s="85"/>
      <c r="L2757" s="85"/>
      <c r="P2757" s="85"/>
      <c r="Q2757" s="85"/>
      <c r="R2757" s="81"/>
    </row>
    <row r="2758" spans="7:18" x14ac:dyDescent="0.3">
      <c r="G2758" s="85"/>
      <c r="H2758" s="86"/>
      <c r="I2758" s="86"/>
      <c r="J2758" s="87"/>
      <c r="K2758" s="85"/>
      <c r="L2758" s="85"/>
      <c r="P2758" s="85"/>
      <c r="Q2758" s="85"/>
      <c r="R2758" s="81"/>
    </row>
    <row r="2759" spans="7:18" x14ac:dyDescent="0.3">
      <c r="G2759" s="85"/>
      <c r="H2759" s="86"/>
      <c r="I2759" s="86"/>
      <c r="J2759" s="87"/>
      <c r="K2759" s="85"/>
      <c r="L2759" s="85"/>
      <c r="P2759" s="85"/>
      <c r="Q2759" s="85"/>
      <c r="R2759" s="81"/>
    </row>
    <row r="2760" spans="7:18" x14ac:dyDescent="0.3">
      <c r="G2760" s="85"/>
      <c r="H2760" s="86"/>
      <c r="I2760" s="86"/>
      <c r="J2760" s="87"/>
      <c r="K2760" s="85"/>
      <c r="L2760" s="85"/>
      <c r="P2760" s="85"/>
      <c r="Q2760" s="85"/>
      <c r="R2760" s="81"/>
    </row>
    <row r="2761" spans="7:18" x14ac:dyDescent="0.3">
      <c r="G2761" s="85"/>
      <c r="H2761" s="86"/>
      <c r="I2761" s="86"/>
      <c r="J2761" s="87"/>
      <c r="K2761" s="85"/>
      <c r="L2761" s="85"/>
      <c r="P2761" s="85"/>
      <c r="Q2761" s="85"/>
      <c r="R2761" s="81"/>
    </row>
    <row r="2762" spans="7:18" x14ac:dyDescent="0.3">
      <c r="G2762" s="85"/>
      <c r="H2762" s="86"/>
      <c r="I2762" s="86"/>
      <c r="J2762" s="87"/>
      <c r="K2762" s="85"/>
      <c r="L2762" s="85"/>
      <c r="P2762" s="85"/>
      <c r="Q2762" s="85"/>
      <c r="R2762" s="81"/>
    </row>
    <row r="2763" spans="7:18" x14ac:dyDescent="0.3">
      <c r="G2763" s="85"/>
      <c r="H2763" s="86"/>
      <c r="I2763" s="86"/>
      <c r="J2763" s="87"/>
      <c r="K2763" s="85"/>
      <c r="L2763" s="85"/>
      <c r="P2763" s="85"/>
      <c r="Q2763" s="85"/>
      <c r="R2763" s="81"/>
    </row>
    <row r="2764" spans="7:18" x14ac:dyDescent="0.3">
      <c r="G2764" s="85"/>
      <c r="H2764" s="86"/>
      <c r="I2764" s="86"/>
      <c r="J2764" s="87"/>
      <c r="K2764" s="85"/>
      <c r="L2764" s="85"/>
      <c r="P2764" s="85"/>
      <c r="Q2764" s="85"/>
      <c r="R2764" s="81"/>
    </row>
    <row r="2765" spans="7:18" x14ac:dyDescent="0.3">
      <c r="G2765" s="85"/>
      <c r="H2765" s="86"/>
      <c r="I2765" s="86"/>
      <c r="J2765" s="87"/>
      <c r="K2765" s="85"/>
      <c r="L2765" s="85"/>
      <c r="P2765" s="85"/>
      <c r="Q2765" s="85"/>
      <c r="R2765" s="81"/>
    </row>
    <row r="2766" spans="7:18" x14ac:dyDescent="0.3">
      <c r="G2766" s="85"/>
      <c r="H2766" s="86"/>
      <c r="I2766" s="86"/>
      <c r="J2766" s="87"/>
      <c r="K2766" s="85"/>
      <c r="L2766" s="85"/>
      <c r="P2766" s="85"/>
      <c r="Q2766" s="85"/>
      <c r="R2766" s="81"/>
    </row>
    <row r="2767" spans="7:18" x14ac:dyDescent="0.3">
      <c r="G2767" s="85"/>
      <c r="H2767" s="86"/>
      <c r="I2767" s="86"/>
      <c r="J2767" s="87"/>
      <c r="K2767" s="85"/>
      <c r="L2767" s="85"/>
      <c r="P2767" s="85"/>
      <c r="Q2767" s="85"/>
      <c r="R2767" s="81"/>
    </row>
    <row r="2768" spans="7:18" x14ac:dyDescent="0.3">
      <c r="G2768" s="85"/>
      <c r="H2768" s="86"/>
      <c r="I2768" s="86"/>
      <c r="J2768" s="87"/>
      <c r="K2768" s="85"/>
      <c r="L2768" s="85"/>
      <c r="P2768" s="85"/>
      <c r="Q2768" s="85"/>
      <c r="R2768" s="81"/>
    </row>
    <row r="2769" spans="7:18" x14ac:dyDescent="0.3">
      <c r="G2769" s="85"/>
      <c r="H2769" s="86"/>
      <c r="I2769" s="86"/>
      <c r="J2769" s="87"/>
      <c r="K2769" s="85"/>
      <c r="L2769" s="85"/>
      <c r="P2769" s="85"/>
      <c r="Q2769" s="85"/>
      <c r="R2769" s="81"/>
    </row>
    <row r="2770" spans="7:18" x14ac:dyDescent="0.3">
      <c r="G2770" s="85"/>
      <c r="H2770" s="86"/>
      <c r="I2770" s="86"/>
      <c r="J2770" s="87"/>
      <c r="K2770" s="85"/>
      <c r="L2770" s="85"/>
      <c r="P2770" s="85"/>
      <c r="Q2770" s="85"/>
      <c r="R2770" s="81"/>
    </row>
    <row r="2771" spans="7:18" x14ac:dyDescent="0.3">
      <c r="G2771" s="85"/>
      <c r="H2771" s="86"/>
      <c r="I2771" s="86"/>
      <c r="J2771" s="87"/>
      <c r="K2771" s="85"/>
      <c r="L2771" s="85"/>
      <c r="P2771" s="85"/>
      <c r="Q2771" s="85"/>
      <c r="R2771" s="81"/>
    </row>
    <row r="2772" spans="7:18" x14ac:dyDescent="0.3">
      <c r="G2772" s="85"/>
      <c r="H2772" s="86"/>
      <c r="I2772" s="86"/>
      <c r="J2772" s="87"/>
      <c r="K2772" s="85"/>
      <c r="L2772" s="85"/>
      <c r="P2772" s="85"/>
      <c r="Q2772" s="85"/>
      <c r="R2772" s="81"/>
    </row>
    <row r="2773" spans="7:18" x14ac:dyDescent="0.3">
      <c r="G2773" s="85"/>
      <c r="H2773" s="86"/>
      <c r="I2773" s="86"/>
      <c r="J2773" s="87"/>
      <c r="K2773" s="85"/>
      <c r="L2773" s="85"/>
      <c r="P2773" s="85"/>
      <c r="Q2773" s="85"/>
      <c r="R2773" s="81"/>
    </row>
    <row r="2774" spans="7:18" x14ac:dyDescent="0.3">
      <c r="G2774" s="85"/>
      <c r="H2774" s="86"/>
      <c r="I2774" s="86"/>
      <c r="J2774" s="87"/>
      <c r="K2774" s="85"/>
      <c r="L2774" s="85"/>
      <c r="P2774" s="85"/>
      <c r="Q2774" s="85"/>
      <c r="R2774" s="81"/>
    </row>
    <row r="2775" spans="7:18" x14ac:dyDescent="0.3">
      <c r="G2775" s="85"/>
      <c r="H2775" s="86"/>
      <c r="I2775" s="86"/>
      <c r="J2775" s="87"/>
      <c r="K2775" s="85"/>
      <c r="L2775" s="85"/>
      <c r="P2775" s="85"/>
      <c r="Q2775" s="85"/>
      <c r="R2775" s="81"/>
    </row>
    <row r="2776" spans="7:18" x14ac:dyDescent="0.3">
      <c r="G2776" s="85"/>
      <c r="H2776" s="86"/>
      <c r="I2776" s="86"/>
      <c r="J2776" s="87"/>
      <c r="K2776" s="85"/>
      <c r="L2776" s="85"/>
      <c r="P2776" s="85"/>
      <c r="Q2776" s="85"/>
      <c r="R2776" s="81"/>
    </row>
    <row r="2777" spans="7:18" x14ac:dyDescent="0.3">
      <c r="G2777" s="85"/>
      <c r="H2777" s="86"/>
      <c r="I2777" s="86"/>
      <c r="J2777" s="87"/>
      <c r="K2777" s="85"/>
      <c r="L2777" s="85"/>
      <c r="P2777" s="85"/>
      <c r="Q2777" s="85"/>
      <c r="R2777" s="81"/>
    </row>
    <row r="2778" spans="7:18" x14ac:dyDescent="0.3">
      <c r="G2778" s="85"/>
      <c r="H2778" s="86"/>
      <c r="I2778" s="86"/>
      <c r="J2778" s="87"/>
      <c r="K2778" s="85"/>
      <c r="L2778" s="85"/>
      <c r="P2778" s="85"/>
      <c r="Q2778" s="85"/>
      <c r="R2778" s="81"/>
    </row>
    <row r="2779" spans="7:18" x14ac:dyDescent="0.3">
      <c r="G2779" s="85"/>
      <c r="H2779" s="86"/>
      <c r="I2779" s="86"/>
      <c r="J2779" s="87"/>
      <c r="K2779" s="85"/>
      <c r="L2779" s="85"/>
      <c r="P2779" s="85"/>
      <c r="Q2779" s="85"/>
      <c r="R2779" s="81"/>
    </row>
    <row r="2780" spans="7:18" x14ac:dyDescent="0.3">
      <c r="G2780" s="85"/>
      <c r="H2780" s="86"/>
      <c r="I2780" s="86"/>
      <c r="J2780" s="87"/>
      <c r="K2780" s="85"/>
      <c r="L2780" s="85"/>
      <c r="P2780" s="85"/>
      <c r="Q2780" s="85"/>
      <c r="R2780" s="81"/>
    </row>
    <row r="2781" spans="7:18" x14ac:dyDescent="0.3">
      <c r="G2781" s="85"/>
      <c r="H2781" s="86"/>
      <c r="I2781" s="86"/>
      <c r="J2781" s="87"/>
      <c r="K2781" s="85"/>
      <c r="L2781" s="85"/>
      <c r="P2781" s="85"/>
      <c r="Q2781" s="85"/>
      <c r="R2781" s="81"/>
    </row>
    <row r="2782" spans="7:18" x14ac:dyDescent="0.3">
      <c r="G2782" s="85"/>
      <c r="H2782" s="86"/>
      <c r="I2782" s="86"/>
      <c r="J2782" s="87"/>
      <c r="K2782" s="85"/>
      <c r="L2782" s="85"/>
      <c r="P2782" s="85"/>
      <c r="Q2782" s="85"/>
      <c r="R2782" s="81"/>
    </row>
    <row r="2783" spans="7:18" x14ac:dyDescent="0.3">
      <c r="G2783" s="85"/>
      <c r="H2783" s="86"/>
      <c r="I2783" s="86"/>
      <c r="J2783" s="87"/>
      <c r="K2783" s="85"/>
      <c r="L2783" s="85"/>
      <c r="P2783" s="85"/>
      <c r="Q2783" s="85"/>
      <c r="R2783" s="81"/>
    </row>
    <row r="2784" spans="7:18" x14ac:dyDescent="0.3">
      <c r="G2784" s="85"/>
      <c r="H2784" s="86"/>
      <c r="I2784" s="86"/>
      <c r="J2784" s="87"/>
      <c r="K2784" s="85"/>
      <c r="L2784" s="85"/>
      <c r="P2784" s="85"/>
      <c r="Q2784" s="85"/>
      <c r="R2784" s="81"/>
    </row>
    <row r="2785" spans="7:18" x14ac:dyDescent="0.3">
      <c r="G2785" s="85"/>
      <c r="H2785" s="86"/>
      <c r="I2785" s="86"/>
      <c r="J2785" s="87"/>
      <c r="K2785" s="85"/>
      <c r="L2785" s="85"/>
      <c r="P2785" s="85"/>
      <c r="Q2785" s="85"/>
      <c r="R2785" s="81"/>
    </row>
    <row r="2786" spans="7:18" x14ac:dyDescent="0.3">
      <c r="G2786" s="85"/>
      <c r="H2786" s="86"/>
      <c r="I2786" s="86"/>
      <c r="J2786" s="87"/>
      <c r="K2786" s="85"/>
      <c r="L2786" s="85"/>
      <c r="P2786" s="85"/>
      <c r="Q2786" s="85"/>
      <c r="R2786" s="81"/>
    </row>
    <row r="2787" spans="7:18" x14ac:dyDescent="0.3">
      <c r="G2787" s="85"/>
      <c r="H2787" s="86"/>
      <c r="I2787" s="86"/>
      <c r="J2787" s="87"/>
      <c r="K2787" s="85"/>
      <c r="L2787" s="85"/>
      <c r="P2787" s="85"/>
      <c r="Q2787" s="85"/>
      <c r="R2787" s="81"/>
    </row>
    <row r="2788" spans="7:18" x14ac:dyDescent="0.3">
      <c r="G2788" s="85"/>
      <c r="H2788" s="86"/>
      <c r="I2788" s="86"/>
      <c r="J2788" s="87"/>
      <c r="K2788" s="85"/>
      <c r="L2788" s="85"/>
      <c r="P2788" s="85"/>
      <c r="Q2788" s="85"/>
      <c r="R2788" s="81"/>
    </row>
    <row r="2789" spans="7:18" x14ac:dyDescent="0.3">
      <c r="G2789" s="85"/>
      <c r="H2789" s="86"/>
      <c r="I2789" s="86"/>
      <c r="J2789" s="87"/>
      <c r="K2789" s="85"/>
      <c r="L2789" s="85"/>
      <c r="P2789" s="85"/>
      <c r="Q2789" s="85"/>
      <c r="R2789" s="81"/>
    </row>
    <row r="2790" spans="7:18" x14ac:dyDescent="0.3">
      <c r="G2790" s="85"/>
      <c r="H2790" s="86"/>
      <c r="I2790" s="86"/>
      <c r="J2790" s="87"/>
      <c r="K2790" s="85"/>
      <c r="L2790" s="85"/>
      <c r="P2790" s="85"/>
      <c r="Q2790" s="85"/>
      <c r="R2790" s="81"/>
    </row>
    <row r="2791" spans="7:18" x14ac:dyDescent="0.3">
      <c r="G2791" s="85"/>
      <c r="H2791" s="86"/>
      <c r="I2791" s="86"/>
      <c r="J2791" s="87"/>
      <c r="K2791" s="85"/>
      <c r="L2791" s="85"/>
      <c r="P2791" s="85"/>
      <c r="Q2791" s="85"/>
      <c r="R2791" s="81"/>
    </row>
    <row r="2792" spans="7:18" x14ac:dyDescent="0.3">
      <c r="G2792" s="85"/>
      <c r="H2792" s="86"/>
      <c r="I2792" s="86"/>
      <c r="J2792" s="87"/>
      <c r="K2792" s="85"/>
      <c r="L2792" s="85"/>
      <c r="P2792" s="85"/>
      <c r="Q2792" s="85"/>
      <c r="R2792" s="81"/>
    </row>
    <row r="2793" spans="7:18" x14ac:dyDescent="0.3">
      <c r="G2793" s="85"/>
      <c r="H2793" s="86"/>
      <c r="I2793" s="86"/>
      <c r="J2793" s="87"/>
      <c r="K2793" s="85"/>
      <c r="L2793" s="85"/>
      <c r="P2793" s="85"/>
      <c r="Q2793" s="85"/>
      <c r="R2793" s="81"/>
    </row>
    <row r="2794" spans="7:18" x14ac:dyDescent="0.3">
      <c r="G2794" s="85"/>
      <c r="H2794" s="86"/>
      <c r="I2794" s="86"/>
      <c r="J2794" s="87"/>
      <c r="K2794" s="85"/>
      <c r="L2794" s="85"/>
      <c r="P2794" s="85"/>
      <c r="Q2794" s="85"/>
      <c r="R2794" s="81"/>
    </row>
    <row r="2795" spans="7:18" x14ac:dyDescent="0.3">
      <c r="G2795" s="85"/>
      <c r="H2795" s="86"/>
      <c r="I2795" s="86"/>
      <c r="J2795" s="87"/>
      <c r="K2795" s="85"/>
      <c r="L2795" s="85"/>
      <c r="P2795" s="85"/>
      <c r="Q2795" s="85"/>
      <c r="R2795" s="81"/>
    </row>
    <row r="2796" spans="7:18" x14ac:dyDescent="0.3">
      <c r="G2796" s="85"/>
      <c r="H2796" s="86"/>
      <c r="I2796" s="86"/>
      <c r="J2796" s="87"/>
      <c r="K2796" s="85"/>
      <c r="L2796" s="85"/>
      <c r="P2796" s="85"/>
      <c r="Q2796" s="85"/>
      <c r="R2796" s="81"/>
    </row>
    <row r="2797" spans="7:18" x14ac:dyDescent="0.3">
      <c r="G2797" s="85"/>
      <c r="H2797" s="86"/>
      <c r="I2797" s="86"/>
      <c r="J2797" s="87"/>
      <c r="K2797" s="85"/>
      <c r="L2797" s="85"/>
      <c r="P2797" s="85"/>
      <c r="Q2797" s="85"/>
      <c r="R2797" s="81"/>
    </row>
    <row r="2798" spans="7:18" x14ac:dyDescent="0.3">
      <c r="G2798" s="85"/>
      <c r="H2798" s="86"/>
      <c r="I2798" s="86"/>
      <c r="J2798" s="87"/>
      <c r="K2798" s="85"/>
      <c r="L2798" s="85"/>
      <c r="P2798" s="85"/>
      <c r="Q2798" s="85"/>
      <c r="R2798" s="81"/>
    </row>
    <row r="2799" spans="7:18" x14ac:dyDescent="0.3">
      <c r="G2799" s="85"/>
      <c r="H2799" s="86"/>
      <c r="I2799" s="86"/>
      <c r="J2799" s="87"/>
      <c r="K2799" s="85"/>
      <c r="L2799" s="85"/>
      <c r="P2799" s="85"/>
      <c r="Q2799" s="85"/>
      <c r="R2799" s="81"/>
    </row>
    <row r="2800" spans="7:18" x14ac:dyDescent="0.3">
      <c r="G2800" s="85"/>
      <c r="H2800" s="86"/>
      <c r="I2800" s="86"/>
      <c r="J2800" s="87"/>
      <c r="K2800" s="85"/>
      <c r="L2800" s="85"/>
      <c r="P2800" s="85"/>
      <c r="Q2800" s="85"/>
      <c r="R2800" s="81"/>
    </row>
    <row r="2801" spans="7:18" x14ac:dyDescent="0.3">
      <c r="G2801" s="85"/>
      <c r="H2801" s="86"/>
      <c r="I2801" s="86"/>
      <c r="J2801" s="87"/>
      <c r="K2801" s="85"/>
      <c r="L2801" s="85"/>
      <c r="P2801" s="85"/>
      <c r="Q2801" s="85"/>
      <c r="R2801" s="81"/>
    </row>
    <row r="2802" spans="7:18" x14ac:dyDescent="0.3">
      <c r="G2802" s="85"/>
      <c r="H2802" s="86"/>
      <c r="I2802" s="86"/>
      <c r="J2802" s="87"/>
      <c r="K2802" s="85"/>
      <c r="L2802" s="85"/>
      <c r="P2802" s="85"/>
      <c r="Q2802" s="85"/>
      <c r="R2802" s="81"/>
    </row>
    <row r="2803" spans="7:18" x14ac:dyDescent="0.3">
      <c r="G2803" s="85"/>
      <c r="H2803" s="86"/>
      <c r="I2803" s="86"/>
      <c r="J2803" s="87"/>
      <c r="K2803" s="85"/>
      <c r="L2803" s="85"/>
      <c r="P2803" s="85"/>
      <c r="Q2803" s="85"/>
      <c r="R2803" s="81"/>
    </row>
    <row r="2804" spans="7:18" x14ac:dyDescent="0.3">
      <c r="G2804" s="85"/>
      <c r="H2804" s="86"/>
      <c r="I2804" s="86"/>
      <c r="J2804" s="87"/>
      <c r="K2804" s="85"/>
      <c r="L2804" s="85"/>
      <c r="P2804" s="85"/>
      <c r="Q2804" s="85"/>
      <c r="R2804" s="81"/>
    </row>
    <row r="2805" spans="7:18" x14ac:dyDescent="0.3">
      <c r="G2805" s="85"/>
      <c r="H2805" s="86"/>
      <c r="I2805" s="86"/>
      <c r="J2805" s="87"/>
      <c r="K2805" s="85"/>
      <c r="L2805" s="85"/>
      <c r="P2805" s="85"/>
      <c r="Q2805" s="85"/>
      <c r="R2805" s="81"/>
    </row>
    <row r="2806" spans="7:18" x14ac:dyDescent="0.3">
      <c r="G2806" s="85"/>
      <c r="H2806" s="86"/>
      <c r="I2806" s="86"/>
      <c r="J2806" s="87"/>
      <c r="K2806" s="85"/>
      <c r="L2806" s="85"/>
      <c r="P2806" s="85"/>
      <c r="Q2806" s="85"/>
      <c r="R2806" s="81"/>
    </row>
    <row r="2807" spans="7:18" x14ac:dyDescent="0.3">
      <c r="G2807" s="85"/>
      <c r="H2807" s="86"/>
      <c r="I2807" s="86"/>
      <c r="J2807" s="87"/>
      <c r="K2807" s="85"/>
      <c r="L2807" s="85"/>
      <c r="P2807" s="85"/>
      <c r="Q2807" s="85"/>
      <c r="R2807" s="81"/>
    </row>
    <row r="2808" spans="7:18" x14ac:dyDescent="0.3">
      <c r="G2808" s="85"/>
      <c r="H2808" s="86"/>
      <c r="I2808" s="86"/>
      <c r="J2808" s="87"/>
      <c r="K2808" s="85"/>
      <c r="L2808" s="85"/>
      <c r="P2808" s="85"/>
      <c r="Q2808" s="85"/>
      <c r="R2808" s="81"/>
    </row>
    <row r="2809" spans="7:18" x14ac:dyDescent="0.3">
      <c r="G2809" s="85"/>
      <c r="H2809" s="86"/>
      <c r="I2809" s="86"/>
      <c r="J2809" s="87"/>
      <c r="K2809" s="85"/>
      <c r="L2809" s="85"/>
      <c r="P2809" s="85"/>
      <c r="Q2809" s="85"/>
      <c r="R2809" s="81"/>
    </row>
    <row r="2810" spans="7:18" x14ac:dyDescent="0.3">
      <c r="G2810" s="85"/>
      <c r="H2810" s="86"/>
      <c r="I2810" s="86"/>
      <c r="J2810" s="87"/>
      <c r="K2810" s="85"/>
      <c r="L2810" s="85"/>
      <c r="P2810" s="85"/>
      <c r="Q2810" s="85"/>
      <c r="R2810" s="81"/>
    </row>
    <row r="2811" spans="7:18" x14ac:dyDescent="0.3">
      <c r="G2811" s="85"/>
      <c r="H2811" s="86"/>
      <c r="I2811" s="86"/>
      <c r="J2811" s="87"/>
      <c r="K2811" s="85"/>
      <c r="L2811" s="85"/>
      <c r="P2811" s="85"/>
      <c r="Q2811" s="85"/>
      <c r="R2811" s="81"/>
    </row>
    <row r="2812" spans="7:18" x14ac:dyDescent="0.3">
      <c r="G2812" s="85"/>
      <c r="H2812" s="86"/>
      <c r="I2812" s="86"/>
      <c r="J2812" s="87"/>
      <c r="K2812" s="85"/>
      <c r="L2812" s="85"/>
      <c r="P2812" s="85"/>
      <c r="Q2812" s="85"/>
      <c r="R2812" s="81"/>
    </row>
    <row r="2813" spans="7:18" x14ac:dyDescent="0.3">
      <c r="G2813" s="85"/>
      <c r="H2813" s="86"/>
      <c r="I2813" s="86"/>
      <c r="J2813" s="87"/>
      <c r="K2813" s="85"/>
      <c r="L2813" s="85"/>
      <c r="P2813" s="85"/>
      <c r="Q2813" s="85"/>
      <c r="R2813" s="81"/>
    </row>
    <row r="2814" spans="7:18" x14ac:dyDescent="0.3">
      <c r="G2814" s="85"/>
      <c r="H2814" s="86"/>
      <c r="I2814" s="86"/>
      <c r="J2814" s="87"/>
      <c r="K2814" s="85"/>
      <c r="L2814" s="85"/>
      <c r="P2814" s="85"/>
      <c r="Q2814" s="85"/>
      <c r="R2814" s="81"/>
    </row>
    <row r="2815" spans="7:18" x14ac:dyDescent="0.3">
      <c r="G2815" s="85"/>
      <c r="H2815" s="86"/>
      <c r="I2815" s="86"/>
      <c r="J2815" s="87"/>
      <c r="K2815" s="85"/>
      <c r="L2815" s="85"/>
      <c r="P2815" s="85"/>
      <c r="Q2815" s="85"/>
      <c r="R2815" s="81"/>
    </row>
    <row r="2816" spans="7:18" x14ac:dyDescent="0.3">
      <c r="G2816" s="85"/>
      <c r="H2816" s="86"/>
      <c r="I2816" s="86"/>
      <c r="J2816" s="87"/>
      <c r="K2816" s="85"/>
      <c r="L2816" s="85"/>
      <c r="P2816" s="85"/>
      <c r="Q2816" s="85"/>
      <c r="R2816" s="81"/>
    </row>
    <row r="2817" spans="7:18" x14ac:dyDescent="0.3">
      <c r="G2817" s="85"/>
      <c r="H2817" s="86"/>
      <c r="I2817" s="86"/>
      <c r="J2817" s="87"/>
      <c r="K2817" s="85"/>
      <c r="L2817" s="85"/>
      <c r="P2817" s="85"/>
      <c r="Q2817" s="85"/>
      <c r="R2817" s="81"/>
    </row>
    <row r="2818" spans="7:18" x14ac:dyDescent="0.3">
      <c r="G2818" s="85"/>
      <c r="H2818" s="86"/>
      <c r="I2818" s="86"/>
      <c r="J2818" s="87"/>
      <c r="K2818" s="85"/>
      <c r="L2818" s="85"/>
      <c r="P2818" s="85"/>
      <c r="Q2818" s="85"/>
      <c r="R2818" s="81"/>
    </row>
    <row r="2819" spans="7:18" x14ac:dyDescent="0.3">
      <c r="G2819" s="85"/>
      <c r="H2819" s="86"/>
      <c r="I2819" s="86"/>
      <c r="J2819" s="87"/>
      <c r="K2819" s="85"/>
      <c r="L2819" s="85"/>
      <c r="P2819" s="85"/>
      <c r="Q2819" s="85"/>
      <c r="R2819" s="81"/>
    </row>
    <row r="2820" spans="7:18" x14ac:dyDescent="0.3">
      <c r="G2820" s="85"/>
      <c r="H2820" s="86"/>
      <c r="I2820" s="86"/>
      <c r="J2820" s="87"/>
      <c r="K2820" s="85"/>
      <c r="L2820" s="85"/>
      <c r="P2820" s="85"/>
      <c r="Q2820" s="85"/>
      <c r="R2820" s="81"/>
    </row>
    <row r="2821" spans="7:18" x14ac:dyDescent="0.3">
      <c r="G2821" s="85"/>
      <c r="H2821" s="86"/>
      <c r="I2821" s="86"/>
      <c r="J2821" s="87"/>
      <c r="K2821" s="85"/>
      <c r="L2821" s="85"/>
      <c r="P2821" s="85"/>
      <c r="Q2821" s="85"/>
      <c r="R2821" s="81"/>
    </row>
    <row r="2822" spans="7:18" x14ac:dyDescent="0.3">
      <c r="G2822" s="85"/>
      <c r="H2822" s="86"/>
      <c r="I2822" s="86"/>
      <c r="J2822" s="87"/>
      <c r="K2822" s="85"/>
      <c r="L2822" s="85"/>
      <c r="P2822" s="85"/>
      <c r="Q2822" s="85"/>
      <c r="R2822" s="81"/>
    </row>
    <row r="2823" spans="7:18" x14ac:dyDescent="0.3">
      <c r="G2823" s="85"/>
      <c r="H2823" s="86"/>
      <c r="I2823" s="86"/>
      <c r="J2823" s="87"/>
      <c r="K2823" s="85"/>
      <c r="L2823" s="85"/>
      <c r="P2823" s="85"/>
      <c r="Q2823" s="85"/>
      <c r="R2823" s="81"/>
    </row>
    <row r="2824" spans="7:18" x14ac:dyDescent="0.3">
      <c r="G2824" s="85"/>
      <c r="H2824" s="86"/>
      <c r="I2824" s="86"/>
      <c r="J2824" s="87"/>
      <c r="K2824" s="85"/>
      <c r="L2824" s="85"/>
      <c r="P2824" s="85"/>
      <c r="Q2824" s="85"/>
      <c r="R2824" s="81"/>
    </row>
    <row r="2825" spans="7:18" x14ac:dyDescent="0.3">
      <c r="G2825" s="85"/>
      <c r="H2825" s="86"/>
      <c r="I2825" s="86"/>
      <c r="J2825" s="87"/>
      <c r="K2825" s="85"/>
      <c r="L2825" s="85"/>
      <c r="P2825" s="85"/>
      <c r="Q2825" s="85"/>
      <c r="R2825" s="81"/>
    </row>
    <row r="2826" spans="7:18" x14ac:dyDescent="0.3">
      <c r="G2826" s="85"/>
      <c r="H2826" s="86"/>
      <c r="I2826" s="86"/>
      <c r="J2826" s="87"/>
      <c r="K2826" s="85"/>
      <c r="L2826" s="85"/>
      <c r="P2826" s="85"/>
      <c r="Q2826" s="85"/>
      <c r="R2826" s="81"/>
    </row>
    <row r="2827" spans="7:18" x14ac:dyDescent="0.3">
      <c r="G2827" s="85"/>
      <c r="H2827" s="86"/>
      <c r="I2827" s="86"/>
      <c r="J2827" s="87"/>
      <c r="K2827" s="85"/>
      <c r="L2827" s="85"/>
      <c r="P2827" s="85"/>
      <c r="Q2827" s="85"/>
      <c r="R2827" s="81"/>
    </row>
    <row r="2828" spans="7:18" x14ac:dyDescent="0.3">
      <c r="G2828" s="85"/>
      <c r="H2828" s="86"/>
      <c r="I2828" s="86"/>
      <c r="J2828" s="87"/>
      <c r="K2828" s="85"/>
      <c r="L2828" s="85"/>
      <c r="P2828" s="85"/>
      <c r="Q2828" s="85"/>
      <c r="R2828" s="81"/>
    </row>
    <row r="2829" spans="7:18" x14ac:dyDescent="0.3">
      <c r="G2829" s="85"/>
      <c r="H2829" s="86"/>
      <c r="I2829" s="86"/>
      <c r="J2829" s="87"/>
      <c r="K2829" s="85"/>
      <c r="L2829" s="85"/>
      <c r="P2829" s="85"/>
      <c r="Q2829" s="85"/>
      <c r="R2829" s="81"/>
    </row>
    <row r="2830" spans="7:18" x14ac:dyDescent="0.3">
      <c r="G2830" s="85"/>
      <c r="H2830" s="86"/>
      <c r="I2830" s="86"/>
      <c r="J2830" s="87"/>
      <c r="K2830" s="85"/>
      <c r="L2830" s="85"/>
      <c r="P2830" s="85"/>
      <c r="Q2830" s="85"/>
      <c r="R2830" s="81"/>
    </row>
    <row r="2831" spans="7:18" x14ac:dyDescent="0.3">
      <c r="G2831" s="85"/>
      <c r="H2831" s="86"/>
      <c r="I2831" s="86"/>
      <c r="J2831" s="87"/>
      <c r="K2831" s="85"/>
      <c r="L2831" s="85"/>
      <c r="P2831" s="85"/>
      <c r="Q2831" s="85"/>
      <c r="R2831" s="81"/>
    </row>
    <row r="2832" spans="7:18" x14ac:dyDescent="0.3">
      <c r="G2832" s="85"/>
      <c r="H2832" s="86"/>
      <c r="I2832" s="86"/>
      <c r="J2832" s="87"/>
      <c r="K2832" s="85"/>
      <c r="L2832" s="85"/>
      <c r="P2832" s="85"/>
      <c r="Q2832" s="85"/>
      <c r="R2832" s="81"/>
    </row>
    <row r="2833" spans="7:18" x14ac:dyDescent="0.3">
      <c r="G2833" s="85"/>
      <c r="H2833" s="86"/>
      <c r="I2833" s="86"/>
      <c r="J2833" s="87"/>
      <c r="K2833" s="85"/>
      <c r="L2833" s="85"/>
      <c r="P2833" s="85"/>
      <c r="Q2833" s="85"/>
      <c r="R2833" s="81"/>
    </row>
    <row r="2834" spans="7:18" x14ac:dyDescent="0.3">
      <c r="G2834" s="85"/>
      <c r="H2834" s="86"/>
      <c r="I2834" s="86"/>
      <c r="J2834" s="87"/>
      <c r="K2834" s="85"/>
      <c r="L2834" s="85"/>
      <c r="P2834" s="85"/>
      <c r="Q2834" s="85"/>
      <c r="R2834" s="81"/>
    </row>
    <row r="2835" spans="7:18" x14ac:dyDescent="0.3">
      <c r="G2835" s="85"/>
      <c r="H2835" s="86"/>
      <c r="I2835" s="86"/>
      <c r="J2835" s="87"/>
      <c r="K2835" s="85"/>
      <c r="L2835" s="85"/>
      <c r="P2835" s="85"/>
      <c r="Q2835" s="85"/>
      <c r="R2835" s="81"/>
    </row>
    <row r="2836" spans="7:18" x14ac:dyDescent="0.3">
      <c r="G2836" s="85"/>
      <c r="H2836" s="86"/>
      <c r="I2836" s="86"/>
      <c r="J2836" s="87"/>
      <c r="K2836" s="85"/>
      <c r="L2836" s="85"/>
      <c r="P2836" s="85"/>
      <c r="Q2836" s="85"/>
      <c r="R2836" s="81"/>
    </row>
    <row r="2837" spans="7:18" x14ac:dyDescent="0.3">
      <c r="G2837" s="85"/>
      <c r="H2837" s="86"/>
      <c r="I2837" s="86"/>
      <c r="J2837" s="87"/>
      <c r="K2837" s="85"/>
      <c r="L2837" s="85"/>
      <c r="P2837" s="85"/>
      <c r="Q2837" s="85"/>
      <c r="R2837" s="81"/>
    </row>
    <row r="2838" spans="7:18" x14ac:dyDescent="0.3">
      <c r="G2838" s="85"/>
      <c r="H2838" s="86"/>
      <c r="I2838" s="86"/>
      <c r="J2838" s="87"/>
      <c r="K2838" s="85"/>
      <c r="L2838" s="85"/>
      <c r="P2838" s="85"/>
      <c r="Q2838" s="85"/>
      <c r="R2838" s="81"/>
    </row>
    <row r="2839" spans="7:18" x14ac:dyDescent="0.3">
      <c r="G2839" s="85"/>
      <c r="H2839" s="86"/>
      <c r="I2839" s="86"/>
      <c r="J2839" s="87"/>
      <c r="K2839" s="85"/>
      <c r="L2839" s="85"/>
      <c r="P2839" s="85"/>
      <c r="Q2839" s="85"/>
      <c r="R2839" s="81"/>
    </row>
    <row r="2840" spans="7:18" x14ac:dyDescent="0.3">
      <c r="G2840" s="85"/>
      <c r="H2840" s="86"/>
      <c r="I2840" s="86"/>
      <c r="J2840" s="87"/>
      <c r="K2840" s="85"/>
      <c r="L2840" s="85"/>
      <c r="P2840" s="85"/>
      <c r="Q2840" s="85"/>
      <c r="R2840" s="81"/>
    </row>
    <row r="2841" spans="7:18" x14ac:dyDescent="0.3">
      <c r="G2841" s="85"/>
      <c r="H2841" s="86"/>
      <c r="I2841" s="86"/>
      <c r="J2841" s="87"/>
      <c r="K2841" s="85"/>
      <c r="L2841" s="85"/>
      <c r="P2841" s="85"/>
      <c r="Q2841" s="85"/>
      <c r="R2841" s="81"/>
    </row>
    <row r="2842" spans="7:18" x14ac:dyDescent="0.3">
      <c r="G2842" s="85"/>
      <c r="H2842" s="86"/>
      <c r="I2842" s="86"/>
      <c r="J2842" s="87"/>
      <c r="K2842" s="85"/>
      <c r="L2842" s="85"/>
      <c r="P2842" s="85"/>
      <c r="Q2842" s="85"/>
      <c r="R2842" s="81"/>
    </row>
    <row r="2843" spans="7:18" x14ac:dyDescent="0.3">
      <c r="G2843" s="85"/>
      <c r="H2843" s="86"/>
      <c r="I2843" s="86"/>
      <c r="J2843" s="87"/>
      <c r="K2843" s="85"/>
      <c r="L2843" s="85"/>
      <c r="P2843" s="85"/>
      <c r="Q2843" s="85"/>
      <c r="R2843" s="81"/>
    </row>
    <row r="2844" spans="7:18" x14ac:dyDescent="0.3">
      <c r="G2844" s="85"/>
      <c r="H2844" s="86"/>
      <c r="I2844" s="86"/>
      <c r="J2844" s="87"/>
      <c r="K2844" s="85"/>
      <c r="L2844" s="85"/>
      <c r="P2844" s="85"/>
      <c r="Q2844" s="85"/>
      <c r="R2844" s="81"/>
    </row>
    <row r="2845" spans="7:18" x14ac:dyDescent="0.3">
      <c r="G2845" s="85"/>
      <c r="H2845" s="86"/>
      <c r="I2845" s="86"/>
      <c r="J2845" s="87"/>
      <c r="K2845" s="85"/>
      <c r="L2845" s="85"/>
      <c r="P2845" s="85"/>
      <c r="Q2845" s="85"/>
      <c r="R2845" s="81"/>
    </row>
    <row r="2846" spans="7:18" x14ac:dyDescent="0.3">
      <c r="G2846" s="85"/>
      <c r="H2846" s="86"/>
      <c r="I2846" s="86"/>
      <c r="J2846" s="87"/>
      <c r="K2846" s="85"/>
      <c r="L2846" s="85"/>
      <c r="P2846" s="85"/>
      <c r="Q2846" s="85"/>
      <c r="R2846" s="81"/>
    </row>
    <row r="2847" spans="7:18" x14ac:dyDescent="0.3">
      <c r="G2847" s="85"/>
      <c r="H2847" s="86"/>
      <c r="I2847" s="86"/>
      <c r="J2847" s="87"/>
      <c r="K2847" s="85"/>
      <c r="L2847" s="85"/>
      <c r="P2847" s="85"/>
      <c r="Q2847" s="85"/>
      <c r="R2847" s="81"/>
    </row>
    <row r="2848" spans="7:18" x14ac:dyDescent="0.3">
      <c r="G2848" s="85"/>
      <c r="H2848" s="86"/>
      <c r="I2848" s="86"/>
      <c r="J2848" s="87"/>
      <c r="K2848" s="85"/>
      <c r="L2848" s="85"/>
      <c r="P2848" s="85"/>
      <c r="Q2848" s="85"/>
      <c r="R2848" s="81"/>
    </row>
    <row r="2849" spans="7:18" x14ac:dyDescent="0.3">
      <c r="G2849" s="85"/>
      <c r="H2849" s="86"/>
      <c r="I2849" s="86"/>
      <c r="J2849" s="87"/>
      <c r="K2849" s="85"/>
      <c r="L2849" s="85"/>
      <c r="P2849" s="85"/>
      <c r="Q2849" s="85"/>
      <c r="R2849" s="81"/>
    </row>
    <row r="2850" spans="7:18" x14ac:dyDescent="0.3">
      <c r="G2850" s="85"/>
      <c r="H2850" s="86"/>
      <c r="I2850" s="86"/>
      <c r="J2850" s="87"/>
      <c r="K2850" s="85"/>
      <c r="L2850" s="85"/>
      <c r="P2850" s="85"/>
      <c r="Q2850" s="85"/>
      <c r="R2850" s="81"/>
    </row>
    <row r="2851" spans="7:18" x14ac:dyDescent="0.3">
      <c r="G2851" s="85"/>
      <c r="H2851" s="86"/>
      <c r="I2851" s="86"/>
      <c r="J2851" s="87"/>
      <c r="K2851" s="85"/>
      <c r="L2851" s="85"/>
      <c r="P2851" s="85"/>
      <c r="Q2851" s="85"/>
      <c r="R2851" s="81"/>
    </row>
    <row r="2852" spans="7:18" x14ac:dyDescent="0.3">
      <c r="G2852" s="85"/>
      <c r="H2852" s="86"/>
      <c r="I2852" s="86"/>
      <c r="J2852" s="87"/>
      <c r="K2852" s="85"/>
      <c r="L2852" s="85"/>
      <c r="P2852" s="85"/>
      <c r="Q2852" s="85"/>
      <c r="R2852" s="81"/>
    </row>
    <row r="2853" spans="7:18" x14ac:dyDescent="0.3">
      <c r="G2853" s="85"/>
      <c r="H2853" s="86"/>
      <c r="I2853" s="86"/>
      <c r="J2853" s="87"/>
      <c r="K2853" s="85"/>
      <c r="L2853" s="85"/>
      <c r="P2853" s="85"/>
      <c r="Q2853" s="85"/>
      <c r="R2853" s="81"/>
    </row>
    <row r="2854" spans="7:18" x14ac:dyDescent="0.3">
      <c r="G2854" s="85"/>
      <c r="H2854" s="86"/>
      <c r="I2854" s="86"/>
      <c r="J2854" s="87"/>
      <c r="K2854" s="85"/>
      <c r="L2854" s="85"/>
      <c r="P2854" s="85"/>
      <c r="Q2854" s="85"/>
      <c r="R2854" s="81"/>
    </row>
    <row r="2855" spans="7:18" x14ac:dyDescent="0.3">
      <c r="G2855" s="85"/>
      <c r="H2855" s="86"/>
      <c r="I2855" s="86"/>
      <c r="J2855" s="87"/>
      <c r="K2855" s="85"/>
      <c r="L2855" s="85"/>
      <c r="P2855" s="85"/>
      <c r="Q2855" s="85"/>
      <c r="R2855" s="81"/>
    </row>
    <row r="2856" spans="7:18" x14ac:dyDescent="0.3">
      <c r="G2856" s="85"/>
      <c r="H2856" s="86"/>
      <c r="I2856" s="86"/>
      <c r="J2856" s="87"/>
      <c r="K2856" s="85"/>
      <c r="L2856" s="85"/>
      <c r="P2856" s="85"/>
      <c r="Q2856" s="85"/>
      <c r="R2856" s="81"/>
    </row>
    <row r="2857" spans="7:18" x14ac:dyDescent="0.3">
      <c r="G2857" s="85"/>
      <c r="H2857" s="86"/>
      <c r="I2857" s="86"/>
      <c r="J2857" s="87"/>
      <c r="K2857" s="85"/>
      <c r="L2857" s="85"/>
      <c r="P2857" s="85"/>
      <c r="Q2857" s="85"/>
      <c r="R2857" s="81"/>
    </row>
    <row r="2858" spans="7:18" x14ac:dyDescent="0.3">
      <c r="G2858" s="85"/>
      <c r="H2858" s="86"/>
      <c r="I2858" s="86"/>
      <c r="J2858" s="87"/>
      <c r="K2858" s="85"/>
      <c r="L2858" s="85"/>
      <c r="P2858" s="85"/>
      <c r="Q2858" s="85"/>
      <c r="R2858" s="81"/>
    </row>
    <row r="2859" spans="7:18" x14ac:dyDescent="0.3">
      <c r="G2859" s="85"/>
      <c r="H2859" s="86"/>
      <c r="I2859" s="86"/>
      <c r="J2859" s="87"/>
      <c r="K2859" s="85"/>
      <c r="L2859" s="85"/>
      <c r="P2859" s="85"/>
      <c r="Q2859" s="85"/>
      <c r="R2859" s="81"/>
    </row>
    <row r="2860" spans="7:18" x14ac:dyDescent="0.3">
      <c r="G2860" s="85"/>
      <c r="H2860" s="86"/>
      <c r="I2860" s="86"/>
      <c r="J2860" s="87"/>
      <c r="K2860" s="85"/>
      <c r="L2860" s="85"/>
      <c r="P2860" s="85"/>
      <c r="Q2860" s="85"/>
      <c r="R2860" s="81"/>
    </row>
    <row r="2861" spans="7:18" x14ac:dyDescent="0.3">
      <c r="G2861" s="85"/>
      <c r="H2861" s="86"/>
      <c r="I2861" s="86"/>
      <c r="J2861" s="87"/>
      <c r="K2861" s="85"/>
      <c r="L2861" s="85"/>
      <c r="P2861" s="85"/>
      <c r="Q2861" s="85"/>
      <c r="R2861" s="81"/>
    </row>
    <row r="2862" spans="7:18" x14ac:dyDescent="0.3">
      <c r="G2862" s="85"/>
      <c r="H2862" s="86"/>
      <c r="I2862" s="86"/>
      <c r="J2862" s="87"/>
      <c r="K2862" s="85"/>
      <c r="L2862" s="85"/>
      <c r="P2862" s="85"/>
      <c r="Q2862" s="85"/>
      <c r="R2862" s="81"/>
    </row>
    <row r="2863" spans="7:18" x14ac:dyDescent="0.3">
      <c r="G2863" s="85"/>
      <c r="H2863" s="86"/>
      <c r="I2863" s="86"/>
      <c r="J2863" s="87"/>
      <c r="K2863" s="85"/>
      <c r="L2863" s="85"/>
      <c r="P2863" s="85"/>
      <c r="Q2863" s="85"/>
      <c r="R2863" s="81"/>
    </row>
    <row r="2864" spans="7:18" x14ac:dyDescent="0.3">
      <c r="G2864" s="85"/>
      <c r="H2864" s="86"/>
      <c r="I2864" s="86"/>
      <c r="J2864" s="87"/>
      <c r="K2864" s="85"/>
      <c r="L2864" s="85"/>
      <c r="P2864" s="85"/>
      <c r="Q2864" s="85"/>
      <c r="R2864" s="81"/>
    </row>
    <row r="2865" spans="7:18" x14ac:dyDescent="0.3">
      <c r="G2865" s="85"/>
      <c r="H2865" s="86"/>
      <c r="I2865" s="86"/>
      <c r="J2865" s="87"/>
      <c r="K2865" s="85"/>
      <c r="L2865" s="85"/>
      <c r="P2865" s="85"/>
      <c r="Q2865" s="85"/>
      <c r="R2865" s="81"/>
    </row>
    <row r="2866" spans="7:18" x14ac:dyDescent="0.3">
      <c r="G2866" s="85"/>
      <c r="H2866" s="86"/>
      <c r="I2866" s="86"/>
      <c r="J2866" s="87"/>
      <c r="K2866" s="85"/>
      <c r="L2866" s="85"/>
      <c r="P2866" s="85"/>
      <c r="Q2866" s="85"/>
      <c r="R2866" s="81"/>
    </row>
    <row r="2867" spans="7:18" x14ac:dyDescent="0.3">
      <c r="G2867" s="85"/>
      <c r="H2867" s="86"/>
      <c r="I2867" s="86"/>
      <c r="J2867" s="87"/>
      <c r="K2867" s="85"/>
      <c r="L2867" s="85"/>
      <c r="P2867" s="85"/>
      <c r="Q2867" s="85"/>
      <c r="R2867" s="81"/>
    </row>
    <row r="2868" spans="7:18" x14ac:dyDescent="0.3">
      <c r="G2868" s="85"/>
      <c r="H2868" s="86"/>
      <c r="I2868" s="86"/>
      <c r="J2868" s="87"/>
      <c r="K2868" s="85"/>
      <c r="L2868" s="85"/>
      <c r="P2868" s="85"/>
      <c r="Q2868" s="85"/>
      <c r="R2868" s="81"/>
    </row>
    <row r="2869" spans="7:18" x14ac:dyDescent="0.3">
      <c r="G2869" s="85"/>
      <c r="H2869" s="86"/>
      <c r="I2869" s="86"/>
      <c r="J2869" s="87"/>
      <c r="K2869" s="85"/>
      <c r="L2869" s="85"/>
      <c r="P2869" s="85"/>
      <c r="Q2869" s="85"/>
      <c r="R2869" s="81"/>
    </row>
    <row r="2870" spans="7:18" x14ac:dyDescent="0.3">
      <c r="G2870" s="85"/>
      <c r="H2870" s="86"/>
      <c r="I2870" s="86"/>
      <c r="J2870" s="87"/>
      <c r="K2870" s="85"/>
      <c r="L2870" s="85"/>
      <c r="P2870" s="85"/>
      <c r="Q2870" s="85"/>
      <c r="R2870" s="81"/>
    </row>
    <row r="2871" spans="7:18" x14ac:dyDescent="0.3">
      <c r="G2871" s="85"/>
      <c r="H2871" s="86"/>
      <c r="I2871" s="86"/>
      <c r="J2871" s="87"/>
      <c r="K2871" s="85"/>
      <c r="L2871" s="85"/>
      <c r="P2871" s="85"/>
      <c r="Q2871" s="85"/>
      <c r="R2871" s="81"/>
    </row>
    <row r="2872" spans="7:18" x14ac:dyDescent="0.3">
      <c r="G2872" s="85"/>
      <c r="H2872" s="86"/>
      <c r="I2872" s="86"/>
      <c r="J2872" s="87"/>
      <c r="K2872" s="85"/>
      <c r="L2872" s="85"/>
      <c r="P2872" s="85"/>
      <c r="Q2872" s="85"/>
      <c r="R2872" s="81"/>
    </row>
    <row r="2873" spans="7:18" x14ac:dyDescent="0.3">
      <c r="G2873" s="85"/>
      <c r="H2873" s="86"/>
      <c r="I2873" s="86"/>
      <c r="J2873" s="87"/>
      <c r="K2873" s="85"/>
      <c r="L2873" s="85"/>
      <c r="P2873" s="85"/>
      <c r="Q2873" s="85"/>
      <c r="R2873" s="81"/>
    </row>
    <row r="2874" spans="7:18" x14ac:dyDescent="0.3">
      <c r="G2874" s="85"/>
      <c r="H2874" s="86"/>
      <c r="I2874" s="86"/>
      <c r="J2874" s="87"/>
      <c r="K2874" s="85"/>
      <c r="L2874" s="85"/>
      <c r="P2874" s="85"/>
      <c r="Q2874" s="85"/>
      <c r="R2874" s="81"/>
    </row>
    <row r="2875" spans="7:18" x14ac:dyDescent="0.3">
      <c r="G2875" s="85"/>
      <c r="H2875" s="86"/>
      <c r="I2875" s="86"/>
      <c r="J2875" s="87"/>
      <c r="K2875" s="85"/>
      <c r="L2875" s="85"/>
      <c r="P2875" s="85"/>
      <c r="Q2875" s="85"/>
      <c r="R2875" s="81"/>
    </row>
    <row r="2876" spans="7:18" x14ac:dyDescent="0.3">
      <c r="G2876" s="85"/>
      <c r="H2876" s="86"/>
      <c r="I2876" s="86"/>
      <c r="J2876" s="87"/>
      <c r="K2876" s="85"/>
      <c r="L2876" s="85"/>
      <c r="P2876" s="85"/>
      <c r="Q2876" s="85"/>
      <c r="R2876" s="81"/>
    </row>
    <row r="2877" spans="7:18" x14ac:dyDescent="0.3">
      <c r="G2877" s="85"/>
      <c r="H2877" s="86"/>
      <c r="I2877" s="86"/>
      <c r="J2877" s="87"/>
      <c r="K2877" s="85"/>
      <c r="L2877" s="85"/>
      <c r="P2877" s="85"/>
      <c r="Q2877" s="85"/>
      <c r="R2877" s="81"/>
    </row>
    <row r="2878" spans="7:18" x14ac:dyDescent="0.3">
      <c r="G2878" s="85"/>
      <c r="H2878" s="86"/>
      <c r="I2878" s="86"/>
      <c r="J2878" s="87"/>
      <c r="K2878" s="85"/>
      <c r="L2878" s="85"/>
      <c r="P2878" s="85"/>
      <c r="Q2878" s="85"/>
      <c r="R2878" s="81"/>
    </row>
    <row r="2879" spans="7:18" x14ac:dyDescent="0.3">
      <c r="G2879" s="85"/>
      <c r="H2879" s="86"/>
      <c r="I2879" s="86"/>
      <c r="J2879" s="87"/>
      <c r="K2879" s="85"/>
      <c r="L2879" s="85"/>
      <c r="P2879" s="85"/>
      <c r="Q2879" s="85"/>
      <c r="R2879" s="81"/>
    </row>
    <row r="2880" spans="7:18" x14ac:dyDescent="0.3">
      <c r="G2880" s="85"/>
      <c r="H2880" s="86"/>
      <c r="I2880" s="86"/>
      <c r="J2880" s="87"/>
      <c r="K2880" s="85"/>
      <c r="L2880" s="85"/>
      <c r="P2880" s="85"/>
      <c r="Q2880" s="85"/>
      <c r="R2880" s="81"/>
    </row>
    <row r="2881" spans="7:18" x14ac:dyDescent="0.3">
      <c r="G2881" s="85"/>
      <c r="H2881" s="86"/>
      <c r="I2881" s="86"/>
      <c r="J2881" s="87"/>
      <c r="K2881" s="85"/>
      <c r="L2881" s="85"/>
      <c r="P2881" s="85"/>
      <c r="Q2881" s="85"/>
      <c r="R2881" s="81"/>
    </row>
    <row r="2882" spans="7:18" x14ac:dyDescent="0.3">
      <c r="G2882" s="85"/>
      <c r="H2882" s="86"/>
      <c r="I2882" s="86"/>
      <c r="J2882" s="87"/>
      <c r="K2882" s="85"/>
      <c r="L2882" s="85"/>
      <c r="P2882" s="85"/>
      <c r="Q2882" s="85"/>
      <c r="R2882" s="81"/>
    </row>
    <row r="2883" spans="7:18" x14ac:dyDescent="0.3">
      <c r="G2883" s="85"/>
      <c r="H2883" s="86"/>
      <c r="I2883" s="86"/>
      <c r="J2883" s="87"/>
      <c r="K2883" s="85"/>
      <c r="L2883" s="85"/>
      <c r="P2883" s="85"/>
      <c r="Q2883" s="85"/>
      <c r="R2883" s="81"/>
    </row>
    <row r="2884" spans="7:18" x14ac:dyDescent="0.3">
      <c r="G2884" s="85"/>
      <c r="H2884" s="86"/>
      <c r="I2884" s="86"/>
      <c r="J2884" s="87"/>
      <c r="K2884" s="85"/>
      <c r="L2884" s="85"/>
      <c r="P2884" s="85"/>
      <c r="Q2884" s="85"/>
      <c r="R2884" s="81"/>
    </row>
    <row r="2885" spans="7:18" x14ac:dyDescent="0.3">
      <c r="G2885" s="85"/>
      <c r="H2885" s="86"/>
      <c r="I2885" s="86"/>
      <c r="J2885" s="87"/>
      <c r="K2885" s="85"/>
      <c r="L2885" s="85"/>
      <c r="P2885" s="85"/>
      <c r="Q2885" s="85"/>
      <c r="R2885" s="81"/>
    </row>
    <row r="2886" spans="7:18" x14ac:dyDescent="0.3">
      <c r="G2886" s="85"/>
      <c r="H2886" s="86"/>
      <c r="I2886" s="86"/>
      <c r="J2886" s="87"/>
      <c r="K2886" s="85"/>
      <c r="L2886" s="85"/>
      <c r="P2886" s="85"/>
      <c r="Q2886" s="85"/>
      <c r="R2886" s="81"/>
    </row>
    <row r="2887" spans="7:18" x14ac:dyDescent="0.3">
      <c r="G2887" s="85"/>
      <c r="H2887" s="86"/>
      <c r="I2887" s="86"/>
      <c r="J2887" s="87"/>
      <c r="K2887" s="85"/>
      <c r="L2887" s="85"/>
      <c r="P2887" s="85"/>
      <c r="Q2887" s="85"/>
      <c r="R2887" s="81"/>
    </row>
    <row r="2888" spans="7:18" x14ac:dyDescent="0.3">
      <c r="G2888" s="85"/>
      <c r="H2888" s="86"/>
      <c r="I2888" s="86"/>
      <c r="J2888" s="87"/>
      <c r="K2888" s="85"/>
      <c r="L2888" s="85"/>
      <c r="P2888" s="85"/>
      <c r="Q2888" s="85"/>
      <c r="R2888" s="81"/>
    </row>
    <row r="2889" spans="7:18" x14ac:dyDescent="0.3">
      <c r="G2889" s="85"/>
      <c r="H2889" s="86"/>
      <c r="I2889" s="86"/>
      <c r="J2889" s="87"/>
      <c r="K2889" s="85"/>
      <c r="L2889" s="85"/>
      <c r="P2889" s="85"/>
      <c r="Q2889" s="85"/>
      <c r="R2889" s="81"/>
    </row>
    <row r="2890" spans="7:18" x14ac:dyDescent="0.3">
      <c r="G2890" s="85"/>
      <c r="H2890" s="86"/>
      <c r="I2890" s="86"/>
      <c r="J2890" s="87"/>
      <c r="K2890" s="85"/>
      <c r="L2890" s="85"/>
      <c r="P2890" s="85"/>
      <c r="Q2890" s="85"/>
      <c r="R2890" s="81"/>
    </row>
    <row r="2891" spans="7:18" x14ac:dyDescent="0.3">
      <c r="G2891" s="85"/>
      <c r="H2891" s="86"/>
      <c r="I2891" s="86"/>
      <c r="J2891" s="87"/>
      <c r="K2891" s="85"/>
      <c r="L2891" s="85"/>
      <c r="P2891" s="85"/>
      <c r="Q2891" s="85"/>
      <c r="R2891" s="81"/>
    </row>
    <row r="2892" spans="7:18" x14ac:dyDescent="0.3">
      <c r="G2892" s="85"/>
      <c r="H2892" s="86"/>
      <c r="I2892" s="86"/>
      <c r="J2892" s="87"/>
      <c r="K2892" s="85"/>
      <c r="L2892" s="85"/>
      <c r="P2892" s="85"/>
      <c r="Q2892" s="85"/>
      <c r="R2892" s="81"/>
    </row>
    <row r="2893" spans="7:18" x14ac:dyDescent="0.3">
      <c r="G2893" s="85"/>
      <c r="H2893" s="86"/>
      <c r="I2893" s="86"/>
      <c r="J2893" s="87"/>
      <c r="K2893" s="85"/>
      <c r="L2893" s="85"/>
      <c r="P2893" s="85"/>
      <c r="Q2893" s="85"/>
      <c r="R2893" s="81"/>
    </row>
    <row r="2894" spans="7:18" x14ac:dyDescent="0.3">
      <c r="G2894" s="85"/>
      <c r="H2894" s="86"/>
      <c r="I2894" s="86"/>
      <c r="J2894" s="87"/>
      <c r="K2894" s="85"/>
      <c r="L2894" s="85"/>
      <c r="P2894" s="85"/>
      <c r="Q2894" s="85"/>
      <c r="R2894" s="81"/>
    </row>
    <row r="2895" spans="7:18" x14ac:dyDescent="0.3">
      <c r="G2895" s="85"/>
      <c r="H2895" s="86"/>
      <c r="I2895" s="86"/>
      <c r="J2895" s="87"/>
      <c r="K2895" s="85"/>
      <c r="L2895" s="85"/>
      <c r="P2895" s="85"/>
      <c r="Q2895" s="85"/>
      <c r="R2895" s="81"/>
    </row>
    <row r="2896" spans="7:18" x14ac:dyDescent="0.3">
      <c r="G2896" s="85"/>
      <c r="H2896" s="86"/>
      <c r="I2896" s="86"/>
      <c r="J2896" s="87"/>
      <c r="K2896" s="85"/>
      <c r="L2896" s="85"/>
      <c r="P2896" s="85"/>
      <c r="Q2896" s="85"/>
      <c r="R2896" s="81"/>
    </row>
    <row r="2897" spans="7:18" x14ac:dyDescent="0.3">
      <c r="G2897" s="85"/>
      <c r="H2897" s="86"/>
      <c r="I2897" s="86"/>
      <c r="J2897" s="87"/>
      <c r="K2897" s="85"/>
      <c r="L2897" s="85"/>
      <c r="P2897" s="85"/>
      <c r="Q2897" s="85"/>
      <c r="R2897" s="81"/>
    </row>
    <row r="2898" spans="7:18" x14ac:dyDescent="0.3">
      <c r="G2898" s="85"/>
      <c r="H2898" s="86"/>
      <c r="I2898" s="86"/>
      <c r="J2898" s="87"/>
      <c r="K2898" s="85"/>
      <c r="L2898" s="85"/>
      <c r="P2898" s="85"/>
      <c r="Q2898" s="85"/>
      <c r="R2898" s="81"/>
    </row>
    <row r="2899" spans="7:18" x14ac:dyDescent="0.3">
      <c r="G2899" s="85"/>
      <c r="H2899" s="86"/>
      <c r="I2899" s="86"/>
      <c r="J2899" s="87"/>
      <c r="K2899" s="85"/>
      <c r="L2899" s="85"/>
      <c r="P2899" s="85"/>
      <c r="Q2899" s="85"/>
      <c r="R2899" s="81"/>
    </row>
    <row r="2900" spans="7:18" x14ac:dyDescent="0.3">
      <c r="G2900" s="85"/>
      <c r="H2900" s="86"/>
      <c r="I2900" s="86"/>
      <c r="J2900" s="87"/>
      <c r="K2900" s="85"/>
      <c r="L2900" s="85"/>
      <c r="P2900" s="85"/>
      <c r="Q2900" s="85"/>
      <c r="R2900" s="81"/>
    </row>
    <row r="2901" spans="7:18" x14ac:dyDescent="0.3">
      <c r="G2901" s="85"/>
      <c r="H2901" s="86"/>
      <c r="I2901" s="86"/>
      <c r="J2901" s="87"/>
      <c r="K2901" s="85"/>
      <c r="L2901" s="85"/>
      <c r="P2901" s="85"/>
      <c r="Q2901" s="85"/>
      <c r="R2901" s="81"/>
    </row>
    <row r="2902" spans="7:18" x14ac:dyDescent="0.3">
      <c r="G2902" s="85"/>
      <c r="H2902" s="86"/>
      <c r="I2902" s="86"/>
      <c r="J2902" s="87"/>
      <c r="K2902" s="85"/>
      <c r="L2902" s="85"/>
      <c r="P2902" s="85"/>
      <c r="Q2902" s="85"/>
      <c r="R2902" s="81"/>
    </row>
    <row r="2903" spans="7:18" x14ac:dyDescent="0.3">
      <c r="G2903" s="85"/>
      <c r="H2903" s="86"/>
      <c r="I2903" s="86"/>
      <c r="J2903" s="87"/>
      <c r="K2903" s="85"/>
      <c r="L2903" s="85"/>
      <c r="P2903" s="85"/>
      <c r="Q2903" s="85"/>
      <c r="R2903" s="81"/>
    </row>
    <row r="2904" spans="7:18" x14ac:dyDescent="0.3">
      <c r="G2904" s="85"/>
      <c r="H2904" s="86"/>
      <c r="I2904" s="86"/>
      <c r="J2904" s="87"/>
      <c r="K2904" s="85"/>
      <c r="L2904" s="85"/>
      <c r="P2904" s="85"/>
      <c r="Q2904" s="85"/>
      <c r="R2904" s="81"/>
    </row>
    <row r="2905" spans="7:18" x14ac:dyDescent="0.3">
      <c r="G2905" s="85"/>
      <c r="H2905" s="86"/>
      <c r="I2905" s="86"/>
      <c r="J2905" s="87"/>
      <c r="K2905" s="85"/>
      <c r="L2905" s="85"/>
      <c r="P2905" s="85"/>
      <c r="Q2905" s="85"/>
      <c r="R2905" s="81"/>
    </row>
    <row r="2906" spans="7:18" x14ac:dyDescent="0.3">
      <c r="G2906" s="85"/>
      <c r="H2906" s="86"/>
      <c r="I2906" s="86"/>
      <c r="J2906" s="87"/>
      <c r="K2906" s="85"/>
      <c r="L2906" s="85"/>
      <c r="P2906" s="85"/>
      <c r="Q2906" s="85"/>
      <c r="R2906" s="81"/>
    </row>
    <row r="2907" spans="7:18" x14ac:dyDescent="0.3">
      <c r="G2907" s="85"/>
      <c r="H2907" s="86"/>
      <c r="I2907" s="86"/>
      <c r="J2907" s="87"/>
      <c r="K2907" s="85"/>
      <c r="L2907" s="85"/>
      <c r="P2907" s="85"/>
      <c r="Q2907" s="85"/>
      <c r="R2907" s="81"/>
    </row>
    <row r="2908" spans="7:18" x14ac:dyDescent="0.3">
      <c r="G2908" s="85"/>
      <c r="H2908" s="86"/>
      <c r="I2908" s="86"/>
      <c r="J2908" s="87"/>
      <c r="K2908" s="85"/>
      <c r="L2908" s="85"/>
      <c r="P2908" s="85"/>
      <c r="Q2908" s="85"/>
      <c r="R2908" s="81"/>
    </row>
    <row r="2909" spans="7:18" x14ac:dyDescent="0.3">
      <c r="G2909" s="85"/>
      <c r="H2909" s="86"/>
      <c r="I2909" s="86"/>
      <c r="J2909" s="87"/>
      <c r="K2909" s="85"/>
      <c r="L2909" s="85"/>
      <c r="P2909" s="85"/>
      <c r="Q2909" s="85"/>
      <c r="R2909" s="81"/>
    </row>
    <row r="2910" spans="7:18" x14ac:dyDescent="0.3">
      <c r="G2910" s="85"/>
      <c r="H2910" s="86"/>
      <c r="I2910" s="86"/>
      <c r="J2910" s="87"/>
      <c r="K2910" s="85"/>
      <c r="L2910" s="85"/>
      <c r="P2910" s="85"/>
      <c r="Q2910" s="85"/>
      <c r="R2910" s="81"/>
    </row>
    <row r="2911" spans="7:18" x14ac:dyDescent="0.3">
      <c r="G2911" s="85"/>
      <c r="H2911" s="86"/>
      <c r="I2911" s="86"/>
      <c r="J2911" s="87"/>
      <c r="K2911" s="85"/>
      <c r="L2911" s="85"/>
      <c r="P2911" s="85"/>
      <c r="Q2911" s="85"/>
      <c r="R2911" s="81"/>
    </row>
    <row r="2912" spans="7:18" x14ac:dyDescent="0.3">
      <c r="G2912" s="85"/>
      <c r="H2912" s="86"/>
      <c r="I2912" s="86"/>
      <c r="J2912" s="87"/>
      <c r="K2912" s="85"/>
      <c r="L2912" s="85"/>
      <c r="P2912" s="85"/>
      <c r="Q2912" s="85"/>
      <c r="R2912" s="81"/>
    </row>
    <row r="2913" spans="7:18" x14ac:dyDescent="0.3">
      <c r="G2913" s="85"/>
      <c r="H2913" s="86"/>
      <c r="I2913" s="86"/>
      <c r="J2913" s="87"/>
      <c r="K2913" s="85"/>
      <c r="L2913" s="85"/>
      <c r="P2913" s="85"/>
      <c r="Q2913" s="85"/>
      <c r="R2913" s="81"/>
    </row>
    <row r="2914" spans="7:18" x14ac:dyDescent="0.3">
      <c r="G2914" s="85"/>
      <c r="H2914" s="86"/>
      <c r="I2914" s="86"/>
      <c r="J2914" s="87"/>
      <c r="K2914" s="85"/>
      <c r="L2914" s="85"/>
      <c r="P2914" s="85"/>
      <c r="Q2914" s="85"/>
      <c r="R2914" s="81"/>
    </row>
    <row r="2915" spans="7:18" x14ac:dyDescent="0.3">
      <c r="G2915" s="85"/>
      <c r="H2915" s="86"/>
      <c r="I2915" s="86"/>
      <c r="J2915" s="87"/>
      <c r="K2915" s="85"/>
      <c r="L2915" s="85"/>
      <c r="P2915" s="85"/>
      <c r="Q2915" s="85"/>
      <c r="R2915" s="81"/>
    </row>
    <row r="2916" spans="7:18" x14ac:dyDescent="0.3">
      <c r="G2916" s="85"/>
      <c r="H2916" s="86"/>
      <c r="I2916" s="86"/>
      <c r="J2916" s="87"/>
      <c r="K2916" s="85"/>
      <c r="L2916" s="85"/>
      <c r="P2916" s="85"/>
      <c r="Q2916" s="85"/>
      <c r="R2916" s="81"/>
    </row>
    <row r="2917" spans="7:18" x14ac:dyDescent="0.3">
      <c r="G2917" s="85"/>
      <c r="H2917" s="86"/>
      <c r="I2917" s="86"/>
      <c r="J2917" s="87"/>
      <c r="K2917" s="85"/>
      <c r="L2917" s="85"/>
      <c r="P2917" s="85"/>
      <c r="Q2917" s="85"/>
      <c r="R2917" s="81"/>
    </row>
    <row r="2918" spans="7:18" x14ac:dyDescent="0.3">
      <c r="G2918" s="85"/>
      <c r="H2918" s="86"/>
      <c r="I2918" s="86"/>
      <c r="J2918" s="87"/>
      <c r="K2918" s="85"/>
      <c r="L2918" s="85"/>
      <c r="P2918" s="85"/>
      <c r="Q2918" s="85"/>
      <c r="R2918" s="81"/>
    </row>
    <row r="2919" spans="7:18" x14ac:dyDescent="0.3">
      <c r="G2919" s="85"/>
      <c r="H2919" s="86"/>
      <c r="I2919" s="86"/>
      <c r="J2919" s="87"/>
      <c r="K2919" s="85"/>
      <c r="L2919" s="85"/>
      <c r="P2919" s="85"/>
      <c r="Q2919" s="85"/>
      <c r="R2919" s="81"/>
    </row>
    <row r="2920" spans="7:18" x14ac:dyDescent="0.3">
      <c r="G2920" s="85"/>
      <c r="H2920" s="86"/>
      <c r="I2920" s="86"/>
      <c r="J2920" s="87"/>
      <c r="K2920" s="85"/>
      <c r="L2920" s="85"/>
      <c r="P2920" s="85"/>
      <c r="Q2920" s="85"/>
      <c r="R2920" s="81"/>
    </row>
    <row r="2921" spans="7:18" x14ac:dyDescent="0.3">
      <c r="G2921" s="85"/>
      <c r="H2921" s="86"/>
      <c r="I2921" s="86"/>
      <c r="J2921" s="87"/>
      <c r="K2921" s="85"/>
      <c r="L2921" s="85"/>
      <c r="P2921" s="85"/>
      <c r="Q2921" s="85"/>
      <c r="R2921" s="81"/>
    </row>
    <row r="2922" spans="7:18" x14ac:dyDescent="0.3">
      <c r="G2922" s="85"/>
      <c r="H2922" s="86"/>
      <c r="I2922" s="86"/>
      <c r="J2922" s="87"/>
      <c r="K2922" s="85"/>
      <c r="L2922" s="85"/>
      <c r="P2922" s="85"/>
      <c r="Q2922" s="85"/>
      <c r="R2922" s="81"/>
    </row>
    <row r="2923" spans="7:18" x14ac:dyDescent="0.3">
      <c r="G2923" s="85"/>
      <c r="H2923" s="86"/>
      <c r="I2923" s="86"/>
      <c r="J2923" s="87"/>
      <c r="K2923" s="85"/>
      <c r="L2923" s="85"/>
      <c r="P2923" s="85"/>
      <c r="Q2923" s="85"/>
      <c r="R2923" s="81"/>
    </row>
    <row r="2924" spans="7:18" x14ac:dyDescent="0.3">
      <c r="G2924" s="85"/>
      <c r="H2924" s="86"/>
      <c r="I2924" s="86"/>
      <c r="J2924" s="87"/>
      <c r="K2924" s="85"/>
      <c r="L2924" s="85"/>
      <c r="P2924" s="85"/>
      <c r="Q2924" s="85"/>
      <c r="R2924" s="81"/>
    </row>
    <row r="2925" spans="7:18" x14ac:dyDescent="0.3">
      <c r="G2925" s="85"/>
      <c r="H2925" s="86"/>
      <c r="I2925" s="86"/>
      <c r="J2925" s="87"/>
      <c r="K2925" s="85"/>
      <c r="L2925" s="85"/>
      <c r="P2925" s="85"/>
      <c r="Q2925" s="85"/>
      <c r="R2925" s="81"/>
    </row>
    <row r="2926" spans="7:18" x14ac:dyDescent="0.3">
      <c r="G2926" s="85"/>
      <c r="H2926" s="86"/>
      <c r="I2926" s="86"/>
      <c r="J2926" s="87"/>
      <c r="K2926" s="85"/>
      <c r="L2926" s="85"/>
      <c r="P2926" s="85"/>
      <c r="Q2926" s="85"/>
      <c r="R2926" s="81"/>
    </row>
    <row r="2927" spans="7:18" x14ac:dyDescent="0.3">
      <c r="G2927" s="85"/>
      <c r="H2927" s="86"/>
      <c r="I2927" s="86"/>
      <c r="J2927" s="87"/>
      <c r="K2927" s="85"/>
      <c r="L2927" s="85"/>
      <c r="P2927" s="85"/>
      <c r="Q2927" s="85"/>
      <c r="R2927" s="81"/>
    </row>
    <row r="2928" spans="7:18" x14ac:dyDescent="0.3">
      <c r="G2928" s="85"/>
      <c r="H2928" s="86"/>
      <c r="I2928" s="86"/>
      <c r="J2928" s="87"/>
      <c r="K2928" s="85"/>
      <c r="L2928" s="85"/>
      <c r="P2928" s="85"/>
      <c r="Q2928" s="85"/>
      <c r="R2928" s="81"/>
    </row>
    <row r="2929" spans="7:18" x14ac:dyDescent="0.3">
      <c r="G2929" s="85"/>
      <c r="H2929" s="86"/>
      <c r="I2929" s="86"/>
      <c r="J2929" s="87"/>
      <c r="K2929" s="85"/>
      <c r="L2929" s="85"/>
      <c r="P2929" s="85"/>
      <c r="Q2929" s="85"/>
      <c r="R2929" s="81"/>
    </row>
    <row r="2930" spans="7:18" x14ac:dyDescent="0.3">
      <c r="G2930" s="85"/>
      <c r="H2930" s="86"/>
      <c r="I2930" s="86"/>
      <c r="J2930" s="87"/>
      <c r="K2930" s="85"/>
      <c r="L2930" s="85"/>
      <c r="P2930" s="85"/>
      <c r="Q2930" s="85"/>
      <c r="R2930" s="81"/>
    </row>
    <row r="2931" spans="7:18" x14ac:dyDescent="0.3">
      <c r="G2931" s="85"/>
      <c r="H2931" s="86"/>
      <c r="I2931" s="86"/>
      <c r="J2931" s="87"/>
      <c r="K2931" s="85"/>
      <c r="L2931" s="85"/>
      <c r="P2931" s="85"/>
      <c r="Q2931" s="85"/>
      <c r="R2931" s="81"/>
    </row>
    <row r="2932" spans="7:18" x14ac:dyDescent="0.3">
      <c r="G2932" s="85"/>
      <c r="H2932" s="86"/>
      <c r="I2932" s="86"/>
      <c r="J2932" s="87"/>
      <c r="K2932" s="85"/>
      <c r="L2932" s="85"/>
      <c r="P2932" s="85"/>
      <c r="Q2932" s="85"/>
      <c r="R2932" s="81"/>
    </row>
    <row r="2933" spans="7:18" x14ac:dyDescent="0.3">
      <c r="G2933" s="85"/>
      <c r="H2933" s="86"/>
      <c r="I2933" s="86"/>
      <c r="J2933" s="87"/>
      <c r="K2933" s="85"/>
      <c r="L2933" s="85"/>
      <c r="P2933" s="85"/>
      <c r="Q2933" s="85"/>
      <c r="R2933" s="81"/>
    </row>
    <row r="2934" spans="7:18" x14ac:dyDescent="0.3">
      <c r="G2934" s="85"/>
      <c r="H2934" s="86"/>
      <c r="I2934" s="86"/>
      <c r="J2934" s="87"/>
      <c r="K2934" s="85"/>
      <c r="L2934" s="85"/>
      <c r="P2934" s="85"/>
      <c r="Q2934" s="85"/>
      <c r="R2934" s="81"/>
    </row>
    <row r="2935" spans="7:18" x14ac:dyDescent="0.3">
      <c r="G2935" s="85"/>
      <c r="H2935" s="86"/>
      <c r="I2935" s="86"/>
      <c r="J2935" s="87"/>
      <c r="K2935" s="85"/>
      <c r="L2935" s="85"/>
      <c r="P2935" s="85"/>
      <c r="Q2935" s="85"/>
      <c r="R2935" s="81"/>
    </row>
    <row r="2936" spans="7:18" x14ac:dyDescent="0.3">
      <c r="G2936" s="85"/>
      <c r="H2936" s="86"/>
      <c r="I2936" s="86"/>
      <c r="J2936" s="87"/>
      <c r="K2936" s="85"/>
      <c r="L2936" s="85"/>
      <c r="P2936" s="85"/>
      <c r="Q2936" s="85"/>
      <c r="R2936" s="81"/>
    </row>
    <row r="2937" spans="7:18" x14ac:dyDescent="0.3">
      <c r="G2937" s="85"/>
      <c r="H2937" s="86"/>
      <c r="I2937" s="86"/>
      <c r="J2937" s="87"/>
      <c r="K2937" s="85"/>
      <c r="L2937" s="85"/>
      <c r="P2937" s="85"/>
      <c r="Q2937" s="85"/>
      <c r="R2937" s="81"/>
    </row>
    <row r="2938" spans="7:18" x14ac:dyDescent="0.3">
      <c r="G2938" s="85"/>
      <c r="H2938" s="86"/>
      <c r="I2938" s="86"/>
      <c r="J2938" s="87"/>
      <c r="K2938" s="85"/>
      <c r="L2938" s="85"/>
      <c r="P2938" s="85"/>
      <c r="Q2938" s="85"/>
      <c r="R2938" s="81"/>
    </row>
    <row r="2939" spans="7:18" x14ac:dyDescent="0.3">
      <c r="G2939" s="85"/>
      <c r="H2939" s="86"/>
      <c r="I2939" s="86"/>
      <c r="J2939" s="87"/>
      <c r="K2939" s="85"/>
      <c r="L2939" s="85"/>
      <c r="P2939" s="85"/>
      <c r="Q2939" s="85"/>
      <c r="R2939" s="81"/>
    </row>
    <row r="2940" spans="7:18" x14ac:dyDescent="0.3">
      <c r="G2940" s="85"/>
      <c r="H2940" s="86"/>
      <c r="I2940" s="86"/>
      <c r="J2940" s="87"/>
      <c r="K2940" s="85"/>
      <c r="L2940" s="85"/>
      <c r="P2940" s="85"/>
      <c r="Q2940" s="85"/>
      <c r="R2940" s="81"/>
    </row>
    <row r="2941" spans="7:18" x14ac:dyDescent="0.3">
      <c r="G2941" s="85"/>
      <c r="H2941" s="86"/>
      <c r="I2941" s="86"/>
      <c r="J2941" s="87"/>
      <c r="K2941" s="85"/>
      <c r="L2941" s="85"/>
      <c r="P2941" s="85"/>
      <c r="Q2941" s="85"/>
      <c r="R2941" s="81"/>
    </row>
    <row r="2942" spans="7:18" x14ac:dyDescent="0.3">
      <c r="G2942" s="85"/>
      <c r="H2942" s="86"/>
      <c r="I2942" s="86"/>
      <c r="J2942" s="87"/>
      <c r="K2942" s="85"/>
      <c r="L2942" s="85"/>
      <c r="P2942" s="85"/>
      <c r="Q2942" s="85"/>
      <c r="R2942" s="81"/>
    </row>
    <row r="2943" spans="7:18" x14ac:dyDescent="0.3">
      <c r="G2943" s="85"/>
      <c r="H2943" s="86"/>
      <c r="I2943" s="86"/>
      <c r="J2943" s="87"/>
      <c r="K2943" s="85"/>
      <c r="L2943" s="85"/>
      <c r="P2943" s="85"/>
      <c r="Q2943" s="85"/>
      <c r="R2943" s="81"/>
    </row>
    <row r="2944" spans="7:18" x14ac:dyDescent="0.3">
      <c r="G2944" s="85"/>
      <c r="H2944" s="86"/>
      <c r="I2944" s="86"/>
      <c r="J2944" s="87"/>
      <c r="K2944" s="85"/>
      <c r="L2944" s="85"/>
      <c r="P2944" s="85"/>
      <c r="Q2944" s="85"/>
      <c r="R2944" s="81"/>
    </row>
    <row r="2945" spans="7:18" x14ac:dyDescent="0.3">
      <c r="G2945" s="85"/>
      <c r="H2945" s="86"/>
      <c r="I2945" s="86"/>
      <c r="J2945" s="87"/>
      <c r="K2945" s="85"/>
      <c r="L2945" s="85"/>
      <c r="P2945" s="85"/>
      <c r="Q2945" s="85"/>
      <c r="R2945" s="81"/>
    </row>
    <row r="2946" spans="7:18" x14ac:dyDescent="0.3">
      <c r="G2946" s="85"/>
      <c r="H2946" s="86"/>
      <c r="I2946" s="86"/>
      <c r="J2946" s="87"/>
      <c r="K2946" s="85"/>
      <c r="L2946" s="85"/>
      <c r="P2946" s="85"/>
      <c r="Q2946" s="85"/>
      <c r="R2946" s="81"/>
    </row>
    <row r="2947" spans="7:18" x14ac:dyDescent="0.3">
      <c r="G2947" s="85"/>
      <c r="H2947" s="86"/>
      <c r="I2947" s="86"/>
      <c r="J2947" s="87"/>
      <c r="K2947" s="85"/>
      <c r="L2947" s="85"/>
      <c r="P2947" s="85"/>
      <c r="Q2947" s="85"/>
      <c r="R2947" s="81"/>
    </row>
    <row r="2948" spans="7:18" x14ac:dyDescent="0.3">
      <c r="G2948" s="85"/>
      <c r="H2948" s="86"/>
      <c r="I2948" s="86"/>
      <c r="J2948" s="87"/>
      <c r="K2948" s="85"/>
      <c r="L2948" s="85"/>
      <c r="P2948" s="85"/>
      <c r="Q2948" s="85"/>
      <c r="R2948" s="81"/>
    </row>
    <row r="2949" spans="7:18" x14ac:dyDescent="0.3">
      <c r="G2949" s="85"/>
      <c r="H2949" s="86"/>
      <c r="I2949" s="86"/>
      <c r="J2949" s="87"/>
      <c r="K2949" s="85"/>
      <c r="L2949" s="85"/>
      <c r="P2949" s="85"/>
      <c r="Q2949" s="85"/>
      <c r="R2949" s="81"/>
    </row>
    <row r="2950" spans="7:18" x14ac:dyDescent="0.3">
      <c r="G2950" s="85"/>
      <c r="H2950" s="86"/>
      <c r="I2950" s="86"/>
      <c r="J2950" s="87"/>
      <c r="K2950" s="85"/>
      <c r="L2950" s="85"/>
      <c r="P2950" s="85"/>
      <c r="Q2950" s="85"/>
      <c r="R2950" s="81"/>
    </row>
    <row r="2951" spans="7:18" x14ac:dyDescent="0.3">
      <c r="G2951" s="85"/>
      <c r="H2951" s="86"/>
      <c r="I2951" s="86"/>
      <c r="J2951" s="87"/>
      <c r="K2951" s="85"/>
      <c r="L2951" s="85"/>
      <c r="P2951" s="85"/>
      <c r="Q2951" s="85"/>
      <c r="R2951" s="81"/>
    </row>
    <row r="2952" spans="7:18" x14ac:dyDescent="0.3">
      <c r="G2952" s="85"/>
      <c r="H2952" s="86"/>
      <c r="I2952" s="86"/>
      <c r="J2952" s="87"/>
      <c r="K2952" s="85"/>
      <c r="L2952" s="85"/>
      <c r="P2952" s="85"/>
      <c r="Q2952" s="85"/>
      <c r="R2952" s="81"/>
    </row>
    <row r="2953" spans="7:18" x14ac:dyDescent="0.3">
      <c r="G2953" s="85"/>
      <c r="H2953" s="86"/>
      <c r="I2953" s="86"/>
      <c r="J2953" s="87"/>
      <c r="K2953" s="85"/>
      <c r="L2953" s="85"/>
      <c r="P2953" s="85"/>
      <c r="Q2953" s="85"/>
      <c r="R2953" s="81"/>
    </row>
    <row r="2954" spans="7:18" x14ac:dyDescent="0.3">
      <c r="G2954" s="85"/>
      <c r="H2954" s="86"/>
      <c r="I2954" s="86"/>
      <c r="J2954" s="87"/>
      <c r="K2954" s="85"/>
      <c r="L2954" s="85"/>
      <c r="P2954" s="85"/>
      <c r="Q2954" s="85"/>
      <c r="R2954" s="81"/>
    </row>
    <row r="2955" spans="7:18" x14ac:dyDescent="0.3">
      <c r="G2955" s="85"/>
      <c r="H2955" s="86"/>
      <c r="I2955" s="86"/>
      <c r="J2955" s="87"/>
      <c r="K2955" s="85"/>
      <c r="L2955" s="85"/>
      <c r="P2955" s="85"/>
      <c r="Q2955" s="85"/>
      <c r="R2955" s="81"/>
    </row>
    <row r="2956" spans="7:18" x14ac:dyDescent="0.3">
      <c r="G2956" s="85"/>
      <c r="H2956" s="86"/>
      <c r="I2956" s="86"/>
      <c r="J2956" s="87"/>
      <c r="K2956" s="85"/>
      <c r="L2956" s="85"/>
      <c r="P2956" s="85"/>
      <c r="Q2956" s="85"/>
      <c r="R2956" s="81"/>
    </row>
    <row r="2957" spans="7:18" x14ac:dyDescent="0.3">
      <c r="G2957" s="85"/>
      <c r="H2957" s="86"/>
      <c r="I2957" s="86"/>
      <c r="J2957" s="87"/>
      <c r="K2957" s="85"/>
      <c r="L2957" s="85"/>
      <c r="P2957" s="85"/>
      <c r="Q2957" s="85"/>
      <c r="R2957" s="81"/>
    </row>
    <row r="2958" spans="7:18" x14ac:dyDescent="0.3">
      <c r="G2958" s="85"/>
      <c r="H2958" s="86"/>
      <c r="I2958" s="86"/>
      <c r="J2958" s="87"/>
      <c r="K2958" s="85"/>
      <c r="L2958" s="85"/>
      <c r="P2958" s="85"/>
      <c r="Q2958" s="85"/>
      <c r="R2958" s="81"/>
    </row>
    <row r="2959" spans="7:18" x14ac:dyDescent="0.3">
      <c r="G2959" s="85"/>
      <c r="H2959" s="86"/>
      <c r="I2959" s="86"/>
      <c r="J2959" s="87"/>
      <c r="K2959" s="85"/>
      <c r="L2959" s="85"/>
      <c r="P2959" s="85"/>
      <c r="Q2959" s="85"/>
      <c r="R2959" s="81"/>
    </row>
    <row r="2960" spans="7:18" x14ac:dyDescent="0.3">
      <c r="G2960" s="85"/>
      <c r="H2960" s="86"/>
      <c r="I2960" s="86"/>
      <c r="J2960" s="87"/>
      <c r="K2960" s="85"/>
      <c r="L2960" s="85"/>
      <c r="P2960" s="85"/>
      <c r="Q2960" s="85"/>
      <c r="R2960" s="81"/>
    </row>
    <row r="2961" spans="7:18" x14ac:dyDescent="0.3">
      <c r="G2961" s="85"/>
      <c r="H2961" s="86"/>
      <c r="I2961" s="86"/>
      <c r="J2961" s="87"/>
      <c r="K2961" s="85"/>
      <c r="L2961" s="85"/>
      <c r="P2961" s="85"/>
      <c r="Q2961" s="85"/>
      <c r="R2961" s="81"/>
    </row>
    <row r="2962" spans="7:18" x14ac:dyDescent="0.3">
      <c r="G2962" s="85"/>
      <c r="H2962" s="86"/>
      <c r="I2962" s="86"/>
      <c r="J2962" s="87"/>
      <c r="K2962" s="85"/>
      <c r="L2962" s="85"/>
      <c r="P2962" s="85"/>
      <c r="Q2962" s="85"/>
      <c r="R2962" s="81"/>
    </row>
    <row r="2963" spans="7:18" x14ac:dyDescent="0.3">
      <c r="G2963" s="85"/>
      <c r="H2963" s="86"/>
      <c r="I2963" s="86"/>
      <c r="J2963" s="87"/>
      <c r="K2963" s="85"/>
      <c r="L2963" s="85"/>
      <c r="P2963" s="85"/>
      <c r="Q2963" s="85"/>
      <c r="R2963" s="81"/>
    </row>
    <row r="2964" spans="7:18" x14ac:dyDescent="0.3">
      <c r="G2964" s="85"/>
      <c r="H2964" s="86"/>
      <c r="I2964" s="86"/>
      <c r="J2964" s="87"/>
      <c r="K2964" s="85"/>
      <c r="L2964" s="85"/>
      <c r="P2964" s="85"/>
      <c r="Q2964" s="85"/>
      <c r="R2964" s="81"/>
    </row>
    <row r="2965" spans="7:18" x14ac:dyDescent="0.3">
      <c r="G2965" s="85"/>
      <c r="H2965" s="86"/>
      <c r="I2965" s="86"/>
      <c r="J2965" s="87"/>
      <c r="K2965" s="85"/>
      <c r="L2965" s="85"/>
      <c r="P2965" s="85"/>
      <c r="Q2965" s="85"/>
      <c r="R2965" s="81"/>
    </row>
    <row r="2966" spans="7:18" x14ac:dyDescent="0.3">
      <c r="G2966" s="85"/>
      <c r="H2966" s="86"/>
      <c r="I2966" s="86"/>
      <c r="J2966" s="87"/>
      <c r="K2966" s="85"/>
      <c r="L2966" s="85"/>
      <c r="P2966" s="85"/>
      <c r="Q2966" s="85"/>
      <c r="R2966" s="81"/>
    </row>
    <row r="2967" spans="7:18" x14ac:dyDescent="0.3">
      <c r="G2967" s="85"/>
      <c r="H2967" s="86"/>
      <c r="I2967" s="86"/>
      <c r="J2967" s="87"/>
      <c r="K2967" s="85"/>
      <c r="L2967" s="85"/>
      <c r="P2967" s="85"/>
      <c r="Q2967" s="85"/>
      <c r="R2967" s="81"/>
    </row>
    <row r="2968" spans="7:18" x14ac:dyDescent="0.3">
      <c r="G2968" s="85"/>
      <c r="H2968" s="86"/>
      <c r="I2968" s="86"/>
      <c r="J2968" s="87"/>
      <c r="K2968" s="85"/>
      <c r="L2968" s="85"/>
      <c r="P2968" s="85"/>
      <c r="Q2968" s="85"/>
      <c r="R2968" s="81"/>
    </row>
    <row r="2969" spans="7:18" x14ac:dyDescent="0.3">
      <c r="G2969" s="85"/>
      <c r="H2969" s="86"/>
      <c r="I2969" s="86"/>
      <c r="J2969" s="87"/>
      <c r="K2969" s="85"/>
      <c r="L2969" s="85"/>
      <c r="P2969" s="85"/>
      <c r="Q2969" s="85"/>
      <c r="R2969" s="81"/>
    </row>
    <row r="2970" spans="7:18" x14ac:dyDescent="0.3">
      <c r="G2970" s="85"/>
      <c r="H2970" s="86"/>
      <c r="I2970" s="86"/>
      <c r="J2970" s="87"/>
      <c r="K2970" s="85"/>
      <c r="L2970" s="85"/>
      <c r="P2970" s="85"/>
      <c r="Q2970" s="85"/>
      <c r="R2970" s="81"/>
    </row>
    <row r="2971" spans="7:18" x14ac:dyDescent="0.3">
      <c r="G2971" s="85"/>
      <c r="H2971" s="86"/>
      <c r="I2971" s="86"/>
      <c r="J2971" s="87"/>
      <c r="K2971" s="85"/>
      <c r="L2971" s="85"/>
      <c r="P2971" s="85"/>
      <c r="Q2971" s="85"/>
      <c r="R2971" s="81"/>
    </row>
    <row r="2972" spans="7:18" x14ac:dyDescent="0.3">
      <c r="G2972" s="85"/>
      <c r="H2972" s="86"/>
      <c r="I2972" s="86"/>
      <c r="J2972" s="87"/>
      <c r="K2972" s="85"/>
      <c r="L2972" s="85"/>
      <c r="P2972" s="85"/>
      <c r="Q2972" s="85"/>
      <c r="R2972" s="81"/>
    </row>
    <row r="2973" spans="7:18" x14ac:dyDescent="0.3">
      <c r="G2973" s="85"/>
      <c r="H2973" s="86"/>
      <c r="I2973" s="86"/>
      <c r="J2973" s="87"/>
      <c r="K2973" s="85"/>
      <c r="L2973" s="85"/>
      <c r="P2973" s="85"/>
      <c r="Q2973" s="85"/>
      <c r="R2973" s="81"/>
    </row>
    <row r="2974" spans="7:18" x14ac:dyDescent="0.3">
      <c r="G2974" s="85"/>
      <c r="H2974" s="86"/>
      <c r="I2974" s="86"/>
      <c r="J2974" s="87"/>
      <c r="K2974" s="85"/>
      <c r="L2974" s="85"/>
      <c r="P2974" s="85"/>
      <c r="Q2974" s="85"/>
      <c r="R2974" s="81"/>
    </row>
    <row r="2975" spans="7:18" x14ac:dyDescent="0.3">
      <c r="G2975" s="85"/>
      <c r="H2975" s="86"/>
      <c r="I2975" s="86"/>
      <c r="J2975" s="87"/>
      <c r="K2975" s="85"/>
      <c r="L2975" s="85"/>
      <c r="P2975" s="85"/>
      <c r="Q2975" s="85"/>
      <c r="R2975" s="81"/>
    </row>
    <row r="2976" spans="7:18" x14ac:dyDescent="0.3">
      <c r="G2976" s="85"/>
      <c r="H2976" s="86"/>
      <c r="I2976" s="86"/>
      <c r="J2976" s="87"/>
      <c r="K2976" s="85"/>
      <c r="L2976" s="85"/>
      <c r="P2976" s="85"/>
      <c r="Q2976" s="85"/>
      <c r="R2976" s="81"/>
    </row>
    <row r="2977" spans="7:18" x14ac:dyDescent="0.3">
      <c r="G2977" s="85"/>
      <c r="H2977" s="86"/>
      <c r="I2977" s="86"/>
      <c r="J2977" s="87"/>
      <c r="K2977" s="85"/>
      <c r="L2977" s="85"/>
      <c r="P2977" s="85"/>
      <c r="Q2977" s="85"/>
      <c r="R2977" s="81"/>
    </row>
    <row r="2978" spans="7:18" x14ac:dyDescent="0.3">
      <c r="G2978" s="85"/>
      <c r="H2978" s="86"/>
      <c r="I2978" s="86"/>
      <c r="J2978" s="87"/>
      <c r="K2978" s="85"/>
      <c r="L2978" s="85"/>
      <c r="P2978" s="85"/>
      <c r="Q2978" s="85"/>
      <c r="R2978" s="81"/>
    </row>
    <row r="2979" spans="7:18" x14ac:dyDescent="0.3">
      <c r="G2979" s="85"/>
      <c r="H2979" s="86"/>
      <c r="I2979" s="86"/>
      <c r="J2979" s="87"/>
      <c r="K2979" s="85"/>
      <c r="L2979" s="85"/>
      <c r="P2979" s="85"/>
      <c r="Q2979" s="85"/>
      <c r="R2979" s="81"/>
    </row>
    <row r="2980" spans="7:18" x14ac:dyDescent="0.3">
      <c r="G2980" s="85"/>
      <c r="H2980" s="86"/>
      <c r="I2980" s="86"/>
      <c r="J2980" s="87"/>
      <c r="K2980" s="85"/>
      <c r="L2980" s="85"/>
      <c r="P2980" s="85"/>
      <c r="Q2980" s="85"/>
      <c r="R2980" s="81"/>
    </row>
    <row r="2981" spans="7:18" x14ac:dyDescent="0.3">
      <c r="G2981" s="85"/>
      <c r="H2981" s="86"/>
      <c r="I2981" s="86"/>
      <c r="J2981" s="87"/>
      <c r="K2981" s="85"/>
      <c r="L2981" s="85"/>
      <c r="P2981" s="85"/>
      <c r="Q2981" s="85"/>
      <c r="R2981" s="81"/>
    </row>
    <row r="2982" spans="7:18" x14ac:dyDescent="0.3">
      <c r="G2982" s="85"/>
      <c r="H2982" s="86"/>
      <c r="I2982" s="86"/>
      <c r="J2982" s="87"/>
      <c r="K2982" s="85"/>
      <c r="L2982" s="85"/>
      <c r="P2982" s="85"/>
      <c r="Q2982" s="85"/>
      <c r="R2982" s="81"/>
    </row>
    <row r="2983" spans="7:18" x14ac:dyDescent="0.3">
      <c r="G2983" s="85"/>
      <c r="H2983" s="86"/>
      <c r="I2983" s="86"/>
      <c r="J2983" s="87"/>
      <c r="K2983" s="85"/>
      <c r="L2983" s="85"/>
      <c r="P2983" s="85"/>
      <c r="Q2983" s="85"/>
      <c r="R2983" s="81"/>
    </row>
    <row r="2984" spans="7:18" x14ac:dyDescent="0.3">
      <c r="G2984" s="85"/>
      <c r="H2984" s="86"/>
      <c r="I2984" s="86"/>
      <c r="J2984" s="87"/>
      <c r="K2984" s="85"/>
      <c r="L2984" s="85"/>
      <c r="P2984" s="85"/>
      <c r="Q2984" s="85"/>
      <c r="R2984" s="81"/>
    </row>
    <row r="2985" spans="7:18" x14ac:dyDescent="0.3">
      <c r="G2985" s="85"/>
      <c r="H2985" s="86"/>
      <c r="I2985" s="86"/>
      <c r="J2985" s="87"/>
      <c r="K2985" s="85"/>
      <c r="L2985" s="85"/>
      <c r="P2985" s="85"/>
      <c r="Q2985" s="85"/>
      <c r="R2985" s="81"/>
    </row>
    <row r="2986" spans="7:18" x14ac:dyDescent="0.3">
      <c r="G2986" s="85"/>
      <c r="H2986" s="86"/>
      <c r="I2986" s="86"/>
      <c r="J2986" s="87"/>
      <c r="K2986" s="85"/>
      <c r="L2986" s="85"/>
      <c r="P2986" s="85"/>
      <c r="Q2986" s="85"/>
      <c r="R2986" s="81"/>
    </row>
    <row r="2987" spans="7:18" x14ac:dyDescent="0.3">
      <c r="G2987" s="85"/>
      <c r="H2987" s="86"/>
      <c r="I2987" s="86"/>
      <c r="J2987" s="87"/>
      <c r="K2987" s="85"/>
      <c r="L2987" s="85"/>
      <c r="P2987" s="85"/>
      <c r="Q2987" s="85"/>
      <c r="R2987" s="81"/>
    </row>
    <row r="2988" spans="7:18" x14ac:dyDescent="0.3">
      <c r="G2988" s="85"/>
      <c r="H2988" s="86"/>
      <c r="I2988" s="86"/>
      <c r="J2988" s="87"/>
      <c r="K2988" s="85"/>
      <c r="L2988" s="85"/>
      <c r="P2988" s="85"/>
      <c r="Q2988" s="85"/>
      <c r="R2988" s="81"/>
    </row>
    <row r="2989" spans="7:18" x14ac:dyDescent="0.3">
      <c r="G2989" s="85"/>
      <c r="H2989" s="86"/>
      <c r="I2989" s="86"/>
      <c r="J2989" s="87"/>
      <c r="K2989" s="85"/>
      <c r="L2989" s="85"/>
      <c r="P2989" s="85"/>
      <c r="Q2989" s="85"/>
      <c r="R2989" s="81"/>
    </row>
    <row r="2990" spans="7:18" x14ac:dyDescent="0.3">
      <c r="G2990" s="85"/>
      <c r="H2990" s="86"/>
      <c r="I2990" s="86"/>
      <c r="J2990" s="87"/>
      <c r="K2990" s="85"/>
      <c r="L2990" s="85"/>
      <c r="P2990" s="85"/>
      <c r="Q2990" s="85"/>
      <c r="R2990" s="81"/>
    </row>
    <row r="2991" spans="7:18" x14ac:dyDescent="0.3">
      <c r="G2991" s="85"/>
      <c r="H2991" s="86"/>
      <c r="I2991" s="86"/>
      <c r="J2991" s="87"/>
      <c r="K2991" s="85"/>
      <c r="L2991" s="85"/>
      <c r="P2991" s="85"/>
      <c r="Q2991" s="85"/>
      <c r="R2991" s="81"/>
    </row>
    <row r="2992" spans="7:18" x14ac:dyDescent="0.3">
      <c r="G2992" s="85"/>
      <c r="H2992" s="86"/>
      <c r="I2992" s="86"/>
      <c r="J2992" s="87"/>
      <c r="K2992" s="85"/>
      <c r="L2992" s="85"/>
      <c r="P2992" s="85"/>
      <c r="Q2992" s="85"/>
      <c r="R2992" s="81"/>
    </row>
    <row r="2993" spans="7:18" x14ac:dyDescent="0.3">
      <c r="G2993" s="85"/>
      <c r="H2993" s="86"/>
      <c r="I2993" s="86"/>
      <c r="J2993" s="87"/>
      <c r="K2993" s="85"/>
      <c r="L2993" s="85"/>
      <c r="P2993" s="85"/>
      <c r="Q2993" s="85"/>
      <c r="R2993" s="81"/>
    </row>
    <row r="2994" spans="7:18" x14ac:dyDescent="0.3">
      <c r="G2994" s="85"/>
      <c r="H2994" s="86"/>
      <c r="I2994" s="86"/>
      <c r="J2994" s="87"/>
      <c r="K2994" s="85"/>
      <c r="L2994" s="85"/>
      <c r="P2994" s="85"/>
      <c r="Q2994" s="85"/>
      <c r="R2994" s="81"/>
    </row>
    <row r="2995" spans="7:18" x14ac:dyDescent="0.3">
      <c r="G2995" s="85"/>
      <c r="H2995" s="86"/>
      <c r="I2995" s="86"/>
      <c r="J2995" s="87"/>
      <c r="K2995" s="85"/>
      <c r="L2995" s="85"/>
      <c r="P2995" s="85"/>
      <c r="Q2995" s="85"/>
      <c r="R2995" s="81"/>
    </row>
    <row r="2996" spans="7:18" x14ac:dyDescent="0.3">
      <c r="G2996" s="85"/>
      <c r="H2996" s="86"/>
      <c r="I2996" s="86"/>
      <c r="J2996" s="87"/>
      <c r="K2996" s="85"/>
      <c r="L2996" s="85"/>
      <c r="P2996" s="85"/>
      <c r="Q2996" s="85"/>
      <c r="R2996" s="81"/>
    </row>
    <row r="2997" spans="7:18" x14ac:dyDescent="0.3">
      <c r="G2997" s="85"/>
      <c r="H2997" s="86"/>
      <c r="I2997" s="86"/>
      <c r="J2997" s="87"/>
      <c r="K2997" s="85"/>
      <c r="L2997" s="85"/>
      <c r="P2997" s="85"/>
      <c r="Q2997" s="85"/>
      <c r="R2997" s="81"/>
    </row>
    <row r="2998" spans="7:18" x14ac:dyDescent="0.3">
      <c r="G2998" s="85"/>
      <c r="H2998" s="86"/>
      <c r="I2998" s="86"/>
      <c r="J2998" s="87"/>
      <c r="K2998" s="85"/>
      <c r="L2998" s="85"/>
      <c r="P2998" s="85"/>
      <c r="Q2998" s="85"/>
      <c r="R2998" s="81"/>
    </row>
    <row r="2999" spans="7:18" x14ac:dyDescent="0.3">
      <c r="G2999" s="85"/>
      <c r="H2999" s="86"/>
      <c r="I2999" s="86"/>
      <c r="J2999" s="87"/>
      <c r="K2999" s="85"/>
      <c r="L2999" s="85"/>
      <c r="P2999" s="85"/>
      <c r="Q2999" s="85"/>
      <c r="R2999" s="81"/>
    </row>
    <row r="3000" spans="7:18" x14ac:dyDescent="0.3">
      <c r="G3000" s="85"/>
      <c r="H3000" s="86"/>
      <c r="I3000" s="86"/>
      <c r="J3000" s="87"/>
      <c r="K3000" s="85"/>
      <c r="L3000" s="85"/>
      <c r="P3000" s="85"/>
      <c r="Q3000" s="85"/>
      <c r="R3000" s="81"/>
    </row>
    <row r="3001" spans="7:18" x14ac:dyDescent="0.3">
      <c r="G3001" s="85"/>
      <c r="H3001" s="86"/>
      <c r="I3001" s="86"/>
      <c r="J3001" s="87"/>
      <c r="K3001" s="85"/>
      <c r="L3001" s="85"/>
      <c r="P3001" s="85"/>
      <c r="Q3001" s="85"/>
      <c r="R3001" s="81"/>
    </row>
    <row r="3002" spans="7:18" x14ac:dyDescent="0.3">
      <c r="G3002" s="85"/>
      <c r="H3002" s="86"/>
      <c r="I3002" s="86"/>
      <c r="J3002" s="87"/>
      <c r="K3002" s="85"/>
      <c r="L3002" s="85"/>
      <c r="P3002" s="85"/>
      <c r="Q3002" s="85"/>
      <c r="R3002" s="81"/>
    </row>
    <row r="3003" spans="7:18" x14ac:dyDescent="0.3">
      <c r="G3003" s="85"/>
      <c r="H3003" s="86"/>
      <c r="I3003" s="86"/>
      <c r="J3003" s="87"/>
      <c r="K3003" s="85"/>
      <c r="L3003" s="85"/>
      <c r="P3003" s="85"/>
      <c r="Q3003" s="85"/>
      <c r="R3003" s="81"/>
    </row>
    <row r="3004" spans="7:18" x14ac:dyDescent="0.3">
      <c r="G3004" s="85"/>
      <c r="H3004" s="86"/>
      <c r="I3004" s="86"/>
      <c r="J3004" s="87"/>
      <c r="K3004" s="85"/>
      <c r="L3004" s="85"/>
      <c r="P3004" s="85"/>
      <c r="Q3004" s="85"/>
      <c r="R3004" s="81"/>
    </row>
    <row r="3005" spans="7:18" x14ac:dyDescent="0.3">
      <c r="G3005" s="85"/>
      <c r="H3005" s="86"/>
      <c r="I3005" s="86"/>
      <c r="J3005" s="87"/>
      <c r="K3005" s="85"/>
      <c r="L3005" s="85"/>
      <c r="P3005" s="85"/>
      <c r="Q3005" s="85"/>
      <c r="R3005" s="81"/>
    </row>
    <row r="3006" spans="7:18" x14ac:dyDescent="0.3">
      <c r="G3006" s="85"/>
      <c r="H3006" s="86"/>
      <c r="I3006" s="86"/>
      <c r="J3006" s="87"/>
      <c r="K3006" s="85"/>
      <c r="L3006" s="85"/>
      <c r="P3006" s="85"/>
      <c r="Q3006" s="85"/>
      <c r="R3006" s="81"/>
    </row>
    <row r="3007" spans="7:18" x14ac:dyDescent="0.3">
      <c r="G3007" s="85"/>
      <c r="H3007" s="86"/>
      <c r="I3007" s="86"/>
      <c r="J3007" s="87"/>
      <c r="K3007" s="85"/>
      <c r="L3007" s="85"/>
      <c r="P3007" s="85"/>
      <c r="Q3007" s="85"/>
      <c r="R3007" s="81"/>
    </row>
    <row r="3008" spans="7:18" x14ac:dyDescent="0.3">
      <c r="G3008" s="85"/>
      <c r="H3008" s="86"/>
      <c r="I3008" s="86"/>
      <c r="J3008" s="87"/>
      <c r="K3008" s="85"/>
      <c r="L3008" s="85"/>
      <c r="P3008" s="85"/>
      <c r="Q3008" s="85"/>
      <c r="R3008" s="81"/>
    </row>
    <row r="3009" spans="7:18" x14ac:dyDescent="0.3">
      <c r="G3009" s="85"/>
      <c r="H3009" s="86"/>
      <c r="I3009" s="86"/>
      <c r="J3009" s="87"/>
      <c r="K3009" s="85"/>
      <c r="L3009" s="85"/>
      <c r="P3009" s="85"/>
      <c r="Q3009" s="85"/>
      <c r="R3009" s="81"/>
    </row>
    <row r="3010" spans="7:18" x14ac:dyDescent="0.3">
      <c r="G3010" s="85"/>
      <c r="H3010" s="86"/>
      <c r="I3010" s="86"/>
      <c r="J3010" s="87"/>
      <c r="K3010" s="85"/>
      <c r="L3010" s="85"/>
      <c r="P3010" s="85"/>
      <c r="Q3010" s="85"/>
      <c r="R3010" s="81"/>
    </row>
    <row r="3011" spans="7:18" x14ac:dyDescent="0.3">
      <c r="G3011" s="85"/>
      <c r="H3011" s="86"/>
      <c r="I3011" s="86"/>
      <c r="J3011" s="87"/>
      <c r="K3011" s="85"/>
      <c r="L3011" s="85"/>
      <c r="P3011" s="85"/>
      <c r="Q3011" s="85"/>
      <c r="R3011" s="81"/>
    </row>
    <row r="3012" spans="7:18" x14ac:dyDescent="0.3">
      <c r="G3012" s="85"/>
      <c r="H3012" s="86"/>
      <c r="I3012" s="86"/>
      <c r="J3012" s="87"/>
      <c r="K3012" s="85"/>
      <c r="L3012" s="85"/>
      <c r="P3012" s="85"/>
      <c r="Q3012" s="85"/>
      <c r="R3012" s="81"/>
    </row>
    <row r="3013" spans="7:18" x14ac:dyDescent="0.3">
      <c r="G3013" s="85"/>
      <c r="H3013" s="86"/>
      <c r="I3013" s="86"/>
      <c r="J3013" s="87"/>
      <c r="K3013" s="85"/>
      <c r="L3013" s="85"/>
      <c r="P3013" s="85"/>
      <c r="Q3013" s="85"/>
      <c r="R3013" s="81"/>
    </row>
    <row r="3014" spans="7:18" x14ac:dyDescent="0.3">
      <c r="G3014" s="85"/>
      <c r="H3014" s="86"/>
      <c r="I3014" s="86"/>
      <c r="J3014" s="87"/>
      <c r="K3014" s="85"/>
      <c r="L3014" s="85"/>
      <c r="P3014" s="85"/>
      <c r="Q3014" s="85"/>
      <c r="R3014" s="81"/>
    </row>
    <row r="3015" spans="7:18" x14ac:dyDescent="0.3">
      <c r="G3015" s="85"/>
      <c r="H3015" s="86"/>
      <c r="I3015" s="86"/>
      <c r="J3015" s="87"/>
      <c r="K3015" s="85"/>
      <c r="L3015" s="85"/>
      <c r="P3015" s="85"/>
      <c r="Q3015" s="85"/>
      <c r="R3015" s="81"/>
    </row>
    <row r="3016" spans="7:18" x14ac:dyDescent="0.3">
      <c r="G3016" s="85"/>
      <c r="H3016" s="86"/>
      <c r="I3016" s="86"/>
      <c r="J3016" s="87"/>
      <c r="K3016" s="85"/>
      <c r="L3016" s="85"/>
      <c r="P3016" s="85"/>
      <c r="Q3016" s="85"/>
      <c r="R3016" s="81"/>
    </row>
    <row r="3017" spans="7:18" x14ac:dyDescent="0.3">
      <c r="G3017" s="85"/>
      <c r="H3017" s="86"/>
      <c r="I3017" s="86"/>
      <c r="J3017" s="87"/>
      <c r="K3017" s="85"/>
      <c r="L3017" s="85"/>
      <c r="P3017" s="85"/>
      <c r="Q3017" s="85"/>
      <c r="R3017" s="81"/>
    </row>
    <row r="3018" spans="7:18" x14ac:dyDescent="0.3">
      <c r="G3018" s="85"/>
      <c r="H3018" s="86"/>
      <c r="I3018" s="86"/>
      <c r="J3018" s="87"/>
      <c r="K3018" s="85"/>
      <c r="L3018" s="85"/>
      <c r="P3018" s="85"/>
      <c r="Q3018" s="85"/>
      <c r="R3018" s="81"/>
    </row>
    <row r="3019" spans="7:18" x14ac:dyDescent="0.3">
      <c r="G3019" s="85"/>
      <c r="H3019" s="86"/>
      <c r="I3019" s="86"/>
      <c r="J3019" s="87"/>
      <c r="K3019" s="85"/>
      <c r="L3019" s="85"/>
      <c r="P3019" s="85"/>
      <c r="Q3019" s="85"/>
      <c r="R3019" s="81"/>
    </row>
    <row r="3020" spans="7:18" x14ac:dyDescent="0.3">
      <c r="G3020" s="85"/>
      <c r="H3020" s="86"/>
      <c r="I3020" s="86"/>
      <c r="J3020" s="87"/>
      <c r="K3020" s="85"/>
      <c r="L3020" s="85"/>
      <c r="P3020" s="85"/>
      <c r="Q3020" s="85"/>
      <c r="R3020" s="81"/>
    </row>
    <row r="3021" spans="7:18" x14ac:dyDescent="0.3">
      <c r="G3021" s="85"/>
      <c r="H3021" s="86"/>
      <c r="I3021" s="86"/>
      <c r="J3021" s="87"/>
      <c r="K3021" s="85"/>
      <c r="L3021" s="85"/>
      <c r="P3021" s="85"/>
      <c r="Q3021" s="85"/>
      <c r="R3021" s="81"/>
    </row>
    <row r="3022" spans="7:18" x14ac:dyDescent="0.3">
      <c r="G3022" s="85"/>
      <c r="H3022" s="86"/>
      <c r="I3022" s="86"/>
      <c r="J3022" s="87"/>
      <c r="K3022" s="85"/>
      <c r="L3022" s="85"/>
      <c r="P3022" s="85"/>
      <c r="Q3022" s="85"/>
      <c r="R3022" s="81"/>
    </row>
    <row r="3023" spans="7:18" x14ac:dyDescent="0.3">
      <c r="G3023" s="85"/>
      <c r="H3023" s="86"/>
      <c r="I3023" s="86"/>
      <c r="J3023" s="87"/>
      <c r="K3023" s="85"/>
      <c r="L3023" s="85"/>
      <c r="P3023" s="85"/>
      <c r="Q3023" s="85"/>
      <c r="R3023" s="81"/>
    </row>
    <row r="3024" spans="7:18" x14ac:dyDescent="0.3">
      <c r="G3024" s="85"/>
      <c r="H3024" s="86"/>
      <c r="I3024" s="86"/>
      <c r="J3024" s="87"/>
      <c r="K3024" s="85"/>
      <c r="L3024" s="85"/>
      <c r="P3024" s="85"/>
      <c r="Q3024" s="85"/>
      <c r="R3024" s="81"/>
    </row>
    <row r="3025" spans="7:18" x14ac:dyDescent="0.3">
      <c r="G3025" s="85"/>
      <c r="H3025" s="86"/>
      <c r="I3025" s="86"/>
      <c r="J3025" s="87"/>
      <c r="K3025" s="85"/>
      <c r="L3025" s="85"/>
      <c r="P3025" s="85"/>
      <c r="Q3025" s="85"/>
      <c r="R3025" s="81"/>
    </row>
    <row r="3026" spans="7:18" x14ac:dyDescent="0.3">
      <c r="G3026" s="85"/>
      <c r="H3026" s="86"/>
      <c r="I3026" s="86"/>
      <c r="J3026" s="87"/>
      <c r="K3026" s="85"/>
      <c r="L3026" s="85"/>
      <c r="P3026" s="85"/>
      <c r="Q3026" s="85"/>
      <c r="R3026" s="81"/>
    </row>
    <row r="3027" spans="7:18" x14ac:dyDescent="0.3">
      <c r="G3027" s="85"/>
      <c r="H3027" s="86"/>
      <c r="I3027" s="86"/>
      <c r="J3027" s="87"/>
      <c r="K3027" s="85"/>
      <c r="L3027" s="85"/>
      <c r="P3027" s="85"/>
      <c r="Q3027" s="85"/>
      <c r="R3027" s="81"/>
    </row>
    <row r="3028" spans="7:18" x14ac:dyDescent="0.3">
      <c r="G3028" s="85"/>
      <c r="H3028" s="86"/>
      <c r="I3028" s="86"/>
      <c r="J3028" s="87"/>
      <c r="K3028" s="85"/>
      <c r="L3028" s="85"/>
      <c r="P3028" s="85"/>
      <c r="Q3028" s="85"/>
      <c r="R3028" s="81"/>
    </row>
    <row r="3029" spans="7:18" x14ac:dyDescent="0.3">
      <c r="G3029" s="85"/>
      <c r="H3029" s="86"/>
      <c r="I3029" s="86"/>
      <c r="J3029" s="87"/>
      <c r="K3029" s="85"/>
      <c r="L3029" s="85"/>
      <c r="P3029" s="85"/>
      <c r="Q3029" s="85"/>
      <c r="R3029" s="81"/>
    </row>
    <row r="3030" spans="7:18" x14ac:dyDescent="0.3">
      <c r="G3030" s="85"/>
      <c r="H3030" s="86"/>
      <c r="I3030" s="86"/>
      <c r="J3030" s="87"/>
      <c r="K3030" s="85"/>
      <c r="L3030" s="85"/>
      <c r="P3030" s="85"/>
      <c r="Q3030" s="85"/>
      <c r="R3030" s="81"/>
    </row>
    <row r="3031" spans="7:18" x14ac:dyDescent="0.3">
      <c r="G3031" s="85"/>
      <c r="H3031" s="86"/>
      <c r="I3031" s="86"/>
      <c r="J3031" s="87"/>
      <c r="K3031" s="85"/>
      <c r="L3031" s="85"/>
      <c r="P3031" s="85"/>
      <c r="Q3031" s="85"/>
      <c r="R3031" s="81"/>
    </row>
    <row r="3032" spans="7:18" x14ac:dyDescent="0.3">
      <c r="G3032" s="85"/>
      <c r="H3032" s="86"/>
      <c r="I3032" s="86"/>
      <c r="J3032" s="87"/>
      <c r="K3032" s="85"/>
      <c r="L3032" s="85"/>
      <c r="P3032" s="85"/>
      <c r="Q3032" s="85"/>
      <c r="R3032" s="81"/>
    </row>
    <row r="3033" spans="7:18" x14ac:dyDescent="0.3">
      <c r="G3033" s="85"/>
      <c r="H3033" s="86"/>
      <c r="I3033" s="86"/>
      <c r="J3033" s="87"/>
      <c r="K3033" s="85"/>
      <c r="L3033" s="85"/>
      <c r="P3033" s="85"/>
      <c r="Q3033" s="85"/>
      <c r="R3033" s="81"/>
    </row>
    <row r="3034" spans="7:18" x14ac:dyDescent="0.3">
      <c r="G3034" s="85"/>
      <c r="H3034" s="86"/>
      <c r="I3034" s="86"/>
      <c r="J3034" s="87"/>
      <c r="K3034" s="85"/>
      <c r="L3034" s="85"/>
      <c r="P3034" s="85"/>
      <c r="Q3034" s="85"/>
      <c r="R3034" s="81"/>
    </row>
    <row r="3035" spans="7:18" x14ac:dyDescent="0.3">
      <c r="G3035" s="85"/>
      <c r="H3035" s="86"/>
      <c r="I3035" s="86"/>
      <c r="J3035" s="87"/>
      <c r="K3035" s="85"/>
      <c r="L3035" s="85"/>
      <c r="P3035" s="85"/>
      <c r="Q3035" s="85"/>
      <c r="R3035" s="81"/>
    </row>
    <row r="3036" spans="7:18" x14ac:dyDescent="0.3">
      <c r="G3036" s="85"/>
      <c r="H3036" s="86"/>
      <c r="I3036" s="86"/>
      <c r="J3036" s="87"/>
      <c r="K3036" s="85"/>
      <c r="L3036" s="85"/>
      <c r="P3036" s="85"/>
      <c r="Q3036" s="85"/>
      <c r="R3036" s="81"/>
    </row>
    <row r="3037" spans="7:18" x14ac:dyDescent="0.3">
      <c r="G3037" s="85"/>
      <c r="H3037" s="86"/>
      <c r="I3037" s="86"/>
      <c r="J3037" s="87"/>
      <c r="K3037" s="85"/>
      <c r="L3037" s="85"/>
      <c r="P3037" s="85"/>
      <c r="Q3037" s="85"/>
      <c r="R3037" s="81"/>
    </row>
    <row r="3038" spans="7:18" x14ac:dyDescent="0.3">
      <c r="G3038" s="85"/>
      <c r="H3038" s="86"/>
      <c r="I3038" s="86"/>
      <c r="J3038" s="87"/>
      <c r="K3038" s="85"/>
      <c r="L3038" s="85"/>
      <c r="P3038" s="85"/>
      <c r="Q3038" s="85"/>
      <c r="R3038" s="81"/>
    </row>
    <row r="3039" spans="7:18" x14ac:dyDescent="0.3">
      <c r="G3039" s="85"/>
      <c r="H3039" s="86"/>
      <c r="I3039" s="86"/>
      <c r="J3039" s="87"/>
      <c r="K3039" s="85"/>
      <c r="L3039" s="85"/>
      <c r="P3039" s="85"/>
      <c r="Q3039" s="85"/>
      <c r="R3039" s="81"/>
    </row>
    <row r="3040" spans="7:18" x14ac:dyDescent="0.3">
      <c r="G3040" s="85"/>
      <c r="H3040" s="86"/>
      <c r="I3040" s="86"/>
      <c r="J3040" s="87"/>
      <c r="K3040" s="85"/>
      <c r="L3040" s="85"/>
      <c r="P3040" s="85"/>
      <c r="Q3040" s="85"/>
      <c r="R3040" s="81"/>
    </row>
    <row r="3041" spans="7:18" x14ac:dyDescent="0.3">
      <c r="G3041" s="85"/>
      <c r="H3041" s="86"/>
      <c r="I3041" s="86"/>
      <c r="J3041" s="87"/>
      <c r="K3041" s="85"/>
      <c r="L3041" s="85"/>
      <c r="P3041" s="85"/>
      <c r="Q3041" s="85"/>
      <c r="R3041" s="81"/>
    </row>
    <row r="3042" spans="7:18" x14ac:dyDescent="0.3">
      <c r="G3042" s="85"/>
      <c r="H3042" s="86"/>
      <c r="I3042" s="86"/>
      <c r="J3042" s="87"/>
      <c r="K3042" s="85"/>
      <c r="L3042" s="85"/>
      <c r="P3042" s="85"/>
      <c r="Q3042" s="85"/>
      <c r="R3042" s="81"/>
    </row>
    <row r="3043" spans="7:18" x14ac:dyDescent="0.3">
      <c r="G3043" s="85"/>
      <c r="H3043" s="86"/>
      <c r="I3043" s="86"/>
      <c r="J3043" s="87"/>
      <c r="K3043" s="85"/>
      <c r="L3043" s="85"/>
      <c r="P3043" s="85"/>
      <c r="Q3043" s="85"/>
      <c r="R3043" s="81"/>
    </row>
    <row r="3044" spans="7:18" x14ac:dyDescent="0.3">
      <c r="G3044" s="85"/>
      <c r="H3044" s="86"/>
      <c r="I3044" s="86"/>
      <c r="J3044" s="87"/>
      <c r="K3044" s="85"/>
      <c r="L3044" s="85"/>
      <c r="P3044" s="85"/>
      <c r="Q3044" s="85"/>
      <c r="R3044" s="81"/>
    </row>
    <row r="3045" spans="7:18" x14ac:dyDescent="0.3">
      <c r="G3045" s="85"/>
      <c r="H3045" s="86"/>
      <c r="I3045" s="86"/>
      <c r="J3045" s="87"/>
      <c r="K3045" s="85"/>
      <c r="L3045" s="85"/>
      <c r="P3045" s="85"/>
      <c r="Q3045" s="85"/>
      <c r="R3045" s="81"/>
    </row>
    <row r="3046" spans="7:18" x14ac:dyDescent="0.3">
      <c r="G3046" s="85"/>
      <c r="H3046" s="86"/>
      <c r="I3046" s="86"/>
      <c r="J3046" s="87"/>
      <c r="K3046" s="85"/>
      <c r="L3046" s="85"/>
      <c r="P3046" s="85"/>
      <c r="Q3046" s="85"/>
      <c r="R3046" s="81"/>
    </row>
    <row r="3047" spans="7:18" x14ac:dyDescent="0.3">
      <c r="G3047" s="85"/>
      <c r="H3047" s="86"/>
      <c r="I3047" s="86"/>
      <c r="J3047" s="87"/>
      <c r="K3047" s="85"/>
      <c r="L3047" s="85"/>
      <c r="P3047" s="85"/>
      <c r="Q3047" s="85"/>
      <c r="R3047" s="81"/>
    </row>
    <row r="3048" spans="7:18" x14ac:dyDescent="0.3">
      <c r="G3048" s="85"/>
      <c r="H3048" s="86"/>
      <c r="I3048" s="86"/>
      <c r="J3048" s="87"/>
      <c r="K3048" s="85"/>
      <c r="L3048" s="85"/>
      <c r="P3048" s="85"/>
      <c r="Q3048" s="85"/>
      <c r="R3048" s="81"/>
    </row>
    <row r="3049" spans="7:18" x14ac:dyDescent="0.3">
      <c r="G3049" s="85"/>
      <c r="H3049" s="86"/>
      <c r="I3049" s="86"/>
      <c r="J3049" s="87"/>
      <c r="K3049" s="85"/>
      <c r="L3049" s="85"/>
      <c r="P3049" s="85"/>
      <c r="Q3049" s="85"/>
      <c r="R3049" s="81"/>
    </row>
    <row r="3050" spans="7:18" x14ac:dyDescent="0.3">
      <c r="G3050" s="85"/>
      <c r="H3050" s="86"/>
      <c r="I3050" s="86"/>
      <c r="J3050" s="87"/>
      <c r="K3050" s="85"/>
      <c r="L3050" s="85"/>
      <c r="P3050" s="85"/>
      <c r="Q3050" s="85"/>
      <c r="R3050" s="81"/>
    </row>
    <row r="3051" spans="7:18" x14ac:dyDescent="0.3">
      <c r="G3051" s="85"/>
      <c r="H3051" s="86"/>
      <c r="I3051" s="86"/>
      <c r="J3051" s="87"/>
      <c r="K3051" s="85"/>
      <c r="L3051" s="85"/>
      <c r="P3051" s="85"/>
      <c r="Q3051" s="85"/>
      <c r="R3051" s="81"/>
    </row>
    <row r="3052" spans="7:18" x14ac:dyDescent="0.3">
      <c r="G3052" s="85"/>
      <c r="H3052" s="86"/>
      <c r="I3052" s="86"/>
      <c r="J3052" s="87"/>
      <c r="K3052" s="85"/>
      <c r="L3052" s="85"/>
      <c r="P3052" s="85"/>
      <c r="Q3052" s="85"/>
      <c r="R3052" s="81"/>
    </row>
    <row r="3053" spans="7:18" x14ac:dyDescent="0.3">
      <c r="G3053" s="85"/>
      <c r="H3053" s="86"/>
      <c r="I3053" s="86"/>
      <c r="J3053" s="87"/>
      <c r="K3053" s="85"/>
      <c r="L3053" s="85"/>
      <c r="P3053" s="85"/>
      <c r="Q3053" s="85"/>
      <c r="R3053" s="81"/>
    </row>
    <row r="3054" spans="7:18" x14ac:dyDescent="0.3">
      <c r="G3054" s="85"/>
      <c r="H3054" s="86"/>
      <c r="I3054" s="86"/>
      <c r="J3054" s="87"/>
      <c r="K3054" s="85"/>
      <c r="L3054" s="85"/>
      <c r="P3054" s="85"/>
      <c r="Q3054" s="85"/>
      <c r="R3054" s="81"/>
    </row>
    <row r="3055" spans="7:18" x14ac:dyDescent="0.3">
      <c r="G3055" s="85"/>
      <c r="H3055" s="86"/>
      <c r="I3055" s="86"/>
      <c r="J3055" s="87"/>
      <c r="K3055" s="85"/>
      <c r="L3055" s="85"/>
      <c r="P3055" s="85"/>
      <c r="Q3055" s="85"/>
      <c r="R3055" s="81"/>
    </row>
    <row r="3056" spans="7:18" x14ac:dyDescent="0.3">
      <c r="G3056" s="85"/>
      <c r="H3056" s="86"/>
      <c r="I3056" s="86"/>
      <c r="J3056" s="87"/>
      <c r="K3056" s="85"/>
      <c r="L3056" s="85"/>
      <c r="P3056" s="85"/>
      <c r="Q3056" s="85"/>
      <c r="R3056" s="81"/>
    </row>
    <row r="3057" spans="7:18" x14ac:dyDescent="0.3">
      <c r="G3057" s="85"/>
      <c r="H3057" s="86"/>
      <c r="I3057" s="86"/>
      <c r="J3057" s="87"/>
      <c r="K3057" s="85"/>
      <c r="L3057" s="85"/>
      <c r="P3057" s="85"/>
      <c r="Q3057" s="85"/>
      <c r="R3057" s="81"/>
    </row>
    <row r="3058" spans="7:18" x14ac:dyDescent="0.3">
      <c r="G3058" s="85"/>
      <c r="H3058" s="86"/>
      <c r="I3058" s="86"/>
      <c r="J3058" s="87"/>
      <c r="K3058" s="85"/>
      <c r="L3058" s="85"/>
      <c r="P3058" s="85"/>
      <c r="Q3058" s="85"/>
      <c r="R3058" s="81"/>
    </row>
    <row r="3059" spans="7:18" x14ac:dyDescent="0.3">
      <c r="G3059" s="85"/>
      <c r="H3059" s="86"/>
      <c r="I3059" s="86"/>
      <c r="J3059" s="87"/>
      <c r="K3059" s="85"/>
      <c r="L3059" s="85"/>
      <c r="P3059" s="85"/>
      <c r="Q3059" s="85"/>
      <c r="R3059" s="81"/>
    </row>
    <row r="3060" spans="7:18" x14ac:dyDescent="0.3">
      <c r="G3060" s="85"/>
      <c r="H3060" s="86"/>
      <c r="I3060" s="86"/>
      <c r="J3060" s="87"/>
      <c r="K3060" s="85"/>
      <c r="L3060" s="85"/>
      <c r="P3060" s="85"/>
      <c r="Q3060" s="85"/>
      <c r="R3060" s="81"/>
    </row>
    <row r="3061" spans="7:18" x14ac:dyDescent="0.3">
      <c r="G3061" s="85"/>
      <c r="H3061" s="86"/>
      <c r="I3061" s="86"/>
      <c r="J3061" s="87"/>
      <c r="K3061" s="85"/>
      <c r="L3061" s="85"/>
      <c r="P3061" s="85"/>
      <c r="Q3061" s="85"/>
      <c r="R3061" s="81"/>
    </row>
    <row r="3062" spans="7:18" x14ac:dyDescent="0.3">
      <c r="G3062" s="85"/>
      <c r="H3062" s="86"/>
      <c r="I3062" s="86"/>
      <c r="J3062" s="87"/>
      <c r="K3062" s="85"/>
      <c r="L3062" s="85"/>
      <c r="P3062" s="85"/>
      <c r="Q3062" s="85"/>
      <c r="R3062" s="81"/>
    </row>
    <row r="3063" spans="7:18" x14ac:dyDescent="0.3">
      <c r="G3063" s="85"/>
      <c r="H3063" s="86"/>
      <c r="I3063" s="86"/>
      <c r="J3063" s="87"/>
      <c r="K3063" s="85"/>
      <c r="L3063" s="85"/>
      <c r="P3063" s="85"/>
      <c r="Q3063" s="85"/>
      <c r="R3063" s="81"/>
    </row>
    <row r="3064" spans="7:18" x14ac:dyDescent="0.3">
      <c r="G3064" s="85"/>
      <c r="H3064" s="86"/>
      <c r="I3064" s="86"/>
      <c r="J3064" s="87"/>
      <c r="K3064" s="85"/>
      <c r="L3064" s="85"/>
      <c r="P3064" s="85"/>
      <c r="Q3064" s="85"/>
      <c r="R3064" s="81"/>
    </row>
    <row r="3065" spans="7:18" x14ac:dyDescent="0.3">
      <c r="G3065" s="85"/>
      <c r="H3065" s="86"/>
      <c r="I3065" s="86"/>
      <c r="J3065" s="87"/>
      <c r="K3065" s="85"/>
      <c r="L3065" s="85"/>
      <c r="P3065" s="85"/>
      <c r="Q3065" s="85"/>
      <c r="R3065" s="81"/>
    </row>
    <row r="3066" spans="7:18" x14ac:dyDescent="0.3">
      <c r="G3066" s="85"/>
      <c r="H3066" s="86"/>
      <c r="I3066" s="86"/>
      <c r="J3066" s="87"/>
      <c r="K3066" s="85"/>
      <c r="L3066" s="85"/>
      <c r="P3066" s="85"/>
      <c r="Q3066" s="85"/>
      <c r="R3066" s="81"/>
    </row>
    <row r="3067" spans="7:18" x14ac:dyDescent="0.3">
      <c r="G3067" s="85"/>
      <c r="H3067" s="86"/>
      <c r="I3067" s="86"/>
      <c r="J3067" s="87"/>
      <c r="K3067" s="85"/>
      <c r="L3067" s="85"/>
      <c r="P3067" s="85"/>
      <c r="Q3067" s="85"/>
      <c r="R3067" s="81"/>
    </row>
    <row r="3068" spans="7:18" x14ac:dyDescent="0.3">
      <c r="G3068" s="85"/>
      <c r="H3068" s="86"/>
      <c r="I3068" s="86"/>
      <c r="J3068" s="87"/>
      <c r="K3068" s="85"/>
      <c r="L3068" s="85"/>
      <c r="P3068" s="85"/>
      <c r="Q3068" s="85"/>
      <c r="R3068" s="81"/>
    </row>
    <row r="3069" spans="7:18" x14ac:dyDescent="0.3">
      <c r="G3069" s="85"/>
      <c r="H3069" s="86"/>
      <c r="I3069" s="86"/>
      <c r="J3069" s="87"/>
      <c r="K3069" s="85"/>
      <c r="L3069" s="85"/>
      <c r="P3069" s="85"/>
      <c r="Q3069" s="85"/>
      <c r="R3069" s="81"/>
    </row>
    <row r="3070" spans="7:18" x14ac:dyDescent="0.3">
      <c r="G3070" s="85"/>
      <c r="H3070" s="86"/>
      <c r="I3070" s="86"/>
      <c r="J3070" s="87"/>
      <c r="K3070" s="85"/>
      <c r="L3070" s="85"/>
      <c r="P3070" s="85"/>
      <c r="Q3070" s="85"/>
      <c r="R3070" s="81"/>
    </row>
    <row r="3071" spans="7:18" x14ac:dyDescent="0.3">
      <c r="G3071" s="85"/>
      <c r="H3071" s="86"/>
      <c r="I3071" s="86"/>
      <c r="J3071" s="87"/>
      <c r="K3071" s="85"/>
      <c r="L3071" s="85"/>
      <c r="P3071" s="85"/>
      <c r="Q3071" s="85"/>
      <c r="R3071" s="81"/>
    </row>
    <row r="3072" spans="7:18" x14ac:dyDescent="0.3">
      <c r="G3072" s="85"/>
      <c r="H3072" s="86"/>
      <c r="I3072" s="86"/>
      <c r="J3072" s="87"/>
      <c r="K3072" s="85"/>
      <c r="L3072" s="85"/>
      <c r="P3072" s="85"/>
      <c r="Q3072" s="85"/>
      <c r="R3072" s="81"/>
    </row>
    <row r="3073" spans="7:18" x14ac:dyDescent="0.3">
      <c r="G3073" s="85"/>
      <c r="H3073" s="86"/>
      <c r="I3073" s="86"/>
      <c r="J3073" s="87"/>
      <c r="K3073" s="85"/>
      <c r="L3073" s="85"/>
      <c r="P3073" s="85"/>
      <c r="Q3073" s="85"/>
      <c r="R3073" s="81"/>
    </row>
    <row r="3074" spans="7:18" x14ac:dyDescent="0.3">
      <c r="G3074" s="85"/>
      <c r="H3074" s="86"/>
      <c r="I3074" s="86"/>
      <c r="J3074" s="87"/>
      <c r="K3074" s="85"/>
      <c r="L3074" s="85"/>
      <c r="P3074" s="85"/>
      <c r="Q3074" s="85"/>
      <c r="R3074" s="81"/>
    </row>
    <row r="3075" spans="7:18" x14ac:dyDescent="0.3">
      <c r="G3075" s="85"/>
      <c r="H3075" s="86"/>
      <c r="I3075" s="86"/>
      <c r="J3075" s="87"/>
      <c r="K3075" s="85"/>
      <c r="L3075" s="85"/>
      <c r="P3075" s="85"/>
      <c r="Q3075" s="85"/>
      <c r="R3075" s="81"/>
    </row>
    <row r="3076" spans="7:18" x14ac:dyDescent="0.3">
      <c r="G3076" s="85"/>
      <c r="H3076" s="86"/>
      <c r="I3076" s="86"/>
      <c r="J3076" s="87"/>
      <c r="K3076" s="85"/>
      <c r="L3076" s="85"/>
      <c r="P3076" s="85"/>
      <c r="Q3076" s="85"/>
      <c r="R3076" s="81"/>
    </row>
    <row r="3077" spans="7:18" x14ac:dyDescent="0.3">
      <c r="G3077" s="85"/>
      <c r="H3077" s="86"/>
      <c r="I3077" s="86"/>
      <c r="J3077" s="87"/>
      <c r="K3077" s="85"/>
      <c r="L3077" s="85"/>
      <c r="P3077" s="85"/>
      <c r="Q3077" s="85"/>
      <c r="R3077" s="81"/>
    </row>
    <row r="3078" spans="7:18" x14ac:dyDescent="0.3">
      <c r="G3078" s="85"/>
      <c r="H3078" s="86"/>
      <c r="I3078" s="86"/>
      <c r="J3078" s="87"/>
      <c r="K3078" s="85"/>
      <c r="L3078" s="85"/>
      <c r="P3078" s="85"/>
      <c r="Q3078" s="85"/>
      <c r="R3078" s="81"/>
    </row>
    <row r="3079" spans="7:18" x14ac:dyDescent="0.3">
      <c r="G3079" s="85"/>
      <c r="H3079" s="86"/>
      <c r="I3079" s="86"/>
      <c r="J3079" s="87"/>
      <c r="K3079" s="85"/>
      <c r="L3079" s="85"/>
      <c r="P3079" s="85"/>
      <c r="Q3079" s="85"/>
      <c r="R3079" s="81"/>
    </row>
    <row r="3080" spans="7:18" x14ac:dyDescent="0.3">
      <c r="G3080" s="85"/>
      <c r="H3080" s="86"/>
      <c r="I3080" s="86"/>
      <c r="J3080" s="87"/>
      <c r="K3080" s="85"/>
      <c r="L3080" s="85"/>
      <c r="P3080" s="85"/>
      <c r="Q3080" s="85"/>
      <c r="R3080" s="81"/>
    </row>
    <row r="3081" spans="7:18" x14ac:dyDescent="0.3">
      <c r="G3081" s="85"/>
      <c r="H3081" s="86"/>
      <c r="I3081" s="86"/>
      <c r="J3081" s="87"/>
      <c r="K3081" s="85"/>
      <c r="L3081" s="85"/>
      <c r="P3081" s="85"/>
      <c r="Q3081" s="85"/>
      <c r="R3081" s="81"/>
    </row>
    <row r="3082" spans="7:18" x14ac:dyDescent="0.3">
      <c r="G3082" s="85"/>
      <c r="H3082" s="86"/>
      <c r="I3082" s="86"/>
      <c r="J3082" s="87"/>
      <c r="K3082" s="85"/>
      <c r="L3082" s="85"/>
      <c r="P3082" s="85"/>
      <c r="Q3082" s="85"/>
      <c r="R3082" s="81"/>
    </row>
    <row r="3083" spans="7:18" x14ac:dyDescent="0.3">
      <c r="G3083" s="85"/>
      <c r="H3083" s="86"/>
      <c r="I3083" s="86"/>
      <c r="J3083" s="87"/>
      <c r="K3083" s="85"/>
      <c r="L3083" s="85"/>
      <c r="P3083" s="85"/>
      <c r="Q3083" s="85"/>
      <c r="R3083" s="81"/>
    </row>
    <row r="3084" spans="7:18" x14ac:dyDescent="0.3">
      <c r="G3084" s="85"/>
      <c r="H3084" s="86"/>
      <c r="I3084" s="86"/>
      <c r="J3084" s="87"/>
      <c r="K3084" s="85"/>
      <c r="L3084" s="85"/>
      <c r="P3084" s="85"/>
      <c r="Q3084" s="85"/>
      <c r="R3084" s="81"/>
    </row>
    <row r="3085" spans="7:18" x14ac:dyDescent="0.3">
      <c r="G3085" s="85"/>
      <c r="H3085" s="86"/>
      <c r="I3085" s="86"/>
      <c r="J3085" s="87"/>
      <c r="K3085" s="85"/>
      <c r="L3085" s="85"/>
      <c r="P3085" s="85"/>
      <c r="Q3085" s="85"/>
      <c r="R3085" s="81"/>
    </row>
    <row r="3086" spans="7:18" x14ac:dyDescent="0.3">
      <c r="G3086" s="85"/>
      <c r="H3086" s="86"/>
      <c r="I3086" s="86"/>
      <c r="J3086" s="87"/>
      <c r="K3086" s="85"/>
      <c r="L3086" s="85"/>
      <c r="P3086" s="85"/>
      <c r="Q3086" s="85"/>
      <c r="R3086" s="81"/>
    </row>
    <row r="3087" spans="7:18" x14ac:dyDescent="0.3">
      <c r="G3087" s="85"/>
      <c r="H3087" s="86"/>
      <c r="I3087" s="86"/>
      <c r="J3087" s="87"/>
      <c r="K3087" s="85"/>
      <c r="L3087" s="85"/>
      <c r="P3087" s="85"/>
      <c r="Q3087" s="85"/>
      <c r="R3087" s="81"/>
    </row>
    <row r="3088" spans="7:18" x14ac:dyDescent="0.3">
      <c r="G3088" s="85"/>
      <c r="H3088" s="86"/>
      <c r="I3088" s="86"/>
      <c r="J3088" s="87"/>
      <c r="K3088" s="85"/>
      <c r="L3088" s="85"/>
      <c r="P3088" s="85"/>
      <c r="Q3088" s="85"/>
      <c r="R3088" s="81"/>
    </row>
    <row r="3089" spans="7:18" x14ac:dyDescent="0.3">
      <c r="G3089" s="85"/>
      <c r="H3089" s="86"/>
      <c r="I3089" s="86"/>
      <c r="J3089" s="87"/>
      <c r="K3089" s="85"/>
      <c r="L3089" s="85"/>
      <c r="P3089" s="85"/>
      <c r="Q3089" s="85"/>
      <c r="R3089" s="81"/>
    </row>
    <row r="3090" spans="7:18" x14ac:dyDescent="0.3">
      <c r="G3090" s="85"/>
      <c r="H3090" s="86"/>
      <c r="I3090" s="86"/>
      <c r="J3090" s="87"/>
      <c r="K3090" s="85"/>
      <c r="L3090" s="85"/>
      <c r="P3090" s="85"/>
      <c r="Q3090" s="85"/>
      <c r="R3090" s="81"/>
    </row>
    <row r="3091" spans="7:18" x14ac:dyDescent="0.3">
      <c r="G3091" s="85"/>
      <c r="H3091" s="86"/>
      <c r="I3091" s="86"/>
      <c r="J3091" s="87"/>
      <c r="K3091" s="85"/>
      <c r="L3091" s="85"/>
      <c r="P3091" s="85"/>
      <c r="Q3091" s="85"/>
      <c r="R3091" s="81"/>
    </row>
    <row r="3092" spans="7:18" x14ac:dyDescent="0.3">
      <c r="G3092" s="85"/>
      <c r="H3092" s="86"/>
      <c r="I3092" s="86"/>
      <c r="J3092" s="87"/>
      <c r="K3092" s="85"/>
      <c r="L3092" s="85"/>
      <c r="P3092" s="85"/>
      <c r="Q3092" s="85"/>
      <c r="R3092" s="81"/>
    </row>
    <row r="3093" spans="7:18" x14ac:dyDescent="0.3">
      <c r="G3093" s="85"/>
      <c r="H3093" s="86"/>
      <c r="I3093" s="86"/>
      <c r="J3093" s="87"/>
      <c r="K3093" s="85"/>
      <c r="L3093" s="85"/>
      <c r="P3093" s="85"/>
      <c r="Q3093" s="85"/>
      <c r="R3093" s="81"/>
    </row>
    <row r="3094" spans="7:18" x14ac:dyDescent="0.3">
      <c r="G3094" s="85"/>
      <c r="H3094" s="86"/>
      <c r="I3094" s="86"/>
      <c r="J3094" s="87"/>
      <c r="K3094" s="85"/>
      <c r="L3094" s="85"/>
      <c r="P3094" s="85"/>
      <c r="Q3094" s="85"/>
      <c r="R3094" s="81"/>
    </row>
    <row r="3095" spans="7:18" x14ac:dyDescent="0.3">
      <c r="G3095" s="85"/>
      <c r="H3095" s="86"/>
      <c r="I3095" s="86"/>
      <c r="J3095" s="87"/>
      <c r="K3095" s="85"/>
      <c r="L3095" s="85"/>
      <c r="P3095" s="85"/>
      <c r="Q3095" s="85"/>
      <c r="R3095" s="81"/>
    </row>
    <row r="3096" spans="7:18" x14ac:dyDescent="0.3">
      <c r="G3096" s="85"/>
      <c r="H3096" s="86"/>
      <c r="I3096" s="86"/>
      <c r="J3096" s="87"/>
      <c r="K3096" s="85"/>
      <c r="L3096" s="85"/>
      <c r="P3096" s="85"/>
      <c r="Q3096" s="85"/>
      <c r="R3096" s="81"/>
    </row>
    <row r="3097" spans="7:18" x14ac:dyDescent="0.3">
      <c r="G3097" s="85"/>
      <c r="H3097" s="86"/>
      <c r="I3097" s="86"/>
      <c r="J3097" s="87"/>
      <c r="K3097" s="85"/>
      <c r="L3097" s="85"/>
      <c r="P3097" s="85"/>
      <c r="Q3097" s="85"/>
      <c r="R3097" s="81"/>
    </row>
    <row r="3098" spans="7:18" x14ac:dyDescent="0.3">
      <c r="G3098" s="85"/>
      <c r="H3098" s="86"/>
      <c r="I3098" s="86"/>
      <c r="J3098" s="87"/>
      <c r="K3098" s="85"/>
      <c r="L3098" s="85"/>
      <c r="P3098" s="85"/>
      <c r="Q3098" s="85"/>
      <c r="R3098" s="81"/>
    </row>
    <row r="3099" spans="7:18" x14ac:dyDescent="0.3">
      <c r="G3099" s="85"/>
      <c r="H3099" s="86"/>
      <c r="I3099" s="86"/>
      <c r="J3099" s="87"/>
      <c r="K3099" s="85"/>
      <c r="L3099" s="85"/>
      <c r="P3099" s="85"/>
      <c r="Q3099" s="85"/>
      <c r="R3099" s="81"/>
    </row>
    <row r="3100" spans="7:18" x14ac:dyDescent="0.3">
      <c r="G3100" s="85"/>
      <c r="H3100" s="86"/>
      <c r="I3100" s="86"/>
      <c r="J3100" s="87"/>
      <c r="K3100" s="85"/>
      <c r="L3100" s="85"/>
      <c r="P3100" s="85"/>
      <c r="Q3100" s="85"/>
      <c r="R3100" s="81"/>
    </row>
    <row r="3101" spans="7:18" x14ac:dyDescent="0.3">
      <c r="G3101" s="85"/>
      <c r="H3101" s="86"/>
      <c r="I3101" s="86"/>
      <c r="J3101" s="87"/>
      <c r="K3101" s="85"/>
      <c r="L3101" s="85"/>
      <c r="P3101" s="85"/>
      <c r="Q3101" s="85"/>
      <c r="R3101" s="81"/>
    </row>
    <row r="3102" spans="7:18" x14ac:dyDescent="0.3">
      <c r="G3102" s="85"/>
      <c r="H3102" s="86"/>
      <c r="I3102" s="86"/>
      <c r="J3102" s="87"/>
      <c r="K3102" s="85"/>
      <c r="L3102" s="85"/>
      <c r="P3102" s="85"/>
      <c r="Q3102" s="85"/>
      <c r="R3102" s="81"/>
    </row>
    <row r="3103" spans="7:18" x14ac:dyDescent="0.3">
      <c r="G3103" s="85"/>
      <c r="H3103" s="86"/>
      <c r="I3103" s="86"/>
      <c r="J3103" s="87"/>
      <c r="K3103" s="85"/>
      <c r="L3103" s="85"/>
      <c r="P3103" s="85"/>
      <c r="Q3103" s="85"/>
      <c r="R3103" s="81"/>
    </row>
    <row r="3104" spans="7:18" x14ac:dyDescent="0.3">
      <c r="G3104" s="85"/>
      <c r="H3104" s="86"/>
      <c r="I3104" s="86"/>
      <c r="J3104" s="87"/>
      <c r="K3104" s="85"/>
      <c r="L3104" s="85"/>
      <c r="P3104" s="85"/>
      <c r="Q3104" s="85"/>
      <c r="R3104" s="81"/>
    </row>
    <row r="3105" spans="7:18" x14ac:dyDescent="0.3">
      <c r="G3105" s="85"/>
      <c r="H3105" s="86"/>
      <c r="I3105" s="86"/>
      <c r="J3105" s="87"/>
      <c r="K3105" s="85"/>
      <c r="L3105" s="85"/>
      <c r="P3105" s="85"/>
      <c r="Q3105" s="85"/>
      <c r="R3105" s="81"/>
    </row>
    <row r="3106" spans="7:18" x14ac:dyDescent="0.3">
      <c r="G3106" s="85"/>
      <c r="H3106" s="86"/>
      <c r="I3106" s="86"/>
      <c r="J3106" s="87"/>
      <c r="K3106" s="85"/>
      <c r="L3106" s="85"/>
      <c r="P3106" s="85"/>
      <c r="Q3106" s="85"/>
      <c r="R3106" s="81"/>
    </row>
    <row r="3107" spans="7:18" x14ac:dyDescent="0.3">
      <c r="G3107" s="85"/>
      <c r="H3107" s="86"/>
      <c r="I3107" s="86"/>
      <c r="J3107" s="87"/>
      <c r="K3107" s="85"/>
      <c r="L3107" s="85"/>
      <c r="P3107" s="85"/>
      <c r="Q3107" s="85"/>
      <c r="R3107" s="81"/>
    </row>
    <row r="3108" spans="7:18" x14ac:dyDescent="0.3">
      <c r="G3108" s="85"/>
      <c r="H3108" s="86"/>
      <c r="I3108" s="86"/>
      <c r="J3108" s="87"/>
      <c r="K3108" s="85"/>
      <c r="L3108" s="85"/>
      <c r="P3108" s="85"/>
      <c r="Q3108" s="85"/>
      <c r="R3108" s="81"/>
    </row>
    <row r="3109" spans="7:18" x14ac:dyDescent="0.3">
      <c r="G3109" s="85"/>
      <c r="H3109" s="86"/>
      <c r="I3109" s="86"/>
      <c r="J3109" s="87"/>
      <c r="K3109" s="85"/>
      <c r="L3109" s="85"/>
      <c r="P3109" s="85"/>
      <c r="Q3109" s="85"/>
      <c r="R3109" s="81"/>
    </row>
    <row r="3110" spans="7:18" x14ac:dyDescent="0.3">
      <c r="G3110" s="85"/>
      <c r="H3110" s="86"/>
      <c r="I3110" s="86"/>
      <c r="J3110" s="87"/>
      <c r="K3110" s="85"/>
      <c r="L3110" s="85"/>
      <c r="P3110" s="85"/>
      <c r="Q3110" s="85"/>
      <c r="R3110" s="81"/>
    </row>
    <row r="3111" spans="7:18" x14ac:dyDescent="0.3">
      <c r="G3111" s="85"/>
      <c r="H3111" s="86"/>
      <c r="I3111" s="86"/>
      <c r="J3111" s="87"/>
      <c r="K3111" s="85"/>
      <c r="L3111" s="85"/>
      <c r="P3111" s="85"/>
      <c r="Q3111" s="85"/>
      <c r="R3111" s="81"/>
    </row>
    <row r="3112" spans="7:18" x14ac:dyDescent="0.3">
      <c r="G3112" s="85"/>
      <c r="H3112" s="86"/>
      <c r="I3112" s="86"/>
      <c r="J3112" s="87"/>
      <c r="K3112" s="85"/>
      <c r="L3112" s="85"/>
      <c r="P3112" s="85"/>
      <c r="Q3112" s="85"/>
      <c r="R3112" s="81"/>
    </row>
    <row r="3113" spans="7:18" x14ac:dyDescent="0.3">
      <c r="G3113" s="85"/>
      <c r="H3113" s="86"/>
      <c r="I3113" s="86"/>
      <c r="J3113" s="87"/>
      <c r="K3113" s="85"/>
      <c r="L3113" s="85"/>
      <c r="P3113" s="85"/>
      <c r="Q3113" s="85"/>
      <c r="R3113" s="81"/>
    </row>
    <row r="3114" spans="7:18" x14ac:dyDescent="0.3">
      <c r="G3114" s="85"/>
      <c r="H3114" s="86"/>
      <c r="I3114" s="86"/>
      <c r="J3114" s="87"/>
      <c r="K3114" s="85"/>
      <c r="L3114" s="85"/>
      <c r="P3114" s="85"/>
      <c r="Q3114" s="85"/>
      <c r="R3114" s="81"/>
    </row>
    <row r="3115" spans="7:18" x14ac:dyDescent="0.3">
      <c r="G3115" s="85"/>
      <c r="H3115" s="86"/>
      <c r="I3115" s="86"/>
      <c r="J3115" s="87"/>
      <c r="K3115" s="85"/>
      <c r="L3115" s="85"/>
      <c r="P3115" s="85"/>
      <c r="Q3115" s="85"/>
      <c r="R3115" s="81"/>
    </row>
    <row r="3116" spans="7:18" x14ac:dyDescent="0.3">
      <c r="G3116" s="85"/>
      <c r="H3116" s="86"/>
      <c r="I3116" s="86"/>
      <c r="J3116" s="87"/>
      <c r="K3116" s="85"/>
      <c r="L3116" s="85"/>
      <c r="P3116" s="85"/>
      <c r="Q3116" s="85"/>
      <c r="R3116" s="81"/>
    </row>
    <row r="3117" spans="7:18" x14ac:dyDescent="0.3">
      <c r="G3117" s="85"/>
      <c r="H3117" s="86"/>
      <c r="I3117" s="86"/>
      <c r="J3117" s="87"/>
      <c r="K3117" s="85"/>
      <c r="L3117" s="85"/>
      <c r="P3117" s="85"/>
      <c r="Q3117" s="85"/>
      <c r="R3117" s="81"/>
    </row>
    <row r="3118" spans="7:18" x14ac:dyDescent="0.3">
      <c r="G3118" s="85"/>
      <c r="H3118" s="86"/>
      <c r="I3118" s="86"/>
      <c r="J3118" s="87"/>
      <c r="K3118" s="85"/>
      <c r="L3118" s="85"/>
      <c r="P3118" s="85"/>
      <c r="Q3118" s="85"/>
      <c r="R3118" s="81"/>
    </row>
    <row r="3119" spans="7:18" x14ac:dyDescent="0.3">
      <c r="G3119" s="85"/>
      <c r="H3119" s="86"/>
      <c r="I3119" s="86"/>
      <c r="J3119" s="87"/>
      <c r="K3119" s="85"/>
      <c r="L3119" s="85"/>
      <c r="P3119" s="85"/>
      <c r="Q3119" s="85"/>
      <c r="R3119" s="81"/>
    </row>
    <row r="3120" spans="7:18" x14ac:dyDescent="0.3">
      <c r="G3120" s="85"/>
      <c r="H3120" s="86"/>
      <c r="I3120" s="86"/>
      <c r="J3120" s="87"/>
      <c r="K3120" s="85"/>
      <c r="L3120" s="85"/>
      <c r="P3120" s="85"/>
      <c r="Q3120" s="85"/>
      <c r="R3120" s="81"/>
    </row>
    <row r="3121" spans="7:18" x14ac:dyDescent="0.3">
      <c r="G3121" s="85"/>
      <c r="H3121" s="86"/>
      <c r="I3121" s="86"/>
      <c r="J3121" s="87"/>
      <c r="K3121" s="85"/>
      <c r="L3121" s="85"/>
      <c r="P3121" s="85"/>
      <c r="Q3121" s="85"/>
      <c r="R3121" s="81"/>
    </row>
    <row r="3122" spans="7:18" x14ac:dyDescent="0.3">
      <c r="G3122" s="85"/>
      <c r="H3122" s="86"/>
      <c r="I3122" s="86"/>
      <c r="J3122" s="87"/>
      <c r="K3122" s="85"/>
      <c r="L3122" s="85"/>
      <c r="P3122" s="85"/>
      <c r="Q3122" s="85"/>
      <c r="R3122" s="81"/>
    </row>
    <row r="3123" spans="7:18" x14ac:dyDescent="0.3">
      <c r="G3123" s="85"/>
      <c r="H3123" s="86"/>
      <c r="I3123" s="86"/>
      <c r="J3123" s="87"/>
      <c r="K3123" s="85"/>
      <c r="L3123" s="85"/>
      <c r="P3123" s="85"/>
      <c r="Q3123" s="85"/>
      <c r="R3123" s="81"/>
    </row>
    <row r="3124" spans="7:18" x14ac:dyDescent="0.3">
      <c r="G3124" s="85"/>
      <c r="H3124" s="86"/>
      <c r="I3124" s="86"/>
      <c r="J3124" s="87"/>
      <c r="K3124" s="85"/>
      <c r="L3124" s="85"/>
      <c r="P3124" s="85"/>
      <c r="Q3124" s="85"/>
      <c r="R3124" s="81"/>
    </row>
    <row r="3125" spans="7:18" x14ac:dyDescent="0.3">
      <c r="G3125" s="85"/>
      <c r="H3125" s="86"/>
      <c r="I3125" s="86"/>
      <c r="J3125" s="87"/>
      <c r="K3125" s="85"/>
      <c r="L3125" s="85"/>
      <c r="P3125" s="85"/>
      <c r="Q3125" s="85"/>
      <c r="R3125" s="81"/>
    </row>
    <row r="3126" spans="7:18" x14ac:dyDescent="0.3">
      <c r="G3126" s="85"/>
      <c r="H3126" s="86"/>
      <c r="I3126" s="86"/>
      <c r="J3126" s="87"/>
      <c r="K3126" s="85"/>
      <c r="L3126" s="85"/>
      <c r="P3126" s="85"/>
      <c r="Q3126" s="85"/>
      <c r="R3126" s="81"/>
    </row>
    <row r="3127" spans="7:18" x14ac:dyDescent="0.3">
      <c r="G3127" s="85"/>
      <c r="H3127" s="86"/>
      <c r="I3127" s="86"/>
      <c r="J3127" s="87"/>
      <c r="K3127" s="85"/>
      <c r="L3127" s="85"/>
      <c r="P3127" s="85"/>
      <c r="Q3127" s="85"/>
      <c r="R3127" s="81"/>
    </row>
    <row r="3128" spans="7:18" x14ac:dyDescent="0.3">
      <c r="G3128" s="85"/>
      <c r="H3128" s="86"/>
      <c r="I3128" s="86"/>
      <c r="J3128" s="87"/>
      <c r="K3128" s="85"/>
      <c r="L3128" s="85"/>
      <c r="P3128" s="85"/>
      <c r="Q3128" s="85"/>
      <c r="R3128" s="81"/>
    </row>
    <row r="3129" spans="7:18" x14ac:dyDescent="0.3">
      <c r="G3129" s="85"/>
      <c r="H3129" s="86"/>
      <c r="I3129" s="86"/>
      <c r="J3129" s="87"/>
      <c r="K3129" s="85"/>
      <c r="L3129" s="85"/>
      <c r="P3129" s="85"/>
      <c r="Q3129" s="85"/>
      <c r="R3129" s="81"/>
    </row>
    <row r="3130" spans="7:18" x14ac:dyDescent="0.3">
      <c r="G3130" s="85"/>
      <c r="H3130" s="86"/>
      <c r="I3130" s="86"/>
      <c r="J3130" s="87"/>
      <c r="K3130" s="85"/>
      <c r="L3130" s="85"/>
      <c r="P3130" s="85"/>
      <c r="Q3130" s="85"/>
      <c r="R3130" s="81"/>
    </row>
    <row r="3131" spans="7:18" x14ac:dyDescent="0.3">
      <c r="G3131" s="85"/>
      <c r="H3131" s="86"/>
      <c r="I3131" s="86"/>
      <c r="J3131" s="87"/>
      <c r="K3131" s="85"/>
      <c r="L3131" s="85"/>
      <c r="P3131" s="85"/>
      <c r="Q3131" s="85"/>
      <c r="R3131" s="81"/>
    </row>
    <row r="3132" spans="7:18" x14ac:dyDescent="0.3">
      <c r="G3132" s="85"/>
      <c r="H3132" s="86"/>
      <c r="I3132" s="86"/>
      <c r="J3132" s="87"/>
      <c r="K3132" s="85"/>
      <c r="L3132" s="85"/>
      <c r="P3132" s="85"/>
      <c r="Q3132" s="85"/>
      <c r="R3132" s="81"/>
    </row>
    <row r="3133" spans="7:18" x14ac:dyDescent="0.3">
      <c r="G3133" s="85"/>
      <c r="H3133" s="86"/>
      <c r="I3133" s="86"/>
      <c r="J3133" s="87"/>
      <c r="K3133" s="85"/>
      <c r="L3133" s="85"/>
      <c r="P3133" s="85"/>
      <c r="Q3133" s="85"/>
      <c r="R3133" s="81"/>
    </row>
    <row r="3134" spans="7:18" x14ac:dyDescent="0.3">
      <c r="G3134" s="85"/>
      <c r="H3134" s="86"/>
      <c r="I3134" s="86"/>
      <c r="J3134" s="87"/>
      <c r="K3134" s="85"/>
      <c r="L3134" s="85"/>
      <c r="P3134" s="85"/>
      <c r="Q3134" s="85"/>
      <c r="R3134" s="81"/>
    </row>
    <row r="3135" spans="7:18" x14ac:dyDescent="0.3">
      <c r="G3135" s="85"/>
      <c r="H3135" s="86"/>
      <c r="I3135" s="86"/>
      <c r="J3135" s="87"/>
      <c r="K3135" s="85"/>
      <c r="L3135" s="85"/>
      <c r="P3135" s="85"/>
      <c r="Q3135" s="85"/>
      <c r="R3135" s="81"/>
    </row>
    <row r="3136" spans="7:18" x14ac:dyDescent="0.3">
      <c r="G3136" s="85"/>
      <c r="H3136" s="86"/>
      <c r="I3136" s="86"/>
      <c r="J3136" s="87"/>
      <c r="K3136" s="85"/>
      <c r="L3136" s="85"/>
      <c r="P3136" s="85"/>
      <c r="Q3136" s="85"/>
      <c r="R3136" s="81"/>
    </row>
    <row r="3137" spans="7:18" x14ac:dyDescent="0.3">
      <c r="G3137" s="85"/>
      <c r="H3137" s="86"/>
      <c r="I3137" s="86"/>
      <c r="J3137" s="87"/>
      <c r="K3137" s="85"/>
      <c r="L3137" s="85"/>
      <c r="P3137" s="85"/>
      <c r="Q3137" s="85"/>
      <c r="R3137" s="81"/>
    </row>
    <row r="3138" spans="7:18" x14ac:dyDescent="0.3">
      <c r="G3138" s="85"/>
      <c r="H3138" s="86"/>
      <c r="I3138" s="86"/>
      <c r="J3138" s="87"/>
      <c r="K3138" s="85"/>
      <c r="L3138" s="85"/>
      <c r="P3138" s="85"/>
      <c r="Q3138" s="85"/>
      <c r="R3138" s="81"/>
    </row>
    <row r="3139" spans="7:18" x14ac:dyDescent="0.3">
      <c r="G3139" s="85"/>
      <c r="H3139" s="86"/>
      <c r="I3139" s="86"/>
      <c r="J3139" s="87"/>
      <c r="K3139" s="85"/>
      <c r="L3139" s="85"/>
      <c r="P3139" s="85"/>
      <c r="Q3139" s="85"/>
      <c r="R3139" s="81"/>
    </row>
    <row r="3140" spans="7:18" x14ac:dyDescent="0.3">
      <c r="G3140" s="85"/>
      <c r="H3140" s="86"/>
      <c r="I3140" s="86"/>
      <c r="J3140" s="87"/>
      <c r="K3140" s="85"/>
      <c r="L3140" s="85"/>
      <c r="P3140" s="85"/>
      <c r="Q3140" s="85"/>
      <c r="R3140" s="81"/>
    </row>
    <row r="3141" spans="7:18" x14ac:dyDescent="0.3">
      <c r="G3141" s="85"/>
      <c r="H3141" s="86"/>
      <c r="I3141" s="86"/>
      <c r="J3141" s="87"/>
      <c r="K3141" s="85"/>
      <c r="L3141" s="85"/>
      <c r="P3141" s="85"/>
      <c r="Q3141" s="85"/>
      <c r="R3141" s="81"/>
    </row>
    <row r="3142" spans="7:18" x14ac:dyDescent="0.3">
      <c r="G3142" s="85"/>
      <c r="H3142" s="86"/>
      <c r="I3142" s="86"/>
      <c r="J3142" s="87"/>
      <c r="K3142" s="85"/>
      <c r="L3142" s="85"/>
      <c r="P3142" s="85"/>
      <c r="Q3142" s="85"/>
      <c r="R3142" s="81"/>
    </row>
    <row r="3143" spans="7:18" x14ac:dyDescent="0.3">
      <c r="G3143" s="85"/>
      <c r="H3143" s="86"/>
      <c r="I3143" s="86"/>
      <c r="J3143" s="87"/>
      <c r="K3143" s="85"/>
      <c r="L3143" s="85"/>
      <c r="P3143" s="85"/>
      <c r="Q3143" s="85"/>
      <c r="R3143" s="81"/>
    </row>
    <row r="3144" spans="7:18" x14ac:dyDescent="0.3">
      <c r="G3144" s="85"/>
      <c r="H3144" s="86"/>
      <c r="I3144" s="86"/>
      <c r="J3144" s="87"/>
      <c r="K3144" s="85"/>
      <c r="L3144" s="85"/>
      <c r="P3144" s="85"/>
      <c r="Q3144" s="85"/>
      <c r="R3144" s="81"/>
    </row>
    <row r="3145" spans="7:18" x14ac:dyDescent="0.3">
      <c r="G3145" s="85"/>
      <c r="H3145" s="86"/>
      <c r="I3145" s="86"/>
      <c r="J3145" s="87"/>
      <c r="K3145" s="85"/>
      <c r="L3145" s="85"/>
      <c r="P3145" s="85"/>
      <c r="Q3145" s="85"/>
      <c r="R3145" s="81"/>
    </row>
    <row r="3146" spans="7:18" x14ac:dyDescent="0.3">
      <c r="G3146" s="85"/>
      <c r="H3146" s="86"/>
      <c r="I3146" s="86"/>
      <c r="J3146" s="87"/>
      <c r="K3146" s="85"/>
      <c r="L3146" s="85"/>
      <c r="P3146" s="85"/>
      <c r="Q3146" s="85"/>
      <c r="R3146" s="81"/>
    </row>
    <row r="3147" spans="7:18" x14ac:dyDescent="0.3">
      <c r="G3147" s="85"/>
      <c r="H3147" s="86"/>
      <c r="I3147" s="86"/>
      <c r="J3147" s="87"/>
      <c r="K3147" s="85"/>
      <c r="L3147" s="85"/>
      <c r="P3147" s="85"/>
      <c r="Q3147" s="85"/>
      <c r="R3147" s="81"/>
    </row>
    <row r="3148" spans="7:18" x14ac:dyDescent="0.3">
      <c r="G3148" s="85"/>
      <c r="H3148" s="86"/>
      <c r="I3148" s="86"/>
      <c r="J3148" s="87"/>
      <c r="K3148" s="85"/>
      <c r="L3148" s="85"/>
      <c r="P3148" s="85"/>
      <c r="Q3148" s="85"/>
      <c r="R3148" s="81"/>
    </row>
    <row r="3149" spans="7:18" x14ac:dyDescent="0.3">
      <c r="G3149" s="85"/>
      <c r="H3149" s="86"/>
      <c r="I3149" s="86"/>
      <c r="J3149" s="87"/>
      <c r="K3149" s="85"/>
      <c r="L3149" s="85"/>
      <c r="P3149" s="85"/>
      <c r="Q3149" s="85"/>
      <c r="R3149" s="81"/>
    </row>
    <row r="3150" spans="7:18" x14ac:dyDescent="0.3">
      <c r="G3150" s="85"/>
      <c r="H3150" s="86"/>
      <c r="I3150" s="86"/>
      <c r="J3150" s="87"/>
      <c r="K3150" s="85"/>
      <c r="L3150" s="85"/>
      <c r="P3150" s="85"/>
      <c r="Q3150" s="85"/>
      <c r="R3150" s="81"/>
    </row>
    <row r="3151" spans="7:18" x14ac:dyDescent="0.3">
      <c r="G3151" s="85"/>
      <c r="H3151" s="86"/>
      <c r="I3151" s="86"/>
      <c r="J3151" s="87"/>
      <c r="K3151" s="85"/>
      <c r="L3151" s="85"/>
      <c r="P3151" s="85"/>
      <c r="Q3151" s="85"/>
      <c r="R3151" s="81"/>
    </row>
    <row r="3152" spans="7:18" x14ac:dyDescent="0.3">
      <c r="G3152" s="85"/>
      <c r="H3152" s="86"/>
      <c r="I3152" s="86"/>
      <c r="J3152" s="87"/>
      <c r="K3152" s="85"/>
      <c r="L3152" s="85"/>
      <c r="P3152" s="85"/>
      <c r="Q3152" s="85"/>
      <c r="R3152" s="81"/>
    </row>
    <row r="3153" spans="7:18" x14ac:dyDescent="0.3">
      <c r="G3153" s="85"/>
      <c r="H3153" s="86"/>
      <c r="I3153" s="86"/>
      <c r="J3153" s="87"/>
      <c r="K3153" s="85"/>
      <c r="L3153" s="85"/>
      <c r="P3153" s="85"/>
      <c r="Q3153" s="85"/>
      <c r="R3153" s="81"/>
    </row>
    <row r="3154" spans="7:18" x14ac:dyDescent="0.3">
      <c r="G3154" s="85"/>
      <c r="H3154" s="86"/>
      <c r="I3154" s="86"/>
      <c r="J3154" s="87"/>
      <c r="K3154" s="85"/>
      <c r="L3154" s="85"/>
      <c r="P3154" s="85"/>
      <c r="Q3154" s="85"/>
      <c r="R3154" s="81"/>
    </row>
    <row r="3155" spans="7:18" x14ac:dyDescent="0.3">
      <c r="G3155" s="85"/>
      <c r="H3155" s="86"/>
      <c r="I3155" s="86"/>
      <c r="J3155" s="87"/>
      <c r="K3155" s="85"/>
      <c r="L3155" s="85"/>
      <c r="P3155" s="85"/>
      <c r="Q3155" s="85"/>
      <c r="R3155" s="81"/>
    </row>
    <row r="3156" spans="7:18" x14ac:dyDescent="0.3">
      <c r="G3156" s="85"/>
      <c r="H3156" s="86"/>
      <c r="I3156" s="86"/>
      <c r="J3156" s="87"/>
      <c r="K3156" s="85"/>
      <c r="L3156" s="85"/>
      <c r="P3156" s="85"/>
      <c r="Q3156" s="85"/>
      <c r="R3156" s="81"/>
    </row>
    <row r="3157" spans="7:18" x14ac:dyDescent="0.3">
      <c r="G3157" s="85"/>
      <c r="H3157" s="86"/>
      <c r="I3157" s="86"/>
      <c r="J3157" s="87"/>
      <c r="K3157" s="85"/>
      <c r="L3157" s="85"/>
      <c r="P3157" s="85"/>
      <c r="Q3157" s="85"/>
      <c r="R3157" s="81"/>
    </row>
    <row r="3158" spans="7:18" x14ac:dyDescent="0.3">
      <c r="G3158" s="85"/>
      <c r="H3158" s="86"/>
      <c r="I3158" s="86"/>
      <c r="J3158" s="87"/>
      <c r="K3158" s="85"/>
      <c r="L3158" s="85"/>
      <c r="P3158" s="85"/>
      <c r="Q3158" s="85"/>
      <c r="R3158" s="81"/>
    </row>
    <row r="3159" spans="7:18" x14ac:dyDescent="0.3">
      <c r="G3159" s="85"/>
      <c r="H3159" s="86"/>
      <c r="I3159" s="86"/>
      <c r="J3159" s="87"/>
      <c r="K3159" s="85"/>
      <c r="L3159" s="85"/>
      <c r="P3159" s="85"/>
      <c r="Q3159" s="85"/>
      <c r="R3159" s="81"/>
    </row>
    <row r="3160" spans="7:18" x14ac:dyDescent="0.3">
      <c r="G3160" s="85"/>
      <c r="H3160" s="86"/>
      <c r="I3160" s="86"/>
      <c r="J3160" s="87"/>
      <c r="K3160" s="85"/>
      <c r="L3160" s="85"/>
      <c r="P3160" s="85"/>
      <c r="Q3160" s="85"/>
      <c r="R3160" s="81"/>
    </row>
    <row r="3161" spans="7:18" x14ac:dyDescent="0.3">
      <c r="G3161" s="85"/>
      <c r="H3161" s="86"/>
      <c r="I3161" s="86"/>
      <c r="J3161" s="87"/>
      <c r="K3161" s="85"/>
      <c r="L3161" s="85"/>
      <c r="P3161" s="85"/>
      <c r="Q3161" s="85"/>
      <c r="R3161" s="81"/>
    </row>
    <row r="3162" spans="7:18" x14ac:dyDescent="0.3">
      <c r="G3162" s="85"/>
      <c r="H3162" s="86"/>
      <c r="I3162" s="86"/>
      <c r="J3162" s="87"/>
      <c r="K3162" s="85"/>
      <c r="L3162" s="85"/>
      <c r="P3162" s="85"/>
      <c r="Q3162" s="85"/>
      <c r="R3162" s="81"/>
    </row>
    <row r="3163" spans="7:18" x14ac:dyDescent="0.3">
      <c r="G3163" s="85"/>
      <c r="H3163" s="86"/>
      <c r="I3163" s="86"/>
      <c r="J3163" s="87"/>
      <c r="K3163" s="85"/>
      <c r="L3163" s="85"/>
      <c r="P3163" s="85"/>
      <c r="Q3163" s="85"/>
      <c r="R3163" s="81"/>
    </row>
    <row r="3164" spans="7:18" x14ac:dyDescent="0.3">
      <c r="G3164" s="85"/>
      <c r="H3164" s="86"/>
      <c r="I3164" s="86"/>
      <c r="J3164" s="87"/>
      <c r="K3164" s="85"/>
      <c r="L3164" s="85"/>
      <c r="P3164" s="85"/>
      <c r="Q3164" s="85"/>
      <c r="R3164" s="81"/>
    </row>
    <row r="3165" spans="7:18" x14ac:dyDescent="0.3">
      <c r="G3165" s="85"/>
      <c r="H3165" s="86"/>
      <c r="I3165" s="86"/>
      <c r="J3165" s="87"/>
      <c r="K3165" s="85"/>
      <c r="L3165" s="85"/>
      <c r="P3165" s="85"/>
      <c r="Q3165" s="85"/>
      <c r="R3165" s="81"/>
    </row>
    <row r="3166" spans="7:18" x14ac:dyDescent="0.3">
      <c r="G3166" s="85"/>
      <c r="H3166" s="86"/>
      <c r="I3166" s="86"/>
      <c r="J3166" s="87"/>
      <c r="K3166" s="85"/>
      <c r="L3166" s="85"/>
      <c r="P3166" s="85"/>
      <c r="Q3166" s="85"/>
      <c r="R3166" s="81"/>
    </row>
    <row r="3167" spans="7:18" x14ac:dyDescent="0.3">
      <c r="G3167" s="85"/>
      <c r="H3167" s="86"/>
      <c r="I3167" s="86"/>
      <c r="J3167" s="87"/>
      <c r="K3167" s="85"/>
      <c r="L3167" s="85"/>
      <c r="P3167" s="85"/>
      <c r="Q3167" s="85"/>
      <c r="R3167" s="81"/>
    </row>
    <row r="3168" spans="7:18" x14ac:dyDescent="0.3">
      <c r="G3168" s="85"/>
      <c r="H3168" s="86"/>
      <c r="I3168" s="86"/>
      <c r="J3168" s="87"/>
      <c r="K3168" s="85"/>
      <c r="L3168" s="85"/>
      <c r="P3168" s="85"/>
      <c r="Q3168" s="85"/>
      <c r="R3168" s="81"/>
    </row>
    <row r="3169" spans="7:18" x14ac:dyDescent="0.3">
      <c r="G3169" s="85"/>
      <c r="H3169" s="86"/>
      <c r="I3169" s="86"/>
      <c r="J3169" s="87"/>
      <c r="K3169" s="85"/>
      <c r="L3169" s="85"/>
      <c r="P3169" s="85"/>
      <c r="Q3169" s="85"/>
      <c r="R3169" s="81"/>
    </row>
    <row r="3170" spans="7:18" x14ac:dyDescent="0.3">
      <c r="G3170" s="85"/>
      <c r="H3170" s="86"/>
      <c r="I3170" s="86"/>
      <c r="J3170" s="87"/>
      <c r="K3170" s="85"/>
      <c r="L3170" s="85"/>
      <c r="P3170" s="85"/>
      <c r="Q3170" s="85"/>
      <c r="R3170" s="81"/>
    </row>
    <row r="3171" spans="7:18" x14ac:dyDescent="0.3">
      <c r="G3171" s="85"/>
      <c r="H3171" s="86"/>
      <c r="I3171" s="86"/>
      <c r="J3171" s="87"/>
      <c r="K3171" s="85"/>
      <c r="L3171" s="85"/>
      <c r="P3171" s="85"/>
      <c r="Q3171" s="85"/>
      <c r="R3171" s="81"/>
    </row>
    <row r="3172" spans="7:18" x14ac:dyDescent="0.3">
      <c r="G3172" s="85"/>
      <c r="H3172" s="86"/>
      <c r="I3172" s="86"/>
      <c r="J3172" s="87"/>
      <c r="K3172" s="85"/>
      <c r="L3172" s="85"/>
      <c r="P3172" s="85"/>
      <c r="Q3172" s="85"/>
      <c r="R3172" s="81"/>
    </row>
    <row r="3173" spans="7:18" x14ac:dyDescent="0.3">
      <c r="G3173" s="85"/>
      <c r="H3173" s="86"/>
      <c r="I3173" s="86"/>
      <c r="J3173" s="87"/>
      <c r="K3173" s="85"/>
      <c r="L3173" s="85"/>
      <c r="P3173" s="85"/>
      <c r="Q3173" s="85"/>
      <c r="R3173" s="81"/>
    </row>
    <row r="3174" spans="7:18" x14ac:dyDescent="0.3">
      <c r="G3174" s="85"/>
      <c r="H3174" s="86"/>
      <c r="I3174" s="86"/>
      <c r="J3174" s="87"/>
      <c r="K3174" s="85"/>
      <c r="L3174" s="85"/>
      <c r="P3174" s="85"/>
      <c r="Q3174" s="85"/>
      <c r="R3174" s="81"/>
    </row>
    <row r="3175" spans="7:18" x14ac:dyDescent="0.3">
      <c r="G3175" s="85"/>
      <c r="H3175" s="86"/>
      <c r="I3175" s="86"/>
      <c r="J3175" s="87"/>
      <c r="K3175" s="85"/>
      <c r="L3175" s="85"/>
      <c r="P3175" s="85"/>
      <c r="Q3175" s="85"/>
      <c r="R3175" s="81"/>
    </row>
    <row r="3176" spans="7:18" x14ac:dyDescent="0.3">
      <c r="G3176" s="85"/>
      <c r="H3176" s="86"/>
      <c r="I3176" s="86"/>
      <c r="J3176" s="87"/>
      <c r="K3176" s="85"/>
      <c r="L3176" s="85"/>
      <c r="P3176" s="85"/>
      <c r="Q3176" s="85"/>
      <c r="R3176" s="81"/>
    </row>
    <row r="3177" spans="7:18" x14ac:dyDescent="0.3">
      <c r="G3177" s="85"/>
      <c r="H3177" s="86"/>
      <c r="I3177" s="86"/>
      <c r="J3177" s="87"/>
      <c r="K3177" s="85"/>
      <c r="L3177" s="85"/>
      <c r="P3177" s="85"/>
      <c r="Q3177" s="85"/>
      <c r="R3177" s="81"/>
    </row>
    <row r="3178" spans="7:18" x14ac:dyDescent="0.3">
      <c r="G3178" s="85"/>
      <c r="H3178" s="86"/>
      <c r="I3178" s="86"/>
      <c r="J3178" s="87"/>
      <c r="K3178" s="85"/>
      <c r="L3178" s="85"/>
      <c r="P3178" s="85"/>
      <c r="Q3178" s="85"/>
      <c r="R3178" s="81"/>
    </row>
    <row r="3179" spans="7:18" x14ac:dyDescent="0.3">
      <c r="G3179" s="85"/>
      <c r="H3179" s="86"/>
      <c r="I3179" s="86"/>
      <c r="J3179" s="87"/>
      <c r="K3179" s="85"/>
      <c r="L3179" s="85"/>
      <c r="P3179" s="85"/>
      <c r="Q3179" s="85"/>
      <c r="R3179" s="81"/>
    </row>
    <row r="3180" spans="7:18" x14ac:dyDescent="0.3">
      <c r="G3180" s="85"/>
      <c r="H3180" s="86"/>
      <c r="I3180" s="86"/>
      <c r="J3180" s="87"/>
      <c r="K3180" s="85"/>
      <c r="L3180" s="85"/>
      <c r="P3180" s="85"/>
      <c r="Q3180" s="85"/>
      <c r="R3180" s="81"/>
    </row>
    <row r="3181" spans="7:18" x14ac:dyDescent="0.3">
      <c r="G3181" s="85"/>
      <c r="H3181" s="86"/>
      <c r="I3181" s="86"/>
      <c r="J3181" s="87"/>
      <c r="K3181" s="85"/>
      <c r="L3181" s="85"/>
      <c r="P3181" s="85"/>
      <c r="Q3181" s="85"/>
      <c r="R3181" s="81"/>
    </row>
    <row r="3182" spans="7:18" x14ac:dyDescent="0.3">
      <c r="G3182" s="85"/>
      <c r="H3182" s="86"/>
      <c r="I3182" s="86"/>
      <c r="J3182" s="87"/>
      <c r="K3182" s="85"/>
      <c r="L3182" s="85"/>
      <c r="P3182" s="85"/>
      <c r="Q3182" s="85"/>
      <c r="R3182" s="81"/>
    </row>
    <row r="3183" spans="7:18" x14ac:dyDescent="0.3">
      <c r="G3183" s="85"/>
      <c r="H3183" s="86"/>
      <c r="I3183" s="86"/>
      <c r="J3183" s="87"/>
      <c r="K3183" s="85"/>
      <c r="L3183" s="85"/>
      <c r="P3183" s="85"/>
      <c r="Q3183" s="85"/>
      <c r="R3183" s="81"/>
    </row>
    <row r="3184" spans="7:18" x14ac:dyDescent="0.3">
      <c r="G3184" s="85"/>
      <c r="H3184" s="86"/>
      <c r="I3184" s="86"/>
      <c r="J3184" s="87"/>
      <c r="K3184" s="85"/>
      <c r="L3184" s="85"/>
      <c r="P3184" s="85"/>
      <c r="Q3184" s="85"/>
      <c r="R3184" s="81"/>
    </row>
    <row r="3185" spans="7:18" x14ac:dyDescent="0.3">
      <c r="G3185" s="85"/>
      <c r="H3185" s="86"/>
      <c r="I3185" s="86"/>
      <c r="J3185" s="87"/>
      <c r="K3185" s="85"/>
      <c r="L3185" s="85"/>
      <c r="P3185" s="85"/>
      <c r="Q3185" s="85"/>
      <c r="R3185" s="81"/>
    </row>
    <row r="3186" spans="7:18" x14ac:dyDescent="0.3">
      <c r="G3186" s="85"/>
      <c r="H3186" s="86"/>
      <c r="I3186" s="86"/>
      <c r="J3186" s="87"/>
      <c r="K3186" s="85"/>
      <c r="L3186" s="85"/>
      <c r="P3186" s="85"/>
      <c r="Q3186" s="85"/>
      <c r="R3186" s="81"/>
    </row>
    <row r="3187" spans="7:18" x14ac:dyDescent="0.3">
      <c r="G3187" s="85"/>
      <c r="H3187" s="86"/>
      <c r="I3187" s="86"/>
      <c r="J3187" s="87"/>
      <c r="K3187" s="85"/>
      <c r="L3187" s="85"/>
      <c r="P3187" s="85"/>
      <c r="Q3187" s="85"/>
      <c r="R3187" s="81"/>
    </row>
    <row r="3188" spans="7:18" x14ac:dyDescent="0.3">
      <c r="G3188" s="85"/>
      <c r="H3188" s="86"/>
      <c r="I3188" s="86"/>
      <c r="J3188" s="87"/>
      <c r="K3188" s="85"/>
      <c r="L3188" s="85"/>
      <c r="P3188" s="85"/>
      <c r="Q3188" s="85"/>
      <c r="R3188" s="81"/>
    </row>
    <row r="3189" spans="7:18" x14ac:dyDescent="0.3">
      <c r="G3189" s="85"/>
      <c r="H3189" s="86"/>
      <c r="I3189" s="86"/>
      <c r="J3189" s="87"/>
      <c r="K3189" s="85"/>
      <c r="L3189" s="85"/>
      <c r="P3189" s="85"/>
      <c r="Q3189" s="85"/>
      <c r="R3189" s="81"/>
    </row>
    <row r="3190" spans="7:18" x14ac:dyDescent="0.3">
      <c r="G3190" s="85"/>
      <c r="H3190" s="86"/>
      <c r="I3190" s="86"/>
      <c r="J3190" s="87"/>
      <c r="K3190" s="85"/>
      <c r="L3190" s="85"/>
      <c r="P3190" s="85"/>
      <c r="Q3190" s="85"/>
      <c r="R3190" s="81"/>
    </row>
    <row r="3191" spans="7:18" x14ac:dyDescent="0.3">
      <c r="G3191" s="85"/>
      <c r="H3191" s="86"/>
      <c r="I3191" s="86"/>
      <c r="J3191" s="87"/>
      <c r="K3191" s="85"/>
      <c r="L3191" s="85"/>
      <c r="P3191" s="85"/>
      <c r="Q3191" s="85"/>
      <c r="R3191" s="81"/>
    </row>
    <row r="3192" spans="7:18" x14ac:dyDescent="0.3">
      <c r="G3192" s="85"/>
      <c r="H3192" s="86"/>
      <c r="I3192" s="86"/>
      <c r="J3192" s="87"/>
      <c r="K3192" s="85"/>
      <c r="L3192" s="85"/>
      <c r="P3192" s="85"/>
      <c r="Q3192" s="85"/>
      <c r="R3192" s="81"/>
    </row>
    <row r="3193" spans="7:18" x14ac:dyDescent="0.3">
      <c r="G3193" s="85"/>
      <c r="H3193" s="86"/>
      <c r="I3193" s="86"/>
      <c r="J3193" s="87"/>
      <c r="K3193" s="85"/>
      <c r="L3193" s="85"/>
      <c r="P3193" s="85"/>
      <c r="Q3193" s="85"/>
      <c r="R3193" s="81"/>
    </row>
    <row r="3194" spans="7:18" x14ac:dyDescent="0.3">
      <c r="G3194" s="85"/>
      <c r="H3194" s="86"/>
      <c r="I3194" s="86"/>
      <c r="J3194" s="87"/>
      <c r="K3194" s="85"/>
      <c r="L3194" s="85"/>
      <c r="P3194" s="85"/>
      <c r="Q3194" s="85"/>
      <c r="R3194" s="81"/>
    </row>
    <row r="3195" spans="7:18" x14ac:dyDescent="0.3">
      <c r="G3195" s="85"/>
      <c r="H3195" s="86"/>
      <c r="I3195" s="86"/>
      <c r="J3195" s="87"/>
      <c r="K3195" s="85"/>
      <c r="L3195" s="85"/>
      <c r="P3195" s="85"/>
      <c r="Q3195" s="85"/>
      <c r="R3195" s="81"/>
    </row>
    <row r="3196" spans="7:18" x14ac:dyDescent="0.3">
      <c r="G3196" s="85"/>
      <c r="H3196" s="86"/>
      <c r="I3196" s="86"/>
      <c r="J3196" s="87"/>
      <c r="K3196" s="85"/>
      <c r="L3196" s="85"/>
      <c r="P3196" s="85"/>
      <c r="Q3196" s="85"/>
      <c r="R3196" s="81"/>
    </row>
    <row r="3197" spans="7:18" x14ac:dyDescent="0.3">
      <c r="G3197" s="85"/>
      <c r="H3197" s="86"/>
      <c r="I3197" s="86"/>
      <c r="J3197" s="87"/>
      <c r="K3197" s="85"/>
      <c r="L3197" s="85"/>
      <c r="P3197" s="85"/>
      <c r="Q3197" s="85"/>
      <c r="R3197" s="81"/>
    </row>
    <row r="3198" spans="7:18" x14ac:dyDescent="0.3">
      <c r="G3198" s="85"/>
      <c r="H3198" s="86"/>
      <c r="I3198" s="86"/>
      <c r="J3198" s="87"/>
      <c r="K3198" s="85"/>
      <c r="L3198" s="85"/>
      <c r="P3198" s="85"/>
      <c r="Q3198" s="85"/>
      <c r="R3198" s="81"/>
    </row>
    <row r="3199" spans="7:18" x14ac:dyDescent="0.3">
      <c r="G3199" s="85"/>
      <c r="H3199" s="86"/>
      <c r="I3199" s="86"/>
      <c r="J3199" s="87"/>
      <c r="K3199" s="85"/>
      <c r="L3199" s="85"/>
      <c r="P3199" s="85"/>
      <c r="Q3199" s="85"/>
      <c r="R3199" s="81"/>
    </row>
    <row r="3200" spans="7:18" x14ac:dyDescent="0.3">
      <c r="G3200" s="85"/>
      <c r="H3200" s="86"/>
      <c r="I3200" s="86"/>
      <c r="J3200" s="87"/>
      <c r="K3200" s="85"/>
      <c r="L3200" s="85"/>
      <c r="P3200" s="85"/>
      <c r="Q3200" s="85"/>
      <c r="R3200" s="81"/>
    </row>
    <row r="3201" spans="7:18" x14ac:dyDescent="0.3">
      <c r="G3201" s="85"/>
      <c r="H3201" s="86"/>
      <c r="I3201" s="86"/>
      <c r="J3201" s="87"/>
      <c r="K3201" s="85"/>
      <c r="L3201" s="85"/>
      <c r="P3201" s="85"/>
      <c r="Q3201" s="85"/>
      <c r="R3201" s="81"/>
    </row>
    <row r="3202" spans="7:18" x14ac:dyDescent="0.3">
      <c r="G3202" s="85"/>
      <c r="H3202" s="86"/>
      <c r="I3202" s="86"/>
      <c r="J3202" s="87"/>
      <c r="K3202" s="85"/>
      <c r="L3202" s="85"/>
      <c r="P3202" s="85"/>
      <c r="Q3202" s="85"/>
      <c r="R3202" s="81"/>
    </row>
    <row r="3203" spans="7:18" x14ac:dyDescent="0.3">
      <c r="G3203" s="85"/>
      <c r="H3203" s="86"/>
      <c r="I3203" s="86"/>
      <c r="J3203" s="87"/>
      <c r="K3203" s="85"/>
      <c r="L3203" s="85"/>
      <c r="P3203" s="85"/>
      <c r="Q3203" s="85"/>
      <c r="R3203" s="81"/>
    </row>
    <row r="3204" spans="7:18" x14ac:dyDescent="0.3">
      <c r="G3204" s="85"/>
      <c r="H3204" s="86"/>
      <c r="I3204" s="86"/>
      <c r="J3204" s="87"/>
      <c r="K3204" s="85"/>
      <c r="L3204" s="85"/>
      <c r="P3204" s="85"/>
      <c r="Q3204" s="85"/>
      <c r="R3204" s="81"/>
    </row>
    <row r="3205" spans="7:18" x14ac:dyDescent="0.3">
      <c r="G3205" s="85"/>
      <c r="H3205" s="86"/>
      <c r="I3205" s="86"/>
      <c r="J3205" s="87"/>
      <c r="K3205" s="85"/>
      <c r="L3205" s="85"/>
      <c r="P3205" s="85"/>
      <c r="Q3205" s="85"/>
      <c r="R3205" s="81"/>
    </row>
    <row r="3206" spans="7:18" x14ac:dyDescent="0.3">
      <c r="G3206" s="85"/>
      <c r="H3206" s="86"/>
      <c r="I3206" s="86"/>
      <c r="J3206" s="87"/>
      <c r="K3206" s="85"/>
      <c r="L3206" s="85"/>
      <c r="P3206" s="85"/>
      <c r="Q3206" s="85"/>
      <c r="R3206" s="81"/>
    </row>
    <row r="3207" spans="7:18" x14ac:dyDescent="0.3">
      <c r="G3207" s="85"/>
      <c r="H3207" s="86"/>
      <c r="I3207" s="86"/>
      <c r="J3207" s="87"/>
      <c r="K3207" s="85"/>
      <c r="L3207" s="85"/>
      <c r="P3207" s="85"/>
      <c r="Q3207" s="85"/>
      <c r="R3207" s="81"/>
    </row>
    <row r="3208" spans="7:18" x14ac:dyDescent="0.3">
      <c r="G3208" s="85"/>
      <c r="H3208" s="86"/>
      <c r="I3208" s="86"/>
      <c r="J3208" s="87"/>
      <c r="K3208" s="85"/>
      <c r="L3208" s="85"/>
      <c r="P3208" s="85"/>
      <c r="Q3208" s="85"/>
      <c r="R3208" s="81"/>
    </row>
    <row r="3209" spans="7:18" x14ac:dyDescent="0.3">
      <c r="G3209" s="85"/>
      <c r="H3209" s="86"/>
      <c r="I3209" s="86"/>
      <c r="J3209" s="87"/>
      <c r="K3209" s="85"/>
      <c r="L3209" s="85"/>
      <c r="P3209" s="85"/>
      <c r="Q3209" s="85"/>
      <c r="R3209" s="81"/>
    </row>
    <row r="3210" spans="7:18" x14ac:dyDescent="0.3">
      <c r="G3210" s="85"/>
      <c r="H3210" s="86"/>
      <c r="I3210" s="86"/>
      <c r="J3210" s="87"/>
      <c r="K3210" s="85"/>
      <c r="L3210" s="85"/>
      <c r="P3210" s="85"/>
      <c r="Q3210" s="85"/>
      <c r="R3210" s="81"/>
    </row>
    <row r="3211" spans="7:18" x14ac:dyDescent="0.3">
      <c r="G3211" s="85"/>
      <c r="H3211" s="86"/>
      <c r="I3211" s="86"/>
      <c r="J3211" s="87"/>
      <c r="K3211" s="85"/>
      <c r="L3211" s="85"/>
      <c r="P3211" s="85"/>
      <c r="Q3211" s="85"/>
      <c r="R3211" s="81"/>
    </row>
    <row r="3212" spans="7:18" x14ac:dyDescent="0.3">
      <c r="G3212" s="85"/>
      <c r="H3212" s="86"/>
      <c r="I3212" s="86"/>
      <c r="J3212" s="87"/>
      <c r="K3212" s="85"/>
      <c r="L3212" s="85"/>
      <c r="P3212" s="85"/>
      <c r="Q3212" s="85"/>
      <c r="R3212" s="81"/>
    </row>
    <row r="3213" spans="7:18" x14ac:dyDescent="0.3">
      <c r="G3213" s="85"/>
      <c r="H3213" s="86"/>
      <c r="I3213" s="86"/>
      <c r="J3213" s="87"/>
      <c r="K3213" s="85"/>
      <c r="L3213" s="85"/>
      <c r="P3213" s="85"/>
      <c r="Q3213" s="85"/>
      <c r="R3213" s="81"/>
    </row>
    <row r="3214" spans="7:18" x14ac:dyDescent="0.3">
      <c r="G3214" s="85"/>
      <c r="H3214" s="86"/>
      <c r="I3214" s="86"/>
      <c r="J3214" s="87"/>
      <c r="K3214" s="85"/>
      <c r="L3214" s="85"/>
      <c r="P3214" s="85"/>
      <c r="Q3214" s="85"/>
      <c r="R3214" s="81"/>
    </row>
    <row r="3215" spans="7:18" x14ac:dyDescent="0.3">
      <c r="G3215" s="85"/>
      <c r="H3215" s="86"/>
      <c r="I3215" s="86"/>
      <c r="J3215" s="87"/>
      <c r="K3215" s="85"/>
      <c r="L3215" s="85"/>
      <c r="P3215" s="85"/>
      <c r="Q3215" s="85"/>
      <c r="R3215" s="81"/>
    </row>
    <row r="3216" spans="7:18" x14ac:dyDescent="0.3">
      <c r="G3216" s="85"/>
      <c r="H3216" s="86"/>
      <c r="I3216" s="86"/>
      <c r="J3216" s="87"/>
      <c r="K3216" s="85"/>
      <c r="L3216" s="85"/>
      <c r="P3216" s="85"/>
      <c r="Q3216" s="85"/>
      <c r="R3216" s="81"/>
    </row>
    <row r="3217" spans="7:18" x14ac:dyDescent="0.3">
      <c r="G3217" s="85"/>
      <c r="H3217" s="86"/>
      <c r="I3217" s="86"/>
      <c r="J3217" s="87"/>
      <c r="K3217" s="85"/>
      <c r="L3217" s="85"/>
      <c r="P3217" s="85"/>
      <c r="Q3217" s="85"/>
      <c r="R3217" s="81"/>
    </row>
    <row r="3218" spans="7:18" x14ac:dyDescent="0.3">
      <c r="G3218" s="85"/>
      <c r="H3218" s="86"/>
      <c r="I3218" s="86"/>
      <c r="J3218" s="87"/>
      <c r="K3218" s="85"/>
      <c r="L3218" s="85"/>
      <c r="P3218" s="85"/>
      <c r="Q3218" s="85"/>
      <c r="R3218" s="81"/>
    </row>
    <row r="3219" spans="7:18" x14ac:dyDescent="0.3">
      <c r="G3219" s="85"/>
      <c r="H3219" s="86"/>
      <c r="I3219" s="86"/>
      <c r="J3219" s="87"/>
      <c r="K3219" s="85"/>
      <c r="L3219" s="85"/>
      <c r="P3219" s="85"/>
      <c r="Q3219" s="85"/>
      <c r="R3219" s="81"/>
    </row>
    <row r="3220" spans="7:18" x14ac:dyDescent="0.3">
      <c r="G3220" s="85"/>
      <c r="H3220" s="86"/>
      <c r="I3220" s="86"/>
      <c r="J3220" s="87"/>
      <c r="K3220" s="85"/>
      <c r="L3220" s="85"/>
      <c r="P3220" s="85"/>
      <c r="Q3220" s="85"/>
      <c r="R3220" s="81"/>
    </row>
    <row r="3221" spans="7:18" x14ac:dyDescent="0.3">
      <c r="G3221" s="85"/>
      <c r="H3221" s="86"/>
      <c r="I3221" s="86"/>
      <c r="J3221" s="87"/>
      <c r="K3221" s="85"/>
      <c r="L3221" s="85"/>
      <c r="P3221" s="85"/>
      <c r="Q3221" s="85"/>
      <c r="R3221" s="81"/>
    </row>
    <row r="3222" spans="7:18" x14ac:dyDescent="0.3">
      <c r="G3222" s="85"/>
      <c r="H3222" s="86"/>
      <c r="I3222" s="86"/>
      <c r="J3222" s="87"/>
      <c r="K3222" s="85"/>
      <c r="L3222" s="85"/>
      <c r="P3222" s="85"/>
      <c r="Q3222" s="85"/>
      <c r="R3222" s="81"/>
    </row>
    <row r="3223" spans="7:18" x14ac:dyDescent="0.3">
      <c r="G3223" s="85"/>
      <c r="H3223" s="86"/>
      <c r="I3223" s="86"/>
      <c r="J3223" s="87"/>
      <c r="K3223" s="85"/>
      <c r="L3223" s="85"/>
      <c r="P3223" s="85"/>
      <c r="Q3223" s="85"/>
      <c r="R3223" s="81"/>
    </row>
    <row r="3224" spans="7:18" x14ac:dyDescent="0.3">
      <c r="G3224" s="85"/>
      <c r="H3224" s="86"/>
      <c r="I3224" s="86"/>
      <c r="J3224" s="87"/>
      <c r="K3224" s="85"/>
      <c r="L3224" s="85"/>
      <c r="P3224" s="85"/>
      <c r="Q3224" s="85"/>
      <c r="R3224" s="81"/>
    </row>
    <row r="3225" spans="7:18" x14ac:dyDescent="0.3">
      <c r="G3225" s="85"/>
      <c r="H3225" s="86"/>
      <c r="I3225" s="86"/>
      <c r="J3225" s="87"/>
      <c r="K3225" s="85"/>
      <c r="L3225" s="85"/>
      <c r="P3225" s="85"/>
      <c r="Q3225" s="85"/>
      <c r="R3225" s="81"/>
    </row>
    <row r="3226" spans="7:18" x14ac:dyDescent="0.3">
      <c r="G3226" s="85"/>
      <c r="H3226" s="86"/>
      <c r="I3226" s="86"/>
      <c r="J3226" s="87"/>
      <c r="K3226" s="85"/>
      <c r="L3226" s="85"/>
      <c r="P3226" s="85"/>
      <c r="Q3226" s="85"/>
      <c r="R3226" s="81"/>
    </row>
    <row r="3227" spans="7:18" x14ac:dyDescent="0.3">
      <c r="G3227" s="85"/>
      <c r="H3227" s="86"/>
      <c r="I3227" s="86"/>
      <c r="J3227" s="87"/>
      <c r="K3227" s="85"/>
      <c r="L3227" s="85"/>
      <c r="P3227" s="85"/>
      <c r="Q3227" s="85"/>
      <c r="R3227" s="81"/>
    </row>
    <row r="3228" spans="7:18" x14ac:dyDescent="0.3">
      <c r="G3228" s="85"/>
      <c r="H3228" s="86"/>
      <c r="I3228" s="86"/>
      <c r="J3228" s="87"/>
      <c r="K3228" s="85"/>
      <c r="L3228" s="85"/>
      <c r="P3228" s="85"/>
      <c r="Q3228" s="85"/>
      <c r="R3228" s="81"/>
    </row>
    <row r="3229" spans="7:18" x14ac:dyDescent="0.3">
      <c r="G3229" s="85"/>
      <c r="H3229" s="86"/>
      <c r="I3229" s="86"/>
      <c r="J3229" s="87"/>
      <c r="K3229" s="85"/>
      <c r="L3229" s="85"/>
      <c r="P3229" s="85"/>
      <c r="Q3229" s="85"/>
      <c r="R3229" s="81"/>
    </row>
    <row r="3230" spans="7:18" x14ac:dyDescent="0.3">
      <c r="G3230" s="85"/>
      <c r="H3230" s="86"/>
      <c r="I3230" s="86"/>
      <c r="J3230" s="87"/>
      <c r="K3230" s="85"/>
      <c r="L3230" s="85"/>
      <c r="P3230" s="85"/>
      <c r="Q3230" s="85"/>
      <c r="R3230" s="81"/>
    </row>
    <row r="3231" spans="7:18" x14ac:dyDescent="0.3">
      <c r="G3231" s="85"/>
      <c r="H3231" s="86"/>
      <c r="I3231" s="86"/>
      <c r="J3231" s="87"/>
      <c r="K3231" s="85"/>
      <c r="L3231" s="85"/>
      <c r="P3231" s="85"/>
      <c r="Q3231" s="85"/>
      <c r="R3231" s="81"/>
    </row>
    <row r="3232" spans="7:18" x14ac:dyDescent="0.3">
      <c r="G3232" s="85"/>
      <c r="H3232" s="86"/>
      <c r="I3232" s="86"/>
      <c r="J3232" s="87"/>
      <c r="K3232" s="85"/>
      <c r="L3232" s="85"/>
      <c r="P3232" s="85"/>
      <c r="Q3232" s="85"/>
      <c r="R3232" s="81"/>
    </row>
    <row r="3233" spans="7:18" x14ac:dyDescent="0.3">
      <c r="G3233" s="85"/>
      <c r="H3233" s="86"/>
      <c r="I3233" s="86"/>
      <c r="J3233" s="87"/>
      <c r="K3233" s="85"/>
      <c r="L3233" s="85"/>
      <c r="P3233" s="85"/>
      <c r="Q3233" s="85"/>
      <c r="R3233" s="81"/>
    </row>
    <row r="3234" spans="7:18" x14ac:dyDescent="0.3">
      <c r="G3234" s="85"/>
      <c r="H3234" s="86"/>
      <c r="I3234" s="86"/>
      <c r="J3234" s="87"/>
      <c r="K3234" s="85"/>
      <c r="L3234" s="85"/>
      <c r="P3234" s="85"/>
      <c r="Q3234" s="85"/>
      <c r="R3234" s="81"/>
    </row>
    <row r="3235" spans="7:18" x14ac:dyDescent="0.3">
      <c r="G3235" s="85"/>
      <c r="H3235" s="86"/>
      <c r="I3235" s="86"/>
      <c r="J3235" s="87"/>
      <c r="K3235" s="85"/>
      <c r="L3235" s="85"/>
      <c r="P3235" s="85"/>
      <c r="Q3235" s="85"/>
      <c r="R3235" s="81"/>
    </row>
    <row r="3236" spans="7:18" x14ac:dyDescent="0.3">
      <c r="G3236" s="85"/>
      <c r="H3236" s="86"/>
      <c r="I3236" s="86"/>
      <c r="J3236" s="87"/>
      <c r="K3236" s="85"/>
      <c r="L3236" s="85"/>
      <c r="P3236" s="85"/>
      <c r="Q3236" s="85"/>
      <c r="R3236" s="81"/>
    </row>
    <row r="3237" spans="7:18" x14ac:dyDescent="0.3">
      <c r="G3237" s="85"/>
      <c r="H3237" s="86"/>
      <c r="I3237" s="86"/>
      <c r="J3237" s="87"/>
      <c r="K3237" s="85"/>
      <c r="L3237" s="85"/>
      <c r="P3237" s="85"/>
      <c r="Q3237" s="85"/>
      <c r="R3237" s="81"/>
    </row>
    <row r="3238" spans="7:18" x14ac:dyDescent="0.3">
      <c r="G3238" s="85"/>
      <c r="H3238" s="86"/>
      <c r="I3238" s="86"/>
      <c r="J3238" s="87"/>
      <c r="K3238" s="85"/>
      <c r="L3238" s="85"/>
      <c r="P3238" s="85"/>
      <c r="Q3238" s="85"/>
      <c r="R3238" s="81"/>
    </row>
    <row r="3239" spans="7:18" x14ac:dyDescent="0.3">
      <c r="G3239" s="85"/>
      <c r="H3239" s="86"/>
      <c r="I3239" s="86"/>
      <c r="J3239" s="87"/>
      <c r="K3239" s="85"/>
      <c r="L3239" s="85"/>
      <c r="P3239" s="85"/>
      <c r="Q3239" s="85"/>
      <c r="R3239" s="81"/>
    </row>
    <row r="3240" spans="7:18" x14ac:dyDescent="0.3">
      <c r="G3240" s="85"/>
      <c r="H3240" s="86"/>
      <c r="I3240" s="86"/>
      <c r="J3240" s="87"/>
      <c r="K3240" s="85"/>
      <c r="L3240" s="85"/>
      <c r="P3240" s="85"/>
      <c r="Q3240" s="85"/>
      <c r="R3240" s="81"/>
    </row>
    <row r="3241" spans="7:18" x14ac:dyDescent="0.3">
      <c r="G3241" s="85"/>
      <c r="H3241" s="86"/>
      <c r="I3241" s="86"/>
      <c r="J3241" s="87"/>
      <c r="K3241" s="85"/>
      <c r="L3241" s="85"/>
      <c r="P3241" s="85"/>
      <c r="Q3241" s="85"/>
      <c r="R3241" s="81"/>
    </row>
    <row r="3242" spans="7:18" x14ac:dyDescent="0.3">
      <c r="G3242" s="85"/>
      <c r="H3242" s="86"/>
      <c r="I3242" s="86"/>
      <c r="J3242" s="87"/>
      <c r="K3242" s="85"/>
      <c r="L3242" s="85"/>
      <c r="P3242" s="85"/>
      <c r="Q3242" s="85"/>
      <c r="R3242" s="81"/>
    </row>
    <row r="3243" spans="7:18" x14ac:dyDescent="0.3">
      <c r="G3243" s="85"/>
      <c r="H3243" s="86"/>
      <c r="I3243" s="86"/>
      <c r="J3243" s="87"/>
      <c r="K3243" s="85"/>
      <c r="L3243" s="85"/>
      <c r="P3243" s="85"/>
      <c r="Q3243" s="85"/>
      <c r="R3243" s="81"/>
    </row>
    <row r="3244" spans="7:18" x14ac:dyDescent="0.3">
      <c r="G3244" s="85"/>
      <c r="H3244" s="86"/>
      <c r="I3244" s="86"/>
      <c r="J3244" s="87"/>
      <c r="K3244" s="85"/>
      <c r="L3244" s="85"/>
      <c r="P3244" s="85"/>
      <c r="Q3244" s="85"/>
      <c r="R3244" s="81"/>
    </row>
    <row r="3245" spans="7:18" x14ac:dyDescent="0.3">
      <c r="G3245" s="85"/>
      <c r="H3245" s="86"/>
      <c r="I3245" s="86"/>
      <c r="J3245" s="87"/>
      <c r="K3245" s="85"/>
      <c r="L3245" s="85"/>
      <c r="P3245" s="85"/>
      <c r="Q3245" s="85"/>
      <c r="R3245" s="81"/>
    </row>
    <row r="3246" spans="7:18" x14ac:dyDescent="0.3">
      <c r="G3246" s="85"/>
      <c r="H3246" s="86"/>
      <c r="I3246" s="86"/>
      <c r="J3246" s="87"/>
      <c r="K3246" s="85"/>
      <c r="L3246" s="85"/>
      <c r="P3246" s="85"/>
      <c r="Q3246" s="85"/>
      <c r="R3246" s="81"/>
    </row>
    <row r="3247" spans="7:18" x14ac:dyDescent="0.3">
      <c r="G3247" s="85"/>
      <c r="H3247" s="86"/>
      <c r="I3247" s="86"/>
      <c r="J3247" s="87"/>
      <c r="K3247" s="85"/>
      <c r="L3247" s="85"/>
      <c r="P3247" s="85"/>
      <c r="Q3247" s="85"/>
      <c r="R3247" s="81"/>
    </row>
    <row r="3248" spans="7:18" x14ac:dyDescent="0.3">
      <c r="G3248" s="85"/>
      <c r="H3248" s="86"/>
      <c r="I3248" s="86"/>
      <c r="J3248" s="87"/>
      <c r="K3248" s="85"/>
      <c r="L3248" s="85"/>
      <c r="P3248" s="85"/>
      <c r="Q3248" s="85"/>
      <c r="R3248" s="81"/>
    </row>
    <row r="3249" spans="7:18" x14ac:dyDescent="0.3">
      <c r="G3249" s="85"/>
      <c r="H3249" s="86"/>
      <c r="I3249" s="86"/>
      <c r="J3249" s="87"/>
      <c r="K3249" s="85"/>
      <c r="L3249" s="85"/>
      <c r="P3249" s="85"/>
      <c r="Q3249" s="85"/>
      <c r="R3249" s="81"/>
    </row>
    <row r="3250" spans="7:18" x14ac:dyDescent="0.3">
      <c r="G3250" s="85"/>
      <c r="H3250" s="86"/>
      <c r="I3250" s="86"/>
      <c r="J3250" s="87"/>
      <c r="K3250" s="85"/>
      <c r="L3250" s="85"/>
      <c r="P3250" s="85"/>
      <c r="Q3250" s="85"/>
      <c r="R3250" s="81"/>
    </row>
    <row r="3251" spans="7:18" x14ac:dyDescent="0.3">
      <c r="G3251" s="85"/>
      <c r="H3251" s="86"/>
      <c r="I3251" s="86"/>
      <c r="J3251" s="87"/>
      <c r="K3251" s="85"/>
      <c r="L3251" s="85"/>
      <c r="P3251" s="85"/>
      <c r="Q3251" s="85"/>
      <c r="R3251" s="81"/>
    </row>
    <row r="3252" spans="7:18" x14ac:dyDescent="0.3">
      <c r="G3252" s="85"/>
      <c r="H3252" s="86"/>
      <c r="I3252" s="86"/>
      <c r="J3252" s="87"/>
      <c r="K3252" s="85"/>
      <c r="L3252" s="85"/>
      <c r="P3252" s="85"/>
      <c r="Q3252" s="85"/>
      <c r="R3252" s="81"/>
    </row>
    <row r="3253" spans="7:18" x14ac:dyDescent="0.3">
      <c r="G3253" s="85"/>
      <c r="H3253" s="86"/>
      <c r="I3253" s="86"/>
      <c r="J3253" s="87"/>
      <c r="K3253" s="85"/>
      <c r="L3253" s="85"/>
      <c r="P3253" s="85"/>
      <c r="Q3253" s="85"/>
      <c r="R3253" s="81"/>
    </row>
    <row r="3254" spans="7:18" x14ac:dyDescent="0.3">
      <c r="G3254" s="85"/>
      <c r="H3254" s="86"/>
      <c r="I3254" s="86"/>
      <c r="J3254" s="87"/>
      <c r="K3254" s="85"/>
      <c r="L3254" s="85"/>
      <c r="P3254" s="85"/>
      <c r="Q3254" s="85"/>
      <c r="R3254" s="81"/>
    </row>
    <row r="3255" spans="7:18" x14ac:dyDescent="0.3">
      <c r="G3255" s="85"/>
      <c r="H3255" s="86"/>
      <c r="I3255" s="86"/>
      <c r="J3255" s="87"/>
      <c r="K3255" s="85"/>
      <c r="L3255" s="85"/>
      <c r="P3255" s="85"/>
      <c r="Q3255" s="85"/>
      <c r="R3255" s="81"/>
    </row>
    <row r="3256" spans="7:18" x14ac:dyDescent="0.3">
      <c r="G3256" s="85"/>
      <c r="H3256" s="86"/>
      <c r="I3256" s="86"/>
      <c r="J3256" s="87"/>
      <c r="K3256" s="85"/>
      <c r="L3256" s="85"/>
      <c r="P3256" s="85"/>
      <c r="Q3256" s="85"/>
      <c r="R3256" s="81"/>
    </row>
    <row r="3257" spans="7:18" x14ac:dyDescent="0.3">
      <c r="G3257" s="85"/>
      <c r="H3257" s="86"/>
      <c r="I3257" s="86"/>
      <c r="J3257" s="87"/>
      <c r="K3257" s="85"/>
      <c r="L3257" s="85"/>
      <c r="P3257" s="85"/>
      <c r="Q3257" s="85"/>
      <c r="R3257" s="81"/>
    </row>
    <row r="3258" spans="7:18" x14ac:dyDescent="0.3">
      <c r="G3258" s="85"/>
      <c r="H3258" s="86"/>
      <c r="I3258" s="86"/>
      <c r="J3258" s="87"/>
      <c r="K3258" s="85"/>
      <c r="L3258" s="85"/>
      <c r="P3258" s="85"/>
      <c r="Q3258" s="85"/>
      <c r="R3258" s="81"/>
    </row>
    <row r="3259" spans="7:18" x14ac:dyDescent="0.3">
      <c r="G3259" s="85"/>
      <c r="H3259" s="86"/>
      <c r="I3259" s="86"/>
      <c r="J3259" s="87"/>
      <c r="K3259" s="85"/>
      <c r="L3259" s="85"/>
      <c r="P3259" s="85"/>
      <c r="Q3259" s="85"/>
      <c r="R3259" s="81"/>
    </row>
    <row r="3260" spans="7:18" x14ac:dyDescent="0.3">
      <c r="G3260" s="85"/>
      <c r="H3260" s="86"/>
      <c r="I3260" s="86"/>
      <c r="J3260" s="87"/>
      <c r="K3260" s="85"/>
      <c r="L3260" s="85"/>
      <c r="P3260" s="85"/>
      <c r="Q3260" s="85"/>
      <c r="R3260" s="81"/>
    </row>
    <row r="3261" spans="7:18" x14ac:dyDescent="0.3">
      <c r="G3261" s="85"/>
      <c r="H3261" s="86"/>
      <c r="I3261" s="86"/>
      <c r="J3261" s="87"/>
      <c r="K3261" s="85"/>
      <c r="L3261" s="85"/>
      <c r="P3261" s="85"/>
      <c r="Q3261" s="85"/>
      <c r="R3261" s="81"/>
    </row>
    <row r="3262" spans="7:18" x14ac:dyDescent="0.3">
      <c r="G3262" s="85"/>
      <c r="H3262" s="86"/>
      <c r="I3262" s="86"/>
      <c r="J3262" s="87"/>
      <c r="K3262" s="85"/>
      <c r="L3262" s="85"/>
      <c r="P3262" s="85"/>
      <c r="Q3262" s="85"/>
      <c r="R3262" s="81"/>
    </row>
    <row r="3263" spans="7:18" x14ac:dyDescent="0.3">
      <c r="G3263" s="85"/>
      <c r="H3263" s="86"/>
      <c r="I3263" s="86"/>
      <c r="J3263" s="87"/>
      <c r="K3263" s="85"/>
      <c r="L3263" s="85"/>
      <c r="P3263" s="85"/>
      <c r="Q3263" s="85"/>
      <c r="R3263" s="81"/>
    </row>
    <row r="3264" spans="7:18" x14ac:dyDescent="0.3">
      <c r="G3264" s="85"/>
      <c r="H3264" s="86"/>
      <c r="I3264" s="86"/>
      <c r="J3264" s="87"/>
      <c r="K3264" s="85"/>
      <c r="L3264" s="85"/>
      <c r="P3264" s="85"/>
      <c r="Q3264" s="85"/>
      <c r="R3264" s="81"/>
    </row>
    <row r="3265" spans="7:18" x14ac:dyDescent="0.3">
      <c r="G3265" s="85"/>
      <c r="H3265" s="86"/>
      <c r="I3265" s="86"/>
      <c r="J3265" s="87"/>
      <c r="K3265" s="85"/>
      <c r="L3265" s="85"/>
      <c r="P3265" s="85"/>
      <c r="Q3265" s="85"/>
      <c r="R3265" s="81"/>
    </row>
    <row r="3266" spans="7:18" x14ac:dyDescent="0.3">
      <c r="G3266" s="85"/>
      <c r="H3266" s="86"/>
      <c r="I3266" s="86"/>
      <c r="J3266" s="87"/>
      <c r="K3266" s="85"/>
      <c r="L3266" s="85"/>
      <c r="P3266" s="85"/>
      <c r="Q3266" s="85"/>
      <c r="R3266" s="81"/>
    </row>
    <row r="3267" spans="7:18" x14ac:dyDescent="0.3">
      <c r="G3267" s="85"/>
      <c r="H3267" s="86"/>
      <c r="I3267" s="86"/>
      <c r="J3267" s="87"/>
      <c r="K3267" s="85"/>
      <c r="L3267" s="85"/>
      <c r="P3267" s="85"/>
      <c r="Q3267" s="85"/>
      <c r="R3267" s="81"/>
    </row>
    <row r="3268" spans="7:18" x14ac:dyDescent="0.3">
      <c r="G3268" s="85"/>
      <c r="H3268" s="86"/>
      <c r="I3268" s="86"/>
      <c r="J3268" s="87"/>
      <c r="K3268" s="85"/>
      <c r="L3268" s="85"/>
      <c r="P3268" s="85"/>
      <c r="Q3268" s="85"/>
      <c r="R3268" s="81"/>
    </row>
    <row r="3269" spans="7:18" x14ac:dyDescent="0.3">
      <c r="G3269" s="85"/>
      <c r="H3269" s="86"/>
      <c r="I3269" s="86"/>
      <c r="J3269" s="87"/>
      <c r="K3269" s="85"/>
      <c r="L3269" s="85"/>
      <c r="P3269" s="85"/>
      <c r="Q3269" s="85"/>
      <c r="R3269" s="81"/>
    </row>
    <row r="3270" spans="7:18" x14ac:dyDescent="0.3">
      <c r="G3270" s="85"/>
      <c r="H3270" s="86"/>
      <c r="I3270" s="86"/>
      <c r="J3270" s="87"/>
      <c r="K3270" s="85"/>
      <c r="L3270" s="85"/>
      <c r="P3270" s="85"/>
      <c r="Q3270" s="85"/>
      <c r="R3270" s="81"/>
    </row>
    <row r="3271" spans="7:18" x14ac:dyDescent="0.3">
      <c r="G3271" s="85"/>
      <c r="H3271" s="86"/>
      <c r="I3271" s="86"/>
      <c r="J3271" s="87"/>
      <c r="K3271" s="85"/>
      <c r="L3271" s="85"/>
      <c r="P3271" s="85"/>
      <c r="Q3271" s="85"/>
      <c r="R3271" s="81"/>
    </row>
    <row r="3272" spans="7:18" x14ac:dyDescent="0.3">
      <c r="G3272" s="85"/>
      <c r="H3272" s="86"/>
      <c r="I3272" s="86"/>
      <c r="J3272" s="87"/>
      <c r="K3272" s="85"/>
      <c r="L3272" s="85"/>
      <c r="P3272" s="85"/>
      <c r="Q3272" s="85"/>
      <c r="R3272" s="81"/>
    </row>
    <row r="3273" spans="7:18" x14ac:dyDescent="0.3">
      <c r="G3273" s="85"/>
      <c r="H3273" s="86"/>
      <c r="I3273" s="86"/>
      <c r="J3273" s="87"/>
      <c r="K3273" s="85"/>
      <c r="L3273" s="85"/>
      <c r="P3273" s="85"/>
      <c r="Q3273" s="85"/>
      <c r="R3273" s="81"/>
    </row>
    <row r="3274" spans="7:18" x14ac:dyDescent="0.3">
      <c r="G3274" s="85"/>
      <c r="H3274" s="86"/>
      <c r="I3274" s="86"/>
      <c r="J3274" s="87"/>
      <c r="K3274" s="85"/>
      <c r="L3274" s="85"/>
      <c r="P3274" s="85"/>
      <c r="Q3274" s="85"/>
      <c r="R3274" s="81"/>
    </row>
    <row r="3275" spans="7:18" x14ac:dyDescent="0.3">
      <c r="G3275" s="85"/>
      <c r="H3275" s="86"/>
      <c r="I3275" s="86"/>
      <c r="J3275" s="87"/>
      <c r="K3275" s="85"/>
      <c r="L3275" s="85"/>
      <c r="P3275" s="85"/>
      <c r="Q3275" s="85"/>
      <c r="R3275" s="81"/>
    </row>
    <row r="3276" spans="7:18" x14ac:dyDescent="0.3">
      <c r="G3276" s="85"/>
      <c r="H3276" s="86"/>
      <c r="I3276" s="86"/>
      <c r="J3276" s="87"/>
      <c r="K3276" s="85"/>
      <c r="L3276" s="85"/>
      <c r="P3276" s="85"/>
      <c r="Q3276" s="85"/>
      <c r="R3276" s="81"/>
    </row>
    <row r="3277" spans="7:18" x14ac:dyDescent="0.3">
      <c r="G3277" s="85"/>
      <c r="H3277" s="86"/>
      <c r="I3277" s="86"/>
      <c r="J3277" s="87"/>
      <c r="K3277" s="85"/>
      <c r="L3277" s="85"/>
      <c r="P3277" s="85"/>
      <c r="Q3277" s="85"/>
      <c r="R3277" s="81"/>
    </row>
    <row r="3278" spans="7:18" x14ac:dyDescent="0.3">
      <c r="G3278" s="85"/>
      <c r="H3278" s="86"/>
      <c r="I3278" s="86"/>
      <c r="J3278" s="87"/>
      <c r="K3278" s="85"/>
      <c r="L3278" s="85"/>
      <c r="P3278" s="85"/>
      <c r="Q3278" s="85"/>
      <c r="R3278" s="81"/>
    </row>
    <row r="3279" spans="7:18" x14ac:dyDescent="0.3">
      <c r="G3279" s="85"/>
      <c r="H3279" s="86"/>
      <c r="I3279" s="86"/>
      <c r="J3279" s="87"/>
      <c r="K3279" s="85"/>
      <c r="L3279" s="85"/>
      <c r="P3279" s="85"/>
      <c r="Q3279" s="85"/>
      <c r="R3279" s="81"/>
    </row>
    <row r="3280" spans="7:18" x14ac:dyDescent="0.3">
      <c r="G3280" s="85"/>
      <c r="H3280" s="86"/>
      <c r="I3280" s="86"/>
      <c r="J3280" s="87"/>
      <c r="K3280" s="85"/>
      <c r="L3280" s="85"/>
      <c r="P3280" s="85"/>
      <c r="Q3280" s="85"/>
      <c r="R3280" s="81"/>
    </row>
    <row r="3281" spans="7:18" x14ac:dyDescent="0.3">
      <c r="G3281" s="85"/>
      <c r="H3281" s="86"/>
      <c r="I3281" s="86"/>
      <c r="J3281" s="87"/>
      <c r="K3281" s="85"/>
      <c r="L3281" s="85"/>
      <c r="P3281" s="85"/>
      <c r="Q3281" s="85"/>
      <c r="R3281" s="81"/>
    </row>
    <row r="3282" spans="7:18" x14ac:dyDescent="0.3">
      <c r="G3282" s="85"/>
      <c r="H3282" s="86"/>
      <c r="I3282" s="86"/>
      <c r="J3282" s="87"/>
      <c r="K3282" s="85"/>
      <c r="L3282" s="85"/>
      <c r="P3282" s="85"/>
      <c r="Q3282" s="85"/>
      <c r="R3282" s="81"/>
    </row>
    <row r="3283" spans="7:18" x14ac:dyDescent="0.3">
      <c r="G3283" s="85"/>
      <c r="H3283" s="86"/>
      <c r="I3283" s="86"/>
      <c r="J3283" s="87"/>
      <c r="K3283" s="85"/>
      <c r="L3283" s="85"/>
      <c r="P3283" s="85"/>
      <c r="Q3283" s="85"/>
      <c r="R3283" s="81"/>
    </row>
    <row r="3284" spans="7:18" x14ac:dyDescent="0.3">
      <c r="G3284" s="85"/>
      <c r="H3284" s="86"/>
      <c r="I3284" s="86"/>
      <c r="J3284" s="87"/>
      <c r="K3284" s="85"/>
      <c r="L3284" s="85"/>
      <c r="P3284" s="85"/>
      <c r="Q3284" s="85"/>
      <c r="R3284" s="81"/>
    </row>
    <row r="3285" spans="7:18" x14ac:dyDescent="0.3">
      <c r="G3285" s="85"/>
      <c r="H3285" s="86"/>
      <c r="I3285" s="86"/>
      <c r="J3285" s="87"/>
      <c r="K3285" s="85"/>
      <c r="L3285" s="85"/>
      <c r="P3285" s="85"/>
      <c r="Q3285" s="85"/>
      <c r="R3285" s="81"/>
    </row>
    <row r="3286" spans="7:18" x14ac:dyDescent="0.3">
      <c r="G3286" s="85"/>
      <c r="H3286" s="86"/>
      <c r="I3286" s="86"/>
      <c r="J3286" s="87"/>
      <c r="K3286" s="85"/>
      <c r="L3286" s="85"/>
      <c r="P3286" s="85"/>
      <c r="Q3286" s="85"/>
      <c r="R3286" s="81"/>
    </row>
    <row r="3287" spans="7:18" x14ac:dyDescent="0.3">
      <c r="G3287" s="85"/>
      <c r="H3287" s="86"/>
      <c r="I3287" s="86"/>
      <c r="J3287" s="87"/>
      <c r="K3287" s="85"/>
      <c r="L3287" s="85"/>
      <c r="P3287" s="85"/>
      <c r="Q3287" s="85"/>
      <c r="R3287" s="81"/>
    </row>
    <row r="3288" spans="7:18" x14ac:dyDescent="0.3">
      <c r="G3288" s="85"/>
      <c r="H3288" s="86"/>
      <c r="I3288" s="86"/>
      <c r="J3288" s="87"/>
      <c r="K3288" s="85"/>
      <c r="L3288" s="85"/>
      <c r="P3288" s="85"/>
      <c r="Q3288" s="85"/>
      <c r="R3288" s="81"/>
    </row>
    <row r="3289" spans="7:18" x14ac:dyDescent="0.3">
      <c r="G3289" s="85"/>
      <c r="H3289" s="86"/>
      <c r="I3289" s="86"/>
      <c r="J3289" s="87"/>
      <c r="K3289" s="85"/>
      <c r="L3289" s="85"/>
      <c r="P3289" s="85"/>
      <c r="Q3289" s="85"/>
      <c r="R3289" s="81"/>
    </row>
    <row r="3290" spans="7:18" x14ac:dyDescent="0.3">
      <c r="G3290" s="85"/>
      <c r="H3290" s="86"/>
      <c r="I3290" s="86"/>
      <c r="J3290" s="87"/>
      <c r="K3290" s="85"/>
      <c r="L3290" s="85"/>
      <c r="P3290" s="85"/>
      <c r="Q3290" s="85"/>
      <c r="R3290" s="81"/>
    </row>
    <row r="3291" spans="7:18" x14ac:dyDescent="0.3">
      <c r="G3291" s="85"/>
      <c r="H3291" s="86"/>
      <c r="I3291" s="86"/>
      <c r="J3291" s="87"/>
      <c r="K3291" s="85"/>
      <c r="L3291" s="85"/>
      <c r="P3291" s="85"/>
      <c r="Q3291" s="85"/>
      <c r="R3291" s="81"/>
    </row>
    <row r="3292" spans="7:18" x14ac:dyDescent="0.3">
      <c r="G3292" s="85"/>
      <c r="H3292" s="86"/>
      <c r="I3292" s="86"/>
      <c r="J3292" s="87"/>
      <c r="K3292" s="85"/>
      <c r="L3292" s="85"/>
      <c r="P3292" s="85"/>
      <c r="Q3292" s="85"/>
      <c r="R3292" s="81"/>
    </row>
    <row r="3293" spans="7:18" x14ac:dyDescent="0.3">
      <c r="G3293" s="85"/>
      <c r="H3293" s="86"/>
      <c r="I3293" s="86"/>
      <c r="J3293" s="87"/>
      <c r="K3293" s="85"/>
      <c r="L3293" s="85"/>
      <c r="P3293" s="85"/>
      <c r="Q3293" s="85"/>
      <c r="R3293" s="81"/>
    </row>
    <row r="3294" spans="7:18" x14ac:dyDescent="0.3">
      <c r="G3294" s="85"/>
      <c r="H3294" s="86"/>
      <c r="I3294" s="86"/>
      <c r="J3294" s="87"/>
      <c r="K3294" s="85"/>
      <c r="L3294" s="85"/>
      <c r="P3294" s="85"/>
      <c r="Q3294" s="85"/>
      <c r="R3294" s="81"/>
    </row>
    <row r="3295" spans="7:18" x14ac:dyDescent="0.3">
      <c r="G3295" s="85"/>
      <c r="H3295" s="86"/>
      <c r="I3295" s="86"/>
      <c r="J3295" s="87"/>
      <c r="K3295" s="85"/>
      <c r="L3295" s="85"/>
      <c r="P3295" s="85"/>
      <c r="Q3295" s="85"/>
      <c r="R3295" s="81"/>
    </row>
    <row r="3296" spans="7:18" x14ac:dyDescent="0.3">
      <c r="G3296" s="85"/>
      <c r="H3296" s="86"/>
      <c r="I3296" s="86"/>
      <c r="J3296" s="87"/>
      <c r="K3296" s="85"/>
      <c r="L3296" s="85"/>
      <c r="P3296" s="85"/>
      <c r="Q3296" s="85"/>
      <c r="R3296" s="81"/>
    </row>
    <row r="3297" spans="7:18" x14ac:dyDescent="0.3">
      <c r="G3297" s="85"/>
      <c r="H3297" s="86"/>
      <c r="I3297" s="86"/>
      <c r="J3297" s="87"/>
      <c r="K3297" s="85"/>
      <c r="L3297" s="85"/>
      <c r="P3297" s="85"/>
      <c r="Q3297" s="85"/>
      <c r="R3297" s="81"/>
    </row>
    <row r="3298" spans="7:18" x14ac:dyDescent="0.3">
      <c r="G3298" s="85"/>
      <c r="H3298" s="86"/>
      <c r="I3298" s="86"/>
      <c r="J3298" s="87"/>
      <c r="K3298" s="85"/>
      <c r="L3298" s="85"/>
      <c r="P3298" s="85"/>
      <c r="Q3298" s="85"/>
      <c r="R3298" s="81"/>
    </row>
    <row r="3299" spans="7:18" x14ac:dyDescent="0.3">
      <c r="G3299" s="85"/>
      <c r="H3299" s="86"/>
      <c r="I3299" s="86"/>
      <c r="J3299" s="87"/>
      <c r="K3299" s="85"/>
      <c r="L3299" s="85"/>
      <c r="P3299" s="85"/>
      <c r="Q3299" s="85"/>
      <c r="R3299" s="81"/>
    </row>
    <row r="3300" spans="7:18" x14ac:dyDescent="0.3">
      <c r="G3300" s="85"/>
      <c r="H3300" s="86"/>
      <c r="I3300" s="86"/>
      <c r="J3300" s="87"/>
      <c r="K3300" s="85"/>
      <c r="L3300" s="85"/>
      <c r="P3300" s="85"/>
      <c r="Q3300" s="85"/>
      <c r="R3300" s="81"/>
    </row>
    <row r="3301" spans="7:18" x14ac:dyDescent="0.3">
      <c r="G3301" s="85"/>
      <c r="H3301" s="86"/>
      <c r="I3301" s="86"/>
      <c r="J3301" s="87"/>
      <c r="K3301" s="85"/>
      <c r="L3301" s="85"/>
      <c r="P3301" s="85"/>
      <c r="Q3301" s="85"/>
      <c r="R3301" s="81"/>
    </row>
    <row r="3302" spans="7:18" x14ac:dyDescent="0.3">
      <c r="G3302" s="85"/>
      <c r="H3302" s="86"/>
      <c r="I3302" s="86"/>
      <c r="J3302" s="87"/>
      <c r="K3302" s="85"/>
      <c r="L3302" s="85"/>
      <c r="P3302" s="85"/>
      <c r="Q3302" s="85"/>
      <c r="R3302" s="81"/>
    </row>
    <row r="3303" spans="7:18" x14ac:dyDescent="0.3">
      <c r="G3303" s="85"/>
      <c r="H3303" s="86"/>
      <c r="I3303" s="86"/>
      <c r="J3303" s="87"/>
      <c r="K3303" s="85"/>
      <c r="L3303" s="85"/>
      <c r="P3303" s="85"/>
      <c r="Q3303" s="85"/>
      <c r="R3303" s="81"/>
    </row>
    <row r="3304" spans="7:18" x14ac:dyDescent="0.3">
      <c r="G3304" s="85"/>
      <c r="H3304" s="86"/>
      <c r="I3304" s="86"/>
      <c r="J3304" s="87"/>
      <c r="K3304" s="85"/>
      <c r="L3304" s="85"/>
      <c r="P3304" s="85"/>
      <c r="Q3304" s="85"/>
      <c r="R3304" s="81"/>
    </row>
    <row r="3305" spans="7:18" x14ac:dyDescent="0.3">
      <c r="G3305" s="85"/>
      <c r="H3305" s="86"/>
      <c r="I3305" s="86"/>
      <c r="J3305" s="87"/>
      <c r="K3305" s="85"/>
      <c r="L3305" s="85"/>
      <c r="P3305" s="85"/>
      <c r="Q3305" s="85"/>
      <c r="R3305" s="81"/>
    </row>
    <row r="3306" spans="7:18" x14ac:dyDescent="0.3">
      <c r="G3306" s="85"/>
      <c r="H3306" s="86"/>
      <c r="I3306" s="86"/>
      <c r="J3306" s="87"/>
      <c r="K3306" s="85"/>
      <c r="L3306" s="85"/>
      <c r="P3306" s="85"/>
      <c r="Q3306" s="85"/>
      <c r="R3306" s="81"/>
    </row>
    <row r="3307" spans="7:18" x14ac:dyDescent="0.3">
      <c r="G3307" s="85"/>
      <c r="H3307" s="86"/>
      <c r="I3307" s="86"/>
      <c r="J3307" s="87"/>
      <c r="K3307" s="85"/>
      <c r="L3307" s="85"/>
      <c r="P3307" s="85"/>
      <c r="Q3307" s="85"/>
      <c r="R3307" s="81"/>
    </row>
    <row r="3308" spans="7:18" x14ac:dyDescent="0.3">
      <c r="G3308" s="85"/>
      <c r="H3308" s="86"/>
      <c r="I3308" s="86"/>
      <c r="J3308" s="87"/>
      <c r="K3308" s="85"/>
      <c r="L3308" s="85"/>
      <c r="P3308" s="85"/>
      <c r="Q3308" s="85"/>
      <c r="R3308" s="81"/>
    </row>
    <row r="3309" spans="7:18" x14ac:dyDescent="0.3">
      <c r="G3309" s="85"/>
      <c r="H3309" s="86"/>
      <c r="I3309" s="86"/>
      <c r="J3309" s="87"/>
      <c r="K3309" s="85"/>
      <c r="L3309" s="85"/>
      <c r="P3309" s="85"/>
      <c r="Q3309" s="85"/>
      <c r="R3309" s="81"/>
    </row>
    <row r="3310" spans="7:18" x14ac:dyDescent="0.3">
      <c r="G3310" s="85"/>
      <c r="H3310" s="86"/>
      <c r="I3310" s="86"/>
      <c r="J3310" s="87"/>
      <c r="K3310" s="85"/>
      <c r="L3310" s="85"/>
      <c r="P3310" s="85"/>
      <c r="Q3310" s="85"/>
      <c r="R3310" s="81"/>
    </row>
    <row r="3311" spans="7:18" x14ac:dyDescent="0.3">
      <c r="G3311" s="85"/>
      <c r="H3311" s="86"/>
      <c r="I3311" s="86"/>
      <c r="J3311" s="87"/>
      <c r="K3311" s="85"/>
      <c r="L3311" s="85"/>
      <c r="P3311" s="85"/>
      <c r="Q3311" s="85"/>
      <c r="R3311" s="81"/>
    </row>
    <row r="3312" spans="7:18" x14ac:dyDescent="0.3">
      <c r="G3312" s="85"/>
      <c r="H3312" s="86"/>
      <c r="I3312" s="86"/>
      <c r="J3312" s="87"/>
      <c r="K3312" s="85"/>
      <c r="L3312" s="85"/>
      <c r="P3312" s="85"/>
      <c r="Q3312" s="85"/>
      <c r="R3312" s="81"/>
    </row>
    <row r="3313" spans="7:18" x14ac:dyDescent="0.3">
      <c r="G3313" s="85"/>
      <c r="H3313" s="86"/>
      <c r="I3313" s="86"/>
      <c r="J3313" s="87"/>
      <c r="K3313" s="85"/>
      <c r="L3313" s="85"/>
      <c r="P3313" s="85"/>
      <c r="Q3313" s="85"/>
      <c r="R3313" s="81"/>
    </row>
    <row r="3314" spans="7:18" x14ac:dyDescent="0.3">
      <c r="G3314" s="85"/>
      <c r="H3314" s="86"/>
      <c r="I3314" s="86"/>
      <c r="J3314" s="87"/>
      <c r="K3314" s="85"/>
      <c r="L3314" s="85"/>
      <c r="P3314" s="85"/>
      <c r="Q3314" s="85"/>
      <c r="R3314" s="81"/>
    </row>
    <row r="3315" spans="7:18" x14ac:dyDescent="0.3">
      <c r="G3315" s="85"/>
      <c r="H3315" s="86"/>
      <c r="I3315" s="86"/>
      <c r="J3315" s="87"/>
      <c r="K3315" s="85"/>
      <c r="L3315" s="85"/>
      <c r="P3315" s="85"/>
      <c r="Q3315" s="85"/>
      <c r="R3315" s="81"/>
    </row>
    <row r="3316" spans="7:18" x14ac:dyDescent="0.3">
      <c r="G3316" s="85"/>
      <c r="H3316" s="86"/>
      <c r="I3316" s="86"/>
      <c r="J3316" s="87"/>
      <c r="K3316" s="85"/>
      <c r="L3316" s="85"/>
      <c r="P3316" s="85"/>
      <c r="Q3316" s="85"/>
      <c r="R3316" s="81"/>
    </row>
    <row r="3317" spans="7:18" x14ac:dyDescent="0.3">
      <c r="G3317" s="85"/>
      <c r="H3317" s="86"/>
      <c r="I3317" s="86"/>
      <c r="J3317" s="87"/>
      <c r="K3317" s="85"/>
      <c r="L3317" s="85"/>
      <c r="P3317" s="85"/>
      <c r="Q3317" s="85"/>
      <c r="R3317" s="81"/>
    </row>
    <row r="3318" spans="7:18" x14ac:dyDescent="0.3">
      <c r="G3318" s="85"/>
      <c r="H3318" s="86"/>
      <c r="I3318" s="86"/>
      <c r="J3318" s="87"/>
      <c r="K3318" s="85"/>
      <c r="L3318" s="85"/>
      <c r="P3318" s="85"/>
      <c r="Q3318" s="85"/>
      <c r="R3318" s="81"/>
    </row>
    <row r="3319" spans="7:18" x14ac:dyDescent="0.3">
      <c r="G3319" s="85"/>
      <c r="H3319" s="86"/>
      <c r="I3319" s="86"/>
      <c r="J3319" s="87"/>
      <c r="K3319" s="85"/>
      <c r="L3319" s="85"/>
      <c r="P3319" s="85"/>
      <c r="Q3319" s="85"/>
      <c r="R3319" s="81"/>
    </row>
    <row r="3320" spans="7:18" x14ac:dyDescent="0.3">
      <c r="G3320" s="85"/>
      <c r="H3320" s="86"/>
      <c r="I3320" s="86"/>
      <c r="J3320" s="87"/>
      <c r="K3320" s="85"/>
      <c r="L3320" s="85"/>
      <c r="P3320" s="85"/>
      <c r="Q3320" s="85"/>
      <c r="R3320" s="81"/>
    </row>
    <row r="3321" spans="7:18" x14ac:dyDescent="0.3">
      <c r="G3321" s="85"/>
      <c r="H3321" s="86"/>
      <c r="I3321" s="86"/>
      <c r="J3321" s="87"/>
      <c r="K3321" s="85"/>
      <c r="L3321" s="85"/>
      <c r="P3321" s="85"/>
      <c r="Q3321" s="85"/>
      <c r="R3321" s="81"/>
    </row>
    <row r="3322" spans="7:18" x14ac:dyDescent="0.3">
      <c r="G3322" s="85"/>
      <c r="H3322" s="86"/>
      <c r="I3322" s="86"/>
      <c r="J3322" s="87"/>
      <c r="K3322" s="85"/>
      <c r="L3322" s="85"/>
      <c r="P3322" s="85"/>
      <c r="Q3322" s="85"/>
      <c r="R3322" s="81"/>
    </row>
    <row r="3323" spans="7:18" x14ac:dyDescent="0.3">
      <c r="G3323" s="85"/>
      <c r="H3323" s="86"/>
      <c r="I3323" s="86"/>
      <c r="J3323" s="87"/>
      <c r="K3323" s="85"/>
      <c r="L3323" s="85"/>
      <c r="P3323" s="85"/>
      <c r="Q3323" s="85"/>
      <c r="R3323" s="81"/>
    </row>
    <row r="3324" spans="7:18" x14ac:dyDescent="0.3">
      <c r="G3324" s="85"/>
      <c r="H3324" s="86"/>
      <c r="I3324" s="86"/>
      <c r="J3324" s="87"/>
      <c r="K3324" s="85"/>
      <c r="L3324" s="85"/>
      <c r="P3324" s="85"/>
      <c r="Q3324" s="85"/>
      <c r="R3324" s="81"/>
    </row>
    <row r="3325" spans="7:18" x14ac:dyDescent="0.3">
      <c r="G3325" s="85"/>
      <c r="H3325" s="86"/>
      <c r="I3325" s="86"/>
      <c r="J3325" s="87"/>
      <c r="K3325" s="85"/>
      <c r="L3325" s="85"/>
      <c r="P3325" s="85"/>
      <c r="Q3325" s="85"/>
      <c r="R3325" s="81"/>
    </row>
    <row r="3326" spans="7:18" x14ac:dyDescent="0.3">
      <c r="G3326" s="85"/>
      <c r="H3326" s="86"/>
      <c r="I3326" s="86"/>
      <c r="J3326" s="87"/>
      <c r="K3326" s="85"/>
      <c r="L3326" s="85"/>
      <c r="P3326" s="85"/>
      <c r="Q3326" s="85"/>
      <c r="R3326" s="81"/>
    </row>
    <row r="3327" spans="7:18" x14ac:dyDescent="0.3">
      <c r="G3327" s="85"/>
      <c r="H3327" s="86"/>
      <c r="I3327" s="86"/>
      <c r="J3327" s="87"/>
      <c r="K3327" s="85"/>
      <c r="L3327" s="85"/>
      <c r="P3327" s="85"/>
      <c r="Q3327" s="85"/>
      <c r="R3327" s="81"/>
    </row>
    <row r="3328" spans="7:18" x14ac:dyDescent="0.3">
      <c r="G3328" s="85"/>
      <c r="H3328" s="86"/>
      <c r="I3328" s="86"/>
      <c r="J3328" s="87"/>
      <c r="K3328" s="85"/>
      <c r="L3328" s="85"/>
      <c r="P3328" s="85"/>
      <c r="Q3328" s="85"/>
      <c r="R3328" s="81"/>
    </row>
    <row r="3329" spans="7:18" x14ac:dyDescent="0.3">
      <c r="G3329" s="85"/>
      <c r="H3329" s="86"/>
      <c r="I3329" s="86"/>
      <c r="J3329" s="87"/>
      <c r="K3329" s="85"/>
      <c r="L3329" s="85"/>
      <c r="P3329" s="85"/>
      <c r="Q3329" s="85"/>
      <c r="R3329" s="81"/>
    </row>
    <row r="3330" spans="7:18" x14ac:dyDescent="0.3">
      <c r="G3330" s="85"/>
      <c r="H3330" s="86"/>
      <c r="I3330" s="86"/>
      <c r="J3330" s="87"/>
      <c r="K3330" s="85"/>
      <c r="L3330" s="85"/>
      <c r="P3330" s="85"/>
      <c r="Q3330" s="85"/>
      <c r="R3330" s="81"/>
    </row>
    <row r="3331" spans="7:18" x14ac:dyDescent="0.3">
      <c r="G3331" s="85"/>
      <c r="H3331" s="86"/>
      <c r="I3331" s="86"/>
      <c r="J3331" s="87"/>
      <c r="K3331" s="85"/>
      <c r="L3331" s="85"/>
      <c r="P3331" s="85"/>
      <c r="Q3331" s="85"/>
      <c r="R3331" s="81"/>
    </row>
    <row r="3332" spans="7:18" x14ac:dyDescent="0.3">
      <c r="G3332" s="85"/>
      <c r="H3332" s="86"/>
      <c r="I3332" s="86"/>
      <c r="J3332" s="87"/>
      <c r="K3332" s="85"/>
      <c r="L3332" s="85"/>
      <c r="P3332" s="85"/>
      <c r="Q3332" s="85"/>
      <c r="R3332" s="81"/>
    </row>
    <row r="3333" spans="7:18" x14ac:dyDescent="0.3">
      <c r="G3333" s="85"/>
      <c r="H3333" s="86"/>
      <c r="I3333" s="86"/>
      <c r="J3333" s="87"/>
      <c r="K3333" s="85"/>
      <c r="L3333" s="85"/>
      <c r="P3333" s="85"/>
      <c r="Q3333" s="85"/>
      <c r="R3333" s="81"/>
    </row>
    <row r="3334" spans="7:18" x14ac:dyDescent="0.3">
      <c r="G3334" s="85"/>
      <c r="H3334" s="86"/>
      <c r="I3334" s="86"/>
      <c r="J3334" s="87"/>
      <c r="K3334" s="85"/>
      <c r="L3334" s="85"/>
      <c r="P3334" s="85"/>
      <c r="Q3334" s="85"/>
      <c r="R3334" s="81"/>
    </row>
    <row r="3335" spans="7:18" x14ac:dyDescent="0.3">
      <c r="G3335" s="85"/>
      <c r="H3335" s="86"/>
      <c r="I3335" s="86"/>
      <c r="J3335" s="87"/>
      <c r="K3335" s="85"/>
      <c r="L3335" s="85"/>
      <c r="P3335" s="85"/>
      <c r="Q3335" s="85"/>
      <c r="R3335" s="81"/>
    </row>
    <row r="3336" spans="7:18" x14ac:dyDescent="0.3">
      <c r="G3336" s="85"/>
      <c r="H3336" s="86"/>
      <c r="I3336" s="86"/>
      <c r="J3336" s="87"/>
      <c r="K3336" s="85"/>
      <c r="L3336" s="85"/>
      <c r="P3336" s="85"/>
      <c r="Q3336" s="85"/>
      <c r="R3336" s="81"/>
    </row>
    <row r="3337" spans="7:18" x14ac:dyDescent="0.3">
      <c r="G3337" s="85"/>
      <c r="H3337" s="86"/>
      <c r="I3337" s="86"/>
      <c r="J3337" s="87"/>
      <c r="K3337" s="85"/>
      <c r="L3337" s="85"/>
      <c r="P3337" s="85"/>
      <c r="Q3337" s="85"/>
      <c r="R3337" s="81"/>
    </row>
    <row r="3338" spans="7:18" x14ac:dyDescent="0.3">
      <c r="G3338" s="85"/>
      <c r="H3338" s="86"/>
      <c r="I3338" s="86"/>
      <c r="J3338" s="87"/>
      <c r="K3338" s="85"/>
      <c r="L3338" s="85"/>
      <c r="P3338" s="85"/>
      <c r="Q3338" s="85"/>
      <c r="R3338" s="81"/>
    </row>
    <row r="3339" spans="7:18" x14ac:dyDescent="0.3">
      <c r="G3339" s="85"/>
      <c r="H3339" s="86"/>
      <c r="I3339" s="86"/>
      <c r="J3339" s="87"/>
      <c r="K3339" s="85"/>
      <c r="L3339" s="85"/>
      <c r="P3339" s="85"/>
      <c r="Q3339" s="85"/>
      <c r="R3339" s="81"/>
    </row>
    <row r="3340" spans="7:18" x14ac:dyDescent="0.3">
      <c r="G3340" s="85"/>
      <c r="H3340" s="86"/>
      <c r="I3340" s="86"/>
      <c r="J3340" s="87"/>
      <c r="K3340" s="85"/>
      <c r="L3340" s="85"/>
      <c r="P3340" s="85"/>
      <c r="Q3340" s="85"/>
      <c r="R3340" s="81"/>
    </row>
    <row r="3341" spans="7:18" x14ac:dyDescent="0.3">
      <c r="G3341" s="85"/>
      <c r="H3341" s="86"/>
      <c r="I3341" s="86"/>
      <c r="J3341" s="87"/>
      <c r="K3341" s="85"/>
      <c r="L3341" s="85"/>
      <c r="P3341" s="85"/>
      <c r="Q3341" s="85"/>
      <c r="R3341" s="81"/>
    </row>
    <row r="3342" spans="7:18" x14ac:dyDescent="0.3">
      <c r="G3342" s="85"/>
      <c r="H3342" s="86"/>
      <c r="I3342" s="86"/>
      <c r="J3342" s="87"/>
      <c r="K3342" s="85"/>
      <c r="L3342" s="85"/>
      <c r="P3342" s="85"/>
      <c r="Q3342" s="85"/>
      <c r="R3342" s="81"/>
    </row>
    <row r="3343" spans="7:18" x14ac:dyDescent="0.3">
      <c r="G3343" s="85"/>
      <c r="H3343" s="86"/>
      <c r="I3343" s="86"/>
      <c r="J3343" s="87"/>
      <c r="K3343" s="85"/>
      <c r="L3343" s="85"/>
      <c r="P3343" s="85"/>
      <c r="Q3343" s="85"/>
      <c r="R3343" s="81"/>
    </row>
    <row r="3344" spans="7:18" x14ac:dyDescent="0.3">
      <c r="G3344" s="85"/>
      <c r="H3344" s="86"/>
      <c r="I3344" s="86"/>
      <c r="J3344" s="87"/>
      <c r="K3344" s="85"/>
      <c r="L3344" s="85"/>
      <c r="P3344" s="85"/>
      <c r="Q3344" s="85"/>
      <c r="R3344" s="81"/>
    </row>
    <row r="3345" spans="7:18" x14ac:dyDescent="0.3">
      <c r="G3345" s="85"/>
      <c r="H3345" s="86"/>
      <c r="I3345" s="86"/>
      <c r="J3345" s="87"/>
      <c r="K3345" s="85"/>
      <c r="L3345" s="85"/>
      <c r="P3345" s="85"/>
      <c r="Q3345" s="85"/>
      <c r="R3345" s="81"/>
    </row>
    <row r="3346" spans="7:18" x14ac:dyDescent="0.3">
      <c r="G3346" s="85"/>
      <c r="H3346" s="86"/>
      <c r="I3346" s="86"/>
      <c r="J3346" s="87"/>
      <c r="K3346" s="85"/>
      <c r="L3346" s="85"/>
      <c r="P3346" s="85"/>
      <c r="Q3346" s="85"/>
      <c r="R3346" s="81"/>
    </row>
    <row r="3347" spans="7:18" x14ac:dyDescent="0.3">
      <c r="G3347" s="85"/>
      <c r="H3347" s="86"/>
      <c r="I3347" s="86"/>
      <c r="J3347" s="87"/>
      <c r="K3347" s="85"/>
      <c r="L3347" s="85"/>
      <c r="P3347" s="85"/>
      <c r="Q3347" s="85"/>
      <c r="R3347" s="81"/>
    </row>
    <row r="3348" spans="7:18" x14ac:dyDescent="0.3">
      <c r="G3348" s="85"/>
      <c r="H3348" s="86"/>
      <c r="I3348" s="86"/>
      <c r="J3348" s="87"/>
      <c r="K3348" s="85"/>
      <c r="L3348" s="85"/>
      <c r="P3348" s="85"/>
      <c r="Q3348" s="85"/>
      <c r="R3348" s="81"/>
    </row>
    <row r="3349" spans="7:18" x14ac:dyDescent="0.3">
      <c r="G3349" s="85"/>
      <c r="H3349" s="86"/>
      <c r="I3349" s="86"/>
      <c r="J3349" s="87"/>
      <c r="K3349" s="85"/>
      <c r="L3349" s="85"/>
      <c r="P3349" s="85"/>
      <c r="Q3349" s="85"/>
      <c r="R3349" s="81"/>
    </row>
    <row r="3350" spans="7:18" x14ac:dyDescent="0.3">
      <c r="G3350" s="85"/>
      <c r="H3350" s="86"/>
      <c r="I3350" s="86"/>
      <c r="J3350" s="87"/>
      <c r="K3350" s="85"/>
      <c r="L3350" s="85"/>
      <c r="P3350" s="85"/>
      <c r="Q3350" s="85"/>
      <c r="R3350" s="81"/>
    </row>
    <row r="3351" spans="7:18" x14ac:dyDescent="0.3">
      <c r="G3351" s="85"/>
      <c r="H3351" s="86"/>
      <c r="I3351" s="86"/>
      <c r="J3351" s="87"/>
      <c r="K3351" s="85"/>
      <c r="L3351" s="85"/>
      <c r="P3351" s="85"/>
      <c r="Q3351" s="85"/>
      <c r="R3351" s="81"/>
    </row>
    <row r="3352" spans="7:18" x14ac:dyDescent="0.3">
      <c r="G3352" s="85"/>
      <c r="H3352" s="86"/>
      <c r="I3352" s="86"/>
      <c r="J3352" s="87"/>
      <c r="K3352" s="85"/>
      <c r="L3352" s="85"/>
      <c r="P3352" s="85"/>
      <c r="Q3352" s="85"/>
      <c r="R3352" s="81"/>
    </row>
    <row r="3353" spans="7:18" x14ac:dyDescent="0.3">
      <c r="G3353" s="85"/>
      <c r="H3353" s="86"/>
      <c r="I3353" s="86"/>
      <c r="J3353" s="87"/>
      <c r="K3353" s="85"/>
      <c r="L3353" s="85"/>
      <c r="P3353" s="85"/>
      <c r="Q3353" s="85"/>
      <c r="R3353" s="81"/>
    </row>
    <row r="3354" spans="7:18" x14ac:dyDescent="0.3">
      <c r="G3354" s="85"/>
      <c r="H3354" s="86"/>
      <c r="I3354" s="86"/>
      <c r="J3354" s="87"/>
      <c r="K3354" s="85"/>
      <c r="L3354" s="85"/>
      <c r="P3354" s="85"/>
      <c r="Q3354" s="85"/>
      <c r="R3354" s="81"/>
    </row>
    <row r="3355" spans="7:18" x14ac:dyDescent="0.3">
      <c r="G3355" s="85"/>
      <c r="H3355" s="86"/>
      <c r="I3355" s="86"/>
      <c r="J3355" s="87"/>
      <c r="K3355" s="85"/>
      <c r="L3355" s="85"/>
      <c r="P3355" s="85"/>
      <c r="Q3355" s="85"/>
      <c r="R3355" s="81"/>
    </row>
    <row r="3356" spans="7:18" x14ac:dyDescent="0.3">
      <c r="G3356" s="85"/>
      <c r="H3356" s="86"/>
      <c r="I3356" s="86"/>
      <c r="J3356" s="87"/>
      <c r="K3356" s="85"/>
      <c r="L3356" s="85"/>
      <c r="P3356" s="85"/>
      <c r="Q3356" s="85"/>
      <c r="R3356" s="81"/>
    </row>
    <row r="3357" spans="7:18" x14ac:dyDescent="0.3">
      <c r="G3357" s="85"/>
      <c r="H3357" s="86"/>
      <c r="I3357" s="86"/>
      <c r="J3357" s="87"/>
      <c r="K3357" s="85"/>
      <c r="L3357" s="85"/>
      <c r="P3357" s="85"/>
      <c r="Q3357" s="85"/>
      <c r="R3357" s="81"/>
    </row>
    <row r="3358" spans="7:18" x14ac:dyDescent="0.3">
      <c r="G3358" s="85"/>
      <c r="H3358" s="86"/>
      <c r="I3358" s="86"/>
      <c r="J3358" s="87"/>
      <c r="K3358" s="85"/>
      <c r="L3358" s="85"/>
      <c r="P3358" s="85"/>
      <c r="Q3358" s="85"/>
      <c r="R3358" s="81"/>
    </row>
    <row r="3359" spans="7:18" x14ac:dyDescent="0.3">
      <c r="G3359" s="85"/>
      <c r="H3359" s="86"/>
      <c r="I3359" s="86"/>
      <c r="J3359" s="87"/>
      <c r="K3359" s="85"/>
      <c r="L3359" s="85"/>
      <c r="P3359" s="85"/>
      <c r="Q3359" s="85"/>
      <c r="R3359" s="81"/>
    </row>
    <row r="3360" spans="7:18" x14ac:dyDescent="0.3">
      <c r="G3360" s="85"/>
      <c r="H3360" s="86"/>
      <c r="I3360" s="86"/>
      <c r="J3360" s="87"/>
      <c r="K3360" s="85"/>
      <c r="L3360" s="85"/>
      <c r="P3360" s="85"/>
      <c r="Q3360" s="85"/>
      <c r="R3360" s="81"/>
    </row>
    <row r="3361" spans="7:18" x14ac:dyDescent="0.3">
      <c r="G3361" s="85"/>
      <c r="H3361" s="86"/>
      <c r="I3361" s="86"/>
      <c r="J3361" s="87"/>
      <c r="K3361" s="85"/>
      <c r="L3361" s="85"/>
      <c r="P3361" s="85"/>
      <c r="Q3361" s="85"/>
      <c r="R3361" s="81"/>
    </row>
    <row r="3362" spans="7:18" x14ac:dyDescent="0.3">
      <c r="G3362" s="85"/>
      <c r="H3362" s="86"/>
      <c r="I3362" s="86"/>
      <c r="J3362" s="87"/>
      <c r="K3362" s="85"/>
      <c r="L3362" s="85"/>
      <c r="P3362" s="85"/>
      <c r="Q3362" s="85"/>
      <c r="R3362" s="81"/>
    </row>
    <row r="3363" spans="7:18" x14ac:dyDescent="0.3">
      <c r="G3363" s="85"/>
      <c r="H3363" s="86"/>
      <c r="I3363" s="86"/>
      <c r="J3363" s="87"/>
      <c r="K3363" s="85"/>
      <c r="L3363" s="85"/>
      <c r="P3363" s="85"/>
      <c r="Q3363" s="85"/>
      <c r="R3363" s="81"/>
    </row>
    <row r="3364" spans="7:18" x14ac:dyDescent="0.3">
      <c r="G3364" s="85"/>
      <c r="H3364" s="86"/>
      <c r="I3364" s="86"/>
      <c r="J3364" s="87"/>
      <c r="K3364" s="85"/>
      <c r="L3364" s="85"/>
      <c r="P3364" s="85"/>
      <c r="Q3364" s="85"/>
      <c r="R3364" s="81"/>
    </row>
    <row r="3365" spans="7:18" x14ac:dyDescent="0.3">
      <c r="G3365" s="85"/>
      <c r="H3365" s="86"/>
      <c r="I3365" s="86"/>
      <c r="J3365" s="87"/>
      <c r="K3365" s="85"/>
      <c r="L3365" s="85"/>
      <c r="P3365" s="85"/>
      <c r="Q3365" s="85"/>
      <c r="R3365" s="81"/>
    </row>
    <row r="3366" spans="7:18" x14ac:dyDescent="0.3">
      <c r="G3366" s="85"/>
      <c r="H3366" s="86"/>
      <c r="I3366" s="86"/>
      <c r="J3366" s="87"/>
      <c r="K3366" s="85"/>
      <c r="L3366" s="85"/>
      <c r="P3366" s="85"/>
      <c r="Q3366" s="85"/>
      <c r="R3366" s="81"/>
    </row>
    <row r="3367" spans="7:18" x14ac:dyDescent="0.3">
      <c r="G3367" s="85"/>
      <c r="H3367" s="86"/>
      <c r="I3367" s="86"/>
      <c r="J3367" s="87"/>
      <c r="K3367" s="85"/>
      <c r="L3367" s="85"/>
      <c r="P3367" s="85"/>
      <c r="Q3367" s="85"/>
      <c r="R3367" s="81"/>
    </row>
    <row r="3368" spans="7:18" x14ac:dyDescent="0.3">
      <c r="G3368" s="85"/>
      <c r="H3368" s="86"/>
      <c r="I3368" s="86"/>
      <c r="J3368" s="87"/>
      <c r="K3368" s="85"/>
      <c r="L3368" s="85"/>
      <c r="P3368" s="85"/>
      <c r="Q3368" s="85"/>
      <c r="R3368" s="81"/>
    </row>
    <row r="3369" spans="7:18" x14ac:dyDescent="0.3">
      <c r="G3369" s="85"/>
      <c r="H3369" s="86"/>
      <c r="I3369" s="86"/>
      <c r="J3369" s="87"/>
      <c r="K3369" s="85"/>
      <c r="L3369" s="85"/>
      <c r="P3369" s="85"/>
      <c r="Q3369" s="85"/>
      <c r="R3369" s="81"/>
    </row>
    <row r="3370" spans="7:18" x14ac:dyDescent="0.3">
      <c r="G3370" s="85"/>
      <c r="H3370" s="86"/>
      <c r="I3370" s="86"/>
      <c r="J3370" s="87"/>
      <c r="K3370" s="85"/>
      <c r="L3370" s="85"/>
      <c r="P3370" s="85"/>
      <c r="Q3370" s="85"/>
      <c r="R3370" s="81"/>
    </row>
    <row r="3371" spans="7:18" x14ac:dyDescent="0.3">
      <c r="G3371" s="85"/>
      <c r="H3371" s="86"/>
      <c r="I3371" s="86"/>
      <c r="J3371" s="87"/>
      <c r="K3371" s="85"/>
      <c r="L3371" s="85"/>
      <c r="P3371" s="85"/>
      <c r="Q3371" s="85"/>
      <c r="R3371" s="81"/>
    </row>
    <row r="3372" spans="7:18" x14ac:dyDescent="0.3">
      <c r="G3372" s="85"/>
      <c r="H3372" s="86"/>
      <c r="I3372" s="86"/>
      <c r="J3372" s="87"/>
      <c r="K3372" s="85"/>
      <c r="L3372" s="85"/>
      <c r="P3372" s="85"/>
      <c r="Q3372" s="85"/>
      <c r="R3372" s="81"/>
    </row>
    <row r="3373" spans="7:18" x14ac:dyDescent="0.3">
      <c r="G3373" s="85"/>
      <c r="H3373" s="86"/>
      <c r="I3373" s="86"/>
      <c r="J3373" s="87"/>
      <c r="K3373" s="85"/>
      <c r="L3373" s="85"/>
      <c r="P3373" s="85"/>
      <c r="Q3373" s="85"/>
      <c r="R3373" s="81"/>
    </row>
    <row r="3374" spans="7:18" x14ac:dyDescent="0.3">
      <c r="G3374" s="85"/>
      <c r="H3374" s="86"/>
      <c r="I3374" s="86"/>
      <c r="J3374" s="87"/>
      <c r="K3374" s="85"/>
      <c r="L3374" s="85"/>
      <c r="P3374" s="85"/>
      <c r="Q3374" s="85"/>
      <c r="R3374" s="81"/>
    </row>
    <row r="3375" spans="7:18" x14ac:dyDescent="0.3">
      <c r="G3375" s="85"/>
      <c r="H3375" s="86"/>
      <c r="I3375" s="86"/>
      <c r="J3375" s="87"/>
      <c r="K3375" s="85"/>
      <c r="L3375" s="85"/>
      <c r="P3375" s="85"/>
      <c r="Q3375" s="85"/>
      <c r="R3375" s="81"/>
    </row>
    <row r="3376" spans="7:18" x14ac:dyDescent="0.3">
      <c r="G3376" s="85"/>
      <c r="H3376" s="86"/>
      <c r="I3376" s="86"/>
      <c r="J3376" s="87"/>
      <c r="K3376" s="85"/>
      <c r="L3376" s="85"/>
      <c r="P3376" s="85"/>
      <c r="Q3376" s="85"/>
      <c r="R3376" s="81"/>
    </row>
    <row r="3377" spans="7:18" x14ac:dyDescent="0.3">
      <c r="G3377" s="85"/>
      <c r="H3377" s="86"/>
      <c r="I3377" s="86"/>
      <c r="J3377" s="87"/>
      <c r="K3377" s="85"/>
      <c r="L3377" s="85"/>
      <c r="P3377" s="85"/>
      <c r="Q3377" s="85"/>
      <c r="R3377" s="81"/>
    </row>
    <row r="3378" spans="7:18" x14ac:dyDescent="0.3">
      <c r="G3378" s="85"/>
      <c r="H3378" s="86"/>
      <c r="I3378" s="86"/>
      <c r="J3378" s="87"/>
      <c r="K3378" s="85"/>
      <c r="L3378" s="85"/>
      <c r="P3378" s="85"/>
      <c r="Q3378" s="85"/>
      <c r="R3378" s="81"/>
    </row>
    <row r="3379" spans="7:18" x14ac:dyDescent="0.3">
      <c r="G3379" s="85"/>
      <c r="H3379" s="86"/>
      <c r="I3379" s="86"/>
      <c r="J3379" s="87"/>
      <c r="K3379" s="85"/>
      <c r="L3379" s="85"/>
      <c r="P3379" s="85"/>
      <c r="Q3379" s="85"/>
      <c r="R3379" s="81"/>
    </row>
    <row r="3380" spans="7:18" x14ac:dyDescent="0.3">
      <c r="G3380" s="85"/>
      <c r="H3380" s="86"/>
      <c r="I3380" s="86"/>
      <c r="J3380" s="87"/>
      <c r="K3380" s="85"/>
      <c r="L3380" s="85"/>
      <c r="P3380" s="85"/>
      <c r="Q3380" s="85"/>
      <c r="R3380" s="81"/>
    </row>
    <row r="3381" spans="7:18" x14ac:dyDescent="0.3">
      <c r="G3381" s="85"/>
      <c r="H3381" s="86"/>
      <c r="I3381" s="86"/>
      <c r="J3381" s="87"/>
      <c r="K3381" s="85"/>
      <c r="L3381" s="85"/>
      <c r="P3381" s="85"/>
      <c r="Q3381" s="85"/>
      <c r="R3381" s="81"/>
    </row>
    <row r="3382" spans="7:18" x14ac:dyDescent="0.3">
      <c r="G3382" s="85"/>
      <c r="H3382" s="86"/>
      <c r="I3382" s="86"/>
      <c r="J3382" s="87"/>
      <c r="K3382" s="85"/>
      <c r="L3382" s="85"/>
      <c r="P3382" s="85"/>
      <c r="Q3382" s="85"/>
      <c r="R3382" s="81"/>
    </row>
    <row r="3383" spans="7:18" x14ac:dyDescent="0.3">
      <c r="G3383" s="85"/>
      <c r="H3383" s="86"/>
      <c r="I3383" s="86"/>
      <c r="J3383" s="87"/>
      <c r="K3383" s="85"/>
      <c r="L3383" s="85"/>
      <c r="P3383" s="85"/>
      <c r="Q3383" s="85"/>
      <c r="R3383" s="81"/>
    </row>
    <row r="3384" spans="7:18" x14ac:dyDescent="0.3">
      <c r="G3384" s="85"/>
      <c r="H3384" s="86"/>
      <c r="I3384" s="86"/>
      <c r="J3384" s="87"/>
      <c r="K3384" s="85"/>
      <c r="L3384" s="85"/>
      <c r="P3384" s="85"/>
      <c r="Q3384" s="85"/>
      <c r="R3384" s="81"/>
    </row>
    <row r="3385" spans="7:18" x14ac:dyDescent="0.3">
      <c r="G3385" s="85"/>
      <c r="H3385" s="86"/>
      <c r="I3385" s="86"/>
      <c r="J3385" s="87"/>
      <c r="K3385" s="85"/>
      <c r="L3385" s="85"/>
      <c r="P3385" s="85"/>
      <c r="Q3385" s="85"/>
      <c r="R3385" s="81"/>
    </row>
    <row r="3386" spans="7:18" x14ac:dyDescent="0.3">
      <c r="G3386" s="85"/>
      <c r="H3386" s="86"/>
      <c r="I3386" s="86"/>
      <c r="J3386" s="87"/>
      <c r="K3386" s="85"/>
      <c r="L3386" s="85"/>
      <c r="P3386" s="85"/>
      <c r="Q3386" s="85"/>
      <c r="R3386" s="81"/>
    </row>
    <row r="3387" spans="7:18" x14ac:dyDescent="0.3">
      <c r="G3387" s="85"/>
      <c r="H3387" s="86"/>
      <c r="I3387" s="86"/>
      <c r="J3387" s="87"/>
      <c r="K3387" s="85"/>
      <c r="L3387" s="85"/>
      <c r="P3387" s="85"/>
      <c r="Q3387" s="85"/>
      <c r="R3387" s="81"/>
    </row>
    <row r="3388" spans="7:18" x14ac:dyDescent="0.3">
      <c r="G3388" s="85"/>
      <c r="H3388" s="86"/>
      <c r="I3388" s="86"/>
      <c r="J3388" s="87"/>
      <c r="K3388" s="85"/>
      <c r="L3388" s="85"/>
      <c r="P3388" s="85"/>
      <c r="Q3388" s="85"/>
      <c r="R3388" s="81"/>
    </row>
    <row r="3389" spans="7:18" x14ac:dyDescent="0.3">
      <c r="G3389" s="85"/>
      <c r="H3389" s="86"/>
      <c r="I3389" s="86"/>
      <c r="J3389" s="87"/>
      <c r="K3389" s="85"/>
      <c r="L3389" s="85"/>
      <c r="P3389" s="85"/>
      <c r="Q3389" s="85"/>
      <c r="R3389" s="81"/>
    </row>
    <row r="3390" spans="7:18" x14ac:dyDescent="0.3">
      <c r="G3390" s="85"/>
      <c r="H3390" s="86"/>
      <c r="I3390" s="86"/>
      <c r="J3390" s="87"/>
      <c r="K3390" s="85"/>
      <c r="L3390" s="85"/>
      <c r="P3390" s="85"/>
      <c r="Q3390" s="85"/>
      <c r="R3390" s="81"/>
    </row>
    <row r="3391" spans="7:18" x14ac:dyDescent="0.3">
      <c r="G3391" s="85"/>
      <c r="H3391" s="86"/>
      <c r="I3391" s="86"/>
      <c r="J3391" s="87"/>
      <c r="K3391" s="85"/>
      <c r="L3391" s="85"/>
      <c r="P3391" s="85"/>
      <c r="Q3391" s="85"/>
      <c r="R3391" s="81"/>
    </row>
    <row r="3392" spans="7:18" x14ac:dyDescent="0.3">
      <c r="G3392" s="85"/>
      <c r="H3392" s="86"/>
      <c r="I3392" s="86"/>
      <c r="J3392" s="87"/>
      <c r="K3392" s="85"/>
      <c r="L3392" s="85"/>
      <c r="P3392" s="85"/>
      <c r="Q3392" s="85"/>
      <c r="R3392" s="81"/>
    </row>
    <row r="3393" spans="7:18" x14ac:dyDescent="0.3">
      <c r="G3393" s="85"/>
      <c r="H3393" s="86"/>
      <c r="I3393" s="86"/>
      <c r="J3393" s="87"/>
      <c r="K3393" s="85"/>
      <c r="L3393" s="85"/>
      <c r="P3393" s="85"/>
      <c r="Q3393" s="85"/>
      <c r="R3393" s="81"/>
    </row>
    <row r="3394" spans="7:18" x14ac:dyDescent="0.3">
      <c r="G3394" s="85"/>
      <c r="H3394" s="86"/>
      <c r="I3394" s="86"/>
      <c r="J3394" s="87"/>
      <c r="K3394" s="85"/>
      <c r="L3394" s="85"/>
      <c r="P3394" s="85"/>
      <c r="Q3394" s="85"/>
      <c r="R3394" s="81"/>
    </row>
    <row r="3395" spans="7:18" x14ac:dyDescent="0.3">
      <c r="G3395" s="85"/>
      <c r="H3395" s="86"/>
      <c r="I3395" s="86"/>
      <c r="J3395" s="87"/>
      <c r="K3395" s="85"/>
      <c r="L3395" s="85"/>
      <c r="P3395" s="85"/>
      <c r="Q3395" s="85"/>
      <c r="R3395" s="81"/>
    </row>
    <row r="3396" spans="7:18" x14ac:dyDescent="0.3">
      <c r="G3396" s="85"/>
      <c r="H3396" s="86"/>
      <c r="I3396" s="86"/>
      <c r="J3396" s="87"/>
      <c r="K3396" s="85"/>
      <c r="L3396" s="85"/>
      <c r="P3396" s="85"/>
      <c r="Q3396" s="85"/>
      <c r="R3396" s="81"/>
    </row>
    <row r="3397" spans="7:18" x14ac:dyDescent="0.3">
      <c r="G3397" s="85"/>
      <c r="H3397" s="86"/>
      <c r="I3397" s="86"/>
      <c r="J3397" s="87"/>
      <c r="K3397" s="85"/>
      <c r="L3397" s="85"/>
      <c r="P3397" s="85"/>
      <c r="Q3397" s="85"/>
      <c r="R3397" s="81"/>
    </row>
    <row r="3398" spans="7:18" x14ac:dyDescent="0.3">
      <c r="G3398" s="85"/>
      <c r="H3398" s="86"/>
      <c r="I3398" s="86"/>
      <c r="J3398" s="87"/>
      <c r="K3398" s="85"/>
      <c r="L3398" s="85"/>
      <c r="P3398" s="85"/>
      <c r="Q3398" s="85"/>
      <c r="R3398" s="81"/>
    </row>
    <row r="3399" spans="7:18" x14ac:dyDescent="0.3">
      <c r="G3399" s="85"/>
      <c r="H3399" s="86"/>
      <c r="I3399" s="86"/>
      <c r="J3399" s="87"/>
      <c r="K3399" s="85"/>
      <c r="L3399" s="85"/>
      <c r="P3399" s="85"/>
      <c r="Q3399" s="85"/>
      <c r="R3399" s="81"/>
    </row>
    <row r="3400" spans="7:18" x14ac:dyDescent="0.3">
      <c r="G3400" s="85"/>
      <c r="H3400" s="86"/>
      <c r="I3400" s="86"/>
      <c r="J3400" s="87"/>
      <c r="K3400" s="85"/>
      <c r="L3400" s="85"/>
      <c r="P3400" s="85"/>
      <c r="Q3400" s="85"/>
      <c r="R3400" s="81"/>
    </row>
    <row r="3401" spans="7:18" x14ac:dyDescent="0.3">
      <c r="G3401" s="85"/>
      <c r="H3401" s="86"/>
      <c r="I3401" s="86"/>
      <c r="J3401" s="87"/>
      <c r="K3401" s="85"/>
      <c r="L3401" s="85"/>
      <c r="P3401" s="85"/>
      <c r="Q3401" s="85"/>
      <c r="R3401" s="81"/>
    </row>
    <row r="3402" spans="7:18" x14ac:dyDescent="0.3">
      <c r="G3402" s="85"/>
      <c r="H3402" s="86"/>
      <c r="I3402" s="86"/>
      <c r="J3402" s="87"/>
      <c r="K3402" s="85"/>
      <c r="L3402" s="85"/>
      <c r="P3402" s="85"/>
      <c r="Q3402" s="85"/>
      <c r="R3402" s="81"/>
    </row>
    <row r="3403" spans="7:18" x14ac:dyDescent="0.3">
      <c r="G3403" s="85"/>
      <c r="H3403" s="86"/>
      <c r="I3403" s="86"/>
      <c r="J3403" s="87"/>
      <c r="K3403" s="85"/>
      <c r="L3403" s="85"/>
      <c r="P3403" s="85"/>
      <c r="Q3403" s="85"/>
      <c r="R3403" s="81"/>
    </row>
    <row r="3404" spans="7:18" x14ac:dyDescent="0.3">
      <c r="G3404" s="85"/>
      <c r="H3404" s="86"/>
      <c r="I3404" s="86"/>
      <c r="J3404" s="87"/>
      <c r="K3404" s="85"/>
      <c r="L3404" s="85"/>
      <c r="P3404" s="85"/>
      <c r="Q3404" s="85"/>
      <c r="R3404" s="81"/>
    </row>
    <row r="3405" spans="7:18" x14ac:dyDescent="0.3">
      <c r="G3405" s="85"/>
      <c r="H3405" s="86"/>
      <c r="I3405" s="86"/>
      <c r="J3405" s="87"/>
      <c r="K3405" s="85"/>
      <c r="L3405" s="85"/>
      <c r="P3405" s="85"/>
      <c r="Q3405" s="85"/>
      <c r="R3405" s="81"/>
    </row>
    <row r="3406" spans="7:18" x14ac:dyDescent="0.3">
      <c r="G3406" s="85"/>
      <c r="H3406" s="86"/>
      <c r="I3406" s="86"/>
      <c r="J3406" s="87"/>
      <c r="K3406" s="85"/>
      <c r="L3406" s="85"/>
      <c r="P3406" s="85"/>
      <c r="Q3406" s="85"/>
      <c r="R3406" s="81"/>
    </row>
    <row r="3407" spans="7:18" x14ac:dyDescent="0.3">
      <c r="G3407" s="85"/>
      <c r="H3407" s="86"/>
      <c r="I3407" s="86"/>
      <c r="J3407" s="87"/>
      <c r="K3407" s="85"/>
      <c r="L3407" s="85"/>
      <c r="P3407" s="85"/>
      <c r="Q3407" s="85"/>
      <c r="R3407" s="81"/>
    </row>
    <row r="3408" spans="7:18" x14ac:dyDescent="0.3">
      <c r="G3408" s="85"/>
      <c r="H3408" s="86"/>
      <c r="I3408" s="86"/>
      <c r="J3408" s="87"/>
      <c r="K3408" s="85"/>
      <c r="L3408" s="85"/>
      <c r="P3408" s="85"/>
      <c r="Q3408" s="85"/>
      <c r="R3408" s="81"/>
    </row>
    <row r="3409" spans="7:18" x14ac:dyDescent="0.3">
      <c r="G3409" s="85"/>
      <c r="H3409" s="86"/>
      <c r="I3409" s="86"/>
      <c r="J3409" s="87"/>
      <c r="K3409" s="85"/>
      <c r="L3409" s="85"/>
      <c r="P3409" s="85"/>
      <c r="Q3409" s="85"/>
      <c r="R3409" s="81"/>
    </row>
    <row r="3410" spans="7:18" x14ac:dyDescent="0.3">
      <c r="G3410" s="85"/>
      <c r="H3410" s="86"/>
      <c r="I3410" s="86"/>
      <c r="J3410" s="87"/>
      <c r="K3410" s="85"/>
      <c r="L3410" s="85"/>
      <c r="P3410" s="85"/>
      <c r="Q3410" s="85"/>
      <c r="R3410" s="81"/>
    </row>
    <row r="3411" spans="7:18" x14ac:dyDescent="0.3">
      <c r="G3411" s="85"/>
      <c r="H3411" s="86"/>
      <c r="I3411" s="86"/>
      <c r="J3411" s="87"/>
      <c r="K3411" s="85"/>
      <c r="L3411" s="85"/>
      <c r="P3411" s="85"/>
      <c r="Q3411" s="85"/>
      <c r="R3411" s="81"/>
    </row>
    <row r="3412" spans="7:18" x14ac:dyDescent="0.3">
      <c r="G3412" s="85"/>
      <c r="H3412" s="86"/>
      <c r="I3412" s="86"/>
      <c r="J3412" s="87"/>
      <c r="K3412" s="85"/>
      <c r="L3412" s="85"/>
      <c r="P3412" s="85"/>
      <c r="Q3412" s="85"/>
      <c r="R3412" s="81"/>
    </row>
    <row r="3413" spans="7:18" x14ac:dyDescent="0.3">
      <c r="G3413" s="85"/>
      <c r="H3413" s="86"/>
      <c r="I3413" s="86"/>
      <c r="J3413" s="87"/>
      <c r="K3413" s="85"/>
      <c r="L3413" s="85"/>
      <c r="P3413" s="85"/>
      <c r="Q3413" s="85"/>
      <c r="R3413" s="81"/>
    </row>
    <row r="3414" spans="7:18" x14ac:dyDescent="0.3">
      <c r="G3414" s="85"/>
      <c r="H3414" s="86"/>
      <c r="I3414" s="86"/>
      <c r="J3414" s="87"/>
      <c r="K3414" s="85"/>
      <c r="L3414" s="85"/>
      <c r="P3414" s="85"/>
      <c r="Q3414" s="85"/>
      <c r="R3414" s="81"/>
    </row>
    <row r="3415" spans="7:18" x14ac:dyDescent="0.3">
      <c r="G3415" s="85"/>
      <c r="H3415" s="86"/>
      <c r="I3415" s="86"/>
      <c r="J3415" s="87"/>
      <c r="K3415" s="85"/>
      <c r="L3415" s="85"/>
      <c r="P3415" s="85"/>
      <c r="Q3415" s="85"/>
      <c r="R3415" s="81"/>
    </row>
    <row r="3416" spans="7:18" x14ac:dyDescent="0.3">
      <c r="G3416" s="85"/>
      <c r="H3416" s="86"/>
      <c r="I3416" s="86"/>
      <c r="J3416" s="87"/>
      <c r="K3416" s="85"/>
      <c r="L3416" s="85"/>
      <c r="P3416" s="85"/>
      <c r="Q3416" s="85"/>
      <c r="R3416" s="81"/>
    </row>
    <row r="3417" spans="7:18" x14ac:dyDescent="0.3">
      <c r="G3417" s="85"/>
      <c r="H3417" s="86"/>
      <c r="I3417" s="86"/>
      <c r="J3417" s="87"/>
      <c r="K3417" s="85"/>
      <c r="L3417" s="85"/>
      <c r="P3417" s="85"/>
      <c r="Q3417" s="85"/>
      <c r="R3417" s="81"/>
    </row>
    <row r="3418" spans="7:18" x14ac:dyDescent="0.3">
      <c r="G3418" s="85"/>
      <c r="H3418" s="86"/>
      <c r="I3418" s="86"/>
      <c r="J3418" s="87"/>
      <c r="K3418" s="85"/>
      <c r="L3418" s="85"/>
      <c r="P3418" s="85"/>
      <c r="Q3418" s="85"/>
      <c r="R3418" s="81"/>
    </row>
    <row r="3419" spans="7:18" x14ac:dyDescent="0.3">
      <c r="G3419" s="85"/>
      <c r="H3419" s="86"/>
      <c r="I3419" s="86"/>
      <c r="J3419" s="87"/>
      <c r="K3419" s="85"/>
      <c r="L3419" s="85"/>
      <c r="P3419" s="85"/>
      <c r="Q3419" s="85"/>
      <c r="R3419" s="81"/>
    </row>
    <row r="3420" spans="7:18" x14ac:dyDescent="0.3">
      <c r="G3420" s="85"/>
      <c r="H3420" s="86"/>
      <c r="I3420" s="86"/>
      <c r="J3420" s="87"/>
      <c r="K3420" s="85"/>
      <c r="L3420" s="85"/>
      <c r="P3420" s="85"/>
      <c r="Q3420" s="85"/>
      <c r="R3420" s="81"/>
    </row>
    <row r="3421" spans="7:18" x14ac:dyDescent="0.3">
      <c r="G3421" s="85"/>
      <c r="H3421" s="86"/>
      <c r="I3421" s="86"/>
      <c r="J3421" s="87"/>
      <c r="K3421" s="85"/>
      <c r="L3421" s="85"/>
      <c r="P3421" s="85"/>
      <c r="Q3421" s="85"/>
      <c r="R3421" s="81"/>
    </row>
    <row r="3422" spans="7:18" x14ac:dyDescent="0.3">
      <c r="G3422" s="85"/>
      <c r="H3422" s="86"/>
      <c r="I3422" s="86"/>
      <c r="J3422" s="87"/>
      <c r="K3422" s="85"/>
      <c r="L3422" s="85"/>
      <c r="P3422" s="85"/>
      <c r="Q3422" s="85"/>
      <c r="R3422" s="81"/>
    </row>
    <row r="3423" spans="7:18" x14ac:dyDescent="0.3">
      <c r="G3423" s="85"/>
      <c r="H3423" s="86"/>
      <c r="I3423" s="86"/>
      <c r="J3423" s="87"/>
      <c r="K3423" s="85"/>
      <c r="L3423" s="85"/>
      <c r="P3423" s="85"/>
      <c r="Q3423" s="85"/>
      <c r="R3423" s="81"/>
    </row>
    <row r="3424" spans="7:18" x14ac:dyDescent="0.3">
      <c r="G3424" s="85"/>
      <c r="H3424" s="86"/>
      <c r="I3424" s="86"/>
      <c r="J3424" s="87"/>
      <c r="K3424" s="85"/>
      <c r="L3424" s="85"/>
      <c r="P3424" s="85"/>
      <c r="Q3424" s="85"/>
      <c r="R3424" s="81"/>
    </row>
    <row r="3425" spans="7:18" x14ac:dyDescent="0.3">
      <c r="G3425" s="85"/>
      <c r="H3425" s="86"/>
      <c r="I3425" s="86"/>
      <c r="J3425" s="87"/>
      <c r="K3425" s="85"/>
      <c r="L3425" s="85"/>
      <c r="P3425" s="85"/>
      <c r="Q3425" s="85"/>
      <c r="R3425" s="81"/>
    </row>
    <row r="3426" spans="7:18" x14ac:dyDescent="0.3">
      <c r="G3426" s="85"/>
      <c r="H3426" s="86"/>
      <c r="I3426" s="86"/>
      <c r="J3426" s="87"/>
      <c r="K3426" s="85"/>
      <c r="L3426" s="85"/>
      <c r="P3426" s="85"/>
      <c r="Q3426" s="85"/>
      <c r="R3426" s="81"/>
    </row>
    <row r="3427" spans="7:18" x14ac:dyDescent="0.3">
      <c r="G3427" s="85"/>
      <c r="H3427" s="86"/>
      <c r="I3427" s="86"/>
      <c r="J3427" s="87"/>
      <c r="K3427" s="85"/>
      <c r="L3427" s="85"/>
      <c r="P3427" s="85"/>
      <c r="Q3427" s="85"/>
      <c r="R3427" s="81"/>
    </row>
    <row r="3428" spans="7:18" x14ac:dyDescent="0.3">
      <c r="G3428" s="85"/>
      <c r="H3428" s="86"/>
      <c r="I3428" s="86"/>
      <c r="J3428" s="87"/>
      <c r="K3428" s="85"/>
      <c r="L3428" s="85"/>
      <c r="P3428" s="85"/>
      <c r="Q3428" s="85"/>
      <c r="R3428" s="81"/>
    </row>
    <row r="3429" spans="7:18" x14ac:dyDescent="0.3">
      <c r="G3429" s="85"/>
      <c r="H3429" s="86"/>
      <c r="I3429" s="86"/>
      <c r="J3429" s="87"/>
      <c r="K3429" s="85"/>
      <c r="L3429" s="85"/>
      <c r="P3429" s="85"/>
      <c r="Q3429" s="85"/>
      <c r="R3429" s="81"/>
    </row>
    <row r="3430" spans="7:18" x14ac:dyDescent="0.3">
      <c r="G3430" s="85"/>
      <c r="H3430" s="86"/>
      <c r="I3430" s="86"/>
      <c r="J3430" s="87"/>
      <c r="K3430" s="85"/>
      <c r="L3430" s="85"/>
      <c r="P3430" s="85"/>
      <c r="Q3430" s="85"/>
      <c r="R3430" s="81"/>
    </row>
    <row r="3431" spans="7:18" x14ac:dyDescent="0.3">
      <c r="G3431" s="85"/>
      <c r="H3431" s="86"/>
      <c r="I3431" s="86"/>
      <c r="J3431" s="87"/>
      <c r="K3431" s="85"/>
      <c r="L3431" s="85"/>
      <c r="P3431" s="85"/>
      <c r="Q3431" s="85"/>
      <c r="R3431" s="81"/>
    </row>
    <row r="3432" spans="7:18" x14ac:dyDescent="0.3">
      <c r="G3432" s="85"/>
      <c r="H3432" s="86"/>
      <c r="I3432" s="86"/>
      <c r="J3432" s="87"/>
      <c r="K3432" s="85"/>
      <c r="L3432" s="85"/>
      <c r="P3432" s="85"/>
      <c r="Q3432" s="85"/>
      <c r="R3432" s="81"/>
    </row>
    <row r="3433" spans="7:18" x14ac:dyDescent="0.3">
      <c r="G3433" s="85"/>
      <c r="H3433" s="86"/>
      <c r="I3433" s="86"/>
      <c r="J3433" s="87"/>
      <c r="K3433" s="85"/>
      <c r="L3433" s="85"/>
      <c r="P3433" s="85"/>
      <c r="Q3433" s="85"/>
      <c r="R3433" s="81"/>
    </row>
    <row r="3434" spans="7:18" x14ac:dyDescent="0.3">
      <c r="G3434" s="85"/>
      <c r="H3434" s="86"/>
      <c r="I3434" s="86"/>
      <c r="J3434" s="87"/>
      <c r="K3434" s="85"/>
      <c r="L3434" s="85"/>
      <c r="P3434" s="85"/>
      <c r="Q3434" s="85"/>
      <c r="R3434" s="81"/>
    </row>
    <row r="3435" spans="7:18" x14ac:dyDescent="0.3">
      <c r="G3435" s="85"/>
      <c r="H3435" s="86"/>
      <c r="I3435" s="86"/>
      <c r="J3435" s="87"/>
      <c r="K3435" s="85"/>
      <c r="L3435" s="85"/>
      <c r="P3435" s="85"/>
      <c r="Q3435" s="85"/>
      <c r="R3435" s="81"/>
    </row>
    <row r="3436" spans="7:18" x14ac:dyDescent="0.3">
      <c r="G3436" s="85"/>
      <c r="H3436" s="86"/>
      <c r="I3436" s="86"/>
      <c r="J3436" s="87"/>
      <c r="K3436" s="85"/>
      <c r="L3436" s="85"/>
      <c r="P3436" s="85"/>
      <c r="Q3436" s="85"/>
      <c r="R3436" s="81"/>
    </row>
    <row r="3437" spans="7:18" x14ac:dyDescent="0.3">
      <c r="G3437" s="85"/>
      <c r="H3437" s="86"/>
      <c r="I3437" s="86"/>
      <c r="J3437" s="87"/>
      <c r="K3437" s="85"/>
      <c r="L3437" s="85"/>
      <c r="P3437" s="85"/>
      <c r="Q3437" s="85"/>
      <c r="R3437" s="81"/>
    </row>
    <row r="3438" spans="7:18" x14ac:dyDescent="0.3">
      <c r="G3438" s="85"/>
      <c r="H3438" s="86"/>
      <c r="I3438" s="86"/>
      <c r="J3438" s="87"/>
      <c r="K3438" s="85"/>
      <c r="L3438" s="85"/>
      <c r="P3438" s="85"/>
      <c r="Q3438" s="85"/>
      <c r="R3438" s="81"/>
    </row>
    <row r="3439" spans="7:18" x14ac:dyDescent="0.3">
      <c r="G3439" s="85"/>
      <c r="H3439" s="86"/>
      <c r="I3439" s="86"/>
      <c r="J3439" s="87"/>
      <c r="K3439" s="85"/>
      <c r="L3439" s="85"/>
      <c r="P3439" s="85"/>
      <c r="Q3439" s="85"/>
      <c r="R3439" s="81"/>
    </row>
    <row r="3440" spans="7:18" x14ac:dyDescent="0.3">
      <c r="G3440" s="85"/>
      <c r="H3440" s="86"/>
      <c r="I3440" s="86"/>
      <c r="J3440" s="87"/>
      <c r="K3440" s="85"/>
      <c r="L3440" s="85"/>
      <c r="P3440" s="85"/>
      <c r="Q3440" s="85"/>
      <c r="R3440" s="81"/>
    </row>
    <row r="3441" spans="7:18" x14ac:dyDescent="0.3">
      <c r="G3441" s="85"/>
      <c r="H3441" s="86"/>
      <c r="I3441" s="86"/>
      <c r="J3441" s="87"/>
      <c r="K3441" s="85"/>
      <c r="L3441" s="85"/>
      <c r="P3441" s="85"/>
      <c r="Q3441" s="85"/>
      <c r="R3441" s="81"/>
    </row>
    <row r="3442" spans="7:18" x14ac:dyDescent="0.3">
      <c r="G3442" s="85"/>
      <c r="H3442" s="86"/>
      <c r="I3442" s="86"/>
      <c r="J3442" s="87"/>
      <c r="K3442" s="85"/>
      <c r="L3442" s="85"/>
      <c r="P3442" s="85"/>
      <c r="Q3442" s="85"/>
      <c r="R3442" s="81"/>
    </row>
    <row r="3443" spans="7:18" x14ac:dyDescent="0.3">
      <c r="G3443" s="85"/>
      <c r="H3443" s="86"/>
      <c r="I3443" s="86"/>
      <c r="J3443" s="87"/>
      <c r="K3443" s="85"/>
      <c r="L3443" s="85"/>
      <c r="P3443" s="85"/>
      <c r="Q3443" s="85"/>
      <c r="R3443" s="81"/>
    </row>
    <row r="3444" spans="7:18" x14ac:dyDescent="0.3">
      <c r="G3444" s="85"/>
      <c r="H3444" s="86"/>
      <c r="I3444" s="86"/>
      <c r="J3444" s="87"/>
      <c r="K3444" s="85"/>
      <c r="L3444" s="85"/>
      <c r="P3444" s="85"/>
      <c r="Q3444" s="85"/>
      <c r="R3444" s="81"/>
    </row>
    <row r="3445" spans="7:18" x14ac:dyDescent="0.3">
      <c r="G3445" s="85"/>
      <c r="H3445" s="86"/>
      <c r="I3445" s="86"/>
      <c r="J3445" s="87"/>
      <c r="K3445" s="85"/>
      <c r="L3445" s="85"/>
      <c r="P3445" s="85"/>
      <c r="Q3445" s="85"/>
      <c r="R3445" s="81"/>
    </row>
    <row r="3446" spans="7:18" x14ac:dyDescent="0.3">
      <c r="G3446" s="85"/>
      <c r="H3446" s="86"/>
      <c r="I3446" s="86"/>
      <c r="J3446" s="87"/>
      <c r="K3446" s="85"/>
      <c r="L3446" s="85"/>
      <c r="P3446" s="85"/>
      <c r="Q3446" s="85"/>
      <c r="R3446" s="81"/>
    </row>
    <row r="3447" spans="7:18" x14ac:dyDescent="0.3">
      <c r="G3447" s="85"/>
      <c r="H3447" s="86"/>
      <c r="I3447" s="86"/>
      <c r="J3447" s="87"/>
      <c r="K3447" s="85"/>
      <c r="L3447" s="85"/>
      <c r="P3447" s="85"/>
      <c r="Q3447" s="85"/>
      <c r="R3447" s="81"/>
    </row>
    <row r="3448" spans="7:18" x14ac:dyDescent="0.3">
      <c r="G3448" s="85"/>
      <c r="H3448" s="86"/>
      <c r="I3448" s="86"/>
      <c r="J3448" s="87"/>
      <c r="K3448" s="85"/>
      <c r="L3448" s="85"/>
      <c r="P3448" s="85"/>
      <c r="Q3448" s="85"/>
      <c r="R3448" s="81"/>
    </row>
    <row r="3449" spans="7:18" x14ac:dyDescent="0.3">
      <c r="G3449" s="85"/>
      <c r="H3449" s="86"/>
      <c r="I3449" s="86"/>
      <c r="J3449" s="87"/>
      <c r="K3449" s="85"/>
      <c r="L3449" s="85"/>
      <c r="P3449" s="85"/>
      <c r="Q3449" s="85"/>
      <c r="R3449" s="81"/>
    </row>
    <row r="3450" spans="7:18" x14ac:dyDescent="0.3">
      <c r="G3450" s="85"/>
      <c r="H3450" s="86"/>
      <c r="I3450" s="86"/>
      <c r="J3450" s="87"/>
      <c r="K3450" s="85"/>
      <c r="L3450" s="85"/>
      <c r="P3450" s="85"/>
      <c r="Q3450" s="85"/>
      <c r="R3450" s="81"/>
    </row>
    <row r="3451" spans="7:18" x14ac:dyDescent="0.3">
      <c r="G3451" s="85"/>
      <c r="H3451" s="86"/>
      <c r="I3451" s="86"/>
      <c r="J3451" s="87"/>
      <c r="K3451" s="85"/>
      <c r="L3451" s="85"/>
      <c r="P3451" s="85"/>
      <c r="Q3451" s="85"/>
      <c r="R3451" s="81"/>
    </row>
    <row r="3452" spans="7:18" x14ac:dyDescent="0.3">
      <c r="G3452" s="85"/>
      <c r="H3452" s="86"/>
      <c r="I3452" s="86"/>
      <c r="J3452" s="87"/>
      <c r="K3452" s="85"/>
      <c r="L3452" s="85"/>
      <c r="P3452" s="85"/>
      <c r="Q3452" s="85"/>
      <c r="R3452" s="81"/>
    </row>
    <row r="3453" spans="7:18" x14ac:dyDescent="0.3">
      <c r="G3453" s="85"/>
      <c r="H3453" s="86"/>
      <c r="I3453" s="86"/>
      <c r="J3453" s="87"/>
      <c r="K3453" s="85"/>
      <c r="L3453" s="85"/>
      <c r="P3453" s="85"/>
      <c r="Q3453" s="85"/>
      <c r="R3453" s="81"/>
    </row>
    <row r="3454" spans="7:18" x14ac:dyDescent="0.3">
      <c r="G3454" s="85"/>
      <c r="H3454" s="86"/>
      <c r="I3454" s="86"/>
      <c r="J3454" s="87"/>
      <c r="K3454" s="85"/>
      <c r="L3454" s="85"/>
      <c r="P3454" s="85"/>
      <c r="Q3454" s="85"/>
      <c r="R3454" s="81"/>
    </row>
    <row r="3455" spans="7:18" x14ac:dyDescent="0.3">
      <c r="G3455" s="85"/>
      <c r="H3455" s="86"/>
      <c r="I3455" s="86"/>
      <c r="J3455" s="87"/>
      <c r="K3455" s="85"/>
      <c r="L3455" s="85"/>
      <c r="P3455" s="85"/>
      <c r="Q3455" s="85"/>
      <c r="R3455" s="81"/>
    </row>
    <row r="3456" spans="7:18" x14ac:dyDescent="0.3">
      <c r="G3456" s="85"/>
      <c r="H3456" s="86"/>
      <c r="I3456" s="86"/>
      <c r="J3456" s="87"/>
      <c r="K3456" s="85"/>
      <c r="L3456" s="85"/>
      <c r="P3456" s="85"/>
      <c r="Q3456" s="85"/>
      <c r="R3456" s="81"/>
    </row>
    <row r="3457" spans="7:18" x14ac:dyDescent="0.3">
      <c r="G3457" s="85"/>
      <c r="H3457" s="86"/>
      <c r="I3457" s="86"/>
      <c r="J3457" s="87"/>
      <c r="K3457" s="85"/>
      <c r="L3457" s="85"/>
      <c r="P3457" s="85"/>
      <c r="Q3457" s="85"/>
      <c r="R3457" s="81"/>
    </row>
    <row r="3458" spans="7:18" x14ac:dyDescent="0.3">
      <c r="G3458" s="85"/>
      <c r="H3458" s="86"/>
      <c r="I3458" s="86"/>
      <c r="J3458" s="87"/>
      <c r="K3458" s="85"/>
      <c r="L3458" s="85"/>
      <c r="P3458" s="85"/>
      <c r="Q3458" s="85"/>
      <c r="R3458" s="81"/>
    </row>
    <row r="3459" spans="7:18" x14ac:dyDescent="0.3">
      <c r="G3459" s="85"/>
      <c r="H3459" s="86"/>
      <c r="I3459" s="86"/>
      <c r="J3459" s="87"/>
      <c r="K3459" s="85"/>
      <c r="L3459" s="85"/>
      <c r="P3459" s="85"/>
      <c r="Q3459" s="85"/>
      <c r="R3459" s="81"/>
    </row>
    <row r="3460" spans="7:18" x14ac:dyDescent="0.3">
      <c r="G3460" s="85"/>
      <c r="H3460" s="86"/>
      <c r="I3460" s="86"/>
      <c r="J3460" s="87"/>
      <c r="K3460" s="85"/>
      <c r="L3460" s="85"/>
      <c r="P3460" s="85"/>
      <c r="Q3460" s="85"/>
      <c r="R3460" s="81"/>
    </row>
    <row r="3461" spans="7:18" x14ac:dyDescent="0.3">
      <c r="G3461" s="85"/>
      <c r="H3461" s="86"/>
      <c r="I3461" s="86"/>
      <c r="J3461" s="87"/>
      <c r="K3461" s="85"/>
      <c r="L3461" s="85"/>
      <c r="P3461" s="85"/>
      <c r="Q3461" s="85"/>
      <c r="R3461" s="81"/>
    </row>
    <row r="3462" spans="7:18" x14ac:dyDescent="0.3">
      <c r="G3462" s="85"/>
      <c r="H3462" s="86"/>
      <c r="I3462" s="86"/>
      <c r="J3462" s="87"/>
      <c r="K3462" s="85"/>
      <c r="L3462" s="85"/>
      <c r="P3462" s="85"/>
      <c r="Q3462" s="85"/>
      <c r="R3462" s="81"/>
    </row>
    <row r="3463" spans="7:18" x14ac:dyDescent="0.3">
      <c r="G3463" s="85"/>
      <c r="H3463" s="86"/>
      <c r="I3463" s="86"/>
      <c r="J3463" s="87"/>
      <c r="K3463" s="85"/>
      <c r="L3463" s="85"/>
      <c r="P3463" s="85"/>
      <c r="Q3463" s="85"/>
      <c r="R3463" s="81"/>
    </row>
    <row r="3464" spans="7:18" x14ac:dyDescent="0.3">
      <c r="G3464" s="85"/>
      <c r="H3464" s="86"/>
      <c r="I3464" s="86"/>
      <c r="J3464" s="87"/>
      <c r="K3464" s="85"/>
      <c r="L3464" s="85"/>
      <c r="P3464" s="85"/>
      <c r="Q3464" s="85"/>
      <c r="R3464" s="81"/>
    </row>
    <row r="3465" spans="7:18" x14ac:dyDescent="0.3">
      <c r="G3465" s="85"/>
      <c r="H3465" s="86"/>
      <c r="I3465" s="86"/>
      <c r="J3465" s="87"/>
      <c r="K3465" s="85"/>
      <c r="L3465" s="85"/>
      <c r="P3465" s="85"/>
      <c r="Q3465" s="85"/>
      <c r="R3465" s="81"/>
    </row>
    <row r="3466" spans="7:18" x14ac:dyDescent="0.3">
      <c r="G3466" s="85"/>
      <c r="H3466" s="86"/>
      <c r="I3466" s="86"/>
      <c r="J3466" s="87"/>
      <c r="K3466" s="85"/>
      <c r="L3466" s="85"/>
      <c r="P3466" s="85"/>
      <c r="Q3466" s="85"/>
      <c r="R3466" s="81"/>
    </row>
    <row r="3467" spans="7:18" x14ac:dyDescent="0.3">
      <c r="G3467" s="85"/>
      <c r="H3467" s="86"/>
      <c r="I3467" s="86"/>
      <c r="J3467" s="87"/>
      <c r="K3467" s="85"/>
      <c r="L3467" s="85"/>
      <c r="P3467" s="85"/>
      <c r="Q3467" s="85"/>
      <c r="R3467" s="81"/>
    </row>
    <row r="3468" spans="7:18" x14ac:dyDescent="0.3">
      <c r="G3468" s="85"/>
      <c r="H3468" s="86"/>
      <c r="I3468" s="86"/>
      <c r="J3468" s="87"/>
      <c r="K3468" s="85"/>
      <c r="L3468" s="85"/>
      <c r="P3468" s="85"/>
      <c r="Q3468" s="85"/>
      <c r="R3468" s="81"/>
    </row>
    <row r="3469" spans="7:18" x14ac:dyDescent="0.3">
      <c r="G3469" s="85"/>
      <c r="H3469" s="86"/>
      <c r="I3469" s="86"/>
      <c r="J3469" s="87"/>
      <c r="K3469" s="85"/>
      <c r="L3469" s="85"/>
      <c r="P3469" s="85"/>
      <c r="Q3469" s="85"/>
      <c r="R3469" s="81"/>
    </row>
    <row r="3470" spans="7:18" x14ac:dyDescent="0.3">
      <c r="G3470" s="85"/>
      <c r="H3470" s="86"/>
      <c r="I3470" s="86"/>
      <c r="J3470" s="87"/>
      <c r="K3470" s="85"/>
      <c r="L3470" s="85"/>
      <c r="P3470" s="85"/>
      <c r="Q3470" s="85"/>
      <c r="R3470" s="81"/>
    </row>
    <row r="3471" spans="7:18" x14ac:dyDescent="0.3">
      <c r="G3471" s="85"/>
      <c r="H3471" s="86"/>
      <c r="I3471" s="86"/>
      <c r="J3471" s="87"/>
      <c r="K3471" s="85"/>
      <c r="L3471" s="85"/>
      <c r="P3471" s="85"/>
      <c r="Q3471" s="85"/>
      <c r="R3471" s="81"/>
    </row>
    <row r="3472" spans="7:18" x14ac:dyDescent="0.3">
      <c r="G3472" s="85"/>
      <c r="H3472" s="86"/>
      <c r="I3472" s="86"/>
      <c r="J3472" s="87"/>
      <c r="K3472" s="85"/>
      <c r="L3472" s="85"/>
      <c r="P3472" s="85"/>
      <c r="Q3472" s="85"/>
      <c r="R3472" s="81"/>
    </row>
    <row r="3473" spans="7:18" x14ac:dyDescent="0.3">
      <c r="G3473" s="85"/>
      <c r="H3473" s="86"/>
      <c r="I3473" s="86"/>
      <c r="J3473" s="87"/>
      <c r="K3473" s="85"/>
      <c r="L3473" s="85"/>
      <c r="P3473" s="85"/>
      <c r="Q3473" s="85"/>
      <c r="R3473" s="81"/>
    </row>
    <row r="3474" spans="7:18" x14ac:dyDescent="0.3">
      <c r="G3474" s="85"/>
      <c r="H3474" s="86"/>
      <c r="I3474" s="86"/>
      <c r="J3474" s="87"/>
      <c r="K3474" s="85"/>
      <c r="L3474" s="85"/>
      <c r="P3474" s="85"/>
      <c r="Q3474" s="85"/>
      <c r="R3474" s="81"/>
    </row>
    <row r="3475" spans="7:18" x14ac:dyDescent="0.3">
      <c r="G3475" s="85"/>
      <c r="H3475" s="86"/>
      <c r="I3475" s="86"/>
      <c r="J3475" s="87"/>
      <c r="K3475" s="85"/>
      <c r="L3475" s="85"/>
      <c r="P3475" s="85"/>
      <c r="Q3475" s="85"/>
      <c r="R3475" s="81"/>
    </row>
    <row r="3476" spans="7:18" x14ac:dyDescent="0.3">
      <c r="G3476" s="85"/>
      <c r="H3476" s="86"/>
      <c r="I3476" s="86"/>
      <c r="J3476" s="87"/>
      <c r="K3476" s="85"/>
      <c r="L3476" s="85"/>
      <c r="P3476" s="85"/>
      <c r="Q3476" s="85"/>
      <c r="R3476" s="81"/>
    </row>
    <row r="3477" spans="7:18" x14ac:dyDescent="0.3">
      <c r="G3477" s="85"/>
      <c r="H3477" s="86"/>
      <c r="I3477" s="86"/>
      <c r="J3477" s="87"/>
      <c r="K3477" s="85"/>
      <c r="L3477" s="85"/>
      <c r="P3477" s="85"/>
      <c r="Q3477" s="85"/>
      <c r="R3477" s="81"/>
    </row>
    <row r="3478" spans="7:18" x14ac:dyDescent="0.3">
      <c r="G3478" s="85"/>
      <c r="H3478" s="86"/>
      <c r="I3478" s="86"/>
      <c r="J3478" s="87"/>
      <c r="K3478" s="85"/>
      <c r="L3478" s="85"/>
      <c r="P3478" s="85"/>
      <c r="Q3478" s="85"/>
      <c r="R3478" s="81"/>
    </row>
    <row r="3479" spans="7:18" x14ac:dyDescent="0.3">
      <c r="G3479" s="85"/>
      <c r="H3479" s="86"/>
      <c r="I3479" s="86"/>
      <c r="J3479" s="87"/>
      <c r="K3479" s="85"/>
      <c r="L3479" s="85"/>
      <c r="P3479" s="85"/>
      <c r="Q3479" s="85"/>
      <c r="R3479" s="81"/>
    </row>
    <row r="3480" spans="7:18" x14ac:dyDescent="0.3">
      <c r="G3480" s="85"/>
      <c r="H3480" s="86"/>
      <c r="I3480" s="86"/>
      <c r="J3480" s="87"/>
      <c r="K3480" s="85"/>
      <c r="L3480" s="85"/>
      <c r="P3480" s="85"/>
      <c r="Q3480" s="85"/>
      <c r="R3480" s="81"/>
    </row>
    <row r="3481" spans="7:18" x14ac:dyDescent="0.3">
      <c r="G3481" s="85"/>
      <c r="H3481" s="86"/>
      <c r="I3481" s="86"/>
      <c r="J3481" s="87"/>
      <c r="K3481" s="85"/>
      <c r="L3481" s="85"/>
      <c r="P3481" s="85"/>
      <c r="Q3481" s="85"/>
      <c r="R3481" s="81"/>
    </row>
    <row r="3482" spans="7:18" x14ac:dyDescent="0.3">
      <c r="G3482" s="85"/>
      <c r="H3482" s="86"/>
      <c r="I3482" s="86"/>
      <c r="J3482" s="87"/>
      <c r="K3482" s="85"/>
      <c r="L3482" s="85"/>
      <c r="P3482" s="85"/>
      <c r="Q3482" s="85"/>
      <c r="R3482" s="81"/>
    </row>
    <row r="3483" spans="7:18" x14ac:dyDescent="0.3">
      <c r="G3483" s="85"/>
      <c r="H3483" s="86"/>
      <c r="I3483" s="86"/>
      <c r="J3483" s="87"/>
      <c r="K3483" s="85"/>
      <c r="L3483" s="85"/>
      <c r="P3483" s="85"/>
      <c r="Q3483" s="85"/>
      <c r="R3483" s="81"/>
    </row>
    <row r="3484" spans="7:18" x14ac:dyDescent="0.3">
      <c r="G3484" s="85"/>
      <c r="H3484" s="86"/>
      <c r="I3484" s="86"/>
      <c r="J3484" s="87"/>
      <c r="K3484" s="85"/>
      <c r="L3484" s="85"/>
      <c r="P3484" s="85"/>
      <c r="Q3484" s="85"/>
      <c r="R3484" s="81"/>
    </row>
    <row r="3485" spans="7:18" x14ac:dyDescent="0.3">
      <c r="G3485" s="85"/>
      <c r="H3485" s="86"/>
      <c r="I3485" s="86"/>
      <c r="J3485" s="87"/>
      <c r="K3485" s="85"/>
      <c r="L3485" s="85"/>
      <c r="P3485" s="85"/>
      <c r="Q3485" s="85"/>
      <c r="R3485" s="81"/>
    </row>
    <row r="3486" spans="7:18" x14ac:dyDescent="0.3">
      <c r="G3486" s="85"/>
      <c r="H3486" s="86"/>
      <c r="I3486" s="86"/>
      <c r="J3486" s="87"/>
      <c r="K3486" s="85"/>
      <c r="L3486" s="85"/>
      <c r="P3486" s="85"/>
      <c r="Q3486" s="85"/>
      <c r="R3486" s="81"/>
    </row>
    <row r="3487" spans="7:18" x14ac:dyDescent="0.3">
      <c r="G3487" s="85"/>
      <c r="H3487" s="86"/>
      <c r="I3487" s="86"/>
      <c r="J3487" s="87"/>
      <c r="K3487" s="85"/>
      <c r="L3487" s="85"/>
      <c r="P3487" s="85"/>
      <c r="Q3487" s="85"/>
      <c r="R3487" s="81"/>
    </row>
    <row r="3488" spans="7:18" x14ac:dyDescent="0.3">
      <c r="G3488" s="85"/>
      <c r="H3488" s="86"/>
      <c r="I3488" s="86"/>
      <c r="J3488" s="87"/>
      <c r="K3488" s="85"/>
      <c r="L3488" s="85"/>
      <c r="P3488" s="85"/>
      <c r="Q3488" s="85"/>
      <c r="R3488" s="81"/>
    </row>
    <row r="3489" spans="7:18" x14ac:dyDescent="0.3">
      <c r="G3489" s="85"/>
      <c r="H3489" s="86"/>
      <c r="I3489" s="86"/>
      <c r="J3489" s="87"/>
      <c r="K3489" s="85"/>
      <c r="L3489" s="85"/>
      <c r="P3489" s="85"/>
      <c r="Q3489" s="85"/>
      <c r="R3489" s="81"/>
    </row>
    <row r="3490" spans="7:18" x14ac:dyDescent="0.3">
      <c r="G3490" s="85"/>
      <c r="H3490" s="86"/>
      <c r="I3490" s="86"/>
      <c r="J3490" s="87"/>
      <c r="K3490" s="85"/>
      <c r="L3490" s="85"/>
      <c r="P3490" s="85"/>
      <c r="Q3490" s="85"/>
      <c r="R3490" s="81"/>
    </row>
    <row r="3491" spans="7:18" x14ac:dyDescent="0.3">
      <c r="G3491" s="85"/>
      <c r="H3491" s="86"/>
      <c r="I3491" s="86"/>
      <c r="J3491" s="87"/>
      <c r="K3491" s="85"/>
      <c r="L3491" s="85"/>
      <c r="P3491" s="85"/>
      <c r="Q3491" s="85"/>
      <c r="R3491" s="81"/>
    </row>
    <row r="3492" spans="7:18" x14ac:dyDescent="0.3">
      <c r="G3492" s="85"/>
      <c r="H3492" s="86"/>
      <c r="I3492" s="86"/>
      <c r="J3492" s="87"/>
      <c r="K3492" s="85"/>
      <c r="L3492" s="85"/>
      <c r="P3492" s="85"/>
      <c r="Q3492" s="85"/>
      <c r="R3492" s="81"/>
    </row>
    <row r="3493" spans="7:18" x14ac:dyDescent="0.3">
      <c r="G3493" s="85"/>
      <c r="H3493" s="86"/>
      <c r="I3493" s="86"/>
      <c r="J3493" s="87"/>
      <c r="K3493" s="85"/>
      <c r="L3493" s="85"/>
      <c r="P3493" s="85"/>
      <c r="Q3493" s="85"/>
      <c r="R3493" s="81"/>
    </row>
    <row r="3494" spans="7:18" x14ac:dyDescent="0.3">
      <c r="G3494" s="85"/>
      <c r="H3494" s="86"/>
      <c r="I3494" s="86"/>
      <c r="J3494" s="87"/>
      <c r="K3494" s="85"/>
      <c r="L3494" s="85"/>
      <c r="P3494" s="85"/>
      <c r="Q3494" s="85"/>
      <c r="R3494" s="81"/>
    </row>
    <row r="3495" spans="7:18" x14ac:dyDescent="0.3">
      <c r="G3495" s="85"/>
      <c r="H3495" s="86"/>
      <c r="I3495" s="86"/>
      <c r="J3495" s="87"/>
      <c r="K3495" s="85"/>
      <c r="L3495" s="85"/>
      <c r="P3495" s="85"/>
      <c r="Q3495" s="85"/>
      <c r="R3495" s="81"/>
    </row>
    <row r="3496" spans="7:18" x14ac:dyDescent="0.3">
      <c r="G3496" s="85"/>
      <c r="H3496" s="86"/>
      <c r="I3496" s="86"/>
      <c r="J3496" s="87"/>
      <c r="K3496" s="85"/>
      <c r="L3496" s="85"/>
      <c r="P3496" s="85"/>
      <c r="Q3496" s="85"/>
      <c r="R3496" s="81"/>
    </row>
    <row r="3497" spans="7:18" x14ac:dyDescent="0.3">
      <c r="G3497" s="85"/>
      <c r="H3497" s="86"/>
      <c r="I3497" s="86"/>
      <c r="J3497" s="87"/>
      <c r="K3497" s="85"/>
      <c r="L3497" s="85"/>
      <c r="P3497" s="85"/>
      <c r="Q3497" s="85"/>
      <c r="R3497" s="81"/>
    </row>
    <row r="3498" spans="7:18" x14ac:dyDescent="0.3">
      <c r="G3498" s="85"/>
      <c r="H3498" s="86"/>
      <c r="I3498" s="86"/>
      <c r="J3498" s="87"/>
      <c r="K3498" s="85"/>
      <c r="L3498" s="85"/>
      <c r="P3498" s="85"/>
      <c r="Q3498" s="85"/>
      <c r="R3498" s="81"/>
    </row>
    <row r="3499" spans="7:18" x14ac:dyDescent="0.3">
      <c r="G3499" s="85"/>
      <c r="H3499" s="86"/>
      <c r="I3499" s="86"/>
      <c r="J3499" s="87"/>
      <c r="K3499" s="85"/>
      <c r="L3499" s="85"/>
      <c r="P3499" s="85"/>
      <c r="Q3499" s="85"/>
      <c r="R3499" s="81"/>
    </row>
    <row r="3500" spans="7:18" x14ac:dyDescent="0.3">
      <c r="G3500" s="85"/>
      <c r="H3500" s="86"/>
      <c r="I3500" s="86"/>
      <c r="J3500" s="87"/>
      <c r="K3500" s="85"/>
      <c r="L3500" s="85"/>
      <c r="P3500" s="85"/>
      <c r="Q3500" s="85"/>
      <c r="R3500" s="81"/>
    </row>
    <row r="3501" spans="7:18" x14ac:dyDescent="0.3">
      <c r="G3501" s="85"/>
      <c r="H3501" s="86"/>
      <c r="I3501" s="86"/>
      <c r="J3501" s="87"/>
      <c r="K3501" s="85"/>
      <c r="L3501" s="85"/>
      <c r="P3501" s="85"/>
      <c r="Q3501" s="85"/>
      <c r="R3501" s="81"/>
    </row>
    <row r="3502" spans="7:18" x14ac:dyDescent="0.3">
      <c r="G3502" s="85"/>
      <c r="H3502" s="86"/>
      <c r="I3502" s="86"/>
      <c r="J3502" s="87"/>
      <c r="K3502" s="85"/>
      <c r="L3502" s="85"/>
      <c r="P3502" s="85"/>
      <c r="Q3502" s="85"/>
      <c r="R3502" s="81"/>
    </row>
    <row r="3503" spans="7:18" x14ac:dyDescent="0.3">
      <c r="G3503" s="85"/>
      <c r="H3503" s="86"/>
      <c r="I3503" s="86"/>
      <c r="J3503" s="87"/>
      <c r="K3503" s="85"/>
      <c r="L3503" s="85"/>
      <c r="P3503" s="85"/>
      <c r="Q3503" s="85"/>
      <c r="R3503" s="81"/>
    </row>
    <row r="3504" spans="7:18" x14ac:dyDescent="0.3">
      <c r="G3504" s="85"/>
      <c r="H3504" s="86"/>
      <c r="I3504" s="86"/>
      <c r="J3504" s="87"/>
      <c r="K3504" s="85"/>
      <c r="L3504" s="85"/>
      <c r="P3504" s="85"/>
      <c r="Q3504" s="85"/>
      <c r="R3504" s="81"/>
    </row>
    <row r="3505" spans="7:18" x14ac:dyDescent="0.3">
      <c r="G3505" s="85"/>
      <c r="H3505" s="86"/>
      <c r="I3505" s="86"/>
      <c r="J3505" s="87"/>
      <c r="K3505" s="85"/>
      <c r="L3505" s="85"/>
      <c r="P3505" s="85"/>
      <c r="Q3505" s="85"/>
      <c r="R3505" s="81"/>
    </row>
    <row r="3506" spans="7:18" x14ac:dyDescent="0.3">
      <c r="G3506" s="85"/>
      <c r="H3506" s="86"/>
      <c r="I3506" s="86"/>
      <c r="J3506" s="87"/>
      <c r="K3506" s="85"/>
      <c r="L3506" s="85"/>
      <c r="P3506" s="85"/>
      <c r="Q3506" s="85"/>
      <c r="R3506" s="81"/>
    </row>
    <row r="3507" spans="7:18" x14ac:dyDescent="0.3">
      <c r="G3507" s="85"/>
      <c r="H3507" s="86"/>
      <c r="I3507" s="86"/>
      <c r="J3507" s="87"/>
      <c r="K3507" s="85"/>
      <c r="L3507" s="85"/>
      <c r="P3507" s="85"/>
      <c r="Q3507" s="85"/>
      <c r="R3507" s="81"/>
    </row>
    <row r="3508" spans="7:18" x14ac:dyDescent="0.3">
      <c r="G3508" s="85"/>
      <c r="H3508" s="86"/>
      <c r="I3508" s="86"/>
      <c r="J3508" s="87"/>
      <c r="K3508" s="85"/>
      <c r="L3508" s="85"/>
      <c r="P3508" s="85"/>
      <c r="Q3508" s="85"/>
      <c r="R3508" s="81"/>
    </row>
    <row r="3509" spans="7:18" x14ac:dyDescent="0.3">
      <c r="G3509" s="85"/>
      <c r="H3509" s="86"/>
      <c r="I3509" s="86"/>
      <c r="J3509" s="87"/>
      <c r="K3509" s="85"/>
      <c r="L3509" s="85"/>
      <c r="P3509" s="85"/>
      <c r="Q3509" s="85"/>
      <c r="R3509" s="81"/>
    </row>
    <row r="3510" spans="7:18" x14ac:dyDescent="0.3">
      <c r="G3510" s="85"/>
      <c r="H3510" s="86"/>
      <c r="I3510" s="86"/>
      <c r="J3510" s="87"/>
      <c r="K3510" s="85"/>
      <c r="L3510" s="85"/>
      <c r="P3510" s="85"/>
      <c r="Q3510" s="85"/>
      <c r="R3510" s="81"/>
    </row>
    <row r="3511" spans="7:18" x14ac:dyDescent="0.3">
      <c r="G3511" s="85"/>
      <c r="H3511" s="86"/>
      <c r="I3511" s="86"/>
      <c r="J3511" s="87"/>
      <c r="K3511" s="85"/>
      <c r="L3511" s="85"/>
      <c r="P3511" s="85"/>
      <c r="Q3511" s="85"/>
      <c r="R3511" s="81"/>
    </row>
    <row r="3512" spans="7:18" x14ac:dyDescent="0.3">
      <c r="G3512" s="85"/>
      <c r="H3512" s="86"/>
      <c r="I3512" s="86"/>
      <c r="J3512" s="87"/>
      <c r="K3512" s="85"/>
      <c r="L3512" s="85"/>
      <c r="P3512" s="85"/>
      <c r="Q3512" s="85"/>
      <c r="R3512" s="81"/>
    </row>
    <row r="3513" spans="7:18" x14ac:dyDescent="0.3">
      <c r="G3513" s="85"/>
      <c r="H3513" s="86"/>
      <c r="I3513" s="86"/>
      <c r="J3513" s="87"/>
      <c r="K3513" s="85"/>
      <c r="L3513" s="85"/>
      <c r="P3513" s="85"/>
      <c r="Q3513" s="85"/>
      <c r="R3513" s="81"/>
    </row>
    <row r="3514" spans="7:18" x14ac:dyDescent="0.3">
      <c r="G3514" s="85"/>
      <c r="H3514" s="86"/>
      <c r="I3514" s="86"/>
      <c r="J3514" s="87"/>
      <c r="K3514" s="85"/>
      <c r="L3514" s="85"/>
      <c r="P3514" s="85"/>
      <c r="Q3514" s="85"/>
      <c r="R3514" s="81"/>
    </row>
    <row r="3515" spans="7:18" x14ac:dyDescent="0.3">
      <c r="G3515" s="85"/>
      <c r="H3515" s="86"/>
      <c r="I3515" s="86"/>
      <c r="J3515" s="87"/>
      <c r="K3515" s="85"/>
      <c r="L3515" s="85"/>
      <c r="P3515" s="85"/>
      <c r="Q3515" s="85"/>
      <c r="R3515" s="81"/>
    </row>
    <row r="3516" spans="7:18" x14ac:dyDescent="0.3">
      <c r="G3516" s="85"/>
      <c r="H3516" s="86"/>
      <c r="I3516" s="86"/>
      <c r="J3516" s="87"/>
      <c r="K3516" s="85"/>
      <c r="L3516" s="85"/>
      <c r="P3516" s="85"/>
      <c r="Q3516" s="85"/>
      <c r="R3516" s="81"/>
    </row>
    <row r="3517" spans="7:18" x14ac:dyDescent="0.3">
      <c r="G3517" s="85"/>
      <c r="H3517" s="86"/>
      <c r="I3517" s="86"/>
      <c r="J3517" s="87"/>
      <c r="K3517" s="85"/>
      <c r="L3517" s="85"/>
      <c r="P3517" s="85"/>
      <c r="Q3517" s="85"/>
      <c r="R3517" s="81"/>
    </row>
    <row r="3518" spans="7:18" x14ac:dyDescent="0.3">
      <c r="G3518" s="85"/>
      <c r="H3518" s="86"/>
      <c r="I3518" s="86"/>
      <c r="J3518" s="87"/>
      <c r="K3518" s="85"/>
      <c r="L3518" s="85"/>
      <c r="P3518" s="85"/>
      <c r="Q3518" s="85"/>
      <c r="R3518" s="81"/>
    </row>
    <row r="3519" spans="7:18" x14ac:dyDescent="0.3">
      <c r="G3519" s="85"/>
      <c r="H3519" s="86"/>
      <c r="I3519" s="86"/>
      <c r="J3519" s="87"/>
      <c r="K3519" s="85"/>
      <c r="L3519" s="85"/>
      <c r="P3519" s="85"/>
      <c r="Q3519" s="85"/>
      <c r="R3519" s="81"/>
    </row>
    <row r="3520" spans="7:18" x14ac:dyDescent="0.3">
      <c r="G3520" s="85"/>
      <c r="H3520" s="86"/>
      <c r="I3520" s="86"/>
      <c r="J3520" s="87"/>
      <c r="K3520" s="85"/>
      <c r="L3520" s="85"/>
      <c r="P3520" s="85"/>
      <c r="Q3520" s="85"/>
      <c r="R3520" s="81"/>
    </row>
    <row r="3521" spans="7:18" x14ac:dyDescent="0.3">
      <c r="G3521" s="85"/>
      <c r="H3521" s="86"/>
      <c r="I3521" s="86"/>
      <c r="J3521" s="87"/>
      <c r="K3521" s="85"/>
      <c r="L3521" s="85"/>
      <c r="P3521" s="85"/>
      <c r="Q3521" s="85"/>
      <c r="R3521" s="81"/>
    </row>
    <row r="3522" spans="7:18" x14ac:dyDescent="0.3">
      <c r="G3522" s="85"/>
      <c r="H3522" s="86"/>
      <c r="I3522" s="86"/>
      <c r="J3522" s="87"/>
      <c r="K3522" s="85"/>
      <c r="L3522" s="85"/>
      <c r="P3522" s="85"/>
      <c r="Q3522" s="85"/>
      <c r="R3522" s="81"/>
    </row>
    <row r="3523" spans="7:18" x14ac:dyDescent="0.3">
      <c r="G3523" s="85"/>
      <c r="H3523" s="86"/>
      <c r="I3523" s="86"/>
      <c r="J3523" s="87"/>
      <c r="K3523" s="85"/>
      <c r="L3523" s="85"/>
      <c r="P3523" s="85"/>
      <c r="Q3523" s="85"/>
      <c r="R3523" s="81"/>
    </row>
    <row r="3524" spans="7:18" x14ac:dyDescent="0.3">
      <c r="G3524" s="85"/>
      <c r="H3524" s="86"/>
      <c r="I3524" s="86"/>
      <c r="J3524" s="87"/>
      <c r="K3524" s="85"/>
      <c r="L3524" s="85"/>
      <c r="P3524" s="85"/>
      <c r="Q3524" s="85"/>
      <c r="R3524" s="81"/>
    </row>
    <row r="3525" spans="7:18" x14ac:dyDescent="0.3">
      <c r="G3525" s="85"/>
      <c r="H3525" s="86"/>
      <c r="I3525" s="86"/>
      <c r="J3525" s="87"/>
      <c r="K3525" s="85"/>
      <c r="L3525" s="85"/>
      <c r="P3525" s="85"/>
      <c r="Q3525" s="85"/>
      <c r="R3525" s="81"/>
    </row>
    <row r="3526" spans="7:18" x14ac:dyDescent="0.3">
      <c r="G3526" s="85"/>
      <c r="H3526" s="86"/>
      <c r="I3526" s="86"/>
      <c r="J3526" s="87"/>
      <c r="K3526" s="85"/>
      <c r="L3526" s="85"/>
      <c r="P3526" s="85"/>
      <c r="Q3526" s="85"/>
      <c r="R3526" s="81"/>
    </row>
    <row r="3527" spans="7:18" x14ac:dyDescent="0.3">
      <c r="G3527" s="85"/>
      <c r="H3527" s="86"/>
      <c r="I3527" s="86"/>
      <c r="J3527" s="87"/>
      <c r="K3527" s="85"/>
      <c r="L3527" s="85"/>
      <c r="P3527" s="85"/>
      <c r="Q3527" s="85"/>
      <c r="R3527" s="81"/>
    </row>
    <row r="3528" spans="7:18" x14ac:dyDescent="0.3">
      <c r="G3528" s="85"/>
      <c r="H3528" s="86"/>
      <c r="I3528" s="86"/>
      <c r="J3528" s="87"/>
      <c r="K3528" s="85"/>
      <c r="L3528" s="85"/>
      <c r="P3528" s="85"/>
      <c r="Q3528" s="85"/>
      <c r="R3528" s="81"/>
    </row>
    <row r="3529" spans="7:18" x14ac:dyDescent="0.3">
      <c r="G3529" s="85"/>
      <c r="H3529" s="86"/>
      <c r="I3529" s="86"/>
      <c r="J3529" s="87"/>
      <c r="K3529" s="85"/>
      <c r="L3529" s="85"/>
      <c r="P3529" s="85"/>
      <c r="Q3529" s="85"/>
      <c r="R3529" s="81"/>
    </row>
    <row r="3530" spans="7:18" x14ac:dyDescent="0.3">
      <c r="G3530" s="85"/>
      <c r="H3530" s="86"/>
      <c r="I3530" s="86"/>
      <c r="J3530" s="87"/>
      <c r="K3530" s="85"/>
      <c r="L3530" s="85"/>
      <c r="P3530" s="85"/>
      <c r="Q3530" s="85"/>
      <c r="R3530" s="81"/>
    </row>
    <row r="3531" spans="7:18" x14ac:dyDescent="0.3">
      <c r="G3531" s="85"/>
      <c r="H3531" s="86"/>
      <c r="I3531" s="86"/>
      <c r="J3531" s="87"/>
      <c r="K3531" s="85"/>
      <c r="L3531" s="85"/>
      <c r="P3531" s="85"/>
      <c r="Q3531" s="85"/>
      <c r="R3531" s="81"/>
    </row>
    <row r="3532" spans="7:18" x14ac:dyDescent="0.3">
      <c r="G3532" s="85"/>
      <c r="H3532" s="86"/>
      <c r="I3532" s="86"/>
      <c r="J3532" s="87"/>
      <c r="K3532" s="85"/>
      <c r="L3532" s="85"/>
      <c r="P3532" s="85"/>
      <c r="Q3532" s="85"/>
      <c r="R3532" s="81"/>
    </row>
    <row r="3533" spans="7:18" x14ac:dyDescent="0.3">
      <c r="G3533" s="85"/>
      <c r="H3533" s="86"/>
      <c r="I3533" s="86"/>
      <c r="J3533" s="87"/>
      <c r="K3533" s="85"/>
      <c r="L3533" s="85"/>
      <c r="P3533" s="85"/>
      <c r="Q3533" s="85"/>
      <c r="R3533" s="81"/>
    </row>
    <row r="3534" spans="7:18" x14ac:dyDescent="0.3">
      <c r="G3534" s="85"/>
      <c r="H3534" s="86"/>
      <c r="I3534" s="86"/>
      <c r="J3534" s="87"/>
      <c r="K3534" s="85"/>
      <c r="L3534" s="85"/>
      <c r="P3534" s="85"/>
      <c r="Q3534" s="85"/>
      <c r="R3534" s="81"/>
    </row>
    <row r="3535" spans="7:18" x14ac:dyDescent="0.3">
      <c r="G3535" s="85"/>
      <c r="H3535" s="86"/>
      <c r="I3535" s="86"/>
      <c r="J3535" s="87"/>
      <c r="K3535" s="85"/>
      <c r="L3535" s="85"/>
      <c r="P3535" s="85"/>
      <c r="Q3535" s="85"/>
      <c r="R3535" s="81"/>
    </row>
    <row r="3536" spans="7:18" x14ac:dyDescent="0.3">
      <c r="G3536" s="85"/>
      <c r="H3536" s="86"/>
      <c r="I3536" s="86"/>
      <c r="J3536" s="87"/>
      <c r="K3536" s="85"/>
      <c r="L3536" s="85"/>
      <c r="P3536" s="85"/>
      <c r="Q3536" s="85"/>
      <c r="R3536" s="81"/>
    </row>
    <row r="3537" spans="7:18" x14ac:dyDescent="0.3">
      <c r="G3537" s="85"/>
      <c r="H3537" s="86"/>
      <c r="I3537" s="86"/>
      <c r="J3537" s="87"/>
      <c r="K3537" s="85"/>
      <c r="L3537" s="85"/>
      <c r="P3537" s="85"/>
      <c r="Q3537" s="85"/>
      <c r="R3537" s="81"/>
    </row>
    <row r="3538" spans="7:18" x14ac:dyDescent="0.3">
      <c r="G3538" s="85"/>
      <c r="H3538" s="86"/>
      <c r="I3538" s="86"/>
      <c r="J3538" s="87"/>
      <c r="K3538" s="85"/>
      <c r="L3538" s="85"/>
      <c r="P3538" s="85"/>
      <c r="Q3538" s="85"/>
      <c r="R3538" s="81"/>
    </row>
    <row r="3539" spans="7:18" x14ac:dyDescent="0.3">
      <c r="G3539" s="85"/>
      <c r="H3539" s="86"/>
      <c r="I3539" s="86"/>
      <c r="J3539" s="87"/>
      <c r="K3539" s="85"/>
      <c r="L3539" s="85"/>
      <c r="P3539" s="85"/>
      <c r="Q3539" s="85"/>
      <c r="R3539" s="81"/>
    </row>
    <row r="3540" spans="7:18" x14ac:dyDescent="0.3">
      <c r="G3540" s="85"/>
      <c r="H3540" s="86"/>
      <c r="I3540" s="86"/>
      <c r="J3540" s="87"/>
      <c r="K3540" s="85"/>
      <c r="L3540" s="85"/>
      <c r="P3540" s="85"/>
      <c r="Q3540" s="85"/>
      <c r="R3540" s="81"/>
    </row>
    <row r="3541" spans="7:18" x14ac:dyDescent="0.3">
      <c r="G3541" s="85"/>
      <c r="H3541" s="86"/>
      <c r="I3541" s="86"/>
      <c r="J3541" s="87"/>
      <c r="K3541" s="85"/>
      <c r="L3541" s="85"/>
      <c r="P3541" s="85"/>
      <c r="Q3541" s="85"/>
      <c r="R3541" s="81"/>
    </row>
    <row r="3542" spans="7:18" x14ac:dyDescent="0.3">
      <c r="G3542" s="85"/>
      <c r="H3542" s="86"/>
      <c r="I3542" s="86"/>
      <c r="J3542" s="87"/>
      <c r="K3542" s="85"/>
      <c r="L3542" s="85"/>
      <c r="P3542" s="85"/>
      <c r="Q3542" s="85"/>
      <c r="R3542" s="81"/>
    </row>
    <row r="3543" spans="7:18" x14ac:dyDescent="0.3">
      <c r="G3543" s="85"/>
      <c r="H3543" s="86"/>
      <c r="I3543" s="86"/>
      <c r="J3543" s="87"/>
      <c r="K3543" s="85"/>
      <c r="L3543" s="85"/>
      <c r="P3543" s="85"/>
      <c r="Q3543" s="85"/>
      <c r="R3543" s="81"/>
    </row>
    <row r="3544" spans="7:18" x14ac:dyDescent="0.3">
      <c r="G3544" s="85"/>
      <c r="H3544" s="86"/>
      <c r="I3544" s="86"/>
      <c r="J3544" s="87"/>
      <c r="K3544" s="85"/>
      <c r="L3544" s="85"/>
      <c r="P3544" s="85"/>
      <c r="Q3544" s="85"/>
      <c r="R3544" s="81"/>
    </row>
    <row r="3545" spans="7:18" x14ac:dyDescent="0.3">
      <c r="G3545" s="85"/>
      <c r="H3545" s="86"/>
      <c r="I3545" s="86"/>
      <c r="J3545" s="87"/>
      <c r="K3545" s="85"/>
      <c r="L3545" s="85"/>
      <c r="P3545" s="85"/>
      <c r="Q3545" s="85"/>
      <c r="R3545" s="81"/>
    </row>
    <row r="3546" spans="7:18" x14ac:dyDescent="0.3">
      <c r="G3546" s="85"/>
      <c r="H3546" s="86"/>
      <c r="I3546" s="86"/>
      <c r="J3546" s="87"/>
      <c r="K3546" s="85"/>
      <c r="L3546" s="85"/>
      <c r="P3546" s="85"/>
      <c r="Q3546" s="85"/>
      <c r="R3546" s="81"/>
    </row>
    <row r="3547" spans="7:18" x14ac:dyDescent="0.3">
      <c r="G3547" s="85"/>
      <c r="H3547" s="86"/>
      <c r="I3547" s="86"/>
      <c r="J3547" s="87"/>
      <c r="K3547" s="85"/>
      <c r="L3547" s="85"/>
      <c r="P3547" s="85"/>
      <c r="Q3547" s="85"/>
      <c r="R3547" s="81"/>
    </row>
    <row r="3548" spans="7:18" x14ac:dyDescent="0.3">
      <c r="G3548" s="85"/>
      <c r="H3548" s="86"/>
      <c r="I3548" s="86"/>
      <c r="J3548" s="87"/>
      <c r="K3548" s="85"/>
      <c r="L3548" s="85"/>
      <c r="P3548" s="85"/>
      <c r="Q3548" s="85"/>
      <c r="R3548" s="81"/>
    </row>
    <row r="3549" spans="7:18" x14ac:dyDescent="0.3">
      <c r="G3549" s="85"/>
      <c r="H3549" s="86"/>
      <c r="I3549" s="86"/>
      <c r="J3549" s="87"/>
      <c r="K3549" s="85"/>
      <c r="L3549" s="85"/>
      <c r="P3549" s="85"/>
      <c r="Q3549" s="85"/>
      <c r="R3549" s="81"/>
    </row>
    <row r="3550" spans="7:18" x14ac:dyDescent="0.3">
      <c r="G3550" s="85"/>
      <c r="H3550" s="86"/>
      <c r="I3550" s="86"/>
      <c r="J3550" s="87"/>
      <c r="K3550" s="85"/>
      <c r="L3550" s="85"/>
      <c r="P3550" s="85"/>
      <c r="Q3550" s="85"/>
      <c r="R3550" s="81"/>
    </row>
    <row r="3551" spans="7:18" x14ac:dyDescent="0.3">
      <c r="G3551" s="85"/>
      <c r="H3551" s="86"/>
      <c r="I3551" s="86"/>
      <c r="J3551" s="87"/>
      <c r="K3551" s="85"/>
      <c r="L3551" s="85"/>
      <c r="P3551" s="85"/>
      <c r="Q3551" s="85"/>
      <c r="R3551" s="81"/>
    </row>
    <row r="3552" spans="7:18" x14ac:dyDescent="0.3">
      <c r="G3552" s="85"/>
      <c r="H3552" s="86"/>
      <c r="I3552" s="86"/>
      <c r="J3552" s="87"/>
      <c r="K3552" s="85"/>
      <c r="L3552" s="85"/>
      <c r="P3552" s="85"/>
      <c r="Q3552" s="85"/>
      <c r="R3552" s="81"/>
    </row>
    <row r="3553" spans="7:18" x14ac:dyDescent="0.3">
      <c r="G3553" s="85"/>
      <c r="H3553" s="86"/>
      <c r="I3553" s="86"/>
      <c r="J3553" s="87"/>
      <c r="K3553" s="85"/>
      <c r="L3553" s="85"/>
      <c r="P3553" s="85"/>
      <c r="Q3553" s="85"/>
      <c r="R3553" s="81"/>
    </row>
    <row r="3554" spans="7:18" x14ac:dyDescent="0.3">
      <c r="G3554" s="85"/>
      <c r="H3554" s="86"/>
      <c r="I3554" s="86"/>
      <c r="J3554" s="87"/>
      <c r="K3554" s="85"/>
      <c r="L3554" s="85"/>
      <c r="P3554" s="85"/>
      <c r="Q3554" s="85"/>
      <c r="R3554" s="81"/>
    </row>
    <row r="3555" spans="7:18" x14ac:dyDescent="0.3">
      <c r="G3555" s="85"/>
      <c r="H3555" s="86"/>
      <c r="I3555" s="86"/>
      <c r="J3555" s="87"/>
      <c r="K3555" s="85"/>
      <c r="L3555" s="85"/>
      <c r="P3555" s="85"/>
      <c r="Q3555" s="85"/>
      <c r="R3555" s="81"/>
    </row>
    <row r="3556" spans="7:18" x14ac:dyDescent="0.3">
      <c r="G3556" s="85"/>
      <c r="H3556" s="86"/>
      <c r="I3556" s="86"/>
      <c r="J3556" s="87"/>
      <c r="K3556" s="85"/>
      <c r="L3556" s="85"/>
      <c r="P3556" s="85"/>
      <c r="Q3556" s="85"/>
      <c r="R3556" s="81"/>
    </row>
    <row r="3557" spans="7:18" x14ac:dyDescent="0.3">
      <c r="G3557" s="85"/>
      <c r="H3557" s="86"/>
      <c r="I3557" s="86"/>
      <c r="J3557" s="87"/>
      <c r="K3557" s="85"/>
      <c r="L3557" s="85"/>
      <c r="P3557" s="85"/>
      <c r="Q3557" s="85"/>
      <c r="R3557" s="81"/>
    </row>
    <row r="3558" spans="7:18" x14ac:dyDescent="0.3">
      <c r="G3558" s="85"/>
      <c r="H3558" s="86"/>
      <c r="I3558" s="86"/>
      <c r="J3558" s="87"/>
      <c r="K3558" s="85"/>
      <c r="L3558" s="85"/>
      <c r="P3558" s="85"/>
      <c r="Q3558" s="85"/>
      <c r="R3558" s="81"/>
    </row>
    <row r="3559" spans="7:18" x14ac:dyDescent="0.3">
      <c r="G3559" s="85"/>
      <c r="H3559" s="86"/>
      <c r="I3559" s="86"/>
      <c r="J3559" s="87"/>
      <c r="K3559" s="85"/>
      <c r="L3559" s="85"/>
      <c r="P3559" s="85"/>
      <c r="Q3559" s="85"/>
      <c r="R3559" s="81"/>
    </row>
    <row r="3560" spans="7:18" x14ac:dyDescent="0.3">
      <c r="G3560" s="85"/>
      <c r="H3560" s="86"/>
      <c r="I3560" s="86"/>
      <c r="J3560" s="87"/>
      <c r="K3560" s="85"/>
      <c r="L3560" s="85"/>
      <c r="P3560" s="85"/>
      <c r="Q3560" s="85"/>
      <c r="R3560" s="81"/>
    </row>
    <row r="3561" spans="7:18" x14ac:dyDescent="0.3">
      <c r="G3561" s="85"/>
      <c r="H3561" s="86"/>
      <c r="I3561" s="86"/>
      <c r="J3561" s="87"/>
      <c r="K3561" s="85"/>
      <c r="L3561" s="85"/>
      <c r="P3561" s="85"/>
      <c r="Q3561" s="85"/>
      <c r="R3561" s="81"/>
    </row>
    <row r="3562" spans="7:18" x14ac:dyDescent="0.3">
      <c r="G3562" s="85"/>
      <c r="H3562" s="86"/>
      <c r="I3562" s="86"/>
      <c r="J3562" s="87"/>
      <c r="K3562" s="85"/>
      <c r="L3562" s="85"/>
      <c r="P3562" s="85"/>
      <c r="Q3562" s="85"/>
      <c r="R3562" s="81"/>
    </row>
    <row r="3563" spans="7:18" x14ac:dyDescent="0.3">
      <c r="G3563" s="85"/>
      <c r="H3563" s="86"/>
      <c r="I3563" s="86"/>
      <c r="J3563" s="87"/>
      <c r="K3563" s="85"/>
      <c r="L3563" s="85"/>
      <c r="P3563" s="85"/>
      <c r="Q3563" s="85"/>
      <c r="R3563" s="81"/>
    </row>
    <row r="3564" spans="7:18" x14ac:dyDescent="0.3">
      <c r="G3564" s="85"/>
      <c r="H3564" s="86"/>
      <c r="I3564" s="86"/>
      <c r="J3564" s="87"/>
      <c r="K3564" s="85"/>
      <c r="L3564" s="85"/>
      <c r="P3564" s="85"/>
      <c r="Q3564" s="85"/>
      <c r="R3564" s="81"/>
    </row>
    <row r="3565" spans="7:18" x14ac:dyDescent="0.3">
      <c r="G3565" s="85"/>
      <c r="H3565" s="86"/>
      <c r="I3565" s="86"/>
      <c r="J3565" s="87"/>
      <c r="K3565" s="85"/>
      <c r="L3565" s="85"/>
      <c r="P3565" s="85"/>
      <c r="Q3565" s="85"/>
      <c r="R3565" s="81"/>
    </row>
    <row r="3566" spans="7:18" x14ac:dyDescent="0.3">
      <c r="G3566" s="85"/>
      <c r="H3566" s="86"/>
      <c r="I3566" s="86"/>
      <c r="J3566" s="87"/>
      <c r="K3566" s="85"/>
      <c r="L3566" s="85"/>
      <c r="P3566" s="85"/>
      <c r="Q3566" s="85"/>
      <c r="R3566" s="81"/>
    </row>
    <row r="3567" spans="7:18" x14ac:dyDescent="0.3">
      <c r="G3567" s="85"/>
      <c r="H3567" s="86"/>
      <c r="I3567" s="86"/>
      <c r="J3567" s="87"/>
      <c r="K3567" s="85"/>
      <c r="L3567" s="85"/>
      <c r="P3567" s="85"/>
      <c r="Q3567" s="85"/>
      <c r="R3567" s="81"/>
    </row>
    <row r="3568" spans="7:18" x14ac:dyDescent="0.3">
      <c r="G3568" s="85"/>
      <c r="H3568" s="86"/>
      <c r="I3568" s="86"/>
      <c r="J3568" s="87"/>
      <c r="K3568" s="85"/>
      <c r="L3568" s="85"/>
      <c r="P3568" s="85"/>
      <c r="Q3568" s="85"/>
      <c r="R3568" s="81"/>
    </row>
    <row r="3569" spans="7:18" x14ac:dyDescent="0.3">
      <c r="G3569" s="85"/>
      <c r="H3569" s="86"/>
      <c r="I3569" s="86"/>
      <c r="J3569" s="87"/>
      <c r="K3569" s="85"/>
      <c r="L3569" s="85"/>
      <c r="P3569" s="85"/>
      <c r="Q3569" s="85"/>
      <c r="R3569" s="81"/>
    </row>
    <row r="3570" spans="7:18" x14ac:dyDescent="0.3">
      <c r="G3570" s="85"/>
      <c r="H3570" s="86"/>
      <c r="I3570" s="86"/>
      <c r="J3570" s="87"/>
      <c r="K3570" s="85"/>
      <c r="L3570" s="85"/>
      <c r="P3570" s="85"/>
      <c r="Q3570" s="85"/>
      <c r="R3570" s="81"/>
    </row>
    <row r="3571" spans="7:18" x14ac:dyDescent="0.3">
      <c r="G3571" s="85"/>
      <c r="H3571" s="86"/>
      <c r="I3571" s="86"/>
      <c r="J3571" s="87"/>
      <c r="K3571" s="85"/>
      <c r="L3571" s="85"/>
      <c r="P3571" s="85"/>
      <c r="Q3571" s="85"/>
      <c r="R3571" s="81"/>
    </row>
    <row r="3572" spans="7:18" x14ac:dyDescent="0.3">
      <c r="G3572" s="85"/>
      <c r="H3572" s="86"/>
      <c r="I3572" s="86"/>
      <c r="J3572" s="87"/>
      <c r="K3572" s="85"/>
      <c r="L3572" s="85"/>
      <c r="P3572" s="85"/>
      <c r="Q3572" s="85"/>
      <c r="R3572" s="81"/>
    </row>
    <row r="3573" spans="7:18" x14ac:dyDescent="0.3">
      <c r="G3573" s="85"/>
      <c r="H3573" s="86"/>
      <c r="I3573" s="86"/>
      <c r="J3573" s="87"/>
      <c r="K3573" s="85"/>
      <c r="L3573" s="85"/>
      <c r="P3573" s="85"/>
      <c r="Q3573" s="85"/>
      <c r="R3573" s="81"/>
    </row>
    <row r="3574" spans="7:18" x14ac:dyDescent="0.3">
      <c r="G3574" s="85"/>
      <c r="H3574" s="86"/>
      <c r="I3574" s="86"/>
      <c r="J3574" s="87"/>
      <c r="K3574" s="85"/>
      <c r="L3574" s="85"/>
      <c r="P3574" s="85"/>
      <c r="Q3574" s="85"/>
      <c r="R3574" s="81"/>
    </row>
    <row r="3575" spans="7:18" x14ac:dyDescent="0.3">
      <c r="G3575" s="85"/>
      <c r="H3575" s="86"/>
      <c r="I3575" s="86"/>
      <c r="J3575" s="87"/>
      <c r="K3575" s="85"/>
      <c r="L3575" s="85"/>
      <c r="P3575" s="85"/>
      <c r="Q3575" s="85"/>
      <c r="R3575" s="81"/>
    </row>
    <row r="3576" spans="7:18" x14ac:dyDescent="0.3">
      <c r="G3576" s="85"/>
      <c r="H3576" s="86"/>
      <c r="I3576" s="86"/>
      <c r="J3576" s="87"/>
      <c r="K3576" s="85"/>
      <c r="L3576" s="85"/>
      <c r="P3576" s="85"/>
      <c r="Q3576" s="85"/>
      <c r="R3576" s="81"/>
    </row>
    <row r="3577" spans="7:18" x14ac:dyDescent="0.3">
      <c r="G3577" s="85"/>
      <c r="H3577" s="86"/>
      <c r="I3577" s="86"/>
      <c r="J3577" s="87"/>
      <c r="K3577" s="85"/>
      <c r="L3577" s="85"/>
      <c r="P3577" s="85"/>
      <c r="Q3577" s="85"/>
      <c r="R3577" s="81"/>
    </row>
    <row r="3578" spans="7:18" x14ac:dyDescent="0.3">
      <c r="G3578" s="85"/>
      <c r="H3578" s="86"/>
      <c r="I3578" s="86"/>
      <c r="J3578" s="87"/>
      <c r="K3578" s="85"/>
      <c r="L3578" s="85"/>
      <c r="P3578" s="85"/>
      <c r="Q3578" s="85"/>
      <c r="R3578" s="81"/>
    </row>
    <row r="3579" spans="7:18" x14ac:dyDescent="0.3">
      <c r="G3579" s="85"/>
      <c r="H3579" s="86"/>
      <c r="I3579" s="86"/>
      <c r="J3579" s="87"/>
      <c r="K3579" s="85"/>
      <c r="L3579" s="85"/>
      <c r="P3579" s="85"/>
      <c r="Q3579" s="85"/>
      <c r="R3579" s="81"/>
    </row>
    <row r="3580" spans="7:18" x14ac:dyDescent="0.3">
      <c r="G3580" s="85"/>
      <c r="H3580" s="86"/>
      <c r="I3580" s="86"/>
      <c r="J3580" s="87"/>
      <c r="K3580" s="85"/>
      <c r="L3580" s="85"/>
      <c r="P3580" s="85"/>
      <c r="Q3580" s="85"/>
      <c r="R3580" s="81"/>
    </row>
    <row r="3581" spans="7:18" x14ac:dyDescent="0.3">
      <c r="G3581" s="85"/>
      <c r="H3581" s="86"/>
      <c r="I3581" s="86"/>
      <c r="J3581" s="87"/>
      <c r="K3581" s="85"/>
      <c r="L3581" s="85"/>
      <c r="P3581" s="85"/>
      <c r="Q3581" s="85"/>
      <c r="R3581" s="81"/>
    </row>
    <row r="3582" spans="7:18" x14ac:dyDescent="0.3">
      <c r="G3582" s="85"/>
      <c r="H3582" s="86"/>
      <c r="I3582" s="86"/>
      <c r="J3582" s="87"/>
      <c r="K3582" s="85"/>
      <c r="L3582" s="85"/>
      <c r="P3582" s="85"/>
      <c r="Q3582" s="85"/>
      <c r="R3582" s="81"/>
    </row>
    <row r="3583" spans="7:18" x14ac:dyDescent="0.3">
      <c r="G3583" s="85"/>
      <c r="H3583" s="86"/>
      <c r="I3583" s="86"/>
      <c r="J3583" s="87"/>
      <c r="K3583" s="85"/>
      <c r="L3583" s="85"/>
      <c r="P3583" s="85"/>
      <c r="Q3583" s="85"/>
      <c r="R3583" s="81"/>
    </row>
    <row r="3584" spans="7:18" x14ac:dyDescent="0.3">
      <c r="G3584" s="85"/>
      <c r="H3584" s="86"/>
      <c r="I3584" s="86"/>
      <c r="J3584" s="87"/>
      <c r="K3584" s="85"/>
      <c r="L3584" s="85"/>
      <c r="P3584" s="85"/>
      <c r="Q3584" s="85"/>
      <c r="R3584" s="81"/>
    </row>
    <row r="3585" spans="7:18" x14ac:dyDescent="0.3">
      <c r="G3585" s="85"/>
      <c r="H3585" s="86"/>
      <c r="I3585" s="86"/>
      <c r="J3585" s="87"/>
      <c r="K3585" s="85"/>
      <c r="L3585" s="85"/>
      <c r="P3585" s="85"/>
      <c r="Q3585" s="85"/>
      <c r="R3585" s="81"/>
    </row>
    <row r="3586" spans="7:18" x14ac:dyDescent="0.3">
      <c r="G3586" s="85"/>
      <c r="H3586" s="86"/>
      <c r="I3586" s="86"/>
      <c r="J3586" s="87"/>
      <c r="K3586" s="85"/>
      <c r="L3586" s="85"/>
      <c r="P3586" s="85"/>
      <c r="Q3586" s="85"/>
      <c r="R3586" s="81"/>
    </row>
    <row r="3587" spans="7:18" x14ac:dyDescent="0.3">
      <c r="G3587" s="85"/>
      <c r="H3587" s="86"/>
      <c r="I3587" s="86"/>
      <c r="J3587" s="87"/>
      <c r="K3587" s="85"/>
      <c r="L3587" s="85"/>
      <c r="P3587" s="85"/>
      <c r="Q3587" s="85"/>
      <c r="R3587" s="81"/>
    </row>
    <row r="3588" spans="7:18" x14ac:dyDescent="0.3">
      <c r="G3588" s="85"/>
      <c r="H3588" s="86"/>
      <c r="I3588" s="86"/>
      <c r="J3588" s="87"/>
      <c r="K3588" s="85"/>
      <c r="L3588" s="85"/>
      <c r="P3588" s="85"/>
      <c r="Q3588" s="85"/>
      <c r="R3588" s="81"/>
    </row>
    <row r="3589" spans="7:18" x14ac:dyDescent="0.3">
      <c r="G3589" s="85"/>
      <c r="H3589" s="86"/>
      <c r="I3589" s="86"/>
      <c r="J3589" s="87"/>
      <c r="K3589" s="85"/>
      <c r="L3589" s="85"/>
      <c r="P3589" s="85"/>
      <c r="Q3589" s="85"/>
      <c r="R3589" s="81"/>
    </row>
    <row r="3590" spans="7:18" x14ac:dyDescent="0.3">
      <c r="G3590" s="85"/>
      <c r="H3590" s="86"/>
      <c r="I3590" s="86"/>
      <c r="J3590" s="87"/>
      <c r="K3590" s="85"/>
      <c r="L3590" s="85"/>
      <c r="P3590" s="85"/>
      <c r="Q3590" s="85"/>
      <c r="R3590" s="81"/>
    </row>
    <row r="3591" spans="7:18" x14ac:dyDescent="0.3">
      <c r="G3591" s="85"/>
      <c r="H3591" s="86"/>
      <c r="I3591" s="86"/>
      <c r="J3591" s="87"/>
      <c r="K3591" s="85"/>
      <c r="L3591" s="85"/>
      <c r="P3591" s="85"/>
      <c r="Q3591" s="85"/>
      <c r="R3591" s="81"/>
    </row>
    <row r="3592" spans="7:18" x14ac:dyDescent="0.3">
      <c r="G3592" s="85"/>
      <c r="H3592" s="86"/>
      <c r="I3592" s="86"/>
      <c r="J3592" s="87"/>
      <c r="K3592" s="85"/>
      <c r="L3592" s="85"/>
      <c r="P3592" s="85"/>
      <c r="Q3592" s="85"/>
      <c r="R3592" s="81"/>
    </row>
    <row r="3593" spans="7:18" x14ac:dyDescent="0.3">
      <c r="G3593" s="85"/>
      <c r="H3593" s="86"/>
      <c r="I3593" s="86"/>
      <c r="J3593" s="87"/>
      <c r="K3593" s="85"/>
      <c r="L3593" s="85"/>
      <c r="P3593" s="85"/>
      <c r="Q3593" s="85"/>
      <c r="R3593" s="81"/>
    </row>
    <row r="3594" spans="7:18" x14ac:dyDescent="0.3">
      <c r="G3594" s="85"/>
      <c r="H3594" s="86"/>
      <c r="I3594" s="86"/>
      <c r="J3594" s="87"/>
      <c r="K3594" s="85"/>
      <c r="L3594" s="85"/>
      <c r="P3594" s="85"/>
      <c r="Q3594" s="85"/>
      <c r="R3594" s="81"/>
    </row>
    <row r="3595" spans="7:18" x14ac:dyDescent="0.3">
      <c r="G3595" s="85"/>
      <c r="H3595" s="86"/>
      <c r="I3595" s="86"/>
      <c r="J3595" s="87"/>
      <c r="K3595" s="85"/>
      <c r="L3595" s="85"/>
      <c r="P3595" s="85"/>
      <c r="Q3595" s="85"/>
      <c r="R3595" s="81"/>
    </row>
    <row r="3596" spans="7:18" x14ac:dyDescent="0.3">
      <c r="G3596" s="85"/>
      <c r="H3596" s="86"/>
      <c r="I3596" s="86"/>
      <c r="J3596" s="87"/>
      <c r="K3596" s="85"/>
      <c r="L3596" s="85"/>
      <c r="P3596" s="85"/>
      <c r="Q3596" s="85"/>
      <c r="R3596" s="81"/>
    </row>
    <row r="3597" spans="7:18" x14ac:dyDescent="0.3">
      <c r="G3597" s="85"/>
      <c r="H3597" s="86"/>
      <c r="I3597" s="86"/>
      <c r="J3597" s="87"/>
      <c r="K3597" s="85"/>
      <c r="L3597" s="85"/>
      <c r="P3597" s="85"/>
      <c r="Q3597" s="85"/>
      <c r="R3597" s="81"/>
    </row>
    <row r="3598" spans="7:18" x14ac:dyDescent="0.3">
      <c r="G3598" s="85"/>
      <c r="H3598" s="86"/>
      <c r="I3598" s="86"/>
      <c r="J3598" s="87"/>
      <c r="K3598" s="85"/>
      <c r="L3598" s="85"/>
      <c r="P3598" s="85"/>
      <c r="Q3598" s="85"/>
      <c r="R3598" s="81"/>
    </row>
    <row r="3599" spans="7:18" x14ac:dyDescent="0.3">
      <c r="G3599" s="85"/>
      <c r="H3599" s="86"/>
      <c r="I3599" s="86"/>
      <c r="J3599" s="87"/>
      <c r="K3599" s="85"/>
      <c r="L3599" s="85"/>
      <c r="P3599" s="85"/>
      <c r="Q3599" s="85"/>
      <c r="R3599" s="81"/>
    </row>
    <row r="3600" spans="7:18" x14ac:dyDescent="0.3">
      <c r="G3600" s="85"/>
      <c r="H3600" s="86"/>
      <c r="I3600" s="86"/>
      <c r="J3600" s="87"/>
      <c r="K3600" s="85"/>
      <c r="L3600" s="85"/>
      <c r="P3600" s="85"/>
      <c r="Q3600" s="85"/>
      <c r="R3600" s="81"/>
    </row>
    <row r="3601" spans="7:18" x14ac:dyDescent="0.3">
      <c r="G3601" s="85"/>
      <c r="H3601" s="86"/>
      <c r="I3601" s="86"/>
      <c r="J3601" s="87"/>
      <c r="K3601" s="85"/>
      <c r="L3601" s="85"/>
      <c r="P3601" s="85"/>
      <c r="Q3601" s="85"/>
      <c r="R3601" s="81"/>
    </row>
    <row r="3602" spans="7:18" x14ac:dyDescent="0.3">
      <c r="G3602" s="85"/>
      <c r="H3602" s="86"/>
      <c r="I3602" s="86"/>
      <c r="J3602" s="87"/>
      <c r="K3602" s="85"/>
      <c r="L3602" s="85"/>
      <c r="P3602" s="85"/>
      <c r="Q3602" s="85"/>
      <c r="R3602" s="81"/>
    </row>
    <row r="3603" spans="7:18" x14ac:dyDescent="0.3">
      <c r="G3603" s="85"/>
      <c r="H3603" s="86"/>
      <c r="I3603" s="86"/>
      <c r="J3603" s="87"/>
      <c r="K3603" s="85"/>
      <c r="L3603" s="85"/>
      <c r="P3603" s="85"/>
      <c r="Q3603" s="85"/>
      <c r="R3603" s="81"/>
    </row>
    <row r="3604" spans="7:18" x14ac:dyDescent="0.3">
      <c r="G3604" s="85"/>
      <c r="H3604" s="86"/>
      <c r="I3604" s="86"/>
      <c r="J3604" s="87"/>
      <c r="K3604" s="85"/>
      <c r="L3604" s="85"/>
      <c r="P3604" s="85"/>
      <c r="Q3604" s="85"/>
      <c r="R3604" s="81"/>
    </row>
    <row r="3605" spans="7:18" x14ac:dyDescent="0.3">
      <c r="G3605" s="85"/>
      <c r="H3605" s="86"/>
      <c r="I3605" s="86"/>
      <c r="J3605" s="87"/>
      <c r="K3605" s="85"/>
      <c r="L3605" s="85"/>
      <c r="P3605" s="85"/>
      <c r="Q3605" s="85"/>
      <c r="R3605" s="81"/>
    </row>
    <row r="3606" spans="7:18" x14ac:dyDescent="0.3">
      <c r="G3606" s="85"/>
      <c r="H3606" s="86"/>
      <c r="I3606" s="86"/>
      <c r="J3606" s="87"/>
      <c r="K3606" s="85"/>
      <c r="L3606" s="85"/>
      <c r="P3606" s="85"/>
      <c r="Q3606" s="85"/>
      <c r="R3606" s="81"/>
    </row>
    <row r="3607" spans="7:18" x14ac:dyDescent="0.3">
      <c r="G3607" s="85"/>
      <c r="H3607" s="86"/>
      <c r="I3607" s="86"/>
      <c r="J3607" s="87"/>
      <c r="K3607" s="85"/>
      <c r="L3607" s="85"/>
      <c r="P3607" s="85"/>
      <c r="Q3607" s="85"/>
      <c r="R3607" s="81"/>
    </row>
    <row r="3608" spans="7:18" x14ac:dyDescent="0.3">
      <c r="G3608" s="85"/>
      <c r="H3608" s="86"/>
      <c r="I3608" s="86"/>
      <c r="J3608" s="87"/>
      <c r="K3608" s="85"/>
      <c r="L3608" s="85"/>
      <c r="P3608" s="85"/>
      <c r="Q3608" s="85"/>
      <c r="R3608" s="81"/>
    </row>
    <row r="3609" spans="7:18" x14ac:dyDescent="0.3">
      <c r="G3609" s="85"/>
      <c r="H3609" s="86"/>
      <c r="I3609" s="86"/>
      <c r="J3609" s="87"/>
      <c r="K3609" s="85"/>
      <c r="L3609" s="85"/>
      <c r="P3609" s="85"/>
      <c r="Q3609" s="85"/>
      <c r="R3609" s="81"/>
    </row>
    <row r="3610" spans="7:18" x14ac:dyDescent="0.3">
      <c r="G3610" s="85"/>
      <c r="H3610" s="86"/>
      <c r="I3610" s="86"/>
      <c r="J3610" s="87"/>
      <c r="K3610" s="85"/>
      <c r="L3610" s="85"/>
      <c r="P3610" s="85"/>
      <c r="Q3610" s="85"/>
      <c r="R3610" s="81"/>
    </row>
    <row r="3611" spans="7:18" x14ac:dyDescent="0.3">
      <c r="G3611" s="85"/>
      <c r="H3611" s="86"/>
      <c r="I3611" s="86"/>
      <c r="J3611" s="87"/>
      <c r="K3611" s="85"/>
      <c r="L3611" s="85"/>
      <c r="P3611" s="85"/>
      <c r="Q3611" s="85"/>
      <c r="R3611" s="81"/>
    </row>
    <row r="3612" spans="7:18" x14ac:dyDescent="0.3">
      <c r="G3612" s="85"/>
      <c r="H3612" s="86"/>
      <c r="I3612" s="86"/>
      <c r="J3612" s="87"/>
      <c r="K3612" s="85"/>
      <c r="L3612" s="85"/>
      <c r="P3612" s="85"/>
      <c r="Q3612" s="85"/>
      <c r="R3612" s="81"/>
    </row>
    <row r="3613" spans="7:18" x14ac:dyDescent="0.3">
      <c r="G3613" s="85"/>
      <c r="H3613" s="86"/>
      <c r="I3613" s="86"/>
      <c r="J3613" s="87"/>
      <c r="K3613" s="85"/>
      <c r="L3613" s="85"/>
      <c r="P3613" s="85"/>
      <c r="Q3613" s="85"/>
      <c r="R3613" s="81"/>
    </row>
    <row r="3614" spans="7:18" x14ac:dyDescent="0.3">
      <c r="G3614" s="85"/>
      <c r="H3614" s="86"/>
      <c r="I3614" s="86"/>
      <c r="J3614" s="87"/>
      <c r="K3614" s="85"/>
      <c r="L3614" s="85"/>
      <c r="P3614" s="85"/>
      <c r="Q3614" s="85"/>
      <c r="R3614" s="81"/>
    </row>
    <row r="3615" spans="7:18" x14ac:dyDescent="0.3">
      <c r="G3615" s="85"/>
      <c r="H3615" s="86"/>
      <c r="I3615" s="86"/>
      <c r="J3615" s="87"/>
      <c r="K3615" s="85"/>
      <c r="L3615" s="85"/>
      <c r="P3615" s="85"/>
      <c r="Q3615" s="85"/>
      <c r="R3615" s="81"/>
    </row>
    <row r="3616" spans="7:18" x14ac:dyDescent="0.3">
      <c r="G3616" s="85"/>
      <c r="H3616" s="86"/>
      <c r="I3616" s="86"/>
      <c r="J3616" s="87"/>
      <c r="K3616" s="85"/>
      <c r="L3616" s="85"/>
      <c r="P3616" s="85"/>
      <c r="Q3616" s="85"/>
      <c r="R3616" s="81"/>
    </row>
    <row r="3617" spans="7:18" x14ac:dyDescent="0.3">
      <c r="G3617" s="85"/>
      <c r="H3617" s="86"/>
      <c r="I3617" s="86"/>
      <c r="J3617" s="87"/>
      <c r="K3617" s="85"/>
      <c r="L3617" s="85"/>
      <c r="P3617" s="85"/>
      <c r="Q3617" s="85"/>
      <c r="R3617" s="81"/>
    </row>
    <row r="3618" spans="7:18" x14ac:dyDescent="0.3">
      <c r="G3618" s="85"/>
      <c r="H3618" s="86"/>
      <c r="I3618" s="86"/>
      <c r="J3618" s="87"/>
      <c r="K3618" s="85"/>
      <c r="L3618" s="85"/>
      <c r="P3618" s="85"/>
      <c r="Q3618" s="85"/>
      <c r="R3618" s="81"/>
    </row>
    <row r="3619" spans="7:18" x14ac:dyDescent="0.3">
      <c r="G3619" s="85"/>
      <c r="H3619" s="86"/>
      <c r="I3619" s="86"/>
      <c r="J3619" s="87"/>
      <c r="K3619" s="85"/>
      <c r="L3619" s="85"/>
      <c r="P3619" s="85"/>
      <c r="Q3619" s="85"/>
      <c r="R3619" s="81"/>
    </row>
    <row r="3620" spans="7:18" x14ac:dyDescent="0.3">
      <c r="G3620" s="85"/>
      <c r="H3620" s="86"/>
      <c r="I3620" s="86"/>
      <c r="J3620" s="87"/>
      <c r="K3620" s="85"/>
      <c r="L3620" s="85"/>
      <c r="P3620" s="85"/>
      <c r="Q3620" s="85"/>
      <c r="R3620" s="81"/>
    </row>
    <row r="3621" spans="7:18" x14ac:dyDescent="0.3">
      <c r="G3621" s="85"/>
      <c r="H3621" s="86"/>
      <c r="I3621" s="86"/>
      <c r="J3621" s="87"/>
      <c r="K3621" s="85"/>
      <c r="L3621" s="85"/>
      <c r="P3621" s="85"/>
      <c r="Q3621" s="85"/>
      <c r="R3621" s="81"/>
    </row>
    <row r="3622" spans="7:18" x14ac:dyDescent="0.3">
      <c r="G3622" s="85"/>
      <c r="H3622" s="86"/>
      <c r="I3622" s="86"/>
      <c r="J3622" s="87"/>
      <c r="K3622" s="85"/>
      <c r="L3622" s="85"/>
      <c r="P3622" s="85"/>
      <c r="Q3622" s="85"/>
      <c r="R3622" s="81"/>
    </row>
    <row r="3623" spans="7:18" x14ac:dyDescent="0.3">
      <c r="G3623" s="85"/>
      <c r="H3623" s="86"/>
      <c r="I3623" s="86"/>
      <c r="J3623" s="87"/>
      <c r="K3623" s="85"/>
      <c r="L3623" s="85"/>
      <c r="P3623" s="85"/>
      <c r="Q3623" s="85"/>
      <c r="R3623" s="81"/>
    </row>
    <row r="3624" spans="7:18" x14ac:dyDescent="0.3">
      <c r="G3624" s="85"/>
      <c r="H3624" s="86"/>
      <c r="I3624" s="86"/>
      <c r="J3624" s="87"/>
      <c r="K3624" s="85"/>
      <c r="L3624" s="85"/>
      <c r="P3624" s="85"/>
      <c r="Q3624" s="85"/>
      <c r="R3624" s="81"/>
    </row>
    <row r="3625" spans="7:18" x14ac:dyDescent="0.3">
      <c r="G3625" s="85"/>
      <c r="H3625" s="86"/>
      <c r="I3625" s="86"/>
      <c r="J3625" s="87"/>
      <c r="K3625" s="85"/>
      <c r="L3625" s="85"/>
      <c r="P3625" s="85"/>
      <c r="Q3625" s="85"/>
      <c r="R3625" s="81"/>
    </row>
    <row r="3626" spans="7:18" x14ac:dyDescent="0.3">
      <c r="G3626" s="85"/>
      <c r="H3626" s="86"/>
      <c r="I3626" s="86"/>
      <c r="J3626" s="87"/>
      <c r="K3626" s="85"/>
      <c r="L3626" s="85"/>
      <c r="P3626" s="85"/>
      <c r="Q3626" s="85"/>
      <c r="R3626" s="81"/>
    </row>
    <row r="3627" spans="7:18" x14ac:dyDescent="0.3">
      <c r="G3627" s="85"/>
      <c r="H3627" s="86"/>
      <c r="I3627" s="86"/>
      <c r="J3627" s="87"/>
      <c r="K3627" s="85"/>
      <c r="L3627" s="85"/>
      <c r="P3627" s="85"/>
      <c r="Q3627" s="85"/>
      <c r="R3627" s="81"/>
    </row>
    <row r="3628" spans="7:18" x14ac:dyDescent="0.3">
      <c r="G3628" s="85"/>
      <c r="H3628" s="86"/>
      <c r="I3628" s="86"/>
      <c r="J3628" s="87"/>
      <c r="K3628" s="85"/>
      <c r="L3628" s="85"/>
      <c r="P3628" s="85"/>
      <c r="Q3628" s="85"/>
      <c r="R3628" s="81"/>
    </row>
    <row r="3629" spans="7:18" x14ac:dyDescent="0.3">
      <c r="G3629" s="85"/>
      <c r="H3629" s="86"/>
      <c r="I3629" s="86"/>
      <c r="J3629" s="87"/>
      <c r="K3629" s="85"/>
      <c r="L3629" s="85"/>
      <c r="P3629" s="85"/>
      <c r="Q3629" s="85"/>
      <c r="R3629" s="81"/>
    </row>
    <row r="3630" spans="7:18" x14ac:dyDescent="0.3">
      <c r="G3630" s="85"/>
      <c r="H3630" s="86"/>
      <c r="I3630" s="86"/>
      <c r="J3630" s="87"/>
      <c r="K3630" s="85"/>
      <c r="L3630" s="85"/>
      <c r="P3630" s="85"/>
      <c r="Q3630" s="85"/>
      <c r="R3630" s="81"/>
    </row>
    <row r="3631" spans="7:18" x14ac:dyDescent="0.3">
      <c r="G3631" s="85"/>
      <c r="H3631" s="86"/>
      <c r="I3631" s="86"/>
      <c r="J3631" s="87"/>
      <c r="K3631" s="85"/>
      <c r="L3631" s="85"/>
      <c r="P3631" s="85"/>
      <c r="Q3631" s="85"/>
      <c r="R3631" s="81"/>
    </row>
    <row r="3632" spans="7:18" x14ac:dyDescent="0.3">
      <c r="G3632" s="85"/>
      <c r="H3632" s="86"/>
      <c r="I3632" s="86"/>
      <c r="J3632" s="87"/>
      <c r="K3632" s="85"/>
      <c r="L3632" s="85"/>
      <c r="P3632" s="85"/>
      <c r="Q3632" s="85"/>
      <c r="R3632" s="81"/>
    </row>
    <row r="3633" spans="7:18" x14ac:dyDescent="0.3">
      <c r="G3633" s="85"/>
      <c r="H3633" s="86"/>
      <c r="I3633" s="86"/>
      <c r="J3633" s="87"/>
      <c r="K3633" s="85"/>
      <c r="L3633" s="85"/>
      <c r="P3633" s="85"/>
      <c r="Q3633" s="85"/>
      <c r="R3633" s="81"/>
    </row>
    <row r="3634" spans="7:18" x14ac:dyDescent="0.3">
      <c r="G3634" s="85"/>
      <c r="H3634" s="86"/>
      <c r="I3634" s="86"/>
      <c r="J3634" s="87"/>
      <c r="K3634" s="85"/>
      <c r="L3634" s="85"/>
      <c r="P3634" s="85"/>
      <c r="Q3634" s="85"/>
      <c r="R3634" s="81"/>
    </row>
    <row r="3635" spans="7:18" x14ac:dyDescent="0.3">
      <c r="G3635" s="85"/>
      <c r="H3635" s="86"/>
      <c r="I3635" s="86"/>
      <c r="J3635" s="87"/>
      <c r="K3635" s="85"/>
      <c r="L3635" s="85"/>
      <c r="P3635" s="85"/>
      <c r="Q3635" s="85"/>
      <c r="R3635" s="81"/>
    </row>
    <row r="3636" spans="7:18" x14ac:dyDescent="0.3">
      <c r="G3636" s="85"/>
      <c r="H3636" s="86"/>
      <c r="I3636" s="86"/>
      <c r="J3636" s="87"/>
      <c r="K3636" s="85"/>
      <c r="L3636" s="85"/>
      <c r="P3636" s="85"/>
      <c r="Q3636" s="85"/>
      <c r="R3636" s="81"/>
    </row>
    <row r="3637" spans="7:18" x14ac:dyDescent="0.3">
      <c r="G3637" s="85"/>
      <c r="H3637" s="86"/>
      <c r="I3637" s="86"/>
      <c r="J3637" s="87"/>
      <c r="K3637" s="85"/>
      <c r="L3637" s="85"/>
      <c r="P3637" s="85"/>
      <c r="Q3637" s="85"/>
      <c r="R3637" s="81"/>
    </row>
    <row r="3638" spans="7:18" x14ac:dyDescent="0.3">
      <c r="G3638" s="85"/>
      <c r="H3638" s="86"/>
      <c r="I3638" s="86"/>
      <c r="J3638" s="87"/>
      <c r="K3638" s="85"/>
      <c r="L3638" s="85"/>
      <c r="P3638" s="85"/>
      <c r="Q3638" s="85"/>
      <c r="R3638" s="81"/>
    </row>
    <row r="3639" spans="7:18" x14ac:dyDescent="0.3">
      <c r="G3639" s="85"/>
      <c r="H3639" s="86"/>
      <c r="I3639" s="86"/>
      <c r="J3639" s="87"/>
      <c r="K3639" s="85"/>
      <c r="L3639" s="85"/>
      <c r="P3639" s="85"/>
      <c r="Q3639" s="85"/>
      <c r="R3639" s="81"/>
    </row>
    <row r="3640" spans="7:18" x14ac:dyDescent="0.3">
      <c r="G3640" s="85"/>
      <c r="H3640" s="86"/>
      <c r="I3640" s="86"/>
      <c r="J3640" s="87"/>
      <c r="K3640" s="85"/>
      <c r="L3640" s="85"/>
      <c r="P3640" s="85"/>
      <c r="Q3640" s="85"/>
      <c r="R3640" s="81"/>
    </row>
    <row r="3641" spans="7:18" x14ac:dyDescent="0.3">
      <c r="G3641" s="85"/>
      <c r="H3641" s="86"/>
      <c r="I3641" s="86"/>
      <c r="J3641" s="87"/>
      <c r="K3641" s="85"/>
      <c r="L3641" s="85"/>
      <c r="P3641" s="85"/>
      <c r="Q3641" s="85"/>
      <c r="R3641" s="81"/>
    </row>
    <row r="3642" spans="7:18" x14ac:dyDescent="0.3">
      <c r="G3642" s="85"/>
      <c r="H3642" s="86"/>
      <c r="I3642" s="86"/>
      <c r="J3642" s="87"/>
      <c r="K3642" s="85"/>
      <c r="L3642" s="85"/>
      <c r="P3642" s="85"/>
      <c r="Q3642" s="85"/>
      <c r="R3642" s="81"/>
    </row>
    <row r="3643" spans="7:18" x14ac:dyDescent="0.3">
      <c r="G3643" s="85"/>
      <c r="H3643" s="86"/>
      <c r="I3643" s="86"/>
      <c r="J3643" s="87"/>
      <c r="K3643" s="85"/>
      <c r="L3643" s="85"/>
      <c r="P3643" s="85"/>
      <c r="Q3643" s="85"/>
      <c r="R3643" s="81"/>
    </row>
    <row r="3644" spans="7:18" x14ac:dyDescent="0.3">
      <c r="G3644" s="85"/>
      <c r="H3644" s="86"/>
      <c r="I3644" s="86"/>
      <c r="J3644" s="87"/>
      <c r="K3644" s="85"/>
      <c r="L3644" s="85"/>
      <c r="P3644" s="85"/>
      <c r="Q3644" s="85"/>
      <c r="R3644" s="81"/>
    </row>
    <row r="3645" spans="7:18" x14ac:dyDescent="0.3">
      <c r="G3645" s="85"/>
      <c r="H3645" s="86"/>
      <c r="I3645" s="86"/>
      <c r="J3645" s="87"/>
      <c r="K3645" s="85"/>
      <c r="L3645" s="85"/>
      <c r="P3645" s="85"/>
      <c r="Q3645" s="85"/>
      <c r="R3645" s="81"/>
    </row>
    <row r="3646" spans="7:18" x14ac:dyDescent="0.3">
      <c r="G3646" s="85"/>
      <c r="H3646" s="86"/>
      <c r="I3646" s="86"/>
      <c r="J3646" s="87"/>
      <c r="K3646" s="85"/>
      <c r="L3646" s="85"/>
      <c r="P3646" s="85"/>
      <c r="Q3646" s="85"/>
      <c r="R3646" s="81"/>
    </row>
    <row r="3647" spans="7:18" x14ac:dyDescent="0.3">
      <c r="G3647" s="85"/>
      <c r="H3647" s="86"/>
      <c r="I3647" s="86"/>
      <c r="J3647" s="87"/>
      <c r="K3647" s="85"/>
      <c r="L3647" s="85"/>
      <c r="P3647" s="85"/>
      <c r="Q3647" s="85"/>
      <c r="R3647" s="81"/>
    </row>
    <row r="3648" spans="7:18" x14ac:dyDescent="0.3">
      <c r="G3648" s="85"/>
      <c r="H3648" s="86"/>
      <c r="I3648" s="86"/>
      <c r="J3648" s="87"/>
      <c r="K3648" s="85"/>
      <c r="L3648" s="85"/>
      <c r="P3648" s="85"/>
      <c r="Q3648" s="85"/>
      <c r="R3648" s="81"/>
    </row>
    <row r="3649" spans="7:18" x14ac:dyDescent="0.3">
      <c r="G3649" s="85"/>
      <c r="H3649" s="86"/>
      <c r="I3649" s="86"/>
      <c r="J3649" s="87"/>
      <c r="K3649" s="85"/>
      <c r="L3649" s="85"/>
      <c r="P3649" s="85"/>
      <c r="Q3649" s="85"/>
      <c r="R3649" s="81"/>
    </row>
    <row r="3650" spans="7:18" x14ac:dyDescent="0.3">
      <c r="G3650" s="85"/>
      <c r="H3650" s="86"/>
      <c r="I3650" s="86"/>
      <c r="J3650" s="87"/>
      <c r="K3650" s="85"/>
      <c r="L3650" s="85"/>
      <c r="P3650" s="85"/>
      <c r="Q3650" s="85"/>
      <c r="R3650" s="81"/>
    </row>
    <row r="3651" spans="7:18" x14ac:dyDescent="0.3">
      <c r="G3651" s="85"/>
      <c r="H3651" s="86"/>
      <c r="I3651" s="86"/>
      <c r="J3651" s="87"/>
      <c r="K3651" s="85"/>
      <c r="L3651" s="85"/>
      <c r="P3651" s="85"/>
      <c r="Q3651" s="85"/>
      <c r="R3651" s="81"/>
    </row>
    <row r="3652" spans="7:18" x14ac:dyDescent="0.3">
      <c r="G3652" s="85"/>
      <c r="H3652" s="86"/>
      <c r="I3652" s="86"/>
      <c r="J3652" s="87"/>
      <c r="K3652" s="85"/>
      <c r="L3652" s="85"/>
      <c r="P3652" s="85"/>
      <c r="Q3652" s="85"/>
      <c r="R3652" s="81"/>
    </row>
    <row r="3653" spans="7:18" x14ac:dyDescent="0.3">
      <c r="G3653" s="85"/>
      <c r="H3653" s="86"/>
      <c r="I3653" s="86"/>
      <c r="J3653" s="87"/>
      <c r="K3653" s="85"/>
      <c r="L3653" s="85"/>
      <c r="P3653" s="85"/>
      <c r="Q3653" s="85"/>
      <c r="R3653" s="81"/>
    </row>
    <row r="3654" spans="7:18" x14ac:dyDescent="0.3">
      <c r="G3654" s="85"/>
      <c r="H3654" s="86"/>
      <c r="I3654" s="86"/>
      <c r="J3654" s="87"/>
      <c r="K3654" s="85"/>
      <c r="L3654" s="85"/>
      <c r="P3654" s="85"/>
      <c r="Q3654" s="85"/>
      <c r="R3654" s="81"/>
    </row>
    <row r="3655" spans="7:18" x14ac:dyDescent="0.3">
      <c r="G3655" s="85"/>
      <c r="H3655" s="86"/>
      <c r="I3655" s="86"/>
      <c r="J3655" s="87"/>
      <c r="K3655" s="85"/>
      <c r="L3655" s="85"/>
      <c r="P3655" s="85"/>
      <c r="Q3655" s="85"/>
      <c r="R3655" s="81"/>
    </row>
    <row r="3656" spans="7:18" x14ac:dyDescent="0.3">
      <c r="G3656" s="85"/>
      <c r="H3656" s="86"/>
      <c r="I3656" s="86"/>
      <c r="J3656" s="87"/>
      <c r="K3656" s="85"/>
      <c r="L3656" s="85"/>
      <c r="P3656" s="85"/>
      <c r="Q3656" s="85"/>
      <c r="R3656" s="81"/>
    </row>
    <row r="3657" spans="7:18" x14ac:dyDescent="0.3">
      <c r="G3657" s="85"/>
      <c r="H3657" s="86"/>
      <c r="I3657" s="86"/>
      <c r="J3657" s="87"/>
      <c r="K3657" s="85"/>
      <c r="L3657" s="85"/>
      <c r="P3657" s="85"/>
      <c r="Q3657" s="85"/>
      <c r="R3657" s="81"/>
    </row>
    <row r="3658" spans="7:18" x14ac:dyDescent="0.3">
      <c r="G3658" s="85"/>
      <c r="H3658" s="86"/>
      <c r="I3658" s="86"/>
      <c r="J3658" s="87"/>
      <c r="K3658" s="85"/>
      <c r="L3658" s="85"/>
      <c r="P3658" s="85"/>
      <c r="Q3658" s="85"/>
      <c r="R3658" s="81"/>
    </row>
    <row r="3659" spans="7:18" x14ac:dyDescent="0.3">
      <c r="G3659" s="85"/>
      <c r="H3659" s="86"/>
      <c r="I3659" s="86"/>
      <c r="J3659" s="87"/>
      <c r="K3659" s="85"/>
      <c r="L3659" s="85"/>
      <c r="P3659" s="85"/>
      <c r="Q3659" s="85"/>
      <c r="R3659" s="81"/>
    </row>
    <row r="3660" spans="7:18" x14ac:dyDescent="0.3">
      <c r="G3660" s="85"/>
      <c r="H3660" s="86"/>
      <c r="I3660" s="86"/>
      <c r="J3660" s="87"/>
      <c r="K3660" s="85"/>
      <c r="L3660" s="85"/>
      <c r="P3660" s="85"/>
      <c r="Q3660" s="85"/>
      <c r="R3660" s="81"/>
    </row>
    <row r="3661" spans="7:18" x14ac:dyDescent="0.3">
      <c r="G3661" s="85"/>
      <c r="H3661" s="86"/>
      <c r="I3661" s="86"/>
      <c r="J3661" s="87"/>
      <c r="K3661" s="85"/>
      <c r="L3661" s="85"/>
      <c r="P3661" s="85"/>
      <c r="Q3661" s="85"/>
      <c r="R3661" s="81"/>
    </row>
    <row r="3662" spans="7:18" x14ac:dyDescent="0.3">
      <c r="G3662" s="85"/>
      <c r="H3662" s="86"/>
      <c r="I3662" s="86"/>
      <c r="J3662" s="87"/>
      <c r="K3662" s="85"/>
      <c r="L3662" s="85"/>
      <c r="P3662" s="85"/>
      <c r="Q3662" s="85"/>
      <c r="R3662" s="81"/>
    </row>
    <row r="3663" spans="7:18" x14ac:dyDescent="0.3">
      <c r="G3663" s="85"/>
      <c r="H3663" s="86"/>
      <c r="I3663" s="86"/>
      <c r="J3663" s="87"/>
      <c r="K3663" s="85"/>
      <c r="L3663" s="85"/>
      <c r="P3663" s="85"/>
      <c r="Q3663" s="85"/>
      <c r="R3663" s="81"/>
    </row>
    <row r="3664" spans="7:18" x14ac:dyDescent="0.3">
      <c r="G3664" s="85"/>
      <c r="H3664" s="86"/>
      <c r="I3664" s="86"/>
      <c r="J3664" s="87"/>
      <c r="K3664" s="85"/>
      <c r="L3664" s="85"/>
      <c r="P3664" s="85"/>
      <c r="Q3664" s="85"/>
      <c r="R3664" s="81"/>
    </row>
    <row r="3665" spans="7:18" x14ac:dyDescent="0.3">
      <c r="G3665" s="85"/>
      <c r="H3665" s="86"/>
      <c r="I3665" s="86"/>
      <c r="J3665" s="87"/>
      <c r="K3665" s="85"/>
      <c r="L3665" s="85"/>
      <c r="P3665" s="85"/>
      <c r="Q3665" s="85"/>
      <c r="R3665" s="81"/>
    </row>
    <row r="3666" spans="7:18" x14ac:dyDescent="0.3">
      <c r="G3666" s="85"/>
      <c r="H3666" s="86"/>
      <c r="I3666" s="86"/>
      <c r="J3666" s="87"/>
      <c r="K3666" s="85"/>
      <c r="L3666" s="85"/>
      <c r="P3666" s="85"/>
      <c r="Q3666" s="85"/>
      <c r="R3666" s="81"/>
    </row>
    <row r="3667" spans="7:18" x14ac:dyDescent="0.3">
      <c r="G3667" s="85"/>
      <c r="H3667" s="86"/>
      <c r="I3667" s="86"/>
      <c r="J3667" s="87"/>
      <c r="K3667" s="85"/>
      <c r="L3667" s="85"/>
      <c r="P3667" s="85"/>
      <c r="Q3667" s="85"/>
      <c r="R3667" s="81"/>
    </row>
    <row r="3668" spans="7:18" x14ac:dyDescent="0.3">
      <c r="G3668" s="85"/>
      <c r="H3668" s="86"/>
      <c r="I3668" s="86"/>
      <c r="J3668" s="87"/>
      <c r="K3668" s="85"/>
      <c r="L3668" s="85"/>
      <c r="P3668" s="85"/>
      <c r="Q3668" s="85"/>
      <c r="R3668" s="81"/>
    </row>
    <row r="3669" spans="7:18" x14ac:dyDescent="0.3">
      <c r="G3669" s="85"/>
      <c r="H3669" s="86"/>
      <c r="I3669" s="86"/>
      <c r="J3669" s="87"/>
      <c r="K3669" s="85"/>
      <c r="L3669" s="85"/>
      <c r="P3669" s="85"/>
      <c r="Q3669" s="85"/>
      <c r="R3669" s="81"/>
    </row>
    <row r="3670" spans="7:18" x14ac:dyDescent="0.3">
      <c r="G3670" s="85"/>
      <c r="H3670" s="86"/>
      <c r="I3670" s="86"/>
      <c r="J3670" s="87"/>
      <c r="K3670" s="85"/>
      <c r="L3670" s="85"/>
      <c r="P3670" s="85"/>
      <c r="Q3670" s="85"/>
      <c r="R3670" s="81"/>
    </row>
    <row r="3671" spans="7:18" x14ac:dyDescent="0.3">
      <c r="G3671" s="85"/>
      <c r="H3671" s="86"/>
      <c r="I3671" s="86"/>
      <c r="J3671" s="87"/>
      <c r="K3671" s="85"/>
      <c r="L3671" s="85"/>
      <c r="P3671" s="85"/>
      <c r="Q3671" s="85"/>
      <c r="R3671" s="81"/>
    </row>
    <row r="3672" spans="7:18" x14ac:dyDescent="0.3">
      <c r="G3672" s="85"/>
      <c r="H3672" s="86"/>
      <c r="I3672" s="86"/>
      <c r="J3672" s="87"/>
      <c r="K3672" s="85"/>
      <c r="L3672" s="85"/>
      <c r="P3672" s="85"/>
      <c r="Q3672" s="85"/>
      <c r="R3672" s="81"/>
    </row>
    <row r="3673" spans="7:18" x14ac:dyDescent="0.3">
      <c r="G3673" s="85"/>
      <c r="H3673" s="86"/>
      <c r="I3673" s="86"/>
      <c r="J3673" s="87"/>
      <c r="K3673" s="85"/>
      <c r="L3673" s="85"/>
      <c r="P3673" s="85"/>
      <c r="Q3673" s="85"/>
      <c r="R3673" s="81"/>
    </row>
    <row r="3674" spans="7:18" x14ac:dyDescent="0.3">
      <c r="G3674" s="85"/>
      <c r="H3674" s="86"/>
      <c r="I3674" s="86"/>
      <c r="J3674" s="87"/>
      <c r="K3674" s="85"/>
      <c r="L3674" s="85"/>
      <c r="P3674" s="85"/>
      <c r="Q3674" s="85"/>
      <c r="R3674" s="81"/>
    </row>
    <row r="3675" spans="7:18" x14ac:dyDescent="0.3">
      <c r="G3675" s="85"/>
      <c r="H3675" s="86"/>
      <c r="I3675" s="86"/>
      <c r="J3675" s="87"/>
      <c r="K3675" s="85"/>
      <c r="L3675" s="85"/>
      <c r="P3675" s="85"/>
      <c r="Q3675" s="85"/>
      <c r="R3675" s="81"/>
    </row>
    <row r="3676" spans="7:18" x14ac:dyDescent="0.3">
      <c r="G3676" s="85"/>
      <c r="H3676" s="86"/>
      <c r="I3676" s="86"/>
      <c r="J3676" s="87"/>
      <c r="K3676" s="85"/>
      <c r="L3676" s="85"/>
      <c r="P3676" s="85"/>
      <c r="Q3676" s="85"/>
      <c r="R3676" s="81"/>
    </row>
    <row r="3677" spans="7:18" x14ac:dyDescent="0.3">
      <c r="G3677" s="85"/>
      <c r="H3677" s="86"/>
      <c r="I3677" s="86"/>
      <c r="J3677" s="87"/>
      <c r="K3677" s="85"/>
      <c r="L3677" s="85"/>
      <c r="P3677" s="85"/>
      <c r="Q3677" s="85"/>
      <c r="R3677" s="81"/>
    </row>
    <row r="3678" spans="7:18" x14ac:dyDescent="0.3">
      <c r="G3678" s="85"/>
      <c r="H3678" s="86"/>
      <c r="I3678" s="86"/>
      <c r="J3678" s="87"/>
      <c r="K3678" s="85"/>
      <c r="L3678" s="85"/>
      <c r="P3678" s="85"/>
      <c r="Q3678" s="85"/>
      <c r="R3678" s="81"/>
    </row>
    <row r="3679" spans="7:18" x14ac:dyDescent="0.3">
      <c r="G3679" s="85"/>
      <c r="H3679" s="86"/>
      <c r="I3679" s="86"/>
      <c r="J3679" s="87"/>
      <c r="K3679" s="85"/>
      <c r="L3679" s="85"/>
      <c r="P3679" s="85"/>
      <c r="Q3679" s="85"/>
      <c r="R3679" s="81"/>
    </row>
    <row r="3680" spans="7:18" x14ac:dyDescent="0.3">
      <c r="G3680" s="85"/>
      <c r="H3680" s="86"/>
      <c r="I3680" s="86"/>
      <c r="J3680" s="87"/>
      <c r="K3680" s="85"/>
      <c r="L3680" s="85"/>
      <c r="P3680" s="85"/>
      <c r="Q3680" s="85"/>
      <c r="R3680" s="81"/>
    </row>
    <row r="3681" spans="7:18" x14ac:dyDescent="0.3">
      <c r="G3681" s="85"/>
      <c r="H3681" s="86"/>
      <c r="I3681" s="86"/>
      <c r="J3681" s="87"/>
      <c r="K3681" s="85"/>
      <c r="L3681" s="85"/>
      <c r="P3681" s="85"/>
      <c r="Q3681" s="85"/>
      <c r="R3681" s="81"/>
    </row>
    <row r="3682" spans="7:18" x14ac:dyDescent="0.3">
      <c r="G3682" s="85"/>
      <c r="H3682" s="86"/>
      <c r="I3682" s="86"/>
      <c r="J3682" s="87"/>
      <c r="K3682" s="85"/>
      <c r="L3682" s="85"/>
      <c r="P3682" s="85"/>
      <c r="Q3682" s="85"/>
      <c r="R3682" s="81"/>
    </row>
    <row r="3683" spans="7:18" x14ac:dyDescent="0.3">
      <c r="G3683" s="85"/>
      <c r="H3683" s="86"/>
      <c r="I3683" s="86"/>
      <c r="J3683" s="87"/>
      <c r="K3683" s="85"/>
      <c r="L3683" s="85"/>
      <c r="P3683" s="85"/>
      <c r="Q3683" s="85"/>
      <c r="R3683" s="81"/>
    </row>
    <row r="3684" spans="7:18" x14ac:dyDescent="0.3">
      <c r="G3684" s="85"/>
      <c r="H3684" s="86"/>
      <c r="I3684" s="86"/>
      <c r="J3684" s="87"/>
      <c r="K3684" s="85"/>
      <c r="L3684" s="85"/>
      <c r="P3684" s="85"/>
      <c r="Q3684" s="85"/>
      <c r="R3684" s="81"/>
    </row>
    <row r="3685" spans="7:18" x14ac:dyDescent="0.3">
      <c r="G3685" s="85"/>
      <c r="H3685" s="86"/>
      <c r="I3685" s="86"/>
      <c r="J3685" s="87"/>
      <c r="K3685" s="85"/>
      <c r="L3685" s="85"/>
      <c r="P3685" s="85"/>
      <c r="Q3685" s="85"/>
      <c r="R3685" s="81"/>
    </row>
    <row r="3686" spans="7:18" x14ac:dyDescent="0.3">
      <c r="G3686" s="85"/>
      <c r="H3686" s="86"/>
      <c r="I3686" s="86"/>
      <c r="J3686" s="87"/>
      <c r="K3686" s="85"/>
      <c r="L3686" s="85"/>
      <c r="P3686" s="85"/>
      <c r="Q3686" s="85"/>
      <c r="R3686" s="81"/>
    </row>
    <row r="3687" spans="7:18" x14ac:dyDescent="0.3">
      <c r="G3687" s="85"/>
      <c r="H3687" s="86"/>
      <c r="I3687" s="86"/>
      <c r="J3687" s="87"/>
      <c r="K3687" s="85"/>
      <c r="L3687" s="85"/>
      <c r="P3687" s="85"/>
      <c r="Q3687" s="85"/>
      <c r="R3687" s="81"/>
    </row>
    <row r="3688" spans="7:18" x14ac:dyDescent="0.3">
      <c r="G3688" s="85"/>
      <c r="H3688" s="86"/>
      <c r="I3688" s="86"/>
      <c r="J3688" s="87"/>
      <c r="K3688" s="85"/>
      <c r="L3688" s="85"/>
      <c r="P3688" s="85"/>
      <c r="Q3688" s="85"/>
      <c r="R3688" s="81"/>
    </row>
    <row r="3689" spans="7:18" x14ac:dyDescent="0.3">
      <c r="G3689" s="85"/>
      <c r="H3689" s="86"/>
      <c r="I3689" s="86"/>
      <c r="J3689" s="87"/>
      <c r="K3689" s="85"/>
      <c r="L3689" s="85"/>
      <c r="P3689" s="85"/>
      <c r="Q3689" s="85"/>
      <c r="R3689" s="81"/>
    </row>
    <row r="3690" spans="7:18" x14ac:dyDescent="0.3">
      <c r="G3690" s="85"/>
      <c r="H3690" s="86"/>
      <c r="I3690" s="86"/>
      <c r="J3690" s="87"/>
      <c r="K3690" s="85"/>
      <c r="L3690" s="85"/>
      <c r="P3690" s="85"/>
      <c r="Q3690" s="85"/>
      <c r="R3690" s="81"/>
    </row>
    <row r="3691" spans="7:18" x14ac:dyDescent="0.3">
      <c r="G3691" s="85"/>
      <c r="H3691" s="86"/>
      <c r="I3691" s="86"/>
      <c r="J3691" s="87"/>
      <c r="K3691" s="85"/>
      <c r="L3691" s="85"/>
      <c r="P3691" s="85"/>
      <c r="Q3691" s="85"/>
      <c r="R3691" s="81"/>
    </row>
    <row r="3692" spans="7:18" x14ac:dyDescent="0.3">
      <c r="G3692" s="85"/>
      <c r="H3692" s="86"/>
      <c r="I3692" s="86"/>
      <c r="J3692" s="87"/>
      <c r="K3692" s="85"/>
      <c r="L3692" s="85"/>
      <c r="P3692" s="85"/>
      <c r="Q3692" s="85"/>
      <c r="R3692" s="81"/>
    </row>
    <row r="3693" spans="7:18" x14ac:dyDescent="0.3">
      <c r="G3693" s="85"/>
      <c r="H3693" s="86"/>
      <c r="I3693" s="86"/>
      <c r="J3693" s="87"/>
      <c r="K3693" s="85"/>
      <c r="L3693" s="85"/>
      <c r="P3693" s="85"/>
      <c r="Q3693" s="85"/>
      <c r="R3693" s="81"/>
    </row>
    <row r="3694" spans="7:18" x14ac:dyDescent="0.3">
      <c r="G3694" s="85"/>
      <c r="H3694" s="86"/>
      <c r="I3694" s="86"/>
      <c r="J3694" s="87"/>
      <c r="K3694" s="85"/>
      <c r="L3694" s="85"/>
      <c r="P3694" s="85"/>
      <c r="Q3694" s="85"/>
      <c r="R3694" s="81"/>
    </row>
    <row r="3695" spans="7:18" x14ac:dyDescent="0.3">
      <c r="G3695" s="85"/>
      <c r="H3695" s="86"/>
      <c r="I3695" s="86"/>
      <c r="J3695" s="87"/>
      <c r="K3695" s="85"/>
      <c r="L3695" s="85"/>
      <c r="P3695" s="85"/>
      <c r="Q3695" s="85"/>
      <c r="R3695" s="81"/>
    </row>
    <row r="3696" spans="7:18" x14ac:dyDescent="0.3">
      <c r="G3696" s="85"/>
      <c r="H3696" s="86"/>
      <c r="I3696" s="86"/>
      <c r="J3696" s="87"/>
      <c r="K3696" s="85"/>
      <c r="L3696" s="85"/>
      <c r="P3696" s="85"/>
      <c r="Q3696" s="85"/>
      <c r="R3696" s="81"/>
    </row>
    <row r="3697" spans="7:18" x14ac:dyDescent="0.3">
      <c r="G3697" s="85"/>
      <c r="H3697" s="86"/>
      <c r="I3697" s="86"/>
      <c r="J3697" s="87"/>
      <c r="K3697" s="85"/>
      <c r="L3697" s="85"/>
      <c r="P3697" s="85"/>
      <c r="Q3697" s="85"/>
      <c r="R3697" s="81"/>
    </row>
    <row r="3698" spans="7:18" x14ac:dyDescent="0.3">
      <c r="G3698" s="85"/>
      <c r="H3698" s="86"/>
      <c r="I3698" s="86"/>
      <c r="J3698" s="87"/>
      <c r="K3698" s="85"/>
      <c r="L3698" s="85"/>
      <c r="P3698" s="85"/>
      <c r="Q3698" s="85"/>
      <c r="R3698" s="81"/>
    </row>
    <row r="3699" spans="7:18" x14ac:dyDescent="0.3">
      <c r="G3699" s="85"/>
      <c r="H3699" s="86"/>
      <c r="I3699" s="86"/>
      <c r="J3699" s="87"/>
      <c r="K3699" s="85"/>
      <c r="L3699" s="85"/>
      <c r="P3699" s="85"/>
      <c r="Q3699" s="85"/>
      <c r="R3699" s="81"/>
    </row>
    <row r="3700" spans="7:18" x14ac:dyDescent="0.3">
      <c r="G3700" s="85"/>
      <c r="H3700" s="86"/>
      <c r="I3700" s="86"/>
      <c r="J3700" s="87"/>
      <c r="K3700" s="85"/>
      <c r="L3700" s="85"/>
      <c r="P3700" s="85"/>
      <c r="Q3700" s="85"/>
      <c r="R3700" s="81"/>
    </row>
    <row r="3701" spans="7:18" x14ac:dyDescent="0.3">
      <c r="G3701" s="85"/>
      <c r="H3701" s="86"/>
      <c r="I3701" s="86"/>
      <c r="J3701" s="87"/>
      <c r="K3701" s="85"/>
      <c r="L3701" s="85"/>
      <c r="P3701" s="85"/>
      <c r="Q3701" s="85"/>
      <c r="R3701" s="81"/>
    </row>
    <row r="3702" spans="7:18" x14ac:dyDescent="0.3">
      <c r="G3702" s="85"/>
      <c r="H3702" s="86"/>
      <c r="I3702" s="86"/>
      <c r="J3702" s="87"/>
      <c r="K3702" s="85"/>
      <c r="L3702" s="85"/>
      <c r="P3702" s="85"/>
      <c r="Q3702" s="85"/>
      <c r="R3702" s="81"/>
    </row>
    <row r="3703" spans="7:18" x14ac:dyDescent="0.3">
      <c r="G3703" s="85"/>
      <c r="H3703" s="86"/>
      <c r="I3703" s="86"/>
      <c r="J3703" s="87"/>
      <c r="K3703" s="85"/>
      <c r="L3703" s="85"/>
      <c r="P3703" s="85"/>
      <c r="Q3703" s="85"/>
      <c r="R3703" s="81"/>
    </row>
    <row r="3704" spans="7:18" x14ac:dyDescent="0.3">
      <c r="G3704" s="85"/>
      <c r="H3704" s="86"/>
      <c r="I3704" s="86"/>
      <c r="J3704" s="87"/>
      <c r="K3704" s="85"/>
      <c r="L3704" s="85"/>
      <c r="P3704" s="85"/>
      <c r="Q3704" s="85"/>
      <c r="R3704" s="81"/>
    </row>
    <row r="3705" spans="7:18" x14ac:dyDescent="0.3">
      <c r="G3705" s="85"/>
      <c r="H3705" s="86"/>
      <c r="I3705" s="86"/>
      <c r="J3705" s="87"/>
      <c r="K3705" s="85"/>
      <c r="L3705" s="85"/>
      <c r="P3705" s="85"/>
      <c r="Q3705" s="85"/>
      <c r="R3705" s="81"/>
    </row>
    <row r="3706" spans="7:18" x14ac:dyDescent="0.3">
      <c r="G3706" s="85"/>
      <c r="H3706" s="86"/>
      <c r="I3706" s="86"/>
      <c r="J3706" s="87"/>
      <c r="K3706" s="85"/>
      <c r="L3706" s="85"/>
      <c r="P3706" s="85"/>
      <c r="Q3706" s="85"/>
      <c r="R3706" s="81"/>
    </row>
    <row r="3707" spans="7:18" x14ac:dyDescent="0.3">
      <c r="G3707" s="85"/>
      <c r="H3707" s="86"/>
      <c r="I3707" s="86"/>
      <c r="J3707" s="87"/>
      <c r="K3707" s="85"/>
      <c r="L3707" s="85"/>
      <c r="P3707" s="85"/>
      <c r="Q3707" s="85"/>
      <c r="R3707" s="81"/>
    </row>
    <row r="3708" spans="7:18" x14ac:dyDescent="0.3">
      <c r="G3708" s="85"/>
      <c r="H3708" s="86"/>
      <c r="I3708" s="86"/>
      <c r="J3708" s="87"/>
      <c r="K3708" s="85"/>
      <c r="L3708" s="85"/>
      <c r="P3708" s="85"/>
      <c r="Q3708" s="85"/>
      <c r="R3708" s="81"/>
    </row>
    <row r="3709" spans="7:18" x14ac:dyDescent="0.3">
      <c r="G3709" s="85"/>
      <c r="H3709" s="86"/>
      <c r="I3709" s="86"/>
      <c r="J3709" s="87"/>
      <c r="K3709" s="85"/>
      <c r="L3709" s="85"/>
      <c r="P3709" s="85"/>
      <c r="Q3709" s="85"/>
      <c r="R3709" s="81"/>
    </row>
    <row r="3710" spans="7:18" x14ac:dyDescent="0.3">
      <c r="G3710" s="85"/>
      <c r="H3710" s="86"/>
      <c r="I3710" s="86"/>
      <c r="J3710" s="87"/>
      <c r="K3710" s="85"/>
      <c r="L3710" s="85"/>
      <c r="P3710" s="85"/>
      <c r="Q3710" s="85"/>
      <c r="R3710" s="81"/>
    </row>
    <row r="3711" spans="7:18" x14ac:dyDescent="0.3">
      <c r="G3711" s="85"/>
      <c r="H3711" s="86"/>
      <c r="I3711" s="86"/>
      <c r="J3711" s="87"/>
      <c r="K3711" s="85"/>
      <c r="L3711" s="85"/>
      <c r="P3711" s="85"/>
      <c r="Q3711" s="85"/>
      <c r="R3711" s="81"/>
    </row>
    <row r="3712" spans="7:18" x14ac:dyDescent="0.3">
      <c r="G3712" s="85"/>
      <c r="H3712" s="86"/>
      <c r="I3712" s="86"/>
      <c r="J3712" s="87"/>
      <c r="K3712" s="85"/>
      <c r="L3712" s="85"/>
      <c r="P3712" s="85"/>
      <c r="Q3712" s="85"/>
      <c r="R3712" s="81"/>
    </row>
    <row r="3713" spans="7:18" x14ac:dyDescent="0.3">
      <c r="G3713" s="85"/>
      <c r="H3713" s="86"/>
      <c r="I3713" s="86"/>
      <c r="J3713" s="87"/>
      <c r="K3713" s="85"/>
      <c r="L3713" s="85"/>
      <c r="P3713" s="85"/>
      <c r="Q3713" s="85"/>
      <c r="R3713" s="81"/>
    </row>
    <row r="3714" spans="7:18" x14ac:dyDescent="0.3">
      <c r="G3714" s="85"/>
      <c r="H3714" s="86"/>
      <c r="I3714" s="86"/>
      <c r="J3714" s="87"/>
      <c r="K3714" s="85"/>
      <c r="L3714" s="85"/>
      <c r="P3714" s="85"/>
      <c r="Q3714" s="85"/>
      <c r="R3714" s="81"/>
    </row>
    <row r="3715" spans="7:18" x14ac:dyDescent="0.3">
      <c r="G3715" s="85"/>
      <c r="H3715" s="86"/>
      <c r="I3715" s="86"/>
      <c r="J3715" s="87"/>
      <c r="K3715" s="85"/>
      <c r="L3715" s="85"/>
      <c r="P3715" s="85"/>
      <c r="Q3715" s="85"/>
      <c r="R3715" s="81"/>
    </row>
    <row r="3716" spans="7:18" x14ac:dyDescent="0.3">
      <c r="G3716" s="85"/>
      <c r="H3716" s="86"/>
      <c r="I3716" s="86"/>
      <c r="J3716" s="87"/>
      <c r="K3716" s="85"/>
      <c r="L3716" s="85"/>
      <c r="P3716" s="85"/>
      <c r="Q3716" s="85"/>
      <c r="R3716" s="81"/>
    </row>
    <row r="3717" spans="7:18" x14ac:dyDescent="0.3">
      <c r="G3717" s="85"/>
      <c r="H3717" s="86"/>
      <c r="I3717" s="86"/>
      <c r="J3717" s="87"/>
      <c r="K3717" s="85"/>
      <c r="L3717" s="85"/>
      <c r="P3717" s="85"/>
      <c r="Q3717" s="85"/>
      <c r="R3717" s="81"/>
    </row>
    <row r="3718" spans="7:18" x14ac:dyDescent="0.3">
      <c r="G3718" s="85"/>
      <c r="H3718" s="86"/>
      <c r="I3718" s="86"/>
      <c r="J3718" s="87"/>
      <c r="K3718" s="85"/>
      <c r="L3718" s="85"/>
      <c r="P3718" s="85"/>
      <c r="Q3718" s="85"/>
      <c r="R3718" s="81"/>
    </row>
    <row r="3719" spans="7:18" x14ac:dyDescent="0.3">
      <c r="G3719" s="85"/>
      <c r="H3719" s="86"/>
      <c r="I3719" s="86"/>
      <c r="J3719" s="87"/>
      <c r="K3719" s="85"/>
      <c r="L3719" s="85"/>
      <c r="P3719" s="85"/>
      <c r="Q3719" s="85"/>
      <c r="R3719" s="81"/>
    </row>
    <row r="3720" spans="7:18" x14ac:dyDescent="0.3">
      <c r="G3720" s="85"/>
      <c r="H3720" s="86"/>
      <c r="I3720" s="86"/>
      <c r="J3720" s="87"/>
      <c r="K3720" s="85"/>
      <c r="L3720" s="85"/>
      <c r="P3720" s="85"/>
      <c r="Q3720" s="85"/>
      <c r="R3720" s="81"/>
    </row>
    <row r="3721" spans="7:18" x14ac:dyDescent="0.3">
      <c r="G3721" s="85"/>
      <c r="H3721" s="86"/>
      <c r="I3721" s="86"/>
      <c r="J3721" s="87"/>
      <c r="K3721" s="85"/>
      <c r="L3721" s="85"/>
      <c r="P3721" s="85"/>
      <c r="Q3721" s="85"/>
      <c r="R3721" s="81"/>
    </row>
    <row r="3722" spans="7:18" x14ac:dyDescent="0.3">
      <c r="G3722" s="85"/>
      <c r="H3722" s="86"/>
      <c r="I3722" s="86"/>
      <c r="J3722" s="87"/>
      <c r="K3722" s="85"/>
      <c r="L3722" s="85"/>
      <c r="P3722" s="85"/>
      <c r="Q3722" s="85"/>
      <c r="R3722" s="81"/>
    </row>
    <row r="3723" spans="7:18" x14ac:dyDescent="0.3">
      <c r="G3723" s="85"/>
      <c r="H3723" s="86"/>
      <c r="I3723" s="86"/>
      <c r="J3723" s="87"/>
      <c r="K3723" s="85"/>
      <c r="L3723" s="85"/>
      <c r="P3723" s="85"/>
      <c r="Q3723" s="85"/>
      <c r="R3723" s="81"/>
    </row>
    <row r="3724" spans="7:18" x14ac:dyDescent="0.3">
      <c r="G3724" s="85"/>
      <c r="H3724" s="86"/>
      <c r="I3724" s="86"/>
      <c r="J3724" s="87"/>
      <c r="K3724" s="85"/>
      <c r="L3724" s="85"/>
      <c r="P3724" s="85"/>
      <c r="Q3724" s="85"/>
      <c r="R3724" s="81"/>
    </row>
    <row r="3725" spans="7:18" x14ac:dyDescent="0.3">
      <c r="G3725" s="85"/>
      <c r="H3725" s="86"/>
      <c r="I3725" s="86"/>
      <c r="J3725" s="87"/>
      <c r="K3725" s="85"/>
      <c r="L3725" s="85"/>
      <c r="P3725" s="85"/>
      <c r="Q3725" s="85"/>
      <c r="R3725" s="81"/>
    </row>
    <row r="3726" spans="7:18" x14ac:dyDescent="0.3">
      <c r="G3726" s="85"/>
      <c r="H3726" s="86"/>
      <c r="I3726" s="86"/>
      <c r="J3726" s="87"/>
      <c r="K3726" s="85"/>
      <c r="L3726" s="85"/>
      <c r="P3726" s="85"/>
      <c r="Q3726" s="85"/>
      <c r="R3726" s="81"/>
    </row>
    <row r="3727" spans="7:18" x14ac:dyDescent="0.3">
      <c r="G3727" s="85"/>
      <c r="H3727" s="86"/>
      <c r="I3727" s="86"/>
      <c r="J3727" s="87"/>
      <c r="K3727" s="85"/>
      <c r="L3727" s="85"/>
      <c r="P3727" s="85"/>
      <c r="Q3727" s="85"/>
      <c r="R3727" s="81"/>
    </row>
    <row r="3728" spans="7:18" x14ac:dyDescent="0.3">
      <c r="G3728" s="85"/>
      <c r="H3728" s="86"/>
      <c r="I3728" s="86"/>
      <c r="J3728" s="87"/>
      <c r="K3728" s="85"/>
      <c r="L3728" s="85"/>
      <c r="P3728" s="85"/>
      <c r="Q3728" s="85"/>
      <c r="R3728" s="81"/>
    </row>
    <row r="3729" spans="7:18" x14ac:dyDescent="0.3">
      <c r="G3729" s="85"/>
      <c r="H3729" s="86"/>
      <c r="I3729" s="86"/>
      <c r="J3729" s="87"/>
      <c r="K3729" s="85"/>
      <c r="L3729" s="85"/>
      <c r="P3729" s="85"/>
      <c r="Q3729" s="85"/>
      <c r="R3729" s="81"/>
    </row>
    <row r="3730" spans="7:18" x14ac:dyDescent="0.3">
      <c r="G3730" s="85"/>
      <c r="H3730" s="86"/>
      <c r="I3730" s="86"/>
      <c r="J3730" s="87"/>
      <c r="K3730" s="85"/>
      <c r="L3730" s="85"/>
      <c r="P3730" s="85"/>
      <c r="Q3730" s="85"/>
      <c r="R3730" s="81"/>
    </row>
    <row r="3731" spans="7:18" x14ac:dyDescent="0.3">
      <c r="G3731" s="85"/>
      <c r="H3731" s="86"/>
      <c r="I3731" s="86"/>
      <c r="J3731" s="87"/>
      <c r="K3731" s="85"/>
      <c r="L3731" s="85"/>
      <c r="P3731" s="85"/>
      <c r="Q3731" s="85"/>
      <c r="R3731" s="81"/>
    </row>
    <row r="3732" spans="7:18" x14ac:dyDescent="0.3">
      <c r="G3732" s="85"/>
      <c r="H3732" s="86"/>
      <c r="I3732" s="86"/>
      <c r="J3732" s="87"/>
      <c r="K3732" s="85"/>
      <c r="L3732" s="85"/>
      <c r="P3732" s="85"/>
      <c r="Q3732" s="85"/>
      <c r="R3732" s="81"/>
    </row>
    <row r="3733" spans="7:18" x14ac:dyDescent="0.3">
      <c r="G3733" s="85"/>
      <c r="H3733" s="86"/>
      <c r="I3733" s="86"/>
      <c r="J3733" s="87"/>
      <c r="K3733" s="85"/>
      <c r="L3733" s="85"/>
      <c r="P3733" s="85"/>
      <c r="Q3733" s="85"/>
      <c r="R3733" s="81"/>
    </row>
    <row r="3734" spans="7:18" x14ac:dyDescent="0.3">
      <c r="G3734" s="85"/>
      <c r="H3734" s="86"/>
      <c r="I3734" s="86"/>
      <c r="J3734" s="87"/>
      <c r="K3734" s="85"/>
      <c r="L3734" s="85"/>
      <c r="P3734" s="85"/>
      <c r="Q3734" s="85"/>
      <c r="R3734" s="81"/>
    </row>
    <row r="3735" spans="7:18" x14ac:dyDescent="0.3">
      <c r="G3735" s="85"/>
      <c r="H3735" s="86"/>
      <c r="I3735" s="86"/>
      <c r="J3735" s="87"/>
      <c r="K3735" s="85"/>
      <c r="L3735" s="85"/>
      <c r="P3735" s="85"/>
      <c r="Q3735" s="85"/>
      <c r="R3735" s="81"/>
    </row>
    <row r="3736" spans="7:18" x14ac:dyDescent="0.3">
      <c r="G3736" s="85"/>
      <c r="H3736" s="86"/>
      <c r="I3736" s="86"/>
      <c r="J3736" s="87"/>
      <c r="K3736" s="85"/>
      <c r="L3736" s="85"/>
      <c r="P3736" s="85"/>
      <c r="Q3736" s="85"/>
      <c r="R3736" s="81"/>
    </row>
    <row r="3737" spans="7:18" x14ac:dyDescent="0.3">
      <c r="G3737" s="85"/>
      <c r="H3737" s="86"/>
      <c r="I3737" s="86"/>
      <c r="J3737" s="87"/>
      <c r="K3737" s="85"/>
      <c r="L3737" s="85"/>
      <c r="P3737" s="85"/>
      <c r="Q3737" s="85"/>
      <c r="R3737" s="81"/>
    </row>
    <row r="3738" spans="7:18" x14ac:dyDescent="0.3">
      <c r="G3738" s="85"/>
      <c r="H3738" s="86"/>
      <c r="I3738" s="86"/>
      <c r="J3738" s="87"/>
      <c r="K3738" s="85"/>
      <c r="L3738" s="85"/>
      <c r="P3738" s="85"/>
      <c r="Q3738" s="85"/>
      <c r="R3738" s="81"/>
    </row>
    <row r="3739" spans="7:18" x14ac:dyDescent="0.3">
      <c r="G3739" s="85"/>
      <c r="H3739" s="86"/>
      <c r="I3739" s="86"/>
      <c r="J3739" s="87"/>
      <c r="K3739" s="85"/>
      <c r="L3739" s="85"/>
      <c r="P3739" s="85"/>
      <c r="Q3739" s="85"/>
      <c r="R3739" s="81"/>
    </row>
    <row r="3740" spans="7:18" x14ac:dyDescent="0.3">
      <c r="G3740" s="85"/>
      <c r="H3740" s="86"/>
      <c r="I3740" s="86"/>
      <c r="J3740" s="87"/>
      <c r="K3740" s="85"/>
      <c r="L3740" s="85"/>
      <c r="P3740" s="85"/>
      <c r="Q3740" s="85"/>
      <c r="R3740" s="81"/>
    </row>
    <row r="3741" spans="7:18" x14ac:dyDescent="0.3">
      <c r="G3741" s="85"/>
      <c r="H3741" s="86"/>
      <c r="I3741" s="86"/>
      <c r="J3741" s="87"/>
      <c r="K3741" s="85"/>
      <c r="L3741" s="85"/>
      <c r="P3741" s="85"/>
      <c r="Q3741" s="85"/>
      <c r="R3741" s="81"/>
    </row>
    <row r="3742" spans="7:18" x14ac:dyDescent="0.3">
      <c r="G3742" s="85"/>
      <c r="H3742" s="86"/>
      <c r="I3742" s="86"/>
      <c r="J3742" s="87"/>
      <c r="K3742" s="85"/>
      <c r="L3742" s="85"/>
      <c r="P3742" s="85"/>
      <c r="Q3742" s="85"/>
      <c r="R3742" s="81"/>
    </row>
    <row r="3743" spans="7:18" x14ac:dyDescent="0.3">
      <c r="G3743" s="85"/>
      <c r="H3743" s="86"/>
      <c r="I3743" s="86"/>
      <c r="J3743" s="87"/>
      <c r="K3743" s="85"/>
      <c r="L3743" s="85"/>
      <c r="P3743" s="85"/>
      <c r="Q3743" s="85"/>
      <c r="R3743" s="81"/>
    </row>
    <row r="3744" spans="7:18" x14ac:dyDescent="0.3">
      <c r="G3744" s="85"/>
      <c r="H3744" s="86"/>
      <c r="I3744" s="86"/>
      <c r="J3744" s="87"/>
      <c r="K3744" s="85"/>
      <c r="L3744" s="85"/>
      <c r="P3744" s="85"/>
      <c r="Q3744" s="85"/>
      <c r="R3744" s="81"/>
    </row>
    <row r="3745" spans="7:18" x14ac:dyDescent="0.3">
      <c r="G3745" s="85"/>
      <c r="H3745" s="86"/>
      <c r="I3745" s="86"/>
      <c r="J3745" s="87"/>
      <c r="K3745" s="85"/>
      <c r="L3745" s="85"/>
      <c r="P3745" s="85"/>
      <c r="Q3745" s="85"/>
      <c r="R3745" s="81"/>
    </row>
    <row r="3746" spans="7:18" x14ac:dyDescent="0.3">
      <c r="G3746" s="85"/>
      <c r="H3746" s="86"/>
      <c r="I3746" s="86"/>
      <c r="J3746" s="87"/>
      <c r="K3746" s="85"/>
      <c r="L3746" s="85"/>
      <c r="P3746" s="85"/>
      <c r="Q3746" s="85"/>
      <c r="R3746" s="81"/>
    </row>
    <row r="3747" spans="7:18" x14ac:dyDescent="0.3">
      <c r="G3747" s="85"/>
      <c r="H3747" s="86"/>
      <c r="I3747" s="86"/>
      <c r="J3747" s="87"/>
      <c r="K3747" s="85"/>
      <c r="L3747" s="85"/>
      <c r="P3747" s="85"/>
      <c r="Q3747" s="85"/>
      <c r="R3747" s="81"/>
    </row>
    <row r="3748" spans="7:18" x14ac:dyDescent="0.3">
      <c r="G3748" s="85"/>
      <c r="H3748" s="86"/>
      <c r="I3748" s="86"/>
      <c r="J3748" s="87"/>
      <c r="K3748" s="85"/>
      <c r="L3748" s="85"/>
      <c r="P3748" s="85"/>
      <c r="Q3748" s="85"/>
      <c r="R3748" s="81"/>
    </row>
    <row r="3749" spans="7:18" x14ac:dyDescent="0.3">
      <c r="G3749" s="85"/>
      <c r="H3749" s="86"/>
      <c r="I3749" s="86"/>
      <c r="J3749" s="87"/>
      <c r="K3749" s="85"/>
      <c r="L3749" s="85"/>
      <c r="P3749" s="85"/>
      <c r="Q3749" s="85"/>
      <c r="R3749" s="81"/>
    </row>
    <row r="3750" spans="7:18" x14ac:dyDescent="0.3">
      <c r="G3750" s="85"/>
      <c r="H3750" s="86"/>
      <c r="I3750" s="86"/>
      <c r="J3750" s="87"/>
      <c r="K3750" s="85"/>
      <c r="L3750" s="85"/>
      <c r="P3750" s="85"/>
      <c r="Q3750" s="85"/>
      <c r="R3750" s="81"/>
    </row>
    <row r="3751" spans="7:18" x14ac:dyDescent="0.3">
      <c r="G3751" s="85"/>
      <c r="H3751" s="86"/>
      <c r="I3751" s="86"/>
      <c r="J3751" s="87"/>
      <c r="K3751" s="85"/>
      <c r="L3751" s="85"/>
      <c r="P3751" s="85"/>
      <c r="Q3751" s="85"/>
      <c r="R3751" s="81"/>
    </row>
    <row r="3752" spans="7:18" x14ac:dyDescent="0.3">
      <c r="G3752" s="85"/>
      <c r="H3752" s="86"/>
      <c r="I3752" s="86"/>
      <c r="J3752" s="87"/>
      <c r="K3752" s="85"/>
      <c r="L3752" s="85"/>
      <c r="P3752" s="85"/>
      <c r="Q3752" s="85"/>
      <c r="R3752" s="81"/>
    </row>
    <row r="3753" spans="7:18" x14ac:dyDescent="0.3">
      <c r="G3753" s="85"/>
      <c r="H3753" s="86"/>
      <c r="I3753" s="86"/>
      <c r="J3753" s="87"/>
      <c r="K3753" s="85"/>
      <c r="L3753" s="85"/>
      <c r="P3753" s="85"/>
      <c r="Q3753" s="85"/>
      <c r="R3753" s="81"/>
    </row>
    <row r="3754" spans="7:18" x14ac:dyDescent="0.3">
      <c r="G3754" s="85"/>
      <c r="H3754" s="86"/>
      <c r="I3754" s="86"/>
      <c r="J3754" s="87"/>
      <c r="K3754" s="85"/>
      <c r="L3754" s="85"/>
      <c r="P3754" s="85"/>
      <c r="Q3754" s="85"/>
      <c r="R3754" s="81"/>
    </row>
    <row r="3755" spans="7:18" x14ac:dyDescent="0.3">
      <c r="G3755" s="85"/>
      <c r="H3755" s="86"/>
      <c r="I3755" s="86"/>
      <c r="J3755" s="87"/>
      <c r="K3755" s="85"/>
      <c r="L3755" s="85"/>
      <c r="P3755" s="85"/>
      <c r="Q3755" s="85"/>
      <c r="R3755" s="81"/>
    </row>
    <row r="3756" spans="7:18" x14ac:dyDescent="0.3">
      <c r="G3756" s="85"/>
      <c r="H3756" s="86"/>
      <c r="I3756" s="86"/>
      <c r="J3756" s="87"/>
      <c r="K3756" s="85"/>
      <c r="L3756" s="85"/>
      <c r="P3756" s="85"/>
      <c r="Q3756" s="85"/>
      <c r="R3756" s="81"/>
    </row>
    <row r="3757" spans="7:18" x14ac:dyDescent="0.3">
      <c r="G3757" s="85"/>
      <c r="H3757" s="86"/>
      <c r="I3757" s="86"/>
      <c r="J3757" s="87"/>
      <c r="K3757" s="85"/>
      <c r="L3757" s="85"/>
      <c r="P3757" s="85"/>
      <c r="Q3757" s="85"/>
      <c r="R3757" s="81"/>
    </row>
    <row r="3758" spans="7:18" x14ac:dyDescent="0.3">
      <c r="G3758" s="85"/>
      <c r="H3758" s="86"/>
      <c r="I3758" s="86"/>
      <c r="J3758" s="87"/>
      <c r="K3758" s="85"/>
      <c r="L3758" s="85"/>
      <c r="P3758" s="85"/>
      <c r="Q3758" s="85"/>
      <c r="R3758" s="81"/>
    </row>
    <row r="3759" spans="7:18" x14ac:dyDescent="0.3">
      <c r="G3759" s="85"/>
      <c r="H3759" s="86"/>
      <c r="I3759" s="86"/>
      <c r="J3759" s="87"/>
      <c r="K3759" s="85"/>
      <c r="L3759" s="85"/>
      <c r="P3759" s="85"/>
      <c r="Q3759" s="85"/>
      <c r="R3759" s="81"/>
    </row>
    <row r="3760" spans="7:18" x14ac:dyDescent="0.3">
      <c r="G3760" s="85"/>
      <c r="H3760" s="86"/>
      <c r="I3760" s="86"/>
      <c r="J3760" s="87"/>
      <c r="K3760" s="85"/>
      <c r="L3760" s="85"/>
      <c r="P3760" s="85"/>
      <c r="Q3760" s="85"/>
      <c r="R3760" s="81"/>
    </row>
    <row r="3761" spans="7:18" x14ac:dyDescent="0.3">
      <c r="G3761" s="85"/>
      <c r="H3761" s="86"/>
      <c r="I3761" s="86"/>
      <c r="J3761" s="87"/>
      <c r="K3761" s="85"/>
      <c r="L3761" s="85"/>
      <c r="P3761" s="85"/>
      <c r="Q3761" s="85"/>
      <c r="R3761" s="81"/>
    </row>
    <row r="3762" spans="7:18" x14ac:dyDescent="0.3">
      <c r="G3762" s="85"/>
      <c r="H3762" s="86"/>
      <c r="I3762" s="86"/>
      <c r="J3762" s="87"/>
      <c r="K3762" s="85"/>
      <c r="L3762" s="85"/>
      <c r="P3762" s="85"/>
      <c r="Q3762" s="85"/>
      <c r="R3762" s="81"/>
    </row>
    <row r="3763" spans="7:18" x14ac:dyDescent="0.3">
      <c r="G3763" s="85"/>
      <c r="H3763" s="86"/>
      <c r="I3763" s="86"/>
      <c r="J3763" s="87"/>
      <c r="K3763" s="85"/>
      <c r="L3763" s="85"/>
      <c r="P3763" s="85"/>
      <c r="Q3763" s="85"/>
      <c r="R3763" s="81"/>
    </row>
    <row r="3764" spans="7:18" x14ac:dyDescent="0.3">
      <c r="G3764" s="85"/>
      <c r="H3764" s="86"/>
      <c r="I3764" s="86"/>
      <c r="J3764" s="87"/>
      <c r="K3764" s="85"/>
      <c r="L3764" s="85"/>
      <c r="P3764" s="85"/>
      <c r="Q3764" s="85"/>
      <c r="R3764" s="81"/>
    </row>
    <row r="3765" spans="7:18" x14ac:dyDescent="0.3">
      <c r="G3765" s="85"/>
      <c r="H3765" s="86"/>
      <c r="I3765" s="86"/>
      <c r="J3765" s="87"/>
      <c r="K3765" s="85"/>
      <c r="L3765" s="85"/>
      <c r="P3765" s="85"/>
      <c r="Q3765" s="85"/>
      <c r="R3765" s="81"/>
    </row>
    <row r="3766" spans="7:18" x14ac:dyDescent="0.3">
      <c r="G3766" s="85"/>
      <c r="H3766" s="86"/>
      <c r="I3766" s="86"/>
      <c r="J3766" s="87"/>
      <c r="K3766" s="85"/>
      <c r="L3766" s="85"/>
      <c r="P3766" s="85"/>
      <c r="Q3766" s="85"/>
      <c r="R3766" s="81"/>
    </row>
    <row r="3767" spans="7:18" x14ac:dyDescent="0.3">
      <c r="G3767" s="85"/>
      <c r="H3767" s="86"/>
      <c r="I3767" s="86"/>
      <c r="J3767" s="87"/>
      <c r="K3767" s="85"/>
      <c r="L3767" s="85"/>
      <c r="P3767" s="85"/>
      <c r="Q3767" s="85"/>
      <c r="R3767" s="81"/>
    </row>
    <row r="3768" spans="7:18" x14ac:dyDescent="0.3">
      <c r="G3768" s="85"/>
      <c r="H3768" s="86"/>
      <c r="I3768" s="86"/>
      <c r="J3768" s="87"/>
      <c r="K3768" s="85"/>
      <c r="L3768" s="85"/>
      <c r="P3768" s="85"/>
      <c r="Q3768" s="85"/>
      <c r="R3768" s="81"/>
    </row>
    <row r="3769" spans="7:18" x14ac:dyDescent="0.3">
      <c r="G3769" s="85"/>
      <c r="H3769" s="86"/>
      <c r="I3769" s="86"/>
      <c r="J3769" s="87"/>
      <c r="K3769" s="85"/>
      <c r="L3769" s="85"/>
      <c r="P3769" s="85"/>
      <c r="Q3769" s="85"/>
      <c r="R3769" s="81"/>
    </row>
    <row r="3770" spans="7:18" x14ac:dyDescent="0.3">
      <c r="G3770" s="85"/>
      <c r="H3770" s="86"/>
      <c r="I3770" s="86"/>
      <c r="J3770" s="87"/>
      <c r="K3770" s="85"/>
      <c r="L3770" s="85"/>
      <c r="P3770" s="85"/>
      <c r="Q3770" s="85"/>
      <c r="R3770" s="81"/>
    </row>
    <row r="3771" spans="7:18" x14ac:dyDescent="0.3">
      <c r="G3771" s="85"/>
      <c r="H3771" s="86"/>
      <c r="I3771" s="86"/>
      <c r="J3771" s="87"/>
      <c r="K3771" s="85"/>
      <c r="L3771" s="85"/>
      <c r="P3771" s="85"/>
      <c r="Q3771" s="85"/>
      <c r="R3771" s="81"/>
    </row>
    <row r="3772" spans="7:18" x14ac:dyDescent="0.3">
      <c r="G3772" s="85"/>
      <c r="H3772" s="86"/>
      <c r="I3772" s="86"/>
      <c r="J3772" s="87"/>
      <c r="K3772" s="85"/>
      <c r="L3772" s="85"/>
      <c r="P3772" s="85"/>
      <c r="Q3772" s="85"/>
      <c r="R3772" s="81"/>
    </row>
    <row r="3773" spans="7:18" x14ac:dyDescent="0.3">
      <c r="G3773" s="85"/>
      <c r="H3773" s="86"/>
      <c r="I3773" s="86"/>
      <c r="J3773" s="87"/>
      <c r="K3773" s="85"/>
      <c r="L3773" s="85"/>
      <c r="P3773" s="85"/>
      <c r="Q3773" s="85"/>
      <c r="R3773" s="81"/>
    </row>
    <row r="3774" spans="7:18" x14ac:dyDescent="0.3">
      <c r="G3774" s="85"/>
      <c r="H3774" s="86"/>
      <c r="I3774" s="86"/>
      <c r="J3774" s="87"/>
      <c r="K3774" s="85"/>
      <c r="L3774" s="85"/>
      <c r="P3774" s="85"/>
      <c r="Q3774" s="85"/>
      <c r="R3774" s="81"/>
    </row>
    <row r="3775" spans="7:18" x14ac:dyDescent="0.3">
      <c r="G3775" s="85"/>
      <c r="H3775" s="86"/>
      <c r="I3775" s="86"/>
      <c r="J3775" s="87"/>
      <c r="K3775" s="85"/>
      <c r="L3775" s="85"/>
      <c r="P3775" s="85"/>
      <c r="Q3775" s="85"/>
      <c r="R3775" s="81"/>
    </row>
    <row r="3776" spans="7:18" x14ac:dyDescent="0.3">
      <c r="G3776" s="85"/>
      <c r="H3776" s="86"/>
      <c r="I3776" s="86"/>
      <c r="J3776" s="87"/>
      <c r="K3776" s="85"/>
      <c r="L3776" s="85"/>
      <c r="P3776" s="85"/>
      <c r="Q3776" s="85"/>
      <c r="R3776" s="81"/>
    </row>
    <row r="3777" spans="7:18" x14ac:dyDescent="0.3">
      <c r="G3777" s="85"/>
      <c r="H3777" s="86"/>
      <c r="I3777" s="86"/>
      <c r="J3777" s="87"/>
      <c r="K3777" s="85"/>
      <c r="L3777" s="85"/>
      <c r="P3777" s="85"/>
      <c r="Q3777" s="85"/>
      <c r="R3777" s="81"/>
    </row>
    <row r="3778" spans="7:18" x14ac:dyDescent="0.3">
      <c r="G3778" s="85"/>
      <c r="H3778" s="86"/>
      <c r="I3778" s="86"/>
      <c r="J3778" s="87"/>
      <c r="K3778" s="85"/>
      <c r="L3778" s="85"/>
      <c r="P3778" s="85"/>
      <c r="Q3778" s="85"/>
      <c r="R3778" s="81"/>
    </row>
    <row r="3779" spans="7:18" x14ac:dyDescent="0.3">
      <c r="G3779" s="85"/>
      <c r="H3779" s="86"/>
      <c r="I3779" s="86"/>
      <c r="J3779" s="87"/>
      <c r="K3779" s="85"/>
      <c r="L3779" s="85"/>
      <c r="P3779" s="85"/>
      <c r="Q3779" s="85"/>
      <c r="R3779" s="81"/>
    </row>
    <row r="3780" spans="7:18" x14ac:dyDescent="0.3">
      <c r="G3780" s="85"/>
      <c r="H3780" s="86"/>
      <c r="I3780" s="86"/>
      <c r="J3780" s="87"/>
      <c r="K3780" s="85"/>
      <c r="L3780" s="85"/>
      <c r="P3780" s="85"/>
      <c r="Q3780" s="85"/>
      <c r="R3780" s="81"/>
    </row>
    <row r="3781" spans="7:18" x14ac:dyDescent="0.3">
      <c r="G3781" s="85"/>
      <c r="H3781" s="86"/>
      <c r="I3781" s="86"/>
      <c r="J3781" s="87"/>
      <c r="K3781" s="85"/>
      <c r="L3781" s="85"/>
      <c r="P3781" s="85"/>
      <c r="Q3781" s="85"/>
      <c r="R3781" s="81"/>
    </row>
    <row r="3782" spans="7:18" x14ac:dyDescent="0.3">
      <c r="G3782" s="85"/>
      <c r="H3782" s="86"/>
      <c r="I3782" s="86"/>
      <c r="J3782" s="87"/>
      <c r="K3782" s="85"/>
      <c r="L3782" s="85"/>
      <c r="P3782" s="85"/>
      <c r="Q3782" s="85"/>
      <c r="R3782" s="81"/>
    </row>
    <row r="3783" spans="7:18" x14ac:dyDescent="0.3">
      <c r="G3783" s="85"/>
      <c r="H3783" s="86"/>
      <c r="I3783" s="86"/>
      <c r="J3783" s="87"/>
      <c r="K3783" s="85"/>
      <c r="L3783" s="85"/>
      <c r="P3783" s="85"/>
      <c r="Q3783" s="85"/>
      <c r="R3783" s="81"/>
    </row>
    <row r="3784" spans="7:18" x14ac:dyDescent="0.3">
      <c r="G3784" s="85"/>
      <c r="H3784" s="86"/>
      <c r="I3784" s="86"/>
      <c r="J3784" s="87"/>
      <c r="K3784" s="85"/>
      <c r="L3784" s="85"/>
      <c r="P3784" s="85"/>
      <c r="Q3784" s="85"/>
      <c r="R3784" s="81"/>
    </row>
    <row r="3785" spans="7:18" x14ac:dyDescent="0.3">
      <c r="G3785" s="85"/>
      <c r="H3785" s="86"/>
      <c r="I3785" s="86"/>
      <c r="J3785" s="87"/>
      <c r="K3785" s="85"/>
      <c r="L3785" s="85"/>
      <c r="P3785" s="85"/>
      <c r="Q3785" s="85"/>
      <c r="R3785" s="81"/>
    </row>
    <row r="3786" spans="7:18" x14ac:dyDescent="0.3">
      <c r="G3786" s="85"/>
      <c r="H3786" s="86"/>
      <c r="I3786" s="86"/>
      <c r="J3786" s="87"/>
      <c r="K3786" s="85"/>
      <c r="L3786" s="85"/>
      <c r="P3786" s="85"/>
      <c r="Q3786" s="85"/>
      <c r="R3786" s="81"/>
    </row>
    <row r="3787" spans="7:18" x14ac:dyDescent="0.3">
      <c r="G3787" s="85"/>
      <c r="H3787" s="86"/>
      <c r="I3787" s="86"/>
      <c r="J3787" s="87"/>
      <c r="K3787" s="85"/>
      <c r="L3787" s="85"/>
      <c r="P3787" s="85"/>
      <c r="Q3787" s="85"/>
      <c r="R3787" s="81"/>
    </row>
    <row r="3788" spans="7:18" x14ac:dyDescent="0.3">
      <c r="G3788" s="85"/>
      <c r="H3788" s="86"/>
      <c r="I3788" s="86"/>
      <c r="J3788" s="87"/>
      <c r="K3788" s="85"/>
      <c r="L3788" s="85"/>
      <c r="P3788" s="85"/>
      <c r="Q3788" s="85"/>
      <c r="R3788" s="81"/>
    </row>
    <row r="3789" spans="7:18" x14ac:dyDescent="0.3">
      <c r="G3789" s="85"/>
      <c r="H3789" s="86"/>
      <c r="I3789" s="86"/>
      <c r="J3789" s="87"/>
      <c r="K3789" s="85"/>
      <c r="L3789" s="85"/>
      <c r="P3789" s="85"/>
      <c r="Q3789" s="85"/>
      <c r="R3789" s="81"/>
    </row>
    <row r="3790" spans="7:18" x14ac:dyDescent="0.3">
      <c r="G3790" s="85"/>
      <c r="H3790" s="86"/>
      <c r="I3790" s="86"/>
      <c r="J3790" s="87"/>
      <c r="K3790" s="85"/>
      <c r="L3790" s="85"/>
      <c r="P3790" s="85"/>
      <c r="Q3790" s="85"/>
      <c r="R3790" s="81"/>
    </row>
    <row r="3791" spans="7:18" x14ac:dyDescent="0.3">
      <c r="G3791" s="85"/>
      <c r="H3791" s="86"/>
      <c r="I3791" s="86"/>
      <c r="J3791" s="87"/>
      <c r="K3791" s="85"/>
      <c r="L3791" s="85"/>
      <c r="P3791" s="85"/>
      <c r="Q3791" s="85"/>
      <c r="R3791" s="81"/>
    </row>
    <row r="3792" spans="7:18" x14ac:dyDescent="0.3">
      <c r="G3792" s="85"/>
      <c r="H3792" s="86"/>
      <c r="I3792" s="86"/>
      <c r="J3792" s="87"/>
      <c r="K3792" s="85"/>
      <c r="L3792" s="85"/>
      <c r="P3792" s="85"/>
      <c r="Q3792" s="85"/>
      <c r="R3792" s="81"/>
    </row>
    <row r="3793" spans="7:18" x14ac:dyDescent="0.3">
      <c r="G3793" s="85"/>
      <c r="H3793" s="86"/>
      <c r="I3793" s="86"/>
      <c r="J3793" s="87"/>
      <c r="K3793" s="85"/>
      <c r="L3793" s="85"/>
      <c r="P3793" s="85"/>
      <c r="Q3793" s="85"/>
      <c r="R3793" s="81"/>
    </row>
    <row r="3794" spans="7:18" x14ac:dyDescent="0.3">
      <c r="G3794" s="85"/>
      <c r="H3794" s="86"/>
      <c r="I3794" s="86"/>
      <c r="J3794" s="87"/>
      <c r="K3794" s="85"/>
      <c r="L3794" s="85"/>
      <c r="P3794" s="85"/>
      <c r="Q3794" s="85"/>
      <c r="R3794" s="81"/>
    </row>
    <row r="3795" spans="7:18" x14ac:dyDescent="0.3">
      <c r="G3795" s="85"/>
      <c r="H3795" s="86"/>
      <c r="I3795" s="86"/>
      <c r="J3795" s="87"/>
      <c r="K3795" s="85"/>
      <c r="L3795" s="85"/>
      <c r="P3795" s="85"/>
      <c r="Q3795" s="85"/>
      <c r="R3795" s="81"/>
    </row>
    <row r="3796" spans="7:18" x14ac:dyDescent="0.3">
      <c r="G3796" s="85"/>
      <c r="H3796" s="86"/>
      <c r="I3796" s="86"/>
      <c r="J3796" s="87"/>
      <c r="K3796" s="85"/>
      <c r="L3796" s="85"/>
      <c r="P3796" s="85"/>
      <c r="Q3796" s="85"/>
      <c r="R3796" s="81"/>
    </row>
    <row r="3797" spans="7:18" x14ac:dyDescent="0.3">
      <c r="G3797" s="85"/>
      <c r="H3797" s="86"/>
      <c r="I3797" s="86"/>
      <c r="J3797" s="87"/>
      <c r="K3797" s="85"/>
      <c r="L3797" s="85"/>
      <c r="P3797" s="85"/>
      <c r="Q3797" s="85"/>
      <c r="R3797" s="81"/>
    </row>
    <row r="3798" spans="7:18" x14ac:dyDescent="0.3">
      <c r="G3798" s="85"/>
      <c r="H3798" s="86"/>
      <c r="I3798" s="86"/>
      <c r="J3798" s="87"/>
      <c r="K3798" s="85"/>
      <c r="L3798" s="85"/>
      <c r="P3798" s="85"/>
      <c r="Q3798" s="85"/>
      <c r="R3798" s="81"/>
    </row>
    <row r="3799" spans="7:18" x14ac:dyDescent="0.3">
      <c r="G3799" s="85"/>
      <c r="H3799" s="86"/>
      <c r="I3799" s="86"/>
      <c r="J3799" s="87"/>
      <c r="K3799" s="85"/>
      <c r="L3799" s="85"/>
      <c r="P3799" s="85"/>
      <c r="Q3799" s="85"/>
      <c r="R3799" s="81"/>
    </row>
    <row r="3800" spans="7:18" x14ac:dyDescent="0.3">
      <c r="G3800" s="85"/>
      <c r="H3800" s="86"/>
      <c r="I3800" s="86"/>
      <c r="J3800" s="87"/>
      <c r="K3800" s="85"/>
      <c r="L3800" s="85"/>
      <c r="P3800" s="85"/>
      <c r="Q3800" s="85"/>
      <c r="R3800" s="81"/>
    </row>
    <row r="3801" spans="7:18" x14ac:dyDescent="0.3">
      <c r="G3801" s="85"/>
      <c r="H3801" s="86"/>
      <c r="I3801" s="86"/>
      <c r="J3801" s="87"/>
      <c r="K3801" s="85"/>
      <c r="L3801" s="85"/>
      <c r="P3801" s="85"/>
      <c r="Q3801" s="85"/>
      <c r="R3801" s="81"/>
    </row>
    <row r="3802" spans="7:18" x14ac:dyDescent="0.3">
      <c r="G3802" s="85"/>
      <c r="H3802" s="86"/>
      <c r="I3802" s="86"/>
      <c r="J3802" s="87"/>
      <c r="K3802" s="85"/>
      <c r="L3802" s="85"/>
      <c r="P3802" s="85"/>
      <c r="Q3802" s="85"/>
      <c r="R3802" s="81"/>
    </row>
    <row r="3803" spans="7:18" x14ac:dyDescent="0.3">
      <c r="G3803" s="85"/>
      <c r="H3803" s="86"/>
      <c r="I3803" s="86"/>
      <c r="J3803" s="87"/>
      <c r="K3803" s="85"/>
      <c r="L3803" s="85"/>
      <c r="P3803" s="85"/>
      <c r="Q3803" s="85"/>
      <c r="R3803" s="81"/>
    </row>
    <row r="3804" spans="7:18" x14ac:dyDescent="0.3">
      <c r="G3804" s="85"/>
      <c r="H3804" s="86"/>
      <c r="I3804" s="86"/>
      <c r="J3804" s="87"/>
      <c r="K3804" s="85"/>
      <c r="L3804" s="85"/>
      <c r="P3804" s="85"/>
      <c r="Q3804" s="85"/>
      <c r="R3804" s="81"/>
    </row>
    <row r="3805" spans="7:18" x14ac:dyDescent="0.3">
      <c r="G3805" s="85"/>
      <c r="H3805" s="86"/>
      <c r="I3805" s="86"/>
      <c r="J3805" s="87"/>
      <c r="K3805" s="85"/>
      <c r="L3805" s="85"/>
      <c r="P3805" s="85"/>
      <c r="Q3805" s="85"/>
      <c r="R3805" s="81"/>
    </row>
    <row r="3806" spans="7:18" x14ac:dyDescent="0.3">
      <c r="G3806" s="85"/>
      <c r="H3806" s="86"/>
      <c r="I3806" s="86"/>
      <c r="J3806" s="87"/>
      <c r="K3806" s="85"/>
      <c r="L3806" s="85"/>
      <c r="P3806" s="85"/>
      <c r="Q3806" s="85"/>
      <c r="R3806" s="81"/>
    </row>
    <row r="3807" spans="7:18" x14ac:dyDescent="0.3">
      <c r="G3807" s="85"/>
      <c r="H3807" s="86"/>
      <c r="I3807" s="86"/>
      <c r="J3807" s="87"/>
      <c r="K3807" s="85"/>
      <c r="L3807" s="85"/>
      <c r="P3807" s="85"/>
      <c r="Q3807" s="85"/>
      <c r="R3807" s="81"/>
    </row>
    <row r="3808" spans="7:18" x14ac:dyDescent="0.3">
      <c r="G3808" s="85"/>
      <c r="H3808" s="86"/>
      <c r="I3808" s="86"/>
      <c r="J3808" s="87"/>
      <c r="K3808" s="85"/>
      <c r="L3808" s="85"/>
      <c r="P3808" s="85"/>
      <c r="Q3808" s="85"/>
      <c r="R3808" s="81"/>
    </row>
    <row r="3809" spans="7:18" x14ac:dyDescent="0.3">
      <c r="G3809" s="85"/>
      <c r="H3809" s="86"/>
      <c r="I3809" s="86"/>
      <c r="J3809" s="87"/>
      <c r="K3809" s="85"/>
      <c r="L3809" s="85"/>
      <c r="P3809" s="85"/>
      <c r="Q3809" s="85"/>
      <c r="R3809" s="81"/>
    </row>
    <row r="3810" spans="7:18" x14ac:dyDescent="0.3">
      <c r="G3810" s="85"/>
      <c r="H3810" s="86"/>
      <c r="I3810" s="86"/>
      <c r="J3810" s="87"/>
      <c r="K3810" s="85"/>
      <c r="L3810" s="85"/>
      <c r="P3810" s="85"/>
      <c r="Q3810" s="85"/>
      <c r="R3810" s="81"/>
    </row>
    <row r="3811" spans="7:18" x14ac:dyDescent="0.3">
      <c r="G3811" s="85"/>
      <c r="H3811" s="86"/>
      <c r="I3811" s="86"/>
      <c r="J3811" s="87"/>
      <c r="K3811" s="85"/>
      <c r="L3811" s="85"/>
      <c r="P3811" s="85"/>
      <c r="Q3811" s="85"/>
      <c r="R3811" s="81"/>
    </row>
    <row r="3812" spans="7:18" x14ac:dyDescent="0.3">
      <c r="G3812" s="85"/>
      <c r="H3812" s="86"/>
      <c r="I3812" s="86"/>
      <c r="J3812" s="87"/>
      <c r="K3812" s="85"/>
      <c r="L3812" s="85"/>
      <c r="P3812" s="85"/>
      <c r="Q3812" s="85"/>
      <c r="R3812" s="81"/>
    </row>
    <row r="3813" spans="7:18" x14ac:dyDescent="0.3">
      <c r="G3813" s="85"/>
      <c r="H3813" s="86"/>
      <c r="I3813" s="86"/>
      <c r="J3813" s="87"/>
      <c r="K3813" s="85"/>
      <c r="L3813" s="85"/>
      <c r="P3813" s="85"/>
      <c r="Q3813" s="85"/>
      <c r="R3813" s="81"/>
    </row>
    <row r="3814" spans="7:18" x14ac:dyDescent="0.3">
      <c r="G3814" s="85"/>
      <c r="H3814" s="86"/>
      <c r="I3814" s="86"/>
      <c r="J3814" s="87"/>
      <c r="K3814" s="85"/>
      <c r="L3814" s="85"/>
      <c r="P3814" s="85"/>
      <c r="Q3814" s="85"/>
      <c r="R3814" s="81"/>
    </row>
    <row r="3815" spans="7:18" x14ac:dyDescent="0.3">
      <c r="G3815" s="85"/>
      <c r="H3815" s="86"/>
      <c r="I3815" s="86"/>
      <c r="J3815" s="87"/>
      <c r="K3815" s="85"/>
      <c r="L3815" s="85"/>
      <c r="P3815" s="85"/>
      <c r="Q3815" s="85"/>
      <c r="R3815" s="81"/>
    </row>
    <row r="3816" spans="7:18" x14ac:dyDescent="0.3">
      <c r="G3816" s="85"/>
      <c r="H3816" s="86"/>
      <c r="I3816" s="86"/>
      <c r="J3816" s="87"/>
      <c r="K3816" s="85"/>
      <c r="L3816" s="85"/>
      <c r="P3816" s="85"/>
      <c r="Q3816" s="85"/>
      <c r="R3816" s="81"/>
    </row>
    <row r="3817" spans="7:18" x14ac:dyDescent="0.3">
      <c r="G3817" s="85"/>
      <c r="H3817" s="86"/>
      <c r="I3817" s="86"/>
      <c r="J3817" s="87"/>
      <c r="K3817" s="85"/>
      <c r="L3817" s="85"/>
      <c r="P3817" s="85"/>
      <c r="Q3817" s="85"/>
      <c r="R3817" s="81"/>
    </row>
    <row r="3818" spans="7:18" x14ac:dyDescent="0.3">
      <c r="G3818" s="85"/>
      <c r="H3818" s="86"/>
      <c r="I3818" s="86"/>
      <c r="J3818" s="87"/>
      <c r="K3818" s="85"/>
      <c r="L3818" s="85"/>
      <c r="P3818" s="85"/>
      <c r="Q3818" s="85"/>
      <c r="R3818" s="81"/>
    </row>
    <row r="3819" spans="7:18" x14ac:dyDescent="0.3">
      <c r="G3819" s="85"/>
      <c r="H3819" s="86"/>
      <c r="I3819" s="86"/>
      <c r="J3819" s="87"/>
      <c r="K3819" s="85"/>
      <c r="L3819" s="85"/>
      <c r="P3819" s="85"/>
      <c r="Q3819" s="85"/>
      <c r="R3819" s="81"/>
    </row>
    <row r="3820" spans="7:18" x14ac:dyDescent="0.3">
      <c r="G3820" s="85"/>
      <c r="H3820" s="86"/>
      <c r="I3820" s="86"/>
      <c r="J3820" s="87"/>
      <c r="K3820" s="85"/>
      <c r="L3820" s="85"/>
      <c r="P3820" s="85"/>
      <c r="Q3820" s="85"/>
      <c r="R3820" s="81"/>
    </row>
    <row r="3821" spans="7:18" x14ac:dyDescent="0.3">
      <c r="G3821" s="85"/>
      <c r="H3821" s="86"/>
      <c r="I3821" s="86"/>
      <c r="J3821" s="87"/>
      <c r="K3821" s="85"/>
      <c r="L3821" s="85"/>
      <c r="P3821" s="85"/>
      <c r="Q3821" s="85"/>
      <c r="R3821" s="81"/>
    </row>
    <row r="3822" spans="7:18" x14ac:dyDescent="0.3">
      <c r="G3822" s="85"/>
      <c r="H3822" s="86"/>
      <c r="I3822" s="86"/>
      <c r="J3822" s="87"/>
      <c r="K3822" s="85"/>
      <c r="L3822" s="85"/>
      <c r="P3822" s="85"/>
      <c r="Q3822" s="85"/>
      <c r="R3822" s="81"/>
    </row>
    <row r="3823" spans="7:18" x14ac:dyDescent="0.3">
      <c r="G3823" s="85"/>
      <c r="H3823" s="86"/>
      <c r="I3823" s="86"/>
      <c r="J3823" s="87"/>
      <c r="K3823" s="85"/>
      <c r="L3823" s="85"/>
      <c r="P3823" s="85"/>
      <c r="Q3823" s="85"/>
      <c r="R3823" s="81"/>
    </row>
    <row r="3824" spans="7:18" x14ac:dyDescent="0.3">
      <c r="G3824" s="85"/>
      <c r="H3824" s="86"/>
      <c r="I3824" s="86"/>
      <c r="J3824" s="87"/>
      <c r="K3824" s="85"/>
      <c r="L3824" s="85"/>
      <c r="P3824" s="85"/>
      <c r="Q3824" s="85"/>
      <c r="R3824" s="81"/>
    </row>
    <row r="3825" spans="7:18" x14ac:dyDescent="0.3">
      <c r="G3825" s="85"/>
      <c r="H3825" s="86"/>
      <c r="I3825" s="86"/>
      <c r="J3825" s="87"/>
      <c r="K3825" s="85"/>
      <c r="L3825" s="85"/>
      <c r="P3825" s="85"/>
      <c r="Q3825" s="85"/>
      <c r="R3825" s="81"/>
    </row>
    <row r="3826" spans="7:18" x14ac:dyDescent="0.3">
      <c r="G3826" s="85"/>
      <c r="H3826" s="86"/>
      <c r="I3826" s="86"/>
      <c r="J3826" s="87"/>
      <c r="K3826" s="85"/>
      <c r="L3826" s="85"/>
      <c r="P3826" s="85"/>
      <c r="Q3826" s="85"/>
      <c r="R3826" s="81"/>
    </row>
    <row r="3827" spans="7:18" x14ac:dyDescent="0.3">
      <c r="G3827" s="85"/>
      <c r="H3827" s="86"/>
      <c r="I3827" s="86"/>
      <c r="J3827" s="87"/>
      <c r="K3827" s="85"/>
      <c r="L3827" s="85"/>
      <c r="P3827" s="85"/>
      <c r="Q3827" s="85"/>
      <c r="R3827" s="81"/>
    </row>
    <row r="3828" spans="7:18" x14ac:dyDescent="0.3">
      <c r="G3828" s="85"/>
      <c r="H3828" s="86"/>
      <c r="I3828" s="86"/>
      <c r="J3828" s="87"/>
      <c r="K3828" s="85"/>
      <c r="L3828" s="85"/>
      <c r="P3828" s="85"/>
      <c r="Q3828" s="85"/>
      <c r="R3828" s="81"/>
    </row>
    <row r="3829" spans="7:18" x14ac:dyDescent="0.3">
      <c r="G3829" s="85"/>
      <c r="H3829" s="86"/>
      <c r="I3829" s="86"/>
      <c r="J3829" s="87"/>
      <c r="K3829" s="85"/>
      <c r="L3829" s="85"/>
      <c r="P3829" s="85"/>
      <c r="Q3829" s="85"/>
      <c r="R3829" s="81"/>
    </row>
    <row r="3830" spans="7:18" x14ac:dyDescent="0.3">
      <c r="G3830" s="85"/>
      <c r="H3830" s="86"/>
      <c r="I3830" s="86"/>
      <c r="J3830" s="87"/>
      <c r="K3830" s="85"/>
      <c r="L3830" s="85"/>
      <c r="P3830" s="85"/>
      <c r="Q3830" s="85"/>
      <c r="R3830" s="81"/>
    </row>
    <row r="3831" spans="7:18" x14ac:dyDescent="0.3">
      <c r="G3831" s="85"/>
      <c r="H3831" s="86"/>
      <c r="I3831" s="86"/>
      <c r="J3831" s="87"/>
      <c r="K3831" s="85"/>
      <c r="L3831" s="85"/>
      <c r="P3831" s="85"/>
      <c r="Q3831" s="85"/>
      <c r="R3831" s="81"/>
    </row>
    <row r="3832" spans="7:18" x14ac:dyDescent="0.3">
      <c r="G3832" s="85"/>
      <c r="H3832" s="86"/>
      <c r="I3832" s="86"/>
      <c r="J3832" s="87"/>
      <c r="K3832" s="85"/>
      <c r="L3832" s="85"/>
      <c r="P3832" s="85"/>
      <c r="Q3832" s="85"/>
      <c r="R3832" s="81"/>
    </row>
    <row r="3833" spans="7:18" x14ac:dyDescent="0.3">
      <c r="G3833" s="85"/>
      <c r="H3833" s="86"/>
      <c r="I3833" s="86"/>
      <c r="J3833" s="87"/>
      <c r="K3833" s="85"/>
      <c r="L3833" s="85"/>
      <c r="P3833" s="85"/>
      <c r="Q3833" s="85"/>
      <c r="R3833" s="81"/>
    </row>
    <row r="3834" spans="7:18" x14ac:dyDescent="0.3">
      <c r="G3834" s="85"/>
      <c r="H3834" s="86"/>
      <c r="I3834" s="86"/>
      <c r="J3834" s="87"/>
      <c r="K3834" s="85"/>
      <c r="L3834" s="85"/>
      <c r="P3834" s="85"/>
      <c r="Q3834" s="85"/>
      <c r="R3834" s="81"/>
    </row>
    <row r="3835" spans="7:18" x14ac:dyDescent="0.3">
      <c r="G3835" s="85"/>
      <c r="H3835" s="86"/>
      <c r="I3835" s="86"/>
      <c r="J3835" s="87"/>
      <c r="K3835" s="85"/>
      <c r="L3835" s="85"/>
      <c r="P3835" s="85"/>
      <c r="Q3835" s="85"/>
      <c r="R3835" s="81"/>
    </row>
    <row r="3836" spans="7:18" x14ac:dyDescent="0.3">
      <c r="G3836" s="85"/>
      <c r="H3836" s="86"/>
      <c r="I3836" s="86"/>
      <c r="J3836" s="87"/>
      <c r="K3836" s="85"/>
      <c r="L3836" s="85"/>
      <c r="P3836" s="85"/>
      <c r="Q3836" s="85"/>
      <c r="R3836" s="81"/>
    </row>
    <row r="3837" spans="7:18" x14ac:dyDescent="0.3">
      <c r="G3837" s="85"/>
      <c r="H3837" s="86"/>
      <c r="I3837" s="86"/>
      <c r="J3837" s="87"/>
      <c r="K3837" s="85"/>
      <c r="L3837" s="85"/>
      <c r="P3837" s="85"/>
      <c r="Q3837" s="85"/>
      <c r="R3837" s="81"/>
    </row>
    <row r="3838" spans="7:18" x14ac:dyDescent="0.3">
      <c r="G3838" s="85"/>
      <c r="H3838" s="86"/>
      <c r="I3838" s="86"/>
      <c r="J3838" s="87"/>
      <c r="K3838" s="85"/>
      <c r="L3838" s="85"/>
      <c r="P3838" s="85"/>
      <c r="Q3838" s="85"/>
      <c r="R3838" s="81"/>
    </row>
    <row r="3839" spans="7:18" x14ac:dyDescent="0.3">
      <c r="G3839" s="85"/>
      <c r="H3839" s="86"/>
      <c r="I3839" s="86"/>
      <c r="J3839" s="87"/>
      <c r="K3839" s="85"/>
      <c r="L3839" s="85"/>
      <c r="P3839" s="85"/>
      <c r="Q3839" s="85"/>
      <c r="R3839" s="81"/>
    </row>
    <row r="3840" spans="7:18" x14ac:dyDescent="0.3">
      <c r="G3840" s="85"/>
      <c r="H3840" s="86"/>
      <c r="I3840" s="86"/>
      <c r="J3840" s="87"/>
      <c r="K3840" s="85"/>
      <c r="L3840" s="85"/>
      <c r="P3840" s="85"/>
      <c r="Q3840" s="85"/>
      <c r="R3840" s="81"/>
    </row>
    <row r="3841" spans="7:18" x14ac:dyDescent="0.3">
      <c r="G3841" s="85"/>
      <c r="H3841" s="86"/>
      <c r="I3841" s="86"/>
      <c r="J3841" s="87"/>
      <c r="K3841" s="85"/>
      <c r="L3841" s="85"/>
      <c r="P3841" s="85"/>
      <c r="Q3841" s="85"/>
      <c r="R3841" s="81"/>
    </row>
    <row r="3842" spans="7:18" x14ac:dyDescent="0.3">
      <c r="G3842" s="85"/>
      <c r="H3842" s="86"/>
      <c r="I3842" s="86"/>
      <c r="J3842" s="87"/>
      <c r="K3842" s="85"/>
      <c r="L3842" s="85"/>
      <c r="P3842" s="85"/>
      <c r="Q3842" s="85"/>
      <c r="R3842" s="81"/>
    </row>
    <row r="3843" spans="7:18" x14ac:dyDescent="0.3">
      <c r="G3843" s="85"/>
      <c r="H3843" s="86"/>
      <c r="I3843" s="86"/>
      <c r="J3843" s="87"/>
      <c r="K3843" s="85"/>
      <c r="L3843" s="85"/>
      <c r="P3843" s="85"/>
      <c r="Q3843" s="85"/>
      <c r="R3843" s="81"/>
    </row>
    <row r="3844" spans="7:18" x14ac:dyDescent="0.3">
      <c r="G3844" s="85"/>
      <c r="H3844" s="86"/>
      <c r="I3844" s="86"/>
      <c r="J3844" s="87"/>
      <c r="K3844" s="85"/>
      <c r="L3844" s="85"/>
      <c r="P3844" s="85"/>
      <c r="Q3844" s="85"/>
      <c r="R3844" s="81"/>
    </row>
    <row r="3845" spans="7:18" x14ac:dyDescent="0.3">
      <c r="G3845" s="85"/>
      <c r="H3845" s="86"/>
      <c r="I3845" s="86"/>
      <c r="J3845" s="87"/>
      <c r="K3845" s="85"/>
      <c r="L3845" s="85"/>
      <c r="P3845" s="85"/>
      <c r="Q3845" s="85"/>
      <c r="R3845" s="81"/>
    </row>
    <row r="3846" spans="7:18" x14ac:dyDescent="0.3">
      <c r="G3846" s="85"/>
      <c r="H3846" s="86"/>
      <c r="I3846" s="86"/>
      <c r="J3846" s="87"/>
      <c r="K3846" s="85"/>
      <c r="L3846" s="85"/>
      <c r="P3846" s="85"/>
      <c r="Q3846" s="85"/>
      <c r="R3846" s="81"/>
    </row>
    <row r="3847" spans="7:18" x14ac:dyDescent="0.3">
      <c r="G3847" s="85"/>
      <c r="H3847" s="86"/>
      <c r="I3847" s="86"/>
      <c r="J3847" s="87"/>
      <c r="K3847" s="85"/>
      <c r="L3847" s="85"/>
      <c r="P3847" s="85"/>
      <c r="Q3847" s="85"/>
      <c r="R3847" s="81"/>
    </row>
    <row r="3848" spans="7:18" x14ac:dyDescent="0.3">
      <c r="G3848" s="85"/>
      <c r="H3848" s="86"/>
      <c r="I3848" s="86"/>
      <c r="J3848" s="87"/>
      <c r="K3848" s="85"/>
      <c r="L3848" s="85"/>
      <c r="P3848" s="85"/>
      <c r="Q3848" s="85"/>
      <c r="R3848" s="81"/>
    </row>
    <row r="3849" spans="7:18" x14ac:dyDescent="0.3">
      <c r="G3849" s="85"/>
      <c r="H3849" s="86"/>
      <c r="I3849" s="86"/>
      <c r="J3849" s="87"/>
      <c r="K3849" s="85"/>
      <c r="L3849" s="85"/>
      <c r="P3849" s="85"/>
      <c r="Q3849" s="85"/>
      <c r="R3849" s="81"/>
    </row>
    <row r="3850" spans="7:18" x14ac:dyDescent="0.3">
      <c r="G3850" s="85"/>
      <c r="H3850" s="86"/>
      <c r="I3850" s="86"/>
      <c r="J3850" s="87"/>
      <c r="K3850" s="85"/>
      <c r="L3850" s="85"/>
      <c r="P3850" s="85"/>
      <c r="Q3850" s="85"/>
      <c r="R3850" s="81"/>
    </row>
    <row r="3851" spans="7:18" x14ac:dyDescent="0.3">
      <c r="G3851" s="85"/>
      <c r="H3851" s="86"/>
      <c r="I3851" s="86"/>
      <c r="J3851" s="87"/>
      <c r="K3851" s="85"/>
      <c r="L3851" s="85"/>
      <c r="P3851" s="85"/>
      <c r="Q3851" s="85"/>
      <c r="R3851" s="81"/>
    </row>
    <row r="3852" spans="7:18" x14ac:dyDescent="0.3">
      <c r="G3852" s="85"/>
      <c r="H3852" s="86"/>
      <c r="I3852" s="86"/>
      <c r="J3852" s="87"/>
      <c r="K3852" s="85"/>
      <c r="L3852" s="85"/>
      <c r="P3852" s="85"/>
      <c r="Q3852" s="85"/>
      <c r="R3852" s="81"/>
    </row>
    <row r="3853" spans="7:18" x14ac:dyDescent="0.3">
      <c r="G3853" s="85"/>
      <c r="H3853" s="86"/>
      <c r="I3853" s="86"/>
      <c r="J3853" s="87"/>
      <c r="K3853" s="85"/>
      <c r="L3853" s="85"/>
      <c r="P3853" s="85"/>
      <c r="Q3853" s="85"/>
      <c r="R3853" s="81"/>
    </row>
    <row r="3854" spans="7:18" x14ac:dyDescent="0.3">
      <c r="G3854" s="85"/>
      <c r="H3854" s="86"/>
      <c r="I3854" s="86"/>
      <c r="J3854" s="87"/>
      <c r="K3854" s="85"/>
      <c r="L3854" s="85"/>
      <c r="P3854" s="85"/>
      <c r="Q3854" s="85"/>
      <c r="R3854" s="81"/>
    </row>
    <row r="3855" spans="7:18" x14ac:dyDescent="0.3">
      <c r="G3855" s="85"/>
      <c r="H3855" s="86"/>
      <c r="I3855" s="86"/>
      <c r="J3855" s="87"/>
      <c r="K3855" s="85"/>
      <c r="L3855" s="85"/>
      <c r="P3855" s="85"/>
      <c r="Q3855" s="85"/>
      <c r="R3855" s="81"/>
    </row>
    <row r="3856" spans="7:18" x14ac:dyDescent="0.3">
      <c r="G3856" s="85"/>
      <c r="H3856" s="86"/>
      <c r="I3856" s="86"/>
      <c r="J3856" s="87"/>
      <c r="K3856" s="85"/>
      <c r="L3856" s="85"/>
      <c r="P3856" s="85"/>
      <c r="Q3856" s="85"/>
      <c r="R3856" s="81"/>
    </row>
    <row r="3857" spans="7:18" x14ac:dyDescent="0.3">
      <c r="G3857" s="85"/>
      <c r="H3857" s="86"/>
      <c r="I3857" s="86"/>
      <c r="J3857" s="87"/>
      <c r="K3857" s="85"/>
      <c r="L3857" s="85"/>
      <c r="P3857" s="85"/>
      <c r="Q3857" s="85"/>
      <c r="R3857" s="81"/>
    </row>
    <row r="3858" spans="7:18" x14ac:dyDescent="0.3">
      <c r="G3858" s="85"/>
      <c r="H3858" s="86"/>
      <c r="I3858" s="86"/>
      <c r="J3858" s="87"/>
      <c r="K3858" s="85"/>
      <c r="L3858" s="85"/>
      <c r="P3858" s="85"/>
      <c r="Q3858" s="85"/>
      <c r="R3858" s="81"/>
    </row>
    <row r="3859" spans="7:18" x14ac:dyDescent="0.3">
      <c r="G3859" s="85"/>
      <c r="H3859" s="86"/>
      <c r="I3859" s="86"/>
      <c r="J3859" s="87"/>
      <c r="K3859" s="85"/>
      <c r="L3859" s="85"/>
      <c r="P3859" s="85"/>
      <c r="Q3859" s="85"/>
      <c r="R3859" s="81"/>
    </row>
    <row r="3860" spans="7:18" x14ac:dyDescent="0.3">
      <c r="G3860" s="85"/>
      <c r="H3860" s="86"/>
      <c r="I3860" s="86"/>
      <c r="J3860" s="87"/>
      <c r="K3860" s="85"/>
      <c r="L3860" s="85"/>
      <c r="P3860" s="85"/>
      <c r="Q3860" s="85"/>
      <c r="R3860" s="81"/>
    </row>
    <row r="3861" spans="7:18" x14ac:dyDescent="0.3">
      <c r="G3861" s="85"/>
      <c r="H3861" s="86"/>
      <c r="I3861" s="86"/>
      <c r="J3861" s="87"/>
      <c r="K3861" s="85"/>
      <c r="L3861" s="85"/>
      <c r="P3861" s="85"/>
      <c r="Q3861" s="85"/>
      <c r="R3861" s="81"/>
    </row>
    <row r="3862" spans="7:18" x14ac:dyDescent="0.3">
      <c r="G3862" s="85"/>
      <c r="H3862" s="86"/>
      <c r="I3862" s="86"/>
      <c r="J3862" s="87"/>
      <c r="K3862" s="85"/>
      <c r="L3862" s="85"/>
      <c r="P3862" s="85"/>
      <c r="Q3862" s="85"/>
      <c r="R3862" s="81"/>
    </row>
    <row r="3863" spans="7:18" x14ac:dyDescent="0.3">
      <c r="G3863" s="85"/>
      <c r="H3863" s="86"/>
      <c r="I3863" s="86"/>
      <c r="J3863" s="87"/>
      <c r="K3863" s="85"/>
      <c r="L3863" s="85"/>
      <c r="P3863" s="85"/>
      <c r="Q3863" s="85"/>
      <c r="R3863" s="81"/>
    </row>
    <row r="3864" spans="7:18" x14ac:dyDescent="0.3">
      <c r="G3864" s="85"/>
      <c r="H3864" s="86"/>
      <c r="I3864" s="86"/>
      <c r="J3864" s="87"/>
      <c r="K3864" s="85"/>
      <c r="L3864" s="85"/>
      <c r="P3864" s="85"/>
      <c r="Q3864" s="85"/>
      <c r="R3864" s="81"/>
    </row>
    <row r="3865" spans="7:18" x14ac:dyDescent="0.3">
      <c r="G3865" s="85"/>
      <c r="H3865" s="86"/>
      <c r="I3865" s="86"/>
      <c r="J3865" s="87"/>
      <c r="K3865" s="85"/>
      <c r="L3865" s="85"/>
      <c r="P3865" s="85"/>
      <c r="Q3865" s="85"/>
      <c r="R3865" s="81"/>
    </row>
    <row r="3866" spans="7:18" x14ac:dyDescent="0.3">
      <c r="G3866" s="85"/>
      <c r="H3866" s="86"/>
      <c r="I3866" s="86"/>
      <c r="J3866" s="87"/>
      <c r="K3866" s="85"/>
      <c r="L3866" s="85"/>
      <c r="P3866" s="85"/>
      <c r="Q3866" s="85"/>
      <c r="R3866" s="81"/>
    </row>
    <row r="3867" spans="7:18" x14ac:dyDescent="0.3">
      <c r="G3867" s="85"/>
      <c r="H3867" s="86"/>
      <c r="I3867" s="86"/>
      <c r="J3867" s="87"/>
      <c r="K3867" s="85"/>
      <c r="L3867" s="85"/>
      <c r="P3867" s="85"/>
      <c r="Q3867" s="85"/>
      <c r="R3867" s="81"/>
    </row>
    <row r="3868" spans="7:18" x14ac:dyDescent="0.3">
      <c r="G3868" s="85"/>
      <c r="H3868" s="86"/>
      <c r="I3868" s="86"/>
      <c r="J3868" s="87"/>
      <c r="K3868" s="85"/>
      <c r="L3868" s="85"/>
      <c r="P3868" s="85"/>
      <c r="Q3868" s="85"/>
      <c r="R3868" s="81"/>
    </row>
    <row r="3869" spans="7:18" x14ac:dyDescent="0.3">
      <c r="G3869" s="85"/>
      <c r="H3869" s="86"/>
      <c r="I3869" s="86"/>
      <c r="J3869" s="87"/>
      <c r="K3869" s="85"/>
      <c r="L3869" s="85"/>
      <c r="P3869" s="85"/>
      <c r="Q3869" s="85"/>
      <c r="R3869" s="81"/>
    </row>
    <row r="3870" spans="7:18" x14ac:dyDescent="0.3">
      <c r="G3870" s="85"/>
      <c r="H3870" s="86"/>
      <c r="I3870" s="86"/>
      <c r="J3870" s="87"/>
      <c r="K3870" s="85"/>
      <c r="L3870" s="85"/>
      <c r="P3870" s="85"/>
      <c r="Q3870" s="85"/>
      <c r="R3870" s="81"/>
    </row>
    <row r="3871" spans="7:18" x14ac:dyDescent="0.3">
      <c r="G3871" s="85"/>
      <c r="H3871" s="86"/>
      <c r="I3871" s="86"/>
      <c r="J3871" s="87"/>
      <c r="K3871" s="85"/>
      <c r="L3871" s="85"/>
      <c r="P3871" s="85"/>
      <c r="Q3871" s="85"/>
      <c r="R3871" s="81"/>
    </row>
    <row r="3872" spans="7:18" x14ac:dyDescent="0.3">
      <c r="G3872" s="85"/>
      <c r="H3872" s="86"/>
      <c r="I3872" s="86"/>
      <c r="J3872" s="87"/>
      <c r="K3872" s="85"/>
      <c r="L3872" s="85"/>
      <c r="P3872" s="85"/>
      <c r="Q3872" s="85"/>
      <c r="R3872" s="81"/>
    </row>
    <row r="3873" spans="7:18" x14ac:dyDescent="0.3">
      <c r="G3873" s="85"/>
      <c r="H3873" s="86"/>
      <c r="I3873" s="86"/>
      <c r="J3873" s="87"/>
      <c r="K3873" s="85"/>
      <c r="L3873" s="85"/>
      <c r="P3873" s="85"/>
      <c r="Q3873" s="85"/>
      <c r="R3873" s="81"/>
    </row>
    <row r="3874" spans="7:18" x14ac:dyDescent="0.3">
      <c r="G3874" s="85"/>
      <c r="H3874" s="86"/>
      <c r="I3874" s="86"/>
      <c r="J3874" s="87"/>
      <c r="K3874" s="85"/>
      <c r="L3874" s="85"/>
      <c r="P3874" s="85"/>
      <c r="Q3874" s="85"/>
      <c r="R3874" s="81"/>
    </row>
    <row r="3875" spans="7:18" x14ac:dyDescent="0.3">
      <c r="G3875" s="85"/>
      <c r="H3875" s="86"/>
      <c r="I3875" s="86"/>
      <c r="J3875" s="87"/>
      <c r="K3875" s="85"/>
      <c r="L3875" s="85"/>
      <c r="P3875" s="85"/>
      <c r="Q3875" s="85"/>
      <c r="R3875" s="81"/>
    </row>
    <row r="3876" spans="7:18" x14ac:dyDescent="0.3">
      <c r="G3876" s="85"/>
      <c r="H3876" s="86"/>
      <c r="I3876" s="86"/>
      <c r="J3876" s="87"/>
      <c r="K3876" s="85"/>
      <c r="L3876" s="85"/>
      <c r="P3876" s="85"/>
      <c r="Q3876" s="85"/>
      <c r="R3876" s="81"/>
    </row>
    <row r="3877" spans="7:18" x14ac:dyDescent="0.3">
      <c r="G3877" s="85"/>
      <c r="H3877" s="86"/>
      <c r="I3877" s="86"/>
      <c r="J3877" s="87"/>
      <c r="K3877" s="85"/>
      <c r="L3877" s="85"/>
      <c r="P3877" s="85"/>
      <c r="Q3877" s="85"/>
      <c r="R3877" s="81"/>
    </row>
    <row r="3878" spans="7:18" x14ac:dyDescent="0.3">
      <c r="G3878" s="85"/>
      <c r="H3878" s="86"/>
      <c r="I3878" s="86"/>
      <c r="J3878" s="87"/>
      <c r="K3878" s="85"/>
      <c r="L3878" s="85"/>
      <c r="P3878" s="85"/>
      <c r="Q3878" s="85"/>
      <c r="R3878" s="81"/>
    </row>
    <row r="3879" spans="7:18" x14ac:dyDescent="0.3">
      <c r="G3879" s="85"/>
      <c r="H3879" s="86"/>
      <c r="I3879" s="86"/>
      <c r="J3879" s="87"/>
      <c r="K3879" s="85"/>
      <c r="L3879" s="85"/>
      <c r="P3879" s="85"/>
      <c r="Q3879" s="85"/>
      <c r="R3879" s="81"/>
    </row>
    <row r="3880" spans="7:18" x14ac:dyDescent="0.3">
      <c r="G3880" s="85"/>
      <c r="H3880" s="86"/>
      <c r="I3880" s="86"/>
      <c r="J3880" s="87"/>
      <c r="K3880" s="85"/>
      <c r="L3880" s="85"/>
      <c r="P3880" s="85"/>
      <c r="Q3880" s="85"/>
      <c r="R3880" s="81"/>
    </row>
    <row r="3881" spans="7:18" x14ac:dyDescent="0.3">
      <c r="G3881" s="85"/>
      <c r="H3881" s="86"/>
      <c r="I3881" s="86"/>
      <c r="J3881" s="87"/>
      <c r="K3881" s="85"/>
      <c r="L3881" s="85"/>
      <c r="P3881" s="85"/>
      <c r="Q3881" s="85"/>
      <c r="R3881" s="81"/>
    </row>
    <row r="3882" spans="7:18" x14ac:dyDescent="0.3">
      <c r="G3882" s="85"/>
      <c r="H3882" s="86"/>
      <c r="I3882" s="86"/>
      <c r="J3882" s="87"/>
      <c r="K3882" s="85"/>
      <c r="L3882" s="85"/>
      <c r="P3882" s="85"/>
      <c r="Q3882" s="85"/>
      <c r="R3882" s="81"/>
    </row>
    <row r="3883" spans="7:18" x14ac:dyDescent="0.3">
      <c r="G3883" s="85"/>
      <c r="H3883" s="86"/>
      <c r="I3883" s="86"/>
      <c r="J3883" s="87"/>
      <c r="K3883" s="85"/>
      <c r="L3883" s="85"/>
      <c r="P3883" s="85"/>
      <c r="Q3883" s="85"/>
      <c r="R3883" s="81"/>
    </row>
    <row r="3884" spans="7:18" x14ac:dyDescent="0.3">
      <c r="G3884" s="85"/>
      <c r="H3884" s="86"/>
      <c r="I3884" s="86"/>
      <c r="J3884" s="87"/>
      <c r="K3884" s="85"/>
      <c r="L3884" s="85"/>
      <c r="P3884" s="85"/>
      <c r="Q3884" s="85"/>
      <c r="R3884" s="81"/>
    </row>
    <row r="3885" spans="7:18" x14ac:dyDescent="0.3">
      <c r="G3885" s="85"/>
      <c r="H3885" s="86"/>
      <c r="I3885" s="86"/>
      <c r="J3885" s="87"/>
      <c r="K3885" s="85"/>
      <c r="L3885" s="85"/>
      <c r="P3885" s="85"/>
      <c r="Q3885" s="85"/>
      <c r="R3885" s="81"/>
    </row>
    <row r="3886" spans="7:18" x14ac:dyDescent="0.3">
      <c r="G3886" s="85"/>
      <c r="H3886" s="86"/>
      <c r="I3886" s="86"/>
      <c r="J3886" s="87"/>
      <c r="K3886" s="85"/>
      <c r="L3886" s="85"/>
      <c r="P3886" s="85"/>
      <c r="Q3886" s="85"/>
      <c r="R3886" s="81"/>
    </row>
    <row r="3887" spans="7:18" x14ac:dyDescent="0.3">
      <c r="G3887" s="85"/>
      <c r="H3887" s="86"/>
      <c r="I3887" s="86"/>
      <c r="J3887" s="87"/>
      <c r="K3887" s="85"/>
      <c r="L3887" s="85"/>
      <c r="P3887" s="85"/>
      <c r="Q3887" s="85"/>
      <c r="R3887" s="81"/>
    </row>
    <row r="3888" spans="7:18" x14ac:dyDescent="0.3">
      <c r="G3888" s="85"/>
      <c r="H3888" s="86"/>
      <c r="I3888" s="86"/>
      <c r="J3888" s="87"/>
      <c r="K3888" s="85"/>
      <c r="L3888" s="85"/>
      <c r="P3888" s="85"/>
      <c r="Q3888" s="85"/>
      <c r="R3888" s="81"/>
    </row>
    <row r="3889" spans="7:18" x14ac:dyDescent="0.3">
      <c r="G3889" s="85"/>
      <c r="H3889" s="86"/>
      <c r="I3889" s="86"/>
      <c r="J3889" s="87"/>
      <c r="K3889" s="85"/>
      <c r="L3889" s="85"/>
      <c r="P3889" s="85"/>
      <c r="Q3889" s="85"/>
      <c r="R3889" s="81"/>
    </row>
    <row r="3890" spans="7:18" x14ac:dyDescent="0.3">
      <c r="G3890" s="85"/>
      <c r="H3890" s="86"/>
      <c r="I3890" s="86"/>
      <c r="J3890" s="87"/>
      <c r="K3890" s="85"/>
      <c r="L3890" s="85"/>
      <c r="P3890" s="85"/>
      <c r="Q3890" s="85"/>
      <c r="R3890" s="81"/>
    </row>
    <row r="3891" spans="7:18" x14ac:dyDescent="0.3">
      <c r="G3891" s="85"/>
      <c r="H3891" s="86"/>
      <c r="I3891" s="86"/>
      <c r="J3891" s="87"/>
      <c r="K3891" s="85"/>
      <c r="L3891" s="85"/>
      <c r="P3891" s="85"/>
      <c r="Q3891" s="85"/>
      <c r="R3891" s="81"/>
    </row>
    <row r="3892" spans="7:18" x14ac:dyDescent="0.3">
      <c r="G3892" s="85"/>
      <c r="H3892" s="86"/>
      <c r="I3892" s="86"/>
      <c r="J3892" s="87"/>
      <c r="K3892" s="85"/>
      <c r="L3892" s="85"/>
      <c r="P3892" s="85"/>
      <c r="Q3892" s="85"/>
      <c r="R3892" s="81"/>
    </row>
    <row r="3893" spans="7:18" x14ac:dyDescent="0.3">
      <c r="G3893" s="85"/>
      <c r="H3893" s="86"/>
      <c r="I3893" s="86"/>
      <c r="J3893" s="87"/>
      <c r="K3893" s="85"/>
      <c r="L3893" s="85"/>
      <c r="P3893" s="85"/>
      <c r="Q3893" s="85"/>
      <c r="R3893" s="81"/>
    </row>
    <row r="3894" spans="7:18" x14ac:dyDescent="0.3">
      <c r="G3894" s="85"/>
      <c r="H3894" s="86"/>
      <c r="I3894" s="86"/>
      <c r="J3894" s="87"/>
      <c r="K3894" s="85"/>
      <c r="L3894" s="85"/>
      <c r="P3894" s="85"/>
      <c r="Q3894" s="85"/>
      <c r="R3894" s="81"/>
    </row>
    <row r="3895" spans="7:18" x14ac:dyDescent="0.3">
      <c r="G3895" s="85"/>
      <c r="H3895" s="86"/>
      <c r="I3895" s="86"/>
      <c r="J3895" s="87"/>
      <c r="K3895" s="85"/>
      <c r="L3895" s="85"/>
      <c r="P3895" s="85"/>
      <c r="Q3895" s="85"/>
      <c r="R3895" s="81"/>
    </row>
    <row r="3896" spans="7:18" x14ac:dyDescent="0.3">
      <c r="G3896" s="85"/>
      <c r="H3896" s="86"/>
      <c r="I3896" s="86"/>
      <c r="J3896" s="87"/>
      <c r="K3896" s="85"/>
      <c r="L3896" s="85"/>
      <c r="P3896" s="85"/>
      <c r="Q3896" s="85"/>
      <c r="R3896" s="81"/>
    </row>
    <row r="3897" spans="7:18" x14ac:dyDescent="0.3">
      <c r="G3897" s="85"/>
      <c r="H3897" s="86"/>
      <c r="I3897" s="86"/>
      <c r="J3897" s="87"/>
      <c r="K3897" s="85"/>
      <c r="L3897" s="85"/>
      <c r="P3897" s="85"/>
      <c r="Q3897" s="85"/>
      <c r="R3897" s="81"/>
    </row>
    <row r="3898" spans="7:18" x14ac:dyDescent="0.3">
      <c r="G3898" s="85"/>
      <c r="H3898" s="86"/>
      <c r="I3898" s="86"/>
      <c r="J3898" s="87"/>
      <c r="K3898" s="85"/>
      <c r="L3898" s="85"/>
      <c r="P3898" s="85"/>
      <c r="Q3898" s="85"/>
      <c r="R3898" s="81"/>
    </row>
    <row r="3899" spans="7:18" x14ac:dyDescent="0.3">
      <c r="G3899" s="85"/>
      <c r="H3899" s="86"/>
      <c r="I3899" s="86"/>
      <c r="J3899" s="87"/>
      <c r="K3899" s="85"/>
      <c r="L3899" s="85"/>
      <c r="P3899" s="85"/>
      <c r="Q3899" s="85"/>
      <c r="R3899" s="81"/>
    </row>
    <row r="3900" spans="7:18" x14ac:dyDescent="0.3">
      <c r="G3900" s="85"/>
      <c r="H3900" s="86"/>
      <c r="I3900" s="86"/>
      <c r="J3900" s="87"/>
      <c r="K3900" s="85"/>
      <c r="L3900" s="85"/>
      <c r="P3900" s="85"/>
      <c r="Q3900" s="85"/>
      <c r="R3900" s="81"/>
    </row>
    <row r="3901" spans="7:18" x14ac:dyDescent="0.3">
      <c r="G3901" s="85"/>
      <c r="H3901" s="86"/>
      <c r="I3901" s="86"/>
      <c r="J3901" s="87"/>
      <c r="K3901" s="85"/>
      <c r="L3901" s="85"/>
      <c r="P3901" s="85"/>
      <c r="Q3901" s="85"/>
      <c r="R3901" s="81"/>
    </row>
    <row r="3902" spans="7:18" x14ac:dyDescent="0.3">
      <c r="G3902" s="85"/>
      <c r="H3902" s="86"/>
      <c r="I3902" s="86"/>
      <c r="J3902" s="87"/>
      <c r="K3902" s="85"/>
      <c r="L3902" s="85"/>
      <c r="P3902" s="85"/>
      <c r="Q3902" s="85"/>
      <c r="R3902" s="81"/>
    </row>
    <row r="3903" spans="7:18" x14ac:dyDescent="0.3">
      <c r="G3903" s="85"/>
      <c r="H3903" s="86"/>
      <c r="I3903" s="86"/>
      <c r="J3903" s="87"/>
      <c r="K3903" s="85"/>
      <c r="L3903" s="85"/>
      <c r="P3903" s="85"/>
      <c r="Q3903" s="85"/>
      <c r="R3903" s="81"/>
    </row>
    <row r="3904" spans="7:18" x14ac:dyDescent="0.3">
      <c r="G3904" s="85"/>
      <c r="H3904" s="86"/>
      <c r="I3904" s="86"/>
      <c r="J3904" s="87"/>
      <c r="K3904" s="85"/>
      <c r="L3904" s="85"/>
      <c r="P3904" s="85"/>
      <c r="Q3904" s="85"/>
      <c r="R3904" s="81"/>
    </row>
    <row r="3905" spans="7:18" x14ac:dyDescent="0.3">
      <c r="G3905" s="85"/>
      <c r="H3905" s="86"/>
      <c r="I3905" s="86"/>
      <c r="J3905" s="87"/>
      <c r="K3905" s="85"/>
      <c r="L3905" s="85"/>
      <c r="P3905" s="85"/>
      <c r="Q3905" s="85"/>
      <c r="R3905" s="81"/>
    </row>
    <row r="3906" spans="7:18" x14ac:dyDescent="0.3">
      <c r="G3906" s="85"/>
      <c r="H3906" s="86"/>
      <c r="I3906" s="86"/>
      <c r="J3906" s="87"/>
      <c r="K3906" s="85"/>
      <c r="L3906" s="85"/>
      <c r="P3906" s="85"/>
      <c r="Q3906" s="85"/>
      <c r="R3906" s="81"/>
    </row>
    <row r="3907" spans="7:18" x14ac:dyDescent="0.3">
      <c r="G3907" s="85"/>
      <c r="H3907" s="86"/>
      <c r="I3907" s="86"/>
      <c r="J3907" s="87"/>
      <c r="K3907" s="85"/>
      <c r="L3907" s="85"/>
      <c r="P3907" s="85"/>
      <c r="Q3907" s="85"/>
      <c r="R3907" s="81"/>
    </row>
    <row r="3908" spans="7:18" x14ac:dyDescent="0.3">
      <c r="G3908" s="85"/>
      <c r="H3908" s="86"/>
      <c r="I3908" s="86"/>
      <c r="J3908" s="87"/>
      <c r="K3908" s="85"/>
      <c r="L3908" s="85"/>
      <c r="P3908" s="85"/>
      <c r="Q3908" s="85"/>
      <c r="R3908" s="81"/>
    </row>
    <row r="3909" spans="7:18" x14ac:dyDescent="0.3">
      <c r="G3909" s="85"/>
      <c r="H3909" s="86"/>
      <c r="I3909" s="86"/>
      <c r="J3909" s="87"/>
      <c r="K3909" s="85"/>
      <c r="L3909" s="85"/>
      <c r="P3909" s="85"/>
      <c r="Q3909" s="85"/>
      <c r="R3909" s="81"/>
    </row>
    <row r="3910" spans="7:18" x14ac:dyDescent="0.3">
      <c r="G3910" s="85"/>
      <c r="H3910" s="86"/>
      <c r="I3910" s="86"/>
      <c r="J3910" s="87"/>
      <c r="K3910" s="85"/>
      <c r="L3910" s="85"/>
      <c r="P3910" s="85"/>
      <c r="Q3910" s="85"/>
      <c r="R3910" s="81"/>
    </row>
    <row r="3911" spans="7:18" x14ac:dyDescent="0.3">
      <c r="G3911" s="85"/>
      <c r="H3911" s="86"/>
      <c r="I3911" s="86"/>
      <c r="J3911" s="87"/>
      <c r="K3911" s="85"/>
      <c r="L3911" s="85"/>
      <c r="P3911" s="85"/>
      <c r="Q3911" s="85"/>
      <c r="R3911" s="81"/>
    </row>
    <row r="3912" spans="7:18" x14ac:dyDescent="0.3">
      <c r="G3912" s="85"/>
      <c r="H3912" s="86"/>
      <c r="I3912" s="86"/>
      <c r="J3912" s="87"/>
      <c r="K3912" s="85"/>
      <c r="L3912" s="85"/>
      <c r="P3912" s="85"/>
      <c r="Q3912" s="85"/>
      <c r="R3912" s="81"/>
    </row>
    <row r="3913" spans="7:18" x14ac:dyDescent="0.3">
      <c r="G3913" s="85"/>
      <c r="H3913" s="86"/>
      <c r="I3913" s="86"/>
      <c r="J3913" s="87"/>
      <c r="K3913" s="85"/>
      <c r="L3913" s="85"/>
      <c r="P3913" s="85"/>
      <c r="Q3913" s="85"/>
      <c r="R3913" s="81"/>
    </row>
    <row r="3914" spans="7:18" x14ac:dyDescent="0.3">
      <c r="G3914" s="85"/>
      <c r="H3914" s="86"/>
      <c r="I3914" s="86"/>
      <c r="J3914" s="87"/>
      <c r="K3914" s="85"/>
      <c r="L3914" s="85"/>
      <c r="P3914" s="85"/>
      <c r="Q3914" s="85"/>
      <c r="R3914" s="81"/>
    </row>
    <row r="3915" spans="7:18" x14ac:dyDescent="0.3">
      <c r="G3915" s="85"/>
      <c r="H3915" s="86"/>
      <c r="I3915" s="86"/>
      <c r="J3915" s="87"/>
      <c r="K3915" s="85"/>
      <c r="L3915" s="85"/>
      <c r="P3915" s="85"/>
      <c r="Q3915" s="85"/>
      <c r="R3915" s="81"/>
    </row>
    <row r="3916" spans="7:18" x14ac:dyDescent="0.3">
      <c r="G3916" s="85"/>
      <c r="H3916" s="86"/>
      <c r="I3916" s="86"/>
      <c r="J3916" s="87"/>
      <c r="K3916" s="85"/>
      <c r="L3916" s="85"/>
      <c r="P3916" s="85"/>
      <c r="Q3916" s="85"/>
      <c r="R3916" s="81"/>
    </row>
    <row r="3917" spans="7:18" x14ac:dyDescent="0.3">
      <c r="G3917" s="85"/>
      <c r="H3917" s="86"/>
      <c r="I3917" s="86"/>
      <c r="J3917" s="87"/>
      <c r="K3917" s="85"/>
      <c r="L3917" s="85"/>
      <c r="P3917" s="85"/>
      <c r="Q3917" s="85"/>
      <c r="R3917" s="81"/>
    </row>
    <row r="3918" spans="7:18" x14ac:dyDescent="0.3">
      <c r="G3918" s="85"/>
      <c r="H3918" s="86"/>
      <c r="I3918" s="86"/>
      <c r="J3918" s="87"/>
      <c r="K3918" s="85"/>
      <c r="L3918" s="85"/>
      <c r="P3918" s="85"/>
      <c r="Q3918" s="85"/>
      <c r="R3918" s="81"/>
    </row>
    <row r="3919" spans="7:18" x14ac:dyDescent="0.3">
      <c r="G3919" s="85"/>
      <c r="H3919" s="86"/>
      <c r="I3919" s="86"/>
      <c r="J3919" s="87"/>
      <c r="K3919" s="85"/>
      <c r="L3919" s="85"/>
      <c r="P3919" s="85"/>
      <c r="Q3919" s="85"/>
      <c r="R3919" s="81"/>
    </row>
    <row r="3920" spans="7:18" x14ac:dyDescent="0.3">
      <c r="G3920" s="85"/>
      <c r="H3920" s="86"/>
      <c r="I3920" s="86"/>
      <c r="J3920" s="87"/>
      <c r="K3920" s="85"/>
      <c r="L3920" s="85"/>
      <c r="P3920" s="85"/>
      <c r="Q3920" s="85"/>
      <c r="R3920" s="81"/>
    </row>
    <row r="3921" spans="7:18" x14ac:dyDescent="0.3">
      <c r="G3921" s="85"/>
      <c r="H3921" s="86"/>
      <c r="I3921" s="86"/>
      <c r="J3921" s="87"/>
      <c r="K3921" s="85"/>
      <c r="L3921" s="85"/>
      <c r="P3921" s="85"/>
      <c r="Q3921" s="85"/>
      <c r="R3921" s="81"/>
    </row>
    <row r="3922" spans="7:18" x14ac:dyDescent="0.3">
      <c r="G3922" s="85"/>
      <c r="H3922" s="86"/>
      <c r="I3922" s="86"/>
      <c r="J3922" s="87"/>
      <c r="K3922" s="85"/>
      <c r="L3922" s="85"/>
      <c r="P3922" s="85"/>
      <c r="Q3922" s="85"/>
      <c r="R3922" s="81"/>
    </row>
    <row r="3923" spans="7:18" x14ac:dyDescent="0.3">
      <c r="G3923" s="85"/>
      <c r="H3923" s="86"/>
      <c r="I3923" s="86"/>
      <c r="J3923" s="87"/>
      <c r="K3923" s="85"/>
      <c r="L3923" s="85"/>
      <c r="P3923" s="85"/>
      <c r="Q3923" s="85"/>
      <c r="R3923" s="81"/>
    </row>
    <row r="3924" spans="7:18" x14ac:dyDescent="0.3">
      <c r="G3924" s="85"/>
      <c r="H3924" s="86"/>
      <c r="I3924" s="86"/>
      <c r="J3924" s="87"/>
      <c r="K3924" s="85"/>
      <c r="L3924" s="85"/>
      <c r="P3924" s="85"/>
      <c r="Q3924" s="85"/>
      <c r="R3924" s="81"/>
    </row>
    <row r="3925" spans="7:18" x14ac:dyDescent="0.3">
      <c r="G3925" s="85"/>
      <c r="H3925" s="86"/>
      <c r="I3925" s="86"/>
      <c r="J3925" s="87"/>
      <c r="K3925" s="85"/>
      <c r="L3925" s="85"/>
      <c r="P3925" s="85"/>
      <c r="Q3925" s="85"/>
      <c r="R3925" s="81"/>
    </row>
    <row r="3926" spans="7:18" x14ac:dyDescent="0.3">
      <c r="G3926" s="85"/>
      <c r="H3926" s="86"/>
      <c r="I3926" s="86"/>
      <c r="J3926" s="87"/>
      <c r="K3926" s="85"/>
      <c r="L3926" s="85"/>
      <c r="P3926" s="85"/>
      <c r="Q3926" s="85"/>
      <c r="R3926" s="81"/>
    </row>
    <row r="3927" spans="7:18" x14ac:dyDescent="0.3">
      <c r="G3927" s="85"/>
      <c r="H3927" s="86"/>
      <c r="I3927" s="86"/>
      <c r="J3927" s="87"/>
      <c r="K3927" s="85"/>
      <c r="L3927" s="85"/>
      <c r="P3927" s="85"/>
      <c r="Q3927" s="85"/>
      <c r="R3927" s="81"/>
    </row>
    <row r="3928" spans="7:18" x14ac:dyDescent="0.3">
      <c r="G3928" s="85"/>
      <c r="H3928" s="86"/>
      <c r="I3928" s="86"/>
      <c r="J3928" s="87"/>
      <c r="K3928" s="85"/>
      <c r="L3928" s="85"/>
      <c r="P3928" s="85"/>
      <c r="Q3928" s="85"/>
      <c r="R3928" s="81"/>
    </row>
    <row r="3929" spans="7:18" x14ac:dyDescent="0.3">
      <c r="G3929" s="85"/>
      <c r="H3929" s="86"/>
      <c r="I3929" s="86"/>
      <c r="J3929" s="87"/>
      <c r="K3929" s="85"/>
      <c r="L3929" s="85"/>
      <c r="P3929" s="85"/>
      <c r="Q3929" s="85"/>
      <c r="R3929" s="81"/>
    </row>
    <row r="3930" spans="7:18" x14ac:dyDescent="0.3">
      <c r="G3930" s="85"/>
      <c r="H3930" s="86"/>
      <c r="I3930" s="86"/>
      <c r="J3930" s="87"/>
      <c r="K3930" s="85"/>
      <c r="L3930" s="85"/>
      <c r="P3930" s="85"/>
      <c r="Q3930" s="85"/>
      <c r="R3930" s="81"/>
    </row>
    <row r="3931" spans="7:18" x14ac:dyDescent="0.3">
      <c r="G3931" s="85"/>
      <c r="H3931" s="86"/>
      <c r="I3931" s="86"/>
      <c r="J3931" s="87"/>
      <c r="K3931" s="85"/>
      <c r="L3931" s="85"/>
      <c r="P3931" s="85"/>
      <c r="Q3931" s="85"/>
      <c r="R3931" s="81"/>
    </row>
    <row r="3932" spans="7:18" x14ac:dyDescent="0.3">
      <c r="G3932" s="85"/>
      <c r="H3932" s="86"/>
      <c r="I3932" s="86"/>
      <c r="J3932" s="87"/>
      <c r="K3932" s="85"/>
      <c r="L3932" s="85"/>
      <c r="P3932" s="85"/>
      <c r="Q3932" s="85"/>
      <c r="R3932" s="81"/>
    </row>
    <row r="3933" spans="7:18" x14ac:dyDescent="0.3">
      <c r="G3933" s="85"/>
      <c r="H3933" s="86"/>
      <c r="I3933" s="86"/>
      <c r="J3933" s="87"/>
      <c r="K3933" s="85"/>
      <c r="L3933" s="85"/>
      <c r="P3933" s="85"/>
      <c r="Q3933" s="85"/>
      <c r="R3933" s="81"/>
    </row>
    <row r="3934" spans="7:18" x14ac:dyDescent="0.3">
      <c r="G3934" s="85"/>
      <c r="H3934" s="86"/>
      <c r="I3934" s="86"/>
      <c r="J3934" s="87"/>
      <c r="K3934" s="85"/>
      <c r="L3934" s="85"/>
      <c r="P3934" s="85"/>
      <c r="Q3934" s="85"/>
      <c r="R3934" s="81"/>
    </row>
    <row r="3935" spans="7:18" x14ac:dyDescent="0.3">
      <c r="G3935" s="85"/>
      <c r="H3935" s="86"/>
      <c r="I3935" s="86"/>
      <c r="J3935" s="87"/>
      <c r="K3935" s="85"/>
      <c r="L3935" s="85"/>
      <c r="P3935" s="85"/>
      <c r="Q3935" s="85"/>
      <c r="R3935" s="81"/>
    </row>
    <row r="3936" spans="7:18" x14ac:dyDescent="0.3">
      <c r="G3936" s="85"/>
      <c r="H3936" s="86"/>
      <c r="I3936" s="86"/>
      <c r="J3936" s="87"/>
      <c r="K3936" s="85"/>
      <c r="L3936" s="85"/>
      <c r="P3936" s="85"/>
      <c r="Q3936" s="85"/>
      <c r="R3936" s="81"/>
    </row>
    <row r="3937" spans="7:18" x14ac:dyDescent="0.3">
      <c r="G3937" s="85"/>
      <c r="H3937" s="86"/>
      <c r="I3937" s="86"/>
      <c r="J3937" s="87"/>
      <c r="K3937" s="85"/>
      <c r="L3937" s="85"/>
      <c r="P3937" s="85"/>
      <c r="Q3937" s="85"/>
      <c r="R3937" s="81"/>
    </row>
    <row r="3938" spans="7:18" x14ac:dyDescent="0.3">
      <c r="G3938" s="85"/>
      <c r="H3938" s="86"/>
      <c r="I3938" s="86"/>
      <c r="J3938" s="87"/>
      <c r="K3938" s="85"/>
      <c r="L3938" s="85"/>
      <c r="P3938" s="85"/>
      <c r="Q3938" s="85"/>
      <c r="R3938" s="81"/>
    </row>
    <row r="3939" spans="7:18" x14ac:dyDescent="0.3">
      <c r="G3939" s="85"/>
      <c r="H3939" s="86"/>
      <c r="I3939" s="86"/>
      <c r="J3939" s="87"/>
      <c r="K3939" s="85"/>
      <c r="L3939" s="85"/>
      <c r="P3939" s="85"/>
      <c r="Q3939" s="85"/>
      <c r="R3939" s="81"/>
    </row>
    <row r="3940" spans="7:18" x14ac:dyDescent="0.3">
      <c r="G3940" s="85"/>
      <c r="H3940" s="86"/>
      <c r="I3940" s="86"/>
      <c r="J3940" s="87"/>
      <c r="K3940" s="85"/>
      <c r="L3940" s="85"/>
      <c r="P3940" s="85"/>
      <c r="Q3940" s="85"/>
      <c r="R3940" s="81"/>
    </row>
    <row r="3941" spans="7:18" x14ac:dyDescent="0.3">
      <c r="G3941" s="85"/>
      <c r="H3941" s="86"/>
      <c r="I3941" s="86"/>
      <c r="J3941" s="87"/>
      <c r="K3941" s="85"/>
      <c r="L3941" s="85"/>
      <c r="P3941" s="85"/>
      <c r="Q3941" s="85"/>
      <c r="R3941" s="81"/>
    </row>
    <row r="3942" spans="7:18" x14ac:dyDescent="0.3">
      <c r="G3942" s="85"/>
      <c r="H3942" s="86"/>
      <c r="I3942" s="86"/>
      <c r="J3942" s="87"/>
      <c r="K3942" s="85"/>
      <c r="L3942" s="85"/>
      <c r="P3942" s="85"/>
      <c r="Q3942" s="85"/>
      <c r="R3942" s="81"/>
    </row>
    <row r="3943" spans="7:18" x14ac:dyDescent="0.3">
      <c r="G3943" s="85"/>
      <c r="H3943" s="86"/>
      <c r="I3943" s="86"/>
      <c r="J3943" s="87"/>
      <c r="K3943" s="85"/>
      <c r="L3943" s="85"/>
      <c r="P3943" s="85"/>
      <c r="Q3943" s="85"/>
      <c r="R3943" s="81"/>
    </row>
    <row r="3944" spans="7:18" x14ac:dyDescent="0.3">
      <c r="G3944" s="85"/>
      <c r="H3944" s="86"/>
      <c r="I3944" s="86"/>
      <c r="J3944" s="87"/>
      <c r="K3944" s="85"/>
      <c r="L3944" s="85"/>
      <c r="P3944" s="85"/>
      <c r="Q3944" s="85"/>
      <c r="R3944" s="81"/>
    </row>
    <row r="3945" spans="7:18" x14ac:dyDescent="0.3">
      <c r="G3945" s="85"/>
      <c r="H3945" s="86"/>
      <c r="I3945" s="86"/>
      <c r="J3945" s="87"/>
      <c r="K3945" s="85"/>
      <c r="L3945" s="85"/>
      <c r="P3945" s="85"/>
      <c r="Q3945" s="85"/>
      <c r="R3945" s="81"/>
    </row>
    <row r="3946" spans="7:18" x14ac:dyDescent="0.3">
      <c r="G3946" s="85"/>
      <c r="H3946" s="86"/>
      <c r="I3946" s="86"/>
      <c r="J3946" s="87"/>
      <c r="K3946" s="85"/>
      <c r="L3946" s="85"/>
      <c r="P3946" s="85"/>
      <c r="Q3946" s="85"/>
      <c r="R3946" s="81"/>
    </row>
    <row r="3947" spans="7:18" x14ac:dyDescent="0.3">
      <c r="G3947" s="85"/>
      <c r="H3947" s="86"/>
      <c r="I3947" s="86"/>
      <c r="J3947" s="87"/>
      <c r="K3947" s="85"/>
      <c r="L3947" s="85"/>
      <c r="P3947" s="85"/>
      <c r="Q3947" s="85"/>
      <c r="R3947" s="81"/>
    </row>
    <row r="3948" spans="7:18" x14ac:dyDescent="0.3">
      <c r="G3948" s="85"/>
      <c r="H3948" s="86"/>
      <c r="I3948" s="86"/>
      <c r="J3948" s="87"/>
      <c r="K3948" s="85"/>
      <c r="L3948" s="85"/>
      <c r="P3948" s="85"/>
      <c r="Q3948" s="85"/>
      <c r="R3948" s="81"/>
    </row>
    <row r="3949" spans="7:18" x14ac:dyDescent="0.3">
      <c r="G3949" s="85"/>
      <c r="H3949" s="86"/>
      <c r="I3949" s="86"/>
      <c r="J3949" s="87"/>
      <c r="K3949" s="85"/>
      <c r="L3949" s="85"/>
      <c r="P3949" s="85"/>
      <c r="Q3949" s="85"/>
      <c r="R3949" s="81"/>
    </row>
    <row r="3950" spans="7:18" x14ac:dyDescent="0.3">
      <c r="G3950" s="85"/>
      <c r="H3950" s="86"/>
      <c r="I3950" s="86"/>
      <c r="J3950" s="87"/>
      <c r="K3950" s="85"/>
      <c r="L3950" s="85"/>
      <c r="P3950" s="85"/>
      <c r="Q3950" s="85"/>
      <c r="R3950" s="81"/>
    </row>
    <row r="3951" spans="7:18" x14ac:dyDescent="0.3">
      <c r="G3951" s="85"/>
      <c r="H3951" s="86"/>
      <c r="I3951" s="86"/>
      <c r="J3951" s="87"/>
      <c r="K3951" s="85"/>
      <c r="L3951" s="85"/>
      <c r="P3951" s="85"/>
      <c r="Q3951" s="85"/>
      <c r="R3951" s="81"/>
    </row>
    <row r="3952" spans="7:18" x14ac:dyDescent="0.3">
      <c r="G3952" s="85"/>
      <c r="H3952" s="86"/>
      <c r="I3952" s="86"/>
      <c r="J3952" s="87"/>
      <c r="K3952" s="85"/>
      <c r="L3952" s="85"/>
      <c r="P3952" s="85"/>
      <c r="Q3952" s="85"/>
      <c r="R3952" s="81"/>
    </row>
    <row r="3953" spans="7:18" x14ac:dyDescent="0.3">
      <c r="G3953" s="85"/>
      <c r="H3953" s="86"/>
      <c r="I3953" s="86"/>
      <c r="J3953" s="87"/>
      <c r="K3953" s="85"/>
      <c r="L3953" s="85"/>
      <c r="P3953" s="85"/>
      <c r="Q3953" s="85"/>
      <c r="R3953" s="81"/>
    </row>
    <row r="3954" spans="7:18" x14ac:dyDescent="0.3">
      <c r="G3954" s="85"/>
      <c r="H3954" s="86"/>
      <c r="I3954" s="86"/>
      <c r="J3954" s="87"/>
      <c r="K3954" s="85"/>
      <c r="L3954" s="85"/>
      <c r="P3954" s="85"/>
      <c r="Q3954" s="85"/>
      <c r="R3954" s="81"/>
    </row>
    <row r="3955" spans="7:18" x14ac:dyDescent="0.3">
      <c r="G3955" s="85"/>
      <c r="H3955" s="86"/>
      <c r="I3955" s="86"/>
      <c r="J3955" s="87"/>
      <c r="K3955" s="85"/>
      <c r="L3955" s="85"/>
      <c r="P3955" s="85"/>
      <c r="Q3955" s="85"/>
      <c r="R3955" s="81"/>
    </row>
    <row r="3956" spans="7:18" x14ac:dyDescent="0.3">
      <c r="G3956" s="85"/>
      <c r="H3956" s="86"/>
      <c r="I3956" s="86"/>
      <c r="J3956" s="87"/>
      <c r="K3956" s="85"/>
      <c r="L3956" s="85"/>
      <c r="P3956" s="85"/>
      <c r="Q3956" s="85"/>
      <c r="R3956" s="81"/>
    </row>
    <row r="3957" spans="7:18" x14ac:dyDescent="0.3">
      <c r="G3957" s="85"/>
      <c r="H3957" s="86"/>
      <c r="I3957" s="86"/>
      <c r="J3957" s="87"/>
      <c r="K3957" s="85"/>
      <c r="L3957" s="85"/>
      <c r="P3957" s="85"/>
      <c r="Q3957" s="85"/>
      <c r="R3957" s="81"/>
    </row>
    <row r="3958" spans="7:18" x14ac:dyDescent="0.3">
      <c r="G3958" s="85"/>
      <c r="H3958" s="86"/>
      <c r="I3958" s="86"/>
      <c r="J3958" s="87"/>
      <c r="K3958" s="85"/>
      <c r="L3958" s="85"/>
      <c r="P3958" s="85"/>
      <c r="Q3958" s="85"/>
      <c r="R3958" s="81"/>
    </row>
    <row r="3959" spans="7:18" x14ac:dyDescent="0.3">
      <c r="G3959" s="85"/>
      <c r="H3959" s="86"/>
      <c r="I3959" s="86"/>
      <c r="J3959" s="87"/>
      <c r="K3959" s="85"/>
      <c r="L3959" s="85"/>
      <c r="P3959" s="85"/>
      <c r="Q3959" s="85"/>
      <c r="R3959" s="81"/>
    </row>
    <row r="3960" spans="7:18" x14ac:dyDescent="0.3">
      <c r="G3960" s="85"/>
      <c r="H3960" s="86"/>
      <c r="I3960" s="86"/>
      <c r="J3960" s="87"/>
      <c r="K3960" s="85"/>
      <c r="L3960" s="85"/>
      <c r="P3960" s="85"/>
      <c r="Q3960" s="85"/>
      <c r="R3960" s="81"/>
    </row>
    <row r="3961" spans="7:18" x14ac:dyDescent="0.3">
      <c r="G3961" s="85"/>
      <c r="H3961" s="86"/>
      <c r="I3961" s="86"/>
      <c r="J3961" s="87"/>
      <c r="K3961" s="85"/>
      <c r="L3961" s="85"/>
      <c r="P3961" s="85"/>
      <c r="Q3961" s="85"/>
      <c r="R3961" s="81"/>
    </row>
    <row r="3962" spans="7:18" x14ac:dyDescent="0.3">
      <c r="G3962" s="85"/>
      <c r="H3962" s="86"/>
      <c r="I3962" s="86"/>
      <c r="J3962" s="87"/>
      <c r="K3962" s="85"/>
      <c r="L3962" s="85"/>
      <c r="P3962" s="85"/>
      <c r="Q3962" s="85"/>
      <c r="R3962" s="81"/>
    </row>
    <row r="3963" spans="7:18" x14ac:dyDescent="0.3">
      <c r="G3963" s="85"/>
      <c r="H3963" s="86"/>
      <c r="I3963" s="86"/>
      <c r="J3963" s="87"/>
      <c r="K3963" s="85"/>
      <c r="L3963" s="85"/>
      <c r="P3963" s="85"/>
      <c r="Q3963" s="85"/>
      <c r="R3963" s="81"/>
    </row>
    <row r="3964" spans="7:18" x14ac:dyDescent="0.3">
      <c r="G3964" s="85"/>
      <c r="H3964" s="86"/>
      <c r="I3964" s="86"/>
      <c r="J3964" s="87"/>
      <c r="K3964" s="85"/>
      <c r="L3964" s="85"/>
      <c r="P3964" s="85"/>
      <c r="Q3964" s="85"/>
      <c r="R3964" s="81"/>
    </row>
    <row r="3965" spans="7:18" x14ac:dyDescent="0.3">
      <c r="G3965" s="85"/>
      <c r="H3965" s="86"/>
      <c r="I3965" s="86"/>
      <c r="J3965" s="87"/>
      <c r="K3965" s="85"/>
      <c r="L3965" s="85"/>
      <c r="P3965" s="85"/>
      <c r="Q3965" s="85"/>
      <c r="R3965" s="81"/>
    </row>
    <row r="3966" spans="7:18" x14ac:dyDescent="0.3">
      <c r="G3966" s="85"/>
      <c r="H3966" s="86"/>
      <c r="I3966" s="86"/>
      <c r="J3966" s="87"/>
      <c r="K3966" s="85"/>
      <c r="L3966" s="85"/>
      <c r="P3966" s="85"/>
      <c r="Q3966" s="85"/>
      <c r="R3966" s="81"/>
    </row>
    <row r="3967" spans="7:18" x14ac:dyDescent="0.3">
      <c r="G3967" s="85"/>
      <c r="H3967" s="86"/>
      <c r="I3967" s="86"/>
      <c r="J3967" s="87"/>
      <c r="K3967" s="85"/>
      <c r="L3967" s="85"/>
      <c r="P3967" s="85"/>
      <c r="Q3967" s="85"/>
      <c r="R3967" s="81"/>
    </row>
    <row r="3968" spans="7:18" x14ac:dyDescent="0.3">
      <c r="G3968" s="85"/>
      <c r="H3968" s="86"/>
      <c r="I3968" s="86"/>
      <c r="J3968" s="87"/>
      <c r="K3968" s="85"/>
      <c r="L3968" s="85"/>
      <c r="P3968" s="85"/>
      <c r="Q3968" s="85"/>
      <c r="R3968" s="81"/>
    </row>
    <row r="3969" spans="7:18" x14ac:dyDescent="0.3">
      <c r="G3969" s="85"/>
      <c r="H3969" s="86"/>
      <c r="I3969" s="86"/>
      <c r="J3969" s="87"/>
      <c r="K3969" s="85"/>
      <c r="L3969" s="85"/>
      <c r="P3969" s="85"/>
      <c r="Q3969" s="85"/>
      <c r="R3969" s="81"/>
    </row>
    <row r="3970" spans="7:18" x14ac:dyDescent="0.3">
      <c r="G3970" s="85"/>
      <c r="H3970" s="86"/>
      <c r="I3970" s="86"/>
      <c r="J3970" s="87"/>
      <c r="K3970" s="85"/>
      <c r="L3970" s="85"/>
      <c r="P3970" s="85"/>
      <c r="Q3970" s="85"/>
      <c r="R3970" s="81"/>
    </row>
    <row r="3971" spans="7:18" x14ac:dyDescent="0.3">
      <c r="G3971" s="85"/>
      <c r="H3971" s="86"/>
      <c r="I3971" s="86"/>
      <c r="J3971" s="87"/>
      <c r="K3971" s="85"/>
      <c r="L3971" s="85"/>
      <c r="P3971" s="85"/>
      <c r="Q3971" s="85"/>
      <c r="R3971" s="81"/>
    </row>
    <row r="3972" spans="7:18" x14ac:dyDescent="0.3">
      <c r="G3972" s="85"/>
      <c r="H3972" s="86"/>
      <c r="I3972" s="86"/>
      <c r="J3972" s="87"/>
      <c r="K3972" s="85"/>
      <c r="L3972" s="85"/>
      <c r="P3972" s="85"/>
      <c r="Q3972" s="85"/>
      <c r="R3972" s="81"/>
    </row>
    <row r="3973" spans="7:18" x14ac:dyDescent="0.3">
      <c r="G3973" s="85"/>
      <c r="H3973" s="86"/>
      <c r="I3973" s="86"/>
      <c r="J3973" s="87"/>
      <c r="K3973" s="85"/>
      <c r="L3973" s="85"/>
      <c r="P3973" s="85"/>
      <c r="Q3973" s="85"/>
      <c r="R3973" s="81"/>
    </row>
    <row r="3974" spans="7:18" x14ac:dyDescent="0.3">
      <c r="G3974" s="85"/>
      <c r="H3974" s="86"/>
      <c r="I3974" s="86"/>
      <c r="J3974" s="87"/>
      <c r="K3974" s="85"/>
      <c r="L3974" s="85"/>
      <c r="P3974" s="85"/>
      <c r="Q3974" s="85"/>
      <c r="R3974" s="81"/>
    </row>
    <row r="3975" spans="7:18" x14ac:dyDescent="0.3">
      <c r="G3975" s="85"/>
      <c r="H3975" s="86"/>
      <c r="I3975" s="86"/>
      <c r="J3975" s="87"/>
      <c r="K3975" s="85"/>
      <c r="L3975" s="85"/>
      <c r="P3975" s="85"/>
      <c r="Q3975" s="85"/>
      <c r="R3975" s="81"/>
    </row>
    <row r="3976" spans="7:18" x14ac:dyDescent="0.3">
      <c r="G3976" s="85"/>
      <c r="H3976" s="86"/>
      <c r="I3976" s="86"/>
      <c r="J3976" s="87"/>
      <c r="K3976" s="85"/>
      <c r="L3976" s="85"/>
      <c r="P3976" s="85"/>
      <c r="Q3976" s="85"/>
      <c r="R3976" s="81"/>
    </row>
    <row r="3977" spans="7:18" x14ac:dyDescent="0.3">
      <c r="G3977" s="85"/>
      <c r="H3977" s="86"/>
      <c r="I3977" s="86"/>
      <c r="J3977" s="87"/>
      <c r="K3977" s="85"/>
      <c r="L3977" s="85"/>
      <c r="P3977" s="85"/>
      <c r="Q3977" s="85"/>
      <c r="R3977" s="81"/>
    </row>
    <row r="3978" spans="7:18" x14ac:dyDescent="0.3">
      <c r="G3978" s="85"/>
      <c r="H3978" s="86"/>
      <c r="I3978" s="86"/>
      <c r="J3978" s="87"/>
      <c r="K3978" s="85"/>
      <c r="L3978" s="85"/>
      <c r="P3978" s="85"/>
      <c r="Q3978" s="85"/>
      <c r="R3978" s="81"/>
    </row>
    <row r="3979" spans="7:18" x14ac:dyDescent="0.3">
      <c r="G3979" s="85"/>
      <c r="H3979" s="86"/>
      <c r="I3979" s="86"/>
      <c r="J3979" s="87"/>
      <c r="K3979" s="85"/>
      <c r="L3979" s="85"/>
      <c r="P3979" s="85"/>
      <c r="Q3979" s="85"/>
      <c r="R3979" s="81"/>
    </row>
    <row r="3980" spans="7:18" x14ac:dyDescent="0.3">
      <c r="G3980" s="85"/>
      <c r="H3980" s="86"/>
      <c r="I3980" s="86"/>
      <c r="J3980" s="87"/>
      <c r="K3980" s="85"/>
      <c r="L3980" s="85"/>
      <c r="P3980" s="85"/>
      <c r="Q3980" s="85"/>
      <c r="R3980" s="81"/>
    </row>
    <row r="3981" spans="7:18" x14ac:dyDescent="0.3">
      <c r="G3981" s="85"/>
      <c r="H3981" s="86"/>
      <c r="I3981" s="86"/>
      <c r="J3981" s="87"/>
      <c r="K3981" s="85"/>
      <c r="L3981" s="85"/>
      <c r="P3981" s="85"/>
      <c r="Q3981" s="85"/>
      <c r="R3981" s="81"/>
    </row>
    <row r="3982" spans="7:18" x14ac:dyDescent="0.3">
      <c r="G3982" s="85"/>
      <c r="H3982" s="86"/>
      <c r="I3982" s="86"/>
      <c r="J3982" s="87"/>
      <c r="K3982" s="85"/>
      <c r="L3982" s="85"/>
      <c r="P3982" s="85"/>
      <c r="Q3982" s="85"/>
      <c r="R3982" s="81"/>
    </row>
    <row r="3983" spans="7:18" x14ac:dyDescent="0.3">
      <c r="G3983" s="85"/>
      <c r="H3983" s="86"/>
      <c r="I3983" s="86"/>
      <c r="J3983" s="87"/>
      <c r="K3983" s="85"/>
      <c r="L3983" s="85"/>
      <c r="P3983" s="85"/>
      <c r="Q3983" s="85"/>
      <c r="R3983" s="81"/>
    </row>
    <row r="3984" spans="7:18" x14ac:dyDescent="0.3">
      <c r="G3984" s="85"/>
      <c r="H3984" s="86"/>
      <c r="I3984" s="86"/>
      <c r="J3984" s="87"/>
      <c r="K3984" s="85"/>
      <c r="L3984" s="85"/>
      <c r="P3984" s="85"/>
      <c r="Q3984" s="85"/>
      <c r="R3984" s="81"/>
    </row>
    <row r="3985" spans="7:18" x14ac:dyDescent="0.3">
      <c r="G3985" s="85"/>
      <c r="H3985" s="86"/>
      <c r="I3985" s="86"/>
      <c r="J3985" s="87"/>
      <c r="K3985" s="85"/>
      <c r="L3985" s="85"/>
      <c r="P3985" s="85"/>
      <c r="Q3985" s="85"/>
      <c r="R3985" s="81"/>
    </row>
    <row r="3986" spans="7:18" x14ac:dyDescent="0.3">
      <c r="G3986" s="85"/>
      <c r="H3986" s="86"/>
      <c r="I3986" s="86"/>
      <c r="J3986" s="87"/>
      <c r="K3986" s="85"/>
      <c r="L3986" s="85"/>
      <c r="P3986" s="85"/>
      <c r="Q3986" s="85"/>
      <c r="R3986" s="81"/>
    </row>
    <row r="3987" spans="7:18" x14ac:dyDescent="0.3">
      <c r="G3987" s="85"/>
      <c r="H3987" s="86"/>
      <c r="I3987" s="86"/>
      <c r="J3987" s="87"/>
      <c r="K3987" s="85"/>
      <c r="L3987" s="85"/>
      <c r="P3987" s="85"/>
      <c r="Q3987" s="85"/>
      <c r="R3987" s="81"/>
    </row>
    <row r="3988" spans="7:18" x14ac:dyDescent="0.3">
      <c r="G3988" s="85"/>
      <c r="H3988" s="86"/>
      <c r="I3988" s="86"/>
      <c r="J3988" s="87"/>
      <c r="K3988" s="85"/>
      <c r="L3988" s="85"/>
      <c r="P3988" s="85"/>
      <c r="Q3988" s="85"/>
      <c r="R3988" s="81"/>
    </row>
    <row r="3989" spans="7:18" x14ac:dyDescent="0.3">
      <c r="G3989" s="85"/>
      <c r="H3989" s="86"/>
      <c r="I3989" s="86"/>
      <c r="J3989" s="87"/>
      <c r="K3989" s="85"/>
      <c r="L3989" s="85"/>
      <c r="P3989" s="85"/>
      <c r="Q3989" s="85"/>
      <c r="R3989" s="81"/>
    </row>
    <row r="3990" spans="7:18" x14ac:dyDescent="0.3">
      <c r="G3990" s="85"/>
      <c r="H3990" s="86"/>
      <c r="I3990" s="86"/>
      <c r="J3990" s="87"/>
      <c r="K3990" s="85"/>
      <c r="L3990" s="85"/>
      <c r="P3990" s="85"/>
      <c r="Q3990" s="85"/>
      <c r="R3990" s="81"/>
    </row>
    <row r="3991" spans="7:18" x14ac:dyDescent="0.3">
      <c r="G3991" s="85"/>
      <c r="H3991" s="86"/>
      <c r="I3991" s="86"/>
      <c r="J3991" s="87"/>
      <c r="K3991" s="85"/>
      <c r="L3991" s="85"/>
      <c r="P3991" s="85"/>
      <c r="Q3991" s="85"/>
      <c r="R3991" s="81"/>
    </row>
    <row r="3992" spans="7:18" x14ac:dyDescent="0.3">
      <c r="G3992" s="85"/>
      <c r="H3992" s="86"/>
      <c r="I3992" s="86"/>
      <c r="J3992" s="87"/>
      <c r="K3992" s="85"/>
      <c r="L3992" s="85"/>
      <c r="P3992" s="85"/>
      <c r="Q3992" s="85"/>
      <c r="R3992" s="81"/>
    </row>
    <row r="3993" spans="7:18" x14ac:dyDescent="0.3">
      <c r="G3993" s="85"/>
      <c r="H3993" s="86"/>
      <c r="I3993" s="86"/>
      <c r="J3993" s="87"/>
      <c r="K3993" s="85"/>
      <c r="L3993" s="85"/>
      <c r="P3993" s="85"/>
      <c r="Q3993" s="85"/>
      <c r="R3993" s="81"/>
    </row>
    <row r="3994" spans="7:18" x14ac:dyDescent="0.3">
      <c r="G3994" s="85"/>
      <c r="H3994" s="86"/>
      <c r="I3994" s="86"/>
      <c r="J3994" s="87"/>
      <c r="K3994" s="85"/>
      <c r="L3994" s="85"/>
      <c r="P3994" s="85"/>
      <c r="Q3994" s="85"/>
      <c r="R3994" s="81"/>
    </row>
    <row r="3995" spans="7:18" x14ac:dyDescent="0.3">
      <c r="G3995" s="85"/>
      <c r="H3995" s="86"/>
      <c r="I3995" s="86"/>
      <c r="J3995" s="87"/>
      <c r="K3995" s="85"/>
      <c r="L3995" s="85"/>
      <c r="P3995" s="85"/>
      <c r="Q3995" s="85"/>
      <c r="R3995" s="81"/>
    </row>
    <row r="3996" spans="7:18" x14ac:dyDescent="0.3">
      <c r="G3996" s="85"/>
      <c r="H3996" s="86"/>
      <c r="I3996" s="86"/>
      <c r="J3996" s="87"/>
      <c r="K3996" s="85"/>
      <c r="L3996" s="85"/>
      <c r="P3996" s="85"/>
      <c r="Q3996" s="85"/>
      <c r="R3996" s="81"/>
    </row>
    <row r="3997" spans="7:18" x14ac:dyDescent="0.3">
      <c r="G3997" s="85"/>
      <c r="H3997" s="86"/>
      <c r="I3997" s="86"/>
      <c r="J3997" s="87"/>
      <c r="K3997" s="85"/>
      <c r="L3997" s="85"/>
      <c r="P3997" s="85"/>
      <c r="Q3997" s="85"/>
      <c r="R3997" s="81"/>
    </row>
    <row r="3998" spans="7:18" x14ac:dyDescent="0.3">
      <c r="G3998" s="85"/>
      <c r="H3998" s="86"/>
      <c r="I3998" s="86"/>
      <c r="J3998" s="87"/>
      <c r="K3998" s="85"/>
      <c r="L3998" s="85"/>
      <c r="P3998" s="85"/>
      <c r="Q3998" s="85"/>
      <c r="R3998" s="81"/>
    </row>
    <row r="3999" spans="7:18" x14ac:dyDescent="0.3">
      <c r="G3999" s="85"/>
      <c r="H3999" s="86"/>
      <c r="I3999" s="86"/>
      <c r="J3999" s="87"/>
      <c r="K3999" s="85"/>
      <c r="L3999" s="85"/>
      <c r="P3999" s="85"/>
      <c r="Q3999" s="85"/>
      <c r="R3999" s="81"/>
    </row>
    <row r="4000" spans="7:18" x14ac:dyDescent="0.3">
      <c r="G4000" s="85"/>
      <c r="H4000" s="86"/>
      <c r="I4000" s="86"/>
      <c r="J4000" s="87"/>
      <c r="K4000" s="85"/>
      <c r="L4000" s="85"/>
      <c r="P4000" s="85"/>
      <c r="Q4000" s="85"/>
      <c r="R4000" s="81"/>
    </row>
    <row r="4001" spans="7:18" x14ac:dyDescent="0.3">
      <c r="G4001" s="85"/>
      <c r="H4001" s="86"/>
      <c r="I4001" s="86"/>
      <c r="J4001" s="87"/>
      <c r="K4001" s="85"/>
      <c r="L4001" s="85"/>
      <c r="P4001" s="85"/>
      <c r="Q4001" s="85"/>
      <c r="R4001" s="81"/>
    </row>
    <row r="4002" spans="7:18" x14ac:dyDescent="0.3">
      <c r="G4002" s="85"/>
      <c r="H4002" s="86"/>
      <c r="I4002" s="86"/>
      <c r="J4002" s="87"/>
      <c r="K4002" s="85"/>
      <c r="L4002" s="85"/>
      <c r="P4002" s="85"/>
      <c r="Q4002" s="85"/>
      <c r="R4002" s="81"/>
    </row>
    <row r="4003" spans="7:18" x14ac:dyDescent="0.3">
      <c r="G4003" s="85"/>
      <c r="H4003" s="86"/>
      <c r="I4003" s="86"/>
      <c r="J4003" s="87"/>
      <c r="K4003" s="85"/>
      <c r="L4003" s="85"/>
      <c r="P4003" s="85"/>
      <c r="Q4003" s="85"/>
      <c r="R4003" s="81"/>
    </row>
    <row r="4004" spans="7:18" x14ac:dyDescent="0.3">
      <c r="G4004" s="85"/>
      <c r="H4004" s="86"/>
      <c r="I4004" s="86"/>
      <c r="J4004" s="87"/>
      <c r="K4004" s="85"/>
      <c r="L4004" s="85"/>
      <c r="P4004" s="85"/>
      <c r="Q4004" s="85"/>
      <c r="R4004" s="81"/>
    </row>
    <row r="4005" spans="7:18" x14ac:dyDescent="0.3">
      <c r="G4005" s="85"/>
      <c r="H4005" s="86"/>
      <c r="I4005" s="86"/>
      <c r="J4005" s="87"/>
      <c r="K4005" s="85"/>
      <c r="L4005" s="85"/>
      <c r="P4005" s="85"/>
      <c r="Q4005" s="85"/>
      <c r="R4005" s="81"/>
    </row>
    <row r="4006" spans="7:18" x14ac:dyDescent="0.3">
      <c r="G4006" s="85"/>
      <c r="H4006" s="86"/>
      <c r="I4006" s="86"/>
      <c r="J4006" s="87"/>
      <c r="K4006" s="85"/>
      <c r="L4006" s="85"/>
      <c r="P4006" s="85"/>
      <c r="Q4006" s="85"/>
      <c r="R4006" s="81"/>
    </row>
    <row r="4007" spans="7:18" x14ac:dyDescent="0.3">
      <c r="G4007" s="85"/>
      <c r="H4007" s="86"/>
      <c r="I4007" s="86"/>
      <c r="J4007" s="87"/>
      <c r="K4007" s="85"/>
      <c r="L4007" s="85"/>
      <c r="P4007" s="85"/>
      <c r="Q4007" s="85"/>
      <c r="R4007" s="81"/>
    </row>
    <row r="4008" spans="7:18" x14ac:dyDescent="0.3">
      <c r="G4008" s="85"/>
      <c r="H4008" s="86"/>
      <c r="I4008" s="86"/>
      <c r="J4008" s="87"/>
      <c r="K4008" s="85"/>
      <c r="L4008" s="85"/>
      <c r="P4008" s="85"/>
      <c r="Q4008" s="85"/>
      <c r="R4008" s="81"/>
    </row>
    <row r="4009" spans="7:18" x14ac:dyDescent="0.3">
      <c r="G4009" s="85"/>
      <c r="H4009" s="86"/>
      <c r="I4009" s="86"/>
      <c r="J4009" s="87"/>
      <c r="K4009" s="85"/>
      <c r="L4009" s="85"/>
      <c r="P4009" s="85"/>
      <c r="Q4009" s="85"/>
      <c r="R4009" s="81"/>
    </row>
    <row r="4010" spans="7:18" x14ac:dyDescent="0.3">
      <c r="G4010" s="85"/>
      <c r="H4010" s="86"/>
      <c r="I4010" s="86"/>
      <c r="J4010" s="87"/>
      <c r="K4010" s="85"/>
      <c r="L4010" s="85"/>
      <c r="P4010" s="85"/>
      <c r="Q4010" s="85"/>
      <c r="R4010" s="81"/>
    </row>
    <row r="4011" spans="7:18" x14ac:dyDescent="0.3">
      <c r="G4011" s="85"/>
      <c r="H4011" s="86"/>
      <c r="I4011" s="86"/>
      <c r="J4011" s="87"/>
      <c r="K4011" s="85"/>
      <c r="L4011" s="85"/>
      <c r="P4011" s="85"/>
      <c r="Q4011" s="85"/>
      <c r="R4011" s="81"/>
    </row>
    <row r="4012" spans="7:18" x14ac:dyDescent="0.3">
      <c r="G4012" s="85"/>
      <c r="H4012" s="86"/>
      <c r="I4012" s="86"/>
      <c r="J4012" s="87"/>
      <c r="K4012" s="85"/>
      <c r="L4012" s="85"/>
      <c r="P4012" s="85"/>
      <c r="Q4012" s="85"/>
      <c r="R4012" s="81"/>
    </row>
    <row r="4013" spans="7:18" x14ac:dyDescent="0.3">
      <c r="G4013" s="85"/>
      <c r="H4013" s="86"/>
      <c r="I4013" s="86"/>
      <c r="J4013" s="87"/>
      <c r="K4013" s="85"/>
      <c r="L4013" s="85"/>
      <c r="P4013" s="85"/>
      <c r="Q4013" s="85"/>
      <c r="R4013" s="81"/>
    </row>
    <row r="4014" spans="7:18" x14ac:dyDescent="0.3">
      <c r="G4014" s="85"/>
      <c r="H4014" s="86"/>
      <c r="I4014" s="86"/>
      <c r="J4014" s="87"/>
      <c r="K4014" s="85"/>
      <c r="L4014" s="85"/>
      <c r="P4014" s="85"/>
      <c r="Q4014" s="85"/>
      <c r="R4014" s="81"/>
    </row>
    <row r="4015" spans="7:18" x14ac:dyDescent="0.3">
      <c r="G4015" s="85"/>
      <c r="H4015" s="86"/>
      <c r="I4015" s="86"/>
      <c r="J4015" s="87"/>
      <c r="K4015" s="85"/>
      <c r="L4015" s="85"/>
      <c r="P4015" s="85"/>
      <c r="Q4015" s="85"/>
      <c r="R4015" s="81"/>
    </row>
    <row r="4016" spans="7:18" x14ac:dyDescent="0.3">
      <c r="G4016" s="85"/>
      <c r="H4016" s="86"/>
      <c r="I4016" s="86"/>
      <c r="J4016" s="87"/>
      <c r="K4016" s="85"/>
      <c r="L4016" s="85"/>
      <c r="P4016" s="85"/>
      <c r="Q4016" s="85"/>
      <c r="R4016" s="81"/>
    </row>
    <row r="4017" spans="7:18" x14ac:dyDescent="0.3">
      <c r="G4017" s="85"/>
      <c r="H4017" s="86"/>
      <c r="I4017" s="86"/>
      <c r="J4017" s="87"/>
      <c r="K4017" s="85"/>
      <c r="L4017" s="85"/>
      <c r="P4017" s="85"/>
      <c r="Q4017" s="85"/>
      <c r="R4017" s="81"/>
    </row>
    <row r="4018" spans="7:18" x14ac:dyDescent="0.3">
      <c r="G4018" s="85"/>
      <c r="H4018" s="86"/>
      <c r="I4018" s="86"/>
      <c r="J4018" s="87"/>
      <c r="K4018" s="85"/>
      <c r="L4018" s="85"/>
      <c r="P4018" s="85"/>
      <c r="Q4018" s="85"/>
      <c r="R4018" s="81"/>
    </row>
    <row r="4019" spans="7:18" x14ac:dyDescent="0.3">
      <c r="G4019" s="85"/>
      <c r="H4019" s="86"/>
      <c r="I4019" s="86"/>
      <c r="J4019" s="87"/>
      <c r="K4019" s="85"/>
      <c r="L4019" s="85"/>
      <c r="P4019" s="85"/>
      <c r="Q4019" s="85"/>
      <c r="R4019" s="81"/>
    </row>
    <row r="4020" spans="7:18" x14ac:dyDescent="0.3">
      <c r="G4020" s="85"/>
      <c r="H4020" s="86"/>
      <c r="I4020" s="86"/>
      <c r="J4020" s="87"/>
      <c r="K4020" s="85"/>
      <c r="L4020" s="85"/>
      <c r="P4020" s="85"/>
      <c r="Q4020" s="85"/>
      <c r="R4020" s="81"/>
    </row>
    <row r="4021" spans="7:18" x14ac:dyDescent="0.3">
      <c r="G4021" s="85"/>
      <c r="H4021" s="86"/>
      <c r="I4021" s="86"/>
      <c r="J4021" s="87"/>
      <c r="K4021" s="85"/>
      <c r="L4021" s="85"/>
      <c r="P4021" s="85"/>
      <c r="Q4021" s="85"/>
      <c r="R4021" s="81"/>
    </row>
    <row r="4022" spans="7:18" x14ac:dyDescent="0.3">
      <c r="G4022" s="85"/>
      <c r="H4022" s="86"/>
      <c r="I4022" s="86"/>
      <c r="J4022" s="87"/>
      <c r="K4022" s="85"/>
      <c r="L4022" s="85"/>
      <c r="P4022" s="85"/>
      <c r="Q4022" s="85"/>
      <c r="R4022" s="81"/>
    </row>
    <row r="4023" spans="7:18" x14ac:dyDescent="0.3">
      <c r="G4023" s="85"/>
      <c r="H4023" s="86"/>
      <c r="I4023" s="86"/>
      <c r="J4023" s="87"/>
      <c r="K4023" s="85"/>
      <c r="L4023" s="85"/>
      <c r="P4023" s="85"/>
      <c r="Q4023" s="85"/>
      <c r="R4023" s="81"/>
    </row>
    <row r="4024" spans="7:18" x14ac:dyDescent="0.3">
      <c r="G4024" s="85"/>
      <c r="H4024" s="86"/>
      <c r="I4024" s="86"/>
      <c r="J4024" s="87"/>
      <c r="K4024" s="85"/>
      <c r="L4024" s="85"/>
      <c r="P4024" s="85"/>
      <c r="Q4024" s="85"/>
      <c r="R4024" s="81"/>
    </row>
    <row r="4025" spans="7:18" x14ac:dyDescent="0.3">
      <c r="G4025" s="85"/>
      <c r="H4025" s="86"/>
      <c r="I4025" s="86"/>
      <c r="J4025" s="87"/>
      <c r="K4025" s="85"/>
      <c r="L4025" s="85"/>
      <c r="P4025" s="85"/>
      <c r="Q4025" s="85"/>
      <c r="R4025" s="81"/>
    </row>
    <row r="4026" spans="7:18" x14ac:dyDescent="0.3">
      <c r="G4026" s="85"/>
      <c r="H4026" s="86"/>
      <c r="I4026" s="86"/>
      <c r="J4026" s="87"/>
      <c r="K4026" s="85"/>
      <c r="L4026" s="85"/>
      <c r="P4026" s="85"/>
      <c r="Q4026" s="85"/>
      <c r="R4026" s="81"/>
    </row>
    <row r="4027" spans="7:18" x14ac:dyDescent="0.3">
      <c r="G4027" s="85"/>
      <c r="H4027" s="86"/>
      <c r="I4027" s="86"/>
      <c r="J4027" s="87"/>
      <c r="K4027" s="85"/>
      <c r="L4027" s="85"/>
      <c r="P4027" s="85"/>
      <c r="Q4027" s="85"/>
      <c r="R4027" s="81"/>
    </row>
    <row r="4028" spans="7:18" x14ac:dyDescent="0.3">
      <c r="G4028" s="85"/>
      <c r="H4028" s="86"/>
      <c r="I4028" s="86"/>
      <c r="J4028" s="87"/>
      <c r="K4028" s="85"/>
      <c r="L4028" s="85"/>
      <c r="P4028" s="85"/>
      <c r="Q4028" s="85"/>
      <c r="R4028" s="81"/>
    </row>
    <row r="4029" spans="7:18" x14ac:dyDescent="0.3">
      <c r="G4029" s="85"/>
      <c r="H4029" s="86"/>
      <c r="I4029" s="86"/>
      <c r="J4029" s="87"/>
      <c r="K4029" s="85"/>
      <c r="L4029" s="85"/>
      <c r="P4029" s="85"/>
      <c r="Q4029" s="85"/>
      <c r="R4029" s="81"/>
    </row>
    <row r="4030" spans="7:18" x14ac:dyDescent="0.3">
      <c r="G4030" s="85"/>
      <c r="H4030" s="86"/>
      <c r="I4030" s="86"/>
      <c r="J4030" s="87"/>
      <c r="K4030" s="85"/>
      <c r="L4030" s="85"/>
      <c r="P4030" s="85"/>
      <c r="Q4030" s="85"/>
      <c r="R4030" s="81"/>
    </row>
    <row r="4031" spans="7:18" x14ac:dyDescent="0.3">
      <c r="G4031" s="85"/>
      <c r="H4031" s="86"/>
      <c r="I4031" s="86"/>
      <c r="J4031" s="87"/>
      <c r="K4031" s="85"/>
      <c r="L4031" s="85"/>
      <c r="P4031" s="85"/>
      <c r="Q4031" s="85"/>
      <c r="R4031" s="81"/>
    </row>
    <row r="4032" spans="7:18" x14ac:dyDescent="0.3">
      <c r="G4032" s="85"/>
      <c r="H4032" s="86"/>
      <c r="I4032" s="86"/>
      <c r="J4032" s="87"/>
      <c r="K4032" s="85"/>
      <c r="L4032" s="85"/>
      <c r="P4032" s="85"/>
      <c r="Q4032" s="85"/>
      <c r="R4032" s="81"/>
    </row>
    <row r="4033" spans="7:18" x14ac:dyDescent="0.3">
      <c r="G4033" s="85"/>
      <c r="H4033" s="86"/>
      <c r="I4033" s="86"/>
      <c r="J4033" s="87"/>
      <c r="K4033" s="85"/>
      <c r="L4033" s="85"/>
      <c r="P4033" s="85"/>
      <c r="Q4033" s="85"/>
      <c r="R4033" s="81"/>
    </row>
    <row r="4034" spans="7:18" x14ac:dyDescent="0.3">
      <c r="G4034" s="85"/>
      <c r="H4034" s="86"/>
      <c r="I4034" s="86"/>
      <c r="J4034" s="87"/>
      <c r="K4034" s="85"/>
      <c r="L4034" s="85"/>
      <c r="P4034" s="85"/>
      <c r="Q4034" s="85"/>
      <c r="R4034" s="81"/>
    </row>
    <row r="4035" spans="7:18" x14ac:dyDescent="0.3">
      <c r="G4035" s="85"/>
      <c r="H4035" s="86"/>
      <c r="I4035" s="86"/>
      <c r="J4035" s="87"/>
      <c r="K4035" s="85"/>
      <c r="L4035" s="85"/>
      <c r="P4035" s="85"/>
      <c r="Q4035" s="85"/>
      <c r="R4035" s="81"/>
    </row>
    <row r="4036" spans="7:18" x14ac:dyDescent="0.3">
      <c r="G4036" s="85"/>
      <c r="H4036" s="86"/>
      <c r="I4036" s="86"/>
      <c r="J4036" s="87"/>
      <c r="K4036" s="85"/>
      <c r="L4036" s="85"/>
      <c r="P4036" s="85"/>
      <c r="Q4036" s="85"/>
      <c r="R4036" s="81"/>
    </row>
    <row r="4037" spans="7:18" x14ac:dyDescent="0.3">
      <c r="G4037" s="85"/>
      <c r="H4037" s="86"/>
      <c r="I4037" s="86"/>
      <c r="J4037" s="87"/>
      <c r="K4037" s="85"/>
      <c r="L4037" s="85"/>
      <c r="P4037" s="85"/>
      <c r="Q4037" s="85"/>
      <c r="R4037" s="81"/>
    </row>
    <row r="4038" spans="7:18" x14ac:dyDescent="0.3">
      <c r="G4038" s="85"/>
      <c r="H4038" s="86"/>
      <c r="I4038" s="86"/>
      <c r="J4038" s="87"/>
      <c r="K4038" s="85"/>
      <c r="L4038" s="85"/>
      <c r="P4038" s="85"/>
      <c r="Q4038" s="85"/>
      <c r="R4038" s="81"/>
    </row>
    <row r="4039" spans="7:18" x14ac:dyDescent="0.3">
      <c r="G4039" s="85"/>
      <c r="H4039" s="86"/>
      <c r="I4039" s="86"/>
      <c r="J4039" s="87"/>
      <c r="K4039" s="85"/>
      <c r="L4039" s="85"/>
      <c r="P4039" s="85"/>
      <c r="Q4039" s="85"/>
      <c r="R4039" s="81"/>
    </row>
    <row r="4040" spans="7:18" x14ac:dyDescent="0.3">
      <c r="G4040" s="85"/>
      <c r="H4040" s="86"/>
      <c r="I4040" s="86"/>
      <c r="J4040" s="87"/>
      <c r="K4040" s="85"/>
      <c r="L4040" s="85"/>
      <c r="P4040" s="85"/>
      <c r="Q4040" s="85"/>
      <c r="R4040" s="81"/>
    </row>
    <row r="4041" spans="7:18" x14ac:dyDescent="0.3">
      <c r="G4041" s="85"/>
      <c r="H4041" s="86"/>
      <c r="I4041" s="86"/>
      <c r="J4041" s="87"/>
      <c r="K4041" s="85"/>
      <c r="L4041" s="85"/>
      <c r="P4041" s="85"/>
      <c r="Q4041" s="85"/>
      <c r="R4041" s="81"/>
    </row>
    <row r="4042" spans="7:18" x14ac:dyDescent="0.3">
      <c r="G4042" s="85"/>
      <c r="H4042" s="86"/>
      <c r="I4042" s="86"/>
      <c r="J4042" s="87"/>
      <c r="K4042" s="85"/>
      <c r="L4042" s="85"/>
      <c r="P4042" s="85"/>
      <c r="Q4042" s="85"/>
      <c r="R4042" s="81"/>
    </row>
    <row r="4043" spans="7:18" x14ac:dyDescent="0.3">
      <c r="G4043" s="85"/>
      <c r="H4043" s="86"/>
      <c r="I4043" s="86"/>
      <c r="J4043" s="87"/>
      <c r="K4043" s="85"/>
      <c r="L4043" s="85"/>
      <c r="P4043" s="85"/>
      <c r="Q4043" s="85"/>
      <c r="R4043" s="81"/>
    </row>
    <row r="4044" spans="7:18" x14ac:dyDescent="0.3">
      <c r="G4044" s="85"/>
      <c r="H4044" s="86"/>
      <c r="I4044" s="86"/>
      <c r="J4044" s="87"/>
      <c r="K4044" s="85"/>
      <c r="L4044" s="85"/>
      <c r="P4044" s="85"/>
      <c r="Q4044" s="85"/>
      <c r="R4044" s="81"/>
    </row>
    <row r="4045" spans="7:18" x14ac:dyDescent="0.3">
      <c r="G4045" s="85"/>
      <c r="H4045" s="86"/>
      <c r="I4045" s="86"/>
      <c r="J4045" s="87"/>
      <c r="K4045" s="85"/>
      <c r="L4045" s="85"/>
      <c r="P4045" s="85"/>
      <c r="Q4045" s="85"/>
      <c r="R4045" s="81"/>
    </row>
    <row r="4046" spans="7:18" x14ac:dyDescent="0.3">
      <c r="G4046" s="85"/>
      <c r="H4046" s="86"/>
      <c r="I4046" s="86"/>
      <c r="J4046" s="87"/>
      <c r="K4046" s="85"/>
      <c r="L4046" s="85"/>
      <c r="P4046" s="85"/>
      <c r="Q4046" s="85"/>
      <c r="R4046" s="81"/>
    </row>
    <row r="4047" spans="7:18" x14ac:dyDescent="0.3">
      <c r="G4047" s="85"/>
      <c r="H4047" s="86"/>
      <c r="I4047" s="86"/>
      <c r="J4047" s="87"/>
      <c r="K4047" s="85"/>
      <c r="L4047" s="85"/>
      <c r="P4047" s="85"/>
      <c r="Q4047" s="85"/>
      <c r="R4047" s="81"/>
    </row>
    <row r="4048" spans="7:18" x14ac:dyDescent="0.3">
      <c r="G4048" s="85"/>
      <c r="H4048" s="86"/>
      <c r="I4048" s="86"/>
      <c r="J4048" s="87"/>
      <c r="K4048" s="85"/>
      <c r="L4048" s="85"/>
      <c r="P4048" s="85"/>
      <c r="Q4048" s="85"/>
      <c r="R4048" s="81"/>
    </row>
    <row r="4049" spans="7:18" x14ac:dyDescent="0.3">
      <c r="G4049" s="85"/>
      <c r="H4049" s="86"/>
      <c r="I4049" s="86"/>
      <c r="J4049" s="87"/>
      <c r="K4049" s="85"/>
      <c r="L4049" s="85"/>
      <c r="P4049" s="85"/>
      <c r="Q4049" s="85"/>
      <c r="R4049" s="81"/>
    </row>
    <row r="4050" spans="7:18" x14ac:dyDescent="0.3">
      <c r="G4050" s="85"/>
      <c r="H4050" s="86"/>
      <c r="I4050" s="86"/>
      <c r="J4050" s="87"/>
      <c r="K4050" s="85"/>
      <c r="L4050" s="85"/>
      <c r="P4050" s="85"/>
      <c r="Q4050" s="85"/>
      <c r="R4050" s="81"/>
    </row>
    <row r="4051" spans="7:18" x14ac:dyDescent="0.3">
      <c r="G4051" s="85"/>
      <c r="H4051" s="86"/>
      <c r="I4051" s="86"/>
      <c r="J4051" s="87"/>
      <c r="K4051" s="85"/>
      <c r="L4051" s="85"/>
      <c r="P4051" s="85"/>
      <c r="Q4051" s="85"/>
      <c r="R4051" s="81"/>
    </row>
    <row r="4052" spans="7:18" x14ac:dyDescent="0.3">
      <c r="G4052" s="85"/>
      <c r="H4052" s="86"/>
      <c r="I4052" s="86"/>
      <c r="J4052" s="87"/>
      <c r="K4052" s="85"/>
      <c r="L4052" s="85"/>
      <c r="P4052" s="85"/>
      <c r="Q4052" s="85"/>
      <c r="R4052" s="81"/>
    </row>
    <row r="4053" spans="7:18" x14ac:dyDescent="0.3">
      <c r="G4053" s="85"/>
      <c r="H4053" s="86"/>
      <c r="I4053" s="86"/>
      <c r="J4053" s="87"/>
      <c r="K4053" s="85"/>
      <c r="L4053" s="85"/>
      <c r="P4053" s="85"/>
      <c r="Q4053" s="85"/>
      <c r="R4053" s="81"/>
    </row>
    <row r="4054" spans="7:18" x14ac:dyDescent="0.3">
      <c r="G4054" s="85"/>
      <c r="H4054" s="86"/>
      <c r="I4054" s="86"/>
      <c r="J4054" s="87"/>
      <c r="K4054" s="85"/>
      <c r="L4054" s="85"/>
      <c r="P4054" s="85"/>
      <c r="Q4054" s="85"/>
      <c r="R4054" s="81"/>
    </row>
    <row r="4055" spans="7:18" x14ac:dyDescent="0.3">
      <c r="G4055" s="85"/>
      <c r="H4055" s="86"/>
      <c r="I4055" s="86"/>
      <c r="J4055" s="87"/>
      <c r="K4055" s="85"/>
      <c r="L4055" s="85"/>
      <c r="P4055" s="85"/>
      <c r="Q4055" s="85"/>
      <c r="R4055" s="81"/>
    </row>
    <row r="4056" spans="7:18" x14ac:dyDescent="0.3">
      <c r="G4056" s="85"/>
      <c r="H4056" s="86"/>
      <c r="I4056" s="86"/>
      <c r="J4056" s="87"/>
      <c r="K4056" s="85"/>
      <c r="L4056" s="85"/>
      <c r="P4056" s="85"/>
      <c r="Q4056" s="85"/>
      <c r="R4056" s="81"/>
    </row>
    <row r="4057" spans="7:18" x14ac:dyDescent="0.3">
      <c r="G4057" s="85"/>
      <c r="H4057" s="86"/>
      <c r="I4057" s="86"/>
      <c r="J4057" s="87"/>
      <c r="K4057" s="85"/>
      <c r="L4057" s="85"/>
      <c r="P4057" s="85"/>
      <c r="Q4057" s="85"/>
      <c r="R4057" s="81"/>
    </row>
    <row r="4058" spans="7:18" x14ac:dyDescent="0.3">
      <c r="G4058" s="85"/>
      <c r="H4058" s="86"/>
      <c r="I4058" s="86"/>
      <c r="J4058" s="87"/>
      <c r="K4058" s="85"/>
      <c r="L4058" s="85"/>
      <c r="P4058" s="85"/>
      <c r="Q4058" s="85"/>
      <c r="R4058" s="81"/>
    </row>
    <row r="4059" spans="7:18" x14ac:dyDescent="0.3">
      <c r="G4059" s="85"/>
      <c r="H4059" s="86"/>
      <c r="I4059" s="86"/>
      <c r="J4059" s="87"/>
      <c r="K4059" s="85"/>
      <c r="L4059" s="85"/>
      <c r="P4059" s="85"/>
      <c r="Q4059" s="85"/>
      <c r="R4059" s="81"/>
    </row>
    <row r="4060" spans="7:18" x14ac:dyDescent="0.3">
      <c r="G4060" s="85"/>
      <c r="H4060" s="86"/>
      <c r="I4060" s="86"/>
      <c r="J4060" s="87"/>
      <c r="K4060" s="85"/>
      <c r="L4060" s="85"/>
      <c r="P4060" s="85"/>
      <c r="Q4060" s="85"/>
      <c r="R4060" s="81"/>
    </row>
    <row r="4061" spans="7:18" x14ac:dyDescent="0.3">
      <c r="G4061" s="85"/>
      <c r="H4061" s="86"/>
      <c r="I4061" s="86"/>
      <c r="J4061" s="87"/>
      <c r="K4061" s="85"/>
      <c r="L4061" s="85"/>
      <c r="P4061" s="85"/>
      <c r="Q4061" s="85"/>
      <c r="R4061" s="81"/>
    </row>
    <row r="4062" spans="7:18" x14ac:dyDescent="0.3">
      <c r="G4062" s="85"/>
      <c r="H4062" s="86"/>
      <c r="I4062" s="86"/>
      <c r="J4062" s="87"/>
      <c r="K4062" s="85"/>
      <c r="L4062" s="85"/>
      <c r="P4062" s="85"/>
      <c r="Q4062" s="85"/>
      <c r="R4062" s="81"/>
    </row>
    <row r="4063" spans="7:18" x14ac:dyDescent="0.3">
      <c r="G4063" s="85"/>
      <c r="H4063" s="86"/>
      <c r="I4063" s="86"/>
      <c r="J4063" s="87"/>
      <c r="K4063" s="85"/>
      <c r="L4063" s="85"/>
      <c r="P4063" s="85"/>
      <c r="Q4063" s="85"/>
      <c r="R4063" s="81"/>
    </row>
    <row r="4064" spans="7:18" x14ac:dyDescent="0.3">
      <c r="G4064" s="85"/>
      <c r="H4064" s="86"/>
      <c r="I4064" s="86"/>
      <c r="J4064" s="87"/>
      <c r="K4064" s="85"/>
      <c r="L4064" s="85"/>
      <c r="P4064" s="85"/>
      <c r="Q4064" s="85"/>
      <c r="R4064" s="81"/>
    </row>
    <row r="4065" spans="7:18" x14ac:dyDescent="0.3">
      <c r="G4065" s="85"/>
      <c r="H4065" s="86"/>
      <c r="I4065" s="86"/>
      <c r="J4065" s="87"/>
      <c r="K4065" s="85"/>
      <c r="L4065" s="85"/>
      <c r="P4065" s="85"/>
      <c r="Q4065" s="85"/>
      <c r="R4065" s="81"/>
    </row>
    <row r="4066" spans="7:18" x14ac:dyDescent="0.3">
      <c r="G4066" s="85"/>
      <c r="H4066" s="86"/>
      <c r="I4066" s="86"/>
      <c r="J4066" s="87"/>
      <c r="K4066" s="85"/>
      <c r="L4066" s="85"/>
      <c r="P4066" s="85"/>
      <c r="Q4066" s="85"/>
      <c r="R4066" s="81"/>
    </row>
    <row r="4067" spans="7:18" x14ac:dyDescent="0.3">
      <c r="G4067" s="85"/>
      <c r="H4067" s="86"/>
      <c r="I4067" s="86"/>
      <c r="J4067" s="87"/>
      <c r="K4067" s="85"/>
      <c r="L4067" s="85"/>
      <c r="P4067" s="85"/>
      <c r="Q4067" s="85"/>
      <c r="R4067" s="81"/>
    </row>
    <row r="4068" spans="7:18" x14ac:dyDescent="0.3">
      <c r="G4068" s="85"/>
      <c r="H4068" s="86"/>
      <c r="I4068" s="86"/>
      <c r="J4068" s="87"/>
      <c r="K4068" s="85"/>
      <c r="L4068" s="85"/>
      <c r="P4068" s="85"/>
      <c r="Q4068" s="85"/>
      <c r="R4068" s="81"/>
    </row>
    <row r="4069" spans="7:18" x14ac:dyDescent="0.3">
      <c r="G4069" s="85"/>
      <c r="H4069" s="86"/>
      <c r="I4069" s="86"/>
      <c r="J4069" s="87"/>
      <c r="K4069" s="85"/>
      <c r="L4069" s="85"/>
      <c r="P4069" s="85"/>
      <c r="Q4069" s="85"/>
      <c r="R4069" s="81"/>
    </row>
    <row r="4070" spans="7:18" x14ac:dyDescent="0.3">
      <c r="G4070" s="85"/>
      <c r="H4070" s="86"/>
      <c r="I4070" s="86"/>
      <c r="J4070" s="87"/>
      <c r="K4070" s="85"/>
      <c r="L4070" s="85"/>
      <c r="P4070" s="85"/>
      <c r="Q4070" s="85"/>
      <c r="R4070" s="81"/>
    </row>
    <row r="4071" spans="7:18" x14ac:dyDescent="0.3">
      <c r="G4071" s="85"/>
      <c r="H4071" s="86"/>
      <c r="I4071" s="86"/>
      <c r="J4071" s="87"/>
      <c r="K4071" s="85"/>
      <c r="L4071" s="85"/>
      <c r="P4071" s="85"/>
      <c r="Q4071" s="85"/>
      <c r="R4071" s="81"/>
    </row>
    <row r="4072" spans="7:18" x14ac:dyDescent="0.3">
      <c r="G4072" s="85"/>
      <c r="H4072" s="86"/>
      <c r="I4072" s="86"/>
      <c r="J4072" s="87"/>
      <c r="K4072" s="85"/>
      <c r="L4072" s="85"/>
      <c r="P4072" s="85"/>
      <c r="Q4072" s="85"/>
      <c r="R4072" s="81"/>
    </row>
    <row r="4073" spans="7:18" x14ac:dyDescent="0.3">
      <c r="G4073" s="85"/>
      <c r="H4073" s="86"/>
      <c r="I4073" s="86"/>
      <c r="J4073" s="87"/>
      <c r="K4073" s="85"/>
      <c r="L4073" s="85"/>
      <c r="P4073" s="85"/>
      <c r="Q4073" s="85"/>
      <c r="R4073" s="81"/>
    </row>
    <row r="4074" spans="7:18" x14ac:dyDescent="0.3">
      <c r="G4074" s="85"/>
      <c r="H4074" s="86"/>
      <c r="I4074" s="86"/>
      <c r="J4074" s="87"/>
      <c r="K4074" s="85"/>
      <c r="L4074" s="85"/>
      <c r="P4074" s="85"/>
      <c r="Q4074" s="85"/>
      <c r="R4074" s="81"/>
    </row>
    <row r="4075" spans="7:18" x14ac:dyDescent="0.3">
      <c r="G4075" s="85"/>
      <c r="H4075" s="86"/>
      <c r="I4075" s="86"/>
      <c r="J4075" s="87"/>
      <c r="K4075" s="85"/>
      <c r="L4075" s="85"/>
      <c r="P4075" s="85"/>
      <c r="Q4075" s="85"/>
      <c r="R4075" s="81"/>
    </row>
    <row r="4076" spans="7:18" x14ac:dyDescent="0.3">
      <c r="G4076" s="85"/>
      <c r="H4076" s="86"/>
      <c r="I4076" s="86"/>
      <c r="J4076" s="87"/>
      <c r="K4076" s="85"/>
      <c r="L4076" s="85"/>
      <c r="P4076" s="85"/>
      <c r="Q4076" s="85"/>
      <c r="R4076" s="81"/>
    </row>
    <row r="4077" spans="7:18" x14ac:dyDescent="0.3">
      <c r="G4077" s="85"/>
      <c r="H4077" s="86"/>
      <c r="I4077" s="86"/>
      <c r="J4077" s="87"/>
      <c r="K4077" s="85"/>
      <c r="L4077" s="85"/>
      <c r="P4077" s="85"/>
      <c r="Q4077" s="85"/>
      <c r="R4077" s="81"/>
    </row>
    <row r="4078" spans="7:18" x14ac:dyDescent="0.3">
      <c r="G4078" s="85"/>
      <c r="H4078" s="86"/>
      <c r="I4078" s="86"/>
      <c r="J4078" s="87"/>
      <c r="K4078" s="85"/>
      <c r="L4078" s="85"/>
      <c r="P4078" s="85"/>
      <c r="Q4078" s="85"/>
      <c r="R4078" s="81"/>
    </row>
    <row r="4079" spans="7:18" x14ac:dyDescent="0.3">
      <c r="G4079" s="85"/>
      <c r="H4079" s="86"/>
      <c r="I4079" s="86"/>
      <c r="J4079" s="87"/>
      <c r="K4079" s="85"/>
      <c r="L4079" s="85"/>
      <c r="P4079" s="85"/>
      <c r="Q4079" s="85"/>
      <c r="R4079" s="81"/>
    </row>
    <row r="4080" spans="7:18" x14ac:dyDescent="0.3">
      <c r="G4080" s="85"/>
      <c r="H4080" s="86"/>
      <c r="I4080" s="86"/>
      <c r="J4080" s="87"/>
      <c r="K4080" s="85"/>
      <c r="L4080" s="85"/>
      <c r="P4080" s="85"/>
      <c r="Q4080" s="85"/>
      <c r="R4080" s="81"/>
    </row>
    <row r="4081" spans="7:18" x14ac:dyDescent="0.3">
      <c r="G4081" s="85"/>
      <c r="H4081" s="86"/>
      <c r="I4081" s="86"/>
      <c r="J4081" s="87"/>
      <c r="K4081" s="85"/>
      <c r="L4081" s="85"/>
      <c r="P4081" s="85"/>
      <c r="Q4081" s="85"/>
      <c r="R4081" s="81"/>
    </row>
    <row r="4082" spans="7:18" x14ac:dyDescent="0.3">
      <c r="G4082" s="85"/>
      <c r="H4082" s="86"/>
      <c r="I4082" s="86"/>
      <c r="J4082" s="87"/>
      <c r="K4082" s="85"/>
      <c r="L4082" s="85"/>
      <c r="P4082" s="85"/>
      <c r="Q4082" s="85"/>
      <c r="R4082" s="81"/>
    </row>
    <row r="4083" spans="7:18" x14ac:dyDescent="0.3">
      <c r="G4083" s="85"/>
      <c r="H4083" s="86"/>
      <c r="I4083" s="86"/>
      <c r="J4083" s="87"/>
      <c r="K4083" s="85"/>
      <c r="L4083" s="85"/>
      <c r="P4083" s="85"/>
      <c r="Q4083" s="85"/>
      <c r="R4083" s="81"/>
    </row>
    <row r="4084" spans="7:18" x14ac:dyDescent="0.3">
      <c r="G4084" s="85"/>
      <c r="H4084" s="86"/>
      <c r="I4084" s="86"/>
      <c r="J4084" s="87"/>
      <c r="K4084" s="85"/>
      <c r="L4084" s="85"/>
      <c r="P4084" s="85"/>
      <c r="Q4084" s="85"/>
      <c r="R4084" s="81"/>
    </row>
    <row r="4085" spans="7:18" x14ac:dyDescent="0.3">
      <c r="G4085" s="85"/>
      <c r="H4085" s="86"/>
      <c r="I4085" s="86"/>
      <c r="J4085" s="87"/>
      <c r="K4085" s="85"/>
      <c r="L4085" s="85"/>
      <c r="P4085" s="85"/>
      <c r="Q4085" s="85"/>
      <c r="R4085" s="81"/>
    </row>
    <row r="4086" spans="7:18" x14ac:dyDescent="0.3">
      <c r="G4086" s="85"/>
      <c r="H4086" s="86"/>
      <c r="I4086" s="86"/>
      <c r="J4086" s="87"/>
      <c r="K4086" s="85"/>
      <c r="L4086" s="85"/>
      <c r="P4086" s="85"/>
      <c r="Q4086" s="85"/>
      <c r="R4086" s="81"/>
    </row>
    <row r="4087" spans="7:18" x14ac:dyDescent="0.3">
      <c r="G4087" s="85"/>
      <c r="H4087" s="86"/>
      <c r="I4087" s="86"/>
      <c r="J4087" s="87"/>
      <c r="K4087" s="85"/>
      <c r="L4087" s="85"/>
      <c r="P4087" s="85"/>
      <c r="Q4087" s="85"/>
      <c r="R4087" s="81"/>
    </row>
    <row r="4088" spans="7:18" x14ac:dyDescent="0.3">
      <c r="G4088" s="85"/>
      <c r="H4088" s="86"/>
      <c r="I4088" s="86"/>
      <c r="J4088" s="87"/>
      <c r="K4088" s="85"/>
      <c r="L4088" s="85"/>
      <c r="P4088" s="85"/>
      <c r="Q4088" s="85"/>
      <c r="R4088" s="81"/>
    </row>
    <row r="4089" spans="7:18" x14ac:dyDescent="0.3">
      <c r="G4089" s="85"/>
      <c r="H4089" s="86"/>
      <c r="I4089" s="86"/>
      <c r="J4089" s="87"/>
      <c r="K4089" s="85"/>
      <c r="L4089" s="85"/>
      <c r="P4089" s="85"/>
      <c r="Q4089" s="85"/>
      <c r="R4089" s="81"/>
    </row>
    <row r="4090" spans="7:18" x14ac:dyDescent="0.3">
      <c r="G4090" s="85"/>
      <c r="H4090" s="86"/>
      <c r="I4090" s="86"/>
      <c r="J4090" s="87"/>
      <c r="K4090" s="85"/>
      <c r="L4090" s="85"/>
      <c r="P4090" s="85"/>
      <c r="Q4090" s="85"/>
      <c r="R4090" s="81"/>
    </row>
    <row r="4091" spans="7:18" x14ac:dyDescent="0.3">
      <c r="G4091" s="85"/>
      <c r="H4091" s="86"/>
      <c r="I4091" s="86"/>
      <c r="J4091" s="87"/>
      <c r="K4091" s="85"/>
      <c r="L4091" s="85"/>
      <c r="P4091" s="85"/>
      <c r="Q4091" s="85"/>
      <c r="R4091" s="81"/>
    </row>
    <row r="4092" spans="7:18" x14ac:dyDescent="0.3">
      <c r="G4092" s="85"/>
      <c r="H4092" s="86"/>
      <c r="I4092" s="86"/>
      <c r="J4092" s="87"/>
      <c r="K4092" s="85"/>
      <c r="L4092" s="85"/>
      <c r="P4092" s="85"/>
      <c r="Q4092" s="85"/>
      <c r="R4092" s="81"/>
    </row>
    <row r="4093" spans="7:18" x14ac:dyDescent="0.3">
      <c r="G4093" s="85"/>
      <c r="H4093" s="86"/>
      <c r="I4093" s="86"/>
      <c r="J4093" s="87"/>
      <c r="K4093" s="85"/>
      <c r="L4093" s="85"/>
      <c r="P4093" s="85"/>
      <c r="Q4093" s="85"/>
      <c r="R4093" s="81"/>
    </row>
    <row r="4094" spans="7:18" x14ac:dyDescent="0.3">
      <c r="G4094" s="85"/>
      <c r="H4094" s="86"/>
      <c r="I4094" s="86"/>
      <c r="J4094" s="87"/>
      <c r="K4094" s="85"/>
      <c r="L4094" s="85"/>
      <c r="P4094" s="85"/>
      <c r="Q4094" s="85"/>
      <c r="R4094" s="81"/>
    </row>
    <row r="4095" spans="7:18" x14ac:dyDescent="0.3">
      <c r="G4095" s="85"/>
      <c r="H4095" s="86"/>
      <c r="I4095" s="86"/>
      <c r="J4095" s="87"/>
      <c r="K4095" s="85"/>
      <c r="L4095" s="85"/>
      <c r="P4095" s="85"/>
      <c r="Q4095" s="85"/>
      <c r="R4095" s="81"/>
    </row>
    <row r="4096" spans="7:18" x14ac:dyDescent="0.3">
      <c r="G4096" s="85"/>
      <c r="H4096" s="86"/>
      <c r="I4096" s="86"/>
      <c r="J4096" s="87"/>
      <c r="K4096" s="85"/>
      <c r="L4096" s="85"/>
      <c r="P4096" s="85"/>
      <c r="Q4096" s="85"/>
      <c r="R4096" s="81"/>
    </row>
    <row r="4097" spans="7:18" x14ac:dyDescent="0.3">
      <c r="G4097" s="85"/>
      <c r="H4097" s="86"/>
      <c r="I4097" s="86"/>
      <c r="J4097" s="87"/>
      <c r="K4097" s="85"/>
      <c r="L4097" s="85"/>
      <c r="P4097" s="85"/>
      <c r="Q4097" s="85"/>
      <c r="R4097" s="81"/>
    </row>
    <row r="4098" spans="7:18" x14ac:dyDescent="0.3">
      <c r="G4098" s="85"/>
      <c r="H4098" s="86"/>
      <c r="I4098" s="86"/>
      <c r="J4098" s="87"/>
      <c r="K4098" s="85"/>
      <c r="L4098" s="85"/>
      <c r="P4098" s="85"/>
      <c r="Q4098" s="85"/>
      <c r="R4098" s="81"/>
    </row>
    <row r="4099" spans="7:18" x14ac:dyDescent="0.3">
      <c r="G4099" s="85"/>
      <c r="H4099" s="86"/>
      <c r="I4099" s="86"/>
      <c r="J4099" s="87"/>
      <c r="K4099" s="85"/>
      <c r="L4099" s="85"/>
      <c r="P4099" s="85"/>
      <c r="Q4099" s="85"/>
      <c r="R4099" s="81"/>
    </row>
    <row r="4100" spans="7:18" x14ac:dyDescent="0.3">
      <c r="G4100" s="85"/>
      <c r="H4100" s="86"/>
      <c r="I4100" s="86"/>
      <c r="J4100" s="87"/>
      <c r="K4100" s="85"/>
      <c r="L4100" s="85"/>
      <c r="P4100" s="85"/>
      <c r="Q4100" s="85"/>
      <c r="R4100" s="81"/>
    </row>
    <row r="4101" spans="7:18" x14ac:dyDescent="0.3">
      <c r="G4101" s="85"/>
      <c r="H4101" s="86"/>
      <c r="I4101" s="86"/>
      <c r="J4101" s="87"/>
      <c r="K4101" s="85"/>
      <c r="L4101" s="85"/>
      <c r="P4101" s="85"/>
      <c r="Q4101" s="85"/>
      <c r="R4101" s="81"/>
    </row>
    <row r="4102" spans="7:18" x14ac:dyDescent="0.3">
      <c r="G4102" s="85"/>
      <c r="H4102" s="86"/>
      <c r="I4102" s="86"/>
      <c r="J4102" s="87"/>
      <c r="K4102" s="85"/>
      <c r="L4102" s="85"/>
      <c r="P4102" s="85"/>
      <c r="Q4102" s="85"/>
      <c r="R4102" s="81"/>
    </row>
    <row r="4103" spans="7:18" x14ac:dyDescent="0.3">
      <c r="G4103" s="85"/>
      <c r="H4103" s="86"/>
      <c r="I4103" s="86"/>
      <c r="J4103" s="87"/>
      <c r="K4103" s="85"/>
      <c r="L4103" s="85"/>
      <c r="P4103" s="85"/>
      <c r="Q4103" s="85"/>
      <c r="R4103" s="81"/>
    </row>
    <row r="4104" spans="7:18" x14ac:dyDescent="0.3">
      <c r="G4104" s="85"/>
      <c r="H4104" s="86"/>
      <c r="I4104" s="86"/>
      <c r="J4104" s="87"/>
      <c r="K4104" s="85"/>
      <c r="L4104" s="85"/>
      <c r="P4104" s="85"/>
      <c r="Q4104" s="85"/>
      <c r="R4104" s="81"/>
    </row>
    <row r="4105" spans="7:18" x14ac:dyDescent="0.3">
      <c r="G4105" s="85"/>
      <c r="H4105" s="86"/>
      <c r="I4105" s="86"/>
      <c r="J4105" s="87"/>
      <c r="K4105" s="85"/>
      <c r="L4105" s="85"/>
      <c r="P4105" s="85"/>
      <c r="Q4105" s="85"/>
      <c r="R4105" s="81"/>
    </row>
    <row r="4106" spans="7:18" x14ac:dyDescent="0.3">
      <c r="G4106" s="85"/>
      <c r="H4106" s="86"/>
      <c r="I4106" s="86"/>
      <c r="J4106" s="87"/>
      <c r="K4106" s="85"/>
      <c r="L4106" s="85"/>
      <c r="P4106" s="85"/>
      <c r="Q4106" s="85"/>
      <c r="R4106" s="81"/>
    </row>
    <row r="4107" spans="7:18" x14ac:dyDescent="0.3">
      <c r="G4107" s="85"/>
      <c r="H4107" s="86"/>
      <c r="I4107" s="86"/>
      <c r="J4107" s="87"/>
      <c r="K4107" s="85"/>
      <c r="L4107" s="85"/>
      <c r="P4107" s="85"/>
      <c r="Q4107" s="85"/>
      <c r="R4107" s="81"/>
    </row>
    <row r="4108" spans="7:18" x14ac:dyDescent="0.3">
      <c r="G4108" s="85"/>
      <c r="H4108" s="86"/>
      <c r="I4108" s="86"/>
      <c r="J4108" s="87"/>
      <c r="K4108" s="85"/>
      <c r="L4108" s="85"/>
      <c r="P4108" s="85"/>
      <c r="Q4108" s="85"/>
      <c r="R4108" s="81"/>
    </row>
    <row r="4109" spans="7:18" x14ac:dyDescent="0.3">
      <c r="G4109" s="85"/>
      <c r="H4109" s="86"/>
      <c r="I4109" s="86"/>
      <c r="J4109" s="87"/>
      <c r="K4109" s="85"/>
      <c r="L4109" s="85"/>
      <c r="P4109" s="85"/>
      <c r="Q4109" s="85"/>
      <c r="R4109" s="81"/>
    </row>
    <row r="4110" spans="7:18" x14ac:dyDescent="0.3">
      <c r="G4110" s="85"/>
      <c r="H4110" s="86"/>
      <c r="I4110" s="86"/>
      <c r="J4110" s="87"/>
      <c r="K4110" s="85"/>
      <c r="L4110" s="85"/>
      <c r="P4110" s="85"/>
      <c r="Q4110" s="85"/>
      <c r="R4110" s="81"/>
    </row>
    <row r="4111" spans="7:18" x14ac:dyDescent="0.3">
      <c r="G4111" s="85"/>
      <c r="H4111" s="86"/>
      <c r="I4111" s="86"/>
      <c r="J4111" s="87"/>
      <c r="K4111" s="85"/>
      <c r="L4111" s="85"/>
      <c r="P4111" s="85"/>
      <c r="Q4111" s="85"/>
      <c r="R4111" s="81"/>
    </row>
    <row r="4112" spans="7:18" x14ac:dyDescent="0.3">
      <c r="G4112" s="85"/>
      <c r="H4112" s="86"/>
      <c r="I4112" s="86"/>
      <c r="J4112" s="87"/>
      <c r="K4112" s="85"/>
      <c r="L4112" s="85"/>
      <c r="P4112" s="85"/>
      <c r="Q4112" s="85"/>
      <c r="R4112" s="81"/>
    </row>
    <row r="4113" spans="7:18" x14ac:dyDescent="0.3">
      <c r="G4113" s="85"/>
      <c r="H4113" s="86"/>
      <c r="I4113" s="86"/>
      <c r="J4113" s="87"/>
      <c r="K4113" s="85"/>
      <c r="L4113" s="85"/>
      <c r="P4113" s="85"/>
      <c r="Q4113" s="85"/>
      <c r="R4113" s="81"/>
    </row>
    <row r="4114" spans="7:18" x14ac:dyDescent="0.3">
      <c r="G4114" s="85"/>
      <c r="H4114" s="86"/>
      <c r="I4114" s="86"/>
      <c r="J4114" s="87"/>
      <c r="K4114" s="85"/>
      <c r="L4114" s="85"/>
      <c r="P4114" s="85"/>
      <c r="Q4114" s="85"/>
      <c r="R4114" s="81"/>
    </row>
    <row r="4115" spans="7:18" x14ac:dyDescent="0.3">
      <c r="G4115" s="85"/>
      <c r="H4115" s="86"/>
      <c r="I4115" s="86"/>
      <c r="J4115" s="87"/>
      <c r="K4115" s="85"/>
      <c r="L4115" s="85"/>
      <c r="P4115" s="85"/>
      <c r="Q4115" s="85"/>
      <c r="R4115" s="81"/>
    </row>
    <row r="4116" spans="7:18" x14ac:dyDescent="0.3">
      <c r="G4116" s="85"/>
      <c r="H4116" s="86"/>
      <c r="I4116" s="86"/>
      <c r="J4116" s="87"/>
      <c r="K4116" s="85"/>
      <c r="L4116" s="85"/>
      <c r="P4116" s="85"/>
      <c r="Q4116" s="85"/>
      <c r="R4116" s="81"/>
    </row>
    <row r="4117" spans="7:18" x14ac:dyDescent="0.3">
      <c r="G4117" s="85"/>
      <c r="H4117" s="86"/>
      <c r="I4117" s="86"/>
      <c r="J4117" s="87"/>
      <c r="K4117" s="85"/>
      <c r="L4117" s="85"/>
      <c r="P4117" s="85"/>
      <c r="Q4117" s="85"/>
      <c r="R4117" s="81"/>
    </row>
    <row r="4118" spans="7:18" x14ac:dyDescent="0.3">
      <c r="G4118" s="85"/>
      <c r="H4118" s="86"/>
      <c r="I4118" s="86"/>
      <c r="J4118" s="87"/>
      <c r="K4118" s="85"/>
      <c r="L4118" s="85"/>
      <c r="P4118" s="85"/>
      <c r="Q4118" s="85"/>
      <c r="R4118" s="81"/>
    </row>
    <row r="4119" spans="7:18" x14ac:dyDescent="0.3">
      <c r="G4119" s="85"/>
      <c r="H4119" s="86"/>
      <c r="I4119" s="86"/>
      <c r="J4119" s="87"/>
      <c r="K4119" s="85"/>
      <c r="L4119" s="85"/>
      <c r="P4119" s="85"/>
      <c r="Q4119" s="85"/>
      <c r="R4119" s="81"/>
    </row>
    <row r="4120" spans="7:18" x14ac:dyDescent="0.3">
      <c r="G4120" s="85"/>
      <c r="H4120" s="86"/>
      <c r="I4120" s="86"/>
      <c r="J4120" s="87"/>
      <c r="K4120" s="85"/>
      <c r="L4120" s="85"/>
      <c r="P4120" s="85"/>
      <c r="Q4120" s="85"/>
      <c r="R4120" s="81"/>
    </row>
    <row r="4121" spans="7:18" x14ac:dyDescent="0.3">
      <c r="G4121" s="85"/>
      <c r="H4121" s="86"/>
      <c r="I4121" s="86"/>
      <c r="J4121" s="87"/>
      <c r="K4121" s="85"/>
      <c r="L4121" s="85"/>
      <c r="P4121" s="85"/>
      <c r="Q4121" s="85"/>
      <c r="R4121" s="81"/>
    </row>
    <row r="4122" spans="7:18" x14ac:dyDescent="0.3">
      <c r="G4122" s="85"/>
      <c r="H4122" s="86"/>
      <c r="I4122" s="86"/>
      <c r="J4122" s="87"/>
      <c r="K4122" s="85"/>
      <c r="L4122" s="85"/>
      <c r="P4122" s="85"/>
      <c r="Q4122" s="85"/>
      <c r="R4122" s="81"/>
    </row>
    <row r="4123" spans="7:18" x14ac:dyDescent="0.3">
      <c r="G4123" s="85"/>
      <c r="H4123" s="86"/>
      <c r="I4123" s="86"/>
      <c r="J4123" s="87"/>
      <c r="K4123" s="85"/>
      <c r="L4123" s="85"/>
      <c r="P4123" s="85"/>
      <c r="Q4123" s="85"/>
      <c r="R4123" s="81"/>
    </row>
    <row r="4124" spans="7:18" x14ac:dyDescent="0.3">
      <c r="G4124" s="85"/>
      <c r="H4124" s="86"/>
      <c r="I4124" s="86"/>
      <c r="J4124" s="87"/>
      <c r="K4124" s="85"/>
      <c r="L4124" s="85"/>
      <c r="P4124" s="85"/>
      <c r="Q4124" s="85"/>
      <c r="R4124" s="81"/>
    </row>
    <row r="4125" spans="7:18" x14ac:dyDescent="0.3">
      <c r="G4125" s="85"/>
      <c r="H4125" s="86"/>
      <c r="I4125" s="86"/>
      <c r="J4125" s="87"/>
      <c r="K4125" s="85"/>
      <c r="L4125" s="85"/>
      <c r="P4125" s="85"/>
      <c r="Q4125" s="85"/>
      <c r="R4125" s="81"/>
    </row>
    <row r="4126" spans="7:18" x14ac:dyDescent="0.3">
      <c r="G4126" s="85"/>
      <c r="H4126" s="86"/>
      <c r="I4126" s="86"/>
      <c r="J4126" s="87"/>
      <c r="K4126" s="85"/>
      <c r="L4126" s="85"/>
      <c r="P4126" s="85"/>
      <c r="Q4126" s="85"/>
      <c r="R4126" s="81"/>
    </row>
    <row r="4127" spans="7:18" x14ac:dyDescent="0.3">
      <c r="G4127" s="85"/>
      <c r="H4127" s="86"/>
      <c r="I4127" s="86"/>
      <c r="J4127" s="87"/>
      <c r="K4127" s="85"/>
      <c r="L4127" s="85"/>
      <c r="P4127" s="85"/>
      <c r="Q4127" s="85"/>
      <c r="R4127" s="81"/>
    </row>
    <row r="4128" spans="7:18" x14ac:dyDescent="0.3">
      <c r="G4128" s="85"/>
      <c r="H4128" s="86"/>
      <c r="I4128" s="86"/>
      <c r="J4128" s="87"/>
      <c r="K4128" s="85"/>
      <c r="L4128" s="85"/>
      <c r="P4128" s="85"/>
      <c r="Q4128" s="85"/>
      <c r="R4128" s="81"/>
    </row>
    <row r="4129" spans="7:18" x14ac:dyDescent="0.3">
      <c r="G4129" s="85"/>
      <c r="H4129" s="86"/>
      <c r="I4129" s="86"/>
      <c r="J4129" s="87"/>
      <c r="K4129" s="85"/>
      <c r="L4129" s="85"/>
      <c r="P4129" s="85"/>
      <c r="Q4129" s="85"/>
      <c r="R4129" s="81"/>
    </row>
    <row r="4130" spans="7:18" x14ac:dyDescent="0.3">
      <c r="G4130" s="85"/>
      <c r="H4130" s="86"/>
      <c r="I4130" s="86"/>
      <c r="J4130" s="87"/>
      <c r="K4130" s="85"/>
      <c r="L4130" s="85"/>
      <c r="P4130" s="85"/>
      <c r="Q4130" s="85"/>
      <c r="R4130" s="81"/>
    </row>
    <row r="4131" spans="7:18" x14ac:dyDescent="0.3">
      <c r="G4131" s="85"/>
      <c r="H4131" s="86"/>
      <c r="I4131" s="86"/>
      <c r="J4131" s="87"/>
      <c r="K4131" s="85"/>
      <c r="L4131" s="85"/>
      <c r="P4131" s="85"/>
      <c r="Q4131" s="85"/>
      <c r="R4131" s="81"/>
    </row>
    <row r="4132" spans="7:18" x14ac:dyDescent="0.3">
      <c r="G4132" s="85"/>
      <c r="H4132" s="86"/>
      <c r="I4132" s="86"/>
      <c r="J4132" s="87"/>
      <c r="K4132" s="85"/>
      <c r="L4132" s="85"/>
      <c r="P4132" s="85"/>
      <c r="Q4132" s="85"/>
      <c r="R4132" s="81"/>
    </row>
    <row r="4133" spans="7:18" x14ac:dyDescent="0.3">
      <c r="G4133" s="85"/>
      <c r="H4133" s="86"/>
      <c r="I4133" s="86"/>
      <c r="J4133" s="87"/>
      <c r="K4133" s="85"/>
      <c r="L4133" s="85"/>
      <c r="P4133" s="85"/>
      <c r="Q4133" s="85"/>
      <c r="R4133" s="81"/>
    </row>
    <row r="4134" spans="7:18" x14ac:dyDescent="0.3">
      <c r="G4134" s="85"/>
      <c r="H4134" s="86"/>
      <c r="I4134" s="86"/>
      <c r="J4134" s="87"/>
      <c r="K4134" s="85"/>
      <c r="L4134" s="85"/>
      <c r="P4134" s="85"/>
      <c r="Q4134" s="85"/>
      <c r="R4134" s="81"/>
    </row>
    <row r="4135" spans="7:18" x14ac:dyDescent="0.3">
      <c r="G4135" s="85"/>
      <c r="H4135" s="86"/>
      <c r="I4135" s="86"/>
      <c r="J4135" s="87"/>
      <c r="K4135" s="85"/>
      <c r="L4135" s="85"/>
      <c r="P4135" s="85"/>
      <c r="Q4135" s="85"/>
      <c r="R4135" s="81"/>
    </row>
    <row r="4136" spans="7:18" x14ac:dyDescent="0.3">
      <c r="G4136" s="85"/>
      <c r="H4136" s="86"/>
      <c r="I4136" s="86"/>
      <c r="J4136" s="87"/>
      <c r="K4136" s="85"/>
      <c r="L4136" s="85"/>
      <c r="P4136" s="85"/>
      <c r="Q4136" s="85"/>
      <c r="R4136" s="81"/>
    </row>
    <row r="4137" spans="7:18" x14ac:dyDescent="0.3">
      <c r="G4137" s="85"/>
      <c r="H4137" s="86"/>
      <c r="I4137" s="86"/>
      <c r="J4137" s="87"/>
      <c r="K4137" s="85"/>
      <c r="L4137" s="85"/>
      <c r="P4137" s="85"/>
      <c r="Q4137" s="85"/>
      <c r="R4137" s="81"/>
    </row>
    <row r="4138" spans="7:18" x14ac:dyDescent="0.3">
      <c r="G4138" s="85"/>
      <c r="H4138" s="86"/>
      <c r="I4138" s="86"/>
      <c r="J4138" s="87"/>
      <c r="K4138" s="85"/>
      <c r="L4138" s="85"/>
      <c r="P4138" s="85"/>
      <c r="Q4138" s="85"/>
      <c r="R4138" s="81"/>
    </row>
    <row r="4139" spans="7:18" x14ac:dyDescent="0.3">
      <c r="G4139" s="85"/>
      <c r="H4139" s="86"/>
      <c r="I4139" s="86"/>
      <c r="J4139" s="87"/>
      <c r="K4139" s="85"/>
      <c r="L4139" s="85"/>
      <c r="P4139" s="85"/>
      <c r="Q4139" s="85"/>
      <c r="R4139" s="81"/>
    </row>
    <row r="4140" spans="7:18" x14ac:dyDescent="0.3">
      <c r="G4140" s="85"/>
      <c r="H4140" s="86"/>
      <c r="I4140" s="86"/>
      <c r="J4140" s="87"/>
      <c r="K4140" s="85"/>
      <c r="L4140" s="85"/>
      <c r="P4140" s="85"/>
      <c r="Q4140" s="85"/>
      <c r="R4140" s="81"/>
    </row>
    <row r="4141" spans="7:18" x14ac:dyDescent="0.3">
      <c r="G4141" s="85"/>
      <c r="H4141" s="86"/>
      <c r="I4141" s="86"/>
      <c r="J4141" s="87"/>
      <c r="K4141" s="85"/>
      <c r="L4141" s="85"/>
      <c r="P4141" s="85"/>
      <c r="Q4141" s="85"/>
      <c r="R4141" s="81"/>
    </row>
    <row r="4142" spans="7:18" x14ac:dyDescent="0.3">
      <c r="G4142" s="85"/>
      <c r="H4142" s="86"/>
      <c r="I4142" s="86"/>
      <c r="J4142" s="87"/>
      <c r="K4142" s="85"/>
      <c r="L4142" s="85"/>
      <c r="P4142" s="85"/>
      <c r="Q4142" s="85"/>
      <c r="R4142" s="81"/>
    </row>
    <row r="4143" spans="7:18" x14ac:dyDescent="0.3">
      <c r="G4143" s="85"/>
      <c r="H4143" s="86"/>
      <c r="I4143" s="86"/>
      <c r="J4143" s="87"/>
      <c r="K4143" s="85"/>
      <c r="L4143" s="85"/>
      <c r="P4143" s="85"/>
      <c r="Q4143" s="85"/>
      <c r="R4143" s="81"/>
    </row>
    <row r="4144" spans="7:18" x14ac:dyDescent="0.3">
      <c r="G4144" s="85"/>
      <c r="H4144" s="86"/>
      <c r="I4144" s="86"/>
      <c r="J4144" s="87"/>
      <c r="K4144" s="85"/>
      <c r="L4144" s="85"/>
      <c r="P4144" s="85"/>
      <c r="Q4144" s="85"/>
      <c r="R4144" s="81"/>
    </row>
    <row r="4145" spans="7:18" x14ac:dyDescent="0.3">
      <c r="G4145" s="85"/>
      <c r="H4145" s="86"/>
      <c r="I4145" s="86"/>
      <c r="J4145" s="87"/>
      <c r="K4145" s="85"/>
      <c r="L4145" s="85"/>
      <c r="P4145" s="85"/>
      <c r="Q4145" s="85"/>
      <c r="R4145" s="81"/>
    </row>
    <row r="4146" spans="7:18" x14ac:dyDescent="0.3">
      <c r="G4146" s="85"/>
      <c r="H4146" s="86"/>
      <c r="I4146" s="86"/>
      <c r="J4146" s="87"/>
      <c r="K4146" s="85"/>
      <c r="L4146" s="85"/>
      <c r="P4146" s="85"/>
      <c r="Q4146" s="85"/>
      <c r="R4146" s="81"/>
    </row>
    <row r="4147" spans="7:18" x14ac:dyDescent="0.3">
      <c r="G4147" s="85"/>
      <c r="H4147" s="86"/>
      <c r="I4147" s="86"/>
      <c r="J4147" s="87"/>
      <c r="K4147" s="85"/>
      <c r="L4147" s="85"/>
      <c r="P4147" s="85"/>
      <c r="Q4147" s="85"/>
      <c r="R4147" s="81"/>
    </row>
    <row r="4148" spans="7:18" x14ac:dyDescent="0.3">
      <c r="G4148" s="85"/>
      <c r="H4148" s="86"/>
      <c r="I4148" s="86"/>
      <c r="J4148" s="87"/>
      <c r="K4148" s="85"/>
      <c r="L4148" s="85"/>
      <c r="P4148" s="85"/>
      <c r="Q4148" s="85"/>
      <c r="R4148" s="81"/>
    </row>
    <row r="4149" spans="7:18" x14ac:dyDescent="0.3">
      <c r="G4149" s="85"/>
      <c r="H4149" s="86"/>
      <c r="I4149" s="86"/>
      <c r="J4149" s="87"/>
      <c r="K4149" s="85"/>
      <c r="L4149" s="85"/>
      <c r="P4149" s="85"/>
      <c r="Q4149" s="85"/>
      <c r="R4149" s="81"/>
    </row>
    <row r="4150" spans="7:18" x14ac:dyDescent="0.3">
      <c r="G4150" s="85"/>
      <c r="H4150" s="86"/>
      <c r="I4150" s="86"/>
      <c r="J4150" s="87"/>
      <c r="K4150" s="85"/>
      <c r="L4150" s="85"/>
      <c r="P4150" s="85"/>
      <c r="Q4150" s="85"/>
      <c r="R4150" s="81"/>
    </row>
    <row r="4151" spans="7:18" x14ac:dyDescent="0.3">
      <c r="G4151" s="85"/>
      <c r="H4151" s="86"/>
      <c r="I4151" s="86"/>
      <c r="J4151" s="87"/>
      <c r="K4151" s="85"/>
      <c r="L4151" s="85"/>
      <c r="P4151" s="85"/>
      <c r="Q4151" s="85"/>
      <c r="R4151" s="81"/>
    </row>
    <row r="4152" spans="7:18" x14ac:dyDescent="0.3">
      <c r="G4152" s="85"/>
      <c r="H4152" s="86"/>
      <c r="I4152" s="86"/>
      <c r="J4152" s="87"/>
      <c r="K4152" s="85"/>
      <c r="L4152" s="85"/>
      <c r="P4152" s="85"/>
      <c r="Q4152" s="85"/>
      <c r="R4152" s="81"/>
    </row>
    <row r="4153" spans="7:18" x14ac:dyDescent="0.3">
      <c r="G4153" s="85"/>
      <c r="H4153" s="86"/>
      <c r="I4153" s="86"/>
      <c r="J4153" s="87"/>
      <c r="K4153" s="85"/>
      <c r="L4153" s="85"/>
      <c r="P4153" s="85"/>
      <c r="Q4153" s="85"/>
      <c r="R4153" s="81"/>
    </row>
    <row r="4154" spans="7:18" x14ac:dyDescent="0.3">
      <c r="G4154" s="85"/>
      <c r="H4154" s="86"/>
      <c r="I4154" s="86"/>
      <c r="J4154" s="87"/>
      <c r="K4154" s="85"/>
      <c r="L4154" s="85"/>
      <c r="P4154" s="85"/>
      <c r="Q4154" s="85"/>
      <c r="R4154" s="81"/>
    </row>
    <row r="4155" spans="7:18" x14ac:dyDescent="0.3">
      <c r="G4155" s="85"/>
      <c r="H4155" s="86"/>
      <c r="I4155" s="86"/>
      <c r="J4155" s="87"/>
      <c r="K4155" s="85"/>
      <c r="L4155" s="85"/>
      <c r="P4155" s="85"/>
      <c r="Q4155" s="85"/>
      <c r="R4155" s="81"/>
    </row>
    <row r="4156" spans="7:18" x14ac:dyDescent="0.3">
      <c r="G4156" s="85"/>
      <c r="H4156" s="86"/>
      <c r="I4156" s="86"/>
      <c r="J4156" s="87"/>
      <c r="K4156" s="85"/>
      <c r="L4156" s="85"/>
      <c r="P4156" s="85"/>
      <c r="Q4156" s="85"/>
      <c r="R4156" s="81"/>
    </row>
    <row r="4157" spans="7:18" x14ac:dyDescent="0.3">
      <c r="G4157" s="85"/>
      <c r="H4157" s="86"/>
      <c r="I4157" s="86"/>
      <c r="J4157" s="87"/>
      <c r="K4157" s="85"/>
      <c r="L4157" s="85"/>
      <c r="P4157" s="85"/>
      <c r="Q4157" s="85"/>
      <c r="R4157" s="81"/>
    </row>
    <row r="4158" spans="7:18" x14ac:dyDescent="0.3">
      <c r="G4158" s="85"/>
      <c r="H4158" s="86"/>
      <c r="I4158" s="86"/>
      <c r="J4158" s="87"/>
      <c r="K4158" s="85"/>
      <c r="L4158" s="85"/>
      <c r="P4158" s="85"/>
      <c r="Q4158" s="85"/>
      <c r="R4158" s="81"/>
    </row>
    <row r="4159" spans="7:18" x14ac:dyDescent="0.3">
      <c r="G4159" s="85"/>
      <c r="H4159" s="86"/>
      <c r="I4159" s="86"/>
      <c r="J4159" s="87"/>
      <c r="K4159" s="85"/>
      <c r="L4159" s="85"/>
      <c r="P4159" s="85"/>
      <c r="Q4159" s="85"/>
      <c r="R4159" s="81"/>
    </row>
    <row r="4160" spans="7:18" x14ac:dyDescent="0.3">
      <c r="G4160" s="85"/>
      <c r="H4160" s="86"/>
      <c r="I4160" s="86"/>
      <c r="J4160" s="87"/>
      <c r="K4160" s="85"/>
      <c r="L4160" s="85"/>
      <c r="P4160" s="85"/>
      <c r="Q4160" s="85"/>
      <c r="R4160" s="81"/>
    </row>
    <row r="4161" spans="7:18" x14ac:dyDescent="0.3">
      <c r="G4161" s="85"/>
      <c r="H4161" s="86"/>
      <c r="I4161" s="86"/>
      <c r="J4161" s="87"/>
      <c r="K4161" s="85"/>
      <c r="L4161" s="85"/>
      <c r="P4161" s="85"/>
      <c r="Q4161" s="85"/>
      <c r="R4161" s="81"/>
    </row>
    <row r="4162" spans="7:18" x14ac:dyDescent="0.3">
      <c r="G4162" s="85"/>
      <c r="H4162" s="86"/>
      <c r="I4162" s="86"/>
      <c r="J4162" s="87"/>
      <c r="K4162" s="85"/>
      <c r="L4162" s="85"/>
      <c r="P4162" s="85"/>
      <c r="Q4162" s="85"/>
      <c r="R4162" s="81"/>
    </row>
    <row r="4163" spans="7:18" x14ac:dyDescent="0.3">
      <c r="G4163" s="85"/>
      <c r="H4163" s="86"/>
      <c r="I4163" s="86"/>
      <c r="J4163" s="87"/>
      <c r="K4163" s="85"/>
      <c r="L4163" s="85"/>
      <c r="P4163" s="85"/>
      <c r="Q4163" s="85"/>
      <c r="R4163" s="81"/>
    </row>
    <row r="4164" spans="7:18" x14ac:dyDescent="0.3">
      <c r="G4164" s="85"/>
      <c r="H4164" s="86"/>
      <c r="I4164" s="86"/>
      <c r="J4164" s="87"/>
      <c r="K4164" s="85"/>
      <c r="L4164" s="85"/>
      <c r="P4164" s="85"/>
      <c r="Q4164" s="85"/>
      <c r="R4164" s="81"/>
    </row>
    <row r="4165" spans="7:18" x14ac:dyDescent="0.3">
      <c r="G4165" s="85"/>
      <c r="H4165" s="86"/>
      <c r="I4165" s="86"/>
      <c r="J4165" s="87"/>
      <c r="K4165" s="85"/>
      <c r="L4165" s="85"/>
      <c r="P4165" s="85"/>
      <c r="Q4165" s="85"/>
      <c r="R4165" s="81"/>
    </row>
    <row r="4166" spans="7:18" x14ac:dyDescent="0.3">
      <c r="G4166" s="85"/>
      <c r="H4166" s="86"/>
      <c r="I4166" s="86"/>
      <c r="J4166" s="87"/>
      <c r="K4166" s="85"/>
      <c r="L4166" s="85"/>
      <c r="P4166" s="85"/>
      <c r="Q4166" s="85"/>
      <c r="R4166" s="81"/>
    </row>
    <row r="4167" spans="7:18" x14ac:dyDescent="0.3">
      <c r="G4167" s="85"/>
      <c r="H4167" s="86"/>
      <c r="I4167" s="86"/>
      <c r="J4167" s="87"/>
      <c r="K4167" s="85"/>
      <c r="L4167" s="85"/>
      <c r="P4167" s="85"/>
      <c r="Q4167" s="85"/>
      <c r="R4167" s="81"/>
    </row>
    <row r="4168" spans="7:18" x14ac:dyDescent="0.3">
      <c r="G4168" s="85"/>
      <c r="H4168" s="86"/>
      <c r="I4168" s="86"/>
      <c r="J4168" s="87"/>
      <c r="K4168" s="85"/>
      <c r="L4168" s="85"/>
      <c r="P4168" s="85"/>
      <c r="Q4168" s="85"/>
      <c r="R4168" s="81"/>
    </row>
    <row r="4169" spans="7:18" x14ac:dyDescent="0.3">
      <c r="G4169" s="85"/>
      <c r="H4169" s="86"/>
      <c r="I4169" s="86"/>
      <c r="J4169" s="87"/>
      <c r="K4169" s="85"/>
      <c r="L4169" s="85"/>
      <c r="P4169" s="85"/>
      <c r="Q4169" s="85"/>
      <c r="R4169" s="81"/>
    </row>
    <row r="4170" spans="7:18" x14ac:dyDescent="0.3">
      <c r="G4170" s="85"/>
      <c r="H4170" s="86"/>
      <c r="I4170" s="86"/>
      <c r="J4170" s="87"/>
      <c r="K4170" s="85"/>
      <c r="L4170" s="85"/>
      <c r="P4170" s="85"/>
      <c r="Q4170" s="85"/>
      <c r="R4170" s="81"/>
    </row>
    <row r="4171" spans="7:18" x14ac:dyDescent="0.3">
      <c r="G4171" s="85"/>
      <c r="H4171" s="86"/>
      <c r="I4171" s="86"/>
      <c r="J4171" s="87"/>
      <c r="K4171" s="85"/>
      <c r="L4171" s="85"/>
      <c r="P4171" s="85"/>
      <c r="Q4171" s="85"/>
      <c r="R4171" s="81"/>
    </row>
    <row r="4172" spans="7:18" x14ac:dyDescent="0.3">
      <c r="G4172" s="85"/>
      <c r="H4172" s="86"/>
      <c r="I4172" s="86"/>
      <c r="J4172" s="87"/>
      <c r="K4172" s="85"/>
      <c r="L4172" s="85"/>
      <c r="P4172" s="85"/>
      <c r="Q4172" s="85"/>
      <c r="R4172" s="81"/>
    </row>
    <row r="4173" spans="7:18" x14ac:dyDescent="0.3">
      <c r="G4173" s="85"/>
      <c r="H4173" s="86"/>
      <c r="I4173" s="86"/>
      <c r="J4173" s="87"/>
      <c r="K4173" s="85"/>
      <c r="L4173" s="85"/>
      <c r="P4173" s="85"/>
      <c r="Q4173" s="85"/>
      <c r="R4173" s="81"/>
    </row>
    <row r="4174" spans="7:18" x14ac:dyDescent="0.3">
      <c r="G4174" s="85"/>
      <c r="H4174" s="86"/>
      <c r="I4174" s="86"/>
      <c r="J4174" s="87"/>
      <c r="K4174" s="85"/>
      <c r="L4174" s="85"/>
      <c r="P4174" s="85"/>
      <c r="Q4174" s="85"/>
      <c r="R4174" s="81"/>
    </row>
    <row r="4175" spans="7:18" x14ac:dyDescent="0.3">
      <c r="G4175" s="85"/>
      <c r="H4175" s="86"/>
      <c r="I4175" s="86"/>
      <c r="J4175" s="87"/>
      <c r="K4175" s="85"/>
      <c r="L4175" s="85"/>
      <c r="P4175" s="85"/>
      <c r="Q4175" s="85"/>
      <c r="R4175" s="81"/>
    </row>
    <row r="4176" spans="7:18" x14ac:dyDescent="0.3">
      <c r="G4176" s="85"/>
      <c r="H4176" s="86"/>
      <c r="I4176" s="86"/>
      <c r="J4176" s="87"/>
      <c r="K4176" s="85"/>
      <c r="L4176" s="85"/>
      <c r="P4176" s="85"/>
      <c r="Q4176" s="85"/>
      <c r="R4176" s="81"/>
    </row>
    <row r="4177" spans="7:18" x14ac:dyDescent="0.3">
      <c r="G4177" s="85"/>
      <c r="H4177" s="86"/>
      <c r="I4177" s="86"/>
      <c r="J4177" s="87"/>
      <c r="K4177" s="85"/>
      <c r="L4177" s="85"/>
      <c r="P4177" s="85"/>
      <c r="Q4177" s="85"/>
      <c r="R4177" s="81"/>
    </row>
    <row r="4178" spans="7:18" x14ac:dyDescent="0.3">
      <c r="G4178" s="85"/>
      <c r="H4178" s="86"/>
      <c r="I4178" s="86"/>
      <c r="J4178" s="87"/>
      <c r="K4178" s="85"/>
      <c r="L4178" s="85"/>
      <c r="P4178" s="85"/>
      <c r="Q4178" s="85"/>
      <c r="R4178" s="81"/>
    </row>
    <row r="4179" spans="7:18" x14ac:dyDescent="0.3">
      <c r="G4179" s="85"/>
      <c r="H4179" s="86"/>
      <c r="I4179" s="86"/>
      <c r="J4179" s="87"/>
      <c r="K4179" s="85"/>
      <c r="L4179" s="85"/>
      <c r="P4179" s="85"/>
      <c r="Q4179" s="85"/>
      <c r="R4179" s="81"/>
    </row>
    <row r="4180" spans="7:18" x14ac:dyDescent="0.3">
      <c r="G4180" s="85"/>
      <c r="H4180" s="86"/>
      <c r="I4180" s="86"/>
      <c r="J4180" s="87"/>
      <c r="K4180" s="85"/>
      <c r="L4180" s="85"/>
      <c r="P4180" s="85"/>
      <c r="Q4180" s="85"/>
      <c r="R4180" s="81"/>
    </row>
    <row r="4181" spans="7:18" x14ac:dyDescent="0.3">
      <c r="G4181" s="85"/>
      <c r="H4181" s="86"/>
      <c r="I4181" s="86"/>
      <c r="J4181" s="87"/>
      <c r="K4181" s="85"/>
      <c r="L4181" s="85"/>
      <c r="P4181" s="85"/>
      <c r="Q4181" s="85"/>
      <c r="R4181" s="81"/>
    </row>
    <row r="4182" spans="7:18" x14ac:dyDescent="0.3">
      <c r="G4182" s="85"/>
      <c r="H4182" s="86"/>
      <c r="I4182" s="86"/>
      <c r="J4182" s="87"/>
      <c r="K4182" s="85"/>
      <c r="L4182" s="85"/>
      <c r="P4182" s="85"/>
      <c r="Q4182" s="85"/>
      <c r="R4182" s="81"/>
    </row>
    <row r="4183" spans="7:18" x14ac:dyDescent="0.3">
      <c r="G4183" s="85"/>
      <c r="H4183" s="86"/>
      <c r="I4183" s="86"/>
      <c r="J4183" s="87"/>
      <c r="K4183" s="85"/>
      <c r="L4183" s="85"/>
      <c r="P4183" s="85"/>
      <c r="Q4183" s="85"/>
      <c r="R4183" s="81"/>
    </row>
    <row r="4184" spans="7:18" x14ac:dyDescent="0.3">
      <c r="G4184" s="85"/>
      <c r="H4184" s="86"/>
      <c r="I4184" s="86"/>
      <c r="J4184" s="87"/>
      <c r="K4184" s="85"/>
      <c r="L4184" s="85"/>
      <c r="P4184" s="85"/>
      <c r="Q4184" s="85"/>
      <c r="R4184" s="81"/>
    </row>
    <row r="4185" spans="7:18" x14ac:dyDescent="0.3">
      <c r="G4185" s="85"/>
      <c r="H4185" s="86"/>
      <c r="I4185" s="86"/>
      <c r="J4185" s="87"/>
      <c r="K4185" s="85"/>
      <c r="L4185" s="85"/>
      <c r="P4185" s="85"/>
      <c r="Q4185" s="85"/>
      <c r="R4185" s="81"/>
    </row>
    <row r="4186" spans="7:18" x14ac:dyDescent="0.3">
      <c r="G4186" s="85"/>
      <c r="H4186" s="86"/>
      <c r="I4186" s="86"/>
      <c r="J4186" s="87"/>
      <c r="K4186" s="85"/>
      <c r="L4186" s="85"/>
      <c r="P4186" s="85"/>
      <c r="Q4186" s="85"/>
      <c r="R4186" s="81"/>
    </row>
    <row r="4187" spans="7:18" x14ac:dyDescent="0.3">
      <c r="G4187" s="85"/>
      <c r="H4187" s="86"/>
      <c r="I4187" s="86"/>
      <c r="J4187" s="87"/>
      <c r="K4187" s="85"/>
      <c r="L4187" s="85"/>
      <c r="P4187" s="85"/>
      <c r="Q4187" s="85"/>
      <c r="R4187" s="81"/>
    </row>
    <row r="4188" spans="7:18" x14ac:dyDescent="0.3">
      <c r="G4188" s="85"/>
      <c r="H4188" s="86"/>
      <c r="I4188" s="86"/>
      <c r="J4188" s="87"/>
      <c r="K4188" s="85"/>
      <c r="L4188" s="85"/>
      <c r="P4188" s="85"/>
      <c r="Q4188" s="85"/>
      <c r="R4188" s="81"/>
    </row>
    <row r="4189" spans="7:18" x14ac:dyDescent="0.3">
      <c r="G4189" s="85"/>
      <c r="H4189" s="86"/>
      <c r="I4189" s="86"/>
      <c r="J4189" s="87"/>
      <c r="K4189" s="85"/>
      <c r="L4189" s="85"/>
      <c r="P4189" s="85"/>
      <c r="Q4189" s="85"/>
      <c r="R4189" s="81"/>
    </row>
    <row r="4190" spans="7:18" x14ac:dyDescent="0.3">
      <c r="G4190" s="85"/>
      <c r="H4190" s="86"/>
      <c r="I4190" s="86"/>
      <c r="J4190" s="87"/>
      <c r="K4190" s="85"/>
      <c r="L4190" s="85"/>
      <c r="P4190" s="85"/>
      <c r="Q4190" s="85"/>
      <c r="R4190" s="81"/>
    </row>
    <row r="4191" spans="7:18" x14ac:dyDescent="0.3">
      <c r="G4191" s="85"/>
      <c r="H4191" s="86"/>
      <c r="I4191" s="86"/>
      <c r="J4191" s="87"/>
      <c r="K4191" s="85"/>
      <c r="L4191" s="85"/>
      <c r="P4191" s="85"/>
      <c r="Q4191" s="85"/>
      <c r="R4191" s="81"/>
    </row>
    <row r="4192" spans="7:18" x14ac:dyDescent="0.3">
      <c r="G4192" s="85"/>
      <c r="H4192" s="86"/>
      <c r="I4192" s="86"/>
      <c r="J4192" s="87"/>
      <c r="K4192" s="85"/>
      <c r="L4192" s="85"/>
      <c r="P4192" s="85"/>
      <c r="Q4192" s="85"/>
      <c r="R4192" s="81"/>
    </row>
    <row r="4193" spans="7:18" x14ac:dyDescent="0.3">
      <c r="G4193" s="85"/>
      <c r="H4193" s="86"/>
      <c r="I4193" s="86"/>
      <c r="J4193" s="87"/>
      <c r="K4193" s="85"/>
      <c r="L4193" s="85"/>
      <c r="P4193" s="85"/>
      <c r="Q4193" s="85"/>
      <c r="R4193" s="81"/>
    </row>
    <row r="4194" spans="7:18" x14ac:dyDescent="0.3">
      <c r="G4194" s="85"/>
      <c r="H4194" s="86"/>
      <c r="I4194" s="86"/>
      <c r="J4194" s="87"/>
      <c r="K4194" s="85"/>
      <c r="L4194" s="85"/>
      <c r="P4194" s="85"/>
      <c r="Q4194" s="85"/>
      <c r="R4194" s="81"/>
    </row>
    <row r="4195" spans="7:18" x14ac:dyDescent="0.3">
      <c r="G4195" s="85"/>
      <c r="H4195" s="86"/>
      <c r="I4195" s="86"/>
      <c r="J4195" s="87"/>
      <c r="K4195" s="85"/>
      <c r="L4195" s="85"/>
      <c r="P4195" s="85"/>
      <c r="Q4195" s="85"/>
      <c r="R4195" s="81"/>
    </row>
    <row r="4196" spans="7:18" x14ac:dyDescent="0.3">
      <c r="G4196" s="85"/>
      <c r="H4196" s="86"/>
      <c r="I4196" s="86"/>
      <c r="J4196" s="87"/>
      <c r="K4196" s="85"/>
      <c r="L4196" s="85"/>
      <c r="P4196" s="85"/>
      <c r="Q4196" s="85"/>
      <c r="R4196" s="81"/>
    </row>
    <row r="4197" spans="7:18" x14ac:dyDescent="0.3">
      <c r="G4197" s="85"/>
      <c r="H4197" s="86"/>
      <c r="I4197" s="86"/>
      <c r="J4197" s="87"/>
      <c r="K4197" s="85"/>
      <c r="L4197" s="85"/>
      <c r="P4197" s="85"/>
      <c r="Q4197" s="85"/>
      <c r="R4197" s="81"/>
    </row>
    <row r="4198" spans="7:18" x14ac:dyDescent="0.3">
      <c r="G4198" s="85"/>
      <c r="H4198" s="86"/>
      <c r="I4198" s="86"/>
      <c r="J4198" s="87"/>
      <c r="K4198" s="85"/>
      <c r="L4198" s="85"/>
      <c r="P4198" s="85"/>
      <c r="Q4198" s="85"/>
      <c r="R4198" s="81"/>
    </row>
    <row r="4199" spans="7:18" x14ac:dyDescent="0.3">
      <c r="G4199" s="85"/>
      <c r="H4199" s="86"/>
      <c r="I4199" s="86"/>
      <c r="J4199" s="87"/>
      <c r="K4199" s="85"/>
      <c r="L4199" s="85"/>
      <c r="P4199" s="85"/>
      <c r="Q4199" s="85"/>
      <c r="R4199" s="81"/>
    </row>
    <row r="4200" spans="7:18" x14ac:dyDescent="0.3">
      <c r="G4200" s="85"/>
      <c r="H4200" s="86"/>
      <c r="I4200" s="86"/>
      <c r="J4200" s="87"/>
      <c r="K4200" s="85"/>
      <c r="L4200" s="85"/>
      <c r="P4200" s="85"/>
      <c r="Q4200" s="85"/>
      <c r="R4200" s="81"/>
    </row>
    <row r="4201" spans="7:18" x14ac:dyDescent="0.3">
      <c r="G4201" s="85"/>
      <c r="H4201" s="86"/>
      <c r="I4201" s="86"/>
      <c r="J4201" s="87"/>
      <c r="K4201" s="85"/>
      <c r="L4201" s="85"/>
      <c r="P4201" s="85"/>
      <c r="Q4201" s="85"/>
      <c r="R4201" s="81"/>
    </row>
    <row r="4202" spans="7:18" x14ac:dyDescent="0.3">
      <c r="G4202" s="85"/>
      <c r="H4202" s="86"/>
      <c r="I4202" s="86"/>
      <c r="J4202" s="87"/>
      <c r="K4202" s="85"/>
      <c r="L4202" s="85"/>
      <c r="P4202" s="85"/>
      <c r="Q4202" s="85"/>
      <c r="R4202" s="81"/>
    </row>
    <row r="4203" spans="7:18" x14ac:dyDescent="0.3">
      <c r="G4203" s="85"/>
      <c r="H4203" s="86"/>
      <c r="I4203" s="86"/>
      <c r="J4203" s="87"/>
      <c r="K4203" s="85"/>
      <c r="L4203" s="85"/>
      <c r="P4203" s="85"/>
      <c r="Q4203" s="85"/>
      <c r="R4203" s="81"/>
    </row>
    <row r="4204" spans="7:18" x14ac:dyDescent="0.3">
      <c r="G4204" s="85"/>
      <c r="H4204" s="86"/>
      <c r="I4204" s="86"/>
      <c r="J4204" s="87"/>
      <c r="K4204" s="85"/>
      <c r="L4204" s="85"/>
      <c r="P4204" s="85"/>
      <c r="Q4204" s="85"/>
      <c r="R4204" s="81"/>
    </row>
    <row r="4205" spans="7:18" x14ac:dyDescent="0.3">
      <c r="G4205" s="85"/>
      <c r="H4205" s="86"/>
      <c r="I4205" s="86"/>
      <c r="J4205" s="87"/>
      <c r="K4205" s="85"/>
      <c r="L4205" s="85"/>
      <c r="P4205" s="85"/>
      <c r="Q4205" s="85"/>
      <c r="R4205" s="81"/>
    </row>
    <row r="4206" spans="7:18" x14ac:dyDescent="0.3">
      <c r="G4206" s="85"/>
      <c r="H4206" s="86"/>
      <c r="I4206" s="86"/>
      <c r="J4206" s="87"/>
      <c r="K4206" s="85"/>
      <c r="L4206" s="85"/>
      <c r="P4206" s="85"/>
      <c r="Q4206" s="85"/>
      <c r="R4206" s="81"/>
    </row>
    <row r="4207" spans="7:18" x14ac:dyDescent="0.3">
      <c r="G4207" s="85"/>
      <c r="H4207" s="86"/>
      <c r="I4207" s="86"/>
      <c r="J4207" s="87"/>
      <c r="K4207" s="85"/>
      <c r="L4207" s="85"/>
      <c r="P4207" s="85"/>
      <c r="Q4207" s="85"/>
      <c r="R4207" s="81"/>
    </row>
    <row r="4208" spans="7:18" x14ac:dyDescent="0.3">
      <c r="G4208" s="85"/>
      <c r="H4208" s="86"/>
      <c r="I4208" s="86"/>
      <c r="J4208" s="87"/>
      <c r="K4208" s="85"/>
      <c r="L4208" s="85"/>
      <c r="P4208" s="85"/>
      <c r="Q4208" s="85"/>
      <c r="R4208" s="81"/>
    </row>
    <row r="4209" spans="7:18" x14ac:dyDescent="0.3">
      <c r="G4209" s="85"/>
      <c r="H4209" s="86"/>
      <c r="I4209" s="86"/>
      <c r="J4209" s="87"/>
      <c r="K4209" s="85"/>
      <c r="L4209" s="85"/>
      <c r="P4209" s="85"/>
      <c r="Q4209" s="85"/>
      <c r="R4209" s="81"/>
    </row>
    <row r="4210" spans="7:18" x14ac:dyDescent="0.3">
      <c r="G4210" s="85"/>
      <c r="H4210" s="86"/>
      <c r="I4210" s="86"/>
      <c r="J4210" s="87"/>
      <c r="K4210" s="85"/>
      <c r="L4210" s="85"/>
      <c r="P4210" s="85"/>
      <c r="Q4210" s="85"/>
      <c r="R4210" s="81"/>
    </row>
    <row r="4211" spans="7:18" x14ac:dyDescent="0.3">
      <c r="G4211" s="85"/>
      <c r="H4211" s="86"/>
      <c r="I4211" s="86"/>
      <c r="J4211" s="87"/>
      <c r="K4211" s="85"/>
      <c r="L4211" s="85"/>
      <c r="P4211" s="85"/>
      <c r="Q4211" s="85"/>
      <c r="R4211" s="81"/>
    </row>
    <row r="4212" spans="7:18" x14ac:dyDescent="0.3">
      <c r="G4212" s="85"/>
      <c r="H4212" s="86"/>
      <c r="I4212" s="86"/>
      <c r="J4212" s="87"/>
      <c r="K4212" s="85"/>
      <c r="L4212" s="85"/>
      <c r="P4212" s="85"/>
      <c r="Q4212" s="85"/>
      <c r="R4212" s="81"/>
    </row>
    <row r="4213" spans="7:18" x14ac:dyDescent="0.3">
      <c r="G4213" s="85"/>
      <c r="H4213" s="86"/>
      <c r="I4213" s="86"/>
      <c r="J4213" s="87"/>
      <c r="K4213" s="85"/>
      <c r="L4213" s="85"/>
      <c r="P4213" s="85"/>
      <c r="Q4213" s="85"/>
      <c r="R4213" s="81"/>
    </row>
    <row r="4214" spans="7:18" x14ac:dyDescent="0.3">
      <c r="G4214" s="85"/>
      <c r="H4214" s="86"/>
      <c r="I4214" s="86"/>
      <c r="J4214" s="87"/>
      <c r="K4214" s="85"/>
      <c r="L4214" s="85"/>
      <c r="P4214" s="85"/>
      <c r="Q4214" s="85"/>
      <c r="R4214" s="81"/>
    </row>
    <row r="4215" spans="7:18" x14ac:dyDescent="0.3">
      <c r="G4215" s="85"/>
      <c r="H4215" s="86"/>
      <c r="I4215" s="86"/>
      <c r="J4215" s="87"/>
      <c r="K4215" s="85"/>
      <c r="L4215" s="85"/>
      <c r="P4215" s="85"/>
      <c r="Q4215" s="85"/>
      <c r="R4215" s="81"/>
    </row>
    <row r="4216" spans="7:18" x14ac:dyDescent="0.3">
      <c r="G4216" s="85"/>
      <c r="H4216" s="86"/>
      <c r="I4216" s="86"/>
      <c r="J4216" s="87"/>
      <c r="K4216" s="85"/>
      <c r="L4216" s="85"/>
      <c r="P4216" s="85"/>
      <c r="Q4216" s="85"/>
      <c r="R4216" s="81"/>
    </row>
    <row r="4217" spans="7:18" x14ac:dyDescent="0.3">
      <c r="G4217" s="85"/>
      <c r="H4217" s="86"/>
      <c r="I4217" s="86"/>
      <c r="J4217" s="87"/>
      <c r="K4217" s="85"/>
      <c r="L4217" s="85"/>
      <c r="P4217" s="85"/>
      <c r="Q4217" s="85"/>
      <c r="R4217" s="81"/>
    </row>
    <row r="4218" spans="7:18" x14ac:dyDescent="0.3">
      <c r="G4218" s="85"/>
      <c r="H4218" s="86"/>
      <c r="I4218" s="86"/>
      <c r="J4218" s="87"/>
      <c r="K4218" s="85"/>
      <c r="L4218" s="85"/>
      <c r="P4218" s="85"/>
      <c r="Q4218" s="85"/>
      <c r="R4218" s="81"/>
    </row>
    <row r="4219" spans="7:18" x14ac:dyDescent="0.3">
      <c r="G4219" s="85"/>
      <c r="H4219" s="86"/>
      <c r="I4219" s="86"/>
      <c r="J4219" s="87"/>
      <c r="K4219" s="85"/>
      <c r="L4219" s="85"/>
      <c r="P4219" s="85"/>
      <c r="Q4219" s="85"/>
      <c r="R4219" s="81"/>
    </row>
    <row r="4220" spans="7:18" x14ac:dyDescent="0.3">
      <c r="G4220" s="85"/>
      <c r="H4220" s="86"/>
      <c r="I4220" s="86"/>
      <c r="J4220" s="87"/>
      <c r="K4220" s="85"/>
      <c r="L4220" s="85"/>
      <c r="P4220" s="85"/>
      <c r="Q4220" s="85"/>
      <c r="R4220" s="81"/>
    </row>
    <row r="4221" spans="7:18" x14ac:dyDescent="0.3">
      <c r="G4221" s="85"/>
      <c r="H4221" s="86"/>
      <c r="I4221" s="86"/>
      <c r="J4221" s="87"/>
      <c r="K4221" s="85"/>
      <c r="L4221" s="85"/>
      <c r="P4221" s="85"/>
      <c r="Q4221" s="85"/>
      <c r="R4221" s="81"/>
    </row>
    <row r="4222" spans="7:18" x14ac:dyDescent="0.3">
      <c r="G4222" s="85"/>
      <c r="H4222" s="86"/>
      <c r="I4222" s="86"/>
      <c r="J4222" s="87"/>
      <c r="K4222" s="85"/>
      <c r="L4222" s="85"/>
      <c r="P4222" s="85"/>
      <c r="Q4222" s="85"/>
      <c r="R4222" s="81"/>
    </row>
    <row r="4223" spans="7:18" x14ac:dyDescent="0.3">
      <c r="G4223" s="85"/>
      <c r="H4223" s="86"/>
      <c r="I4223" s="86"/>
      <c r="J4223" s="87"/>
      <c r="K4223" s="85"/>
      <c r="L4223" s="85"/>
      <c r="P4223" s="85"/>
      <c r="Q4223" s="85"/>
      <c r="R4223" s="81"/>
    </row>
    <row r="4224" spans="7:18" x14ac:dyDescent="0.3">
      <c r="G4224" s="85"/>
      <c r="H4224" s="86"/>
      <c r="I4224" s="86"/>
      <c r="J4224" s="87"/>
      <c r="K4224" s="85"/>
      <c r="L4224" s="85"/>
      <c r="P4224" s="85"/>
      <c r="Q4224" s="85"/>
      <c r="R4224" s="81"/>
    </row>
    <row r="4225" spans="7:18" x14ac:dyDescent="0.3">
      <c r="G4225" s="85"/>
      <c r="H4225" s="86"/>
      <c r="I4225" s="86"/>
      <c r="J4225" s="87"/>
      <c r="K4225" s="85"/>
      <c r="L4225" s="85"/>
      <c r="P4225" s="85"/>
      <c r="Q4225" s="85"/>
      <c r="R4225" s="81"/>
    </row>
    <row r="4226" spans="7:18" x14ac:dyDescent="0.3">
      <c r="G4226" s="85"/>
      <c r="H4226" s="86"/>
      <c r="I4226" s="86"/>
      <c r="J4226" s="87"/>
      <c r="K4226" s="85"/>
      <c r="L4226" s="85"/>
      <c r="P4226" s="85"/>
      <c r="Q4226" s="85"/>
      <c r="R4226" s="81"/>
    </row>
    <row r="4227" spans="7:18" x14ac:dyDescent="0.3">
      <c r="G4227" s="85"/>
      <c r="H4227" s="86"/>
      <c r="I4227" s="86"/>
      <c r="J4227" s="87"/>
      <c r="K4227" s="85"/>
      <c r="L4227" s="85"/>
      <c r="P4227" s="85"/>
      <c r="Q4227" s="85"/>
      <c r="R4227" s="81"/>
    </row>
    <row r="4228" spans="7:18" x14ac:dyDescent="0.3">
      <c r="G4228" s="85"/>
      <c r="H4228" s="86"/>
      <c r="I4228" s="86"/>
      <c r="J4228" s="87"/>
      <c r="K4228" s="85"/>
      <c r="L4228" s="85"/>
      <c r="P4228" s="85"/>
      <c r="Q4228" s="85"/>
      <c r="R4228" s="81"/>
    </row>
    <row r="4229" spans="7:18" x14ac:dyDescent="0.3">
      <c r="G4229" s="85"/>
      <c r="H4229" s="86"/>
      <c r="I4229" s="86"/>
      <c r="J4229" s="87"/>
      <c r="K4229" s="85"/>
      <c r="L4229" s="85"/>
      <c r="P4229" s="85"/>
      <c r="Q4229" s="85"/>
      <c r="R4229" s="81"/>
    </row>
    <row r="4230" spans="7:18" x14ac:dyDescent="0.3">
      <c r="G4230" s="85"/>
      <c r="H4230" s="86"/>
      <c r="I4230" s="86"/>
      <c r="J4230" s="87"/>
      <c r="K4230" s="85"/>
      <c r="L4230" s="85"/>
      <c r="P4230" s="85"/>
      <c r="Q4230" s="85"/>
      <c r="R4230" s="81"/>
    </row>
    <row r="4231" spans="7:18" x14ac:dyDescent="0.3">
      <c r="G4231" s="85"/>
      <c r="H4231" s="86"/>
      <c r="I4231" s="86"/>
      <c r="J4231" s="87"/>
      <c r="K4231" s="85"/>
      <c r="L4231" s="85"/>
      <c r="P4231" s="85"/>
      <c r="Q4231" s="85"/>
      <c r="R4231" s="81"/>
    </row>
    <row r="4232" spans="7:18" x14ac:dyDescent="0.3">
      <c r="G4232" s="85"/>
      <c r="H4232" s="86"/>
      <c r="I4232" s="86"/>
      <c r="J4232" s="87"/>
      <c r="K4232" s="85"/>
      <c r="L4232" s="85"/>
      <c r="P4232" s="85"/>
      <c r="Q4232" s="85"/>
      <c r="R4232" s="81"/>
    </row>
    <row r="4233" spans="7:18" x14ac:dyDescent="0.3">
      <c r="G4233" s="85"/>
      <c r="H4233" s="86"/>
      <c r="I4233" s="86"/>
      <c r="J4233" s="87"/>
      <c r="K4233" s="85"/>
      <c r="L4233" s="85"/>
      <c r="P4233" s="85"/>
      <c r="Q4233" s="85"/>
      <c r="R4233" s="81"/>
    </row>
    <row r="4234" spans="7:18" x14ac:dyDescent="0.3">
      <c r="G4234" s="85"/>
      <c r="H4234" s="86"/>
      <c r="I4234" s="86"/>
      <c r="J4234" s="87"/>
      <c r="K4234" s="85"/>
      <c r="L4234" s="85"/>
      <c r="P4234" s="85"/>
      <c r="Q4234" s="85"/>
      <c r="R4234" s="81"/>
    </row>
    <row r="4235" spans="7:18" x14ac:dyDescent="0.3">
      <c r="G4235" s="85"/>
      <c r="H4235" s="86"/>
      <c r="I4235" s="86"/>
      <c r="J4235" s="87"/>
      <c r="K4235" s="85"/>
      <c r="L4235" s="85"/>
      <c r="P4235" s="85"/>
      <c r="Q4235" s="85"/>
      <c r="R4235" s="81"/>
    </row>
    <row r="4236" spans="7:18" x14ac:dyDescent="0.3">
      <c r="G4236" s="85"/>
      <c r="H4236" s="86"/>
      <c r="I4236" s="86"/>
      <c r="J4236" s="87"/>
      <c r="K4236" s="85"/>
      <c r="L4236" s="85"/>
      <c r="P4236" s="85"/>
      <c r="Q4236" s="85"/>
      <c r="R4236" s="81"/>
    </row>
    <row r="4237" spans="7:18" x14ac:dyDescent="0.3">
      <c r="G4237" s="85"/>
      <c r="H4237" s="86"/>
      <c r="I4237" s="86"/>
      <c r="J4237" s="87"/>
      <c r="K4237" s="85"/>
      <c r="L4237" s="85"/>
      <c r="P4237" s="85"/>
      <c r="Q4237" s="85"/>
      <c r="R4237" s="81"/>
    </row>
    <row r="4238" spans="7:18" x14ac:dyDescent="0.3">
      <c r="G4238" s="85"/>
      <c r="H4238" s="86"/>
      <c r="I4238" s="86"/>
      <c r="J4238" s="87"/>
      <c r="K4238" s="85"/>
      <c r="L4238" s="85"/>
      <c r="P4238" s="85"/>
      <c r="Q4238" s="85"/>
      <c r="R4238" s="81"/>
    </row>
    <row r="4239" spans="7:18" x14ac:dyDescent="0.3">
      <c r="G4239" s="85"/>
      <c r="H4239" s="86"/>
      <c r="I4239" s="86"/>
      <c r="J4239" s="87"/>
      <c r="K4239" s="85"/>
      <c r="L4239" s="85"/>
      <c r="P4239" s="85"/>
      <c r="Q4239" s="85"/>
      <c r="R4239" s="81"/>
    </row>
    <row r="4240" spans="7:18" x14ac:dyDescent="0.3">
      <c r="G4240" s="85"/>
      <c r="H4240" s="86"/>
      <c r="I4240" s="86"/>
      <c r="J4240" s="87"/>
      <c r="K4240" s="85"/>
      <c r="L4240" s="85"/>
      <c r="P4240" s="85"/>
      <c r="Q4240" s="85"/>
      <c r="R4240" s="81"/>
    </row>
    <row r="4241" spans="7:18" x14ac:dyDescent="0.3">
      <c r="G4241" s="85"/>
      <c r="H4241" s="86"/>
      <c r="I4241" s="86"/>
      <c r="J4241" s="87"/>
      <c r="K4241" s="85"/>
      <c r="L4241" s="85"/>
      <c r="P4241" s="85"/>
      <c r="Q4241" s="85"/>
      <c r="R4241" s="81"/>
    </row>
    <row r="4242" spans="7:18" x14ac:dyDescent="0.3">
      <c r="G4242" s="85"/>
      <c r="H4242" s="86"/>
      <c r="I4242" s="86"/>
      <c r="J4242" s="87"/>
      <c r="K4242" s="85"/>
      <c r="L4242" s="85"/>
      <c r="P4242" s="85"/>
      <c r="Q4242" s="85"/>
      <c r="R4242" s="81"/>
    </row>
    <row r="4243" spans="7:18" x14ac:dyDescent="0.3">
      <c r="G4243" s="85"/>
      <c r="H4243" s="86"/>
      <c r="I4243" s="86"/>
      <c r="J4243" s="87"/>
      <c r="K4243" s="85"/>
      <c r="L4243" s="85"/>
      <c r="P4243" s="85"/>
      <c r="Q4243" s="85"/>
      <c r="R4243" s="81"/>
    </row>
    <row r="4244" spans="7:18" x14ac:dyDescent="0.3">
      <c r="G4244" s="85"/>
      <c r="H4244" s="86"/>
      <c r="I4244" s="86"/>
      <c r="J4244" s="87"/>
      <c r="K4244" s="85"/>
      <c r="L4244" s="85"/>
      <c r="P4244" s="85"/>
      <c r="Q4244" s="85"/>
      <c r="R4244" s="81"/>
    </row>
    <row r="4245" spans="7:18" x14ac:dyDescent="0.3">
      <c r="G4245" s="85"/>
      <c r="H4245" s="86"/>
      <c r="I4245" s="86"/>
      <c r="J4245" s="87"/>
      <c r="K4245" s="85"/>
      <c r="L4245" s="85"/>
      <c r="P4245" s="85"/>
      <c r="Q4245" s="85"/>
      <c r="R4245" s="81"/>
    </row>
    <row r="4246" spans="7:18" x14ac:dyDescent="0.3">
      <c r="G4246" s="85"/>
      <c r="H4246" s="86"/>
      <c r="I4246" s="86"/>
      <c r="J4246" s="87"/>
      <c r="K4246" s="85"/>
      <c r="L4246" s="85"/>
      <c r="P4246" s="85"/>
      <c r="Q4246" s="85"/>
      <c r="R4246" s="81"/>
    </row>
    <row r="4247" spans="7:18" x14ac:dyDescent="0.3">
      <c r="G4247" s="85"/>
      <c r="H4247" s="86"/>
      <c r="I4247" s="86"/>
      <c r="J4247" s="87"/>
      <c r="K4247" s="85"/>
      <c r="L4247" s="85"/>
      <c r="P4247" s="85"/>
      <c r="Q4247" s="85"/>
      <c r="R4247" s="81"/>
    </row>
    <row r="4248" spans="7:18" x14ac:dyDescent="0.3">
      <c r="G4248" s="85"/>
      <c r="H4248" s="86"/>
      <c r="I4248" s="86"/>
      <c r="J4248" s="87"/>
      <c r="K4248" s="85"/>
      <c r="L4248" s="85"/>
      <c r="P4248" s="85"/>
      <c r="Q4248" s="85"/>
      <c r="R4248" s="81"/>
    </row>
    <row r="4249" spans="7:18" x14ac:dyDescent="0.3">
      <c r="G4249" s="85"/>
      <c r="H4249" s="86"/>
      <c r="I4249" s="86"/>
      <c r="J4249" s="87"/>
      <c r="K4249" s="85"/>
      <c r="L4249" s="85"/>
      <c r="P4249" s="85"/>
      <c r="Q4249" s="85"/>
      <c r="R4249" s="81"/>
    </row>
    <row r="4250" spans="7:18" x14ac:dyDescent="0.3">
      <c r="G4250" s="85"/>
      <c r="H4250" s="86"/>
      <c r="I4250" s="86"/>
      <c r="J4250" s="87"/>
      <c r="K4250" s="85"/>
      <c r="L4250" s="85"/>
      <c r="P4250" s="85"/>
      <c r="Q4250" s="85"/>
      <c r="R4250" s="81"/>
    </row>
    <row r="4251" spans="7:18" x14ac:dyDescent="0.3">
      <c r="G4251" s="85"/>
      <c r="H4251" s="86"/>
      <c r="I4251" s="86"/>
      <c r="J4251" s="87"/>
      <c r="K4251" s="85"/>
      <c r="L4251" s="85"/>
      <c r="P4251" s="85"/>
      <c r="Q4251" s="85"/>
      <c r="R4251" s="81"/>
    </row>
    <row r="4252" spans="7:18" x14ac:dyDescent="0.3">
      <c r="G4252" s="85"/>
      <c r="H4252" s="86"/>
      <c r="I4252" s="86"/>
      <c r="J4252" s="87"/>
      <c r="K4252" s="85"/>
      <c r="L4252" s="85"/>
      <c r="P4252" s="85"/>
      <c r="Q4252" s="85"/>
      <c r="R4252" s="81"/>
    </row>
    <row r="4253" spans="7:18" x14ac:dyDescent="0.3">
      <c r="G4253" s="85"/>
      <c r="H4253" s="86"/>
      <c r="I4253" s="86"/>
      <c r="J4253" s="87"/>
      <c r="K4253" s="85"/>
      <c r="L4253" s="85"/>
      <c r="P4253" s="85"/>
      <c r="Q4253" s="85"/>
      <c r="R4253" s="81"/>
    </row>
    <row r="4254" spans="7:18" x14ac:dyDescent="0.3">
      <c r="G4254" s="85"/>
      <c r="H4254" s="86"/>
      <c r="I4254" s="86"/>
      <c r="J4254" s="87"/>
      <c r="K4254" s="85"/>
      <c r="L4254" s="85"/>
      <c r="P4254" s="85"/>
      <c r="Q4254" s="85"/>
      <c r="R4254" s="81"/>
    </row>
    <row r="4255" spans="7:18" x14ac:dyDescent="0.3">
      <c r="G4255" s="85"/>
      <c r="H4255" s="86"/>
      <c r="I4255" s="86"/>
      <c r="J4255" s="87"/>
      <c r="K4255" s="85"/>
      <c r="L4255" s="85"/>
      <c r="P4255" s="85"/>
      <c r="Q4255" s="85"/>
      <c r="R4255" s="81"/>
    </row>
    <row r="4256" spans="7:18" x14ac:dyDescent="0.3">
      <c r="G4256" s="85"/>
      <c r="H4256" s="86"/>
      <c r="I4256" s="86"/>
      <c r="J4256" s="87"/>
      <c r="K4256" s="85"/>
      <c r="L4256" s="85"/>
      <c r="P4256" s="85"/>
      <c r="Q4256" s="85"/>
      <c r="R4256" s="81"/>
    </row>
    <row r="4257" spans="7:18" x14ac:dyDescent="0.3">
      <c r="G4257" s="85"/>
      <c r="H4257" s="86"/>
      <c r="I4257" s="86"/>
      <c r="J4257" s="87"/>
      <c r="K4257" s="85"/>
      <c r="L4257" s="85"/>
      <c r="P4257" s="85"/>
      <c r="Q4257" s="85"/>
      <c r="R4257" s="81"/>
    </row>
    <row r="4258" spans="7:18" x14ac:dyDescent="0.3">
      <c r="G4258" s="85"/>
      <c r="H4258" s="86"/>
      <c r="I4258" s="86"/>
      <c r="J4258" s="87"/>
      <c r="K4258" s="85"/>
      <c r="L4258" s="85"/>
      <c r="P4258" s="85"/>
      <c r="Q4258" s="85"/>
      <c r="R4258" s="81"/>
    </row>
    <row r="4259" spans="7:18" x14ac:dyDescent="0.3">
      <c r="G4259" s="85"/>
      <c r="H4259" s="86"/>
      <c r="I4259" s="86"/>
      <c r="J4259" s="87"/>
      <c r="K4259" s="85"/>
      <c r="L4259" s="85"/>
      <c r="P4259" s="85"/>
      <c r="Q4259" s="85"/>
      <c r="R4259" s="81"/>
    </row>
    <row r="4260" spans="7:18" x14ac:dyDescent="0.3">
      <c r="G4260" s="85"/>
      <c r="H4260" s="86"/>
      <c r="I4260" s="86"/>
      <c r="J4260" s="87"/>
      <c r="K4260" s="85"/>
      <c r="L4260" s="85"/>
      <c r="P4260" s="85"/>
      <c r="Q4260" s="85"/>
      <c r="R4260" s="81"/>
    </row>
    <row r="4261" spans="7:18" x14ac:dyDescent="0.3">
      <c r="G4261" s="85"/>
      <c r="H4261" s="86"/>
      <c r="I4261" s="86"/>
      <c r="J4261" s="87"/>
      <c r="K4261" s="85"/>
      <c r="L4261" s="85"/>
      <c r="P4261" s="85"/>
      <c r="Q4261" s="85"/>
      <c r="R4261" s="81"/>
    </row>
    <row r="4262" spans="7:18" x14ac:dyDescent="0.3">
      <c r="G4262" s="85"/>
      <c r="H4262" s="86"/>
      <c r="I4262" s="86"/>
      <c r="J4262" s="87"/>
      <c r="K4262" s="85"/>
      <c r="L4262" s="85"/>
      <c r="P4262" s="85"/>
      <c r="Q4262" s="85"/>
      <c r="R4262" s="81"/>
    </row>
    <row r="4263" spans="7:18" x14ac:dyDescent="0.3">
      <c r="G4263" s="85"/>
      <c r="H4263" s="86"/>
      <c r="I4263" s="86"/>
      <c r="J4263" s="87"/>
      <c r="K4263" s="85"/>
      <c r="L4263" s="85"/>
      <c r="P4263" s="85"/>
      <c r="Q4263" s="85"/>
      <c r="R4263" s="81"/>
    </row>
    <row r="4264" spans="7:18" x14ac:dyDescent="0.3">
      <c r="G4264" s="85"/>
      <c r="H4264" s="86"/>
      <c r="I4264" s="86"/>
      <c r="J4264" s="87"/>
      <c r="K4264" s="85"/>
      <c r="L4264" s="85"/>
      <c r="P4264" s="85"/>
      <c r="Q4264" s="85"/>
      <c r="R4264" s="81"/>
    </row>
    <row r="4265" spans="7:18" x14ac:dyDescent="0.3">
      <c r="G4265" s="85"/>
      <c r="H4265" s="86"/>
      <c r="I4265" s="86"/>
      <c r="J4265" s="87"/>
      <c r="K4265" s="85"/>
      <c r="L4265" s="85"/>
      <c r="P4265" s="85"/>
      <c r="Q4265" s="85"/>
      <c r="R4265" s="81"/>
    </row>
    <row r="4266" spans="7:18" x14ac:dyDescent="0.3">
      <c r="G4266" s="85"/>
      <c r="H4266" s="86"/>
      <c r="I4266" s="86"/>
      <c r="J4266" s="87"/>
      <c r="K4266" s="85"/>
      <c r="L4266" s="85"/>
      <c r="P4266" s="85"/>
      <c r="Q4266" s="85"/>
      <c r="R4266" s="81"/>
    </row>
    <row r="4267" spans="7:18" x14ac:dyDescent="0.3">
      <c r="G4267" s="85"/>
      <c r="H4267" s="86"/>
      <c r="I4267" s="86"/>
      <c r="J4267" s="87"/>
      <c r="K4267" s="85"/>
      <c r="L4267" s="85"/>
      <c r="P4267" s="85"/>
      <c r="Q4267" s="85"/>
      <c r="R4267" s="81"/>
    </row>
    <row r="4268" spans="7:18" x14ac:dyDescent="0.3">
      <c r="G4268" s="85"/>
      <c r="H4268" s="86"/>
      <c r="I4268" s="86"/>
      <c r="J4268" s="87"/>
      <c r="K4268" s="85"/>
      <c r="L4268" s="85"/>
      <c r="P4268" s="85"/>
      <c r="Q4268" s="85"/>
      <c r="R4268" s="81"/>
    </row>
    <row r="4269" spans="7:18" x14ac:dyDescent="0.3">
      <c r="G4269" s="85"/>
      <c r="H4269" s="86"/>
      <c r="I4269" s="86"/>
      <c r="J4269" s="87"/>
      <c r="K4269" s="85"/>
      <c r="L4269" s="85"/>
      <c r="P4269" s="85"/>
      <c r="Q4269" s="85"/>
      <c r="R4269" s="81"/>
    </row>
    <row r="4270" spans="7:18" x14ac:dyDescent="0.3">
      <c r="G4270" s="85"/>
      <c r="H4270" s="86"/>
      <c r="I4270" s="86"/>
      <c r="J4270" s="87"/>
      <c r="K4270" s="85"/>
      <c r="L4270" s="85"/>
      <c r="P4270" s="85"/>
      <c r="Q4270" s="85"/>
      <c r="R4270" s="81"/>
    </row>
    <row r="4271" spans="7:18" x14ac:dyDescent="0.3">
      <c r="G4271" s="85"/>
      <c r="H4271" s="86"/>
      <c r="I4271" s="86"/>
      <c r="J4271" s="87"/>
      <c r="K4271" s="85"/>
      <c r="L4271" s="85"/>
      <c r="P4271" s="85"/>
      <c r="Q4271" s="85"/>
      <c r="R4271" s="81"/>
    </row>
    <row r="4272" spans="7:18" x14ac:dyDescent="0.3">
      <c r="G4272" s="85"/>
      <c r="H4272" s="86"/>
      <c r="I4272" s="86"/>
      <c r="J4272" s="87"/>
      <c r="K4272" s="85"/>
      <c r="L4272" s="85"/>
      <c r="P4272" s="85"/>
      <c r="Q4272" s="85"/>
      <c r="R4272" s="81"/>
    </row>
    <row r="4273" spans="7:18" x14ac:dyDescent="0.3">
      <c r="G4273" s="85"/>
      <c r="H4273" s="86"/>
      <c r="I4273" s="86"/>
      <c r="J4273" s="87"/>
      <c r="K4273" s="85"/>
      <c r="L4273" s="85"/>
      <c r="P4273" s="85"/>
      <c r="Q4273" s="85"/>
      <c r="R4273" s="81"/>
    </row>
    <row r="4274" spans="7:18" x14ac:dyDescent="0.3">
      <c r="G4274" s="85"/>
      <c r="H4274" s="86"/>
      <c r="I4274" s="86"/>
      <c r="J4274" s="87"/>
      <c r="K4274" s="85"/>
      <c r="L4274" s="85"/>
      <c r="P4274" s="85"/>
      <c r="Q4274" s="85"/>
      <c r="R4274" s="81"/>
    </row>
    <row r="4275" spans="7:18" x14ac:dyDescent="0.3">
      <c r="G4275" s="85"/>
      <c r="H4275" s="86"/>
      <c r="I4275" s="86"/>
      <c r="J4275" s="87"/>
      <c r="K4275" s="85"/>
      <c r="L4275" s="85"/>
      <c r="P4275" s="85"/>
      <c r="Q4275" s="85"/>
      <c r="R4275" s="81"/>
    </row>
    <row r="4276" spans="7:18" x14ac:dyDescent="0.3">
      <c r="G4276" s="85"/>
      <c r="H4276" s="86"/>
      <c r="I4276" s="86"/>
      <c r="J4276" s="87"/>
      <c r="K4276" s="85"/>
      <c r="L4276" s="85"/>
      <c r="P4276" s="85"/>
      <c r="Q4276" s="85"/>
      <c r="R4276" s="81"/>
    </row>
    <row r="4277" spans="7:18" x14ac:dyDescent="0.3">
      <c r="G4277" s="85"/>
      <c r="H4277" s="86"/>
      <c r="I4277" s="86"/>
      <c r="J4277" s="87"/>
      <c r="K4277" s="85"/>
      <c r="L4277" s="85"/>
      <c r="P4277" s="85"/>
      <c r="Q4277" s="85"/>
      <c r="R4277" s="81"/>
    </row>
    <row r="4278" spans="7:18" x14ac:dyDescent="0.3">
      <c r="G4278" s="85"/>
      <c r="H4278" s="86"/>
      <c r="I4278" s="86"/>
      <c r="J4278" s="87"/>
      <c r="K4278" s="85"/>
      <c r="L4278" s="85"/>
      <c r="P4278" s="85"/>
      <c r="Q4278" s="85"/>
      <c r="R4278" s="81"/>
    </row>
    <row r="4279" spans="7:18" x14ac:dyDescent="0.3">
      <c r="G4279" s="85"/>
      <c r="H4279" s="86"/>
      <c r="I4279" s="86"/>
      <c r="J4279" s="87"/>
      <c r="K4279" s="85"/>
      <c r="L4279" s="85"/>
      <c r="P4279" s="85"/>
      <c r="Q4279" s="85"/>
      <c r="R4279" s="81"/>
    </row>
    <row r="4280" spans="7:18" x14ac:dyDescent="0.3">
      <c r="G4280" s="85"/>
      <c r="H4280" s="86"/>
      <c r="I4280" s="86"/>
      <c r="J4280" s="87"/>
      <c r="K4280" s="85"/>
      <c r="L4280" s="85"/>
      <c r="P4280" s="85"/>
      <c r="Q4280" s="85"/>
      <c r="R4280" s="81"/>
    </row>
    <row r="4281" spans="7:18" x14ac:dyDescent="0.3">
      <c r="G4281" s="85"/>
      <c r="H4281" s="86"/>
      <c r="I4281" s="86"/>
      <c r="J4281" s="87"/>
      <c r="K4281" s="85"/>
      <c r="L4281" s="85"/>
      <c r="P4281" s="85"/>
      <c r="Q4281" s="85"/>
      <c r="R4281" s="81"/>
    </row>
    <row r="4282" spans="7:18" x14ac:dyDescent="0.3">
      <c r="G4282" s="85"/>
      <c r="H4282" s="86"/>
      <c r="I4282" s="86"/>
      <c r="J4282" s="87"/>
      <c r="K4282" s="85"/>
      <c r="L4282" s="85"/>
      <c r="P4282" s="85"/>
      <c r="Q4282" s="85"/>
      <c r="R4282" s="81"/>
    </row>
    <row r="4283" spans="7:18" x14ac:dyDescent="0.3">
      <c r="G4283" s="85"/>
      <c r="H4283" s="86"/>
      <c r="I4283" s="86"/>
      <c r="J4283" s="87"/>
      <c r="K4283" s="85"/>
      <c r="L4283" s="85"/>
      <c r="P4283" s="85"/>
      <c r="Q4283" s="85"/>
      <c r="R4283" s="81"/>
    </row>
    <row r="4284" spans="7:18" x14ac:dyDescent="0.3">
      <c r="G4284" s="85"/>
      <c r="H4284" s="86"/>
      <c r="I4284" s="86"/>
      <c r="J4284" s="87"/>
      <c r="K4284" s="85"/>
      <c r="L4284" s="85"/>
      <c r="P4284" s="85"/>
      <c r="Q4284" s="85"/>
      <c r="R4284" s="81"/>
    </row>
    <row r="4285" spans="7:18" x14ac:dyDescent="0.3">
      <c r="G4285" s="85"/>
      <c r="H4285" s="86"/>
      <c r="I4285" s="86"/>
      <c r="J4285" s="87"/>
      <c r="K4285" s="85"/>
      <c r="L4285" s="85"/>
      <c r="P4285" s="85"/>
      <c r="Q4285" s="85"/>
      <c r="R4285" s="81"/>
    </row>
    <row r="4286" spans="7:18" x14ac:dyDescent="0.3">
      <c r="G4286" s="85"/>
      <c r="H4286" s="86"/>
      <c r="I4286" s="86"/>
      <c r="J4286" s="87"/>
      <c r="K4286" s="85"/>
      <c r="L4286" s="85"/>
      <c r="P4286" s="85"/>
      <c r="Q4286" s="85"/>
      <c r="R4286" s="81"/>
    </row>
    <row r="4287" spans="7:18" x14ac:dyDescent="0.3">
      <c r="G4287" s="85"/>
      <c r="H4287" s="86"/>
      <c r="I4287" s="86"/>
      <c r="J4287" s="87"/>
      <c r="K4287" s="85"/>
      <c r="L4287" s="85"/>
      <c r="P4287" s="85"/>
      <c r="Q4287" s="85"/>
      <c r="R4287" s="81"/>
    </row>
    <row r="4288" spans="7:18" x14ac:dyDescent="0.3">
      <c r="G4288" s="85"/>
      <c r="H4288" s="86"/>
      <c r="I4288" s="86"/>
      <c r="J4288" s="87"/>
      <c r="K4288" s="85"/>
      <c r="L4288" s="85"/>
      <c r="P4288" s="85"/>
      <c r="Q4288" s="85"/>
      <c r="R4288" s="81"/>
    </row>
    <row r="4289" spans="7:18" x14ac:dyDescent="0.3">
      <c r="G4289" s="85"/>
      <c r="H4289" s="86"/>
      <c r="I4289" s="86"/>
      <c r="J4289" s="87"/>
      <c r="K4289" s="85"/>
      <c r="L4289" s="85"/>
      <c r="P4289" s="85"/>
      <c r="Q4289" s="85"/>
      <c r="R4289" s="81"/>
    </row>
    <row r="4290" spans="7:18" x14ac:dyDescent="0.3">
      <c r="G4290" s="85"/>
      <c r="H4290" s="86"/>
      <c r="I4290" s="86"/>
      <c r="J4290" s="87"/>
      <c r="K4290" s="85"/>
      <c r="L4290" s="85"/>
      <c r="P4290" s="85"/>
      <c r="Q4290" s="85"/>
      <c r="R4290" s="81"/>
    </row>
    <row r="4291" spans="7:18" x14ac:dyDescent="0.3">
      <c r="G4291" s="85"/>
      <c r="H4291" s="86"/>
      <c r="I4291" s="86"/>
      <c r="J4291" s="87"/>
      <c r="K4291" s="85"/>
      <c r="L4291" s="85"/>
      <c r="P4291" s="85"/>
      <c r="Q4291" s="85"/>
      <c r="R4291" s="81"/>
    </row>
    <row r="4292" spans="7:18" x14ac:dyDescent="0.3">
      <c r="G4292" s="85"/>
      <c r="H4292" s="86"/>
      <c r="I4292" s="86"/>
      <c r="J4292" s="87"/>
      <c r="K4292" s="85"/>
      <c r="L4292" s="85"/>
      <c r="P4292" s="85"/>
      <c r="Q4292" s="85"/>
      <c r="R4292" s="81"/>
    </row>
    <row r="4293" spans="7:18" x14ac:dyDescent="0.3">
      <c r="G4293" s="85"/>
      <c r="H4293" s="86"/>
      <c r="I4293" s="86"/>
      <c r="J4293" s="87"/>
      <c r="K4293" s="85"/>
      <c r="L4293" s="85"/>
      <c r="P4293" s="85"/>
      <c r="Q4293" s="85"/>
      <c r="R4293" s="81"/>
    </row>
    <row r="4294" spans="7:18" x14ac:dyDescent="0.3">
      <c r="G4294" s="85"/>
      <c r="H4294" s="86"/>
      <c r="I4294" s="86"/>
      <c r="J4294" s="87"/>
      <c r="K4294" s="85"/>
      <c r="L4294" s="85"/>
      <c r="P4294" s="85"/>
      <c r="Q4294" s="85"/>
      <c r="R4294" s="81"/>
    </row>
    <row r="4295" spans="7:18" x14ac:dyDescent="0.3">
      <c r="G4295" s="85"/>
      <c r="H4295" s="86"/>
      <c r="I4295" s="86"/>
      <c r="J4295" s="87"/>
      <c r="K4295" s="85"/>
      <c r="L4295" s="85"/>
      <c r="P4295" s="85"/>
      <c r="Q4295" s="85"/>
      <c r="R4295" s="81"/>
    </row>
    <row r="4296" spans="7:18" x14ac:dyDescent="0.3">
      <c r="G4296" s="85"/>
      <c r="H4296" s="86"/>
      <c r="I4296" s="86"/>
      <c r="J4296" s="87"/>
      <c r="K4296" s="85"/>
      <c r="L4296" s="85"/>
      <c r="P4296" s="85"/>
      <c r="Q4296" s="85"/>
      <c r="R4296" s="81"/>
    </row>
    <row r="4297" spans="7:18" x14ac:dyDescent="0.3">
      <c r="G4297" s="85"/>
      <c r="H4297" s="86"/>
      <c r="I4297" s="86"/>
      <c r="J4297" s="87"/>
      <c r="K4297" s="85"/>
      <c r="L4297" s="85"/>
      <c r="P4297" s="85"/>
      <c r="Q4297" s="85"/>
      <c r="R4297" s="81"/>
    </row>
    <row r="4298" spans="7:18" x14ac:dyDescent="0.3">
      <c r="G4298" s="85"/>
      <c r="H4298" s="86"/>
      <c r="I4298" s="86"/>
      <c r="J4298" s="87"/>
      <c r="K4298" s="85"/>
      <c r="L4298" s="85"/>
      <c r="P4298" s="85"/>
      <c r="Q4298" s="85"/>
      <c r="R4298" s="81"/>
    </row>
    <row r="4299" spans="7:18" x14ac:dyDescent="0.3">
      <c r="G4299" s="85"/>
      <c r="H4299" s="86"/>
      <c r="I4299" s="86"/>
      <c r="J4299" s="87"/>
      <c r="K4299" s="85"/>
      <c r="L4299" s="85"/>
      <c r="P4299" s="85"/>
      <c r="Q4299" s="85"/>
      <c r="R4299" s="81"/>
    </row>
    <row r="4300" spans="7:18" x14ac:dyDescent="0.3">
      <c r="G4300" s="85"/>
      <c r="H4300" s="86"/>
      <c r="I4300" s="86"/>
      <c r="J4300" s="87"/>
      <c r="K4300" s="85"/>
      <c r="L4300" s="85"/>
      <c r="P4300" s="85"/>
      <c r="Q4300" s="85"/>
      <c r="R4300" s="81"/>
    </row>
    <row r="4301" spans="7:18" x14ac:dyDescent="0.3">
      <c r="G4301" s="85"/>
      <c r="H4301" s="86"/>
      <c r="I4301" s="86"/>
      <c r="J4301" s="87"/>
      <c r="K4301" s="85"/>
      <c r="L4301" s="85"/>
      <c r="P4301" s="85"/>
      <c r="Q4301" s="85"/>
      <c r="R4301" s="81"/>
    </row>
    <row r="4302" spans="7:18" x14ac:dyDescent="0.3">
      <c r="G4302" s="85"/>
      <c r="H4302" s="86"/>
      <c r="I4302" s="86"/>
      <c r="J4302" s="87"/>
      <c r="K4302" s="85"/>
      <c r="L4302" s="85"/>
      <c r="P4302" s="85"/>
      <c r="Q4302" s="85"/>
      <c r="R4302" s="81"/>
    </row>
    <row r="4303" spans="7:18" x14ac:dyDescent="0.3">
      <c r="G4303" s="85"/>
      <c r="H4303" s="86"/>
      <c r="I4303" s="86"/>
      <c r="J4303" s="87"/>
      <c r="K4303" s="85"/>
      <c r="L4303" s="85"/>
      <c r="P4303" s="85"/>
      <c r="Q4303" s="85"/>
      <c r="R4303" s="81"/>
    </row>
    <row r="4304" spans="7:18" x14ac:dyDescent="0.3">
      <c r="G4304" s="85"/>
      <c r="H4304" s="86"/>
      <c r="I4304" s="86"/>
      <c r="J4304" s="87"/>
      <c r="K4304" s="85"/>
      <c r="L4304" s="85"/>
      <c r="P4304" s="85"/>
      <c r="Q4304" s="85"/>
      <c r="R4304" s="81"/>
    </row>
    <row r="4305" spans="7:18" x14ac:dyDescent="0.3">
      <c r="G4305" s="85"/>
      <c r="H4305" s="86"/>
      <c r="I4305" s="86"/>
      <c r="J4305" s="87"/>
      <c r="K4305" s="85"/>
      <c r="L4305" s="85"/>
      <c r="P4305" s="85"/>
      <c r="Q4305" s="85"/>
      <c r="R4305" s="81"/>
    </row>
    <row r="4306" spans="7:18" x14ac:dyDescent="0.3">
      <c r="G4306" s="85"/>
      <c r="H4306" s="86"/>
      <c r="I4306" s="86"/>
      <c r="J4306" s="87"/>
      <c r="K4306" s="85"/>
      <c r="L4306" s="85"/>
      <c r="P4306" s="85"/>
      <c r="Q4306" s="85"/>
      <c r="R4306" s="81"/>
    </row>
    <row r="4307" spans="7:18" x14ac:dyDescent="0.3">
      <c r="G4307" s="85"/>
      <c r="H4307" s="86"/>
      <c r="I4307" s="86"/>
      <c r="J4307" s="87"/>
      <c r="K4307" s="85"/>
      <c r="L4307" s="85"/>
      <c r="P4307" s="85"/>
      <c r="Q4307" s="85"/>
      <c r="R4307" s="81"/>
    </row>
    <row r="4308" spans="7:18" x14ac:dyDescent="0.3">
      <c r="G4308" s="85"/>
      <c r="H4308" s="86"/>
      <c r="I4308" s="86"/>
      <c r="J4308" s="87"/>
      <c r="K4308" s="85"/>
      <c r="L4308" s="85"/>
      <c r="P4308" s="85"/>
      <c r="Q4308" s="85"/>
      <c r="R4308" s="81"/>
    </row>
    <row r="4309" spans="7:18" x14ac:dyDescent="0.3">
      <c r="G4309" s="85"/>
      <c r="H4309" s="86"/>
      <c r="I4309" s="86"/>
      <c r="J4309" s="87"/>
      <c r="K4309" s="85"/>
      <c r="L4309" s="85"/>
      <c r="P4309" s="85"/>
      <c r="Q4309" s="85"/>
      <c r="R4309" s="81"/>
    </row>
    <row r="4310" spans="7:18" x14ac:dyDescent="0.3">
      <c r="G4310" s="85"/>
      <c r="H4310" s="86"/>
      <c r="I4310" s="86"/>
      <c r="J4310" s="87"/>
      <c r="K4310" s="85"/>
      <c r="L4310" s="85"/>
      <c r="P4310" s="85"/>
      <c r="Q4310" s="85"/>
      <c r="R4310" s="81"/>
    </row>
    <row r="4311" spans="7:18" x14ac:dyDescent="0.3">
      <c r="G4311" s="85"/>
      <c r="H4311" s="86"/>
      <c r="I4311" s="86"/>
      <c r="J4311" s="87"/>
      <c r="K4311" s="85"/>
      <c r="L4311" s="85"/>
      <c r="P4311" s="85"/>
      <c r="Q4311" s="85"/>
      <c r="R4311" s="81"/>
    </row>
    <row r="4312" spans="7:18" x14ac:dyDescent="0.3">
      <c r="G4312" s="85"/>
      <c r="H4312" s="86"/>
      <c r="I4312" s="86"/>
      <c r="J4312" s="87"/>
      <c r="K4312" s="85"/>
      <c r="L4312" s="85"/>
      <c r="P4312" s="85"/>
      <c r="Q4312" s="85"/>
      <c r="R4312" s="81"/>
    </row>
    <row r="4313" spans="7:18" x14ac:dyDescent="0.3">
      <c r="G4313" s="85"/>
      <c r="H4313" s="86"/>
      <c r="I4313" s="86"/>
      <c r="J4313" s="87"/>
      <c r="K4313" s="85"/>
      <c r="L4313" s="85"/>
      <c r="P4313" s="85"/>
      <c r="Q4313" s="85"/>
      <c r="R4313" s="81"/>
    </row>
    <row r="4314" spans="7:18" x14ac:dyDescent="0.3">
      <c r="G4314" s="85"/>
      <c r="H4314" s="86"/>
      <c r="I4314" s="86"/>
      <c r="J4314" s="87"/>
      <c r="K4314" s="85"/>
      <c r="L4314" s="85"/>
      <c r="P4314" s="85"/>
      <c r="Q4314" s="85"/>
      <c r="R4314" s="81"/>
    </row>
    <row r="4315" spans="7:18" x14ac:dyDescent="0.3">
      <c r="G4315" s="85"/>
      <c r="H4315" s="86"/>
      <c r="I4315" s="86"/>
      <c r="J4315" s="87"/>
      <c r="K4315" s="85"/>
      <c r="L4315" s="85"/>
      <c r="P4315" s="85"/>
      <c r="Q4315" s="85"/>
      <c r="R4315" s="81"/>
    </row>
    <row r="4316" spans="7:18" x14ac:dyDescent="0.3">
      <c r="G4316" s="85"/>
      <c r="H4316" s="86"/>
      <c r="I4316" s="86"/>
      <c r="J4316" s="87"/>
      <c r="K4316" s="85"/>
      <c r="L4316" s="85"/>
      <c r="P4316" s="85"/>
      <c r="Q4316" s="85"/>
      <c r="R4316" s="81"/>
    </row>
    <row r="4317" spans="7:18" x14ac:dyDescent="0.3">
      <c r="G4317" s="85"/>
      <c r="H4317" s="86"/>
      <c r="I4317" s="86"/>
      <c r="J4317" s="87"/>
      <c r="K4317" s="85"/>
      <c r="L4317" s="85"/>
      <c r="P4317" s="85"/>
      <c r="Q4317" s="85"/>
      <c r="R4317" s="81"/>
    </row>
    <row r="4318" spans="7:18" x14ac:dyDescent="0.3">
      <c r="G4318" s="85"/>
      <c r="H4318" s="86"/>
      <c r="I4318" s="86"/>
      <c r="J4318" s="87"/>
      <c r="K4318" s="85"/>
      <c r="L4318" s="85"/>
      <c r="P4318" s="85"/>
      <c r="Q4318" s="85"/>
      <c r="R4318" s="81"/>
    </row>
    <row r="4319" spans="7:18" x14ac:dyDescent="0.3">
      <c r="G4319" s="85"/>
      <c r="H4319" s="86"/>
      <c r="I4319" s="86"/>
      <c r="J4319" s="87"/>
      <c r="K4319" s="85"/>
      <c r="L4319" s="85"/>
      <c r="P4319" s="85"/>
      <c r="Q4319" s="85"/>
      <c r="R4319" s="81"/>
    </row>
    <row r="4320" spans="7:18" x14ac:dyDescent="0.3">
      <c r="G4320" s="85"/>
      <c r="H4320" s="86"/>
      <c r="I4320" s="86"/>
      <c r="J4320" s="87"/>
      <c r="K4320" s="85"/>
      <c r="L4320" s="85"/>
      <c r="P4320" s="85"/>
      <c r="Q4320" s="85"/>
      <c r="R4320" s="81"/>
    </row>
    <row r="4321" spans="7:18" x14ac:dyDescent="0.3">
      <c r="G4321" s="85"/>
      <c r="H4321" s="86"/>
      <c r="I4321" s="86"/>
      <c r="J4321" s="87"/>
      <c r="K4321" s="85"/>
      <c r="L4321" s="85"/>
      <c r="P4321" s="85"/>
      <c r="Q4321" s="85"/>
      <c r="R4321" s="81"/>
    </row>
    <row r="4322" spans="7:18" x14ac:dyDescent="0.3">
      <c r="G4322" s="85"/>
      <c r="H4322" s="86"/>
      <c r="I4322" s="86"/>
      <c r="J4322" s="87"/>
      <c r="K4322" s="85"/>
      <c r="L4322" s="85"/>
      <c r="P4322" s="85"/>
      <c r="Q4322" s="85"/>
      <c r="R4322" s="81"/>
    </row>
    <row r="4323" spans="7:18" x14ac:dyDescent="0.3">
      <c r="G4323" s="85"/>
      <c r="H4323" s="86"/>
      <c r="I4323" s="86"/>
      <c r="J4323" s="87"/>
      <c r="K4323" s="85"/>
      <c r="L4323" s="85"/>
      <c r="P4323" s="85"/>
      <c r="Q4323" s="85"/>
      <c r="R4323" s="81"/>
    </row>
    <row r="4324" spans="7:18" x14ac:dyDescent="0.3">
      <c r="G4324" s="85"/>
      <c r="H4324" s="86"/>
      <c r="I4324" s="86"/>
      <c r="J4324" s="87"/>
      <c r="K4324" s="85"/>
      <c r="L4324" s="85"/>
      <c r="P4324" s="85"/>
      <c r="Q4324" s="85"/>
      <c r="R4324" s="81"/>
    </row>
    <row r="4325" spans="7:18" x14ac:dyDescent="0.3">
      <c r="G4325" s="85"/>
      <c r="H4325" s="86"/>
      <c r="I4325" s="86"/>
      <c r="J4325" s="87"/>
      <c r="K4325" s="85"/>
      <c r="L4325" s="85"/>
      <c r="P4325" s="85"/>
      <c r="Q4325" s="85"/>
      <c r="R4325" s="81"/>
    </row>
    <row r="4326" spans="7:18" x14ac:dyDescent="0.3">
      <c r="G4326" s="85"/>
      <c r="H4326" s="86"/>
      <c r="I4326" s="86"/>
      <c r="J4326" s="87"/>
      <c r="K4326" s="85"/>
      <c r="L4326" s="85"/>
      <c r="P4326" s="85"/>
      <c r="Q4326" s="85"/>
      <c r="R4326" s="81"/>
    </row>
    <row r="4327" spans="7:18" x14ac:dyDescent="0.3">
      <c r="G4327" s="85"/>
      <c r="H4327" s="86"/>
      <c r="I4327" s="86"/>
      <c r="J4327" s="87"/>
      <c r="K4327" s="85"/>
      <c r="L4327" s="85"/>
      <c r="P4327" s="85"/>
      <c r="Q4327" s="85"/>
      <c r="R4327" s="81"/>
    </row>
    <row r="4328" spans="7:18" x14ac:dyDescent="0.3">
      <c r="G4328" s="85"/>
      <c r="H4328" s="86"/>
      <c r="I4328" s="86"/>
      <c r="J4328" s="87"/>
      <c r="K4328" s="85"/>
      <c r="L4328" s="85"/>
      <c r="P4328" s="85"/>
      <c r="Q4328" s="85"/>
      <c r="R4328" s="81"/>
    </row>
    <row r="4329" spans="7:18" x14ac:dyDescent="0.3">
      <c r="G4329" s="85"/>
      <c r="H4329" s="86"/>
      <c r="I4329" s="86"/>
      <c r="J4329" s="87"/>
      <c r="K4329" s="85"/>
      <c r="L4329" s="85"/>
      <c r="P4329" s="85"/>
      <c r="Q4329" s="85"/>
      <c r="R4329" s="81"/>
    </row>
    <row r="4330" spans="7:18" x14ac:dyDescent="0.3">
      <c r="G4330" s="85"/>
      <c r="H4330" s="86"/>
      <c r="I4330" s="86"/>
      <c r="J4330" s="87"/>
      <c r="K4330" s="85"/>
      <c r="L4330" s="85"/>
      <c r="P4330" s="85"/>
      <c r="Q4330" s="85"/>
      <c r="R4330" s="81"/>
    </row>
    <row r="4331" spans="7:18" x14ac:dyDescent="0.3">
      <c r="G4331" s="85"/>
      <c r="H4331" s="86"/>
      <c r="I4331" s="86"/>
      <c r="J4331" s="87"/>
      <c r="K4331" s="85"/>
      <c r="L4331" s="85"/>
      <c r="P4331" s="85"/>
      <c r="Q4331" s="85"/>
      <c r="R4331" s="81"/>
    </row>
    <row r="4332" spans="7:18" x14ac:dyDescent="0.3">
      <c r="G4332" s="85"/>
      <c r="H4332" s="86"/>
      <c r="I4332" s="86"/>
      <c r="J4332" s="87"/>
      <c r="K4332" s="85"/>
      <c r="L4332" s="85"/>
      <c r="P4332" s="85"/>
      <c r="Q4332" s="85"/>
      <c r="R4332" s="81"/>
    </row>
    <row r="4333" spans="7:18" x14ac:dyDescent="0.3">
      <c r="G4333" s="85"/>
      <c r="H4333" s="86"/>
      <c r="I4333" s="86"/>
      <c r="J4333" s="87"/>
      <c r="K4333" s="85"/>
      <c r="L4333" s="85"/>
      <c r="P4333" s="85"/>
      <c r="Q4333" s="85"/>
      <c r="R4333" s="81"/>
    </row>
    <row r="4334" spans="7:18" x14ac:dyDescent="0.3">
      <c r="G4334" s="85"/>
      <c r="H4334" s="86"/>
      <c r="I4334" s="86"/>
      <c r="J4334" s="87"/>
      <c r="K4334" s="85"/>
      <c r="L4334" s="85"/>
      <c r="P4334" s="85"/>
      <c r="Q4334" s="85"/>
      <c r="R4334" s="81"/>
    </row>
    <row r="4335" spans="7:18" x14ac:dyDescent="0.3">
      <c r="G4335" s="85"/>
      <c r="H4335" s="86"/>
      <c r="I4335" s="86"/>
      <c r="J4335" s="87"/>
      <c r="K4335" s="85"/>
      <c r="L4335" s="85"/>
      <c r="P4335" s="85"/>
      <c r="Q4335" s="85"/>
      <c r="R4335" s="81"/>
    </row>
    <row r="4336" spans="7:18" x14ac:dyDescent="0.3">
      <c r="G4336" s="85"/>
      <c r="H4336" s="86"/>
      <c r="I4336" s="86"/>
      <c r="J4336" s="87"/>
      <c r="K4336" s="85"/>
      <c r="L4336" s="85"/>
      <c r="P4336" s="85"/>
      <c r="Q4336" s="85"/>
      <c r="R4336" s="81"/>
    </row>
    <row r="4337" spans="7:18" x14ac:dyDescent="0.3">
      <c r="G4337" s="85"/>
      <c r="H4337" s="86"/>
      <c r="I4337" s="86"/>
      <c r="J4337" s="87"/>
      <c r="K4337" s="85"/>
      <c r="L4337" s="85"/>
      <c r="P4337" s="85"/>
      <c r="Q4337" s="85"/>
      <c r="R4337" s="81"/>
    </row>
    <row r="4338" spans="7:18" x14ac:dyDescent="0.3">
      <c r="G4338" s="85"/>
      <c r="H4338" s="86"/>
      <c r="I4338" s="86"/>
      <c r="J4338" s="87"/>
      <c r="K4338" s="85"/>
      <c r="L4338" s="85"/>
      <c r="P4338" s="85"/>
      <c r="Q4338" s="85"/>
      <c r="R4338" s="81"/>
    </row>
    <row r="4339" spans="7:18" x14ac:dyDescent="0.3">
      <c r="G4339" s="85"/>
      <c r="H4339" s="86"/>
      <c r="I4339" s="86"/>
      <c r="J4339" s="87"/>
      <c r="K4339" s="85"/>
      <c r="L4339" s="85"/>
      <c r="P4339" s="85"/>
      <c r="Q4339" s="85"/>
      <c r="R4339" s="81"/>
    </row>
    <row r="4340" spans="7:18" x14ac:dyDescent="0.3">
      <c r="G4340" s="85"/>
      <c r="H4340" s="86"/>
      <c r="I4340" s="86"/>
      <c r="J4340" s="87"/>
      <c r="K4340" s="85"/>
      <c r="L4340" s="85"/>
      <c r="P4340" s="85"/>
      <c r="Q4340" s="85"/>
      <c r="R4340" s="81"/>
    </row>
    <row r="4341" spans="7:18" x14ac:dyDescent="0.3">
      <c r="G4341" s="85"/>
      <c r="H4341" s="86"/>
      <c r="I4341" s="86"/>
      <c r="J4341" s="87"/>
      <c r="K4341" s="85"/>
      <c r="L4341" s="85"/>
      <c r="P4341" s="85"/>
      <c r="Q4341" s="85"/>
      <c r="R4341" s="81"/>
    </row>
    <row r="4342" spans="7:18" x14ac:dyDescent="0.3">
      <c r="G4342" s="85"/>
      <c r="H4342" s="86"/>
      <c r="I4342" s="86"/>
      <c r="J4342" s="87"/>
      <c r="K4342" s="85"/>
      <c r="L4342" s="85"/>
      <c r="P4342" s="85"/>
      <c r="Q4342" s="85"/>
      <c r="R4342" s="81"/>
    </row>
    <row r="4343" spans="7:18" x14ac:dyDescent="0.3">
      <c r="G4343" s="85"/>
      <c r="H4343" s="86"/>
      <c r="I4343" s="86"/>
      <c r="J4343" s="87"/>
      <c r="K4343" s="85"/>
      <c r="L4343" s="85"/>
      <c r="P4343" s="85"/>
      <c r="Q4343" s="85"/>
      <c r="R4343" s="81"/>
    </row>
    <row r="4344" spans="7:18" x14ac:dyDescent="0.3">
      <c r="G4344" s="85"/>
      <c r="H4344" s="86"/>
      <c r="I4344" s="86"/>
      <c r="J4344" s="87"/>
      <c r="K4344" s="85"/>
      <c r="L4344" s="85"/>
      <c r="P4344" s="85"/>
      <c r="Q4344" s="85"/>
      <c r="R4344" s="81"/>
    </row>
    <row r="4345" spans="7:18" x14ac:dyDescent="0.3">
      <c r="G4345" s="85"/>
      <c r="H4345" s="86"/>
      <c r="I4345" s="86"/>
      <c r="J4345" s="87"/>
      <c r="K4345" s="85"/>
      <c r="L4345" s="85"/>
      <c r="P4345" s="85"/>
      <c r="Q4345" s="85"/>
      <c r="R4345" s="81"/>
    </row>
    <row r="4346" spans="7:18" x14ac:dyDescent="0.3">
      <c r="G4346" s="85"/>
      <c r="H4346" s="86"/>
      <c r="I4346" s="86"/>
      <c r="J4346" s="87"/>
      <c r="K4346" s="85"/>
      <c r="L4346" s="85"/>
      <c r="P4346" s="85"/>
      <c r="Q4346" s="85"/>
      <c r="R4346" s="81"/>
    </row>
    <row r="4347" spans="7:18" x14ac:dyDescent="0.3">
      <c r="G4347" s="85"/>
      <c r="H4347" s="86"/>
      <c r="I4347" s="86"/>
      <c r="J4347" s="87"/>
      <c r="K4347" s="85"/>
      <c r="L4347" s="85"/>
      <c r="P4347" s="85"/>
      <c r="Q4347" s="85"/>
      <c r="R4347" s="81"/>
    </row>
    <row r="4348" spans="7:18" x14ac:dyDescent="0.3">
      <c r="G4348" s="85"/>
      <c r="H4348" s="86"/>
      <c r="I4348" s="86"/>
      <c r="J4348" s="87"/>
      <c r="K4348" s="85"/>
      <c r="L4348" s="85"/>
      <c r="P4348" s="85"/>
      <c r="Q4348" s="85"/>
      <c r="R4348" s="81"/>
    </row>
    <row r="4349" spans="7:18" x14ac:dyDescent="0.3">
      <c r="G4349" s="85"/>
      <c r="H4349" s="86"/>
      <c r="I4349" s="86"/>
      <c r="J4349" s="87"/>
      <c r="K4349" s="85"/>
      <c r="L4349" s="85"/>
      <c r="P4349" s="85"/>
      <c r="Q4349" s="85"/>
      <c r="R4349" s="81"/>
    </row>
    <row r="4350" spans="7:18" x14ac:dyDescent="0.3">
      <c r="G4350" s="85"/>
      <c r="H4350" s="86"/>
      <c r="I4350" s="86"/>
      <c r="J4350" s="87"/>
      <c r="K4350" s="85"/>
      <c r="L4350" s="85"/>
      <c r="P4350" s="85"/>
      <c r="Q4350" s="85"/>
      <c r="R4350" s="81"/>
    </row>
    <row r="4351" spans="7:18" x14ac:dyDescent="0.3">
      <c r="G4351" s="85"/>
      <c r="H4351" s="86"/>
      <c r="I4351" s="86"/>
      <c r="J4351" s="87"/>
      <c r="K4351" s="85"/>
      <c r="L4351" s="85"/>
      <c r="P4351" s="85"/>
      <c r="Q4351" s="85"/>
      <c r="R4351" s="81"/>
    </row>
    <row r="4352" spans="7:18" x14ac:dyDescent="0.3">
      <c r="G4352" s="85"/>
      <c r="H4352" s="86"/>
      <c r="I4352" s="86"/>
      <c r="J4352" s="87"/>
      <c r="K4352" s="85"/>
      <c r="L4352" s="85"/>
      <c r="P4352" s="85"/>
      <c r="Q4352" s="85"/>
      <c r="R4352" s="81"/>
    </row>
    <row r="4353" spans="7:18" x14ac:dyDescent="0.3">
      <c r="G4353" s="85"/>
      <c r="H4353" s="86"/>
      <c r="I4353" s="86"/>
      <c r="J4353" s="87"/>
      <c r="K4353" s="85"/>
      <c r="L4353" s="85"/>
      <c r="P4353" s="85"/>
      <c r="Q4353" s="85"/>
      <c r="R4353" s="81"/>
    </row>
    <row r="4354" spans="7:18" x14ac:dyDescent="0.3">
      <c r="G4354" s="85"/>
      <c r="H4354" s="86"/>
      <c r="I4354" s="86"/>
      <c r="J4354" s="87"/>
      <c r="K4354" s="85"/>
      <c r="L4354" s="85"/>
      <c r="P4354" s="85"/>
      <c r="Q4354" s="85"/>
      <c r="R4354" s="81"/>
    </row>
    <row r="4355" spans="7:18" x14ac:dyDescent="0.3">
      <c r="G4355" s="85"/>
      <c r="H4355" s="86"/>
      <c r="I4355" s="86"/>
      <c r="J4355" s="87"/>
      <c r="K4355" s="85"/>
      <c r="L4355" s="85"/>
      <c r="P4355" s="85"/>
      <c r="Q4355" s="85"/>
      <c r="R4355" s="81"/>
    </row>
    <row r="4356" spans="7:18" x14ac:dyDescent="0.3">
      <c r="G4356" s="85"/>
      <c r="H4356" s="86"/>
      <c r="I4356" s="86"/>
      <c r="J4356" s="87"/>
      <c r="K4356" s="85"/>
      <c r="L4356" s="85"/>
      <c r="P4356" s="85"/>
      <c r="Q4356" s="85"/>
      <c r="R4356" s="81"/>
    </row>
    <row r="4357" spans="7:18" x14ac:dyDescent="0.3">
      <c r="G4357" s="85"/>
      <c r="H4357" s="86"/>
      <c r="I4357" s="86"/>
      <c r="J4357" s="87"/>
      <c r="K4357" s="85"/>
      <c r="L4357" s="85"/>
      <c r="P4357" s="85"/>
      <c r="Q4357" s="85"/>
      <c r="R4357" s="81"/>
    </row>
    <row r="4358" spans="7:18" x14ac:dyDescent="0.3">
      <c r="G4358" s="85"/>
      <c r="H4358" s="86"/>
      <c r="I4358" s="86"/>
      <c r="J4358" s="87"/>
      <c r="K4358" s="85"/>
      <c r="L4358" s="85"/>
      <c r="P4358" s="85"/>
      <c r="Q4358" s="85"/>
      <c r="R4358" s="81"/>
    </row>
    <row r="4359" spans="7:18" x14ac:dyDescent="0.3">
      <c r="G4359" s="85"/>
      <c r="H4359" s="86"/>
      <c r="I4359" s="86"/>
      <c r="J4359" s="87"/>
      <c r="K4359" s="85"/>
      <c r="L4359" s="85"/>
      <c r="P4359" s="85"/>
      <c r="Q4359" s="85"/>
      <c r="R4359" s="81"/>
    </row>
    <row r="4360" spans="7:18" x14ac:dyDescent="0.3">
      <c r="G4360" s="85"/>
      <c r="H4360" s="86"/>
      <c r="I4360" s="86"/>
      <c r="J4360" s="87"/>
      <c r="K4360" s="85"/>
      <c r="L4360" s="85"/>
      <c r="P4360" s="85"/>
      <c r="Q4360" s="85"/>
      <c r="R4360" s="81"/>
    </row>
    <row r="4361" spans="7:18" x14ac:dyDescent="0.3">
      <c r="G4361" s="85"/>
      <c r="H4361" s="86"/>
      <c r="I4361" s="86"/>
      <c r="J4361" s="87"/>
      <c r="K4361" s="85"/>
      <c r="L4361" s="85"/>
      <c r="P4361" s="85"/>
      <c r="Q4361" s="85"/>
      <c r="R4361" s="81"/>
    </row>
    <row r="4362" spans="7:18" x14ac:dyDescent="0.3">
      <c r="G4362" s="85"/>
      <c r="H4362" s="86"/>
      <c r="I4362" s="86"/>
      <c r="J4362" s="87"/>
      <c r="K4362" s="85"/>
      <c r="L4362" s="85"/>
      <c r="P4362" s="85"/>
      <c r="Q4362" s="85"/>
      <c r="R4362" s="81"/>
    </row>
    <row r="4363" spans="7:18" x14ac:dyDescent="0.3">
      <c r="G4363" s="85"/>
      <c r="H4363" s="86"/>
      <c r="I4363" s="86"/>
      <c r="J4363" s="87"/>
      <c r="K4363" s="85"/>
      <c r="L4363" s="85"/>
      <c r="P4363" s="85"/>
      <c r="Q4363" s="85"/>
      <c r="R4363" s="81"/>
    </row>
    <row r="4364" spans="7:18" x14ac:dyDescent="0.3">
      <c r="G4364" s="85"/>
      <c r="H4364" s="86"/>
      <c r="I4364" s="86"/>
      <c r="J4364" s="87"/>
      <c r="K4364" s="85"/>
      <c r="L4364" s="85"/>
      <c r="P4364" s="85"/>
      <c r="Q4364" s="85"/>
      <c r="R4364" s="81"/>
    </row>
    <row r="4365" spans="7:18" x14ac:dyDescent="0.3">
      <c r="G4365" s="85"/>
      <c r="H4365" s="86"/>
      <c r="I4365" s="86"/>
      <c r="J4365" s="87"/>
      <c r="K4365" s="85"/>
      <c r="L4365" s="85"/>
      <c r="P4365" s="85"/>
      <c r="Q4365" s="85"/>
      <c r="R4365" s="81"/>
    </row>
    <row r="4366" spans="7:18" x14ac:dyDescent="0.3">
      <c r="G4366" s="85"/>
      <c r="H4366" s="86"/>
      <c r="I4366" s="86"/>
      <c r="J4366" s="87"/>
      <c r="K4366" s="85"/>
      <c r="L4366" s="85"/>
      <c r="P4366" s="85"/>
      <c r="Q4366" s="85"/>
      <c r="R4366" s="81"/>
    </row>
    <row r="4367" spans="7:18" x14ac:dyDescent="0.3">
      <c r="G4367" s="85"/>
      <c r="H4367" s="86"/>
      <c r="I4367" s="86"/>
      <c r="J4367" s="87"/>
      <c r="K4367" s="85"/>
      <c r="L4367" s="85"/>
      <c r="P4367" s="85"/>
      <c r="Q4367" s="85"/>
      <c r="R4367" s="81"/>
    </row>
    <row r="4368" spans="7:18" x14ac:dyDescent="0.3">
      <c r="G4368" s="85"/>
      <c r="H4368" s="86"/>
      <c r="I4368" s="86"/>
      <c r="J4368" s="87"/>
      <c r="K4368" s="85"/>
      <c r="L4368" s="85"/>
      <c r="P4368" s="85"/>
      <c r="Q4368" s="85"/>
      <c r="R4368" s="81"/>
    </row>
    <row r="4369" spans="7:18" x14ac:dyDescent="0.3">
      <c r="G4369" s="85"/>
      <c r="H4369" s="86"/>
      <c r="I4369" s="86"/>
      <c r="J4369" s="87"/>
      <c r="K4369" s="85"/>
      <c r="L4369" s="85"/>
      <c r="P4369" s="85"/>
      <c r="Q4369" s="85"/>
      <c r="R4369" s="81"/>
    </row>
    <row r="4370" spans="7:18" x14ac:dyDescent="0.3">
      <c r="G4370" s="85"/>
      <c r="H4370" s="86"/>
      <c r="I4370" s="86"/>
      <c r="J4370" s="87"/>
      <c r="K4370" s="85"/>
      <c r="L4370" s="85"/>
      <c r="P4370" s="85"/>
      <c r="Q4370" s="85"/>
      <c r="R4370" s="81"/>
    </row>
    <row r="4371" spans="7:18" x14ac:dyDescent="0.3">
      <c r="G4371" s="85"/>
      <c r="H4371" s="86"/>
      <c r="I4371" s="86"/>
      <c r="J4371" s="87"/>
      <c r="K4371" s="85"/>
      <c r="L4371" s="85"/>
      <c r="P4371" s="85"/>
      <c r="Q4371" s="85"/>
      <c r="R4371" s="81"/>
    </row>
    <row r="4372" spans="7:18" x14ac:dyDescent="0.3">
      <c r="G4372" s="85"/>
      <c r="H4372" s="86"/>
      <c r="I4372" s="86"/>
      <c r="J4372" s="87"/>
      <c r="K4372" s="85"/>
      <c r="L4372" s="85"/>
      <c r="P4372" s="85"/>
      <c r="Q4372" s="85"/>
      <c r="R4372" s="81"/>
    </row>
    <row r="4373" spans="7:18" x14ac:dyDescent="0.3">
      <c r="G4373" s="85"/>
      <c r="H4373" s="86"/>
      <c r="I4373" s="86"/>
      <c r="J4373" s="87"/>
      <c r="K4373" s="85"/>
      <c r="L4373" s="85"/>
      <c r="P4373" s="85"/>
      <c r="Q4373" s="85"/>
      <c r="R4373" s="81"/>
    </row>
    <row r="4374" spans="7:18" x14ac:dyDescent="0.3">
      <c r="G4374" s="85"/>
      <c r="H4374" s="86"/>
      <c r="I4374" s="86"/>
      <c r="J4374" s="87"/>
      <c r="K4374" s="85"/>
      <c r="L4374" s="85"/>
      <c r="P4374" s="85"/>
      <c r="Q4374" s="85"/>
      <c r="R4374" s="81"/>
    </row>
    <row r="4375" spans="7:18" x14ac:dyDescent="0.3">
      <c r="G4375" s="85"/>
      <c r="H4375" s="86"/>
      <c r="I4375" s="86"/>
      <c r="J4375" s="87"/>
      <c r="K4375" s="85"/>
      <c r="L4375" s="85"/>
      <c r="P4375" s="85"/>
      <c r="Q4375" s="85"/>
      <c r="R4375" s="81"/>
    </row>
    <row r="4376" spans="7:18" x14ac:dyDescent="0.3">
      <c r="G4376" s="85"/>
      <c r="H4376" s="86"/>
      <c r="I4376" s="86"/>
      <c r="J4376" s="87"/>
      <c r="K4376" s="85"/>
      <c r="L4376" s="85"/>
      <c r="P4376" s="85"/>
      <c r="Q4376" s="85"/>
      <c r="R4376" s="81"/>
    </row>
    <row r="4377" spans="7:18" x14ac:dyDescent="0.3">
      <c r="G4377" s="85"/>
      <c r="H4377" s="86"/>
      <c r="I4377" s="86"/>
      <c r="J4377" s="87"/>
      <c r="K4377" s="85"/>
      <c r="L4377" s="85"/>
      <c r="P4377" s="85"/>
      <c r="Q4377" s="85"/>
      <c r="R4377" s="81"/>
    </row>
    <row r="4378" spans="7:18" x14ac:dyDescent="0.3">
      <c r="G4378" s="85"/>
      <c r="H4378" s="86"/>
      <c r="I4378" s="86"/>
      <c r="J4378" s="87"/>
      <c r="K4378" s="85"/>
      <c r="L4378" s="85"/>
      <c r="P4378" s="85"/>
      <c r="Q4378" s="85"/>
      <c r="R4378" s="81"/>
    </row>
    <row r="4379" spans="7:18" x14ac:dyDescent="0.3">
      <c r="G4379" s="85"/>
      <c r="H4379" s="86"/>
      <c r="I4379" s="86"/>
      <c r="J4379" s="87"/>
      <c r="K4379" s="85"/>
      <c r="L4379" s="85"/>
      <c r="P4379" s="85"/>
      <c r="Q4379" s="85"/>
      <c r="R4379" s="81"/>
    </row>
    <row r="4380" spans="7:18" x14ac:dyDescent="0.3">
      <c r="G4380" s="85"/>
      <c r="H4380" s="86"/>
      <c r="I4380" s="86"/>
      <c r="J4380" s="87"/>
      <c r="K4380" s="85"/>
      <c r="L4380" s="85"/>
      <c r="P4380" s="85"/>
      <c r="Q4380" s="85"/>
      <c r="R4380" s="81"/>
    </row>
    <row r="4381" spans="7:18" x14ac:dyDescent="0.3">
      <c r="G4381" s="85"/>
      <c r="H4381" s="86"/>
      <c r="I4381" s="86"/>
      <c r="J4381" s="87"/>
      <c r="K4381" s="85"/>
      <c r="L4381" s="85"/>
      <c r="P4381" s="85"/>
      <c r="Q4381" s="85"/>
      <c r="R4381" s="81"/>
    </row>
    <row r="4382" spans="7:18" x14ac:dyDescent="0.3">
      <c r="G4382" s="85"/>
      <c r="H4382" s="86"/>
      <c r="I4382" s="86"/>
      <c r="J4382" s="87"/>
      <c r="K4382" s="85"/>
      <c r="L4382" s="85"/>
      <c r="P4382" s="85"/>
      <c r="Q4382" s="85"/>
      <c r="R4382" s="81"/>
    </row>
    <row r="4383" spans="7:18" x14ac:dyDescent="0.3">
      <c r="G4383" s="85"/>
      <c r="H4383" s="86"/>
      <c r="I4383" s="86"/>
      <c r="J4383" s="87"/>
      <c r="K4383" s="85"/>
      <c r="L4383" s="85"/>
      <c r="P4383" s="85"/>
      <c r="Q4383" s="85"/>
      <c r="R4383" s="81"/>
    </row>
    <row r="4384" spans="7:18" x14ac:dyDescent="0.3">
      <c r="G4384" s="85"/>
      <c r="H4384" s="86"/>
      <c r="I4384" s="86"/>
      <c r="J4384" s="87"/>
      <c r="K4384" s="85"/>
      <c r="L4384" s="85"/>
      <c r="P4384" s="85"/>
      <c r="Q4384" s="85"/>
      <c r="R4384" s="81"/>
    </row>
    <row r="4385" spans="7:18" x14ac:dyDescent="0.3">
      <c r="G4385" s="85"/>
      <c r="H4385" s="86"/>
      <c r="I4385" s="86"/>
      <c r="J4385" s="87"/>
      <c r="K4385" s="85"/>
      <c r="L4385" s="85"/>
      <c r="P4385" s="85"/>
      <c r="Q4385" s="85"/>
      <c r="R4385" s="81"/>
    </row>
    <row r="4386" spans="7:18" x14ac:dyDescent="0.3">
      <c r="G4386" s="85"/>
      <c r="H4386" s="86"/>
      <c r="I4386" s="86"/>
      <c r="J4386" s="87"/>
      <c r="K4386" s="85"/>
      <c r="L4386" s="85"/>
      <c r="P4386" s="85"/>
      <c r="Q4386" s="85"/>
      <c r="R4386" s="81"/>
    </row>
    <row r="4387" spans="7:18" x14ac:dyDescent="0.3">
      <c r="G4387" s="85"/>
      <c r="H4387" s="86"/>
      <c r="I4387" s="86"/>
      <c r="J4387" s="87"/>
      <c r="K4387" s="85"/>
      <c r="L4387" s="85"/>
      <c r="P4387" s="85"/>
      <c r="Q4387" s="85"/>
      <c r="R4387" s="81"/>
    </row>
    <row r="4388" spans="7:18" x14ac:dyDescent="0.3">
      <c r="G4388" s="85"/>
      <c r="H4388" s="86"/>
      <c r="I4388" s="86"/>
      <c r="J4388" s="87"/>
      <c r="K4388" s="85"/>
      <c r="L4388" s="85"/>
      <c r="P4388" s="85"/>
      <c r="Q4388" s="85"/>
      <c r="R4388" s="81"/>
    </row>
    <row r="4389" spans="7:18" x14ac:dyDescent="0.3">
      <c r="G4389" s="85"/>
      <c r="H4389" s="86"/>
      <c r="I4389" s="86"/>
      <c r="J4389" s="87"/>
      <c r="K4389" s="85"/>
      <c r="L4389" s="85"/>
      <c r="P4389" s="85"/>
      <c r="Q4389" s="85"/>
      <c r="R4389" s="81"/>
    </row>
    <row r="4390" spans="7:18" x14ac:dyDescent="0.3">
      <c r="G4390" s="85"/>
      <c r="H4390" s="86"/>
      <c r="I4390" s="86"/>
      <c r="J4390" s="87"/>
      <c r="K4390" s="85"/>
      <c r="L4390" s="85"/>
      <c r="P4390" s="85"/>
      <c r="Q4390" s="85"/>
      <c r="R4390" s="81"/>
    </row>
    <row r="4391" spans="7:18" x14ac:dyDescent="0.3">
      <c r="G4391" s="85"/>
      <c r="H4391" s="86"/>
      <c r="I4391" s="86"/>
      <c r="J4391" s="87"/>
      <c r="K4391" s="85"/>
      <c r="L4391" s="85"/>
      <c r="P4391" s="85"/>
      <c r="Q4391" s="85"/>
      <c r="R4391" s="81"/>
    </row>
    <row r="4392" spans="7:18" x14ac:dyDescent="0.3">
      <c r="G4392" s="85"/>
      <c r="H4392" s="86"/>
      <c r="I4392" s="86"/>
      <c r="J4392" s="87"/>
      <c r="K4392" s="85"/>
      <c r="L4392" s="85"/>
      <c r="P4392" s="85"/>
      <c r="Q4392" s="85"/>
      <c r="R4392" s="81"/>
    </row>
    <row r="4393" spans="7:18" x14ac:dyDescent="0.3">
      <c r="G4393" s="85"/>
      <c r="H4393" s="86"/>
      <c r="I4393" s="86"/>
      <c r="J4393" s="87"/>
      <c r="K4393" s="85"/>
      <c r="L4393" s="85"/>
      <c r="P4393" s="85"/>
      <c r="Q4393" s="85"/>
      <c r="R4393" s="81"/>
    </row>
    <row r="4394" spans="7:18" x14ac:dyDescent="0.3">
      <c r="G4394" s="85"/>
      <c r="H4394" s="86"/>
      <c r="I4394" s="86"/>
      <c r="J4394" s="87"/>
      <c r="K4394" s="85"/>
      <c r="L4394" s="85"/>
      <c r="P4394" s="85"/>
      <c r="Q4394" s="85"/>
      <c r="R4394" s="81"/>
    </row>
    <row r="4395" spans="7:18" x14ac:dyDescent="0.3">
      <c r="G4395" s="85"/>
      <c r="H4395" s="86"/>
      <c r="I4395" s="86"/>
      <c r="J4395" s="87"/>
      <c r="K4395" s="85"/>
      <c r="L4395" s="85"/>
      <c r="P4395" s="85"/>
      <c r="Q4395" s="85"/>
      <c r="R4395" s="81"/>
    </row>
    <row r="4396" spans="7:18" x14ac:dyDescent="0.3">
      <c r="G4396" s="85"/>
      <c r="H4396" s="86"/>
      <c r="I4396" s="86"/>
      <c r="J4396" s="87"/>
      <c r="K4396" s="85"/>
      <c r="L4396" s="85"/>
      <c r="P4396" s="85"/>
      <c r="Q4396" s="85"/>
      <c r="R4396" s="81"/>
    </row>
    <row r="4397" spans="7:18" x14ac:dyDescent="0.3">
      <c r="G4397" s="85"/>
      <c r="H4397" s="86"/>
      <c r="I4397" s="86"/>
      <c r="J4397" s="87"/>
      <c r="K4397" s="85"/>
      <c r="L4397" s="85"/>
      <c r="P4397" s="85"/>
      <c r="Q4397" s="85"/>
      <c r="R4397" s="81"/>
    </row>
    <row r="4398" spans="7:18" x14ac:dyDescent="0.3">
      <c r="G4398" s="85"/>
      <c r="H4398" s="86"/>
      <c r="I4398" s="86"/>
      <c r="J4398" s="87"/>
      <c r="K4398" s="85"/>
      <c r="L4398" s="85"/>
      <c r="P4398" s="85"/>
      <c r="Q4398" s="85"/>
      <c r="R4398" s="81"/>
    </row>
    <row r="4399" spans="7:18" x14ac:dyDescent="0.3">
      <c r="G4399" s="85"/>
      <c r="H4399" s="86"/>
      <c r="I4399" s="86"/>
      <c r="J4399" s="87"/>
      <c r="K4399" s="85"/>
      <c r="L4399" s="85"/>
      <c r="P4399" s="85"/>
      <c r="Q4399" s="85"/>
      <c r="R4399" s="81"/>
    </row>
    <row r="4400" spans="7:18" x14ac:dyDescent="0.3">
      <c r="G4400" s="85"/>
      <c r="H4400" s="86"/>
      <c r="I4400" s="86"/>
      <c r="J4400" s="87"/>
      <c r="K4400" s="85"/>
      <c r="L4400" s="85"/>
      <c r="P4400" s="85"/>
      <c r="Q4400" s="85"/>
      <c r="R4400" s="81"/>
    </row>
    <row r="4401" spans="7:18" x14ac:dyDescent="0.3">
      <c r="G4401" s="85"/>
      <c r="H4401" s="86"/>
      <c r="I4401" s="86"/>
      <c r="J4401" s="87"/>
      <c r="K4401" s="85"/>
      <c r="L4401" s="85"/>
      <c r="P4401" s="85"/>
      <c r="Q4401" s="85"/>
      <c r="R4401" s="81"/>
    </row>
    <row r="4402" spans="7:18" x14ac:dyDescent="0.3">
      <c r="G4402" s="85"/>
      <c r="H4402" s="86"/>
      <c r="I4402" s="86"/>
      <c r="J4402" s="87"/>
      <c r="K4402" s="85"/>
      <c r="L4402" s="85"/>
      <c r="P4402" s="85"/>
      <c r="Q4402" s="85"/>
      <c r="R4402" s="81"/>
    </row>
    <row r="4403" spans="7:18" x14ac:dyDescent="0.3">
      <c r="G4403" s="85"/>
      <c r="H4403" s="86"/>
      <c r="I4403" s="86"/>
      <c r="J4403" s="87"/>
      <c r="K4403" s="85"/>
      <c r="L4403" s="85"/>
      <c r="P4403" s="85"/>
      <c r="Q4403" s="85"/>
      <c r="R4403" s="81"/>
    </row>
    <row r="4404" spans="7:18" x14ac:dyDescent="0.3">
      <c r="G4404" s="85"/>
      <c r="H4404" s="86"/>
      <c r="I4404" s="86"/>
      <c r="J4404" s="87"/>
      <c r="K4404" s="85"/>
      <c r="L4404" s="85"/>
      <c r="P4404" s="85"/>
      <c r="Q4404" s="85"/>
      <c r="R4404" s="81"/>
    </row>
    <row r="4405" spans="7:18" x14ac:dyDescent="0.3">
      <c r="G4405" s="85"/>
      <c r="H4405" s="86"/>
      <c r="I4405" s="86"/>
      <c r="J4405" s="87"/>
      <c r="K4405" s="85"/>
      <c r="L4405" s="85"/>
      <c r="P4405" s="85"/>
      <c r="Q4405" s="85"/>
      <c r="R4405" s="81"/>
    </row>
    <row r="4406" spans="7:18" x14ac:dyDescent="0.3">
      <c r="G4406" s="85"/>
      <c r="H4406" s="86"/>
      <c r="I4406" s="86"/>
      <c r="J4406" s="87"/>
      <c r="K4406" s="85"/>
      <c r="L4406" s="85"/>
      <c r="P4406" s="85"/>
      <c r="Q4406" s="85"/>
      <c r="R4406" s="81"/>
    </row>
    <row r="4407" spans="7:18" x14ac:dyDescent="0.3">
      <c r="G4407" s="85"/>
      <c r="H4407" s="86"/>
      <c r="I4407" s="86"/>
      <c r="J4407" s="87"/>
      <c r="K4407" s="85"/>
      <c r="L4407" s="85"/>
      <c r="P4407" s="85"/>
      <c r="Q4407" s="85"/>
      <c r="R4407" s="81"/>
    </row>
    <row r="4408" spans="7:18" x14ac:dyDescent="0.3">
      <c r="G4408" s="85"/>
      <c r="H4408" s="86"/>
      <c r="I4408" s="86"/>
      <c r="J4408" s="87"/>
      <c r="K4408" s="85"/>
      <c r="L4408" s="85"/>
      <c r="P4408" s="85"/>
      <c r="Q4408" s="85"/>
      <c r="R4408" s="81"/>
    </row>
    <row r="4409" spans="7:18" x14ac:dyDescent="0.3">
      <c r="G4409" s="85"/>
      <c r="H4409" s="86"/>
      <c r="I4409" s="86"/>
      <c r="J4409" s="87"/>
      <c r="K4409" s="85"/>
      <c r="L4409" s="85"/>
      <c r="P4409" s="85"/>
      <c r="Q4409" s="85"/>
      <c r="R4409" s="81"/>
    </row>
    <row r="4410" spans="7:18" x14ac:dyDescent="0.3">
      <c r="G4410" s="85"/>
      <c r="H4410" s="86"/>
      <c r="I4410" s="86"/>
      <c r="J4410" s="87"/>
      <c r="K4410" s="85"/>
      <c r="L4410" s="85"/>
      <c r="P4410" s="85"/>
      <c r="Q4410" s="85"/>
      <c r="R4410" s="81"/>
    </row>
    <row r="4411" spans="7:18" x14ac:dyDescent="0.3">
      <c r="G4411" s="85"/>
      <c r="H4411" s="86"/>
      <c r="I4411" s="86"/>
      <c r="J4411" s="87"/>
      <c r="K4411" s="85"/>
      <c r="L4411" s="85"/>
      <c r="P4411" s="85"/>
      <c r="Q4411" s="85"/>
      <c r="R4411" s="81"/>
    </row>
    <row r="4412" spans="7:18" x14ac:dyDescent="0.3">
      <c r="G4412" s="85"/>
      <c r="H4412" s="86"/>
      <c r="I4412" s="86"/>
      <c r="J4412" s="87"/>
      <c r="K4412" s="85"/>
      <c r="L4412" s="85"/>
      <c r="P4412" s="85"/>
      <c r="Q4412" s="85"/>
      <c r="R4412" s="81"/>
    </row>
    <row r="4413" spans="7:18" x14ac:dyDescent="0.3">
      <c r="G4413" s="85"/>
      <c r="H4413" s="86"/>
      <c r="I4413" s="86"/>
      <c r="J4413" s="87"/>
      <c r="K4413" s="85"/>
      <c r="L4413" s="85"/>
      <c r="P4413" s="85"/>
      <c r="Q4413" s="85"/>
      <c r="R4413" s="81"/>
    </row>
    <row r="4414" spans="7:18" x14ac:dyDescent="0.3">
      <c r="G4414" s="85"/>
      <c r="H4414" s="86"/>
      <c r="I4414" s="86"/>
      <c r="J4414" s="87"/>
      <c r="K4414" s="85"/>
      <c r="L4414" s="85"/>
      <c r="P4414" s="85"/>
      <c r="Q4414" s="85"/>
      <c r="R4414" s="81"/>
    </row>
    <row r="4415" spans="7:18" x14ac:dyDescent="0.3">
      <c r="G4415" s="85"/>
      <c r="H4415" s="86"/>
      <c r="I4415" s="86"/>
      <c r="J4415" s="87"/>
      <c r="K4415" s="85"/>
      <c r="L4415" s="85"/>
      <c r="P4415" s="85"/>
      <c r="Q4415" s="85"/>
      <c r="R4415" s="81"/>
    </row>
    <row r="4416" spans="7:18" x14ac:dyDescent="0.3">
      <c r="G4416" s="85"/>
      <c r="H4416" s="86"/>
      <c r="I4416" s="86"/>
      <c r="J4416" s="87"/>
      <c r="K4416" s="85"/>
      <c r="L4416" s="85"/>
      <c r="P4416" s="85"/>
      <c r="Q4416" s="85"/>
      <c r="R4416" s="81"/>
    </row>
    <row r="4417" spans="7:18" x14ac:dyDescent="0.3">
      <c r="G4417" s="85"/>
      <c r="H4417" s="86"/>
      <c r="I4417" s="86"/>
      <c r="J4417" s="87"/>
      <c r="K4417" s="85"/>
      <c r="L4417" s="85"/>
      <c r="P4417" s="85"/>
      <c r="Q4417" s="85"/>
      <c r="R4417" s="81"/>
    </row>
    <row r="4418" spans="7:18" x14ac:dyDescent="0.3">
      <c r="G4418" s="85"/>
      <c r="H4418" s="86"/>
      <c r="I4418" s="86"/>
      <c r="J4418" s="87"/>
      <c r="K4418" s="85"/>
      <c r="L4418" s="85"/>
      <c r="P4418" s="85"/>
      <c r="Q4418" s="85"/>
      <c r="R4418" s="81"/>
    </row>
    <row r="4419" spans="7:18" x14ac:dyDescent="0.3">
      <c r="G4419" s="85"/>
      <c r="H4419" s="86"/>
      <c r="I4419" s="86"/>
      <c r="J4419" s="87"/>
      <c r="K4419" s="85"/>
      <c r="L4419" s="85"/>
      <c r="P4419" s="85"/>
      <c r="Q4419" s="85"/>
      <c r="R4419" s="81"/>
    </row>
    <row r="4420" spans="7:18" x14ac:dyDescent="0.3">
      <c r="G4420" s="85"/>
      <c r="H4420" s="86"/>
      <c r="I4420" s="86"/>
      <c r="J4420" s="87"/>
      <c r="K4420" s="85"/>
      <c r="L4420" s="85"/>
      <c r="P4420" s="85"/>
      <c r="Q4420" s="85"/>
      <c r="R4420" s="81"/>
    </row>
    <row r="4421" spans="7:18" x14ac:dyDescent="0.3">
      <c r="G4421" s="85"/>
      <c r="H4421" s="86"/>
      <c r="I4421" s="86"/>
      <c r="J4421" s="87"/>
      <c r="K4421" s="85"/>
      <c r="L4421" s="85"/>
      <c r="P4421" s="85"/>
      <c r="Q4421" s="85"/>
      <c r="R4421" s="81"/>
    </row>
    <row r="4422" spans="7:18" x14ac:dyDescent="0.3">
      <c r="G4422" s="85"/>
      <c r="H4422" s="86"/>
      <c r="I4422" s="86"/>
      <c r="J4422" s="87"/>
      <c r="K4422" s="85"/>
      <c r="L4422" s="85"/>
      <c r="P4422" s="85"/>
      <c r="Q4422" s="85"/>
      <c r="R4422" s="81"/>
    </row>
    <row r="4423" spans="7:18" x14ac:dyDescent="0.3">
      <c r="G4423" s="85"/>
      <c r="H4423" s="86"/>
      <c r="I4423" s="86"/>
      <c r="J4423" s="87"/>
      <c r="K4423" s="85"/>
      <c r="L4423" s="85"/>
      <c r="P4423" s="85"/>
      <c r="Q4423" s="85"/>
      <c r="R4423" s="81"/>
    </row>
    <row r="4424" spans="7:18" x14ac:dyDescent="0.3">
      <c r="G4424" s="85"/>
      <c r="H4424" s="86"/>
      <c r="I4424" s="86"/>
      <c r="J4424" s="87"/>
      <c r="K4424" s="85"/>
      <c r="L4424" s="85"/>
      <c r="P4424" s="85"/>
      <c r="Q4424" s="85"/>
      <c r="R4424" s="81"/>
    </row>
    <row r="4425" spans="7:18" x14ac:dyDescent="0.3">
      <c r="G4425" s="85"/>
      <c r="H4425" s="86"/>
      <c r="I4425" s="86"/>
      <c r="J4425" s="87"/>
      <c r="K4425" s="85"/>
      <c r="L4425" s="85"/>
      <c r="P4425" s="85"/>
      <c r="Q4425" s="85"/>
      <c r="R4425" s="81"/>
    </row>
    <row r="4426" spans="7:18" x14ac:dyDescent="0.3">
      <c r="G4426" s="85"/>
      <c r="H4426" s="86"/>
      <c r="I4426" s="86"/>
      <c r="J4426" s="87"/>
      <c r="K4426" s="85"/>
      <c r="L4426" s="85"/>
      <c r="P4426" s="85"/>
      <c r="Q4426" s="85"/>
      <c r="R4426" s="81"/>
    </row>
    <row r="4427" spans="7:18" x14ac:dyDescent="0.3">
      <c r="G4427" s="85"/>
      <c r="H4427" s="86"/>
      <c r="I4427" s="86"/>
      <c r="J4427" s="87"/>
      <c r="K4427" s="85"/>
      <c r="L4427" s="85"/>
      <c r="P4427" s="85"/>
      <c r="Q4427" s="85"/>
      <c r="R4427" s="81"/>
    </row>
    <row r="4428" spans="7:18" x14ac:dyDescent="0.3">
      <c r="G4428" s="85"/>
      <c r="H4428" s="86"/>
      <c r="I4428" s="86"/>
      <c r="J4428" s="87"/>
      <c r="K4428" s="85"/>
      <c r="L4428" s="85"/>
      <c r="P4428" s="85"/>
      <c r="Q4428" s="85"/>
      <c r="R4428" s="81"/>
    </row>
    <row r="4429" spans="7:18" x14ac:dyDescent="0.3">
      <c r="G4429" s="85"/>
      <c r="H4429" s="86"/>
      <c r="I4429" s="86"/>
      <c r="J4429" s="87"/>
      <c r="K4429" s="85"/>
      <c r="L4429" s="85"/>
      <c r="P4429" s="85"/>
      <c r="Q4429" s="85"/>
      <c r="R4429" s="81"/>
    </row>
    <row r="4430" spans="7:18" x14ac:dyDescent="0.3">
      <c r="G4430" s="85"/>
      <c r="H4430" s="86"/>
      <c r="I4430" s="86"/>
      <c r="J4430" s="87"/>
      <c r="K4430" s="85"/>
      <c r="L4430" s="85"/>
      <c r="P4430" s="85"/>
      <c r="Q4430" s="85"/>
      <c r="R4430" s="81"/>
    </row>
    <row r="4431" spans="7:18" x14ac:dyDescent="0.3">
      <c r="G4431" s="85"/>
      <c r="H4431" s="86"/>
      <c r="I4431" s="86"/>
      <c r="J4431" s="87"/>
      <c r="K4431" s="85"/>
      <c r="L4431" s="85"/>
      <c r="P4431" s="85"/>
      <c r="Q4431" s="85"/>
      <c r="R4431" s="81"/>
    </row>
    <row r="4432" spans="7:18" x14ac:dyDescent="0.3">
      <c r="G4432" s="85"/>
      <c r="H4432" s="86"/>
      <c r="I4432" s="86"/>
      <c r="J4432" s="87"/>
      <c r="K4432" s="85"/>
      <c r="L4432" s="85"/>
      <c r="P4432" s="85"/>
      <c r="Q4432" s="85"/>
      <c r="R4432" s="81"/>
    </row>
    <row r="4433" spans="7:18" x14ac:dyDescent="0.3">
      <c r="G4433" s="85"/>
      <c r="H4433" s="86"/>
      <c r="I4433" s="86"/>
      <c r="J4433" s="87"/>
      <c r="K4433" s="85"/>
      <c r="L4433" s="85"/>
      <c r="P4433" s="85"/>
      <c r="Q4433" s="85"/>
      <c r="R4433" s="81"/>
    </row>
    <row r="4434" spans="7:18" x14ac:dyDescent="0.3">
      <c r="G4434" s="85"/>
      <c r="H4434" s="86"/>
      <c r="I4434" s="86"/>
      <c r="J4434" s="87"/>
      <c r="K4434" s="85"/>
      <c r="L4434" s="85"/>
      <c r="P4434" s="85"/>
      <c r="Q4434" s="85"/>
      <c r="R4434" s="81"/>
    </row>
    <row r="4435" spans="7:18" x14ac:dyDescent="0.3">
      <c r="G4435" s="85"/>
      <c r="H4435" s="86"/>
      <c r="I4435" s="86"/>
      <c r="J4435" s="87"/>
      <c r="K4435" s="85"/>
      <c r="L4435" s="85"/>
      <c r="P4435" s="85"/>
      <c r="Q4435" s="85"/>
      <c r="R4435" s="81"/>
    </row>
    <row r="4436" spans="7:18" x14ac:dyDescent="0.3">
      <c r="G4436" s="85"/>
      <c r="H4436" s="86"/>
      <c r="I4436" s="86"/>
      <c r="J4436" s="87"/>
      <c r="K4436" s="85"/>
      <c r="L4436" s="85"/>
      <c r="P4436" s="85"/>
      <c r="Q4436" s="85"/>
      <c r="R4436" s="81"/>
    </row>
    <row r="4437" spans="7:18" x14ac:dyDescent="0.3">
      <c r="G4437" s="85"/>
      <c r="H4437" s="86"/>
      <c r="I4437" s="86"/>
      <c r="J4437" s="87"/>
      <c r="K4437" s="85"/>
      <c r="L4437" s="85"/>
      <c r="P4437" s="85"/>
      <c r="Q4437" s="85"/>
      <c r="R4437" s="81"/>
    </row>
    <row r="4438" spans="7:18" x14ac:dyDescent="0.3">
      <c r="G4438" s="85"/>
      <c r="H4438" s="86"/>
      <c r="I4438" s="86"/>
      <c r="J4438" s="87"/>
      <c r="K4438" s="85"/>
      <c r="L4438" s="85"/>
      <c r="P4438" s="85"/>
      <c r="Q4438" s="85"/>
      <c r="R4438" s="81"/>
    </row>
    <row r="4439" spans="7:18" x14ac:dyDescent="0.3">
      <c r="G4439" s="85"/>
      <c r="H4439" s="86"/>
      <c r="I4439" s="86"/>
      <c r="J4439" s="87"/>
      <c r="K4439" s="85"/>
      <c r="L4439" s="85"/>
      <c r="P4439" s="85"/>
      <c r="Q4439" s="85"/>
      <c r="R4439" s="81"/>
    </row>
    <row r="4440" spans="7:18" x14ac:dyDescent="0.3">
      <c r="G4440" s="85"/>
      <c r="H4440" s="86"/>
      <c r="I4440" s="86"/>
      <c r="J4440" s="87"/>
      <c r="K4440" s="85"/>
      <c r="L4440" s="85"/>
      <c r="P4440" s="85"/>
      <c r="Q4440" s="85"/>
      <c r="R4440" s="81"/>
    </row>
    <row r="4441" spans="7:18" x14ac:dyDescent="0.3">
      <c r="G4441" s="85"/>
      <c r="H4441" s="86"/>
      <c r="I4441" s="86"/>
      <c r="J4441" s="87"/>
      <c r="K4441" s="85"/>
      <c r="L4441" s="85"/>
      <c r="P4441" s="85"/>
      <c r="Q4441" s="85"/>
      <c r="R4441" s="81"/>
    </row>
    <row r="4442" spans="7:18" x14ac:dyDescent="0.3">
      <c r="G4442" s="85"/>
      <c r="H4442" s="86"/>
      <c r="I4442" s="86"/>
      <c r="J4442" s="87"/>
      <c r="K4442" s="85"/>
      <c r="L4442" s="85"/>
      <c r="P4442" s="85"/>
      <c r="Q4442" s="85"/>
      <c r="R4442" s="81"/>
    </row>
    <row r="4443" spans="7:18" x14ac:dyDescent="0.3">
      <c r="G4443" s="85"/>
      <c r="H4443" s="86"/>
      <c r="I4443" s="86"/>
      <c r="J4443" s="87"/>
      <c r="K4443" s="85"/>
      <c r="L4443" s="85"/>
      <c r="P4443" s="85"/>
      <c r="Q4443" s="85"/>
      <c r="R4443" s="81"/>
    </row>
    <row r="4444" spans="7:18" x14ac:dyDescent="0.3">
      <c r="G4444" s="85"/>
      <c r="H4444" s="86"/>
      <c r="I4444" s="86"/>
      <c r="J4444" s="87"/>
      <c r="K4444" s="85"/>
      <c r="L4444" s="85"/>
      <c r="P4444" s="85"/>
      <c r="Q4444" s="85"/>
      <c r="R4444" s="81"/>
    </row>
    <row r="4445" spans="7:18" x14ac:dyDescent="0.3">
      <c r="G4445" s="85"/>
      <c r="H4445" s="86"/>
      <c r="I4445" s="86"/>
      <c r="J4445" s="87"/>
      <c r="K4445" s="85"/>
      <c r="L4445" s="85"/>
      <c r="P4445" s="85"/>
      <c r="Q4445" s="85"/>
      <c r="R4445" s="81"/>
    </row>
    <row r="4446" spans="7:18" x14ac:dyDescent="0.3">
      <c r="G4446" s="85"/>
      <c r="H4446" s="86"/>
      <c r="I4446" s="86"/>
      <c r="J4446" s="87"/>
      <c r="K4446" s="85"/>
      <c r="L4446" s="85"/>
      <c r="P4446" s="85"/>
      <c r="Q4446" s="85"/>
      <c r="R4446" s="81"/>
    </row>
    <row r="4447" spans="7:18" x14ac:dyDescent="0.3">
      <c r="G4447" s="85"/>
      <c r="H4447" s="86"/>
      <c r="I4447" s="86"/>
      <c r="J4447" s="87"/>
      <c r="K4447" s="85"/>
      <c r="L4447" s="85"/>
      <c r="P4447" s="85"/>
      <c r="Q4447" s="85"/>
      <c r="R4447" s="81"/>
    </row>
    <row r="4448" spans="7:18" x14ac:dyDescent="0.3">
      <c r="G4448" s="85"/>
      <c r="H4448" s="86"/>
      <c r="I4448" s="86"/>
      <c r="J4448" s="87"/>
      <c r="K4448" s="85"/>
      <c r="L4448" s="85"/>
      <c r="P4448" s="85"/>
      <c r="Q4448" s="85"/>
      <c r="R4448" s="81"/>
    </row>
    <row r="4449" spans="7:18" x14ac:dyDescent="0.3">
      <c r="G4449" s="85"/>
      <c r="H4449" s="86"/>
      <c r="I4449" s="86"/>
      <c r="J4449" s="87"/>
      <c r="K4449" s="85"/>
      <c r="L4449" s="85"/>
      <c r="P4449" s="85"/>
      <c r="Q4449" s="85"/>
      <c r="R4449" s="81"/>
    </row>
    <row r="4450" spans="7:18" x14ac:dyDescent="0.3">
      <c r="G4450" s="85"/>
      <c r="H4450" s="86"/>
      <c r="I4450" s="86"/>
      <c r="J4450" s="87"/>
      <c r="K4450" s="85"/>
      <c r="L4450" s="85"/>
      <c r="P4450" s="85"/>
      <c r="Q4450" s="85"/>
      <c r="R4450" s="81"/>
    </row>
    <row r="4451" spans="7:18" x14ac:dyDescent="0.3">
      <c r="G4451" s="85"/>
      <c r="H4451" s="86"/>
      <c r="I4451" s="86"/>
      <c r="J4451" s="87"/>
      <c r="K4451" s="85"/>
      <c r="L4451" s="85"/>
      <c r="P4451" s="85"/>
      <c r="Q4451" s="85"/>
      <c r="R4451" s="81"/>
    </row>
    <row r="4452" spans="7:18" x14ac:dyDescent="0.3">
      <c r="G4452" s="85"/>
      <c r="H4452" s="86"/>
      <c r="I4452" s="86"/>
      <c r="J4452" s="87"/>
      <c r="K4452" s="85"/>
      <c r="L4452" s="85"/>
      <c r="P4452" s="85"/>
      <c r="Q4452" s="85"/>
      <c r="R4452" s="81"/>
    </row>
    <row r="4453" spans="7:18" x14ac:dyDescent="0.3">
      <c r="G4453" s="85"/>
      <c r="H4453" s="86"/>
      <c r="I4453" s="86"/>
      <c r="J4453" s="87"/>
      <c r="K4453" s="85"/>
      <c r="L4453" s="85"/>
      <c r="P4453" s="85"/>
      <c r="Q4453" s="85"/>
      <c r="R4453" s="81"/>
    </row>
    <row r="4454" spans="7:18" x14ac:dyDescent="0.3">
      <c r="G4454" s="85"/>
      <c r="H4454" s="86"/>
      <c r="I4454" s="86"/>
      <c r="J4454" s="87"/>
      <c r="K4454" s="85"/>
      <c r="L4454" s="85"/>
      <c r="P4454" s="85"/>
      <c r="Q4454" s="85"/>
      <c r="R4454" s="81"/>
    </row>
    <row r="4455" spans="7:18" x14ac:dyDescent="0.3">
      <c r="G4455" s="85"/>
      <c r="H4455" s="86"/>
      <c r="I4455" s="86"/>
      <c r="J4455" s="87"/>
      <c r="K4455" s="85"/>
      <c r="L4455" s="85"/>
      <c r="P4455" s="85"/>
      <c r="Q4455" s="85"/>
      <c r="R4455" s="81"/>
    </row>
    <row r="4456" spans="7:18" x14ac:dyDescent="0.3">
      <c r="G4456" s="85"/>
      <c r="H4456" s="86"/>
      <c r="I4456" s="86"/>
      <c r="J4456" s="87"/>
      <c r="K4456" s="85"/>
      <c r="L4456" s="85"/>
      <c r="P4456" s="85"/>
      <c r="Q4456" s="85"/>
      <c r="R4456" s="81"/>
    </row>
    <row r="4457" spans="7:18" x14ac:dyDescent="0.3">
      <c r="G4457" s="85"/>
      <c r="H4457" s="86"/>
      <c r="I4457" s="86"/>
      <c r="J4457" s="87"/>
      <c r="K4457" s="85"/>
      <c r="L4457" s="85"/>
      <c r="P4457" s="85"/>
      <c r="Q4457" s="85"/>
      <c r="R4457" s="81"/>
    </row>
    <row r="4458" spans="7:18" x14ac:dyDescent="0.3">
      <c r="G4458" s="85"/>
      <c r="H4458" s="86"/>
      <c r="I4458" s="86"/>
      <c r="J4458" s="87"/>
      <c r="K4458" s="85"/>
      <c r="L4458" s="85"/>
      <c r="P4458" s="85"/>
      <c r="Q4458" s="85"/>
      <c r="R4458" s="81"/>
    </row>
    <row r="4459" spans="7:18" x14ac:dyDescent="0.3">
      <c r="G4459" s="85"/>
      <c r="H4459" s="86"/>
      <c r="I4459" s="86"/>
      <c r="J4459" s="87"/>
      <c r="K4459" s="85"/>
      <c r="L4459" s="85"/>
      <c r="P4459" s="85"/>
      <c r="Q4459" s="85"/>
      <c r="R4459" s="81"/>
    </row>
    <row r="4460" spans="7:18" x14ac:dyDescent="0.3">
      <c r="G4460" s="85"/>
      <c r="H4460" s="86"/>
      <c r="I4460" s="86"/>
      <c r="J4460" s="87"/>
      <c r="K4460" s="85"/>
      <c r="L4460" s="85"/>
      <c r="P4460" s="85"/>
      <c r="Q4460" s="85"/>
      <c r="R4460" s="81"/>
    </row>
    <row r="4461" spans="7:18" x14ac:dyDescent="0.3">
      <c r="G4461" s="85"/>
      <c r="H4461" s="86"/>
      <c r="I4461" s="86"/>
      <c r="J4461" s="87"/>
      <c r="K4461" s="85"/>
      <c r="L4461" s="85"/>
      <c r="P4461" s="85"/>
      <c r="Q4461" s="85"/>
      <c r="R4461" s="81"/>
    </row>
    <row r="4462" spans="7:18" x14ac:dyDescent="0.3">
      <c r="G4462" s="85"/>
      <c r="H4462" s="86"/>
      <c r="I4462" s="86"/>
      <c r="J4462" s="87"/>
      <c r="K4462" s="85"/>
      <c r="L4462" s="85"/>
      <c r="P4462" s="85"/>
      <c r="Q4462" s="85"/>
      <c r="R4462" s="81"/>
    </row>
    <row r="4463" spans="7:18" x14ac:dyDescent="0.3">
      <c r="G4463" s="85"/>
      <c r="H4463" s="86"/>
      <c r="I4463" s="86"/>
      <c r="J4463" s="87"/>
      <c r="K4463" s="85"/>
      <c r="L4463" s="85"/>
      <c r="P4463" s="85"/>
      <c r="Q4463" s="85"/>
      <c r="R4463" s="81"/>
    </row>
    <row r="4464" spans="7:18" x14ac:dyDescent="0.3">
      <c r="G4464" s="85"/>
      <c r="H4464" s="86"/>
      <c r="I4464" s="86"/>
      <c r="J4464" s="87"/>
      <c r="K4464" s="85"/>
      <c r="L4464" s="85"/>
      <c r="P4464" s="85"/>
      <c r="Q4464" s="85"/>
      <c r="R4464" s="81"/>
    </row>
    <row r="4465" spans="7:18" x14ac:dyDescent="0.3">
      <c r="G4465" s="85"/>
      <c r="H4465" s="86"/>
      <c r="I4465" s="86"/>
      <c r="J4465" s="87"/>
      <c r="K4465" s="85"/>
      <c r="L4465" s="85"/>
      <c r="P4465" s="85"/>
      <c r="Q4465" s="85"/>
      <c r="R4465" s="81"/>
    </row>
    <row r="4466" spans="7:18" x14ac:dyDescent="0.3">
      <c r="G4466" s="85"/>
      <c r="H4466" s="86"/>
      <c r="I4466" s="86"/>
      <c r="J4466" s="87"/>
      <c r="K4466" s="85"/>
      <c r="L4466" s="85"/>
      <c r="P4466" s="85"/>
      <c r="Q4466" s="85"/>
      <c r="R4466" s="81"/>
    </row>
    <row r="4467" spans="7:18" x14ac:dyDescent="0.3">
      <c r="G4467" s="85"/>
      <c r="H4467" s="86"/>
      <c r="I4467" s="86"/>
      <c r="J4467" s="87"/>
      <c r="K4467" s="85"/>
      <c r="L4467" s="85"/>
      <c r="P4467" s="85"/>
      <c r="Q4467" s="85"/>
      <c r="R4467" s="81"/>
    </row>
    <row r="4468" spans="7:18" x14ac:dyDescent="0.3">
      <c r="G4468" s="85"/>
      <c r="H4468" s="86"/>
      <c r="I4468" s="86"/>
      <c r="J4468" s="87"/>
      <c r="K4468" s="85"/>
      <c r="L4468" s="85"/>
      <c r="P4468" s="85"/>
      <c r="Q4468" s="85"/>
      <c r="R4468" s="81"/>
    </row>
    <row r="4469" spans="7:18" x14ac:dyDescent="0.3">
      <c r="G4469" s="85"/>
      <c r="H4469" s="86"/>
      <c r="I4469" s="86"/>
      <c r="J4469" s="87"/>
      <c r="K4469" s="85"/>
      <c r="L4469" s="85"/>
      <c r="P4469" s="85"/>
      <c r="Q4469" s="85"/>
      <c r="R4469" s="81"/>
    </row>
    <row r="4470" spans="7:18" x14ac:dyDescent="0.3">
      <c r="G4470" s="85"/>
      <c r="H4470" s="86"/>
      <c r="I4470" s="86"/>
      <c r="J4470" s="87"/>
      <c r="K4470" s="85"/>
      <c r="L4470" s="85"/>
      <c r="P4470" s="85"/>
      <c r="Q4470" s="85"/>
      <c r="R4470" s="81"/>
    </row>
    <row r="4471" spans="7:18" x14ac:dyDescent="0.3">
      <c r="G4471" s="85"/>
      <c r="H4471" s="86"/>
      <c r="I4471" s="86"/>
      <c r="J4471" s="87"/>
      <c r="K4471" s="85"/>
      <c r="L4471" s="85"/>
      <c r="P4471" s="85"/>
      <c r="Q4471" s="85"/>
      <c r="R4471" s="81"/>
    </row>
    <row r="4472" spans="7:18" x14ac:dyDescent="0.3">
      <c r="G4472" s="85"/>
      <c r="H4472" s="86"/>
      <c r="I4472" s="86"/>
      <c r="J4472" s="87"/>
      <c r="K4472" s="85"/>
      <c r="L4472" s="85"/>
      <c r="P4472" s="85"/>
      <c r="Q4472" s="85"/>
      <c r="R4472" s="81"/>
    </row>
    <row r="4473" spans="7:18" x14ac:dyDescent="0.3">
      <c r="G4473" s="85"/>
      <c r="H4473" s="86"/>
      <c r="I4473" s="86"/>
      <c r="J4473" s="87"/>
      <c r="K4473" s="85"/>
      <c r="L4473" s="85"/>
      <c r="P4473" s="85"/>
      <c r="Q4473" s="85"/>
      <c r="R4473" s="81"/>
    </row>
    <row r="4474" spans="7:18" x14ac:dyDescent="0.3">
      <c r="G4474" s="85"/>
      <c r="H4474" s="86"/>
      <c r="I4474" s="86"/>
      <c r="J4474" s="87"/>
      <c r="K4474" s="85"/>
      <c r="L4474" s="85"/>
      <c r="P4474" s="85"/>
      <c r="Q4474" s="85"/>
      <c r="R4474" s="81"/>
    </row>
    <row r="4475" spans="7:18" x14ac:dyDescent="0.3">
      <c r="G4475" s="85"/>
      <c r="H4475" s="86"/>
      <c r="I4475" s="86"/>
      <c r="J4475" s="87"/>
      <c r="K4475" s="85"/>
      <c r="L4475" s="85"/>
      <c r="P4475" s="85"/>
      <c r="Q4475" s="85"/>
      <c r="R4475" s="81"/>
    </row>
    <row r="4476" spans="7:18" x14ac:dyDescent="0.3">
      <c r="G4476" s="85"/>
      <c r="H4476" s="86"/>
      <c r="I4476" s="86"/>
      <c r="J4476" s="87"/>
      <c r="K4476" s="85"/>
      <c r="L4476" s="85"/>
      <c r="P4476" s="85"/>
      <c r="Q4476" s="85"/>
      <c r="R4476" s="81"/>
    </row>
    <row r="4477" spans="7:18" x14ac:dyDescent="0.3">
      <c r="G4477" s="85"/>
      <c r="H4477" s="86"/>
      <c r="I4477" s="86"/>
      <c r="J4477" s="87"/>
      <c r="K4477" s="85"/>
      <c r="L4477" s="85"/>
      <c r="P4477" s="85"/>
      <c r="Q4477" s="85"/>
      <c r="R4477" s="81"/>
    </row>
    <row r="4478" spans="7:18" x14ac:dyDescent="0.3">
      <c r="G4478" s="85"/>
      <c r="H4478" s="86"/>
      <c r="I4478" s="86"/>
      <c r="J4478" s="87"/>
      <c r="K4478" s="85"/>
      <c r="L4478" s="85"/>
      <c r="P4478" s="85"/>
      <c r="Q4478" s="85"/>
      <c r="R4478" s="81"/>
    </row>
    <row r="4479" spans="7:18" x14ac:dyDescent="0.3">
      <c r="G4479" s="85"/>
      <c r="H4479" s="86"/>
      <c r="I4479" s="86"/>
      <c r="J4479" s="87"/>
      <c r="K4479" s="85"/>
      <c r="L4479" s="85"/>
      <c r="P4479" s="85"/>
      <c r="Q4479" s="85"/>
      <c r="R4479" s="81"/>
    </row>
    <row r="4480" spans="7:18" x14ac:dyDescent="0.3">
      <c r="G4480" s="85"/>
      <c r="H4480" s="86"/>
      <c r="I4480" s="86"/>
      <c r="J4480" s="87"/>
      <c r="K4480" s="85"/>
      <c r="L4480" s="85"/>
      <c r="P4480" s="85"/>
      <c r="Q4480" s="85"/>
      <c r="R4480" s="81"/>
    </row>
    <row r="4481" spans="7:18" x14ac:dyDescent="0.3">
      <c r="G4481" s="85"/>
      <c r="H4481" s="86"/>
      <c r="I4481" s="86"/>
      <c r="J4481" s="87"/>
      <c r="K4481" s="85"/>
      <c r="L4481" s="85"/>
      <c r="P4481" s="85"/>
      <c r="Q4481" s="85"/>
      <c r="R4481" s="81"/>
    </row>
    <row r="4482" spans="7:18" x14ac:dyDescent="0.3">
      <c r="G4482" s="85"/>
      <c r="H4482" s="86"/>
      <c r="I4482" s="86"/>
      <c r="J4482" s="87"/>
      <c r="K4482" s="85"/>
      <c r="L4482" s="85"/>
      <c r="P4482" s="85"/>
      <c r="Q4482" s="85"/>
      <c r="R4482" s="81"/>
    </row>
    <row r="4483" spans="7:18" x14ac:dyDescent="0.3">
      <c r="G4483" s="85"/>
      <c r="H4483" s="86"/>
      <c r="I4483" s="86"/>
      <c r="J4483" s="87"/>
      <c r="K4483" s="85"/>
      <c r="L4483" s="85"/>
      <c r="P4483" s="85"/>
      <c r="Q4483" s="85"/>
      <c r="R4483" s="81"/>
    </row>
    <row r="4484" spans="7:18" x14ac:dyDescent="0.3">
      <c r="G4484" s="85"/>
      <c r="H4484" s="86"/>
      <c r="I4484" s="86"/>
      <c r="J4484" s="87"/>
      <c r="K4484" s="85"/>
      <c r="L4484" s="85"/>
      <c r="P4484" s="85"/>
      <c r="Q4484" s="85"/>
      <c r="R4484" s="81"/>
    </row>
    <row r="4485" spans="7:18" x14ac:dyDescent="0.3">
      <c r="G4485" s="85"/>
      <c r="H4485" s="86"/>
      <c r="I4485" s="86"/>
      <c r="J4485" s="87"/>
      <c r="K4485" s="85"/>
      <c r="L4485" s="85"/>
      <c r="P4485" s="85"/>
      <c r="Q4485" s="85"/>
      <c r="R4485" s="81"/>
    </row>
    <row r="4486" spans="7:18" x14ac:dyDescent="0.3">
      <c r="G4486" s="85"/>
      <c r="H4486" s="86"/>
      <c r="I4486" s="86"/>
      <c r="J4486" s="87"/>
      <c r="K4486" s="85"/>
      <c r="L4486" s="85"/>
      <c r="P4486" s="85"/>
      <c r="Q4486" s="85"/>
      <c r="R4486" s="81"/>
    </row>
    <row r="4487" spans="7:18" x14ac:dyDescent="0.3">
      <c r="G4487" s="85"/>
      <c r="H4487" s="86"/>
      <c r="I4487" s="86"/>
      <c r="J4487" s="87"/>
      <c r="K4487" s="85"/>
      <c r="L4487" s="85"/>
      <c r="P4487" s="85"/>
      <c r="Q4487" s="85"/>
      <c r="R4487" s="81"/>
    </row>
    <row r="4488" spans="7:18" x14ac:dyDescent="0.3">
      <c r="G4488" s="85"/>
      <c r="H4488" s="86"/>
      <c r="I4488" s="86"/>
      <c r="J4488" s="87"/>
      <c r="K4488" s="85"/>
      <c r="L4488" s="85"/>
      <c r="P4488" s="85"/>
      <c r="Q4488" s="85"/>
      <c r="R4488" s="81"/>
    </row>
    <row r="4489" spans="7:18" x14ac:dyDescent="0.3">
      <c r="G4489" s="85"/>
      <c r="H4489" s="86"/>
      <c r="I4489" s="86"/>
      <c r="J4489" s="87"/>
      <c r="K4489" s="85"/>
      <c r="L4489" s="85"/>
      <c r="P4489" s="85"/>
      <c r="Q4489" s="85"/>
      <c r="R4489" s="81"/>
    </row>
    <row r="4490" spans="7:18" x14ac:dyDescent="0.3">
      <c r="G4490" s="85"/>
      <c r="H4490" s="86"/>
      <c r="I4490" s="86"/>
      <c r="J4490" s="87"/>
      <c r="K4490" s="85"/>
      <c r="L4490" s="85"/>
      <c r="P4490" s="85"/>
      <c r="Q4490" s="85"/>
      <c r="R4490" s="81"/>
    </row>
    <row r="4491" spans="7:18" x14ac:dyDescent="0.3">
      <c r="G4491" s="85"/>
      <c r="H4491" s="86"/>
      <c r="I4491" s="86"/>
      <c r="J4491" s="87"/>
      <c r="K4491" s="85"/>
      <c r="L4491" s="85"/>
      <c r="P4491" s="85"/>
      <c r="Q4491" s="85"/>
      <c r="R4491" s="81"/>
    </row>
    <row r="4492" spans="7:18" x14ac:dyDescent="0.3">
      <c r="G4492" s="85"/>
      <c r="H4492" s="86"/>
      <c r="I4492" s="86"/>
      <c r="J4492" s="87"/>
      <c r="K4492" s="85"/>
      <c r="L4492" s="85"/>
      <c r="P4492" s="85"/>
      <c r="Q4492" s="85"/>
      <c r="R4492" s="81"/>
    </row>
    <row r="4493" spans="7:18" x14ac:dyDescent="0.3">
      <c r="G4493" s="85"/>
      <c r="H4493" s="86"/>
      <c r="I4493" s="86"/>
      <c r="J4493" s="87"/>
      <c r="K4493" s="85"/>
      <c r="L4493" s="85"/>
      <c r="P4493" s="85"/>
      <c r="Q4493" s="85"/>
      <c r="R4493" s="81"/>
    </row>
    <row r="4494" spans="7:18" x14ac:dyDescent="0.3">
      <c r="G4494" s="85"/>
      <c r="H4494" s="86"/>
      <c r="I4494" s="86"/>
      <c r="J4494" s="87"/>
      <c r="K4494" s="85"/>
      <c r="L4494" s="85"/>
      <c r="P4494" s="85"/>
      <c r="Q4494" s="85"/>
      <c r="R4494" s="81"/>
    </row>
    <row r="4495" spans="7:18" x14ac:dyDescent="0.3">
      <c r="G4495" s="85"/>
      <c r="H4495" s="86"/>
      <c r="I4495" s="86"/>
      <c r="J4495" s="87"/>
      <c r="K4495" s="85"/>
      <c r="L4495" s="85"/>
      <c r="P4495" s="85"/>
      <c r="Q4495" s="85"/>
      <c r="R4495" s="81"/>
    </row>
    <row r="4496" spans="7:18" x14ac:dyDescent="0.3">
      <c r="G4496" s="85"/>
      <c r="H4496" s="86"/>
      <c r="I4496" s="86"/>
      <c r="J4496" s="87"/>
      <c r="K4496" s="85"/>
      <c r="L4496" s="85"/>
      <c r="P4496" s="85"/>
      <c r="Q4496" s="85"/>
      <c r="R4496" s="81"/>
    </row>
    <row r="4497" spans="7:18" x14ac:dyDescent="0.3">
      <c r="G4497" s="85"/>
      <c r="H4497" s="86"/>
      <c r="I4497" s="86"/>
      <c r="J4497" s="87"/>
      <c r="K4497" s="85"/>
      <c r="L4497" s="85"/>
      <c r="P4497" s="85"/>
      <c r="Q4497" s="85"/>
      <c r="R4497" s="81"/>
    </row>
    <row r="4498" spans="7:18" x14ac:dyDescent="0.3">
      <c r="G4498" s="85"/>
      <c r="H4498" s="86"/>
      <c r="I4498" s="86"/>
      <c r="J4498" s="87"/>
      <c r="K4498" s="85"/>
      <c r="L4498" s="85"/>
      <c r="P4498" s="85"/>
      <c r="Q4498" s="85"/>
      <c r="R4498" s="81"/>
    </row>
    <row r="4499" spans="7:18" x14ac:dyDescent="0.3">
      <c r="G4499" s="85"/>
      <c r="H4499" s="86"/>
      <c r="I4499" s="86"/>
      <c r="J4499" s="87"/>
      <c r="K4499" s="85"/>
      <c r="L4499" s="85"/>
      <c r="P4499" s="85"/>
      <c r="Q4499" s="85"/>
      <c r="R4499" s="81"/>
    </row>
    <row r="4500" spans="7:18" x14ac:dyDescent="0.3">
      <c r="G4500" s="85"/>
      <c r="H4500" s="86"/>
      <c r="I4500" s="86"/>
      <c r="J4500" s="87"/>
      <c r="K4500" s="85"/>
      <c r="L4500" s="85"/>
      <c r="P4500" s="85"/>
      <c r="Q4500" s="85"/>
      <c r="R4500" s="81"/>
    </row>
    <row r="4501" spans="7:18" x14ac:dyDescent="0.3">
      <c r="G4501" s="85"/>
      <c r="H4501" s="86"/>
      <c r="I4501" s="86"/>
      <c r="J4501" s="87"/>
      <c r="K4501" s="85"/>
      <c r="L4501" s="85"/>
      <c r="P4501" s="85"/>
      <c r="Q4501" s="85"/>
      <c r="R4501" s="81"/>
    </row>
    <row r="4502" spans="7:18" x14ac:dyDescent="0.3">
      <c r="G4502" s="85"/>
      <c r="H4502" s="86"/>
      <c r="I4502" s="86"/>
      <c r="J4502" s="87"/>
      <c r="K4502" s="85"/>
      <c r="L4502" s="85"/>
      <c r="P4502" s="85"/>
      <c r="Q4502" s="85"/>
      <c r="R4502" s="81"/>
    </row>
    <row r="4503" spans="7:18" x14ac:dyDescent="0.3">
      <c r="G4503" s="85"/>
      <c r="H4503" s="86"/>
      <c r="I4503" s="86"/>
      <c r="J4503" s="87"/>
      <c r="K4503" s="85"/>
      <c r="L4503" s="85"/>
      <c r="P4503" s="85"/>
      <c r="Q4503" s="85"/>
      <c r="R4503" s="81"/>
    </row>
    <row r="4504" spans="7:18" x14ac:dyDescent="0.3">
      <c r="G4504" s="85"/>
      <c r="H4504" s="86"/>
      <c r="I4504" s="86"/>
      <c r="J4504" s="87"/>
      <c r="K4504" s="85"/>
      <c r="L4504" s="85"/>
      <c r="P4504" s="85"/>
      <c r="Q4504" s="85"/>
      <c r="R4504" s="81"/>
    </row>
    <row r="4505" spans="7:18" x14ac:dyDescent="0.3">
      <c r="G4505" s="85"/>
      <c r="H4505" s="86"/>
      <c r="I4505" s="86"/>
      <c r="J4505" s="87"/>
      <c r="K4505" s="85"/>
      <c r="L4505" s="85"/>
      <c r="P4505" s="85"/>
      <c r="Q4505" s="85"/>
      <c r="R4505" s="81"/>
    </row>
    <row r="4506" spans="7:18" x14ac:dyDescent="0.3">
      <c r="G4506" s="85"/>
      <c r="H4506" s="86"/>
      <c r="I4506" s="86"/>
      <c r="J4506" s="87"/>
      <c r="K4506" s="85"/>
      <c r="L4506" s="85"/>
      <c r="P4506" s="85"/>
      <c r="Q4506" s="85"/>
      <c r="R4506" s="81"/>
    </row>
    <row r="4507" spans="7:18" x14ac:dyDescent="0.3">
      <c r="G4507" s="85"/>
      <c r="H4507" s="86"/>
      <c r="I4507" s="86"/>
      <c r="J4507" s="87"/>
      <c r="K4507" s="85"/>
      <c r="L4507" s="85"/>
      <c r="P4507" s="85"/>
      <c r="Q4507" s="85"/>
      <c r="R4507" s="81"/>
    </row>
    <row r="4508" spans="7:18" x14ac:dyDescent="0.3">
      <c r="G4508" s="85"/>
      <c r="H4508" s="86"/>
      <c r="I4508" s="86"/>
      <c r="J4508" s="87"/>
      <c r="K4508" s="85"/>
      <c r="L4508" s="85"/>
      <c r="P4508" s="85"/>
      <c r="Q4508" s="85"/>
      <c r="R4508" s="81"/>
    </row>
    <row r="4509" spans="7:18" x14ac:dyDescent="0.3">
      <c r="G4509" s="85"/>
      <c r="H4509" s="86"/>
      <c r="I4509" s="86"/>
      <c r="J4509" s="87"/>
      <c r="K4509" s="85"/>
      <c r="L4509" s="85"/>
      <c r="P4509" s="85"/>
      <c r="Q4509" s="85"/>
      <c r="R4509" s="81"/>
    </row>
    <row r="4510" spans="7:18" x14ac:dyDescent="0.3">
      <c r="G4510" s="85"/>
      <c r="H4510" s="86"/>
      <c r="I4510" s="86"/>
      <c r="J4510" s="87"/>
      <c r="K4510" s="85"/>
      <c r="L4510" s="85"/>
      <c r="P4510" s="85"/>
      <c r="Q4510" s="85"/>
      <c r="R4510" s="81"/>
    </row>
    <row r="4511" spans="7:18" x14ac:dyDescent="0.3">
      <c r="G4511" s="85"/>
      <c r="H4511" s="86"/>
      <c r="I4511" s="86"/>
      <c r="J4511" s="87"/>
      <c r="K4511" s="85"/>
      <c r="L4511" s="85"/>
      <c r="P4511" s="85"/>
      <c r="Q4511" s="85"/>
      <c r="R4511" s="81"/>
    </row>
    <row r="4512" spans="7:18" x14ac:dyDescent="0.3">
      <c r="G4512" s="85"/>
      <c r="H4512" s="86"/>
      <c r="I4512" s="86"/>
      <c r="J4512" s="87"/>
      <c r="K4512" s="85"/>
      <c r="L4512" s="85"/>
      <c r="P4512" s="85"/>
      <c r="Q4512" s="85"/>
      <c r="R4512" s="81"/>
    </row>
    <row r="4513" spans="7:18" x14ac:dyDescent="0.3">
      <c r="G4513" s="85"/>
      <c r="H4513" s="86"/>
      <c r="I4513" s="86"/>
      <c r="J4513" s="87"/>
      <c r="K4513" s="85"/>
      <c r="L4513" s="85"/>
      <c r="P4513" s="85"/>
      <c r="Q4513" s="85"/>
      <c r="R4513" s="81"/>
    </row>
    <row r="4514" spans="7:18" x14ac:dyDescent="0.3">
      <c r="G4514" s="85"/>
      <c r="H4514" s="86"/>
      <c r="I4514" s="86"/>
      <c r="J4514" s="87"/>
      <c r="K4514" s="85"/>
      <c r="L4514" s="85"/>
      <c r="P4514" s="85"/>
      <c r="Q4514" s="85"/>
      <c r="R4514" s="81"/>
    </row>
    <row r="4515" spans="7:18" x14ac:dyDescent="0.3">
      <c r="G4515" s="85"/>
      <c r="H4515" s="86"/>
      <c r="I4515" s="86"/>
      <c r="J4515" s="87"/>
      <c r="K4515" s="85"/>
      <c r="L4515" s="85"/>
      <c r="P4515" s="85"/>
      <c r="Q4515" s="85"/>
      <c r="R4515" s="81"/>
    </row>
    <row r="4516" spans="7:18" x14ac:dyDescent="0.3">
      <c r="G4516" s="85"/>
      <c r="H4516" s="86"/>
      <c r="I4516" s="86"/>
      <c r="J4516" s="87"/>
      <c r="K4516" s="85"/>
      <c r="L4516" s="85"/>
      <c r="P4516" s="85"/>
      <c r="Q4516" s="85"/>
      <c r="R4516" s="81"/>
    </row>
    <row r="4517" spans="7:18" x14ac:dyDescent="0.3">
      <c r="G4517" s="85"/>
      <c r="H4517" s="86"/>
      <c r="I4517" s="86"/>
      <c r="J4517" s="87"/>
      <c r="K4517" s="85"/>
      <c r="L4517" s="85"/>
      <c r="P4517" s="85"/>
      <c r="Q4517" s="85"/>
      <c r="R4517" s="81"/>
    </row>
    <row r="4518" spans="7:18" x14ac:dyDescent="0.3">
      <c r="G4518" s="85"/>
      <c r="H4518" s="86"/>
      <c r="I4518" s="86"/>
      <c r="J4518" s="87"/>
      <c r="K4518" s="85"/>
      <c r="L4518" s="85"/>
      <c r="P4518" s="85"/>
      <c r="Q4518" s="85"/>
      <c r="R4518" s="81"/>
    </row>
    <row r="4519" spans="7:18" x14ac:dyDescent="0.3">
      <c r="G4519" s="85"/>
      <c r="H4519" s="86"/>
      <c r="I4519" s="86"/>
      <c r="J4519" s="87"/>
      <c r="K4519" s="85"/>
      <c r="L4519" s="85"/>
      <c r="P4519" s="85"/>
      <c r="Q4519" s="85"/>
      <c r="R4519" s="81"/>
    </row>
    <row r="4520" spans="7:18" x14ac:dyDescent="0.3">
      <c r="G4520" s="85"/>
      <c r="H4520" s="86"/>
      <c r="I4520" s="86"/>
      <c r="J4520" s="87"/>
      <c r="K4520" s="85"/>
      <c r="L4520" s="85"/>
      <c r="P4520" s="85"/>
      <c r="Q4520" s="85"/>
      <c r="R4520" s="81"/>
    </row>
    <row r="4521" spans="7:18" x14ac:dyDescent="0.3">
      <c r="G4521" s="85"/>
      <c r="H4521" s="86"/>
      <c r="I4521" s="86"/>
      <c r="J4521" s="87"/>
      <c r="K4521" s="85"/>
      <c r="L4521" s="85"/>
      <c r="P4521" s="85"/>
      <c r="Q4521" s="85"/>
      <c r="R4521" s="81"/>
    </row>
    <row r="4522" spans="7:18" x14ac:dyDescent="0.3">
      <c r="G4522" s="85"/>
      <c r="H4522" s="86"/>
      <c r="I4522" s="86"/>
      <c r="J4522" s="87"/>
      <c r="K4522" s="85"/>
      <c r="L4522" s="85"/>
      <c r="P4522" s="85"/>
      <c r="Q4522" s="85"/>
      <c r="R4522" s="81"/>
    </row>
    <row r="4523" spans="7:18" x14ac:dyDescent="0.3">
      <c r="G4523" s="85"/>
      <c r="H4523" s="86"/>
      <c r="I4523" s="86"/>
      <c r="J4523" s="87"/>
      <c r="K4523" s="85"/>
      <c r="L4523" s="85"/>
      <c r="P4523" s="85"/>
      <c r="Q4523" s="85"/>
      <c r="R4523" s="81"/>
    </row>
    <row r="4524" spans="7:18" x14ac:dyDescent="0.3">
      <c r="G4524" s="85"/>
      <c r="H4524" s="86"/>
      <c r="I4524" s="86"/>
      <c r="J4524" s="87"/>
      <c r="K4524" s="85"/>
      <c r="L4524" s="85"/>
      <c r="P4524" s="85"/>
      <c r="Q4524" s="85"/>
      <c r="R4524" s="81"/>
    </row>
    <row r="4525" spans="7:18" x14ac:dyDescent="0.3">
      <c r="G4525" s="85"/>
      <c r="H4525" s="86"/>
      <c r="I4525" s="86"/>
      <c r="J4525" s="87"/>
      <c r="K4525" s="85"/>
      <c r="L4525" s="85"/>
      <c r="P4525" s="85"/>
      <c r="Q4525" s="85"/>
      <c r="R4525" s="81"/>
    </row>
    <row r="4526" spans="7:18" x14ac:dyDescent="0.3">
      <c r="G4526" s="85"/>
      <c r="H4526" s="86"/>
      <c r="I4526" s="86"/>
      <c r="J4526" s="87"/>
      <c r="K4526" s="85"/>
      <c r="L4526" s="85"/>
      <c r="P4526" s="85"/>
      <c r="Q4526" s="85"/>
      <c r="R4526" s="81"/>
    </row>
    <row r="4527" spans="7:18" x14ac:dyDescent="0.3">
      <c r="G4527" s="85"/>
      <c r="H4527" s="86"/>
      <c r="I4527" s="86"/>
      <c r="J4527" s="87"/>
      <c r="K4527" s="85"/>
      <c r="L4527" s="85"/>
      <c r="P4527" s="85"/>
      <c r="Q4527" s="85"/>
      <c r="R4527" s="81"/>
    </row>
    <row r="4528" spans="7:18" x14ac:dyDescent="0.3">
      <c r="G4528" s="85"/>
      <c r="H4528" s="86"/>
      <c r="I4528" s="86"/>
      <c r="J4528" s="87"/>
      <c r="K4528" s="85"/>
      <c r="L4528" s="85"/>
      <c r="P4528" s="85"/>
      <c r="Q4528" s="85"/>
      <c r="R4528" s="81"/>
    </row>
    <row r="4529" spans="7:18" x14ac:dyDescent="0.3">
      <c r="G4529" s="85"/>
      <c r="H4529" s="86"/>
      <c r="I4529" s="86"/>
      <c r="J4529" s="87"/>
      <c r="K4529" s="85"/>
      <c r="L4529" s="85"/>
      <c r="P4529" s="85"/>
      <c r="Q4529" s="85"/>
      <c r="R4529" s="81"/>
    </row>
    <row r="4530" spans="7:18" x14ac:dyDescent="0.3">
      <c r="G4530" s="85"/>
      <c r="H4530" s="86"/>
      <c r="I4530" s="86"/>
      <c r="J4530" s="87"/>
      <c r="K4530" s="85"/>
      <c r="L4530" s="85"/>
      <c r="P4530" s="85"/>
      <c r="Q4530" s="85"/>
      <c r="R4530" s="81"/>
    </row>
    <row r="4531" spans="7:18" x14ac:dyDescent="0.3">
      <c r="G4531" s="85"/>
      <c r="H4531" s="86"/>
      <c r="I4531" s="86"/>
      <c r="J4531" s="87"/>
      <c r="K4531" s="85"/>
      <c r="L4531" s="85"/>
      <c r="P4531" s="85"/>
      <c r="Q4531" s="85"/>
      <c r="R4531" s="81"/>
    </row>
    <row r="4532" spans="7:18" x14ac:dyDescent="0.3">
      <c r="G4532" s="85"/>
      <c r="H4532" s="86"/>
      <c r="I4532" s="86"/>
      <c r="J4532" s="87"/>
      <c r="K4532" s="85"/>
      <c r="L4532" s="85"/>
      <c r="P4532" s="85"/>
      <c r="Q4532" s="85"/>
      <c r="R4532" s="81"/>
    </row>
    <row r="4533" spans="7:18" x14ac:dyDescent="0.3">
      <c r="G4533" s="85"/>
      <c r="H4533" s="86"/>
      <c r="I4533" s="86"/>
      <c r="J4533" s="87"/>
      <c r="K4533" s="85"/>
      <c r="L4533" s="85"/>
      <c r="P4533" s="85"/>
      <c r="Q4533" s="85"/>
      <c r="R4533" s="81"/>
    </row>
    <row r="4534" spans="7:18" x14ac:dyDescent="0.3">
      <c r="G4534" s="85"/>
      <c r="H4534" s="86"/>
      <c r="I4534" s="86"/>
      <c r="J4534" s="87"/>
      <c r="K4534" s="85"/>
      <c r="L4534" s="85"/>
      <c r="P4534" s="85"/>
      <c r="Q4534" s="85"/>
      <c r="R4534" s="81"/>
    </row>
    <row r="4535" spans="7:18" x14ac:dyDescent="0.3">
      <c r="G4535" s="85"/>
      <c r="H4535" s="86"/>
      <c r="I4535" s="86"/>
      <c r="J4535" s="87"/>
      <c r="K4535" s="85"/>
      <c r="L4535" s="85"/>
      <c r="P4535" s="85"/>
      <c r="Q4535" s="85"/>
      <c r="R4535" s="81"/>
    </row>
    <row r="4536" spans="7:18" x14ac:dyDescent="0.3">
      <c r="G4536" s="85"/>
      <c r="H4536" s="86"/>
      <c r="I4536" s="86"/>
      <c r="J4536" s="87"/>
      <c r="K4536" s="85"/>
      <c r="L4536" s="85"/>
      <c r="P4536" s="85"/>
      <c r="Q4536" s="85"/>
      <c r="R4536" s="81"/>
    </row>
    <row r="4537" spans="7:18" x14ac:dyDescent="0.3">
      <c r="G4537" s="85"/>
      <c r="H4537" s="86"/>
      <c r="I4537" s="86"/>
      <c r="J4537" s="87"/>
      <c r="K4537" s="85"/>
      <c r="L4537" s="85"/>
      <c r="P4537" s="85"/>
      <c r="Q4537" s="85"/>
      <c r="R4537" s="81"/>
    </row>
    <row r="4538" spans="7:18" x14ac:dyDescent="0.3">
      <c r="G4538" s="85"/>
      <c r="H4538" s="86"/>
      <c r="I4538" s="86"/>
      <c r="J4538" s="87"/>
      <c r="K4538" s="85"/>
      <c r="L4538" s="85"/>
      <c r="P4538" s="85"/>
      <c r="Q4538" s="85"/>
      <c r="R4538" s="81"/>
    </row>
    <row r="4539" spans="7:18" x14ac:dyDescent="0.3">
      <c r="G4539" s="85"/>
      <c r="H4539" s="86"/>
      <c r="I4539" s="86"/>
      <c r="J4539" s="87"/>
      <c r="K4539" s="85"/>
      <c r="L4539" s="85"/>
      <c r="P4539" s="85"/>
      <c r="Q4539" s="85"/>
      <c r="R4539" s="81"/>
    </row>
    <row r="4540" spans="7:18" x14ac:dyDescent="0.3">
      <c r="G4540" s="85"/>
      <c r="H4540" s="86"/>
      <c r="I4540" s="86"/>
      <c r="J4540" s="87"/>
      <c r="K4540" s="85"/>
      <c r="L4540" s="85"/>
      <c r="P4540" s="85"/>
      <c r="Q4540" s="85"/>
      <c r="R4540" s="81"/>
    </row>
    <row r="4541" spans="7:18" x14ac:dyDescent="0.3">
      <c r="G4541" s="85"/>
      <c r="H4541" s="86"/>
      <c r="I4541" s="86"/>
      <c r="J4541" s="87"/>
      <c r="K4541" s="85"/>
      <c r="L4541" s="85"/>
      <c r="P4541" s="85"/>
      <c r="Q4541" s="85"/>
      <c r="R4541" s="81"/>
    </row>
    <row r="4542" spans="7:18" x14ac:dyDescent="0.3">
      <c r="G4542" s="85"/>
      <c r="H4542" s="86"/>
      <c r="I4542" s="86"/>
      <c r="J4542" s="87"/>
      <c r="K4542" s="85"/>
      <c r="L4542" s="85"/>
      <c r="P4542" s="85"/>
      <c r="Q4542" s="85"/>
      <c r="R4542" s="81"/>
    </row>
    <row r="4543" spans="7:18" x14ac:dyDescent="0.3">
      <c r="G4543" s="85"/>
      <c r="H4543" s="86"/>
      <c r="I4543" s="86"/>
      <c r="J4543" s="87"/>
      <c r="K4543" s="85"/>
      <c r="L4543" s="85"/>
      <c r="P4543" s="85"/>
      <c r="Q4543" s="85"/>
      <c r="R4543" s="81"/>
    </row>
    <row r="4544" spans="7:18" x14ac:dyDescent="0.3">
      <c r="G4544" s="85"/>
      <c r="H4544" s="86"/>
      <c r="I4544" s="86"/>
      <c r="J4544" s="87"/>
      <c r="K4544" s="85"/>
      <c r="L4544" s="85"/>
      <c r="P4544" s="85"/>
      <c r="Q4544" s="85"/>
      <c r="R4544" s="81"/>
    </row>
    <row r="4545" spans="7:18" x14ac:dyDescent="0.3">
      <c r="G4545" s="85"/>
      <c r="H4545" s="86"/>
      <c r="I4545" s="86"/>
      <c r="J4545" s="87"/>
      <c r="K4545" s="85"/>
      <c r="L4545" s="85"/>
      <c r="P4545" s="85"/>
      <c r="Q4545" s="85"/>
      <c r="R4545" s="81"/>
    </row>
    <row r="4546" spans="7:18" x14ac:dyDescent="0.3">
      <c r="G4546" s="85"/>
      <c r="H4546" s="86"/>
      <c r="I4546" s="86"/>
      <c r="J4546" s="87"/>
      <c r="K4546" s="85"/>
      <c r="L4546" s="85"/>
      <c r="P4546" s="85"/>
      <c r="Q4546" s="85"/>
      <c r="R4546" s="81"/>
    </row>
    <row r="4547" spans="7:18" x14ac:dyDescent="0.3">
      <c r="G4547" s="85"/>
      <c r="H4547" s="86"/>
      <c r="I4547" s="86"/>
      <c r="J4547" s="87"/>
      <c r="K4547" s="85"/>
      <c r="L4547" s="85"/>
      <c r="P4547" s="85"/>
      <c r="Q4547" s="85"/>
      <c r="R4547" s="81"/>
    </row>
    <row r="4548" spans="7:18" x14ac:dyDescent="0.3">
      <c r="G4548" s="85"/>
      <c r="H4548" s="86"/>
      <c r="I4548" s="86"/>
      <c r="J4548" s="87"/>
      <c r="K4548" s="85"/>
      <c r="L4548" s="85"/>
      <c r="P4548" s="85"/>
      <c r="Q4548" s="85"/>
      <c r="R4548" s="81"/>
    </row>
    <row r="4549" spans="7:18" x14ac:dyDescent="0.3">
      <c r="G4549" s="85"/>
      <c r="H4549" s="86"/>
      <c r="I4549" s="86"/>
      <c r="J4549" s="87"/>
      <c r="K4549" s="85"/>
      <c r="L4549" s="85"/>
      <c r="P4549" s="85"/>
      <c r="Q4549" s="85"/>
      <c r="R4549" s="81"/>
    </row>
    <row r="4550" spans="7:18" x14ac:dyDescent="0.3">
      <c r="G4550" s="85"/>
      <c r="H4550" s="86"/>
      <c r="I4550" s="86"/>
      <c r="J4550" s="87"/>
      <c r="K4550" s="85"/>
      <c r="L4550" s="85"/>
      <c r="P4550" s="85"/>
      <c r="Q4550" s="85"/>
      <c r="R4550" s="81"/>
    </row>
    <row r="4551" spans="7:18" x14ac:dyDescent="0.3">
      <c r="G4551" s="85"/>
      <c r="H4551" s="86"/>
      <c r="I4551" s="86"/>
      <c r="J4551" s="87"/>
      <c r="K4551" s="85"/>
      <c r="L4551" s="85"/>
      <c r="P4551" s="85"/>
      <c r="Q4551" s="85"/>
      <c r="R4551" s="81"/>
    </row>
    <row r="4552" spans="7:18" x14ac:dyDescent="0.3">
      <c r="G4552" s="85"/>
      <c r="H4552" s="86"/>
      <c r="I4552" s="86"/>
      <c r="J4552" s="87"/>
      <c r="K4552" s="85"/>
      <c r="L4552" s="85"/>
      <c r="P4552" s="85"/>
      <c r="Q4552" s="85"/>
      <c r="R4552" s="81"/>
    </row>
    <row r="4553" spans="7:18" x14ac:dyDescent="0.3">
      <c r="G4553" s="85"/>
      <c r="H4553" s="86"/>
      <c r="I4553" s="86"/>
      <c r="J4553" s="87"/>
      <c r="K4553" s="85"/>
      <c r="L4553" s="85"/>
      <c r="P4553" s="85"/>
      <c r="Q4553" s="85"/>
      <c r="R4553" s="81"/>
    </row>
    <row r="4554" spans="7:18" x14ac:dyDescent="0.3">
      <c r="G4554" s="85"/>
      <c r="H4554" s="86"/>
      <c r="I4554" s="86"/>
      <c r="J4554" s="87"/>
      <c r="K4554" s="85"/>
      <c r="L4554" s="85"/>
      <c r="P4554" s="85"/>
      <c r="Q4554" s="85"/>
      <c r="R4554" s="81"/>
    </row>
    <row r="4555" spans="7:18" x14ac:dyDescent="0.3">
      <c r="G4555" s="85"/>
      <c r="H4555" s="86"/>
      <c r="I4555" s="86"/>
      <c r="J4555" s="87"/>
      <c r="K4555" s="85"/>
      <c r="L4555" s="85"/>
      <c r="P4555" s="85"/>
      <c r="Q4555" s="85"/>
      <c r="R4555" s="81"/>
    </row>
    <row r="4556" spans="7:18" x14ac:dyDescent="0.3">
      <c r="G4556" s="85"/>
      <c r="H4556" s="86"/>
      <c r="I4556" s="86"/>
      <c r="J4556" s="87"/>
      <c r="K4556" s="85"/>
      <c r="L4556" s="85"/>
      <c r="P4556" s="85"/>
      <c r="Q4556" s="85"/>
      <c r="R4556" s="81"/>
    </row>
    <row r="4557" spans="7:18" x14ac:dyDescent="0.3">
      <c r="G4557" s="85"/>
      <c r="H4557" s="86"/>
      <c r="I4557" s="86"/>
      <c r="J4557" s="87"/>
      <c r="K4557" s="85"/>
      <c r="L4557" s="85"/>
      <c r="P4557" s="85"/>
      <c r="Q4557" s="85"/>
      <c r="R4557" s="81"/>
    </row>
    <row r="4558" spans="7:18" x14ac:dyDescent="0.3">
      <c r="G4558" s="85"/>
      <c r="H4558" s="86"/>
      <c r="I4558" s="86"/>
      <c r="J4558" s="87"/>
      <c r="K4558" s="85"/>
      <c r="L4558" s="85"/>
      <c r="P4558" s="85"/>
      <c r="Q4558" s="85"/>
      <c r="R4558" s="81"/>
    </row>
    <row r="4559" spans="7:18" x14ac:dyDescent="0.3">
      <c r="G4559" s="85"/>
      <c r="H4559" s="86"/>
      <c r="I4559" s="86"/>
      <c r="J4559" s="87"/>
      <c r="K4559" s="85"/>
      <c r="L4559" s="85"/>
      <c r="P4559" s="85"/>
      <c r="Q4559" s="85"/>
      <c r="R4559" s="81"/>
    </row>
    <row r="4560" spans="7:18" x14ac:dyDescent="0.3">
      <c r="G4560" s="85"/>
      <c r="H4560" s="86"/>
      <c r="I4560" s="86"/>
      <c r="J4560" s="87"/>
      <c r="K4560" s="85"/>
      <c r="L4560" s="85"/>
      <c r="P4560" s="85"/>
      <c r="Q4560" s="85"/>
      <c r="R4560" s="81"/>
    </row>
    <row r="4561" spans="7:18" x14ac:dyDescent="0.3">
      <c r="G4561" s="85"/>
      <c r="H4561" s="86"/>
      <c r="I4561" s="86"/>
      <c r="J4561" s="87"/>
      <c r="K4561" s="85"/>
      <c r="L4561" s="85"/>
      <c r="P4561" s="85"/>
      <c r="Q4561" s="85"/>
      <c r="R4561" s="81"/>
    </row>
    <row r="4562" spans="7:18" x14ac:dyDescent="0.3">
      <c r="G4562" s="85"/>
      <c r="H4562" s="86"/>
      <c r="I4562" s="86"/>
      <c r="J4562" s="87"/>
      <c r="K4562" s="85"/>
      <c r="L4562" s="85"/>
      <c r="P4562" s="85"/>
      <c r="Q4562" s="85"/>
      <c r="R4562" s="81"/>
    </row>
    <row r="4563" spans="7:18" x14ac:dyDescent="0.3">
      <c r="G4563" s="85"/>
      <c r="H4563" s="86"/>
      <c r="I4563" s="86"/>
      <c r="J4563" s="87"/>
      <c r="K4563" s="85"/>
      <c r="L4563" s="85"/>
      <c r="P4563" s="85"/>
      <c r="Q4563" s="85"/>
      <c r="R4563" s="81"/>
    </row>
    <row r="4564" spans="7:18" x14ac:dyDescent="0.3">
      <c r="G4564" s="85"/>
      <c r="H4564" s="86"/>
      <c r="I4564" s="86"/>
      <c r="J4564" s="87"/>
      <c r="K4564" s="85"/>
      <c r="L4564" s="85"/>
      <c r="P4564" s="85"/>
      <c r="Q4564" s="85"/>
      <c r="R4564" s="81"/>
    </row>
    <row r="4565" spans="7:18" x14ac:dyDescent="0.3">
      <c r="G4565" s="85"/>
      <c r="H4565" s="86"/>
      <c r="I4565" s="86"/>
      <c r="J4565" s="87"/>
      <c r="K4565" s="85"/>
      <c r="L4565" s="85"/>
      <c r="P4565" s="85"/>
      <c r="Q4565" s="85"/>
      <c r="R4565" s="81"/>
    </row>
    <row r="4566" spans="7:18" x14ac:dyDescent="0.3">
      <c r="G4566" s="85"/>
      <c r="H4566" s="86"/>
      <c r="I4566" s="86"/>
      <c r="J4566" s="87"/>
      <c r="K4566" s="85"/>
      <c r="L4566" s="85"/>
      <c r="P4566" s="85"/>
      <c r="Q4566" s="85"/>
      <c r="R4566" s="81"/>
    </row>
    <row r="4567" spans="7:18" x14ac:dyDescent="0.3">
      <c r="G4567" s="85"/>
      <c r="H4567" s="86"/>
      <c r="I4567" s="86"/>
      <c r="J4567" s="87"/>
      <c r="K4567" s="85"/>
      <c r="L4567" s="85"/>
      <c r="P4567" s="85"/>
      <c r="Q4567" s="85"/>
      <c r="R4567" s="81"/>
    </row>
    <row r="4568" spans="7:18" x14ac:dyDescent="0.3">
      <c r="G4568" s="85"/>
      <c r="H4568" s="86"/>
      <c r="I4568" s="86"/>
      <c r="J4568" s="87"/>
      <c r="K4568" s="85"/>
      <c r="L4568" s="85"/>
      <c r="P4568" s="85"/>
      <c r="Q4568" s="85"/>
      <c r="R4568" s="81"/>
    </row>
    <row r="4569" spans="7:18" x14ac:dyDescent="0.3">
      <c r="G4569" s="85"/>
      <c r="H4569" s="86"/>
      <c r="I4569" s="86"/>
      <c r="J4569" s="87"/>
      <c r="K4569" s="85"/>
      <c r="L4569" s="85"/>
      <c r="P4569" s="85"/>
      <c r="Q4569" s="85"/>
      <c r="R4569" s="81"/>
    </row>
    <row r="4570" spans="7:18" x14ac:dyDescent="0.3">
      <c r="G4570" s="85"/>
      <c r="H4570" s="86"/>
      <c r="I4570" s="86"/>
      <c r="J4570" s="87"/>
      <c r="K4570" s="85"/>
      <c r="L4570" s="85"/>
      <c r="P4570" s="85"/>
      <c r="Q4570" s="85"/>
      <c r="R4570" s="81"/>
    </row>
    <row r="4571" spans="7:18" x14ac:dyDescent="0.3">
      <c r="G4571" s="85"/>
      <c r="H4571" s="86"/>
      <c r="I4571" s="86"/>
      <c r="J4571" s="87"/>
      <c r="K4571" s="85"/>
      <c r="L4571" s="85"/>
      <c r="P4571" s="85"/>
      <c r="Q4571" s="85"/>
      <c r="R4571" s="81"/>
    </row>
    <row r="4572" spans="7:18" x14ac:dyDescent="0.3">
      <c r="G4572" s="85"/>
      <c r="H4572" s="86"/>
      <c r="I4572" s="86"/>
      <c r="J4572" s="87"/>
      <c r="K4572" s="85"/>
      <c r="L4572" s="85"/>
      <c r="P4572" s="85"/>
      <c r="Q4572" s="85"/>
      <c r="R4572" s="81"/>
    </row>
    <row r="4573" spans="7:18" x14ac:dyDescent="0.3">
      <c r="G4573" s="85"/>
      <c r="H4573" s="86"/>
      <c r="I4573" s="86"/>
      <c r="J4573" s="87"/>
      <c r="K4573" s="85"/>
      <c r="L4573" s="85"/>
      <c r="P4573" s="85"/>
      <c r="Q4573" s="85"/>
      <c r="R4573" s="81"/>
    </row>
    <row r="4574" spans="7:18" x14ac:dyDescent="0.3">
      <c r="G4574" s="85"/>
      <c r="H4574" s="86"/>
      <c r="I4574" s="86"/>
      <c r="J4574" s="87"/>
      <c r="K4574" s="85"/>
      <c r="L4574" s="85"/>
      <c r="P4574" s="85"/>
      <c r="Q4574" s="85"/>
      <c r="R4574" s="81"/>
    </row>
    <row r="4575" spans="7:18" x14ac:dyDescent="0.3">
      <c r="G4575" s="85"/>
      <c r="H4575" s="86"/>
      <c r="I4575" s="86"/>
      <c r="J4575" s="87"/>
      <c r="K4575" s="85"/>
      <c r="L4575" s="85"/>
      <c r="P4575" s="85"/>
      <c r="Q4575" s="85"/>
      <c r="R4575" s="81"/>
    </row>
    <row r="4576" spans="7:18" x14ac:dyDescent="0.3">
      <c r="G4576" s="85"/>
      <c r="H4576" s="86"/>
      <c r="I4576" s="86"/>
      <c r="J4576" s="87"/>
      <c r="K4576" s="85"/>
      <c r="L4576" s="85"/>
      <c r="P4576" s="85"/>
      <c r="Q4576" s="85"/>
      <c r="R4576" s="81"/>
    </row>
    <row r="4577" spans="7:18" x14ac:dyDescent="0.3">
      <c r="G4577" s="85"/>
      <c r="H4577" s="86"/>
      <c r="I4577" s="86"/>
      <c r="J4577" s="87"/>
      <c r="K4577" s="85"/>
      <c r="L4577" s="85"/>
      <c r="P4577" s="85"/>
      <c r="Q4577" s="85"/>
      <c r="R4577" s="81"/>
    </row>
    <row r="4578" spans="7:18" x14ac:dyDescent="0.3">
      <c r="G4578" s="85"/>
      <c r="H4578" s="86"/>
      <c r="I4578" s="86"/>
      <c r="J4578" s="87"/>
      <c r="K4578" s="85"/>
      <c r="L4578" s="85"/>
      <c r="P4578" s="85"/>
      <c r="Q4578" s="85"/>
      <c r="R4578" s="81"/>
    </row>
    <row r="4579" spans="7:18" x14ac:dyDescent="0.3">
      <c r="G4579" s="85"/>
      <c r="H4579" s="86"/>
      <c r="I4579" s="86"/>
      <c r="J4579" s="87"/>
      <c r="K4579" s="85"/>
      <c r="L4579" s="85"/>
      <c r="P4579" s="85"/>
      <c r="Q4579" s="85"/>
      <c r="R4579" s="81"/>
    </row>
    <row r="4580" spans="7:18" x14ac:dyDescent="0.3">
      <c r="G4580" s="85"/>
      <c r="H4580" s="86"/>
      <c r="I4580" s="86"/>
      <c r="J4580" s="87"/>
      <c r="K4580" s="85"/>
      <c r="L4580" s="85"/>
      <c r="P4580" s="85"/>
      <c r="Q4580" s="85"/>
      <c r="R4580" s="81"/>
    </row>
    <row r="4581" spans="7:18" x14ac:dyDescent="0.3">
      <c r="G4581" s="85"/>
      <c r="H4581" s="86"/>
      <c r="I4581" s="86"/>
      <c r="J4581" s="87"/>
      <c r="K4581" s="85"/>
      <c r="L4581" s="85"/>
      <c r="P4581" s="85"/>
      <c r="Q4581" s="85"/>
      <c r="R4581" s="81"/>
    </row>
    <row r="4582" spans="7:18" x14ac:dyDescent="0.3">
      <c r="G4582" s="85"/>
      <c r="H4582" s="86"/>
      <c r="I4582" s="86"/>
      <c r="J4582" s="87"/>
      <c r="K4582" s="85"/>
      <c r="L4582" s="85"/>
      <c r="P4582" s="85"/>
      <c r="Q4582" s="85"/>
      <c r="R4582" s="81"/>
    </row>
    <row r="4583" spans="7:18" x14ac:dyDescent="0.3">
      <c r="G4583" s="85"/>
      <c r="H4583" s="86"/>
      <c r="I4583" s="86"/>
      <c r="J4583" s="87"/>
      <c r="K4583" s="85"/>
      <c r="L4583" s="85"/>
      <c r="P4583" s="85"/>
      <c r="Q4583" s="85"/>
      <c r="R4583" s="81"/>
    </row>
    <row r="4584" spans="7:18" x14ac:dyDescent="0.3">
      <c r="G4584" s="85"/>
      <c r="H4584" s="86"/>
      <c r="I4584" s="86"/>
      <c r="J4584" s="87"/>
      <c r="K4584" s="85"/>
      <c r="L4584" s="85"/>
      <c r="P4584" s="85"/>
      <c r="Q4584" s="85"/>
      <c r="R4584" s="81"/>
    </row>
    <row r="4585" spans="7:18" x14ac:dyDescent="0.3">
      <c r="G4585" s="85"/>
      <c r="H4585" s="86"/>
      <c r="I4585" s="86"/>
      <c r="J4585" s="87"/>
      <c r="K4585" s="85"/>
      <c r="L4585" s="85"/>
      <c r="P4585" s="85"/>
      <c r="Q4585" s="85"/>
      <c r="R4585" s="81"/>
    </row>
    <row r="4586" spans="7:18" x14ac:dyDescent="0.3">
      <c r="G4586" s="85"/>
      <c r="H4586" s="86"/>
      <c r="I4586" s="86"/>
      <c r="J4586" s="87"/>
      <c r="K4586" s="85"/>
      <c r="L4586" s="85"/>
      <c r="P4586" s="85"/>
      <c r="Q4586" s="85"/>
      <c r="R4586" s="81"/>
    </row>
    <row r="4587" spans="7:18" x14ac:dyDescent="0.3">
      <c r="G4587" s="85"/>
      <c r="H4587" s="86"/>
      <c r="I4587" s="86"/>
      <c r="J4587" s="87"/>
      <c r="K4587" s="85"/>
      <c r="L4587" s="85"/>
      <c r="P4587" s="85"/>
      <c r="Q4587" s="85"/>
      <c r="R4587" s="81"/>
    </row>
    <row r="4588" spans="7:18" x14ac:dyDescent="0.3">
      <c r="G4588" s="85"/>
      <c r="H4588" s="86"/>
      <c r="I4588" s="86"/>
      <c r="J4588" s="87"/>
      <c r="K4588" s="85"/>
      <c r="L4588" s="85"/>
      <c r="P4588" s="85"/>
      <c r="Q4588" s="85"/>
      <c r="R4588" s="81"/>
    </row>
    <row r="4589" spans="7:18" x14ac:dyDescent="0.3">
      <c r="G4589" s="85"/>
      <c r="H4589" s="86"/>
      <c r="I4589" s="86"/>
      <c r="J4589" s="87"/>
      <c r="K4589" s="85"/>
      <c r="L4589" s="85"/>
      <c r="P4589" s="85"/>
      <c r="Q4589" s="85"/>
      <c r="R4589" s="81"/>
    </row>
    <row r="4590" spans="7:18" x14ac:dyDescent="0.3">
      <c r="G4590" s="85"/>
      <c r="H4590" s="86"/>
      <c r="I4590" s="86"/>
      <c r="J4590" s="87"/>
      <c r="K4590" s="85"/>
      <c r="L4590" s="85"/>
      <c r="P4590" s="85"/>
      <c r="Q4590" s="85"/>
      <c r="R4590" s="81"/>
    </row>
    <row r="4591" spans="7:18" x14ac:dyDescent="0.3">
      <c r="G4591" s="85"/>
      <c r="H4591" s="86"/>
      <c r="I4591" s="86"/>
      <c r="J4591" s="87"/>
      <c r="K4591" s="85"/>
      <c r="L4591" s="85"/>
      <c r="P4591" s="85"/>
      <c r="Q4591" s="85"/>
      <c r="R4591" s="81"/>
    </row>
    <row r="4592" spans="7:18" x14ac:dyDescent="0.3">
      <c r="G4592" s="85"/>
      <c r="H4592" s="86"/>
      <c r="I4592" s="86"/>
      <c r="J4592" s="87"/>
      <c r="K4592" s="85"/>
      <c r="L4592" s="85"/>
      <c r="P4592" s="85"/>
      <c r="Q4592" s="85"/>
      <c r="R4592" s="81"/>
    </row>
    <row r="4593" spans="7:18" x14ac:dyDescent="0.3">
      <c r="G4593" s="85"/>
      <c r="H4593" s="86"/>
      <c r="I4593" s="86"/>
      <c r="J4593" s="87"/>
      <c r="K4593" s="85"/>
      <c r="L4593" s="85"/>
      <c r="P4593" s="85"/>
      <c r="Q4593" s="85"/>
      <c r="R4593" s="81"/>
    </row>
    <row r="4594" spans="7:18" x14ac:dyDescent="0.3">
      <c r="G4594" s="85"/>
      <c r="H4594" s="86"/>
      <c r="I4594" s="86"/>
      <c r="J4594" s="87"/>
      <c r="K4594" s="85"/>
      <c r="L4594" s="85"/>
      <c r="P4594" s="85"/>
      <c r="Q4594" s="85"/>
      <c r="R4594" s="81"/>
    </row>
    <row r="4595" spans="7:18" x14ac:dyDescent="0.3">
      <c r="G4595" s="85"/>
      <c r="H4595" s="86"/>
      <c r="I4595" s="86"/>
      <c r="J4595" s="87"/>
      <c r="K4595" s="85"/>
      <c r="L4595" s="85"/>
      <c r="P4595" s="85"/>
      <c r="Q4595" s="85"/>
      <c r="R4595" s="81"/>
    </row>
    <row r="4596" spans="7:18" x14ac:dyDescent="0.3">
      <c r="G4596" s="85"/>
      <c r="H4596" s="86"/>
      <c r="I4596" s="86"/>
      <c r="J4596" s="87"/>
      <c r="K4596" s="85"/>
      <c r="L4596" s="85"/>
      <c r="P4596" s="85"/>
      <c r="Q4596" s="85"/>
      <c r="R4596" s="81"/>
    </row>
    <row r="4597" spans="7:18" x14ac:dyDescent="0.3">
      <c r="G4597" s="85"/>
      <c r="H4597" s="86"/>
      <c r="I4597" s="86"/>
      <c r="J4597" s="87"/>
      <c r="K4597" s="85"/>
      <c r="L4597" s="85"/>
      <c r="P4597" s="85"/>
      <c r="Q4597" s="85"/>
      <c r="R4597" s="81"/>
    </row>
    <row r="4598" spans="7:18" x14ac:dyDescent="0.3">
      <c r="G4598" s="85"/>
      <c r="H4598" s="86"/>
      <c r="I4598" s="86"/>
      <c r="J4598" s="87"/>
      <c r="K4598" s="85"/>
      <c r="L4598" s="85"/>
      <c r="P4598" s="85"/>
      <c r="Q4598" s="85"/>
      <c r="R4598" s="81"/>
    </row>
    <row r="4599" spans="7:18" x14ac:dyDescent="0.3">
      <c r="G4599" s="85"/>
      <c r="H4599" s="86"/>
      <c r="I4599" s="86"/>
      <c r="J4599" s="87"/>
      <c r="K4599" s="85"/>
      <c r="L4599" s="85"/>
      <c r="P4599" s="85"/>
      <c r="Q4599" s="85"/>
      <c r="R4599" s="81"/>
    </row>
    <row r="4600" spans="7:18" x14ac:dyDescent="0.3">
      <c r="G4600" s="85"/>
      <c r="H4600" s="86"/>
      <c r="I4600" s="86"/>
      <c r="J4600" s="87"/>
      <c r="K4600" s="85"/>
      <c r="L4600" s="85"/>
      <c r="P4600" s="85"/>
      <c r="Q4600" s="85"/>
      <c r="R4600" s="81"/>
    </row>
    <row r="4601" spans="7:18" x14ac:dyDescent="0.3">
      <c r="G4601" s="85"/>
      <c r="H4601" s="86"/>
      <c r="I4601" s="86"/>
      <c r="J4601" s="87"/>
      <c r="K4601" s="85"/>
      <c r="L4601" s="85"/>
      <c r="P4601" s="85"/>
      <c r="Q4601" s="85"/>
      <c r="R4601" s="81"/>
    </row>
    <row r="4602" spans="7:18" x14ac:dyDescent="0.3">
      <c r="G4602" s="85"/>
      <c r="H4602" s="86"/>
      <c r="I4602" s="86"/>
      <c r="J4602" s="87"/>
      <c r="K4602" s="85"/>
      <c r="L4602" s="85"/>
      <c r="P4602" s="85"/>
      <c r="Q4602" s="85"/>
      <c r="R4602" s="81"/>
    </row>
    <row r="4603" spans="7:18" x14ac:dyDescent="0.3">
      <c r="G4603" s="85"/>
      <c r="H4603" s="86"/>
      <c r="I4603" s="86"/>
      <c r="J4603" s="87"/>
      <c r="K4603" s="85"/>
      <c r="L4603" s="85"/>
      <c r="P4603" s="85"/>
      <c r="Q4603" s="85"/>
      <c r="R4603" s="81"/>
    </row>
    <row r="4604" spans="7:18" x14ac:dyDescent="0.3">
      <c r="G4604" s="85"/>
      <c r="H4604" s="86"/>
      <c r="I4604" s="86"/>
      <c r="J4604" s="87"/>
      <c r="K4604" s="85"/>
      <c r="L4604" s="85"/>
      <c r="P4604" s="85"/>
      <c r="Q4604" s="85"/>
      <c r="R4604" s="81"/>
    </row>
    <row r="4605" spans="7:18" x14ac:dyDescent="0.3">
      <c r="G4605" s="85"/>
      <c r="H4605" s="86"/>
      <c r="I4605" s="86"/>
      <c r="J4605" s="87"/>
      <c r="K4605" s="85"/>
      <c r="L4605" s="85"/>
      <c r="P4605" s="85"/>
      <c r="Q4605" s="85"/>
      <c r="R4605" s="81"/>
    </row>
    <row r="4606" spans="7:18" x14ac:dyDescent="0.3">
      <c r="G4606" s="85"/>
      <c r="H4606" s="86"/>
      <c r="I4606" s="86"/>
      <c r="J4606" s="87"/>
      <c r="K4606" s="85"/>
      <c r="L4606" s="85"/>
      <c r="P4606" s="85"/>
      <c r="Q4606" s="85"/>
      <c r="R4606" s="81"/>
    </row>
    <row r="4607" spans="7:18" x14ac:dyDescent="0.3">
      <c r="G4607" s="85"/>
      <c r="H4607" s="86"/>
      <c r="I4607" s="86"/>
      <c r="J4607" s="87"/>
      <c r="K4607" s="85"/>
      <c r="L4607" s="85"/>
      <c r="P4607" s="85"/>
      <c r="Q4607" s="85"/>
      <c r="R4607" s="81"/>
    </row>
    <row r="4608" spans="7:18" x14ac:dyDescent="0.3">
      <c r="G4608" s="85"/>
      <c r="H4608" s="86"/>
      <c r="I4608" s="86"/>
      <c r="J4608" s="87"/>
      <c r="K4608" s="85"/>
      <c r="L4608" s="85"/>
      <c r="P4608" s="85"/>
      <c r="Q4608" s="85"/>
      <c r="R4608" s="81"/>
    </row>
    <row r="4609" spans="7:18" x14ac:dyDescent="0.3">
      <c r="G4609" s="85"/>
      <c r="H4609" s="86"/>
      <c r="I4609" s="86"/>
      <c r="J4609" s="87"/>
      <c r="K4609" s="85"/>
      <c r="L4609" s="85"/>
      <c r="P4609" s="85"/>
      <c r="Q4609" s="85"/>
      <c r="R4609" s="81"/>
    </row>
    <row r="4610" spans="7:18" x14ac:dyDescent="0.3">
      <c r="G4610" s="85"/>
      <c r="H4610" s="86"/>
      <c r="I4610" s="86"/>
      <c r="J4610" s="87"/>
      <c r="K4610" s="85"/>
      <c r="L4610" s="85"/>
      <c r="P4610" s="85"/>
      <c r="Q4610" s="85"/>
      <c r="R4610" s="81"/>
    </row>
    <row r="4611" spans="7:18" x14ac:dyDescent="0.3">
      <c r="G4611" s="85"/>
      <c r="H4611" s="86"/>
      <c r="I4611" s="86"/>
      <c r="J4611" s="87"/>
      <c r="K4611" s="85"/>
      <c r="L4611" s="85"/>
      <c r="P4611" s="85"/>
      <c r="Q4611" s="85"/>
      <c r="R4611" s="81"/>
    </row>
    <row r="4612" spans="7:18" x14ac:dyDescent="0.3">
      <c r="G4612" s="85"/>
      <c r="H4612" s="86"/>
      <c r="I4612" s="86"/>
      <c r="J4612" s="87"/>
      <c r="K4612" s="85"/>
      <c r="L4612" s="85"/>
      <c r="P4612" s="85"/>
      <c r="Q4612" s="85"/>
      <c r="R4612" s="81"/>
    </row>
    <row r="4613" spans="7:18" x14ac:dyDescent="0.3">
      <c r="G4613" s="85"/>
      <c r="H4613" s="86"/>
      <c r="I4613" s="86"/>
      <c r="J4613" s="87"/>
      <c r="K4613" s="85"/>
      <c r="L4613" s="85"/>
      <c r="P4613" s="85"/>
      <c r="Q4613" s="85"/>
      <c r="R4613" s="81"/>
    </row>
    <row r="4614" spans="7:18" x14ac:dyDescent="0.3">
      <c r="G4614" s="85"/>
      <c r="H4614" s="86"/>
      <c r="I4614" s="86"/>
      <c r="J4614" s="87"/>
      <c r="K4614" s="85"/>
      <c r="L4614" s="85"/>
      <c r="P4614" s="85"/>
      <c r="Q4614" s="85"/>
      <c r="R4614" s="81"/>
    </row>
    <row r="4615" spans="7:18" x14ac:dyDescent="0.3">
      <c r="G4615" s="85"/>
      <c r="H4615" s="86"/>
      <c r="I4615" s="86"/>
      <c r="J4615" s="87"/>
      <c r="K4615" s="85"/>
      <c r="L4615" s="85"/>
      <c r="P4615" s="85"/>
      <c r="Q4615" s="85"/>
      <c r="R4615" s="81"/>
    </row>
    <row r="4616" spans="7:18" x14ac:dyDescent="0.3">
      <c r="G4616" s="85"/>
      <c r="H4616" s="86"/>
      <c r="I4616" s="86"/>
      <c r="J4616" s="87"/>
      <c r="K4616" s="85"/>
      <c r="L4616" s="85"/>
      <c r="P4616" s="85"/>
      <c r="Q4616" s="85"/>
      <c r="R4616" s="81"/>
    </row>
    <row r="4617" spans="7:18" x14ac:dyDescent="0.3">
      <c r="G4617" s="85"/>
      <c r="H4617" s="86"/>
      <c r="I4617" s="86"/>
      <c r="J4617" s="87"/>
      <c r="K4617" s="85"/>
      <c r="L4617" s="85"/>
      <c r="P4617" s="85"/>
      <c r="Q4617" s="85"/>
      <c r="R4617" s="81"/>
    </row>
    <row r="4618" spans="7:18" x14ac:dyDescent="0.3">
      <c r="G4618" s="85"/>
      <c r="H4618" s="86"/>
      <c r="I4618" s="86"/>
      <c r="J4618" s="87"/>
      <c r="K4618" s="85"/>
      <c r="L4618" s="85"/>
      <c r="P4618" s="85"/>
      <c r="Q4618" s="85"/>
      <c r="R4618" s="81"/>
    </row>
    <row r="4619" spans="7:18" x14ac:dyDescent="0.3">
      <c r="G4619" s="85"/>
      <c r="H4619" s="86"/>
      <c r="I4619" s="86"/>
      <c r="J4619" s="87"/>
      <c r="K4619" s="85"/>
      <c r="L4619" s="85"/>
      <c r="P4619" s="85"/>
      <c r="Q4619" s="85"/>
      <c r="R4619" s="81"/>
    </row>
    <row r="4620" spans="7:18" x14ac:dyDescent="0.3">
      <c r="G4620" s="85"/>
      <c r="H4620" s="86"/>
      <c r="I4620" s="86"/>
      <c r="J4620" s="87"/>
      <c r="K4620" s="85"/>
      <c r="L4620" s="85"/>
      <c r="P4620" s="85"/>
      <c r="Q4620" s="85"/>
      <c r="R4620" s="81"/>
    </row>
    <row r="4621" spans="7:18" x14ac:dyDescent="0.3">
      <c r="G4621" s="85"/>
      <c r="H4621" s="86"/>
      <c r="I4621" s="86"/>
      <c r="J4621" s="87"/>
      <c r="K4621" s="85"/>
      <c r="L4621" s="85"/>
      <c r="P4621" s="85"/>
      <c r="Q4621" s="85"/>
      <c r="R4621" s="81"/>
    </row>
    <row r="4622" spans="7:18" x14ac:dyDescent="0.3">
      <c r="G4622" s="85"/>
      <c r="H4622" s="86"/>
      <c r="I4622" s="86"/>
      <c r="J4622" s="87"/>
      <c r="K4622" s="85"/>
      <c r="L4622" s="85"/>
      <c r="P4622" s="85"/>
      <c r="Q4622" s="85"/>
      <c r="R4622" s="81"/>
    </row>
    <row r="4623" spans="7:18" x14ac:dyDescent="0.3">
      <c r="G4623" s="85"/>
      <c r="H4623" s="86"/>
      <c r="I4623" s="86"/>
      <c r="J4623" s="87"/>
      <c r="K4623" s="85"/>
      <c r="L4623" s="85"/>
      <c r="P4623" s="85"/>
      <c r="Q4623" s="85"/>
      <c r="R4623" s="81"/>
    </row>
    <row r="4624" spans="7:18" x14ac:dyDescent="0.3">
      <c r="G4624" s="85"/>
      <c r="H4624" s="86"/>
      <c r="I4624" s="86"/>
      <c r="J4624" s="87"/>
      <c r="K4624" s="85"/>
      <c r="L4624" s="85"/>
      <c r="P4624" s="85"/>
      <c r="Q4624" s="85"/>
      <c r="R4624" s="81"/>
    </row>
    <row r="4625" spans="7:18" x14ac:dyDescent="0.3">
      <c r="G4625" s="85"/>
      <c r="H4625" s="86"/>
      <c r="I4625" s="86"/>
      <c r="J4625" s="87"/>
      <c r="K4625" s="85"/>
      <c r="L4625" s="85"/>
      <c r="P4625" s="85"/>
      <c r="Q4625" s="85"/>
      <c r="R4625" s="81"/>
    </row>
    <row r="4626" spans="7:18" x14ac:dyDescent="0.3">
      <c r="G4626" s="85"/>
      <c r="H4626" s="86"/>
      <c r="I4626" s="86"/>
      <c r="J4626" s="87"/>
      <c r="K4626" s="85"/>
      <c r="L4626" s="85"/>
      <c r="P4626" s="85"/>
      <c r="Q4626" s="85"/>
      <c r="R4626" s="81"/>
    </row>
    <row r="4627" spans="7:18" x14ac:dyDescent="0.3">
      <c r="G4627" s="85"/>
      <c r="H4627" s="86"/>
      <c r="I4627" s="86"/>
      <c r="J4627" s="87"/>
      <c r="K4627" s="85"/>
      <c r="L4627" s="85"/>
      <c r="P4627" s="85"/>
      <c r="Q4627" s="85"/>
      <c r="R4627" s="81"/>
    </row>
    <row r="4628" spans="7:18" x14ac:dyDescent="0.3">
      <c r="G4628" s="85"/>
      <c r="H4628" s="86"/>
      <c r="I4628" s="86"/>
      <c r="J4628" s="87"/>
      <c r="K4628" s="85"/>
      <c r="L4628" s="85"/>
      <c r="P4628" s="85"/>
      <c r="Q4628" s="85"/>
      <c r="R4628" s="81"/>
    </row>
    <row r="4629" spans="7:18" x14ac:dyDescent="0.3">
      <c r="G4629" s="85"/>
      <c r="H4629" s="86"/>
      <c r="I4629" s="86"/>
      <c r="J4629" s="87"/>
      <c r="K4629" s="85"/>
      <c r="L4629" s="85"/>
      <c r="P4629" s="85"/>
      <c r="Q4629" s="85"/>
      <c r="R4629" s="81"/>
    </row>
    <row r="4630" spans="7:18" x14ac:dyDescent="0.3">
      <c r="G4630" s="85"/>
      <c r="H4630" s="86"/>
      <c r="I4630" s="86"/>
      <c r="J4630" s="87"/>
      <c r="K4630" s="85"/>
      <c r="L4630" s="85"/>
      <c r="P4630" s="85"/>
      <c r="Q4630" s="85"/>
      <c r="R4630" s="81"/>
    </row>
    <row r="4631" spans="7:18" x14ac:dyDescent="0.3">
      <c r="G4631" s="85"/>
      <c r="H4631" s="86"/>
      <c r="I4631" s="86"/>
      <c r="J4631" s="87"/>
      <c r="K4631" s="85"/>
      <c r="L4631" s="85"/>
      <c r="P4631" s="85"/>
      <c r="Q4631" s="85"/>
      <c r="R4631" s="81"/>
    </row>
    <row r="4632" spans="7:18" x14ac:dyDescent="0.3">
      <c r="G4632" s="85"/>
      <c r="H4632" s="86"/>
      <c r="I4632" s="86"/>
      <c r="J4632" s="87"/>
      <c r="K4632" s="85"/>
      <c r="L4632" s="85"/>
      <c r="P4632" s="85"/>
      <c r="Q4632" s="85"/>
      <c r="R4632" s="81"/>
    </row>
    <row r="4633" spans="7:18" x14ac:dyDescent="0.3">
      <c r="G4633" s="85"/>
      <c r="H4633" s="86"/>
      <c r="I4633" s="86"/>
      <c r="J4633" s="87"/>
      <c r="K4633" s="85"/>
      <c r="L4633" s="85"/>
      <c r="P4633" s="85"/>
      <c r="Q4633" s="85"/>
      <c r="R4633" s="81"/>
    </row>
    <row r="4634" spans="7:18" x14ac:dyDescent="0.3">
      <c r="G4634" s="85"/>
      <c r="H4634" s="86"/>
      <c r="I4634" s="86"/>
      <c r="J4634" s="87"/>
      <c r="K4634" s="85"/>
      <c r="L4634" s="85"/>
      <c r="P4634" s="85"/>
      <c r="Q4634" s="85"/>
      <c r="R4634" s="81"/>
    </row>
    <row r="4635" spans="7:18" x14ac:dyDescent="0.3">
      <c r="G4635" s="85"/>
      <c r="H4635" s="86"/>
      <c r="I4635" s="86"/>
      <c r="J4635" s="87"/>
      <c r="K4635" s="85"/>
      <c r="L4635" s="85"/>
      <c r="P4635" s="85"/>
      <c r="Q4635" s="85"/>
      <c r="R4635" s="81"/>
    </row>
    <row r="4636" spans="7:18" x14ac:dyDescent="0.3">
      <c r="G4636" s="85"/>
      <c r="H4636" s="86"/>
      <c r="I4636" s="86"/>
      <c r="J4636" s="87"/>
      <c r="K4636" s="85"/>
      <c r="L4636" s="85"/>
      <c r="P4636" s="85"/>
      <c r="Q4636" s="85"/>
      <c r="R4636" s="81"/>
    </row>
    <row r="4637" spans="7:18" x14ac:dyDescent="0.3">
      <c r="G4637" s="85"/>
      <c r="H4637" s="86"/>
      <c r="I4637" s="86"/>
      <c r="J4637" s="87"/>
      <c r="K4637" s="85"/>
      <c r="L4637" s="85"/>
      <c r="P4637" s="85"/>
      <c r="Q4637" s="85"/>
      <c r="R4637" s="81"/>
    </row>
    <row r="4638" spans="7:18" x14ac:dyDescent="0.3">
      <c r="G4638" s="85"/>
      <c r="H4638" s="86"/>
      <c r="I4638" s="86"/>
      <c r="J4638" s="87"/>
      <c r="K4638" s="85"/>
      <c r="L4638" s="85"/>
      <c r="P4638" s="85"/>
      <c r="Q4638" s="85"/>
      <c r="R4638" s="81"/>
    </row>
    <row r="4639" spans="7:18" x14ac:dyDescent="0.3">
      <c r="G4639" s="85"/>
      <c r="H4639" s="86"/>
      <c r="I4639" s="86"/>
      <c r="J4639" s="87"/>
      <c r="K4639" s="85"/>
      <c r="L4639" s="85"/>
      <c r="P4639" s="85"/>
      <c r="Q4639" s="85"/>
      <c r="R4639" s="81"/>
    </row>
    <row r="4640" spans="7:18" x14ac:dyDescent="0.3">
      <c r="G4640" s="85"/>
      <c r="H4640" s="86"/>
      <c r="I4640" s="86"/>
      <c r="J4640" s="87"/>
      <c r="K4640" s="85"/>
      <c r="L4640" s="85"/>
      <c r="P4640" s="85"/>
      <c r="Q4640" s="85"/>
      <c r="R4640" s="81"/>
    </row>
    <row r="4641" spans="7:18" x14ac:dyDescent="0.3">
      <c r="G4641" s="85"/>
      <c r="H4641" s="86"/>
      <c r="I4641" s="86"/>
      <c r="J4641" s="87"/>
      <c r="K4641" s="85"/>
      <c r="L4641" s="85"/>
      <c r="P4641" s="85"/>
      <c r="Q4641" s="85"/>
      <c r="R4641" s="81"/>
    </row>
    <row r="4642" spans="7:18" x14ac:dyDescent="0.3">
      <c r="G4642" s="85"/>
      <c r="H4642" s="86"/>
      <c r="I4642" s="86"/>
      <c r="J4642" s="87"/>
      <c r="K4642" s="85"/>
      <c r="L4642" s="85"/>
      <c r="P4642" s="85"/>
      <c r="Q4642" s="85"/>
      <c r="R4642" s="81"/>
    </row>
    <row r="4643" spans="7:18" x14ac:dyDescent="0.3">
      <c r="G4643" s="85"/>
      <c r="H4643" s="86"/>
      <c r="I4643" s="86"/>
      <c r="J4643" s="87"/>
      <c r="K4643" s="85"/>
      <c r="L4643" s="85"/>
      <c r="P4643" s="85"/>
      <c r="Q4643" s="85"/>
      <c r="R4643" s="81"/>
    </row>
    <row r="4644" spans="7:18" x14ac:dyDescent="0.3">
      <c r="G4644" s="85"/>
      <c r="H4644" s="86"/>
      <c r="I4644" s="86"/>
      <c r="J4644" s="87"/>
      <c r="K4644" s="85"/>
      <c r="L4644" s="85"/>
      <c r="P4644" s="85"/>
      <c r="Q4644" s="85"/>
      <c r="R4644" s="81"/>
    </row>
    <row r="4645" spans="7:18" x14ac:dyDescent="0.3">
      <c r="G4645" s="85"/>
      <c r="H4645" s="86"/>
      <c r="I4645" s="86"/>
      <c r="J4645" s="87"/>
      <c r="K4645" s="85"/>
      <c r="L4645" s="85"/>
      <c r="P4645" s="85"/>
      <c r="Q4645" s="85"/>
      <c r="R4645" s="81"/>
    </row>
    <row r="4646" spans="7:18" x14ac:dyDescent="0.3">
      <c r="G4646" s="85"/>
      <c r="H4646" s="86"/>
      <c r="I4646" s="86"/>
      <c r="J4646" s="87"/>
      <c r="K4646" s="85"/>
      <c r="L4646" s="85"/>
      <c r="P4646" s="85"/>
      <c r="Q4646" s="85"/>
      <c r="R4646" s="81"/>
    </row>
    <row r="4647" spans="7:18" x14ac:dyDescent="0.3">
      <c r="G4647" s="85"/>
      <c r="H4647" s="86"/>
      <c r="I4647" s="86"/>
      <c r="J4647" s="87"/>
      <c r="K4647" s="85"/>
      <c r="L4647" s="85"/>
      <c r="P4647" s="85"/>
      <c r="Q4647" s="85"/>
      <c r="R4647" s="81"/>
    </row>
    <row r="4648" spans="7:18" x14ac:dyDescent="0.3">
      <c r="G4648" s="85"/>
      <c r="H4648" s="86"/>
      <c r="I4648" s="86"/>
      <c r="J4648" s="87"/>
      <c r="K4648" s="85"/>
      <c r="L4648" s="85"/>
      <c r="P4648" s="85"/>
      <c r="Q4648" s="85"/>
      <c r="R4648" s="81"/>
    </row>
    <row r="4649" spans="7:18" x14ac:dyDescent="0.3">
      <c r="G4649" s="85"/>
      <c r="H4649" s="86"/>
      <c r="I4649" s="86"/>
      <c r="J4649" s="87"/>
      <c r="K4649" s="85"/>
      <c r="L4649" s="85"/>
      <c r="P4649" s="85"/>
      <c r="Q4649" s="85"/>
      <c r="R4649" s="81"/>
    </row>
    <row r="4650" spans="7:18" x14ac:dyDescent="0.3">
      <c r="G4650" s="85"/>
      <c r="H4650" s="86"/>
      <c r="I4650" s="86"/>
      <c r="J4650" s="87"/>
      <c r="K4650" s="85"/>
      <c r="L4650" s="85"/>
      <c r="P4650" s="85"/>
      <c r="Q4650" s="85"/>
      <c r="R4650" s="81"/>
    </row>
    <row r="4651" spans="7:18" x14ac:dyDescent="0.3">
      <c r="G4651" s="85"/>
      <c r="H4651" s="86"/>
      <c r="I4651" s="86"/>
      <c r="J4651" s="87"/>
      <c r="K4651" s="85"/>
      <c r="L4651" s="85"/>
      <c r="P4651" s="85"/>
      <c r="Q4651" s="85"/>
      <c r="R4651" s="81"/>
    </row>
    <row r="4652" spans="7:18" x14ac:dyDescent="0.3">
      <c r="G4652" s="85"/>
      <c r="H4652" s="86"/>
      <c r="I4652" s="86"/>
      <c r="J4652" s="87"/>
      <c r="K4652" s="85"/>
      <c r="L4652" s="85"/>
      <c r="P4652" s="85"/>
      <c r="Q4652" s="85"/>
      <c r="R4652" s="81"/>
    </row>
    <row r="4653" spans="7:18" x14ac:dyDescent="0.3">
      <c r="G4653" s="85"/>
      <c r="H4653" s="86"/>
      <c r="I4653" s="86"/>
      <c r="J4653" s="87"/>
      <c r="K4653" s="85"/>
      <c r="L4653" s="85"/>
      <c r="P4653" s="85"/>
      <c r="Q4653" s="85"/>
      <c r="R4653" s="81"/>
    </row>
    <row r="4654" spans="7:18" x14ac:dyDescent="0.3">
      <c r="G4654" s="85"/>
      <c r="H4654" s="86"/>
      <c r="I4654" s="86"/>
      <c r="J4654" s="87"/>
      <c r="K4654" s="85"/>
      <c r="L4654" s="85"/>
      <c r="P4654" s="85"/>
      <c r="Q4654" s="85"/>
      <c r="R4654" s="81"/>
    </row>
    <row r="4655" spans="7:18" x14ac:dyDescent="0.3">
      <c r="G4655" s="85"/>
      <c r="H4655" s="86"/>
      <c r="I4655" s="86"/>
      <c r="J4655" s="87"/>
      <c r="K4655" s="85"/>
      <c r="L4655" s="85"/>
      <c r="P4655" s="85"/>
      <c r="Q4655" s="85"/>
      <c r="R4655" s="81"/>
    </row>
    <row r="4656" spans="7:18" x14ac:dyDescent="0.3">
      <c r="G4656" s="85"/>
      <c r="H4656" s="86"/>
      <c r="I4656" s="86"/>
      <c r="J4656" s="87"/>
      <c r="K4656" s="85"/>
      <c r="L4656" s="85"/>
      <c r="P4656" s="85"/>
      <c r="Q4656" s="85"/>
      <c r="R4656" s="81"/>
    </row>
    <row r="4657" spans="7:18" x14ac:dyDescent="0.3">
      <c r="G4657" s="85"/>
      <c r="H4657" s="86"/>
      <c r="I4657" s="86"/>
      <c r="J4657" s="87"/>
      <c r="K4657" s="85"/>
      <c r="L4657" s="85"/>
      <c r="P4657" s="85"/>
      <c r="Q4657" s="85"/>
      <c r="R4657" s="81"/>
    </row>
    <row r="4658" spans="7:18" x14ac:dyDescent="0.3">
      <c r="G4658" s="85"/>
      <c r="H4658" s="86"/>
      <c r="I4658" s="86"/>
      <c r="J4658" s="87"/>
      <c r="K4658" s="85"/>
      <c r="L4658" s="85"/>
      <c r="P4658" s="85"/>
      <c r="Q4658" s="85"/>
      <c r="R4658" s="81"/>
    </row>
    <row r="4659" spans="7:18" x14ac:dyDescent="0.3">
      <c r="G4659" s="85"/>
      <c r="H4659" s="86"/>
      <c r="I4659" s="86"/>
      <c r="J4659" s="87"/>
      <c r="K4659" s="85"/>
      <c r="L4659" s="85"/>
      <c r="P4659" s="85"/>
      <c r="Q4659" s="85"/>
      <c r="R4659" s="81"/>
    </row>
    <row r="4660" spans="7:18" x14ac:dyDescent="0.3">
      <c r="G4660" s="85"/>
      <c r="H4660" s="86"/>
      <c r="I4660" s="86"/>
      <c r="J4660" s="87"/>
      <c r="K4660" s="85"/>
      <c r="L4660" s="85"/>
      <c r="P4660" s="85"/>
      <c r="Q4660" s="85"/>
      <c r="R4660" s="81"/>
    </row>
    <row r="4661" spans="7:18" x14ac:dyDescent="0.3">
      <c r="G4661" s="85"/>
      <c r="H4661" s="86"/>
      <c r="I4661" s="86"/>
      <c r="J4661" s="87"/>
      <c r="K4661" s="85"/>
      <c r="L4661" s="85"/>
      <c r="P4661" s="85"/>
      <c r="Q4661" s="85"/>
      <c r="R4661" s="81"/>
    </row>
    <row r="4662" spans="7:18" x14ac:dyDescent="0.3">
      <c r="G4662" s="85"/>
      <c r="H4662" s="86"/>
      <c r="I4662" s="86"/>
      <c r="J4662" s="87"/>
      <c r="K4662" s="85"/>
      <c r="L4662" s="85"/>
      <c r="P4662" s="85"/>
      <c r="Q4662" s="85"/>
      <c r="R4662" s="81"/>
    </row>
    <row r="4663" spans="7:18" x14ac:dyDescent="0.3">
      <c r="G4663" s="85"/>
      <c r="H4663" s="86"/>
      <c r="I4663" s="86"/>
      <c r="J4663" s="87"/>
      <c r="K4663" s="85"/>
      <c r="L4663" s="85"/>
      <c r="P4663" s="85"/>
      <c r="Q4663" s="85"/>
      <c r="R4663" s="81"/>
    </row>
    <row r="4664" spans="7:18" x14ac:dyDescent="0.3">
      <c r="G4664" s="85"/>
      <c r="H4664" s="86"/>
      <c r="I4664" s="86"/>
      <c r="J4664" s="87"/>
      <c r="K4664" s="85"/>
      <c r="L4664" s="85"/>
      <c r="P4664" s="85"/>
      <c r="Q4664" s="85"/>
      <c r="R4664" s="81"/>
    </row>
    <row r="4665" spans="7:18" x14ac:dyDescent="0.3">
      <c r="G4665" s="85"/>
      <c r="H4665" s="86"/>
      <c r="I4665" s="86"/>
      <c r="J4665" s="87"/>
      <c r="K4665" s="85"/>
      <c r="L4665" s="85"/>
      <c r="P4665" s="85"/>
      <c r="Q4665" s="85"/>
      <c r="R4665" s="81"/>
    </row>
    <row r="4666" spans="7:18" x14ac:dyDescent="0.3">
      <c r="G4666" s="85"/>
      <c r="H4666" s="86"/>
      <c r="I4666" s="86"/>
      <c r="J4666" s="87"/>
      <c r="K4666" s="85"/>
      <c r="L4666" s="85"/>
      <c r="P4666" s="85"/>
      <c r="Q4666" s="85"/>
      <c r="R4666" s="81"/>
    </row>
    <row r="4667" spans="7:18" x14ac:dyDescent="0.3">
      <c r="G4667" s="85"/>
      <c r="H4667" s="86"/>
      <c r="I4667" s="86"/>
      <c r="J4667" s="87"/>
      <c r="K4667" s="85"/>
      <c r="L4667" s="85"/>
      <c r="P4667" s="85"/>
      <c r="Q4667" s="85"/>
      <c r="R4667" s="81"/>
    </row>
    <row r="4668" spans="7:18" x14ac:dyDescent="0.3">
      <c r="G4668" s="85"/>
      <c r="H4668" s="86"/>
      <c r="I4668" s="86"/>
      <c r="J4668" s="87"/>
      <c r="K4668" s="85"/>
      <c r="L4668" s="85"/>
      <c r="P4668" s="85"/>
      <c r="Q4668" s="85"/>
      <c r="R4668" s="81"/>
    </row>
    <row r="4669" spans="7:18" x14ac:dyDescent="0.3">
      <c r="G4669" s="85"/>
      <c r="H4669" s="86"/>
      <c r="I4669" s="86"/>
      <c r="J4669" s="87"/>
      <c r="K4669" s="85"/>
      <c r="L4669" s="85"/>
      <c r="P4669" s="85"/>
      <c r="Q4669" s="85"/>
      <c r="R4669" s="81"/>
    </row>
    <row r="4670" spans="7:18" x14ac:dyDescent="0.3">
      <c r="G4670" s="85"/>
      <c r="H4670" s="86"/>
      <c r="I4670" s="86"/>
      <c r="J4670" s="87"/>
      <c r="K4670" s="85"/>
      <c r="L4670" s="85"/>
      <c r="P4670" s="85"/>
      <c r="Q4670" s="85"/>
      <c r="R4670" s="81"/>
    </row>
    <row r="4671" spans="7:18" x14ac:dyDescent="0.3">
      <c r="G4671" s="85"/>
      <c r="H4671" s="86"/>
      <c r="I4671" s="86"/>
      <c r="J4671" s="87"/>
      <c r="K4671" s="85"/>
      <c r="L4671" s="85"/>
      <c r="P4671" s="85"/>
      <c r="Q4671" s="85"/>
      <c r="R4671" s="81"/>
    </row>
    <row r="4672" spans="7:18" x14ac:dyDescent="0.3">
      <c r="G4672" s="85"/>
      <c r="H4672" s="86"/>
      <c r="I4672" s="86"/>
      <c r="J4672" s="87"/>
      <c r="K4672" s="85"/>
      <c r="L4672" s="85"/>
      <c r="P4672" s="85"/>
      <c r="Q4672" s="85"/>
      <c r="R4672" s="81"/>
    </row>
    <row r="4673" spans="7:18" x14ac:dyDescent="0.3">
      <c r="G4673" s="85"/>
      <c r="H4673" s="86"/>
      <c r="I4673" s="86"/>
      <c r="J4673" s="87"/>
      <c r="K4673" s="85"/>
      <c r="L4673" s="85"/>
      <c r="P4673" s="85"/>
      <c r="Q4673" s="85"/>
      <c r="R4673" s="81"/>
    </row>
    <row r="4674" spans="7:18" x14ac:dyDescent="0.3">
      <c r="G4674" s="85"/>
      <c r="H4674" s="86"/>
      <c r="I4674" s="86"/>
      <c r="J4674" s="87"/>
      <c r="K4674" s="85"/>
      <c r="L4674" s="85"/>
      <c r="P4674" s="85"/>
      <c r="Q4674" s="85"/>
      <c r="R4674" s="81"/>
    </row>
    <row r="4675" spans="7:18" x14ac:dyDescent="0.3">
      <c r="G4675" s="85"/>
      <c r="H4675" s="86"/>
      <c r="I4675" s="86"/>
      <c r="J4675" s="87"/>
      <c r="K4675" s="85"/>
      <c r="L4675" s="85"/>
      <c r="P4675" s="85"/>
      <c r="Q4675" s="85"/>
      <c r="R4675" s="81"/>
    </row>
    <row r="4676" spans="7:18" x14ac:dyDescent="0.3">
      <c r="G4676" s="85"/>
      <c r="H4676" s="86"/>
      <c r="I4676" s="86"/>
      <c r="J4676" s="87"/>
      <c r="K4676" s="85"/>
      <c r="L4676" s="85"/>
      <c r="P4676" s="85"/>
      <c r="Q4676" s="85"/>
      <c r="R4676" s="81"/>
    </row>
    <row r="4677" spans="7:18" x14ac:dyDescent="0.3">
      <c r="G4677" s="85"/>
      <c r="H4677" s="86"/>
      <c r="I4677" s="86"/>
      <c r="J4677" s="87"/>
      <c r="K4677" s="85"/>
      <c r="L4677" s="85"/>
      <c r="P4677" s="85"/>
      <c r="Q4677" s="85"/>
      <c r="R4677" s="81"/>
    </row>
    <row r="4678" spans="7:18" x14ac:dyDescent="0.3">
      <c r="G4678" s="85"/>
      <c r="H4678" s="86"/>
      <c r="I4678" s="86"/>
      <c r="J4678" s="87"/>
      <c r="K4678" s="85"/>
      <c r="L4678" s="85"/>
      <c r="P4678" s="85"/>
      <c r="Q4678" s="85"/>
      <c r="R4678" s="81"/>
    </row>
    <row r="4679" spans="7:18" x14ac:dyDescent="0.3">
      <c r="G4679" s="85"/>
      <c r="H4679" s="86"/>
      <c r="I4679" s="86"/>
      <c r="J4679" s="87"/>
      <c r="K4679" s="85"/>
      <c r="L4679" s="85"/>
      <c r="P4679" s="85"/>
      <c r="Q4679" s="85"/>
      <c r="R4679" s="81"/>
    </row>
    <row r="4680" spans="7:18" x14ac:dyDescent="0.3">
      <c r="G4680" s="85"/>
      <c r="H4680" s="86"/>
      <c r="I4680" s="86"/>
      <c r="J4680" s="87"/>
      <c r="K4680" s="85"/>
      <c r="L4680" s="85"/>
      <c r="P4680" s="85"/>
      <c r="Q4680" s="85"/>
      <c r="R4680" s="81"/>
    </row>
    <row r="4681" spans="7:18" x14ac:dyDescent="0.3">
      <c r="G4681" s="85"/>
      <c r="H4681" s="86"/>
      <c r="I4681" s="86"/>
      <c r="J4681" s="87"/>
      <c r="K4681" s="85"/>
      <c r="L4681" s="85"/>
      <c r="P4681" s="85"/>
      <c r="Q4681" s="85"/>
      <c r="R4681" s="81"/>
    </row>
    <row r="4682" spans="7:18" x14ac:dyDescent="0.3">
      <c r="G4682" s="85"/>
      <c r="H4682" s="86"/>
      <c r="I4682" s="86"/>
      <c r="J4682" s="87"/>
      <c r="K4682" s="85"/>
      <c r="L4682" s="85"/>
      <c r="P4682" s="85"/>
      <c r="Q4682" s="85"/>
      <c r="R4682" s="81"/>
    </row>
    <row r="4683" spans="7:18" x14ac:dyDescent="0.3">
      <c r="G4683" s="85"/>
      <c r="H4683" s="86"/>
      <c r="I4683" s="86"/>
      <c r="J4683" s="87"/>
      <c r="K4683" s="85"/>
      <c r="L4683" s="85"/>
      <c r="P4683" s="85"/>
      <c r="Q4683" s="85"/>
      <c r="R4683" s="81"/>
    </row>
    <row r="4684" spans="7:18" x14ac:dyDescent="0.3">
      <c r="G4684" s="85"/>
      <c r="H4684" s="86"/>
      <c r="I4684" s="86"/>
      <c r="J4684" s="87"/>
      <c r="K4684" s="85"/>
      <c r="L4684" s="85"/>
      <c r="P4684" s="85"/>
      <c r="Q4684" s="85"/>
      <c r="R4684" s="81"/>
    </row>
    <row r="4685" spans="7:18" x14ac:dyDescent="0.3">
      <c r="G4685" s="85"/>
      <c r="H4685" s="86"/>
      <c r="I4685" s="86"/>
      <c r="J4685" s="87"/>
      <c r="K4685" s="85"/>
      <c r="L4685" s="85"/>
      <c r="P4685" s="85"/>
      <c r="Q4685" s="85"/>
      <c r="R4685" s="81"/>
    </row>
    <row r="4686" spans="7:18" x14ac:dyDescent="0.3">
      <c r="G4686" s="85"/>
      <c r="H4686" s="86"/>
      <c r="I4686" s="86"/>
      <c r="J4686" s="87"/>
      <c r="K4686" s="85"/>
      <c r="L4686" s="85"/>
      <c r="P4686" s="85"/>
      <c r="Q4686" s="85"/>
      <c r="R4686" s="81"/>
    </row>
    <row r="4687" spans="7:18" x14ac:dyDescent="0.3">
      <c r="G4687" s="85"/>
      <c r="H4687" s="86"/>
      <c r="I4687" s="86"/>
      <c r="J4687" s="87"/>
      <c r="K4687" s="85"/>
      <c r="L4687" s="85"/>
      <c r="P4687" s="85"/>
      <c r="Q4687" s="85"/>
      <c r="R4687" s="81"/>
    </row>
    <row r="4688" spans="7:18" x14ac:dyDescent="0.3">
      <c r="G4688" s="85"/>
      <c r="H4688" s="86"/>
      <c r="I4688" s="86"/>
      <c r="J4688" s="87"/>
      <c r="K4688" s="85"/>
      <c r="L4688" s="85"/>
      <c r="P4688" s="85"/>
      <c r="Q4688" s="85"/>
      <c r="R4688" s="81"/>
    </row>
    <row r="4689" spans="7:18" x14ac:dyDescent="0.3">
      <c r="G4689" s="85"/>
      <c r="H4689" s="86"/>
      <c r="I4689" s="86"/>
      <c r="J4689" s="87"/>
      <c r="K4689" s="85"/>
      <c r="L4689" s="85"/>
      <c r="P4689" s="85"/>
      <c r="Q4689" s="85"/>
      <c r="R4689" s="81"/>
    </row>
    <row r="4690" spans="7:18" x14ac:dyDescent="0.3">
      <c r="G4690" s="85"/>
      <c r="H4690" s="86"/>
      <c r="I4690" s="86"/>
      <c r="J4690" s="87"/>
      <c r="K4690" s="85"/>
      <c r="L4690" s="85"/>
      <c r="P4690" s="85"/>
      <c r="Q4690" s="85"/>
      <c r="R4690" s="81"/>
    </row>
    <row r="4691" spans="7:18" x14ac:dyDescent="0.3">
      <c r="G4691" s="85"/>
      <c r="H4691" s="86"/>
      <c r="I4691" s="86"/>
      <c r="J4691" s="87"/>
      <c r="K4691" s="85"/>
      <c r="L4691" s="85"/>
      <c r="P4691" s="85"/>
      <c r="Q4691" s="85"/>
      <c r="R4691" s="81"/>
    </row>
    <row r="4692" spans="7:18" x14ac:dyDescent="0.3">
      <c r="G4692" s="85"/>
      <c r="H4692" s="86"/>
      <c r="I4692" s="86"/>
      <c r="J4692" s="87"/>
      <c r="K4692" s="85"/>
      <c r="L4692" s="85"/>
      <c r="P4692" s="85"/>
      <c r="Q4692" s="85"/>
      <c r="R4692" s="81"/>
    </row>
    <row r="4693" spans="7:18" x14ac:dyDescent="0.3">
      <c r="G4693" s="85"/>
      <c r="H4693" s="86"/>
      <c r="I4693" s="86"/>
      <c r="J4693" s="87"/>
      <c r="K4693" s="85"/>
      <c r="L4693" s="85"/>
      <c r="P4693" s="85"/>
      <c r="Q4693" s="85"/>
      <c r="R4693" s="81"/>
    </row>
    <row r="4694" spans="7:18" x14ac:dyDescent="0.3">
      <c r="G4694" s="85"/>
      <c r="H4694" s="86"/>
      <c r="I4694" s="86"/>
      <c r="J4694" s="87"/>
      <c r="K4694" s="85"/>
      <c r="L4694" s="85"/>
      <c r="P4694" s="85"/>
      <c r="Q4694" s="85"/>
      <c r="R4694" s="81"/>
    </row>
    <row r="4695" spans="7:18" x14ac:dyDescent="0.3">
      <c r="G4695" s="85"/>
      <c r="H4695" s="86"/>
      <c r="I4695" s="86"/>
      <c r="J4695" s="87"/>
      <c r="K4695" s="85"/>
      <c r="L4695" s="85"/>
      <c r="P4695" s="85"/>
      <c r="Q4695" s="85"/>
      <c r="R4695" s="81"/>
    </row>
    <row r="4696" spans="7:18" x14ac:dyDescent="0.3">
      <c r="G4696" s="85"/>
      <c r="H4696" s="86"/>
      <c r="I4696" s="86"/>
      <c r="J4696" s="87"/>
      <c r="K4696" s="85"/>
      <c r="L4696" s="85"/>
      <c r="P4696" s="85"/>
      <c r="Q4696" s="85"/>
      <c r="R4696" s="81"/>
    </row>
    <row r="4697" spans="7:18" x14ac:dyDescent="0.3">
      <c r="G4697" s="85"/>
      <c r="H4697" s="86"/>
      <c r="I4697" s="86"/>
      <c r="J4697" s="87"/>
      <c r="K4697" s="85"/>
      <c r="L4697" s="85"/>
      <c r="P4697" s="85"/>
      <c r="Q4697" s="85"/>
      <c r="R4697" s="81"/>
    </row>
    <row r="4698" spans="7:18" x14ac:dyDescent="0.3">
      <c r="G4698" s="85"/>
      <c r="H4698" s="86"/>
      <c r="I4698" s="86"/>
      <c r="J4698" s="87"/>
      <c r="K4698" s="85"/>
      <c r="L4698" s="85"/>
      <c r="P4698" s="85"/>
      <c r="Q4698" s="85"/>
      <c r="R4698" s="81"/>
    </row>
    <row r="4699" spans="7:18" x14ac:dyDescent="0.3">
      <c r="G4699" s="85"/>
      <c r="H4699" s="86"/>
      <c r="I4699" s="86"/>
      <c r="J4699" s="87"/>
      <c r="K4699" s="85"/>
      <c r="L4699" s="85"/>
      <c r="P4699" s="85"/>
      <c r="Q4699" s="85"/>
      <c r="R4699" s="81"/>
    </row>
    <row r="4700" spans="7:18" x14ac:dyDescent="0.3">
      <c r="G4700" s="85"/>
      <c r="H4700" s="86"/>
      <c r="I4700" s="86"/>
      <c r="J4700" s="87"/>
      <c r="K4700" s="85"/>
      <c r="L4700" s="85"/>
      <c r="P4700" s="85"/>
      <c r="Q4700" s="85"/>
      <c r="R4700" s="81"/>
    </row>
    <row r="4701" spans="7:18" x14ac:dyDescent="0.3">
      <c r="G4701" s="85"/>
      <c r="H4701" s="86"/>
      <c r="I4701" s="86"/>
      <c r="J4701" s="87"/>
      <c r="K4701" s="85"/>
      <c r="L4701" s="85"/>
      <c r="P4701" s="85"/>
      <c r="Q4701" s="85"/>
      <c r="R4701" s="81"/>
    </row>
    <row r="4702" spans="7:18" x14ac:dyDescent="0.3">
      <c r="G4702" s="85"/>
      <c r="H4702" s="86"/>
      <c r="I4702" s="86"/>
      <c r="J4702" s="87"/>
      <c r="K4702" s="85"/>
      <c r="L4702" s="85"/>
      <c r="P4702" s="85"/>
      <c r="Q4702" s="85"/>
      <c r="R4702" s="81"/>
    </row>
    <row r="4703" spans="7:18" x14ac:dyDescent="0.3">
      <c r="G4703" s="85"/>
      <c r="H4703" s="86"/>
      <c r="I4703" s="86"/>
      <c r="J4703" s="87"/>
      <c r="K4703" s="85"/>
      <c r="L4703" s="85"/>
      <c r="P4703" s="85"/>
      <c r="Q4703" s="85"/>
      <c r="R4703" s="81"/>
    </row>
    <row r="4704" spans="7:18" x14ac:dyDescent="0.3">
      <c r="G4704" s="85"/>
      <c r="H4704" s="86"/>
      <c r="I4704" s="86"/>
      <c r="J4704" s="87"/>
      <c r="K4704" s="85"/>
      <c r="L4704" s="85"/>
      <c r="P4704" s="85"/>
      <c r="Q4704" s="85"/>
      <c r="R4704" s="81"/>
    </row>
    <row r="4705" spans="7:18" x14ac:dyDescent="0.3">
      <c r="G4705" s="85"/>
      <c r="H4705" s="86"/>
      <c r="I4705" s="86"/>
      <c r="J4705" s="87"/>
      <c r="K4705" s="85"/>
      <c r="L4705" s="85"/>
      <c r="P4705" s="85"/>
      <c r="Q4705" s="85"/>
      <c r="R4705" s="81"/>
    </row>
    <row r="4706" spans="7:18" x14ac:dyDescent="0.3">
      <c r="G4706" s="85"/>
      <c r="H4706" s="86"/>
      <c r="I4706" s="86"/>
      <c r="J4706" s="87"/>
      <c r="K4706" s="85"/>
      <c r="L4706" s="85"/>
      <c r="P4706" s="85"/>
      <c r="Q4706" s="85"/>
      <c r="R4706" s="81"/>
    </row>
    <row r="4707" spans="7:18" x14ac:dyDescent="0.3">
      <c r="G4707" s="85"/>
      <c r="H4707" s="86"/>
      <c r="I4707" s="86"/>
      <c r="J4707" s="87"/>
      <c r="K4707" s="85"/>
      <c r="L4707" s="85"/>
      <c r="P4707" s="85"/>
      <c r="Q4707" s="85"/>
      <c r="R4707" s="81"/>
    </row>
    <row r="4708" spans="7:18" x14ac:dyDescent="0.3">
      <c r="G4708" s="85"/>
      <c r="H4708" s="86"/>
      <c r="I4708" s="86"/>
      <c r="J4708" s="87"/>
      <c r="K4708" s="85"/>
      <c r="L4708" s="85"/>
      <c r="P4708" s="85"/>
      <c r="Q4708" s="85"/>
      <c r="R4708" s="81"/>
    </row>
    <row r="4709" spans="7:18" x14ac:dyDescent="0.3">
      <c r="G4709" s="85"/>
      <c r="H4709" s="86"/>
      <c r="I4709" s="86"/>
      <c r="J4709" s="87"/>
      <c r="K4709" s="85"/>
      <c r="L4709" s="85"/>
      <c r="P4709" s="85"/>
      <c r="Q4709" s="85"/>
      <c r="R4709" s="81"/>
    </row>
    <row r="4710" spans="7:18" x14ac:dyDescent="0.3">
      <c r="G4710" s="85"/>
      <c r="H4710" s="86"/>
      <c r="I4710" s="86"/>
      <c r="J4710" s="87"/>
      <c r="K4710" s="85"/>
      <c r="L4710" s="85"/>
      <c r="P4710" s="85"/>
      <c r="Q4710" s="85"/>
      <c r="R4710" s="81"/>
    </row>
    <row r="4711" spans="7:18" x14ac:dyDescent="0.3">
      <c r="G4711" s="85"/>
      <c r="H4711" s="86"/>
      <c r="I4711" s="86"/>
      <c r="J4711" s="87"/>
      <c r="K4711" s="85"/>
      <c r="L4711" s="85"/>
      <c r="P4711" s="85"/>
      <c r="Q4711" s="85"/>
      <c r="R4711" s="81"/>
    </row>
    <row r="4712" spans="7:18" x14ac:dyDescent="0.3">
      <c r="G4712" s="85"/>
      <c r="H4712" s="86"/>
      <c r="I4712" s="86"/>
      <c r="J4712" s="87"/>
      <c r="K4712" s="85"/>
      <c r="L4712" s="85"/>
      <c r="P4712" s="85"/>
      <c r="Q4712" s="85"/>
      <c r="R4712" s="81"/>
    </row>
    <row r="4713" spans="7:18" x14ac:dyDescent="0.3">
      <c r="G4713" s="85"/>
      <c r="H4713" s="86"/>
      <c r="I4713" s="86"/>
      <c r="J4713" s="87"/>
      <c r="K4713" s="85"/>
      <c r="L4713" s="85"/>
      <c r="P4713" s="85"/>
      <c r="Q4713" s="85"/>
      <c r="R4713" s="81"/>
    </row>
    <row r="4714" spans="7:18" x14ac:dyDescent="0.3">
      <c r="G4714" s="85"/>
      <c r="H4714" s="86"/>
      <c r="I4714" s="86"/>
      <c r="J4714" s="87"/>
      <c r="K4714" s="85"/>
      <c r="L4714" s="85"/>
      <c r="P4714" s="85"/>
      <c r="Q4714" s="85"/>
      <c r="R4714" s="81"/>
    </row>
    <row r="4715" spans="7:18" x14ac:dyDescent="0.3">
      <c r="G4715" s="85"/>
      <c r="H4715" s="86"/>
      <c r="I4715" s="86"/>
      <c r="J4715" s="87"/>
      <c r="K4715" s="85"/>
      <c r="L4715" s="85"/>
      <c r="P4715" s="85"/>
      <c r="Q4715" s="85"/>
      <c r="R4715" s="81"/>
    </row>
    <row r="4716" spans="7:18" x14ac:dyDescent="0.3">
      <c r="G4716" s="85"/>
      <c r="H4716" s="86"/>
      <c r="I4716" s="86"/>
      <c r="J4716" s="87"/>
      <c r="K4716" s="85"/>
      <c r="L4716" s="85"/>
      <c r="P4716" s="85"/>
      <c r="Q4716" s="85"/>
      <c r="R4716" s="81"/>
    </row>
    <row r="4717" spans="7:18" x14ac:dyDescent="0.3">
      <c r="G4717" s="85"/>
      <c r="H4717" s="86"/>
      <c r="I4717" s="86"/>
      <c r="J4717" s="87"/>
      <c r="K4717" s="85"/>
      <c r="L4717" s="85"/>
      <c r="P4717" s="85"/>
      <c r="Q4717" s="85"/>
      <c r="R4717" s="81"/>
    </row>
    <row r="4718" spans="7:18" x14ac:dyDescent="0.3">
      <c r="G4718" s="85"/>
      <c r="H4718" s="86"/>
      <c r="I4718" s="86"/>
      <c r="J4718" s="87"/>
      <c r="K4718" s="85"/>
      <c r="L4718" s="85"/>
      <c r="P4718" s="85"/>
      <c r="Q4718" s="85"/>
      <c r="R4718" s="81"/>
    </row>
    <row r="4719" spans="7:18" x14ac:dyDescent="0.3">
      <c r="G4719" s="85"/>
      <c r="H4719" s="86"/>
      <c r="I4719" s="86"/>
      <c r="J4719" s="87"/>
      <c r="K4719" s="85"/>
      <c r="L4719" s="85"/>
      <c r="P4719" s="85"/>
      <c r="Q4719" s="85"/>
      <c r="R4719" s="81"/>
    </row>
    <row r="4720" spans="7:18" x14ac:dyDescent="0.3">
      <c r="G4720" s="85"/>
      <c r="H4720" s="86"/>
      <c r="I4720" s="86"/>
      <c r="J4720" s="87"/>
      <c r="K4720" s="85"/>
      <c r="L4720" s="85"/>
      <c r="P4720" s="85"/>
      <c r="Q4720" s="85"/>
      <c r="R4720" s="81"/>
    </row>
    <row r="4721" spans="7:18" x14ac:dyDescent="0.3">
      <c r="G4721" s="85"/>
      <c r="H4721" s="86"/>
      <c r="I4721" s="86"/>
      <c r="J4721" s="87"/>
      <c r="K4721" s="85"/>
      <c r="L4721" s="85"/>
      <c r="P4721" s="85"/>
      <c r="Q4721" s="85"/>
      <c r="R4721" s="81"/>
    </row>
    <row r="4722" spans="7:18" x14ac:dyDescent="0.3">
      <c r="G4722" s="85"/>
      <c r="H4722" s="86"/>
      <c r="I4722" s="86"/>
      <c r="J4722" s="87"/>
      <c r="K4722" s="85"/>
      <c r="L4722" s="85"/>
      <c r="P4722" s="85"/>
      <c r="Q4722" s="85"/>
      <c r="R4722" s="81"/>
    </row>
    <row r="4723" spans="7:18" x14ac:dyDescent="0.3">
      <c r="G4723" s="85"/>
      <c r="H4723" s="86"/>
      <c r="I4723" s="86"/>
      <c r="J4723" s="87"/>
      <c r="K4723" s="85"/>
      <c r="L4723" s="85"/>
      <c r="P4723" s="85"/>
      <c r="Q4723" s="85"/>
      <c r="R4723" s="81"/>
    </row>
    <row r="4724" spans="7:18" x14ac:dyDescent="0.3">
      <c r="G4724" s="85"/>
      <c r="H4724" s="86"/>
      <c r="I4724" s="86"/>
      <c r="J4724" s="87"/>
      <c r="K4724" s="85"/>
      <c r="L4724" s="85"/>
      <c r="P4724" s="85"/>
      <c r="Q4724" s="85"/>
      <c r="R4724" s="81"/>
    </row>
    <row r="4725" spans="7:18" x14ac:dyDescent="0.3">
      <c r="G4725" s="85"/>
      <c r="H4725" s="86"/>
      <c r="I4725" s="86"/>
      <c r="J4725" s="87"/>
      <c r="K4725" s="85"/>
      <c r="L4725" s="85"/>
      <c r="P4725" s="85"/>
      <c r="Q4725" s="85"/>
      <c r="R4725" s="81"/>
    </row>
    <row r="4726" spans="7:18" x14ac:dyDescent="0.3">
      <c r="G4726" s="85"/>
      <c r="H4726" s="86"/>
      <c r="I4726" s="86"/>
      <c r="J4726" s="87"/>
      <c r="K4726" s="85"/>
      <c r="L4726" s="85"/>
      <c r="P4726" s="85"/>
      <c r="Q4726" s="85"/>
      <c r="R4726" s="81"/>
    </row>
    <row r="4727" spans="7:18" x14ac:dyDescent="0.3">
      <c r="G4727" s="85"/>
      <c r="H4727" s="86"/>
      <c r="I4727" s="86"/>
      <c r="J4727" s="87"/>
      <c r="K4727" s="85"/>
      <c r="L4727" s="85"/>
      <c r="P4727" s="85"/>
      <c r="Q4727" s="85"/>
      <c r="R4727" s="81"/>
    </row>
    <row r="4728" spans="7:18" x14ac:dyDescent="0.3">
      <c r="G4728" s="85"/>
      <c r="H4728" s="86"/>
      <c r="I4728" s="86"/>
      <c r="J4728" s="87"/>
      <c r="K4728" s="85"/>
      <c r="L4728" s="85"/>
      <c r="P4728" s="85"/>
      <c r="Q4728" s="85"/>
      <c r="R4728" s="81"/>
    </row>
    <row r="4729" spans="7:18" x14ac:dyDescent="0.3">
      <c r="G4729" s="85"/>
      <c r="H4729" s="86"/>
      <c r="I4729" s="86"/>
      <c r="J4729" s="87"/>
      <c r="K4729" s="85"/>
      <c r="L4729" s="85"/>
      <c r="P4729" s="85"/>
      <c r="Q4729" s="85"/>
      <c r="R4729" s="81"/>
    </row>
    <row r="4730" spans="7:18" x14ac:dyDescent="0.3">
      <c r="G4730" s="85"/>
      <c r="H4730" s="86"/>
      <c r="I4730" s="86"/>
      <c r="J4730" s="87"/>
      <c r="K4730" s="85"/>
      <c r="L4730" s="85"/>
      <c r="P4730" s="85"/>
      <c r="Q4730" s="85"/>
      <c r="R4730" s="81"/>
    </row>
    <row r="4731" spans="7:18" x14ac:dyDescent="0.3">
      <c r="G4731" s="85"/>
      <c r="H4731" s="86"/>
      <c r="I4731" s="86"/>
      <c r="J4731" s="87"/>
      <c r="K4731" s="85"/>
      <c r="L4731" s="85"/>
      <c r="P4731" s="85"/>
      <c r="Q4731" s="85"/>
      <c r="R4731" s="81"/>
    </row>
    <row r="4732" spans="7:18" x14ac:dyDescent="0.3">
      <c r="G4732" s="85"/>
      <c r="H4732" s="86"/>
      <c r="I4732" s="86"/>
      <c r="J4732" s="87"/>
      <c r="K4732" s="85"/>
      <c r="L4732" s="85"/>
      <c r="P4732" s="85"/>
      <c r="Q4732" s="85"/>
      <c r="R4732" s="81"/>
    </row>
    <row r="4733" spans="7:18" x14ac:dyDescent="0.3">
      <c r="G4733" s="85"/>
      <c r="H4733" s="86"/>
      <c r="I4733" s="86"/>
      <c r="J4733" s="87"/>
      <c r="K4733" s="85"/>
      <c r="L4733" s="85"/>
      <c r="P4733" s="85"/>
      <c r="Q4733" s="85"/>
      <c r="R4733" s="81"/>
    </row>
    <row r="4734" spans="7:18" x14ac:dyDescent="0.3">
      <c r="G4734" s="85"/>
      <c r="H4734" s="86"/>
      <c r="I4734" s="86"/>
      <c r="J4734" s="87"/>
      <c r="K4734" s="85"/>
      <c r="L4734" s="85"/>
      <c r="P4734" s="85"/>
      <c r="Q4734" s="85"/>
      <c r="R4734" s="81"/>
    </row>
    <row r="4735" spans="7:18" x14ac:dyDescent="0.3">
      <c r="G4735" s="85"/>
      <c r="H4735" s="86"/>
      <c r="I4735" s="86"/>
      <c r="J4735" s="87"/>
      <c r="K4735" s="85"/>
      <c r="L4735" s="85"/>
      <c r="P4735" s="85"/>
      <c r="Q4735" s="85"/>
      <c r="R4735" s="81"/>
    </row>
    <row r="4736" spans="7:18" x14ac:dyDescent="0.3">
      <c r="G4736" s="85"/>
      <c r="H4736" s="86"/>
      <c r="I4736" s="86"/>
      <c r="J4736" s="87"/>
      <c r="K4736" s="85"/>
      <c r="L4736" s="85"/>
      <c r="P4736" s="85"/>
      <c r="Q4736" s="85"/>
      <c r="R4736" s="81"/>
    </row>
    <row r="4737" spans="7:18" x14ac:dyDescent="0.3">
      <c r="G4737" s="85"/>
      <c r="H4737" s="86"/>
      <c r="I4737" s="86"/>
      <c r="J4737" s="87"/>
      <c r="K4737" s="85"/>
      <c r="L4737" s="85"/>
      <c r="P4737" s="85"/>
      <c r="Q4737" s="85"/>
      <c r="R4737" s="81"/>
    </row>
    <row r="4738" spans="7:18" x14ac:dyDescent="0.3">
      <c r="G4738" s="85"/>
      <c r="H4738" s="86"/>
      <c r="I4738" s="86"/>
      <c r="J4738" s="87"/>
      <c r="K4738" s="85"/>
      <c r="L4738" s="85"/>
      <c r="P4738" s="85"/>
      <c r="Q4738" s="85"/>
      <c r="R4738" s="81"/>
    </row>
    <row r="4739" spans="7:18" x14ac:dyDescent="0.3">
      <c r="G4739" s="85"/>
      <c r="H4739" s="86"/>
      <c r="I4739" s="86"/>
      <c r="J4739" s="87"/>
      <c r="K4739" s="85"/>
      <c r="L4739" s="85"/>
      <c r="P4739" s="85"/>
      <c r="Q4739" s="85"/>
      <c r="R4739" s="81"/>
    </row>
    <row r="4740" spans="7:18" x14ac:dyDescent="0.3">
      <c r="G4740" s="85"/>
      <c r="H4740" s="86"/>
      <c r="I4740" s="86"/>
      <c r="J4740" s="87"/>
      <c r="K4740" s="85"/>
      <c r="L4740" s="85"/>
      <c r="P4740" s="85"/>
      <c r="Q4740" s="85"/>
      <c r="R4740" s="81"/>
    </row>
    <row r="4741" spans="7:18" x14ac:dyDescent="0.3">
      <c r="G4741" s="85"/>
      <c r="H4741" s="86"/>
      <c r="I4741" s="86"/>
      <c r="J4741" s="87"/>
      <c r="K4741" s="85"/>
      <c r="L4741" s="85"/>
      <c r="P4741" s="85"/>
      <c r="Q4741" s="85"/>
      <c r="R4741" s="81"/>
    </row>
    <row r="4742" spans="7:18" x14ac:dyDescent="0.3">
      <c r="G4742" s="85"/>
      <c r="H4742" s="86"/>
      <c r="I4742" s="86"/>
      <c r="J4742" s="87"/>
      <c r="K4742" s="85"/>
      <c r="L4742" s="85"/>
      <c r="P4742" s="85"/>
      <c r="Q4742" s="85"/>
      <c r="R4742" s="81"/>
    </row>
    <row r="4743" spans="7:18" x14ac:dyDescent="0.3">
      <c r="G4743" s="85"/>
      <c r="H4743" s="86"/>
      <c r="I4743" s="86"/>
      <c r="J4743" s="87"/>
      <c r="K4743" s="85"/>
      <c r="L4743" s="85"/>
      <c r="P4743" s="85"/>
      <c r="Q4743" s="85"/>
      <c r="R4743" s="81"/>
    </row>
    <row r="4744" spans="7:18" x14ac:dyDescent="0.3">
      <c r="G4744" s="85"/>
      <c r="H4744" s="86"/>
      <c r="I4744" s="86"/>
      <c r="J4744" s="87"/>
      <c r="K4744" s="85"/>
      <c r="L4744" s="85"/>
      <c r="P4744" s="85"/>
      <c r="Q4744" s="85"/>
      <c r="R4744" s="81"/>
    </row>
    <row r="4745" spans="7:18" x14ac:dyDescent="0.3">
      <c r="G4745" s="85"/>
      <c r="H4745" s="86"/>
      <c r="I4745" s="86"/>
      <c r="J4745" s="87"/>
      <c r="K4745" s="85"/>
      <c r="L4745" s="85"/>
      <c r="P4745" s="85"/>
      <c r="Q4745" s="85"/>
      <c r="R4745" s="81"/>
    </row>
    <row r="4746" spans="7:18" x14ac:dyDescent="0.3">
      <c r="G4746" s="85"/>
      <c r="H4746" s="86"/>
      <c r="I4746" s="86"/>
      <c r="J4746" s="87"/>
      <c r="K4746" s="85"/>
      <c r="L4746" s="85"/>
      <c r="P4746" s="85"/>
      <c r="Q4746" s="85"/>
      <c r="R4746" s="81"/>
    </row>
    <row r="4747" spans="7:18" x14ac:dyDescent="0.3">
      <c r="G4747" s="85"/>
      <c r="H4747" s="86"/>
      <c r="I4747" s="86"/>
      <c r="J4747" s="87"/>
      <c r="K4747" s="85"/>
      <c r="L4747" s="85"/>
      <c r="P4747" s="85"/>
      <c r="Q4747" s="85"/>
      <c r="R4747" s="81"/>
    </row>
    <row r="4748" spans="7:18" x14ac:dyDescent="0.3">
      <c r="G4748" s="85"/>
      <c r="H4748" s="86"/>
      <c r="I4748" s="86"/>
      <c r="J4748" s="87"/>
      <c r="K4748" s="85"/>
      <c r="L4748" s="85"/>
      <c r="P4748" s="85"/>
      <c r="Q4748" s="85"/>
      <c r="R4748" s="81"/>
    </row>
    <row r="4749" spans="7:18" x14ac:dyDescent="0.3">
      <c r="G4749" s="85"/>
      <c r="H4749" s="86"/>
      <c r="I4749" s="86"/>
      <c r="J4749" s="87"/>
      <c r="K4749" s="85"/>
      <c r="L4749" s="85"/>
      <c r="P4749" s="85"/>
      <c r="Q4749" s="85"/>
      <c r="R4749" s="81"/>
    </row>
    <row r="4750" spans="7:18" x14ac:dyDescent="0.3">
      <c r="G4750" s="85"/>
      <c r="H4750" s="86"/>
      <c r="I4750" s="86"/>
      <c r="J4750" s="87"/>
      <c r="K4750" s="85"/>
      <c r="L4750" s="85"/>
      <c r="P4750" s="85"/>
      <c r="Q4750" s="85"/>
      <c r="R4750" s="81"/>
    </row>
    <row r="4751" spans="7:18" x14ac:dyDescent="0.3">
      <c r="G4751" s="85"/>
      <c r="H4751" s="86"/>
      <c r="I4751" s="86"/>
      <c r="J4751" s="87"/>
      <c r="K4751" s="85"/>
      <c r="L4751" s="85"/>
      <c r="P4751" s="85"/>
      <c r="Q4751" s="85"/>
      <c r="R4751" s="81"/>
    </row>
    <row r="4752" spans="7:18" x14ac:dyDescent="0.3">
      <c r="G4752" s="85"/>
      <c r="H4752" s="86"/>
      <c r="I4752" s="86"/>
      <c r="J4752" s="87"/>
      <c r="K4752" s="85"/>
      <c r="L4752" s="85"/>
      <c r="P4752" s="85"/>
      <c r="Q4752" s="85"/>
      <c r="R4752" s="81"/>
    </row>
    <row r="4753" spans="7:18" x14ac:dyDescent="0.3">
      <c r="G4753" s="85"/>
      <c r="H4753" s="86"/>
      <c r="I4753" s="86"/>
      <c r="J4753" s="87"/>
      <c r="K4753" s="85"/>
      <c r="L4753" s="85"/>
      <c r="P4753" s="85"/>
      <c r="Q4753" s="85"/>
      <c r="R4753" s="81"/>
    </row>
    <row r="4754" spans="7:18" x14ac:dyDescent="0.3">
      <c r="G4754" s="85"/>
      <c r="H4754" s="86"/>
      <c r="I4754" s="86"/>
      <c r="J4754" s="87"/>
      <c r="K4754" s="85"/>
      <c r="L4754" s="85"/>
      <c r="P4754" s="85"/>
      <c r="Q4754" s="85"/>
      <c r="R4754" s="81"/>
    </row>
    <row r="4755" spans="7:18" x14ac:dyDescent="0.3">
      <c r="G4755" s="85"/>
      <c r="H4755" s="86"/>
      <c r="I4755" s="86"/>
      <c r="J4755" s="87"/>
      <c r="K4755" s="85"/>
      <c r="L4755" s="85"/>
      <c r="P4755" s="85"/>
      <c r="Q4755" s="85"/>
      <c r="R4755" s="81"/>
    </row>
    <row r="4756" spans="7:18" x14ac:dyDescent="0.3">
      <c r="G4756" s="85"/>
      <c r="H4756" s="86"/>
      <c r="I4756" s="86"/>
      <c r="J4756" s="87"/>
      <c r="K4756" s="85"/>
      <c r="L4756" s="85"/>
      <c r="P4756" s="85"/>
      <c r="Q4756" s="85"/>
      <c r="R4756" s="81"/>
    </row>
    <row r="4757" spans="7:18" x14ac:dyDescent="0.3">
      <c r="G4757" s="85"/>
      <c r="H4757" s="86"/>
      <c r="I4757" s="86"/>
      <c r="J4757" s="87"/>
      <c r="K4757" s="85"/>
      <c r="L4757" s="85"/>
      <c r="P4757" s="85"/>
      <c r="Q4757" s="85"/>
      <c r="R4757" s="81"/>
    </row>
    <row r="4758" spans="7:18" x14ac:dyDescent="0.3">
      <c r="G4758" s="85"/>
      <c r="H4758" s="86"/>
      <c r="I4758" s="86"/>
      <c r="J4758" s="87"/>
      <c r="K4758" s="85"/>
      <c r="L4758" s="85"/>
      <c r="P4758" s="85"/>
      <c r="Q4758" s="85"/>
      <c r="R4758" s="81"/>
    </row>
    <row r="4759" spans="7:18" x14ac:dyDescent="0.3">
      <c r="G4759" s="85"/>
      <c r="H4759" s="86"/>
      <c r="I4759" s="86"/>
      <c r="J4759" s="87"/>
      <c r="K4759" s="85"/>
      <c r="L4759" s="85"/>
      <c r="P4759" s="85"/>
      <c r="Q4759" s="85"/>
      <c r="R4759" s="81"/>
    </row>
    <row r="4760" spans="7:18" x14ac:dyDescent="0.3">
      <c r="G4760" s="85"/>
      <c r="H4760" s="86"/>
      <c r="I4760" s="86"/>
      <c r="J4760" s="87"/>
      <c r="K4760" s="85"/>
      <c r="L4760" s="85"/>
      <c r="P4760" s="85"/>
      <c r="Q4760" s="85"/>
      <c r="R4760" s="81"/>
    </row>
    <row r="4761" spans="7:18" x14ac:dyDescent="0.3">
      <c r="G4761" s="85"/>
      <c r="H4761" s="86"/>
      <c r="I4761" s="86"/>
      <c r="J4761" s="87"/>
      <c r="K4761" s="85"/>
      <c r="L4761" s="85"/>
      <c r="P4761" s="85"/>
      <c r="Q4761" s="85"/>
      <c r="R4761" s="81"/>
    </row>
    <row r="4762" spans="7:18" x14ac:dyDescent="0.3">
      <c r="G4762" s="85"/>
      <c r="H4762" s="86"/>
      <c r="I4762" s="86"/>
      <c r="J4762" s="87"/>
      <c r="K4762" s="85"/>
      <c r="L4762" s="85"/>
      <c r="P4762" s="85"/>
      <c r="Q4762" s="85"/>
      <c r="R4762" s="81"/>
    </row>
    <row r="4763" spans="7:18" x14ac:dyDescent="0.3">
      <c r="G4763" s="85"/>
      <c r="H4763" s="86"/>
      <c r="I4763" s="86"/>
      <c r="J4763" s="87"/>
      <c r="K4763" s="85"/>
      <c r="L4763" s="85"/>
      <c r="P4763" s="85"/>
      <c r="Q4763" s="85"/>
      <c r="R4763" s="81"/>
    </row>
    <row r="4764" spans="7:18" x14ac:dyDescent="0.3">
      <c r="G4764" s="85"/>
      <c r="H4764" s="86"/>
      <c r="I4764" s="86"/>
      <c r="J4764" s="87"/>
      <c r="K4764" s="85"/>
      <c r="L4764" s="85"/>
      <c r="P4764" s="85"/>
      <c r="Q4764" s="85"/>
      <c r="R4764" s="81"/>
    </row>
    <row r="4765" spans="7:18" x14ac:dyDescent="0.3">
      <c r="G4765" s="85"/>
      <c r="H4765" s="86"/>
      <c r="I4765" s="86"/>
      <c r="J4765" s="87"/>
      <c r="K4765" s="85"/>
      <c r="L4765" s="85"/>
      <c r="P4765" s="85"/>
      <c r="Q4765" s="85"/>
      <c r="R4765" s="81"/>
    </row>
    <row r="4766" spans="7:18" x14ac:dyDescent="0.3">
      <c r="G4766" s="85"/>
      <c r="H4766" s="86"/>
      <c r="I4766" s="86"/>
      <c r="J4766" s="87"/>
      <c r="K4766" s="85"/>
      <c r="L4766" s="85"/>
      <c r="P4766" s="85"/>
      <c r="Q4766" s="85"/>
      <c r="R4766" s="81"/>
    </row>
    <row r="4767" spans="7:18" x14ac:dyDescent="0.3">
      <c r="G4767" s="85"/>
      <c r="H4767" s="86"/>
      <c r="I4767" s="86"/>
      <c r="J4767" s="87"/>
      <c r="K4767" s="85"/>
      <c r="L4767" s="85"/>
      <c r="P4767" s="85"/>
      <c r="Q4767" s="85"/>
      <c r="R4767" s="81"/>
    </row>
    <row r="4768" spans="7:18" x14ac:dyDescent="0.3">
      <c r="G4768" s="85"/>
      <c r="H4768" s="86"/>
      <c r="I4768" s="86"/>
      <c r="J4768" s="87"/>
      <c r="K4768" s="85"/>
      <c r="L4768" s="85"/>
      <c r="P4768" s="85"/>
      <c r="Q4768" s="85"/>
      <c r="R4768" s="81"/>
    </row>
    <row r="4769" spans="7:18" x14ac:dyDescent="0.3">
      <c r="G4769" s="85"/>
      <c r="H4769" s="86"/>
      <c r="I4769" s="86"/>
      <c r="J4769" s="87"/>
      <c r="K4769" s="85"/>
      <c r="L4769" s="85"/>
      <c r="P4769" s="85"/>
      <c r="Q4769" s="85"/>
      <c r="R4769" s="81"/>
    </row>
    <row r="4770" spans="7:18" x14ac:dyDescent="0.3">
      <c r="G4770" s="85"/>
      <c r="H4770" s="86"/>
      <c r="I4770" s="86"/>
      <c r="J4770" s="87"/>
      <c r="K4770" s="85"/>
      <c r="L4770" s="85"/>
      <c r="P4770" s="85"/>
      <c r="Q4770" s="85"/>
      <c r="R4770" s="81"/>
    </row>
    <row r="4771" spans="7:18" x14ac:dyDescent="0.3">
      <c r="G4771" s="85"/>
      <c r="H4771" s="86"/>
      <c r="I4771" s="86"/>
      <c r="J4771" s="87"/>
      <c r="K4771" s="85"/>
      <c r="L4771" s="85"/>
      <c r="P4771" s="85"/>
      <c r="Q4771" s="85"/>
      <c r="R4771" s="81"/>
    </row>
    <row r="4772" spans="7:18" x14ac:dyDescent="0.3">
      <c r="G4772" s="85"/>
      <c r="H4772" s="86"/>
      <c r="I4772" s="86"/>
      <c r="J4772" s="87"/>
      <c r="K4772" s="85"/>
      <c r="L4772" s="85"/>
      <c r="P4772" s="85"/>
      <c r="Q4772" s="85"/>
      <c r="R4772" s="81"/>
    </row>
    <row r="4773" spans="7:18" x14ac:dyDescent="0.3">
      <c r="G4773" s="85"/>
      <c r="H4773" s="86"/>
      <c r="I4773" s="86"/>
      <c r="J4773" s="87"/>
      <c r="K4773" s="85"/>
      <c r="L4773" s="85"/>
      <c r="P4773" s="85"/>
      <c r="Q4773" s="85"/>
      <c r="R4773" s="81"/>
    </row>
    <row r="4774" spans="7:18" x14ac:dyDescent="0.3">
      <c r="G4774" s="85"/>
      <c r="H4774" s="86"/>
      <c r="I4774" s="86"/>
      <c r="J4774" s="87"/>
      <c r="K4774" s="85"/>
      <c r="L4774" s="85"/>
      <c r="P4774" s="85"/>
      <c r="Q4774" s="85"/>
      <c r="R4774" s="81"/>
    </row>
    <row r="4775" spans="7:18" x14ac:dyDescent="0.3">
      <c r="G4775" s="85"/>
      <c r="H4775" s="86"/>
      <c r="I4775" s="86"/>
      <c r="J4775" s="87"/>
      <c r="K4775" s="85"/>
      <c r="L4775" s="85"/>
      <c r="P4775" s="85"/>
      <c r="Q4775" s="85"/>
      <c r="R4775" s="81"/>
    </row>
    <row r="4776" spans="7:18" x14ac:dyDescent="0.3">
      <c r="G4776" s="85"/>
      <c r="H4776" s="86"/>
      <c r="I4776" s="86"/>
      <c r="J4776" s="87"/>
      <c r="K4776" s="85"/>
      <c r="L4776" s="85"/>
      <c r="P4776" s="85"/>
      <c r="Q4776" s="85"/>
      <c r="R4776" s="81"/>
    </row>
    <row r="4777" spans="7:18" x14ac:dyDescent="0.3">
      <c r="G4777" s="85"/>
      <c r="H4777" s="86"/>
      <c r="I4777" s="86"/>
      <c r="J4777" s="87"/>
      <c r="K4777" s="85"/>
      <c r="L4777" s="85"/>
      <c r="P4777" s="85"/>
      <c r="Q4777" s="85"/>
      <c r="R4777" s="81"/>
    </row>
    <row r="4778" spans="7:18" x14ac:dyDescent="0.3">
      <c r="G4778" s="85"/>
      <c r="H4778" s="86"/>
      <c r="I4778" s="86"/>
      <c r="J4778" s="87"/>
      <c r="K4778" s="85"/>
      <c r="L4778" s="85"/>
      <c r="P4778" s="85"/>
      <c r="Q4778" s="85"/>
      <c r="R4778" s="81"/>
    </row>
    <row r="4779" spans="7:18" x14ac:dyDescent="0.3">
      <c r="G4779" s="85"/>
      <c r="H4779" s="86"/>
      <c r="I4779" s="86"/>
      <c r="J4779" s="87"/>
      <c r="K4779" s="85"/>
      <c r="L4779" s="85"/>
      <c r="P4779" s="85"/>
      <c r="Q4779" s="85"/>
      <c r="R4779" s="81"/>
    </row>
    <row r="4780" spans="7:18" x14ac:dyDescent="0.3">
      <c r="G4780" s="85"/>
      <c r="H4780" s="86"/>
      <c r="I4780" s="86"/>
      <c r="J4780" s="87"/>
      <c r="K4780" s="85"/>
      <c r="L4780" s="85"/>
      <c r="P4780" s="85"/>
      <c r="Q4780" s="85"/>
      <c r="R4780" s="81"/>
    </row>
    <row r="4781" spans="7:18" x14ac:dyDescent="0.3">
      <c r="G4781" s="85"/>
      <c r="H4781" s="86"/>
      <c r="I4781" s="86"/>
      <c r="J4781" s="87"/>
      <c r="K4781" s="85"/>
      <c r="L4781" s="85"/>
      <c r="P4781" s="85"/>
      <c r="Q4781" s="85"/>
      <c r="R4781" s="81"/>
    </row>
    <row r="4782" spans="7:18" x14ac:dyDescent="0.3">
      <c r="G4782" s="85"/>
      <c r="H4782" s="86"/>
      <c r="I4782" s="86"/>
      <c r="J4782" s="87"/>
      <c r="K4782" s="85"/>
      <c r="L4782" s="85"/>
      <c r="P4782" s="85"/>
      <c r="Q4782" s="85"/>
      <c r="R4782" s="81"/>
    </row>
    <row r="4783" spans="7:18" x14ac:dyDescent="0.3">
      <c r="G4783" s="85"/>
      <c r="H4783" s="86"/>
      <c r="I4783" s="86"/>
      <c r="J4783" s="87"/>
      <c r="K4783" s="85"/>
      <c r="L4783" s="85"/>
      <c r="P4783" s="85"/>
      <c r="Q4783" s="85"/>
      <c r="R4783" s="81"/>
    </row>
    <row r="4784" spans="7:18" x14ac:dyDescent="0.3">
      <c r="G4784" s="85"/>
      <c r="H4784" s="86"/>
      <c r="I4784" s="86"/>
      <c r="J4784" s="87"/>
      <c r="K4784" s="85"/>
      <c r="L4784" s="85"/>
      <c r="P4784" s="85"/>
      <c r="Q4784" s="85"/>
      <c r="R4784" s="81"/>
    </row>
    <row r="4785" spans="7:18" x14ac:dyDescent="0.3">
      <c r="G4785" s="85"/>
      <c r="H4785" s="86"/>
      <c r="I4785" s="86"/>
      <c r="J4785" s="87"/>
      <c r="K4785" s="85"/>
      <c r="L4785" s="85"/>
      <c r="P4785" s="85"/>
      <c r="Q4785" s="85"/>
      <c r="R4785" s="81"/>
    </row>
    <row r="4786" spans="7:18" x14ac:dyDescent="0.3">
      <c r="G4786" s="85"/>
      <c r="H4786" s="86"/>
      <c r="I4786" s="86"/>
      <c r="J4786" s="87"/>
      <c r="K4786" s="85"/>
      <c r="L4786" s="85"/>
      <c r="P4786" s="85"/>
      <c r="Q4786" s="85"/>
      <c r="R4786" s="81"/>
    </row>
    <row r="4787" spans="7:18" x14ac:dyDescent="0.3">
      <c r="G4787" s="85"/>
      <c r="H4787" s="86"/>
      <c r="I4787" s="86"/>
      <c r="J4787" s="87"/>
      <c r="K4787" s="85"/>
      <c r="L4787" s="85"/>
      <c r="P4787" s="85"/>
      <c r="Q4787" s="85"/>
      <c r="R4787" s="81"/>
    </row>
    <row r="4788" spans="7:18" x14ac:dyDescent="0.3">
      <c r="G4788" s="85"/>
      <c r="H4788" s="86"/>
      <c r="I4788" s="86"/>
      <c r="J4788" s="87"/>
      <c r="K4788" s="85"/>
      <c r="L4788" s="85"/>
      <c r="P4788" s="85"/>
      <c r="Q4788" s="85"/>
      <c r="R4788" s="81"/>
    </row>
    <row r="4789" spans="7:18" x14ac:dyDescent="0.3">
      <c r="G4789" s="85"/>
      <c r="H4789" s="86"/>
      <c r="I4789" s="86"/>
      <c r="J4789" s="87"/>
      <c r="K4789" s="85"/>
      <c r="L4789" s="85"/>
      <c r="P4789" s="85"/>
      <c r="Q4789" s="85"/>
      <c r="R4789" s="81"/>
    </row>
    <row r="4790" spans="7:18" x14ac:dyDescent="0.3">
      <c r="G4790" s="85"/>
      <c r="H4790" s="86"/>
      <c r="I4790" s="86"/>
      <c r="J4790" s="87"/>
      <c r="K4790" s="85"/>
      <c r="L4790" s="85"/>
      <c r="P4790" s="85"/>
      <c r="Q4790" s="85"/>
      <c r="R4790" s="81"/>
    </row>
    <row r="4791" spans="7:18" x14ac:dyDescent="0.3">
      <c r="G4791" s="85"/>
      <c r="H4791" s="86"/>
      <c r="I4791" s="86"/>
      <c r="J4791" s="87"/>
      <c r="K4791" s="85"/>
      <c r="L4791" s="85"/>
      <c r="P4791" s="85"/>
      <c r="Q4791" s="85"/>
      <c r="R4791" s="81"/>
    </row>
    <row r="4792" spans="7:18" x14ac:dyDescent="0.3">
      <c r="G4792" s="85"/>
      <c r="H4792" s="86"/>
      <c r="I4792" s="86"/>
      <c r="J4792" s="87"/>
      <c r="K4792" s="85"/>
      <c r="L4792" s="85"/>
      <c r="P4792" s="85"/>
      <c r="Q4792" s="85"/>
      <c r="R4792" s="81"/>
    </row>
    <row r="4793" spans="7:18" x14ac:dyDescent="0.3">
      <c r="G4793" s="85"/>
      <c r="H4793" s="86"/>
      <c r="I4793" s="86"/>
      <c r="J4793" s="87"/>
      <c r="K4793" s="85"/>
      <c r="L4793" s="85"/>
      <c r="P4793" s="85"/>
      <c r="Q4793" s="85"/>
      <c r="R4793" s="81"/>
    </row>
    <row r="4794" spans="7:18" x14ac:dyDescent="0.3">
      <c r="G4794" s="85"/>
      <c r="H4794" s="86"/>
      <c r="I4794" s="86"/>
      <c r="J4794" s="87"/>
      <c r="K4794" s="85"/>
      <c r="L4794" s="85"/>
      <c r="P4794" s="85"/>
      <c r="Q4794" s="85"/>
      <c r="R4794" s="81"/>
    </row>
    <row r="4795" spans="7:18" x14ac:dyDescent="0.3">
      <c r="G4795" s="85"/>
      <c r="H4795" s="86"/>
      <c r="I4795" s="86"/>
      <c r="J4795" s="87"/>
      <c r="K4795" s="85"/>
      <c r="L4795" s="85"/>
      <c r="P4795" s="85"/>
      <c r="Q4795" s="85"/>
      <c r="R4795" s="81"/>
    </row>
    <row r="4796" spans="7:18" x14ac:dyDescent="0.3">
      <c r="G4796" s="85"/>
      <c r="H4796" s="86"/>
      <c r="I4796" s="86"/>
      <c r="J4796" s="87"/>
      <c r="K4796" s="85"/>
      <c r="L4796" s="85"/>
      <c r="P4796" s="85"/>
      <c r="Q4796" s="85"/>
      <c r="R4796" s="81"/>
    </row>
    <row r="4797" spans="7:18" x14ac:dyDescent="0.3">
      <c r="G4797" s="85"/>
      <c r="H4797" s="86"/>
      <c r="I4797" s="86"/>
      <c r="J4797" s="87"/>
      <c r="K4797" s="85"/>
      <c r="L4797" s="85"/>
      <c r="P4797" s="85"/>
      <c r="Q4797" s="85"/>
      <c r="R4797" s="81"/>
    </row>
    <row r="4798" spans="7:18" x14ac:dyDescent="0.3">
      <c r="G4798" s="85"/>
      <c r="H4798" s="86"/>
      <c r="I4798" s="86"/>
      <c r="J4798" s="87"/>
      <c r="K4798" s="85"/>
      <c r="L4798" s="85"/>
      <c r="P4798" s="85"/>
      <c r="Q4798" s="85"/>
      <c r="R4798" s="81"/>
    </row>
    <row r="4799" spans="7:18" x14ac:dyDescent="0.3">
      <c r="G4799" s="85"/>
      <c r="H4799" s="86"/>
      <c r="I4799" s="86"/>
      <c r="J4799" s="87"/>
      <c r="K4799" s="85"/>
      <c r="L4799" s="85"/>
      <c r="P4799" s="85"/>
      <c r="Q4799" s="85"/>
      <c r="R4799" s="81"/>
    </row>
    <row r="4800" spans="7:18" x14ac:dyDescent="0.3">
      <c r="G4800" s="85"/>
      <c r="H4800" s="86"/>
      <c r="I4800" s="86"/>
      <c r="J4800" s="87"/>
      <c r="K4800" s="85"/>
      <c r="L4800" s="85"/>
      <c r="P4800" s="85"/>
      <c r="Q4800" s="85"/>
      <c r="R4800" s="81"/>
    </row>
    <row r="4801" spans="7:18" x14ac:dyDescent="0.3">
      <c r="G4801" s="85"/>
      <c r="H4801" s="86"/>
      <c r="I4801" s="86"/>
      <c r="J4801" s="87"/>
      <c r="K4801" s="85"/>
      <c r="L4801" s="85"/>
      <c r="P4801" s="85"/>
      <c r="Q4801" s="85"/>
      <c r="R4801" s="81"/>
    </row>
    <row r="4802" spans="7:18" x14ac:dyDescent="0.3">
      <c r="G4802" s="85"/>
      <c r="H4802" s="86"/>
      <c r="I4802" s="86"/>
      <c r="J4802" s="87"/>
      <c r="K4802" s="85"/>
      <c r="L4802" s="85"/>
      <c r="P4802" s="85"/>
      <c r="Q4802" s="85"/>
      <c r="R4802" s="81"/>
    </row>
    <row r="4803" spans="7:18" x14ac:dyDescent="0.3">
      <c r="G4803" s="85"/>
      <c r="H4803" s="86"/>
      <c r="I4803" s="86"/>
      <c r="J4803" s="87"/>
      <c r="K4803" s="85"/>
      <c r="L4803" s="85"/>
      <c r="P4803" s="85"/>
      <c r="Q4803" s="85"/>
      <c r="R4803" s="81"/>
    </row>
    <row r="4804" spans="7:18" x14ac:dyDescent="0.3">
      <c r="G4804" s="85"/>
      <c r="H4804" s="86"/>
      <c r="I4804" s="86"/>
      <c r="J4804" s="87"/>
      <c r="K4804" s="85"/>
      <c r="L4804" s="85"/>
      <c r="P4804" s="85"/>
      <c r="Q4804" s="85"/>
      <c r="R4804" s="81"/>
    </row>
    <row r="4805" spans="7:18" x14ac:dyDescent="0.3">
      <c r="G4805" s="85"/>
      <c r="H4805" s="86"/>
      <c r="I4805" s="86"/>
      <c r="J4805" s="87"/>
      <c r="K4805" s="85"/>
      <c r="L4805" s="85"/>
      <c r="P4805" s="85"/>
      <c r="Q4805" s="85"/>
      <c r="R4805" s="81"/>
    </row>
    <row r="4806" spans="7:18" x14ac:dyDescent="0.3">
      <c r="G4806" s="85"/>
      <c r="H4806" s="86"/>
      <c r="I4806" s="86"/>
      <c r="J4806" s="87"/>
      <c r="K4806" s="85"/>
      <c r="L4806" s="85"/>
      <c r="P4806" s="85"/>
      <c r="Q4806" s="85"/>
      <c r="R4806" s="81"/>
    </row>
    <row r="4807" spans="7:18" x14ac:dyDescent="0.3">
      <c r="G4807" s="85"/>
      <c r="H4807" s="86"/>
      <c r="I4807" s="86"/>
      <c r="J4807" s="87"/>
      <c r="K4807" s="85"/>
      <c r="L4807" s="85"/>
      <c r="P4807" s="85"/>
      <c r="Q4807" s="85"/>
      <c r="R4807" s="81"/>
    </row>
    <row r="4808" spans="7:18" x14ac:dyDescent="0.3">
      <c r="G4808" s="85"/>
      <c r="H4808" s="86"/>
      <c r="I4808" s="86"/>
      <c r="J4808" s="87"/>
      <c r="K4808" s="85"/>
      <c r="L4808" s="85"/>
      <c r="P4808" s="85"/>
      <c r="Q4808" s="85"/>
      <c r="R4808" s="81"/>
    </row>
    <row r="4809" spans="7:18" x14ac:dyDescent="0.3">
      <c r="G4809" s="85"/>
      <c r="H4809" s="86"/>
      <c r="I4809" s="86"/>
      <c r="J4809" s="87"/>
      <c r="K4809" s="85"/>
      <c r="L4809" s="85"/>
      <c r="P4809" s="85"/>
      <c r="Q4809" s="85"/>
      <c r="R4809" s="81"/>
    </row>
    <row r="4810" spans="7:18" x14ac:dyDescent="0.3">
      <c r="G4810" s="85"/>
      <c r="H4810" s="86"/>
      <c r="I4810" s="86"/>
      <c r="J4810" s="87"/>
      <c r="K4810" s="85"/>
      <c r="L4810" s="85"/>
      <c r="P4810" s="85"/>
      <c r="Q4810" s="85"/>
      <c r="R4810" s="81"/>
    </row>
    <row r="4811" spans="7:18" x14ac:dyDescent="0.3">
      <c r="G4811" s="85"/>
      <c r="H4811" s="86"/>
      <c r="I4811" s="86"/>
      <c r="J4811" s="87"/>
      <c r="K4811" s="85"/>
      <c r="L4811" s="85"/>
      <c r="P4811" s="85"/>
      <c r="Q4811" s="85"/>
      <c r="R4811" s="81"/>
    </row>
    <row r="4812" spans="7:18" x14ac:dyDescent="0.3">
      <c r="G4812" s="85"/>
      <c r="H4812" s="86"/>
      <c r="I4812" s="86"/>
      <c r="J4812" s="87"/>
      <c r="K4812" s="85"/>
      <c r="L4812" s="85"/>
      <c r="P4812" s="85"/>
      <c r="Q4812" s="85"/>
      <c r="R4812" s="81"/>
    </row>
    <row r="4813" spans="7:18" x14ac:dyDescent="0.3">
      <c r="G4813" s="85"/>
      <c r="H4813" s="86"/>
      <c r="I4813" s="86"/>
      <c r="J4813" s="87"/>
      <c r="K4813" s="85"/>
      <c r="L4813" s="85"/>
      <c r="P4813" s="85"/>
      <c r="Q4813" s="85"/>
      <c r="R4813" s="81"/>
    </row>
    <row r="4814" spans="7:18" x14ac:dyDescent="0.3">
      <c r="G4814" s="85"/>
      <c r="H4814" s="86"/>
      <c r="I4814" s="86"/>
      <c r="J4814" s="87"/>
      <c r="K4814" s="85"/>
      <c r="L4814" s="85"/>
      <c r="P4814" s="85"/>
      <c r="Q4814" s="85"/>
      <c r="R4814" s="81"/>
    </row>
    <row r="4815" spans="7:18" x14ac:dyDescent="0.3">
      <c r="G4815" s="85"/>
      <c r="H4815" s="86"/>
      <c r="I4815" s="86"/>
      <c r="J4815" s="87"/>
      <c r="K4815" s="85"/>
      <c r="L4815" s="85"/>
      <c r="P4815" s="85"/>
      <c r="Q4815" s="85"/>
      <c r="R4815" s="81"/>
    </row>
    <row r="4816" spans="7:18" x14ac:dyDescent="0.3">
      <c r="G4816" s="85"/>
      <c r="H4816" s="86"/>
      <c r="I4816" s="86"/>
      <c r="J4816" s="87"/>
      <c r="K4816" s="85"/>
      <c r="L4816" s="85"/>
      <c r="P4816" s="85"/>
      <c r="Q4816" s="85"/>
      <c r="R4816" s="81"/>
    </row>
    <row r="4817" spans="7:18" x14ac:dyDescent="0.3">
      <c r="G4817" s="85"/>
      <c r="H4817" s="86"/>
      <c r="I4817" s="86"/>
      <c r="J4817" s="87"/>
      <c r="K4817" s="85"/>
      <c r="L4817" s="85"/>
      <c r="P4817" s="85"/>
      <c r="Q4817" s="85"/>
      <c r="R4817" s="81"/>
    </row>
    <row r="4818" spans="7:18" x14ac:dyDescent="0.3">
      <c r="G4818" s="85"/>
      <c r="H4818" s="86"/>
      <c r="I4818" s="86"/>
      <c r="J4818" s="87"/>
      <c r="K4818" s="85"/>
      <c r="L4818" s="85"/>
      <c r="P4818" s="85"/>
      <c r="Q4818" s="85"/>
      <c r="R4818" s="81"/>
    </row>
    <row r="4819" spans="7:18" x14ac:dyDescent="0.3">
      <c r="G4819" s="85"/>
      <c r="H4819" s="86"/>
      <c r="I4819" s="86"/>
      <c r="J4819" s="87"/>
      <c r="K4819" s="85"/>
      <c r="L4819" s="85"/>
      <c r="P4819" s="85"/>
      <c r="Q4819" s="85"/>
      <c r="R4819" s="81"/>
    </row>
    <row r="4820" spans="7:18" x14ac:dyDescent="0.3">
      <c r="G4820" s="85"/>
      <c r="H4820" s="86"/>
      <c r="I4820" s="86"/>
      <c r="J4820" s="87"/>
      <c r="K4820" s="85"/>
      <c r="L4820" s="85"/>
      <c r="P4820" s="85"/>
      <c r="Q4820" s="85"/>
      <c r="R4820" s="81"/>
    </row>
    <row r="4821" spans="7:18" x14ac:dyDescent="0.3">
      <c r="G4821" s="85"/>
      <c r="H4821" s="86"/>
      <c r="I4821" s="86"/>
      <c r="J4821" s="87"/>
      <c r="K4821" s="85"/>
      <c r="L4821" s="85"/>
      <c r="P4821" s="85"/>
      <c r="Q4821" s="85"/>
      <c r="R4821" s="81"/>
    </row>
    <row r="4822" spans="7:18" x14ac:dyDescent="0.3">
      <c r="G4822" s="85"/>
      <c r="H4822" s="86"/>
      <c r="I4822" s="86"/>
      <c r="J4822" s="87"/>
      <c r="K4822" s="85"/>
      <c r="L4822" s="85"/>
      <c r="P4822" s="85"/>
      <c r="Q4822" s="85"/>
      <c r="R4822" s="81"/>
    </row>
    <row r="4823" spans="7:18" x14ac:dyDescent="0.3">
      <c r="G4823" s="85"/>
      <c r="H4823" s="86"/>
      <c r="I4823" s="86"/>
      <c r="J4823" s="87"/>
      <c r="K4823" s="85"/>
      <c r="L4823" s="85"/>
      <c r="P4823" s="85"/>
      <c r="Q4823" s="85"/>
      <c r="R4823" s="81"/>
    </row>
    <row r="4824" spans="7:18" x14ac:dyDescent="0.3">
      <c r="G4824" s="85"/>
      <c r="H4824" s="86"/>
      <c r="I4824" s="86"/>
      <c r="J4824" s="87"/>
      <c r="K4824" s="85"/>
      <c r="L4824" s="85"/>
      <c r="P4824" s="85"/>
      <c r="Q4824" s="85"/>
      <c r="R4824" s="81"/>
    </row>
    <row r="4825" spans="7:18" x14ac:dyDescent="0.3">
      <c r="G4825" s="85"/>
      <c r="H4825" s="86"/>
      <c r="I4825" s="86"/>
      <c r="J4825" s="87"/>
      <c r="K4825" s="85"/>
      <c r="L4825" s="85"/>
      <c r="P4825" s="85"/>
      <c r="Q4825" s="85"/>
      <c r="R4825" s="81"/>
    </row>
    <row r="4826" spans="7:18" x14ac:dyDescent="0.3">
      <c r="G4826" s="85"/>
      <c r="H4826" s="86"/>
      <c r="I4826" s="86"/>
      <c r="J4826" s="87"/>
      <c r="K4826" s="85"/>
      <c r="L4826" s="85"/>
      <c r="P4826" s="85"/>
      <c r="Q4826" s="85"/>
      <c r="R4826" s="81"/>
    </row>
    <row r="4827" spans="7:18" x14ac:dyDescent="0.3">
      <c r="G4827" s="85"/>
      <c r="H4827" s="86"/>
      <c r="I4827" s="86"/>
      <c r="J4827" s="87"/>
      <c r="K4827" s="85"/>
      <c r="L4827" s="85"/>
      <c r="P4827" s="85"/>
      <c r="Q4827" s="85"/>
      <c r="R4827" s="81"/>
    </row>
    <row r="4828" spans="7:18" x14ac:dyDescent="0.3">
      <c r="G4828" s="85"/>
      <c r="H4828" s="86"/>
      <c r="I4828" s="86"/>
      <c r="J4828" s="87"/>
      <c r="K4828" s="85"/>
      <c r="L4828" s="85"/>
      <c r="P4828" s="85"/>
      <c r="Q4828" s="85"/>
      <c r="R4828" s="81"/>
    </row>
    <row r="4829" spans="7:18" x14ac:dyDescent="0.3">
      <c r="G4829" s="85"/>
      <c r="H4829" s="86"/>
      <c r="I4829" s="86"/>
      <c r="J4829" s="87"/>
      <c r="K4829" s="85"/>
      <c r="L4829" s="85"/>
      <c r="P4829" s="85"/>
      <c r="Q4829" s="85"/>
      <c r="R4829" s="81"/>
    </row>
    <row r="4830" spans="7:18" x14ac:dyDescent="0.3">
      <c r="G4830" s="85"/>
      <c r="H4830" s="86"/>
      <c r="I4830" s="86"/>
      <c r="J4830" s="87"/>
      <c r="K4830" s="85"/>
      <c r="L4830" s="85"/>
      <c r="P4830" s="85"/>
      <c r="Q4830" s="85"/>
      <c r="R4830" s="81"/>
    </row>
    <row r="4831" spans="7:18" x14ac:dyDescent="0.3">
      <c r="G4831" s="85"/>
      <c r="H4831" s="86"/>
      <c r="I4831" s="86"/>
      <c r="J4831" s="87"/>
      <c r="K4831" s="85"/>
      <c r="L4831" s="85"/>
      <c r="P4831" s="85"/>
      <c r="Q4831" s="85"/>
      <c r="R4831" s="81"/>
    </row>
    <row r="4832" spans="7:18" x14ac:dyDescent="0.3">
      <c r="G4832" s="85"/>
      <c r="H4832" s="86"/>
      <c r="I4832" s="86"/>
      <c r="J4832" s="87"/>
      <c r="K4832" s="85"/>
      <c r="L4832" s="85"/>
      <c r="P4832" s="85"/>
      <c r="Q4832" s="85"/>
      <c r="R4832" s="81"/>
    </row>
    <row r="4833" spans="7:18" x14ac:dyDescent="0.3">
      <c r="G4833" s="85"/>
      <c r="H4833" s="86"/>
      <c r="I4833" s="86"/>
      <c r="J4833" s="87"/>
      <c r="K4833" s="85"/>
      <c r="L4833" s="85"/>
      <c r="P4833" s="85"/>
      <c r="Q4833" s="85"/>
      <c r="R4833" s="81"/>
    </row>
    <row r="4834" spans="7:18" x14ac:dyDescent="0.3">
      <c r="G4834" s="85"/>
      <c r="H4834" s="86"/>
      <c r="I4834" s="86"/>
      <c r="J4834" s="87"/>
      <c r="K4834" s="85"/>
      <c r="L4834" s="85"/>
      <c r="P4834" s="85"/>
      <c r="Q4834" s="85"/>
      <c r="R4834" s="81"/>
    </row>
    <row r="4835" spans="7:18" x14ac:dyDescent="0.3">
      <c r="G4835" s="85"/>
      <c r="H4835" s="86"/>
      <c r="I4835" s="86"/>
      <c r="J4835" s="87"/>
      <c r="K4835" s="85"/>
      <c r="L4835" s="85"/>
      <c r="P4835" s="85"/>
      <c r="Q4835" s="85"/>
      <c r="R4835" s="81"/>
    </row>
    <row r="4836" spans="7:18" x14ac:dyDescent="0.3">
      <c r="G4836" s="85"/>
      <c r="H4836" s="86"/>
      <c r="I4836" s="86"/>
      <c r="J4836" s="87"/>
      <c r="K4836" s="85"/>
      <c r="L4836" s="85"/>
      <c r="P4836" s="85"/>
      <c r="Q4836" s="85"/>
      <c r="R4836" s="81"/>
    </row>
    <row r="4837" spans="7:18" x14ac:dyDescent="0.3">
      <c r="G4837" s="85"/>
      <c r="H4837" s="86"/>
      <c r="I4837" s="86"/>
      <c r="J4837" s="87"/>
      <c r="K4837" s="85"/>
      <c r="L4837" s="85"/>
      <c r="P4837" s="85"/>
      <c r="Q4837" s="85"/>
      <c r="R4837" s="81"/>
    </row>
    <row r="4838" spans="7:18" x14ac:dyDescent="0.3">
      <c r="G4838" s="85"/>
      <c r="H4838" s="86"/>
      <c r="I4838" s="86"/>
      <c r="J4838" s="87"/>
      <c r="K4838" s="85"/>
      <c r="L4838" s="85"/>
      <c r="P4838" s="85"/>
      <c r="Q4838" s="85"/>
      <c r="R4838" s="81"/>
    </row>
    <row r="4839" spans="7:18" x14ac:dyDescent="0.3">
      <c r="G4839" s="85"/>
      <c r="H4839" s="86"/>
      <c r="I4839" s="86"/>
      <c r="J4839" s="87"/>
      <c r="K4839" s="85"/>
      <c r="L4839" s="85"/>
      <c r="P4839" s="85"/>
      <c r="Q4839" s="85"/>
      <c r="R4839" s="81"/>
    </row>
    <row r="4840" spans="7:18" x14ac:dyDescent="0.3">
      <c r="G4840" s="85"/>
      <c r="H4840" s="86"/>
      <c r="I4840" s="86"/>
      <c r="J4840" s="87"/>
      <c r="K4840" s="85"/>
      <c r="L4840" s="85"/>
      <c r="P4840" s="85"/>
      <c r="Q4840" s="85"/>
      <c r="R4840" s="81"/>
    </row>
    <row r="4841" spans="7:18" x14ac:dyDescent="0.3">
      <c r="G4841" s="85"/>
      <c r="H4841" s="86"/>
      <c r="I4841" s="86"/>
      <c r="J4841" s="87"/>
      <c r="K4841" s="85"/>
      <c r="L4841" s="85"/>
      <c r="P4841" s="85"/>
      <c r="Q4841" s="85"/>
      <c r="R4841" s="81"/>
    </row>
    <row r="4842" spans="7:18" x14ac:dyDescent="0.3">
      <c r="G4842" s="85"/>
      <c r="H4842" s="86"/>
      <c r="I4842" s="86"/>
      <c r="J4842" s="87"/>
      <c r="K4842" s="85"/>
      <c r="L4842" s="85"/>
      <c r="P4842" s="85"/>
      <c r="Q4842" s="85"/>
      <c r="R4842" s="81"/>
    </row>
    <row r="4843" spans="7:18" x14ac:dyDescent="0.3">
      <c r="G4843" s="85"/>
      <c r="H4843" s="86"/>
      <c r="I4843" s="86"/>
      <c r="J4843" s="87"/>
      <c r="K4843" s="85"/>
      <c r="L4843" s="85"/>
      <c r="P4843" s="85"/>
      <c r="Q4843" s="85"/>
      <c r="R4843" s="81"/>
    </row>
    <row r="4844" spans="7:18" x14ac:dyDescent="0.3">
      <c r="G4844" s="85"/>
      <c r="H4844" s="86"/>
      <c r="I4844" s="86"/>
      <c r="J4844" s="87"/>
      <c r="K4844" s="85"/>
      <c r="L4844" s="85"/>
      <c r="P4844" s="85"/>
      <c r="Q4844" s="85"/>
      <c r="R4844" s="81"/>
    </row>
    <row r="4845" spans="7:18" x14ac:dyDescent="0.3">
      <c r="G4845" s="85"/>
      <c r="H4845" s="86"/>
      <c r="I4845" s="86"/>
      <c r="J4845" s="87"/>
      <c r="K4845" s="85"/>
      <c r="L4845" s="85"/>
      <c r="P4845" s="85"/>
      <c r="Q4845" s="85"/>
      <c r="R4845" s="81"/>
    </row>
    <row r="4846" spans="7:18" x14ac:dyDescent="0.3">
      <c r="G4846" s="85"/>
      <c r="H4846" s="86"/>
      <c r="I4846" s="86"/>
      <c r="J4846" s="87"/>
      <c r="K4846" s="85"/>
      <c r="L4846" s="85"/>
      <c r="P4846" s="85"/>
      <c r="Q4846" s="85"/>
      <c r="R4846" s="81"/>
    </row>
    <row r="4847" spans="7:18" x14ac:dyDescent="0.3">
      <c r="G4847" s="85"/>
      <c r="H4847" s="86"/>
      <c r="I4847" s="86"/>
      <c r="J4847" s="87"/>
      <c r="K4847" s="85"/>
      <c r="L4847" s="85"/>
      <c r="P4847" s="85"/>
      <c r="Q4847" s="85"/>
      <c r="R4847" s="81"/>
    </row>
    <row r="4848" spans="7:18" x14ac:dyDescent="0.3">
      <c r="G4848" s="85"/>
      <c r="H4848" s="86"/>
      <c r="I4848" s="86"/>
      <c r="J4848" s="87"/>
      <c r="K4848" s="85"/>
      <c r="L4848" s="85"/>
      <c r="P4848" s="85"/>
      <c r="Q4848" s="85"/>
      <c r="R4848" s="81"/>
    </row>
    <row r="4849" spans="7:18" x14ac:dyDescent="0.3">
      <c r="G4849" s="85"/>
      <c r="H4849" s="86"/>
      <c r="I4849" s="86"/>
      <c r="J4849" s="87"/>
      <c r="K4849" s="85"/>
      <c r="L4849" s="85"/>
      <c r="P4849" s="85"/>
      <c r="Q4849" s="85"/>
      <c r="R4849" s="81"/>
    </row>
    <row r="4850" spans="7:18" x14ac:dyDescent="0.3">
      <c r="G4850" s="85"/>
      <c r="H4850" s="86"/>
      <c r="I4850" s="86"/>
      <c r="J4850" s="87"/>
      <c r="K4850" s="85"/>
      <c r="L4850" s="85"/>
      <c r="P4850" s="85"/>
      <c r="Q4850" s="85"/>
      <c r="R4850" s="81"/>
    </row>
    <row r="4851" spans="7:18" x14ac:dyDescent="0.3">
      <c r="G4851" s="85"/>
      <c r="H4851" s="86"/>
      <c r="I4851" s="86"/>
      <c r="J4851" s="87"/>
      <c r="K4851" s="85"/>
      <c r="L4851" s="85"/>
      <c r="P4851" s="85"/>
      <c r="Q4851" s="85"/>
      <c r="R4851" s="81"/>
    </row>
    <row r="4852" spans="7:18" x14ac:dyDescent="0.3">
      <c r="G4852" s="85"/>
      <c r="H4852" s="86"/>
      <c r="I4852" s="86"/>
      <c r="J4852" s="87"/>
      <c r="K4852" s="85"/>
      <c r="L4852" s="85"/>
      <c r="P4852" s="85"/>
      <c r="Q4852" s="85"/>
      <c r="R4852" s="81"/>
    </row>
    <row r="4853" spans="7:18" x14ac:dyDescent="0.3">
      <c r="G4853" s="85"/>
      <c r="H4853" s="86"/>
      <c r="I4853" s="86"/>
      <c r="J4853" s="87"/>
      <c r="K4853" s="85"/>
      <c r="L4853" s="85"/>
      <c r="P4853" s="85"/>
      <c r="Q4853" s="85"/>
      <c r="R4853" s="81"/>
    </row>
    <row r="4854" spans="7:18" x14ac:dyDescent="0.3">
      <c r="G4854" s="85"/>
      <c r="H4854" s="86"/>
      <c r="I4854" s="86"/>
      <c r="J4854" s="87"/>
      <c r="K4854" s="85"/>
      <c r="L4854" s="85"/>
      <c r="P4854" s="85"/>
      <c r="Q4854" s="85"/>
      <c r="R4854" s="81"/>
    </row>
    <row r="4855" spans="7:18" x14ac:dyDescent="0.3">
      <c r="G4855" s="85"/>
      <c r="H4855" s="86"/>
      <c r="I4855" s="86"/>
      <c r="J4855" s="87"/>
      <c r="K4855" s="85"/>
      <c r="L4855" s="85"/>
      <c r="P4855" s="85"/>
      <c r="Q4855" s="85"/>
      <c r="R4855" s="81"/>
    </row>
    <row r="4856" spans="7:18" x14ac:dyDescent="0.3">
      <c r="G4856" s="85"/>
      <c r="H4856" s="86"/>
      <c r="I4856" s="86"/>
      <c r="J4856" s="87"/>
      <c r="K4856" s="85"/>
      <c r="L4856" s="85"/>
      <c r="P4856" s="85"/>
      <c r="Q4856" s="85"/>
      <c r="R4856" s="81"/>
    </row>
    <row r="4857" spans="7:18" x14ac:dyDescent="0.3">
      <c r="G4857" s="85"/>
      <c r="H4857" s="86"/>
      <c r="I4857" s="86"/>
      <c r="J4857" s="87"/>
      <c r="K4857" s="85"/>
      <c r="L4857" s="85"/>
      <c r="P4857" s="85"/>
      <c r="Q4857" s="85"/>
      <c r="R4857" s="81"/>
    </row>
    <row r="4858" spans="7:18" x14ac:dyDescent="0.3">
      <c r="G4858" s="85"/>
      <c r="H4858" s="86"/>
      <c r="I4858" s="86"/>
      <c r="J4858" s="87"/>
      <c r="K4858" s="85"/>
      <c r="L4858" s="85"/>
      <c r="P4858" s="85"/>
      <c r="Q4858" s="85"/>
      <c r="R4858" s="81"/>
    </row>
    <row r="4859" spans="7:18" x14ac:dyDescent="0.3">
      <c r="G4859" s="85"/>
      <c r="H4859" s="86"/>
      <c r="I4859" s="86"/>
      <c r="J4859" s="87"/>
      <c r="K4859" s="85"/>
      <c r="L4859" s="85"/>
      <c r="P4859" s="85"/>
      <c r="Q4859" s="85"/>
      <c r="R4859" s="81"/>
    </row>
    <row r="4860" spans="7:18" x14ac:dyDescent="0.3">
      <c r="G4860" s="85"/>
      <c r="H4860" s="86"/>
      <c r="I4860" s="86"/>
      <c r="J4860" s="87"/>
      <c r="K4860" s="85"/>
      <c r="L4860" s="85"/>
      <c r="P4860" s="85"/>
      <c r="Q4860" s="85"/>
      <c r="R4860" s="81"/>
    </row>
    <row r="4861" spans="7:18" x14ac:dyDescent="0.3">
      <c r="G4861" s="85"/>
      <c r="H4861" s="86"/>
      <c r="I4861" s="86"/>
      <c r="J4861" s="87"/>
      <c r="K4861" s="85"/>
      <c r="L4861" s="85"/>
      <c r="P4861" s="85"/>
      <c r="Q4861" s="85"/>
      <c r="R4861" s="81"/>
    </row>
    <row r="4862" spans="7:18" x14ac:dyDescent="0.3">
      <c r="G4862" s="85"/>
      <c r="H4862" s="86"/>
      <c r="I4862" s="86"/>
      <c r="J4862" s="87"/>
      <c r="K4862" s="85"/>
      <c r="L4862" s="85"/>
      <c r="P4862" s="85"/>
      <c r="Q4862" s="85"/>
      <c r="R4862" s="81"/>
    </row>
    <row r="4863" spans="7:18" x14ac:dyDescent="0.3">
      <c r="G4863" s="85"/>
      <c r="H4863" s="86"/>
      <c r="I4863" s="86"/>
      <c r="J4863" s="87"/>
      <c r="K4863" s="85"/>
      <c r="L4863" s="85"/>
      <c r="P4863" s="85"/>
      <c r="Q4863" s="85"/>
      <c r="R4863" s="81"/>
    </row>
    <row r="4864" spans="7:18" x14ac:dyDescent="0.3">
      <c r="G4864" s="85"/>
      <c r="H4864" s="86"/>
      <c r="I4864" s="86"/>
      <c r="J4864" s="87"/>
      <c r="K4864" s="85"/>
      <c r="L4864" s="85"/>
      <c r="P4864" s="85"/>
      <c r="Q4864" s="85"/>
      <c r="R4864" s="81"/>
    </row>
    <row r="4865" spans="7:18" x14ac:dyDescent="0.3">
      <c r="G4865" s="85"/>
      <c r="H4865" s="86"/>
      <c r="I4865" s="86"/>
      <c r="J4865" s="87"/>
      <c r="K4865" s="85"/>
      <c r="L4865" s="85"/>
      <c r="P4865" s="85"/>
      <c r="Q4865" s="85"/>
      <c r="R4865" s="81"/>
    </row>
    <row r="4866" spans="7:18" x14ac:dyDescent="0.3">
      <c r="G4866" s="85"/>
      <c r="H4866" s="86"/>
      <c r="I4866" s="86"/>
      <c r="J4866" s="87"/>
      <c r="K4866" s="85"/>
      <c r="L4866" s="85"/>
      <c r="P4866" s="85"/>
      <c r="Q4866" s="85"/>
      <c r="R4866" s="81"/>
    </row>
    <row r="4867" spans="7:18" x14ac:dyDescent="0.3">
      <c r="G4867" s="85"/>
      <c r="H4867" s="86"/>
      <c r="I4867" s="86"/>
      <c r="J4867" s="87"/>
      <c r="K4867" s="85"/>
      <c r="L4867" s="85"/>
      <c r="P4867" s="85"/>
      <c r="Q4867" s="85"/>
      <c r="R4867" s="81"/>
    </row>
    <row r="4868" spans="7:18" x14ac:dyDescent="0.3">
      <c r="G4868" s="85"/>
      <c r="H4868" s="86"/>
      <c r="I4868" s="86"/>
      <c r="J4868" s="87"/>
      <c r="K4868" s="85"/>
      <c r="L4868" s="85"/>
      <c r="P4868" s="85"/>
      <c r="Q4868" s="85"/>
      <c r="R4868" s="81"/>
    </row>
    <row r="4869" spans="7:18" x14ac:dyDescent="0.3">
      <c r="G4869" s="85"/>
      <c r="H4869" s="86"/>
      <c r="I4869" s="86"/>
      <c r="J4869" s="87"/>
      <c r="K4869" s="85"/>
      <c r="L4869" s="85"/>
      <c r="P4869" s="85"/>
      <c r="Q4869" s="85"/>
      <c r="R4869" s="81"/>
    </row>
    <row r="4870" spans="7:18" x14ac:dyDescent="0.3">
      <c r="G4870" s="85"/>
      <c r="H4870" s="86"/>
      <c r="I4870" s="86"/>
      <c r="J4870" s="87"/>
      <c r="K4870" s="85"/>
      <c r="L4870" s="85"/>
      <c r="P4870" s="85"/>
      <c r="Q4870" s="85"/>
      <c r="R4870" s="81"/>
    </row>
    <row r="4871" spans="7:18" x14ac:dyDescent="0.3">
      <c r="G4871" s="85"/>
      <c r="H4871" s="86"/>
      <c r="I4871" s="86"/>
      <c r="J4871" s="87"/>
      <c r="K4871" s="85"/>
      <c r="L4871" s="85"/>
      <c r="P4871" s="85"/>
      <c r="Q4871" s="85"/>
      <c r="R4871" s="81"/>
    </row>
    <row r="4872" spans="7:18" x14ac:dyDescent="0.3">
      <c r="G4872" s="85"/>
      <c r="H4872" s="86"/>
      <c r="I4872" s="86"/>
      <c r="J4872" s="87"/>
      <c r="K4872" s="85"/>
      <c r="L4872" s="85"/>
      <c r="P4872" s="85"/>
      <c r="Q4872" s="85"/>
      <c r="R4872" s="81"/>
    </row>
    <row r="4873" spans="7:18" x14ac:dyDescent="0.3">
      <c r="G4873" s="85"/>
      <c r="H4873" s="86"/>
      <c r="I4873" s="86"/>
      <c r="J4873" s="87"/>
      <c r="K4873" s="85"/>
      <c r="L4873" s="85"/>
      <c r="P4873" s="85"/>
      <c r="Q4873" s="85"/>
      <c r="R4873" s="81"/>
    </row>
    <row r="4874" spans="7:18" x14ac:dyDescent="0.3">
      <c r="G4874" s="85"/>
      <c r="H4874" s="86"/>
      <c r="I4874" s="86"/>
      <c r="J4874" s="87"/>
      <c r="K4874" s="85"/>
      <c r="L4874" s="85"/>
      <c r="P4874" s="85"/>
      <c r="Q4874" s="85"/>
      <c r="R4874" s="81"/>
    </row>
    <row r="4875" spans="7:18" x14ac:dyDescent="0.3">
      <c r="G4875" s="85"/>
      <c r="H4875" s="86"/>
      <c r="I4875" s="86"/>
      <c r="J4875" s="87"/>
      <c r="K4875" s="85"/>
      <c r="L4875" s="85"/>
      <c r="P4875" s="85"/>
      <c r="Q4875" s="85"/>
      <c r="R4875" s="81"/>
    </row>
    <row r="4876" spans="7:18" x14ac:dyDescent="0.3">
      <c r="G4876" s="85"/>
      <c r="H4876" s="86"/>
      <c r="I4876" s="86"/>
      <c r="J4876" s="87"/>
      <c r="K4876" s="85"/>
      <c r="L4876" s="85"/>
      <c r="P4876" s="85"/>
      <c r="Q4876" s="85"/>
      <c r="R4876" s="81"/>
    </row>
    <row r="4877" spans="7:18" x14ac:dyDescent="0.3">
      <c r="G4877" s="85"/>
      <c r="H4877" s="86"/>
      <c r="I4877" s="86"/>
      <c r="J4877" s="87"/>
      <c r="K4877" s="85"/>
      <c r="L4877" s="85"/>
      <c r="P4877" s="85"/>
      <c r="Q4877" s="85"/>
      <c r="R4877" s="81"/>
    </row>
    <row r="4878" spans="7:18" x14ac:dyDescent="0.3">
      <c r="G4878" s="85"/>
      <c r="H4878" s="86"/>
      <c r="I4878" s="86"/>
      <c r="J4878" s="87"/>
      <c r="K4878" s="85"/>
      <c r="L4878" s="85"/>
      <c r="P4878" s="85"/>
      <c r="Q4878" s="85"/>
      <c r="R4878" s="81"/>
    </row>
    <row r="4879" spans="7:18" x14ac:dyDescent="0.3">
      <c r="G4879" s="85"/>
      <c r="H4879" s="86"/>
      <c r="I4879" s="86"/>
      <c r="J4879" s="87"/>
      <c r="K4879" s="85"/>
      <c r="L4879" s="85"/>
      <c r="P4879" s="85"/>
      <c r="Q4879" s="85"/>
      <c r="R4879" s="81"/>
    </row>
    <row r="4880" spans="7:18" x14ac:dyDescent="0.3">
      <c r="G4880" s="85"/>
      <c r="H4880" s="86"/>
      <c r="I4880" s="86"/>
      <c r="J4880" s="87"/>
      <c r="K4880" s="85"/>
      <c r="L4880" s="85"/>
      <c r="P4880" s="85"/>
      <c r="Q4880" s="85"/>
      <c r="R4880" s="81"/>
    </row>
    <row r="4881" spans="7:18" x14ac:dyDescent="0.3">
      <c r="G4881" s="85"/>
      <c r="H4881" s="86"/>
      <c r="I4881" s="86"/>
      <c r="J4881" s="87"/>
      <c r="K4881" s="85"/>
      <c r="L4881" s="85"/>
      <c r="P4881" s="85"/>
      <c r="Q4881" s="85"/>
      <c r="R4881" s="81"/>
    </row>
    <row r="4882" spans="7:18" x14ac:dyDescent="0.3">
      <c r="G4882" s="85"/>
      <c r="H4882" s="86"/>
      <c r="I4882" s="86"/>
      <c r="J4882" s="87"/>
      <c r="K4882" s="85"/>
      <c r="L4882" s="85"/>
      <c r="P4882" s="85"/>
      <c r="Q4882" s="85"/>
      <c r="R4882" s="81"/>
    </row>
    <row r="4883" spans="7:18" x14ac:dyDescent="0.3">
      <c r="G4883" s="85"/>
      <c r="H4883" s="86"/>
      <c r="I4883" s="86"/>
      <c r="J4883" s="87"/>
      <c r="K4883" s="85"/>
      <c r="L4883" s="85"/>
      <c r="P4883" s="85"/>
      <c r="Q4883" s="85"/>
      <c r="R4883" s="81"/>
    </row>
    <row r="4884" spans="7:18" x14ac:dyDescent="0.3">
      <c r="G4884" s="85"/>
      <c r="H4884" s="86"/>
      <c r="I4884" s="86"/>
      <c r="J4884" s="87"/>
      <c r="K4884" s="85"/>
      <c r="L4884" s="85"/>
      <c r="P4884" s="85"/>
      <c r="Q4884" s="85"/>
      <c r="R4884" s="81"/>
    </row>
    <row r="4885" spans="7:18" x14ac:dyDescent="0.3">
      <c r="G4885" s="85"/>
      <c r="H4885" s="86"/>
      <c r="I4885" s="86"/>
      <c r="J4885" s="87"/>
      <c r="K4885" s="85"/>
      <c r="L4885" s="85"/>
      <c r="P4885" s="85"/>
      <c r="Q4885" s="85"/>
      <c r="R4885" s="81"/>
    </row>
    <row r="4886" spans="7:18" x14ac:dyDescent="0.3">
      <c r="G4886" s="85"/>
      <c r="H4886" s="86"/>
      <c r="I4886" s="86"/>
      <c r="J4886" s="87"/>
      <c r="K4886" s="85"/>
      <c r="L4886" s="85"/>
      <c r="P4886" s="85"/>
      <c r="Q4886" s="85"/>
      <c r="R4886" s="81"/>
    </row>
    <row r="4887" spans="7:18" x14ac:dyDescent="0.3">
      <c r="G4887" s="85"/>
      <c r="H4887" s="86"/>
      <c r="I4887" s="86"/>
      <c r="J4887" s="87"/>
      <c r="K4887" s="85"/>
      <c r="L4887" s="85"/>
      <c r="P4887" s="85"/>
      <c r="Q4887" s="85"/>
      <c r="R4887" s="81"/>
    </row>
    <row r="4888" spans="7:18" x14ac:dyDescent="0.3">
      <c r="G4888" s="85"/>
      <c r="H4888" s="86"/>
      <c r="I4888" s="86"/>
      <c r="J4888" s="87"/>
      <c r="K4888" s="85"/>
      <c r="L4888" s="85"/>
      <c r="P4888" s="85"/>
      <c r="Q4888" s="85"/>
      <c r="R4888" s="81"/>
    </row>
    <row r="4889" spans="7:18" x14ac:dyDescent="0.3">
      <c r="G4889" s="85"/>
      <c r="H4889" s="86"/>
      <c r="I4889" s="86"/>
      <c r="J4889" s="87"/>
      <c r="K4889" s="85"/>
      <c r="L4889" s="85"/>
      <c r="P4889" s="85"/>
      <c r="Q4889" s="85"/>
      <c r="R4889" s="81"/>
    </row>
    <row r="4890" spans="7:18" x14ac:dyDescent="0.3">
      <c r="G4890" s="85"/>
      <c r="H4890" s="86"/>
      <c r="I4890" s="86"/>
      <c r="J4890" s="87"/>
      <c r="K4890" s="85"/>
      <c r="L4890" s="85"/>
      <c r="P4890" s="85"/>
      <c r="Q4890" s="85"/>
      <c r="R4890" s="81"/>
    </row>
    <row r="4891" spans="7:18" x14ac:dyDescent="0.3">
      <c r="G4891" s="85"/>
      <c r="H4891" s="86"/>
      <c r="I4891" s="86"/>
      <c r="J4891" s="87"/>
      <c r="K4891" s="85"/>
      <c r="L4891" s="85"/>
      <c r="P4891" s="85"/>
      <c r="Q4891" s="85"/>
      <c r="R4891" s="81"/>
    </row>
    <row r="4892" spans="7:18" x14ac:dyDescent="0.3">
      <c r="G4892" s="85"/>
      <c r="H4892" s="86"/>
      <c r="I4892" s="86"/>
      <c r="J4892" s="87"/>
      <c r="K4892" s="85"/>
      <c r="L4892" s="85"/>
      <c r="P4892" s="85"/>
      <c r="Q4892" s="85"/>
      <c r="R4892" s="81"/>
    </row>
    <row r="4893" spans="7:18" x14ac:dyDescent="0.3">
      <c r="G4893" s="85"/>
      <c r="H4893" s="86"/>
      <c r="I4893" s="86"/>
      <c r="J4893" s="87"/>
      <c r="K4893" s="85"/>
      <c r="L4893" s="85"/>
      <c r="P4893" s="85"/>
      <c r="Q4893" s="85"/>
      <c r="R4893" s="81"/>
    </row>
    <row r="4894" spans="7:18" x14ac:dyDescent="0.3">
      <c r="G4894" s="85"/>
      <c r="H4894" s="86"/>
      <c r="I4894" s="86"/>
      <c r="J4894" s="87"/>
      <c r="K4894" s="85"/>
      <c r="L4894" s="85"/>
      <c r="P4894" s="85"/>
      <c r="Q4894" s="85"/>
      <c r="R4894" s="81"/>
    </row>
    <row r="4895" spans="7:18" x14ac:dyDescent="0.3">
      <c r="G4895" s="85"/>
      <c r="H4895" s="86"/>
      <c r="I4895" s="86"/>
      <c r="J4895" s="87"/>
      <c r="K4895" s="85"/>
      <c r="L4895" s="85"/>
      <c r="P4895" s="85"/>
      <c r="Q4895" s="85"/>
      <c r="R4895" s="81"/>
    </row>
    <row r="4896" spans="7:18" x14ac:dyDescent="0.3">
      <c r="G4896" s="85"/>
      <c r="H4896" s="86"/>
      <c r="I4896" s="86"/>
      <c r="J4896" s="87"/>
      <c r="K4896" s="85"/>
      <c r="L4896" s="85"/>
      <c r="P4896" s="85"/>
      <c r="Q4896" s="85"/>
      <c r="R4896" s="81"/>
    </row>
    <row r="4897" spans="7:18" x14ac:dyDescent="0.3">
      <c r="G4897" s="85"/>
      <c r="H4897" s="86"/>
      <c r="I4897" s="86"/>
      <c r="J4897" s="87"/>
      <c r="K4897" s="85"/>
      <c r="L4897" s="85"/>
      <c r="P4897" s="85"/>
      <c r="Q4897" s="85"/>
      <c r="R4897" s="81"/>
    </row>
    <row r="4898" spans="7:18" x14ac:dyDescent="0.3">
      <c r="G4898" s="85"/>
      <c r="H4898" s="86"/>
      <c r="I4898" s="86"/>
      <c r="J4898" s="87"/>
      <c r="K4898" s="85"/>
      <c r="L4898" s="85"/>
      <c r="P4898" s="85"/>
      <c r="Q4898" s="85"/>
      <c r="R4898" s="81"/>
    </row>
    <row r="4899" spans="7:18" x14ac:dyDescent="0.3">
      <c r="G4899" s="85"/>
      <c r="H4899" s="86"/>
      <c r="I4899" s="86"/>
      <c r="J4899" s="87"/>
      <c r="K4899" s="85"/>
      <c r="L4899" s="85"/>
      <c r="P4899" s="85"/>
      <c r="Q4899" s="85"/>
      <c r="R4899" s="81"/>
    </row>
    <row r="4900" spans="7:18" x14ac:dyDescent="0.3">
      <c r="G4900" s="85"/>
      <c r="H4900" s="86"/>
      <c r="I4900" s="86"/>
      <c r="J4900" s="87"/>
      <c r="K4900" s="85"/>
      <c r="L4900" s="85"/>
      <c r="P4900" s="85"/>
      <c r="Q4900" s="85"/>
      <c r="R4900" s="81"/>
    </row>
    <row r="4901" spans="7:18" x14ac:dyDescent="0.3">
      <c r="G4901" s="85"/>
      <c r="H4901" s="86"/>
      <c r="I4901" s="86"/>
      <c r="J4901" s="87"/>
      <c r="K4901" s="85"/>
      <c r="L4901" s="85"/>
      <c r="P4901" s="85"/>
      <c r="Q4901" s="85"/>
      <c r="R4901" s="81"/>
    </row>
    <row r="4902" spans="7:18" x14ac:dyDescent="0.3">
      <c r="G4902" s="85"/>
      <c r="H4902" s="86"/>
      <c r="I4902" s="86"/>
      <c r="J4902" s="87"/>
      <c r="K4902" s="85"/>
      <c r="L4902" s="85"/>
      <c r="P4902" s="85"/>
      <c r="Q4902" s="85"/>
      <c r="R4902" s="81"/>
    </row>
    <row r="4903" spans="7:18" x14ac:dyDescent="0.3">
      <c r="G4903" s="85"/>
      <c r="H4903" s="86"/>
      <c r="I4903" s="86"/>
      <c r="J4903" s="87"/>
      <c r="K4903" s="85"/>
      <c r="L4903" s="85"/>
      <c r="P4903" s="85"/>
      <c r="Q4903" s="85"/>
      <c r="R4903" s="81"/>
    </row>
    <row r="4904" spans="7:18" x14ac:dyDescent="0.3">
      <c r="G4904" s="85"/>
      <c r="H4904" s="86"/>
      <c r="I4904" s="86"/>
      <c r="J4904" s="87"/>
      <c r="K4904" s="85"/>
      <c r="L4904" s="85"/>
      <c r="P4904" s="85"/>
      <c r="Q4904" s="85"/>
      <c r="R4904" s="81"/>
    </row>
    <row r="4905" spans="7:18" x14ac:dyDescent="0.3">
      <c r="G4905" s="85"/>
      <c r="H4905" s="86"/>
      <c r="I4905" s="86"/>
      <c r="J4905" s="87"/>
      <c r="K4905" s="85"/>
      <c r="L4905" s="85"/>
      <c r="P4905" s="85"/>
      <c r="Q4905" s="85"/>
      <c r="R4905" s="81"/>
    </row>
    <row r="4906" spans="7:18" x14ac:dyDescent="0.3">
      <c r="G4906" s="85"/>
      <c r="H4906" s="86"/>
      <c r="I4906" s="86"/>
      <c r="J4906" s="87"/>
      <c r="K4906" s="85"/>
      <c r="L4906" s="85"/>
      <c r="P4906" s="85"/>
      <c r="Q4906" s="85"/>
      <c r="R4906" s="81"/>
    </row>
    <row r="4907" spans="7:18" x14ac:dyDescent="0.3">
      <c r="G4907" s="85"/>
      <c r="H4907" s="86"/>
      <c r="I4907" s="86"/>
      <c r="J4907" s="87"/>
      <c r="K4907" s="85"/>
      <c r="L4907" s="85"/>
      <c r="P4907" s="85"/>
      <c r="Q4907" s="85"/>
      <c r="R4907" s="81"/>
    </row>
    <row r="4908" spans="7:18" x14ac:dyDescent="0.3">
      <c r="G4908" s="85"/>
      <c r="H4908" s="86"/>
      <c r="I4908" s="86"/>
      <c r="J4908" s="87"/>
      <c r="K4908" s="85"/>
      <c r="L4908" s="85"/>
      <c r="P4908" s="85"/>
      <c r="Q4908" s="85"/>
      <c r="R4908" s="81"/>
    </row>
    <row r="4909" spans="7:18" x14ac:dyDescent="0.3">
      <c r="G4909" s="85"/>
      <c r="H4909" s="86"/>
      <c r="I4909" s="86"/>
      <c r="J4909" s="87"/>
      <c r="K4909" s="85"/>
      <c r="L4909" s="85"/>
      <c r="P4909" s="85"/>
      <c r="Q4909" s="85"/>
      <c r="R4909" s="81"/>
    </row>
    <row r="4910" spans="7:18" x14ac:dyDescent="0.3">
      <c r="G4910" s="85"/>
      <c r="H4910" s="86"/>
      <c r="I4910" s="86"/>
      <c r="J4910" s="87"/>
      <c r="K4910" s="85"/>
      <c r="L4910" s="85"/>
      <c r="P4910" s="85"/>
      <c r="Q4910" s="85"/>
      <c r="R4910" s="81"/>
    </row>
    <row r="4911" spans="7:18" x14ac:dyDescent="0.3">
      <c r="G4911" s="85"/>
      <c r="H4911" s="86"/>
      <c r="I4911" s="86"/>
      <c r="J4911" s="87"/>
      <c r="K4911" s="85"/>
      <c r="L4911" s="85"/>
      <c r="P4911" s="85"/>
      <c r="Q4911" s="85"/>
      <c r="R4911" s="81"/>
    </row>
    <row r="4912" spans="7:18" x14ac:dyDescent="0.3">
      <c r="G4912" s="85"/>
      <c r="H4912" s="86"/>
      <c r="I4912" s="86"/>
      <c r="J4912" s="87"/>
      <c r="K4912" s="85"/>
      <c r="L4912" s="85"/>
      <c r="P4912" s="85"/>
      <c r="Q4912" s="85"/>
      <c r="R4912" s="81"/>
    </row>
    <row r="4913" spans="7:18" x14ac:dyDescent="0.3">
      <c r="G4913" s="85"/>
      <c r="H4913" s="86"/>
      <c r="I4913" s="86"/>
      <c r="J4913" s="87"/>
      <c r="K4913" s="85"/>
      <c r="L4913" s="85"/>
      <c r="P4913" s="85"/>
      <c r="Q4913" s="85"/>
      <c r="R4913" s="81"/>
    </row>
    <row r="4914" spans="7:18" x14ac:dyDescent="0.3">
      <c r="G4914" s="85"/>
      <c r="H4914" s="86"/>
      <c r="I4914" s="86"/>
      <c r="J4914" s="87"/>
      <c r="K4914" s="85"/>
      <c r="L4914" s="85"/>
      <c r="P4914" s="85"/>
      <c r="Q4914" s="85"/>
      <c r="R4914" s="81"/>
    </row>
    <row r="4915" spans="7:18" x14ac:dyDescent="0.3">
      <c r="G4915" s="85"/>
      <c r="H4915" s="86"/>
      <c r="I4915" s="86"/>
      <c r="J4915" s="87"/>
      <c r="K4915" s="85"/>
      <c r="L4915" s="85"/>
      <c r="P4915" s="85"/>
      <c r="Q4915" s="85"/>
      <c r="R4915" s="81"/>
    </row>
    <row r="4916" spans="7:18" x14ac:dyDescent="0.3">
      <c r="G4916" s="85"/>
      <c r="H4916" s="86"/>
      <c r="I4916" s="86"/>
      <c r="J4916" s="87"/>
      <c r="K4916" s="85"/>
      <c r="L4916" s="85"/>
      <c r="P4916" s="85"/>
      <c r="Q4916" s="85"/>
      <c r="R4916" s="81"/>
    </row>
    <row r="4917" spans="7:18" x14ac:dyDescent="0.3">
      <c r="G4917" s="85"/>
      <c r="H4917" s="86"/>
      <c r="I4917" s="86"/>
      <c r="J4917" s="87"/>
      <c r="K4917" s="85"/>
      <c r="L4917" s="85"/>
      <c r="P4917" s="85"/>
      <c r="Q4917" s="85"/>
      <c r="R4917" s="81"/>
    </row>
    <row r="4918" spans="7:18" x14ac:dyDescent="0.3">
      <c r="G4918" s="85"/>
      <c r="H4918" s="86"/>
      <c r="I4918" s="86"/>
      <c r="J4918" s="87"/>
      <c r="K4918" s="85"/>
      <c r="L4918" s="85"/>
      <c r="P4918" s="85"/>
      <c r="Q4918" s="85"/>
      <c r="R4918" s="81"/>
    </row>
    <row r="4919" spans="7:18" x14ac:dyDescent="0.3">
      <c r="G4919" s="85"/>
      <c r="H4919" s="86"/>
      <c r="I4919" s="86"/>
      <c r="J4919" s="87"/>
      <c r="K4919" s="85"/>
      <c r="L4919" s="85"/>
      <c r="P4919" s="85"/>
      <c r="Q4919" s="85"/>
      <c r="R4919" s="81"/>
    </row>
    <row r="4920" spans="7:18" x14ac:dyDescent="0.3">
      <c r="G4920" s="85"/>
      <c r="H4920" s="86"/>
      <c r="I4920" s="86"/>
      <c r="J4920" s="87"/>
      <c r="K4920" s="85"/>
      <c r="L4920" s="85"/>
      <c r="P4920" s="85"/>
      <c r="Q4920" s="85"/>
      <c r="R4920" s="81"/>
    </row>
    <row r="4921" spans="7:18" x14ac:dyDescent="0.3">
      <c r="G4921" s="85"/>
      <c r="H4921" s="86"/>
      <c r="I4921" s="86"/>
      <c r="J4921" s="87"/>
      <c r="K4921" s="85"/>
      <c r="L4921" s="85"/>
      <c r="P4921" s="85"/>
      <c r="Q4921" s="85"/>
      <c r="R4921" s="81"/>
    </row>
    <row r="4922" spans="7:18" x14ac:dyDescent="0.3">
      <c r="G4922" s="85"/>
      <c r="H4922" s="86"/>
      <c r="I4922" s="86"/>
      <c r="J4922" s="87"/>
      <c r="K4922" s="85"/>
      <c r="L4922" s="85"/>
      <c r="P4922" s="85"/>
      <c r="Q4922" s="85"/>
      <c r="R4922" s="81"/>
    </row>
    <row r="4923" spans="7:18" x14ac:dyDescent="0.3">
      <c r="G4923" s="85"/>
      <c r="H4923" s="86"/>
      <c r="I4923" s="86"/>
      <c r="J4923" s="87"/>
      <c r="K4923" s="85"/>
      <c r="L4923" s="85"/>
      <c r="P4923" s="85"/>
      <c r="Q4923" s="85"/>
      <c r="R4923" s="81"/>
    </row>
    <row r="4924" spans="7:18" x14ac:dyDescent="0.3">
      <c r="G4924" s="85"/>
      <c r="H4924" s="86"/>
      <c r="I4924" s="86"/>
      <c r="J4924" s="87"/>
      <c r="K4924" s="85"/>
      <c r="L4924" s="85"/>
      <c r="P4924" s="85"/>
      <c r="Q4924" s="85"/>
      <c r="R4924" s="81"/>
    </row>
    <row r="4925" spans="7:18" x14ac:dyDescent="0.3">
      <c r="G4925" s="85"/>
      <c r="H4925" s="86"/>
      <c r="I4925" s="86"/>
      <c r="J4925" s="87"/>
      <c r="K4925" s="85"/>
      <c r="L4925" s="85"/>
      <c r="P4925" s="85"/>
      <c r="Q4925" s="85"/>
      <c r="R4925" s="81"/>
    </row>
    <row r="4926" spans="7:18" x14ac:dyDescent="0.3">
      <c r="G4926" s="85"/>
      <c r="H4926" s="86"/>
      <c r="I4926" s="86"/>
      <c r="J4926" s="87"/>
      <c r="K4926" s="85"/>
      <c r="L4926" s="85"/>
      <c r="P4926" s="85"/>
      <c r="Q4926" s="85"/>
      <c r="R4926" s="81"/>
    </row>
    <row r="4927" spans="7:18" x14ac:dyDescent="0.3">
      <c r="G4927" s="85"/>
      <c r="H4927" s="86"/>
      <c r="I4927" s="86"/>
      <c r="J4927" s="87"/>
      <c r="K4927" s="85"/>
      <c r="L4927" s="85"/>
      <c r="P4927" s="85"/>
      <c r="Q4927" s="85"/>
      <c r="R4927" s="81"/>
    </row>
    <row r="4928" spans="7:18" x14ac:dyDescent="0.3">
      <c r="G4928" s="85"/>
      <c r="H4928" s="86"/>
      <c r="I4928" s="86"/>
      <c r="J4928" s="87"/>
      <c r="K4928" s="85"/>
      <c r="L4928" s="85"/>
      <c r="P4928" s="85"/>
      <c r="Q4928" s="85"/>
      <c r="R4928" s="81"/>
    </row>
    <row r="4929" spans="7:18" x14ac:dyDescent="0.3">
      <c r="G4929" s="85"/>
      <c r="H4929" s="86"/>
      <c r="I4929" s="86"/>
      <c r="J4929" s="87"/>
      <c r="K4929" s="85"/>
      <c r="L4929" s="85"/>
      <c r="P4929" s="85"/>
      <c r="Q4929" s="85"/>
      <c r="R4929" s="81"/>
    </row>
    <row r="4930" spans="7:18" x14ac:dyDescent="0.3">
      <c r="G4930" s="85"/>
      <c r="H4930" s="86"/>
      <c r="I4930" s="86"/>
      <c r="J4930" s="87"/>
      <c r="K4930" s="85"/>
      <c r="L4930" s="85"/>
      <c r="P4930" s="85"/>
      <c r="Q4930" s="85"/>
      <c r="R4930" s="81"/>
    </row>
    <row r="4931" spans="7:18" x14ac:dyDescent="0.3">
      <c r="G4931" s="85"/>
      <c r="H4931" s="86"/>
      <c r="I4931" s="86"/>
      <c r="J4931" s="87"/>
      <c r="K4931" s="85"/>
      <c r="L4931" s="85"/>
      <c r="P4931" s="85"/>
      <c r="Q4931" s="85"/>
      <c r="R4931" s="81"/>
    </row>
    <row r="4932" spans="7:18" x14ac:dyDescent="0.3">
      <c r="G4932" s="85"/>
      <c r="H4932" s="86"/>
      <c r="I4932" s="86"/>
      <c r="J4932" s="87"/>
      <c r="K4932" s="85"/>
      <c r="L4932" s="85"/>
      <c r="P4932" s="85"/>
      <c r="Q4932" s="85"/>
      <c r="R4932" s="81"/>
    </row>
    <row r="4933" spans="7:18" x14ac:dyDescent="0.3">
      <c r="G4933" s="85"/>
      <c r="H4933" s="86"/>
      <c r="I4933" s="86"/>
      <c r="J4933" s="87"/>
      <c r="K4933" s="85"/>
      <c r="L4933" s="85"/>
      <c r="P4933" s="85"/>
      <c r="Q4933" s="85"/>
      <c r="R4933" s="81"/>
    </row>
    <row r="4934" spans="7:18" x14ac:dyDescent="0.3">
      <c r="G4934" s="85"/>
      <c r="H4934" s="86"/>
      <c r="I4934" s="86"/>
      <c r="J4934" s="87"/>
      <c r="K4934" s="85"/>
      <c r="L4934" s="85"/>
      <c r="P4934" s="85"/>
      <c r="Q4934" s="85"/>
      <c r="R4934" s="81"/>
    </row>
    <row r="4935" spans="7:18" x14ac:dyDescent="0.3">
      <c r="G4935" s="85"/>
      <c r="H4935" s="86"/>
      <c r="I4935" s="86"/>
      <c r="J4935" s="87"/>
      <c r="K4935" s="85"/>
      <c r="L4935" s="85"/>
      <c r="P4935" s="85"/>
      <c r="Q4935" s="85"/>
      <c r="R4935" s="81"/>
    </row>
    <row r="4936" spans="7:18" x14ac:dyDescent="0.3">
      <c r="G4936" s="85"/>
      <c r="H4936" s="86"/>
      <c r="I4936" s="86"/>
      <c r="J4936" s="87"/>
      <c r="K4936" s="85"/>
      <c r="L4936" s="85"/>
      <c r="P4936" s="85"/>
      <c r="Q4936" s="85"/>
      <c r="R4936" s="81"/>
    </row>
    <row r="4937" spans="7:18" x14ac:dyDescent="0.3">
      <c r="G4937" s="85"/>
      <c r="H4937" s="86"/>
      <c r="I4937" s="86"/>
      <c r="J4937" s="87"/>
      <c r="K4937" s="85"/>
      <c r="L4937" s="85"/>
      <c r="P4937" s="85"/>
      <c r="Q4937" s="85"/>
      <c r="R4937" s="81"/>
    </row>
    <row r="4938" spans="7:18" x14ac:dyDescent="0.3">
      <c r="G4938" s="85"/>
      <c r="H4938" s="86"/>
      <c r="I4938" s="86"/>
      <c r="J4938" s="87"/>
      <c r="K4938" s="85"/>
      <c r="L4938" s="85"/>
      <c r="P4938" s="85"/>
      <c r="Q4938" s="85"/>
      <c r="R4938" s="81"/>
    </row>
    <row r="4939" spans="7:18" x14ac:dyDescent="0.3">
      <c r="G4939" s="85"/>
      <c r="H4939" s="86"/>
      <c r="I4939" s="86"/>
      <c r="J4939" s="87"/>
      <c r="K4939" s="85"/>
      <c r="L4939" s="85"/>
      <c r="P4939" s="85"/>
      <c r="Q4939" s="85"/>
      <c r="R4939" s="81"/>
    </row>
    <row r="4940" spans="7:18" x14ac:dyDescent="0.3">
      <c r="G4940" s="85"/>
      <c r="H4940" s="86"/>
      <c r="I4940" s="86"/>
      <c r="J4940" s="87"/>
      <c r="K4940" s="85"/>
      <c r="L4940" s="85"/>
      <c r="P4940" s="85"/>
      <c r="Q4940" s="85"/>
      <c r="R4940" s="81"/>
    </row>
    <row r="4941" spans="7:18" x14ac:dyDescent="0.3">
      <c r="G4941" s="85"/>
      <c r="H4941" s="86"/>
      <c r="I4941" s="86"/>
      <c r="J4941" s="87"/>
      <c r="K4941" s="85"/>
      <c r="L4941" s="85"/>
      <c r="P4941" s="85"/>
      <c r="Q4941" s="85"/>
      <c r="R4941" s="81"/>
    </row>
    <row r="4942" spans="7:18" x14ac:dyDescent="0.3">
      <c r="G4942" s="85"/>
      <c r="H4942" s="86"/>
      <c r="I4942" s="86"/>
      <c r="J4942" s="87"/>
      <c r="K4942" s="85"/>
      <c r="L4942" s="85"/>
      <c r="P4942" s="85"/>
      <c r="Q4942" s="85"/>
      <c r="R4942" s="81"/>
    </row>
    <row r="4943" spans="7:18" x14ac:dyDescent="0.3">
      <c r="G4943" s="85"/>
      <c r="H4943" s="86"/>
      <c r="I4943" s="86"/>
      <c r="J4943" s="87"/>
      <c r="K4943" s="85"/>
      <c r="L4943" s="85"/>
      <c r="P4943" s="85"/>
      <c r="Q4943" s="85"/>
      <c r="R4943" s="81"/>
    </row>
    <row r="4944" spans="7:18" x14ac:dyDescent="0.3">
      <c r="G4944" s="85"/>
      <c r="H4944" s="86"/>
      <c r="I4944" s="86"/>
      <c r="J4944" s="87"/>
      <c r="K4944" s="85"/>
      <c r="L4944" s="85"/>
      <c r="P4944" s="85"/>
      <c r="Q4944" s="85"/>
      <c r="R4944" s="81"/>
    </row>
    <row r="4945" spans="7:18" x14ac:dyDescent="0.3">
      <c r="G4945" s="85"/>
      <c r="H4945" s="86"/>
      <c r="I4945" s="86"/>
      <c r="J4945" s="87"/>
      <c r="K4945" s="85"/>
      <c r="L4945" s="85"/>
      <c r="P4945" s="85"/>
      <c r="Q4945" s="85"/>
      <c r="R4945" s="81"/>
    </row>
    <row r="4946" spans="7:18" x14ac:dyDescent="0.3">
      <c r="G4946" s="85"/>
      <c r="H4946" s="86"/>
      <c r="I4946" s="86"/>
      <c r="J4946" s="87"/>
      <c r="K4946" s="85"/>
      <c r="L4946" s="85"/>
      <c r="P4946" s="85"/>
      <c r="Q4946" s="85"/>
      <c r="R4946" s="81"/>
    </row>
    <row r="4947" spans="7:18" x14ac:dyDescent="0.3">
      <c r="G4947" s="85"/>
      <c r="H4947" s="86"/>
      <c r="I4947" s="86"/>
      <c r="J4947" s="87"/>
      <c r="K4947" s="85"/>
      <c r="L4947" s="85"/>
      <c r="P4947" s="85"/>
      <c r="Q4947" s="85"/>
      <c r="R4947" s="81"/>
    </row>
    <row r="4948" spans="7:18" x14ac:dyDescent="0.3">
      <c r="G4948" s="85"/>
      <c r="H4948" s="86"/>
      <c r="I4948" s="86"/>
      <c r="J4948" s="87"/>
      <c r="K4948" s="85"/>
      <c r="L4948" s="85"/>
      <c r="P4948" s="85"/>
      <c r="Q4948" s="85"/>
      <c r="R4948" s="81"/>
    </row>
    <row r="4949" spans="7:18" x14ac:dyDescent="0.3">
      <c r="G4949" s="85"/>
      <c r="H4949" s="86"/>
      <c r="I4949" s="86"/>
      <c r="J4949" s="87"/>
      <c r="K4949" s="85"/>
      <c r="L4949" s="85"/>
      <c r="P4949" s="85"/>
      <c r="Q4949" s="85"/>
      <c r="R4949" s="81"/>
    </row>
    <row r="4950" spans="7:18" x14ac:dyDescent="0.3">
      <c r="G4950" s="85"/>
      <c r="H4950" s="86"/>
      <c r="I4950" s="86"/>
      <c r="J4950" s="87"/>
      <c r="K4950" s="85"/>
      <c r="L4950" s="85"/>
      <c r="P4950" s="85"/>
      <c r="Q4950" s="85"/>
      <c r="R4950" s="81"/>
    </row>
    <row r="4951" spans="7:18" x14ac:dyDescent="0.3">
      <c r="G4951" s="85"/>
      <c r="H4951" s="86"/>
      <c r="I4951" s="86"/>
      <c r="J4951" s="87"/>
      <c r="K4951" s="85"/>
      <c r="L4951" s="85"/>
      <c r="P4951" s="85"/>
      <c r="Q4951" s="85"/>
      <c r="R4951" s="81"/>
    </row>
    <row r="4952" spans="7:18" x14ac:dyDescent="0.3">
      <c r="G4952" s="85"/>
      <c r="H4952" s="86"/>
      <c r="I4952" s="86"/>
      <c r="J4952" s="87"/>
      <c r="K4952" s="85"/>
      <c r="L4952" s="85"/>
      <c r="P4952" s="85"/>
      <c r="Q4952" s="85"/>
      <c r="R4952" s="81"/>
    </row>
    <row r="4953" spans="7:18" x14ac:dyDescent="0.3">
      <c r="G4953" s="85"/>
      <c r="H4953" s="86"/>
      <c r="I4953" s="86"/>
      <c r="J4953" s="87"/>
      <c r="K4953" s="85"/>
      <c r="L4953" s="85"/>
      <c r="P4953" s="85"/>
      <c r="Q4953" s="85"/>
      <c r="R4953" s="81"/>
    </row>
    <row r="4954" spans="7:18" x14ac:dyDescent="0.3">
      <c r="G4954" s="85"/>
      <c r="H4954" s="86"/>
      <c r="I4954" s="86"/>
      <c r="J4954" s="87"/>
      <c r="K4954" s="85"/>
      <c r="L4954" s="85"/>
      <c r="P4954" s="85"/>
      <c r="Q4954" s="85"/>
      <c r="R4954" s="81"/>
    </row>
    <row r="4955" spans="7:18" x14ac:dyDescent="0.3">
      <c r="G4955" s="85"/>
      <c r="H4955" s="86"/>
      <c r="I4955" s="86"/>
      <c r="J4955" s="87"/>
      <c r="K4955" s="85"/>
      <c r="L4955" s="85"/>
      <c r="P4955" s="85"/>
      <c r="Q4955" s="85"/>
      <c r="R4955" s="81"/>
    </row>
    <row r="4956" spans="7:18" x14ac:dyDescent="0.3">
      <c r="G4956" s="85"/>
      <c r="H4956" s="86"/>
      <c r="I4956" s="86"/>
      <c r="J4956" s="87"/>
      <c r="K4956" s="85"/>
      <c r="L4956" s="85"/>
      <c r="P4956" s="85"/>
      <c r="Q4956" s="85"/>
      <c r="R4956" s="81"/>
    </row>
    <row r="4957" spans="7:18" x14ac:dyDescent="0.3">
      <c r="G4957" s="85"/>
      <c r="H4957" s="86"/>
      <c r="I4957" s="86"/>
      <c r="J4957" s="87"/>
      <c r="K4957" s="85"/>
      <c r="L4957" s="85"/>
      <c r="P4957" s="85"/>
      <c r="Q4957" s="85"/>
      <c r="R4957" s="81"/>
    </row>
    <row r="4958" spans="7:18" x14ac:dyDescent="0.3">
      <c r="G4958" s="85"/>
      <c r="H4958" s="86"/>
      <c r="I4958" s="86"/>
      <c r="J4958" s="87"/>
      <c r="K4958" s="85"/>
      <c r="L4958" s="85"/>
      <c r="P4958" s="85"/>
      <c r="Q4958" s="85"/>
      <c r="R4958" s="81"/>
    </row>
    <row r="4959" spans="7:18" x14ac:dyDescent="0.3">
      <c r="G4959" s="85"/>
      <c r="H4959" s="86"/>
      <c r="I4959" s="86"/>
      <c r="J4959" s="87"/>
      <c r="K4959" s="85"/>
      <c r="L4959" s="85"/>
      <c r="P4959" s="85"/>
      <c r="Q4959" s="85"/>
      <c r="R4959" s="81"/>
    </row>
    <row r="4960" spans="7:18" x14ac:dyDescent="0.3">
      <c r="G4960" s="85"/>
      <c r="H4960" s="86"/>
      <c r="I4960" s="86"/>
      <c r="J4960" s="87"/>
      <c r="K4960" s="85"/>
      <c r="L4960" s="85"/>
      <c r="P4960" s="85"/>
      <c r="Q4960" s="85"/>
      <c r="R4960" s="81"/>
    </row>
    <row r="4961" spans="7:18" x14ac:dyDescent="0.3">
      <c r="G4961" s="85"/>
      <c r="H4961" s="86"/>
      <c r="I4961" s="86"/>
      <c r="J4961" s="87"/>
      <c r="K4961" s="85"/>
      <c r="L4961" s="85"/>
      <c r="P4961" s="85"/>
      <c r="Q4961" s="85"/>
      <c r="R4961" s="81"/>
    </row>
    <row r="4962" spans="7:18" x14ac:dyDescent="0.3">
      <c r="G4962" s="85"/>
      <c r="H4962" s="86"/>
      <c r="I4962" s="86"/>
      <c r="J4962" s="87"/>
      <c r="K4962" s="85"/>
      <c r="L4962" s="85"/>
      <c r="P4962" s="85"/>
      <c r="Q4962" s="85"/>
      <c r="R4962" s="81"/>
    </row>
    <row r="4963" spans="7:18" x14ac:dyDescent="0.3">
      <c r="G4963" s="85"/>
      <c r="H4963" s="86"/>
      <c r="I4963" s="86"/>
      <c r="J4963" s="87"/>
      <c r="K4963" s="85"/>
      <c r="L4963" s="85"/>
      <c r="P4963" s="85"/>
      <c r="Q4963" s="85"/>
      <c r="R4963" s="81"/>
    </row>
    <row r="4964" spans="7:18" x14ac:dyDescent="0.3">
      <c r="G4964" s="85"/>
      <c r="H4964" s="86"/>
      <c r="I4964" s="86"/>
      <c r="J4964" s="87"/>
      <c r="K4964" s="85"/>
      <c r="L4964" s="85"/>
      <c r="P4964" s="85"/>
      <c r="Q4964" s="85"/>
      <c r="R4964" s="81"/>
    </row>
    <row r="4965" spans="7:18" x14ac:dyDescent="0.3">
      <c r="G4965" s="85"/>
      <c r="H4965" s="86"/>
      <c r="I4965" s="86"/>
      <c r="J4965" s="87"/>
      <c r="K4965" s="85"/>
      <c r="L4965" s="85"/>
      <c r="P4965" s="85"/>
      <c r="Q4965" s="85"/>
      <c r="R4965" s="81"/>
    </row>
    <row r="4966" spans="7:18" x14ac:dyDescent="0.3">
      <c r="G4966" s="85"/>
      <c r="H4966" s="86"/>
      <c r="I4966" s="86"/>
      <c r="J4966" s="87"/>
      <c r="K4966" s="85"/>
      <c r="L4966" s="85"/>
      <c r="P4966" s="85"/>
      <c r="Q4966" s="85"/>
      <c r="R4966" s="81"/>
    </row>
    <row r="4967" spans="7:18" x14ac:dyDescent="0.3">
      <c r="G4967" s="85"/>
      <c r="H4967" s="86"/>
      <c r="I4967" s="86"/>
      <c r="J4967" s="87"/>
      <c r="K4967" s="85"/>
      <c r="L4967" s="85"/>
      <c r="P4967" s="85"/>
      <c r="Q4967" s="85"/>
      <c r="R4967" s="81"/>
    </row>
    <row r="4968" spans="7:18" x14ac:dyDescent="0.3">
      <c r="G4968" s="85"/>
      <c r="H4968" s="86"/>
      <c r="I4968" s="86"/>
      <c r="J4968" s="87"/>
      <c r="K4968" s="85"/>
      <c r="L4968" s="85"/>
      <c r="P4968" s="85"/>
      <c r="Q4968" s="85"/>
      <c r="R4968" s="81"/>
    </row>
    <row r="4969" spans="7:18" x14ac:dyDescent="0.3">
      <c r="G4969" s="85"/>
      <c r="H4969" s="86"/>
      <c r="I4969" s="86"/>
      <c r="J4969" s="87"/>
      <c r="K4969" s="85"/>
      <c r="L4969" s="85"/>
      <c r="P4969" s="85"/>
      <c r="Q4969" s="85"/>
      <c r="R4969" s="81"/>
    </row>
    <row r="4970" spans="7:18" x14ac:dyDescent="0.3">
      <c r="G4970" s="85"/>
      <c r="H4970" s="86"/>
      <c r="I4970" s="86"/>
      <c r="J4970" s="87"/>
      <c r="K4970" s="85"/>
      <c r="L4970" s="85"/>
      <c r="P4970" s="85"/>
      <c r="Q4970" s="85"/>
      <c r="R4970" s="81"/>
    </row>
    <row r="4971" spans="7:18" x14ac:dyDescent="0.3">
      <c r="G4971" s="85"/>
      <c r="H4971" s="86"/>
      <c r="I4971" s="86"/>
      <c r="J4971" s="87"/>
      <c r="K4971" s="85"/>
      <c r="L4971" s="85"/>
      <c r="P4971" s="85"/>
      <c r="Q4971" s="85"/>
      <c r="R4971" s="81"/>
    </row>
    <row r="4972" spans="7:18" x14ac:dyDescent="0.3">
      <c r="G4972" s="85"/>
      <c r="H4972" s="86"/>
      <c r="I4972" s="86"/>
      <c r="J4972" s="87"/>
      <c r="K4972" s="85"/>
      <c r="L4972" s="85"/>
      <c r="P4972" s="85"/>
      <c r="Q4972" s="85"/>
      <c r="R4972" s="81"/>
    </row>
    <row r="4973" spans="7:18" x14ac:dyDescent="0.3">
      <c r="G4973" s="85"/>
      <c r="H4973" s="86"/>
      <c r="I4973" s="86"/>
      <c r="J4973" s="87"/>
      <c r="K4973" s="85"/>
      <c r="L4973" s="85"/>
      <c r="P4973" s="85"/>
      <c r="Q4973" s="85"/>
      <c r="R4973" s="81"/>
    </row>
    <row r="4974" spans="7:18" x14ac:dyDescent="0.3">
      <c r="G4974" s="85"/>
      <c r="H4974" s="86"/>
      <c r="I4974" s="86"/>
      <c r="J4974" s="87"/>
      <c r="K4974" s="85"/>
      <c r="L4974" s="85"/>
      <c r="P4974" s="85"/>
      <c r="Q4974" s="85"/>
      <c r="R4974" s="81"/>
    </row>
    <row r="4975" spans="7:18" x14ac:dyDescent="0.3">
      <c r="G4975" s="85"/>
      <c r="H4975" s="86"/>
      <c r="I4975" s="86"/>
      <c r="J4975" s="87"/>
      <c r="K4975" s="85"/>
      <c r="L4975" s="85"/>
      <c r="P4975" s="85"/>
      <c r="Q4975" s="85"/>
      <c r="R4975" s="81"/>
    </row>
    <row r="4976" spans="7:18" x14ac:dyDescent="0.3">
      <c r="G4976" s="85"/>
      <c r="H4976" s="86"/>
      <c r="I4976" s="86"/>
      <c r="J4976" s="87"/>
      <c r="K4976" s="85"/>
      <c r="L4976" s="85"/>
      <c r="P4976" s="85"/>
      <c r="Q4976" s="85"/>
      <c r="R4976" s="81"/>
    </row>
    <row r="4977" spans="7:18" x14ac:dyDescent="0.3">
      <c r="G4977" s="85"/>
      <c r="H4977" s="86"/>
      <c r="I4977" s="86"/>
      <c r="J4977" s="87"/>
      <c r="K4977" s="85"/>
      <c r="L4977" s="85"/>
      <c r="P4977" s="85"/>
      <c r="Q4977" s="85"/>
      <c r="R4977" s="81"/>
    </row>
    <row r="4978" spans="7:18" x14ac:dyDescent="0.3">
      <c r="G4978" s="85"/>
      <c r="H4978" s="86"/>
      <c r="I4978" s="86"/>
      <c r="J4978" s="87"/>
      <c r="K4978" s="85"/>
      <c r="L4978" s="85"/>
      <c r="P4978" s="85"/>
      <c r="Q4978" s="85"/>
      <c r="R4978" s="81"/>
    </row>
    <row r="4979" spans="7:18" x14ac:dyDescent="0.3">
      <c r="G4979" s="85"/>
      <c r="H4979" s="86"/>
      <c r="I4979" s="86"/>
      <c r="J4979" s="87"/>
      <c r="K4979" s="85"/>
      <c r="L4979" s="85"/>
      <c r="P4979" s="85"/>
      <c r="Q4979" s="85"/>
      <c r="R4979" s="81"/>
    </row>
    <row r="4980" spans="7:18" x14ac:dyDescent="0.3">
      <c r="G4980" s="85"/>
      <c r="H4980" s="86"/>
      <c r="I4980" s="86"/>
      <c r="J4980" s="87"/>
      <c r="K4980" s="85"/>
      <c r="L4980" s="85"/>
      <c r="P4980" s="85"/>
      <c r="Q4980" s="85"/>
      <c r="R4980" s="81"/>
    </row>
    <row r="4981" spans="7:18" x14ac:dyDescent="0.3">
      <c r="G4981" s="85"/>
      <c r="H4981" s="86"/>
      <c r="I4981" s="86"/>
      <c r="J4981" s="87"/>
      <c r="K4981" s="85"/>
      <c r="L4981" s="85"/>
      <c r="P4981" s="85"/>
      <c r="Q4981" s="85"/>
      <c r="R4981" s="81"/>
    </row>
    <row r="4982" spans="7:18" x14ac:dyDescent="0.3">
      <c r="G4982" s="85"/>
      <c r="H4982" s="86"/>
      <c r="I4982" s="86"/>
      <c r="J4982" s="87"/>
      <c r="K4982" s="85"/>
      <c r="L4982" s="85"/>
      <c r="P4982" s="85"/>
      <c r="Q4982" s="85"/>
      <c r="R4982" s="81"/>
    </row>
    <row r="4983" spans="7:18" x14ac:dyDescent="0.3">
      <c r="G4983" s="85"/>
      <c r="H4983" s="86"/>
      <c r="I4983" s="86"/>
      <c r="J4983" s="87"/>
      <c r="K4983" s="85"/>
      <c r="L4983" s="85"/>
      <c r="P4983" s="85"/>
      <c r="Q4983" s="85"/>
      <c r="R4983" s="81"/>
    </row>
    <row r="4984" spans="7:18" x14ac:dyDescent="0.3">
      <c r="G4984" s="85"/>
      <c r="H4984" s="86"/>
      <c r="I4984" s="86"/>
      <c r="J4984" s="87"/>
      <c r="K4984" s="85"/>
      <c r="L4984" s="85"/>
      <c r="P4984" s="85"/>
      <c r="Q4984" s="85"/>
      <c r="R4984" s="81"/>
    </row>
    <row r="4985" spans="7:18" x14ac:dyDescent="0.3">
      <c r="G4985" s="85"/>
      <c r="H4985" s="86"/>
      <c r="I4985" s="86"/>
      <c r="J4985" s="87"/>
      <c r="K4985" s="85"/>
      <c r="L4985" s="85"/>
      <c r="P4985" s="85"/>
      <c r="Q4985" s="85"/>
      <c r="R4985" s="81"/>
    </row>
    <row r="4986" spans="7:18" x14ac:dyDescent="0.3">
      <c r="G4986" s="85"/>
      <c r="H4986" s="86"/>
      <c r="I4986" s="86"/>
      <c r="J4986" s="87"/>
      <c r="K4986" s="85"/>
      <c r="L4986" s="85"/>
      <c r="P4986" s="85"/>
      <c r="Q4986" s="85"/>
      <c r="R4986" s="81"/>
    </row>
    <row r="4987" spans="7:18" x14ac:dyDescent="0.3">
      <c r="G4987" s="85"/>
      <c r="H4987" s="86"/>
      <c r="I4987" s="86"/>
      <c r="J4987" s="87"/>
      <c r="K4987" s="85"/>
      <c r="L4987" s="85"/>
      <c r="P4987" s="85"/>
      <c r="Q4987" s="85"/>
      <c r="R4987" s="81"/>
    </row>
    <row r="4988" spans="7:18" x14ac:dyDescent="0.3">
      <c r="G4988" s="85"/>
      <c r="H4988" s="86"/>
      <c r="I4988" s="86"/>
      <c r="J4988" s="87"/>
      <c r="K4988" s="85"/>
      <c r="L4988" s="85"/>
      <c r="P4988" s="85"/>
      <c r="Q4988" s="85"/>
      <c r="R4988" s="81"/>
    </row>
    <row r="4989" spans="7:18" x14ac:dyDescent="0.3">
      <c r="G4989" s="85"/>
      <c r="H4989" s="86"/>
      <c r="I4989" s="86"/>
      <c r="J4989" s="87"/>
      <c r="K4989" s="85"/>
      <c r="L4989" s="85"/>
      <c r="P4989" s="85"/>
      <c r="Q4989" s="85"/>
      <c r="R4989" s="81"/>
    </row>
    <row r="4990" spans="7:18" x14ac:dyDescent="0.3">
      <c r="G4990" s="85"/>
      <c r="H4990" s="86"/>
      <c r="I4990" s="86"/>
      <c r="J4990" s="87"/>
      <c r="K4990" s="85"/>
      <c r="L4990" s="85"/>
      <c r="P4990" s="85"/>
      <c r="Q4990" s="85"/>
      <c r="R4990" s="81"/>
    </row>
    <row r="4991" spans="7:18" x14ac:dyDescent="0.3">
      <c r="G4991" s="85"/>
      <c r="H4991" s="86"/>
      <c r="I4991" s="86"/>
      <c r="J4991" s="87"/>
      <c r="K4991" s="85"/>
      <c r="L4991" s="85"/>
      <c r="P4991" s="85"/>
      <c r="Q4991" s="85"/>
      <c r="R4991" s="81"/>
    </row>
    <row r="4992" spans="7:18" x14ac:dyDescent="0.3">
      <c r="G4992" s="85"/>
      <c r="H4992" s="86"/>
      <c r="I4992" s="86"/>
      <c r="J4992" s="87"/>
      <c r="K4992" s="85"/>
      <c r="L4992" s="85"/>
      <c r="P4992" s="85"/>
      <c r="Q4992" s="85"/>
      <c r="R4992" s="81"/>
    </row>
    <row r="4993" spans="7:18" x14ac:dyDescent="0.3">
      <c r="G4993" s="85"/>
      <c r="H4993" s="86"/>
      <c r="I4993" s="86"/>
      <c r="J4993" s="87"/>
      <c r="K4993" s="85"/>
      <c r="L4993" s="85"/>
      <c r="P4993" s="85"/>
      <c r="Q4993" s="85"/>
      <c r="R4993" s="81"/>
    </row>
    <row r="4994" spans="7:18" x14ac:dyDescent="0.3">
      <c r="G4994" s="85"/>
      <c r="H4994" s="86"/>
      <c r="I4994" s="86"/>
      <c r="J4994" s="87"/>
      <c r="K4994" s="85"/>
      <c r="L4994" s="85"/>
      <c r="P4994" s="85"/>
      <c r="Q4994" s="85"/>
      <c r="R4994" s="81"/>
    </row>
    <row r="4995" spans="7:18" x14ac:dyDescent="0.3">
      <c r="G4995" s="85"/>
      <c r="H4995" s="86"/>
      <c r="I4995" s="86"/>
      <c r="J4995" s="87"/>
      <c r="K4995" s="85"/>
      <c r="L4995" s="85"/>
      <c r="P4995" s="85"/>
      <c r="Q4995" s="85"/>
      <c r="R4995" s="81"/>
    </row>
    <row r="4996" spans="7:18" x14ac:dyDescent="0.3">
      <c r="G4996" s="85"/>
      <c r="H4996" s="86"/>
      <c r="I4996" s="86"/>
      <c r="J4996" s="87"/>
      <c r="K4996" s="85"/>
      <c r="L4996" s="85"/>
      <c r="P4996" s="85"/>
      <c r="Q4996" s="85"/>
      <c r="R4996" s="81"/>
    </row>
    <row r="4997" spans="7:18" x14ac:dyDescent="0.3">
      <c r="G4997" s="85"/>
      <c r="H4997" s="86"/>
      <c r="I4997" s="86"/>
      <c r="J4997" s="87"/>
      <c r="K4997" s="85"/>
      <c r="L4997" s="85"/>
      <c r="P4997" s="85"/>
      <c r="Q4997" s="85"/>
      <c r="R4997" s="81"/>
    </row>
    <row r="4998" spans="7:18" x14ac:dyDescent="0.3">
      <c r="G4998" s="85"/>
      <c r="H4998" s="86"/>
      <c r="I4998" s="86"/>
      <c r="J4998" s="87"/>
      <c r="K4998" s="85"/>
      <c r="L4998" s="85"/>
      <c r="P4998" s="85"/>
      <c r="Q4998" s="85"/>
      <c r="R4998" s="81"/>
    </row>
    <row r="4999" spans="7:18" x14ac:dyDescent="0.3">
      <c r="G4999" s="85"/>
      <c r="H4999" s="86"/>
      <c r="I4999" s="86"/>
      <c r="J4999" s="87"/>
      <c r="K4999" s="85"/>
      <c r="L4999" s="85"/>
      <c r="P4999" s="85"/>
      <c r="Q4999" s="85"/>
      <c r="R4999" s="81"/>
    </row>
    <row r="5000" spans="7:18" x14ac:dyDescent="0.3">
      <c r="G5000" s="85"/>
      <c r="H5000" s="86"/>
      <c r="I5000" s="86"/>
      <c r="J5000" s="87"/>
      <c r="K5000" s="85"/>
      <c r="L5000" s="85"/>
      <c r="P5000" s="85"/>
      <c r="Q5000" s="85"/>
      <c r="R5000" s="81"/>
    </row>
    <row r="5001" spans="7:18" x14ac:dyDescent="0.3">
      <c r="G5001" s="85"/>
      <c r="H5001" s="86"/>
      <c r="I5001" s="86"/>
      <c r="J5001" s="87"/>
      <c r="K5001" s="85"/>
      <c r="L5001" s="85"/>
      <c r="P5001" s="85"/>
      <c r="Q5001" s="85"/>
      <c r="R5001" s="81"/>
    </row>
  </sheetData>
  <sheetProtection algorithmName="SHA-512" hashValue="AsBGh7BHFTY1wW95drsVUXDEVMLkZsQXyKOJaJIbtwIAu692bEVSR8YQWlGUjnGJrUQ+AO77OOOz3Lg+xXMNxQ==" saltValue="W+AcnjSzSUW71rkvMSb5ng==" spinCount="100000" sheet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D133"/>
  <sheetViews>
    <sheetView showGridLines="0" tabSelected="1" workbookViewId="0">
      <pane ySplit="6" topLeftCell="A7" activePane="bottomLeft" state="frozen"/>
      <selection pane="bottomLeft" activeCell="A15" sqref="A15:AD133"/>
    </sheetView>
  </sheetViews>
  <sheetFormatPr defaultRowHeight="14.4" x14ac:dyDescent="0.3"/>
  <cols>
    <col min="1" max="1" width="25.33203125" customWidth="1"/>
    <col min="2" max="2" width="16.6640625" customWidth="1"/>
    <col min="3" max="3" width="22.6640625" customWidth="1"/>
    <col min="4" max="6" width="13.6640625" customWidth="1"/>
    <col min="7" max="12" width="16.33203125" customWidth="1"/>
    <col min="13" max="13" width="22.33203125" customWidth="1"/>
    <col min="14" max="15" width="16.33203125" customWidth="1"/>
    <col min="16" max="16" width="22.5546875" customWidth="1"/>
    <col min="17" max="20" width="16.33203125" customWidth="1"/>
    <col min="21" max="21" width="8" hidden="1" customWidth="1"/>
    <col min="22" max="22" width="14.6640625" customWidth="1"/>
    <col min="23" max="23" width="16.6640625" customWidth="1"/>
    <col min="24" max="24" width="30.6640625" customWidth="1"/>
    <col min="25" max="25" width="12.6640625" customWidth="1"/>
    <col min="26" max="26" width="14.6640625" customWidth="1"/>
    <col min="27" max="27" width="26.6640625" customWidth="1"/>
    <col min="28" max="28" width="18.6640625" hidden="1" customWidth="1"/>
    <col min="29" max="30" width="16.6640625" customWidth="1"/>
  </cols>
  <sheetData>
    <row r="1" spans="1:30" ht="40.200000000000003" customHeight="1" x14ac:dyDescent="0.3">
      <c r="A1" s="169" t="s">
        <v>306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25"/>
      <c r="O1" s="125"/>
    </row>
    <row r="2" spans="1:30" ht="19.95" customHeight="1" x14ac:dyDescent="0.3">
      <c r="A2" s="168" t="s">
        <v>307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</row>
    <row r="3" spans="1:30" ht="15.6" x14ac:dyDescent="0.3">
      <c r="A3" s="44" t="s">
        <v>308</v>
      </c>
      <c r="B3" s="45">
        <v>2025</v>
      </c>
      <c r="C3" s="44" t="s">
        <v>309</v>
      </c>
      <c r="D3" s="45">
        <v>2025</v>
      </c>
      <c r="F3" s="165" t="s">
        <v>310</v>
      </c>
      <c r="G3" s="166"/>
      <c r="H3" s="166"/>
      <c r="I3" s="166"/>
      <c r="J3" s="166"/>
      <c r="K3" s="167"/>
      <c r="L3" s="166"/>
      <c r="M3" s="166"/>
    </row>
    <row r="4" spans="1:30" ht="15.6" x14ac:dyDescent="0.3">
      <c r="A4" s="44" t="s">
        <v>153</v>
      </c>
      <c r="B4" s="256" t="str">
        <f>loteAnalise</f>
        <v>522611</v>
      </c>
      <c r="C4" t="s">
        <v>4719</v>
      </c>
      <c r="F4" s="165" t="s">
        <v>4720</v>
      </c>
      <c r="G4" s="166"/>
      <c r="H4" s="166"/>
      <c r="I4" s="166"/>
      <c r="J4" s="166"/>
      <c r="K4" s="166"/>
      <c r="L4" s="166"/>
      <c r="M4" s="166"/>
      <c r="N4">
        <v>2025</v>
      </c>
      <c r="O4" t="s">
        <v>290</v>
      </c>
      <c r="P4" t="s">
        <v>966</v>
      </c>
    </row>
    <row r="5" spans="1:30" x14ac:dyDescent="0.3">
      <c r="K5" s="79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todos os provedores | ano 2025 | media de todas as rodadas | 0 linha(s) analíticas na EQA_Base</v>
      </c>
    </row>
    <row r="6" spans="1:30" ht="28.2" customHeight="1" x14ac:dyDescent="0.3"/>
    <row r="12" spans="1:30" x14ac:dyDescent="0.3">
      <c r="A12" s="122" t="s">
        <v>4721</v>
      </c>
    </row>
    <row r="13" spans="1:30" ht="28.8" x14ac:dyDescent="0.3">
      <c r="A13" s="107" t="s">
        <v>88</v>
      </c>
      <c r="B13" s="107" t="s">
        <v>174</v>
      </c>
      <c r="C13" s="107" t="s">
        <v>256</v>
      </c>
      <c r="D13" s="107" t="s">
        <v>257</v>
      </c>
      <c r="E13" s="107" t="s">
        <v>258</v>
      </c>
      <c r="F13" s="107" t="s">
        <v>259</v>
      </c>
      <c r="G13" s="107" t="s">
        <v>1007</v>
      </c>
      <c r="H13" s="107" t="s">
        <v>262</v>
      </c>
      <c r="I13" s="107" t="s">
        <v>4707</v>
      </c>
      <c r="J13" s="107" t="s">
        <v>4708</v>
      </c>
      <c r="K13" s="107" t="s">
        <v>260</v>
      </c>
      <c r="L13" s="107" t="s">
        <v>4709</v>
      </c>
      <c r="M13" s="108" t="s">
        <v>4710</v>
      </c>
      <c r="N13" s="108" t="s">
        <v>4711</v>
      </c>
      <c r="O13" s="108" t="s">
        <v>4712</v>
      </c>
      <c r="P13" s="108" t="s">
        <v>4713</v>
      </c>
      <c r="Q13" s="108" t="s">
        <v>4714</v>
      </c>
      <c r="R13" s="108" t="s">
        <v>971</v>
      </c>
      <c r="S13" s="108" t="s">
        <v>972</v>
      </c>
      <c r="T13" s="108" t="s">
        <v>4715</v>
      </c>
      <c r="U13" s="108" t="s">
        <v>4716</v>
      </c>
      <c r="V13" s="109" t="s">
        <v>997</v>
      </c>
      <c r="W13" s="109" t="s">
        <v>998</v>
      </c>
      <c r="X13" s="109" t="s">
        <v>999</v>
      </c>
      <c r="Y13" s="109" t="s">
        <v>1000</v>
      </c>
      <c r="Z13" s="109" t="s">
        <v>1001</v>
      </c>
      <c r="AA13" s="109" t="s">
        <v>1002</v>
      </c>
      <c r="AB13" s="109" t="s">
        <v>1003</v>
      </c>
      <c r="AC13" s="108" t="s">
        <v>4717</v>
      </c>
      <c r="AD13" s="108" t="s">
        <v>4718</v>
      </c>
    </row>
    <row r="14" spans="1:30" x14ac:dyDescent="0.3">
      <c r="A14" s="110" t="str">
        <f>Analitos!$A$4</f>
        <v>WBC</v>
      </c>
      <c r="B14" s="111">
        <v>1</v>
      </c>
      <c r="C14" s="112">
        <f>IF($A14="","",IF(INDEX(engEstat,ROW()-13,3)="","",INDEX(engEstat,ROW()-13,3)))</f>
        <v>25</v>
      </c>
      <c r="D14" s="113">
        <f>IF($A14="","",IF(INDEX(engEstat,ROW()-13,4)="","",INDEX(engEstat,ROW()-13,4)))</f>
        <v>3.0055680000000002</v>
      </c>
      <c r="E14" s="113">
        <f>IF($A14="","",IF(INDEX(engEstat,ROW()-13,5)="","",INDEX(engEstat,ROW()-13,5)))</f>
        <v>6.8982997422070119E-2</v>
      </c>
      <c r="F14" s="114">
        <f>IF($A14="","",IF(INDEX(engEstat,ROW()-13,6)="","",INDEX(engEstat,ROW()-13,6)))</f>
        <v>2.2951734055616146</v>
      </c>
      <c r="G14" s="114">
        <f>IF($A14="","",mCEQ.BiasEQ($A14,eqAnoEP,"ABS",eqProvedor,eqRodada))</f>
        <v>1.8648146011737141</v>
      </c>
      <c r="H14" s="114">
        <f t="shared" ref="H14:H45" si="0">IF(OR(NOT(ISNUMBER($F14)),NOT(ISNUMBER($G14))),"",1.65*$F14+ABS($G14))</f>
        <v>5.6518507203503781</v>
      </c>
      <c r="I14" s="114" t="str">
        <f>IF($A14="","",IFERROR(INDEX(Analitos!$Q$4:$Q$43,MATCH($A14,Analitos!$A$4:$A$43,0)),""))</f>
        <v>CLIA</v>
      </c>
      <c r="J14" s="114">
        <f>IF($A14="","",IFERROR(IF($I14="VB",INDEX(Analitos!$T$4:$T$43,MATCH($A14,Analitos!$A$4:$A$43,0)),IF(INDEX(Analitos!$S$4:$S$43,MATCH($A14,Analitos!$A$4:$A$43,0))&lt;&gt;"",INDEX(Analitos!$S$4:$S$43,MATCH($A14,Analitos!$A$4:$A$43,0)),INDEX(Analitos!$T$4:$T$43,MATCH($A14,Analitos!$A$4:$A$43,0)))),""))</f>
        <v>2.3333333333333335</v>
      </c>
      <c r="K14" s="114">
        <f>IF($A14="","",IFERROR(INDEX(Analitos!$R$4:$R$43,MATCH($A14,Analitos!$A$4:$A$43,0)),""))</f>
        <v>7</v>
      </c>
      <c r="L14" s="114">
        <f t="shared" ref="L14:L45" si="1">IF(OR(NOT(ISNUMBER($F14)),$F14=0,NOT(ISNUMBER($G14)),NOT(ISNUMBER($K14))),"",($K14-ABS($G14))/$F14)</f>
        <v>2.2373844984360725</v>
      </c>
      <c r="M14" s="114" t="str">
        <f>IF(NOT(ISNUMBER($L14)),"",mQualidade.ClassificarSigma($L14))</f>
        <v>Desempenho inadequado</v>
      </c>
      <c r="N14" s="115">
        <f t="shared" ref="N14:N45" si="2">IF(OR(NOT(ISNUMBER($K14)),NOT(ISNUMBER($H14))),"",$K14-$H14)</f>
        <v>1.3481492796496219</v>
      </c>
      <c r="O14" s="116">
        <f t="shared" ref="O14:O45" si="3">IF(OR(NOT(ISNUMBER($N14)),NOT(ISNUMBER($K14)),$K14=0),"",$N14/$K14*100)</f>
        <v>19.259275423566027</v>
      </c>
      <c r="P14" s="117" t="str">
        <f>IF(NOT(ISNUMBER($O14)),"",mQualidade.ClassificarMargem($O14))</f>
        <v>Dentro do orcamento</v>
      </c>
      <c r="Q14" s="117" t="str">
        <f t="shared" ref="Q14:Q45" si="4">IF(OR(NOT(ISNUMBER($F14)),NOT(ISNUMBER($J14))),"",IF($F14&lt;=$J14,"OK","CV acima da meta"))</f>
        <v>OK</v>
      </c>
      <c r="R14" s="117" t="str">
        <f>IF($A14="","",mCEQ.StatusSDIeq($A14,eqAnoEP,IFERROR(INDEX(Analitos!$AR$4:$AR$43,MATCH($A14,Analitos!$A$4:$A$43,0)),"CAP"),eqRodada))</f>
        <v>SEM EP</v>
      </c>
      <c r="S14" s="117" t="str">
        <f>IF($A14="","",mCEQ.StatusLimitesEQ($A14,eqAnoEP,IFERROR(INDEX(Analitos!$AR$4:$AR$43,MATCH($A14,Analitos!$A$4:$A$43,0)),"CAP"),eqRodada))</f>
        <v>SEM EP</v>
      </c>
      <c r="T14" s="116" t="str">
        <f>IF($A14="","",mCEQ.BiasEQ($A14,eqAnoEP,"SIGNED",IFERROR(INDEX(Analitos!$AR$4:$AR$43,MATCH($A14,Analitos!$A$4:$A$43,0)),"CAP"),eqRodada))</f>
        <v>SEM EP</v>
      </c>
      <c r="U14" s="117" t="str">
        <f>IF(OR($P14="ETp excedido",$P14="Margem critica"),COUNTIF($P$14:$P14,"ETp excedido")+COUNTIF($P$14:$P14,"Margem critica"),"")</f>
        <v/>
      </c>
      <c r="V14" s="118">
        <f>IF(NOT(ISNUMBER($L14)),"",mPlanoQC.DPMdoSigma($L14))</f>
        <v>230444.27981340454</v>
      </c>
      <c r="W14" s="119">
        <f>IF(NOT(ISNUMBER($L14)),"",mPlanoQC.RendimentoDoSigma($L14))</f>
        <v>76.955572018659552</v>
      </c>
      <c r="X14" s="117" t="str">
        <f>IF(NOT(ISNUMBER($L14)),"",mPlanoQC.PlanoQC($L14,"REGRAS"))</f>
        <v>1_3s / 2of3_2s / R_4s / 3_1s / 6x</v>
      </c>
      <c r="Y14" s="120" t="str">
        <f>IF(NOT(ISNUMBER($L14)),"",mPlanoQC.PlanoQC($L14,"N"))</f>
        <v/>
      </c>
      <c r="Z14" s="121" t="str">
        <f>IF(NOT(ISNUMBER($L14)),"",mPlanoQC.PlanoQC($L14,"RUNSIZE"))</f>
        <v/>
      </c>
      <c r="AA14" s="117" t="str">
        <f>IF(NOT(ISNUMBER($L14)),"",mPlanoQC.CoberturaWestgard($L14))</f>
        <v>TOTAL</v>
      </c>
      <c r="AB14" s="117" t="str">
        <f t="shared" ref="AB14:AB45" si="5">IF($A14="","",$A14&amp;"|"&amp;$B14)</f>
        <v>WBC|1</v>
      </c>
      <c r="AC14" s="120" t="str">
        <f>IF($A14="","",mCEQ.BiasEQ($A14,eqAnoEP,"N",IFERROR(INDEX(Analitos!$AR$4:$AR$43,MATCH($A14,Analitos!$A$4:$A$43,0)),"CAP"),eqRodada))</f>
        <v>SEM EP</v>
      </c>
      <c r="AD14" s="120" t="str">
        <f>IF($A14="","",mCEQ.BiasEQ($A14,eqAnoEP,"NRODADAS",IFERROR(INDEX(Analitos!$AR$4:$AR$43,MATCH($A14,Analitos!$A$4:$A$43,0)),"CAP"),eqRodada))</f>
        <v>SEM EP</v>
      </c>
    </row>
    <row r="15" spans="1:30" x14ac:dyDescent="0.3">
      <c r="A15" s="110" t="str">
        <f>Analitos!$A$4</f>
        <v>WBC</v>
      </c>
      <c r="B15" s="111">
        <v>2</v>
      </c>
      <c r="C15" s="112">
        <f>IF($A15="","",IF(INDEX(engEstat,ROW()-13,3)="","",INDEX(engEstat,ROW()-13,3)))</f>
        <v>25</v>
      </c>
      <c r="D15" s="113">
        <f>IF($A15="","",IF(INDEX(engEstat,ROW()-13,4)="","",INDEX(engEstat,ROW()-13,4)))</f>
        <v>6.8242840000000005</v>
      </c>
      <c r="E15" s="113">
        <f>IF($A15="","",IF(INDEX(engEstat,ROW()-13,5)="","",INDEX(engEstat,ROW()-13,5)))</f>
        <v>0.11267110203301166</v>
      </c>
      <c r="F15" s="114">
        <f>IF($A15="","",IF(INDEX(engEstat,ROW()-13,6)="","",INDEX(engEstat,ROW()-13,6)))</f>
        <v>1.6510318449966568</v>
      </c>
      <c r="G15" s="114">
        <f>IF($A15="","",mCEQ.BiasEQ($A15,eqAnoEP,"ABS",eqProvedor,eqRodada))</f>
        <v>1.8648146011737141</v>
      </c>
      <c r="H15" s="114">
        <f t="shared" si="0"/>
        <v>4.5890171454181976</v>
      </c>
      <c r="I15" s="114" t="str">
        <f>IF($A15="","",IFERROR(INDEX(Analitos!$Q$4:$Q$43,MATCH($A15,Analitos!$A$4:$A$43,0)),""))</f>
        <v>CLIA</v>
      </c>
      <c r="J15" s="114">
        <f>IF($A15="","",IFERROR(IF($I15="VB",INDEX(Analitos!$T$4:$T$43,MATCH($A15,Analitos!$A$4:$A$43,0)),IF(INDEX(Analitos!$S$4:$S$43,MATCH($A15,Analitos!$A$4:$A$43,0))&lt;&gt;"",INDEX(Analitos!$S$4:$S$43,MATCH($A15,Analitos!$A$4:$A$43,0)),INDEX(Analitos!$T$4:$T$43,MATCH($A15,Analitos!$A$4:$A$43,0)))),""))</f>
        <v>2.3333333333333335</v>
      </c>
      <c r="K15" s="114">
        <f>IF($A15="","",IFERROR(INDEX(Analitos!$R$4:$R$43,MATCH($A15,Analitos!$A$4:$A$43,0)),""))</f>
        <v>7</v>
      </c>
      <c r="L15" s="114">
        <f t="shared" si="1"/>
        <v>3.1102885231366835</v>
      </c>
      <c r="M15" s="114" t="str">
        <f>IF(NOT(ISNUMBER($L15)),"",mQualidade.ClassificarSigma($L15))</f>
        <v>Marginal</v>
      </c>
      <c r="N15" s="115">
        <f t="shared" si="2"/>
        <v>2.4109828545818024</v>
      </c>
      <c r="O15" s="116">
        <f t="shared" si="3"/>
        <v>34.442612208311459</v>
      </c>
      <c r="P15" s="117" t="str">
        <f>IF(NOT(ISNUMBER($O15)),"",mQualidade.ClassificarMargem($O15))</f>
        <v>Dentro do orcamento</v>
      </c>
      <c r="Q15" s="117" t="str">
        <f t="shared" si="4"/>
        <v>OK</v>
      </c>
      <c r="R15" s="117" t="str">
        <f>IF($A15="","",mCEQ.StatusSDIeq($A15,eqAnoEP,IFERROR(INDEX(Analitos!$AR$4:$AR$43,MATCH($A15,Analitos!$A$4:$A$43,0)),"CAP"),eqRodada))</f>
        <v>SEM EP</v>
      </c>
      <c r="S15" s="117" t="str">
        <f>IF($A15="","",mCEQ.StatusLimitesEQ($A15,eqAnoEP,IFERROR(INDEX(Analitos!$AR$4:$AR$43,MATCH($A15,Analitos!$A$4:$A$43,0)),"CAP"),eqRodada))</f>
        <v>SEM EP</v>
      </c>
      <c r="T15" s="116" t="str">
        <f>IF($A15="","",mCEQ.BiasEQ($A15,eqAnoEP,"SIGNED",IFERROR(INDEX(Analitos!$AR$4:$AR$43,MATCH($A15,Analitos!$A$4:$A$43,0)),"CAP"),eqRodada))</f>
        <v>SEM EP</v>
      </c>
      <c r="U15" s="117" t="str">
        <f>IF(OR($P15="ETp excedido",$P15="Margem critica"),COUNTIF($P$14:$P15,"ETp excedido")+COUNTIF($P$14:$P15,"Margem critica"),"")</f>
        <v/>
      </c>
      <c r="V15" s="118">
        <f>IF(NOT(ISNUMBER($L15)),"",mPlanoQC.DPMdoSigma($L15))</f>
        <v>53667.441786740099</v>
      </c>
      <c r="W15" s="119">
        <f>IF(NOT(ISNUMBER($L15)),"",mPlanoQC.RendimentoDoSigma($L15))</f>
        <v>94.633255821325989</v>
      </c>
      <c r="X15" s="117" t="str">
        <f>IF(NOT(ISNUMBER($L15)),"",mPlanoQC.PlanoQC($L15,"REGRAS"))</f>
        <v>1_3s / 2of3_2s / R_4s / 3_1s / 6x</v>
      </c>
      <c r="Y15" s="120">
        <f>IF(NOT(ISNUMBER($L15)),"",mPlanoQC.PlanoQC($L15,"N"))</f>
        <v>6</v>
      </c>
      <c r="Z15" s="121">
        <f>IF(NOT(ISNUMBER($L15)),"",mPlanoQC.PlanoQC($L15,"RUNSIZE"))</f>
        <v>1</v>
      </c>
      <c r="AA15" s="117" t="str">
        <f>IF(NOT(ISNUMBER($L15)),"",mPlanoQC.CoberturaWestgard($L15))</f>
        <v>TOTAL</v>
      </c>
      <c r="AB15" s="117" t="str">
        <f t="shared" si="5"/>
        <v>WBC|2</v>
      </c>
      <c r="AC15" s="120" t="str">
        <f>IF($A15="","",mCEQ.BiasEQ($A15,eqAnoEP,"N",IFERROR(INDEX(Analitos!$AR$4:$AR$43,MATCH($A15,Analitos!$A$4:$A$43,0)),"CAP"),eqRodada))</f>
        <v>SEM EP</v>
      </c>
      <c r="AD15" s="120" t="str">
        <f>IF($A15="","",mCEQ.BiasEQ($A15,eqAnoEP,"NRODADAS",IFERROR(INDEX(Analitos!$AR$4:$AR$43,MATCH($A15,Analitos!$A$4:$A$43,0)),"CAP"),eqRodada))</f>
        <v>SEM EP</v>
      </c>
    </row>
    <row r="16" spans="1:30" x14ac:dyDescent="0.3">
      <c r="A16" s="110" t="str">
        <f>Analitos!$A$4</f>
        <v>WBC</v>
      </c>
      <c r="B16" s="111">
        <v>3</v>
      </c>
      <c r="C16" s="112">
        <f>IF($A16="","",IF(INDEX(engEstat,ROW()-13,3)="","",INDEX(engEstat,ROW()-13,3)))</f>
        <v>25</v>
      </c>
      <c r="D16" s="113">
        <f>IF($A16="","",IF(INDEX(engEstat,ROW()-13,4)="","",INDEX(engEstat,ROW()-13,4)))</f>
        <v>16.518732000000004</v>
      </c>
      <c r="E16" s="113">
        <f>IF($A16="","",IF(INDEX(engEstat,ROW()-13,5)="","",INDEX(engEstat,ROW()-13,5)))</f>
        <v>0.14884634056637064</v>
      </c>
      <c r="F16" s="114">
        <f>IF($A16="","",IF(INDEX(engEstat,ROW()-13,6)="","",INDEX(engEstat,ROW()-13,6)))</f>
        <v>0.90107606665191131</v>
      </c>
      <c r="G16" s="114">
        <f>IF($A16="","",mCEQ.BiasEQ($A16,eqAnoEP,"ABS",eqProvedor,eqRodada))</f>
        <v>1.8648146011737141</v>
      </c>
      <c r="H16" s="114">
        <f t="shared" si="0"/>
        <v>3.3515901111493678</v>
      </c>
      <c r="I16" s="114" t="str">
        <f>IF($A16="","",IFERROR(INDEX(Analitos!$Q$4:$Q$43,MATCH($A16,Analitos!$A$4:$A$43,0)),""))</f>
        <v>CLIA</v>
      </c>
      <c r="J16" s="114">
        <f>IF($A16="","",IFERROR(IF($I16="VB",INDEX(Analitos!$T$4:$T$43,MATCH($A16,Analitos!$A$4:$A$43,0)),IF(INDEX(Analitos!$S$4:$S$43,MATCH($A16,Analitos!$A$4:$A$43,0))&lt;&gt;"",INDEX(Analitos!$S$4:$S$43,MATCH($A16,Analitos!$A$4:$A$43,0)),INDEX(Analitos!$T$4:$T$43,MATCH($A16,Analitos!$A$4:$A$43,0)))),""))</f>
        <v>2.3333333333333335</v>
      </c>
      <c r="K16" s="114">
        <f>IF($A16="","",IFERROR(INDEX(Analitos!$R$4:$R$43,MATCH($A16,Analitos!$A$4:$A$43,0)),""))</f>
        <v>7</v>
      </c>
      <c r="L16" s="114">
        <f t="shared" si="1"/>
        <v>5.6989477235888284</v>
      </c>
      <c r="M16" s="114" t="str">
        <f>IF(NOT(ISNUMBER($L16)),"",mQualidade.ClassificarSigma($L16))</f>
        <v>Excelente</v>
      </c>
      <c r="N16" s="115">
        <f t="shared" si="2"/>
        <v>3.6484098888506322</v>
      </c>
      <c r="O16" s="116">
        <f t="shared" si="3"/>
        <v>52.120141269294749</v>
      </c>
      <c r="P16" s="117" t="str">
        <f>IF(NOT(ISNUMBER($O16)),"",mQualidade.ClassificarMargem($O16))</f>
        <v>Dentro do orcamento</v>
      </c>
      <c r="Q16" s="117" t="str">
        <f t="shared" si="4"/>
        <v>OK</v>
      </c>
      <c r="R16" s="117" t="str">
        <f>IF($A16="","",mCEQ.StatusSDIeq($A16,eqAnoEP,IFERROR(INDEX(Analitos!$AR$4:$AR$43,MATCH($A16,Analitos!$A$4:$A$43,0)),"CAP"),eqRodada))</f>
        <v>SEM EP</v>
      </c>
      <c r="S16" s="117" t="str">
        <f>IF($A16="","",mCEQ.StatusLimitesEQ($A16,eqAnoEP,IFERROR(INDEX(Analitos!$AR$4:$AR$43,MATCH($A16,Analitos!$A$4:$A$43,0)),"CAP"),eqRodada))</f>
        <v>SEM EP</v>
      </c>
      <c r="T16" s="116" t="str">
        <f>IF($A16="","",mCEQ.BiasEQ($A16,eqAnoEP,"SIGNED",IFERROR(INDEX(Analitos!$AR$4:$AR$43,MATCH($A16,Analitos!$A$4:$A$43,0)),"CAP"),eqRodada))</f>
        <v>SEM EP</v>
      </c>
      <c r="U16" s="117" t="str">
        <f>IF(OR($P16="ETp excedido",$P16="Margem critica"),COUNTIF($P$14:$P16,"ETp excedido")+COUNTIF($P$14:$P16,"Margem critica"),"")</f>
        <v/>
      </c>
      <c r="V16" s="118">
        <f>IF(NOT(ISNUMBER($L16)),"",mPlanoQC.DPMdoSigma($L16))</f>
        <v>13.407910666618506</v>
      </c>
      <c r="W16" s="119">
        <f>IF(NOT(ISNUMBER($L16)),"",mPlanoQC.RendimentoDoSigma($L16))</f>
        <v>99.998659208933333</v>
      </c>
      <c r="X16" s="117" t="str">
        <f>IF(NOT(ISNUMBER($L16)),"",mPlanoQC.PlanoQC($L16,"REGRAS"))</f>
        <v>1_3s / 2of3_2s / R_4s</v>
      </c>
      <c r="Y16" s="120">
        <f>IF(NOT(ISNUMBER($L16)),"",mPlanoQC.PlanoQC($L16,"N"))</f>
        <v>3</v>
      </c>
      <c r="Z16" s="121">
        <f>IF(NOT(ISNUMBER($L16)),"",mPlanoQC.PlanoQC($L16,"RUNSIZE"))</f>
        <v>1</v>
      </c>
      <c r="AA16" s="117" t="str">
        <f>IF(NOT(ISNUMBER($L16)),"",mPlanoQC.CoberturaWestgard($L16))</f>
        <v>TOTAL</v>
      </c>
      <c r="AB16" s="117" t="str">
        <f t="shared" si="5"/>
        <v>WBC|3</v>
      </c>
      <c r="AC16" s="120" t="str">
        <f>IF($A16="","",mCEQ.BiasEQ($A16,eqAnoEP,"N",IFERROR(INDEX(Analitos!$AR$4:$AR$43,MATCH($A16,Analitos!$A$4:$A$43,0)),"CAP"),eqRodada))</f>
        <v>SEM EP</v>
      </c>
      <c r="AD16" s="120" t="str">
        <f>IF($A16="","",mCEQ.BiasEQ($A16,eqAnoEP,"NRODADAS",IFERROR(INDEX(Analitos!$AR$4:$AR$43,MATCH($A16,Analitos!$A$4:$A$43,0)),"CAP"),eqRodada))</f>
        <v>SEM EP</v>
      </c>
    </row>
    <row r="17" spans="1:30" x14ac:dyDescent="0.3">
      <c r="A17" s="110" t="str">
        <f>Analitos!$A$5</f>
        <v>RBC</v>
      </c>
      <c r="B17" s="111">
        <v>1</v>
      </c>
      <c r="C17" s="112">
        <f>IF($A17="","",IF(INDEX(engEstat,ROW()-13,3)="","",INDEX(engEstat,ROW()-13,3)))</f>
        <v>25</v>
      </c>
      <c r="D17" s="113">
        <f>IF($A17="","",IF(INDEX(engEstat,ROW()-13,4)="","",INDEX(engEstat,ROW()-13,4)))</f>
        <v>2.304872</v>
      </c>
      <c r="E17" s="113">
        <f>IF($A17="","",IF(INDEX(engEstat,ROW()-13,5)="","",INDEX(engEstat,ROW()-13,5)))</f>
        <v>1.8678765126920675E-2</v>
      </c>
      <c r="F17" s="114">
        <f>IF($A17="","",IF(INDEX(engEstat,ROW()-13,6)="","",INDEX(engEstat,ROW()-13,6)))</f>
        <v>0.81040357672446339</v>
      </c>
      <c r="G17" s="114">
        <f>IF($A17="","",mCEQ.BiasEQ($A17,eqAnoEP,"ABS",eqProvedor,eqRodada))</f>
        <v>1.5336201252767589</v>
      </c>
      <c r="H17" s="114">
        <f t="shared" si="0"/>
        <v>2.8707860268721235</v>
      </c>
      <c r="I17" s="114" t="str">
        <f>IF($A17="","",IFERROR(INDEX(Analitos!$Q$4:$Q$43,MATCH($A17,Analitos!$A$4:$A$43,0)),""))</f>
        <v>CLIA</v>
      </c>
      <c r="J17" s="114">
        <f>IF($A17="","",IFERROR(IF($I17="VB",INDEX(Analitos!$T$4:$T$43,MATCH($A17,Analitos!$A$4:$A$43,0)),IF(INDEX(Analitos!$S$4:$S$43,MATCH($A17,Analitos!$A$4:$A$43,0))&lt;&gt;"",INDEX(Analitos!$S$4:$S$43,MATCH($A17,Analitos!$A$4:$A$43,0)),INDEX(Analitos!$T$4:$T$43,MATCH($A17,Analitos!$A$4:$A$43,0)))),""))</f>
        <v>1.3333333333333333</v>
      </c>
      <c r="K17" s="114">
        <f>IF($A17="","",IFERROR(INDEX(Analitos!$R$4:$R$43,MATCH($A17,Analitos!$A$4:$A$43,0)),""))</f>
        <v>4</v>
      </c>
      <c r="L17" s="114">
        <f t="shared" si="1"/>
        <v>3.0433970746920931</v>
      </c>
      <c r="M17" s="114" t="str">
        <f>IF(NOT(ISNUMBER($L17)),"",mQualidade.ClassificarSigma($L17))</f>
        <v>Marginal</v>
      </c>
      <c r="N17" s="115">
        <f t="shared" si="2"/>
        <v>1.1292139731278765</v>
      </c>
      <c r="O17" s="116">
        <f t="shared" si="3"/>
        <v>28.230349328196912</v>
      </c>
      <c r="P17" s="117" t="str">
        <f>IF(NOT(ISNUMBER($O17)),"",mQualidade.ClassificarMargem($O17))</f>
        <v>Dentro do orcamento</v>
      </c>
      <c r="Q17" s="117" t="str">
        <f t="shared" si="4"/>
        <v>OK</v>
      </c>
      <c r="R17" s="117" t="str">
        <f>IF($A17="","",mCEQ.StatusSDIeq($A17,eqAnoEP,IFERROR(INDEX(Analitos!$AR$4:$AR$43,MATCH($A17,Analitos!$A$4:$A$43,0)),"CAP"),eqRodada))</f>
        <v>SEM EP</v>
      </c>
      <c r="S17" s="117" t="str">
        <f>IF($A17="","",mCEQ.StatusLimitesEQ($A17,eqAnoEP,IFERROR(INDEX(Analitos!$AR$4:$AR$43,MATCH($A17,Analitos!$A$4:$A$43,0)),"CAP"),eqRodada))</f>
        <v>SEM EP</v>
      </c>
      <c r="T17" s="116" t="str">
        <f>IF($A17="","",mCEQ.BiasEQ($A17,eqAnoEP,"SIGNED",IFERROR(INDEX(Analitos!$AR$4:$AR$43,MATCH($A17,Analitos!$A$4:$A$43,0)),"CAP"),eqRodada))</f>
        <v>SEM EP</v>
      </c>
      <c r="U17" s="117" t="str">
        <f>IF(OR($P17="ETp excedido",$P17="Margem critica"),COUNTIF($P$14:$P17,"ETp excedido")+COUNTIF($P$14:$P17,"Margem critica"),"")</f>
        <v/>
      </c>
      <c r="V17" s="118">
        <f>IF(NOT(ISNUMBER($L17)),"",mPlanoQC.DPMdoSigma($L17))</f>
        <v>61367.231512688079</v>
      </c>
      <c r="W17" s="119">
        <f>IF(NOT(ISNUMBER($L17)),"",mPlanoQC.RendimentoDoSigma($L17))</f>
        <v>93.863276848731189</v>
      </c>
      <c r="X17" s="117" t="str">
        <f>IF(NOT(ISNUMBER($L17)),"",mPlanoQC.PlanoQC($L17,"REGRAS"))</f>
        <v>1_3s / 2of3_2s / R_4s / 3_1s / 6x</v>
      </c>
      <c r="Y17" s="120">
        <f>IF(NOT(ISNUMBER($L17)),"",mPlanoQC.PlanoQC($L17,"N"))</f>
        <v>6</v>
      </c>
      <c r="Z17" s="121">
        <f>IF(NOT(ISNUMBER($L17)),"",mPlanoQC.PlanoQC($L17,"RUNSIZE"))</f>
        <v>1</v>
      </c>
      <c r="AA17" s="117" t="str">
        <f>IF(NOT(ISNUMBER($L17)),"",mPlanoQC.CoberturaWestgard($L17))</f>
        <v>TOTAL</v>
      </c>
      <c r="AB17" s="117" t="str">
        <f t="shared" si="5"/>
        <v>RBC|1</v>
      </c>
      <c r="AC17" s="120" t="str">
        <f>IF($A17="","",mCEQ.BiasEQ($A17,eqAnoEP,"N",IFERROR(INDEX(Analitos!$AR$4:$AR$43,MATCH($A17,Analitos!$A$4:$A$43,0)),"CAP"),eqRodada))</f>
        <v>SEM EP</v>
      </c>
      <c r="AD17" s="120" t="str">
        <f>IF($A17="","",mCEQ.BiasEQ($A17,eqAnoEP,"NRODADAS",IFERROR(INDEX(Analitos!$AR$4:$AR$43,MATCH($A17,Analitos!$A$4:$A$43,0)),"CAP"),eqRodada))</f>
        <v>SEM EP</v>
      </c>
    </row>
    <row r="18" spans="1:30" x14ac:dyDescent="0.3">
      <c r="A18" s="110" t="str">
        <f>Analitos!$A$5</f>
        <v>RBC</v>
      </c>
      <c r="B18" s="111">
        <v>2</v>
      </c>
      <c r="C18" s="112">
        <f>IF($A18="","",IF(INDEX(engEstat,ROW()-13,3)="","",INDEX(engEstat,ROW()-13,3)))</f>
        <v>25</v>
      </c>
      <c r="D18" s="113">
        <f>IF($A18="","",IF(INDEX(engEstat,ROW()-13,4)="","",INDEX(engEstat,ROW()-13,4)))</f>
        <v>4.371264</v>
      </c>
      <c r="E18" s="113">
        <f>IF($A18="","",IF(INDEX(engEstat,ROW()-13,5)="","",INDEX(engEstat,ROW()-13,5)))</f>
        <v>2.954837671796318E-2</v>
      </c>
      <c r="F18" s="114">
        <f>IF($A18="","",IF(INDEX(engEstat,ROW()-13,6)="","",INDEX(engEstat,ROW()-13,6)))</f>
        <v>0.67596870648771568</v>
      </c>
      <c r="G18" s="114">
        <f>IF($A18="","",mCEQ.BiasEQ($A18,eqAnoEP,"ABS",eqProvedor,eqRodada))</f>
        <v>1.5336201252767589</v>
      </c>
      <c r="H18" s="114">
        <f t="shared" si="0"/>
        <v>2.6489684909814897</v>
      </c>
      <c r="I18" s="114" t="str">
        <f>IF($A18="","",IFERROR(INDEX(Analitos!$Q$4:$Q$43,MATCH($A18,Analitos!$A$4:$A$43,0)),""))</f>
        <v>CLIA</v>
      </c>
      <c r="J18" s="114">
        <f>IF($A18="","",IFERROR(IF($I18="VB",INDEX(Analitos!$T$4:$T$43,MATCH($A18,Analitos!$A$4:$A$43,0)),IF(INDEX(Analitos!$S$4:$S$43,MATCH($A18,Analitos!$A$4:$A$43,0))&lt;&gt;"",INDEX(Analitos!$S$4:$S$43,MATCH($A18,Analitos!$A$4:$A$43,0)),INDEX(Analitos!$T$4:$T$43,MATCH($A18,Analitos!$A$4:$A$43,0)))),""))</f>
        <v>1.3333333333333333</v>
      </c>
      <c r="K18" s="114">
        <f>IF($A18="","",IFERROR(INDEX(Analitos!$R$4:$R$43,MATCH($A18,Analitos!$A$4:$A$43,0)),""))</f>
        <v>4</v>
      </c>
      <c r="L18" s="114">
        <f t="shared" si="1"/>
        <v>3.6486598433504001</v>
      </c>
      <c r="M18" s="114" t="str">
        <f>IF(NOT(ISNUMBER($L18)),"",mQualidade.ClassificarSigma($L18))</f>
        <v>Marginal</v>
      </c>
      <c r="N18" s="115">
        <f t="shared" si="2"/>
        <v>1.3510315090185103</v>
      </c>
      <c r="O18" s="116">
        <f t="shared" si="3"/>
        <v>33.775787725462756</v>
      </c>
      <c r="P18" s="117" t="str">
        <f>IF(NOT(ISNUMBER($O18)),"",mQualidade.ClassificarMargem($O18))</f>
        <v>Dentro do orcamento</v>
      </c>
      <c r="Q18" s="117" t="str">
        <f t="shared" si="4"/>
        <v>OK</v>
      </c>
      <c r="R18" s="117" t="str">
        <f>IF($A18="","",mCEQ.StatusSDIeq($A18,eqAnoEP,IFERROR(INDEX(Analitos!$AR$4:$AR$43,MATCH($A18,Analitos!$A$4:$A$43,0)),"CAP"),eqRodada))</f>
        <v>SEM EP</v>
      </c>
      <c r="S18" s="117" t="str">
        <f>IF($A18="","",mCEQ.StatusLimitesEQ($A18,eqAnoEP,IFERROR(INDEX(Analitos!$AR$4:$AR$43,MATCH($A18,Analitos!$A$4:$A$43,0)),"CAP"),eqRodada))</f>
        <v>SEM EP</v>
      </c>
      <c r="T18" s="116" t="str">
        <f>IF($A18="","",mCEQ.BiasEQ($A18,eqAnoEP,"SIGNED",IFERROR(INDEX(Analitos!$AR$4:$AR$43,MATCH($A18,Analitos!$A$4:$A$43,0)),"CAP"),eqRodada))</f>
        <v>SEM EP</v>
      </c>
      <c r="U18" s="117" t="str">
        <f>IF(OR($P18="ETp excedido",$P18="Margem critica"),COUNTIF($P$14:$P18,"ETp excedido")+COUNTIF($P$14:$P18,"Margem critica"),"")</f>
        <v/>
      </c>
      <c r="V18" s="118">
        <f>IF(NOT(ISNUMBER($L18)),"",mPlanoQC.DPMdoSigma($L18))</f>
        <v>15830.687059919968</v>
      </c>
      <c r="W18" s="119">
        <f>IF(NOT(ISNUMBER($L18)),"",mPlanoQC.RendimentoDoSigma($L18))</f>
        <v>98.416931294008009</v>
      </c>
      <c r="X18" s="117" t="str">
        <f>IF(NOT(ISNUMBER($L18)),"",mPlanoQC.PlanoQC($L18,"REGRAS"))</f>
        <v>1_3s / 2of3_2s / R_4s / 3_1s / 6x</v>
      </c>
      <c r="Y18" s="120">
        <f>IF(NOT(ISNUMBER($L18)),"",mPlanoQC.PlanoQC($L18,"N"))</f>
        <v>6</v>
      </c>
      <c r="Z18" s="121">
        <f>IF(NOT(ISNUMBER($L18)),"",mPlanoQC.PlanoQC($L18,"RUNSIZE"))</f>
        <v>1</v>
      </c>
      <c r="AA18" s="117" t="str">
        <f>IF(NOT(ISNUMBER($L18)),"",mPlanoQC.CoberturaWestgard($L18))</f>
        <v>TOTAL</v>
      </c>
      <c r="AB18" s="117" t="str">
        <f t="shared" si="5"/>
        <v>RBC|2</v>
      </c>
      <c r="AC18" s="120" t="str">
        <f>IF($A18="","",mCEQ.BiasEQ($A18,eqAnoEP,"N",IFERROR(INDEX(Analitos!$AR$4:$AR$43,MATCH($A18,Analitos!$A$4:$A$43,0)),"CAP"),eqRodada))</f>
        <v>SEM EP</v>
      </c>
      <c r="AD18" s="120" t="str">
        <f>IF($A18="","",mCEQ.BiasEQ($A18,eqAnoEP,"NRODADAS",IFERROR(INDEX(Analitos!$AR$4:$AR$43,MATCH($A18,Analitos!$A$4:$A$43,0)),"CAP"),eqRodada))</f>
        <v>SEM EP</v>
      </c>
    </row>
    <row r="19" spans="1:30" x14ac:dyDescent="0.3">
      <c r="A19" s="110" t="str">
        <f>Analitos!$A$5</f>
        <v>RBC</v>
      </c>
      <c r="B19" s="111">
        <v>3</v>
      </c>
      <c r="C19" s="112">
        <f>IF($A19="","",IF(INDEX(engEstat,ROW()-13,3)="","",INDEX(engEstat,ROW()-13,3)))</f>
        <v>25</v>
      </c>
      <c r="D19" s="113">
        <f>IF($A19="","",IF(INDEX(engEstat,ROW()-13,4)="","",INDEX(engEstat,ROW()-13,4)))</f>
        <v>5.1196200000000003</v>
      </c>
      <c r="E19" s="113">
        <f>IF($A19="","",IF(INDEX(engEstat,ROW()-13,5)="","",INDEX(engEstat,ROW()-13,5)))</f>
        <v>3.4443298816073623E-2</v>
      </c>
      <c r="F19" s="114">
        <f>IF($A19="","",IF(INDEX(engEstat,ROW()-13,6)="","",INDEX(engEstat,ROW()-13,6)))</f>
        <v>0.67277061219531176</v>
      </c>
      <c r="G19" s="114">
        <f>IF($A19="","",mCEQ.BiasEQ($A19,eqAnoEP,"ABS",eqProvedor,eqRodada))</f>
        <v>1.5336201252767589</v>
      </c>
      <c r="H19" s="114">
        <f t="shared" si="0"/>
        <v>2.6436916353990232</v>
      </c>
      <c r="I19" s="114" t="str">
        <f>IF($A19="","",IFERROR(INDEX(Analitos!$Q$4:$Q$43,MATCH($A19,Analitos!$A$4:$A$43,0)),""))</f>
        <v>CLIA</v>
      </c>
      <c r="J19" s="114">
        <f>IF($A19="","",IFERROR(IF($I19="VB",INDEX(Analitos!$T$4:$T$43,MATCH($A19,Analitos!$A$4:$A$43,0)),IF(INDEX(Analitos!$S$4:$S$43,MATCH($A19,Analitos!$A$4:$A$43,0))&lt;&gt;"",INDEX(Analitos!$S$4:$S$43,MATCH($A19,Analitos!$A$4:$A$43,0)),INDEX(Analitos!$T$4:$T$43,MATCH($A19,Analitos!$A$4:$A$43,0)))),""))</f>
        <v>1.3333333333333333</v>
      </c>
      <c r="K19" s="114">
        <f>IF($A19="","",IFERROR(INDEX(Analitos!$R$4:$R$43,MATCH($A19,Analitos!$A$4:$A$43,0)),""))</f>
        <v>4</v>
      </c>
      <c r="L19" s="114">
        <f t="shared" si="1"/>
        <v>3.6660041773751373</v>
      </c>
      <c r="M19" s="114" t="str">
        <f>IF(NOT(ISNUMBER($L19)),"",mQualidade.ClassificarSigma($L19))</f>
        <v>Marginal</v>
      </c>
      <c r="N19" s="115">
        <f t="shared" si="2"/>
        <v>1.3563083646009768</v>
      </c>
      <c r="O19" s="116">
        <f t="shared" si="3"/>
        <v>33.907709115024417</v>
      </c>
      <c r="P19" s="117" t="str">
        <f>IF(NOT(ISNUMBER($O19)),"",mQualidade.ClassificarMargem($O19))</f>
        <v>Dentro do orcamento</v>
      </c>
      <c r="Q19" s="117" t="str">
        <f t="shared" si="4"/>
        <v>OK</v>
      </c>
      <c r="R19" s="117" t="str">
        <f>IF($A19="","",mCEQ.StatusSDIeq($A19,eqAnoEP,IFERROR(INDEX(Analitos!$AR$4:$AR$43,MATCH($A19,Analitos!$A$4:$A$43,0)),"CAP"),eqRodada))</f>
        <v>SEM EP</v>
      </c>
      <c r="S19" s="117" t="str">
        <f>IF($A19="","",mCEQ.StatusLimitesEQ($A19,eqAnoEP,IFERROR(INDEX(Analitos!$AR$4:$AR$43,MATCH($A19,Analitos!$A$4:$A$43,0)),"CAP"),eqRodada))</f>
        <v>SEM EP</v>
      </c>
      <c r="T19" s="116" t="str">
        <f>IF($A19="","",mCEQ.BiasEQ($A19,eqAnoEP,"SIGNED",IFERROR(INDEX(Analitos!$AR$4:$AR$43,MATCH($A19,Analitos!$A$4:$A$43,0)),"CAP"),eqRodada))</f>
        <v>SEM EP</v>
      </c>
      <c r="U19" s="117" t="str">
        <f>IF(OR($P19="ETp excedido",$P19="Margem critica"),COUNTIF($P$14:$P19,"ETp excedido")+COUNTIF($P$14:$P19,"Margem critica"),"")</f>
        <v/>
      </c>
      <c r="V19" s="118">
        <f>IF(NOT(ISNUMBER($L19)),"",mPlanoQC.DPMdoSigma($L19))</f>
        <v>15155.43386187479</v>
      </c>
      <c r="W19" s="119">
        <f>IF(NOT(ISNUMBER($L19)),"",mPlanoQC.RendimentoDoSigma($L19))</f>
        <v>98.484456613812526</v>
      </c>
      <c r="X19" s="117" t="str">
        <f>IF(NOT(ISNUMBER($L19)),"",mPlanoQC.PlanoQC($L19,"REGRAS"))</f>
        <v>1_3s / 2of3_2s / R_4s / 3_1s / 6x</v>
      </c>
      <c r="Y19" s="120">
        <f>IF(NOT(ISNUMBER($L19)),"",mPlanoQC.PlanoQC($L19,"N"))</f>
        <v>6</v>
      </c>
      <c r="Z19" s="121">
        <f>IF(NOT(ISNUMBER($L19)),"",mPlanoQC.PlanoQC($L19,"RUNSIZE"))</f>
        <v>1</v>
      </c>
      <c r="AA19" s="117" t="str">
        <f>IF(NOT(ISNUMBER($L19)),"",mPlanoQC.CoberturaWestgard($L19))</f>
        <v>TOTAL</v>
      </c>
      <c r="AB19" s="117" t="str">
        <f t="shared" si="5"/>
        <v>RBC|3</v>
      </c>
      <c r="AC19" s="120" t="str">
        <f>IF($A19="","",mCEQ.BiasEQ($A19,eqAnoEP,"N",IFERROR(INDEX(Analitos!$AR$4:$AR$43,MATCH($A19,Analitos!$A$4:$A$43,0)),"CAP"),eqRodada))</f>
        <v>SEM EP</v>
      </c>
      <c r="AD19" s="120" t="str">
        <f>IF($A19="","",mCEQ.BiasEQ($A19,eqAnoEP,"NRODADAS",IFERROR(INDEX(Analitos!$AR$4:$AR$43,MATCH($A19,Analitos!$A$4:$A$43,0)),"CAP"),eqRodada))</f>
        <v>SEM EP</v>
      </c>
    </row>
    <row r="20" spans="1:30" x14ac:dyDescent="0.3">
      <c r="A20" s="110" t="str">
        <f>Analitos!$A$6</f>
        <v>HGB</v>
      </c>
      <c r="B20" s="111">
        <v>1</v>
      </c>
      <c r="C20" s="112">
        <f>IF($A20="","",IF(INDEX(engEstat,ROW()-13,3)="","",INDEX(engEstat,ROW()-13,3)))</f>
        <v>25</v>
      </c>
      <c r="D20" s="113">
        <f>IF($A20="","",IF(INDEX(engEstat,ROW()-13,4)="","",INDEX(engEstat,ROW()-13,4)))</f>
        <v>5.4805919999999979</v>
      </c>
      <c r="E20" s="113">
        <f>IF($A20="","",IF(INDEX(engEstat,ROW()-13,5)="","",INDEX(engEstat,ROW()-13,5)))</f>
        <v>4.8721349871830584E-2</v>
      </c>
      <c r="F20" s="114">
        <f>IF($A20="","",IF(INDEX(engEstat,ROW()-13,6)="","",INDEX(engEstat,ROW()-13,6)))</f>
        <v>0.88897969182582104</v>
      </c>
      <c r="G20" s="114">
        <f>IF($A20="","",mCEQ.BiasEQ($A20,eqAnoEP,"ABS",eqProvedor,eqRodada))</f>
        <v>1.4431129709513304</v>
      </c>
      <c r="H20" s="114">
        <f t="shared" si="0"/>
        <v>2.9099294624639351</v>
      </c>
      <c r="I20" s="114" t="str">
        <f>IF($A20="","",IFERROR(INDEX(Analitos!$Q$4:$Q$43,MATCH($A20,Analitos!$A$4:$A$43,0)),""))</f>
        <v>CLIA</v>
      </c>
      <c r="J20" s="114">
        <f>IF($A20="","",IFERROR(IF($I20="VB",INDEX(Analitos!$T$4:$T$43,MATCH($A20,Analitos!$A$4:$A$43,0)),IF(INDEX(Analitos!$S$4:$S$43,MATCH($A20,Analitos!$A$4:$A$43,0))&lt;&gt;"",INDEX(Analitos!$S$4:$S$43,MATCH($A20,Analitos!$A$4:$A$43,0)),INDEX(Analitos!$T$4:$T$43,MATCH($A20,Analitos!$A$4:$A$43,0)))),""))</f>
        <v>1.3333333333333333</v>
      </c>
      <c r="K20" s="114">
        <f>IF($A20="","",IFERROR(INDEX(Analitos!$R$4:$R$43,MATCH($A20,Analitos!$A$4:$A$43,0)),""))</f>
        <v>4</v>
      </c>
      <c r="L20" s="114">
        <f t="shared" si="1"/>
        <v>2.8762040939284406</v>
      </c>
      <c r="M20" s="114" t="str">
        <f>IF(NOT(ISNUMBER($L20)),"",mQualidade.ClassificarSigma($L20))</f>
        <v>Desempenho inadequado</v>
      </c>
      <c r="N20" s="115">
        <f t="shared" si="2"/>
        <v>1.0900705375360649</v>
      </c>
      <c r="O20" s="116">
        <f t="shared" si="3"/>
        <v>27.251763438401621</v>
      </c>
      <c r="P20" s="117" t="str">
        <f>IF(NOT(ISNUMBER($O20)),"",mQualidade.ClassificarMargem($O20))</f>
        <v>Dentro do orcamento</v>
      </c>
      <c r="Q20" s="117" t="str">
        <f t="shared" si="4"/>
        <v>OK</v>
      </c>
      <c r="R20" s="117" t="str">
        <f>IF($A20="","",mCEQ.StatusSDIeq($A20,eqAnoEP,IFERROR(INDEX(Analitos!$AR$4:$AR$43,MATCH($A20,Analitos!$A$4:$A$43,0)),"CAP"),eqRodada))</f>
        <v>SEM EP</v>
      </c>
      <c r="S20" s="117" t="str">
        <f>IF($A20="","",mCEQ.StatusLimitesEQ($A20,eqAnoEP,IFERROR(INDEX(Analitos!$AR$4:$AR$43,MATCH($A20,Analitos!$A$4:$A$43,0)),"CAP"),eqRodada))</f>
        <v>SEM EP</v>
      </c>
      <c r="T20" s="116" t="str">
        <f>IF($A20="","",mCEQ.BiasEQ($A20,eqAnoEP,"SIGNED",IFERROR(INDEX(Analitos!$AR$4:$AR$43,MATCH($A20,Analitos!$A$4:$A$43,0)),"CAP"),eqRodada))</f>
        <v>SEM EP</v>
      </c>
      <c r="U20" s="117" t="str">
        <f>IF(OR($P20="ETp excedido",$P20="Margem critica"),COUNTIF($P$14:$P20,"ETp excedido")+COUNTIF($P$14:$P20,"Margem critica"),"")</f>
        <v/>
      </c>
      <c r="V20" s="118">
        <f>IF(NOT(ISNUMBER($L20)),"",mPlanoQC.DPMdoSigma($L20))</f>
        <v>84379.227494507883</v>
      </c>
      <c r="W20" s="119">
        <f>IF(NOT(ISNUMBER($L20)),"",mPlanoQC.RendimentoDoSigma($L20))</f>
        <v>91.562077250549208</v>
      </c>
      <c r="X20" s="117" t="str">
        <f>IF(NOT(ISNUMBER($L20)),"",mPlanoQC.PlanoQC($L20,"REGRAS"))</f>
        <v>1_3s / 2of3_2s / R_4s / 3_1s / 6x</v>
      </c>
      <c r="Y20" s="120" t="str">
        <f>IF(NOT(ISNUMBER($L20)),"",mPlanoQC.PlanoQC($L20,"N"))</f>
        <v/>
      </c>
      <c r="Z20" s="121" t="str">
        <f>IF(NOT(ISNUMBER($L20)),"",mPlanoQC.PlanoQC($L20,"RUNSIZE"))</f>
        <v/>
      </c>
      <c r="AA20" s="117" t="str">
        <f>IF(NOT(ISNUMBER($L20)),"",mPlanoQC.CoberturaWestgard($L20))</f>
        <v>TOTAL</v>
      </c>
      <c r="AB20" s="117" t="str">
        <f t="shared" si="5"/>
        <v>HGB|1</v>
      </c>
      <c r="AC20" s="120" t="str">
        <f>IF($A20="","",mCEQ.BiasEQ($A20,eqAnoEP,"N",IFERROR(INDEX(Analitos!$AR$4:$AR$43,MATCH($A20,Analitos!$A$4:$A$43,0)),"CAP"),eqRodada))</f>
        <v>SEM EP</v>
      </c>
      <c r="AD20" s="120" t="str">
        <f>IF($A20="","",mCEQ.BiasEQ($A20,eqAnoEP,"NRODADAS",IFERROR(INDEX(Analitos!$AR$4:$AR$43,MATCH($A20,Analitos!$A$4:$A$43,0)),"CAP"),eqRodada))</f>
        <v>SEM EP</v>
      </c>
    </row>
    <row r="21" spans="1:30" x14ac:dyDescent="0.3">
      <c r="A21" s="110" t="str">
        <f>Analitos!$A$6</f>
        <v>HGB</v>
      </c>
      <c r="B21" s="111">
        <v>2</v>
      </c>
      <c r="C21" s="112">
        <f>IF($A21="","",IF(INDEX(engEstat,ROW()-13,3)="","",INDEX(engEstat,ROW()-13,3)))</f>
        <v>25</v>
      </c>
      <c r="D21" s="113">
        <f>IF($A21="","",IF(INDEX(engEstat,ROW()-13,4)="","",INDEX(engEstat,ROW()-13,4)))</f>
        <v>12.293559999999999</v>
      </c>
      <c r="E21" s="113">
        <f>IF($A21="","",IF(INDEX(engEstat,ROW()-13,5)="","",INDEX(engEstat,ROW()-13,5)))</f>
        <v>6.4464027436496152E-2</v>
      </c>
      <c r="F21" s="114">
        <f>IF($A21="","",IF(INDEX(engEstat,ROW()-13,6)="","",INDEX(engEstat,ROW()-13,6)))</f>
        <v>0.52437233345341916</v>
      </c>
      <c r="G21" s="114">
        <f>IF($A21="","",mCEQ.BiasEQ($A21,eqAnoEP,"ABS",eqProvedor,eqRodada))</f>
        <v>1.4431129709513304</v>
      </c>
      <c r="H21" s="114">
        <f t="shared" si="0"/>
        <v>2.3083273211494717</v>
      </c>
      <c r="I21" s="114" t="str">
        <f>IF($A21="","",IFERROR(INDEX(Analitos!$Q$4:$Q$43,MATCH($A21,Analitos!$A$4:$A$43,0)),""))</f>
        <v>CLIA</v>
      </c>
      <c r="J21" s="114">
        <f>IF($A21="","",IFERROR(IF($I21="VB",INDEX(Analitos!$T$4:$T$43,MATCH($A21,Analitos!$A$4:$A$43,0)),IF(INDEX(Analitos!$S$4:$S$43,MATCH($A21,Analitos!$A$4:$A$43,0))&lt;&gt;"",INDEX(Analitos!$S$4:$S$43,MATCH($A21,Analitos!$A$4:$A$43,0)),INDEX(Analitos!$T$4:$T$43,MATCH($A21,Analitos!$A$4:$A$43,0)))),""))</f>
        <v>1.3333333333333333</v>
      </c>
      <c r="K21" s="114">
        <f>IF($A21="","",IFERROR(INDEX(Analitos!$R$4:$R$43,MATCH($A21,Analitos!$A$4:$A$43,0)),""))</f>
        <v>4</v>
      </c>
      <c r="L21" s="114">
        <f t="shared" si="1"/>
        <v>4.8760906438550737</v>
      </c>
      <c r="M21" s="114" t="str">
        <f>IF(NOT(ISNUMBER($L21)),"",mQualidade.ClassificarSigma($L21))</f>
        <v>Bom</v>
      </c>
      <c r="N21" s="115">
        <f t="shared" si="2"/>
        <v>1.6916726788505283</v>
      </c>
      <c r="O21" s="116">
        <f t="shared" si="3"/>
        <v>42.291816971263209</v>
      </c>
      <c r="P21" s="117" t="str">
        <f>IF(NOT(ISNUMBER($O21)),"",mQualidade.ClassificarMargem($O21))</f>
        <v>Dentro do orcamento</v>
      </c>
      <c r="Q21" s="117" t="str">
        <f t="shared" si="4"/>
        <v>OK</v>
      </c>
      <c r="R21" s="117" t="str">
        <f>IF($A21="","",mCEQ.StatusSDIeq($A21,eqAnoEP,IFERROR(INDEX(Analitos!$AR$4:$AR$43,MATCH($A21,Analitos!$A$4:$A$43,0)),"CAP"),eqRodada))</f>
        <v>SEM EP</v>
      </c>
      <c r="S21" s="117" t="str">
        <f>IF($A21="","",mCEQ.StatusLimitesEQ($A21,eqAnoEP,IFERROR(INDEX(Analitos!$AR$4:$AR$43,MATCH($A21,Analitos!$A$4:$A$43,0)),"CAP"),eqRodada))</f>
        <v>SEM EP</v>
      </c>
      <c r="T21" s="116" t="str">
        <f>IF($A21="","",mCEQ.BiasEQ($A21,eqAnoEP,"SIGNED",IFERROR(INDEX(Analitos!$AR$4:$AR$43,MATCH($A21,Analitos!$A$4:$A$43,0)),"CAP"),eqRodada))</f>
        <v>SEM EP</v>
      </c>
      <c r="U21" s="117" t="str">
        <f>IF(OR($P21="ETp excedido",$P21="Margem critica"),COUNTIF($P$14:$P21,"ETp excedido")+COUNTIF($P$14:$P21,"Margem critica"),"")</f>
        <v/>
      </c>
      <c r="V21" s="118">
        <f>IF(NOT(ISNUMBER($L21)),"",mPlanoQC.DPMdoSigma($L21))</f>
        <v>367.6184602178223</v>
      </c>
      <c r="W21" s="119">
        <f>IF(NOT(ISNUMBER($L21)),"",mPlanoQC.RendimentoDoSigma($L21))</f>
        <v>99.963238153978224</v>
      </c>
      <c r="X21" s="117" t="str">
        <f>IF(NOT(ISNUMBER($L21)),"",mPlanoQC.PlanoQC($L21,"REGRAS"))</f>
        <v>1_3s / 2of3_2s / R_4s / 3_1s</v>
      </c>
      <c r="Y21" s="120">
        <f>IF(NOT(ISNUMBER($L21)),"",mPlanoQC.PlanoQC($L21,"N"))</f>
        <v>3</v>
      </c>
      <c r="Z21" s="121">
        <f>IF(NOT(ISNUMBER($L21)),"",mPlanoQC.PlanoQC($L21,"RUNSIZE"))</f>
        <v>1</v>
      </c>
      <c r="AA21" s="117" t="str">
        <f>IF(NOT(ISNUMBER($L21)),"",mPlanoQC.CoberturaWestgard($L21))</f>
        <v>TOTAL</v>
      </c>
      <c r="AB21" s="117" t="str">
        <f t="shared" si="5"/>
        <v>HGB|2</v>
      </c>
      <c r="AC21" s="120" t="str">
        <f>IF($A21="","",mCEQ.BiasEQ($A21,eqAnoEP,"N",IFERROR(INDEX(Analitos!$AR$4:$AR$43,MATCH($A21,Analitos!$A$4:$A$43,0)),"CAP"),eqRodada))</f>
        <v>SEM EP</v>
      </c>
      <c r="AD21" s="120" t="str">
        <f>IF($A21="","",mCEQ.BiasEQ($A21,eqAnoEP,"NRODADAS",IFERROR(INDEX(Analitos!$AR$4:$AR$43,MATCH($A21,Analitos!$A$4:$A$43,0)),"CAP"),eqRodada))</f>
        <v>SEM EP</v>
      </c>
    </row>
    <row r="22" spans="1:30" x14ac:dyDescent="0.3">
      <c r="A22" s="110" t="str">
        <f>Analitos!$A$6</f>
        <v>HGB</v>
      </c>
      <c r="B22" s="111">
        <v>3</v>
      </c>
      <c r="C22" s="112">
        <f>IF($A22="","",IF(INDEX(engEstat,ROW()-13,3)="","",INDEX(engEstat,ROW()-13,3)))</f>
        <v>25</v>
      </c>
      <c r="D22" s="113">
        <f>IF($A22="","",IF(INDEX(engEstat,ROW()-13,4)="","",INDEX(engEstat,ROW()-13,4)))</f>
        <v>15.54524</v>
      </c>
      <c r="E22" s="113">
        <f>IF($A22="","",IF(INDEX(engEstat,ROW()-13,5)="","",INDEX(engEstat,ROW()-13,5)))</f>
        <v>8.8394235294691773E-2</v>
      </c>
      <c r="F22" s="114">
        <f>IF($A22="","",IF(INDEX(engEstat,ROW()-13,6)="","",INDEX(engEstat,ROW()-13,6)))</f>
        <v>0.56862573556080043</v>
      </c>
      <c r="G22" s="114">
        <f>IF($A22="","",mCEQ.BiasEQ($A22,eqAnoEP,"ABS",eqProvedor,eqRodada))</f>
        <v>1.4431129709513304</v>
      </c>
      <c r="H22" s="114">
        <f t="shared" si="0"/>
        <v>2.3813454346266512</v>
      </c>
      <c r="I22" s="114" t="str">
        <f>IF($A22="","",IFERROR(INDEX(Analitos!$Q$4:$Q$43,MATCH($A22,Analitos!$A$4:$A$43,0)),""))</f>
        <v>CLIA</v>
      </c>
      <c r="J22" s="114">
        <f>IF($A22="","",IFERROR(IF($I22="VB",INDEX(Analitos!$T$4:$T$43,MATCH($A22,Analitos!$A$4:$A$43,0)),IF(INDEX(Analitos!$S$4:$S$43,MATCH($A22,Analitos!$A$4:$A$43,0))&lt;&gt;"",INDEX(Analitos!$S$4:$S$43,MATCH($A22,Analitos!$A$4:$A$43,0)),INDEX(Analitos!$T$4:$T$43,MATCH($A22,Analitos!$A$4:$A$43,0)))),""))</f>
        <v>1.3333333333333333</v>
      </c>
      <c r="K22" s="114">
        <f>IF($A22="","",IFERROR(INDEX(Analitos!$R$4:$R$43,MATCH($A22,Analitos!$A$4:$A$43,0)),""))</f>
        <v>4</v>
      </c>
      <c r="L22" s="114">
        <f t="shared" si="1"/>
        <v>4.4966079956387661</v>
      </c>
      <c r="M22" s="114" t="str">
        <f>IF(NOT(ISNUMBER($L22)),"",mQualidade.ClassificarSigma($L22))</f>
        <v>Bom</v>
      </c>
      <c r="N22" s="115">
        <f t="shared" si="2"/>
        <v>1.6186545653733488</v>
      </c>
      <c r="O22" s="116">
        <f t="shared" si="3"/>
        <v>40.466364134333723</v>
      </c>
      <c r="P22" s="117" t="str">
        <f>IF(NOT(ISNUMBER($O22)),"",mQualidade.ClassificarMargem($O22))</f>
        <v>Dentro do orcamento</v>
      </c>
      <c r="Q22" s="117" t="str">
        <f t="shared" si="4"/>
        <v>OK</v>
      </c>
      <c r="R22" s="117" t="str">
        <f>IF($A22="","",mCEQ.StatusSDIeq($A22,eqAnoEP,IFERROR(INDEX(Analitos!$AR$4:$AR$43,MATCH($A22,Analitos!$A$4:$A$43,0)),"CAP"),eqRodada))</f>
        <v>SEM EP</v>
      </c>
      <c r="S22" s="117" t="str">
        <f>IF($A22="","",mCEQ.StatusLimitesEQ($A22,eqAnoEP,IFERROR(INDEX(Analitos!$AR$4:$AR$43,MATCH($A22,Analitos!$A$4:$A$43,0)),"CAP"),eqRodada))</f>
        <v>SEM EP</v>
      </c>
      <c r="T22" s="116" t="str">
        <f>IF($A22="","",mCEQ.BiasEQ($A22,eqAnoEP,"SIGNED",IFERROR(INDEX(Analitos!$AR$4:$AR$43,MATCH($A22,Analitos!$A$4:$A$43,0)),"CAP"),eqRodada))</f>
        <v>SEM EP</v>
      </c>
      <c r="U22" s="117" t="str">
        <f>IF(OR($P22="ETp excedido",$P22="Margem critica"),COUNTIF($P$14:$P22,"ETp excedido")+COUNTIF($P$14:$P22,"Margem critica"),"")</f>
        <v/>
      </c>
      <c r="V22" s="118">
        <f>IF(NOT(ISNUMBER($L22)),"",mPlanoQC.DPMdoSigma($L22))</f>
        <v>1365.0075990647715</v>
      </c>
      <c r="W22" s="119">
        <f>IF(NOT(ISNUMBER($L22)),"",mPlanoQC.RendimentoDoSigma($L22))</f>
        <v>99.863499240093518</v>
      </c>
      <c r="X22" s="117" t="str">
        <f>IF(NOT(ISNUMBER($L22)),"",mPlanoQC.PlanoQC($L22,"REGRAS"))</f>
        <v>1_3s / 2of3_2s / R_4s / 3_1s</v>
      </c>
      <c r="Y22" s="120">
        <f>IF(NOT(ISNUMBER($L22)),"",mPlanoQC.PlanoQC($L22,"N"))</f>
        <v>3</v>
      </c>
      <c r="Z22" s="121">
        <f>IF(NOT(ISNUMBER($L22)),"",mPlanoQC.PlanoQC($L22,"RUNSIZE"))</f>
        <v>1</v>
      </c>
      <c r="AA22" s="117" t="str">
        <f>IF(NOT(ISNUMBER($L22)),"",mPlanoQC.CoberturaWestgard($L22))</f>
        <v>TOTAL</v>
      </c>
      <c r="AB22" s="117" t="str">
        <f t="shared" si="5"/>
        <v>HGB|3</v>
      </c>
      <c r="AC22" s="120" t="str">
        <f>IF($A22="","",mCEQ.BiasEQ($A22,eqAnoEP,"N",IFERROR(INDEX(Analitos!$AR$4:$AR$43,MATCH($A22,Analitos!$A$4:$A$43,0)),"CAP"),eqRodada))</f>
        <v>SEM EP</v>
      </c>
      <c r="AD22" s="120" t="str">
        <f>IF($A22="","",mCEQ.BiasEQ($A22,eqAnoEP,"NRODADAS",IFERROR(INDEX(Analitos!$AR$4:$AR$43,MATCH($A22,Analitos!$A$4:$A$43,0)),"CAP"),eqRodada))</f>
        <v>SEM EP</v>
      </c>
    </row>
    <row r="23" spans="1:30" x14ac:dyDescent="0.3">
      <c r="A23" s="110" t="str">
        <f>Analitos!$A$7</f>
        <v>HCT</v>
      </c>
      <c r="B23" s="111">
        <v>1</v>
      </c>
      <c r="C23" s="112">
        <f>IF($A23="","",IF(INDEX(engEstat,ROW()-13,3)="","",INDEX(engEstat,ROW()-13,3)))</f>
        <v>25</v>
      </c>
      <c r="D23" s="113">
        <f>IF($A23="","",IF(INDEX(engEstat,ROW()-13,4)="","",INDEX(engEstat,ROW()-13,4)))</f>
        <v>16.550387999999998</v>
      </c>
      <c r="E23" s="113">
        <f>IF($A23="","",IF(INDEX(engEstat,ROW()-13,5)="","",INDEX(engEstat,ROW()-13,5)))</f>
        <v>0.30147793634029046</v>
      </c>
      <c r="F23" s="114">
        <f>IF($A23="","",IF(INDEX(engEstat,ROW()-13,6)="","",INDEX(engEstat,ROW()-13,6)))</f>
        <v>1.8215762454650035</v>
      </c>
      <c r="G23" s="114">
        <f>IF($A23="","",mCEQ.BiasEQ($A23,eqAnoEP,"ABS",eqProvedor,eqRodada))</f>
        <v>1.1383596179279447</v>
      </c>
      <c r="H23" s="114">
        <f t="shared" si="0"/>
        <v>4.1439604229452005</v>
      </c>
      <c r="I23" s="114" t="str">
        <f>IF($A23="","",IFERROR(INDEX(Analitos!$Q$4:$Q$43,MATCH($A23,Analitos!$A$4:$A$43,0)),""))</f>
        <v>CLIA</v>
      </c>
      <c r="J23" s="114">
        <f>IF($A23="","",IFERROR(IF($I23="VB",INDEX(Analitos!$T$4:$T$43,MATCH($A23,Analitos!$A$4:$A$43,0)),IF(INDEX(Analitos!$S$4:$S$43,MATCH($A23,Analitos!$A$4:$A$43,0))&lt;&gt;"",INDEX(Analitos!$S$4:$S$43,MATCH($A23,Analitos!$A$4:$A$43,0)),INDEX(Analitos!$T$4:$T$43,MATCH($A23,Analitos!$A$4:$A$43,0)))),""))</f>
        <v>1.3333333333333333</v>
      </c>
      <c r="K23" s="114">
        <f>IF($A23="","",IFERROR(INDEX(Analitos!$R$4:$R$43,MATCH($A23,Analitos!$A$4:$A$43,0)),""))</f>
        <v>4</v>
      </c>
      <c r="L23" s="114">
        <f t="shared" si="1"/>
        <v>1.5709693125370929</v>
      </c>
      <c r="M23" s="114" t="str">
        <f>IF(NOT(ISNUMBER($L23)),"",mQualidade.ClassificarSigma($L23))</f>
        <v>Desempenho inadequado</v>
      </c>
      <c r="N23" s="115">
        <f t="shared" si="2"/>
        <v>-0.14396042294520051</v>
      </c>
      <c r="O23" s="116">
        <f t="shared" si="3"/>
        <v>-3.5990105736300126</v>
      </c>
      <c r="P23" s="117" t="str">
        <f>IF(NOT(ISNUMBER($O23)),"",mQualidade.ClassificarMargem($O23))</f>
        <v>ETp excedido</v>
      </c>
      <c r="Q23" s="117" t="str">
        <f t="shared" si="4"/>
        <v>CV acima da meta</v>
      </c>
      <c r="R23" s="117" t="str">
        <f>IF($A23="","",mCEQ.StatusSDIeq($A23,eqAnoEP,IFERROR(INDEX(Analitos!$AR$4:$AR$43,MATCH($A23,Analitos!$A$4:$A$43,0)),"CAP"),eqRodada))</f>
        <v>SEM EP</v>
      </c>
      <c r="S23" s="117" t="str">
        <f>IF($A23="","",mCEQ.StatusLimitesEQ($A23,eqAnoEP,IFERROR(INDEX(Analitos!$AR$4:$AR$43,MATCH($A23,Analitos!$A$4:$A$43,0)),"CAP"),eqRodada))</f>
        <v>SEM EP</v>
      </c>
      <c r="T23" s="116" t="str">
        <f>IF($A23="","",mCEQ.BiasEQ($A23,eqAnoEP,"SIGNED",IFERROR(INDEX(Analitos!$AR$4:$AR$43,MATCH($A23,Analitos!$A$4:$A$43,0)),"CAP"),eqRodada))</f>
        <v>SEM EP</v>
      </c>
      <c r="U23" s="117">
        <f>IF(OR($P23="ETp excedido",$P23="Margem critica"),COUNTIF($P$14:$P23,"ETp excedido")+COUNTIF($P$14:$P23,"Margem critica"),"")</f>
        <v>1</v>
      </c>
      <c r="V23" s="118">
        <f>IF(NOT(ISNUMBER($L23)),"",mPlanoQC.DPMdoSigma($L23))</f>
        <v>471711.08946742857</v>
      </c>
      <c r="W23" s="119">
        <f>IF(NOT(ISNUMBER($L23)),"",mPlanoQC.RendimentoDoSigma($L23))</f>
        <v>52.828891053257145</v>
      </c>
      <c r="X23" s="117" t="str">
        <f>IF(NOT(ISNUMBER($L23)),"",mPlanoQC.PlanoQC($L23,"REGRAS"))</f>
        <v>1_3s / 2of3_2s / R_4s / 3_1s / 6x</v>
      </c>
      <c r="Y23" s="120" t="str">
        <f>IF(NOT(ISNUMBER($L23)),"",mPlanoQC.PlanoQC($L23,"N"))</f>
        <v/>
      </c>
      <c r="Z23" s="121" t="str">
        <f>IF(NOT(ISNUMBER($L23)),"",mPlanoQC.PlanoQC($L23,"RUNSIZE"))</f>
        <v/>
      </c>
      <c r="AA23" s="117" t="str">
        <f>IF(NOT(ISNUMBER($L23)),"",mPlanoQC.CoberturaWestgard($L23))</f>
        <v>TOTAL</v>
      </c>
      <c r="AB23" s="117" t="str">
        <f t="shared" si="5"/>
        <v>HCT|1</v>
      </c>
      <c r="AC23" s="120" t="str">
        <f>IF($A23="","",mCEQ.BiasEQ($A23,eqAnoEP,"N",IFERROR(INDEX(Analitos!$AR$4:$AR$43,MATCH($A23,Analitos!$A$4:$A$43,0)),"CAP"),eqRodada))</f>
        <v>SEM EP</v>
      </c>
      <c r="AD23" s="120" t="str">
        <f>IF($A23="","",mCEQ.BiasEQ($A23,eqAnoEP,"NRODADAS",IFERROR(INDEX(Analitos!$AR$4:$AR$43,MATCH($A23,Analitos!$A$4:$A$43,0)),"CAP"),eqRodada))</f>
        <v>SEM EP</v>
      </c>
    </row>
    <row r="24" spans="1:30" x14ac:dyDescent="0.3">
      <c r="A24" s="110" t="str">
        <f>Analitos!$A$7</f>
        <v>HCT</v>
      </c>
      <c r="B24" s="111">
        <v>2</v>
      </c>
      <c r="C24" s="112">
        <f>IF($A24="","",IF(INDEX(engEstat,ROW()-13,3)="","",INDEX(engEstat,ROW()-13,3)))</f>
        <v>25</v>
      </c>
      <c r="D24" s="113">
        <f>IF($A24="","",IF(INDEX(engEstat,ROW()-13,4)="","",INDEX(engEstat,ROW()-13,4)))</f>
        <v>35.802600000000005</v>
      </c>
      <c r="E24" s="113">
        <f>IF($A24="","",IF(INDEX(engEstat,ROW()-13,5)="","",INDEX(engEstat,ROW()-13,5)))</f>
        <v>0.49531058185748494</v>
      </c>
      <c r="F24" s="114">
        <f>IF($A24="","",IF(INDEX(engEstat,ROW()-13,6)="","",INDEX(engEstat,ROW()-13,6)))</f>
        <v>1.3834486374103694</v>
      </c>
      <c r="G24" s="114">
        <f>IF($A24="","",mCEQ.BiasEQ($A24,eqAnoEP,"ABS",eqProvedor,eqRodada))</f>
        <v>1.1383596179279447</v>
      </c>
      <c r="H24" s="114">
        <f t="shared" si="0"/>
        <v>3.4210498696550542</v>
      </c>
      <c r="I24" s="114" t="str">
        <f>IF($A24="","",IFERROR(INDEX(Analitos!$Q$4:$Q$43,MATCH($A24,Analitos!$A$4:$A$43,0)),""))</f>
        <v>CLIA</v>
      </c>
      <c r="J24" s="114">
        <f>IF($A24="","",IFERROR(IF($I24="VB",INDEX(Analitos!$T$4:$T$43,MATCH($A24,Analitos!$A$4:$A$43,0)),IF(INDEX(Analitos!$S$4:$S$43,MATCH($A24,Analitos!$A$4:$A$43,0))&lt;&gt;"",INDEX(Analitos!$S$4:$S$43,MATCH($A24,Analitos!$A$4:$A$43,0)),INDEX(Analitos!$T$4:$T$43,MATCH($A24,Analitos!$A$4:$A$43,0)))),""))</f>
        <v>1.3333333333333333</v>
      </c>
      <c r="K24" s="114">
        <f>IF($A24="","",IFERROR(INDEX(Analitos!$R$4:$R$43,MATCH($A24,Analitos!$A$4:$A$43,0)),""))</f>
        <v>4</v>
      </c>
      <c r="L24" s="114">
        <f t="shared" si="1"/>
        <v>2.0684832849513395</v>
      </c>
      <c r="M24" s="114" t="str">
        <f>IF(NOT(ISNUMBER($L24)),"",mQualidade.ClassificarSigma($L24))</f>
        <v>Desempenho inadequado</v>
      </c>
      <c r="N24" s="115">
        <f t="shared" si="2"/>
        <v>0.5789501303449458</v>
      </c>
      <c r="O24" s="116">
        <f t="shared" si="3"/>
        <v>14.473753258623645</v>
      </c>
      <c r="P24" s="117" t="str">
        <f>IF(NOT(ISNUMBER($O24)),"",mQualidade.ClassificarMargem($O24))</f>
        <v>Dentro do orcamento</v>
      </c>
      <c r="Q24" s="117" t="str">
        <f t="shared" si="4"/>
        <v>CV acima da meta</v>
      </c>
      <c r="R24" s="117" t="str">
        <f>IF($A24="","",mCEQ.StatusSDIeq($A24,eqAnoEP,IFERROR(INDEX(Analitos!$AR$4:$AR$43,MATCH($A24,Analitos!$A$4:$A$43,0)),"CAP"),eqRodada))</f>
        <v>SEM EP</v>
      </c>
      <c r="S24" s="117" t="str">
        <f>IF($A24="","",mCEQ.StatusLimitesEQ($A24,eqAnoEP,IFERROR(INDEX(Analitos!$AR$4:$AR$43,MATCH($A24,Analitos!$A$4:$A$43,0)),"CAP"),eqRodada))</f>
        <v>SEM EP</v>
      </c>
      <c r="T24" s="116" t="str">
        <f>IF($A24="","",mCEQ.BiasEQ($A24,eqAnoEP,"SIGNED",IFERROR(INDEX(Analitos!$AR$4:$AR$43,MATCH($A24,Analitos!$A$4:$A$43,0)),"CAP"),eqRodada))</f>
        <v>SEM EP</v>
      </c>
      <c r="U24" s="117" t="str">
        <f>IF(OR($P24="ETp excedido",$P24="Margem critica"),COUNTIF($P$14:$P24,"ETp excedido")+COUNTIF($P$14:$P24,"Margem critica"),"")</f>
        <v/>
      </c>
      <c r="V24" s="118">
        <f>IF(NOT(ISNUMBER($L24)),"",mPlanoQC.DPMdoSigma($L24))</f>
        <v>284853.42619929911</v>
      </c>
      <c r="W24" s="119">
        <f>IF(NOT(ISNUMBER($L24)),"",mPlanoQC.RendimentoDoSigma($L24))</f>
        <v>71.514657380070091</v>
      </c>
      <c r="X24" s="117" t="str">
        <f>IF(NOT(ISNUMBER($L24)),"",mPlanoQC.PlanoQC($L24,"REGRAS"))</f>
        <v>1_3s / 2of3_2s / R_4s / 3_1s / 6x</v>
      </c>
      <c r="Y24" s="120" t="str">
        <f>IF(NOT(ISNUMBER($L24)),"",mPlanoQC.PlanoQC($L24,"N"))</f>
        <v/>
      </c>
      <c r="Z24" s="121" t="str">
        <f>IF(NOT(ISNUMBER($L24)),"",mPlanoQC.PlanoQC($L24,"RUNSIZE"))</f>
        <v/>
      </c>
      <c r="AA24" s="117" t="str">
        <f>IF(NOT(ISNUMBER($L24)),"",mPlanoQC.CoberturaWestgard($L24))</f>
        <v>TOTAL</v>
      </c>
      <c r="AB24" s="117" t="str">
        <f t="shared" si="5"/>
        <v>HCT|2</v>
      </c>
      <c r="AC24" s="120" t="str">
        <f>IF($A24="","",mCEQ.BiasEQ($A24,eqAnoEP,"N",IFERROR(INDEX(Analitos!$AR$4:$AR$43,MATCH($A24,Analitos!$A$4:$A$43,0)),"CAP"),eqRodada))</f>
        <v>SEM EP</v>
      </c>
      <c r="AD24" s="120" t="str">
        <f>IF($A24="","",mCEQ.BiasEQ($A24,eqAnoEP,"NRODADAS",IFERROR(INDEX(Analitos!$AR$4:$AR$43,MATCH($A24,Analitos!$A$4:$A$43,0)),"CAP"),eqRodada))</f>
        <v>SEM EP</v>
      </c>
    </row>
    <row r="25" spans="1:30" x14ac:dyDescent="0.3">
      <c r="A25" s="110" t="str">
        <f>Analitos!$A$7</f>
        <v>HCT</v>
      </c>
      <c r="B25" s="111">
        <v>3</v>
      </c>
      <c r="C25" s="112">
        <f>IF($A25="","",IF(INDEX(engEstat,ROW()-13,3)="","",INDEX(engEstat,ROW()-13,3)))</f>
        <v>25</v>
      </c>
      <c r="D25" s="113">
        <f>IF($A25="","",IF(INDEX(engEstat,ROW()-13,4)="","",INDEX(engEstat,ROW()-13,4)))</f>
        <v>44.942519999999995</v>
      </c>
      <c r="E25" s="113">
        <f>IF($A25="","",IF(INDEX(engEstat,ROW()-13,5)="","",INDEX(engEstat,ROW()-13,5)))</f>
        <v>0.46959776759832833</v>
      </c>
      <c r="F25" s="114">
        <f>IF($A25="","",IF(INDEX(engEstat,ROW()-13,6)="","",INDEX(engEstat,ROW()-13,6)))</f>
        <v>1.044885261436894</v>
      </c>
      <c r="G25" s="114">
        <f>IF($A25="","",mCEQ.BiasEQ($A25,eqAnoEP,"ABS",eqProvedor,eqRodada))</f>
        <v>1.1383596179279447</v>
      </c>
      <c r="H25" s="114">
        <f t="shared" si="0"/>
        <v>2.8624202992988197</v>
      </c>
      <c r="I25" s="114" t="str">
        <f>IF($A25="","",IFERROR(INDEX(Analitos!$Q$4:$Q$43,MATCH($A25,Analitos!$A$4:$A$43,0)),""))</f>
        <v>CLIA</v>
      </c>
      <c r="J25" s="114">
        <f>IF($A25="","",IFERROR(IF($I25="VB",INDEX(Analitos!$T$4:$T$43,MATCH($A25,Analitos!$A$4:$A$43,0)),IF(INDEX(Analitos!$S$4:$S$43,MATCH($A25,Analitos!$A$4:$A$43,0))&lt;&gt;"",INDEX(Analitos!$S$4:$S$43,MATCH($A25,Analitos!$A$4:$A$43,0)),INDEX(Analitos!$T$4:$T$43,MATCH($A25,Analitos!$A$4:$A$43,0)))),""))</f>
        <v>1.3333333333333333</v>
      </c>
      <c r="K25" s="114">
        <f>IF($A25="","",IFERROR(INDEX(Analitos!$R$4:$R$43,MATCH($A25,Analitos!$A$4:$A$43,0)),""))</f>
        <v>4</v>
      </c>
      <c r="L25" s="114">
        <f t="shared" si="1"/>
        <v>2.7387125531245564</v>
      </c>
      <c r="M25" s="114" t="str">
        <f>IF(NOT(ISNUMBER($L25)),"",mQualidade.ClassificarSigma($L25))</f>
        <v>Desempenho inadequado</v>
      </c>
      <c r="N25" s="115">
        <f t="shared" si="2"/>
        <v>1.1375797007011803</v>
      </c>
      <c r="O25" s="116">
        <f t="shared" si="3"/>
        <v>28.439492517529509</v>
      </c>
      <c r="P25" s="117" t="str">
        <f>IF(NOT(ISNUMBER($O25)),"",mQualidade.ClassificarMargem($O25))</f>
        <v>Dentro do orcamento</v>
      </c>
      <c r="Q25" s="117" t="str">
        <f t="shared" si="4"/>
        <v>OK</v>
      </c>
      <c r="R25" s="117" t="str">
        <f>IF($A25="","",mCEQ.StatusSDIeq($A25,eqAnoEP,IFERROR(INDEX(Analitos!$AR$4:$AR$43,MATCH($A25,Analitos!$A$4:$A$43,0)),"CAP"),eqRodada))</f>
        <v>SEM EP</v>
      </c>
      <c r="S25" s="117" t="str">
        <f>IF($A25="","",mCEQ.StatusLimitesEQ($A25,eqAnoEP,IFERROR(INDEX(Analitos!$AR$4:$AR$43,MATCH($A25,Analitos!$A$4:$A$43,0)),"CAP"),eqRodada))</f>
        <v>SEM EP</v>
      </c>
      <c r="T25" s="116" t="str">
        <f>IF($A25="","",mCEQ.BiasEQ($A25,eqAnoEP,"SIGNED",IFERROR(INDEX(Analitos!$AR$4:$AR$43,MATCH($A25,Analitos!$A$4:$A$43,0)),"CAP"),eqRodada))</f>
        <v>SEM EP</v>
      </c>
      <c r="U25" s="117" t="str">
        <f>IF(OR($P25="ETp excedido",$P25="Margem critica"),COUNTIF($P$14:$P25,"ETp excedido")+COUNTIF($P$14:$P25,"Margem critica"),"")</f>
        <v/>
      </c>
      <c r="V25" s="118">
        <f>IF(NOT(ISNUMBER($L25)),"",mPlanoQC.DPMdoSigma($L25))</f>
        <v>107725.98408746615</v>
      </c>
      <c r="W25" s="119">
        <f>IF(NOT(ISNUMBER($L25)),"",mPlanoQC.RendimentoDoSigma($L25))</f>
        <v>89.227401591253383</v>
      </c>
      <c r="X25" s="117" t="str">
        <f>IF(NOT(ISNUMBER($L25)),"",mPlanoQC.PlanoQC($L25,"REGRAS"))</f>
        <v>1_3s / 2of3_2s / R_4s / 3_1s / 6x</v>
      </c>
      <c r="Y25" s="120" t="str">
        <f>IF(NOT(ISNUMBER($L25)),"",mPlanoQC.PlanoQC($L25,"N"))</f>
        <v/>
      </c>
      <c r="Z25" s="121" t="str">
        <f>IF(NOT(ISNUMBER($L25)),"",mPlanoQC.PlanoQC($L25,"RUNSIZE"))</f>
        <v/>
      </c>
      <c r="AA25" s="117" t="str">
        <f>IF(NOT(ISNUMBER($L25)),"",mPlanoQC.CoberturaWestgard($L25))</f>
        <v>TOTAL</v>
      </c>
      <c r="AB25" s="117" t="str">
        <f t="shared" si="5"/>
        <v>HCT|3</v>
      </c>
      <c r="AC25" s="120" t="str">
        <f>IF($A25="","",mCEQ.BiasEQ($A25,eqAnoEP,"N",IFERROR(INDEX(Analitos!$AR$4:$AR$43,MATCH($A25,Analitos!$A$4:$A$43,0)),"CAP"),eqRodada))</f>
        <v>SEM EP</v>
      </c>
      <c r="AD25" s="120" t="str">
        <f>IF($A25="","",mCEQ.BiasEQ($A25,eqAnoEP,"NRODADAS",IFERROR(INDEX(Analitos!$AR$4:$AR$43,MATCH($A25,Analitos!$A$4:$A$43,0)),"CAP"),eqRodada))</f>
        <v>SEM EP</v>
      </c>
    </row>
    <row r="26" spans="1:30" x14ac:dyDescent="0.3">
      <c r="A26" s="110" t="str">
        <f>Analitos!$A$8</f>
        <v>MCV</v>
      </c>
      <c r="B26" s="111">
        <v>1</v>
      </c>
      <c r="C26" s="112">
        <f>IF($A26="","",IF(INDEX(engEstat,ROW()-13,3)="","",INDEX(engEstat,ROW()-13,3)))</f>
        <v>25</v>
      </c>
      <c r="D26" s="113">
        <f>IF($A26="","",IF(INDEX(engEstat,ROW()-13,4)="","",INDEX(engEstat,ROW()-13,4)))</f>
        <v>72.155820000000006</v>
      </c>
      <c r="E26" s="113">
        <f>IF($A26="","",IF(INDEX(engEstat,ROW()-13,5)="","",INDEX(engEstat,ROW()-13,5)))</f>
        <v>0.74372419675127821</v>
      </c>
      <c r="F26" s="114">
        <f>IF($A26="","",IF(INDEX(engEstat,ROW()-13,6)="","",INDEX(engEstat,ROW()-13,6)))</f>
        <v>1.0307196242122647</v>
      </c>
      <c r="G26" s="114">
        <f>IF($A26="","",mCEQ.BiasEQ($A26,eqAnoEP,"ABS",eqProvedor,eqRodada))</f>
        <v>1.3181182317477955</v>
      </c>
      <c r="H26" s="114">
        <f t="shared" si="0"/>
        <v>3.0188056116980322</v>
      </c>
      <c r="I26" s="114" t="str">
        <f>IF($A26="","",IFERROR(INDEX(Analitos!$Q$4:$Q$43,MATCH($A26,Analitos!$A$4:$A$43,0)),""))</f>
        <v>VB</v>
      </c>
      <c r="J26" s="114">
        <f>IF($A26="","",IFERROR(IF($I26="VB",INDEX(Analitos!$T$4:$T$43,MATCH($A26,Analitos!$A$4:$A$43,0)),IF(INDEX(Analitos!$S$4:$S$43,MATCH($A26,Analitos!$A$4:$A$43,0))&lt;&gt;"",INDEX(Analitos!$S$4:$S$43,MATCH($A26,Analitos!$A$4:$A$43,0)),INDEX(Analitos!$T$4:$T$43,MATCH($A26,Analitos!$A$4:$A$43,0)))),""))</f>
        <v>0.60000000000000009</v>
      </c>
      <c r="K26" s="114">
        <f>IF($A26="","",IFERROR(INDEX(Analitos!$R$4:$R$43,MATCH($A26,Analitos!$A$4:$A$43,0)),""))</f>
        <v>2.4095619923060774</v>
      </c>
      <c r="L26" s="114">
        <f t="shared" si="1"/>
        <v>1.0589143108558023</v>
      </c>
      <c r="M26" s="114" t="str">
        <f>IF(NOT(ISNUMBER($L26)),"",mQualidade.ClassificarSigma($L26))</f>
        <v>Desempenho inadequado</v>
      </c>
      <c r="N26" s="115">
        <f t="shared" si="2"/>
        <v>-0.60924361939195482</v>
      </c>
      <c r="O26" s="116">
        <f t="shared" si="3"/>
        <v>-25.284413571317859</v>
      </c>
      <c r="P26" s="117" t="str">
        <f>IF(NOT(ISNUMBER($O26)),"",mQualidade.ClassificarMargem($O26))</f>
        <v>ETp excedido</v>
      </c>
      <c r="Q26" s="117" t="str">
        <f t="shared" si="4"/>
        <v>CV acima da meta</v>
      </c>
      <c r="R26" s="117" t="str">
        <f>IF($A26="","",mCEQ.StatusSDIeq($A26,eqAnoEP,IFERROR(INDEX(Analitos!$AR$4:$AR$43,MATCH($A26,Analitos!$A$4:$A$43,0)),"CAP"),eqRodada))</f>
        <v>SEM EP</v>
      </c>
      <c r="S26" s="117" t="str">
        <f>IF($A26="","",mCEQ.StatusLimitesEQ($A26,eqAnoEP,IFERROR(INDEX(Analitos!$AR$4:$AR$43,MATCH($A26,Analitos!$A$4:$A$43,0)),"CAP"),eqRodada))</f>
        <v>SEM EP</v>
      </c>
      <c r="T26" s="116" t="str">
        <f>IF($A26="","",mCEQ.BiasEQ($A26,eqAnoEP,"SIGNED",IFERROR(INDEX(Analitos!$AR$4:$AR$43,MATCH($A26,Analitos!$A$4:$A$43,0)),"CAP"),eqRodada))</f>
        <v>SEM EP</v>
      </c>
      <c r="U26" s="117">
        <f>IF(OR($P26="ETp excedido",$P26="Margem critica"),COUNTIF($P$14:$P26,"ETp excedido")+COUNTIF($P$14:$P26,"Margem critica"),"")</f>
        <v>2</v>
      </c>
      <c r="V26" s="118">
        <f>IF(NOT(ISNUMBER($L26)),"",mPlanoQC.DPMdoSigma($L26))</f>
        <v>670424.51827940671</v>
      </c>
      <c r="W26" s="119">
        <f>IF(NOT(ISNUMBER($L26)),"",mPlanoQC.RendimentoDoSigma($L26))</f>
        <v>32.957548172059326</v>
      </c>
      <c r="X26" s="117" t="str">
        <f>IF(NOT(ISNUMBER($L26)),"",mPlanoQC.PlanoQC($L26,"REGRAS"))</f>
        <v>1_3s / 2of3_2s / R_4s / 3_1s / 6x</v>
      </c>
      <c r="Y26" s="120" t="str">
        <f>IF(NOT(ISNUMBER($L26)),"",mPlanoQC.PlanoQC($L26,"N"))</f>
        <v/>
      </c>
      <c r="Z26" s="121" t="str">
        <f>IF(NOT(ISNUMBER($L26)),"",mPlanoQC.PlanoQC($L26,"RUNSIZE"))</f>
        <v/>
      </c>
      <c r="AA26" s="117" t="str">
        <f>IF(NOT(ISNUMBER($L26)),"",mPlanoQC.CoberturaWestgard($L26))</f>
        <v>TOTAL</v>
      </c>
      <c r="AB26" s="117" t="str">
        <f t="shared" si="5"/>
        <v>MCV|1</v>
      </c>
      <c r="AC26" s="120" t="str">
        <f>IF($A26="","",mCEQ.BiasEQ($A26,eqAnoEP,"N",IFERROR(INDEX(Analitos!$AR$4:$AR$43,MATCH($A26,Analitos!$A$4:$A$43,0)),"CAP"),eqRodada))</f>
        <v>SEM EP</v>
      </c>
      <c r="AD26" s="120" t="str">
        <f>IF($A26="","",mCEQ.BiasEQ($A26,eqAnoEP,"NRODADAS",IFERROR(INDEX(Analitos!$AR$4:$AR$43,MATCH($A26,Analitos!$A$4:$A$43,0)),"CAP"),eqRodada))</f>
        <v>SEM EP</v>
      </c>
    </row>
    <row r="27" spans="1:30" x14ac:dyDescent="0.3">
      <c r="A27" s="110" t="str">
        <f>Analitos!$A$8</f>
        <v>MCV</v>
      </c>
      <c r="B27" s="111">
        <v>2</v>
      </c>
      <c r="C27" s="112">
        <f>IF($A27="","",IF(INDEX(engEstat,ROW()-13,3)="","",INDEX(engEstat,ROW()-13,3)))</f>
        <v>25</v>
      </c>
      <c r="D27" s="113">
        <f>IF($A27="","",IF(INDEX(engEstat,ROW()-13,4)="","",INDEX(engEstat,ROW()-13,4)))</f>
        <v>81.972576000000004</v>
      </c>
      <c r="E27" s="113">
        <f>IF($A27="","",IF(INDEX(engEstat,ROW()-13,5)="","",INDEX(engEstat,ROW()-13,5)))</f>
        <v>0.75889536788677248</v>
      </c>
      <c r="F27" s="114">
        <f>IF($A27="","",IF(INDEX(engEstat,ROW()-13,6)="","",INDEX(engEstat,ROW()-13,6)))</f>
        <v>0.92579177685811953</v>
      </c>
      <c r="G27" s="114">
        <f>IF($A27="","",mCEQ.BiasEQ($A27,eqAnoEP,"ABS",eqProvedor,eqRodada))</f>
        <v>1.3181182317477955</v>
      </c>
      <c r="H27" s="114">
        <f t="shared" si="0"/>
        <v>2.8456746635636927</v>
      </c>
      <c r="I27" s="114" t="str">
        <f>IF($A27="","",IFERROR(INDEX(Analitos!$Q$4:$Q$43,MATCH($A27,Analitos!$A$4:$A$43,0)),""))</f>
        <v>VB</v>
      </c>
      <c r="J27" s="114">
        <f>IF($A27="","",IFERROR(IF($I27="VB",INDEX(Analitos!$T$4:$T$43,MATCH($A27,Analitos!$A$4:$A$43,0)),IF(INDEX(Analitos!$S$4:$S$43,MATCH($A27,Analitos!$A$4:$A$43,0))&lt;&gt;"",INDEX(Analitos!$S$4:$S$43,MATCH($A27,Analitos!$A$4:$A$43,0)),INDEX(Analitos!$T$4:$T$43,MATCH($A27,Analitos!$A$4:$A$43,0)))),""))</f>
        <v>0.60000000000000009</v>
      </c>
      <c r="K27" s="114">
        <f>IF($A27="","",IFERROR(INDEX(Analitos!$R$4:$R$43,MATCH($A27,Analitos!$A$4:$A$43,0)),""))</f>
        <v>2.4095619923060774</v>
      </c>
      <c r="L27" s="114">
        <f t="shared" si="1"/>
        <v>1.1789300659618507</v>
      </c>
      <c r="M27" s="114" t="str">
        <f>IF(NOT(ISNUMBER($L27)),"",mQualidade.ClassificarSigma($L27))</f>
        <v>Desempenho inadequado</v>
      </c>
      <c r="N27" s="115">
        <f t="shared" si="2"/>
        <v>-0.43611267125761533</v>
      </c>
      <c r="O27" s="116">
        <f t="shared" si="3"/>
        <v>-18.099250928183533</v>
      </c>
      <c r="P27" s="117" t="str">
        <f>IF(NOT(ISNUMBER($O27)),"",mQualidade.ClassificarMargem($O27))</f>
        <v>ETp excedido</v>
      </c>
      <c r="Q27" s="117" t="str">
        <f t="shared" si="4"/>
        <v>CV acima da meta</v>
      </c>
      <c r="R27" s="117" t="str">
        <f>IF($A27="","",mCEQ.StatusSDIeq($A27,eqAnoEP,IFERROR(INDEX(Analitos!$AR$4:$AR$43,MATCH($A27,Analitos!$A$4:$A$43,0)),"CAP"),eqRodada))</f>
        <v>SEM EP</v>
      </c>
      <c r="S27" s="117" t="str">
        <f>IF($A27="","",mCEQ.StatusLimitesEQ($A27,eqAnoEP,IFERROR(INDEX(Analitos!$AR$4:$AR$43,MATCH($A27,Analitos!$A$4:$A$43,0)),"CAP"),eqRodada))</f>
        <v>SEM EP</v>
      </c>
      <c r="T27" s="116" t="str">
        <f>IF($A27="","",mCEQ.BiasEQ($A27,eqAnoEP,"SIGNED",IFERROR(INDEX(Analitos!$AR$4:$AR$43,MATCH($A27,Analitos!$A$4:$A$43,0)),"CAP"),eqRodada))</f>
        <v>SEM EP</v>
      </c>
      <c r="U27" s="117">
        <f>IF(OR($P27="ETp excedido",$P27="Margem critica"),COUNTIF($P$14:$P27,"ETp excedido")+COUNTIF($P$14:$P27,"Margem critica"),"")</f>
        <v>3</v>
      </c>
      <c r="V27" s="118">
        <f>IF(NOT(ISNUMBER($L27)),"",mPlanoQC.DPMdoSigma($L27))</f>
        <v>625921.30289154931</v>
      </c>
      <c r="W27" s="119">
        <f>IF(NOT(ISNUMBER($L27)),"",mPlanoQC.RendimentoDoSigma($L27))</f>
        <v>37.40786971084507</v>
      </c>
      <c r="X27" s="117" t="str">
        <f>IF(NOT(ISNUMBER($L27)),"",mPlanoQC.PlanoQC($L27,"REGRAS"))</f>
        <v>1_3s / 2of3_2s / R_4s / 3_1s / 6x</v>
      </c>
      <c r="Y27" s="120" t="str">
        <f>IF(NOT(ISNUMBER($L27)),"",mPlanoQC.PlanoQC($L27,"N"))</f>
        <v/>
      </c>
      <c r="Z27" s="121" t="str">
        <f>IF(NOT(ISNUMBER($L27)),"",mPlanoQC.PlanoQC($L27,"RUNSIZE"))</f>
        <v/>
      </c>
      <c r="AA27" s="117" t="str">
        <f>IF(NOT(ISNUMBER($L27)),"",mPlanoQC.CoberturaWestgard($L27))</f>
        <v>TOTAL</v>
      </c>
      <c r="AB27" s="117" t="str">
        <f t="shared" si="5"/>
        <v>MCV|2</v>
      </c>
      <c r="AC27" s="120" t="str">
        <f>IF($A27="","",mCEQ.BiasEQ($A27,eqAnoEP,"N",IFERROR(INDEX(Analitos!$AR$4:$AR$43,MATCH($A27,Analitos!$A$4:$A$43,0)),"CAP"),eqRodada))</f>
        <v>SEM EP</v>
      </c>
      <c r="AD27" s="120" t="str">
        <f>IF($A27="","",mCEQ.BiasEQ($A27,eqAnoEP,"NRODADAS",IFERROR(INDEX(Analitos!$AR$4:$AR$43,MATCH($A27,Analitos!$A$4:$A$43,0)),"CAP"),eqRodada))</f>
        <v>SEM EP</v>
      </c>
    </row>
    <row r="28" spans="1:30" x14ac:dyDescent="0.3">
      <c r="A28" s="110" t="str">
        <f>Analitos!$A$8</f>
        <v>MCV</v>
      </c>
      <c r="B28" s="111">
        <v>3</v>
      </c>
      <c r="C28" s="112">
        <f>IF($A28="","",IF(INDEX(engEstat,ROW()-13,3)="","",INDEX(engEstat,ROW()-13,3)))</f>
        <v>25</v>
      </c>
      <c r="D28" s="113">
        <f>IF($A28="","",IF(INDEX(engEstat,ROW()-13,4)="","",INDEX(engEstat,ROW()-13,4)))</f>
        <v>87.571144000000004</v>
      </c>
      <c r="E28" s="113">
        <f>IF($A28="","",IF(INDEX(engEstat,ROW()-13,5)="","",INDEX(engEstat,ROW()-13,5)))</f>
        <v>0.63200297538856509</v>
      </c>
      <c r="F28" s="114">
        <f>IF($A28="","",IF(INDEX(engEstat,ROW()-13,6)="","",INDEX(engEstat,ROW()-13,6)))</f>
        <v>0.72170231713378674</v>
      </c>
      <c r="G28" s="114">
        <f>IF($A28="","",mCEQ.BiasEQ($A28,eqAnoEP,"ABS",eqProvedor,eqRodada))</f>
        <v>1.3181182317477955</v>
      </c>
      <c r="H28" s="114">
        <f t="shared" si="0"/>
        <v>2.5089270550185434</v>
      </c>
      <c r="I28" s="114" t="str">
        <f>IF($A28="","",IFERROR(INDEX(Analitos!$Q$4:$Q$43,MATCH($A28,Analitos!$A$4:$A$43,0)),""))</f>
        <v>VB</v>
      </c>
      <c r="J28" s="114">
        <f>IF($A28="","",IFERROR(IF($I28="VB",INDEX(Analitos!$T$4:$T$43,MATCH($A28,Analitos!$A$4:$A$43,0)),IF(INDEX(Analitos!$S$4:$S$43,MATCH($A28,Analitos!$A$4:$A$43,0))&lt;&gt;"",INDEX(Analitos!$S$4:$S$43,MATCH($A28,Analitos!$A$4:$A$43,0)),INDEX(Analitos!$T$4:$T$43,MATCH($A28,Analitos!$A$4:$A$43,0)))),""))</f>
        <v>0.60000000000000009</v>
      </c>
      <c r="K28" s="114">
        <f>IF($A28="","",IFERROR(INDEX(Analitos!$R$4:$R$43,MATCH($A28,Analitos!$A$4:$A$43,0)),""))</f>
        <v>2.4095619923060774</v>
      </c>
      <c r="L28" s="114">
        <f t="shared" si="1"/>
        <v>1.5123184928834774</v>
      </c>
      <c r="M28" s="114" t="str">
        <f>IF(NOT(ISNUMBER($L28)),"",mQualidade.ClassificarSigma($L28))</f>
        <v>Desempenho inadequado</v>
      </c>
      <c r="N28" s="115">
        <f t="shared" si="2"/>
        <v>-9.9365062712466035E-2</v>
      </c>
      <c r="O28" s="116">
        <f t="shared" si="3"/>
        <v>-4.1237811282609274</v>
      </c>
      <c r="P28" s="117" t="str">
        <f>IF(NOT(ISNUMBER($O28)),"",mQualidade.ClassificarMargem($O28))</f>
        <v>ETp excedido</v>
      </c>
      <c r="Q28" s="117" t="str">
        <f t="shared" si="4"/>
        <v>CV acima da meta</v>
      </c>
      <c r="R28" s="117" t="str">
        <f>IF($A28="","",mCEQ.StatusSDIeq($A28,eqAnoEP,IFERROR(INDEX(Analitos!$AR$4:$AR$43,MATCH($A28,Analitos!$A$4:$A$43,0)),"CAP"),eqRodada))</f>
        <v>SEM EP</v>
      </c>
      <c r="S28" s="117" t="str">
        <f>IF($A28="","",mCEQ.StatusLimitesEQ($A28,eqAnoEP,IFERROR(INDEX(Analitos!$AR$4:$AR$43,MATCH($A28,Analitos!$A$4:$A$43,0)),"CAP"),eqRodada))</f>
        <v>SEM EP</v>
      </c>
      <c r="T28" s="116" t="str">
        <f>IF($A28="","",mCEQ.BiasEQ($A28,eqAnoEP,"SIGNED",IFERROR(INDEX(Analitos!$AR$4:$AR$43,MATCH($A28,Analitos!$A$4:$A$43,0)),"CAP"),eqRodada))</f>
        <v>SEM EP</v>
      </c>
      <c r="U28" s="117">
        <f>IF(OR($P28="ETp excedido",$P28="Margem critica"),COUNTIF($P$14:$P28,"ETp excedido")+COUNTIF($P$14:$P28,"Margem critica"),"")</f>
        <v>4</v>
      </c>
      <c r="V28" s="118">
        <f>IF(NOT(ISNUMBER($L28)),"",mPlanoQC.DPMdoSigma($L28))</f>
        <v>495085.75664379937</v>
      </c>
      <c r="W28" s="119">
        <f>IF(NOT(ISNUMBER($L28)),"",mPlanoQC.RendimentoDoSigma($L28))</f>
        <v>50.49142433562006</v>
      </c>
      <c r="X28" s="117" t="str">
        <f>IF(NOT(ISNUMBER($L28)),"",mPlanoQC.PlanoQC($L28,"REGRAS"))</f>
        <v>1_3s / 2of3_2s / R_4s / 3_1s / 6x</v>
      </c>
      <c r="Y28" s="120" t="str">
        <f>IF(NOT(ISNUMBER($L28)),"",mPlanoQC.PlanoQC($L28,"N"))</f>
        <v/>
      </c>
      <c r="Z28" s="121" t="str">
        <f>IF(NOT(ISNUMBER($L28)),"",mPlanoQC.PlanoQC($L28,"RUNSIZE"))</f>
        <v/>
      </c>
      <c r="AA28" s="117" t="str">
        <f>IF(NOT(ISNUMBER($L28)),"",mPlanoQC.CoberturaWestgard($L28))</f>
        <v>TOTAL</v>
      </c>
      <c r="AB28" s="117" t="str">
        <f t="shared" si="5"/>
        <v>MCV|3</v>
      </c>
      <c r="AC28" s="120" t="str">
        <f>IF($A28="","",mCEQ.BiasEQ($A28,eqAnoEP,"N",IFERROR(INDEX(Analitos!$AR$4:$AR$43,MATCH($A28,Analitos!$A$4:$A$43,0)),"CAP"),eqRodada))</f>
        <v>SEM EP</v>
      </c>
      <c r="AD28" s="120" t="str">
        <f>IF($A28="","",mCEQ.BiasEQ($A28,eqAnoEP,"NRODADAS",IFERROR(INDEX(Analitos!$AR$4:$AR$43,MATCH($A28,Analitos!$A$4:$A$43,0)),"CAP"),eqRodada))</f>
        <v>SEM EP</v>
      </c>
    </row>
    <row r="29" spans="1:30" x14ac:dyDescent="0.3">
      <c r="A29" s="110" t="str">
        <f>Analitos!$A$9</f>
        <v>MCH</v>
      </c>
      <c r="B29" s="111">
        <v>1</v>
      </c>
      <c r="C29" s="112">
        <f>IF($A29="","",IF(INDEX(engEstat,ROW()-13,3)="","",INDEX(engEstat,ROW()-13,3)))</f>
        <v>25</v>
      </c>
      <c r="D29" s="113">
        <f>IF($A29="","",IF(INDEX(engEstat,ROW()-13,4)="","",INDEX(engEstat,ROW()-13,4)))</f>
        <v>23.806176000000001</v>
      </c>
      <c r="E29" s="113">
        <f>IF($A29="","",IF(INDEX(engEstat,ROW()-13,5)="","",INDEX(engEstat,ROW()-13,5)))</f>
        <v>0.26810840512747824</v>
      </c>
      <c r="F29" s="114">
        <f>IF($A29="","",IF(INDEX(engEstat,ROW()-13,6)="","",INDEX(engEstat,ROW()-13,6)))</f>
        <v>1.1262136561851774</v>
      </c>
      <c r="G29" s="114">
        <f>IF($A29="","",mCEQ.BiasEQ($A29,eqAnoEP,"ABS",eqProvedor,eqRodada))</f>
        <v>1.3302246454933648</v>
      </c>
      <c r="H29" s="114">
        <f t="shared" si="0"/>
        <v>3.1884771781989074</v>
      </c>
      <c r="I29" s="114" t="str">
        <f>IF($A29="","",IFERROR(INDEX(Analitos!$Q$4:$Q$43,MATCH($A29,Analitos!$A$4:$A$43,0)),""))</f>
        <v>VB</v>
      </c>
      <c r="J29" s="114">
        <f>IF($A29="","",IFERROR(IF($I29="VB",INDEX(Analitos!$T$4:$T$43,MATCH($A29,Analitos!$A$4:$A$43,0)),IF(INDEX(Analitos!$S$4:$S$43,MATCH($A29,Analitos!$A$4:$A$43,0))&lt;&gt;"",INDEX(Analitos!$S$4:$S$43,MATCH($A29,Analitos!$A$4:$A$43,0)),INDEX(Analitos!$T$4:$T$43,MATCH($A29,Analitos!$A$4:$A$43,0)))),""))</f>
        <v>0.60000000000000009</v>
      </c>
      <c r="K29" s="114">
        <f>IF($A29="","",IFERROR(INDEX(Analitos!$R$4:$R$43,MATCH($A29,Analitos!$A$4:$A$43,0)),""))</f>
        <v>2.6301695796471778</v>
      </c>
      <c r="L29" s="114">
        <f t="shared" si="1"/>
        <v>1.1542613846089518</v>
      </c>
      <c r="M29" s="114" t="str">
        <f>IF(NOT(ISNUMBER($L29)),"",mQualidade.ClassificarSigma($L29))</f>
        <v>Desempenho inadequado</v>
      </c>
      <c r="N29" s="115">
        <f t="shared" si="2"/>
        <v>-0.55830759855172962</v>
      </c>
      <c r="O29" s="116">
        <f t="shared" si="3"/>
        <v>-21.227057102022425</v>
      </c>
      <c r="P29" s="117" t="str">
        <f>IF(NOT(ISNUMBER($O29)),"",mQualidade.ClassificarMargem($O29))</f>
        <v>ETp excedido</v>
      </c>
      <c r="Q29" s="117" t="str">
        <f t="shared" si="4"/>
        <v>CV acima da meta</v>
      </c>
      <c r="R29" s="117" t="str">
        <f>IF($A29="","",mCEQ.StatusSDIeq($A29,eqAnoEP,IFERROR(INDEX(Analitos!$AR$4:$AR$43,MATCH($A29,Analitos!$A$4:$A$43,0)),"CAP"),eqRodada))</f>
        <v>SEM EP</v>
      </c>
      <c r="S29" s="117" t="str">
        <f>IF($A29="","",mCEQ.StatusLimitesEQ($A29,eqAnoEP,IFERROR(INDEX(Analitos!$AR$4:$AR$43,MATCH($A29,Analitos!$A$4:$A$43,0)),"CAP"),eqRodada))</f>
        <v>SEM EP</v>
      </c>
      <c r="T29" s="116" t="str">
        <f>IF($A29="","",mCEQ.BiasEQ($A29,eqAnoEP,"SIGNED",IFERROR(INDEX(Analitos!$AR$4:$AR$43,MATCH($A29,Analitos!$A$4:$A$43,0)),"CAP"),eqRodada))</f>
        <v>SEM EP</v>
      </c>
      <c r="U29" s="117">
        <f>IF(OR($P29="ETp excedido",$P29="Margem critica"),COUNTIF($P$14:$P29,"ETp excedido")+COUNTIF($P$14:$P29,"Margem critica"),"")</f>
        <v>5</v>
      </c>
      <c r="V29" s="118">
        <f>IF(NOT(ISNUMBER($L29)),"",mPlanoQC.DPMdoSigma($L29))</f>
        <v>635230.41951420845</v>
      </c>
      <c r="W29" s="119">
        <f>IF(NOT(ISNUMBER($L29)),"",mPlanoQC.RendimentoDoSigma($L29))</f>
        <v>36.476958048579156</v>
      </c>
      <c r="X29" s="117" t="str">
        <f>IF(NOT(ISNUMBER($L29)),"",mPlanoQC.PlanoQC($L29,"REGRAS"))</f>
        <v>1_3s / 2of3_2s / R_4s / 3_1s / 6x</v>
      </c>
      <c r="Y29" s="120" t="str">
        <f>IF(NOT(ISNUMBER($L29)),"",mPlanoQC.PlanoQC($L29,"N"))</f>
        <v/>
      </c>
      <c r="Z29" s="121" t="str">
        <f>IF(NOT(ISNUMBER($L29)),"",mPlanoQC.PlanoQC($L29,"RUNSIZE"))</f>
        <v/>
      </c>
      <c r="AA29" s="117" t="str">
        <f>IF(NOT(ISNUMBER($L29)),"",mPlanoQC.CoberturaWestgard($L29))</f>
        <v>TOTAL</v>
      </c>
      <c r="AB29" s="117" t="str">
        <f t="shared" si="5"/>
        <v>MCH|1</v>
      </c>
      <c r="AC29" s="120" t="str">
        <f>IF($A29="","",mCEQ.BiasEQ($A29,eqAnoEP,"N",IFERROR(INDEX(Analitos!$AR$4:$AR$43,MATCH($A29,Analitos!$A$4:$A$43,0)),"CAP"),eqRodada))</f>
        <v>SEM EP</v>
      </c>
      <c r="AD29" s="120" t="str">
        <f>IF($A29="","",mCEQ.BiasEQ($A29,eqAnoEP,"NRODADAS",IFERROR(INDEX(Analitos!$AR$4:$AR$43,MATCH($A29,Analitos!$A$4:$A$43,0)),"CAP"),eqRodada))</f>
        <v>SEM EP</v>
      </c>
    </row>
    <row r="30" spans="1:30" x14ac:dyDescent="0.3">
      <c r="A30" s="110" t="str">
        <f>Analitos!$A$9</f>
        <v>MCH</v>
      </c>
      <c r="B30" s="111">
        <v>2</v>
      </c>
      <c r="C30" s="112">
        <f>IF($A30="","",IF(INDEX(engEstat,ROW()-13,3)="","",INDEX(engEstat,ROW()-13,3)))</f>
        <v>25</v>
      </c>
      <c r="D30" s="113">
        <f>IF($A30="","",IF(INDEX(engEstat,ROW()-13,4)="","",INDEX(engEstat,ROW()-13,4)))</f>
        <v>28.065932000000004</v>
      </c>
      <c r="E30" s="113">
        <f>IF($A30="","",IF(INDEX(engEstat,ROW()-13,5)="","",INDEX(engEstat,ROW()-13,5)))</f>
        <v>0.22880332842858758</v>
      </c>
      <c r="F30" s="114">
        <f>IF($A30="","",IF(INDEX(engEstat,ROW()-13,6)="","",INDEX(engEstat,ROW()-13,6)))</f>
        <v>0.8152350986547946</v>
      </c>
      <c r="G30" s="114">
        <f>IF($A30="","",mCEQ.BiasEQ($A30,eqAnoEP,"ABS",eqProvedor,eqRodada))</f>
        <v>1.3302246454933648</v>
      </c>
      <c r="H30" s="114">
        <f t="shared" si="0"/>
        <v>2.6753625582737759</v>
      </c>
      <c r="I30" s="114" t="str">
        <f>IF($A30="","",IFERROR(INDEX(Analitos!$Q$4:$Q$43,MATCH($A30,Analitos!$A$4:$A$43,0)),""))</f>
        <v>VB</v>
      </c>
      <c r="J30" s="114">
        <f>IF($A30="","",IFERROR(IF($I30="VB",INDEX(Analitos!$T$4:$T$43,MATCH($A30,Analitos!$A$4:$A$43,0)),IF(INDEX(Analitos!$S$4:$S$43,MATCH($A30,Analitos!$A$4:$A$43,0))&lt;&gt;"",INDEX(Analitos!$S$4:$S$43,MATCH($A30,Analitos!$A$4:$A$43,0)),INDEX(Analitos!$T$4:$T$43,MATCH($A30,Analitos!$A$4:$A$43,0)))),""))</f>
        <v>0.60000000000000009</v>
      </c>
      <c r="K30" s="114">
        <f>IF($A30="","",IFERROR(INDEX(Analitos!$R$4:$R$43,MATCH($A30,Analitos!$A$4:$A$43,0)),""))</f>
        <v>2.6301695796471778</v>
      </c>
      <c r="L30" s="114">
        <f t="shared" si="1"/>
        <v>1.5945644836671407</v>
      </c>
      <c r="M30" s="114" t="str">
        <f>IF(NOT(ISNUMBER($L30)),"",mQualidade.ClassificarSigma($L30))</f>
        <v>Desempenho inadequado</v>
      </c>
      <c r="N30" s="115">
        <f t="shared" si="2"/>
        <v>-4.5192978626598101E-2</v>
      </c>
      <c r="O30" s="116">
        <f t="shared" si="3"/>
        <v>-1.7182534151528162</v>
      </c>
      <c r="P30" s="117" t="str">
        <f>IF(NOT(ISNUMBER($O30)),"",mQualidade.ClassificarMargem($O30))</f>
        <v>ETp excedido</v>
      </c>
      <c r="Q30" s="117" t="str">
        <f t="shared" si="4"/>
        <v>CV acima da meta</v>
      </c>
      <c r="R30" s="117" t="str">
        <f>IF($A30="","",mCEQ.StatusSDIeq($A30,eqAnoEP,IFERROR(INDEX(Analitos!$AR$4:$AR$43,MATCH($A30,Analitos!$A$4:$A$43,0)),"CAP"),eqRodada))</f>
        <v>SEM EP</v>
      </c>
      <c r="S30" s="117" t="str">
        <f>IF($A30="","",mCEQ.StatusLimitesEQ($A30,eqAnoEP,IFERROR(INDEX(Analitos!$AR$4:$AR$43,MATCH($A30,Analitos!$A$4:$A$43,0)),"CAP"),eqRodada))</f>
        <v>SEM EP</v>
      </c>
      <c r="T30" s="116" t="str">
        <f>IF($A30="","",mCEQ.BiasEQ($A30,eqAnoEP,"SIGNED",IFERROR(INDEX(Analitos!$AR$4:$AR$43,MATCH($A30,Analitos!$A$4:$A$43,0)),"CAP"),eqRodada))</f>
        <v>SEM EP</v>
      </c>
      <c r="U30" s="117">
        <f>IF(OR($P30="ETp excedido",$P30="Margem critica"),COUNTIF($P$14:$P30,"ETp excedido")+COUNTIF($P$14:$P30,"Margem critica"),"")</f>
        <v>6</v>
      </c>
      <c r="V30" s="118">
        <f>IF(NOT(ISNUMBER($L30)),"",mPlanoQC.DPMdoSigma($L30))</f>
        <v>462330.38065052789</v>
      </c>
      <c r="W30" s="119">
        <f>IF(NOT(ISNUMBER($L30)),"",mPlanoQC.RendimentoDoSigma($L30))</f>
        <v>53.766961934947211</v>
      </c>
      <c r="X30" s="117" t="str">
        <f>IF(NOT(ISNUMBER($L30)),"",mPlanoQC.PlanoQC($L30,"REGRAS"))</f>
        <v>1_3s / 2of3_2s / R_4s / 3_1s / 6x</v>
      </c>
      <c r="Y30" s="120" t="str">
        <f>IF(NOT(ISNUMBER($L30)),"",mPlanoQC.PlanoQC($L30,"N"))</f>
        <v/>
      </c>
      <c r="Z30" s="121" t="str">
        <f>IF(NOT(ISNUMBER($L30)),"",mPlanoQC.PlanoQC($L30,"RUNSIZE"))</f>
        <v/>
      </c>
      <c r="AA30" s="117" t="str">
        <f>IF(NOT(ISNUMBER($L30)),"",mPlanoQC.CoberturaWestgard($L30))</f>
        <v>TOTAL</v>
      </c>
      <c r="AB30" s="117" t="str">
        <f t="shared" si="5"/>
        <v>MCH|2</v>
      </c>
      <c r="AC30" s="120" t="str">
        <f>IF($A30="","",mCEQ.BiasEQ($A30,eqAnoEP,"N",IFERROR(INDEX(Analitos!$AR$4:$AR$43,MATCH($A30,Analitos!$A$4:$A$43,0)),"CAP"),eqRodada))</f>
        <v>SEM EP</v>
      </c>
      <c r="AD30" s="120" t="str">
        <f>IF($A30="","",mCEQ.BiasEQ($A30,eqAnoEP,"NRODADAS",IFERROR(INDEX(Analitos!$AR$4:$AR$43,MATCH($A30,Analitos!$A$4:$A$43,0)),"CAP"),eqRodada))</f>
        <v>SEM EP</v>
      </c>
    </row>
    <row r="31" spans="1:30" x14ac:dyDescent="0.3">
      <c r="A31" s="110" t="str">
        <f>Analitos!$A$9</f>
        <v>MCH</v>
      </c>
      <c r="B31" s="111">
        <v>3</v>
      </c>
      <c r="C31" s="112">
        <f>IF($A31="","",IF(INDEX(engEstat,ROW()-13,3)="","",INDEX(engEstat,ROW()-13,3)))</f>
        <v>25</v>
      </c>
      <c r="D31" s="113">
        <f>IF($A31="","",IF(INDEX(engEstat,ROW()-13,4)="","",INDEX(engEstat,ROW()-13,4)))</f>
        <v>30.337060000000001</v>
      </c>
      <c r="E31" s="113">
        <f>IF($A31="","",IF(INDEX(engEstat,ROW()-13,5)="","",INDEX(engEstat,ROW()-13,5)))</f>
        <v>0.18563368947113715</v>
      </c>
      <c r="F31" s="114">
        <f>IF($A31="","",IF(INDEX(engEstat,ROW()-13,6)="","",INDEX(engEstat,ROW()-13,6)))</f>
        <v>0.61190401927918248</v>
      </c>
      <c r="G31" s="114">
        <f>IF($A31="","",mCEQ.BiasEQ($A31,eqAnoEP,"ABS",eqProvedor,eqRodada))</f>
        <v>1.3302246454933648</v>
      </c>
      <c r="H31" s="114">
        <f t="shared" si="0"/>
        <v>2.339866277304016</v>
      </c>
      <c r="I31" s="114" t="str">
        <f>IF($A31="","",IFERROR(INDEX(Analitos!$Q$4:$Q$43,MATCH($A31,Analitos!$A$4:$A$43,0)),""))</f>
        <v>VB</v>
      </c>
      <c r="J31" s="114">
        <f>IF($A31="","",IFERROR(IF($I31="VB",INDEX(Analitos!$T$4:$T$43,MATCH($A31,Analitos!$A$4:$A$43,0)),IF(INDEX(Analitos!$S$4:$S$43,MATCH($A31,Analitos!$A$4:$A$43,0))&lt;&gt;"",INDEX(Analitos!$S$4:$S$43,MATCH($A31,Analitos!$A$4:$A$43,0)),INDEX(Analitos!$T$4:$T$43,MATCH($A31,Analitos!$A$4:$A$43,0)))),""))</f>
        <v>0.60000000000000009</v>
      </c>
      <c r="K31" s="114">
        <f>IF($A31="","",IFERROR(INDEX(Analitos!$R$4:$R$43,MATCH($A31,Analitos!$A$4:$A$43,0)),""))</f>
        <v>2.6301695796471778</v>
      </c>
      <c r="L31" s="114">
        <f t="shared" si="1"/>
        <v>2.1244262060660044</v>
      </c>
      <c r="M31" s="114" t="str">
        <f>IF(NOT(ISNUMBER($L31)),"",mQualidade.ClassificarSigma($L31))</f>
        <v>Desempenho inadequado</v>
      </c>
      <c r="N31" s="115">
        <f t="shared" si="2"/>
        <v>0.29030330234316182</v>
      </c>
      <c r="O31" s="116">
        <f t="shared" si="3"/>
        <v>11.037436695701741</v>
      </c>
      <c r="P31" s="117" t="str">
        <f>IF(NOT(ISNUMBER($O31)),"",mQualidade.ClassificarMargem($O31))</f>
        <v>Dentro do orcamento</v>
      </c>
      <c r="Q31" s="117" t="str">
        <f t="shared" si="4"/>
        <v>CV acima da meta</v>
      </c>
      <c r="R31" s="117" t="str">
        <f>IF($A31="","",mCEQ.StatusSDIeq($A31,eqAnoEP,IFERROR(INDEX(Analitos!$AR$4:$AR$43,MATCH($A31,Analitos!$A$4:$A$43,0)),"CAP"),eqRodada))</f>
        <v>SEM EP</v>
      </c>
      <c r="S31" s="117" t="str">
        <f>IF($A31="","",mCEQ.StatusLimitesEQ($A31,eqAnoEP,IFERROR(INDEX(Analitos!$AR$4:$AR$43,MATCH($A31,Analitos!$A$4:$A$43,0)),"CAP"),eqRodada))</f>
        <v>SEM EP</v>
      </c>
      <c r="T31" s="116" t="str">
        <f>IF($A31="","",mCEQ.BiasEQ($A31,eqAnoEP,"SIGNED",IFERROR(INDEX(Analitos!$AR$4:$AR$43,MATCH($A31,Analitos!$A$4:$A$43,0)),"CAP"),eqRodada))</f>
        <v>SEM EP</v>
      </c>
      <c r="U31" s="117" t="str">
        <f>IF(OR($P31="ETp excedido",$P31="Margem critica"),COUNTIF($P$14:$P31,"ETp excedido")+COUNTIF($P$14:$P31,"Margem critica"),"")</f>
        <v/>
      </c>
      <c r="V31" s="118">
        <f>IF(NOT(ISNUMBER($L31)),"",mPlanoQC.DPMdoSigma($L31))</f>
        <v>266173.85957913828</v>
      </c>
      <c r="W31" s="119">
        <f>IF(NOT(ISNUMBER($L31)),"",mPlanoQC.RendimentoDoSigma($L31))</f>
        <v>73.382614042086175</v>
      </c>
      <c r="X31" s="117" t="str">
        <f>IF(NOT(ISNUMBER($L31)),"",mPlanoQC.PlanoQC($L31,"REGRAS"))</f>
        <v>1_3s / 2of3_2s / R_4s / 3_1s / 6x</v>
      </c>
      <c r="Y31" s="120" t="str">
        <f>IF(NOT(ISNUMBER($L31)),"",mPlanoQC.PlanoQC($L31,"N"))</f>
        <v/>
      </c>
      <c r="Z31" s="121" t="str">
        <f>IF(NOT(ISNUMBER($L31)),"",mPlanoQC.PlanoQC($L31,"RUNSIZE"))</f>
        <v/>
      </c>
      <c r="AA31" s="117" t="str">
        <f>IF(NOT(ISNUMBER($L31)),"",mPlanoQC.CoberturaWestgard($L31))</f>
        <v>TOTAL</v>
      </c>
      <c r="AB31" s="117" t="str">
        <f t="shared" si="5"/>
        <v>MCH|3</v>
      </c>
      <c r="AC31" s="120" t="str">
        <f>IF($A31="","",mCEQ.BiasEQ($A31,eqAnoEP,"N",IFERROR(INDEX(Analitos!$AR$4:$AR$43,MATCH($A31,Analitos!$A$4:$A$43,0)),"CAP"),eqRodada))</f>
        <v>SEM EP</v>
      </c>
      <c r="AD31" s="120" t="str">
        <f>IF($A31="","",mCEQ.BiasEQ($A31,eqAnoEP,"NRODADAS",IFERROR(INDEX(Analitos!$AR$4:$AR$43,MATCH($A31,Analitos!$A$4:$A$43,0)),"CAP"),eqRodada))</f>
        <v>SEM EP</v>
      </c>
    </row>
    <row r="32" spans="1:30" x14ac:dyDescent="0.3">
      <c r="A32" s="110" t="str">
        <f>Analitos!$A$10</f>
        <v>MCHC</v>
      </c>
      <c r="B32" s="111">
        <v>1</v>
      </c>
      <c r="C32" s="112">
        <f>IF($A32="","",IF(INDEX(engEstat,ROW()-13,3)="","",INDEX(engEstat,ROW()-13,3)))</f>
        <v>25</v>
      </c>
      <c r="D32" s="113">
        <f>IF($A32="","",IF(INDEX(engEstat,ROW()-13,4)="","",INDEX(engEstat,ROW()-13,4)))</f>
        <v>32.808888000000003</v>
      </c>
      <c r="E32" s="113">
        <f>IF($A32="","",IF(INDEX(engEstat,ROW()-13,5)="","",INDEX(engEstat,ROW()-13,5)))</f>
        <v>0.48486925498873695</v>
      </c>
      <c r="F32" s="114">
        <f>IF($A32="","",IF(INDEX(engEstat,ROW()-13,6)="","",INDEX(engEstat,ROW()-13,6)))</f>
        <v>1.4778594598778749</v>
      </c>
      <c r="G32" s="114">
        <f>IF($A32="","",mCEQ.BiasEQ($A32,eqAnoEP,"ABS",eqProvedor,eqRodada))</f>
        <v>1.606529458857288</v>
      </c>
      <c r="H32" s="114">
        <f t="shared" si="0"/>
        <v>4.0449975676557814</v>
      </c>
      <c r="I32" s="114" t="str">
        <f>IF($A32="","",IFERROR(INDEX(Analitos!$Q$4:$Q$43,MATCH($A32,Analitos!$A$4:$A$43,0)),""))</f>
        <v>VB</v>
      </c>
      <c r="J32" s="114">
        <f>IF($A32="","",IFERROR(IF($I32="VB",INDEX(Analitos!$T$4:$T$43,MATCH($A32,Analitos!$A$4:$A$43,0)),IF(INDEX(Analitos!$S$4:$S$43,MATCH($A32,Analitos!$A$4:$A$43,0))&lt;&gt;"",INDEX(Analitos!$S$4:$S$43,MATCH($A32,Analitos!$A$4:$A$43,0)),INDEX(Analitos!$T$4:$T$43,MATCH($A32,Analitos!$A$4:$A$43,0)))),""))</f>
        <v>0.67500000000000004</v>
      </c>
      <c r="K32" s="114">
        <f>IF($A32="","",IFERROR(INDEX(Analitos!$R$4:$R$43,MATCH($A32,Analitos!$A$4:$A$43,0)),""))</f>
        <v>1.7378743866409962</v>
      </c>
      <c r="L32" s="114">
        <f t="shared" si="1"/>
        <v>8.887511387216894E-2</v>
      </c>
      <c r="M32" s="114" t="str">
        <f>IF(NOT(ISNUMBER($L32)),"",mQualidade.ClassificarSigma($L32))</f>
        <v>Desempenho inadequado</v>
      </c>
      <c r="N32" s="115">
        <f t="shared" si="2"/>
        <v>-2.3071231810147852</v>
      </c>
      <c r="O32" s="116">
        <f t="shared" si="3"/>
        <v>-132.75546257828486</v>
      </c>
      <c r="P32" s="117" t="str">
        <f>IF(NOT(ISNUMBER($O32)),"",mQualidade.ClassificarMargem($O32))</f>
        <v>ETp excedido</v>
      </c>
      <c r="Q32" s="117" t="str">
        <f t="shared" si="4"/>
        <v>CV acima da meta</v>
      </c>
      <c r="R32" s="117" t="str">
        <f>IF($A32="","",mCEQ.StatusSDIeq($A32,eqAnoEP,IFERROR(INDEX(Analitos!$AR$4:$AR$43,MATCH($A32,Analitos!$A$4:$A$43,0)),"CAP"),eqRodada))</f>
        <v>SEM EP</v>
      </c>
      <c r="S32" s="117" t="str">
        <f>IF($A32="","",mCEQ.StatusLimitesEQ($A32,eqAnoEP,IFERROR(INDEX(Analitos!$AR$4:$AR$43,MATCH($A32,Analitos!$A$4:$A$43,0)),"CAP"),eqRodada))</f>
        <v>SEM EP</v>
      </c>
      <c r="T32" s="116" t="str">
        <f>IF($A32="","",mCEQ.BiasEQ($A32,eqAnoEP,"SIGNED",IFERROR(INDEX(Analitos!$AR$4:$AR$43,MATCH($A32,Analitos!$A$4:$A$43,0)),"CAP"),eqRodada))</f>
        <v>SEM EP</v>
      </c>
      <c r="U32" s="117">
        <f>IF(OR($P32="ETp excedido",$P32="Margem critica"),COUNTIF($P$14:$P32,"ETp excedido")+COUNTIF($P$14:$P32,"Margem critica"),"")</f>
        <v>7</v>
      </c>
      <c r="V32" s="118">
        <f>IF(NOT(ISNUMBER($L32)),"",mPlanoQC.DPMdoSigma($L32))</f>
        <v>920896.10338028753</v>
      </c>
      <c r="W32" s="119">
        <f>IF(NOT(ISNUMBER($L32)),"",mPlanoQC.RendimentoDoSigma($L32))</f>
        <v>7.910389661971247</v>
      </c>
      <c r="X32" s="117" t="str">
        <f>IF(NOT(ISNUMBER($L32)),"",mPlanoQC.PlanoQC($L32,"REGRAS"))</f>
        <v>1_3s / 2of3_2s / R_4s / 3_1s / 6x</v>
      </c>
      <c r="Y32" s="120" t="str">
        <f>IF(NOT(ISNUMBER($L32)),"",mPlanoQC.PlanoQC($L32,"N"))</f>
        <v/>
      </c>
      <c r="Z32" s="121" t="str">
        <f>IF(NOT(ISNUMBER($L32)),"",mPlanoQC.PlanoQC($L32,"RUNSIZE"))</f>
        <v/>
      </c>
      <c r="AA32" s="117" t="str">
        <f>IF(NOT(ISNUMBER($L32)),"",mPlanoQC.CoberturaWestgard($L32))</f>
        <v>TOTAL</v>
      </c>
      <c r="AB32" s="117" t="str">
        <f t="shared" si="5"/>
        <v>MCHC|1</v>
      </c>
      <c r="AC32" s="120" t="str">
        <f>IF($A32="","",mCEQ.BiasEQ($A32,eqAnoEP,"N",IFERROR(INDEX(Analitos!$AR$4:$AR$43,MATCH($A32,Analitos!$A$4:$A$43,0)),"CAP"),eqRodada))</f>
        <v>SEM EP</v>
      </c>
      <c r="AD32" s="120" t="str">
        <f>IF($A32="","",mCEQ.BiasEQ($A32,eqAnoEP,"NRODADAS",IFERROR(INDEX(Analitos!$AR$4:$AR$43,MATCH($A32,Analitos!$A$4:$A$43,0)),"CAP"),eqRodada))</f>
        <v>SEM EP</v>
      </c>
    </row>
    <row r="33" spans="1:30" x14ac:dyDescent="0.3">
      <c r="A33" s="110" t="str">
        <f>Analitos!$A$10</f>
        <v>MCHC</v>
      </c>
      <c r="B33" s="111">
        <v>2</v>
      </c>
      <c r="C33" s="112">
        <f>IF($A33="","",IF(INDEX(engEstat,ROW()-13,3)="","",INDEX(engEstat,ROW()-13,3)))</f>
        <v>25</v>
      </c>
      <c r="D33" s="113">
        <f>IF($A33="","",IF(INDEX(engEstat,ROW()-13,4)="","",INDEX(engEstat,ROW()-13,4)))</f>
        <v>34.147188000000007</v>
      </c>
      <c r="E33" s="113">
        <f>IF($A33="","",IF(INDEX(engEstat,ROW()-13,5)="","",INDEX(engEstat,ROW()-13,5)))</f>
        <v>0.45496265077476394</v>
      </c>
      <c r="F33" s="114">
        <f>IF($A33="","",IF(INDEX(engEstat,ROW()-13,6)="","",INDEX(engEstat,ROW()-13,6)))</f>
        <v>1.332357589078093</v>
      </c>
      <c r="G33" s="114">
        <f>IF($A33="","",mCEQ.BiasEQ($A33,eqAnoEP,"ABS",eqProvedor,eqRodada))</f>
        <v>1.606529458857288</v>
      </c>
      <c r="H33" s="114">
        <f t="shared" si="0"/>
        <v>3.8049194808361415</v>
      </c>
      <c r="I33" s="114" t="str">
        <f>IF($A33="","",IFERROR(INDEX(Analitos!$Q$4:$Q$43,MATCH($A33,Analitos!$A$4:$A$43,0)),""))</f>
        <v>VB</v>
      </c>
      <c r="J33" s="114">
        <f>IF($A33="","",IFERROR(IF($I33="VB",INDEX(Analitos!$T$4:$T$43,MATCH($A33,Analitos!$A$4:$A$43,0)),IF(INDEX(Analitos!$S$4:$S$43,MATCH($A33,Analitos!$A$4:$A$43,0))&lt;&gt;"",INDEX(Analitos!$S$4:$S$43,MATCH($A33,Analitos!$A$4:$A$43,0)),INDEX(Analitos!$T$4:$T$43,MATCH($A33,Analitos!$A$4:$A$43,0)))),""))</f>
        <v>0.67500000000000004</v>
      </c>
      <c r="K33" s="114">
        <f>IF($A33="","",IFERROR(INDEX(Analitos!$R$4:$R$43,MATCH($A33,Analitos!$A$4:$A$43,0)),""))</f>
        <v>1.7378743866409962</v>
      </c>
      <c r="L33" s="114">
        <f t="shared" si="1"/>
        <v>9.858083810262272E-2</v>
      </c>
      <c r="M33" s="114" t="str">
        <f>IF(NOT(ISNUMBER($L33)),"",mQualidade.ClassificarSigma($L33))</f>
        <v>Desempenho inadequado</v>
      </c>
      <c r="N33" s="115">
        <f t="shared" si="2"/>
        <v>-2.0670450941951453</v>
      </c>
      <c r="O33" s="116">
        <f t="shared" si="3"/>
        <v>-118.94099539555202</v>
      </c>
      <c r="P33" s="117" t="str">
        <f>IF(NOT(ISNUMBER($O33)),"",mQualidade.ClassificarMargem($O33))</f>
        <v>ETp excedido</v>
      </c>
      <c r="Q33" s="117" t="str">
        <f t="shared" si="4"/>
        <v>CV acima da meta</v>
      </c>
      <c r="R33" s="117" t="str">
        <f>IF($A33="","",mCEQ.StatusSDIeq($A33,eqAnoEP,IFERROR(INDEX(Analitos!$AR$4:$AR$43,MATCH($A33,Analitos!$A$4:$A$43,0)),"CAP"),eqRodada))</f>
        <v>SEM EP</v>
      </c>
      <c r="S33" s="117" t="str">
        <f>IF($A33="","",mCEQ.StatusLimitesEQ($A33,eqAnoEP,IFERROR(INDEX(Analitos!$AR$4:$AR$43,MATCH($A33,Analitos!$A$4:$A$43,0)),"CAP"),eqRodada))</f>
        <v>SEM EP</v>
      </c>
      <c r="T33" s="116" t="str">
        <f>IF($A33="","",mCEQ.BiasEQ($A33,eqAnoEP,"SIGNED",IFERROR(INDEX(Analitos!$AR$4:$AR$43,MATCH($A33,Analitos!$A$4:$A$43,0)),"CAP"),eqRodada))</f>
        <v>SEM EP</v>
      </c>
      <c r="U33" s="117">
        <f>IF(OR($P33="ETp excedido",$P33="Margem critica"),COUNTIF($P$14:$P33,"ETp excedido")+COUNTIF($P$14:$P33,"Margem critica"),"")</f>
        <v>8</v>
      </c>
      <c r="V33" s="118">
        <f>IF(NOT(ISNUMBER($L33)),"",mPlanoQC.DPMdoSigma($L33))</f>
        <v>919455.61726103083</v>
      </c>
      <c r="W33" s="119">
        <f>IF(NOT(ISNUMBER($L33)),"",mPlanoQC.RendimentoDoSigma($L33))</f>
        <v>8.0544382738969169</v>
      </c>
      <c r="X33" s="117" t="str">
        <f>IF(NOT(ISNUMBER($L33)),"",mPlanoQC.PlanoQC($L33,"REGRAS"))</f>
        <v>1_3s / 2of3_2s / R_4s / 3_1s / 6x</v>
      </c>
      <c r="Y33" s="120" t="str">
        <f>IF(NOT(ISNUMBER($L33)),"",mPlanoQC.PlanoQC($L33,"N"))</f>
        <v/>
      </c>
      <c r="Z33" s="121" t="str">
        <f>IF(NOT(ISNUMBER($L33)),"",mPlanoQC.PlanoQC($L33,"RUNSIZE"))</f>
        <v/>
      </c>
      <c r="AA33" s="117" t="str">
        <f>IF(NOT(ISNUMBER($L33)),"",mPlanoQC.CoberturaWestgard($L33))</f>
        <v>TOTAL</v>
      </c>
      <c r="AB33" s="117" t="str">
        <f t="shared" si="5"/>
        <v>MCHC|2</v>
      </c>
      <c r="AC33" s="120" t="str">
        <f>IF($A33="","",mCEQ.BiasEQ($A33,eqAnoEP,"N",IFERROR(INDEX(Analitos!$AR$4:$AR$43,MATCH($A33,Analitos!$A$4:$A$43,0)),"CAP"),eqRodada))</f>
        <v>SEM EP</v>
      </c>
      <c r="AD33" s="120" t="str">
        <f>IF($A33="","",mCEQ.BiasEQ($A33,eqAnoEP,"NRODADAS",IFERROR(INDEX(Analitos!$AR$4:$AR$43,MATCH($A33,Analitos!$A$4:$A$43,0)),"CAP"),eqRodada))</f>
        <v>SEM EP</v>
      </c>
    </row>
    <row r="34" spans="1:30" x14ac:dyDescent="0.3">
      <c r="A34" s="110" t="str">
        <f>Analitos!$A$10</f>
        <v>MCHC</v>
      </c>
      <c r="B34" s="111">
        <v>3</v>
      </c>
      <c r="C34" s="112">
        <f>IF($A34="","",IF(INDEX(engEstat,ROW()-13,3)="","",INDEX(engEstat,ROW()-13,3)))</f>
        <v>25</v>
      </c>
      <c r="D34" s="113">
        <f>IF($A34="","",IF(INDEX(engEstat,ROW()-13,4)="","",INDEX(engEstat,ROW()-13,4)))</f>
        <v>34.581483999999989</v>
      </c>
      <c r="E34" s="113">
        <f>IF($A34="","",IF(INDEX(engEstat,ROW()-13,5)="","",INDEX(engEstat,ROW()-13,5)))</f>
        <v>0.32816524252272722</v>
      </c>
      <c r="F34" s="114">
        <f>IF($A34="","",IF(INDEX(engEstat,ROW()-13,6)="","",INDEX(engEstat,ROW()-13,6)))</f>
        <v>0.94896229011666278</v>
      </c>
      <c r="G34" s="114">
        <f>IF($A34="","",mCEQ.BiasEQ($A34,eqAnoEP,"ABS",eqProvedor,eqRodada))</f>
        <v>1.606529458857288</v>
      </c>
      <c r="H34" s="114">
        <f t="shared" si="0"/>
        <v>3.1723172375497812</v>
      </c>
      <c r="I34" s="114" t="str">
        <f>IF($A34="","",IFERROR(INDEX(Analitos!$Q$4:$Q$43,MATCH($A34,Analitos!$A$4:$A$43,0)),""))</f>
        <v>VB</v>
      </c>
      <c r="J34" s="114">
        <f>IF($A34="","",IFERROR(IF($I34="VB",INDEX(Analitos!$T$4:$T$43,MATCH($A34,Analitos!$A$4:$A$43,0)),IF(INDEX(Analitos!$S$4:$S$43,MATCH($A34,Analitos!$A$4:$A$43,0))&lt;&gt;"",INDEX(Analitos!$S$4:$S$43,MATCH($A34,Analitos!$A$4:$A$43,0)),INDEX(Analitos!$T$4:$T$43,MATCH($A34,Analitos!$A$4:$A$43,0)))),""))</f>
        <v>0.67500000000000004</v>
      </c>
      <c r="K34" s="114">
        <f>IF($A34="","",IFERROR(INDEX(Analitos!$R$4:$R$43,MATCH($A34,Analitos!$A$4:$A$43,0)),""))</f>
        <v>1.7378743866409962</v>
      </c>
      <c r="L34" s="114">
        <f t="shared" si="1"/>
        <v>0.13840900650284116</v>
      </c>
      <c r="M34" s="114" t="str">
        <f>IF(NOT(ISNUMBER($L34)),"",mQualidade.ClassificarSigma($L34))</f>
        <v>Desempenho inadequado</v>
      </c>
      <c r="N34" s="115">
        <f t="shared" si="2"/>
        <v>-1.434442850908785</v>
      </c>
      <c r="O34" s="116">
        <f t="shared" si="3"/>
        <v>-82.540076655442817</v>
      </c>
      <c r="P34" s="117" t="str">
        <f>IF(NOT(ISNUMBER($O34)),"",mQualidade.ClassificarMargem($O34))</f>
        <v>ETp excedido</v>
      </c>
      <c r="Q34" s="117" t="str">
        <f t="shared" si="4"/>
        <v>CV acima da meta</v>
      </c>
      <c r="R34" s="117" t="str">
        <f>IF($A34="","",mCEQ.StatusSDIeq($A34,eqAnoEP,IFERROR(INDEX(Analitos!$AR$4:$AR$43,MATCH($A34,Analitos!$A$4:$A$43,0)),"CAP"),eqRodada))</f>
        <v>SEM EP</v>
      </c>
      <c r="S34" s="117" t="str">
        <f>IF($A34="","",mCEQ.StatusLimitesEQ($A34,eqAnoEP,IFERROR(INDEX(Analitos!$AR$4:$AR$43,MATCH($A34,Analitos!$A$4:$A$43,0)),"CAP"),eqRodada))</f>
        <v>SEM EP</v>
      </c>
      <c r="T34" s="116" t="str">
        <f>IF($A34="","",mCEQ.BiasEQ($A34,eqAnoEP,"SIGNED",IFERROR(INDEX(Analitos!$AR$4:$AR$43,MATCH($A34,Analitos!$A$4:$A$43,0)),"CAP"),eqRodada))</f>
        <v>SEM EP</v>
      </c>
      <c r="U34" s="117">
        <f>IF(OR($P34="ETp excedido",$P34="Margem critica"),COUNTIF($P$14:$P34,"ETp excedido")+COUNTIF($P$14:$P34,"Margem critica"),"")</f>
        <v>9</v>
      </c>
      <c r="V34" s="118">
        <f>IF(NOT(ISNUMBER($L34)),"",mPlanoQC.DPMdoSigma($L34))</f>
        <v>913336.50041024853</v>
      </c>
      <c r="W34" s="119">
        <f>IF(NOT(ISNUMBER($L34)),"",mPlanoQC.RendimentoDoSigma($L34))</f>
        <v>8.6663499589751467</v>
      </c>
      <c r="X34" s="117" t="str">
        <f>IF(NOT(ISNUMBER($L34)),"",mPlanoQC.PlanoQC($L34,"REGRAS"))</f>
        <v>1_3s / 2of3_2s / R_4s / 3_1s / 6x</v>
      </c>
      <c r="Y34" s="120" t="str">
        <f>IF(NOT(ISNUMBER($L34)),"",mPlanoQC.PlanoQC($L34,"N"))</f>
        <v/>
      </c>
      <c r="Z34" s="121" t="str">
        <f>IF(NOT(ISNUMBER($L34)),"",mPlanoQC.PlanoQC($L34,"RUNSIZE"))</f>
        <v/>
      </c>
      <c r="AA34" s="117" t="str">
        <f>IF(NOT(ISNUMBER($L34)),"",mPlanoQC.CoberturaWestgard($L34))</f>
        <v>TOTAL</v>
      </c>
      <c r="AB34" s="117" t="str">
        <f t="shared" si="5"/>
        <v>MCHC|3</v>
      </c>
      <c r="AC34" s="120" t="str">
        <f>IF($A34="","",mCEQ.BiasEQ($A34,eqAnoEP,"N",IFERROR(INDEX(Analitos!$AR$4:$AR$43,MATCH($A34,Analitos!$A$4:$A$43,0)),"CAP"),eqRodada))</f>
        <v>SEM EP</v>
      </c>
      <c r="AD34" s="120" t="str">
        <f>IF($A34="","",mCEQ.BiasEQ($A34,eqAnoEP,"NRODADAS",IFERROR(INDEX(Analitos!$AR$4:$AR$43,MATCH($A34,Analitos!$A$4:$A$43,0)),"CAP"),eqRodada))</f>
        <v>SEM EP</v>
      </c>
    </row>
    <row r="35" spans="1:30" x14ac:dyDescent="0.3">
      <c r="A35" s="110" t="str">
        <f>Analitos!$A$11</f>
        <v>PLT</v>
      </c>
      <c r="B35" s="111">
        <v>1</v>
      </c>
      <c r="C35" s="112">
        <f>IF($A35="","",IF(INDEX(engEstat,ROW()-13,3)="","",INDEX(engEstat,ROW()-13,3)))</f>
        <v>25</v>
      </c>
      <c r="D35" s="113">
        <f>IF($A35="","",IF(INDEX(engEstat,ROW()-13,4)="","",INDEX(engEstat,ROW()-13,4)))</f>
        <v>68.461864000000006</v>
      </c>
      <c r="E35" s="113">
        <f>IF($A35="","",IF(INDEX(engEstat,ROW()-13,5)="","",INDEX(engEstat,ROW()-13,5)))</f>
        <v>2.7462517045784414</v>
      </c>
      <c r="F35" s="114">
        <f>IF($A35="","",IF(INDEX(engEstat,ROW()-13,6)="","",INDEX(engEstat,ROW()-13,6)))</f>
        <v>4.0113598200867582</v>
      </c>
      <c r="G35" s="114">
        <f>IF($A35="","",mCEQ.BiasEQ($A35,eqAnoEP,"ABS",eqProvedor,eqRodada))</f>
        <v>4.9625790617769878</v>
      </c>
      <c r="H35" s="114">
        <f t="shared" si="0"/>
        <v>11.581322764920138</v>
      </c>
      <c r="I35" s="114" t="str">
        <f>IF($A35="","",IFERROR(INDEX(Analitos!$Q$4:$Q$43,MATCH($A35,Analitos!$A$4:$A$43,0)),""))</f>
        <v>CLIA</v>
      </c>
      <c r="J35" s="114">
        <f>IF($A35="","",IFERROR(IF($I35="VB",INDEX(Analitos!$T$4:$T$43,MATCH($A35,Analitos!$A$4:$A$43,0)),IF(INDEX(Analitos!$S$4:$S$43,MATCH($A35,Analitos!$A$4:$A$43,0))&lt;&gt;"",INDEX(Analitos!$S$4:$S$43,MATCH($A35,Analitos!$A$4:$A$43,0)),INDEX(Analitos!$T$4:$T$43,MATCH($A35,Analitos!$A$4:$A$43,0)))),""))</f>
        <v>5</v>
      </c>
      <c r="K35" s="114">
        <f>IF($A35="","",IFERROR(INDEX(Analitos!$R$4:$R$43,MATCH($A35,Analitos!$A$4:$A$43,0)),""))</f>
        <v>15</v>
      </c>
      <c r="L35" s="114">
        <f t="shared" si="1"/>
        <v>2.5022489600561242</v>
      </c>
      <c r="M35" s="114" t="str">
        <f>IF(NOT(ISNUMBER($L35)),"",mQualidade.ClassificarSigma($L35))</f>
        <v>Desempenho inadequado</v>
      </c>
      <c r="N35" s="115">
        <f t="shared" si="2"/>
        <v>3.418677235079862</v>
      </c>
      <c r="O35" s="116">
        <f t="shared" si="3"/>
        <v>22.791181567199079</v>
      </c>
      <c r="P35" s="117" t="str">
        <f>IF(NOT(ISNUMBER($O35)),"",mQualidade.ClassificarMargem($O35))</f>
        <v>Dentro do orcamento</v>
      </c>
      <c r="Q35" s="117" t="str">
        <f t="shared" si="4"/>
        <v>OK</v>
      </c>
      <c r="R35" s="117" t="str">
        <f>IF($A35="","",mCEQ.StatusSDIeq($A35,eqAnoEP,IFERROR(INDEX(Analitos!$AR$4:$AR$43,MATCH($A35,Analitos!$A$4:$A$43,0)),"CAP"),eqRodada))</f>
        <v>SEM EP</v>
      </c>
      <c r="S35" s="117" t="str">
        <f>IF($A35="","",mCEQ.StatusLimitesEQ($A35,eqAnoEP,IFERROR(INDEX(Analitos!$AR$4:$AR$43,MATCH($A35,Analitos!$A$4:$A$43,0)),"CAP"),eqRodada))</f>
        <v>SEM EP</v>
      </c>
      <c r="T35" s="116" t="str">
        <f>IF($A35="","",mCEQ.BiasEQ($A35,eqAnoEP,"SIGNED",IFERROR(INDEX(Analitos!$AR$4:$AR$43,MATCH($A35,Analitos!$A$4:$A$43,0)),"CAP"),eqRodada))</f>
        <v>SEM EP</v>
      </c>
      <c r="U35" s="117" t="str">
        <f>IF(OR($P35="ETp excedido",$P35="Margem critica"),COUNTIF($P$14:$P35,"ETp excedido")+COUNTIF($P$14:$P35,"Margem critica"),"")</f>
        <v/>
      </c>
      <c r="V35" s="118">
        <f>IF(NOT(ISNUMBER($L35)),"",mPlanoQC.DPMdoSigma($L35))</f>
        <v>158111.68335909277</v>
      </c>
      <c r="W35" s="119">
        <f>IF(NOT(ISNUMBER($L35)),"",mPlanoQC.RendimentoDoSigma($L35))</f>
        <v>84.188831664090728</v>
      </c>
      <c r="X35" s="117" t="str">
        <f>IF(NOT(ISNUMBER($L35)),"",mPlanoQC.PlanoQC($L35,"REGRAS"))</f>
        <v>1_3s / 2of3_2s / R_4s / 3_1s / 6x</v>
      </c>
      <c r="Y35" s="120" t="str">
        <f>IF(NOT(ISNUMBER($L35)),"",mPlanoQC.PlanoQC($L35,"N"))</f>
        <v/>
      </c>
      <c r="Z35" s="121" t="str">
        <f>IF(NOT(ISNUMBER($L35)),"",mPlanoQC.PlanoQC($L35,"RUNSIZE"))</f>
        <v/>
      </c>
      <c r="AA35" s="117" t="str">
        <f>IF(NOT(ISNUMBER($L35)),"",mPlanoQC.CoberturaWestgard($L35))</f>
        <v>TOTAL</v>
      </c>
      <c r="AB35" s="117" t="str">
        <f t="shared" si="5"/>
        <v>PLT|1</v>
      </c>
      <c r="AC35" s="120" t="str">
        <f>IF($A35="","",mCEQ.BiasEQ($A35,eqAnoEP,"N",IFERROR(INDEX(Analitos!$AR$4:$AR$43,MATCH($A35,Analitos!$A$4:$A$43,0)),"CAP"),eqRodada))</f>
        <v>SEM EP</v>
      </c>
      <c r="AD35" s="120" t="str">
        <f>IF($A35="","",mCEQ.BiasEQ($A35,eqAnoEP,"NRODADAS",IFERROR(INDEX(Analitos!$AR$4:$AR$43,MATCH($A35,Analitos!$A$4:$A$43,0)),"CAP"),eqRodada))</f>
        <v>SEM EP</v>
      </c>
    </row>
    <row r="36" spans="1:30" x14ac:dyDescent="0.3">
      <c r="A36" s="110" t="str">
        <f>Analitos!$A$11</f>
        <v>PLT</v>
      </c>
      <c r="B36" s="111">
        <v>2</v>
      </c>
      <c r="C36" s="112">
        <f>IF($A36="","",IF(INDEX(engEstat,ROW()-13,3)="","",INDEX(engEstat,ROW()-13,3)))</f>
        <v>25</v>
      </c>
      <c r="D36" s="113">
        <f>IF($A36="","",IF(INDEX(engEstat,ROW()-13,4)="","",INDEX(engEstat,ROW()-13,4)))</f>
        <v>227.46821199999999</v>
      </c>
      <c r="E36" s="113">
        <f>IF($A36="","",IF(INDEX(engEstat,ROW()-13,5)="","",INDEX(engEstat,ROW()-13,5)))</f>
        <v>9.8941051309740295</v>
      </c>
      <c r="F36" s="114">
        <f>IF($A36="","",IF(INDEX(engEstat,ROW()-13,6)="","",INDEX(engEstat,ROW()-13,6)))</f>
        <v>4.3496649681204813</v>
      </c>
      <c r="G36" s="114">
        <f>IF($A36="","",mCEQ.BiasEQ($A36,eqAnoEP,"ABS",eqProvedor,eqRodada))</f>
        <v>4.9625790617769878</v>
      </c>
      <c r="H36" s="114">
        <f t="shared" si="0"/>
        <v>12.139526259175781</v>
      </c>
      <c r="I36" s="114" t="str">
        <f>IF($A36="","",IFERROR(INDEX(Analitos!$Q$4:$Q$43,MATCH($A36,Analitos!$A$4:$A$43,0)),""))</f>
        <v>CLIA</v>
      </c>
      <c r="J36" s="114">
        <f>IF($A36="","",IFERROR(IF($I36="VB",INDEX(Analitos!$T$4:$T$43,MATCH($A36,Analitos!$A$4:$A$43,0)),IF(INDEX(Analitos!$S$4:$S$43,MATCH($A36,Analitos!$A$4:$A$43,0))&lt;&gt;"",INDEX(Analitos!$S$4:$S$43,MATCH($A36,Analitos!$A$4:$A$43,0)),INDEX(Analitos!$T$4:$T$43,MATCH($A36,Analitos!$A$4:$A$43,0)))),""))</f>
        <v>5</v>
      </c>
      <c r="K36" s="114">
        <f>IF($A36="","",IFERROR(INDEX(Analitos!$R$4:$R$43,MATCH($A36,Analitos!$A$4:$A$43,0)),""))</f>
        <v>15</v>
      </c>
      <c r="L36" s="114">
        <f t="shared" si="1"/>
        <v>2.3076308202560822</v>
      </c>
      <c r="M36" s="114" t="str">
        <f>IF(NOT(ISNUMBER($L36)),"",mQualidade.ClassificarSigma($L36))</f>
        <v>Desempenho inadequado</v>
      </c>
      <c r="N36" s="115">
        <f t="shared" si="2"/>
        <v>2.8604737408242187</v>
      </c>
      <c r="O36" s="116">
        <f t="shared" si="3"/>
        <v>19.069824938828127</v>
      </c>
      <c r="P36" s="117" t="str">
        <f>IF(NOT(ISNUMBER($O36)),"",mQualidade.ClassificarMargem($O36))</f>
        <v>Dentro do orcamento</v>
      </c>
      <c r="Q36" s="117" t="str">
        <f t="shared" si="4"/>
        <v>OK</v>
      </c>
      <c r="R36" s="117" t="str">
        <f>IF($A36="","",mCEQ.StatusSDIeq($A36,eqAnoEP,IFERROR(INDEX(Analitos!$AR$4:$AR$43,MATCH($A36,Analitos!$A$4:$A$43,0)),"CAP"),eqRodada))</f>
        <v>SEM EP</v>
      </c>
      <c r="S36" s="117" t="str">
        <f>IF($A36="","",mCEQ.StatusLimitesEQ($A36,eqAnoEP,IFERROR(INDEX(Analitos!$AR$4:$AR$43,MATCH($A36,Analitos!$A$4:$A$43,0)),"CAP"),eqRodada))</f>
        <v>SEM EP</v>
      </c>
      <c r="T36" s="116" t="str">
        <f>IF($A36="","",mCEQ.BiasEQ($A36,eqAnoEP,"SIGNED",IFERROR(INDEX(Analitos!$AR$4:$AR$43,MATCH($A36,Analitos!$A$4:$A$43,0)),"CAP"),eqRodada))</f>
        <v>SEM EP</v>
      </c>
      <c r="U36" s="117" t="str">
        <f>IF(OR($P36="ETp excedido",$P36="Margem critica"),COUNTIF($P$14:$P36,"ETp excedido")+COUNTIF($P$14:$P36,"Margem critica"),"")</f>
        <v/>
      </c>
      <c r="V36" s="118">
        <f>IF(NOT(ISNUMBER($L36)),"",mPlanoQC.DPMdoSigma($L36))</f>
        <v>209651.56948876884</v>
      </c>
      <c r="W36" s="119">
        <f>IF(NOT(ISNUMBER($L36)),"",mPlanoQC.RendimentoDoSigma($L36))</f>
        <v>79.034843051123119</v>
      </c>
      <c r="X36" s="117" t="str">
        <f>IF(NOT(ISNUMBER($L36)),"",mPlanoQC.PlanoQC($L36,"REGRAS"))</f>
        <v>1_3s / 2of3_2s / R_4s / 3_1s / 6x</v>
      </c>
      <c r="Y36" s="120" t="str">
        <f>IF(NOT(ISNUMBER($L36)),"",mPlanoQC.PlanoQC($L36,"N"))</f>
        <v/>
      </c>
      <c r="Z36" s="121" t="str">
        <f>IF(NOT(ISNUMBER($L36)),"",mPlanoQC.PlanoQC($L36,"RUNSIZE"))</f>
        <v/>
      </c>
      <c r="AA36" s="117" t="str">
        <f>IF(NOT(ISNUMBER($L36)),"",mPlanoQC.CoberturaWestgard($L36))</f>
        <v>TOTAL</v>
      </c>
      <c r="AB36" s="117" t="str">
        <f t="shared" si="5"/>
        <v>PLT|2</v>
      </c>
      <c r="AC36" s="120" t="str">
        <f>IF($A36="","",mCEQ.BiasEQ($A36,eqAnoEP,"N",IFERROR(INDEX(Analitos!$AR$4:$AR$43,MATCH($A36,Analitos!$A$4:$A$43,0)),"CAP"),eqRodada))</f>
        <v>SEM EP</v>
      </c>
      <c r="AD36" s="120" t="str">
        <f>IF($A36="","",mCEQ.BiasEQ($A36,eqAnoEP,"NRODADAS",IFERROR(INDEX(Analitos!$AR$4:$AR$43,MATCH($A36,Analitos!$A$4:$A$43,0)),"CAP"),eqRodada))</f>
        <v>SEM EP</v>
      </c>
    </row>
    <row r="37" spans="1:30" x14ac:dyDescent="0.3">
      <c r="A37" s="110" t="str">
        <f>Analitos!$A$11</f>
        <v>PLT</v>
      </c>
      <c r="B37" s="111">
        <v>3</v>
      </c>
      <c r="C37" s="112">
        <f>IF($A37="","",IF(INDEX(engEstat,ROW()-13,3)="","",INDEX(engEstat,ROW()-13,3)))</f>
        <v>25</v>
      </c>
      <c r="D37" s="113">
        <f>IF($A37="","",IF(INDEX(engEstat,ROW()-13,4)="","",INDEX(engEstat,ROW()-13,4)))</f>
        <v>517.29893199999981</v>
      </c>
      <c r="E37" s="113">
        <f>IF($A37="","",IF(INDEX(engEstat,ROW()-13,5)="","",INDEX(engEstat,ROW()-13,5)))</f>
        <v>13.25278600218711</v>
      </c>
      <c r="F37" s="114">
        <f>IF($A37="","",IF(INDEX(engEstat,ROW()-13,6)="","",INDEX(engEstat,ROW()-13,6)))</f>
        <v>2.5619202326493715</v>
      </c>
      <c r="G37" s="114">
        <f>IF($A37="","",mCEQ.BiasEQ($A37,eqAnoEP,"ABS",eqProvedor,eqRodada))</f>
        <v>4.9625790617769878</v>
      </c>
      <c r="H37" s="114">
        <f t="shared" si="0"/>
        <v>9.1897474456484503</v>
      </c>
      <c r="I37" s="114" t="str">
        <f>IF($A37="","",IFERROR(INDEX(Analitos!$Q$4:$Q$43,MATCH($A37,Analitos!$A$4:$A$43,0)),""))</f>
        <v>CLIA</v>
      </c>
      <c r="J37" s="114">
        <f>IF($A37="","",IFERROR(IF($I37="VB",INDEX(Analitos!$T$4:$T$43,MATCH($A37,Analitos!$A$4:$A$43,0)),IF(INDEX(Analitos!$S$4:$S$43,MATCH($A37,Analitos!$A$4:$A$43,0))&lt;&gt;"",INDEX(Analitos!$S$4:$S$43,MATCH($A37,Analitos!$A$4:$A$43,0)),INDEX(Analitos!$T$4:$T$43,MATCH($A37,Analitos!$A$4:$A$43,0)))),""))</f>
        <v>5</v>
      </c>
      <c r="K37" s="114">
        <f>IF($A37="","",IFERROR(INDEX(Analitos!$R$4:$R$43,MATCH($A37,Analitos!$A$4:$A$43,0)),""))</f>
        <v>15</v>
      </c>
      <c r="L37" s="114">
        <f t="shared" si="1"/>
        <v>3.9179287513737155</v>
      </c>
      <c r="M37" s="114" t="str">
        <f>IF(NOT(ISNUMBER($L37)),"",mQualidade.ClassificarSigma($L37))</f>
        <v>Marginal</v>
      </c>
      <c r="N37" s="115">
        <f t="shared" si="2"/>
        <v>5.8102525543515497</v>
      </c>
      <c r="O37" s="116">
        <f t="shared" si="3"/>
        <v>38.735017029010329</v>
      </c>
      <c r="P37" s="117" t="str">
        <f>IF(NOT(ISNUMBER($O37)),"",mQualidade.ClassificarMargem($O37))</f>
        <v>Dentro do orcamento</v>
      </c>
      <c r="Q37" s="117" t="str">
        <f t="shared" si="4"/>
        <v>OK</v>
      </c>
      <c r="R37" s="117" t="str">
        <f>IF($A37="","",mCEQ.StatusSDIeq($A37,eqAnoEP,IFERROR(INDEX(Analitos!$AR$4:$AR$43,MATCH($A37,Analitos!$A$4:$A$43,0)),"CAP"),eqRodada))</f>
        <v>SEM EP</v>
      </c>
      <c r="S37" s="117" t="str">
        <f>IF($A37="","",mCEQ.StatusLimitesEQ($A37,eqAnoEP,IFERROR(INDEX(Analitos!$AR$4:$AR$43,MATCH($A37,Analitos!$A$4:$A$43,0)),"CAP"),eqRodada))</f>
        <v>SEM EP</v>
      </c>
      <c r="T37" s="116" t="str">
        <f>IF($A37="","",mCEQ.BiasEQ($A37,eqAnoEP,"SIGNED",IFERROR(INDEX(Analitos!$AR$4:$AR$43,MATCH($A37,Analitos!$A$4:$A$43,0)),"CAP"),eqRodada))</f>
        <v>SEM EP</v>
      </c>
      <c r="U37" s="117" t="str">
        <f>IF(OR($P37="ETp excedido",$P37="Margem critica"),COUNTIF($P$14:$P37,"ETp excedido")+COUNTIF($P$14:$P37,"Margem critica"),"")</f>
        <v/>
      </c>
      <c r="V37" s="118">
        <f>IF(NOT(ISNUMBER($L37)),"",mPlanoQC.DPMdoSigma($L37))</f>
        <v>7804.5664099202213</v>
      </c>
      <c r="W37" s="119">
        <f>IF(NOT(ISNUMBER($L37)),"",mPlanoQC.RendimentoDoSigma($L37))</f>
        <v>99.219543359007972</v>
      </c>
      <c r="X37" s="117" t="str">
        <f>IF(NOT(ISNUMBER($L37)),"",mPlanoQC.PlanoQC($L37,"REGRAS"))</f>
        <v>1_3s / 2of3_2s / R_4s / 3_1s / 6x</v>
      </c>
      <c r="Y37" s="120">
        <f>IF(NOT(ISNUMBER($L37)),"",mPlanoQC.PlanoQC($L37,"N"))</f>
        <v>6</v>
      </c>
      <c r="Z37" s="121">
        <f>IF(NOT(ISNUMBER($L37)),"",mPlanoQC.PlanoQC($L37,"RUNSIZE"))</f>
        <v>1</v>
      </c>
      <c r="AA37" s="117" t="str">
        <f>IF(NOT(ISNUMBER($L37)),"",mPlanoQC.CoberturaWestgard($L37))</f>
        <v>TOTAL</v>
      </c>
      <c r="AB37" s="117" t="str">
        <f t="shared" si="5"/>
        <v>PLT|3</v>
      </c>
      <c r="AC37" s="120" t="str">
        <f>IF($A37="","",mCEQ.BiasEQ($A37,eqAnoEP,"N",IFERROR(INDEX(Analitos!$AR$4:$AR$43,MATCH($A37,Analitos!$A$4:$A$43,0)),"CAP"),eqRodada))</f>
        <v>SEM EP</v>
      </c>
      <c r="AD37" s="120" t="str">
        <f>IF($A37="","",mCEQ.BiasEQ($A37,eqAnoEP,"NRODADAS",IFERROR(INDEX(Analitos!$AR$4:$AR$43,MATCH($A37,Analitos!$A$4:$A$43,0)),"CAP"),eqRodada))</f>
        <v>SEM EP</v>
      </c>
    </row>
    <row r="38" spans="1:30" x14ac:dyDescent="0.3">
      <c r="A38" s="110" t="str">
        <f>Analitos!$A$12</f>
        <v>NEUT%</v>
      </c>
      <c r="B38" s="111">
        <v>1</v>
      </c>
      <c r="C38" s="112">
        <f>IF($A38="","",IF(INDEX(engEstat,ROW()-13,3)="","",INDEX(engEstat,ROW()-13,3)))</f>
        <v>0</v>
      </c>
      <c r="D38" s="113" t="str">
        <f>IF($A38="","",IF(INDEX(engEstat,ROW()-13,4)="","",INDEX(engEstat,ROW()-13,4)))</f>
        <v/>
      </c>
      <c r="E38" s="113" t="str">
        <f>IF($A38="","",IF(INDEX(engEstat,ROW()-13,5)="","",INDEX(engEstat,ROW()-13,5)))</f>
        <v/>
      </c>
      <c r="F38" s="114" t="str">
        <f>IF($A38="","",IF(INDEX(engEstat,ROW()-13,6)="","",INDEX(engEstat,ROW()-13,6)))</f>
        <v/>
      </c>
      <c r="G38" s="114">
        <f>IF($A38="","",mCEQ.BiasEQ($A38,eqAnoEP,"ABS",eqProvedor,eqRodada))</f>
        <v>2.4651735196966431</v>
      </c>
      <c r="H38" s="114" t="str">
        <f t="shared" si="0"/>
        <v/>
      </c>
      <c r="I38" s="114" t="str">
        <f>IF($A38="","",IFERROR(INDEX(Analitos!$Q$4:$Q$43,MATCH($A38,Analitos!$A$4:$A$43,0)),""))</f>
        <v>VB</v>
      </c>
      <c r="J38" s="114">
        <f>IF($A38="","",IFERROR(IF($I38="VB",INDEX(Analitos!$T$4:$T$43,MATCH($A38,Analitos!$A$4:$A$43,0)),IF(INDEX(Analitos!$S$4:$S$43,MATCH($A38,Analitos!$A$4:$A$43,0))&lt;&gt;"",INDEX(Analitos!$S$4:$S$43,MATCH($A38,Analitos!$A$4:$A$43,0)),INDEX(Analitos!$T$4:$T$43,MATCH($A38,Analitos!$A$4:$A$43,0)))),""))</f>
        <v>10.5</v>
      </c>
      <c r="K38" s="114">
        <f>IF($A38="","",IFERROR(INDEX(Analitos!$R$4:$R$43,MATCH($A38,Analitos!$A$4:$A$43,0)),""))</f>
        <v>27.582809524942444</v>
      </c>
      <c r="L38" s="114" t="str">
        <f t="shared" si="1"/>
        <v/>
      </c>
      <c r="M38" s="114" t="str">
        <f>IF(NOT(ISNUMBER($L38)),"",mQualidade.ClassificarSigma($L38))</f>
        <v/>
      </c>
      <c r="N38" s="115" t="str">
        <f t="shared" si="2"/>
        <v/>
      </c>
      <c r="O38" s="116" t="str">
        <f t="shared" si="3"/>
        <v/>
      </c>
      <c r="P38" s="117" t="str">
        <f>IF(NOT(ISNUMBER($O38)),"",mQualidade.ClassificarMargem($O38))</f>
        <v/>
      </c>
      <c r="Q38" s="117" t="str">
        <f t="shared" si="4"/>
        <v/>
      </c>
      <c r="R38" s="117" t="str">
        <f>IF($A38="","",mCEQ.StatusSDIeq($A38,eqAnoEP,IFERROR(INDEX(Analitos!$AR$4:$AR$43,MATCH($A38,Analitos!$A$4:$A$43,0)),"CAP"),eqRodada))</f>
        <v>SEM EP</v>
      </c>
      <c r="S38" s="117" t="str">
        <f>IF($A38="","",mCEQ.StatusLimitesEQ($A38,eqAnoEP,IFERROR(INDEX(Analitos!$AR$4:$AR$43,MATCH($A38,Analitos!$A$4:$A$43,0)),"CAP"),eqRodada))</f>
        <v>SEM EP</v>
      </c>
      <c r="T38" s="116" t="str">
        <f>IF($A38="","",mCEQ.BiasEQ($A38,eqAnoEP,"SIGNED",IFERROR(INDEX(Analitos!$AR$4:$AR$43,MATCH($A38,Analitos!$A$4:$A$43,0)),"CAP"),eqRodada))</f>
        <v>SEM EP</v>
      </c>
      <c r="U38" s="117" t="str">
        <f>IF(OR($P38="ETp excedido",$P38="Margem critica"),COUNTIF($P$14:$P38,"ETp excedido")+COUNTIF($P$14:$P38,"Margem critica"),"")</f>
        <v/>
      </c>
      <c r="V38" s="118" t="str">
        <f>IF(NOT(ISNUMBER($L38)),"",mPlanoQC.DPMdoSigma($L38))</f>
        <v/>
      </c>
      <c r="W38" s="119" t="str">
        <f>IF(NOT(ISNUMBER($L38)),"",mPlanoQC.RendimentoDoSigma($L38))</f>
        <v/>
      </c>
      <c r="X38" s="117" t="str">
        <f>IF(NOT(ISNUMBER($L38)),"",mPlanoQC.PlanoQC($L38,"REGRAS"))</f>
        <v/>
      </c>
      <c r="Y38" s="120" t="str">
        <f>IF(NOT(ISNUMBER($L38)),"",mPlanoQC.PlanoQC($L38,"N"))</f>
        <v/>
      </c>
      <c r="Z38" s="121" t="str">
        <f>IF(NOT(ISNUMBER($L38)),"",mPlanoQC.PlanoQC($L38,"RUNSIZE"))</f>
        <v/>
      </c>
      <c r="AA38" s="117" t="str">
        <f>IF(NOT(ISNUMBER($L38)),"",mPlanoQC.CoberturaWestgard($L38))</f>
        <v/>
      </c>
      <c r="AB38" s="117" t="str">
        <f t="shared" si="5"/>
        <v>NEUT%|1</v>
      </c>
      <c r="AC38" s="120" t="str">
        <f>IF($A38="","",mCEQ.BiasEQ($A38,eqAnoEP,"N",IFERROR(INDEX(Analitos!$AR$4:$AR$43,MATCH($A38,Analitos!$A$4:$A$43,0)),"CAP"),eqRodada))</f>
        <v>SEM EP</v>
      </c>
      <c r="AD38" s="120" t="str">
        <f>IF($A38="","",mCEQ.BiasEQ($A38,eqAnoEP,"NRODADAS",IFERROR(INDEX(Analitos!$AR$4:$AR$43,MATCH($A38,Analitos!$A$4:$A$43,0)),"CAP"),eqRodada))</f>
        <v>SEM EP</v>
      </c>
    </row>
    <row r="39" spans="1:30" x14ac:dyDescent="0.3">
      <c r="A39" s="110" t="str">
        <f>Analitos!$A$12</f>
        <v>NEUT%</v>
      </c>
      <c r="B39" s="111">
        <v>2</v>
      </c>
      <c r="C39" s="112">
        <f>IF($A39="","",IF(INDEX(engEstat,ROW()-13,3)="","",INDEX(engEstat,ROW()-13,3)))</f>
        <v>0</v>
      </c>
      <c r="D39" s="113" t="str">
        <f>IF($A39="","",IF(INDEX(engEstat,ROW()-13,4)="","",INDEX(engEstat,ROW()-13,4)))</f>
        <v/>
      </c>
      <c r="E39" s="113" t="str">
        <f>IF($A39="","",IF(INDEX(engEstat,ROW()-13,5)="","",INDEX(engEstat,ROW()-13,5)))</f>
        <v/>
      </c>
      <c r="F39" s="114" t="str">
        <f>IF($A39="","",IF(INDEX(engEstat,ROW()-13,6)="","",INDEX(engEstat,ROW()-13,6)))</f>
        <v/>
      </c>
      <c r="G39" s="114">
        <f>IF($A39="","",mCEQ.BiasEQ($A39,eqAnoEP,"ABS",eqProvedor,eqRodada))</f>
        <v>2.4651735196966431</v>
      </c>
      <c r="H39" s="114" t="str">
        <f t="shared" si="0"/>
        <v/>
      </c>
      <c r="I39" s="114" t="str">
        <f>IF($A39="","",IFERROR(INDEX(Analitos!$Q$4:$Q$43,MATCH($A39,Analitos!$A$4:$A$43,0)),""))</f>
        <v>VB</v>
      </c>
      <c r="J39" s="114">
        <f>IF($A39="","",IFERROR(IF($I39="VB",INDEX(Analitos!$T$4:$T$43,MATCH($A39,Analitos!$A$4:$A$43,0)),IF(INDEX(Analitos!$S$4:$S$43,MATCH($A39,Analitos!$A$4:$A$43,0))&lt;&gt;"",INDEX(Analitos!$S$4:$S$43,MATCH($A39,Analitos!$A$4:$A$43,0)),INDEX(Analitos!$T$4:$T$43,MATCH($A39,Analitos!$A$4:$A$43,0)))),""))</f>
        <v>10.5</v>
      </c>
      <c r="K39" s="114">
        <f>IF($A39="","",IFERROR(INDEX(Analitos!$R$4:$R$43,MATCH($A39,Analitos!$A$4:$A$43,0)),""))</f>
        <v>27.582809524942444</v>
      </c>
      <c r="L39" s="114" t="str">
        <f t="shared" si="1"/>
        <v/>
      </c>
      <c r="M39" s="114" t="str">
        <f>IF(NOT(ISNUMBER($L39)),"",mQualidade.ClassificarSigma($L39))</f>
        <v/>
      </c>
      <c r="N39" s="115" t="str">
        <f t="shared" si="2"/>
        <v/>
      </c>
      <c r="O39" s="116" t="str">
        <f t="shared" si="3"/>
        <v/>
      </c>
      <c r="P39" s="117" t="str">
        <f>IF(NOT(ISNUMBER($O39)),"",mQualidade.ClassificarMargem($O39))</f>
        <v/>
      </c>
      <c r="Q39" s="117" t="str">
        <f t="shared" si="4"/>
        <v/>
      </c>
      <c r="R39" s="117" t="str">
        <f>IF($A39="","",mCEQ.StatusSDIeq($A39,eqAnoEP,IFERROR(INDEX(Analitos!$AR$4:$AR$43,MATCH($A39,Analitos!$A$4:$A$43,0)),"CAP"),eqRodada))</f>
        <v>SEM EP</v>
      </c>
      <c r="S39" s="117" t="str">
        <f>IF($A39="","",mCEQ.StatusLimitesEQ($A39,eqAnoEP,IFERROR(INDEX(Analitos!$AR$4:$AR$43,MATCH($A39,Analitos!$A$4:$A$43,0)),"CAP"),eqRodada))</f>
        <v>SEM EP</v>
      </c>
      <c r="T39" s="116" t="str">
        <f>IF($A39="","",mCEQ.BiasEQ($A39,eqAnoEP,"SIGNED",IFERROR(INDEX(Analitos!$AR$4:$AR$43,MATCH($A39,Analitos!$A$4:$A$43,0)),"CAP"),eqRodada))</f>
        <v>SEM EP</v>
      </c>
      <c r="U39" s="117" t="str">
        <f>IF(OR($P39="ETp excedido",$P39="Margem critica"),COUNTIF($P$14:$P39,"ETp excedido")+COUNTIF($P$14:$P39,"Margem critica"),"")</f>
        <v/>
      </c>
      <c r="V39" s="118" t="str">
        <f>IF(NOT(ISNUMBER($L39)),"",mPlanoQC.DPMdoSigma($L39))</f>
        <v/>
      </c>
      <c r="W39" s="119" t="str">
        <f>IF(NOT(ISNUMBER($L39)),"",mPlanoQC.RendimentoDoSigma($L39))</f>
        <v/>
      </c>
      <c r="X39" s="117" t="str">
        <f>IF(NOT(ISNUMBER($L39)),"",mPlanoQC.PlanoQC($L39,"REGRAS"))</f>
        <v/>
      </c>
      <c r="Y39" s="120" t="str">
        <f>IF(NOT(ISNUMBER($L39)),"",mPlanoQC.PlanoQC($L39,"N"))</f>
        <v/>
      </c>
      <c r="Z39" s="121" t="str">
        <f>IF(NOT(ISNUMBER($L39)),"",mPlanoQC.PlanoQC($L39,"RUNSIZE"))</f>
        <v/>
      </c>
      <c r="AA39" s="117" t="str">
        <f>IF(NOT(ISNUMBER($L39)),"",mPlanoQC.CoberturaWestgard($L39))</f>
        <v/>
      </c>
      <c r="AB39" s="117" t="str">
        <f t="shared" si="5"/>
        <v>NEUT%|2</v>
      </c>
      <c r="AC39" s="120" t="str">
        <f>IF($A39="","",mCEQ.BiasEQ($A39,eqAnoEP,"N",IFERROR(INDEX(Analitos!$AR$4:$AR$43,MATCH($A39,Analitos!$A$4:$A$43,0)),"CAP"),eqRodada))</f>
        <v>SEM EP</v>
      </c>
      <c r="AD39" s="120" t="str">
        <f>IF($A39="","",mCEQ.BiasEQ($A39,eqAnoEP,"NRODADAS",IFERROR(INDEX(Analitos!$AR$4:$AR$43,MATCH($A39,Analitos!$A$4:$A$43,0)),"CAP"),eqRodada))</f>
        <v>SEM EP</v>
      </c>
    </row>
    <row r="40" spans="1:30" x14ac:dyDescent="0.3">
      <c r="A40" s="110" t="str">
        <f>Analitos!$A$12</f>
        <v>NEUT%</v>
      </c>
      <c r="B40" s="111">
        <v>3</v>
      </c>
      <c r="C40" s="112">
        <f>IF($A40="","",IF(INDEX(engEstat,ROW()-13,3)="","",INDEX(engEstat,ROW()-13,3)))</f>
        <v>0</v>
      </c>
      <c r="D40" s="113" t="str">
        <f>IF($A40="","",IF(INDEX(engEstat,ROW()-13,4)="","",INDEX(engEstat,ROW()-13,4)))</f>
        <v/>
      </c>
      <c r="E40" s="113" t="str">
        <f>IF($A40="","",IF(INDEX(engEstat,ROW()-13,5)="","",INDEX(engEstat,ROW()-13,5)))</f>
        <v/>
      </c>
      <c r="F40" s="114" t="str">
        <f>IF($A40="","",IF(INDEX(engEstat,ROW()-13,6)="","",INDEX(engEstat,ROW()-13,6)))</f>
        <v/>
      </c>
      <c r="G40" s="114">
        <f>IF($A40="","",mCEQ.BiasEQ($A40,eqAnoEP,"ABS",eqProvedor,eqRodada))</f>
        <v>2.4651735196966431</v>
      </c>
      <c r="H40" s="114" t="str">
        <f t="shared" si="0"/>
        <v/>
      </c>
      <c r="I40" s="114" t="str">
        <f>IF($A40="","",IFERROR(INDEX(Analitos!$Q$4:$Q$43,MATCH($A40,Analitos!$A$4:$A$43,0)),""))</f>
        <v>VB</v>
      </c>
      <c r="J40" s="114">
        <f>IF($A40="","",IFERROR(IF($I40="VB",INDEX(Analitos!$T$4:$T$43,MATCH($A40,Analitos!$A$4:$A$43,0)),IF(INDEX(Analitos!$S$4:$S$43,MATCH($A40,Analitos!$A$4:$A$43,0))&lt;&gt;"",INDEX(Analitos!$S$4:$S$43,MATCH($A40,Analitos!$A$4:$A$43,0)),INDEX(Analitos!$T$4:$T$43,MATCH($A40,Analitos!$A$4:$A$43,0)))),""))</f>
        <v>10.5</v>
      </c>
      <c r="K40" s="114">
        <f>IF($A40="","",IFERROR(INDEX(Analitos!$R$4:$R$43,MATCH($A40,Analitos!$A$4:$A$43,0)),""))</f>
        <v>27.582809524942444</v>
      </c>
      <c r="L40" s="114" t="str">
        <f t="shared" si="1"/>
        <v/>
      </c>
      <c r="M40" s="114" t="str">
        <f>IF(NOT(ISNUMBER($L40)),"",mQualidade.ClassificarSigma($L40))</f>
        <v/>
      </c>
      <c r="N40" s="115" t="str">
        <f t="shared" si="2"/>
        <v/>
      </c>
      <c r="O40" s="116" t="str">
        <f t="shared" si="3"/>
        <v/>
      </c>
      <c r="P40" s="117" t="str">
        <f>IF(NOT(ISNUMBER($O40)),"",mQualidade.ClassificarMargem($O40))</f>
        <v/>
      </c>
      <c r="Q40" s="117" t="str">
        <f t="shared" si="4"/>
        <v/>
      </c>
      <c r="R40" s="117" t="str">
        <f>IF($A40="","",mCEQ.StatusSDIeq($A40,eqAnoEP,IFERROR(INDEX(Analitos!$AR$4:$AR$43,MATCH($A40,Analitos!$A$4:$A$43,0)),"CAP"),eqRodada))</f>
        <v>SEM EP</v>
      </c>
      <c r="S40" s="117" t="str">
        <f>IF($A40="","",mCEQ.StatusLimitesEQ($A40,eqAnoEP,IFERROR(INDEX(Analitos!$AR$4:$AR$43,MATCH($A40,Analitos!$A$4:$A$43,0)),"CAP"),eqRodada))</f>
        <v>SEM EP</v>
      </c>
      <c r="T40" s="116" t="str">
        <f>IF($A40="","",mCEQ.BiasEQ($A40,eqAnoEP,"SIGNED",IFERROR(INDEX(Analitos!$AR$4:$AR$43,MATCH($A40,Analitos!$A$4:$A$43,0)),"CAP"),eqRodada))</f>
        <v>SEM EP</v>
      </c>
      <c r="U40" s="117" t="str">
        <f>IF(OR($P40="ETp excedido",$P40="Margem critica"),COUNTIF($P$14:$P40,"ETp excedido")+COUNTIF($P$14:$P40,"Margem critica"),"")</f>
        <v/>
      </c>
      <c r="V40" s="118" t="str">
        <f>IF(NOT(ISNUMBER($L40)),"",mPlanoQC.DPMdoSigma($L40))</f>
        <v/>
      </c>
      <c r="W40" s="119" t="str">
        <f>IF(NOT(ISNUMBER($L40)),"",mPlanoQC.RendimentoDoSigma($L40))</f>
        <v/>
      </c>
      <c r="X40" s="117" t="str">
        <f>IF(NOT(ISNUMBER($L40)),"",mPlanoQC.PlanoQC($L40,"REGRAS"))</f>
        <v/>
      </c>
      <c r="Y40" s="120" t="str">
        <f>IF(NOT(ISNUMBER($L40)),"",mPlanoQC.PlanoQC($L40,"N"))</f>
        <v/>
      </c>
      <c r="Z40" s="121" t="str">
        <f>IF(NOT(ISNUMBER($L40)),"",mPlanoQC.PlanoQC($L40,"RUNSIZE"))</f>
        <v/>
      </c>
      <c r="AA40" s="117" t="str">
        <f>IF(NOT(ISNUMBER($L40)),"",mPlanoQC.CoberturaWestgard($L40))</f>
        <v/>
      </c>
      <c r="AB40" s="117" t="str">
        <f t="shared" si="5"/>
        <v>NEUT%|3</v>
      </c>
      <c r="AC40" s="120" t="str">
        <f>IF($A40="","",mCEQ.BiasEQ($A40,eqAnoEP,"N",IFERROR(INDEX(Analitos!$AR$4:$AR$43,MATCH($A40,Analitos!$A$4:$A$43,0)),"CAP"),eqRodada))</f>
        <v>SEM EP</v>
      </c>
      <c r="AD40" s="120" t="str">
        <f>IF($A40="","",mCEQ.BiasEQ($A40,eqAnoEP,"NRODADAS",IFERROR(INDEX(Analitos!$AR$4:$AR$43,MATCH($A40,Analitos!$A$4:$A$43,0)),"CAP"),eqRodada))</f>
        <v>SEM EP</v>
      </c>
    </row>
    <row r="41" spans="1:30" x14ac:dyDescent="0.3">
      <c r="A41" s="110" t="str">
        <f>Analitos!$A$13</f>
        <v>LYMPH%</v>
      </c>
      <c r="B41" s="111">
        <v>1</v>
      </c>
      <c r="C41" s="112">
        <f>IF($A41="","",IF(INDEX(engEstat,ROW()-13,3)="","",INDEX(engEstat,ROW()-13,3)))</f>
        <v>0</v>
      </c>
      <c r="D41" s="113" t="str">
        <f>IF($A41="","",IF(INDEX(engEstat,ROW()-13,4)="","",INDEX(engEstat,ROW()-13,4)))</f>
        <v/>
      </c>
      <c r="E41" s="113" t="str">
        <f>IF($A41="","",IF(INDEX(engEstat,ROW()-13,5)="","",INDEX(engEstat,ROW()-13,5)))</f>
        <v/>
      </c>
      <c r="F41" s="114" t="str">
        <f>IF($A41="","",IF(INDEX(engEstat,ROW()-13,6)="","",INDEX(engEstat,ROW()-13,6)))</f>
        <v/>
      </c>
      <c r="G41" s="114">
        <f>IF($A41="","",mCEQ.BiasEQ($A41,eqAnoEP,"ABS",eqProvedor,eqRodada))</f>
        <v>3.6293510465738983</v>
      </c>
      <c r="H41" s="114" t="str">
        <f t="shared" si="0"/>
        <v/>
      </c>
      <c r="I41" s="114" t="str">
        <f>IF($A41="","",IFERROR(INDEX(Analitos!$Q$4:$Q$43,MATCH($A41,Analitos!$A$4:$A$43,0)),""))</f>
        <v>VB</v>
      </c>
      <c r="J41" s="114">
        <f>IF($A41="","",IFERROR(IF($I41="VB",INDEX(Analitos!$T$4:$T$43,MATCH($A41,Analitos!$A$4:$A$43,0)),IF(INDEX(Analitos!$S$4:$S$43,MATCH($A41,Analitos!$A$4:$A$43,0))&lt;&gt;"",INDEX(Analitos!$S$4:$S$43,MATCH($A41,Analitos!$A$4:$A$43,0)),INDEX(Analitos!$T$4:$T$43,MATCH($A41,Analitos!$A$4:$A$43,0)))),""))</f>
        <v>8.1000000000000014</v>
      </c>
      <c r="K41" s="114">
        <f>IF($A41="","",IFERROR(INDEX(Analitos!$R$4:$R$43,MATCH($A41,Analitos!$A$4:$A$43,0)),""))</f>
        <v>22.757982753098187</v>
      </c>
      <c r="L41" s="114" t="str">
        <f t="shared" si="1"/>
        <v/>
      </c>
      <c r="M41" s="114" t="str">
        <f>IF(NOT(ISNUMBER($L41)),"",mQualidade.ClassificarSigma($L41))</f>
        <v/>
      </c>
      <c r="N41" s="115" t="str">
        <f t="shared" si="2"/>
        <v/>
      </c>
      <c r="O41" s="116" t="str">
        <f t="shared" si="3"/>
        <v/>
      </c>
      <c r="P41" s="117" t="str">
        <f>IF(NOT(ISNUMBER($O41)),"",mQualidade.ClassificarMargem($O41))</f>
        <v/>
      </c>
      <c r="Q41" s="117" t="str">
        <f t="shared" si="4"/>
        <v/>
      </c>
      <c r="R41" s="117" t="str">
        <f>IF($A41="","",mCEQ.StatusSDIeq($A41,eqAnoEP,IFERROR(INDEX(Analitos!$AR$4:$AR$43,MATCH($A41,Analitos!$A$4:$A$43,0)),"CAP"),eqRodada))</f>
        <v>SEM EP</v>
      </c>
      <c r="S41" s="117" t="str">
        <f>IF($A41="","",mCEQ.StatusLimitesEQ($A41,eqAnoEP,IFERROR(INDEX(Analitos!$AR$4:$AR$43,MATCH($A41,Analitos!$A$4:$A$43,0)),"CAP"),eqRodada))</f>
        <v>SEM EP</v>
      </c>
      <c r="T41" s="116" t="str">
        <f>IF($A41="","",mCEQ.BiasEQ($A41,eqAnoEP,"SIGNED",IFERROR(INDEX(Analitos!$AR$4:$AR$43,MATCH($A41,Analitos!$A$4:$A$43,0)),"CAP"),eqRodada))</f>
        <v>SEM EP</v>
      </c>
      <c r="U41" s="117" t="str">
        <f>IF(OR($P41="ETp excedido",$P41="Margem critica"),COUNTIF($P$14:$P41,"ETp excedido")+COUNTIF($P$14:$P41,"Margem critica"),"")</f>
        <v/>
      </c>
      <c r="V41" s="118" t="str">
        <f>IF(NOT(ISNUMBER($L41)),"",mPlanoQC.DPMdoSigma($L41))</f>
        <v/>
      </c>
      <c r="W41" s="119" t="str">
        <f>IF(NOT(ISNUMBER($L41)),"",mPlanoQC.RendimentoDoSigma($L41))</f>
        <v/>
      </c>
      <c r="X41" s="117" t="str">
        <f>IF(NOT(ISNUMBER($L41)),"",mPlanoQC.PlanoQC($L41,"REGRAS"))</f>
        <v/>
      </c>
      <c r="Y41" s="120" t="str">
        <f>IF(NOT(ISNUMBER($L41)),"",mPlanoQC.PlanoQC($L41,"N"))</f>
        <v/>
      </c>
      <c r="Z41" s="121" t="str">
        <f>IF(NOT(ISNUMBER($L41)),"",mPlanoQC.PlanoQC($L41,"RUNSIZE"))</f>
        <v/>
      </c>
      <c r="AA41" s="117" t="str">
        <f>IF(NOT(ISNUMBER($L41)),"",mPlanoQC.CoberturaWestgard($L41))</f>
        <v/>
      </c>
      <c r="AB41" s="117" t="str">
        <f t="shared" si="5"/>
        <v>LYMPH%|1</v>
      </c>
      <c r="AC41" s="120" t="str">
        <f>IF($A41="","",mCEQ.BiasEQ($A41,eqAnoEP,"N",IFERROR(INDEX(Analitos!$AR$4:$AR$43,MATCH($A41,Analitos!$A$4:$A$43,0)),"CAP"),eqRodada))</f>
        <v>SEM EP</v>
      </c>
      <c r="AD41" s="120" t="str">
        <f>IF($A41="","",mCEQ.BiasEQ($A41,eqAnoEP,"NRODADAS",IFERROR(INDEX(Analitos!$AR$4:$AR$43,MATCH($A41,Analitos!$A$4:$A$43,0)),"CAP"),eqRodada))</f>
        <v>SEM EP</v>
      </c>
    </row>
    <row r="42" spans="1:30" x14ac:dyDescent="0.3">
      <c r="A42" s="110" t="str">
        <f>Analitos!$A$13</f>
        <v>LYMPH%</v>
      </c>
      <c r="B42" s="111">
        <v>2</v>
      </c>
      <c r="C42" s="112">
        <f>IF($A42="","",IF(INDEX(engEstat,ROW()-13,3)="","",INDEX(engEstat,ROW()-13,3)))</f>
        <v>0</v>
      </c>
      <c r="D42" s="113" t="str">
        <f>IF($A42="","",IF(INDEX(engEstat,ROW()-13,4)="","",INDEX(engEstat,ROW()-13,4)))</f>
        <v/>
      </c>
      <c r="E42" s="113" t="str">
        <f>IF($A42="","",IF(INDEX(engEstat,ROW()-13,5)="","",INDEX(engEstat,ROW()-13,5)))</f>
        <v/>
      </c>
      <c r="F42" s="114" t="str">
        <f>IF($A42="","",IF(INDEX(engEstat,ROW()-13,6)="","",INDEX(engEstat,ROW()-13,6)))</f>
        <v/>
      </c>
      <c r="G42" s="114">
        <f>IF($A42="","",mCEQ.BiasEQ($A42,eqAnoEP,"ABS",eqProvedor,eqRodada))</f>
        <v>3.6293510465738983</v>
      </c>
      <c r="H42" s="114" t="str">
        <f t="shared" si="0"/>
        <v/>
      </c>
      <c r="I42" s="114" t="str">
        <f>IF($A42="","",IFERROR(INDEX(Analitos!$Q$4:$Q$43,MATCH($A42,Analitos!$A$4:$A$43,0)),""))</f>
        <v>VB</v>
      </c>
      <c r="J42" s="114">
        <f>IF($A42="","",IFERROR(IF($I42="VB",INDEX(Analitos!$T$4:$T$43,MATCH($A42,Analitos!$A$4:$A$43,0)),IF(INDEX(Analitos!$S$4:$S$43,MATCH($A42,Analitos!$A$4:$A$43,0))&lt;&gt;"",INDEX(Analitos!$S$4:$S$43,MATCH($A42,Analitos!$A$4:$A$43,0)),INDEX(Analitos!$T$4:$T$43,MATCH($A42,Analitos!$A$4:$A$43,0)))),""))</f>
        <v>8.1000000000000014</v>
      </c>
      <c r="K42" s="114">
        <f>IF($A42="","",IFERROR(INDEX(Analitos!$R$4:$R$43,MATCH($A42,Analitos!$A$4:$A$43,0)),""))</f>
        <v>22.757982753098187</v>
      </c>
      <c r="L42" s="114" t="str">
        <f t="shared" si="1"/>
        <v/>
      </c>
      <c r="M42" s="114" t="str">
        <f>IF(NOT(ISNUMBER($L42)),"",mQualidade.ClassificarSigma($L42))</f>
        <v/>
      </c>
      <c r="N42" s="115" t="str">
        <f t="shared" si="2"/>
        <v/>
      </c>
      <c r="O42" s="116" t="str">
        <f t="shared" si="3"/>
        <v/>
      </c>
      <c r="P42" s="117" t="str">
        <f>IF(NOT(ISNUMBER($O42)),"",mQualidade.ClassificarMargem($O42))</f>
        <v/>
      </c>
      <c r="Q42" s="117" t="str">
        <f t="shared" si="4"/>
        <v/>
      </c>
      <c r="R42" s="117" t="str">
        <f>IF($A42="","",mCEQ.StatusSDIeq($A42,eqAnoEP,IFERROR(INDEX(Analitos!$AR$4:$AR$43,MATCH($A42,Analitos!$A$4:$A$43,0)),"CAP"),eqRodada))</f>
        <v>SEM EP</v>
      </c>
      <c r="S42" s="117" t="str">
        <f>IF($A42="","",mCEQ.StatusLimitesEQ($A42,eqAnoEP,IFERROR(INDEX(Analitos!$AR$4:$AR$43,MATCH($A42,Analitos!$A$4:$A$43,0)),"CAP"),eqRodada))</f>
        <v>SEM EP</v>
      </c>
      <c r="T42" s="116" t="str">
        <f>IF($A42="","",mCEQ.BiasEQ($A42,eqAnoEP,"SIGNED",IFERROR(INDEX(Analitos!$AR$4:$AR$43,MATCH($A42,Analitos!$A$4:$A$43,0)),"CAP"),eqRodada))</f>
        <v>SEM EP</v>
      </c>
      <c r="U42" s="117" t="str">
        <f>IF(OR($P42="ETp excedido",$P42="Margem critica"),COUNTIF($P$14:$P42,"ETp excedido")+COUNTIF($P$14:$P42,"Margem critica"),"")</f>
        <v/>
      </c>
      <c r="V42" s="118" t="str">
        <f>IF(NOT(ISNUMBER($L42)),"",mPlanoQC.DPMdoSigma($L42))</f>
        <v/>
      </c>
      <c r="W42" s="119" t="str">
        <f>IF(NOT(ISNUMBER($L42)),"",mPlanoQC.RendimentoDoSigma($L42))</f>
        <v/>
      </c>
      <c r="X42" s="117" t="str">
        <f>IF(NOT(ISNUMBER($L42)),"",mPlanoQC.PlanoQC($L42,"REGRAS"))</f>
        <v/>
      </c>
      <c r="Y42" s="120" t="str">
        <f>IF(NOT(ISNUMBER($L42)),"",mPlanoQC.PlanoQC($L42,"N"))</f>
        <v/>
      </c>
      <c r="Z42" s="121" t="str">
        <f>IF(NOT(ISNUMBER($L42)),"",mPlanoQC.PlanoQC($L42,"RUNSIZE"))</f>
        <v/>
      </c>
      <c r="AA42" s="117" t="str">
        <f>IF(NOT(ISNUMBER($L42)),"",mPlanoQC.CoberturaWestgard($L42))</f>
        <v/>
      </c>
      <c r="AB42" s="117" t="str">
        <f t="shared" si="5"/>
        <v>LYMPH%|2</v>
      </c>
      <c r="AC42" s="120" t="str">
        <f>IF($A42="","",mCEQ.BiasEQ($A42,eqAnoEP,"N",IFERROR(INDEX(Analitos!$AR$4:$AR$43,MATCH($A42,Analitos!$A$4:$A$43,0)),"CAP"),eqRodada))</f>
        <v>SEM EP</v>
      </c>
      <c r="AD42" s="120" t="str">
        <f>IF($A42="","",mCEQ.BiasEQ($A42,eqAnoEP,"NRODADAS",IFERROR(INDEX(Analitos!$AR$4:$AR$43,MATCH($A42,Analitos!$A$4:$A$43,0)),"CAP"),eqRodada))</f>
        <v>SEM EP</v>
      </c>
    </row>
    <row r="43" spans="1:30" x14ac:dyDescent="0.3">
      <c r="A43" s="110" t="str">
        <f>Analitos!$A$13</f>
        <v>LYMPH%</v>
      </c>
      <c r="B43" s="111">
        <v>3</v>
      </c>
      <c r="C43" s="112">
        <f>IF($A43="","",IF(INDEX(engEstat,ROW()-13,3)="","",INDEX(engEstat,ROW()-13,3)))</f>
        <v>0</v>
      </c>
      <c r="D43" s="113" t="str">
        <f>IF($A43="","",IF(INDEX(engEstat,ROW()-13,4)="","",INDEX(engEstat,ROW()-13,4)))</f>
        <v/>
      </c>
      <c r="E43" s="113" t="str">
        <f>IF($A43="","",IF(INDEX(engEstat,ROW()-13,5)="","",INDEX(engEstat,ROW()-13,5)))</f>
        <v/>
      </c>
      <c r="F43" s="114" t="str">
        <f>IF($A43="","",IF(INDEX(engEstat,ROW()-13,6)="","",INDEX(engEstat,ROW()-13,6)))</f>
        <v/>
      </c>
      <c r="G43" s="114">
        <f>IF($A43="","",mCEQ.BiasEQ($A43,eqAnoEP,"ABS",eqProvedor,eqRodada))</f>
        <v>3.6293510465738983</v>
      </c>
      <c r="H43" s="114" t="str">
        <f t="shared" si="0"/>
        <v/>
      </c>
      <c r="I43" s="114" t="str">
        <f>IF($A43="","",IFERROR(INDEX(Analitos!$Q$4:$Q$43,MATCH($A43,Analitos!$A$4:$A$43,0)),""))</f>
        <v>VB</v>
      </c>
      <c r="J43" s="114">
        <f>IF($A43="","",IFERROR(IF($I43="VB",INDEX(Analitos!$T$4:$T$43,MATCH($A43,Analitos!$A$4:$A$43,0)),IF(INDEX(Analitos!$S$4:$S$43,MATCH($A43,Analitos!$A$4:$A$43,0))&lt;&gt;"",INDEX(Analitos!$S$4:$S$43,MATCH($A43,Analitos!$A$4:$A$43,0)),INDEX(Analitos!$T$4:$T$43,MATCH($A43,Analitos!$A$4:$A$43,0)))),""))</f>
        <v>8.1000000000000014</v>
      </c>
      <c r="K43" s="114">
        <f>IF($A43="","",IFERROR(INDEX(Analitos!$R$4:$R$43,MATCH($A43,Analitos!$A$4:$A$43,0)),""))</f>
        <v>22.757982753098187</v>
      </c>
      <c r="L43" s="114" t="str">
        <f t="shared" si="1"/>
        <v/>
      </c>
      <c r="M43" s="114" t="str">
        <f>IF(NOT(ISNUMBER($L43)),"",mQualidade.ClassificarSigma($L43))</f>
        <v/>
      </c>
      <c r="N43" s="115" t="str">
        <f t="shared" si="2"/>
        <v/>
      </c>
      <c r="O43" s="116" t="str">
        <f t="shared" si="3"/>
        <v/>
      </c>
      <c r="P43" s="117" t="str">
        <f>IF(NOT(ISNUMBER($O43)),"",mQualidade.ClassificarMargem($O43))</f>
        <v/>
      </c>
      <c r="Q43" s="117" t="str">
        <f t="shared" si="4"/>
        <v/>
      </c>
      <c r="R43" s="117" t="str">
        <f>IF($A43="","",mCEQ.StatusSDIeq($A43,eqAnoEP,IFERROR(INDEX(Analitos!$AR$4:$AR$43,MATCH($A43,Analitos!$A$4:$A$43,0)),"CAP"),eqRodada))</f>
        <v>SEM EP</v>
      </c>
      <c r="S43" s="117" t="str">
        <f>IF($A43="","",mCEQ.StatusLimitesEQ($A43,eqAnoEP,IFERROR(INDEX(Analitos!$AR$4:$AR$43,MATCH($A43,Analitos!$A$4:$A$43,0)),"CAP"),eqRodada))</f>
        <v>SEM EP</v>
      </c>
      <c r="T43" s="116" t="str">
        <f>IF($A43="","",mCEQ.BiasEQ($A43,eqAnoEP,"SIGNED",IFERROR(INDEX(Analitos!$AR$4:$AR$43,MATCH($A43,Analitos!$A$4:$A$43,0)),"CAP"),eqRodada))</f>
        <v>SEM EP</v>
      </c>
      <c r="U43" s="117" t="str">
        <f>IF(OR($P43="ETp excedido",$P43="Margem critica"),COUNTIF($P$14:$P43,"ETp excedido")+COUNTIF($P$14:$P43,"Margem critica"),"")</f>
        <v/>
      </c>
      <c r="V43" s="118" t="str">
        <f>IF(NOT(ISNUMBER($L43)),"",mPlanoQC.DPMdoSigma($L43))</f>
        <v/>
      </c>
      <c r="W43" s="119" t="str">
        <f>IF(NOT(ISNUMBER($L43)),"",mPlanoQC.RendimentoDoSigma($L43))</f>
        <v/>
      </c>
      <c r="X43" s="117" t="str">
        <f>IF(NOT(ISNUMBER($L43)),"",mPlanoQC.PlanoQC($L43,"REGRAS"))</f>
        <v/>
      </c>
      <c r="Y43" s="120" t="str">
        <f>IF(NOT(ISNUMBER($L43)),"",mPlanoQC.PlanoQC($L43,"N"))</f>
        <v/>
      </c>
      <c r="Z43" s="121" t="str">
        <f>IF(NOT(ISNUMBER($L43)),"",mPlanoQC.PlanoQC($L43,"RUNSIZE"))</f>
        <v/>
      </c>
      <c r="AA43" s="117" t="str">
        <f>IF(NOT(ISNUMBER($L43)),"",mPlanoQC.CoberturaWestgard($L43))</f>
        <v/>
      </c>
      <c r="AB43" s="117" t="str">
        <f t="shared" si="5"/>
        <v>LYMPH%|3</v>
      </c>
      <c r="AC43" s="120" t="str">
        <f>IF($A43="","",mCEQ.BiasEQ($A43,eqAnoEP,"N",IFERROR(INDEX(Analitos!$AR$4:$AR$43,MATCH($A43,Analitos!$A$4:$A$43,0)),"CAP"),eqRodada))</f>
        <v>SEM EP</v>
      </c>
      <c r="AD43" s="120" t="str">
        <f>IF($A43="","",mCEQ.BiasEQ($A43,eqAnoEP,"NRODADAS",IFERROR(INDEX(Analitos!$AR$4:$AR$43,MATCH($A43,Analitos!$A$4:$A$43,0)),"CAP"),eqRodada))</f>
        <v>SEM EP</v>
      </c>
    </row>
    <row r="44" spans="1:30" x14ac:dyDescent="0.3">
      <c r="A44" s="110" t="str">
        <f>Analitos!$A$14</f>
        <v>MONO%</v>
      </c>
      <c r="B44" s="111">
        <v>1</v>
      </c>
      <c r="C44" s="112">
        <f>IF($A44="","",IF(INDEX(engEstat,ROW()-13,3)="","",INDEX(engEstat,ROW()-13,3)))</f>
        <v>0</v>
      </c>
      <c r="D44" s="113" t="str">
        <f>IF($A44="","",IF(INDEX(engEstat,ROW()-13,4)="","",INDEX(engEstat,ROW()-13,4)))</f>
        <v/>
      </c>
      <c r="E44" s="113" t="str">
        <f>IF($A44="","",IF(INDEX(engEstat,ROW()-13,5)="","",INDEX(engEstat,ROW()-13,5)))</f>
        <v/>
      </c>
      <c r="F44" s="114" t="str">
        <f>IF($A44="","",IF(INDEX(engEstat,ROW()-13,6)="","",INDEX(engEstat,ROW()-13,6)))</f>
        <v/>
      </c>
      <c r="G44" s="114">
        <f>IF($A44="","",mCEQ.BiasEQ($A44,eqAnoEP,"ABS",eqProvedor,eqRodada))</f>
        <v>6.4911554666094204</v>
      </c>
      <c r="H44" s="114" t="str">
        <f t="shared" si="0"/>
        <v/>
      </c>
      <c r="I44" s="114" t="str">
        <f>IF($A44="","",IFERROR(INDEX(Analitos!$Q$4:$Q$43,MATCH($A44,Analitos!$A$4:$A$43,0)),""))</f>
        <v>VB</v>
      </c>
      <c r="J44" s="114">
        <f>IF($A44="","",IFERROR(IF($I44="VB",INDEX(Analitos!$T$4:$T$43,MATCH($A44,Analitos!$A$4:$A$43,0)),IF(INDEX(Analitos!$S$4:$S$43,MATCH($A44,Analitos!$A$4:$A$43,0))&lt;&gt;"",INDEX(Analitos!$S$4:$S$43,MATCH($A44,Analitos!$A$4:$A$43,0)),INDEX(Analitos!$T$4:$T$43,MATCH($A44,Analitos!$A$4:$A$43,0)))),""))</f>
        <v>9.9750000000000014</v>
      </c>
      <c r="K44" s="114">
        <f>IF($A44="","",IFERROR(INDEX(Analitos!$R$4:$R$43,MATCH($A44,Analitos!$A$4:$A$43,0)),""))</f>
        <v>26.16342831769812</v>
      </c>
      <c r="L44" s="114" t="str">
        <f t="shared" si="1"/>
        <v/>
      </c>
      <c r="M44" s="114" t="str">
        <f>IF(NOT(ISNUMBER($L44)),"",mQualidade.ClassificarSigma($L44))</f>
        <v/>
      </c>
      <c r="N44" s="115" t="str">
        <f t="shared" si="2"/>
        <v/>
      </c>
      <c r="O44" s="116" t="str">
        <f t="shared" si="3"/>
        <v/>
      </c>
      <c r="P44" s="117" t="str">
        <f>IF(NOT(ISNUMBER($O44)),"",mQualidade.ClassificarMargem($O44))</f>
        <v/>
      </c>
      <c r="Q44" s="117" t="str">
        <f t="shared" si="4"/>
        <v/>
      </c>
      <c r="R44" s="117" t="str">
        <f>IF($A44="","",mCEQ.StatusSDIeq($A44,eqAnoEP,IFERROR(INDEX(Analitos!$AR$4:$AR$43,MATCH($A44,Analitos!$A$4:$A$43,0)),"CAP"),eqRodada))</f>
        <v>SEM EP</v>
      </c>
      <c r="S44" s="117" t="str">
        <f>IF($A44="","",mCEQ.StatusLimitesEQ($A44,eqAnoEP,IFERROR(INDEX(Analitos!$AR$4:$AR$43,MATCH($A44,Analitos!$A$4:$A$43,0)),"CAP"),eqRodada))</f>
        <v>SEM EP</v>
      </c>
      <c r="T44" s="116" t="str">
        <f>IF($A44="","",mCEQ.BiasEQ($A44,eqAnoEP,"SIGNED",IFERROR(INDEX(Analitos!$AR$4:$AR$43,MATCH($A44,Analitos!$A$4:$A$43,0)),"CAP"),eqRodada))</f>
        <v>SEM EP</v>
      </c>
      <c r="U44" s="117" t="str">
        <f>IF(OR($P44="ETp excedido",$P44="Margem critica"),COUNTIF($P$14:$P44,"ETp excedido")+COUNTIF($P$14:$P44,"Margem critica"),"")</f>
        <v/>
      </c>
      <c r="V44" s="118" t="str">
        <f>IF(NOT(ISNUMBER($L44)),"",mPlanoQC.DPMdoSigma($L44))</f>
        <v/>
      </c>
      <c r="W44" s="119" t="str">
        <f>IF(NOT(ISNUMBER($L44)),"",mPlanoQC.RendimentoDoSigma($L44))</f>
        <v/>
      </c>
      <c r="X44" s="117" t="str">
        <f>IF(NOT(ISNUMBER($L44)),"",mPlanoQC.PlanoQC($L44,"REGRAS"))</f>
        <v/>
      </c>
      <c r="Y44" s="120" t="str">
        <f>IF(NOT(ISNUMBER($L44)),"",mPlanoQC.PlanoQC($L44,"N"))</f>
        <v/>
      </c>
      <c r="Z44" s="121" t="str">
        <f>IF(NOT(ISNUMBER($L44)),"",mPlanoQC.PlanoQC($L44,"RUNSIZE"))</f>
        <v/>
      </c>
      <c r="AA44" s="117" t="str">
        <f>IF(NOT(ISNUMBER($L44)),"",mPlanoQC.CoberturaWestgard($L44))</f>
        <v/>
      </c>
      <c r="AB44" s="117" t="str">
        <f t="shared" si="5"/>
        <v>MONO%|1</v>
      </c>
      <c r="AC44" s="120" t="str">
        <f>IF($A44="","",mCEQ.BiasEQ($A44,eqAnoEP,"N",IFERROR(INDEX(Analitos!$AR$4:$AR$43,MATCH($A44,Analitos!$A$4:$A$43,0)),"CAP"),eqRodada))</f>
        <v>SEM EP</v>
      </c>
      <c r="AD44" s="120" t="str">
        <f>IF($A44="","",mCEQ.BiasEQ($A44,eqAnoEP,"NRODADAS",IFERROR(INDEX(Analitos!$AR$4:$AR$43,MATCH($A44,Analitos!$A$4:$A$43,0)),"CAP"),eqRodada))</f>
        <v>SEM EP</v>
      </c>
    </row>
    <row r="45" spans="1:30" x14ac:dyDescent="0.3">
      <c r="A45" s="110" t="str">
        <f>Analitos!$A$14</f>
        <v>MONO%</v>
      </c>
      <c r="B45" s="111">
        <v>2</v>
      </c>
      <c r="C45" s="112">
        <f>IF($A45="","",IF(INDEX(engEstat,ROW()-13,3)="","",INDEX(engEstat,ROW()-13,3)))</f>
        <v>0</v>
      </c>
      <c r="D45" s="113" t="str">
        <f>IF($A45="","",IF(INDEX(engEstat,ROW()-13,4)="","",INDEX(engEstat,ROW()-13,4)))</f>
        <v/>
      </c>
      <c r="E45" s="113" t="str">
        <f>IF($A45="","",IF(INDEX(engEstat,ROW()-13,5)="","",INDEX(engEstat,ROW()-13,5)))</f>
        <v/>
      </c>
      <c r="F45" s="114" t="str">
        <f>IF($A45="","",IF(INDEX(engEstat,ROW()-13,6)="","",INDEX(engEstat,ROW()-13,6)))</f>
        <v/>
      </c>
      <c r="G45" s="114">
        <f>IF($A45="","",mCEQ.BiasEQ($A45,eqAnoEP,"ABS",eqProvedor,eqRodada))</f>
        <v>6.4911554666094204</v>
      </c>
      <c r="H45" s="114" t="str">
        <f t="shared" si="0"/>
        <v/>
      </c>
      <c r="I45" s="114" t="str">
        <f>IF($A45="","",IFERROR(INDEX(Analitos!$Q$4:$Q$43,MATCH($A45,Analitos!$A$4:$A$43,0)),""))</f>
        <v>VB</v>
      </c>
      <c r="J45" s="114">
        <f>IF($A45="","",IFERROR(IF($I45="VB",INDEX(Analitos!$T$4:$T$43,MATCH($A45,Analitos!$A$4:$A$43,0)),IF(INDEX(Analitos!$S$4:$S$43,MATCH($A45,Analitos!$A$4:$A$43,0))&lt;&gt;"",INDEX(Analitos!$S$4:$S$43,MATCH($A45,Analitos!$A$4:$A$43,0)),INDEX(Analitos!$T$4:$T$43,MATCH($A45,Analitos!$A$4:$A$43,0)))),""))</f>
        <v>9.9750000000000014</v>
      </c>
      <c r="K45" s="114">
        <f>IF($A45="","",IFERROR(INDEX(Analitos!$R$4:$R$43,MATCH($A45,Analitos!$A$4:$A$43,0)),""))</f>
        <v>26.16342831769812</v>
      </c>
      <c r="L45" s="114" t="str">
        <f t="shared" si="1"/>
        <v/>
      </c>
      <c r="M45" s="114" t="str">
        <f>IF(NOT(ISNUMBER($L45)),"",mQualidade.ClassificarSigma($L45))</f>
        <v/>
      </c>
      <c r="N45" s="115" t="str">
        <f t="shared" si="2"/>
        <v/>
      </c>
      <c r="O45" s="116" t="str">
        <f t="shared" si="3"/>
        <v/>
      </c>
      <c r="P45" s="117" t="str">
        <f>IF(NOT(ISNUMBER($O45)),"",mQualidade.ClassificarMargem($O45))</f>
        <v/>
      </c>
      <c r="Q45" s="117" t="str">
        <f t="shared" si="4"/>
        <v/>
      </c>
      <c r="R45" s="117" t="str">
        <f>IF($A45="","",mCEQ.StatusSDIeq($A45,eqAnoEP,IFERROR(INDEX(Analitos!$AR$4:$AR$43,MATCH($A45,Analitos!$A$4:$A$43,0)),"CAP"),eqRodada))</f>
        <v>SEM EP</v>
      </c>
      <c r="S45" s="117" t="str">
        <f>IF($A45="","",mCEQ.StatusLimitesEQ($A45,eqAnoEP,IFERROR(INDEX(Analitos!$AR$4:$AR$43,MATCH($A45,Analitos!$A$4:$A$43,0)),"CAP"),eqRodada))</f>
        <v>SEM EP</v>
      </c>
      <c r="T45" s="116" t="str">
        <f>IF($A45="","",mCEQ.BiasEQ($A45,eqAnoEP,"SIGNED",IFERROR(INDEX(Analitos!$AR$4:$AR$43,MATCH($A45,Analitos!$A$4:$A$43,0)),"CAP"),eqRodada))</f>
        <v>SEM EP</v>
      </c>
      <c r="U45" s="117" t="str">
        <f>IF(OR($P45="ETp excedido",$P45="Margem critica"),COUNTIF($P$14:$P45,"ETp excedido")+COUNTIF($P$14:$P45,"Margem critica"),"")</f>
        <v/>
      </c>
      <c r="V45" s="118" t="str">
        <f>IF(NOT(ISNUMBER($L45)),"",mPlanoQC.DPMdoSigma($L45))</f>
        <v/>
      </c>
      <c r="W45" s="119" t="str">
        <f>IF(NOT(ISNUMBER($L45)),"",mPlanoQC.RendimentoDoSigma($L45))</f>
        <v/>
      </c>
      <c r="X45" s="117" t="str">
        <f>IF(NOT(ISNUMBER($L45)),"",mPlanoQC.PlanoQC($L45,"REGRAS"))</f>
        <v/>
      </c>
      <c r="Y45" s="120" t="str">
        <f>IF(NOT(ISNUMBER($L45)),"",mPlanoQC.PlanoQC($L45,"N"))</f>
        <v/>
      </c>
      <c r="Z45" s="121" t="str">
        <f>IF(NOT(ISNUMBER($L45)),"",mPlanoQC.PlanoQC($L45,"RUNSIZE"))</f>
        <v/>
      </c>
      <c r="AA45" s="117" t="str">
        <f>IF(NOT(ISNUMBER($L45)),"",mPlanoQC.CoberturaWestgard($L45))</f>
        <v/>
      </c>
      <c r="AB45" s="117" t="str">
        <f t="shared" si="5"/>
        <v>MONO%|2</v>
      </c>
      <c r="AC45" s="120" t="str">
        <f>IF($A45="","",mCEQ.BiasEQ($A45,eqAnoEP,"N",IFERROR(INDEX(Analitos!$AR$4:$AR$43,MATCH($A45,Analitos!$A$4:$A$43,0)),"CAP"),eqRodada))</f>
        <v>SEM EP</v>
      </c>
      <c r="AD45" s="120" t="str">
        <f>IF($A45="","",mCEQ.BiasEQ($A45,eqAnoEP,"NRODADAS",IFERROR(INDEX(Analitos!$AR$4:$AR$43,MATCH($A45,Analitos!$A$4:$A$43,0)),"CAP"),eqRodada))</f>
        <v>SEM EP</v>
      </c>
    </row>
    <row r="46" spans="1:30" x14ac:dyDescent="0.3">
      <c r="A46" s="110" t="str">
        <f>Analitos!$A$14</f>
        <v>MONO%</v>
      </c>
      <c r="B46" s="111">
        <v>3</v>
      </c>
      <c r="C46" s="112">
        <f>IF($A46="","",IF(INDEX(engEstat,ROW()-13,3)="","",INDEX(engEstat,ROW()-13,3)))</f>
        <v>0</v>
      </c>
      <c r="D46" s="113" t="str">
        <f>IF($A46="","",IF(INDEX(engEstat,ROW()-13,4)="","",INDEX(engEstat,ROW()-13,4)))</f>
        <v/>
      </c>
      <c r="E46" s="113" t="str">
        <f>IF($A46="","",IF(INDEX(engEstat,ROW()-13,5)="","",INDEX(engEstat,ROW()-13,5)))</f>
        <v/>
      </c>
      <c r="F46" s="114" t="str">
        <f>IF($A46="","",IF(INDEX(engEstat,ROW()-13,6)="","",INDEX(engEstat,ROW()-13,6)))</f>
        <v/>
      </c>
      <c r="G46" s="114">
        <f>IF($A46="","",mCEQ.BiasEQ($A46,eqAnoEP,"ABS",eqProvedor,eqRodada))</f>
        <v>6.4911554666094204</v>
      </c>
      <c r="H46" s="114" t="str">
        <f t="shared" ref="H46:H77" si="6">IF(OR(NOT(ISNUMBER($F46)),NOT(ISNUMBER($G46))),"",1.65*$F46+ABS($G46))</f>
        <v/>
      </c>
      <c r="I46" s="114" t="str">
        <f>IF($A46="","",IFERROR(INDEX(Analitos!$Q$4:$Q$43,MATCH($A46,Analitos!$A$4:$A$43,0)),""))</f>
        <v>VB</v>
      </c>
      <c r="J46" s="114">
        <f>IF($A46="","",IFERROR(IF($I46="VB",INDEX(Analitos!$T$4:$T$43,MATCH($A46,Analitos!$A$4:$A$43,0)),IF(INDEX(Analitos!$S$4:$S$43,MATCH($A46,Analitos!$A$4:$A$43,0))&lt;&gt;"",INDEX(Analitos!$S$4:$S$43,MATCH($A46,Analitos!$A$4:$A$43,0)),INDEX(Analitos!$T$4:$T$43,MATCH($A46,Analitos!$A$4:$A$43,0)))),""))</f>
        <v>9.9750000000000014</v>
      </c>
      <c r="K46" s="114">
        <f>IF($A46="","",IFERROR(INDEX(Analitos!$R$4:$R$43,MATCH($A46,Analitos!$A$4:$A$43,0)),""))</f>
        <v>26.16342831769812</v>
      </c>
      <c r="L46" s="114" t="str">
        <f t="shared" ref="L46:L77" si="7">IF(OR(NOT(ISNUMBER($F46)),$F46=0,NOT(ISNUMBER($G46)),NOT(ISNUMBER($K46))),"",($K46-ABS($G46))/$F46)</f>
        <v/>
      </c>
      <c r="M46" s="114" t="str">
        <f>IF(NOT(ISNUMBER($L46)),"",mQualidade.ClassificarSigma($L46))</f>
        <v/>
      </c>
      <c r="N46" s="115" t="str">
        <f t="shared" ref="N46:N77" si="8">IF(OR(NOT(ISNUMBER($K46)),NOT(ISNUMBER($H46))),"",$K46-$H46)</f>
        <v/>
      </c>
      <c r="O46" s="116" t="str">
        <f t="shared" ref="O46:O77" si="9">IF(OR(NOT(ISNUMBER($N46)),NOT(ISNUMBER($K46)),$K46=0),"",$N46/$K46*100)</f>
        <v/>
      </c>
      <c r="P46" s="117" t="str">
        <f>IF(NOT(ISNUMBER($O46)),"",mQualidade.ClassificarMargem($O46))</f>
        <v/>
      </c>
      <c r="Q46" s="117" t="str">
        <f t="shared" ref="Q46:Q77" si="10">IF(OR(NOT(ISNUMBER($F46)),NOT(ISNUMBER($J46))),"",IF($F46&lt;=$J46,"OK","CV acima da meta"))</f>
        <v/>
      </c>
      <c r="R46" s="117" t="str">
        <f>IF($A46="","",mCEQ.StatusSDIeq($A46,eqAnoEP,IFERROR(INDEX(Analitos!$AR$4:$AR$43,MATCH($A46,Analitos!$A$4:$A$43,0)),"CAP"),eqRodada))</f>
        <v>SEM EP</v>
      </c>
      <c r="S46" s="117" t="str">
        <f>IF($A46="","",mCEQ.StatusLimitesEQ($A46,eqAnoEP,IFERROR(INDEX(Analitos!$AR$4:$AR$43,MATCH($A46,Analitos!$A$4:$A$43,0)),"CAP"),eqRodada))</f>
        <v>SEM EP</v>
      </c>
      <c r="T46" s="116" t="str">
        <f>IF($A46="","",mCEQ.BiasEQ($A46,eqAnoEP,"SIGNED",IFERROR(INDEX(Analitos!$AR$4:$AR$43,MATCH($A46,Analitos!$A$4:$A$43,0)),"CAP"),eqRodada))</f>
        <v>SEM EP</v>
      </c>
      <c r="U46" s="117" t="str">
        <f>IF(OR($P46="ETp excedido",$P46="Margem critica"),COUNTIF($P$14:$P46,"ETp excedido")+COUNTIF($P$14:$P46,"Margem critica"),"")</f>
        <v/>
      </c>
      <c r="V46" s="118" t="str">
        <f>IF(NOT(ISNUMBER($L46)),"",mPlanoQC.DPMdoSigma($L46))</f>
        <v/>
      </c>
      <c r="W46" s="119" t="str">
        <f>IF(NOT(ISNUMBER($L46)),"",mPlanoQC.RendimentoDoSigma($L46))</f>
        <v/>
      </c>
      <c r="X46" s="117" t="str">
        <f>IF(NOT(ISNUMBER($L46)),"",mPlanoQC.PlanoQC($L46,"REGRAS"))</f>
        <v/>
      </c>
      <c r="Y46" s="120" t="str">
        <f>IF(NOT(ISNUMBER($L46)),"",mPlanoQC.PlanoQC($L46,"N"))</f>
        <v/>
      </c>
      <c r="Z46" s="121" t="str">
        <f>IF(NOT(ISNUMBER($L46)),"",mPlanoQC.PlanoQC($L46,"RUNSIZE"))</f>
        <v/>
      </c>
      <c r="AA46" s="117" t="str">
        <f>IF(NOT(ISNUMBER($L46)),"",mPlanoQC.CoberturaWestgard($L46))</f>
        <v/>
      </c>
      <c r="AB46" s="117" t="str">
        <f t="shared" ref="AB46:AB77" si="11">IF($A46="","",$A46&amp;"|"&amp;$B46)</f>
        <v>MONO%|3</v>
      </c>
      <c r="AC46" s="120" t="str">
        <f>IF($A46="","",mCEQ.BiasEQ($A46,eqAnoEP,"N",IFERROR(INDEX(Analitos!$AR$4:$AR$43,MATCH($A46,Analitos!$A$4:$A$43,0)),"CAP"),eqRodada))</f>
        <v>SEM EP</v>
      </c>
      <c r="AD46" s="120" t="str">
        <f>IF($A46="","",mCEQ.BiasEQ($A46,eqAnoEP,"NRODADAS",IFERROR(INDEX(Analitos!$AR$4:$AR$43,MATCH($A46,Analitos!$A$4:$A$43,0)),"CAP"),eqRodada))</f>
        <v>SEM EP</v>
      </c>
    </row>
    <row r="47" spans="1:30" x14ac:dyDescent="0.3">
      <c r="A47" s="110" t="str">
        <f>Analitos!$A$15</f>
        <v>EO%</v>
      </c>
      <c r="B47" s="111">
        <v>1</v>
      </c>
      <c r="C47" s="112">
        <f>IF($A47="","",IF(INDEX(engEstat,ROW()-13,3)="","",INDEX(engEstat,ROW()-13,3)))</f>
        <v>0</v>
      </c>
      <c r="D47" s="113" t="str">
        <f>IF($A47="","",IF(INDEX(engEstat,ROW()-13,4)="","",INDEX(engEstat,ROW()-13,4)))</f>
        <v/>
      </c>
      <c r="E47" s="113" t="str">
        <f>IF($A47="","",IF(INDEX(engEstat,ROW()-13,5)="","",INDEX(engEstat,ROW()-13,5)))</f>
        <v/>
      </c>
      <c r="F47" s="114" t="str">
        <f>IF($A47="","",IF(INDEX(engEstat,ROW()-13,6)="","",INDEX(engEstat,ROW()-13,6)))</f>
        <v/>
      </c>
      <c r="G47" s="114">
        <f>IF($A47="","",mCEQ.BiasEQ($A47,eqAnoEP,"ABS",eqProvedor,eqRodada))</f>
        <v>7.6893757330253507</v>
      </c>
      <c r="H47" s="114" t="str">
        <f t="shared" si="6"/>
        <v/>
      </c>
      <c r="I47" s="114" t="str">
        <f>IF($A47="","",IFERROR(INDEX(Analitos!$Q$4:$Q$43,MATCH($A47,Analitos!$A$4:$A$43,0)),""))</f>
        <v>VB</v>
      </c>
      <c r="J47" s="114">
        <f>IF($A47="","",IFERROR(IF($I47="VB",INDEX(Analitos!$T$4:$T$43,MATCH($A47,Analitos!$A$4:$A$43,0)),IF(INDEX(Analitos!$S$4:$S$43,MATCH($A47,Analitos!$A$4:$A$43,0))&lt;&gt;"",INDEX(Analitos!$S$4:$S$43,MATCH($A47,Analitos!$A$4:$A$43,0)),INDEX(Analitos!$T$4:$T$43,MATCH($A47,Analitos!$A$4:$A$43,0)))),""))</f>
        <v>11.175000000000001</v>
      </c>
      <c r="K47" s="114">
        <f>IF($A47="","",IFERROR(INDEX(Analitos!$R$4:$R$43,MATCH($A47,Analitos!$A$4:$A$43,0)),""))</f>
        <v>43.555633017205778</v>
      </c>
      <c r="L47" s="114" t="str">
        <f t="shared" si="7"/>
        <v/>
      </c>
      <c r="M47" s="114" t="str">
        <f>IF(NOT(ISNUMBER($L47)),"",mQualidade.ClassificarSigma($L47))</f>
        <v/>
      </c>
      <c r="N47" s="115" t="str">
        <f t="shared" si="8"/>
        <v/>
      </c>
      <c r="O47" s="116" t="str">
        <f t="shared" si="9"/>
        <v/>
      </c>
      <c r="P47" s="117" t="str">
        <f>IF(NOT(ISNUMBER($O47)),"",mQualidade.ClassificarMargem($O47))</f>
        <v/>
      </c>
      <c r="Q47" s="117" t="str">
        <f t="shared" si="10"/>
        <v/>
      </c>
      <c r="R47" s="117" t="str">
        <f>IF($A47="","",mCEQ.StatusSDIeq($A47,eqAnoEP,IFERROR(INDEX(Analitos!$AR$4:$AR$43,MATCH($A47,Analitos!$A$4:$A$43,0)),"CAP"),eqRodada))</f>
        <v>SEM EP</v>
      </c>
      <c r="S47" s="117" t="str">
        <f>IF($A47="","",mCEQ.StatusLimitesEQ($A47,eqAnoEP,IFERROR(INDEX(Analitos!$AR$4:$AR$43,MATCH($A47,Analitos!$A$4:$A$43,0)),"CAP"),eqRodada))</f>
        <v>SEM EP</v>
      </c>
      <c r="T47" s="116" t="str">
        <f>IF($A47="","",mCEQ.BiasEQ($A47,eqAnoEP,"SIGNED",IFERROR(INDEX(Analitos!$AR$4:$AR$43,MATCH($A47,Analitos!$A$4:$A$43,0)),"CAP"),eqRodada))</f>
        <v>SEM EP</v>
      </c>
      <c r="U47" s="117" t="str">
        <f>IF(OR($P47="ETp excedido",$P47="Margem critica"),COUNTIF($P$14:$P47,"ETp excedido")+COUNTIF($P$14:$P47,"Margem critica"),"")</f>
        <v/>
      </c>
      <c r="V47" s="118" t="str">
        <f>IF(NOT(ISNUMBER($L47)),"",mPlanoQC.DPMdoSigma($L47))</f>
        <v/>
      </c>
      <c r="W47" s="119" t="str">
        <f>IF(NOT(ISNUMBER($L47)),"",mPlanoQC.RendimentoDoSigma($L47))</f>
        <v/>
      </c>
      <c r="X47" s="117" t="str">
        <f>IF(NOT(ISNUMBER($L47)),"",mPlanoQC.PlanoQC($L47,"REGRAS"))</f>
        <v/>
      </c>
      <c r="Y47" s="120" t="str">
        <f>IF(NOT(ISNUMBER($L47)),"",mPlanoQC.PlanoQC($L47,"N"))</f>
        <v/>
      </c>
      <c r="Z47" s="121" t="str">
        <f>IF(NOT(ISNUMBER($L47)),"",mPlanoQC.PlanoQC($L47,"RUNSIZE"))</f>
        <v/>
      </c>
      <c r="AA47" s="117" t="str">
        <f>IF(NOT(ISNUMBER($L47)),"",mPlanoQC.CoberturaWestgard($L47))</f>
        <v/>
      </c>
      <c r="AB47" s="117" t="str">
        <f t="shared" si="11"/>
        <v>EO%|1</v>
      </c>
      <c r="AC47" s="120" t="str">
        <f>IF($A47="","",mCEQ.BiasEQ($A47,eqAnoEP,"N",IFERROR(INDEX(Analitos!$AR$4:$AR$43,MATCH($A47,Analitos!$A$4:$A$43,0)),"CAP"),eqRodada))</f>
        <v>SEM EP</v>
      </c>
      <c r="AD47" s="120" t="str">
        <f>IF($A47="","",mCEQ.BiasEQ($A47,eqAnoEP,"NRODADAS",IFERROR(INDEX(Analitos!$AR$4:$AR$43,MATCH($A47,Analitos!$A$4:$A$43,0)),"CAP"),eqRodada))</f>
        <v>SEM EP</v>
      </c>
    </row>
    <row r="48" spans="1:30" x14ac:dyDescent="0.3">
      <c r="A48" s="110" t="str">
        <f>Analitos!$A$15</f>
        <v>EO%</v>
      </c>
      <c r="B48" s="111">
        <v>2</v>
      </c>
      <c r="C48" s="112">
        <f>IF($A48="","",IF(INDEX(engEstat,ROW()-13,3)="","",INDEX(engEstat,ROW()-13,3)))</f>
        <v>0</v>
      </c>
      <c r="D48" s="113" t="str">
        <f>IF($A48="","",IF(INDEX(engEstat,ROW()-13,4)="","",INDEX(engEstat,ROW()-13,4)))</f>
        <v/>
      </c>
      <c r="E48" s="113" t="str">
        <f>IF($A48="","",IF(INDEX(engEstat,ROW()-13,5)="","",INDEX(engEstat,ROW()-13,5)))</f>
        <v/>
      </c>
      <c r="F48" s="114" t="str">
        <f>IF($A48="","",IF(INDEX(engEstat,ROW()-13,6)="","",INDEX(engEstat,ROW()-13,6)))</f>
        <v/>
      </c>
      <c r="G48" s="114">
        <f>IF($A48="","",mCEQ.BiasEQ($A48,eqAnoEP,"ABS",eqProvedor,eqRodada))</f>
        <v>7.6893757330253507</v>
      </c>
      <c r="H48" s="114" t="str">
        <f t="shared" si="6"/>
        <v/>
      </c>
      <c r="I48" s="114" t="str">
        <f>IF($A48="","",IFERROR(INDEX(Analitos!$Q$4:$Q$43,MATCH($A48,Analitos!$A$4:$A$43,0)),""))</f>
        <v>VB</v>
      </c>
      <c r="J48" s="114">
        <f>IF($A48="","",IFERROR(IF($I48="VB",INDEX(Analitos!$T$4:$T$43,MATCH($A48,Analitos!$A$4:$A$43,0)),IF(INDEX(Analitos!$S$4:$S$43,MATCH($A48,Analitos!$A$4:$A$43,0))&lt;&gt;"",INDEX(Analitos!$S$4:$S$43,MATCH($A48,Analitos!$A$4:$A$43,0)),INDEX(Analitos!$T$4:$T$43,MATCH($A48,Analitos!$A$4:$A$43,0)))),""))</f>
        <v>11.175000000000001</v>
      </c>
      <c r="K48" s="114">
        <f>IF($A48="","",IFERROR(INDEX(Analitos!$R$4:$R$43,MATCH($A48,Analitos!$A$4:$A$43,0)),""))</f>
        <v>43.555633017205778</v>
      </c>
      <c r="L48" s="114" t="str">
        <f t="shared" si="7"/>
        <v/>
      </c>
      <c r="M48" s="114" t="str">
        <f>IF(NOT(ISNUMBER($L48)),"",mQualidade.ClassificarSigma($L48))</f>
        <v/>
      </c>
      <c r="N48" s="115" t="str">
        <f t="shared" si="8"/>
        <v/>
      </c>
      <c r="O48" s="116" t="str">
        <f t="shared" si="9"/>
        <v/>
      </c>
      <c r="P48" s="117" t="str">
        <f>IF(NOT(ISNUMBER($O48)),"",mQualidade.ClassificarMargem($O48))</f>
        <v/>
      </c>
      <c r="Q48" s="117" t="str">
        <f t="shared" si="10"/>
        <v/>
      </c>
      <c r="R48" s="117" t="str">
        <f>IF($A48="","",mCEQ.StatusSDIeq($A48,eqAnoEP,IFERROR(INDEX(Analitos!$AR$4:$AR$43,MATCH($A48,Analitos!$A$4:$A$43,0)),"CAP"),eqRodada))</f>
        <v>SEM EP</v>
      </c>
      <c r="S48" s="117" t="str">
        <f>IF($A48="","",mCEQ.StatusLimitesEQ($A48,eqAnoEP,IFERROR(INDEX(Analitos!$AR$4:$AR$43,MATCH($A48,Analitos!$A$4:$A$43,0)),"CAP"),eqRodada))</f>
        <v>SEM EP</v>
      </c>
      <c r="T48" s="116" t="str">
        <f>IF($A48="","",mCEQ.BiasEQ($A48,eqAnoEP,"SIGNED",IFERROR(INDEX(Analitos!$AR$4:$AR$43,MATCH($A48,Analitos!$A$4:$A$43,0)),"CAP"),eqRodada))</f>
        <v>SEM EP</v>
      </c>
      <c r="U48" s="117" t="str">
        <f>IF(OR($P48="ETp excedido",$P48="Margem critica"),COUNTIF($P$14:$P48,"ETp excedido")+COUNTIF($P$14:$P48,"Margem critica"),"")</f>
        <v/>
      </c>
      <c r="V48" s="118" t="str">
        <f>IF(NOT(ISNUMBER($L48)),"",mPlanoQC.DPMdoSigma($L48))</f>
        <v/>
      </c>
      <c r="W48" s="119" t="str">
        <f>IF(NOT(ISNUMBER($L48)),"",mPlanoQC.RendimentoDoSigma($L48))</f>
        <v/>
      </c>
      <c r="X48" s="117" t="str">
        <f>IF(NOT(ISNUMBER($L48)),"",mPlanoQC.PlanoQC($L48,"REGRAS"))</f>
        <v/>
      </c>
      <c r="Y48" s="120" t="str">
        <f>IF(NOT(ISNUMBER($L48)),"",mPlanoQC.PlanoQC($L48,"N"))</f>
        <v/>
      </c>
      <c r="Z48" s="121" t="str">
        <f>IF(NOT(ISNUMBER($L48)),"",mPlanoQC.PlanoQC($L48,"RUNSIZE"))</f>
        <v/>
      </c>
      <c r="AA48" s="117" t="str">
        <f>IF(NOT(ISNUMBER($L48)),"",mPlanoQC.CoberturaWestgard($L48))</f>
        <v/>
      </c>
      <c r="AB48" s="117" t="str">
        <f t="shared" si="11"/>
        <v>EO%|2</v>
      </c>
      <c r="AC48" s="120" t="str">
        <f>IF($A48="","",mCEQ.BiasEQ($A48,eqAnoEP,"N",IFERROR(INDEX(Analitos!$AR$4:$AR$43,MATCH($A48,Analitos!$A$4:$A$43,0)),"CAP"),eqRodada))</f>
        <v>SEM EP</v>
      </c>
      <c r="AD48" s="120" t="str">
        <f>IF($A48="","",mCEQ.BiasEQ($A48,eqAnoEP,"NRODADAS",IFERROR(INDEX(Analitos!$AR$4:$AR$43,MATCH($A48,Analitos!$A$4:$A$43,0)),"CAP"),eqRodada))</f>
        <v>SEM EP</v>
      </c>
    </row>
    <row r="49" spans="1:30" x14ac:dyDescent="0.3">
      <c r="A49" s="110" t="str">
        <f>Analitos!$A$15</f>
        <v>EO%</v>
      </c>
      <c r="B49" s="111">
        <v>3</v>
      </c>
      <c r="C49" s="112">
        <f>IF($A49="","",IF(INDEX(engEstat,ROW()-13,3)="","",INDEX(engEstat,ROW()-13,3)))</f>
        <v>0</v>
      </c>
      <c r="D49" s="113" t="str">
        <f>IF($A49="","",IF(INDEX(engEstat,ROW()-13,4)="","",INDEX(engEstat,ROW()-13,4)))</f>
        <v/>
      </c>
      <c r="E49" s="113" t="str">
        <f>IF($A49="","",IF(INDEX(engEstat,ROW()-13,5)="","",INDEX(engEstat,ROW()-13,5)))</f>
        <v/>
      </c>
      <c r="F49" s="114" t="str">
        <f>IF($A49="","",IF(INDEX(engEstat,ROW()-13,6)="","",INDEX(engEstat,ROW()-13,6)))</f>
        <v/>
      </c>
      <c r="G49" s="114">
        <f>IF($A49="","",mCEQ.BiasEQ($A49,eqAnoEP,"ABS",eqProvedor,eqRodada))</f>
        <v>7.6893757330253507</v>
      </c>
      <c r="H49" s="114" t="str">
        <f t="shared" si="6"/>
        <v/>
      </c>
      <c r="I49" s="114" t="str">
        <f>IF($A49="","",IFERROR(INDEX(Analitos!$Q$4:$Q$43,MATCH($A49,Analitos!$A$4:$A$43,0)),""))</f>
        <v>VB</v>
      </c>
      <c r="J49" s="114">
        <f>IF($A49="","",IFERROR(IF($I49="VB",INDEX(Analitos!$T$4:$T$43,MATCH($A49,Analitos!$A$4:$A$43,0)),IF(INDEX(Analitos!$S$4:$S$43,MATCH($A49,Analitos!$A$4:$A$43,0))&lt;&gt;"",INDEX(Analitos!$S$4:$S$43,MATCH($A49,Analitos!$A$4:$A$43,0)),INDEX(Analitos!$T$4:$T$43,MATCH($A49,Analitos!$A$4:$A$43,0)))),""))</f>
        <v>11.175000000000001</v>
      </c>
      <c r="K49" s="114">
        <f>IF($A49="","",IFERROR(INDEX(Analitos!$R$4:$R$43,MATCH($A49,Analitos!$A$4:$A$43,0)),""))</f>
        <v>43.555633017205778</v>
      </c>
      <c r="L49" s="114" t="str">
        <f t="shared" si="7"/>
        <v/>
      </c>
      <c r="M49" s="114" t="str">
        <f>IF(NOT(ISNUMBER($L49)),"",mQualidade.ClassificarSigma($L49))</f>
        <v/>
      </c>
      <c r="N49" s="115" t="str">
        <f t="shared" si="8"/>
        <v/>
      </c>
      <c r="O49" s="116" t="str">
        <f t="shared" si="9"/>
        <v/>
      </c>
      <c r="P49" s="117" t="str">
        <f>IF(NOT(ISNUMBER($O49)),"",mQualidade.ClassificarMargem($O49))</f>
        <v/>
      </c>
      <c r="Q49" s="117" t="str">
        <f t="shared" si="10"/>
        <v/>
      </c>
      <c r="R49" s="117" t="str">
        <f>IF($A49="","",mCEQ.StatusSDIeq($A49,eqAnoEP,IFERROR(INDEX(Analitos!$AR$4:$AR$43,MATCH($A49,Analitos!$A$4:$A$43,0)),"CAP"),eqRodada))</f>
        <v>SEM EP</v>
      </c>
      <c r="S49" s="117" t="str">
        <f>IF($A49="","",mCEQ.StatusLimitesEQ($A49,eqAnoEP,IFERROR(INDEX(Analitos!$AR$4:$AR$43,MATCH($A49,Analitos!$A$4:$A$43,0)),"CAP"),eqRodada))</f>
        <v>SEM EP</v>
      </c>
      <c r="T49" s="116" t="str">
        <f>IF($A49="","",mCEQ.BiasEQ($A49,eqAnoEP,"SIGNED",IFERROR(INDEX(Analitos!$AR$4:$AR$43,MATCH($A49,Analitos!$A$4:$A$43,0)),"CAP"),eqRodada))</f>
        <v>SEM EP</v>
      </c>
      <c r="U49" s="117" t="str">
        <f>IF(OR($P49="ETp excedido",$P49="Margem critica"),COUNTIF($P$14:$P49,"ETp excedido")+COUNTIF($P$14:$P49,"Margem critica"),"")</f>
        <v/>
      </c>
      <c r="V49" s="118" t="str">
        <f>IF(NOT(ISNUMBER($L49)),"",mPlanoQC.DPMdoSigma($L49))</f>
        <v/>
      </c>
      <c r="W49" s="119" t="str">
        <f>IF(NOT(ISNUMBER($L49)),"",mPlanoQC.RendimentoDoSigma($L49))</f>
        <v/>
      </c>
      <c r="X49" s="117" t="str">
        <f>IF(NOT(ISNUMBER($L49)),"",mPlanoQC.PlanoQC($L49,"REGRAS"))</f>
        <v/>
      </c>
      <c r="Y49" s="120" t="str">
        <f>IF(NOT(ISNUMBER($L49)),"",mPlanoQC.PlanoQC($L49,"N"))</f>
        <v/>
      </c>
      <c r="Z49" s="121" t="str">
        <f>IF(NOT(ISNUMBER($L49)),"",mPlanoQC.PlanoQC($L49,"RUNSIZE"))</f>
        <v/>
      </c>
      <c r="AA49" s="117" t="str">
        <f>IF(NOT(ISNUMBER($L49)),"",mPlanoQC.CoberturaWestgard($L49))</f>
        <v/>
      </c>
      <c r="AB49" s="117" t="str">
        <f t="shared" si="11"/>
        <v>EO%|3</v>
      </c>
      <c r="AC49" s="120" t="str">
        <f>IF($A49="","",mCEQ.BiasEQ($A49,eqAnoEP,"N",IFERROR(INDEX(Analitos!$AR$4:$AR$43,MATCH($A49,Analitos!$A$4:$A$43,0)),"CAP"),eqRodada))</f>
        <v>SEM EP</v>
      </c>
      <c r="AD49" s="120" t="str">
        <f>IF($A49="","",mCEQ.BiasEQ($A49,eqAnoEP,"NRODADAS",IFERROR(INDEX(Analitos!$AR$4:$AR$43,MATCH($A49,Analitos!$A$4:$A$43,0)),"CAP"),eqRodada))</f>
        <v>SEM EP</v>
      </c>
    </row>
    <row r="50" spans="1:30" x14ac:dyDescent="0.3">
      <c r="A50" s="110" t="str">
        <f>Analitos!$A$16</f>
        <v>BASO%</v>
      </c>
      <c r="B50" s="111">
        <v>1</v>
      </c>
      <c r="C50" s="112">
        <f>IF($A50="","",IF(INDEX(engEstat,ROW()-13,3)="","",INDEX(engEstat,ROW()-13,3)))</f>
        <v>0</v>
      </c>
      <c r="D50" s="113" t="str">
        <f>IF($A50="","",IF(INDEX(engEstat,ROW()-13,4)="","",INDEX(engEstat,ROW()-13,4)))</f>
        <v/>
      </c>
      <c r="E50" s="113" t="str">
        <f>IF($A50="","",IF(INDEX(engEstat,ROW()-13,5)="","",INDEX(engEstat,ROW()-13,5)))</f>
        <v/>
      </c>
      <c r="F50" s="114" t="str">
        <f>IF($A50="","",IF(INDEX(engEstat,ROW()-13,6)="","",INDEX(engEstat,ROW()-13,6)))</f>
        <v/>
      </c>
      <c r="G50" s="114">
        <f>IF($A50="","",mCEQ.BiasEQ($A50,eqAnoEP,"ABS",eqProvedor,eqRodada))</f>
        <v>2.5085549222470034</v>
      </c>
      <c r="H50" s="114" t="str">
        <f t="shared" si="6"/>
        <v/>
      </c>
      <c r="I50" s="114" t="str">
        <f>IF($A50="","",IFERROR(INDEX(Analitos!$Q$4:$Q$43,MATCH($A50,Analitos!$A$4:$A$43,0)),""))</f>
        <v>VB</v>
      </c>
      <c r="J50" s="114">
        <f>IF($A50="","",IFERROR(IF($I50="VB",INDEX(Analitos!$T$4:$T$43,MATCH($A50,Analitos!$A$4:$A$43,0)),IF(INDEX(Analitos!$S$4:$S$43,MATCH($A50,Analitos!$A$4:$A$43,0))&lt;&gt;"",INDEX(Analitos!$S$4:$S$43,MATCH($A50,Analitos!$A$4:$A$43,0)),INDEX(Analitos!$T$4:$T$43,MATCH($A50,Analitos!$A$4:$A$43,0)))),""))</f>
        <v>9.3000000000000007</v>
      </c>
      <c r="K50" s="114">
        <f>IF($A50="","",IFERROR(INDEX(Analitos!$R$4:$R$43,MATCH($A50,Analitos!$A$4:$A$43,0)),""))</f>
        <v>26.2487335922151</v>
      </c>
      <c r="L50" s="114" t="str">
        <f t="shared" si="7"/>
        <v/>
      </c>
      <c r="M50" s="114" t="str">
        <f>IF(NOT(ISNUMBER($L50)),"",mQualidade.ClassificarSigma($L50))</f>
        <v/>
      </c>
      <c r="N50" s="115" t="str">
        <f t="shared" si="8"/>
        <v/>
      </c>
      <c r="O50" s="116" t="str">
        <f t="shared" si="9"/>
        <v/>
      </c>
      <c r="P50" s="117" t="str">
        <f>IF(NOT(ISNUMBER($O50)),"",mQualidade.ClassificarMargem($O50))</f>
        <v/>
      </c>
      <c r="Q50" s="117" t="str">
        <f t="shared" si="10"/>
        <v/>
      </c>
      <c r="R50" s="117" t="str">
        <f>IF($A50="","",mCEQ.StatusSDIeq($A50,eqAnoEP,IFERROR(INDEX(Analitos!$AR$4:$AR$43,MATCH($A50,Analitos!$A$4:$A$43,0)),"CAP"),eqRodada))</f>
        <v>SEM EP</v>
      </c>
      <c r="S50" s="117" t="str">
        <f>IF($A50="","",mCEQ.StatusLimitesEQ($A50,eqAnoEP,IFERROR(INDEX(Analitos!$AR$4:$AR$43,MATCH($A50,Analitos!$A$4:$A$43,0)),"CAP"),eqRodada))</f>
        <v>SEM EP</v>
      </c>
      <c r="T50" s="116" t="str">
        <f>IF($A50="","",mCEQ.BiasEQ($A50,eqAnoEP,"SIGNED",IFERROR(INDEX(Analitos!$AR$4:$AR$43,MATCH($A50,Analitos!$A$4:$A$43,0)),"CAP"),eqRodada))</f>
        <v>SEM EP</v>
      </c>
      <c r="U50" s="117" t="str">
        <f>IF(OR($P50="ETp excedido",$P50="Margem critica"),COUNTIF($P$14:$P50,"ETp excedido")+COUNTIF($P$14:$P50,"Margem critica"),"")</f>
        <v/>
      </c>
      <c r="V50" s="118" t="str">
        <f>IF(NOT(ISNUMBER($L50)),"",mPlanoQC.DPMdoSigma($L50))</f>
        <v/>
      </c>
      <c r="W50" s="119" t="str">
        <f>IF(NOT(ISNUMBER($L50)),"",mPlanoQC.RendimentoDoSigma($L50))</f>
        <v/>
      </c>
      <c r="X50" s="117" t="str">
        <f>IF(NOT(ISNUMBER($L50)),"",mPlanoQC.PlanoQC($L50,"REGRAS"))</f>
        <v/>
      </c>
      <c r="Y50" s="120" t="str">
        <f>IF(NOT(ISNUMBER($L50)),"",mPlanoQC.PlanoQC($L50,"N"))</f>
        <v/>
      </c>
      <c r="Z50" s="121" t="str">
        <f>IF(NOT(ISNUMBER($L50)),"",mPlanoQC.PlanoQC($L50,"RUNSIZE"))</f>
        <v/>
      </c>
      <c r="AA50" s="117" t="str">
        <f>IF(NOT(ISNUMBER($L50)),"",mPlanoQC.CoberturaWestgard($L50))</f>
        <v/>
      </c>
      <c r="AB50" s="117" t="str">
        <f t="shared" si="11"/>
        <v>BASO%|1</v>
      </c>
      <c r="AC50" s="120" t="str">
        <f>IF($A50="","",mCEQ.BiasEQ($A50,eqAnoEP,"N",IFERROR(INDEX(Analitos!$AR$4:$AR$43,MATCH($A50,Analitos!$A$4:$A$43,0)),"CAP"),eqRodada))</f>
        <v>SEM EP</v>
      </c>
      <c r="AD50" s="120" t="str">
        <f>IF($A50="","",mCEQ.BiasEQ($A50,eqAnoEP,"NRODADAS",IFERROR(INDEX(Analitos!$AR$4:$AR$43,MATCH($A50,Analitos!$A$4:$A$43,0)),"CAP"),eqRodada))</f>
        <v>SEM EP</v>
      </c>
    </row>
    <row r="51" spans="1:30" x14ac:dyDescent="0.3">
      <c r="A51" s="110" t="str">
        <f>Analitos!$A$16</f>
        <v>BASO%</v>
      </c>
      <c r="B51" s="111">
        <v>2</v>
      </c>
      <c r="C51" s="112">
        <f>IF($A51="","",IF(INDEX(engEstat,ROW()-13,3)="","",INDEX(engEstat,ROW()-13,3)))</f>
        <v>0</v>
      </c>
      <c r="D51" s="113" t="str">
        <f>IF($A51="","",IF(INDEX(engEstat,ROW()-13,4)="","",INDEX(engEstat,ROW()-13,4)))</f>
        <v/>
      </c>
      <c r="E51" s="113" t="str">
        <f>IF($A51="","",IF(INDEX(engEstat,ROW()-13,5)="","",INDEX(engEstat,ROW()-13,5)))</f>
        <v/>
      </c>
      <c r="F51" s="114" t="str">
        <f>IF($A51="","",IF(INDEX(engEstat,ROW()-13,6)="","",INDEX(engEstat,ROW()-13,6)))</f>
        <v/>
      </c>
      <c r="G51" s="114">
        <f>IF($A51="","",mCEQ.BiasEQ($A51,eqAnoEP,"ABS",eqProvedor,eqRodada))</f>
        <v>2.5085549222470034</v>
      </c>
      <c r="H51" s="114" t="str">
        <f t="shared" si="6"/>
        <v/>
      </c>
      <c r="I51" s="114" t="str">
        <f>IF($A51="","",IFERROR(INDEX(Analitos!$Q$4:$Q$43,MATCH($A51,Analitos!$A$4:$A$43,0)),""))</f>
        <v>VB</v>
      </c>
      <c r="J51" s="114">
        <f>IF($A51="","",IFERROR(IF($I51="VB",INDEX(Analitos!$T$4:$T$43,MATCH($A51,Analitos!$A$4:$A$43,0)),IF(INDEX(Analitos!$S$4:$S$43,MATCH($A51,Analitos!$A$4:$A$43,0))&lt;&gt;"",INDEX(Analitos!$S$4:$S$43,MATCH($A51,Analitos!$A$4:$A$43,0)),INDEX(Analitos!$T$4:$T$43,MATCH($A51,Analitos!$A$4:$A$43,0)))),""))</f>
        <v>9.3000000000000007</v>
      </c>
      <c r="K51" s="114">
        <f>IF($A51="","",IFERROR(INDEX(Analitos!$R$4:$R$43,MATCH($A51,Analitos!$A$4:$A$43,0)),""))</f>
        <v>26.2487335922151</v>
      </c>
      <c r="L51" s="114" t="str">
        <f t="shared" si="7"/>
        <v/>
      </c>
      <c r="M51" s="114" t="str">
        <f>IF(NOT(ISNUMBER($L51)),"",mQualidade.ClassificarSigma($L51))</f>
        <v/>
      </c>
      <c r="N51" s="115" t="str">
        <f t="shared" si="8"/>
        <v/>
      </c>
      <c r="O51" s="116" t="str">
        <f t="shared" si="9"/>
        <v/>
      </c>
      <c r="P51" s="117" t="str">
        <f>IF(NOT(ISNUMBER($O51)),"",mQualidade.ClassificarMargem($O51))</f>
        <v/>
      </c>
      <c r="Q51" s="117" t="str">
        <f t="shared" si="10"/>
        <v/>
      </c>
      <c r="R51" s="117" t="str">
        <f>IF($A51="","",mCEQ.StatusSDIeq($A51,eqAnoEP,IFERROR(INDEX(Analitos!$AR$4:$AR$43,MATCH($A51,Analitos!$A$4:$A$43,0)),"CAP"),eqRodada))</f>
        <v>SEM EP</v>
      </c>
      <c r="S51" s="117" t="str">
        <f>IF($A51="","",mCEQ.StatusLimitesEQ($A51,eqAnoEP,IFERROR(INDEX(Analitos!$AR$4:$AR$43,MATCH($A51,Analitos!$A$4:$A$43,0)),"CAP"),eqRodada))</f>
        <v>SEM EP</v>
      </c>
      <c r="T51" s="116" t="str">
        <f>IF($A51="","",mCEQ.BiasEQ($A51,eqAnoEP,"SIGNED",IFERROR(INDEX(Analitos!$AR$4:$AR$43,MATCH($A51,Analitos!$A$4:$A$43,0)),"CAP"),eqRodada))</f>
        <v>SEM EP</v>
      </c>
      <c r="U51" s="117" t="str">
        <f>IF(OR($P51="ETp excedido",$P51="Margem critica"),COUNTIF($P$14:$P51,"ETp excedido")+COUNTIF($P$14:$P51,"Margem critica"),"")</f>
        <v/>
      </c>
      <c r="V51" s="118" t="str">
        <f>IF(NOT(ISNUMBER($L51)),"",mPlanoQC.DPMdoSigma($L51))</f>
        <v/>
      </c>
      <c r="W51" s="119" t="str">
        <f>IF(NOT(ISNUMBER($L51)),"",mPlanoQC.RendimentoDoSigma($L51))</f>
        <v/>
      </c>
      <c r="X51" s="117" t="str">
        <f>IF(NOT(ISNUMBER($L51)),"",mPlanoQC.PlanoQC($L51,"REGRAS"))</f>
        <v/>
      </c>
      <c r="Y51" s="120" t="str">
        <f>IF(NOT(ISNUMBER($L51)),"",mPlanoQC.PlanoQC($L51,"N"))</f>
        <v/>
      </c>
      <c r="Z51" s="121" t="str">
        <f>IF(NOT(ISNUMBER($L51)),"",mPlanoQC.PlanoQC($L51,"RUNSIZE"))</f>
        <v/>
      </c>
      <c r="AA51" s="117" t="str">
        <f>IF(NOT(ISNUMBER($L51)),"",mPlanoQC.CoberturaWestgard($L51))</f>
        <v/>
      </c>
      <c r="AB51" s="117" t="str">
        <f t="shared" si="11"/>
        <v>BASO%|2</v>
      </c>
      <c r="AC51" s="120" t="str">
        <f>IF($A51="","",mCEQ.BiasEQ($A51,eqAnoEP,"N",IFERROR(INDEX(Analitos!$AR$4:$AR$43,MATCH($A51,Analitos!$A$4:$A$43,0)),"CAP"),eqRodada))</f>
        <v>SEM EP</v>
      </c>
      <c r="AD51" s="120" t="str">
        <f>IF($A51="","",mCEQ.BiasEQ($A51,eqAnoEP,"NRODADAS",IFERROR(INDEX(Analitos!$AR$4:$AR$43,MATCH($A51,Analitos!$A$4:$A$43,0)),"CAP"),eqRodada))</f>
        <v>SEM EP</v>
      </c>
    </row>
    <row r="52" spans="1:30" x14ac:dyDescent="0.3">
      <c r="A52" s="110" t="str">
        <f>Analitos!$A$16</f>
        <v>BASO%</v>
      </c>
      <c r="B52" s="111">
        <v>3</v>
      </c>
      <c r="C52" s="112">
        <f>IF($A52="","",IF(INDEX(engEstat,ROW()-13,3)="","",INDEX(engEstat,ROW()-13,3)))</f>
        <v>0</v>
      </c>
      <c r="D52" s="113" t="str">
        <f>IF($A52="","",IF(INDEX(engEstat,ROW()-13,4)="","",INDEX(engEstat,ROW()-13,4)))</f>
        <v/>
      </c>
      <c r="E52" s="113" t="str">
        <f>IF($A52="","",IF(INDEX(engEstat,ROW()-13,5)="","",INDEX(engEstat,ROW()-13,5)))</f>
        <v/>
      </c>
      <c r="F52" s="114" t="str">
        <f>IF($A52="","",IF(INDEX(engEstat,ROW()-13,6)="","",INDEX(engEstat,ROW()-13,6)))</f>
        <v/>
      </c>
      <c r="G52" s="114">
        <f>IF($A52="","",mCEQ.BiasEQ($A52,eqAnoEP,"ABS",eqProvedor,eqRodada))</f>
        <v>2.5085549222470034</v>
      </c>
      <c r="H52" s="114" t="str">
        <f t="shared" si="6"/>
        <v/>
      </c>
      <c r="I52" s="114" t="str">
        <f>IF($A52="","",IFERROR(INDEX(Analitos!$Q$4:$Q$43,MATCH($A52,Analitos!$A$4:$A$43,0)),""))</f>
        <v>VB</v>
      </c>
      <c r="J52" s="114">
        <f>IF($A52="","",IFERROR(IF($I52="VB",INDEX(Analitos!$T$4:$T$43,MATCH($A52,Analitos!$A$4:$A$43,0)),IF(INDEX(Analitos!$S$4:$S$43,MATCH($A52,Analitos!$A$4:$A$43,0))&lt;&gt;"",INDEX(Analitos!$S$4:$S$43,MATCH($A52,Analitos!$A$4:$A$43,0)),INDEX(Analitos!$T$4:$T$43,MATCH($A52,Analitos!$A$4:$A$43,0)))),""))</f>
        <v>9.3000000000000007</v>
      </c>
      <c r="K52" s="114">
        <f>IF($A52="","",IFERROR(INDEX(Analitos!$R$4:$R$43,MATCH($A52,Analitos!$A$4:$A$43,0)),""))</f>
        <v>26.2487335922151</v>
      </c>
      <c r="L52" s="114" t="str">
        <f t="shared" si="7"/>
        <v/>
      </c>
      <c r="M52" s="114" t="str">
        <f>IF(NOT(ISNUMBER($L52)),"",mQualidade.ClassificarSigma($L52))</f>
        <v/>
      </c>
      <c r="N52" s="115" t="str">
        <f t="shared" si="8"/>
        <v/>
      </c>
      <c r="O52" s="116" t="str">
        <f t="shared" si="9"/>
        <v/>
      </c>
      <c r="P52" s="117" t="str">
        <f>IF(NOT(ISNUMBER($O52)),"",mQualidade.ClassificarMargem($O52))</f>
        <v/>
      </c>
      <c r="Q52" s="117" t="str">
        <f t="shared" si="10"/>
        <v/>
      </c>
      <c r="R52" s="117" t="str">
        <f>IF($A52="","",mCEQ.StatusSDIeq($A52,eqAnoEP,IFERROR(INDEX(Analitos!$AR$4:$AR$43,MATCH($A52,Analitos!$A$4:$A$43,0)),"CAP"),eqRodada))</f>
        <v>SEM EP</v>
      </c>
      <c r="S52" s="117" t="str">
        <f>IF($A52="","",mCEQ.StatusLimitesEQ($A52,eqAnoEP,IFERROR(INDEX(Analitos!$AR$4:$AR$43,MATCH($A52,Analitos!$A$4:$A$43,0)),"CAP"),eqRodada))</f>
        <v>SEM EP</v>
      </c>
      <c r="T52" s="116" t="str">
        <f>IF($A52="","",mCEQ.BiasEQ($A52,eqAnoEP,"SIGNED",IFERROR(INDEX(Analitos!$AR$4:$AR$43,MATCH($A52,Analitos!$A$4:$A$43,0)),"CAP"),eqRodada))</f>
        <v>SEM EP</v>
      </c>
      <c r="U52" s="117" t="str">
        <f>IF(OR($P52="ETp excedido",$P52="Margem critica"),COUNTIF($P$14:$P52,"ETp excedido")+COUNTIF($P$14:$P52,"Margem critica"),"")</f>
        <v/>
      </c>
      <c r="V52" s="118" t="str">
        <f>IF(NOT(ISNUMBER($L52)),"",mPlanoQC.DPMdoSigma($L52))</f>
        <v/>
      </c>
      <c r="W52" s="119" t="str">
        <f>IF(NOT(ISNUMBER($L52)),"",mPlanoQC.RendimentoDoSigma($L52))</f>
        <v/>
      </c>
      <c r="X52" s="117" t="str">
        <f>IF(NOT(ISNUMBER($L52)),"",mPlanoQC.PlanoQC($L52,"REGRAS"))</f>
        <v/>
      </c>
      <c r="Y52" s="120" t="str">
        <f>IF(NOT(ISNUMBER($L52)),"",mPlanoQC.PlanoQC($L52,"N"))</f>
        <v/>
      </c>
      <c r="Z52" s="121" t="str">
        <f>IF(NOT(ISNUMBER($L52)),"",mPlanoQC.PlanoQC($L52,"RUNSIZE"))</f>
        <v/>
      </c>
      <c r="AA52" s="117" t="str">
        <f>IF(NOT(ISNUMBER($L52)),"",mPlanoQC.CoberturaWestgard($L52))</f>
        <v/>
      </c>
      <c r="AB52" s="117" t="str">
        <f t="shared" si="11"/>
        <v>BASO%|3</v>
      </c>
      <c r="AC52" s="120" t="str">
        <f>IF($A52="","",mCEQ.BiasEQ($A52,eqAnoEP,"N",IFERROR(INDEX(Analitos!$AR$4:$AR$43,MATCH($A52,Analitos!$A$4:$A$43,0)),"CAP"),eqRodada))</f>
        <v>SEM EP</v>
      </c>
      <c r="AD52" s="120" t="str">
        <f>IF($A52="","",mCEQ.BiasEQ($A52,eqAnoEP,"NRODADAS",IFERROR(INDEX(Analitos!$AR$4:$AR$43,MATCH($A52,Analitos!$A$4:$A$43,0)),"CAP"),eqRodada))</f>
        <v>SEM EP</v>
      </c>
    </row>
    <row r="53" spans="1:30" x14ac:dyDescent="0.3">
      <c r="A53" s="110" t="str">
        <f>Analitos!$A$17</f>
        <v>NEUT#</v>
      </c>
      <c r="B53" s="111">
        <v>1</v>
      </c>
      <c r="C53" s="112">
        <f>IF($A53="","",IF(INDEX(engEstat,ROW()-13,3)="","",INDEX(engEstat,ROW()-13,3)))</f>
        <v>25</v>
      </c>
      <c r="D53" s="113">
        <f>IF($A53="","",IF(INDEX(engEstat,ROW()-13,4)="","",INDEX(engEstat,ROW()-13,4)))</f>
        <v>1.2140600000000001</v>
      </c>
      <c r="E53" s="113">
        <f>IF($A53="","",IF(INDEX(engEstat,ROW()-13,5)="","",INDEX(engEstat,ROW()-13,5)))</f>
        <v>4.0568522280211308E-2</v>
      </c>
      <c r="F53" s="114">
        <f>IF($A53="","",IF(INDEX(engEstat,ROW()-13,6)="","",INDEX(engEstat,ROW()-13,6)))</f>
        <v>3.3415582656714911</v>
      </c>
      <c r="G53" s="114">
        <f>IF($A53="","",mCEQ.BiasEQ($A53,eqAnoEP,"ABS",eqProvedor,eqRodada))</f>
        <v>3.9834004250416153</v>
      </c>
      <c r="H53" s="114">
        <f t="shared" si="6"/>
        <v>9.4969715633995744</v>
      </c>
      <c r="I53" s="114" t="str">
        <f>IF($A53="","",IFERROR(INDEX(Analitos!$Q$4:$Q$43,MATCH($A53,Analitos!$A$4:$A$43,0)),""))</f>
        <v>VB</v>
      </c>
      <c r="J53" s="114">
        <f>IF($A53="","",IFERROR(IF($I53="VB",INDEX(Analitos!$T$4:$T$43,MATCH($A53,Analitos!$A$4:$A$43,0)),IF(INDEX(Analitos!$S$4:$S$43,MATCH($A53,Analitos!$A$4:$A$43,0))&lt;&gt;"",INDEX(Analitos!$S$4:$S$43,MATCH($A53,Analitos!$A$4:$A$43,0)),INDEX(Analitos!$T$4:$T$43,MATCH($A53,Analitos!$A$4:$A$43,0)))),""))</f>
        <v>10.5</v>
      </c>
      <c r="K53" s="114">
        <f>IF($A53="","",IFERROR(INDEX(Analitos!$R$4:$R$43,MATCH($A53,Analitos!$A$4:$A$43,0)),""))</f>
        <v>27.582809524942444</v>
      </c>
      <c r="L53" s="114">
        <f t="shared" si="7"/>
        <v>7.0623964101845438</v>
      </c>
      <c r="M53" s="114" t="str">
        <f>IF(NOT(ISNUMBER($L53)),"",mQualidade.ClassificarSigma($L53))</f>
        <v>Classe mundial</v>
      </c>
      <c r="N53" s="115">
        <f t="shared" si="8"/>
        <v>18.085837961542872</v>
      </c>
      <c r="O53" s="116">
        <f t="shared" si="9"/>
        <v>65.56923777176614</v>
      </c>
      <c r="P53" s="117" t="str">
        <f>IF(NOT(ISNUMBER($O53)),"",mQualidade.ClassificarMargem($O53))</f>
        <v>Dentro do orcamento</v>
      </c>
      <c r="Q53" s="117" t="str">
        <f t="shared" si="10"/>
        <v>OK</v>
      </c>
      <c r="R53" s="117" t="str">
        <f>IF($A53="","",mCEQ.StatusSDIeq($A53,eqAnoEP,IFERROR(INDEX(Analitos!$AR$4:$AR$43,MATCH($A53,Analitos!$A$4:$A$43,0)),"CAP"),eqRodada))</f>
        <v>SEM EP</v>
      </c>
      <c r="S53" s="117" t="str">
        <f>IF($A53="","",mCEQ.StatusLimitesEQ($A53,eqAnoEP,IFERROR(INDEX(Analitos!$AR$4:$AR$43,MATCH($A53,Analitos!$A$4:$A$43,0)),"CAP"),eqRodada))</f>
        <v>SEM EP</v>
      </c>
      <c r="T53" s="116" t="str">
        <f>IF($A53="","",mCEQ.BiasEQ($A53,eqAnoEP,"SIGNED",IFERROR(INDEX(Analitos!$AR$4:$AR$43,MATCH($A53,Analitos!$A$4:$A$43,0)),"CAP"),eqRodada))</f>
        <v>SEM EP</v>
      </c>
      <c r="U53" s="117" t="str">
        <f>IF(OR($P53="ETp excedido",$P53="Margem critica"),COUNTIF($P$14:$P53,"ETp excedido")+COUNTIF($P$14:$P53,"Margem critica"),"")</f>
        <v/>
      </c>
      <c r="V53" s="118">
        <f>IF(NOT(ISNUMBER($L53)),"",mPlanoQC.DPMdoSigma($L53))</f>
        <v>1.3304749524323256E-2</v>
      </c>
      <c r="W53" s="119">
        <f>IF(NOT(ISNUMBER($L53)),"",mPlanoQC.RendimentoDoSigma($L53))</f>
        <v>99.999998669525041</v>
      </c>
      <c r="X53" s="117" t="str">
        <f>IF(NOT(ISNUMBER($L53)),"",mPlanoQC.PlanoQC($L53,"REGRAS"))</f>
        <v>1_3s</v>
      </c>
      <c r="Y53" s="120">
        <f>IF(NOT(ISNUMBER($L53)),"",mPlanoQC.PlanoQC($L53,"N"))</f>
        <v>3</v>
      </c>
      <c r="Z53" s="121">
        <f>IF(NOT(ISNUMBER($L53)),"",mPlanoQC.PlanoQC($L53,"RUNSIZE"))</f>
        <v>1</v>
      </c>
      <c r="AA53" s="117" t="str">
        <f>IF(NOT(ISNUMBER($L53)),"",mPlanoQC.CoberturaWestgard($L53))</f>
        <v>TOTAL</v>
      </c>
      <c r="AB53" s="117" t="str">
        <f t="shared" si="11"/>
        <v>NEUT#|1</v>
      </c>
      <c r="AC53" s="120" t="str">
        <f>IF($A53="","",mCEQ.BiasEQ($A53,eqAnoEP,"N",IFERROR(INDEX(Analitos!$AR$4:$AR$43,MATCH($A53,Analitos!$A$4:$A$43,0)),"CAP"),eqRodada))</f>
        <v>SEM EP</v>
      </c>
      <c r="AD53" s="120" t="str">
        <f>IF($A53="","",mCEQ.BiasEQ($A53,eqAnoEP,"NRODADAS",IFERROR(INDEX(Analitos!$AR$4:$AR$43,MATCH($A53,Analitos!$A$4:$A$43,0)),"CAP"),eqRodada))</f>
        <v>SEM EP</v>
      </c>
    </row>
    <row r="54" spans="1:30" x14ac:dyDescent="0.3">
      <c r="A54" s="110" t="str">
        <f>Analitos!$A$17</f>
        <v>NEUT#</v>
      </c>
      <c r="B54" s="111">
        <v>2</v>
      </c>
      <c r="C54" s="112">
        <f>IF($A54="","",IF(INDEX(engEstat,ROW()-13,3)="","",INDEX(engEstat,ROW()-13,3)))</f>
        <v>25</v>
      </c>
      <c r="D54" s="113">
        <f>IF($A54="","",IF(INDEX(engEstat,ROW()-13,4)="","",INDEX(engEstat,ROW()-13,4)))</f>
        <v>2.983816</v>
      </c>
      <c r="E54" s="113">
        <f>IF($A54="","",IF(INDEX(engEstat,ROW()-13,5)="","",INDEX(engEstat,ROW()-13,5)))</f>
        <v>5.4569685418432386E-2</v>
      </c>
      <c r="F54" s="114">
        <f>IF($A54="","",IF(INDEX(engEstat,ROW()-13,6)="","",INDEX(engEstat,ROW()-13,6)))</f>
        <v>1.8288555801843138</v>
      </c>
      <c r="G54" s="114">
        <f>IF($A54="","",mCEQ.BiasEQ($A54,eqAnoEP,"ABS",eqProvedor,eqRodada))</f>
        <v>3.9834004250416153</v>
      </c>
      <c r="H54" s="114">
        <f t="shared" si="6"/>
        <v>7.0010121323457328</v>
      </c>
      <c r="I54" s="114" t="str">
        <f>IF($A54="","",IFERROR(INDEX(Analitos!$Q$4:$Q$43,MATCH($A54,Analitos!$A$4:$A$43,0)),""))</f>
        <v>VB</v>
      </c>
      <c r="J54" s="114">
        <f>IF($A54="","",IFERROR(IF($I54="VB",INDEX(Analitos!$T$4:$T$43,MATCH($A54,Analitos!$A$4:$A$43,0)),IF(INDEX(Analitos!$S$4:$S$43,MATCH($A54,Analitos!$A$4:$A$43,0))&lt;&gt;"",INDEX(Analitos!$S$4:$S$43,MATCH($A54,Analitos!$A$4:$A$43,0)),INDEX(Analitos!$T$4:$T$43,MATCH($A54,Analitos!$A$4:$A$43,0)))),""))</f>
        <v>10.5</v>
      </c>
      <c r="K54" s="114">
        <f>IF($A54="","",IFERROR(INDEX(Analitos!$R$4:$R$43,MATCH($A54,Analitos!$A$4:$A$43,0)),""))</f>
        <v>27.582809524942444</v>
      </c>
      <c r="L54" s="114">
        <f t="shared" si="7"/>
        <v>12.903921641271673</v>
      </c>
      <c r="M54" s="114" t="str">
        <f>IF(NOT(ISNUMBER($L54)),"",mQualidade.ClassificarSigma($L54))</f>
        <v>Classe mundial</v>
      </c>
      <c r="N54" s="115">
        <f t="shared" si="8"/>
        <v>20.581797392596712</v>
      </c>
      <c r="O54" s="116">
        <f t="shared" si="9"/>
        <v>74.618205132385469</v>
      </c>
      <c r="P54" s="117" t="str">
        <f>IF(NOT(ISNUMBER($O54)),"",mQualidade.ClassificarMargem($O54))</f>
        <v>Dentro do orcamento</v>
      </c>
      <c r="Q54" s="117" t="str">
        <f t="shared" si="10"/>
        <v>OK</v>
      </c>
      <c r="R54" s="117" t="str">
        <f>IF($A54="","",mCEQ.StatusSDIeq($A54,eqAnoEP,IFERROR(INDEX(Analitos!$AR$4:$AR$43,MATCH($A54,Analitos!$A$4:$A$43,0)),"CAP"),eqRodada))</f>
        <v>SEM EP</v>
      </c>
      <c r="S54" s="117" t="str">
        <f>IF($A54="","",mCEQ.StatusLimitesEQ($A54,eqAnoEP,IFERROR(INDEX(Analitos!$AR$4:$AR$43,MATCH($A54,Analitos!$A$4:$A$43,0)),"CAP"),eqRodada))</f>
        <v>SEM EP</v>
      </c>
      <c r="T54" s="116" t="str">
        <f>IF($A54="","",mCEQ.BiasEQ($A54,eqAnoEP,"SIGNED",IFERROR(INDEX(Analitos!$AR$4:$AR$43,MATCH($A54,Analitos!$A$4:$A$43,0)),"CAP"),eqRodada))</f>
        <v>SEM EP</v>
      </c>
      <c r="U54" s="117" t="str">
        <f>IF(OR($P54="ETp excedido",$P54="Margem critica"),COUNTIF($P$14:$P54,"ETp excedido")+COUNTIF($P$14:$P54,"Margem critica"),"")</f>
        <v/>
      </c>
      <c r="V54" s="118">
        <f>IF(NOT(ISNUMBER($L54)),"",mPlanoQC.DPMdoSigma($L54))</f>
        <v>0</v>
      </c>
      <c r="W54" s="119">
        <f>IF(NOT(ISNUMBER($L54)),"",mPlanoQC.RendimentoDoSigma($L54))</f>
        <v>100</v>
      </c>
      <c r="X54" s="117" t="str">
        <f>IF(NOT(ISNUMBER($L54)),"",mPlanoQC.PlanoQC($L54,"REGRAS"))</f>
        <v>1_3s</v>
      </c>
      <c r="Y54" s="120">
        <f>IF(NOT(ISNUMBER($L54)),"",mPlanoQC.PlanoQC($L54,"N"))</f>
        <v>3</v>
      </c>
      <c r="Z54" s="121">
        <f>IF(NOT(ISNUMBER($L54)),"",mPlanoQC.PlanoQC($L54,"RUNSIZE"))</f>
        <v>1</v>
      </c>
      <c r="AA54" s="117" t="str">
        <f>IF(NOT(ISNUMBER($L54)),"",mPlanoQC.CoberturaWestgard($L54))</f>
        <v>TOTAL</v>
      </c>
      <c r="AB54" s="117" t="str">
        <f t="shared" si="11"/>
        <v>NEUT#|2</v>
      </c>
      <c r="AC54" s="120" t="str">
        <f>IF($A54="","",mCEQ.BiasEQ($A54,eqAnoEP,"N",IFERROR(INDEX(Analitos!$AR$4:$AR$43,MATCH($A54,Analitos!$A$4:$A$43,0)),"CAP"),eqRodada))</f>
        <v>SEM EP</v>
      </c>
      <c r="AD54" s="120" t="str">
        <f>IF($A54="","",mCEQ.BiasEQ($A54,eqAnoEP,"NRODADAS",IFERROR(INDEX(Analitos!$AR$4:$AR$43,MATCH($A54,Analitos!$A$4:$A$43,0)),"CAP"),eqRodada))</f>
        <v>SEM EP</v>
      </c>
    </row>
    <row r="55" spans="1:30" x14ac:dyDescent="0.3">
      <c r="A55" s="110" t="str">
        <f>Analitos!$A$17</f>
        <v>NEUT#</v>
      </c>
      <c r="B55" s="111">
        <v>3</v>
      </c>
      <c r="C55" s="112">
        <f>IF($A55="","",IF(INDEX(engEstat,ROW()-13,3)="","",INDEX(engEstat,ROW()-13,3)))</f>
        <v>25</v>
      </c>
      <c r="D55" s="113">
        <f>IF($A55="","",IF(INDEX(engEstat,ROW()-13,4)="","",INDEX(engEstat,ROW()-13,4)))</f>
        <v>7.8644599999999993</v>
      </c>
      <c r="E55" s="113">
        <f>IF($A55="","",IF(INDEX(engEstat,ROW()-13,5)="","",INDEX(engEstat,ROW()-13,5)))</f>
        <v>0.17538386945972737</v>
      </c>
      <c r="F55" s="114">
        <f>IF($A55="","",IF(INDEX(engEstat,ROW()-13,6)="","",INDEX(engEstat,ROW()-13,6)))</f>
        <v>2.2300815244750103</v>
      </c>
      <c r="G55" s="114">
        <f>IF($A55="","",mCEQ.BiasEQ($A55,eqAnoEP,"ABS",eqProvedor,eqRodada))</f>
        <v>3.9834004250416153</v>
      </c>
      <c r="H55" s="114">
        <f t="shared" si="6"/>
        <v>7.6630349404253817</v>
      </c>
      <c r="I55" s="114" t="str">
        <f>IF($A55="","",IFERROR(INDEX(Analitos!$Q$4:$Q$43,MATCH($A55,Analitos!$A$4:$A$43,0)),""))</f>
        <v>VB</v>
      </c>
      <c r="J55" s="114">
        <f>IF($A55="","",IFERROR(IF($I55="VB",INDEX(Analitos!$T$4:$T$43,MATCH($A55,Analitos!$A$4:$A$43,0)),IF(INDEX(Analitos!$S$4:$S$43,MATCH($A55,Analitos!$A$4:$A$43,0))&lt;&gt;"",INDEX(Analitos!$S$4:$S$43,MATCH($A55,Analitos!$A$4:$A$43,0)),INDEX(Analitos!$T$4:$T$43,MATCH($A55,Analitos!$A$4:$A$43,0)))),""))</f>
        <v>10.5</v>
      </c>
      <c r="K55" s="114">
        <f>IF($A55="","",IFERROR(INDEX(Analitos!$R$4:$R$43,MATCH($A55,Analitos!$A$4:$A$43,0)),""))</f>
        <v>27.582809524942444</v>
      </c>
      <c r="L55" s="114">
        <f t="shared" si="7"/>
        <v>10.582307794983608</v>
      </c>
      <c r="M55" s="114" t="str">
        <f>IF(NOT(ISNUMBER($L55)),"",mQualidade.ClassificarSigma($L55))</f>
        <v>Classe mundial</v>
      </c>
      <c r="N55" s="115">
        <f t="shared" si="8"/>
        <v>19.919774584517064</v>
      </c>
      <c r="O55" s="116">
        <f t="shared" si="9"/>
        <v>72.218076865970133</v>
      </c>
      <c r="P55" s="117" t="str">
        <f>IF(NOT(ISNUMBER($O55)),"",mQualidade.ClassificarMargem($O55))</f>
        <v>Dentro do orcamento</v>
      </c>
      <c r="Q55" s="117" t="str">
        <f t="shared" si="10"/>
        <v>OK</v>
      </c>
      <c r="R55" s="117" t="str">
        <f>IF($A55="","",mCEQ.StatusSDIeq($A55,eqAnoEP,IFERROR(INDEX(Analitos!$AR$4:$AR$43,MATCH($A55,Analitos!$A$4:$A$43,0)),"CAP"),eqRodada))</f>
        <v>SEM EP</v>
      </c>
      <c r="S55" s="117" t="str">
        <f>IF($A55="","",mCEQ.StatusLimitesEQ($A55,eqAnoEP,IFERROR(INDEX(Analitos!$AR$4:$AR$43,MATCH($A55,Analitos!$A$4:$A$43,0)),"CAP"),eqRodada))</f>
        <v>SEM EP</v>
      </c>
      <c r="T55" s="116" t="str">
        <f>IF($A55="","",mCEQ.BiasEQ($A55,eqAnoEP,"SIGNED",IFERROR(INDEX(Analitos!$AR$4:$AR$43,MATCH($A55,Analitos!$A$4:$A$43,0)),"CAP"),eqRodada))</f>
        <v>SEM EP</v>
      </c>
      <c r="U55" s="117" t="str">
        <f>IF(OR($P55="ETp excedido",$P55="Margem critica"),COUNTIF($P$14:$P55,"ETp excedido")+COUNTIF($P$14:$P55,"Margem critica"),"")</f>
        <v/>
      </c>
      <c r="V55" s="118">
        <f>IF(NOT(ISNUMBER($L55)),"",mPlanoQC.DPMdoSigma($L55))</f>
        <v>0</v>
      </c>
      <c r="W55" s="119">
        <f>IF(NOT(ISNUMBER($L55)),"",mPlanoQC.RendimentoDoSigma($L55))</f>
        <v>100</v>
      </c>
      <c r="X55" s="117" t="str">
        <f>IF(NOT(ISNUMBER($L55)),"",mPlanoQC.PlanoQC($L55,"REGRAS"))</f>
        <v>1_3s</v>
      </c>
      <c r="Y55" s="120">
        <f>IF(NOT(ISNUMBER($L55)),"",mPlanoQC.PlanoQC($L55,"N"))</f>
        <v>3</v>
      </c>
      <c r="Z55" s="121">
        <f>IF(NOT(ISNUMBER($L55)),"",mPlanoQC.PlanoQC($L55,"RUNSIZE"))</f>
        <v>1</v>
      </c>
      <c r="AA55" s="117" t="str">
        <f>IF(NOT(ISNUMBER($L55)),"",mPlanoQC.CoberturaWestgard($L55))</f>
        <v>TOTAL</v>
      </c>
      <c r="AB55" s="117" t="str">
        <f t="shared" si="11"/>
        <v>NEUT#|3</v>
      </c>
      <c r="AC55" s="120" t="str">
        <f>IF($A55="","",mCEQ.BiasEQ($A55,eqAnoEP,"N",IFERROR(INDEX(Analitos!$AR$4:$AR$43,MATCH($A55,Analitos!$A$4:$A$43,0)),"CAP"),eqRodada))</f>
        <v>SEM EP</v>
      </c>
      <c r="AD55" s="120" t="str">
        <f>IF($A55="","",mCEQ.BiasEQ($A55,eqAnoEP,"NRODADAS",IFERROR(INDEX(Analitos!$AR$4:$AR$43,MATCH($A55,Analitos!$A$4:$A$43,0)),"CAP"),eqRodada))</f>
        <v>SEM EP</v>
      </c>
    </row>
    <row r="56" spans="1:30" x14ac:dyDescent="0.3">
      <c r="A56" s="110" t="str">
        <f>Analitos!$A$18</f>
        <v>LYMPH#</v>
      </c>
      <c r="B56" s="111">
        <v>1</v>
      </c>
      <c r="C56" s="112">
        <f>IF($A56="","",IF(INDEX(engEstat,ROW()-13,3)="","",INDEX(engEstat,ROW()-13,3)))</f>
        <v>25</v>
      </c>
      <c r="D56" s="113">
        <f>IF($A56="","",IF(INDEX(engEstat,ROW()-13,4)="","",INDEX(engEstat,ROW()-13,4)))</f>
        <v>1.0061119999999999</v>
      </c>
      <c r="E56" s="113">
        <f>IF($A56="","",IF(INDEX(engEstat,ROW()-13,5)="","",INDEX(engEstat,ROW()-13,5)))</f>
        <v>4.7195482834695102E-2</v>
      </c>
      <c r="F56" s="114">
        <f>IF($A56="","",IF(INDEX(engEstat,ROW()-13,6)="","",INDEX(engEstat,ROW()-13,6)))</f>
        <v>4.6908776393378773</v>
      </c>
      <c r="G56" s="114">
        <f>IF($A56="","",mCEQ.BiasEQ($A56,eqAnoEP,"ABS",eqProvedor,eqRodada))</f>
        <v>3.2705266790177085</v>
      </c>
      <c r="H56" s="114">
        <f t="shared" si="6"/>
        <v>11.010474783925206</v>
      </c>
      <c r="I56" s="114" t="str">
        <f>IF($A56="","",IFERROR(INDEX(Analitos!$Q$4:$Q$43,MATCH($A56,Analitos!$A$4:$A$43,0)),""))</f>
        <v>VB</v>
      </c>
      <c r="J56" s="114">
        <f>IF($A56="","",IFERROR(IF($I56="VB",INDEX(Analitos!$T$4:$T$43,MATCH($A56,Analitos!$A$4:$A$43,0)),IF(INDEX(Analitos!$S$4:$S$43,MATCH($A56,Analitos!$A$4:$A$43,0))&lt;&gt;"",INDEX(Analitos!$S$4:$S$43,MATCH($A56,Analitos!$A$4:$A$43,0)),INDEX(Analitos!$T$4:$T$43,MATCH($A56,Analitos!$A$4:$A$43,0)))),""))</f>
        <v>8.1000000000000014</v>
      </c>
      <c r="K56" s="114">
        <f>IF($A56="","",IFERROR(INDEX(Analitos!$R$4:$R$43,MATCH($A56,Analitos!$A$4:$A$43,0)),""))</f>
        <v>22.757982753098187</v>
      </c>
      <c r="L56" s="114">
        <f t="shared" si="7"/>
        <v>4.1543305053745021</v>
      </c>
      <c r="M56" s="114" t="str">
        <f>IF(NOT(ISNUMBER($L56)),"",mQualidade.ClassificarSigma($L56))</f>
        <v>Bom</v>
      </c>
      <c r="N56" s="115">
        <f t="shared" si="8"/>
        <v>11.747507969172981</v>
      </c>
      <c r="O56" s="116">
        <f t="shared" si="9"/>
        <v>51.619284963091552</v>
      </c>
      <c r="P56" s="117" t="str">
        <f>IF(NOT(ISNUMBER($O56)),"",mQualidade.ClassificarMargem($O56))</f>
        <v>Dentro do orcamento</v>
      </c>
      <c r="Q56" s="117" t="str">
        <f t="shared" si="10"/>
        <v>OK</v>
      </c>
      <c r="R56" s="117" t="str">
        <f>IF($A56="","",mCEQ.StatusSDIeq($A56,eqAnoEP,IFERROR(INDEX(Analitos!$AR$4:$AR$43,MATCH($A56,Analitos!$A$4:$A$43,0)),"CAP"),eqRodada))</f>
        <v>SEM EP</v>
      </c>
      <c r="S56" s="117" t="str">
        <f>IF($A56="","",mCEQ.StatusLimitesEQ($A56,eqAnoEP,IFERROR(INDEX(Analitos!$AR$4:$AR$43,MATCH($A56,Analitos!$A$4:$A$43,0)),"CAP"),eqRodada))</f>
        <v>SEM EP</v>
      </c>
      <c r="T56" s="116" t="str">
        <f>IF($A56="","",mCEQ.BiasEQ($A56,eqAnoEP,"SIGNED",IFERROR(INDEX(Analitos!$AR$4:$AR$43,MATCH($A56,Analitos!$A$4:$A$43,0)),"CAP"),eqRodada))</f>
        <v>SEM EP</v>
      </c>
      <c r="U56" s="117" t="str">
        <f>IF(OR($P56="ETp excedido",$P56="Margem critica"),COUNTIF($P$14:$P56,"ETp excedido")+COUNTIF($P$14:$P56,"Margem critica"),"")</f>
        <v/>
      </c>
      <c r="V56" s="118">
        <f>IF(NOT(ISNUMBER($L56)),"",mPlanoQC.DPMdoSigma($L56))</f>
        <v>3973.2975351396417</v>
      </c>
      <c r="W56" s="119">
        <f>IF(NOT(ISNUMBER($L56)),"",mPlanoQC.RendimentoDoSigma($L56))</f>
        <v>99.602670246486042</v>
      </c>
      <c r="X56" s="117" t="str">
        <f>IF(NOT(ISNUMBER($L56)),"",mPlanoQC.PlanoQC($L56,"REGRAS"))</f>
        <v>1_3s / 2of3_2s / R_4s / 3_1s</v>
      </c>
      <c r="Y56" s="120">
        <f>IF(NOT(ISNUMBER($L56)),"",mPlanoQC.PlanoQC($L56,"N"))</f>
        <v>3</v>
      </c>
      <c r="Z56" s="121">
        <f>IF(NOT(ISNUMBER($L56)),"",mPlanoQC.PlanoQC($L56,"RUNSIZE"))</f>
        <v>1</v>
      </c>
      <c r="AA56" s="117" t="str">
        <f>IF(NOT(ISNUMBER($L56)),"",mPlanoQC.CoberturaWestgard($L56))</f>
        <v>TOTAL</v>
      </c>
      <c r="AB56" s="117" t="str">
        <f t="shared" si="11"/>
        <v>LYMPH#|1</v>
      </c>
      <c r="AC56" s="120" t="str">
        <f>IF($A56="","",mCEQ.BiasEQ($A56,eqAnoEP,"N",IFERROR(INDEX(Analitos!$AR$4:$AR$43,MATCH($A56,Analitos!$A$4:$A$43,0)),"CAP"),eqRodada))</f>
        <v>SEM EP</v>
      </c>
      <c r="AD56" s="120" t="str">
        <f>IF($A56="","",mCEQ.BiasEQ($A56,eqAnoEP,"NRODADAS",IFERROR(INDEX(Analitos!$AR$4:$AR$43,MATCH($A56,Analitos!$A$4:$A$43,0)),"CAP"),eqRodada))</f>
        <v>SEM EP</v>
      </c>
    </row>
    <row r="57" spans="1:30" x14ac:dyDescent="0.3">
      <c r="A57" s="110" t="str">
        <f>Analitos!$A$18</f>
        <v>LYMPH#</v>
      </c>
      <c r="B57" s="111">
        <v>2</v>
      </c>
      <c r="C57" s="112">
        <f>IF($A57="","",IF(INDEX(engEstat,ROW()-13,3)="","",INDEX(engEstat,ROW()-13,3)))</f>
        <v>25</v>
      </c>
      <c r="D57" s="113">
        <f>IF($A57="","",IF(INDEX(engEstat,ROW()-13,4)="","",INDEX(engEstat,ROW()-13,4)))</f>
        <v>1.9905360000000001</v>
      </c>
      <c r="E57" s="113">
        <f>IF($A57="","",IF(INDEX(engEstat,ROW()-13,5)="","",INDEX(engEstat,ROW()-13,5)))</f>
        <v>5.0843738388648564E-2</v>
      </c>
      <c r="F57" s="114">
        <f>IF($A57="","",IF(INDEX(engEstat,ROW()-13,6)="","",INDEX(engEstat,ROW()-13,6)))</f>
        <v>2.5542737427832787</v>
      </c>
      <c r="G57" s="114">
        <f>IF($A57="","",mCEQ.BiasEQ($A57,eqAnoEP,"ABS",eqProvedor,eqRodada))</f>
        <v>3.2705266790177085</v>
      </c>
      <c r="H57" s="114">
        <f t="shared" si="6"/>
        <v>7.4850783546101187</v>
      </c>
      <c r="I57" s="114" t="str">
        <f>IF($A57="","",IFERROR(INDEX(Analitos!$Q$4:$Q$43,MATCH($A57,Analitos!$A$4:$A$43,0)),""))</f>
        <v>VB</v>
      </c>
      <c r="J57" s="114">
        <f>IF($A57="","",IFERROR(IF($I57="VB",INDEX(Analitos!$T$4:$T$43,MATCH($A57,Analitos!$A$4:$A$43,0)),IF(INDEX(Analitos!$S$4:$S$43,MATCH($A57,Analitos!$A$4:$A$43,0))&lt;&gt;"",INDEX(Analitos!$S$4:$S$43,MATCH($A57,Analitos!$A$4:$A$43,0)),INDEX(Analitos!$T$4:$T$43,MATCH($A57,Analitos!$A$4:$A$43,0)))),""))</f>
        <v>8.1000000000000014</v>
      </c>
      <c r="K57" s="114">
        <f>IF($A57="","",IFERROR(INDEX(Analitos!$R$4:$R$43,MATCH($A57,Analitos!$A$4:$A$43,0)),""))</f>
        <v>22.757982753098187</v>
      </c>
      <c r="L57" s="114">
        <f t="shared" si="7"/>
        <v>7.6293530124323565</v>
      </c>
      <c r="M57" s="114" t="str">
        <f>IF(NOT(ISNUMBER($L57)),"",mQualidade.ClassificarSigma($L57))</f>
        <v>Classe mundial</v>
      </c>
      <c r="N57" s="115">
        <f t="shared" si="8"/>
        <v>15.272904398488068</v>
      </c>
      <c r="O57" s="116">
        <f t="shared" si="9"/>
        <v>67.11009742903893</v>
      </c>
      <c r="P57" s="117" t="str">
        <f>IF(NOT(ISNUMBER($O57)),"",mQualidade.ClassificarMargem($O57))</f>
        <v>Dentro do orcamento</v>
      </c>
      <c r="Q57" s="117" t="str">
        <f t="shared" si="10"/>
        <v>OK</v>
      </c>
      <c r="R57" s="117" t="str">
        <f>IF($A57="","",mCEQ.StatusSDIeq($A57,eqAnoEP,IFERROR(INDEX(Analitos!$AR$4:$AR$43,MATCH($A57,Analitos!$A$4:$A$43,0)),"CAP"),eqRodada))</f>
        <v>SEM EP</v>
      </c>
      <c r="S57" s="117" t="str">
        <f>IF($A57="","",mCEQ.StatusLimitesEQ($A57,eqAnoEP,IFERROR(INDEX(Analitos!$AR$4:$AR$43,MATCH($A57,Analitos!$A$4:$A$43,0)),"CAP"),eqRodada))</f>
        <v>SEM EP</v>
      </c>
      <c r="T57" s="116" t="str">
        <f>IF($A57="","",mCEQ.BiasEQ($A57,eqAnoEP,"SIGNED",IFERROR(INDEX(Analitos!$AR$4:$AR$43,MATCH($A57,Analitos!$A$4:$A$43,0)),"CAP"),eqRodada))</f>
        <v>SEM EP</v>
      </c>
      <c r="U57" s="117" t="str">
        <f>IF(OR($P57="ETp excedido",$P57="Margem critica"),COUNTIF($P$14:$P57,"ETp excedido")+COUNTIF($P$14:$P57,"Margem critica"),"")</f>
        <v/>
      </c>
      <c r="V57" s="118">
        <f>IF(NOT(ISNUMBER($L57)),"",mPlanoQC.DPMdoSigma($L57))</f>
        <v>4.4118575459606291E-4</v>
      </c>
      <c r="W57" s="119">
        <f>IF(NOT(ISNUMBER($L57)),"",mPlanoQC.RendimentoDoSigma($L57))</f>
        <v>99.999999955881421</v>
      </c>
      <c r="X57" s="117" t="str">
        <f>IF(NOT(ISNUMBER($L57)),"",mPlanoQC.PlanoQC($L57,"REGRAS"))</f>
        <v>1_3s</v>
      </c>
      <c r="Y57" s="120">
        <f>IF(NOT(ISNUMBER($L57)),"",mPlanoQC.PlanoQC($L57,"N"))</f>
        <v>3</v>
      </c>
      <c r="Z57" s="121">
        <f>IF(NOT(ISNUMBER($L57)),"",mPlanoQC.PlanoQC($L57,"RUNSIZE"))</f>
        <v>1</v>
      </c>
      <c r="AA57" s="117" t="str">
        <f>IF(NOT(ISNUMBER($L57)),"",mPlanoQC.CoberturaWestgard($L57))</f>
        <v>TOTAL</v>
      </c>
      <c r="AB57" s="117" t="str">
        <f t="shared" si="11"/>
        <v>LYMPH#|2</v>
      </c>
      <c r="AC57" s="120" t="str">
        <f>IF($A57="","",mCEQ.BiasEQ($A57,eqAnoEP,"N",IFERROR(INDEX(Analitos!$AR$4:$AR$43,MATCH($A57,Analitos!$A$4:$A$43,0)),"CAP"),eqRodada))</f>
        <v>SEM EP</v>
      </c>
      <c r="AD57" s="120" t="str">
        <f>IF($A57="","",mCEQ.BiasEQ($A57,eqAnoEP,"NRODADAS",IFERROR(INDEX(Analitos!$AR$4:$AR$43,MATCH($A57,Analitos!$A$4:$A$43,0)),"CAP"),eqRodada))</f>
        <v>SEM EP</v>
      </c>
    </row>
    <row r="58" spans="1:30" x14ac:dyDescent="0.3">
      <c r="A58" s="110" t="str">
        <f>Analitos!$A$18</f>
        <v>LYMPH#</v>
      </c>
      <c r="B58" s="111">
        <v>3</v>
      </c>
      <c r="C58" s="112">
        <f>IF($A58="","",IF(INDEX(engEstat,ROW()-13,3)="","",INDEX(engEstat,ROW()-13,3)))</f>
        <v>25</v>
      </c>
      <c r="D58" s="113">
        <f>IF($A58="","",IF(INDEX(engEstat,ROW()-13,4)="","",INDEX(engEstat,ROW()-13,4)))</f>
        <v>4.0317119999999997</v>
      </c>
      <c r="E58" s="113">
        <f>IF($A58="","",IF(INDEX(engEstat,ROW()-13,5)="","",INDEX(engEstat,ROW()-13,5)))</f>
        <v>0.20901574964581013</v>
      </c>
      <c r="F58" s="114">
        <f>IF($A58="","",IF(INDEX(engEstat,ROW()-13,6)="","",INDEX(engEstat,ROW()-13,6)))</f>
        <v>5.1842926688664797</v>
      </c>
      <c r="G58" s="114">
        <f>IF($A58="","",mCEQ.BiasEQ($A58,eqAnoEP,"ABS",eqProvedor,eqRodada))</f>
        <v>3.2705266790177085</v>
      </c>
      <c r="H58" s="114">
        <f t="shared" si="6"/>
        <v>11.824609582647399</v>
      </c>
      <c r="I58" s="114" t="str">
        <f>IF($A58="","",IFERROR(INDEX(Analitos!$Q$4:$Q$43,MATCH($A58,Analitos!$A$4:$A$43,0)),""))</f>
        <v>VB</v>
      </c>
      <c r="J58" s="114">
        <f>IF($A58="","",IFERROR(IF($I58="VB",INDEX(Analitos!$T$4:$T$43,MATCH($A58,Analitos!$A$4:$A$43,0)),IF(INDEX(Analitos!$S$4:$S$43,MATCH($A58,Analitos!$A$4:$A$43,0))&lt;&gt;"",INDEX(Analitos!$S$4:$S$43,MATCH($A58,Analitos!$A$4:$A$43,0)),INDEX(Analitos!$T$4:$T$43,MATCH($A58,Analitos!$A$4:$A$43,0)))),""))</f>
        <v>8.1000000000000014</v>
      </c>
      <c r="K58" s="114">
        <f>IF($A58="","",IFERROR(INDEX(Analitos!$R$4:$R$43,MATCH($A58,Analitos!$A$4:$A$43,0)),""))</f>
        <v>22.757982753098187</v>
      </c>
      <c r="L58" s="114">
        <f t="shared" si="7"/>
        <v>3.7589421197436592</v>
      </c>
      <c r="M58" s="114" t="str">
        <f>IF(NOT(ISNUMBER($L58)),"",mQualidade.ClassificarSigma($L58))</f>
        <v>Marginal</v>
      </c>
      <c r="N58" s="115">
        <f t="shared" si="8"/>
        <v>10.933373170450787</v>
      </c>
      <c r="O58" s="116">
        <f t="shared" si="9"/>
        <v>48.041925723677593</v>
      </c>
      <c r="P58" s="117" t="str">
        <f>IF(NOT(ISNUMBER($O58)),"",mQualidade.ClassificarMargem($O58))</f>
        <v>Dentro do orcamento</v>
      </c>
      <c r="Q58" s="117" t="str">
        <f t="shared" si="10"/>
        <v>OK</v>
      </c>
      <c r="R58" s="117" t="str">
        <f>IF($A58="","",mCEQ.StatusSDIeq($A58,eqAnoEP,IFERROR(INDEX(Analitos!$AR$4:$AR$43,MATCH($A58,Analitos!$A$4:$A$43,0)),"CAP"),eqRodada))</f>
        <v>SEM EP</v>
      </c>
      <c r="S58" s="117" t="str">
        <f>IF($A58="","",mCEQ.StatusLimitesEQ($A58,eqAnoEP,IFERROR(INDEX(Analitos!$AR$4:$AR$43,MATCH($A58,Analitos!$A$4:$A$43,0)),"CAP"),eqRodada))</f>
        <v>SEM EP</v>
      </c>
      <c r="T58" s="116" t="str">
        <f>IF($A58="","",mCEQ.BiasEQ($A58,eqAnoEP,"SIGNED",IFERROR(INDEX(Analitos!$AR$4:$AR$43,MATCH($A58,Analitos!$A$4:$A$43,0)),"CAP"),eqRodada))</f>
        <v>SEM EP</v>
      </c>
      <c r="U58" s="117" t="str">
        <f>IF(OR($P58="ETp excedido",$P58="Margem critica"),COUNTIF($P$14:$P58,"ETp excedido")+COUNTIF($P$14:$P58,"Margem critica"),"")</f>
        <v/>
      </c>
      <c r="V58" s="118">
        <f>IF(NOT(ISNUMBER($L58)),"",mPlanoQC.DPMdoSigma($L58))</f>
        <v>11943.49275493911</v>
      </c>
      <c r="W58" s="119">
        <f>IF(NOT(ISNUMBER($L58)),"",mPlanoQC.RendimentoDoSigma($L58))</f>
        <v>98.805650724506094</v>
      </c>
      <c r="X58" s="117" t="str">
        <f>IF(NOT(ISNUMBER($L58)),"",mPlanoQC.PlanoQC($L58,"REGRAS"))</f>
        <v>1_3s / 2of3_2s / R_4s / 3_1s / 6x</v>
      </c>
      <c r="Y58" s="120">
        <f>IF(NOT(ISNUMBER($L58)),"",mPlanoQC.PlanoQC($L58,"N"))</f>
        <v>6</v>
      </c>
      <c r="Z58" s="121">
        <f>IF(NOT(ISNUMBER($L58)),"",mPlanoQC.PlanoQC($L58,"RUNSIZE"))</f>
        <v>1</v>
      </c>
      <c r="AA58" s="117" t="str">
        <f>IF(NOT(ISNUMBER($L58)),"",mPlanoQC.CoberturaWestgard($L58))</f>
        <v>TOTAL</v>
      </c>
      <c r="AB58" s="117" t="str">
        <f t="shared" si="11"/>
        <v>LYMPH#|3</v>
      </c>
      <c r="AC58" s="120" t="str">
        <f>IF($A58="","",mCEQ.BiasEQ($A58,eqAnoEP,"N",IFERROR(INDEX(Analitos!$AR$4:$AR$43,MATCH($A58,Analitos!$A$4:$A$43,0)),"CAP"),eqRodada))</f>
        <v>SEM EP</v>
      </c>
      <c r="AD58" s="120" t="str">
        <f>IF($A58="","",mCEQ.BiasEQ($A58,eqAnoEP,"NRODADAS",IFERROR(INDEX(Analitos!$AR$4:$AR$43,MATCH($A58,Analitos!$A$4:$A$43,0)),"CAP"),eqRodada))</f>
        <v>SEM EP</v>
      </c>
    </row>
    <row r="59" spans="1:30" x14ac:dyDescent="0.3">
      <c r="A59" s="110" t="str">
        <f>Analitos!$A$19</f>
        <v>MONO#</v>
      </c>
      <c r="B59" s="111">
        <v>1</v>
      </c>
      <c r="C59" s="112">
        <f>IF($A59="","",IF(INDEX(engEstat,ROW()-13,3)="","",INDEX(engEstat,ROW()-13,3)))</f>
        <v>25</v>
      </c>
      <c r="D59" s="113">
        <f>IF($A59="","",IF(INDEX(engEstat,ROW()-13,4)="","",INDEX(engEstat,ROW()-13,4)))</f>
        <v>0.34645200000000004</v>
      </c>
      <c r="E59" s="113">
        <f>IF($A59="","",IF(INDEX(engEstat,ROW()-13,5)="","",INDEX(engEstat,ROW()-13,5)))</f>
        <v>2.6328804251870865E-2</v>
      </c>
      <c r="F59" s="114">
        <f>IF($A59="","",IF(INDEX(engEstat,ROW()-13,6)="","",INDEX(engEstat,ROW()-13,6)))</f>
        <v>7.5995532575568516</v>
      </c>
      <c r="G59" s="114">
        <f>IF($A59="","",mCEQ.BiasEQ($A59,eqAnoEP,"ABS",eqProvedor,eqRodada))</f>
        <v>6.1188731194797965</v>
      </c>
      <c r="H59" s="114">
        <f t="shared" si="6"/>
        <v>18.6581359944486</v>
      </c>
      <c r="I59" s="114" t="str">
        <f>IF($A59="","",IFERROR(INDEX(Analitos!$Q$4:$Q$43,MATCH($A59,Analitos!$A$4:$A$43,0)),""))</f>
        <v>VB</v>
      </c>
      <c r="J59" s="114">
        <f>IF($A59="","",IFERROR(IF($I59="VB",INDEX(Analitos!$T$4:$T$43,MATCH($A59,Analitos!$A$4:$A$43,0)),IF(INDEX(Analitos!$S$4:$S$43,MATCH($A59,Analitos!$A$4:$A$43,0))&lt;&gt;"",INDEX(Analitos!$S$4:$S$43,MATCH($A59,Analitos!$A$4:$A$43,0)),INDEX(Analitos!$T$4:$T$43,MATCH($A59,Analitos!$A$4:$A$43,0)))),""))</f>
        <v>9.9750000000000014</v>
      </c>
      <c r="K59" s="114">
        <f>IF($A59="","",IFERROR(INDEX(Analitos!$R$4:$R$43,MATCH($A59,Analitos!$A$4:$A$43,0)),""))</f>
        <v>26.16342831769812</v>
      </c>
      <c r="L59" s="114">
        <f t="shared" si="7"/>
        <v>2.6375965163855386</v>
      </c>
      <c r="M59" s="114" t="str">
        <f>IF(NOT(ISNUMBER($L59)),"",mQualidade.ClassificarSigma($L59))</f>
        <v>Desempenho inadequado</v>
      </c>
      <c r="N59" s="115">
        <f t="shared" si="8"/>
        <v>7.5052923232495203</v>
      </c>
      <c r="O59" s="116">
        <f t="shared" si="9"/>
        <v>28.686195983622692</v>
      </c>
      <c r="P59" s="117" t="str">
        <f>IF(NOT(ISNUMBER($O59)),"",mQualidade.ClassificarMargem($O59))</f>
        <v>Dentro do orcamento</v>
      </c>
      <c r="Q59" s="117" t="str">
        <f t="shared" si="10"/>
        <v>OK</v>
      </c>
      <c r="R59" s="117" t="str">
        <f>IF($A59="","",mCEQ.StatusSDIeq($A59,eqAnoEP,IFERROR(INDEX(Analitos!$AR$4:$AR$43,MATCH($A59,Analitos!$A$4:$A$43,0)),"CAP"),eqRodada))</f>
        <v>SEM EP</v>
      </c>
      <c r="S59" s="117" t="str">
        <f>IF($A59="","",mCEQ.StatusLimitesEQ($A59,eqAnoEP,IFERROR(INDEX(Analitos!$AR$4:$AR$43,MATCH($A59,Analitos!$A$4:$A$43,0)),"CAP"),eqRodada))</f>
        <v>SEM EP</v>
      </c>
      <c r="T59" s="116" t="str">
        <f>IF($A59="","",mCEQ.BiasEQ($A59,eqAnoEP,"SIGNED",IFERROR(INDEX(Analitos!$AR$4:$AR$43,MATCH($A59,Analitos!$A$4:$A$43,0)),"CAP"),eqRodada))</f>
        <v>SEM EP</v>
      </c>
      <c r="U59" s="117" t="str">
        <f>IF(OR($P59="ETp excedido",$P59="Margem critica"),COUNTIF($P$14:$P59,"ETp excedido")+COUNTIF($P$14:$P59,"Margem critica"),"")</f>
        <v/>
      </c>
      <c r="V59" s="118">
        <f>IF(NOT(ISNUMBER($L59)),"",mPlanoQC.DPMdoSigma($L59))</f>
        <v>127644.50096979064</v>
      </c>
      <c r="W59" s="119">
        <f>IF(NOT(ISNUMBER($L59)),"",mPlanoQC.RendimentoDoSigma($L59))</f>
        <v>87.235549903020939</v>
      </c>
      <c r="X59" s="117" t="str">
        <f>IF(NOT(ISNUMBER($L59)),"",mPlanoQC.PlanoQC($L59,"REGRAS"))</f>
        <v>1_3s / 2of3_2s / R_4s / 3_1s / 6x</v>
      </c>
      <c r="Y59" s="120" t="str">
        <f>IF(NOT(ISNUMBER($L59)),"",mPlanoQC.PlanoQC($L59,"N"))</f>
        <v/>
      </c>
      <c r="Z59" s="121" t="str">
        <f>IF(NOT(ISNUMBER($L59)),"",mPlanoQC.PlanoQC($L59,"RUNSIZE"))</f>
        <v/>
      </c>
      <c r="AA59" s="117" t="str">
        <f>IF(NOT(ISNUMBER($L59)),"",mPlanoQC.CoberturaWestgard($L59))</f>
        <v>TOTAL</v>
      </c>
      <c r="AB59" s="117" t="str">
        <f t="shared" si="11"/>
        <v>MONO#|1</v>
      </c>
      <c r="AC59" s="120" t="str">
        <f>IF($A59="","",mCEQ.BiasEQ($A59,eqAnoEP,"N",IFERROR(INDEX(Analitos!$AR$4:$AR$43,MATCH($A59,Analitos!$A$4:$A$43,0)),"CAP"),eqRodada))</f>
        <v>SEM EP</v>
      </c>
      <c r="AD59" s="120" t="str">
        <f>IF($A59="","",mCEQ.BiasEQ($A59,eqAnoEP,"NRODADAS",IFERROR(INDEX(Analitos!$AR$4:$AR$43,MATCH($A59,Analitos!$A$4:$A$43,0)),"CAP"),eqRodada))</f>
        <v>SEM EP</v>
      </c>
    </row>
    <row r="60" spans="1:30" x14ac:dyDescent="0.3">
      <c r="A60" s="110" t="str">
        <f>Analitos!$A$19</f>
        <v>MONO#</v>
      </c>
      <c r="B60" s="111">
        <v>2</v>
      </c>
      <c r="C60" s="112">
        <f>IF($A60="","",IF(INDEX(engEstat,ROW()-13,3)="","",INDEX(engEstat,ROW()-13,3)))</f>
        <v>25</v>
      </c>
      <c r="D60" s="113">
        <f>IF($A60="","",IF(INDEX(engEstat,ROW()-13,4)="","",INDEX(engEstat,ROW()-13,4)))</f>
        <v>0.75047999999999992</v>
      </c>
      <c r="E60" s="113">
        <f>IF($A60="","",IF(INDEX(engEstat,ROW()-13,5)="","",INDEX(engEstat,ROW()-13,5)))</f>
        <v>6.0834680350383474E-2</v>
      </c>
      <c r="F60" s="114">
        <f>IF($A60="","",IF(INDEX(engEstat,ROW()-13,6)="","",INDEX(engEstat,ROW()-13,6)))</f>
        <v>8.1061028075876074</v>
      </c>
      <c r="G60" s="114">
        <f>IF($A60="","",mCEQ.BiasEQ($A60,eqAnoEP,"ABS",eqProvedor,eqRodada))</f>
        <v>6.1188731194797965</v>
      </c>
      <c r="H60" s="114">
        <f t="shared" si="6"/>
        <v>19.493942751999349</v>
      </c>
      <c r="I60" s="114" t="str">
        <f>IF($A60="","",IFERROR(INDEX(Analitos!$Q$4:$Q$43,MATCH($A60,Analitos!$A$4:$A$43,0)),""))</f>
        <v>VB</v>
      </c>
      <c r="J60" s="114">
        <f>IF($A60="","",IFERROR(IF($I60="VB",INDEX(Analitos!$T$4:$T$43,MATCH($A60,Analitos!$A$4:$A$43,0)),IF(INDEX(Analitos!$S$4:$S$43,MATCH($A60,Analitos!$A$4:$A$43,0))&lt;&gt;"",INDEX(Analitos!$S$4:$S$43,MATCH($A60,Analitos!$A$4:$A$43,0)),INDEX(Analitos!$T$4:$T$43,MATCH($A60,Analitos!$A$4:$A$43,0)))),""))</f>
        <v>9.9750000000000014</v>
      </c>
      <c r="K60" s="114">
        <f>IF($A60="","",IFERROR(INDEX(Analitos!$R$4:$R$43,MATCH($A60,Analitos!$A$4:$A$43,0)),""))</f>
        <v>26.16342831769812</v>
      </c>
      <c r="L60" s="114">
        <f t="shared" si="7"/>
        <v>2.472773375074381</v>
      </c>
      <c r="M60" s="114" t="str">
        <f>IF(NOT(ISNUMBER($L60)),"",mQualidade.ClassificarSigma($L60))</f>
        <v>Desempenho inadequado</v>
      </c>
      <c r="N60" s="115">
        <f t="shared" si="8"/>
        <v>6.6694855656987713</v>
      </c>
      <c r="O60" s="116">
        <f t="shared" si="9"/>
        <v>25.49163467689451</v>
      </c>
      <c r="P60" s="117" t="str">
        <f>IF(NOT(ISNUMBER($O60)),"",mQualidade.ClassificarMargem($O60))</f>
        <v>Dentro do orcamento</v>
      </c>
      <c r="Q60" s="117" t="str">
        <f t="shared" si="10"/>
        <v>OK</v>
      </c>
      <c r="R60" s="117" t="str">
        <f>IF($A60="","",mCEQ.StatusSDIeq($A60,eqAnoEP,IFERROR(INDEX(Analitos!$AR$4:$AR$43,MATCH($A60,Analitos!$A$4:$A$43,0)),"CAP"),eqRodada))</f>
        <v>SEM EP</v>
      </c>
      <c r="S60" s="117" t="str">
        <f>IF($A60="","",mCEQ.StatusLimitesEQ($A60,eqAnoEP,IFERROR(INDEX(Analitos!$AR$4:$AR$43,MATCH($A60,Analitos!$A$4:$A$43,0)),"CAP"),eqRodada))</f>
        <v>SEM EP</v>
      </c>
      <c r="T60" s="116" t="str">
        <f>IF($A60="","",mCEQ.BiasEQ($A60,eqAnoEP,"SIGNED",IFERROR(INDEX(Analitos!$AR$4:$AR$43,MATCH($A60,Analitos!$A$4:$A$43,0)),"CAP"),eqRodada))</f>
        <v>SEM EP</v>
      </c>
      <c r="U60" s="117" t="str">
        <f>IF(OR($P60="ETp excedido",$P60="Margem critica"),COUNTIF($P$14:$P60,"ETp excedido")+COUNTIF($P$14:$P60,"Margem critica"),"")</f>
        <v/>
      </c>
      <c r="V60" s="118">
        <f>IF(NOT(ISNUMBER($L60)),"",mPlanoQC.DPMdoSigma($L60))</f>
        <v>165332.97408186641</v>
      </c>
      <c r="W60" s="119">
        <f>IF(NOT(ISNUMBER($L60)),"",mPlanoQC.RendimentoDoSigma($L60))</f>
        <v>83.466702591813359</v>
      </c>
      <c r="X60" s="117" t="str">
        <f>IF(NOT(ISNUMBER($L60)),"",mPlanoQC.PlanoQC($L60,"REGRAS"))</f>
        <v>1_3s / 2of3_2s / R_4s / 3_1s / 6x</v>
      </c>
      <c r="Y60" s="120" t="str">
        <f>IF(NOT(ISNUMBER($L60)),"",mPlanoQC.PlanoQC($L60,"N"))</f>
        <v/>
      </c>
      <c r="Z60" s="121" t="str">
        <f>IF(NOT(ISNUMBER($L60)),"",mPlanoQC.PlanoQC($L60,"RUNSIZE"))</f>
        <v/>
      </c>
      <c r="AA60" s="117" t="str">
        <f>IF(NOT(ISNUMBER($L60)),"",mPlanoQC.CoberturaWestgard($L60))</f>
        <v>TOTAL</v>
      </c>
      <c r="AB60" s="117" t="str">
        <f t="shared" si="11"/>
        <v>MONO#|2</v>
      </c>
      <c r="AC60" s="120" t="str">
        <f>IF($A60="","",mCEQ.BiasEQ($A60,eqAnoEP,"N",IFERROR(INDEX(Analitos!$AR$4:$AR$43,MATCH($A60,Analitos!$A$4:$A$43,0)),"CAP"),eqRodada))</f>
        <v>SEM EP</v>
      </c>
      <c r="AD60" s="120" t="str">
        <f>IF($A60="","",mCEQ.BiasEQ($A60,eqAnoEP,"NRODADAS",IFERROR(INDEX(Analitos!$AR$4:$AR$43,MATCH($A60,Analitos!$A$4:$A$43,0)),"CAP"),eqRodada))</f>
        <v>SEM EP</v>
      </c>
    </row>
    <row r="61" spans="1:30" x14ac:dyDescent="0.3">
      <c r="A61" s="110" t="str">
        <f>Analitos!$A$19</f>
        <v>MONO#</v>
      </c>
      <c r="B61" s="111">
        <v>3</v>
      </c>
      <c r="C61" s="112">
        <f>IF($A61="","",IF(INDEX(engEstat,ROW()-13,3)="","",INDEX(engEstat,ROW()-13,3)))</f>
        <v>25</v>
      </c>
      <c r="D61" s="113">
        <f>IF($A61="","",IF(INDEX(engEstat,ROW()-13,4)="","",INDEX(engEstat,ROW()-13,4)))</f>
        <v>1.9486999999999997</v>
      </c>
      <c r="E61" s="113">
        <f>IF($A61="","",IF(INDEX(engEstat,ROW()-13,5)="","",INDEX(engEstat,ROW()-13,5)))</f>
        <v>0.15946174306083577</v>
      </c>
      <c r="F61" s="114">
        <f>IF($A61="","",IF(INDEX(engEstat,ROW()-13,6)="","",INDEX(engEstat,ROW()-13,6)))</f>
        <v>8.1829806055747838</v>
      </c>
      <c r="G61" s="114">
        <f>IF($A61="","",mCEQ.BiasEQ($A61,eqAnoEP,"ABS",eqProvedor,eqRodada))</f>
        <v>6.1188731194797965</v>
      </c>
      <c r="H61" s="114">
        <f t="shared" si="6"/>
        <v>19.620791118678188</v>
      </c>
      <c r="I61" s="114" t="str">
        <f>IF($A61="","",IFERROR(INDEX(Analitos!$Q$4:$Q$43,MATCH($A61,Analitos!$A$4:$A$43,0)),""))</f>
        <v>VB</v>
      </c>
      <c r="J61" s="114">
        <f>IF($A61="","",IFERROR(IF($I61="VB",INDEX(Analitos!$T$4:$T$43,MATCH($A61,Analitos!$A$4:$A$43,0)),IF(INDEX(Analitos!$S$4:$S$43,MATCH($A61,Analitos!$A$4:$A$43,0))&lt;&gt;"",INDEX(Analitos!$S$4:$S$43,MATCH($A61,Analitos!$A$4:$A$43,0)),INDEX(Analitos!$T$4:$T$43,MATCH($A61,Analitos!$A$4:$A$43,0)))),""))</f>
        <v>9.9750000000000014</v>
      </c>
      <c r="K61" s="114">
        <f>IF($A61="","",IFERROR(INDEX(Analitos!$R$4:$R$43,MATCH($A61,Analitos!$A$4:$A$43,0)),""))</f>
        <v>26.16342831769812</v>
      </c>
      <c r="L61" s="114">
        <f t="shared" si="7"/>
        <v>2.4495420635071108</v>
      </c>
      <c r="M61" s="114" t="str">
        <f>IF(NOT(ISNUMBER($L61)),"",mQualidade.ClassificarSigma($L61))</f>
        <v>Desempenho inadequado</v>
      </c>
      <c r="N61" s="115">
        <f t="shared" si="8"/>
        <v>6.5426371990199321</v>
      </c>
      <c r="O61" s="116">
        <f t="shared" si="9"/>
        <v>25.00680384685748</v>
      </c>
      <c r="P61" s="117" t="str">
        <f>IF(NOT(ISNUMBER($O61)),"",mQualidade.ClassificarMargem($O61))</f>
        <v>Dentro do orcamento</v>
      </c>
      <c r="Q61" s="117" t="str">
        <f t="shared" si="10"/>
        <v>OK</v>
      </c>
      <c r="R61" s="117" t="str">
        <f>IF($A61="","",mCEQ.StatusSDIeq($A61,eqAnoEP,IFERROR(INDEX(Analitos!$AR$4:$AR$43,MATCH($A61,Analitos!$A$4:$A$43,0)),"CAP"),eqRodada))</f>
        <v>SEM EP</v>
      </c>
      <c r="S61" s="117" t="str">
        <f>IF($A61="","",mCEQ.StatusLimitesEQ($A61,eqAnoEP,IFERROR(INDEX(Analitos!$AR$4:$AR$43,MATCH($A61,Analitos!$A$4:$A$43,0)),"CAP"),eqRodada))</f>
        <v>SEM EP</v>
      </c>
      <c r="T61" s="116" t="str">
        <f>IF($A61="","",mCEQ.BiasEQ($A61,eqAnoEP,"SIGNED",IFERROR(INDEX(Analitos!$AR$4:$AR$43,MATCH($A61,Analitos!$A$4:$A$43,0)),"CAP"),eqRodada))</f>
        <v>SEM EP</v>
      </c>
      <c r="U61" s="117" t="str">
        <f>IF(OR($P61="ETp excedido",$P61="Margem critica"),COUNTIF($P$14:$P61,"ETp excedido")+COUNTIF($P$14:$P61,"Margem critica"),"")</f>
        <v/>
      </c>
      <c r="V61" s="118">
        <f>IF(NOT(ISNUMBER($L61)),"",mPlanoQC.DPMdoSigma($L61))</f>
        <v>171172.49452828188</v>
      </c>
      <c r="W61" s="119">
        <f>IF(NOT(ISNUMBER($L61)),"",mPlanoQC.RendimentoDoSigma($L61))</f>
        <v>82.88275054717181</v>
      </c>
      <c r="X61" s="117" t="str">
        <f>IF(NOT(ISNUMBER($L61)),"",mPlanoQC.PlanoQC($L61,"REGRAS"))</f>
        <v>1_3s / 2of3_2s / R_4s / 3_1s / 6x</v>
      </c>
      <c r="Y61" s="120" t="str">
        <f>IF(NOT(ISNUMBER($L61)),"",mPlanoQC.PlanoQC($L61,"N"))</f>
        <v/>
      </c>
      <c r="Z61" s="121" t="str">
        <f>IF(NOT(ISNUMBER($L61)),"",mPlanoQC.PlanoQC($L61,"RUNSIZE"))</f>
        <v/>
      </c>
      <c r="AA61" s="117" t="str">
        <f>IF(NOT(ISNUMBER($L61)),"",mPlanoQC.CoberturaWestgard($L61))</f>
        <v>TOTAL</v>
      </c>
      <c r="AB61" s="117" t="str">
        <f t="shared" si="11"/>
        <v>MONO#|3</v>
      </c>
      <c r="AC61" s="120" t="str">
        <f>IF($A61="","",mCEQ.BiasEQ($A61,eqAnoEP,"N",IFERROR(INDEX(Analitos!$AR$4:$AR$43,MATCH($A61,Analitos!$A$4:$A$43,0)),"CAP"),eqRodada))</f>
        <v>SEM EP</v>
      </c>
      <c r="AD61" s="120" t="str">
        <f>IF($A61="","",mCEQ.BiasEQ($A61,eqAnoEP,"NRODADAS",IFERROR(INDEX(Analitos!$AR$4:$AR$43,MATCH($A61,Analitos!$A$4:$A$43,0)),"CAP"),eqRodada))</f>
        <v>SEM EP</v>
      </c>
    </row>
    <row r="62" spans="1:30" x14ac:dyDescent="0.3">
      <c r="A62" s="110" t="str">
        <f>Analitos!$A$20</f>
        <v>EO#</v>
      </c>
      <c r="B62" s="111">
        <v>1</v>
      </c>
      <c r="C62" s="112">
        <f>IF($A62="","",IF(INDEX(engEstat,ROW()-13,3)="","",INDEX(engEstat,ROW()-13,3)))</f>
        <v>25</v>
      </c>
      <c r="D62" s="113">
        <f>IF($A62="","",IF(INDEX(engEstat,ROW()-13,4)="","",INDEX(engEstat,ROW()-13,4)))</f>
        <v>0.28698400000000002</v>
      </c>
      <c r="E62" s="113">
        <f>IF($A62="","",IF(INDEX(engEstat,ROW()-13,5)="","",INDEX(engEstat,ROW()-13,5)))</f>
        <v>1.636262713217736E-2</v>
      </c>
      <c r="F62" s="114">
        <f>IF($A62="","",IF(INDEX(engEstat,ROW()-13,6)="","",INDEX(engEstat,ROW()-13,6)))</f>
        <v>5.7015816673324506</v>
      </c>
      <c r="G62" s="114">
        <f>IF($A62="","",mCEQ.BiasEQ($A62,eqAnoEP,"ABS",eqProvedor,eqRodada))</f>
        <v>8.1816309657657111</v>
      </c>
      <c r="H62" s="114">
        <f t="shared" si="6"/>
        <v>17.589240716864253</v>
      </c>
      <c r="I62" s="114" t="str">
        <f>IF($A62="","",IFERROR(INDEX(Analitos!$Q$4:$Q$43,MATCH($A62,Analitos!$A$4:$A$43,0)),""))</f>
        <v>VB</v>
      </c>
      <c r="J62" s="114">
        <f>IF($A62="","",IFERROR(IF($I62="VB",INDEX(Analitos!$T$4:$T$43,MATCH($A62,Analitos!$A$4:$A$43,0)),IF(INDEX(Analitos!$S$4:$S$43,MATCH($A62,Analitos!$A$4:$A$43,0))&lt;&gt;"",INDEX(Analitos!$S$4:$S$43,MATCH($A62,Analitos!$A$4:$A$43,0)),INDEX(Analitos!$T$4:$T$43,MATCH($A62,Analitos!$A$4:$A$43,0)))),""))</f>
        <v>11.175000000000001</v>
      </c>
      <c r="K62" s="114">
        <f>IF($A62="","",IFERROR(INDEX(Analitos!$R$4:$R$43,MATCH($A62,Analitos!$A$4:$A$43,0)),""))</f>
        <v>43.555633017205778</v>
      </c>
      <c r="L62" s="114">
        <f t="shared" si="7"/>
        <v>6.2042436845406428</v>
      </c>
      <c r="M62" s="114" t="str">
        <f>IF(NOT(ISNUMBER($L62)),"",mQualidade.ClassificarSigma($L62))</f>
        <v>Classe mundial</v>
      </c>
      <c r="N62" s="115">
        <f t="shared" si="8"/>
        <v>25.966392300341525</v>
      </c>
      <c r="O62" s="116">
        <f t="shared" si="9"/>
        <v>59.616610990555507</v>
      </c>
      <c r="P62" s="117" t="str">
        <f>IF(NOT(ISNUMBER($O62)),"",mQualidade.ClassificarMargem($O62))</f>
        <v>Dentro do orcamento</v>
      </c>
      <c r="Q62" s="117" t="str">
        <f t="shared" si="10"/>
        <v>OK</v>
      </c>
      <c r="R62" s="117" t="str">
        <f>IF($A62="","",mCEQ.StatusSDIeq($A62,eqAnoEP,IFERROR(INDEX(Analitos!$AR$4:$AR$43,MATCH($A62,Analitos!$A$4:$A$43,0)),"CAP"),eqRodada))</f>
        <v>SEM EP</v>
      </c>
      <c r="S62" s="117" t="str">
        <f>IF($A62="","",mCEQ.StatusLimitesEQ($A62,eqAnoEP,IFERROR(INDEX(Analitos!$AR$4:$AR$43,MATCH($A62,Analitos!$A$4:$A$43,0)),"CAP"),eqRodada))</f>
        <v>SEM EP</v>
      </c>
      <c r="T62" s="116" t="str">
        <f>IF($A62="","",mCEQ.BiasEQ($A62,eqAnoEP,"SIGNED",IFERROR(INDEX(Analitos!$AR$4:$AR$43,MATCH($A62,Analitos!$A$4:$A$43,0)),"CAP"),eqRodada))</f>
        <v>SEM EP</v>
      </c>
      <c r="U62" s="117" t="str">
        <f>IF(OR($P62="ETp excedido",$P62="Margem critica"),COUNTIF($P$14:$P62,"ETp excedido")+COUNTIF($P$14:$P62,"Margem critica"),"")</f>
        <v/>
      </c>
      <c r="V62" s="118">
        <f>IF(NOT(ISNUMBER($L62)),"",mPlanoQC.DPMdoSigma($L62))</f>
        <v>1.2740437980163222</v>
      </c>
      <c r="W62" s="119">
        <f>IF(NOT(ISNUMBER($L62)),"",mPlanoQC.RendimentoDoSigma($L62))</f>
        <v>99.999872595620204</v>
      </c>
      <c r="X62" s="117" t="str">
        <f>IF(NOT(ISNUMBER($L62)),"",mPlanoQC.PlanoQC($L62,"REGRAS"))</f>
        <v>1_3s</v>
      </c>
      <c r="Y62" s="120">
        <f>IF(NOT(ISNUMBER($L62)),"",mPlanoQC.PlanoQC($L62,"N"))</f>
        <v>3</v>
      </c>
      <c r="Z62" s="121">
        <f>IF(NOT(ISNUMBER($L62)),"",mPlanoQC.PlanoQC($L62,"RUNSIZE"))</f>
        <v>1</v>
      </c>
      <c r="AA62" s="117" t="str">
        <f>IF(NOT(ISNUMBER($L62)),"",mPlanoQC.CoberturaWestgard($L62))</f>
        <v>TOTAL</v>
      </c>
      <c r="AB62" s="117" t="str">
        <f t="shared" si="11"/>
        <v>EO#|1</v>
      </c>
      <c r="AC62" s="120" t="str">
        <f>IF($A62="","",mCEQ.BiasEQ($A62,eqAnoEP,"N",IFERROR(INDEX(Analitos!$AR$4:$AR$43,MATCH($A62,Analitos!$A$4:$A$43,0)),"CAP"),eqRodada))</f>
        <v>SEM EP</v>
      </c>
      <c r="AD62" s="120" t="str">
        <f>IF($A62="","",mCEQ.BiasEQ($A62,eqAnoEP,"NRODADAS",IFERROR(INDEX(Analitos!$AR$4:$AR$43,MATCH($A62,Analitos!$A$4:$A$43,0)),"CAP"),eqRodada))</f>
        <v>SEM EP</v>
      </c>
    </row>
    <row r="63" spans="1:30" x14ac:dyDescent="0.3">
      <c r="A63" s="110" t="str">
        <f>Analitos!$A$20</f>
        <v>EO#</v>
      </c>
      <c r="B63" s="111">
        <v>2</v>
      </c>
      <c r="C63" s="112">
        <f>IF($A63="","",IF(INDEX(engEstat,ROW()-13,3)="","",INDEX(engEstat,ROW()-13,3)))</f>
        <v>25</v>
      </c>
      <c r="D63" s="113">
        <f>IF($A63="","",IF(INDEX(engEstat,ROW()-13,4)="","",INDEX(engEstat,ROW()-13,4)))</f>
        <v>0.73586800000000008</v>
      </c>
      <c r="E63" s="113">
        <f>IF($A63="","",IF(INDEX(engEstat,ROW()-13,5)="","",INDEX(engEstat,ROW()-13,5)))</f>
        <v>3.8327130512645122E-2</v>
      </c>
      <c r="F63" s="114">
        <f>IF($A63="","",IF(INDEX(engEstat,ROW()-13,6)="","",INDEX(engEstat,ROW()-13,6)))</f>
        <v>5.2084246784267174</v>
      </c>
      <c r="G63" s="114">
        <f>IF($A63="","",mCEQ.BiasEQ($A63,eqAnoEP,"ABS",eqProvedor,eqRodada))</f>
        <v>8.1816309657657111</v>
      </c>
      <c r="H63" s="114">
        <f t="shared" si="6"/>
        <v>16.775531685169796</v>
      </c>
      <c r="I63" s="114" t="str">
        <f>IF($A63="","",IFERROR(INDEX(Analitos!$Q$4:$Q$43,MATCH($A63,Analitos!$A$4:$A$43,0)),""))</f>
        <v>VB</v>
      </c>
      <c r="J63" s="114">
        <f>IF($A63="","",IFERROR(IF($I63="VB",INDEX(Analitos!$T$4:$T$43,MATCH($A63,Analitos!$A$4:$A$43,0)),IF(INDEX(Analitos!$S$4:$S$43,MATCH($A63,Analitos!$A$4:$A$43,0))&lt;&gt;"",INDEX(Analitos!$S$4:$S$43,MATCH($A63,Analitos!$A$4:$A$43,0)),INDEX(Analitos!$T$4:$T$43,MATCH($A63,Analitos!$A$4:$A$43,0)))),""))</f>
        <v>11.175000000000001</v>
      </c>
      <c r="K63" s="114">
        <f>IF($A63="","",IFERROR(INDEX(Analitos!$R$4:$R$43,MATCH($A63,Analitos!$A$4:$A$43,0)),""))</f>
        <v>43.555633017205778</v>
      </c>
      <c r="L63" s="114">
        <f t="shared" si="7"/>
        <v>6.7916892794781303</v>
      </c>
      <c r="M63" s="114" t="str">
        <f>IF(NOT(ISNUMBER($L63)),"",mQualidade.ClassificarSigma($L63))</f>
        <v>Classe mundial</v>
      </c>
      <c r="N63" s="115">
        <f t="shared" si="8"/>
        <v>26.780101332035983</v>
      </c>
      <c r="O63" s="116">
        <f t="shared" si="9"/>
        <v>61.484817179575927</v>
      </c>
      <c r="P63" s="117" t="str">
        <f>IF(NOT(ISNUMBER($O63)),"",mQualidade.ClassificarMargem($O63))</f>
        <v>Dentro do orcamento</v>
      </c>
      <c r="Q63" s="117" t="str">
        <f t="shared" si="10"/>
        <v>OK</v>
      </c>
      <c r="R63" s="117" t="str">
        <f>IF($A63="","",mCEQ.StatusSDIeq($A63,eqAnoEP,IFERROR(INDEX(Analitos!$AR$4:$AR$43,MATCH($A63,Analitos!$A$4:$A$43,0)),"CAP"),eqRodada))</f>
        <v>SEM EP</v>
      </c>
      <c r="S63" s="117" t="str">
        <f>IF($A63="","",mCEQ.StatusLimitesEQ($A63,eqAnoEP,IFERROR(INDEX(Analitos!$AR$4:$AR$43,MATCH($A63,Analitos!$A$4:$A$43,0)),"CAP"),eqRodada))</f>
        <v>SEM EP</v>
      </c>
      <c r="T63" s="116" t="str">
        <f>IF($A63="","",mCEQ.BiasEQ($A63,eqAnoEP,"SIGNED",IFERROR(INDEX(Analitos!$AR$4:$AR$43,MATCH($A63,Analitos!$A$4:$A$43,0)),"CAP"),eqRodada))</f>
        <v>SEM EP</v>
      </c>
      <c r="U63" s="117" t="str">
        <f>IF(OR($P63="ETp excedido",$P63="Margem critica"),COUNTIF($P$14:$P63,"ETp excedido")+COUNTIF($P$14:$P63,"Margem critica"),"")</f>
        <v/>
      </c>
      <c r="V63" s="118">
        <f>IF(NOT(ISNUMBER($L63)),"",mPlanoQC.DPMdoSigma($L63))</f>
        <v>6.0595835793542108E-2</v>
      </c>
      <c r="W63" s="119">
        <f>IF(NOT(ISNUMBER($L63)),"",mPlanoQC.RendimentoDoSigma($L63))</f>
        <v>99.999993940416417</v>
      </c>
      <c r="X63" s="117" t="str">
        <f>IF(NOT(ISNUMBER($L63)),"",mPlanoQC.PlanoQC($L63,"REGRAS"))</f>
        <v>1_3s</v>
      </c>
      <c r="Y63" s="120">
        <f>IF(NOT(ISNUMBER($L63)),"",mPlanoQC.PlanoQC($L63,"N"))</f>
        <v>3</v>
      </c>
      <c r="Z63" s="121">
        <f>IF(NOT(ISNUMBER($L63)),"",mPlanoQC.PlanoQC($L63,"RUNSIZE"))</f>
        <v>1</v>
      </c>
      <c r="AA63" s="117" t="str">
        <f>IF(NOT(ISNUMBER($L63)),"",mPlanoQC.CoberturaWestgard($L63))</f>
        <v>TOTAL</v>
      </c>
      <c r="AB63" s="117" t="str">
        <f t="shared" si="11"/>
        <v>EO#|2</v>
      </c>
      <c r="AC63" s="120" t="str">
        <f>IF($A63="","",mCEQ.BiasEQ($A63,eqAnoEP,"N",IFERROR(INDEX(Analitos!$AR$4:$AR$43,MATCH($A63,Analitos!$A$4:$A$43,0)),"CAP"),eqRodada))</f>
        <v>SEM EP</v>
      </c>
      <c r="AD63" s="120" t="str">
        <f>IF($A63="","",mCEQ.BiasEQ($A63,eqAnoEP,"NRODADAS",IFERROR(INDEX(Analitos!$AR$4:$AR$43,MATCH($A63,Analitos!$A$4:$A$43,0)),"CAP"),eqRodada))</f>
        <v>SEM EP</v>
      </c>
    </row>
    <row r="64" spans="1:30" x14ac:dyDescent="0.3">
      <c r="A64" s="110" t="str">
        <f>Analitos!$A$20</f>
        <v>EO#</v>
      </c>
      <c r="B64" s="111">
        <v>3</v>
      </c>
      <c r="C64" s="112">
        <f>IF($A64="","",IF(INDEX(engEstat,ROW()-13,3)="","",INDEX(engEstat,ROW()-13,3)))</f>
        <v>25</v>
      </c>
      <c r="D64" s="113">
        <f>IF($A64="","",IF(INDEX(engEstat,ROW()-13,4)="","",INDEX(engEstat,ROW()-13,4)))</f>
        <v>1.8723040000000004</v>
      </c>
      <c r="E64" s="113">
        <f>IF($A64="","",IF(INDEX(engEstat,ROW()-13,5)="","",INDEX(engEstat,ROW()-13,5)))</f>
        <v>0.11039531421215307</v>
      </c>
      <c r="F64" s="114">
        <f>IF($A64="","",IF(INDEX(engEstat,ROW()-13,6)="","",INDEX(engEstat,ROW()-13,6)))</f>
        <v>5.8962280811317527</v>
      </c>
      <c r="G64" s="114">
        <f>IF($A64="","",mCEQ.BiasEQ($A64,eqAnoEP,"ABS",eqProvedor,eqRodada))</f>
        <v>8.1816309657657111</v>
      </c>
      <c r="H64" s="114">
        <f t="shared" si="6"/>
        <v>17.910407299633103</v>
      </c>
      <c r="I64" s="114" t="str">
        <f>IF($A64="","",IFERROR(INDEX(Analitos!$Q$4:$Q$43,MATCH($A64,Analitos!$A$4:$A$43,0)),""))</f>
        <v>VB</v>
      </c>
      <c r="J64" s="114">
        <f>IF($A64="","",IFERROR(IF($I64="VB",INDEX(Analitos!$T$4:$T$43,MATCH($A64,Analitos!$A$4:$A$43,0)),IF(INDEX(Analitos!$S$4:$S$43,MATCH($A64,Analitos!$A$4:$A$43,0))&lt;&gt;"",INDEX(Analitos!$S$4:$S$43,MATCH($A64,Analitos!$A$4:$A$43,0)),INDEX(Analitos!$T$4:$T$43,MATCH($A64,Analitos!$A$4:$A$43,0)))),""))</f>
        <v>11.175000000000001</v>
      </c>
      <c r="K64" s="114">
        <f>IF($A64="","",IFERROR(INDEX(Analitos!$R$4:$R$43,MATCH($A64,Analitos!$A$4:$A$43,0)),""))</f>
        <v>43.555633017205778</v>
      </c>
      <c r="L64" s="114">
        <f t="shared" si="7"/>
        <v>5.9994290527258904</v>
      </c>
      <c r="M64" s="114" t="str">
        <f>IF(NOT(ISNUMBER($L64)),"",mQualidade.ClassificarSigma($L64))</f>
        <v>Excelente</v>
      </c>
      <c r="N64" s="115">
        <f t="shared" si="8"/>
        <v>25.645225717572675</v>
      </c>
      <c r="O64" s="116">
        <f t="shared" si="9"/>
        <v>58.879240045580431</v>
      </c>
      <c r="P64" s="117" t="str">
        <f>IF(NOT(ISNUMBER($O64)),"",mQualidade.ClassificarMargem($O64))</f>
        <v>Dentro do orcamento</v>
      </c>
      <c r="Q64" s="117" t="str">
        <f t="shared" si="10"/>
        <v>OK</v>
      </c>
      <c r="R64" s="117" t="str">
        <f>IF($A64="","",mCEQ.StatusSDIeq($A64,eqAnoEP,IFERROR(INDEX(Analitos!$AR$4:$AR$43,MATCH($A64,Analitos!$A$4:$A$43,0)),"CAP"),eqRodada))</f>
        <v>SEM EP</v>
      </c>
      <c r="S64" s="117" t="str">
        <f>IF($A64="","",mCEQ.StatusLimitesEQ($A64,eqAnoEP,IFERROR(INDEX(Analitos!$AR$4:$AR$43,MATCH($A64,Analitos!$A$4:$A$43,0)),"CAP"),eqRodada))</f>
        <v>SEM EP</v>
      </c>
      <c r="T64" s="116" t="str">
        <f>IF($A64="","",mCEQ.BiasEQ($A64,eqAnoEP,"SIGNED",IFERROR(INDEX(Analitos!$AR$4:$AR$43,MATCH($A64,Analitos!$A$4:$A$43,0)),"CAP"),eqRodada))</f>
        <v>SEM EP</v>
      </c>
      <c r="U64" s="117" t="str">
        <f>IF(OR($P64="ETp excedido",$P64="Margem critica"),COUNTIF($P$14:$P64,"ETp excedido")+COUNTIF($P$14:$P64,"Margem critica"),"")</f>
        <v/>
      </c>
      <c r="V64" s="118">
        <f>IF(NOT(ISNUMBER($L64)),"",mPlanoQC.DPMdoSigma($L64))</f>
        <v>3.4068107310769591</v>
      </c>
      <c r="W64" s="119">
        <f>IF(NOT(ISNUMBER($L64)),"",mPlanoQC.RendimentoDoSigma($L64))</f>
        <v>99.999659318926888</v>
      </c>
      <c r="X64" s="117" t="str">
        <f>IF(NOT(ISNUMBER($L64)),"",mPlanoQC.PlanoQC($L64,"REGRAS"))</f>
        <v>1_3s / 2of3_2s / R_4s</v>
      </c>
      <c r="Y64" s="120">
        <f>IF(NOT(ISNUMBER($L64)),"",mPlanoQC.PlanoQC($L64,"N"))</f>
        <v>3</v>
      </c>
      <c r="Z64" s="121">
        <f>IF(NOT(ISNUMBER($L64)),"",mPlanoQC.PlanoQC($L64,"RUNSIZE"))</f>
        <v>1</v>
      </c>
      <c r="AA64" s="117" t="str">
        <f>IF(NOT(ISNUMBER($L64)),"",mPlanoQC.CoberturaWestgard($L64))</f>
        <v>TOTAL</v>
      </c>
      <c r="AB64" s="117" t="str">
        <f t="shared" si="11"/>
        <v>EO#|3</v>
      </c>
      <c r="AC64" s="120" t="str">
        <f>IF($A64="","",mCEQ.BiasEQ($A64,eqAnoEP,"N",IFERROR(INDEX(Analitos!$AR$4:$AR$43,MATCH($A64,Analitos!$A$4:$A$43,0)),"CAP"),eqRodada))</f>
        <v>SEM EP</v>
      </c>
      <c r="AD64" s="120" t="str">
        <f>IF($A64="","",mCEQ.BiasEQ($A64,eqAnoEP,"NRODADAS",IFERROR(INDEX(Analitos!$AR$4:$AR$43,MATCH($A64,Analitos!$A$4:$A$43,0)),"CAP"),eqRodada))</f>
        <v>SEM EP</v>
      </c>
    </row>
    <row r="65" spans="1:30" x14ac:dyDescent="0.3">
      <c r="A65" s="110" t="str">
        <f>Analitos!$A$21</f>
        <v>BASO#</v>
      </c>
      <c r="B65" s="111">
        <v>1</v>
      </c>
      <c r="C65" s="112">
        <f>IF($A65="","",IF(INDEX(engEstat,ROW()-13,3)="","",INDEX(engEstat,ROW()-13,3)))</f>
        <v>25</v>
      </c>
      <c r="D65" s="113">
        <f>IF($A65="","",IF(INDEX(engEstat,ROW()-13,4)="","",INDEX(engEstat,ROW()-13,4)))</f>
        <v>0.14679599999999998</v>
      </c>
      <c r="E65" s="113">
        <f>IF($A65="","",IF(INDEX(engEstat,ROW()-13,5)="","",INDEX(engEstat,ROW()-13,5)))</f>
        <v>5.6076198159290356E-3</v>
      </c>
      <c r="F65" s="114">
        <f>IF($A65="","",IF(INDEX(engEstat,ROW()-13,6)="","",INDEX(engEstat,ROW()-13,6)))</f>
        <v>3.8200085941912834</v>
      </c>
      <c r="G65" s="114">
        <f>IF($A65="","",mCEQ.BiasEQ($A65,eqAnoEP,"ABS",eqProvedor,eqRodada))</f>
        <v>2.1530512733520344</v>
      </c>
      <c r="H65" s="114">
        <f t="shared" si="6"/>
        <v>8.4560654537676516</v>
      </c>
      <c r="I65" s="114" t="str">
        <f>IF($A65="","",IFERROR(INDEX(Analitos!$Q$4:$Q$43,MATCH($A65,Analitos!$A$4:$A$43,0)),""))</f>
        <v>VB</v>
      </c>
      <c r="J65" s="114">
        <f>IF($A65="","",IFERROR(IF($I65="VB",INDEX(Analitos!$T$4:$T$43,MATCH($A65,Analitos!$A$4:$A$43,0)),IF(INDEX(Analitos!$S$4:$S$43,MATCH($A65,Analitos!$A$4:$A$43,0))&lt;&gt;"",INDEX(Analitos!$S$4:$S$43,MATCH($A65,Analitos!$A$4:$A$43,0)),INDEX(Analitos!$T$4:$T$43,MATCH($A65,Analitos!$A$4:$A$43,0)))),""))</f>
        <v>9.3000000000000007</v>
      </c>
      <c r="K65" s="114">
        <f>IF($A65="","",IFERROR(INDEX(Analitos!$R$4:$R$43,MATCH($A65,Analitos!$A$4:$A$43,0)),""))</f>
        <v>26.2487335922151</v>
      </c>
      <c r="L65" s="114">
        <f t="shared" si="7"/>
        <v>6.3077560494243476</v>
      </c>
      <c r="M65" s="114" t="str">
        <f>IF(NOT(ISNUMBER($L65)),"",mQualidade.ClassificarSigma($L65))</f>
        <v>Classe mundial</v>
      </c>
      <c r="N65" s="115">
        <f t="shared" si="8"/>
        <v>17.792668138447446</v>
      </c>
      <c r="O65" s="116">
        <f t="shared" si="9"/>
        <v>67.784863128499381</v>
      </c>
      <c r="P65" s="117" t="str">
        <f>IF(NOT(ISNUMBER($O65)),"",mQualidade.ClassificarMargem($O65))</f>
        <v>Dentro do orcamento</v>
      </c>
      <c r="Q65" s="117" t="str">
        <f t="shared" si="10"/>
        <v>OK</v>
      </c>
      <c r="R65" s="117" t="str">
        <f>IF($A65="","",mCEQ.StatusSDIeq($A65,eqAnoEP,IFERROR(INDEX(Analitos!$AR$4:$AR$43,MATCH($A65,Analitos!$A$4:$A$43,0)),"CAP"),eqRodada))</f>
        <v>SEM EP</v>
      </c>
      <c r="S65" s="117" t="str">
        <f>IF($A65="","",mCEQ.StatusLimitesEQ($A65,eqAnoEP,IFERROR(INDEX(Analitos!$AR$4:$AR$43,MATCH($A65,Analitos!$A$4:$A$43,0)),"CAP"),eqRodada))</f>
        <v>SEM EP</v>
      </c>
      <c r="T65" s="116" t="str">
        <f>IF($A65="","",mCEQ.BiasEQ($A65,eqAnoEP,"SIGNED",IFERROR(INDEX(Analitos!$AR$4:$AR$43,MATCH($A65,Analitos!$A$4:$A$43,0)),"CAP"),eqRodada))</f>
        <v>SEM EP</v>
      </c>
      <c r="U65" s="117" t="str">
        <f>IF(OR($P65="ETp excedido",$P65="Margem critica"),COUNTIF($P$14:$P65,"ETp excedido")+COUNTIF($P$14:$P65,"Margem critica"),"")</f>
        <v/>
      </c>
      <c r="V65" s="118">
        <f>IF(NOT(ISNUMBER($L65)),"",mPlanoQC.DPMdoSigma($L65))</f>
        <v>0.76316930142095174</v>
      </c>
      <c r="W65" s="119">
        <f>IF(NOT(ISNUMBER($L65)),"",mPlanoQC.RendimentoDoSigma($L65))</f>
        <v>99.999923683069852</v>
      </c>
      <c r="X65" s="117" t="str">
        <f>IF(NOT(ISNUMBER($L65)),"",mPlanoQC.PlanoQC($L65,"REGRAS"))</f>
        <v>1_3s</v>
      </c>
      <c r="Y65" s="120">
        <f>IF(NOT(ISNUMBER($L65)),"",mPlanoQC.PlanoQC($L65,"N"))</f>
        <v>3</v>
      </c>
      <c r="Z65" s="121">
        <f>IF(NOT(ISNUMBER($L65)),"",mPlanoQC.PlanoQC($L65,"RUNSIZE"))</f>
        <v>1</v>
      </c>
      <c r="AA65" s="117" t="str">
        <f>IF(NOT(ISNUMBER($L65)),"",mPlanoQC.CoberturaWestgard($L65))</f>
        <v>TOTAL</v>
      </c>
      <c r="AB65" s="117" t="str">
        <f t="shared" si="11"/>
        <v>BASO#|1</v>
      </c>
      <c r="AC65" s="120" t="str">
        <f>IF($A65="","",mCEQ.BiasEQ($A65,eqAnoEP,"N",IFERROR(INDEX(Analitos!$AR$4:$AR$43,MATCH($A65,Analitos!$A$4:$A$43,0)),"CAP"),eqRodada))</f>
        <v>SEM EP</v>
      </c>
      <c r="AD65" s="120" t="str">
        <f>IF($A65="","",mCEQ.BiasEQ($A65,eqAnoEP,"NRODADAS",IFERROR(INDEX(Analitos!$AR$4:$AR$43,MATCH($A65,Analitos!$A$4:$A$43,0)),"CAP"),eqRodada))</f>
        <v>SEM EP</v>
      </c>
    </row>
    <row r="66" spans="1:30" x14ac:dyDescent="0.3">
      <c r="A66" s="110" t="str">
        <f>Analitos!$A$21</f>
        <v>BASO#</v>
      </c>
      <c r="B66" s="111">
        <v>2</v>
      </c>
      <c r="C66" s="112">
        <f>IF($A66="","",IF(INDEX(engEstat,ROW()-13,3)="","",INDEX(engEstat,ROW()-13,3)))</f>
        <v>25</v>
      </c>
      <c r="D66" s="113">
        <f>IF($A66="","",IF(INDEX(engEstat,ROW()-13,4)="","",INDEX(engEstat,ROW()-13,4)))</f>
        <v>0.32461600000000013</v>
      </c>
      <c r="E66" s="113">
        <f>IF($A66="","",IF(INDEX(engEstat,ROW()-13,5)="","",INDEX(engEstat,ROW()-13,5)))</f>
        <v>6.8859567236514057E-3</v>
      </c>
      <c r="F66" s="114">
        <f>IF($A66="","",IF(INDEX(engEstat,ROW()-13,6)="","",INDEX(engEstat,ROW()-13,6)))</f>
        <v>2.1212622679262276</v>
      </c>
      <c r="G66" s="114">
        <f>IF($A66="","",mCEQ.BiasEQ($A66,eqAnoEP,"ABS",eqProvedor,eqRodada))</f>
        <v>2.1530512733520344</v>
      </c>
      <c r="H66" s="114">
        <f t="shared" si="6"/>
        <v>5.6531340154303091</v>
      </c>
      <c r="I66" s="114" t="str">
        <f>IF($A66="","",IFERROR(INDEX(Analitos!$Q$4:$Q$43,MATCH($A66,Analitos!$A$4:$A$43,0)),""))</f>
        <v>VB</v>
      </c>
      <c r="J66" s="114">
        <f>IF($A66="","",IFERROR(IF($I66="VB",INDEX(Analitos!$T$4:$T$43,MATCH($A66,Analitos!$A$4:$A$43,0)),IF(INDEX(Analitos!$S$4:$S$43,MATCH($A66,Analitos!$A$4:$A$43,0))&lt;&gt;"",INDEX(Analitos!$S$4:$S$43,MATCH($A66,Analitos!$A$4:$A$43,0)),INDEX(Analitos!$T$4:$T$43,MATCH($A66,Analitos!$A$4:$A$43,0)))),""))</f>
        <v>9.3000000000000007</v>
      </c>
      <c r="K66" s="114">
        <f>IF($A66="","",IFERROR(INDEX(Analitos!$R$4:$R$43,MATCH($A66,Analitos!$A$4:$A$43,0)),""))</f>
        <v>26.2487335922151</v>
      </c>
      <c r="L66" s="114">
        <f t="shared" si="7"/>
        <v>11.359124556728812</v>
      </c>
      <c r="M66" s="114" t="str">
        <f>IF(NOT(ISNUMBER($L66)),"",mQualidade.ClassificarSigma($L66))</f>
        <v>Classe mundial</v>
      </c>
      <c r="N66" s="115">
        <f t="shared" si="8"/>
        <v>20.595599576784792</v>
      </c>
      <c r="O66" s="116">
        <f t="shared" si="9"/>
        <v>78.463212346720894</v>
      </c>
      <c r="P66" s="117" t="str">
        <f>IF(NOT(ISNUMBER($O66)),"",mQualidade.ClassificarMargem($O66))</f>
        <v>Dentro do orcamento</v>
      </c>
      <c r="Q66" s="117" t="str">
        <f t="shared" si="10"/>
        <v>OK</v>
      </c>
      <c r="R66" s="117" t="str">
        <f>IF($A66="","",mCEQ.StatusSDIeq($A66,eqAnoEP,IFERROR(INDEX(Analitos!$AR$4:$AR$43,MATCH($A66,Analitos!$A$4:$A$43,0)),"CAP"),eqRodada))</f>
        <v>SEM EP</v>
      </c>
      <c r="S66" s="117" t="str">
        <f>IF($A66="","",mCEQ.StatusLimitesEQ($A66,eqAnoEP,IFERROR(INDEX(Analitos!$AR$4:$AR$43,MATCH($A66,Analitos!$A$4:$A$43,0)),"CAP"),eqRodada))</f>
        <v>SEM EP</v>
      </c>
      <c r="T66" s="116" t="str">
        <f>IF($A66="","",mCEQ.BiasEQ($A66,eqAnoEP,"SIGNED",IFERROR(INDEX(Analitos!$AR$4:$AR$43,MATCH($A66,Analitos!$A$4:$A$43,0)),"CAP"),eqRodada))</f>
        <v>SEM EP</v>
      </c>
      <c r="U66" s="117" t="str">
        <f>IF(OR($P66="ETp excedido",$P66="Margem critica"),COUNTIF($P$14:$P66,"ETp excedido")+COUNTIF($P$14:$P66,"Margem critica"),"")</f>
        <v/>
      </c>
      <c r="V66" s="118">
        <f>IF(NOT(ISNUMBER($L66)),"",mPlanoQC.DPMdoSigma($L66))</f>
        <v>0</v>
      </c>
      <c r="W66" s="119">
        <f>IF(NOT(ISNUMBER($L66)),"",mPlanoQC.RendimentoDoSigma($L66))</f>
        <v>100</v>
      </c>
      <c r="X66" s="117" t="str">
        <f>IF(NOT(ISNUMBER($L66)),"",mPlanoQC.PlanoQC($L66,"REGRAS"))</f>
        <v>1_3s</v>
      </c>
      <c r="Y66" s="120">
        <f>IF(NOT(ISNUMBER($L66)),"",mPlanoQC.PlanoQC($L66,"N"))</f>
        <v>3</v>
      </c>
      <c r="Z66" s="121">
        <f>IF(NOT(ISNUMBER($L66)),"",mPlanoQC.PlanoQC($L66,"RUNSIZE"))</f>
        <v>1</v>
      </c>
      <c r="AA66" s="117" t="str">
        <f>IF(NOT(ISNUMBER($L66)),"",mPlanoQC.CoberturaWestgard($L66))</f>
        <v>TOTAL</v>
      </c>
      <c r="AB66" s="117" t="str">
        <f t="shared" si="11"/>
        <v>BASO#|2</v>
      </c>
      <c r="AC66" s="120" t="str">
        <f>IF($A66="","",mCEQ.BiasEQ($A66,eqAnoEP,"N",IFERROR(INDEX(Analitos!$AR$4:$AR$43,MATCH($A66,Analitos!$A$4:$A$43,0)),"CAP"),eqRodada))</f>
        <v>SEM EP</v>
      </c>
      <c r="AD66" s="120" t="str">
        <f>IF($A66="","",mCEQ.BiasEQ($A66,eqAnoEP,"NRODADAS",IFERROR(INDEX(Analitos!$AR$4:$AR$43,MATCH($A66,Analitos!$A$4:$A$43,0)),"CAP"),eqRodada))</f>
        <v>SEM EP</v>
      </c>
    </row>
    <row r="67" spans="1:30" x14ac:dyDescent="0.3">
      <c r="A67" s="110" t="str">
        <f>Analitos!$A$21</f>
        <v>BASO#</v>
      </c>
      <c r="B67" s="111">
        <v>3</v>
      </c>
      <c r="C67" s="112">
        <f>IF($A67="","",IF(INDEX(engEstat,ROW()-13,3)="","",INDEX(engEstat,ROW()-13,3)))</f>
        <v>25</v>
      </c>
      <c r="D67" s="113">
        <f>IF($A67="","",IF(INDEX(engEstat,ROW()-13,4)="","",INDEX(engEstat,ROW()-13,4)))</f>
        <v>0.7983880000000001</v>
      </c>
      <c r="E67" s="113">
        <f>IF($A67="","",IF(INDEX(engEstat,ROW()-13,5)="","",INDEX(engEstat,ROW()-13,5)))</f>
        <v>2.3986842226520755E-2</v>
      </c>
      <c r="F67" s="114">
        <f>IF($A67="","",IF(INDEX(engEstat,ROW()-13,6)="","",INDEX(engEstat,ROW()-13,6)))</f>
        <v>3.0044091627780918</v>
      </c>
      <c r="G67" s="114">
        <f>IF($A67="","",mCEQ.BiasEQ($A67,eqAnoEP,"ABS",eqProvedor,eqRodada))</f>
        <v>2.1530512733520344</v>
      </c>
      <c r="H67" s="114">
        <f t="shared" si="6"/>
        <v>7.1103263919358852</v>
      </c>
      <c r="I67" s="114" t="str">
        <f>IF($A67="","",IFERROR(INDEX(Analitos!$Q$4:$Q$43,MATCH($A67,Analitos!$A$4:$A$43,0)),""))</f>
        <v>VB</v>
      </c>
      <c r="J67" s="114">
        <f>IF($A67="","",IFERROR(IF($I67="VB",INDEX(Analitos!$T$4:$T$43,MATCH($A67,Analitos!$A$4:$A$43,0)),IF(INDEX(Analitos!$S$4:$S$43,MATCH($A67,Analitos!$A$4:$A$43,0))&lt;&gt;"",INDEX(Analitos!$S$4:$S$43,MATCH($A67,Analitos!$A$4:$A$43,0)),INDEX(Analitos!$T$4:$T$43,MATCH($A67,Analitos!$A$4:$A$43,0)))),""))</f>
        <v>9.3000000000000007</v>
      </c>
      <c r="K67" s="114">
        <f>IF($A67="","",IFERROR(INDEX(Analitos!$R$4:$R$43,MATCH($A67,Analitos!$A$4:$A$43,0)),""))</f>
        <v>26.2487335922151</v>
      </c>
      <c r="L67" s="114">
        <f t="shared" si="7"/>
        <v>8.0201067875130807</v>
      </c>
      <c r="M67" s="114" t="str">
        <f>IF(NOT(ISNUMBER($L67)),"",mQualidade.ClassificarSigma($L67))</f>
        <v>Classe mundial</v>
      </c>
      <c r="N67" s="115">
        <f t="shared" si="8"/>
        <v>19.138407200279214</v>
      </c>
      <c r="O67" s="116">
        <f t="shared" si="9"/>
        <v>72.911735467326778</v>
      </c>
      <c r="P67" s="117" t="str">
        <f>IF(NOT(ISNUMBER($O67)),"",mQualidade.ClassificarMargem($O67))</f>
        <v>Dentro do orcamento</v>
      </c>
      <c r="Q67" s="117" t="str">
        <f t="shared" si="10"/>
        <v>OK</v>
      </c>
      <c r="R67" s="117" t="str">
        <f>IF($A67="","",mCEQ.StatusSDIeq($A67,eqAnoEP,IFERROR(INDEX(Analitos!$AR$4:$AR$43,MATCH($A67,Analitos!$A$4:$A$43,0)),"CAP"),eqRodada))</f>
        <v>SEM EP</v>
      </c>
      <c r="S67" s="117" t="str">
        <f>IF($A67="","",mCEQ.StatusLimitesEQ($A67,eqAnoEP,IFERROR(INDEX(Analitos!$AR$4:$AR$43,MATCH($A67,Analitos!$A$4:$A$43,0)),"CAP"),eqRodada))</f>
        <v>SEM EP</v>
      </c>
      <c r="T67" s="116" t="str">
        <f>IF($A67="","",mCEQ.BiasEQ($A67,eqAnoEP,"SIGNED",IFERROR(INDEX(Analitos!$AR$4:$AR$43,MATCH($A67,Analitos!$A$4:$A$43,0)),"CAP"),eqRodada))</f>
        <v>SEM EP</v>
      </c>
      <c r="U67" s="117" t="str">
        <f>IF(OR($P67="ETp excedido",$P67="Margem critica"),COUNTIF($P$14:$P67,"ETp excedido")+COUNTIF($P$14:$P67,"Margem critica"),"")</f>
        <v/>
      </c>
      <c r="V67" s="118">
        <f>IF(NOT(ISNUMBER($L67)),"",mPlanoQC.DPMdoSigma($L67))</f>
        <v>3.5128677744467041E-5</v>
      </c>
      <c r="W67" s="119">
        <f>IF(NOT(ISNUMBER($L67)),"",mPlanoQC.RendimentoDoSigma($L67))</f>
        <v>99.999999996487134</v>
      </c>
      <c r="X67" s="117" t="str">
        <f>IF(NOT(ISNUMBER($L67)),"",mPlanoQC.PlanoQC($L67,"REGRAS"))</f>
        <v>1_3s</v>
      </c>
      <c r="Y67" s="120">
        <f>IF(NOT(ISNUMBER($L67)),"",mPlanoQC.PlanoQC($L67,"N"))</f>
        <v>3</v>
      </c>
      <c r="Z67" s="121">
        <f>IF(NOT(ISNUMBER($L67)),"",mPlanoQC.PlanoQC($L67,"RUNSIZE"))</f>
        <v>1</v>
      </c>
      <c r="AA67" s="117" t="str">
        <f>IF(NOT(ISNUMBER($L67)),"",mPlanoQC.CoberturaWestgard($L67))</f>
        <v>TOTAL</v>
      </c>
      <c r="AB67" s="117" t="str">
        <f t="shared" si="11"/>
        <v>BASO#|3</v>
      </c>
      <c r="AC67" s="120" t="str">
        <f>IF($A67="","",mCEQ.BiasEQ($A67,eqAnoEP,"N",IFERROR(INDEX(Analitos!$AR$4:$AR$43,MATCH($A67,Analitos!$A$4:$A$43,0)),"CAP"),eqRodada))</f>
        <v>SEM EP</v>
      </c>
      <c r="AD67" s="120" t="str">
        <f>IF($A67="","",mCEQ.BiasEQ($A67,eqAnoEP,"NRODADAS",IFERROR(INDEX(Analitos!$AR$4:$AR$43,MATCH($A67,Analitos!$A$4:$A$43,0)),"CAP"),eqRodada))</f>
        <v>SEM EP</v>
      </c>
    </row>
    <row r="68" spans="1:30" x14ac:dyDescent="0.3">
      <c r="A68" s="110" t="str">
        <f>Analitos!$A$22</f>
        <v>IG%</v>
      </c>
      <c r="B68" s="111">
        <v>1</v>
      </c>
      <c r="C68" s="112">
        <f>IF($A68="","",IF(INDEX(engEstat,ROW()-13,3)="","",INDEX(engEstat,ROW()-13,3)))</f>
        <v>0</v>
      </c>
      <c r="D68" s="113" t="str">
        <f>IF($A68="","",IF(INDEX(engEstat,ROW()-13,4)="","",INDEX(engEstat,ROW()-13,4)))</f>
        <v/>
      </c>
      <c r="E68" s="113" t="str">
        <f>IF($A68="","",IF(INDEX(engEstat,ROW()-13,5)="","",INDEX(engEstat,ROW()-13,5)))</f>
        <v/>
      </c>
      <c r="F68" s="114" t="str">
        <f>IF($A68="","",IF(INDEX(engEstat,ROW()-13,6)="","",INDEX(engEstat,ROW()-13,6)))</f>
        <v/>
      </c>
      <c r="G68" s="114">
        <f>IF($A68="","",mCEQ.BiasEQ($A68,eqAnoEP,"ABS",eqProvedor,eqRodada))</f>
        <v>3.0093784575914833</v>
      </c>
      <c r="H68" s="114" t="str">
        <f t="shared" si="6"/>
        <v/>
      </c>
      <c r="I68" s="114" t="str">
        <f>IF($A68="","",IFERROR(INDEX(Analitos!$Q$4:$Q$43,MATCH($A68,Analitos!$A$4:$A$43,0)),""))</f>
        <v>-</v>
      </c>
      <c r="J68" s="114" t="str">
        <f>IF($A68="","",IFERROR(IF($I68="VB",INDEX(Analitos!$T$4:$T$43,MATCH($A68,Analitos!$A$4:$A$43,0)),IF(INDEX(Analitos!$S$4:$S$43,MATCH($A68,Analitos!$A$4:$A$43,0))&lt;&gt;"",INDEX(Analitos!$S$4:$S$43,MATCH($A68,Analitos!$A$4:$A$43,0)),INDEX(Analitos!$T$4:$T$43,MATCH($A68,Analitos!$A$4:$A$43,0)))),""))</f>
        <v/>
      </c>
      <c r="K68" s="114" t="str">
        <f>IF($A68="","",IFERROR(INDEX(Analitos!$R$4:$R$43,MATCH($A68,Analitos!$A$4:$A$43,0)),""))</f>
        <v/>
      </c>
      <c r="L68" s="114" t="str">
        <f t="shared" si="7"/>
        <v/>
      </c>
      <c r="M68" s="114" t="str">
        <f>IF(NOT(ISNUMBER($L68)),"",mQualidade.ClassificarSigma($L68))</f>
        <v/>
      </c>
      <c r="N68" s="115" t="str">
        <f t="shared" si="8"/>
        <v/>
      </c>
      <c r="O68" s="116" t="str">
        <f t="shared" si="9"/>
        <v/>
      </c>
      <c r="P68" s="117" t="str">
        <f>IF(NOT(ISNUMBER($O68)),"",mQualidade.ClassificarMargem($O68))</f>
        <v/>
      </c>
      <c r="Q68" s="117" t="str">
        <f t="shared" si="10"/>
        <v/>
      </c>
      <c r="R68" s="117" t="str">
        <f>IF($A68="","",mCEQ.StatusSDIeq($A68,eqAnoEP,IFERROR(INDEX(Analitos!$AR$4:$AR$43,MATCH($A68,Analitos!$A$4:$A$43,0)),"CAP"),eqRodada))</f>
        <v>SEM EP</v>
      </c>
      <c r="S68" s="117" t="str">
        <f>IF($A68="","",mCEQ.StatusLimitesEQ($A68,eqAnoEP,IFERROR(INDEX(Analitos!$AR$4:$AR$43,MATCH($A68,Analitos!$A$4:$A$43,0)),"CAP"),eqRodada))</f>
        <v>SEM EP</v>
      </c>
      <c r="T68" s="116" t="str">
        <f>IF($A68="","",mCEQ.BiasEQ($A68,eqAnoEP,"SIGNED",IFERROR(INDEX(Analitos!$AR$4:$AR$43,MATCH($A68,Analitos!$A$4:$A$43,0)),"CAP"),eqRodada))</f>
        <v>SEM EP</v>
      </c>
      <c r="U68" s="117" t="str">
        <f>IF(OR($P68="ETp excedido",$P68="Margem critica"),COUNTIF($P$14:$P68,"ETp excedido")+COUNTIF($P$14:$P68,"Margem critica"),"")</f>
        <v/>
      </c>
      <c r="V68" s="118" t="str">
        <f>IF(NOT(ISNUMBER($L68)),"",mPlanoQC.DPMdoSigma($L68))</f>
        <v/>
      </c>
      <c r="W68" s="119" t="str">
        <f>IF(NOT(ISNUMBER($L68)),"",mPlanoQC.RendimentoDoSigma($L68))</f>
        <v/>
      </c>
      <c r="X68" s="117" t="str">
        <f>IF(NOT(ISNUMBER($L68)),"",mPlanoQC.PlanoQC($L68,"REGRAS"))</f>
        <v/>
      </c>
      <c r="Y68" s="120" t="str">
        <f>IF(NOT(ISNUMBER($L68)),"",mPlanoQC.PlanoQC($L68,"N"))</f>
        <v/>
      </c>
      <c r="Z68" s="121" t="str">
        <f>IF(NOT(ISNUMBER($L68)),"",mPlanoQC.PlanoQC($L68,"RUNSIZE"))</f>
        <v/>
      </c>
      <c r="AA68" s="117" t="str">
        <f>IF(NOT(ISNUMBER($L68)),"",mPlanoQC.CoberturaWestgard($L68))</f>
        <v/>
      </c>
      <c r="AB68" s="117" t="str">
        <f t="shared" si="11"/>
        <v>IG%|1</v>
      </c>
      <c r="AC68" s="120" t="str">
        <f>IF($A68="","",mCEQ.BiasEQ($A68,eqAnoEP,"N",IFERROR(INDEX(Analitos!$AR$4:$AR$43,MATCH($A68,Analitos!$A$4:$A$43,0)),"CAP"),eqRodada))</f>
        <v>SEM EP</v>
      </c>
      <c r="AD68" s="120" t="str">
        <f>IF($A68="","",mCEQ.BiasEQ($A68,eqAnoEP,"NRODADAS",IFERROR(INDEX(Analitos!$AR$4:$AR$43,MATCH($A68,Analitos!$A$4:$A$43,0)),"CAP"),eqRodada))</f>
        <v>SEM EP</v>
      </c>
    </row>
    <row r="69" spans="1:30" x14ac:dyDescent="0.3">
      <c r="A69" s="110" t="str">
        <f>Analitos!$A$22</f>
        <v>IG%</v>
      </c>
      <c r="B69" s="111">
        <v>2</v>
      </c>
      <c r="C69" s="112">
        <f>IF($A69="","",IF(INDEX(engEstat,ROW()-13,3)="","",INDEX(engEstat,ROW()-13,3)))</f>
        <v>0</v>
      </c>
      <c r="D69" s="113" t="str">
        <f>IF($A69="","",IF(INDEX(engEstat,ROW()-13,4)="","",INDEX(engEstat,ROW()-13,4)))</f>
        <v/>
      </c>
      <c r="E69" s="113" t="str">
        <f>IF($A69="","",IF(INDEX(engEstat,ROW()-13,5)="","",INDEX(engEstat,ROW()-13,5)))</f>
        <v/>
      </c>
      <c r="F69" s="114" t="str">
        <f>IF($A69="","",IF(INDEX(engEstat,ROW()-13,6)="","",INDEX(engEstat,ROW()-13,6)))</f>
        <v/>
      </c>
      <c r="G69" s="114">
        <f>IF($A69="","",mCEQ.BiasEQ($A69,eqAnoEP,"ABS",eqProvedor,eqRodada))</f>
        <v>3.0093784575914833</v>
      </c>
      <c r="H69" s="114" t="str">
        <f t="shared" si="6"/>
        <v/>
      </c>
      <c r="I69" s="114" t="str">
        <f>IF($A69="","",IFERROR(INDEX(Analitos!$Q$4:$Q$43,MATCH($A69,Analitos!$A$4:$A$43,0)),""))</f>
        <v>-</v>
      </c>
      <c r="J69" s="114" t="str">
        <f>IF($A69="","",IFERROR(IF($I69="VB",INDEX(Analitos!$T$4:$T$43,MATCH($A69,Analitos!$A$4:$A$43,0)),IF(INDEX(Analitos!$S$4:$S$43,MATCH($A69,Analitos!$A$4:$A$43,0))&lt;&gt;"",INDEX(Analitos!$S$4:$S$43,MATCH($A69,Analitos!$A$4:$A$43,0)),INDEX(Analitos!$T$4:$T$43,MATCH($A69,Analitos!$A$4:$A$43,0)))),""))</f>
        <v/>
      </c>
      <c r="K69" s="114" t="str">
        <f>IF($A69="","",IFERROR(INDEX(Analitos!$R$4:$R$43,MATCH($A69,Analitos!$A$4:$A$43,0)),""))</f>
        <v/>
      </c>
      <c r="L69" s="114" t="str">
        <f t="shared" si="7"/>
        <v/>
      </c>
      <c r="M69" s="114" t="str">
        <f>IF(NOT(ISNUMBER($L69)),"",mQualidade.ClassificarSigma($L69))</f>
        <v/>
      </c>
      <c r="N69" s="115" t="str">
        <f t="shared" si="8"/>
        <v/>
      </c>
      <c r="O69" s="116" t="str">
        <f t="shared" si="9"/>
        <v/>
      </c>
      <c r="P69" s="117" t="str">
        <f>IF(NOT(ISNUMBER($O69)),"",mQualidade.ClassificarMargem($O69))</f>
        <v/>
      </c>
      <c r="Q69" s="117" t="str">
        <f t="shared" si="10"/>
        <v/>
      </c>
      <c r="R69" s="117" t="str">
        <f>IF($A69="","",mCEQ.StatusSDIeq($A69,eqAnoEP,IFERROR(INDEX(Analitos!$AR$4:$AR$43,MATCH($A69,Analitos!$A$4:$A$43,0)),"CAP"),eqRodada))</f>
        <v>SEM EP</v>
      </c>
      <c r="S69" s="117" t="str">
        <f>IF($A69="","",mCEQ.StatusLimitesEQ($A69,eqAnoEP,IFERROR(INDEX(Analitos!$AR$4:$AR$43,MATCH($A69,Analitos!$A$4:$A$43,0)),"CAP"),eqRodada))</f>
        <v>SEM EP</v>
      </c>
      <c r="T69" s="116" t="str">
        <f>IF($A69="","",mCEQ.BiasEQ($A69,eqAnoEP,"SIGNED",IFERROR(INDEX(Analitos!$AR$4:$AR$43,MATCH($A69,Analitos!$A$4:$A$43,0)),"CAP"),eqRodada))</f>
        <v>SEM EP</v>
      </c>
      <c r="U69" s="117" t="str">
        <f>IF(OR($P69="ETp excedido",$P69="Margem critica"),COUNTIF($P$14:$P69,"ETp excedido")+COUNTIF($P$14:$P69,"Margem critica"),"")</f>
        <v/>
      </c>
      <c r="V69" s="118" t="str">
        <f>IF(NOT(ISNUMBER($L69)),"",mPlanoQC.DPMdoSigma($L69))</f>
        <v/>
      </c>
      <c r="W69" s="119" t="str">
        <f>IF(NOT(ISNUMBER($L69)),"",mPlanoQC.RendimentoDoSigma($L69))</f>
        <v/>
      </c>
      <c r="X69" s="117" t="str">
        <f>IF(NOT(ISNUMBER($L69)),"",mPlanoQC.PlanoQC($L69,"REGRAS"))</f>
        <v/>
      </c>
      <c r="Y69" s="120" t="str">
        <f>IF(NOT(ISNUMBER($L69)),"",mPlanoQC.PlanoQC($L69,"N"))</f>
        <v/>
      </c>
      <c r="Z69" s="121" t="str">
        <f>IF(NOT(ISNUMBER($L69)),"",mPlanoQC.PlanoQC($L69,"RUNSIZE"))</f>
        <v/>
      </c>
      <c r="AA69" s="117" t="str">
        <f>IF(NOT(ISNUMBER($L69)),"",mPlanoQC.CoberturaWestgard($L69))</f>
        <v/>
      </c>
      <c r="AB69" s="117" t="str">
        <f t="shared" si="11"/>
        <v>IG%|2</v>
      </c>
      <c r="AC69" s="120" t="str">
        <f>IF($A69="","",mCEQ.BiasEQ($A69,eqAnoEP,"N",IFERROR(INDEX(Analitos!$AR$4:$AR$43,MATCH($A69,Analitos!$A$4:$A$43,0)),"CAP"),eqRodada))</f>
        <v>SEM EP</v>
      </c>
      <c r="AD69" s="120" t="str">
        <f>IF($A69="","",mCEQ.BiasEQ($A69,eqAnoEP,"NRODADAS",IFERROR(INDEX(Analitos!$AR$4:$AR$43,MATCH($A69,Analitos!$A$4:$A$43,0)),"CAP"),eqRodada))</f>
        <v>SEM EP</v>
      </c>
    </row>
    <row r="70" spans="1:30" x14ac:dyDescent="0.3">
      <c r="A70" s="110" t="str">
        <f>Analitos!$A$22</f>
        <v>IG%</v>
      </c>
      <c r="B70" s="111">
        <v>3</v>
      </c>
      <c r="C70" s="112">
        <f>IF($A70="","",IF(INDEX(engEstat,ROW()-13,3)="","",INDEX(engEstat,ROW()-13,3)))</f>
        <v>0</v>
      </c>
      <c r="D70" s="113" t="str">
        <f>IF($A70="","",IF(INDEX(engEstat,ROW()-13,4)="","",INDEX(engEstat,ROW()-13,4)))</f>
        <v/>
      </c>
      <c r="E70" s="113" t="str">
        <f>IF($A70="","",IF(INDEX(engEstat,ROW()-13,5)="","",INDEX(engEstat,ROW()-13,5)))</f>
        <v/>
      </c>
      <c r="F70" s="114" t="str">
        <f>IF($A70="","",IF(INDEX(engEstat,ROW()-13,6)="","",INDEX(engEstat,ROW()-13,6)))</f>
        <v/>
      </c>
      <c r="G70" s="114">
        <f>IF($A70="","",mCEQ.BiasEQ($A70,eqAnoEP,"ABS",eqProvedor,eqRodada))</f>
        <v>3.0093784575914833</v>
      </c>
      <c r="H70" s="114" t="str">
        <f t="shared" si="6"/>
        <v/>
      </c>
      <c r="I70" s="114" t="str">
        <f>IF($A70="","",IFERROR(INDEX(Analitos!$Q$4:$Q$43,MATCH($A70,Analitos!$A$4:$A$43,0)),""))</f>
        <v>-</v>
      </c>
      <c r="J70" s="114" t="str">
        <f>IF($A70="","",IFERROR(IF($I70="VB",INDEX(Analitos!$T$4:$T$43,MATCH($A70,Analitos!$A$4:$A$43,0)),IF(INDEX(Analitos!$S$4:$S$43,MATCH($A70,Analitos!$A$4:$A$43,0))&lt;&gt;"",INDEX(Analitos!$S$4:$S$43,MATCH($A70,Analitos!$A$4:$A$43,0)),INDEX(Analitos!$T$4:$T$43,MATCH($A70,Analitos!$A$4:$A$43,0)))),""))</f>
        <v/>
      </c>
      <c r="K70" s="114" t="str">
        <f>IF($A70="","",IFERROR(INDEX(Analitos!$R$4:$R$43,MATCH($A70,Analitos!$A$4:$A$43,0)),""))</f>
        <v/>
      </c>
      <c r="L70" s="114" t="str">
        <f t="shared" si="7"/>
        <v/>
      </c>
      <c r="M70" s="114" t="str">
        <f>IF(NOT(ISNUMBER($L70)),"",mQualidade.ClassificarSigma($L70))</f>
        <v/>
      </c>
      <c r="N70" s="115" t="str">
        <f t="shared" si="8"/>
        <v/>
      </c>
      <c r="O70" s="116" t="str">
        <f t="shared" si="9"/>
        <v/>
      </c>
      <c r="P70" s="117" t="str">
        <f>IF(NOT(ISNUMBER($O70)),"",mQualidade.ClassificarMargem($O70))</f>
        <v/>
      </c>
      <c r="Q70" s="117" t="str">
        <f t="shared" si="10"/>
        <v/>
      </c>
      <c r="R70" s="117" t="str">
        <f>IF($A70="","",mCEQ.StatusSDIeq($A70,eqAnoEP,IFERROR(INDEX(Analitos!$AR$4:$AR$43,MATCH($A70,Analitos!$A$4:$A$43,0)),"CAP"),eqRodada))</f>
        <v>SEM EP</v>
      </c>
      <c r="S70" s="117" t="str">
        <f>IF($A70="","",mCEQ.StatusLimitesEQ($A70,eqAnoEP,IFERROR(INDEX(Analitos!$AR$4:$AR$43,MATCH($A70,Analitos!$A$4:$A$43,0)),"CAP"),eqRodada))</f>
        <v>SEM EP</v>
      </c>
      <c r="T70" s="116" t="str">
        <f>IF($A70="","",mCEQ.BiasEQ($A70,eqAnoEP,"SIGNED",IFERROR(INDEX(Analitos!$AR$4:$AR$43,MATCH($A70,Analitos!$A$4:$A$43,0)),"CAP"),eqRodada))</f>
        <v>SEM EP</v>
      </c>
      <c r="U70" s="117" t="str">
        <f>IF(OR($P70="ETp excedido",$P70="Margem critica"),COUNTIF($P$14:$P70,"ETp excedido")+COUNTIF($P$14:$P70,"Margem critica"),"")</f>
        <v/>
      </c>
      <c r="V70" s="118" t="str">
        <f>IF(NOT(ISNUMBER($L70)),"",mPlanoQC.DPMdoSigma($L70))</f>
        <v/>
      </c>
      <c r="W70" s="119" t="str">
        <f>IF(NOT(ISNUMBER($L70)),"",mPlanoQC.RendimentoDoSigma($L70))</f>
        <v/>
      </c>
      <c r="X70" s="117" t="str">
        <f>IF(NOT(ISNUMBER($L70)),"",mPlanoQC.PlanoQC($L70,"REGRAS"))</f>
        <v/>
      </c>
      <c r="Y70" s="120" t="str">
        <f>IF(NOT(ISNUMBER($L70)),"",mPlanoQC.PlanoQC($L70,"N"))</f>
        <v/>
      </c>
      <c r="Z70" s="121" t="str">
        <f>IF(NOT(ISNUMBER($L70)),"",mPlanoQC.PlanoQC($L70,"RUNSIZE"))</f>
        <v/>
      </c>
      <c r="AA70" s="117" t="str">
        <f>IF(NOT(ISNUMBER($L70)),"",mPlanoQC.CoberturaWestgard($L70))</f>
        <v/>
      </c>
      <c r="AB70" s="117" t="str">
        <f t="shared" si="11"/>
        <v>IG%|3</v>
      </c>
      <c r="AC70" s="120" t="str">
        <f>IF($A70="","",mCEQ.BiasEQ($A70,eqAnoEP,"N",IFERROR(INDEX(Analitos!$AR$4:$AR$43,MATCH($A70,Analitos!$A$4:$A$43,0)),"CAP"),eqRodada))</f>
        <v>SEM EP</v>
      </c>
      <c r="AD70" s="120" t="str">
        <f>IF($A70="","",mCEQ.BiasEQ($A70,eqAnoEP,"NRODADAS",IFERROR(INDEX(Analitos!$AR$4:$AR$43,MATCH($A70,Analitos!$A$4:$A$43,0)),"CAP"),eqRodada))</f>
        <v>SEM EP</v>
      </c>
    </row>
    <row r="71" spans="1:30" x14ac:dyDescent="0.3">
      <c r="A71" s="110" t="str">
        <f>Analitos!$A$23</f>
        <v>IG#</v>
      </c>
      <c r="B71" s="111">
        <v>1</v>
      </c>
      <c r="C71" s="112">
        <f>IF($A71="","",IF(INDEX(engEstat,ROW()-13,3)="","",INDEX(engEstat,ROW()-13,3)))</f>
        <v>25</v>
      </c>
      <c r="D71" s="113">
        <f>IF($A71="","",IF(INDEX(engEstat,ROW()-13,4)="","",INDEX(engEstat,ROW()-13,4)))</f>
        <v>10.282411999999999</v>
      </c>
      <c r="E71" s="113">
        <f>IF($A71="","",IF(INDEX(engEstat,ROW()-13,5)="","",INDEX(engEstat,ROW()-13,5)))</f>
        <v>0.25684105545388702</v>
      </c>
      <c r="F71" s="114">
        <f>IF($A71="","",IF(INDEX(engEstat,ROW()-13,6)="","",INDEX(engEstat,ROW()-13,6)))</f>
        <v>2.4978677712377899</v>
      </c>
      <c r="G71" s="114">
        <f>IF($A71="","",mCEQ.BiasEQ($A71,eqAnoEP,"ABS",eqProvedor,eqRodada))</f>
        <v>4.3272799187771671</v>
      </c>
      <c r="H71" s="114">
        <f t="shared" si="6"/>
        <v>8.4487617413195206</v>
      </c>
      <c r="I71" s="114" t="str">
        <f>IF($A71="","",IFERROR(INDEX(Analitos!$Q$4:$Q$43,MATCH($A71,Analitos!$A$4:$A$43,0)),""))</f>
        <v>-</v>
      </c>
      <c r="J71" s="114" t="str">
        <f>IF($A71="","",IFERROR(IF($I71="VB",INDEX(Analitos!$T$4:$T$43,MATCH($A71,Analitos!$A$4:$A$43,0)),IF(INDEX(Analitos!$S$4:$S$43,MATCH($A71,Analitos!$A$4:$A$43,0))&lt;&gt;"",INDEX(Analitos!$S$4:$S$43,MATCH($A71,Analitos!$A$4:$A$43,0)),INDEX(Analitos!$T$4:$T$43,MATCH($A71,Analitos!$A$4:$A$43,0)))),""))</f>
        <v/>
      </c>
      <c r="K71" s="114" t="str">
        <f>IF($A71="","",IFERROR(INDEX(Analitos!$R$4:$R$43,MATCH($A71,Analitos!$A$4:$A$43,0)),""))</f>
        <v/>
      </c>
      <c r="L71" s="114" t="str">
        <f t="shared" si="7"/>
        <v/>
      </c>
      <c r="M71" s="114" t="str">
        <f>IF(NOT(ISNUMBER($L71)),"",mQualidade.ClassificarSigma($L71))</f>
        <v/>
      </c>
      <c r="N71" s="115" t="str">
        <f t="shared" si="8"/>
        <v/>
      </c>
      <c r="O71" s="116" t="str">
        <f t="shared" si="9"/>
        <v/>
      </c>
      <c r="P71" s="117" t="str">
        <f>IF(NOT(ISNUMBER($O71)),"",mQualidade.ClassificarMargem($O71))</f>
        <v/>
      </c>
      <c r="Q71" s="117" t="str">
        <f t="shared" si="10"/>
        <v/>
      </c>
      <c r="R71" s="117" t="str">
        <f>IF($A71="","",mCEQ.StatusSDIeq($A71,eqAnoEP,IFERROR(INDEX(Analitos!$AR$4:$AR$43,MATCH($A71,Analitos!$A$4:$A$43,0)),"CAP"),eqRodada))</f>
        <v>SEM EP</v>
      </c>
      <c r="S71" s="117" t="str">
        <f>IF($A71="","",mCEQ.StatusLimitesEQ($A71,eqAnoEP,IFERROR(INDEX(Analitos!$AR$4:$AR$43,MATCH($A71,Analitos!$A$4:$A$43,0)),"CAP"),eqRodada))</f>
        <v>SEM EP</v>
      </c>
      <c r="T71" s="116" t="str">
        <f>IF($A71="","",mCEQ.BiasEQ($A71,eqAnoEP,"SIGNED",IFERROR(INDEX(Analitos!$AR$4:$AR$43,MATCH($A71,Analitos!$A$4:$A$43,0)),"CAP"),eqRodada))</f>
        <v>SEM EP</v>
      </c>
      <c r="U71" s="117" t="str">
        <f>IF(OR($P71="ETp excedido",$P71="Margem critica"),COUNTIF($P$14:$P71,"ETp excedido")+COUNTIF($P$14:$P71,"Margem critica"),"")</f>
        <v/>
      </c>
      <c r="V71" s="118" t="str">
        <f>IF(NOT(ISNUMBER($L71)),"",mPlanoQC.DPMdoSigma($L71))</f>
        <v/>
      </c>
      <c r="W71" s="119" t="str">
        <f>IF(NOT(ISNUMBER($L71)),"",mPlanoQC.RendimentoDoSigma($L71))</f>
        <v/>
      </c>
      <c r="X71" s="117" t="str">
        <f>IF(NOT(ISNUMBER($L71)),"",mPlanoQC.PlanoQC($L71,"REGRAS"))</f>
        <v/>
      </c>
      <c r="Y71" s="120" t="str">
        <f>IF(NOT(ISNUMBER($L71)),"",mPlanoQC.PlanoQC($L71,"N"))</f>
        <v/>
      </c>
      <c r="Z71" s="121" t="str">
        <f>IF(NOT(ISNUMBER($L71)),"",mPlanoQC.PlanoQC($L71,"RUNSIZE"))</f>
        <v/>
      </c>
      <c r="AA71" s="117" t="str">
        <f>IF(NOT(ISNUMBER($L71)),"",mPlanoQC.CoberturaWestgard($L71))</f>
        <v/>
      </c>
      <c r="AB71" s="117" t="str">
        <f t="shared" si="11"/>
        <v>IG#|1</v>
      </c>
      <c r="AC71" s="120" t="str">
        <f>IF($A71="","",mCEQ.BiasEQ($A71,eqAnoEP,"N",IFERROR(INDEX(Analitos!$AR$4:$AR$43,MATCH($A71,Analitos!$A$4:$A$43,0)),"CAP"),eqRodada))</f>
        <v>SEM EP</v>
      </c>
      <c r="AD71" s="120" t="str">
        <f>IF($A71="","",mCEQ.BiasEQ($A71,eqAnoEP,"NRODADAS",IFERROR(INDEX(Analitos!$AR$4:$AR$43,MATCH($A71,Analitos!$A$4:$A$43,0)),"CAP"),eqRodada))</f>
        <v>SEM EP</v>
      </c>
    </row>
    <row r="72" spans="1:30" x14ac:dyDescent="0.3">
      <c r="A72" s="110" t="str">
        <f>Analitos!$A$23</f>
        <v>IG#</v>
      </c>
      <c r="B72" s="111">
        <v>2</v>
      </c>
      <c r="C72" s="112">
        <f>IF($A72="","",IF(INDEX(engEstat,ROW()-13,3)="","",INDEX(engEstat,ROW()-13,3)))</f>
        <v>25</v>
      </c>
      <c r="D72" s="113">
        <f>IF($A72="","",IF(INDEX(engEstat,ROW()-13,4)="","",INDEX(engEstat,ROW()-13,4)))</f>
        <v>10.962323999999999</v>
      </c>
      <c r="E72" s="113">
        <f>IF($A72="","",IF(INDEX(engEstat,ROW()-13,5)="","",INDEX(engEstat,ROW()-13,5)))</f>
        <v>0.34872433272333231</v>
      </c>
      <c r="F72" s="114">
        <f>IF($A72="","",IF(INDEX(engEstat,ROW()-13,6)="","",INDEX(engEstat,ROW()-13,6)))</f>
        <v>3.1811168208797</v>
      </c>
      <c r="G72" s="114">
        <f>IF($A72="","",mCEQ.BiasEQ($A72,eqAnoEP,"ABS",eqProvedor,eqRodada))</f>
        <v>4.3272799187771671</v>
      </c>
      <c r="H72" s="114">
        <f t="shared" si="6"/>
        <v>9.5761226732286708</v>
      </c>
      <c r="I72" s="114" t="str">
        <f>IF($A72="","",IFERROR(INDEX(Analitos!$Q$4:$Q$43,MATCH($A72,Analitos!$A$4:$A$43,0)),""))</f>
        <v>-</v>
      </c>
      <c r="J72" s="114" t="str">
        <f>IF($A72="","",IFERROR(IF($I72="VB",INDEX(Analitos!$T$4:$T$43,MATCH($A72,Analitos!$A$4:$A$43,0)),IF(INDEX(Analitos!$S$4:$S$43,MATCH($A72,Analitos!$A$4:$A$43,0))&lt;&gt;"",INDEX(Analitos!$S$4:$S$43,MATCH($A72,Analitos!$A$4:$A$43,0)),INDEX(Analitos!$T$4:$T$43,MATCH($A72,Analitos!$A$4:$A$43,0)))),""))</f>
        <v/>
      </c>
      <c r="K72" s="114" t="str">
        <f>IF($A72="","",IFERROR(INDEX(Analitos!$R$4:$R$43,MATCH($A72,Analitos!$A$4:$A$43,0)),""))</f>
        <v/>
      </c>
      <c r="L72" s="114" t="str">
        <f t="shared" si="7"/>
        <v/>
      </c>
      <c r="M72" s="114" t="str">
        <f>IF(NOT(ISNUMBER($L72)),"",mQualidade.ClassificarSigma($L72))</f>
        <v/>
      </c>
      <c r="N72" s="115" t="str">
        <f t="shared" si="8"/>
        <v/>
      </c>
      <c r="O72" s="116" t="str">
        <f t="shared" si="9"/>
        <v/>
      </c>
      <c r="P72" s="117" t="str">
        <f>IF(NOT(ISNUMBER($O72)),"",mQualidade.ClassificarMargem($O72))</f>
        <v/>
      </c>
      <c r="Q72" s="117" t="str">
        <f t="shared" si="10"/>
        <v/>
      </c>
      <c r="R72" s="117" t="str">
        <f>IF($A72="","",mCEQ.StatusSDIeq($A72,eqAnoEP,IFERROR(INDEX(Analitos!$AR$4:$AR$43,MATCH($A72,Analitos!$A$4:$A$43,0)),"CAP"),eqRodada))</f>
        <v>SEM EP</v>
      </c>
      <c r="S72" s="117" t="str">
        <f>IF($A72="","",mCEQ.StatusLimitesEQ($A72,eqAnoEP,IFERROR(INDEX(Analitos!$AR$4:$AR$43,MATCH($A72,Analitos!$A$4:$A$43,0)),"CAP"),eqRodada))</f>
        <v>SEM EP</v>
      </c>
      <c r="T72" s="116" t="str">
        <f>IF($A72="","",mCEQ.BiasEQ($A72,eqAnoEP,"SIGNED",IFERROR(INDEX(Analitos!$AR$4:$AR$43,MATCH($A72,Analitos!$A$4:$A$43,0)),"CAP"),eqRodada))</f>
        <v>SEM EP</v>
      </c>
      <c r="U72" s="117" t="str">
        <f>IF(OR($P72="ETp excedido",$P72="Margem critica"),COUNTIF($P$14:$P72,"ETp excedido")+COUNTIF($P$14:$P72,"Margem critica"),"")</f>
        <v/>
      </c>
      <c r="V72" s="118" t="str">
        <f>IF(NOT(ISNUMBER($L72)),"",mPlanoQC.DPMdoSigma($L72))</f>
        <v/>
      </c>
      <c r="W72" s="119" t="str">
        <f>IF(NOT(ISNUMBER($L72)),"",mPlanoQC.RendimentoDoSigma($L72))</f>
        <v/>
      </c>
      <c r="X72" s="117" t="str">
        <f>IF(NOT(ISNUMBER($L72)),"",mPlanoQC.PlanoQC($L72,"REGRAS"))</f>
        <v/>
      </c>
      <c r="Y72" s="120" t="str">
        <f>IF(NOT(ISNUMBER($L72)),"",mPlanoQC.PlanoQC($L72,"N"))</f>
        <v/>
      </c>
      <c r="Z72" s="121" t="str">
        <f>IF(NOT(ISNUMBER($L72)),"",mPlanoQC.PlanoQC($L72,"RUNSIZE"))</f>
        <v/>
      </c>
      <c r="AA72" s="117" t="str">
        <f>IF(NOT(ISNUMBER($L72)),"",mPlanoQC.CoberturaWestgard($L72))</f>
        <v/>
      </c>
      <c r="AB72" s="117" t="str">
        <f t="shared" si="11"/>
        <v>IG#|2</v>
      </c>
      <c r="AC72" s="120" t="str">
        <f>IF($A72="","",mCEQ.BiasEQ($A72,eqAnoEP,"N",IFERROR(INDEX(Analitos!$AR$4:$AR$43,MATCH($A72,Analitos!$A$4:$A$43,0)),"CAP"),eqRodada))</f>
        <v>SEM EP</v>
      </c>
      <c r="AD72" s="120" t="str">
        <f>IF($A72="","",mCEQ.BiasEQ($A72,eqAnoEP,"NRODADAS",IFERROR(INDEX(Analitos!$AR$4:$AR$43,MATCH($A72,Analitos!$A$4:$A$43,0)),"CAP"),eqRodada))</f>
        <v>SEM EP</v>
      </c>
    </row>
    <row r="73" spans="1:30" x14ac:dyDescent="0.3">
      <c r="A73" s="110" t="str">
        <f>Analitos!$A$23</f>
        <v>IG#</v>
      </c>
      <c r="B73" s="111">
        <v>3</v>
      </c>
      <c r="C73" s="112">
        <f>IF($A73="","",IF(INDEX(engEstat,ROW()-13,3)="","",INDEX(engEstat,ROW()-13,3)))</f>
        <v>25</v>
      </c>
      <c r="D73" s="113">
        <f>IF($A73="","",IF(INDEX(engEstat,ROW()-13,4)="","",INDEX(engEstat,ROW()-13,4)))</f>
        <v>11.864048000000002</v>
      </c>
      <c r="E73" s="113">
        <f>IF($A73="","",IF(INDEX(engEstat,ROW()-13,5)="","",INDEX(engEstat,ROW()-13,5)))</f>
        <v>0.3282312969030628</v>
      </c>
      <c r="F73" s="114">
        <f>IF($A73="","",IF(INDEX(engEstat,ROW()-13,6)="","",INDEX(engEstat,ROW()-13,6)))</f>
        <v>2.7666045931629974</v>
      </c>
      <c r="G73" s="114">
        <f>IF($A73="","",mCEQ.BiasEQ($A73,eqAnoEP,"ABS",eqProvedor,eqRodada))</f>
        <v>4.3272799187771671</v>
      </c>
      <c r="H73" s="114">
        <f t="shared" si="6"/>
        <v>8.8921774974961139</v>
      </c>
      <c r="I73" s="114" t="str">
        <f>IF($A73="","",IFERROR(INDEX(Analitos!$Q$4:$Q$43,MATCH($A73,Analitos!$A$4:$A$43,0)),""))</f>
        <v>-</v>
      </c>
      <c r="J73" s="114" t="str">
        <f>IF($A73="","",IFERROR(IF($I73="VB",INDEX(Analitos!$T$4:$T$43,MATCH($A73,Analitos!$A$4:$A$43,0)),IF(INDEX(Analitos!$S$4:$S$43,MATCH($A73,Analitos!$A$4:$A$43,0))&lt;&gt;"",INDEX(Analitos!$S$4:$S$43,MATCH($A73,Analitos!$A$4:$A$43,0)),INDEX(Analitos!$T$4:$T$43,MATCH($A73,Analitos!$A$4:$A$43,0)))),""))</f>
        <v/>
      </c>
      <c r="K73" s="114" t="str">
        <f>IF($A73="","",IFERROR(INDEX(Analitos!$R$4:$R$43,MATCH($A73,Analitos!$A$4:$A$43,0)),""))</f>
        <v/>
      </c>
      <c r="L73" s="114" t="str">
        <f t="shared" si="7"/>
        <v/>
      </c>
      <c r="M73" s="114" t="str">
        <f>IF(NOT(ISNUMBER($L73)),"",mQualidade.ClassificarSigma($L73))</f>
        <v/>
      </c>
      <c r="N73" s="115" t="str">
        <f t="shared" si="8"/>
        <v/>
      </c>
      <c r="O73" s="116" t="str">
        <f t="shared" si="9"/>
        <v/>
      </c>
      <c r="P73" s="117" t="str">
        <f>IF(NOT(ISNUMBER($O73)),"",mQualidade.ClassificarMargem($O73))</f>
        <v/>
      </c>
      <c r="Q73" s="117" t="str">
        <f t="shared" si="10"/>
        <v/>
      </c>
      <c r="R73" s="117" t="str">
        <f>IF($A73="","",mCEQ.StatusSDIeq($A73,eqAnoEP,IFERROR(INDEX(Analitos!$AR$4:$AR$43,MATCH($A73,Analitos!$A$4:$A$43,0)),"CAP"),eqRodada))</f>
        <v>SEM EP</v>
      </c>
      <c r="S73" s="117" t="str">
        <f>IF($A73="","",mCEQ.StatusLimitesEQ($A73,eqAnoEP,IFERROR(INDEX(Analitos!$AR$4:$AR$43,MATCH($A73,Analitos!$A$4:$A$43,0)),"CAP"),eqRodada))</f>
        <v>SEM EP</v>
      </c>
      <c r="T73" s="116" t="str">
        <f>IF($A73="","",mCEQ.BiasEQ($A73,eqAnoEP,"SIGNED",IFERROR(INDEX(Analitos!$AR$4:$AR$43,MATCH($A73,Analitos!$A$4:$A$43,0)),"CAP"),eqRodada))</f>
        <v>SEM EP</v>
      </c>
      <c r="U73" s="117" t="str">
        <f>IF(OR($P73="ETp excedido",$P73="Margem critica"),COUNTIF($P$14:$P73,"ETp excedido")+COUNTIF($P$14:$P73,"Margem critica"),"")</f>
        <v/>
      </c>
      <c r="V73" s="118" t="str">
        <f>IF(NOT(ISNUMBER($L73)),"",mPlanoQC.DPMdoSigma($L73))</f>
        <v/>
      </c>
      <c r="W73" s="119" t="str">
        <f>IF(NOT(ISNUMBER($L73)),"",mPlanoQC.RendimentoDoSigma($L73))</f>
        <v/>
      </c>
      <c r="X73" s="117" t="str">
        <f>IF(NOT(ISNUMBER($L73)),"",mPlanoQC.PlanoQC($L73,"REGRAS"))</f>
        <v/>
      </c>
      <c r="Y73" s="120" t="str">
        <f>IF(NOT(ISNUMBER($L73)),"",mPlanoQC.PlanoQC($L73,"N"))</f>
        <v/>
      </c>
      <c r="Z73" s="121" t="str">
        <f>IF(NOT(ISNUMBER($L73)),"",mPlanoQC.PlanoQC($L73,"RUNSIZE"))</f>
        <v/>
      </c>
      <c r="AA73" s="117" t="str">
        <f>IF(NOT(ISNUMBER($L73)),"",mPlanoQC.CoberturaWestgard($L73))</f>
        <v/>
      </c>
      <c r="AB73" s="117" t="str">
        <f t="shared" si="11"/>
        <v>IG#|3</v>
      </c>
      <c r="AC73" s="120" t="str">
        <f>IF($A73="","",mCEQ.BiasEQ($A73,eqAnoEP,"N",IFERROR(INDEX(Analitos!$AR$4:$AR$43,MATCH($A73,Analitos!$A$4:$A$43,0)),"CAP"),eqRodada))</f>
        <v>SEM EP</v>
      </c>
      <c r="AD73" s="120" t="str">
        <f>IF($A73="","",mCEQ.BiasEQ($A73,eqAnoEP,"NRODADAS",IFERROR(INDEX(Analitos!$AR$4:$AR$43,MATCH($A73,Analitos!$A$4:$A$43,0)),"CAP"),eqRodada))</f>
        <v>SEM EP</v>
      </c>
    </row>
    <row r="74" spans="1:30" x14ac:dyDescent="0.3">
      <c r="A74" s="110" t="str">
        <f>Analitos!$A$24</f>
        <v>NRBC%</v>
      </c>
      <c r="B74" s="111">
        <v>1</v>
      </c>
      <c r="C74" s="112">
        <f>IF($A74="","",IF(INDEX(engEstat,ROW()-13,3)="","",INDEX(engEstat,ROW()-13,3)))</f>
        <v>25</v>
      </c>
      <c r="D74" s="113">
        <f>IF($A74="","",IF(INDEX(engEstat,ROW()-13,4)="","",INDEX(engEstat,ROW()-13,4)))</f>
        <v>5.1844959999999993</v>
      </c>
      <c r="E74" s="113">
        <f>IF($A74="","",IF(INDEX(engEstat,ROW()-13,5)="","",INDEX(engEstat,ROW()-13,5)))</f>
        <v>0.66721256138255269</v>
      </c>
      <c r="F74" s="114">
        <f>IF($A74="","",IF(INDEX(engEstat,ROW()-13,6)="","",INDEX(engEstat,ROW()-13,6)))</f>
        <v>12.869381351293409</v>
      </c>
      <c r="G74" s="114">
        <f>IF($A74="","",mCEQ.BiasEQ($A74,eqAnoEP,"ABS",eqProvedor,eqRodada))</f>
        <v>45.929587059125147</v>
      </c>
      <c r="H74" s="114">
        <f t="shared" si="6"/>
        <v>67.164066288759273</v>
      </c>
      <c r="I74" s="114" t="str">
        <f>IF($A74="","",IFERROR(INDEX(Analitos!$Q$4:$Q$43,MATCH($A74,Analitos!$A$4:$A$43,0)),""))</f>
        <v>-</v>
      </c>
      <c r="J74" s="114" t="str">
        <f>IF($A74="","",IFERROR(IF($I74="VB",INDEX(Analitos!$T$4:$T$43,MATCH($A74,Analitos!$A$4:$A$43,0)),IF(INDEX(Analitos!$S$4:$S$43,MATCH($A74,Analitos!$A$4:$A$43,0))&lt;&gt;"",INDEX(Analitos!$S$4:$S$43,MATCH($A74,Analitos!$A$4:$A$43,0)),INDEX(Analitos!$T$4:$T$43,MATCH($A74,Analitos!$A$4:$A$43,0)))),""))</f>
        <v/>
      </c>
      <c r="K74" s="114" t="str">
        <f>IF($A74="","",IFERROR(INDEX(Analitos!$R$4:$R$43,MATCH($A74,Analitos!$A$4:$A$43,0)),""))</f>
        <v/>
      </c>
      <c r="L74" s="114" t="str">
        <f t="shared" si="7"/>
        <v/>
      </c>
      <c r="M74" s="114" t="str">
        <f>IF(NOT(ISNUMBER($L74)),"",mQualidade.ClassificarSigma($L74))</f>
        <v/>
      </c>
      <c r="N74" s="115" t="str">
        <f t="shared" si="8"/>
        <v/>
      </c>
      <c r="O74" s="116" t="str">
        <f t="shared" si="9"/>
        <v/>
      </c>
      <c r="P74" s="117" t="str">
        <f>IF(NOT(ISNUMBER($O74)),"",mQualidade.ClassificarMargem($O74))</f>
        <v/>
      </c>
      <c r="Q74" s="117" t="str">
        <f t="shared" si="10"/>
        <v/>
      </c>
      <c r="R74" s="117" t="str">
        <f>IF($A74="","",mCEQ.StatusSDIeq($A74,eqAnoEP,IFERROR(INDEX(Analitos!$AR$4:$AR$43,MATCH($A74,Analitos!$A$4:$A$43,0)),"CAP"),eqRodada))</f>
        <v>SEM EP</v>
      </c>
      <c r="S74" s="117" t="str">
        <f>IF($A74="","",mCEQ.StatusLimitesEQ($A74,eqAnoEP,IFERROR(INDEX(Analitos!$AR$4:$AR$43,MATCH($A74,Analitos!$A$4:$A$43,0)),"CAP"),eqRodada))</f>
        <v>SEM EP</v>
      </c>
      <c r="T74" s="116" t="str">
        <f>IF($A74="","",mCEQ.BiasEQ($A74,eqAnoEP,"SIGNED",IFERROR(INDEX(Analitos!$AR$4:$AR$43,MATCH($A74,Analitos!$A$4:$A$43,0)),"CAP"),eqRodada))</f>
        <v>SEM EP</v>
      </c>
      <c r="U74" s="117" t="str">
        <f>IF(OR($P74="ETp excedido",$P74="Margem critica"),COUNTIF($P$14:$P74,"ETp excedido")+COUNTIF($P$14:$P74,"Margem critica"),"")</f>
        <v/>
      </c>
      <c r="V74" s="118" t="str">
        <f>IF(NOT(ISNUMBER($L74)),"",mPlanoQC.DPMdoSigma($L74))</f>
        <v/>
      </c>
      <c r="W74" s="119" t="str">
        <f>IF(NOT(ISNUMBER($L74)),"",mPlanoQC.RendimentoDoSigma($L74))</f>
        <v/>
      </c>
      <c r="X74" s="117" t="str">
        <f>IF(NOT(ISNUMBER($L74)),"",mPlanoQC.PlanoQC($L74,"REGRAS"))</f>
        <v/>
      </c>
      <c r="Y74" s="120" t="str">
        <f>IF(NOT(ISNUMBER($L74)),"",mPlanoQC.PlanoQC($L74,"N"))</f>
        <v/>
      </c>
      <c r="Z74" s="121" t="str">
        <f>IF(NOT(ISNUMBER($L74)),"",mPlanoQC.PlanoQC($L74,"RUNSIZE"))</f>
        <v/>
      </c>
      <c r="AA74" s="117" t="str">
        <f>IF(NOT(ISNUMBER($L74)),"",mPlanoQC.CoberturaWestgard($L74))</f>
        <v/>
      </c>
      <c r="AB74" s="117" t="str">
        <f t="shared" si="11"/>
        <v>NRBC%|1</v>
      </c>
      <c r="AC74" s="120" t="str">
        <f>IF($A74="","",mCEQ.BiasEQ($A74,eqAnoEP,"N",IFERROR(INDEX(Analitos!$AR$4:$AR$43,MATCH($A74,Analitos!$A$4:$A$43,0)),"CAP"),eqRodada))</f>
        <v>SEM EP</v>
      </c>
      <c r="AD74" s="120" t="str">
        <f>IF($A74="","",mCEQ.BiasEQ($A74,eqAnoEP,"NRODADAS",IFERROR(INDEX(Analitos!$AR$4:$AR$43,MATCH($A74,Analitos!$A$4:$A$43,0)),"CAP"),eqRodada))</f>
        <v>SEM EP</v>
      </c>
    </row>
    <row r="75" spans="1:30" x14ac:dyDescent="0.3">
      <c r="A75" s="110" t="str">
        <f>Analitos!$A$24</f>
        <v>NRBC%</v>
      </c>
      <c r="B75" s="111">
        <v>2</v>
      </c>
      <c r="C75" s="112">
        <f>IF($A75="","",IF(INDEX(engEstat,ROW()-13,3)="","",INDEX(engEstat,ROW()-13,3)))</f>
        <v>25</v>
      </c>
      <c r="D75" s="113">
        <f>IF($A75="","",IF(INDEX(engEstat,ROW()-13,4)="","",INDEX(engEstat,ROW()-13,4)))</f>
        <v>6.164752</v>
      </c>
      <c r="E75" s="113">
        <f>IF($A75="","",IF(INDEX(engEstat,ROW()-13,5)="","",INDEX(engEstat,ROW()-13,5)))</f>
        <v>0.31433732029991801</v>
      </c>
      <c r="F75" s="114">
        <f>IF($A75="","",IF(INDEX(engEstat,ROW()-13,6)="","",INDEX(engEstat,ROW()-13,6)))</f>
        <v>5.0989451043597214</v>
      </c>
      <c r="G75" s="114">
        <f>IF($A75="","",mCEQ.BiasEQ($A75,eqAnoEP,"ABS",eqProvedor,eqRodada))</f>
        <v>45.929587059125147</v>
      </c>
      <c r="H75" s="114">
        <f t="shared" si="6"/>
        <v>54.342846481318688</v>
      </c>
      <c r="I75" s="114" t="str">
        <f>IF($A75="","",IFERROR(INDEX(Analitos!$Q$4:$Q$43,MATCH($A75,Analitos!$A$4:$A$43,0)),""))</f>
        <v>-</v>
      </c>
      <c r="J75" s="114" t="str">
        <f>IF($A75="","",IFERROR(IF($I75="VB",INDEX(Analitos!$T$4:$T$43,MATCH($A75,Analitos!$A$4:$A$43,0)),IF(INDEX(Analitos!$S$4:$S$43,MATCH($A75,Analitos!$A$4:$A$43,0))&lt;&gt;"",INDEX(Analitos!$S$4:$S$43,MATCH($A75,Analitos!$A$4:$A$43,0)),INDEX(Analitos!$T$4:$T$43,MATCH($A75,Analitos!$A$4:$A$43,0)))),""))</f>
        <v/>
      </c>
      <c r="K75" s="114" t="str">
        <f>IF($A75="","",IFERROR(INDEX(Analitos!$R$4:$R$43,MATCH($A75,Analitos!$A$4:$A$43,0)),""))</f>
        <v/>
      </c>
      <c r="L75" s="114" t="str">
        <f t="shared" si="7"/>
        <v/>
      </c>
      <c r="M75" s="114" t="str">
        <f>IF(NOT(ISNUMBER($L75)),"",mQualidade.ClassificarSigma($L75))</f>
        <v/>
      </c>
      <c r="N75" s="115" t="str">
        <f t="shared" si="8"/>
        <v/>
      </c>
      <c r="O75" s="116" t="str">
        <f t="shared" si="9"/>
        <v/>
      </c>
      <c r="P75" s="117" t="str">
        <f>IF(NOT(ISNUMBER($O75)),"",mQualidade.ClassificarMargem($O75))</f>
        <v/>
      </c>
      <c r="Q75" s="117" t="str">
        <f t="shared" si="10"/>
        <v/>
      </c>
      <c r="R75" s="117" t="str">
        <f>IF($A75="","",mCEQ.StatusSDIeq($A75,eqAnoEP,IFERROR(INDEX(Analitos!$AR$4:$AR$43,MATCH($A75,Analitos!$A$4:$A$43,0)),"CAP"),eqRodada))</f>
        <v>SEM EP</v>
      </c>
      <c r="S75" s="117" t="str">
        <f>IF($A75="","",mCEQ.StatusLimitesEQ($A75,eqAnoEP,IFERROR(INDEX(Analitos!$AR$4:$AR$43,MATCH($A75,Analitos!$A$4:$A$43,0)),"CAP"),eqRodada))</f>
        <v>SEM EP</v>
      </c>
      <c r="T75" s="116" t="str">
        <f>IF($A75="","",mCEQ.BiasEQ($A75,eqAnoEP,"SIGNED",IFERROR(INDEX(Analitos!$AR$4:$AR$43,MATCH($A75,Analitos!$A$4:$A$43,0)),"CAP"),eqRodada))</f>
        <v>SEM EP</v>
      </c>
      <c r="U75" s="117" t="str">
        <f>IF(OR($P75="ETp excedido",$P75="Margem critica"),COUNTIF($P$14:$P75,"ETp excedido")+COUNTIF($P$14:$P75,"Margem critica"),"")</f>
        <v/>
      </c>
      <c r="V75" s="118" t="str">
        <f>IF(NOT(ISNUMBER($L75)),"",mPlanoQC.DPMdoSigma($L75))</f>
        <v/>
      </c>
      <c r="W75" s="119" t="str">
        <f>IF(NOT(ISNUMBER($L75)),"",mPlanoQC.RendimentoDoSigma($L75))</f>
        <v/>
      </c>
      <c r="X75" s="117" t="str">
        <f>IF(NOT(ISNUMBER($L75)),"",mPlanoQC.PlanoQC($L75,"REGRAS"))</f>
        <v/>
      </c>
      <c r="Y75" s="120" t="str">
        <f>IF(NOT(ISNUMBER($L75)),"",mPlanoQC.PlanoQC($L75,"N"))</f>
        <v/>
      </c>
      <c r="Z75" s="121" t="str">
        <f>IF(NOT(ISNUMBER($L75)),"",mPlanoQC.PlanoQC($L75,"RUNSIZE"))</f>
        <v/>
      </c>
      <c r="AA75" s="117" t="str">
        <f>IF(NOT(ISNUMBER($L75)),"",mPlanoQC.CoberturaWestgard($L75))</f>
        <v/>
      </c>
      <c r="AB75" s="117" t="str">
        <f t="shared" si="11"/>
        <v>NRBC%|2</v>
      </c>
      <c r="AC75" s="120" t="str">
        <f>IF($A75="","",mCEQ.BiasEQ($A75,eqAnoEP,"N",IFERROR(INDEX(Analitos!$AR$4:$AR$43,MATCH($A75,Analitos!$A$4:$A$43,0)),"CAP"),eqRodada))</f>
        <v>SEM EP</v>
      </c>
      <c r="AD75" s="120" t="str">
        <f>IF($A75="","",mCEQ.BiasEQ($A75,eqAnoEP,"NRODADAS",IFERROR(INDEX(Analitos!$AR$4:$AR$43,MATCH($A75,Analitos!$A$4:$A$43,0)),"CAP"),eqRodada))</f>
        <v>SEM EP</v>
      </c>
    </row>
    <row r="76" spans="1:30" x14ac:dyDescent="0.3">
      <c r="A76" s="110" t="str">
        <f>Analitos!$A$24</f>
        <v>NRBC%</v>
      </c>
      <c r="B76" s="111">
        <v>3</v>
      </c>
      <c r="C76" s="112">
        <f>IF($A76="","",IF(INDEX(engEstat,ROW()-13,3)="","",INDEX(engEstat,ROW()-13,3)))</f>
        <v>25</v>
      </c>
      <c r="D76" s="113">
        <f>IF($A76="","",IF(INDEX(engEstat,ROW()-13,4)="","",INDEX(engEstat,ROW()-13,4)))</f>
        <v>6.630744</v>
      </c>
      <c r="E76" s="113">
        <f>IF($A76="","",IF(INDEX(engEstat,ROW()-13,5)="","",INDEX(engEstat,ROW()-13,5)))</f>
        <v>0.17380840524362828</v>
      </c>
      <c r="F76" s="114">
        <f>IF($A76="","",IF(INDEX(engEstat,ROW()-13,6)="","",INDEX(engEstat,ROW()-13,6)))</f>
        <v>2.6212504244414849</v>
      </c>
      <c r="G76" s="114">
        <f>IF($A76="","",mCEQ.BiasEQ($A76,eqAnoEP,"ABS",eqProvedor,eqRodada))</f>
        <v>45.929587059125147</v>
      </c>
      <c r="H76" s="114">
        <f t="shared" si="6"/>
        <v>50.254650259453598</v>
      </c>
      <c r="I76" s="114" t="str">
        <f>IF($A76="","",IFERROR(INDEX(Analitos!$Q$4:$Q$43,MATCH($A76,Analitos!$A$4:$A$43,0)),""))</f>
        <v>-</v>
      </c>
      <c r="J76" s="114" t="str">
        <f>IF($A76="","",IFERROR(IF($I76="VB",INDEX(Analitos!$T$4:$T$43,MATCH($A76,Analitos!$A$4:$A$43,0)),IF(INDEX(Analitos!$S$4:$S$43,MATCH($A76,Analitos!$A$4:$A$43,0))&lt;&gt;"",INDEX(Analitos!$S$4:$S$43,MATCH($A76,Analitos!$A$4:$A$43,0)),INDEX(Analitos!$T$4:$T$43,MATCH($A76,Analitos!$A$4:$A$43,0)))),""))</f>
        <v/>
      </c>
      <c r="K76" s="114" t="str">
        <f>IF($A76="","",IFERROR(INDEX(Analitos!$R$4:$R$43,MATCH($A76,Analitos!$A$4:$A$43,0)),""))</f>
        <v/>
      </c>
      <c r="L76" s="114" t="str">
        <f t="shared" si="7"/>
        <v/>
      </c>
      <c r="M76" s="114" t="str">
        <f>IF(NOT(ISNUMBER($L76)),"",mQualidade.ClassificarSigma($L76))</f>
        <v/>
      </c>
      <c r="N76" s="115" t="str">
        <f t="shared" si="8"/>
        <v/>
      </c>
      <c r="O76" s="116" t="str">
        <f t="shared" si="9"/>
        <v/>
      </c>
      <c r="P76" s="117" t="str">
        <f>IF(NOT(ISNUMBER($O76)),"",mQualidade.ClassificarMargem($O76))</f>
        <v/>
      </c>
      <c r="Q76" s="117" t="str">
        <f t="shared" si="10"/>
        <v/>
      </c>
      <c r="R76" s="117" t="str">
        <f>IF($A76="","",mCEQ.StatusSDIeq($A76,eqAnoEP,IFERROR(INDEX(Analitos!$AR$4:$AR$43,MATCH($A76,Analitos!$A$4:$A$43,0)),"CAP"),eqRodada))</f>
        <v>SEM EP</v>
      </c>
      <c r="S76" s="117" t="str">
        <f>IF($A76="","",mCEQ.StatusLimitesEQ($A76,eqAnoEP,IFERROR(INDEX(Analitos!$AR$4:$AR$43,MATCH($A76,Analitos!$A$4:$A$43,0)),"CAP"),eqRodada))</f>
        <v>SEM EP</v>
      </c>
      <c r="T76" s="116" t="str">
        <f>IF($A76="","",mCEQ.BiasEQ($A76,eqAnoEP,"SIGNED",IFERROR(INDEX(Analitos!$AR$4:$AR$43,MATCH($A76,Analitos!$A$4:$A$43,0)),"CAP"),eqRodada))</f>
        <v>SEM EP</v>
      </c>
      <c r="U76" s="117" t="str">
        <f>IF(OR($P76="ETp excedido",$P76="Margem critica"),COUNTIF($P$14:$P76,"ETp excedido")+COUNTIF($P$14:$P76,"Margem critica"),"")</f>
        <v/>
      </c>
      <c r="V76" s="118" t="str">
        <f>IF(NOT(ISNUMBER($L76)),"",mPlanoQC.DPMdoSigma($L76))</f>
        <v/>
      </c>
      <c r="W76" s="119" t="str">
        <f>IF(NOT(ISNUMBER($L76)),"",mPlanoQC.RendimentoDoSigma($L76))</f>
        <v/>
      </c>
      <c r="X76" s="117" t="str">
        <f>IF(NOT(ISNUMBER($L76)),"",mPlanoQC.PlanoQC($L76,"REGRAS"))</f>
        <v/>
      </c>
      <c r="Y76" s="120" t="str">
        <f>IF(NOT(ISNUMBER($L76)),"",mPlanoQC.PlanoQC($L76,"N"))</f>
        <v/>
      </c>
      <c r="Z76" s="121" t="str">
        <f>IF(NOT(ISNUMBER($L76)),"",mPlanoQC.PlanoQC($L76,"RUNSIZE"))</f>
        <v/>
      </c>
      <c r="AA76" s="117" t="str">
        <f>IF(NOT(ISNUMBER($L76)),"",mPlanoQC.CoberturaWestgard($L76))</f>
        <v/>
      </c>
      <c r="AB76" s="117" t="str">
        <f t="shared" si="11"/>
        <v>NRBC%|3</v>
      </c>
      <c r="AC76" s="120" t="str">
        <f>IF($A76="","",mCEQ.BiasEQ($A76,eqAnoEP,"N",IFERROR(INDEX(Analitos!$AR$4:$AR$43,MATCH($A76,Analitos!$A$4:$A$43,0)),"CAP"),eqRodada))</f>
        <v>SEM EP</v>
      </c>
      <c r="AD76" s="120" t="str">
        <f>IF($A76="","",mCEQ.BiasEQ($A76,eqAnoEP,"NRODADAS",IFERROR(INDEX(Analitos!$AR$4:$AR$43,MATCH($A76,Analitos!$A$4:$A$43,0)),"CAP"),eqRodada))</f>
        <v>SEM EP</v>
      </c>
    </row>
    <row r="77" spans="1:30" x14ac:dyDescent="0.3">
      <c r="A77" s="110" t="str">
        <f>Analitos!$A$25</f>
        <v>NRBC#</v>
      </c>
      <c r="B77" s="111">
        <v>1</v>
      </c>
      <c r="C77" s="112">
        <f>IF($A77="","",IF(INDEX(engEstat,ROW()-13,3)="","",INDEX(engEstat,ROW()-13,3)))</f>
        <v>25</v>
      </c>
      <c r="D77" s="113">
        <f>IF($A77="","",IF(INDEX(engEstat,ROW()-13,4)="","",INDEX(engEstat,ROW()-13,4)))</f>
        <v>0.14360800000000001</v>
      </c>
      <c r="E77" s="113">
        <f>IF($A77="","",IF(INDEX(engEstat,ROW()-13,5)="","",INDEX(engEstat,ROW()-13,5)))</f>
        <v>3.3061041020109053E-2</v>
      </c>
      <c r="F77" s="114">
        <f>IF($A77="","",IF(INDEX(engEstat,ROW()-13,6)="","",INDEX(engEstat,ROW()-13,6)))</f>
        <v>23.021726519489896</v>
      </c>
      <c r="G77" s="114">
        <f>IF($A77="","",mCEQ.BiasEQ($A77,eqAnoEP,"ABS",eqProvedor,eqRodada))</f>
        <v>43.300343224721566</v>
      </c>
      <c r="H77" s="114">
        <f t="shared" si="6"/>
        <v>81.286191981879881</v>
      </c>
      <c r="I77" s="114" t="str">
        <f>IF($A77="","",IFERROR(INDEX(Analitos!$Q$4:$Q$43,MATCH($A77,Analitos!$A$4:$A$43,0)),""))</f>
        <v>-</v>
      </c>
      <c r="J77" s="114" t="str">
        <f>IF($A77="","",IFERROR(IF($I77="VB",INDEX(Analitos!$T$4:$T$43,MATCH($A77,Analitos!$A$4:$A$43,0)),IF(INDEX(Analitos!$S$4:$S$43,MATCH($A77,Analitos!$A$4:$A$43,0))&lt;&gt;"",INDEX(Analitos!$S$4:$S$43,MATCH($A77,Analitos!$A$4:$A$43,0)),INDEX(Analitos!$T$4:$T$43,MATCH($A77,Analitos!$A$4:$A$43,0)))),""))</f>
        <v/>
      </c>
      <c r="K77" s="114" t="str">
        <f>IF($A77="","",IFERROR(INDEX(Analitos!$R$4:$R$43,MATCH($A77,Analitos!$A$4:$A$43,0)),""))</f>
        <v/>
      </c>
      <c r="L77" s="114" t="str">
        <f t="shared" si="7"/>
        <v/>
      </c>
      <c r="M77" s="114" t="str">
        <f>IF(NOT(ISNUMBER($L77)),"",mQualidade.ClassificarSigma($L77))</f>
        <v/>
      </c>
      <c r="N77" s="115" t="str">
        <f t="shared" si="8"/>
        <v/>
      </c>
      <c r="O77" s="116" t="str">
        <f t="shared" si="9"/>
        <v/>
      </c>
      <c r="P77" s="117" t="str">
        <f>IF(NOT(ISNUMBER($O77)),"",mQualidade.ClassificarMargem($O77))</f>
        <v/>
      </c>
      <c r="Q77" s="117" t="str">
        <f t="shared" si="10"/>
        <v/>
      </c>
      <c r="R77" s="117" t="str">
        <f>IF($A77="","",mCEQ.StatusSDIeq($A77,eqAnoEP,IFERROR(INDEX(Analitos!$AR$4:$AR$43,MATCH($A77,Analitos!$A$4:$A$43,0)),"CAP"),eqRodada))</f>
        <v>SEM EP</v>
      </c>
      <c r="S77" s="117" t="str">
        <f>IF($A77="","",mCEQ.StatusLimitesEQ($A77,eqAnoEP,IFERROR(INDEX(Analitos!$AR$4:$AR$43,MATCH($A77,Analitos!$A$4:$A$43,0)),"CAP"),eqRodada))</f>
        <v>SEM EP</v>
      </c>
      <c r="T77" s="116" t="str">
        <f>IF($A77="","",mCEQ.BiasEQ($A77,eqAnoEP,"SIGNED",IFERROR(INDEX(Analitos!$AR$4:$AR$43,MATCH($A77,Analitos!$A$4:$A$43,0)),"CAP"),eqRodada))</f>
        <v>SEM EP</v>
      </c>
      <c r="U77" s="117" t="str">
        <f>IF(OR($P77="ETp excedido",$P77="Margem critica"),COUNTIF($P$14:$P77,"ETp excedido")+COUNTIF($P$14:$P77,"Margem critica"),"")</f>
        <v/>
      </c>
      <c r="V77" s="118" t="str">
        <f>IF(NOT(ISNUMBER($L77)),"",mPlanoQC.DPMdoSigma($L77))</f>
        <v/>
      </c>
      <c r="W77" s="119" t="str">
        <f>IF(NOT(ISNUMBER($L77)),"",mPlanoQC.RendimentoDoSigma($L77))</f>
        <v/>
      </c>
      <c r="X77" s="117" t="str">
        <f>IF(NOT(ISNUMBER($L77)),"",mPlanoQC.PlanoQC($L77,"REGRAS"))</f>
        <v/>
      </c>
      <c r="Y77" s="120" t="str">
        <f>IF(NOT(ISNUMBER($L77)),"",mPlanoQC.PlanoQC($L77,"N"))</f>
        <v/>
      </c>
      <c r="Z77" s="121" t="str">
        <f>IF(NOT(ISNUMBER($L77)),"",mPlanoQC.PlanoQC($L77,"RUNSIZE"))</f>
        <v/>
      </c>
      <c r="AA77" s="117" t="str">
        <f>IF(NOT(ISNUMBER($L77)),"",mPlanoQC.CoberturaWestgard($L77))</f>
        <v/>
      </c>
      <c r="AB77" s="117" t="str">
        <f t="shared" si="11"/>
        <v>NRBC#|1</v>
      </c>
      <c r="AC77" s="120" t="str">
        <f>IF($A77="","",mCEQ.BiasEQ($A77,eqAnoEP,"N",IFERROR(INDEX(Analitos!$AR$4:$AR$43,MATCH($A77,Analitos!$A$4:$A$43,0)),"CAP"),eqRodada))</f>
        <v>SEM EP</v>
      </c>
      <c r="AD77" s="120" t="str">
        <f>IF($A77="","",mCEQ.BiasEQ($A77,eqAnoEP,"NRODADAS",IFERROR(INDEX(Analitos!$AR$4:$AR$43,MATCH($A77,Analitos!$A$4:$A$43,0)),"CAP"),eqRodada))</f>
        <v>SEM EP</v>
      </c>
    </row>
    <row r="78" spans="1:30" x14ac:dyDescent="0.3">
      <c r="A78" s="110" t="str">
        <f>Analitos!$A$25</f>
        <v>NRBC#</v>
      </c>
      <c r="B78" s="111">
        <v>2</v>
      </c>
      <c r="C78" s="112">
        <f>IF($A78="","",IF(INDEX(engEstat,ROW()-13,3)="","",INDEX(engEstat,ROW()-13,3)))</f>
        <v>25</v>
      </c>
      <c r="D78" s="113">
        <f>IF($A78="","",IF(INDEX(engEstat,ROW()-13,4)="","",INDEX(engEstat,ROW()-13,4)))</f>
        <v>0.41771199999999992</v>
      </c>
      <c r="E78" s="113">
        <f>IF($A78="","",IF(INDEX(engEstat,ROW()-13,5)="","",INDEX(engEstat,ROW()-13,5)))</f>
        <v>1.5328848619514772E-2</v>
      </c>
      <c r="F78" s="114">
        <f>IF($A78="","",IF(INDEX(engEstat,ROW()-13,6)="","",INDEX(engEstat,ROW()-13,6)))</f>
        <v>3.6697170824670526</v>
      </c>
      <c r="G78" s="114">
        <f>IF($A78="","",mCEQ.BiasEQ($A78,eqAnoEP,"ABS",eqProvedor,eqRodada))</f>
        <v>43.300343224721566</v>
      </c>
      <c r="H78" s="114">
        <f t="shared" ref="H78:H109" si="12">IF(OR(NOT(ISNUMBER($F78)),NOT(ISNUMBER($G78))),"",1.65*$F78+ABS($G78))</f>
        <v>49.355376410792204</v>
      </c>
      <c r="I78" s="114" t="str">
        <f>IF($A78="","",IFERROR(INDEX(Analitos!$Q$4:$Q$43,MATCH($A78,Analitos!$A$4:$A$43,0)),""))</f>
        <v>-</v>
      </c>
      <c r="J78" s="114" t="str">
        <f>IF($A78="","",IFERROR(IF($I78="VB",INDEX(Analitos!$T$4:$T$43,MATCH($A78,Analitos!$A$4:$A$43,0)),IF(INDEX(Analitos!$S$4:$S$43,MATCH($A78,Analitos!$A$4:$A$43,0))&lt;&gt;"",INDEX(Analitos!$S$4:$S$43,MATCH($A78,Analitos!$A$4:$A$43,0)),INDEX(Analitos!$T$4:$T$43,MATCH($A78,Analitos!$A$4:$A$43,0)))),""))</f>
        <v/>
      </c>
      <c r="K78" s="114" t="str">
        <f>IF($A78="","",IFERROR(INDEX(Analitos!$R$4:$R$43,MATCH($A78,Analitos!$A$4:$A$43,0)),""))</f>
        <v/>
      </c>
      <c r="L78" s="114" t="str">
        <f t="shared" ref="L78:L109" si="13">IF(OR(NOT(ISNUMBER($F78)),$F78=0,NOT(ISNUMBER($G78)),NOT(ISNUMBER($K78))),"",($K78-ABS($G78))/$F78)</f>
        <v/>
      </c>
      <c r="M78" s="114" t="str">
        <f>IF(NOT(ISNUMBER($L78)),"",mQualidade.ClassificarSigma($L78))</f>
        <v/>
      </c>
      <c r="N78" s="115" t="str">
        <f t="shared" ref="N78:N109" si="14">IF(OR(NOT(ISNUMBER($K78)),NOT(ISNUMBER($H78))),"",$K78-$H78)</f>
        <v/>
      </c>
      <c r="O78" s="116" t="str">
        <f t="shared" ref="O78:O109" si="15">IF(OR(NOT(ISNUMBER($N78)),NOT(ISNUMBER($K78)),$K78=0),"",$N78/$K78*100)</f>
        <v/>
      </c>
      <c r="P78" s="117" t="str">
        <f>IF(NOT(ISNUMBER($O78)),"",mQualidade.ClassificarMargem($O78))</f>
        <v/>
      </c>
      <c r="Q78" s="117" t="str">
        <f t="shared" ref="Q78:Q109" si="16">IF(OR(NOT(ISNUMBER($F78)),NOT(ISNUMBER($J78))),"",IF($F78&lt;=$J78,"OK","CV acima da meta"))</f>
        <v/>
      </c>
      <c r="R78" s="117" t="str">
        <f>IF($A78="","",mCEQ.StatusSDIeq($A78,eqAnoEP,IFERROR(INDEX(Analitos!$AR$4:$AR$43,MATCH($A78,Analitos!$A$4:$A$43,0)),"CAP"),eqRodada))</f>
        <v>SEM EP</v>
      </c>
      <c r="S78" s="117" t="str">
        <f>IF($A78="","",mCEQ.StatusLimitesEQ($A78,eqAnoEP,IFERROR(INDEX(Analitos!$AR$4:$AR$43,MATCH($A78,Analitos!$A$4:$A$43,0)),"CAP"),eqRodada))</f>
        <v>SEM EP</v>
      </c>
      <c r="T78" s="116" t="str">
        <f>IF($A78="","",mCEQ.BiasEQ($A78,eqAnoEP,"SIGNED",IFERROR(INDEX(Analitos!$AR$4:$AR$43,MATCH($A78,Analitos!$A$4:$A$43,0)),"CAP"),eqRodada))</f>
        <v>SEM EP</v>
      </c>
      <c r="U78" s="117" t="str">
        <f>IF(OR($P78="ETp excedido",$P78="Margem critica"),COUNTIF($P$14:$P78,"ETp excedido")+COUNTIF($P$14:$P78,"Margem critica"),"")</f>
        <v/>
      </c>
      <c r="V78" s="118" t="str">
        <f>IF(NOT(ISNUMBER($L78)),"",mPlanoQC.DPMdoSigma($L78))</f>
        <v/>
      </c>
      <c r="W78" s="119" t="str">
        <f>IF(NOT(ISNUMBER($L78)),"",mPlanoQC.RendimentoDoSigma($L78))</f>
        <v/>
      </c>
      <c r="X78" s="117" t="str">
        <f>IF(NOT(ISNUMBER($L78)),"",mPlanoQC.PlanoQC($L78,"REGRAS"))</f>
        <v/>
      </c>
      <c r="Y78" s="120" t="str">
        <f>IF(NOT(ISNUMBER($L78)),"",mPlanoQC.PlanoQC($L78,"N"))</f>
        <v/>
      </c>
      <c r="Z78" s="121" t="str">
        <f>IF(NOT(ISNUMBER($L78)),"",mPlanoQC.PlanoQC($L78,"RUNSIZE"))</f>
        <v/>
      </c>
      <c r="AA78" s="117" t="str">
        <f>IF(NOT(ISNUMBER($L78)),"",mPlanoQC.CoberturaWestgard($L78))</f>
        <v/>
      </c>
      <c r="AB78" s="117" t="str">
        <f t="shared" ref="AB78:AB109" si="17">IF($A78="","",$A78&amp;"|"&amp;$B78)</f>
        <v>NRBC#|2</v>
      </c>
      <c r="AC78" s="120" t="str">
        <f>IF($A78="","",mCEQ.BiasEQ($A78,eqAnoEP,"N",IFERROR(INDEX(Analitos!$AR$4:$AR$43,MATCH($A78,Analitos!$A$4:$A$43,0)),"CAP"),eqRodada))</f>
        <v>SEM EP</v>
      </c>
      <c r="AD78" s="120" t="str">
        <f>IF($A78="","",mCEQ.BiasEQ($A78,eqAnoEP,"NRODADAS",IFERROR(INDEX(Analitos!$AR$4:$AR$43,MATCH($A78,Analitos!$A$4:$A$43,0)),"CAP"),eqRodada))</f>
        <v>SEM EP</v>
      </c>
    </row>
    <row r="79" spans="1:30" x14ac:dyDescent="0.3">
      <c r="A79" s="110" t="str">
        <f>Analitos!$A$25</f>
        <v>NRBC#</v>
      </c>
      <c r="B79" s="111">
        <v>3</v>
      </c>
      <c r="C79" s="112">
        <f>IF($A79="","",IF(INDEX(engEstat,ROW()-13,3)="","",INDEX(engEstat,ROW()-13,3)))</f>
        <v>25</v>
      </c>
      <c r="D79" s="113">
        <f>IF($A79="","",IF(INDEX(engEstat,ROW()-13,4)="","",INDEX(engEstat,ROW()-13,4)))</f>
        <v>1.0887040000000001</v>
      </c>
      <c r="E79" s="113">
        <f>IF($A79="","",IF(INDEX(engEstat,ROW()-13,5)="","",INDEX(engEstat,ROW()-13,5)))</f>
        <v>3.115325665159261E-2</v>
      </c>
      <c r="F79" s="114">
        <f>IF($A79="","",IF(INDEX(engEstat,ROW()-13,6)="","",INDEX(engEstat,ROW()-13,6)))</f>
        <v>2.8614992368534153</v>
      </c>
      <c r="G79" s="114">
        <f>IF($A79="","",mCEQ.BiasEQ($A79,eqAnoEP,"ABS",eqProvedor,eqRodada))</f>
        <v>43.300343224721566</v>
      </c>
      <c r="H79" s="114">
        <f t="shared" si="12"/>
        <v>48.021816965529702</v>
      </c>
      <c r="I79" s="114" t="str">
        <f>IF($A79="","",IFERROR(INDEX(Analitos!$Q$4:$Q$43,MATCH($A79,Analitos!$A$4:$A$43,0)),""))</f>
        <v>-</v>
      </c>
      <c r="J79" s="114" t="str">
        <f>IF($A79="","",IFERROR(IF($I79="VB",INDEX(Analitos!$T$4:$T$43,MATCH($A79,Analitos!$A$4:$A$43,0)),IF(INDEX(Analitos!$S$4:$S$43,MATCH($A79,Analitos!$A$4:$A$43,0))&lt;&gt;"",INDEX(Analitos!$S$4:$S$43,MATCH($A79,Analitos!$A$4:$A$43,0)),INDEX(Analitos!$T$4:$T$43,MATCH($A79,Analitos!$A$4:$A$43,0)))),""))</f>
        <v/>
      </c>
      <c r="K79" s="114" t="str">
        <f>IF($A79="","",IFERROR(INDEX(Analitos!$R$4:$R$43,MATCH($A79,Analitos!$A$4:$A$43,0)),""))</f>
        <v/>
      </c>
      <c r="L79" s="114" t="str">
        <f t="shared" si="13"/>
        <v/>
      </c>
      <c r="M79" s="114" t="str">
        <f>IF(NOT(ISNUMBER($L79)),"",mQualidade.ClassificarSigma($L79))</f>
        <v/>
      </c>
      <c r="N79" s="115" t="str">
        <f t="shared" si="14"/>
        <v/>
      </c>
      <c r="O79" s="116" t="str">
        <f t="shared" si="15"/>
        <v/>
      </c>
      <c r="P79" s="117" t="str">
        <f>IF(NOT(ISNUMBER($O79)),"",mQualidade.ClassificarMargem($O79))</f>
        <v/>
      </c>
      <c r="Q79" s="117" t="str">
        <f t="shared" si="16"/>
        <v/>
      </c>
      <c r="R79" s="117" t="str">
        <f>IF($A79="","",mCEQ.StatusSDIeq($A79,eqAnoEP,IFERROR(INDEX(Analitos!$AR$4:$AR$43,MATCH($A79,Analitos!$A$4:$A$43,0)),"CAP"),eqRodada))</f>
        <v>SEM EP</v>
      </c>
      <c r="S79" s="117" t="str">
        <f>IF($A79="","",mCEQ.StatusLimitesEQ($A79,eqAnoEP,IFERROR(INDEX(Analitos!$AR$4:$AR$43,MATCH($A79,Analitos!$A$4:$A$43,0)),"CAP"),eqRodada))</f>
        <v>SEM EP</v>
      </c>
      <c r="T79" s="116" t="str">
        <f>IF($A79="","",mCEQ.BiasEQ($A79,eqAnoEP,"SIGNED",IFERROR(INDEX(Analitos!$AR$4:$AR$43,MATCH($A79,Analitos!$A$4:$A$43,0)),"CAP"),eqRodada))</f>
        <v>SEM EP</v>
      </c>
      <c r="U79" s="117" t="str">
        <f>IF(OR($P79="ETp excedido",$P79="Margem critica"),COUNTIF($P$14:$P79,"ETp excedido")+COUNTIF($P$14:$P79,"Margem critica"),"")</f>
        <v/>
      </c>
      <c r="V79" s="118" t="str">
        <f>IF(NOT(ISNUMBER($L79)),"",mPlanoQC.DPMdoSigma($L79))</f>
        <v/>
      </c>
      <c r="W79" s="119" t="str">
        <f>IF(NOT(ISNUMBER($L79)),"",mPlanoQC.RendimentoDoSigma($L79))</f>
        <v/>
      </c>
      <c r="X79" s="117" t="str">
        <f>IF(NOT(ISNUMBER($L79)),"",mPlanoQC.PlanoQC($L79,"REGRAS"))</f>
        <v/>
      </c>
      <c r="Y79" s="120" t="str">
        <f>IF(NOT(ISNUMBER($L79)),"",mPlanoQC.PlanoQC($L79,"N"))</f>
        <v/>
      </c>
      <c r="Z79" s="121" t="str">
        <f>IF(NOT(ISNUMBER($L79)),"",mPlanoQC.PlanoQC($L79,"RUNSIZE"))</f>
        <v/>
      </c>
      <c r="AA79" s="117" t="str">
        <f>IF(NOT(ISNUMBER($L79)),"",mPlanoQC.CoberturaWestgard($L79))</f>
        <v/>
      </c>
      <c r="AB79" s="117" t="str">
        <f t="shared" si="17"/>
        <v>NRBC#|3</v>
      </c>
      <c r="AC79" s="120" t="str">
        <f>IF($A79="","",mCEQ.BiasEQ($A79,eqAnoEP,"N",IFERROR(INDEX(Analitos!$AR$4:$AR$43,MATCH($A79,Analitos!$A$4:$A$43,0)),"CAP"),eqRodada))</f>
        <v>SEM EP</v>
      </c>
      <c r="AD79" s="120" t="str">
        <f>IF($A79="","",mCEQ.BiasEQ($A79,eqAnoEP,"NRODADAS",IFERROR(INDEX(Analitos!$AR$4:$AR$43,MATCH($A79,Analitos!$A$4:$A$43,0)),"CAP"),eqRodada))</f>
        <v>SEM EP</v>
      </c>
    </row>
    <row r="80" spans="1:30" x14ac:dyDescent="0.3">
      <c r="A80" s="110" t="str">
        <f>Analitos!$A$26</f>
        <v>RDW-SD</v>
      </c>
      <c r="B80" s="111">
        <v>1</v>
      </c>
      <c r="C80" s="112">
        <f>IF($A80="","",IF(INDEX(engEstat,ROW()-13,3)="","",INDEX(engEstat,ROW()-13,3)))</f>
        <v>25</v>
      </c>
      <c r="D80" s="113">
        <f>IF($A80="","",IF(INDEX(engEstat,ROW()-13,4)="","",INDEX(engEstat,ROW()-13,4)))</f>
        <v>49.839127999999988</v>
      </c>
      <c r="E80" s="113">
        <f>IF($A80="","",IF(INDEX(engEstat,ROW()-13,5)="","",INDEX(engEstat,ROW()-13,5)))</f>
        <v>0.57875046617691783</v>
      </c>
      <c r="F80" s="114">
        <f>IF($A80="","",IF(INDEX(engEstat,ROW()-13,6)="","",INDEX(engEstat,ROW()-13,6)))</f>
        <v>1.1612371431878141</v>
      </c>
      <c r="G80" s="114" t="str">
        <f>IF($A80="","",mCEQ.BiasEQ($A80,eqAnoEP,"ABS",eqProvedor,eqRodada))</f>
        <v>SEM EP</v>
      </c>
      <c r="H80" s="114" t="str">
        <f t="shared" si="12"/>
        <v/>
      </c>
      <c r="I80" s="114" t="str">
        <f>IF($A80="","",IFERROR(INDEX(Analitos!$Q$4:$Q$43,MATCH($A80,Analitos!$A$4:$A$43,0)),""))</f>
        <v>VB</v>
      </c>
      <c r="J80" s="114">
        <f>IF($A80="","",IFERROR(IF($I80="VB",INDEX(Analitos!$T$4:$T$43,MATCH($A80,Analitos!$A$4:$A$43,0)),IF(INDEX(Analitos!$S$4:$S$43,MATCH($A80,Analitos!$A$4:$A$43,0))&lt;&gt;"",INDEX(Analitos!$S$4:$S$43,MATCH($A80,Analitos!$A$4:$A$43,0)),INDEX(Analitos!$T$4:$T$43,MATCH($A80,Analitos!$A$4:$A$43,0)))),""))</f>
        <v>1.2000000000000002</v>
      </c>
      <c r="K80" s="114">
        <f>IF($A80="","",IFERROR(INDEX(Analitos!$R$4:$R$43,MATCH($A80,Analitos!$A$4:$A$43,0)),""))</f>
        <v>3.6654153790683175</v>
      </c>
      <c r="L80" s="114" t="str">
        <f t="shared" si="13"/>
        <v/>
      </c>
      <c r="M80" s="114" t="str">
        <f>IF(NOT(ISNUMBER($L80)),"",mQualidade.ClassificarSigma($L80))</f>
        <v/>
      </c>
      <c r="N80" s="115" t="str">
        <f t="shared" si="14"/>
        <v/>
      </c>
      <c r="O80" s="116" t="str">
        <f t="shared" si="15"/>
        <v/>
      </c>
      <c r="P80" s="117" t="str">
        <f>IF(NOT(ISNUMBER($O80)),"",mQualidade.ClassificarMargem($O80))</f>
        <v/>
      </c>
      <c r="Q80" s="117" t="str">
        <f t="shared" si="16"/>
        <v>OK</v>
      </c>
      <c r="R80" s="117" t="str">
        <f>IF($A80="","",mCEQ.StatusSDIeq($A80,eqAnoEP,IFERROR(INDEX(Analitos!$AR$4:$AR$43,MATCH($A80,Analitos!$A$4:$A$43,0)),"CAP"),eqRodada))</f>
        <v>SEM EP</v>
      </c>
      <c r="S80" s="117" t="str">
        <f>IF($A80="","",mCEQ.StatusLimitesEQ($A80,eqAnoEP,IFERROR(INDEX(Analitos!$AR$4:$AR$43,MATCH($A80,Analitos!$A$4:$A$43,0)),"CAP"),eqRodada))</f>
        <v>SEM EP</v>
      </c>
      <c r="T80" s="116" t="str">
        <f>IF($A80="","",mCEQ.BiasEQ($A80,eqAnoEP,"SIGNED",IFERROR(INDEX(Analitos!$AR$4:$AR$43,MATCH($A80,Analitos!$A$4:$A$43,0)),"CAP"),eqRodada))</f>
        <v>SEM EP</v>
      </c>
      <c r="U80" s="117" t="str">
        <f>IF(OR($P80="ETp excedido",$P80="Margem critica"),COUNTIF($P$14:$P80,"ETp excedido")+COUNTIF($P$14:$P80,"Margem critica"),"")</f>
        <v/>
      </c>
      <c r="V80" s="118" t="str">
        <f>IF(NOT(ISNUMBER($L80)),"",mPlanoQC.DPMdoSigma($L80))</f>
        <v/>
      </c>
      <c r="W80" s="119" t="str">
        <f>IF(NOT(ISNUMBER($L80)),"",mPlanoQC.RendimentoDoSigma($L80))</f>
        <v/>
      </c>
      <c r="X80" s="117" t="str">
        <f>IF(NOT(ISNUMBER($L80)),"",mPlanoQC.PlanoQC($L80,"REGRAS"))</f>
        <v/>
      </c>
      <c r="Y80" s="120" t="str">
        <f>IF(NOT(ISNUMBER($L80)),"",mPlanoQC.PlanoQC($L80,"N"))</f>
        <v/>
      </c>
      <c r="Z80" s="121" t="str">
        <f>IF(NOT(ISNUMBER($L80)),"",mPlanoQC.PlanoQC($L80,"RUNSIZE"))</f>
        <v/>
      </c>
      <c r="AA80" s="117" t="str">
        <f>IF(NOT(ISNUMBER($L80)),"",mPlanoQC.CoberturaWestgard($L80))</f>
        <v/>
      </c>
      <c r="AB80" s="117" t="str">
        <f t="shared" si="17"/>
        <v>RDW-SD|1</v>
      </c>
      <c r="AC80" s="120" t="str">
        <f>IF($A80="","",mCEQ.BiasEQ($A80,eqAnoEP,"N",IFERROR(INDEX(Analitos!$AR$4:$AR$43,MATCH($A80,Analitos!$A$4:$A$43,0)),"CAP"),eqRodada))</f>
        <v>SEM EP</v>
      </c>
      <c r="AD80" s="120" t="str">
        <f>IF($A80="","",mCEQ.BiasEQ($A80,eqAnoEP,"NRODADAS",IFERROR(INDEX(Analitos!$AR$4:$AR$43,MATCH($A80,Analitos!$A$4:$A$43,0)),"CAP"),eqRodada))</f>
        <v>SEM EP</v>
      </c>
    </row>
    <row r="81" spans="1:30" x14ac:dyDescent="0.3">
      <c r="A81" s="110" t="str">
        <f>Analitos!$A$26</f>
        <v>RDW-SD</v>
      </c>
      <c r="B81" s="111">
        <v>2</v>
      </c>
      <c r="C81" s="112">
        <f>IF($A81="","",IF(INDEX(engEstat,ROW()-13,3)="","",INDEX(engEstat,ROW()-13,3)))</f>
        <v>25</v>
      </c>
      <c r="D81" s="113">
        <f>IF($A81="","",IF(INDEX(engEstat,ROW()-13,4)="","",INDEX(engEstat,ROW()-13,4)))</f>
        <v>14.800632000000002</v>
      </c>
      <c r="E81" s="113">
        <f>IF($A81="","",IF(INDEX(engEstat,ROW()-13,5)="","",INDEX(engEstat,ROW()-13,5)))</f>
        <v>7.9774811814256455E-2</v>
      </c>
      <c r="F81" s="114">
        <f>IF($A81="","",IF(INDEX(engEstat,ROW()-13,6)="","",INDEX(engEstat,ROW()-13,6)))</f>
        <v>0.53899598215979183</v>
      </c>
      <c r="G81" s="114" t="str">
        <f>IF($A81="","",mCEQ.BiasEQ($A81,eqAnoEP,"ABS",eqProvedor,eqRodada))</f>
        <v>SEM EP</v>
      </c>
      <c r="H81" s="114" t="str">
        <f t="shared" si="12"/>
        <v/>
      </c>
      <c r="I81" s="114" t="str">
        <f>IF($A81="","",IFERROR(INDEX(Analitos!$Q$4:$Q$43,MATCH($A81,Analitos!$A$4:$A$43,0)),""))</f>
        <v>VB</v>
      </c>
      <c r="J81" s="114">
        <f>IF($A81="","",IFERROR(IF($I81="VB",INDEX(Analitos!$T$4:$T$43,MATCH($A81,Analitos!$A$4:$A$43,0)),IF(INDEX(Analitos!$S$4:$S$43,MATCH($A81,Analitos!$A$4:$A$43,0))&lt;&gt;"",INDEX(Analitos!$S$4:$S$43,MATCH($A81,Analitos!$A$4:$A$43,0)),INDEX(Analitos!$T$4:$T$43,MATCH($A81,Analitos!$A$4:$A$43,0)))),""))</f>
        <v>1.2000000000000002</v>
      </c>
      <c r="K81" s="114">
        <f>IF($A81="","",IFERROR(INDEX(Analitos!$R$4:$R$43,MATCH($A81,Analitos!$A$4:$A$43,0)),""))</f>
        <v>3.6654153790683175</v>
      </c>
      <c r="L81" s="114" t="str">
        <f t="shared" si="13"/>
        <v/>
      </c>
      <c r="M81" s="114" t="str">
        <f>IF(NOT(ISNUMBER($L81)),"",mQualidade.ClassificarSigma($L81))</f>
        <v/>
      </c>
      <c r="N81" s="115" t="str">
        <f t="shared" si="14"/>
        <v/>
      </c>
      <c r="O81" s="116" t="str">
        <f t="shared" si="15"/>
        <v/>
      </c>
      <c r="P81" s="117" t="str">
        <f>IF(NOT(ISNUMBER($O81)),"",mQualidade.ClassificarMargem($O81))</f>
        <v/>
      </c>
      <c r="Q81" s="117" t="str">
        <f t="shared" si="16"/>
        <v>OK</v>
      </c>
      <c r="R81" s="117" t="str">
        <f>IF($A81="","",mCEQ.StatusSDIeq($A81,eqAnoEP,IFERROR(INDEX(Analitos!$AR$4:$AR$43,MATCH($A81,Analitos!$A$4:$A$43,0)),"CAP"),eqRodada))</f>
        <v>SEM EP</v>
      </c>
      <c r="S81" s="117" t="str">
        <f>IF($A81="","",mCEQ.StatusLimitesEQ($A81,eqAnoEP,IFERROR(INDEX(Analitos!$AR$4:$AR$43,MATCH($A81,Analitos!$A$4:$A$43,0)),"CAP"),eqRodada))</f>
        <v>SEM EP</v>
      </c>
      <c r="T81" s="116" t="str">
        <f>IF($A81="","",mCEQ.BiasEQ($A81,eqAnoEP,"SIGNED",IFERROR(INDEX(Analitos!$AR$4:$AR$43,MATCH($A81,Analitos!$A$4:$A$43,0)),"CAP"),eqRodada))</f>
        <v>SEM EP</v>
      </c>
      <c r="U81" s="117" t="str">
        <f>IF(OR($P81="ETp excedido",$P81="Margem critica"),COUNTIF($P$14:$P81,"ETp excedido")+COUNTIF($P$14:$P81,"Margem critica"),"")</f>
        <v/>
      </c>
      <c r="V81" s="118" t="str">
        <f>IF(NOT(ISNUMBER($L81)),"",mPlanoQC.DPMdoSigma($L81))</f>
        <v/>
      </c>
      <c r="W81" s="119" t="str">
        <f>IF(NOT(ISNUMBER($L81)),"",mPlanoQC.RendimentoDoSigma($L81))</f>
        <v/>
      </c>
      <c r="X81" s="117" t="str">
        <f>IF(NOT(ISNUMBER($L81)),"",mPlanoQC.PlanoQC($L81,"REGRAS"))</f>
        <v/>
      </c>
      <c r="Y81" s="120" t="str">
        <f>IF(NOT(ISNUMBER($L81)),"",mPlanoQC.PlanoQC($L81,"N"))</f>
        <v/>
      </c>
      <c r="Z81" s="121" t="str">
        <f>IF(NOT(ISNUMBER($L81)),"",mPlanoQC.PlanoQC($L81,"RUNSIZE"))</f>
        <v/>
      </c>
      <c r="AA81" s="117" t="str">
        <f>IF(NOT(ISNUMBER($L81)),"",mPlanoQC.CoberturaWestgard($L81))</f>
        <v/>
      </c>
      <c r="AB81" s="117" t="str">
        <f t="shared" si="17"/>
        <v>RDW-SD|2</v>
      </c>
      <c r="AC81" s="120" t="str">
        <f>IF($A81="","",mCEQ.BiasEQ($A81,eqAnoEP,"N",IFERROR(INDEX(Analitos!$AR$4:$AR$43,MATCH($A81,Analitos!$A$4:$A$43,0)),"CAP"),eqRodada))</f>
        <v>SEM EP</v>
      </c>
      <c r="AD81" s="120" t="str">
        <f>IF($A81="","",mCEQ.BiasEQ($A81,eqAnoEP,"NRODADAS",IFERROR(INDEX(Analitos!$AR$4:$AR$43,MATCH($A81,Analitos!$A$4:$A$43,0)),"CAP"),eqRodada))</f>
        <v>SEM EP</v>
      </c>
    </row>
    <row r="82" spans="1:30" x14ac:dyDescent="0.3">
      <c r="A82" s="110" t="str">
        <f>Analitos!$A$26</f>
        <v>RDW-SD</v>
      </c>
      <c r="B82" s="111">
        <v>3</v>
      </c>
      <c r="C82" s="112">
        <f>IF($A82="","",IF(INDEX(engEstat,ROW()-13,3)="","",INDEX(engEstat,ROW()-13,3)))</f>
        <v>25</v>
      </c>
      <c r="D82" s="113">
        <f>IF($A82="","",IF(INDEX(engEstat,ROW()-13,4)="","",INDEX(engEstat,ROW()-13,4)))</f>
        <v>47.319515999999993</v>
      </c>
      <c r="E82" s="113">
        <f>IF($A82="","",IF(INDEX(engEstat,ROW()-13,5)="","",INDEX(engEstat,ROW()-13,5)))</f>
        <v>0.56263412229144638</v>
      </c>
      <c r="F82" s="114">
        <f>IF($A82="","",IF(INDEX(engEstat,ROW()-13,6)="","",INDEX(engEstat,ROW()-13,6)))</f>
        <v>1.1890107292970757</v>
      </c>
      <c r="G82" s="114" t="str">
        <f>IF($A82="","",mCEQ.BiasEQ($A82,eqAnoEP,"ABS",eqProvedor,eqRodada))</f>
        <v>SEM EP</v>
      </c>
      <c r="H82" s="114" t="str">
        <f t="shared" si="12"/>
        <v/>
      </c>
      <c r="I82" s="114" t="str">
        <f>IF($A82="","",IFERROR(INDEX(Analitos!$Q$4:$Q$43,MATCH($A82,Analitos!$A$4:$A$43,0)),""))</f>
        <v>VB</v>
      </c>
      <c r="J82" s="114">
        <f>IF($A82="","",IFERROR(IF($I82="VB",INDEX(Analitos!$T$4:$T$43,MATCH($A82,Analitos!$A$4:$A$43,0)),IF(INDEX(Analitos!$S$4:$S$43,MATCH($A82,Analitos!$A$4:$A$43,0))&lt;&gt;"",INDEX(Analitos!$S$4:$S$43,MATCH($A82,Analitos!$A$4:$A$43,0)),INDEX(Analitos!$T$4:$T$43,MATCH($A82,Analitos!$A$4:$A$43,0)))),""))</f>
        <v>1.2000000000000002</v>
      </c>
      <c r="K82" s="114">
        <f>IF($A82="","",IFERROR(INDEX(Analitos!$R$4:$R$43,MATCH($A82,Analitos!$A$4:$A$43,0)),""))</f>
        <v>3.6654153790683175</v>
      </c>
      <c r="L82" s="114" t="str">
        <f t="shared" si="13"/>
        <v/>
      </c>
      <c r="M82" s="114" t="str">
        <f>IF(NOT(ISNUMBER($L82)),"",mQualidade.ClassificarSigma($L82))</f>
        <v/>
      </c>
      <c r="N82" s="115" t="str">
        <f t="shared" si="14"/>
        <v/>
      </c>
      <c r="O82" s="116" t="str">
        <f t="shared" si="15"/>
        <v/>
      </c>
      <c r="P82" s="117" t="str">
        <f>IF(NOT(ISNUMBER($O82)),"",mQualidade.ClassificarMargem($O82))</f>
        <v/>
      </c>
      <c r="Q82" s="117" t="str">
        <f t="shared" si="16"/>
        <v>OK</v>
      </c>
      <c r="R82" s="117" t="str">
        <f>IF($A82="","",mCEQ.StatusSDIeq($A82,eqAnoEP,IFERROR(INDEX(Analitos!$AR$4:$AR$43,MATCH($A82,Analitos!$A$4:$A$43,0)),"CAP"),eqRodada))</f>
        <v>SEM EP</v>
      </c>
      <c r="S82" s="117" t="str">
        <f>IF($A82="","",mCEQ.StatusLimitesEQ($A82,eqAnoEP,IFERROR(INDEX(Analitos!$AR$4:$AR$43,MATCH($A82,Analitos!$A$4:$A$43,0)),"CAP"),eqRodada))</f>
        <v>SEM EP</v>
      </c>
      <c r="T82" s="116" t="str">
        <f>IF($A82="","",mCEQ.BiasEQ($A82,eqAnoEP,"SIGNED",IFERROR(INDEX(Analitos!$AR$4:$AR$43,MATCH($A82,Analitos!$A$4:$A$43,0)),"CAP"),eqRodada))</f>
        <v>SEM EP</v>
      </c>
      <c r="U82" s="117" t="str">
        <f>IF(OR($P82="ETp excedido",$P82="Margem critica"),COUNTIF($P$14:$P82,"ETp excedido")+COUNTIF($P$14:$P82,"Margem critica"),"")</f>
        <v/>
      </c>
      <c r="V82" s="118" t="str">
        <f>IF(NOT(ISNUMBER($L82)),"",mPlanoQC.DPMdoSigma($L82))</f>
        <v/>
      </c>
      <c r="W82" s="119" t="str">
        <f>IF(NOT(ISNUMBER($L82)),"",mPlanoQC.RendimentoDoSigma($L82))</f>
        <v/>
      </c>
      <c r="X82" s="117" t="str">
        <f>IF(NOT(ISNUMBER($L82)),"",mPlanoQC.PlanoQC($L82,"REGRAS"))</f>
        <v/>
      </c>
      <c r="Y82" s="120" t="str">
        <f>IF(NOT(ISNUMBER($L82)),"",mPlanoQC.PlanoQC($L82,"N"))</f>
        <v/>
      </c>
      <c r="Z82" s="121" t="str">
        <f>IF(NOT(ISNUMBER($L82)),"",mPlanoQC.PlanoQC($L82,"RUNSIZE"))</f>
        <v/>
      </c>
      <c r="AA82" s="117" t="str">
        <f>IF(NOT(ISNUMBER($L82)),"",mPlanoQC.CoberturaWestgard($L82))</f>
        <v/>
      </c>
      <c r="AB82" s="117" t="str">
        <f t="shared" si="17"/>
        <v>RDW-SD|3</v>
      </c>
      <c r="AC82" s="120" t="str">
        <f>IF($A82="","",mCEQ.BiasEQ($A82,eqAnoEP,"N",IFERROR(INDEX(Analitos!$AR$4:$AR$43,MATCH($A82,Analitos!$A$4:$A$43,0)),"CAP"),eqRodada))</f>
        <v>SEM EP</v>
      </c>
      <c r="AD82" s="120" t="str">
        <f>IF($A82="","",mCEQ.BiasEQ($A82,eqAnoEP,"NRODADAS",IFERROR(INDEX(Analitos!$AR$4:$AR$43,MATCH($A82,Analitos!$A$4:$A$43,0)),"CAP"),eqRodada))</f>
        <v>SEM EP</v>
      </c>
    </row>
    <row r="83" spans="1:30" x14ac:dyDescent="0.3">
      <c r="A83" s="110" t="str">
        <f>Analitos!$A$27</f>
        <v>RDW-CV</v>
      </c>
      <c r="B83" s="111">
        <v>1</v>
      </c>
      <c r="C83" s="112">
        <f>IF($A83="","",IF(INDEX(engEstat,ROW()-13,3)="","",INDEX(engEstat,ROW()-13,3)))</f>
        <v>25</v>
      </c>
      <c r="D83" s="113">
        <f>IF($A83="","",IF(INDEX(engEstat,ROW()-13,4)="","",INDEX(engEstat,ROW()-13,4)))</f>
        <v>19.490500000000004</v>
      </c>
      <c r="E83" s="113">
        <f>IF($A83="","",IF(INDEX(engEstat,ROW()-13,5)="","",INDEX(engEstat,ROW()-13,5)))</f>
        <v>0.15752848684179865</v>
      </c>
      <c r="F83" s="114">
        <f>IF($A83="","",IF(INDEX(engEstat,ROW()-13,6)="","",INDEX(engEstat,ROW()-13,6)))</f>
        <v>0.80823214818398004</v>
      </c>
      <c r="G83" s="114">
        <f>IF($A83="","",mCEQ.BiasEQ($A83,eqAnoEP,"ABS",eqProvedor,eqRodada))</f>
        <v>1.0230825608704939</v>
      </c>
      <c r="H83" s="114">
        <f t="shared" si="12"/>
        <v>2.3566656053740607</v>
      </c>
      <c r="I83" s="114" t="str">
        <f>IF($A83="","",IFERROR(INDEX(Analitos!$Q$4:$Q$43,MATCH($A83,Analitos!$A$4:$A$43,0)),""))</f>
        <v>-</v>
      </c>
      <c r="J83" s="114" t="str">
        <f>IF($A83="","",IFERROR(IF($I83="VB",INDEX(Analitos!$T$4:$T$43,MATCH($A83,Analitos!$A$4:$A$43,0)),IF(INDEX(Analitos!$S$4:$S$43,MATCH($A83,Analitos!$A$4:$A$43,0))&lt;&gt;"",INDEX(Analitos!$S$4:$S$43,MATCH($A83,Analitos!$A$4:$A$43,0)),INDEX(Analitos!$T$4:$T$43,MATCH($A83,Analitos!$A$4:$A$43,0)))),""))</f>
        <v/>
      </c>
      <c r="K83" s="114" t="str">
        <f>IF($A83="","",IFERROR(INDEX(Analitos!$R$4:$R$43,MATCH($A83,Analitos!$A$4:$A$43,0)),""))</f>
        <v/>
      </c>
      <c r="L83" s="114" t="str">
        <f t="shared" si="13"/>
        <v/>
      </c>
      <c r="M83" s="114" t="str">
        <f>IF(NOT(ISNUMBER($L83)),"",mQualidade.ClassificarSigma($L83))</f>
        <v/>
      </c>
      <c r="N83" s="115" t="str">
        <f t="shared" si="14"/>
        <v/>
      </c>
      <c r="O83" s="116" t="str">
        <f t="shared" si="15"/>
        <v/>
      </c>
      <c r="P83" s="117" t="str">
        <f>IF(NOT(ISNUMBER($O83)),"",mQualidade.ClassificarMargem($O83))</f>
        <v/>
      </c>
      <c r="Q83" s="117" t="str">
        <f t="shared" si="16"/>
        <v/>
      </c>
      <c r="R83" s="117" t="str">
        <f>IF($A83="","",mCEQ.StatusSDIeq($A83,eqAnoEP,IFERROR(INDEX(Analitos!$AR$4:$AR$43,MATCH($A83,Analitos!$A$4:$A$43,0)),"CAP"),eqRodada))</f>
        <v>SEM EP</v>
      </c>
      <c r="S83" s="117" t="str">
        <f>IF($A83="","",mCEQ.StatusLimitesEQ($A83,eqAnoEP,IFERROR(INDEX(Analitos!$AR$4:$AR$43,MATCH($A83,Analitos!$A$4:$A$43,0)),"CAP"),eqRodada))</f>
        <v>SEM EP</v>
      </c>
      <c r="T83" s="116" t="str">
        <f>IF($A83="","",mCEQ.BiasEQ($A83,eqAnoEP,"SIGNED",IFERROR(INDEX(Analitos!$AR$4:$AR$43,MATCH($A83,Analitos!$A$4:$A$43,0)),"CAP"),eqRodada))</f>
        <v>SEM EP</v>
      </c>
      <c r="U83" s="117" t="str">
        <f>IF(OR($P83="ETp excedido",$P83="Margem critica"),COUNTIF($P$14:$P83,"ETp excedido")+COUNTIF($P$14:$P83,"Margem critica"),"")</f>
        <v/>
      </c>
      <c r="V83" s="118" t="str">
        <f>IF(NOT(ISNUMBER($L83)),"",mPlanoQC.DPMdoSigma($L83))</f>
        <v/>
      </c>
      <c r="W83" s="119" t="str">
        <f>IF(NOT(ISNUMBER($L83)),"",mPlanoQC.RendimentoDoSigma($L83))</f>
        <v/>
      </c>
      <c r="X83" s="117" t="str">
        <f>IF(NOT(ISNUMBER($L83)),"",mPlanoQC.PlanoQC($L83,"REGRAS"))</f>
        <v/>
      </c>
      <c r="Y83" s="120" t="str">
        <f>IF(NOT(ISNUMBER($L83)),"",mPlanoQC.PlanoQC($L83,"N"))</f>
        <v/>
      </c>
      <c r="Z83" s="121" t="str">
        <f>IF(NOT(ISNUMBER($L83)),"",mPlanoQC.PlanoQC($L83,"RUNSIZE"))</f>
        <v/>
      </c>
      <c r="AA83" s="117" t="str">
        <f>IF(NOT(ISNUMBER($L83)),"",mPlanoQC.CoberturaWestgard($L83))</f>
        <v/>
      </c>
      <c r="AB83" s="117" t="str">
        <f t="shared" si="17"/>
        <v>RDW-CV|1</v>
      </c>
      <c r="AC83" s="120" t="str">
        <f>IF($A83="","",mCEQ.BiasEQ($A83,eqAnoEP,"N",IFERROR(INDEX(Analitos!$AR$4:$AR$43,MATCH($A83,Analitos!$A$4:$A$43,0)),"CAP"),eqRodada))</f>
        <v>SEM EP</v>
      </c>
      <c r="AD83" s="120" t="str">
        <f>IF($A83="","",mCEQ.BiasEQ($A83,eqAnoEP,"NRODADAS",IFERROR(INDEX(Analitos!$AR$4:$AR$43,MATCH($A83,Analitos!$A$4:$A$43,0)),"CAP"),eqRodada))</f>
        <v>SEM EP</v>
      </c>
    </row>
    <row r="84" spans="1:30" x14ac:dyDescent="0.3">
      <c r="A84" s="110" t="str">
        <f>Analitos!$A$27</f>
        <v>RDW-CV</v>
      </c>
      <c r="B84" s="111">
        <v>2</v>
      </c>
      <c r="C84" s="112">
        <f>IF($A84="","",IF(INDEX(engEstat,ROW()-13,3)="","",INDEX(engEstat,ROW()-13,3)))</f>
        <v>25</v>
      </c>
      <c r="D84" s="113">
        <f>IF($A84="","",IF(INDEX(engEstat,ROW()-13,4)="","",INDEX(engEstat,ROW()-13,4)))</f>
        <v>9.8274359999999987</v>
      </c>
      <c r="E84" s="113">
        <f>IF($A84="","",IF(INDEX(engEstat,ROW()-13,5)="","",INDEX(engEstat,ROW()-13,5)))</f>
        <v>0.31543085068944465</v>
      </c>
      <c r="F84" s="114">
        <f>IF($A84="","",IF(INDEX(engEstat,ROW()-13,6)="","",INDEX(engEstat,ROW()-13,6)))</f>
        <v>3.2096963103035696</v>
      </c>
      <c r="G84" s="114">
        <f>IF($A84="","",mCEQ.BiasEQ($A84,eqAnoEP,"ABS",eqProvedor,eqRodada))</f>
        <v>1.0230825608704939</v>
      </c>
      <c r="H84" s="114">
        <f t="shared" si="12"/>
        <v>6.3190814728713836</v>
      </c>
      <c r="I84" s="114" t="str">
        <f>IF($A84="","",IFERROR(INDEX(Analitos!$Q$4:$Q$43,MATCH($A84,Analitos!$A$4:$A$43,0)),""))</f>
        <v>-</v>
      </c>
      <c r="J84" s="114" t="str">
        <f>IF($A84="","",IFERROR(IF($I84="VB",INDEX(Analitos!$T$4:$T$43,MATCH($A84,Analitos!$A$4:$A$43,0)),IF(INDEX(Analitos!$S$4:$S$43,MATCH($A84,Analitos!$A$4:$A$43,0))&lt;&gt;"",INDEX(Analitos!$S$4:$S$43,MATCH($A84,Analitos!$A$4:$A$43,0)),INDEX(Analitos!$T$4:$T$43,MATCH($A84,Analitos!$A$4:$A$43,0)))),""))</f>
        <v/>
      </c>
      <c r="K84" s="114" t="str">
        <f>IF($A84="","",IFERROR(INDEX(Analitos!$R$4:$R$43,MATCH($A84,Analitos!$A$4:$A$43,0)),""))</f>
        <v/>
      </c>
      <c r="L84" s="114" t="str">
        <f t="shared" si="13"/>
        <v/>
      </c>
      <c r="M84" s="114" t="str">
        <f>IF(NOT(ISNUMBER($L84)),"",mQualidade.ClassificarSigma($L84))</f>
        <v/>
      </c>
      <c r="N84" s="115" t="str">
        <f t="shared" si="14"/>
        <v/>
      </c>
      <c r="O84" s="116" t="str">
        <f t="shared" si="15"/>
        <v/>
      </c>
      <c r="P84" s="117" t="str">
        <f>IF(NOT(ISNUMBER($O84)),"",mQualidade.ClassificarMargem($O84))</f>
        <v/>
      </c>
      <c r="Q84" s="117" t="str">
        <f t="shared" si="16"/>
        <v/>
      </c>
      <c r="R84" s="117" t="str">
        <f>IF($A84="","",mCEQ.StatusSDIeq($A84,eqAnoEP,IFERROR(INDEX(Analitos!$AR$4:$AR$43,MATCH($A84,Analitos!$A$4:$A$43,0)),"CAP"),eqRodada))</f>
        <v>SEM EP</v>
      </c>
      <c r="S84" s="117" t="str">
        <f>IF($A84="","",mCEQ.StatusLimitesEQ($A84,eqAnoEP,IFERROR(INDEX(Analitos!$AR$4:$AR$43,MATCH($A84,Analitos!$A$4:$A$43,0)),"CAP"),eqRodada))</f>
        <v>SEM EP</v>
      </c>
      <c r="T84" s="116" t="str">
        <f>IF($A84="","",mCEQ.BiasEQ($A84,eqAnoEP,"SIGNED",IFERROR(INDEX(Analitos!$AR$4:$AR$43,MATCH($A84,Analitos!$A$4:$A$43,0)),"CAP"),eqRodada))</f>
        <v>SEM EP</v>
      </c>
      <c r="U84" s="117" t="str">
        <f>IF(OR($P84="ETp excedido",$P84="Margem critica"),COUNTIF($P$14:$P84,"ETp excedido")+COUNTIF($P$14:$P84,"Margem critica"),"")</f>
        <v/>
      </c>
      <c r="V84" s="118" t="str">
        <f>IF(NOT(ISNUMBER($L84)),"",mPlanoQC.DPMdoSigma($L84))</f>
        <v/>
      </c>
      <c r="W84" s="119" t="str">
        <f>IF(NOT(ISNUMBER($L84)),"",mPlanoQC.RendimentoDoSigma($L84))</f>
        <v/>
      </c>
      <c r="X84" s="117" t="str">
        <f>IF(NOT(ISNUMBER($L84)),"",mPlanoQC.PlanoQC($L84,"REGRAS"))</f>
        <v/>
      </c>
      <c r="Y84" s="120" t="str">
        <f>IF(NOT(ISNUMBER($L84)),"",mPlanoQC.PlanoQC($L84,"N"))</f>
        <v/>
      </c>
      <c r="Z84" s="121" t="str">
        <f>IF(NOT(ISNUMBER($L84)),"",mPlanoQC.PlanoQC($L84,"RUNSIZE"))</f>
        <v/>
      </c>
      <c r="AA84" s="117" t="str">
        <f>IF(NOT(ISNUMBER($L84)),"",mPlanoQC.CoberturaWestgard($L84))</f>
        <v/>
      </c>
      <c r="AB84" s="117" t="str">
        <f t="shared" si="17"/>
        <v>RDW-CV|2</v>
      </c>
      <c r="AC84" s="120" t="str">
        <f>IF($A84="","",mCEQ.BiasEQ($A84,eqAnoEP,"N",IFERROR(INDEX(Analitos!$AR$4:$AR$43,MATCH($A84,Analitos!$A$4:$A$43,0)),"CAP"),eqRodada))</f>
        <v>SEM EP</v>
      </c>
      <c r="AD84" s="120" t="str">
        <f>IF($A84="","",mCEQ.BiasEQ($A84,eqAnoEP,"NRODADAS",IFERROR(INDEX(Analitos!$AR$4:$AR$43,MATCH($A84,Analitos!$A$4:$A$43,0)),"CAP"),eqRodada))</f>
        <v>SEM EP</v>
      </c>
    </row>
    <row r="85" spans="1:30" x14ac:dyDescent="0.3">
      <c r="A85" s="110" t="str">
        <f>Analitos!$A$27</f>
        <v>RDW-CV</v>
      </c>
      <c r="B85" s="111">
        <v>3</v>
      </c>
      <c r="C85" s="112">
        <f>IF($A85="","",IF(INDEX(engEstat,ROW()-13,3)="","",INDEX(engEstat,ROW()-13,3)))</f>
        <v>25</v>
      </c>
      <c r="D85" s="113">
        <f>IF($A85="","",IF(INDEX(engEstat,ROW()-13,4)="","",INDEX(engEstat,ROW()-13,4)))</f>
        <v>14.942495999999998</v>
      </c>
      <c r="E85" s="113">
        <f>IF($A85="","",IF(INDEX(engEstat,ROW()-13,5)="","",INDEX(engEstat,ROW()-13,5)))</f>
        <v>0.10446846605555164</v>
      </c>
      <c r="F85" s="114">
        <f>IF($A85="","",IF(INDEX(engEstat,ROW()-13,6)="","",INDEX(engEstat,ROW()-13,6)))</f>
        <v>0.69913665063421571</v>
      </c>
      <c r="G85" s="114">
        <f>IF($A85="","",mCEQ.BiasEQ($A85,eqAnoEP,"ABS",eqProvedor,eqRodada))</f>
        <v>1.0230825608704939</v>
      </c>
      <c r="H85" s="114">
        <f t="shared" si="12"/>
        <v>2.1766580344169499</v>
      </c>
      <c r="I85" s="114" t="str">
        <f>IF($A85="","",IFERROR(INDEX(Analitos!$Q$4:$Q$43,MATCH($A85,Analitos!$A$4:$A$43,0)),""))</f>
        <v>-</v>
      </c>
      <c r="J85" s="114" t="str">
        <f>IF($A85="","",IFERROR(IF($I85="VB",INDEX(Analitos!$T$4:$T$43,MATCH($A85,Analitos!$A$4:$A$43,0)),IF(INDEX(Analitos!$S$4:$S$43,MATCH($A85,Analitos!$A$4:$A$43,0))&lt;&gt;"",INDEX(Analitos!$S$4:$S$43,MATCH($A85,Analitos!$A$4:$A$43,0)),INDEX(Analitos!$T$4:$T$43,MATCH($A85,Analitos!$A$4:$A$43,0)))),""))</f>
        <v/>
      </c>
      <c r="K85" s="114" t="str">
        <f>IF($A85="","",IFERROR(INDEX(Analitos!$R$4:$R$43,MATCH($A85,Analitos!$A$4:$A$43,0)),""))</f>
        <v/>
      </c>
      <c r="L85" s="114" t="str">
        <f t="shared" si="13"/>
        <v/>
      </c>
      <c r="M85" s="114" t="str">
        <f>IF(NOT(ISNUMBER($L85)),"",mQualidade.ClassificarSigma($L85))</f>
        <v/>
      </c>
      <c r="N85" s="115" t="str">
        <f t="shared" si="14"/>
        <v/>
      </c>
      <c r="O85" s="116" t="str">
        <f t="shared" si="15"/>
        <v/>
      </c>
      <c r="P85" s="117" t="str">
        <f>IF(NOT(ISNUMBER($O85)),"",mQualidade.ClassificarMargem($O85))</f>
        <v/>
      </c>
      <c r="Q85" s="117" t="str">
        <f t="shared" si="16"/>
        <v/>
      </c>
      <c r="R85" s="117" t="str">
        <f>IF($A85="","",mCEQ.StatusSDIeq($A85,eqAnoEP,IFERROR(INDEX(Analitos!$AR$4:$AR$43,MATCH($A85,Analitos!$A$4:$A$43,0)),"CAP"),eqRodada))</f>
        <v>SEM EP</v>
      </c>
      <c r="S85" s="117" t="str">
        <f>IF($A85="","",mCEQ.StatusLimitesEQ($A85,eqAnoEP,IFERROR(INDEX(Analitos!$AR$4:$AR$43,MATCH($A85,Analitos!$A$4:$A$43,0)),"CAP"),eqRodada))</f>
        <v>SEM EP</v>
      </c>
      <c r="T85" s="116" t="str">
        <f>IF($A85="","",mCEQ.BiasEQ($A85,eqAnoEP,"SIGNED",IFERROR(INDEX(Analitos!$AR$4:$AR$43,MATCH($A85,Analitos!$A$4:$A$43,0)),"CAP"),eqRodada))</f>
        <v>SEM EP</v>
      </c>
      <c r="U85" s="117" t="str">
        <f>IF(OR($P85="ETp excedido",$P85="Margem critica"),COUNTIF($P$14:$P85,"ETp excedido")+COUNTIF($P$14:$P85,"Margem critica"),"")</f>
        <v/>
      </c>
      <c r="V85" s="118" t="str">
        <f>IF(NOT(ISNUMBER($L85)),"",mPlanoQC.DPMdoSigma($L85))</f>
        <v/>
      </c>
      <c r="W85" s="119" t="str">
        <f>IF(NOT(ISNUMBER($L85)),"",mPlanoQC.RendimentoDoSigma($L85))</f>
        <v/>
      </c>
      <c r="X85" s="117" t="str">
        <f>IF(NOT(ISNUMBER($L85)),"",mPlanoQC.PlanoQC($L85,"REGRAS"))</f>
        <v/>
      </c>
      <c r="Y85" s="120" t="str">
        <f>IF(NOT(ISNUMBER($L85)),"",mPlanoQC.PlanoQC($L85,"N"))</f>
        <v/>
      </c>
      <c r="Z85" s="121" t="str">
        <f>IF(NOT(ISNUMBER($L85)),"",mPlanoQC.PlanoQC($L85,"RUNSIZE"))</f>
        <v/>
      </c>
      <c r="AA85" s="117" t="str">
        <f>IF(NOT(ISNUMBER($L85)),"",mPlanoQC.CoberturaWestgard($L85))</f>
        <v/>
      </c>
      <c r="AB85" s="117" t="str">
        <f t="shared" si="17"/>
        <v>RDW-CV|3</v>
      </c>
      <c r="AC85" s="120" t="str">
        <f>IF($A85="","",mCEQ.BiasEQ($A85,eqAnoEP,"N",IFERROR(INDEX(Analitos!$AR$4:$AR$43,MATCH($A85,Analitos!$A$4:$A$43,0)),"CAP"),eqRodada))</f>
        <v>SEM EP</v>
      </c>
      <c r="AD85" s="120" t="str">
        <f>IF($A85="","",mCEQ.BiasEQ($A85,eqAnoEP,"NRODADAS",IFERROR(INDEX(Analitos!$AR$4:$AR$43,MATCH($A85,Analitos!$A$4:$A$43,0)),"CAP"),eqRodada))</f>
        <v>SEM EP</v>
      </c>
    </row>
    <row r="86" spans="1:30" x14ac:dyDescent="0.3">
      <c r="A86" s="110" t="str">
        <f>Analitos!$A$28</f>
        <v>MPV</v>
      </c>
      <c r="B86" s="111">
        <v>1</v>
      </c>
      <c r="C86" s="112">
        <f>IF($A86="","",IF(INDEX(engEstat,ROW()-13,3)="","",INDEX(engEstat,ROW()-13,3)))</f>
        <v>0</v>
      </c>
      <c r="D86" s="113" t="str">
        <f>IF($A86="","",IF(INDEX(engEstat,ROW()-13,4)="","",INDEX(engEstat,ROW()-13,4)))</f>
        <v/>
      </c>
      <c r="E86" s="113" t="str">
        <f>IF($A86="","",IF(INDEX(engEstat,ROW()-13,5)="","",INDEX(engEstat,ROW()-13,5)))</f>
        <v/>
      </c>
      <c r="F86" s="114" t="str">
        <f>IF($A86="","",IF(INDEX(engEstat,ROW()-13,6)="","",INDEX(engEstat,ROW()-13,6)))</f>
        <v/>
      </c>
      <c r="G86" s="114">
        <f>IF($A86="","",mCEQ.BiasEQ($A86,eqAnoEP,"ABS",eqProvedor,eqRodada))</f>
        <v>2.8834546646696979</v>
      </c>
      <c r="H86" s="114" t="str">
        <f t="shared" si="12"/>
        <v/>
      </c>
      <c r="I86" s="114" t="str">
        <f>IF($A86="","",IFERROR(INDEX(Analitos!$Q$4:$Q$43,MATCH($A86,Analitos!$A$4:$A$43,0)),""))</f>
        <v>VB</v>
      </c>
      <c r="J86" s="114">
        <f>IF($A86="","",IFERROR(IF($I86="VB",INDEX(Analitos!$T$4:$T$43,MATCH($A86,Analitos!$A$4:$A$43,0)),IF(INDEX(Analitos!$S$4:$S$43,MATCH($A86,Analitos!$A$4:$A$43,0))&lt;&gt;"",INDEX(Analitos!$S$4:$S$43,MATCH($A86,Analitos!$A$4:$A$43,0)),INDEX(Analitos!$T$4:$T$43,MATCH($A86,Analitos!$A$4:$A$43,0)))),""))</f>
        <v>1.6500000000000001</v>
      </c>
      <c r="K86" s="114">
        <f>IF($A86="","",IFERROR(INDEX(Analitos!$R$4:$R$43,MATCH($A86,Analitos!$A$4:$A$43,0)),""))</f>
        <v>5.4740904491766216</v>
      </c>
      <c r="L86" s="114" t="str">
        <f t="shared" si="13"/>
        <v/>
      </c>
      <c r="M86" s="114" t="str">
        <f>IF(NOT(ISNUMBER($L86)),"",mQualidade.ClassificarSigma($L86))</f>
        <v/>
      </c>
      <c r="N86" s="115" t="str">
        <f t="shared" si="14"/>
        <v/>
      </c>
      <c r="O86" s="116" t="str">
        <f t="shared" si="15"/>
        <v/>
      </c>
      <c r="P86" s="117" t="str">
        <f>IF(NOT(ISNUMBER($O86)),"",mQualidade.ClassificarMargem($O86))</f>
        <v/>
      </c>
      <c r="Q86" s="117" t="str">
        <f t="shared" si="16"/>
        <v/>
      </c>
      <c r="R86" s="117" t="str">
        <f>IF($A86="","",mCEQ.StatusSDIeq($A86,eqAnoEP,IFERROR(INDEX(Analitos!$AR$4:$AR$43,MATCH($A86,Analitos!$A$4:$A$43,0)),"CAP"),eqRodada))</f>
        <v>SEM EP</v>
      </c>
      <c r="S86" s="117" t="str">
        <f>IF($A86="","",mCEQ.StatusLimitesEQ($A86,eqAnoEP,IFERROR(INDEX(Analitos!$AR$4:$AR$43,MATCH($A86,Analitos!$A$4:$A$43,0)),"CAP"),eqRodada))</f>
        <v>SEM EP</v>
      </c>
      <c r="T86" s="116" t="str">
        <f>IF($A86="","",mCEQ.BiasEQ($A86,eqAnoEP,"SIGNED",IFERROR(INDEX(Analitos!$AR$4:$AR$43,MATCH($A86,Analitos!$A$4:$A$43,0)),"CAP"),eqRodada))</f>
        <v>SEM EP</v>
      </c>
      <c r="U86" s="117" t="str">
        <f>IF(OR($P86="ETp excedido",$P86="Margem critica"),COUNTIF($P$14:$P86,"ETp excedido")+COUNTIF($P$14:$P86,"Margem critica"),"")</f>
        <v/>
      </c>
      <c r="V86" s="118" t="str">
        <f>IF(NOT(ISNUMBER($L86)),"",mPlanoQC.DPMdoSigma($L86))</f>
        <v/>
      </c>
      <c r="W86" s="119" t="str">
        <f>IF(NOT(ISNUMBER($L86)),"",mPlanoQC.RendimentoDoSigma($L86))</f>
        <v/>
      </c>
      <c r="X86" s="117" t="str">
        <f>IF(NOT(ISNUMBER($L86)),"",mPlanoQC.PlanoQC($L86,"REGRAS"))</f>
        <v/>
      </c>
      <c r="Y86" s="120" t="str">
        <f>IF(NOT(ISNUMBER($L86)),"",mPlanoQC.PlanoQC($L86,"N"))</f>
        <v/>
      </c>
      <c r="Z86" s="121" t="str">
        <f>IF(NOT(ISNUMBER($L86)),"",mPlanoQC.PlanoQC($L86,"RUNSIZE"))</f>
        <v/>
      </c>
      <c r="AA86" s="117" t="str">
        <f>IF(NOT(ISNUMBER($L86)),"",mPlanoQC.CoberturaWestgard($L86))</f>
        <v/>
      </c>
      <c r="AB86" s="117" t="str">
        <f t="shared" si="17"/>
        <v>MPV|1</v>
      </c>
      <c r="AC86" s="120" t="str">
        <f>IF($A86="","",mCEQ.BiasEQ($A86,eqAnoEP,"N",IFERROR(INDEX(Analitos!$AR$4:$AR$43,MATCH($A86,Analitos!$A$4:$A$43,0)),"CAP"),eqRodada))</f>
        <v>SEM EP</v>
      </c>
      <c r="AD86" s="120" t="str">
        <f>IF($A86="","",mCEQ.BiasEQ($A86,eqAnoEP,"NRODADAS",IFERROR(INDEX(Analitos!$AR$4:$AR$43,MATCH($A86,Analitos!$A$4:$A$43,0)),"CAP"),eqRodada))</f>
        <v>SEM EP</v>
      </c>
    </row>
    <row r="87" spans="1:30" x14ac:dyDescent="0.3">
      <c r="A87" s="110" t="str">
        <f>Analitos!$A$28</f>
        <v>MPV</v>
      </c>
      <c r="B87" s="111">
        <v>2</v>
      </c>
      <c r="C87" s="112">
        <f>IF($A87="","",IF(INDEX(engEstat,ROW()-13,3)="","",INDEX(engEstat,ROW()-13,3)))</f>
        <v>0</v>
      </c>
      <c r="D87" s="113" t="str">
        <f>IF($A87="","",IF(INDEX(engEstat,ROW()-13,4)="","",INDEX(engEstat,ROW()-13,4)))</f>
        <v/>
      </c>
      <c r="E87" s="113" t="str">
        <f>IF($A87="","",IF(INDEX(engEstat,ROW()-13,5)="","",INDEX(engEstat,ROW()-13,5)))</f>
        <v/>
      </c>
      <c r="F87" s="114" t="str">
        <f>IF($A87="","",IF(INDEX(engEstat,ROW()-13,6)="","",INDEX(engEstat,ROW()-13,6)))</f>
        <v/>
      </c>
      <c r="G87" s="114">
        <f>IF($A87="","",mCEQ.BiasEQ($A87,eqAnoEP,"ABS",eqProvedor,eqRodada))</f>
        <v>2.8834546646696979</v>
      </c>
      <c r="H87" s="114" t="str">
        <f t="shared" si="12"/>
        <v/>
      </c>
      <c r="I87" s="114" t="str">
        <f>IF($A87="","",IFERROR(INDEX(Analitos!$Q$4:$Q$43,MATCH($A87,Analitos!$A$4:$A$43,0)),""))</f>
        <v>VB</v>
      </c>
      <c r="J87" s="114">
        <f>IF($A87="","",IFERROR(IF($I87="VB",INDEX(Analitos!$T$4:$T$43,MATCH($A87,Analitos!$A$4:$A$43,0)),IF(INDEX(Analitos!$S$4:$S$43,MATCH($A87,Analitos!$A$4:$A$43,0))&lt;&gt;"",INDEX(Analitos!$S$4:$S$43,MATCH($A87,Analitos!$A$4:$A$43,0)),INDEX(Analitos!$T$4:$T$43,MATCH($A87,Analitos!$A$4:$A$43,0)))),""))</f>
        <v>1.6500000000000001</v>
      </c>
      <c r="K87" s="114">
        <f>IF($A87="","",IFERROR(INDEX(Analitos!$R$4:$R$43,MATCH($A87,Analitos!$A$4:$A$43,0)),""))</f>
        <v>5.4740904491766216</v>
      </c>
      <c r="L87" s="114" t="str">
        <f t="shared" si="13"/>
        <v/>
      </c>
      <c r="M87" s="114" t="str">
        <f>IF(NOT(ISNUMBER($L87)),"",mQualidade.ClassificarSigma($L87))</f>
        <v/>
      </c>
      <c r="N87" s="115" t="str">
        <f t="shared" si="14"/>
        <v/>
      </c>
      <c r="O87" s="116" t="str">
        <f t="shared" si="15"/>
        <v/>
      </c>
      <c r="P87" s="117" t="str">
        <f>IF(NOT(ISNUMBER($O87)),"",mQualidade.ClassificarMargem($O87))</f>
        <v/>
      </c>
      <c r="Q87" s="117" t="str">
        <f t="shared" si="16"/>
        <v/>
      </c>
      <c r="R87" s="117" t="str">
        <f>IF($A87="","",mCEQ.StatusSDIeq($A87,eqAnoEP,IFERROR(INDEX(Analitos!$AR$4:$AR$43,MATCH($A87,Analitos!$A$4:$A$43,0)),"CAP"),eqRodada))</f>
        <v>SEM EP</v>
      </c>
      <c r="S87" s="117" t="str">
        <f>IF($A87="","",mCEQ.StatusLimitesEQ($A87,eqAnoEP,IFERROR(INDEX(Analitos!$AR$4:$AR$43,MATCH($A87,Analitos!$A$4:$A$43,0)),"CAP"),eqRodada))</f>
        <v>SEM EP</v>
      </c>
      <c r="T87" s="116" t="str">
        <f>IF($A87="","",mCEQ.BiasEQ($A87,eqAnoEP,"SIGNED",IFERROR(INDEX(Analitos!$AR$4:$AR$43,MATCH($A87,Analitos!$A$4:$A$43,0)),"CAP"),eqRodada))</f>
        <v>SEM EP</v>
      </c>
      <c r="U87" s="117" t="str">
        <f>IF(OR($P87="ETp excedido",$P87="Margem critica"),COUNTIF($P$14:$P87,"ETp excedido")+COUNTIF($P$14:$P87,"Margem critica"),"")</f>
        <v/>
      </c>
      <c r="V87" s="118" t="str">
        <f>IF(NOT(ISNUMBER($L87)),"",mPlanoQC.DPMdoSigma($L87))</f>
        <v/>
      </c>
      <c r="W87" s="119" t="str">
        <f>IF(NOT(ISNUMBER($L87)),"",mPlanoQC.RendimentoDoSigma($L87))</f>
        <v/>
      </c>
      <c r="X87" s="117" t="str">
        <f>IF(NOT(ISNUMBER($L87)),"",mPlanoQC.PlanoQC($L87,"REGRAS"))</f>
        <v/>
      </c>
      <c r="Y87" s="120" t="str">
        <f>IF(NOT(ISNUMBER($L87)),"",mPlanoQC.PlanoQC($L87,"N"))</f>
        <v/>
      </c>
      <c r="Z87" s="121" t="str">
        <f>IF(NOT(ISNUMBER($L87)),"",mPlanoQC.PlanoQC($L87,"RUNSIZE"))</f>
        <v/>
      </c>
      <c r="AA87" s="117" t="str">
        <f>IF(NOT(ISNUMBER($L87)),"",mPlanoQC.CoberturaWestgard($L87))</f>
        <v/>
      </c>
      <c r="AB87" s="117" t="str">
        <f t="shared" si="17"/>
        <v>MPV|2</v>
      </c>
      <c r="AC87" s="120" t="str">
        <f>IF($A87="","",mCEQ.BiasEQ($A87,eqAnoEP,"N",IFERROR(INDEX(Analitos!$AR$4:$AR$43,MATCH($A87,Analitos!$A$4:$A$43,0)),"CAP"),eqRodada))</f>
        <v>SEM EP</v>
      </c>
      <c r="AD87" s="120" t="str">
        <f>IF($A87="","",mCEQ.BiasEQ($A87,eqAnoEP,"NRODADAS",IFERROR(INDEX(Analitos!$AR$4:$AR$43,MATCH($A87,Analitos!$A$4:$A$43,0)),"CAP"),eqRodada))</f>
        <v>SEM EP</v>
      </c>
    </row>
    <row r="88" spans="1:30" x14ac:dyDescent="0.3">
      <c r="A88" s="110" t="str">
        <f>Analitos!$A$28</f>
        <v>MPV</v>
      </c>
      <c r="B88" s="111">
        <v>3</v>
      </c>
      <c r="C88" s="112">
        <f>IF($A88="","",IF(INDEX(engEstat,ROW()-13,3)="","",INDEX(engEstat,ROW()-13,3)))</f>
        <v>0</v>
      </c>
      <c r="D88" s="113" t="str">
        <f>IF($A88="","",IF(INDEX(engEstat,ROW()-13,4)="","",INDEX(engEstat,ROW()-13,4)))</f>
        <v/>
      </c>
      <c r="E88" s="113" t="str">
        <f>IF($A88="","",IF(INDEX(engEstat,ROW()-13,5)="","",INDEX(engEstat,ROW()-13,5)))</f>
        <v/>
      </c>
      <c r="F88" s="114" t="str">
        <f>IF($A88="","",IF(INDEX(engEstat,ROW()-13,6)="","",INDEX(engEstat,ROW()-13,6)))</f>
        <v/>
      </c>
      <c r="G88" s="114">
        <f>IF($A88="","",mCEQ.BiasEQ($A88,eqAnoEP,"ABS",eqProvedor,eqRodada))</f>
        <v>2.8834546646696979</v>
      </c>
      <c r="H88" s="114" t="str">
        <f t="shared" si="12"/>
        <v/>
      </c>
      <c r="I88" s="114" t="str">
        <f>IF($A88="","",IFERROR(INDEX(Analitos!$Q$4:$Q$43,MATCH($A88,Analitos!$A$4:$A$43,0)),""))</f>
        <v>VB</v>
      </c>
      <c r="J88" s="114">
        <f>IF($A88="","",IFERROR(IF($I88="VB",INDEX(Analitos!$T$4:$T$43,MATCH($A88,Analitos!$A$4:$A$43,0)),IF(INDEX(Analitos!$S$4:$S$43,MATCH($A88,Analitos!$A$4:$A$43,0))&lt;&gt;"",INDEX(Analitos!$S$4:$S$43,MATCH($A88,Analitos!$A$4:$A$43,0)),INDEX(Analitos!$T$4:$T$43,MATCH($A88,Analitos!$A$4:$A$43,0)))),""))</f>
        <v>1.6500000000000001</v>
      </c>
      <c r="K88" s="114">
        <f>IF($A88="","",IFERROR(INDEX(Analitos!$R$4:$R$43,MATCH($A88,Analitos!$A$4:$A$43,0)),""))</f>
        <v>5.4740904491766216</v>
      </c>
      <c r="L88" s="114" t="str">
        <f t="shared" si="13"/>
        <v/>
      </c>
      <c r="M88" s="114" t="str">
        <f>IF(NOT(ISNUMBER($L88)),"",mQualidade.ClassificarSigma($L88))</f>
        <v/>
      </c>
      <c r="N88" s="115" t="str">
        <f t="shared" si="14"/>
        <v/>
      </c>
      <c r="O88" s="116" t="str">
        <f t="shared" si="15"/>
        <v/>
      </c>
      <c r="P88" s="117" t="str">
        <f>IF(NOT(ISNUMBER($O88)),"",mQualidade.ClassificarMargem($O88))</f>
        <v/>
      </c>
      <c r="Q88" s="117" t="str">
        <f t="shared" si="16"/>
        <v/>
      </c>
      <c r="R88" s="117" t="str">
        <f>IF($A88="","",mCEQ.StatusSDIeq($A88,eqAnoEP,IFERROR(INDEX(Analitos!$AR$4:$AR$43,MATCH($A88,Analitos!$A$4:$A$43,0)),"CAP"),eqRodada))</f>
        <v>SEM EP</v>
      </c>
      <c r="S88" s="117" t="str">
        <f>IF($A88="","",mCEQ.StatusLimitesEQ($A88,eqAnoEP,IFERROR(INDEX(Analitos!$AR$4:$AR$43,MATCH($A88,Analitos!$A$4:$A$43,0)),"CAP"),eqRodada))</f>
        <v>SEM EP</v>
      </c>
      <c r="T88" s="116" t="str">
        <f>IF($A88="","",mCEQ.BiasEQ($A88,eqAnoEP,"SIGNED",IFERROR(INDEX(Analitos!$AR$4:$AR$43,MATCH($A88,Analitos!$A$4:$A$43,0)),"CAP"),eqRodada))</f>
        <v>SEM EP</v>
      </c>
      <c r="U88" s="117" t="str">
        <f>IF(OR($P88="ETp excedido",$P88="Margem critica"),COUNTIF($P$14:$P88,"ETp excedido")+COUNTIF($P$14:$P88,"Margem critica"),"")</f>
        <v/>
      </c>
      <c r="V88" s="118" t="str">
        <f>IF(NOT(ISNUMBER($L88)),"",mPlanoQC.DPMdoSigma($L88))</f>
        <v/>
      </c>
      <c r="W88" s="119" t="str">
        <f>IF(NOT(ISNUMBER($L88)),"",mPlanoQC.RendimentoDoSigma($L88))</f>
        <v/>
      </c>
      <c r="X88" s="117" t="str">
        <f>IF(NOT(ISNUMBER($L88)),"",mPlanoQC.PlanoQC($L88,"REGRAS"))</f>
        <v/>
      </c>
      <c r="Y88" s="120" t="str">
        <f>IF(NOT(ISNUMBER($L88)),"",mPlanoQC.PlanoQC($L88,"N"))</f>
        <v/>
      </c>
      <c r="Z88" s="121" t="str">
        <f>IF(NOT(ISNUMBER($L88)),"",mPlanoQC.PlanoQC($L88,"RUNSIZE"))</f>
        <v/>
      </c>
      <c r="AA88" s="117" t="str">
        <f>IF(NOT(ISNUMBER($L88)),"",mPlanoQC.CoberturaWestgard($L88))</f>
        <v/>
      </c>
      <c r="AB88" s="117" t="str">
        <f t="shared" si="17"/>
        <v>MPV|3</v>
      </c>
      <c r="AC88" s="120" t="str">
        <f>IF($A88="","",mCEQ.BiasEQ($A88,eqAnoEP,"N",IFERROR(INDEX(Analitos!$AR$4:$AR$43,MATCH($A88,Analitos!$A$4:$A$43,0)),"CAP"),eqRodada))</f>
        <v>SEM EP</v>
      </c>
      <c r="AD88" s="120" t="str">
        <f>IF($A88="","",mCEQ.BiasEQ($A88,eqAnoEP,"NRODADAS",IFERROR(INDEX(Analitos!$AR$4:$AR$43,MATCH($A88,Analitos!$A$4:$A$43,0)),"CAP"),eqRodada))</f>
        <v>SEM EP</v>
      </c>
    </row>
    <row r="89" spans="1:30" x14ac:dyDescent="0.3">
      <c r="A89" s="110" t="str">
        <f>Analitos!$A$29</f>
        <v>RET%</v>
      </c>
      <c r="B89" s="111">
        <v>1</v>
      </c>
      <c r="C89" s="112">
        <f>IF($A89="","",IF(INDEX(engEstat,ROW()-13,3)="","",INDEX(engEstat,ROW()-13,3)))</f>
        <v>25</v>
      </c>
      <c r="D89" s="113">
        <f>IF($A89="","",IF(INDEX(engEstat,ROW()-13,4)="","",INDEX(engEstat,ROW()-13,4)))</f>
        <v>4.5726240000000002</v>
      </c>
      <c r="E89" s="113">
        <f>IF($A89="","",IF(INDEX(engEstat,ROW()-13,5)="","",INDEX(engEstat,ROW()-13,5)))</f>
        <v>0.2743823522629204</v>
      </c>
      <c r="F89" s="114">
        <f>IF($A89="","",IF(INDEX(engEstat,ROW()-13,6)="","",INDEX(engEstat,ROW()-13,6)))</f>
        <v>6.0005448132827102</v>
      </c>
      <c r="G89" s="114" t="str">
        <f>IF($A89="","",mCEQ.BiasEQ($A89,eqAnoEP,"ABS",eqProvedor,eqRodada))</f>
        <v>SEM EP</v>
      </c>
      <c r="H89" s="114" t="str">
        <f t="shared" si="12"/>
        <v/>
      </c>
      <c r="I89" s="114" t="str">
        <f>IF($A89="","",IFERROR(INDEX(Analitos!$Q$4:$Q$43,MATCH($A89,Analitos!$A$4:$A$43,0)),""))</f>
        <v>VB</v>
      </c>
      <c r="J89" s="114">
        <f>IF($A89="","",IFERROR(IF($I89="VB",INDEX(Analitos!$T$4:$T$43,MATCH($A89,Analitos!$A$4:$A$43,0)),IF(INDEX(Analitos!$S$4:$S$43,MATCH($A89,Analitos!$A$4:$A$43,0))&lt;&gt;"",INDEX(Analitos!$S$4:$S$43,MATCH($A89,Analitos!$A$4:$A$43,0)),INDEX(Analitos!$T$4:$T$43,MATCH($A89,Analitos!$A$4:$A$43,0)))),""))</f>
        <v>7.2749999999999995</v>
      </c>
      <c r="K89" s="114">
        <f>IF($A89="","",IFERROR(INDEX(Analitos!$R$4:$R$43,MATCH($A89,Analitos!$A$4:$A$43,0)),""))</f>
        <v>22.797628473468187</v>
      </c>
      <c r="L89" s="114" t="str">
        <f t="shared" si="13"/>
        <v/>
      </c>
      <c r="M89" s="114" t="str">
        <f>IF(NOT(ISNUMBER($L89)),"",mQualidade.ClassificarSigma($L89))</f>
        <v/>
      </c>
      <c r="N89" s="115" t="str">
        <f t="shared" si="14"/>
        <v/>
      </c>
      <c r="O89" s="116" t="str">
        <f t="shared" si="15"/>
        <v/>
      </c>
      <c r="P89" s="117" t="str">
        <f>IF(NOT(ISNUMBER($O89)),"",mQualidade.ClassificarMargem($O89))</f>
        <v/>
      </c>
      <c r="Q89" s="117" t="str">
        <f t="shared" si="16"/>
        <v>OK</v>
      </c>
      <c r="R89" s="117" t="str">
        <f>IF($A89="","",mCEQ.StatusSDIeq($A89,eqAnoEP,IFERROR(INDEX(Analitos!$AR$4:$AR$43,MATCH($A89,Analitos!$A$4:$A$43,0)),"CAP"),eqRodada))</f>
        <v>SEM EP</v>
      </c>
      <c r="S89" s="117" t="str">
        <f>IF($A89="","",mCEQ.StatusLimitesEQ($A89,eqAnoEP,IFERROR(INDEX(Analitos!$AR$4:$AR$43,MATCH($A89,Analitos!$A$4:$A$43,0)),"CAP"),eqRodada))</f>
        <v>SEM EP</v>
      </c>
      <c r="T89" s="116" t="str">
        <f>IF($A89="","",mCEQ.BiasEQ($A89,eqAnoEP,"SIGNED",IFERROR(INDEX(Analitos!$AR$4:$AR$43,MATCH($A89,Analitos!$A$4:$A$43,0)),"CAP"),eqRodada))</f>
        <v>SEM EP</v>
      </c>
      <c r="U89" s="117" t="str">
        <f>IF(OR($P89="ETp excedido",$P89="Margem critica"),COUNTIF($P$14:$P89,"ETp excedido")+COUNTIF($P$14:$P89,"Margem critica"),"")</f>
        <v/>
      </c>
      <c r="V89" s="118" t="str">
        <f>IF(NOT(ISNUMBER($L89)),"",mPlanoQC.DPMdoSigma($L89))</f>
        <v/>
      </c>
      <c r="W89" s="119" t="str">
        <f>IF(NOT(ISNUMBER($L89)),"",mPlanoQC.RendimentoDoSigma($L89))</f>
        <v/>
      </c>
      <c r="X89" s="117" t="str">
        <f>IF(NOT(ISNUMBER($L89)),"",mPlanoQC.PlanoQC($L89,"REGRAS"))</f>
        <v/>
      </c>
      <c r="Y89" s="120" t="str">
        <f>IF(NOT(ISNUMBER($L89)),"",mPlanoQC.PlanoQC($L89,"N"))</f>
        <v/>
      </c>
      <c r="Z89" s="121" t="str">
        <f>IF(NOT(ISNUMBER($L89)),"",mPlanoQC.PlanoQC($L89,"RUNSIZE"))</f>
        <v/>
      </c>
      <c r="AA89" s="117" t="str">
        <f>IF(NOT(ISNUMBER($L89)),"",mPlanoQC.CoberturaWestgard($L89))</f>
        <v/>
      </c>
      <c r="AB89" s="117" t="str">
        <f t="shared" si="17"/>
        <v>RET%|1</v>
      </c>
      <c r="AC89" s="120" t="str">
        <f>IF($A89="","",mCEQ.BiasEQ($A89,eqAnoEP,"N",IFERROR(INDEX(Analitos!$AR$4:$AR$43,MATCH($A89,Analitos!$A$4:$A$43,0)),"CAP"),eqRodada))</f>
        <v>SEM EP</v>
      </c>
      <c r="AD89" s="120" t="str">
        <f>IF($A89="","",mCEQ.BiasEQ($A89,eqAnoEP,"NRODADAS",IFERROR(INDEX(Analitos!$AR$4:$AR$43,MATCH($A89,Analitos!$A$4:$A$43,0)),"CAP"),eqRodada))</f>
        <v>SEM EP</v>
      </c>
    </row>
    <row r="90" spans="1:30" x14ac:dyDescent="0.3">
      <c r="A90" s="110" t="str">
        <f>Analitos!$A$29</f>
        <v>RET%</v>
      </c>
      <c r="B90" s="111">
        <v>2</v>
      </c>
      <c r="C90" s="112">
        <f>IF($A90="","",IF(INDEX(engEstat,ROW()-13,3)="","",INDEX(engEstat,ROW()-13,3)))</f>
        <v>25</v>
      </c>
      <c r="D90" s="113">
        <f>IF($A90="","",IF(INDEX(engEstat,ROW()-13,4)="","",INDEX(engEstat,ROW()-13,4)))</f>
        <v>2.3624999999999998</v>
      </c>
      <c r="E90" s="113">
        <f>IF($A90="","",IF(INDEX(engEstat,ROW()-13,5)="","",INDEX(engEstat,ROW()-13,5)))</f>
        <v>8.893195900987072E-2</v>
      </c>
      <c r="F90" s="114">
        <f>IF($A90="","",IF(INDEX(engEstat,ROW()-13,6)="","",INDEX(engEstat,ROW()-13,6)))</f>
        <v>3.7643157252855333</v>
      </c>
      <c r="G90" s="114" t="str">
        <f>IF($A90="","",mCEQ.BiasEQ($A90,eqAnoEP,"ABS",eqProvedor,eqRodada))</f>
        <v>SEM EP</v>
      </c>
      <c r="H90" s="114" t="str">
        <f t="shared" si="12"/>
        <v/>
      </c>
      <c r="I90" s="114" t="str">
        <f>IF($A90="","",IFERROR(INDEX(Analitos!$Q$4:$Q$43,MATCH($A90,Analitos!$A$4:$A$43,0)),""))</f>
        <v>VB</v>
      </c>
      <c r="J90" s="114">
        <f>IF($A90="","",IFERROR(IF($I90="VB",INDEX(Analitos!$T$4:$T$43,MATCH($A90,Analitos!$A$4:$A$43,0)),IF(INDEX(Analitos!$S$4:$S$43,MATCH($A90,Analitos!$A$4:$A$43,0))&lt;&gt;"",INDEX(Analitos!$S$4:$S$43,MATCH($A90,Analitos!$A$4:$A$43,0)),INDEX(Analitos!$T$4:$T$43,MATCH($A90,Analitos!$A$4:$A$43,0)))),""))</f>
        <v>7.2749999999999995</v>
      </c>
      <c r="K90" s="114">
        <f>IF($A90="","",IFERROR(INDEX(Analitos!$R$4:$R$43,MATCH($A90,Analitos!$A$4:$A$43,0)),""))</f>
        <v>22.797628473468187</v>
      </c>
      <c r="L90" s="114" t="str">
        <f t="shared" si="13"/>
        <v/>
      </c>
      <c r="M90" s="114" t="str">
        <f>IF(NOT(ISNUMBER($L90)),"",mQualidade.ClassificarSigma($L90))</f>
        <v/>
      </c>
      <c r="N90" s="115" t="str">
        <f t="shared" si="14"/>
        <v/>
      </c>
      <c r="O90" s="116" t="str">
        <f t="shared" si="15"/>
        <v/>
      </c>
      <c r="P90" s="117" t="str">
        <f>IF(NOT(ISNUMBER($O90)),"",mQualidade.ClassificarMargem($O90))</f>
        <v/>
      </c>
      <c r="Q90" s="117" t="str">
        <f t="shared" si="16"/>
        <v>OK</v>
      </c>
      <c r="R90" s="117" t="str">
        <f>IF($A90="","",mCEQ.StatusSDIeq($A90,eqAnoEP,IFERROR(INDEX(Analitos!$AR$4:$AR$43,MATCH($A90,Analitos!$A$4:$A$43,0)),"CAP"),eqRodada))</f>
        <v>SEM EP</v>
      </c>
      <c r="S90" s="117" t="str">
        <f>IF($A90="","",mCEQ.StatusLimitesEQ($A90,eqAnoEP,IFERROR(INDEX(Analitos!$AR$4:$AR$43,MATCH($A90,Analitos!$A$4:$A$43,0)),"CAP"),eqRodada))</f>
        <v>SEM EP</v>
      </c>
      <c r="T90" s="116" t="str">
        <f>IF($A90="","",mCEQ.BiasEQ($A90,eqAnoEP,"SIGNED",IFERROR(INDEX(Analitos!$AR$4:$AR$43,MATCH($A90,Analitos!$A$4:$A$43,0)),"CAP"),eqRodada))</f>
        <v>SEM EP</v>
      </c>
      <c r="U90" s="117" t="str">
        <f>IF(OR($P90="ETp excedido",$P90="Margem critica"),COUNTIF($P$14:$P90,"ETp excedido")+COUNTIF($P$14:$P90,"Margem critica"),"")</f>
        <v/>
      </c>
      <c r="V90" s="118" t="str">
        <f>IF(NOT(ISNUMBER($L90)),"",mPlanoQC.DPMdoSigma($L90))</f>
        <v/>
      </c>
      <c r="W90" s="119" t="str">
        <f>IF(NOT(ISNUMBER($L90)),"",mPlanoQC.RendimentoDoSigma($L90))</f>
        <v/>
      </c>
      <c r="X90" s="117" t="str">
        <f>IF(NOT(ISNUMBER($L90)),"",mPlanoQC.PlanoQC($L90,"REGRAS"))</f>
        <v/>
      </c>
      <c r="Y90" s="120" t="str">
        <f>IF(NOT(ISNUMBER($L90)),"",mPlanoQC.PlanoQC($L90,"N"))</f>
        <v/>
      </c>
      <c r="Z90" s="121" t="str">
        <f>IF(NOT(ISNUMBER($L90)),"",mPlanoQC.PlanoQC($L90,"RUNSIZE"))</f>
        <v/>
      </c>
      <c r="AA90" s="117" t="str">
        <f>IF(NOT(ISNUMBER($L90)),"",mPlanoQC.CoberturaWestgard($L90))</f>
        <v/>
      </c>
      <c r="AB90" s="117" t="str">
        <f t="shared" si="17"/>
        <v>RET%|2</v>
      </c>
      <c r="AC90" s="120" t="str">
        <f>IF($A90="","",mCEQ.BiasEQ($A90,eqAnoEP,"N",IFERROR(INDEX(Analitos!$AR$4:$AR$43,MATCH($A90,Analitos!$A$4:$A$43,0)),"CAP"),eqRodada))</f>
        <v>SEM EP</v>
      </c>
      <c r="AD90" s="120" t="str">
        <f>IF($A90="","",mCEQ.BiasEQ($A90,eqAnoEP,"NRODADAS",IFERROR(INDEX(Analitos!$AR$4:$AR$43,MATCH($A90,Analitos!$A$4:$A$43,0)),"CAP"),eqRodada))</f>
        <v>SEM EP</v>
      </c>
    </row>
    <row r="91" spans="1:30" x14ac:dyDescent="0.3">
      <c r="A91" s="110" t="str">
        <f>Analitos!$A$29</f>
        <v>RET%</v>
      </c>
      <c r="B91" s="111">
        <v>3</v>
      </c>
      <c r="C91" s="112">
        <f>IF($A91="","",IF(INDEX(engEstat,ROW()-13,3)="","",INDEX(engEstat,ROW()-13,3)))</f>
        <v>25</v>
      </c>
      <c r="D91" s="113">
        <f>IF($A91="","",IF(INDEX(engEstat,ROW()-13,4)="","",INDEX(engEstat,ROW()-13,4)))</f>
        <v>1.2213039999999999</v>
      </c>
      <c r="E91" s="113">
        <f>IF($A91="","",IF(INDEX(engEstat,ROW()-13,5)="","",INDEX(engEstat,ROW()-13,5)))</f>
        <v>5.5083553806921377E-2</v>
      </c>
      <c r="F91" s="114">
        <f>IF($A91="","",IF(INDEX(engEstat,ROW()-13,6)="","",INDEX(engEstat,ROW()-13,6)))</f>
        <v>4.5102246293241794</v>
      </c>
      <c r="G91" s="114" t="str">
        <f>IF($A91="","",mCEQ.BiasEQ($A91,eqAnoEP,"ABS",eqProvedor,eqRodada))</f>
        <v>SEM EP</v>
      </c>
      <c r="H91" s="114" t="str">
        <f t="shared" si="12"/>
        <v/>
      </c>
      <c r="I91" s="114" t="str">
        <f>IF($A91="","",IFERROR(INDEX(Analitos!$Q$4:$Q$43,MATCH($A91,Analitos!$A$4:$A$43,0)),""))</f>
        <v>VB</v>
      </c>
      <c r="J91" s="114">
        <f>IF($A91="","",IFERROR(IF($I91="VB",INDEX(Analitos!$T$4:$T$43,MATCH($A91,Analitos!$A$4:$A$43,0)),IF(INDEX(Analitos!$S$4:$S$43,MATCH($A91,Analitos!$A$4:$A$43,0))&lt;&gt;"",INDEX(Analitos!$S$4:$S$43,MATCH($A91,Analitos!$A$4:$A$43,0)),INDEX(Analitos!$T$4:$T$43,MATCH($A91,Analitos!$A$4:$A$43,0)))),""))</f>
        <v>7.2749999999999995</v>
      </c>
      <c r="K91" s="114">
        <f>IF($A91="","",IFERROR(INDEX(Analitos!$R$4:$R$43,MATCH($A91,Analitos!$A$4:$A$43,0)),""))</f>
        <v>22.797628473468187</v>
      </c>
      <c r="L91" s="114" t="str">
        <f t="shared" si="13"/>
        <v/>
      </c>
      <c r="M91" s="114" t="str">
        <f>IF(NOT(ISNUMBER($L91)),"",mQualidade.ClassificarSigma($L91))</f>
        <v/>
      </c>
      <c r="N91" s="115" t="str">
        <f t="shared" si="14"/>
        <v/>
      </c>
      <c r="O91" s="116" t="str">
        <f t="shared" si="15"/>
        <v/>
      </c>
      <c r="P91" s="117" t="str">
        <f>IF(NOT(ISNUMBER($O91)),"",mQualidade.ClassificarMargem($O91))</f>
        <v/>
      </c>
      <c r="Q91" s="117" t="str">
        <f t="shared" si="16"/>
        <v>OK</v>
      </c>
      <c r="R91" s="117" t="str">
        <f>IF($A91="","",mCEQ.StatusSDIeq($A91,eqAnoEP,IFERROR(INDEX(Analitos!$AR$4:$AR$43,MATCH($A91,Analitos!$A$4:$A$43,0)),"CAP"),eqRodada))</f>
        <v>SEM EP</v>
      </c>
      <c r="S91" s="117" t="str">
        <f>IF($A91="","",mCEQ.StatusLimitesEQ($A91,eqAnoEP,IFERROR(INDEX(Analitos!$AR$4:$AR$43,MATCH($A91,Analitos!$A$4:$A$43,0)),"CAP"),eqRodada))</f>
        <v>SEM EP</v>
      </c>
      <c r="T91" s="116" t="str">
        <f>IF($A91="","",mCEQ.BiasEQ($A91,eqAnoEP,"SIGNED",IFERROR(INDEX(Analitos!$AR$4:$AR$43,MATCH($A91,Analitos!$A$4:$A$43,0)),"CAP"),eqRodada))</f>
        <v>SEM EP</v>
      </c>
      <c r="U91" s="117" t="str">
        <f>IF(OR($P91="ETp excedido",$P91="Margem critica"),COUNTIF($P$14:$P91,"ETp excedido")+COUNTIF($P$14:$P91,"Margem critica"),"")</f>
        <v/>
      </c>
      <c r="V91" s="118" t="str">
        <f>IF(NOT(ISNUMBER($L91)),"",mPlanoQC.DPMdoSigma($L91))</f>
        <v/>
      </c>
      <c r="W91" s="119" t="str">
        <f>IF(NOT(ISNUMBER($L91)),"",mPlanoQC.RendimentoDoSigma($L91))</f>
        <v/>
      </c>
      <c r="X91" s="117" t="str">
        <f>IF(NOT(ISNUMBER($L91)),"",mPlanoQC.PlanoQC($L91,"REGRAS"))</f>
        <v/>
      </c>
      <c r="Y91" s="120" t="str">
        <f>IF(NOT(ISNUMBER($L91)),"",mPlanoQC.PlanoQC($L91,"N"))</f>
        <v/>
      </c>
      <c r="Z91" s="121" t="str">
        <f>IF(NOT(ISNUMBER($L91)),"",mPlanoQC.PlanoQC($L91,"RUNSIZE"))</f>
        <v/>
      </c>
      <c r="AA91" s="117" t="str">
        <f>IF(NOT(ISNUMBER($L91)),"",mPlanoQC.CoberturaWestgard($L91))</f>
        <v/>
      </c>
      <c r="AB91" s="117" t="str">
        <f t="shared" si="17"/>
        <v>RET%|3</v>
      </c>
      <c r="AC91" s="120" t="str">
        <f>IF($A91="","",mCEQ.BiasEQ($A91,eqAnoEP,"N",IFERROR(INDEX(Analitos!$AR$4:$AR$43,MATCH($A91,Analitos!$A$4:$A$43,0)),"CAP"),eqRodada))</f>
        <v>SEM EP</v>
      </c>
      <c r="AD91" s="120" t="str">
        <f>IF($A91="","",mCEQ.BiasEQ($A91,eqAnoEP,"NRODADAS",IFERROR(INDEX(Analitos!$AR$4:$AR$43,MATCH($A91,Analitos!$A$4:$A$43,0)),"CAP"),eqRodada))</f>
        <v>SEM EP</v>
      </c>
    </row>
    <row r="92" spans="1:30" x14ac:dyDescent="0.3">
      <c r="A92" s="110" t="str">
        <f>Analitos!$A$30</f>
        <v>RET#</v>
      </c>
      <c r="B92" s="111">
        <v>1</v>
      </c>
      <c r="C92" s="112">
        <f>IF($A92="","",IF(INDEX(engEstat,ROW()-13,3)="","",INDEX(engEstat,ROW()-13,3)))</f>
        <v>25</v>
      </c>
      <c r="D92" s="113">
        <f>IF($A92="","",IF(INDEX(engEstat,ROW()-13,4)="","",INDEX(engEstat,ROW()-13,4)))</f>
        <v>0.10709200000000001</v>
      </c>
      <c r="E92" s="113">
        <f>IF($A92="","",IF(INDEX(engEstat,ROW()-13,5)="","",INDEX(engEstat,ROW()-13,5)))</f>
        <v>6.8489609917612073E-3</v>
      </c>
      <c r="F92" s="114">
        <f>IF($A92="","",IF(INDEX(engEstat,ROW()-13,6)="","",INDEX(engEstat,ROW()-13,6)))</f>
        <v>6.3953992751664055</v>
      </c>
      <c r="G92" s="114" t="str">
        <f>IF($A92="","",mCEQ.BiasEQ($A92,eqAnoEP,"ABS",eqProvedor,eqRodada))</f>
        <v>SEM EP</v>
      </c>
      <c r="H92" s="114" t="str">
        <f t="shared" si="12"/>
        <v/>
      </c>
      <c r="I92" s="114" t="str">
        <f>IF($A92="","",IFERROR(INDEX(Analitos!$Q$4:$Q$43,MATCH($A92,Analitos!$A$4:$A$43,0)),""))</f>
        <v>-</v>
      </c>
      <c r="J92" s="114" t="str">
        <f>IF($A92="","",IFERROR(IF($I92="VB",INDEX(Analitos!$T$4:$T$43,MATCH($A92,Analitos!$A$4:$A$43,0)),IF(INDEX(Analitos!$S$4:$S$43,MATCH($A92,Analitos!$A$4:$A$43,0))&lt;&gt;"",INDEX(Analitos!$S$4:$S$43,MATCH($A92,Analitos!$A$4:$A$43,0)),INDEX(Analitos!$T$4:$T$43,MATCH($A92,Analitos!$A$4:$A$43,0)))),""))</f>
        <v/>
      </c>
      <c r="K92" s="114" t="str">
        <f>IF($A92="","",IFERROR(INDEX(Analitos!$R$4:$R$43,MATCH($A92,Analitos!$A$4:$A$43,0)),""))</f>
        <v/>
      </c>
      <c r="L92" s="114" t="str">
        <f t="shared" si="13"/>
        <v/>
      </c>
      <c r="M92" s="114" t="str">
        <f>IF(NOT(ISNUMBER($L92)),"",mQualidade.ClassificarSigma($L92))</f>
        <v/>
      </c>
      <c r="N92" s="115" t="str">
        <f t="shared" si="14"/>
        <v/>
      </c>
      <c r="O92" s="116" t="str">
        <f t="shared" si="15"/>
        <v/>
      </c>
      <c r="P92" s="117" t="str">
        <f>IF(NOT(ISNUMBER($O92)),"",mQualidade.ClassificarMargem($O92))</f>
        <v/>
      </c>
      <c r="Q92" s="117" t="str">
        <f t="shared" si="16"/>
        <v/>
      </c>
      <c r="R92" s="117" t="str">
        <f>IF($A92="","",mCEQ.StatusSDIeq($A92,eqAnoEP,IFERROR(INDEX(Analitos!$AR$4:$AR$43,MATCH($A92,Analitos!$A$4:$A$43,0)),"CAP"),eqRodada))</f>
        <v>SEM EP</v>
      </c>
      <c r="S92" s="117" t="str">
        <f>IF($A92="","",mCEQ.StatusLimitesEQ($A92,eqAnoEP,IFERROR(INDEX(Analitos!$AR$4:$AR$43,MATCH($A92,Analitos!$A$4:$A$43,0)),"CAP"),eqRodada))</f>
        <v>SEM EP</v>
      </c>
      <c r="T92" s="116" t="str">
        <f>IF($A92="","",mCEQ.BiasEQ($A92,eqAnoEP,"SIGNED",IFERROR(INDEX(Analitos!$AR$4:$AR$43,MATCH($A92,Analitos!$A$4:$A$43,0)),"CAP"),eqRodada))</f>
        <v>SEM EP</v>
      </c>
      <c r="U92" s="117" t="str">
        <f>IF(OR($P92="ETp excedido",$P92="Margem critica"),COUNTIF($P$14:$P92,"ETp excedido")+COUNTIF($P$14:$P92,"Margem critica"),"")</f>
        <v/>
      </c>
      <c r="V92" s="118" t="str">
        <f>IF(NOT(ISNUMBER($L92)),"",mPlanoQC.DPMdoSigma($L92))</f>
        <v/>
      </c>
      <c r="W92" s="119" t="str">
        <f>IF(NOT(ISNUMBER($L92)),"",mPlanoQC.RendimentoDoSigma($L92))</f>
        <v/>
      </c>
      <c r="X92" s="117" t="str">
        <f>IF(NOT(ISNUMBER($L92)),"",mPlanoQC.PlanoQC($L92,"REGRAS"))</f>
        <v/>
      </c>
      <c r="Y92" s="120" t="str">
        <f>IF(NOT(ISNUMBER($L92)),"",mPlanoQC.PlanoQC($L92,"N"))</f>
        <v/>
      </c>
      <c r="Z92" s="121" t="str">
        <f>IF(NOT(ISNUMBER($L92)),"",mPlanoQC.PlanoQC($L92,"RUNSIZE"))</f>
        <v/>
      </c>
      <c r="AA92" s="117" t="str">
        <f>IF(NOT(ISNUMBER($L92)),"",mPlanoQC.CoberturaWestgard($L92))</f>
        <v/>
      </c>
      <c r="AB92" s="117" t="str">
        <f t="shared" si="17"/>
        <v>RET#|1</v>
      </c>
      <c r="AC92" s="120" t="str">
        <f>IF($A92="","",mCEQ.BiasEQ($A92,eqAnoEP,"N",IFERROR(INDEX(Analitos!$AR$4:$AR$43,MATCH($A92,Analitos!$A$4:$A$43,0)),"CAP"),eqRodada))</f>
        <v>SEM EP</v>
      </c>
      <c r="AD92" s="120" t="str">
        <f>IF($A92="","",mCEQ.BiasEQ($A92,eqAnoEP,"NRODADAS",IFERROR(INDEX(Analitos!$AR$4:$AR$43,MATCH($A92,Analitos!$A$4:$A$43,0)),"CAP"),eqRodada))</f>
        <v>SEM EP</v>
      </c>
    </row>
    <row r="93" spans="1:30" x14ac:dyDescent="0.3">
      <c r="A93" s="110" t="str">
        <f>Analitos!$A$30</f>
        <v>RET#</v>
      </c>
      <c r="B93" s="111">
        <v>2</v>
      </c>
      <c r="C93" s="112">
        <f>IF($A93="","",IF(INDEX(engEstat,ROW()-13,3)="","",INDEX(engEstat,ROW()-13,3)))</f>
        <v>25</v>
      </c>
      <c r="D93" s="113">
        <f>IF($A93="","",IF(INDEX(engEstat,ROW()-13,4)="","",INDEX(engEstat,ROW()-13,4)))</f>
        <v>0.10256400000000002</v>
      </c>
      <c r="E93" s="113">
        <f>IF($A93="","",IF(INDEX(engEstat,ROW()-13,5)="","",INDEX(engEstat,ROW()-13,5)))</f>
        <v>3.7048256819091139E-3</v>
      </c>
      <c r="F93" s="114">
        <f>IF($A93="","",IF(INDEX(engEstat,ROW()-13,6)="","",INDEX(engEstat,ROW()-13,6)))</f>
        <v>3.6122086520700374</v>
      </c>
      <c r="G93" s="114" t="str">
        <f>IF($A93="","",mCEQ.BiasEQ($A93,eqAnoEP,"ABS",eqProvedor,eqRodada))</f>
        <v>SEM EP</v>
      </c>
      <c r="H93" s="114" t="str">
        <f t="shared" si="12"/>
        <v/>
      </c>
      <c r="I93" s="114" t="str">
        <f>IF($A93="","",IFERROR(INDEX(Analitos!$Q$4:$Q$43,MATCH($A93,Analitos!$A$4:$A$43,0)),""))</f>
        <v>-</v>
      </c>
      <c r="J93" s="114" t="str">
        <f>IF($A93="","",IFERROR(IF($I93="VB",INDEX(Analitos!$T$4:$T$43,MATCH($A93,Analitos!$A$4:$A$43,0)),IF(INDEX(Analitos!$S$4:$S$43,MATCH($A93,Analitos!$A$4:$A$43,0))&lt;&gt;"",INDEX(Analitos!$S$4:$S$43,MATCH($A93,Analitos!$A$4:$A$43,0)),INDEX(Analitos!$T$4:$T$43,MATCH($A93,Analitos!$A$4:$A$43,0)))),""))</f>
        <v/>
      </c>
      <c r="K93" s="114" t="str">
        <f>IF($A93="","",IFERROR(INDEX(Analitos!$R$4:$R$43,MATCH($A93,Analitos!$A$4:$A$43,0)),""))</f>
        <v/>
      </c>
      <c r="L93" s="114" t="str">
        <f t="shared" si="13"/>
        <v/>
      </c>
      <c r="M93" s="114" t="str">
        <f>IF(NOT(ISNUMBER($L93)),"",mQualidade.ClassificarSigma($L93))</f>
        <v/>
      </c>
      <c r="N93" s="115" t="str">
        <f t="shared" si="14"/>
        <v/>
      </c>
      <c r="O93" s="116" t="str">
        <f t="shared" si="15"/>
        <v/>
      </c>
      <c r="P93" s="117" t="str">
        <f>IF(NOT(ISNUMBER($O93)),"",mQualidade.ClassificarMargem($O93))</f>
        <v/>
      </c>
      <c r="Q93" s="117" t="str">
        <f t="shared" si="16"/>
        <v/>
      </c>
      <c r="R93" s="117" t="str">
        <f>IF($A93="","",mCEQ.StatusSDIeq($A93,eqAnoEP,IFERROR(INDEX(Analitos!$AR$4:$AR$43,MATCH($A93,Analitos!$A$4:$A$43,0)),"CAP"),eqRodada))</f>
        <v>SEM EP</v>
      </c>
      <c r="S93" s="117" t="str">
        <f>IF($A93="","",mCEQ.StatusLimitesEQ($A93,eqAnoEP,IFERROR(INDEX(Analitos!$AR$4:$AR$43,MATCH($A93,Analitos!$A$4:$A$43,0)),"CAP"),eqRodada))</f>
        <v>SEM EP</v>
      </c>
      <c r="T93" s="116" t="str">
        <f>IF($A93="","",mCEQ.BiasEQ($A93,eqAnoEP,"SIGNED",IFERROR(INDEX(Analitos!$AR$4:$AR$43,MATCH($A93,Analitos!$A$4:$A$43,0)),"CAP"),eqRodada))</f>
        <v>SEM EP</v>
      </c>
      <c r="U93" s="117" t="str">
        <f>IF(OR($P93="ETp excedido",$P93="Margem critica"),COUNTIF($P$14:$P93,"ETp excedido")+COUNTIF($P$14:$P93,"Margem critica"),"")</f>
        <v/>
      </c>
      <c r="V93" s="118" t="str">
        <f>IF(NOT(ISNUMBER($L93)),"",mPlanoQC.DPMdoSigma($L93))</f>
        <v/>
      </c>
      <c r="W93" s="119" t="str">
        <f>IF(NOT(ISNUMBER($L93)),"",mPlanoQC.RendimentoDoSigma($L93))</f>
        <v/>
      </c>
      <c r="X93" s="117" t="str">
        <f>IF(NOT(ISNUMBER($L93)),"",mPlanoQC.PlanoQC($L93,"REGRAS"))</f>
        <v/>
      </c>
      <c r="Y93" s="120" t="str">
        <f>IF(NOT(ISNUMBER($L93)),"",mPlanoQC.PlanoQC($L93,"N"))</f>
        <v/>
      </c>
      <c r="Z93" s="121" t="str">
        <f>IF(NOT(ISNUMBER($L93)),"",mPlanoQC.PlanoQC($L93,"RUNSIZE"))</f>
        <v/>
      </c>
      <c r="AA93" s="117" t="str">
        <f>IF(NOT(ISNUMBER($L93)),"",mPlanoQC.CoberturaWestgard($L93))</f>
        <v/>
      </c>
      <c r="AB93" s="117" t="str">
        <f t="shared" si="17"/>
        <v>RET#|2</v>
      </c>
      <c r="AC93" s="120" t="str">
        <f>IF($A93="","",mCEQ.BiasEQ($A93,eqAnoEP,"N",IFERROR(INDEX(Analitos!$AR$4:$AR$43,MATCH($A93,Analitos!$A$4:$A$43,0)),"CAP"),eqRodada))</f>
        <v>SEM EP</v>
      </c>
      <c r="AD93" s="120" t="str">
        <f>IF($A93="","",mCEQ.BiasEQ($A93,eqAnoEP,"NRODADAS",IFERROR(INDEX(Analitos!$AR$4:$AR$43,MATCH($A93,Analitos!$A$4:$A$43,0)),"CAP"),eqRodada))</f>
        <v>SEM EP</v>
      </c>
    </row>
    <row r="94" spans="1:30" x14ac:dyDescent="0.3">
      <c r="A94" s="110" t="str">
        <f>Analitos!$A$30</f>
        <v>RET#</v>
      </c>
      <c r="B94" s="111">
        <v>3</v>
      </c>
      <c r="C94" s="112">
        <f>IF($A94="","",IF(INDEX(engEstat,ROW()-13,3)="","",INDEX(engEstat,ROW()-13,3)))</f>
        <v>25</v>
      </c>
      <c r="D94" s="113">
        <f>IF($A94="","",IF(INDEX(engEstat,ROW()-13,4)="","",INDEX(engEstat,ROW()-13,4)))</f>
        <v>6.3236000000000001E-2</v>
      </c>
      <c r="E94" s="113">
        <f>IF($A94="","",IF(INDEX(engEstat,ROW()-13,5)="","",INDEX(engEstat,ROW()-13,5)))</f>
        <v>2.2521989254948149E-3</v>
      </c>
      <c r="F94" s="114">
        <f>IF($A94="","",IF(INDEX(engEstat,ROW()-13,6)="","",INDEX(engEstat,ROW()-13,6)))</f>
        <v>3.5615771482934004</v>
      </c>
      <c r="G94" s="114" t="str">
        <f>IF($A94="","",mCEQ.BiasEQ($A94,eqAnoEP,"ABS",eqProvedor,eqRodada))</f>
        <v>SEM EP</v>
      </c>
      <c r="H94" s="114" t="str">
        <f t="shared" si="12"/>
        <v/>
      </c>
      <c r="I94" s="114" t="str">
        <f>IF($A94="","",IFERROR(INDEX(Analitos!$Q$4:$Q$43,MATCH($A94,Analitos!$A$4:$A$43,0)),""))</f>
        <v>-</v>
      </c>
      <c r="J94" s="114" t="str">
        <f>IF($A94="","",IFERROR(IF($I94="VB",INDEX(Analitos!$T$4:$T$43,MATCH($A94,Analitos!$A$4:$A$43,0)),IF(INDEX(Analitos!$S$4:$S$43,MATCH($A94,Analitos!$A$4:$A$43,0))&lt;&gt;"",INDEX(Analitos!$S$4:$S$43,MATCH($A94,Analitos!$A$4:$A$43,0)),INDEX(Analitos!$T$4:$T$43,MATCH($A94,Analitos!$A$4:$A$43,0)))),""))</f>
        <v/>
      </c>
      <c r="K94" s="114" t="str">
        <f>IF($A94="","",IFERROR(INDEX(Analitos!$R$4:$R$43,MATCH($A94,Analitos!$A$4:$A$43,0)),""))</f>
        <v/>
      </c>
      <c r="L94" s="114" t="str">
        <f t="shared" si="13"/>
        <v/>
      </c>
      <c r="M94" s="114" t="str">
        <f>IF(NOT(ISNUMBER($L94)),"",mQualidade.ClassificarSigma($L94))</f>
        <v/>
      </c>
      <c r="N94" s="115" t="str">
        <f t="shared" si="14"/>
        <v/>
      </c>
      <c r="O94" s="116" t="str">
        <f t="shared" si="15"/>
        <v/>
      </c>
      <c r="P94" s="117" t="str">
        <f>IF(NOT(ISNUMBER($O94)),"",mQualidade.ClassificarMargem($O94))</f>
        <v/>
      </c>
      <c r="Q94" s="117" t="str">
        <f t="shared" si="16"/>
        <v/>
      </c>
      <c r="R94" s="117" t="str">
        <f>IF($A94="","",mCEQ.StatusSDIeq($A94,eqAnoEP,IFERROR(INDEX(Analitos!$AR$4:$AR$43,MATCH($A94,Analitos!$A$4:$A$43,0)),"CAP"),eqRodada))</f>
        <v>SEM EP</v>
      </c>
      <c r="S94" s="117" t="str">
        <f>IF($A94="","",mCEQ.StatusLimitesEQ($A94,eqAnoEP,IFERROR(INDEX(Analitos!$AR$4:$AR$43,MATCH($A94,Analitos!$A$4:$A$43,0)),"CAP"),eqRodada))</f>
        <v>SEM EP</v>
      </c>
      <c r="T94" s="116" t="str">
        <f>IF($A94="","",mCEQ.BiasEQ($A94,eqAnoEP,"SIGNED",IFERROR(INDEX(Analitos!$AR$4:$AR$43,MATCH($A94,Analitos!$A$4:$A$43,0)),"CAP"),eqRodada))</f>
        <v>SEM EP</v>
      </c>
      <c r="U94" s="117" t="str">
        <f>IF(OR($P94="ETp excedido",$P94="Margem critica"),COUNTIF($P$14:$P94,"ETp excedido")+COUNTIF($P$14:$P94,"Margem critica"),"")</f>
        <v/>
      </c>
      <c r="V94" s="118" t="str">
        <f>IF(NOT(ISNUMBER($L94)),"",mPlanoQC.DPMdoSigma($L94))</f>
        <v/>
      </c>
      <c r="W94" s="119" t="str">
        <f>IF(NOT(ISNUMBER($L94)),"",mPlanoQC.RendimentoDoSigma($L94))</f>
        <v/>
      </c>
      <c r="X94" s="117" t="str">
        <f>IF(NOT(ISNUMBER($L94)),"",mPlanoQC.PlanoQC($L94,"REGRAS"))</f>
        <v/>
      </c>
      <c r="Y94" s="120" t="str">
        <f>IF(NOT(ISNUMBER($L94)),"",mPlanoQC.PlanoQC($L94,"N"))</f>
        <v/>
      </c>
      <c r="Z94" s="121" t="str">
        <f>IF(NOT(ISNUMBER($L94)),"",mPlanoQC.PlanoQC($L94,"RUNSIZE"))</f>
        <v/>
      </c>
      <c r="AA94" s="117" t="str">
        <f>IF(NOT(ISNUMBER($L94)),"",mPlanoQC.CoberturaWestgard($L94))</f>
        <v/>
      </c>
      <c r="AB94" s="117" t="str">
        <f t="shared" si="17"/>
        <v>RET#|3</v>
      </c>
      <c r="AC94" s="120" t="str">
        <f>IF($A94="","",mCEQ.BiasEQ($A94,eqAnoEP,"N",IFERROR(INDEX(Analitos!$AR$4:$AR$43,MATCH($A94,Analitos!$A$4:$A$43,0)),"CAP"),eqRodada))</f>
        <v>SEM EP</v>
      </c>
      <c r="AD94" s="120" t="str">
        <f>IF($A94="","",mCEQ.BiasEQ($A94,eqAnoEP,"NRODADAS",IFERROR(INDEX(Analitos!$AR$4:$AR$43,MATCH($A94,Analitos!$A$4:$A$43,0)),"CAP"),eqRodada))</f>
        <v>SEM EP</v>
      </c>
    </row>
    <row r="95" spans="1:30" x14ac:dyDescent="0.3">
      <c r="A95" s="110" t="str">
        <f>Analitos!$A$31</f>
        <v>IRF</v>
      </c>
      <c r="B95" s="111">
        <v>1</v>
      </c>
      <c r="C95" s="112">
        <f>IF($A95="","",IF(INDEX(engEstat,ROW()-13,3)="","",INDEX(engEstat,ROW()-13,3)))</f>
        <v>25</v>
      </c>
      <c r="D95" s="113">
        <f>IF($A95="","",IF(INDEX(engEstat,ROW()-13,4)="","",INDEX(engEstat,ROW()-13,4)))</f>
        <v>39.193863999999991</v>
      </c>
      <c r="E95" s="113">
        <f>IF($A95="","",IF(INDEX(engEstat,ROW()-13,5)="","",INDEX(engEstat,ROW()-13,5)))</f>
        <v>7.07549850510431</v>
      </c>
      <c r="F95" s="114">
        <f>IF($A95="","",IF(INDEX(engEstat,ROW()-13,6)="","",INDEX(engEstat,ROW()-13,6)))</f>
        <v>18.052566863793555</v>
      </c>
      <c r="G95" s="114" t="str">
        <f>IF($A95="","",mCEQ.BiasEQ($A95,eqAnoEP,"ABS",eqProvedor,eqRodada))</f>
        <v>SEM EP</v>
      </c>
      <c r="H95" s="114" t="str">
        <f t="shared" si="12"/>
        <v/>
      </c>
      <c r="I95" s="114" t="str">
        <f>IF($A95="","",IFERROR(INDEX(Analitos!$Q$4:$Q$43,MATCH($A95,Analitos!$A$4:$A$43,0)),""))</f>
        <v>-</v>
      </c>
      <c r="J95" s="114" t="str">
        <f>IF($A95="","",IFERROR(IF($I95="VB",INDEX(Analitos!$T$4:$T$43,MATCH($A95,Analitos!$A$4:$A$43,0)),IF(INDEX(Analitos!$S$4:$S$43,MATCH($A95,Analitos!$A$4:$A$43,0))&lt;&gt;"",INDEX(Analitos!$S$4:$S$43,MATCH($A95,Analitos!$A$4:$A$43,0)),INDEX(Analitos!$T$4:$T$43,MATCH($A95,Analitos!$A$4:$A$43,0)))),""))</f>
        <v/>
      </c>
      <c r="K95" s="114" t="str">
        <f>IF($A95="","",IFERROR(INDEX(Analitos!$R$4:$R$43,MATCH($A95,Analitos!$A$4:$A$43,0)),""))</f>
        <v/>
      </c>
      <c r="L95" s="114" t="str">
        <f t="shared" si="13"/>
        <v/>
      </c>
      <c r="M95" s="114" t="str">
        <f>IF(NOT(ISNUMBER($L95)),"",mQualidade.ClassificarSigma($L95))</f>
        <v/>
      </c>
      <c r="N95" s="115" t="str">
        <f t="shared" si="14"/>
        <v/>
      </c>
      <c r="O95" s="116" t="str">
        <f t="shared" si="15"/>
        <v/>
      </c>
      <c r="P95" s="117" t="str">
        <f>IF(NOT(ISNUMBER($O95)),"",mQualidade.ClassificarMargem($O95))</f>
        <v/>
      </c>
      <c r="Q95" s="117" t="str">
        <f t="shared" si="16"/>
        <v/>
      </c>
      <c r="R95" s="117" t="str">
        <f>IF($A95="","",mCEQ.StatusSDIeq($A95,eqAnoEP,IFERROR(INDEX(Analitos!$AR$4:$AR$43,MATCH($A95,Analitos!$A$4:$A$43,0)),"CAP"),eqRodada))</f>
        <v>SEM EP</v>
      </c>
      <c r="S95" s="117" t="str">
        <f>IF($A95="","",mCEQ.StatusLimitesEQ($A95,eqAnoEP,IFERROR(INDEX(Analitos!$AR$4:$AR$43,MATCH($A95,Analitos!$A$4:$A$43,0)),"CAP"),eqRodada))</f>
        <v>SEM EP</v>
      </c>
      <c r="T95" s="116" t="str">
        <f>IF($A95="","",mCEQ.BiasEQ($A95,eqAnoEP,"SIGNED",IFERROR(INDEX(Analitos!$AR$4:$AR$43,MATCH($A95,Analitos!$A$4:$A$43,0)),"CAP"),eqRodada))</f>
        <v>SEM EP</v>
      </c>
      <c r="U95" s="117" t="str">
        <f>IF(OR($P95="ETp excedido",$P95="Margem critica"),COUNTIF($P$14:$P95,"ETp excedido")+COUNTIF($P$14:$P95,"Margem critica"),"")</f>
        <v/>
      </c>
      <c r="V95" s="118" t="str">
        <f>IF(NOT(ISNUMBER($L95)),"",mPlanoQC.DPMdoSigma($L95))</f>
        <v/>
      </c>
      <c r="W95" s="119" t="str">
        <f>IF(NOT(ISNUMBER($L95)),"",mPlanoQC.RendimentoDoSigma($L95))</f>
        <v/>
      </c>
      <c r="X95" s="117" t="str">
        <f>IF(NOT(ISNUMBER($L95)),"",mPlanoQC.PlanoQC($L95,"REGRAS"))</f>
        <v/>
      </c>
      <c r="Y95" s="120" t="str">
        <f>IF(NOT(ISNUMBER($L95)),"",mPlanoQC.PlanoQC($L95,"N"))</f>
        <v/>
      </c>
      <c r="Z95" s="121" t="str">
        <f>IF(NOT(ISNUMBER($L95)),"",mPlanoQC.PlanoQC($L95,"RUNSIZE"))</f>
        <v/>
      </c>
      <c r="AA95" s="117" t="str">
        <f>IF(NOT(ISNUMBER($L95)),"",mPlanoQC.CoberturaWestgard($L95))</f>
        <v/>
      </c>
      <c r="AB95" s="117" t="str">
        <f t="shared" si="17"/>
        <v>IRF|1</v>
      </c>
      <c r="AC95" s="120" t="str">
        <f>IF($A95="","",mCEQ.BiasEQ($A95,eqAnoEP,"N",IFERROR(INDEX(Analitos!$AR$4:$AR$43,MATCH($A95,Analitos!$A$4:$A$43,0)),"CAP"),eqRodada))</f>
        <v>SEM EP</v>
      </c>
      <c r="AD95" s="120" t="str">
        <f>IF($A95="","",mCEQ.BiasEQ($A95,eqAnoEP,"NRODADAS",IFERROR(INDEX(Analitos!$AR$4:$AR$43,MATCH($A95,Analitos!$A$4:$A$43,0)),"CAP"),eqRodada))</f>
        <v>SEM EP</v>
      </c>
    </row>
    <row r="96" spans="1:30" x14ac:dyDescent="0.3">
      <c r="A96" s="110" t="str">
        <f>Analitos!$A$31</f>
        <v>IRF</v>
      </c>
      <c r="B96" s="111">
        <v>2</v>
      </c>
      <c r="C96" s="112">
        <f>IF($A96="","",IF(INDEX(engEstat,ROW()-13,3)="","",INDEX(engEstat,ROW()-13,3)))</f>
        <v>25</v>
      </c>
      <c r="D96" s="113">
        <f>IF($A96="","",IF(INDEX(engEstat,ROW()-13,4)="","",INDEX(engEstat,ROW()-13,4)))</f>
        <v>40.723823999999993</v>
      </c>
      <c r="E96" s="113">
        <f>IF($A96="","",IF(INDEX(engEstat,ROW()-13,5)="","",INDEX(engEstat,ROW()-13,5)))</f>
        <v>8.0076935583995308</v>
      </c>
      <c r="F96" s="114">
        <f>IF($A96="","",IF(INDEX(engEstat,ROW()-13,6)="","",INDEX(engEstat,ROW()-13,6)))</f>
        <v>19.663412646119706</v>
      </c>
      <c r="G96" s="114" t="str">
        <f>IF($A96="","",mCEQ.BiasEQ($A96,eqAnoEP,"ABS",eqProvedor,eqRodada))</f>
        <v>SEM EP</v>
      </c>
      <c r="H96" s="114" t="str">
        <f t="shared" si="12"/>
        <v/>
      </c>
      <c r="I96" s="114" t="str">
        <f>IF($A96="","",IFERROR(INDEX(Analitos!$Q$4:$Q$43,MATCH($A96,Analitos!$A$4:$A$43,0)),""))</f>
        <v>-</v>
      </c>
      <c r="J96" s="114" t="str">
        <f>IF($A96="","",IFERROR(IF($I96="VB",INDEX(Analitos!$T$4:$T$43,MATCH($A96,Analitos!$A$4:$A$43,0)),IF(INDEX(Analitos!$S$4:$S$43,MATCH($A96,Analitos!$A$4:$A$43,0))&lt;&gt;"",INDEX(Analitos!$S$4:$S$43,MATCH($A96,Analitos!$A$4:$A$43,0)),INDEX(Analitos!$T$4:$T$43,MATCH($A96,Analitos!$A$4:$A$43,0)))),""))</f>
        <v/>
      </c>
      <c r="K96" s="114" t="str">
        <f>IF($A96="","",IFERROR(INDEX(Analitos!$R$4:$R$43,MATCH($A96,Analitos!$A$4:$A$43,0)),""))</f>
        <v/>
      </c>
      <c r="L96" s="114" t="str">
        <f t="shared" si="13"/>
        <v/>
      </c>
      <c r="M96" s="114" t="str">
        <f>IF(NOT(ISNUMBER($L96)),"",mQualidade.ClassificarSigma($L96))</f>
        <v/>
      </c>
      <c r="N96" s="115" t="str">
        <f t="shared" si="14"/>
        <v/>
      </c>
      <c r="O96" s="116" t="str">
        <f t="shared" si="15"/>
        <v/>
      </c>
      <c r="P96" s="117" t="str">
        <f>IF(NOT(ISNUMBER($O96)),"",mQualidade.ClassificarMargem($O96))</f>
        <v/>
      </c>
      <c r="Q96" s="117" t="str">
        <f t="shared" si="16"/>
        <v/>
      </c>
      <c r="R96" s="117" t="str">
        <f>IF($A96="","",mCEQ.StatusSDIeq($A96,eqAnoEP,IFERROR(INDEX(Analitos!$AR$4:$AR$43,MATCH($A96,Analitos!$A$4:$A$43,0)),"CAP"),eqRodada))</f>
        <v>SEM EP</v>
      </c>
      <c r="S96" s="117" t="str">
        <f>IF($A96="","",mCEQ.StatusLimitesEQ($A96,eqAnoEP,IFERROR(INDEX(Analitos!$AR$4:$AR$43,MATCH($A96,Analitos!$A$4:$A$43,0)),"CAP"),eqRodada))</f>
        <v>SEM EP</v>
      </c>
      <c r="T96" s="116" t="str">
        <f>IF($A96="","",mCEQ.BiasEQ($A96,eqAnoEP,"SIGNED",IFERROR(INDEX(Analitos!$AR$4:$AR$43,MATCH($A96,Analitos!$A$4:$A$43,0)),"CAP"),eqRodada))</f>
        <v>SEM EP</v>
      </c>
      <c r="U96" s="117" t="str">
        <f>IF(OR($P96="ETp excedido",$P96="Margem critica"),COUNTIF($P$14:$P96,"ETp excedido")+COUNTIF($P$14:$P96,"Margem critica"),"")</f>
        <v/>
      </c>
      <c r="V96" s="118" t="str">
        <f>IF(NOT(ISNUMBER($L96)),"",mPlanoQC.DPMdoSigma($L96))</f>
        <v/>
      </c>
      <c r="W96" s="119" t="str">
        <f>IF(NOT(ISNUMBER($L96)),"",mPlanoQC.RendimentoDoSigma($L96))</f>
        <v/>
      </c>
      <c r="X96" s="117" t="str">
        <f>IF(NOT(ISNUMBER($L96)),"",mPlanoQC.PlanoQC($L96,"REGRAS"))</f>
        <v/>
      </c>
      <c r="Y96" s="120" t="str">
        <f>IF(NOT(ISNUMBER($L96)),"",mPlanoQC.PlanoQC($L96,"N"))</f>
        <v/>
      </c>
      <c r="Z96" s="121" t="str">
        <f>IF(NOT(ISNUMBER($L96)),"",mPlanoQC.PlanoQC($L96,"RUNSIZE"))</f>
        <v/>
      </c>
      <c r="AA96" s="117" t="str">
        <f>IF(NOT(ISNUMBER($L96)),"",mPlanoQC.CoberturaWestgard($L96))</f>
        <v/>
      </c>
      <c r="AB96" s="117" t="str">
        <f t="shared" si="17"/>
        <v>IRF|2</v>
      </c>
      <c r="AC96" s="120" t="str">
        <f>IF($A96="","",mCEQ.BiasEQ($A96,eqAnoEP,"N",IFERROR(INDEX(Analitos!$AR$4:$AR$43,MATCH($A96,Analitos!$A$4:$A$43,0)),"CAP"),eqRodada))</f>
        <v>SEM EP</v>
      </c>
      <c r="AD96" s="120" t="str">
        <f>IF($A96="","",mCEQ.BiasEQ($A96,eqAnoEP,"NRODADAS",IFERROR(INDEX(Analitos!$AR$4:$AR$43,MATCH($A96,Analitos!$A$4:$A$43,0)),"CAP"),eqRodada))</f>
        <v>SEM EP</v>
      </c>
    </row>
    <row r="97" spans="1:30" x14ac:dyDescent="0.3">
      <c r="A97" s="110" t="str">
        <f>Analitos!$A$31</f>
        <v>IRF</v>
      </c>
      <c r="B97" s="111">
        <v>3</v>
      </c>
      <c r="C97" s="112">
        <f>IF($A97="","",IF(INDEX(engEstat,ROW()-13,3)="","",INDEX(engEstat,ROW()-13,3)))</f>
        <v>25</v>
      </c>
      <c r="D97" s="113">
        <f>IF($A97="","",IF(INDEX(engEstat,ROW()-13,4)="","",INDEX(engEstat,ROW()-13,4)))</f>
        <v>33.550919999999998</v>
      </c>
      <c r="E97" s="113">
        <f>IF($A97="","",IF(INDEX(engEstat,ROW()-13,5)="","",INDEX(engEstat,ROW()-13,5)))</f>
        <v>5.033293440184071</v>
      </c>
      <c r="F97" s="114">
        <f>IF($A97="","",IF(INDEX(engEstat,ROW()-13,6)="","",INDEX(engEstat,ROW()-13,6)))</f>
        <v>15.001953568438873</v>
      </c>
      <c r="G97" s="114" t="str">
        <f>IF($A97="","",mCEQ.BiasEQ($A97,eqAnoEP,"ABS",eqProvedor,eqRodada))</f>
        <v>SEM EP</v>
      </c>
      <c r="H97" s="114" t="str">
        <f t="shared" si="12"/>
        <v/>
      </c>
      <c r="I97" s="114" t="str">
        <f>IF($A97="","",IFERROR(INDEX(Analitos!$Q$4:$Q$43,MATCH($A97,Analitos!$A$4:$A$43,0)),""))</f>
        <v>-</v>
      </c>
      <c r="J97" s="114" t="str">
        <f>IF($A97="","",IFERROR(IF($I97="VB",INDEX(Analitos!$T$4:$T$43,MATCH($A97,Analitos!$A$4:$A$43,0)),IF(INDEX(Analitos!$S$4:$S$43,MATCH($A97,Analitos!$A$4:$A$43,0))&lt;&gt;"",INDEX(Analitos!$S$4:$S$43,MATCH($A97,Analitos!$A$4:$A$43,0)),INDEX(Analitos!$T$4:$T$43,MATCH($A97,Analitos!$A$4:$A$43,0)))),""))</f>
        <v/>
      </c>
      <c r="K97" s="114" t="str">
        <f>IF($A97="","",IFERROR(INDEX(Analitos!$R$4:$R$43,MATCH($A97,Analitos!$A$4:$A$43,0)),""))</f>
        <v/>
      </c>
      <c r="L97" s="114" t="str">
        <f t="shared" si="13"/>
        <v/>
      </c>
      <c r="M97" s="114" t="str">
        <f>IF(NOT(ISNUMBER($L97)),"",mQualidade.ClassificarSigma($L97))</f>
        <v/>
      </c>
      <c r="N97" s="115" t="str">
        <f t="shared" si="14"/>
        <v/>
      </c>
      <c r="O97" s="116" t="str">
        <f t="shared" si="15"/>
        <v/>
      </c>
      <c r="P97" s="117" t="str">
        <f>IF(NOT(ISNUMBER($O97)),"",mQualidade.ClassificarMargem($O97))</f>
        <v/>
      </c>
      <c r="Q97" s="117" t="str">
        <f t="shared" si="16"/>
        <v/>
      </c>
      <c r="R97" s="117" t="str">
        <f>IF($A97="","",mCEQ.StatusSDIeq($A97,eqAnoEP,IFERROR(INDEX(Analitos!$AR$4:$AR$43,MATCH($A97,Analitos!$A$4:$A$43,0)),"CAP"),eqRodada))</f>
        <v>SEM EP</v>
      </c>
      <c r="S97" s="117" t="str">
        <f>IF($A97="","",mCEQ.StatusLimitesEQ($A97,eqAnoEP,IFERROR(INDEX(Analitos!$AR$4:$AR$43,MATCH($A97,Analitos!$A$4:$A$43,0)),"CAP"),eqRodada))</f>
        <v>SEM EP</v>
      </c>
      <c r="T97" s="116" t="str">
        <f>IF($A97="","",mCEQ.BiasEQ($A97,eqAnoEP,"SIGNED",IFERROR(INDEX(Analitos!$AR$4:$AR$43,MATCH($A97,Analitos!$A$4:$A$43,0)),"CAP"),eqRodada))</f>
        <v>SEM EP</v>
      </c>
      <c r="U97" s="117" t="str">
        <f>IF(OR($P97="ETp excedido",$P97="Margem critica"),COUNTIF($P$14:$P97,"ETp excedido")+COUNTIF($P$14:$P97,"Margem critica"),"")</f>
        <v/>
      </c>
      <c r="V97" s="118" t="str">
        <f>IF(NOT(ISNUMBER($L97)),"",mPlanoQC.DPMdoSigma($L97))</f>
        <v/>
      </c>
      <c r="W97" s="119" t="str">
        <f>IF(NOT(ISNUMBER($L97)),"",mPlanoQC.RendimentoDoSigma($L97))</f>
        <v/>
      </c>
      <c r="X97" s="117" t="str">
        <f>IF(NOT(ISNUMBER($L97)),"",mPlanoQC.PlanoQC($L97,"REGRAS"))</f>
        <v/>
      </c>
      <c r="Y97" s="120" t="str">
        <f>IF(NOT(ISNUMBER($L97)),"",mPlanoQC.PlanoQC($L97,"N"))</f>
        <v/>
      </c>
      <c r="Z97" s="121" t="str">
        <f>IF(NOT(ISNUMBER($L97)),"",mPlanoQC.PlanoQC($L97,"RUNSIZE"))</f>
        <v/>
      </c>
      <c r="AA97" s="117" t="str">
        <f>IF(NOT(ISNUMBER($L97)),"",mPlanoQC.CoberturaWestgard($L97))</f>
        <v/>
      </c>
      <c r="AB97" s="117" t="str">
        <f t="shared" si="17"/>
        <v>IRF|3</v>
      </c>
      <c r="AC97" s="120" t="str">
        <f>IF($A97="","",mCEQ.BiasEQ($A97,eqAnoEP,"N",IFERROR(INDEX(Analitos!$AR$4:$AR$43,MATCH($A97,Analitos!$A$4:$A$43,0)),"CAP"),eqRodada))</f>
        <v>SEM EP</v>
      </c>
      <c r="AD97" s="120" t="str">
        <f>IF($A97="","",mCEQ.BiasEQ($A97,eqAnoEP,"NRODADAS",IFERROR(INDEX(Analitos!$AR$4:$AR$43,MATCH($A97,Analitos!$A$4:$A$43,0)),"CAP"),eqRodada))</f>
        <v>SEM EP</v>
      </c>
    </row>
    <row r="98" spans="1:30" x14ac:dyDescent="0.3">
      <c r="A98" s="110">
        <f>Analitos!$A$32</f>
        <v>0</v>
      </c>
      <c r="B98" s="111">
        <v>1</v>
      </c>
      <c r="C98" s="112" t="str">
        <f>IF($A98="","",IF(INDEX(engEstat,ROW()-13,3)="","",INDEX(engEstat,ROW()-13,3)))</f>
        <v/>
      </c>
      <c r="D98" s="113" t="str">
        <f>IF($A98="","",IF(INDEX(engEstat,ROW()-13,4)="","",INDEX(engEstat,ROW()-13,4)))</f>
        <v/>
      </c>
      <c r="E98" s="113" t="str">
        <f>IF($A98="","",IF(INDEX(engEstat,ROW()-13,5)="","",INDEX(engEstat,ROW()-13,5)))</f>
        <v/>
      </c>
      <c r="F98" s="114" t="str">
        <f>IF($A98="","",IF(INDEX(engEstat,ROW()-13,6)="","",INDEX(engEstat,ROW()-13,6)))</f>
        <v/>
      </c>
      <c r="G98" s="114" t="str">
        <f>IF($A98="","",mCEQ.BiasEQ($A98,eqAnoEP,"ABS",eqProvedor,eqRodada))</f>
        <v>SEM EP</v>
      </c>
      <c r="H98" s="114" t="str">
        <f t="shared" si="12"/>
        <v/>
      </c>
      <c r="I98" s="114" t="str">
        <f>IF($A98="","",IFERROR(INDEX(Analitos!$Q$4:$Q$43,MATCH($A98,Analitos!$A$4:$A$43,0)),""))</f>
        <v/>
      </c>
      <c r="J98" s="114" t="str">
        <f>IF($A98="","",IFERROR(IF($I98="VB",INDEX(Analitos!$T$4:$T$43,MATCH($A98,Analitos!$A$4:$A$43,0)),IF(INDEX(Analitos!$S$4:$S$43,MATCH($A98,Analitos!$A$4:$A$43,0))&lt;&gt;"",INDEX(Analitos!$S$4:$S$43,MATCH($A98,Analitos!$A$4:$A$43,0)),INDEX(Analitos!$T$4:$T$43,MATCH($A98,Analitos!$A$4:$A$43,0)))),""))</f>
        <v/>
      </c>
      <c r="K98" s="114" t="str">
        <f>IF($A98="","",IFERROR(INDEX(Analitos!$R$4:$R$43,MATCH($A98,Analitos!$A$4:$A$43,0)),""))</f>
        <v/>
      </c>
      <c r="L98" s="114" t="str">
        <f t="shared" si="13"/>
        <v/>
      </c>
      <c r="M98" s="114" t="str">
        <f>IF(NOT(ISNUMBER($L98)),"",mQualidade.ClassificarSigma($L98))</f>
        <v/>
      </c>
      <c r="N98" s="115" t="str">
        <f t="shared" si="14"/>
        <v/>
      </c>
      <c r="O98" s="116" t="str">
        <f t="shared" si="15"/>
        <v/>
      </c>
      <c r="P98" s="117" t="str">
        <f>IF(NOT(ISNUMBER($O98)),"",mQualidade.ClassificarMargem($O98))</f>
        <v/>
      </c>
      <c r="Q98" s="117" t="str">
        <f t="shared" si="16"/>
        <v/>
      </c>
      <c r="R98" s="117" t="str">
        <f>IF($A98="","",mCEQ.StatusSDIeq($A98,eqAnoEP,IFERROR(INDEX(Analitos!$AR$4:$AR$43,MATCH($A98,Analitos!$A$4:$A$43,0)),"CAP"),eqRodada))</f>
        <v>SEM EP</v>
      </c>
      <c r="S98" s="117" t="str">
        <f>IF($A98="","",mCEQ.StatusLimitesEQ($A98,eqAnoEP,IFERROR(INDEX(Analitos!$AR$4:$AR$43,MATCH($A98,Analitos!$A$4:$A$43,0)),"CAP"),eqRodada))</f>
        <v>SEM EP</v>
      </c>
      <c r="T98" s="116" t="str">
        <f>IF($A98="","",mCEQ.BiasEQ($A98,eqAnoEP,"SIGNED",IFERROR(INDEX(Analitos!$AR$4:$AR$43,MATCH($A98,Analitos!$A$4:$A$43,0)),"CAP"),eqRodada))</f>
        <v>SEM EP</v>
      </c>
      <c r="U98" s="117" t="str">
        <f>IF(OR($P98="ETp excedido",$P98="Margem critica"),COUNTIF($P$14:$P98,"ETp excedido")+COUNTIF($P$14:$P98,"Margem critica"),"")</f>
        <v/>
      </c>
      <c r="V98" s="118" t="str">
        <f>IF(NOT(ISNUMBER($L98)),"",mPlanoQC.DPMdoSigma($L98))</f>
        <v/>
      </c>
      <c r="W98" s="119" t="str">
        <f>IF(NOT(ISNUMBER($L98)),"",mPlanoQC.RendimentoDoSigma($L98))</f>
        <v/>
      </c>
      <c r="X98" s="117" t="str">
        <f>IF(NOT(ISNUMBER($L98)),"",mPlanoQC.PlanoQC($L98,"REGRAS"))</f>
        <v/>
      </c>
      <c r="Y98" s="120" t="str">
        <f>IF(NOT(ISNUMBER($L98)),"",mPlanoQC.PlanoQC($L98,"N"))</f>
        <v/>
      </c>
      <c r="Z98" s="121" t="str">
        <f>IF(NOT(ISNUMBER($L98)),"",mPlanoQC.PlanoQC($L98,"RUNSIZE"))</f>
        <v/>
      </c>
      <c r="AA98" s="117" t="str">
        <f>IF(NOT(ISNUMBER($L98)),"",mPlanoQC.CoberturaWestgard($L98))</f>
        <v/>
      </c>
      <c r="AB98" s="117" t="str">
        <f t="shared" si="17"/>
        <v>0|1</v>
      </c>
      <c r="AC98" s="120" t="str">
        <f>IF($A98="","",mCEQ.BiasEQ($A98,eqAnoEP,"N",IFERROR(INDEX(Analitos!$AR$4:$AR$43,MATCH($A98,Analitos!$A$4:$A$43,0)),"CAP"),eqRodada))</f>
        <v>SEM EP</v>
      </c>
      <c r="AD98" s="120" t="str">
        <f>IF($A98="","",mCEQ.BiasEQ($A98,eqAnoEP,"NRODADAS",IFERROR(INDEX(Analitos!$AR$4:$AR$43,MATCH($A98,Analitos!$A$4:$A$43,0)),"CAP"),eqRodada))</f>
        <v>SEM EP</v>
      </c>
    </row>
    <row r="99" spans="1:30" x14ac:dyDescent="0.3">
      <c r="A99" s="110">
        <f>Analitos!$A$32</f>
        <v>0</v>
      </c>
      <c r="B99" s="111">
        <v>2</v>
      </c>
      <c r="C99" s="112" t="str">
        <f>IF($A99="","",IF(INDEX(engEstat,ROW()-13,3)="","",INDEX(engEstat,ROW()-13,3)))</f>
        <v/>
      </c>
      <c r="D99" s="113" t="str">
        <f>IF($A99="","",IF(INDEX(engEstat,ROW()-13,4)="","",INDEX(engEstat,ROW()-13,4)))</f>
        <v/>
      </c>
      <c r="E99" s="113" t="str">
        <f>IF($A99="","",IF(INDEX(engEstat,ROW()-13,5)="","",INDEX(engEstat,ROW()-13,5)))</f>
        <v/>
      </c>
      <c r="F99" s="114" t="str">
        <f>IF($A99="","",IF(INDEX(engEstat,ROW()-13,6)="","",INDEX(engEstat,ROW()-13,6)))</f>
        <v/>
      </c>
      <c r="G99" s="114" t="str">
        <f>IF($A99="","",mCEQ.BiasEQ($A99,eqAnoEP,"ABS",eqProvedor,eqRodada))</f>
        <v>SEM EP</v>
      </c>
      <c r="H99" s="114" t="str">
        <f t="shared" si="12"/>
        <v/>
      </c>
      <c r="I99" s="114" t="str">
        <f>IF($A99="","",IFERROR(INDEX(Analitos!$Q$4:$Q$43,MATCH($A99,Analitos!$A$4:$A$43,0)),""))</f>
        <v/>
      </c>
      <c r="J99" s="114" t="str">
        <f>IF($A99="","",IFERROR(IF($I99="VB",INDEX(Analitos!$T$4:$T$43,MATCH($A99,Analitos!$A$4:$A$43,0)),IF(INDEX(Analitos!$S$4:$S$43,MATCH($A99,Analitos!$A$4:$A$43,0))&lt;&gt;"",INDEX(Analitos!$S$4:$S$43,MATCH($A99,Analitos!$A$4:$A$43,0)),INDEX(Analitos!$T$4:$T$43,MATCH($A99,Analitos!$A$4:$A$43,0)))),""))</f>
        <v/>
      </c>
      <c r="K99" s="114" t="str">
        <f>IF($A99="","",IFERROR(INDEX(Analitos!$R$4:$R$43,MATCH($A99,Analitos!$A$4:$A$43,0)),""))</f>
        <v/>
      </c>
      <c r="L99" s="114" t="str">
        <f t="shared" si="13"/>
        <v/>
      </c>
      <c r="M99" s="114" t="str">
        <f>IF(NOT(ISNUMBER($L99)),"",mQualidade.ClassificarSigma($L99))</f>
        <v/>
      </c>
      <c r="N99" s="115" t="str">
        <f t="shared" si="14"/>
        <v/>
      </c>
      <c r="O99" s="116" t="str">
        <f t="shared" si="15"/>
        <v/>
      </c>
      <c r="P99" s="117" t="str">
        <f>IF(NOT(ISNUMBER($O99)),"",mQualidade.ClassificarMargem($O99))</f>
        <v/>
      </c>
      <c r="Q99" s="117" t="str">
        <f t="shared" si="16"/>
        <v/>
      </c>
      <c r="R99" s="117" t="str">
        <f>IF($A99="","",mCEQ.StatusSDIeq($A99,eqAnoEP,IFERROR(INDEX(Analitos!$AR$4:$AR$43,MATCH($A99,Analitos!$A$4:$A$43,0)),"CAP"),eqRodada))</f>
        <v>SEM EP</v>
      </c>
      <c r="S99" s="117" t="str">
        <f>IF($A99="","",mCEQ.StatusLimitesEQ($A99,eqAnoEP,IFERROR(INDEX(Analitos!$AR$4:$AR$43,MATCH($A99,Analitos!$A$4:$A$43,0)),"CAP"),eqRodada))</f>
        <v>SEM EP</v>
      </c>
      <c r="T99" s="116" t="str">
        <f>IF($A99="","",mCEQ.BiasEQ($A99,eqAnoEP,"SIGNED",IFERROR(INDEX(Analitos!$AR$4:$AR$43,MATCH($A99,Analitos!$A$4:$A$43,0)),"CAP"),eqRodada))</f>
        <v>SEM EP</v>
      </c>
      <c r="U99" s="117" t="str">
        <f>IF(OR($P99="ETp excedido",$P99="Margem critica"),COUNTIF($P$14:$P99,"ETp excedido")+COUNTIF($P$14:$P99,"Margem critica"),"")</f>
        <v/>
      </c>
      <c r="V99" s="118" t="str">
        <f>IF(NOT(ISNUMBER($L99)),"",mPlanoQC.DPMdoSigma($L99))</f>
        <v/>
      </c>
      <c r="W99" s="119" t="str">
        <f>IF(NOT(ISNUMBER($L99)),"",mPlanoQC.RendimentoDoSigma($L99))</f>
        <v/>
      </c>
      <c r="X99" s="117" t="str">
        <f>IF(NOT(ISNUMBER($L99)),"",mPlanoQC.PlanoQC($L99,"REGRAS"))</f>
        <v/>
      </c>
      <c r="Y99" s="120" t="str">
        <f>IF(NOT(ISNUMBER($L99)),"",mPlanoQC.PlanoQC($L99,"N"))</f>
        <v/>
      </c>
      <c r="Z99" s="121" t="str">
        <f>IF(NOT(ISNUMBER($L99)),"",mPlanoQC.PlanoQC($L99,"RUNSIZE"))</f>
        <v/>
      </c>
      <c r="AA99" s="117" t="str">
        <f>IF(NOT(ISNUMBER($L99)),"",mPlanoQC.CoberturaWestgard($L99))</f>
        <v/>
      </c>
      <c r="AB99" s="117" t="str">
        <f t="shared" si="17"/>
        <v>0|2</v>
      </c>
      <c r="AC99" s="120" t="str">
        <f>IF($A99="","",mCEQ.BiasEQ($A99,eqAnoEP,"N",IFERROR(INDEX(Analitos!$AR$4:$AR$43,MATCH($A99,Analitos!$A$4:$A$43,0)),"CAP"),eqRodada))</f>
        <v>SEM EP</v>
      </c>
      <c r="AD99" s="120" t="str">
        <f>IF($A99="","",mCEQ.BiasEQ($A99,eqAnoEP,"NRODADAS",IFERROR(INDEX(Analitos!$AR$4:$AR$43,MATCH($A99,Analitos!$A$4:$A$43,0)),"CAP"),eqRodada))</f>
        <v>SEM EP</v>
      </c>
    </row>
    <row r="100" spans="1:30" x14ac:dyDescent="0.3">
      <c r="A100" s="110">
        <f>Analitos!$A$32</f>
        <v>0</v>
      </c>
      <c r="B100" s="111">
        <v>3</v>
      </c>
      <c r="C100" s="112" t="str">
        <f>IF($A100="","",IF(INDEX(engEstat,ROW()-13,3)="","",INDEX(engEstat,ROW()-13,3)))</f>
        <v/>
      </c>
      <c r="D100" s="113" t="str">
        <f>IF($A100="","",IF(INDEX(engEstat,ROW()-13,4)="","",INDEX(engEstat,ROW()-13,4)))</f>
        <v/>
      </c>
      <c r="E100" s="113" t="str">
        <f>IF($A100="","",IF(INDEX(engEstat,ROW()-13,5)="","",INDEX(engEstat,ROW()-13,5)))</f>
        <v/>
      </c>
      <c r="F100" s="114" t="str">
        <f>IF($A100="","",IF(INDEX(engEstat,ROW()-13,6)="","",INDEX(engEstat,ROW()-13,6)))</f>
        <v/>
      </c>
      <c r="G100" s="114" t="str">
        <f>IF($A100="","",mCEQ.BiasEQ($A100,eqAnoEP,"ABS",eqProvedor,eqRodada))</f>
        <v>SEM EP</v>
      </c>
      <c r="H100" s="114" t="str">
        <f t="shared" si="12"/>
        <v/>
      </c>
      <c r="I100" s="114" t="str">
        <f>IF($A100="","",IFERROR(INDEX(Analitos!$Q$4:$Q$43,MATCH($A100,Analitos!$A$4:$A$43,0)),""))</f>
        <v/>
      </c>
      <c r="J100" s="114" t="str">
        <f>IF($A100="","",IFERROR(IF($I100="VB",INDEX(Analitos!$T$4:$T$43,MATCH($A100,Analitos!$A$4:$A$43,0)),IF(INDEX(Analitos!$S$4:$S$43,MATCH($A100,Analitos!$A$4:$A$43,0))&lt;&gt;"",INDEX(Analitos!$S$4:$S$43,MATCH($A100,Analitos!$A$4:$A$43,0)),INDEX(Analitos!$T$4:$T$43,MATCH($A100,Analitos!$A$4:$A$43,0)))),""))</f>
        <v/>
      </c>
      <c r="K100" s="114" t="str">
        <f>IF($A100="","",IFERROR(INDEX(Analitos!$R$4:$R$43,MATCH($A100,Analitos!$A$4:$A$43,0)),""))</f>
        <v/>
      </c>
      <c r="L100" s="114" t="str">
        <f t="shared" si="13"/>
        <v/>
      </c>
      <c r="M100" s="114" t="str">
        <f>IF(NOT(ISNUMBER($L100)),"",mQualidade.ClassificarSigma($L100))</f>
        <v/>
      </c>
      <c r="N100" s="115" t="str">
        <f t="shared" si="14"/>
        <v/>
      </c>
      <c r="O100" s="116" t="str">
        <f t="shared" si="15"/>
        <v/>
      </c>
      <c r="P100" s="117" t="str">
        <f>IF(NOT(ISNUMBER($O100)),"",mQualidade.ClassificarMargem($O100))</f>
        <v/>
      </c>
      <c r="Q100" s="117" t="str">
        <f t="shared" si="16"/>
        <v/>
      </c>
      <c r="R100" s="117" t="str">
        <f>IF($A100="","",mCEQ.StatusSDIeq($A100,eqAnoEP,IFERROR(INDEX(Analitos!$AR$4:$AR$43,MATCH($A100,Analitos!$A$4:$A$43,0)),"CAP"),eqRodada))</f>
        <v>SEM EP</v>
      </c>
      <c r="S100" s="117" t="str">
        <f>IF($A100="","",mCEQ.StatusLimitesEQ($A100,eqAnoEP,IFERROR(INDEX(Analitos!$AR$4:$AR$43,MATCH($A100,Analitos!$A$4:$A$43,0)),"CAP"),eqRodada))</f>
        <v>SEM EP</v>
      </c>
      <c r="T100" s="116" t="str">
        <f>IF($A100="","",mCEQ.BiasEQ($A100,eqAnoEP,"SIGNED",IFERROR(INDEX(Analitos!$AR$4:$AR$43,MATCH($A100,Analitos!$A$4:$A$43,0)),"CAP"),eqRodada))</f>
        <v>SEM EP</v>
      </c>
      <c r="U100" s="117" t="str">
        <f>IF(OR($P100="ETp excedido",$P100="Margem critica"),COUNTIF($P$14:$P100,"ETp excedido")+COUNTIF($P$14:$P100,"Margem critica"),"")</f>
        <v/>
      </c>
      <c r="V100" s="118" t="str">
        <f>IF(NOT(ISNUMBER($L100)),"",mPlanoQC.DPMdoSigma($L100))</f>
        <v/>
      </c>
      <c r="W100" s="119" t="str">
        <f>IF(NOT(ISNUMBER($L100)),"",mPlanoQC.RendimentoDoSigma($L100))</f>
        <v/>
      </c>
      <c r="X100" s="117" t="str">
        <f>IF(NOT(ISNUMBER($L100)),"",mPlanoQC.PlanoQC($L100,"REGRAS"))</f>
        <v/>
      </c>
      <c r="Y100" s="120" t="str">
        <f>IF(NOT(ISNUMBER($L100)),"",mPlanoQC.PlanoQC($L100,"N"))</f>
        <v/>
      </c>
      <c r="Z100" s="121" t="str">
        <f>IF(NOT(ISNUMBER($L100)),"",mPlanoQC.PlanoQC($L100,"RUNSIZE"))</f>
        <v/>
      </c>
      <c r="AA100" s="117" t="str">
        <f>IF(NOT(ISNUMBER($L100)),"",mPlanoQC.CoberturaWestgard($L100))</f>
        <v/>
      </c>
      <c r="AB100" s="117" t="str">
        <f t="shared" si="17"/>
        <v>0|3</v>
      </c>
      <c r="AC100" s="120" t="str">
        <f>IF($A100="","",mCEQ.BiasEQ($A100,eqAnoEP,"N",IFERROR(INDEX(Analitos!$AR$4:$AR$43,MATCH($A100,Analitos!$A$4:$A$43,0)),"CAP"),eqRodada))</f>
        <v>SEM EP</v>
      </c>
      <c r="AD100" s="120" t="str">
        <f>IF($A100="","",mCEQ.BiasEQ($A100,eqAnoEP,"NRODADAS",IFERROR(INDEX(Analitos!$AR$4:$AR$43,MATCH($A100,Analitos!$A$4:$A$43,0)),"CAP"),eqRodada))</f>
        <v>SEM EP</v>
      </c>
    </row>
    <row r="101" spans="1:30" x14ac:dyDescent="0.3">
      <c r="A101" s="110">
        <f>Analitos!$A$33</f>
        <v>0</v>
      </c>
      <c r="B101" s="111">
        <v>1</v>
      </c>
      <c r="C101" s="112" t="str">
        <f>IF($A101="","",IF(INDEX(engEstat,ROW()-13,3)="","",INDEX(engEstat,ROW()-13,3)))</f>
        <v/>
      </c>
      <c r="D101" s="113" t="str">
        <f>IF($A101="","",IF(INDEX(engEstat,ROW()-13,4)="","",INDEX(engEstat,ROW()-13,4)))</f>
        <v/>
      </c>
      <c r="E101" s="113" t="str">
        <f>IF($A101="","",IF(INDEX(engEstat,ROW()-13,5)="","",INDEX(engEstat,ROW()-13,5)))</f>
        <v/>
      </c>
      <c r="F101" s="114" t="str">
        <f>IF($A101="","",IF(INDEX(engEstat,ROW()-13,6)="","",INDEX(engEstat,ROW()-13,6)))</f>
        <v/>
      </c>
      <c r="G101" s="114" t="str">
        <f>IF($A101="","",mCEQ.BiasEQ($A101,eqAnoEP,"ABS",eqProvedor,eqRodada))</f>
        <v>SEM EP</v>
      </c>
      <c r="H101" s="114" t="str">
        <f t="shared" si="12"/>
        <v/>
      </c>
      <c r="I101" s="114" t="str">
        <f>IF($A101="","",IFERROR(INDEX(Analitos!$Q$4:$Q$43,MATCH($A101,Analitos!$A$4:$A$43,0)),""))</f>
        <v/>
      </c>
      <c r="J101" s="114" t="str">
        <f>IF($A101="","",IFERROR(IF($I101="VB",INDEX(Analitos!$T$4:$T$43,MATCH($A101,Analitos!$A$4:$A$43,0)),IF(INDEX(Analitos!$S$4:$S$43,MATCH($A101,Analitos!$A$4:$A$43,0))&lt;&gt;"",INDEX(Analitos!$S$4:$S$43,MATCH($A101,Analitos!$A$4:$A$43,0)),INDEX(Analitos!$T$4:$T$43,MATCH($A101,Analitos!$A$4:$A$43,0)))),""))</f>
        <v/>
      </c>
      <c r="K101" s="114" t="str">
        <f>IF($A101="","",IFERROR(INDEX(Analitos!$R$4:$R$43,MATCH($A101,Analitos!$A$4:$A$43,0)),""))</f>
        <v/>
      </c>
      <c r="L101" s="114" t="str">
        <f t="shared" si="13"/>
        <v/>
      </c>
      <c r="M101" s="114" t="str">
        <f>IF(NOT(ISNUMBER($L101)),"",mQualidade.ClassificarSigma($L101))</f>
        <v/>
      </c>
      <c r="N101" s="115" t="str">
        <f t="shared" si="14"/>
        <v/>
      </c>
      <c r="O101" s="116" t="str">
        <f t="shared" si="15"/>
        <v/>
      </c>
      <c r="P101" s="117" t="str">
        <f>IF(NOT(ISNUMBER($O101)),"",mQualidade.ClassificarMargem($O101))</f>
        <v/>
      </c>
      <c r="Q101" s="117" t="str">
        <f t="shared" si="16"/>
        <v/>
      </c>
      <c r="R101" s="117" t="str">
        <f>IF($A101="","",mCEQ.StatusSDIeq($A101,eqAnoEP,IFERROR(INDEX(Analitos!$AR$4:$AR$43,MATCH($A101,Analitos!$A$4:$A$43,0)),"CAP"),eqRodada))</f>
        <v>SEM EP</v>
      </c>
      <c r="S101" s="117" t="str">
        <f>IF($A101="","",mCEQ.StatusLimitesEQ($A101,eqAnoEP,IFERROR(INDEX(Analitos!$AR$4:$AR$43,MATCH($A101,Analitos!$A$4:$A$43,0)),"CAP"),eqRodada))</f>
        <v>SEM EP</v>
      </c>
      <c r="T101" s="116" t="str">
        <f>IF($A101="","",mCEQ.BiasEQ($A101,eqAnoEP,"SIGNED",IFERROR(INDEX(Analitos!$AR$4:$AR$43,MATCH($A101,Analitos!$A$4:$A$43,0)),"CAP"),eqRodada))</f>
        <v>SEM EP</v>
      </c>
      <c r="U101" s="117" t="str">
        <f>IF(OR($P101="ETp excedido",$P101="Margem critica"),COUNTIF($P$14:$P101,"ETp excedido")+COUNTIF($P$14:$P101,"Margem critica"),"")</f>
        <v/>
      </c>
      <c r="V101" s="118" t="str">
        <f>IF(NOT(ISNUMBER($L101)),"",mPlanoQC.DPMdoSigma($L101))</f>
        <v/>
      </c>
      <c r="W101" s="119" t="str">
        <f>IF(NOT(ISNUMBER($L101)),"",mPlanoQC.RendimentoDoSigma($L101))</f>
        <v/>
      </c>
      <c r="X101" s="117" t="str">
        <f>IF(NOT(ISNUMBER($L101)),"",mPlanoQC.PlanoQC($L101,"REGRAS"))</f>
        <v/>
      </c>
      <c r="Y101" s="120" t="str">
        <f>IF(NOT(ISNUMBER($L101)),"",mPlanoQC.PlanoQC($L101,"N"))</f>
        <v/>
      </c>
      <c r="Z101" s="121" t="str">
        <f>IF(NOT(ISNUMBER($L101)),"",mPlanoQC.PlanoQC($L101,"RUNSIZE"))</f>
        <v/>
      </c>
      <c r="AA101" s="117" t="str">
        <f>IF(NOT(ISNUMBER($L101)),"",mPlanoQC.CoberturaWestgard($L101))</f>
        <v/>
      </c>
      <c r="AB101" s="117" t="str">
        <f t="shared" si="17"/>
        <v>0|1</v>
      </c>
      <c r="AC101" s="120" t="str">
        <f>IF($A101="","",mCEQ.BiasEQ($A101,eqAnoEP,"N",IFERROR(INDEX(Analitos!$AR$4:$AR$43,MATCH($A101,Analitos!$A$4:$A$43,0)),"CAP"),eqRodada))</f>
        <v>SEM EP</v>
      </c>
      <c r="AD101" s="120" t="str">
        <f>IF($A101="","",mCEQ.BiasEQ($A101,eqAnoEP,"NRODADAS",IFERROR(INDEX(Analitos!$AR$4:$AR$43,MATCH($A101,Analitos!$A$4:$A$43,0)),"CAP"),eqRodada))</f>
        <v>SEM EP</v>
      </c>
    </row>
    <row r="102" spans="1:30" x14ac:dyDescent="0.3">
      <c r="A102" s="110">
        <f>Analitos!$A$33</f>
        <v>0</v>
      </c>
      <c r="B102" s="111">
        <v>2</v>
      </c>
      <c r="C102" s="112" t="str">
        <f>IF($A102="","",IF(INDEX(engEstat,ROW()-13,3)="","",INDEX(engEstat,ROW()-13,3)))</f>
        <v/>
      </c>
      <c r="D102" s="113" t="str">
        <f>IF($A102="","",IF(INDEX(engEstat,ROW()-13,4)="","",INDEX(engEstat,ROW()-13,4)))</f>
        <v/>
      </c>
      <c r="E102" s="113" t="str">
        <f>IF($A102="","",IF(INDEX(engEstat,ROW()-13,5)="","",INDEX(engEstat,ROW()-13,5)))</f>
        <v/>
      </c>
      <c r="F102" s="114" t="str">
        <f>IF($A102="","",IF(INDEX(engEstat,ROW()-13,6)="","",INDEX(engEstat,ROW()-13,6)))</f>
        <v/>
      </c>
      <c r="G102" s="114" t="str">
        <f>IF($A102="","",mCEQ.BiasEQ($A102,eqAnoEP,"ABS",eqProvedor,eqRodada))</f>
        <v>SEM EP</v>
      </c>
      <c r="H102" s="114" t="str">
        <f t="shared" si="12"/>
        <v/>
      </c>
      <c r="I102" s="114" t="str">
        <f>IF($A102="","",IFERROR(INDEX(Analitos!$Q$4:$Q$43,MATCH($A102,Analitos!$A$4:$A$43,0)),""))</f>
        <v/>
      </c>
      <c r="J102" s="114" t="str">
        <f>IF($A102="","",IFERROR(IF($I102="VB",INDEX(Analitos!$T$4:$T$43,MATCH($A102,Analitos!$A$4:$A$43,0)),IF(INDEX(Analitos!$S$4:$S$43,MATCH($A102,Analitos!$A$4:$A$43,0))&lt;&gt;"",INDEX(Analitos!$S$4:$S$43,MATCH($A102,Analitos!$A$4:$A$43,0)),INDEX(Analitos!$T$4:$T$43,MATCH($A102,Analitos!$A$4:$A$43,0)))),""))</f>
        <v/>
      </c>
      <c r="K102" s="114" t="str">
        <f>IF($A102="","",IFERROR(INDEX(Analitos!$R$4:$R$43,MATCH($A102,Analitos!$A$4:$A$43,0)),""))</f>
        <v/>
      </c>
      <c r="L102" s="114" t="str">
        <f t="shared" si="13"/>
        <v/>
      </c>
      <c r="M102" s="114" t="str">
        <f>IF(NOT(ISNUMBER($L102)),"",mQualidade.ClassificarSigma($L102))</f>
        <v/>
      </c>
      <c r="N102" s="115" t="str">
        <f t="shared" si="14"/>
        <v/>
      </c>
      <c r="O102" s="116" t="str">
        <f t="shared" si="15"/>
        <v/>
      </c>
      <c r="P102" s="117" t="str">
        <f>IF(NOT(ISNUMBER($O102)),"",mQualidade.ClassificarMargem($O102))</f>
        <v/>
      </c>
      <c r="Q102" s="117" t="str">
        <f t="shared" si="16"/>
        <v/>
      </c>
      <c r="R102" s="117" t="str">
        <f>IF($A102="","",mCEQ.StatusSDIeq($A102,eqAnoEP,IFERROR(INDEX(Analitos!$AR$4:$AR$43,MATCH($A102,Analitos!$A$4:$A$43,0)),"CAP"),eqRodada))</f>
        <v>SEM EP</v>
      </c>
      <c r="S102" s="117" t="str">
        <f>IF($A102="","",mCEQ.StatusLimitesEQ($A102,eqAnoEP,IFERROR(INDEX(Analitos!$AR$4:$AR$43,MATCH($A102,Analitos!$A$4:$A$43,0)),"CAP"),eqRodada))</f>
        <v>SEM EP</v>
      </c>
      <c r="T102" s="116" t="str">
        <f>IF($A102="","",mCEQ.BiasEQ($A102,eqAnoEP,"SIGNED",IFERROR(INDEX(Analitos!$AR$4:$AR$43,MATCH($A102,Analitos!$A$4:$A$43,0)),"CAP"),eqRodada))</f>
        <v>SEM EP</v>
      </c>
      <c r="U102" s="117" t="str">
        <f>IF(OR($P102="ETp excedido",$P102="Margem critica"),COUNTIF($P$14:$P102,"ETp excedido")+COUNTIF($P$14:$P102,"Margem critica"),"")</f>
        <v/>
      </c>
      <c r="V102" s="118" t="str">
        <f>IF(NOT(ISNUMBER($L102)),"",mPlanoQC.DPMdoSigma($L102))</f>
        <v/>
      </c>
      <c r="W102" s="119" t="str">
        <f>IF(NOT(ISNUMBER($L102)),"",mPlanoQC.RendimentoDoSigma($L102))</f>
        <v/>
      </c>
      <c r="X102" s="117" t="str">
        <f>IF(NOT(ISNUMBER($L102)),"",mPlanoQC.PlanoQC($L102,"REGRAS"))</f>
        <v/>
      </c>
      <c r="Y102" s="120" t="str">
        <f>IF(NOT(ISNUMBER($L102)),"",mPlanoQC.PlanoQC($L102,"N"))</f>
        <v/>
      </c>
      <c r="Z102" s="121" t="str">
        <f>IF(NOT(ISNUMBER($L102)),"",mPlanoQC.PlanoQC($L102,"RUNSIZE"))</f>
        <v/>
      </c>
      <c r="AA102" s="117" t="str">
        <f>IF(NOT(ISNUMBER($L102)),"",mPlanoQC.CoberturaWestgard($L102))</f>
        <v/>
      </c>
      <c r="AB102" s="117" t="str">
        <f t="shared" si="17"/>
        <v>0|2</v>
      </c>
      <c r="AC102" s="120" t="str">
        <f>IF($A102="","",mCEQ.BiasEQ($A102,eqAnoEP,"N",IFERROR(INDEX(Analitos!$AR$4:$AR$43,MATCH($A102,Analitos!$A$4:$A$43,0)),"CAP"),eqRodada))</f>
        <v>SEM EP</v>
      </c>
      <c r="AD102" s="120" t="str">
        <f>IF($A102="","",mCEQ.BiasEQ($A102,eqAnoEP,"NRODADAS",IFERROR(INDEX(Analitos!$AR$4:$AR$43,MATCH($A102,Analitos!$A$4:$A$43,0)),"CAP"),eqRodada))</f>
        <v>SEM EP</v>
      </c>
    </row>
    <row r="103" spans="1:30" x14ac:dyDescent="0.3">
      <c r="A103" s="110">
        <f>Analitos!$A$33</f>
        <v>0</v>
      </c>
      <c r="B103" s="111">
        <v>3</v>
      </c>
      <c r="C103" s="112" t="str">
        <f>IF($A103="","",IF(INDEX(engEstat,ROW()-13,3)="","",INDEX(engEstat,ROW()-13,3)))</f>
        <v/>
      </c>
      <c r="D103" s="113" t="str">
        <f>IF($A103="","",IF(INDEX(engEstat,ROW()-13,4)="","",INDEX(engEstat,ROW()-13,4)))</f>
        <v/>
      </c>
      <c r="E103" s="113" t="str">
        <f>IF($A103="","",IF(INDEX(engEstat,ROW()-13,5)="","",INDEX(engEstat,ROW()-13,5)))</f>
        <v/>
      </c>
      <c r="F103" s="114" t="str">
        <f>IF($A103="","",IF(INDEX(engEstat,ROW()-13,6)="","",INDEX(engEstat,ROW()-13,6)))</f>
        <v/>
      </c>
      <c r="G103" s="114" t="str">
        <f>IF($A103="","",mCEQ.BiasEQ($A103,eqAnoEP,"ABS",eqProvedor,eqRodada))</f>
        <v>SEM EP</v>
      </c>
      <c r="H103" s="114" t="str">
        <f t="shared" si="12"/>
        <v/>
      </c>
      <c r="I103" s="114" t="str">
        <f>IF($A103="","",IFERROR(INDEX(Analitos!$Q$4:$Q$43,MATCH($A103,Analitos!$A$4:$A$43,0)),""))</f>
        <v/>
      </c>
      <c r="J103" s="114" t="str">
        <f>IF($A103="","",IFERROR(IF($I103="VB",INDEX(Analitos!$T$4:$T$43,MATCH($A103,Analitos!$A$4:$A$43,0)),IF(INDEX(Analitos!$S$4:$S$43,MATCH($A103,Analitos!$A$4:$A$43,0))&lt;&gt;"",INDEX(Analitos!$S$4:$S$43,MATCH($A103,Analitos!$A$4:$A$43,0)),INDEX(Analitos!$T$4:$T$43,MATCH($A103,Analitos!$A$4:$A$43,0)))),""))</f>
        <v/>
      </c>
      <c r="K103" s="114" t="str">
        <f>IF($A103="","",IFERROR(INDEX(Analitos!$R$4:$R$43,MATCH($A103,Analitos!$A$4:$A$43,0)),""))</f>
        <v/>
      </c>
      <c r="L103" s="114" t="str">
        <f t="shared" si="13"/>
        <v/>
      </c>
      <c r="M103" s="114" t="str">
        <f>IF(NOT(ISNUMBER($L103)),"",mQualidade.ClassificarSigma($L103))</f>
        <v/>
      </c>
      <c r="N103" s="115" t="str">
        <f t="shared" si="14"/>
        <v/>
      </c>
      <c r="O103" s="116" t="str">
        <f t="shared" si="15"/>
        <v/>
      </c>
      <c r="P103" s="117" t="str">
        <f>IF(NOT(ISNUMBER($O103)),"",mQualidade.ClassificarMargem($O103))</f>
        <v/>
      </c>
      <c r="Q103" s="117" t="str">
        <f t="shared" si="16"/>
        <v/>
      </c>
      <c r="R103" s="117" t="str">
        <f>IF($A103="","",mCEQ.StatusSDIeq($A103,eqAnoEP,IFERROR(INDEX(Analitos!$AR$4:$AR$43,MATCH($A103,Analitos!$A$4:$A$43,0)),"CAP"),eqRodada))</f>
        <v>SEM EP</v>
      </c>
      <c r="S103" s="117" t="str">
        <f>IF($A103="","",mCEQ.StatusLimitesEQ($A103,eqAnoEP,IFERROR(INDEX(Analitos!$AR$4:$AR$43,MATCH($A103,Analitos!$A$4:$A$43,0)),"CAP"),eqRodada))</f>
        <v>SEM EP</v>
      </c>
      <c r="T103" s="116" t="str">
        <f>IF($A103="","",mCEQ.BiasEQ($A103,eqAnoEP,"SIGNED",IFERROR(INDEX(Analitos!$AR$4:$AR$43,MATCH($A103,Analitos!$A$4:$A$43,0)),"CAP"),eqRodada))</f>
        <v>SEM EP</v>
      </c>
      <c r="U103" s="117" t="str">
        <f>IF(OR($P103="ETp excedido",$P103="Margem critica"),COUNTIF($P$14:$P103,"ETp excedido")+COUNTIF($P$14:$P103,"Margem critica"),"")</f>
        <v/>
      </c>
      <c r="V103" s="118" t="str">
        <f>IF(NOT(ISNUMBER($L103)),"",mPlanoQC.DPMdoSigma($L103))</f>
        <v/>
      </c>
      <c r="W103" s="119" t="str">
        <f>IF(NOT(ISNUMBER($L103)),"",mPlanoQC.RendimentoDoSigma($L103))</f>
        <v/>
      </c>
      <c r="X103" s="117" t="str">
        <f>IF(NOT(ISNUMBER($L103)),"",mPlanoQC.PlanoQC($L103,"REGRAS"))</f>
        <v/>
      </c>
      <c r="Y103" s="120" t="str">
        <f>IF(NOT(ISNUMBER($L103)),"",mPlanoQC.PlanoQC($L103,"N"))</f>
        <v/>
      </c>
      <c r="Z103" s="121" t="str">
        <f>IF(NOT(ISNUMBER($L103)),"",mPlanoQC.PlanoQC($L103,"RUNSIZE"))</f>
        <v/>
      </c>
      <c r="AA103" s="117" t="str">
        <f>IF(NOT(ISNUMBER($L103)),"",mPlanoQC.CoberturaWestgard($L103))</f>
        <v/>
      </c>
      <c r="AB103" s="117" t="str">
        <f t="shared" si="17"/>
        <v>0|3</v>
      </c>
      <c r="AC103" s="120" t="str">
        <f>IF($A103="","",mCEQ.BiasEQ($A103,eqAnoEP,"N",IFERROR(INDEX(Analitos!$AR$4:$AR$43,MATCH($A103,Analitos!$A$4:$A$43,0)),"CAP"),eqRodada))</f>
        <v>SEM EP</v>
      </c>
      <c r="AD103" s="120" t="str">
        <f>IF($A103="","",mCEQ.BiasEQ($A103,eqAnoEP,"NRODADAS",IFERROR(INDEX(Analitos!$AR$4:$AR$43,MATCH($A103,Analitos!$A$4:$A$43,0)),"CAP"),eqRodada))</f>
        <v>SEM EP</v>
      </c>
    </row>
    <row r="104" spans="1:30" x14ac:dyDescent="0.3">
      <c r="A104" s="110">
        <f>Analitos!$A$34</f>
        <v>0</v>
      </c>
      <c r="B104" s="111">
        <v>1</v>
      </c>
      <c r="C104" s="112" t="str">
        <f>IF($A104="","",IF(INDEX(engEstat,ROW()-13,3)="","",INDEX(engEstat,ROW()-13,3)))</f>
        <v/>
      </c>
      <c r="D104" s="113" t="str">
        <f>IF($A104="","",IF(INDEX(engEstat,ROW()-13,4)="","",INDEX(engEstat,ROW()-13,4)))</f>
        <v/>
      </c>
      <c r="E104" s="113" t="str">
        <f>IF($A104="","",IF(INDEX(engEstat,ROW()-13,5)="","",INDEX(engEstat,ROW()-13,5)))</f>
        <v/>
      </c>
      <c r="F104" s="114" t="str">
        <f>IF($A104="","",IF(INDEX(engEstat,ROW()-13,6)="","",INDEX(engEstat,ROW()-13,6)))</f>
        <v/>
      </c>
      <c r="G104" s="114" t="str">
        <f>IF($A104="","",mCEQ.BiasEQ($A104,eqAnoEP,"ABS",eqProvedor,eqRodada))</f>
        <v>SEM EP</v>
      </c>
      <c r="H104" s="114" t="str">
        <f t="shared" si="12"/>
        <v/>
      </c>
      <c r="I104" s="114" t="str">
        <f>IF($A104="","",IFERROR(INDEX(Analitos!$Q$4:$Q$43,MATCH($A104,Analitos!$A$4:$A$43,0)),""))</f>
        <v/>
      </c>
      <c r="J104" s="114" t="str">
        <f>IF($A104="","",IFERROR(IF($I104="VB",INDEX(Analitos!$T$4:$T$43,MATCH($A104,Analitos!$A$4:$A$43,0)),IF(INDEX(Analitos!$S$4:$S$43,MATCH($A104,Analitos!$A$4:$A$43,0))&lt;&gt;"",INDEX(Analitos!$S$4:$S$43,MATCH($A104,Analitos!$A$4:$A$43,0)),INDEX(Analitos!$T$4:$T$43,MATCH($A104,Analitos!$A$4:$A$43,0)))),""))</f>
        <v/>
      </c>
      <c r="K104" s="114" t="str">
        <f>IF($A104="","",IFERROR(INDEX(Analitos!$R$4:$R$43,MATCH($A104,Analitos!$A$4:$A$43,0)),""))</f>
        <v/>
      </c>
      <c r="L104" s="114" t="str">
        <f t="shared" si="13"/>
        <v/>
      </c>
      <c r="M104" s="114" t="str">
        <f>IF(NOT(ISNUMBER($L104)),"",mQualidade.ClassificarSigma($L104))</f>
        <v/>
      </c>
      <c r="N104" s="115" t="str">
        <f t="shared" si="14"/>
        <v/>
      </c>
      <c r="O104" s="116" t="str">
        <f t="shared" si="15"/>
        <v/>
      </c>
      <c r="P104" s="117" t="str">
        <f>IF(NOT(ISNUMBER($O104)),"",mQualidade.ClassificarMargem($O104))</f>
        <v/>
      </c>
      <c r="Q104" s="117" t="str">
        <f t="shared" si="16"/>
        <v/>
      </c>
      <c r="R104" s="117" t="str">
        <f>IF($A104="","",mCEQ.StatusSDIeq($A104,eqAnoEP,IFERROR(INDEX(Analitos!$AR$4:$AR$43,MATCH($A104,Analitos!$A$4:$A$43,0)),"CAP"),eqRodada))</f>
        <v>SEM EP</v>
      </c>
      <c r="S104" s="117" t="str">
        <f>IF($A104="","",mCEQ.StatusLimitesEQ($A104,eqAnoEP,IFERROR(INDEX(Analitos!$AR$4:$AR$43,MATCH($A104,Analitos!$A$4:$A$43,0)),"CAP"),eqRodada))</f>
        <v>SEM EP</v>
      </c>
      <c r="T104" s="116" t="str">
        <f>IF($A104="","",mCEQ.BiasEQ($A104,eqAnoEP,"SIGNED",IFERROR(INDEX(Analitos!$AR$4:$AR$43,MATCH($A104,Analitos!$A$4:$A$43,0)),"CAP"),eqRodada))</f>
        <v>SEM EP</v>
      </c>
      <c r="U104" s="117" t="str">
        <f>IF(OR($P104="ETp excedido",$P104="Margem critica"),COUNTIF($P$14:$P104,"ETp excedido")+COUNTIF($P$14:$P104,"Margem critica"),"")</f>
        <v/>
      </c>
      <c r="V104" s="118" t="str">
        <f>IF(NOT(ISNUMBER($L104)),"",mPlanoQC.DPMdoSigma($L104))</f>
        <v/>
      </c>
      <c r="W104" s="119" t="str">
        <f>IF(NOT(ISNUMBER($L104)),"",mPlanoQC.RendimentoDoSigma($L104))</f>
        <v/>
      </c>
      <c r="X104" s="117" t="str">
        <f>IF(NOT(ISNUMBER($L104)),"",mPlanoQC.PlanoQC($L104,"REGRAS"))</f>
        <v/>
      </c>
      <c r="Y104" s="120" t="str">
        <f>IF(NOT(ISNUMBER($L104)),"",mPlanoQC.PlanoQC($L104,"N"))</f>
        <v/>
      </c>
      <c r="Z104" s="121" t="str">
        <f>IF(NOT(ISNUMBER($L104)),"",mPlanoQC.PlanoQC($L104,"RUNSIZE"))</f>
        <v/>
      </c>
      <c r="AA104" s="117" t="str">
        <f>IF(NOT(ISNUMBER($L104)),"",mPlanoQC.CoberturaWestgard($L104))</f>
        <v/>
      </c>
      <c r="AB104" s="117" t="str">
        <f t="shared" si="17"/>
        <v>0|1</v>
      </c>
      <c r="AC104" s="120" t="str">
        <f>IF($A104="","",mCEQ.BiasEQ($A104,eqAnoEP,"N",IFERROR(INDEX(Analitos!$AR$4:$AR$43,MATCH($A104,Analitos!$A$4:$A$43,0)),"CAP"),eqRodada))</f>
        <v>SEM EP</v>
      </c>
      <c r="AD104" s="120" t="str">
        <f>IF($A104="","",mCEQ.BiasEQ($A104,eqAnoEP,"NRODADAS",IFERROR(INDEX(Analitos!$AR$4:$AR$43,MATCH($A104,Analitos!$A$4:$A$43,0)),"CAP"),eqRodada))</f>
        <v>SEM EP</v>
      </c>
    </row>
    <row r="105" spans="1:30" x14ac:dyDescent="0.3">
      <c r="A105" s="110">
        <f>Analitos!$A$34</f>
        <v>0</v>
      </c>
      <c r="B105" s="111">
        <v>2</v>
      </c>
      <c r="C105" s="112" t="str">
        <f>IF($A105="","",IF(INDEX(engEstat,ROW()-13,3)="","",INDEX(engEstat,ROW()-13,3)))</f>
        <v/>
      </c>
      <c r="D105" s="113" t="str">
        <f>IF($A105="","",IF(INDEX(engEstat,ROW()-13,4)="","",INDEX(engEstat,ROW()-13,4)))</f>
        <v/>
      </c>
      <c r="E105" s="113" t="str">
        <f>IF($A105="","",IF(INDEX(engEstat,ROW()-13,5)="","",INDEX(engEstat,ROW()-13,5)))</f>
        <v/>
      </c>
      <c r="F105" s="114" t="str">
        <f>IF($A105="","",IF(INDEX(engEstat,ROW()-13,6)="","",INDEX(engEstat,ROW()-13,6)))</f>
        <v/>
      </c>
      <c r="G105" s="114" t="str">
        <f>IF($A105="","",mCEQ.BiasEQ($A105,eqAnoEP,"ABS",eqProvedor,eqRodada))</f>
        <v>SEM EP</v>
      </c>
      <c r="H105" s="114" t="str">
        <f t="shared" si="12"/>
        <v/>
      </c>
      <c r="I105" s="114" t="str">
        <f>IF($A105="","",IFERROR(INDEX(Analitos!$Q$4:$Q$43,MATCH($A105,Analitos!$A$4:$A$43,0)),""))</f>
        <v/>
      </c>
      <c r="J105" s="114" t="str">
        <f>IF($A105="","",IFERROR(IF($I105="VB",INDEX(Analitos!$T$4:$T$43,MATCH($A105,Analitos!$A$4:$A$43,0)),IF(INDEX(Analitos!$S$4:$S$43,MATCH($A105,Analitos!$A$4:$A$43,0))&lt;&gt;"",INDEX(Analitos!$S$4:$S$43,MATCH($A105,Analitos!$A$4:$A$43,0)),INDEX(Analitos!$T$4:$T$43,MATCH($A105,Analitos!$A$4:$A$43,0)))),""))</f>
        <v/>
      </c>
      <c r="K105" s="114" t="str">
        <f>IF($A105="","",IFERROR(INDEX(Analitos!$R$4:$R$43,MATCH($A105,Analitos!$A$4:$A$43,0)),""))</f>
        <v/>
      </c>
      <c r="L105" s="114" t="str">
        <f t="shared" si="13"/>
        <v/>
      </c>
      <c r="M105" s="114" t="str">
        <f>IF(NOT(ISNUMBER($L105)),"",mQualidade.ClassificarSigma($L105))</f>
        <v/>
      </c>
      <c r="N105" s="115" t="str">
        <f t="shared" si="14"/>
        <v/>
      </c>
      <c r="O105" s="116" t="str">
        <f t="shared" si="15"/>
        <v/>
      </c>
      <c r="P105" s="117" t="str">
        <f>IF(NOT(ISNUMBER($O105)),"",mQualidade.ClassificarMargem($O105))</f>
        <v/>
      </c>
      <c r="Q105" s="117" t="str">
        <f t="shared" si="16"/>
        <v/>
      </c>
      <c r="R105" s="117" t="str">
        <f>IF($A105="","",mCEQ.StatusSDIeq($A105,eqAnoEP,IFERROR(INDEX(Analitos!$AR$4:$AR$43,MATCH($A105,Analitos!$A$4:$A$43,0)),"CAP"),eqRodada))</f>
        <v>SEM EP</v>
      </c>
      <c r="S105" s="117" t="str">
        <f>IF($A105="","",mCEQ.StatusLimitesEQ($A105,eqAnoEP,IFERROR(INDEX(Analitos!$AR$4:$AR$43,MATCH($A105,Analitos!$A$4:$A$43,0)),"CAP"),eqRodada))</f>
        <v>SEM EP</v>
      </c>
      <c r="T105" s="116" t="str">
        <f>IF($A105="","",mCEQ.BiasEQ($A105,eqAnoEP,"SIGNED",IFERROR(INDEX(Analitos!$AR$4:$AR$43,MATCH($A105,Analitos!$A$4:$A$43,0)),"CAP"),eqRodada))</f>
        <v>SEM EP</v>
      </c>
      <c r="U105" s="117" t="str">
        <f>IF(OR($P105="ETp excedido",$P105="Margem critica"),COUNTIF($P$14:$P105,"ETp excedido")+COUNTIF($P$14:$P105,"Margem critica"),"")</f>
        <v/>
      </c>
      <c r="V105" s="118" t="str">
        <f>IF(NOT(ISNUMBER($L105)),"",mPlanoQC.DPMdoSigma($L105))</f>
        <v/>
      </c>
      <c r="W105" s="119" t="str">
        <f>IF(NOT(ISNUMBER($L105)),"",mPlanoQC.RendimentoDoSigma($L105))</f>
        <v/>
      </c>
      <c r="X105" s="117" t="str">
        <f>IF(NOT(ISNUMBER($L105)),"",mPlanoQC.PlanoQC($L105,"REGRAS"))</f>
        <v/>
      </c>
      <c r="Y105" s="120" t="str">
        <f>IF(NOT(ISNUMBER($L105)),"",mPlanoQC.PlanoQC($L105,"N"))</f>
        <v/>
      </c>
      <c r="Z105" s="121" t="str">
        <f>IF(NOT(ISNUMBER($L105)),"",mPlanoQC.PlanoQC($L105,"RUNSIZE"))</f>
        <v/>
      </c>
      <c r="AA105" s="117" t="str">
        <f>IF(NOT(ISNUMBER($L105)),"",mPlanoQC.CoberturaWestgard($L105))</f>
        <v/>
      </c>
      <c r="AB105" s="117" t="str">
        <f t="shared" si="17"/>
        <v>0|2</v>
      </c>
      <c r="AC105" s="120" t="str">
        <f>IF($A105="","",mCEQ.BiasEQ($A105,eqAnoEP,"N",IFERROR(INDEX(Analitos!$AR$4:$AR$43,MATCH($A105,Analitos!$A$4:$A$43,0)),"CAP"),eqRodada))</f>
        <v>SEM EP</v>
      </c>
      <c r="AD105" s="120" t="str">
        <f>IF($A105="","",mCEQ.BiasEQ($A105,eqAnoEP,"NRODADAS",IFERROR(INDEX(Analitos!$AR$4:$AR$43,MATCH($A105,Analitos!$A$4:$A$43,0)),"CAP"),eqRodada))</f>
        <v>SEM EP</v>
      </c>
    </row>
    <row r="106" spans="1:30" x14ac:dyDescent="0.3">
      <c r="A106" s="110">
        <f>Analitos!$A$34</f>
        <v>0</v>
      </c>
      <c r="B106" s="111">
        <v>3</v>
      </c>
      <c r="C106" s="112" t="str">
        <f>IF($A106="","",IF(INDEX(engEstat,ROW()-13,3)="","",INDEX(engEstat,ROW()-13,3)))</f>
        <v/>
      </c>
      <c r="D106" s="113" t="str">
        <f>IF($A106="","",IF(INDEX(engEstat,ROW()-13,4)="","",INDEX(engEstat,ROW()-13,4)))</f>
        <v/>
      </c>
      <c r="E106" s="113" t="str">
        <f>IF($A106="","",IF(INDEX(engEstat,ROW()-13,5)="","",INDEX(engEstat,ROW()-13,5)))</f>
        <v/>
      </c>
      <c r="F106" s="114" t="str">
        <f>IF($A106="","",IF(INDEX(engEstat,ROW()-13,6)="","",INDEX(engEstat,ROW()-13,6)))</f>
        <v/>
      </c>
      <c r="G106" s="114" t="str">
        <f>IF($A106="","",mCEQ.BiasEQ($A106,eqAnoEP,"ABS",eqProvedor,eqRodada))</f>
        <v>SEM EP</v>
      </c>
      <c r="H106" s="114" t="str">
        <f t="shared" si="12"/>
        <v/>
      </c>
      <c r="I106" s="114" t="str">
        <f>IF($A106="","",IFERROR(INDEX(Analitos!$Q$4:$Q$43,MATCH($A106,Analitos!$A$4:$A$43,0)),""))</f>
        <v/>
      </c>
      <c r="J106" s="114" t="str">
        <f>IF($A106="","",IFERROR(IF($I106="VB",INDEX(Analitos!$T$4:$T$43,MATCH($A106,Analitos!$A$4:$A$43,0)),IF(INDEX(Analitos!$S$4:$S$43,MATCH($A106,Analitos!$A$4:$A$43,0))&lt;&gt;"",INDEX(Analitos!$S$4:$S$43,MATCH($A106,Analitos!$A$4:$A$43,0)),INDEX(Analitos!$T$4:$T$43,MATCH($A106,Analitos!$A$4:$A$43,0)))),""))</f>
        <v/>
      </c>
      <c r="K106" s="114" t="str">
        <f>IF($A106="","",IFERROR(INDEX(Analitos!$R$4:$R$43,MATCH($A106,Analitos!$A$4:$A$43,0)),""))</f>
        <v/>
      </c>
      <c r="L106" s="114" t="str">
        <f t="shared" si="13"/>
        <v/>
      </c>
      <c r="M106" s="114" t="str">
        <f>IF(NOT(ISNUMBER($L106)),"",mQualidade.ClassificarSigma($L106))</f>
        <v/>
      </c>
      <c r="N106" s="115" t="str">
        <f t="shared" si="14"/>
        <v/>
      </c>
      <c r="O106" s="116" t="str">
        <f t="shared" si="15"/>
        <v/>
      </c>
      <c r="P106" s="117" t="str">
        <f>IF(NOT(ISNUMBER($O106)),"",mQualidade.ClassificarMargem($O106))</f>
        <v/>
      </c>
      <c r="Q106" s="117" t="str">
        <f t="shared" si="16"/>
        <v/>
      </c>
      <c r="R106" s="117" t="str">
        <f>IF($A106="","",mCEQ.StatusSDIeq($A106,eqAnoEP,IFERROR(INDEX(Analitos!$AR$4:$AR$43,MATCH($A106,Analitos!$A$4:$A$43,0)),"CAP"),eqRodada))</f>
        <v>SEM EP</v>
      </c>
      <c r="S106" s="117" t="str">
        <f>IF($A106="","",mCEQ.StatusLimitesEQ($A106,eqAnoEP,IFERROR(INDEX(Analitos!$AR$4:$AR$43,MATCH($A106,Analitos!$A$4:$A$43,0)),"CAP"),eqRodada))</f>
        <v>SEM EP</v>
      </c>
      <c r="T106" s="116" t="str">
        <f>IF($A106="","",mCEQ.BiasEQ($A106,eqAnoEP,"SIGNED",IFERROR(INDEX(Analitos!$AR$4:$AR$43,MATCH($A106,Analitos!$A$4:$A$43,0)),"CAP"),eqRodada))</f>
        <v>SEM EP</v>
      </c>
      <c r="U106" s="117" t="str">
        <f>IF(OR($P106="ETp excedido",$P106="Margem critica"),COUNTIF($P$14:$P106,"ETp excedido")+COUNTIF($P$14:$P106,"Margem critica"),"")</f>
        <v/>
      </c>
      <c r="V106" s="118" t="str">
        <f>IF(NOT(ISNUMBER($L106)),"",mPlanoQC.DPMdoSigma($L106))</f>
        <v/>
      </c>
      <c r="W106" s="119" t="str">
        <f>IF(NOT(ISNUMBER($L106)),"",mPlanoQC.RendimentoDoSigma($L106))</f>
        <v/>
      </c>
      <c r="X106" s="117" t="str">
        <f>IF(NOT(ISNUMBER($L106)),"",mPlanoQC.PlanoQC($L106,"REGRAS"))</f>
        <v/>
      </c>
      <c r="Y106" s="120" t="str">
        <f>IF(NOT(ISNUMBER($L106)),"",mPlanoQC.PlanoQC($L106,"N"))</f>
        <v/>
      </c>
      <c r="Z106" s="121" t="str">
        <f>IF(NOT(ISNUMBER($L106)),"",mPlanoQC.PlanoQC($L106,"RUNSIZE"))</f>
        <v/>
      </c>
      <c r="AA106" s="117" t="str">
        <f>IF(NOT(ISNUMBER($L106)),"",mPlanoQC.CoberturaWestgard($L106))</f>
        <v/>
      </c>
      <c r="AB106" s="117" t="str">
        <f t="shared" si="17"/>
        <v>0|3</v>
      </c>
      <c r="AC106" s="120" t="str">
        <f>IF($A106="","",mCEQ.BiasEQ($A106,eqAnoEP,"N",IFERROR(INDEX(Analitos!$AR$4:$AR$43,MATCH($A106,Analitos!$A$4:$A$43,0)),"CAP"),eqRodada))</f>
        <v>SEM EP</v>
      </c>
      <c r="AD106" s="120" t="str">
        <f>IF($A106="","",mCEQ.BiasEQ($A106,eqAnoEP,"NRODADAS",IFERROR(INDEX(Analitos!$AR$4:$AR$43,MATCH($A106,Analitos!$A$4:$A$43,0)),"CAP"),eqRodada))</f>
        <v>SEM EP</v>
      </c>
    </row>
    <row r="107" spans="1:30" x14ac:dyDescent="0.3">
      <c r="A107" s="110">
        <f>Analitos!$A$35</f>
        <v>0</v>
      </c>
      <c r="B107" s="111">
        <v>1</v>
      </c>
      <c r="C107" s="112" t="str">
        <f>IF($A107="","",IF(INDEX(engEstat,ROW()-13,3)="","",INDEX(engEstat,ROW()-13,3)))</f>
        <v/>
      </c>
      <c r="D107" s="113" t="str">
        <f>IF($A107="","",IF(INDEX(engEstat,ROW()-13,4)="","",INDEX(engEstat,ROW()-13,4)))</f>
        <v/>
      </c>
      <c r="E107" s="113" t="str">
        <f>IF($A107="","",IF(INDEX(engEstat,ROW()-13,5)="","",INDEX(engEstat,ROW()-13,5)))</f>
        <v/>
      </c>
      <c r="F107" s="114" t="str">
        <f>IF($A107="","",IF(INDEX(engEstat,ROW()-13,6)="","",INDEX(engEstat,ROW()-13,6)))</f>
        <v/>
      </c>
      <c r="G107" s="114" t="str">
        <f>IF($A107="","",mCEQ.BiasEQ($A107,eqAnoEP,"ABS",eqProvedor,eqRodada))</f>
        <v>SEM EP</v>
      </c>
      <c r="H107" s="114" t="str">
        <f t="shared" si="12"/>
        <v/>
      </c>
      <c r="I107" s="114" t="str">
        <f>IF($A107="","",IFERROR(INDEX(Analitos!$Q$4:$Q$43,MATCH($A107,Analitos!$A$4:$A$43,0)),""))</f>
        <v/>
      </c>
      <c r="J107" s="114" t="str">
        <f>IF($A107="","",IFERROR(IF($I107="VB",INDEX(Analitos!$T$4:$T$43,MATCH($A107,Analitos!$A$4:$A$43,0)),IF(INDEX(Analitos!$S$4:$S$43,MATCH($A107,Analitos!$A$4:$A$43,0))&lt;&gt;"",INDEX(Analitos!$S$4:$S$43,MATCH($A107,Analitos!$A$4:$A$43,0)),INDEX(Analitos!$T$4:$T$43,MATCH($A107,Analitos!$A$4:$A$43,0)))),""))</f>
        <v/>
      </c>
      <c r="K107" s="114" t="str">
        <f>IF($A107="","",IFERROR(INDEX(Analitos!$R$4:$R$43,MATCH($A107,Analitos!$A$4:$A$43,0)),""))</f>
        <v/>
      </c>
      <c r="L107" s="114" t="str">
        <f t="shared" si="13"/>
        <v/>
      </c>
      <c r="M107" s="114" t="str">
        <f>IF(NOT(ISNUMBER($L107)),"",mQualidade.ClassificarSigma($L107))</f>
        <v/>
      </c>
      <c r="N107" s="115" t="str">
        <f t="shared" si="14"/>
        <v/>
      </c>
      <c r="O107" s="116" t="str">
        <f t="shared" si="15"/>
        <v/>
      </c>
      <c r="P107" s="117" t="str">
        <f>IF(NOT(ISNUMBER($O107)),"",mQualidade.ClassificarMargem($O107))</f>
        <v/>
      </c>
      <c r="Q107" s="117" t="str">
        <f t="shared" si="16"/>
        <v/>
      </c>
      <c r="R107" s="117" t="str">
        <f>IF($A107="","",mCEQ.StatusSDIeq($A107,eqAnoEP,IFERROR(INDEX(Analitos!$AR$4:$AR$43,MATCH($A107,Analitos!$A$4:$A$43,0)),"CAP"),eqRodada))</f>
        <v>SEM EP</v>
      </c>
      <c r="S107" s="117" t="str">
        <f>IF($A107="","",mCEQ.StatusLimitesEQ($A107,eqAnoEP,IFERROR(INDEX(Analitos!$AR$4:$AR$43,MATCH($A107,Analitos!$A$4:$A$43,0)),"CAP"),eqRodada))</f>
        <v>SEM EP</v>
      </c>
      <c r="T107" s="116" t="str">
        <f>IF($A107="","",mCEQ.BiasEQ($A107,eqAnoEP,"SIGNED",IFERROR(INDEX(Analitos!$AR$4:$AR$43,MATCH($A107,Analitos!$A$4:$A$43,0)),"CAP"),eqRodada))</f>
        <v>SEM EP</v>
      </c>
      <c r="U107" s="117" t="str">
        <f>IF(OR($P107="ETp excedido",$P107="Margem critica"),COUNTIF($P$14:$P107,"ETp excedido")+COUNTIF($P$14:$P107,"Margem critica"),"")</f>
        <v/>
      </c>
      <c r="V107" s="118" t="str">
        <f>IF(NOT(ISNUMBER($L107)),"",mPlanoQC.DPMdoSigma($L107))</f>
        <v/>
      </c>
      <c r="W107" s="119" t="str">
        <f>IF(NOT(ISNUMBER($L107)),"",mPlanoQC.RendimentoDoSigma($L107))</f>
        <v/>
      </c>
      <c r="X107" s="117" t="str">
        <f>IF(NOT(ISNUMBER($L107)),"",mPlanoQC.PlanoQC($L107,"REGRAS"))</f>
        <v/>
      </c>
      <c r="Y107" s="120" t="str">
        <f>IF(NOT(ISNUMBER($L107)),"",mPlanoQC.PlanoQC($L107,"N"))</f>
        <v/>
      </c>
      <c r="Z107" s="121" t="str">
        <f>IF(NOT(ISNUMBER($L107)),"",mPlanoQC.PlanoQC($L107,"RUNSIZE"))</f>
        <v/>
      </c>
      <c r="AA107" s="117" t="str">
        <f>IF(NOT(ISNUMBER($L107)),"",mPlanoQC.CoberturaWestgard($L107))</f>
        <v/>
      </c>
      <c r="AB107" s="117" t="str">
        <f t="shared" si="17"/>
        <v>0|1</v>
      </c>
      <c r="AC107" s="120" t="str">
        <f>IF($A107="","",mCEQ.BiasEQ($A107,eqAnoEP,"N",IFERROR(INDEX(Analitos!$AR$4:$AR$43,MATCH($A107,Analitos!$A$4:$A$43,0)),"CAP"),eqRodada))</f>
        <v>SEM EP</v>
      </c>
      <c r="AD107" s="120" t="str">
        <f>IF($A107="","",mCEQ.BiasEQ($A107,eqAnoEP,"NRODADAS",IFERROR(INDEX(Analitos!$AR$4:$AR$43,MATCH($A107,Analitos!$A$4:$A$43,0)),"CAP"),eqRodada))</f>
        <v>SEM EP</v>
      </c>
    </row>
    <row r="108" spans="1:30" x14ac:dyDescent="0.3">
      <c r="A108" s="110">
        <f>Analitos!$A$35</f>
        <v>0</v>
      </c>
      <c r="B108" s="111">
        <v>2</v>
      </c>
      <c r="C108" s="112" t="str">
        <f>IF($A108="","",IF(INDEX(engEstat,ROW()-13,3)="","",INDEX(engEstat,ROW()-13,3)))</f>
        <v/>
      </c>
      <c r="D108" s="113" t="str">
        <f>IF($A108="","",IF(INDEX(engEstat,ROW()-13,4)="","",INDEX(engEstat,ROW()-13,4)))</f>
        <v/>
      </c>
      <c r="E108" s="113" t="str">
        <f>IF($A108="","",IF(INDEX(engEstat,ROW()-13,5)="","",INDEX(engEstat,ROW()-13,5)))</f>
        <v/>
      </c>
      <c r="F108" s="114" t="str">
        <f>IF($A108="","",IF(INDEX(engEstat,ROW()-13,6)="","",INDEX(engEstat,ROW()-13,6)))</f>
        <v/>
      </c>
      <c r="G108" s="114" t="str">
        <f>IF($A108="","",mCEQ.BiasEQ($A108,eqAnoEP,"ABS",eqProvedor,eqRodada))</f>
        <v>SEM EP</v>
      </c>
      <c r="H108" s="114" t="str">
        <f t="shared" si="12"/>
        <v/>
      </c>
      <c r="I108" s="114" t="str">
        <f>IF($A108="","",IFERROR(INDEX(Analitos!$Q$4:$Q$43,MATCH($A108,Analitos!$A$4:$A$43,0)),""))</f>
        <v/>
      </c>
      <c r="J108" s="114" t="str">
        <f>IF($A108="","",IFERROR(IF($I108="VB",INDEX(Analitos!$T$4:$T$43,MATCH($A108,Analitos!$A$4:$A$43,0)),IF(INDEX(Analitos!$S$4:$S$43,MATCH($A108,Analitos!$A$4:$A$43,0))&lt;&gt;"",INDEX(Analitos!$S$4:$S$43,MATCH($A108,Analitos!$A$4:$A$43,0)),INDEX(Analitos!$T$4:$T$43,MATCH($A108,Analitos!$A$4:$A$43,0)))),""))</f>
        <v/>
      </c>
      <c r="K108" s="114" t="str">
        <f>IF($A108="","",IFERROR(INDEX(Analitos!$R$4:$R$43,MATCH($A108,Analitos!$A$4:$A$43,0)),""))</f>
        <v/>
      </c>
      <c r="L108" s="114" t="str">
        <f t="shared" si="13"/>
        <v/>
      </c>
      <c r="M108" s="114" t="str">
        <f>IF(NOT(ISNUMBER($L108)),"",mQualidade.ClassificarSigma($L108))</f>
        <v/>
      </c>
      <c r="N108" s="115" t="str">
        <f t="shared" si="14"/>
        <v/>
      </c>
      <c r="O108" s="116" t="str">
        <f t="shared" si="15"/>
        <v/>
      </c>
      <c r="P108" s="117" t="str">
        <f>IF(NOT(ISNUMBER($O108)),"",mQualidade.ClassificarMargem($O108))</f>
        <v/>
      </c>
      <c r="Q108" s="117" t="str">
        <f t="shared" si="16"/>
        <v/>
      </c>
      <c r="R108" s="117" t="str">
        <f>IF($A108="","",mCEQ.StatusSDIeq($A108,eqAnoEP,IFERROR(INDEX(Analitos!$AR$4:$AR$43,MATCH($A108,Analitos!$A$4:$A$43,0)),"CAP"),eqRodada))</f>
        <v>SEM EP</v>
      </c>
      <c r="S108" s="117" t="str">
        <f>IF($A108="","",mCEQ.StatusLimitesEQ($A108,eqAnoEP,IFERROR(INDEX(Analitos!$AR$4:$AR$43,MATCH($A108,Analitos!$A$4:$A$43,0)),"CAP"),eqRodada))</f>
        <v>SEM EP</v>
      </c>
      <c r="T108" s="116" t="str">
        <f>IF($A108="","",mCEQ.BiasEQ($A108,eqAnoEP,"SIGNED",IFERROR(INDEX(Analitos!$AR$4:$AR$43,MATCH($A108,Analitos!$A$4:$A$43,0)),"CAP"),eqRodada))</f>
        <v>SEM EP</v>
      </c>
      <c r="U108" s="117" t="str">
        <f>IF(OR($P108="ETp excedido",$P108="Margem critica"),COUNTIF($P$14:$P108,"ETp excedido")+COUNTIF($P$14:$P108,"Margem critica"),"")</f>
        <v/>
      </c>
      <c r="V108" s="118" t="str">
        <f>IF(NOT(ISNUMBER($L108)),"",mPlanoQC.DPMdoSigma($L108))</f>
        <v/>
      </c>
      <c r="W108" s="119" t="str">
        <f>IF(NOT(ISNUMBER($L108)),"",mPlanoQC.RendimentoDoSigma($L108))</f>
        <v/>
      </c>
      <c r="X108" s="117" t="str">
        <f>IF(NOT(ISNUMBER($L108)),"",mPlanoQC.PlanoQC($L108,"REGRAS"))</f>
        <v/>
      </c>
      <c r="Y108" s="120" t="str">
        <f>IF(NOT(ISNUMBER($L108)),"",mPlanoQC.PlanoQC($L108,"N"))</f>
        <v/>
      </c>
      <c r="Z108" s="121" t="str">
        <f>IF(NOT(ISNUMBER($L108)),"",mPlanoQC.PlanoQC($L108,"RUNSIZE"))</f>
        <v/>
      </c>
      <c r="AA108" s="117" t="str">
        <f>IF(NOT(ISNUMBER($L108)),"",mPlanoQC.CoberturaWestgard($L108))</f>
        <v/>
      </c>
      <c r="AB108" s="117" t="str">
        <f t="shared" si="17"/>
        <v>0|2</v>
      </c>
      <c r="AC108" s="120" t="str">
        <f>IF($A108="","",mCEQ.BiasEQ($A108,eqAnoEP,"N",IFERROR(INDEX(Analitos!$AR$4:$AR$43,MATCH($A108,Analitos!$A$4:$A$43,0)),"CAP"),eqRodada))</f>
        <v>SEM EP</v>
      </c>
      <c r="AD108" s="120" t="str">
        <f>IF($A108="","",mCEQ.BiasEQ($A108,eqAnoEP,"NRODADAS",IFERROR(INDEX(Analitos!$AR$4:$AR$43,MATCH($A108,Analitos!$A$4:$A$43,0)),"CAP"),eqRodada))</f>
        <v>SEM EP</v>
      </c>
    </row>
    <row r="109" spans="1:30" x14ac:dyDescent="0.3">
      <c r="A109" s="110">
        <f>Analitos!$A$35</f>
        <v>0</v>
      </c>
      <c r="B109" s="111">
        <v>3</v>
      </c>
      <c r="C109" s="112" t="str">
        <f>IF($A109="","",IF(INDEX(engEstat,ROW()-13,3)="","",INDEX(engEstat,ROW()-13,3)))</f>
        <v/>
      </c>
      <c r="D109" s="113" t="str">
        <f>IF($A109="","",IF(INDEX(engEstat,ROW()-13,4)="","",INDEX(engEstat,ROW()-13,4)))</f>
        <v/>
      </c>
      <c r="E109" s="113" t="str">
        <f>IF($A109="","",IF(INDEX(engEstat,ROW()-13,5)="","",INDEX(engEstat,ROW()-13,5)))</f>
        <v/>
      </c>
      <c r="F109" s="114" t="str">
        <f>IF($A109="","",IF(INDEX(engEstat,ROW()-13,6)="","",INDEX(engEstat,ROW()-13,6)))</f>
        <v/>
      </c>
      <c r="G109" s="114" t="str">
        <f>IF($A109="","",mCEQ.BiasEQ($A109,eqAnoEP,"ABS",eqProvedor,eqRodada))</f>
        <v>SEM EP</v>
      </c>
      <c r="H109" s="114" t="str">
        <f t="shared" si="12"/>
        <v/>
      </c>
      <c r="I109" s="114" t="str">
        <f>IF($A109="","",IFERROR(INDEX(Analitos!$Q$4:$Q$43,MATCH($A109,Analitos!$A$4:$A$43,0)),""))</f>
        <v/>
      </c>
      <c r="J109" s="114" t="str">
        <f>IF($A109="","",IFERROR(IF($I109="VB",INDEX(Analitos!$T$4:$T$43,MATCH($A109,Analitos!$A$4:$A$43,0)),IF(INDEX(Analitos!$S$4:$S$43,MATCH($A109,Analitos!$A$4:$A$43,0))&lt;&gt;"",INDEX(Analitos!$S$4:$S$43,MATCH($A109,Analitos!$A$4:$A$43,0)),INDEX(Analitos!$T$4:$T$43,MATCH($A109,Analitos!$A$4:$A$43,0)))),""))</f>
        <v/>
      </c>
      <c r="K109" s="114" t="str">
        <f>IF($A109="","",IFERROR(INDEX(Analitos!$R$4:$R$43,MATCH($A109,Analitos!$A$4:$A$43,0)),""))</f>
        <v/>
      </c>
      <c r="L109" s="114" t="str">
        <f t="shared" si="13"/>
        <v/>
      </c>
      <c r="M109" s="114" t="str">
        <f>IF(NOT(ISNUMBER($L109)),"",mQualidade.ClassificarSigma($L109))</f>
        <v/>
      </c>
      <c r="N109" s="115" t="str">
        <f t="shared" si="14"/>
        <v/>
      </c>
      <c r="O109" s="116" t="str">
        <f t="shared" si="15"/>
        <v/>
      </c>
      <c r="P109" s="117" t="str">
        <f>IF(NOT(ISNUMBER($O109)),"",mQualidade.ClassificarMargem($O109))</f>
        <v/>
      </c>
      <c r="Q109" s="117" t="str">
        <f t="shared" si="16"/>
        <v/>
      </c>
      <c r="R109" s="117" t="str">
        <f>IF($A109="","",mCEQ.StatusSDIeq($A109,eqAnoEP,IFERROR(INDEX(Analitos!$AR$4:$AR$43,MATCH($A109,Analitos!$A$4:$A$43,0)),"CAP"),eqRodada))</f>
        <v>SEM EP</v>
      </c>
      <c r="S109" s="117" t="str">
        <f>IF($A109="","",mCEQ.StatusLimitesEQ($A109,eqAnoEP,IFERROR(INDEX(Analitos!$AR$4:$AR$43,MATCH($A109,Analitos!$A$4:$A$43,0)),"CAP"),eqRodada))</f>
        <v>SEM EP</v>
      </c>
      <c r="T109" s="116" t="str">
        <f>IF($A109="","",mCEQ.BiasEQ($A109,eqAnoEP,"SIGNED",IFERROR(INDEX(Analitos!$AR$4:$AR$43,MATCH($A109,Analitos!$A$4:$A$43,0)),"CAP"),eqRodada))</f>
        <v>SEM EP</v>
      </c>
      <c r="U109" s="117" t="str">
        <f>IF(OR($P109="ETp excedido",$P109="Margem critica"),COUNTIF($P$14:$P109,"ETp excedido")+COUNTIF($P$14:$P109,"Margem critica"),"")</f>
        <v/>
      </c>
      <c r="V109" s="118" t="str">
        <f>IF(NOT(ISNUMBER($L109)),"",mPlanoQC.DPMdoSigma($L109))</f>
        <v/>
      </c>
      <c r="W109" s="119" t="str">
        <f>IF(NOT(ISNUMBER($L109)),"",mPlanoQC.RendimentoDoSigma($L109))</f>
        <v/>
      </c>
      <c r="X109" s="117" t="str">
        <f>IF(NOT(ISNUMBER($L109)),"",mPlanoQC.PlanoQC($L109,"REGRAS"))</f>
        <v/>
      </c>
      <c r="Y109" s="120" t="str">
        <f>IF(NOT(ISNUMBER($L109)),"",mPlanoQC.PlanoQC($L109,"N"))</f>
        <v/>
      </c>
      <c r="Z109" s="121" t="str">
        <f>IF(NOT(ISNUMBER($L109)),"",mPlanoQC.PlanoQC($L109,"RUNSIZE"))</f>
        <v/>
      </c>
      <c r="AA109" s="117" t="str">
        <f>IF(NOT(ISNUMBER($L109)),"",mPlanoQC.CoberturaWestgard($L109))</f>
        <v/>
      </c>
      <c r="AB109" s="117" t="str">
        <f t="shared" si="17"/>
        <v>0|3</v>
      </c>
      <c r="AC109" s="120" t="str">
        <f>IF($A109="","",mCEQ.BiasEQ($A109,eqAnoEP,"N",IFERROR(INDEX(Analitos!$AR$4:$AR$43,MATCH($A109,Analitos!$A$4:$A$43,0)),"CAP"),eqRodada))</f>
        <v>SEM EP</v>
      </c>
      <c r="AD109" s="120" t="str">
        <f>IF($A109="","",mCEQ.BiasEQ($A109,eqAnoEP,"NRODADAS",IFERROR(INDEX(Analitos!$AR$4:$AR$43,MATCH($A109,Analitos!$A$4:$A$43,0)),"CAP"),eqRodada))</f>
        <v>SEM EP</v>
      </c>
    </row>
    <row r="110" spans="1:30" x14ac:dyDescent="0.3">
      <c r="A110" s="110">
        <f>Analitos!$A$36</f>
        <v>0</v>
      </c>
      <c r="B110" s="111">
        <v>1</v>
      </c>
      <c r="C110" s="112" t="str">
        <f>IF($A110="","",IF(INDEX(engEstat,ROW()-13,3)="","",INDEX(engEstat,ROW()-13,3)))</f>
        <v/>
      </c>
      <c r="D110" s="113" t="str">
        <f>IF($A110="","",IF(INDEX(engEstat,ROW()-13,4)="","",INDEX(engEstat,ROW()-13,4)))</f>
        <v/>
      </c>
      <c r="E110" s="113" t="str">
        <f>IF($A110="","",IF(INDEX(engEstat,ROW()-13,5)="","",INDEX(engEstat,ROW()-13,5)))</f>
        <v/>
      </c>
      <c r="F110" s="114" t="str">
        <f>IF($A110="","",IF(INDEX(engEstat,ROW()-13,6)="","",INDEX(engEstat,ROW()-13,6)))</f>
        <v/>
      </c>
      <c r="G110" s="114" t="str">
        <f>IF($A110="","",mCEQ.BiasEQ($A110,eqAnoEP,"ABS",eqProvedor,eqRodada))</f>
        <v>SEM EP</v>
      </c>
      <c r="H110" s="114" t="str">
        <f t="shared" ref="H110:H133" si="18">IF(OR(NOT(ISNUMBER($F110)),NOT(ISNUMBER($G110))),"",1.65*$F110+ABS($G110))</f>
        <v/>
      </c>
      <c r="I110" s="114" t="str">
        <f>IF($A110="","",IFERROR(INDEX(Analitos!$Q$4:$Q$43,MATCH($A110,Analitos!$A$4:$A$43,0)),""))</f>
        <v/>
      </c>
      <c r="J110" s="114" t="str">
        <f>IF($A110="","",IFERROR(IF($I110="VB",INDEX(Analitos!$T$4:$T$43,MATCH($A110,Analitos!$A$4:$A$43,0)),IF(INDEX(Analitos!$S$4:$S$43,MATCH($A110,Analitos!$A$4:$A$43,0))&lt;&gt;"",INDEX(Analitos!$S$4:$S$43,MATCH($A110,Analitos!$A$4:$A$43,0)),INDEX(Analitos!$T$4:$T$43,MATCH($A110,Analitos!$A$4:$A$43,0)))),""))</f>
        <v/>
      </c>
      <c r="K110" s="114" t="str">
        <f>IF($A110="","",IFERROR(INDEX(Analitos!$R$4:$R$43,MATCH($A110,Analitos!$A$4:$A$43,0)),""))</f>
        <v/>
      </c>
      <c r="L110" s="114" t="str">
        <f t="shared" ref="L110:L133" si="19">IF(OR(NOT(ISNUMBER($F110)),$F110=0,NOT(ISNUMBER($G110)),NOT(ISNUMBER($K110))),"",($K110-ABS($G110))/$F110)</f>
        <v/>
      </c>
      <c r="M110" s="114" t="str">
        <f>IF(NOT(ISNUMBER($L110)),"",mQualidade.ClassificarSigma($L110))</f>
        <v/>
      </c>
      <c r="N110" s="115" t="str">
        <f t="shared" ref="N110:N133" si="20">IF(OR(NOT(ISNUMBER($K110)),NOT(ISNUMBER($H110))),"",$K110-$H110)</f>
        <v/>
      </c>
      <c r="O110" s="116" t="str">
        <f t="shared" ref="O110:O133" si="21">IF(OR(NOT(ISNUMBER($N110)),NOT(ISNUMBER($K110)),$K110=0),"",$N110/$K110*100)</f>
        <v/>
      </c>
      <c r="P110" s="117" t="str">
        <f>IF(NOT(ISNUMBER($O110)),"",mQualidade.ClassificarMargem($O110))</f>
        <v/>
      </c>
      <c r="Q110" s="117" t="str">
        <f t="shared" ref="Q110:Q133" si="22">IF(OR(NOT(ISNUMBER($F110)),NOT(ISNUMBER($J110))),"",IF($F110&lt;=$J110,"OK","CV acima da meta"))</f>
        <v/>
      </c>
      <c r="R110" s="117" t="str">
        <f>IF($A110="","",mCEQ.StatusSDIeq($A110,eqAnoEP,IFERROR(INDEX(Analitos!$AR$4:$AR$43,MATCH($A110,Analitos!$A$4:$A$43,0)),"CAP"),eqRodada))</f>
        <v>SEM EP</v>
      </c>
      <c r="S110" s="117" t="str">
        <f>IF($A110="","",mCEQ.StatusLimitesEQ($A110,eqAnoEP,IFERROR(INDEX(Analitos!$AR$4:$AR$43,MATCH($A110,Analitos!$A$4:$A$43,0)),"CAP"),eqRodada))</f>
        <v>SEM EP</v>
      </c>
      <c r="T110" s="116" t="str">
        <f>IF($A110="","",mCEQ.BiasEQ($A110,eqAnoEP,"SIGNED",IFERROR(INDEX(Analitos!$AR$4:$AR$43,MATCH($A110,Analitos!$A$4:$A$43,0)),"CAP"),eqRodada))</f>
        <v>SEM EP</v>
      </c>
      <c r="U110" s="117" t="str">
        <f>IF(OR($P110="ETp excedido",$P110="Margem critica"),COUNTIF($P$14:$P110,"ETp excedido")+COUNTIF($P$14:$P110,"Margem critica"),"")</f>
        <v/>
      </c>
      <c r="V110" s="118" t="str">
        <f>IF(NOT(ISNUMBER($L110)),"",mPlanoQC.DPMdoSigma($L110))</f>
        <v/>
      </c>
      <c r="W110" s="119" t="str">
        <f>IF(NOT(ISNUMBER($L110)),"",mPlanoQC.RendimentoDoSigma($L110))</f>
        <v/>
      </c>
      <c r="X110" s="117" t="str">
        <f>IF(NOT(ISNUMBER($L110)),"",mPlanoQC.PlanoQC($L110,"REGRAS"))</f>
        <v/>
      </c>
      <c r="Y110" s="120" t="str">
        <f>IF(NOT(ISNUMBER($L110)),"",mPlanoQC.PlanoQC($L110,"N"))</f>
        <v/>
      </c>
      <c r="Z110" s="121" t="str">
        <f>IF(NOT(ISNUMBER($L110)),"",mPlanoQC.PlanoQC($L110,"RUNSIZE"))</f>
        <v/>
      </c>
      <c r="AA110" s="117" t="str">
        <f>IF(NOT(ISNUMBER($L110)),"",mPlanoQC.CoberturaWestgard($L110))</f>
        <v/>
      </c>
      <c r="AB110" s="117" t="str">
        <f t="shared" ref="AB110:AB133" si="23">IF($A110="","",$A110&amp;"|"&amp;$B110)</f>
        <v>0|1</v>
      </c>
      <c r="AC110" s="120" t="str">
        <f>IF($A110="","",mCEQ.BiasEQ($A110,eqAnoEP,"N",IFERROR(INDEX(Analitos!$AR$4:$AR$43,MATCH($A110,Analitos!$A$4:$A$43,0)),"CAP"),eqRodada))</f>
        <v>SEM EP</v>
      </c>
      <c r="AD110" s="120" t="str">
        <f>IF($A110="","",mCEQ.BiasEQ($A110,eqAnoEP,"NRODADAS",IFERROR(INDEX(Analitos!$AR$4:$AR$43,MATCH($A110,Analitos!$A$4:$A$43,0)),"CAP"),eqRodada))</f>
        <v>SEM EP</v>
      </c>
    </row>
    <row r="111" spans="1:30" x14ac:dyDescent="0.3">
      <c r="A111" s="110">
        <f>Analitos!$A$36</f>
        <v>0</v>
      </c>
      <c r="B111" s="111">
        <v>2</v>
      </c>
      <c r="C111" s="112" t="str">
        <f>IF($A111="","",IF(INDEX(engEstat,ROW()-13,3)="","",INDEX(engEstat,ROW()-13,3)))</f>
        <v/>
      </c>
      <c r="D111" s="113" t="str">
        <f>IF($A111="","",IF(INDEX(engEstat,ROW()-13,4)="","",INDEX(engEstat,ROW()-13,4)))</f>
        <v/>
      </c>
      <c r="E111" s="113" t="str">
        <f>IF($A111="","",IF(INDEX(engEstat,ROW()-13,5)="","",INDEX(engEstat,ROW()-13,5)))</f>
        <v/>
      </c>
      <c r="F111" s="114" t="str">
        <f>IF($A111="","",IF(INDEX(engEstat,ROW()-13,6)="","",INDEX(engEstat,ROW()-13,6)))</f>
        <v/>
      </c>
      <c r="G111" s="114" t="str">
        <f>IF($A111="","",mCEQ.BiasEQ($A111,eqAnoEP,"ABS",eqProvedor,eqRodada))</f>
        <v>SEM EP</v>
      </c>
      <c r="H111" s="114" t="str">
        <f t="shared" si="18"/>
        <v/>
      </c>
      <c r="I111" s="114" t="str">
        <f>IF($A111="","",IFERROR(INDEX(Analitos!$Q$4:$Q$43,MATCH($A111,Analitos!$A$4:$A$43,0)),""))</f>
        <v/>
      </c>
      <c r="J111" s="114" t="str">
        <f>IF($A111="","",IFERROR(IF($I111="VB",INDEX(Analitos!$T$4:$T$43,MATCH($A111,Analitos!$A$4:$A$43,0)),IF(INDEX(Analitos!$S$4:$S$43,MATCH($A111,Analitos!$A$4:$A$43,0))&lt;&gt;"",INDEX(Analitos!$S$4:$S$43,MATCH($A111,Analitos!$A$4:$A$43,0)),INDEX(Analitos!$T$4:$T$43,MATCH($A111,Analitos!$A$4:$A$43,0)))),""))</f>
        <v/>
      </c>
      <c r="K111" s="114" t="str">
        <f>IF($A111="","",IFERROR(INDEX(Analitos!$R$4:$R$43,MATCH($A111,Analitos!$A$4:$A$43,0)),""))</f>
        <v/>
      </c>
      <c r="L111" s="114" t="str">
        <f t="shared" si="19"/>
        <v/>
      </c>
      <c r="M111" s="114" t="str">
        <f>IF(NOT(ISNUMBER($L111)),"",mQualidade.ClassificarSigma($L111))</f>
        <v/>
      </c>
      <c r="N111" s="115" t="str">
        <f t="shared" si="20"/>
        <v/>
      </c>
      <c r="O111" s="116" t="str">
        <f t="shared" si="21"/>
        <v/>
      </c>
      <c r="P111" s="117" t="str">
        <f>IF(NOT(ISNUMBER($O111)),"",mQualidade.ClassificarMargem($O111))</f>
        <v/>
      </c>
      <c r="Q111" s="117" t="str">
        <f t="shared" si="22"/>
        <v/>
      </c>
      <c r="R111" s="117" t="str">
        <f>IF($A111="","",mCEQ.StatusSDIeq($A111,eqAnoEP,IFERROR(INDEX(Analitos!$AR$4:$AR$43,MATCH($A111,Analitos!$A$4:$A$43,0)),"CAP"),eqRodada))</f>
        <v>SEM EP</v>
      </c>
      <c r="S111" s="117" t="str">
        <f>IF($A111="","",mCEQ.StatusLimitesEQ($A111,eqAnoEP,IFERROR(INDEX(Analitos!$AR$4:$AR$43,MATCH($A111,Analitos!$A$4:$A$43,0)),"CAP"),eqRodada))</f>
        <v>SEM EP</v>
      </c>
      <c r="T111" s="116" t="str">
        <f>IF($A111="","",mCEQ.BiasEQ($A111,eqAnoEP,"SIGNED",IFERROR(INDEX(Analitos!$AR$4:$AR$43,MATCH($A111,Analitos!$A$4:$A$43,0)),"CAP"),eqRodada))</f>
        <v>SEM EP</v>
      </c>
      <c r="U111" s="117" t="str">
        <f>IF(OR($P111="ETp excedido",$P111="Margem critica"),COUNTIF($P$14:$P111,"ETp excedido")+COUNTIF($P$14:$P111,"Margem critica"),"")</f>
        <v/>
      </c>
      <c r="V111" s="118" t="str">
        <f>IF(NOT(ISNUMBER($L111)),"",mPlanoQC.DPMdoSigma($L111))</f>
        <v/>
      </c>
      <c r="W111" s="119" t="str">
        <f>IF(NOT(ISNUMBER($L111)),"",mPlanoQC.RendimentoDoSigma($L111))</f>
        <v/>
      </c>
      <c r="X111" s="117" t="str">
        <f>IF(NOT(ISNUMBER($L111)),"",mPlanoQC.PlanoQC($L111,"REGRAS"))</f>
        <v/>
      </c>
      <c r="Y111" s="120" t="str">
        <f>IF(NOT(ISNUMBER($L111)),"",mPlanoQC.PlanoQC($L111,"N"))</f>
        <v/>
      </c>
      <c r="Z111" s="121" t="str">
        <f>IF(NOT(ISNUMBER($L111)),"",mPlanoQC.PlanoQC($L111,"RUNSIZE"))</f>
        <v/>
      </c>
      <c r="AA111" s="117" t="str">
        <f>IF(NOT(ISNUMBER($L111)),"",mPlanoQC.CoberturaWestgard($L111))</f>
        <v/>
      </c>
      <c r="AB111" s="117" t="str">
        <f t="shared" si="23"/>
        <v>0|2</v>
      </c>
      <c r="AC111" s="120" t="str">
        <f>IF($A111="","",mCEQ.BiasEQ($A111,eqAnoEP,"N",IFERROR(INDEX(Analitos!$AR$4:$AR$43,MATCH($A111,Analitos!$A$4:$A$43,0)),"CAP"),eqRodada))</f>
        <v>SEM EP</v>
      </c>
      <c r="AD111" s="120" t="str">
        <f>IF($A111="","",mCEQ.BiasEQ($A111,eqAnoEP,"NRODADAS",IFERROR(INDEX(Analitos!$AR$4:$AR$43,MATCH($A111,Analitos!$A$4:$A$43,0)),"CAP"),eqRodada))</f>
        <v>SEM EP</v>
      </c>
    </row>
    <row r="112" spans="1:30" x14ac:dyDescent="0.3">
      <c r="A112" s="110">
        <f>Analitos!$A$36</f>
        <v>0</v>
      </c>
      <c r="B112" s="111">
        <v>3</v>
      </c>
      <c r="C112" s="112" t="str">
        <f>IF($A112="","",IF(INDEX(engEstat,ROW()-13,3)="","",INDEX(engEstat,ROW()-13,3)))</f>
        <v/>
      </c>
      <c r="D112" s="113" t="str">
        <f>IF($A112="","",IF(INDEX(engEstat,ROW()-13,4)="","",INDEX(engEstat,ROW()-13,4)))</f>
        <v/>
      </c>
      <c r="E112" s="113" t="str">
        <f>IF($A112="","",IF(INDEX(engEstat,ROW()-13,5)="","",INDEX(engEstat,ROW()-13,5)))</f>
        <v/>
      </c>
      <c r="F112" s="114" t="str">
        <f>IF($A112="","",IF(INDEX(engEstat,ROW()-13,6)="","",INDEX(engEstat,ROW()-13,6)))</f>
        <v/>
      </c>
      <c r="G112" s="114" t="str">
        <f>IF($A112="","",mCEQ.BiasEQ($A112,eqAnoEP,"ABS",eqProvedor,eqRodada))</f>
        <v>SEM EP</v>
      </c>
      <c r="H112" s="114" t="str">
        <f t="shared" si="18"/>
        <v/>
      </c>
      <c r="I112" s="114" t="str">
        <f>IF($A112="","",IFERROR(INDEX(Analitos!$Q$4:$Q$43,MATCH($A112,Analitos!$A$4:$A$43,0)),""))</f>
        <v/>
      </c>
      <c r="J112" s="114" t="str">
        <f>IF($A112="","",IFERROR(IF($I112="VB",INDEX(Analitos!$T$4:$T$43,MATCH($A112,Analitos!$A$4:$A$43,0)),IF(INDEX(Analitos!$S$4:$S$43,MATCH($A112,Analitos!$A$4:$A$43,0))&lt;&gt;"",INDEX(Analitos!$S$4:$S$43,MATCH($A112,Analitos!$A$4:$A$43,0)),INDEX(Analitos!$T$4:$T$43,MATCH($A112,Analitos!$A$4:$A$43,0)))),""))</f>
        <v/>
      </c>
      <c r="K112" s="114" t="str">
        <f>IF($A112="","",IFERROR(INDEX(Analitos!$R$4:$R$43,MATCH($A112,Analitos!$A$4:$A$43,0)),""))</f>
        <v/>
      </c>
      <c r="L112" s="114" t="str">
        <f t="shared" si="19"/>
        <v/>
      </c>
      <c r="M112" s="114" t="str">
        <f>IF(NOT(ISNUMBER($L112)),"",mQualidade.ClassificarSigma($L112))</f>
        <v/>
      </c>
      <c r="N112" s="115" t="str">
        <f t="shared" si="20"/>
        <v/>
      </c>
      <c r="O112" s="116" t="str">
        <f t="shared" si="21"/>
        <v/>
      </c>
      <c r="P112" s="117" t="str">
        <f>IF(NOT(ISNUMBER($O112)),"",mQualidade.ClassificarMargem($O112))</f>
        <v/>
      </c>
      <c r="Q112" s="117" t="str">
        <f t="shared" si="22"/>
        <v/>
      </c>
      <c r="R112" s="117" t="str">
        <f>IF($A112="","",mCEQ.StatusSDIeq($A112,eqAnoEP,IFERROR(INDEX(Analitos!$AR$4:$AR$43,MATCH($A112,Analitos!$A$4:$A$43,0)),"CAP"),eqRodada))</f>
        <v>SEM EP</v>
      </c>
      <c r="S112" s="117" t="str">
        <f>IF($A112="","",mCEQ.StatusLimitesEQ($A112,eqAnoEP,IFERROR(INDEX(Analitos!$AR$4:$AR$43,MATCH($A112,Analitos!$A$4:$A$43,0)),"CAP"),eqRodada))</f>
        <v>SEM EP</v>
      </c>
      <c r="T112" s="116" t="str">
        <f>IF($A112="","",mCEQ.BiasEQ($A112,eqAnoEP,"SIGNED",IFERROR(INDEX(Analitos!$AR$4:$AR$43,MATCH($A112,Analitos!$A$4:$A$43,0)),"CAP"),eqRodada))</f>
        <v>SEM EP</v>
      </c>
      <c r="U112" s="117" t="str">
        <f>IF(OR($P112="ETp excedido",$P112="Margem critica"),COUNTIF($P$14:$P112,"ETp excedido")+COUNTIF($P$14:$P112,"Margem critica"),"")</f>
        <v/>
      </c>
      <c r="V112" s="118" t="str">
        <f>IF(NOT(ISNUMBER($L112)),"",mPlanoQC.DPMdoSigma($L112))</f>
        <v/>
      </c>
      <c r="W112" s="119" t="str">
        <f>IF(NOT(ISNUMBER($L112)),"",mPlanoQC.RendimentoDoSigma($L112))</f>
        <v/>
      </c>
      <c r="X112" s="117" t="str">
        <f>IF(NOT(ISNUMBER($L112)),"",mPlanoQC.PlanoQC($L112,"REGRAS"))</f>
        <v/>
      </c>
      <c r="Y112" s="120" t="str">
        <f>IF(NOT(ISNUMBER($L112)),"",mPlanoQC.PlanoQC($L112,"N"))</f>
        <v/>
      </c>
      <c r="Z112" s="121" t="str">
        <f>IF(NOT(ISNUMBER($L112)),"",mPlanoQC.PlanoQC($L112,"RUNSIZE"))</f>
        <v/>
      </c>
      <c r="AA112" s="117" t="str">
        <f>IF(NOT(ISNUMBER($L112)),"",mPlanoQC.CoberturaWestgard($L112))</f>
        <v/>
      </c>
      <c r="AB112" s="117" t="str">
        <f t="shared" si="23"/>
        <v>0|3</v>
      </c>
      <c r="AC112" s="120" t="str">
        <f>IF($A112="","",mCEQ.BiasEQ($A112,eqAnoEP,"N",IFERROR(INDEX(Analitos!$AR$4:$AR$43,MATCH($A112,Analitos!$A$4:$A$43,0)),"CAP"),eqRodada))</f>
        <v>SEM EP</v>
      </c>
      <c r="AD112" s="120" t="str">
        <f>IF($A112="","",mCEQ.BiasEQ($A112,eqAnoEP,"NRODADAS",IFERROR(INDEX(Analitos!$AR$4:$AR$43,MATCH($A112,Analitos!$A$4:$A$43,0)),"CAP"),eqRodada))</f>
        <v>SEM EP</v>
      </c>
    </row>
    <row r="113" spans="1:30" x14ac:dyDescent="0.3">
      <c r="A113" s="110">
        <f>Analitos!$A$37</f>
        <v>0</v>
      </c>
      <c r="B113" s="111">
        <v>1</v>
      </c>
      <c r="C113" s="112" t="str">
        <f>IF($A113="","",IF(INDEX(engEstat,ROW()-13,3)="","",INDEX(engEstat,ROW()-13,3)))</f>
        <v/>
      </c>
      <c r="D113" s="113" t="str">
        <f>IF($A113="","",IF(INDEX(engEstat,ROW()-13,4)="","",INDEX(engEstat,ROW()-13,4)))</f>
        <v/>
      </c>
      <c r="E113" s="113" t="str">
        <f>IF($A113="","",IF(INDEX(engEstat,ROW()-13,5)="","",INDEX(engEstat,ROW()-13,5)))</f>
        <v/>
      </c>
      <c r="F113" s="114" t="str">
        <f>IF($A113="","",IF(INDEX(engEstat,ROW()-13,6)="","",INDEX(engEstat,ROW()-13,6)))</f>
        <v/>
      </c>
      <c r="G113" s="114" t="str">
        <f>IF($A113="","",mCEQ.BiasEQ($A113,eqAnoEP,"ABS",eqProvedor,eqRodada))</f>
        <v>SEM EP</v>
      </c>
      <c r="H113" s="114" t="str">
        <f t="shared" si="18"/>
        <v/>
      </c>
      <c r="I113" s="114" t="str">
        <f>IF($A113="","",IFERROR(INDEX(Analitos!$Q$4:$Q$43,MATCH($A113,Analitos!$A$4:$A$43,0)),""))</f>
        <v/>
      </c>
      <c r="J113" s="114" t="str">
        <f>IF($A113="","",IFERROR(IF($I113="VB",INDEX(Analitos!$T$4:$T$43,MATCH($A113,Analitos!$A$4:$A$43,0)),IF(INDEX(Analitos!$S$4:$S$43,MATCH($A113,Analitos!$A$4:$A$43,0))&lt;&gt;"",INDEX(Analitos!$S$4:$S$43,MATCH($A113,Analitos!$A$4:$A$43,0)),INDEX(Analitos!$T$4:$T$43,MATCH($A113,Analitos!$A$4:$A$43,0)))),""))</f>
        <v/>
      </c>
      <c r="K113" s="114" t="str">
        <f>IF($A113="","",IFERROR(INDEX(Analitos!$R$4:$R$43,MATCH($A113,Analitos!$A$4:$A$43,0)),""))</f>
        <v/>
      </c>
      <c r="L113" s="114" t="str">
        <f t="shared" si="19"/>
        <v/>
      </c>
      <c r="M113" s="114" t="str">
        <f>IF(NOT(ISNUMBER($L113)),"",mQualidade.ClassificarSigma($L113))</f>
        <v/>
      </c>
      <c r="N113" s="115" t="str">
        <f t="shared" si="20"/>
        <v/>
      </c>
      <c r="O113" s="116" t="str">
        <f t="shared" si="21"/>
        <v/>
      </c>
      <c r="P113" s="117" t="str">
        <f>IF(NOT(ISNUMBER($O113)),"",mQualidade.ClassificarMargem($O113))</f>
        <v/>
      </c>
      <c r="Q113" s="117" t="str">
        <f t="shared" si="22"/>
        <v/>
      </c>
      <c r="R113" s="117" t="str">
        <f>IF($A113="","",mCEQ.StatusSDIeq($A113,eqAnoEP,IFERROR(INDEX(Analitos!$AR$4:$AR$43,MATCH($A113,Analitos!$A$4:$A$43,0)),"CAP"),eqRodada))</f>
        <v>SEM EP</v>
      </c>
      <c r="S113" s="117" t="str">
        <f>IF($A113="","",mCEQ.StatusLimitesEQ($A113,eqAnoEP,IFERROR(INDEX(Analitos!$AR$4:$AR$43,MATCH($A113,Analitos!$A$4:$A$43,0)),"CAP"),eqRodada))</f>
        <v>SEM EP</v>
      </c>
      <c r="T113" s="116" t="str">
        <f>IF($A113="","",mCEQ.BiasEQ($A113,eqAnoEP,"SIGNED",IFERROR(INDEX(Analitos!$AR$4:$AR$43,MATCH($A113,Analitos!$A$4:$A$43,0)),"CAP"),eqRodada))</f>
        <v>SEM EP</v>
      </c>
      <c r="U113" s="117" t="str">
        <f>IF(OR($P113="ETp excedido",$P113="Margem critica"),COUNTIF($P$14:$P113,"ETp excedido")+COUNTIF($P$14:$P113,"Margem critica"),"")</f>
        <v/>
      </c>
      <c r="V113" s="118" t="str">
        <f>IF(NOT(ISNUMBER($L113)),"",mPlanoQC.DPMdoSigma($L113))</f>
        <v/>
      </c>
      <c r="W113" s="119" t="str">
        <f>IF(NOT(ISNUMBER($L113)),"",mPlanoQC.RendimentoDoSigma($L113))</f>
        <v/>
      </c>
      <c r="X113" s="117" t="str">
        <f>IF(NOT(ISNUMBER($L113)),"",mPlanoQC.PlanoQC($L113,"REGRAS"))</f>
        <v/>
      </c>
      <c r="Y113" s="120" t="str">
        <f>IF(NOT(ISNUMBER($L113)),"",mPlanoQC.PlanoQC($L113,"N"))</f>
        <v/>
      </c>
      <c r="Z113" s="121" t="str">
        <f>IF(NOT(ISNUMBER($L113)),"",mPlanoQC.PlanoQC($L113,"RUNSIZE"))</f>
        <v/>
      </c>
      <c r="AA113" s="117" t="str">
        <f>IF(NOT(ISNUMBER($L113)),"",mPlanoQC.CoberturaWestgard($L113))</f>
        <v/>
      </c>
      <c r="AB113" s="117" t="str">
        <f t="shared" si="23"/>
        <v>0|1</v>
      </c>
      <c r="AC113" s="120" t="str">
        <f>IF($A113="","",mCEQ.BiasEQ($A113,eqAnoEP,"N",IFERROR(INDEX(Analitos!$AR$4:$AR$43,MATCH($A113,Analitos!$A$4:$A$43,0)),"CAP"),eqRodada))</f>
        <v>SEM EP</v>
      </c>
      <c r="AD113" s="120" t="str">
        <f>IF($A113="","",mCEQ.BiasEQ($A113,eqAnoEP,"NRODADAS",IFERROR(INDEX(Analitos!$AR$4:$AR$43,MATCH($A113,Analitos!$A$4:$A$43,0)),"CAP"),eqRodada))</f>
        <v>SEM EP</v>
      </c>
    </row>
    <row r="114" spans="1:30" x14ac:dyDescent="0.3">
      <c r="A114" s="110">
        <f>Analitos!$A$37</f>
        <v>0</v>
      </c>
      <c r="B114" s="111">
        <v>2</v>
      </c>
      <c r="C114" s="112" t="str">
        <f>IF($A114="","",IF(INDEX(engEstat,ROW()-13,3)="","",INDEX(engEstat,ROW()-13,3)))</f>
        <v/>
      </c>
      <c r="D114" s="113" t="str">
        <f>IF($A114="","",IF(INDEX(engEstat,ROW()-13,4)="","",INDEX(engEstat,ROW()-13,4)))</f>
        <v/>
      </c>
      <c r="E114" s="113" t="str">
        <f>IF($A114="","",IF(INDEX(engEstat,ROW()-13,5)="","",INDEX(engEstat,ROW()-13,5)))</f>
        <v/>
      </c>
      <c r="F114" s="114" t="str">
        <f>IF($A114="","",IF(INDEX(engEstat,ROW()-13,6)="","",INDEX(engEstat,ROW()-13,6)))</f>
        <v/>
      </c>
      <c r="G114" s="114" t="str">
        <f>IF($A114="","",mCEQ.BiasEQ($A114,eqAnoEP,"ABS",eqProvedor,eqRodada))</f>
        <v>SEM EP</v>
      </c>
      <c r="H114" s="114" t="str">
        <f t="shared" si="18"/>
        <v/>
      </c>
      <c r="I114" s="114" t="str">
        <f>IF($A114="","",IFERROR(INDEX(Analitos!$Q$4:$Q$43,MATCH($A114,Analitos!$A$4:$A$43,0)),""))</f>
        <v/>
      </c>
      <c r="J114" s="114" t="str">
        <f>IF($A114="","",IFERROR(IF($I114="VB",INDEX(Analitos!$T$4:$T$43,MATCH($A114,Analitos!$A$4:$A$43,0)),IF(INDEX(Analitos!$S$4:$S$43,MATCH($A114,Analitos!$A$4:$A$43,0))&lt;&gt;"",INDEX(Analitos!$S$4:$S$43,MATCH($A114,Analitos!$A$4:$A$43,0)),INDEX(Analitos!$T$4:$T$43,MATCH($A114,Analitos!$A$4:$A$43,0)))),""))</f>
        <v/>
      </c>
      <c r="K114" s="114" t="str">
        <f>IF($A114="","",IFERROR(INDEX(Analitos!$R$4:$R$43,MATCH($A114,Analitos!$A$4:$A$43,0)),""))</f>
        <v/>
      </c>
      <c r="L114" s="114" t="str">
        <f t="shared" si="19"/>
        <v/>
      </c>
      <c r="M114" s="114" t="str">
        <f>IF(NOT(ISNUMBER($L114)),"",mQualidade.ClassificarSigma($L114))</f>
        <v/>
      </c>
      <c r="N114" s="115" t="str">
        <f t="shared" si="20"/>
        <v/>
      </c>
      <c r="O114" s="116" t="str">
        <f t="shared" si="21"/>
        <v/>
      </c>
      <c r="P114" s="117" t="str">
        <f>IF(NOT(ISNUMBER($O114)),"",mQualidade.ClassificarMargem($O114))</f>
        <v/>
      </c>
      <c r="Q114" s="117" t="str">
        <f t="shared" si="22"/>
        <v/>
      </c>
      <c r="R114" s="117" t="str">
        <f>IF($A114="","",mCEQ.StatusSDIeq($A114,eqAnoEP,IFERROR(INDEX(Analitos!$AR$4:$AR$43,MATCH($A114,Analitos!$A$4:$A$43,0)),"CAP"),eqRodada))</f>
        <v>SEM EP</v>
      </c>
      <c r="S114" s="117" t="str">
        <f>IF($A114="","",mCEQ.StatusLimitesEQ($A114,eqAnoEP,IFERROR(INDEX(Analitos!$AR$4:$AR$43,MATCH($A114,Analitos!$A$4:$A$43,0)),"CAP"),eqRodada))</f>
        <v>SEM EP</v>
      </c>
      <c r="T114" s="116" t="str">
        <f>IF($A114="","",mCEQ.BiasEQ($A114,eqAnoEP,"SIGNED",IFERROR(INDEX(Analitos!$AR$4:$AR$43,MATCH($A114,Analitos!$A$4:$A$43,0)),"CAP"),eqRodada))</f>
        <v>SEM EP</v>
      </c>
      <c r="U114" s="117" t="str">
        <f>IF(OR($P114="ETp excedido",$P114="Margem critica"),COUNTIF($P$14:$P114,"ETp excedido")+COUNTIF($P$14:$P114,"Margem critica"),"")</f>
        <v/>
      </c>
      <c r="V114" s="118" t="str">
        <f>IF(NOT(ISNUMBER($L114)),"",mPlanoQC.DPMdoSigma($L114))</f>
        <v/>
      </c>
      <c r="W114" s="119" t="str">
        <f>IF(NOT(ISNUMBER($L114)),"",mPlanoQC.RendimentoDoSigma($L114))</f>
        <v/>
      </c>
      <c r="X114" s="117" t="str">
        <f>IF(NOT(ISNUMBER($L114)),"",mPlanoQC.PlanoQC($L114,"REGRAS"))</f>
        <v/>
      </c>
      <c r="Y114" s="120" t="str">
        <f>IF(NOT(ISNUMBER($L114)),"",mPlanoQC.PlanoQC($L114,"N"))</f>
        <v/>
      </c>
      <c r="Z114" s="121" t="str">
        <f>IF(NOT(ISNUMBER($L114)),"",mPlanoQC.PlanoQC($L114,"RUNSIZE"))</f>
        <v/>
      </c>
      <c r="AA114" s="117" t="str">
        <f>IF(NOT(ISNUMBER($L114)),"",mPlanoQC.CoberturaWestgard($L114))</f>
        <v/>
      </c>
      <c r="AB114" s="117" t="str">
        <f t="shared" si="23"/>
        <v>0|2</v>
      </c>
      <c r="AC114" s="120" t="str">
        <f>IF($A114="","",mCEQ.BiasEQ($A114,eqAnoEP,"N",IFERROR(INDEX(Analitos!$AR$4:$AR$43,MATCH($A114,Analitos!$A$4:$A$43,0)),"CAP"),eqRodada))</f>
        <v>SEM EP</v>
      </c>
      <c r="AD114" s="120" t="str">
        <f>IF($A114="","",mCEQ.BiasEQ($A114,eqAnoEP,"NRODADAS",IFERROR(INDEX(Analitos!$AR$4:$AR$43,MATCH($A114,Analitos!$A$4:$A$43,0)),"CAP"),eqRodada))</f>
        <v>SEM EP</v>
      </c>
    </row>
    <row r="115" spans="1:30" x14ac:dyDescent="0.3">
      <c r="A115" s="110">
        <f>Analitos!$A$37</f>
        <v>0</v>
      </c>
      <c r="B115" s="111">
        <v>3</v>
      </c>
      <c r="C115" s="112" t="str">
        <f>IF($A115="","",IF(INDEX(engEstat,ROW()-13,3)="","",INDEX(engEstat,ROW()-13,3)))</f>
        <v/>
      </c>
      <c r="D115" s="113" t="str">
        <f>IF($A115="","",IF(INDEX(engEstat,ROW()-13,4)="","",INDEX(engEstat,ROW()-13,4)))</f>
        <v/>
      </c>
      <c r="E115" s="113" t="str">
        <f>IF($A115="","",IF(INDEX(engEstat,ROW()-13,5)="","",INDEX(engEstat,ROW()-13,5)))</f>
        <v/>
      </c>
      <c r="F115" s="114" t="str">
        <f>IF($A115="","",IF(INDEX(engEstat,ROW()-13,6)="","",INDEX(engEstat,ROW()-13,6)))</f>
        <v/>
      </c>
      <c r="G115" s="114" t="str">
        <f>IF($A115="","",mCEQ.BiasEQ($A115,eqAnoEP,"ABS",eqProvedor,eqRodada))</f>
        <v>SEM EP</v>
      </c>
      <c r="H115" s="114" t="str">
        <f t="shared" si="18"/>
        <v/>
      </c>
      <c r="I115" s="114" t="str">
        <f>IF($A115="","",IFERROR(INDEX(Analitos!$Q$4:$Q$43,MATCH($A115,Analitos!$A$4:$A$43,0)),""))</f>
        <v/>
      </c>
      <c r="J115" s="114" t="str">
        <f>IF($A115="","",IFERROR(IF($I115="VB",INDEX(Analitos!$T$4:$T$43,MATCH($A115,Analitos!$A$4:$A$43,0)),IF(INDEX(Analitos!$S$4:$S$43,MATCH($A115,Analitos!$A$4:$A$43,0))&lt;&gt;"",INDEX(Analitos!$S$4:$S$43,MATCH($A115,Analitos!$A$4:$A$43,0)),INDEX(Analitos!$T$4:$T$43,MATCH($A115,Analitos!$A$4:$A$43,0)))),""))</f>
        <v/>
      </c>
      <c r="K115" s="114" t="str">
        <f>IF($A115="","",IFERROR(INDEX(Analitos!$R$4:$R$43,MATCH($A115,Analitos!$A$4:$A$43,0)),""))</f>
        <v/>
      </c>
      <c r="L115" s="114" t="str">
        <f t="shared" si="19"/>
        <v/>
      </c>
      <c r="M115" s="114" t="str">
        <f>IF(NOT(ISNUMBER($L115)),"",mQualidade.ClassificarSigma($L115))</f>
        <v/>
      </c>
      <c r="N115" s="115" t="str">
        <f t="shared" si="20"/>
        <v/>
      </c>
      <c r="O115" s="116" t="str">
        <f t="shared" si="21"/>
        <v/>
      </c>
      <c r="P115" s="117" t="str">
        <f>IF(NOT(ISNUMBER($O115)),"",mQualidade.ClassificarMargem($O115))</f>
        <v/>
      </c>
      <c r="Q115" s="117" t="str">
        <f t="shared" si="22"/>
        <v/>
      </c>
      <c r="R115" s="117" t="str">
        <f>IF($A115="","",mCEQ.StatusSDIeq($A115,eqAnoEP,IFERROR(INDEX(Analitos!$AR$4:$AR$43,MATCH($A115,Analitos!$A$4:$A$43,0)),"CAP"),eqRodada))</f>
        <v>SEM EP</v>
      </c>
      <c r="S115" s="117" t="str">
        <f>IF($A115="","",mCEQ.StatusLimitesEQ($A115,eqAnoEP,IFERROR(INDEX(Analitos!$AR$4:$AR$43,MATCH($A115,Analitos!$A$4:$A$43,0)),"CAP"),eqRodada))</f>
        <v>SEM EP</v>
      </c>
      <c r="T115" s="116" t="str">
        <f>IF($A115="","",mCEQ.BiasEQ($A115,eqAnoEP,"SIGNED",IFERROR(INDEX(Analitos!$AR$4:$AR$43,MATCH($A115,Analitos!$A$4:$A$43,0)),"CAP"),eqRodada))</f>
        <v>SEM EP</v>
      </c>
      <c r="U115" s="117" t="str">
        <f>IF(OR($P115="ETp excedido",$P115="Margem critica"),COUNTIF($P$14:$P115,"ETp excedido")+COUNTIF($P$14:$P115,"Margem critica"),"")</f>
        <v/>
      </c>
      <c r="V115" s="118" t="str">
        <f>IF(NOT(ISNUMBER($L115)),"",mPlanoQC.DPMdoSigma($L115))</f>
        <v/>
      </c>
      <c r="W115" s="119" t="str">
        <f>IF(NOT(ISNUMBER($L115)),"",mPlanoQC.RendimentoDoSigma($L115))</f>
        <v/>
      </c>
      <c r="X115" s="117" t="str">
        <f>IF(NOT(ISNUMBER($L115)),"",mPlanoQC.PlanoQC($L115,"REGRAS"))</f>
        <v/>
      </c>
      <c r="Y115" s="120" t="str">
        <f>IF(NOT(ISNUMBER($L115)),"",mPlanoQC.PlanoQC($L115,"N"))</f>
        <v/>
      </c>
      <c r="Z115" s="121" t="str">
        <f>IF(NOT(ISNUMBER($L115)),"",mPlanoQC.PlanoQC($L115,"RUNSIZE"))</f>
        <v/>
      </c>
      <c r="AA115" s="117" t="str">
        <f>IF(NOT(ISNUMBER($L115)),"",mPlanoQC.CoberturaWestgard($L115))</f>
        <v/>
      </c>
      <c r="AB115" s="117" t="str">
        <f t="shared" si="23"/>
        <v>0|3</v>
      </c>
      <c r="AC115" s="120" t="str">
        <f>IF($A115="","",mCEQ.BiasEQ($A115,eqAnoEP,"N",IFERROR(INDEX(Analitos!$AR$4:$AR$43,MATCH($A115,Analitos!$A$4:$A$43,0)),"CAP"),eqRodada))</f>
        <v>SEM EP</v>
      </c>
      <c r="AD115" s="120" t="str">
        <f>IF($A115="","",mCEQ.BiasEQ($A115,eqAnoEP,"NRODADAS",IFERROR(INDEX(Analitos!$AR$4:$AR$43,MATCH($A115,Analitos!$A$4:$A$43,0)),"CAP"),eqRodada))</f>
        <v>SEM EP</v>
      </c>
    </row>
    <row r="116" spans="1:30" x14ac:dyDescent="0.3">
      <c r="A116" s="110">
        <f>Analitos!$A$38</f>
        <v>0</v>
      </c>
      <c r="B116" s="111">
        <v>1</v>
      </c>
      <c r="C116" s="112" t="str">
        <f>IF($A116="","",IF(INDEX(engEstat,ROW()-13,3)="","",INDEX(engEstat,ROW()-13,3)))</f>
        <v/>
      </c>
      <c r="D116" s="113" t="str">
        <f>IF($A116="","",IF(INDEX(engEstat,ROW()-13,4)="","",INDEX(engEstat,ROW()-13,4)))</f>
        <v/>
      </c>
      <c r="E116" s="113" t="str">
        <f>IF($A116="","",IF(INDEX(engEstat,ROW()-13,5)="","",INDEX(engEstat,ROW()-13,5)))</f>
        <v/>
      </c>
      <c r="F116" s="114" t="str">
        <f>IF($A116="","",IF(INDEX(engEstat,ROW()-13,6)="","",INDEX(engEstat,ROW()-13,6)))</f>
        <v/>
      </c>
      <c r="G116" s="114" t="str">
        <f>IF($A116="","",mCEQ.BiasEQ($A116,eqAnoEP,"ABS",eqProvedor,eqRodada))</f>
        <v>SEM EP</v>
      </c>
      <c r="H116" s="114" t="str">
        <f t="shared" si="18"/>
        <v/>
      </c>
      <c r="I116" s="114" t="str">
        <f>IF($A116="","",IFERROR(INDEX(Analitos!$Q$4:$Q$43,MATCH($A116,Analitos!$A$4:$A$43,0)),""))</f>
        <v/>
      </c>
      <c r="J116" s="114" t="str">
        <f>IF($A116="","",IFERROR(IF($I116="VB",INDEX(Analitos!$T$4:$T$43,MATCH($A116,Analitos!$A$4:$A$43,0)),IF(INDEX(Analitos!$S$4:$S$43,MATCH($A116,Analitos!$A$4:$A$43,0))&lt;&gt;"",INDEX(Analitos!$S$4:$S$43,MATCH($A116,Analitos!$A$4:$A$43,0)),INDEX(Analitos!$T$4:$T$43,MATCH($A116,Analitos!$A$4:$A$43,0)))),""))</f>
        <v/>
      </c>
      <c r="K116" s="114" t="str">
        <f>IF($A116="","",IFERROR(INDEX(Analitos!$R$4:$R$43,MATCH($A116,Analitos!$A$4:$A$43,0)),""))</f>
        <v/>
      </c>
      <c r="L116" s="114" t="str">
        <f t="shared" si="19"/>
        <v/>
      </c>
      <c r="M116" s="114" t="str">
        <f>IF(NOT(ISNUMBER($L116)),"",mQualidade.ClassificarSigma($L116))</f>
        <v/>
      </c>
      <c r="N116" s="115" t="str">
        <f t="shared" si="20"/>
        <v/>
      </c>
      <c r="O116" s="116" t="str">
        <f t="shared" si="21"/>
        <v/>
      </c>
      <c r="P116" s="117" t="str">
        <f>IF(NOT(ISNUMBER($O116)),"",mQualidade.ClassificarMargem($O116))</f>
        <v/>
      </c>
      <c r="Q116" s="117" t="str">
        <f t="shared" si="22"/>
        <v/>
      </c>
      <c r="R116" s="117" t="str">
        <f>IF($A116="","",mCEQ.StatusSDIeq($A116,eqAnoEP,IFERROR(INDEX(Analitos!$AR$4:$AR$43,MATCH($A116,Analitos!$A$4:$A$43,0)),"CAP"),eqRodada))</f>
        <v>SEM EP</v>
      </c>
      <c r="S116" s="117" t="str">
        <f>IF($A116="","",mCEQ.StatusLimitesEQ($A116,eqAnoEP,IFERROR(INDEX(Analitos!$AR$4:$AR$43,MATCH($A116,Analitos!$A$4:$A$43,0)),"CAP"),eqRodada))</f>
        <v>SEM EP</v>
      </c>
      <c r="T116" s="116" t="str">
        <f>IF($A116="","",mCEQ.BiasEQ($A116,eqAnoEP,"SIGNED",IFERROR(INDEX(Analitos!$AR$4:$AR$43,MATCH($A116,Analitos!$A$4:$A$43,0)),"CAP"),eqRodada))</f>
        <v>SEM EP</v>
      </c>
      <c r="U116" s="117" t="str">
        <f>IF(OR($P116="ETp excedido",$P116="Margem critica"),COUNTIF($P$14:$P116,"ETp excedido")+COUNTIF($P$14:$P116,"Margem critica"),"")</f>
        <v/>
      </c>
      <c r="V116" s="118" t="str">
        <f>IF(NOT(ISNUMBER($L116)),"",mPlanoQC.DPMdoSigma($L116))</f>
        <v/>
      </c>
      <c r="W116" s="119" t="str">
        <f>IF(NOT(ISNUMBER($L116)),"",mPlanoQC.RendimentoDoSigma($L116))</f>
        <v/>
      </c>
      <c r="X116" s="117" t="str">
        <f>IF(NOT(ISNUMBER($L116)),"",mPlanoQC.PlanoQC($L116,"REGRAS"))</f>
        <v/>
      </c>
      <c r="Y116" s="120" t="str">
        <f>IF(NOT(ISNUMBER($L116)),"",mPlanoQC.PlanoQC($L116,"N"))</f>
        <v/>
      </c>
      <c r="Z116" s="121" t="str">
        <f>IF(NOT(ISNUMBER($L116)),"",mPlanoQC.PlanoQC($L116,"RUNSIZE"))</f>
        <v/>
      </c>
      <c r="AA116" s="117" t="str">
        <f>IF(NOT(ISNUMBER($L116)),"",mPlanoQC.CoberturaWestgard($L116))</f>
        <v/>
      </c>
      <c r="AB116" s="117" t="str">
        <f t="shared" si="23"/>
        <v>0|1</v>
      </c>
      <c r="AC116" s="120" t="str">
        <f>IF($A116="","",mCEQ.BiasEQ($A116,eqAnoEP,"N",IFERROR(INDEX(Analitos!$AR$4:$AR$43,MATCH($A116,Analitos!$A$4:$A$43,0)),"CAP"),eqRodada))</f>
        <v>SEM EP</v>
      </c>
      <c r="AD116" s="120" t="str">
        <f>IF($A116="","",mCEQ.BiasEQ($A116,eqAnoEP,"NRODADAS",IFERROR(INDEX(Analitos!$AR$4:$AR$43,MATCH($A116,Analitos!$A$4:$A$43,0)),"CAP"),eqRodada))</f>
        <v>SEM EP</v>
      </c>
    </row>
    <row r="117" spans="1:30" x14ac:dyDescent="0.3">
      <c r="A117" s="110">
        <f>Analitos!$A$38</f>
        <v>0</v>
      </c>
      <c r="B117" s="111">
        <v>2</v>
      </c>
      <c r="C117" s="112" t="str">
        <f>IF($A117="","",IF(INDEX(engEstat,ROW()-13,3)="","",INDEX(engEstat,ROW()-13,3)))</f>
        <v/>
      </c>
      <c r="D117" s="113" t="str">
        <f>IF($A117="","",IF(INDEX(engEstat,ROW()-13,4)="","",INDEX(engEstat,ROW()-13,4)))</f>
        <v/>
      </c>
      <c r="E117" s="113" t="str">
        <f>IF($A117="","",IF(INDEX(engEstat,ROW()-13,5)="","",INDEX(engEstat,ROW()-13,5)))</f>
        <v/>
      </c>
      <c r="F117" s="114" t="str">
        <f>IF($A117="","",IF(INDEX(engEstat,ROW()-13,6)="","",INDEX(engEstat,ROW()-13,6)))</f>
        <v/>
      </c>
      <c r="G117" s="114" t="str">
        <f>IF($A117="","",mCEQ.BiasEQ($A117,eqAnoEP,"ABS",eqProvedor,eqRodada))</f>
        <v>SEM EP</v>
      </c>
      <c r="H117" s="114" t="str">
        <f t="shared" si="18"/>
        <v/>
      </c>
      <c r="I117" s="114" t="str">
        <f>IF($A117="","",IFERROR(INDEX(Analitos!$Q$4:$Q$43,MATCH($A117,Analitos!$A$4:$A$43,0)),""))</f>
        <v/>
      </c>
      <c r="J117" s="114" t="str">
        <f>IF($A117="","",IFERROR(IF($I117="VB",INDEX(Analitos!$T$4:$T$43,MATCH($A117,Analitos!$A$4:$A$43,0)),IF(INDEX(Analitos!$S$4:$S$43,MATCH($A117,Analitos!$A$4:$A$43,0))&lt;&gt;"",INDEX(Analitos!$S$4:$S$43,MATCH($A117,Analitos!$A$4:$A$43,0)),INDEX(Analitos!$T$4:$T$43,MATCH($A117,Analitos!$A$4:$A$43,0)))),""))</f>
        <v/>
      </c>
      <c r="K117" s="114" t="str">
        <f>IF($A117="","",IFERROR(INDEX(Analitos!$R$4:$R$43,MATCH($A117,Analitos!$A$4:$A$43,0)),""))</f>
        <v/>
      </c>
      <c r="L117" s="114" t="str">
        <f t="shared" si="19"/>
        <v/>
      </c>
      <c r="M117" s="114" t="str">
        <f>IF(NOT(ISNUMBER($L117)),"",mQualidade.ClassificarSigma($L117))</f>
        <v/>
      </c>
      <c r="N117" s="115" t="str">
        <f t="shared" si="20"/>
        <v/>
      </c>
      <c r="O117" s="116" t="str">
        <f t="shared" si="21"/>
        <v/>
      </c>
      <c r="P117" s="117" t="str">
        <f>IF(NOT(ISNUMBER($O117)),"",mQualidade.ClassificarMargem($O117))</f>
        <v/>
      </c>
      <c r="Q117" s="117" t="str">
        <f t="shared" si="22"/>
        <v/>
      </c>
      <c r="R117" s="117" t="str">
        <f>IF($A117="","",mCEQ.StatusSDIeq($A117,eqAnoEP,IFERROR(INDEX(Analitos!$AR$4:$AR$43,MATCH($A117,Analitos!$A$4:$A$43,0)),"CAP"),eqRodada))</f>
        <v>SEM EP</v>
      </c>
      <c r="S117" s="117" t="str">
        <f>IF($A117="","",mCEQ.StatusLimitesEQ($A117,eqAnoEP,IFERROR(INDEX(Analitos!$AR$4:$AR$43,MATCH($A117,Analitos!$A$4:$A$43,0)),"CAP"),eqRodada))</f>
        <v>SEM EP</v>
      </c>
      <c r="T117" s="116" t="str">
        <f>IF($A117="","",mCEQ.BiasEQ($A117,eqAnoEP,"SIGNED",IFERROR(INDEX(Analitos!$AR$4:$AR$43,MATCH($A117,Analitos!$A$4:$A$43,0)),"CAP"),eqRodada))</f>
        <v>SEM EP</v>
      </c>
      <c r="U117" s="117" t="str">
        <f>IF(OR($P117="ETp excedido",$P117="Margem critica"),COUNTIF($P$14:$P117,"ETp excedido")+COUNTIF($P$14:$P117,"Margem critica"),"")</f>
        <v/>
      </c>
      <c r="V117" s="118" t="str">
        <f>IF(NOT(ISNUMBER($L117)),"",mPlanoQC.DPMdoSigma($L117))</f>
        <v/>
      </c>
      <c r="W117" s="119" t="str">
        <f>IF(NOT(ISNUMBER($L117)),"",mPlanoQC.RendimentoDoSigma($L117))</f>
        <v/>
      </c>
      <c r="X117" s="117" t="str">
        <f>IF(NOT(ISNUMBER($L117)),"",mPlanoQC.PlanoQC($L117,"REGRAS"))</f>
        <v/>
      </c>
      <c r="Y117" s="120" t="str">
        <f>IF(NOT(ISNUMBER($L117)),"",mPlanoQC.PlanoQC($L117,"N"))</f>
        <v/>
      </c>
      <c r="Z117" s="121" t="str">
        <f>IF(NOT(ISNUMBER($L117)),"",mPlanoQC.PlanoQC($L117,"RUNSIZE"))</f>
        <v/>
      </c>
      <c r="AA117" s="117" t="str">
        <f>IF(NOT(ISNUMBER($L117)),"",mPlanoQC.CoberturaWestgard($L117))</f>
        <v/>
      </c>
      <c r="AB117" s="117" t="str">
        <f t="shared" si="23"/>
        <v>0|2</v>
      </c>
      <c r="AC117" s="120" t="str">
        <f>IF($A117="","",mCEQ.BiasEQ($A117,eqAnoEP,"N",IFERROR(INDEX(Analitos!$AR$4:$AR$43,MATCH($A117,Analitos!$A$4:$A$43,0)),"CAP"),eqRodada))</f>
        <v>SEM EP</v>
      </c>
      <c r="AD117" s="120" t="str">
        <f>IF($A117="","",mCEQ.BiasEQ($A117,eqAnoEP,"NRODADAS",IFERROR(INDEX(Analitos!$AR$4:$AR$43,MATCH($A117,Analitos!$A$4:$A$43,0)),"CAP"),eqRodada))</f>
        <v>SEM EP</v>
      </c>
    </row>
    <row r="118" spans="1:30" x14ac:dyDescent="0.3">
      <c r="A118" s="110">
        <f>Analitos!$A$38</f>
        <v>0</v>
      </c>
      <c r="B118" s="111">
        <v>3</v>
      </c>
      <c r="C118" s="112" t="str">
        <f>IF($A118="","",IF(INDEX(engEstat,ROW()-13,3)="","",INDEX(engEstat,ROW()-13,3)))</f>
        <v/>
      </c>
      <c r="D118" s="113" t="str">
        <f>IF($A118="","",IF(INDEX(engEstat,ROW()-13,4)="","",INDEX(engEstat,ROW()-13,4)))</f>
        <v/>
      </c>
      <c r="E118" s="113" t="str">
        <f>IF($A118="","",IF(INDEX(engEstat,ROW()-13,5)="","",INDEX(engEstat,ROW()-13,5)))</f>
        <v/>
      </c>
      <c r="F118" s="114" t="str">
        <f>IF($A118="","",IF(INDEX(engEstat,ROW()-13,6)="","",INDEX(engEstat,ROW()-13,6)))</f>
        <v/>
      </c>
      <c r="G118" s="114" t="str">
        <f>IF($A118="","",mCEQ.BiasEQ($A118,eqAnoEP,"ABS",eqProvedor,eqRodada))</f>
        <v>SEM EP</v>
      </c>
      <c r="H118" s="114" t="str">
        <f t="shared" si="18"/>
        <v/>
      </c>
      <c r="I118" s="114" t="str">
        <f>IF($A118="","",IFERROR(INDEX(Analitos!$Q$4:$Q$43,MATCH($A118,Analitos!$A$4:$A$43,0)),""))</f>
        <v/>
      </c>
      <c r="J118" s="114" t="str">
        <f>IF($A118="","",IFERROR(IF($I118="VB",INDEX(Analitos!$T$4:$T$43,MATCH($A118,Analitos!$A$4:$A$43,0)),IF(INDEX(Analitos!$S$4:$S$43,MATCH($A118,Analitos!$A$4:$A$43,0))&lt;&gt;"",INDEX(Analitos!$S$4:$S$43,MATCH($A118,Analitos!$A$4:$A$43,0)),INDEX(Analitos!$T$4:$T$43,MATCH($A118,Analitos!$A$4:$A$43,0)))),""))</f>
        <v/>
      </c>
      <c r="K118" s="114" t="str">
        <f>IF($A118="","",IFERROR(INDEX(Analitos!$R$4:$R$43,MATCH($A118,Analitos!$A$4:$A$43,0)),""))</f>
        <v/>
      </c>
      <c r="L118" s="114" t="str">
        <f t="shared" si="19"/>
        <v/>
      </c>
      <c r="M118" s="114" t="str">
        <f>IF(NOT(ISNUMBER($L118)),"",mQualidade.ClassificarSigma($L118))</f>
        <v/>
      </c>
      <c r="N118" s="115" t="str">
        <f t="shared" si="20"/>
        <v/>
      </c>
      <c r="O118" s="116" t="str">
        <f t="shared" si="21"/>
        <v/>
      </c>
      <c r="P118" s="117" t="str">
        <f>IF(NOT(ISNUMBER($O118)),"",mQualidade.ClassificarMargem($O118))</f>
        <v/>
      </c>
      <c r="Q118" s="117" t="str">
        <f t="shared" si="22"/>
        <v/>
      </c>
      <c r="R118" s="117" t="str">
        <f>IF($A118="","",mCEQ.StatusSDIeq($A118,eqAnoEP,IFERROR(INDEX(Analitos!$AR$4:$AR$43,MATCH($A118,Analitos!$A$4:$A$43,0)),"CAP"),eqRodada))</f>
        <v>SEM EP</v>
      </c>
      <c r="S118" s="117" t="str">
        <f>IF($A118="","",mCEQ.StatusLimitesEQ($A118,eqAnoEP,IFERROR(INDEX(Analitos!$AR$4:$AR$43,MATCH($A118,Analitos!$A$4:$A$43,0)),"CAP"),eqRodada))</f>
        <v>SEM EP</v>
      </c>
      <c r="T118" s="116" t="str">
        <f>IF($A118="","",mCEQ.BiasEQ($A118,eqAnoEP,"SIGNED",IFERROR(INDEX(Analitos!$AR$4:$AR$43,MATCH($A118,Analitos!$A$4:$A$43,0)),"CAP"),eqRodada))</f>
        <v>SEM EP</v>
      </c>
      <c r="U118" s="117" t="str">
        <f>IF(OR($P118="ETp excedido",$P118="Margem critica"),COUNTIF($P$14:$P118,"ETp excedido")+COUNTIF($P$14:$P118,"Margem critica"),"")</f>
        <v/>
      </c>
      <c r="V118" s="118" t="str">
        <f>IF(NOT(ISNUMBER($L118)),"",mPlanoQC.DPMdoSigma($L118))</f>
        <v/>
      </c>
      <c r="W118" s="119" t="str">
        <f>IF(NOT(ISNUMBER($L118)),"",mPlanoQC.RendimentoDoSigma($L118))</f>
        <v/>
      </c>
      <c r="X118" s="117" t="str">
        <f>IF(NOT(ISNUMBER($L118)),"",mPlanoQC.PlanoQC($L118,"REGRAS"))</f>
        <v/>
      </c>
      <c r="Y118" s="120" t="str">
        <f>IF(NOT(ISNUMBER($L118)),"",mPlanoQC.PlanoQC($L118,"N"))</f>
        <v/>
      </c>
      <c r="Z118" s="121" t="str">
        <f>IF(NOT(ISNUMBER($L118)),"",mPlanoQC.PlanoQC($L118,"RUNSIZE"))</f>
        <v/>
      </c>
      <c r="AA118" s="117" t="str">
        <f>IF(NOT(ISNUMBER($L118)),"",mPlanoQC.CoberturaWestgard($L118))</f>
        <v/>
      </c>
      <c r="AB118" s="117" t="str">
        <f t="shared" si="23"/>
        <v>0|3</v>
      </c>
      <c r="AC118" s="120" t="str">
        <f>IF($A118="","",mCEQ.BiasEQ($A118,eqAnoEP,"N",IFERROR(INDEX(Analitos!$AR$4:$AR$43,MATCH($A118,Analitos!$A$4:$A$43,0)),"CAP"),eqRodada))</f>
        <v>SEM EP</v>
      </c>
      <c r="AD118" s="120" t="str">
        <f>IF($A118="","",mCEQ.BiasEQ($A118,eqAnoEP,"NRODADAS",IFERROR(INDEX(Analitos!$AR$4:$AR$43,MATCH($A118,Analitos!$A$4:$A$43,0)),"CAP"),eqRodada))</f>
        <v>SEM EP</v>
      </c>
    </row>
    <row r="119" spans="1:30" x14ac:dyDescent="0.3">
      <c r="A119" s="110">
        <f>Analitos!$A$39</f>
        <v>0</v>
      </c>
      <c r="B119" s="111">
        <v>1</v>
      </c>
      <c r="C119" s="112" t="str">
        <f>IF($A119="","",IF(INDEX(engEstat,ROW()-13,3)="","",INDEX(engEstat,ROW()-13,3)))</f>
        <v/>
      </c>
      <c r="D119" s="113" t="str">
        <f>IF($A119="","",IF(INDEX(engEstat,ROW()-13,4)="","",INDEX(engEstat,ROW()-13,4)))</f>
        <v/>
      </c>
      <c r="E119" s="113" t="str">
        <f>IF($A119="","",IF(INDEX(engEstat,ROW()-13,5)="","",INDEX(engEstat,ROW()-13,5)))</f>
        <v/>
      </c>
      <c r="F119" s="114" t="str">
        <f>IF($A119="","",IF(INDEX(engEstat,ROW()-13,6)="","",INDEX(engEstat,ROW()-13,6)))</f>
        <v/>
      </c>
      <c r="G119" s="114" t="str">
        <f>IF($A119="","",mCEQ.BiasEQ($A119,eqAnoEP,"ABS",eqProvedor,eqRodada))</f>
        <v>SEM EP</v>
      </c>
      <c r="H119" s="114" t="str">
        <f t="shared" si="18"/>
        <v/>
      </c>
      <c r="I119" s="114" t="str">
        <f>IF($A119="","",IFERROR(INDEX(Analitos!$Q$4:$Q$43,MATCH($A119,Analitos!$A$4:$A$43,0)),""))</f>
        <v/>
      </c>
      <c r="J119" s="114" t="str">
        <f>IF($A119="","",IFERROR(IF($I119="VB",INDEX(Analitos!$T$4:$T$43,MATCH($A119,Analitos!$A$4:$A$43,0)),IF(INDEX(Analitos!$S$4:$S$43,MATCH($A119,Analitos!$A$4:$A$43,0))&lt;&gt;"",INDEX(Analitos!$S$4:$S$43,MATCH($A119,Analitos!$A$4:$A$43,0)),INDEX(Analitos!$T$4:$T$43,MATCH($A119,Analitos!$A$4:$A$43,0)))),""))</f>
        <v/>
      </c>
      <c r="K119" s="114" t="str">
        <f>IF($A119="","",IFERROR(INDEX(Analitos!$R$4:$R$43,MATCH($A119,Analitos!$A$4:$A$43,0)),""))</f>
        <v/>
      </c>
      <c r="L119" s="114" t="str">
        <f t="shared" si="19"/>
        <v/>
      </c>
      <c r="M119" s="114" t="str">
        <f>IF(NOT(ISNUMBER($L119)),"",mQualidade.ClassificarSigma($L119))</f>
        <v/>
      </c>
      <c r="N119" s="115" t="str">
        <f t="shared" si="20"/>
        <v/>
      </c>
      <c r="O119" s="116" t="str">
        <f t="shared" si="21"/>
        <v/>
      </c>
      <c r="P119" s="117" t="str">
        <f>IF(NOT(ISNUMBER($O119)),"",mQualidade.ClassificarMargem($O119))</f>
        <v/>
      </c>
      <c r="Q119" s="117" t="str">
        <f t="shared" si="22"/>
        <v/>
      </c>
      <c r="R119" s="117" t="str">
        <f>IF($A119="","",mCEQ.StatusSDIeq($A119,eqAnoEP,IFERROR(INDEX(Analitos!$AR$4:$AR$43,MATCH($A119,Analitos!$A$4:$A$43,0)),"CAP"),eqRodada))</f>
        <v>SEM EP</v>
      </c>
      <c r="S119" s="117" t="str">
        <f>IF($A119="","",mCEQ.StatusLimitesEQ($A119,eqAnoEP,IFERROR(INDEX(Analitos!$AR$4:$AR$43,MATCH($A119,Analitos!$A$4:$A$43,0)),"CAP"),eqRodada))</f>
        <v>SEM EP</v>
      </c>
      <c r="T119" s="116" t="str">
        <f>IF($A119="","",mCEQ.BiasEQ($A119,eqAnoEP,"SIGNED",IFERROR(INDEX(Analitos!$AR$4:$AR$43,MATCH($A119,Analitos!$A$4:$A$43,0)),"CAP"),eqRodada))</f>
        <v>SEM EP</v>
      </c>
      <c r="U119" s="117" t="str">
        <f>IF(OR($P119="ETp excedido",$P119="Margem critica"),COUNTIF($P$14:$P119,"ETp excedido")+COUNTIF($P$14:$P119,"Margem critica"),"")</f>
        <v/>
      </c>
      <c r="V119" s="118" t="str">
        <f>IF(NOT(ISNUMBER($L119)),"",mPlanoQC.DPMdoSigma($L119))</f>
        <v/>
      </c>
      <c r="W119" s="119" t="str">
        <f>IF(NOT(ISNUMBER($L119)),"",mPlanoQC.RendimentoDoSigma($L119))</f>
        <v/>
      </c>
      <c r="X119" s="117" t="str">
        <f>IF(NOT(ISNUMBER($L119)),"",mPlanoQC.PlanoQC($L119,"REGRAS"))</f>
        <v/>
      </c>
      <c r="Y119" s="120" t="str">
        <f>IF(NOT(ISNUMBER($L119)),"",mPlanoQC.PlanoQC($L119,"N"))</f>
        <v/>
      </c>
      <c r="Z119" s="121" t="str">
        <f>IF(NOT(ISNUMBER($L119)),"",mPlanoQC.PlanoQC($L119,"RUNSIZE"))</f>
        <v/>
      </c>
      <c r="AA119" s="117" t="str">
        <f>IF(NOT(ISNUMBER($L119)),"",mPlanoQC.CoberturaWestgard($L119))</f>
        <v/>
      </c>
      <c r="AB119" s="117" t="str">
        <f t="shared" si="23"/>
        <v>0|1</v>
      </c>
      <c r="AC119" s="120" t="str">
        <f>IF($A119="","",mCEQ.BiasEQ($A119,eqAnoEP,"N",IFERROR(INDEX(Analitos!$AR$4:$AR$43,MATCH($A119,Analitos!$A$4:$A$43,0)),"CAP"),eqRodada))</f>
        <v>SEM EP</v>
      </c>
      <c r="AD119" s="120" t="str">
        <f>IF($A119="","",mCEQ.BiasEQ($A119,eqAnoEP,"NRODADAS",IFERROR(INDEX(Analitos!$AR$4:$AR$43,MATCH($A119,Analitos!$A$4:$A$43,0)),"CAP"),eqRodada))</f>
        <v>SEM EP</v>
      </c>
    </row>
    <row r="120" spans="1:30" x14ac:dyDescent="0.3">
      <c r="A120" s="110">
        <f>Analitos!$A$39</f>
        <v>0</v>
      </c>
      <c r="B120" s="111">
        <v>2</v>
      </c>
      <c r="C120" s="112" t="str">
        <f>IF($A120="","",IF(INDEX(engEstat,ROW()-13,3)="","",INDEX(engEstat,ROW()-13,3)))</f>
        <v/>
      </c>
      <c r="D120" s="113" t="str">
        <f>IF($A120="","",IF(INDEX(engEstat,ROW()-13,4)="","",INDEX(engEstat,ROW()-13,4)))</f>
        <v/>
      </c>
      <c r="E120" s="113" t="str">
        <f>IF($A120="","",IF(INDEX(engEstat,ROW()-13,5)="","",INDEX(engEstat,ROW()-13,5)))</f>
        <v/>
      </c>
      <c r="F120" s="114" t="str">
        <f>IF($A120="","",IF(INDEX(engEstat,ROW()-13,6)="","",INDEX(engEstat,ROW()-13,6)))</f>
        <v/>
      </c>
      <c r="G120" s="114" t="str">
        <f>IF($A120="","",mCEQ.BiasEQ($A120,eqAnoEP,"ABS",eqProvedor,eqRodada))</f>
        <v>SEM EP</v>
      </c>
      <c r="H120" s="114" t="str">
        <f t="shared" si="18"/>
        <v/>
      </c>
      <c r="I120" s="114" t="str">
        <f>IF($A120="","",IFERROR(INDEX(Analitos!$Q$4:$Q$43,MATCH($A120,Analitos!$A$4:$A$43,0)),""))</f>
        <v/>
      </c>
      <c r="J120" s="114" t="str">
        <f>IF($A120="","",IFERROR(IF($I120="VB",INDEX(Analitos!$T$4:$T$43,MATCH($A120,Analitos!$A$4:$A$43,0)),IF(INDEX(Analitos!$S$4:$S$43,MATCH($A120,Analitos!$A$4:$A$43,0))&lt;&gt;"",INDEX(Analitos!$S$4:$S$43,MATCH($A120,Analitos!$A$4:$A$43,0)),INDEX(Analitos!$T$4:$T$43,MATCH($A120,Analitos!$A$4:$A$43,0)))),""))</f>
        <v/>
      </c>
      <c r="K120" s="114" t="str">
        <f>IF($A120="","",IFERROR(INDEX(Analitos!$R$4:$R$43,MATCH($A120,Analitos!$A$4:$A$43,0)),""))</f>
        <v/>
      </c>
      <c r="L120" s="114" t="str">
        <f t="shared" si="19"/>
        <v/>
      </c>
      <c r="M120" s="114" t="str">
        <f>IF(NOT(ISNUMBER($L120)),"",mQualidade.ClassificarSigma($L120))</f>
        <v/>
      </c>
      <c r="N120" s="115" t="str">
        <f t="shared" si="20"/>
        <v/>
      </c>
      <c r="O120" s="116" t="str">
        <f t="shared" si="21"/>
        <v/>
      </c>
      <c r="P120" s="117" t="str">
        <f>IF(NOT(ISNUMBER($O120)),"",mQualidade.ClassificarMargem($O120))</f>
        <v/>
      </c>
      <c r="Q120" s="117" t="str">
        <f t="shared" si="22"/>
        <v/>
      </c>
      <c r="R120" s="117" t="str">
        <f>IF($A120="","",mCEQ.StatusSDIeq($A120,eqAnoEP,IFERROR(INDEX(Analitos!$AR$4:$AR$43,MATCH($A120,Analitos!$A$4:$A$43,0)),"CAP"),eqRodada))</f>
        <v>SEM EP</v>
      </c>
      <c r="S120" s="117" t="str">
        <f>IF($A120="","",mCEQ.StatusLimitesEQ($A120,eqAnoEP,IFERROR(INDEX(Analitos!$AR$4:$AR$43,MATCH($A120,Analitos!$A$4:$A$43,0)),"CAP"),eqRodada))</f>
        <v>SEM EP</v>
      </c>
      <c r="T120" s="116" t="str">
        <f>IF($A120="","",mCEQ.BiasEQ($A120,eqAnoEP,"SIGNED",IFERROR(INDEX(Analitos!$AR$4:$AR$43,MATCH($A120,Analitos!$A$4:$A$43,0)),"CAP"),eqRodada))</f>
        <v>SEM EP</v>
      </c>
      <c r="U120" s="117" t="str">
        <f>IF(OR($P120="ETp excedido",$P120="Margem critica"),COUNTIF($P$14:$P120,"ETp excedido")+COUNTIF($P$14:$P120,"Margem critica"),"")</f>
        <v/>
      </c>
      <c r="V120" s="118" t="str">
        <f>IF(NOT(ISNUMBER($L120)),"",mPlanoQC.DPMdoSigma($L120))</f>
        <v/>
      </c>
      <c r="W120" s="119" t="str">
        <f>IF(NOT(ISNUMBER($L120)),"",mPlanoQC.RendimentoDoSigma($L120))</f>
        <v/>
      </c>
      <c r="X120" s="117" t="str">
        <f>IF(NOT(ISNUMBER($L120)),"",mPlanoQC.PlanoQC($L120,"REGRAS"))</f>
        <v/>
      </c>
      <c r="Y120" s="120" t="str">
        <f>IF(NOT(ISNUMBER($L120)),"",mPlanoQC.PlanoQC($L120,"N"))</f>
        <v/>
      </c>
      <c r="Z120" s="121" t="str">
        <f>IF(NOT(ISNUMBER($L120)),"",mPlanoQC.PlanoQC($L120,"RUNSIZE"))</f>
        <v/>
      </c>
      <c r="AA120" s="117" t="str">
        <f>IF(NOT(ISNUMBER($L120)),"",mPlanoQC.CoberturaWestgard($L120))</f>
        <v/>
      </c>
      <c r="AB120" s="117" t="str">
        <f t="shared" si="23"/>
        <v>0|2</v>
      </c>
      <c r="AC120" s="120" t="str">
        <f>IF($A120="","",mCEQ.BiasEQ($A120,eqAnoEP,"N",IFERROR(INDEX(Analitos!$AR$4:$AR$43,MATCH($A120,Analitos!$A$4:$A$43,0)),"CAP"),eqRodada))</f>
        <v>SEM EP</v>
      </c>
      <c r="AD120" s="120" t="str">
        <f>IF($A120="","",mCEQ.BiasEQ($A120,eqAnoEP,"NRODADAS",IFERROR(INDEX(Analitos!$AR$4:$AR$43,MATCH($A120,Analitos!$A$4:$A$43,0)),"CAP"),eqRodada))</f>
        <v>SEM EP</v>
      </c>
    </row>
    <row r="121" spans="1:30" x14ac:dyDescent="0.3">
      <c r="A121" s="110">
        <f>Analitos!$A$39</f>
        <v>0</v>
      </c>
      <c r="B121" s="111">
        <v>3</v>
      </c>
      <c r="C121" s="112" t="str">
        <f>IF($A121="","",IF(INDEX(engEstat,ROW()-13,3)="","",INDEX(engEstat,ROW()-13,3)))</f>
        <v/>
      </c>
      <c r="D121" s="113" t="str">
        <f>IF($A121="","",IF(INDEX(engEstat,ROW()-13,4)="","",INDEX(engEstat,ROW()-13,4)))</f>
        <v/>
      </c>
      <c r="E121" s="113" t="str">
        <f>IF($A121="","",IF(INDEX(engEstat,ROW()-13,5)="","",INDEX(engEstat,ROW()-13,5)))</f>
        <v/>
      </c>
      <c r="F121" s="114" t="str">
        <f>IF($A121="","",IF(INDEX(engEstat,ROW()-13,6)="","",INDEX(engEstat,ROW()-13,6)))</f>
        <v/>
      </c>
      <c r="G121" s="114" t="str">
        <f>IF($A121="","",mCEQ.BiasEQ($A121,eqAnoEP,"ABS",eqProvedor,eqRodada))</f>
        <v>SEM EP</v>
      </c>
      <c r="H121" s="114" t="str">
        <f t="shared" si="18"/>
        <v/>
      </c>
      <c r="I121" s="114" t="str">
        <f>IF($A121="","",IFERROR(INDEX(Analitos!$Q$4:$Q$43,MATCH($A121,Analitos!$A$4:$A$43,0)),""))</f>
        <v/>
      </c>
      <c r="J121" s="114" t="str">
        <f>IF($A121="","",IFERROR(IF($I121="VB",INDEX(Analitos!$T$4:$T$43,MATCH($A121,Analitos!$A$4:$A$43,0)),IF(INDEX(Analitos!$S$4:$S$43,MATCH($A121,Analitos!$A$4:$A$43,0))&lt;&gt;"",INDEX(Analitos!$S$4:$S$43,MATCH($A121,Analitos!$A$4:$A$43,0)),INDEX(Analitos!$T$4:$T$43,MATCH($A121,Analitos!$A$4:$A$43,0)))),""))</f>
        <v/>
      </c>
      <c r="K121" s="114" t="str">
        <f>IF($A121="","",IFERROR(INDEX(Analitos!$R$4:$R$43,MATCH($A121,Analitos!$A$4:$A$43,0)),""))</f>
        <v/>
      </c>
      <c r="L121" s="114" t="str">
        <f t="shared" si="19"/>
        <v/>
      </c>
      <c r="M121" s="114" t="str">
        <f>IF(NOT(ISNUMBER($L121)),"",mQualidade.ClassificarSigma($L121))</f>
        <v/>
      </c>
      <c r="N121" s="115" t="str">
        <f t="shared" si="20"/>
        <v/>
      </c>
      <c r="O121" s="116" t="str">
        <f t="shared" si="21"/>
        <v/>
      </c>
      <c r="P121" s="117" t="str">
        <f>IF(NOT(ISNUMBER($O121)),"",mQualidade.ClassificarMargem($O121))</f>
        <v/>
      </c>
      <c r="Q121" s="117" t="str">
        <f t="shared" si="22"/>
        <v/>
      </c>
      <c r="R121" s="117" t="str">
        <f>IF($A121="","",mCEQ.StatusSDIeq($A121,eqAnoEP,IFERROR(INDEX(Analitos!$AR$4:$AR$43,MATCH($A121,Analitos!$A$4:$A$43,0)),"CAP"),eqRodada))</f>
        <v>SEM EP</v>
      </c>
      <c r="S121" s="117" t="str">
        <f>IF($A121="","",mCEQ.StatusLimitesEQ($A121,eqAnoEP,IFERROR(INDEX(Analitos!$AR$4:$AR$43,MATCH($A121,Analitos!$A$4:$A$43,0)),"CAP"),eqRodada))</f>
        <v>SEM EP</v>
      </c>
      <c r="T121" s="116" t="str">
        <f>IF($A121="","",mCEQ.BiasEQ($A121,eqAnoEP,"SIGNED",IFERROR(INDEX(Analitos!$AR$4:$AR$43,MATCH($A121,Analitos!$A$4:$A$43,0)),"CAP"),eqRodada))</f>
        <v>SEM EP</v>
      </c>
      <c r="U121" s="117" t="str">
        <f>IF(OR($P121="ETp excedido",$P121="Margem critica"),COUNTIF($P$14:$P121,"ETp excedido")+COUNTIF($P$14:$P121,"Margem critica"),"")</f>
        <v/>
      </c>
      <c r="V121" s="118" t="str">
        <f>IF(NOT(ISNUMBER($L121)),"",mPlanoQC.DPMdoSigma($L121))</f>
        <v/>
      </c>
      <c r="W121" s="119" t="str">
        <f>IF(NOT(ISNUMBER($L121)),"",mPlanoQC.RendimentoDoSigma($L121))</f>
        <v/>
      </c>
      <c r="X121" s="117" t="str">
        <f>IF(NOT(ISNUMBER($L121)),"",mPlanoQC.PlanoQC($L121,"REGRAS"))</f>
        <v/>
      </c>
      <c r="Y121" s="120" t="str">
        <f>IF(NOT(ISNUMBER($L121)),"",mPlanoQC.PlanoQC($L121,"N"))</f>
        <v/>
      </c>
      <c r="Z121" s="121" t="str">
        <f>IF(NOT(ISNUMBER($L121)),"",mPlanoQC.PlanoQC($L121,"RUNSIZE"))</f>
        <v/>
      </c>
      <c r="AA121" s="117" t="str">
        <f>IF(NOT(ISNUMBER($L121)),"",mPlanoQC.CoberturaWestgard($L121))</f>
        <v/>
      </c>
      <c r="AB121" s="117" t="str">
        <f t="shared" si="23"/>
        <v>0|3</v>
      </c>
      <c r="AC121" s="120" t="str">
        <f>IF($A121="","",mCEQ.BiasEQ($A121,eqAnoEP,"N",IFERROR(INDEX(Analitos!$AR$4:$AR$43,MATCH($A121,Analitos!$A$4:$A$43,0)),"CAP"),eqRodada))</f>
        <v>SEM EP</v>
      </c>
      <c r="AD121" s="120" t="str">
        <f>IF($A121="","",mCEQ.BiasEQ($A121,eqAnoEP,"NRODADAS",IFERROR(INDEX(Analitos!$AR$4:$AR$43,MATCH($A121,Analitos!$A$4:$A$43,0)),"CAP"),eqRodada))</f>
        <v>SEM EP</v>
      </c>
    </row>
    <row r="122" spans="1:30" x14ac:dyDescent="0.3">
      <c r="A122" s="110">
        <f>Analitos!$A$40</f>
        <v>0</v>
      </c>
      <c r="B122" s="111">
        <v>1</v>
      </c>
      <c r="C122" s="112" t="str">
        <f>IF($A122="","",IF(INDEX(engEstat,ROW()-13,3)="","",INDEX(engEstat,ROW()-13,3)))</f>
        <v/>
      </c>
      <c r="D122" s="113" t="str">
        <f>IF($A122="","",IF(INDEX(engEstat,ROW()-13,4)="","",INDEX(engEstat,ROW()-13,4)))</f>
        <v/>
      </c>
      <c r="E122" s="113" t="str">
        <f>IF($A122="","",IF(INDEX(engEstat,ROW()-13,5)="","",INDEX(engEstat,ROW()-13,5)))</f>
        <v/>
      </c>
      <c r="F122" s="114" t="str">
        <f>IF($A122="","",IF(INDEX(engEstat,ROW()-13,6)="","",INDEX(engEstat,ROW()-13,6)))</f>
        <v/>
      </c>
      <c r="G122" s="114" t="str">
        <f>IF($A122="","",mCEQ.BiasEQ($A122,eqAnoEP,"ABS",eqProvedor,eqRodada))</f>
        <v>SEM EP</v>
      </c>
      <c r="H122" s="114" t="str">
        <f t="shared" si="18"/>
        <v/>
      </c>
      <c r="I122" s="114" t="str">
        <f>IF($A122="","",IFERROR(INDEX(Analitos!$Q$4:$Q$43,MATCH($A122,Analitos!$A$4:$A$43,0)),""))</f>
        <v/>
      </c>
      <c r="J122" s="114" t="str">
        <f>IF($A122="","",IFERROR(IF($I122="VB",INDEX(Analitos!$T$4:$T$43,MATCH($A122,Analitos!$A$4:$A$43,0)),IF(INDEX(Analitos!$S$4:$S$43,MATCH($A122,Analitos!$A$4:$A$43,0))&lt;&gt;"",INDEX(Analitos!$S$4:$S$43,MATCH($A122,Analitos!$A$4:$A$43,0)),INDEX(Analitos!$T$4:$T$43,MATCH($A122,Analitos!$A$4:$A$43,0)))),""))</f>
        <v/>
      </c>
      <c r="K122" s="114" t="str">
        <f>IF($A122="","",IFERROR(INDEX(Analitos!$R$4:$R$43,MATCH($A122,Analitos!$A$4:$A$43,0)),""))</f>
        <v/>
      </c>
      <c r="L122" s="114" t="str">
        <f t="shared" si="19"/>
        <v/>
      </c>
      <c r="M122" s="114" t="str">
        <f>IF(NOT(ISNUMBER($L122)),"",mQualidade.ClassificarSigma($L122))</f>
        <v/>
      </c>
      <c r="N122" s="115" t="str">
        <f t="shared" si="20"/>
        <v/>
      </c>
      <c r="O122" s="116" t="str">
        <f t="shared" si="21"/>
        <v/>
      </c>
      <c r="P122" s="117" t="str">
        <f>IF(NOT(ISNUMBER($O122)),"",mQualidade.ClassificarMargem($O122))</f>
        <v/>
      </c>
      <c r="Q122" s="117" t="str">
        <f t="shared" si="22"/>
        <v/>
      </c>
      <c r="R122" s="117" t="str">
        <f>IF($A122="","",mCEQ.StatusSDIeq($A122,eqAnoEP,IFERROR(INDEX(Analitos!$AR$4:$AR$43,MATCH($A122,Analitos!$A$4:$A$43,0)),"CAP"),eqRodada))</f>
        <v>SEM EP</v>
      </c>
      <c r="S122" s="117" t="str">
        <f>IF($A122="","",mCEQ.StatusLimitesEQ($A122,eqAnoEP,IFERROR(INDEX(Analitos!$AR$4:$AR$43,MATCH($A122,Analitos!$A$4:$A$43,0)),"CAP"),eqRodada))</f>
        <v>SEM EP</v>
      </c>
      <c r="T122" s="116" t="str">
        <f>IF($A122="","",mCEQ.BiasEQ($A122,eqAnoEP,"SIGNED",IFERROR(INDEX(Analitos!$AR$4:$AR$43,MATCH($A122,Analitos!$A$4:$A$43,0)),"CAP"),eqRodada))</f>
        <v>SEM EP</v>
      </c>
      <c r="U122" s="117" t="str">
        <f>IF(OR($P122="ETp excedido",$P122="Margem critica"),COUNTIF($P$14:$P122,"ETp excedido")+COUNTIF($P$14:$P122,"Margem critica"),"")</f>
        <v/>
      </c>
      <c r="V122" s="118" t="str">
        <f>IF(NOT(ISNUMBER($L122)),"",mPlanoQC.DPMdoSigma($L122))</f>
        <v/>
      </c>
      <c r="W122" s="119" t="str">
        <f>IF(NOT(ISNUMBER($L122)),"",mPlanoQC.RendimentoDoSigma($L122))</f>
        <v/>
      </c>
      <c r="X122" s="117" t="str">
        <f>IF(NOT(ISNUMBER($L122)),"",mPlanoQC.PlanoQC($L122,"REGRAS"))</f>
        <v/>
      </c>
      <c r="Y122" s="120" t="str">
        <f>IF(NOT(ISNUMBER($L122)),"",mPlanoQC.PlanoQC($L122,"N"))</f>
        <v/>
      </c>
      <c r="Z122" s="121" t="str">
        <f>IF(NOT(ISNUMBER($L122)),"",mPlanoQC.PlanoQC($L122,"RUNSIZE"))</f>
        <v/>
      </c>
      <c r="AA122" s="117" t="str">
        <f>IF(NOT(ISNUMBER($L122)),"",mPlanoQC.CoberturaWestgard($L122))</f>
        <v/>
      </c>
      <c r="AB122" s="117" t="str">
        <f t="shared" si="23"/>
        <v>0|1</v>
      </c>
      <c r="AC122" s="120" t="str">
        <f>IF($A122="","",mCEQ.BiasEQ($A122,eqAnoEP,"N",IFERROR(INDEX(Analitos!$AR$4:$AR$43,MATCH($A122,Analitos!$A$4:$A$43,0)),"CAP"),eqRodada))</f>
        <v>SEM EP</v>
      </c>
      <c r="AD122" s="120" t="str">
        <f>IF($A122="","",mCEQ.BiasEQ($A122,eqAnoEP,"NRODADAS",IFERROR(INDEX(Analitos!$AR$4:$AR$43,MATCH($A122,Analitos!$A$4:$A$43,0)),"CAP"),eqRodada))</f>
        <v>SEM EP</v>
      </c>
    </row>
    <row r="123" spans="1:30" x14ac:dyDescent="0.3">
      <c r="A123" s="110">
        <f>Analitos!$A$40</f>
        <v>0</v>
      </c>
      <c r="B123" s="111">
        <v>2</v>
      </c>
      <c r="C123" s="112" t="str">
        <f>IF($A123="","",IF(INDEX(engEstat,ROW()-13,3)="","",INDEX(engEstat,ROW()-13,3)))</f>
        <v/>
      </c>
      <c r="D123" s="113" t="str">
        <f>IF($A123="","",IF(INDEX(engEstat,ROW()-13,4)="","",INDEX(engEstat,ROW()-13,4)))</f>
        <v/>
      </c>
      <c r="E123" s="113" t="str">
        <f>IF($A123="","",IF(INDEX(engEstat,ROW()-13,5)="","",INDEX(engEstat,ROW()-13,5)))</f>
        <v/>
      </c>
      <c r="F123" s="114" t="str">
        <f>IF($A123="","",IF(INDEX(engEstat,ROW()-13,6)="","",INDEX(engEstat,ROW()-13,6)))</f>
        <v/>
      </c>
      <c r="G123" s="114" t="str">
        <f>IF($A123="","",mCEQ.BiasEQ($A123,eqAnoEP,"ABS",eqProvedor,eqRodada))</f>
        <v>SEM EP</v>
      </c>
      <c r="H123" s="114" t="str">
        <f t="shared" si="18"/>
        <v/>
      </c>
      <c r="I123" s="114" t="str">
        <f>IF($A123="","",IFERROR(INDEX(Analitos!$Q$4:$Q$43,MATCH($A123,Analitos!$A$4:$A$43,0)),""))</f>
        <v/>
      </c>
      <c r="J123" s="114" t="str">
        <f>IF($A123="","",IFERROR(IF($I123="VB",INDEX(Analitos!$T$4:$T$43,MATCH($A123,Analitos!$A$4:$A$43,0)),IF(INDEX(Analitos!$S$4:$S$43,MATCH($A123,Analitos!$A$4:$A$43,0))&lt;&gt;"",INDEX(Analitos!$S$4:$S$43,MATCH($A123,Analitos!$A$4:$A$43,0)),INDEX(Analitos!$T$4:$T$43,MATCH($A123,Analitos!$A$4:$A$43,0)))),""))</f>
        <v/>
      </c>
      <c r="K123" s="114" t="str">
        <f>IF($A123="","",IFERROR(INDEX(Analitos!$R$4:$R$43,MATCH($A123,Analitos!$A$4:$A$43,0)),""))</f>
        <v/>
      </c>
      <c r="L123" s="114" t="str">
        <f t="shared" si="19"/>
        <v/>
      </c>
      <c r="M123" s="114" t="str">
        <f>IF(NOT(ISNUMBER($L123)),"",mQualidade.ClassificarSigma($L123))</f>
        <v/>
      </c>
      <c r="N123" s="115" t="str">
        <f t="shared" si="20"/>
        <v/>
      </c>
      <c r="O123" s="116" t="str">
        <f t="shared" si="21"/>
        <v/>
      </c>
      <c r="P123" s="117" t="str">
        <f>IF(NOT(ISNUMBER($O123)),"",mQualidade.ClassificarMargem($O123))</f>
        <v/>
      </c>
      <c r="Q123" s="117" t="str">
        <f t="shared" si="22"/>
        <v/>
      </c>
      <c r="R123" s="117" t="str">
        <f>IF($A123="","",mCEQ.StatusSDIeq($A123,eqAnoEP,IFERROR(INDEX(Analitos!$AR$4:$AR$43,MATCH($A123,Analitos!$A$4:$A$43,0)),"CAP"),eqRodada))</f>
        <v>SEM EP</v>
      </c>
      <c r="S123" s="117" t="str">
        <f>IF($A123="","",mCEQ.StatusLimitesEQ($A123,eqAnoEP,IFERROR(INDEX(Analitos!$AR$4:$AR$43,MATCH($A123,Analitos!$A$4:$A$43,0)),"CAP"),eqRodada))</f>
        <v>SEM EP</v>
      </c>
      <c r="T123" s="116" t="str">
        <f>IF($A123="","",mCEQ.BiasEQ($A123,eqAnoEP,"SIGNED",IFERROR(INDEX(Analitos!$AR$4:$AR$43,MATCH($A123,Analitos!$A$4:$A$43,0)),"CAP"),eqRodada))</f>
        <v>SEM EP</v>
      </c>
      <c r="U123" s="117" t="str">
        <f>IF(OR($P123="ETp excedido",$P123="Margem critica"),COUNTIF($P$14:$P123,"ETp excedido")+COUNTIF($P$14:$P123,"Margem critica"),"")</f>
        <v/>
      </c>
      <c r="V123" s="118" t="str">
        <f>IF(NOT(ISNUMBER($L123)),"",mPlanoQC.DPMdoSigma($L123))</f>
        <v/>
      </c>
      <c r="W123" s="119" t="str">
        <f>IF(NOT(ISNUMBER($L123)),"",mPlanoQC.RendimentoDoSigma($L123))</f>
        <v/>
      </c>
      <c r="X123" s="117" t="str">
        <f>IF(NOT(ISNUMBER($L123)),"",mPlanoQC.PlanoQC($L123,"REGRAS"))</f>
        <v/>
      </c>
      <c r="Y123" s="120" t="str">
        <f>IF(NOT(ISNUMBER($L123)),"",mPlanoQC.PlanoQC($L123,"N"))</f>
        <v/>
      </c>
      <c r="Z123" s="121" t="str">
        <f>IF(NOT(ISNUMBER($L123)),"",mPlanoQC.PlanoQC($L123,"RUNSIZE"))</f>
        <v/>
      </c>
      <c r="AA123" s="117" t="str">
        <f>IF(NOT(ISNUMBER($L123)),"",mPlanoQC.CoberturaWestgard($L123))</f>
        <v/>
      </c>
      <c r="AB123" s="117" t="str">
        <f t="shared" si="23"/>
        <v>0|2</v>
      </c>
      <c r="AC123" s="120" t="str">
        <f>IF($A123="","",mCEQ.BiasEQ($A123,eqAnoEP,"N",IFERROR(INDEX(Analitos!$AR$4:$AR$43,MATCH($A123,Analitos!$A$4:$A$43,0)),"CAP"),eqRodada))</f>
        <v>SEM EP</v>
      </c>
      <c r="AD123" s="120" t="str">
        <f>IF($A123="","",mCEQ.BiasEQ($A123,eqAnoEP,"NRODADAS",IFERROR(INDEX(Analitos!$AR$4:$AR$43,MATCH($A123,Analitos!$A$4:$A$43,0)),"CAP"),eqRodada))</f>
        <v>SEM EP</v>
      </c>
    </row>
    <row r="124" spans="1:30" x14ac:dyDescent="0.3">
      <c r="A124" s="110">
        <f>Analitos!$A$40</f>
        <v>0</v>
      </c>
      <c r="B124" s="111">
        <v>3</v>
      </c>
      <c r="C124" s="112" t="str">
        <f>IF($A124="","",IF(INDEX(engEstat,ROW()-13,3)="","",INDEX(engEstat,ROW()-13,3)))</f>
        <v/>
      </c>
      <c r="D124" s="113" t="str">
        <f>IF($A124="","",IF(INDEX(engEstat,ROW()-13,4)="","",INDEX(engEstat,ROW()-13,4)))</f>
        <v/>
      </c>
      <c r="E124" s="113" t="str">
        <f>IF($A124="","",IF(INDEX(engEstat,ROW()-13,5)="","",INDEX(engEstat,ROW()-13,5)))</f>
        <v/>
      </c>
      <c r="F124" s="114" t="str">
        <f>IF($A124="","",IF(INDEX(engEstat,ROW()-13,6)="","",INDEX(engEstat,ROW()-13,6)))</f>
        <v/>
      </c>
      <c r="G124" s="114" t="str">
        <f>IF($A124="","",mCEQ.BiasEQ($A124,eqAnoEP,"ABS",eqProvedor,eqRodada))</f>
        <v>SEM EP</v>
      </c>
      <c r="H124" s="114" t="str">
        <f t="shared" si="18"/>
        <v/>
      </c>
      <c r="I124" s="114" t="str">
        <f>IF($A124="","",IFERROR(INDEX(Analitos!$Q$4:$Q$43,MATCH($A124,Analitos!$A$4:$A$43,0)),""))</f>
        <v/>
      </c>
      <c r="J124" s="114" t="str">
        <f>IF($A124="","",IFERROR(IF($I124="VB",INDEX(Analitos!$T$4:$T$43,MATCH($A124,Analitos!$A$4:$A$43,0)),IF(INDEX(Analitos!$S$4:$S$43,MATCH($A124,Analitos!$A$4:$A$43,0))&lt;&gt;"",INDEX(Analitos!$S$4:$S$43,MATCH($A124,Analitos!$A$4:$A$43,0)),INDEX(Analitos!$T$4:$T$43,MATCH($A124,Analitos!$A$4:$A$43,0)))),""))</f>
        <v/>
      </c>
      <c r="K124" s="114" t="str">
        <f>IF($A124="","",IFERROR(INDEX(Analitos!$R$4:$R$43,MATCH($A124,Analitos!$A$4:$A$43,0)),""))</f>
        <v/>
      </c>
      <c r="L124" s="114" t="str">
        <f t="shared" si="19"/>
        <v/>
      </c>
      <c r="M124" s="114" t="str">
        <f>IF(NOT(ISNUMBER($L124)),"",mQualidade.ClassificarSigma($L124))</f>
        <v/>
      </c>
      <c r="N124" s="115" t="str">
        <f t="shared" si="20"/>
        <v/>
      </c>
      <c r="O124" s="116" t="str">
        <f t="shared" si="21"/>
        <v/>
      </c>
      <c r="P124" s="117" t="str">
        <f>IF(NOT(ISNUMBER($O124)),"",mQualidade.ClassificarMargem($O124))</f>
        <v/>
      </c>
      <c r="Q124" s="117" t="str">
        <f t="shared" si="22"/>
        <v/>
      </c>
      <c r="R124" s="117" t="str">
        <f>IF($A124="","",mCEQ.StatusSDIeq($A124,eqAnoEP,IFERROR(INDEX(Analitos!$AR$4:$AR$43,MATCH($A124,Analitos!$A$4:$A$43,0)),"CAP"),eqRodada))</f>
        <v>SEM EP</v>
      </c>
      <c r="S124" s="117" t="str">
        <f>IF($A124="","",mCEQ.StatusLimitesEQ($A124,eqAnoEP,IFERROR(INDEX(Analitos!$AR$4:$AR$43,MATCH($A124,Analitos!$A$4:$A$43,0)),"CAP"),eqRodada))</f>
        <v>SEM EP</v>
      </c>
      <c r="T124" s="116" t="str">
        <f>IF($A124="","",mCEQ.BiasEQ($A124,eqAnoEP,"SIGNED",IFERROR(INDEX(Analitos!$AR$4:$AR$43,MATCH($A124,Analitos!$A$4:$A$43,0)),"CAP"),eqRodada))</f>
        <v>SEM EP</v>
      </c>
      <c r="U124" s="117" t="str">
        <f>IF(OR($P124="ETp excedido",$P124="Margem critica"),COUNTIF($P$14:$P124,"ETp excedido")+COUNTIF($P$14:$P124,"Margem critica"),"")</f>
        <v/>
      </c>
      <c r="V124" s="118" t="str">
        <f>IF(NOT(ISNUMBER($L124)),"",mPlanoQC.DPMdoSigma($L124))</f>
        <v/>
      </c>
      <c r="W124" s="119" t="str">
        <f>IF(NOT(ISNUMBER($L124)),"",mPlanoQC.RendimentoDoSigma($L124))</f>
        <v/>
      </c>
      <c r="X124" s="117" t="str">
        <f>IF(NOT(ISNUMBER($L124)),"",mPlanoQC.PlanoQC($L124,"REGRAS"))</f>
        <v/>
      </c>
      <c r="Y124" s="120" t="str">
        <f>IF(NOT(ISNUMBER($L124)),"",mPlanoQC.PlanoQC($L124,"N"))</f>
        <v/>
      </c>
      <c r="Z124" s="121" t="str">
        <f>IF(NOT(ISNUMBER($L124)),"",mPlanoQC.PlanoQC($L124,"RUNSIZE"))</f>
        <v/>
      </c>
      <c r="AA124" s="117" t="str">
        <f>IF(NOT(ISNUMBER($L124)),"",mPlanoQC.CoberturaWestgard($L124))</f>
        <v/>
      </c>
      <c r="AB124" s="117" t="str">
        <f t="shared" si="23"/>
        <v>0|3</v>
      </c>
      <c r="AC124" s="120" t="str">
        <f>IF($A124="","",mCEQ.BiasEQ($A124,eqAnoEP,"N",IFERROR(INDEX(Analitos!$AR$4:$AR$43,MATCH($A124,Analitos!$A$4:$A$43,0)),"CAP"),eqRodada))</f>
        <v>SEM EP</v>
      </c>
      <c r="AD124" s="120" t="str">
        <f>IF($A124="","",mCEQ.BiasEQ($A124,eqAnoEP,"NRODADAS",IFERROR(INDEX(Analitos!$AR$4:$AR$43,MATCH($A124,Analitos!$A$4:$A$43,0)),"CAP"),eqRodada))</f>
        <v>SEM EP</v>
      </c>
    </row>
    <row r="125" spans="1:30" x14ac:dyDescent="0.3">
      <c r="A125" s="110">
        <f>Analitos!$A$41</f>
        <v>0</v>
      </c>
      <c r="B125" s="111">
        <v>1</v>
      </c>
      <c r="C125" s="112" t="str">
        <f>IF($A125="","",IF(INDEX(engEstat,ROW()-13,3)="","",INDEX(engEstat,ROW()-13,3)))</f>
        <v/>
      </c>
      <c r="D125" s="113" t="str">
        <f>IF($A125="","",IF(INDEX(engEstat,ROW()-13,4)="","",INDEX(engEstat,ROW()-13,4)))</f>
        <v/>
      </c>
      <c r="E125" s="113" t="str">
        <f>IF($A125="","",IF(INDEX(engEstat,ROW()-13,5)="","",INDEX(engEstat,ROW()-13,5)))</f>
        <v/>
      </c>
      <c r="F125" s="114" t="str">
        <f>IF($A125="","",IF(INDEX(engEstat,ROW()-13,6)="","",INDEX(engEstat,ROW()-13,6)))</f>
        <v/>
      </c>
      <c r="G125" s="114" t="str">
        <f>IF($A125="","",mCEQ.BiasEQ($A125,eqAnoEP,"ABS",eqProvedor,eqRodada))</f>
        <v>SEM EP</v>
      </c>
      <c r="H125" s="114" t="str">
        <f t="shared" si="18"/>
        <v/>
      </c>
      <c r="I125" s="114" t="str">
        <f>IF($A125="","",IFERROR(INDEX(Analitos!$Q$4:$Q$43,MATCH($A125,Analitos!$A$4:$A$43,0)),""))</f>
        <v/>
      </c>
      <c r="J125" s="114" t="str">
        <f>IF($A125="","",IFERROR(IF($I125="VB",INDEX(Analitos!$T$4:$T$43,MATCH($A125,Analitos!$A$4:$A$43,0)),IF(INDEX(Analitos!$S$4:$S$43,MATCH($A125,Analitos!$A$4:$A$43,0))&lt;&gt;"",INDEX(Analitos!$S$4:$S$43,MATCH($A125,Analitos!$A$4:$A$43,0)),INDEX(Analitos!$T$4:$T$43,MATCH($A125,Analitos!$A$4:$A$43,0)))),""))</f>
        <v/>
      </c>
      <c r="K125" s="114" t="str">
        <f>IF($A125="","",IFERROR(INDEX(Analitos!$R$4:$R$43,MATCH($A125,Analitos!$A$4:$A$43,0)),""))</f>
        <v/>
      </c>
      <c r="L125" s="114" t="str">
        <f t="shared" si="19"/>
        <v/>
      </c>
      <c r="M125" s="114" t="str">
        <f>IF(NOT(ISNUMBER($L125)),"",mQualidade.ClassificarSigma($L125))</f>
        <v/>
      </c>
      <c r="N125" s="115" t="str">
        <f t="shared" si="20"/>
        <v/>
      </c>
      <c r="O125" s="116" t="str">
        <f t="shared" si="21"/>
        <v/>
      </c>
      <c r="P125" s="117" t="str">
        <f>IF(NOT(ISNUMBER($O125)),"",mQualidade.ClassificarMargem($O125))</f>
        <v/>
      </c>
      <c r="Q125" s="117" t="str">
        <f t="shared" si="22"/>
        <v/>
      </c>
      <c r="R125" s="117" t="str">
        <f>IF($A125="","",mCEQ.StatusSDIeq($A125,eqAnoEP,IFERROR(INDEX(Analitos!$AR$4:$AR$43,MATCH($A125,Analitos!$A$4:$A$43,0)),"CAP"),eqRodada))</f>
        <v>SEM EP</v>
      </c>
      <c r="S125" s="117" t="str">
        <f>IF($A125="","",mCEQ.StatusLimitesEQ($A125,eqAnoEP,IFERROR(INDEX(Analitos!$AR$4:$AR$43,MATCH($A125,Analitos!$A$4:$A$43,0)),"CAP"),eqRodada))</f>
        <v>SEM EP</v>
      </c>
      <c r="T125" s="116" t="str">
        <f>IF($A125="","",mCEQ.BiasEQ($A125,eqAnoEP,"SIGNED",IFERROR(INDEX(Analitos!$AR$4:$AR$43,MATCH($A125,Analitos!$A$4:$A$43,0)),"CAP"),eqRodada))</f>
        <v>SEM EP</v>
      </c>
      <c r="U125" s="117" t="str">
        <f>IF(OR($P125="ETp excedido",$P125="Margem critica"),COUNTIF($P$14:$P125,"ETp excedido")+COUNTIF($P$14:$P125,"Margem critica"),"")</f>
        <v/>
      </c>
      <c r="V125" s="118" t="str">
        <f>IF(NOT(ISNUMBER($L125)),"",mPlanoQC.DPMdoSigma($L125))</f>
        <v/>
      </c>
      <c r="W125" s="119" t="str">
        <f>IF(NOT(ISNUMBER($L125)),"",mPlanoQC.RendimentoDoSigma($L125))</f>
        <v/>
      </c>
      <c r="X125" s="117" t="str">
        <f>IF(NOT(ISNUMBER($L125)),"",mPlanoQC.PlanoQC($L125,"REGRAS"))</f>
        <v/>
      </c>
      <c r="Y125" s="120" t="str">
        <f>IF(NOT(ISNUMBER($L125)),"",mPlanoQC.PlanoQC($L125,"N"))</f>
        <v/>
      </c>
      <c r="Z125" s="121" t="str">
        <f>IF(NOT(ISNUMBER($L125)),"",mPlanoQC.PlanoQC($L125,"RUNSIZE"))</f>
        <v/>
      </c>
      <c r="AA125" s="117" t="str">
        <f>IF(NOT(ISNUMBER($L125)),"",mPlanoQC.CoberturaWestgard($L125))</f>
        <v/>
      </c>
      <c r="AB125" s="117" t="str">
        <f t="shared" si="23"/>
        <v>0|1</v>
      </c>
      <c r="AC125" s="120" t="str">
        <f>IF($A125="","",mCEQ.BiasEQ($A125,eqAnoEP,"N",IFERROR(INDEX(Analitos!$AR$4:$AR$43,MATCH($A125,Analitos!$A$4:$A$43,0)),"CAP"),eqRodada))</f>
        <v>SEM EP</v>
      </c>
      <c r="AD125" s="120" t="str">
        <f>IF($A125="","",mCEQ.BiasEQ($A125,eqAnoEP,"NRODADAS",IFERROR(INDEX(Analitos!$AR$4:$AR$43,MATCH($A125,Analitos!$A$4:$A$43,0)),"CAP"),eqRodada))</f>
        <v>SEM EP</v>
      </c>
    </row>
    <row r="126" spans="1:30" x14ac:dyDescent="0.3">
      <c r="A126" s="110">
        <f>Analitos!$A$41</f>
        <v>0</v>
      </c>
      <c r="B126" s="111">
        <v>2</v>
      </c>
      <c r="C126" s="112" t="str">
        <f>IF($A126="","",IF(INDEX(engEstat,ROW()-13,3)="","",INDEX(engEstat,ROW()-13,3)))</f>
        <v/>
      </c>
      <c r="D126" s="113" t="str">
        <f>IF($A126="","",IF(INDEX(engEstat,ROW()-13,4)="","",INDEX(engEstat,ROW()-13,4)))</f>
        <v/>
      </c>
      <c r="E126" s="113" t="str">
        <f>IF($A126="","",IF(INDEX(engEstat,ROW()-13,5)="","",INDEX(engEstat,ROW()-13,5)))</f>
        <v/>
      </c>
      <c r="F126" s="114" t="str">
        <f>IF($A126="","",IF(INDEX(engEstat,ROW()-13,6)="","",INDEX(engEstat,ROW()-13,6)))</f>
        <v/>
      </c>
      <c r="G126" s="114" t="str">
        <f>IF($A126="","",mCEQ.BiasEQ($A126,eqAnoEP,"ABS",eqProvedor,eqRodada))</f>
        <v>SEM EP</v>
      </c>
      <c r="H126" s="114" t="str">
        <f t="shared" si="18"/>
        <v/>
      </c>
      <c r="I126" s="114" t="str">
        <f>IF($A126="","",IFERROR(INDEX(Analitos!$Q$4:$Q$43,MATCH($A126,Analitos!$A$4:$A$43,0)),""))</f>
        <v/>
      </c>
      <c r="J126" s="114" t="str">
        <f>IF($A126="","",IFERROR(IF($I126="VB",INDEX(Analitos!$T$4:$T$43,MATCH($A126,Analitos!$A$4:$A$43,0)),IF(INDEX(Analitos!$S$4:$S$43,MATCH($A126,Analitos!$A$4:$A$43,0))&lt;&gt;"",INDEX(Analitos!$S$4:$S$43,MATCH($A126,Analitos!$A$4:$A$43,0)),INDEX(Analitos!$T$4:$T$43,MATCH($A126,Analitos!$A$4:$A$43,0)))),""))</f>
        <v/>
      </c>
      <c r="K126" s="114" t="str">
        <f>IF($A126="","",IFERROR(INDEX(Analitos!$R$4:$R$43,MATCH($A126,Analitos!$A$4:$A$43,0)),""))</f>
        <v/>
      </c>
      <c r="L126" s="114" t="str">
        <f t="shared" si="19"/>
        <v/>
      </c>
      <c r="M126" s="114" t="str">
        <f>IF(NOT(ISNUMBER($L126)),"",mQualidade.ClassificarSigma($L126))</f>
        <v/>
      </c>
      <c r="N126" s="115" t="str">
        <f t="shared" si="20"/>
        <v/>
      </c>
      <c r="O126" s="116" t="str">
        <f t="shared" si="21"/>
        <v/>
      </c>
      <c r="P126" s="117" t="str">
        <f>IF(NOT(ISNUMBER($O126)),"",mQualidade.ClassificarMargem($O126))</f>
        <v/>
      </c>
      <c r="Q126" s="117" t="str">
        <f t="shared" si="22"/>
        <v/>
      </c>
      <c r="R126" s="117" t="str">
        <f>IF($A126="","",mCEQ.StatusSDIeq($A126,eqAnoEP,IFERROR(INDEX(Analitos!$AR$4:$AR$43,MATCH($A126,Analitos!$A$4:$A$43,0)),"CAP"),eqRodada))</f>
        <v>SEM EP</v>
      </c>
      <c r="S126" s="117" t="str">
        <f>IF($A126="","",mCEQ.StatusLimitesEQ($A126,eqAnoEP,IFERROR(INDEX(Analitos!$AR$4:$AR$43,MATCH($A126,Analitos!$A$4:$A$43,0)),"CAP"),eqRodada))</f>
        <v>SEM EP</v>
      </c>
      <c r="T126" s="116" t="str">
        <f>IF($A126="","",mCEQ.BiasEQ($A126,eqAnoEP,"SIGNED",IFERROR(INDEX(Analitos!$AR$4:$AR$43,MATCH($A126,Analitos!$A$4:$A$43,0)),"CAP"),eqRodada))</f>
        <v>SEM EP</v>
      </c>
      <c r="U126" s="117" t="str">
        <f>IF(OR($P126="ETp excedido",$P126="Margem critica"),COUNTIF($P$14:$P126,"ETp excedido")+COUNTIF($P$14:$P126,"Margem critica"),"")</f>
        <v/>
      </c>
      <c r="V126" s="118" t="str">
        <f>IF(NOT(ISNUMBER($L126)),"",mPlanoQC.DPMdoSigma($L126))</f>
        <v/>
      </c>
      <c r="W126" s="119" t="str">
        <f>IF(NOT(ISNUMBER($L126)),"",mPlanoQC.RendimentoDoSigma($L126))</f>
        <v/>
      </c>
      <c r="X126" s="117" t="str">
        <f>IF(NOT(ISNUMBER($L126)),"",mPlanoQC.PlanoQC($L126,"REGRAS"))</f>
        <v/>
      </c>
      <c r="Y126" s="120" t="str">
        <f>IF(NOT(ISNUMBER($L126)),"",mPlanoQC.PlanoQC($L126,"N"))</f>
        <v/>
      </c>
      <c r="Z126" s="121" t="str">
        <f>IF(NOT(ISNUMBER($L126)),"",mPlanoQC.PlanoQC($L126,"RUNSIZE"))</f>
        <v/>
      </c>
      <c r="AA126" s="117" t="str">
        <f>IF(NOT(ISNUMBER($L126)),"",mPlanoQC.CoberturaWestgard($L126))</f>
        <v/>
      </c>
      <c r="AB126" s="117" t="str">
        <f t="shared" si="23"/>
        <v>0|2</v>
      </c>
      <c r="AC126" s="120" t="str">
        <f>IF($A126="","",mCEQ.BiasEQ($A126,eqAnoEP,"N",IFERROR(INDEX(Analitos!$AR$4:$AR$43,MATCH($A126,Analitos!$A$4:$A$43,0)),"CAP"),eqRodada))</f>
        <v>SEM EP</v>
      </c>
      <c r="AD126" s="120" t="str">
        <f>IF($A126="","",mCEQ.BiasEQ($A126,eqAnoEP,"NRODADAS",IFERROR(INDEX(Analitos!$AR$4:$AR$43,MATCH($A126,Analitos!$A$4:$A$43,0)),"CAP"),eqRodada))</f>
        <v>SEM EP</v>
      </c>
    </row>
    <row r="127" spans="1:30" x14ac:dyDescent="0.3">
      <c r="A127" s="110">
        <f>Analitos!$A$41</f>
        <v>0</v>
      </c>
      <c r="B127" s="111">
        <v>3</v>
      </c>
      <c r="C127" s="112" t="str">
        <f>IF($A127="","",IF(INDEX(engEstat,ROW()-13,3)="","",INDEX(engEstat,ROW()-13,3)))</f>
        <v/>
      </c>
      <c r="D127" s="113" t="str">
        <f>IF($A127="","",IF(INDEX(engEstat,ROW()-13,4)="","",INDEX(engEstat,ROW()-13,4)))</f>
        <v/>
      </c>
      <c r="E127" s="113" t="str">
        <f>IF($A127="","",IF(INDEX(engEstat,ROW()-13,5)="","",INDEX(engEstat,ROW()-13,5)))</f>
        <v/>
      </c>
      <c r="F127" s="114" t="str">
        <f>IF($A127="","",IF(INDEX(engEstat,ROW()-13,6)="","",INDEX(engEstat,ROW()-13,6)))</f>
        <v/>
      </c>
      <c r="G127" s="114" t="str">
        <f>IF($A127="","",mCEQ.BiasEQ($A127,eqAnoEP,"ABS",eqProvedor,eqRodada))</f>
        <v>SEM EP</v>
      </c>
      <c r="H127" s="114" t="str">
        <f t="shared" si="18"/>
        <v/>
      </c>
      <c r="I127" s="114" t="str">
        <f>IF($A127="","",IFERROR(INDEX(Analitos!$Q$4:$Q$43,MATCH($A127,Analitos!$A$4:$A$43,0)),""))</f>
        <v/>
      </c>
      <c r="J127" s="114" t="str">
        <f>IF($A127="","",IFERROR(IF($I127="VB",INDEX(Analitos!$T$4:$T$43,MATCH($A127,Analitos!$A$4:$A$43,0)),IF(INDEX(Analitos!$S$4:$S$43,MATCH($A127,Analitos!$A$4:$A$43,0))&lt;&gt;"",INDEX(Analitos!$S$4:$S$43,MATCH($A127,Analitos!$A$4:$A$43,0)),INDEX(Analitos!$T$4:$T$43,MATCH($A127,Analitos!$A$4:$A$43,0)))),""))</f>
        <v/>
      </c>
      <c r="K127" s="114" t="str">
        <f>IF($A127="","",IFERROR(INDEX(Analitos!$R$4:$R$43,MATCH($A127,Analitos!$A$4:$A$43,0)),""))</f>
        <v/>
      </c>
      <c r="L127" s="114" t="str">
        <f t="shared" si="19"/>
        <v/>
      </c>
      <c r="M127" s="114" t="str">
        <f>IF(NOT(ISNUMBER($L127)),"",mQualidade.ClassificarSigma($L127))</f>
        <v/>
      </c>
      <c r="N127" s="115" t="str">
        <f t="shared" si="20"/>
        <v/>
      </c>
      <c r="O127" s="116" t="str">
        <f t="shared" si="21"/>
        <v/>
      </c>
      <c r="P127" s="117" t="str">
        <f>IF(NOT(ISNUMBER($O127)),"",mQualidade.ClassificarMargem($O127))</f>
        <v/>
      </c>
      <c r="Q127" s="117" t="str">
        <f t="shared" si="22"/>
        <v/>
      </c>
      <c r="R127" s="117" t="str">
        <f>IF($A127="","",mCEQ.StatusSDIeq($A127,eqAnoEP,IFERROR(INDEX(Analitos!$AR$4:$AR$43,MATCH($A127,Analitos!$A$4:$A$43,0)),"CAP"),eqRodada))</f>
        <v>SEM EP</v>
      </c>
      <c r="S127" s="117" t="str">
        <f>IF($A127="","",mCEQ.StatusLimitesEQ($A127,eqAnoEP,IFERROR(INDEX(Analitos!$AR$4:$AR$43,MATCH($A127,Analitos!$A$4:$A$43,0)),"CAP"),eqRodada))</f>
        <v>SEM EP</v>
      </c>
      <c r="T127" s="116" t="str">
        <f>IF($A127="","",mCEQ.BiasEQ($A127,eqAnoEP,"SIGNED",IFERROR(INDEX(Analitos!$AR$4:$AR$43,MATCH($A127,Analitos!$A$4:$A$43,0)),"CAP"),eqRodada))</f>
        <v>SEM EP</v>
      </c>
      <c r="U127" s="117" t="str">
        <f>IF(OR($P127="ETp excedido",$P127="Margem critica"),COUNTIF($P$14:$P127,"ETp excedido")+COUNTIF($P$14:$P127,"Margem critica"),"")</f>
        <v/>
      </c>
      <c r="V127" s="118" t="str">
        <f>IF(NOT(ISNUMBER($L127)),"",mPlanoQC.DPMdoSigma($L127))</f>
        <v/>
      </c>
      <c r="W127" s="119" t="str">
        <f>IF(NOT(ISNUMBER($L127)),"",mPlanoQC.RendimentoDoSigma($L127))</f>
        <v/>
      </c>
      <c r="X127" s="117" t="str">
        <f>IF(NOT(ISNUMBER($L127)),"",mPlanoQC.PlanoQC($L127,"REGRAS"))</f>
        <v/>
      </c>
      <c r="Y127" s="120" t="str">
        <f>IF(NOT(ISNUMBER($L127)),"",mPlanoQC.PlanoQC($L127,"N"))</f>
        <v/>
      </c>
      <c r="Z127" s="121" t="str">
        <f>IF(NOT(ISNUMBER($L127)),"",mPlanoQC.PlanoQC($L127,"RUNSIZE"))</f>
        <v/>
      </c>
      <c r="AA127" s="117" t="str">
        <f>IF(NOT(ISNUMBER($L127)),"",mPlanoQC.CoberturaWestgard($L127))</f>
        <v/>
      </c>
      <c r="AB127" s="117" t="str">
        <f t="shared" si="23"/>
        <v>0|3</v>
      </c>
      <c r="AC127" s="120" t="str">
        <f>IF($A127="","",mCEQ.BiasEQ($A127,eqAnoEP,"N",IFERROR(INDEX(Analitos!$AR$4:$AR$43,MATCH($A127,Analitos!$A$4:$A$43,0)),"CAP"),eqRodada))</f>
        <v>SEM EP</v>
      </c>
      <c r="AD127" s="120" t="str">
        <f>IF($A127="","",mCEQ.BiasEQ($A127,eqAnoEP,"NRODADAS",IFERROR(INDEX(Analitos!$AR$4:$AR$43,MATCH($A127,Analitos!$A$4:$A$43,0)),"CAP"),eqRodada))</f>
        <v>SEM EP</v>
      </c>
    </row>
    <row r="128" spans="1:30" x14ac:dyDescent="0.3">
      <c r="A128" s="110">
        <f>Analitos!$A$42</f>
        <v>0</v>
      </c>
      <c r="B128" s="111">
        <v>1</v>
      </c>
      <c r="C128" s="112" t="str">
        <f>IF($A128="","",IF(INDEX(engEstat,ROW()-13,3)="","",INDEX(engEstat,ROW()-13,3)))</f>
        <v/>
      </c>
      <c r="D128" s="113" t="str">
        <f>IF($A128="","",IF(INDEX(engEstat,ROW()-13,4)="","",INDEX(engEstat,ROW()-13,4)))</f>
        <v/>
      </c>
      <c r="E128" s="113" t="str">
        <f>IF($A128="","",IF(INDEX(engEstat,ROW()-13,5)="","",INDEX(engEstat,ROW()-13,5)))</f>
        <v/>
      </c>
      <c r="F128" s="114" t="str">
        <f>IF($A128="","",IF(INDEX(engEstat,ROW()-13,6)="","",INDEX(engEstat,ROW()-13,6)))</f>
        <v/>
      </c>
      <c r="G128" s="114" t="str">
        <f>IF($A128="","",mCEQ.BiasEQ($A128,eqAnoEP,"ABS",eqProvedor,eqRodada))</f>
        <v>SEM EP</v>
      </c>
      <c r="H128" s="114" t="str">
        <f t="shared" si="18"/>
        <v/>
      </c>
      <c r="I128" s="114" t="str">
        <f>IF($A128="","",IFERROR(INDEX(Analitos!$Q$4:$Q$43,MATCH($A128,Analitos!$A$4:$A$43,0)),""))</f>
        <v/>
      </c>
      <c r="J128" s="114" t="str">
        <f>IF($A128="","",IFERROR(IF($I128="VB",INDEX(Analitos!$T$4:$T$43,MATCH($A128,Analitos!$A$4:$A$43,0)),IF(INDEX(Analitos!$S$4:$S$43,MATCH($A128,Analitos!$A$4:$A$43,0))&lt;&gt;"",INDEX(Analitos!$S$4:$S$43,MATCH($A128,Analitos!$A$4:$A$43,0)),INDEX(Analitos!$T$4:$T$43,MATCH($A128,Analitos!$A$4:$A$43,0)))),""))</f>
        <v/>
      </c>
      <c r="K128" s="114" t="str">
        <f>IF($A128="","",IFERROR(INDEX(Analitos!$R$4:$R$43,MATCH($A128,Analitos!$A$4:$A$43,0)),""))</f>
        <v/>
      </c>
      <c r="L128" s="114" t="str">
        <f t="shared" si="19"/>
        <v/>
      </c>
      <c r="M128" s="114" t="str">
        <f>IF(NOT(ISNUMBER($L128)),"",mQualidade.ClassificarSigma($L128))</f>
        <v/>
      </c>
      <c r="N128" s="115" t="str">
        <f t="shared" si="20"/>
        <v/>
      </c>
      <c r="O128" s="116" t="str">
        <f t="shared" si="21"/>
        <v/>
      </c>
      <c r="P128" s="117" t="str">
        <f>IF(NOT(ISNUMBER($O128)),"",mQualidade.ClassificarMargem($O128))</f>
        <v/>
      </c>
      <c r="Q128" s="117" t="str">
        <f t="shared" si="22"/>
        <v/>
      </c>
      <c r="R128" s="117" t="str">
        <f>IF($A128="","",mCEQ.StatusSDIeq($A128,eqAnoEP,IFERROR(INDEX(Analitos!$AR$4:$AR$43,MATCH($A128,Analitos!$A$4:$A$43,0)),"CAP"),eqRodada))</f>
        <v>SEM EP</v>
      </c>
      <c r="S128" s="117" t="str">
        <f>IF($A128="","",mCEQ.StatusLimitesEQ($A128,eqAnoEP,IFERROR(INDEX(Analitos!$AR$4:$AR$43,MATCH($A128,Analitos!$A$4:$A$43,0)),"CAP"),eqRodada))</f>
        <v>SEM EP</v>
      </c>
      <c r="T128" s="116" t="str">
        <f>IF($A128="","",mCEQ.BiasEQ($A128,eqAnoEP,"SIGNED",IFERROR(INDEX(Analitos!$AR$4:$AR$43,MATCH($A128,Analitos!$A$4:$A$43,0)),"CAP"),eqRodada))</f>
        <v>SEM EP</v>
      </c>
      <c r="U128" s="117" t="str">
        <f>IF(OR($P128="ETp excedido",$P128="Margem critica"),COUNTIF($P$14:$P128,"ETp excedido")+COUNTIF($P$14:$P128,"Margem critica"),"")</f>
        <v/>
      </c>
      <c r="V128" s="118" t="str">
        <f>IF(NOT(ISNUMBER($L128)),"",mPlanoQC.DPMdoSigma($L128))</f>
        <v/>
      </c>
      <c r="W128" s="119" t="str">
        <f>IF(NOT(ISNUMBER($L128)),"",mPlanoQC.RendimentoDoSigma($L128))</f>
        <v/>
      </c>
      <c r="X128" s="117" t="str">
        <f>IF(NOT(ISNUMBER($L128)),"",mPlanoQC.PlanoQC($L128,"REGRAS"))</f>
        <v/>
      </c>
      <c r="Y128" s="120" t="str">
        <f>IF(NOT(ISNUMBER($L128)),"",mPlanoQC.PlanoQC($L128,"N"))</f>
        <v/>
      </c>
      <c r="Z128" s="121" t="str">
        <f>IF(NOT(ISNUMBER($L128)),"",mPlanoQC.PlanoQC($L128,"RUNSIZE"))</f>
        <v/>
      </c>
      <c r="AA128" s="117" t="str">
        <f>IF(NOT(ISNUMBER($L128)),"",mPlanoQC.CoberturaWestgard($L128))</f>
        <v/>
      </c>
      <c r="AB128" s="117" t="str">
        <f t="shared" si="23"/>
        <v>0|1</v>
      </c>
      <c r="AC128" s="120" t="str">
        <f>IF($A128="","",mCEQ.BiasEQ($A128,eqAnoEP,"N",IFERROR(INDEX(Analitos!$AR$4:$AR$43,MATCH($A128,Analitos!$A$4:$A$43,0)),"CAP"),eqRodada))</f>
        <v>SEM EP</v>
      </c>
      <c r="AD128" s="120" t="str">
        <f>IF($A128="","",mCEQ.BiasEQ($A128,eqAnoEP,"NRODADAS",IFERROR(INDEX(Analitos!$AR$4:$AR$43,MATCH($A128,Analitos!$A$4:$A$43,0)),"CAP"),eqRodada))</f>
        <v>SEM EP</v>
      </c>
    </row>
    <row r="129" spans="1:30" ht="32.1" customHeight="1" x14ac:dyDescent="0.3">
      <c r="A129" s="110">
        <f>Analitos!$A$42</f>
        <v>0</v>
      </c>
      <c r="B129" s="111">
        <v>2</v>
      </c>
      <c r="C129" s="112" t="str">
        <f>IF($A129="","",IF(INDEX(engEstat,ROW()-13,3)="","",INDEX(engEstat,ROW()-13,3)))</f>
        <v/>
      </c>
      <c r="D129" s="113" t="str">
        <f>IF($A129="","",IF(INDEX(engEstat,ROW()-13,4)="","",INDEX(engEstat,ROW()-13,4)))</f>
        <v/>
      </c>
      <c r="E129" s="113" t="str">
        <f>IF($A129="","",IF(INDEX(engEstat,ROW()-13,5)="","",INDEX(engEstat,ROW()-13,5)))</f>
        <v/>
      </c>
      <c r="F129" s="114" t="str">
        <f>IF($A129="","",IF(INDEX(engEstat,ROW()-13,6)="","",INDEX(engEstat,ROW()-13,6)))</f>
        <v/>
      </c>
      <c r="G129" s="114" t="str">
        <f>IF($A129="","",mCEQ.BiasEQ($A129,eqAnoEP,"ABS",eqProvedor,eqRodada))</f>
        <v>SEM EP</v>
      </c>
      <c r="H129" s="114" t="str">
        <f t="shared" si="18"/>
        <v/>
      </c>
      <c r="I129" s="114" t="str">
        <f>IF($A129="","",IFERROR(INDEX(Analitos!$Q$4:$Q$43,MATCH($A129,Analitos!$A$4:$A$43,0)),""))</f>
        <v/>
      </c>
      <c r="J129" s="114" t="str">
        <f>IF($A129="","",IFERROR(IF($I129="VB",INDEX(Analitos!$T$4:$T$43,MATCH($A129,Analitos!$A$4:$A$43,0)),IF(INDEX(Analitos!$S$4:$S$43,MATCH($A129,Analitos!$A$4:$A$43,0))&lt;&gt;"",INDEX(Analitos!$S$4:$S$43,MATCH($A129,Analitos!$A$4:$A$43,0)),INDEX(Analitos!$T$4:$T$43,MATCH($A129,Analitos!$A$4:$A$43,0)))),""))</f>
        <v/>
      </c>
      <c r="K129" s="114" t="str">
        <f>IF($A129="","",IFERROR(INDEX(Analitos!$R$4:$R$43,MATCH($A129,Analitos!$A$4:$A$43,0)),""))</f>
        <v/>
      </c>
      <c r="L129" s="114" t="str">
        <f t="shared" si="19"/>
        <v/>
      </c>
      <c r="M129" s="114" t="str">
        <f>IF(NOT(ISNUMBER($L129)),"",mQualidade.ClassificarSigma($L129))</f>
        <v/>
      </c>
      <c r="N129" s="115" t="str">
        <f t="shared" si="20"/>
        <v/>
      </c>
      <c r="O129" s="116" t="str">
        <f t="shared" si="21"/>
        <v/>
      </c>
      <c r="P129" s="117" t="str">
        <f>IF(NOT(ISNUMBER($O129)),"",mQualidade.ClassificarMargem($O129))</f>
        <v/>
      </c>
      <c r="Q129" s="117" t="str">
        <f t="shared" si="22"/>
        <v/>
      </c>
      <c r="R129" s="117" t="str">
        <f>IF($A129="","",mCEQ.StatusSDIeq($A129,eqAnoEP,IFERROR(INDEX(Analitos!$AR$4:$AR$43,MATCH($A129,Analitos!$A$4:$A$43,0)),"CAP"),eqRodada))</f>
        <v>SEM EP</v>
      </c>
      <c r="S129" s="117" t="str">
        <f>IF($A129="","",mCEQ.StatusLimitesEQ($A129,eqAnoEP,IFERROR(INDEX(Analitos!$AR$4:$AR$43,MATCH($A129,Analitos!$A$4:$A$43,0)),"CAP"),eqRodada))</f>
        <v>SEM EP</v>
      </c>
      <c r="T129" s="116" t="str">
        <f>IF($A129="","",mCEQ.BiasEQ($A129,eqAnoEP,"SIGNED",IFERROR(INDEX(Analitos!$AR$4:$AR$43,MATCH($A129,Analitos!$A$4:$A$43,0)),"CAP"),eqRodada))</f>
        <v>SEM EP</v>
      </c>
      <c r="U129" s="117" t="str">
        <f>IF(OR($P129="ETp excedido",$P129="Margem critica"),COUNTIF($P$14:$P129,"ETp excedido")+COUNTIF($P$14:$P129,"Margem critica"),"")</f>
        <v/>
      </c>
      <c r="V129" s="118" t="str">
        <f>IF(NOT(ISNUMBER($L129)),"",mPlanoQC.DPMdoSigma($L129))</f>
        <v/>
      </c>
      <c r="W129" s="119" t="str">
        <f>IF(NOT(ISNUMBER($L129)),"",mPlanoQC.RendimentoDoSigma($L129))</f>
        <v/>
      </c>
      <c r="X129" s="117" t="str">
        <f>IF(NOT(ISNUMBER($L129)),"",mPlanoQC.PlanoQC($L129,"REGRAS"))</f>
        <v/>
      </c>
      <c r="Y129" s="120" t="str">
        <f>IF(NOT(ISNUMBER($L129)),"",mPlanoQC.PlanoQC($L129,"N"))</f>
        <v/>
      </c>
      <c r="Z129" s="121" t="str">
        <f>IF(NOT(ISNUMBER($L129)),"",mPlanoQC.PlanoQC($L129,"RUNSIZE"))</f>
        <v/>
      </c>
      <c r="AA129" s="117" t="str">
        <f>IF(NOT(ISNUMBER($L129)),"",mPlanoQC.CoberturaWestgard($L129))</f>
        <v/>
      </c>
      <c r="AB129" s="117" t="str">
        <f t="shared" si="23"/>
        <v>0|2</v>
      </c>
      <c r="AC129" s="120" t="str">
        <f>IF($A129="","",mCEQ.BiasEQ($A129,eqAnoEP,"N",IFERROR(INDEX(Analitos!$AR$4:$AR$43,MATCH($A129,Analitos!$A$4:$A$43,0)),"CAP"),eqRodada))</f>
        <v>SEM EP</v>
      </c>
      <c r="AD129" s="120" t="str">
        <f>IF($A129="","",mCEQ.BiasEQ($A129,eqAnoEP,"NRODADAS",IFERROR(INDEX(Analitos!$AR$4:$AR$43,MATCH($A129,Analitos!$A$4:$A$43,0)),"CAP"),eqRodada))</f>
        <v>SEM EP</v>
      </c>
    </row>
    <row r="130" spans="1:30" x14ac:dyDescent="0.3">
      <c r="A130" s="110">
        <f>Analitos!$A$42</f>
        <v>0</v>
      </c>
      <c r="B130" s="111">
        <v>3</v>
      </c>
      <c r="C130" s="112" t="str">
        <f>IF($A130="","",IF(INDEX(engEstat,ROW()-13,3)="","",INDEX(engEstat,ROW()-13,3)))</f>
        <v/>
      </c>
      <c r="D130" s="113" t="str">
        <f>IF($A130="","",IF(INDEX(engEstat,ROW()-13,4)="","",INDEX(engEstat,ROW()-13,4)))</f>
        <v/>
      </c>
      <c r="E130" s="113" t="str">
        <f>IF($A130="","",IF(INDEX(engEstat,ROW()-13,5)="","",INDEX(engEstat,ROW()-13,5)))</f>
        <v/>
      </c>
      <c r="F130" s="114" t="str">
        <f>IF($A130="","",IF(INDEX(engEstat,ROW()-13,6)="","",INDEX(engEstat,ROW()-13,6)))</f>
        <v/>
      </c>
      <c r="G130" s="114" t="str">
        <f>IF($A130="","",mCEQ.BiasEQ($A130,eqAnoEP,"ABS",eqProvedor,eqRodada))</f>
        <v>SEM EP</v>
      </c>
      <c r="H130" s="114" t="str">
        <f t="shared" si="18"/>
        <v/>
      </c>
      <c r="I130" s="114" t="str">
        <f>IF($A130="","",IFERROR(INDEX(Analitos!$Q$4:$Q$43,MATCH($A130,Analitos!$A$4:$A$43,0)),""))</f>
        <v/>
      </c>
      <c r="J130" s="114" t="str">
        <f>IF($A130="","",IFERROR(IF($I130="VB",INDEX(Analitos!$T$4:$T$43,MATCH($A130,Analitos!$A$4:$A$43,0)),IF(INDEX(Analitos!$S$4:$S$43,MATCH($A130,Analitos!$A$4:$A$43,0))&lt;&gt;"",INDEX(Analitos!$S$4:$S$43,MATCH($A130,Analitos!$A$4:$A$43,0)),INDEX(Analitos!$T$4:$T$43,MATCH($A130,Analitos!$A$4:$A$43,0)))),""))</f>
        <v/>
      </c>
      <c r="K130" s="114" t="str">
        <f>IF($A130="","",IFERROR(INDEX(Analitos!$R$4:$R$43,MATCH($A130,Analitos!$A$4:$A$43,0)),""))</f>
        <v/>
      </c>
      <c r="L130" s="114" t="str">
        <f t="shared" si="19"/>
        <v/>
      </c>
      <c r="M130" s="114" t="str">
        <f>IF(NOT(ISNUMBER($L130)),"",mQualidade.ClassificarSigma($L130))</f>
        <v/>
      </c>
      <c r="N130" s="115" t="str">
        <f t="shared" si="20"/>
        <v/>
      </c>
      <c r="O130" s="116" t="str">
        <f t="shared" si="21"/>
        <v/>
      </c>
      <c r="P130" s="117" t="str">
        <f>IF(NOT(ISNUMBER($O130)),"",mQualidade.ClassificarMargem($O130))</f>
        <v/>
      </c>
      <c r="Q130" s="117" t="str">
        <f t="shared" si="22"/>
        <v/>
      </c>
      <c r="R130" s="117" t="str">
        <f>IF($A130="","",mCEQ.StatusSDIeq($A130,eqAnoEP,IFERROR(INDEX(Analitos!$AR$4:$AR$43,MATCH($A130,Analitos!$A$4:$A$43,0)),"CAP"),eqRodada))</f>
        <v>SEM EP</v>
      </c>
      <c r="S130" s="117" t="str">
        <f>IF($A130="","",mCEQ.StatusLimitesEQ($A130,eqAnoEP,IFERROR(INDEX(Analitos!$AR$4:$AR$43,MATCH($A130,Analitos!$A$4:$A$43,0)),"CAP"),eqRodada))</f>
        <v>SEM EP</v>
      </c>
      <c r="T130" s="116" t="str">
        <f>IF($A130="","",mCEQ.BiasEQ($A130,eqAnoEP,"SIGNED",IFERROR(INDEX(Analitos!$AR$4:$AR$43,MATCH($A130,Analitos!$A$4:$A$43,0)),"CAP"),eqRodada))</f>
        <v>SEM EP</v>
      </c>
      <c r="U130" s="117" t="str">
        <f>IF(OR($P130="ETp excedido",$P130="Margem critica"),COUNTIF($P$14:$P130,"ETp excedido")+COUNTIF($P$14:$P130,"Margem critica"),"")</f>
        <v/>
      </c>
      <c r="V130" s="118" t="str">
        <f>IF(NOT(ISNUMBER($L130)),"",mPlanoQC.DPMdoSigma($L130))</f>
        <v/>
      </c>
      <c r="W130" s="119" t="str">
        <f>IF(NOT(ISNUMBER($L130)),"",mPlanoQC.RendimentoDoSigma($L130))</f>
        <v/>
      </c>
      <c r="X130" s="117" t="str">
        <f>IF(NOT(ISNUMBER($L130)),"",mPlanoQC.PlanoQC($L130,"REGRAS"))</f>
        <v/>
      </c>
      <c r="Y130" s="120" t="str">
        <f>IF(NOT(ISNUMBER($L130)),"",mPlanoQC.PlanoQC($L130,"N"))</f>
        <v/>
      </c>
      <c r="Z130" s="121" t="str">
        <f>IF(NOT(ISNUMBER($L130)),"",mPlanoQC.PlanoQC($L130,"RUNSIZE"))</f>
        <v/>
      </c>
      <c r="AA130" s="117" t="str">
        <f>IF(NOT(ISNUMBER($L130)),"",mPlanoQC.CoberturaWestgard($L130))</f>
        <v/>
      </c>
      <c r="AB130" s="117" t="str">
        <f t="shared" si="23"/>
        <v>0|3</v>
      </c>
      <c r="AC130" s="120" t="str">
        <f>IF($A130="","",mCEQ.BiasEQ($A130,eqAnoEP,"N",IFERROR(INDEX(Analitos!$AR$4:$AR$43,MATCH($A130,Analitos!$A$4:$A$43,0)),"CAP"),eqRodada))</f>
        <v>SEM EP</v>
      </c>
      <c r="AD130" s="120" t="str">
        <f>IF($A130="","",mCEQ.BiasEQ($A130,eqAnoEP,"NRODADAS",IFERROR(INDEX(Analitos!$AR$4:$AR$43,MATCH($A130,Analitos!$A$4:$A$43,0)),"CAP"),eqRodada))</f>
        <v>SEM EP</v>
      </c>
    </row>
    <row r="131" spans="1:30" x14ac:dyDescent="0.3">
      <c r="A131" s="110">
        <f>Analitos!$A$43</f>
        <v>0</v>
      </c>
      <c r="B131" s="111">
        <v>1</v>
      </c>
      <c r="C131" s="112" t="str">
        <f>IF($A131="","",IF(INDEX(engEstat,ROW()-13,3)="","",INDEX(engEstat,ROW()-13,3)))</f>
        <v/>
      </c>
      <c r="D131" s="113" t="str">
        <f>IF($A131="","",IF(INDEX(engEstat,ROW()-13,4)="","",INDEX(engEstat,ROW()-13,4)))</f>
        <v/>
      </c>
      <c r="E131" s="113" t="str">
        <f>IF($A131="","",IF(INDEX(engEstat,ROW()-13,5)="","",INDEX(engEstat,ROW()-13,5)))</f>
        <v/>
      </c>
      <c r="F131" s="114" t="str">
        <f>IF($A131="","",IF(INDEX(engEstat,ROW()-13,6)="","",INDEX(engEstat,ROW()-13,6)))</f>
        <v/>
      </c>
      <c r="G131" s="114" t="str">
        <f>IF($A131="","",mCEQ.BiasEQ($A131,eqAnoEP,"ABS",eqProvedor,eqRodada))</f>
        <v>SEM EP</v>
      </c>
      <c r="H131" s="114" t="str">
        <f t="shared" si="18"/>
        <v/>
      </c>
      <c r="I131" s="114" t="str">
        <f>IF($A131="","",IFERROR(INDEX(Analitos!$Q$4:$Q$43,MATCH($A131,Analitos!$A$4:$A$43,0)),""))</f>
        <v/>
      </c>
      <c r="J131" s="114" t="str">
        <f>IF($A131="","",IFERROR(IF($I131="VB",INDEX(Analitos!$T$4:$T$43,MATCH($A131,Analitos!$A$4:$A$43,0)),IF(INDEX(Analitos!$S$4:$S$43,MATCH($A131,Analitos!$A$4:$A$43,0))&lt;&gt;"",INDEX(Analitos!$S$4:$S$43,MATCH($A131,Analitos!$A$4:$A$43,0)),INDEX(Analitos!$T$4:$T$43,MATCH($A131,Analitos!$A$4:$A$43,0)))),""))</f>
        <v/>
      </c>
      <c r="K131" s="114" t="str">
        <f>IF($A131="","",IFERROR(INDEX(Analitos!$R$4:$R$43,MATCH($A131,Analitos!$A$4:$A$43,0)),""))</f>
        <v/>
      </c>
      <c r="L131" s="114" t="str">
        <f t="shared" si="19"/>
        <v/>
      </c>
      <c r="M131" s="114" t="str">
        <f>IF(NOT(ISNUMBER($L131)),"",mQualidade.ClassificarSigma($L131))</f>
        <v/>
      </c>
      <c r="N131" s="115" t="str">
        <f t="shared" si="20"/>
        <v/>
      </c>
      <c r="O131" s="116" t="str">
        <f t="shared" si="21"/>
        <v/>
      </c>
      <c r="P131" s="117" t="str">
        <f>IF(NOT(ISNUMBER($O131)),"",mQualidade.ClassificarMargem($O131))</f>
        <v/>
      </c>
      <c r="Q131" s="117" t="str">
        <f t="shared" si="22"/>
        <v/>
      </c>
      <c r="R131" s="117" t="str">
        <f>IF($A131="","",mCEQ.StatusSDIeq($A131,eqAnoEP,IFERROR(INDEX(Analitos!$AR$4:$AR$43,MATCH($A131,Analitos!$A$4:$A$43,0)),"CAP"),eqRodada))</f>
        <v>SEM EP</v>
      </c>
      <c r="S131" s="117" t="str">
        <f>IF($A131="","",mCEQ.StatusLimitesEQ($A131,eqAnoEP,IFERROR(INDEX(Analitos!$AR$4:$AR$43,MATCH($A131,Analitos!$A$4:$A$43,0)),"CAP"),eqRodada))</f>
        <v>SEM EP</v>
      </c>
      <c r="T131" s="116" t="str">
        <f>IF($A131="","",mCEQ.BiasEQ($A131,eqAnoEP,"SIGNED",IFERROR(INDEX(Analitos!$AR$4:$AR$43,MATCH($A131,Analitos!$A$4:$A$43,0)),"CAP"),eqRodada))</f>
        <v>SEM EP</v>
      </c>
      <c r="U131" s="117" t="str">
        <f>IF(OR($P131="ETp excedido",$P131="Margem critica"),COUNTIF($P$14:$P131,"ETp excedido")+COUNTIF($P$14:$P131,"Margem critica"),"")</f>
        <v/>
      </c>
      <c r="V131" s="118" t="str">
        <f>IF(NOT(ISNUMBER($L131)),"",mPlanoQC.DPMdoSigma($L131))</f>
        <v/>
      </c>
      <c r="W131" s="119" t="str">
        <f>IF(NOT(ISNUMBER($L131)),"",mPlanoQC.RendimentoDoSigma($L131))</f>
        <v/>
      </c>
      <c r="X131" s="117" t="str">
        <f>IF(NOT(ISNUMBER($L131)),"",mPlanoQC.PlanoQC($L131,"REGRAS"))</f>
        <v/>
      </c>
      <c r="Y131" s="120" t="str">
        <f>IF(NOT(ISNUMBER($L131)),"",mPlanoQC.PlanoQC($L131,"N"))</f>
        <v/>
      </c>
      <c r="Z131" s="121" t="str">
        <f>IF(NOT(ISNUMBER($L131)),"",mPlanoQC.PlanoQC($L131,"RUNSIZE"))</f>
        <v/>
      </c>
      <c r="AA131" s="117" t="str">
        <f>IF(NOT(ISNUMBER($L131)),"",mPlanoQC.CoberturaWestgard($L131))</f>
        <v/>
      </c>
      <c r="AB131" s="117" t="str">
        <f t="shared" si="23"/>
        <v>0|1</v>
      </c>
      <c r="AC131" s="120" t="str">
        <f>IF($A131="","",mCEQ.BiasEQ($A131,eqAnoEP,"N",IFERROR(INDEX(Analitos!$AR$4:$AR$43,MATCH($A131,Analitos!$A$4:$A$43,0)),"CAP"),eqRodada))</f>
        <v>SEM EP</v>
      </c>
      <c r="AD131" s="120" t="str">
        <f>IF($A131="","",mCEQ.BiasEQ($A131,eqAnoEP,"NRODADAS",IFERROR(INDEX(Analitos!$AR$4:$AR$43,MATCH($A131,Analitos!$A$4:$A$43,0)),"CAP"),eqRodada))</f>
        <v>SEM EP</v>
      </c>
    </row>
    <row r="132" spans="1:30" x14ac:dyDescent="0.3">
      <c r="A132" s="110">
        <f>Analitos!$A$43</f>
        <v>0</v>
      </c>
      <c r="B132" s="111">
        <v>2</v>
      </c>
      <c r="C132" s="112" t="str">
        <f>IF($A132="","",IF(INDEX(engEstat,ROW()-13,3)="","",INDEX(engEstat,ROW()-13,3)))</f>
        <v/>
      </c>
      <c r="D132" s="113" t="str">
        <f>IF($A132="","",IF(INDEX(engEstat,ROW()-13,4)="","",INDEX(engEstat,ROW()-13,4)))</f>
        <v/>
      </c>
      <c r="E132" s="113" t="str">
        <f>IF($A132="","",IF(INDEX(engEstat,ROW()-13,5)="","",INDEX(engEstat,ROW()-13,5)))</f>
        <v/>
      </c>
      <c r="F132" s="114" t="str">
        <f>IF($A132="","",IF(INDEX(engEstat,ROW()-13,6)="","",INDEX(engEstat,ROW()-13,6)))</f>
        <v/>
      </c>
      <c r="G132" s="114" t="str">
        <f>IF($A132="","",mCEQ.BiasEQ($A132,eqAnoEP,"ABS",eqProvedor,eqRodada))</f>
        <v>SEM EP</v>
      </c>
      <c r="H132" s="114" t="str">
        <f t="shared" si="18"/>
        <v/>
      </c>
      <c r="I132" s="114" t="str">
        <f>IF($A132="","",IFERROR(INDEX(Analitos!$Q$4:$Q$43,MATCH($A132,Analitos!$A$4:$A$43,0)),""))</f>
        <v/>
      </c>
      <c r="J132" s="114" t="str">
        <f>IF($A132="","",IFERROR(IF($I132="VB",INDEX(Analitos!$T$4:$T$43,MATCH($A132,Analitos!$A$4:$A$43,0)),IF(INDEX(Analitos!$S$4:$S$43,MATCH($A132,Analitos!$A$4:$A$43,0))&lt;&gt;"",INDEX(Analitos!$S$4:$S$43,MATCH($A132,Analitos!$A$4:$A$43,0)),INDEX(Analitos!$T$4:$T$43,MATCH($A132,Analitos!$A$4:$A$43,0)))),""))</f>
        <v/>
      </c>
      <c r="K132" s="114" t="str">
        <f>IF($A132="","",IFERROR(INDEX(Analitos!$R$4:$R$43,MATCH($A132,Analitos!$A$4:$A$43,0)),""))</f>
        <v/>
      </c>
      <c r="L132" s="114" t="str">
        <f t="shared" si="19"/>
        <v/>
      </c>
      <c r="M132" s="114" t="str">
        <f>IF(NOT(ISNUMBER($L132)),"",mQualidade.ClassificarSigma($L132))</f>
        <v/>
      </c>
      <c r="N132" s="115" t="str">
        <f t="shared" si="20"/>
        <v/>
      </c>
      <c r="O132" s="116" t="str">
        <f t="shared" si="21"/>
        <v/>
      </c>
      <c r="P132" s="117" t="str">
        <f>IF(NOT(ISNUMBER($O132)),"",mQualidade.ClassificarMargem($O132))</f>
        <v/>
      </c>
      <c r="Q132" s="117" t="str">
        <f t="shared" si="22"/>
        <v/>
      </c>
      <c r="R132" s="117" t="str">
        <f>IF($A132="","",mCEQ.StatusSDIeq($A132,eqAnoEP,IFERROR(INDEX(Analitos!$AR$4:$AR$43,MATCH($A132,Analitos!$A$4:$A$43,0)),"CAP"),eqRodada))</f>
        <v>SEM EP</v>
      </c>
      <c r="S132" s="117" t="str">
        <f>IF($A132="","",mCEQ.StatusLimitesEQ($A132,eqAnoEP,IFERROR(INDEX(Analitos!$AR$4:$AR$43,MATCH($A132,Analitos!$A$4:$A$43,0)),"CAP"),eqRodada))</f>
        <v>SEM EP</v>
      </c>
      <c r="T132" s="116" t="str">
        <f>IF($A132="","",mCEQ.BiasEQ($A132,eqAnoEP,"SIGNED",IFERROR(INDEX(Analitos!$AR$4:$AR$43,MATCH($A132,Analitos!$A$4:$A$43,0)),"CAP"),eqRodada))</f>
        <v>SEM EP</v>
      </c>
      <c r="U132" s="117" t="str">
        <f>IF(OR($P132="ETp excedido",$P132="Margem critica"),COUNTIF($P$14:$P132,"ETp excedido")+COUNTIF($P$14:$P132,"Margem critica"),"")</f>
        <v/>
      </c>
      <c r="V132" s="118" t="str">
        <f>IF(NOT(ISNUMBER($L132)),"",mPlanoQC.DPMdoSigma($L132))</f>
        <v/>
      </c>
      <c r="W132" s="119" t="str">
        <f>IF(NOT(ISNUMBER($L132)),"",mPlanoQC.RendimentoDoSigma($L132))</f>
        <v/>
      </c>
      <c r="X132" s="117" t="str">
        <f>IF(NOT(ISNUMBER($L132)),"",mPlanoQC.PlanoQC($L132,"REGRAS"))</f>
        <v/>
      </c>
      <c r="Y132" s="120" t="str">
        <f>IF(NOT(ISNUMBER($L132)),"",mPlanoQC.PlanoQC($L132,"N"))</f>
        <v/>
      </c>
      <c r="Z132" s="121" t="str">
        <f>IF(NOT(ISNUMBER($L132)),"",mPlanoQC.PlanoQC($L132,"RUNSIZE"))</f>
        <v/>
      </c>
      <c r="AA132" s="117" t="str">
        <f>IF(NOT(ISNUMBER($L132)),"",mPlanoQC.CoberturaWestgard($L132))</f>
        <v/>
      </c>
      <c r="AB132" s="117" t="str">
        <f t="shared" si="23"/>
        <v>0|2</v>
      </c>
      <c r="AC132" s="120" t="str">
        <f>IF($A132="","",mCEQ.BiasEQ($A132,eqAnoEP,"N",IFERROR(INDEX(Analitos!$AR$4:$AR$43,MATCH($A132,Analitos!$A$4:$A$43,0)),"CAP"),eqRodada))</f>
        <v>SEM EP</v>
      </c>
      <c r="AD132" s="120" t="str">
        <f>IF($A132="","",mCEQ.BiasEQ($A132,eqAnoEP,"NRODADAS",IFERROR(INDEX(Analitos!$AR$4:$AR$43,MATCH($A132,Analitos!$A$4:$A$43,0)),"CAP"),eqRodada))</f>
        <v>SEM EP</v>
      </c>
    </row>
    <row r="133" spans="1:30" x14ac:dyDescent="0.3">
      <c r="A133" s="110">
        <f>Analitos!$A$43</f>
        <v>0</v>
      </c>
      <c r="B133" s="111">
        <v>3</v>
      </c>
      <c r="C133" s="112" t="str">
        <f>IF($A133="","",IF(INDEX(engEstat,ROW()-13,3)="","",INDEX(engEstat,ROW()-13,3)))</f>
        <v/>
      </c>
      <c r="D133" s="113" t="str">
        <f>IF($A133="","",IF(INDEX(engEstat,ROW()-13,4)="","",INDEX(engEstat,ROW()-13,4)))</f>
        <v/>
      </c>
      <c r="E133" s="113" t="str">
        <f>IF($A133="","",IF(INDEX(engEstat,ROW()-13,5)="","",INDEX(engEstat,ROW()-13,5)))</f>
        <v/>
      </c>
      <c r="F133" s="114" t="str">
        <f>IF($A133="","",IF(INDEX(engEstat,ROW()-13,6)="","",INDEX(engEstat,ROW()-13,6)))</f>
        <v/>
      </c>
      <c r="G133" s="114" t="str">
        <f>IF($A133="","",mCEQ.BiasEQ($A133,eqAnoEP,"ABS",eqProvedor,eqRodada))</f>
        <v>SEM EP</v>
      </c>
      <c r="H133" s="114" t="str">
        <f t="shared" si="18"/>
        <v/>
      </c>
      <c r="I133" s="114" t="str">
        <f>IF($A133="","",IFERROR(INDEX(Analitos!$Q$4:$Q$43,MATCH($A133,Analitos!$A$4:$A$43,0)),""))</f>
        <v/>
      </c>
      <c r="J133" s="114" t="str">
        <f>IF($A133="","",IFERROR(IF($I133="VB",INDEX(Analitos!$T$4:$T$43,MATCH($A133,Analitos!$A$4:$A$43,0)),IF(INDEX(Analitos!$S$4:$S$43,MATCH($A133,Analitos!$A$4:$A$43,0))&lt;&gt;"",INDEX(Analitos!$S$4:$S$43,MATCH($A133,Analitos!$A$4:$A$43,0)),INDEX(Analitos!$T$4:$T$43,MATCH($A133,Analitos!$A$4:$A$43,0)))),""))</f>
        <v/>
      </c>
      <c r="K133" s="114" t="str">
        <f>IF($A133="","",IFERROR(INDEX(Analitos!$R$4:$R$43,MATCH($A133,Analitos!$A$4:$A$43,0)),""))</f>
        <v/>
      </c>
      <c r="L133" s="114" t="str">
        <f t="shared" si="19"/>
        <v/>
      </c>
      <c r="M133" s="114" t="str">
        <f>IF(NOT(ISNUMBER($L133)),"",mQualidade.ClassificarSigma($L133))</f>
        <v/>
      </c>
      <c r="N133" s="115" t="str">
        <f t="shared" si="20"/>
        <v/>
      </c>
      <c r="O133" s="116" t="str">
        <f t="shared" si="21"/>
        <v/>
      </c>
      <c r="P133" s="117" t="str">
        <f>IF(NOT(ISNUMBER($O133)),"",mQualidade.ClassificarMargem($O133))</f>
        <v/>
      </c>
      <c r="Q133" s="117" t="str">
        <f t="shared" si="22"/>
        <v/>
      </c>
      <c r="R133" s="117" t="str">
        <f>IF($A133="","",mCEQ.StatusSDIeq($A133,eqAnoEP,IFERROR(INDEX(Analitos!$AR$4:$AR$43,MATCH($A133,Analitos!$A$4:$A$43,0)),"CAP"),eqRodada))</f>
        <v>SEM EP</v>
      </c>
      <c r="S133" s="117" t="str">
        <f>IF($A133="","",mCEQ.StatusLimitesEQ($A133,eqAnoEP,IFERROR(INDEX(Analitos!$AR$4:$AR$43,MATCH($A133,Analitos!$A$4:$A$43,0)),"CAP"),eqRodada))</f>
        <v>SEM EP</v>
      </c>
      <c r="T133" s="116" t="str">
        <f>IF($A133="","",mCEQ.BiasEQ($A133,eqAnoEP,"SIGNED",IFERROR(INDEX(Analitos!$AR$4:$AR$43,MATCH($A133,Analitos!$A$4:$A$43,0)),"CAP"),eqRodada))</f>
        <v>SEM EP</v>
      </c>
      <c r="U133" s="117" t="str">
        <f>IF(OR($P133="ETp excedido",$P133="Margem critica"),COUNTIF($P$14:$P133,"ETp excedido")+COUNTIF($P$14:$P133,"Margem critica"),"")</f>
        <v/>
      </c>
      <c r="V133" s="118" t="str">
        <f>IF(NOT(ISNUMBER($L133)),"",mPlanoQC.DPMdoSigma($L133))</f>
        <v/>
      </c>
      <c r="W133" s="119" t="str">
        <f>IF(NOT(ISNUMBER($L133)),"",mPlanoQC.RendimentoDoSigma($L133))</f>
        <v/>
      </c>
      <c r="X133" s="117" t="str">
        <f>IF(NOT(ISNUMBER($L133)),"",mPlanoQC.PlanoQC($L133,"REGRAS"))</f>
        <v/>
      </c>
      <c r="Y133" s="120" t="str">
        <f>IF(NOT(ISNUMBER($L133)),"",mPlanoQC.PlanoQC($L133,"N"))</f>
        <v/>
      </c>
      <c r="Z133" s="121" t="str">
        <f>IF(NOT(ISNUMBER($L133)),"",mPlanoQC.PlanoQC($L133,"RUNSIZE"))</f>
        <v/>
      </c>
      <c r="AA133" s="117" t="str">
        <f>IF(NOT(ISNUMBER($L133)),"",mPlanoQC.CoberturaWestgard($L133))</f>
        <v/>
      </c>
      <c r="AB133" s="117" t="str">
        <f t="shared" si="23"/>
        <v>0|3</v>
      </c>
      <c r="AC133" s="120" t="str">
        <f>IF($A133="","",mCEQ.BiasEQ($A133,eqAnoEP,"N",IFERROR(INDEX(Analitos!$AR$4:$AR$43,MATCH($A133,Analitos!$A$4:$A$43,0)),"CAP"),eqRodada))</f>
        <v>SEM EP</v>
      </c>
      <c r="AD133" s="120" t="str">
        <f>IF($A133="","",mCEQ.BiasEQ($A133,eqAnoEP,"NRODADAS",IFERROR(INDEX(Analitos!$AR$4:$AR$43,MATCH($A133,Analitos!$A$4:$A$43,0)),"CAP"),eqRodada))</f>
        <v>SEM EP</v>
      </c>
    </row>
  </sheetData>
  <sheetProtection algorithmName="SHA-512" hashValue="JIYAISGqzr+Od/NfKXToBOeMy7sAe+OByDDWH9QvkEBuyb+DbW7Hadfk8rl+XqehZPBjVVU+8IUD/K/1TE4ROQ==" saltValue="fpa4s3OrEYPJrodv7TE6ew==" spinCount="100000" sheet="1" scenarios="1"/>
  <mergeCells count="4">
    <mergeCell ref="F3:M3"/>
    <mergeCell ref="F4:M4"/>
    <mergeCell ref="A2:M2"/>
    <mergeCell ref="A1:M1"/>
  </mergeCells>
  <dataValidations count="3">
    <dataValidation type="list" allowBlank="1" showInputMessage="1" showErrorMessage="1" sqref="N4" xr:uid="{F7E9D925-E818-48EB-8586-1306C9528E3E}">
      <formula1>"2025"</formula1>
    </dataValidation>
    <dataValidation type="list" allowBlank="1" showInputMessage="1" showErrorMessage="1" sqref="L4" xr:uid="{94320720-703F-4E65-9241-503D110199F6}">
      <formula1>"CAP"</formula1>
    </dataValidation>
    <dataValidation type="list" allowBlank="1" showInputMessage="1" showErrorMessage="1" sqref="P4" xr:uid="{4D336E3D-1B52-4C89-B097-6C0EE6075757}">
      <mc:AlternateContent xmlns:x12ac="http://schemas.microsoft.com/office/spreadsheetml/2011/1/ac" xmlns:mc="http://schemas.openxmlformats.org/markup-compatibility/2006">
        <mc:Choice Requires="x12ac">
          <x12ac:list>"TODAS,FH9-A 2025,FH9-B 2025,FH9-C 2025"</x12ac:list>
        </mc:Choice>
        <mc:Fallback>
          <formula1>"TODAS,FH9-A 2025,FH9-B 2025,FH9-C 2025"</formula1>
        </mc:Fallback>
      </mc:AlternateContent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69" t="s">
        <v>312</v>
      </c>
      <c r="B1" s="166"/>
      <c r="C1" s="166"/>
      <c r="D1" s="166"/>
      <c r="E1" s="166"/>
      <c r="F1" s="166"/>
      <c r="G1" s="166"/>
      <c r="H1" s="166"/>
      <c r="I1" s="166"/>
      <c r="J1" s="166"/>
      <c r="M1" s="4" t="s">
        <v>313</v>
      </c>
      <c r="N1" s="53" t="s">
        <v>322</v>
      </c>
    </row>
    <row r="2" spans="1:14" ht="19.95" customHeight="1" x14ac:dyDescent="0.3">
      <c r="A2" s="168" t="s">
        <v>314</v>
      </c>
      <c r="B2" s="166"/>
      <c r="C2" s="166"/>
      <c r="D2" s="166"/>
      <c r="E2" s="166"/>
      <c r="F2" s="166"/>
      <c r="G2" s="166"/>
      <c r="H2" s="166"/>
      <c r="I2" s="166"/>
      <c r="J2" s="166"/>
      <c r="M2" s="4" t="s">
        <v>315</v>
      </c>
      <c r="N2" s="53" t="s">
        <v>324</v>
      </c>
    </row>
    <row r="3" spans="1:14" ht="28.2" customHeight="1" x14ac:dyDescent="0.3">
      <c r="A3" s="15" t="s">
        <v>316</v>
      </c>
      <c r="B3" s="15" t="s">
        <v>317</v>
      </c>
      <c r="C3" s="15" t="s">
        <v>318</v>
      </c>
      <c r="D3" s="15" t="s">
        <v>319</v>
      </c>
      <c r="E3" s="15" t="s">
        <v>320</v>
      </c>
      <c r="G3" s="228" t="s">
        <v>321</v>
      </c>
      <c r="H3" s="166"/>
      <c r="I3" s="166"/>
      <c r="J3" s="166"/>
    </row>
    <row r="4" spans="1:14" ht="40.200000000000003" customHeight="1" x14ac:dyDescent="0.3">
      <c r="A4" s="22" t="s">
        <v>322</v>
      </c>
      <c r="B4" s="23" t="s">
        <v>323</v>
      </c>
      <c r="C4" s="37" t="s">
        <v>324</v>
      </c>
      <c r="D4" s="54" t="s">
        <v>325</v>
      </c>
      <c r="E4" s="58" t="s">
        <v>326</v>
      </c>
    </row>
    <row r="5" spans="1:14" ht="40.200000000000003" customHeight="1" x14ac:dyDescent="0.3">
      <c r="A5" s="56" t="s">
        <v>327</v>
      </c>
      <c r="B5" s="23" t="s">
        <v>328</v>
      </c>
      <c r="C5" s="57" t="s">
        <v>327</v>
      </c>
      <c r="D5" s="54" t="s">
        <v>329</v>
      </c>
      <c r="E5" s="59" t="s">
        <v>330</v>
      </c>
      <c r="G5" s="44" t="s">
        <v>316</v>
      </c>
      <c r="H5" s="61"/>
    </row>
    <row r="6" spans="1:14" ht="22.2" customHeight="1" x14ac:dyDescent="0.3">
      <c r="A6" s="46"/>
      <c r="B6" s="46"/>
      <c r="C6" s="39"/>
      <c r="D6" s="55"/>
      <c r="E6" s="60"/>
      <c r="G6" s="44" t="s">
        <v>317</v>
      </c>
      <c r="H6" s="61"/>
    </row>
    <row r="7" spans="1:14" ht="22.2" customHeight="1" x14ac:dyDescent="0.3">
      <c r="A7" s="46"/>
      <c r="B7" s="46"/>
      <c r="C7" s="39"/>
      <c r="D7" s="55"/>
      <c r="E7" s="60"/>
      <c r="G7" s="44" t="s">
        <v>331</v>
      </c>
      <c r="H7" s="62"/>
    </row>
    <row r="8" spans="1:14" ht="22.2" customHeight="1" x14ac:dyDescent="0.3">
      <c r="A8" s="46"/>
      <c r="B8" s="46"/>
      <c r="C8" s="39"/>
      <c r="D8" s="55"/>
      <c r="E8" s="60"/>
      <c r="G8" s="44" t="s">
        <v>318</v>
      </c>
      <c r="H8" s="61"/>
    </row>
    <row r="9" spans="1:14" ht="22.2" customHeight="1" x14ac:dyDescent="0.3">
      <c r="A9" s="46"/>
      <c r="B9" s="46"/>
      <c r="C9" s="39"/>
      <c r="D9" s="55"/>
      <c r="E9" s="60"/>
    </row>
    <row r="10" spans="1:14" ht="22.2" customHeight="1" x14ac:dyDescent="0.3">
      <c r="A10" s="46"/>
      <c r="B10" s="46"/>
      <c r="C10" s="39"/>
      <c r="D10" s="55"/>
      <c r="E10" s="60"/>
    </row>
    <row r="11" spans="1:14" ht="22.2" customHeight="1" x14ac:dyDescent="0.3">
      <c r="A11" s="46"/>
      <c r="B11" s="46"/>
      <c r="C11" s="39"/>
      <c r="D11" s="55"/>
      <c r="E11" s="60"/>
      <c r="G11" s="227"/>
      <c r="H11" s="166"/>
      <c r="I11" s="166"/>
      <c r="J11" s="166"/>
    </row>
    <row r="12" spans="1:14" ht="22.2" customHeight="1" x14ac:dyDescent="0.3">
      <c r="A12" s="46"/>
      <c r="B12" s="46"/>
      <c r="C12" s="39"/>
      <c r="D12" s="55"/>
      <c r="E12" s="60"/>
    </row>
    <row r="13" spans="1:14" ht="22.2" customHeight="1" x14ac:dyDescent="0.3">
      <c r="A13" s="46"/>
      <c r="B13" s="46"/>
      <c r="C13" s="39"/>
      <c r="D13" s="55"/>
      <c r="E13" s="60"/>
    </row>
    <row r="14" spans="1:14" ht="22.2" customHeight="1" x14ac:dyDescent="0.3">
      <c r="A14" s="46"/>
      <c r="B14" s="46"/>
      <c r="C14" s="39"/>
      <c r="D14" s="55"/>
      <c r="E14" s="60"/>
    </row>
    <row r="15" spans="1:14" ht="22.2" customHeight="1" x14ac:dyDescent="0.3">
      <c r="A15" s="46"/>
      <c r="B15" s="46"/>
      <c r="C15" s="39"/>
      <c r="D15" s="55"/>
      <c r="E15" s="60"/>
    </row>
    <row r="16" spans="1:14" ht="22.2" customHeight="1" x14ac:dyDescent="0.3">
      <c r="A16" s="46"/>
      <c r="B16" s="46"/>
      <c r="C16" s="39"/>
      <c r="D16" s="55"/>
      <c r="E16" s="60"/>
    </row>
    <row r="17" spans="1:5" ht="22.2" customHeight="1" x14ac:dyDescent="0.3">
      <c r="A17" s="46"/>
      <c r="B17" s="46"/>
      <c r="C17" s="39"/>
      <c r="D17" s="55"/>
      <c r="E17" s="60"/>
    </row>
    <row r="18" spans="1:5" ht="22.2" customHeight="1" x14ac:dyDescent="0.3">
      <c r="A18" s="46"/>
      <c r="B18" s="46"/>
      <c r="C18" s="39"/>
      <c r="D18" s="55"/>
      <c r="E18" s="60"/>
    </row>
    <row r="19" spans="1:5" ht="22.2" customHeight="1" x14ac:dyDescent="0.3">
      <c r="A19" s="46"/>
      <c r="B19" s="46"/>
      <c r="C19" s="39"/>
      <c r="D19" s="55"/>
      <c r="E19" s="60"/>
    </row>
    <row r="20" spans="1:5" ht="22.2" customHeight="1" x14ac:dyDescent="0.3">
      <c r="A20" s="46"/>
      <c r="B20" s="46"/>
      <c r="C20" s="39"/>
      <c r="D20" s="55"/>
      <c r="E20" s="60"/>
    </row>
    <row r="21" spans="1:5" ht="22.2" customHeight="1" x14ac:dyDescent="0.3">
      <c r="A21" s="46"/>
      <c r="B21" s="46"/>
      <c r="C21" s="39"/>
      <c r="D21" s="55"/>
      <c r="E21" s="60"/>
    </row>
    <row r="22" spans="1:5" ht="22.2" customHeight="1" x14ac:dyDescent="0.3">
      <c r="A22" s="46"/>
      <c r="B22" s="46"/>
      <c r="C22" s="39"/>
      <c r="D22" s="55"/>
      <c r="E22" s="60"/>
    </row>
    <row r="23" spans="1:5" ht="22.2" customHeight="1" x14ac:dyDescent="0.3">
      <c r="A23" s="46"/>
      <c r="B23" s="46"/>
      <c r="C23" s="39"/>
      <c r="D23" s="55"/>
      <c r="E23" s="60"/>
    </row>
    <row r="24" spans="1:5" ht="22.2" customHeight="1" x14ac:dyDescent="0.3">
      <c r="A24" s="46"/>
      <c r="B24" s="46"/>
      <c r="C24" s="39"/>
      <c r="D24" s="55"/>
      <c r="E24" s="60"/>
    </row>
    <row r="25" spans="1:5" ht="22.2" customHeight="1" x14ac:dyDescent="0.3">
      <c r="A25" s="46"/>
      <c r="B25" s="46"/>
      <c r="C25" s="39"/>
      <c r="D25" s="55"/>
      <c r="E25" s="60"/>
    </row>
    <row r="26" spans="1:5" ht="22.2" customHeight="1" x14ac:dyDescent="0.3">
      <c r="A26" s="46"/>
      <c r="B26" s="46"/>
      <c r="C26" s="39"/>
      <c r="D26" s="55"/>
      <c r="E26" s="60"/>
    </row>
    <row r="27" spans="1:5" ht="22.2" customHeight="1" x14ac:dyDescent="0.3">
      <c r="A27" s="46"/>
      <c r="B27" s="46"/>
      <c r="C27" s="39"/>
      <c r="D27" s="55"/>
      <c r="E27" s="60"/>
    </row>
    <row r="28" spans="1:5" ht="22.2" customHeight="1" x14ac:dyDescent="0.3">
      <c r="A28" s="46"/>
      <c r="B28" s="46"/>
      <c r="C28" s="39"/>
      <c r="D28" s="55"/>
      <c r="E28" s="60"/>
    </row>
    <row r="29" spans="1:5" ht="22.2" customHeight="1" x14ac:dyDescent="0.3">
      <c r="A29" s="46"/>
      <c r="B29" s="46"/>
      <c r="C29" s="39"/>
      <c r="D29" s="55"/>
      <c r="E29" s="60"/>
    </row>
    <row r="30" spans="1:5" ht="22.2" customHeight="1" x14ac:dyDescent="0.3">
      <c r="A30" s="46"/>
      <c r="B30" s="46"/>
      <c r="C30" s="39"/>
      <c r="D30" s="55"/>
      <c r="E30" s="60"/>
    </row>
    <row r="31" spans="1:5" ht="22.2" customHeight="1" x14ac:dyDescent="0.3">
      <c r="A31" s="46"/>
      <c r="B31" s="46"/>
      <c r="C31" s="39"/>
      <c r="D31" s="55"/>
      <c r="E31" s="60"/>
    </row>
    <row r="32" spans="1:5" ht="22.2" customHeight="1" x14ac:dyDescent="0.3">
      <c r="A32" s="46"/>
      <c r="B32" s="46"/>
      <c r="C32" s="39"/>
      <c r="D32" s="55"/>
      <c r="E32" s="60"/>
    </row>
    <row r="33" spans="1:5" ht="22.2" customHeight="1" x14ac:dyDescent="0.3">
      <c r="A33" s="46"/>
      <c r="B33" s="46"/>
      <c r="C33" s="39"/>
      <c r="D33" s="55"/>
      <c r="E33" s="60"/>
    </row>
    <row r="34" spans="1:5" ht="22.2" customHeight="1" x14ac:dyDescent="0.3">
      <c r="A34" s="46"/>
      <c r="B34" s="46"/>
      <c r="C34" s="39"/>
      <c r="D34" s="55"/>
      <c r="E34" s="60"/>
    </row>
    <row r="35" spans="1:5" ht="22.2" customHeight="1" x14ac:dyDescent="0.3">
      <c r="A35" s="46"/>
      <c r="B35" s="46"/>
      <c r="C35" s="39"/>
      <c r="D35" s="55"/>
      <c r="E35" s="60"/>
    </row>
    <row r="36" spans="1:5" ht="22.2" customHeight="1" x14ac:dyDescent="0.3">
      <c r="A36" s="46"/>
      <c r="B36" s="46"/>
      <c r="C36" s="39"/>
      <c r="D36" s="55"/>
      <c r="E36" s="60"/>
    </row>
    <row r="37" spans="1:5" ht="22.2" customHeight="1" x14ac:dyDescent="0.3">
      <c r="A37" s="46"/>
      <c r="B37" s="46"/>
      <c r="C37" s="39"/>
      <c r="D37" s="55"/>
      <c r="E37" s="60"/>
    </row>
    <row r="38" spans="1:5" ht="22.2" customHeight="1" x14ac:dyDescent="0.3">
      <c r="A38" s="46"/>
      <c r="B38" s="46"/>
      <c r="C38" s="39"/>
      <c r="D38" s="55"/>
      <c r="E38" s="60"/>
    </row>
    <row r="39" spans="1:5" ht="22.2" customHeight="1" x14ac:dyDescent="0.3">
      <c r="A39" s="46"/>
      <c r="B39" s="46"/>
      <c r="C39" s="39"/>
      <c r="D39" s="55"/>
      <c r="E39" s="60"/>
    </row>
    <row r="40" spans="1:5" ht="22.2" customHeight="1" x14ac:dyDescent="0.3">
      <c r="A40" s="46"/>
      <c r="B40" s="46"/>
      <c r="C40" s="39"/>
      <c r="D40" s="55"/>
      <c r="E40" s="60"/>
    </row>
    <row r="41" spans="1:5" ht="22.2" customHeight="1" x14ac:dyDescent="0.3">
      <c r="A41" s="46"/>
      <c r="B41" s="46"/>
      <c r="C41" s="39"/>
      <c r="D41" s="55"/>
      <c r="E41" s="60"/>
    </row>
    <row r="42" spans="1:5" ht="22.2" customHeight="1" x14ac:dyDescent="0.3">
      <c r="A42" s="46"/>
      <c r="B42" s="46"/>
      <c r="C42" s="39"/>
      <c r="D42" s="55"/>
      <c r="E42" s="60"/>
    </row>
    <row r="43" spans="1:5" ht="22.2" customHeight="1" x14ac:dyDescent="0.3">
      <c r="A43" s="46"/>
      <c r="B43" s="46"/>
      <c r="C43" s="39"/>
      <c r="D43" s="55"/>
      <c r="E43" s="60"/>
    </row>
    <row r="44" spans="1:5" ht="22.2" customHeight="1" x14ac:dyDescent="0.3">
      <c r="A44" s="46"/>
      <c r="B44" s="46"/>
      <c r="C44" s="39"/>
      <c r="D44" s="55"/>
      <c r="E44" s="60"/>
    </row>
    <row r="45" spans="1:5" ht="22.2" customHeight="1" x14ac:dyDescent="0.3">
      <c r="A45" s="46"/>
      <c r="B45" s="46"/>
      <c r="C45" s="39"/>
      <c r="D45" s="55"/>
      <c r="E45" s="60"/>
    </row>
    <row r="46" spans="1:5" ht="22.2" customHeight="1" x14ac:dyDescent="0.3">
      <c r="A46" s="46"/>
      <c r="B46" s="46"/>
      <c r="C46" s="39"/>
      <c r="D46" s="55"/>
      <c r="E46" s="60"/>
    </row>
    <row r="47" spans="1:5" ht="22.2" customHeight="1" x14ac:dyDescent="0.3">
      <c r="A47" s="46"/>
      <c r="B47" s="46"/>
      <c r="C47" s="39"/>
      <c r="D47" s="55"/>
      <c r="E47" s="60"/>
    </row>
    <row r="48" spans="1:5" ht="22.2" customHeight="1" x14ac:dyDescent="0.3">
      <c r="A48" s="46"/>
      <c r="B48" s="46"/>
      <c r="C48" s="39"/>
      <c r="D48" s="55"/>
      <c r="E48" s="60"/>
    </row>
    <row r="49" spans="1:5" ht="22.2" customHeight="1" x14ac:dyDescent="0.3">
      <c r="A49" s="46"/>
      <c r="B49" s="46"/>
      <c r="C49" s="39"/>
      <c r="D49" s="55"/>
      <c r="E49" s="60"/>
    </row>
    <row r="50" spans="1:5" ht="22.2" customHeight="1" x14ac:dyDescent="0.3">
      <c r="A50" s="46"/>
      <c r="B50" s="46"/>
      <c r="C50" s="39"/>
      <c r="D50" s="55"/>
      <c r="E50" s="60"/>
    </row>
    <row r="51" spans="1:5" ht="22.2" customHeight="1" x14ac:dyDescent="0.3">
      <c r="A51" s="46"/>
      <c r="B51" s="46"/>
      <c r="C51" s="39"/>
      <c r="D51" s="55"/>
      <c r="E51" s="60"/>
    </row>
    <row r="52" spans="1:5" ht="22.2" customHeight="1" x14ac:dyDescent="0.3">
      <c r="A52" s="46"/>
      <c r="B52" s="46"/>
      <c r="C52" s="39"/>
      <c r="D52" s="55"/>
      <c r="E52" s="60"/>
    </row>
    <row r="53" spans="1:5" ht="22.2" customHeight="1" x14ac:dyDescent="0.3">
      <c r="A53" s="46"/>
      <c r="B53" s="46"/>
      <c r="C53" s="39"/>
      <c r="D53" s="55"/>
      <c r="E53" s="60"/>
    </row>
  </sheetData>
  <sheetProtection algorithmName="SHA-512" hashValue="0zy2tyPlohWv9vohoMG9zfV+Jys9u/ZjKz4/wcCgE50WgtXuQe/NCkur+5KqxeAjHfEESA2qBh3eQkAEq+Si4w==" saltValue="DLfMH4ejVZeRIFb9PdB3wQ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72439-A575-41DC-8AEA-2707D4CFC922}">
  <sheetPr codeName="Planilha28"/>
  <dimension ref="A1:AC309"/>
  <sheetViews>
    <sheetView workbookViewId="0"/>
  </sheetViews>
  <sheetFormatPr defaultRowHeight="14.4" x14ac:dyDescent="0.3"/>
  <cols>
    <col min="1" max="1" width="6.77734375" customWidth="1"/>
    <col min="2" max="2" width="8.77734375" customWidth="1"/>
    <col min="29" max="29" width="15.21875" bestFit="1" customWidth="1"/>
  </cols>
  <sheetData>
    <row r="1" spans="1:29" x14ac:dyDescent="0.3">
      <c r="A1" s="76" t="s">
        <v>4386</v>
      </c>
      <c r="B1" s="76" t="s">
        <v>4387</v>
      </c>
      <c r="C1" s="76" t="s">
        <v>125</v>
      </c>
      <c r="D1" s="76" t="s">
        <v>4388</v>
      </c>
      <c r="E1" s="133" t="s">
        <v>15</v>
      </c>
      <c r="F1" s="76" t="s">
        <v>4389</v>
      </c>
      <c r="G1" s="105">
        <v>46285.851990740739</v>
      </c>
      <c r="H1" s="76" t="s">
        <v>4390</v>
      </c>
      <c r="I1">
        <v>25</v>
      </c>
      <c r="J1" t="s">
        <v>4702</v>
      </c>
      <c r="K1">
        <v>25</v>
      </c>
      <c r="L1" t="s">
        <v>4703</v>
      </c>
      <c r="M1">
        <v>0</v>
      </c>
      <c r="N1" t="s">
        <v>4704</v>
      </c>
      <c r="O1" t="s">
        <v>4743</v>
      </c>
      <c r="P1" t="s">
        <v>4705</v>
      </c>
      <c r="Q1" t="s">
        <v>4736</v>
      </c>
    </row>
    <row r="2" spans="1:29" x14ac:dyDescent="0.3">
      <c r="A2" s="76" t="s">
        <v>4391</v>
      </c>
      <c r="B2" s="76" t="s">
        <v>353</v>
      </c>
      <c r="C2" s="76" t="s">
        <v>4392</v>
      </c>
      <c r="D2" s="76" t="s">
        <v>4393</v>
      </c>
      <c r="E2" s="76" t="s">
        <v>4394</v>
      </c>
      <c r="F2" s="76" t="s">
        <v>4395</v>
      </c>
      <c r="G2" s="76" t="s">
        <v>4396</v>
      </c>
      <c r="H2" s="76" t="s">
        <v>4397</v>
      </c>
      <c r="I2" s="76" t="s">
        <v>4398</v>
      </c>
      <c r="J2" s="76" t="s">
        <v>4399</v>
      </c>
      <c r="K2" s="76" t="s">
        <v>4400</v>
      </c>
      <c r="L2" s="76" t="s">
        <v>4401</v>
      </c>
      <c r="M2" s="76" t="s">
        <v>4402</v>
      </c>
      <c r="N2" s="76" t="s">
        <v>4403</v>
      </c>
      <c r="O2" s="76" t="s">
        <v>4404</v>
      </c>
      <c r="P2" s="76" t="s">
        <v>4405</v>
      </c>
      <c r="Q2" s="76" t="s">
        <v>4406</v>
      </c>
      <c r="R2" s="76" t="s">
        <v>4407</v>
      </c>
      <c r="S2" s="76" t="s">
        <v>4408</v>
      </c>
      <c r="T2" s="76" t="s">
        <v>4409</v>
      </c>
      <c r="U2" s="76" t="s">
        <v>4410</v>
      </c>
      <c r="V2" s="76" t="s">
        <v>4411</v>
      </c>
      <c r="W2" s="76" t="s">
        <v>4412</v>
      </c>
      <c r="X2" s="76" t="s">
        <v>181</v>
      </c>
      <c r="Y2" s="76" t="s">
        <v>4413</v>
      </c>
      <c r="Z2" s="76" t="s">
        <v>4414</v>
      </c>
      <c r="AA2" s="76" t="s">
        <v>4415</v>
      </c>
      <c r="AB2" s="76" t="s">
        <v>409</v>
      </c>
      <c r="AC2" t="s">
        <v>173</v>
      </c>
    </row>
    <row r="3" spans="1:29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462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462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462</v>
      </c>
      <c r="X3">
        <v>1</v>
      </c>
      <c r="Y3">
        <v>2.3216999999999999</v>
      </c>
      <c r="Z3">
        <v>4.3662999999999998</v>
      </c>
      <c r="AA3">
        <v>5.1353</v>
      </c>
      <c r="AB3" t="s">
        <v>4509</v>
      </c>
      <c r="AC3" s="123">
        <v>45663</v>
      </c>
    </row>
    <row r="4" spans="1:29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462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462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462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4510</v>
      </c>
      <c r="AC4" s="123">
        <v>45670</v>
      </c>
    </row>
    <row r="5" spans="1:29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462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462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462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4511</v>
      </c>
      <c r="AC5" s="123">
        <v>45677</v>
      </c>
    </row>
    <row r="6" spans="1:29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462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462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462</v>
      </c>
      <c r="X6">
        <v>1</v>
      </c>
      <c r="Y6">
        <v>2.3010999999999999</v>
      </c>
      <c r="Z6">
        <v>4.4554</v>
      </c>
      <c r="AA6">
        <v>5.0625</v>
      </c>
      <c r="AB6" t="s">
        <v>4512</v>
      </c>
      <c r="AC6" s="123">
        <v>45684</v>
      </c>
    </row>
    <row r="7" spans="1:29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462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462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462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4513</v>
      </c>
      <c r="AC7" s="123">
        <v>45691</v>
      </c>
    </row>
    <row r="8" spans="1:29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462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462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462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4514</v>
      </c>
      <c r="AC8" s="123">
        <v>45698</v>
      </c>
    </row>
    <row r="9" spans="1:29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462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462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462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4515</v>
      </c>
      <c r="AC9" s="123">
        <v>45705</v>
      </c>
    </row>
    <row r="10" spans="1:29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462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462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462</v>
      </c>
      <c r="X10">
        <v>1</v>
      </c>
      <c r="Y10">
        <v>2.3142999999999998</v>
      </c>
      <c r="Z10">
        <v>4.3940999999999999</v>
      </c>
      <c r="AA10">
        <v>5.1273</v>
      </c>
      <c r="AB10" t="s">
        <v>4516</v>
      </c>
      <c r="AC10" s="123">
        <v>45712</v>
      </c>
    </row>
    <row r="11" spans="1:29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462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462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462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4517</v>
      </c>
      <c r="AC11" s="123">
        <v>45719</v>
      </c>
    </row>
    <row r="12" spans="1:29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462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462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462</v>
      </c>
      <c r="X12">
        <v>1</v>
      </c>
      <c r="Y12">
        <v>2.3022</v>
      </c>
      <c r="Z12">
        <v>4.3696999999999999</v>
      </c>
      <c r="AA12">
        <v>5.1658999999999997</v>
      </c>
      <c r="AB12" t="s">
        <v>4518</v>
      </c>
      <c r="AC12" s="123">
        <v>45726</v>
      </c>
    </row>
    <row r="13" spans="1:29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462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462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462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4519</v>
      </c>
      <c r="AC13" s="123">
        <v>45733</v>
      </c>
    </row>
    <row r="14" spans="1:29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462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462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462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4520</v>
      </c>
      <c r="AC14" s="123">
        <v>45740</v>
      </c>
    </row>
    <row r="15" spans="1:29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462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462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462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4521</v>
      </c>
      <c r="AC15" s="123">
        <v>45747</v>
      </c>
    </row>
    <row r="16" spans="1:29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462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462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462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4522</v>
      </c>
      <c r="AC16" s="123">
        <v>45754</v>
      </c>
    </row>
    <row r="17" spans="1:29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462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462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462</v>
      </c>
      <c r="X17">
        <v>1</v>
      </c>
      <c r="Y17">
        <v>2.3209</v>
      </c>
      <c r="Z17">
        <v>4.3780999999999999</v>
      </c>
      <c r="AA17">
        <v>5.0891000000000002</v>
      </c>
      <c r="AB17" t="s">
        <v>4523</v>
      </c>
      <c r="AC17" s="123">
        <v>45761</v>
      </c>
    </row>
    <row r="18" spans="1:29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462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462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462</v>
      </c>
      <c r="X18">
        <v>1</v>
      </c>
      <c r="Y18">
        <v>2.306</v>
      </c>
      <c r="Z18">
        <v>4.34</v>
      </c>
      <c r="AA18">
        <v>5.1607000000000003</v>
      </c>
      <c r="AB18" t="s">
        <v>4524</v>
      </c>
      <c r="AC18" s="123">
        <v>45768</v>
      </c>
    </row>
    <row r="19" spans="1:29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462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462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462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4525</v>
      </c>
      <c r="AC19" s="123">
        <v>45775</v>
      </c>
    </row>
    <row r="20" spans="1:29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462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462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462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4526</v>
      </c>
      <c r="AC20" s="123">
        <v>45782</v>
      </c>
    </row>
    <row r="21" spans="1:29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462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462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462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4527</v>
      </c>
      <c r="AC21" s="123">
        <v>45789</v>
      </c>
    </row>
    <row r="22" spans="1:29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462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462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462</v>
      </c>
      <c r="X22">
        <v>1</v>
      </c>
      <c r="Y22">
        <v>2.3064</v>
      </c>
      <c r="Z22">
        <v>4.3836000000000004</v>
      </c>
      <c r="AA22">
        <v>5.1010999999999997</v>
      </c>
      <c r="AB22" t="s">
        <v>4528</v>
      </c>
      <c r="AC22" s="123">
        <v>45796</v>
      </c>
    </row>
    <row r="23" spans="1:29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462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462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462</v>
      </c>
      <c r="X23">
        <v>1</v>
      </c>
      <c r="Y23">
        <v>2.3193000000000001</v>
      </c>
      <c r="Z23">
        <v>4.38</v>
      </c>
      <c r="AA23">
        <v>5.0785999999999998</v>
      </c>
      <c r="AB23" t="s">
        <v>4529</v>
      </c>
      <c r="AC23" s="123">
        <v>45803</v>
      </c>
    </row>
    <row r="24" spans="1:29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462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462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462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4530</v>
      </c>
      <c r="AC24" s="123">
        <v>45810</v>
      </c>
    </row>
    <row r="25" spans="1:29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462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462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462</v>
      </c>
      <c r="X25">
        <v>1</v>
      </c>
      <c r="Y25">
        <v>2.3142</v>
      </c>
      <c r="Z25">
        <v>4.3727999999999998</v>
      </c>
      <c r="AA25">
        <v>5.1173999999999999</v>
      </c>
      <c r="AB25" t="s">
        <v>4531</v>
      </c>
      <c r="AC25" s="123">
        <v>45817</v>
      </c>
    </row>
    <row r="26" spans="1:29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462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462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462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4532</v>
      </c>
      <c r="AC26" s="123">
        <v>45824</v>
      </c>
    </row>
    <row r="27" spans="1:29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462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462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462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4533</v>
      </c>
      <c r="AC27" s="123">
        <v>45831</v>
      </c>
    </row>
    <row r="28" spans="1:29" x14ac:dyDescent="0.3">
      <c r="A28">
        <v>26</v>
      </c>
      <c r="AC28" s="123"/>
    </row>
    <row r="29" spans="1:29" x14ac:dyDescent="0.3">
      <c r="A29">
        <v>27</v>
      </c>
      <c r="AC29" s="123"/>
    </row>
    <row r="30" spans="1:29" x14ac:dyDescent="0.3">
      <c r="A30">
        <v>28</v>
      </c>
      <c r="AC30" s="123"/>
    </row>
    <row r="31" spans="1:29" x14ac:dyDescent="0.3">
      <c r="A31">
        <v>29</v>
      </c>
      <c r="AC31" s="123"/>
    </row>
    <row r="32" spans="1:29" x14ac:dyDescent="0.3">
      <c r="A32">
        <v>30</v>
      </c>
      <c r="AC32" s="123"/>
    </row>
    <row r="33" spans="1:29" x14ac:dyDescent="0.3">
      <c r="A33">
        <v>31</v>
      </c>
      <c r="AC33" s="123"/>
    </row>
    <row r="34" spans="1:29" x14ac:dyDescent="0.3">
      <c r="A34">
        <v>32</v>
      </c>
      <c r="AC34" s="123"/>
    </row>
    <row r="35" spans="1:29" x14ac:dyDescent="0.3">
      <c r="A35">
        <v>33</v>
      </c>
      <c r="AC35" s="123"/>
    </row>
    <row r="36" spans="1:29" x14ac:dyDescent="0.3">
      <c r="A36">
        <v>34</v>
      </c>
      <c r="AC36" s="123"/>
    </row>
    <row r="37" spans="1:29" x14ac:dyDescent="0.3">
      <c r="A37">
        <v>35</v>
      </c>
      <c r="AC37" s="123"/>
    </row>
    <row r="38" spans="1:29" x14ac:dyDescent="0.3">
      <c r="A38">
        <v>36</v>
      </c>
      <c r="AC38" s="123"/>
    </row>
    <row r="39" spans="1:29" x14ac:dyDescent="0.3">
      <c r="A39">
        <v>37</v>
      </c>
      <c r="AC39" s="123"/>
    </row>
    <row r="40" spans="1:29" x14ac:dyDescent="0.3">
      <c r="A40">
        <v>38</v>
      </c>
      <c r="AC40" s="123"/>
    </row>
    <row r="41" spans="1:29" x14ac:dyDescent="0.3">
      <c r="A41">
        <v>39</v>
      </c>
      <c r="AC41" s="123"/>
    </row>
    <row r="42" spans="1:29" x14ac:dyDescent="0.3">
      <c r="A42">
        <v>40</v>
      </c>
      <c r="AC42" s="123"/>
    </row>
    <row r="43" spans="1:29" x14ac:dyDescent="0.3">
      <c r="A43">
        <v>41</v>
      </c>
      <c r="AC43" s="123"/>
    </row>
    <row r="44" spans="1:29" x14ac:dyDescent="0.3">
      <c r="A44">
        <v>42</v>
      </c>
      <c r="AC44" s="123"/>
    </row>
    <row r="45" spans="1:29" x14ac:dyDescent="0.3">
      <c r="A45">
        <v>43</v>
      </c>
      <c r="AC45" s="123"/>
    </row>
    <row r="46" spans="1:29" x14ac:dyDescent="0.3">
      <c r="A46">
        <v>44</v>
      </c>
      <c r="AC46" s="123"/>
    </row>
    <row r="47" spans="1:29" x14ac:dyDescent="0.3">
      <c r="A47">
        <v>45</v>
      </c>
      <c r="AC47" s="123"/>
    </row>
    <row r="48" spans="1:29" x14ac:dyDescent="0.3">
      <c r="A48">
        <v>46</v>
      </c>
      <c r="AC48" s="123"/>
    </row>
    <row r="49" spans="1:29" x14ac:dyDescent="0.3">
      <c r="A49">
        <v>47</v>
      </c>
      <c r="AC49" s="123"/>
    </row>
    <row r="50" spans="1:29" x14ac:dyDescent="0.3">
      <c r="A50">
        <v>48</v>
      </c>
      <c r="AC50" s="123"/>
    </row>
    <row r="51" spans="1:29" x14ac:dyDescent="0.3">
      <c r="A51">
        <v>49</v>
      </c>
      <c r="AC51" s="123"/>
    </row>
    <row r="52" spans="1:29" x14ac:dyDescent="0.3">
      <c r="A52">
        <v>50</v>
      </c>
      <c r="AC52" s="123"/>
    </row>
    <row r="53" spans="1:29" x14ac:dyDescent="0.3">
      <c r="A53">
        <v>51</v>
      </c>
      <c r="AC53" s="123"/>
    </row>
    <row r="54" spans="1:29" x14ac:dyDescent="0.3">
      <c r="A54">
        <v>52</v>
      </c>
      <c r="AC54" s="123"/>
    </row>
    <row r="55" spans="1:29" x14ac:dyDescent="0.3">
      <c r="A55">
        <v>53</v>
      </c>
      <c r="AC55" s="123"/>
    </row>
    <row r="56" spans="1:29" x14ac:dyDescent="0.3">
      <c r="A56">
        <v>54</v>
      </c>
      <c r="AC56" s="123"/>
    </row>
    <row r="57" spans="1:29" x14ac:dyDescent="0.3">
      <c r="A57">
        <v>55</v>
      </c>
      <c r="AC57" s="123"/>
    </row>
    <row r="58" spans="1:29" x14ac:dyDescent="0.3">
      <c r="A58">
        <v>56</v>
      </c>
      <c r="AC58" s="123"/>
    </row>
    <row r="59" spans="1:29" x14ac:dyDescent="0.3">
      <c r="A59">
        <v>57</v>
      </c>
      <c r="AC59" s="123"/>
    </row>
    <row r="60" spans="1:29" x14ac:dyDescent="0.3">
      <c r="A60">
        <v>58</v>
      </c>
      <c r="AC60" s="123"/>
    </row>
    <row r="61" spans="1:29" x14ac:dyDescent="0.3">
      <c r="A61">
        <v>59</v>
      </c>
      <c r="AC61" s="123"/>
    </row>
    <row r="62" spans="1:29" x14ac:dyDescent="0.3">
      <c r="A62">
        <v>60</v>
      </c>
      <c r="AC62" s="123"/>
    </row>
    <row r="63" spans="1:29" x14ac:dyDescent="0.3">
      <c r="A63">
        <v>61</v>
      </c>
      <c r="AC63" s="123"/>
    </row>
    <row r="64" spans="1:29" x14ac:dyDescent="0.3">
      <c r="A64">
        <v>62</v>
      </c>
      <c r="AC64" s="123"/>
    </row>
    <row r="65" spans="1:29" x14ac:dyDescent="0.3">
      <c r="A65">
        <v>63</v>
      </c>
      <c r="AC65" s="123"/>
    </row>
    <row r="66" spans="1:29" x14ac:dyDescent="0.3">
      <c r="A66">
        <v>64</v>
      </c>
      <c r="AC66" s="123"/>
    </row>
    <row r="67" spans="1:29" x14ac:dyDescent="0.3">
      <c r="A67">
        <v>65</v>
      </c>
      <c r="AC67" s="123"/>
    </row>
    <row r="68" spans="1:29" x14ac:dyDescent="0.3">
      <c r="A68">
        <v>66</v>
      </c>
      <c r="AC68" s="123"/>
    </row>
    <row r="69" spans="1:29" x14ac:dyDescent="0.3">
      <c r="A69">
        <v>67</v>
      </c>
      <c r="AC69" s="123"/>
    </row>
    <row r="70" spans="1:29" x14ac:dyDescent="0.3">
      <c r="A70">
        <v>68</v>
      </c>
      <c r="AC70" s="123"/>
    </row>
    <row r="71" spans="1:29" x14ac:dyDescent="0.3">
      <c r="A71">
        <v>69</v>
      </c>
      <c r="AC71" s="123"/>
    </row>
    <row r="72" spans="1:29" x14ac:dyDescent="0.3">
      <c r="A72">
        <v>70</v>
      </c>
      <c r="AC72" s="123"/>
    </row>
    <row r="73" spans="1:29" x14ac:dyDescent="0.3">
      <c r="A73">
        <v>71</v>
      </c>
      <c r="AC73" s="123"/>
    </row>
    <row r="74" spans="1:29" x14ac:dyDescent="0.3">
      <c r="A74">
        <v>72</v>
      </c>
      <c r="AC74" s="123"/>
    </row>
    <row r="75" spans="1:29" x14ac:dyDescent="0.3">
      <c r="A75">
        <v>73</v>
      </c>
      <c r="AC75" s="123"/>
    </row>
    <row r="76" spans="1:29" x14ac:dyDescent="0.3">
      <c r="A76">
        <v>74</v>
      </c>
      <c r="AC76" s="123"/>
    </row>
    <row r="77" spans="1:29" x14ac:dyDescent="0.3">
      <c r="A77">
        <v>75</v>
      </c>
      <c r="AC77" s="123"/>
    </row>
    <row r="78" spans="1:29" x14ac:dyDescent="0.3">
      <c r="A78">
        <v>76</v>
      </c>
      <c r="AC78" s="123"/>
    </row>
    <row r="79" spans="1:29" x14ac:dyDescent="0.3">
      <c r="A79">
        <v>77</v>
      </c>
      <c r="AC79" s="123"/>
    </row>
    <row r="80" spans="1:29" x14ac:dyDescent="0.3">
      <c r="A80">
        <v>78</v>
      </c>
      <c r="AC80" s="123"/>
    </row>
    <row r="81" spans="1:29" x14ac:dyDescent="0.3">
      <c r="A81">
        <v>79</v>
      </c>
      <c r="AC81" s="123"/>
    </row>
    <row r="82" spans="1:29" x14ac:dyDescent="0.3">
      <c r="A82">
        <v>80</v>
      </c>
      <c r="AC82" s="123"/>
    </row>
    <row r="83" spans="1:29" x14ac:dyDescent="0.3">
      <c r="A83">
        <v>81</v>
      </c>
      <c r="AC83" s="123"/>
    </row>
    <row r="84" spans="1:29" x14ac:dyDescent="0.3">
      <c r="A84">
        <v>82</v>
      </c>
      <c r="AC84" s="123"/>
    </row>
    <row r="85" spans="1:29" x14ac:dyDescent="0.3">
      <c r="A85">
        <v>83</v>
      </c>
      <c r="AC85" s="123"/>
    </row>
    <row r="86" spans="1:29" x14ac:dyDescent="0.3">
      <c r="A86">
        <v>84</v>
      </c>
      <c r="AC86" s="123"/>
    </row>
    <row r="87" spans="1:29" x14ac:dyDescent="0.3">
      <c r="A87">
        <v>85</v>
      </c>
      <c r="AC87" s="123"/>
    </row>
    <row r="88" spans="1:29" x14ac:dyDescent="0.3">
      <c r="A88">
        <v>86</v>
      </c>
      <c r="AC88" s="123"/>
    </row>
    <row r="89" spans="1:29" x14ac:dyDescent="0.3">
      <c r="A89">
        <v>87</v>
      </c>
      <c r="AC89" s="123"/>
    </row>
    <row r="90" spans="1:29" x14ac:dyDescent="0.3">
      <c r="A90">
        <v>88</v>
      </c>
      <c r="AC90" s="123"/>
    </row>
    <row r="91" spans="1:29" x14ac:dyDescent="0.3">
      <c r="A91">
        <v>89</v>
      </c>
      <c r="AC91" s="123"/>
    </row>
    <row r="92" spans="1:29" x14ac:dyDescent="0.3">
      <c r="A92">
        <v>90</v>
      </c>
      <c r="AC92" s="123"/>
    </row>
    <row r="93" spans="1:29" x14ac:dyDescent="0.3">
      <c r="A93">
        <v>91</v>
      </c>
      <c r="AC93" s="123"/>
    </row>
    <row r="94" spans="1:29" x14ac:dyDescent="0.3">
      <c r="A94">
        <v>92</v>
      </c>
      <c r="AC94" s="123"/>
    </row>
    <row r="95" spans="1:29" x14ac:dyDescent="0.3">
      <c r="A95">
        <v>93</v>
      </c>
      <c r="AC95" s="123"/>
    </row>
    <row r="96" spans="1:29" x14ac:dyDescent="0.3">
      <c r="A96">
        <v>94</v>
      </c>
      <c r="AC96" s="123"/>
    </row>
    <row r="97" spans="1:29" x14ac:dyDescent="0.3">
      <c r="A97">
        <v>95</v>
      </c>
      <c r="AC97" s="123"/>
    </row>
    <row r="98" spans="1:29" x14ac:dyDescent="0.3">
      <c r="A98">
        <v>96</v>
      </c>
      <c r="AC98" s="123"/>
    </row>
    <row r="99" spans="1:29" x14ac:dyDescent="0.3">
      <c r="A99">
        <v>97</v>
      </c>
      <c r="AC99" s="123"/>
    </row>
    <row r="100" spans="1:29" x14ac:dyDescent="0.3">
      <c r="A100">
        <v>98</v>
      </c>
      <c r="AC100" s="123"/>
    </row>
    <row r="101" spans="1:29" x14ac:dyDescent="0.3">
      <c r="A101">
        <v>99</v>
      </c>
      <c r="AC101" s="123"/>
    </row>
    <row r="102" spans="1:29" x14ac:dyDescent="0.3">
      <c r="A102">
        <v>100</v>
      </c>
      <c r="AC102" s="123"/>
    </row>
    <row r="103" spans="1:29" x14ac:dyDescent="0.3">
      <c r="A103">
        <v>101</v>
      </c>
      <c r="AC103" s="123"/>
    </row>
    <row r="104" spans="1:29" x14ac:dyDescent="0.3">
      <c r="A104">
        <v>102</v>
      </c>
      <c r="AC104" s="123"/>
    </row>
    <row r="105" spans="1:29" x14ac:dyDescent="0.3">
      <c r="A105">
        <v>103</v>
      </c>
      <c r="AC105" s="123"/>
    </row>
    <row r="106" spans="1:29" x14ac:dyDescent="0.3">
      <c r="A106">
        <v>104</v>
      </c>
      <c r="AC106" s="123"/>
    </row>
    <row r="107" spans="1:29" x14ac:dyDescent="0.3">
      <c r="A107">
        <v>105</v>
      </c>
      <c r="AC107" s="123"/>
    </row>
    <row r="108" spans="1:29" x14ac:dyDescent="0.3">
      <c r="A108">
        <v>106</v>
      </c>
      <c r="AC108" s="123"/>
    </row>
    <row r="109" spans="1:29" x14ac:dyDescent="0.3">
      <c r="A109">
        <v>107</v>
      </c>
      <c r="AC109" s="123"/>
    </row>
    <row r="110" spans="1:29" x14ac:dyDescent="0.3">
      <c r="A110">
        <v>108</v>
      </c>
      <c r="AC110" s="123"/>
    </row>
    <row r="111" spans="1:29" x14ac:dyDescent="0.3">
      <c r="A111">
        <v>109</v>
      </c>
      <c r="AC111" s="123"/>
    </row>
    <row r="112" spans="1:29" x14ac:dyDescent="0.3">
      <c r="A112">
        <v>110</v>
      </c>
      <c r="AC112" s="123"/>
    </row>
    <row r="113" spans="1:29" x14ac:dyDescent="0.3">
      <c r="A113">
        <v>111</v>
      </c>
      <c r="AC113" s="123"/>
    </row>
    <row r="114" spans="1:29" x14ac:dyDescent="0.3">
      <c r="A114">
        <v>112</v>
      </c>
      <c r="AC114" s="123"/>
    </row>
    <row r="115" spans="1:29" x14ac:dyDescent="0.3">
      <c r="A115">
        <v>113</v>
      </c>
      <c r="AC115" s="123"/>
    </row>
    <row r="116" spans="1:29" x14ac:dyDescent="0.3">
      <c r="A116">
        <v>114</v>
      </c>
      <c r="AC116" s="123"/>
    </row>
    <row r="117" spans="1:29" x14ac:dyDescent="0.3">
      <c r="A117">
        <v>115</v>
      </c>
      <c r="AC117" s="123"/>
    </row>
    <row r="118" spans="1:29" x14ac:dyDescent="0.3">
      <c r="A118">
        <v>116</v>
      </c>
      <c r="AC118" s="123"/>
    </row>
    <row r="119" spans="1:29" x14ac:dyDescent="0.3">
      <c r="A119">
        <v>117</v>
      </c>
      <c r="AC119" s="123"/>
    </row>
    <row r="120" spans="1:29" x14ac:dyDescent="0.3">
      <c r="A120">
        <v>118</v>
      </c>
      <c r="AC120" s="123"/>
    </row>
    <row r="121" spans="1:29" x14ac:dyDescent="0.3">
      <c r="A121">
        <v>119</v>
      </c>
      <c r="AC121" s="123"/>
    </row>
    <row r="122" spans="1:29" x14ac:dyDescent="0.3">
      <c r="A122">
        <v>120</v>
      </c>
      <c r="AC122" s="123"/>
    </row>
    <row r="123" spans="1:29" x14ac:dyDescent="0.3">
      <c r="A123">
        <v>121</v>
      </c>
      <c r="AC123" s="123"/>
    </row>
    <row r="124" spans="1:29" x14ac:dyDescent="0.3">
      <c r="A124">
        <v>122</v>
      </c>
      <c r="AC124" s="123"/>
    </row>
    <row r="125" spans="1:29" x14ac:dyDescent="0.3">
      <c r="A125">
        <v>123</v>
      </c>
      <c r="AC125" s="123"/>
    </row>
    <row r="126" spans="1:29" x14ac:dyDescent="0.3">
      <c r="A126">
        <v>124</v>
      </c>
      <c r="AC126" s="123"/>
    </row>
    <row r="127" spans="1:29" x14ac:dyDescent="0.3">
      <c r="A127">
        <v>125</v>
      </c>
      <c r="AC127" s="123"/>
    </row>
    <row r="128" spans="1:29" x14ac:dyDescent="0.3">
      <c r="A128">
        <v>126</v>
      </c>
      <c r="AC128" s="123"/>
    </row>
    <row r="129" spans="1:29" x14ac:dyDescent="0.3">
      <c r="A129">
        <v>127</v>
      </c>
      <c r="AC129" s="123"/>
    </row>
    <row r="130" spans="1:29" x14ac:dyDescent="0.3">
      <c r="A130">
        <v>128</v>
      </c>
      <c r="AC130" s="123"/>
    </row>
    <row r="131" spans="1:29" x14ac:dyDescent="0.3">
      <c r="A131">
        <v>129</v>
      </c>
      <c r="AC131" s="123"/>
    </row>
    <row r="132" spans="1:29" x14ac:dyDescent="0.3">
      <c r="A132">
        <v>130</v>
      </c>
      <c r="AC132" s="123"/>
    </row>
    <row r="133" spans="1:29" x14ac:dyDescent="0.3">
      <c r="A133">
        <v>131</v>
      </c>
      <c r="AC133" s="123"/>
    </row>
    <row r="134" spans="1:29" x14ac:dyDescent="0.3">
      <c r="A134">
        <v>132</v>
      </c>
      <c r="AC134" s="123"/>
    </row>
    <row r="135" spans="1:29" x14ac:dyDescent="0.3">
      <c r="A135">
        <v>133</v>
      </c>
      <c r="AC135" s="123"/>
    </row>
    <row r="136" spans="1:29" x14ac:dyDescent="0.3">
      <c r="A136">
        <v>134</v>
      </c>
      <c r="AC136" s="123"/>
    </row>
    <row r="137" spans="1:29" x14ac:dyDescent="0.3">
      <c r="A137">
        <v>135</v>
      </c>
      <c r="AC137" s="123"/>
    </row>
    <row r="138" spans="1:29" x14ac:dyDescent="0.3">
      <c r="A138">
        <v>136</v>
      </c>
      <c r="AC138" s="123"/>
    </row>
    <row r="139" spans="1:29" x14ac:dyDescent="0.3">
      <c r="A139">
        <v>137</v>
      </c>
      <c r="AC139" s="123"/>
    </row>
    <row r="140" spans="1:29" x14ac:dyDescent="0.3">
      <c r="A140">
        <v>138</v>
      </c>
      <c r="AC140" s="123"/>
    </row>
    <row r="141" spans="1:29" x14ac:dyDescent="0.3">
      <c r="A141">
        <v>139</v>
      </c>
      <c r="AC141" s="123"/>
    </row>
    <row r="142" spans="1:29" x14ac:dyDescent="0.3">
      <c r="A142">
        <v>140</v>
      </c>
      <c r="AC142" s="123"/>
    </row>
    <row r="143" spans="1:29" x14ac:dyDescent="0.3">
      <c r="A143">
        <v>141</v>
      </c>
      <c r="AC143" s="123"/>
    </row>
    <row r="144" spans="1:29" x14ac:dyDescent="0.3">
      <c r="A144">
        <v>142</v>
      </c>
      <c r="AC144" s="123"/>
    </row>
    <row r="145" spans="1:29" x14ac:dyDescent="0.3">
      <c r="A145">
        <v>143</v>
      </c>
      <c r="AC145" s="123"/>
    </row>
    <row r="146" spans="1:29" x14ac:dyDescent="0.3">
      <c r="A146">
        <v>144</v>
      </c>
      <c r="AC146" s="123"/>
    </row>
    <row r="147" spans="1:29" x14ac:dyDescent="0.3">
      <c r="A147">
        <v>145</v>
      </c>
      <c r="AC147" s="123"/>
    </row>
    <row r="148" spans="1:29" x14ac:dyDescent="0.3">
      <c r="A148">
        <v>146</v>
      </c>
      <c r="AC148" s="123"/>
    </row>
    <row r="149" spans="1:29" x14ac:dyDescent="0.3">
      <c r="A149">
        <v>147</v>
      </c>
      <c r="AC149" s="123"/>
    </row>
    <row r="150" spans="1:29" x14ac:dyDescent="0.3">
      <c r="A150">
        <v>148</v>
      </c>
      <c r="AC150" s="123"/>
    </row>
    <row r="151" spans="1:29" x14ac:dyDescent="0.3">
      <c r="A151">
        <v>149</v>
      </c>
      <c r="AC151" s="123"/>
    </row>
    <row r="152" spans="1:29" x14ac:dyDescent="0.3">
      <c r="A152">
        <v>150</v>
      </c>
      <c r="AC152" s="123"/>
    </row>
    <row r="153" spans="1:29" x14ac:dyDescent="0.3">
      <c r="A153">
        <v>151</v>
      </c>
      <c r="AC153" s="123"/>
    </row>
    <row r="154" spans="1:29" x14ac:dyDescent="0.3">
      <c r="A154">
        <v>152</v>
      </c>
      <c r="AC154" s="123"/>
    </row>
    <row r="155" spans="1:29" x14ac:dyDescent="0.3">
      <c r="A155">
        <v>153</v>
      </c>
      <c r="AC155" s="123"/>
    </row>
    <row r="156" spans="1:29" x14ac:dyDescent="0.3">
      <c r="A156">
        <v>154</v>
      </c>
      <c r="AC156" s="123"/>
    </row>
    <row r="157" spans="1:29" x14ac:dyDescent="0.3">
      <c r="A157">
        <v>155</v>
      </c>
      <c r="AC157" s="123"/>
    </row>
    <row r="158" spans="1:29" x14ac:dyDescent="0.3">
      <c r="A158">
        <v>156</v>
      </c>
      <c r="AC158" s="123"/>
    </row>
    <row r="159" spans="1:29" x14ac:dyDescent="0.3">
      <c r="A159">
        <v>157</v>
      </c>
      <c r="AC159" s="123"/>
    </row>
    <row r="160" spans="1:29" x14ac:dyDescent="0.3">
      <c r="A160">
        <v>158</v>
      </c>
      <c r="AC160" s="123"/>
    </row>
    <row r="161" spans="1:29" x14ac:dyDescent="0.3">
      <c r="A161">
        <v>159</v>
      </c>
      <c r="AC161" s="123"/>
    </row>
    <row r="162" spans="1:29" x14ac:dyDescent="0.3">
      <c r="A162">
        <v>160</v>
      </c>
      <c r="AC162" s="123"/>
    </row>
    <row r="163" spans="1:29" x14ac:dyDescent="0.3">
      <c r="A163">
        <v>161</v>
      </c>
      <c r="AC163" s="123"/>
    </row>
    <row r="164" spans="1:29" x14ac:dyDescent="0.3">
      <c r="A164">
        <v>162</v>
      </c>
      <c r="AC164" s="123"/>
    </row>
    <row r="165" spans="1:29" x14ac:dyDescent="0.3">
      <c r="A165">
        <v>163</v>
      </c>
      <c r="AC165" s="123"/>
    </row>
    <row r="166" spans="1:29" x14ac:dyDescent="0.3">
      <c r="A166">
        <v>164</v>
      </c>
      <c r="AC166" s="123"/>
    </row>
    <row r="167" spans="1:29" x14ac:dyDescent="0.3">
      <c r="A167">
        <v>165</v>
      </c>
      <c r="AC167" s="123"/>
    </row>
    <row r="168" spans="1:29" x14ac:dyDescent="0.3">
      <c r="A168">
        <v>166</v>
      </c>
      <c r="AC168" s="123"/>
    </row>
    <row r="169" spans="1:29" x14ac:dyDescent="0.3">
      <c r="A169">
        <v>167</v>
      </c>
      <c r="AC169" s="123"/>
    </row>
    <row r="170" spans="1:29" x14ac:dyDescent="0.3">
      <c r="A170">
        <v>168</v>
      </c>
      <c r="AC170" s="123"/>
    </row>
    <row r="171" spans="1:29" x14ac:dyDescent="0.3">
      <c r="A171">
        <v>169</v>
      </c>
      <c r="AC171" s="123"/>
    </row>
    <row r="172" spans="1:29" x14ac:dyDescent="0.3">
      <c r="A172">
        <v>170</v>
      </c>
      <c r="AC172" s="123"/>
    </row>
    <row r="173" spans="1:29" x14ac:dyDescent="0.3">
      <c r="A173">
        <v>171</v>
      </c>
      <c r="AC173" s="123"/>
    </row>
    <row r="174" spans="1:29" x14ac:dyDescent="0.3">
      <c r="A174">
        <v>172</v>
      </c>
      <c r="AC174" s="123"/>
    </row>
    <row r="175" spans="1:29" x14ac:dyDescent="0.3">
      <c r="A175">
        <v>173</v>
      </c>
      <c r="AC175" s="123"/>
    </row>
    <row r="176" spans="1:29" x14ac:dyDescent="0.3">
      <c r="A176">
        <v>174</v>
      </c>
      <c r="AC176" s="123"/>
    </row>
    <row r="177" spans="1:29" x14ac:dyDescent="0.3">
      <c r="A177">
        <v>175</v>
      </c>
      <c r="AC177" s="123"/>
    </row>
    <row r="178" spans="1:29" x14ac:dyDescent="0.3">
      <c r="A178">
        <v>176</v>
      </c>
      <c r="AC178" s="123"/>
    </row>
    <row r="179" spans="1:29" x14ac:dyDescent="0.3">
      <c r="A179">
        <v>177</v>
      </c>
      <c r="AC179" s="123"/>
    </row>
    <row r="180" spans="1:29" x14ac:dyDescent="0.3">
      <c r="A180">
        <v>178</v>
      </c>
      <c r="AC180" s="123"/>
    </row>
    <row r="181" spans="1:29" x14ac:dyDescent="0.3">
      <c r="A181">
        <v>179</v>
      </c>
      <c r="AC181" s="123"/>
    </row>
    <row r="182" spans="1:29" x14ac:dyDescent="0.3">
      <c r="A182">
        <v>180</v>
      </c>
      <c r="AC182" s="123"/>
    </row>
    <row r="184" spans="1:29" x14ac:dyDescent="0.3">
      <c r="A184" s="76" t="s">
        <v>1076</v>
      </c>
      <c r="B184" s="76" t="s">
        <v>256</v>
      </c>
      <c r="C184" s="76" t="s">
        <v>4432</v>
      </c>
      <c r="D184" s="76" t="s">
        <v>4431</v>
      </c>
      <c r="E184" s="76" t="s">
        <v>4430</v>
      </c>
      <c r="F184" s="76" t="s">
        <v>4429</v>
      </c>
      <c r="G184" s="76" t="s">
        <v>4428</v>
      </c>
      <c r="H184" s="76" t="s">
        <v>4427</v>
      </c>
      <c r="I184" s="76" t="s">
        <v>4426</v>
      </c>
      <c r="J184" s="76" t="s">
        <v>4425</v>
      </c>
      <c r="K184" s="76"/>
      <c r="L184" s="76"/>
      <c r="M184" s="76" t="s">
        <v>4424</v>
      </c>
      <c r="N184" s="76" t="s">
        <v>4423</v>
      </c>
      <c r="O184" s="76" t="s">
        <v>4422</v>
      </c>
      <c r="P184" s="76" t="s">
        <v>4421</v>
      </c>
      <c r="Q184" s="76" t="s">
        <v>4420</v>
      </c>
      <c r="R184" s="76" t="s">
        <v>4419</v>
      </c>
      <c r="S184" s="76" t="s">
        <v>4418</v>
      </c>
      <c r="T184" s="76" t="s">
        <v>4417</v>
      </c>
      <c r="U184" s="76" t="s">
        <v>4416</v>
      </c>
    </row>
    <row r="185" spans="1:29" x14ac:dyDescent="0.3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462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4383</v>
      </c>
    </row>
    <row r="186" spans="1:29" x14ac:dyDescent="0.3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462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4383</v>
      </c>
    </row>
    <row r="187" spans="1:29" x14ac:dyDescent="0.3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462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4383</v>
      </c>
    </row>
    <row r="189" spans="1:29" x14ac:dyDescent="0.3">
      <c r="A189" s="76" t="s">
        <v>4433</v>
      </c>
      <c r="B189" s="76"/>
      <c r="C189" s="76" t="s">
        <v>256</v>
      </c>
      <c r="D189" s="76" t="s">
        <v>4432</v>
      </c>
      <c r="E189" s="76" t="s">
        <v>4431</v>
      </c>
      <c r="F189" s="76" t="s">
        <v>4430</v>
      </c>
      <c r="G189" s="76" t="s">
        <v>4429</v>
      </c>
      <c r="H189" s="76" t="s">
        <v>4434</v>
      </c>
      <c r="I189" s="76" t="s">
        <v>4435</v>
      </c>
      <c r="J189" s="76" t="s">
        <v>4428</v>
      </c>
      <c r="K189" s="76" t="s">
        <v>4427</v>
      </c>
      <c r="L189" s="76" t="s">
        <v>4426</v>
      </c>
      <c r="M189" s="76" t="s">
        <v>4417</v>
      </c>
    </row>
    <row r="190" spans="1:29" x14ac:dyDescent="0.3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1032</v>
      </c>
    </row>
    <row r="191" spans="1:29" x14ac:dyDescent="0.3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989</v>
      </c>
    </row>
    <row r="192" spans="1:29" x14ac:dyDescent="0.3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983</v>
      </c>
    </row>
    <row r="193" spans="1:13" x14ac:dyDescent="0.3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989</v>
      </c>
    </row>
    <row r="194" spans="1:13" x14ac:dyDescent="0.3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987</v>
      </c>
    </row>
    <row r="195" spans="1:13" x14ac:dyDescent="0.3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987</v>
      </c>
    </row>
    <row r="196" spans="1:13" x14ac:dyDescent="0.3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989</v>
      </c>
    </row>
    <row r="197" spans="1:13" x14ac:dyDescent="0.3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983</v>
      </c>
    </row>
    <row r="198" spans="1:13" x14ac:dyDescent="0.3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983</v>
      </c>
    </row>
    <row r="199" spans="1:13" x14ac:dyDescent="0.3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991</v>
      </c>
    </row>
    <row r="200" spans="1:13" x14ac:dyDescent="0.3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991</v>
      </c>
    </row>
    <row r="201" spans="1:13" x14ac:dyDescent="0.3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1032</v>
      </c>
    </row>
    <row r="202" spans="1:13" x14ac:dyDescent="0.3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991</v>
      </c>
    </row>
    <row r="203" spans="1:13" x14ac:dyDescent="0.3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991</v>
      </c>
    </row>
    <row r="204" spans="1:13" x14ac:dyDescent="0.3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1032</v>
      </c>
    </row>
    <row r="205" spans="1:13" x14ac:dyDescent="0.3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991</v>
      </c>
    </row>
    <row r="206" spans="1:13" x14ac:dyDescent="0.3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1032</v>
      </c>
    </row>
    <row r="207" spans="1:13" x14ac:dyDescent="0.3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1032</v>
      </c>
    </row>
    <row r="208" spans="1:13" x14ac:dyDescent="0.3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991</v>
      </c>
    </row>
    <row r="209" spans="1:13" x14ac:dyDescent="0.3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991</v>
      </c>
    </row>
    <row r="210" spans="1:13" x14ac:dyDescent="0.3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991</v>
      </c>
    </row>
    <row r="211" spans="1:13" x14ac:dyDescent="0.3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991</v>
      </c>
    </row>
    <row r="212" spans="1:13" x14ac:dyDescent="0.3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1032</v>
      </c>
    </row>
    <row r="213" spans="1:13" x14ac:dyDescent="0.3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987</v>
      </c>
    </row>
    <row r="214" spans="1:13" x14ac:dyDescent="0.3">
      <c r="A214">
        <v>25</v>
      </c>
      <c r="C214">
        <v>0</v>
      </c>
      <c r="G214">
        <v>27.582809524942444</v>
      </c>
      <c r="I214">
        <v>10.5</v>
      </c>
    </row>
    <row r="215" spans="1:13" x14ac:dyDescent="0.3">
      <c r="A215">
        <v>26</v>
      </c>
      <c r="C215">
        <v>0</v>
      </c>
      <c r="G215">
        <v>27.582809524942444</v>
      </c>
      <c r="I215">
        <v>10.5</v>
      </c>
    </row>
    <row r="216" spans="1:13" x14ac:dyDescent="0.3">
      <c r="A216">
        <v>27</v>
      </c>
      <c r="C216">
        <v>0</v>
      </c>
      <c r="G216">
        <v>27.582809524942444</v>
      </c>
      <c r="I216">
        <v>10.5</v>
      </c>
    </row>
    <row r="217" spans="1:13" x14ac:dyDescent="0.3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3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3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3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3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3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3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3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3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3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3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3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3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983</v>
      </c>
    </row>
    <row r="230" spans="1:13" x14ac:dyDescent="0.3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983</v>
      </c>
    </row>
    <row r="231" spans="1:13" x14ac:dyDescent="0.3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983</v>
      </c>
    </row>
    <row r="232" spans="1:13" x14ac:dyDescent="0.3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989</v>
      </c>
    </row>
    <row r="233" spans="1:13" x14ac:dyDescent="0.3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983</v>
      </c>
    </row>
    <row r="234" spans="1:13" x14ac:dyDescent="0.3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989</v>
      </c>
    </row>
    <row r="235" spans="1:13" x14ac:dyDescent="0.3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1032</v>
      </c>
    </row>
    <row r="236" spans="1:13" x14ac:dyDescent="0.3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991</v>
      </c>
    </row>
    <row r="237" spans="1:13" x14ac:dyDescent="0.3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1032</v>
      </c>
    </row>
    <row r="238" spans="1:13" x14ac:dyDescent="0.3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983</v>
      </c>
    </row>
    <row r="239" spans="1:13" x14ac:dyDescent="0.3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983</v>
      </c>
    </row>
    <row r="240" spans="1:13" x14ac:dyDescent="0.3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983</v>
      </c>
    </row>
    <row r="241" spans="1:13" x14ac:dyDescent="0.3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983</v>
      </c>
    </row>
    <row r="242" spans="1:13" x14ac:dyDescent="0.3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983</v>
      </c>
    </row>
    <row r="243" spans="1:13" x14ac:dyDescent="0.3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983</v>
      </c>
    </row>
    <row r="244" spans="1:13" x14ac:dyDescent="0.3">
      <c r="A244">
        <v>55</v>
      </c>
      <c r="C244">
        <v>0</v>
      </c>
    </row>
    <row r="245" spans="1:13" x14ac:dyDescent="0.3">
      <c r="A245">
        <v>56</v>
      </c>
      <c r="C245">
        <v>0</v>
      </c>
    </row>
    <row r="246" spans="1:13" x14ac:dyDescent="0.3">
      <c r="A246">
        <v>57</v>
      </c>
      <c r="C246">
        <v>0</v>
      </c>
    </row>
    <row r="247" spans="1:13" x14ac:dyDescent="0.3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3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3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3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3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3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3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3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3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3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991</v>
      </c>
    </row>
    <row r="257" spans="1:13" x14ac:dyDescent="0.3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983</v>
      </c>
    </row>
    <row r="258" spans="1:13" x14ac:dyDescent="0.3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1032</v>
      </c>
    </row>
    <row r="259" spans="1:13" x14ac:dyDescent="0.3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3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3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3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3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3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3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1032</v>
      </c>
    </row>
    <row r="266" spans="1:13" x14ac:dyDescent="0.3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987</v>
      </c>
    </row>
    <row r="267" spans="1:13" x14ac:dyDescent="0.3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989</v>
      </c>
    </row>
    <row r="268" spans="1:13" x14ac:dyDescent="0.3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3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3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3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3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3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3">
      <c r="A274">
        <v>85</v>
      </c>
    </row>
    <row r="275" spans="1:11" x14ac:dyDescent="0.3">
      <c r="A275">
        <v>86</v>
      </c>
    </row>
    <row r="276" spans="1:11" x14ac:dyDescent="0.3">
      <c r="A276">
        <v>87</v>
      </c>
    </row>
    <row r="277" spans="1:11" x14ac:dyDescent="0.3">
      <c r="A277">
        <v>88</v>
      </c>
    </row>
    <row r="278" spans="1:11" x14ac:dyDescent="0.3">
      <c r="A278">
        <v>89</v>
      </c>
    </row>
    <row r="279" spans="1:11" x14ac:dyDescent="0.3">
      <c r="A279">
        <v>90</v>
      </c>
    </row>
    <row r="280" spans="1:11" x14ac:dyDescent="0.3">
      <c r="A280">
        <v>91</v>
      </c>
    </row>
    <row r="281" spans="1:11" x14ac:dyDescent="0.3">
      <c r="A281">
        <v>92</v>
      </c>
    </row>
    <row r="282" spans="1:11" x14ac:dyDescent="0.3">
      <c r="A282">
        <v>93</v>
      </c>
    </row>
    <row r="283" spans="1:11" x14ac:dyDescent="0.3">
      <c r="A283">
        <v>94</v>
      </c>
    </row>
    <row r="284" spans="1:11" x14ac:dyDescent="0.3">
      <c r="A284">
        <v>95</v>
      </c>
    </row>
    <row r="285" spans="1:11" x14ac:dyDescent="0.3">
      <c r="A285">
        <v>96</v>
      </c>
    </row>
    <row r="286" spans="1:11" x14ac:dyDescent="0.3">
      <c r="A286">
        <v>97</v>
      </c>
    </row>
    <row r="287" spans="1:11" x14ac:dyDescent="0.3">
      <c r="A287">
        <v>98</v>
      </c>
    </row>
    <row r="288" spans="1:11" x14ac:dyDescent="0.3">
      <c r="A288">
        <v>99</v>
      </c>
    </row>
    <row r="289" spans="1:1" x14ac:dyDescent="0.3">
      <c r="A289">
        <v>100</v>
      </c>
    </row>
    <row r="290" spans="1:1" x14ac:dyDescent="0.3">
      <c r="A290">
        <v>101</v>
      </c>
    </row>
    <row r="291" spans="1:1" x14ac:dyDescent="0.3">
      <c r="A291">
        <v>102</v>
      </c>
    </row>
    <row r="292" spans="1:1" x14ac:dyDescent="0.3">
      <c r="A292">
        <v>103</v>
      </c>
    </row>
    <row r="293" spans="1:1" x14ac:dyDescent="0.3">
      <c r="A293">
        <v>104</v>
      </c>
    </row>
    <row r="294" spans="1:1" x14ac:dyDescent="0.3">
      <c r="A294">
        <v>105</v>
      </c>
    </row>
    <row r="295" spans="1:1" x14ac:dyDescent="0.3">
      <c r="A295">
        <v>106</v>
      </c>
    </row>
    <row r="296" spans="1:1" x14ac:dyDescent="0.3">
      <c r="A296">
        <v>107</v>
      </c>
    </row>
    <row r="297" spans="1:1" x14ac:dyDescent="0.3">
      <c r="A297">
        <v>108</v>
      </c>
    </row>
    <row r="298" spans="1:1" x14ac:dyDescent="0.3">
      <c r="A298">
        <v>109</v>
      </c>
    </row>
    <row r="299" spans="1:1" x14ac:dyDescent="0.3">
      <c r="A299">
        <v>110</v>
      </c>
    </row>
    <row r="300" spans="1:1" x14ac:dyDescent="0.3">
      <c r="A300">
        <v>111</v>
      </c>
    </row>
    <row r="301" spans="1:1" x14ac:dyDescent="0.3">
      <c r="A301">
        <v>112</v>
      </c>
    </row>
    <row r="302" spans="1:1" x14ac:dyDescent="0.3">
      <c r="A302">
        <v>113</v>
      </c>
    </row>
    <row r="303" spans="1:1" x14ac:dyDescent="0.3">
      <c r="A303">
        <v>114</v>
      </c>
    </row>
    <row r="304" spans="1:1" x14ac:dyDescent="0.3">
      <c r="A304">
        <v>115</v>
      </c>
    </row>
    <row r="305" spans="1:1" x14ac:dyDescent="0.3">
      <c r="A305">
        <v>116</v>
      </c>
    </row>
    <row r="306" spans="1:1" x14ac:dyDescent="0.3">
      <c r="A306">
        <v>117</v>
      </c>
    </row>
    <row r="307" spans="1:1" x14ac:dyDescent="0.3">
      <c r="A307">
        <v>118</v>
      </c>
    </row>
    <row r="308" spans="1:1" x14ac:dyDescent="0.3">
      <c r="A308">
        <v>119</v>
      </c>
    </row>
    <row r="309" spans="1:1" x14ac:dyDescent="0.3">
      <c r="A309">
        <v>120</v>
      </c>
    </row>
  </sheetData>
  <sheetProtection algorithmName="SHA-512" hashValue="EPhDeYMYInRTvLmx5V5nEnijZr0AcqIXiMmX1/yrTJe1VEfirNLFtN1xFnJNwRhoUr20mcEi1shOE894/0KQ1A==" saltValue="X/240x9lQFBwIRRD7hPKig==" spinCount="100000" sheet="1" scenarios="1"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F483-3762-4CAD-A2C9-113DF588A5C7}">
  <sheetPr codeName="Planilha29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5" t="s">
        <v>4465</v>
      </c>
    </row>
    <row r="2" spans="1:2" x14ac:dyDescent="0.3">
      <c r="A2" s="79" t="s">
        <v>4466</v>
      </c>
    </row>
    <row r="4" spans="1:2" x14ac:dyDescent="0.3">
      <c r="A4" s="76" t="s">
        <v>4467</v>
      </c>
    </row>
    <row r="5" spans="1:2" x14ac:dyDescent="0.3">
      <c r="A5" t="s">
        <v>4468</v>
      </c>
      <c r="B5" t="s">
        <v>4469</v>
      </c>
    </row>
    <row r="6" spans="1:2" x14ac:dyDescent="0.3">
      <c r="A6" t="s">
        <v>4470</v>
      </c>
      <c r="B6" t="s">
        <v>4471</v>
      </c>
    </row>
    <row r="7" spans="1:2" x14ac:dyDescent="0.3">
      <c r="A7" t="s">
        <v>4472</v>
      </c>
      <c r="B7" t="s">
        <v>4473</v>
      </c>
    </row>
    <row r="8" spans="1:2" x14ac:dyDescent="0.3">
      <c r="A8" t="s">
        <v>4474</v>
      </c>
      <c r="B8" t="s">
        <v>4475</v>
      </c>
    </row>
    <row r="10" spans="1:2" x14ac:dyDescent="0.3">
      <c r="A10" s="76" t="s">
        <v>4476</v>
      </c>
    </row>
    <row r="11" spans="1:2" x14ac:dyDescent="0.3">
      <c r="A11" t="s">
        <v>4477</v>
      </c>
      <c r="B11" t="s">
        <v>4478</v>
      </c>
    </row>
    <row r="12" spans="1:2" x14ac:dyDescent="0.3">
      <c r="A12" t="s">
        <v>4479</v>
      </c>
      <c r="B12" t="s">
        <v>4480</v>
      </c>
    </row>
    <row r="13" spans="1:2" x14ac:dyDescent="0.3">
      <c r="A13" t="s">
        <v>4481</v>
      </c>
      <c r="B13" t="s">
        <v>4482</v>
      </c>
    </row>
    <row r="14" spans="1:2" x14ac:dyDescent="0.3">
      <c r="A14" t="s">
        <v>4483</v>
      </c>
      <c r="B14" t="s">
        <v>4484</v>
      </c>
    </row>
    <row r="15" spans="1:2" x14ac:dyDescent="0.3">
      <c r="A15" t="s">
        <v>4485</v>
      </c>
      <c r="B15" t="s">
        <v>4486</v>
      </c>
    </row>
    <row r="16" spans="1:2" x14ac:dyDescent="0.3">
      <c r="A16" t="s">
        <v>4487</v>
      </c>
      <c r="B16" t="s">
        <v>4488</v>
      </c>
    </row>
    <row r="17" spans="1:2" x14ac:dyDescent="0.3">
      <c r="A17" t="s">
        <v>4489</v>
      </c>
      <c r="B17" t="s">
        <v>4490</v>
      </c>
    </row>
    <row r="18" spans="1:2" x14ac:dyDescent="0.3">
      <c r="A18" t="s">
        <v>4491</v>
      </c>
      <c r="B18" t="s">
        <v>4492</v>
      </c>
    </row>
    <row r="20" spans="1:2" x14ac:dyDescent="0.3">
      <c r="A20" s="76" t="s">
        <v>4493</v>
      </c>
    </row>
    <row r="21" spans="1:2" x14ac:dyDescent="0.3">
      <c r="A21" t="s">
        <v>4445</v>
      </c>
      <c r="B21" t="s">
        <v>4494</v>
      </c>
    </row>
    <row r="22" spans="1:2" x14ac:dyDescent="0.3">
      <c r="A22" t="s">
        <v>4447</v>
      </c>
      <c r="B22" t="s">
        <v>4495</v>
      </c>
    </row>
    <row r="23" spans="1:2" x14ac:dyDescent="0.3">
      <c r="A23" t="s">
        <v>4496</v>
      </c>
      <c r="B23" t="s">
        <v>4497</v>
      </c>
    </row>
    <row r="24" spans="1:2" x14ac:dyDescent="0.3">
      <c r="A24" t="s">
        <v>4454</v>
      </c>
      <c r="B24" t="s">
        <v>4498</v>
      </c>
    </row>
    <row r="25" spans="1:2" x14ac:dyDescent="0.3">
      <c r="A25" t="s">
        <v>4455</v>
      </c>
      <c r="B25" t="s">
        <v>4499</v>
      </c>
    </row>
    <row r="26" spans="1:2" x14ac:dyDescent="0.3">
      <c r="A26" t="s">
        <v>4456</v>
      </c>
      <c r="B26" t="s">
        <v>4500</v>
      </c>
    </row>
    <row r="27" spans="1:2" x14ac:dyDescent="0.3">
      <c r="A27" t="s">
        <v>4501</v>
      </c>
      <c r="B27" t="s">
        <v>4502</v>
      </c>
    </row>
    <row r="28" spans="1:2" x14ac:dyDescent="0.3">
      <c r="A28" t="s">
        <v>4503</v>
      </c>
      <c r="B28" t="s">
        <v>4504</v>
      </c>
    </row>
    <row r="30" spans="1:2" x14ac:dyDescent="0.3">
      <c r="A30" t="s">
        <v>4505</v>
      </c>
      <c r="B30" t="s">
        <v>4506</v>
      </c>
    </row>
    <row r="31" spans="1:2" x14ac:dyDescent="0.3">
      <c r="A31" t="s">
        <v>4507</v>
      </c>
      <c r="B31" t="s">
        <v>4508</v>
      </c>
    </row>
  </sheetData>
  <sheetProtection algorithmName="SHA-512" hashValue="6uqwd9vCAM/G5JO00GzoH88dswKjGZeRf12tMMWyOKaHWNXKGfm0U5M6/fuM7S0HIzA+gUSkSS3jqt81HaTHHw==" saltValue="ZhzoUoyDoVfMfYUSUljkfw==" spinCount="100000" sheet="1" scenarios="1"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1E0DD-32FA-44C8-896E-7D1813A93CC1}">
  <sheetPr codeName="Planilha30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99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99" customWidth="1"/>
  </cols>
  <sheetData>
    <row r="1" spans="1:33" ht="17.399999999999999" x14ac:dyDescent="0.35">
      <c r="A1" s="101" t="s">
        <v>4436</v>
      </c>
    </row>
    <row r="2" spans="1:33" x14ac:dyDescent="0.3">
      <c r="A2" s="102" t="s">
        <v>4437</v>
      </c>
    </row>
    <row r="3" spans="1:33" s="104" customFormat="1" ht="12" x14ac:dyDescent="0.25">
      <c r="A3" s="103" t="s">
        <v>4438</v>
      </c>
      <c r="B3" s="104" t="s">
        <v>4439</v>
      </c>
      <c r="C3" s="104" t="s">
        <v>4440</v>
      </c>
      <c r="D3" s="104" t="s">
        <v>173</v>
      </c>
      <c r="E3" s="104" t="s">
        <v>4441</v>
      </c>
      <c r="F3" s="104" t="s">
        <v>4442</v>
      </c>
      <c r="G3" s="104" t="s">
        <v>4443</v>
      </c>
      <c r="H3" s="104" t="s">
        <v>4444</v>
      </c>
      <c r="I3" s="104" t="s">
        <v>4445</v>
      </c>
      <c r="J3" s="104" t="s">
        <v>353</v>
      </c>
      <c r="K3" s="104" t="s">
        <v>4446</v>
      </c>
      <c r="L3" s="104" t="s">
        <v>7</v>
      </c>
      <c r="M3" s="104" t="s">
        <v>153</v>
      </c>
      <c r="N3" s="104" t="s">
        <v>1076</v>
      </c>
      <c r="O3" s="104" t="s">
        <v>88</v>
      </c>
      <c r="P3" s="104" t="s">
        <v>4447</v>
      </c>
      <c r="Q3" s="104" t="s">
        <v>4448</v>
      </c>
      <c r="R3" s="104" t="s">
        <v>4449</v>
      </c>
      <c r="S3" s="104" t="s">
        <v>4450</v>
      </c>
      <c r="T3" s="104" t="s">
        <v>4451</v>
      </c>
      <c r="U3" s="104" t="s">
        <v>4452</v>
      </c>
      <c r="V3" s="104" t="s">
        <v>4453</v>
      </c>
      <c r="W3" s="104" t="s">
        <v>4454</v>
      </c>
      <c r="X3" s="104" t="s">
        <v>4455</v>
      </c>
      <c r="Y3" s="104" t="s">
        <v>4456</v>
      </c>
      <c r="Z3" s="104" t="s">
        <v>4457</v>
      </c>
      <c r="AA3" s="104" t="s">
        <v>4458</v>
      </c>
      <c r="AB3" s="104" t="s">
        <v>4459</v>
      </c>
      <c r="AC3" s="104" t="s">
        <v>4460</v>
      </c>
      <c r="AD3" s="104" t="s">
        <v>4461</v>
      </c>
      <c r="AE3" s="104" t="s">
        <v>4462</v>
      </c>
      <c r="AF3" s="103" t="s">
        <v>4463</v>
      </c>
      <c r="AG3" s="103" t="s">
        <v>4464</v>
      </c>
    </row>
  </sheetData>
  <sheetProtection algorithmName="SHA-512" hashValue="db16i9va3gdhHky4QZ/LpwZ35qKv+/MgMqeuF67EubapFuXMdf03Bz2GkP9fVDoQlBVFfZJ8hUNhTjf13VkBAA==" saltValue="mof559SHJz9VnBAO80nEfQ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Q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7" ht="40.200000000000003" customHeight="1" x14ac:dyDescent="0.3">
      <c r="A1" s="169" t="s">
        <v>332</v>
      </c>
      <c r="B1" s="166"/>
      <c r="C1" s="166"/>
      <c r="D1" s="166"/>
      <c r="E1" s="166"/>
      <c r="F1" s="166"/>
      <c r="G1" s="125"/>
      <c r="H1" s="229" t="str">
        <f>"Assinaturas do lote em uso: "&amp;loteAtivo</f>
        <v>Assinaturas do lote em uso: 522611</v>
      </c>
      <c r="I1" s="230"/>
      <c r="J1" s="231"/>
      <c r="K1" s="125"/>
      <c r="L1" s="125"/>
      <c r="M1" s="125"/>
      <c r="N1" s="125"/>
      <c r="O1" s="125"/>
      <c r="P1" s="125"/>
      <c r="Q1" s="125"/>
    </row>
    <row r="2" spans="1:17" ht="19.95" customHeight="1" x14ac:dyDescent="0.3">
      <c r="A2" s="168" t="s">
        <v>333</v>
      </c>
      <c r="B2" s="166"/>
      <c r="C2" s="166"/>
      <c r="D2" s="166"/>
      <c r="E2" s="166"/>
      <c r="F2" s="166"/>
    </row>
    <row r="3" spans="1:17" ht="28.2" customHeight="1" x14ac:dyDescent="0.3">
      <c r="A3" s="15" t="s">
        <v>353</v>
      </c>
      <c r="B3" s="15" t="s">
        <v>173</v>
      </c>
      <c r="C3" s="15" t="s">
        <v>334</v>
      </c>
      <c r="D3" s="15" t="s">
        <v>335</v>
      </c>
      <c r="E3" s="15" t="s">
        <v>336</v>
      </c>
      <c r="F3" s="15" t="s">
        <v>337</v>
      </c>
    </row>
    <row r="4" spans="1:17" ht="37.950000000000003" customHeight="1" x14ac:dyDescent="0.3">
      <c r="A4" s="35">
        <v>1</v>
      </c>
      <c r="B4" s="34">
        <v>45663</v>
      </c>
      <c r="C4" s="35"/>
      <c r="D4" s="35"/>
      <c r="E4" s="35"/>
      <c r="F4" s="35"/>
    </row>
    <row r="5" spans="1:17" ht="37.950000000000003" customHeight="1" x14ac:dyDescent="0.3">
      <c r="A5" s="35">
        <v>2</v>
      </c>
      <c r="B5" s="34">
        <v>45670</v>
      </c>
      <c r="C5" s="35"/>
      <c r="D5" s="35"/>
      <c r="E5" s="35"/>
      <c r="F5" s="35"/>
    </row>
    <row r="6" spans="1:17" ht="37.950000000000003" customHeight="1" x14ac:dyDescent="0.3">
      <c r="A6" s="35">
        <v>3</v>
      </c>
      <c r="B6" s="34">
        <v>45677</v>
      </c>
      <c r="C6" s="35"/>
      <c r="D6" s="35"/>
      <c r="E6" s="35"/>
      <c r="F6" s="35"/>
    </row>
    <row r="7" spans="1:17" ht="37.950000000000003" customHeight="1" x14ac:dyDescent="0.3">
      <c r="A7" s="35">
        <v>4</v>
      </c>
      <c r="B7" s="34">
        <v>45684</v>
      </c>
      <c r="C7" s="35"/>
      <c r="D7" s="35"/>
      <c r="E7" s="35"/>
      <c r="F7" s="35"/>
    </row>
    <row r="8" spans="1:17" ht="37.950000000000003" customHeight="1" x14ac:dyDescent="0.3">
      <c r="A8" s="35">
        <v>5</v>
      </c>
      <c r="B8" s="34">
        <v>45691</v>
      </c>
      <c r="C8" s="35"/>
      <c r="D8" s="35"/>
      <c r="E8" s="35"/>
      <c r="F8" s="35"/>
    </row>
    <row r="9" spans="1:17" ht="37.950000000000003" customHeight="1" x14ac:dyDescent="0.3">
      <c r="A9" s="35">
        <v>6</v>
      </c>
      <c r="B9" s="34">
        <v>45698</v>
      </c>
      <c r="C9" s="35"/>
      <c r="D9" s="35"/>
      <c r="E9" s="35"/>
      <c r="F9" s="35"/>
    </row>
    <row r="10" spans="1:17" ht="37.950000000000003" customHeight="1" x14ac:dyDescent="0.3">
      <c r="A10" s="35">
        <v>7</v>
      </c>
      <c r="B10" s="34">
        <v>45705</v>
      </c>
      <c r="C10" s="35"/>
      <c r="D10" s="35"/>
      <c r="E10" s="35"/>
      <c r="F10" s="35"/>
    </row>
    <row r="11" spans="1:17" ht="37.950000000000003" customHeight="1" x14ac:dyDescent="0.3">
      <c r="A11" s="35">
        <v>8</v>
      </c>
      <c r="B11" s="34">
        <v>45712</v>
      </c>
      <c r="C11" s="35"/>
      <c r="D11" s="35"/>
      <c r="E11" s="35"/>
      <c r="F11" s="35"/>
    </row>
    <row r="12" spans="1:17" ht="37.950000000000003" customHeight="1" x14ac:dyDescent="0.3">
      <c r="A12" s="35">
        <v>9</v>
      </c>
      <c r="B12" s="34">
        <v>45719</v>
      </c>
      <c r="C12" s="35"/>
      <c r="D12" s="35"/>
      <c r="E12" s="35"/>
      <c r="F12" s="35"/>
    </row>
    <row r="13" spans="1:17" ht="37.950000000000003" customHeight="1" x14ac:dyDescent="0.3">
      <c r="A13" s="35">
        <v>10</v>
      </c>
      <c r="B13" s="34">
        <v>45726</v>
      </c>
      <c r="C13" s="35"/>
      <c r="D13" s="35"/>
      <c r="E13" s="35"/>
      <c r="F13" s="35"/>
    </row>
    <row r="14" spans="1:17" ht="37.950000000000003" customHeight="1" x14ac:dyDescent="0.3">
      <c r="A14" s="35">
        <v>11</v>
      </c>
      <c r="B14" s="34">
        <v>45733</v>
      </c>
      <c r="C14" s="35"/>
      <c r="D14" s="35"/>
      <c r="E14" s="35"/>
      <c r="F14" s="35"/>
    </row>
    <row r="15" spans="1:17" ht="37.950000000000003" customHeight="1" x14ac:dyDescent="0.3">
      <c r="A15" s="35">
        <v>12</v>
      </c>
      <c r="B15" s="34">
        <v>45740</v>
      </c>
      <c r="C15" s="35"/>
      <c r="D15" s="35"/>
      <c r="E15" s="35"/>
      <c r="F15" s="35"/>
    </row>
    <row r="16" spans="1:17" ht="37.950000000000003" customHeight="1" x14ac:dyDescent="0.3">
      <c r="A16" s="35">
        <v>13</v>
      </c>
      <c r="B16" s="34">
        <v>45747</v>
      </c>
      <c r="C16" s="35"/>
      <c r="D16" s="35"/>
      <c r="E16" s="35"/>
      <c r="F16" s="35"/>
    </row>
    <row r="17" spans="1:6" ht="37.950000000000003" customHeight="1" x14ac:dyDescent="0.3">
      <c r="A17" s="35">
        <v>14</v>
      </c>
      <c r="B17" s="34">
        <v>45754</v>
      </c>
      <c r="C17" s="35"/>
      <c r="D17" s="35"/>
      <c r="E17" s="35"/>
      <c r="F17" s="35"/>
    </row>
    <row r="18" spans="1:6" ht="37.950000000000003" customHeight="1" x14ac:dyDescent="0.3">
      <c r="A18" s="35">
        <v>15</v>
      </c>
      <c r="B18" s="34">
        <v>45761</v>
      </c>
      <c r="C18" s="35"/>
      <c r="D18" s="35"/>
      <c r="E18" s="35"/>
      <c r="F18" s="35"/>
    </row>
    <row r="19" spans="1:6" ht="37.950000000000003" customHeight="1" x14ac:dyDescent="0.3">
      <c r="A19" s="35">
        <v>16</v>
      </c>
      <c r="B19" s="34">
        <v>45768</v>
      </c>
      <c r="C19" s="35"/>
      <c r="D19" s="35"/>
      <c r="E19" s="35"/>
      <c r="F19" s="35"/>
    </row>
    <row r="20" spans="1:6" ht="37.950000000000003" customHeight="1" x14ac:dyDescent="0.3">
      <c r="A20" s="35">
        <v>17</v>
      </c>
      <c r="B20" s="34">
        <v>45775</v>
      </c>
      <c r="C20" s="35"/>
      <c r="D20" s="35"/>
      <c r="E20" s="35"/>
      <c r="F20" s="35"/>
    </row>
    <row r="21" spans="1:6" ht="37.950000000000003" customHeight="1" x14ac:dyDescent="0.3">
      <c r="A21" s="35">
        <v>18</v>
      </c>
      <c r="B21" s="34">
        <v>45782</v>
      </c>
      <c r="C21" s="35"/>
      <c r="D21" s="35"/>
      <c r="E21" s="35"/>
      <c r="F21" s="35"/>
    </row>
    <row r="22" spans="1:6" ht="37.950000000000003" customHeight="1" x14ac:dyDescent="0.3">
      <c r="A22" s="35">
        <v>19</v>
      </c>
      <c r="B22" s="34">
        <v>45789</v>
      </c>
      <c r="C22" s="35"/>
      <c r="D22" s="35"/>
      <c r="E22" s="35"/>
      <c r="F22" s="35"/>
    </row>
    <row r="23" spans="1:6" ht="37.950000000000003" customHeight="1" x14ac:dyDescent="0.3">
      <c r="A23" s="35">
        <v>20</v>
      </c>
      <c r="B23" s="34">
        <v>45796</v>
      </c>
      <c r="C23" s="35"/>
      <c r="D23" s="35"/>
      <c r="E23" s="35"/>
      <c r="F23" s="35"/>
    </row>
    <row r="24" spans="1:6" ht="37.950000000000003" customHeight="1" x14ac:dyDescent="0.3">
      <c r="A24" s="35">
        <v>21</v>
      </c>
      <c r="B24" s="34">
        <v>45803</v>
      </c>
      <c r="C24" s="35"/>
      <c r="D24" s="35"/>
      <c r="E24" s="35"/>
      <c r="F24" s="35"/>
    </row>
    <row r="25" spans="1:6" ht="37.950000000000003" customHeight="1" x14ac:dyDescent="0.3">
      <c r="A25" s="35">
        <v>22</v>
      </c>
      <c r="B25" s="34">
        <v>45810</v>
      </c>
      <c r="C25" s="35"/>
      <c r="D25" s="35"/>
      <c r="E25" s="35"/>
      <c r="F25" s="35"/>
    </row>
    <row r="26" spans="1:6" ht="37.950000000000003" customHeight="1" x14ac:dyDescent="0.3">
      <c r="A26" s="35">
        <v>23</v>
      </c>
      <c r="B26" s="34">
        <v>45817</v>
      </c>
      <c r="C26" s="35"/>
      <c r="D26" s="35"/>
      <c r="E26" s="35"/>
      <c r="F26" s="35"/>
    </row>
    <row r="27" spans="1:6" ht="37.950000000000003" customHeight="1" x14ac:dyDescent="0.3">
      <c r="A27" s="35">
        <v>24</v>
      </c>
      <c r="B27" s="34">
        <v>45824</v>
      </c>
      <c r="C27" s="35"/>
      <c r="D27" s="35"/>
      <c r="E27" s="35"/>
      <c r="F27" s="35"/>
    </row>
    <row r="28" spans="1:6" ht="37.950000000000003" customHeight="1" x14ac:dyDescent="0.3">
      <c r="A28" s="35">
        <v>25</v>
      </c>
      <c r="B28" s="34">
        <v>45831</v>
      </c>
      <c r="C28" s="35"/>
      <c r="D28" s="35"/>
      <c r="E28" s="35"/>
      <c r="F28" s="35"/>
    </row>
    <row r="29" spans="1:6" ht="37.950000000000003" customHeight="1" x14ac:dyDescent="0.3">
      <c r="A29" s="35"/>
      <c r="B29" s="34"/>
      <c r="C29" s="35"/>
      <c r="D29" s="35"/>
      <c r="E29" s="35"/>
      <c r="F29" s="35"/>
    </row>
    <row r="30" spans="1:6" ht="37.950000000000003" customHeight="1" x14ac:dyDescent="0.3">
      <c r="A30" s="35"/>
      <c r="B30" s="34"/>
      <c r="C30" s="35"/>
      <c r="D30" s="35"/>
      <c r="E30" s="35"/>
      <c r="F30" s="35"/>
    </row>
    <row r="31" spans="1:6" ht="37.950000000000003" customHeight="1" x14ac:dyDescent="0.3">
      <c r="A31" s="35"/>
      <c r="B31" s="34"/>
      <c r="C31" s="35"/>
      <c r="D31" s="35"/>
      <c r="E31" s="35"/>
      <c r="F31" s="35"/>
    </row>
    <row r="32" spans="1:6" ht="37.950000000000003" customHeight="1" x14ac:dyDescent="0.3">
      <c r="A32" s="35"/>
      <c r="B32" s="34"/>
      <c r="C32" s="35"/>
      <c r="D32" s="35"/>
      <c r="E32" s="35"/>
      <c r="F32" s="35"/>
    </row>
    <row r="33" spans="1:6" ht="37.950000000000003" customHeight="1" x14ac:dyDescent="0.3">
      <c r="A33" s="35"/>
      <c r="B33" s="34"/>
      <c r="C33" s="35"/>
      <c r="D33" s="35"/>
      <c r="E33" s="35"/>
      <c r="F33" s="35"/>
    </row>
    <row r="34" spans="1:6" ht="37.950000000000003" customHeight="1" x14ac:dyDescent="0.3">
      <c r="A34" s="35"/>
      <c r="B34" s="34"/>
      <c r="C34" s="35"/>
      <c r="D34" s="35"/>
      <c r="E34" s="35"/>
      <c r="F34" s="35"/>
    </row>
    <row r="35" spans="1:6" ht="37.950000000000003" customHeight="1" x14ac:dyDescent="0.3">
      <c r="A35" s="35"/>
      <c r="B35" s="34"/>
      <c r="C35" s="35"/>
      <c r="D35" s="35"/>
      <c r="E35" s="35"/>
      <c r="F35" s="35"/>
    </row>
    <row r="36" spans="1:6" ht="37.950000000000003" customHeight="1" x14ac:dyDescent="0.3">
      <c r="A36" s="35"/>
      <c r="B36" s="34"/>
      <c r="C36" s="35"/>
      <c r="D36" s="35"/>
      <c r="E36" s="35"/>
      <c r="F36" s="35"/>
    </row>
    <row r="37" spans="1:6" ht="37.950000000000003" customHeight="1" x14ac:dyDescent="0.3">
      <c r="A37" s="35"/>
      <c r="B37" s="34"/>
      <c r="C37" s="35"/>
      <c r="D37" s="35"/>
      <c r="E37" s="35"/>
      <c r="F37" s="35"/>
    </row>
    <row r="38" spans="1:6" ht="37.950000000000003" customHeight="1" x14ac:dyDescent="0.3">
      <c r="A38" s="35"/>
      <c r="B38" s="34"/>
      <c r="C38" s="35"/>
      <c r="D38" s="35"/>
      <c r="E38" s="35"/>
      <c r="F38" s="35"/>
    </row>
    <row r="39" spans="1:6" ht="37.950000000000003" customHeight="1" x14ac:dyDescent="0.3">
      <c r="A39" s="35"/>
      <c r="B39" s="34"/>
      <c r="C39" s="35"/>
      <c r="D39" s="35"/>
      <c r="E39" s="35"/>
      <c r="F39" s="35"/>
    </row>
    <row r="40" spans="1:6" ht="37.950000000000003" customHeight="1" x14ac:dyDescent="0.3">
      <c r="A40" s="35"/>
      <c r="B40" s="34"/>
      <c r="C40" s="35"/>
      <c r="D40" s="35"/>
      <c r="E40" s="35"/>
      <c r="F40" s="35"/>
    </row>
    <row r="41" spans="1:6" ht="37.950000000000003" customHeight="1" x14ac:dyDescent="0.3">
      <c r="A41" s="35"/>
      <c r="B41" s="34"/>
      <c r="C41" s="35"/>
      <c r="D41" s="35"/>
      <c r="E41" s="35"/>
      <c r="F41" s="35"/>
    </row>
    <row r="42" spans="1:6" ht="37.950000000000003" customHeight="1" x14ac:dyDescent="0.3">
      <c r="A42" s="35"/>
      <c r="B42" s="34"/>
      <c r="C42" s="35"/>
      <c r="D42" s="35"/>
      <c r="E42" s="35"/>
      <c r="F42" s="35"/>
    </row>
    <row r="43" spans="1:6" ht="37.950000000000003" customHeight="1" x14ac:dyDescent="0.3">
      <c r="A43" s="35"/>
      <c r="B43" s="34"/>
      <c r="C43" s="35"/>
      <c r="D43" s="35"/>
      <c r="E43" s="35"/>
      <c r="F43" s="35"/>
    </row>
    <row r="44" spans="1:6" ht="37.950000000000003" customHeight="1" x14ac:dyDescent="0.3">
      <c r="A44" s="35"/>
      <c r="B44" s="34"/>
      <c r="C44" s="35"/>
      <c r="D44" s="35"/>
      <c r="E44" s="35"/>
      <c r="F44" s="35"/>
    </row>
    <row r="45" spans="1:6" ht="37.950000000000003" customHeight="1" x14ac:dyDescent="0.3">
      <c r="A45" s="35"/>
      <c r="B45" s="34"/>
      <c r="C45" s="35"/>
      <c r="D45" s="35"/>
      <c r="E45" s="35"/>
      <c r="F45" s="35"/>
    </row>
    <row r="46" spans="1:6" ht="37.950000000000003" customHeight="1" x14ac:dyDescent="0.3">
      <c r="A46" s="35"/>
      <c r="B46" s="34"/>
      <c r="C46" s="35"/>
      <c r="D46" s="35"/>
      <c r="E46" s="35"/>
      <c r="F46" s="35"/>
    </row>
    <row r="47" spans="1:6" ht="37.950000000000003" customHeight="1" x14ac:dyDescent="0.3">
      <c r="A47" s="35"/>
      <c r="B47" s="34"/>
      <c r="C47" s="35"/>
      <c r="D47" s="35"/>
      <c r="E47" s="35"/>
      <c r="F47" s="35"/>
    </row>
    <row r="48" spans="1:6" ht="37.950000000000003" customHeight="1" x14ac:dyDescent="0.3">
      <c r="A48" s="35"/>
      <c r="B48" s="34"/>
      <c r="C48" s="35"/>
      <c r="D48" s="35"/>
      <c r="E48" s="35"/>
      <c r="F48" s="35"/>
    </row>
    <row r="49" spans="1:6" ht="37.950000000000003" customHeight="1" x14ac:dyDescent="0.3">
      <c r="A49" s="35"/>
      <c r="B49" s="34"/>
      <c r="C49" s="35"/>
      <c r="D49" s="35"/>
      <c r="E49" s="35"/>
      <c r="F49" s="35"/>
    </row>
    <row r="50" spans="1:6" ht="37.950000000000003" customHeight="1" x14ac:dyDescent="0.3">
      <c r="A50" s="35"/>
      <c r="B50" s="34"/>
      <c r="C50" s="35"/>
      <c r="D50" s="35"/>
      <c r="E50" s="35"/>
      <c r="F50" s="35"/>
    </row>
    <row r="51" spans="1:6" ht="37.950000000000003" customHeight="1" x14ac:dyDescent="0.3">
      <c r="A51" s="35"/>
      <c r="B51" s="34"/>
      <c r="C51" s="35"/>
      <c r="D51" s="35"/>
      <c r="E51" s="35"/>
      <c r="F51" s="35"/>
    </row>
    <row r="52" spans="1:6" ht="37.950000000000003" customHeight="1" x14ac:dyDescent="0.3">
      <c r="A52" s="35"/>
      <c r="B52" s="34"/>
      <c r="C52" s="35"/>
      <c r="D52" s="35"/>
      <c r="E52" s="35"/>
      <c r="F52" s="35"/>
    </row>
    <row r="53" spans="1:6" ht="37.950000000000003" customHeight="1" x14ac:dyDescent="0.3">
      <c r="A53" s="35"/>
      <c r="B53" s="34"/>
      <c r="C53" s="35"/>
      <c r="D53" s="35"/>
      <c r="E53" s="35"/>
      <c r="F53" s="35"/>
    </row>
    <row r="54" spans="1:6" ht="37.950000000000003" customHeight="1" x14ac:dyDescent="0.3">
      <c r="A54" s="35"/>
      <c r="B54" s="34"/>
      <c r="C54" s="35"/>
      <c r="D54" s="35"/>
      <c r="E54" s="35"/>
      <c r="F54" s="35"/>
    </row>
    <row r="55" spans="1:6" ht="37.950000000000003" customHeight="1" x14ac:dyDescent="0.3">
      <c r="A55" s="35"/>
      <c r="B55" s="34"/>
      <c r="C55" s="35"/>
      <c r="D55" s="35"/>
      <c r="E55" s="35"/>
      <c r="F55" s="35"/>
    </row>
    <row r="56" spans="1:6" ht="37.950000000000003" customHeight="1" x14ac:dyDescent="0.3">
      <c r="A56" s="35"/>
      <c r="B56" s="34"/>
      <c r="C56" s="35"/>
      <c r="D56" s="35"/>
      <c r="E56" s="35"/>
      <c r="F56" s="35"/>
    </row>
    <row r="57" spans="1:6" ht="37.950000000000003" customHeight="1" x14ac:dyDescent="0.3">
      <c r="A57" s="35"/>
      <c r="B57" s="34"/>
      <c r="C57" s="35"/>
      <c r="D57" s="35"/>
      <c r="E57" s="35"/>
      <c r="F57" s="35"/>
    </row>
    <row r="58" spans="1:6" ht="37.950000000000003" customHeight="1" x14ac:dyDescent="0.3">
      <c r="A58" s="35"/>
      <c r="B58" s="34"/>
      <c r="C58" s="35"/>
      <c r="D58" s="35"/>
      <c r="E58" s="35"/>
      <c r="F58" s="35"/>
    </row>
    <row r="59" spans="1:6" ht="37.950000000000003" customHeight="1" x14ac:dyDescent="0.3">
      <c r="A59" s="35"/>
      <c r="B59" s="34"/>
      <c r="C59" s="35"/>
      <c r="D59" s="35"/>
      <c r="E59" s="35"/>
      <c r="F59" s="35"/>
    </row>
    <row r="60" spans="1:6" ht="37.950000000000003" customHeight="1" x14ac:dyDescent="0.3">
      <c r="A60" s="35"/>
      <c r="B60" s="34"/>
      <c r="C60" s="35"/>
      <c r="D60" s="35"/>
      <c r="E60" s="35"/>
      <c r="F60" s="35"/>
    </row>
    <row r="61" spans="1:6" ht="37.950000000000003" customHeight="1" x14ac:dyDescent="0.3">
      <c r="A61" s="35"/>
      <c r="B61" s="34"/>
      <c r="C61" s="35"/>
      <c r="D61" s="35"/>
      <c r="E61" s="35"/>
      <c r="F61" s="35"/>
    </row>
    <row r="62" spans="1:6" ht="37.950000000000003" customHeight="1" x14ac:dyDescent="0.3">
      <c r="A62" s="35"/>
      <c r="B62" s="34"/>
      <c r="C62" s="35"/>
      <c r="D62" s="35"/>
      <c r="E62" s="35"/>
      <c r="F62" s="35"/>
    </row>
    <row r="63" spans="1:6" ht="37.950000000000003" customHeight="1" x14ac:dyDescent="0.3">
      <c r="A63" s="35"/>
      <c r="B63" s="34"/>
      <c r="C63" s="35"/>
      <c r="D63" s="35"/>
      <c r="E63" s="35"/>
      <c r="F63" s="35"/>
    </row>
    <row r="64" spans="1:6" ht="37.950000000000003" customHeight="1" x14ac:dyDescent="0.3">
      <c r="A64" s="35"/>
      <c r="B64" s="34"/>
      <c r="C64" s="35"/>
      <c r="D64" s="35"/>
      <c r="E64" s="35"/>
      <c r="F64" s="35"/>
    </row>
    <row r="65" spans="1:6" ht="37.950000000000003" customHeight="1" x14ac:dyDescent="0.3">
      <c r="A65" s="35"/>
      <c r="B65" s="34"/>
      <c r="C65" s="35"/>
      <c r="D65" s="35"/>
      <c r="E65" s="35"/>
      <c r="F65" s="35"/>
    </row>
    <row r="66" spans="1:6" ht="37.950000000000003" customHeight="1" x14ac:dyDescent="0.3">
      <c r="A66" s="35"/>
      <c r="B66" s="34"/>
      <c r="C66" s="35"/>
      <c r="D66" s="35"/>
      <c r="E66" s="35"/>
      <c r="F66" s="35"/>
    </row>
    <row r="67" spans="1:6" ht="37.950000000000003" customHeight="1" x14ac:dyDescent="0.3">
      <c r="A67" s="35"/>
      <c r="B67" s="34"/>
      <c r="C67" s="35"/>
      <c r="D67" s="35"/>
      <c r="E67" s="35"/>
      <c r="F67" s="35"/>
    </row>
    <row r="68" spans="1:6" ht="37.950000000000003" customHeight="1" x14ac:dyDescent="0.3">
      <c r="A68" s="35"/>
      <c r="B68" s="34"/>
      <c r="C68" s="35"/>
      <c r="D68" s="35"/>
      <c r="E68" s="35"/>
      <c r="F68" s="35"/>
    </row>
    <row r="69" spans="1:6" ht="37.950000000000003" customHeight="1" x14ac:dyDescent="0.3">
      <c r="A69" s="35"/>
      <c r="B69" s="34"/>
      <c r="C69" s="35"/>
      <c r="D69" s="35"/>
      <c r="E69" s="35"/>
      <c r="F69" s="35"/>
    </row>
    <row r="70" spans="1:6" ht="37.950000000000003" customHeight="1" x14ac:dyDescent="0.3">
      <c r="A70" s="35"/>
      <c r="B70" s="34"/>
      <c r="C70" s="35"/>
      <c r="D70" s="35"/>
      <c r="E70" s="35"/>
      <c r="F70" s="35"/>
    </row>
    <row r="71" spans="1:6" ht="37.950000000000003" customHeight="1" x14ac:dyDescent="0.3">
      <c r="A71" s="35"/>
      <c r="B71" s="34"/>
      <c r="C71" s="35"/>
      <c r="D71" s="35"/>
      <c r="E71" s="35"/>
      <c r="F71" s="35"/>
    </row>
    <row r="72" spans="1:6" ht="37.950000000000003" customHeight="1" x14ac:dyDescent="0.3">
      <c r="A72" s="35"/>
      <c r="B72" s="34"/>
      <c r="C72" s="35"/>
      <c r="D72" s="35"/>
      <c r="E72" s="35"/>
      <c r="F72" s="35"/>
    </row>
    <row r="73" spans="1:6" ht="37.950000000000003" customHeight="1" x14ac:dyDescent="0.3">
      <c r="A73" s="35"/>
      <c r="B73" s="34"/>
      <c r="C73" s="35"/>
      <c r="D73" s="35"/>
      <c r="E73" s="35"/>
      <c r="F73" s="35"/>
    </row>
    <row r="74" spans="1:6" ht="37.950000000000003" customHeight="1" x14ac:dyDescent="0.3">
      <c r="A74" s="35"/>
      <c r="B74" s="34"/>
      <c r="C74" s="35"/>
      <c r="D74" s="35"/>
      <c r="E74" s="35"/>
      <c r="F74" s="35"/>
    </row>
    <row r="75" spans="1:6" ht="37.950000000000003" customHeight="1" x14ac:dyDescent="0.3">
      <c r="A75" s="35"/>
      <c r="B75" s="34"/>
      <c r="C75" s="35"/>
      <c r="D75" s="35"/>
      <c r="E75" s="35"/>
      <c r="F75" s="35"/>
    </row>
    <row r="76" spans="1:6" ht="37.950000000000003" customHeight="1" x14ac:dyDescent="0.3">
      <c r="A76" s="35"/>
      <c r="B76" s="34"/>
      <c r="C76" s="35"/>
      <c r="D76" s="35"/>
      <c r="E76" s="35"/>
      <c r="F76" s="35"/>
    </row>
    <row r="77" spans="1:6" ht="37.950000000000003" customHeight="1" x14ac:dyDescent="0.3">
      <c r="A77" s="35"/>
      <c r="B77" s="34"/>
      <c r="C77" s="35"/>
      <c r="D77" s="35"/>
      <c r="E77" s="35"/>
      <c r="F77" s="35"/>
    </row>
    <row r="78" spans="1:6" ht="37.950000000000003" customHeight="1" x14ac:dyDescent="0.3">
      <c r="A78" s="35"/>
      <c r="B78" s="34"/>
      <c r="C78" s="35"/>
      <c r="D78" s="35"/>
      <c r="E78" s="35"/>
      <c r="F78" s="35"/>
    </row>
    <row r="79" spans="1:6" ht="37.950000000000003" customHeight="1" x14ac:dyDescent="0.3">
      <c r="A79" s="35"/>
      <c r="B79" s="34"/>
      <c r="C79" s="35"/>
      <c r="D79" s="35"/>
      <c r="E79" s="35"/>
      <c r="F79" s="35"/>
    </row>
    <row r="80" spans="1:6" ht="37.950000000000003" customHeight="1" x14ac:dyDescent="0.3">
      <c r="A80" s="35"/>
      <c r="B80" s="34"/>
      <c r="C80" s="35"/>
      <c r="D80" s="35"/>
      <c r="E80" s="35"/>
      <c r="F80" s="35"/>
    </row>
    <row r="81" spans="1:6" ht="37.950000000000003" customHeight="1" x14ac:dyDescent="0.3">
      <c r="A81" s="35"/>
      <c r="B81" s="34"/>
      <c r="C81" s="35"/>
      <c r="D81" s="35"/>
      <c r="E81" s="35"/>
      <c r="F81" s="35"/>
    </row>
    <row r="82" spans="1:6" ht="37.950000000000003" customHeight="1" x14ac:dyDescent="0.3">
      <c r="A82" s="35"/>
      <c r="B82" s="34"/>
      <c r="C82" s="35"/>
      <c r="D82" s="35"/>
      <c r="E82" s="35"/>
      <c r="F82" s="35"/>
    </row>
    <row r="83" spans="1:6" ht="37.950000000000003" customHeight="1" x14ac:dyDescent="0.3">
      <c r="A83" s="35"/>
      <c r="B83" s="34"/>
      <c r="C83" s="35"/>
      <c r="D83" s="35"/>
      <c r="E83" s="35"/>
      <c r="F83" s="35"/>
    </row>
    <row r="84" spans="1:6" ht="37.950000000000003" customHeight="1" x14ac:dyDescent="0.3">
      <c r="A84" s="35"/>
      <c r="B84" s="34"/>
      <c r="C84" s="35"/>
      <c r="D84" s="35"/>
      <c r="E84" s="35"/>
      <c r="F84" s="35"/>
    </row>
    <row r="85" spans="1:6" ht="37.950000000000003" customHeight="1" x14ac:dyDescent="0.3">
      <c r="A85" s="35"/>
      <c r="B85" s="34"/>
      <c r="C85" s="35"/>
      <c r="D85" s="35"/>
      <c r="E85" s="35"/>
      <c r="F85" s="35"/>
    </row>
    <row r="86" spans="1:6" ht="37.950000000000003" customHeight="1" x14ac:dyDescent="0.3">
      <c r="A86" s="35"/>
      <c r="B86" s="34"/>
      <c r="C86" s="35"/>
      <c r="D86" s="35"/>
      <c r="E86" s="35"/>
      <c r="F86" s="35"/>
    </row>
    <row r="87" spans="1:6" ht="37.950000000000003" customHeight="1" x14ac:dyDescent="0.3">
      <c r="A87" s="35"/>
      <c r="B87" s="34"/>
      <c r="C87" s="35"/>
      <c r="D87" s="35"/>
      <c r="E87" s="35"/>
      <c r="F87" s="35"/>
    </row>
    <row r="88" spans="1:6" ht="37.950000000000003" customHeight="1" x14ac:dyDescent="0.3">
      <c r="A88" s="35"/>
      <c r="B88" s="34"/>
      <c r="C88" s="35"/>
      <c r="D88" s="35"/>
      <c r="E88" s="35"/>
      <c r="F88" s="35"/>
    </row>
    <row r="89" spans="1:6" ht="37.950000000000003" customHeight="1" x14ac:dyDescent="0.3">
      <c r="A89" s="35"/>
      <c r="B89" s="34"/>
      <c r="C89" s="35"/>
      <c r="D89" s="35"/>
      <c r="E89" s="35"/>
      <c r="F89" s="35"/>
    </row>
    <row r="90" spans="1:6" ht="37.950000000000003" customHeight="1" x14ac:dyDescent="0.3">
      <c r="A90" s="35"/>
      <c r="B90" s="34"/>
      <c r="C90" s="35"/>
      <c r="D90" s="35"/>
      <c r="E90" s="35"/>
      <c r="F90" s="35"/>
    </row>
    <row r="91" spans="1:6" ht="37.950000000000003" customHeight="1" x14ac:dyDescent="0.3">
      <c r="A91" s="35"/>
      <c r="B91" s="34"/>
      <c r="C91" s="35"/>
      <c r="D91" s="35"/>
      <c r="E91" s="35"/>
      <c r="F91" s="35"/>
    </row>
    <row r="92" spans="1:6" ht="37.950000000000003" customHeight="1" x14ac:dyDescent="0.3">
      <c r="A92" s="35"/>
      <c r="B92" s="34"/>
      <c r="C92" s="35"/>
      <c r="D92" s="35"/>
      <c r="E92" s="35"/>
      <c r="F92" s="35"/>
    </row>
    <row r="93" spans="1:6" ht="37.950000000000003" customHeight="1" x14ac:dyDescent="0.3">
      <c r="A93" s="35"/>
      <c r="B93" s="34"/>
      <c r="C93" s="35"/>
      <c r="D93" s="35"/>
      <c r="E93" s="35"/>
      <c r="F93" s="35"/>
    </row>
    <row r="94" spans="1:6" ht="37.950000000000003" customHeight="1" x14ac:dyDescent="0.3">
      <c r="A94" s="35"/>
      <c r="B94" s="34"/>
      <c r="C94" s="35"/>
      <c r="D94" s="35"/>
      <c r="E94" s="35"/>
      <c r="F94" s="35"/>
    </row>
    <row r="95" spans="1:6" ht="37.950000000000003" customHeight="1" x14ac:dyDescent="0.3">
      <c r="A95" s="35"/>
      <c r="B95" s="34"/>
      <c r="C95" s="35"/>
      <c r="D95" s="35"/>
      <c r="E95" s="35"/>
      <c r="F95" s="35"/>
    </row>
    <row r="96" spans="1:6" ht="37.950000000000003" customHeight="1" x14ac:dyDescent="0.3">
      <c r="A96" s="35"/>
      <c r="B96" s="34"/>
      <c r="C96" s="35"/>
      <c r="D96" s="35"/>
      <c r="E96" s="35"/>
      <c r="F96" s="35"/>
    </row>
    <row r="97" spans="1:6" ht="37.950000000000003" customHeight="1" x14ac:dyDescent="0.3">
      <c r="A97" s="35"/>
      <c r="B97" s="34"/>
      <c r="C97" s="35"/>
      <c r="D97" s="35"/>
      <c r="E97" s="35"/>
      <c r="F97" s="35"/>
    </row>
    <row r="98" spans="1:6" ht="37.950000000000003" customHeight="1" x14ac:dyDescent="0.3">
      <c r="A98" s="35"/>
      <c r="B98" s="34"/>
      <c r="C98" s="35"/>
      <c r="D98" s="35"/>
      <c r="E98" s="35"/>
      <c r="F98" s="35"/>
    </row>
    <row r="99" spans="1:6" ht="37.950000000000003" customHeight="1" x14ac:dyDescent="0.3">
      <c r="A99" s="35"/>
      <c r="B99" s="34"/>
      <c r="C99" s="35"/>
      <c r="D99" s="35"/>
      <c r="E99" s="35"/>
      <c r="F99" s="35"/>
    </row>
    <row r="100" spans="1:6" ht="37.950000000000003" customHeight="1" x14ac:dyDescent="0.3">
      <c r="A100" s="35"/>
      <c r="B100" s="34"/>
      <c r="C100" s="35"/>
      <c r="D100" s="35"/>
      <c r="E100" s="35"/>
      <c r="F100" s="35"/>
    </row>
    <row r="101" spans="1:6" ht="37.950000000000003" customHeight="1" x14ac:dyDescent="0.3">
      <c r="A101" s="35"/>
      <c r="B101" s="34"/>
      <c r="C101" s="35"/>
      <c r="D101" s="35"/>
      <c r="E101" s="35"/>
      <c r="F101" s="35"/>
    </row>
    <row r="102" spans="1:6" ht="37.950000000000003" customHeight="1" x14ac:dyDescent="0.3">
      <c r="A102" s="35"/>
      <c r="B102" s="34"/>
      <c r="C102" s="35"/>
      <c r="D102" s="35"/>
      <c r="E102" s="35"/>
      <c r="F102" s="35"/>
    </row>
    <row r="103" spans="1:6" ht="37.950000000000003" customHeight="1" x14ac:dyDescent="0.3">
      <c r="A103" s="35"/>
      <c r="B103" s="34"/>
      <c r="C103" s="35"/>
      <c r="D103" s="35"/>
      <c r="E103" s="35"/>
      <c r="F103" s="35"/>
    </row>
    <row r="104" spans="1:6" ht="37.950000000000003" customHeight="1" x14ac:dyDescent="0.3">
      <c r="A104" s="35"/>
      <c r="B104" s="34"/>
      <c r="C104" s="35"/>
      <c r="D104" s="35"/>
      <c r="E104" s="35"/>
      <c r="F104" s="35"/>
    </row>
    <row r="105" spans="1:6" ht="37.950000000000003" customHeight="1" x14ac:dyDescent="0.3">
      <c r="A105" s="35"/>
      <c r="B105" s="34"/>
      <c r="C105" s="35"/>
      <c r="D105" s="35"/>
      <c r="E105" s="35"/>
      <c r="F105" s="35"/>
    </row>
    <row r="106" spans="1:6" ht="37.950000000000003" customHeight="1" x14ac:dyDescent="0.3">
      <c r="A106" s="35"/>
      <c r="B106" s="34"/>
      <c r="C106" s="35"/>
      <c r="D106" s="35"/>
      <c r="E106" s="35"/>
      <c r="F106" s="35"/>
    </row>
    <row r="107" spans="1:6" ht="37.950000000000003" customHeight="1" x14ac:dyDescent="0.3">
      <c r="A107" s="35"/>
      <c r="B107" s="34"/>
      <c r="C107" s="35"/>
      <c r="D107" s="35"/>
      <c r="E107" s="35"/>
      <c r="F107" s="35"/>
    </row>
    <row r="108" spans="1:6" ht="37.950000000000003" customHeight="1" x14ac:dyDescent="0.3">
      <c r="A108" s="35"/>
      <c r="B108" s="34"/>
      <c r="C108" s="35"/>
      <c r="D108" s="35"/>
      <c r="E108" s="35"/>
      <c r="F108" s="35"/>
    </row>
    <row r="109" spans="1:6" ht="37.950000000000003" customHeight="1" x14ac:dyDescent="0.3">
      <c r="A109" s="35"/>
      <c r="B109" s="34"/>
      <c r="C109" s="35"/>
      <c r="D109" s="35"/>
      <c r="E109" s="35"/>
      <c r="F109" s="35"/>
    </row>
    <row r="110" spans="1:6" ht="37.950000000000003" customHeight="1" x14ac:dyDescent="0.3">
      <c r="A110" s="35"/>
      <c r="B110" s="34"/>
      <c r="C110" s="35"/>
      <c r="D110" s="35"/>
      <c r="E110" s="35"/>
      <c r="F110" s="35"/>
    </row>
    <row r="111" spans="1:6" ht="37.950000000000003" customHeight="1" x14ac:dyDescent="0.3">
      <c r="A111" s="35"/>
      <c r="B111" s="34"/>
      <c r="C111" s="35"/>
      <c r="D111" s="35"/>
      <c r="E111" s="35"/>
      <c r="F111" s="35"/>
    </row>
    <row r="112" spans="1:6" ht="37.950000000000003" customHeight="1" x14ac:dyDescent="0.3">
      <c r="A112" s="35"/>
      <c r="B112" s="34"/>
      <c r="C112" s="35"/>
      <c r="D112" s="35"/>
      <c r="E112" s="35"/>
      <c r="F112" s="35"/>
    </row>
    <row r="113" spans="1:6" ht="37.950000000000003" customHeight="1" x14ac:dyDescent="0.3">
      <c r="A113" s="35"/>
      <c r="B113" s="34"/>
      <c r="C113" s="35"/>
      <c r="D113" s="35"/>
      <c r="E113" s="35"/>
      <c r="F113" s="35"/>
    </row>
    <row r="114" spans="1:6" ht="37.950000000000003" customHeight="1" x14ac:dyDescent="0.3">
      <c r="A114" s="35"/>
      <c r="B114" s="34"/>
      <c r="C114" s="35"/>
      <c r="D114" s="35"/>
      <c r="E114" s="35"/>
      <c r="F114" s="35"/>
    </row>
    <row r="115" spans="1:6" ht="37.950000000000003" customHeight="1" x14ac:dyDescent="0.3">
      <c r="A115" s="35"/>
      <c r="B115" s="34"/>
      <c r="C115" s="35"/>
      <c r="D115" s="35"/>
      <c r="E115" s="35"/>
      <c r="F115" s="35"/>
    </row>
    <row r="116" spans="1:6" ht="37.950000000000003" customHeight="1" x14ac:dyDescent="0.3">
      <c r="A116" s="35"/>
      <c r="B116" s="34"/>
      <c r="C116" s="35"/>
      <c r="D116" s="35"/>
      <c r="E116" s="35"/>
      <c r="F116" s="35"/>
    </row>
    <row r="117" spans="1:6" ht="37.950000000000003" customHeight="1" x14ac:dyDescent="0.3">
      <c r="A117" s="35"/>
      <c r="B117" s="34"/>
      <c r="C117" s="35"/>
      <c r="D117" s="35"/>
      <c r="E117" s="35"/>
      <c r="F117" s="35"/>
    </row>
    <row r="118" spans="1:6" ht="37.950000000000003" customHeight="1" x14ac:dyDescent="0.3">
      <c r="A118" s="35"/>
      <c r="B118" s="34"/>
      <c r="C118" s="35"/>
      <c r="D118" s="35"/>
      <c r="E118" s="35"/>
      <c r="F118" s="35"/>
    </row>
    <row r="119" spans="1:6" ht="37.950000000000003" customHeight="1" x14ac:dyDescent="0.3">
      <c r="A119" s="35"/>
      <c r="B119" s="34"/>
      <c r="C119" s="35"/>
      <c r="D119" s="35"/>
      <c r="E119" s="35"/>
      <c r="F119" s="35"/>
    </row>
    <row r="120" spans="1:6" ht="37.950000000000003" customHeight="1" x14ac:dyDescent="0.3">
      <c r="A120" s="35"/>
      <c r="B120" s="34"/>
      <c r="C120" s="35"/>
      <c r="D120" s="35"/>
      <c r="E120" s="35"/>
      <c r="F120" s="35"/>
    </row>
    <row r="121" spans="1:6" ht="37.950000000000003" customHeight="1" x14ac:dyDescent="0.3">
      <c r="A121" s="35"/>
      <c r="B121" s="34"/>
      <c r="C121" s="35"/>
      <c r="D121" s="35"/>
      <c r="E121" s="35"/>
      <c r="F121" s="35"/>
    </row>
    <row r="122" spans="1:6" ht="37.950000000000003" customHeight="1" x14ac:dyDescent="0.3">
      <c r="A122" s="35"/>
      <c r="B122" s="34"/>
      <c r="C122" s="35"/>
      <c r="D122" s="35"/>
      <c r="E122" s="35"/>
      <c r="F122" s="35"/>
    </row>
    <row r="123" spans="1:6" ht="37.950000000000003" customHeight="1" x14ac:dyDescent="0.3">
      <c r="A123" s="35"/>
      <c r="B123" s="34"/>
      <c r="C123" s="35"/>
      <c r="D123" s="35"/>
      <c r="E123" s="35"/>
      <c r="F123" s="35"/>
    </row>
    <row r="124" spans="1:6" ht="37.950000000000003" customHeight="1" x14ac:dyDescent="0.3">
      <c r="A124" s="35"/>
      <c r="B124" s="34"/>
      <c r="C124" s="35"/>
      <c r="D124" s="35"/>
      <c r="E124" s="35"/>
      <c r="F124" s="35"/>
    </row>
    <row r="125" spans="1:6" ht="37.950000000000003" customHeight="1" x14ac:dyDescent="0.3">
      <c r="A125" s="35"/>
      <c r="B125" s="34"/>
      <c r="C125" s="35"/>
      <c r="D125" s="35"/>
      <c r="E125" s="35"/>
      <c r="F125" s="35"/>
    </row>
    <row r="126" spans="1:6" ht="37.950000000000003" customHeight="1" x14ac:dyDescent="0.3">
      <c r="A126" s="35"/>
      <c r="B126" s="34"/>
      <c r="C126" s="35"/>
      <c r="D126" s="35"/>
      <c r="E126" s="35"/>
      <c r="F126" s="35"/>
    </row>
    <row r="127" spans="1:6" ht="37.950000000000003" customHeight="1" x14ac:dyDescent="0.3">
      <c r="A127" s="35"/>
      <c r="B127" s="34"/>
      <c r="C127" s="35"/>
      <c r="D127" s="35"/>
      <c r="E127" s="35"/>
      <c r="F127" s="35"/>
    </row>
    <row r="128" spans="1:6" ht="37.950000000000003" customHeight="1" x14ac:dyDescent="0.3">
      <c r="A128" s="35"/>
      <c r="B128" s="34"/>
      <c r="C128" s="35"/>
      <c r="D128" s="35"/>
      <c r="E128" s="35"/>
      <c r="F128" s="35"/>
    </row>
    <row r="129" spans="1:6" ht="37.950000000000003" customHeight="1" x14ac:dyDescent="0.3">
      <c r="A129" s="35"/>
      <c r="B129" s="34"/>
      <c r="C129" s="35"/>
      <c r="D129" s="35"/>
      <c r="E129" s="35"/>
      <c r="F129" s="35"/>
    </row>
    <row r="130" spans="1:6" ht="37.950000000000003" customHeight="1" x14ac:dyDescent="0.3">
      <c r="A130" s="35"/>
      <c r="B130" s="34"/>
      <c r="C130" s="35"/>
      <c r="D130" s="35"/>
      <c r="E130" s="35"/>
      <c r="F130" s="35"/>
    </row>
    <row r="131" spans="1:6" ht="37.950000000000003" customHeight="1" x14ac:dyDescent="0.3">
      <c r="A131" s="35"/>
      <c r="B131" s="34"/>
      <c r="C131" s="35"/>
      <c r="D131" s="35"/>
      <c r="E131" s="35"/>
      <c r="F131" s="35"/>
    </row>
    <row r="132" spans="1:6" ht="37.950000000000003" customHeight="1" x14ac:dyDescent="0.3">
      <c r="A132" s="35"/>
      <c r="B132" s="34"/>
      <c r="C132" s="35"/>
      <c r="D132" s="35"/>
      <c r="E132" s="35"/>
      <c r="F132" s="35"/>
    </row>
    <row r="133" spans="1:6" ht="37.950000000000003" customHeight="1" x14ac:dyDescent="0.3">
      <c r="A133" s="35"/>
      <c r="B133" s="34"/>
      <c r="C133" s="35"/>
      <c r="D133" s="35"/>
      <c r="E133" s="35"/>
      <c r="F133" s="35"/>
    </row>
    <row r="134" spans="1:6" ht="37.950000000000003" customHeight="1" x14ac:dyDescent="0.3">
      <c r="A134" s="35"/>
      <c r="B134" s="34"/>
      <c r="C134" s="35"/>
      <c r="D134" s="35"/>
      <c r="E134" s="35"/>
      <c r="F134" s="35"/>
    </row>
    <row r="135" spans="1:6" ht="37.950000000000003" customHeight="1" x14ac:dyDescent="0.3">
      <c r="A135" s="35"/>
      <c r="B135" s="34"/>
      <c r="C135" s="35"/>
      <c r="D135" s="35"/>
      <c r="E135" s="35"/>
      <c r="F135" s="35"/>
    </row>
    <row r="136" spans="1:6" ht="37.950000000000003" customHeight="1" x14ac:dyDescent="0.3">
      <c r="A136" s="35"/>
      <c r="B136" s="34"/>
      <c r="C136" s="35"/>
      <c r="D136" s="35"/>
      <c r="E136" s="35"/>
      <c r="F136" s="35"/>
    </row>
    <row r="137" spans="1:6" ht="37.950000000000003" customHeight="1" x14ac:dyDescent="0.3">
      <c r="A137" s="35"/>
      <c r="B137" s="34"/>
      <c r="C137" s="35"/>
      <c r="D137" s="35"/>
      <c r="E137" s="35"/>
      <c r="F137" s="35"/>
    </row>
    <row r="138" spans="1:6" ht="37.950000000000003" customHeight="1" x14ac:dyDescent="0.3">
      <c r="A138" s="35"/>
      <c r="B138" s="34"/>
      <c r="C138" s="35"/>
      <c r="D138" s="35"/>
      <c r="E138" s="35"/>
      <c r="F138" s="35"/>
    </row>
    <row r="139" spans="1:6" ht="37.950000000000003" customHeight="1" x14ac:dyDescent="0.3">
      <c r="A139" s="35"/>
      <c r="B139" s="34"/>
      <c r="C139" s="35"/>
      <c r="D139" s="35"/>
      <c r="E139" s="35"/>
      <c r="F139" s="35"/>
    </row>
    <row r="140" spans="1:6" ht="37.950000000000003" customHeight="1" x14ac:dyDescent="0.3">
      <c r="A140" s="35"/>
      <c r="B140" s="34"/>
      <c r="C140" s="35"/>
      <c r="D140" s="35"/>
      <c r="E140" s="35"/>
      <c r="F140" s="35"/>
    </row>
    <row r="141" spans="1:6" ht="37.950000000000003" customHeight="1" x14ac:dyDescent="0.3">
      <c r="A141" s="35"/>
      <c r="B141" s="34"/>
      <c r="C141" s="35"/>
      <c r="D141" s="35"/>
      <c r="E141" s="35"/>
      <c r="F141" s="35"/>
    </row>
    <row r="142" spans="1:6" ht="37.950000000000003" customHeight="1" x14ac:dyDescent="0.3">
      <c r="A142" s="35"/>
      <c r="B142" s="34"/>
      <c r="C142" s="35"/>
      <c r="D142" s="35"/>
      <c r="E142" s="35"/>
      <c r="F142" s="35"/>
    </row>
    <row r="143" spans="1:6" ht="37.950000000000003" customHeight="1" x14ac:dyDescent="0.3">
      <c r="A143" s="35"/>
      <c r="B143" s="34"/>
      <c r="C143" s="35"/>
      <c r="D143" s="35"/>
      <c r="E143" s="35"/>
      <c r="F143" s="35"/>
    </row>
    <row r="144" spans="1:6" ht="37.950000000000003" customHeight="1" x14ac:dyDescent="0.3">
      <c r="A144" s="35"/>
      <c r="B144" s="34"/>
      <c r="C144" s="35"/>
      <c r="D144" s="35"/>
      <c r="E144" s="35"/>
      <c r="F144" s="35"/>
    </row>
    <row r="145" spans="1:6" ht="37.950000000000003" customHeight="1" x14ac:dyDescent="0.3">
      <c r="A145" s="35"/>
      <c r="B145" s="34"/>
      <c r="C145" s="35"/>
      <c r="D145" s="35"/>
      <c r="E145" s="35"/>
      <c r="F145" s="35"/>
    </row>
    <row r="146" spans="1:6" ht="37.950000000000003" customHeight="1" x14ac:dyDescent="0.3">
      <c r="A146" s="35"/>
      <c r="B146" s="34"/>
      <c r="C146" s="35"/>
      <c r="D146" s="35"/>
      <c r="E146" s="35"/>
      <c r="F146" s="35"/>
    </row>
    <row r="147" spans="1:6" ht="37.950000000000003" customHeight="1" x14ac:dyDescent="0.3">
      <c r="A147" s="35"/>
      <c r="B147" s="34"/>
      <c r="C147" s="35"/>
      <c r="D147" s="35"/>
      <c r="E147" s="35"/>
      <c r="F147" s="35"/>
    </row>
    <row r="148" spans="1:6" ht="37.950000000000003" customHeight="1" x14ac:dyDescent="0.3">
      <c r="A148" s="35"/>
      <c r="B148" s="34"/>
      <c r="C148" s="35"/>
      <c r="D148" s="35"/>
      <c r="E148" s="35"/>
      <c r="F148" s="35"/>
    </row>
    <row r="149" spans="1:6" ht="37.950000000000003" customHeight="1" x14ac:dyDescent="0.3">
      <c r="A149" s="35"/>
      <c r="B149" s="34"/>
      <c r="C149" s="35"/>
      <c r="D149" s="35"/>
      <c r="E149" s="35"/>
      <c r="F149" s="35"/>
    </row>
    <row r="150" spans="1:6" ht="37.950000000000003" customHeight="1" x14ac:dyDescent="0.3">
      <c r="A150" s="35"/>
      <c r="B150" s="34"/>
      <c r="C150" s="35"/>
      <c r="D150" s="35"/>
      <c r="E150" s="35"/>
      <c r="F150" s="35"/>
    </row>
    <row r="151" spans="1:6" ht="37.950000000000003" customHeight="1" x14ac:dyDescent="0.3">
      <c r="A151" s="35"/>
      <c r="B151" s="34"/>
      <c r="C151" s="35"/>
      <c r="D151" s="35"/>
      <c r="E151" s="35"/>
      <c r="F151" s="35"/>
    </row>
    <row r="152" spans="1:6" ht="37.950000000000003" customHeight="1" x14ac:dyDescent="0.3">
      <c r="A152" s="35"/>
      <c r="B152" s="34"/>
      <c r="C152" s="35"/>
      <c r="D152" s="35"/>
      <c r="E152" s="35"/>
      <c r="F152" s="35"/>
    </row>
    <row r="153" spans="1:6" ht="37.950000000000003" customHeight="1" x14ac:dyDescent="0.3">
      <c r="A153" s="35"/>
      <c r="B153" s="34"/>
      <c r="C153" s="35"/>
      <c r="D153" s="35"/>
      <c r="E153" s="35"/>
      <c r="F153" s="35"/>
    </row>
    <row r="154" spans="1:6" ht="37.950000000000003" customHeight="1" x14ac:dyDescent="0.3">
      <c r="A154" s="35"/>
      <c r="B154" s="34"/>
      <c r="C154" s="35"/>
      <c r="D154" s="35"/>
      <c r="E154" s="35"/>
      <c r="F154" s="35"/>
    </row>
    <row r="155" spans="1:6" ht="37.950000000000003" customHeight="1" x14ac:dyDescent="0.3">
      <c r="A155" s="35"/>
      <c r="B155" s="34"/>
      <c r="C155" s="35"/>
      <c r="D155" s="35"/>
      <c r="E155" s="35"/>
      <c r="F155" s="35"/>
    </row>
    <row r="156" spans="1:6" ht="37.950000000000003" customHeight="1" x14ac:dyDescent="0.3">
      <c r="A156" s="35"/>
      <c r="B156" s="34"/>
      <c r="C156" s="35"/>
      <c r="D156" s="35"/>
      <c r="E156" s="35"/>
      <c r="F156" s="35"/>
    </row>
    <row r="157" spans="1:6" ht="37.950000000000003" customHeight="1" x14ac:dyDescent="0.3">
      <c r="A157" s="35"/>
      <c r="B157" s="34"/>
      <c r="C157" s="35"/>
      <c r="D157" s="35"/>
      <c r="E157" s="35"/>
      <c r="F157" s="35"/>
    </row>
    <row r="158" spans="1:6" ht="37.950000000000003" customHeight="1" x14ac:dyDescent="0.3">
      <c r="A158" s="35"/>
      <c r="B158" s="34"/>
      <c r="C158" s="35"/>
      <c r="D158" s="35"/>
      <c r="E158" s="35"/>
      <c r="F158" s="35"/>
    </row>
    <row r="159" spans="1:6" ht="37.950000000000003" customHeight="1" x14ac:dyDescent="0.3">
      <c r="A159" s="35"/>
      <c r="B159" s="34"/>
      <c r="C159" s="35"/>
      <c r="D159" s="35"/>
      <c r="E159" s="35"/>
      <c r="F159" s="35"/>
    </row>
    <row r="160" spans="1:6" ht="37.950000000000003" customHeight="1" x14ac:dyDescent="0.3">
      <c r="A160" s="35"/>
      <c r="B160" s="34"/>
      <c r="C160" s="35"/>
      <c r="D160" s="35"/>
      <c r="E160" s="35"/>
      <c r="F160" s="35"/>
    </row>
    <row r="161" spans="1:6" ht="37.950000000000003" customHeight="1" x14ac:dyDescent="0.3">
      <c r="A161" s="35"/>
      <c r="B161" s="34"/>
      <c r="C161" s="35"/>
      <c r="D161" s="35"/>
      <c r="E161" s="35"/>
      <c r="F161" s="35"/>
    </row>
    <row r="162" spans="1:6" ht="37.950000000000003" customHeight="1" x14ac:dyDescent="0.3">
      <c r="A162" s="35"/>
      <c r="B162" s="34"/>
      <c r="C162" s="35"/>
      <c r="D162" s="35"/>
      <c r="E162" s="35"/>
      <c r="F162" s="35"/>
    </row>
    <row r="163" spans="1:6" ht="37.950000000000003" customHeight="1" x14ac:dyDescent="0.3">
      <c r="A163" s="35"/>
      <c r="B163" s="34"/>
      <c r="C163" s="35"/>
      <c r="D163" s="35"/>
      <c r="E163" s="35"/>
      <c r="F163" s="35"/>
    </row>
    <row r="164" spans="1:6" ht="37.950000000000003" customHeight="1" x14ac:dyDescent="0.3">
      <c r="A164" s="35"/>
      <c r="B164" s="34"/>
      <c r="C164" s="35"/>
      <c r="D164" s="35"/>
      <c r="E164" s="35"/>
      <c r="F164" s="35"/>
    </row>
    <row r="165" spans="1:6" ht="37.950000000000003" customHeight="1" x14ac:dyDescent="0.3">
      <c r="A165" s="35"/>
      <c r="B165" s="34"/>
      <c r="C165" s="35"/>
      <c r="D165" s="35"/>
      <c r="E165" s="35"/>
      <c r="F165" s="35"/>
    </row>
    <row r="166" spans="1:6" ht="37.950000000000003" customHeight="1" x14ac:dyDescent="0.3">
      <c r="A166" s="35"/>
      <c r="B166" s="34"/>
      <c r="C166" s="35"/>
      <c r="D166" s="35"/>
      <c r="E166" s="35"/>
      <c r="F166" s="35"/>
    </row>
    <row r="167" spans="1:6" ht="37.950000000000003" customHeight="1" x14ac:dyDescent="0.3">
      <c r="A167" s="35"/>
      <c r="B167" s="34"/>
      <c r="C167" s="35"/>
      <c r="D167" s="35"/>
      <c r="E167" s="35"/>
      <c r="F167" s="35"/>
    </row>
    <row r="168" spans="1:6" ht="37.950000000000003" customHeight="1" x14ac:dyDescent="0.3">
      <c r="A168" s="35"/>
      <c r="B168" s="34"/>
      <c r="C168" s="35"/>
      <c r="D168" s="35"/>
      <c r="E168" s="35"/>
      <c r="F168" s="35"/>
    </row>
    <row r="169" spans="1:6" ht="37.950000000000003" customHeight="1" x14ac:dyDescent="0.3">
      <c r="A169" s="35"/>
      <c r="B169" s="34"/>
      <c r="C169" s="35"/>
      <c r="D169" s="35"/>
      <c r="E169" s="35"/>
      <c r="F169" s="35"/>
    </row>
    <row r="170" spans="1:6" ht="37.950000000000003" customHeight="1" x14ac:dyDescent="0.3">
      <c r="A170" s="35"/>
      <c r="B170" s="34"/>
      <c r="C170" s="35"/>
      <c r="D170" s="35"/>
      <c r="E170" s="35"/>
      <c r="F170" s="35"/>
    </row>
    <row r="171" spans="1:6" ht="37.950000000000003" customHeight="1" x14ac:dyDescent="0.3">
      <c r="A171" s="35"/>
      <c r="B171" s="34"/>
      <c r="C171" s="35"/>
      <c r="D171" s="35"/>
      <c r="E171" s="35"/>
      <c r="F171" s="35"/>
    </row>
    <row r="172" spans="1:6" ht="37.950000000000003" customHeight="1" x14ac:dyDescent="0.3">
      <c r="A172" s="35"/>
      <c r="B172" s="34"/>
      <c r="C172" s="35"/>
      <c r="D172" s="35"/>
      <c r="E172" s="35"/>
      <c r="F172" s="35"/>
    </row>
    <row r="173" spans="1:6" ht="37.950000000000003" customHeight="1" x14ac:dyDescent="0.3">
      <c r="A173" s="35"/>
      <c r="B173" s="34"/>
      <c r="C173" s="35"/>
      <c r="D173" s="35"/>
      <c r="E173" s="35"/>
      <c r="F173" s="35"/>
    </row>
    <row r="174" spans="1:6" ht="37.950000000000003" customHeight="1" x14ac:dyDescent="0.3">
      <c r="A174" s="35"/>
      <c r="B174" s="34"/>
      <c r="C174" s="35"/>
      <c r="D174" s="35"/>
      <c r="E174" s="35"/>
      <c r="F174" s="35"/>
    </row>
    <row r="175" spans="1:6" ht="37.950000000000003" customHeight="1" x14ac:dyDescent="0.3">
      <c r="A175" s="35"/>
      <c r="B175" s="34"/>
      <c r="C175" s="35"/>
      <c r="D175" s="35"/>
      <c r="E175" s="35"/>
      <c r="F175" s="35"/>
    </row>
    <row r="176" spans="1:6" ht="37.950000000000003" customHeight="1" x14ac:dyDescent="0.3">
      <c r="A176" s="35"/>
      <c r="B176" s="34"/>
      <c r="C176" s="35"/>
      <c r="D176" s="35"/>
      <c r="E176" s="35"/>
      <c r="F176" s="35"/>
    </row>
    <row r="177" spans="1:6" ht="37.950000000000003" customHeight="1" x14ac:dyDescent="0.3">
      <c r="A177" s="35"/>
      <c r="B177" s="34"/>
      <c r="C177" s="35"/>
      <c r="D177" s="35"/>
      <c r="E177" s="35"/>
      <c r="F177" s="35"/>
    </row>
    <row r="178" spans="1:6" ht="37.950000000000003" customHeight="1" x14ac:dyDescent="0.3">
      <c r="A178" s="35"/>
      <c r="B178" s="34"/>
      <c r="C178" s="35"/>
      <c r="D178" s="35"/>
      <c r="E178" s="35"/>
      <c r="F178" s="35"/>
    </row>
    <row r="179" spans="1:6" ht="37.950000000000003" customHeight="1" x14ac:dyDescent="0.3">
      <c r="A179" s="35"/>
      <c r="B179" s="34"/>
      <c r="C179" s="35"/>
      <c r="D179" s="35"/>
      <c r="E179" s="35"/>
      <c r="F179" s="35"/>
    </row>
    <row r="180" spans="1:6" ht="37.950000000000003" customHeight="1" x14ac:dyDescent="0.3">
      <c r="A180" s="35"/>
      <c r="B180" s="34"/>
      <c r="C180" s="35"/>
      <c r="D180" s="35"/>
      <c r="E180" s="35"/>
      <c r="F180" s="35"/>
    </row>
    <row r="181" spans="1:6" ht="37.950000000000003" customHeight="1" x14ac:dyDescent="0.3">
      <c r="A181" s="35"/>
      <c r="B181" s="34"/>
      <c r="C181" s="35"/>
      <c r="D181" s="35"/>
      <c r="E181" s="35"/>
      <c r="F181" s="35"/>
    </row>
    <row r="182" spans="1:6" ht="37.950000000000003" customHeight="1" x14ac:dyDescent="0.3">
      <c r="A182" s="35"/>
      <c r="B182" s="34"/>
      <c r="C182" s="35"/>
      <c r="D182" s="35"/>
      <c r="E182" s="35"/>
      <c r="F182" s="35"/>
    </row>
    <row r="183" spans="1:6" ht="37.950000000000003" customHeight="1" x14ac:dyDescent="0.3">
      <c r="A183" s="35"/>
      <c r="B183" s="34"/>
      <c r="C183" s="35"/>
      <c r="D183" s="35"/>
      <c r="E183" s="35"/>
      <c r="F183" s="35"/>
    </row>
    <row r="184" spans="1:6" ht="37.950000000000003" customHeight="1" x14ac:dyDescent="0.3">
      <c r="A184" s="35"/>
      <c r="B184" s="34"/>
      <c r="C184" s="35"/>
      <c r="D184" s="35"/>
      <c r="E184" s="35"/>
      <c r="F184" s="35"/>
    </row>
    <row r="185" spans="1:6" ht="37.950000000000003" customHeight="1" x14ac:dyDescent="0.3">
      <c r="A185" s="35"/>
      <c r="B185" s="34"/>
      <c r="C185" s="35"/>
      <c r="D185" s="35"/>
      <c r="E185" s="35"/>
      <c r="F185" s="35"/>
    </row>
    <row r="186" spans="1:6" ht="37.950000000000003" customHeight="1" x14ac:dyDescent="0.3">
      <c r="A186" s="35"/>
      <c r="B186" s="34"/>
      <c r="C186" s="35"/>
      <c r="D186" s="35"/>
      <c r="E186" s="35"/>
      <c r="F186" s="35"/>
    </row>
    <row r="187" spans="1:6" ht="37.950000000000003" customHeight="1" x14ac:dyDescent="0.3">
      <c r="A187" s="35"/>
      <c r="B187" s="34"/>
      <c r="C187" s="35"/>
      <c r="D187" s="35"/>
      <c r="E187" s="35"/>
      <c r="F187" s="35"/>
    </row>
    <row r="188" spans="1:6" ht="37.950000000000003" customHeight="1" x14ac:dyDescent="0.3">
      <c r="A188" s="35"/>
      <c r="B188" s="34"/>
      <c r="C188" s="35"/>
      <c r="D188" s="35"/>
      <c r="E188" s="35"/>
      <c r="F188" s="35"/>
    </row>
    <row r="189" spans="1:6" ht="37.950000000000003" customHeight="1" x14ac:dyDescent="0.3">
      <c r="A189" s="35"/>
      <c r="B189" s="34"/>
      <c r="C189" s="35"/>
      <c r="D189" s="35"/>
      <c r="E189" s="35"/>
      <c r="F189" s="35"/>
    </row>
    <row r="190" spans="1:6" ht="37.950000000000003" customHeight="1" x14ac:dyDescent="0.3">
      <c r="A190" s="35"/>
      <c r="B190" s="34"/>
      <c r="C190" s="35"/>
      <c r="D190" s="35"/>
      <c r="E190" s="35"/>
      <c r="F190" s="35"/>
    </row>
    <row r="191" spans="1:6" ht="37.950000000000003" customHeight="1" x14ac:dyDescent="0.3">
      <c r="A191" s="35"/>
      <c r="B191" s="34"/>
      <c r="C191" s="35"/>
      <c r="D191" s="35"/>
      <c r="E191" s="35"/>
      <c r="F191" s="35"/>
    </row>
    <row r="192" spans="1:6" ht="37.950000000000003" customHeight="1" x14ac:dyDescent="0.3">
      <c r="A192" s="35"/>
      <c r="B192" s="34"/>
      <c r="C192" s="35"/>
      <c r="D192" s="35"/>
      <c r="E192" s="35"/>
      <c r="F192" s="35"/>
    </row>
    <row r="193" spans="1:6" ht="37.950000000000003" customHeight="1" x14ac:dyDescent="0.3">
      <c r="A193" s="35"/>
      <c r="B193" s="34"/>
      <c r="C193" s="35"/>
      <c r="D193" s="35"/>
      <c r="E193" s="35"/>
      <c r="F193" s="35"/>
    </row>
    <row r="194" spans="1:6" ht="37.950000000000003" customHeight="1" x14ac:dyDescent="0.3">
      <c r="A194" s="35"/>
      <c r="B194" s="34"/>
      <c r="C194" s="35"/>
      <c r="D194" s="35"/>
      <c r="E194" s="35"/>
      <c r="F194" s="35"/>
    </row>
    <row r="195" spans="1:6" ht="37.950000000000003" customHeight="1" x14ac:dyDescent="0.3">
      <c r="A195" s="35"/>
      <c r="B195" s="34"/>
      <c r="C195" s="35"/>
      <c r="D195" s="35"/>
      <c r="E195" s="35"/>
      <c r="F195" s="35"/>
    </row>
    <row r="196" spans="1:6" ht="37.950000000000003" customHeight="1" x14ac:dyDescent="0.3">
      <c r="A196" s="35"/>
      <c r="B196" s="34"/>
      <c r="C196" s="35"/>
      <c r="D196" s="35"/>
      <c r="E196" s="35"/>
      <c r="F196" s="35"/>
    </row>
    <row r="197" spans="1:6" ht="37.950000000000003" customHeight="1" x14ac:dyDescent="0.3">
      <c r="A197" s="35"/>
      <c r="B197" s="34"/>
      <c r="C197" s="35"/>
      <c r="D197" s="35"/>
      <c r="E197" s="35"/>
      <c r="F197" s="35"/>
    </row>
    <row r="198" spans="1:6" ht="37.950000000000003" customHeight="1" x14ac:dyDescent="0.3">
      <c r="A198" s="35"/>
      <c r="B198" s="34"/>
      <c r="C198" s="35"/>
      <c r="D198" s="35"/>
      <c r="E198" s="35"/>
      <c r="F198" s="35"/>
    </row>
    <row r="199" spans="1:6" ht="37.950000000000003" customHeight="1" x14ac:dyDescent="0.3">
      <c r="A199" s="35"/>
      <c r="B199" s="34"/>
      <c r="C199" s="35"/>
      <c r="D199" s="35"/>
      <c r="E199" s="35"/>
      <c r="F199" s="35"/>
    </row>
    <row r="200" spans="1:6" ht="37.950000000000003" customHeight="1" x14ac:dyDescent="0.3">
      <c r="A200" s="35"/>
      <c r="B200" s="34"/>
      <c r="C200" s="35"/>
      <c r="D200" s="35"/>
      <c r="E200" s="35"/>
      <c r="F200" s="35"/>
    </row>
    <row r="201" spans="1:6" ht="37.950000000000003" customHeight="1" x14ac:dyDescent="0.3">
      <c r="A201" s="35"/>
      <c r="B201" s="34"/>
      <c r="C201" s="35"/>
      <c r="D201" s="35"/>
      <c r="E201" s="35"/>
      <c r="F201" s="35"/>
    </row>
    <row r="202" spans="1:6" ht="37.950000000000003" customHeight="1" x14ac:dyDescent="0.3">
      <c r="A202" s="35"/>
      <c r="B202" s="34"/>
      <c r="C202" s="35"/>
      <c r="D202" s="35"/>
      <c r="E202" s="35"/>
      <c r="F202" s="35"/>
    </row>
    <row r="203" spans="1:6" ht="37.950000000000003" customHeight="1" x14ac:dyDescent="0.3">
      <c r="A203" s="35"/>
      <c r="B203" s="34"/>
      <c r="C203" s="35"/>
      <c r="D203" s="35"/>
      <c r="E203" s="35"/>
      <c r="F203" s="35"/>
    </row>
  </sheetData>
  <sheetProtection algorithmName="SHA-512" hashValue="fcFo8p9ZZHHboZhvI2wh0uH1/tP/bNGY5z6LEoMzRYAjxLqh1/JZMo/8UdGBCPEEJHVSEKN1vVjBFyCQE1Ne5g==" saltValue="qMd1treOaTUjBUKeqgnZuA==" spinCount="100000" sheet="1" scenarios="1"/>
  <mergeCells count="3">
    <mergeCell ref="H1:J1"/>
    <mergeCell ref="A2:F2"/>
    <mergeCell ref="A1:F1"/>
  </mergeCells>
  <pageMargins left="0.75" right="0.75" top="1" bottom="1" header="0.5" footer="0.5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28" t="s">
        <v>334</v>
      </c>
      <c r="B1" s="28" t="s">
        <v>338</v>
      </c>
      <c r="C1" s="28" t="s">
        <v>336</v>
      </c>
      <c r="D1" s="28" t="s">
        <v>339</v>
      </c>
    </row>
  </sheetData>
  <sheetProtection algorithmName="SHA-512" hashValue="a1nEO3wH76suTJ3K9DysP2ZTAof+1gWoBZS6IWBvDQoKcU1FozpkCdTUTrqmw27s098p7KV9VD0rvzfGYpdsFQ==" saltValue="D1+DrAnXZHQUwLae06RgKw==" spinCount="100000" sheet="1" scenarios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28" t="s">
        <v>173</v>
      </c>
      <c r="B1" s="28" t="s">
        <v>88</v>
      </c>
      <c r="C1" s="28" t="s">
        <v>174</v>
      </c>
      <c r="D1" s="28" t="s">
        <v>175</v>
      </c>
      <c r="E1" s="28" t="s">
        <v>340</v>
      </c>
      <c r="F1" s="28" t="s">
        <v>341</v>
      </c>
      <c r="G1" s="28" t="s">
        <v>342</v>
      </c>
      <c r="H1" s="28" t="s">
        <v>343</v>
      </c>
      <c r="I1" s="28" t="s">
        <v>344</v>
      </c>
      <c r="J1" s="28" t="s">
        <v>345</v>
      </c>
      <c r="K1" s="28" t="s">
        <v>346</v>
      </c>
      <c r="L1" s="28" t="s">
        <v>264</v>
      </c>
    </row>
    <row r="2" spans="1:12" x14ac:dyDescent="0.3">
      <c r="A2" s="43">
        <v>45796</v>
      </c>
      <c r="B2" s="30" t="s">
        <v>122</v>
      </c>
      <c r="C2" s="30">
        <v>1</v>
      </c>
      <c r="D2" s="30">
        <v>20</v>
      </c>
      <c r="E2" s="30">
        <v>3.0567000000000002</v>
      </c>
      <c r="F2" s="30">
        <v>3.0249000000000001</v>
      </c>
      <c r="G2" s="30">
        <v>3.0091000000000001</v>
      </c>
      <c r="H2" s="30" t="s">
        <v>351</v>
      </c>
      <c r="I2" s="30" t="s">
        <v>284</v>
      </c>
      <c r="J2" s="30"/>
      <c r="K2" s="30"/>
      <c r="L2" s="30" t="s">
        <v>285</v>
      </c>
    </row>
    <row r="3" spans="1:12" x14ac:dyDescent="0.3">
      <c r="A3" s="43">
        <v>45803</v>
      </c>
      <c r="B3" s="30" t="s">
        <v>122</v>
      </c>
      <c r="C3" s="30"/>
      <c r="D3" s="30"/>
      <c r="E3" s="30"/>
      <c r="F3" s="30"/>
      <c r="G3" s="30"/>
      <c r="H3" s="30" t="s">
        <v>286</v>
      </c>
      <c r="I3" s="30" t="s">
        <v>287</v>
      </c>
      <c r="J3" s="30"/>
      <c r="K3" s="30"/>
      <c r="L3" s="30" t="s">
        <v>285</v>
      </c>
    </row>
    <row r="4" spans="1:12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</row>
    <row r="5" spans="1:12" x14ac:dyDescent="0.3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2" x14ac:dyDescent="0.3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</row>
    <row r="7" spans="1:12" x14ac:dyDescent="0.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</row>
    <row r="8" spans="1:12" x14ac:dyDescent="0.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</row>
    <row r="9" spans="1:12" x14ac:dyDescent="0.3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</row>
    <row r="10" spans="1:12" x14ac:dyDescent="0.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</row>
    <row r="11" spans="1:12" x14ac:dyDescent="0.3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</row>
    <row r="12" spans="1:12" x14ac:dyDescent="0.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</row>
    <row r="13" spans="1:12" x14ac:dyDescent="0.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</row>
    <row r="14" spans="1:12" x14ac:dyDescent="0.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</row>
    <row r="15" spans="1:12" x14ac:dyDescent="0.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</row>
    <row r="16" spans="1:12" x14ac:dyDescent="0.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</row>
    <row r="17" spans="1:12" x14ac:dyDescent="0.3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</row>
    <row r="18" spans="1:12" x14ac:dyDescent="0.3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</row>
    <row r="19" spans="1:12" x14ac:dyDescent="0.3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1:12" x14ac:dyDescent="0.3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</row>
    <row r="21" spans="1:12" x14ac:dyDescent="0.3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</row>
    <row r="22" spans="1:12" x14ac:dyDescent="0.3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1:12" x14ac:dyDescent="0.3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</row>
    <row r="24" spans="1:12" x14ac:dyDescent="0.3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</row>
    <row r="25" spans="1:12" x14ac:dyDescent="0.3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</row>
    <row r="26" spans="1:12" x14ac:dyDescent="0.3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</row>
    <row r="27" spans="1:12" x14ac:dyDescent="0.3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</row>
    <row r="28" spans="1:12" x14ac:dyDescent="0.3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</row>
    <row r="29" spans="1:12" x14ac:dyDescent="0.3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</row>
    <row r="30" spans="1:12" x14ac:dyDescent="0.3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</row>
    <row r="31" spans="1:12" x14ac:dyDescent="0.3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</row>
    <row r="32" spans="1:12" x14ac:dyDescent="0.3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</row>
    <row r="33" spans="1:12" x14ac:dyDescent="0.3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</row>
    <row r="34" spans="1:12" x14ac:dyDescent="0.3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</row>
    <row r="35" spans="1:12" x14ac:dyDescent="0.3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</row>
    <row r="36" spans="1:12" x14ac:dyDescent="0.3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</row>
    <row r="37" spans="1:12" x14ac:dyDescent="0.3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</row>
    <row r="38" spans="1:12" x14ac:dyDescent="0.3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</row>
    <row r="39" spans="1:12" x14ac:dyDescent="0.3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</row>
    <row r="40" spans="1:12" x14ac:dyDescent="0.3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</row>
    <row r="41" spans="1:12" x14ac:dyDescent="0.3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</row>
    <row r="42" spans="1:12" x14ac:dyDescent="0.3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</row>
    <row r="43" spans="1:12" x14ac:dyDescent="0.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</row>
    <row r="44" spans="1:12" x14ac:dyDescent="0.3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</row>
    <row r="45" spans="1:12" x14ac:dyDescent="0.3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</row>
    <row r="46" spans="1:12" x14ac:dyDescent="0.3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</row>
    <row r="47" spans="1:12" x14ac:dyDescent="0.3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</row>
    <row r="48" spans="1:12" x14ac:dyDescent="0.3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</row>
    <row r="49" spans="1:12" x14ac:dyDescent="0.3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</row>
    <row r="50" spans="1:12" x14ac:dyDescent="0.3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</row>
    <row r="51" spans="1:12" x14ac:dyDescent="0.3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</row>
    <row r="52" spans="1:12" x14ac:dyDescent="0.3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</row>
    <row r="53" spans="1:12" x14ac:dyDescent="0.3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</row>
    <row r="54" spans="1:12" x14ac:dyDescent="0.3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</row>
    <row r="55" spans="1:12" x14ac:dyDescent="0.3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</row>
    <row r="56" spans="1:12" x14ac:dyDescent="0.3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</row>
    <row r="57" spans="1:12" x14ac:dyDescent="0.3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  <row r="58" spans="1:12" x14ac:dyDescent="0.3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</row>
    <row r="59" spans="1:12" x14ac:dyDescent="0.3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</row>
    <row r="60" spans="1:12" x14ac:dyDescent="0.3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</row>
    <row r="61" spans="1:12" x14ac:dyDescent="0.3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</row>
    <row r="62" spans="1:12" x14ac:dyDescent="0.3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</row>
    <row r="63" spans="1:12" x14ac:dyDescent="0.3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</row>
    <row r="64" spans="1:12" x14ac:dyDescent="0.3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</row>
    <row r="65" spans="1:12" x14ac:dyDescent="0.3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</row>
    <row r="66" spans="1:12" x14ac:dyDescent="0.3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</row>
    <row r="67" spans="1:12" x14ac:dyDescent="0.3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</row>
    <row r="68" spans="1:12" x14ac:dyDescent="0.3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</row>
    <row r="69" spans="1:12" x14ac:dyDescent="0.3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</row>
    <row r="70" spans="1:12" x14ac:dyDescent="0.3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</row>
    <row r="71" spans="1:12" x14ac:dyDescent="0.3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</row>
    <row r="72" spans="1:12" x14ac:dyDescent="0.3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</row>
    <row r="73" spans="1:12" x14ac:dyDescent="0.3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</row>
    <row r="74" spans="1:12" x14ac:dyDescent="0.3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1:12" x14ac:dyDescent="0.3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</row>
    <row r="76" spans="1:12" x14ac:dyDescent="0.3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</row>
    <row r="77" spans="1:12" x14ac:dyDescent="0.3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</row>
    <row r="78" spans="1:12" x14ac:dyDescent="0.3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</row>
    <row r="79" spans="1:12" x14ac:dyDescent="0.3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</row>
    <row r="80" spans="1:12" x14ac:dyDescent="0.3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</row>
    <row r="81" spans="1:12" x14ac:dyDescent="0.3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</row>
    <row r="82" spans="1:12" x14ac:dyDescent="0.3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</row>
    <row r="83" spans="1:12" x14ac:dyDescent="0.3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</row>
    <row r="84" spans="1:12" x14ac:dyDescent="0.3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</row>
    <row r="85" spans="1:12" x14ac:dyDescent="0.3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</row>
    <row r="86" spans="1:12" x14ac:dyDescent="0.3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</row>
    <row r="87" spans="1:12" x14ac:dyDescent="0.3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</row>
    <row r="88" spans="1:12" x14ac:dyDescent="0.3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</row>
    <row r="89" spans="1:12" x14ac:dyDescent="0.3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</row>
    <row r="90" spans="1:12" x14ac:dyDescent="0.3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</row>
    <row r="91" spans="1:12" x14ac:dyDescent="0.3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</row>
    <row r="92" spans="1:12" x14ac:dyDescent="0.3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</row>
    <row r="93" spans="1:12" x14ac:dyDescent="0.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</row>
    <row r="94" spans="1:12" x14ac:dyDescent="0.3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</row>
    <row r="95" spans="1:12" x14ac:dyDescent="0.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</row>
    <row r="96" spans="1:12" x14ac:dyDescent="0.3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</row>
    <row r="97" spans="1:12" x14ac:dyDescent="0.3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</row>
    <row r="98" spans="1:12" x14ac:dyDescent="0.3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</row>
    <row r="99" spans="1:12" x14ac:dyDescent="0.3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</row>
    <row r="100" spans="1:12" x14ac:dyDescent="0.3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</row>
    <row r="101" spans="1:12" x14ac:dyDescent="0.3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</row>
    <row r="102" spans="1:12" x14ac:dyDescent="0.3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</row>
    <row r="103" spans="1:12" x14ac:dyDescent="0.3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</row>
    <row r="104" spans="1:12" x14ac:dyDescent="0.3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</row>
    <row r="105" spans="1:12" x14ac:dyDescent="0.3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</row>
    <row r="106" spans="1:12" x14ac:dyDescent="0.3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</row>
    <row r="107" spans="1:12" x14ac:dyDescent="0.3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</row>
    <row r="108" spans="1:12" x14ac:dyDescent="0.3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</row>
    <row r="109" spans="1:12" x14ac:dyDescent="0.3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</row>
    <row r="110" spans="1:12" x14ac:dyDescent="0.3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</row>
    <row r="111" spans="1:12" x14ac:dyDescent="0.3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</row>
    <row r="112" spans="1:12" x14ac:dyDescent="0.3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</row>
    <row r="113" spans="1:12" x14ac:dyDescent="0.3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x14ac:dyDescent="0.3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</row>
    <row r="115" spans="1:12" x14ac:dyDescent="0.3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</row>
    <row r="116" spans="1:12" x14ac:dyDescent="0.3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</row>
    <row r="117" spans="1:12" x14ac:dyDescent="0.3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1:12" x14ac:dyDescent="0.3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</row>
    <row r="119" spans="1:12" x14ac:dyDescent="0.3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20" spans="1:12" x14ac:dyDescent="0.3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</row>
    <row r="121" spans="1:12" x14ac:dyDescent="0.3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</row>
    <row r="122" spans="1:12" x14ac:dyDescent="0.3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</row>
    <row r="123" spans="1:12" x14ac:dyDescent="0.3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</row>
    <row r="124" spans="1:12" x14ac:dyDescent="0.3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</row>
    <row r="125" spans="1:12" x14ac:dyDescent="0.3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</row>
    <row r="126" spans="1:12" x14ac:dyDescent="0.3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</row>
    <row r="127" spans="1:12" x14ac:dyDescent="0.3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</row>
    <row r="128" spans="1:12" x14ac:dyDescent="0.3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</row>
    <row r="129" spans="1:12" x14ac:dyDescent="0.3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</row>
    <row r="130" spans="1:12" x14ac:dyDescent="0.3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</row>
    <row r="131" spans="1:12" x14ac:dyDescent="0.3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</row>
    <row r="132" spans="1:12" x14ac:dyDescent="0.3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</row>
    <row r="133" spans="1:12" x14ac:dyDescent="0.3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</row>
    <row r="134" spans="1:12" x14ac:dyDescent="0.3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</row>
    <row r="135" spans="1:12" x14ac:dyDescent="0.3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</row>
    <row r="136" spans="1:12" x14ac:dyDescent="0.3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</row>
    <row r="137" spans="1:12" x14ac:dyDescent="0.3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</row>
    <row r="138" spans="1:12" x14ac:dyDescent="0.3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</row>
    <row r="139" spans="1:12" x14ac:dyDescent="0.3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</row>
    <row r="140" spans="1:12" x14ac:dyDescent="0.3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</row>
    <row r="141" spans="1:12" x14ac:dyDescent="0.3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</row>
    <row r="142" spans="1:12" x14ac:dyDescent="0.3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</row>
    <row r="143" spans="1:12" x14ac:dyDescent="0.3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</row>
    <row r="144" spans="1:12" x14ac:dyDescent="0.3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</row>
    <row r="145" spans="1:12" x14ac:dyDescent="0.3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</row>
    <row r="146" spans="1:12" x14ac:dyDescent="0.3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</row>
    <row r="147" spans="1:12" x14ac:dyDescent="0.3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</row>
    <row r="148" spans="1:12" x14ac:dyDescent="0.3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</row>
    <row r="149" spans="1:12" x14ac:dyDescent="0.3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</row>
    <row r="150" spans="1:12" x14ac:dyDescent="0.3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</row>
    <row r="151" spans="1:12" x14ac:dyDescent="0.3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</row>
    <row r="152" spans="1:12" x14ac:dyDescent="0.3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</row>
    <row r="153" spans="1:12" x14ac:dyDescent="0.3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</row>
    <row r="154" spans="1:12" x14ac:dyDescent="0.3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</row>
    <row r="155" spans="1:12" x14ac:dyDescent="0.3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</row>
    <row r="156" spans="1:12" x14ac:dyDescent="0.3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</row>
    <row r="157" spans="1:12" x14ac:dyDescent="0.3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</row>
    <row r="158" spans="1:12" x14ac:dyDescent="0.3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</row>
    <row r="159" spans="1:12" x14ac:dyDescent="0.3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</row>
    <row r="160" spans="1:12" x14ac:dyDescent="0.3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</row>
    <row r="161" spans="1:12" x14ac:dyDescent="0.3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</row>
    <row r="162" spans="1:12" x14ac:dyDescent="0.3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</row>
    <row r="163" spans="1:12" x14ac:dyDescent="0.3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</row>
    <row r="164" spans="1:12" x14ac:dyDescent="0.3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</row>
    <row r="165" spans="1:12" x14ac:dyDescent="0.3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</row>
    <row r="166" spans="1:12" x14ac:dyDescent="0.3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</row>
    <row r="167" spans="1:12" x14ac:dyDescent="0.3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</row>
    <row r="168" spans="1:12" x14ac:dyDescent="0.3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</row>
    <row r="169" spans="1:12" x14ac:dyDescent="0.3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</row>
    <row r="170" spans="1:12" x14ac:dyDescent="0.3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</row>
    <row r="171" spans="1:12" x14ac:dyDescent="0.3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</row>
    <row r="172" spans="1:12" x14ac:dyDescent="0.3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</row>
    <row r="173" spans="1:12" x14ac:dyDescent="0.3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</row>
    <row r="174" spans="1:12" x14ac:dyDescent="0.3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</row>
    <row r="175" spans="1:12" x14ac:dyDescent="0.3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</row>
    <row r="176" spans="1:12" x14ac:dyDescent="0.3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</row>
    <row r="177" spans="1:12" x14ac:dyDescent="0.3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</row>
    <row r="178" spans="1:12" x14ac:dyDescent="0.3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</row>
    <row r="179" spans="1:12" x14ac:dyDescent="0.3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</row>
    <row r="180" spans="1:12" x14ac:dyDescent="0.3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</row>
    <row r="181" spans="1:12" x14ac:dyDescent="0.3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</row>
    <row r="182" spans="1:12" x14ac:dyDescent="0.3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</row>
    <row r="183" spans="1:12" x14ac:dyDescent="0.3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</row>
    <row r="184" spans="1:12" x14ac:dyDescent="0.3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</row>
    <row r="185" spans="1:12" x14ac:dyDescent="0.3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</row>
    <row r="186" spans="1:12" x14ac:dyDescent="0.3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</row>
    <row r="187" spans="1:12" x14ac:dyDescent="0.3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</row>
    <row r="188" spans="1:12" x14ac:dyDescent="0.3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</row>
    <row r="189" spans="1:12" x14ac:dyDescent="0.3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</row>
    <row r="190" spans="1:12" x14ac:dyDescent="0.3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</row>
    <row r="191" spans="1:12" x14ac:dyDescent="0.3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</row>
    <row r="192" spans="1:12" x14ac:dyDescent="0.3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</row>
    <row r="193" spans="1:12" x14ac:dyDescent="0.3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</row>
    <row r="194" spans="1:12" x14ac:dyDescent="0.3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</row>
    <row r="195" spans="1:12" x14ac:dyDescent="0.3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</row>
    <row r="196" spans="1:12" x14ac:dyDescent="0.3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</row>
    <row r="197" spans="1:12" x14ac:dyDescent="0.3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</row>
    <row r="198" spans="1:12" x14ac:dyDescent="0.3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</row>
    <row r="199" spans="1:12" x14ac:dyDescent="0.3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</row>
    <row r="200" spans="1:12" x14ac:dyDescent="0.3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</row>
    <row r="201" spans="1:12" x14ac:dyDescent="0.3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</row>
  </sheetData>
  <sheetProtection algorithmName="SHA-512" hashValue="bVMUo/NASCUfIfd2X/4KC/yp6Bb77wlZaVr6u+t5unxYz6+LoaHYBEM0fNAwX/S4Y44BxpdrC4WUv9iQGR/Q0w==" saltValue="4C0NbQU6QBeqIZe8j3+tPQ==" spinCount="100000" sheet="1" scenarios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32" t="s">
        <v>347</v>
      </c>
      <c r="D8" s="166"/>
      <c r="E8" s="166"/>
      <c r="F8" s="166"/>
      <c r="G8" s="166"/>
      <c r="H8" s="166"/>
      <c r="I8" s="166"/>
    </row>
    <row r="9" spans="3:9" ht="18" customHeight="1" x14ac:dyDescent="0.3">
      <c r="C9" s="166"/>
      <c r="D9" s="166"/>
      <c r="E9" s="166"/>
      <c r="F9" s="166"/>
      <c r="G9" s="166"/>
      <c r="H9" s="166"/>
      <c r="I9" s="166"/>
    </row>
    <row r="10" spans="3:9" ht="18" customHeight="1" x14ac:dyDescent="0.3">
      <c r="C10" s="237" t="s">
        <v>348</v>
      </c>
      <c r="D10" s="166"/>
      <c r="E10" s="166"/>
      <c r="F10" s="166"/>
      <c r="G10" s="166"/>
      <c r="H10" s="166"/>
      <c r="I10" s="166"/>
    </row>
    <row r="11" spans="3:9" ht="18" customHeight="1" x14ac:dyDescent="0.3"/>
    <row r="12" spans="3:9" ht="18" customHeight="1" x14ac:dyDescent="0.3"/>
    <row r="13" spans="3:9" ht="18" customHeight="1" x14ac:dyDescent="0.3">
      <c r="C13" s="233" t="s">
        <v>349</v>
      </c>
      <c r="D13" s="166"/>
      <c r="E13" s="238" t="s">
        <v>322</v>
      </c>
      <c r="F13" s="236"/>
      <c r="G13" s="236"/>
      <c r="H13" s="236"/>
    </row>
    <row r="14" spans="3:9" ht="18" customHeight="1" x14ac:dyDescent="0.3"/>
    <row r="15" spans="3:9" ht="18" customHeight="1" x14ac:dyDescent="0.3">
      <c r="C15" s="233" t="s">
        <v>331</v>
      </c>
      <c r="D15" s="166"/>
      <c r="E15" s="235"/>
      <c r="F15" s="236"/>
      <c r="G15" s="236"/>
      <c r="H15" s="23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34"/>
      <c r="D20" s="166"/>
      <c r="E20" s="166"/>
      <c r="F20" s="166"/>
      <c r="G20" s="166"/>
      <c r="H20" s="166"/>
      <c r="I20" s="166"/>
    </row>
    <row r="21" spans="3:9" ht="18" customHeight="1" x14ac:dyDescent="0.3"/>
    <row r="22" spans="3:9" ht="18" customHeight="1" x14ac:dyDescent="0.3">
      <c r="C22" s="179" t="s">
        <v>350</v>
      </c>
      <c r="D22" s="166"/>
      <c r="E22" s="166"/>
      <c r="F22" s="166"/>
      <c r="G22" s="166"/>
      <c r="H22" s="166"/>
      <c r="I22" s="166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zzJxdr2Nm8Dj5kTJ/zByXaQHHz0AqsQBdIUDrSEb1XkxXL5NQAVjmX9Hd029tZ4kjC22ozE6J/H5xHf2DEkM9g==" saltValue="pbFevXJ/GUn7ox1AyQtGSw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9E81E-B215-44F8-A228-21131F9BAEE6}">
  <sheetPr codeName="Planilha31"/>
  <dimension ref="A1:CF1576"/>
  <sheetViews>
    <sheetView workbookViewId="0"/>
  </sheetViews>
  <sheetFormatPr defaultRowHeight="14.4" x14ac:dyDescent="0.3"/>
  <cols>
    <col min="1" max="1" width="10.77734375" customWidth="1"/>
    <col min="2" max="2" width="11.77734375" customWidth="1"/>
    <col min="3" max="3" width="10.33203125" bestFit="1" customWidth="1"/>
    <col min="6" max="6" width="10.77734375" customWidth="1"/>
    <col min="7" max="7" width="14" customWidth="1"/>
    <col min="8" max="8" width="11.6640625" customWidth="1"/>
    <col min="11" max="11" width="10" customWidth="1"/>
    <col min="12" max="12" width="9.33203125" customWidth="1"/>
    <col min="16" max="16" width="11.21875" customWidth="1"/>
    <col min="19" max="19" width="13" customWidth="1"/>
    <col min="20" max="20" width="10" customWidth="1"/>
    <col min="22" max="24" width="10.33203125" customWidth="1"/>
    <col min="25" max="27" width="9.77734375" customWidth="1"/>
    <col min="28" max="28" width="10.6640625" customWidth="1"/>
    <col min="29" max="29" width="12.21875" customWidth="1"/>
    <col min="30" max="30" width="9.6640625" customWidth="1"/>
    <col min="31" max="31" width="9.44140625" customWidth="1"/>
    <col min="32" max="32" width="12.21875" customWidth="1"/>
    <col min="33" max="33" width="9.5546875" customWidth="1"/>
    <col min="34" max="34" width="9.44140625" customWidth="1"/>
    <col min="37" max="37" width="10.109375" customWidth="1"/>
    <col min="38" max="38" width="9.77734375" customWidth="1"/>
    <col min="39" max="39" width="13.5546875" customWidth="1"/>
    <col min="40" max="40" width="16.109375" customWidth="1"/>
    <col min="41" max="41" width="18.109375" bestFit="1" customWidth="1"/>
    <col min="42" max="42" width="14.33203125" customWidth="1"/>
    <col min="43" max="43" width="17.109375" customWidth="1"/>
    <col min="44" max="44" width="18.109375" customWidth="1"/>
    <col min="45" max="45" width="15.6640625" customWidth="1"/>
    <col min="46" max="46" width="18" customWidth="1"/>
    <col min="47" max="47" width="14.33203125" customWidth="1"/>
    <col min="48" max="48" width="18.21875" customWidth="1"/>
    <col min="49" max="49" width="15.33203125" customWidth="1"/>
    <col min="50" max="50" width="19" customWidth="1"/>
    <col min="51" max="51" width="20" customWidth="1"/>
    <col min="52" max="52" width="18.6640625" customWidth="1"/>
    <col min="54" max="54" width="19.88671875" customWidth="1"/>
    <col min="55" max="55" width="16.88671875" customWidth="1"/>
    <col min="56" max="56" width="15.5546875" customWidth="1"/>
    <col min="57" max="57" width="14" customWidth="1"/>
    <col min="58" max="58" width="22.33203125" customWidth="1"/>
    <col min="59" max="59" width="20" customWidth="1"/>
    <col min="60" max="60" width="13.44140625" customWidth="1"/>
    <col min="61" max="61" width="23.88671875" customWidth="1"/>
    <col min="62" max="62" width="19.5546875" customWidth="1"/>
    <col min="63" max="63" width="17.33203125" customWidth="1"/>
    <col min="64" max="64" width="17.77734375" customWidth="1"/>
    <col min="65" max="65" width="20.33203125" customWidth="1"/>
    <col min="66" max="66" width="15.21875" customWidth="1"/>
    <col min="67" max="67" width="10.88671875" customWidth="1"/>
    <col min="68" max="68" width="13.88671875" customWidth="1"/>
    <col min="69" max="69" width="14.21875" customWidth="1"/>
    <col min="70" max="70" width="14.109375" customWidth="1"/>
    <col min="71" max="71" width="29.77734375" customWidth="1"/>
    <col min="72" max="72" width="25.6640625" customWidth="1"/>
    <col min="73" max="73" width="27.33203125" customWidth="1"/>
    <col min="74" max="74" width="24.5546875" customWidth="1"/>
    <col min="75" max="75" width="26.6640625" customWidth="1"/>
    <col min="76" max="76" width="21" customWidth="1"/>
    <col min="77" max="77" width="13.77734375" customWidth="1"/>
    <col min="78" max="78" width="18" customWidth="1"/>
    <col min="79" max="79" width="25.33203125" customWidth="1"/>
    <col min="80" max="80" width="11.44140625" customWidth="1"/>
    <col min="81" max="81" width="14.21875" customWidth="1"/>
    <col min="82" max="82" width="11.5546875" customWidth="1"/>
    <col min="83" max="83" width="11.44140625" customWidth="1"/>
    <col min="84" max="84" width="9.5546875" customWidth="1"/>
  </cols>
  <sheetData>
    <row r="1" spans="1:84" s="76" customFormat="1" x14ac:dyDescent="0.3">
      <c r="A1" s="76" t="s">
        <v>1069</v>
      </c>
      <c r="B1" s="76" t="s">
        <v>1070</v>
      </c>
      <c r="C1" s="76" t="s">
        <v>173</v>
      </c>
      <c r="D1" s="76" t="s">
        <v>289</v>
      </c>
      <c r="E1" s="76" t="s">
        <v>1071</v>
      </c>
      <c r="F1" s="76" t="s">
        <v>1072</v>
      </c>
      <c r="G1" s="76" t="s">
        <v>1073</v>
      </c>
      <c r="H1" s="76" t="s">
        <v>1074</v>
      </c>
      <c r="I1" s="76" t="s">
        <v>88</v>
      </c>
      <c r="J1" s="76" t="s">
        <v>1037</v>
      </c>
      <c r="K1" s="76" t="s">
        <v>389</v>
      </c>
      <c r="L1" s="76" t="s">
        <v>1075</v>
      </c>
      <c r="M1" s="76" t="s">
        <v>153</v>
      </c>
      <c r="N1" s="76" t="s">
        <v>1076</v>
      </c>
      <c r="O1" s="76" t="s">
        <v>353</v>
      </c>
      <c r="P1" s="76" t="s">
        <v>354</v>
      </c>
      <c r="Q1" s="76" t="s">
        <v>264</v>
      </c>
      <c r="R1" s="76" t="s">
        <v>352</v>
      </c>
      <c r="S1" s="76" t="s">
        <v>1077</v>
      </c>
      <c r="T1" s="76" t="s">
        <v>1078</v>
      </c>
      <c r="U1" s="76" t="s">
        <v>1079</v>
      </c>
      <c r="V1" s="76" t="s">
        <v>1080</v>
      </c>
      <c r="W1" s="76" t="s">
        <v>1081</v>
      </c>
      <c r="X1" s="76" t="s">
        <v>1082</v>
      </c>
      <c r="Y1" s="76" t="s">
        <v>1083</v>
      </c>
      <c r="Z1" s="76" t="s">
        <v>1084</v>
      </c>
      <c r="AA1" s="76" t="s">
        <v>1085</v>
      </c>
      <c r="AB1" s="76" t="s">
        <v>1086</v>
      </c>
      <c r="AC1" s="76" t="s">
        <v>1087</v>
      </c>
      <c r="AD1" s="76" t="s">
        <v>1088</v>
      </c>
      <c r="AE1" s="76" t="s">
        <v>1089</v>
      </c>
      <c r="AF1" s="76" t="s">
        <v>1090</v>
      </c>
      <c r="AG1" s="76" t="s">
        <v>1091</v>
      </c>
      <c r="AH1" s="76" t="s">
        <v>1092</v>
      </c>
      <c r="AI1" s="76" t="s">
        <v>1093</v>
      </c>
      <c r="AJ1" s="76" t="s">
        <v>1094</v>
      </c>
      <c r="AK1" s="76" t="s">
        <v>1095</v>
      </c>
      <c r="AL1" s="76" t="s">
        <v>1096</v>
      </c>
      <c r="AM1" s="76" t="s">
        <v>1097</v>
      </c>
      <c r="AN1" s="76" t="s">
        <v>1098</v>
      </c>
      <c r="AO1" s="76" t="s">
        <v>1099</v>
      </c>
      <c r="AP1" s="76" t="s">
        <v>1100</v>
      </c>
      <c r="AQ1" s="76" t="s">
        <v>1101</v>
      </c>
      <c r="AR1" s="76" t="s">
        <v>1102</v>
      </c>
      <c r="AS1" s="76" t="s">
        <v>1103</v>
      </c>
      <c r="AT1" s="76" t="s">
        <v>1104</v>
      </c>
      <c r="AU1" s="76" t="s">
        <v>1105</v>
      </c>
      <c r="AV1" s="76" t="s">
        <v>1106</v>
      </c>
      <c r="AW1" s="76" t="s">
        <v>1107</v>
      </c>
      <c r="AX1" s="76" t="s">
        <v>1108</v>
      </c>
      <c r="AY1" s="76" t="s">
        <v>1109</v>
      </c>
      <c r="AZ1" s="76" t="s">
        <v>1110</v>
      </c>
      <c r="BA1" s="76" t="s">
        <v>263</v>
      </c>
      <c r="BB1" s="76" t="s">
        <v>1111</v>
      </c>
      <c r="BC1" s="76" t="s">
        <v>1112</v>
      </c>
      <c r="BD1" s="76" t="s">
        <v>1113</v>
      </c>
      <c r="BE1" s="76" t="s">
        <v>1114</v>
      </c>
      <c r="BF1" s="76" t="s">
        <v>1115</v>
      </c>
      <c r="BG1" s="76" t="s">
        <v>1116</v>
      </c>
      <c r="BH1" s="76" t="s">
        <v>1117</v>
      </c>
      <c r="BI1" s="76" t="s">
        <v>1118</v>
      </c>
      <c r="BJ1" s="76" t="s">
        <v>1119</v>
      </c>
      <c r="BK1" s="76" t="s">
        <v>1120</v>
      </c>
      <c r="BL1" s="76" t="s">
        <v>1121</v>
      </c>
      <c r="BM1" s="76" t="s">
        <v>1122</v>
      </c>
      <c r="BN1" s="76" t="s">
        <v>1123</v>
      </c>
      <c r="BO1" s="76" t="s">
        <v>1124</v>
      </c>
      <c r="BP1" s="76" t="s">
        <v>1125</v>
      </c>
      <c r="BQ1" s="76" t="s">
        <v>1126</v>
      </c>
      <c r="BR1" s="76" t="s">
        <v>1127</v>
      </c>
      <c r="BS1" s="76" t="s">
        <v>1128</v>
      </c>
      <c r="BT1" s="76" t="s">
        <v>1129</v>
      </c>
      <c r="BU1" s="76" t="s">
        <v>1130</v>
      </c>
      <c r="BV1" s="76" t="s">
        <v>1131</v>
      </c>
      <c r="BW1" s="76" t="s">
        <v>1132</v>
      </c>
      <c r="BX1" s="76" t="s">
        <v>1133</v>
      </c>
      <c r="BY1" s="76" t="s">
        <v>1134</v>
      </c>
      <c r="BZ1" s="76" t="s">
        <v>1135</v>
      </c>
      <c r="CA1" s="76" t="s">
        <v>1136</v>
      </c>
      <c r="CB1" s="76" t="s">
        <v>1137</v>
      </c>
      <c r="CC1" s="76" t="s">
        <v>1138</v>
      </c>
      <c r="CD1" s="76" t="s">
        <v>1139</v>
      </c>
      <c r="CE1" s="76" t="s">
        <v>1140</v>
      </c>
      <c r="CF1" s="76" t="s">
        <v>1141</v>
      </c>
    </row>
    <row r="2" spans="1:84" x14ac:dyDescent="0.3">
      <c r="A2" t="s">
        <v>1142</v>
      </c>
      <c r="B2" t="s">
        <v>1143</v>
      </c>
      <c r="C2" s="98">
        <v>45663</v>
      </c>
      <c r="D2">
        <v>2025</v>
      </c>
      <c r="E2">
        <v>1</v>
      </c>
      <c r="F2">
        <v>1</v>
      </c>
      <c r="G2" t="s">
        <v>1144</v>
      </c>
      <c r="H2" t="s">
        <v>122</v>
      </c>
      <c r="I2" t="s">
        <v>122</v>
      </c>
      <c r="J2" t="s">
        <v>6</v>
      </c>
      <c r="L2">
        <v>522611</v>
      </c>
      <c r="M2" s="99" t="s">
        <v>178</v>
      </c>
      <c r="N2">
        <v>1</v>
      </c>
      <c r="O2">
        <v>1</v>
      </c>
      <c r="P2">
        <v>3.0038999999999998</v>
      </c>
      <c r="Q2" t="s">
        <v>352</v>
      </c>
      <c r="R2">
        <v>1</v>
      </c>
      <c r="S2">
        <v>3.0038</v>
      </c>
      <c r="T2">
        <v>5.2900000000000003E-2</v>
      </c>
      <c r="U2">
        <v>1.8903591682375603E-3</v>
      </c>
      <c r="V2">
        <v>2.8451</v>
      </c>
      <c r="W2">
        <v>2.8980000000000001</v>
      </c>
      <c r="X2">
        <v>2.9508999999999999</v>
      </c>
      <c r="Y2">
        <v>3.0567000000000002</v>
      </c>
      <c r="Z2">
        <v>3.1095999999999999</v>
      </c>
      <c r="AA2">
        <v>3.1625000000000001</v>
      </c>
      <c r="AD2">
        <v>7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 t="s">
        <v>462</v>
      </c>
      <c r="AL2" t="s">
        <v>6</v>
      </c>
      <c r="AM2" t="s">
        <v>1145</v>
      </c>
      <c r="AN2" t="s">
        <v>1146</v>
      </c>
      <c r="AO2" s="100">
        <v>46262.040405092594</v>
      </c>
      <c r="AP2" t="s">
        <v>1147</v>
      </c>
      <c r="AQ2" t="s">
        <v>1148</v>
      </c>
      <c r="AR2" t="s">
        <v>1149</v>
      </c>
      <c r="AS2" t="s">
        <v>1150</v>
      </c>
      <c r="AT2" t="s">
        <v>1151</v>
      </c>
      <c r="AU2">
        <v>25</v>
      </c>
      <c r="AV2">
        <v>3.0055680000000002</v>
      </c>
      <c r="AW2">
        <v>6.8982997422070119E-2</v>
      </c>
      <c r="AX2">
        <v>2.2951734055616146</v>
      </c>
      <c r="AY2">
        <v>-1.8648146011737141</v>
      </c>
      <c r="AZ2">
        <v>5.6518507203503781</v>
      </c>
      <c r="BA2">
        <v>2.2373844984360725</v>
      </c>
      <c r="BB2" s="97" t="s">
        <v>161</v>
      </c>
      <c r="BD2" s="98"/>
      <c r="BE2" s="98"/>
      <c r="BF2" t="s">
        <v>1152</v>
      </c>
      <c r="BG2" t="s">
        <v>322</v>
      </c>
      <c r="BH2" t="s">
        <v>1153</v>
      </c>
      <c r="BI2">
        <v>1.8648146011737141</v>
      </c>
      <c r="BJ2" t="s">
        <v>991</v>
      </c>
      <c r="BK2">
        <v>1.3481492796496219</v>
      </c>
      <c r="BL2">
        <v>19.259275423566027</v>
      </c>
      <c r="BM2" t="s">
        <v>1260</v>
      </c>
      <c r="BN2" t="s">
        <v>1154</v>
      </c>
      <c r="BO2">
        <v>2025</v>
      </c>
      <c r="BP2" t="s">
        <v>966</v>
      </c>
      <c r="BQ2">
        <v>230444.27981340454</v>
      </c>
      <c r="BR2">
        <v>76.955572018659552</v>
      </c>
      <c r="BS2" t="s">
        <v>992</v>
      </c>
      <c r="BV2" t="s">
        <v>1034</v>
      </c>
      <c r="BW2" t="s">
        <v>943</v>
      </c>
      <c r="BX2" t="s">
        <v>994</v>
      </c>
      <c r="BY2">
        <v>2.2373844984360725</v>
      </c>
      <c r="BZ2" t="s">
        <v>1155</v>
      </c>
      <c r="CA2" t="s">
        <v>991</v>
      </c>
      <c r="CB2" t="b">
        <v>1</v>
      </c>
      <c r="CC2" t="b">
        <v>1</v>
      </c>
      <c r="CD2" t="b">
        <v>1</v>
      </c>
      <c r="CE2" t="b">
        <v>1</v>
      </c>
      <c r="CF2" t="b">
        <v>1</v>
      </c>
    </row>
    <row r="3" spans="1:84" x14ac:dyDescent="0.3">
      <c r="A3" t="s">
        <v>1156</v>
      </c>
      <c r="B3" t="s">
        <v>1157</v>
      </c>
      <c r="C3" s="98">
        <v>45670</v>
      </c>
      <c r="D3">
        <v>2025</v>
      </c>
      <c r="E3">
        <v>1</v>
      </c>
      <c r="F3">
        <v>1</v>
      </c>
      <c r="G3" t="s">
        <v>1144</v>
      </c>
      <c r="H3" t="s">
        <v>122</v>
      </c>
      <c r="I3" t="s">
        <v>122</v>
      </c>
      <c r="J3" t="s">
        <v>6</v>
      </c>
      <c r="L3">
        <v>522611</v>
      </c>
      <c r="M3" s="99" t="s">
        <v>178</v>
      </c>
      <c r="N3">
        <v>1</v>
      </c>
      <c r="O3">
        <v>2</v>
      </c>
      <c r="P3">
        <v>3.0196000000000001</v>
      </c>
      <c r="Q3" t="s">
        <v>352</v>
      </c>
      <c r="R3">
        <v>1</v>
      </c>
      <c r="S3">
        <v>3.0038</v>
      </c>
      <c r="T3">
        <v>5.2900000000000003E-2</v>
      </c>
      <c r="U3">
        <v>0.29867674858223131</v>
      </c>
      <c r="V3">
        <v>2.8451</v>
      </c>
      <c r="W3">
        <v>2.8980000000000001</v>
      </c>
      <c r="X3">
        <v>2.9508999999999999</v>
      </c>
      <c r="Y3">
        <v>3.0567000000000002</v>
      </c>
      <c r="Z3">
        <v>3.1095999999999999</v>
      </c>
      <c r="AA3">
        <v>3.1625000000000001</v>
      </c>
      <c r="AD3">
        <v>7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 t="s">
        <v>462</v>
      </c>
      <c r="AL3" t="s">
        <v>6</v>
      </c>
      <c r="AM3" t="s">
        <v>1145</v>
      </c>
      <c r="AN3" t="s">
        <v>1146</v>
      </c>
      <c r="AO3" s="100">
        <v>46262.040405092594</v>
      </c>
      <c r="AP3" t="s">
        <v>1147</v>
      </c>
      <c r="AQ3" t="s">
        <v>1158</v>
      </c>
      <c r="AR3" t="s">
        <v>1159</v>
      </c>
      <c r="AS3" t="s">
        <v>1150</v>
      </c>
      <c r="AT3" t="s">
        <v>1151</v>
      </c>
      <c r="AU3">
        <v>25</v>
      </c>
      <c r="AV3">
        <v>3.0055680000000002</v>
      </c>
      <c r="AW3">
        <v>6.8982997422070119E-2</v>
      </c>
      <c r="AX3">
        <v>2.2951734055616146</v>
      </c>
      <c r="AY3">
        <v>-1.8648146011737141</v>
      </c>
      <c r="AZ3">
        <v>5.6518507203503781</v>
      </c>
      <c r="BA3">
        <v>2.2373844984360725</v>
      </c>
      <c r="BB3" s="97" t="s">
        <v>161</v>
      </c>
      <c r="BD3" s="98"/>
      <c r="BE3" s="98"/>
      <c r="BF3" t="s">
        <v>1152</v>
      </c>
      <c r="BG3" t="s">
        <v>322</v>
      </c>
      <c r="BH3" t="s">
        <v>1153</v>
      </c>
      <c r="BI3">
        <v>1.8648146011737141</v>
      </c>
      <c r="BJ3" t="s">
        <v>991</v>
      </c>
      <c r="BK3">
        <v>1.3481492796496219</v>
      </c>
      <c r="BL3">
        <v>19.259275423566027</v>
      </c>
      <c r="BM3" t="s">
        <v>1260</v>
      </c>
      <c r="BN3" t="s">
        <v>1154</v>
      </c>
      <c r="BO3">
        <v>2025</v>
      </c>
      <c r="BP3" t="s">
        <v>966</v>
      </c>
      <c r="BQ3">
        <v>230444.27981340454</v>
      </c>
      <c r="BR3">
        <v>76.955572018659552</v>
      </c>
      <c r="BS3" t="s">
        <v>992</v>
      </c>
      <c r="BV3" t="s">
        <v>1034</v>
      </c>
      <c r="BW3" t="s">
        <v>943</v>
      </c>
      <c r="BX3" t="s">
        <v>994</v>
      </c>
      <c r="BY3">
        <v>2.2373844984360725</v>
      </c>
      <c r="BZ3" t="s">
        <v>1155</v>
      </c>
      <c r="CA3" t="s">
        <v>991</v>
      </c>
      <c r="CB3" t="b">
        <v>1</v>
      </c>
      <c r="CC3" t="b">
        <v>1</v>
      </c>
      <c r="CD3" t="b">
        <v>1</v>
      </c>
      <c r="CE3" t="b">
        <v>1</v>
      </c>
      <c r="CF3" t="b">
        <v>1</v>
      </c>
    </row>
    <row r="4" spans="1:84" x14ac:dyDescent="0.3">
      <c r="A4" t="s">
        <v>1160</v>
      </c>
      <c r="B4" t="s">
        <v>1161</v>
      </c>
      <c r="C4" s="98">
        <v>45677</v>
      </c>
      <c r="D4">
        <v>2025</v>
      </c>
      <c r="E4">
        <v>1</v>
      </c>
      <c r="F4">
        <v>1</v>
      </c>
      <c r="G4" t="s">
        <v>1144</v>
      </c>
      <c r="H4" t="s">
        <v>122</v>
      </c>
      <c r="I4" t="s">
        <v>122</v>
      </c>
      <c r="J4" t="s">
        <v>6</v>
      </c>
      <c r="L4">
        <v>522611</v>
      </c>
      <c r="M4" s="99" t="s">
        <v>178</v>
      </c>
      <c r="N4">
        <v>1</v>
      </c>
      <c r="O4">
        <v>3</v>
      </c>
      <c r="P4">
        <v>2.9893000000000001</v>
      </c>
      <c r="Q4" t="s">
        <v>352</v>
      </c>
      <c r="R4">
        <v>1</v>
      </c>
      <c r="S4">
        <v>3.0038</v>
      </c>
      <c r="T4">
        <v>5.2900000000000003E-2</v>
      </c>
      <c r="U4">
        <v>-0.27410207939508424</v>
      </c>
      <c r="V4">
        <v>2.8451</v>
      </c>
      <c r="W4">
        <v>2.8980000000000001</v>
      </c>
      <c r="X4">
        <v>2.9508999999999999</v>
      </c>
      <c r="Y4">
        <v>3.0567000000000002</v>
      </c>
      <c r="Z4">
        <v>3.1095999999999999</v>
      </c>
      <c r="AA4">
        <v>3.1625000000000001</v>
      </c>
      <c r="AD4">
        <v>7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 t="s">
        <v>462</v>
      </c>
      <c r="AL4" t="s">
        <v>6</v>
      </c>
      <c r="AM4" t="s">
        <v>1145</v>
      </c>
      <c r="AN4" t="s">
        <v>1146</v>
      </c>
      <c r="AO4" s="100">
        <v>46262.040405092594</v>
      </c>
      <c r="AP4" t="s">
        <v>1147</v>
      </c>
      <c r="AQ4" t="s">
        <v>1162</v>
      </c>
      <c r="AR4" t="s">
        <v>1163</v>
      </c>
      <c r="AS4" t="s">
        <v>1150</v>
      </c>
      <c r="AT4" t="s">
        <v>1151</v>
      </c>
      <c r="AU4">
        <v>25</v>
      </c>
      <c r="AV4">
        <v>3.0055680000000002</v>
      </c>
      <c r="AW4">
        <v>6.8982997422070119E-2</v>
      </c>
      <c r="AX4">
        <v>2.2951734055616146</v>
      </c>
      <c r="AY4">
        <v>-1.8648146011737141</v>
      </c>
      <c r="AZ4">
        <v>5.6518507203503781</v>
      </c>
      <c r="BA4">
        <v>2.2373844984360725</v>
      </c>
      <c r="BB4" s="97" t="s">
        <v>161</v>
      </c>
      <c r="BD4" s="98"/>
      <c r="BE4" s="98"/>
      <c r="BF4" t="s">
        <v>1152</v>
      </c>
      <c r="BG4" t="s">
        <v>322</v>
      </c>
      <c r="BH4" t="s">
        <v>1153</v>
      </c>
      <c r="BI4">
        <v>1.8648146011737141</v>
      </c>
      <c r="BJ4" t="s">
        <v>991</v>
      </c>
      <c r="BK4">
        <v>1.3481492796496219</v>
      </c>
      <c r="BL4">
        <v>19.259275423566027</v>
      </c>
      <c r="BM4" t="s">
        <v>1260</v>
      </c>
      <c r="BN4" t="s">
        <v>1154</v>
      </c>
      <c r="BO4">
        <v>2025</v>
      </c>
      <c r="BP4" t="s">
        <v>966</v>
      </c>
      <c r="BQ4">
        <v>230444.27981340454</v>
      </c>
      <c r="BR4">
        <v>76.955572018659552</v>
      </c>
      <c r="BS4" t="s">
        <v>992</v>
      </c>
      <c r="BV4" t="s">
        <v>1034</v>
      </c>
      <c r="BW4" t="s">
        <v>943</v>
      </c>
      <c r="BX4" t="s">
        <v>994</v>
      </c>
      <c r="BY4">
        <v>2.2373844984360725</v>
      </c>
      <c r="BZ4" t="s">
        <v>1155</v>
      </c>
      <c r="CA4" t="s">
        <v>991</v>
      </c>
      <c r="CB4" t="b">
        <v>1</v>
      </c>
      <c r="CC4" t="b">
        <v>1</v>
      </c>
      <c r="CD4" t="b">
        <v>1</v>
      </c>
      <c r="CE4" t="b">
        <v>1</v>
      </c>
      <c r="CF4" t="b">
        <v>1</v>
      </c>
    </row>
    <row r="5" spans="1:84" x14ac:dyDescent="0.3">
      <c r="A5" t="s">
        <v>1164</v>
      </c>
      <c r="B5" t="s">
        <v>1165</v>
      </c>
      <c r="C5" s="98">
        <v>45684</v>
      </c>
      <c r="D5">
        <v>2025</v>
      </c>
      <c r="E5">
        <v>1</v>
      </c>
      <c r="F5">
        <v>1</v>
      </c>
      <c r="G5" t="s">
        <v>1144</v>
      </c>
      <c r="H5" t="s">
        <v>122</v>
      </c>
      <c r="I5" t="s">
        <v>122</v>
      </c>
      <c r="J5" t="s">
        <v>6</v>
      </c>
      <c r="L5">
        <v>522611</v>
      </c>
      <c r="M5" s="99" t="s">
        <v>178</v>
      </c>
      <c r="N5">
        <v>1</v>
      </c>
      <c r="O5">
        <v>4</v>
      </c>
      <c r="P5">
        <v>2.9567000000000001</v>
      </c>
      <c r="Q5" t="s">
        <v>352</v>
      </c>
      <c r="R5">
        <v>1</v>
      </c>
      <c r="S5">
        <v>3.0038</v>
      </c>
      <c r="T5">
        <v>5.2900000000000003E-2</v>
      </c>
      <c r="U5">
        <v>-0.89035916824196437</v>
      </c>
      <c r="V5">
        <v>2.8451</v>
      </c>
      <c r="W5">
        <v>2.8980000000000001</v>
      </c>
      <c r="X5">
        <v>2.9508999999999999</v>
      </c>
      <c r="Y5">
        <v>3.0567000000000002</v>
      </c>
      <c r="Z5">
        <v>3.1095999999999999</v>
      </c>
      <c r="AA5">
        <v>3.1625000000000001</v>
      </c>
      <c r="AD5">
        <v>7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 t="s">
        <v>462</v>
      </c>
      <c r="AL5" t="s">
        <v>6</v>
      </c>
      <c r="AM5" t="s">
        <v>1145</v>
      </c>
      <c r="AN5" t="s">
        <v>1146</v>
      </c>
      <c r="AO5" s="100">
        <v>46262.040405092594</v>
      </c>
      <c r="AP5" t="s">
        <v>1147</v>
      </c>
      <c r="AQ5" t="s">
        <v>1166</v>
      </c>
      <c r="AR5" t="s">
        <v>1167</v>
      </c>
      <c r="AS5" t="s">
        <v>1150</v>
      </c>
      <c r="AT5" t="s">
        <v>1151</v>
      </c>
      <c r="AU5">
        <v>25</v>
      </c>
      <c r="AV5">
        <v>3.0055680000000002</v>
      </c>
      <c r="AW5">
        <v>6.8982997422070119E-2</v>
      </c>
      <c r="AX5">
        <v>2.2951734055616146</v>
      </c>
      <c r="AY5">
        <v>-1.8648146011737141</v>
      </c>
      <c r="AZ5">
        <v>5.6518507203503781</v>
      </c>
      <c r="BA5">
        <v>2.2373844984360725</v>
      </c>
      <c r="BB5" s="97" t="s">
        <v>161</v>
      </c>
      <c r="BD5" s="98"/>
      <c r="BE5" s="98"/>
      <c r="BF5" t="s">
        <v>1152</v>
      </c>
      <c r="BG5" t="s">
        <v>322</v>
      </c>
      <c r="BH5" t="s">
        <v>1153</v>
      </c>
      <c r="BI5">
        <v>1.8648146011737141</v>
      </c>
      <c r="BJ5" t="s">
        <v>991</v>
      </c>
      <c r="BK5">
        <v>1.3481492796496219</v>
      </c>
      <c r="BL5">
        <v>19.259275423566027</v>
      </c>
      <c r="BM5" t="s">
        <v>1260</v>
      </c>
      <c r="BN5" t="s">
        <v>1154</v>
      </c>
      <c r="BO5">
        <v>2025</v>
      </c>
      <c r="BP5" t="s">
        <v>966</v>
      </c>
      <c r="BQ5">
        <v>230444.27981340454</v>
      </c>
      <c r="BR5">
        <v>76.955572018659552</v>
      </c>
      <c r="BS5" t="s">
        <v>992</v>
      </c>
      <c r="BV5" t="s">
        <v>1034</v>
      </c>
      <c r="BW5" t="s">
        <v>943</v>
      </c>
      <c r="BX5" t="s">
        <v>994</v>
      </c>
      <c r="BY5">
        <v>2.2373844984360725</v>
      </c>
      <c r="BZ5" t="s">
        <v>1155</v>
      </c>
      <c r="CA5" t="s">
        <v>991</v>
      </c>
      <c r="CB5" t="b">
        <v>1</v>
      </c>
      <c r="CC5" t="b">
        <v>1</v>
      </c>
      <c r="CD5" t="b">
        <v>1</v>
      </c>
      <c r="CE5" t="b">
        <v>1</v>
      </c>
      <c r="CF5" t="b">
        <v>1</v>
      </c>
    </row>
    <row r="6" spans="1:84" x14ac:dyDescent="0.3">
      <c r="A6" t="s">
        <v>1168</v>
      </c>
      <c r="B6" t="s">
        <v>1169</v>
      </c>
      <c r="C6" s="98">
        <v>45691</v>
      </c>
      <c r="D6">
        <v>2025</v>
      </c>
      <c r="E6">
        <v>2</v>
      </c>
      <c r="F6">
        <v>1</v>
      </c>
      <c r="G6" t="s">
        <v>1170</v>
      </c>
      <c r="H6" t="s">
        <v>122</v>
      </c>
      <c r="I6" t="s">
        <v>122</v>
      </c>
      <c r="J6" t="s">
        <v>6</v>
      </c>
      <c r="L6">
        <v>522611</v>
      </c>
      <c r="M6" s="99" t="s">
        <v>178</v>
      </c>
      <c r="N6">
        <v>1</v>
      </c>
      <c r="O6">
        <v>5</v>
      </c>
      <c r="P6">
        <v>2.9798</v>
      </c>
      <c r="Q6" t="s">
        <v>352</v>
      </c>
      <c r="R6">
        <v>1</v>
      </c>
      <c r="S6">
        <v>3.0038</v>
      </c>
      <c r="T6">
        <v>5.2900000000000003E-2</v>
      </c>
      <c r="U6">
        <v>-0.45368620037807222</v>
      </c>
      <c r="V6">
        <v>2.8451</v>
      </c>
      <c r="W6">
        <v>2.8980000000000001</v>
      </c>
      <c r="X6">
        <v>2.9508999999999999</v>
      </c>
      <c r="Y6">
        <v>3.0567000000000002</v>
      </c>
      <c r="Z6">
        <v>3.1095999999999999</v>
      </c>
      <c r="AA6">
        <v>3.1625000000000001</v>
      </c>
      <c r="AD6">
        <v>7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462</v>
      </c>
      <c r="AL6" t="s">
        <v>6</v>
      </c>
      <c r="AM6" t="s">
        <v>1145</v>
      </c>
      <c r="AN6" t="s">
        <v>1146</v>
      </c>
      <c r="AO6" s="100">
        <v>46262.040405092594</v>
      </c>
      <c r="AP6" t="s">
        <v>1147</v>
      </c>
      <c r="AQ6" t="s">
        <v>1171</v>
      </c>
      <c r="AR6" t="s">
        <v>1172</v>
      </c>
      <c r="AS6" t="s">
        <v>1150</v>
      </c>
      <c r="AT6" t="s">
        <v>1151</v>
      </c>
      <c r="AU6">
        <v>25</v>
      </c>
      <c r="AV6">
        <v>3.0055680000000002</v>
      </c>
      <c r="AW6">
        <v>6.8982997422070119E-2</v>
      </c>
      <c r="AX6">
        <v>2.2951734055616146</v>
      </c>
      <c r="AY6">
        <v>-1.8648146011737141</v>
      </c>
      <c r="AZ6">
        <v>5.6518507203503781</v>
      </c>
      <c r="BA6">
        <v>2.2373844984360725</v>
      </c>
      <c r="BB6" s="97" t="s">
        <v>161</v>
      </c>
      <c r="BD6" s="98"/>
      <c r="BE6" s="98"/>
      <c r="BF6" t="s">
        <v>1152</v>
      </c>
      <c r="BG6" t="s">
        <v>322</v>
      </c>
      <c r="BH6" t="s">
        <v>1153</v>
      </c>
      <c r="BI6">
        <v>1.8648146011737141</v>
      </c>
      <c r="BJ6" t="s">
        <v>991</v>
      </c>
      <c r="BK6">
        <v>1.3481492796496219</v>
      </c>
      <c r="BL6">
        <v>19.259275423566027</v>
      </c>
      <c r="BM6" t="s">
        <v>1260</v>
      </c>
      <c r="BN6" t="s">
        <v>1154</v>
      </c>
      <c r="BO6">
        <v>2025</v>
      </c>
      <c r="BP6" t="s">
        <v>966</v>
      </c>
      <c r="BQ6">
        <v>230444.27981340454</v>
      </c>
      <c r="BR6">
        <v>76.955572018659552</v>
      </c>
      <c r="BS6" t="s">
        <v>992</v>
      </c>
      <c r="BV6" t="s">
        <v>1034</v>
      </c>
      <c r="BW6" t="s">
        <v>943</v>
      </c>
      <c r="BX6" t="s">
        <v>994</v>
      </c>
      <c r="BY6">
        <v>2.2373844984360725</v>
      </c>
      <c r="BZ6" t="s">
        <v>1155</v>
      </c>
      <c r="CA6" t="s">
        <v>991</v>
      </c>
      <c r="CB6" t="b">
        <v>1</v>
      </c>
      <c r="CC6" t="b">
        <v>1</v>
      </c>
      <c r="CD6" t="b">
        <v>1</v>
      </c>
      <c r="CE6" t="b">
        <v>1</v>
      </c>
      <c r="CF6" t="b">
        <v>1</v>
      </c>
    </row>
    <row r="7" spans="1:84" x14ac:dyDescent="0.3">
      <c r="A7" t="s">
        <v>1173</v>
      </c>
      <c r="B7" t="s">
        <v>1174</v>
      </c>
      <c r="C7" s="98">
        <v>45698</v>
      </c>
      <c r="D7">
        <v>2025</v>
      </c>
      <c r="E7">
        <v>2</v>
      </c>
      <c r="F7">
        <v>1</v>
      </c>
      <c r="G7" t="s">
        <v>1170</v>
      </c>
      <c r="H7" t="s">
        <v>122</v>
      </c>
      <c r="I7" t="s">
        <v>122</v>
      </c>
      <c r="J7" t="s">
        <v>6</v>
      </c>
      <c r="L7">
        <v>522611</v>
      </c>
      <c r="M7" s="99" t="s">
        <v>178</v>
      </c>
      <c r="N7">
        <v>1</v>
      </c>
      <c r="O7">
        <v>6</v>
      </c>
      <c r="P7">
        <v>2.9514</v>
      </c>
      <c r="Q7" t="s">
        <v>352</v>
      </c>
      <c r="R7">
        <v>1</v>
      </c>
      <c r="S7">
        <v>3.0038</v>
      </c>
      <c r="T7">
        <v>5.2900000000000003E-2</v>
      </c>
      <c r="U7">
        <v>-0.99054820415879019</v>
      </c>
      <c r="V7">
        <v>2.8451</v>
      </c>
      <c r="W7">
        <v>2.8980000000000001</v>
      </c>
      <c r="X7">
        <v>2.9508999999999999</v>
      </c>
      <c r="Y7">
        <v>3.0567000000000002</v>
      </c>
      <c r="Z7">
        <v>3.1095999999999999</v>
      </c>
      <c r="AA7">
        <v>3.1625000000000001</v>
      </c>
      <c r="AD7">
        <v>7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 t="s">
        <v>462</v>
      </c>
      <c r="AL7" t="s">
        <v>6</v>
      </c>
      <c r="AM7" t="s">
        <v>1145</v>
      </c>
      <c r="AN7" t="s">
        <v>1146</v>
      </c>
      <c r="AO7" s="100">
        <v>46262.040405092594</v>
      </c>
      <c r="AP7" t="s">
        <v>1147</v>
      </c>
      <c r="AQ7" t="s">
        <v>1175</v>
      </c>
      <c r="AR7" t="s">
        <v>1176</v>
      </c>
      <c r="AS7" t="s">
        <v>1150</v>
      </c>
      <c r="AT7" t="s">
        <v>1151</v>
      </c>
      <c r="AU7">
        <v>25</v>
      </c>
      <c r="AV7">
        <v>3.0055680000000002</v>
      </c>
      <c r="AW7">
        <v>6.8982997422070119E-2</v>
      </c>
      <c r="AX7">
        <v>2.2951734055616146</v>
      </c>
      <c r="AY7">
        <v>-1.8648146011737141</v>
      </c>
      <c r="AZ7">
        <v>5.6518507203503781</v>
      </c>
      <c r="BA7">
        <v>2.2373844984360725</v>
      </c>
      <c r="BB7" s="97" t="s">
        <v>161</v>
      </c>
      <c r="BD7" s="98"/>
      <c r="BE7" s="98"/>
      <c r="BF7" t="s">
        <v>1152</v>
      </c>
      <c r="BG7" t="s">
        <v>322</v>
      </c>
      <c r="BH7" t="s">
        <v>1153</v>
      </c>
      <c r="BI7">
        <v>1.8648146011737141</v>
      </c>
      <c r="BJ7" t="s">
        <v>991</v>
      </c>
      <c r="BK7">
        <v>1.3481492796496219</v>
      </c>
      <c r="BL7">
        <v>19.259275423566027</v>
      </c>
      <c r="BM7" t="s">
        <v>1260</v>
      </c>
      <c r="BN7" t="s">
        <v>1154</v>
      </c>
      <c r="BO7">
        <v>2025</v>
      </c>
      <c r="BP7" t="s">
        <v>966</v>
      </c>
      <c r="BQ7">
        <v>230444.27981340454</v>
      </c>
      <c r="BR7">
        <v>76.955572018659552</v>
      </c>
      <c r="BS7" t="s">
        <v>992</v>
      </c>
      <c r="BV7" t="s">
        <v>1034</v>
      </c>
      <c r="BW7" t="s">
        <v>943</v>
      </c>
      <c r="BX7" t="s">
        <v>994</v>
      </c>
      <c r="BY7">
        <v>2.2373844984360725</v>
      </c>
      <c r="BZ7" t="s">
        <v>1155</v>
      </c>
      <c r="CA7" t="s">
        <v>991</v>
      </c>
      <c r="CB7" t="b">
        <v>1</v>
      </c>
      <c r="CC7" t="b">
        <v>1</v>
      </c>
      <c r="CD7" t="b">
        <v>1</v>
      </c>
      <c r="CE7" t="b">
        <v>1</v>
      </c>
      <c r="CF7" t="b">
        <v>1</v>
      </c>
    </row>
    <row r="8" spans="1:84" x14ac:dyDescent="0.3">
      <c r="A8" t="s">
        <v>1177</v>
      </c>
      <c r="B8" t="s">
        <v>1178</v>
      </c>
      <c r="C8" s="98">
        <v>45705</v>
      </c>
      <c r="D8">
        <v>2025</v>
      </c>
      <c r="E8">
        <v>2</v>
      </c>
      <c r="F8">
        <v>1</v>
      </c>
      <c r="G8" t="s">
        <v>1170</v>
      </c>
      <c r="H8" t="s">
        <v>122</v>
      </c>
      <c r="I8" t="s">
        <v>122</v>
      </c>
      <c r="J8" t="s">
        <v>6</v>
      </c>
      <c r="L8">
        <v>522611</v>
      </c>
      <c r="M8" s="99" t="s">
        <v>178</v>
      </c>
      <c r="N8">
        <v>1</v>
      </c>
      <c r="O8">
        <v>7</v>
      </c>
      <c r="P8">
        <v>3.0070000000000001</v>
      </c>
      <c r="Q8" t="s">
        <v>352</v>
      </c>
      <c r="R8">
        <v>1</v>
      </c>
      <c r="S8">
        <v>3.0038</v>
      </c>
      <c r="T8">
        <v>5.2900000000000003E-2</v>
      </c>
      <c r="U8">
        <v>6.0491493383744641E-2</v>
      </c>
      <c r="V8">
        <v>2.8451</v>
      </c>
      <c r="W8">
        <v>2.8980000000000001</v>
      </c>
      <c r="X8">
        <v>2.9508999999999999</v>
      </c>
      <c r="Y8">
        <v>3.0567000000000002</v>
      </c>
      <c r="Z8">
        <v>3.1095999999999999</v>
      </c>
      <c r="AA8">
        <v>3.1625000000000001</v>
      </c>
      <c r="AD8">
        <v>7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 t="s">
        <v>462</v>
      </c>
      <c r="AL8" t="s">
        <v>6</v>
      </c>
      <c r="AM8" t="s">
        <v>1145</v>
      </c>
      <c r="AN8" t="s">
        <v>1146</v>
      </c>
      <c r="AO8" s="100">
        <v>46262.040405092594</v>
      </c>
      <c r="AP8" t="s">
        <v>1147</v>
      </c>
      <c r="AQ8" t="s">
        <v>1179</v>
      </c>
      <c r="AR8" t="s">
        <v>1180</v>
      </c>
      <c r="AS8" t="s">
        <v>1150</v>
      </c>
      <c r="AT8" t="s">
        <v>1151</v>
      </c>
      <c r="AU8">
        <v>25</v>
      </c>
      <c r="AV8">
        <v>3.0055680000000002</v>
      </c>
      <c r="AW8">
        <v>6.8982997422070119E-2</v>
      </c>
      <c r="AX8">
        <v>2.2951734055616146</v>
      </c>
      <c r="AY8">
        <v>-1.8648146011737141</v>
      </c>
      <c r="AZ8">
        <v>5.6518507203503781</v>
      </c>
      <c r="BA8">
        <v>2.2373844984360725</v>
      </c>
      <c r="BB8" s="97" t="s">
        <v>161</v>
      </c>
      <c r="BD8" s="98"/>
      <c r="BE8" s="98"/>
      <c r="BF8" t="s">
        <v>1152</v>
      </c>
      <c r="BG8" t="s">
        <v>322</v>
      </c>
      <c r="BH8" t="s">
        <v>1153</v>
      </c>
      <c r="BI8">
        <v>1.8648146011737141</v>
      </c>
      <c r="BJ8" t="s">
        <v>991</v>
      </c>
      <c r="BK8">
        <v>1.3481492796496219</v>
      </c>
      <c r="BL8">
        <v>19.259275423566027</v>
      </c>
      <c r="BM8" t="s">
        <v>1260</v>
      </c>
      <c r="BN8" t="s">
        <v>1154</v>
      </c>
      <c r="BO8">
        <v>2025</v>
      </c>
      <c r="BP8" t="s">
        <v>966</v>
      </c>
      <c r="BQ8">
        <v>230444.27981340454</v>
      </c>
      <c r="BR8">
        <v>76.955572018659552</v>
      </c>
      <c r="BS8" t="s">
        <v>992</v>
      </c>
      <c r="BV8" t="s">
        <v>1034</v>
      </c>
      <c r="BW8" t="s">
        <v>943</v>
      </c>
      <c r="BX8" t="s">
        <v>994</v>
      </c>
      <c r="BY8">
        <v>2.2373844984360725</v>
      </c>
      <c r="BZ8" t="s">
        <v>1155</v>
      </c>
      <c r="CA8" t="s">
        <v>991</v>
      </c>
      <c r="CB8" t="b">
        <v>1</v>
      </c>
      <c r="CC8" t="b">
        <v>1</v>
      </c>
      <c r="CD8" t="b">
        <v>1</v>
      </c>
      <c r="CE8" t="b">
        <v>1</v>
      </c>
      <c r="CF8" t="b">
        <v>1</v>
      </c>
    </row>
    <row r="9" spans="1:84" x14ac:dyDescent="0.3">
      <c r="A9" t="s">
        <v>1181</v>
      </c>
      <c r="B9" t="s">
        <v>1182</v>
      </c>
      <c r="C9" s="98">
        <v>45712</v>
      </c>
      <c r="D9">
        <v>2025</v>
      </c>
      <c r="E9">
        <v>2</v>
      </c>
      <c r="F9">
        <v>1</v>
      </c>
      <c r="G9" t="s">
        <v>1170</v>
      </c>
      <c r="H9" t="s">
        <v>122</v>
      </c>
      <c r="I9" t="s">
        <v>122</v>
      </c>
      <c r="J9" t="s">
        <v>6</v>
      </c>
      <c r="L9">
        <v>522611</v>
      </c>
      <c r="M9" s="99" t="s">
        <v>178</v>
      </c>
      <c r="N9">
        <v>1</v>
      </c>
      <c r="O9">
        <v>8</v>
      </c>
      <c r="P9">
        <v>3.0747</v>
      </c>
      <c r="Q9" t="s">
        <v>352</v>
      </c>
      <c r="R9">
        <v>1</v>
      </c>
      <c r="S9">
        <v>3.0038</v>
      </c>
      <c r="T9">
        <v>5.2900000000000003E-2</v>
      </c>
      <c r="U9">
        <v>1.3402646502835531</v>
      </c>
      <c r="V9">
        <v>2.8451</v>
      </c>
      <c r="W9">
        <v>2.8980000000000001</v>
      </c>
      <c r="X9">
        <v>2.9508999999999999</v>
      </c>
      <c r="Y9">
        <v>3.0567000000000002</v>
      </c>
      <c r="Z9">
        <v>3.1095999999999999</v>
      </c>
      <c r="AA9">
        <v>3.1625000000000001</v>
      </c>
      <c r="AD9">
        <v>7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 t="s">
        <v>462</v>
      </c>
      <c r="AL9" t="s">
        <v>6</v>
      </c>
      <c r="AM9" t="s">
        <v>1145</v>
      </c>
      <c r="AN9" t="s">
        <v>1146</v>
      </c>
      <c r="AO9" s="100">
        <v>46262.040405092594</v>
      </c>
      <c r="AP9" t="s">
        <v>1147</v>
      </c>
      <c r="AQ9" t="s">
        <v>1183</v>
      </c>
      <c r="AR9" t="s">
        <v>1184</v>
      </c>
      <c r="AS9" t="s">
        <v>1150</v>
      </c>
      <c r="AT9" t="s">
        <v>1151</v>
      </c>
      <c r="AU9">
        <v>25</v>
      </c>
      <c r="AV9">
        <v>3.0055680000000002</v>
      </c>
      <c r="AW9">
        <v>6.8982997422070119E-2</v>
      </c>
      <c r="AX9">
        <v>2.2951734055616146</v>
      </c>
      <c r="AY9">
        <v>-1.8648146011737141</v>
      </c>
      <c r="AZ9">
        <v>5.6518507203503781</v>
      </c>
      <c r="BA9">
        <v>2.2373844984360725</v>
      </c>
      <c r="BB9" s="97" t="s">
        <v>161</v>
      </c>
      <c r="BD9" s="98"/>
      <c r="BE9" s="98"/>
      <c r="BF9" t="s">
        <v>1152</v>
      </c>
      <c r="BG9" t="s">
        <v>322</v>
      </c>
      <c r="BH9" t="s">
        <v>1153</v>
      </c>
      <c r="BI9">
        <v>1.8648146011737141</v>
      </c>
      <c r="BJ9" t="s">
        <v>991</v>
      </c>
      <c r="BK9">
        <v>1.3481492796496219</v>
      </c>
      <c r="BL9">
        <v>19.259275423566027</v>
      </c>
      <c r="BM9" t="s">
        <v>1260</v>
      </c>
      <c r="BN9" t="s">
        <v>1154</v>
      </c>
      <c r="BO9">
        <v>2025</v>
      </c>
      <c r="BP9" t="s">
        <v>966</v>
      </c>
      <c r="BQ9">
        <v>230444.27981340454</v>
      </c>
      <c r="BR9">
        <v>76.955572018659552</v>
      </c>
      <c r="BS9" t="s">
        <v>992</v>
      </c>
      <c r="BV9" t="s">
        <v>1034</v>
      </c>
      <c r="BW9" t="s">
        <v>943</v>
      </c>
      <c r="BX9" t="s">
        <v>994</v>
      </c>
      <c r="BY9">
        <v>2.2373844984360725</v>
      </c>
      <c r="BZ9" t="s">
        <v>1155</v>
      </c>
      <c r="CA9" t="s">
        <v>991</v>
      </c>
      <c r="CB9" t="b">
        <v>1</v>
      </c>
      <c r="CC9" t="b">
        <v>1</v>
      </c>
      <c r="CD9" t="b">
        <v>1</v>
      </c>
      <c r="CE9" t="b">
        <v>1</v>
      </c>
      <c r="CF9" t="b">
        <v>1</v>
      </c>
    </row>
    <row r="10" spans="1:84" x14ac:dyDescent="0.3">
      <c r="A10" t="s">
        <v>1185</v>
      </c>
      <c r="B10" t="s">
        <v>1186</v>
      </c>
      <c r="C10" s="98">
        <v>45719</v>
      </c>
      <c r="D10">
        <v>2025</v>
      </c>
      <c r="E10">
        <v>3</v>
      </c>
      <c r="F10">
        <v>1</v>
      </c>
      <c r="G10" t="s">
        <v>1187</v>
      </c>
      <c r="H10" t="s">
        <v>122</v>
      </c>
      <c r="I10" t="s">
        <v>122</v>
      </c>
      <c r="J10" t="s">
        <v>6</v>
      </c>
      <c r="L10">
        <v>522611</v>
      </c>
      <c r="M10" s="99" t="s">
        <v>178</v>
      </c>
      <c r="N10">
        <v>1</v>
      </c>
      <c r="O10">
        <v>9</v>
      </c>
      <c r="P10">
        <v>2.9777999999999998</v>
      </c>
      <c r="Q10" t="s">
        <v>352</v>
      </c>
      <c r="R10">
        <v>1</v>
      </c>
      <c r="S10">
        <v>3.0038</v>
      </c>
      <c r="T10">
        <v>5.2900000000000003E-2</v>
      </c>
      <c r="U10">
        <v>-0.49149338374291579</v>
      </c>
      <c r="V10">
        <v>2.8451</v>
      </c>
      <c r="W10">
        <v>2.8980000000000001</v>
      </c>
      <c r="X10">
        <v>2.9508999999999999</v>
      </c>
      <c r="Y10">
        <v>3.0567000000000002</v>
      </c>
      <c r="Z10">
        <v>3.1095999999999999</v>
      </c>
      <c r="AA10">
        <v>3.1625000000000001</v>
      </c>
      <c r="AD10">
        <v>7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 t="s">
        <v>462</v>
      </c>
      <c r="AL10" t="s">
        <v>6</v>
      </c>
      <c r="AM10" t="s">
        <v>1145</v>
      </c>
      <c r="AN10" t="s">
        <v>1146</v>
      </c>
      <c r="AO10" s="100">
        <v>46262.040405092594</v>
      </c>
      <c r="AP10" t="s">
        <v>1147</v>
      </c>
      <c r="AQ10" t="s">
        <v>1188</v>
      </c>
      <c r="AR10" t="s">
        <v>1189</v>
      </c>
      <c r="AS10" t="s">
        <v>1150</v>
      </c>
      <c r="AT10" t="s">
        <v>1151</v>
      </c>
      <c r="AU10">
        <v>25</v>
      </c>
      <c r="AV10">
        <v>3.0055680000000002</v>
      </c>
      <c r="AW10">
        <v>6.8982997422070119E-2</v>
      </c>
      <c r="AX10">
        <v>2.2951734055616146</v>
      </c>
      <c r="AY10">
        <v>-1.8648146011737141</v>
      </c>
      <c r="AZ10">
        <v>5.6518507203503781</v>
      </c>
      <c r="BA10">
        <v>2.2373844984360725</v>
      </c>
      <c r="BB10" s="97" t="s">
        <v>161</v>
      </c>
      <c r="BD10" s="98"/>
      <c r="BE10" s="98"/>
      <c r="BF10" t="s">
        <v>1152</v>
      </c>
      <c r="BG10" t="s">
        <v>322</v>
      </c>
      <c r="BH10" t="s">
        <v>1153</v>
      </c>
      <c r="BI10">
        <v>1.8648146011737141</v>
      </c>
      <c r="BJ10" t="s">
        <v>991</v>
      </c>
      <c r="BK10">
        <v>1.3481492796496219</v>
      </c>
      <c r="BL10">
        <v>19.259275423566027</v>
      </c>
      <c r="BM10" t="s">
        <v>1260</v>
      </c>
      <c r="BN10" t="s">
        <v>1154</v>
      </c>
      <c r="BO10">
        <v>2025</v>
      </c>
      <c r="BP10" t="s">
        <v>966</v>
      </c>
      <c r="BQ10">
        <v>230444.27981340454</v>
      </c>
      <c r="BR10">
        <v>76.955572018659552</v>
      </c>
      <c r="BS10" t="s">
        <v>992</v>
      </c>
      <c r="BV10" t="s">
        <v>1034</v>
      </c>
      <c r="BW10" t="s">
        <v>943</v>
      </c>
      <c r="BX10" t="s">
        <v>994</v>
      </c>
      <c r="BY10">
        <v>2.2373844984360725</v>
      </c>
      <c r="BZ10" t="s">
        <v>1155</v>
      </c>
      <c r="CA10" t="s">
        <v>991</v>
      </c>
      <c r="CB10" t="b">
        <v>1</v>
      </c>
      <c r="CC10" t="b">
        <v>1</v>
      </c>
      <c r="CD10" t="b">
        <v>1</v>
      </c>
      <c r="CE10" t="b">
        <v>1</v>
      </c>
      <c r="CF10" t="b">
        <v>1</v>
      </c>
    </row>
    <row r="11" spans="1:84" x14ac:dyDescent="0.3">
      <c r="A11" t="s">
        <v>1190</v>
      </c>
      <c r="B11" t="s">
        <v>1191</v>
      </c>
      <c r="C11" s="98">
        <v>45726</v>
      </c>
      <c r="D11">
        <v>2025</v>
      </c>
      <c r="E11">
        <v>3</v>
      </c>
      <c r="F11">
        <v>1</v>
      </c>
      <c r="G11" t="s">
        <v>1187</v>
      </c>
      <c r="H11" t="s">
        <v>122</v>
      </c>
      <c r="I11" t="s">
        <v>122</v>
      </c>
      <c r="J11" t="s">
        <v>6</v>
      </c>
      <c r="L11">
        <v>522611</v>
      </c>
      <c r="M11" s="99" t="s">
        <v>178</v>
      </c>
      <c r="N11">
        <v>1</v>
      </c>
      <c r="O11">
        <v>10</v>
      </c>
      <c r="P11">
        <v>2.9710000000000001</v>
      </c>
      <c r="Q11" t="s">
        <v>352</v>
      </c>
      <c r="R11">
        <v>1</v>
      </c>
      <c r="S11">
        <v>3.0038</v>
      </c>
      <c r="T11">
        <v>5.2900000000000003E-2</v>
      </c>
      <c r="U11">
        <v>-0.62003780718336365</v>
      </c>
      <c r="V11">
        <v>2.8451</v>
      </c>
      <c r="W11">
        <v>2.8980000000000001</v>
      </c>
      <c r="X11">
        <v>2.9508999999999999</v>
      </c>
      <c r="Y11">
        <v>3.0567000000000002</v>
      </c>
      <c r="Z11">
        <v>3.1095999999999999</v>
      </c>
      <c r="AA11">
        <v>3.1625000000000001</v>
      </c>
      <c r="AD11">
        <v>7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 t="s">
        <v>462</v>
      </c>
      <c r="AL11" t="s">
        <v>6</v>
      </c>
      <c r="AM11" t="s">
        <v>1145</v>
      </c>
      <c r="AN11" t="s">
        <v>1146</v>
      </c>
      <c r="AO11" s="100">
        <v>46262.040405092594</v>
      </c>
      <c r="AP11" t="s">
        <v>1147</v>
      </c>
      <c r="AQ11" t="s">
        <v>1192</v>
      </c>
      <c r="AR11" t="s">
        <v>1193</v>
      </c>
      <c r="AS11" t="s">
        <v>1150</v>
      </c>
      <c r="AT11" t="s">
        <v>1151</v>
      </c>
      <c r="AU11">
        <v>25</v>
      </c>
      <c r="AV11">
        <v>3.0055680000000002</v>
      </c>
      <c r="AW11">
        <v>6.8982997422070119E-2</v>
      </c>
      <c r="AX11">
        <v>2.2951734055616146</v>
      </c>
      <c r="AY11">
        <v>-1.8648146011737141</v>
      </c>
      <c r="AZ11">
        <v>5.6518507203503781</v>
      </c>
      <c r="BA11">
        <v>2.2373844984360725</v>
      </c>
      <c r="BB11" s="97" t="s">
        <v>161</v>
      </c>
      <c r="BD11" s="98"/>
      <c r="BE11" s="98"/>
      <c r="BF11" t="s">
        <v>1152</v>
      </c>
      <c r="BG11" t="s">
        <v>322</v>
      </c>
      <c r="BH11" t="s">
        <v>1153</v>
      </c>
      <c r="BI11">
        <v>1.8648146011737141</v>
      </c>
      <c r="BJ11" t="s">
        <v>991</v>
      </c>
      <c r="BK11">
        <v>1.3481492796496219</v>
      </c>
      <c r="BL11">
        <v>19.259275423566027</v>
      </c>
      <c r="BM11" t="s">
        <v>1260</v>
      </c>
      <c r="BN11" t="s">
        <v>1154</v>
      </c>
      <c r="BO11">
        <v>2025</v>
      </c>
      <c r="BP11" t="s">
        <v>966</v>
      </c>
      <c r="BQ11">
        <v>230444.27981340454</v>
      </c>
      <c r="BR11">
        <v>76.955572018659552</v>
      </c>
      <c r="BS11" t="s">
        <v>992</v>
      </c>
      <c r="BV11" t="s">
        <v>1034</v>
      </c>
      <c r="BW11" t="s">
        <v>943</v>
      </c>
      <c r="BX11" t="s">
        <v>994</v>
      </c>
      <c r="BY11">
        <v>2.2373844984360725</v>
      </c>
      <c r="BZ11" t="s">
        <v>1155</v>
      </c>
      <c r="CA11" t="s">
        <v>991</v>
      </c>
      <c r="CB11" t="b">
        <v>1</v>
      </c>
      <c r="CC11" t="b">
        <v>1</v>
      </c>
      <c r="CD11" t="b">
        <v>1</v>
      </c>
      <c r="CE11" t="b">
        <v>1</v>
      </c>
      <c r="CF11" t="b">
        <v>1</v>
      </c>
    </row>
    <row r="12" spans="1:84" x14ac:dyDescent="0.3">
      <c r="A12" t="s">
        <v>1194</v>
      </c>
      <c r="B12" t="s">
        <v>1195</v>
      </c>
      <c r="C12" s="98">
        <v>45733</v>
      </c>
      <c r="D12">
        <v>2025</v>
      </c>
      <c r="E12">
        <v>3</v>
      </c>
      <c r="F12">
        <v>1</v>
      </c>
      <c r="G12" t="s">
        <v>1187</v>
      </c>
      <c r="H12" t="s">
        <v>122</v>
      </c>
      <c r="I12" t="s">
        <v>122</v>
      </c>
      <c r="J12" t="s">
        <v>6</v>
      </c>
      <c r="L12">
        <v>522611</v>
      </c>
      <c r="M12" s="99" t="s">
        <v>178</v>
      </c>
      <c r="N12">
        <v>1</v>
      </c>
      <c r="O12">
        <v>11</v>
      </c>
      <c r="P12">
        <v>3.0297000000000001</v>
      </c>
      <c r="Q12" t="s">
        <v>352</v>
      </c>
      <c r="R12">
        <v>1</v>
      </c>
      <c r="S12">
        <v>3.0038</v>
      </c>
      <c r="T12">
        <v>5.2900000000000003E-2</v>
      </c>
      <c r="U12">
        <v>0.48960302457466981</v>
      </c>
      <c r="V12">
        <v>2.8451</v>
      </c>
      <c r="W12">
        <v>2.8980000000000001</v>
      </c>
      <c r="X12">
        <v>2.9508999999999999</v>
      </c>
      <c r="Y12">
        <v>3.0567000000000002</v>
      </c>
      <c r="Z12">
        <v>3.1095999999999999</v>
      </c>
      <c r="AA12">
        <v>3.1625000000000001</v>
      </c>
      <c r="AD12">
        <v>7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 t="s">
        <v>462</v>
      </c>
      <c r="AL12" t="s">
        <v>6</v>
      </c>
      <c r="AM12" t="s">
        <v>1145</v>
      </c>
      <c r="AN12" t="s">
        <v>1146</v>
      </c>
      <c r="AO12" s="100">
        <v>46262.040405092594</v>
      </c>
      <c r="AP12" t="s">
        <v>1147</v>
      </c>
      <c r="AQ12" t="s">
        <v>1196</v>
      </c>
      <c r="AR12" t="s">
        <v>1197</v>
      </c>
      <c r="AS12" t="s">
        <v>1150</v>
      </c>
      <c r="AT12" t="s">
        <v>1151</v>
      </c>
      <c r="AU12">
        <v>25</v>
      </c>
      <c r="AV12">
        <v>3.0055680000000002</v>
      </c>
      <c r="AW12">
        <v>6.8982997422070119E-2</v>
      </c>
      <c r="AX12">
        <v>2.2951734055616146</v>
      </c>
      <c r="AY12">
        <v>-1.8648146011737141</v>
      </c>
      <c r="AZ12">
        <v>5.6518507203503781</v>
      </c>
      <c r="BA12">
        <v>2.2373844984360725</v>
      </c>
      <c r="BB12" s="97" t="s">
        <v>161</v>
      </c>
      <c r="BD12" s="98"/>
      <c r="BE12" s="98"/>
      <c r="BF12" t="s">
        <v>1152</v>
      </c>
      <c r="BG12" t="s">
        <v>322</v>
      </c>
      <c r="BH12" t="s">
        <v>1153</v>
      </c>
      <c r="BI12">
        <v>1.8648146011737141</v>
      </c>
      <c r="BJ12" t="s">
        <v>991</v>
      </c>
      <c r="BK12">
        <v>1.3481492796496219</v>
      </c>
      <c r="BL12">
        <v>19.259275423566027</v>
      </c>
      <c r="BM12" t="s">
        <v>1260</v>
      </c>
      <c r="BN12" t="s">
        <v>1154</v>
      </c>
      <c r="BO12">
        <v>2025</v>
      </c>
      <c r="BP12" t="s">
        <v>966</v>
      </c>
      <c r="BQ12">
        <v>230444.27981340454</v>
      </c>
      <c r="BR12">
        <v>76.955572018659552</v>
      </c>
      <c r="BS12" t="s">
        <v>992</v>
      </c>
      <c r="BV12" t="s">
        <v>1034</v>
      </c>
      <c r="BW12" t="s">
        <v>943</v>
      </c>
      <c r="BX12" t="s">
        <v>994</v>
      </c>
      <c r="BY12">
        <v>2.2373844984360725</v>
      </c>
      <c r="BZ12" t="s">
        <v>1155</v>
      </c>
      <c r="CA12" t="s">
        <v>991</v>
      </c>
      <c r="CB12" t="b">
        <v>1</v>
      </c>
      <c r="CC12" t="b">
        <v>1</v>
      </c>
      <c r="CD12" t="b">
        <v>1</v>
      </c>
      <c r="CE12" t="b">
        <v>1</v>
      </c>
      <c r="CF12" t="b">
        <v>1</v>
      </c>
    </row>
    <row r="13" spans="1:84" x14ac:dyDescent="0.3">
      <c r="A13" t="s">
        <v>1198</v>
      </c>
      <c r="B13" t="s">
        <v>1199</v>
      </c>
      <c r="C13" s="98">
        <v>45740</v>
      </c>
      <c r="D13">
        <v>2025</v>
      </c>
      <c r="E13">
        <v>3</v>
      </c>
      <c r="F13">
        <v>1</v>
      </c>
      <c r="G13" t="s">
        <v>1187</v>
      </c>
      <c r="H13" t="s">
        <v>122</v>
      </c>
      <c r="I13" t="s">
        <v>122</v>
      </c>
      <c r="J13" t="s">
        <v>6</v>
      </c>
      <c r="L13">
        <v>522611</v>
      </c>
      <c r="M13" s="99" t="s">
        <v>178</v>
      </c>
      <c r="N13">
        <v>1</v>
      </c>
      <c r="O13">
        <v>12</v>
      </c>
      <c r="P13">
        <v>3.0226999999999999</v>
      </c>
      <c r="Q13" t="s">
        <v>352</v>
      </c>
      <c r="R13">
        <v>1</v>
      </c>
      <c r="S13">
        <v>3.0038</v>
      </c>
      <c r="T13">
        <v>5.2900000000000003E-2</v>
      </c>
      <c r="U13">
        <v>0.35727788279772998</v>
      </c>
      <c r="V13">
        <v>2.8451</v>
      </c>
      <c r="W13">
        <v>2.8980000000000001</v>
      </c>
      <c r="X13">
        <v>2.9508999999999999</v>
      </c>
      <c r="Y13">
        <v>3.0567000000000002</v>
      </c>
      <c r="Z13">
        <v>3.1095999999999999</v>
      </c>
      <c r="AA13">
        <v>3.1625000000000001</v>
      </c>
      <c r="AD13">
        <v>7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462</v>
      </c>
      <c r="AL13" t="s">
        <v>6</v>
      </c>
      <c r="AM13" t="s">
        <v>1145</v>
      </c>
      <c r="AN13" t="s">
        <v>1146</v>
      </c>
      <c r="AO13" s="100">
        <v>46262.040405092594</v>
      </c>
      <c r="AP13" t="s">
        <v>1147</v>
      </c>
      <c r="AQ13" t="s">
        <v>1200</v>
      </c>
      <c r="AR13" t="s">
        <v>1201</v>
      </c>
      <c r="AS13" t="s">
        <v>1150</v>
      </c>
      <c r="AT13" t="s">
        <v>1151</v>
      </c>
      <c r="AU13">
        <v>25</v>
      </c>
      <c r="AV13">
        <v>3.0055680000000002</v>
      </c>
      <c r="AW13">
        <v>6.8982997422070119E-2</v>
      </c>
      <c r="AX13">
        <v>2.2951734055616146</v>
      </c>
      <c r="AY13">
        <v>-1.8648146011737141</v>
      </c>
      <c r="AZ13">
        <v>5.6518507203503781</v>
      </c>
      <c r="BA13">
        <v>2.2373844984360725</v>
      </c>
      <c r="BB13" s="97" t="s">
        <v>161</v>
      </c>
      <c r="BD13" s="98"/>
      <c r="BE13" s="98"/>
      <c r="BF13" t="s">
        <v>1152</v>
      </c>
      <c r="BG13" t="s">
        <v>322</v>
      </c>
      <c r="BH13" t="s">
        <v>1153</v>
      </c>
      <c r="BI13">
        <v>1.8648146011737141</v>
      </c>
      <c r="BJ13" t="s">
        <v>991</v>
      </c>
      <c r="BK13">
        <v>1.3481492796496219</v>
      </c>
      <c r="BL13">
        <v>19.259275423566027</v>
      </c>
      <c r="BM13" t="s">
        <v>1260</v>
      </c>
      <c r="BN13" t="s">
        <v>1154</v>
      </c>
      <c r="BO13">
        <v>2025</v>
      </c>
      <c r="BP13" t="s">
        <v>966</v>
      </c>
      <c r="BQ13">
        <v>230444.27981340454</v>
      </c>
      <c r="BR13">
        <v>76.955572018659552</v>
      </c>
      <c r="BS13" t="s">
        <v>992</v>
      </c>
      <c r="BV13" t="s">
        <v>1034</v>
      </c>
      <c r="BW13" t="s">
        <v>943</v>
      </c>
      <c r="BX13" t="s">
        <v>994</v>
      </c>
      <c r="BY13">
        <v>2.2373844984360725</v>
      </c>
      <c r="BZ13" t="s">
        <v>1155</v>
      </c>
      <c r="CA13" t="s">
        <v>991</v>
      </c>
      <c r="CB13" t="b">
        <v>1</v>
      </c>
      <c r="CC13" t="b">
        <v>1</v>
      </c>
      <c r="CD13" t="b">
        <v>1</v>
      </c>
      <c r="CE13" t="b">
        <v>1</v>
      </c>
      <c r="CF13" t="b">
        <v>1</v>
      </c>
    </row>
    <row r="14" spans="1:84" x14ac:dyDescent="0.3">
      <c r="A14" t="s">
        <v>1202</v>
      </c>
      <c r="B14" t="s">
        <v>1203</v>
      </c>
      <c r="C14" s="98">
        <v>45747</v>
      </c>
      <c r="D14">
        <v>2025</v>
      </c>
      <c r="E14">
        <v>3</v>
      </c>
      <c r="F14">
        <v>1</v>
      </c>
      <c r="G14" t="s">
        <v>1187</v>
      </c>
      <c r="H14" t="s">
        <v>122</v>
      </c>
      <c r="I14" t="s">
        <v>122</v>
      </c>
      <c r="J14" t="s">
        <v>6</v>
      </c>
      <c r="L14">
        <v>522611</v>
      </c>
      <c r="M14" s="99" t="s">
        <v>178</v>
      </c>
      <c r="N14">
        <v>1</v>
      </c>
      <c r="O14">
        <v>13</v>
      </c>
      <c r="P14">
        <v>3.0093999999999999</v>
      </c>
      <c r="Q14" t="s">
        <v>352</v>
      </c>
      <c r="R14">
        <v>1</v>
      </c>
      <c r="S14">
        <v>3.0038</v>
      </c>
      <c r="T14">
        <v>5.2900000000000003E-2</v>
      </c>
      <c r="U14">
        <v>0.10586011342154683</v>
      </c>
      <c r="V14">
        <v>2.8451</v>
      </c>
      <c r="W14">
        <v>2.8980000000000001</v>
      </c>
      <c r="X14">
        <v>2.9508999999999999</v>
      </c>
      <c r="Y14">
        <v>3.0567000000000002</v>
      </c>
      <c r="Z14">
        <v>3.1095999999999999</v>
      </c>
      <c r="AA14">
        <v>3.1625000000000001</v>
      </c>
      <c r="AD14">
        <v>7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 t="s">
        <v>462</v>
      </c>
      <c r="AL14" t="s">
        <v>6</v>
      </c>
      <c r="AM14" t="s">
        <v>1145</v>
      </c>
      <c r="AN14" t="s">
        <v>1146</v>
      </c>
      <c r="AO14" s="100">
        <v>46262.040405092594</v>
      </c>
      <c r="AP14" t="s">
        <v>1147</v>
      </c>
      <c r="AQ14" t="s">
        <v>1204</v>
      </c>
      <c r="AR14" t="s">
        <v>1205</v>
      </c>
      <c r="AS14" t="s">
        <v>1150</v>
      </c>
      <c r="AT14" t="s">
        <v>1151</v>
      </c>
      <c r="AU14">
        <v>25</v>
      </c>
      <c r="AV14">
        <v>3.0055680000000002</v>
      </c>
      <c r="AW14">
        <v>6.8982997422070119E-2</v>
      </c>
      <c r="AX14">
        <v>2.2951734055616146</v>
      </c>
      <c r="AY14">
        <v>-1.8648146011737141</v>
      </c>
      <c r="AZ14">
        <v>5.6518507203503781</v>
      </c>
      <c r="BA14">
        <v>2.2373844984360725</v>
      </c>
      <c r="BB14" s="97" t="s">
        <v>161</v>
      </c>
      <c r="BD14" s="98"/>
      <c r="BE14" s="98"/>
      <c r="BF14" t="s">
        <v>1152</v>
      </c>
      <c r="BG14" t="s">
        <v>322</v>
      </c>
      <c r="BH14" t="s">
        <v>1153</v>
      </c>
      <c r="BI14">
        <v>1.8648146011737141</v>
      </c>
      <c r="BJ14" t="s">
        <v>991</v>
      </c>
      <c r="BK14">
        <v>1.3481492796496219</v>
      </c>
      <c r="BL14">
        <v>19.259275423566027</v>
      </c>
      <c r="BM14" t="s">
        <v>1260</v>
      </c>
      <c r="BN14" t="s">
        <v>1154</v>
      </c>
      <c r="BO14">
        <v>2025</v>
      </c>
      <c r="BP14" t="s">
        <v>966</v>
      </c>
      <c r="BQ14">
        <v>230444.27981340454</v>
      </c>
      <c r="BR14">
        <v>76.955572018659552</v>
      </c>
      <c r="BS14" t="s">
        <v>992</v>
      </c>
      <c r="BV14" t="s">
        <v>1034</v>
      </c>
      <c r="BW14" t="s">
        <v>943</v>
      </c>
      <c r="BX14" t="s">
        <v>994</v>
      </c>
      <c r="BY14">
        <v>2.2373844984360725</v>
      </c>
      <c r="BZ14" t="s">
        <v>1155</v>
      </c>
      <c r="CA14" t="s">
        <v>991</v>
      </c>
      <c r="CB14" t="b">
        <v>1</v>
      </c>
      <c r="CC14" t="b">
        <v>1</v>
      </c>
      <c r="CD14" t="b">
        <v>1</v>
      </c>
      <c r="CE14" t="b">
        <v>1</v>
      </c>
      <c r="CF14" t="b">
        <v>1</v>
      </c>
    </row>
    <row r="15" spans="1:84" x14ac:dyDescent="0.3">
      <c r="A15" t="s">
        <v>1206</v>
      </c>
      <c r="B15" t="s">
        <v>1207</v>
      </c>
      <c r="C15" s="98">
        <v>45754</v>
      </c>
      <c r="D15">
        <v>2025</v>
      </c>
      <c r="E15">
        <v>4</v>
      </c>
      <c r="F15">
        <v>2</v>
      </c>
      <c r="G15" t="s">
        <v>1208</v>
      </c>
      <c r="H15" t="s">
        <v>122</v>
      </c>
      <c r="I15" t="s">
        <v>122</v>
      </c>
      <c r="J15" t="s">
        <v>6</v>
      </c>
      <c r="L15">
        <v>522611</v>
      </c>
      <c r="M15" s="99" t="s">
        <v>178</v>
      </c>
      <c r="N15">
        <v>1</v>
      </c>
      <c r="O15">
        <v>14</v>
      </c>
      <c r="P15">
        <v>2.9546000000000001</v>
      </c>
      <c r="Q15" t="s">
        <v>352</v>
      </c>
      <c r="R15">
        <v>1</v>
      </c>
      <c r="S15">
        <v>3.0038</v>
      </c>
      <c r="T15">
        <v>5.2900000000000003E-2</v>
      </c>
      <c r="U15">
        <v>-0.93005671077504548</v>
      </c>
      <c r="V15">
        <v>2.8451</v>
      </c>
      <c r="W15">
        <v>2.8980000000000001</v>
      </c>
      <c r="X15">
        <v>2.9508999999999999</v>
      </c>
      <c r="Y15">
        <v>3.0567000000000002</v>
      </c>
      <c r="Z15">
        <v>3.1095999999999999</v>
      </c>
      <c r="AA15">
        <v>3.1625000000000001</v>
      </c>
      <c r="AD15">
        <v>7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 t="s">
        <v>462</v>
      </c>
      <c r="AL15" t="s">
        <v>6</v>
      </c>
      <c r="AM15" t="s">
        <v>1145</v>
      </c>
      <c r="AN15" t="s">
        <v>1146</v>
      </c>
      <c r="AO15" s="100">
        <v>46262.040405092594</v>
      </c>
      <c r="AP15" t="s">
        <v>1147</v>
      </c>
      <c r="AQ15" t="s">
        <v>1209</v>
      </c>
      <c r="AR15" t="s">
        <v>1210</v>
      </c>
      <c r="AS15" t="s">
        <v>1150</v>
      </c>
      <c r="AT15" t="s">
        <v>1151</v>
      </c>
      <c r="AU15">
        <v>25</v>
      </c>
      <c r="AV15">
        <v>3.0055680000000002</v>
      </c>
      <c r="AW15">
        <v>6.8982997422070119E-2</v>
      </c>
      <c r="AX15">
        <v>2.2951734055616146</v>
      </c>
      <c r="AY15">
        <v>-1.8648146011737141</v>
      </c>
      <c r="AZ15">
        <v>5.6518507203503781</v>
      </c>
      <c r="BA15">
        <v>2.2373844984360725</v>
      </c>
      <c r="BB15" s="97" t="s">
        <v>161</v>
      </c>
      <c r="BD15" s="98"/>
      <c r="BE15" s="98"/>
      <c r="BF15" t="s">
        <v>1152</v>
      </c>
      <c r="BG15" t="s">
        <v>322</v>
      </c>
      <c r="BH15" t="s">
        <v>1153</v>
      </c>
      <c r="BI15">
        <v>1.8648146011737141</v>
      </c>
      <c r="BJ15" t="s">
        <v>991</v>
      </c>
      <c r="BK15">
        <v>1.3481492796496219</v>
      </c>
      <c r="BL15">
        <v>19.259275423566027</v>
      </c>
      <c r="BM15" t="s">
        <v>1260</v>
      </c>
      <c r="BN15" t="s">
        <v>1154</v>
      </c>
      <c r="BO15">
        <v>2025</v>
      </c>
      <c r="BP15" t="s">
        <v>966</v>
      </c>
      <c r="BQ15">
        <v>230444.27981340454</v>
      </c>
      <c r="BR15">
        <v>76.955572018659552</v>
      </c>
      <c r="BS15" t="s">
        <v>992</v>
      </c>
      <c r="BV15" t="s">
        <v>1034</v>
      </c>
      <c r="BW15" t="s">
        <v>943</v>
      </c>
      <c r="BX15" t="s">
        <v>994</v>
      </c>
      <c r="BY15">
        <v>2.2373844984360725</v>
      </c>
      <c r="BZ15" t="s">
        <v>1155</v>
      </c>
      <c r="CA15" t="s">
        <v>991</v>
      </c>
      <c r="CB15" t="b">
        <v>1</v>
      </c>
      <c r="CC15" t="b">
        <v>1</v>
      </c>
      <c r="CD15" t="b">
        <v>1</v>
      </c>
      <c r="CE15" t="b">
        <v>1</v>
      </c>
      <c r="CF15" t="b">
        <v>1</v>
      </c>
    </row>
    <row r="16" spans="1:84" x14ac:dyDescent="0.3">
      <c r="A16" t="s">
        <v>1211</v>
      </c>
      <c r="B16" t="s">
        <v>1212</v>
      </c>
      <c r="C16" s="98">
        <v>45761</v>
      </c>
      <c r="D16">
        <v>2025</v>
      </c>
      <c r="E16">
        <v>4</v>
      </c>
      <c r="F16">
        <v>2</v>
      </c>
      <c r="G16" t="s">
        <v>1208</v>
      </c>
      <c r="H16" t="s">
        <v>122</v>
      </c>
      <c r="I16" t="s">
        <v>122</v>
      </c>
      <c r="J16" t="s">
        <v>6</v>
      </c>
      <c r="L16">
        <v>522611</v>
      </c>
      <c r="M16" s="99" t="s">
        <v>178</v>
      </c>
      <c r="N16">
        <v>1</v>
      </c>
      <c r="O16">
        <v>15</v>
      </c>
      <c r="P16">
        <v>3.1254</v>
      </c>
      <c r="Q16" t="s">
        <v>352</v>
      </c>
      <c r="R16">
        <v>1</v>
      </c>
      <c r="S16">
        <v>3.0038</v>
      </c>
      <c r="T16">
        <v>5.2900000000000003E-2</v>
      </c>
      <c r="U16">
        <v>2.298676748582229</v>
      </c>
      <c r="V16">
        <v>2.8451</v>
      </c>
      <c r="W16">
        <v>2.8980000000000001</v>
      </c>
      <c r="X16">
        <v>2.9508999999999999</v>
      </c>
      <c r="Y16">
        <v>3.0567000000000002</v>
      </c>
      <c r="Z16">
        <v>3.1095999999999999</v>
      </c>
      <c r="AA16">
        <v>3.1625000000000001</v>
      </c>
      <c r="AD16">
        <v>7</v>
      </c>
      <c r="AE16">
        <v>0</v>
      </c>
      <c r="AF16">
        <v>1</v>
      </c>
      <c r="AG16">
        <v>0</v>
      </c>
      <c r="AH16">
        <v>0</v>
      </c>
      <c r="AI16">
        <v>0</v>
      </c>
      <c r="AJ16">
        <v>1</v>
      </c>
      <c r="AK16" t="s">
        <v>1213</v>
      </c>
      <c r="AL16" t="s">
        <v>6</v>
      </c>
      <c r="AM16" t="s">
        <v>1145</v>
      </c>
      <c r="AN16" t="s">
        <v>1146</v>
      </c>
      <c r="AO16" s="100">
        <v>46262.040405092594</v>
      </c>
      <c r="AP16" t="s">
        <v>1147</v>
      </c>
      <c r="AQ16" t="s">
        <v>1214</v>
      </c>
      <c r="AR16" t="s">
        <v>1215</v>
      </c>
      <c r="AS16" t="s">
        <v>1150</v>
      </c>
      <c r="AT16" t="s">
        <v>1151</v>
      </c>
      <c r="AU16">
        <v>25</v>
      </c>
      <c r="AV16">
        <v>3.0055680000000002</v>
      </c>
      <c r="AW16">
        <v>6.8982997422070119E-2</v>
      </c>
      <c r="AX16">
        <v>2.2951734055616146</v>
      </c>
      <c r="AY16">
        <v>-1.8648146011737141</v>
      </c>
      <c r="AZ16">
        <v>5.6518507203503781</v>
      </c>
      <c r="BA16">
        <v>2.2373844984360725</v>
      </c>
      <c r="BB16" s="97" t="s">
        <v>161</v>
      </c>
      <c r="BD16" s="98"/>
      <c r="BE16" s="98"/>
      <c r="BF16" t="s">
        <v>1152</v>
      </c>
      <c r="BG16" t="s">
        <v>322</v>
      </c>
      <c r="BH16" t="s">
        <v>1153</v>
      </c>
      <c r="BI16">
        <v>1.8648146011737141</v>
      </c>
      <c r="BJ16" t="s">
        <v>991</v>
      </c>
      <c r="BK16">
        <v>1.3481492796496219</v>
      </c>
      <c r="BL16">
        <v>19.259275423566027</v>
      </c>
      <c r="BM16" t="s">
        <v>1260</v>
      </c>
      <c r="BN16" t="s">
        <v>1154</v>
      </c>
      <c r="BO16">
        <v>2025</v>
      </c>
      <c r="BP16" t="s">
        <v>966</v>
      </c>
      <c r="BQ16">
        <v>230444.27981340454</v>
      </c>
      <c r="BR16">
        <v>76.955572018659552</v>
      </c>
      <c r="BS16" t="s">
        <v>992</v>
      </c>
      <c r="BV16" t="s">
        <v>1034</v>
      </c>
      <c r="BW16" t="s">
        <v>943</v>
      </c>
      <c r="BX16" t="s">
        <v>994</v>
      </c>
      <c r="BY16">
        <v>2.2373844984360725</v>
      </c>
      <c r="BZ16" t="s">
        <v>1155</v>
      </c>
      <c r="CA16" t="s">
        <v>991</v>
      </c>
      <c r="CB16" t="b">
        <v>1</v>
      </c>
      <c r="CC16" t="b">
        <v>1</v>
      </c>
      <c r="CD16" t="b">
        <v>1</v>
      </c>
      <c r="CE16" t="b">
        <v>1</v>
      </c>
      <c r="CF16" t="b">
        <v>1</v>
      </c>
    </row>
    <row r="17" spans="1:84" x14ac:dyDescent="0.3">
      <c r="A17" t="s">
        <v>1216</v>
      </c>
      <c r="B17" t="s">
        <v>1217</v>
      </c>
      <c r="C17" s="98">
        <v>45768</v>
      </c>
      <c r="D17">
        <v>2025</v>
      </c>
      <c r="E17">
        <v>4</v>
      </c>
      <c r="F17">
        <v>2</v>
      </c>
      <c r="G17" t="s">
        <v>1208</v>
      </c>
      <c r="H17" t="s">
        <v>122</v>
      </c>
      <c r="I17" t="s">
        <v>122</v>
      </c>
      <c r="J17" t="s">
        <v>6</v>
      </c>
      <c r="L17">
        <v>522611</v>
      </c>
      <c r="M17" s="99" t="s">
        <v>178</v>
      </c>
      <c r="N17">
        <v>1</v>
      </c>
      <c r="O17">
        <v>16</v>
      </c>
      <c r="P17">
        <v>3.0406</v>
      </c>
      <c r="Q17" t="s">
        <v>352</v>
      </c>
      <c r="R17">
        <v>1</v>
      </c>
      <c r="S17">
        <v>3.0038</v>
      </c>
      <c r="T17">
        <v>5.2900000000000003E-2</v>
      </c>
      <c r="U17">
        <v>0.69565217391304235</v>
      </c>
      <c r="V17">
        <v>2.8451</v>
      </c>
      <c r="W17">
        <v>2.8980000000000001</v>
      </c>
      <c r="X17">
        <v>2.9508999999999999</v>
      </c>
      <c r="Y17">
        <v>3.0567000000000002</v>
      </c>
      <c r="Z17">
        <v>3.1095999999999999</v>
      </c>
      <c r="AA17">
        <v>3.1625000000000001</v>
      </c>
      <c r="AD17">
        <v>7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462</v>
      </c>
      <c r="AL17" t="s">
        <v>6</v>
      </c>
      <c r="AM17" t="s">
        <v>1145</v>
      </c>
      <c r="AN17" t="s">
        <v>1146</v>
      </c>
      <c r="AO17" s="100">
        <v>46262.040405092594</v>
      </c>
      <c r="AP17" t="s">
        <v>1147</v>
      </c>
      <c r="AQ17" t="s">
        <v>1218</v>
      </c>
      <c r="AR17" t="s">
        <v>1219</v>
      </c>
      <c r="AS17" t="s">
        <v>1150</v>
      </c>
      <c r="AT17" t="s">
        <v>1151</v>
      </c>
      <c r="AU17">
        <v>25</v>
      </c>
      <c r="AV17">
        <v>3.0055680000000002</v>
      </c>
      <c r="AW17">
        <v>6.8982997422070119E-2</v>
      </c>
      <c r="AX17">
        <v>2.2951734055616146</v>
      </c>
      <c r="AY17">
        <v>-1.8648146011737141</v>
      </c>
      <c r="AZ17">
        <v>5.6518507203503781</v>
      </c>
      <c r="BA17">
        <v>2.2373844984360725</v>
      </c>
      <c r="BB17" s="97" t="s">
        <v>161</v>
      </c>
      <c r="BD17" s="98"/>
      <c r="BE17" s="98"/>
      <c r="BF17" t="s">
        <v>1152</v>
      </c>
      <c r="BG17" t="s">
        <v>322</v>
      </c>
      <c r="BH17" t="s">
        <v>1153</v>
      </c>
      <c r="BI17">
        <v>1.8648146011737141</v>
      </c>
      <c r="BJ17" t="s">
        <v>991</v>
      </c>
      <c r="BK17">
        <v>1.3481492796496219</v>
      </c>
      <c r="BL17">
        <v>19.259275423566027</v>
      </c>
      <c r="BM17" t="s">
        <v>1260</v>
      </c>
      <c r="BN17" t="s">
        <v>1154</v>
      </c>
      <c r="BO17">
        <v>2025</v>
      </c>
      <c r="BP17" t="s">
        <v>966</v>
      </c>
      <c r="BQ17">
        <v>230444.27981340454</v>
      </c>
      <c r="BR17">
        <v>76.955572018659552</v>
      </c>
      <c r="BS17" t="s">
        <v>992</v>
      </c>
      <c r="BV17" t="s">
        <v>1034</v>
      </c>
      <c r="BW17" t="s">
        <v>943</v>
      </c>
      <c r="BX17" t="s">
        <v>994</v>
      </c>
      <c r="BY17">
        <v>2.2373844984360725</v>
      </c>
      <c r="BZ17" t="s">
        <v>1155</v>
      </c>
      <c r="CA17" t="s">
        <v>991</v>
      </c>
      <c r="CB17" t="b">
        <v>1</v>
      </c>
      <c r="CC17" t="b">
        <v>1</v>
      </c>
      <c r="CD17" t="b">
        <v>1</v>
      </c>
      <c r="CE17" t="b">
        <v>1</v>
      </c>
      <c r="CF17" t="b">
        <v>1</v>
      </c>
    </row>
    <row r="18" spans="1:84" x14ac:dyDescent="0.3">
      <c r="A18" t="s">
        <v>1220</v>
      </c>
      <c r="B18" t="s">
        <v>1221</v>
      </c>
      <c r="C18" s="98">
        <v>45775</v>
      </c>
      <c r="D18">
        <v>2025</v>
      </c>
      <c r="E18">
        <v>4</v>
      </c>
      <c r="F18">
        <v>2</v>
      </c>
      <c r="G18" t="s">
        <v>1208</v>
      </c>
      <c r="H18" t="s">
        <v>122</v>
      </c>
      <c r="I18" t="s">
        <v>122</v>
      </c>
      <c r="J18" t="s">
        <v>6</v>
      </c>
      <c r="L18">
        <v>522611</v>
      </c>
      <c r="M18" s="99" t="s">
        <v>178</v>
      </c>
      <c r="N18">
        <v>1</v>
      </c>
      <c r="O18">
        <v>17</v>
      </c>
      <c r="P18">
        <v>2.9327000000000001</v>
      </c>
      <c r="Q18" t="s">
        <v>352</v>
      </c>
      <c r="R18">
        <v>1</v>
      </c>
      <c r="S18">
        <v>3.0038</v>
      </c>
      <c r="T18">
        <v>5.2900000000000003E-2</v>
      </c>
      <c r="U18">
        <v>-1.3440453686200367</v>
      </c>
      <c r="V18">
        <v>2.8451</v>
      </c>
      <c r="W18">
        <v>2.8980000000000001</v>
      </c>
      <c r="X18">
        <v>2.9508999999999999</v>
      </c>
      <c r="Y18">
        <v>3.0567000000000002</v>
      </c>
      <c r="Z18">
        <v>3.1095999999999999</v>
      </c>
      <c r="AA18">
        <v>3.1625000000000001</v>
      </c>
      <c r="AD18">
        <v>7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 t="s">
        <v>462</v>
      </c>
      <c r="AL18" t="s">
        <v>6</v>
      </c>
      <c r="AM18" t="s">
        <v>1145</v>
      </c>
      <c r="AN18" t="s">
        <v>1146</v>
      </c>
      <c r="AO18" s="100">
        <v>46262.040405092594</v>
      </c>
      <c r="AP18" t="s">
        <v>1147</v>
      </c>
      <c r="AQ18" t="s">
        <v>1222</v>
      </c>
      <c r="AR18" t="s">
        <v>1223</v>
      </c>
      <c r="AS18" t="s">
        <v>1150</v>
      </c>
      <c r="AT18" t="s">
        <v>1151</v>
      </c>
      <c r="AU18">
        <v>25</v>
      </c>
      <c r="AV18">
        <v>3.0055680000000002</v>
      </c>
      <c r="AW18">
        <v>6.8982997422070119E-2</v>
      </c>
      <c r="AX18">
        <v>2.2951734055616146</v>
      </c>
      <c r="AY18">
        <v>-1.8648146011737141</v>
      </c>
      <c r="AZ18">
        <v>5.6518507203503781</v>
      </c>
      <c r="BA18">
        <v>2.2373844984360725</v>
      </c>
      <c r="BB18" s="97" t="s">
        <v>161</v>
      </c>
      <c r="BD18" s="98"/>
      <c r="BE18" s="98"/>
      <c r="BF18" t="s">
        <v>1152</v>
      </c>
      <c r="BG18" t="s">
        <v>322</v>
      </c>
      <c r="BH18" t="s">
        <v>1153</v>
      </c>
      <c r="BI18">
        <v>1.8648146011737141</v>
      </c>
      <c r="BJ18" t="s">
        <v>991</v>
      </c>
      <c r="BK18">
        <v>1.3481492796496219</v>
      </c>
      <c r="BL18">
        <v>19.259275423566027</v>
      </c>
      <c r="BM18" t="s">
        <v>1260</v>
      </c>
      <c r="BN18" t="s">
        <v>1154</v>
      </c>
      <c r="BO18">
        <v>2025</v>
      </c>
      <c r="BP18" t="s">
        <v>966</v>
      </c>
      <c r="BQ18">
        <v>230444.27981340454</v>
      </c>
      <c r="BR18">
        <v>76.955572018659552</v>
      </c>
      <c r="BS18" t="s">
        <v>992</v>
      </c>
      <c r="BV18" t="s">
        <v>1034</v>
      </c>
      <c r="BW18" t="s">
        <v>943</v>
      </c>
      <c r="BX18" t="s">
        <v>994</v>
      </c>
      <c r="BY18">
        <v>2.2373844984360725</v>
      </c>
      <c r="BZ18" t="s">
        <v>1155</v>
      </c>
      <c r="CA18" t="s">
        <v>991</v>
      </c>
      <c r="CB18" t="b">
        <v>1</v>
      </c>
      <c r="CC18" t="b">
        <v>1</v>
      </c>
      <c r="CD18" t="b">
        <v>1</v>
      </c>
      <c r="CE18" t="b">
        <v>1</v>
      </c>
      <c r="CF18" t="b">
        <v>1</v>
      </c>
    </row>
    <row r="19" spans="1:84" x14ac:dyDescent="0.3">
      <c r="A19" t="s">
        <v>1224</v>
      </c>
      <c r="B19" t="s">
        <v>1225</v>
      </c>
      <c r="C19" s="98">
        <v>45782</v>
      </c>
      <c r="D19">
        <v>2025</v>
      </c>
      <c r="E19">
        <v>5</v>
      </c>
      <c r="F19">
        <v>2</v>
      </c>
      <c r="G19" t="s">
        <v>1226</v>
      </c>
      <c r="H19" t="s">
        <v>122</v>
      </c>
      <c r="I19" t="s">
        <v>122</v>
      </c>
      <c r="J19" t="s">
        <v>6</v>
      </c>
      <c r="L19">
        <v>522611</v>
      </c>
      <c r="M19" s="99" t="s">
        <v>178</v>
      </c>
      <c r="N19">
        <v>1</v>
      </c>
      <c r="O19">
        <v>18</v>
      </c>
      <c r="P19">
        <v>3.1307</v>
      </c>
      <c r="Q19" t="s">
        <v>352</v>
      </c>
      <c r="R19">
        <v>1</v>
      </c>
      <c r="S19">
        <v>3.0038</v>
      </c>
      <c r="T19">
        <v>5.2900000000000003E-2</v>
      </c>
      <c r="U19">
        <v>2.3988657844990549</v>
      </c>
      <c r="V19">
        <v>2.8451</v>
      </c>
      <c r="W19">
        <v>2.8980000000000001</v>
      </c>
      <c r="X19">
        <v>2.9508999999999999</v>
      </c>
      <c r="Y19">
        <v>3.0567000000000002</v>
      </c>
      <c r="Z19">
        <v>3.1095999999999999</v>
      </c>
      <c r="AA19">
        <v>3.1625000000000001</v>
      </c>
      <c r="AD19">
        <v>7</v>
      </c>
      <c r="AE19">
        <v>0</v>
      </c>
      <c r="AF19">
        <v>0</v>
      </c>
      <c r="AG19">
        <v>1</v>
      </c>
      <c r="AH19">
        <v>0</v>
      </c>
      <c r="AI19">
        <v>0</v>
      </c>
      <c r="AJ19">
        <v>1</v>
      </c>
      <c r="AK19" t="s">
        <v>1213</v>
      </c>
      <c r="AL19" t="s">
        <v>6</v>
      </c>
      <c r="AM19" t="s">
        <v>1145</v>
      </c>
      <c r="AN19" t="s">
        <v>1146</v>
      </c>
      <c r="AO19" s="100">
        <v>46262.040405092594</v>
      </c>
      <c r="AP19" t="s">
        <v>1147</v>
      </c>
      <c r="AQ19" t="s">
        <v>1227</v>
      </c>
      <c r="AR19" t="s">
        <v>1228</v>
      </c>
      <c r="AS19" t="s">
        <v>1150</v>
      </c>
      <c r="AT19" t="s">
        <v>1151</v>
      </c>
      <c r="AU19">
        <v>25</v>
      </c>
      <c r="AV19">
        <v>3.0055680000000002</v>
      </c>
      <c r="AW19">
        <v>6.8982997422070119E-2</v>
      </c>
      <c r="AX19">
        <v>2.2951734055616146</v>
      </c>
      <c r="AY19">
        <v>-1.8648146011737141</v>
      </c>
      <c r="AZ19">
        <v>5.6518507203503781</v>
      </c>
      <c r="BA19">
        <v>2.2373844984360725</v>
      </c>
      <c r="BB19" s="97" t="s">
        <v>161</v>
      </c>
      <c r="BD19" s="98"/>
      <c r="BE19" s="98"/>
      <c r="BF19" t="s">
        <v>1152</v>
      </c>
      <c r="BG19" t="s">
        <v>322</v>
      </c>
      <c r="BH19" t="s">
        <v>1153</v>
      </c>
      <c r="BI19">
        <v>1.8648146011737141</v>
      </c>
      <c r="BJ19" t="s">
        <v>991</v>
      </c>
      <c r="BK19">
        <v>1.3481492796496219</v>
      </c>
      <c r="BL19">
        <v>19.259275423566027</v>
      </c>
      <c r="BM19" t="s">
        <v>1260</v>
      </c>
      <c r="BN19" t="s">
        <v>1154</v>
      </c>
      <c r="BO19">
        <v>2025</v>
      </c>
      <c r="BP19" t="s">
        <v>966</v>
      </c>
      <c r="BQ19">
        <v>230444.27981340454</v>
      </c>
      <c r="BR19">
        <v>76.955572018659552</v>
      </c>
      <c r="BS19" t="s">
        <v>992</v>
      </c>
      <c r="BV19" t="s">
        <v>1034</v>
      </c>
      <c r="BW19" t="s">
        <v>943</v>
      </c>
      <c r="BX19" t="s">
        <v>994</v>
      </c>
      <c r="BY19">
        <v>2.2373844984360725</v>
      </c>
      <c r="BZ19" t="s">
        <v>1155</v>
      </c>
      <c r="CA19" t="s">
        <v>991</v>
      </c>
      <c r="CB19" t="b">
        <v>1</v>
      </c>
      <c r="CC19" t="b">
        <v>1</v>
      </c>
      <c r="CD19" t="b">
        <v>1</v>
      </c>
      <c r="CE19" t="b">
        <v>1</v>
      </c>
      <c r="CF19" t="b">
        <v>1</v>
      </c>
    </row>
    <row r="20" spans="1:84" x14ac:dyDescent="0.3">
      <c r="A20" t="s">
        <v>1229</v>
      </c>
      <c r="B20" t="s">
        <v>1230</v>
      </c>
      <c r="C20" s="98">
        <v>45789</v>
      </c>
      <c r="D20">
        <v>2025</v>
      </c>
      <c r="E20">
        <v>5</v>
      </c>
      <c r="F20">
        <v>2</v>
      </c>
      <c r="G20" t="s">
        <v>1226</v>
      </c>
      <c r="H20" t="s">
        <v>122</v>
      </c>
      <c r="I20" t="s">
        <v>122</v>
      </c>
      <c r="J20" t="s">
        <v>6</v>
      </c>
      <c r="L20">
        <v>522611</v>
      </c>
      <c r="M20" s="99" t="s">
        <v>178</v>
      </c>
      <c r="N20">
        <v>1</v>
      </c>
      <c r="O20">
        <v>19</v>
      </c>
      <c r="P20">
        <v>2.9033000000000002</v>
      </c>
      <c r="Q20" t="s">
        <v>352</v>
      </c>
      <c r="R20">
        <v>1</v>
      </c>
      <c r="S20">
        <v>3.0038</v>
      </c>
      <c r="T20">
        <v>5.2900000000000003E-2</v>
      </c>
      <c r="U20">
        <v>-1.8998109640831722</v>
      </c>
      <c r="V20">
        <v>2.8451</v>
      </c>
      <c r="W20">
        <v>2.8980000000000001</v>
      </c>
      <c r="X20">
        <v>2.9508999999999999</v>
      </c>
      <c r="Y20">
        <v>3.0567000000000002</v>
      </c>
      <c r="Z20">
        <v>3.1095999999999999</v>
      </c>
      <c r="AA20">
        <v>3.1625000000000001</v>
      </c>
      <c r="AD20">
        <v>7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462</v>
      </c>
      <c r="AL20" t="s">
        <v>6</v>
      </c>
      <c r="AM20" t="s">
        <v>1145</v>
      </c>
      <c r="AN20" t="s">
        <v>1146</v>
      </c>
      <c r="AO20" s="100">
        <v>46262.040405092594</v>
      </c>
      <c r="AP20" t="s">
        <v>1147</v>
      </c>
      <c r="AQ20" t="s">
        <v>1231</v>
      </c>
      <c r="AR20" t="s">
        <v>1232</v>
      </c>
      <c r="AS20" t="s">
        <v>1150</v>
      </c>
      <c r="AT20" t="s">
        <v>1151</v>
      </c>
      <c r="AU20">
        <v>25</v>
      </c>
      <c r="AV20">
        <v>3.0055680000000002</v>
      </c>
      <c r="AW20">
        <v>6.8982997422070119E-2</v>
      </c>
      <c r="AX20">
        <v>2.2951734055616146</v>
      </c>
      <c r="AY20">
        <v>-1.8648146011737141</v>
      </c>
      <c r="AZ20">
        <v>5.6518507203503781</v>
      </c>
      <c r="BA20">
        <v>2.2373844984360725</v>
      </c>
      <c r="BB20" s="97" t="s">
        <v>161</v>
      </c>
      <c r="BD20" s="98"/>
      <c r="BE20" s="98"/>
      <c r="BF20" t="s">
        <v>1152</v>
      </c>
      <c r="BG20" t="s">
        <v>322</v>
      </c>
      <c r="BH20" t="s">
        <v>1153</v>
      </c>
      <c r="BI20">
        <v>1.8648146011737141</v>
      </c>
      <c r="BJ20" t="s">
        <v>991</v>
      </c>
      <c r="BK20">
        <v>1.3481492796496219</v>
      </c>
      <c r="BL20">
        <v>19.259275423566027</v>
      </c>
      <c r="BM20" t="s">
        <v>1260</v>
      </c>
      <c r="BN20" t="s">
        <v>1154</v>
      </c>
      <c r="BO20">
        <v>2025</v>
      </c>
      <c r="BP20" t="s">
        <v>966</v>
      </c>
      <c r="BQ20">
        <v>230444.27981340454</v>
      </c>
      <c r="BR20">
        <v>76.955572018659552</v>
      </c>
      <c r="BS20" t="s">
        <v>992</v>
      </c>
      <c r="BV20" t="s">
        <v>1034</v>
      </c>
      <c r="BW20" t="s">
        <v>943</v>
      </c>
      <c r="BX20" t="s">
        <v>994</v>
      </c>
      <c r="BY20">
        <v>2.2373844984360725</v>
      </c>
      <c r="BZ20" t="s">
        <v>1155</v>
      </c>
      <c r="CA20" t="s">
        <v>991</v>
      </c>
      <c r="CB20" t="b">
        <v>1</v>
      </c>
      <c r="CC20" t="b">
        <v>1</v>
      </c>
      <c r="CD20" t="b">
        <v>1</v>
      </c>
      <c r="CE20" t="b">
        <v>1</v>
      </c>
      <c r="CF20" t="b">
        <v>1</v>
      </c>
    </row>
    <row r="21" spans="1:84" x14ac:dyDescent="0.3">
      <c r="A21" t="s">
        <v>1233</v>
      </c>
      <c r="B21" t="s">
        <v>1234</v>
      </c>
      <c r="C21" s="98">
        <v>45796</v>
      </c>
      <c r="D21">
        <v>2025</v>
      </c>
      <c r="E21">
        <v>5</v>
      </c>
      <c r="F21">
        <v>2</v>
      </c>
      <c r="G21" t="s">
        <v>1226</v>
      </c>
      <c r="H21" t="s">
        <v>122</v>
      </c>
      <c r="I21" t="s">
        <v>122</v>
      </c>
      <c r="J21" t="s">
        <v>6</v>
      </c>
      <c r="L21">
        <v>522611</v>
      </c>
      <c r="M21" s="99" t="s">
        <v>178</v>
      </c>
      <c r="N21">
        <v>1</v>
      </c>
      <c r="O21">
        <v>20</v>
      </c>
      <c r="P21">
        <v>3.1941000000000002</v>
      </c>
      <c r="Q21" t="s">
        <v>352</v>
      </c>
      <c r="R21">
        <v>1</v>
      </c>
      <c r="S21">
        <v>3.0038</v>
      </c>
      <c r="T21">
        <v>5.2900000000000003E-2</v>
      </c>
      <c r="U21">
        <v>3.5973534971644638</v>
      </c>
      <c r="V21">
        <v>2.8451</v>
      </c>
      <c r="W21">
        <v>2.8980000000000001</v>
      </c>
      <c r="X21">
        <v>2.9508999999999999</v>
      </c>
      <c r="Y21">
        <v>3.0567000000000002</v>
      </c>
      <c r="Z21">
        <v>3.1095999999999999</v>
      </c>
      <c r="AA21">
        <v>3.1625000000000001</v>
      </c>
      <c r="AD21">
        <v>7</v>
      </c>
      <c r="AE21">
        <v>1</v>
      </c>
      <c r="AF21">
        <v>0</v>
      </c>
      <c r="AG21">
        <v>1</v>
      </c>
      <c r="AH21">
        <v>0</v>
      </c>
      <c r="AI21">
        <v>0</v>
      </c>
      <c r="AJ21">
        <v>1</v>
      </c>
      <c r="AK21" t="s">
        <v>1213</v>
      </c>
      <c r="AL21" t="s">
        <v>6</v>
      </c>
      <c r="AM21" t="s">
        <v>1145</v>
      </c>
      <c r="AN21" t="s">
        <v>1146</v>
      </c>
      <c r="AO21" s="100">
        <v>46262.040405092594</v>
      </c>
      <c r="AP21" t="s">
        <v>1147</v>
      </c>
      <c r="AQ21" t="s">
        <v>1235</v>
      </c>
      <c r="AR21" t="s">
        <v>1236</v>
      </c>
      <c r="AS21" t="s">
        <v>1150</v>
      </c>
      <c r="AT21" t="s">
        <v>1151</v>
      </c>
      <c r="AU21">
        <v>25</v>
      </c>
      <c r="AV21">
        <v>3.0055680000000002</v>
      </c>
      <c r="AW21">
        <v>6.8982997422070119E-2</v>
      </c>
      <c r="AX21">
        <v>2.2951734055616146</v>
      </c>
      <c r="AY21">
        <v>-1.8648146011737141</v>
      </c>
      <c r="AZ21">
        <v>5.6518507203503781</v>
      </c>
      <c r="BA21">
        <v>2.2373844984360725</v>
      </c>
      <c r="BB21" s="97" t="s">
        <v>161</v>
      </c>
      <c r="BD21" s="98"/>
      <c r="BE21" s="98"/>
      <c r="BF21" t="s">
        <v>1152</v>
      </c>
      <c r="BG21" t="s">
        <v>322</v>
      </c>
      <c r="BH21" t="s">
        <v>1153</v>
      </c>
      <c r="BI21">
        <v>1.8648146011737141</v>
      </c>
      <c r="BJ21" t="s">
        <v>991</v>
      </c>
      <c r="BK21">
        <v>1.3481492796496219</v>
      </c>
      <c r="BL21">
        <v>19.259275423566027</v>
      </c>
      <c r="BM21" t="s">
        <v>1260</v>
      </c>
      <c r="BN21" t="s">
        <v>1154</v>
      </c>
      <c r="BO21">
        <v>2025</v>
      </c>
      <c r="BP21" t="s">
        <v>966</v>
      </c>
      <c r="BQ21">
        <v>230444.27981340454</v>
      </c>
      <c r="BR21">
        <v>76.955572018659552</v>
      </c>
      <c r="BS21" t="s">
        <v>992</v>
      </c>
      <c r="BV21" t="s">
        <v>1034</v>
      </c>
      <c r="BW21" t="s">
        <v>943</v>
      </c>
      <c r="BX21" t="s">
        <v>994</v>
      </c>
      <c r="BY21">
        <v>2.2373844984360725</v>
      </c>
      <c r="BZ21" t="s">
        <v>1155</v>
      </c>
      <c r="CA21" t="s">
        <v>991</v>
      </c>
      <c r="CB21" t="b">
        <v>1</v>
      </c>
      <c r="CC21" t="b">
        <v>1</v>
      </c>
      <c r="CD21" t="b">
        <v>1</v>
      </c>
      <c r="CE21" t="b">
        <v>1</v>
      </c>
      <c r="CF21" t="b">
        <v>1</v>
      </c>
    </row>
    <row r="22" spans="1:84" x14ac:dyDescent="0.3">
      <c r="A22" t="s">
        <v>1237</v>
      </c>
      <c r="B22" t="s">
        <v>1238</v>
      </c>
      <c r="C22" s="98">
        <v>45803</v>
      </c>
      <c r="D22">
        <v>2025</v>
      </c>
      <c r="E22">
        <v>5</v>
      </c>
      <c r="F22">
        <v>2</v>
      </c>
      <c r="G22" t="s">
        <v>1226</v>
      </c>
      <c r="H22" t="s">
        <v>122</v>
      </c>
      <c r="I22" t="s">
        <v>122</v>
      </c>
      <c r="J22" t="s">
        <v>6</v>
      </c>
      <c r="L22">
        <v>522611</v>
      </c>
      <c r="M22" s="99" t="s">
        <v>178</v>
      </c>
      <c r="N22">
        <v>1</v>
      </c>
      <c r="O22">
        <v>21</v>
      </c>
      <c r="P22">
        <v>2.9064000000000001</v>
      </c>
      <c r="Q22" t="s">
        <v>352</v>
      </c>
      <c r="R22">
        <v>1</v>
      </c>
      <c r="S22">
        <v>3.0038</v>
      </c>
      <c r="T22">
        <v>5.2900000000000003E-2</v>
      </c>
      <c r="U22">
        <v>-1.8412098298676736</v>
      </c>
      <c r="V22">
        <v>2.8451</v>
      </c>
      <c r="W22">
        <v>2.8980000000000001</v>
      </c>
      <c r="X22">
        <v>2.9508999999999999</v>
      </c>
      <c r="Y22">
        <v>3.0567000000000002</v>
      </c>
      <c r="Z22">
        <v>3.1095999999999999</v>
      </c>
      <c r="AA22">
        <v>3.1625000000000001</v>
      </c>
      <c r="AD22">
        <v>7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 t="s">
        <v>462</v>
      </c>
      <c r="AL22" t="s">
        <v>6</v>
      </c>
      <c r="AM22" t="s">
        <v>1145</v>
      </c>
      <c r="AN22" t="s">
        <v>1146</v>
      </c>
      <c r="AO22" s="100">
        <v>46262.040405092594</v>
      </c>
      <c r="AP22" t="s">
        <v>1147</v>
      </c>
      <c r="AQ22" t="s">
        <v>1239</v>
      </c>
      <c r="AR22" t="s">
        <v>1240</v>
      </c>
      <c r="AS22" t="s">
        <v>1150</v>
      </c>
      <c r="AT22" t="s">
        <v>1151</v>
      </c>
      <c r="AU22">
        <v>25</v>
      </c>
      <c r="AV22">
        <v>3.0055680000000002</v>
      </c>
      <c r="AW22">
        <v>6.8982997422070119E-2</v>
      </c>
      <c r="AX22">
        <v>2.2951734055616146</v>
      </c>
      <c r="AY22">
        <v>-1.8648146011737141</v>
      </c>
      <c r="AZ22">
        <v>5.6518507203503781</v>
      </c>
      <c r="BA22">
        <v>2.2373844984360725</v>
      </c>
      <c r="BB22" s="97" t="s">
        <v>161</v>
      </c>
      <c r="BD22" s="98"/>
      <c r="BE22" s="98"/>
      <c r="BF22" t="s">
        <v>1152</v>
      </c>
      <c r="BG22" t="s">
        <v>322</v>
      </c>
      <c r="BH22" t="s">
        <v>1153</v>
      </c>
      <c r="BI22">
        <v>1.8648146011737141</v>
      </c>
      <c r="BJ22" t="s">
        <v>991</v>
      </c>
      <c r="BK22">
        <v>1.3481492796496219</v>
      </c>
      <c r="BL22">
        <v>19.259275423566027</v>
      </c>
      <c r="BM22" t="s">
        <v>1260</v>
      </c>
      <c r="BN22" t="s">
        <v>1154</v>
      </c>
      <c r="BO22">
        <v>2025</v>
      </c>
      <c r="BP22" t="s">
        <v>966</v>
      </c>
      <c r="BQ22">
        <v>230444.27981340454</v>
      </c>
      <c r="BR22">
        <v>76.955572018659552</v>
      </c>
      <c r="BS22" t="s">
        <v>992</v>
      </c>
      <c r="BV22" t="s">
        <v>1034</v>
      </c>
      <c r="BW22" t="s">
        <v>943</v>
      </c>
      <c r="BX22" t="s">
        <v>994</v>
      </c>
      <c r="BY22">
        <v>2.2373844984360725</v>
      </c>
      <c r="BZ22" t="s">
        <v>1155</v>
      </c>
      <c r="CA22" t="s">
        <v>991</v>
      </c>
      <c r="CB22" t="b">
        <v>1</v>
      </c>
      <c r="CC22" t="b">
        <v>1</v>
      </c>
      <c r="CD22" t="b">
        <v>1</v>
      </c>
      <c r="CE22" t="b">
        <v>1</v>
      </c>
      <c r="CF22" t="b">
        <v>1</v>
      </c>
    </row>
    <row r="23" spans="1:84" x14ac:dyDescent="0.3">
      <c r="A23" t="s">
        <v>1241</v>
      </c>
      <c r="B23" t="s">
        <v>1242</v>
      </c>
      <c r="C23" s="98">
        <v>45810</v>
      </c>
      <c r="D23">
        <v>2025</v>
      </c>
      <c r="E23">
        <v>6</v>
      </c>
      <c r="F23">
        <v>2</v>
      </c>
      <c r="G23" t="s">
        <v>1243</v>
      </c>
      <c r="H23" t="s">
        <v>122</v>
      </c>
      <c r="I23" t="s">
        <v>122</v>
      </c>
      <c r="J23" t="s">
        <v>6</v>
      </c>
      <c r="L23">
        <v>522611</v>
      </c>
      <c r="M23" s="99" t="s">
        <v>178</v>
      </c>
      <c r="N23">
        <v>1</v>
      </c>
      <c r="O23">
        <v>22</v>
      </c>
      <c r="P23">
        <v>2.9914000000000001</v>
      </c>
      <c r="Q23" t="s">
        <v>352</v>
      </c>
      <c r="R23">
        <v>1</v>
      </c>
      <c r="S23">
        <v>3.0038</v>
      </c>
      <c r="T23">
        <v>5.2900000000000003E-2</v>
      </c>
      <c r="U23">
        <v>-0.23440453686200313</v>
      </c>
      <c r="V23">
        <v>2.8451</v>
      </c>
      <c r="W23">
        <v>2.8980000000000001</v>
      </c>
      <c r="X23">
        <v>2.9508999999999999</v>
      </c>
      <c r="Y23">
        <v>3.0567000000000002</v>
      </c>
      <c r="Z23">
        <v>3.1095999999999999</v>
      </c>
      <c r="AA23">
        <v>3.1625000000000001</v>
      </c>
      <c r="AD23">
        <v>7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 t="s">
        <v>462</v>
      </c>
      <c r="AL23" t="s">
        <v>6</v>
      </c>
      <c r="AM23" t="s">
        <v>1145</v>
      </c>
      <c r="AN23" t="s">
        <v>1146</v>
      </c>
      <c r="AO23" s="100">
        <v>46262.040405092594</v>
      </c>
      <c r="AP23" t="s">
        <v>1147</v>
      </c>
      <c r="AQ23" t="s">
        <v>1244</v>
      </c>
      <c r="AR23" t="s">
        <v>1245</v>
      </c>
      <c r="AS23" t="s">
        <v>1150</v>
      </c>
      <c r="AT23" t="s">
        <v>1151</v>
      </c>
      <c r="AU23">
        <v>25</v>
      </c>
      <c r="AV23">
        <v>3.0055680000000002</v>
      </c>
      <c r="AW23">
        <v>6.8982997422070119E-2</v>
      </c>
      <c r="AX23">
        <v>2.2951734055616146</v>
      </c>
      <c r="AY23">
        <v>-1.8648146011737141</v>
      </c>
      <c r="AZ23">
        <v>5.6518507203503781</v>
      </c>
      <c r="BA23">
        <v>2.2373844984360725</v>
      </c>
      <c r="BB23" s="97" t="s">
        <v>161</v>
      </c>
      <c r="BD23" s="98"/>
      <c r="BE23" s="98"/>
      <c r="BF23" t="s">
        <v>1152</v>
      </c>
      <c r="BG23" t="s">
        <v>322</v>
      </c>
      <c r="BH23" t="s">
        <v>1153</v>
      </c>
      <c r="BI23">
        <v>1.8648146011737141</v>
      </c>
      <c r="BJ23" t="s">
        <v>991</v>
      </c>
      <c r="BK23">
        <v>1.3481492796496219</v>
      </c>
      <c r="BL23">
        <v>19.259275423566027</v>
      </c>
      <c r="BM23" t="s">
        <v>1260</v>
      </c>
      <c r="BN23" t="s">
        <v>1154</v>
      </c>
      <c r="BO23">
        <v>2025</v>
      </c>
      <c r="BP23" t="s">
        <v>966</v>
      </c>
      <c r="BQ23">
        <v>230444.27981340454</v>
      </c>
      <c r="BR23">
        <v>76.955572018659552</v>
      </c>
      <c r="BS23" t="s">
        <v>992</v>
      </c>
      <c r="BV23" t="s">
        <v>1034</v>
      </c>
      <c r="BW23" t="s">
        <v>943</v>
      </c>
      <c r="BX23" t="s">
        <v>994</v>
      </c>
      <c r="BY23">
        <v>2.2373844984360725</v>
      </c>
      <c r="BZ23" t="s">
        <v>1155</v>
      </c>
      <c r="CA23" t="s">
        <v>991</v>
      </c>
      <c r="CB23" t="b">
        <v>1</v>
      </c>
      <c r="CC23" t="b">
        <v>1</v>
      </c>
      <c r="CD23" t="b">
        <v>1</v>
      </c>
      <c r="CE23" t="b">
        <v>1</v>
      </c>
      <c r="CF23" t="b">
        <v>1</v>
      </c>
    </row>
    <row r="24" spans="1:84" x14ac:dyDescent="0.3">
      <c r="A24" t="s">
        <v>1246</v>
      </c>
      <c r="B24" t="s">
        <v>1247</v>
      </c>
      <c r="C24" s="98">
        <v>45817</v>
      </c>
      <c r="D24">
        <v>2025</v>
      </c>
      <c r="E24">
        <v>6</v>
      </c>
      <c r="F24">
        <v>2</v>
      </c>
      <c r="G24" t="s">
        <v>1243</v>
      </c>
      <c r="H24" t="s">
        <v>122</v>
      </c>
      <c r="I24" t="s">
        <v>122</v>
      </c>
      <c r="J24" t="s">
        <v>6</v>
      </c>
      <c r="L24">
        <v>522611</v>
      </c>
      <c r="M24" s="99" t="s">
        <v>178</v>
      </c>
      <c r="N24">
        <v>1</v>
      </c>
      <c r="O24">
        <v>23</v>
      </c>
      <c r="P24">
        <v>2.9367999999999999</v>
      </c>
      <c r="Q24" t="s">
        <v>352</v>
      </c>
      <c r="R24">
        <v>1</v>
      </c>
      <c r="S24">
        <v>3.0038</v>
      </c>
      <c r="T24">
        <v>5.2900000000000003E-2</v>
      </c>
      <c r="U24">
        <v>-1.2665406427221204</v>
      </c>
      <c r="V24">
        <v>2.8451</v>
      </c>
      <c r="W24">
        <v>2.8980000000000001</v>
      </c>
      <c r="X24">
        <v>2.9508999999999999</v>
      </c>
      <c r="Y24">
        <v>3.0567000000000002</v>
      </c>
      <c r="Z24">
        <v>3.1095999999999999</v>
      </c>
      <c r="AA24">
        <v>3.1625000000000001</v>
      </c>
      <c r="AD24">
        <v>7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 t="s">
        <v>462</v>
      </c>
      <c r="AL24" t="s">
        <v>6</v>
      </c>
      <c r="AM24" t="s">
        <v>1145</v>
      </c>
      <c r="AN24" t="s">
        <v>1146</v>
      </c>
      <c r="AO24" s="100">
        <v>46262.040405092594</v>
      </c>
      <c r="AP24" t="s">
        <v>1147</v>
      </c>
      <c r="AQ24" t="s">
        <v>1248</v>
      </c>
      <c r="AR24" t="s">
        <v>1249</v>
      </c>
      <c r="AS24" t="s">
        <v>1150</v>
      </c>
      <c r="AT24" t="s">
        <v>1151</v>
      </c>
      <c r="AU24">
        <v>25</v>
      </c>
      <c r="AV24">
        <v>3.0055680000000002</v>
      </c>
      <c r="AW24">
        <v>6.8982997422070119E-2</v>
      </c>
      <c r="AX24">
        <v>2.2951734055616146</v>
      </c>
      <c r="AY24">
        <v>-1.8648146011737141</v>
      </c>
      <c r="AZ24">
        <v>5.6518507203503781</v>
      </c>
      <c r="BA24">
        <v>2.2373844984360725</v>
      </c>
      <c r="BB24" s="97" t="s">
        <v>161</v>
      </c>
      <c r="BD24" s="98"/>
      <c r="BE24" s="98"/>
      <c r="BF24" t="s">
        <v>1152</v>
      </c>
      <c r="BG24" t="s">
        <v>322</v>
      </c>
      <c r="BH24" t="s">
        <v>1153</v>
      </c>
      <c r="BI24">
        <v>1.8648146011737141</v>
      </c>
      <c r="BJ24" t="s">
        <v>991</v>
      </c>
      <c r="BK24">
        <v>1.3481492796496219</v>
      </c>
      <c r="BL24">
        <v>19.259275423566027</v>
      </c>
      <c r="BM24" t="s">
        <v>1260</v>
      </c>
      <c r="BN24" t="s">
        <v>1154</v>
      </c>
      <c r="BO24">
        <v>2025</v>
      </c>
      <c r="BP24" t="s">
        <v>966</v>
      </c>
      <c r="BQ24">
        <v>230444.27981340454</v>
      </c>
      <c r="BR24">
        <v>76.955572018659552</v>
      </c>
      <c r="BS24" t="s">
        <v>992</v>
      </c>
      <c r="BV24" t="s">
        <v>1034</v>
      </c>
      <c r="BW24" t="s">
        <v>943</v>
      </c>
      <c r="BX24" t="s">
        <v>994</v>
      </c>
      <c r="BY24">
        <v>2.2373844984360725</v>
      </c>
      <c r="BZ24" t="s">
        <v>1155</v>
      </c>
      <c r="CA24" t="s">
        <v>991</v>
      </c>
      <c r="CB24" t="b">
        <v>1</v>
      </c>
      <c r="CC24" t="b">
        <v>1</v>
      </c>
      <c r="CD24" t="b">
        <v>1</v>
      </c>
      <c r="CE24" t="b">
        <v>1</v>
      </c>
      <c r="CF24" t="b">
        <v>1</v>
      </c>
    </row>
    <row r="25" spans="1:84" x14ac:dyDescent="0.3">
      <c r="A25" t="s">
        <v>1250</v>
      </c>
      <c r="B25" t="s">
        <v>1251</v>
      </c>
      <c r="C25" s="98">
        <v>45824</v>
      </c>
      <c r="D25">
        <v>2025</v>
      </c>
      <c r="E25">
        <v>6</v>
      </c>
      <c r="F25">
        <v>2</v>
      </c>
      <c r="G25" t="s">
        <v>1243</v>
      </c>
      <c r="H25" t="s">
        <v>122</v>
      </c>
      <c r="I25" t="s">
        <v>122</v>
      </c>
      <c r="J25" t="s">
        <v>6</v>
      </c>
      <c r="L25">
        <v>522611</v>
      </c>
      <c r="M25" s="99" t="s">
        <v>178</v>
      </c>
      <c r="N25">
        <v>1</v>
      </c>
      <c r="O25">
        <v>24</v>
      </c>
      <c r="P25">
        <v>3.0181</v>
      </c>
      <c r="Q25" t="s">
        <v>352</v>
      </c>
      <c r="R25">
        <v>1</v>
      </c>
      <c r="S25">
        <v>3.0038</v>
      </c>
      <c r="T25">
        <v>5.2900000000000003E-2</v>
      </c>
      <c r="U25">
        <v>0.27032136105860072</v>
      </c>
      <c r="V25">
        <v>2.8451</v>
      </c>
      <c r="W25">
        <v>2.8980000000000001</v>
      </c>
      <c r="X25">
        <v>2.9508999999999999</v>
      </c>
      <c r="Y25">
        <v>3.0567000000000002</v>
      </c>
      <c r="Z25">
        <v>3.1095999999999999</v>
      </c>
      <c r="AA25">
        <v>3.1625000000000001</v>
      </c>
      <c r="AD25">
        <v>7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 t="s">
        <v>462</v>
      </c>
      <c r="AL25" t="s">
        <v>6</v>
      </c>
      <c r="AM25" t="s">
        <v>1145</v>
      </c>
      <c r="AN25" t="s">
        <v>1146</v>
      </c>
      <c r="AO25" s="100">
        <v>46262.040405092594</v>
      </c>
      <c r="AP25" t="s">
        <v>1147</v>
      </c>
      <c r="AQ25" t="s">
        <v>1252</v>
      </c>
      <c r="AR25" t="s">
        <v>1253</v>
      </c>
      <c r="AS25" t="s">
        <v>1150</v>
      </c>
      <c r="AT25" t="s">
        <v>1151</v>
      </c>
      <c r="AU25">
        <v>25</v>
      </c>
      <c r="AV25">
        <v>3.0055680000000002</v>
      </c>
      <c r="AW25">
        <v>6.8982997422070119E-2</v>
      </c>
      <c r="AX25">
        <v>2.2951734055616146</v>
      </c>
      <c r="AY25">
        <v>-1.8648146011737141</v>
      </c>
      <c r="AZ25">
        <v>5.6518507203503781</v>
      </c>
      <c r="BA25">
        <v>2.2373844984360725</v>
      </c>
      <c r="BB25" s="97" t="s">
        <v>161</v>
      </c>
      <c r="BD25" s="98"/>
      <c r="BE25" s="98"/>
      <c r="BF25" t="s">
        <v>1152</v>
      </c>
      <c r="BG25" t="s">
        <v>322</v>
      </c>
      <c r="BH25" t="s">
        <v>1153</v>
      </c>
      <c r="BI25">
        <v>1.8648146011737141</v>
      </c>
      <c r="BJ25" t="s">
        <v>991</v>
      </c>
      <c r="BK25">
        <v>1.3481492796496219</v>
      </c>
      <c r="BL25">
        <v>19.259275423566027</v>
      </c>
      <c r="BM25" t="s">
        <v>1260</v>
      </c>
      <c r="BN25" t="s">
        <v>1154</v>
      </c>
      <c r="BO25">
        <v>2025</v>
      </c>
      <c r="BP25" t="s">
        <v>966</v>
      </c>
      <c r="BQ25">
        <v>230444.27981340454</v>
      </c>
      <c r="BR25">
        <v>76.955572018659552</v>
      </c>
      <c r="BS25" t="s">
        <v>992</v>
      </c>
      <c r="BV25" t="s">
        <v>1034</v>
      </c>
      <c r="BW25" t="s">
        <v>943</v>
      </c>
      <c r="BX25" t="s">
        <v>994</v>
      </c>
      <c r="BY25">
        <v>2.2373844984360725</v>
      </c>
      <c r="BZ25" t="s">
        <v>1155</v>
      </c>
      <c r="CA25" t="s">
        <v>991</v>
      </c>
      <c r="CB25" t="b">
        <v>1</v>
      </c>
      <c r="CC25" t="b">
        <v>1</v>
      </c>
      <c r="CD25" t="b">
        <v>1</v>
      </c>
      <c r="CE25" t="b">
        <v>1</v>
      </c>
      <c r="CF25" t="b">
        <v>1</v>
      </c>
    </row>
    <row r="26" spans="1:84" x14ac:dyDescent="0.3">
      <c r="A26" t="s">
        <v>1254</v>
      </c>
      <c r="B26" t="s">
        <v>1255</v>
      </c>
      <c r="C26" s="98">
        <v>45831</v>
      </c>
      <c r="D26">
        <v>2025</v>
      </c>
      <c r="E26">
        <v>6</v>
      </c>
      <c r="F26">
        <v>2</v>
      </c>
      <c r="G26" t="s">
        <v>1243</v>
      </c>
      <c r="H26" t="s">
        <v>122</v>
      </c>
      <c r="I26" t="s">
        <v>122</v>
      </c>
      <c r="J26" t="s">
        <v>6</v>
      </c>
      <c r="L26">
        <v>522611</v>
      </c>
      <c r="M26" s="99" t="s">
        <v>178</v>
      </c>
      <c r="N26">
        <v>1</v>
      </c>
      <c r="O26">
        <v>25</v>
      </c>
      <c r="P26">
        <v>3.0121000000000002</v>
      </c>
      <c r="Q26" t="s">
        <v>352</v>
      </c>
      <c r="R26">
        <v>1</v>
      </c>
      <c r="S26">
        <v>3.0038</v>
      </c>
      <c r="T26">
        <v>5.2900000000000003E-2</v>
      </c>
      <c r="U26">
        <v>0.15689981096408687</v>
      </c>
      <c r="V26">
        <v>2.8451</v>
      </c>
      <c r="W26">
        <v>2.8980000000000001</v>
      </c>
      <c r="X26">
        <v>2.9508999999999999</v>
      </c>
      <c r="Y26">
        <v>3.0567000000000002</v>
      </c>
      <c r="Z26">
        <v>3.1095999999999999</v>
      </c>
      <c r="AA26">
        <v>3.1625000000000001</v>
      </c>
      <c r="AD26">
        <v>7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 t="s">
        <v>462</v>
      </c>
      <c r="AL26" t="s">
        <v>6</v>
      </c>
      <c r="AM26" t="s">
        <v>1145</v>
      </c>
      <c r="AN26" t="s">
        <v>1146</v>
      </c>
      <c r="AO26" s="100">
        <v>46262.040405092594</v>
      </c>
      <c r="AP26" t="s">
        <v>1147</v>
      </c>
      <c r="AQ26" t="s">
        <v>1256</v>
      </c>
      <c r="AR26" t="s">
        <v>1257</v>
      </c>
      <c r="AS26" t="s">
        <v>1150</v>
      </c>
      <c r="AT26" t="s">
        <v>1151</v>
      </c>
      <c r="AU26">
        <v>25</v>
      </c>
      <c r="AV26">
        <v>3.0055680000000002</v>
      </c>
      <c r="AW26">
        <v>6.8982997422070119E-2</v>
      </c>
      <c r="AX26">
        <v>2.2951734055616146</v>
      </c>
      <c r="AY26">
        <v>-1.8648146011737141</v>
      </c>
      <c r="AZ26">
        <v>5.6518507203503781</v>
      </c>
      <c r="BA26">
        <v>2.2373844984360725</v>
      </c>
      <c r="BB26" s="97" t="s">
        <v>161</v>
      </c>
      <c r="BD26" s="98"/>
      <c r="BE26" s="98"/>
      <c r="BF26" t="s">
        <v>1152</v>
      </c>
      <c r="BG26" t="s">
        <v>322</v>
      </c>
      <c r="BH26" t="s">
        <v>1153</v>
      </c>
      <c r="BI26">
        <v>1.8648146011737141</v>
      </c>
      <c r="BJ26" t="s">
        <v>991</v>
      </c>
      <c r="BK26">
        <v>1.3481492796496219</v>
      </c>
      <c r="BL26">
        <v>19.259275423566027</v>
      </c>
      <c r="BM26" t="s">
        <v>1260</v>
      </c>
      <c r="BN26" t="s">
        <v>1154</v>
      </c>
      <c r="BO26">
        <v>2025</v>
      </c>
      <c r="BP26" t="s">
        <v>966</v>
      </c>
      <c r="BQ26">
        <v>230444.27981340454</v>
      </c>
      <c r="BR26">
        <v>76.955572018659552</v>
      </c>
      <c r="BS26" t="s">
        <v>992</v>
      </c>
      <c r="BV26" t="s">
        <v>1034</v>
      </c>
      <c r="BW26" t="s">
        <v>943</v>
      </c>
      <c r="BX26" t="s">
        <v>994</v>
      </c>
      <c r="BY26">
        <v>2.2373844984360725</v>
      </c>
      <c r="BZ26" t="s">
        <v>1155</v>
      </c>
      <c r="CA26" t="s">
        <v>991</v>
      </c>
      <c r="CB26" t="b">
        <v>1</v>
      </c>
      <c r="CC26" t="b">
        <v>1</v>
      </c>
      <c r="CD26" t="b">
        <v>1</v>
      </c>
      <c r="CE26" t="b">
        <v>1</v>
      </c>
      <c r="CF26" t="b">
        <v>1</v>
      </c>
    </row>
    <row r="27" spans="1:84" x14ac:dyDescent="0.3">
      <c r="A27" t="s">
        <v>1258</v>
      </c>
      <c r="B27" t="s">
        <v>1143</v>
      </c>
      <c r="C27" s="98">
        <v>45663</v>
      </c>
      <c r="D27">
        <v>2025</v>
      </c>
      <c r="E27">
        <v>1</v>
      </c>
      <c r="F27">
        <v>1</v>
      </c>
      <c r="G27" t="s">
        <v>1144</v>
      </c>
      <c r="H27" t="s">
        <v>122</v>
      </c>
      <c r="I27" t="s">
        <v>122</v>
      </c>
      <c r="J27" t="s">
        <v>6</v>
      </c>
      <c r="L27">
        <v>522611</v>
      </c>
      <c r="M27" s="99" t="s">
        <v>179</v>
      </c>
      <c r="N27">
        <v>2</v>
      </c>
      <c r="O27">
        <v>1</v>
      </c>
      <c r="P27">
        <v>6.7881</v>
      </c>
      <c r="Q27" t="s">
        <v>352</v>
      </c>
      <c r="R27">
        <v>1</v>
      </c>
      <c r="S27">
        <v>6.8052000000000001</v>
      </c>
      <c r="T27">
        <v>9.1200000000000003E-2</v>
      </c>
      <c r="U27">
        <v>-0.18750000000000125</v>
      </c>
      <c r="V27">
        <v>6.5316000000000001</v>
      </c>
      <c r="W27">
        <v>6.6227999999999998</v>
      </c>
      <c r="X27">
        <v>6.7140000000000004</v>
      </c>
      <c r="Y27">
        <v>6.8963999999999999</v>
      </c>
      <c r="Z27">
        <v>6.9876000000000005</v>
      </c>
      <c r="AA27">
        <v>7.0788000000000002</v>
      </c>
      <c r="AD27">
        <v>7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 t="s">
        <v>462</v>
      </c>
      <c r="AL27" t="s">
        <v>6</v>
      </c>
      <c r="AM27" t="s">
        <v>1145</v>
      </c>
      <c r="AN27" t="s">
        <v>1146</v>
      </c>
      <c r="AO27" s="100">
        <v>46262.040405092594</v>
      </c>
      <c r="AP27" t="s">
        <v>1147</v>
      </c>
      <c r="AQ27" t="s">
        <v>1259</v>
      </c>
      <c r="AR27" t="s">
        <v>1149</v>
      </c>
      <c r="AS27" t="s">
        <v>1150</v>
      </c>
      <c r="AT27" t="s">
        <v>1151</v>
      </c>
      <c r="AU27">
        <v>25</v>
      </c>
      <c r="AV27">
        <v>6.8242840000000005</v>
      </c>
      <c r="AW27">
        <v>0.11267110203301166</v>
      </c>
      <c r="AX27">
        <v>1.6510318449966568</v>
      </c>
      <c r="AY27">
        <v>-1.8648146011737141</v>
      </c>
      <c r="AZ27">
        <v>4.5890171454181976</v>
      </c>
      <c r="BA27">
        <v>3.1102885231366839</v>
      </c>
      <c r="BB27" s="97" t="s">
        <v>161</v>
      </c>
      <c r="BD27" s="98"/>
      <c r="BE27" s="98"/>
      <c r="BF27" t="s">
        <v>1152</v>
      </c>
      <c r="BG27" t="s">
        <v>322</v>
      </c>
      <c r="BH27" t="s">
        <v>1153</v>
      </c>
      <c r="BI27">
        <v>1.8648146011737141</v>
      </c>
      <c r="BJ27" t="s">
        <v>1032</v>
      </c>
      <c r="BK27">
        <v>2.4109828545818024</v>
      </c>
      <c r="BL27">
        <v>34.442612208311459</v>
      </c>
      <c r="BM27" t="s">
        <v>1260</v>
      </c>
      <c r="BN27" t="s">
        <v>1154</v>
      </c>
      <c r="BO27">
        <v>2025</v>
      </c>
      <c r="BP27" t="s">
        <v>966</v>
      </c>
      <c r="BQ27">
        <v>230444.27981340454</v>
      </c>
      <c r="BR27">
        <v>76.955572018659552</v>
      </c>
      <c r="BS27" t="s">
        <v>992</v>
      </c>
      <c r="BV27" t="s">
        <v>1034</v>
      </c>
      <c r="BW27" t="s">
        <v>943</v>
      </c>
      <c r="BX27" t="s">
        <v>994</v>
      </c>
      <c r="BY27">
        <v>2.2373844984360725</v>
      </c>
      <c r="BZ27" t="s">
        <v>1155</v>
      </c>
      <c r="CA27" t="s">
        <v>991</v>
      </c>
      <c r="CB27" t="b">
        <v>1</v>
      </c>
      <c r="CC27" t="b">
        <v>1</v>
      </c>
      <c r="CD27" t="b">
        <v>1</v>
      </c>
      <c r="CE27" t="b">
        <v>1</v>
      </c>
      <c r="CF27" t="b">
        <v>1</v>
      </c>
    </row>
    <row r="28" spans="1:84" x14ac:dyDescent="0.3">
      <c r="A28" t="s">
        <v>1261</v>
      </c>
      <c r="B28" t="s">
        <v>1157</v>
      </c>
      <c r="C28" s="98">
        <v>45670</v>
      </c>
      <c r="D28">
        <v>2025</v>
      </c>
      <c r="E28">
        <v>1</v>
      </c>
      <c r="F28">
        <v>1</v>
      </c>
      <c r="G28" t="s">
        <v>1144</v>
      </c>
      <c r="H28" t="s">
        <v>122</v>
      </c>
      <c r="I28" t="s">
        <v>122</v>
      </c>
      <c r="J28" t="s">
        <v>6</v>
      </c>
      <c r="L28">
        <v>522611</v>
      </c>
      <c r="M28" s="99" t="s">
        <v>179</v>
      </c>
      <c r="N28">
        <v>2</v>
      </c>
      <c r="O28">
        <v>2</v>
      </c>
      <c r="P28">
        <v>6.5757000000000003</v>
      </c>
      <c r="Q28" t="s">
        <v>352</v>
      </c>
      <c r="R28">
        <v>1</v>
      </c>
      <c r="S28">
        <v>6.8052000000000001</v>
      </c>
      <c r="T28">
        <v>9.1200000000000003E-2</v>
      </c>
      <c r="U28">
        <v>-2.5164473684210504</v>
      </c>
      <c r="V28">
        <v>6.5316000000000001</v>
      </c>
      <c r="W28">
        <v>6.6227999999999998</v>
      </c>
      <c r="X28">
        <v>6.7140000000000004</v>
      </c>
      <c r="Y28">
        <v>6.8963999999999999</v>
      </c>
      <c r="Z28">
        <v>6.9876000000000005</v>
      </c>
      <c r="AA28">
        <v>7.0788000000000002</v>
      </c>
      <c r="AD28">
        <v>7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1</v>
      </c>
      <c r="AK28" t="s">
        <v>462</v>
      </c>
      <c r="AL28" t="s">
        <v>6</v>
      </c>
      <c r="AM28" t="s">
        <v>1145</v>
      </c>
      <c r="AN28" t="s">
        <v>1146</v>
      </c>
      <c r="AO28" s="100">
        <v>46262.040405092594</v>
      </c>
      <c r="AP28" t="s">
        <v>1147</v>
      </c>
      <c r="AQ28" t="s">
        <v>1262</v>
      </c>
      <c r="AR28" t="s">
        <v>1159</v>
      </c>
      <c r="AS28" t="s">
        <v>1150</v>
      </c>
      <c r="AT28" t="s">
        <v>1151</v>
      </c>
      <c r="AU28">
        <v>25</v>
      </c>
      <c r="AV28">
        <v>6.8242840000000005</v>
      </c>
      <c r="AW28">
        <v>0.11267110203301166</v>
      </c>
      <c r="AX28">
        <v>1.6510318449966568</v>
      </c>
      <c r="AY28">
        <v>-1.8648146011737141</v>
      </c>
      <c r="AZ28">
        <v>4.5890171454181976</v>
      </c>
      <c r="BA28">
        <v>3.1102885231366839</v>
      </c>
      <c r="BB28" s="97" t="s">
        <v>161</v>
      </c>
      <c r="BD28" s="98"/>
      <c r="BE28" s="98"/>
      <c r="BF28" t="s">
        <v>1152</v>
      </c>
      <c r="BG28" t="s">
        <v>322</v>
      </c>
      <c r="BH28" t="s">
        <v>1153</v>
      </c>
      <c r="BI28">
        <v>1.8648146011737141</v>
      </c>
      <c r="BJ28" t="s">
        <v>1032</v>
      </c>
      <c r="BK28">
        <v>2.4109828545818024</v>
      </c>
      <c r="BL28">
        <v>34.442612208311459</v>
      </c>
      <c r="BM28" t="s">
        <v>1260</v>
      </c>
      <c r="BN28" t="s">
        <v>1154</v>
      </c>
      <c r="BO28">
        <v>2025</v>
      </c>
      <c r="BP28" t="s">
        <v>966</v>
      </c>
      <c r="BQ28">
        <v>230444.27981340454</v>
      </c>
      <c r="BR28">
        <v>76.955572018659552</v>
      </c>
      <c r="BS28" t="s">
        <v>992</v>
      </c>
      <c r="BV28" t="s">
        <v>1034</v>
      </c>
      <c r="BW28" t="s">
        <v>943</v>
      </c>
      <c r="BX28" t="s">
        <v>994</v>
      </c>
      <c r="BY28">
        <v>2.2373844984360725</v>
      </c>
      <c r="BZ28" t="s">
        <v>1155</v>
      </c>
      <c r="CA28" t="s">
        <v>991</v>
      </c>
      <c r="CB28" t="b">
        <v>1</v>
      </c>
      <c r="CC28" t="b">
        <v>1</v>
      </c>
      <c r="CD28" t="b">
        <v>1</v>
      </c>
      <c r="CE28" t="b">
        <v>1</v>
      </c>
      <c r="CF28" t="b">
        <v>1</v>
      </c>
    </row>
    <row r="29" spans="1:84" x14ac:dyDescent="0.3">
      <c r="A29" t="s">
        <v>1263</v>
      </c>
      <c r="B29" t="s">
        <v>1161</v>
      </c>
      <c r="C29" s="98">
        <v>45677</v>
      </c>
      <c r="D29">
        <v>2025</v>
      </c>
      <c r="E29">
        <v>1</v>
      </c>
      <c r="F29">
        <v>1</v>
      </c>
      <c r="G29" t="s">
        <v>1144</v>
      </c>
      <c r="H29" t="s">
        <v>122</v>
      </c>
      <c r="I29" t="s">
        <v>122</v>
      </c>
      <c r="J29" t="s">
        <v>6</v>
      </c>
      <c r="L29">
        <v>522611</v>
      </c>
      <c r="M29" s="99" t="s">
        <v>179</v>
      </c>
      <c r="N29">
        <v>2</v>
      </c>
      <c r="O29">
        <v>3</v>
      </c>
      <c r="P29">
        <v>6.7561</v>
      </c>
      <c r="Q29" t="s">
        <v>352</v>
      </c>
      <c r="R29">
        <v>1</v>
      </c>
      <c r="S29">
        <v>6.8052000000000001</v>
      </c>
      <c r="T29">
        <v>9.1200000000000003E-2</v>
      </c>
      <c r="U29">
        <v>-0.53837719298245768</v>
      </c>
      <c r="V29">
        <v>6.5316000000000001</v>
      </c>
      <c r="W29">
        <v>6.6227999999999998</v>
      </c>
      <c r="X29">
        <v>6.7140000000000004</v>
      </c>
      <c r="Y29">
        <v>6.8963999999999999</v>
      </c>
      <c r="Z29">
        <v>6.9876000000000005</v>
      </c>
      <c r="AA29">
        <v>7.0788000000000002</v>
      </c>
      <c r="AD29">
        <v>7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 t="s">
        <v>462</v>
      </c>
      <c r="AL29" t="s">
        <v>6</v>
      </c>
      <c r="AM29" t="s">
        <v>1145</v>
      </c>
      <c r="AN29" t="s">
        <v>1146</v>
      </c>
      <c r="AO29" s="100">
        <v>46262.040405092594</v>
      </c>
      <c r="AP29" t="s">
        <v>1147</v>
      </c>
      <c r="AQ29" t="s">
        <v>1264</v>
      </c>
      <c r="AR29" t="s">
        <v>1163</v>
      </c>
      <c r="AS29" t="s">
        <v>1150</v>
      </c>
      <c r="AT29" t="s">
        <v>1151</v>
      </c>
      <c r="AU29">
        <v>25</v>
      </c>
      <c r="AV29">
        <v>6.8242840000000005</v>
      </c>
      <c r="AW29">
        <v>0.11267110203301166</v>
      </c>
      <c r="AX29">
        <v>1.6510318449966568</v>
      </c>
      <c r="AY29">
        <v>-1.8648146011737141</v>
      </c>
      <c r="AZ29">
        <v>4.5890171454181976</v>
      </c>
      <c r="BA29">
        <v>3.1102885231366839</v>
      </c>
      <c r="BB29" s="97" t="s">
        <v>161</v>
      </c>
      <c r="BD29" s="98"/>
      <c r="BE29" s="98"/>
      <c r="BF29" t="s">
        <v>1152</v>
      </c>
      <c r="BG29" t="s">
        <v>322</v>
      </c>
      <c r="BH29" t="s">
        <v>1153</v>
      </c>
      <c r="BI29">
        <v>1.8648146011737141</v>
      </c>
      <c r="BJ29" t="s">
        <v>1032</v>
      </c>
      <c r="BK29">
        <v>2.4109828545818024</v>
      </c>
      <c r="BL29">
        <v>34.442612208311459</v>
      </c>
      <c r="BM29" t="s">
        <v>1260</v>
      </c>
      <c r="BN29" t="s">
        <v>1154</v>
      </c>
      <c r="BO29">
        <v>2025</v>
      </c>
      <c r="BP29" t="s">
        <v>966</v>
      </c>
      <c r="BQ29">
        <v>230444.27981340454</v>
      </c>
      <c r="BR29">
        <v>76.955572018659552</v>
      </c>
      <c r="BS29" t="s">
        <v>992</v>
      </c>
      <c r="BV29" t="s">
        <v>1034</v>
      </c>
      <c r="BW29" t="s">
        <v>943</v>
      </c>
      <c r="BX29" t="s">
        <v>994</v>
      </c>
      <c r="BY29">
        <v>2.2373844984360725</v>
      </c>
      <c r="BZ29" t="s">
        <v>1155</v>
      </c>
      <c r="CA29" t="s">
        <v>991</v>
      </c>
      <c r="CB29" t="b">
        <v>1</v>
      </c>
      <c r="CC29" t="b">
        <v>1</v>
      </c>
      <c r="CD29" t="b">
        <v>1</v>
      </c>
      <c r="CE29" t="b">
        <v>1</v>
      </c>
      <c r="CF29" t="b">
        <v>1</v>
      </c>
    </row>
    <row r="30" spans="1:84" x14ac:dyDescent="0.3">
      <c r="A30" t="s">
        <v>1265</v>
      </c>
      <c r="B30" t="s">
        <v>1165</v>
      </c>
      <c r="C30" s="98">
        <v>45684</v>
      </c>
      <c r="D30">
        <v>2025</v>
      </c>
      <c r="E30">
        <v>1</v>
      </c>
      <c r="F30">
        <v>1</v>
      </c>
      <c r="G30" t="s">
        <v>1144</v>
      </c>
      <c r="H30" t="s">
        <v>122</v>
      </c>
      <c r="I30" t="s">
        <v>122</v>
      </c>
      <c r="J30" t="s">
        <v>6</v>
      </c>
      <c r="L30">
        <v>522611</v>
      </c>
      <c r="M30" s="99" t="s">
        <v>179</v>
      </c>
      <c r="N30">
        <v>2</v>
      </c>
      <c r="O30">
        <v>4</v>
      </c>
      <c r="P30">
        <v>6.8007999999999997</v>
      </c>
      <c r="Q30" t="s">
        <v>352</v>
      </c>
      <c r="R30">
        <v>1</v>
      </c>
      <c r="S30">
        <v>6.8052000000000001</v>
      </c>
      <c r="T30">
        <v>9.1200000000000003E-2</v>
      </c>
      <c r="U30">
        <v>-4.8245614035092144E-2</v>
      </c>
      <c r="V30">
        <v>6.5316000000000001</v>
      </c>
      <c r="W30">
        <v>6.6227999999999998</v>
      </c>
      <c r="X30">
        <v>6.7140000000000004</v>
      </c>
      <c r="Y30">
        <v>6.8963999999999999</v>
      </c>
      <c r="Z30">
        <v>6.9876000000000005</v>
      </c>
      <c r="AA30">
        <v>7.0788000000000002</v>
      </c>
      <c r="AD30">
        <v>7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 t="s">
        <v>462</v>
      </c>
      <c r="AL30" t="s">
        <v>6</v>
      </c>
      <c r="AM30" t="s">
        <v>1145</v>
      </c>
      <c r="AN30" t="s">
        <v>1146</v>
      </c>
      <c r="AO30" s="100">
        <v>46262.040405092594</v>
      </c>
      <c r="AP30" t="s">
        <v>1147</v>
      </c>
      <c r="AQ30" t="s">
        <v>1266</v>
      </c>
      <c r="AR30" t="s">
        <v>1167</v>
      </c>
      <c r="AS30" t="s">
        <v>1150</v>
      </c>
      <c r="AT30" t="s">
        <v>1151</v>
      </c>
      <c r="AU30">
        <v>25</v>
      </c>
      <c r="AV30">
        <v>6.8242840000000005</v>
      </c>
      <c r="AW30">
        <v>0.11267110203301166</v>
      </c>
      <c r="AX30">
        <v>1.6510318449966568</v>
      </c>
      <c r="AY30">
        <v>-1.8648146011737141</v>
      </c>
      <c r="AZ30">
        <v>4.5890171454181976</v>
      </c>
      <c r="BA30">
        <v>3.1102885231366839</v>
      </c>
      <c r="BB30" s="97" t="s">
        <v>161</v>
      </c>
      <c r="BD30" s="98"/>
      <c r="BE30" s="98"/>
      <c r="BF30" t="s">
        <v>1152</v>
      </c>
      <c r="BG30" t="s">
        <v>322</v>
      </c>
      <c r="BH30" t="s">
        <v>1153</v>
      </c>
      <c r="BI30">
        <v>1.8648146011737141</v>
      </c>
      <c r="BJ30" t="s">
        <v>1032</v>
      </c>
      <c r="BK30">
        <v>2.4109828545818024</v>
      </c>
      <c r="BL30">
        <v>34.442612208311459</v>
      </c>
      <c r="BM30" t="s">
        <v>1260</v>
      </c>
      <c r="BN30" t="s">
        <v>1154</v>
      </c>
      <c r="BO30">
        <v>2025</v>
      </c>
      <c r="BP30" t="s">
        <v>966</v>
      </c>
      <c r="BQ30">
        <v>230444.27981340454</v>
      </c>
      <c r="BR30">
        <v>76.955572018659552</v>
      </c>
      <c r="BS30" t="s">
        <v>992</v>
      </c>
      <c r="BV30" t="s">
        <v>1034</v>
      </c>
      <c r="BW30" t="s">
        <v>943</v>
      </c>
      <c r="BX30" t="s">
        <v>994</v>
      </c>
      <c r="BY30">
        <v>2.2373844984360725</v>
      </c>
      <c r="BZ30" t="s">
        <v>1155</v>
      </c>
      <c r="CA30" t="s">
        <v>991</v>
      </c>
      <c r="CB30" t="b">
        <v>1</v>
      </c>
      <c r="CC30" t="b">
        <v>1</v>
      </c>
      <c r="CD30" t="b">
        <v>1</v>
      </c>
      <c r="CE30" t="b">
        <v>1</v>
      </c>
      <c r="CF30" t="b">
        <v>1</v>
      </c>
    </row>
    <row r="31" spans="1:84" x14ac:dyDescent="0.3">
      <c r="A31" t="s">
        <v>1267</v>
      </c>
      <c r="B31" t="s">
        <v>1169</v>
      </c>
      <c r="C31" s="98">
        <v>45691</v>
      </c>
      <c r="D31">
        <v>2025</v>
      </c>
      <c r="E31">
        <v>2</v>
      </c>
      <c r="F31">
        <v>1</v>
      </c>
      <c r="G31" t="s">
        <v>1170</v>
      </c>
      <c r="H31" t="s">
        <v>122</v>
      </c>
      <c r="I31" t="s">
        <v>122</v>
      </c>
      <c r="J31" t="s">
        <v>6</v>
      </c>
      <c r="L31">
        <v>522611</v>
      </c>
      <c r="M31" s="99" t="s">
        <v>179</v>
      </c>
      <c r="N31">
        <v>2</v>
      </c>
      <c r="O31">
        <v>5</v>
      </c>
      <c r="P31">
        <v>6.8429000000000002</v>
      </c>
      <c r="Q31" t="s">
        <v>352</v>
      </c>
      <c r="R31">
        <v>1</v>
      </c>
      <c r="S31">
        <v>6.8052000000000001</v>
      </c>
      <c r="T31">
        <v>9.1200000000000003E-2</v>
      </c>
      <c r="U31">
        <v>0.41337719298245684</v>
      </c>
      <c r="V31">
        <v>6.5316000000000001</v>
      </c>
      <c r="W31">
        <v>6.6227999999999998</v>
      </c>
      <c r="X31">
        <v>6.7140000000000004</v>
      </c>
      <c r="Y31">
        <v>6.8963999999999999</v>
      </c>
      <c r="Z31">
        <v>6.9876000000000005</v>
      </c>
      <c r="AA31">
        <v>7.0788000000000002</v>
      </c>
      <c r="AD31">
        <v>7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 t="s">
        <v>462</v>
      </c>
      <c r="AL31" t="s">
        <v>6</v>
      </c>
      <c r="AM31" t="s">
        <v>1145</v>
      </c>
      <c r="AN31" t="s">
        <v>1146</v>
      </c>
      <c r="AO31" s="100">
        <v>46262.040405092594</v>
      </c>
      <c r="AP31" t="s">
        <v>1147</v>
      </c>
      <c r="AQ31" t="s">
        <v>1268</v>
      </c>
      <c r="AR31" t="s">
        <v>1172</v>
      </c>
      <c r="AS31" t="s">
        <v>1150</v>
      </c>
      <c r="AT31" t="s">
        <v>1151</v>
      </c>
      <c r="AU31">
        <v>25</v>
      </c>
      <c r="AV31">
        <v>6.8242840000000005</v>
      </c>
      <c r="AW31">
        <v>0.11267110203301166</v>
      </c>
      <c r="AX31">
        <v>1.6510318449966568</v>
      </c>
      <c r="AY31">
        <v>-1.8648146011737141</v>
      </c>
      <c r="AZ31">
        <v>4.5890171454181976</v>
      </c>
      <c r="BA31">
        <v>3.1102885231366839</v>
      </c>
      <c r="BB31" s="97" t="s">
        <v>161</v>
      </c>
      <c r="BD31" s="98"/>
      <c r="BE31" s="98"/>
      <c r="BF31" t="s">
        <v>1152</v>
      </c>
      <c r="BG31" t="s">
        <v>322</v>
      </c>
      <c r="BH31" t="s">
        <v>1153</v>
      </c>
      <c r="BI31">
        <v>1.8648146011737141</v>
      </c>
      <c r="BJ31" t="s">
        <v>1032</v>
      </c>
      <c r="BK31">
        <v>2.4109828545818024</v>
      </c>
      <c r="BL31">
        <v>34.442612208311459</v>
      </c>
      <c r="BM31" t="s">
        <v>1260</v>
      </c>
      <c r="BN31" t="s">
        <v>1154</v>
      </c>
      <c r="BO31">
        <v>2025</v>
      </c>
      <c r="BP31" t="s">
        <v>966</v>
      </c>
      <c r="BQ31">
        <v>230444.27981340454</v>
      </c>
      <c r="BR31">
        <v>76.955572018659552</v>
      </c>
      <c r="BS31" t="s">
        <v>992</v>
      </c>
      <c r="BV31" t="s">
        <v>1034</v>
      </c>
      <c r="BW31" t="s">
        <v>943</v>
      </c>
      <c r="BX31" t="s">
        <v>994</v>
      </c>
      <c r="BY31">
        <v>2.2373844984360725</v>
      </c>
      <c r="BZ31" t="s">
        <v>1155</v>
      </c>
      <c r="CA31" t="s">
        <v>991</v>
      </c>
      <c r="CB31" t="b">
        <v>1</v>
      </c>
      <c r="CC31" t="b">
        <v>1</v>
      </c>
      <c r="CD31" t="b">
        <v>1</v>
      </c>
      <c r="CE31" t="b">
        <v>1</v>
      </c>
      <c r="CF31" t="b">
        <v>1</v>
      </c>
    </row>
    <row r="32" spans="1:84" x14ac:dyDescent="0.3">
      <c r="A32" t="s">
        <v>1269</v>
      </c>
      <c r="B32" t="s">
        <v>1174</v>
      </c>
      <c r="C32" s="98">
        <v>45698</v>
      </c>
      <c r="D32">
        <v>2025</v>
      </c>
      <c r="E32">
        <v>2</v>
      </c>
      <c r="F32">
        <v>1</v>
      </c>
      <c r="G32" t="s">
        <v>1170</v>
      </c>
      <c r="H32" t="s">
        <v>122</v>
      </c>
      <c r="I32" t="s">
        <v>122</v>
      </c>
      <c r="J32" t="s">
        <v>6</v>
      </c>
      <c r="L32">
        <v>522611</v>
      </c>
      <c r="M32" s="99" t="s">
        <v>179</v>
      </c>
      <c r="N32">
        <v>2</v>
      </c>
      <c r="O32">
        <v>6</v>
      </c>
      <c r="P32">
        <v>6.9720000000000004</v>
      </c>
      <c r="Q32" t="s">
        <v>352</v>
      </c>
      <c r="R32">
        <v>1</v>
      </c>
      <c r="S32">
        <v>6.8052000000000001</v>
      </c>
      <c r="T32">
        <v>9.1200000000000003E-2</v>
      </c>
      <c r="U32">
        <v>1.8289473684210555</v>
      </c>
      <c r="V32">
        <v>6.5316000000000001</v>
      </c>
      <c r="W32">
        <v>6.6227999999999998</v>
      </c>
      <c r="X32">
        <v>6.7140000000000004</v>
      </c>
      <c r="Y32">
        <v>6.8963999999999999</v>
      </c>
      <c r="Z32">
        <v>6.9876000000000005</v>
      </c>
      <c r="AA32">
        <v>7.0788000000000002</v>
      </c>
      <c r="AD32">
        <v>7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 t="s">
        <v>462</v>
      </c>
      <c r="AL32" t="s">
        <v>6</v>
      </c>
      <c r="AM32" t="s">
        <v>1145</v>
      </c>
      <c r="AN32" t="s">
        <v>1146</v>
      </c>
      <c r="AO32" s="100">
        <v>46262.040405092594</v>
      </c>
      <c r="AP32" t="s">
        <v>1147</v>
      </c>
      <c r="AQ32" t="s">
        <v>1270</v>
      </c>
      <c r="AR32" t="s">
        <v>1176</v>
      </c>
      <c r="AS32" t="s">
        <v>1150</v>
      </c>
      <c r="AT32" t="s">
        <v>1151</v>
      </c>
      <c r="AU32">
        <v>25</v>
      </c>
      <c r="AV32">
        <v>6.8242840000000005</v>
      </c>
      <c r="AW32">
        <v>0.11267110203301166</v>
      </c>
      <c r="AX32">
        <v>1.6510318449966568</v>
      </c>
      <c r="AY32">
        <v>-1.8648146011737141</v>
      </c>
      <c r="AZ32">
        <v>4.5890171454181976</v>
      </c>
      <c r="BA32">
        <v>3.1102885231366839</v>
      </c>
      <c r="BB32" s="97" t="s">
        <v>161</v>
      </c>
      <c r="BD32" s="98"/>
      <c r="BE32" s="98"/>
      <c r="BF32" t="s">
        <v>1152</v>
      </c>
      <c r="BG32" t="s">
        <v>322</v>
      </c>
      <c r="BH32" t="s">
        <v>1153</v>
      </c>
      <c r="BI32">
        <v>1.8648146011737141</v>
      </c>
      <c r="BJ32" t="s">
        <v>1032</v>
      </c>
      <c r="BK32">
        <v>2.4109828545818024</v>
      </c>
      <c r="BL32">
        <v>34.442612208311459</v>
      </c>
      <c r="BM32" t="s">
        <v>1260</v>
      </c>
      <c r="BN32" t="s">
        <v>1154</v>
      </c>
      <c r="BO32">
        <v>2025</v>
      </c>
      <c r="BP32" t="s">
        <v>966</v>
      </c>
      <c r="BQ32">
        <v>230444.27981340454</v>
      </c>
      <c r="BR32">
        <v>76.955572018659552</v>
      </c>
      <c r="BS32" t="s">
        <v>992</v>
      </c>
      <c r="BV32" t="s">
        <v>1034</v>
      </c>
      <c r="BW32" t="s">
        <v>943</v>
      </c>
      <c r="BX32" t="s">
        <v>994</v>
      </c>
      <c r="BY32">
        <v>2.2373844984360725</v>
      </c>
      <c r="BZ32" t="s">
        <v>1155</v>
      </c>
      <c r="CA32" t="s">
        <v>991</v>
      </c>
      <c r="CB32" t="b">
        <v>1</v>
      </c>
      <c r="CC32" t="b">
        <v>1</v>
      </c>
      <c r="CD32" t="b">
        <v>1</v>
      </c>
      <c r="CE32" t="b">
        <v>1</v>
      </c>
      <c r="CF32" t="b">
        <v>1</v>
      </c>
    </row>
    <row r="33" spans="1:84" x14ac:dyDescent="0.3">
      <c r="A33" t="s">
        <v>1271</v>
      </c>
      <c r="B33" t="s">
        <v>1178</v>
      </c>
      <c r="C33" s="98">
        <v>45705</v>
      </c>
      <c r="D33">
        <v>2025</v>
      </c>
      <c r="E33">
        <v>2</v>
      </c>
      <c r="F33">
        <v>1</v>
      </c>
      <c r="G33" t="s">
        <v>1170</v>
      </c>
      <c r="H33" t="s">
        <v>122</v>
      </c>
      <c r="I33" t="s">
        <v>122</v>
      </c>
      <c r="J33" t="s">
        <v>6</v>
      </c>
      <c r="L33">
        <v>522611</v>
      </c>
      <c r="M33" s="99" t="s">
        <v>179</v>
      </c>
      <c r="N33">
        <v>2</v>
      </c>
      <c r="O33">
        <v>7</v>
      </c>
      <c r="P33">
        <v>6.8761000000000001</v>
      </c>
      <c r="Q33" t="s">
        <v>352</v>
      </c>
      <c r="R33">
        <v>1</v>
      </c>
      <c r="S33">
        <v>6.8052000000000001</v>
      </c>
      <c r="T33">
        <v>9.1200000000000003E-2</v>
      </c>
      <c r="U33">
        <v>0.77741228070175394</v>
      </c>
      <c r="V33">
        <v>6.5316000000000001</v>
      </c>
      <c r="W33">
        <v>6.6227999999999998</v>
      </c>
      <c r="X33">
        <v>6.7140000000000004</v>
      </c>
      <c r="Y33">
        <v>6.8963999999999999</v>
      </c>
      <c r="Z33">
        <v>6.9876000000000005</v>
      </c>
      <c r="AA33">
        <v>7.0788000000000002</v>
      </c>
      <c r="AD33">
        <v>7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 t="s">
        <v>462</v>
      </c>
      <c r="AL33" t="s">
        <v>6</v>
      </c>
      <c r="AM33" t="s">
        <v>1145</v>
      </c>
      <c r="AN33" t="s">
        <v>1146</v>
      </c>
      <c r="AO33" s="100">
        <v>46262.040405092594</v>
      </c>
      <c r="AP33" t="s">
        <v>1147</v>
      </c>
      <c r="AQ33" t="s">
        <v>1272</v>
      </c>
      <c r="AR33" t="s">
        <v>1180</v>
      </c>
      <c r="AS33" t="s">
        <v>1150</v>
      </c>
      <c r="AT33" t="s">
        <v>1151</v>
      </c>
      <c r="AU33">
        <v>25</v>
      </c>
      <c r="AV33">
        <v>6.8242840000000005</v>
      </c>
      <c r="AW33">
        <v>0.11267110203301166</v>
      </c>
      <c r="AX33">
        <v>1.6510318449966568</v>
      </c>
      <c r="AY33">
        <v>-1.8648146011737141</v>
      </c>
      <c r="AZ33">
        <v>4.5890171454181976</v>
      </c>
      <c r="BA33">
        <v>3.1102885231366839</v>
      </c>
      <c r="BB33" s="97" t="s">
        <v>161</v>
      </c>
      <c r="BD33" s="98"/>
      <c r="BE33" s="98"/>
      <c r="BF33" t="s">
        <v>1152</v>
      </c>
      <c r="BG33" t="s">
        <v>322</v>
      </c>
      <c r="BH33" t="s">
        <v>1153</v>
      </c>
      <c r="BI33">
        <v>1.8648146011737141</v>
      </c>
      <c r="BJ33" t="s">
        <v>1032</v>
      </c>
      <c r="BK33">
        <v>2.4109828545818024</v>
      </c>
      <c r="BL33">
        <v>34.442612208311459</v>
      </c>
      <c r="BM33" t="s">
        <v>1260</v>
      </c>
      <c r="BN33" t="s">
        <v>1154</v>
      </c>
      <c r="BO33">
        <v>2025</v>
      </c>
      <c r="BP33" t="s">
        <v>966</v>
      </c>
      <c r="BQ33">
        <v>230444.27981340454</v>
      </c>
      <c r="BR33">
        <v>76.955572018659552</v>
      </c>
      <c r="BS33" t="s">
        <v>992</v>
      </c>
      <c r="BV33" t="s">
        <v>1034</v>
      </c>
      <c r="BW33" t="s">
        <v>943</v>
      </c>
      <c r="BX33" t="s">
        <v>994</v>
      </c>
      <c r="BY33">
        <v>2.2373844984360725</v>
      </c>
      <c r="BZ33" t="s">
        <v>1155</v>
      </c>
      <c r="CA33" t="s">
        <v>991</v>
      </c>
      <c r="CB33" t="b">
        <v>1</v>
      </c>
      <c r="CC33" t="b">
        <v>1</v>
      </c>
      <c r="CD33" t="b">
        <v>1</v>
      </c>
      <c r="CE33" t="b">
        <v>1</v>
      </c>
      <c r="CF33" t="b">
        <v>1</v>
      </c>
    </row>
    <row r="34" spans="1:84" x14ac:dyDescent="0.3">
      <c r="A34" t="s">
        <v>1273</v>
      </c>
      <c r="B34" t="s">
        <v>1182</v>
      </c>
      <c r="C34" s="98">
        <v>45712</v>
      </c>
      <c r="D34">
        <v>2025</v>
      </c>
      <c r="E34">
        <v>2</v>
      </c>
      <c r="F34">
        <v>1</v>
      </c>
      <c r="G34" t="s">
        <v>1170</v>
      </c>
      <c r="H34" t="s">
        <v>122</v>
      </c>
      <c r="I34" t="s">
        <v>122</v>
      </c>
      <c r="J34" t="s">
        <v>6</v>
      </c>
      <c r="L34">
        <v>522611</v>
      </c>
      <c r="M34" s="99" t="s">
        <v>179</v>
      </c>
      <c r="N34">
        <v>2</v>
      </c>
      <c r="O34">
        <v>8</v>
      </c>
      <c r="P34">
        <v>6.9217000000000004</v>
      </c>
      <c r="Q34" t="s">
        <v>352</v>
      </c>
      <c r="R34">
        <v>1</v>
      </c>
      <c r="S34">
        <v>6.8052000000000001</v>
      </c>
      <c r="T34">
        <v>9.1200000000000003E-2</v>
      </c>
      <c r="U34">
        <v>1.2774122807017574</v>
      </c>
      <c r="V34">
        <v>6.5316000000000001</v>
      </c>
      <c r="W34">
        <v>6.6227999999999998</v>
      </c>
      <c r="X34">
        <v>6.7140000000000004</v>
      </c>
      <c r="Y34">
        <v>6.8963999999999999</v>
      </c>
      <c r="Z34">
        <v>6.9876000000000005</v>
      </c>
      <c r="AA34">
        <v>7.0788000000000002</v>
      </c>
      <c r="AD34">
        <v>7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 t="s">
        <v>462</v>
      </c>
      <c r="AL34" t="s">
        <v>6</v>
      </c>
      <c r="AM34" t="s">
        <v>1145</v>
      </c>
      <c r="AN34" t="s">
        <v>1146</v>
      </c>
      <c r="AO34" s="100">
        <v>46262.040405092594</v>
      </c>
      <c r="AP34" t="s">
        <v>1147</v>
      </c>
      <c r="AQ34" t="s">
        <v>1274</v>
      </c>
      <c r="AR34" t="s">
        <v>1184</v>
      </c>
      <c r="AS34" t="s">
        <v>1150</v>
      </c>
      <c r="AT34" t="s">
        <v>1151</v>
      </c>
      <c r="AU34">
        <v>25</v>
      </c>
      <c r="AV34">
        <v>6.8242840000000005</v>
      </c>
      <c r="AW34">
        <v>0.11267110203301166</v>
      </c>
      <c r="AX34">
        <v>1.6510318449966568</v>
      </c>
      <c r="AY34">
        <v>-1.8648146011737141</v>
      </c>
      <c r="AZ34">
        <v>4.5890171454181976</v>
      </c>
      <c r="BA34">
        <v>3.1102885231366839</v>
      </c>
      <c r="BB34" s="97" t="s">
        <v>161</v>
      </c>
      <c r="BD34" s="98"/>
      <c r="BE34" s="98"/>
      <c r="BF34" t="s">
        <v>1152</v>
      </c>
      <c r="BG34" t="s">
        <v>322</v>
      </c>
      <c r="BH34" t="s">
        <v>1153</v>
      </c>
      <c r="BI34">
        <v>1.8648146011737141</v>
      </c>
      <c r="BJ34" t="s">
        <v>1032</v>
      </c>
      <c r="BK34">
        <v>2.4109828545818024</v>
      </c>
      <c r="BL34">
        <v>34.442612208311459</v>
      </c>
      <c r="BM34" t="s">
        <v>1260</v>
      </c>
      <c r="BN34" t="s">
        <v>1154</v>
      </c>
      <c r="BO34">
        <v>2025</v>
      </c>
      <c r="BP34" t="s">
        <v>966</v>
      </c>
      <c r="BQ34">
        <v>230444.27981340454</v>
      </c>
      <c r="BR34">
        <v>76.955572018659552</v>
      </c>
      <c r="BS34" t="s">
        <v>992</v>
      </c>
      <c r="BV34" t="s">
        <v>1034</v>
      </c>
      <c r="BW34" t="s">
        <v>943</v>
      </c>
      <c r="BX34" t="s">
        <v>994</v>
      </c>
      <c r="BY34">
        <v>2.2373844984360725</v>
      </c>
      <c r="BZ34" t="s">
        <v>1155</v>
      </c>
      <c r="CA34" t="s">
        <v>991</v>
      </c>
      <c r="CB34" t="b">
        <v>1</v>
      </c>
      <c r="CC34" t="b">
        <v>1</v>
      </c>
      <c r="CD34" t="b">
        <v>1</v>
      </c>
      <c r="CE34" t="b">
        <v>1</v>
      </c>
      <c r="CF34" t="b">
        <v>1</v>
      </c>
    </row>
    <row r="35" spans="1:84" x14ac:dyDescent="0.3">
      <c r="A35" t="s">
        <v>1275</v>
      </c>
      <c r="B35" t="s">
        <v>1186</v>
      </c>
      <c r="C35" s="98">
        <v>45719</v>
      </c>
      <c r="D35">
        <v>2025</v>
      </c>
      <c r="E35">
        <v>3</v>
      </c>
      <c r="F35">
        <v>1</v>
      </c>
      <c r="G35" t="s">
        <v>1187</v>
      </c>
      <c r="H35" t="s">
        <v>122</v>
      </c>
      <c r="I35" t="s">
        <v>122</v>
      </c>
      <c r="J35" t="s">
        <v>6</v>
      </c>
      <c r="L35">
        <v>522611</v>
      </c>
      <c r="M35" s="99" t="s">
        <v>179</v>
      </c>
      <c r="N35">
        <v>2</v>
      </c>
      <c r="O35">
        <v>9</v>
      </c>
      <c r="P35">
        <v>6.9062999999999999</v>
      </c>
      <c r="Q35" t="s">
        <v>352</v>
      </c>
      <c r="R35">
        <v>1</v>
      </c>
      <c r="S35">
        <v>6.8052000000000001</v>
      </c>
      <c r="T35">
        <v>9.1200000000000003E-2</v>
      </c>
      <c r="U35">
        <v>1.1085526315789445</v>
      </c>
      <c r="V35">
        <v>6.5316000000000001</v>
      </c>
      <c r="W35">
        <v>6.6227999999999998</v>
      </c>
      <c r="X35">
        <v>6.7140000000000004</v>
      </c>
      <c r="Y35">
        <v>6.8963999999999999</v>
      </c>
      <c r="Z35">
        <v>6.9876000000000005</v>
      </c>
      <c r="AA35">
        <v>7.0788000000000002</v>
      </c>
      <c r="AD35">
        <v>7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 t="s">
        <v>462</v>
      </c>
      <c r="AL35" t="s">
        <v>6</v>
      </c>
      <c r="AM35" t="s">
        <v>1145</v>
      </c>
      <c r="AN35" t="s">
        <v>1146</v>
      </c>
      <c r="AO35" s="100">
        <v>46262.040405092594</v>
      </c>
      <c r="AP35" t="s">
        <v>1147</v>
      </c>
      <c r="AQ35" t="s">
        <v>1276</v>
      </c>
      <c r="AR35" t="s">
        <v>1189</v>
      </c>
      <c r="AS35" t="s">
        <v>1150</v>
      </c>
      <c r="AT35" t="s">
        <v>1151</v>
      </c>
      <c r="AU35">
        <v>25</v>
      </c>
      <c r="AV35">
        <v>6.8242840000000005</v>
      </c>
      <c r="AW35">
        <v>0.11267110203301166</v>
      </c>
      <c r="AX35">
        <v>1.6510318449966568</v>
      </c>
      <c r="AY35">
        <v>-1.8648146011737141</v>
      </c>
      <c r="AZ35">
        <v>4.5890171454181976</v>
      </c>
      <c r="BA35">
        <v>3.1102885231366839</v>
      </c>
      <c r="BB35" s="97" t="s">
        <v>161</v>
      </c>
      <c r="BD35" s="98"/>
      <c r="BE35" s="98"/>
      <c r="BF35" t="s">
        <v>1152</v>
      </c>
      <c r="BG35" t="s">
        <v>322</v>
      </c>
      <c r="BH35" t="s">
        <v>1153</v>
      </c>
      <c r="BI35">
        <v>1.8648146011737141</v>
      </c>
      <c r="BJ35" t="s">
        <v>1032</v>
      </c>
      <c r="BK35">
        <v>2.4109828545818024</v>
      </c>
      <c r="BL35">
        <v>34.442612208311459</v>
      </c>
      <c r="BM35" t="s">
        <v>1260</v>
      </c>
      <c r="BN35" t="s">
        <v>1154</v>
      </c>
      <c r="BO35">
        <v>2025</v>
      </c>
      <c r="BP35" t="s">
        <v>966</v>
      </c>
      <c r="BQ35">
        <v>230444.27981340454</v>
      </c>
      <c r="BR35">
        <v>76.955572018659552</v>
      </c>
      <c r="BS35" t="s">
        <v>992</v>
      </c>
      <c r="BV35" t="s">
        <v>1034</v>
      </c>
      <c r="BW35" t="s">
        <v>943</v>
      </c>
      <c r="BX35" t="s">
        <v>994</v>
      </c>
      <c r="BY35">
        <v>2.2373844984360725</v>
      </c>
      <c r="BZ35" t="s">
        <v>1155</v>
      </c>
      <c r="CA35" t="s">
        <v>991</v>
      </c>
      <c r="CB35" t="b">
        <v>1</v>
      </c>
      <c r="CC35" t="b">
        <v>1</v>
      </c>
      <c r="CD35" t="b">
        <v>1</v>
      </c>
      <c r="CE35" t="b">
        <v>1</v>
      </c>
      <c r="CF35" t="b">
        <v>1</v>
      </c>
    </row>
    <row r="36" spans="1:84" x14ac:dyDescent="0.3">
      <c r="A36" t="s">
        <v>1277</v>
      </c>
      <c r="B36" t="s">
        <v>1191</v>
      </c>
      <c r="C36" s="98">
        <v>45726</v>
      </c>
      <c r="D36">
        <v>2025</v>
      </c>
      <c r="E36">
        <v>3</v>
      </c>
      <c r="F36">
        <v>1</v>
      </c>
      <c r="G36" t="s">
        <v>1187</v>
      </c>
      <c r="H36" t="s">
        <v>122</v>
      </c>
      <c r="I36" t="s">
        <v>122</v>
      </c>
      <c r="J36" t="s">
        <v>6</v>
      </c>
      <c r="L36">
        <v>522611</v>
      </c>
      <c r="M36" s="99" t="s">
        <v>179</v>
      </c>
      <c r="N36">
        <v>2</v>
      </c>
      <c r="O36">
        <v>10</v>
      </c>
      <c r="P36">
        <v>6.9291999999999998</v>
      </c>
      <c r="Q36" t="s">
        <v>352</v>
      </c>
      <c r="R36">
        <v>1</v>
      </c>
      <c r="S36">
        <v>6.8052000000000001</v>
      </c>
      <c r="T36">
        <v>9.1200000000000003E-2</v>
      </c>
      <c r="U36">
        <v>1.3596491228070138</v>
      </c>
      <c r="V36">
        <v>6.5316000000000001</v>
      </c>
      <c r="W36">
        <v>6.6227999999999998</v>
      </c>
      <c r="X36">
        <v>6.7140000000000004</v>
      </c>
      <c r="Y36">
        <v>6.8963999999999999</v>
      </c>
      <c r="Z36">
        <v>6.9876000000000005</v>
      </c>
      <c r="AA36">
        <v>7.0788000000000002</v>
      </c>
      <c r="AD36">
        <v>7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 t="s">
        <v>462</v>
      </c>
      <c r="AL36" t="s">
        <v>6</v>
      </c>
      <c r="AM36" t="s">
        <v>1145</v>
      </c>
      <c r="AN36" t="s">
        <v>1146</v>
      </c>
      <c r="AO36" s="100">
        <v>46262.040405092594</v>
      </c>
      <c r="AP36" t="s">
        <v>1147</v>
      </c>
      <c r="AQ36" t="s">
        <v>1278</v>
      </c>
      <c r="AR36" t="s">
        <v>1193</v>
      </c>
      <c r="AS36" t="s">
        <v>1150</v>
      </c>
      <c r="AT36" t="s">
        <v>1151</v>
      </c>
      <c r="AU36">
        <v>25</v>
      </c>
      <c r="AV36">
        <v>6.8242840000000005</v>
      </c>
      <c r="AW36">
        <v>0.11267110203301166</v>
      </c>
      <c r="AX36">
        <v>1.6510318449966568</v>
      </c>
      <c r="AY36">
        <v>-1.8648146011737141</v>
      </c>
      <c r="AZ36">
        <v>4.5890171454181976</v>
      </c>
      <c r="BA36">
        <v>3.1102885231366839</v>
      </c>
      <c r="BB36" s="97" t="s">
        <v>161</v>
      </c>
      <c r="BD36" s="98"/>
      <c r="BE36" s="98"/>
      <c r="BF36" t="s">
        <v>1152</v>
      </c>
      <c r="BG36" t="s">
        <v>322</v>
      </c>
      <c r="BH36" t="s">
        <v>1153</v>
      </c>
      <c r="BI36">
        <v>1.8648146011737141</v>
      </c>
      <c r="BJ36" t="s">
        <v>1032</v>
      </c>
      <c r="BK36">
        <v>2.4109828545818024</v>
      </c>
      <c r="BL36">
        <v>34.442612208311459</v>
      </c>
      <c r="BM36" t="s">
        <v>1260</v>
      </c>
      <c r="BN36" t="s">
        <v>1154</v>
      </c>
      <c r="BO36">
        <v>2025</v>
      </c>
      <c r="BP36" t="s">
        <v>966</v>
      </c>
      <c r="BQ36">
        <v>230444.27981340454</v>
      </c>
      <c r="BR36">
        <v>76.955572018659552</v>
      </c>
      <c r="BS36" t="s">
        <v>992</v>
      </c>
      <c r="BV36" t="s">
        <v>1034</v>
      </c>
      <c r="BW36" t="s">
        <v>943</v>
      </c>
      <c r="BX36" t="s">
        <v>994</v>
      </c>
      <c r="BY36">
        <v>2.2373844984360725</v>
      </c>
      <c r="BZ36" t="s">
        <v>1155</v>
      </c>
      <c r="CA36" t="s">
        <v>991</v>
      </c>
      <c r="CB36" t="b">
        <v>1</v>
      </c>
      <c r="CC36" t="b">
        <v>1</v>
      </c>
      <c r="CD36" t="b">
        <v>1</v>
      </c>
      <c r="CE36" t="b">
        <v>1</v>
      </c>
      <c r="CF36" t="b">
        <v>1</v>
      </c>
    </row>
    <row r="37" spans="1:84" x14ac:dyDescent="0.3">
      <c r="A37" t="s">
        <v>1279</v>
      </c>
      <c r="B37" t="s">
        <v>1195</v>
      </c>
      <c r="C37" s="98">
        <v>45733</v>
      </c>
      <c r="D37">
        <v>2025</v>
      </c>
      <c r="E37">
        <v>3</v>
      </c>
      <c r="F37">
        <v>1</v>
      </c>
      <c r="G37" t="s">
        <v>1187</v>
      </c>
      <c r="H37" t="s">
        <v>122</v>
      </c>
      <c r="I37" t="s">
        <v>122</v>
      </c>
      <c r="J37" t="s">
        <v>6</v>
      </c>
      <c r="L37">
        <v>522611</v>
      </c>
      <c r="M37" s="99" t="s">
        <v>179</v>
      </c>
      <c r="N37">
        <v>2</v>
      </c>
      <c r="O37">
        <v>11</v>
      </c>
      <c r="P37">
        <v>6.7316000000000003</v>
      </c>
      <c r="Q37" t="s">
        <v>352</v>
      </c>
      <c r="R37">
        <v>1</v>
      </c>
      <c r="S37">
        <v>6.8052000000000001</v>
      </c>
      <c r="T37">
        <v>9.1200000000000003E-2</v>
      </c>
      <c r="U37">
        <v>-0.80701754385964786</v>
      </c>
      <c r="V37">
        <v>6.5316000000000001</v>
      </c>
      <c r="W37">
        <v>6.6227999999999998</v>
      </c>
      <c r="X37">
        <v>6.7140000000000004</v>
      </c>
      <c r="Y37">
        <v>6.8963999999999999</v>
      </c>
      <c r="Z37">
        <v>6.9876000000000005</v>
      </c>
      <c r="AA37">
        <v>7.0788000000000002</v>
      </c>
      <c r="AD37">
        <v>7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 t="s">
        <v>462</v>
      </c>
      <c r="AL37" t="s">
        <v>6</v>
      </c>
      <c r="AM37" t="s">
        <v>1145</v>
      </c>
      <c r="AN37" t="s">
        <v>1146</v>
      </c>
      <c r="AO37" s="100">
        <v>46262.040405092594</v>
      </c>
      <c r="AP37" t="s">
        <v>1147</v>
      </c>
      <c r="AQ37" t="s">
        <v>1280</v>
      </c>
      <c r="AR37" t="s">
        <v>1197</v>
      </c>
      <c r="AS37" t="s">
        <v>1150</v>
      </c>
      <c r="AT37" t="s">
        <v>1151</v>
      </c>
      <c r="AU37">
        <v>25</v>
      </c>
      <c r="AV37">
        <v>6.8242840000000005</v>
      </c>
      <c r="AW37">
        <v>0.11267110203301166</v>
      </c>
      <c r="AX37">
        <v>1.6510318449966568</v>
      </c>
      <c r="AY37">
        <v>-1.8648146011737141</v>
      </c>
      <c r="AZ37">
        <v>4.5890171454181976</v>
      </c>
      <c r="BA37">
        <v>3.1102885231366839</v>
      </c>
      <c r="BB37" s="97" t="s">
        <v>161</v>
      </c>
      <c r="BD37" s="98"/>
      <c r="BE37" s="98"/>
      <c r="BF37" t="s">
        <v>1152</v>
      </c>
      <c r="BG37" t="s">
        <v>322</v>
      </c>
      <c r="BH37" t="s">
        <v>1153</v>
      </c>
      <c r="BI37">
        <v>1.8648146011737141</v>
      </c>
      <c r="BJ37" t="s">
        <v>1032</v>
      </c>
      <c r="BK37">
        <v>2.4109828545818024</v>
      </c>
      <c r="BL37">
        <v>34.442612208311459</v>
      </c>
      <c r="BM37" t="s">
        <v>1260</v>
      </c>
      <c r="BN37" t="s">
        <v>1154</v>
      </c>
      <c r="BO37">
        <v>2025</v>
      </c>
      <c r="BP37" t="s">
        <v>966</v>
      </c>
      <c r="BQ37">
        <v>230444.27981340454</v>
      </c>
      <c r="BR37">
        <v>76.955572018659552</v>
      </c>
      <c r="BS37" t="s">
        <v>992</v>
      </c>
      <c r="BV37" t="s">
        <v>1034</v>
      </c>
      <c r="BW37" t="s">
        <v>943</v>
      </c>
      <c r="BX37" t="s">
        <v>994</v>
      </c>
      <c r="BY37">
        <v>2.2373844984360725</v>
      </c>
      <c r="BZ37" t="s">
        <v>1155</v>
      </c>
      <c r="CA37" t="s">
        <v>991</v>
      </c>
      <c r="CB37" t="b">
        <v>1</v>
      </c>
      <c r="CC37" t="b">
        <v>1</v>
      </c>
      <c r="CD37" t="b">
        <v>1</v>
      </c>
      <c r="CE37" t="b">
        <v>1</v>
      </c>
      <c r="CF37" t="b">
        <v>1</v>
      </c>
    </row>
    <row r="38" spans="1:84" x14ac:dyDescent="0.3">
      <c r="A38" t="s">
        <v>1281</v>
      </c>
      <c r="B38" t="s">
        <v>1199</v>
      </c>
      <c r="C38" s="98">
        <v>45740</v>
      </c>
      <c r="D38">
        <v>2025</v>
      </c>
      <c r="E38">
        <v>3</v>
      </c>
      <c r="F38">
        <v>1</v>
      </c>
      <c r="G38" t="s">
        <v>1187</v>
      </c>
      <c r="H38" t="s">
        <v>122</v>
      </c>
      <c r="I38" t="s">
        <v>122</v>
      </c>
      <c r="J38" t="s">
        <v>6</v>
      </c>
      <c r="L38">
        <v>522611</v>
      </c>
      <c r="M38" s="99" t="s">
        <v>179</v>
      </c>
      <c r="N38">
        <v>2</v>
      </c>
      <c r="O38">
        <v>12</v>
      </c>
      <c r="P38">
        <v>6.8022</v>
      </c>
      <c r="Q38" t="s">
        <v>352</v>
      </c>
      <c r="R38">
        <v>1</v>
      </c>
      <c r="S38">
        <v>6.8052000000000001</v>
      </c>
      <c r="T38">
        <v>9.1200000000000003E-2</v>
      </c>
      <c r="U38">
        <v>-3.289473684210651E-2</v>
      </c>
      <c r="V38">
        <v>6.5316000000000001</v>
      </c>
      <c r="W38">
        <v>6.6227999999999998</v>
      </c>
      <c r="X38">
        <v>6.7140000000000004</v>
      </c>
      <c r="Y38">
        <v>6.8963999999999999</v>
      </c>
      <c r="Z38">
        <v>6.9876000000000005</v>
      </c>
      <c r="AA38">
        <v>7.0788000000000002</v>
      </c>
      <c r="AD38">
        <v>7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 t="s">
        <v>462</v>
      </c>
      <c r="AL38" t="s">
        <v>6</v>
      </c>
      <c r="AM38" t="s">
        <v>1145</v>
      </c>
      <c r="AN38" t="s">
        <v>1146</v>
      </c>
      <c r="AO38" s="100">
        <v>46262.040405092594</v>
      </c>
      <c r="AP38" t="s">
        <v>1147</v>
      </c>
      <c r="AQ38" t="s">
        <v>1282</v>
      </c>
      <c r="AR38" t="s">
        <v>1201</v>
      </c>
      <c r="AS38" t="s">
        <v>1150</v>
      </c>
      <c r="AT38" t="s">
        <v>1151</v>
      </c>
      <c r="AU38">
        <v>25</v>
      </c>
      <c r="AV38">
        <v>6.8242840000000005</v>
      </c>
      <c r="AW38">
        <v>0.11267110203301166</v>
      </c>
      <c r="AX38">
        <v>1.6510318449966568</v>
      </c>
      <c r="AY38">
        <v>-1.8648146011737141</v>
      </c>
      <c r="AZ38">
        <v>4.5890171454181976</v>
      </c>
      <c r="BA38">
        <v>3.1102885231366839</v>
      </c>
      <c r="BB38" s="97" t="s">
        <v>161</v>
      </c>
      <c r="BD38" s="98"/>
      <c r="BE38" s="98"/>
      <c r="BF38" t="s">
        <v>1152</v>
      </c>
      <c r="BG38" t="s">
        <v>322</v>
      </c>
      <c r="BH38" t="s">
        <v>1153</v>
      </c>
      <c r="BI38">
        <v>1.8648146011737141</v>
      </c>
      <c r="BJ38" t="s">
        <v>1032</v>
      </c>
      <c r="BK38">
        <v>2.4109828545818024</v>
      </c>
      <c r="BL38">
        <v>34.442612208311459</v>
      </c>
      <c r="BM38" t="s">
        <v>1260</v>
      </c>
      <c r="BN38" t="s">
        <v>1154</v>
      </c>
      <c r="BO38">
        <v>2025</v>
      </c>
      <c r="BP38" t="s">
        <v>966</v>
      </c>
      <c r="BQ38">
        <v>230444.27981340454</v>
      </c>
      <c r="BR38">
        <v>76.955572018659552</v>
      </c>
      <c r="BS38" t="s">
        <v>992</v>
      </c>
      <c r="BV38" t="s">
        <v>1034</v>
      </c>
      <c r="BW38" t="s">
        <v>943</v>
      </c>
      <c r="BX38" t="s">
        <v>994</v>
      </c>
      <c r="BY38">
        <v>2.2373844984360725</v>
      </c>
      <c r="BZ38" t="s">
        <v>1155</v>
      </c>
      <c r="CA38" t="s">
        <v>991</v>
      </c>
      <c r="CB38" t="b">
        <v>1</v>
      </c>
      <c r="CC38" t="b">
        <v>1</v>
      </c>
      <c r="CD38" t="b">
        <v>1</v>
      </c>
      <c r="CE38" t="b">
        <v>1</v>
      </c>
      <c r="CF38" t="b">
        <v>1</v>
      </c>
    </row>
    <row r="39" spans="1:84" x14ac:dyDescent="0.3">
      <c r="A39" t="s">
        <v>1283</v>
      </c>
      <c r="B39" t="s">
        <v>1203</v>
      </c>
      <c r="C39" s="98">
        <v>45747</v>
      </c>
      <c r="D39">
        <v>2025</v>
      </c>
      <c r="E39">
        <v>3</v>
      </c>
      <c r="F39">
        <v>1</v>
      </c>
      <c r="G39" t="s">
        <v>1187</v>
      </c>
      <c r="H39" t="s">
        <v>122</v>
      </c>
      <c r="I39" t="s">
        <v>122</v>
      </c>
      <c r="J39" t="s">
        <v>6</v>
      </c>
      <c r="L39">
        <v>522611</v>
      </c>
      <c r="M39" s="99" t="s">
        <v>179</v>
      </c>
      <c r="N39">
        <v>2</v>
      </c>
      <c r="O39">
        <v>13</v>
      </c>
      <c r="P39">
        <v>6.8857999999999997</v>
      </c>
      <c r="Q39" t="s">
        <v>352</v>
      </c>
      <c r="R39">
        <v>1</v>
      </c>
      <c r="S39">
        <v>6.8052000000000001</v>
      </c>
      <c r="T39">
        <v>9.1200000000000003E-2</v>
      </c>
      <c r="U39">
        <v>0.88377192982455655</v>
      </c>
      <c r="V39">
        <v>6.5316000000000001</v>
      </c>
      <c r="W39">
        <v>6.6227999999999998</v>
      </c>
      <c r="X39">
        <v>6.7140000000000004</v>
      </c>
      <c r="Y39">
        <v>6.8963999999999999</v>
      </c>
      <c r="Z39">
        <v>6.9876000000000005</v>
      </c>
      <c r="AA39">
        <v>7.0788000000000002</v>
      </c>
      <c r="AD39">
        <v>7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 t="s">
        <v>462</v>
      </c>
      <c r="AL39" t="s">
        <v>6</v>
      </c>
      <c r="AM39" t="s">
        <v>1145</v>
      </c>
      <c r="AN39" t="s">
        <v>1146</v>
      </c>
      <c r="AO39" s="100">
        <v>46262.040405092594</v>
      </c>
      <c r="AP39" t="s">
        <v>1147</v>
      </c>
      <c r="AQ39" t="s">
        <v>1284</v>
      </c>
      <c r="AR39" t="s">
        <v>1205</v>
      </c>
      <c r="AS39" t="s">
        <v>1150</v>
      </c>
      <c r="AT39" t="s">
        <v>1151</v>
      </c>
      <c r="AU39">
        <v>25</v>
      </c>
      <c r="AV39">
        <v>6.8242840000000005</v>
      </c>
      <c r="AW39">
        <v>0.11267110203301166</v>
      </c>
      <c r="AX39">
        <v>1.6510318449966568</v>
      </c>
      <c r="AY39">
        <v>-1.8648146011737141</v>
      </c>
      <c r="AZ39">
        <v>4.5890171454181976</v>
      </c>
      <c r="BA39">
        <v>3.1102885231366839</v>
      </c>
      <c r="BB39" s="97" t="s">
        <v>161</v>
      </c>
      <c r="BD39" s="98"/>
      <c r="BE39" s="98"/>
      <c r="BF39" t="s">
        <v>1152</v>
      </c>
      <c r="BG39" t="s">
        <v>322</v>
      </c>
      <c r="BH39" t="s">
        <v>1153</v>
      </c>
      <c r="BI39">
        <v>1.8648146011737141</v>
      </c>
      <c r="BJ39" t="s">
        <v>1032</v>
      </c>
      <c r="BK39">
        <v>2.4109828545818024</v>
      </c>
      <c r="BL39">
        <v>34.442612208311459</v>
      </c>
      <c r="BM39" t="s">
        <v>1260</v>
      </c>
      <c r="BN39" t="s">
        <v>1154</v>
      </c>
      <c r="BO39">
        <v>2025</v>
      </c>
      <c r="BP39" t="s">
        <v>966</v>
      </c>
      <c r="BQ39">
        <v>230444.27981340454</v>
      </c>
      <c r="BR39">
        <v>76.955572018659552</v>
      </c>
      <c r="BS39" t="s">
        <v>992</v>
      </c>
      <c r="BV39" t="s">
        <v>1034</v>
      </c>
      <c r="BW39" t="s">
        <v>943</v>
      </c>
      <c r="BX39" t="s">
        <v>994</v>
      </c>
      <c r="BY39">
        <v>2.2373844984360725</v>
      </c>
      <c r="BZ39" t="s">
        <v>1155</v>
      </c>
      <c r="CA39" t="s">
        <v>991</v>
      </c>
      <c r="CB39" t="b">
        <v>1</v>
      </c>
      <c r="CC39" t="b">
        <v>1</v>
      </c>
      <c r="CD39" t="b">
        <v>1</v>
      </c>
      <c r="CE39" t="b">
        <v>1</v>
      </c>
      <c r="CF39" t="b">
        <v>1</v>
      </c>
    </row>
    <row r="40" spans="1:84" x14ac:dyDescent="0.3">
      <c r="A40" t="s">
        <v>1285</v>
      </c>
      <c r="B40" t="s">
        <v>1207</v>
      </c>
      <c r="C40" s="98">
        <v>45754</v>
      </c>
      <c r="D40">
        <v>2025</v>
      </c>
      <c r="E40">
        <v>4</v>
      </c>
      <c r="F40">
        <v>2</v>
      </c>
      <c r="G40" t="s">
        <v>1208</v>
      </c>
      <c r="H40" t="s">
        <v>122</v>
      </c>
      <c r="I40" t="s">
        <v>122</v>
      </c>
      <c r="J40" t="s">
        <v>6</v>
      </c>
      <c r="L40">
        <v>522611</v>
      </c>
      <c r="M40" s="99" t="s">
        <v>179</v>
      </c>
      <c r="N40">
        <v>2</v>
      </c>
      <c r="O40">
        <v>14</v>
      </c>
      <c r="P40">
        <v>6.7519999999999998</v>
      </c>
      <c r="Q40" t="s">
        <v>352</v>
      </c>
      <c r="R40">
        <v>1</v>
      </c>
      <c r="S40">
        <v>6.8052000000000001</v>
      </c>
      <c r="T40">
        <v>9.1200000000000003E-2</v>
      </c>
      <c r="U40">
        <v>-0.58333333333333726</v>
      </c>
      <c r="V40">
        <v>6.5316000000000001</v>
      </c>
      <c r="W40">
        <v>6.6227999999999998</v>
      </c>
      <c r="X40">
        <v>6.7140000000000004</v>
      </c>
      <c r="Y40">
        <v>6.8963999999999999</v>
      </c>
      <c r="Z40">
        <v>6.9876000000000005</v>
      </c>
      <c r="AA40">
        <v>7.0788000000000002</v>
      </c>
      <c r="AD40">
        <v>7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 t="s">
        <v>462</v>
      </c>
      <c r="AL40" t="s">
        <v>6</v>
      </c>
      <c r="AM40" t="s">
        <v>1145</v>
      </c>
      <c r="AN40" t="s">
        <v>1146</v>
      </c>
      <c r="AO40" s="100">
        <v>46262.040405092594</v>
      </c>
      <c r="AP40" t="s">
        <v>1147</v>
      </c>
      <c r="AQ40" t="s">
        <v>1286</v>
      </c>
      <c r="AR40" t="s">
        <v>1210</v>
      </c>
      <c r="AS40" t="s">
        <v>1150</v>
      </c>
      <c r="AT40" t="s">
        <v>1151</v>
      </c>
      <c r="AU40">
        <v>25</v>
      </c>
      <c r="AV40">
        <v>6.8242840000000005</v>
      </c>
      <c r="AW40">
        <v>0.11267110203301166</v>
      </c>
      <c r="AX40">
        <v>1.6510318449966568</v>
      </c>
      <c r="AY40">
        <v>-1.8648146011737141</v>
      </c>
      <c r="AZ40">
        <v>4.5890171454181976</v>
      </c>
      <c r="BA40">
        <v>3.1102885231366839</v>
      </c>
      <c r="BB40" s="97" t="s">
        <v>161</v>
      </c>
      <c r="BD40" s="98"/>
      <c r="BE40" s="98"/>
      <c r="BF40" t="s">
        <v>1152</v>
      </c>
      <c r="BG40" t="s">
        <v>322</v>
      </c>
      <c r="BH40" t="s">
        <v>1153</v>
      </c>
      <c r="BI40">
        <v>1.8648146011737141</v>
      </c>
      <c r="BJ40" t="s">
        <v>1032</v>
      </c>
      <c r="BK40">
        <v>2.4109828545818024</v>
      </c>
      <c r="BL40">
        <v>34.442612208311459</v>
      </c>
      <c r="BM40" t="s">
        <v>1260</v>
      </c>
      <c r="BN40" t="s">
        <v>1154</v>
      </c>
      <c r="BO40">
        <v>2025</v>
      </c>
      <c r="BP40" t="s">
        <v>966</v>
      </c>
      <c r="BQ40">
        <v>230444.27981340454</v>
      </c>
      <c r="BR40">
        <v>76.955572018659552</v>
      </c>
      <c r="BS40" t="s">
        <v>992</v>
      </c>
      <c r="BV40" t="s">
        <v>1034</v>
      </c>
      <c r="BW40" t="s">
        <v>943</v>
      </c>
      <c r="BX40" t="s">
        <v>994</v>
      </c>
      <c r="BY40">
        <v>2.2373844984360725</v>
      </c>
      <c r="BZ40" t="s">
        <v>1155</v>
      </c>
      <c r="CA40" t="s">
        <v>991</v>
      </c>
      <c r="CB40" t="b">
        <v>1</v>
      </c>
      <c r="CC40" t="b">
        <v>1</v>
      </c>
      <c r="CD40" t="b">
        <v>1</v>
      </c>
      <c r="CE40" t="b">
        <v>1</v>
      </c>
      <c r="CF40" t="b">
        <v>1</v>
      </c>
    </row>
    <row r="41" spans="1:84" x14ac:dyDescent="0.3">
      <c r="A41" t="s">
        <v>1287</v>
      </c>
      <c r="B41" t="s">
        <v>1212</v>
      </c>
      <c r="C41" s="98">
        <v>45761</v>
      </c>
      <c r="D41">
        <v>2025</v>
      </c>
      <c r="E41">
        <v>4</v>
      </c>
      <c r="F41">
        <v>2</v>
      </c>
      <c r="G41" t="s">
        <v>1208</v>
      </c>
      <c r="H41" t="s">
        <v>122</v>
      </c>
      <c r="I41" t="s">
        <v>122</v>
      </c>
      <c r="J41" t="s">
        <v>6</v>
      </c>
      <c r="L41">
        <v>522611</v>
      </c>
      <c r="M41" s="99" t="s">
        <v>179</v>
      </c>
      <c r="N41">
        <v>2</v>
      </c>
      <c r="O41">
        <v>15</v>
      </c>
      <c r="P41">
        <v>7.0148999999999999</v>
      </c>
      <c r="Q41" t="s">
        <v>352</v>
      </c>
      <c r="R41">
        <v>1</v>
      </c>
      <c r="S41">
        <v>6.8052000000000001</v>
      </c>
      <c r="T41">
        <v>9.1200000000000003E-2</v>
      </c>
      <c r="U41">
        <v>2.2993421052631553</v>
      </c>
      <c r="V41">
        <v>6.5316000000000001</v>
      </c>
      <c r="W41">
        <v>6.6227999999999998</v>
      </c>
      <c r="X41">
        <v>6.7140000000000004</v>
      </c>
      <c r="Y41">
        <v>6.8963999999999999</v>
      </c>
      <c r="Z41">
        <v>6.9876000000000005</v>
      </c>
      <c r="AA41">
        <v>7.0788000000000002</v>
      </c>
      <c r="AD41">
        <v>7</v>
      </c>
      <c r="AE41">
        <v>0</v>
      </c>
      <c r="AF41">
        <v>1</v>
      </c>
      <c r="AG41">
        <v>0</v>
      </c>
      <c r="AH41">
        <v>0</v>
      </c>
      <c r="AI41">
        <v>0</v>
      </c>
      <c r="AJ41">
        <v>1</v>
      </c>
      <c r="AK41" t="s">
        <v>1213</v>
      </c>
      <c r="AL41" t="s">
        <v>6</v>
      </c>
      <c r="AM41" t="s">
        <v>1145</v>
      </c>
      <c r="AN41" t="s">
        <v>1146</v>
      </c>
      <c r="AO41" s="100">
        <v>46262.040405092594</v>
      </c>
      <c r="AP41" t="s">
        <v>1147</v>
      </c>
      <c r="AQ41" t="s">
        <v>1288</v>
      </c>
      <c r="AR41" t="s">
        <v>1215</v>
      </c>
      <c r="AS41" t="s">
        <v>1150</v>
      </c>
      <c r="AT41" t="s">
        <v>1151</v>
      </c>
      <c r="AU41">
        <v>25</v>
      </c>
      <c r="AV41">
        <v>6.8242840000000005</v>
      </c>
      <c r="AW41">
        <v>0.11267110203301166</v>
      </c>
      <c r="AX41">
        <v>1.6510318449966568</v>
      </c>
      <c r="AY41">
        <v>-1.8648146011737141</v>
      </c>
      <c r="AZ41">
        <v>4.5890171454181976</v>
      </c>
      <c r="BA41">
        <v>3.1102885231366839</v>
      </c>
      <c r="BB41" s="97" t="s">
        <v>161</v>
      </c>
      <c r="BD41" s="98"/>
      <c r="BE41" s="98"/>
      <c r="BF41" t="s">
        <v>1152</v>
      </c>
      <c r="BG41" t="s">
        <v>322</v>
      </c>
      <c r="BH41" t="s">
        <v>1153</v>
      </c>
      <c r="BI41">
        <v>1.8648146011737141</v>
      </c>
      <c r="BJ41" t="s">
        <v>1032</v>
      </c>
      <c r="BK41">
        <v>2.4109828545818024</v>
      </c>
      <c r="BL41">
        <v>34.442612208311459</v>
      </c>
      <c r="BM41" t="s">
        <v>1260</v>
      </c>
      <c r="BN41" t="s">
        <v>1154</v>
      </c>
      <c r="BO41">
        <v>2025</v>
      </c>
      <c r="BP41" t="s">
        <v>966</v>
      </c>
      <c r="BQ41">
        <v>230444.27981340454</v>
      </c>
      <c r="BR41">
        <v>76.955572018659552</v>
      </c>
      <c r="BS41" t="s">
        <v>992</v>
      </c>
      <c r="BV41" t="s">
        <v>1034</v>
      </c>
      <c r="BW41" t="s">
        <v>943</v>
      </c>
      <c r="BX41" t="s">
        <v>994</v>
      </c>
      <c r="BY41">
        <v>2.2373844984360725</v>
      </c>
      <c r="BZ41" t="s">
        <v>1155</v>
      </c>
      <c r="CA41" t="s">
        <v>991</v>
      </c>
      <c r="CB41" t="b">
        <v>1</v>
      </c>
      <c r="CC41" t="b">
        <v>1</v>
      </c>
      <c r="CD41" t="b">
        <v>1</v>
      </c>
      <c r="CE41" t="b">
        <v>1</v>
      </c>
      <c r="CF41" t="b">
        <v>1</v>
      </c>
    </row>
    <row r="42" spans="1:84" x14ac:dyDescent="0.3">
      <c r="A42" t="s">
        <v>1289</v>
      </c>
      <c r="B42" t="s">
        <v>1217</v>
      </c>
      <c r="C42" s="98">
        <v>45768</v>
      </c>
      <c r="D42">
        <v>2025</v>
      </c>
      <c r="E42">
        <v>4</v>
      </c>
      <c r="F42">
        <v>2</v>
      </c>
      <c r="G42" t="s">
        <v>1208</v>
      </c>
      <c r="H42" t="s">
        <v>122</v>
      </c>
      <c r="I42" t="s">
        <v>122</v>
      </c>
      <c r="J42" t="s">
        <v>6</v>
      </c>
      <c r="L42">
        <v>522611</v>
      </c>
      <c r="M42" s="99" t="s">
        <v>179</v>
      </c>
      <c r="N42">
        <v>2</v>
      </c>
      <c r="O42">
        <v>16</v>
      </c>
      <c r="P42">
        <v>6.8151999999999999</v>
      </c>
      <c r="Q42" t="s">
        <v>352</v>
      </c>
      <c r="R42">
        <v>1</v>
      </c>
      <c r="S42">
        <v>6.8052000000000001</v>
      </c>
      <c r="T42">
        <v>9.1200000000000003E-2</v>
      </c>
      <c r="U42">
        <v>0.10964912280701521</v>
      </c>
      <c r="V42">
        <v>6.5316000000000001</v>
      </c>
      <c r="W42">
        <v>6.6227999999999998</v>
      </c>
      <c r="X42">
        <v>6.7140000000000004</v>
      </c>
      <c r="Y42">
        <v>6.8963999999999999</v>
      </c>
      <c r="Z42">
        <v>6.9876000000000005</v>
      </c>
      <c r="AA42">
        <v>7.0788000000000002</v>
      </c>
      <c r="AD42">
        <v>7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 t="s">
        <v>462</v>
      </c>
      <c r="AL42" t="s">
        <v>6</v>
      </c>
      <c r="AM42" t="s">
        <v>1145</v>
      </c>
      <c r="AN42" t="s">
        <v>1146</v>
      </c>
      <c r="AO42" s="100">
        <v>46262.040405092594</v>
      </c>
      <c r="AP42" t="s">
        <v>1147</v>
      </c>
      <c r="AQ42" t="s">
        <v>1290</v>
      </c>
      <c r="AR42" t="s">
        <v>1219</v>
      </c>
      <c r="AS42" t="s">
        <v>1150</v>
      </c>
      <c r="AT42" t="s">
        <v>1151</v>
      </c>
      <c r="AU42">
        <v>25</v>
      </c>
      <c r="AV42">
        <v>6.8242840000000005</v>
      </c>
      <c r="AW42">
        <v>0.11267110203301166</v>
      </c>
      <c r="AX42">
        <v>1.6510318449966568</v>
      </c>
      <c r="AY42">
        <v>-1.8648146011737141</v>
      </c>
      <c r="AZ42">
        <v>4.5890171454181976</v>
      </c>
      <c r="BA42">
        <v>3.1102885231366839</v>
      </c>
      <c r="BB42" s="97" t="s">
        <v>161</v>
      </c>
      <c r="BD42" s="98"/>
      <c r="BE42" s="98"/>
      <c r="BF42" t="s">
        <v>1152</v>
      </c>
      <c r="BG42" t="s">
        <v>322</v>
      </c>
      <c r="BH42" t="s">
        <v>1153</v>
      </c>
      <c r="BI42">
        <v>1.8648146011737141</v>
      </c>
      <c r="BJ42" t="s">
        <v>1032</v>
      </c>
      <c r="BK42">
        <v>2.4109828545818024</v>
      </c>
      <c r="BL42">
        <v>34.442612208311459</v>
      </c>
      <c r="BM42" t="s">
        <v>1260</v>
      </c>
      <c r="BN42" t="s">
        <v>1154</v>
      </c>
      <c r="BO42">
        <v>2025</v>
      </c>
      <c r="BP42" t="s">
        <v>966</v>
      </c>
      <c r="BQ42">
        <v>230444.27981340454</v>
      </c>
      <c r="BR42">
        <v>76.955572018659552</v>
      </c>
      <c r="BS42" t="s">
        <v>992</v>
      </c>
      <c r="BV42" t="s">
        <v>1034</v>
      </c>
      <c r="BW42" t="s">
        <v>943</v>
      </c>
      <c r="BX42" t="s">
        <v>994</v>
      </c>
      <c r="BY42">
        <v>2.2373844984360725</v>
      </c>
      <c r="BZ42" t="s">
        <v>1155</v>
      </c>
      <c r="CA42" t="s">
        <v>991</v>
      </c>
      <c r="CB42" t="b">
        <v>1</v>
      </c>
      <c r="CC42" t="b">
        <v>1</v>
      </c>
      <c r="CD42" t="b">
        <v>1</v>
      </c>
      <c r="CE42" t="b">
        <v>1</v>
      </c>
      <c r="CF42" t="b">
        <v>1</v>
      </c>
    </row>
    <row r="43" spans="1:84" x14ac:dyDescent="0.3">
      <c r="A43" t="s">
        <v>1291</v>
      </c>
      <c r="B43" t="s">
        <v>1221</v>
      </c>
      <c r="C43" s="98">
        <v>45775</v>
      </c>
      <c r="D43">
        <v>2025</v>
      </c>
      <c r="E43">
        <v>4</v>
      </c>
      <c r="F43">
        <v>2</v>
      </c>
      <c r="G43" t="s">
        <v>1208</v>
      </c>
      <c r="H43" t="s">
        <v>122</v>
      </c>
      <c r="I43" t="s">
        <v>122</v>
      </c>
      <c r="J43" t="s">
        <v>6</v>
      </c>
      <c r="L43">
        <v>522611</v>
      </c>
      <c r="M43" s="99" t="s">
        <v>179</v>
      </c>
      <c r="N43">
        <v>2</v>
      </c>
      <c r="O43">
        <v>17</v>
      </c>
      <c r="P43">
        <v>6.8109999999999999</v>
      </c>
      <c r="Q43" t="s">
        <v>352</v>
      </c>
      <c r="R43">
        <v>1</v>
      </c>
      <c r="S43">
        <v>6.8052000000000001</v>
      </c>
      <c r="T43">
        <v>9.1200000000000003E-2</v>
      </c>
      <c r="U43">
        <v>6.3596491228068042E-2</v>
      </c>
      <c r="V43">
        <v>6.5316000000000001</v>
      </c>
      <c r="W43">
        <v>6.6227999999999998</v>
      </c>
      <c r="X43">
        <v>6.7140000000000004</v>
      </c>
      <c r="Y43">
        <v>6.8963999999999999</v>
      </c>
      <c r="Z43">
        <v>6.9876000000000005</v>
      </c>
      <c r="AA43">
        <v>7.0788000000000002</v>
      </c>
      <c r="AD43">
        <v>7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 t="s">
        <v>462</v>
      </c>
      <c r="AL43" t="s">
        <v>6</v>
      </c>
      <c r="AM43" t="s">
        <v>1145</v>
      </c>
      <c r="AN43" t="s">
        <v>1146</v>
      </c>
      <c r="AO43" s="100">
        <v>46262.040405092594</v>
      </c>
      <c r="AP43" t="s">
        <v>1147</v>
      </c>
      <c r="AQ43" t="s">
        <v>1292</v>
      </c>
      <c r="AR43" t="s">
        <v>1223</v>
      </c>
      <c r="AS43" t="s">
        <v>1150</v>
      </c>
      <c r="AT43" t="s">
        <v>1151</v>
      </c>
      <c r="AU43">
        <v>25</v>
      </c>
      <c r="AV43">
        <v>6.8242840000000005</v>
      </c>
      <c r="AW43">
        <v>0.11267110203301166</v>
      </c>
      <c r="AX43">
        <v>1.6510318449966568</v>
      </c>
      <c r="AY43">
        <v>-1.8648146011737141</v>
      </c>
      <c r="AZ43">
        <v>4.5890171454181976</v>
      </c>
      <c r="BA43">
        <v>3.1102885231366839</v>
      </c>
      <c r="BB43" s="97" t="s">
        <v>161</v>
      </c>
      <c r="BD43" s="98"/>
      <c r="BE43" s="98"/>
      <c r="BF43" t="s">
        <v>1152</v>
      </c>
      <c r="BG43" t="s">
        <v>322</v>
      </c>
      <c r="BH43" t="s">
        <v>1153</v>
      </c>
      <c r="BI43">
        <v>1.8648146011737141</v>
      </c>
      <c r="BJ43" t="s">
        <v>1032</v>
      </c>
      <c r="BK43">
        <v>2.4109828545818024</v>
      </c>
      <c r="BL43">
        <v>34.442612208311459</v>
      </c>
      <c r="BM43" t="s">
        <v>1260</v>
      </c>
      <c r="BN43" t="s">
        <v>1154</v>
      </c>
      <c r="BO43">
        <v>2025</v>
      </c>
      <c r="BP43" t="s">
        <v>966</v>
      </c>
      <c r="BQ43">
        <v>230444.27981340454</v>
      </c>
      <c r="BR43">
        <v>76.955572018659552</v>
      </c>
      <c r="BS43" t="s">
        <v>992</v>
      </c>
      <c r="BV43" t="s">
        <v>1034</v>
      </c>
      <c r="BW43" t="s">
        <v>943</v>
      </c>
      <c r="BX43" t="s">
        <v>994</v>
      </c>
      <c r="BY43">
        <v>2.2373844984360725</v>
      </c>
      <c r="BZ43" t="s">
        <v>1155</v>
      </c>
      <c r="CA43" t="s">
        <v>991</v>
      </c>
      <c r="CB43" t="b">
        <v>1</v>
      </c>
      <c r="CC43" t="b">
        <v>1</v>
      </c>
      <c r="CD43" t="b">
        <v>1</v>
      </c>
      <c r="CE43" t="b">
        <v>1</v>
      </c>
      <c r="CF43" t="b">
        <v>1</v>
      </c>
    </row>
    <row r="44" spans="1:84" x14ac:dyDescent="0.3">
      <c r="A44" t="s">
        <v>1293</v>
      </c>
      <c r="B44" t="s">
        <v>1225</v>
      </c>
      <c r="C44" s="98">
        <v>45782</v>
      </c>
      <c r="D44">
        <v>2025</v>
      </c>
      <c r="E44">
        <v>5</v>
      </c>
      <c r="F44">
        <v>2</v>
      </c>
      <c r="G44" t="s">
        <v>1226</v>
      </c>
      <c r="H44" t="s">
        <v>122</v>
      </c>
      <c r="I44" t="s">
        <v>122</v>
      </c>
      <c r="J44" t="s">
        <v>6</v>
      </c>
      <c r="L44">
        <v>522611</v>
      </c>
      <c r="M44" s="99" t="s">
        <v>179</v>
      </c>
      <c r="N44">
        <v>2</v>
      </c>
      <c r="O44">
        <v>18</v>
      </c>
      <c r="P44">
        <v>6.5864000000000003</v>
      </c>
      <c r="Q44" t="s">
        <v>352</v>
      </c>
      <c r="R44">
        <v>1</v>
      </c>
      <c r="S44">
        <v>6.8052000000000001</v>
      </c>
      <c r="T44">
        <v>9.1200000000000003E-2</v>
      </c>
      <c r="U44">
        <v>-2.3991228070175423</v>
      </c>
      <c r="V44">
        <v>6.5316000000000001</v>
      </c>
      <c r="W44">
        <v>6.6227999999999998</v>
      </c>
      <c r="X44">
        <v>6.7140000000000004</v>
      </c>
      <c r="Y44">
        <v>6.8963999999999999</v>
      </c>
      <c r="Z44">
        <v>6.9876000000000005</v>
      </c>
      <c r="AA44">
        <v>7.0788000000000002</v>
      </c>
      <c r="AD44">
        <v>7</v>
      </c>
      <c r="AE44">
        <v>0</v>
      </c>
      <c r="AF44">
        <v>0</v>
      </c>
      <c r="AG44">
        <v>1</v>
      </c>
      <c r="AH44">
        <v>0</v>
      </c>
      <c r="AI44">
        <v>0</v>
      </c>
      <c r="AJ44">
        <v>1</v>
      </c>
      <c r="AK44" t="s">
        <v>1213</v>
      </c>
      <c r="AL44" t="s">
        <v>6</v>
      </c>
      <c r="AM44" t="s">
        <v>1145</v>
      </c>
      <c r="AN44" t="s">
        <v>1146</v>
      </c>
      <c r="AO44" s="100">
        <v>46262.040405092594</v>
      </c>
      <c r="AP44" t="s">
        <v>1147</v>
      </c>
      <c r="AQ44" t="s">
        <v>1294</v>
      </c>
      <c r="AR44" t="s">
        <v>1228</v>
      </c>
      <c r="AS44" t="s">
        <v>1150</v>
      </c>
      <c r="AT44" t="s">
        <v>1151</v>
      </c>
      <c r="AU44">
        <v>25</v>
      </c>
      <c r="AV44">
        <v>6.8242840000000005</v>
      </c>
      <c r="AW44">
        <v>0.11267110203301166</v>
      </c>
      <c r="AX44">
        <v>1.6510318449966568</v>
      </c>
      <c r="AY44">
        <v>-1.8648146011737141</v>
      </c>
      <c r="AZ44">
        <v>4.5890171454181976</v>
      </c>
      <c r="BA44">
        <v>3.1102885231366839</v>
      </c>
      <c r="BB44" s="97" t="s">
        <v>161</v>
      </c>
      <c r="BD44" s="98"/>
      <c r="BE44" s="98"/>
      <c r="BF44" t="s">
        <v>1152</v>
      </c>
      <c r="BG44" t="s">
        <v>322</v>
      </c>
      <c r="BH44" t="s">
        <v>1153</v>
      </c>
      <c r="BI44">
        <v>1.8648146011737141</v>
      </c>
      <c r="BJ44" t="s">
        <v>1032</v>
      </c>
      <c r="BK44">
        <v>2.4109828545818024</v>
      </c>
      <c r="BL44">
        <v>34.442612208311459</v>
      </c>
      <c r="BM44" t="s">
        <v>1260</v>
      </c>
      <c r="BN44" t="s">
        <v>1154</v>
      </c>
      <c r="BO44">
        <v>2025</v>
      </c>
      <c r="BP44" t="s">
        <v>966</v>
      </c>
      <c r="BQ44">
        <v>230444.27981340454</v>
      </c>
      <c r="BR44">
        <v>76.955572018659552</v>
      </c>
      <c r="BS44" t="s">
        <v>992</v>
      </c>
      <c r="BV44" t="s">
        <v>1034</v>
      </c>
      <c r="BW44" t="s">
        <v>943</v>
      </c>
      <c r="BX44" t="s">
        <v>994</v>
      </c>
      <c r="BY44">
        <v>2.2373844984360725</v>
      </c>
      <c r="BZ44" t="s">
        <v>1155</v>
      </c>
      <c r="CA44" t="s">
        <v>991</v>
      </c>
      <c r="CB44" t="b">
        <v>1</v>
      </c>
      <c r="CC44" t="b">
        <v>1</v>
      </c>
      <c r="CD44" t="b">
        <v>1</v>
      </c>
      <c r="CE44" t="b">
        <v>1</v>
      </c>
      <c r="CF44" t="b">
        <v>1</v>
      </c>
    </row>
    <row r="45" spans="1:84" x14ac:dyDescent="0.3">
      <c r="A45" t="s">
        <v>1295</v>
      </c>
      <c r="B45" t="s">
        <v>1230</v>
      </c>
      <c r="C45" s="98">
        <v>45789</v>
      </c>
      <c r="D45">
        <v>2025</v>
      </c>
      <c r="E45">
        <v>5</v>
      </c>
      <c r="F45">
        <v>2</v>
      </c>
      <c r="G45" t="s">
        <v>1226</v>
      </c>
      <c r="H45" t="s">
        <v>122</v>
      </c>
      <c r="I45" t="s">
        <v>122</v>
      </c>
      <c r="J45" t="s">
        <v>6</v>
      </c>
      <c r="L45">
        <v>522611</v>
      </c>
      <c r="M45" s="99" t="s">
        <v>179</v>
      </c>
      <c r="N45">
        <v>2</v>
      </c>
      <c r="O45">
        <v>19</v>
      </c>
      <c r="P45">
        <v>6.8121</v>
      </c>
      <c r="Q45" t="s">
        <v>352</v>
      </c>
      <c r="R45">
        <v>1</v>
      </c>
      <c r="S45">
        <v>6.8052000000000001</v>
      </c>
      <c r="T45">
        <v>9.1200000000000003E-2</v>
      </c>
      <c r="U45">
        <v>7.5657894736841078E-2</v>
      </c>
      <c r="V45">
        <v>6.5316000000000001</v>
      </c>
      <c r="W45">
        <v>6.6227999999999998</v>
      </c>
      <c r="X45">
        <v>6.7140000000000004</v>
      </c>
      <c r="Y45">
        <v>6.8963999999999999</v>
      </c>
      <c r="Z45">
        <v>6.9876000000000005</v>
      </c>
      <c r="AA45">
        <v>7.0788000000000002</v>
      </c>
      <c r="AD45">
        <v>7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 t="s">
        <v>462</v>
      </c>
      <c r="AL45" t="s">
        <v>6</v>
      </c>
      <c r="AM45" t="s">
        <v>1145</v>
      </c>
      <c r="AN45" t="s">
        <v>1146</v>
      </c>
      <c r="AO45" s="100">
        <v>46262.040405092594</v>
      </c>
      <c r="AP45" t="s">
        <v>1147</v>
      </c>
      <c r="AQ45" t="s">
        <v>1296</v>
      </c>
      <c r="AR45" t="s">
        <v>1232</v>
      </c>
      <c r="AS45" t="s">
        <v>1150</v>
      </c>
      <c r="AT45" t="s">
        <v>1151</v>
      </c>
      <c r="AU45">
        <v>25</v>
      </c>
      <c r="AV45">
        <v>6.8242840000000005</v>
      </c>
      <c r="AW45">
        <v>0.11267110203301166</v>
      </c>
      <c r="AX45">
        <v>1.6510318449966568</v>
      </c>
      <c r="AY45">
        <v>-1.8648146011737141</v>
      </c>
      <c r="AZ45">
        <v>4.5890171454181976</v>
      </c>
      <c r="BA45">
        <v>3.1102885231366839</v>
      </c>
      <c r="BB45" s="97" t="s">
        <v>161</v>
      </c>
      <c r="BD45" s="98"/>
      <c r="BE45" s="98"/>
      <c r="BF45" t="s">
        <v>1152</v>
      </c>
      <c r="BG45" t="s">
        <v>322</v>
      </c>
      <c r="BH45" t="s">
        <v>1153</v>
      </c>
      <c r="BI45">
        <v>1.8648146011737141</v>
      </c>
      <c r="BJ45" t="s">
        <v>1032</v>
      </c>
      <c r="BK45">
        <v>2.4109828545818024</v>
      </c>
      <c r="BL45">
        <v>34.442612208311459</v>
      </c>
      <c r="BM45" t="s">
        <v>1260</v>
      </c>
      <c r="BN45" t="s">
        <v>1154</v>
      </c>
      <c r="BO45">
        <v>2025</v>
      </c>
      <c r="BP45" t="s">
        <v>966</v>
      </c>
      <c r="BQ45">
        <v>230444.27981340454</v>
      </c>
      <c r="BR45">
        <v>76.955572018659552</v>
      </c>
      <c r="BS45" t="s">
        <v>992</v>
      </c>
      <c r="BV45" t="s">
        <v>1034</v>
      </c>
      <c r="BW45" t="s">
        <v>943</v>
      </c>
      <c r="BX45" t="s">
        <v>994</v>
      </c>
      <c r="BY45">
        <v>2.2373844984360725</v>
      </c>
      <c r="BZ45" t="s">
        <v>1155</v>
      </c>
      <c r="CA45" t="s">
        <v>991</v>
      </c>
      <c r="CB45" t="b">
        <v>1</v>
      </c>
      <c r="CC45" t="b">
        <v>1</v>
      </c>
      <c r="CD45" t="b">
        <v>1</v>
      </c>
      <c r="CE45" t="b">
        <v>1</v>
      </c>
      <c r="CF45" t="b">
        <v>1</v>
      </c>
    </row>
    <row r="46" spans="1:84" x14ac:dyDescent="0.3">
      <c r="A46" t="s">
        <v>1297</v>
      </c>
      <c r="B46" t="s">
        <v>1234</v>
      </c>
      <c r="C46" s="98">
        <v>45796</v>
      </c>
      <c r="D46">
        <v>2025</v>
      </c>
      <c r="E46">
        <v>5</v>
      </c>
      <c r="F46">
        <v>2</v>
      </c>
      <c r="G46" t="s">
        <v>1226</v>
      </c>
      <c r="H46" t="s">
        <v>122</v>
      </c>
      <c r="I46" t="s">
        <v>122</v>
      </c>
      <c r="J46" t="s">
        <v>6</v>
      </c>
      <c r="L46">
        <v>522611</v>
      </c>
      <c r="M46" s="99" t="s">
        <v>179</v>
      </c>
      <c r="N46">
        <v>2</v>
      </c>
      <c r="O46">
        <v>20</v>
      </c>
      <c r="P46">
        <v>6.9291</v>
      </c>
      <c r="Q46" t="s">
        <v>352</v>
      </c>
      <c r="R46">
        <v>1</v>
      </c>
      <c r="S46">
        <v>6.8052000000000001</v>
      </c>
      <c r="T46">
        <v>9.1200000000000003E-2</v>
      </c>
      <c r="U46">
        <v>1.3585526315789462</v>
      </c>
      <c r="V46">
        <v>6.5316000000000001</v>
      </c>
      <c r="W46">
        <v>6.6227999999999998</v>
      </c>
      <c r="X46">
        <v>6.7140000000000004</v>
      </c>
      <c r="Y46">
        <v>6.8963999999999999</v>
      </c>
      <c r="Z46">
        <v>6.9876000000000005</v>
      </c>
      <c r="AA46">
        <v>7.0788000000000002</v>
      </c>
      <c r="AD46">
        <v>7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 t="s">
        <v>462</v>
      </c>
      <c r="AL46" t="s">
        <v>6</v>
      </c>
      <c r="AM46" t="s">
        <v>1145</v>
      </c>
      <c r="AN46" t="s">
        <v>1146</v>
      </c>
      <c r="AO46" s="100">
        <v>46262.040405092594</v>
      </c>
      <c r="AP46" t="s">
        <v>1147</v>
      </c>
      <c r="AQ46" t="s">
        <v>1298</v>
      </c>
      <c r="AR46" t="s">
        <v>1236</v>
      </c>
      <c r="AS46" t="s">
        <v>1150</v>
      </c>
      <c r="AT46" t="s">
        <v>1151</v>
      </c>
      <c r="AU46">
        <v>25</v>
      </c>
      <c r="AV46">
        <v>6.8242840000000005</v>
      </c>
      <c r="AW46">
        <v>0.11267110203301166</v>
      </c>
      <c r="AX46">
        <v>1.6510318449966568</v>
      </c>
      <c r="AY46">
        <v>-1.8648146011737141</v>
      </c>
      <c r="AZ46">
        <v>4.5890171454181976</v>
      </c>
      <c r="BA46">
        <v>3.1102885231366839</v>
      </c>
      <c r="BB46" s="97" t="s">
        <v>161</v>
      </c>
      <c r="BD46" s="98"/>
      <c r="BE46" s="98"/>
      <c r="BF46" t="s">
        <v>1152</v>
      </c>
      <c r="BG46" t="s">
        <v>322</v>
      </c>
      <c r="BH46" t="s">
        <v>1153</v>
      </c>
      <c r="BI46">
        <v>1.8648146011737141</v>
      </c>
      <c r="BJ46" t="s">
        <v>1032</v>
      </c>
      <c r="BK46">
        <v>2.4109828545818024</v>
      </c>
      <c r="BL46">
        <v>34.442612208311459</v>
      </c>
      <c r="BM46" t="s">
        <v>1260</v>
      </c>
      <c r="BN46" t="s">
        <v>1154</v>
      </c>
      <c r="BO46">
        <v>2025</v>
      </c>
      <c r="BP46" t="s">
        <v>966</v>
      </c>
      <c r="BQ46">
        <v>230444.27981340454</v>
      </c>
      <c r="BR46">
        <v>76.955572018659552</v>
      </c>
      <c r="BS46" t="s">
        <v>992</v>
      </c>
      <c r="BV46" t="s">
        <v>1034</v>
      </c>
      <c r="BW46" t="s">
        <v>943</v>
      </c>
      <c r="BX46" t="s">
        <v>994</v>
      </c>
      <c r="BY46">
        <v>2.2373844984360725</v>
      </c>
      <c r="BZ46" t="s">
        <v>1155</v>
      </c>
      <c r="CA46" t="s">
        <v>991</v>
      </c>
      <c r="CB46" t="b">
        <v>1</v>
      </c>
      <c r="CC46" t="b">
        <v>1</v>
      </c>
      <c r="CD46" t="b">
        <v>1</v>
      </c>
      <c r="CE46" t="b">
        <v>1</v>
      </c>
      <c r="CF46" t="b">
        <v>1</v>
      </c>
    </row>
    <row r="47" spans="1:84" x14ac:dyDescent="0.3">
      <c r="A47" t="s">
        <v>1299</v>
      </c>
      <c r="B47" t="s">
        <v>1238</v>
      </c>
      <c r="C47" s="98">
        <v>45803</v>
      </c>
      <c r="D47">
        <v>2025</v>
      </c>
      <c r="E47">
        <v>5</v>
      </c>
      <c r="F47">
        <v>2</v>
      </c>
      <c r="G47" t="s">
        <v>1226</v>
      </c>
      <c r="H47" t="s">
        <v>122</v>
      </c>
      <c r="I47" t="s">
        <v>122</v>
      </c>
      <c r="J47" t="s">
        <v>6</v>
      </c>
      <c r="L47">
        <v>522611</v>
      </c>
      <c r="M47" s="99" t="s">
        <v>179</v>
      </c>
      <c r="N47">
        <v>2</v>
      </c>
      <c r="O47">
        <v>21</v>
      </c>
      <c r="P47">
        <v>6.6641000000000004</v>
      </c>
      <c r="Q47" t="s">
        <v>352</v>
      </c>
      <c r="R47">
        <v>1</v>
      </c>
      <c r="S47">
        <v>6.8052000000000001</v>
      </c>
      <c r="T47">
        <v>9.1200000000000003E-2</v>
      </c>
      <c r="U47">
        <v>-1.5471491228070151</v>
      </c>
      <c r="V47">
        <v>6.5316000000000001</v>
      </c>
      <c r="W47">
        <v>6.6227999999999998</v>
      </c>
      <c r="X47">
        <v>6.7140000000000004</v>
      </c>
      <c r="Y47">
        <v>6.8963999999999999</v>
      </c>
      <c r="Z47">
        <v>6.9876000000000005</v>
      </c>
      <c r="AA47">
        <v>7.0788000000000002</v>
      </c>
      <c r="AD47">
        <v>7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 t="s">
        <v>462</v>
      </c>
      <c r="AL47" t="s">
        <v>6</v>
      </c>
      <c r="AM47" t="s">
        <v>1145</v>
      </c>
      <c r="AN47" t="s">
        <v>1146</v>
      </c>
      <c r="AO47" s="100">
        <v>46262.040405092594</v>
      </c>
      <c r="AP47" t="s">
        <v>1147</v>
      </c>
      <c r="AQ47" t="s">
        <v>1300</v>
      </c>
      <c r="AR47" t="s">
        <v>1240</v>
      </c>
      <c r="AS47" t="s">
        <v>1150</v>
      </c>
      <c r="AT47" t="s">
        <v>1151</v>
      </c>
      <c r="AU47">
        <v>25</v>
      </c>
      <c r="AV47">
        <v>6.8242840000000005</v>
      </c>
      <c r="AW47">
        <v>0.11267110203301166</v>
      </c>
      <c r="AX47">
        <v>1.6510318449966568</v>
      </c>
      <c r="AY47">
        <v>-1.8648146011737141</v>
      </c>
      <c r="AZ47">
        <v>4.5890171454181976</v>
      </c>
      <c r="BA47">
        <v>3.1102885231366839</v>
      </c>
      <c r="BB47" s="97" t="s">
        <v>161</v>
      </c>
      <c r="BD47" s="98"/>
      <c r="BE47" s="98"/>
      <c r="BF47" t="s">
        <v>1152</v>
      </c>
      <c r="BG47" t="s">
        <v>322</v>
      </c>
      <c r="BH47" t="s">
        <v>1153</v>
      </c>
      <c r="BI47">
        <v>1.8648146011737141</v>
      </c>
      <c r="BJ47" t="s">
        <v>1032</v>
      </c>
      <c r="BK47">
        <v>2.4109828545818024</v>
      </c>
      <c r="BL47">
        <v>34.442612208311459</v>
      </c>
      <c r="BM47" t="s">
        <v>1260</v>
      </c>
      <c r="BN47" t="s">
        <v>1154</v>
      </c>
      <c r="BO47">
        <v>2025</v>
      </c>
      <c r="BP47" t="s">
        <v>966</v>
      </c>
      <c r="BQ47">
        <v>230444.27981340454</v>
      </c>
      <c r="BR47">
        <v>76.955572018659552</v>
      </c>
      <c r="BS47" t="s">
        <v>992</v>
      </c>
      <c r="BV47" t="s">
        <v>1034</v>
      </c>
      <c r="BW47" t="s">
        <v>943</v>
      </c>
      <c r="BX47" t="s">
        <v>994</v>
      </c>
      <c r="BY47">
        <v>2.2373844984360725</v>
      </c>
      <c r="BZ47" t="s">
        <v>1155</v>
      </c>
      <c r="CA47" t="s">
        <v>991</v>
      </c>
      <c r="CB47" t="b">
        <v>1</v>
      </c>
      <c r="CC47" t="b">
        <v>1</v>
      </c>
      <c r="CD47" t="b">
        <v>1</v>
      </c>
      <c r="CE47" t="b">
        <v>1</v>
      </c>
      <c r="CF47" t="b">
        <v>1</v>
      </c>
    </row>
    <row r="48" spans="1:84" x14ac:dyDescent="0.3">
      <c r="A48" t="s">
        <v>1301</v>
      </c>
      <c r="B48" t="s">
        <v>1242</v>
      </c>
      <c r="C48" s="98">
        <v>45810</v>
      </c>
      <c r="D48">
        <v>2025</v>
      </c>
      <c r="E48">
        <v>6</v>
      </c>
      <c r="F48">
        <v>2</v>
      </c>
      <c r="G48" t="s">
        <v>1243</v>
      </c>
      <c r="H48" t="s">
        <v>122</v>
      </c>
      <c r="I48" t="s">
        <v>122</v>
      </c>
      <c r="J48" t="s">
        <v>6</v>
      </c>
      <c r="L48">
        <v>522611</v>
      </c>
      <c r="M48" s="99" t="s">
        <v>179</v>
      </c>
      <c r="N48">
        <v>2</v>
      </c>
      <c r="O48">
        <v>22</v>
      </c>
      <c r="P48">
        <v>6.8834999999999997</v>
      </c>
      <c r="Q48" t="s">
        <v>352</v>
      </c>
      <c r="R48">
        <v>1</v>
      </c>
      <c r="S48">
        <v>6.8052000000000001</v>
      </c>
      <c r="T48">
        <v>9.1200000000000003E-2</v>
      </c>
      <c r="U48">
        <v>0.8585526315789429</v>
      </c>
      <c r="V48">
        <v>6.5316000000000001</v>
      </c>
      <c r="W48">
        <v>6.6227999999999998</v>
      </c>
      <c r="X48">
        <v>6.7140000000000004</v>
      </c>
      <c r="Y48">
        <v>6.8963999999999999</v>
      </c>
      <c r="Z48">
        <v>6.9876000000000005</v>
      </c>
      <c r="AA48">
        <v>7.0788000000000002</v>
      </c>
      <c r="AD48">
        <v>7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 t="s">
        <v>462</v>
      </c>
      <c r="AL48" t="s">
        <v>6</v>
      </c>
      <c r="AM48" t="s">
        <v>1145</v>
      </c>
      <c r="AN48" t="s">
        <v>1146</v>
      </c>
      <c r="AO48" s="100">
        <v>46262.040405092594</v>
      </c>
      <c r="AP48" t="s">
        <v>1147</v>
      </c>
      <c r="AQ48" t="s">
        <v>1302</v>
      </c>
      <c r="AR48" t="s">
        <v>1245</v>
      </c>
      <c r="AS48" t="s">
        <v>1150</v>
      </c>
      <c r="AT48" t="s">
        <v>1151</v>
      </c>
      <c r="AU48">
        <v>25</v>
      </c>
      <c r="AV48">
        <v>6.8242840000000005</v>
      </c>
      <c r="AW48">
        <v>0.11267110203301166</v>
      </c>
      <c r="AX48">
        <v>1.6510318449966568</v>
      </c>
      <c r="AY48">
        <v>-1.8648146011737141</v>
      </c>
      <c r="AZ48">
        <v>4.5890171454181976</v>
      </c>
      <c r="BA48">
        <v>3.1102885231366839</v>
      </c>
      <c r="BB48" s="97" t="s">
        <v>161</v>
      </c>
      <c r="BD48" s="98"/>
      <c r="BE48" s="98"/>
      <c r="BF48" t="s">
        <v>1152</v>
      </c>
      <c r="BG48" t="s">
        <v>322</v>
      </c>
      <c r="BH48" t="s">
        <v>1153</v>
      </c>
      <c r="BI48">
        <v>1.8648146011737141</v>
      </c>
      <c r="BJ48" t="s">
        <v>1032</v>
      </c>
      <c r="BK48">
        <v>2.4109828545818024</v>
      </c>
      <c r="BL48">
        <v>34.442612208311459</v>
      </c>
      <c r="BM48" t="s">
        <v>1260</v>
      </c>
      <c r="BN48" t="s">
        <v>1154</v>
      </c>
      <c r="BO48">
        <v>2025</v>
      </c>
      <c r="BP48" t="s">
        <v>966</v>
      </c>
      <c r="BQ48">
        <v>230444.27981340454</v>
      </c>
      <c r="BR48">
        <v>76.955572018659552</v>
      </c>
      <c r="BS48" t="s">
        <v>992</v>
      </c>
      <c r="BV48" t="s">
        <v>1034</v>
      </c>
      <c r="BW48" t="s">
        <v>943</v>
      </c>
      <c r="BX48" t="s">
        <v>994</v>
      </c>
      <c r="BY48">
        <v>2.2373844984360725</v>
      </c>
      <c r="BZ48" t="s">
        <v>1155</v>
      </c>
      <c r="CA48" t="s">
        <v>991</v>
      </c>
      <c r="CB48" t="b">
        <v>1</v>
      </c>
      <c r="CC48" t="b">
        <v>1</v>
      </c>
      <c r="CD48" t="b">
        <v>1</v>
      </c>
      <c r="CE48" t="b">
        <v>1</v>
      </c>
      <c r="CF48" t="b">
        <v>1</v>
      </c>
    </row>
    <row r="49" spans="1:84" x14ac:dyDescent="0.3">
      <c r="A49" t="s">
        <v>1303</v>
      </c>
      <c r="B49" t="s">
        <v>1247</v>
      </c>
      <c r="C49" s="98">
        <v>45817</v>
      </c>
      <c r="D49">
        <v>2025</v>
      </c>
      <c r="E49">
        <v>6</v>
      </c>
      <c r="F49">
        <v>2</v>
      </c>
      <c r="G49" t="s">
        <v>1243</v>
      </c>
      <c r="H49" t="s">
        <v>122</v>
      </c>
      <c r="I49" t="s">
        <v>122</v>
      </c>
      <c r="J49" t="s">
        <v>6</v>
      </c>
      <c r="L49">
        <v>522611</v>
      </c>
      <c r="M49" s="99" t="s">
        <v>179</v>
      </c>
      <c r="N49">
        <v>2</v>
      </c>
      <c r="O49">
        <v>23</v>
      </c>
      <c r="P49">
        <v>6.8160999999999996</v>
      </c>
      <c r="Q49" t="s">
        <v>352</v>
      </c>
      <c r="R49">
        <v>1</v>
      </c>
      <c r="S49">
        <v>6.8052000000000001</v>
      </c>
      <c r="T49">
        <v>9.1200000000000003E-2</v>
      </c>
      <c r="U49">
        <v>0.11951754385964326</v>
      </c>
      <c r="V49">
        <v>6.5316000000000001</v>
      </c>
      <c r="W49">
        <v>6.6227999999999998</v>
      </c>
      <c r="X49">
        <v>6.7140000000000004</v>
      </c>
      <c r="Y49">
        <v>6.8963999999999999</v>
      </c>
      <c r="Z49">
        <v>6.9876000000000005</v>
      </c>
      <c r="AA49">
        <v>7.0788000000000002</v>
      </c>
      <c r="AD49">
        <v>7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 t="s">
        <v>462</v>
      </c>
      <c r="AL49" t="s">
        <v>6</v>
      </c>
      <c r="AM49" t="s">
        <v>1145</v>
      </c>
      <c r="AN49" t="s">
        <v>1146</v>
      </c>
      <c r="AO49" s="100">
        <v>46262.040405092594</v>
      </c>
      <c r="AP49" t="s">
        <v>1147</v>
      </c>
      <c r="AQ49" t="s">
        <v>1304</v>
      </c>
      <c r="AR49" t="s">
        <v>1249</v>
      </c>
      <c r="AS49" t="s">
        <v>1150</v>
      </c>
      <c r="AT49" t="s">
        <v>1151</v>
      </c>
      <c r="AU49">
        <v>25</v>
      </c>
      <c r="AV49">
        <v>6.8242840000000005</v>
      </c>
      <c r="AW49">
        <v>0.11267110203301166</v>
      </c>
      <c r="AX49">
        <v>1.6510318449966568</v>
      </c>
      <c r="AY49">
        <v>-1.8648146011737141</v>
      </c>
      <c r="AZ49">
        <v>4.5890171454181976</v>
      </c>
      <c r="BA49">
        <v>3.1102885231366839</v>
      </c>
      <c r="BB49" s="97" t="s">
        <v>161</v>
      </c>
      <c r="BD49" s="98"/>
      <c r="BE49" s="98"/>
      <c r="BF49" t="s">
        <v>1152</v>
      </c>
      <c r="BG49" t="s">
        <v>322</v>
      </c>
      <c r="BH49" t="s">
        <v>1153</v>
      </c>
      <c r="BI49">
        <v>1.8648146011737141</v>
      </c>
      <c r="BJ49" t="s">
        <v>1032</v>
      </c>
      <c r="BK49">
        <v>2.4109828545818024</v>
      </c>
      <c r="BL49">
        <v>34.442612208311459</v>
      </c>
      <c r="BM49" t="s">
        <v>1260</v>
      </c>
      <c r="BN49" t="s">
        <v>1154</v>
      </c>
      <c r="BO49">
        <v>2025</v>
      </c>
      <c r="BP49" t="s">
        <v>966</v>
      </c>
      <c r="BQ49">
        <v>230444.27981340454</v>
      </c>
      <c r="BR49">
        <v>76.955572018659552</v>
      </c>
      <c r="BS49" t="s">
        <v>992</v>
      </c>
      <c r="BV49" t="s">
        <v>1034</v>
      </c>
      <c r="BW49" t="s">
        <v>943</v>
      </c>
      <c r="BX49" t="s">
        <v>994</v>
      </c>
      <c r="BY49">
        <v>2.2373844984360725</v>
      </c>
      <c r="BZ49" t="s">
        <v>1155</v>
      </c>
      <c r="CA49" t="s">
        <v>991</v>
      </c>
      <c r="CB49" t="b">
        <v>1</v>
      </c>
      <c r="CC49" t="b">
        <v>1</v>
      </c>
      <c r="CD49" t="b">
        <v>1</v>
      </c>
      <c r="CE49" t="b">
        <v>1</v>
      </c>
      <c r="CF49" t="b">
        <v>1</v>
      </c>
    </row>
    <row r="50" spans="1:84" x14ac:dyDescent="0.3">
      <c r="A50" t="s">
        <v>1305</v>
      </c>
      <c r="B50" t="s">
        <v>1251</v>
      </c>
      <c r="C50" s="98">
        <v>45824</v>
      </c>
      <c r="D50">
        <v>2025</v>
      </c>
      <c r="E50">
        <v>6</v>
      </c>
      <c r="F50">
        <v>2</v>
      </c>
      <c r="G50" t="s">
        <v>1243</v>
      </c>
      <c r="H50" t="s">
        <v>122</v>
      </c>
      <c r="I50" t="s">
        <v>122</v>
      </c>
      <c r="J50" t="s">
        <v>6</v>
      </c>
      <c r="L50">
        <v>522611</v>
      </c>
      <c r="M50" s="99" t="s">
        <v>179</v>
      </c>
      <c r="N50">
        <v>2</v>
      </c>
      <c r="O50">
        <v>24</v>
      </c>
      <c r="P50">
        <v>6.7466999999999997</v>
      </c>
      <c r="Q50" t="s">
        <v>352</v>
      </c>
      <c r="R50">
        <v>1</v>
      </c>
      <c r="S50">
        <v>6.8052000000000001</v>
      </c>
      <c r="T50">
        <v>9.1200000000000003E-2</v>
      </c>
      <c r="U50">
        <v>-0.64144736842105743</v>
      </c>
      <c r="V50">
        <v>6.5316000000000001</v>
      </c>
      <c r="W50">
        <v>6.6227999999999998</v>
      </c>
      <c r="X50">
        <v>6.7140000000000004</v>
      </c>
      <c r="Y50">
        <v>6.8963999999999999</v>
      </c>
      <c r="Z50">
        <v>6.9876000000000005</v>
      </c>
      <c r="AA50">
        <v>7.0788000000000002</v>
      </c>
      <c r="AD50">
        <v>7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 t="s">
        <v>462</v>
      </c>
      <c r="AL50" t="s">
        <v>6</v>
      </c>
      <c r="AM50" t="s">
        <v>1145</v>
      </c>
      <c r="AN50" t="s">
        <v>1146</v>
      </c>
      <c r="AO50" s="100">
        <v>46262.040405092594</v>
      </c>
      <c r="AP50" t="s">
        <v>1147</v>
      </c>
      <c r="AQ50" t="s">
        <v>1306</v>
      </c>
      <c r="AR50" t="s">
        <v>1253</v>
      </c>
      <c r="AS50" t="s">
        <v>1150</v>
      </c>
      <c r="AT50" t="s">
        <v>1151</v>
      </c>
      <c r="AU50">
        <v>25</v>
      </c>
      <c r="AV50">
        <v>6.8242840000000005</v>
      </c>
      <c r="AW50">
        <v>0.11267110203301166</v>
      </c>
      <c r="AX50">
        <v>1.6510318449966568</v>
      </c>
      <c r="AY50">
        <v>-1.8648146011737141</v>
      </c>
      <c r="AZ50">
        <v>4.5890171454181976</v>
      </c>
      <c r="BA50">
        <v>3.1102885231366839</v>
      </c>
      <c r="BB50" s="97" t="s">
        <v>161</v>
      </c>
      <c r="BD50" s="98"/>
      <c r="BE50" s="98"/>
      <c r="BF50" t="s">
        <v>1152</v>
      </c>
      <c r="BG50" t="s">
        <v>322</v>
      </c>
      <c r="BH50" t="s">
        <v>1153</v>
      </c>
      <c r="BI50">
        <v>1.8648146011737141</v>
      </c>
      <c r="BJ50" t="s">
        <v>1032</v>
      </c>
      <c r="BK50">
        <v>2.4109828545818024</v>
      </c>
      <c r="BL50">
        <v>34.442612208311459</v>
      </c>
      <c r="BM50" t="s">
        <v>1260</v>
      </c>
      <c r="BN50" t="s">
        <v>1154</v>
      </c>
      <c r="BO50">
        <v>2025</v>
      </c>
      <c r="BP50" t="s">
        <v>966</v>
      </c>
      <c r="BQ50">
        <v>230444.27981340454</v>
      </c>
      <c r="BR50">
        <v>76.955572018659552</v>
      </c>
      <c r="BS50" t="s">
        <v>992</v>
      </c>
      <c r="BV50" t="s">
        <v>1034</v>
      </c>
      <c r="BW50" t="s">
        <v>943</v>
      </c>
      <c r="BX50" t="s">
        <v>994</v>
      </c>
      <c r="BY50">
        <v>2.2373844984360725</v>
      </c>
      <c r="BZ50" t="s">
        <v>1155</v>
      </c>
      <c r="CA50" t="s">
        <v>991</v>
      </c>
      <c r="CB50" t="b">
        <v>1</v>
      </c>
      <c r="CC50" t="b">
        <v>1</v>
      </c>
      <c r="CD50" t="b">
        <v>1</v>
      </c>
      <c r="CE50" t="b">
        <v>1</v>
      </c>
      <c r="CF50" t="b">
        <v>1</v>
      </c>
    </row>
    <row r="51" spans="1:84" x14ac:dyDescent="0.3">
      <c r="A51" t="s">
        <v>1307</v>
      </c>
      <c r="B51" t="s">
        <v>1255</v>
      </c>
      <c r="C51" s="98">
        <v>45831</v>
      </c>
      <c r="D51">
        <v>2025</v>
      </c>
      <c r="E51">
        <v>6</v>
      </c>
      <c r="F51">
        <v>2</v>
      </c>
      <c r="G51" t="s">
        <v>1243</v>
      </c>
      <c r="H51" t="s">
        <v>122</v>
      </c>
      <c r="I51" t="s">
        <v>122</v>
      </c>
      <c r="J51" t="s">
        <v>6</v>
      </c>
      <c r="L51">
        <v>522611</v>
      </c>
      <c r="M51" s="99" t="s">
        <v>179</v>
      </c>
      <c r="N51">
        <v>2</v>
      </c>
      <c r="O51">
        <v>25</v>
      </c>
      <c r="P51">
        <v>6.9874999999999998</v>
      </c>
      <c r="Q51" t="s">
        <v>352</v>
      </c>
      <c r="R51">
        <v>1</v>
      </c>
      <c r="S51">
        <v>6.8052000000000001</v>
      </c>
      <c r="T51">
        <v>9.1200000000000003E-2</v>
      </c>
      <c r="U51">
        <v>1.9989035087719262</v>
      </c>
      <c r="V51">
        <v>6.5316000000000001</v>
      </c>
      <c r="W51">
        <v>6.6227999999999998</v>
      </c>
      <c r="X51">
        <v>6.7140000000000004</v>
      </c>
      <c r="Y51">
        <v>6.8963999999999999</v>
      </c>
      <c r="Z51">
        <v>6.9876000000000005</v>
      </c>
      <c r="AA51">
        <v>7.0788000000000002</v>
      </c>
      <c r="AD51">
        <v>7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 t="s">
        <v>462</v>
      </c>
      <c r="AL51" t="s">
        <v>6</v>
      </c>
      <c r="AM51" t="s">
        <v>1145</v>
      </c>
      <c r="AN51" t="s">
        <v>1146</v>
      </c>
      <c r="AO51" s="100">
        <v>46262.040405092594</v>
      </c>
      <c r="AP51" t="s">
        <v>1147</v>
      </c>
      <c r="AQ51" t="s">
        <v>1308</v>
      </c>
      <c r="AR51" t="s">
        <v>1257</v>
      </c>
      <c r="AS51" t="s">
        <v>1150</v>
      </c>
      <c r="AT51" t="s">
        <v>1151</v>
      </c>
      <c r="AU51">
        <v>25</v>
      </c>
      <c r="AV51">
        <v>6.8242840000000005</v>
      </c>
      <c r="AW51">
        <v>0.11267110203301166</v>
      </c>
      <c r="AX51">
        <v>1.6510318449966568</v>
      </c>
      <c r="AY51">
        <v>-1.8648146011737141</v>
      </c>
      <c r="AZ51">
        <v>4.5890171454181976</v>
      </c>
      <c r="BA51">
        <v>3.1102885231366839</v>
      </c>
      <c r="BB51" s="97" t="s">
        <v>161</v>
      </c>
      <c r="BD51" s="98"/>
      <c r="BE51" s="98"/>
      <c r="BF51" t="s">
        <v>1152</v>
      </c>
      <c r="BG51" t="s">
        <v>322</v>
      </c>
      <c r="BH51" t="s">
        <v>1153</v>
      </c>
      <c r="BI51">
        <v>1.8648146011737141</v>
      </c>
      <c r="BJ51" t="s">
        <v>1032</v>
      </c>
      <c r="BK51">
        <v>2.4109828545818024</v>
      </c>
      <c r="BL51">
        <v>34.442612208311459</v>
      </c>
      <c r="BM51" t="s">
        <v>1260</v>
      </c>
      <c r="BN51" t="s">
        <v>1154</v>
      </c>
      <c r="BO51">
        <v>2025</v>
      </c>
      <c r="BP51" t="s">
        <v>966</v>
      </c>
      <c r="BQ51">
        <v>230444.27981340454</v>
      </c>
      <c r="BR51">
        <v>76.955572018659552</v>
      </c>
      <c r="BS51" t="s">
        <v>992</v>
      </c>
      <c r="BV51" t="s">
        <v>1034</v>
      </c>
      <c r="BW51" t="s">
        <v>943</v>
      </c>
      <c r="BX51" t="s">
        <v>994</v>
      </c>
      <c r="BY51">
        <v>2.2373844984360725</v>
      </c>
      <c r="BZ51" t="s">
        <v>1155</v>
      </c>
      <c r="CA51" t="s">
        <v>991</v>
      </c>
      <c r="CB51" t="b">
        <v>1</v>
      </c>
      <c r="CC51" t="b">
        <v>1</v>
      </c>
      <c r="CD51" t="b">
        <v>1</v>
      </c>
      <c r="CE51" t="b">
        <v>1</v>
      </c>
      <c r="CF51" t="b">
        <v>1</v>
      </c>
    </row>
    <row r="52" spans="1:84" x14ac:dyDescent="0.3">
      <c r="A52" t="s">
        <v>1309</v>
      </c>
      <c r="B52" t="s">
        <v>1143</v>
      </c>
      <c r="C52" s="98">
        <v>45663</v>
      </c>
      <c r="D52">
        <v>2025</v>
      </c>
      <c r="E52">
        <v>1</v>
      </c>
      <c r="F52">
        <v>1</v>
      </c>
      <c r="G52" t="s">
        <v>1144</v>
      </c>
      <c r="H52" t="s">
        <v>122</v>
      </c>
      <c r="I52" t="s">
        <v>122</v>
      </c>
      <c r="J52" t="s">
        <v>6</v>
      </c>
      <c r="L52">
        <v>522611</v>
      </c>
      <c r="M52" s="99" t="s">
        <v>180</v>
      </c>
      <c r="N52">
        <v>3</v>
      </c>
      <c r="O52">
        <v>1</v>
      </c>
      <c r="P52">
        <v>16.652799999999999</v>
      </c>
      <c r="Q52" t="s">
        <v>352</v>
      </c>
      <c r="R52">
        <v>1</v>
      </c>
      <c r="S52">
        <v>16.523800000000001</v>
      </c>
      <c r="T52">
        <v>0.16930000000000001</v>
      </c>
      <c r="U52">
        <v>0.76196101594800814</v>
      </c>
      <c r="V52">
        <v>16.015900000000002</v>
      </c>
      <c r="W52">
        <v>16.185200000000002</v>
      </c>
      <c r="X52">
        <v>16.354500000000002</v>
      </c>
      <c r="Y52">
        <v>16.693100000000001</v>
      </c>
      <c r="Z52">
        <v>16.862400000000001</v>
      </c>
      <c r="AA52">
        <v>17.031700000000001</v>
      </c>
      <c r="AD52">
        <v>7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 t="s">
        <v>462</v>
      </c>
      <c r="AL52" t="s">
        <v>6</v>
      </c>
      <c r="AM52" t="s">
        <v>1145</v>
      </c>
      <c r="AN52" t="s">
        <v>1146</v>
      </c>
      <c r="AO52" s="100">
        <v>46262.040405092594</v>
      </c>
      <c r="AP52" t="s">
        <v>1147</v>
      </c>
      <c r="AQ52" t="s">
        <v>1310</v>
      </c>
      <c r="AR52" t="s">
        <v>1149</v>
      </c>
      <c r="AS52" t="s">
        <v>1150</v>
      </c>
      <c r="AT52" t="s">
        <v>1151</v>
      </c>
      <c r="AU52">
        <v>25</v>
      </c>
      <c r="AV52">
        <v>16.518732000000004</v>
      </c>
      <c r="AW52">
        <v>0.14884634056637064</v>
      </c>
      <c r="AX52">
        <v>0.90107606665191131</v>
      </c>
      <c r="AY52">
        <v>-1.8648146011737141</v>
      </c>
      <c r="AZ52">
        <v>3.3515901111493678</v>
      </c>
      <c r="BA52">
        <v>5.6989477235888293</v>
      </c>
      <c r="BB52" s="97" t="s">
        <v>161</v>
      </c>
      <c r="BD52" s="98"/>
      <c r="BE52" s="98"/>
      <c r="BF52" t="s">
        <v>1152</v>
      </c>
      <c r="BG52" t="s">
        <v>322</v>
      </c>
      <c r="BH52" t="s">
        <v>1153</v>
      </c>
      <c r="BI52">
        <v>1.8648146011737141</v>
      </c>
      <c r="BJ52" t="s">
        <v>987</v>
      </c>
      <c r="BK52">
        <v>3.6484098888506322</v>
      </c>
      <c r="BL52">
        <v>52.120141269294749</v>
      </c>
      <c r="BM52" t="s">
        <v>1260</v>
      </c>
      <c r="BN52" t="s">
        <v>1154</v>
      </c>
      <c r="BO52">
        <v>2025</v>
      </c>
      <c r="BP52" t="s">
        <v>966</v>
      </c>
      <c r="BQ52">
        <v>230444.27981340454</v>
      </c>
      <c r="BR52">
        <v>76.955572018659552</v>
      </c>
      <c r="BS52" t="s">
        <v>992</v>
      </c>
      <c r="BV52" t="s">
        <v>1034</v>
      </c>
      <c r="BW52" t="s">
        <v>943</v>
      </c>
      <c r="BX52" t="s">
        <v>994</v>
      </c>
      <c r="BY52">
        <v>2.2373844984360725</v>
      </c>
      <c r="BZ52" t="s">
        <v>1155</v>
      </c>
      <c r="CA52" t="s">
        <v>991</v>
      </c>
      <c r="CB52" t="b">
        <v>1</v>
      </c>
      <c r="CC52" t="b">
        <v>1</v>
      </c>
      <c r="CD52" t="b">
        <v>1</v>
      </c>
      <c r="CE52" t="b">
        <v>1</v>
      </c>
      <c r="CF52" t="b">
        <v>1</v>
      </c>
    </row>
    <row r="53" spans="1:84" x14ac:dyDescent="0.3">
      <c r="A53" t="s">
        <v>1311</v>
      </c>
      <c r="B53" t="s">
        <v>1157</v>
      </c>
      <c r="C53" s="98">
        <v>45670</v>
      </c>
      <c r="D53">
        <v>2025</v>
      </c>
      <c r="E53">
        <v>1</v>
      </c>
      <c r="F53">
        <v>1</v>
      </c>
      <c r="G53" t="s">
        <v>1144</v>
      </c>
      <c r="H53" t="s">
        <v>122</v>
      </c>
      <c r="I53" t="s">
        <v>122</v>
      </c>
      <c r="J53" t="s">
        <v>6</v>
      </c>
      <c r="L53">
        <v>522611</v>
      </c>
      <c r="M53" s="99" t="s">
        <v>180</v>
      </c>
      <c r="N53">
        <v>3</v>
      </c>
      <c r="O53">
        <v>2</v>
      </c>
      <c r="P53">
        <v>16.320799999999998</v>
      </c>
      <c r="Q53" t="s">
        <v>352</v>
      </c>
      <c r="R53">
        <v>1</v>
      </c>
      <c r="S53">
        <v>16.523800000000001</v>
      </c>
      <c r="T53">
        <v>0.16930000000000001</v>
      </c>
      <c r="U53">
        <v>-1.1990549320732602</v>
      </c>
      <c r="V53">
        <v>16.015900000000002</v>
      </c>
      <c r="W53">
        <v>16.185200000000002</v>
      </c>
      <c r="X53">
        <v>16.354500000000002</v>
      </c>
      <c r="Y53">
        <v>16.693100000000001</v>
      </c>
      <c r="Z53">
        <v>16.862400000000001</v>
      </c>
      <c r="AA53">
        <v>17.031700000000001</v>
      </c>
      <c r="AD53">
        <v>7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 t="s">
        <v>462</v>
      </c>
      <c r="AL53" t="s">
        <v>6</v>
      </c>
      <c r="AM53" t="s">
        <v>1145</v>
      </c>
      <c r="AN53" t="s">
        <v>1146</v>
      </c>
      <c r="AO53" s="100">
        <v>46262.040405092594</v>
      </c>
      <c r="AP53" t="s">
        <v>1147</v>
      </c>
      <c r="AQ53" t="s">
        <v>1312</v>
      </c>
      <c r="AR53" t="s">
        <v>1159</v>
      </c>
      <c r="AS53" t="s">
        <v>1150</v>
      </c>
      <c r="AT53" t="s">
        <v>1151</v>
      </c>
      <c r="AU53">
        <v>25</v>
      </c>
      <c r="AV53">
        <v>16.518732000000004</v>
      </c>
      <c r="AW53">
        <v>0.14884634056637064</v>
      </c>
      <c r="AX53">
        <v>0.90107606665191131</v>
      </c>
      <c r="AY53">
        <v>-1.8648146011737141</v>
      </c>
      <c r="AZ53">
        <v>3.3515901111493678</v>
      </c>
      <c r="BA53">
        <v>5.6989477235888293</v>
      </c>
      <c r="BB53" s="97" t="s">
        <v>161</v>
      </c>
      <c r="BD53" s="98"/>
      <c r="BE53" s="98"/>
      <c r="BF53" t="s">
        <v>1152</v>
      </c>
      <c r="BG53" t="s">
        <v>322</v>
      </c>
      <c r="BH53" t="s">
        <v>1153</v>
      </c>
      <c r="BI53">
        <v>1.8648146011737141</v>
      </c>
      <c r="BJ53" t="s">
        <v>987</v>
      </c>
      <c r="BK53">
        <v>3.6484098888506322</v>
      </c>
      <c r="BL53">
        <v>52.120141269294749</v>
      </c>
      <c r="BM53" t="s">
        <v>1260</v>
      </c>
      <c r="BN53" t="s">
        <v>1154</v>
      </c>
      <c r="BO53">
        <v>2025</v>
      </c>
      <c r="BP53" t="s">
        <v>966</v>
      </c>
      <c r="BQ53">
        <v>230444.27981340454</v>
      </c>
      <c r="BR53">
        <v>76.955572018659552</v>
      </c>
      <c r="BS53" t="s">
        <v>992</v>
      </c>
      <c r="BV53" t="s">
        <v>1034</v>
      </c>
      <c r="BW53" t="s">
        <v>943</v>
      </c>
      <c r="BX53" t="s">
        <v>994</v>
      </c>
      <c r="BY53">
        <v>2.2373844984360725</v>
      </c>
      <c r="BZ53" t="s">
        <v>1155</v>
      </c>
      <c r="CA53" t="s">
        <v>991</v>
      </c>
      <c r="CB53" t="b">
        <v>1</v>
      </c>
      <c r="CC53" t="b">
        <v>1</v>
      </c>
      <c r="CD53" t="b">
        <v>1</v>
      </c>
      <c r="CE53" t="b">
        <v>1</v>
      </c>
      <c r="CF53" t="b">
        <v>1</v>
      </c>
    </row>
    <row r="54" spans="1:84" x14ac:dyDescent="0.3">
      <c r="A54" t="s">
        <v>1313</v>
      </c>
      <c r="B54" t="s">
        <v>1161</v>
      </c>
      <c r="C54" s="98">
        <v>45677</v>
      </c>
      <c r="D54">
        <v>2025</v>
      </c>
      <c r="E54">
        <v>1</v>
      </c>
      <c r="F54">
        <v>1</v>
      </c>
      <c r="G54" t="s">
        <v>1144</v>
      </c>
      <c r="H54" t="s">
        <v>122</v>
      </c>
      <c r="I54" t="s">
        <v>122</v>
      </c>
      <c r="J54" t="s">
        <v>6</v>
      </c>
      <c r="L54">
        <v>522611</v>
      </c>
      <c r="M54" s="99" t="s">
        <v>180</v>
      </c>
      <c r="N54">
        <v>3</v>
      </c>
      <c r="O54">
        <v>3</v>
      </c>
      <c r="P54">
        <v>16.5364</v>
      </c>
      <c r="Q54" t="s">
        <v>352</v>
      </c>
      <c r="R54">
        <v>1</v>
      </c>
      <c r="S54">
        <v>16.523800000000001</v>
      </c>
      <c r="T54">
        <v>0.16930000000000001</v>
      </c>
      <c r="U54">
        <v>7.4424099232126728E-2</v>
      </c>
      <c r="V54">
        <v>16.015900000000002</v>
      </c>
      <c r="W54">
        <v>16.185200000000002</v>
      </c>
      <c r="X54">
        <v>16.354500000000002</v>
      </c>
      <c r="Y54">
        <v>16.693100000000001</v>
      </c>
      <c r="Z54">
        <v>16.862400000000001</v>
      </c>
      <c r="AA54">
        <v>17.031700000000001</v>
      </c>
      <c r="AD54">
        <v>7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 t="s">
        <v>462</v>
      </c>
      <c r="AL54" t="s">
        <v>6</v>
      </c>
      <c r="AM54" t="s">
        <v>1145</v>
      </c>
      <c r="AN54" t="s">
        <v>1146</v>
      </c>
      <c r="AO54" s="100">
        <v>46262.040405092594</v>
      </c>
      <c r="AP54" t="s">
        <v>1147</v>
      </c>
      <c r="AQ54" t="s">
        <v>1314</v>
      </c>
      <c r="AR54" t="s">
        <v>1163</v>
      </c>
      <c r="AS54" t="s">
        <v>1150</v>
      </c>
      <c r="AT54" t="s">
        <v>1151</v>
      </c>
      <c r="AU54">
        <v>25</v>
      </c>
      <c r="AV54">
        <v>16.518732000000004</v>
      </c>
      <c r="AW54">
        <v>0.14884634056637064</v>
      </c>
      <c r="AX54">
        <v>0.90107606665191131</v>
      </c>
      <c r="AY54">
        <v>-1.8648146011737141</v>
      </c>
      <c r="AZ54">
        <v>3.3515901111493678</v>
      </c>
      <c r="BA54">
        <v>5.6989477235888293</v>
      </c>
      <c r="BB54" s="97" t="s">
        <v>161</v>
      </c>
      <c r="BD54" s="98"/>
      <c r="BE54" s="98"/>
      <c r="BF54" t="s">
        <v>1152</v>
      </c>
      <c r="BG54" t="s">
        <v>322</v>
      </c>
      <c r="BH54" t="s">
        <v>1153</v>
      </c>
      <c r="BI54">
        <v>1.8648146011737141</v>
      </c>
      <c r="BJ54" t="s">
        <v>987</v>
      </c>
      <c r="BK54">
        <v>3.6484098888506322</v>
      </c>
      <c r="BL54">
        <v>52.120141269294749</v>
      </c>
      <c r="BM54" t="s">
        <v>1260</v>
      </c>
      <c r="BN54" t="s">
        <v>1154</v>
      </c>
      <c r="BO54">
        <v>2025</v>
      </c>
      <c r="BP54" t="s">
        <v>966</v>
      </c>
      <c r="BQ54">
        <v>230444.27981340454</v>
      </c>
      <c r="BR54">
        <v>76.955572018659552</v>
      </c>
      <c r="BS54" t="s">
        <v>992</v>
      </c>
      <c r="BV54" t="s">
        <v>1034</v>
      </c>
      <c r="BW54" t="s">
        <v>943</v>
      </c>
      <c r="BX54" t="s">
        <v>994</v>
      </c>
      <c r="BY54">
        <v>2.2373844984360725</v>
      </c>
      <c r="BZ54" t="s">
        <v>1155</v>
      </c>
      <c r="CA54" t="s">
        <v>991</v>
      </c>
      <c r="CB54" t="b">
        <v>1</v>
      </c>
      <c r="CC54" t="b">
        <v>1</v>
      </c>
      <c r="CD54" t="b">
        <v>1</v>
      </c>
      <c r="CE54" t="b">
        <v>1</v>
      </c>
      <c r="CF54" t="b">
        <v>1</v>
      </c>
    </row>
    <row r="55" spans="1:84" x14ac:dyDescent="0.3">
      <c r="A55" t="s">
        <v>1315</v>
      </c>
      <c r="B55" t="s">
        <v>1165</v>
      </c>
      <c r="C55" s="98">
        <v>45684</v>
      </c>
      <c r="D55">
        <v>2025</v>
      </c>
      <c r="E55">
        <v>1</v>
      </c>
      <c r="F55">
        <v>1</v>
      </c>
      <c r="G55" t="s">
        <v>1144</v>
      </c>
      <c r="H55" t="s">
        <v>122</v>
      </c>
      <c r="I55" t="s">
        <v>122</v>
      </c>
      <c r="J55" t="s">
        <v>6</v>
      </c>
      <c r="L55">
        <v>522611</v>
      </c>
      <c r="M55" s="99" t="s">
        <v>180</v>
      </c>
      <c r="N55">
        <v>3</v>
      </c>
      <c r="O55">
        <v>4</v>
      </c>
      <c r="P55">
        <v>16.621400000000001</v>
      </c>
      <c r="Q55" t="s">
        <v>352</v>
      </c>
      <c r="R55">
        <v>1</v>
      </c>
      <c r="S55">
        <v>16.523800000000001</v>
      </c>
      <c r="T55">
        <v>0.16930000000000001</v>
      </c>
      <c r="U55">
        <v>0.57649143532191316</v>
      </c>
      <c r="V55">
        <v>16.015900000000002</v>
      </c>
      <c r="W55">
        <v>16.185200000000002</v>
      </c>
      <c r="X55">
        <v>16.354500000000002</v>
      </c>
      <c r="Y55">
        <v>16.693100000000001</v>
      </c>
      <c r="Z55">
        <v>16.862400000000001</v>
      </c>
      <c r="AA55">
        <v>17.031700000000001</v>
      </c>
      <c r="AD55">
        <v>7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 t="s">
        <v>462</v>
      </c>
      <c r="AL55" t="s">
        <v>6</v>
      </c>
      <c r="AM55" t="s">
        <v>1145</v>
      </c>
      <c r="AN55" t="s">
        <v>1146</v>
      </c>
      <c r="AO55" s="100">
        <v>46262.040405092594</v>
      </c>
      <c r="AP55" t="s">
        <v>1147</v>
      </c>
      <c r="AQ55" t="s">
        <v>1316</v>
      </c>
      <c r="AR55" t="s">
        <v>1167</v>
      </c>
      <c r="AS55" t="s">
        <v>1150</v>
      </c>
      <c r="AT55" t="s">
        <v>1151</v>
      </c>
      <c r="AU55">
        <v>25</v>
      </c>
      <c r="AV55">
        <v>16.518732000000004</v>
      </c>
      <c r="AW55">
        <v>0.14884634056637064</v>
      </c>
      <c r="AX55">
        <v>0.90107606665191131</v>
      </c>
      <c r="AY55">
        <v>-1.8648146011737141</v>
      </c>
      <c r="AZ55">
        <v>3.3515901111493678</v>
      </c>
      <c r="BA55">
        <v>5.6989477235888293</v>
      </c>
      <c r="BB55" s="97" t="s">
        <v>161</v>
      </c>
      <c r="BD55" s="98"/>
      <c r="BE55" s="98"/>
      <c r="BF55" t="s">
        <v>1152</v>
      </c>
      <c r="BG55" t="s">
        <v>322</v>
      </c>
      <c r="BH55" t="s">
        <v>1153</v>
      </c>
      <c r="BI55">
        <v>1.8648146011737141</v>
      </c>
      <c r="BJ55" t="s">
        <v>987</v>
      </c>
      <c r="BK55">
        <v>3.6484098888506322</v>
      </c>
      <c r="BL55">
        <v>52.120141269294749</v>
      </c>
      <c r="BM55" t="s">
        <v>1260</v>
      </c>
      <c r="BN55" t="s">
        <v>1154</v>
      </c>
      <c r="BO55">
        <v>2025</v>
      </c>
      <c r="BP55" t="s">
        <v>966</v>
      </c>
      <c r="BQ55">
        <v>230444.27981340454</v>
      </c>
      <c r="BR55">
        <v>76.955572018659552</v>
      </c>
      <c r="BS55" t="s">
        <v>992</v>
      </c>
      <c r="BV55" t="s">
        <v>1034</v>
      </c>
      <c r="BW55" t="s">
        <v>943</v>
      </c>
      <c r="BX55" t="s">
        <v>994</v>
      </c>
      <c r="BY55">
        <v>2.2373844984360725</v>
      </c>
      <c r="BZ55" t="s">
        <v>1155</v>
      </c>
      <c r="CA55" t="s">
        <v>991</v>
      </c>
      <c r="CB55" t="b">
        <v>1</v>
      </c>
      <c r="CC55" t="b">
        <v>1</v>
      </c>
      <c r="CD55" t="b">
        <v>1</v>
      </c>
      <c r="CE55" t="b">
        <v>1</v>
      </c>
      <c r="CF55" t="b">
        <v>1</v>
      </c>
    </row>
    <row r="56" spans="1:84" x14ac:dyDescent="0.3">
      <c r="A56" t="s">
        <v>1317</v>
      </c>
      <c r="B56" t="s">
        <v>1169</v>
      </c>
      <c r="C56" s="98">
        <v>45691</v>
      </c>
      <c r="D56">
        <v>2025</v>
      </c>
      <c r="E56">
        <v>2</v>
      </c>
      <c r="F56">
        <v>1</v>
      </c>
      <c r="G56" t="s">
        <v>1170</v>
      </c>
      <c r="H56" t="s">
        <v>122</v>
      </c>
      <c r="I56" t="s">
        <v>122</v>
      </c>
      <c r="J56" t="s">
        <v>6</v>
      </c>
      <c r="L56">
        <v>522611</v>
      </c>
      <c r="M56" s="99" t="s">
        <v>180</v>
      </c>
      <c r="N56">
        <v>3</v>
      </c>
      <c r="O56">
        <v>5</v>
      </c>
      <c r="P56">
        <v>16.491800000000001</v>
      </c>
      <c r="Q56" t="s">
        <v>352</v>
      </c>
      <c r="R56">
        <v>1</v>
      </c>
      <c r="S56">
        <v>16.523800000000001</v>
      </c>
      <c r="T56">
        <v>0.16930000000000001</v>
      </c>
      <c r="U56">
        <v>-0.1890135853514473</v>
      </c>
      <c r="V56">
        <v>16.015900000000002</v>
      </c>
      <c r="W56">
        <v>16.185200000000002</v>
      </c>
      <c r="X56">
        <v>16.354500000000002</v>
      </c>
      <c r="Y56">
        <v>16.693100000000001</v>
      </c>
      <c r="Z56">
        <v>16.862400000000001</v>
      </c>
      <c r="AA56">
        <v>17.031700000000001</v>
      </c>
      <c r="AD56">
        <v>7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 t="s">
        <v>462</v>
      </c>
      <c r="AL56" t="s">
        <v>6</v>
      </c>
      <c r="AM56" t="s">
        <v>1145</v>
      </c>
      <c r="AN56" t="s">
        <v>1146</v>
      </c>
      <c r="AO56" s="100">
        <v>46262.040405092594</v>
      </c>
      <c r="AP56" t="s">
        <v>1147</v>
      </c>
      <c r="AQ56" t="s">
        <v>1318</v>
      </c>
      <c r="AR56" t="s">
        <v>1172</v>
      </c>
      <c r="AS56" t="s">
        <v>1150</v>
      </c>
      <c r="AT56" t="s">
        <v>1151</v>
      </c>
      <c r="AU56">
        <v>25</v>
      </c>
      <c r="AV56">
        <v>16.518732000000004</v>
      </c>
      <c r="AW56">
        <v>0.14884634056637064</v>
      </c>
      <c r="AX56">
        <v>0.90107606665191131</v>
      </c>
      <c r="AY56">
        <v>-1.8648146011737141</v>
      </c>
      <c r="AZ56">
        <v>3.3515901111493678</v>
      </c>
      <c r="BA56">
        <v>5.6989477235888293</v>
      </c>
      <c r="BB56" s="97" t="s">
        <v>161</v>
      </c>
      <c r="BD56" s="98"/>
      <c r="BE56" s="98"/>
      <c r="BF56" t="s">
        <v>1152</v>
      </c>
      <c r="BG56" t="s">
        <v>322</v>
      </c>
      <c r="BH56" t="s">
        <v>1153</v>
      </c>
      <c r="BI56">
        <v>1.8648146011737141</v>
      </c>
      <c r="BJ56" t="s">
        <v>987</v>
      </c>
      <c r="BK56">
        <v>3.6484098888506322</v>
      </c>
      <c r="BL56">
        <v>52.120141269294749</v>
      </c>
      <c r="BM56" t="s">
        <v>1260</v>
      </c>
      <c r="BN56" t="s">
        <v>1154</v>
      </c>
      <c r="BO56">
        <v>2025</v>
      </c>
      <c r="BP56" t="s">
        <v>966</v>
      </c>
      <c r="BQ56">
        <v>230444.27981340454</v>
      </c>
      <c r="BR56">
        <v>76.955572018659552</v>
      </c>
      <c r="BS56" t="s">
        <v>992</v>
      </c>
      <c r="BV56" t="s">
        <v>1034</v>
      </c>
      <c r="BW56" t="s">
        <v>943</v>
      </c>
      <c r="BX56" t="s">
        <v>994</v>
      </c>
      <c r="BY56">
        <v>2.2373844984360725</v>
      </c>
      <c r="BZ56" t="s">
        <v>1155</v>
      </c>
      <c r="CA56" t="s">
        <v>991</v>
      </c>
      <c r="CB56" t="b">
        <v>1</v>
      </c>
      <c r="CC56" t="b">
        <v>1</v>
      </c>
      <c r="CD56" t="b">
        <v>1</v>
      </c>
      <c r="CE56" t="b">
        <v>1</v>
      </c>
      <c r="CF56" t="b">
        <v>1</v>
      </c>
    </row>
    <row r="57" spans="1:84" x14ac:dyDescent="0.3">
      <c r="A57" t="s">
        <v>1319</v>
      </c>
      <c r="B57" t="s">
        <v>1174</v>
      </c>
      <c r="C57" s="98">
        <v>45698</v>
      </c>
      <c r="D57">
        <v>2025</v>
      </c>
      <c r="E57">
        <v>2</v>
      </c>
      <c r="F57">
        <v>1</v>
      </c>
      <c r="G57" t="s">
        <v>1170</v>
      </c>
      <c r="H57" t="s">
        <v>122</v>
      </c>
      <c r="I57" t="s">
        <v>122</v>
      </c>
      <c r="J57" t="s">
        <v>6</v>
      </c>
      <c r="L57">
        <v>522611</v>
      </c>
      <c r="M57" s="99" t="s">
        <v>180</v>
      </c>
      <c r="N57">
        <v>3</v>
      </c>
      <c r="O57">
        <v>6</v>
      </c>
      <c r="P57">
        <v>16.639399999999998</v>
      </c>
      <c r="Q57" t="s">
        <v>352</v>
      </c>
      <c r="R57">
        <v>1</v>
      </c>
      <c r="S57">
        <v>16.523800000000001</v>
      </c>
      <c r="T57">
        <v>0.16930000000000001</v>
      </c>
      <c r="U57">
        <v>0.68281157708208529</v>
      </c>
      <c r="V57">
        <v>16.015900000000002</v>
      </c>
      <c r="W57">
        <v>16.185200000000002</v>
      </c>
      <c r="X57">
        <v>16.354500000000002</v>
      </c>
      <c r="Y57">
        <v>16.693100000000001</v>
      </c>
      <c r="Z57">
        <v>16.862400000000001</v>
      </c>
      <c r="AA57">
        <v>17.031700000000001</v>
      </c>
      <c r="AD57">
        <v>7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 t="s">
        <v>462</v>
      </c>
      <c r="AL57" t="s">
        <v>6</v>
      </c>
      <c r="AM57" t="s">
        <v>1145</v>
      </c>
      <c r="AN57" t="s">
        <v>1146</v>
      </c>
      <c r="AO57" s="100">
        <v>46262.040405092594</v>
      </c>
      <c r="AP57" t="s">
        <v>1147</v>
      </c>
      <c r="AQ57" t="s">
        <v>1320</v>
      </c>
      <c r="AR57" t="s">
        <v>1176</v>
      </c>
      <c r="AS57" t="s">
        <v>1150</v>
      </c>
      <c r="AT57" t="s">
        <v>1151</v>
      </c>
      <c r="AU57">
        <v>25</v>
      </c>
      <c r="AV57">
        <v>16.518732000000004</v>
      </c>
      <c r="AW57">
        <v>0.14884634056637064</v>
      </c>
      <c r="AX57">
        <v>0.90107606665191131</v>
      </c>
      <c r="AY57">
        <v>-1.8648146011737141</v>
      </c>
      <c r="AZ57">
        <v>3.3515901111493678</v>
      </c>
      <c r="BA57">
        <v>5.6989477235888293</v>
      </c>
      <c r="BB57" s="97" t="s">
        <v>161</v>
      </c>
      <c r="BD57" s="98"/>
      <c r="BE57" s="98"/>
      <c r="BF57" t="s">
        <v>1152</v>
      </c>
      <c r="BG57" t="s">
        <v>322</v>
      </c>
      <c r="BH57" t="s">
        <v>1153</v>
      </c>
      <c r="BI57">
        <v>1.8648146011737141</v>
      </c>
      <c r="BJ57" t="s">
        <v>987</v>
      </c>
      <c r="BK57">
        <v>3.6484098888506322</v>
      </c>
      <c r="BL57">
        <v>52.120141269294749</v>
      </c>
      <c r="BM57" t="s">
        <v>1260</v>
      </c>
      <c r="BN57" t="s">
        <v>1154</v>
      </c>
      <c r="BO57">
        <v>2025</v>
      </c>
      <c r="BP57" t="s">
        <v>966</v>
      </c>
      <c r="BQ57">
        <v>230444.27981340454</v>
      </c>
      <c r="BR57">
        <v>76.955572018659552</v>
      </c>
      <c r="BS57" t="s">
        <v>992</v>
      </c>
      <c r="BV57" t="s">
        <v>1034</v>
      </c>
      <c r="BW57" t="s">
        <v>943</v>
      </c>
      <c r="BX57" t="s">
        <v>994</v>
      </c>
      <c r="BY57">
        <v>2.2373844984360725</v>
      </c>
      <c r="BZ57" t="s">
        <v>1155</v>
      </c>
      <c r="CA57" t="s">
        <v>991</v>
      </c>
      <c r="CB57" t="b">
        <v>1</v>
      </c>
      <c r="CC57" t="b">
        <v>1</v>
      </c>
      <c r="CD57" t="b">
        <v>1</v>
      </c>
      <c r="CE57" t="b">
        <v>1</v>
      </c>
      <c r="CF57" t="b">
        <v>1</v>
      </c>
    </row>
    <row r="58" spans="1:84" x14ac:dyDescent="0.3">
      <c r="A58" t="s">
        <v>1321</v>
      </c>
      <c r="B58" t="s">
        <v>1178</v>
      </c>
      <c r="C58" s="98">
        <v>45705</v>
      </c>
      <c r="D58">
        <v>2025</v>
      </c>
      <c r="E58">
        <v>2</v>
      </c>
      <c r="F58">
        <v>1</v>
      </c>
      <c r="G58" t="s">
        <v>1170</v>
      </c>
      <c r="H58" t="s">
        <v>122</v>
      </c>
      <c r="I58" t="s">
        <v>122</v>
      </c>
      <c r="J58" t="s">
        <v>6</v>
      </c>
      <c r="L58">
        <v>522611</v>
      </c>
      <c r="M58" s="99" t="s">
        <v>180</v>
      </c>
      <c r="N58">
        <v>3</v>
      </c>
      <c r="O58">
        <v>7</v>
      </c>
      <c r="P58">
        <v>16.512499999999999</v>
      </c>
      <c r="Q58" t="s">
        <v>352</v>
      </c>
      <c r="R58">
        <v>1</v>
      </c>
      <c r="S58">
        <v>16.523800000000001</v>
      </c>
      <c r="T58">
        <v>0.16930000000000001</v>
      </c>
      <c r="U58">
        <v>-6.6745422327242093E-2</v>
      </c>
      <c r="V58">
        <v>16.015900000000002</v>
      </c>
      <c r="W58">
        <v>16.185200000000002</v>
      </c>
      <c r="X58">
        <v>16.354500000000002</v>
      </c>
      <c r="Y58">
        <v>16.693100000000001</v>
      </c>
      <c r="Z58">
        <v>16.862400000000001</v>
      </c>
      <c r="AA58">
        <v>17.031700000000001</v>
      </c>
      <c r="AD58">
        <v>7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 t="s">
        <v>462</v>
      </c>
      <c r="AL58" t="s">
        <v>6</v>
      </c>
      <c r="AM58" t="s">
        <v>1145</v>
      </c>
      <c r="AN58" t="s">
        <v>1146</v>
      </c>
      <c r="AO58" s="100">
        <v>46262.040405092594</v>
      </c>
      <c r="AP58" t="s">
        <v>1147</v>
      </c>
      <c r="AQ58" t="s">
        <v>1322</v>
      </c>
      <c r="AR58" t="s">
        <v>1180</v>
      </c>
      <c r="AS58" t="s">
        <v>1150</v>
      </c>
      <c r="AT58" t="s">
        <v>1151</v>
      </c>
      <c r="AU58">
        <v>25</v>
      </c>
      <c r="AV58">
        <v>16.518732000000004</v>
      </c>
      <c r="AW58">
        <v>0.14884634056637064</v>
      </c>
      <c r="AX58">
        <v>0.90107606665191131</v>
      </c>
      <c r="AY58">
        <v>-1.8648146011737141</v>
      </c>
      <c r="AZ58">
        <v>3.3515901111493678</v>
      </c>
      <c r="BA58">
        <v>5.6989477235888293</v>
      </c>
      <c r="BB58" s="97" t="s">
        <v>161</v>
      </c>
      <c r="BD58" s="98"/>
      <c r="BE58" s="98"/>
      <c r="BF58" t="s">
        <v>1152</v>
      </c>
      <c r="BG58" t="s">
        <v>322</v>
      </c>
      <c r="BH58" t="s">
        <v>1153</v>
      </c>
      <c r="BI58">
        <v>1.8648146011737141</v>
      </c>
      <c r="BJ58" t="s">
        <v>987</v>
      </c>
      <c r="BK58">
        <v>3.6484098888506322</v>
      </c>
      <c r="BL58">
        <v>52.120141269294749</v>
      </c>
      <c r="BM58" t="s">
        <v>1260</v>
      </c>
      <c r="BN58" t="s">
        <v>1154</v>
      </c>
      <c r="BO58">
        <v>2025</v>
      </c>
      <c r="BP58" t="s">
        <v>966</v>
      </c>
      <c r="BQ58">
        <v>230444.27981340454</v>
      </c>
      <c r="BR58">
        <v>76.955572018659552</v>
      </c>
      <c r="BS58" t="s">
        <v>992</v>
      </c>
      <c r="BV58" t="s">
        <v>1034</v>
      </c>
      <c r="BW58" t="s">
        <v>943</v>
      </c>
      <c r="BX58" t="s">
        <v>994</v>
      </c>
      <c r="BY58">
        <v>2.2373844984360725</v>
      </c>
      <c r="BZ58" t="s">
        <v>1155</v>
      </c>
      <c r="CA58" t="s">
        <v>991</v>
      </c>
      <c r="CB58" t="b">
        <v>1</v>
      </c>
      <c r="CC58" t="b">
        <v>1</v>
      </c>
      <c r="CD58" t="b">
        <v>1</v>
      </c>
      <c r="CE58" t="b">
        <v>1</v>
      </c>
      <c r="CF58" t="b">
        <v>1</v>
      </c>
    </row>
    <row r="59" spans="1:84" x14ac:dyDescent="0.3">
      <c r="A59" t="s">
        <v>1323</v>
      </c>
      <c r="B59" t="s">
        <v>1182</v>
      </c>
      <c r="C59" s="98">
        <v>45712</v>
      </c>
      <c r="D59">
        <v>2025</v>
      </c>
      <c r="E59">
        <v>2</v>
      </c>
      <c r="F59">
        <v>1</v>
      </c>
      <c r="G59" t="s">
        <v>1170</v>
      </c>
      <c r="H59" t="s">
        <v>122</v>
      </c>
      <c r="I59" t="s">
        <v>122</v>
      </c>
      <c r="J59" t="s">
        <v>6</v>
      </c>
      <c r="L59">
        <v>522611</v>
      </c>
      <c r="M59" s="99" t="s">
        <v>180</v>
      </c>
      <c r="N59">
        <v>3</v>
      </c>
      <c r="O59">
        <v>8</v>
      </c>
      <c r="P59">
        <v>16.636700000000001</v>
      </c>
      <c r="Q59" t="s">
        <v>352</v>
      </c>
      <c r="R59">
        <v>1</v>
      </c>
      <c r="S59">
        <v>16.523800000000001</v>
      </c>
      <c r="T59">
        <v>0.16930000000000001</v>
      </c>
      <c r="U59">
        <v>0.66686355581807311</v>
      </c>
      <c r="V59">
        <v>16.015900000000002</v>
      </c>
      <c r="W59">
        <v>16.185200000000002</v>
      </c>
      <c r="X59">
        <v>16.354500000000002</v>
      </c>
      <c r="Y59">
        <v>16.693100000000001</v>
      </c>
      <c r="Z59">
        <v>16.862400000000001</v>
      </c>
      <c r="AA59">
        <v>17.031700000000001</v>
      </c>
      <c r="AD59">
        <v>7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 t="s">
        <v>462</v>
      </c>
      <c r="AL59" t="s">
        <v>6</v>
      </c>
      <c r="AM59" t="s">
        <v>1145</v>
      </c>
      <c r="AN59" t="s">
        <v>1146</v>
      </c>
      <c r="AO59" s="100">
        <v>46262.040405092594</v>
      </c>
      <c r="AP59" t="s">
        <v>1147</v>
      </c>
      <c r="AQ59" t="s">
        <v>1324</v>
      </c>
      <c r="AR59" t="s">
        <v>1184</v>
      </c>
      <c r="AS59" t="s">
        <v>1150</v>
      </c>
      <c r="AT59" t="s">
        <v>1151</v>
      </c>
      <c r="AU59">
        <v>25</v>
      </c>
      <c r="AV59">
        <v>16.518732000000004</v>
      </c>
      <c r="AW59">
        <v>0.14884634056637064</v>
      </c>
      <c r="AX59">
        <v>0.90107606665191131</v>
      </c>
      <c r="AY59">
        <v>-1.8648146011737141</v>
      </c>
      <c r="AZ59">
        <v>3.3515901111493678</v>
      </c>
      <c r="BA59">
        <v>5.6989477235888293</v>
      </c>
      <c r="BB59" s="97" t="s">
        <v>161</v>
      </c>
      <c r="BD59" s="98"/>
      <c r="BE59" s="98"/>
      <c r="BF59" t="s">
        <v>1152</v>
      </c>
      <c r="BG59" t="s">
        <v>322</v>
      </c>
      <c r="BH59" t="s">
        <v>1153</v>
      </c>
      <c r="BI59">
        <v>1.8648146011737141</v>
      </c>
      <c r="BJ59" t="s">
        <v>987</v>
      </c>
      <c r="BK59">
        <v>3.6484098888506322</v>
      </c>
      <c r="BL59">
        <v>52.120141269294749</v>
      </c>
      <c r="BM59" t="s">
        <v>1260</v>
      </c>
      <c r="BN59" t="s">
        <v>1154</v>
      </c>
      <c r="BO59">
        <v>2025</v>
      </c>
      <c r="BP59" t="s">
        <v>966</v>
      </c>
      <c r="BQ59">
        <v>230444.27981340454</v>
      </c>
      <c r="BR59">
        <v>76.955572018659552</v>
      </c>
      <c r="BS59" t="s">
        <v>992</v>
      </c>
      <c r="BV59" t="s">
        <v>1034</v>
      </c>
      <c r="BW59" t="s">
        <v>943</v>
      </c>
      <c r="BX59" t="s">
        <v>994</v>
      </c>
      <c r="BY59">
        <v>2.2373844984360725</v>
      </c>
      <c r="BZ59" t="s">
        <v>1155</v>
      </c>
      <c r="CA59" t="s">
        <v>991</v>
      </c>
      <c r="CB59" t="b">
        <v>1</v>
      </c>
      <c r="CC59" t="b">
        <v>1</v>
      </c>
      <c r="CD59" t="b">
        <v>1</v>
      </c>
      <c r="CE59" t="b">
        <v>1</v>
      </c>
      <c r="CF59" t="b">
        <v>1</v>
      </c>
    </row>
    <row r="60" spans="1:84" x14ac:dyDescent="0.3">
      <c r="A60" t="s">
        <v>1325</v>
      </c>
      <c r="B60" t="s">
        <v>1186</v>
      </c>
      <c r="C60" s="98">
        <v>45719</v>
      </c>
      <c r="D60">
        <v>2025</v>
      </c>
      <c r="E60">
        <v>3</v>
      </c>
      <c r="F60">
        <v>1</v>
      </c>
      <c r="G60" t="s">
        <v>1187</v>
      </c>
      <c r="H60" t="s">
        <v>122</v>
      </c>
      <c r="I60" t="s">
        <v>122</v>
      </c>
      <c r="J60" t="s">
        <v>6</v>
      </c>
      <c r="L60">
        <v>522611</v>
      </c>
      <c r="M60" s="99" t="s">
        <v>180</v>
      </c>
      <c r="N60">
        <v>3</v>
      </c>
      <c r="O60">
        <v>9</v>
      </c>
      <c r="P60">
        <v>16.767299999999999</v>
      </c>
      <c r="Q60" t="s">
        <v>352</v>
      </c>
      <c r="R60">
        <v>1</v>
      </c>
      <c r="S60">
        <v>16.523800000000001</v>
      </c>
      <c r="T60">
        <v>0.16930000000000001</v>
      </c>
      <c r="U60">
        <v>1.4382752510336525</v>
      </c>
      <c r="V60">
        <v>16.015900000000002</v>
      </c>
      <c r="W60">
        <v>16.185200000000002</v>
      </c>
      <c r="X60">
        <v>16.354500000000002</v>
      </c>
      <c r="Y60">
        <v>16.693100000000001</v>
      </c>
      <c r="Z60">
        <v>16.862400000000001</v>
      </c>
      <c r="AA60">
        <v>17.031700000000001</v>
      </c>
      <c r="AD60">
        <v>7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 t="s">
        <v>462</v>
      </c>
      <c r="AL60" t="s">
        <v>6</v>
      </c>
      <c r="AM60" t="s">
        <v>1145</v>
      </c>
      <c r="AN60" t="s">
        <v>1146</v>
      </c>
      <c r="AO60" s="100">
        <v>46262.040405092594</v>
      </c>
      <c r="AP60" t="s">
        <v>1147</v>
      </c>
      <c r="AQ60" t="s">
        <v>1326</v>
      </c>
      <c r="AR60" t="s">
        <v>1189</v>
      </c>
      <c r="AS60" t="s">
        <v>1150</v>
      </c>
      <c r="AT60" t="s">
        <v>1151</v>
      </c>
      <c r="AU60">
        <v>25</v>
      </c>
      <c r="AV60">
        <v>16.518732000000004</v>
      </c>
      <c r="AW60">
        <v>0.14884634056637064</v>
      </c>
      <c r="AX60">
        <v>0.90107606665191131</v>
      </c>
      <c r="AY60">
        <v>-1.8648146011737141</v>
      </c>
      <c r="AZ60">
        <v>3.3515901111493678</v>
      </c>
      <c r="BA60">
        <v>5.6989477235888293</v>
      </c>
      <c r="BB60" s="97" t="s">
        <v>161</v>
      </c>
      <c r="BD60" s="98"/>
      <c r="BE60" s="98"/>
      <c r="BF60" t="s">
        <v>1152</v>
      </c>
      <c r="BG60" t="s">
        <v>322</v>
      </c>
      <c r="BH60" t="s">
        <v>1153</v>
      </c>
      <c r="BI60">
        <v>1.8648146011737141</v>
      </c>
      <c r="BJ60" t="s">
        <v>987</v>
      </c>
      <c r="BK60">
        <v>3.6484098888506322</v>
      </c>
      <c r="BL60">
        <v>52.120141269294749</v>
      </c>
      <c r="BM60" t="s">
        <v>1260</v>
      </c>
      <c r="BN60" t="s">
        <v>1154</v>
      </c>
      <c r="BO60">
        <v>2025</v>
      </c>
      <c r="BP60" t="s">
        <v>966</v>
      </c>
      <c r="BQ60">
        <v>230444.27981340454</v>
      </c>
      <c r="BR60">
        <v>76.955572018659552</v>
      </c>
      <c r="BS60" t="s">
        <v>992</v>
      </c>
      <c r="BV60" t="s">
        <v>1034</v>
      </c>
      <c r="BW60" t="s">
        <v>943</v>
      </c>
      <c r="BX60" t="s">
        <v>994</v>
      </c>
      <c r="BY60">
        <v>2.2373844984360725</v>
      </c>
      <c r="BZ60" t="s">
        <v>1155</v>
      </c>
      <c r="CA60" t="s">
        <v>991</v>
      </c>
      <c r="CB60" t="b">
        <v>1</v>
      </c>
      <c r="CC60" t="b">
        <v>1</v>
      </c>
      <c r="CD60" t="b">
        <v>1</v>
      </c>
      <c r="CE60" t="b">
        <v>1</v>
      </c>
      <c r="CF60" t="b">
        <v>1</v>
      </c>
    </row>
    <row r="61" spans="1:84" x14ac:dyDescent="0.3">
      <c r="A61" t="s">
        <v>1327</v>
      </c>
      <c r="B61" t="s">
        <v>1191</v>
      </c>
      <c r="C61" s="98">
        <v>45726</v>
      </c>
      <c r="D61">
        <v>2025</v>
      </c>
      <c r="E61">
        <v>3</v>
      </c>
      <c r="F61">
        <v>1</v>
      </c>
      <c r="G61" t="s">
        <v>1187</v>
      </c>
      <c r="H61" t="s">
        <v>122</v>
      </c>
      <c r="I61" t="s">
        <v>122</v>
      </c>
      <c r="J61" t="s">
        <v>6</v>
      </c>
      <c r="L61">
        <v>522611</v>
      </c>
      <c r="M61" s="99" t="s">
        <v>180</v>
      </c>
      <c r="N61">
        <v>3</v>
      </c>
      <c r="O61">
        <v>10</v>
      </c>
      <c r="P61">
        <v>16.409400000000002</v>
      </c>
      <c r="Q61" t="s">
        <v>352</v>
      </c>
      <c r="R61">
        <v>1</v>
      </c>
      <c r="S61">
        <v>16.523800000000001</v>
      </c>
      <c r="T61">
        <v>0.16930000000000001</v>
      </c>
      <c r="U61">
        <v>-0.67572356763142249</v>
      </c>
      <c r="V61">
        <v>16.015900000000002</v>
      </c>
      <c r="W61">
        <v>16.185200000000002</v>
      </c>
      <c r="X61">
        <v>16.354500000000002</v>
      </c>
      <c r="Y61">
        <v>16.693100000000001</v>
      </c>
      <c r="Z61">
        <v>16.862400000000001</v>
      </c>
      <c r="AA61">
        <v>17.031700000000001</v>
      </c>
      <c r="AD61">
        <v>7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 t="s">
        <v>462</v>
      </c>
      <c r="AL61" t="s">
        <v>6</v>
      </c>
      <c r="AM61" t="s">
        <v>1145</v>
      </c>
      <c r="AN61" t="s">
        <v>1146</v>
      </c>
      <c r="AO61" s="100">
        <v>46262.040405092594</v>
      </c>
      <c r="AP61" t="s">
        <v>1147</v>
      </c>
      <c r="AQ61" t="s">
        <v>1328</v>
      </c>
      <c r="AR61" t="s">
        <v>1193</v>
      </c>
      <c r="AS61" t="s">
        <v>1150</v>
      </c>
      <c r="AT61" t="s">
        <v>1151</v>
      </c>
      <c r="AU61">
        <v>25</v>
      </c>
      <c r="AV61">
        <v>16.518732000000004</v>
      </c>
      <c r="AW61">
        <v>0.14884634056637064</v>
      </c>
      <c r="AX61">
        <v>0.90107606665191131</v>
      </c>
      <c r="AY61">
        <v>-1.8648146011737141</v>
      </c>
      <c r="AZ61">
        <v>3.3515901111493678</v>
      </c>
      <c r="BA61">
        <v>5.6989477235888293</v>
      </c>
      <c r="BB61" s="97" t="s">
        <v>161</v>
      </c>
      <c r="BD61" s="98"/>
      <c r="BE61" s="98"/>
      <c r="BF61" t="s">
        <v>1152</v>
      </c>
      <c r="BG61" t="s">
        <v>322</v>
      </c>
      <c r="BH61" t="s">
        <v>1153</v>
      </c>
      <c r="BI61">
        <v>1.8648146011737141</v>
      </c>
      <c r="BJ61" t="s">
        <v>987</v>
      </c>
      <c r="BK61">
        <v>3.6484098888506322</v>
      </c>
      <c r="BL61">
        <v>52.120141269294749</v>
      </c>
      <c r="BM61" t="s">
        <v>1260</v>
      </c>
      <c r="BN61" t="s">
        <v>1154</v>
      </c>
      <c r="BO61">
        <v>2025</v>
      </c>
      <c r="BP61" t="s">
        <v>966</v>
      </c>
      <c r="BQ61">
        <v>230444.27981340454</v>
      </c>
      <c r="BR61">
        <v>76.955572018659552</v>
      </c>
      <c r="BS61" t="s">
        <v>992</v>
      </c>
      <c r="BV61" t="s">
        <v>1034</v>
      </c>
      <c r="BW61" t="s">
        <v>943</v>
      </c>
      <c r="BX61" t="s">
        <v>994</v>
      </c>
      <c r="BY61">
        <v>2.2373844984360725</v>
      </c>
      <c r="BZ61" t="s">
        <v>1155</v>
      </c>
      <c r="CA61" t="s">
        <v>991</v>
      </c>
      <c r="CB61" t="b">
        <v>1</v>
      </c>
      <c r="CC61" t="b">
        <v>1</v>
      </c>
      <c r="CD61" t="b">
        <v>1</v>
      </c>
      <c r="CE61" t="b">
        <v>1</v>
      </c>
      <c r="CF61" t="b">
        <v>1</v>
      </c>
    </row>
    <row r="62" spans="1:84" x14ac:dyDescent="0.3">
      <c r="A62" t="s">
        <v>1329</v>
      </c>
      <c r="B62" t="s">
        <v>1195</v>
      </c>
      <c r="C62" s="98">
        <v>45733</v>
      </c>
      <c r="D62">
        <v>2025</v>
      </c>
      <c r="E62">
        <v>3</v>
      </c>
      <c r="F62">
        <v>1</v>
      </c>
      <c r="G62" t="s">
        <v>1187</v>
      </c>
      <c r="H62" t="s">
        <v>122</v>
      </c>
      <c r="I62" t="s">
        <v>122</v>
      </c>
      <c r="J62" t="s">
        <v>6</v>
      </c>
      <c r="L62">
        <v>522611</v>
      </c>
      <c r="M62" s="99" t="s">
        <v>180</v>
      </c>
      <c r="N62">
        <v>3</v>
      </c>
      <c r="O62">
        <v>11</v>
      </c>
      <c r="P62">
        <v>16.558199999999999</v>
      </c>
      <c r="Q62" t="s">
        <v>352</v>
      </c>
      <c r="R62">
        <v>1</v>
      </c>
      <c r="S62">
        <v>16.523800000000001</v>
      </c>
      <c r="T62">
        <v>0.16930000000000001</v>
      </c>
      <c r="U62">
        <v>0.20318960425279378</v>
      </c>
      <c r="V62">
        <v>16.015900000000002</v>
      </c>
      <c r="W62">
        <v>16.185200000000002</v>
      </c>
      <c r="X62">
        <v>16.354500000000002</v>
      </c>
      <c r="Y62">
        <v>16.693100000000001</v>
      </c>
      <c r="Z62">
        <v>16.862400000000001</v>
      </c>
      <c r="AA62">
        <v>17.031700000000001</v>
      </c>
      <c r="AD62">
        <v>7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 t="s">
        <v>462</v>
      </c>
      <c r="AL62" t="s">
        <v>6</v>
      </c>
      <c r="AM62" t="s">
        <v>1145</v>
      </c>
      <c r="AN62" t="s">
        <v>1146</v>
      </c>
      <c r="AO62" s="100">
        <v>46262.040405092594</v>
      </c>
      <c r="AP62" t="s">
        <v>1147</v>
      </c>
      <c r="AQ62" t="s">
        <v>1330</v>
      </c>
      <c r="AR62" t="s">
        <v>1197</v>
      </c>
      <c r="AS62" t="s">
        <v>1150</v>
      </c>
      <c r="AT62" t="s">
        <v>1151</v>
      </c>
      <c r="AU62">
        <v>25</v>
      </c>
      <c r="AV62">
        <v>16.518732000000004</v>
      </c>
      <c r="AW62">
        <v>0.14884634056637064</v>
      </c>
      <c r="AX62">
        <v>0.90107606665191131</v>
      </c>
      <c r="AY62">
        <v>-1.8648146011737141</v>
      </c>
      <c r="AZ62">
        <v>3.3515901111493678</v>
      </c>
      <c r="BA62">
        <v>5.6989477235888293</v>
      </c>
      <c r="BB62" s="97" t="s">
        <v>161</v>
      </c>
      <c r="BD62" s="98"/>
      <c r="BE62" s="98"/>
      <c r="BF62" t="s">
        <v>1152</v>
      </c>
      <c r="BG62" t="s">
        <v>322</v>
      </c>
      <c r="BH62" t="s">
        <v>1153</v>
      </c>
      <c r="BI62">
        <v>1.8648146011737141</v>
      </c>
      <c r="BJ62" t="s">
        <v>987</v>
      </c>
      <c r="BK62">
        <v>3.6484098888506322</v>
      </c>
      <c r="BL62">
        <v>52.120141269294749</v>
      </c>
      <c r="BM62" t="s">
        <v>1260</v>
      </c>
      <c r="BN62" t="s">
        <v>1154</v>
      </c>
      <c r="BO62">
        <v>2025</v>
      </c>
      <c r="BP62" t="s">
        <v>966</v>
      </c>
      <c r="BQ62">
        <v>230444.27981340454</v>
      </c>
      <c r="BR62">
        <v>76.955572018659552</v>
      </c>
      <c r="BS62" t="s">
        <v>992</v>
      </c>
      <c r="BV62" t="s">
        <v>1034</v>
      </c>
      <c r="BW62" t="s">
        <v>943</v>
      </c>
      <c r="BX62" t="s">
        <v>994</v>
      </c>
      <c r="BY62">
        <v>2.2373844984360725</v>
      </c>
      <c r="BZ62" t="s">
        <v>1155</v>
      </c>
      <c r="CA62" t="s">
        <v>991</v>
      </c>
      <c r="CB62" t="b">
        <v>1</v>
      </c>
      <c r="CC62" t="b">
        <v>1</v>
      </c>
      <c r="CD62" t="b">
        <v>1</v>
      </c>
      <c r="CE62" t="b">
        <v>1</v>
      </c>
      <c r="CF62" t="b">
        <v>1</v>
      </c>
    </row>
    <row r="63" spans="1:84" x14ac:dyDescent="0.3">
      <c r="A63" t="s">
        <v>1331</v>
      </c>
      <c r="B63" t="s">
        <v>1199</v>
      </c>
      <c r="C63" s="98">
        <v>45740</v>
      </c>
      <c r="D63">
        <v>2025</v>
      </c>
      <c r="E63">
        <v>3</v>
      </c>
      <c r="F63">
        <v>1</v>
      </c>
      <c r="G63" t="s">
        <v>1187</v>
      </c>
      <c r="H63" t="s">
        <v>122</v>
      </c>
      <c r="I63" t="s">
        <v>122</v>
      </c>
      <c r="J63" t="s">
        <v>6</v>
      </c>
      <c r="L63">
        <v>522611</v>
      </c>
      <c r="M63" s="99" t="s">
        <v>180</v>
      </c>
      <c r="N63">
        <v>3</v>
      </c>
      <c r="O63">
        <v>12</v>
      </c>
      <c r="P63">
        <v>16.445399999999999</v>
      </c>
      <c r="Q63" t="s">
        <v>352</v>
      </c>
      <c r="R63">
        <v>1</v>
      </c>
      <c r="S63">
        <v>16.523800000000001</v>
      </c>
      <c r="T63">
        <v>0.16930000000000001</v>
      </c>
      <c r="U63">
        <v>-0.46308328411105742</v>
      </c>
      <c r="V63">
        <v>16.015900000000002</v>
      </c>
      <c r="W63">
        <v>16.185200000000002</v>
      </c>
      <c r="X63">
        <v>16.354500000000002</v>
      </c>
      <c r="Y63">
        <v>16.693100000000001</v>
      </c>
      <c r="Z63">
        <v>16.862400000000001</v>
      </c>
      <c r="AA63">
        <v>17.031700000000001</v>
      </c>
      <c r="AD63">
        <v>7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 t="s">
        <v>462</v>
      </c>
      <c r="AL63" t="s">
        <v>6</v>
      </c>
      <c r="AM63" t="s">
        <v>1145</v>
      </c>
      <c r="AN63" t="s">
        <v>1146</v>
      </c>
      <c r="AO63" s="100">
        <v>46262.040405092594</v>
      </c>
      <c r="AP63" t="s">
        <v>1147</v>
      </c>
      <c r="AQ63" t="s">
        <v>1332</v>
      </c>
      <c r="AR63" t="s">
        <v>1201</v>
      </c>
      <c r="AS63" t="s">
        <v>1150</v>
      </c>
      <c r="AT63" t="s">
        <v>1151</v>
      </c>
      <c r="AU63">
        <v>25</v>
      </c>
      <c r="AV63">
        <v>16.518732000000004</v>
      </c>
      <c r="AW63">
        <v>0.14884634056637064</v>
      </c>
      <c r="AX63">
        <v>0.90107606665191131</v>
      </c>
      <c r="AY63">
        <v>-1.8648146011737141</v>
      </c>
      <c r="AZ63">
        <v>3.3515901111493678</v>
      </c>
      <c r="BA63">
        <v>5.6989477235888293</v>
      </c>
      <c r="BB63" s="97" t="s">
        <v>161</v>
      </c>
      <c r="BD63" s="98"/>
      <c r="BE63" s="98"/>
      <c r="BF63" t="s">
        <v>1152</v>
      </c>
      <c r="BG63" t="s">
        <v>322</v>
      </c>
      <c r="BH63" t="s">
        <v>1153</v>
      </c>
      <c r="BI63">
        <v>1.8648146011737141</v>
      </c>
      <c r="BJ63" t="s">
        <v>987</v>
      </c>
      <c r="BK63">
        <v>3.6484098888506322</v>
      </c>
      <c r="BL63">
        <v>52.120141269294749</v>
      </c>
      <c r="BM63" t="s">
        <v>1260</v>
      </c>
      <c r="BN63" t="s">
        <v>1154</v>
      </c>
      <c r="BO63">
        <v>2025</v>
      </c>
      <c r="BP63" t="s">
        <v>966</v>
      </c>
      <c r="BQ63">
        <v>230444.27981340454</v>
      </c>
      <c r="BR63">
        <v>76.955572018659552</v>
      </c>
      <c r="BS63" t="s">
        <v>992</v>
      </c>
      <c r="BV63" t="s">
        <v>1034</v>
      </c>
      <c r="BW63" t="s">
        <v>943</v>
      </c>
      <c r="BX63" t="s">
        <v>994</v>
      </c>
      <c r="BY63">
        <v>2.2373844984360725</v>
      </c>
      <c r="BZ63" t="s">
        <v>1155</v>
      </c>
      <c r="CA63" t="s">
        <v>991</v>
      </c>
      <c r="CB63" t="b">
        <v>1</v>
      </c>
      <c r="CC63" t="b">
        <v>1</v>
      </c>
      <c r="CD63" t="b">
        <v>1</v>
      </c>
      <c r="CE63" t="b">
        <v>1</v>
      </c>
      <c r="CF63" t="b">
        <v>1</v>
      </c>
    </row>
    <row r="64" spans="1:84" x14ac:dyDescent="0.3">
      <c r="A64" t="s">
        <v>1333</v>
      </c>
      <c r="B64" t="s">
        <v>1203</v>
      </c>
      <c r="C64" s="98">
        <v>45747</v>
      </c>
      <c r="D64">
        <v>2025</v>
      </c>
      <c r="E64">
        <v>3</v>
      </c>
      <c r="F64">
        <v>1</v>
      </c>
      <c r="G64" t="s">
        <v>1187</v>
      </c>
      <c r="H64" t="s">
        <v>122</v>
      </c>
      <c r="I64" t="s">
        <v>122</v>
      </c>
      <c r="J64" t="s">
        <v>6</v>
      </c>
      <c r="L64">
        <v>522611</v>
      </c>
      <c r="M64" s="99" t="s">
        <v>180</v>
      </c>
      <c r="N64">
        <v>3</v>
      </c>
      <c r="O64">
        <v>13</v>
      </c>
      <c r="P64">
        <v>16.545300000000001</v>
      </c>
      <c r="Q64" t="s">
        <v>352</v>
      </c>
      <c r="R64">
        <v>1</v>
      </c>
      <c r="S64">
        <v>16.523800000000001</v>
      </c>
      <c r="T64">
        <v>0.16930000000000001</v>
      </c>
      <c r="U64">
        <v>0.12699350265800136</v>
      </c>
      <c r="V64">
        <v>16.015900000000002</v>
      </c>
      <c r="W64">
        <v>16.185200000000002</v>
      </c>
      <c r="X64">
        <v>16.354500000000002</v>
      </c>
      <c r="Y64">
        <v>16.693100000000001</v>
      </c>
      <c r="Z64">
        <v>16.862400000000001</v>
      </c>
      <c r="AA64">
        <v>17.031700000000001</v>
      </c>
      <c r="AD64">
        <v>7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 t="s">
        <v>462</v>
      </c>
      <c r="AL64" t="s">
        <v>6</v>
      </c>
      <c r="AM64" t="s">
        <v>1145</v>
      </c>
      <c r="AN64" t="s">
        <v>1146</v>
      </c>
      <c r="AO64" s="100">
        <v>46262.040405092594</v>
      </c>
      <c r="AP64" t="s">
        <v>1147</v>
      </c>
      <c r="AQ64" t="s">
        <v>1334</v>
      </c>
      <c r="AR64" t="s">
        <v>1205</v>
      </c>
      <c r="AS64" t="s">
        <v>1150</v>
      </c>
      <c r="AT64" t="s">
        <v>1151</v>
      </c>
      <c r="AU64">
        <v>25</v>
      </c>
      <c r="AV64">
        <v>16.518732000000004</v>
      </c>
      <c r="AW64">
        <v>0.14884634056637064</v>
      </c>
      <c r="AX64">
        <v>0.90107606665191131</v>
      </c>
      <c r="AY64">
        <v>-1.8648146011737141</v>
      </c>
      <c r="AZ64">
        <v>3.3515901111493678</v>
      </c>
      <c r="BA64">
        <v>5.6989477235888293</v>
      </c>
      <c r="BB64" s="97" t="s">
        <v>161</v>
      </c>
      <c r="BD64" s="98"/>
      <c r="BE64" s="98"/>
      <c r="BF64" t="s">
        <v>1152</v>
      </c>
      <c r="BG64" t="s">
        <v>322</v>
      </c>
      <c r="BH64" t="s">
        <v>1153</v>
      </c>
      <c r="BI64">
        <v>1.8648146011737141</v>
      </c>
      <c r="BJ64" t="s">
        <v>987</v>
      </c>
      <c r="BK64">
        <v>3.6484098888506322</v>
      </c>
      <c r="BL64">
        <v>52.120141269294749</v>
      </c>
      <c r="BM64" t="s">
        <v>1260</v>
      </c>
      <c r="BN64" t="s">
        <v>1154</v>
      </c>
      <c r="BO64">
        <v>2025</v>
      </c>
      <c r="BP64" t="s">
        <v>966</v>
      </c>
      <c r="BQ64">
        <v>230444.27981340454</v>
      </c>
      <c r="BR64">
        <v>76.955572018659552</v>
      </c>
      <c r="BS64" t="s">
        <v>992</v>
      </c>
      <c r="BV64" t="s">
        <v>1034</v>
      </c>
      <c r="BW64" t="s">
        <v>943</v>
      </c>
      <c r="BX64" t="s">
        <v>994</v>
      </c>
      <c r="BY64">
        <v>2.2373844984360725</v>
      </c>
      <c r="BZ64" t="s">
        <v>1155</v>
      </c>
      <c r="CA64" t="s">
        <v>991</v>
      </c>
      <c r="CB64" t="b">
        <v>1</v>
      </c>
      <c r="CC64" t="b">
        <v>1</v>
      </c>
      <c r="CD64" t="b">
        <v>1</v>
      </c>
      <c r="CE64" t="b">
        <v>1</v>
      </c>
      <c r="CF64" t="b">
        <v>1</v>
      </c>
    </row>
    <row r="65" spans="1:84" x14ac:dyDescent="0.3">
      <c r="A65" t="s">
        <v>1335</v>
      </c>
      <c r="B65" t="s">
        <v>1207</v>
      </c>
      <c r="C65" s="98">
        <v>45754</v>
      </c>
      <c r="D65">
        <v>2025</v>
      </c>
      <c r="E65">
        <v>4</v>
      </c>
      <c r="F65">
        <v>2</v>
      </c>
      <c r="G65" t="s">
        <v>1208</v>
      </c>
      <c r="H65" t="s">
        <v>122</v>
      </c>
      <c r="I65" t="s">
        <v>122</v>
      </c>
      <c r="J65" t="s">
        <v>6</v>
      </c>
      <c r="L65">
        <v>522611</v>
      </c>
      <c r="M65" s="99" t="s">
        <v>180</v>
      </c>
      <c r="N65">
        <v>3</v>
      </c>
      <c r="O65">
        <v>14</v>
      </c>
      <c r="P65">
        <v>16.322900000000001</v>
      </c>
      <c r="Q65" t="s">
        <v>352</v>
      </c>
      <c r="R65">
        <v>1</v>
      </c>
      <c r="S65">
        <v>16.523800000000001</v>
      </c>
      <c r="T65">
        <v>0.16930000000000001</v>
      </c>
      <c r="U65">
        <v>-1.1866509155345584</v>
      </c>
      <c r="V65">
        <v>16.015900000000002</v>
      </c>
      <c r="W65">
        <v>16.185200000000002</v>
      </c>
      <c r="X65">
        <v>16.354500000000002</v>
      </c>
      <c r="Y65">
        <v>16.693100000000001</v>
      </c>
      <c r="Z65">
        <v>16.862400000000001</v>
      </c>
      <c r="AA65">
        <v>17.031700000000001</v>
      </c>
      <c r="AD65">
        <v>7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 t="s">
        <v>462</v>
      </c>
      <c r="AL65" t="s">
        <v>6</v>
      </c>
      <c r="AM65" t="s">
        <v>1145</v>
      </c>
      <c r="AN65" t="s">
        <v>1146</v>
      </c>
      <c r="AO65" s="100">
        <v>46262.040405092594</v>
      </c>
      <c r="AP65" t="s">
        <v>1147</v>
      </c>
      <c r="AQ65" t="s">
        <v>1336</v>
      </c>
      <c r="AR65" t="s">
        <v>1210</v>
      </c>
      <c r="AS65" t="s">
        <v>1150</v>
      </c>
      <c r="AT65" t="s">
        <v>1151</v>
      </c>
      <c r="AU65">
        <v>25</v>
      </c>
      <c r="AV65">
        <v>16.518732000000004</v>
      </c>
      <c r="AW65">
        <v>0.14884634056637064</v>
      </c>
      <c r="AX65">
        <v>0.90107606665191131</v>
      </c>
      <c r="AY65">
        <v>-1.8648146011737141</v>
      </c>
      <c r="AZ65">
        <v>3.3515901111493678</v>
      </c>
      <c r="BA65">
        <v>5.6989477235888293</v>
      </c>
      <c r="BB65" s="97" t="s">
        <v>161</v>
      </c>
      <c r="BD65" s="98"/>
      <c r="BE65" s="98"/>
      <c r="BF65" t="s">
        <v>1152</v>
      </c>
      <c r="BG65" t="s">
        <v>322</v>
      </c>
      <c r="BH65" t="s">
        <v>1153</v>
      </c>
      <c r="BI65">
        <v>1.8648146011737141</v>
      </c>
      <c r="BJ65" t="s">
        <v>987</v>
      </c>
      <c r="BK65">
        <v>3.6484098888506322</v>
      </c>
      <c r="BL65">
        <v>52.120141269294749</v>
      </c>
      <c r="BM65" t="s">
        <v>1260</v>
      </c>
      <c r="BN65" t="s">
        <v>1154</v>
      </c>
      <c r="BO65">
        <v>2025</v>
      </c>
      <c r="BP65" t="s">
        <v>966</v>
      </c>
      <c r="BQ65">
        <v>230444.27981340454</v>
      </c>
      <c r="BR65">
        <v>76.955572018659552</v>
      </c>
      <c r="BS65" t="s">
        <v>992</v>
      </c>
      <c r="BV65" t="s">
        <v>1034</v>
      </c>
      <c r="BW65" t="s">
        <v>943</v>
      </c>
      <c r="BX65" t="s">
        <v>994</v>
      </c>
      <c r="BY65">
        <v>2.2373844984360725</v>
      </c>
      <c r="BZ65" t="s">
        <v>1155</v>
      </c>
      <c r="CA65" t="s">
        <v>991</v>
      </c>
      <c r="CB65" t="b">
        <v>1</v>
      </c>
      <c r="CC65" t="b">
        <v>1</v>
      </c>
      <c r="CD65" t="b">
        <v>1</v>
      </c>
      <c r="CE65" t="b">
        <v>1</v>
      </c>
      <c r="CF65" t="b">
        <v>1</v>
      </c>
    </row>
    <row r="66" spans="1:84" x14ac:dyDescent="0.3">
      <c r="A66" t="s">
        <v>1337</v>
      </c>
      <c r="B66" t="s">
        <v>1212</v>
      </c>
      <c r="C66" s="98">
        <v>45761</v>
      </c>
      <c r="D66">
        <v>2025</v>
      </c>
      <c r="E66">
        <v>4</v>
      </c>
      <c r="F66">
        <v>2</v>
      </c>
      <c r="G66" t="s">
        <v>1208</v>
      </c>
      <c r="H66" t="s">
        <v>122</v>
      </c>
      <c r="I66" t="s">
        <v>122</v>
      </c>
      <c r="J66" t="s">
        <v>6</v>
      </c>
      <c r="L66">
        <v>522611</v>
      </c>
      <c r="M66" s="99" t="s">
        <v>180</v>
      </c>
      <c r="N66">
        <v>3</v>
      </c>
      <c r="O66">
        <v>15</v>
      </c>
      <c r="P66">
        <v>16.425699999999999</v>
      </c>
      <c r="Q66" t="s">
        <v>352</v>
      </c>
      <c r="R66">
        <v>1</v>
      </c>
      <c r="S66">
        <v>16.523800000000001</v>
      </c>
      <c r="T66">
        <v>0.16930000000000001</v>
      </c>
      <c r="U66">
        <v>-0.57944477259304372</v>
      </c>
      <c r="V66">
        <v>16.015900000000002</v>
      </c>
      <c r="W66">
        <v>16.185200000000002</v>
      </c>
      <c r="X66">
        <v>16.354500000000002</v>
      </c>
      <c r="Y66">
        <v>16.693100000000001</v>
      </c>
      <c r="Z66">
        <v>16.862400000000001</v>
      </c>
      <c r="AA66">
        <v>17.031700000000001</v>
      </c>
      <c r="AD66">
        <v>7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 t="s">
        <v>462</v>
      </c>
      <c r="AL66" t="s">
        <v>6</v>
      </c>
      <c r="AM66" t="s">
        <v>1145</v>
      </c>
      <c r="AN66" t="s">
        <v>1146</v>
      </c>
      <c r="AO66" s="100">
        <v>46262.040405092594</v>
      </c>
      <c r="AP66" t="s">
        <v>1147</v>
      </c>
      <c r="AQ66" t="s">
        <v>1338</v>
      </c>
      <c r="AR66" t="s">
        <v>1215</v>
      </c>
      <c r="AS66" t="s">
        <v>1150</v>
      </c>
      <c r="AT66" t="s">
        <v>1151</v>
      </c>
      <c r="AU66">
        <v>25</v>
      </c>
      <c r="AV66">
        <v>16.518732000000004</v>
      </c>
      <c r="AW66">
        <v>0.14884634056637064</v>
      </c>
      <c r="AX66">
        <v>0.90107606665191131</v>
      </c>
      <c r="AY66">
        <v>-1.8648146011737141</v>
      </c>
      <c r="AZ66">
        <v>3.3515901111493678</v>
      </c>
      <c r="BA66">
        <v>5.6989477235888293</v>
      </c>
      <c r="BB66" s="97" t="s">
        <v>161</v>
      </c>
      <c r="BD66" s="98"/>
      <c r="BE66" s="98"/>
      <c r="BF66" t="s">
        <v>1152</v>
      </c>
      <c r="BG66" t="s">
        <v>322</v>
      </c>
      <c r="BH66" t="s">
        <v>1153</v>
      </c>
      <c r="BI66">
        <v>1.8648146011737141</v>
      </c>
      <c r="BJ66" t="s">
        <v>987</v>
      </c>
      <c r="BK66">
        <v>3.6484098888506322</v>
      </c>
      <c r="BL66">
        <v>52.120141269294749</v>
      </c>
      <c r="BM66" t="s">
        <v>1260</v>
      </c>
      <c r="BN66" t="s">
        <v>1154</v>
      </c>
      <c r="BO66">
        <v>2025</v>
      </c>
      <c r="BP66" t="s">
        <v>966</v>
      </c>
      <c r="BQ66">
        <v>230444.27981340454</v>
      </c>
      <c r="BR66">
        <v>76.955572018659552</v>
      </c>
      <c r="BS66" t="s">
        <v>992</v>
      </c>
      <c r="BV66" t="s">
        <v>1034</v>
      </c>
      <c r="BW66" t="s">
        <v>943</v>
      </c>
      <c r="BX66" t="s">
        <v>994</v>
      </c>
      <c r="BY66">
        <v>2.2373844984360725</v>
      </c>
      <c r="BZ66" t="s">
        <v>1155</v>
      </c>
      <c r="CA66" t="s">
        <v>991</v>
      </c>
      <c r="CB66" t="b">
        <v>1</v>
      </c>
      <c r="CC66" t="b">
        <v>1</v>
      </c>
      <c r="CD66" t="b">
        <v>1</v>
      </c>
      <c r="CE66" t="b">
        <v>1</v>
      </c>
      <c r="CF66" t="b">
        <v>1</v>
      </c>
    </row>
    <row r="67" spans="1:84" x14ac:dyDescent="0.3">
      <c r="A67" t="s">
        <v>1339</v>
      </c>
      <c r="B67" t="s">
        <v>1217</v>
      </c>
      <c r="C67" s="98">
        <v>45768</v>
      </c>
      <c r="D67">
        <v>2025</v>
      </c>
      <c r="E67">
        <v>4</v>
      </c>
      <c r="F67">
        <v>2</v>
      </c>
      <c r="G67" t="s">
        <v>1208</v>
      </c>
      <c r="H67" t="s">
        <v>122</v>
      </c>
      <c r="I67" t="s">
        <v>122</v>
      </c>
      <c r="J67" t="s">
        <v>6</v>
      </c>
      <c r="L67">
        <v>522611</v>
      </c>
      <c r="M67" s="99" t="s">
        <v>180</v>
      </c>
      <c r="N67">
        <v>3</v>
      </c>
      <c r="O67">
        <v>16</v>
      </c>
      <c r="P67">
        <v>16.490600000000001</v>
      </c>
      <c r="Q67" t="s">
        <v>352</v>
      </c>
      <c r="R67">
        <v>1</v>
      </c>
      <c r="S67">
        <v>16.523800000000001</v>
      </c>
      <c r="T67">
        <v>0.16930000000000001</v>
      </c>
      <c r="U67">
        <v>-0.19610159480213102</v>
      </c>
      <c r="V67">
        <v>16.015900000000002</v>
      </c>
      <c r="W67">
        <v>16.185200000000002</v>
      </c>
      <c r="X67">
        <v>16.354500000000002</v>
      </c>
      <c r="Y67">
        <v>16.693100000000001</v>
      </c>
      <c r="Z67">
        <v>16.862400000000001</v>
      </c>
      <c r="AA67">
        <v>17.031700000000001</v>
      </c>
      <c r="AD67">
        <v>7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 t="s">
        <v>462</v>
      </c>
      <c r="AL67" t="s">
        <v>6</v>
      </c>
      <c r="AM67" t="s">
        <v>1145</v>
      </c>
      <c r="AN67" t="s">
        <v>1146</v>
      </c>
      <c r="AO67" s="100">
        <v>46262.040405092594</v>
      </c>
      <c r="AP67" t="s">
        <v>1147</v>
      </c>
      <c r="AQ67" t="s">
        <v>1340</v>
      </c>
      <c r="AR67" t="s">
        <v>1219</v>
      </c>
      <c r="AS67" t="s">
        <v>1150</v>
      </c>
      <c r="AT67" t="s">
        <v>1151</v>
      </c>
      <c r="AU67">
        <v>25</v>
      </c>
      <c r="AV67">
        <v>16.518732000000004</v>
      </c>
      <c r="AW67">
        <v>0.14884634056637064</v>
      </c>
      <c r="AX67">
        <v>0.90107606665191131</v>
      </c>
      <c r="AY67">
        <v>-1.8648146011737141</v>
      </c>
      <c r="AZ67">
        <v>3.3515901111493678</v>
      </c>
      <c r="BA67">
        <v>5.6989477235888293</v>
      </c>
      <c r="BB67" s="97" t="s">
        <v>161</v>
      </c>
      <c r="BD67" s="98"/>
      <c r="BE67" s="98"/>
      <c r="BF67" t="s">
        <v>1152</v>
      </c>
      <c r="BG67" t="s">
        <v>322</v>
      </c>
      <c r="BH67" t="s">
        <v>1153</v>
      </c>
      <c r="BI67">
        <v>1.8648146011737141</v>
      </c>
      <c r="BJ67" t="s">
        <v>987</v>
      </c>
      <c r="BK67">
        <v>3.6484098888506322</v>
      </c>
      <c r="BL67">
        <v>52.120141269294749</v>
      </c>
      <c r="BM67" t="s">
        <v>1260</v>
      </c>
      <c r="BN67" t="s">
        <v>1154</v>
      </c>
      <c r="BO67">
        <v>2025</v>
      </c>
      <c r="BP67" t="s">
        <v>966</v>
      </c>
      <c r="BQ67">
        <v>230444.27981340454</v>
      </c>
      <c r="BR67">
        <v>76.955572018659552</v>
      </c>
      <c r="BS67" t="s">
        <v>992</v>
      </c>
      <c r="BV67" t="s">
        <v>1034</v>
      </c>
      <c r="BW67" t="s">
        <v>943</v>
      </c>
      <c r="BX67" t="s">
        <v>994</v>
      </c>
      <c r="BY67">
        <v>2.2373844984360725</v>
      </c>
      <c r="BZ67" t="s">
        <v>1155</v>
      </c>
      <c r="CA67" t="s">
        <v>991</v>
      </c>
      <c r="CB67" t="b">
        <v>1</v>
      </c>
      <c r="CC67" t="b">
        <v>1</v>
      </c>
      <c r="CD67" t="b">
        <v>1</v>
      </c>
      <c r="CE67" t="b">
        <v>1</v>
      </c>
      <c r="CF67" t="b">
        <v>1</v>
      </c>
    </row>
    <row r="68" spans="1:84" x14ac:dyDescent="0.3">
      <c r="A68" t="s">
        <v>1341</v>
      </c>
      <c r="B68" t="s">
        <v>1221</v>
      </c>
      <c r="C68" s="98">
        <v>45775</v>
      </c>
      <c r="D68">
        <v>2025</v>
      </c>
      <c r="E68">
        <v>4</v>
      </c>
      <c r="F68">
        <v>2</v>
      </c>
      <c r="G68" t="s">
        <v>1208</v>
      </c>
      <c r="H68" t="s">
        <v>122</v>
      </c>
      <c r="I68" t="s">
        <v>122</v>
      </c>
      <c r="J68" t="s">
        <v>6</v>
      </c>
      <c r="L68">
        <v>522611</v>
      </c>
      <c r="M68" s="99" t="s">
        <v>180</v>
      </c>
      <c r="N68">
        <v>3</v>
      </c>
      <c r="O68">
        <v>17</v>
      </c>
      <c r="P68">
        <v>16.675899999999999</v>
      </c>
      <c r="Q68" t="s">
        <v>352</v>
      </c>
      <c r="R68">
        <v>1</v>
      </c>
      <c r="S68">
        <v>16.523800000000001</v>
      </c>
      <c r="T68">
        <v>0.16930000000000001</v>
      </c>
      <c r="U68">
        <v>0.89840519787358086</v>
      </c>
      <c r="V68">
        <v>16.015900000000002</v>
      </c>
      <c r="W68">
        <v>16.185200000000002</v>
      </c>
      <c r="X68">
        <v>16.354500000000002</v>
      </c>
      <c r="Y68">
        <v>16.693100000000001</v>
      </c>
      <c r="Z68">
        <v>16.862400000000001</v>
      </c>
      <c r="AA68">
        <v>17.031700000000001</v>
      </c>
      <c r="AD68">
        <v>7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 t="s">
        <v>462</v>
      </c>
      <c r="AL68" t="s">
        <v>6</v>
      </c>
      <c r="AM68" t="s">
        <v>1145</v>
      </c>
      <c r="AN68" t="s">
        <v>1146</v>
      </c>
      <c r="AO68" s="100">
        <v>46262.040405092594</v>
      </c>
      <c r="AP68" t="s">
        <v>1147</v>
      </c>
      <c r="AQ68" t="s">
        <v>1342</v>
      </c>
      <c r="AR68" t="s">
        <v>1223</v>
      </c>
      <c r="AS68" t="s">
        <v>1150</v>
      </c>
      <c r="AT68" t="s">
        <v>1151</v>
      </c>
      <c r="AU68">
        <v>25</v>
      </c>
      <c r="AV68">
        <v>16.518732000000004</v>
      </c>
      <c r="AW68">
        <v>0.14884634056637064</v>
      </c>
      <c r="AX68">
        <v>0.90107606665191131</v>
      </c>
      <c r="AY68">
        <v>-1.8648146011737141</v>
      </c>
      <c r="AZ68">
        <v>3.3515901111493678</v>
      </c>
      <c r="BA68">
        <v>5.6989477235888293</v>
      </c>
      <c r="BB68" s="97" t="s">
        <v>161</v>
      </c>
      <c r="BD68" s="98"/>
      <c r="BE68" s="98"/>
      <c r="BF68" t="s">
        <v>1152</v>
      </c>
      <c r="BG68" t="s">
        <v>322</v>
      </c>
      <c r="BH68" t="s">
        <v>1153</v>
      </c>
      <c r="BI68">
        <v>1.8648146011737141</v>
      </c>
      <c r="BJ68" t="s">
        <v>987</v>
      </c>
      <c r="BK68">
        <v>3.6484098888506322</v>
      </c>
      <c r="BL68">
        <v>52.120141269294749</v>
      </c>
      <c r="BM68" t="s">
        <v>1260</v>
      </c>
      <c r="BN68" t="s">
        <v>1154</v>
      </c>
      <c r="BO68">
        <v>2025</v>
      </c>
      <c r="BP68" t="s">
        <v>966</v>
      </c>
      <c r="BQ68">
        <v>230444.27981340454</v>
      </c>
      <c r="BR68">
        <v>76.955572018659552</v>
      </c>
      <c r="BS68" t="s">
        <v>992</v>
      </c>
      <c r="BV68" t="s">
        <v>1034</v>
      </c>
      <c r="BW68" t="s">
        <v>943</v>
      </c>
      <c r="BX68" t="s">
        <v>994</v>
      </c>
      <c r="BY68">
        <v>2.2373844984360725</v>
      </c>
      <c r="BZ68" t="s">
        <v>1155</v>
      </c>
      <c r="CA68" t="s">
        <v>991</v>
      </c>
      <c r="CB68" t="b">
        <v>1</v>
      </c>
      <c r="CC68" t="b">
        <v>1</v>
      </c>
      <c r="CD68" t="b">
        <v>1</v>
      </c>
      <c r="CE68" t="b">
        <v>1</v>
      </c>
      <c r="CF68" t="b">
        <v>1</v>
      </c>
    </row>
    <row r="69" spans="1:84" x14ac:dyDescent="0.3">
      <c r="A69" t="s">
        <v>1343</v>
      </c>
      <c r="B69" t="s">
        <v>1225</v>
      </c>
      <c r="C69" s="98">
        <v>45782</v>
      </c>
      <c r="D69">
        <v>2025</v>
      </c>
      <c r="E69">
        <v>5</v>
      </c>
      <c r="F69">
        <v>2</v>
      </c>
      <c r="G69" t="s">
        <v>1226</v>
      </c>
      <c r="H69" t="s">
        <v>122</v>
      </c>
      <c r="I69" t="s">
        <v>122</v>
      </c>
      <c r="J69" t="s">
        <v>6</v>
      </c>
      <c r="L69">
        <v>522611</v>
      </c>
      <c r="M69" s="99" t="s">
        <v>180</v>
      </c>
      <c r="N69">
        <v>3</v>
      </c>
      <c r="O69">
        <v>18</v>
      </c>
      <c r="P69">
        <v>16.717600000000001</v>
      </c>
      <c r="Q69" t="s">
        <v>352</v>
      </c>
      <c r="R69">
        <v>1</v>
      </c>
      <c r="S69">
        <v>16.523800000000001</v>
      </c>
      <c r="T69">
        <v>0.16930000000000001</v>
      </c>
      <c r="U69">
        <v>1.1447135262846988</v>
      </c>
      <c r="V69">
        <v>16.015900000000002</v>
      </c>
      <c r="W69">
        <v>16.185200000000002</v>
      </c>
      <c r="X69">
        <v>16.354500000000002</v>
      </c>
      <c r="Y69">
        <v>16.693100000000001</v>
      </c>
      <c r="Z69">
        <v>16.862400000000001</v>
      </c>
      <c r="AA69">
        <v>17.031700000000001</v>
      </c>
      <c r="AD69">
        <v>7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 t="s">
        <v>462</v>
      </c>
      <c r="AL69" t="s">
        <v>6</v>
      </c>
      <c r="AM69" t="s">
        <v>1145</v>
      </c>
      <c r="AN69" t="s">
        <v>1146</v>
      </c>
      <c r="AO69" s="100">
        <v>46262.040405092594</v>
      </c>
      <c r="AP69" t="s">
        <v>1147</v>
      </c>
      <c r="AQ69" t="s">
        <v>1344</v>
      </c>
      <c r="AR69" t="s">
        <v>1228</v>
      </c>
      <c r="AS69" t="s">
        <v>1150</v>
      </c>
      <c r="AT69" t="s">
        <v>1151</v>
      </c>
      <c r="AU69">
        <v>25</v>
      </c>
      <c r="AV69">
        <v>16.518732000000004</v>
      </c>
      <c r="AW69">
        <v>0.14884634056637064</v>
      </c>
      <c r="AX69">
        <v>0.90107606665191131</v>
      </c>
      <c r="AY69">
        <v>-1.8648146011737141</v>
      </c>
      <c r="AZ69">
        <v>3.3515901111493678</v>
      </c>
      <c r="BA69">
        <v>5.6989477235888293</v>
      </c>
      <c r="BB69" s="97" t="s">
        <v>161</v>
      </c>
      <c r="BD69" s="98"/>
      <c r="BE69" s="98"/>
      <c r="BF69" t="s">
        <v>1152</v>
      </c>
      <c r="BG69" t="s">
        <v>322</v>
      </c>
      <c r="BH69" t="s">
        <v>1153</v>
      </c>
      <c r="BI69">
        <v>1.8648146011737141</v>
      </c>
      <c r="BJ69" t="s">
        <v>987</v>
      </c>
      <c r="BK69">
        <v>3.6484098888506322</v>
      </c>
      <c r="BL69">
        <v>52.120141269294749</v>
      </c>
      <c r="BM69" t="s">
        <v>1260</v>
      </c>
      <c r="BN69" t="s">
        <v>1154</v>
      </c>
      <c r="BO69">
        <v>2025</v>
      </c>
      <c r="BP69" t="s">
        <v>966</v>
      </c>
      <c r="BQ69">
        <v>230444.27981340454</v>
      </c>
      <c r="BR69">
        <v>76.955572018659552</v>
      </c>
      <c r="BS69" t="s">
        <v>992</v>
      </c>
      <c r="BV69" t="s">
        <v>1034</v>
      </c>
      <c r="BW69" t="s">
        <v>943</v>
      </c>
      <c r="BX69" t="s">
        <v>994</v>
      </c>
      <c r="BY69">
        <v>2.2373844984360725</v>
      </c>
      <c r="BZ69" t="s">
        <v>1155</v>
      </c>
      <c r="CA69" t="s">
        <v>991</v>
      </c>
      <c r="CB69" t="b">
        <v>1</v>
      </c>
      <c r="CC69" t="b">
        <v>1</v>
      </c>
      <c r="CD69" t="b">
        <v>1</v>
      </c>
      <c r="CE69" t="b">
        <v>1</v>
      </c>
      <c r="CF69" t="b">
        <v>1</v>
      </c>
    </row>
    <row r="70" spans="1:84" x14ac:dyDescent="0.3">
      <c r="A70" t="s">
        <v>1345</v>
      </c>
      <c r="B70" t="s">
        <v>1230</v>
      </c>
      <c r="C70" s="98">
        <v>45789</v>
      </c>
      <c r="D70">
        <v>2025</v>
      </c>
      <c r="E70">
        <v>5</v>
      </c>
      <c r="F70">
        <v>2</v>
      </c>
      <c r="G70" t="s">
        <v>1226</v>
      </c>
      <c r="H70" t="s">
        <v>122</v>
      </c>
      <c r="I70" t="s">
        <v>122</v>
      </c>
      <c r="J70" t="s">
        <v>6</v>
      </c>
      <c r="L70">
        <v>522611</v>
      </c>
      <c r="M70" s="99" t="s">
        <v>180</v>
      </c>
      <c r="N70">
        <v>3</v>
      </c>
      <c r="O70">
        <v>19</v>
      </c>
      <c r="P70">
        <v>16.299800000000001</v>
      </c>
      <c r="Q70" t="s">
        <v>352</v>
      </c>
      <c r="R70">
        <v>1</v>
      </c>
      <c r="S70">
        <v>16.523800000000001</v>
      </c>
      <c r="T70">
        <v>0.16930000000000001</v>
      </c>
      <c r="U70">
        <v>-1.323095097460131</v>
      </c>
      <c r="V70">
        <v>16.015900000000002</v>
      </c>
      <c r="W70">
        <v>16.185200000000002</v>
      </c>
      <c r="X70">
        <v>16.354500000000002</v>
      </c>
      <c r="Y70">
        <v>16.693100000000001</v>
      </c>
      <c r="Z70">
        <v>16.862400000000001</v>
      </c>
      <c r="AA70">
        <v>17.031700000000001</v>
      </c>
      <c r="AD70">
        <v>7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 t="s">
        <v>462</v>
      </c>
      <c r="AL70" t="s">
        <v>6</v>
      </c>
      <c r="AM70" t="s">
        <v>1145</v>
      </c>
      <c r="AN70" t="s">
        <v>1146</v>
      </c>
      <c r="AO70" s="100">
        <v>46262.040405092594</v>
      </c>
      <c r="AP70" t="s">
        <v>1147</v>
      </c>
      <c r="AQ70" t="s">
        <v>1346</v>
      </c>
      <c r="AR70" t="s">
        <v>1232</v>
      </c>
      <c r="AS70" t="s">
        <v>1150</v>
      </c>
      <c r="AT70" t="s">
        <v>1151</v>
      </c>
      <c r="AU70">
        <v>25</v>
      </c>
      <c r="AV70">
        <v>16.518732000000004</v>
      </c>
      <c r="AW70">
        <v>0.14884634056637064</v>
      </c>
      <c r="AX70">
        <v>0.90107606665191131</v>
      </c>
      <c r="AY70">
        <v>-1.8648146011737141</v>
      </c>
      <c r="AZ70">
        <v>3.3515901111493678</v>
      </c>
      <c r="BA70">
        <v>5.6989477235888293</v>
      </c>
      <c r="BB70" s="97" t="s">
        <v>161</v>
      </c>
      <c r="BD70" s="98"/>
      <c r="BE70" s="98"/>
      <c r="BF70" t="s">
        <v>1152</v>
      </c>
      <c r="BG70" t="s">
        <v>322</v>
      </c>
      <c r="BH70" t="s">
        <v>1153</v>
      </c>
      <c r="BI70">
        <v>1.8648146011737141</v>
      </c>
      <c r="BJ70" t="s">
        <v>987</v>
      </c>
      <c r="BK70">
        <v>3.6484098888506322</v>
      </c>
      <c r="BL70">
        <v>52.120141269294749</v>
      </c>
      <c r="BM70" t="s">
        <v>1260</v>
      </c>
      <c r="BN70" t="s">
        <v>1154</v>
      </c>
      <c r="BO70">
        <v>2025</v>
      </c>
      <c r="BP70" t="s">
        <v>966</v>
      </c>
      <c r="BQ70">
        <v>230444.27981340454</v>
      </c>
      <c r="BR70">
        <v>76.955572018659552</v>
      </c>
      <c r="BS70" t="s">
        <v>992</v>
      </c>
      <c r="BV70" t="s">
        <v>1034</v>
      </c>
      <c r="BW70" t="s">
        <v>943</v>
      </c>
      <c r="BX70" t="s">
        <v>994</v>
      </c>
      <c r="BY70">
        <v>2.2373844984360725</v>
      </c>
      <c r="BZ70" t="s">
        <v>1155</v>
      </c>
      <c r="CA70" t="s">
        <v>991</v>
      </c>
      <c r="CB70" t="b">
        <v>1</v>
      </c>
      <c r="CC70" t="b">
        <v>1</v>
      </c>
      <c r="CD70" t="b">
        <v>1</v>
      </c>
      <c r="CE70" t="b">
        <v>1</v>
      </c>
      <c r="CF70" t="b">
        <v>1</v>
      </c>
    </row>
    <row r="71" spans="1:84" x14ac:dyDescent="0.3">
      <c r="A71" t="s">
        <v>1347</v>
      </c>
      <c r="B71" t="s">
        <v>1234</v>
      </c>
      <c r="C71" s="98">
        <v>45796</v>
      </c>
      <c r="D71">
        <v>2025</v>
      </c>
      <c r="E71">
        <v>5</v>
      </c>
      <c r="F71">
        <v>2</v>
      </c>
      <c r="G71" t="s">
        <v>1226</v>
      </c>
      <c r="H71" t="s">
        <v>122</v>
      </c>
      <c r="I71" t="s">
        <v>122</v>
      </c>
      <c r="J71" t="s">
        <v>6</v>
      </c>
      <c r="L71">
        <v>522611</v>
      </c>
      <c r="M71" s="99" t="s">
        <v>180</v>
      </c>
      <c r="N71">
        <v>3</v>
      </c>
      <c r="O71">
        <v>20</v>
      </c>
      <c r="P71">
        <v>16.389299999999999</v>
      </c>
      <c r="Q71" t="s">
        <v>352</v>
      </c>
      <c r="R71">
        <v>1</v>
      </c>
      <c r="S71">
        <v>16.523800000000001</v>
      </c>
      <c r="T71">
        <v>0.16930000000000001</v>
      </c>
      <c r="U71">
        <v>-0.79444772593031732</v>
      </c>
      <c r="V71">
        <v>16.015900000000002</v>
      </c>
      <c r="W71">
        <v>16.185200000000002</v>
      </c>
      <c r="X71">
        <v>16.354500000000002</v>
      </c>
      <c r="Y71">
        <v>16.693100000000001</v>
      </c>
      <c r="Z71">
        <v>16.862400000000001</v>
      </c>
      <c r="AA71">
        <v>17.031700000000001</v>
      </c>
      <c r="AD71">
        <v>7</v>
      </c>
      <c r="AE71">
        <v>0</v>
      </c>
      <c r="AF71">
        <v>0</v>
      </c>
      <c r="AG71">
        <v>1</v>
      </c>
      <c r="AH71">
        <v>0</v>
      </c>
      <c r="AI71">
        <v>0</v>
      </c>
      <c r="AJ71">
        <v>0</v>
      </c>
      <c r="AK71" t="s">
        <v>1213</v>
      </c>
      <c r="AL71" t="s">
        <v>6</v>
      </c>
      <c r="AM71" t="s">
        <v>1145</v>
      </c>
      <c r="AN71" t="s">
        <v>1146</v>
      </c>
      <c r="AO71" s="100">
        <v>46262.040405092594</v>
      </c>
      <c r="AP71" t="s">
        <v>1147</v>
      </c>
      <c r="AQ71" t="s">
        <v>1348</v>
      </c>
      <c r="AR71" t="s">
        <v>1236</v>
      </c>
      <c r="AS71" t="s">
        <v>1150</v>
      </c>
      <c r="AT71" t="s">
        <v>1151</v>
      </c>
      <c r="AU71">
        <v>25</v>
      </c>
      <c r="AV71">
        <v>16.518732000000004</v>
      </c>
      <c r="AW71">
        <v>0.14884634056637064</v>
      </c>
      <c r="AX71">
        <v>0.90107606665191131</v>
      </c>
      <c r="AY71">
        <v>-1.8648146011737141</v>
      </c>
      <c r="AZ71">
        <v>3.3515901111493678</v>
      </c>
      <c r="BA71">
        <v>5.6989477235888293</v>
      </c>
      <c r="BB71" s="97" t="s">
        <v>161</v>
      </c>
      <c r="BD71" s="98"/>
      <c r="BE71" s="98"/>
      <c r="BF71" t="s">
        <v>1152</v>
      </c>
      <c r="BG71" t="s">
        <v>322</v>
      </c>
      <c r="BH71" t="s">
        <v>1153</v>
      </c>
      <c r="BI71">
        <v>1.8648146011737141</v>
      </c>
      <c r="BJ71" t="s">
        <v>987</v>
      </c>
      <c r="BK71">
        <v>3.6484098888506322</v>
      </c>
      <c r="BL71">
        <v>52.120141269294749</v>
      </c>
      <c r="BM71" t="s">
        <v>1260</v>
      </c>
      <c r="BN71" t="s">
        <v>1154</v>
      </c>
      <c r="BO71">
        <v>2025</v>
      </c>
      <c r="BP71" t="s">
        <v>966</v>
      </c>
      <c r="BQ71">
        <v>230444.27981340454</v>
      </c>
      <c r="BR71">
        <v>76.955572018659552</v>
      </c>
      <c r="BS71" t="s">
        <v>992</v>
      </c>
      <c r="BV71" t="s">
        <v>1034</v>
      </c>
      <c r="BW71" t="s">
        <v>943</v>
      </c>
      <c r="BX71" t="s">
        <v>994</v>
      </c>
      <c r="BY71">
        <v>2.2373844984360725</v>
      </c>
      <c r="BZ71" t="s">
        <v>1155</v>
      </c>
      <c r="CA71" t="s">
        <v>991</v>
      </c>
      <c r="CB71" t="b">
        <v>1</v>
      </c>
      <c r="CC71" t="b">
        <v>1</v>
      </c>
      <c r="CD71" t="b">
        <v>1</v>
      </c>
      <c r="CE71" t="b">
        <v>1</v>
      </c>
      <c r="CF71" t="b">
        <v>1</v>
      </c>
    </row>
    <row r="72" spans="1:84" x14ac:dyDescent="0.3">
      <c r="A72" t="s">
        <v>1349</v>
      </c>
      <c r="B72" t="s">
        <v>1238</v>
      </c>
      <c r="C72" s="98">
        <v>45803</v>
      </c>
      <c r="D72">
        <v>2025</v>
      </c>
      <c r="E72">
        <v>5</v>
      </c>
      <c r="F72">
        <v>2</v>
      </c>
      <c r="G72" t="s">
        <v>1226</v>
      </c>
      <c r="H72" t="s">
        <v>122</v>
      </c>
      <c r="I72" t="s">
        <v>122</v>
      </c>
      <c r="J72" t="s">
        <v>6</v>
      </c>
      <c r="L72">
        <v>522611</v>
      </c>
      <c r="M72" s="99" t="s">
        <v>180</v>
      </c>
      <c r="N72">
        <v>3</v>
      </c>
      <c r="O72">
        <v>21</v>
      </c>
      <c r="P72">
        <v>16.633299999999998</v>
      </c>
      <c r="Q72" t="s">
        <v>352</v>
      </c>
      <c r="R72">
        <v>1</v>
      </c>
      <c r="S72">
        <v>16.523800000000001</v>
      </c>
      <c r="T72">
        <v>0.16930000000000001</v>
      </c>
      <c r="U72">
        <v>0.64678086237446564</v>
      </c>
      <c r="V72">
        <v>16.015900000000002</v>
      </c>
      <c r="W72">
        <v>16.185200000000002</v>
      </c>
      <c r="X72">
        <v>16.354500000000002</v>
      </c>
      <c r="Y72">
        <v>16.693100000000001</v>
      </c>
      <c r="Z72">
        <v>16.862400000000001</v>
      </c>
      <c r="AA72">
        <v>17.031700000000001</v>
      </c>
      <c r="AD72">
        <v>7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 t="s">
        <v>462</v>
      </c>
      <c r="AL72" t="s">
        <v>6</v>
      </c>
      <c r="AM72" t="s">
        <v>1145</v>
      </c>
      <c r="AN72" t="s">
        <v>1146</v>
      </c>
      <c r="AO72" s="100">
        <v>46262.040405092594</v>
      </c>
      <c r="AP72" t="s">
        <v>1147</v>
      </c>
      <c r="AQ72" t="s">
        <v>1350</v>
      </c>
      <c r="AR72" t="s">
        <v>1240</v>
      </c>
      <c r="AS72" t="s">
        <v>1150</v>
      </c>
      <c r="AT72" t="s">
        <v>1151</v>
      </c>
      <c r="AU72">
        <v>25</v>
      </c>
      <c r="AV72">
        <v>16.518732000000004</v>
      </c>
      <c r="AW72">
        <v>0.14884634056637064</v>
      </c>
      <c r="AX72">
        <v>0.90107606665191131</v>
      </c>
      <c r="AY72">
        <v>-1.8648146011737141</v>
      </c>
      <c r="AZ72">
        <v>3.3515901111493678</v>
      </c>
      <c r="BA72">
        <v>5.6989477235888293</v>
      </c>
      <c r="BB72" s="97" t="s">
        <v>161</v>
      </c>
      <c r="BD72" s="98"/>
      <c r="BE72" s="98"/>
      <c r="BF72" t="s">
        <v>1152</v>
      </c>
      <c r="BG72" t="s">
        <v>322</v>
      </c>
      <c r="BH72" t="s">
        <v>1153</v>
      </c>
      <c r="BI72">
        <v>1.8648146011737141</v>
      </c>
      <c r="BJ72" t="s">
        <v>987</v>
      </c>
      <c r="BK72">
        <v>3.6484098888506322</v>
      </c>
      <c r="BL72">
        <v>52.120141269294749</v>
      </c>
      <c r="BM72" t="s">
        <v>1260</v>
      </c>
      <c r="BN72" t="s">
        <v>1154</v>
      </c>
      <c r="BO72">
        <v>2025</v>
      </c>
      <c r="BP72" t="s">
        <v>966</v>
      </c>
      <c r="BQ72">
        <v>230444.27981340454</v>
      </c>
      <c r="BR72">
        <v>76.955572018659552</v>
      </c>
      <c r="BS72" t="s">
        <v>992</v>
      </c>
      <c r="BV72" t="s">
        <v>1034</v>
      </c>
      <c r="BW72" t="s">
        <v>943</v>
      </c>
      <c r="BX72" t="s">
        <v>994</v>
      </c>
      <c r="BY72">
        <v>2.2373844984360725</v>
      </c>
      <c r="BZ72" t="s">
        <v>1155</v>
      </c>
      <c r="CA72" t="s">
        <v>991</v>
      </c>
      <c r="CB72" t="b">
        <v>1</v>
      </c>
      <c r="CC72" t="b">
        <v>1</v>
      </c>
      <c r="CD72" t="b">
        <v>1</v>
      </c>
      <c r="CE72" t="b">
        <v>1</v>
      </c>
      <c r="CF72" t="b">
        <v>1</v>
      </c>
    </row>
    <row r="73" spans="1:84" x14ac:dyDescent="0.3">
      <c r="A73" t="s">
        <v>1351</v>
      </c>
      <c r="B73" t="s">
        <v>1242</v>
      </c>
      <c r="C73" s="98">
        <v>45810</v>
      </c>
      <c r="D73">
        <v>2025</v>
      </c>
      <c r="E73">
        <v>6</v>
      </c>
      <c r="F73">
        <v>2</v>
      </c>
      <c r="G73" t="s">
        <v>1243</v>
      </c>
      <c r="H73" t="s">
        <v>122</v>
      </c>
      <c r="I73" t="s">
        <v>122</v>
      </c>
      <c r="J73" t="s">
        <v>6</v>
      </c>
      <c r="L73">
        <v>522611</v>
      </c>
      <c r="M73" s="99" t="s">
        <v>180</v>
      </c>
      <c r="N73">
        <v>3</v>
      </c>
      <c r="O73">
        <v>22</v>
      </c>
      <c r="P73">
        <v>16.186599999999999</v>
      </c>
      <c r="Q73" t="s">
        <v>352</v>
      </c>
      <c r="R73">
        <v>1</v>
      </c>
      <c r="S73">
        <v>16.523800000000001</v>
      </c>
      <c r="T73">
        <v>0.16930000000000001</v>
      </c>
      <c r="U73">
        <v>-1.9917306556408909</v>
      </c>
      <c r="V73">
        <v>16.015900000000002</v>
      </c>
      <c r="W73">
        <v>16.185200000000002</v>
      </c>
      <c r="X73">
        <v>16.354500000000002</v>
      </c>
      <c r="Y73">
        <v>16.693100000000001</v>
      </c>
      <c r="Z73">
        <v>16.862400000000001</v>
      </c>
      <c r="AA73">
        <v>17.031700000000001</v>
      </c>
      <c r="AD73">
        <v>7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 t="s">
        <v>462</v>
      </c>
      <c r="AL73" t="s">
        <v>6</v>
      </c>
      <c r="AM73" t="s">
        <v>1145</v>
      </c>
      <c r="AN73" t="s">
        <v>1146</v>
      </c>
      <c r="AO73" s="100">
        <v>46262.040405092594</v>
      </c>
      <c r="AP73" t="s">
        <v>1147</v>
      </c>
      <c r="AQ73" t="s">
        <v>1352</v>
      </c>
      <c r="AR73" t="s">
        <v>1245</v>
      </c>
      <c r="AS73" t="s">
        <v>1150</v>
      </c>
      <c r="AT73" t="s">
        <v>1151</v>
      </c>
      <c r="AU73">
        <v>25</v>
      </c>
      <c r="AV73">
        <v>16.518732000000004</v>
      </c>
      <c r="AW73">
        <v>0.14884634056637064</v>
      </c>
      <c r="AX73">
        <v>0.90107606665191131</v>
      </c>
      <c r="AY73">
        <v>-1.8648146011737141</v>
      </c>
      <c r="AZ73">
        <v>3.3515901111493678</v>
      </c>
      <c r="BA73">
        <v>5.6989477235888293</v>
      </c>
      <c r="BB73" s="97" t="s">
        <v>161</v>
      </c>
      <c r="BD73" s="98"/>
      <c r="BE73" s="98"/>
      <c r="BF73" t="s">
        <v>1152</v>
      </c>
      <c r="BG73" t="s">
        <v>322</v>
      </c>
      <c r="BH73" t="s">
        <v>1153</v>
      </c>
      <c r="BI73">
        <v>1.8648146011737141</v>
      </c>
      <c r="BJ73" t="s">
        <v>987</v>
      </c>
      <c r="BK73">
        <v>3.6484098888506322</v>
      </c>
      <c r="BL73">
        <v>52.120141269294749</v>
      </c>
      <c r="BM73" t="s">
        <v>1260</v>
      </c>
      <c r="BN73" t="s">
        <v>1154</v>
      </c>
      <c r="BO73">
        <v>2025</v>
      </c>
      <c r="BP73" t="s">
        <v>966</v>
      </c>
      <c r="BQ73">
        <v>230444.27981340454</v>
      </c>
      <c r="BR73">
        <v>76.955572018659552</v>
      </c>
      <c r="BS73" t="s">
        <v>992</v>
      </c>
      <c r="BV73" t="s">
        <v>1034</v>
      </c>
      <c r="BW73" t="s">
        <v>943</v>
      </c>
      <c r="BX73" t="s">
        <v>994</v>
      </c>
      <c r="BY73">
        <v>2.2373844984360725</v>
      </c>
      <c r="BZ73" t="s">
        <v>1155</v>
      </c>
      <c r="CA73" t="s">
        <v>991</v>
      </c>
      <c r="CB73" t="b">
        <v>1</v>
      </c>
      <c r="CC73" t="b">
        <v>1</v>
      </c>
      <c r="CD73" t="b">
        <v>1</v>
      </c>
      <c r="CE73" t="b">
        <v>1</v>
      </c>
      <c r="CF73" t="b">
        <v>1</v>
      </c>
    </row>
    <row r="74" spans="1:84" x14ac:dyDescent="0.3">
      <c r="A74" t="s">
        <v>1353</v>
      </c>
      <c r="B74" t="s">
        <v>1247</v>
      </c>
      <c r="C74" s="98">
        <v>45817</v>
      </c>
      <c r="D74">
        <v>2025</v>
      </c>
      <c r="E74">
        <v>6</v>
      </c>
      <c r="F74">
        <v>2</v>
      </c>
      <c r="G74" t="s">
        <v>1243</v>
      </c>
      <c r="H74" t="s">
        <v>122</v>
      </c>
      <c r="I74" t="s">
        <v>122</v>
      </c>
      <c r="J74" t="s">
        <v>6</v>
      </c>
      <c r="L74">
        <v>522611</v>
      </c>
      <c r="M74" s="99" t="s">
        <v>180</v>
      </c>
      <c r="N74">
        <v>3</v>
      </c>
      <c r="O74">
        <v>23</v>
      </c>
      <c r="P74">
        <v>16.445399999999999</v>
      </c>
      <c r="Q74" t="s">
        <v>352</v>
      </c>
      <c r="R74">
        <v>1</v>
      </c>
      <c r="S74">
        <v>16.523800000000001</v>
      </c>
      <c r="T74">
        <v>0.16930000000000001</v>
      </c>
      <c r="U74">
        <v>-0.46308328411105742</v>
      </c>
      <c r="V74">
        <v>16.015900000000002</v>
      </c>
      <c r="W74">
        <v>16.185200000000002</v>
      </c>
      <c r="X74">
        <v>16.354500000000002</v>
      </c>
      <c r="Y74">
        <v>16.693100000000001</v>
      </c>
      <c r="Z74">
        <v>16.862400000000001</v>
      </c>
      <c r="AA74">
        <v>17.031700000000001</v>
      </c>
      <c r="AD74">
        <v>7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 t="s">
        <v>462</v>
      </c>
      <c r="AL74" t="s">
        <v>6</v>
      </c>
      <c r="AM74" t="s">
        <v>1145</v>
      </c>
      <c r="AN74" t="s">
        <v>1146</v>
      </c>
      <c r="AO74" s="100">
        <v>46262.040405092594</v>
      </c>
      <c r="AP74" t="s">
        <v>1147</v>
      </c>
      <c r="AQ74" t="s">
        <v>1354</v>
      </c>
      <c r="AR74" t="s">
        <v>1249</v>
      </c>
      <c r="AS74" t="s">
        <v>1150</v>
      </c>
      <c r="AT74" t="s">
        <v>1151</v>
      </c>
      <c r="AU74">
        <v>25</v>
      </c>
      <c r="AV74">
        <v>16.518732000000004</v>
      </c>
      <c r="AW74">
        <v>0.14884634056637064</v>
      </c>
      <c r="AX74">
        <v>0.90107606665191131</v>
      </c>
      <c r="AY74">
        <v>-1.8648146011737141</v>
      </c>
      <c r="AZ74">
        <v>3.3515901111493678</v>
      </c>
      <c r="BA74">
        <v>5.6989477235888293</v>
      </c>
      <c r="BB74" s="97" t="s">
        <v>161</v>
      </c>
      <c r="BD74" s="98"/>
      <c r="BE74" s="98"/>
      <c r="BF74" t="s">
        <v>1152</v>
      </c>
      <c r="BG74" t="s">
        <v>322</v>
      </c>
      <c r="BH74" t="s">
        <v>1153</v>
      </c>
      <c r="BI74">
        <v>1.8648146011737141</v>
      </c>
      <c r="BJ74" t="s">
        <v>987</v>
      </c>
      <c r="BK74">
        <v>3.6484098888506322</v>
      </c>
      <c r="BL74">
        <v>52.120141269294749</v>
      </c>
      <c r="BM74" t="s">
        <v>1260</v>
      </c>
      <c r="BN74" t="s">
        <v>1154</v>
      </c>
      <c r="BO74">
        <v>2025</v>
      </c>
      <c r="BP74" t="s">
        <v>966</v>
      </c>
      <c r="BQ74">
        <v>230444.27981340454</v>
      </c>
      <c r="BR74">
        <v>76.955572018659552</v>
      </c>
      <c r="BS74" t="s">
        <v>992</v>
      </c>
      <c r="BV74" t="s">
        <v>1034</v>
      </c>
      <c r="BW74" t="s">
        <v>943</v>
      </c>
      <c r="BX74" t="s">
        <v>994</v>
      </c>
      <c r="BY74">
        <v>2.2373844984360725</v>
      </c>
      <c r="BZ74" t="s">
        <v>1155</v>
      </c>
      <c r="CA74" t="s">
        <v>991</v>
      </c>
      <c r="CB74" t="b">
        <v>1</v>
      </c>
      <c r="CC74" t="b">
        <v>1</v>
      </c>
      <c r="CD74" t="b">
        <v>1</v>
      </c>
      <c r="CE74" t="b">
        <v>1</v>
      </c>
      <c r="CF74" t="b">
        <v>1</v>
      </c>
    </row>
    <row r="75" spans="1:84" x14ac:dyDescent="0.3">
      <c r="A75" t="s">
        <v>1355</v>
      </c>
      <c r="B75" t="s">
        <v>1251</v>
      </c>
      <c r="C75" s="98">
        <v>45824</v>
      </c>
      <c r="D75">
        <v>2025</v>
      </c>
      <c r="E75">
        <v>6</v>
      </c>
      <c r="F75">
        <v>2</v>
      </c>
      <c r="G75" t="s">
        <v>1243</v>
      </c>
      <c r="H75" t="s">
        <v>122</v>
      </c>
      <c r="I75" t="s">
        <v>122</v>
      </c>
      <c r="J75" t="s">
        <v>6</v>
      </c>
      <c r="L75">
        <v>522611</v>
      </c>
      <c r="M75" s="99" t="s">
        <v>180</v>
      </c>
      <c r="N75">
        <v>3</v>
      </c>
      <c r="O75">
        <v>24</v>
      </c>
      <c r="P75">
        <v>16.507300000000001</v>
      </c>
      <c r="Q75" t="s">
        <v>352</v>
      </c>
      <c r="R75">
        <v>1</v>
      </c>
      <c r="S75">
        <v>16.523800000000001</v>
      </c>
      <c r="T75">
        <v>0.16930000000000001</v>
      </c>
      <c r="U75">
        <v>-9.7460129946843624E-2</v>
      </c>
      <c r="V75">
        <v>16.015900000000002</v>
      </c>
      <c r="W75">
        <v>16.185200000000002</v>
      </c>
      <c r="X75">
        <v>16.354500000000002</v>
      </c>
      <c r="Y75">
        <v>16.693100000000001</v>
      </c>
      <c r="Z75">
        <v>16.862400000000001</v>
      </c>
      <c r="AA75">
        <v>17.031700000000001</v>
      </c>
      <c r="AD75">
        <v>7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 t="s">
        <v>462</v>
      </c>
      <c r="AL75" t="s">
        <v>6</v>
      </c>
      <c r="AM75" t="s">
        <v>1145</v>
      </c>
      <c r="AN75" t="s">
        <v>1146</v>
      </c>
      <c r="AO75" s="100">
        <v>46262.040405092594</v>
      </c>
      <c r="AP75" t="s">
        <v>1147</v>
      </c>
      <c r="AQ75" t="s">
        <v>1356</v>
      </c>
      <c r="AR75" t="s">
        <v>1253</v>
      </c>
      <c r="AS75" t="s">
        <v>1150</v>
      </c>
      <c r="AT75" t="s">
        <v>1151</v>
      </c>
      <c r="AU75">
        <v>25</v>
      </c>
      <c r="AV75">
        <v>16.518732000000004</v>
      </c>
      <c r="AW75">
        <v>0.14884634056637064</v>
      </c>
      <c r="AX75">
        <v>0.90107606665191131</v>
      </c>
      <c r="AY75">
        <v>-1.8648146011737141</v>
      </c>
      <c r="AZ75">
        <v>3.3515901111493678</v>
      </c>
      <c r="BA75">
        <v>5.6989477235888293</v>
      </c>
      <c r="BB75" s="97" t="s">
        <v>161</v>
      </c>
      <c r="BD75" s="98"/>
      <c r="BE75" s="98"/>
      <c r="BF75" t="s">
        <v>1152</v>
      </c>
      <c r="BG75" t="s">
        <v>322</v>
      </c>
      <c r="BH75" t="s">
        <v>1153</v>
      </c>
      <c r="BI75">
        <v>1.8648146011737141</v>
      </c>
      <c r="BJ75" t="s">
        <v>987</v>
      </c>
      <c r="BK75">
        <v>3.6484098888506322</v>
      </c>
      <c r="BL75">
        <v>52.120141269294749</v>
      </c>
      <c r="BM75" t="s">
        <v>1260</v>
      </c>
      <c r="BN75" t="s">
        <v>1154</v>
      </c>
      <c r="BO75">
        <v>2025</v>
      </c>
      <c r="BP75" t="s">
        <v>966</v>
      </c>
      <c r="BQ75">
        <v>230444.27981340454</v>
      </c>
      <c r="BR75">
        <v>76.955572018659552</v>
      </c>
      <c r="BS75" t="s">
        <v>992</v>
      </c>
      <c r="BV75" t="s">
        <v>1034</v>
      </c>
      <c r="BW75" t="s">
        <v>943</v>
      </c>
      <c r="BX75" t="s">
        <v>994</v>
      </c>
      <c r="BY75">
        <v>2.2373844984360725</v>
      </c>
      <c r="BZ75" t="s">
        <v>1155</v>
      </c>
      <c r="CA75" t="s">
        <v>991</v>
      </c>
      <c r="CB75" t="b">
        <v>1</v>
      </c>
      <c r="CC75" t="b">
        <v>1</v>
      </c>
      <c r="CD75" t="b">
        <v>1</v>
      </c>
      <c r="CE75" t="b">
        <v>1</v>
      </c>
      <c r="CF75" t="b">
        <v>1</v>
      </c>
    </row>
    <row r="76" spans="1:84" x14ac:dyDescent="0.3">
      <c r="A76" t="s">
        <v>1357</v>
      </c>
      <c r="B76" t="s">
        <v>1255</v>
      </c>
      <c r="C76" s="98">
        <v>45831</v>
      </c>
      <c r="D76">
        <v>2025</v>
      </c>
      <c r="E76">
        <v>6</v>
      </c>
      <c r="F76">
        <v>2</v>
      </c>
      <c r="G76" t="s">
        <v>1243</v>
      </c>
      <c r="H76" t="s">
        <v>122</v>
      </c>
      <c r="I76" t="s">
        <v>122</v>
      </c>
      <c r="J76" t="s">
        <v>6</v>
      </c>
      <c r="L76">
        <v>522611</v>
      </c>
      <c r="M76" s="99" t="s">
        <v>180</v>
      </c>
      <c r="N76">
        <v>3</v>
      </c>
      <c r="O76">
        <v>25</v>
      </c>
      <c r="P76">
        <v>16.736499999999999</v>
      </c>
      <c r="Q76" t="s">
        <v>352</v>
      </c>
      <c r="R76">
        <v>1</v>
      </c>
      <c r="S76">
        <v>16.523800000000001</v>
      </c>
      <c r="T76">
        <v>0.16930000000000001</v>
      </c>
      <c r="U76">
        <v>1.2563496751328891</v>
      </c>
      <c r="V76">
        <v>16.015900000000002</v>
      </c>
      <c r="W76">
        <v>16.185200000000002</v>
      </c>
      <c r="X76">
        <v>16.354500000000002</v>
      </c>
      <c r="Y76">
        <v>16.693100000000001</v>
      </c>
      <c r="Z76">
        <v>16.862400000000001</v>
      </c>
      <c r="AA76">
        <v>17.031700000000001</v>
      </c>
      <c r="AD76">
        <v>7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 t="s">
        <v>462</v>
      </c>
      <c r="AL76" t="s">
        <v>6</v>
      </c>
      <c r="AM76" t="s">
        <v>1145</v>
      </c>
      <c r="AN76" t="s">
        <v>1146</v>
      </c>
      <c r="AO76" s="100">
        <v>46262.040405092594</v>
      </c>
      <c r="AP76" t="s">
        <v>1147</v>
      </c>
      <c r="AQ76" t="s">
        <v>1358</v>
      </c>
      <c r="AR76" t="s">
        <v>1257</v>
      </c>
      <c r="AS76" t="s">
        <v>1150</v>
      </c>
      <c r="AT76" t="s">
        <v>1151</v>
      </c>
      <c r="AU76">
        <v>25</v>
      </c>
      <c r="AV76">
        <v>16.518732000000004</v>
      </c>
      <c r="AW76">
        <v>0.14884634056637064</v>
      </c>
      <c r="AX76">
        <v>0.90107606665191131</v>
      </c>
      <c r="AY76">
        <v>-1.8648146011737141</v>
      </c>
      <c r="AZ76">
        <v>3.3515901111493678</v>
      </c>
      <c r="BA76">
        <v>5.6989477235888293</v>
      </c>
      <c r="BB76" s="97" t="s">
        <v>161</v>
      </c>
      <c r="BD76" s="98"/>
      <c r="BE76" s="98"/>
      <c r="BF76" t="s">
        <v>1152</v>
      </c>
      <c r="BG76" t="s">
        <v>322</v>
      </c>
      <c r="BH76" t="s">
        <v>1153</v>
      </c>
      <c r="BI76">
        <v>1.8648146011737141</v>
      </c>
      <c r="BJ76" t="s">
        <v>987</v>
      </c>
      <c r="BK76">
        <v>3.6484098888506322</v>
      </c>
      <c r="BL76">
        <v>52.120141269294749</v>
      </c>
      <c r="BM76" t="s">
        <v>1260</v>
      </c>
      <c r="BN76" t="s">
        <v>1154</v>
      </c>
      <c r="BO76">
        <v>2025</v>
      </c>
      <c r="BP76" t="s">
        <v>966</v>
      </c>
      <c r="BQ76">
        <v>230444.27981340454</v>
      </c>
      <c r="BR76">
        <v>76.955572018659552</v>
      </c>
      <c r="BS76" t="s">
        <v>992</v>
      </c>
      <c r="BV76" t="s">
        <v>1034</v>
      </c>
      <c r="BW76" t="s">
        <v>943</v>
      </c>
      <c r="BX76" t="s">
        <v>994</v>
      </c>
      <c r="BY76">
        <v>2.2373844984360725</v>
      </c>
      <c r="BZ76" t="s">
        <v>1155</v>
      </c>
      <c r="CA76" t="s">
        <v>991</v>
      </c>
      <c r="CB76" t="b">
        <v>1</v>
      </c>
      <c r="CC76" t="b">
        <v>1</v>
      </c>
      <c r="CD76" t="b">
        <v>1</v>
      </c>
      <c r="CE76" t="b">
        <v>1</v>
      </c>
      <c r="CF76" t="b">
        <v>1</v>
      </c>
    </row>
    <row r="77" spans="1:84" x14ac:dyDescent="0.3">
      <c r="A77" t="s">
        <v>1359</v>
      </c>
      <c r="B77" t="s">
        <v>1143</v>
      </c>
      <c r="C77" s="98">
        <v>45663</v>
      </c>
      <c r="D77">
        <v>2025</v>
      </c>
      <c r="E77">
        <v>1</v>
      </c>
      <c r="F77">
        <v>1</v>
      </c>
      <c r="G77" t="s">
        <v>1144</v>
      </c>
      <c r="H77" t="s">
        <v>125</v>
      </c>
      <c r="I77" t="s">
        <v>125</v>
      </c>
      <c r="J77" t="s">
        <v>6</v>
      </c>
      <c r="L77">
        <v>522611</v>
      </c>
      <c r="M77" s="99" t="s">
        <v>178</v>
      </c>
      <c r="N77">
        <v>1</v>
      </c>
      <c r="O77">
        <v>1</v>
      </c>
      <c r="P77">
        <v>2.3216999999999999</v>
      </c>
      <c r="Q77" t="s">
        <v>352</v>
      </c>
      <c r="R77">
        <v>1</v>
      </c>
      <c r="S77">
        <v>2.3066</v>
      </c>
      <c r="T77">
        <v>2.1899999999999999E-2</v>
      </c>
      <c r="U77">
        <v>0.68949771689497219</v>
      </c>
      <c r="V77">
        <v>2.2408999999999999</v>
      </c>
      <c r="W77">
        <v>2.2627999999999999</v>
      </c>
      <c r="X77">
        <v>2.2847</v>
      </c>
      <c r="Y77">
        <v>2.3285</v>
      </c>
      <c r="Z77">
        <v>2.3504</v>
      </c>
      <c r="AA77">
        <v>2.3723000000000001</v>
      </c>
      <c r="AD77">
        <v>4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 t="s">
        <v>462</v>
      </c>
      <c r="AL77" t="s">
        <v>6</v>
      </c>
      <c r="AM77" t="s">
        <v>1145</v>
      </c>
      <c r="AN77" t="s">
        <v>1146</v>
      </c>
      <c r="AO77" s="100">
        <v>46262.040405092594</v>
      </c>
      <c r="AP77" t="s">
        <v>1147</v>
      </c>
      <c r="AQ77" t="s">
        <v>1360</v>
      </c>
      <c r="AR77" t="s">
        <v>1149</v>
      </c>
      <c r="AS77" t="s">
        <v>1150</v>
      </c>
      <c r="AT77" t="s">
        <v>1361</v>
      </c>
      <c r="AU77">
        <v>25</v>
      </c>
      <c r="AV77">
        <v>2.304872</v>
      </c>
      <c r="AW77">
        <v>1.8678765126920675E-2</v>
      </c>
      <c r="AX77">
        <v>0.81040357672446339</v>
      </c>
      <c r="AY77">
        <v>1.5336201252767589</v>
      </c>
      <c r="AZ77">
        <v>2.8707860268721235</v>
      </c>
      <c r="BA77">
        <v>3.0433970746920931</v>
      </c>
      <c r="BB77" s="97" t="s">
        <v>161</v>
      </c>
      <c r="BD77" s="98"/>
      <c r="BE77" s="98"/>
      <c r="BF77" t="s">
        <v>1152</v>
      </c>
      <c r="BG77" t="s">
        <v>322</v>
      </c>
      <c r="BH77" t="s">
        <v>1153</v>
      </c>
      <c r="BI77">
        <v>1.5336201252767589</v>
      </c>
      <c r="BJ77" t="s">
        <v>1032</v>
      </c>
      <c r="BK77">
        <v>1.1292139731278765</v>
      </c>
      <c r="BL77">
        <v>28.230349328196912</v>
      </c>
      <c r="BM77" t="s">
        <v>1260</v>
      </c>
      <c r="BN77" t="s">
        <v>1154</v>
      </c>
      <c r="BO77">
        <v>2025</v>
      </c>
      <c r="BP77" t="s">
        <v>966</v>
      </c>
      <c r="BQ77">
        <v>61367.231512688079</v>
      </c>
      <c r="BR77">
        <v>93.863276848731189</v>
      </c>
      <c r="BS77" t="s">
        <v>992</v>
      </c>
      <c r="BT77">
        <v>6</v>
      </c>
      <c r="BU77">
        <v>1</v>
      </c>
      <c r="BV77" t="s">
        <v>993</v>
      </c>
      <c r="BW77" t="s">
        <v>943</v>
      </c>
      <c r="BX77" t="s">
        <v>1033</v>
      </c>
      <c r="BY77">
        <v>3.0433970746920931</v>
      </c>
      <c r="BZ77" t="s">
        <v>1155</v>
      </c>
      <c r="CA77" t="s">
        <v>1032</v>
      </c>
      <c r="CB77" t="b">
        <v>1</v>
      </c>
      <c r="CC77" t="b">
        <v>1</v>
      </c>
      <c r="CD77" t="b">
        <v>1</v>
      </c>
      <c r="CE77" t="b">
        <v>1</v>
      </c>
      <c r="CF77" t="b">
        <v>1</v>
      </c>
    </row>
    <row r="78" spans="1:84" x14ac:dyDescent="0.3">
      <c r="A78" t="s">
        <v>1362</v>
      </c>
      <c r="B78" t="s">
        <v>1157</v>
      </c>
      <c r="C78" s="98">
        <v>45670</v>
      </c>
      <c r="D78">
        <v>2025</v>
      </c>
      <c r="E78">
        <v>1</v>
      </c>
      <c r="F78">
        <v>1</v>
      </c>
      <c r="G78" t="s">
        <v>1144</v>
      </c>
      <c r="H78" t="s">
        <v>125</v>
      </c>
      <c r="I78" t="s">
        <v>125</v>
      </c>
      <c r="J78" t="s">
        <v>6</v>
      </c>
      <c r="L78">
        <v>522611</v>
      </c>
      <c r="M78" s="99" t="s">
        <v>178</v>
      </c>
      <c r="N78">
        <v>1</v>
      </c>
      <c r="O78">
        <v>2</v>
      </c>
      <c r="P78">
        <v>2.2993999999999999</v>
      </c>
      <c r="Q78" t="s">
        <v>352</v>
      </c>
      <c r="R78">
        <v>1</v>
      </c>
      <c r="S78">
        <v>2.3066</v>
      </c>
      <c r="T78">
        <v>2.1899999999999999E-2</v>
      </c>
      <c r="U78">
        <v>-0.3287671232876756</v>
      </c>
      <c r="V78">
        <v>2.2408999999999999</v>
      </c>
      <c r="W78">
        <v>2.2627999999999999</v>
      </c>
      <c r="X78">
        <v>2.2847</v>
      </c>
      <c r="Y78">
        <v>2.3285</v>
      </c>
      <c r="Z78">
        <v>2.3504</v>
      </c>
      <c r="AA78">
        <v>2.3723000000000001</v>
      </c>
      <c r="AD78">
        <v>4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 t="s">
        <v>462</v>
      </c>
      <c r="AL78" t="s">
        <v>6</v>
      </c>
      <c r="AM78" t="s">
        <v>1145</v>
      </c>
      <c r="AN78" t="s">
        <v>1146</v>
      </c>
      <c r="AO78" s="100">
        <v>46262.040405092594</v>
      </c>
      <c r="AP78" t="s">
        <v>1147</v>
      </c>
      <c r="AQ78" t="s">
        <v>1363</v>
      </c>
      <c r="AR78" t="s">
        <v>1159</v>
      </c>
      <c r="AS78" t="s">
        <v>1150</v>
      </c>
      <c r="AT78" t="s">
        <v>1361</v>
      </c>
      <c r="AU78">
        <v>25</v>
      </c>
      <c r="AV78">
        <v>2.304872</v>
      </c>
      <c r="AW78">
        <v>1.8678765126920675E-2</v>
      </c>
      <c r="AX78">
        <v>0.81040357672446339</v>
      </c>
      <c r="AY78">
        <v>1.5336201252767589</v>
      </c>
      <c r="AZ78">
        <v>2.8707860268721235</v>
      </c>
      <c r="BA78">
        <v>3.0433970746920931</v>
      </c>
      <c r="BB78" s="97" t="s">
        <v>161</v>
      </c>
      <c r="BD78" s="98"/>
      <c r="BE78" s="98"/>
      <c r="BF78" t="s">
        <v>1152</v>
      </c>
      <c r="BG78" t="s">
        <v>322</v>
      </c>
      <c r="BH78" t="s">
        <v>1153</v>
      </c>
      <c r="BI78">
        <v>1.5336201252767589</v>
      </c>
      <c r="BJ78" t="s">
        <v>1032</v>
      </c>
      <c r="BK78">
        <v>1.1292139731278765</v>
      </c>
      <c r="BL78">
        <v>28.230349328196912</v>
      </c>
      <c r="BM78" t="s">
        <v>1260</v>
      </c>
      <c r="BN78" t="s">
        <v>1154</v>
      </c>
      <c r="BO78">
        <v>2025</v>
      </c>
      <c r="BP78" t="s">
        <v>966</v>
      </c>
      <c r="BQ78">
        <v>61367.231512688079</v>
      </c>
      <c r="BR78">
        <v>93.863276848731189</v>
      </c>
      <c r="BS78" t="s">
        <v>992</v>
      </c>
      <c r="BT78">
        <v>6</v>
      </c>
      <c r="BU78">
        <v>1</v>
      </c>
      <c r="BV78" t="s">
        <v>993</v>
      </c>
      <c r="BW78" t="s">
        <v>943</v>
      </c>
      <c r="BX78" t="s">
        <v>1033</v>
      </c>
      <c r="BY78">
        <v>3.0433970746920931</v>
      </c>
      <c r="BZ78" t="s">
        <v>1155</v>
      </c>
      <c r="CA78" t="s">
        <v>1032</v>
      </c>
      <c r="CB78" t="b">
        <v>1</v>
      </c>
      <c r="CC78" t="b">
        <v>1</v>
      </c>
      <c r="CD78" t="b">
        <v>1</v>
      </c>
      <c r="CE78" t="b">
        <v>1</v>
      </c>
      <c r="CF78" t="b">
        <v>1</v>
      </c>
    </row>
    <row r="79" spans="1:84" x14ac:dyDescent="0.3">
      <c r="A79" t="s">
        <v>1364</v>
      </c>
      <c r="B79" t="s">
        <v>1161</v>
      </c>
      <c r="C79" s="98">
        <v>45677</v>
      </c>
      <c r="D79">
        <v>2025</v>
      </c>
      <c r="E79">
        <v>1</v>
      </c>
      <c r="F79">
        <v>1</v>
      </c>
      <c r="G79" t="s">
        <v>1144</v>
      </c>
      <c r="H79" t="s">
        <v>125</v>
      </c>
      <c r="I79" t="s">
        <v>125</v>
      </c>
      <c r="J79" t="s">
        <v>6</v>
      </c>
      <c r="L79">
        <v>522611</v>
      </c>
      <c r="M79" s="99" t="s">
        <v>178</v>
      </c>
      <c r="N79">
        <v>1</v>
      </c>
      <c r="O79">
        <v>3</v>
      </c>
      <c r="P79">
        <v>2.2985000000000002</v>
      </c>
      <c r="Q79" t="s">
        <v>352</v>
      </c>
      <c r="R79">
        <v>1</v>
      </c>
      <c r="S79">
        <v>2.3066</v>
      </c>
      <c r="T79">
        <v>2.1899999999999999E-2</v>
      </c>
      <c r="U79">
        <v>-0.36986301369861985</v>
      </c>
      <c r="V79">
        <v>2.2408999999999999</v>
      </c>
      <c r="W79">
        <v>2.2627999999999999</v>
      </c>
      <c r="X79">
        <v>2.2847</v>
      </c>
      <c r="Y79">
        <v>2.3285</v>
      </c>
      <c r="Z79">
        <v>2.3504</v>
      </c>
      <c r="AA79">
        <v>2.3723000000000001</v>
      </c>
      <c r="AD79">
        <v>4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 t="s">
        <v>462</v>
      </c>
      <c r="AL79" t="s">
        <v>6</v>
      </c>
      <c r="AM79" t="s">
        <v>1145</v>
      </c>
      <c r="AN79" t="s">
        <v>1146</v>
      </c>
      <c r="AO79" s="100">
        <v>46262.040405092594</v>
      </c>
      <c r="AP79" t="s">
        <v>1147</v>
      </c>
      <c r="AQ79" t="s">
        <v>1365</v>
      </c>
      <c r="AR79" t="s">
        <v>1163</v>
      </c>
      <c r="AS79" t="s">
        <v>1150</v>
      </c>
      <c r="AT79" t="s">
        <v>1361</v>
      </c>
      <c r="AU79">
        <v>25</v>
      </c>
      <c r="AV79">
        <v>2.304872</v>
      </c>
      <c r="AW79">
        <v>1.8678765126920675E-2</v>
      </c>
      <c r="AX79">
        <v>0.81040357672446339</v>
      </c>
      <c r="AY79">
        <v>1.5336201252767589</v>
      </c>
      <c r="AZ79">
        <v>2.8707860268721235</v>
      </c>
      <c r="BA79">
        <v>3.0433970746920931</v>
      </c>
      <c r="BB79" s="97" t="s">
        <v>161</v>
      </c>
      <c r="BD79" s="98"/>
      <c r="BE79" s="98"/>
      <c r="BF79" t="s">
        <v>1152</v>
      </c>
      <c r="BG79" t="s">
        <v>322</v>
      </c>
      <c r="BH79" t="s">
        <v>1153</v>
      </c>
      <c r="BI79">
        <v>1.5336201252767589</v>
      </c>
      <c r="BJ79" t="s">
        <v>1032</v>
      </c>
      <c r="BK79">
        <v>1.1292139731278765</v>
      </c>
      <c r="BL79">
        <v>28.230349328196912</v>
      </c>
      <c r="BM79" t="s">
        <v>1260</v>
      </c>
      <c r="BN79" t="s">
        <v>1154</v>
      </c>
      <c r="BO79">
        <v>2025</v>
      </c>
      <c r="BP79" t="s">
        <v>966</v>
      </c>
      <c r="BQ79">
        <v>61367.231512688079</v>
      </c>
      <c r="BR79">
        <v>93.863276848731189</v>
      </c>
      <c r="BS79" t="s">
        <v>992</v>
      </c>
      <c r="BT79">
        <v>6</v>
      </c>
      <c r="BU79">
        <v>1</v>
      </c>
      <c r="BV79" t="s">
        <v>993</v>
      </c>
      <c r="BW79" t="s">
        <v>943</v>
      </c>
      <c r="BX79" t="s">
        <v>1033</v>
      </c>
      <c r="BY79">
        <v>3.0433970746920931</v>
      </c>
      <c r="BZ79" t="s">
        <v>1155</v>
      </c>
      <c r="CA79" t="s">
        <v>1032</v>
      </c>
      <c r="CB79" t="b">
        <v>1</v>
      </c>
      <c r="CC79" t="b">
        <v>1</v>
      </c>
      <c r="CD79" t="b">
        <v>1</v>
      </c>
      <c r="CE79" t="b">
        <v>1</v>
      </c>
      <c r="CF79" t="b">
        <v>1</v>
      </c>
    </row>
    <row r="80" spans="1:84" x14ac:dyDescent="0.3">
      <c r="A80" t="s">
        <v>1366</v>
      </c>
      <c r="B80" t="s">
        <v>1165</v>
      </c>
      <c r="C80" s="98">
        <v>45684</v>
      </c>
      <c r="D80">
        <v>2025</v>
      </c>
      <c r="E80">
        <v>1</v>
      </c>
      <c r="F80">
        <v>1</v>
      </c>
      <c r="G80" t="s">
        <v>1144</v>
      </c>
      <c r="H80" t="s">
        <v>125</v>
      </c>
      <c r="I80" t="s">
        <v>125</v>
      </c>
      <c r="J80" t="s">
        <v>6</v>
      </c>
      <c r="L80">
        <v>522611</v>
      </c>
      <c r="M80" s="99" t="s">
        <v>178</v>
      </c>
      <c r="N80">
        <v>1</v>
      </c>
      <c r="O80">
        <v>4</v>
      </c>
      <c r="P80">
        <v>2.3010999999999999</v>
      </c>
      <c r="Q80" t="s">
        <v>352</v>
      </c>
      <c r="R80">
        <v>1</v>
      </c>
      <c r="S80">
        <v>2.3066</v>
      </c>
      <c r="T80">
        <v>2.1899999999999999E-2</v>
      </c>
      <c r="U80">
        <v>-0.25114155251141829</v>
      </c>
      <c r="V80">
        <v>2.2408999999999999</v>
      </c>
      <c r="W80">
        <v>2.2627999999999999</v>
      </c>
      <c r="X80">
        <v>2.2847</v>
      </c>
      <c r="Y80">
        <v>2.3285</v>
      </c>
      <c r="Z80">
        <v>2.3504</v>
      </c>
      <c r="AA80">
        <v>2.3723000000000001</v>
      </c>
      <c r="AD80">
        <v>4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 t="s">
        <v>462</v>
      </c>
      <c r="AL80" t="s">
        <v>6</v>
      </c>
      <c r="AM80" t="s">
        <v>1145</v>
      </c>
      <c r="AN80" t="s">
        <v>1146</v>
      </c>
      <c r="AO80" s="100">
        <v>46262.040405092594</v>
      </c>
      <c r="AP80" t="s">
        <v>1147</v>
      </c>
      <c r="AQ80" t="s">
        <v>1367</v>
      </c>
      <c r="AR80" t="s">
        <v>1167</v>
      </c>
      <c r="AS80" t="s">
        <v>1150</v>
      </c>
      <c r="AT80" t="s">
        <v>1361</v>
      </c>
      <c r="AU80">
        <v>25</v>
      </c>
      <c r="AV80">
        <v>2.304872</v>
      </c>
      <c r="AW80">
        <v>1.8678765126920675E-2</v>
      </c>
      <c r="AX80">
        <v>0.81040357672446339</v>
      </c>
      <c r="AY80">
        <v>1.5336201252767589</v>
      </c>
      <c r="AZ80">
        <v>2.8707860268721235</v>
      </c>
      <c r="BA80">
        <v>3.0433970746920931</v>
      </c>
      <c r="BB80" s="97" t="s">
        <v>161</v>
      </c>
      <c r="BD80" s="98"/>
      <c r="BE80" s="98"/>
      <c r="BF80" t="s">
        <v>1152</v>
      </c>
      <c r="BG80" t="s">
        <v>322</v>
      </c>
      <c r="BH80" t="s">
        <v>1153</v>
      </c>
      <c r="BI80">
        <v>1.5336201252767589</v>
      </c>
      <c r="BJ80" t="s">
        <v>1032</v>
      </c>
      <c r="BK80">
        <v>1.1292139731278765</v>
      </c>
      <c r="BL80">
        <v>28.230349328196912</v>
      </c>
      <c r="BM80" t="s">
        <v>1260</v>
      </c>
      <c r="BN80" t="s">
        <v>1154</v>
      </c>
      <c r="BO80">
        <v>2025</v>
      </c>
      <c r="BP80" t="s">
        <v>966</v>
      </c>
      <c r="BQ80">
        <v>61367.231512688079</v>
      </c>
      <c r="BR80">
        <v>93.863276848731189</v>
      </c>
      <c r="BS80" t="s">
        <v>992</v>
      </c>
      <c r="BT80">
        <v>6</v>
      </c>
      <c r="BU80">
        <v>1</v>
      </c>
      <c r="BV80" t="s">
        <v>993</v>
      </c>
      <c r="BW80" t="s">
        <v>943</v>
      </c>
      <c r="BX80" t="s">
        <v>1033</v>
      </c>
      <c r="BY80">
        <v>3.0433970746920931</v>
      </c>
      <c r="BZ80" t="s">
        <v>1155</v>
      </c>
      <c r="CA80" t="s">
        <v>1032</v>
      </c>
      <c r="CB80" t="b">
        <v>1</v>
      </c>
      <c r="CC80" t="b">
        <v>1</v>
      </c>
      <c r="CD80" t="b">
        <v>1</v>
      </c>
      <c r="CE80" t="b">
        <v>1</v>
      </c>
      <c r="CF80" t="b">
        <v>1</v>
      </c>
    </row>
    <row r="81" spans="1:84" x14ac:dyDescent="0.3">
      <c r="A81" t="s">
        <v>1368</v>
      </c>
      <c r="B81" t="s">
        <v>1169</v>
      </c>
      <c r="C81" s="98">
        <v>45691</v>
      </c>
      <c r="D81">
        <v>2025</v>
      </c>
      <c r="E81">
        <v>2</v>
      </c>
      <c r="F81">
        <v>1</v>
      </c>
      <c r="G81" t="s">
        <v>1170</v>
      </c>
      <c r="H81" t="s">
        <v>125</v>
      </c>
      <c r="I81" t="s">
        <v>125</v>
      </c>
      <c r="J81" t="s">
        <v>6</v>
      </c>
      <c r="L81">
        <v>522611</v>
      </c>
      <c r="M81" s="99" t="s">
        <v>178</v>
      </c>
      <c r="N81">
        <v>1</v>
      </c>
      <c r="O81">
        <v>5</v>
      </c>
      <c r="P81">
        <v>2.3399000000000001</v>
      </c>
      <c r="Q81" t="s">
        <v>352</v>
      </c>
      <c r="R81">
        <v>1</v>
      </c>
      <c r="S81">
        <v>2.3066</v>
      </c>
      <c r="T81">
        <v>2.1899999999999999E-2</v>
      </c>
      <c r="U81">
        <v>1.5205479452054844</v>
      </c>
      <c r="V81">
        <v>2.2408999999999999</v>
      </c>
      <c r="W81">
        <v>2.2627999999999999</v>
      </c>
      <c r="X81">
        <v>2.2847</v>
      </c>
      <c r="Y81">
        <v>2.3285</v>
      </c>
      <c r="Z81">
        <v>2.3504</v>
      </c>
      <c r="AA81">
        <v>2.3723000000000001</v>
      </c>
      <c r="AD81">
        <v>4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 t="s">
        <v>462</v>
      </c>
      <c r="AL81" t="s">
        <v>6</v>
      </c>
      <c r="AM81" t="s">
        <v>1145</v>
      </c>
      <c r="AN81" t="s">
        <v>1146</v>
      </c>
      <c r="AO81" s="100">
        <v>46262.040405092594</v>
      </c>
      <c r="AP81" t="s">
        <v>1147</v>
      </c>
      <c r="AQ81" t="s">
        <v>1369</v>
      </c>
      <c r="AR81" t="s">
        <v>1172</v>
      </c>
      <c r="AS81" t="s">
        <v>1150</v>
      </c>
      <c r="AT81" t="s">
        <v>1361</v>
      </c>
      <c r="AU81">
        <v>25</v>
      </c>
      <c r="AV81">
        <v>2.304872</v>
      </c>
      <c r="AW81">
        <v>1.8678765126920675E-2</v>
      </c>
      <c r="AX81">
        <v>0.81040357672446339</v>
      </c>
      <c r="AY81">
        <v>1.5336201252767589</v>
      </c>
      <c r="AZ81">
        <v>2.8707860268721235</v>
      </c>
      <c r="BA81">
        <v>3.0433970746920931</v>
      </c>
      <c r="BB81" s="97" t="s">
        <v>161</v>
      </c>
      <c r="BD81" s="98"/>
      <c r="BE81" s="98"/>
      <c r="BF81" t="s">
        <v>1152</v>
      </c>
      <c r="BG81" t="s">
        <v>322</v>
      </c>
      <c r="BH81" t="s">
        <v>1153</v>
      </c>
      <c r="BI81">
        <v>1.5336201252767589</v>
      </c>
      <c r="BJ81" t="s">
        <v>1032</v>
      </c>
      <c r="BK81">
        <v>1.1292139731278765</v>
      </c>
      <c r="BL81">
        <v>28.230349328196912</v>
      </c>
      <c r="BM81" t="s">
        <v>1260</v>
      </c>
      <c r="BN81" t="s">
        <v>1154</v>
      </c>
      <c r="BO81">
        <v>2025</v>
      </c>
      <c r="BP81" t="s">
        <v>966</v>
      </c>
      <c r="BQ81">
        <v>61367.231512688079</v>
      </c>
      <c r="BR81">
        <v>93.863276848731189</v>
      </c>
      <c r="BS81" t="s">
        <v>992</v>
      </c>
      <c r="BT81">
        <v>6</v>
      </c>
      <c r="BU81">
        <v>1</v>
      </c>
      <c r="BV81" t="s">
        <v>993</v>
      </c>
      <c r="BW81" t="s">
        <v>943</v>
      </c>
      <c r="BX81" t="s">
        <v>1033</v>
      </c>
      <c r="BY81">
        <v>3.0433970746920931</v>
      </c>
      <c r="BZ81" t="s">
        <v>1155</v>
      </c>
      <c r="CA81" t="s">
        <v>1032</v>
      </c>
      <c r="CB81" t="b">
        <v>1</v>
      </c>
      <c r="CC81" t="b">
        <v>1</v>
      </c>
      <c r="CD81" t="b">
        <v>1</v>
      </c>
      <c r="CE81" t="b">
        <v>1</v>
      </c>
      <c r="CF81" t="b">
        <v>1</v>
      </c>
    </row>
    <row r="82" spans="1:84" x14ac:dyDescent="0.3">
      <c r="A82" t="s">
        <v>1370</v>
      </c>
      <c r="B82" t="s">
        <v>1174</v>
      </c>
      <c r="C82" s="98">
        <v>45698</v>
      </c>
      <c r="D82">
        <v>2025</v>
      </c>
      <c r="E82">
        <v>2</v>
      </c>
      <c r="F82">
        <v>1</v>
      </c>
      <c r="G82" t="s">
        <v>1170</v>
      </c>
      <c r="H82" t="s">
        <v>125</v>
      </c>
      <c r="I82" t="s">
        <v>125</v>
      </c>
      <c r="J82" t="s">
        <v>6</v>
      </c>
      <c r="L82">
        <v>522611</v>
      </c>
      <c r="M82" s="99" t="s">
        <v>178</v>
      </c>
      <c r="N82">
        <v>1</v>
      </c>
      <c r="O82">
        <v>6</v>
      </c>
      <c r="P82">
        <v>2.2972000000000001</v>
      </c>
      <c r="Q82" t="s">
        <v>352</v>
      </c>
      <c r="R82">
        <v>1</v>
      </c>
      <c r="S82">
        <v>2.3066</v>
      </c>
      <c r="T82">
        <v>2.1899999999999999E-2</v>
      </c>
      <c r="U82">
        <v>-0.42922374429223076</v>
      </c>
      <c r="V82">
        <v>2.2408999999999999</v>
      </c>
      <c r="W82">
        <v>2.2627999999999999</v>
      </c>
      <c r="X82">
        <v>2.2847</v>
      </c>
      <c r="Y82">
        <v>2.3285</v>
      </c>
      <c r="Z82">
        <v>2.3504</v>
      </c>
      <c r="AA82">
        <v>2.3723000000000001</v>
      </c>
      <c r="AD82">
        <v>4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 t="s">
        <v>462</v>
      </c>
      <c r="AL82" t="s">
        <v>6</v>
      </c>
      <c r="AM82" t="s">
        <v>1145</v>
      </c>
      <c r="AN82" t="s">
        <v>1146</v>
      </c>
      <c r="AO82" s="100">
        <v>46262.040405092594</v>
      </c>
      <c r="AP82" t="s">
        <v>1147</v>
      </c>
      <c r="AQ82" t="s">
        <v>1371</v>
      </c>
      <c r="AR82" t="s">
        <v>1176</v>
      </c>
      <c r="AS82" t="s">
        <v>1150</v>
      </c>
      <c r="AT82" t="s">
        <v>1361</v>
      </c>
      <c r="AU82">
        <v>25</v>
      </c>
      <c r="AV82">
        <v>2.304872</v>
      </c>
      <c r="AW82">
        <v>1.8678765126920675E-2</v>
      </c>
      <c r="AX82">
        <v>0.81040357672446339</v>
      </c>
      <c r="AY82">
        <v>1.5336201252767589</v>
      </c>
      <c r="AZ82">
        <v>2.8707860268721235</v>
      </c>
      <c r="BA82">
        <v>3.0433970746920931</v>
      </c>
      <c r="BB82" s="97" t="s">
        <v>161</v>
      </c>
      <c r="BD82" s="98"/>
      <c r="BE82" s="98"/>
      <c r="BF82" t="s">
        <v>1152</v>
      </c>
      <c r="BG82" t="s">
        <v>322</v>
      </c>
      <c r="BH82" t="s">
        <v>1153</v>
      </c>
      <c r="BI82">
        <v>1.5336201252767589</v>
      </c>
      <c r="BJ82" t="s">
        <v>1032</v>
      </c>
      <c r="BK82">
        <v>1.1292139731278765</v>
      </c>
      <c r="BL82">
        <v>28.230349328196912</v>
      </c>
      <c r="BM82" t="s">
        <v>1260</v>
      </c>
      <c r="BN82" t="s">
        <v>1154</v>
      </c>
      <c r="BO82">
        <v>2025</v>
      </c>
      <c r="BP82" t="s">
        <v>966</v>
      </c>
      <c r="BQ82">
        <v>61367.231512688079</v>
      </c>
      <c r="BR82">
        <v>93.863276848731189</v>
      </c>
      <c r="BS82" t="s">
        <v>992</v>
      </c>
      <c r="BT82">
        <v>6</v>
      </c>
      <c r="BU82">
        <v>1</v>
      </c>
      <c r="BV82" t="s">
        <v>993</v>
      </c>
      <c r="BW82" t="s">
        <v>943</v>
      </c>
      <c r="BX82" t="s">
        <v>1033</v>
      </c>
      <c r="BY82">
        <v>3.0433970746920931</v>
      </c>
      <c r="BZ82" t="s">
        <v>1155</v>
      </c>
      <c r="CA82" t="s">
        <v>1032</v>
      </c>
      <c r="CB82" t="b">
        <v>1</v>
      </c>
      <c r="CC82" t="b">
        <v>1</v>
      </c>
      <c r="CD82" t="b">
        <v>1</v>
      </c>
      <c r="CE82" t="b">
        <v>1</v>
      </c>
      <c r="CF82" t="b">
        <v>1</v>
      </c>
    </row>
    <row r="83" spans="1:84" x14ac:dyDescent="0.3">
      <c r="A83" t="s">
        <v>1372</v>
      </c>
      <c r="B83" t="s">
        <v>1178</v>
      </c>
      <c r="C83" s="98">
        <v>45705</v>
      </c>
      <c r="D83">
        <v>2025</v>
      </c>
      <c r="E83">
        <v>2</v>
      </c>
      <c r="F83">
        <v>1</v>
      </c>
      <c r="G83" t="s">
        <v>1170</v>
      </c>
      <c r="H83" t="s">
        <v>125</v>
      </c>
      <c r="I83" t="s">
        <v>125</v>
      </c>
      <c r="J83" t="s">
        <v>6</v>
      </c>
      <c r="L83">
        <v>522611</v>
      </c>
      <c r="M83" s="99" t="s">
        <v>178</v>
      </c>
      <c r="N83">
        <v>1</v>
      </c>
      <c r="O83">
        <v>7</v>
      </c>
      <c r="P83">
        <v>2.2999000000000001</v>
      </c>
      <c r="Q83" t="s">
        <v>352</v>
      </c>
      <c r="R83">
        <v>1</v>
      </c>
      <c r="S83">
        <v>2.3066</v>
      </c>
      <c r="T83">
        <v>2.1899999999999999E-2</v>
      </c>
      <c r="U83">
        <v>-0.30593607305935744</v>
      </c>
      <c r="V83">
        <v>2.2408999999999999</v>
      </c>
      <c r="W83">
        <v>2.2627999999999999</v>
      </c>
      <c r="X83">
        <v>2.2847</v>
      </c>
      <c r="Y83">
        <v>2.3285</v>
      </c>
      <c r="Z83">
        <v>2.3504</v>
      </c>
      <c r="AA83">
        <v>2.3723000000000001</v>
      </c>
      <c r="AD83">
        <v>4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 t="s">
        <v>462</v>
      </c>
      <c r="AL83" t="s">
        <v>6</v>
      </c>
      <c r="AM83" t="s">
        <v>1145</v>
      </c>
      <c r="AN83" t="s">
        <v>1146</v>
      </c>
      <c r="AO83" s="100">
        <v>46262.040405092594</v>
      </c>
      <c r="AP83" t="s">
        <v>1147</v>
      </c>
      <c r="AQ83" t="s">
        <v>1373</v>
      </c>
      <c r="AR83" t="s">
        <v>1180</v>
      </c>
      <c r="AS83" t="s">
        <v>1150</v>
      </c>
      <c r="AT83" t="s">
        <v>1361</v>
      </c>
      <c r="AU83">
        <v>25</v>
      </c>
      <c r="AV83">
        <v>2.304872</v>
      </c>
      <c r="AW83">
        <v>1.8678765126920675E-2</v>
      </c>
      <c r="AX83">
        <v>0.81040357672446339</v>
      </c>
      <c r="AY83">
        <v>1.5336201252767589</v>
      </c>
      <c r="AZ83">
        <v>2.8707860268721235</v>
      </c>
      <c r="BA83">
        <v>3.0433970746920931</v>
      </c>
      <c r="BB83" s="97" t="s">
        <v>161</v>
      </c>
      <c r="BD83" s="98"/>
      <c r="BE83" s="98"/>
      <c r="BF83" t="s">
        <v>1152</v>
      </c>
      <c r="BG83" t="s">
        <v>322</v>
      </c>
      <c r="BH83" t="s">
        <v>1153</v>
      </c>
      <c r="BI83">
        <v>1.5336201252767589</v>
      </c>
      <c r="BJ83" t="s">
        <v>1032</v>
      </c>
      <c r="BK83">
        <v>1.1292139731278765</v>
      </c>
      <c r="BL83">
        <v>28.230349328196912</v>
      </c>
      <c r="BM83" t="s">
        <v>1260</v>
      </c>
      <c r="BN83" t="s">
        <v>1154</v>
      </c>
      <c r="BO83">
        <v>2025</v>
      </c>
      <c r="BP83" t="s">
        <v>966</v>
      </c>
      <c r="BQ83">
        <v>61367.231512688079</v>
      </c>
      <c r="BR83">
        <v>93.863276848731189</v>
      </c>
      <c r="BS83" t="s">
        <v>992</v>
      </c>
      <c r="BT83">
        <v>6</v>
      </c>
      <c r="BU83">
        <v>1</v>
      </c>
      <c r="BV83" t="s">
        <v>993</v>
      </c>
      <c r="BW83" t="s">
        <v>943</v>
      </c>
      <c r="BX83" t="s">
        <v>1033</v>
      </c>
      <c r="BY83">
        <v>3.0433970746920931</v>
      </c>
      <c r="BZ83" t="s">
        <v>1155</v>
      </c>
      <c r="CA83" t="s">
        <v>1032</v>
      </c>
      <c r="CB83" t="b">
        <v>1</v>
      </c>
      <c r="CC83" t="b">
        <v>1</v>
      </c>
      <c r="CD83" t="b">
        <v>1</v>
      </c>
      <c r="CE83" t="b">
        <v>1</v>
      </c>
      <c r="CF83" t="b">
        <v>1</v>
      </c>
    </row>
    <row r="84" spans="1:84" x14ac:dyDescent="0.3">
      <c r="A84" t="s">
        <v>1374</v>
      </c>
      <c r="B84" t="s">
        <v>1182</v>
      </c>
      <c r="C84" s="98">
        <v>45712</v>
      </c>
      <c r="D84">
        <v>2025</v>
      </c>
      <c r="E84">
        <v>2</v>
      </c>
      <c r="F84">
        <v>1</v>
      </c>
      <c r="G84" t="s">
        <v>1170</v>
      </c>
      <c r="H84" t="s">
        <v>125</v>
      </c>
      <c r="I84" t="s">
        <v>125</v>
      </c>
      <c r="J84" t="s">
        <v>6</v>
      </c>
      <c r="L84">
        <v>522611</v>
      </c>
      <c r="M84" s="99" t="s">
        <v>178</v>
      </c>
      <c r="N84">
        <v>1</v>
      </c>
      <c r="O84">
        <v>8</v>
      </c>
      <c r="P84">
        <v>2.3142999999999998</v>
      </c>
      <c r="Q84" t="s">
        <v>352</v>
      </c>
      <c r="R84">
        <v>1</v>
      </c>
      <c r="S84">
        <v>2.3066</v>
      </c>
      <c r="T84">
        <v>2.1899999999999999E-2</v>
      </c>
      <c r="U84">
        <v>0.35159817351597344</v>
      </c>
      <c r="V84">
        <v>2.2408999999999999</v>
      </c>
      <c r="W84">
        <v>2.2627999999999999</v>
      </c>
      <c r="X84">
        <v>2.2847</v>
      </c>
      <c r="Y84">
        <v>2.3285</v>
      </c>
      <c r="Z84">
        <v>2.3504</v>
      </c>
      <c r="AA84">
        <v>2.3723000000000001</v>
      </c>
      <c r="AD84">
        <v>4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 t="s">
        <v>462</v>
      </c>
      <c r="AL84" t="s">
        <v>6</v>
      </c>
      <c r="AM84" t="s">
        <v>1145</v>
      </c>
      <c r="AN84" t="s">
        <v>1146</v>
      </c>
      <c r="AO84" s="100">
        <v>46262.040405092594</v>
      </c>
      <c r="AP84" t="s">
        <v>1147</v>
      </c>
      <c r="AQ84" t="s">
        <v>1375</v>
      </c>
      <c r="AR84" t="s">
        <v>1184</v>
      </c>
      <c r="AS84" t="s">
        <v>1150</v>
      </c>
      <c r="AT84" t="s">
        <v>1361</v>
      </c>
      <c r="AU84">
        <v>25</v>
      </c>
      <c r="AV84">
        <v>2.304872</v>
      </c>
      <c r="AW84">
        <v>1.8678765126920675E-2</v>
      </c>
      <c r="AX84">
        <v>0.81040357672446339</v>
      </c>
      <c r="AY84">
        <v>1.5336201252767589</v>
      </c>
      <c r="AZ84">
        <v>2.8707860268721235</v>
      </c>
      <c r="BA84">
        <v>3.0433970746920931</v>
      </c>
      <c r="BB84" s="97" t="s">
        <v>161</v>
      </c>
      <c r="BD84" s="98"/>
      <c r="BE84" s="98"/>
      <c r="BF84" t="s">
        <v>1152</v>
      </c>
      <c r="BG84" t="s">
        <v>322</v>
      </c>
      <c r="BH84" t="s">
        <v>1153</v>
      </c>
      <c r="BI84">
        <v>1.5336201252767589</v>
      </c>
      <c r="BJ84" t="s">
        <v>1032</v>
      </c>
      <c r="BK84">
        <v>1.1292139731278765</v>
      </c>
      <c r="BL84">
        <v>28.230349328196912</v>
      </c>
      <c r="BM84" t="s">
        <v>1260</v>
      </c>
      <c r="BN84" t="s">
        <v>1154</v>
      </c>
      <c r="BO84">
        <v>2025</v>
      </c>
      <c r="BP84" t="s">
        <v>966</v>
      </c>
      <c r="BQ84">
        <v>61367.231512688079</v>
      </c>
      <c r="BR84">
        <v>93.863276848731189</v>
      </c>
      <c r="BS84" t="s">
        <v>992</v>
      </c>
      <c r="BT84">
        <v>6</v>
      </c>
      <c r="BU84">
        <v>1</v>
      </c>
      <c r="BV84" t="s">
        <v>993</v>
      </c>
      <c r="BW84" t="s">
        <v>943</v>
      </c>
      <c r="BX84" t="s">
        <v>1033</v>
      </c>
      <c r="BY84">
        <v>3.0433970746920931</v>
      </c>
      <c r="BZ84" t="s">
        <v>1155</v>
      </c>
      <c r="CA84" t="s">
        <v>1032</v>
      </c>
      <c r="CB84" t="b">
        <v>1</v>
      </c>
      <c r="CC84" t="b">
        <v>1</v>
      </c>
      <c r="CD84" t="b">
        <v>1</v>
      </c>
      <c r="CE84" t="b">
        <v>1</v>
      </c>
      <c r="CF84" t="b">
        <v>1</v>
      </c>
    </row>
    <row r="85" spans="1:84" x14ac:dyDescent="0.3">
      <c r="A85" t="s">
        <v>1376</v>
      </c>
      <c r="B85" t="s">
        <v>1186</v>
      </c>
      <c r="C85" s="98">
        <v>45719</v>
      </c>
      <c r="D85">
        <v>2025</v>
      </c>
      <c r="E85">
        <v>3</v>
      </c>
      <c r="F85">
        <v>1</v>
      </c>
      <c r="G85" t="s">
        <v>1187</v>
      </c>
      <c r="H85" t="s">
        <v>125</v>
      </c>
      <c r="I85" t="s">
        <v>125</v>
      </c>
      <c r="J85" t="s">
        <v>6</v>
      </c>
      <c r="L85">
        <v>522611</v>
      </c>
      <c r="M85" s="99" t="s">
        <v>178</v>
      </c>
      <c r="N85">
        <v>1</v>
      </c>
      <c r="O85">
        <v>9</v>
      </c>
      <c r="P85">
        <v>2.3039000000000001</v>
      </c>
      <c r="Q85" t="s">
        <v>352</v>
      </c>
      <c r="R85">
        <v>1</v>
      </c>
      <c r="S85">
        <v>2.3066</v>
      </c>
      <c r="T85">
        <v>2.1899999999999999E-2</v>
      </c>
      <c r="U85">
        <v>-0.12328767123287328</v>
      </c>
      <c r="V85">
        <v>2.2408999999999999</v>
      </c>
      <c r="W85">
        <v>2.2627999999999999</v>
      </c>
      <c r="X85">
        <v>2.2847</v>
      </c>
      <c r="Y85">
        <v>2.3285</v>
      </c>
      <c r="Z85">
        <v>2.3504</v>
      </c>
      <c r="AA85">
        <v>2.3723000000000001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 t="s">
        <v>462</v>
      </c>
      <c r="AL85" t="s">
        <v>6</v>
      </c>
      <c r="AM85" t="s">
        <v>1145</v>
      </c>
      <c r="AN85" t="s">
        <v>1146</v>
      </c>
      <c r="AO85" s="100">
        <v>46262.040405092594</v>
      </c>
      <c r="AP85" t="s">
        <v>1147</v>
      </c>
      <c r="AQ85" t="s">
        <v>1377</v>
      </c>
      <c r="AR85" t="s">
        <v>1189</v>
      </c>
      <c r="AS85" t="s">
        <v>1150</v>
      </c>
      <c r="AT85" t="s">
        <v>1361</v>
      </c>
      <c r="AU85">
        <v>25</v>
      </c>
      <c r="AV85">
        <v>2.304872</v>
      </c>
      <c r="AW85">
        <v>1.8678765126920675E-2</v>
      </c>
      <c r="AX85">
        <v>0.81040357672446339</v>
      </c>
      <c r="AY85">
        <v>1.5336201252767589</v>
      </c>
      <c r="AZ85">
        <v>2.8707860268721235</v>
      </c>
      <c r="BA85">
        <v>3.0433970746920931</v>
      </c>
      <c r="BB85" s="97" t="s">
        <v>161</v>
      </c>
      <c r="BD85" s="98"/>
      <c r="BE85" s="98"/>
      <c r="BF85" t="s">
        <v>1152</v>
      </c>
      <c r="BG85" t="s">
        <v>322</v>
      </c>
      <c r="BH85" t="s">
        <v>1153</v>
      </c>
      <c r="BI85">
        <v>1.5336201252767589</v>
      </c>
      <c r="BJ85" t="s">
        <v>1032</v>
      </c>
      <c r="BK85">
        <v>1.1292139731278765</v>
      </c>
      <c r="BL85">
        <v>28.230349328196912</v>
      </c>
      <c r="BM85" t="s">
        <v>1260</v>
      </c>
      <c r="BN85" t="s">
        <v>1154</v>
      </c>
      <c r="BO85">
        <v>2025</v>
      </c>
      <c r="BP85" t="s">
        <v>966</v>
      </c>
      <c r="BQ85">
        <v>61367.231512688079</v>
      </c>
      <c r="BR85">
        <v>93.863276848731189</v>
      </c>
      <c r="BS85" t="s">
        <v>992</v>
      </c>
      <c r="BT85">
        <v>6</v>
      </c>
      <c r="BU85">
        <v>1</v>
      </c>
      <c r="BV85" t="s">
        <v>993</v>
      </c>
      <c r="BW85" t="s">
        <v>943</v>
      </c>
      <c r="BX85" t="s">
        <v>1033</v>
      </c>
      <c r="BY85">
        <v>3.0433970746920931</v>
      </c>
      <c r="BZ85" t="s">
        <v>1155</v>
      </c>
      <c r="CA85" t="s">
        <v>1032</v>
      </c>
      <c r="CB85" t="b">
        <v>1</v>
      </c>
      <c r="CC85" t="b">
        <v>1</v>
      </c>
      <c r="CD85" t="b">
        <v>1</v>
      </c>
      <c r="CE85" t="b">
        <v>1</v>
      </c>
      <c r="CF85" t="b">
        <v>1</v>
      </c>
    </row>
    <row r="86" spans="1:84" x14ac:dyDescent="0.3">
      <c r="A86" t="s">
        <v>1378</v>
      </c>
      <c r="B86" t="s">
        <v>1191</v>
      </c>
      <c r="C86" s="98">
        <v>45726</v>
      </c>
      <c r="D86">
        <v>2025</v>
      </c>
      <c r="E86">
        <v>3</v>
      </c>
      <c r="F86">
        <v>1</v>
      </c>
      <c r="G86" t="s">
        <v>1187</v>
      </c>
      <c r="H86" t="s">
        <v>125</v>
      </c>
      <c r="I86" t="s">
        <v>125</v>
      </c>
      <c r="J86" t="s">
        <v>6</v>
      </c>
      <c r="L86">
        <v>522611</v>
      </c>
      <c r="M86" s="99" t="s">
        <v>178</v>
      </c>
      <c r="N86">
        <v>1</v>
      </c>
      <c r="O86">
        <v>10</v>
      </c>
      <c r="P86">
        <v>2.3022</v>
      </c>
      <c r="Q86" t="s">
        <v>352</v>
      </c>
      <c r="R86">
        <v>1</v>
      </c>
      <c r="S86">
        <v>2.3066</v>
      </c>
      <c r="T86">
        <v>2.1899999999999999E-2</v>
      </c>
      <c r="U86">
        <v>-0.20091324200913058</v>
      </c>
      <c r="V86">
        <v>2.2408999999999999</v>
      </c>
      <c r="W86">
        <v>2.2627999999999999</v>
      </c>
      <c r="X86">
        <v>2.2847</v>
      </c>
      <c r="Y86">
        <v>2.3285</v>
      </c>
      <c r="Z86">
        <v>2.3504</v>
      </c>
      <c r="AA86">
        <v>2.3723000000000001</v>
      </c>
      <c r="AD86">
        <v>4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 t="s">
        <v>462</v>
      </c>
      <c r="AL86" t="s">
        <v>6</v>
      </c>
      <c r="AM86" t="s">
        <v>1145</v>
      </c>
      <c r="AN86" t="s">
        <v>1146</v>
      </c>
      <c r="AO86" s="100">
        <v>46262.040405092594</v>
      </c>
      <c r="AP86" t="s">
        <v>1147</v>
      </c>
      <c r="AQ86" t="s">
        <v>1379</v>
      </c>
      <c r="AR86" t="s">
        <v>1193</v>
      </c>
      <c r="AS86" t="s">
        <v>1150</v>
      </c>
      <c r="AT86" t="s">
        <v>1361</v>
      </c>
      <c r="AU86">
        <v>25</v>
      </c>
      <c r="AV86">
        <v>2.304872</v>
      </c>
      <c r="AW86">
        <v>1.8678765126920675E-2</v>
      </c>
      <c r="AX86">
        <v>0.81040357672446339</v>
      </c>
      <c r="AY86">
        <v>1.5336201252767589</v>
      </c>
      <c r="AZ86">
        <v>2.8707860268721235</v>
      </c>
      <c r="BA86">
        <v>3.0433970746920931</v>
      </c>
      <c r="BB86" s="97" t="s">
        <v>161</v>
      </c>
      <c r="BD86" s="98"/>
      <c r="BE86" s="98"/>
      <c r="BF86" t="s">
        <v>1152</v>
      </c>
      <c r="BG86" t="s">
        <v>322</v>
      </c>
      <c r="BH86" t="s">
        <v>1153</v>
      </c>
      <c r="BI86">
        <v>1.5336201252767589</v>
      </c>
      <c r="BJ86" t="s">
        <v>1032</v>
      </c>
      <c r="BK86">
        <v>1.1292139731278765</v>
      </c>
      <c r="BL86">
        <v>28.230349328196912</v>
      </c>
      <c r="BM86" t="s">
        <v>1260</v>
      </c>
      <c r="BN86" t="s">
        <v>1154</v>
      </c>
      <c r="BO86">
        <v>2025</v>
      </c>
      <c r="BP86" t="s">
        <v>966</v>
      </c>
      <c r="BQ86">
        <v>61367.231512688079</v>
      </c>
      <c r="BR86">
        <v>93.863276848731189</v>
      </c>
      <c r="BS86" t="s">
        <v>992</v>
      </c>
      <c r="BT86">
        <v>6</v>
      </c>
      <c r="BU86">
        <v>1</v>
      </c>
      <c r="BV86" t="s">
        <v>993</v>
      </c>
      <c r="BW86" t="s">
        <v>943</v>
      </c>
      <c r="BX86" t="s">
        <v>1033</v>
      </c>
      <c r="BY86">
        <v>3.0433970746920931</v>
      </c>
      <c r="BZ86" t="s">
        <v>1155</v>
      </c>
      <c r="CA86" t="s">
        <v>1032</v>
      </c>
      <c r="CB86" t="b">
        <v>1</v>
      </c>
      <c r="CC86" t="b">
        <v>1</v>
      </c>
      <c r="CD86" t="b">
        <v>1</v>
      </c>
      <c r="CE86" t="b">
        <v>1</v>
      </c>
      <c r="CF86" t="b">
        <v>1</v>
      </c>
    </row>
    <row r="87" spans="1:84" x14ac:dyDescent="0.3">
      <c r="A87" t="s">
        <v>1380</v>
      </c>
      <c r="B87" t="s">
        <v>1195</v>
      </c>
      <c r="C87" s="98">
        <v>45733</v>
      </c>
      <c r="D87">
        <v>2025</v>
      </c>
      <c r="E87">
        <v>3</v>
      </c>
      <c r="F87">
        <v>1</v>
      </c>
      <c r="G87" t="s">
        <v>1187</v>
      </c>
      <c r="H87" t="s">
        <v>125</v>
      </c>
      <c r="I87" t="s">
        <v>125</v>
      </c>
      <c r="J87" t="s">
        <v>6</v>
      </c>
      <c r="L87">
        <v>522611</v>
      </c>
      <c r="M87" s="99" t="s">
        <v>178</v>
      </c>
      <c r="N87">
        <v>1</v>
      </c>
      <c r="O87">
        <v>11</v>
      </c>
      <c r="P87">
        <v>2.2820999999999998</v>
      </c>
      <c r="Q87" t="s">
        <v>352</v>
      </c>
      <c r="R87">
        <v>1</v>
      </c>
      <c r="S87">
        <v>2.3066</v>
      </c>
      <c r="T87">
        <v>2.1899999999999999E-2</v>
      </c>
      <c r="U87">
        <v>-1.1187214611872232</v>
      </c>
      <c r="V87">
        <v>2.2408999999999999</v>
      </c>
      <c r="W87">
        <v>2.2627999999999999</v>
      </c>
      <c r="X87">
        <v>2.2847</v>
      </c>
      <c r="Y87">
        <v>2.3285</v>
      </c>
      <c r="Z87">
        <v>2.3504</v>
      </c>
      <c r="AA87">
        <v>2.3723000000000001</v>
      </c>
      <c r="AD87">
        <v>4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 t="s">
        <v>462</v>
      </c>
      <c r="AL87" t="s">
        <v>6</v>
      </c>
      <c r="AM87" t="s">
        <v>1145</v>
      </c>
      <c r="AN87" t="s">
        <v>1146</v>
      </c>
      <c r="AO87" s="100">
        <v>46262.040405092594</v>
      </c>
      <c r="AP87" t="s">
        <v>1147</v>
      </c>
      <c r="AQ87" t="s">
        <v>1381</v>
      </c>
      <c r="AR87" t="s">
        <v>1197</v>
      </c>
      <c r="AS87" t="s">
        <v>1150</v>
      </c>
      <c r="AT87" t="s">
        <v>1361</v>
      </c>
      <c r="AU87">
        <v>25</v>
      </c>
      <c r="AV87">
        <v>2.304872</v>
      </c>
      <c r="AW87">
        <v>1.8678765126920675E-2</v>
      </c>
      <c r="AX87">
        <v>0.81040357672446339</v>
      </c>
      <c r="AY87">
        <v>1.5336201252767589</v>
      </c>
      <c r="AZ87">
        <v>2.8707860268721235</v>
      </c>
      <c r="BA87">
        <v>3.0433970746920931</v>
      </c>
      <c r="BB87" s="97" t="s">
        <v>161</v>
      </c>
      <c r="BD87" s="98"/>
      <c r="BE87" s="98"/>
      <c r="BF87" t="s">
        <v>1152</v>
      </c>
      <c r="BG87" t="s">
        <v>322</v>
      </c>
      <c r="BH87" t="s">
        <v>1153</v>
      </c>
      <c r="BI87">
        <v>1.5336201252767589</v>
      </c>
      <c r="BJ87" t="s">
        <v>1032</v>
      </c>
      <c r="BK87">
        <v>1.1292139731278765</v>
      </c>
      <c r="BL87">
        <v>28.230349328196912</v>
      </c>
      <c r="BM87" t="s">
        <v>1260</v>
      </c>
      <c r="BN87" t="s">
        <v>1154</v>
      </c>
      <c r="BO87">
        <v>2025</v>
      </c>
      <c r="BP87" t="s">
        <v>966</v>
      </c>
      <c r="BQ87">
        <v>61367.231512688079</v>
      </c>
      <c r="BR87">
        <v>93.863276848731189</v>
      </c>
      <c r="BS87" t="s">
        <v>992</v>
      </c>
      <c r="BT87">
        <v>6</v>
      </c>
      <c r="BU87">
        <v>1</v>
      </c>
      <c r="BV87" t="s">
        <v>993</v>
      </c>
      <c r="BW87" t="s">
        <v>943</v>
      </c>
      <c r="BX87" t="s">
        <v>1033</v>
      </c>
      <c r="BY87">
        <v>3.0433970746920931</v>
      </c>
      <c r="BZ87" t="s">
        <v>1155</v>
      </c>
      <c r="CA87" t="s">
        <v>1032</v>
      </c>
      <c r="CB87" t="b">
        <v>1</v>
      </c>
      <c r="CC87" t="b">
        <v>1</v>
      </c>
      <c r="CD87" t="b">
        <v>1</v>
      </c>
      <c r="CE87" t="b">
        <v>1</v>
      </c>
      <c r="CF87" t="b">
        <v>1</v>
      </c>
    </row>
    <row r="88" spans="1:84" x14ac:dyDescent="0.3">
      <c r="A88" t="s">
        <v>1382</v>
      </c>
      <c r="B88" t="s">
        <v>1199</v>
      </c>
      <c r="C88" s="98">
        <v>45740</v>
      </c>
      <c r="D88">
        <v>2025</v>
      </c>
      <c r="E88">
        <v>3</v>
      </c>
      <c r="F88">
        <v>1</v>
      </c>
      <c r="G88" t="s">
        <v>1187</v>
      </c>
      <c r="H88" t="s">
        <v>125</v>
      </c>
      <c r="I88" t="s">
        <v>125</v>
      </c>
      <c r="J88" t="s">
        <v>6</v>
      </c>
      <c r="L88">
        <v>522611</v>
      </c>
      <c r="M88" s="99" t="s">
        <v>178</v>
      </c>
      <c r="N88">
        <v>1</v>
      </c>
      <c r="O88">
        <v>12</v>
      </c>
      <c r="P88">
        <v>2.3062999999999998</v>
      </c>
      <c r="Q88" t="s">
        <v>352</v>
      </c>
      <c r="R88">
        <v>1</v>
      </c>
      <c r="S88">
        <v>2.3066</v>
      </c>
      <c r="T88">
        <v>2.1899999999999999E-2</v>
      </c>
      <c r="U88">
        <v>-1.3698630136994933E-2</v>
      </c>
      <c r="V88">
        <v>2.2408999999999999</v>
      </c>
      <c r="W88">
        <v>2.2627999999999999</v>
      </c>
      <c r="X88">
        <v>2.2847</v>
      </c>
      <c r="Y88">
        <v>2.3285</v>
      </c>
      <c r="Z88">
        <v>2.3504</v>
      </c>
      <c r="AA88">
        <v>2.3723000000000001</v>
      </c>
      <c r="AD88">
        <v>4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 t="s">
        <v>462</v>
      </c>
      <c r="AL88" t="s">
        <v>6</v>
      </c>
      <c r="AM88" t="s">
        <v>1145</v>
      </c>
      <c r="AN88" t="s">
        <v>1146</v>
      </c>
      <c r="AO88" s="100">
        <v>46262.040405092594</v>
      </c>
      <c r="AP88" t="s">
        <v>1147</v>
      </c>
      <c r="AQ88" t="s">
        <v>1383</v>
      </c>
      <c r="AR88" t="s">
        <v>1201</v>
      </c>
      <c r="AS88" t="s">
        <v>1150</v>
      </c>
      <c r="AT88" t="s">
        <v>1361</v>
      </c>
      <c r="AU88">
        <v>25</v>
      </c>
      <c r="AV88">
        <v>2.304872</v>
      </c>
      <c r="AW88">
        <v>1.8678765126920675E-2</v>
      </c>
      <c r="AX88">
        <v>0.81040357672446339</v>
      </c>
      <c r="AY88">
        <v>1.5336201252767589</v>
      </c>
      <c r="AZ88">
        <v>2.8707860268721235</v>
      </c>
      <c r="BA88">
        <v>3.0433970746920931</v>
      </c>
      <c r="BB88" s="97" t="s">
        <v>161</v>
      </c>
      <c r="BD88" s="98"/>
      <c r="BE88" s="98"/>
      <c r="BF88" t="s">
        <v>1152</v>
      </c>
      <c r="BG88" t="s">
        <v>322</v>
      </c>
      <c r="BH88" t="s">
        <v>1153</v>
      </c>
      <c r="BI88">
        <v>1.5336201252767589</v>
      </c>
      <c r="BJ88" t="s">
        <v>1032</v>
      </c>
      <c r="BK88">
        <v>1.1292139731278765</v>
      </c>
      <c r="BL88">
        <v>28.230349328196912</v>
      </c>
      <c r="BM88" t="s">
        <v>1260</v>
      </c>
      <c r="BN88" t="s">
        <v>1154</v>
      </c>
      <c r="BO88">
        <v>2025</v>
      </c>
      <c r="BP88" t="s">
        <v>966</v>
      </c>
      <c r="BQ88">
        <v>61367.231512688079</v>
      </c>
      <c r="BR88">
        <v>93.863276848731189</v>
      </c>
      <c r="BS88" t="s">
        <v>992</v>
      </c>
      <c r="BT88">
        <v>6</v>
      </c>
      <c r="BU88">
        <v>1</v>
      </c>
      <c r="BV88" t="s">
        <v>993</v>
      </c>
      <c r="BW88" t="s">
        <v>943</v>
      </c>
      <c r="BX88" t="s">
        <v>1033</v>
      </c>
      <c r="BY88">
        <v>3.0433970746920931</v>
      </c>
      <c r="BZ88" t="s">
        <v>1155</v>
      </c>
      <c r="CA88" t="s">
        <v>1032</v>
      </c>
      <c r="CB88" t="b">
        <v>1</v>
      </c>
      <c r="CC88" t="b">
        <v>1</v>
      </c>
      <c r="CD88" t="b">
        <v>1</v>
      </c>
      <c r="CE88" t="b">
        <v>1</v>
      </c>
      <c r="CF88" t="b">
        <v>1</v>
      </c>
    </row>
    <row r="89" spans="1:84" x14ac:dyDescent="0.3">
      <c r="A89" t="s">
        <v>1384</v>
      </c>
      <c r="B89" t="s">
        <v>1203</v>
      </c>
      <c r="C89" s="98">
        <v>45747</v>
      </c>
      <c r="D89">
        <v>2025</v>
      </c>
      <c r="E89">
        <v>3</v>
      </c>
      <c r="F89">
        <v>1</v>
      </c>
      <c r="G89" t="s">
        <v>1187</v>
      </c>
      <c r="H89" t="s">
        <v>125</v>
      </c>
      <c r="I89" t="s">
        <v>125</v>
      </c>
      <c r="J89" t="s">
        <v>6</v>
      </c>
      <c r="L89">
        <v>522611</v>
      </c>
      <c r="M89" s="99" t="s">
        <v>178</v>
      </c>
      <c r="N89">
        <v>1</v>
      </c>
      <c r="O89">
        <v>13</v>
      </c>
      <c r="P89">
        <v>2.2968000000000002</v>
      </c>
      <c r="Q89" t="s">
        <v>352</v>
      </c>
      <c r="R89">
        <v>1</v>
      </c>
      <c r="S89">
        <v>2.3066</v>
      </c>
      <c r="T89">
        <v>2.1899999999999999E-2</v>
      </c>
      <c r="U89">
        <v>-0.4474885844748771</v>
      </c>
      <c r="V89">
        <v>2.2408999999999999</v>
      </c>
      <c r="W89">
        <v>2.2627999999999999</v>
      </c>
      <c r="X89">
        <v>2.2847</v>
      </c>
      <c r="Y89">
        <v>2.3285</v>
      </c>
      <c r="Z89">
        <v>2.3504</v>
      </c>
      <c r="AA89">
        <v>2.3723000000000001</v>
      </c>
      <c r="AD89">
        <v>4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 t="s">
        <v>462</v>
      </c>
      <c r="AL89" t="s">
        <v>6</v>
      </c>
      <c r="AM89" t="s">
        <v>1145</v>
      </c>
      <c r="AN89" t="s">
        <v>1146</v>
      </c>
      <c r="AO89" s="100">
        <v>46262.040405092594</v>
      </c>
      <c r="AP89" t="s">
        <v>1147</v>
      </c>
      <c r="AQ89" t="s">
        <v>1385</v>
      </c>
      <c r="AR89" t="s">
        <v>1205</v>
      </c>
      <c r="AS89" t="s">
        <v>1150</v>
      </c>
      <c r="AT89" t="s">
        <v>1361</v>
      </c>
      <c r="AU89">
        <v>25</v>
      </c>
      <c r="AV89">
        <v>2.304872</v>
      </c>
      <c r="AW89">
        <v>1.8678765126920675E-2</v>
      </c>
      <c r="AX89">
        <v>0.81040357672446339</v>
      </c>
      <c r="AY89">
        <v>1.5336201252767589</v>
      </c>
      <c r="AZ89">
        <v>2.8707860268721235</v>
      </c>
      <c r="BA89">
        <v>3.0433970746920931</v>
      </c>
      <c r="BB89" s="97" t="s">
        <v>161</v>
      </c>
      <c r="BD89" s="98"/>
      <c r="BE89" s="98"/>
      <c r="BF89" t="s">
        <v>1152</v>
      </c>
      <c r="BG89" t="s">
        <v>322</v>
      </c>
      <c r="BH89" t="s">
        <v>1153</v>
      </c>
      <c r="BI89">
        <v>1.5336201252767589</v>
      </c>
      <c r="BJ89" t="s">
        <v>1032</v>
      </c>
      <c r="BK89">
        <v>1.1292139731278765</v>
      </c>
      <c r="BL89">
        <v>28.230349328196912</v>
      </c>
      <c r="BM89" t="s">
        <v>1260</v>
      </c>
      <c r="BN89" t="s">
        <v>1154</v>
      </c>
      <c r="BO89">
        <v>2025</v>
      </c>
      <c r="BP89" t="s">
        <v>966</v>
      </c>
      <c r="BQ89">
        <v>61367.231512688079</v>
      </c>
      <c r="BR89">
        <v>93.863276848731189</v>
      </c>
      <c r="BS89" t="s">
        <v>992</v>
      </c>
      <c r="BT89">
        <v>6</v>
      </c>
      <c r="BU89">
        <v>1</v>
      </c>
      <c r="BV89" t="s">
        <v>993</v>
      </c>
      <c r="BW89" t="s">
        <v>943</v>
      </c>
      <c r="BX89" t="s">
        <v>1033</v>
      </c>
      <c r="BY89">
        <v>3.0433970746920931</v>
      </c>
      <c r="BZ89" t="s">
        <v>1155</v>
      </c>
      <c r="CA89" t="s">
        <v>1032</v>
      </c>
      <c r="CB89" t="b">
        <v>1</v>
      </c>
      <c r="CC89" t="b">
        <v>1</v>
      </c>
      <c r="CD89" t="b">
        <v>1</v>
      </c>
      <c r="CE89" t="b">
        <v>1</v>
      </c>
      <c r="CF89" t="b">
        <v>1</v>
      </c>
    </row>
    <row r="90" spans="1:84" x14ac:dyDescent="0.3">
      <c r="A90" t="s">
        <v>1386</v>
      </c>
      <c r="B90" t="s">
        <v>1207</v>
      </c>
      <c r="C90" s="98">
        <v>45754</v>
      </c>
      <c r="D90">
        <v>2025</v>
      </c>
      <c r="E90">
        <v>4</v>
      </c>
      <c r="F90">
        <v>2</v>
      </c>
      <c r="G90" t="s">
        <v>1208</v>
      </c>
      <c r="H90" t="s">
        <v>125</v>
      </c>
      <c r="I90" t="s">
        <v>125</v>
      </c>
      <c r="J90" t="s">
        <v>6</v>
      </c>
      <c r="L90">
        <v>522611</v>
      </c>
      <c r="M90" s="99" t="s">
        <v>178</v>
      </c>
      <c r="N90">
        <v>1</v>
      </c>
      <c r="O90">
        <v>14</v>
      </c>
      <c r="P90">
        <v>2.3321000000000001</v>
      </c>
      <c r="Q90" t="s">
        <v>352</v>
      </c>
      <c r="R90">
        <v>1</v>
      </c>
      <c r="S90">
        <v>2.3066</v>
      </c>
      <c r="T90">
        <v>2.1899999999999999E-2</v>
      </c>
      <c r="U90">
        <v>1.1643835616438392</v>
      </c>
      <c r="V90">
        <v>2.2408999999999999</v>
      </c>
      <c r="W90">
        <v>2.2627999999999999</v>
      </c>
      <c r="X90">
        <v>2.2847</v>
      </c>
      <c r="Y90">
        <v>2.3285</v>
      </c>
      <c r="Z90">
        <v>2.3504</v>
      </c>
      <c r="AA90">
        <v>2.3723000000000001</v>
      </c>
      <c r="AD90">
        <v>4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 t="s">
        <v>462</v>
      </c>
      <c r="AL90" t="s">
        <v>6</v>
      </c>
      <c r="AM90" t="s">
        <v>1145</v>
      </c>
      <c r="AN90" t="s">
        <v>1146</v>
      </c>
      <c r="AO90" s="100">
        <v>46262.040405092594</v>
      </c>
      <c r="AP90" t="s">
        <v>1147</v>
      </c>
      <c r="AQ90" t="s">
        <v>1387</v>
      </c>
      <c r="AR90" t="s">
        <v>1210</v>
      </c>
      <c r="AS90" t="s">
        <v>1150</v>
      </c>
      <c r="AT90" t="s">
        <v>1361</v>
      </c>
      <c r="AU90">
        <v>25</v>
      </c>
      <c r="AV90">
        <v>2.304872</v>
      </c>
      <c r="AW90">
        <v>1.8678765126920675E-2</v>
      </c>
      <c r="AX90">
        <v>0.81040357672446339</v>
      </c>
      <c r="AY90">
        <v>1.5336201252767589</v>
      </c>
      <c r="AZ90">
        <v>2.8707860268721235</v>
      </c>
      <c r="BA90">
        <v>3.0433970746920931</v>
      </c>
      <c r="BB90" s="97" t="s">
        <v>161</v>
      </c>
      <c r="BD90" s="98"/>
      <c r="BE90" s="98"/>
      <c r="BF90" t="s">
        <v>1152</v>
      </c>
      <c r="BG90" t="s">
        <v>322</v>
      </c>
      <c r="BH90" t="s">
        <v>1153</v>
      </c>
      <c r="BI90">
        <v>1.5336201252767589</v>
      </c>
      <c r="BJ90" t="s">
        <v>1032</v>
      </c>
      <c r="BK90">
        <v>1.1292139731278765</v>
      </c>
      <c r="BL90">
        <v>28.230349328196912</v>
      </c>
      <c r="BM90" t="s">
        <v>1260</v>
      </c>
      <c r="BN90" t="s">
        <v>1154</v>
      </c>
      <c r="BO90">
        <v>2025</v>
      </c>
      <c r="BP90" t="s">
        <v>966</v>
      </c>
      <c r="BQ90">
        <v>61367.231512688079</v>
      </c>
      <c r="BR90">
        <v>93.863276848731189</v>
      </c>
      <c r="BS90" t="s">
        <v>992</v>
      </c>
      <c r="BT90">
        <v>6</v>
      </c>
      <c r="BU90">
        <v>1</v>
      </c>
      <c r="BV90" t="s">
        <v>993</v>
      </c>
      <c r="BW90" t="s">
        <v>943</v>
      </c>
      <c r="BX90" t="s">
        <v>1033</v>
      </c>
      <c r="BY90">
        <v>3.0433970746920931</v>
      </c>
      <c r="BZ90" t="s">
        <v>1155</v>
      </c>
      <c r="CA90" t="s">
        <v>1032</v>
      </c>
      <c r="CB90" t="b">
        <v>1</v>
      </c>
      <c r="CC90" t="b">
        <v>1</v>
      </c>
      <c r="CD90" t="b">
        <v>1</v>
      </c>
      <c r="CE90" t="b">
        <v>1</v>
      </c>
      <c r="CF90" t="b">
        <v>1</v>
      </c>
    </row>
    <row r="91" spans="1:84" x14ac:dyDescent="0.3">
      <c r="A91" t="s">
        <v>1388</v>
      </c>
      <c r="B91" t="s">
        <v>1212</v>
      </c>
      <c r="C91" s="98">
        <v>45761</v>
      </c>
      <c r="D91">
        <v>2025</v>
      </c>
      <c r="E91">
        <v>4</v>
      </c>
      <c r="F91">
        <v>2</v>
      </c>
      <c r="G91" t="s">
        <v>1208</v>
      </c>
      <c r="H91" t="s">
        <v>125</v>
      </c>
      <c r="I91" t="s">
        <v>125</v>
      </c>
      <c r="J91" t="s">
        <v>6</v>
      </c>
      <c r="L91">
        <v>522611</v>
      </c>
      <c r="M91" s="99" t="s">
        <v>178</v>
      </c>
      <c r="N91">
        <v>1</v>
      </c>
      <c r="O91">
        <v>15</v>
      </c>
      <c r="P91">
        <v>2.3209</v>
      </c>
      <c r="Q91" t="s">
        <v>352</v>
      </c>
      <c r="R91">
        <v>1</v>
      </c>
      <c r="S91">
        <v>2.3066</v>
      </c>
      <c r="T91">
        <v>2.1899999999999999E-2</v>
      </c>
      <c r="U91">
        <v>0.6529680365296795</v>
      </c>
      <c r="V91">
        <v>2.2408999999999999</v>
      </c>
      <c r="W91">
        <v>2.2627999999999999</v>
      </c>
      <c r="X91">
        <v>2.2847</v>
      </c>
      <c r="Y91">
        <v>2.3285</v>
      </c>
      <c r="Z91">
        <v>2.3504</v>
      </c>
      <c r="AA91">
        <v>2.3723000000000001</v>
      </c>
      <c r="AD91">
        <v>4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 t="s">
        <v>462</v>
      </c>
      <c r="AL91" t="s">
        <v>6</v>
      </c>
      <c r="AM91" t="s">
        <v>1145</v>
      </c>
      <c r="AN91" t="s">
        <v>1146</v>
      </c>
      <c r="AO91" s="100">
        <v>46262.040405092594</v>
      </c>
      <c r="AP91" t="s">
        <v>1147</v>
      </c>
      <c r="AQ91" t="s">
        <v>1389</v>
      </c>
      <c r="AR91" t="s">
        <v>1215</v>
      </c>
      <c r="AS91" t="s">
        <v>1150</v>
      </c>
      <c r="AT91" t="s">
        <v>1361</v>
      </c>
      <c r="AU91">
        <v>25</v>
      </c>
      <c r="AV91">
        <v>2.304872</v>
      </c>
      <c r="AW91">
        <v>1.8678765126920675E-2</v>
      </c>
      <c r="AX91">
        <v>0.81040357672446339</v>
      </c>
      <c r="AY91">
        <v>1.5336201252767589</v>
      </c>
      <c r="AZ91">
        <v>2.8707860268721235</v>
      </c>
      <c r="BA91">
        <v>3.0433970746920931</v>
      </c>
      <c r="BB91" s="97" t="s">
        <v>161</v>
      </c>
      <c r="BD91" s="98"/>
      <c r="BE91" s="98"/>
      <c r="BF91" t="s">
        <v>1152</v>
      </c>
      <c r="BG91" t="s">
        <v>322</v>
      </c>
      <c r="BH91" t="s">
        <v>1153</v>
      </c>
      <c r="BI91">
        <v>1.5336201252767589</v>
      </c>
      <c r="BJ91" t="s">
        <v>1032</v>
      </c>
      <c r="BK91">
        <v>1.1292139731278765</v>
      </c>
      <c r="BL91">
        <v>28.230349328196912</v>
      </c>
      <c r="BM91" t="s">
        <v>1260</v>
      </c>
      <c r="BN91" t="s">
        <v>1154</v>
      </c>
      <c r="BO91">
        <v>2025</v>
      </c>
      <c r="BP91" t="s">
        <v>966</v>
      </c>
      <c r="BQ91">
        <v>61367.231512688079</v>
      </c>
      <c r="BR91">
        <v>93.863276848731189</v>
      </c>
      <c r="BS91" t="s">
        <v>992</v>
      </c>
      <c r="BT91">
        <v>6</v>
      </c>
      <c r="BU91">
        <v>1</v>
      </c>
      <c r="BV91" t="s">
        <v>993</v>
      </c>
      <c r="BW91" t="s">
        <v>943</v>
      </c>
      <c r="BX91" t="s">
        <v>1033</v>
      </c>
      <c r="BY91">
        <v>3.0433970746920931</v>
      </c>
      <c r="BZ91" t="s">
        <v>1155</v>
      </c>
      <c r="CA91" t="s">
        <v>1032</v>
      </c>
      <c r="CB91" t="b">
        <v>1</v>
      </c>
      <c r="CC91" t="b">
        <v>1</v>
      </c>
      <c r="CD91" t="b">
        <v>1</v>
      </c>
      <c r="CE91" t="b">
        <v>1</v>
      </c>
      <c r="CF91" t="b">
        <v>1</v>
      </c>
    </row>
    <row r="92" spans="1:84" x14ac:dyDescent="0.3">
      <c r="A92" t="s">
        <v>1390</v>
      </c>
      <c r="B92" t="s">
        <v>1217</v>
      </c>
      <c r="C92" s="98">
        <v>45768</v>
      </c>
      <c r="D92">
        <v>2025</v>
      </c>
      <c r="E92">
        <v>4</v>
      </c>
      <c r="F92">
        <v>2</v>
      </c>
      <c r="G92" t="s">
        <v>1208</v>
      </c>
      <c r="H92" t="s">
        <v>125</v>
      </c>
      <c r="I92" t="s">
        <v>125</v>
      </c>
      <c r="J92" t="s">
        <v>6</v>
      </c>
      <c r="L92">
        <v>522611</v>
      </c>
      <c r="M92" s="99" t="s">
        <v>178</v>
      </c>
      <c r="N92">
        <v>1</v>
      </c>
      <c r="O92">
        <v>16</v>
      </c>
      <c r="P92">
        <v>2.306</v>
      </c>
      <c r="Q92" t="s">
        <v>352</v>
      </c>
      <c r="R92">
        <v>1</v>
      </c>
      <c r="S92">
        <v>2.3066</v>
      </c>
      <c r="T92">
        <v>2.1899999999999999E-2</v>
      </c>
      <c r="U92">
        <v>-2.7397260273969586E-2</v>
      </c>
      <c r="V92">
        <v>2.2408999999999999</v>
      </c>
      <c r="W92">
        <v>2.2627999999999999</v>
      </c>
      <c r="X92">
        <v>2.2847</v>
      </c>
      <c r="Y92">
        <v>2.3285</v>
      </c>
      <c r="Z92">
        <v>2.3504</v>
      </c>
      <c r="AA92">
        <v>2.3723000000000001</v>
      </c>
      <c r="AD92">
        <v>4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 t="s">
        <v>462</v>
      </c>
      <c r="AL92" t="s">
        <v>6</v>
      </c>
      <c r="AM92" t="s">
        <v>1145</v>
      </c>
      <c r="AN92" t="s">
        <v>1146</v>
      </c>
      <c r="AO92" s="100">
        <v>46262.040405092594</v>
      </c>
      <c r="AP92" t="s">
        <v>1147</v>
      </c>
      <c r="AQ92" t="s">
        <v>1391</v>
      </c>
      <c r="AR92" t="s">
        <v>1219</v>
      </c>
      <c r="AS92" t="s">
        <v>1150</v>
      </c>
      <c r="AT92" t="s">
        <v>1361</v>
      </c>
      <c r="AU92">
        <v>25</v>
      </c>
      <c r="AV92">
        <v>2.304872</v>
      </c>
      <c r="AW92">
        <v>1.8678765126920675E-2</v>
      </c>
      <c r="AX92">
        <v>0.81040357672446339</v>
      </c>
      <c r="AY92">
        <v>1.5336201252767589</v>
      </c>
      <c r="AZ92">
        <v>2.8707860268721235</v>
      </c>
      <c r="BA92">
        <v>3.0433970746920931</v>
      </c>
      <c r="BB92" s="97" t="s">
        <v>161</v>
      </c>
      <c r="BD92" s="98"/>
      <c r="BE92" s="98"/>
      <c r="BF92" t="s">
        <v>1152</v>
      </c>
      <c r="BG92" t="s">
        <v>322</v>
      </c>
      <c r="BH92" t="s">
        <v>1153</v>
      </c>
      <c r="BI92">
        <v>1.5336201252767589</v>
      </c>
      <c r="BJ92" t="s">
        <v>1032</v>
      </c>
      <c r="BK92">
        <v>1.1292139731278765</v>
      </c>
      <c r="BL92">
        <v>28.230349328196912</v>
      </c>
      <c r="BM92" t="s">
        <v>1260</v>
      </c>
      <c r="BN92" t="s">
        <v>1154</v>
      </c>
      <c r="BO92">
        <v>2025</v>
      </c>
      <c r="BP92" t="s">
        <v>966</v>
      </c>
      <c r="BQ92">
        <v>61367.231512688079</v>
      </c>
      <c r="BR92">
        <v>93.863276848731189</v>
      </c>
      <c r="BS92" t="s">
        <v>992</v>
      </c>
      <c r="BT92">
        <v>6</v>
      </c>
      <c r="BU92">
        <v>1</v>
      </c>
      <c r="BV92" t="s">
        <v>993</v>
      </c>
      <c r="BW92" t="s">
        <v>943</v>
      </c>
      <c r="BX92" t="s">
        <v>1033</v>
      </c>
      <c r="BY92">
        <v>3.0433970746920931</v>
      </c>
      <c r="BZ92" t="s">
        <v>1155</v>
      </c>
      <c r="CA92" t="s">
        <v>1032</v>
      </c>
      <c r="CB92" t="b">
        <v>1</v>
      </c>
      <c r="CC92" t="b">
        <v>1</v>
      </c>
      <c r="CD92" t="b">
        <v>1</v>
      </c>
      <c r="CE92" t="b">
        <v>1</v>
      </c>
      <c r="CF92" t="b">
        <v>1</v>
      </c>
    </row>
    <row r="93" spans="1:84" x14ac:dyDescent="0.3">
      <c r="A93" t="s">
        <v>1392</v>
      </c>
      <c r="B93" t="s">
        <v>1221</v>
      </c>
      <c r="C93" s="98">
        <v>45775</v>
      </c>
      <c r="D93">
        <v>2025</v>
      </c>
      <c r="E93">
        <v>4</v>
      </c>
      <c r="F93">
        <v>2</v>
      </c>
      <c r="G93" t="s">
        <v>1208</v>
      </c>
      <c r="H93" t="s">
        <v>125</v>
      </c>
      <c r="I93" t="s">
        <v>125</v>
      </c>
      <c r="J93" t="s">
        <v>6</v>
      </c>
      <c r="L93">
        <v>522611</v>
      </c>
      <c r="M93" s="99" t="s">
        <v>178</v>
      </c>
      <c r="N93">
        <v>1</v>
      </c>
      <c r="O93">
        <v>17</v>
      </c>
      <c r="P93">
        <v>2.3212000000000002</v>
      </c>
      <c r="Q93" t="s">
        <v>352</v>
      </c>
      <c r="R93">
        <v>1</v>
      </c>
      <c r="S93">
        <v>2.3066</v>
      </c>
      <c r="T93">
        <v>2.1899999999999999E-2</v>
      </c>
      <c r="U93">
        <v>0.6666666666666744</v>
      </c>
      <c r="V93">
        <v>2.2408999999999999</v>
      </c>
      <c r="W93">
        <v>2.2627999999999999</v>
      </c>
      <c r="X93">
        <v>2.2847</v>
      </c>
      <c r="Y93">
        <v>2.3285</v>
      </c>
      <c r="Z93">
        <v>2.3504</v>
      </c>
      <c r="AA93">
        <v>2.3723000000000001</v>
      </c>
      <c r="AD93">
        <v>4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 t="s">
        <v>462</v>
      </c>
      <c r="AL93" t="s">
        <v>6</v>
      </c>
      <c r="AM93" t="s">
        <v>1145</v>
      </c>
      <c r="AN93" t="s">
        <v>1146</v>
      </c>
      <c r="AO93" s="100">
        <v>46262.040405092594</v>
      </c>
      <c r="AP93" t="s">
        <v>1147</v>
      </c>
      <c r="AQ93" t="s">
        <v>1393</v>
      </c>
      <c r="AR93" t="s">
        <v>1223</v>
      </c>
      <c r="AS93" t="s">
        <v>1150</v>
      </c>
      <c r="AT93" t="s">
        <v>1361</v>
      </c>
      <c r="AU93">
        <v>25</v>
      </c>
      <c r="AV93">
        <v>2.304872</v>
      </c>
      <c r="AW93">
        <v>1.8678765126920675E-2</v>
      </c>
      <c r="AX93">
        <v>0.81040357672446339</v>
      </c>
      <c r="AY93">
        <v>1.5336201252767589</v>
      </c>
      <c r="AZ93">
        <v>2.8707860268721235</v>
      </c>
      <c r="BA93">
        <v>3.0433970746920931</v>
      </c>
      <c r="BB93" s="97" t="s">
        <v>161</v>
      </c>
      <c r="BD93" s="98"/>
      <c r="BE93" s="98"/>
      <c r="BF93" t="s">
        <v>1152</v>
      </c>
      <c r="BG93" t="s">
        <v>322</v>
      </c>
      <c r="BH93" t="s">
        <v>1153</v>
      </c>
      <c r="BI93">
        <v>1.5336201252767589</v>
      </c>
      <c r="BJ93" t="s">
        <v>1032</v>
      </c>
      <c r="BK93">
        <v>1.1292139731278765</v>
      </c>
      <c r="BL93">
        <v>28.230349328196912</v>
      </c>
      <c r="BM93" t="s">
        <v>1260</v>
      </c>
      <c r="BN93" t="s">
        <v>1154</v>
      </c>
      <c r="BO93">
        <v>2025</v>
      </c>
      <c r="BP93" t="s">
        <v>966</v>
      </c>
      <c r="BQ93">
        <v>61367.231512688079</v>
      </c>
      <c r="BR93">
        <v>93.863276848731189</v>
      </c>
      <c r="BS93" t="s">
        <v>992</v>
      </c>
      <c r="BT93">
        <v>6</v>
      </c>
      <c r="BU93">
        <v>1</v>
      </c>
      <c r="BV93" t="s">
        <v>993</v>
      </c>
      <c r="BW93" t="s">
        <v>943</v>
      </c>
      <c r="BX93" t="s">
        <v>1033</v>
      </c>
      <c r="BY93">
        <v>3.0433970746920931</v>
      </c>
      <c r="BZ93" t="s">
        <v>1155</v>
      </c>
      <c r="CA93" t="s">
        <v>1032</v>
      </c>
      <c r="CB93" t="b">
        <v>1</v>
      </c>
      <c r="CC93" t="b">
        <v>1</v>
      </c>
      <c r="CD93" t="b">
        <v>1</v>
      </c>
      <c r="CE93" t="b">
        <v>1</v>
      </c>
      <c r="CF93" t="b">
        <v>1</v>
      </c>
    </row>
    <row r="94" spans="1:84" x14ac:dyDescent="0.3">
      <c r="A94" t="s">
        <v>1394</v>
      </c>
      <c r="B94" t="s">
        <v>1225</v>
      </c>
      <c r="C94" s="98">
        <v>45782</v>
      </c>
      <c r="D94">
        <v>2025</v>
      </c>
      <c r="E94">
        <v>5</v>
      </c>
      <c r="F94">
        <v>2</v>
      </c>
      <c r="G94" t="s">
        <v>1226</v>
      </c>
      <c r="H94" t="s">
        <v>125</v>
      </c>
      <c r="I94" t="s">
        <v>125</v>
      </c>
      <c r="J94" t="s">
        <v>6</v>
      </c>
      <c r="L94">
        <v>522611</v>
      </c>
      <c r="M94" s="99" t="s">
        <v>178</v>
      </c>
      <c r="N94">
        <v>1</v>
      </c>
      <c r="O94">
        <v>18</v>
      </c>
      <c r="P94">
        <v>2.2991000000000001</v>
      </c>
      <c r="Q94" t="s">
        <v>352</v>
      </c>
      <c r="R94">
        <v>1</v>
      </c>
      <c r="S94">
        <v>2.3066</v>
      </c>
      <c r="T94">
        <v>2.1899999999999999E-2</v>
      </c>
      <c r="U94">
        <v>-0.34246575342465024</v>
      </c>
      <c r="V94">
        <v>2.2408999999999999</v>
      </c>
      <c r="W94">
        <v>2.2627999999999999</v>
      </c>
      <c r="X94">
        <v>2.2847</v>
      </c>
      <c r="Y94">
        <v>2.3285</v>
      </c>
      <c r="Z94">
        <v>2.3504</v>
      </c>
      <c r="AA94">
        <v>2.3723000000000001</v>
      </c>
      <c r="AD94">
        <v>4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 t="s">
        <v>462</v>
      </c>
      <c r="AL94" t="s">
        <v>6</v>
      </c>
      <c r="AM94" t="s">
        <v>1145</v>
      </c>
      <c r="AN94" t="s">
        <v>1146</v>
      </c>
      <c r="AO94" s="100">
        <v>46262.040405092594</v>
      </c>
      <c r="AP94" t="s">
        <v>1147</v>
      </c>
      <c r="AQ94" t="s">
        <v>1395</v>
      </c>
      <c r="AR94" t="s">
        <v>1228</v>
      </c>
      <c r="AS94" t="s">
        <v>1150</v>
      </c>
      <c r="AT94" t="s">
        <v>1361</v>
      </c>
      <c r="AU94">
        <v>25</v>
      </c>
      <c r="AV94">
        <v>2.304872</v>
      </c>
      <c r="AW94">
        <v>1.8678765126920675E-2</v>
      </c>
      <c r="AX94">
        <v>0.81040357672446339</v>
      </c>
      <c r="AY94">
        <v>1.5336201252767589</v>
      </c>
      <c r="AZ94">
        <v>2.8707860268721235</v>
      </c>
      <c r="BA94">
        <v>3.0433970746920931</v>
      </c>
      <c r="BB94" s="97" t="s">
        <v>161</v>
      </c>
      <c r="BD94" s="98"/>
      <c r="BE94" s="98"/>
      <c r="BF94" t="s">
        <v>1152</v>
      </c>
      <c r="BG94" t="s">
        <v>322</v>
      </c>
      <c r="BH94" t="s">
        <v>1153</v>
      </c>
      <c r="BI94">
        <v>1.5336201252767589</v>
      </c>
      <c r="BJ94" t="s">
        <v>1032</v>
      </c>
      <c r="BK94">
        <v>1.1292139731278765</v>
      </c>
      <c r="BL94">
        <v>28.230349328196912</v>
      </c>
      <c r="BM94" t="s">
        <v>1260</v>
      </c>
      <c r="BN94" t="s">
        <v>1154</v>
      </c>
      <c r="BO94">
        <v>2025</v>
      </c>
      <c r="BP94" t="s">
        <v>966</v>
      </c>
      <c r="BQ94">
        <v>61367.231512688079</v>
      </c>
      <c r="BR94">
        <v>93.863276848731189</v>
      </c>
      <c r="BS94" t="s">
        <v>992</v>
      </c>
      <c r="BT94">
        <v>6</v>
      </c>
      <c r="BU94">
        <v>1</v>
      </c>
      <c r="BV94" t="s">
        <v>993</v>
      </c>
      <c r="BW94" t="s">
        <v>943</v>
      </c>
      <c r="BX94" t="s">
        <v>1033</v>
      </c>
      <c r="BY94">
        <v>3.0433970746920931</v>
      </c>
      <c r="BZ94" t="s">
        <v>1155</v>
      </c>
      <c r="CA94" t="s">
        <v>1032</v>
      </c>
      <c r="CB94" t="b">
        <v>1</v>
      </c>
      <c r="CC94" t="b">
        <v>1</v>
      </c>
      <c r="CD94" t="b">
        <v>1</v>
      </c>
      <c r="CE94" t="b">
        <v>1</v>
      </c>
      <c r="CF94" t="b">
        <v>1</v>
      </c>
    </row>
    <row r="95" spans="1:84" x14ac:dyDescent="0.3">
      <c r="A95" t="s">
        <v>1396</v>
      </c>
      <c r="B95" t="s">
        <v>1230</v>
      </c>
      <c r="C95" s="98">
        <v>45789</v>
      </c>
      <c r="D95">
        <v>2025</v>
      </c>
      <c r="E95">
        <v>5</v>
      </c>
      <c r="F95">
        <v>2</v>
      </c>
      <c r="G95" t="s">
        <v>1226</v>
      </c>
      <c r="H95" t="s">
        <v>125</v>
      </c>
      <c r="I95" t="s">
        <v>125</v>
      </c>
      <c r="J95" t="s">
        <v>6</v>
      </c>
      <c r="L95">
        <v>522611</v>
      </c>
      <c r="M95" s="99" t="s">
        <v>178</v>
      </c>
      <c r="N95">
        <v>1</v>
      </c>
      <c r="O95">
        <v>19</v>
      </c>
      <c r="P95">
        <v>2.3296000000000001</v>
      </c>
      <c r="Q95" t="s">
        <v>352</v>
      </c>
      <c r="R95">
        <v>1</v>
      </c>
      <c r="S95">
        <v>2.3066</v>
      </c>
      <c r="T95">
        <v>2.1899999999999999E-2</v>
      </c>
      <c r="U95">
        <v>1.0502283105022892</v>
      </c>
      <c r="V95">
        <v>2.2408999999999999</v>
      </c>
      <c r="W95">
        <v>2.2627999999999999</v>
      </c>
      <c r="X95">
        <v>2.2847</v>
      </c>
      <c r="Y95">
        <v>2.3285</v>
      </c>
      <c r="Z95">
        <v>2.3504</v>
      </c>
      <c r="AA95">
        <v>2.3723000000000001</v>
      </c>
      <c r="AD95">
        <v>4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 t="s">
        <v>462</v>
      </c>
      <c r="AL95" t="s">
        <v>6</v>
      </c>
      <c r="AM95" t="s">
        <v>1145</v>
      </c>
      <c r="AN95" t="s">
        <v>1146</v>
      </c>
      <c r="AO95" s="100">
        <v>46262.040405092594</v>
      </c>
      <c r="AP95" t="s">
        <v>1147</v>
      </c>
      <c r="AQ95" t="s">
        <v>1397</v>
      </c>
      <c r="AR95" t="s">
        <v>1232</v>
      </c>
      <c r="AS95" t="s">
        <v>1150</v>
      </c>
      <c r="AT95" t="s">
        <v>1361</v>
      </c>
      <c r="AU95">
        <v>25</v>
      </c>
      <c r="AV95">
        <v>2.304872</v>
      </c>
      <c r="AW95">
        <v>1.8678765126920675E-2</v>
      </c>
      <c r="AX95">
        <v>0.81040357672446339</v>
      </c>
      <c r="AY95">
        <v>1.5336201252767589</v>
      </c>
      <c r="AZ95">
        <v>2.8707860268721235</v>
      </c>
      <c r="BA95">
        <v>3.0433970746920931</v>
      </c>
      <c r="BB95" s="97" t="s">
        <v>161</v>
      </c>
      <c r="BD95" s="98"/>
      <c r="BE95" s="98"/>
      <c r="BF95" t="s">
        <v>1152</v>
      </c>
      <c r="BG95" t="s">
        <v>322</v>
      </c>
      <c r="BH95" t="s">
        <v>1153</v>
      </c>
      <c r="BI95">
        <v>1.5336201252767589</v>
      </c>
      <c r="BJ95" t="s">
        <v>1032</v>
      </c>
      <c r="BK95">
        <v>1.1292139731278765</v>
      </c>
      <c r="BL95">
        <v>28.230349328196912</v>
      </c>
      <c r="BM95" t="s">
        <v>1260</v>
      </c>
      <c r="BN95" t="s">
        <v>1154</v>
      </c>
      <c r="BO95">
        <v>2025</v>
      </c>
      <c r="BP95" t="s">
        <v>966</v>
      </c>
      <c r="BQ95">
        <v>61367.231512688079</v>
      </c>
      <c r="BR95">
        <v>93.863276848731189</v>
      </c>
      <c r="BS95" t="s">
        <v>992</v>
      </c>
      <c r="BT95">
        <v>6</v>
      </c>
      <c r="BU95">
        <v>1</v>
      </c>
      <c r="BV95" t="s">
        <v>993</v>
      </c>
      <c r="BW95" t="s">
        <v>943</v>
      </c>
      <c r="BX95" t="s">
        <v>1033</v>
      </c>
      <c r="BY95">
        <v>3.0433970746920931</v>
      </c>
      <c r="BZ95" t="s">
        <v>1155</v>
      </c>
      <c r="CA95" t="s">
        <v>1032</v>
      </c>
      <c r="CB95" t="b">
        <v>1</v>
      </c>
      <c r="CC95" t="b">
        <v>1</v>
      </c>
      <c r="CD95" t="b">
        <v>1</v>
      </c>
      <c r="CE95" t="b">
        <v>1</v>
      </c>
      <c r="CF95" t="b">
        <v>1</v>
      </c>
    </row>
    <row r="96" spans="1:84" x14ac:dyDescent="0.3">
      <c r="A96" t="s">
        <v>1398</v>
      </c>
      <c r="B96" t="s">
        <v>1234</v>
      </c>
      <c r="C96" s="98">
        <v>45796</v>
      </c>
      <c r="D96">
        <v>2025</v>
      </c>
      <c r="E96">
        <v>5</v>
      </c>
      <c r="F96">
        <v>2</v>
      </c>
      <c r="G96" t="s">
        <v>1226</v>
      </c>
      <c r="H96" t="s">
        <v>125</v>
      </c>
      <c r="I96" t="s">
        <v>125</v>
      </c>
      <c r="J96" t="s">
        <v>6</v>
      </c>
      <c r="L96">
        <v>522611</v>
      </c>
      <c r="M96" s="99" t="s">
        <v>178</v>
      </c>
      <c r="N96">
        <v>1</v>
      </c>
      <c r="O96">
        <v>20</v>
      </c>
      <c r="P96">
        <v>2.3064</v>
      </c>
      <c r="Q96" t="s">
        <v>352</v>
      </c>
      <c r="R96">
        <v>1</v>
      </c>
      <c r="S96">
        <v>2.3066</v>
      </c>
      <c r="T96">
        <v>2.1899999999999999E-2</v>
      </c>
      <c r="U96">
        <v>-9.132420091323196E-3</v>
      </c>
      <c r="V96">
        <v>2.2408999999999999</v>
      </c>
      <c r="W96">
        <v>2.2627999999999999</v>
      </c>
      <c r="X96">
        <v>2.2847</v>
      </c>
      <c r="Y96">
        <v>2.3285</v>
      </c>
      <c r="Z96">
        <v>2.3504</v>
      </c>
      <c r="AA96">
        <v>2.3723000000000001</v>
      </c>
      <c r="AD96">
        <v>4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 t="s">
        <v>462</v>
      </c>
      <c r="AL96" t="s">
        <v>6</v>
      </c>
      <c r="AM96" t="s">
        <v>1145</v>
      </c>
      <c r="AN96" t="s">
        <v>1146</v>
      </c>
      <c r="AO96" s="100">
        <v>46262.040405092594</v>
      </c>
      <c r="AP96" t="s">
        <v>1147</v>
      </c>
      <c r="AQ96" t="s">
        <v>1399</v>
      </c>
      <c r="AR96" t="s">
        <v>1236</v>
      </c>
      <c r="AS96" t="s">
        <v>1150</v>
      </c>
      <c r="AT96" t="s">
        <v>1361</v>
      </c>
      <c r="AU96">
        <v>25</v>
      </c>
      <c r="AV96">
        <v>2.304872</v>
      </c>
      <c r="AW96">
        <v>1.8678765126920675E-2</v>
      </c>
      <c r="AX96">
        <v>0.81040357672446339</v>
      </c>
      <c r="AY96">
        <v>1.5336201252767589</v>
      </c>
      <c r="AZ96">
        <v>2.8707860268721235</v>
      </c>
      <c r="BA96">
        <v>3.0433970746920931</v>
      </c>
      <c r="BB96" s="97" t="s">
        <v>161</v>
      </c>
      <c r="BD96" s="98"/>
      <c r="BE96" s="98"/>
      <c r="BF96" t="s">
        <v>1152</v>
      </c>
      <c r="BG96" t="s">
        <v>322</v>
      </c>
      <c r="BH96" t="s">
        <v>1153</v>
      </c>
      <c r="BI96">
        <v>1.5336201252767589</v>
      </c>
      <c r="BJ96" t="s">
        <v>1032</v>
      </c>
      <c r="BK96">
        <v>1.1292139731278765</v>
      </c>
      <c r="BL96">
        <v>28.230349328196912</v>
      </c>
      <c r="BM96" t="s">
        <v>1260</v>
      </c>
      <c r="BN96" t="s">
        <v>1154</v>
      </c>
      <c r="BO96">
        <v>2025</v>
      </c>
      <c r="BP96" t="s">
        <v>966</v>
      </c>
      <c r="BQ96">
        <v>61367.231512688079</v>
      </c>
      <c r="BR96">
        <v>93.863276848731189</v>
      </c>
      <c r="BS96" t="s">
        <v>992</v>
      </c>
      <c r="BT96">
        <v>6</v>
      </c>
      <c r="BU96">
        <v>1</v>
      </c>
      <c r="BV96" t="s">
        <v>993</v>
      </c>
      <c r="BW96" t="s">
        <v>943</v>
      </c>
      <c r="BX96" t="s">
        <v>1033</v>
      </c>
      <c r="BY96">
        <v>3.0433970746920931</v>
      </c>
      <c r="BZ96" t="s">
        <v>1155</v>
      </c>
      <c r="CA96" t="s">
        <v>1032</v>
      </c>
      <c r="CB96" t="b">
        <v>1</v>
      </c>
      <c r="CC96" t="b">
        <v>1</v>
      </c>
      <c r="CD96" t="b">
        <v>1</v>
      </c>
      <c r="CE96" t="b">
        <v>1</v>
      </c>
      <c r="CF96" t="b">
        <v>1</v>
      </c>
    </row>
    <row r="97" spans="1:84" x14ac:dyDescent="0.3">
      <c r="A97" t="s">
        <v>1400</v>
      </c>
      <c r="B97" t="s">
        <v>1238</v>
      </c>
      <c r="C97" s="98">
        <v>45803</v>
      </c>
      <c r="D97">
        <v>2025</v>
      </c>
      <c r="E97">
        <v>5</v>
      </c>
      <c r="F97">
        <v>2</v>
      </c>
      <c r="G97" t="s">
        <v>1226</v>
      </c>
      <c r="H97" t="s">
        <v>125</v>
      </c>
      <c r="I97" t="s">
        <v>125</v>
      </c>
      <c r="J97" t="s">
        <v>6</v>
      </c>
      <c r="L97">
        <v>522611</v>
      </c>
      <c r="M97" s="99" t="s">
        <v>178</v>
      </c>
      <c r="N97">
        <v>1</v>
      </c>
      <c r="O97">
        <v>21</v>
      </c>
      <c r="P97">
        <v>2.3193000000000001</v>
      </c>
      <c r="Q97" t="s">
        <v>352</v>
      </c>
      <c r="R97">
        <v>1</v>
      </c>
      <c r="S97">
        <v>2.3066</v>
      </c>
      <c r="T97">
        <v>2.1899999999999999E-2</v>
      </c>
      <c r="U97">
        <v>0.57990867579909389</v>
      </c>
      <c r="V97">
        <v>2.2408999999999999</v>
      </c>
      <c r="W97">
        <v>2.2627999999999999</v>
      </c>
      <c r="X97">
        <v>2.2847</v>
      </c>
      <c r="Y97">
        <v>2.3285</v>
      </c>
      <c r="Z97">
        <v>2.3504</v>
      </c>
      <c r="AA97">
        <v>2.3723000000000001</v>
      </c>
      <c r="AD97">
        <v>4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 t="s">
        <v>462</v>
      </c>
      <c r="AL97" t="s">
        <v>6</v>
      </c>
      <c r="AM97" t="s">
        <v>1145</v>
      </c>
      <c r="AN97" t="s">
        <v>1146</v>
      </c>
      <c r="AO97" s="100">
        <v>46262.040405092594</v>
      </c>
      <c r="AP97" t="s">
        <v>1147</v>
      </c>
      <c r="AQ97" t="s">
        <v>1401</v>
      </c>
      <c r="AR97" t="s">
        <v>1240</v>
      </c>
      <c r="AS97" t="s">
        <v>1150</v>
      </c>
      <c r="AT97" t="s">
        <v>1361</v>
      </c>
      <c r="AU97">
        <v>25</v>
      </c>
      <c r="AV97">
        <v>2.304872</v>
      </c>
      <c r="AW97">
        <v>1.8678765126920675E-2</v>
      </c>
      <c r="AX97">
        <v>0.81040357672446339</v>
      </c>
      <c r="AY97">
        <v>1.5336201252767589</v>
      </c>
      <c r="AZ97">
        <v>2.8707860268721235</v>
      </c>
      <c r="BA97">
        <v>3.0433970746920931</v>
      </c>
      <c r="BB97" s="97" t="s">
        <v>161</v>
      </c>
      <c r="BD97" s="98"/>
      <c r="BE97" s="98"/>
      <c r="BF97" t="s">
        <v>1152</v>
      </c>
      <c r="BG97" t="s">
        <v>322</v>
      </c>
      <c r="BH97" t="s">
        <v>1153</v>
      </c>
      <c r="BI97">
        <v>1.5336201252767589</v>
      </c>
      <c r="BJ97" t="s">
        <v>1032</v>
      </c>
      <c r="BK97">
        <v>1.1292139731278765</v>
      </c>
      <c r="BL97">
        <v>28.230349328196912</v>
      </c>
      <c r="BM97" t="s">
        <v>1260</v>
      </c>
      <c r="BN97" t="s">
        <v>1154</v>
      </c>
      <c r="BO97">
        <v>2025</v>
      </c>
      <c r="BP97" t="s">
        <v>966</v>
      </c>
      <c r="BQ97">
        <v>61367.231512688079</v>
      </c>
      <c r="BR97">
        <v>93.863276848731189</v>
      </c>
      <c r="BS97" t="s">
        <v>992</v>
      </c>
      <c r="BT97">
        <v>6</v>
      </c>
      <c r="BU97">
        <v>1</v>
      </c>
      <c r="BV97" t="s">
        <v>993</v>
      </c>
      <c r="BW97" t="s">
        <v>943</v>
      </c>
      <c r="BX97" t="s">
        <v>1033</v>
      </c>
      <c r="BY97">
        <v>3.0433970746920931</v>
      </c>
      <c r="BZ97" t="s">
        <v>1155</v>
      </c>
      <c r="CA97" t="s">
        <v>1032</v>
      </c>
      <c r="CB97" t="b">
        <v>1</v>
      </c>
      <c r="CC97" t="b">
        <v>1</v>
      </c>
      <c r="CD97" t="b">
        <v>1</v>
      </c>
      <c r="CE97" t="b">
        <v>1</v>
      </c>
      <c r="CF97" t="b">
        <v>1</v>
      </c>
    </row>
    <row r="98" spans="1:84" x14ac:dyDescent="0.3">
      <c r="A98" t="s">
        <v>1402</v>
      </c>
      <c r="B98" t="s">
        <v>1242</v>
      </c>
      <c r="C98" s="98">
        <v>45810</v>
      </c>
      <c r="D98">
        <v>2025</v>
      </c>
      <c r="E98">
        <v>6</v>
      </c>
      <c r="F98">
        <v>2</v>
      </c>
      <c r="G98" t="s">
        <v>1243</v>
      </c>
      <c r="H98" t="s">
        <v>125</v>
      </c>
      <c r="I98" t="s">
        <v>125</v>
      </c>
      <c r="J98" t="s">
        <v>6</v>
      </c>
      <c r="L98">
        <v>522611</v>
      </c>
      <c r="M98" s="99" t="s">
        <v>178</v>
      </c>
      <c r="N98">
        <v>1</v>
      </c>
      <c r="O98">
        <v>22</v>
      </c>
      <c r="P98">
        <v>2.2783000000000002</v>
      </c>
      <c r="Q98" t="s">
        <v>352</v>
      </c>
      <c r="R98">
        <v>1</v>
      </c>
      <c r="S98">
        <v>2.3066</v>
      </c>
      <c r="T98">
        <v>2.1899999999999999E-2</v>
      </c>
      <c r="U98">
        <v>-1.292237442922364</v>
      </c>
      <c r="V98">
        <v>2.2408999999999999</v>
      </c>
      <c r="W98">
        <v>2.2627999999999999</v>
      </c>
      <c r="X98">
        <v>2.2847</v>
      </c>
      <c r="Y98">
        <v>2.3285</v>
      </c>
      <c r="Z98">
        <v>2.3504</v>
      </c>
      <c r="AA98">
        <v>2.3723000000000001</v>
      </c>
      <c r="AD98">
        <v>4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 t="s">
        <v>462</v>
      </c>
      <c r="AL98" t="s">
        <v>6</v>
      </c>
      <c r="AM98" t="s">
        <v>1145</v>
      </c>
      <c r="AN98" t="s">
        <v>1146</v>
      </c>
      <c r="AO98" s="100">
        <v>46262.040405092594</v>
      </c>
      <c r="AP98" t="s">
        <v>1147</v>
      </c>
      <c r="AQ98" t="s">
        <v>1403</v>
      </c>
      <c r="AR98" t="s">
        <v>1245</v>
      </c>
      <c r="AS98" t="s">
        <v>1150</v>
      </c>
      <c r="AT98" t="s">
        <v>1361</v>
      </c>
      <c r="AU98">
        <v>25</v>
      </c>
      <c r="AV98">
        <v>2.304872</v>
      </c>
      <c r="AW98">
        <v>1.8678765126920675E-2</v>
      </c>
      <c r="AX98">
        <v>0.81040357672446339</v>
      </c>
      <c r="AY98">
        <v>1.5336201252767589</v>
      </c>
      <c r="AZ98">
        <v>2.8707860268721235</v>
      </c>
      <c r="BA98">
        <v>3.0433970746920931</v>
      </c>
      <c r="BB98" s="97" t="s">
        <v>161</v>
      </c>
      <c r="BD98" s="98"/>
      <c r="BE98" s="98"/>
      <c r="BF98" t="s">
        <v>1152</v>
      </c>
      <c r="BG98" t="s">
        <v>322</v>
      </c>
      <c r="BH98" t="s">
        <v>1153</v>
      </c>
      <c r="BI98">
        <v>1.5336201252767589</v>
      </c>
      <c r="BJ98" t="s">
        <v>1032</v>
      </c>
      <c r="BK98">
        <v>1.1292139731278765</v>
      </c>
      <c r="BL98">
        <v>28.230349328196912</v>
      </c>
      <c r="BM98" t="s">
        <v>1260</v>
      </c>
      <c r="BN98" t="s">
        <v>1154</v>
      </c>
      <c r="BO98">
        <v>2025</v>
      </c>
      <c r="BP98" t="s">
        <v>966</v>
      </c>
      <c r="BQ98">
        <v>61367.231512688079</v>
      </c>
      <c r="BR98">
        <v>93.863276848731189</v>
      </c>
      <c r="BS98" t="s">
        <v>992</v>
      </c>
      <c r="BT98">
        <v>6</v>
      </c>
      <c r="BU98">
        <v>1</v>
      </c>
      <c r="BV98" t="s">
        <v>993</v>
      </c>
      <c r="BW98" t="s">
        <v>943</v>
      </c>
      <c r="BX98" t="s">
        <v>1033</v>
      </c>
      <c r="BY98">
        <v>3.0433970746920931</v>
      </c>
      <c r="BZ98" t="s">
        <v>1155</v>
      </c>
      <c r="CA98" t="s">
        <v>1032</v>
      </c>
      <c r="CB98" t="b">
        <v>1</v>
      </c>
      <c r="CC98" t="b">
        <v>1</v>
      </c>
      <c r="CD98" t="b">
        <v>1</v>
      </c>
      <c r="CE98" t="b">
        <v>1</v>
      </c>
      <c r="CF98" t="b">
        <v>1</v>
      </c>
    </row>
    <row r="99" spans="1:84" x14ac:dyDescent="0.3">
      <c r="A99" t="s">
        <v>1404</v>
      </c>
      <c r="B99" t="s">
        <v>1247</v>
      </c>
      <c r="C99" s="98">
        <v>45817</v>
      </c>
      <c r="D99">
        <v>2025</v>
      </c>
      <c r="E99">
        <v>6</v>
      </c>
      <c r="F99">
        <v>2</v>
      </c>
      <c r="G99" t="s">
        <v>1243</v>
      </c>
      <c r="H99" t="s">
        <v>125</v>
      </c>
      <c r="I99" t="s">
        <v>125</v>
      </c>
      <c r="J99" t="s">
        <v>6</v>
      </c>
      <c r="L99">
        <v>522611</v>
      </c>
      <c r="M99" s="99" t="s">
        <v>178</v>
      </c>
      <c r="N99">
        <v>1</v>
      </c>
      <c r="O99">
        <v>23</v>
      </c>
      <c r="P99">
        <v>2.3142</v>
      </c>
      <c r="Q99" t="s">
        <v>352</v>
      </c>
      <c r="R99">
        <v>1</v>
      </c>
      <c r="S99">
        <v>2.3066</v>
      </c>
      <c r="T99">
        <v>2.1899999999999999E-2</v>
      </c>
      <c r="U99">
        <v>0.347031963470322</v>
      </c>
      <c r="V99">
        <v>2.2408999999999999</v>
      </c>
      <c r="W99">
        <v>2.2627999999999999</v>
      </c>
      <c r="X99">
        <v>2.2847</v>
      </c>
      <c r="Y99">
        <v>2.3285</v>
      </c>
      <c r="Z99">
        <v>2.3504</v>
      </c>
      <c r="AA99">
        <v>2.3723000000000001</v>
      </c>
      <c r="AD99">
        <v>4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 t="s">
        <v>462</v>
      </c>
      <c r="AL99" t="s">
        <v>6</v>
      </c>
      <c r="AM99" t="s">
        <v>1145</v>
      </c>
      <c r="AN99" t="s">
        <v>1146</v>
      </c>
      <c r="AO99" s="100">
        <v>46262.040405092594</v>
      </c>
      <c r="AP99" t="s">
        <v>1147</v>
      </c>
      <c r="AQ99" t="s">
        <v>1405</v>
      </c>
      <c r="AR99" t="s">
        <v>1249</v>
      </c>
      <c r="AS99" t="s">
        <v>1150</v>
      </c>
      <c r="AT99" t="s">
        <v>1361</v>
      </c>
      <c r="AU99">
        <v>25</v>
      </c>
      <c r="AV99">
        <v>2.304872</v>
      </c>
      <c r="AW99">
        <v>1.8678765126920675E-2</v>
      </c>
      <c r="AX99">
        <v>0.81040357672446339</v>
      </c>
      <c r="AY99">
        <v>1.5336201252767589</v>
      </c>
      <c r="AZ99">
        <v>2.8707860268721235</v>
      </c>
      <c r="BA99">
        <v>3.0433970746920931</v>
      </c>
      <c r="BB99" s="97" t="s">
        <v>161</v>
      </c>
      <c r="BD99" s="98"/>
      <c r="BE99" s="98"/>
      <c r="BF99" t="s">
        <v>1152</v>
      </c>
      <c r="BG99" t="s">
        <v>322</v>
      </c>
      <c r="BH99" t="s">
        <v>1153</v>
      </c>
      <c r="BI99">
        <v>1.5336201252767589</v>
      </c>
      <c r="BJ99" t="s">
        <v>1032</v>
      </c>
      <c r="BK99">
        <v>1.1292139731278765</v>
      </c>
      <c r="BL99">
        <v>28.230349328196912</v>
      </c>
      <c r="BM99" t="s">
        <v>1260</v>
      </c>
      <c r="BN99" t="s">
        <v>1154</v>
      </c>
      <c r="BO99">
        <v>2025</v>
      </c>
      <c r="BP99" t="s">
        <v>966</v>
      </c>
      <c r="BQ99">
        <v>61367.231512688079</v>
      </c>
      <c r="BR99">
        <v>93.863276848731189</v>
      </c>
      <c r="BS99" t="s">
        <v>992</v>
      </c>
      <c r="BT99">
        <v>6</v>
      </c>
      <c r="BU99">
        <v>1</v>
      </c>
      <c r="BV99" t="s">
        <v>993</v>
      </c>
      <c r="BW99" t="s">
        <v>943</v>
      </c>
      <c r="BX99" t="s">
        <v>1033</v>
      </c>
      <c r="BY99">
        <v>3.0433970746920931</v>
      </c>
      <c r="BZ99" t="s">
        <v>1155</v>
      </c>
      <c r="CA99" t="s">
        <v>1032</v>
      </c>
      <c r="CB99" t="b">
        <v>1</v>
      </c>
      <c r="CC99" t="b">
        <v>1</v>
      </c>
      <c r="CD99" t="b">
        <v>1</v>
      </c>
      <c r="CE99" t="b">
        <v>1</v>
      </c>
      <c r="CF99" t="b">
        <v>1</v>
      </c>
    </row>
    <row r="100" spans="1:84" x14ac:dyDescent="0.3">
      <c r="A100" t="s">
        <v>1406</v>
      </c>
      <c r="B100" t="s">
        <v>1251</v>
      </c>
      <c r="C100" s="98">
        <v>45824</v>
      </c>
      <c r="D100">
        <v>2025</v>
      </c>
      <c r="E100">
        <v>6</v>
      </c>
      <c r="F100">
        <v>2</v>
      </c>
      <c r="G100" t="s">
        <v>1243</v>
      </c>
      <c r="H100" t="s">
        <v>125</v>
      </c>
      <c r="I100" t="s">
        <v>125</v>
      </c>
      <c r="J100" t="s">
        <v>6</v>
      </c>
      <c r="L100">
        <v>522611</v>
      </c>
      <c r="M100" s="99" t="s">
        <v>178</v>
      </c>
      <c r="N100">
        <v>1</v>
      </c>
      <c r="O100">
        <v>24</v>
      </c>
      <c r="P100">
        <v>2.2694999999999999</v>
      </c>
      <c r="Q100" t="s">
        <v>352</v>
      </c>
      <c r="R100">
        <v>1</v>
      </c>
      <c r="S100">
        <v>2.3066</v>
      </c>
      <c r="T100">
        <v>2.1899999999999999E-2</v>
      </c>
      <c r="U100">
        <v>-1.6940639269406454</v>
      </c>
      <c r="V100">
        <v>2.2408999999999999</v>
      </c>
      <c r="W100">
        <v>2.2627999999999999</v>
      </c>
      <c r="X100">
        <v>2.2847</v>
      </c>
      <c r="Y100">
        <v>2.3285</v>
      </c>
      <c r="Z100">
        <v>2.3504</v>
      </c>
      <c r="AA100">
        <v>2.3723000000000001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 t="s">
        <v>462</v>
      </c>
      <c r="AL100" t="s">
        <v>6</v>
      </c>
      <c r="AM100" t="s">
        <v>1145</v>
      </c>
      <c r="AN100" t="s">
        <v>1146</v>
      </c>
      <c r="AO100" s="100">
        <v>46262.040405092594</v>
      </c>
      <c r="AP100" t="s">
        <v>1147</v>
      </c>
      <c r="AQ100" t="s">
        <v>1407</v>
      </c>
      <c r="AR100" t="s">
        <v>1253</v>
      </c>
      <c r="AS100" t="s">
        <v>1150</v>
      </c>
      <c r="AT100" t="s">
        <v>1361</v>
      </c>
      <c r="AU100">
        <v>25</v>
      </c>
      <c r="AV100">
        <v>2.304872</v>
      </c>
      <c r="AW100">
        <v>1.8678765126920675E-2</v>
      </c>
      <c r="AX100">
        <v>0.81040357672446339</v>
      </c>
      <c r="AY100">
        <v>1.5336201252767589</v>
      </c>
      <c r="AZ100">
        <v>2.8707860268721235</v>
      </c>
      <c r="BA100">
        <v>3.0433970746920931</v>
      </c>
      <c r="BB100" s="97" t="s">
        <v>161</v>
      </c>
      <c r="BD100" s="98"/>
      <c r="BE100" s="98"/>
      <c r="BF100" t="s">
        <v>1152</v>
      </c>
      <c r="BG100" t="s">
        <v>322</v>
      </c>
      <c r="BH100" t="s">
        <v>1153</v>
      </c>
      <c r="BI100">
        <v>1.5336201252767589</v>
      </c>
      <c r="BJ100" t="s">
        <v>1032</v>
      </c>
      <c r="BK100">
        <v>1.1292139731278765</v>
      </c>
      <c r="BL100">
        <v>28.230349328196912</v>
      </c>
      <c r="BM100" t="s">
        <v>1260</v>
      </c>
      <c r="BN100" t="s">
        <v>1154</v>
      </c>
      <c r="BO100">
        <v>2025</v>
      </c>
      <c r="BP100" t="s">
        <v>966</v>
      </c>
      <c r="BQ100">
        <v>61367.231512688079</v>
      </c>
      <c r="BR100">
        <v>93.863276848731189</v>
      </c>
      <c r="BS100" t="s">
        <v>992</v>
      </c>
      <c r="BT100">
        <v>6</v>
      </c>
      <c r="BU100">
        <v>1</v>
      </c>
      <c r="BV100" t="s">
        <v>993</v>
      </c>
      <c r="BW100" t="s">
        <v>943</v>
      </c>
      <c r="BX100" t="s">
        <v>1033</v>
      </c>
      <c r="BY100">
        <v>3.0433970746920931</v>
      </c>
      <c r="BZ100" t="s">
        <v>1155</v>
      </c>
      <c r="CA100" t="s">
        <v>1032</v>
      </c>
      <c r="CB100" t="b">
        <v>1</v>
      </c>
      <c r="CC100" t="b">
        <v>1</v>
      </c>
      <c r="CD100" t="b">
        <v>1</v>
      </c>
      <c r="CE100" t="b">
        <v>1</v>
      </c>
      <c r="CF100" t="b">
        <v>1</v>
      </c>
    </row>
    <row r="101" spans="1:84" x14ac:dyDescent="0.3">
      <c r="A101" t="s">
        <v>1408</v>
      </c>
      <c r="B101" t="s">
        <v>1255</v>
      </c>
      <c r="C101" s="98">
        <v>45831</v>
      </c>
      <c r="D101">
        <v>2025</v>
      </c>
      <c r="E101">
        <v>6</v>
      </c>
      <c r="F101">
        <v>2</v>
      </c>
      <c r="G101" t="s">
        <v>1243</v>
      </c>
      <c r="H101" t="s">
        <v>125</v>
      </c>
      <c r="I101" t="s">
        <v>125</v>
      </c>
      <c r="J101" t="s">
        <v>6</v>
      </c>
      <c r="L101">
        <v>522611</v>
      </c>
      <c r="M101" s="99" t="s">
        <v>178</v>
      </c>
      <c r="N101">
        <v>1</v>
      </c>
      <c r="O101">
        <v>25</v>
      </c>
      <c r="P101">
        <v>2.2618999999999998</v>
      </c>
      <c r="Q101" t="s">
        <v>352</v>
      </c>
      <c r="R101">
        <v>1</v>
      </c>
      <c r="S101">
        <v>2.3066</v>
      </c>
      <c r="T101">
        <v>2.1899999999999999E-2</v>
      </c>
      <c r="U101">
        <v>-2.0410958904109675</v>
      </c>
      <c r="V101">
        <v>2.2408999999999999</v>
      </c>
      <c r="W101">
        <v>2.2627999999999999</v>
      </c>
      <c r="X101">
        <v>2.2847</v>
      </c>
      <c r="Y101">
        <v>2.3285</v>
      </c>
      <c r="Z101">
        <v>2.3504</v>
      </c>
      <c r="AA101">
        <v>2.3723000000000001</v>
      </c>
      <c r="AD101">
        <v>4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1</v>
      </c>
      <c r="AK101" t="s">
        <v>462</v>
      </c>
      <c r="AL101" t="s">
        <v>6</v>
      </c>
      <c r="AM101" t="s">
        <v>1145</v>
      </c>
      <c r="AN101" t="s">
        <v>1146</v>
      </c>
      <c r="AO101" s="100">
        <v>46262.040405092594</v>
      </c>
      <c r="AP101" t="s">
        <v>1147</v>
      </c>
      <c r="AQ101" t="s">
        <v>1409</v>
      </c>
      <c r="AR101" t="s">
        <v>1257</v>
      </c>
      <c r="AS101" t="s">
        <v>1150</v>
      </c>
      <c r="AT101" t="s">
        <v>1361</v>
      </c>
      <c r="AU101">
        <v>25</v>
      </c>
      <c r="AV101">
        <v>2.304872</v>
      </c>
      <c r="AW101">
        <v>1.8678765126920675E-2</v>
      </c>
      <c r="AX101">
        <v>0.81040357672446339</v>
      </c>
      <c r="AY101">
        <v>1.5336201252767589</v>
      </c>
      <c r="AZ101">
        <v>2.8707860268721235</v>
      </c>
      <c r="BA101">
        <v>3.0433970746920931</v>
      </c>
      <c r="BB101" s="97" t="s">
        <v>161</v>
      </c>
      <c r="BD101" s="98"/>
      <c r="BE101" s="98"/>
      <c r="BF101" t="s">
        <v>1152</v>
      </c>
      <c r="BG101" t="s">
        <v>322</v>
      </c>
      <c r="BH101" t="s">
        <v>1153</v>
      </c>
      <c r="BI101">
        <v>1.5336201252767589</v>
      </c>
      <c r="BJ101" t="s">
        <v>1032</v>
      </c>
      <c r="BK101">
        <v>1.1292139731278765</v>
      </c>
      <c r="BL101">
        <v>28.230349328196912</v>
      </c>
      <c r="BM101" t="s">
        <v>1260</v>
      </c>
      <c r="BN101" t="s">
        <v>1154</v>
      </c>
      <c r="BO101">
        <v>2025</v>
      </c>
      <c r="BP101" t="s">
        <v>966</v>
      </c>
      <c r="BQ101">
        <v>61367.231512688079</v>
      </c>
      <c r="BR101">
        <v>93.863276848731189</v>
      </c>
      <c r="BS101" t="s">
        <v>992</v>
      </c>
      <c r="BT101">
        <v>6</v>
      </c>
      <c r="BU101">
        <v>1</v>
      </c>
      <c r="BV101" t="s">
        <v>993</v>
      </c>
      <c r="BW101" t="s">
        <v>943</v>
      </c>
      <c r="BX101" t="s">
        <v>1033</v>
      </c>
      <c r="BY101">
        <v>3.0433970746920931</v>
      </c>
      <c r="BZ101" t="s">
        <v>1155</v>
      </c>
      <c r="CA101" t="s">
        <v>1032</v>
      </c>
      <c r="CB101" t="b">
        <v>1</v>
      </c>
      <c r="CC101" t="b">
        <v>1</v>
      </c>
      <c r="CD101" t="b">
        <v>1</v>
      </c>
      <c r="CE101" t="b">
        <v>1</v>
      </c>
      <c r="CF101" t="b">
        <v>1</v>
      </c>
    </row>
    <row r="102" spans="1:84" x14ac:dyDescent="0.3">
      <c r="A102" t="s">
        <v>1410</v>
      </c>
      <c r="B102" t="s">
        <v>1143</v>
      </c>
      <c r="C102" s="98">
        <v>45663</v>
      </c>
      <c r="D102">
        <v>2025</v>
      </c>
      <c r="E102">
        <v>1</v>
      </c>
      <c r="F102">
        <v>1</v>
      </c>
      <c r="G102" t="s">
        <v>1144</v>
      </c>
      <c r="H102" t="s">
        <v>125</v>
      </c>
      <c r="I102" t="s">
        <v>125</v>
      </c>
      <c r="J102" t="s">
        <v>6</v>
      </c>
      <c r="L102">
        <v>522611</v>
      </c>
      <c r="M102" s="99" t="s">
        <v>179</v>
      </c>
      <c r="N102">
        <v>2</v>
      </c>
      <c r="O102">
        <v>1</v>
      </c>
      <c r="P102">
        <v>4.3662999999999998</v>
      </c>
      <c r="Q102" t="s">
        <v>352</v>
      </c>
      <c r="R102">
        <v>1</v>
      </c>
      <c r="S102">
        <v>4.3769</v>
      </c>
      <c r="T102">
        <v>3.5000000000000003E-2</v>
      </c>
      <c r="U102">
        <v>-0.30285714285714754</v>
      </c>
      <c r="V102">
        <v>4.2718999999999996</v>
      </c>
      <c r="W102">
        <v>4.3068999999999997</v>
      </c>
      <c r="X102">
        <v>4.3418999999999999</v>
      </c>
      <c r="Y102">
        <v>4.4119000000000002</v>
      </c>
      <c r="Z102">
        <v>4.4469000000000003</v>
      </c>
      <c r="AA102">
        <v>4.4819000000000004</v>
      </c>
      <c r="AD102">
        <v>4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 t="s">
        <v>462</v>
      </c>
      <c r="AL102" t="s">
        <v>6</v>
      </c>
      <c r="AM102" t="s">
        <v>1145</v>
      </c>
      <c r="AN102" t="s">
        <v>1146</v>
      </c>
      <c r="AO102" s="100">
        <v>46262.040405092594</v>
      </c>
      <c r="AP102" t="s">
        <v>1147</v>
      </c>
      <c r="AQ102" t="s">
        <v>1411</v>
      </c>
      <c r="AR102" t="s">
        <v>1149</v>
      </c>
      <c r="AS102" t="s">
        <v>1150</v>
      </c>
      <c r="AT102" t="s">
        <v>1361</v>
      </c>
      <c r="AU102">
        <v>25</v>
      </c>
      <c r="AV102">
        <v>4.371264</v>
      </c>
      <c r="AW102">
        <v>2.954837671796318E-2</v>
      </c>
      <c r="AX102">
        <v>0.67596870648771568</v>
      </c>
      <c r="AY102">
        <v>1.5336201252767589</v>
      </c>
      <c r="AZ102">
        <v>2.6489684909814897</v>
      </c>
      <c r="BA102">
        <v>3.6486598433503996</v>
      </c>
      <c r="BB102" s="97" t="s">
        <v>161</v>
      </c>
      <c r="BD102" s="98"/>
      <c r="BE102" s="98"/>
      <c r="BF102" t="s">
        <v>1152</v>
      </c>
      <c r="BG102" t="s">
        <v>322</v>
      </c>
      <c r="BH102" t="s">
        <v>1153</v>
      </c>
      <c r="BI102">
        <v>1.5336201252767589</v>
      </c>
      <c r="BJ102" t="s">
        <v>1032</v>
      </c>
      <c r="BK102">
        <v>1.3510315090185103</v>
      </c>
      <c r="BL102">
        <v>33.775787725462756</v>
      </c>
      <c r="BM102" t="s">
        <v>1260</v>
      </c>
      <c r="BN102" t="s">
        <v>1154</v>
      </c>
      <c r="BO102">
        <v>2025</v>
      </c>
      <c r="BP102" t="s">
        <v>966</v>
      </c>
      <c r="BQ102">
        <v>61367.231512688079</v>
      </c>
      <c r="BR102">
        <v>93.863276848731189</v>
      </c>
      <c r="BS102" t="s">
        <v>992</v>
      </c>
      <c r="BT102">
        <v>6</v>
      </c>
      <c r="BU102">
        <v>1</v>
      </c>
      <c r="BV102" t="s">
        <v>993</v>
      </c>
      <c r="BW102" t="s">
        <v>943</v>
      </c>
      <c r="BX102" t="s">
        <v>1033</v>
      </c>
      <c r="BY102">
        <v>3.0433970746920931</v>
      </c>
      <c r="BZ102" t="s">
        <v>1155</v>
      </c>
      <c r="CA102" t="s">
        <v>1032</v>
      </c>
      <c r="CB102" t="b">
        <v>1</v>
      </c>
      <c r="CC102" t="b">
        <v>1</v>
      </c>
      <c r="CD102" t="b">
        <v>1</v>
      </c>
      <c r="CE102" t="b">
        <v>1</v>
      </c>
      <c r="CF102" t="b">
        <v>1</v>
      </c>
    </row>
    <row r="103" spans="1:84" x14ac:dyDescent="0.3">
      <c r="A103" t="s">
        <v>1412</v>
      </c>
      <c r="B103" t="s">
        <v>1157</v>
      </c>
      <c r="C103" s="98">
        <v>45670</v>
      </c>
      <c r="D103">
        <v>2025</v>
      </c>
      <c r="E103">
        <v>1</v>
      </c>
      <c r="F103">
        <v>1</v>
      </c>
      <c r="G103" t="s">
        <v>1144</v>
      </c>
      <c r="H103" t="s">
        <v>125</v>
      </c>
      <c r="I103" t="s">
        <v>125</v>
      </c>
      <c r="J103" t="s">
        <v>6</v>
      </c>
      <c r="L103">
        <v>522611</v>
      </c>
      <c r="M103" s="99" t="s">
        <v>179</v>
      </c>
      <c r="N103">
        <v>2</v>
      </c>
      <c r="O103">
        <v>2</v>
      </c>
      <c r="P103">
        <v>4.3453999999999997</v>
      </c>
      <c r="Q103" t="s">
        <v>352</v>
      </c>
      <c r="R103">
        <v>1</v>
      </c>
      <c r="S103">
        <v>4.3769</v>
      </c>
      <c r="T103">
        <v>3.5000000000000003E-2</v>
      </c>
      <c r="U103">
        <v>-0.90000000000000868</v>
      </c>
      <c r="V103">
        <v>4.2718999999999996</v>
      </c>
      <c r="W103">
        <v>4.3068999999999997</v>
      </c>
      <c r="X103">
        <v>4.3418999999999999</v>
      </c>
      <c r="Y103">
        <v>4.4119000000000002</v>
      </c>
      <c r="Z103">
        <v>4.4469000000000003</v>
      </c>
      <c r="AA103">
        <v>4.4819000000000004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 t="s">
        <v>462</v>
      </c>
      <c r="AL103" t="s">
        <v>6</v>
      </c>
      <c r="AM103" t="s">
        <v>1145</v>
      </c>
      <c r="AN103" t="s">
        <v>1146</v>
      </c>
      <c r="AO103" s="100">
        <v>46262.040405092594</v>
      </c>
      <c r="AP103" t="s">
        <v>1147</v>
      </c>
      <c r="AQ103" t="s">
        <v>1413</v>
      </c>
      <c r="AR103" t="s">
        <v>1159</v>
      </c>
      <c r="AS103" t="s">
        <v>1150</v>
      </c>
      <c r="AT103" t="s">
        <v>1361</v>
      </c>
      <c r="AU103">
        <v>25</v>
      </c>
      <c r="AV103">
        <v>4.371264</v>
      </c>
      <c r="AW103">
        <v>2.954837671796318E-2</v>
      </c>
      <c r="AX103">
        <v>0.67596870648771568</v>
      </c>
      <c r="AY103">
        <v>1.5336201252767589</v>
      </c>
      <c r="AZ103">
        <v>2.6489684909814897</v>
      </c>
      <c r="BA103">
        <v>3.6486598433503996</v>
      </c>
      <c r="BB103" s="97" t="s">
        <v>161</v>
      </c>
      <c r="BD103" s="98"/>
      <c r="BE103" s="98"/>
      <c r="BF103" t="s">
        <v>1152</v>
      </c>
      <c r="BG103" t="s">
        <v>322</v>
      </c>
      <c r="BH103" t="s">
        <v>1153</v>
      </c>
      <c r="BI103">
        <v>1.5336201252767589</v>
      </c>
      <c r="BJ103" t="s">
        <v>1032</v>
      </c>
      <c r="BK103">
        <v>1.3510315090185103</v>
      </c>
      <c r="BL103">
        <v>33.775787725462756</v>
      </c>
      <c r="BM103" t="s">
        <v>1260</v>
      </c>
      <c r="BN103" t="s">
        <v>1154</v>
      </c>
      <c r="BO103">
        <v>2025</v>
      </c>
      <c r="BP103" t="s">
        <v>966</v>
      </c>
      <c r="BQ103">
        <v>61367.231512688079</v>
      </c>
      <c r="BR103">
        <v>93.863276848731189</v>
      </c>
      <c r="BS103" t="s">
        <v>992</v>
      </c>
      <c r="BT103">
        <v>6</v>
      </c>
      <c r="BU103">
        <v>1</v>
      </c>
      <c r="BV103" t="s">
        <v>993</v>
      </c>
      <c r="BW103" t="s">
        <v>943</v>
      </c>
      <c r="BX103" t="s">
        <v>1033</v>
      </c>
      <c r="BY103">
        <v>3.0433970746920931</v>
      </c>
      <c r="BZ103" t="s">
        <v>1155</v>
      </c>
      <c r="CA103" t="s">
        <v>1032</v>
      </c>
      <c r="CB103" t="b">
        <v>1</v>
      </c>
      <c r="CC103" t="b">
        <v>1</v>
      </c>
      <c r="CD103" t="b">
        <v>1</v>
      </c>
      <c r="CE103" t="b">
        <v>1</v>
      </c>
      <c r="CF103" t="b">
        <v>1</v>
      </c>
    </row>
    <row r="104" spans="1:84" x14ac:dyDescent="0.3">
      <c r="A104" t="s">
        <v>1414</v>
      </c>
      <c r="B104" t="s">
        <v>1161</v>
      </c>
      <c r="C104" s="98">
        <v>45677</v>
      </c>
      <c r="D104">
        <v>2025</v>
      </c>
      <c r="E104">
        <v>1</v>
      </c>
      <c r="F104">
        <v>1</v>
      </c>
      <c r="G104" t="s">
        <v>1144</v>
      </c>
      <c r="H104" t="s">
        <v>125</v>
      </c>
      <c r="I104" t="s">
        <v>125</v>
      </c>
      <c r="J104" t="s">
        <v>6</v>
      </c>
      <c r="L104">
        <v>522611</v>
      </c>
      <c r="M104" s="99" t="s">
        <v>179</v>
      </c>
      <c r="N104">
        <v>2</v>
      </c>
      <c r="O104">
        <v>3</v>
      </c>
      <c r="P104">
        <v>4.3826000000000001</v>
      </c>
      <c r="Q104" t="s">
        <v>352</v>
      </c>
      <c r="R104">
        <v>1</v>
      </c>
      <c r="S104">
        <v>4.3769</v>
      </c>
      <c r="T104">
        <v>3.5000000000000003E-2</v>
      </c>
      <c r="U104">
        <v>0.16285714285714395</v>
      </c>
      <c r="V104">
        <v>4.2718999999999996</v>
      </c>
      <c r="W104">
        <v>4.3068999999999997</v>
      </c>
      <c r="X104">
        <v>4.3418999999999999</v>
      </c>
      <c r="Y104">
        <v>4.4119000000000002</v>
      </c>
      <c r="Z104">
        <v>4.4469000000000003</v>
      </c>
      <c r="AA104">
        <v>4.4819000000000004</v>
      </c>
      <c r="AD104">
        <v>4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 t="s">
        <v>462</v>
      </c>
      <c r="AL104" t="s">
        <v>6</v>
      </c>
      <c r="AM104" t="s">
        <v>1145</v>
      </c>
      <c r="AN104" t="s">
        <v>1146</v>
      </c>
      <c r="AO104" s="100">
        <v>46262.040405092594</v>
      </c>
      <c r="AP104" t="s">
        <v>1147</v>
      </c>
      <c r="AQ104" t="s">
        <v>1415</v>
      </c>
      <c r="AR104" t="s">
        <v>1163</v>
      </c>
      <c r="AS104" t="s">
        <v>1150</v>
      </c>
      <c r="AT104" t="s">
        <v>1361</v>
      </c>
      <c r="AU104">
        <v>25</v>
      </c>
      <c r="AV104">
        <v>4.371264</v>
      </c>
      <c r="AW104">
        <v>2.954837671796318E-2</v>
      </c>
      <c r="AX104">
        <v>0.67596870648771568</v>
      </c>
      <c r="AY104">
        <v>1.5336201252767589</v>
      </c>
      <c r="AZ104">
        <v>2.6489684909814897</v>
      </c>
      <c r="BA104">
        <v>3.6486598433503996</v>
      </c>
      <c r="BB104" s="97" t="s">
        <v>161</v>
      </c>
      <c r="BD104" s="98"/>
      <c r="BE104" s="98"/>
      <c r="BF104" t="s">
        <v>1152</v>
      </c>
      <c r="BG104" t="s">
        <v>322</v>
      </c>
      <c r="BH104" t="s">
        <v>1153</v>
      </c>
      <c r="BI104">
        <v>1.5336201252767589</v>
      </c>
      <c r="BJ104" t="s">
        <v>1032</v>
      </c>
      <c r="BK104">
        <v>1.3510315090185103</v>
      </c>
      <c r="BL104">
        <v>33.775787725462756</v>
      </c>
      <c r="BM104" t="s">
        <v>1260</v>
      </c>
      <c r="BN104" t="s">
        <v>1154</v>
      </c>
      <c r="BO104">
        <v>2025</v>
      </c>
      <c r="BP104" t="s">
        <v>966</v>
      </c>
      <c r="BQ104">
        <v>61367.231512688079</v>
      </c>
      <c r="BR104">
        <v>93.863276848731189</v>
      </c>
      <c r="BS104" t="s">
        <v>992</v>
      </c>
      <c r="BT104">
        <v>6</v>
      </c>
      <c r="BU104">
        <v>1</v>
      </c>
      <c r="BV104" t="s">
        <v>993</v>
      </c>
      <c r="BW104" t="s">
        <v>943</v>
      </c>
      <c r="BX104" t="s">
        <v>1033</v>
      </c>
      <c r="BY104">
        <v>3.0433970746920931</v>
      </c>
      <c r="BZ104" t="s">
        <v>1155</v>
      </c>
      <c r="CA104" t="s">
        <v>1032</v>
      </c>
      <c r="CB104" t="b">
        <v>1</v>
      </c>
      <c r="CC104" t="b">
        <v>1</v>
      </c>
      <c r="CD104" t="b">
        <v>1</v>
      </c>
      <c r="CE104" t="b">
        <v>1</v>
      </c>
      <c r="CF104" t="b">
        <v>1</v>
      </c>
    </row>
    <row r="105" spans="1:84" x14ac:dyDescent="0.3">
      <c r="A105" t="s">
        <v>1416</v>
      </c>
      <c r="B105" t="s">
        <v>1165</v>
      </c>
      <c r="C105" s="98">
        <v>45684</v>
      </c>
      <c r="D105">
        <v>2025</v>
      </c>
      <c r="E105">
        <v>1</v>
      </c>
      <c r="F105">
        <v>1</v>
      </c>
      <c r="G105" t="s">
        <v>1144</v>
      </c>
      <c r="H105" t="s">
        <v>125</v>
      </c>
      <c r="I105" t="s">
        <v>125</v>
      </c>
      <c r="J105" t="s">
        <v>6</v>
      </c>
      <c r="L105">
        <v>522611</v>
      </c>
      <c r="M105" s="99" t="s">
        <v>179</v>
      </c>
      <c r="N105">
        <v>2</v>
      </c>
      <c r="O105">
        <v>4</v>
      </c>
      <c r="P105">
        <v>4.4554</v>
      </c>
      <c r="Q105" t="s">
        <v>352</v>
      </c>
      <c r="R105">
        <v>1</v>
      </c>
      <c r="S105">
        <v>4.3769</v>
      </c>
      <c r="T105">
        <v>3.5000000000000003E-2</v>
      </c>
      <c r="U105">
        <v>2.2428571428571429</v>
      </c>
      <c r="V105">
        <v>4.2718999999999996</v>
      </c>
      <c r="W105">
        <v>4.3068999999999997</v>
      </c>
      <c r="X105">
        <v>4.3418999999999999</v>
      </c>
      <c r="Y105">
        <v>4.4119000000000002</v>
      </c>
      <c r="Z105">
        <v>4.4469000000000003</v>
      </c>
      <c r="AA105">
        <v>4.4819000000000004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1</v>
      </c>
      <c r="AK105" t="s">
        <v>462</v>
      </c>
      <c r="AL105" t="s">
        <v>6</v>
      </c>
      <c r="AM105" t="s">
        <v>1145</v>
      </c>
      <c r="AN105" t="s">
        <v>1146</v>
      </c>
      <c r="AO105" s="100">
        <v>46262.040405092594</v>
      </c>
      <c r="AP105" t="s">
        <v>1147</v>
      </c>
      <c r="AQ105" t="s">
        <v>1417</v>
      </c>
      <c r="AR105" t="s">
        <v>1167</v>
      </c>
      <c r="AS105" t="s">
        <v>1150</v>
      </c>
      <c r="AT105" t="s">
        <v>1361</v>
      </c>
      <c r="AU105">
        <v>25</v>
      </c>
      <c r="AV105">
        <v>4.371264</v>
      </c>
      <c r="AW105">
        <v>2.954837671796318E-2</v>
      </c>
      <c r="AX105">
        <v>0.67596870648771568</v>
      </c>
      <c r="AY105">
        <v>1.5336201252767589</v>
      </c>
      <c r="AZ105">
        <v>2.6489684909814897</v>
      </c>
      <c r="BA105">
        <v>3.6486598433503996</v>
      </c>
      <c r="BB105" s="97" t="s">
        <v>161</v>
      </c>
      <c r="BD105" s="98"/>
      <c r="BE105" s="98"/>
      <c r="BF105" t="s">
        <v>1152</v>
      </c>
      <c r="BG105" t="s">
        <v>322</v>
      </c>
      <c r="BH105" t="s">
        <v>1153</v>
      </c>
      <c r="BI105">
        <v>1.5336201252767589</v>
      </c>
      <c r="BJ105" t="s">
        <v>1032</v>
      </c>
      <c r="BK105">
        <v>1.3510315090185103</v>
      </c>
      <c r="BL105">
        <v>33.775787725462756</v>
      </c>
      <c r="BM105" t="s">
        <v>1260</v>
      </c>
      <c r="BN105" t="s">
        <v>1154</v>
      </c>
      <c r="BO105">
        <v>2025</v>
      </c>
      <c r="BP105" t="s">
        <v>966</v>
      </c>
      <c r="BQ105">
        <v>61367.231512688079</v>
      </c>
      <c r="BR105">
        <v>93.863276848731189</v>
      </c>
      <c r="BS105" t="s">
        <v>992</v>
      </c>
      <c r="BT105">
        <v>6</v>
      </c>
      <c r="BU105">
        <v>1</v>
      </c>
      <c r="BV105" t="s">
        <v>993</v>
      </c>
      <c r="BW105" t="s">
        <v>943</v>
      </c>
      <c r="BX105" t="s">
        <v>1033</v>
      </c>
      <c r="BY105">
        <v>3.0433970746920931</v>
      </c>
      <c r="BZ105" t="s">
        <v>1155</v>
      </c>
      <c r="CA105" t="s">
        <v>1032</v>
      </c>
      <c r="CB105" t="b">
        <v>1</v>
      </c>
      <c r="CC105" t="b">
        <v>1</v>
      </c>
      <c r="CD105" t="b">
        <v>1</v>
      </c>
      <c r="CE105" t="b">
        <v>1</v>
      </c>
      <c r="CF105" t="b">
        <v>1</v>
      </c>
    </row>
    <row r="106" spans="1:84" x14ac:dyDescent="0.3">
      <c r="A106" t="s">
        <v>1418</v>
      </c>
      <c r="B106" t="s">
        <v>1169</v>
      </c>
      <c r="C106" s="98">
        <v>45691</v>
      </c>
      <c r="D106">
        <v>2025</v>
      </c>
      <c r="E106">
        <v>2</v>
      </c>
      <c r="F106">
        <v>1</v>
      </c>
      <c r="G106" t="s">
        <v>1170</v>
      </c>
      <c r="H106" t="s">
        <v>125</v>
      </c>
      <c r="I106" t="s">
        <v>125</v>
      </c>
      <c r="J106" t="s">
        <v>6</v>
      </c>
      <c r="L106">
        <v>522611</v>
      </c>
      <c r="M106" s="99" t="s">
        <v>179</v>
      </c>
      <c r="N106">
        <v>2</v>
      </c>
      <c r="O106">
        <v>5</v>
      </c>
      <c r="P106">
        <v>4.3478000000000003</v>
      </c>
      <c r="Q106" t="s">
        <v>352</v>
      </c>
      <c r="R106">
        <v>1</v>
      </c>
      <c r="S106">
        <v>4.3769</v>
      </c>
      <c r="T106">
        <v>3.5000000000000003E-2</v>
      </c>
      <c r="U106">
        <v>-0.8314285714285623</v>
      </c>
      <c r="V106">
        <v>4.2718999999999996</v>
      </c>
      <c r="W106">
        <v>4.3068999999999997</v>
      </c>
      <c r="X106">
        <v>4.3418999999999999</v>
      </c>
      <c r="Y106">
        <v>4.4119000000000002</v>
      </c>
      <c r="Z106">
        <v>4.4469000000000003</v>
      </c>
      <c r="AA106">
        <v>4.4819000000000004</v>
      </c>
      <c r="AD106">
        <v>4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 t="s">
        <v>462</v>
      </c>
      <c r="AL106" t="s">
        <v>6</v>
      </c>
      <c r="AM106" t="s">
        <v>1145</v>
      </c>
      <c r="AN106" t="s">
        <v>1146</v>
      </c>
      <c r="AO106" s="100">
        <v>46262.040405092594</v>
      </c>
      <c r="AP106" t="s">
        <v>1147</v>
      </c>
      <c r="AQ106" t="s">
        <v>1419</v>
      </c>
      <c r="AR106" t="s">
        <v>1172</v>
      </c>
      <c r="AS106" t="s">
        <v>1150</v>
      </c>
      <c r="AT106" t="s">
        <v>1361</v>
      </c>
      <c r="AU106">
        <v>25</v>
      </c>
      <c r="AV106">
        <v>4.371264</v>
      </c>
      <c r="AW106">
        <v>2.954837671796318E-2</v>
      </c>
      <c r="AX106">
        <v>0.67596870648771568</v>
      </c>
      <c r="AY106">
        <v>1.5336201252767589</v>
      </c>
      <c r="AZ106">
        <v>2.6489684909814897</v>
      </c>
      <c r="BA106">
        <v>3.6486598433503996</v>
      </c>
      <c r="BB106" s="97" t="s">
        <v>161</v>
      </c>
      <c r="BD106" s="98"/>
      <c r="BE106" s="98"/>
      <c r="BF106" t="s">
        <v>1152</v>
      </c>
      <c r="BG106" t="s">
        <v>322</v>
      </c>
      <c r="BH106" t="s">
        <v>1153</v>
      </c>
      <c r="BI106">
        <v>1.5336201252767589</v>
      </c>
      <c r="BJ106" t="s">
        <v>1032</v>
      </c>
      <c r="BK106">
        <v>1.3510315090185103</v>
      </c>
      <c r="BL106">
        <v>33.775787725462756</v>
      </c>
      <c r="BM106" t="s">
        <v>1260</v>
      </c>
      <c r="BN106" t="s">
        <v>1154</v>
      </c>
      <c r="BO106">
        <v>2025</v>
      </c>
      <c r="BP106" t="s">
        <v>966</v>
      </c>
      <c r="BQ106">
        <v>61367.231512688079</v>
      </c>
      <c r="BR106">
        <v>93.863276848731189</v>
      </c>
      <c r="BS106" t="s">
        <v>992</v>
      </c>
      <c r="BT106">
        <v>6</v>
      </c>
      <c r="BU106">
        <v>1</v>
      </c>
      <c r="BV106" t="s">
        <v>993</v>
      </c>
      <c r="BW106" t="s">
        <v>943</v>
      </c>
      <c r="BX106" t="s">
        <v>1033</v>
      </c>
      <c r="BY106">
        <v>3.0433970746920931</v>
      </c>
      <c r="BZ106" t="s">
        <v>1155</v>
      </c>
      <c r="CA106" t="s">
        <v>1032</v>
      </c>
      <c r="CB106" t="b">
        <v>1</v>
      </c>
      <c r="CC106" t="b">
        <v>1</v>
      </c>
      <c r="CD106" t="b">
        <v>1</v>
      </c>
      <c r="CE106" t="b">
        <v>1</v>
      </c>
      <c r="CF106" t="b">
        <v>1</v>
      </c>
    </row>
    <row r="107" spans="1:84" x14ac:dyDescent="0.3">
      <c r="A107" t="s">
        <v>1420</v>
      </c>
      <c r="B107" t="s">
        <v>1174</v>
      </c>
      <c r="C107" s="98">
        <v>45698</v>
      </c>
      <c r="D107">
        <v>2025</v>
      </c>
      <c r="E107">
        <v>2</v>
      </c>
      <c r="F107">
        <v>1</v>
      </c>
      <c r="G107" t="s">
        <v>1170</v>
      </c>
      <c r="H107" t="s">
        <v>125</v>
      </c>
      <c r="I107" t="s">
        <v>125</v>
      </c>
      <c r="J107" t="s">
        <v>6</v>
      </c>
      <c r="L107">
        <v>522611</v>
      </c>
      <c r="M107" s="99" t="s">
        <v>179</v>
      </c>
      <c r="N107">
        <v>2</v>
      </c>
      <c r="O107">
        <v>6</v>
      </c>
      <c r="P107">
        <v>4.3551000000000002</v>
      </c>
      <c r="Q107" t="s">
        <v>352</v>
      </c>
      <c r="R107">
        <v>1</v>
      </c>
      <c r="S107">
        <v>4.3769</v>
      </c>
      <c r="T107">
        <v>3.5000000000000003E-2</v>
      </c>
      <c r="U107">
        <v>-0.62285714285713767</v>
      </c>
      <c r="V107">
        <v>4.2718999999999996</v>
      </c>
      <c r="W107">
        <v>4.3068999999999997</v>
      </c>
      <c r="X107">
        <v>4.3418999999999999</v>
      </c>
      <c r="Y107">
        <v>4.4119000000000002</v>
      </c>
      <c r="Z107">
        <v>4.4469000000000003</v>
      </c>
      <c r="AA107">
        <v>4.4819000000000004</v>
      </c>
      <c r="AD107">
        <v>4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 t="s">
        <v>462</v>
      </c>
      <c r="AL107" t="s">
        <v>6</v>
      </c>
      <c r="AM107" t="s">
        <v>1145</v>
      </c>
      <c r="AN107" t="s">
        <v>1146</v>
      </c>
      <c r="AO107" s="100">
        <v>46262.040405092594</v>
      </c>
      <c r="AP107" t="s">
        <v>1147</v>
      </c>
      <c r="AQ107" t="s">
        <v>1421</v>
      </c>
      <c r="AR107" t="s">
        <v>1176</v>
      </c>
      <c r="AS107" t="s">
        <v>1150</v>
      </c>
      <c r="AT107" t="s">
        <v>1361</v>
      </c>
      <c r="AU107">
        <v>25</v>
      </c>
      <c r="AV107">
        <v>4.371264</v>
      </c>
      <c r="AW107">
        <v>2.954837671796318E-2</v>
      </c>
      <c r="AX107">
        <v>0.67596870648771568</v>
      </c>
      <c r="AY107">
        <v>1.5336201252767589</v>
      </c>
      <c r="AZ107">
        <v>2.6489684909814897</v>
      </c>
      <c r="BA107">
        <v>3.6486598433503996</v>
      </c>
      <c r="BB107" s="97" t="s">
        <v>161</v>
      </c>
      <c r="BD107" s="98"/>
      <c r="BE107" s="98"/>
      <c r="BF107" t="s">
        <v>1152</v>
      </c>
      <c r="BG107" t="s">
        <v>322</v>
      </c>
      <c r="BH107" t="s">
        <v>1153</v>
      </c>
      <c r="BI107">
        <v>1.5336201252767589</v>
      </c>
      <c r="BJ107" t="s">
        <v>1032</v>
      </c>
      <c r="BK107">
        <v>1.3510315090185103</v>
      </c>
      <c r="BL107">
        <v>33.775787725462756</v>
      </c>
      <c r="BM107" t="s">
        <v>1260</v>
      </c>
      <c r="BN107" t="s">
        <v>1154</v>
      </c>
      <c r="BO107">
        <v>2025</v>
      </c>
      <c r="BP107" t="s">
        <v>966</v>
      </c>
      <c r="BQ107">
        <v>61367.231512688079</v>
      </c>
      <c r="BR107">
        <v>93.863276848731189</v>
      </c>
      <c r="BS107" t="s">
        <v>992</v>
      </c>
      <c r="BT107">
        <v>6</v>
      </c>
      <c r="BU107">
        <v>1</v>
      </c>
      <c r="BV107" t="s">
        <v>993</v>
      </c>
      <c r="BW107" t="s">
        <v>943</v>
      </c>
      <c r="BX107" t="s">
        <v>1033</v>
      </c>
      <c r="BY107">
        <v>3.0433970746920931</v>
      </c>
      <c r="BZ107" t="s">
        <v>1155</v>
      </c>
      <c r="CA107" t="s">
        <v>1032</v>
      </c>
      <c r="CB107" t="b">
        <v>1</v>
      </c>
      <c r="CC107" t="b">
        <v>1</v>
      </c>
      <c r="CD107" t="b">
        <v>1</v>
      </c>
      <c r="CE107" t="b">
        <v>1</v>
      </c>
      <c r="CF107" t="b">
        <v>1</v>
      </c>
    </row>
    <row r="108" spans="1:84" x14ac:dyDescent="0.3">
      <c r="A108" t="s">
        <v>1422</v>
      </c>
      <c r="B108" t="s">
        <v>1178</v>
      </c>
      <c r="C108" s="98">
        <v>45705</v>
      </c>
      <c r="D108">
        <v>2025</v>
      </c>
      <c r="E108">
        <v>2</v>
      </c>
      <c r="F108">
        <v>1</v>
      </c>
      <c r="G108" t="s">
        <v>1170</v>
      </c>
      <c r="H108" t="s">
        <v>125</v>
      </c>
      <c r="I108" t="s">
        <v>125</v>
      </c>
      <c r="J108" t="s">
        <v>6</v>
      </c>
      <c r="L108">
        <v>522611</v>
      </c>
      <c r="M108" s="99" t="s">
        <v>179</v>
      </c>
      <c r="N108">
        <v>2</v>
      </c>
      <c r="O108">
        <v>7</v>
      </c>
      <c r="P108">
        <v>4.3841000000000001</v>
      </c>
      <c r="Q108" t="s">
        <v>352</v>
      </c>
      <c r="R108">
        <v>1</v>
      </c>
      <c r="S108">
        <v>4.3769</v>
      </c>
      <c r="T108">
        <v>3.5000000000000003E-2</v>
      </c>
      <c r="U108">
        <v>0.2057142857142884</v>
      </c>
      <c r="V108">
        <v>4.2718999999999996</v>
      </c>
      <c r="W108">
        <v>4.3068999999999997</v>
      </c>
      <c r="X108">
        <v>4.3418999999999999</v>
      </c>
      <c r="Y108">
        <v>4.4119000000000002</v>
      </c>
      <c r="Z108">
        <v>4.4469000000000003</v>
      </c>
      <c r="AA108">
        <v>4.4819000000000004</v>
      </c>
      <c r="AD108">
        <v>4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 t="s">
        <v>462</v>
      </c>
      <c r="AL108" t="s">
        <v>6</v>
      </c>
      <c r="AM108" t="s">
        <v>1145</v>
      </c>
      <c r="AN108" t="s">
        <v>1146</v>
      </c>
      <c r="AO108" s="100">
        <v>46262.040405092594</v>
      </c>
      <c r="AP108" t="s">
        <v>1147</v>
      </c>
      <c r="AQ108" t="s">
        <v>1423</v>
      </c>
      <c r="AR108" t="s">
        <v>1180</v>
      </c>
      <c r="AS108" t="s">
        <v>1150</v>
      </c>
      <c r="AT108" t="s">
        <v>1361</v>
      </c>
      <c r="AU108">
        <v>25</v>
      </c>
      <c r="AV108">
        <v>4.371264</v>
      </c>
      <c r="AW108">
        <v>2.954837671796318E-2</v>
      </c>
      <c r="AX108">
        <v>0.67596870648771568</v>
      </c>
      <c r="AY108">
        <v>1.5336201252767589</v>
      </c>
      <c r="AZ108">
        <v>2.6489684909814897</v>
      </c>
      <c r="BA108">
        <v>3.6486598433503996</v>
      </c>
      <c r="BB108" s="97" t="s">
        <v>161</v>
      </c>
      <c r="BD108" s="98"/>
      <c r="BE108" s="98"/>
      <c r="BF108" t="s">
        <v>1152</v>
      </c>
      <c r="BG108" t="s">
        <v>322</v>
      </c>
      <c r="BH108" t="s">
        <v>1153</v>
      </c>
      <c r="BI108">
        <v>1.5336201252767589</v>
      </c>
      <c r="BJ108" t="s">
        <v>1032</v>
      </c>
      <c r="BK108">
        <v>1.3510315090185103</v>
      </c>
      <c r="BL108">
        <v>33.775787725462756</v>
      </c>
      <c r="BM108" t="s">
        <v>1260</v>
      </c>
      <c r="BN108" t="s">
        <v>1154</v>
      </c>
      <c r="BO108">
        <v>2025</v>
      </c>
      <c r="BP108" t="s">
        <v>966</v>
      </c>
      <c r="BQ108">
        <v>61367.231512688079</v>
      </c>
      <c r="BR108">
        <v>93.863276848731189</v>
      </c>
      <c r="BS108" t="s">
        <v>992</v>
      </c>
      <c r="BT108">
        <v>6</v>
      </c>
      <c r="BU108">
        <v>1</v>
      </c>
      <c r="BV108" t="s">
        <v>993</v>
      </c>
      <c r="BW108" t="s">
        <v>943</v>
      </c>
      <c r="BX108" t="s">
        <v>1033</v>
      </c>
      <c r="BY108">
        <v>3.0433970746920931</v>
      </c>
      <c r="BZ108" t="s">
        <v>1155</v>
      </c>
      <c r="CA108" t="s">
        <v>1032</v>
      </c>
      <c r="CB108" t="b">
        <v>1</v>
      </c>
      <c r="CC108" t="b">
        <v>1</v>
      </c>
      <c r="CD108" t="b">
        <v>1</v>
      </c>
      <c r="CE108" t="b">
        <v>1</v>
      </c>
      <c r="CF108" t="b">
        <v>1</v>
      </c>
    </row>
    <row r="109" spans="1:84" x14ac:dyDescent="0.3">
      <c r="A109" t="s">
        <v>1424</v>
      </c>
      <c r="B109" t="s">
        <v>1182</v>
      </c>
      <c r="C109" s="98">
        <v>45712</v>
      </c>
      <c r="D109">
        <v>2025</v>
      </c>
      <c r="E109">
        <v>2</v>
      </c>
      <c r="F109">
        <v>1</v>
      </c>
      <c r="G109" t="s">
        <v>1170</v>
      </c>
      <c r="H109" t="s">
        <v>125</v>
      </c>
      <c r="I109" t="s">
        <v>125</v>
      </c>
      <c r="J109" t="s">
        <v>6</v>
      </c>
      <c r="L109">
        <v>522611</v>
      </c>
      <c r="M109" s="99" t="s">
        <v>179</v>
      </c>
      <c r="N109">
        <v>2</v>
      </c>
      <c r="O109">
        <v>8</v>
      </c>
      <c r="P109">
        <v>4.3940999999999999</v>
      </c>
      <c r="Q109" t="s">
        <v>352</v>
      </c>
      <c r="R109">
        <v>1</v>
      </c>
      <c r="S109">
        <v>4.3769</v>
      </c>
      <c r="T109">
        <v>3.5000000000000003E-2</v>
      </c>
      <c r="U109">
        <v>0.491428571428568</v>
      </c>
      <c r="V109">
        <v>4.2718999999999996</v>
      </c>
      <c r="W109">
        <v>4.3068999999999997</v>
      </c>
      <c r="X109">
        <v>4.3418999999999999</v>
      </c>
      <c r="Y109">
        <v>4.4119000000000002</v>
      </c>
      <c r="Z109">
        <v>4.4469000000000003</v>
      </c>
      <c r="AA109">
        <v>4.4819000000000004</v>
      </c>
      <c r="AD109">
        <v>4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 t="s">
        <v>462</v>
      </c>
      <c r="AL109" t="s">
        <v>6</v>
      </c>
      <c r="AM109" t="s">
        <v>1145</v>
      </c>
      <c r="AN109" t="s">
        <v>1146</v>
      </c>
      <c r="AO109" s="100">
        <v>46262.040405092594</v>
      </c>
      <c r="AP109" t="s">
        <v>1147</v>
      </c>
      <c r="AQ109" t="s">
        <v>1425</v>
      </c>
      <c r="AR109" t="s">
        <v>1184</v>
      </c>
      <c r="AS109" t="s">
        <v>1150</v>
      </c>
      <c r="AT109" t="s">
        <v>1361</v>
      </c>
      <c r="AU109">
        <v>25</v>
      </c>
      <c r="AV109">
        <v>4.371264</v>
      </c>
      <c r="AW109">
        <v>2.954837671796318E-2</v>
      </c>
      <c r="AX109">
        <v>0.67596870648771568</v>
      </c>
      <c r="AY109">
        <v>1.5336201252767589</v>
      </c>
      <c r="AZ109">
        <v>2.6489684909814897</v>
      </c>
      <c r="BA109">
        <v>3.6486598433503996</v>
      </c>
      <c r="BB109" s="97" t="s">
        <v>161</v>
      </c>
      <c r="BD109" s="98"/>
      <c r="BE109" s="98"/>
      <c r="BF109" t="s">
        <v>1152</v>
      </c>
      <c r="BG109" t="s">
        <v>322</v>
      </c>
      <c r="BH109" t="s">
        <v>1153</v>
      </c>
      <c r="BI109">
        <v>1.5336201252767589</v>
      </c>
      <c r="BJ109" t="s">
        <v>1032</v>
      </c>
      <c r="BK109">
        <v>1.3510315090185103</v>
      </c>
      <c r="BL109">
        <v>33.775787725462756</v>
      </c>
      <c r="BM109" t="s">
        <v>1260</v>
      </c>
      <c r="BN109" t="s">
        <v>1154</v>
      </c>
      <c r="BO109">
        <v>2025</v>
      </c>
      <c r="BP109" t="s">
        <v>966</v>
      </c>
      <c r="BQ109">
        <v>61367.231512688079</v>
      </c>
      <c r="BR109">
        <v>93.863276848731189</v>
      </c>
      <c r="BS109" t="s">
        <v>992</v>
      </c>
      <c r="BT109">
        <v>6</v>
      </c>
      <c r="BU109">
        <v>1</v>
      </c>
      <c r="BV109" t="s">
        <v>993</v>
      </c>
      <c r="BW109" t="s">
        <v>943</v>
      </c>
      <c r="BX109" t="s">
        <v>1033</v>
      </c>
      <c r="BY109">
        <v>3.0433970746920931</v>
      </c>
      <c r="BZ109" t="s">
        <v>1155</v>
      </c>
      <c r="CA109" t="s">
        <v>1032</v>
      </c>
      <c r="CB109" t="b">
        <v>1</v>
      </c>
      <c r="CC109" t="b">
        <v>1</v>
      </c>
      <c r="CD109" t="b">
        <v>1</v>
      </c>
      <c r="CE109" t="b">
        <v>1</v>
      </c>
      <c r="CF109" t="b">
        <v>1</v>
      </c>
    </row>
    <row r="110" spans="1:84" x14ac:dyDescent="0.3">
      <c r="A110" t="s">
        <v>1426</v>
      </c>
      <c r="B110" t="s">
        <v>1186</v>
      </c>
      <c r="C110" s="98">
        <v>45719</v>
      </c>
      <c r="D110">
        <v>2025</v>
      </c>
      <c r="E110">
        <v>3</v>
      </c>
      <c r="F110">
        <v>1</v>
      </c>
      <c r="G110" t="s">
        <v>1187</v>
      </c>
      <c r="H110" t="s">
        <v>125</v>
      </c>
      <c r="I110" t="s">
        <v>125</v>
      </c>
      <c r="J110" t="s">
        <v>6</v>
      </c>
      <c r="L110">
        <v>522611</v>
      </c>
      <c r="M110" s="99" t="s">
        <v>179</v>
      </c>
      <c r="N110">
        <v>2</v>
      </c>
      <c r="O110">
        <v>9</v>
      </c>
      <c r="P110">
        <v>4.3707000000000003</v>
      </c>
      <c r="Q110" t="s">
        <v>352</v>
      </c>
      <c r="R110">
        <v>1</v>
      </c>
      <c r="S110">
        <v>4.3769</v>
      </c>
      <c r="T110">
        <v>3.5000000000000003E-2</v>
      </c>
      <c r="U110">
        <v>-0.1771428571428503</v>
      </c>
      <c r="V110">
        <v>4.2718999999999996</v>
      </c>
      <c r="W110">
        <v>4.3068999999999997</v>
      </c>
      <c r="X110">
        <v>4.3418999999999999</v>
      </c>
      <c r="Y110">
        <v>4.4119000000000002</v>
      </c>
      <c r="Z110">
        <v>4.4469000000000003</v>
      </c>
      <c r="AA110">
        <v>4.4819000000000004</v>
      </c>
      <c r="AD110">
        <v>4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 t="s">
        <v>462</v>
      </c>
      <c r="AL110" t="s">
        <v>6</v>
      </c>
      <c r="AM110" t="s">
        <v>1145</v>
      </c>
      <c r="AN110" t="s">
        <v>1146</v>
      </c>
      <c r="AO110" s="100">
        <v>46262.040405092594</v>
      </c>
      <c r="AP110" t="s">
        <v>1147</v>
      </c>
      <c r="AQ110" t="s">
        <v>1427</v>
      </c>
      <c r="AR110" t="s">
        <v>1189</v>
      </c>
      <c r="AS110" t="s">
        <v>1150</v>
      </c>
      <c r="AT110" t="s">
        <v>1361</v>
      </c>
      <c r="AU110">
        <v>25</v>
      </c>
      <c r="AV110">
        <v>4.371264</v>
      </c>
      <c r="AW110">
        <v>2.954837671796318E-2</v>
      </c>
      <c r="AX110">
        <v>0.67596870648771568</v>
      </c>
      <c r="AY110">
        <v>1.5336201252767589</v>
      </c>
      <c r="AZ110">
        <v>2.6489684909814897</v>
      </c>
      <c r="BA110">
        <v>3.6486598433503996</v>
      </c>
      <c r="BB110" s="97" t="s">
        <v>161</v>
      </c>
      <c r="BD110" s="98"/>
      <c r="BE110" s="98"/>
      <c r="BF110" t="s">
        <v>1152</v>
      </c>
      <c r="BG110" t="s">
        <v>322</v>
      </c>
      <c r="BH110" t="s">
        <v>1153</v>
      </c>
      <c r="BI110">
        <v>1.5336201252767589</v>
      </c>
      <c r="BJ110" t="s">
        <v>1032</v>
      </c>
      <c r="BK110">
        <v>1.3510315090185103</v>
      </c>
      <c r="BL110">
        <v>33.775787725462756</v>
      </c>
      <c r="BM110" t="s">
        <v>1260</v>
      </c>
      <c r="BN110" t="s">
        <v>1154</v>
      </c>
      <c r="BO110">
        <v>2025</v>
      </c>
      <c r="BP110" t="s">
        <v>966</v>
      </c>
      <c r="BQ110">
        <v>61367.231512688079</v>
      </c>
      <c r="BR110">
        <v>93.863276848731189</v>
      </c>
      <c r="BS110" t="s">
        <v>992</v>
      </c>
      <c r="BT110">
        <v>6</v>
      </c>
      <c r="BU110">
        <v>1</v>
      </c>
      <c r="BV110" t="s">
        <v>993</v>
      </c>
      <c r="BW110" t="s">
        <v>943</v>
      </c>
      <c r="BX110" t="s">
        <v>1033</v>
      </c>
      <c r="BY110">
        <v>3.0433970746920931</v>
      </c>
      <c r="BZ110" t="s">
        <v>1155</v>
      </c>
      <c r="CA110" t="s">
        <v>1032</v>
      </c>
      <c r="CB110" t="b">
        <v>1</v>
      </c>
      <c r="CC110" t="b">
        <v>1</v>
      </c>
      <c r="CD110" t="b">
        <v>1</v>
      </c>
      <c r="CE110" t="b">
        <v>1</v>
      </c>
      <c r="CF110" t="b">
        <v>1</v>
      </c>
    </row>
    <row r="111" spans="1:84" x14ac:dyDescent="0.3">
      <c r="A111" t="s">
        <v>1428</v>
      </c>
      <c r="B111" t="s">
        <v>1191</v>
      </c>
      <c r="C111" s="98">
        <v>45726</v>
      </c>
      <c r="D111">
        <v>2025</v>
      </c>
      <c r="E111">
        <v>3</v>
      </c>
      <c r="F111">
        <v>1</v>
      </c>
      <c r="G111" t="s">
        <v>1187</v>
      </c>
      <c r="H111" t="s">
        <v>125</v>
      </c>
      <c r="I111" t="s">
        <v>125</v>
      </c>
      <c r="J111" t="s">
        <v>6</v>
      </c>
      <c r="L111">
        <v>522611</v>
      </c>
      <c r="M111" s="99" t="s">
        <v>179</v>
      </c>
      <c r="N111">
        <v>2</v>
      </c>
      <c r="O111">
        <v>10</v>
      </c>
      <c r="P111">
        <v>4.3696999999999999</v>
      </c>
      <c r="Q111" t="s">
        <v>352</v>
      </c>
      <c r="R111">
        <v>1</v>
      </c>
      <c r="S111">
        <v>4.3769</v>
      </c>
      <c r="T111">
        <v>3.5000000000000003E-2</v>
      </c>
      <c r="U111">
        <v>-0.2057142857142884</v>
      </c>
      <c r="V111">
        <v>4.2718999999999996</v>
      </c>
      <c r="W111">
        <v>4.3068999999999997</v>
      </c>
      <c r="X111">
        <v>4.3418999999999999</v>
      </c>
      <c r="Y111">
        <v>4.4119000000000002</v>
      </c>
      <c r="Z111">
        <v>4.4469000000000003</v>
      </c>
      <c r="AA111">
        <v>4.4819000000000004</v>
      </c>
      <c r="AD111">
        <v>4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 t="s">
        <v>462</v>
      </c>
      <c r="AL111" t="s">
        <v>6</v>
      </c>
      <c r="AM111" t="s">
        <v>1145</v>
      </c>
      <c r="AN111" t="s">
        <v>1146</v>
      </c>
      <c r="AO111" s="100">
        <v>46262.040405092594</v>
      </c>
      <c r="AP111" t="s">
        <v>1147</v>
      </c>
      <c r="AQ111" t="s">
        <v>1429</v>
      </c>
      <c r="AR111" t="s">
        <v>1193</v>
      </c>
      <c r="AS111" t="s">
        <v>1150</v>
      </c>
      <c r="AT111" t="s">
        <v>1361</v>
      </c>
      <c r="AU111">
        <v>25</v>
      </c>
      <c r="AV111">
        <v>4.371264</v>
      </c>
      <c r="AW111">
        <v>2.954837671796318E-2</v>
      </c>
      <c r="AX111">
        <v>0.67596870648771568</v>
      </c>
      <c r="AY111">
        <v>1.5336201252767589</v>
      </c>
      <c r="AZ111">
        <v>2.6489684909814897</v>
      </c>
      <c r="BA111">
        <v>3.6486598433503996</v>
      </c>
      <c r="BB111" s="97" t="s">
        <v>161</v>
      </c>
      <c r="BD111" s="98"/>
      <c r="BE111" s="98"/>
      <c r="BF111" t="s">
        <v>1152</v>
      </c>
      <c r="BG111" t="s">
        <v>322</v>
      </c>
      <c r="BH111" t="s">
        <v>1153</v>
      </c>
      <c r="BI111">
        <v>1.5336201252767589</v>
      </c>
      <c r="BJ111" t="s">
        <v>1032</v>
      </c>
      <c r="BK111">
        <v>1.3510315090185103</v>
      </c>
      <c r="BL111">
        <v>33.775787725462756</v>
      </c>
      <c r="BM111" t="s">
        <v>1260</v>
      </c>
      <c r="BN111" t="s">
        <v>1154</v>
      </c>
      <c r="BO111">
        <v>2025</v>
      </c>
      <c r="BP111" t="s">
        <v>966</v>
      </c>
      <c r="BQ111">
        <v>61367.231512688079</v>
      </c>
      <c r="BR111">
        <v>93.863276848731189</v>
      </c>
      <c r="BS111" t="s">
        <v>992</v>
      </c>
      <c r="BT111">
        <v>6</v>
      </c>
      <c r="BU111">
        <v>1</v>
      </c>
      <c r="BV111" t="s">
        <v>993</v>
      </c>
      <c r="BW111" t="s">
        <v>943</v>
      </c>
      <c r="BX111" t="s">
        <v>1033</v>
      </c>
      <c r="BY111">
        <v>3.0433970746920931</v>
      </c>
      <c r="BZ111" t="s">
        <v>1155</v>
      </c>
      <c r="CA111" t="s">
        <v>1032</v>
      </c>
      <c r="CB111" t="b">
        <v>1</v>
      </c>
      <c r="CC111" t="b">
        <v>1</v>
      </c>
      <c r="CD111" t="b">
        <v>1</v>
      </c>
      <c r="CE111" t="b">
        <v>1</v>
      </c>
      <c r="CF111" t="b">
        <v>1</v>
      </c>
    </row>
    <row r="112" spans="1:84" x14ac:dyDescent="0.3">
      <c r="A112" t="s">
        <v>1430</v>
      </c>
      <c r="B112" t="s">
        <v>1195</v>
      </c>
      <c r="C112" s="98">
        <v>45733</v>
      </c>
      <c r="D112">
        <v>2025</v>
      </c>
      <c r="E112">
        <v>3</v>
      </c>
      <c r="F112">
        <v>1</v>
      </c>
      <c r="G112" t="s">
        <v>1187</v>
      </c>
      <c r="H112" t="s">
        <v>125</v>
      </c>
      <c r="I112" t="s">
        <v>125</v>
      </c>
      <c r="J112" t="s">
        <v>6</v>
      </c>
      <c r="L112">
        <v>522611</v>
      </c>
      <c r="M112" s="99" t="s">
        <v>179</v>
      </c>
      <c r="N112">
        <v>2</v>
      </c>
      <c r="O112">
        <v>11</v>
      </c>
      <c r="P112">
        <v>4.4015000000000004</v>
      </c>
      <c r="Q112" t="s">
        <v>352</v>
      </c>
      <c r="R112">
        <v>1</v>
      </c>
      <c r="S112">
        <v>4.3769</v>
      </c>
      <c r="T112">
        <v>3.5000000000000003E-2</v>
      </c>
      <c r="U112">
        <v>0.70285714285715417</v>
      </c>
      <c r="V112">
        <v>4.2718999999999996</v>
      </c>
      <c r="W112">
        <v>4.3068999999999997</v>
      </c>
      <c r="X112">
        <v>4.3418999999999999</v>
      </c>
      <c r="Y112">
        <v>4.4119000000000002</v>
      </c>
      <c r="Z112">
        <v>4.4469000000000003</v>
      </c>
      <c r="AA112">
        <v>4.4819000000000004</v>
      </c>
      <c r="AD112">
        <v>4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 t="s">
        <v>462</v>
      </c>
      <c r="AL112" t="s">
        <v>6</v>
      </c>
      <c r="AM112" t="s">
        <v>1145</v>
      </c>
      <c r="AN112" t="s">
        <v>1146</v>
      </c>
      <c r="AO112" s="100">
        <v>46262.040405092594</v>
      </c>
      <c r="AP112" t="s">
        <v>1147</v>
      </c>
      <c r="AQ112" t="s">
        <v>1431</v>
      </c>
      <c r="AR112" t="s">
        <v>1197</v>
      </c>
      <c r="AS112" t="s">
        <v>1150</v>
      </c>
      <c r="AT112" t="s">
        <v>1361</v>
      </c>
      <c r="AU112">
        <v>25</v>
      </c>
      <c r="AV112">
        <v>4.371264</v>
      </c>
      <c r="AW112">
        <v>2.954837671796318E-2</v>
      </c>
      <c r="AX112">
        <v>0.67596870648771568</v>
      </c>
      <c r="AY112">
        <v>1.5336201252767589</v>
      </c>
      <c r="AZ112">
        <v>2.6489684909814897</v>
      </c>
      <c r="BA112">
        <v>3.6486598433503996</v>
      </c>
      <c r="BB112" s="97" t="s">
        <v>161</v>
      </c>
      <c r="BD112" s="98"/>
      <c r="BE112" s="98"/>
      <c r="BF112" t="s">
        <v>1152</v>
      </c>
      <c r="BG112" t="s">
        <v>322</v>
      </c>
      <c r="BH112" t="s">
        <v>1153</v>
      </c>
      <c r="BI112">
        <v>1.5336201252767589</v>
      </c>
      <c r="BJ112" t="s">
        <v>1032</v>
      </c>
      <c r="BK112">
        <v>1.3510315090185103</v>
      </c>
      <c r="BL112">
        <v>33.775787725462756</v>
      </c>
      <c r="BM112" t="s">
        <v>1260</v>
      </c>
      <c r="BN112" t="s">
        <v>1154</v>
      </c>
      <c r="BO112">
        <v>2025</v>
      </c>
      <c r="BP112" t="s">
        <v>966</v>
      </c>
      <c r="BQ112">
        <v>61367.231512688079</v>
      </c>
      <c r="BR112">
        <v>93.863276848731189</v>
      </c>
      <c r="BS112" t="s">
        <v>992</v>
      </c>
      <c r="BT112">
        <v>6</v>
      </c>
      <c r="BU112">
        <v>1</v>
      </c>
      <c r="BV112" t="s">
        <v>993</v>
      </c>
      <c r="BW112" t="s">
        <v>943</v>
      </c>
      <c r="BX112" t="s">
        <v>1033</v>
      </c>
      <c r="BY112">
        <v>3.0433970746920931</v>
      </c>
      <c r="BZ112" t="s">
        <v>1155</v>
      </c>
      <c r="CA112" t="s">
        <v>1032</v>
      </c>
      <c r="CB112" t="b">
        <v>1</v>
      </c>
      <c r="CC112" t="b">
        <v>1</v>
      </c>
      <c r="CD112" t="b">
        <v>1</v>
      </c>
      <c r="CE112" t="b">
        <v>1</v>
      </c>
      <c r="CF112" t="b">
        <v>1</v>
      </c>
    </row>
    <row r="113" spans="1:84" x14ac:dyDescent="0.3">
      <c r="A113" t="s">
        <v>1432</v>
      </c>
      <c r="B113" t="s">
        <v>1199</v>
      </c>
      <c r="C113" s="98">
        <v>45740</v>
      </c>
      <c r="D113">
        <v>2025</v>
      </c>
      <c r="E113">
        <v>3</v>
      </c>
      <c r="F113">
        <v>1</v>
      </c>
      <c r="G113" t="s">
        <v>1187</v>
      </c>
      <c r="H113" t="s">
        <v>125</v>
      </c>
      <c r="I113" t="s">
        <v>125</v>
      </c>
      <c r="J113" t="s">
        <v>6</v>
      </c>
      <c r="L113">
        <v>522611</v>
      </c>
      <c r="M113" s="99" t="s">
        <v>179</v>
      </c>
      <c r="N113">
        <v>2</v>
      </c>
      <c r="O113">
        <v>12</v>
      </c>
      <c r="P113">
        <v>4.3951000000000002</v>
      </c>
      <c r="Q113" t="s">
        <v>352</v>
      </c>
      <c r="R113">
        <v>1</v>
      </c>
      <c r="S113">
        <v>4.3769</v>
      </c>
      <c r="T113">
        <v>3.5000000000000003E-2</v>
      </c>
      <c r="U113">
        <v>0.52000000000000612</v>
      </c>
      <c r="V113">
        <v>4.2718999999999996</v>
      </c>
      <c r="W113">
        <v>4.3068999999999997</v>
      </c>
      <c r="X113">
        <v>4.3418999999999999</v>
      </c>
      <c r="Y113">
        <v>4.4119000000000002</v>
      </c>
      <c r="Z113">
        <v>4.4469000000000003</v>
      </c>
      <c r="AA113">
        <v>4.4819000000000004</v>
      </c>
      <c r="AD113">
        <v>4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 t="s">
        <v>462</v>
      </c>
      <c r="AL113" t="s">
        <v>6</v>
      </c>
      <c r="AM113" t="s">
        <v>1145</v>
      </c>
      <c r="AN113" t="s">
        <v>1146</v>
      </c>
      <c r="AO113" s="100">
        <v>46262.040405092594</v>
      </c>
      <c r="AP113" t="s">
        <v>1147</v>
      </c>
      <c r="AQ113" t="s">
        <v>1433</v>
      </c>
      <c r="AR113" t="s">
        <v>1201</v>
      </c>
      <c r="AS113" t="s">
        <v>1150</v>
      </c>
      <c r="AT113" t="s">
        <v>1361</v>
      </c>
      <c r="AU113">
        <v>25</v>
      </c>
      <c r="AV113">
        <v>4.371264</v>
      </c>
      <c r="AW113">
        <v>2.954837671796318E-2</v>
      </c>
      <c r="AX113">
        <v>0.67596870648771568</v>
      </c>
      <c r="AY113">
        <v>1.5336201252767589</v>
      </c>
      <c r="AZ113">
        <v>2.6489684909814897</v>
      </c>
      <c r="BA113">
        <v>3.6486598433503996</v>
      </c>
      <c r="BB113" s="97" t="s">
        <v>161</v>
      </c>
      <c r="BD113" s="98"/>
      <c r="BE113" s="98"/>
      <c r="BF113" t="s">
        <v>1152</v>
      </c>
      <c r="BG113" t="s">
        <v>322</v>
      </c>
      <c r="BH113" t="s">
        <v>1153</v>
      </c>
      <c r="BI113">
        <v>1.5336201252767589</v>
      </c>
      <c r="BJ113" t="s">
        <v>1032</v>
      </c>
      <c r="BK113">
        <v>1.3510315090185103</v>
      </c>
      <c r="BL113">
        <v>33.775787725462756</v>
      </c>
      <c r="BM113" t="s">
        <v>1260</v>
      </c>
      <c r="BN113" t="s">
        <v>1154</v>
      </c>
      <c r="BO113">
        <v>2025</v>
      </c>
      <c r="BP113" t="s">
        <v>966</v>
      </c>
      <c r="BQ113">
        <v>61367.231512688079</v>
      </c>
      <c r="BR113">
        <v>93.863276848731189</v>
      </c>
      <c r="BS113" t="s">
        <v>992</v>
      </c>
      <c r="BT113">
        <v>6</v>
      </c>
      <c r="BU113">
        <v>1</v>
      </c>
      <c r="BV113" t="s">
        <v>993</v>
      </c>
      <c r="BW113" t="s">
        <v>943</v>
      </c>
      <c r="BX113" t="s">
        <v>1033</v>
      </c>
      <c r="BY113">
        <v>3.0433970746920931</v>
      </c>
      <c r="BZ113" t="s">
        <v>1155</v>
      </c>
      <c r="CA113" t="s">
        <v>1032</v>
      </c>
      <c r="CB113" t="b">
        <v>1</v>
      </c>
      <c r="CC113" t="b">
        <v>1</v>
      </c>
      <c r="CD113" t="b">
        <v>1</v>
      </c>
      <c r="CE113" t="b">
        <v>1</v>
      </c>
      <c r="CF113" t="b">
        <v>1</v>
      </c>
    </row>
    <row r="114" spans="1:84" x14ac:dyDescent="0.3">
      <c r="A114" t="s">
        <v>1434</v>
      </c>
      <c r="B114" t="s">
        <v>1203</v>
      </c>
      <c r="C114" s="98">
        <v>45747</v>
      </c>
      <c r="D114">
        <v>2025</v>
      </c>
      <c r="E114">
        <v>3</v>
      </c>
      <c r="F114">
        <v>1</v>
      </c>
      <c r="G114" t="s">
        <v>1187</v>
      </c>
      <c r="H114" t="s">
        <v>125</v>
      </c>
      <c r="I114" t="s">
        <v>125</v>
      </c>
      <c r="J114" t="s">
        <v>6</v>
      </c>
      <c r="L114">
        <v>522611</v>
      </c>
      <c r="M114" s="99" t="s">
        <v>179</v>
      </c>
      <c r="N114">
        <v>2</v>
      </c>
      <c r="O114">
        <v>13</v>
      </c>
      <c r="P114">
        <v>4.3407999999999998</v>
      </c>
      <c r="Q114" t="s">
        <v>352</v>
      </c>
      <c r="R114">
        <v>1</v>
      </c>
      <c r="S114">
        <v>4.3769</v>
      </c>
      <c r="T114">
        <v>3.5000000000000003E-2</v>
      </c>
      <c r="U114">
        <v>-1.0314285714285782</v>
      </c>
      <c r="V114">
        <v>4.2718999999999996</v>
      </c>
      <c r="W114">
        <v>4.3068999999999997</v>
      </c>
      <c r="X114">
        <v>4.3418999999999999</v>
      </c>
      <c r="Y114">
        <v>4.4119000000000002</v>
      </c>
      <c r="Z114">
        <v>4.4469000000000003</v>
      </c>
      <c r="AA114">
        <v>4.4819000000000004</v>
      </c>
      <c r="AD114">
        <v>4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 t="s">
        <v>462</v>
      </c>
      <c r="AL114" t="s">
        <v>6</v>
      </c>
      <c r="AM114" t="s">
        <v>1145</v>
      </c>
      <c r="AN114" t="s">
        <v>1146</v>
      </c>
      <c r="AO114" s="100">
        <v>46262.040405092594</v>
      </c>
      <c r="AP114" t="s">
        <v>1147</v>
      </c>
      <c r="AQ114" t="s">
        <v>1435</v>
      </c>
      <c r="AR114" t="s">
        <v>1205</v>
      </c>
      <c r="AS114" t="s">
        <v>1150</v>
      </c>
      <c r="AT114" t="s">
        <v>1361</v>
      </c>
      <c r="AU114">
        <v>25</v>
      </c>
      <c r="AV114">
        <v>4.371264</v>
      </c>
      <c r="AW114">
        <v>2.954837671796318E-2</v>
      </c>
      <c r="AX114">
        <v>0.67596870648771568</v>
      </c>
      <c r="AY114">
        <v>1.5336201252767589</v>
      </c>
      <c r="AZ114">
        <v>2.6489684909814897</v>
      </c>
      <c r="BA114">
        <v>3.6486598433503996</v>
      </c>
      <c r="BB114" s="97" t="s">
        <v>161</v>
      </c>
      <c r="BD114" s="98"/>
      <c r="BE114" s="98"/>
      <c r="BF114" t="s">
        <v>1152</v>
      </c>
      <c r="BG114" t="s">
        <v>322</v>
      </c>
      <c r="BH114" t="s">
        <v>1153</v>
      </c>
      <c r="BI114">
        <v>1.5336201252767589</v>
      </c>
      <c r="BJ114" t="s">
        <v>1032</v>
      </c>
      <c r="BK114">
        <v>1.3510315090185103</v>
      </c>
      <c r="BL114">
        <v>33.775787725462756</v>
      </c>
      <c r="BM114" t="s">
        <v>1260</v>
      </c>
      <c r="BN114" t="s">
        <v>1154</v>
      </c>
      <c r="BO114">
        <v>2025</v>
      </c>
      <c r="BP114" t="s">
        <v>966</v>
      </c>
      <c r="BQ114">
        <v>61367.231512688079</v>
      </c>
      <c r="BR114">
        <v>93.863276848731189</v>
      </c>
      <c r="BS114" t="s">
        <v>992</v>
      </c>
      <c r="BT114">
        <v>6</v>
      </c>
      <c r="BU114">
        <v>1</v>
      </c>
      <c r="BV114" t="s">
        <v>993</v>
      </c>
      <c r="BW114" t="s">
        <v>943</v>
      </c>
      <c r="BX114" t="s">
        <v>1033</v>
      </c>
      <c r="BY114">
        <v>3.0433970746920931</v>
      </c>
      <c r="BZ114" t="s">
        <v>1155</v>
      </c>
      <c r="CA114" t="s">
        <v>1032</v>
      </c>
      <c r="CB114" t="b">
        <v>1</v>
      </c>
      <c r="CC114" t="b">
        <v>1</v>
      </c>
      <c r="CD114" t="b">
        <v>1</v>
      </c>
      <c r="CE114" t="b">
        <v>1</v>
      </c>
      <c r="CF114" t="b">
        <v>1</v>
      </c>
    </row>
    <row r="115" spans="1:84" x14ac:dyDescent="0.3">
      <c r="A115" t="s">
        <v>1436</v>
      </c>
      <c r="B115" t="s">
        <v>1207</v>
      </c>
      <c r="C115" s="98">
        <v>45754</v>
      </c>
      <c r="D115">
        <v>2025</v>
      </c>
      <c r="E115">
        <v>4</v>
      </c>
      <c r="F115">
        <v>2</v>
      </c>
      <c r="G115" t="s">
        <v>1208</v>
      </c>
      <c r="H115" t="s">
        <v>125</v>
      </c>
      <c r="I115" t="s">
        <v>125</v>
      </c>
      <c r="J115" t="s">
        <v>6</v>
      </c>
      <c r="L115">
        <v>522611</v>
      </c>
      <c r="M115" s="99" t="s">
        <v>179</v>
      </c>
      <c r="N115">
        <v>2</v>
      </c>
      <c r="O115">
        <v>14</v>
      </c>
      <c r="P115">
        <v>4.3741000000000003</v>
      </c>
      <c r="Q115" t="s">
        <v>352</v>
      </c>
      <c r="R115">
        <v>1</v>
      </c>
      <c r="S115">
        <v>4.3769</v>
      </c>
      <c r="T115">
        <v>3.5000000000000003E-2</v>
      </c>
      <c r="U115">
        <v>-7.9999999999991175E-2</v>
      </c>
      <c r="V115">
        <v>4.2718999999999996</v>
      </c>
      <c r="W115">
        <v>4.3068999999999997</v>
      </c>
      <c r="X115">
        <v>4.3418999999999999</v>
      </c>
      <c r="Y115">
        <v>4.4119000000000002</v>
      </c>
      <c r="Z115">
        <v>4.4469000000000003</v>
      </c>
      <c r="AA115">
        <v>4.4819000000000004</v>
      </c>
      <c r="AD115">
        <v>4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 t="s">
        <v>462</v>
      </c>
      <c r="AL115" t="s">
        <v>6</v>
      </c>
      <c r="AM115" t="s">
        <v>1145</v>
      </c>
      <c r="AN115" t="s">
        <v>1146</v>
      </c>
      <c r="AO115" s="100">
        <v>46262.040405092594</v>
      </c>
      <c r="AP115" t="s">
        <v>1147</v>
      </c>
      <c r="AQ115" t="s">
        <v>1437</v>
      </c>
      <c r="AR115" t="s">
        <v>1210</v>
      </c>
      <c r="AS115" t="s">
        <v>1150</v>
      </c>
      <c r="AT115" t="s">
        <v>1361</v>
      </c>
      <c r="AU115">
        <v>25</v>
      </c>
      <c r="AV115">
        <v>4.371264</v>
      </c>
      <c r="AW115">
        <v>2.954837671796318E-2</v>
      </c>
      <c r="AX115">
        <v>0.67596870648771568</v>
      </c>
      <c r="AY115">
        <v>1.5336201252767589</v>
      </c>
      <c r="AZ115">
        <v>2.6489684909814897</v>
      </c>
      <c r="BA115">
        <v>3.6486598433503996</v>
      </c>
      <c r="BB115" s="97" t="s">
        <v>161</v>
      </c>
      <c r="BD115" s="98"/>
      <c r="BE115" s="98"/>
      <c r="BF115" t="s">
        <v>1152</v>
      </c>
      <c r="BG115" t="s">
        <v>322</v>
      </c>
      <c r="BH115" t="s">
        <v>1153</v>
      </c>
      <c r="BI115">
        <v>1.5336201252767589</v>
      </c>
      <c r="BJ115" t="s">
        <v>1032</v>
      </c>
      <c r="BK115">
        <v>1.3510315090185103</v>
      </c>
      <c r="BL115">
        <v>33.775787725462756</v>
      </c>
      <c r="BM115" t="s">
        <v>1260</v>
      </c>
      <c r="BN115" t="s">
        <v>1154</v>
      </c>
      <c r="BO115">
        <v>2025</v>
      </c>
      <c r="BP115" t="s">
        <v>966</v>
      </c>
      <c r="BQ115">
        <v>61367.231512688079</v>
      </c>
      <c r="BR115">
        <v>93.863276848731189</v>
      </c>
      <c r="BS115" t="s">
        <v>992</v>
      </c>
      <c r="BT115">
        <v>6</v>
      </c>
      <c r="BU115">
        <v>1</v>
      </c>
      <c r="BV115" t="s">
        <v>993</v>
      </c>
      <c r="BW115" t="s">
        <v>943</v>
      </c>
      <c r="BX115" t="s">
        <v>1033</v>
      </c>
      <c r="BY115">
        <v>3.0433970746920931</v>
      </c>
      <c r="BZ115" t="s">
        <v>1155</v>
      </c>
      <c r="CA115" t="s">
        <v>1032</v>
      </c>
      <c r="CB115" t="b">
        <v>1</v>
      </c>
      <c r="CC115" t="b">
        <v>1</v>
      </c>
      <c r="CD115" t="b">
        <v>1</v>
      </c>
      <c r="CE115" t="b">
        <v>1</v>
      </c>
      <c r="CF115" t="b">
        <v>1</v>
      </c>
    </row>
    <row r="116" spans="1:84" x14ac:dyDescent="0.3">
      <c r="A116" t="s">
        <v>1438</v>
      </c>
      <c r="B116" t="s">
        <v>1212</v>
      </c>
      <c r="C116" s="98">
        <v>45761</v>
      </c>
      <c r="D116">
        <v>2025</v>
      </c>
      <c r="E116">
        <v>4</v>
      </c>
      <c r="F116">
        <v>2</v>
      </c>
      <c r="G116" t="s">
        <v>1208</v>
      </c>
      <c r="H116" t="s">
        <v>125</v>
      </c>
      <c r="I116" t="s">
        <v>125</v>
      </c>
      <c r="J116" t="s">
        <v>6</v>
      </c>
      <c r="L116">
        <v>522611</v>
      </c>
      <c r="M116" s="99" t="s">
        <v>179</v>
      </c>
      <c r="N116">
        <v>2</v>
      </c>
      <c r="O116">
        <v>15</v>
      </c>
      <c r="P116">
        <v>4.3780999999999999</v>
      </c>
      <c r="Q116" t="s">
        <v>352</v>
      </c>
      <c r="R116">
        <v>1</v>
      </c>
      <c r="S116">
        <v>4.3769</v>
      </c>
      <c r="T116">
        <v>3.5000000000000003E-2</v>
      </c>
      <c r="U116">
        <v>3.4285714285710506E-2</v>
      </c>
      <c r="V116">
        <v>4.2718999999999996</v>
      </c>
      <c r="W116">
        <v>4.3068999999999997</v>
      </c>
      <c r="X116">
        <v>4.3418999999999999</v>
      </c>
      <c r="Y116">
        <v>4.4119000000000002</v>
      </c>
      <c r="Z116">
        <v>4.4469000000000003</v>
      </c>
      <c r="AA116">
        <v>4.4819000000000004</v>
      </c>
      <c r="AD116">
        <v>4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 t="s">
        <v>462</v>
      </c>
      <c r="AL116" t="s">
        <v>6</v>
      </c>
      <c r="AM116" t="s">
        <v>1145</v>
      </c>
      <c r="AN116" t="s">
        <v>1146</v>
      </c>
      <c r="AO116" s="100">
        <v>46262.040405092594</v>
      </c>
      <c r="AP116" t="s">
        <v>1147</v>
      </c>
      <c r="AQ116" t="s">
        <v>1439</v>
      </c>
      <c r="AR116" t="s">
        <v>1215</v>
      </c>
      <c r="AS116" t="s">
        <v>1150</v>
      </c>
      <c r="AT116" t="s">
        <v>1361</v>
      </c>
      <c r="AU116">
        <v>25</v>
      </c>
      <c r="AV116">
        <v>4.371264</v>
      </c>
      <c r="AW116">
        <v>2.954837671796318E-2</v>
      </c>
      <c r="AX116">
        <v>0.67596870648771568</v>
      </c>
      <c r="AY116">
        <v>1.5336201252767589</v>
      </c>
      <c r="AZ116">
        <v>2.6489684909814897</v>
      </c>
      <c r="BA116">
        <v>3.6486598433503996</v>
      </c>
      <c r="BB116" s="97" t="s">
        <v>161</v>
      </c>
      <c r="BD116" s="98"/>
      <c r="BE116" s="98"/>
      <c r="BF116" t="s">
        <v>1152</v>
      </c>
      <c r="BG116" t="s">
        <v>322</v>
      </c>
      <c r="BH116" t="s">
        <v>1153</v>
      </c>
      <c r="BI116">
        <v>1.5336201252767589</v>
      </c>
      <c r="BJ116" t="s">
        <v>1032</v>
      </c>
      <c r="BK116">
        <v>1.3510315090185103</v>
      </c>
      <c r="BL116">
        <v>33.775787725462756</v>
      </c>
      <c r="BM116" t="s">
        <v>1260</v>
      </c>
      <c r="BN116" t="s">
        <v>1154</v>
      </c>
      <c r="BO116">
        <v>2025</v>
      </c>
      <c r="BP116" t="s">
        <v>966</v>
      </c>
      <c r="BQ116">
        <v>61367.231512688079</v>
      </c>
      <c r="BR116">
        <v>93.863276848731189</v>
      </c>
      <c r="BS116" t="s">
        <v>992</v>
      </c>
      <c r="BT116">
        <v>6</v>
      </c>
      <c r="BU116">
        <v>1</v>
      </c>
      <c r="BV116" t="s">
        <v>993</v>
      </c>
      <c r="BW116" t="s">
        <v>943</v>
      </c>
      <c r="BX116" t="s">
        <v>1033</v>
      </c>
      <c r="BY116">
        <v>3.0433970746920931</v>
      </c>
      <c r="BZ116" t="s">
        <v>1155</v>
      </c>
      <c r="CA116" t="s">
        <v>1032</v>
      </c>
      <c r="CB116" t="b">
        <v>1</v>
      </c>
      <c r="CC116" t="b">
        <v>1</v>
      </c>
      <c r="CD116" t="b">
        <v>1</v>
      </c>
      <c r="CE116" t="b">
        <v>1</v>
      </c>
      <c r="CF116" t="b">
        <v>1</v>
      </c>
    </row>
    <row r="117" spans="1:84" x14ac:dyDescent="0.3">
      <c r="A117" t="s">
        <v>1440</v>
      </c>
      <c r="B117" t="s">
        <v>1217</v>
      </c>
      <c r="C117" s="98">
        <v>45768</v>
      </c>
      <c r="D117">
        <v>2025</v>
      </c>
      <c r="E117">
        <v>4</v>
      </c>
      <c r="F117">
        <v>2</v>
      </c>
      <c r="G117" t="s">
        <v>1208</v>
      </c>
      <c r="H117" t="s">
        <v>125</v>
      </c>
      <c r="I117" t="s">
        <v>125</v>
      </c>
      <c r="J117" t="s">
        <v>6</v>
      </c>
      <c r="L117">
        <v>522611</v>
      </c>
      <c r="M117" s="99" t="s">
        <v>179</v>
      </c>
      <c r="N117">
        <v>2</v>
      </c>
      <c r="O117">
        <v>16</v>
      </c>
      <c r="P117">
        <v>4.34</v>
      </c>
      <c r="Q117" t="s">
        <v>352</v>
      </c>
      <c r="R117">
        <v>1</v>
      </c>
      <c r="S117">
        <v>4.3769</v>
      </c>
      <c r="T117">
        <v>3.5000000000000003E-2</v>
      </c>
      <c r="U117">
        <v>-1.0542857142857187</v>
      </c>
      <c r="V117">
        <v>4.2718999999999996</v>
      </c>
      <c r="W117">
        <v>4.3068999999999997</v>
      </c>
      <c r="X117">
        <v>4.3418999999999999</v>
      </c>
      <c r="Y117">
        <v>4.4119000000000002</v>
      </c>
      <c r="Z117">
        <v>4.4469000000000003</v>
      </c>
      <c r="AA117">
        <v>4.4819000000000004</v>
      </c>
      <c r="AD117">
        <v>4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 t="s">
        <v>462</v>
      </c>
      <c r="AL117" t="s">
        <v>6</v>
      </c>
      <c r="AM117" t="s">
        <v>1145</v>
      </c>
      <c r="AN117" t="s">
        <v>1146</v>
      </c>
      <c r="AO117" s="100">
        <v>46262.040405092594</v>
      </c>
      <c r="AP117" t="s">
        <v>1147</v>
      </c>
      <c r="AQ117" t="s">
        <v>1441</v>
      </c>
      <c r="AR117" t="s">
        <v>1219</v>
      </c>
      <c r="AS117" t="s">
        <v>1150</v>
      </c>
      <c r="AT117" t="s">
        <v>1361</v>
      </c>
      <c r="AU117">
        <v>25</v>
      </c>
      <c r="AV117">
        <v>4.371264</v>
      </c>
      <c r="AW117">
        <v>2.954837671796318E-2</v>
      </c>
      <c r="AX117">
        <v>0.67596870648771568</v>
      </c>
      <c r="AY117">
        <v>1.5336201252767589</v>
      </c>
      <c r="AZ117">
        <v>2.6489684909814897</v>
      </c>
      <c r="BA117">
        <v>3.6486598433503996</v>
      </c>
      <c r="BB117" s="97" t="s">
        <v>161</v>
      </c>
      <c r="BD117" s="98"/>
      <c r="BE117" s="98"/>
      <c r="BF117" t="s">
        <v>1152</v>
      </c>
      <c r="BG117" t="s">
        <v>322</v>
      </c>
      <c r="BH117" t="s">
        <v>1153</v>
      </c>
      <c r="BI117">
        <v>1.5336201252767589</v>
      </c>
      <c r="BJ117" t="s">
        <v>1032</v>
      </c>
      <c r="BK117">
        <v>1.3510315090185103</v>
      </c>
      <c r="BL117">
        <v>33.775787725462756</v>
      </c>
      <c r="BM117" t="s">
        <v>1260</v>
      </c>
      <c r="BN117" t="s">
        <v>1154</v>
      </c>
      <c r="BO117">
        <v>2025</v>
      </c>
      <c r="BP117" t="s">
        <v>966</v>
      </c>
      <c r="BQ117">
        <v>61367.231512688079</v>
      </c>
      <c r="BR117">
        <v>93.863276848731189</v>
      </c>
      <c r="BS117" t="s">
        <v>992</v>
      </c>
      <c r="BT117">
        <v>6</v>
      </c>
      <c r="BU117">
        <v>1</v>
      </c>
      <c r="BV117" t="s">
        <v>993</v>
      </c>
      <c r="BW117" t="s">
        <v>943</v>
      </c>
      <c r="BX117" t="s">
        <v>1033</v>
      </c>
      <c r="BY117">
        <v>3.0433970746920931</v>
      </c>
      <c r="BZ117" t="s">
        <v>1155</v>
      </c>
      <c r="CA117" t="s">
        <v>1032</v>
      </c>
      <c r="CB117" t="b">
        <v>1</v>
      </c>
      <c r="CC117" t="b">
        <v>1</v>
      </c>
      <c r="CD117" t="b">
        <v>1</v>
      </c>
      <c r="CE117" t="b">
        <v>1</v>
      </c>
      <c r="CF117" t="b">
        <v>1</v>
      </c>
    </row>
    <row r="118" spans="1:84" x14ac:dyDescent="0.3">
      <c r="A118" t="s">
        <v>1442</v>
      </c>
      <c r="B118" t="s">
        <v>1221</v>
      </c>
      <c r="C118" s="98">
        <v>45775</v>
      </c>
      <c r="D118">
        <v>2025</v>
      </c>
      <c r="E118">
        <v>4</v>
      </c>
      <c r="F118">
        <v>2</v>
      </c>
      <c r="G118" t="s">
        <v>1208</v>
      </c>
      <c r="H118" t="s">
        <v>125</v>
      </c>
      <c r="I118" t="s">
        <v>125</v>
      </c>
      <c r="J118" t="s">
        <v>6</v>
      </c>
      <c r="L118">
        <v>522611</v>
      </c>
      <c r="M118" s="99" t="s">
        <v>179</v>
      </c>
      <c r="N118">
        <v>2</v>
      </c>
      <c r="O118">
        <v>17</v>
      </c>
      <c r="P118">
        <v>4.3860000000000001</v>
      </c>
      <c r="Q118" t="s">
        <v>352</v>
      </c>
      <c r="R118">
        <v>1</v>
      </c>
      <c r="S118">
        <v>4.3769</v>
      </c>
      <c r="T118">
        <v>3.5000000000000003E-2</v>
      </c>
      <c r="U118">
        <v>0.26000000000000306</v>
      </c>
      <c r="V118">
        <v>4.2718999999999996</v>
      </c>
      <c r="W118">
        <v>4.3068999999999997</v>
      </c>
      <c r="X118">
        <v>4.3418999999999999</v>
      </c>
      <c r="Y118">
        <v>4.4119000000000002</v>
      </c>
      <c r="Z118">
        <v>4.4469000000000003</v>
      </c>
      <c r="AA118">
        <v>4.4819000000000004</v>
      </c>
      <c r="AD118">
        <v>4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 t="s">
        <v>462</v>
      </c>
      <c r="AL118" t="s">
        <v>6</v>
      </c>
      <c r="AM118" t="s">
        <v>1145</v>
      </c>
      <c r="AN118" t="s">
        <v>1146</v>
      </c>
      <c r="AO118" s="100">
        <v>46262.040405092594</v>
      </c>
      <c r="AP118" t="s">
        <v>1147</v>
      </c>
      <c r="AQ118" t="s">
        <v>1443</v>
      </c>
      <c r="AR118" t="s">
        <v>1223</v>
      </c>
      <c r="AS118" t="s">
        <v>1150</v>
      </c>
      <c r="AT118" t="s">
        <v>1361</v>
      </c>
      <c r="AU118">
        <v>25</v>
      </c>
      <c r="AV118">
        <v>4.371264</v>
      </c>
      <c r="AW118">
        <v>2.954837671796318E-2</v>
      </c>
      <c r="AX118">
        <v>0.67596870648771568</v>
      </c>
      <c r="AY118">
        <v>1.5336201252767589</v>
      </c>
      <c r="AZ118">
        <v>2.6489684909814897</v>
      </c>
      <c r="BA118">
        <v>3.6486598433503996</v>
      </c>
      <c r="BB118" s="97" t="s">
        <v>161</v>
      </c>
      <c r="BD118" s="98"/>
      <c r="BE118" s="98"/>
      <c r="BF118" t="s">
        <v>1152</v>
      </c>
      <c r="BG118" t="s">
        <v>322</v>
      </c>
      <c r="BH118" t="s">
        <v>1153</v>
      </c>
      <c r="BI118">
        <v>1.5336201252767589</v>
      </c>
      <c r="BJ118" t="s">
        <v>1032</v>
      </c>
      <c r="BK118">
        <v>1.3510315090185103</v>
      </c>
      <c r="BL118">
        <v>33.775787725462756</v>
      </c>
      <c r="BM118" t="s">
        <v>1260</v>
      </c>
      <c r="BN118" t="s">
        <v>1154</v>
      </c>
      <c r="BO118">
        <v>2025</v>
      </c>
      <c r="BP118" t="s">
        <v>966</v>
      </c>
      <c r="BQ118">
        <v>61367.231512688079</v>
      </c>
      <c r="BR118">
        <v>93.863276848731189</v>
      </c>
      <c r="BS118" t="s">
        <v>992</v>
      </c>
      <c r="BT118">
        <v>6</v>
      </c>
      <c r="BU118">
        <v>1</v>
      </c>
      <c r="BV118" t="s">
        <v>993</v>
      </c>
      <c r="BW118" t="s">
        <v>943</v>
      </c>
      <c r="BX118" t="s">
        <v>1033</v>
      </c>
      <c r="BY118">
        <v>3.0433970746920931</v>
      </c>
      <c r="BZ118" t="s">
        <v>1155</v>
      </c>
      <c r="CA118" t="s">
        <v>1032</v>
      </c>
      <c r="CB118" t="b">
        <v>1</v>
      </c>
      <c r="CC118" t="b">
        <v>1</v>
      </c>
      <c r="CD118" t="b">
        <v>1</v>
      </c>
      <c r="CE118" t="b">
        <v>1</v>
      </c>
      <c r="CF118" t="b">
        <v>1</v>
      </c>
    </row>
    <row r="119" spans="1:84" x14ac:dyDescent="0.3">
      <c r="A119" t="s">
        <v>1444</v>
      </c>
      <c r="B119" t="s">
        <v>1225</v>
      </c>
      <c r="C119" s="98">
        <v>45782</v>
      </c>
      <c r="D119">
        <v>2025</v>
      </c>
      <c r="E119">
        <v>5</v>
      </c>
      <c r="F119">
        <v>2</v>
      </c>
      <c r="G119" t="s">
        <v>1226</v>
      </c>
      <c r="H119" t="s">
        <v>125</v>
      </c>
      <c r="I119" t="s">
        <v>125</v>
      </c>
      <c r="J119" t="s">
        <v>6</v>
      </c>
      <c r="L119">
        <v>522611</v>
      </c>
      <c r="M119" s="99" t="s">
        <v>179</v>
      </c>
      <c r="N119">
        <v>2</v>
      </c>
      <c r="O119">
        <v>18</v>
      </c>
      <c r="P119">
        <v>4.3468999999999998</v>
      </c>
      <c r="Q119" t="s">
        <v>352</v>
      </c>
      <c r="R119">
        <v>1</v>
      </c>
      <c r="S119">
        <v>4.3769</v>
      </c>
      <c r="T119">
        <v>3.5000000000000003E-2</v>
      </c>
      <c r="U119">
        <v>-0.8571428571428642</v>
      </c>
      <c r="V119">
        <v>4.2718999999999996</v>
      </c>
      <c r="W119">
        <v>4.3068999999999997</v>
      </c>
      <c r="X119">
        <v>4.3418999999999999</v>
      </c>
      <c r="Y119">
        <v>4.4119000000000002</v>
      </c>
      <c r="Z119">
        <v>4.4469000000000003</v>
      </c>
      <c r="AA119">
        <v>4.4819000000000004</v>
      </c>
      <c r="AD119">
        <v>4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 t="s">
        <v>462</v>
      </c>
      <c r="AL119" t="s">
        <v>6</v>
      </c>
      <c r="AM119" t="s">
        <v>1145</v>
      </c>
      <c r="AN119" t="s">
        <v>1146</v>
      </c>
      <c r="AO119" s="100">
        <v>46262.040405092594</v>
      </c>
      <c r="AP119" t="s">
        <v>1147</v>
      </c>
      <c r="AQ119" t="s">
        <v>1445</v>
      </c>
      <c r="AR119" t="s">
        <v>1228</v>
      </c>
      <c r="AS119" t="s">
        <v>1150</v>
      </c>
      <c r="AT119" t="s">
        <v>1361</v>
      </c>
      <c r="AU119">
        <v>25</v>
      </c>
      <c r="AV119">
        <v>4.371264</v>
      </c>
      <c r="AW119">
        <v>2.954837671796318E-2</v>
      </c>
      <c r="AX119">
        <v>0.67596870648771568</v>
      </c>
      <c r="AY119">
        <v>1.5336201252767589</v>
      </c>
      <c r="AZ119">
        <v>2.6489684909814897</v>
      </c>
      <c r="BA119">
        <v>3.6486598433503996</v>
      </c>
      <c r="BB119" s="97" t="s">
        <v>161</v>
      </c>
      <c r="BD119" s="98"/>
      <c r="BE119" s="98"/>
      <c r="BF119" t="s">
        <v>1152</v>
      </c>
      <c r="BG119" t="s">
        <v>322</v>
      </c>
      <c r="BH119" t="s">
        <v>1153</v>
      </c>
      <c r="BI119">
        <v>1.5336201252767589</v>
      </c>
      <c r="BJ119" t="s">
        <v>1032</v>
      </c>
      <c r="BK119">
        <v>1.3510315090185103</v>
      </c>
      <c r="BL119">
        <v>33.775787725462756</v>
      </c>
      <c r="BM119" t="s">
        <v>1260</v>
      </c>
      <c r="BN119" t="s">
        <v>1154</v>
      </c>
      <c r="BO119">
        <v>2025</v>
      </c>
      <c r="BP119" t="s">
        <v>966</v>
      </c>
      <c r="BQ119">
        <v>61367.231512688079</v>
      </c>
      <c r="BR119">
        <v>93.863276848731189</v>
      </c>
      <c r="BS119" t="s">
        <v>992</v>
      </c>
      <c r="BT119">
        <v>6</v>
      </c>
      <c r="BU119">
        <v>1</v>
      </c>
      <c r="BV119" t="s">
        <v>993</v>
      </c>
      <c r="BW119" t="s">
        <v>943</v>
      </c>
      <c r="BX119" t="s">
        <v>1033</v>
      </c>
      <c r="BY119">
        <v>3.0433970746920931</v>
      </c>
      <c r="BZ119" t="s">
        <v>1155</v>
      </c>
      <c r="CA119" t="s">
        <v>1032</v>
      </c>
      <c r="CB119" t="b">
        <v>1</v>
      </c>
      <c r="CC119" t="b">
        <v>1</v>
      </c>
      <c r="CD119" t="b">
        <v>1</v>
      </c>
      <c r="CE119" t="b">
        <v>1</v>
      </c>
      <c r="CF119" t="b">
        <v>1</v>
      </c>
    </row>
    <row r="120" spans="1:84" x14ac:dyDescent="0.3">
      <c r="A120" t="s">
        <v>1446</v>
      </c>
      <c r="B120" t="s">
        <v>1230</v>
      </c>
      <c r="C120" s="98">
        <v>45789</v>
      </c>
      <c r="D120">
        <v>2025</v>
      </c>
      <c r="E120">
        <v>5</v>
      </c>
      <c r="F120">
        <v>2</v>
      </c>
      <c r="G120" t="s">
        <v>1226</v>
      </c>
      <c r="H120" t="s">
        <v>125</v>
      </c>
      <c r="I120" t="s">
        <v>125</v>
      </c>
      <c r="J120" t="s">
        <v>6</v>
      </c>
      <c r="L120">
        <v>522611</v>
      </c>
      <c r="M120" s="99" t="s">
        <v>179</v>
      </c>
      <c r="N120">
        <v>2</v>
      </c>
      <c r="O120">
        <v>19</v>
      </c>
      <c r="P120">
        <v>4.4108999999999998</v>
      </c>
      <c r="Q120" t="s">
        <v>352</v>
      </c>
      <c r="R120">
        <v>1</v>
      </c>
      <c r="S120">
        <v>4.3769</v>
      </c>
      <c r="T120">
        <v>3.5000000000000003E-2</v>
      </c>
      <c r="U120">
        <v>0.97142857142856587</v>
      </c>
      <c r="V120">
        <v>4.2718999999999996</v>
      </c>
      <c r="W120">
        <v>4.3068999999999997</v>
      </c>
      <c r="X120">
        <v>4.3418999999999999</v>
      </c>
      <c r="Y120">
        <v>4.4119000000000002</v>
      </c>
      <c r="Z120">
        <v>4.4469000000000003</v>
      </c>
      <c r="AA120">
        <v>4.4819000000000004</v>
      </c>
      <c r="AD120">
        <v>4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 t="s">
        <v>462</v>
      </c>
      <c r="AL120" t="s">
        <v>6</v>
      </c>
      <c r="AM120" t="s">
        <v>1145</v>
      </c>
      <c r="AN120" t="s">
        <v>1146</v>
      </c>
      <c r="AO120" s="100">
        <v>46262.040405092594</v>
      </c>
      <c r="AP120" t="s">
        <v>1147</v>
      </c>
      <c r="AQ120" t="s">
        <v>1447</v>
      </c>
      <c r="AR120" t="s">
        <v>1232</v>
      </c>
      <c r="AS120" t="s">
        <v>1150</v>
      </c>
      <c r="AT120" t="s">
        <v>1361</v>
      </c>
      <c r="AU120">
        <v>25</v>
      </c>
      <c r="AV120">
        <v>4.371264</v>
      </c>
      <c r="AW120">
        <v>2.954837671796318E-2</v>
      </c>
      <c r="AX120">
        <v>0.67596870648771568</v>
      </c>
      <c r="AY120">
        <v>1.5336201252767589</v>
      </c>
      <c r="AZ120">
        <v>2.6489684909814897</v>
      </c>
      <c r="BA120">
        <v>3.6486598433503996</v>
      </c>
      <c r="BB120" s="97" t="s">
        <v>161</v>
      </c>
      <c r="BD120" s="98"/>
      <c r="BE120" s="98"/>
      <c r="BF120" t="s">
        <v>1152</v>
      </c>
      <c r="BG120" t="s">
        <v>322</v>
      </c>
      <c r="BH120" t="s">
        <v>1153</v>
      </c>
      <c r="BI120">
        <v>1.5336201252767589</v>
      </c>
      <c r="BJ120" t="s">
        <v>1032</v>
      </c>
      <c r="BK120">
        <v>1.3510315090185103</v>
      </c>
      <c r="BL120">
        <v>33.775787725462756</v>
      </c>
      <c r="BM120" t="s">
        <v>1260</v>
      </c>
      <c r="BN120" t="s">
        <v>1154</v>
      </c>
      <c r="BO120">
        <v>2025</v>
      </c>
      <c r="BP120" t="s">
        <v>966</v>
      </c>
      <c r="BQ120">
        <v>61367.231512688079</v>
      </c>
      <c r="BR120">
        <v>93.863276848731189</v>
      </c>
      <c r="BS120" t="s">
        <v>992</v>
      </c>
      <c r="BT120">
        <v>6</v>
      </c>
      <c r="BU120">
        <v>1</v>
      </c>
      <c r="BV120" t="s">
        <v>993</v>
      </c>
      <c r="BW120" t="s">
        <v>943</v>
      </c>
      <c r="BX120" t="s">
        <v>1033</v>
      </c>
      <c r="BY120">
        <v>3.0433970746920931</v>
      </c>
      <c r="BZ120" t="s">
        <v>1155</v>
      </c>
      <c r="CA120" t="s">
        <v>1032</v>
      </c>
      <c r="CB120" t="b">
        <v>1</v>
      </c>
      <c r="CC120" t="b">
        <v>1</v>
      </c>
      <c r="CD120" t="b">
        <v>1</v>
      </c>
      <c r="CE120" t="b">
        <v>1</v>
      </c>
      <c r="CF120" t="b">
        <v>1</v>
      </c>
    </row>
    <row r="121" spans="1:84" x14ac:dyDescent="0.3">
      <c r="A121" t="s">
        <v>1448</v>
      </c>
      <c r="B121" t="s">
        <v>1234</v>
      </c>
      <c r="C121" s="98">
        <v>45796</v>
      </c>
      <c r="D121">
        <v>2025</v>
      </c>
      <c r="E121">
        <v>5</v>
      </c>
      <c r="F121">
        <v>2</v>
      </c>
      <c r="G121" t="s">
        <v>1226</v>
      </c>
      <c r="H121" t="s">
        <v>125</v>
      </c>
      <c r="I121" t="s">
        <v>125</v>
      </c>
      <c r="J121" t="s">
        <v>6</v>
      </c>
      <c r="L121">
        <v>522611</v>
      </c>
      <c r="M121" s="99" t="s">
        <v>179</v>
      </c>
      <c r="N121">
        <v>2</v>
      </c>
      <c r="O121">
        <v>20</v>
      </c>
      <c r="P121">
        <v>4.3836000000000004</v>
      </c>
      <c r="Q121" t="s">
        <v>352</v>
      </c>
      <c r="R121">
        <v>1</v>
      </c>
      <c r="S121">
        <v>4.3769</v>
      </c>
      <c r="T121">
        <v>3.5000000000000003E-2</v>
      </c>
      <c r="U121">
        <v>0.19142857142858205</v>
      </c>
      <c r="V121">
        <v>4.2718999999999996</v>
      </c>
      <c r="W121">
        <v>4.3068999999999997</v>
      </c>
      <c r="X121">
        <v>4.3418999999999999</v>
      </c>
      <c r="Y121">
        <v>4.4119000000000002</v>
      </c>
      <c r="Z121">
        <v>4.4469000000000003</v>
      </c>
      <c r="AA121">
        <v>4.4819000000000004</v>
      </c>
      <c r="AD121">
        <v>4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 t="s">
        <v>462</v>
      </c>
      <c r="AL121" t="s">
        <v>6</v>
      </c>
      <c r="AM121" t="s">
        <v>1145</v>
      </c>
      <c r="AN121" t="s">
        <v>1146</v>
      </c>
      <c r="AO121" s="100">
        <v>46262.040405092594</v>
      </c>
      <c r="AP121" t="s">
        <v>1147</v>
      </c>
      <c r="AQ121" t="s">
        <v>1449</v>
      </c>
      <c r="AR121" t="s">
        <v>1236</v>
      </c>
      <c r="AS121" t="s">
        <v>1150</v>
      </c>
      <c r="AT121" t="s">
        <v>1361</v>
      </c>
      <c r="AU121">
        <v>25</v>
      </c>
      <c r="AV121">
        <v>4.371264</v>
      </c>
      <c r="AW121">
        <v>2.954837671796318E-2</v>
      </c>
      <c r="AX121">
        <v>0.67596870648771568</v>
      </c>
      <c r="AY121">
        <v>1.5336201252767589</v>
      </c>
      <c r="AZ121">
        <v>2.6489684909814897</v>
      </c>
      <c r="BA121">
        <v>3.6486598433503996</v>
      </c>
      <c r="BB121" s="97" t="s">
        <v>161</v>
      </c>
      <c r="BD121" s="98"/>
      <c r="BE121" s="98"/>
      <c r="BF121" t="s">
        <v>1152</v>
      </c>
      <c r="BG121" t="s">
        <v>322</v>
      </c>
      <c r="BH121" t="s">
        <v>1153</v>
      </c>
      <c r="BI121">
        <v>1.5336201252767589</v>
      </c>
      <c r="BJ121" t="s">
        <v>1032</v>
      </c>
      <c r="BK121">
        <v>1.3510315090185103</v>
      </c>
      <c r="BL121">
        <v>33.775787725462756</v>
      </c>
      <c r="BM121" t="s">
        <v>1260</v>
      </c>
      <c r="BN121" t="s">
        <v>1154</v>
      </c>
      <c r="BO121">
        <v>2025</v>
      </c>
      <c r="BP121" t="s">
        <v>966</v>
      </c>
      <c r="BQ121">
        <v>61367.231512688079</v>
      </c>
      <c r="BR121">
        <v>93.863276848731189</v>
      </c>
      <c r="BS121" t="s">
        <v>992</v>
      </c>
      <c r="BT121">
        <v>6</v>
      </c>
      <c r="BU121">
        <v>1</v>
      </c>
      <c r="BV121" t="s">
        <v>993</v>
      </c>
      <c r="BW121" t="s">
        <v>943</v>
      </c>
      <c r="BX121" t="s">
        <v>1033</v>
      </c>
      <c r="BY121">
        <v>3.0433970746920931</v>
      </c>
      <c r="BZ121" t="s">
        <v>1155</v>
      </c>
      <c r="CA121" t="s">
        <v>1032</v>
      </c>
      <c r="CB121" t="b">
        <v>1</v>
      </c>
      <c r="CC121" t="b">
        <v>1</v>
      </c>
      <c r="CD121" t="b">
        <v>1</v>
      </c>
      <c r="CE121" t="b">
        <v>1</v>
      </c>
      <c r="CF121" t="b">
        <v>1</v>
      </c>
    </row>
    <row r="122" spans="1:84" x14ac:dyDescent="0.3">
      <c r="A122" t="s">
        <v>1450</v>
      </c>
      <c r="B122" t="s">
        <v>1238</v>
      </c>
      <c r="C122" s="98">
        <v>45803</v>
      </c>
      <c r="D122">
        <v>2025</v>
      </c>
      <c r="E122">
        <v>5</v>
      </c>
      <c r="F122">
        <v>2</v>
      </c>
      <c r="G122" t="s">
        <v>1226</v>
      </c>
      <c r="H122" t="s">
        <v>125</v>
      </c>
      <c r="I122" t="s">
        <v>125</v>
      </c>
      <c r="J122" t="s">
        <v>6</v>
      </c>
      <c r="L122">
        <v>522611</v>
      </c>
      <c r="M122" s="99" t="s">
        <v>179</v>
      </c>
      <c r="N122">
        <v>2</v>
      </c>
      <c r="O122">
        <v>21</v>
      </c>
      <c r="P122">
        <v>4.38</v>
      </c>
      <c r="Q122" t="s">
        <v>352</v>
      </c>
      <c r="R122">
        <v>1</v>
      </c>
      <c r="S122">
        <v>4.3769</v>
      </c>
      <c r="T122">
        <v>3.5000000000000003E-2</v>
      </c>
      <c r="U122">
        <v>8.8571428571425151E-2</v>
      </c>
      <c r="V122">
        <v>4.2718999999999996</v>
      </c>
      <c r="W122">
        <v>4.3068999999999997</v>
      </c>
      <c r="X122">
        <v>4.3418999999999999</v>
      </c>
      <c r="Y122">
        <v>4.4119000000000002</v>
      </c>
      <c r="Z122">
        <v>4.4469000000000003</v>
      </c>
      <c r="AA122">
        <v>4.4819000000000004</v>
      </c>
      <c r="AD122">
        <v>4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 t="s">
        <v>462</v>
      </c>
      <c r="AL122" t="s">
        <v>6</v>
      </c>
      <c r="AM122" t="s">
        <v>1145</v>
      </c>
      <c r="AN122" t="s">
        <v>1146</v>
      </c>
      <c r="AO122" s="100">
        <v>46262.040405092594</v>
      </c>
      <c r="AP122" t="s">
        <v>1147</v>
      </c>
      <c r="AQ122" t="s">
        <v>1451</v>
      </c>
      <c r="AR122" t="s">
        <v>1240</v>
      </c>
      <c r="AS122" t="s">
        <v>1150</v>
      </c>
      <c r="AT122" t="s">
        <v>1361</v>
      </c>
      <c r="AU122">
        <v>25</v>
      </c>
      <c r="AV122">
        <v>4.371264</v>
      </c>
      <c r="AW122">
        <v>2.954837671796318E-2</v>
      </c>
      <c r="AX122">
        <v>0.67596870648771568</v>
      </c>
      <c r="AY122">
        <v>1.5336201252767589</v>
      </c>
      <c r="AZ122">
        <v>2.6489684909814897</v>
      </c>
      <c r="BA122">
        <v>3.6486598433503996</v>
      </c>
      <c r="BB122" s="97" t="s">
        <v>161</v>
      </c>
      <c r="BD122" s="98"/>
      <c r="BE122" s="98"/>
      <c r="BF122" t="s">
        <v>1152</v>
      </c>
      <c r="BG122" t="s">
        <v>322</v>
      </c>
      <c r="BH122" t="s">
        <v>1153</v>
      </c>
      <c r="BI122">
        <v>1.5336201252767589</v>
      </c>
      <c r="BJ122" t="s">
        <v>1032</v>
      </c>
      <c r="BK122">
        <v>1.3510315090185103</v>
      </c>
      <c r="BL122">
        <v>33.775787725462756</v>
      </c>
      <c r="BM122" t="s">
        <v>1260</v>
      </c>
      <c r="BN122" t="s">
        <v>1154</v>
      </c>
      <c r="BO122">
        <v>2025</v>
      </c>
      <c r="BP122" t="s">
        <v>966</v>
      </c>
      <c r="BQ122">
        <v>61367.231512688079</v>
      </c>
      <c r="BR122">
        <v>93.863276848731189</v>
      </c>
      <c r="BS122" t="s">
        <v>992</v>
      </c>
      <c r="BT122">
        <v>6</v>
      </c>
      <c r="BU122">
        <v>1</v>
      </c>
      <c r="BV122" t="s">
        <v>993</v>
      </c>
      <c r="BW122" t="s">
        <v>943</v>
      </c>
      <c r="BX122" t="s">
        <v>1033</v>
      </c>
      <c r="BY122">
        <v>3.0433970746920931</v>
      </c>
      <c r="BZ122" t="s">
        <v>1155</v>
      </c>
      <c r="CA122" t="s">
        <v>1032</v>
      </c>
      <c r="CB122" t="b">
        <v>1</v>
      </c>
      <c r="CC122" t="b">
        <v>1</v>
      </c>
      <c r="CD122" t="b">
        <v>1</v>
      </c>
      <c r="CE122" t="b">
        <v>1</v>
      </c>
      <c r="CF122" t="b">
        <v>1</v>
      </c>
    </row>
    <row r="123" spans="1:84" x14ac:dyDescent="0.3">
      <c r="A123" t="s">
        <v>1452</v>
      </c>
      <c r="B123" t="s">
        <v>1242</v>
      </c>
      <c r="C123" s="98">
        <v>45810</v>
      </c>
      <c r="D123">
        <v>2025</v>
      </c>
      <c r="E123">
        <v>6</v>
      </c>
      <c r="F123">
        <v>2</v>
      </c>
      <c r="G123" t="s">
        <v>1243</v>
      </c>
      <c r="H123" t="s">
        <v>125</v>
      </c>
      <c r="I123" t="s">
        <v>125</v>
      </c>
      <c r="J123" t="s">
        <v>6</v>
      </c>
      <c r="L123">
        <v>522611</v>
      </c>
      <c r="M123" s="99" t="s">
        <v>179</v>
      </c>
      <c r="N123">
        <v>2</v>
      </c>
      <c r="O123">
        <v>22</v>
      </c>
      <c r="P123">
        <v>4.3562000000000003</v>
      </c>
      <c r="Q123" t="s">
        <v>352</v>
      </c>
      <c r="R123">
        <v>1</v>
      </c>
      <c r="S123">
        <v>4.3769</v>
      </c>
      <c r="T123">
        <v>3.5000000000000003E-2</v>
      </c>
      <c r="U123">
        <v>-0.59142857142856331</v>
      </c>
      <c r="V123">
        <v>4.2718999999999996</v>
      </c>
      <c r="W123">
        <v>4.3068999999999997</v>
      </c>
      <c r="X123">
        <v>4.3418999999999999</v>
      </c>
      <c r="Y123">
        <v>4.4119000000000002</v>
      </c>
      <c r="Z123">
        <v>4.4469000000000003</v>
      </c>
      <c r="AA123">
        <v>4.4819000000000004</v>
      </c>
      <c r="AD123">
        <v>4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 t="s">
        <v>462</v>
      </c>
      <c r="AL123" t="s">
        <v>6</v>
      </c>
      <c r="AM123" t="s">
        <v>1145</v>
      </c>
      <c r="AN123" t="s">
        <v>1146</v>
      </c>
      <c r="AO123" s="100">
        <v>46262.040405092594</v>
      </c>
      <c r="AP123" t="s">
        <v>1147</v>
      </c>
      <c r="AQ123" t="s">
        <v>1453</v>
      </c>
      <c r="AR123" t="s">
        <v>1245</v>
      </c>
      <c r="AS123" t="s">
        <v>1150</v>
      </c>
      <c r="AT123" t="s">
        <v>1361</v>
      </c>
      <c r="AU123">
        <v>25</v>
      </c>
      <c r="AV123">
        <v>4.371264</v>
      </c>
      <c r="AW123">
        <v>2.954837671796318E-2</v>
      </c>
      <c r="AX123">
        <v>0.67596870648771568</v>
      </c>
      <c r="AY123">
        <v>1.5336201252767589</v>
      </c>
      <c r="AZ123">
        <v>2.6489684909814897</v>
      </c>
      <c r="BA123">
        <v>3.6486598433503996</v>
      </c>
      <c r="BB123" s="97" t="s">
        <v>161</v>
      </c>
      <c r="BD123" s="98"/>
      <c r="BE123" s="98"/>
      <c r="BF123" t="s">
        <v>1152</v>
      </c>
      <c r="BG123" t="s">
        <v>322</v>
      </c>
      <c r="BH123" t="s">
        <v>1153</v>
      </c>
      <c r="BI123">
        <v>1.5336201252767589</v>
      </c>
      <c r="BJ123" t="s">
        <v>1032</v>
      </c>
      <c r="BK123">
        <v>1.3510315090185103</v>
      </c>
      <c r="BL123">
        <v>33.775787725462756</v>
      </c>
      <c r="BM123" t="s">
        <v>1260</v>
      </c>
      <c r="BN123" t="s">
        <v>1154</v>
      </c>
      <c r="BO123">
        <v>2025</v>
      </c>
      <c r="BP123" t="s">
        <v>966</v>
      </c>
      <c r="BQ123">
        <v>61367.231512688079</v>
      </c>
      <c r="BR123">
        <v>93.863276848731189</v>
      </c>
      <c r="BS123" t="s">
        <v>992</v>
      </c>
      <c r="BT123">
        <v>6</v>
      </c>
      <c r="BU123">
        <v>1</v>
      </c>
      <c r="BV123" t="s">
        <v>993</v>
      </c>
      <c r="BW123" t="s">
        <v>943</v>
      </c>
      <c r="BX123" t="s">
        <v>1033</v>
      </c>
      <c r="BY123">
        <v>3.0433970746920931</v>
      </c>
      <c r="BZ123" t="s">
        <v>1155</v>
      </c>
      <c r="CA123" t="s">
        <v>1032</v>
      </c>
      <c r="CB123" t="b">
        <v>1</v>
      </c>
      <c r="CC123" t="b">
        <v>1</v>
      </c>
      <c r="CD123" t="b">
        <v>1</v>
      </c>
      <c r="CE123" t="b">
        <v>1</v>
      </c>
      <c r="CF123" t="b">
        <v>1</v>
      </c>
    </row>
    <row r="124" spans="1:84" x14ac:dyDescent="0.3">
      <c r="A124" t="s">
        <v>1454</v>
      </c>
      <c r="B124" t="s">
        <v>1247</v>
      </c>
      <c r="C124" s="98">
        <v>45817</v>
      </c>
      <c r="D124">
        <v>2025</v>
      </c>
      <c r="E124">
        <v>6</v>
      </c>
      <c r="F124">
        <v>2</v>
      </c>
      <c r="G124" t="s">
        <v>1243</v>
      </c>
      <c r="H124" t="s">
        <v>125</v>
      </c>
      <c r="I124" t="s">
        <v>125</v>
      </c>
      <c r="J124" t="s">
        <v>6</v>
      </c>
      <c r="L124">
        <v>522611</v>
      </c>
      <c r="M124" s="99" t="s">
        <v>179</v>
      </c>
      <c r="N124">
        <v>2</v>
      </c>
      <c r="O124">
        <v>23</v>
      </c>
      <c r="P124">
        <v>4.3727999999999998</v>
      </c>
      <c r="Q124" t="s">
        <v>352</v>
      </c>
      <c r="R124">
        <v>1</v>
      </c>
      <c r="S124">
        <v>4.3769</v>
      </c>
      <c r="T124">
        <v>3.5000000000000003E-2</v>
      </c>
      <c r="U124">
        <v>-0.11714285714286327</v>
      </c>
      <c r="V124">
        <v>4.2718999999999996</v>
      </c>
      <c r="W124">
        <v>4.3068999999999997</v>
      </c>
      <c r="X124">
        <v>4.3418999999999999</v>
      </c>
      <c r="Y124">
        <v>4.4119000000000002</v>
      </c>
      <c r="Z124">
        <v>4.4469000000000003</v>
      </c>
      <c r="AA124">
        <v>4.4819000000000004</v>
      </c>
      <c r="AD124">
        <v>4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 t="s">
        <v>462</v>
      </c>
      <c r="AL124" t="s">
        <v>6</v>
      </c>
      <c r="AM124" t="s">
        <v>1145</v>
      </c>
      <c r="AN124" t="s">
        <v>1146</v>
      </c>
      <c r="AO124" s="100">
        <v>46262.040405092594</v>
      </c>
      <c r="AP124" t="s">
        <v>1147</v>
      </c>
      <c r="AQ124" t="s">
        <v>1455</v>
      </c>
      <c r="AR124" t="s">
        <v>1249</v>
      </c>
      <c r="AS124" t="s">
        <v>1150</v>
      </c>
      <c r="AT124" t="s">
        <v>1361</v>
      </c>
      <c r="AU124">
        <v>25</v>
      </c>
      <c r="AV124">
        <v>4.371264</v>
      </c>
      <c r="AW124">
        <v>2.954837671796318E-2</v>
      </c>
      <c r="AX124">
        <v>0.67596870648771568</v>
      </c>
      <c r="AY124">
        <v>1.5336201252767589</v>
      </c>
      <c r="AZ124">
        <v>2.6489684909814897</v>
      </c>
      <c r="BA124">
        <v>3.6486598433503996</v>
      </c>
      <c r="BB124" s="97" t="s">
        <v>161</v>
      </c>
      <c r="BD124" s="98"/>
      <c r="BE124" s="98"/>
      <c r="BF124" t="s">
        <v>1152</v>
      </c>
      <c r="BG124" t="s">
        <v>322</v>
      </c>
      <c r="BH124" t="s">
        <v>1153</v>
      </c>
      <c r="BI124">
        <v>1.5336201252767589</v>
      </c>
      <c r="BJ124" t="s">
        <v>1032</v>
      </c>
      <c r="BK124">
        <v>1.3510315090185103</v>
      </c>
      <c r="BL124">
        <v>33.775787725462756</v>
      </c>
      <c r="BM124" t="s">
        <v>1260</v>
      </c>
      <c r="BN124" t="s">
        <v>1154</v>
      </c>
      <c r="BO124">
        <v>2025</v>
      </c>
      <c r="BP124" t="s">
        <v>966</v>
      </c>
      <c r="BQ124">
        <v>61367.231512688079</v>
      </c>
      <c r="BR124">
        <v>93.863276848731189</v>
      </c>
      <c r="BS124" t="s">
        <v>992</v>
      </c>
      <c r="BT124">
        <v>6</v>
      </c>
      <c r="BU124">
        <v>1</v>
      </c>
      <c r="BV124" t="s">
        <v>993</v>
      </c>
      <c r="BW124" t="s">
        <v>943</v>
      </c>
      <c r="BX124" t="s">
        <v>1033</v>
      </c>
      <c r="BY124">
        <v>3.0433970746920931</v>
      </c>
      <c r="BZ124" t="s">
        <v>1155</v>
      </c>
      <c r="CA124" t="s">
        <v>1032</v>
      </c>
      <c r="CB124" t="b">
        <v>1</v>
      </c>
      <c r="CC124" t="b">
        <v>1</v>
      </c>
      <c r="CD124" t="b">
        <v>1</v>
      </c>
      <c r="CE124" t="b">
        <v>1</v>
      </c>
      <c r="CF124" t="b">
        <v>1</v>
      </c>
    </row>
    <row r="125" spans="1:84" x14ac:dyDescent="0.3">
      <c r="A125" t="s">
        <v>1456</v>
      </c>
      <c r="B125" t="s">
        <v>1251</v>
      </c>
      <c r="C125" s="98">
        <v>45824</v>
      </c>
      <c r="D125">
        <v>2025</v>
      </c>
      <c r="E125">
        <v>6</v>
      </c>
      <c r="F125">
        <v>2</v>
      </c>
      <c r="G125" t="s">
        <v>1243</v>
      </c>
      <c r="H125" t="s">
        <v>125</v>
      </c>
      <c r="I125" t="s">
        <v>125</v>
      </c>
      <c r="J125" t="s">
        <v>6</v>
      </c>
      <c r="L125">
        <v>522611</v>
      </c>
      <c r="M125" s="99" t="s">
        <v>179</v>
      </c>
      <c r="N125">
        <v>2</v>
      </c>
      <c r="O125">
        <v>24</v>
      </c>
      <c r="P125">
        <v>4.3071000000000002</v>
      </c>
      <c r="Q125" t="s">
        <v>352</v>
      </c>
      <c r="R125">
        <v>1</v>
      </c>
      <c r="S125">
        <v>4.3769</v>
      </c>
      <c r="T125">
        <v>3.5000000000000003E-2</v>
      </c>
      <c r="U125">
        <v>-1.9942857142857102</v>
      </c>
      <c r="V125">
        <v>4.2718999999999996</v>
      </c>
      <c r="W125">
        <v>4.3068999999999997</v>
      </c>
      <c r="X125">
        <v>4.3418999999999999</v>
      </c>
      <c r="Y125">
        <v>4.4119000000000002</v>
      </c>
      <c r="Z125">
        <v>4.4469000000000003</v>
      </c>
      <c r="AA125">
        <v>4.4819000000000004</v>
      </c>
      <c r="AD125">
        <v>4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 t="s">
        <v>462</v>
      </c>
      <c r="AL125" t="s">
        <v>6</v>
      </c>
      <c r="AM125" t="s">
        <v>1145</v>
      </c>
      <c r="AN125" t="s">
        <v>1146</v>
      </c>
      <c r="AO125" s="100">
        <v>46262.040405092594</v>
      </c>
      <c r="AP125" t="s">
        <v>1147</v>
      </c>
      <c r="AQ125" t="s">
        <v>1457</v>
      </c>
      <c r="AR125" t="s">
        <v>1253</v>
      </c>
      <c r="AS125" t="s">
        <v>1150</v>
      </c>
      <c r="AT125" t="s">
        <v>1361</v>
      </c>
      <c r="AU125">
        <v>25</v>
      </c>
      <c r="AV125">
        <v>4.371264</v>
      </c>
      <c r="AW125">
        <v>2.954837671796318E-2</v>
      </c>
      <c r="AX125">
        <v>0.67596870648771568</v>
      </c>
      <c r="AY125">
        <v>1.5336201252767589</v>
      </c>
      <c r="AZ125">
        <v>2.6489684909814897</v>
      </c>
      <c r="BA125">
        <v>3.6486598433503996</v>
      </c>
      <c r="BB125" s="97" t="s">
        <v>161</v>
      </c>
      <c r="BD125" s="98"/>
      <c r="BE125" s="98"/>
      <c r="BF125" t="s">
        <v>1152</v>
      </c>
      <c r="BG125" t="s">
        <v>322</v>
      </c>
      <c r="BH125" t="s">
        <v>1153</v>
      </c>
      <c r="BI125">
        <v>1.5336201252767589</v>
      </c>
      <c r="BJ125" t="s">
        <v>1032</v>
      </c>
      <c r="BK125">
        <v>1.3510315090185103</v>
      </c>
      <c r="BL125">
        <v>33.775787725462756</v>
      </c>
      <c r="BM125" t="s">
        <v>1260</v>
      </c>
      <c r="BN125" t="s">
        <v>1154</v>
      </c>
      <c r="BO125">
        <v>2025</v>
      </c>
      <c r="BP125" t="s">
        <v>966</v>
      </c>
      <c r="BQ125">
        <v>61367.231512688079</v>
      </c>
      <c r="BR125">
        <v>93.863276848731189</v>
      </c>
      <c r="BS125" t="s">
        <v>992</v>
      </c>
      <c r="BT125">
        <v>6</v>
      </c>
      <c r="BU125">
        <v>1</v>
      </c>
      <c r="BV125" t="s">
        <v>993</v>
      </c>
      <c r="BW125" t="s">
        <v>943</v>
      </c>
      <c r="BX125" t="s">
        <v>1033</v>
      </c>
      <c r="BY125">
        <v>3.0433970746920931</v>
      </c>
      <c r="BZ125" t="s">
        <v>1155</v>
      </c>
      <c r="CA125" t="s">
        <v>1032</v>
      </c>
      <c r="CB125" t="b">
        <v>1</v>
      </c>
      <c r="CC125" t="b">
        <v>1</v>
      </c>
      <c r="CD125" t="b">
        <v>1</v>
      </c>
      <c r="CE125" t="b">
        <v>1</v>
      </c>
      <c r="CF125" t="b">
        <v>1</v>
      </c>
    </row>
    <row r="126" spans="1:84" x14ac:dyDescent="0.3">
      <c r="A126" t="s">
        <v>1458</v>
      </c>
      <c r="B126" t="s">
        <v>1255</v>
      </c>
      <c r="C126" s="98">
        <v>45831</v>
      </c>
      <c r="D126">
        <v>2025</v>
      </c>
      <c r="E126">
        <v>6</v>
      </c>
      <c r="F126">
        <v>2</v>
      </c>
      <c r="G126" t="s">
        <v>1243</v>
      </c>
      <c r="H126" t="s">
        <v>125</v>
      </c>
      <c r="I126" t="s">
        <v>125</v>
      </c>
      <c r="J126" t="s">
        <v>6</v>
      </c>
      <c r="L126">
        <v>522611</v>
      </c>
      <c r="M126" s="99" t="s">
        <v>179</v>
      </c>
      <c r="N126">
        <v>2</v>
      </c>
      <c r="O126">
        <v>25</v>
      </c>
      <c r="P126">
        <v>4.3372999999999999</v>
      </c>
      <c r="Q126" t="s">
        <v>352</v>
      </c>
      <c r="R126">
        <v>1</v>
      </c>
      <c r="S126">
        <v>4.3769</v>
      </c>
      <c r="T126">
        <v>3.5000000000000003E-2</v>
      </c>
      <c r="U126">
        <v>-1.1314285714285737</v>
      </c>
      <c r="V126">
        <v>4.2718999999999996</v>
      </c>
      <c r="W126">
        <v>4.3068999999999997</v>
      </c>
      <c r="X126">
        <v>4.3418999999999999</v>
      </c>
      <c r="Y126">
        <v>4.4119000000000002</v>
      </c>
      <c r="Z126">
        <v>4.4469000000000003</v>
      </c>
      <c r="AA126">
        <v>4.4819000000000004</v>
      </c>
      <c r="AD126">
        <v>4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 t="s">
        <v>462</v>
      </c>
      <c r="AL126" t="s">
        <v>6</v>
      </c>
      <c r="AM126" t="s">
        <v>1145</v>
      </c>
      <c r="AN126" t="s">
        <v>1146</v>
      </c>
      <c r="AO126" s="100">
        <v>46262.040405092594</v>
      </c>
      <c r="AP126" t="s">
        <v>1147</v>
      </c>
      <c r="AQ126" t="s">
        <v>1459</v>
      </c>
      <c r="AR126" t="s">
        <v>1257</v>
      </c>
      <c r="AS126" t="s">
        <v>1150</v>
      </c>
      <c r="AT126" t="s">
        <v>1361</v>
      </c>
      <c r="AU126">
        <v>25</v>
      </c>
      <c r="AV126">
        <v>4.371264</v>
      </c>
      <c r="AW126">
        <v>2.954837671796318E-2</v>
      </c>
      <c r="AX126">
        <v>0.67596870648771568</v>
      </c>
      <c r="AY126">
        <v>1.5336201252767589</v>
      </c>
      <c r="AZ126">
        <v>2.6489684909814897</v>
      </c>
      <c r="BA126">
        <v>3.6486598433503996</v>
      </c>
      <c r="BB126" s="97" t="s">
        <v>161</v>
      </c>
      <c r="BD126" s="98"/>
      <c r="BE126" s="98"/>
      <c r="BF126" t="s">
        <v>1152</v>
      </c>
      <c r="BG126" t="s">
        <v>322</v>
      </c>
      <c r="BH126" t="s">
        <v>1153</v>
      </c>
      <c r="BI126">
        <v>1.5336201252767589</v>
      </c>
      <c r="BJ126" t="s">
        <v>1032</v>
      </c>
      <c r="BK126">
        <v>1.3510315090185103</v>
      </c>
      <c r="BL126">
        <v>33.775787725462756</v>
      </c>
      <c r="BM126" t="s">
        <v>1260</v>
      </c>
      <c r="BN126" t="s">
        <v>1154</v>
      </c>
      <c r="BO126">
        <v>2025</v>
      </c>
      <c r="BP126" t="s">
        <v>966</v>
      </c>
      <c r="BQ126">
        <v>61367.231512688079</v>
      </c>
      <c r="BR126">
        <v>93.863276848731189</v>
      </c>
      <c r="BS126" t="s">
        <v>992</v>
      </c>
      <c r="BT126">
        <v>6</v>
      </c>
      <c r="BU126">
        <v>1</v>
      </c>
      <c r="BV126" t="s">
        <v>993</v>
      </c>
      <c r="BW126" t="s">
        <v>943</v>
      </c>
      <c r="BX126" t="s">
        <v>1033</v>
      </c>
      <c r="BY126">
        <v>3.0433970746920931</v>
      </c>
      <c r="BZ126" t="s">
        <v>1155</v>
      </c>
      <c r="CA126" t="s">
        <v>1032</v>
      </c>
      <c r="CB126" t="b">
        <v>1</v>
      </c>
      <c r="CC126" t="b">
        <v>1</v>
      </c>
      <c r="CD126" t="b">
        <v>1</v>
      </c>
      <c r="CE126" t="b">
        <v>1</v>
      </c>
      <c r="CF126" t="b">
        <v>1</v>
      </c>
    </row>
    <row r="127" spans="1:84" x14ac:dyDescent="0.3">
      <c r="A127" t="s">
        <v>1460</v>
      </c>
      <c r="B127" t="s">
        <v>1143</v>
      </c>
      <c r="C127" s="98">
        <v>45663</v>
      </c>
      <c r="D127">
        <v>2025</v>
      </c>
      <c r="E127">
        <v>1</v>
      </c>
      <c r="F127">
        <v>1</v>
      </c>
      <c r="G127" t="s">
        <v>1144</v>
      </c>
      <c r="H127" t="s">
        <v>125</v>
      </c>
      <c r="I127" t="s">
        <v>125</v>
      </c>
      <c r="J127" t="s">
        <v>6</v>
      </c>
      <c r="L127">
        <v>522611</v>
      </c>
      <c r="M127" s="99" t="s">
        <v>180</v>
      </c>
      <c r="N127">
        <v>3</v>
      </c>
      <c r="O127">
        <v>1</v>
      </c>
      <c r="P127">
        <v>5.1353</v>
      </c>
      <c r="Q127" t="s">
        <v>352</v>
      </c>
      <c r="R127">
        <v>1</v>
      </c>
      <c r="S127">
        <v>5.1227999999999998</v>
      </c>
      <c r="T127">
        <v>3.4500000000000003E-2</v>
      </c>
      <c r="U127">
        <v>0.36231884057971525</v>
      </c>
      <c r="V127">
        <v>5.0192999999999994</v>
      </c>
      <c r="W127">
        <v>5.0537999999999998</v>
      </c>
      <c r="X127">
        <v>5.0882999999999994</v>
      </c>
      <c r="Y127">
        <v>5.1573000000000002</v>
      </c>
      <c r="Z127">
        <v>5.1917999999999997</v>
      </c>
      <c r="AA127">
        <v>5.2263000000000002</v>
      </c>
      <c r="AD127">
        <v>4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 t="s">
        <v>462</v>
      </c>
      <c r="AL127" t="s">
        <v>6</v>
      </c>
      <c r="AM127" t="s">
        <v>1145</v>
      </c>
      <c r="AN127" t="s">
        <v>1146</v>
      </c>
      <c r="AO127" s="100">
        <v>46262.040405092594</v>
      </c>
      <c r="AP127" t="s">
        <v>1147</v>
      </c>
      <c r="AQ127" t="s">
        <v>1461</v>
      </c>
      <c r="AR127" t="s">
        <v>1149</v>
      </c>
      <c r="AS127" t="s">
        <v>1150</v>
      </c>
      <c r="AT127" t="s">
        <v>1361</v>
      </c>
      <c r="AU127">
        <v>25</v>
      </c>
      <c r="AV127">
        <v>5.1196200000000003</v>
      </c>
      <c r="AW127">
        <v>3.4443298816073623E-2</v>
      </c>
      <c r="AX127">
        <v>0.67277061219531176</v>
      </c>
      <c r="AY127">
        <v>1.5336201252767589</v>
      </c>
      <c r="AZ127">
        <v>2.6436916353990232</v>
      </c>
      <c r="BA127">
        <v>3.6660041773751368</v>
      </c>
      <c r="BB127" s="97" t="s">
        <v>161</v>
      </c>
      <c r="BD127" s="98"/>
      <c r="BE127" s="98"/>
      <c r="BF127" t="s">
        <v>1152</v>
      </c>
      <c r="BG127" t="s">
        <v>322</v>
      </c>
      <c r="BH127" t="s">
        <v>1153</v>
      </c>
      <c r="BI127">
        <v>1.5336201252767589</v>
      </c>
      <c r="BJ127" t="s">
        <v>1032</v>
      </c>
      <c r="BK127">
        <v>1.3563083646009768</v>
      </c>
      <c r="BL127">
        <v>33.907709115024417</v>
      </c>
      <c r="BM127" t="s">
        <v>1260</v>
      </c>
      <c r="BN127" t="s">
        <v>1154</v>
      </c>
      <c r="BO127">
        <v>2025</v>
      </c>
      <c r="BP127" t="s">
        <v>966</v>
      </c>
      <c r="BQ127">
        <v>61367.231512688079</v>
      </c>
      <c r="BR127">
        <v>93.863276848731189</v>
      </c>
      <c r="BS127" t="s">
        <v>992</v>
      </c>
      <c r="BT127">
        <v>6</v>
      </c>
      <c r="BU127">
        <v>1</v>
      </c>
      <c r="BV127" t="s">
        <v>993</v>
      </c>
      <c r="BW127" t="s">
        <v>943</v>
      </c>
      <c r="BX127" t="s">
        <v>1033</v>
      </c>
      <c r="BY127">
        <v>3.0433970746920931</v>
      </c>
      <c r="BZ127" t="s">
        <v>1155</v>
      </c>
      <c r="CA127" t="s">
        <v>1032</v>
      </c>
      <c r="CB127" t="b">
        <v>1</v>
      </c>
      <c r="CC127" t="b">
        <v>1</v>
      </c>
      <c r="CD127" t="b">
        <v>1</v>
      </c>
      <c r="CE127" t="b">
        <v>1</v>
      </c>
      <c r="CF127" t="b">
        <v>1</v>
      </c>
    </row>
    <row r="128" spans="1:84" x14ac:dyDescent="0.3">
      <c r="A128" t="s">
        <v>1462</v>
      </c>
      <c r="B128" t="s">
        <v>1157</v>
      </c>
      <c r="C128" s="98">
        <v>45670</v>
      </c>
      <c r="D128">
        <v>2025</v>
      </c>
      <c r="E128">
        <v>1</v>
      </c>
      <c r="F128">
        <v>1</v>
      </c>
      <c r="G128" t="s">
        <v>1144</v>
      </c>
      <c r="H128" t="s">
        <v>125</v>
      </c>
      <c r="I128" t="s">
        <v>125</v>
      </c>
      <c r="J128" t="s">
        <v>6</v>
      </c>
      <c r="L128">
        <v>522611</v>
      </c>
      <c r="M128" s="99" t="s">
        <v>180</v>
      </c>
      <c r="N128">
        <v>3</v>
      </c>
      <c r="O128">
        <v>2</v>
      </c>
      <c r="P128">
        <v>5.0492999999999997</v>
      </c>
      <c r="Q128" t="s">
        <v>352</v>
      </c>
      <c r="R128">
        <v>1</v>
      </c>
      <c r="S128">
        <v>5.1227999999999998</v>
      </c>
      <c r="T128">
        <v>3.4500000000000003E-2</v>
      </c>
      <c r="U128">
        <v>-2.1304347826086989</v>
      </c>
      <c r="V128">
        <v>5.0192999999999994</v>
      </c>
      <c r="W128">
        <v>5.0537999999999998</v>
      </c>
      <c r="X128">
        <v>5.0882999999999994</v>
      </c>
      <c r="Y128">
        <v>5.1573000000000002</v>
      </c>
      <c r="Z128">
        <v>5.1917999999999997</v>
      </c>
      <c r="AA128">
        <v>5.2263000000000002</v>
      </c>
      <c r="AD128">
        <v>4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1</v>
      </c>
      <c r="AK128" t="s">
        <v>462</v>
      </c>
      <c r="AL128" t="s">
        <v>6</v>
      </c>
      <c r="AM128" t="s">
        <v>1145</v>
      </c>
      <c r="AN128" t="s">
        <v>1146</v>
      </c>
      <c r="AO128" s="100">
        <v>46262.040405092594</v>
      </c>
      <c r="AP128" t="s">
        <v>1147</v>
      </c>
      <c r="AQ128" t="s">
        <v>1463</v>
      </c>
      <c r="AR128" t="s">
        <v>1159</v>
      </c>
      <c r="AS128" t="s">
        <v>1150</v>
      </c>
      <c r="AT128" t="s">
        <v>1361</v>
      </c>
      <c r="AU128">
        <v>25</v>
      </c>
      <c r="AV128">
        <v>5.1196200000000003</v>
      </c>
      <c r="AW128">
        <v>3.4443298816073623E-2</v>
      </c>
      <c r="AX128">
        <v>0.67277061219531176</v>
      </c>
      <c r="AY128">
        <v>1.5336201252767589</v>
      </c>
      <c r="AZ128">
        <v>2.6436916353990232</v>
      </c>
      <c r="BA128">
        <v>3.6660041773751368</v>
      </c>
      <c r="BB128" s="97" t="s">
        <v>161</v>
      </c>
      <c r="BD128" s="98"/>
      <c r="BE128" s="98"/>
      <c r="BF128" t="s">
        <v>1152</v>
      </c>
      <c r="BG128" t="s">
        <v>322</v>
      </c>
      <c r="BH128" t="s">
        <v>1153</v>
      </c>
      <c r="BI128">
        <v>1.5336201252767589</v>
      </c>
      <c r="BJ128" t="s">
        <v>1032</v>
      </c>
      <c r="BK128">
        <v>1.3563083646009768</v>
      </c>
      <c r="BL128">
        <v>33.907709115024417</v>
      </c>
      <c r="BM128" t="s">
        <v>1260</v>
      </c>
      <c r="BN128" t="s">
        <v>1154</v>
      </c>
      <c r="BO128">
        <v>2025</v>
      </c>
      <c r="BP128" t="s">
        <v>966</v>
      </c>
      <c r="BQ128">
        <v>61367.231512688079</v>
      </c>
      <c r="BR128">
        <v>93.863276848731189</v>
      </c>
      <c r="BS128" t="s">
        <v>992</v>
      </c>
      <c r="BT128">
        <v>6</v>
      </c>
      <c r="BU128">
        <v>1</v>
      </c>
      <c r="BV128" t="s">
        <v>993</v>
      </c>
      <c r="BW128" t="s">
        <v>943</v>
      </c>
      <c r="BX128" t="s">
        <v>1033</v>
      </c>
      <c r="BY128">
        <v>3.0433970746920931</v>
      </c>
      <c r="BZ128" t="s">
        <v>1155</v>
      </c>
      <c r="CA128" t="s">
        <v>1032</v>
      </c>
      <c r="CB128" t="b">
        <v>1</v>
      </c>
      <c r="CC128" t="b">
        <v>1</v>
      </c>
      <c r="CD128" t="b">
        <v>1</v>
      </c>
      <c r="CE128" t="b">
        <v>1</v>
      </c>
      <c r="CF128" t="b">
        <v>1</v>
      </c>
    </row>
    <row r="129" spans="1:84" x14ac:dyDescent="0.3">
      <c r="A129" t="s">
        <v>1464</v>
      </c>
      <c r="B129" t="s">
        <v>1161</v>
      </c>
      <c r="C129" s="98">
        <v>45677</v>
      </c>
      <c r="D129">
        <v>2025</v>
      </c>
      <c r="E129">
        <v>1</v>
      </c>
      <c r="F129">
        <v>1</v>
      </c>
      <c r="G129" t="s">
        <v>1144</v>
      </c>
      <c r="H129" t="s">
        <v>125</v>
      </c>
      <c r="I129" t="s">
        <v>125</v>
      </c>
      <c r="J129" t="s">
        <v>6</v>
      </c>
      <c r="L129">
        <v>522611</v>
      </c>
      <c r="M129" s="99" t="s">
        <v>180</v>
      </c>
      <c r="N129">
        <v>3</v>
      </c>
      <c r="O129">
        <v>3</v>
      </c>
      <c r="P129">
        <v>5.1520000000000001</v>
      </c>
      <c r="Q129" t="s">
        <v>352</v>
      </c>
      <c r="R129">
        <v>1</v>
      </c>
      <c r="S129">
        <v>5.1227999999999998</v>
      </c>
      <c r="T129">
        <v>3.4500000000000003E-2</v>
      </c>
      <c r="U129">
        <v>0.84637681159421263</v>
      </c>
      <c r="V129">
        <v>5.0192999999999994</v>
      </c>
      <c r="W129">
        <v>5.0537999999999998</v>
      </c>
      <c r="X129">
        <v>5.0882999999999994</v>
      </c>
      <c r="Y129">
        <v>5.1573000000000002</v>
      </c>
      <c r="Z129">
        <v>5.1917999999999997</v>
      </c>
      <c r="AA129">
        <v>5.2263000000000002</v>
      </c>
      <c r="AD129">
        <v>4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 t="s">
        <v>462</v>
      </c>
      <c r="AL129" t="s">
        <v>6</v>
      </c>
      <c r="AM129" t="s">
        <v>1145</v>
      </c>
      <c r="AN129" t="s">
        <v>1146</v>
      </c>
      <c r="AO129" s="100">
        <v>46262.040405092594</v>
      </c>
      <c r="AP129" t="s">
        <v>1147</v>
      </c>
      <c r="AQ129" t="s">
        <v>1465</v>
      </c>
      <c r="AR129" t="s">
        <v>1163</v>
      </c>
      <c r="AS129" t="s">
        <v>1150</v>
      </c>
      <c r="AT129" t="s">
        <v>1361</v>
      </c>
      <c r="AU129">
        <v>25</v>
      </c>
      <c r="AV129">
        <v>5.1196200000000003</v>
      </c>
      <c r="AW129">
        <v>3.4443298816073623E-2</v>
      </c>
      <c r="AX129">
        <v>0.67277061219531176</v>
      </c>
      <c r="AY129">
        <v>1.5336201252767589</v>
      </c>
      <c r="AZ129">
        <v>2.6436916353990232</v>
      </c>
      <c r="BA129">
        <v>3.6660041773751368</v>
      </c>
      <c r="BB129" s="97" t="s">
        <v>161</v>
      </c>
      <c r="BD129" s="98"/>
      <c r="BE129" s="98"/>
      <c r="BF129" t="s">
        <v>1152</v>
      </c>
      <c r="BG129" t="s">
        <v>322</v>
      </c>
      <c r="BH129" t="s">
        <v>1153</v>
      </c>
      <c r="BI129">
        <v>1.5336201252767589</v>
      </c>
      <c r="BJ129" t="s">
        <v>1032</v>
      </c>
      <c r="BK129">
        <v>1.3563083646009768</v>
      </c>
      <c r="BL129">
        <v>33.907709115024417</v>
      </c>
      <c r="BM129" t="s">
        <v>1260</v>
      </c>
      <c r="BN129" t="s">
        <v>1154</v>
      </c>
      <c r="BO129">
        <v>2025</v>
      </c>
      <c r="BP129" t="s">
        <v>966</v>
      </c>
      <c r="BQ129">
        <v>61367.231512688079</v>
      </c>
      <c r="BR129">
        <v>93.863276848731189</v>
      </c>
      <c r="BS129" t="s">
        <v>992</v>
      </c>
      <c r="BT129">
        <v>6</v>
      </c>
      <c r="BU129">
        <v>1</v>
      </c>
      <c r="BV129" t="s">
        <v>993</v>
      </c>
      <c r="BW129" t="s">
        <v>943</v>
      </c>
      <c r="BX129" t="s">
        <v>1033</v>
      </c>
      <c r="BY129">
        <v>3.0433970746920931</v>
      </c>
      <c r="BZ129" t="s">
        <v>1155</v>
      </c>
      <c r="CA129" t="s">
        <v>1032</v>
      </c>
      <c r="CB129" t="b">
        <v>1</v>
      </c>
      <c r="CC129" t="b">
        <v>1</v>
      </c>
      <c r="CD129" t="b">
        <v>1</v>
      </c>
      <c r="CE129" t="b">
        <v>1</v>
      </c>
      <c r="CF129" t="b">
        <v>1</v>
      </c>
    </row>
    <row r="130" spans="1:84" x14ac:dyDescent="0.3">
      <c r="A130" t="s">
        <v>1466</v>
      </c>
      <c r="B130" t="s">
        <v>1165</v>
      </c>
      <c r="C130" s="98">
        <v>45684</v>
      </c>
      <c r="D130">
        <v>2025</v>
      </c>
      <c r="E130">
        <v>1</v>
      </c>
      <c r="F130">
        <v>1</v>
      </c>
      <c r="G130" t="s">
        <v>1144</v>
      </c>
      <c r="H130" t="s">
        <v>125</v>
      </c>
      <c r="I130" t="s">
        <v>125</v>
      </c>
      <c r="J130" t="s">
        <v>6</v>
      </c>
      <c r="L130">
        <v>522611</v>
      </c>
      <c r="M130" s="99" t="s">
        <v>180</v>
      </c>
      <c r="N130">
        <v>3</v>
      </c>
      <c r="O130">
        <v>4</v>
      </c>
      <c r="P130">
        <v>5.0625</v>
      </c>
      <c r="Q130" t="s">
        <v>352</v>
      </c>
      <c r="R130">
        <v>1</v>
      </c>
      <c r="S130">
        <v>5.1227999999999998</v>
      </c>
      <c r="T130">
        <v>3.4500000000000003E-2</v>
      </c>
      <c r="U130">
        <v>-1.7478260869565156</v>
      </c>
      <c r="V130">
        <v>5.0192999999999994</v>
      </c>
      <c r="W130">
        <v>5.0537999999999998</v>
      </c>
      <c r="X130">
        <v>5.0882999999999994</v>
      </c>
      <c r="Y130">
        <v>5.1573000000000002</v>
      </c>
      <c r="Z130">
        <v>5.1917999999999997</v>
      </c>
      <c r="AA130">
        <v>5.2263000000000002</v>
      </c>
      <c r="AD130">
        <v>4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 t="s">
        <v>462</v>
      </c>
      <c r="AL130" t="s">
        <v>6</v>
      </c>
      <c r="AM130" t="s">
        <v>1145</v>
      </c>
      <c r="AN130" t="s">
        <v>1146</v>
      </c>
      <c r="AO130" s="100">
        <v>46262.040405092594</v>
      </c>
      <c r="AP130" t="s">
        <v>1147</v>
      </c>
      <c r="AQ130" t="s">
        <v>1467</v>
      </c>
      <c r="AR130" t="s">
        <v>1167</v>
      </c>
      <c r="AS130" t="s">
        <v>1150</v>
      </c>
      <c r="AT130" t="s">
        <v>1361</v>
      </c>
      <c r="AU130">
        <v>25</v>
      </c>
      <c r="AV130">
        <v>5.1196200000000003</v>
      </c>
      <c r="AW130">
        <v>3.4443298816073623E-2</v>
      </c>
      <c r="AX130">
        <v>0.67277061219531176</v>
      </c>
      <c r="AY130">
        <v>1.5336201252767589</v>
      </c>
      <c r="AZ130">
        <v>2.6436916353990232</v>
      </c>
      <c r="BA130">
        <v>3.6660041773751368</v>
      </c>
      <c r="BB130" s="97" t="s">
        <v>161</v>
      </c>
      <c r="BD130" s="98"/>
      <c r="BE130" s="98"/>
      <c r="BF130" t="s">
        <v>1152</v>
      </c>
      <c r="BG130" t="s">
        <v>322</v>
      </c>
      <c r="BH130" t="s">
        <v>1153</v>
      </c>
      <c r="BI130">
        <v>1.5336201252767589</v>
      </c>
      <c r="BJ130" t="s">
        <v>1032</v>
      </c>
      <c r="BK130">
        <v>1.3563083646009768</v>
      </c>
      <c r="BL130">
        <v>33.907709115024417</v>
      </c>
      <c r="BM130" t="s">
        <v>1260</v>
      </c>
      <c r="BN130" t="s">
        <v>1154</v>
      </c>
      <c r="BO130">
        <v>2025</v>
      </c>
      <c r="BP130" t="s">
        <v>966</v>
      </c>
      <c r="BQ130">
        <v>61367.231512688079</v>
      </c>
      <c r="BR130">
        <v>93.863276848731189</v>
      </c>
      <c r="BS130" t="s">
        <v>992</v>
      </c>
      <c r="BT130">
        <v>6</v>
      </c>
      <c r="BU130">
        <v>1</v>
      </c>
      <c r="BV130" t="s">
        <v>993</v>
      </c>
      <c r="BW130" t="s">
        <v>943</v>
      </c>
      <c r="BX130" t="s">
        <v>1033</v>
      </c>
      <c r="BY130">
        <v>3.0433970746920931</v>
      </c>
      <c r="BZ130" t="s">
        <v>1155</v>
      </c>
      <c r="CA130" t="s">
        <v>1032</v>
      </c>
      <c r="CB130" t="b">
        <v>1</v>
      </c>
      <c r="CC130" t="b">
        <v>1</v>
      </c>
      <c r="CD130" t="b">
        <v>1</v>
      </c>
      <c r="CE130" t="b">
        <v>1</v>
      </c>
      <c r="CF130" t="b">
        <v>1</v>
      </c>
    </row>
    <row r="131" spans="1:84" x14ac:dyDescent="0.3">
      <c r="A131" t="s">
        <v>1468</v>
      </c>
      <c r="B131" t="s">
        <v>1169</v>
      </c>
      <c r="C131" s="98">
        <v>45691</v>
      </c>
      <c r="D131">
        <v>2025</v>
      </c>
      <c r="E131">
        <v>2</v>
      </c>
      <c r="F131">
        <v>1</v>
      </c>
      <c r="G131" t="s">
        <v>1170</v>
      </c>
      <c r="H131" t="s">
        <v>125</v>
      </c>
      <c r="I131" t="s">
        <v>125</v>
      </c>
      <c r="J131" t="s">
        <v>6</v>
      </c>
      <c r="L131">
        <v>522611</v>
      </c>
      <c r="M131" s="99" t="s">
        <v>180</v>
      </c>
      <c r="N131">
        <v>3</v>
      </c>
      <c r="O131">
        <v>5</v>
      </c>
      <c r="P131">
        <v>5.1489000000000003</v>
      </c>
      <c r="Q131" t="s">
        <v>352</v>
      </c>
      <c r="R131">
        <v>1</v>
      </c>
      <c r="S131">
        <v>5.1227999999999998</v>
      </c>
      <c r="T131">
        <v>3.4500000000000003E-2</v>
      </c>
      <c r="U131">
        <v>0.75652173913044796</v>
      </c>
      <c r="V131">
        <v>5.0192999999999994</v>
      </c>
      <c r="W131">
        <v>5.0537999999999998</v>
      </c>
      <c r="X131">
        <v>5.0882999999999994</v>
      </c>
      <c r="Y131">
        <v>5.1573000000000002</v>
      </c>
      <c r="Z131">
        <v>5.1917999999999997</v>
      </c>
      <c r="AA131">
        <v>5.2263000000000002</v>
      </c>
      <c r="AD131">
        <v>4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 t="s">
        <v>462</v>
      </c>
      <c r="AL131" t="s">
        <v>6</v>
      </c>
      <c r="AM131" t="s">
        <v>1145</v>
      </c>
      <c r="AN131" t="s">
        <v>1146</v>
      </c>
      <c r="AO131" s="100">
        <v>46262.040405092594</v>
      </c>
      <c r="AP131" t="s">
        <v>1147</v>
      </c>
      <c r="AQ131" t="s">
        <v>1469</v>
      </c>
      <c r="AR131" t="s">
        <v>1172</v>
      </c>
      <c r="AS131" t="s">
        <v>1150</v>
      </c>
      <c r="AT131" t="s">
        <v>1361</v>
      </c>
      <c r="AU131">
        <v>25</v>
      </c>
      <c r="AV131">
        <v>5.1196200000000003</v>
      </c>
      <c r="AW131">
        <v>3.4443298816073623E-2</v>
      </c>
      <c r="AX131">
        <v>0.67277061219531176</v>
      </c>
      <c r="AY131">
        <v>1.5336201252767589</v>
      </c>
      <c r="AZ131">
        <v>2.6436916353990232</v>
      </c>
      <c r="BA131">
        <v>3.6660041773751368</v>
      </c>
      <c r="BB131" s="97" t="s">
        <v>161</v>
      </c>
      <c r="BD131" s="98"/>
      <c r="BE131" s="98"/>
      <c r="BF131" t="s">
        <v>1152</v>
      </c>
      <c r="BG131" t="s">
        <v>322</v>
      </c>
      <c r="BH131" t="s">
        <v>1153</v>
      </c>
      <c r="BI131">
        <v>1.5336201252767589</v>
      </c>
      <c r="BJ131" t="s">
        <v>1032</v>
      </c>
      <c r="BK131">
        <v>1.3563083646009768</v>
      </c>
      <c r="BL131">
        <v>33.907709115024417</v>
      </c>
      <c r="BM131" t="s">
        <v>1260</v>
      </c>
      <c r="BN131" t="s">
        <v>1154</v>
      </c>
      <c r="BO131">
        <v>2025</v>
      </c>
      <c r="BP131" t="s">
        <v>966</v>
      </c>
      <c r="BQ131">
        <v>61367.231512688079</v>
      </c>
      <c r="BR131">
        <v>93.863276848731189</v>
      </c>
      <c r="BS131" t="s">
        <v>992</v>
      </c>
      <c r="BT131">
        <v>6</v>
      </c>
      <c r="BU131">
        <v>1</v>
      </c>
      <c r="BV131" t="s">
        <v>993</v>
      </c>
      <c r="BW131" t="s">
        <v>943</v>
      </c>
      <c r="BX131" t="s">
        <v>1033</v>
      </c>
      <c r="BY131">
        <v>3.0433970746920931</v>
      </c>
      <c r="BZ131" t="s">
        <v>1155</v>
      </c>
      <c r="CA131" t="s">
        <v>1032</v>
      </c>
      <c r="CB131" t="b">
        <v>1</v>
      </c>
      <c r="CC131" t="b">
        <v>1</v>
      </c>
      <c r="CD131" t="b">
        <v>1</v>
      </c>
      <c r="CE131" t="b">
        <v>1</v>
      </c>
      <c r="CF131" t="b">
        <v>1</v>
      </c>
    </row>
    <row r="132" spans="1:84" x14ac:dyDescent="0.3">
      <c r="A132" t="s">
        <v>1470</v>
      </c>
      <c r="B132" t="s">
        <v>1174</v>
      </c>
      <c r="C132" s="98">
        <v>45698</v>
      </c>
      <c r="D132">
        <v>2025</v>
      </c>
      <c r="E132">
        <v>2</v>
      </c>
      <c r="F132">
        <v>1</v>
      </c>
      <c r="G132" t="s">
        <v>1170</v>
      </c>
      <c r="H132" t="s">
        <v>125</v>
      </c>
      <c r="I132" t="s">
        <v>125</v>
      </c>
      <c r="J132" t="s">
        <v>6</v>
      </c>
      <c r="L132">
        <v>522611</v>
      </c>
      <c r="M132" s="99" t="s">
        <v>180</v>
      </c>
      <c r="N132">
        <v>3</v>
      </c>
      <c r="O132">
        <v>6</v>
      </c>
      <c r="P132">
        <v>5.0936000000000003</v>
      </c>
      <c r="Q132" t="s">
        <v>352</v>
      </c>
      <c r="R132">
        <v>1</v>
      </c>
      <c r="S132">
        <v>5.1227999999999998</v>
      </c>
      <c r="T132">
        <v>3.4500000000000003E-2</v>
      </c>
      <c r="U132">
        <v>-0.84637681159418687</v>
      </c>
      <c r="V132">
        <v>5.0192999999999994</v>
      </c>
      <c r="W132">
        <v>5.0537999999999998</v>
      </c>
      <c r="X132">
        <v>5.0882999999999994</v>
      </c>
      <c r="Y132">
        <v>5.1573000000000002</v>
      </c>
      <c r="Z132">
        <v>5.1917999999999997</v>
      </c>
      <c r="AA132">
        <v>5.2263000000000002</v>
      </c>
      <c r="AD132">
        <v>4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 t="s">
        <v>462</v>
      </c>
      <c r="AL132" t="s">
        <v>6</v>
      </c>
      <c r="AM132" t="s">
        <v>1145</v>
      </c>
      <c r="AN132" t="s">
        <v>1146</v>
      </c>
      <c r="AO132" s="100">
        <v>46262.040405092594</v>
      </c>
      <c r="AP132" t="s">
        <v>1147</v>
      </c>
      <c r="AQ132" t="s">
        <v>1471</v>
      </c>
      <c r="AR132" t="s">
        <v>1176</v>
      </c>
      <c r="AS132" t="s">
        <v>1150</v>
      </c>
      <c r="AT132" t="s">
        <v>1361</v>
      </c>
      <c r="AU132">
        <v>25</v>
      </c>
      <c r="AV132">
        <v>5.1196200000000003</v>
      </c>
      <c r="AW132">
        <v>3.4443298816073623E-2</v>
      </c>
      <c r="AX132">
        <v>0.67277061219531176</v>
      </c>
      <c r="AY132">
        <v>1.5336201252767589</v>
      </c>
      <c r="AZ132">
        <v>2.6436916353990232</v>
      </c>
      <c r="BA132">
        <v>3.6660041773751368</v>
      </c>
      <c r="BB132" s="97" t="s">
        <v>161</v>
      </c>
      <c r="BD132" s="98"/>
      <c r="BE132" s="98"/>
      <c r="BF132" t="s">
        <v>1152</v>
      </c>
      <c r="BG132" t="s">
        <v>322</v>
      </c>
      <c r="BH132" t="s">
        <v>1153</v>
      </c>
      <c r="BI132">
        <v>1.5336201252767589</v>
      </c>
      <c r="BJ132" t="s">
        <v>1032</v>
      </c>
      <c r="BK132">
        <v>1.3563083646009768</v>
      </c>
      <c r="BL132">
        <v>33.907709115024417</v>
      </c>
      <c r="BM132" t="s">
        <v>1260</v>
      </c>
      <c r="BN132" t="s">
        <v>1154</v>
      </c>
      <c r="BO132">
        <v>2025</v>
      </c>
      <c r="BP132" t="s">
        <v>966</v>
      </c>
      <c r="BQ132">
        <v>61367.231512688079</v>
      </c>
      <c r="BR132">
        <v>93.863276848731189</v>
      </c>
      <c r="BS132" t="s">
        <v>992</v>
      </c>
      <c r="BT132">
        <v>6</v>
      </c>
      <c r="BU132">
        <v>1</v>
      </c>
      <c r="BV132" t="s">
        <v>993</v>
      </c>
      <c r="BW132" t="s">
        <v>943</v>
      </c>
      <c r="BX132" t="s">
        <v>1033</v>
      </c>
      <c r="BY132">
        <v>3.0433970746920931</v>
      </c>
      <c r="BZ132" t="s">
        <v>1155</v>
      </c>
      <c r="CA132" t="s">
        <v>1032</v>
      </c>
      <c r="CB132" t="b">
        <v>1</v>
      </c>
      <c r="CC132" t="b">
        <v>1</v>
      </c>
      <c r="CD132" t="b">
        <v>1</v>
      </c>
      <c r="CE132" t="b">
        <v>1</v>
      </c>
      <c r="CF132" t="b">
        <v>1</v>
      </c>
    </row>
    <row r="133" spans="1:84" x14ac:dyDescent="0.3">
      <c r="A133" t="s">
        <v>1472</v>
      </c>
      <c r="B133" t="s">
        <v>1178</v>
      </c>
      <c r="C133" s="98">
        <v>45705</v>
      </c>
      <c r="D133">
        <v>2025</v>
      </c>
      <c r="E133">
        <v>2</v>
      </c>
      <c r="F133">
        <v>1</v>
      </c>
      <c r="G133" t="s">
        <v>1170</v>
      </c>
      <c r="H133" t="s">
        <v>125</v>
      </c>
      <c r="I133" t="s">
        <v>125</v>
      </c>
      <c r="J133" t="s">
        <v>6</v>
      </c>
      <c r="L133">
        <v>522611</v>
      </c>
      <c r="M133" s="99" t="s">
        <v>180</v>
      </c>
      <c r="N133">
        <v>3</v>
      </c>
      <c r="O133">
        <v>7</v>
      </c>
      <c r="P133">
        <v>5.1497000000000002</v>
      </c>
      <c r="Q133" t="s">
        <v>352</v>
      </c>
      <c r="R133">
        <v>1</v>
      </c>
      <c r="S133">
        <v>5.1227999999999998</v>
      </c>
      <c r="T133">
        <v>3.4500000000000003E-2</v>
      </c>
      <c r="U133">
        <v>0.77971014492754687</v>
      </c>
      <c r="V133">
        <v>5.0192999999999994</v>
      </c>
      <c r="W133">
        <v>5.0537999999999998</v>
      </c>
      <c r="X133">
        <v>5.0882999999999994</v>
      </c>
      <c r="Y133">
        <v>5.1573000000000002</v>
      </c>
      <c r="Z133">
        <v>5.1917999999999997</v>
      </c>
      <c r="AA133">
        <v>5.2263000000000002</v>
      </c>
      <c r="AD133">
        <v>4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 t="s">
        <v>462</v>
      </c>
      <c r="AL133" t="s">
        <v>6</v>
      </c>
      <c r="AM133" t="s">
        <v>1145</v>
      </c>
      <c r="AN133" t="s">
        <v>1146</v>
      </c>
      <c r="AO133" s="100">
        <v>46262.040405092594</v>
      </c>
      <c r="AP133" t="s">
        <v>1147</v>
      </c>
      <c r="AQ133" t="s">
        <v>1473</v>
      </c>
      <c r="AR133" t="s">
        <v>1180</v>
      </c>
      <c r="AS133" t="s">
        <v>1150</v>
      </c>
      <c r="AT133" t="s">
        <v>1361</v>
      </c>
      <c r="AU133">
        <v>25</v>
      </c>
      <c r="AV133">
        <v>5.1196200000000003</v>
      </c>
      <c r="AW133">
        <v>3.4443298816073623E-2</v>
      </c>
      <c r="AX133">
        <v>0.67277061219531176</v>
      </c>
      <c r="AY133">
        <v>1.5336201252767589</v>
      </c>
      <c r="AZ133">
        <v>2.6436916353990232</v>
      </c>
      <c r="BA133">
        <v>3.6660041773751368</v>
      </c>
      <c r="BB133" s="97" t="s">
        <v>161</v>
      </c>
      <c r="BD133" s="98"/>
      <c r="BE133" s="98"/>
      <c r="BF133" t="s">
        <v>1152</v>
      </c>
      <c r="BG133" t="s">
        <v>322</v>
      </c>
      <c r="BH133" t="s">
        <v>1153</v>
      </c>
      <c r="BI133">
        <v>1.5336201252767589</v>
      </c>
      <c r="BJ133" t="s">
        <v>1032</v>
      </c>
      <c r="BK133">
        <v>1.3563083646009768</v>
      </c>
      <c r="BL133">
        <v>33.907709115024417</v>
      </c>
      <c r="BM133" t="s">
        <v>1260</v>
      </c>
      <c r="BN133" t="s">
        <v>1154</v>
      </c>
      <c r="BO133">
        <v>2025</v>
      </c>
      <c r="BP133" t="s">
        <v>966</v>
      </c>
      <c r="BQ133">
        <v>61367.231512688079</v>
      </c>
      <c r="BR133">
        <v>93.863276848731189</v>
      </c>
      <c r="BS133" t="s">
        <v>992</v>
      </c>
      <c r="BT133">
        <v>6</v>
      </c>
      <c r="BU133">
        <v>1</v>
      </c>
      <c r="BV133" t="s">
        <v>993</v>
      </c>
      <c r="BW133" t="s">
        <v>943</v>
      </c>
      <c r="BX133" t="s">
        <v>1033</v>
      </c>
      <c r="BY133">
        <v>3.0433970746920931</v>
      </c>
      <c r="BZ133" t="s">
        <v>1155</v>
      </c>
      <c r="CA133" t="s">
        <v>1032</v>
      </c>
      <c r="CB133" t="b">
        <v>1</v>
      </c>
      <c r="CC133" t="b">
        <v>1</v>
      </c>
      <c r="CD133" t="b">
        <v>1</v>
      </c>
      <c r="CE133" t="b">
        <v>1</v>
      </c>
      <c r="CF133" t="b">
        <v>1</v>
      </c>
    </row>
    <row r="134" spans="1:84" x14ac:dyDescent="0.3">
      <c r="A134" t="s">
        <v>1474</v>
      </c>
      <c r="B134" t="s">
        <v>1182</v>
      </c>
      <c r="C134" s="98">
        <v>45712</v>
      </c>
      <c r="D134">
        <v>2025</v>
      </c>
      <c r="E134">
        <v>2</v>
      </c>
      <c r="F134">
        <v>1</v>
      </c>
      <c r="G134" t="s">
        <v>1170</v>
      </c>
      <c r="H134" t="s">
        <v>125</v>
      </c>
      <c r="I134" t="s">
        <v>125</v>
      </c>
      <c r="J134" t="s">
        <v>6</v>
      </c>
      <c r="L134">
        <v>522611</v>
      </c>
      <c r="M134" s="99" t="s">
        <v>180</v>
      </c>
      <c r="N134">
        <v>3</v>
      </c>
      <c r="O134">
        <v>8</v>
      </c>
      <c r="P134">
        <v>5.1273</v>
      </c>
      <c r="Q134" t="s">
        <v>352</v>
      </c>
      <c r="R134">
        <v>1</v>
      </c>
      <c r="S134">
        <v>5.1227999999999998</v>
      </c>
      <c r="T134">
        <v>3.4500000000000003E-2</v>
      </c>
      <c r="U134">
        <v>0.13043478260870059</v>
      </c>
      <c r="V134">
        <v>5.0192999999999994</v>
      </c>
      <c r="W134">
        <v>5.0537999999999998</v>
      </c>
      <c r="X134">
        <v>5.0882999999999994</v>
      </c>
      <c r="Y134">
        <v>5.1573000000000002</v>
      </c>
      <c r="Z134">
        <v>5.1917999999999997</v>
      </c>
      <c r="AA134">
        <v>5.2263000000000002</v>
      </c>
      <c r="AD134">
        <v>4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 t="s">
        <v>462</v>
      </c>
      <c r="AL134" t="s">
        <v>6</v>
      </c>
      <c r="AM134" t="s">
        <v>1145</v>
      </c>
      <c r="AN134" t="s">
        <v>1146</v>
      </c>
      <c r="AO134" s="100">
        <v>46262.040405092594</v>
      </c>
      <c r="AP134" t="s">
        <v>1147</v>
      </c>
      <c r="AQ134" t="s">
        <v>1475</v>
      </c>
      <c r="AR134" t="s">
        <v>1184</v>
      </c>
      <c r="AS134" t="s">
        <v>1150</v>
      </c>
      <c r="AT134" t="s">
        <v>1361</v>
      </c>
      <c r="AU134">
        <v>25</v>
      </c>
      <c r="AV134">
        <v>5.1196200000000003</v>
      </c>
      <c r="AW134">
        <v>3.4443298816073623E-2</v>
      </c>
      <c r="AX134">
        <v>0.67277061219531176</v>
      </c>
      <c r="AY134">
        <v>1.5336201252767589</v>
      </c>
      <c r="AZ134">
        <v>2.6436916353990232</v>
      </c>
      <c r="BA134">
        <v>3.6660041773751368</v>
      </c>
      <c r="BB134" s="97" t="s">
        <v>161</v>
      </c>
      <c r="BD134" s="98"/>
      <c r="BE134" s="98"/>
      <c r="BF134" t="s">
        <v>1152</v>
      </c>
      <c r="BG134" t="s">
        <v>322</v>
      </c>
      <c r="BH134" t="s">
        <v>1153</v>
      </c>
      <c r="BI134">
        <v>1.5336201252767589</v>
      </c>
      <c r="BJ134" t="s">
        <v>1032</v>
      </c>
      <c r="BK134">
        <v>1.3563083646009768</v>
      </c>
      <c r="BL134">
        <v>33.907709115024417</v>
      </c>
      <c r="BM134" t="s">
        <v>1260</v>
      </c>
      <c r="BN134" t="s">
        <v>1154</v>
      </c>
      <c r="BO134">
        <v>2025</v>
      </c>
      <c r="BP134" t="s">
        <v>966</v>
      </c>
      <c r="BQ134">
        <v>61367.231512688079</v>
      </c>
      <c r="BR134">
        <v>93.863276848731189</v>
      </c>
      <c r="BS134" t="s">
        <v>992</v>
      </c>
      <c r="BT134">
        <v>6</v>
      </c>
      <c r="BU134">
        <v>1</v>
      </c>
      <c r="BV134" t="s">
        <v>993</v>
      </c>
      <c r="BW134" t="s">
        <v>943</v>
      </c>
      <c r="BX134" t="s">
        <v>1033</v>
      </c>
      <c r="BY134">
        <v>3.0433970746920931</v>
      </c>
      <c r="BZ134" t="s">
        <v>1155</v>
      </c>
      <c r="CA134" t="s">
        <v>1032</v>
      </c>
      <c r="CB134" t="b">
        <v>1</v>
      </c>
      <c r="CC134" t="b">
        <v>1</v>
      </c>
      <c r="CD134" t="b">
        <v>1</v>
      </c>
      <c r="CE134" t="b">
        <v>1</v>
      </c>
      <c r="CF134" t="b">
        <v>1</v>
      </c>
    </row>
    <row r="135" spans="1:84" x14ac:dyDescent="0.3">
      <c r="A135" t="s">
        <v>1476</v>
      </c>
      <c r="B135" t="s">
        <v>1186</v>
      </c>
      <c r="C135" s="98">
        <v>45719</v>
      </c>
      <c r="D135">
        <v>2025</v>
      </c>
      <c r="E135">
        <v>3</v>
      </c>
      <c r="F135">
        <v>1</v>
      </c>
      <c r="G135" t="s">
        <v>1187</v>
      </c>
      <c r="H135" t="s">
        <v>125</v>
      </c>
      <c r="I135" t="s">
        <v>125</v>
      </c>
      <c r="J135" t="s">
        <v>6</v>
      </c>
      <c r="L135">
        <v>522611</v>
      </c>
      <c r="M135" s="99" t="s">
        <v>180</v>
      </c>
      <c r="N135">
        <v>3</v>
      </c>
      <c r="O135">
        <v>9</v>
      </c>
      <c r="P135">
        <v>5.0697000000000001</v>
      </c>
      <c r="Q135" t="s">
        <v>352</v>
      </c>
      <c r="R135">
        <v>1</v>
      </c>
      <c r="S135">
        <v>5.1227999999999998</v>
      </c>
      <c r="T135">
        <v>3.4500000000000003E-2</v>
      </c>
      <c r="U135">
        <v>-1.5391304347826</v>
      </c>
      <c r="V135">
        <v>5.0192999999999994</v>
      </c>
      <c r="W135">
        <v>5.0537999999999998</v>
      </c>
      <c r="X135">
        <v>5.0882999999999994</v>
      </c>
      <c r="Y135">
        <v>5.1573000000000002</v>
      </c>
      <c r="Z135">
        <v>5.1917999999999997</v>
      </c>
      <c r="AA135">
        <v>5.2263000000000002</v>
      </c>
      <c r="AD135">
        <v>4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 t="s">
        <v>462</v>
      </c>
      <c r="AL135" t="s">
        <v>6</v>
      </c>
      <c r="AM135" t="s">
        <v>1145</v>
      </c>
      <c r="AN135" t="s">
        <v>1146</v>
      </c>
      <c r="AO135" s="100">
        <v>46262.040405092594</v>
      </c>
      <c r="AP135" t="s">
        <v>1147</v>
      </c>
      <c r="AQ135" t="s">
        <v>1477</v>
      </c>
      <c r="AR135" t="s">
        <v>1189</v>
      </c>
      <c r="AS135" t="s">
        <v>1150</v>
      </c>
      <c r="AT135" t="s">
        <v>1361</v>
      </c>
      <c r="AU135">
        <v>25</v>
      </c>
      <c r="AV135">
        <v>5.1196200000000003</v>
      </c>
      <c r="AW135">
        <v>3.4443298816073623E-2</v>
      </c>
      <c r="AX135">
        <v>0.67277061219531176</v>
      </c>
      <c r="AY135">
        <v>1.5336201252767589</v>
      </c>
      <c r="AZ135">
        <v>2.6436916353990232</v>
      </c>
      <c r="BA135">
        <v>3.6660041773751368</v>
      </c>
      <c r="BB135" s="97" t="s">
        <v>161</v>
      </c>
      <c r="BD135" s="98"/>
      <c r="BE135" s="98"/>
      <c r="BF135" t="s">
        <v>1152</v>
      </c>
      <c r="BG135" t="s">
        <v>322</v>
      </c>
      <c r="BH135" t="s">
        <v>1153</v>
      </c>
      <c r="BI135">
        <v>1.5336201252767589</v>
      </c>
      <c r="BJ135" t="s">
        <v>1032</v>
      </c>
      <c r="BK135">
        <v>1.3563083646009768</v>
      </c>
      <c r="BL135">
        <v>33.907709115024417</v>
      </c>
      <c r="BM135" t="s">
        <v>1260</v>
      </c>
      <c r="BN135" t="s">
        <v>1154</v>
      </c>
      <c r="BO135">
        <v>2025</v>
      </c>
      <c r="BP135" t="s">
        <v>966</v>
      </c>
      <c r="BQ135">
        <v>61367.231512688079</v>
      </c>
      <c r="BR135">
        <v>93.863276848731189</v>
      </c>
      <c r="BS135" t="s">
        <v>992</v>
      </c>
      <c r="BT135">
        <v>6</v>
      </c>
      <c r="BU135">
        <v>1</v>
      </c>
      <c r="BV135" t="s">
        <v>993</v>
      </c>
      <c r="BW135" t="s">
        <v>943</v>
      </c>
      <c r="BX135" t="s">
        <v>1033</v>
      </c>
      <c r="BY135">
        <v>3.0433970746920931</v>
      </c>
      <c r="BZ135" t="s">
        <v>1155</v>
      </c>
      <c r="CA135" t="s">
        <v>1032</v>
      </c>
      <c r="CB135" t="b">
        <v>1</v>
      </c>
      <c r="CC135" t="b">
        <v>1</v>
      </c>
      <c r="CD135" t="b">
        <v>1</v>
      </c>
      <c r="CE135" t="b">
        <v>1</v>
      </c>
      <c r="CF135" t="b">
        <v>1</v>
      </c>
    </row>
    <row r="136" spans="1:84" x14ac:dyDescent="0.3">
      <c r="A136" t="s">
        <v>1478</v>
      </c>
      <c r="B136" t="s">
        <v>1191</v>
      </c>
      <c r="C136" s="98">
        <v>45726</v>
      </c>
      <c r="D136">
        <v>2025</v>
      </c>
      <c r="E136">
        <v>3</v>
      </c>
      <c r="F136">
        <v>1</v>
      </c>
      <c r="G136" t="s">
        <v>1187</v>
      </c>
      <c r="H136" t="s">
        <v>125</v>
      </c>
      <c r="I136" t="s">
        <v>125</v>
      </c>
      <c r="J136" t="s">
        <v>6</v>
      </c>
      <c r="L136">
        <v>522611</v>
      </c>
      <c r="M136" s="99" t="s">
        <v>180</v>
      </c>
      <c r="N136">
        <v>3</v>
      </c>
      <c r="O136">
        <v>10</v>
      </c>
      <c r="P136">
        <v>5.1658999999999997</v>
      </c>
      <c r="Q136" t="s">
        <v>352</v>
      </c>
      <c r="R136">
        <v>1</v>
      </c>
      <c r="S136">
        <v>5.1227999999999998</v>
      </c>
      <c r="T136">
        <v>3.4500000000000003E-2</v>
      </c>
      <c r="U136">
        <v>1.249275362318838</v>
      </c>
      <c r="V136">
        <v>5.0192999999999994</v>
      </c>
      <c r="W136">
        <v>5.0537999999999998</v>
      </c>
      <c r="X136">
        <v>5.0882999999999994</v>
      </c>
      <c r="Y136">
        <v>5.1573000000000002</v>
      </c>
      <c r="Z136">
        <v>5.1917999999999997</v>
      </c>
      <c r="AA136">
        <v>5.2263000000000002</v>
      </c>
      <c r="AD136">
        <v>4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 t="s">
        <v>462</v>
      </c>
      <c r="AL136" t="s">
        <v>6</v>
      </c>
      <c r="AM136" t="s">
        <v>1145</v>
      </c>
      <c r="AN136" t="s">
        <v>1146</v>
      </c>
      <c r="AO136" s="100">
        <v>46262.040405092594</v>
      </c>
      <c r="AP136" t="s">
        <v>1147</v>
      </c>
      <c r="AQ136" t="s">
        <v>1479</v>
      </c>
      <c r="AR136" t="s">
        <v>1193</v>
      </c>
      <c r="AS136" t="s">
        <v>1150</v>
      </c>
      <c r="AT136" t="s">
        <v>1361</v>
      </c>
      <c r="AU136">
        <v>25</v>
      </c>
      <c r="AV136">
        <v>5.1196200000000003</v>
      </c>
      <c r="AW136">
        <v>3.4443298816073623E-2</v>
      </c>
      <c r="AX136">
        <v>0.67277061219531176</v>
      </c>
      <c r="AY136">
        <v>1.5336201252767589</v>
      </c>
      <c r="AZ136">
        <v>2.6436916353990232</v>
      </c>
      <c r="BA136">
        <v>3.6660041773751368</v>
      </c>
      <c r="BB136" s="97" t="s">
        <v>161</v>
      </c>
      <c r="BD136" s="98"/>
      <c r="BE136" s="98"/>
      <c r="BF136" t="s">
        <v>1152</v>
      </c>
      <c r="BG136" t="s">
        <v>322</v>
      </c>
      <c r="BH136" t="s">
        <v>1153</v>
      </c>
      <c r="BI136">
        <v>1.5336201252767589</v>
      </c>
      <c r="BJ136" t="s">
        <v>1032</v>
      </c>
      <c r="BK136">
        <v>1.3563083646009768</v>
      </c>
      <c r="BL136">
        <v>33.907709115024417</v>
      </c>
      <c r="BM136" t="s">
        <v>1260</v>
      </c>
      <c r="BN136" t="s">
        <v>1154</v>
      </c>
      <c r="BO136">
        <v>2025</v>
      </c>
      <c r="BP136" t="s">
        <v>966</v>
      </c>
      <c r="BQ136">
        <v>61367.231512688079</v>
      </c>
      <c r="BR136">
        <v>93.863276848731189</v>
      </c>
      <c r="BS136" t="s">
        <v>992</v>
      </c>
      <c r="BT136">
        <v>6</v>
      </c>
      <c r="BU136">
        <v>1</v>
      </c>
      <c r="BV136" t="s">
        <v>993</v>
      </c>
      <c r="BW136" t="s">
        <v>943</v>
      </c>
      <c r="BX136" t="s">
        <v>1033</v>
      </c>
      <c r="BY136">
        <v>3.0433970746920931</v>
      </c>
      <c r="BZ136" t="s">
        <v>1155</v>
      </c>
      <c r="CA136" t="s">
        <v>1032</v>
      </c>
      <c r="CB136" t="b">
        <v>1</v>
      </c>
      <c r="CC136" t="b">
        <v>1</v>
      </c>
      <c r="CD136" t="b">
        <v>1</v>
      </c>
      <c r="CE136" t="b">
        <v>1</v>
      </c>
      <c r="CF136" t="b">
        <v>1</v>
      </c>
    </row>
    <row r="137" spans="1:84" x14ac:dyDescent="0.3">
      <c r="A137" t="s">
        <v>1480</v>
      </c>
      <c r="B137" t="s">
        <v>1195</v>
      </c>
      <c r="C137" s="98">
        <v>45733</v>
      </c>
      <c r="D137">
        <v>2025</v>
      </c>
      <c r="E137">
        <v>3</v>
      </c>
      <c r="F137">
        <v>1</v>
      </c>
      <c r="G137" t="s">
        <v>1187</v>
      </c>
      <c r="H137" t="s">
        <v>125</v>
      </c>
      <c r="I137" t="s">
        <v>125</v>
      </c>
      <c r="J137" t="s">
        <v>6</v>
      </c>
      <c r="L137">
        <v>522611</v>
      </c>
      <c r="M137" s="99" t="s">
        <v>180</v>
      </c>
      <c r="N137">
        <v>3</v>
      </c>
      <c r="O137">
        <v>11</v>
      </c>
      <c r="P137">
        <v>5.1725000000000003</v>
      </c>
      <c r="Q137" t="s">
        <v>352</v>
      </c>
      <c r="R137">
        <v>1</v>
      </c>
      <c r="S137">
        <v>5.1227999999999998</v>
      </c>
      <c r="T137">
        <v>3.4500000000000003E-2</v>
      </c>
      <c r="U137">
        <v>1.4405797101449425</v>
      </c>
      <c r="V137">
        <v>5.0192999999999994</v>
      </c>
      <c r="W137">
        <v>5.0537999999999998</v>
      </c>
      <c r="X137">
        <v>5.0882999999999994</v>
      </c>
      <c r="Y137">
        <v>5.1573000000000002</v>
      </c>
      <c r="Z137">
        <v>5.1917999999999997</v>
      </c>
      <c r="AA137">
        <v>5.2263000000000002</v>
      </c>
      <c r="AD137">
        <v>4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 t="s">
        <v>462</v>
      </c>
      <c r="AL137" t="s">
        <v>6</v>
      </c>
      <c r="AM137" t="s">
        <v>1145</v>
      </c>
      <c r="AN137" t="s">
        <v>1146</v>
      </c>
      <c r="AO137" s="100">
        <v>46262.040405092594</v>
      </c>
      <c r="AP137" t="s">
        <v>1147</v>
      </c>
      <c r="AQ137" t="s">
        <v>1481</v>
      </c>
      <c r="AR137" t="s">
        <v>1197</v>
      </c>
      <c r="AS137" t="s">
        <v>1150</v>
      </c>
      <c r="AT137" t="s">
        <v>1361</v>
      </c>
      <c r="AU137">
        <v>25</v>
      </c>
      <c r="AV137">
        <v>5.1196200000000003</v>
      </c>
      <c r="AW137">
        <v>3.4443298816073623E-2</v>
      </c>
      <c r="AX137">
        <v>0.67277061219531176</v>
      </c>
      <c r="AY137">
        <v>1.5336201252767589</v>
      </c>
      <c r="AZ137">
        <v>2.6436916353990232</v>
      </c>
      <c r="BA137">
        <v>3.6660041773751368</v>
      </c>
      <c r="BB137" s="97" t="s">
        <v>161</v>
      </c>
      <c r="BD137" s="98"/>
      <c r="BE137" s="98"/>
      <c r="BF137" t="s">
        <v>1152</v>
      </c>
      <c r="BG137" t="s">
        <v>322</v>
      </c>
      <c r="BH137" t="s">
        <v>1153</v>
      </c>
      <c r="BI137">
        <v>1.5336201252767589</v>
      </c>
      <c r="BJ137" t="s">
        <v>1032</v>
      </c>
      <c r="BK137">
        <v>1.3563083646009768</v>
      </c>
      <c r="BL137">
        <v>33.907709115024417</v>
      </c>
      <c r="BM137" t="s">
        <v>1260</v>
      </c>
      <c r="BN137" t="s">
        <v>1154</v>
      </c>
      <c r="BO137">
        <v>2025</v>
      </c>
      <c r="BP137" t="s">
        <v>966</v>
      </c>
      <c r="BQ137">
        <v>61367.231512688079</v>
      </c>
      <c r="BR137">
        <v>93.863276848731189</v>
      </c>
      <c r="BS137" t="s">
        <v>992</v>
      </c>
      <c r="BT137">
        <v>6</v>
      </c>
      <c r="BU137">
        <v>1</v>
      </c>
      <c r="BV137" t="s">
        <v>993</v>
      </c>
      <c r="BW137" t="s">
        <v>943</v>
      </c>
      <c r="BX137" t="s">
        <v>1033</v>
      </c>
      <c r="BY137">
        <v>3.0433970746920931</v>
      </c>
      <c r="BZ137" t="s">
        <v>1155</v>
      </c>
      <c r="CA137" t="s">
        <v>1032</v>
      </c>
      <c r="CB137" t="b">
        <v>1</v>
      </c>
      <c r="CC137" t="b">
        <v>1</v>
      </c>
      <c r="CD137" t="b">
        <v>1</v>
      </c>
      <c r="CE137" t="b">
        <v>1</v>
      </c>
      <c r="CF137" t="b">
        <v>1</v>
      </c>
    </row>
    <row r="138" spans="1:84" x14ac:dyDescent="0.3">
      <c r="A138" t="s">
        <v>1482</v>
      </c>
      <c r="B138" t="s">
        <v>1199</v>
      </c>
      <c r="C138" s="98">
        <v>45740</v>
      </c>
      <c r="D138">
        <v>2025</v>
      </c>
      <c r="E138">
        <v>3</v>
      </c>
      <c r="F138">
        <v>1</v>
      </c>
      <c r="G138" t="s">
        <v>1187</v>
      </c>
      <c r="H138" t="s">
        <v>125</v>
      </c>
      <c r="I138" t="s">
        <v>125</v>
      </c>
      <c r="J138" t="s">
        <v>6</v>
      </c>
      <c r="L138">
        <v>522611</v>
      </c>
      <c r="M138" s="99" t="s">
        <v>180</v>
      </c>
      <c r="N138">
        <v>3</v>
      </c>
      <c r="O138">
        <v>12</v>
      </c>
      <c r="P138">
        <v>5.1204999999999998</v>
      </c>
      <c r="Q138" t="s">
        <v>352</v>
      </c>
      <c r="R138">
        <v>1</v>
      </c>
      <c r="S138">
        <v>5.1227999999999998</v>
      </c>
      <c r="T138">
        <v>3.4500000000000003E-2</v>
      </c>
      <c r="U138">
        <v>-6.666666666666575E-2</v>
      </c>
      <c r="V138">
        <v>5.0192999999999994</v>
      </c>
      <c r="W138">
        <v>5.0537999999999998</v>
      </c>
      <c r="X138">
        <v>5.0882999999999994</v>
      </c>
      <c r="Y138">
        <v>5.1573000000000002</v>
      </c>
      <c r="Z138">
        <v>5.1917999999999997</v>
      </c>
      <c r="AA138">
        <v>5.2263000000000002</v>
      </c>
      <c r="AD138">
        <v>4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 t="s">
        <v>462</v>
      </c>
      <c r="AL138" t="s">
        <v>6</v>
      </c>
      <c r="AM138" t="s">
        <v>1145</v>
      </c>
      <c r="AN138" t="s">
        <v>1146</v>
      </c>
      <c r="AO138" s="100">
        <v>46262.040405092594</v>
      </c>
      <c r="AP138" t="s">
        <v>1147</v>
      </c>
      <c r="AQ138" t="s">
        <v>1483</v>
      </c>
      <c r="AR138" t="s">
        <v>1201</v>
      </c>
      <c r="AS138" t="s">
        <v>1150</v>
      </c>
      <c r="AT138" t="s">
        <v>1361</v>
      </c>
      <c r="AU138">
        <v>25</v>
      </c>
      <c r="AV138">
        <v>5.1196200000000003</v>
      </c>
      <c r="AW138">
        <v>3.4443298816073623E-2</v>
      </c>
      <c r="AX138">
        <v>0.67277061219531176</v>
      </c>
      <c r="AY138">
        <v>1.5336201252767589</v>
      </c>
      <c r="AZ138">
        <v>2.6436916353990232</v>
      </c>
      <c r="BA138">
        <v>3.6660041773751368</v>
      </c>
      <c r="BB138" s="97" t="s">
        <v>161</v>
      </c>
      <c r="BD138" s="98"/>
      <c r="BE138" s="98"/>
      <c r="BF138" t="s">
        <v>1152</v>
      </c>
      <c r="BG138" t="s">
        <v>322</v>
      </c>
      <c r="BH138" t="s">
        <v>1153</v>
      </c>
      <c r="BI138">
        <v>1.5336201252767589</v>
      </c>
      <c r="BJ138" t="s">
        <v>1032</v>
      </c>
      <c r="BK138">
        <v>1.3563083646009768</v>
      </c>
      <c r="BL138">
        <v>33.907709115024417</v>
      </c>
      <c r="BM138" t="s">
        <v>1260</v>
      </c>
      <c r="BN138" t="s">
        <v>1154</v>
      </c>
      <c r="BO138">
        <v>2025</v>
      </c>
      <c r="BP138" t="s">
        <v>966</v>
      </c>
      <c r="BQ138">
        <v>61367.231512688079</v>
      </c>
      <c r="BR138">
        <v>93.863276848731189</v>
      </c>
      <c r="BS138" t="s">
        <v>992</v>
      </c>
      <c r="BT138">
        <v>6</v>
      </c>
      <c r="BU138">
        <v>1</v>
      </c>
      <c r="BV138" t="s">
        <v>993</v>
      </c>
      <c r="BW138" t="s">
        <v>943</v>
      </c>
      <c r="BX138" t="s">
        <v>1033</v>
      </c>
      <c r="BY138">
        <v>3.0433970746920931</v>
      </c>
      <c r="BZ138" t="s">
        <v>1155</v>
      </c>
      <c r="CA138" t="s">
        <v>1032</v>
      </c>
      <c r="CB138" t="b">
        <v>1</v>
      </c>
      <c r="CC138" t="b">
        <v>1</v>
      </c>
      <c r="CD138" t="b">
        <v>1</v>
      </c>
      <c r="CE138" t="b">
        <v>1</v>
      </c>
      <c r="CF138" t="b">
        <v>1</v>
      </c>
    </row>
    <row r="139" spans="1:84" x14ac:dyDescent="0.3">
      <c r="A139" t="s">
        <v>1484</v>
      </c>
      <c r="B139" t="s">
        <v>1203</v>
      </c>
      <c r="C139" s="98">
        <v>45747</v>
      </c>
      <c r="D139">
        <v>2025</v>
      </c>
      <c r="E139">
        <v>3</v>
      </c>
      <c r="F139">
        <v>1</v>
      </c>
      <c r="G139" t="s">
        <v>1187</v>
      </c>
      <c r="H139" t="s">
        <v>125</v>
      </c>
      <c r="I139" t="s">
        <v>125</v>
      </c>
      <c r="J139" t="s">
        <v>6</v>
      </c>
      <c r="L139">
        <v>522611</v>
      </c>
      <c r="M139" s="99" t="s">
        <v>180</v>
      </c>
      <c r="N139">
        <v>3</v>
      </c>
      <c r="O139">
        <v>13</v>
      </c>
      <c r="P139">
        <v>5.1132999999999997</v>
      </c>
      <c r="Q139" t="s">
        <v>352</v>
      </c>
      <c r="R139">
        <v>1</v>
      </c>
      <c r="S139">
        <v>5.1227999999999998</v>
      </c>
      <c r="T139">
        <v>3.4500000000000003E-2</v>
      </c>
      <c r="U139">
        <v>-0.27536231884058154</v>
      </c>
      <c r="V139">
        <v>5.0192999999999994</v>
      </c>
      <c r="W139">
        <v>5.0537999999999998</v>
      </c>
      <c r="X139">
        <v>5.0882999999999994</v>
      </c>
      <c r="Y139">
        <v>5.1573000000000002</v>
      </c>
      <c r="Z139">
        <v>5.1917999999999997</v>
      </c>
      <c r="AA139">
        <v>5.2263000000000002</v>
      </c>
      <c r="AD139">
        <v>4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 t="s">
        <v>462</v>
      </c>
      <c r="AL139" t="s">
        <v>6</v>
      </c>
      <c r="AM139" t="s">
        <v>1145</v>
      </c>
      <c r="AN139" t="s">
        <v>1146</v>
      </c>
      <c r="AO139" s="100">
        <v>46262.040405092594</v>
      </c>
      <c r="AP139" t="s">
        <v>1147</v>
      </c>
      <c r="AQ139" t="s">
        <v>1485</v>
      </c>
      <c r="AR139" t="s">
        <v>1205</v>
      </c>
      <c r="AS139" t="s">
        <v>1150</v>
      </c>
      <c r="AT139" t="s">
        <v>1361</v>
      </c>
      <c r="AU139">
        <v>25</v>
      </c>
      <c r="AV139">
        <v>5.1196200000000003</v>
      </c>
      <c r="AW139">
        <v>3.4443298816073623E-2</v>
      </c>
      <c r="AX139">
        <v>0.67277061219531176</v>
      </c>
      <c r="AY139">
        <v>1.5336201252767589</v>
      </c>
      <c r="AZ139">
        <v>2.6436916353990232</v>
      </c>
      <c r="BA139">
        <v>3.6660041773751368</v>
      </c>
      <c r="BB139" s="97" t="s">
        <v>161</v>
      </c>
      <c r="BD139" s="98"/>
      <c r="BE139" s="98"/>
      <c r="BF139" t="s">
        <v>1152</v>
      </c>
      <c r="BG139" t="s">
        <v>322</v>
      </c>
      <c r="BH139" t="s">
        <v>1153</v>
      </c>
      <c r="BI139">
        <v>1.5336201252767589</v>
      </c>
      <c r="BJ139" t="s">
        <v>1032</v>
      </c>
      <c r="BK139">
        <v>1.3563083646009768</v>
      </c>
      <c r="BL139">
        <v>33.907709115024417</v>
      </c>
      <c r="BM139" t="s">
        <v>1260</v>
      </c>
      <c r="BN139" t="s">
        <v>1154</v>
      </c>
      <c r="BO139">
        <v>2025</v>
      </c>
      <c r="BP139" t="s">
        <v>966</v>
      </c>
      <c r="BQ139">
        <v>61367.231512688079</v>
      </c>
      <c r="BR139">
        <v>93.863276848731189</v>
      </c>
      <c r="BS139" t="s">
        <v>992</v>
      </c>
      <c r="BT139">
        <v>6</v>
      </c>
      <c r="BU139">
        <v>1</v>
      </c>
      <c r="BV139" t="s">
        <v>993</v>
      </c>
      <c r="BW139" t="s">
        <v>943</v>
      </c>
      <c r="BX139" t="s">
        <v>1033</v>
      </c>
      <c r="BY139">
        <v>3.0433970746920931</v>
      </c>
      <c r="BZ139" t="s">
        <v>1155</v>
      </c>
      <c r="CA139" t="s">
        <v>1032</v>
      </c>
      <c r="CB139" t="b">
        <v>1</v>
      </c>
      <c r="CC139" t="b">
        <v>1</v>
      </c>
      <c r="CD139" t="b">
        <v>1</v>
      </c>
      <c r="CE139" t="b">
        <v>1</v>
      </c>
      <c r="CF139" t="b">
        <v>1</v>
      </c>
    </row>
    <row r="140" spans="1:84" x14ac:dyDescent="0.3">
      <c r="A140" t="s">
        <v>1486</v>
      </c>
      <c r="B140" t="s">
        <v>1207</v>
      </c>
      <c r="C140" s="98">
        <v>45754</v>
      </c>
      <c r="D140">
        <v>2025</v>
      </c>
      <c r="E140">
        <v>4</v>
      </c>
      <c r="F140">
        <v>2</v>
      </c>
      <c r="G140" t="s">
        <v>1208</v>
      </c>
      <c r="H140" t="s">
        <v>125</v>
      </c>
      <c r="I140" t="s">
        <v>125</v>
      </c>
      <c r="J140" t="s">
        <v>6</v>
      </c>
      <c r="L140">
        <v>522611</v>
      </c>
      <c r="M140" s="99" t="s">
        <v>180</v>
      </c>
      <c r="N140">
        <v>3</v>
      </c>
      <c r="O140">
        <v>14</v>
      </c>
      <c r="P140">
        <v>5.1172000000000004</v>
      </c>
      <c r="Q140" t="s">
        <v>352</v>
      </c>
      <c r="R140">
        <v>1</v>
      </c>
      <c r="S140">
        <v>5.1227999999999998</v>
      </c>
      <c r="T140">
        <v>3.4500000000000003E-2</v>
      </c>
      <c r="U140">
        <v>-0.16231884057969226</v>
      </c>
      <c r="V140">
        <v>5.0192999999999994</v>
      </c>
      <c r="W140">
        <v>5.0537999999999998</v>
      </c>
      <c r="X140">
        <v>5.0882999999999994</v>
      </c>
      <c r="Y140">
        <v>5.1573000000000002</v>
      </c>
      <c r="Z140">
        <v>5.1917999999999997</v>
      </c>
      <c r="AA140">
        <v>5.2263000000000002</v>
      </c>
      <c r="AD140">
        <v>4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 t="s">
        <v>462</v>
      </c>
      <c r="AL140" t="s">
        <v>6</v>
      </c>
      <c r="AM140" t="s">
        <v>1145</v>
      </c>
      <c r="AN140" t="s">
        <v>1146</v>
      </c>
      <c r="AO140" s="100">
        <v>46262.040405092594</v>
      </c>
      <c r="AP140" t="s">
        <v>1147</v>
      </c>
      <c r="AQ140" t="s">
        <v>1487</v>
      </c>
      <c r="AR140" t="s">
        <v>1210</v>
      </c>
      <c r="AS140" t="s">
        <v>1150</v>
      </c>
      <c r="AT140" t="s">
        <v>1361</v>
      </c>
      <c r="AU140">
        <v>25</v>
      </c>
      <c r="AV140">
        <v>5.1196200000000003</v>
      </c>
      <c r="AW140">
        <v>3.4443298816073623E-2</v>
      </c>
      <c r="AX140">
        <v>0.67277061219531176</v>
      </c>
      <c r="AY140">
        <v>1.5336201252767589</v>
      </c>
      <c r="AZ140">
        <v>2.6436916353990232</v>
      </c>
      <c r="BA140">
        <v>3.6660041773751368</v>
      </c>
      <c r="BB140" s="97" t="s">
        <v>161</v>
      </c>
      <c r="BD140" s="98"/>
      <c r="BE140" s="98"/>
      <c r="BF140" t="s">
        <v>1152</v>
      </c>
      <c r="BG140" t="s">
        <v>322</v>
      </c>
      <c r="BH140" t="s">
        <v>1153</v>
      </c>
      <c r="BI140">
        <v>1.5336201252767589</v>
      </c>
      <c r="BJ140" t="s">
        <v>1032</v>
      </c>
      <c r="BK140">
        <v>1.3563083646009768</v>
      </c>
      <c r="BL140">
        <v>33.907709115024417</v>
      </c>
      <c r="BM140" t="s">
        <v>1260</v>
      </c>
      <c r="BN140" t="s">
        <v>1154</v>
      </c>
      <c r="BO140">
        <v>2025</v>
      </c>
      <c r="BP140" t="s">
        <v>966</v>
      </c>
      <c r="BQ140">
        <v>61367.231512688079</v>
      </c>
      <c r="BR140">
        <v>93.863276848731189</v>
      </c>
      <c r="BS140" t="s">
        <v>992</v>
      </c>
      <c r="BT140">
        <v>6</v>
      </c>
      <c r="BU140">
        <v>1</v>
      </c>
      <c r="BV140" t="s">
        <v>993</v>
      </c>
      <c r="BW140" t="s">
        <v>943</v>
      </c>
      <c r="BX140" t="s">
        <v>1033</v>
      </c>
      <c r="BY140">
        <v>3.0433970746920931</v>
      </c>
      <c r="BZ140" t="s">
        <v>1155</v>
      </c>
      <c r="CA140" t="s">
        <v>1032</v>
      </c>
      <c r="CB140" t="b">
        <v>1</v>
      </c>
      <c r="CC140" t="b">
        <v>1</v>
      </c>
      <c r="CD140" t="b">
        <v>1</v>
      </c>
      <c r="CE140" t="b">
        <v>1</v>
      </c>
      <c r="CF140" t="b">
        <v>1</v>
      </c>
    </row>
    <row r="141" spans="1:84" x14ac:dyDescent="0.3">
      <c r="A141" t="s">
        <v>1488</v>
      </c>
      <c r="B141" t="s">
        <v>1212</v>
      </c>
      <c r="C141" s="98">
        <v>45761</v>
      </c>
      <c r="D141">
        <v>2025</v>
      </c>
      <c r="E141">
        <v>4</v>
      </c>
      <c r="F141">
        <v>2</v>
      </c>
      <c r="G141" t="s">
        <v>1208</v>
      </c>
      <c r="H141" t="s">
        <v>125</v>
      </c>
      <c r="I141" t="s">
        <v>125</v>
      </c>
      <c r="J141" t="s">
        <v>6</v>
      </c>
      <c r="L141">
        <v>522611</v>
      </c>
      <c r="M141" s="99" t="s">
        <v>180</v>
      </c>
      <c r="N141">
        <v>3</v>
      </c>
      <c r="O141">
        <v>15</v>
      </c>
      <c r="P141">
        <v>5.0891000000000002</v>
      </c>
      <c r="Q141" t="s">
        <v>352</v>
      </c>
      <c r="R141">
        <v>1</v>
      </c>
      <c r="S141">
        <v>5.1227999999999998</v>
      </c>
      <c r="T141">
        <v>3.4500000000000003E-2</v>
      </c>
      <c r="U141">
        <v>-0.97681159420288743</v>
      </c>
      <c r="V141">
        <v>5.0192999999999994</v>
      </c>
      <c r="W141">
        <v>5.0537999999999998</v>
      </c>
      <c r="X141">
        <v>5.0882999999999994</v>
      </c>
      <c r="Y141">
        <v>5.1573000000000002</v>
      </c>
      <c r="Z141">
        <v>5.1917999999999997</v>
      </c>
      <c r="AA141">
        <v>5.2263000000000002</v>
      </c>
      <c r="AD141">
        <v>4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 t="s">
        <v>462</v>
      </c>
      <c r="AL141" t="s">
        <v>6</v>
      </c>
      <c r="AM141" t="s">
        <v>1145</v>
      </c>
      <c r="AN141" t="s">
        <v>1146</v>
      </c>
      <c r="AO141" s="100">
        <v>46262.040405092594</v>
      </c>
      <c r="AP141" t="s">
        <v>1147</v>
      </c>
      <c r="AQ141" t="s">
        <v>1489</v>
      </c>
      <c r="AR141" t="s">
        <v>1215</v>
      </c>
      <c r="AS141" t="s">
        <v>1150</v>
      </c>
      <c r="AT141" t="s">
        <v>1361</v>
      </c>
      <c r="AU141">
        <v>25</v>
      </c>
      <c r="AV141">
        <v>5.1196200000000003</v>
      </c>
      <c r="AW141">
        <v>3.4443298816073623E-2</v>
      </c>
      <c r="AX141">
        <v>0.67277061219531176</v>
      </c>
      <c r="AY141">
        <v>1.5336201252767589</v>
      </c>
      <c r="AZ141">
        <v>2.6436916353990232</v>
      </c>
      <c r="BA141">
        <v>3.6660041773751368</v>
      </c>
      <c r="BB141" s="97" t="s">
        <v>161</v>
      </c>
      <c r="BD141" s="98"/>
      <c r="BE141" s="98"/>
      <c r="BF141" t="s">
        <v>1152</v>
      </c>
      <c r="BG141" t="s">
        <v>322</v>
      </c>
      <c r="BH141" t="s">
        <v>1153</v>
      </c>
      <c r="BI141">
        <v>1.5336201252767589</v>
      </c>
      <c r="BJ141" t="s">
        <v>1032</v>
      </c>
      <c r="BK141">
        <v>1.3563083646009768</v>
      </c>
      <c r="BL141">
        <v>33.907709115024417</v>
      </c>
      <c r="BM141" t="s">
        <v>1260</v>
      </c>
      <c r="BN141" t="s">
        <v>1154</v>
      </c>
      <c r="BO141">
        <v>2025</v>
      </c>
      <c r="BP141" t="s">
        <v>966</v>
      </c>
      <c r="BQ141">
        <v>61367.231512688079</v>
      </c>
      <c r="BR141">
        <v>93.863276848731189</v>
      </c>
      <c r="BS141" t="s">
        <v>992</v>
      </c>
      <c r="BT141">
        <v>6</v>
      </c>
      <c r="BU141">
        <v>1</v>
      </c>
      <c r="BV141" t="s">
        <v>993</v>
      </c>
      <c r="BW141" t="s">
        <v>943</v>
      </c>
      <c r="BX141" t="s">
        <v>1033</v>
      </c>
      <c r="BY141">
        <v>3.0433970746920931</v>
      </c>
      <c r="BZ141" t="s">
        <v>1155</v>
      </c>
      <c r="CA141" t="s">
        <v>1032</v>
      </c>
      <c r="CB141" t="b">
        <v>1</v>
      </c>
      <c r="CC141" t="b">
        <v>1</v>
      </c>
      <c r="CD141" t="b">
        <v>1</v>
      </c>
      <c r="CE141" t="b">
        <v>1</v>
      </c>
      <c r="CF141" t="b">
        <v>1</v>
      </c>
    </row>
    <row r="142" spans="1:84" x14ac:dyDescent="0.3">
      <c r="A142" t="s">
        <v>1490</v>
      </c>
      <c r="B142" t="s">
        <v>1217</v>
      </c>
      <c r="C142" s="98">
        <v>45768</v>
      </c>
      <c r="D142">
        <v>2025</v>
      </c>
      <c r="E142">
        <v>4</v>
      </c>
      <c r="F142">
        <v>2</v>
      </c>
      <c r="G142" t="s">
        <v>1208</v>
      </c>
      <c r="H142" t="s">
        <v>125</v>
      </c>
      <c r="I142" t="s">
        <v>125</v>
      </c>
      <c r="J142" t="s">
        <v>6</v>
      </c>
      <c r="L142">
        <v>522611</v>
      </c>
      <c r="M142" s="99" t="s">
        <v>180</v>
      </c>
      <c r="N142">
        <v>3</v>
      </c>
      <c r="O142">
        <v>16</v>
      </c>
      <c r="P142">
        <v>5.1607000000000003</v>
      </c>
      <c r="Q142" t="s">
        <v>352</v>
      </c>
      <c r="R142">
        <v>1</v>
      </c>
      <c r="S142">
        <v>5.1227999999999998</v>
      </c>
      <c r="T142">
        <v>3.4500000000000003E-2</v>
      </c>
      <c r="U142">
        <v>1.0985507246376953</v>
      </c>
      <c r="V142">
        <v>5.0192999999999994</v>
      </c>
      <c r="W142">
        <v>5.0537999999999998</v>
      </c>
      <c r="X142">
        <v>5.0882999999999994</v>
      </c>
      <c r="Y142">
        <v>5.1573000000000002</v>
      </c>
      <c r="Z142">
        <v>5.1917999999999997</v>
      </c>
      <c r="AA142">
        <v>5.2263000000000002</v>
      </c>
      <c r="AD142">
        <v>4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 t="s">
        <v>462</v>
      </c>
      <c r="AL142" t="s">
        <v>6</v>
      </c>
      <c r="AM142" t="s">
        <v>1145</v>
      </c>
      <c r="AN142" t="s">
        <v>1146</v>
      </c>
      <c r="AO142" s="100">
        <v>46262.040405092594</v>
      </c>
      <c r="AP142" t="s">
        <v>1147</v>
      </c>
      <c r="AQ142" t="s">
        <v>1491</v>
      </c>
      <c r="AR142" t="s">
        <v>1219</v>
      </c>
      <c r="AS142" t="s">
        <v>1150</v>
      </c>
      <c r="AT142" t="s">
        <v>1361</v>
      </c>
      <c r="AU142">
        <v>25</v>
      </c>
      <c r="AV142">
        <v>5.1196200000000003</v>
      </c>
      <c r="AW142">
        <v>3.4443298816073623E-2</v>
      </c>
      <c r="AX142">
        <v>0.67277061219531176</v>
      </c>
      <c r="AY142">
        <v>1.5336201252767589</v>
      </c>
      <c r="AZ142">
        <v>2.6436916353990232</v>
      </c>
      <c r="BA142">
        <v>3.6660041773751368</v>
      </c>
      <c r="BB142" s="97" t="s">
        <v>161</v>
      </c>
      <c r="BD142" s="98"/>
      <c r="BE142" s="98"/>
      <c r="BF142" t="s">
        <v>1152</v>
      </c>
      <c r="BG142" t="s">
        <v>322</v>
      </c>
      <c r="BH142" t="s">
        <v>1153</v>
      </c>
      <c r="BI142">
        <v>1.5336201252767589</v>
      </c>
      <c r="BJ142" t="s">
        <v>1032</v>
      </c>
      <c r="BK142">
        <v>1.3563083646009768</v>
      </c>
      <c r="BL142">
        <v>33.907709115024417</v>
      </c>
      <c r="BM142" t="s">
        <v>1260</v>
      </c>
      <c r="BN142" t="s">
        <v>1154</v>
      </c>
      <c r="BO142">
        <v>2025</v>
      </c>
      <c r="BP142" t="s">
        <v>966</v>
      </c>
      <c r="BQ142">
        <v>61367.231512688079</v>
      </c>
      <c r="BR142">
        <v>93.863276848731189</v>
      </c>
      <c r="BS142" t="s">
        <v>992</v>
      </c>
      <c r="BT142">
        <v>6</v>
      </c>
      <c r="BU142">
        <v>1</v>
      </c>
      <c r="BV142" t="s">
        <v>993</v>
      </c>
      <c r="BW142" t="s">
        <v>943</v>
      </c>
      <c r="BX142" t="s">
        <v>1033</v>
      </c>
      <c r="BY142">
        <v>3.0433970746920931</v>
      </c>
      <c r="BZ142" t="s">
        <v>1155</v>
      </c>
      <c r="CA142" t="s">
        <v>1032</v>
      </c>
      <c r="CB142" t="b">
        <v>1</v>
      </c>
      <c r="CC142" t="b">
        <v>1</v>
      </c>
      <c r="CD142" t="b">
        <v>1</v>
      </c>
      <c r="CE142" t="b">
        <v>1</v>
      </c>
      <c r="CF142" t="b">
        <v>1</v>
      </c>
    </row>
    <row r="143" spans="1:84" x14ac:dyDescent="0.3">
      <c r="A143" t="s">
        <v>1492</v>
      </c>
      <c r="B143" t="s">
        <v>1221</v>
      </c>
      <c r="C143" s="98">
        <v>45775</v>
      </c>
      <c r="D143">
        <v>2025</v>
      </c>
      <c r="E143">
        <v>4</v>
      </c>
      <c r="F143">
        <v>2</v>
      </c>
      <c r="G143" t="s">
        <v>1208</v>
      </c>
      <c r="H143" t="s">
        <v>125</v>
      </c>
      <c r="I143" t="s">
        <v>125</v>
      </c>
      <c r="J143" t="s">
        <v>6</v>
      </c>
      <c r="L143">
        <v>522611</v>
      </c>
      <c r="M143" s="99" t="s">
        <v>180</v>
      </c>
      <c r="N143">
        <v>3</v>
      </c>
      <c r="O143">
        <v>17</v>
      </c>
      <c r="P143">
        <v>5.1040000000000001</v>
      </c>
      <c r="Q143" t="s">
        <v>352</v>
      </c>
      <c r="R143">
        <v>1</v>
      </c>
      <c r="S143">
        <v>5.1227999999999998</v>
      </c>
      <c r="T143">
        <v>3.4500000000000003E-2</v>
      </c>
      <c r="U143">
        <v>-0.54492753623187551</v>
      </c>
      <c r="V143">
        <v>5.0192999999999994</v>
      </c>
      <c r="W143">
        <v>5.0537999999999998</v>
      </c>
      <c r="X143">
        <v>5.0882999999999994</v>
      </c>
      <c r="Y143">
        <v>5.1573000000000002</v>
      </c>
      <c r="Z143">
        <v>5.1917999999999997</v>
      </c>
      <c r="AA143">
        <v>5.2263000000000002</v>
      </c>
      <c r="AD143">
        <v>4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 t="s">
        <v>462</v>
      </c>
      <c r="AL143" t="s">
        <v>6</v>
      </c>
      <c r="AM143" t="s">
        <v>1145</v>
      </c>
      <c r="AN143" t="s">
        <v>1146</v>
      </c>
      <c r="AO143" s="100">
        <v>46262.040405092594</v>
      </c>
      <c r="AP143" t="s">
        <v>1147</v>
      </c>
      <c r="AQ143" t="s">
        <v>1493</v>
      </c>
      <c r="AR143" t="s">
        <v>1223</v>
      </c>
      <c r="AS143" t="s">
        <v>1150</v>
      </c>
      <c r="AT143" t="s">
        <v>1361</v>
      </c>
      <c r="AU143">
        <v>25</v>
      </c>
      <c r="AV143">
        <v>5.1196200000000003</v>
      </c>
      <c r="AW143">
        <v>3.4443298816073623E-2</v>
      </c>
      <c r="AX143">
        <v>0.67277061219531176</v>
      </c>
      <c r="AY143">
        <v>1.5336201252767589</v>
      </c>
      <c r="AZ143">
        <v>2.6436916353990232</v>
      </c>
      <c r="BA143">
        <v>3.6660041773751368</v>
      </c>
      <c r="BB143" s="97" t="s">
        <v>161</v>
      </c>
      <c r="BD143" s="98"/>
      <c r="BE143" s="98"/>
      <c r="BF143" t="s">
        <v>1152</v>
      </c>
      <c r="BG143" t="s">
        <v>322</v>
      </c>
      <c r="BH143" t="s">
        <v>1153</v>
      </c>
      <c r="BI143">
        <v>1.5336201252767589</v>
      </c>
      <c r="BJ143" t="s">
        <v>1032</v>
      </c>
      <c r="BK143">
        <v>1.3563083646009768</v>
      </c>
      <c r="BL143">
        <v>33.907709115024417</v>
      </c>
      <c r="BM143" t="s">
        <v>1260</v>
      </c>
      <c r="BN143" t="s">
        <v>1154</v>
      </c>
      <c r="BO143">
        <v>2025</v>
      </c>
      <c r="BP143" t="s">
        <v>966</v>
      </c>
      <c r="BQ143">
        <v>61367.231512688079</v>
      </c>
      <c r="BR143">
        <v>93.863276848731189</v>
      </c>
      <c r="BS143" t="s">
        <v>992</v>
      </c>
      <c r="BT143">
        <v>6</v>
      </c>
      <c r="BU143">
        <v>1</v>
      </c>
      <c r="BV143" t="s">
        <v>993</v>
      </c>
      <c r="BW143" t="s">
        <v>943</v>
      </c>
      <c r="BX143" t="s">
        <v>1033</v>
      </c>
      <c r="BY143">
        <v>3.0433970746920931</v>
      </c>
      <c r="BZ143" t="s">
        <v>1155</v>
      </c>
      <c r="CA143" t="s">
        <v>1032</v>
      </c>
      <c r="CB143" t="b">
        <v>1</v>
      </c>
      <c r="CC143" t="b">
        <v>1</v>
      </c>
      <c r="CD143" t="b">
        <v>1</v>
      </c>
      <c r="CE143" t="b">
        <v>1</v>
      </c>
      <c r="CF143" t="b">
        <v>1</v>
      </c>
    </row>
    <row r="144" spans="1:84" x14ac:dyDescent="0.3">
      <c r="A144" t="s">
        <v>1494</v>
      </c>
      <c r="B144" t="s">
        <v>1225</v>
      </c>
      <c r="C144" s="98">
        <v>45782</v>
      </c>
      <c r="D144">
        <v>2025</v>
      </c>
      <c r="E144">
        <v>5</v>
      </c>
      <c r="F144">
        <v>2</v>
      </c>
      <c r="G144" t="s">
        <v>1226</v>
      </c>
      <c r="H144" t="s">
        <v>125</v>
      </c>
      <c r="I144" t="s">
        <v>125</v>
      </c>
      <c r="J144" t="s">
        <v>6</v>
      </c>
      <c r="L144">
        <v>522611</v>
      </c>
      <c r="M144" s="99" t="s">
        <v>180</v>
      </c>
      <c r="N144">
        <v>3</v>
      </c>
      <c r="O144">
        <v>18</v>
      </c>
      <c r="P144">
        <v>5.1210000000000004</v>
      </c>
      <c r="Q144" t="s">
        <v>352</v>
      </c>
      <c r="R144">
        <v>1</v>
      </c>
      <c r="S144">
        <v>5.1227999999999998</v>
      </c>
      <c r="T144">
        <v>3.4500000000000003E-2</v>
      </c>
      <c r="U144">
        <v>-5.2173913043459641E-2</v>
      </c>
      <c r="V144">
        <v>5.0192999999999994</v>
      </c>
      <c r="W144">
        <v>5.0537999999999998</v>
      </c>
      <c r="X144">
        <v>5.0882999999999994</v>
      </c>
      <c r="Y144">
        <v>5.1573000000000002</v>
      </c>
      <c r="Z144">
        <v>5.1917999999999997</v>
      </c>
      <c r="AA144">
        <v>5.2263000000000002</v>
      </c>
      <c r="AD144">
        <v>4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 t="s">
        <v>462</v>
      </c>
      <c r="AL144" t="s">
        <v>6</v>
      </c>
      <c r="AM144" t="s">
        <v>1145</v>
      </c>
      <c r="AN144" t="s">
        <v>1146</v>
      </c>
      <c r="AO144" s="100">
        <v>46262.040405092594</v>
      </c>
      <c r="AP144" t="s">
        <v>1147</v>
      </c>
      <c r="AQ144" t="s">
        <v>1495</v>
      </c>
      <c r="AR144" t="s">
        <v>1228</v>
      </c>
      <c r="AS144" t="s">
        <v>1150</v>
      </c>
      <c r="AT144" t="s">
        <v>1361</v>
      </c>
      <c r="AU144">
        <v>25</v>
      </c>
      <c r="AV144">
        <v>5.1196200000000003</v>
      </c>
      <c r="AW144">
        <v>3.4443298816073623E-2</v>
      </c>
      <c r="AX144">
        <v>0.67277061219531176</v>
      </c>
      <c r="AY144">
        <v>1.5336201252767589</v>
      </c>
      <c r="AZ144">
        <v>2.6436916353990232</v>
      </c>
      <c r="BA144">
        <v>3.6660041773751368</v>
      </c>
      <c r="BB144" s="97" t="s">
        <v>161</v>
      </c>
      <c r="BD144" s="98"/>
      <c r="BE144" s="98"/>
      <c r="BF144" t="s">
        <v>1152</v>
      </c>
      <c r="BG144" t="s">
        <v>322</v>
      </c>
      <c r="BH144" t="s">
        <v>1153</v>
      </c>
      <c r="BI144">
        <v>1.5336201252767589</v>
      </c>
      <c r="BJ144" t="s">
        <v>1032</v>
      </c>
      <c r="BK144">
        <v>1.3563083646009768</v>
      </c>
      <c r="BL144">
        <v>33.907709115024417</v>
      </c>
      <c r="BM144" t="s">
        <v>1260</v>
      </c>
      <c r="BN144" t="s">
        <v>1154</v>
      </c>
      <c r="BO144">
        <v>2025</v>
      </c>
      <c r="BP144" t="s">
        <v>966</v>
      </c>
      <c r="BQ144">
        <v>61367.231512688079</v>
      </c>
      <c r="BR144">
        <v>93.863276848731189</v>
      </c>
      <c r="BS144" t="s">
        <v>992</v>
      </c>
      <c r="BT144">
        <v>6</v>
      </c>
      <c r="BU144">
        <v>1</v>
      </c>
      <c r="BV144" t="s">
        <v>993</v>
      </c>
      <c r="BW144" t="s">
        <v>943</v>
      </c>
      <c r="BX144" t="s">
        <v>1033</v>
      </c>
      <c r="BY144">
        <v>3.0433970746920931</v>
      </c>
      <c r="BZ144" t="s">
        <v>1155</v>
      </c>
      <c r="CA144" t="s">
        <v>1032</v>
      </c>
      <c r="CB144" t="b">
        <v>1</v>
      </c>
      <c r="CC144" t="b">
        <v>1</v>
      </c>
      <c r="CD144" t="b">
        <v>1</v>
      </c>
      <c r="CE144" t="b">
        <v>1</v>
      </c>
      <c r="CF144" t="b">
        <v>1</v>
      </c>
    </row>
    <row r="145" spans="1:84" x14ac:dyDescent="0.3">
      <c r="A145" t="s">
        <v>1496</v>
      </c>
      <c r="B145" t="s">
        <v>1230</v>
      </c>
      <c r="C145" s="98">
        <v>45789</v>
      </c>
      <c r="D145">
        <v>2025</v>
      </c>
      <c r="E145">
        <v>5</v>
      </c>
      <c r="F145">
        <v>2</v>
      </c>
      <c r="G145" t="s">
        <v>1226</v>
      </c>
      <c r="H145" t="s">
        <v>125</v>
      </c>
      <c r="I145" t="s">
        <v>125</v>
      </c>
      <c r="J145" t="s">
        <v>6</v>
      </c>
      <c r="L145">
        <v>522611</v>
      </c>
      <c r="M145" s="99" t="s">
        <v>180</v>
      </c>
      <c r="N145">
        <v>3</v>
      </c>
      <c r="O145">
        <v>19</v>
      </c>
      <c r="P145">
        <v>5.0953999999999997</v>
      </c>
      <c r="Q145" t="s">
        <v>352</v>
      </c>
      <c r="R145">
        <v>1</v>
      </c>
      <c r="S145">
        <v>5.1227999999999998</v>
      </c>
      <c r="T145">
        <v>3.4500000000000003E-2</v>
      </c>
      <c r="U145">
        <v>-0.79420289855072723</v>
      </c>
      <c r="V145">
        <v>5.0192999999999994</v>
      </c>
      <c r="W145">
        <v>5.0537999999999998</v>
      </c>
      <c r="X145">
        <v>5.0882999999999994</v>
      </c>
      <c r="Y145">
        <v>5.1573000000000002</v>
      </c>
      <c r="Z145">
        <v>5.1917999999999997</v>
      </c>
      <c r="AA145">
        <v>5.2263000000000002</v>
      </c>
      <c r="AD145">
        <v>4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 t="s">
        <v>462</v>
      </c>
      <c r="AL145" t="s">
        <v>6</v>
      </c>
      <c r="AM145" t="s">
        <v>1145</v>
      </c>
      <c r="AN145" t="s">
        <v>1146</v>
      </c>
      <c r="AO145" s="100">
        <v>46262.040405092594</v>
      </c>
      <c r="AP145" t="s">
        <v>1147</v>
      </c>
      <c r="AQ145" t="s">
        <v>1497</v>
      </c>
      <c r="AR145" t="s">
        <v>1232</v>
      </c>
      <c r="AS145" t="s">
        <v>1150</v>
      </c>
      <c r="AT145" t="s">
        <v>1361</v>
      </c>
      <c r="AU145">
        <v>25</v>
      </c>
      <c r="AV145">
        <v>5.1196200000000003</v>
      </c>
      <c r="AW145">
        <v>3.4443298816073623E-2</v>
      </c>
      <c r="AX145">
        <v>0.67277061219531176</v>
      </c>
      <c r="AY145">
        <v>1.5336201252767589</v>
      </c>
      <c r="AZ145">
        <v>2.6436916353990232</v>
      </c>
      <c r="BA145">
        <v>3.6660041773751368</v>
      </c>
      <c r="BB145" s="97" t="s">
        <v>161</v>
      </c>
      <c r="BD145" s="98"/>
      <c r="BE145" s="98"/>
      <c r="BF145" t="s">
        <v>1152</v>
      </c>
      <c r="BG145" t="s">
        <v>322</v>
      </c>
      <c r="BH145" t="s">
        <v>1153</v>
      </c>
      <c r="BI145">
        <v>1.5336201252767589</v>
      </c>
      <c r="BJ145" t="s">
        <v>1032</v>
      </c>
      <c r="BK145">
        <v>1.3563083646009768</v>
      </c>
      <c r="BL145">
        <v>33.907709115024417</v>
      </c>
      <c r="BM145" t="s">
        <v>1260</v>
      </c>
      <c r="BN145" t="s">
        <v>1154</v>
      </c>
      <c r="BO145">
        <v>2025</v>
      </c>
      <c r="BP145" t="s">
        <v>966</v>
      </c>
      <c r="BQ145">
        <v>61367.231512688079</v>
      </c>
      <c r="BR145">
        <v>93.863276848731189</v>
      </c>
      <c r="BS145" t="s">
        <v>992</v>
      </c>
      <c r="BT145">
        <v>6</v>
      </c>
      <c r="BU145">
        <v>1</v>
      </c>
      <c r="BV145" t="s">
        <v>993</v>
      </c>
      <c r="BW145" t="s">
        <v>943</v>
      </c>
      <c r="BX145" t="s">
        <v>1033</v>
      </c>
      <c r="BY145">
        <v>3.0433970746920931</v>
      </c>
      <c r="BZ145" t="s">
        <v>1155</v>
      </c>
      <c r="CA145" t="s">
        <v>1032</v>
      </c>
      <c r="CB145" t="b">
        <v>1</v>
      </c>
      <c r="CC145" t="b">
        <v>1</v>
      </c>
      <c r="CD145" t="b">
        <v>1</v>
      </c>
      <c r="CE145" t="b">
        <v>1</v>
      </c>
      <c r="CF145" t="b">
        <v>1</v>
      </c>
    </row>
    <row r="146" spans="1:84" x14ac:dyDescent="0.3">
      <c r="A146" t="s">
        <v>1498</v>
      </c>
      <c r="B146" t="s">
        <v>1234</v>
      </c>
      <c r="C146" s="98">
        <v>45796</v>
      </c>
      <c r="D146">
        <v>2025</v>
      </c>
      <c r="E146">
        <v>5</v>
      </c>
      <c r="F146">
        <v>2</v>
      </c>
      <c r="G146" t="s">
        <v>1226</v>
      </c>
      <c r="H146" t="s">
        <v>125</v>
      </c>
      <c r="I146" t="s">
        <v>125</v>
      </c>
      <c r="J146" t="s">
        <v>6</v>
      </c>
      <c r="L146">
        <v>522611</v>
      </c>
      <c r="M146" s="99" t="s">
        <v>180</v>
      </c>
      <c r="N146">
        <v>3</v>
      </c>
      <c r="O146">
        <v>20</v>
      </c>
      <c r="P146">
        <v>5.1010999999999997</v>
      </c>
      <c r="Q146" t="s">
        <v>352</v>
      </c>
      <c r="R146">
        <v>1</v>
      </c>
      <c r="S146">
        <v>5.1227999999999998</v>
      </c>
      <c r="T146">
        <v>3.4500000000000003E-2</v>
      </c>
      <c r="U146">
        <v>-0.62898550724637825</v>
      </c>
      <c r="V146">
        <v>5.0192999999999994</v>
      </c>
      <c r="W146">
        <v>5.0537999999999998</v>
      </c>
      <c r="X146">
        <v>5.0882999999999994</v>
      </c>
      <c r="Y146">
        <v>5.1573000000000002</v>
      </c>
      <c r="Z146">
        <v>5.1917999999999997</v>
      </c>
      <c r="AA146">
        <v>5.2263000000000002</v>
      </c>
      <c r="AD146">
        <v>4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 t="s">
        <v>462</v>
      </c>
      <c r="AL146" t="s">
        <v>6</v>
      </c>
      <c r="AM146" t="s">
        <v>1145</v>
      </c>
      <c r="AN146" t="s">
        <v>1146</v>
      </c>
      <c r="AO146" s="100">
        <v>46262.040405092594</v>
      </c>
      <c r="AP146" t="s">
        <v>1147</v>
      </c>
      <c r="AQ146" t="s">
        <v>1499</v>
      </c>
      <c r="AR146" t="s">
        <v>1236</v>
      </c>
      <c r="AS146" t="s">
        <v>1150</v>
      </c>
      <c r="AT146" t="s">
        <v>1361</v>
      </c>
      <c r="AU146">
        <v>25</v>
      </c>
      <c r="AV146">
        <v>5.1196200000000003</v>
      </c>
      <c r="AW146">
        <v>3.4443298816073623E-2</v>
      </c>
      <c r="AX146">
        <v>0.67277061219531176</v>
      </c>
      <c r="AY146">
        <v>1.5336201252767589</v>
      </c>
      <c r="AZ146">
        <v>2.6436916353990232</v>
      </c>
      <c r="BA146">
        <v>3.6660041773751368</v>
      </c>
      <c r="BB146" s="97" t="s">
        <v>161</v>
      </c>
      <c r="BD146" s="98"/>
      <c r="BE146" s="98"/>
      <c r="BF146" t="s">
        <v>1152</v>
      </c>
      <c r="BG146" t="s">
        <v>322</v>
      </c>
      <c r="BH146" t="s">
        <v>1153</v>
      </c>
      <c r="BI146">
        <v>1.5336201252767589</v>
      </c>
      <c r="BJ146" t="s">
        <v>1032</v>
      </c>
      <c r="BK146">
        <v>1.3563083646009768</v>
      </c>
      <c r="BL146">
        <v>33.907709115024417</v>
      </c>
      <c r="BM146" t="s">
        <v>1260</v>
      </c>
      <c r="BN146" t="s">
        <v>1154</v>
      </c>
      <c r="BO146">
        <v>2025</v>
      </c>
      <c r="BP146" t="s">
        <v>966</v>
      </c>
      <c r="BQ146">
        <v>61367.231512688079</v>
      </c>
      <c r="BR146">
        <v>93.863276848731189</v>
      </c>
      <c r="BS146" t="s">
        <v>992</v>
      </c>
      <c r="BT146">
        <v>6</v>
      </c>
      <c r="BU146">
        <v>1</v>
      </c>
      <c r="BV146" t="s">
        <v>993</v>
      </c>
      <c r="BW146" t="s">
        <v>943</v>
      </c>
      <c r="BX146" t="s">
        <v>1033</v>
      </c>
      <c r="BY146">
        <v>3.0433970746920931</v>
      </c>
      <c r="BZ146" t="s">
        <v>1155</v>
      </c>
      <c r="CA146" t="s">
        <v>1032</v>
      </c>
      <c r="CB146" t="b">
        <v>1</v>
      </c>
      <c r="CC146" t="b">
        <v>1</v>
      </c>
      <c r="CD146" t="b">
        <v>1</v>
      </c>
      <c r="CE146" t="b">
        <v>1</v>
      </c>
      <c r="CF146" t="b">
        <v>1</v>
      </c>
    </row>
    <row r="147" spans="1:84" x14ac:dyDescent="0.3">
      <c r="A147" t="s">
        <v>1500</v>
      </c>
      <c r="B147" t="s">
        <v>1238</v>
      </c>
      <c r="C147" s="98">
        <v>45803</v>
      </c>
      <c r="D147">
        <v>2025</v>
      </c>
      <c r="E147">
        <v>5</v>
      </c>
      <c r="F147">
        <v>2</v>
      </c>
      <c r="G147" t="s">
        <v>1226</v>
      </c>
      <c r="H147" t="s">
        <v>125</v>
      </c>
      <c r="I147" t="s">
        <v>125</v>
      </c>
      <c r="J147" t="s">
        <v>6</v>
      </c>
      <c r="L147">
        <v>522611</v>
      </c>
      <c r="M147" s="99" t="s">
        <v>180</v>
      </c>
      <c r="N147">
        <v>3</v>
      </c>
      <c r="O147">
        <v>21</v>
      </c>
      <c r="P147">
        <v>5.0785999999999998</v>
      </c>
      <c r="Q147" t="s">
        <v>352</v>
      </c>
      <c r="R147">
        <v>1</v>
      </c>
      <c r="S147">
        <v>5.1227999999999998</v>
      </c>
      <c r="T147">
        <v>3.4500000000000003E-2</v>
      </c>
      <c r="U147">
        <v>-1.2811594202898555</v>
      </c>
      <c r="V147">
        <v>5.0192999999999994</v>
      </c>
      <c r="W147">
        <v>5.0537999999999998</v>
      </c>
      <c r="X147">
        <v>5.0882999999999994</v>
      </c>
      <c r="Y147">
        <v>5.1573000000000002</v>
      </c>
      <c r="Z147">
        <v>5.1917999999999997</v>
      </c>
      <c r="AA147">
        <v>5.2263000000000002</v>
      </c>
      <c r="AD147">
        <v>4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 t="s">
        <v>462</v>
      </c>
      <c r="AL147" t="s">
        <v>6</v>
      </c>
      <c r="AM147" t="s">
        <v>1145</v>
      </c>
      <c r="AN147" t="s">
        <v>1146</v>
      </c>
      <c r="AO147" s="100">
        <v>46262.040405092594</v>
      </c>
      <c r="AP147" t="s">
        <v>1147</v>
      </c>
      <c r="AQ147" t="s">
        <v>1501</v>
      </c>
      <c r="AR147" t="s">
        <v>1240</v>
      </c>
      <c r="AS147" t="s">
        <v>1150</v>
      </c>
      <c r="AT147" t="s">
        <v>1361</v>
      </c>
      <c r="AU147">
        <v>25</v>
      </c>
      <c r="AV147">
        <v>5.1196200000000003</v>
      </c>
      <c r="AW147">
        <v>3.4443298816073623E-2</v>
      </c>
      <c r="AX147">
        <v>0.67277061219531176</v>
      </c>
      <c r="AY147">
        <v>1.5336201252767589</v>
      </c>
      <c r="AZ147">
        <v>2.6436916353990232</v>
      </c>
      <c r="BA147">
        <v>3.6660041773751368</v>
      </c>
      <c r="BB147" s="97" t="s">
        <v>161</v>
      </c>
      <c r="BD147" s="98"/>
      <c r="BE147" s="98"/>
      <c r="BF147" t="s">
        <v>1152</v>
      </c>
      <c r="BG147" t="s">
        <v>322</v>
      </c>
      <c r="BH147" t="s">
        <v>1153</v>
      </c>
      <c r="BI147">
        <v>1.5336201252767589</v>
      </c>
      <c r="BJ147" t="s">
        <v>1032</v>
      </c>
      <c r="BK147">
        <v>1.3563083646009768</v>
      </c>
      <c r="BL147">
        <v>33.907709115024417</v>
      </c>
      <c r="BM147" t="s">
        <v>1260</v>
      </c>
      <c r="BN147" t="s">
        <v>1154</v>
      </c>
      <c r="BO147">
        <v>2025</v>
      </c>
      <c r="BP147" t="s">
        <v>966</v>
      </c>
      <c r="BQ147">
        <v>61367.231512688079</v>
      </c>
      <c r="BR147">
        <v>93.863276848731189</v>
      </c>
      <c r="BS147" t="s">
        <v>992</v>
      </c>
      <c r="BT147">
        <v>6</v>
      </c>
      <c r="BU147">
        <v>1</v>
      </c>
      <c r="BV147" t="s">
        <v>993</v>
      </c>
      <c r="BW147" t="s">
        <v>943</v>
      </c>
      <c r="BX147" t="s">
        <v>1033</v>
      </c>
      <c r="BY147">
        <v>3.0433970746920931</v>
      </c>
      <c r="BZ147" t="s">
        <v>1155</v>
      </c>
      <c r="CA147" t="s">
        <v>1032</v>
      </c>
      <c r="CB147" t="b">
        <v>1</v>
      </c>
      <c r="CC147" t="b">
        <v>1</v>
      </c>
      <c r="CD147" t="b">
        <v>1</v>
      </c>
      <c r="CE147" t="b">
        <v>1</v>
      </c>
      <c r="CF147" t="b">
        <v>1</v>
      </c>
    </row>
    <row r="148" spans="1:84" x14ac:dyDescent="0.3">
      <c r="A148" t="s">
        <v>1502</v>
      </c>
      <c r="B148" t="s">
        <v>1242</v>
      </c>
      <c r="C148" s="98">
        <v>45810</v>
      </c>
      <c r="D148">
        <v>2025</v>
      </c>
      <c r="E148">
        <v>6</v>
      </c>
      <c r="F148">
        <v>2</v>
      </c>
      <c r="G148" t="s">
        <v>1243</v>
      </c>
      <c r="H148" t="s">
        <v>125</v>
      </c>
      <c r="I148" t="s">
        <v>125</v>
      </c>
      <c r="J148" t="s">
        <v>6</v>
      </c>
      <c r="L148">
        <v>522611</v>
      </c>
      <c r="M148" s="99" t="s">
        <v>180</v>
      </c>
      <c r="N148">
        <v>3</v>
      </c>
      <c r="O148">
        <v>22</v>
      </c>
      <c r="P148">
        <v>5.1661999999999999</v>
      </c>
      <c r="Q148" t="s">
        <v>352</v>
      </c>
      <c r="R148">
        <v>1</v>
      </c>
      <c r="S148">
        <v>5.1227999999999998</v>
      </c>
      <c r="T148">
        <v>3.4500000000000003E-2</v>
      </c>
      <c r="U148">
        <v>1.2579710144927565</v>
      </c>
      <c r="V148">
        <v>5.0192999999999994</v>
      </c>
      <c r="W148">
        <v>5.0537999999999998</v>
      </c>
      <c r="X148">
        <v>5.0882999999999994</v>
      </c>
      <c r="Y148">
        <v>5.1573000000000002</v>
      </c>
      <c r="Z148">
        <v>5.1917999999999997</v>
      </c>
      <c r="AA148">
        <v>5.2263000000000002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 t="s">
        <v>462</v>
      </c>
      <c r="AL148" t="s">
        <v>6</v>
      </c>
      <c r="AM148" t="s">
        <v>1145</v>
      </c>
      <c r="AN148" t="s">
        <v>1146</v>
      </c>
      <c r="AO148" s="100">
        <v>46262.040405092594</v>
      </c>
      <c r="AP148" t="s">
        <v>1147</v>
      </c>
      <c r="AQ148" t="s">
        <v>1503</v>
      </c>
      <c r="AR148" t="s">
        <v>1245</v>
      </c>
      <c r="AS148" t="s">
        <v>1150</v>
      </c>
      <c r="AT148" t="s">
        <v>1361</v>
      </c>
      <c r="AU148">
        <v>25</v>
      </c>
      <c r="AV148">
        <v>5.1196200000000003</v>
      </c>
      <c r="AW148">
        <v>3.4443298816073623E-2</v>
      </c>
      <c r="AX148">
        <v>0.67277061219531176</v>
      </c>
      <c r="AY148">
        <v>1.5336201252767589</v>
      </c>
      <c r="AZ148">
        <v>2.6436916353990232</v>
      </c>
      <c r="BA148">
        <v>3.6660041773751368</v>
      </c>
      <c r="BB148" s="97" t="s">
        <v>161</v>
      </c>
      <c r="BD148" s="98"/>
      <c r="BE148" s="98"/>
      <c r="BF148" t="s">
        <v>1152</v>
      </c>
      <c r="BG148" t="s">
        <v>322</v>
      </c>
      <c r="BH148" t="s">
        <v>1153</v>
      </c>
      <c r="BI148">
        <v>1.5336201252767589</v>
      </c>
      <c r="BJ148" t="s">
        <v>1032</v>
      </c>
      <c r="BK148">
        <v>1.3563083646009768</v>
      </c>
      <c r="BL148">
        <v>33.907709115024417</v>
      </c>
      <c r="BM148" t="s">
        <v>1260</v>
      </c>
      <c r="BN148" t="s">
        <v>1154</v>
      </c>
      <c r="BO148">
        <v>2025</v>
      </c>
      <c r="BP148" t="s">
        <v>966</v>
      </c>
      <c r="BQ148">
        <v>61367.231512688079</v>
      </c>
      <c r="BR148">
        <v>93.863276848731189</v>
      </c>
      <c r="BS148" t="s">
        <v>992</v>
      </c>
      <c r="BT148">
        <v>6</v>
      </c>
      <c r="BU148">
        <v>1</v>
      </c>
      <c r="BV148" t="s">
        <v>993</v>
      </c>
      <c r="BW148" t="s">
        <v>943</v>
      </c>
      <c r="BX148" t="s">
        <v>1033</v>
      </c>
      <c r="BY148">
        <v>3.0433970746920931</v>
      </c>
      <c r="BZ148" t="s">
        <v>1155</v>
      </c>
      <c r="CA148" t="s">
        <v>1032</v>
      </c>
      <c r="CB148" t="b">
        <v>1</v>
      </c>
      <c r="CC148" t="b">
        <v>1</v>
      </c>
      <c r="CD148" t="b">
        <v>1</v>
      </c>
      <c r="CE148" t="b">
        <v>1</v>
      </c>
      <c r="CF148" t="b">
        <v>1</v>
      </c>
    </row>
    <row r="149" spans="1:84" x14ac:dyDescent="0.3">
      <c r="A149" t="s">
        <v>1504</v>
      </c>
      <c r="B149" t="s">
        <v>1247</v>
      </c>
      <c r="C149" s="98">
        <v>45817</v>
      </c>
      <c r="D149">
        <v>2025</v>
      </c>
      <c r="E149">
        <v>6</v>
      </c>
      <c r="F149">
        <v>2</v>
      </c>
      <c r="G149" t="s">
        <v>1243</v>
      </c>
      <c r="H149" t="s">
        <v>125</v>
      </c>
      <c r="I149" t="s">
        <v>125</v>
      </c>
      <c r="J149" t="s">
        <v>6</v>
      </c>
      <c r="L149">
        <v>522611</v>
      </c>
      <c r="M149" s="99" t="s">
        <v>180</v>
      </c>
      <c r="N149">
        <v>3</v>
      </c>
      <c r="O149">
        <v>23</v>
      </c>
      <c r="P149">
        <v>5.1173999999999999</v>
      </c>
      <c r="Q149" t="s">
        <v>352</v>
      </c>
      <c r="R149">
        <v>1</v>
      </c>
      <c r="S149">
        <v>5.1227999999999998</v>
      </c>
      <c r="T149">
        <v>3.4500000000000003E-2</v>
      </c>
      <c r="U149">
        <v>-0.15652173913043041</v>
      </c>
      <c r="V149">
        <v>5.0192999999999994</v>
      </c>
      <c r="W149">
        <v>5.0537999999999998</v>
      </c>
      <c r="X149">
        <v>5.0882999999999994</v>
      </c>
      <c r="Y149">
        <v>5.1573000000000002</v>
      </c>
      <c r="Z149">
        <v>5.1917999999999997</v>
      </c>
      <c r="AA149">
        <v>5.2263000000000002</v>
      </c>
      <c r="AD149">
        <v>4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 t="s">
        <v>462</v>
      </c>
      <c r="AL149" t="s">
        <v>6</v>
      </c>
      <c r="AM149" t="s">
        <v>1145</v>
      </c>
      <c r="AN149" t="s">
        <v>1146</v>
      </c>
      <c r="AO149" s="100">
        <v>46262.040405092594</v>
      </c>
      <c r="AP149" t="s">
        <v>1147</v>
      </c>
      <c r="AQ149" t="s">
        <v>1505</v>
      </c>
      <c r="AR149" t="s">
        <v>1249</v>
      </c>
      <c r="AS149" t="s">
        <v>1150</v>
      </c>
      <c r="AT149" t="s">
        <v>1361</v>
      </c>
      <c r="AU149">
        <v>25</v>
      </c>
      <c r="AV149">
        <v>5.1196200000000003</v>
      </c>
      <c r="AW149">
        <v>3.4443298816073623E-2</v>
      </c>
      <c r="AX149">
        <v>0.67277061219531176</v>
      </c>
      <c r="AY149">
        <v>1.5336201252767589</v>
      </c>
      <c r="AZ149">
        <v>2.6436916353990232</v>
      </c>
      <c r="BA149">
        <v>3.6660041773751368</v>
      </c>
      <c r="BB149" s="97" t="s">
        <v>161</v>
      </c>
      <c r="BD149" s="98"/>
      <c r="BE149" s="98"/>
      <c r="BF149" t="s">
        <v>1152</v>
      </c>
      <c r="BG149" t="s">
        <v>322</v>
      </c>
      <c r="BH149" t="s">
        <v>1153</v>
      </c>
      <c r="BI149">
        <v>1.5336201252767589</v>
      </c>
      <c r="BJ149" t="s">
        <v>1032</v>
      </c>
      <c r="BK149">
        <v>1.3563083646009768</v>
      </c>
      <c r="BL149">
        <v>33.907709115024417</v>
      </c>
      <c r="BM149" t="s">
        <v>1260</v>
      </c>
      <c r="BN149" t="s">
        <v>1154</v>
      </c>
      <c r="BO149">
        <v>2025</v>
      </c>
      <c r="BP149" t="s">
        <v>966</v>
      </c>
      <c r="BQ149">
        <v>61367.231512688079</v>
      </c>
      <c r="BR149">
        <v>93.863276848731189</v>
      </c>
      <c r="BS149" t="s">
        <v>992</v>
      </c>
      <c r="BT149">
        <v>6</v>
      </c>
      <c r="BU149">
        <v>1</v>
      </c>
      <c r="BV149" t="s">
        <v>993</v>
      </c>
      <c r="BW149" t="s">
        <v>943</v>
      </c>
      <c r="BX149" t="s">
        <v>1033</v>
      </c>
      <c r="BY149">
        <v>3.0433970746920931</v>
      </c>
      <c r="BZ149" t="s">
        <v>1155</v>
      </c>
      <c r="CA149" t="s">
        <v>1032</v>
      </c>
      <c r="CB149" t="b">
        <v>1</v>
      </c>
      <c r="CC149" t="b">
        <v>1</v>
      </c>
      <c r="CD149" t="b">
        <v>1</v>
      </c>
      <c r="CE149" t="b">
        <v>1</v>
      </c>
      <c r="CF149" t="b">
        <v>1</v>
      </c>
    </row>
    <row r="150" spans="1:84" x14ac:dyDescent="0.3">
      <c r="A150" t="s">
        <v>1506</v>
      </c>
      <c r="B150" t="s">
        <v>1251</v>
      </c>
      <c r="C150" s="98">
        <v>45824</v>
      </c>
      <c r="D150">
        <v>2025</v>
      </c>
      <c r="E150">
        <v>6</v>
      </c>
      <c r="F150">
        <v>2</v>
      </c>
      <c r="G150" t="s">
        <v>1243</v>
      </c>
      <c r="H150" t="s">
        <v>125</v>
      </c>
      <c r="I150" t="s">
        <v>125</v>
      </c>
      <c r="J150" t="s">
        <v>6</v>
      </c>
      <c r="L150">
        <v>522611</v>
      </c>
      <c r="M150" s="99" t="s">
        <v>180</v>
      </c>
      <c r="N150">
        <v>3</v>
      </c>
      <c r="O150">
        <v>24</v>
      </c>
      <c r="P150">
        <v>5.1561000000000003</v>
      </c>
      <c r="Q150" t="s">
        <v>352</v>
      </c>
      <c r="R150">
        <v>1</v>
      </c>
      <c r="S150">
        <v>5.1227999999999998</v>
      </c>
      <c r="T150">
        <v>3.4500000000000003E-2</v>
      </c>
      <c r="U150">
        <v>0.96521739130436368</v>
      </c>
      <c r="V150">
        <v>5.0192999999999994</v>
      </c>
      <c r="W150">
        <v>5.0537999999999998</v>
      </c>
      <c r="X150">
        <v>5.0882999999999994</v>
      </c>
      <c r="Y150">
        <v>5.1573000000000002</v>
      </c>
      <c r="Z150">
        <v>5.1917999999999997</v>
      </c>
      <c r="AA150">
        <v>5.2263000000000002</v>
      </c>
      <c r="AD150">
        <v>4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 t="s">
        <v>462</v>
      </c>
      <c r="AL150" t="s">
        <v>6</v>
      </c>
      <c r="AM150" t="s">
        <v>1145</v>
      </c>
      <c r="AN150" t="s">
        <v>1146</v>
      </c>
      <c r="AO150" s="100">
        <v>46262.040405092594</v>
      </c>
      <c r="AP150" t="s">
        <v>1147</v>
      </c>
      <c r="AQ150" t="s">
        <v>1507</v>
      </c>
      <c r="AR150" t="s">
        <v>1253</v>
      </c>
      <c r="AS150" t="s">
        <v>1150</v>
      </c>
      <c r="AT150" t="s">
        <v>1361</v>
      </c>
      <c r="AU150">
        <v>25</v>
      </c>
      <c r="AV150">
        <v>5.1196200000000003</v>
      </c>
      <c r="AW150">
        <v>3.4443298816073623E-2</v>
      </c>
      <c r="AX150">
        <v>0.67277061219531176</v>
      </c>
      <c r="AY150">
        <v>1.5336201252767589</v>
      </c>
      <c r="AZ150">
        <v>2.6436916353990232</v>
      </c>
      <c r="BA150">
        <v>3.6660041773751368</v>
      </c>
      <c r="BB150" s="97" t="s">
        <v>161</v>
      </c>
      <c r="BD150" s="98"/>
      <c r="BE150" s="98"/>
      <c r="BF150" t="s">
        <v>1152</v>
      </c>
      <c r="BG150" t="s">
        <v>322</v>
      </c>
      <c r="BH150" t="s">
        <v>1153</v>
      </c>
      <c r="BI150">
        <v>1.5336201252767589</v>
      </c>
      <c r="BJ150" t="s">
        <v>1032</v>
      </c>
      <c r="BK150">
        <v>1.3563083646009768</v>
      </c>
      <c r="BL150">
        <v>33.907709115024417</v>
      </c>
      <c r="BM150" t="s">
        <v>1260</v>
      </c>
      <c r="BN150" t="s">
        <v>1154</v>
      </c>
      <c r="BO150">
        <v>2025</v>
      </c>
      <c r="BP150" t="s">
        <v>966</v>
      </c>
      <c r="BQ150">
        <v>61367.231512688079</v>
      </c>
      <c r="BR150">
        <v>93.863276848731189</v>
      </c>
      <c r="BS150" t="s">
        <v>992</v>
      </c>
      <c r="BT150">
        <v>6</v>
      </c>
      <c r="BU150">
        <v>1</v>
      </c>
      <c r="BV150" t="s">
        <v>993</v>
      </c>
      <c r="BW150" t="s">
        <v>943</v>
      </c>
      <c r="BX150" t="s">
        <v>1033</v>
      </c>
      <c r="BY150">
        <v>3.0433970746920931</v>
      </c>
      <c r="BZ150" t="s">
        <v>1155</v>
      </c>
      <c r="CA150" t="s">
        <v>1032</v>
      </c>
      <c r="CB150" t="b">
        <v>1</v>
      </c>
      <c r="CC150" t="b">
        <v>1</v>
      </c>
      <c r="CD150" t="b">
        <v>1</v>
      </c>
      <c r="CE150" t="b">
        <v>1</v>
      </c>
      <c r="CF150" t="b">
        <v>1</v>
      </c>
    </row>
    <row r="151" spans="1:84" x14ac:dyDescent="0.3">
      <c r="A151" t="s">
        <v>1508</v>
      </c>
      <c r="B151" t="s">
        <v>1255</v>
      </c>
      <c r="C151" s="98">
        <v>45831</v>
      </c>
      <c r="D151">
        <v>2025</v>
      </c>
      <c r="E151">
        <v>6</v>
      </c>
      <c r="F151">
        <v>2</v>
      </c>
      <c r="G151" t="s">
        <v>1243</v>
      </c>
      <c r="H151" t="s">
        <v>125</v>
      </c>
      <c r="I151" t="s">
        <v>125</v>
      </c>
      <c r="J151" t="s">
        <v>6</v>
      </c>
      <c r="L151">
        <v>522611</v>
      </c>
      <c r="M151" s="99" t="s">
        <v>180</v>
      </c>
      <c r="N151">
        <v>3</v>
      </c>
      <c r="O151">
        <v>25</v>
      </c>
      <c r="P151">
        <v>5.1231999999999998</v>
      </c>
      <c r="Q151" t="s">
        <v>352</v>
      </c>
      <c r="R151">
        <v>1</v>
      </c>
      <c r="S151">
        <v>5.1227999999999998</v>
      </c>
      <c r="T151">
        <v>3.4500000000000003E-2</v>
      </c>
      <c r="U151">
        <v>1.1594202898549446E-2</v>
      </c>
      <c r="V151">
        <v>5.0192999999999994</v>
      </c>
      <c r="W151">
        <v>5.0537999999999998</v>
      </c>
      <c r="X151">
        <v>5.0882999999999994</v>
      </c>
      <c r="Y151">
        <v>5.1573000000000002</v>
      </c>
      <c r="Z151">
        <v>5.1917999999999997</v>
      </c>
      <c r="AA151">
        <v>5.2263000000000002</v>
      </c>
      <c r="AD151">
        <v>4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 t="s">
        <v>462</v>
      </c>
      <c r="AL151" t="s">
        <v>6</v>
      </c>
      <c r="AM151" t="s">
        <v>1145</v>
      </c>
      <c r="AN151" t="s">
        <v>1146</v>
      </c>
      <c r="AO151" s="100">
        <v>46262.040405092594</v>
      </c>
      <c r="AP151" t="s">
        <v>1147</v>
      </c>
      <c r="AQ151" t="s">
        <v>1509</v>
      </c>
      <c r="AR151" t="s">
        <v>1257</v>
      </c>
      <c r="AS151" t="s">
        <v>1150</v>
      </c>
      <c r="AT151" t="s">
        <v>1361</v>
      </c>
      <c r="AU151">
        <v>25</v>
      </c>
      <c r="AV151">
        <v>5.1196200000000003</v>
      </c>
      <c r="AW151">
        <v>3.4443298816073623E-2</v>
      </c>
      <c r="AX151">
        <v>0.67277061219531176</v>
      </c>
      <c r="AY151">
        <v>1.5336201252767589</v>
      </c>
      <c r="AZ151">
        <v>2.6436916353990232</v>
      </c>
      <c r="BA151">
        <v>3.6660041773751368</v>
      </c>
      <c r="BB151" s="97" t="s">
        <v>161</v>
      </c>
      <c r="BD151" s="98"/>
      <c r="BE151" s="98"/>
      <c r="BF151" t="s">
        <v>1152</v>
      </c>
      <c r="BG151" t="s">
        <v>322</v>
      </c>
      <c r="BH151" t="s">
        <v>1153</v>
      </c>
      <c r="BI151">
        <v>1.5336201252767589</v>
      </c>
      <c r="BJ151" t="s">
        <v>1032</v>
      </c>
      <c r="BK151">
        <v>1.3563083646009768</v>
      </c>
      <c r="BL151">
        <v>33.907709115024417</v>
      </c>
      <c r="BM151" t="s">
        <v>1260</v>
      </c>
      <c r="BN151" t="s">
        <v>1154</v>
      </c>
      <c r="BO151">
        <v>2025</v>
      </c>
      <c r="BP151" t="s">
        <v>966</v>
      </c>
      <c r="BQ151">
        <v>61367.231512688079</v>
      </c>
      <c r="BR151">
        <v>93.863276848731189</v>
      </c>
      <c r="BS151" t="s">
        <v>992</v>
      </c>
      <c r="BT151">
        <v>6</v>
      </c>
      <c r="BU151">
        <v>1</v>
      </c>
      <c r="BV151" t="s">
        <v>993</v>
      </c>
      <c r="BW151" t="s">
        <v>943</v>
      </c>
      <c r="BX151" t="s">
        <v>1033</v>
      </c>
      <c r="BY151">
        <v>3.0433970746920931</v>
      </c>
      <c r="BZ151" t="s">
        <v>1155</v>
      </c>
      <c r="CA151" t="s">
        <v>1032</v>
      </c>
      <c r="CB151" t="b">
        <v>1</v>
      </c>
      <c r="CC151" t="b">
        <v>1</v>
      </c>
      <c r="CD151" t="b">
        <v>1</v>
      </c>
      <c r="CE151" t="b">
        <v>1</v>
      </c>
      <c r="CF151" t="b">
        <v>1</v>
      </c>
    </row>
    <row r="152" spans="1:84" x14ac:dyDescent="0.3">
      <c r="A152" t="s">
        <v>1510</v>
      </c>
      <c r="B152" t="s">
        <v>1143</v>
      </c>
      <c r="C152" s="98">
        <v>45663</v>
      </c>
      <c r="D152">
        <v>2025</v>
      </c>
      <c r="E152">
        <v>1</v>
      </c>
      <c r="F152">
        <v>1</v>
      </c>
      <c r="G152" t="s">
        <v>1144</v>
      </c>
      <c r="H152" t="s">
        <v>127</v>
      </c>
      <c r="I152" t="s">
        <v>127</v>
      </c>
      <c r="J152" t="s">
        <v>6</v>
      </c>
      <c r="L152">
        <v>522611</v>
      </c>
      <c r="M152" s="99" t="s">
        <v>178</v>
      </c>
      <c r="N152">
        <v>1</v>
      </c>
      <c r="O152">
        <v>1</v>
      </c>
      <c r="P152">
        <v>5.4584999999999999</v>
      </c>
      <c r="Q152" t="s">
        <v>352</v>
      </c>
      <c r="R152">
        <v>1</v>
      </c>
      <c r="S152">
        <v>5.5</v>
      </c>
      <c r="T152">
        <v>5.9799999999999999E-2</v>
      </c>
      <c r="U152">
        <v>-0.69397993311036943</v>
      </c>
      <c r="V152">
        <v>5.3205999999999998</v>
      </c>
      <c r="W152">
        <v>5.3803999999999998</v>
      </c>
      <c r="X152">
        <v>5.4401999999999999</v>
      </c>
      <c r="Y152">
        <v>5.5598000000000001</v>
      </c>
      <c r="Z152">
        <v>5.6196000000000002</v>
      </c>
      <c r="AA152">
        <v>5.6794000000000002</v>
      </c>
      <c r="AD152">
        <v>4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 t="s">
        <v>462</v>
      </c>
      <c r="AL152" t="s">
        <v>6</v>
      </c>
      <c r="AM152" t="s">
        <v>1145</v>
      </c>
      <c r="AN152" t="s">
        <v>1146</v>
      </c>
      <c r="AO152" s="100">
        <v>46262.040405092594</v>
      </c>
      <c r="AP152" t="s">
        <v>1147</v>
      </c>
      <c r="AQ152" t="s">
        <v>1511</v>
      </c>
      <c r="AR152" t="s">
        <v>1149</v>
      </c>
      <c r="AS152" t="s">
        <v>1150</v>
      </c>
      <c r="AT152" t="s">
        <v>1512</v>
      </c>
      <c r="AU152">
        <v>25</v>
      </c>
      <c r="AV152">
        <v>5.4805919999999979</v>
      </c>
      <c r="AW152">
        <v>4.8721349871830584E-2</v>
      </c>
      <c r="AX152">
        <v>0.88897969182582104</v>
      </c>
      <c r="AY152">
        <v>1.3496428095512332</v>
      </c>
      <c r="AZ152">
        <v>2.8164593010638379</v>
      </c>
      <c r="BA152">
        <v>2.981347284779206</v>
      </c>
      <c r="BB152" s="97" t="s">
        <v>161</v>
      </c>
      <c r="BD152" s="98"/>
      <c r="BE152" s="98"/>
      <c r="BF152" t="s">
        <v>1152</v>
      </c>
      <c r="BG152" t="s">
        <v>322</v>
      </c>
      <c r="BH152" t="s">
        <v>1153</v>
      </c>
      <c r="BI152">
        <v>1.3496428095512332</v>
      </c>
      <c r="BJ152" t="s">
        <v>991</v>
      </c>
      <c r="BK152">
        <v>1.1835406989361621</v>
      </c>
      <c r="BL152">
        <v>29.588517473404053</v>
      </c>
      <c r="BM152" t="s">
        <v>1260</v>
      </c>
      <c r="BN152" t="s">
        <v>1154</v>
      </c>
      <c r="BO152">
        <v>2025</v>
      </c>
      <c r="BP152" t="s">
        <v>966</v>
      </c>
      <c r="BQ152">
        <v>69257.0271489078</v>
      </c>
      <c r="BR152">
        <v>93.074297285109225</v>
      </c>
      <c r="BS152" t="s">
        <v>992</v>
      </c>
      <c r="BV152" t="s">
        <v>1034</v>
      </c>
      <c r="BW152" t="s">
        <v>943</v>
      </c>
      <c r="BX152" t="s">
        <v>994</v>
      </c>
      <c r="BY152">
        <v>2.981347284779206</v>
      </c>
      <c r="BZ152" t="s">
        <v>1155</v>
      </c>
      <c r="CA152" t="s">
        <v>991</v>
      </c>
      <c r="CB152" t="b">
        <v>1</v>
      </c>
      <c r="CC152" t="b">
        <v>1</v>
      </c>
      <c r="CD152" t="b">
        <v>1</v>
      </c>
      <c r="CE152" t="b">
        <v>1</v>
      </c>
      <c r="CF152" t="b">
        <v>1</v>
      </c>
    </row>
    <row r="153" spans="1:84" x14ac:dyDescent="0.3">
      <c r="A153" t="s">
        <v>1514</v>
      </c>
      <c r="B153" t="s">
        <v>1157</v>
      </c>
      <c r="C153" s="98">
        <v>45670</v>
      </c>
      <c r="D153">
        <v>2025</v>
      </c>
      <c r="E153">
        <v>1</v>
      </c>
      <c r="F153">
        <v>1</v>
      </c>
      <c r="G153" t="s">
        <v>1144</v>
      </c>
      <c r="H153" t="s">
        <v>127</v>
      </c>
      <c r="I153" t="s">
        <v>127</v>
      </c>
      <c r="J153" t="s">
        <v>6</v>
      </c>
      <c r="L153">
        <v>522611</v>
      </c>
      <c r="M153" s="99" t="s">
        <v>178</v>
      </c>
      <c r="N153">
        <v>1</v>
      </c>
      <c r="O153">
        <v>2</v>
      </c>
      <c r="P153">
        <v>5.4805000000000001</v>
      </c>
      <c r="Q153" t="s">
        <v>352</v>
      </c>
      <c r="R153">
        <v>1</v>
      </c>
      <c r="S153">
        <v>5.5</v>
      </c>
      <c r="T153">
        <v>5.9799999999999999E-2</v>
      </c>
      <c r="U153">
        <v>-0.32608695652173664</v>
      </c>
      <c r="V153">
        <v>5.3205999999999998</v>
      </c>
      <c r="W153">
        <v>5.3803999999999998</v>
      </c>
      <c r="X153">
        <v>5.4401999999999999</v>
      </c>
      <c r="Y153">
        <v>5.5598000000000001</v>
      </c>
      <c r="Z153">
        <v>5.6196000000000002</v>
      </c>
      <c r="AA153">
        <v>5.6794000000000002</v>
      </c>
      <c r="AD153">
        <v>4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 t="s">
        <v>462</v>
      </c>
      <c r="AL153" t="s">
        <v>6</v>
      </c>
      <c r="AM153" t="s">
        <v>1145</v>
      </c>
      <c r="AN153" t="s">
        <v>1146</v>
      </c>
      <c r="AO153" s="100">
        <v>46262.040405092594</v>
      </c>
      <c r="AP153" t="s">
        <v>1147</v>
      </c>
      <c r="AQ153" t="s">
        <v>1515</v>
      </c>
      <c r="AR153" t="s">
        <v>1159</v>
      </c>
      <c r="AS153" t="s">
        <v>1150</v>
      </c>
      <c r="AT153" t="s">
        <v>1512</v>
      </c>
      <c r="AU153">
        <v>25</v>
      </c>
      <c r="AV153">
        <v>5.4805919999999979</v>
      </c>
      <c r="AW153">
        <v>4.8721349871830584E-2</v>
      </c>
      <c r="AX153">
        <v>0.88897969182582104</v>
      </c>
      <c r="AY153">
        <v>1.3496428095512332</v>
      </c>
      <c r="AZ153">
        <v>2.8164593010638379</v>
      </c>
      <c r="BA153">
        <v>2.981347284779206</v>
      </c>
      <c r="BB153" s="97" t="s">
        <v>161</v>
      </c>
      <c r="BD153" s="98"/>
      <c r="BE153" s="98"/>
      <c r="BF153" t="s">
        <v>1152</v>
      </c>
      <c r="BG153" t="s">
        <v>322</v>
      </c>
      <c r="BH153" t="s">
        <v>1153</v>
      </c>
      <c r="BI153">
        <v>1.3496428095512332</v>
      </c>
      <c r="BJ153" t="s">
        <v>991</v>
      </c>
      <c r="BK153">
        <v>1.1835406989361621</v>
      </c>
      <c r="BL153">
        <v>29.588517473404053</v>
      </c>
      <c r="BM153" t="s">
        <v>1260</v>
      </c>
      <c r="BN153" t="s">
        <v>1154</v>
      </c>
      <c r="BO153">
        <v>2025</v>
      </c>
      <c r="BP153" t="s">
        <v>966</v>
      </c>
      <c r="BQ153">
        <v>69257.0271489078</v>
      </c>
      <c r="BR153">
        <v>93.074297285109225</v>
      </c>
      <c r="BS153" t="s">
        <v>992</v>
      </c>
      <c r="BV153" t="s">
        <v>1034</v>
      </c>
      <c r="BW153" t="s">
        <v>943</v>
      </c>
      <c r="BX153" t="s">
        <v>994</v>
      </c>
      <c r="BY153">
        <v>2.981347284779206</v>
      </c>
      <c r="BZ153" t="s">
        <v>1155</v>
      </c>
      <c r="CA153" t="s">
        <v>991</v>
      </c>
      <c r="CB153" t="b">
        <v>1</v>
      </c>
      <c r="CC153" t="b">
        <v>1</v>
      </c>
      <c r="CD153" t="b">
        <v>1</v>
      </c>
      <c r="CE153" t="b">
        <v>1</v>
      </c>
      <c r="CF153" t="b">
        <v>1</v>
      </c>
    </row>
    <row r="154" spans="1:84" x14ac:dyDescent="0.3">
      <c r="A154" t="s">
        <v>1516</v>
      </c>
      <c r="B154" t="s">
        <v>1161</v>
      </c>
      <c r="C154" s="98">
        <v>45677</v>
      </c>
      <c r="D154">
        <v>2025</v>
      </c>
      <c r="E154">
        <v>1</v>
      </c>
      <c r="F154">
        <v>1</v>
      </c>
      <c r="G154" t="s">
        <v>1144</v>
      </c>
      <c r="H154" t="s">
        <v>127</v>
      </c>
      <c r="I154" t="s">
        <v>127</v>
      </c>
      <c r="J154" t="s">
        <v>6</v>
      </c>
      <c r="L154">
        <v>522611</v>
      </c>
      <c r="M154" s="99" t="s">
        <v>178</v>
      </c>
      <c r="N154">
        <v>1</v>
      </c>
      <c r="O154">
        <v>3</v>
      </c>
      <c r="P154">
        <v>5.4664999999999999</v>
      </c>
      <c r="Q154" t="s">
        <v>352</v>
      </c>
      <c r="R154">
        <v>1</v>
      </c>
      <c r="S154">
        <v>5.5</v>
      </c>
      <c r="T154">
        <v>5.9799999999999999E-2</v>
      </c>
      <c r="U154">
        <v>-0.56020066889632247</v>
      </c>
      <c r="V154">
        <v>5.3205999999999998</v>
      </c>
      <c r="W154">
        <v>5.3803999999999998</v>
      </c>
      <c r="X154">
        <v>5.4401999999999999</v>
      </c>
      <c r="Y154">
        <v>5.5598000000000001</v>
      </c>
      <c r="Z154">
        <v>5.6196000000000002</v>
      </c>
      <c r="AA154">
        <v>5.6794000000000002</v>
      </c>
      <c r="AD154">
        <v>4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 t="s">
        <v>462</v>
      </c>
      <c r="AL154" t="s">
        <v>6</v>
      </c>
      <c r="AM154" t="s">
        <v>1145</v>
      </c>
      <c r="AN154" t="s">
        <v>1146</v>
      </c>
      <c r="AO154" s="100">
        <v>46262.040405092594</v>
      </c>
      <c r="AP154" t="s">
        <v>1147</v>
      </c>
      <c r="AQ154" t="s">
        <v>1517</v>
      </c>
      <c r="AR154" t="s">
        <v>1163</v>
      </c>
      <c r="AS154" t="s">
        <v>1150</v>
      </c>
      <c r="AT154" t="s">
        <v>1512</v>
      </c>
      <c r="AU154">
        <v>25</v>
      </c>
      <c r="AV154">
        <v>5.4805919999999979</v>
      </c>
      <c r="AW154">
        <v>4.8721349871830584E-2</v>
      </c>
      <c r="AX154">
        <v>0.88897969182582104</v>
      </c>
      <c r="AY154">
        <v>1.3496428095512332</v>
      </c>
      <c r="AZ154">
        <v>2.8164593010638379</v>
      </c>
      <c r="BA154">
        <v>2.981347284779206</v>
      </c>
      <c r="BB154" s="97" t="s">
        <v>161</v>
      </c>
      <c r="BD154" s="98"/>
      <c r="BE154" s="98"/>
      <c r="BF154" t="s">
        <v>1152</v>
      </c>
      <c r="BG154" t="s">
        <v>322</v>
      </c>
      <c r="BH154" t="s">
        <v>1153</v>
      </c>
      <c r="BI154">
        <v>1.3496428095512332</v>
      </c>
      <c r="BJ154" t="s">
        <v>991</v>
      </c>
      <c r="BK154">
        <v>1.1835406989361621</v>
      </c>
      <c r="BL154">
        <v>29.588517473404053</v>
      </c>
      <c r="BM154" t="s">
        <v>1260</v>
      </c>
      <c r="BN154" t="s">
        <v>1154</v>
      </c>
      <c r="BO154">
        <v>2025</v>
      </c>
      <c r="BP154" t="s">
        <v>966</v>
      </c>
      <c r="BQ154">
        <v>69257.0271489078</v>
      </c>
      <c r="BR154">
        <v>93.074297285109225</v>
      </c>
      <c r="BS154" t="s">
        <v>992</v>
      </c>
      <c r="BV154" t="s">
        <v>1034</v>
      </c>
      <c r="BW154" t="s">
        <v>943</v>
      </c>
      <c r="BX154" t="s">
        <v>994</v>
      </c>
      <c r="BY154">
        <v>2.981347284779206</v>
      </c>
      <c r="BZ154" t="s">
        <v>1155</v>
      </c>
      <c r="CA154" t="s">
        <v>991</v>
      </c>
      <c r="CB154" t="b">
        <v>1</v>
      </c>
      <c r="CC154" t="b">
        <v>1</v>
      </c>
      <c r="CD154" t="b">
        <v>1</v>
      </c>
      <c r="CE154" t="b">
        <v>1</v>
      </c>
      <c r="CF154" t="b">
        <v>1</v>
      </c>
    </row>
    <row r="155" spans="1:84" x14ac:dyDescent="0.3">
      <c r="A155" t="s">
        <v>1518</v>
      </c>
      <c r="B155" t="s">
        <v>1165</v>
      </c>
      <c r="C155" s="98">
        <v>45684</v>
      </c>
      <c r="D155">
        <v>2025</v>
      </c>
      <c r="E155">
        <v>1</v>
      </c>
      <c r="F155">
        <v>1</v>
      </c>
      <c r="G155" t="s">
        <v>1144</v>
      </c>
      <c r="H155" t="s">
        <v>127</v>
      </c>
      <c r="I155" t="s">
        <v>127</v>
      </c>
      <c r="J155" t="s">
        <v>6</v>
      </c>
      <c r="L155">
        <v>522611</v>
      </c>
      <c r="M155" s="99" t="s">
        <v>178</v>
      </c>
      <c r="N155">
        <v>1</v>
      </c>
      <c r="O155">
        <v>4</v>
      </c>
      <c r="P155">
        <v>5.5004999999999997</v>
      </c>
      <c r="Q155" t="s">
        <v>352</v>
      </c>
      <c r="R155">
        <v>1</v>
      </c>
      <c r="S155">
        <v>5.5</v>
      </c>
      <c r="T155">
        <v>5.9799999999999999E-2</v>
      </c>
      <c r="U155">
        <v>8.3612040133732926E-3</v>
      </c>
      <c r="V155">
        <v>5.3205999999999998</v>
      </c>
      <c r="W155">
        <v>5.3803999999999998</v>
      </c>
      <c r="X155">
        <v>5.4401999999999999</v>
      </c>
      <c r="Y155">
        <v>5.5598000000000001</v>
      </c>
      <c r="Z155">
        <v>5.6196000000000002</v>
      </c>
      <c r="AA155">
        <v>5.6794000000000002</v>
      </c>
      <c r="AD155">
        <v>4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 t="s">
        <v>462</v>
      </c>
      <c r="AL155" t="s">
        <v>6</v>
      </c>
      <c r="AM155" t="s">
        <v>1145</v>
      </c>
      <c r="AN155" t="s">
        <v>1146</v>
      </c>
      <c r="AO155" s="100">
        <v>46262.040405092594</v>
      </c>
      <c r="AP155" t="s">
        <v>1147</v>
      </c>
      <c r="AQ155" t="s">
        <v>1519</v>
      </c>
      <c r="AR155" t="s">
        <v>1167</v>
      </c>
      <c r="AS155" t="s">
        <v>1150</v>
      </c>
      <c r="AT155" t="s">
        <v>1512</v>
      </c>
      <c r="AU155">
        <v>25</v>
      </c>
      <c r="AV155">
        <v>5.4805919999999979</v>
      </c>
      <c r="AW155">
        <v>4.8721349871830584E-2</v>
      </c>
      <c r="AX155">
        <v>0.88897969182582104</v>
      </c>
      <c r="AY155">
        <v>1.3496428095512332</v>
      </c>
      <c r="AZ155">
        <v>2.8164593010638379</v>
      </c>
      <c r="BA155">
        <v>2.981347284779206</v>
      </c>
      <c r="BB155" s="97" t="s">
        <v>161</v>
      </c>
      <c r="BD155" s="98"/>
      <c r="BE155" s="98"/>
      <c r="BF155" t="s">
        <v>1152</v>
      </c>
      <c r="BG155" t="s">
        <v>322</v>
      </c>
      <c r="BH155" t="s">
        <v>1153</v>
      </c>
      <c r="BI155">
        <v>1.3496428095512332</v>
      </c>
      <c r="BJ155" t="s">
        <v>991</v>
      </c>
      <c r="BK155">
        <v>1.1835406989361621</v>
      </c>
      <c r="BL155">
        <v>29.588517473404053</v>
      </c>
      <c r="BM155" t="s">
        <v>1260</v>
      </c>
      <c r="BN155" t="s">
        <v>1154</v>
      </c>
      <c r="BO155">
        <v>2025</v>
      </c>
      <c r="BP155" t="s">
        <v>966</v>
      </c>
      <c r="BQ155">
        <v>69257.0271489078</v>
      </c>
      <c r="BR155">
        <v>93.074297285109225</v>
      </c>
      <c r="BS155" t="s">
        <v>992</v>
      </c>
      <c r="BV155" t="s">
        <v>1034</v>
      </c>
      <c r="BW155" t="s">
        <v>943</v>
      </c>
      <c r="BX155" t="s">
        <v>994</v>
      </c>
      <c r="BY155">
        <v>2.981347284779206</v>
      </c>
      <c r="BZ155" t="s">
        <v>1155</v>
      </c>
      <c r="CA155" t="s">
        <v>991</v>
      </c>
      <c r="CB155" t="b">
        <v>1</v>
      </c>
      <c r="CC155" t="b">
        <v>1</v>
      </c>
      <c r="CD155" t="b">
        <v>1</v>
      </c>
      <c r="CE155" t="b">
        <v>1</v>
      </c>
      <c r="CF155" t="b">
        <v>1</v>
      </c>
    </row>
    <row r="156" spans="1:84" x14ac:dyDescent="0.3">
      <c r="A156" t="s">
        <v>1520</v>
      </c>
      <c r="B156" t="s">
        <v>1169</v>
      </c>
      <c r="C156" s="98">
        <v>45691</v>
      </c>
      <c r="D156">
        <v>2025</v>
      </c>
      <c r="E156">
        <v>2</v>
      </c>
      <c r="F156">
        <v>1</v>
      </c>
      <c r="G156" t="s">
        <v>1170</v>
      </c>
      <c r="H156" t="s">
        <v>127</v>
      </c>
      <c r="I156" t="s">
        <v>127</v>
      </c>
      <c r="J156" t="s">
        <v>6</v>
      </c>
      <c r="L156">
        <v>522611</v>
      </c>
      <c r="M156" s="99" t="s">
        <v>178</v>
      </c>
      <c r="N156">
        <v>1</v>
      </c>
      <c r="O156">
        <v>5</v>
      </c>
      <c r="P156">
        <v>5.4775999999999998</v>
      </c>
      <c r="Q156" t="s">
        <v>352</v>
      </c>
      <c r="R156">
        <v>1</v>
      </c>
      <c r="S156">
        <v>5.5</v>
      </c>
      <c r="T156">
        <v>5.9799999999999999E-2</v>
      </c>
      <c r="U156">
        <v>-0.37458193979933441</v>
      </c>
      <c r="V156">
        <v>5.3205999999999998</v>
      </c>
      <c r="W156">
        <v>5.3803999999999998</v>
      </c>
      <c r="X156">
        <v>5.4401999999999999</v>
      </c>
      <c r="Y156">
        <v>5.5598000000000001</v>
      </c>
      <c r="Z156">
        <v>5.6196000000000002</v>
      </c>
      <c r="AA156">
        <v>5.6794000000000002</v>
      </c>
      <c r="AD156">
        <v>4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 t="s">
        <v>462</v>
      </c>
      <c r="AL156" t="s">
        <v>6</v>
      </c>
      <c r="AM156" t="s">
        <v>1145</v>
      </c>
      <c r="AN156" t="s">
        <v>1146</v>
      </c>
      <c r="AO156" s="100">
        <v>46262.040405092594</v>
      </c>
      <c r="AP156" t="s">
        <v>1147</v>
      </c>
      <c r="AQ156" t="s">
        <v>1521</v>
      </c>
      <c r="AR156" t="s">
        <v>1172</v>
      </c>
      <c r="AS156" t="s">
        <v>1150</v>
      </c>
      <c r="AT156" t="s">
        <v>1512</v>
      </c>
      <c r="AU156">
        <v>25</v>
      </c>
      <c r="AV156">
        <v>5.4805919999999979</v>
      </c>
      <c r="AW156">
        <v>4.8721349871830584E-2</v>
      </c>
      <c r="AX156">
        <v>0.88897969182582104</v>
      </c>
      <c r="AY156">
        <v>1.3496428095512332</v>
      </c>
      <c r="AZ156">
        <v>2.8164593010638379</v>
      </c>
      <c r="BA156">
        <v>2.981347284779206</v>
      </c>
      <c r="BB156" s="97" t="s">
        <v>161</v>
      </c>
      <c r="BD156" s="98"/>
      <c r="BE156" s="98"/>
      <c r="BF156" t="s">
        <v>1152</v>
      </c>
      <c r="BG156" t="s">
        <v>322</v>
      </c>
      <c r="BH156" t="s">
        <v>1153</v>
      </c>
      <c r="BI156">
        <v>1.3496428095512332</v>
      </c>
      <c r="BJ156" t="s">
        <v>991</v>
      </c>
      <c r="BK156">
        <v>1.1835406989361621</v>
      </c>
      <c r="BL156">
        <v>29.588517473404053</v>
      </c>
      <c r="BM156" t="s">
        <v>1260</v>
      </c>
      <c r="BN156" t="s">
        <v>1154</v>
      </c>
      <c r="BO156">
        <v>2025</v>
      </c>
      <c r="BP156" t="s">
        <v>966</v>
      </c>
      <c r="BQ156">
        <v>69257.0271489078</v>
      </c>
      <c r="BR156">
        <v>93.074297285109225</v>
      </c>
      <c r="BS156" t="s">
        <v>992</v>
      </c>
      <c r="BV156" t="s">
        <v>1034</v>
      </c>
      <c r="BW156" t="s">
        <v>943</v>
      </c>
      <c r="BX156" t="s">
        <v>994</v>
      </c>
      <c r="BY156">
        <v>2.981347284779206</v>
      </c>
      <c r="BZ156" t="s">
        <v>1155</v>
      </c>
      <c r="CA156" t="s">
        <v>991</v>
      </c>
      <c r="CB156" t="b">
        <v>1</v>
      </c>
      <c r="CC156" t="b">
        <v>1</v>
      </c>
      <c r="CD156" t="b">
        <v>1</v>
      </c>
      <c r="CE156" t="b">
        <v>1</v>
      </c>
      <c r="CF156" t="b">
        <v>1</v>
      </c>
    </row>
    <row r="157" spans="1:84" x14ac:dyDescent="0.3">
      <c r="A157" t="s">
        <v>1522</v>
      </c>
      <c r="B157" t="s">
        <v>1174</v>
      </c>
      <c r="C157" s="98">
        <v>45698</v>
      </c>
      <c r="D157">
        <v>2025</v>
      </c>
      <c r="E157">
        <v>2</v>
      </c>
      <c r="F157">
        <v>1</v>
      </c>
      <c r="G157" t="s">
        <v>1170</v>
      </c>
      <c r="H157" t="s">
        <v>127</v>
      </c>
      <c r="I157" t="s">
        <v>127</v>
      </c>
      <c r="J157" t="s">
        <v>6</v>
      </c>
      <c r="L157">
        <v>522611</v>
      </c>
      <c r="M157" s="99" t="s">
        <v>178</v>
      </c>
      <c r="N157">
        <v>1</v>
      </c>
      <c r="O157">
        <v>6</v>
      </c>
      <c r="P157">
        <v>5.4821</v>
      </c>
      <c r="Q157" t="s">
        <v>352</v>
      </c>
      <c r="R157">
        <v>1</v>
      </c>
      <c r="S157">
        <v>5.5</v>
      </c>
      <c r="T157">
        <v>5.9799999999999999E-2</v>
      </c>
      <c r="U157">
        <v>-0.29933110367893023</v>
      </c>
      <c r="V157">
        <v>5.3205999999999998</v>
      </c>
      <c r="W157">
        <v>5.3803999999999998</v>
      </c>
      <c r="X157">
        <v>5.4401999999999999</v>
      </c>
      <c r="Y157">
        <v>5.5598000000000001</v>
      </c>
      <c r="Z157">
        <v>5.6196000000000002</v>
      </c>
      <c r="AA157">
        <v>5.6794000000000002</v>
      </c>
      <c r="AD157">
        <v>4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 t="s">
        <v>462</v>
      </c>
      <c r="AL157" t="s">
        <v>6</v>
      </c>
      <c r="AM157" t="s">
        <v>1145</v>
      </c>
      <c r="AN157" t="s">
        <v>1146</v>
      </c>
      <c r="AO157" s="100">
        <v>46262.040405092594</v>
      </c>
      <c r="AP157" t="s">
        <v>1147</v>
      </c>
      <c r="AQ157" t="s">
        <v>1523</v>
      </c>
      <c r="AR157" t="s">
        <v>1176</v>
      </c>
      <c r="AS157" t="s">
        <v>1150</v>
      </c>
      <c r="AT157" t="s">
        <v>1512</v>
      </c>
      <c r="AU157">
        <v>25</v>
      </c>
      <c r="AV157">
        <v>5.4805919999999979</v>
      </c>
      <c r="AW157">
        <v>4.8721349871830584E-2</v>
      </c>
      <c r="AX157">
        <v>0.88897969182582104</v>
      </c>
      <c r="AY157">
        <v>1.3496428095512332</v>
      </c>
      <c r="AZ157">
        <v>2.8164593010638379</v>
      </c>
      <c r="BA157">
        <v>2.981347284779206</v>
      </c>
      <c r="BB157" s="97" t="s">
        <v>161</v>
      </c>
      <c r="BD157" s="98"/>
      <c r="BE157" s="98"/>
      <c r="BF157" t="s">
        <v>1152</v>
      </c>
      <c r="BG157" t="s">
        <v>322</v>
      </c>
      <c r="BH157" t="s">
        <v>1153</v>
      </c>
      <c r="BI157">
        <v>1.3496428095512332</v>
      </c>
      <c r="BJ157" t="s">
        <v>991</v>
      </c>
      <c r="BK157">
        <v>1.1835406989361621</v>
      </c>
      <c r="BL157">
        <v>29.588517473404053</v>
      </c>
      <c r="BM157" t="s">
        <v>1260</v>
      </c>
      <c r="BN157" t="s">
        <v>1154</v>
      </c>
      <c r="BO157">
        <v>2025</v>
      </c>
      <c r="BP157" t="s">
        <v>966</v>
      </c>
      <c r="BQ157">
        <v>69257.0271489078</v>
      </c>
      <c r="BR157">
        <v>93.074297285109225</v>
      </c>
      <c r="BS157" t="s">
        <v>992</v>
      </c>
      <c r="BV157" t="s">
        <v>1034</v>
      </c>
      <c r="BW157" t="s">
        <v>943</v>
      </c>
      <c r="BX157" t="s">
        <v>994</v>
      </c>
      <c r="BY157">
        <v>2.981347284779206</v>
      </c>
      <c r="BZ157" t="s">
        <v>1155</v>
      </c>
      <c r="CA157" t="s">
        <v>991</v>
      </c>
      <c r="CB157" t="b">
        <v>1</v>
      </c>
      <c r="CC157" t="b">
        <v>1</v>
      </c>
      <c r="CD157" t="b">
        <v>1</v>
      </c>
      <c r="CE157" t="b">
        <v>1</v>
      </c>
      <c r="CF157" t="b">
        <v>1</v>
      </c>
    </row>
    <row r="158" spans="1:84" x14ac:dyDescent="0.3">
      <c r="A158" t="s">
        <v>1524</v>
      </c>
      <c r="B158" t="s">
        <v>1178</v>
      </c>
      <c r="C158" s="98">
        <v>45705</v>
      </c>
      <c r="D158">
        <v>2025</v>
      </c>
      <c r="E158">
        <v>2</v>
      </c>
      <c r="F158">
        <v>1</v>
      </c>
      <c r="G158" t="s">
        <v>1170</v>
      </c>
      <c r="H158" t="s">
        <v>127</v>
      </c>
      <c r="I158" t="s">
        <v>127</v>
      </c>
      <c r="J158" t="s">
        <v>6</v>
      </c>
      <c r="L158">
        <v>522611</v>
      </c>
      <c r="M158" s="99" t="s">
        <v>178</v>
      </c>
      <c r="N158">
        <v>1</v>
      </c>
      <c r="O158">
        <v>7</v>
      </c>
      <c r="P158">
        <v>5.4176000000000002</v>
      </c>
      <c r="Q158" t="s">
        <v>352</v>
      </c>
      <c r="R158">
        <v>1</v>
      </c>
      <c r="S158">
        <v>5.5</v>
      </c>
      <c r="T158">
        <v>5.9799999999999999E-2</v>
      </c>
      <c r="U158">
        <v>-1.3779264214046791</v>
      </c>
      <c r="V158">
        <v>5.3205999999999998</v>
      </c>
      <c r="W158">
        <v>5.3803999999999998</v>
      </c>
      <c r="X158">
        <v>5.4401999999999999</v>
      </c>
      <c r="Y158">
        <v>5.5598000000000001</v>
      </c>
      <c r="Z158">
        <v>5.6196000000000002</v>
      </c>
      <c r="AA158">
        <v>5.6794000000000002</v>
      </c>
      <c r="AD158">
        <v>4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 t="s">
        <v>462</v>
      </c>
      <c r="AL158" t="s">
        <v>6</v>
      </c>
      <c r="AM158" t="s">
        <v>1145</v>
      </c>
      <c r="AN158" t="s">
        <v>1146</v>
      </c>
      <c r="AO158" s="100">
        <v>46262.040405092594</v>
      </c>
      <c r="AP158" t="s">
        <v>1147</v>
      </c>
      <c r="AQ158" t="s">
        <v>1525</v>
      </c>
      <c r="AR158" t="s">
        <v>1180</v>
      </c>
      <c r="AS158" t="s">
        <v>1150</v>
      </c>
      <c r="AT158" t="s">
        <v>1512</v>
      </c>
      <c r="AU158">
        <v>25</v>
      </c>
      <c r="AV158">
        <v>5.4805919999999979</v>
      </c>
      <c r="AW158">
        <v>4.8721349871830584E-2</v>
      </c>
      <c r="AX158">
        <v>0.88897969182582104</v>
      </c>
      <c r="AY158">
        <v>1.3496428095512332</v>
      </c>
      <c r="AZ158">
        <v>2.8164593010638379</v>
      </c>
      <c r="BA158">
        <v>2.981347284779206</v>
      </c>
      <c r="BB158" s="97" t="s">
        <v>161</v>
      </c>
      <c r="BD158" s="98"/>
      <c r="BE158" s="98"/>
      <c r="BF158" t="s">
        <v>1152</v>
      </c>
      <c r="BG158" t="s">
        <v>322</v>
      </c>
      <c r="BH158" t="s">
        <v>1153</v>
      </c>
      <c r="BI158">
        <v>1.3496428095512332</v>
      </c>
      <c r="BJ158" t="s">
        <v>991</v>
      </c>
      <c r="BK158">
        <v>1.1835406989361621</v>
      </c>
      <c r="BL158">
        <v>29.588517473404053</v>
      </c>
      <c r="BM158" t="s">
        <v>1260</v>
      </c>
      <c r="BN158" t="s">
        <v>1154</v>
      </c>
      <c r="BO158">
        <v>2025</v>
      </c>
      <c r="BP158" t="s">
        <v>966</v>
      </c>
      <c r="BQ158">
        <v>69257.0271489078</v>
      </c>
      <c r="BR158">
        <v>93.074297285109225</v>
      </c>
      <c r="BS158" t="s">
        <v>992</v>
      </c>
      <c r="BV158" t="s">
        <v>1034</v>
      </c>
      <c r="BW158" t="s">
        <v>943</v>
      </c>
      <c r="BX158" t="s">
        <v>994</v>
      </c>
      <c r="BY158">
        <v>2.981347284779206</v>
      </c>
      <c r="BZ158" t="s">
        <v>1155</v>
      </c>
      <c r="CA158" t="s">
        <v>991</v>
      </c>
      <c r="CB158" t="b">
        <v>1</v>
      </c>
      <c r="CC158" t="b">
        <v>1</v>
      </c>
      <c r="CD158" t="b">
        <v>1</v>
      </c>
      <c r="CE158" t="b">
        <v>1</v>
      </c>
      <c r="CF158" t="b">
        <v>1</v>
      </c>
    </row>
    <row r="159" spans="1:84" x14ac:dyDescent="0.3">
      <c r="A159" t="s">
        <v>1526</v>
      </c>
      <c r="B159" t="s">
        <v>1182</v>
      </c>
      <c r="C159" s="98">
        <v>45712</v>
      </c>
      <c r="D159">
        <v>2025</v>
      </c>
      <c r="E159">
        <v>2</v>
      </c>
      <c r="F159">
        <v>1</v>
      </c>
      <c r="G159" t="s">
        <v>1170</v>
      </c>
      <c r="H159" t="s">
        <v>127</v>
      </c>
      <c r="I159" t="s">
        <v>127</v>
      </c>
      <c r="J159" t="s">
        <v>6</v>
      </c>
      <c r="L159">
        <v>522611</v>
      </c>
      <c r="M159" s="99" t="s">
        <v>178</v>
      </c>
      <c r="N159">
        <v>1</v>
      </c>
      <c r="O159">
        <v>8</v>
      </c>
      <c r="P159">
        <v>5.4518000000000004</v>
      </c>
      <c r="Q159" t="s">
        <v>352</v>
      </c>
      <c r="R159">
        <v>1</v>
      </c>
      <c r="S159">
        <v>5.5</v>
      </c>
      <c r="T159">
        <v>5.9799999999999999E-2</v>
      </c>
      <c r="U159">
        <v>-0.80602006688962502</v>
      </c>
      <c r="V159">
        <v>5.3205999999999998</v>
      </c>
      <c r="W159">
        <v>5.3803999999999998</v>
      </c>
      <c r="X159">
        <v>5.4401999999999999</v>
      </c>
      <c r="Y159">
        <v>5.5598000000000001</v>
      </c>
      <c r="Z159">
        <v>5.6196000000000002</v>
      </c>
      <c r="AA159">
        <v>5.6794000000000002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 t="s">
        <v>462</v>
      </c>
      <c r="AL159" t="s">
        <v>6</v>
      </c>
      <c r="AM159" t="s">
        <v>1145</v>
      </c>
      <c r="AN159" t="s">
        <v>1146</v>
      </c>
      <c r="AO159" s="100">
        <v>46262.040405092594</v>
      </c>
      <c r="AP159" t="s">
        <v>1147</v>
      </c>
      <c r="AQ159" t="s">
        <v>1527</v>
      </c>
      <c r="AR159" t="s">
        <v>1184</v>
      </c>
      <c r="AS159" t="s">
        <v>1150</v>
      </c>
      <c r="AT159" t="s">
        <v>1512</v>
      </c>
      <c r="AU159">
        <v>25</v>
      </c>
      <c r="AV159">
        <v>5.4805919999999979</v>
      </c>
      <c r="AW159">
        <v>4.8721349871830584E-2</v>
      </c>
      <c r="AX159">
        <v>0.88897969182582104</v>
      </c>
      <c r="AY159">
        <v>1.3496428095512332</v>
      </c>
      <c r="AZ159">
        <v>2.8164593010638379</v>
      </c>
      <c r="BA159">
        <v>2.981347284779206</v>
      </c>
      <c r="BB159" s="97" t="s">
        <v>161</v>
      </c>
      <c r="BD159" s="98"/>
      <c r="BE159" s="98"/>
      <c r="BF159" t="s">
        <v>1152</v>
      </c>
      <c r="BG159" t="s">
        <v>322</v>
      </c>
      <c r="BH159" t="s">
        <v>1153</v>
      </c>
      <c r="BI159">
        <v>1.3496428095512332</v>
      </c>
      <c r="BJ159" t="s">
        <v>991</v>
      </c>
      <c r="BK159">
        <v>1.1835406989361621</v>
      </c>
      <c r="BL159">
        <v>29.588517473404053</v>
      </c>
      <c r="BM159" t="s">
        <v>1260</v>
      </c>
      <c r="BN159" t="s">
        <v>1154</v>
      </c>
      <c r="BO159">
        <v>2025</v>
      </c>
      <c r="BP159" t="s">
        <v>966</v>
      </c>
      <c r="BQ159">
        <v>69257.0271489078</v>
      </c>
      <c r="BR159">
        <v>93.074297285109225</v>
      </c>
      <c r="BS159" t="s">
        <v>992</v>
      </c>
      <c r="BV159" t="s">
        <v>1034</v>
      </c>
      <c r="BW159" t="s">
        <v>943</v>
      </c>
      <c r="BX159" t="s">
        <v>994</v>
      </c>
      <c r="BY159">
        <v>2.981347284779206</v>
      </c>
      <c r="BZ159" t="s">
        <v>1155</v>
      </c>
      <c r="CA159" t="s">
        <v>991</v>
      </c>
      <c r="CB159" t="b">
        <v>1</v>
      </c>
      <c r="CC159" t="b">
        <v>1</v>
      </c>
      <c r="CD159" t="b">
        <v>1</v>
      </c>
      <c r="CE159" t="b">
        <v>1</v>
      </c>
      <c r="CF159" t="b">
        <v>1</v>
      </c>
    </row>
    <row r="160" spans="1:84" x14ac:dyDescent="0.3">
      <c r="A160" t="s">
        <v>1528</v>
      </c>
      <c r="B160" t="s">
        <v>1186</v>
      </c>
      <c r="C160" s="98">
        <v>45719</v>
      </c>
      <c r="D160">
        <v>2025</v>
      </c>
      <c r="E160">
        <v>3</v>
      </c>
      <c r="F160">
        <v>1</v>
      </c>
      <c r="G160" t="s">
        <v>1187</v>
      </c>
      <c r="H160" t="s">
        <v>127</v>
      </c>
      <c r="I160" t="s">
        <v>127</v>
      </c>
      <c r="J160" t="s">
        <v>6</v>
      </c>
      <c r="L160">
        <v>522611</v>
      </c>
      <c r="M160" s="99" t="s">
        <v>178</v>
      </c>
      <c r="N160">
        <v>1</v>
      </c>
      <c r="O160">
        <v>9</v>
      </c>
      <c r="P160">
        <v>5.5987999999999998</v>
      </c>
      <c r="Q160" t="s">
        <v>352</v>
      </c>
      <c r="R160">
        <v>1</v>
      </c>
      <c r="S160">
        <v>5.5</v>
      </c>
      <c r="T160">
        <v>5.9799999999999999E-2</v>
      </c>
      <c r="U160">
        <v>1.6521739130434745</v>
      </c>
      <c r="V160">
        <v>5.3205999999999998</v>
      </c>
      <c r="W160">
        <v>5.3803999999999998</v>
      </c>
      <c r="X160">
        <v>5.4401999999999999</v>
      </c>
      <c r="Y160">
        <v>5.5598000000000001</v>
      </c>
      <c r="Z160">
        <v>5.6196000000000002</v>
      </c>
      <c r="AA160">
        <v>5.6794000000000002</v>
      </c>
      <c r="AD160">
        <v>4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 t="s">
        <v>462</v>
      </c>
      <c r="AL160" t="s">
        <v>6</v>
      </c>
      <c r="AM160" t="s">
        <v>1145</v>
      </c>
      <c r="AN160" t="s">
        <v>1146</v>
      </c>
      <c r="AO160" s="100">
        <v>46262.040405092594</v>
      </c>
      <c r="AP160" t="s">
        <v>1147</v>
      </c>
      <c r="AQ160" t="s">
        <v>1529</v>
      </c>
      <c r="AR160" t="s">
        <v>1189</v>
      </c>
      <c r="AS160" t="s">
        <v>1150</v>
      </c>
      <c r="AT160" t="s">
        <v>1512</v>
      </c>
      <c r="AU160">
        <v>25</v>
      </c>
      <c r="AV160">
        <v>5.4805919999999979</v>
      </c>
      <c r="AW160">
        <v>4.8721349871830584E-2</v>
      </c>
      <c r="AX160">
        <v>0.88897969182582104</v>
      </c>
      <c r="AY160">
        <v>1.3496428095512332</v>
      </c>
      <c r="AZ160">
        <v>2.8164593010638379</v>
      </c>
      <c r="BA160">
        <v>2.981347284779206</v>
      </c>
      <c r="BB160" s="97" t="s">
        <v>161</v>
      </c>
      <c r="BD160" s="98"/>
      <c r="BE160" s="98"/>
      <c r="BF160" t="s">
        <v>1152</v>
      </c>
      <c r="BG160" t="s">
        <v>322</v>
      </c>
      <c r="BH160" t="s">
        <v>1153</v>
      </c>
      <c r="BI160">
        <v>1.3496428095512332</v>
      </c>
      <c r="BJ160" t="s">
        <v>991</v>
      </c>
      <c r="BK160">
        <v>1.1835406989361621</v>
      </c>
      <c r="BL160">
        <v>29.588517473404053</v>
      </c>
      <c r="BM160" t="s">
        <v>1260</v>
      </c>
      <c r="BN160" t="s">
        <v>1154</v>
      </c>
      <c r="BO160">
        <v>2025</v>
      </c>
      <c r="BP160" t="s">
        <v>966</v>
      </c>
      <c r="BQ160">
        <v>69257.0271489078</v>
      </c>
      <c r="BR160">
        <v>93.074297285109225</v>
      </c>
      <c r="BS160" t="s">
        <v>992</v>
      </c>
      <c r="BV160" t="s">
        <v>1034</v>
      </c>
      <c r="BW160" t="s">
        <v>943</v>
      </c>
      <c r="BX160" t="s">
        <v>994</v>
      </c>
      <c r="BY160">
        <v>2.981347284779206</v>
      </c>
      <c r="BZ160" t="s">
        <v>1155</v>
      </c>
      <c r="CA160" t="s">
        <v>991</v>
      </c>
      <c r="CB160" t="b">
        <v>1</v>
      </c>
      <c r="CC160" t="b">
        <v>1</v>
      </c>
      <c r="CD160" t="b">
        <v>1</v>
      </c>
      <c r="CE160" t="b">
        <v>1</v>
      </c>
      <c r="CF160" t="b">
        <v>1</v>
      </c>
    </row>
    <row r="161" spans="1:84" x14ac:dyDescent="0.3">
      <c r="A161" t="s">
        <v>1530</v>
      </c>
      <c r="B161" t="s">
        <v>1191</v>
      </c>
      <c r="C161" s="98">
        <v>45726</v>
      </c>
      <c r="D161">
        <v>2025</v>
      </c>
      <c r="E161">
        <v>3</v>
      </c>
      <c r="F161">
        <v>1</v>
      </c>
      <c r="G161" t="s">
        <v>1187</v>
      </c>
      <c r="H161" t="s">
        <v>127</v>
      </c>
      <c r="I161" t="s">
        <v>127</v>
      </c>
      <c r="J161" t="s">
        <v>6</v>
      </c>
      <c r="L161">
        <v>522611</v>
      </c>
      <c r="M161" s="99" t="s">
        <v>178</v>
      </c>
      <c r="N161">
        <v>1</v>
      </c>
      <c r="O161">
        <v>10</v>
      </c>
      <c r="P161">
        <v>5.4599000000000002</v>
      </c>
      <c r="Q161" t="s">
        <v>352</v>
      </c>
      <c r="R161">
        <v>1</v>
      </c>
      <c r="S161">
        <v>5.5</v>
      </c>
      <c r="T161">
        <v>5.9799999999999999E-2</v>
      </c>
      <c r="U161">
        <v>-0.67056856187290637</v>
      </c>
      <c r="V161">
        <v>5.3205999999999998</v>
      </c>
      <c r="W161">
        <v>5.3803999999999998</v>
      </c>
      <c r="X161">
        <v>5.4401999999999999</v>
      </c>
      <c r="Y161">
        <v>5.5598000000000001</v>
      </c>
      <c r="Z161">
        <v>5.6196000000000002</v>
      </c>
      <c r="AA161">
        <v>5.6794000000000002</v>
      </c>
      <c r="AD161">
        <v>4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 t="s">
        <v>462</v>
      </c>
      <c r="AL161" t="s">
        <v>6</v>
      </c>
      <c r="AM161" t="s">
        <v>1145</v>
      </c>
      <c r="AN161" t="s">
        <v>1146</v>
      </c>
      <c r="AO161" s="100">
        <v>46262.040405092594</v>
      </c>
      <c r="AP161" t="s">
        <v>1147</v>
      </c>
      <c r="AQ161" t="s">
        <v>1531</v>
      </c>
      <c r="AR161" t="s">
        <v>1193</v>
      </c>
      <c r="AS161" t="s">
        <v>1150</v>
      </c>
      <c r="AT161" t="s">
        <v>1512</v>
      </c>
      <c r="AU161">
        <v>25</v>
      </c>
      <c r="AV161">
        <v>5.4805919999999979</v>
      </c>
      <c r="AW161">
        <v>4.8721349871830584E-2</v>
      </c>
      <c r="AX161">
        <v>0.88897969182582104</v>
      </c>
      <c r="AY161">
        <v>1.3496428095512332</v>
      </c>
      <c r="AZ161">
        <v>2.8164593010638379</v>
      </c>
      <c r="BA161">
        <v>2.981347284779206</v>
      </c>
      <c r="BB161" s="97" t="s">
        <v>161</v>
      </c>
      <c r="BD161" s="98"/>
      <c r="BE161" s="98"/>
      <c r="BF161" t="s">
        <v>1152</v>
      </c>
      <c r="BG161" t="s">
        <v>322</v>
      </c>
      <c r="BH161" t="s">
        <v>1153</v>
      </c>
      <c r="BI161">
        <v>1.3496428095512332</v>
      </c>
      <c r="BJ161" t="s">
        <v>991</v>
      </c>
      <c r="BK161">
        <v>1.1835406989361621</v>
      </c>
      <c r="BL161">
        <v>29.588517473404053</v>
      </c>
      <c r="BM161" t="s">
        <v>1260</v>
      </c>
      <c r="BN161" t="s">
        <v>1154</v>
      </c>
      <c r="BO161">
        <v>2025</v>
      </c>
      <c r="BP161" t="s">
        <v>966</v>
      </c>
      <c r="BQ161">
        <v>69257.0271489078</v>
      </c>
      <c r="BR161">
        <v>93.074297285109225</v>
      </c>
      <c r="BS161" t="s">
        <v>992</v>
      </c>
      <c r="BV161" t="s">
        <v>1034</v>
      </c>
      <c r="BW161" t="s">
        <v>943</v>
      </c>
      <c r="BX161" t="s">
        <v>994</v>
      </c>
      <c r="BY161">
        <v>2.981347284779206</v>
      </c>
      <c r="BZ161" t="s">
        <v>1155</v>
      </c>
      <c r="CA161" t="s">
        <v>991</v>
      </c>
      <c r="CB161" t="b">
        <v>1</v>
      </c>
      <c r="CC161" t="b">
        <v>1</v>
      </c>
      <c r="CD161" t="b">
        <v>1</v>
      </c>
      <c r="CE161" t="b">
        <v>1</v>
      </c>
      <c r="CF161" t="b">
        <v>1</v>
      </c>
    </row>
    <row r="162" spans="1:84" x14ac:dyDescent="0.3">
      <c r="A162" t="s">
        <v>1532</v>
      </c>
      <c r="B162" t="s">
        <v>1195</v>
      </c>
      <c r="C162" s="98">
        <v>45733</v>
      </c>
      <c r="D162">
        <v>2025</v>
      </c>
      <c r="E162">
        <v>3</v>
      </c>
      <c r="F162">
        <v>1</v>
      </c>
      <c r="G162" t="s">
        <v>1187</v>
      </c>
      <c r="H162" t="s">
        <v>127</v>
      </c>
      <c r="I162" t="s">
        <v>127</v>
      </c>
      <c r="J162" t="s">
        <v>6</v>
      </c>
      <c r="L162">
        <v>522611</v>
      </c>
      <c r="M162" s="99" t="s">
        <v>178</v>
      </c>
      <c r="N162">
        <v>1</v>
      </c>
      <c r="O162">
        <v>11</v>
      </c>
      <c r="P162">
        <v>5.4370000000000003</v>
      </c>
      <c r="Q162" t="s">
        <v>352</v>
      </c>
      <c r="R162">
        <v>1</v>
      </c>
      <c r="S162">
        <v>5.5</v>
      </c>
      <c r="T162">
        <v>5.9799999999999999E-2</v>
      </c>
      <c r="U162">
        <v>-1.053511705685614</v>
      </c>
      <c r="V162">
        <v>5.3205999999999998</v>
      </c>
      <c r="W162">
        <v>5.3803999999999998</v>
      </c>
      <c r="X162">
        <v>5.4401999999999999</v>
      </c>
      <c r="Y162">
        <v>5.5598000000000001</v>
      </c>
      <c r="Z162">
        <v>5.6196000000000002</v>
      </c>
      <c r="AA162">
        <v>5.6794000000000002</v>
      </c>
      <c r="AD162">
        <v>4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 t="s">
        <v>462</v>
      </c>
      <c r="AL162" t="s">
        <v>6</v>
      </c>
      <c r="AM162" t="s">
        <v>1145</v>
      </c>
      <c r="AN162" t="s">
        <v>1146</v>
      </c>
      <c r="AO162" s="100">
        <v>46262.040405092594</v>
      </c>
      <c r="AP162" t="s">
        <v>1147</v>
      </c>
      <c r="AQ162" t="s">
        <v>1533</v>
      </c>
      <c r="AR162" t="s">
        <v>1197</v>
      </c>
      <c r="AS162" t="s">
        <v>1150</v>
      </c>
      <c r="AT162" t="s">
        <v>1512</v>
      </c>
      <c r="AU162">
        <v>25</v>
      </c>
      <c r="AV162">
        <v>5.4805919999999979</v>
      </c>
      <c r="AW162">
        <v>4.8721349871830584E-2</v>
      </c>
      <c r="AX162">
        <v>0.88897969182582104</v>
      </c>
      <c r="AY162">
        <v>1.3496428095512332</v>
      </c>
      <c r="AZ162">
        <v>2.8164593010638379</v>
      </c>
      <c r="BA162">
        <v>2.981347284779206</v>
      </c>
      <c r="BB162" s="97" t="s">
        <v>161</v>
      </c>
      <c r="BD162" s="98"/>
      <c r="BE162" s="98"/>
      <c r="BF162" t="s">
        <v>1152</v>
      </c>
      <c r="BG162" t="s">
        <v>322</v>
      </c>
      <c r="BH162" t="s">
        <v>1153</v>
      </c>
      <c r="BI162">
        <v>1.3496428095512332</v>
      </c>
      <c r="BJ162" t="s">
        <v>991</v>
      </c>
      <c r="BK162">
        <v>1.1835406989361621</v>
      </c>
      <c r="BL162">
        <v>29.588517473404053</v>
      </c>
      <c r="BM162" t="s">
        <v>1260</v>
      </c>
      <c r="BN162" t="s">
        <v>1154</v>
      </c>
      <c r="BO162">
        <v>2025</v>
      </c>
      <c r="BP162" t="s">
        <v>966</v>
      </c>
      <c r="BQ162">
        <v>69257.0271489078</v>
      </c>
      <c r="BR162">
        <v>93.074297285109225</v>
      </c>
      <c r="BS162" t="s">
        <v>992</v>
      </c>
      <c r="BV162" t="s">
        <v>1034</v>
      </c>
      <c r="BW162" t="s">
        <v>943</v>
      </c>
      <c r="BX162" t="s">
        <v>994</v>
      </c>
      <c r="BY162">
        <v>2.981347284779206</v>
      </c>
      <c r="BZ162" t="s">
        <v>1155</v>
      </c>
      <c r="CA162" t="s">
        <v>991</v>
      </c>
      <c r="CB162" t="b">
        <v>1</v>
      </c>
      <c r="CC162" t="b">
        <v>1</v>
      </c>
      <c r="CD162" t="b">
        <v>1</v>
      </c>
      <c r="CE162" t="b">
        <v>1</v>
      </c>
      <c r="CF162" t="b">
        <v>1</v>
      </c>
    </row>
    <row r="163" spans="1:84" x14ac:dyDescent="0.3">
      <c r="A163" t="s">
        <v>1534</v>
      </c>
      <c r="B163" t="s">
        <v>1199</v>
      </c>
      <c r="C163" s="98">
        <v>45740</v>
      </c>
      <c r="D163">
        <v>2025</v>
      </c>
      <c r="E163">
        <v>3</v>
      </c>
      <c r="F163">
        <v>1</v>
      </c>
      <c r="G163" t="s">
        <v>1187</v>
      </c>
      <c r="H163" t="s">
        <v>127</v>
      </c>
      <c r="I163" t="s">
        <v>127</v>
      </c>
      <c r="J163" t="s">
        <v>6</v>
      </c>
      <c r="L163">
        <v>522611</v>
      </c>
      <c r="M163" s="99" t="s">
        <v>178</v>
      </c>
      <c r="N163">
        <v>1</v>
      </c>
      <c r="O163">
        <v>12</v>
      </c>
      <c r="P163">
        <v>5.5202</v>
      </c>
      <c r="Q163" t="s">
        <v>352</v>
      </c>
      <c r="R163">
        <v>1</v>
      </c>
      <c r="S163">
        <v>5.5</v>
      </c>
      <c r="T163">
        <v>5.9799999999999999E-2</v>
      </c>
      <c r="U163">
        <v>0.33779264214046817</v>
      </c>
      <c r="V163">
        <v>5.3205999999999998</v>
      </c>
      <c r="W163">
        <v>5.3803999999999998</v>
      </c>
      <c r="X163">
        <v>5.4401999999999999</v>
      </c>
      <c r="Y163">
        <v>5.5598000000000001</v>
      </c>
      <c r="Z163">
        <v>5.6196000000000002</v>
      </c>
      <c r="AA163">
        <v>5.6794000000000002</v>
      </c>
      <c r="AD163">
        <v>4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 t="s">
        <v>462</v>
      </c>
      <c r="AL163" t="s">
        <v>6</v>
      </c>
      <c r="AM163" t="s">
        <v>1145</v>
      </c>
      <c r="AN163" t="s">
        <v>1146</v>
      </c>
      <c r="AO163" s="100">
        <v>46262.040405092594</v>
      </c>
      <c r="AP163" t="s">
        <v>1147</v>
      </c>
      <c r="AQ163" t="s">
        <v>1535</v>
      </c>
      <c r="AR163" t="s">
        <v>1201</v>
      </c>
      <c r="AS163" t="s">
        <v>1150</v>
      </c>
      <c r="AT163" t="s">
        <v>1512</v>
      </c>
      <c r="AU163">
        <v>25</v>
      </c>
      <c r="AV163">
        <v>5.4805919999999979</v>
      </c>
      <c r="AW163">
        <v>4.8721349871830584E-2</v>
      </c>
      <c r="AX163">
        <v>0.88897969182582104</v>
      </c>
      <c r="AY163">
        <v>1.3496428095512332</v>
      </c>
      <c r="AZ163">
        <v>2.8164593010638379</v>
      </c>
      <c r="BA163">
        <v>2.981347284779206</v>
      </c>
      <c r="BB163" s="97" t="s">
        <v>161</v>
      </c>
      <c r="BD163" s="98"/>
      <c r="BE163" s="98"/>
      <c r="BF163" t="s">
        <v>1152</v>
      </c>
      <c r="BG163" t="s">
        <v>322</v>
      </c>
      <c r="BH163" t="s">
        <v>1153</v>
      </c>
      <c r="BI163">
        <v>1.3496428095512332</v>
      </c>
      <c r="BJ163" t="s">
        <v>991</v>
      </c>
      <c r="BK163">
        <v>1.1835406989361621</v>
      </c>
      <c r="BL163">
        <v>29.588517473404053</v>
      </c>
      <c r="BM163" t="s">
        <v>1260</v>
      </c>
      <c r="BN163" t="s">
        <v>1154</v>
      </c>
      <c r="BO163">
        <v>2025</v>
      </c>
      <c r="BP163" t="s">
        <v>966</v>
      </c>
      <c r="BQ163">
        <v>69257.0271489078</v>
      </c>
      <c r="BR163">
        <v>93.074297285109225</v>
      </c>
      <c r="BS163" t="s">
        <v>992</v>
      </c>
      <c r="BV163" t="s">
        <v>1034</v>
      </c>
      <c r="BW163" t="s">
        <v>943</v>
      </c>
      <c r="BX163" t="s">
        <v>994</v>
      </c>
      <c r="BY163">
        <v>2.981347284779206</v>
      </c>
      <c r="BZ163" t="s">
        <v>1155</v>
      </c>
      <c r="CA163" t="s">
        <v>991</v>
      </c>
      <c r="CB163" t="b">
        <v>1</v>
      </c>
      <c r="CC163" t="b">
        <v>1</v>
      </c>
      <c r="CD163" t="b">
        <v>1</v>
      </c>
      <c r="CE163" t="b">
        <v>1</v>
      </c>
      <c r="CF163" t="b">
        <v>1</v>
      </c>
    </row>
    <row r="164" spans="1:84" x14ac:dyDescent="0.3">
      <c r="A164" t="s">
        <v>1536</v>
      </c>
      <c r="B164" t="s">
        <v>1203</v>
      </c>
      <c r="C164" s="98">
        <v>45747</v>
      </c>
      <c r="D164">
        <v>2025</v>
      </c>
      <c r="E164">
        <v>3</v>
      </c>
      <c r="F164">
        <v>1</v>
      </c>
      <c r="G164" t="s">
        <v>1187</v>
      </c>
      <c r="H164" t="s">
        <v>127</v>
      </c>
      <c r="I164" t="s">
        <v>127</v>
      </c>
      <c r="J164" t="s">
        <v>6</v>
      </c>
      <c r="L164">
        <v>522611</v>
      </c>
      <c r="M164" s="99" t="s">
        <v>178</v>
      </c>
      <c r="N164">
        <v>1</v>
      </c>
      <c r="O164">
        <v>13</v>
      </c>
      <c r="P164">
        <v>5.5841000000000003</v>
      </c>
      <c r="Q164" t="s">
        <v>352</v>
      </c>
      <c r="R164">
        <v>1</v>
      </c>
      <c r="S164">
        <v>5.5</v>
      </c>
      <c r="T164">
        <v>5.9799999999999999E-2</v>
      </c>
      <c r="U164">
        <v>1.4063545150501719</v>
      </c>
      <c r="V164">
        <v>5.3205999999999998</v>
      </c>
      <c r="W164">
        <v>5.3803999999999998</v>
      </c>
      <c r="X164">
        <v>5.4401999999999999</v>
      </c>
      <c r="Y164">
        <v>5.5598000000000001</v>
      </c>
      <c r="Z164">
        <v>5.6196000000000002</v>
      </c>
      <c r="AA164">
        <v>5.6794000000000002</v>
      </c>
      <c r="AD164">
        <v>4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 t="s">
        <v>462</v>
      </c>
      <c r="AL164" t="s">
        <v>6</v>
      </c>
      <c r="AM164" t="s">
        <v>1145</v>
      </c>
      <c r="AN164" t="s">
        <v>1146</v>
      </c>
      <c r="AO164" s="100">
        <v>46262.040405092594</v>
      </c>
      <c r="AP164" t="s">
        <v>1147</v>
      </c>
      <c r="AQ164" t="s">
        <v>1537</v>
      </c>
      <c r="AR164" t="s">
        <v>1205</v>
      </c>
      <c r="AS164" t="s">
        <v>1150</v>
      </c>
      <c r="AT164" t="s">
        <v>1512</v>
      </c>
      <c r="AU164">
        <v>25</v>
      </c>
      <c r="AV164">
        <v>5.4805919999999979</v>
      </c>
      <c r="AW164">
        <v>4.8721349871830584E-2</v>
      </c>
      <c r="AX164">
        <v>0.88897969182582104</v>
      </c>
      <c r="AY164">
        <v>1.3496428095512332</v>
      </c>
      <c r="AZ164">
        <v>2.8164593010638379</v>
      </c>
      <c r="BA164">
        <v>2.981347284779206</v>
      </c>
      <c r="BB164" s="97" t="s">
        <v>161</v>
      </c>
      <c r="BD164" s="98"/>
      <c r="BE164" s="98"/>
      <c r="BF164" t="s">
        <v>1152</v>
      </c>
      <c r="BG164" t="s">
        <v>322</v>
      </c>
      <c r="BH164" t="s">
        <v>1153</v>
      </c>
      <c r="BI164">
        <v>1.3496428095512332</v>
      </c>
      <c r="BJ164" t="s">
        <v>991</v>
      </c>
      <c r="BK164">
        <v>1.1835406989361621</v>
      </c>
      <c r="BL164">
        <v>29.588517473404053</v>
      </c>
      <c r="BM164" t="s">
        <v>1260</v>
      </c>
      <c r="BN164" t="s">
        <v>1154</v>
      </c>
      <c r="BO164">
        <v>2025</v>
      </c>
      <c r="BP164" t="s">
        <v>966</v>
      </c>
      <c r="BQ164">
        <v>69257.0271489078</v>
      </c>
      <c r="BR164">
        <v>93.074297285109225</v>
      </c>
      <c r="BS164" t="s">
        <v>992</v>
      </c>
      <c r="BV164" t="s">
        <v>1034</v>
      </c>
      <c r="BW164" t="s">
        <v>943</v>
      </c>
      <c r="BX164" t="s">
        <v>994</v>
      </c>
      <c r="BY164">
        <v>2.981347284779206</v>
      </c>
      <c r="BZ164" t="s">
        <v>1155</v>
      </c>
      <c r="CA164" t="s">
        <v>991</v>
      </c>
      <c r="CB164" t="b">
        <v>1</v>
      </c>
      <c r="CC164" t="b">
        <v>1</v>
      </c>
      <c r="CD164" t="b">
        <v>1</v>
      </c>
      <c r="CE164" t="b">
        <v>1</v>
      </c>
      <c r="CF164" t="b">
        <v>1</v>
      </c>
    </row>
    <row r="165" spans="1:84" x14ac:dyDescent="0.3">
      <c r="A165" t="s">
        <v>1538</v>
      </c>
      <c r="B165" t="s">
        <v>1207</v>
      </c>
      <c r="C165" s="98">
        <v>45754</v>
      </c>
      <c r="D165">
        <v>2025</v>
      </c>
      <c r="E165">
        <v>4</v>
      </c>
      <c r="F165">
        <v>2</v>
      </c>
      <c r="G165" t="s">
        <v>1208</v>
      </c>
      <c r="H165" t="s">
        <v>127</v>
      </c>
      <c r="I165" t="s">
        <v>127</v>
      </c>
      <c r="J165" t="s">
        <v>6</v>
      </c>
      <c r="L165">
        <v>522611</v>
      </c>
      <c r="M165" s="99" t="s">
        <v>178</v>
      </c>
      <c r="N165">
        <v>1</v>
      </c>
      <c r="O165">
        <v>14</v>
      </c>
      <c r="P165">
        <v>5.4131</v>
      </c>
      <c r="Q165" t="s">
        <v>352</v>
      </c>
      <c r="R165">
        <v>1</v>
      </c>
      <c r="S165">
        <v>5.5</v>
      </c>
      <c r="T165">
        <v>5.9799999999999999E-2</v>
      </c>
      <c r="U165">
        <v>-1.4531772575250832</v>
      </c>
      <c r="V165">
        <v>5.3205999999999998</v>
      </c>
      <c r="W165">
        <v>5.3803999999999998</v>
      </c>
      <c r="X165">
        <v>5.4401999999999999</v>
      </c>
      <c r="Y165">
        <v>5.5598000000000001</v>
      </c>
      <c r="Z165">
        <v>5.6196000000000002</v>
      </c>
      <c r="AA165">
        <v>5.6794000000000002</v>
      </c>
      <c r="AD165">
        <v>4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 t="s">
        <v>462</v>
      </c>
      <c r="AL165" t="s">
        <v>6</v>
      </c>
      <c r="AM165" t="s">
        <v>1145</v>
      </c>
      <c r="AN165" t="s">
        <v>1146</v>
      </c>
      <c r="AO165" s="100">
        <v>46262.040405092594</v>
      </c>
      <c r="AP165" t="s">
        <v>1147</v>
      </c>
      <c r="AQ165" t="s">
        <v>1539</v>
      </c>
      <c r="AR165" t="s">
        <v>1210</v>
      </c>
      <c r="AS165" t="s">
        <v>1150</v>
      </c>
      <c r="AT165" t="s">
        <v>1512</v>
      </c>
      <c r="AU165">
        <v>25</v>
      </c>
      <c r="AV165">
        <v>5.4805919999999979</v>
      </c>
      <c r="AW165">
        <v>4.8721349871830584E-2</v>
      </c>
      <c r="AX165">
        <v>0.88897969182582104</v>
      </c>
      <c r="AY165">
        <v>1.3496428095512332</v>
      </c>
      <c r="AZ165">
        <v>2.8164593010638379</v>
      </c>
      <c r="BA165">
        <v>2.981347284779206</v>
      </c>
      <c r="BB165" s="97" t="s">
        <v>161</v>
      </c>
      <c r="BD165" s="98"/>
      <c r="BE165" s="98"/>
      <c r="BF165" t="s">
        <v>1152</v>
      </c>
      <c r="BG165" t="s">
        <v>322</v>
      </c>
      <c r="BH165" t="s">
        <v>1153</v>
      </c>
      <c r="BI165">
        <v>1.3496428095512332</v>
      </c>
      <c r="BJ165" t="s">
        <v>991</v>
      </c>
      <c r="BK165">
        <v>1.1835406989361621</v>
      </c>
      <c r="BL165">
        <v>29.588517473404053</v>
      </c>
      <c r="BM165" t="s">
        <v>1260</v>
      </c>
      <c r="BN165" t="s">
        <v>1154</v>
      </c>
      <c r="BO165">
        <v>2025</v>
      </c>
      <c r="BP165" t="s">
        <v>966</v>
      </c>
      <c r="BQ165">
        <v>69257.0271489078</v>
      </c>
      <c r="BR165">
        <v>93.074297285109225</v>
      </c>
      <c r="BS165" t="s">
        <v>992</v>
      </c>
      <c r="BV165" t="s">
        <v>1034</v>
      </c>
      <c r="BW165" t="s">
        <v>943</v>
      </c>
      <c r="BX165" t="s">
        <v>994</v>
      </c>
      <c r="BY165">
        <v>2.981347284779206</v>
      </c>
      <c r="BZ165" t="s">
        <v>1155</v>
      </c>
      <c r="CA165" t="s">
        <v>991</v>
      </c>
      <c r="CB165" t="b">
        <v>1</v>
      </c>
      <c r="CC165" t="b">
        <v>1</v>
      </c>
      <c r="CD165" t="b">
        <v>1</v>
      </c>
      <c r="CE165" t="b">
        <v>1</v>
      </c>
      <c r="CF165" t="b">
        <v>1</v>
      </c>
    </row>
    <row r="166" spans="1:84" x14ac:dyDescent="0.3">
      <c r="A166" t="s">
        <v>1540</v>
      </c>
      <c r="B166" t="s">
        <v>1212</v>
      </c>
      <c r="C166" s="98">
        <v>45761</v>
      </c>
      <c r="D166">
        <v>2025</v>
      </c>
      <c r="E166">
        <v>4</v>
      </c>
      <c r="F166">
        <v>2</v>
      </c>
      <c r="G166" t="s">
        <v>1208</v>
      </c>
      <c r="H166" t="s">
        <v>127</v>
      </c>
      <c r="I166" t="s">
        <v>127</v>
      </c>
      <c r="J166" t="s">
        <v>6</v>
      </c>
      <c r="L166">
        <v>522611</v>
      </c>
      <c r="M166" s="99" t="s">
        <v>178</v>
      </c>
      <c r="N166">
        <v>1</v>
      </c>
      <c r="O166">
        <v>15</v>
      </c>
      <c r="P166">
        <v>5.4874999999999998</v>
      </c>
      <c r="Q166" t="s">
        <v>352</v>
      </c>
      <c r="R166">
        <v>1</v>
      </c>
      <c r="S166">
        <v>5.5</v>
      </c>
      <c r="T166">
        <v>5.9799999999999999E-2</v>
      </c>
      <c r="U166">
        <v>-0.20903010033445113</v>
      </c>
      <c r="V166">
        <v>5.3205999999999998</v>
      </c>
      <c r="W166">
        <v>5.3803999999999998</v>
      </c>
      <c r="X166">
        <v>5.4401999999999999</v>
      </c>
      <c r="Y166">
        <v>5.5598000000000001</v>
      </c>
      <c r="Z166">
        <v>5.6196000000000002</v>
      </c>
      <c r="AA166">
        <v>5.6794000000000002</v>
      </c>
      <c r="AD166">
        <v>4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 t="s">
        <v>462</v>
      </c>
      <c r="AL166" t="s">
        <v>6</v>
      </c>
      <c r="AM166" t="s">
        <v>1145</v>
      </c>
      <c r="AN166" t="s">
        <v>1146</v>
      </c>
      <c r="AO166" s="100">
        <v>46262.040405092594</v>
      </c>
      <c r="AP166" t="s">
        <v>1147</v>
      </c>
      <c r="AQ166" t="s">
        <v>1541</v>
      </c>
      <c r="AR166" t="s">
        <v>1215</v>
      </c>
      <c r="AS166" t="s">
        <v>1150</v>
      </c>
      <c r="AT166" t="s">
        <v>1512</v>
      </c>
      <c r="AU166">
        <v>25</v>
      </c>
      <c r="AV166">
        <v>5.4805919999999979</v>
      </c>
      <c r="AW166">
        <v>4.8721349871830584E-2</v>
      </c>
      <c r="AX166">
        <v>0.88897969182582104</v>
      </c>
      <c r="AY166">
        <v>1.3496428095512332</v>
      </c>
      <c r="AZ166">
        <v>2.8164593010638379</v>
      </c>
      <c r="BA166">
        <v>2.981347284779206</v>
      </c>
      <c r="BB166" s="97" t="s">
        <v>161</v>
      </c>
      <c r="BD166" s="98"/>
      <c r="BE166" s="98"/>
      <c r="BF166" t="s">
        <v>1152</v>
      </c>
      <c r="BG166" t="s">
        <v>322</v>
      </c>
      <c r="BH166" t="s">
        <v>1153</v>
      </c>
      <c r="BI166">
        <v>1.3496428095512332</v>
      </c>
      <c r="BJ166" t="s">
        <v>991</v>
      </c>
      <c r="BK166">
        <v>1.1835406989361621</v>
      </c>
      <c r="BL166">
        <v>29.588517473404053</v>
      </c>
      <c r="BM166" t="s">
        <v>1260</v>
      </c>
      <c r="BN166" t="s">
        <v>1154</v>
      </c>
      <c r="BO166">
        <v>2025</v>
      </c>
      <c r="BP166" t="s">
        <v>966</v>
      </c>
      <c r="BQ166">
        <v>69257.0271489078</v>
      </c>
      <c r="BR166">
        <v>93.074297285109225</v>
      </c>
      <c r="BS166" t="s">
        <v>992</v>
      </c>
      <c r="BV166" t="s">
        <v>1034</v>
      </c>
      <c r="BW166" t="s">
        <v>943</v>
      </c>
      <c r="BX166" t="s">
        <v>994</v>
      </c>
      <c r="BY166">
        <v>2.981347284779206</v>
      </c>
      <c r="BZ166" t="s">
        <v>1155</v>
      </c>
      <c r="CA166" t="s">
        <v>991</v>
      </c>
      <c r="CB166" t="b">
        <v>1</v>
      </c>
      <c r="CC166" t="b">
        <v>1</v>
      </c>
      <c r="CD166" t="b">
        <v>1</v>
      </c>
      <c r="CE166" t="b">
        <v>1</v>
      </c>
      <c r="CF166" t="b">
        <v>1</v>
      </c>
    </row>
    <row r="167" spans="1:84" x14ac:dyDescent="0.3">
      <c r="A167" t="s">
        <v>1542</v>
      </c>
      <c r="B167" t="s">
        <v>1217</v>
      </c>
      <c r="C167" s="98">
        <v>45768</v>
      </c>
      <c r="D167">
        <v>2025</v>
      </c>
      <c r="E167">
        <v>4</v>
      </c>
      <c r="F167">
        <v>2</v>
      </c>
      <c r="G167" t="s">
        <v>1208</v>
      </c>
      <c r="H167" t="s">
        <v>127</v>
      </c>
      <c r="I167" t="s">
        <v>127</v>
      </c>
      <c r="J167" t="s">
        <v>6</v>
      </c>
      <c r="L167">
        <v>522611</v>
      </c>
      <c r="M167" s="99" t="s">
        <v>178</v>
      </c>
      <c r="N167">
        <v>1</v>
      </c>
      <c r="O167">
        <v>16</v>
      </c>
      <c r="P167">
        <v>5.4622000000000002</v>
      </c>
      <c r="Q167" t="s">
        <v>352</v>
      </c>
      <c r="R167">
        <v>1</v>
      </c>
      <c r="S167">
        <v>5.5</v>
      </c>
      <c r="T167">
        <v>5.9799999999999999E-2</v>
      </c>
      <c r="U167">
        <v>-0.63210702341136848</v>
      </c>
      <c r="V167">
        <v>5.3205999999999998</v>
      </c>
      <c r="W167">
        <v>5.3803999999999998</v>
      </c>
      <c r="X167">
        <v>5.4401999999999999</v>
      </c>
      <c r="Y167">
        <v>5.5598000000000001</v>
      </c>
      <c r="Z167">
        <v>5.6196000000000002</v>
      </c>
      <c r="AA167">
        <v>5.6794000000000002</v>
      </c>
      <c r="AD167">
        <v>4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 t="s">
        <v>462</v>
      </c>
      <c r="AL167" t="s">
        <v>6</v>
      </c>
      <c r="AM167" t="s">
        <v>1145</v>
      </c>
      <c r="AN167" t="s">
        <v>1146</v>
      </c>
      <c r="AO167" s="100">
        <v>46262.040405092594</v>
      </c>
      <c r="AP167" t="s">
        <v>1147</v>
      </c>
      <c r="AQ167" t="s">
        <v>1543</v>
      </c>
      <c r="AR167" t="s">
        <v>1219</v>
      </c>
      <c r="AS167" t="s">
        <v>1150</v>
      </c>
      <c r="AT167" t="s">
        <v>1512</v>
      </c>
      <c r="AU167">
        <v>25</v>
      </c>
      <c r="AV167">
        <v>5.4805919999999979</v>
      </c>
      <c r="AW167">
        <v>4.8721349871830584E-2</v>
      </c>
      <c r="AX167">
        <v>0.88897969182582104</v>
      </c>
      <c r="AY167">
        <v>1.3496428095512332</v>
      </c>
      <c r="AZ167">
        <v>2.8164593010638379</v>
      </c>
      <c r="BA167">
        <v>2.981347284779206</v>
      </c>
      <c r="BB167" s="97" t="s">
        <v>161</v>
      </c>
      <c r="BD167" s="98"/>
      <c r="BE167" s="98"/>
      <c r="BF167" t="s">
        <v>1152</v>
      </c>
      <c r="BG167" t="s">
        <v>322</v>
      </c>
      <c r="BH167" t="s">
        <v>1153</v>
      </c>
      <c r="BI167">
        <v>1.3496428095512332</v>
      </c>
      <c r="BJ167" t="s">
        <v>991</v>
      </c>
      <c r="BK167">
        <v>1.1835406989361621</v>
      </c>
      <c r="BL167">
        <v>29.588517473404053</v>
      </c>
      <c r="BM167" t="s">
        <v>1260</v>
      </c>
      <c r="BN167" t="s">
        <v>1154</v>
      </c>
      <c r="BO167">
        <v>2025</v>
      </c>
      <c r="BP167" t="s">
        <v>966</v>
      </c>
      <c r="BQ167">
        <v>69257.0271489078</v>
      </c>
      <c r="BR167">
        <v>93.074297285109225</v>
      </c>
      <c r="BS167" t="s">
        <v>992</v>
      </c>
      <c r="BV167" t="s">
        <v>1034</v>
      </c>
      <c r="BW167" t="s">
        <v>943</v>
      </c>
      <c r="BX167" t="s">
        <v>994</v>
      </c>
      <c r="BY167">
        <v>2.981347284779206</v>
      </c>
      <c r="BZ167" t="s">
        <v>1155</v>
      </c>
      <c r="CA167" t="s">
        <v>991</v>
      </c>
      <c r="CB167" t="b">
        <v>1</v>
      </c>
      <c r="CC167" t="b">
        <v>1</v>
      </c>
      <c r="CD167" t="b">
        <v>1</v>
      </c>
      <c r="CE167" t="b">
        <v>1</v>
      </c>
      <c r="CF167" t="b">
        <v>1</v>
      </c>
    </row>
    <row r="168" spans="1:84" x14ac:dyDescent="0.3">
      <c r="A168" t="s">
        <v>1544</v>
      </c>
      <c r="B168" t="s">
        <v>1221</v>
      </c>
      <c r="C168" s="98">
        <v>45775</v>
      </c>
      <c r="D168">
        <v>2025</v>
      </c>
      <c r="E168">
        <v>4</v>
      </c>
      <c r="F168">
        <v>2</v>
      </c>
      <c r="G168" t="s">
        <v>1208</v>
      </c>
      <c r="H168" t="s">
        <v>127</v>
      </c>
      <c r="I168" t="s">
        <v>127</v>
      </c>
      <c r="J168" t="s">
        <v>6</v>
      </c>
      <c r="L168">
        <v>522611</v>
      </c>
      <c r="M168" s="99" t="s">
        <v>178</v>
      </c>
      <c r="N168">
        <v>1</v>
      </c>
      <c r="O168">
        <v>17</v>
      </c>
      <c r="P168">
        <v>5.3948</v>
      </c>
      <c r="Q168" t="s">
        <v>352</v>
      </c>
      <c r="R168">
        <v>1</v>
      </c>
      <c r="S168">
        <v>5.5</v>
      </c>
      <c r="T168">
        <v>5.9799999999999999E-2</v>
      </c>
      <c r="U168">
        <v>-1.759197324414715</v>
      </c>
      <c r="V168">
        <v>5.3205999999999998</v>
      </c>
      <c r="W168">
        <v>5.3803999999999998</v>
      </c>
      <c r="X168">
        <v>5.4401999999999999</v>
      </c>
      <c r="Y168">
        <v>5.5598000000000001</v>
      </c>
      <c r="Z168">
        <v>5.6196000000000002</v>
      </c>
      <c r="AA168">
        <v>5.6794000000000002</v>
      </c>
      <c r="AD168">
        <v>4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 t="s">
        <v>462</v>
      </c>
      <c r="AL168" t="s">
        <v>6</v>
      </c>
      <c r="AM168" t="s">
        <v>1145</v>
      </c>
      <c r="AN168" t="s">
        <v>1146</v>
      </c>
      <c r="AO168" s="100">
        <v>46262.040405092594</v>
      </c>
      <c r="AP168" t="s">
        <v>1147</v>
      </c>
      <c r="AQ168" t="s">
        <v>1545</v>
      </c>
      <c r="AR168" t="s">
        <v>1223</v>
      </c>
      <c r="AS168" t="s">
        <v>1150</v>
      </c>
      <c r="AT168" t="s">
        <v>1512</v>
      </c>
      <c r="AU168">
        <v>25</v>
      </c>
      <c r="AV168">
        <v>5.4805919999999979</v>
      </c>
      <c r="AW168">
        <v>4.8721349871830584E-2</v>
      </c>
      <c r="AX168">
        <v>0.88897969182582104</v>
      </c>
      <c r="AY168">
        <v>1.3496428095512332</v>
      </c>
      <c r="AZ168">
        <v>2.8164593010638379</v>
      </c>
      <c r="BA168">
        <v>2.981347284779206</v>
      </c>
      <c r="BB168" s="97" t="s">
        <v>161</v>
      </c>
      <c r="BD168" s="98"/>
      <c r="BE168" s="98"/>
      <c r="BF168" t="s">
        <v>1152</v>
      </c>
      <c r="BG168" t="s">
        <v>322</v>
      </c>
      <c r="BH168" t="s">
        <v>1153</v>
      </c>
      <c r="BI168">
        <v>1.3496428095512332</v>
      </c>
      <c r="BJ168" t="s">
        <v>991</v>
      </c>
      <c r="BK168">
        <v>1.1835406989361621</v>
      </c>
      <c r="BL168">
        <v>29.588517473404053</v>
      </c>
      <c r="BM168" t="s">
        <v>1260</v>
      </c>
      <c r="BN168" t="s">
        <v>1154</v>
      </c>
      <c r="BO168">
        <v>2025</v>
      </c>
      <c r="BP168" t="s">
        <v>966</v>
      </c>
      <c r="BQ168">
        <v>69257.0271489078</v>
      </c>
      <c r="BR168">
        <v>93.074297285109225</v>
      </c>
      <c r="BS168" t="s">
        <v>992</v>
      </c>
      <c r="BV168" t="s">
        <v>1034</v>
      </c>
      <c r="BW168" t="s">
        <v>943</v>
      </c>
      <c r="BX168" t="s">
        <v>994</v>
      </c>
      <c r="BY168">
        <v>2.981347284779206</v>
      </c>
      <c r="BZ168" t="s">
        <v>1155</v>
      </c>
      <c r="CA168" t="s">
        <v>991</v>
      </c>
      <c r="CB168" t="b">
        <v>1</v>
      </c>
      <c r="CC168" t="b">
        <v>1</v>
      </c>
      <c r="CD168" t="b">
        <v>1</v>
      </c>
      <c r="CE168" t="b">
        <v>1</v>
      </c>
      <c r="CF168" t="b">
        <v>1</v>
      </c>
    </row>
    <row r="169" spans="1:84" x14ac:dyDescent="0.3">
      <c r="A169" t="s">
        <v>1546</v>
      </c>
      <c r="B169" t="s">
        <v>1225</v>
      </c>
      <c r="C169" s="98">
        <v>45782</v>
      </c>
      <c r="D169">
        <v>2025</v>
      </c>
      <c r="E169">
        <v>5</v>
      </c>
      <c r="F169">
        <v>2</v>
      </c>
      <c r="G169" t="s">
        <v>1226</v>
      </c>
      <c r="H169" t="s">
        <v>127</v>
      </c>
      <c r="I169" t="s">
        <v>127</v>
      </c>
      <c r="J169" t="s">
        <v>6</v>
      </c>
      <c r="L169">
        <v>522611</v>
      </c>
      <c r="M169" s="99" t="s">
        <v>178</v>
      </c>
      <c r="N169">
        <v>1</v>
      </c>
      <c r="O169">
        <v>18</v>
      </c>
      <c r="P169">
        <v>5.5438999999999998</v>
      </c>
      <c r="Q169" t="s">
        <v>352</v>
      </c>
      <c r="R169">
        <v>1</v>
      </c>
      <c r="S169">
        <v>5.5</v>
      </c>
      <c r="T169">
        <v>5.9799999999999999E-2</v>
      </c>
      <c r="U169">
        <v>0.73411371237457912</v>
      </c>
      <c r="V169">
        <v>5.3205999999999998</v>
      </c>
      <c r="W169">
        <v>5.3803999999999998</v>
      </c>
      <c r="X169">
        <v>5.4401999999999999</v>
      </c>
      <c r="Y169">
        <v>5.5598000000000001</v>
      </c>
      <c r="Z169">
        <v>5.6196000000000002</v>
      </c>
      <c r="AA169">
        <v>5.6794000000000002</v>
      </c>
      <c r="AD169">
        <v>4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 t="s">
        <v>462</v>
      </c>
      <c r="AL169" t="s">
        <v>6</v>
      </c>
      <c r="AM169" t="s">
        <v>1145</v>
      </c>
      <c r="AN169" t="s">
        <v>1146</v>
      </c>
      <c r="AO169" s="100">
        <v>46262.040405092594</v>
      </c>
      <c r="AP169" t="s">
        <v>1147</v>
      </c>
      <c r="AQ169" t="s">
        <v>1547</v>
      </c>
      <c r="AR169" t="s">
        <v>1228</v>
      </c>
      <c r="AS169" t="s">
        <v>1150</v>
      </c>
      <c r="AT169" t="s">
        <v>1512</v>
      </c>
      <c r="AU169">
        <v>25</v>
      </c>
      <c r="AV169">
        <v>5.4805919999999979</v>
      </c>
      <c r="AW169">
        <v>4.8721349871830584E-2</v>
      </c>
      <c r="AX169">
        <v>0.88897969182582104</v>
      </c>
      <c r="AY169">
        <v>1.3496428095512332</v>
      </c>
      <c r="AZ169">
        <v>2.8164593010638379</v>
      </c>
      <c r="BA169">
        <v>2.981347284779206</v>
      </c>
      <c r="BB169" s="97" t="s">
        <v>161</v>
      </c>
      <c r="BD169" s="98"/>
      <c r="BE169" s="98"/>
      <c r="BF169" t="s">
        <v>1152</v>
      </c>
      <c r="BG169" t="s">
        <v>322</v>
      </c>
      <c r="BH169" t="s">
        <v>1153</v>
      </c>
      <c r="BI169">
        <v>1.3496428095512332</v>
      </c>
      <c r="BJ169" t="s">
        <v>991</v>
      </c>
      <c r="BK169">
        <v>1.1835406989361621</v>
      </c>
      <c r="BL169">
        <v>29.588517473404053</v>
      </c>
      <c r="BM169" t="s">
        <v>1260</v>
      </c>
      <c r="BN169" t="s">
        <v>1154</v>
      </c>
      <c r="BO169">
        <v>2025</v>
      </c>
      <c r="BP169" t="s">
        <v>966</v>
      </c>
      <c r="BQ169">
        <v>69257.0271489078</v>
      </c>
      <c r="BR169">
        <v>93.074297285109225</v>
      </c>
      <c r="BS169" t="s">
        <v>992</v>
      </c>
      <c r="BV169" t="s">
        <v>1034</v>
      </c>
      <c r="BW169" t="s">
        <v>943</v>
      </c>
      <c r="BX169" t="s">
        <v>994</v>
      </c>
      <c r="BY169">
        <v>2.981347284779206</v>
      </c>
      <c r="BZ169" t="s">
        <v>1155</v>
      </c>
      <c r="CA169" t="s">
        <v>991</v>
      </c>
      <c r="CB169" t="b">
        <v>1</v>
      </c>
      <c r="CC169" t="b">
        <v>1</v>
      </c>
      <c r="CD169" t="b">
        <v>1</v>
      </c>
      <c r="CE169" t="b">
        <v>1</v>
      </c>
      <c r="CF169" t="b">
        <v>1</v>
      </c>
    </row>
    <row r="170" spans="1:84" x14ac:dyDescent="0.3">
      <c r="A170" t="s">
        <v>1548</v>
      </c>
      <c r="B170" t="s">
        <v>1230</v>
      </c>
      <c r="C170" s="98">
        <v>45789</v>
      </c>
      <c r="D170">
        <v>2025</v>
      </c>
      <c r="E170">
        <v>5</v>
      </c>
      <c r="F170">
        <v>2</v>
      </c>
      <c r="G170" t="s">
        <v>1226</v>
      </c>
      <c r="H170" t="s">
        <v>127</v>
      </c>
      <c r="I170" t="s">
        <v>127</v>
      </c>
      <c r="J170" t="s">
        <v>6</v>
      </c>
      <c r="L170">
        <v>522611</v>
      </c>
      <c r="M170" s="99" t="s">
        <v>178</v>
      </c>
      <c r="N170">
        <v>1</v>
      </c>
      <c r="O170">
        <v>19</v>
      </c>
      <c r="P170">
        <v>5.4985999999999997</v>
      </c>
      <c r="Q170" t="s">
        <v>352</v>
      </c>
      <c r="R170">
        <v>1</v>
      </c>
      <c r="S170">
        <v>5.5</v>
      </c>
      <c r="T170">
        <v>5.9799999999999999E-2</v>
      </c>
      <c r="U170">
        <v>-2.3411371237463043E-2</v>
      </c>
      <c r="V170">
        <v>5.3205999999999998</v>
      </c>
      <c r="W170">
        <v>5.3803999999999998</v>
      </c>
      <c r="X170">
        <v>5.4401999999999999</v>
      </c>
      <c r="Y170">
        <v>5.5598000000000001</v>
      </c>
      <c r="Z170">
        <v>5.6196000000000002</v>
      </c>
      <c r="AA170">
        <v>5.6794000000000002</v>
      </c>
      <c r="AD170">
        <v>4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 t="s">
        <v>462</v>
      </c>
      <c r="AL170" t="s">
        <v>6</v>
      </c>
      <c r="AM170" t="s">
        <v>1145</v>
      </c>
      <c r="AN170" t="s">
        <v>1146</v>
      </c>
      <c r="AO170" s="100">
        <v>46262.040405092594</v>
      </c>
      <c r="AP170" t="s">
        <v>1147</v>
      </c>
      <c r="AQ170" t="s">
        <v>1549</v>
      </c>
      <c r="AR170" t="s">
        <v>1232</v>
      </c>
      <c r="AS170" t="s">
        <v>1150</v>
      </c>
      <c r="AT170" t="s">
        <v>1512</v>
      </c>
      <c r="AU170">
        <v>25</v>
      </c>
      <c r="AV170">
        <v>5.4805919999999979</v>
      </c>
      <c r="AW170">
        <v>4.8721349871830584E-2</v>
      </c>
      <c r="AX170">
        <v>0.88897969182582104</v>
      </c>
      <c r="AY170">
        <v>1.3496428095512332</v>
      </c>
      <c r="AZ170">
        <v>2.8164593010638379</v>
      </c>
      <c r="BA170">
        <v>2.981347284779206</v>
      </c>
      <c r="BB170" s="97" t="s">
        <v>161</v>
      </c>
      <c r="BD170" s="98"/>
      <c r="BE170" s="98"/>
      <c r="BF170" t="s">
        <v>1152</v>
      </c>
      <c r="BG170" t="s">
        <v>322</v>
      </c>
      <c r="BH170" t="s">
        <v>1153</v>
      </c>
      <c r="BI170">
        <v>1.3496428095512332</v>
      </c>
      <c r="BJ170" t="s">
        <v>991</v>
      </c>
      <c r="BK170">
        <v>1.1835406989361621</v>
      </c>
      <c r="BL170">
        <v>29.588517473404053</v>
      </c>
      <c r="BM170" t="s">
        <v>1260</v>
      </c>
      <c r="BN170" t="s">
        <v>1154</v>
      </c>
      <c r="BO170">
        <v>2025</v>
      </c>
      <c r="BP170" t="s">
        <v>966</v>
      </c>
      <c r="BQ170">
        <v>69257.0271489078</v>
      </c>
      <c r="BR170">
        <v>93.074297285109225</v>
      </c>
      <c r="BS170" t="s">
        <v>992</v>
      </c>
      <c r="BV170" t="s">
        <v>1034</v>
      </c>
      <c r="BW170" t="s">
        <v>943</v>
      </c>
      <c r="BX170" t="s">
        <v>994</v>
      </c>
      <c r="BY170">
        <v>2.981347284779206</v>
      </c>
      <c r="BZ170" t="s">
        <v>1155</v>
      </c>
      <c r="CA170" t="s">
        <v>991</v>
      </c>
      <c r="CB170" t="b">
        <v>1</v>
      </c>
      <c r="CC170" t="b">
        <v>1</v>
      </c>
      <c r="CD170" t="b">
        <v>1</v>
      </c>
      <c r="CE170" t="b">
        <v>1</v>
      </c>
      <c r="CF170" t="b">
        <v>1</v>
      </c>
    </row>
    <row r="171" spans="1:84" x14ac:dyDescent="0.3">
      <c r="A171" t="s">
        <v>1550</v>
      </c>
      <c r="B171" t="s">
        <v>1234</v>
      </c>
      <c r="C171" s="98">
        <v>45796</v>
      </c>
      <c r="D171">
        <v>2025</v>
      </c>
      <c r="E171">
        <v>5</v>
      </c>
      <c r="F171">
        <v>2</v>
      </c>
      <c r="G171" t="s">
        <v>1226</v>
      </c>
      <c r="H171" t="s">
        <v>127</v>
      </c>
      <c r="I171" t="s">
        <v>127</v>
      </c>
      <c r="J171" t="s">
        <v>6</v>
      </c>
      <c r="L171">
        <v>522611</v>
      </c>
      <c r="M171" s="99" t="s">
        <v>178</v>
      </c>
      <c r="N171">
        <v>1</v>
      </c>
      <c r="O171">
        <v>20</v>
      </c>
      <c r="P171">
        <v>5.5042999999999997</v>
      </c>
      <c r="Q171" t="s">
        <v>352</v>
      </c>
      <c r="R171">
        <v>1</v>
      </c>
      <c r="S171">
        <v>5.5</v>
      </c>
      <c r="T171">
        <v>5.9799999999999999E-2</v>
      </c>
      <c r="U171">
        <v>7.1906354515045956E-2</v>
      </c>
      <c r="V171">
        <v>5.3205999999999998</v>
      </c>
      <c r="W171">
        <v>5.3803999999999998</v>
      </c>
      <c r="X171">
        <v>5.4401999999999999</v>
      </c>
      <c r="Y171">
        <v>5.5598000000000001</v>
      </c>
      <c r="Z171">
        <v>5.6196000000000002</v>
      </c>
      <c r="AA171">
        <v>5.6794000000000002</v>
      </c>
      <c r="AD171">
        <v>4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 t="s">
        <v>462</v>
      </c>
      <c r="AL171" t="s">
        <v>6</v>
      </c>
      <c r="AM171" t="s">
        <v>1145</v>
      </c>
      <c r="AN171" t="s">
        <v>1146</v>
      </c>
      <c r="AO171" s="100">
        <v>46262.040405092594</v>
      </c>
      <c r="AP171" t="s">
        <v>1147</v>
      </c>
      <c r="AQ171" t="s">
        <v>1551</v>
      </c>
      <c r="AR171" t="s">
        <v>1236</v>
      </c>
      <c r="AS171" t="s">
        <v>1150</v>
      </c>
      <c r="AT171" t="s">
        <v>1512</v>
      </c>
      <c r="AU171">
        <v>25</v>
      </c>
      <c r="AV171">
        <v>5.4805919999999979</v>
      </c>
      <c r="AW171">
        <v>4.8721349871830584E-2</v>
      </c>
      <c r="AX171">
        <v>0.88897969182582104</v>
      </c>
      <c r="AY171">
        <v>1.3496428095512332</v>
      </c>
      <c r="AZ171">
        <v>2.8164593010638379</v>
      </c>
      <c r="BA171">
        <v>2.981347284779206</v>
      </c>
      <c r="BB171" s="97" t="s">
        <v>161</v>
      </c>
      <c r="BD171" s="98"/>
      <c r="BE171" s="98"/>
      <c r="BF171" t="s">
        <v>1152</v>
      </c>
      <c r="BG171" t="s">
        <v>322</v>
      </c>
      <c r="BH171" t="s">
        <v>1153</v>
      </c>
      <c r="BI171">
        <v>1.3496428095512332</v>
      </c>
      <c r="BJ171" t="s">
        <v>991</v>
      </c>
      <c r="BK171">
        <v>1.1835406989361621</v>
      </c>
      <c r="BL171">
        <v>29.588517473404053</v>
      </c>
      <c r="BM171" t="s">
        <v>1260</v>
      </c>
      <c r="BN171" t="s">
        <v>1154</v>
      </c>
      <c r="BO171">
        <v>2025</v>
      </c>
      <c r="BP171" t="s">
        <v>966</v>
      </c>
      <c r="BQ171">
        <v>69257.0271489078</v>
      </c>
      <c r="BR171">
        <v>93.074297285109225</v>
      </c>
      <c r="BS171" t="s">
        <v>992</v>
      </c>
      <c r="BV171" t="s">
        <v>1034</v>
      </c>
      <c r="BW171" t="s">
        <v>943</v>
      </c>
      <c r="BX171" t="s">
        <v>994</v>
      </c>
      <c r="BY171">
        <v>2.981347284779206</v>
      </c>
      <c r="BZ171" t="s">
        <v>1155</v>
      </c>
      <c r="CA171" t="s">
        <v>991</v>
      </c>
      <c r="CB171" t="b">
        <v>1</v>
      </c>
      <c r="CC171" t="b">
        <v>1</v>
      </c>
      <c r="CD171" t="b">
        <v>1</v>
      </c>
      <c r="CE171" t="b">
        <v>1</v>
      </c>
      <c r="CF171" t="b">
        <v>1</v>
      </c>
    </row>
    <row r="172" spans="1:84" x14ac:dyDescent="0.3">
      <c r="A172" t="s">
        <v>1552</v>
      </c>
      <c r="B172" t="s">
        <v>1238</v>
      </c>
      <c r="C172" s="98">
        <v>45803</v>
      </c>
      <c r="D172">
        <v>2025</v>
      </c>
      <c r="E172">
        <v>5</v>
      </c>
      <c r="F172">
        <v>2</v>
      </c>
      <c r="G172" t="s">
        <v>1226</v>
      </c>
      <c r="H172" t="s">
        <v>127</v>
      </c>
      <c r="I172" t="s">
        <v>127</v>
      </c>
      <c r="J172" t="s">
        <v>6</v>
      </c>
      <c r="L172">
        <v>522611</v>
      </c>
      <c r="M172" s="99" t="s">
        <v>178</v>
      </c>
      <c r="N172">
        <v>1</v>
      </c>
      <c r="O172">
        <v>21</v>
      </c>
      <c r="P172">
        <v>5.4550000000000001</v>
      </c>
      <c r="Q172" t="s">
        <v>352</v>
      </c>
      <c r="R172">
        <v>1</v>
      </c>
      <c r="S172">
        <v>5.5</v>
      </c>
      <c r="T172">
        <v>5.9799999999999999E-2</v>
      </c>
      <c r="U172">
        <v>-0.75250836120401221</v>
      </c>
      <c r="V172">
        <v>5.3205999999999998</v>
      </c>
      <c r="W172">
        <v>5.3803999999999998</v>
      </c>
      <c r="X172">
        <v>5.4401999999999999</v>
      </c>
      <c r="Y172">
        <v>5.5598000000000001</v>
      </c>
      <c r="Z172">
        <v>5.6196000000000002</v>
      </c>
      <c r="AA172">
        <v>5.6794000000000002</v>
      </c>
      <c r="AD172">
        <v>4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 t="s">
        <v>462</v>
      </c>
      <c r="AL172" t="s">
        <v>6</v>
      </c>
      <c r="AM172" t="s">
        <v>1145</v>
      </c>
      <c r="AN172" t="s">
        <v>1146</v>
      </c>
      <c r="AO172" s="100">
        <v>46262.040405092594</v>
      </c>
      <c r="AP172" t="s">
        <v>1147</v>
      </c>
      <c r="AQ172" t="s">
        <v>1553</v>
      </c>
      <c r="AR172" t="s">
        <v>1240</v>
      </c>
      <c r="AS172" t="s">
        <v>1150</v>
      </c>
      <c r="AT172" t="s">
        <v>1512</v>
      </c>
      <c r="AU172">
        <v>25</v>
      </c>
      <c r="AV172">
        <v>5.4805919999999979</v>
      </c>
      <c r="AW172">
        <v>4.8721349871830584E-2</v>
      </c>
      <c r="AX172">
        <v>0.88897969182582104</v>
      </c>
      <c r="AY172">
        <v>1.3496428095512332</v>
      </c>
      <c r="AZ172">
        <v>2.8164593010638379</v>
      </c>
      <c r="BA172">
        <v>2.981347284779206</v>
      </c>
      <c r="BB172" s="97" t="s">
        <v>161</v>
      </c>
      <c r="BD172" s="98"/>
      <c r="BE172" s="98"/>
      <c r="BF172" t="s">
        <v>1152</v>
      </c>
      <c r="BG172" t="s">
        <v>322</v>
      </c>
      <c r="BH172" t="s">
        <v>1153</v>
      </c>
      <c r="BI172">
        <v>1.3496428095512332</v>
      </c>
      <c r="BJ172" t="s">
        <v>991</v>
      </c>
      <c r="BK172">
        <v>1.1835406989361621</v>
      </c>
      <c r="BL172">
        <v>29.588517473404053</v>
      </c>
      <c r="BM172" t="s">
        <v>1260</v>
      </c>
      <c r="BN172" t="s">
        <v>1154</v>
      </c>
      <c r="BO172">
        <v>2025</v>
      </c>
      <c r="BP172" t="s">
        <v>966</v>
      </c>
      <c r="BQ172">
        <v>69257.0271489078</v>
      </c>
      <c r="BR172">
        <v>93.074297285109225</v>
      </c>
      <c r="BS172" t="s">
        <v>992</v>
      </c>
      <c r="BV172" t="s">
        <v>1034</v>
      </c>
      <c r="BW172" t="s">
        <v>943</v>
      </c>
      <c r="BX172" t="s">
        <v>994</v>
      </c>
      <c r="BY172">
        <v>2.981347284779206</v>
      </c>
      <c r="BZ172" t="s">
        <v>1155</v>
      </c>
      <c r="CA172" t="s">
        <v>991</v>
      </c>
      <c r="CB172" t="b">
        <v>1</v>
      </c>
      <c r="CC172" t="b">
        <v>1</v>
      </c>
      <c r="CD172" t="b">
        <v>1</v>
      </c>
      <c r="CE172" t="b">
        <v>1</v>
      </c>
      <c r="CF172" t="b">
        <v>1</v>
      </c>
    </row>
    <row r="173" spans="1:84" x14ac:dyDescent="0.3">
      <c r="A173" t="s">
        <v>1554</v>
      </c>
      <c r="B173" t="s">
        <v>1242</v>
      </c>
      <c r="C173" s="98">
        <v>45810</v>
      </c>
      <c r="D173">
        <v>2025</v>
      </c>
      <c r="E173">
        <v>6</v>
      </c>
      <c r="F173">
        <v>2</v>
      </c>
      <c r="G173" t="s">
        <v>1243</v>
      </c>
      <c r="H173" t="s">
        <v>127</v>
      </c>
      <c r="I173" t="s">
        <v>127</v>
      </c>
      <c r="J173" t="s">
        <v>6</v>
      </c>
      <c r="L173">
        <v>522611</v>
      </c>
      <c r="M173" s="99" t="s">
        <v>178</v>
      </c>
      <c r="N173">
        <v>1</v>
      </c>
      <c r="O173">
        <v>22</v>
      </c>
      <c r="P173">
        <v>5.5271999999999997</v>
      </c>
      <c r="Q173" t="s">
        <v>352</v>
      </c>
      <c r="R173">
        <v>1</v>
      </c>
      <c r="S173">
        <v>5.5</v>
      </c>
      <c r="T173">
        <v>5.9799999999999999E-2</v>
      </c>
      <c r="U173">
        <v>0.45484949832775368</v>
      </c>
      <c r="V173">
        <v>5.3205999999999998</v>
      </c>
      <c r="W173">
        <v>5.3803999999999998</v>
      </c>
      <c r="X173">
        <v>5.4401999999999999</v>
      </c>
      <c r="Y173">
        <v>5.5598000000000001</v>
      </c>
      <c r="Z173">
        <v>5.6196000000000002</v>
      </c>
      <c r="AA173">
        <v>5.6794000000000002</v>
      </c>
      <c r="AD173">
        <v>4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 t="s">
        <v>462</v>
      </c>
      <c r="AL173" t="s">
        <v>6</v>
      </c>
      <c r="AM173" t="s">
        <v>1145</v>
      </c>
      <c r="AN173" t="s">
        <v>1146</v>
      </c>
      <c r="AO173" s="100">
        <v>46262.040405092594</v>
      </c>
      <c r="AP173" t="s">
        <v>1147</v>
      </c>
      <c r="AQ173" t="s">
        <v>1555</v>
      </c>
      <c r="AR173" t="s">
        <v>1245</v>
      </c>
      <c r="AS173" t="s">
        <v>1150</v>
      </c>
      <c r="AT173" t="s">
        <v>1512</v>
      </c>
      <c r="AU173">
        <v>25</v>
      </c>
      <c r="AV173">
        <v>5.4805919999999979</v>
      </c>
      <c r="AW173">
        <v>4.8721349871830584E-2</v>
      </c>
      <c r="AX173">
        <v>0.88897969182582104</v>
      </c>
      <c r="AY173">
        <v>1.3496428095512332</v>
      </c>
      <c r="AZ173">
        <v>2.8164593010638379</v>
      </c>
      <c r="BA173">
        <v>2.981347284779206</v>
      </c>
      <c r="BB173" s="97" t="s">
        <v>161</v>
      </c>
      <c r="BD173" s="98"/>
      <c r="BE173" s="98"/>
      <c r="BF173" t="s">
        <v>1152</v>
      </c>
      <c r="BG173" t="s">
        <v>322</v>
      </c>
      <c r="BH173" t="s">
        <v>1153</v>
      </c>
      <c r="BI173">
        <v>1.3496428095512332</v>
      </c>
      <c r="BJ173" t="s">
        <v>991</v>
      </c>
      <c r="BK173">
        <v>1.1835406989361621</v>
      </c>
      <c r="BL173">
        <v>29.588517473404053</v>
      </c>
      <c r="BM173" t="s">
        <v>1260</v>
      </c>
      <c r="BN173" t="s">
        <v>1154</v>
      </c>
      <c r="BO173">
        <v>2025</v>
      </c>
      <c r="BP173" t="s">
        <v>966</v>
      </c>
      <c r="BQ173">
        <v>69257.0271489078</v>
      </c>
      <c r="BR173">
        <v>93.074297285109225</v>
      </c>
      <c r="BS173" t="s">
        <v>992</v>
      </c>
      <c r="BV173" t="s">
        <v>1034</v>
      </c>
      <c r="BW173" t="s">
        <v>943</v>
      </c>
      <c r="BX173" t="s">
        <v>994</v>
      </c>
      <c r="BY173">
        <v>2.981347284779206</v>
      </c>
      <c r="BZ173" t="s">
        <v>1155</v>
      </c>
      <c r="CA173" t="s">
        <v>991</v>
      </c>
      <c r="CB173" t="b">
        <v>1</v>
      </c>
      <c r="CC173" t="b">
        <v>1</v>
      </c>
      <c r="CD173" t="b">
        <v>1</v>
      </c>
      <c r="CE173" t="b">
        <v>1</v>
      </c>
      <c r="CF173" t="b">
        <v>1</v>
      </c>
    </row>
    <row r="174" spans="1:84" x14ac:dyDescent="0.3">
      <c r="A174" t="s">
        <v>1556</v>
      </c>
      <c r="B174" t="s">
        <v>1247</v>
      </c>
      <c r="C174" s="98">
        <v>45817</v>
      </c>
      <c r="D174">
        <v>2025</v>
      </c>
      <c r="E174">
        <v>6</v>
      </c>
      <c r="F174">
        <v>2</v>
      </c>
      <c r="G174" t="s">
        <v>1243</v>
      </c>
      <c r="H174" t="s">
        <v>127</v>
      </c>
      <c r="I174" t="s">
        <v>127</v>
      </c>
      <c r="J174" t="s">
        <v>6</v>
      </c>
      <c r="L174">
        <v>522611</v>
      </c>
      <c r="M174" s="99" t="s">
        <v>178</v>
      </c>
      <c r="N174">
        <v>1</v>
      </c>
      <c r="O174">
        <v>23</v>
      </c>
      <c r="P174">
        <v>5.4678000000000004</v>
      </c>
      <c r="Q174" t="s">
        <v>352</v>
      </c>
      <c r="R174">
        <v>1</v>
      </c>
      <c r="S174">
        <v>5.5</v>
      </c>
      <c r="T174">
        <v>5.9799999999999999E-2</v>
      </c>
      <c r="U174">
        <v>-0.53846153846153111</v>
      </c>
      <c r="V174">
        <v>5.3205999999999998</v>
      </c>
      <c r="W174">
        <v>5.3803999999999998</v>
      </c>
      <c r="X174">
        <v>5.4401999999999999</v>
      </c>
      <c r="Y174">
        <v>5.5598000000000001</v>
      </c>
      <c r="Z174">
        <v>5.6196000000000002</v>
      </c>
      <c r="AA174">
        <v>5.6794000000000002</v>
      </c>
      <c r="AD174">
        <v>4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 t="s">
        <v>462</v>
      </c>
      <c r="AL174" t="s">
        <v>6</v>
      </c>
      <c r="AM174" t="s">
        <v>1145</v>
      </c>
      <c r="AN174" t="s">
        <v>1146</v>
      </c>
      <c r="AO174" s="100">
        <v>46262.040405092594</v>
      </c>
      <c r="AP174" t="s">
        <v>1147</v>
      </c>
      <c r="AQ174" t="s">
        <v>1557</v>
      </c>
      <c r="AR174" t="s">
        <v>1249</v>
      </c>
      <c r="AS174" t="s">
        <v>1150</v>
      </c>
      <c r="AT174" t="s">
        <v>1512</v>
      </c>
      <c r="AU174">
        <v>25</v>
      </c>
      <c r="AV174">
        <v>5.4805919999999979</v>
      </c>
      <c r="AW174">
        <v>4.8721349871830584E-2</v>
      </c>
      <c r="AX174">
        <v>0.88897969182582104</v>
      </c>
      <c r="AY174">
        <v>1.3496428095512332</v>
      </c>
      <c r="AZ174">
        <v>2.8164593010638379</v>
      </c>
      <c r="BA174">
        <v>2.981347284779206</v>
      </c>
      <c r="BB174" s="97" t="s">
        <v>161</v>
      </c>
      <c r="BD174" s="98"/>
      <c r="BE174" s="98"/>
      <c r="BF174" t="s">
        <v>1152</v>
      </c>
      <c r="BG174" t="s">
        <v>322</v>
      </c>
      <c r="BH174" t="s">
        <v>1153</v>
      </c>
      <c r="BI174">
        <v>1.3496428095512332</v>
      </c>
      <c r="BJ174" t="s">
        <v>991</v>
      </c>
      <c r="BK174">
        <v>1.1835406989361621</v>
      </c>
      <c r="BL174">
        <v>29.588517473404053</v>
      </c>
      <c r="BM174" t="s">
        <v>1260</v>
      </c>
      <c r="BN174" t="s">
        <v>1154</v>
      </c>
      <c r="BO174">
        <v>2025</v>
      </c>
      <c r="BP174" t="s">
        <v>966</v>
      </c>
      <c r="BQ174">
        <v>69257.0271489078</v>
      </c>
      <c r="BR174">
        <v>93.074297285109225</v>
      </c>
      <c r="BS174" t="s">
        <v>992</v>
      </c>
      <c r="BV174" t="s">
        <v>1034</v>
      </c>
      <c r="BW174" t="s">
        <v>943</v>
      </c>
      <c r="BX174" t="s">
        <v>994</v>
      </c>
      <c r="BY174">
        <v>2.981347284779206</v>
      </c>
      <c r="BZ174" t="s">
        <v>1155</v>
      </c>
      <c r="CA174" t="s">
        <v>991</v>
      </c>
      <c r="CB174" t="b">
        <v>1</v>
      </c>
      <c r="CC174" t="b">
        <v>1</v>
      </c>
      <c r="CD174" t="b">
        <v>1</v>
      </c>
      <c r="CE174" t="b">
        <v>1</v>
      </c>
      <c r="CF174" t="b">
        <v>1</v>
      </c>
    </row>
    <row r="175" spans="1:84" x14ac:dyDescent="0.3">
      <c r="A175" t="s">
        <v>1558</v>
      </c>
      <c r="B175" t="s">
        <v>1251</v>
      </c>
      <c r="C175" s="98">
        <v>45824</v>
      </c>
      <c r="D175">
        <v>2025</v>
      </c>
      <c r="E175">
        <v>6</v>
      </c>
      <c r="F175">
        <v>2</v>
      </c>
      <c r="G175" t="s">
        <v>1243</v>
      </c>
      <c r="H175" t="s">
        <v>127</v>
      </c>
      <c r="I175" t="s">
        <v>127</v>
      </c>
      <c r="J175" t="s">
        <v>6</v>
      </c>
      <c r="L175">
        <v>522611</v>
      </c>
      <c r="M175" s="99" t="s">
        <v>178</v>
      </c>
      <c r="N175">
        <v>1</v>
      </c>
      <c r="O175">
        <v>24</v>
      </c>
      <c r="P175">
        <v>5.4915000000000003</v>
      </c>
      <c r="Q175" t="s">
        <v>352</v>
      </c>
      <c r="R175">
        <v>1</v>
      </c>
      <c r="S175">
        <v>5.5</v>
      </c>
      <c r="T175">
        <v>5.9799999999999999E-2</v>
      </c>
      <c r="U175">
        <v>-0.14214046822742024</v>
      </c>
      <c r="V175">
        <v>5.3205999999999998</v>
      </c>
      <c r="W175">
        <v>5.3803999999999998</v>
      </c>
      <c r="X175">
        <v>5.4401999999999999</v>
      </c>
      <c r="Y175">
        <v>5.5598000000000001</v>
      </c>
      <c r="Z175">
        <v>5.6196000000000002</v>
      </c>
      <c r="AA175">
        <v>5.6794000000000002</v>
      </c>
      <c r="AD175">
        <v>4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 t="s">
        <v>462</v>
      </c>
      <c r="AL175" t="s">
        <v>6</v>
      </c>
      <c r="AM175" t="s">
        <v>1145</v>
      </c>
      <c r="AN175" t="s">
        <v>1146</v>
      </c>
      <c r="AO175" s="100">
        <v>46262.040405092594</v>
      </c>
      <c r="AP175" t="s">
        <v>1147</v>
      </c>
      <c r="AQ175" t="s">
        <v>1559</v>
      </c>
      <c r="AR175" t="s">
        <v>1253</v>
      </c>
      <c r="AS175" t="s">
        <v>1150</v>
      </c>
      <c r="AT175" t="s">
        <v>1512</v>
      </c>
      <c r="AU175">
        <v>25</v>
      </c>
      <c r="AV175">
        <v>5.4805919999999979</v>
      </c>
      <c r="AW175">
        <v>4.8721349871830584E-2</v>
      </c>
      <c r="AX175">
        <v>0.88897969182582104</v>
      </c>
      <c r="AY175">
        <v>1.3496428095512332</v>
      </c>
      <c r="AZ175">
        <v>2.8164593010638379</v>
      </c>
      <c r="BA175">
        <v>2.981347284779206</v>
      </c>
      <c r="BB175" s="97" t="s">
        <v>161</v>
      </c>
      <c r="BD175" s="98"/>
      <c r="BE175" s="98"/>
      <c r="BF175" t="s">
        <v>1152</v>
      </c>
      <c r="BG175" t="s">
        <v>322</v>
      </c>
      <c r="BH175" t="s">
        <v>1153</v>
      </c>
      <c r="BI175">
        <v>1.3496428095512332</v>
      </c>
      <c r="BJ175" t="s">
        <v>991</v>
      </c>
      <c r="BK175">
        <v>1.1835406989361621</v>
      </c>
      <c r="BL175">
        <v>29.588517473404053</v>
      </c>
      <c r="BM175" t="s">
        <v>1260</v>
      </c>
      <c r="BN175" t="s">
        <v>1154</v>
      </c>
      <c r="BO175">
        <v>2025</v>
      </c>
      <c r="BP175" t="s">
        <v>966</v>
      </c>
      <c r="BQ175">
        <v>69257.0271489078</v>
      </c>
      <c r="BR175">
        <v>93.074297285109225</v>
      </c>
      <c r="BS175" t="s">
        <v>992</v>
      </c>
      <c r="BV175" t="s">
        <v>1034</v>
      </c>
      <c r="BW175" t="s">
        <v>943</v>
      </c>
      <c r="BX175" t="s">
        <v>994</v>
      </c>
      <c r="BY175">
        <v>2.981347284779206</v>
      </c>
      <c r="BZ175" t="s">
        <v>1155</v>
      </c>
      <c r="CA175" t="s">
        <v>991</v>
      </c>
      <c r="CB175" t="b">
        <v>1</v>
      </c>
      <c r="CC175" t="b">
        <v>1</v>
      </c>
      <c r="CD175" t="b">
        <v>1</v>
      </c>
      <c r="CE175" t="b">
        <v>1</v>
      </c>
      <c r="CF175" t="b">
        <v>1</v>
      </c>
    </row>
    <row r="176" spans="1:84" x14ac:dyDescent="0.3">
      <c r="A176" t="s">
        <v>1560</v>
      </c>
      <c r="B176" t="s">
        <v>1255</v>
      </c>
      <c r="C176" s="98">
        <v>45831</v>
      </c>
      <c r="D176">
        <v>2025</v>
      </c>
      <c r="E176">
        <v>6</v>
      </c>
      <c r="F176">
        <v>2</v>
      </c>
      <c r="G176" t="s">
        <v>1243</v>
      </c>
      <c r="H176" t="s">
        <v>127</v>
      </c>
      <c r="I176" t="s">
        <v>127</v>
      </c>
      <c r="J176" t="s">
        <v>6</v>
      </c>
      <c r="L176">
        <v>522611</v>
      </c>
      <c r="M176" s="99" t="s">
        <v>178</v>
      </c>
      <c r="N176">
        <v>1</v>
      </c>
      <c r="O176">
        <v>25</v>
      </c>
      <c r="P176">
        <v>5.4337999999999997</v>
      </c>
      <c r="Q176" t="s">
        <v>352</v>
      </c>
      <c r="R176">
        <v>1</v>
      </c>
      <c r="S176">
        <v>5.5</v>
      </c>
      <c r="T176">
        <v>5.9799999999999999E-2</v>
      </c>
      <c r="U176">
        <v>-1.1070234113712418</v>
      </c>
      <c r="V176">
        <v>5.3205999999999998</v>
      </c>
      <c r="W176">
        <v>5.3803999999999998</v>
      </c>
      <c r="X176">
        <v>5.4401999999999999</v>
      </c>
      <c r="Y176">
        <v>5.5598000000000001</v>
      </c>
      <c r="Z176">
        <v>5.6196000000000002</v>
      </c>
      <c r="AA176">
        <v>5.6794000000000002</v>
      </c>
      <c r="AD176">
        <v>4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 t="s">
        <v>462</v>
      </c>
      <c r="AL176" t="s">
        <v>6</v>
      </c>
      <c r="AM176" t="s">
        <v>1145</v>
      </c>
      <c r="AN176" t="s">
        <v>1146</v>
      </c>
      <c r="AO176" s="100">
        <v>46262.040405092594</v>
      </c>
      <c r="AP176" t="s">
        <v>1147</v>
      </c>
      <c r="AQ176" t="s">
        <v>1561</v>
      </c>
      <c r="AR176" t="s">
        <v>1257</v>
      </c>
      <c r="AS176" t="s">
        <v>1150</v>
      </c>
      <c r="AT176" t="s">
        <v>1512</v>
      </c>
      <c r="AU176">
        <v>25</v>
      </c>
      <c r="AV176">
        <v>5.4805919999999979</v>
      </c>
      <c r="AW176">
        <v>4.8721349871830584E-2</v>
      </c>
      <c r="AX176">
        <v>0.88897969182582104</v>
      </c>
      <c r="AY176">
        <v>1.3496428095512332</v>
      </c>
      <c r="AZ176">
        <v>2.8164593010638379</v>
      </c>
      <c r="BA176">
        <v>2.981347284779206</v>
      </c>
      <c r="BB176" s="97" t="s">
        <v>161</v>
      </c>
      <c r="BD176" s="98"/>
      <c r="BE176" s="98"/>
      <c r="BF176" t="s">
        <v>1152</v>
      </c>
      <c r="BG176" t="s">
        <v>322</v>
      </c>
      <c r="BH176" t="s">
        <v>1153</v>
      </c>
      <c r="BI176">
        <v>1.3496428095512332</v>
      </c>
      <c r="BJ176" t="s">
        <v>991</v>
      </c>
      <c r="BK176">
        <v>1.1835406989361621</v>
      </c>
      <c r="BL176">
        <v>29.588517473404053</v>
      </c>
      <c r="BM176" t="s">
        <v>1260</v>
      </c>
      <c r="BN176" t="s">
        <v>1154</v>
      </c>
      <c r="BO176">
        <v>2025</v>
      </c>
      <c r="BP176" t="s">
        <v>966</v>
      </c>
      <c r="BQ176">
        <v>69257.0271489078</v>
      </c>
      <c r="BR176">
        <v>93.074297285109225</v>
      </c>
      <c r="BS176" t="s">
        <v>992</v>
      </c>
      <c r="BV176" t="s">
        <v>1034</v>
      </c>
      <c r="BW176" t="s">
        <v>943</v>
      </c>
      <c r="BX176" t="s">
        <v>994</v>
      </c>
      <c r="BY176">
        <v>2.981347284779206</v>
      </c>
      <c r="BZ176" t="s">
        <v>1155</v>
      </c>
      <c r="CA176" t="s">
        <v>991</v>
      </c>
      <c r="CB176" t="b">
        <v>1</v>
      </c>
      <c r="CC176" t="b">
        <v>1</v>
      </c>
      <c r="CD176" t="b">
        <v>1</v>
      </c>
      <c r="CE176" t="b">
        <v>1</v>
      </c>
      <c r="CF176" t="b">
        <v>1</v>
      </c>
    </row>
    <row r="177" spans="1:84" x14ac:dyDescent="0.3">
      <c r="A177" t="s">
        <v>1562</v>
      </c>
      <c r="B177" t="s">
        <v>1143</v>
      </c>
      <c r="C177" s="98">
        <v>45663</v>
      </c>
      <c r="D177">
        <v>2025</v>
      </c>
      <c r="E177">
        <v>1</v>
      </c>
      <c r="F177">
        <v>1</v>
      </c>
      <c r="G177" t="s">
        <v>1144</v>
      </c>
      <c r="H177" t="s">
        <v>127</v>
      </c>
      <c r="I177" t="s">
        <v>127</v>
      </c>
      <c r="J177" t="s">
        <v>6</v>
      </c>
      <c r="L177">
        <v>522611</v>
      </c>
      <c r="M177" s="99" t="s">
        <v>179</v>
      </c>
      <c r="N177">
        <v>2</v>
      </c>
      <c r="O177">
        <v>1</v>
      </c>
      <c r="P177">
        <v>12.174899999999999</v>
      </c>
      <c r="Q177" t="s">
        <v>352</v>
      </c>
      <c r="R177">
        <v>1</v>
      </c>
      <c r="S177">
        <v>12.2759</v>
      </c>
      <c r="T177">
        <v>8.3000000000000004E-2</v>
      </c>
      <c r="U177">
        <v>-1.2168674698795285</v>
      </c>
      <c r="V177">
        <v>12.026899999999999</v>
      </c>
      <c r="W177">
        <v>12.1099</v>
      </c>
      <c r="X177">
        <v>12.1929</v>
      </c>
      <c r="Y177">
        <v>12.3589</v>
      </c>
      <c r="Z177">
        <v>12.4419</v>
      </c>
      <c r="AA177">
        <v>12.524900000000001</v>
      </c>
      <c r="AD177">
        <v>4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 t="s">
        <v>462</v>
      </c>
      <c r="AL177" t="s">
        <v>6</v>
      </c>
      <c r="AM177" t="s">
        <v>1145</v>
      </c>
      <c r="AN177" t="s">
        <v>1146</v>
      </c>
      <c r="AO177" s="100">
        <v>46262.040405092594</v>
      </c>
      <c r="AP177" t="s">
        <v>1147</v>
      </c>
      <c r="AQ177" t="s">
        <v>1563</v>
      </c>
      <c r="AR177" t="s">
        <v>1149</v>
      </c>
      <c r="AS177" t="s">
        <v>1150</v>
      </c>
      <c r="AT177" t="s">
        <v>1512</v>
      </c>
      <c r="AU177">
        <v>25</v>
      </c>
      <c r="AV177">
        <v>12.293559999999999</v>
      </c>
      <c r="AW177">
        <v>6.4464027436496152E-2</v>
      </c>
      <c r="AX177">
        <v>0.52437233345341916</v>
      </c>
      <c r="AY177">
        <v>1.3496428095512332</v>
      </c>
      <c r="AZ177">
        <v>2.2148571597493749</v>
      </c>
      <c r="BA177">
        <v>5.0543421560668635</v>
      </c>
      <c r="BB177" s="97" t="s">
        <v>161</v>
      </c>
      <c r="BD177" s="98"/>
      <c r="BE177" s="98"/>
      <c r="BF177" t="s">
        <v>1152</v>
      </c>
      <c r="BG177" t="s">
        <v>322</v>
      </c>
      <c r="BH177" t="s">
        <v>1153</v>
      </c>
      <c r="BI177">
        <v>1.3496428095512332</v>
      </c>
      <c r="BJ177" t="s">
        <v>987</v>
      </c>
      <c r="BK177">
        <v>1.7851428402506251</v>
      </c>
      <c r="BL177">
        <v>44.628571006265631</v>
      </c>
      <c r="BM177" t="s">
        <v>1260</v>
      </c>
      <c r="BN177" t="s">
        <v>1154</v>
      </c>
      <c r="BO177">
        <v>2025</v>
      </c>
      <c r="BP177" t="s">
        <v>966</v>
      </c>
      <c r="BQ177">
        <v>69257.0271489078</v>
      </c>
      <c r="BR177">
        <v>93.074297285109225</v>
      </c>
      <c r="BS177" t="s">
        <v>992</v>
      </c>
      <c r="BV177" t="s">
        <v>1034</v>
      </c>
      <c r="BW177" t="s">
        <v>943</v>
      </c>
      <c r="BX177" t="s">
        <v>994</v>
      </c>
      <c r="BY177">
        <v>2.981347284779206</v>
      </c>
      <c r="BZ177" t="s">
        <v>1155</v>
      </c>
      <c r="CA177" t="s">
        <v>991</v>
      </c>
      <c r="CB177" t="b">
        <v>1</v>
      </c>
      <c r="CC177" t="b">
        <v>1</v>
      </c>
      <c r="CD177" t="b">
        <v>1</v>
      </c>
      <c r="CE177" t="b">
        <v>1</v>
      </c>
      <c r="CF177" t="b">
        <v>1</v>
      </c>
    </row>
    <row r="178" spans="1:84" x14ac:dyDescent="0.3">
      <c r="A178" t="s">
        <v>1564</v>
      </c>
      <c r="B178" t="s">
        <v>1157</v>
      </c>
      <c r="C178" s="98">
        <v>45670</v>
      </c>
      <c r="D178">
        <v>2025</v>
      </c>
      <c r="E178">
        <v>1</v>
      </c>
      <c r="F178">
        <v>1</v>
      </c>
      <c r="G178" t="s">
        <v>1144</v>
      </c>
      <c r="H178" t="s">
        <v>127</v>
      </c>
      <c r="I178" t="s">
        <v>127</v>
      </c>
      <c r="J178" t="s">
        <v>6</v>
      </c>
      <c r="L178">
        <v>522611</v>
      </c>
      <c r="M178" s="99" t="s">
        <v>179</v>
      </c>
      <c r="N178">
        <v>2</v>
      </c>
      <c r="O178">
        <v>2</v>
      </c>
      <c r="P178">
        <v>12.386799999999999</v>
      </c>
      <c r="Q178" t="s">
        <v>352</v>
      </c>
      <c r="R178">
        <v>1</v>
      </c>
      <c r="S178">
        <v>12.2759</v>
      </c>
      <c r="T178">
        <v>8.3000000000000004E-2</v>
      </c>
      <c r="U178">
        <v>1.3361445783132422</v>
      </c>
      <c r="V178">
        <v>12.026899999999999</v>
      </c>
      <c r="W178">
        <v>12.1099</v>
      </c>
      <c r="X178">
        <v>12.1929</v>
      </c>
      <c r="Y178">
        <v>12.3589</v>
      </c>
      <c r="Z178">
        <v>12.4419</v>
      </c>
      <c r="AA178">
        <v>12.524900000000001</v>
      </c>
      <c r="AD178">
        <v>4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 t="s">
        <v>462</v>
      </c>
      <c r="AL178" t="s">
        <v>6</v>
      </c>
      <c r="AM178" t="s">
        <v>1145</v>
      </c>
      <c r="AN178" t="s">
        <v>1146</v>
      </c>
      <c r="AO178" s="100">
        <v>46262.040405092594</v>
      </c>
      <c r="AP178" t="s">
        <v>1147</v>
      </c>
      <c r="AQ178" t="s">
        <v>1565</v>
      </c>
      <c r="AR178" t="s">
        <v>1159</v>
      </c>
      <c r="AS178" t="s">
        <v>1150</v>
      </c>
      <c r="AT178" t="s">
        <v>1512</v>
      </c>
      <c r="AU178">
        <v>25</v>
      </c>
      <c r="AV178">
        <v>12.293559999999999</v>
      </c>
      <c r="AW178">
        <v>6.4464027436496152E-2</v>
      </c>
      <c r="AX178">
        <v>0.52437233345341916</v>
      </c>
      <c r="AY178">
        <v>1.3496428095512332</v>
      </c>
      <c r="AZ178">
        <v>2.2148571597493749</v>
      </c>
      <c r="BA178">
        <v>5.0543421560668635</v>
      </c>
      <c r="BB178" s="97" t="s">
        <v>161</v>
      </c>
      <c r="BD178" s="98"/>
      <c r="BE178" s="98"/>
      <c r="BF178" t="s">
        <v>1152</v>
      </c>
      <c r="BG178" t="s">
        <v>322</v>
      </c>
      <c r="BH178" t="s">
        <v>1153</v>
      </c>
      <c r="BI178">
        <v>1.3496428095512332</v>
      </c>
      <c r="BJ178" t="s">
        <v>987</v>
      </c>
      <c r="BK178">
        <v>1.7851428402506251</v>
      </c>
      <c r="BL178">
        <v>44.628571006265631</v>
      </c>
      <c r="BM178" t="s">
        <v>1260</v>
      </c>
      <c r="BN178" t="s">
        <v>1154</v>
      </c>
      <c r="BO178">
        <v>2025</v>
      </c>
      <c r="BP178" t="s">
        <v>966</v>
      </c>
      <c r="BQ178">
        <v>69257.0271489078</v>
      </c>
      <c r="BR178">
        <v>93.074297285109225</v>
      </c>
      <c r="BS178" t="s">
        <v>992</v>
      </c>
      <c r="BV178" t="s">
        <v>1034</v>
      </c>
      <c r="BW178" t="s">
        <v>943</v>
      </c>
      <c r="BX178" t="s">
        <v>994</v>
      </c>
      <c r="BY178">
        <v>2.981347284779206</v>
      </c>
      <c r="BZ178" t="s">
        <v>1155</v>
      </c>
      <c r="CA178" t="s">
        <v>991</v>
      </c>
      <c r="CB178" t="b">
        <v>1</v>
      </c>
      <c r="CC178" t="b">
        <v>1</v>
      </c>
      <c r="CD178" t="b">
        <v>1</v>
      </c>
      <c r="CE178" t="b">
        <v>1</v>
      </c>
      <c r="CF178" t="b">
        <v>1</v>
      </c>
    </row>
    <row r="179" spans="1:84" x14ac:dyDescent="0.3">
      <c r="A179" t="s">
        <v>1566</v>
      </c>
      <c r="B179" t="s">
        <v>1161</v>
      </c>
      <c r="C179" s="98">
        <v>45677</v>
      </c>
      <c r="D179">
        <v>2025</v>
      </c>
      <c r="E179">
        <v>1</v>
      </c>
      <c r="F179">
        <v>1</v>
      </c>
      <c r="G179" t="s">
        <v>1144</v>
      </c>
      <c r="H179" t="s">
        <v>127</v>
      </c>
      <c r="I179" t="s">
        <v>127</v>
      </c>
      <c r="J179" t="s">
        <v>6</v>
      </c>
      <c r="L179">
        <v>522611</v>
      </c>
      <c r="M179" s="99" t="s">
        <v>179</v>
      </c>
      <c r="N179">
        <v>2</v>
      </c>
      <c r="O179">
        <v>3</v>
      </c>
      <c r="P179">
        <v>12.233700000000001</v>
      </c>
      <c r="Q179" t="s">
        <v>352</v>
      </c>
      <c r="R179">
        <v>1</v>
      </c>
      <c r="S179">
        <v>12.2759</v>
      </c>
      <c r="T179">
        <v>8.3000000000000004E-2</v>
      </c>
      <c r="U179">
        <v>-0.50843373493975119</v>
      </c>
      <c r="V179">
        <v>12.026899999999999</v>
      </c>
      <c r="W179">
        <v>12.1099</v>
      </c>
      <c r="X179">
        <v>12.1929</v>
      </c>
      <c r="Y179">
        <v>12.3589</v>
      </c>
      <c r="Z179">
        <v>12.4419</v>
      </c>
      <c r="AA179">
        <v>12.524900000000001</v>
      </c>
      <c r="AD179">
        <v>4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 t="s">
        <v>462</v>
      </c>
      <c r="AL179" t="s">
        <v>6</v>
      </c>
      <c r="AM179" t="s">
        <v>1145</v>
      </c>
      <c r="AN179" t="s">
        <v>1146</v>
      </c>
      <c r="AO179" s="100">
        <v>46262.040405092594</v>
      </c>
      <c r="AP179" t="s">
        <v>1147</v>
      </c>
      <c r="AQ179" t="s">
        <v>1567</v>
      </c>
      <c r="AR179" t="s">
        <v>1163</v>
      </c>
      <c r="AS179" t="s">
        <v>1150</v>
      </c>
      <c r="AT179" t="s">
        <v>1512</v>
      </c>
      <c r="AU179">
        <v>25</v>
      </c>
      <c r="AV179">
        <v>12.293559999999999</v>
      </c>
      <c r="AW179">
        <v>6.4464027436496152E-2</v>
      </c>
      <c r="AX179">
        <v>0.52437233345341916</v>
      </c>
      <c r="AY179">
        <v>1.3496428095512332</v>
      </c>
      <c r="AZ179">
        <v>2.2148571597493749</v>
      </c>
      <c r="BA179">
        <v>5.0543421560668635</v>
      </c>
      <c r="BB179" s="97" t="s">
        <v>161</v>
      </c>
      <c r="BD179" s="98"/>
      <c r="BE179" s="98"/>
      <c r="BF179" t="s">
        <v>1152</v>
      </c>
      <c r="BG179" t="s">
        <v>322</v>
      </c>
      <c r="BH179" t="s">
        <v>1153</v>
      </c>
      <c r="BI179">
        <v>1.3496428095512332</v>
      </c>
      <c r="BJ179" t="s">
        <v>987</v>
      </c>
      <c r="BK179">
        <v>1.7851428402506251</v>
      </c>
      <c r="BL179">
        <v>44.628571006265631</v>
      </c>
      <c r="BM179" t="s">
        <v>1260</v>
      </c>
      <c r="BN179" t="s">
        <v>1154</v>
      </c>
      <c r="BO179">
        <v>2025</v>
      </c>
      <c r="BP179" t="s">
        <v>966</v>
      </c>
      <c r="BQ179">
        <v>69257.0271489078</v>
      </c>
      <c r="BR179">
        <v>93.074297285109225</v>
      </c>
      <c r="BS179" t="s">
        <v>992</v>
      </c>
      <c r="BV179" t="s">
        <v>1034</v>
      </c>
      <c r="BW179" t="s">
        <v>943</v>
      </c>
      <c r="BX179" t="s">
        <v>994</v>
      </c>
      <c r="BY179">
        <v>2.981347284779206</v>
      </c>
      <c r="BZ179" t="s">
        <v>1155</v>
      </c>
      <c r="CA179" t="s">
        <v>991</v>
      </c>
      <c r="CB179" t="b">
        <v>1</v>
      </c>
      <c r="CC179" t="b">
        <v>1</v>
      </c>
      <c r="CD179" t="b">
        <v>1</v>
      </c>
      <c r="CE179" t="b">
        <v>1</v>
      </c>
      <c r="CF179" t="b">
        <v>1</v>
      </c>
    </row>
    <row r="180" spans="1:84" x14ac:dyDescent="0.3">
      <c r="A180" t="s">
        <v>1568</v>
      </c>
      <c r="B180" t="s">
        <v>1165</v>
      </c>
      <c r="C180" s="98">
        <v>45684</v>
      </c>
      <c r="D180">
        <v>2025</v>
      </c>
      <c r="E180">
        <v>1</v>
      </c>
      <c r="F180">
        <v>1</v>
      </c>
      <c r="G180" t="s">
        <v>1144</v>
      </c>
      <c r="H180" t="s">
        <v>127</v>
      </c>
      <c r="I180" t="s">
        <v>127</v>
      </c>
      <c r="J180" t="s">
        <v>6</v>
      </c>
      <c r="L180">
        <v>522611</v>
      </c>
      <c r="M180" s="99" t="s">
        <v>179</v>
      </c>
      <c r="N180">
        <v>2</v>
      </c>
      <c r="O180">
        <v>4</v>
      </c>
      <c r="P180">
        <v>12.3001</v>
      </c>
      <c r="Q180" t="s">
        <v>352</v>
      </c>
      <c r="R180">
        <v>1</v>
      </c>
      <c r="S180">
        <v>12.2759</v>
      </c>
      <c r="T180">
        <v>8.3000000000000004E-2</v>
      </c>
      <c r="U180">
        <v>0.2915662650602463</v>
      </c>
      <c r="V180">
        <v>12.026899999999999</v>
      </c>
      <c r="W180">
        <v>12.1099</v>
      </c>
      <c r="X180">
        <v>12.1929</v>
      </c>
      <c r="Y180">
        <v>12.3589</v>
      </c>
      <c r="Z180">
        <v>12.4419</v>
      </c>
      <c r="AA180">
        <v>12.524900000000001</v>
      </c>
      <c r="AD180">
        <v>4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 t="s">
        <v>462</v>
      </c>
      <c r="AL180" t="s">
        <v>6</v>
      </c>
      <c r="AM180" t="s">
        <v>1145</v>
      </c>
      <c r="AN180" t="s">
        <v>1146</v>
      </c>
      <c r="AO180" s="100">
        <v>46262.040405092594</v>
      </c>
      <c r="AP180" t="s">
        <v>1147</v>
      </c>
      <c r="AQ180" t="s">
        <v>1569</v>
      </c>
      <c r="AR180" t="s">
        <v>1167</v>
      </c>
      <c r="AS180" t="s">
        <v>1150</v>
      </c>
      <c r="AT180" t="s">
        <v>1512</v>
      </c>
      <c r="AU180">
        <v>25</v>
      </c>
      <c r="AV180">
        <v>12.293559999999999</v>
      </c>
      <c r="AW180">
        <v>6.4464027436496152E-2</v>
      </c>
      <c r="AX180">
        <v>0.52437233345341916</v>
      </c>
      <c r="AY180">
        <v>1.3496428095512332</v>
      </c>
      <c r="AZ180">
        <v>2.2148571597493749</v>
      </c>
      <c r="BA180">
        <v>5.0543421560668635</v>
      </c>
      <c r="BB180" s="97" t="s">
        <v>161</v>
      </c>
      <c r="BD180" s="98"/>
      <c r="BE180" s="98"/>
      <c r="BF180" t="s">
        <v>1152</v>
      </c>
      <c r="BG180" t="s">
        <v>322</v>
      </c>
      <c r="BH180" t="s">
        <v>1153</v>
      </c>
      <c r="BI180">
        <v>1.3496428095512332</v>
      </c>
      <c r="BJ180" t="s">
        <v>987</v>
      </c>
      <c r="BK180">
        <v>1.7851428402506251</v>
      </c>
      <c r="BL180">
        <v>44.628571006265631</v>
      </c>
      <c r="BM180" t="s">
        <v>1260</v>
      </c>
      <c r="BN180" t="s">
        <v>1154</v>
      </c>
      <c r="BO180">
        <v>2025</v>
      </c>
      <c r="BP180" t="s">
        <v>966</v>
      </c>
      <c r="BQ180">
        <v>69257.0271489078</v>
      </c>
      <c r="BR180">
        <v>93.074297285109225</v>
      </c>
      <c r="BS180" t="s">
        <v>992</v>
      </c>
      <c r="BV180" t="s">
        <v>1034</v>
      </c>
      <c r="BW180" t="s">
        <v>943</v>
      </c>
      <c r="BX180" t="s">
        <v>994</v>
      </c>
      <c r="BY180">
        <v>2.981347284779206</v>
      </c>
      <c r="BZ180" t="s">
        <v>1155</v>
      </c>
      <c r="CA180" t="s">
        <v>991</v>
      </c>
      <c r="CB180" t="b">
        <v>1</v>
      </c>
      <c r="CC180" t="b">
        <v>1</v>
      </c>
      <c r="CD180" t="b">
        <v>1</v>
      </c>
      <c r="CE180" t="b">
        <v>1</v>
      </c>
      <c r="CF180" t="b">
        <v>1</v>
      </c>
    </row>
    <row r="181" spans="1:84" x14ac:dyDescent="0.3">
      <c r="A181" t="s">
        <v>1570</v>
      </c>
      <c r="B181" t="s">
        <v>1169</v>
      </c>
      <c r="C181" s="98">
        <v>45691</v>
      </c>
      <c r="D181">
        <v>2025</v>
      </c>
      <c r="E181">
        <v>2</v>
      </c>
      <c r="F181">
        <v>1</v>
      </c>
      <c r="G181" t="s">
        <v>1170</v>
      </c>
      <c r="H181" t="s">
        <v>127</v>
      </c>
      <c r="I181" t="s">
        <v>127</v>
      </c>
      <c r="J181" t="s">
        <v>6</v>
      </c>
      <c r="L181">
        <v>522611</v>
      </c>
      <c r="M181" s="99" t="s">
        <v>179</v>
      </c>
      <c r="N181">
        <v>2</v>
      </c>
      <c r="O181">
        <v>5</v>
      </c>
      <c r="P181">
        <v>12.273099999999999</v>
      </c>
      <c r="Q181" t="s">
        <v>352</v>
      </c>
      <c r="R181">
        <v>1</v>
      </c>
      <c r="S181">
        <v>12.2759</v>
      </c>
      <c r="T181">
        <v>8.3000000000000004E-2</v>
      </c>
      <c r="U181">
        <v>-3.3734939759043125E-2</v>
      </c>
      <c r="V181">
        <v>12.026899999999999</v>
      </c>
      <c r="W181">
        <v>12.1099</v>
      </c>
      <c r="X181">
        <v>12.1929</v>
      </c>
      <c r="Y181">
        <v>12.3589</v>
      </c>
      <c r="Z181">
        <v>12.4419</v>
      </c>
      <c r="AA181">
        <v>12.524900000000001</v>
      </c>
      <c r="AD181">
        <v>4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 t="s">
        <v>462</v>
      </c>
      <c r="AL181" t="s">
        <v>6</v>
      </c>
      <c r="AM181" t="s">
        <v>1145</v>
      </c>
      <c r="AN181" t="s">
        <v>1146</v>
      </c>
      <c r="AO181" s="100">
        <v>46262.040405092594</v>
      </c>
      <c r="AP181" t="s">
        <v>1147</v>
      </c>
      <c r="AQ181" t="s">
        <v>1571</v>
      </c>
      <c r="AR181" t="s">
        <v>1172</v>
      </c>
      <c r="AS181" t="s">
        <v>1150</v>
      </c>
      <c r="AT181" t="s">
        <v>1512</v>
      </c>
      <c r="AU181">
        <v>25</v>
      </c>
      <c r="AV181">
        <v>12.293559999999999</v>
      </c>
      <c r="AW181">
        <v>6.4464027436496152E-2</v>
      </c>
      <c r="AX181">
        <v>0.52437233345341916</v>
      </c>
      <c r="AY181">
        <v>1.3496428095512332</v>
      </c>
      <c r="AZ181">
        <v>2.2148571597493749</v>
      </c>
      <c r="BA181">
        <v>5.0543421560668635</v>
      </c>
      <c r="BB181" s="97" t="s">
        <v>161</v>
      </c>
      <c r="BD181" s="98"/>
      <c r="BE181" s="98"/>
      <c r="BF181" t="s">
        <v>1152</v>
      </c>
      <c r="BG181" t="s">
        <v>322</v>
      </c>
      <c r="BH181" t="s">
        <v>1153</v>
      </c>
      <c r="BI181">
        <v>1.3496428095512332</v>
      </c>
      <c r="BJ181" t="s">
        <v>987</v>
      </c>
      <c r="BK181">
        <v>1.7851428402506251</v>
      </c>
      <c r="BL181">
        <v>44.628571006265631</v>
      </c>
      <c r="BM181" t="s">
        <v>1260</v>
      </c>
      <c r="BN181" t="s">
        <v>1154</v>
      </c>
      <c r="BO181">
        <v>2025</v>
      </c>
      <c r="BP181" t="s">
        <v>966</v>
      </c>
      <c r="BQ181">
        <v>69257.0271489078</v>
      </c>
      <c r="BR181">
        <v>93.074297285109225</v>
      </c>
      <c r="BS181" t="s">
        <v>992</v>
      </c>
      <c r="BV181" t="s">
        <v>1034</v>
      </c>
      <c r="BW181" t="s">
        <v>943</v>
      </c>
      <c r="BX181" t="s">
        <v>994</v>
      </c>
      <c r="BY181">
        <v>2.981347284779206</v>
      </c>
      <c r="BZ181" t="s">
        <v>1155</v>
      </c>
      <c r="CA181" t="s">
        <v>991</v>
      </c>
      <c r="CB181" t="b">
        <v>1</v>
      </c>
      <c r="CC181" t="b">
        <v>1</v>
      </c>
      <c r="CD181" t="b">
        <v>1</v>
      </c>
      <c r="CE181" t="b">
        <v>1</v>
      </c>
      <c r="CF181" t="b">
        <v>1</v>
      </c>
    </row>
    <row r="182" spans="1:84" x14ac:dyDescent="0.3">
      <c r="A182" t="s">
        <v>1572</v>
      </c>
      <c r="B182" t="s">
        <v>1174</v>
      </c>
      <c r="C182" s="98">
        <v>45698</v>
      </c>
      <c r="D182">
        <v>2025</v>
      </c>
      <c r="E182">
        <v>2</v>
      </c>
      <c r="F182">
        <v>1</v>
      </c>
      <c r="G182" t="s">
        <v>1170</v>
      </c>
      <c r="H182" t="s">
        <v>127</v>
      </c>
      <c r="I182" t="s">
        <v>127</v>
      </c>
      <c r="J182" t="s">
        <v>6</v>
      </c>
      <c r="L182">
        <v>522611</v>
      </c>
      <c r="M182" s="99" t="s">
        <v>179</v>
      </c>
      <c r="N182">
        <v>2</v>
      </c>
      <c r="O182">
        <v>6</v>
      </c>
      <c r="P182">
        <v>12.2392</v>
      </c>
      <c r="Q182" t="s">
        <v>352</v>
      </c>
      <c r="R182">
        <v>1</v>
      </c>
      <c r="S182">
        <v>12.2759</v>
      </c>
      <c r="T182">
        <v>8.3000000000000004E-2</v>
      </c>
      <c r="U182">
        <v>-0.44216867469879195</v>
      </c>
      <c r="V182">
        <v>12.026899999999999</v>
      </c>
      <c r="W182">
        <v>12.1099</v>
      </c>
      <c r="X182">
        <v>12.1929</v>
      </c>
      <c r="Y182">
        <v>12.3589</v>
      </c>
      <c r="Z182">
        <v>12.4419</v>
      </c>
      <c r="AA182">
        <v>12.524900000000001</v>
      </c>
      <c r="AD182">
        <v>4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 t="s">
        <v>462</v>
      </c>
      <c r="AL182" t="s">
        <v>6</v>
      </c>
      <c r="AM182" t="s">
        <v>1145</v>
      </c>
      <c r="AN182" t="s">
        <v>1146</v>
      </c>
      <c r="AO182" s="100">
        <v>46262.040405092594</v>
      </c>
      <c r="AP182" t="s">
        <v>1147</v>
      </c>
      <c r="AQ182" t="s">
        <v>1573</v>
      </c>
      <c r="AR182" t="s">
        <v>1176</v>
      </c>
      <c r="AS182" t="s">
        <v>1150</v>
      </c>
      <c r="AT182" t="s">
        <v>1512</v>
      </c>
      <c r="AU182">
        <v>25</v>
      </c>
      <c r="AV182">
        <v>12.293559999999999</v>
      </c>
      <c r="AW182">
        <v>6.4464027436496152E-2</v>
      </c>
      <c r="AX182">
        <v>0.52437233345341916</v>
      </c>
      <c r="AY182">
        <v>1.3496428095512332</v>
      </c>
      <c r="AZ182">
        <v>2.2148571597493749</v>
      </c>
      <c r="BA182">
        <v>5.0543421560668635</v>
      </c>
      <c r="BB182" s="97" t="s">
        <v>161</v>
      </c>
      <c r="BD182" s="98"/>
      <c r="BE182" s="98"/>
      <c r="BF182" t="s">
        <v>1152</v>
      </c>
      <c r="BG182" t="s">
        <v>322</v>
      </c>
      <c r="BH182" t="s">
        <v>1153</v>
      </c>
      <c r="BI182">
        <v>1.3496428095512332</v>
      </c>
      <c r="BJ182" t="s">
        <v>987</v>
      </c>
      <c r="BK182">
        <v>1.7851428402506251</v>
      </c>
      <c r="BL182">
        <v>44.628571006265631</v>
      </c>
      <c r="BM182" t="s">
        <v>1260</v>
      </c>
      <c r="BN182" t="s">
        <v>1154</v>
      </c>
      <c r="BO182">
        <v>2025</v>
      </c>
      <c r="BP182" t="s">
        <v>966</v>
      </c>
      <c r="BQ182">
        <v>69257.0271489078</v>
      </c>
      <c r="BR182">
        <v>93.074297285109225</v>
      </c>
      <c r="BS182" t="s">
        <v>992</v>
      </c>
      <c r="BV182" t="s">
        <v>1034</v>
      </c>
      <c r="BW182" t="s">
        <v>943</v>
      </c>
      <c r="BX182" t="s">
        <v>994</v>
      </c>
      <c r="BY182">
        <v>2.981347284779206</v>
      </c>
      <c r="BZ182" t="s">
        <v>1155</v>
      </c>
      <c r="CA182" t="s">
        <v>991</v>
      </c>
      <c r="CB182" t="b">
        <v>1</v>
      </c>
      <c r="CC182" t="b">
        <v>1</v>
      </c>
      <c r="CD182" t="b">
        <v>1</v>
      </c>
      <c r="CE182" t="b">
        <v>1</v>
      </c>
      <c r="CF182" t="b">
        <v>1</v>
      </c>
    </row>
    <row r="183" spans="1:84" x14ac:dyDescent="0.3">
      <c r="A183" t="s">
        <v>1574</v>
      </c>
      <c r="B183" t="s">
        <v>1178</v>
      </c>
      <c r="C183" s="98">
        <v>45705</v>
      </c>
      <c r="D183">
        <v>2025</v>
      </c>
      <c r="E183">
        <v>2</v>
      </c>
      <c r="F183">
        <v>1</v>
      </c>
      <c r="G183" t="s">
        <v>1170</v>
      </c>
      <c r="H183" t="s">
        <v>127</v>
      </c>
      <c r="I183" t="s">
        <v>127</v>
      </c>
      <c r="J183" t="s">
        <v>6</v>
      </c>
      <c r="L183">
        <v>522611</v>
      </c>
      <c r="M183" s="99" t="s">
        <v>179</v>
      </c>
      <c r="N183">
        <v>2</v>
      </c>
      <c r="O183">
        <v>7</v>
      </c>
      <c r="P183">
        <v>12.233700000000001</v>
      </c>
      <c r="Q183" t="s">
        <v>352</v>
      </c>
      <c r="R183">
        <v>1</v>
      </c>
      <c r="S183">
        <v>12.2759</v>
      </c>
      <c r="T183">
        <v>8.3000000000000004E-2</v>
      </c>
      <c r="U183">
        <v>-0.50843373493975119</v>
      </c>
      <c r="V183">
        <v>12.026899999999999</v>
      </c>
      <c r="W183">
        <v>12.1099</v>
      </c>
      <c r="X183">
        <v>12.1929</v>
      </c>
      <c r="Y183">
        <v>12.3589</v>
      </c>
      <c r="Z183">
        <v>12.4419</v>
      </c>
      <c r="AA183">
        <v>12.524900000000001</v>
      </c>
      <c r="AD183">
        <v>4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 t="s">
        <v>462</v>
      </c>
      <c r="AL183" t="s">
        <v>6</v>
      </c>
      <c r="AM183" t="s">
        <v>1145</v>
      </c>
      <c r="AN183" t="s">
        <v>1146</v>
      </c>
      <c r="AO183" s="100">
        <v>46262.040405092594</v>
      </c>
      <c r="AP183" t="s">
        <v>1147</v>
      </c>
      <c r="AQ183" t="s">
        <v>1575</v>
      </c>
      <c r="AR183" t="s">
        <v>1180</v>
      </c>
      <c r="AS183" t="s">
        <v>1150</v>
      </c>
      <c r="AT183" t="s">
        <v>1512</v>
      </c>
      <c r="AU183">
        <v>25</v>
      </c>
      <c r="AV183">
        <v>12.293559999999999</v>
      </c>
      <c r="AW183">
        <v>6.4464027436496152E-2</v>
      </c>
      <c r="AX183">
        <v>0.52437233345341916</v>
      </c>
      <c r="AY183">
        <v>1.3496428095512332</v>
      </c>
      <c r="AZ183">
        <v>2.2148571597493749</v>
      </c>
      <c r="BA183">
        <v>5.0543421560668635</v>
      </c>
      <c r="BB183" s="97" t="s">
        <v>161</v>
      </c>
      <c r="BD183" s="98"/>
      <c r="BE183" s="98"/>
      <c r="BF183" t="s">
        <v>1152</v>
      </c>
      <c r="BG183" t="s">
        <v>322</v>
      </c>
      <c r="BH183" t="s">
        <v>1153</v>
      </c>
      <c r="BI183">
        <v>1.3496428095512332</v>
      </c>
      <c r="BJ183" t="s">
        <v>987</v>
      </c>
      <c r="BK183">
        <v>1.7851428402506251</v>
      </c>
      <c r="BL183">
        <v>44.628571006265631</v>
      </c>
      <c r="BM183" t="s">
        <v>1260</v>
      </c>
      <c r="BN183" t="s">
        <v>1154</v>
      </c>
      <c r="BO183">
        <v>2025</v>
      </c>
      <c r="BP183" t="s">
        <v>966</v>
      </c>
      <c r="BQ183">
        <v>69257.0271489078</v>
      </c>
      <c r="BR183">
        <v>93.074297285109225</v>
      </c>
      <c r="BS183" t="s">
        <v>992</v>
      </c>
      <c r="BV183" t="s">
        <v>1034</v>
      </c>
      <c r="BW183" t="s">
        <v>943</v>
      </c>
      <c r="BX183" t="s">
        <v>994</v>
      </c>
      <c r="BY183">
        <v>2.981347284779206</v>
      </c>
      <c r="BZ183" t="s">
        <v>1155</v>
      </c>
      <c r="CA183" t="s">
        <v>991</v>
      </c>
      <c r="CB183" t="b">
        <v>1</v>
      </c>
      <c r="CC183" t="b">
        <v>1</v>
      </c>
      <c r="CD183" t="b">
        <v>1</v>
      </c>
      <c r="CE183" t="b">
        <v>1</v>
      </c>
      <c r="CF183" t="b">
        <v>1</v>
      </c>
    </row>
    <row r="184" spans="1:84" x14ac:dyDescent="0.3">
      <c r="A184" t="s">
        <v>1576</v>
      </c>
      <c r="B184" t="s">
        <v>1182</v>
      </c>
      <c r="C184" s="98">
        <v>45712</v>
      </c>
      <c r="D184">
        <v>2025</v>
      </c>
      <c r="E184">
        <v>2</v>
      </c>
      <c r="F184">
        <v>1</v>
      </c>
      <c r="G184" t="s">
        <v>1170</v>
      </c>
      <c r="H184" t="s">
        <v>127</v>
      </c>
      <c r="I184" t="s">
        <v>127</v>
      </c>
      <c r="J184" t="s">
        <v>6</v>
      </c>
      <c r="L184">
        <v>522611</v>
      </c>
      <c r="M184" s="99" t="s">
        <v>179</v>
      </c>
      <c r="N184">
        <v>2</v>
      </c>
      <c r="O184">
        <v>8</v>
      </c>
      <c r="P184">
        <v>12.328200000000001</v>
      </c>
      <c r="Q184" t="s">
        <v>352</v>
      </c>
      <c r="R184">
        <v>1</v>
      </c>
      <c r="S184">
        <v>12.2759</v>
      </c>
      <c r="T184">
        <v>8.3000000000000004E-2</v>
      </c>
      <c r="U184">
        <v>0.63012048192771897</v>
      </c>
      <c r="V184">
        <v>12.026899999999999</v>
      </c>
      <c r="W184">
        <v>12.1099</v>
      </c>
      <c r="X184">
        <v>12.1929</v>
      </c>
      <c r="Y184">
        <v>12.3589</v>
      </c>
      <c r="Z184">
        <v>12.4419</v>
      </c>
      <c r="AA184">
        <v>12.524900000000001</v>
      </c>
      <c r="AD184">
        <v>4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 t="s">
        <v>462</v>
      </c>
      <c r="AL184" t="s">
        <v>6</v>
      </c>
      <c r="AM184" t="s">
        <v>1145</v>
      </c>
      <c r="AN184" t="s">
        <v>1146</v>
      </c>
      <c r="AO184" s="100">
        <v>46262.040405092594</v>
      </c>
      <c r="AP184" t="s">
        <v>1147</v>
      </c>
      <c r="AQ184" t="s">
        <v>1577</v>
      </c>
      <c r="AR184" t="s">
        <v>1184</v>
      </c>
      <c r="AS184" t="s">
        <v>1150</v>
      </c>
      <c r="AT184" t="s">
        <v>1512</v>
      </c>
      <c r="AU184">
        <v>25</v>
      </c>
      <c r="AV184">
        <v>12.293559999999999</v>
      </c>
      <c r="AW184">
        <v>6.4464027436496152E-2</v>
      </c>
      <c r="AX184">
        <v>0.52437233345341916</v>
      </c>
      <c r="AY184">
        <v>1.3496428095512332</v>
      </c>
      <c r="AZ184">
        <v>2.2148571597493749</v>
      </c>
      <c r="BA184">
        <v>5.0543421560668635</v>
      </c>
      <c r="BB184" s="97" t="s">
        <v>161</v>
      </c>
      <c r="BD184" s="98"/>
      <c r="BE184" s="98"/>
      <c r="BF184" t="s">
        <v>1152</v>
      </c>
      <c r="BG184" t="s">
        <v>322</v>
      </c>
      <c r="BH184" t="s">
        <v>1153</v>
      </c>
      <c r="BI184">
        <v>1.3496428095512332</v>
      </c>
      <c r="BJ184" t="s">
        <v>987</v>
      </c>
      <c r="BK184">
        <v>1.7851428402506251</v>
      </c>
      <c r="BL184">
        <v>44.628571006265631</v>
      </c>
      <c r="BM184" t="s">
        <v>1260</v>
      </c>
      <c r="BN184" t="s">
        <v>1154</v>
      </c>
      <c r="BO184">
        <v>2025</v>
      </c>
      <c r="BP184" t="s">
        <v>966</v>
      </c>
      <c r="BQ184">
        <v>69257.0271489078</v>
      </c>
      <c r="BR184">
        <v>93.074297285109225</v>
      </c>
      <c r="BS184" t="s">
        <v>992</v>
      </c>
      <c r="BV184" t="s">
        <v>1034</v>
      </c>
      <c r="BW184" t="s">
        <v>943</v>
      </c>
      <c r="BX184" t="s">
        <v>994</v>
      </c>
      <c r="BY184">
        <v>2.981347284779206</v>
      </c>
      <c r="BZ184" t="s">
        <v>1155</v>
      </c>
      <c r="CA184" t="s">
        <v>991</v>
      </c>
      <c r="CB184" t="b">
        <v>1</v>
      </c>
      <c r="CC184" t="b">
        <v>1</v>
      </c>
      <c r="CD184" t="b">
        <v>1</v>
      </c>
      <c r="CE184" t="b">
        <v>1</v>
      </c>
      <c r="CF184" t="b">
        <v>1</v>
      </c>
    </row>
    <row r="185" spans="1:84" x14ac:dyDescent="0.3">
      <c r="A185" t="s">
        <v>1578</v>
      </c>
      <c r="B185" t="s">
        <v>1186</v>
      </c>
      <c r="C185" s="98">
        <v>45719</v>
      </c>
      <c r="D185">
        <v>2025</v>
      </c>
      <c r="E185">
        <v>3</v>
      </c>
      <c r="F185">
        <v>1</v>
      </c>
      <c r="G185" t="s">
        <v>1187</v>
      </c>
      <c r="H185" t="s">
        <v>127</v>
      </c>
      <c r="I185" t="s">
        <v>127</v>
      </c>
      <c r="J185" t="s">
        <v>6</v>
      </c>
      <c r="L185">
        <v>522611</v>
      </c>
      <c r="M185" s="99" t="s">
        <v>179</v>
      </c>
      <c r="N185">
        <v>2</v>
      </c>
      <c r="O185">
        <v>9</v>
      </c>
      <c r="P185">
        <v>12.2508</v>
      </c>
      <c r="Q185" t="s">
        <v>352</v>
      </c>
      <c r="R185">
        <v>1</v>
      </c>
      <c r="S185">
        <v>12.2759</v>
      </c>
      <c r="T185">
        <v>8.3000000000000004E-2</v>
      </c>
      <c r="U185">
        <v>-0.30240963855421832</v>
      </c>
      <c r="V185">
        <v>12.026899999999999</v>
      </c>
      <c r="W185">
        <v>12.1099</v>
      </c>
      <c r="X185">
        <v>12.1929</v>
      </c>
      <c r="Y185">
        <v>12.3589</v>
      </c>
      <c r="Z185">
        <v>12.4419</v>
      </c>
      <c r="AA185">
        <v>12.524900000000001</v>
      </c>
      <c r="AD185">
        <v>4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 t="s">
        <v>462</v>
      </c>
      <c r="AL185" t="s">
        <v>6</v>
      </c>
      <c r="AM185" t="s">
        <v>1145</v>
      </c>
      <c r="AN185" t="s">
        <v>1146</v>
      </c>
      <c r="AO185" s="100">
        <v>46262.040405092594</v>
      </c>
      <c r="AP185" t="s">
        <v>1147</v>
      </c>
      <c r="AQ185" t="s">
        <v>1579</v>
      </c>
      <c r="AR185" t="s">
        <v>1189</v>
      </c>
      <c r="AS185" t="s">
        <v>1150</v>
      </c>
      <c r="AT185" t="s">
        <v>1512</v>
      </c>
      <c r="AU185">
        <v>25</v>
      </c>
      <c r="AV185">
        <v>12.293559999999999</v>
      </c>
      <c r="AW185">
        <v>6.4464027436496152E-2</v>
      </c>
      <c r="AX185">
        <v>0.52437233345341916</v>
      </c>
      <c r="AY185">
        <v>1.3496428095512332</v>
      </c>
      <c r="AZ185">
        <v>2.2148571597493749</v>
      </c>
      <c r="BA185">
        <v>5.0543421560668635</v>
      </c>
      <c r="BB185" s="97" t="s">
        <v>161</v>
      </c>
      <c r="BD185" s="98"/>
      <c r="BE185" s="98"/>
      <c r="BF185" t="s">
        <v>1152</v>
      </c>
      <c r="BG185" t="s">
        <v>322</v>
      </c>
      <c r="BH185" t="s">
        <v>1153</v>
      </c>
      <c r="BI185">
        <v>1.3496428095512332</v>
      </c>
      <c r="BJ185" t="s">
        <v>987</v>
      </c>
      <c r="BK185">
        <v>1.7851428402506251</v>
      </c>
      <c r="BL185">
        <v>44.628571006265631</v>
      </c>
      <c r="BM185" t="s">
        <v>1260</v>
      </c>
      <c r="BN185" t="s">
        <v>1154</v>
      </c>
      <c r="BO185">
        <v>2025</v>
      </c>
      <c r="BP185" t="s">
        <v>966</v>
      </c>
      <c r="BQ185">
        <v>69257.0271489078</v>
      </c>
      <c r="BR185">
        <v>93.074297285109225</v>
      </c>
      <c r="BS185" t="s">
        <v>992</v>
      </c>
      <c r="BV185" t="s">
        <v>1034</v>
      </c>
      <c r="BW185" t="s">
        <v>943</v>
      </c>
      <c r="BX185" t="s">
        <v>994</v>
      </c>
      <c r="BY185">
        <v>2.981347284779206</v>
      </c>
      <c r="BZ185" t="s">
        <v>1155</v>
      </c>
      <c r="CA185" t="s">
        <v>991</v>
      </c>
      <c r="CB185" t="b">
        <v>1</v>
      </c>
      <c r="CC185" t="b">
        <v>1</v>
      </c>
      <c r="CD185" t="b">
        <v>1</v>
      </c>
      <c r="CE185" t="b">
        <v>1</v>
      </c>
      <c r="CF185" t="b">
        <v>1</v>
      </c>
    </row>
    <row r="186" spans="1:84" x14ac:dyDescent="0.3">
      <c r="A186" t="s">
        <v>1580</v>
      </c>
      <c r="B186" t="s">
        <v>1191</v>
      </c>
      <c r="C186" s="98">
        <v>45726</v>
      </c>
      <c r="D186">
        <v>2025</v>
      </c>
      <c r="E186">
        <v>3</v>
      </c>
      <c r="F186">
        <v>1</v>
      </c>
      <c r="G186" t="s">
        <v>1187</v>
      </c>
      <c r="H186" t="s">
        <v>127</v>
      </c>
      <c r="I186" t="s">
        <v>127</v>
      </c>
      <c r="J186" t="s">
        <v>6</v>
      </c>
      <c r="L186">
        <v>522611</v>
      </c>
      <c r="M186" s="99" t="s">
        <v>179</v>
      </c>
      <c r="N186">
        <v>2</v>
      </c>
      <c r="O186">
        <v>10</v>
      </c>
      <c r="P186">
        <v>12.263299999999999</v>
      </c>
      <c r="Q186" t="s">
        <v>352</v>
      </c>
      <c r="R186">
        <v>1</v>
      </c>
      <c r="S186">
        <v>12.2759</v>
      </c>
      <c r="T186">
        <v>8.3000000000000004E-2</v>
      </c>
      <c r="U186">
        <v>-0.15180722891567267</v>
      </c>
      <c r="V186">
        <v>12.026899999999999</v>
      </c>
      <c r="W186">
        <v>12.1099</v>
      </c>
      <c r="X186">
        <v>12.1929</v>
      </c>
      <c r="Y186">
        <v>12.3589</v>
      </c>
      <c r="Z186">
        <v>12.4419</v>
      </c>
      <c r="AA186">
        <v>12.524900000000001</v>
      </c>
      <c r="AD186">
        <v>4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 t="s">
        <v>462</v>
      </c>
      <c r="AL186" t="s">
        <v>6</v>
      </c>
      <c r="AM186" t="s">
        <v>1145</v>
      </c>
      <c r="AN186" t="s">
        <v>1146</v>
      </c>
      <c r="AO186" s="100">
        <v>46262.040405092594</v>
      </c>
      <c r="AP186" t="s">
        <v>1147</v>
      </c>
      <c r="AQ186" t="s">
        <v>1581</v>
      </c>
      <c r="AR186" t="s">
        <v>1193</v>
      </c>
      <c r="AS186" t="s">
        <v>1150</v>
      </c>
      <c r="AT186" t="s">
        <v>1512</v>
      </c>
      <c r="AU186">
        <v>25</v>
      </c>
      <c r="AV186">
        <v>12.293559999999999</v>
      </c>
      <c r="AW186">
        <v>6.4464027436496152E-2</v>
      </c>
      <c r="AX186">
        <v>0.52437233345341916</v>
      </c>
      <c r="AY186">
        <v>1.3496428095512332</v>
      </c>
      <c r="AZ186">
        <v>2.2148571597493749</v>
      </c>
      <c r="BA186">
        <v>5.0543421560668635</v>
      </c>
      <c r="BB186" s="97" t="s">
        <v>161</v>
      </c>
      <c r="BD186" s="98"/>
      <c r="BE186" s="98"/>
      <c r="BF186" t="s">
        <v>1152</v>
      </c>
      <c r="BG186" t="s">
        <v>322</v>
      </c>
      <c r="BH186" t="s">
        <v>1153</v>
      </c>
      <c r="BI186">
        <v>1.3496428095512332</v>
      </c>
      <c r="BJ186" t="s">
        <v>987</v>
      </c>
      <c r="BK186">
        <v>1.7851428402506251</v>
      </c>
      <c r="BL186">
        <v>44.628571006265631</v>
      </c>
      <c r="BM186" t="s">
        <v>1260</v>
      </c>
      <c r="BN186" t="s">
        <v>1154</v>
      </c>
      <c r="BO186">
        <v>2025</v>
      </c>
      <c r="BP186" t="s">
        <v>966</v>
      </c>
      <c r="BQ186">
        <v>69257.0271489078</v>
      </c>
      <c r="BR186">
        <v>93.074297285109225</v>
      </c>
      <c r="BS186" t="s">
        <v>992</v>
      </c>
      <c r="BV186" t="s">
        <v>1034</v>
      </c>
      <c r="BW186" t="s">
        <v>943</v>
      </c>
      <c r="BX186" t="s">
        <v>994</v>
      </c>
      <c r="BY186">
        <v>2.981347284779206</v>
      </c>
      <c r="BZ186" t="s">
        <v>1155</v>
      </c>
      <c r="CA186" t="s">
        <v>991</v>
      </c>
      <c r="CB186" t="b">
        <v>1</v>
      </c>
      <c r="CC186" t="b">
        <v>1</v>
      </c>
      <c r="CD186" t="b">
        <v>1</v>
      </c>
      <c r="CE186" t="b">
        <v>1</v>
      </c>
      <c r="CF186" t="b">
        <v>1</v>
      </c>
    </row>
    <row r="187" spans="1:84" x14ac:dyDescent="0.3">
      <c r="A187" t="s">
        <v>1582</v>
      </c>
      <c r="B187" t="s">
        <v>1195</v>
      </c>
      <c r="C187" s="98">
        <v>45733</v>
      </c>
      <c r="D187">
        <v>2025</v>
      </c>
      <c r="E187">
        <v>3</v>
      </c>
      <c r="F187">
        <v>1</v>
      </c>
      <c r="G187" t="s">
        <v>1187</v>
      </c>
      <c r="H187" t="s">
        <v>127</v>
      </c>
      <c r="I187" t="s">
        <v>127</v>
      </c>
      <c r="J187" t="s">
        <v>6</v>
      </c>
      <c r="L187">
        <v>522611</v>
      </c>
      <c r="M187" s="99" t="s">
        <v>179</v>
      </c>
      <c r="N187">
        <v>2</v>
      </c>
      <c r="O187">
        <v>11</v>
      </c>
      <c r="P187">
        <v>12.277699999999999</v>
      </c>
      <c r="Q187" t="s">
        <v>352</v>
      </c>
      <c r="R187">
        <v>1</v>
      </c>
      <c r="S187">
        <v>12.2759</v>
      </c>
      <c r="T187">
        <v>8.3000000000000004E-2</v>
      </c>
      <c r="U187">
        <v>2.1686746987944067E-2</v>
      </c>
      <c r="V187">
        <v>12.026899999999999</v>
      </c>
      <c r="W187">
        <v>12.1099</v>
      </c>
      <c r="X187">
        <v>12.1929</v>
      </c>
      <c r="Y187">
        <v>12.3589</v>
      </c>
      <c r="Z187">
        <v>12.4419</v>
      </c>
      <c r="AA187">
        <v>12.524900000000001</v>
      </c>
      <c r="AD187">
        <v>4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 t="s">
        <v>462</v>
      </c>
      <c r="AL187" t="s">
        <v>6</v>
      </c>
      <c r="AM187" t="s">
        <v>1145</v>
      </c>
      <c r="AN187" t="s">
        <v>1146</v>
      </c>
      <c r="AO187" s="100">
        <v>46262.040405092594</v>
      </c>
      <c r="AP187" t="s">
        <v>1147</v>
      </c>
      <c r="AQ187" t="s">
        <v>1583</v>
      </c>
      <c r="AR187" t="s">
        <v>1197</v>
      </c>
      <c r="AS187" t="s">
        <v>1150</v>
      </c>
      <c r="AT187" t="s">
        <v>1512</v>
      </c>
      <c r="AU187">
        <v>25</v>
      </c>
      <c r="AV187">
        <v>12.293559999999999</v>
      </c>
      <c r="AW187">
        <v>6.4464027436496152E-2</v>
      </c>
      <c r="AX187">
        <v>0.52437233345341916</v>
      </c>
      <c r="AY187">
        <v>1.3496428095512332</v>
      </c>
      <c r="AZ187">
        <v>2.2148571597493749</v>
      </c>
      <c r="BA187">
        <v>5.0543421560668635</v>
      </c>
      <c r="BB187" s="97" t="s">
        <v>161</v>
      </c>
      <c r="BD187" s="98"/>
      <c r="BE187" s="98"/>
      <c r="BF187" t="s">
        <v>1152</v>
      </c>
      <c r="BG187" t="s">
        <v>322</v>
      </c>
      <c r="BH187" t="s">
        <v>1153</v>
      </c>
      <c r="BI187">
        <v>1.3496428095512332</v>
      </c>
      <c r="BJ187" t="s">
        <v>987</v>
      </c>
      <c r="BK187">
        <v>1.7851428402506251</v>
      </c>
      <c r="BL187">
        <v>44.628571006265631</v>
      </c>
      <c r="BM187" t="s">
        <v>1260</v>
      </c>
      <c r="BN187" t="s">
        <v>1154</v>
      </c>
      <c r="BO187">
        <v>2025</v>
      </c>
      <c r="BP187" t="s">
        <v>966</v>
      </c>
      <c r="BQ187">
        <v>69257.0271489078</v>
      </c>
      <c r="BR187">
        <v>93.074297285109225</v>
      </c>
      <c r="BS187" t="s">
        <v>992</v>
      </c>
      <c r="BV187" t="s">
        <v>1034</v>
      </c>
      <c r="BW187" t="s">
        <v>943</v>
      </c>
      <c r="BX187" t="s">
        <v>994</v>
      </c>
      <c r="BY187">
        <v>2.981347284779206</v>
      </c>
      <c r="BZ187" t="s">
        <v>1155</v>
      </c>
      <c r="CA187" t="s">
        <v>991</v>
      </c>
      <c r="CB187" t="b">
        <v>1</v>
      </c>
      <c r="CC187" t="b">
        <v>1</v>
      </c>
      <c r="CD187" t="b">
        <v>1</v>
      </c>
      <c r="CE187" t="b">
        <v>1</v>
      </c>
      <c r="CF187" t="b">
        <v>1</v>
      </c>
    </row>
    <row r="188" spans="1:84" x14ac:dyDescent="0.3">
      <c r="A188" t="s">
        <v>1584</v>
      </c>
      <c r="B188" t="s">
        <v>1199</v>
      </c>
      <c r="C188" s="98">
        <v>45740</v>
      </c>
      <c r="D188">
        <v>2025</v>
      </c>
      <c r="E188">
        <v>3</v>
      </c>
      <c r="F188">
        <v>1</v>
      </c>
      <c r="G188" t="s">
        <v>1187</v>
      </c>
      <c r="H188" t="s">
        <v>127</v>
      </c>
      <c r="I188" t="s">
        <v>127</v>
      </c>
      <c r="J188" t="s">
        <v>6</v>
      </c>
      <c r="L188">
        <v>522611</v>
      </c>
      <c r="M188" s="99" t="s">
        <v>179</v>
      </c>
      <c r="N188">
        <v>2</v>
      </c>
      <c r="O188">
        <v>12</v>
      </c>
      <c r="P188">
        <v>12.3736</v>
      </c>
      <c r="Q188" t="s">
        <v>352</v>
      </c>
      <c r="R188">
        <v>1</v>
      </c>
      <c r="S188">
        <v>12.2759</v>
      </c>
      <c r="T188">
        <v>8.3000000000000004E-2</v>
      </c>
      <c r="U188">
        <v>1.1771084337349358</v>
      </c>
      <c r="V188">
        <v>12.026899999999999</v>
      </c>
      <c r="W188">
        <v>12.1099</v>
      </c>
      <c r="X188">
        <v>12.1929</v>
      </c>
      <c r="Y188">
        <v>12.3589</v>
      </c>
      <c r="Z188">
        <v>12.4419</v>
      </c>
      <c r="AA188">
        <v>12.524900000000001</v>
      </c>
      <c r="AD188">
        <v>4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 t="s">
        <v>462</v>
      </c>
      <c r="AL188" t="s">
        <v>6</v>
      </c>
      <c r="AM188" t="s">
        <v>1145</v>
      </c>
      <c r="AN188" t="s">
        <v>1146</v>
      </c>
      <c r="AO188" s="100">
        <v>46262.040405092594</v>
      </c>
      <c r="AP188" t="s">
        <v>1147</v>
      </c>
      <c r="AQ188" t="s">
        <v>1585</v>
      </c>
      <c r="AR188" t="s">
        <v>1201</v>
      </c>
      <c r="AS188" t="s">
        <v>1150</v>
      </c>
      <c r="AT188" t="s">
        <v>1512</v>
      </c>
      <c r="AU188">
        <v>25</v>
      </c>
      <c r="AV188">
        <v>12.293559999999999</v>
      </c>
      <c r="AW188">
        <v>6.4464027436496152E-2</v>
      </c>
      <c r="AX188">
        <v>0.52437233345341916</v>
      </c>
      <c r="AY188">
        <v>1.3496428095512332</v>
      </c>
      <c r="AZ188">
        <v>2.2148571597493749</v>
      </c>
      <c r="BA188">
        <v>5.0543421560668635</v>
      </c>
      <c r="BB188" s="97" t="s">
        <v>161</v>
      </c>
      <c r="BD188" s="98"/>
      <c r="BE188" s="98"/>
      <c r="BF188" t="s">
        <v>1152</v>
      </c>
      <c r="BG188" t="s">
        <v>322</v>
      </c>
      <c r="BH188" t="s">
        <v>1153</v>
      </c>
      <c r="BI188">
        <v>1.3496428095512332</v>
      </c>
      <c r="BJ188" t="s">
        <v>987</v>
      </c>
      <c r="BK188">
        <v>1.7851428402506251</v>
      </c>
      <c r="BL188">
        <v>44.628571006265631</v>
      </c>
      <c r="BM188" t="s">
        <v>1260</v>
      </c>
      <c r="BN188" t="s">
        <v>1154</v>
      </c>
      <c r="BO188">
        <v>2025</v>
      </c>
      <c r="BP188" t="s">
        <v>966</v>
      </c>
      <c r="BQ188">
        <v>69257.0271489078</v>
      </c>
      <c r="BR188">
        <v>93.074297285109225</v>
      </c>
      <c r="BS188" t="s">
        <v>992</v>
      </c>
      <c r="BV188" t="s">
        <v>1034</v>
      </c>
      <c r="BW188" t="s">
        <v>943</v>
      </c>
      <c r="BX188" t="s">
        <v>994</v>
      </c>
      <c r="BY188">
        <v>2.981347284779206</v>
      </c>
      <c r="BZ188" t="s">
        <v>1155</v>
      </c>
      <c r="CA188" t="s">
        <v>991</v>
      </c>
      <c r="CB188" t="b">
        <v>1</v>
      </c>
      <c r="CC188" t="b">
        <v>1</v>
      </c>
      <c r="CD188" t="b">
        <v>1</v>
      </c>
      <c r="CE188" t="b">
        <v>1</v>
      </c>
      <c r="CF188" t="b">
        <v>1</v>
      </c>
    </row>
    <row r="189" spans="1:84" x14ac:dyDescent="0.3">
      <c r="A189" t="s">
        <v>1586</v>
      </c>
      <c r="B189" t="s">
        <v>1203</v>
      </c>
      <c r="C189" s="98">
        <v>45747</v>
      </c>
      <c r="D189">
        <v>2025</v>
      </c>
      <c r="E189">
        <v>3</v>
      </c>
      <c r="F189">
        <v>1</v>
      </c>
      <c r="G189" t="s">
        <v>1187</v>
      </c>
      <c r="H189" t="s">
        <v>127</v>
      </c>
      <c r="I189" t="s">
        <v>127</v>
      </c>
      <c r="J189" t="s">
        <v>6</v>
      </c>
      <c r="L189">
        <v>522611</v>
      </c>
      <c r="M189" s="99" t="s">
        <v>179</v>
      </c>
      <c r="N189">
        <v>2</v>
      </c>
      <c r="O189">
        <v>13</v>
      </c>
      <c r="P189">
        <v>12.3324</v>
      </c>
      <c r="Q189" t="s">
        <v>352</v>
      </c>
      <c r="R189">
        <v>1</v>
      </c>
      <c r="S189">
        <v>12.2759</v>
      </c>
      <c r="T189">
        <v>8.3000000000000004E-2</v>
      </c>
      <c r="U189">
        <v>0.68072289156626231</v>
      </c>
      <c r="V189">
        <v>12.026899999999999</v>
      </c>
      <c r="W189">
        <v>12.1099</v>
      </c>
      <c r="X189">
        <v>12.1929</v>
      </c>
      <c r="Y189">
        <v>12.3589</v>
      </c>
      <c r="Z189">
        <v>12.4419</v>
      </c>
      <c r="AA189">
        <v>12.524900000000001</v>
      </c>
      <c r="AD189">
        <v>4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 t="s">
        <v>462</v>
      </c>
      <c r="AL189" t="s">
        <v>6</v>
      </c>
      <c r="AM189" t="s">
        <v>1145</v>
      </c>
      <c r="AN189" t="s">
        <v>1146</v>
      </c>
      <c r="AO189" s="100">
        <v>46262.040405092594</v>
      </c>
      <c r="AP189" t="s">
        <v>1147</v>
      </c>
      <c r="AQ189" t="s">
        <v>1587</v>
      </c>
      <c r="AR189" t="s">
        <v>1205</v>
      </c>
      <c r="AS189" t="s">
        <v>1150</v>
      </c>
      <c r="AT189" t="s">
        <v>1512</v>
      </c>
      <c r="AU189">
        <v>25</v>
      </c>
      <c r="AV189">
        <v>12.293559999999999</v>
      </c>
      <c r="AW189">
        <v>6.4464027436496152E-2</v>
      </c>
      <c r="AX189">
        <v>0.52437233345341916</v>
      </c>
      <c r="AY189">
        <v>1.3496428095512332</v>
      </c>
      <c r="AZ189">
        <v>2.2148571597493749</v>
      </c>
      <c r="BA189">
        <v>5.0543421560668635</v>
      </c>
      <c r="BB189" s="97" t="s">
        <v>161</v>
      </c>
      <c r="BD189" s="98"/>
      <c r="BE189" s="98"/>
      <c r="BF189" t="s">
        <v>1152</v>
      </c>
      <c r="BG189" t="s">
        <v>322</v>
      </c>
      <c r="BH189" t="s">
        <v>1153</v>
      </c>
      <c r="BI189">
        <v>1.3496428095512332</v>
      </c>
      <c r="BJ189" t="s">
        <v>987</v>
      </c>
      <c r="BK189">
        <v>1.7851428402506251</v>
      </c>
      <c r="BL189">
        <v>44.628571006265631</v>
      </c>
      <c r="BM189" t="s">
        <v>1260</v>
      </c>
      <c r="BN189" t="s">
        <v>1154</v>
      </c>
      <c r="BO189">
        <v>2025</v>
      </c>
      <c r="BP189" t="s">
        <v>966</v>
      </c>
      <c r="BQ189">
        <v>69257.0271489078</v>
      </c>
      <c r="BR189">
        <v>93.074297285109225</v>
      </c>
      <c r="BS189" t="s">
        <v>992</v>
      </c>
      <c r="BV189" t="s">
        <v>1034</v>
      </c>
      <c r="BW189" t="s">
        <v>943</v>
      </c>
      <c r="BX189" t="s">
        <v>994</v>
      </c>
      <c r="BY189">
        <v>2.981347284779206</v>
      </c>
      <c r="BZ189" t="s">
        <v>1155</v>
      </c>
      <c r="CA189" t="s">
        <v>991</v>
      </c>
      <c r="CB189" t="b">
        <v>1</v>
      </c>
      <c r="CC189" t="b">
        <v>1</v>
      </c>
      <c r="CD189" t="b">
        <v>1</v>
      </c>
      <c r="CE189" t="b">
        <v>1</v>
      </c>
      <c r="CF189" t="b">
        <v>1</v>
      </c>
    </row>
    <row r="190" spans="1:84" x14ac:dyDescent="0.3">
      <c r="A190" t="s">
        <v>1588</v>
      </c>
      <c r="B190" t="s">
        <v>1207</v>
      </c>
      <c r="C190" s="98">
        <v>45754</v>
      </c>
      <c r="D190">
        <v>2025</v>
      </c>
      <c r="E190">
        <v>4</v>
      </c>
      <c r="F190">
        <v>2</v>
      </c>
      <c r="G190" t="s">
        <v>1208</v>
      </c>
      <c r="H190" t="s">
        <v>127</v>
      </c>
      <c r="I190" t="s">
        <v>127</v>
      </c>
      <c r="J190" t="s">
        <v>6</v>
      </c>
      <c r="L190">
        <v>522611</v>
      </c>
      <c r="M190" s="99" t="s">
        <v>179</v>
      </c>
      <c r="N190">
        <v>2</v>
      </c>
      <c r="O190">
        <v>14</v>
      </c>
      <c r="P190">
        <v>12.307600000000001</v>
      </c>
      <c r="Q190" t="s">
        <v>352</v>
      </c>
      <c r="R190">
        <v>1</v>
      </c>
      <c r="S190">
        <v>12.2759</v>
      </c>
      <c r="T190">
        <v>8.3000000000000004E-2</v>
      </c>
      <c r="U190">
        <v>0.38192771084338223</v>
      </c>
      <c r="V190">
        <v>12.026899999999999</v>
      </c>
      <c r="W190">
        <v>12.1099</v>
      </c>
      <c r="X190">
        <v>12.1929</v>
      </c>
      <c r="Y190">
        <v>12.3589</v>
      </c>
      <c r="Z190">
        <v>12.4419</v>
      </c>
      <c r="AA190">
        <v>12.524900000000001</v>
      </c>
      <c r="AD190">
        <v>4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 t="s">
        <v>462</v>
      </c>
      <c r="AL190" t="s">
        <v>6</v>
      </c>
      <c r="AM190" t="s">
        <v>1145</v>
      </c>
      <c r="AN190" t="s">
        <v>1146</v>
      </c>
      <c r="AO190" s="100">
        <v>46262.040405092594</v>
      </c>
      <c r="AP190" t="s">
        <v>1147</v>
      </c>
      <c r="AQ190" t="s">
        <v>1589</v>
      </c>
      <c r="AR190" t="s">
        <v>1210</v>
      </c>
      <c r="AS190" t="s">
        <v>1150</v>
      </c>
      <c r="AT190" t="s">
        <v>1512</v>
      </c>
      <c r="AU190">
        <v>25</v>
      </c>
      <c r="AV190">
        <v>12.293559999999999</v>
      </c>
      <c r="AW190">
        <v>6.4464027436496152E-2</v>
      </c>
      <c r="AX190">
        <v>0.52437233345341916</v>
      </c>
      <c r="AY190">
        <v>1.3496428095512332</v>
      </c>
      <c r="AZ190">
        <v>2.2148571597493749</v>
      </c>
      <c r="BA190">
        <v>5.0543421560668635</v>
      </c>
      <c r="BB190" s="97" t="s">
        <v>161</v>
      </c>
      <c r="BD190" s="98"/>
      <c r="BE190" s="98"/>
      <c r="BF190" t="s">
        <v>1152</v>
      </c>
      <c r="BG190" t="s">
        <v>322</v>
      </c>
      <c r="BH190" t="s">
        <v>1153</v>
      </c>
      <c r="BI190">
        <v>1.3496428095512332</v>
      </c>
      <c r="BJ190" t="s">
        <v>987</v>
      </c>
      <c r="BK190">
        <v>1.7851428402506251</v>
      </c>
      <c r="BL190">
        <v>44.628571006265631</v>
      </c>
      <c r="BM190" t="s">
        <v>1260</v>
      </c>
      <c r="BN190" t="s">
        <v>1154</v>
      </c>
      <c r="BO190">
        <v>2025</v>
      </c>
      <c r="BP190" t="s">
        <v>966</v>
      </c>
      <c r="BQ190">
        <v>69257.0271489078</v>
      </c>
      <c r="BR190">
        <v>93.074297285109225</v>
      </c>
      <c r="BS190" t="s">
        <v>992</v>
      </c>
      <c r="BV190" t="s">
        <v>1034</v>
      </c>
      <c r="BW190" t="s">
        <v>943</v>
      </c>
      <c r="BX190" t="s">
        <v>994</v>
      </c>
      <c r="BY190">
        <v>2.981347284779206</v>
      </c>
      <c r="BZ190" t="s">
        <v>1155</v>
      </c>
      <c r="CA190" t="s">
        <v>991</v>
      </c>
      <c r="CB190" t="b">
        <v>1</v>
      </c>
      <c r="CC190" t="b">
        <v>1</v>
      </c>
      <c r="CD190" t="b">
        <v>1</v>
      </c>
      <c r="CE190" t="b">
        <v>1</v>
      </c>
      <c r="CF190" t="b">
        <v>1</v>
      </c>
    </row>
    <row r="191" spans="1:84" x14ac:dyDescent="0.3">
      <c r="A191" t="s">
        <v>1590</v>
      </c>
      <c r="B191" t="s">
        <v>1212</v>
      </c>
      <c r="C191" s="98">
        <v>45761</v>
      </c>
      <c r="D191">
        <v>2025</v>
      </c>
      <c r="E191">
        <v>4</v>
      </c>
      <c r="F191">
        <v>2</v>
      </c>
      <c r="G191" t="s">
        <v>1208</v>
      </c>
      <c r="H191" t="s">
        <v>127</v>
      </c>
      <c r="I191" t="s">
        <v>127</v>
      </c>
      <c r="J191" t="s">
        <v>6</v>
      </c>
      <c r="L191">
        <v>522611</v>
      </c>
      <c r="M191" s="99" t="s">
        <v>179</v>
      </c>
      <c r="N191">
        <v>2</v>
      </c>
      <c r="O191">
        <v>15</v>
      </c>
      <c r="P191">
        <v>12.229100000000001</v>
      </c>
      <c r="Q191" t="s">
        <v>352</v>
      </c>
      <c r="R191">
        <v>1</v>
      </c>
      <c r="S191">
        <v>12.2759</v>
      </c>
      <c r="T191">
        <v>8.3000000000000004E-2</v>
      </c>
      <c r="U191">
        <v>-0.56385542168673841</v>
      </c>
      <c r="V191">
        <v>12.026899999999999</v>
      </c>
      <c r="W191">
        <v>12.1099</v>
      </c>
      <c r="X191">
        <v>12.1929</v>
      </c>
      <c r="Y191">
        <v>12.3589</v>
      </c>
      <c r="Z191">
        <v>12.4419</v>
      </c>
      <c r="AA191">
        <v>12.524900000000001</v>
      </c>
      <c r="AD191">
        <v>4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 t="s">
        <v>462</v>
      </c>
      <c r="AL191" t="s">
        <v>6</v>
      </c>
      <c r="AM191" t="s">
        <v>1145</v>
      </c>
      <c r="AN191" t="s">
        <v>1146</v>
      </c>
      <c r="AO191" s="100">
        <v>46262.040405092594</v>
      </c>
      <c r="AP191" t="s">
        <v>1147</v>
      </c>
      <c r="AQ191" t="s">
        <v>1591</v>
      </c>
      <c r="AR191" t="s">
        <v>1215</v>
      </c>
      <c r="AS191" t="s">
        <v>1150</v>
      </c>
      <c r="AT191" t="s">
        <v>1512</v>
      </c>
      <c r="AU191">
        <v>25</v>
      </c>
      <c r="AV191">
        <v>12.293559999999999</v>
      </c>
      <c r="AW191">
        <v>6.4464027436496152E-2</v>
      </c>
      <c r="AX191">
        <v>0.52437233345341916</v>
      </c>
      <c r="AY191">
        <v>1.3496428095512332</v>
      </c>
      <c r="AZ191">
        <v>2.2148571597493749</v>
      </c>
      <c r="BA191">
        <v>5.0543421560668635</v>
      </c>
      <c r="BB191" s="97" t="s">
        <v>161</v>
      </c>
      <c r="BD191" s="98"/>
      <c r="BE191" s="98"/>
      <c r="BF191" t="s">
        <v>1152</v>
      </c>
      <c r="BG191" t="s">
        <v>322</v>
      </c>
      <c r="BH191" t="s">
        <v>1153</v>
      </c>
      <c r="BI191">
        <v>1.3496428095512332</v>
      </c>
      <c r="BJ191" t="s">
        <v>987</v>
      </c>
      <c r="BK191">
        <v>1.7851428402506251</v>
      </c>
      <c r="BL191">
        <v>44.628571006265631</v>
      </c>
      <c r="BM191" t="s">
        <v>1260</v>
      </c>
      <c r="BN191" t="s">
        <v>1154</v>
      </c>
      <c r="BO191">
        <v>2025</v>
      </c>
      <c r="BP191" t="s">
        <v>966</v>
      </c>
      <c r="BQ191">
        <v>69257.0271489078</v>
      </c>
      <c r="BR191">
        <v>93.074297285109225</v>
      </c>
      <c r="BS191" t="s">
        <v>992</v>
      </c>
      <c r="BV191" t="s">
        <v>1034</v>
      </c>
      <c r="BW191" t="s">
        <v>943</v>
      </c>
      <c r="BX191" t="s">
        <v>994</v>
      </c>
      <c r="BY191">
        <v>2.981347284779206</v>
      </c>
      <c r="BZ191" t="s">
        <v>1155</v>
      </c>
      <c r="CA191" t="s">
        <v>991</v>
      </c>
      <c r="CB191" t="b">
        <v>1</v>
      </c>
      <c r="CC191" t="b">
        <v>1</v>
      </c>
      <c r="CD191" t="b">
        <v>1</v>
      </c>
      <c r="CE191" t="b">
        <v>1</v>
      </c>
      <c r="CF191" t="b">
        <v>1</v>
      </c>
    </row>
    <row r="192" spans="1:84" x14ac:dyDescent="0.3">
      <c r="A192" t="s">
        <v>1592</v>
      </c>
      <c r="B192" t="s">
        <v>1217</v>
      </c>
      <c r="C192" s="98">
        <v>45768</v>
      </c>
      <c r="D192">
        <v>2025</v>
      </c>
      <c r="E192">
        <v>4</v>
      </c>
      <c r="F192">
        <v>2</v>
      </c>
      <c r="G192" t="s">
        <v>1208</v>
      </c>
      <c r="H192" t="s">
        <v>127</v>
      </c>
      <c r="I192" t="s">
        <v>127</v>
      </c>
      <c r="J192" t="s">
        <v>6</v>
      </c>
      <c r="L192">
        <v>522611</v>
      </c>
      <c r="M192" s="99" t="s">
        <v>179</v>
      </c>
      <c r="N192">
        <v>2</v>
      </c>
      <c r="O192">
        <v>16</v>
      </c>
      <c r="P192">
        <v>12.161099999999999</v>
      </c>
      <c r="Q192" t="s">
        <v>352</v>
      </c>
      <c r="R192">
        <v>1</v>
      </c>
      <c r="S192">
        <v>12.2759</v>
      </c>
      <c r="T192">
        <v>8.3000000000000004E-2</v>
      </c>
      <c r="U192">
        <v>-1.38313253012049</v>
      </c>
      <c r="V192">
        <v>12.026899999999999</v>
      </c>
      <c r="W192">
        <v>12.1099</v>
      </c>
      <c r="X192">
        <v>12.1929</v>
      </c>
      <c r="Y192">
        <v>12.3589</v>
      </c>
      <c r="Z192">
        <v>12.4419</v>
      </c>
      <c r="AA192">
        <v>12.524900000000001</v>
      </c>
      <c r="AD192">
        <v>4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 t="s">
        <v>462</v>
      </c>
      <c r="AL192" t="s">
        <v>6</v>
      </c>
      <c r="AM192" t="s">
        <v>1145</v>
      </c>
      <c r="AN192" t="s">
        <v>1146</v>
      </c>
      <c r="AO192" s="100">
        <v>46262.040405092594</v>
      </c>
      <c r="AP192" t="s">
        <v>1147</v>
      </c>
      <c r="AQ192" t="s">
        <v>1593</v>
      </c>
      <c r="AR192" t="s">
        <v>1219</v>
      </c>
      <c r="AS192" t="s">
        <v>1150</v>
      </c>
      <c r="AT192" t="s">
        <v>1512</v>
      </c>
      <c r="AU192">
        <v>25</v>
      </c>
      <c r="AV192">
        <v>12.293559999999999</v>
      </c>
      <c r="AW192">
        <v>6.4464027436496152E-2</v>
      </c>
      <c r="AX192">
        <v>0.52437233345341916</v>
      </c>
      <c r="AY192">
        <v>1.3496428095512332</v>
      </c>
      <c r="AZ192">
        <v>2.2148571597493749</v>
      </c>
      <c r="BA192">
        <v>5.0543421560668635</v>
      </c>
      <c r="BB192" s="97" t="s">
        <v>161</v>
      </c>
      <c r="BD192" s="98"/>
      <c r="BE192" s="98"/>
      <c r="BF192" t="s">
        <v>1152</v>
      </c>
      <c r="BG192" t="s">
        <v>322</v>
      </c>
      <c r="BH192" t="s">
        <v>1153</v>
      </c>
      <c r="BI192">
        <v>1.3496428095512332</v>
      </c>
      <c r="BJ192" t="s">
        <v>987</v>
      </c>
      <c r="BK192">
        <v>1.7851428402506251</v>
      </c>
      <c r="BL192">
        <v>44.628571006265631</v>
      </c>
      <c r="BM192" t="s">
        <v>1260</v>
      </c>
      <c r="BN192" t="s">
        <v>1154</v>
      </c>
      <c r="BO192">
        <v>2025</v>
      </c>
      <c r="BP192" t="s">
        <v>966</v>
      </c>
      <c r="BQ192">
        <v>69257.0271489078</v>
      </c>
      <c r="BR192">
        <v>93.074297285109225</v>
      </c>
      <c r="BS192" t="s">
        <v>992</v>
      </c>
      <c r="BV192" t="s">
        <v>1034</v>
      </c>
      <c r="BW192" t="s">
        <v>943</v>
      </c>
      <c r="BX192" t="s">
        <v>994</v>
      </c>
      <c r="BY192">
        <v>2.981347284779206</v>
      </c>
      <c r="BZ192" t="s">
        <v>1155</v>
      </c>
      <c r="CA192" t="s">
        <v>991</v>
      </c>
      <c r="CB192" t="b">
        <v>1</v>
      </c>
      <c r="CC192" t="b">
        <v>1</v>
      </c>
      <c r="CD192" t="b">
        <v>1</v>
      </c>
      <c r="CE192" t="b">
        <v>1</v>
      </c>
      <c r="CF192" t="b">
        <v>1</v>
      </c>
    </row>
    <row r="193" spans="1:84" x14ac:dyDescent="0.3">
      <c r="A193" t="s">
        <v>1594</v>
      </c>
      <c r="B193" t="s">
        <v>1221</v>
      </c>
      <c r="C193" s="98">
        <v>45775</v>
      </c>
      <c r="D193">
        <v>2025</v>
      </c>
      <c r="E193">
        <v>4</v>
      </c>
      <c r="F193">
        <v>2</v>
      </c>
      <c r="G193" t="s">
        <v>1208</v>
      </c>
      <c r="H193" t="s">
        <v>127</v>
      </c>
      <c r="I193" t="s">
        <v>127</v>
      </c>
      <c r="J193" t="s">
        <v>6</v>
      </c>
      <c r="L193">
        <v>522611</v>
      </c>
      <c r="M193" s="99" t="s">
        <v>179</v>
      </c>
      <c r="N193">
        <v>2</v>
      </c>
      <c r="O193">
        <v>17</v>
      </c>
      <c r="P193">
        <v>12.354699999999999</v>
      </c>
      <c r="Q193" t="s">
        <v>352</v>
      </c>
      <c r="R193">
        <v>1</v>
      </c>
      <c r="S193">
        <v>12.2759</v>
      </c>
      <c r="T193">
        <v>8.3000000000000004E-2</v>
      </c>
      <c r="U193">
        <v>0.94939759036143745</v>
      </c>
      <c r="V193">
        <v>12.026899999999999</v>
      </c>
      <c r="W193">
        <v>12.1099</v>
      </c>
      <c r="X193">
        <v>12.1929</v>
      </c>
      <c r="Y193">
        <v>12.3589</v>
      </c>
      <c r="Z193">
        <v>12.4419</v>
      </c>
      <c r="AA193">
        <v>12.524900000000001</v>
      </c>
      <c r="AD193">
        <v>4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 t="s">
        <v>462</v>
      </c>
      <c r="AL193" t="s">
        <v>6</v>
      </c>
      <c r="AM193" t="s">
        <v>1145</v>
      </c>
      <c r="AN193" t="s">
        <v>1146</v>
      </c>
      <c r="AO193" s="100">
        <v>46262.040405092594</v>
      </c>
      <c r="AP193" t="s">
        <v>1147</v>
      </c>
      <c r="AQ193" t="s">
        <v>1595</v>
      </c>
      <c r="AR193" t="s">
        <v>1223</v>
      </c>
      <c r="AS193" t="s">
        <v>1150</v>
      </c>
      <c r="AT193" t="s">
        <v>1512</v>
      </c>
      <c r="AU193">
        <v>25</v>
      </c>
      <c r="AV193">
        <v>12.293559999999999</v>
      </c>
      <c r="AW193">
        <v>6.4464027436496152E-2</v>
      </c>
      <c r="AX193">
        <v>0.52437233345341916</v>
      </c>
      <c r="AY193">
        <v>1.3496428095512332</v>
      </c>
      <c r="AZ193">
        <v>2.2148571597493749</v>
      </c>
      <c r="BA193">
        <v>5.0543421560668635</v>
      </c>
      <c r="BB193" s="97" t="s">
        <v>161</v>
      </c>
      <c r="BD193" s="98"/>
      <c r="BE193" s="98"/>
      <c r="BF193" t="s">
        <v>1152</v>
      </c>
      <c r="BG193" t="s">
        <v>322</v>
      </c>
      <c r="BH193" t="s">
        <v>1153</v>
      </c>
      <c r="BI193">
        <v>1.3496428095512332</v>
      </c>
      <c r="BJ193" t="s">
        <v>987</v>
      </c>
      <c r="BK193">
        <v>1.7851428402506251</v>
      </c>
      <c r="BL193">
        <v>44.628571006265631</v>
      </c>
      <c r="BM193" t="s">
        <v>1260</v>
      </c>
      <c r="BN193" t="s">
        <v>1154</v>
      </c>
      <c r="BO193">
        <v>2025</v>
      </c>
      <c r="BP193" t="s">
        <v>966</v>
      </c>
      <c r="BQ193">
        <v>69257.0271489078</v>
      </c>
      <c r="BR193">
        <v>93.074297285109225</v>
      </c>
      <c r="BS193" t="s">
        <v>992</v>
      </c>
      <c r="BV193" t="s">
        <v>1034</v>
      </c>
      <c r="BW193" t="s">
        <v>943</v>
      </c>
      <c r="BX193" t="s">
        <v>994</v>
      </c>
      <c r="BY193">
        <v>2.981347284779206</v>
      </c>
      <c r="BZ193" t="s">
        <v>1155</v>
      </c>
      <c r="CA193" t="s">
        <v>991</v>
      </c>
      <c r="CB193" t="b">
        <v>1</v>
      </c>
      <c r="CC193" t="b">
        <v>1</v>
      </c>
      <c r="CD193" t="b">
        <v>1</v>
      </c>
      <c r="CE193" t="b">
        <v>1</v>
      </c>
      <c r="CF193" t="b">
        <v>1</v>
      </c>
    </row>
    <row r="194" spans="1:84" x14ac:dyDescent="0.3">
      <c r="A194" t="s">
        <v>1596</v>
      </c>
      <c r="B194" t="s">
        <v>1225</v>
      </c>
      <c r="C194" s="98">
        <v>45782</v>
      </c>
      <c r="D194">
        <v>2025</v>
      </c>
      <c r="E194">
        <v>5</v>
      </c>
      <c r="F194">
        <v>2</v>
      </c>
      <c r="G194" t="s">
        <v>1226</v>
      </c>
      <c r="H194" t="s">
        <v>127</v>
      </c>
      <c r="I194" t="s">
        <v>127</v>
      </c>
      <c r="J194" t="s">
        <v>6</v>
      </c>
      <c r="L194">
        <v>522611</v>
      </c>
      <c r="M194" s="99" t="s">
        <v>179</v>
      </c>
      <c r="N194">
        <v>2</v>
      </c>
      <c r="O194">
        <v>18</v>
      </c>
      <c r="P194">
        <v>12.3561</v>
      </c>
      <c r="Q194" t="s">
        <v>352</v>
      </c>
      <c r="R194">
        <v>1</v>
      </c>
      <c r="S194">
        <v>12.2759</v>
      </c>
      <c r="T194">
        <v>8.3000000000000004E-2</v>
      </c>
      <c r="U194">
        <v>0.96626506024095904</v>
      </c>
      <c r="V194">
        <v>12.026899999999999</v>
      </c>
      <c r="W194">
        <v>12.1099</v>
      </c>
      <c r="X194">
        <v>12.1929</v>
      </c>
      <c r="Y194">
        <v>12.3589</v>
      </c>
      <c r="Z194">
        <v>12.4419</v>
      </c>
      <c r="AA194">
        <v>12.524900000000001</v>
      </c>
      <c r="AD194">
        <v>4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 t="s">
        <v>462</v>
      </c>
      <c r="AL194" t="s">
        <v>6</v>
      </c>
      <c r="AM194" t="s">
        <v>1145</v>
      </c>
      <c r="AN194" t="s">
        <v>1146</v>
      </c>
      <c r="AO194" s="100">
        <v>46262.040405092594</v>
      </c>
      <c r="AP194" t="s">
        <v>1147</v>
      </c>
      <c r="AQ194" t="s">
        <v>1597</v>
      </c>
      <c r="AR194" t="s">
        <v>1228</v>
      </c>
      <c r="AS194" t="s">
        <v>1150</v>
      </c>
      <c r="AT194" t="s">
        <v>1512</v>
      </c>
      <c r="AU194">
        <v>25</v>
      </c>
      <c r="AV194">
        <v>12.293559999999999</v>
      </c>
      <c r="AW194">
        <v>6.4464027436496152E-2</v>
      </c>
      <c r="AX194">
        <v>0.52437233345341916</v>
      </c>
      <c r="AY194">
        <v>1.3496428095512332</v>
      </c>
      <c r="AZ194">
        <v>2.2148571597493749</v>
      </c>
      <c r="BA194">
        <v>5.0543421560668635</v>
      </c>
      <c r="BB194" s="97" t="s">
        <v>161</v>
      </c>
      <c r="BD194" s="98"/>
      <c r="BE194" s="98"/>
      <c r="BF194" t="s">
        <v>1152</v>
      </c>
      <c r="BG194" t="s">
        <v>322</v>
      </c>
      <c r="BH194" t="s">
        <v>1153</v>
      </c>
      <c r="BI194">
        <v>1.3496428095512332</v>
      </c>
      <c r="BJ194" t="s">
        <v>987</v>
      </c>
      <c r="BK194">
        <v>1.7851428402506251</v>
      </c>
      <c r="BL194">
        <v>44.628571006265631</v>
      </c>
      <c r="BM194" t="s">
        <v>1260</v>
      </c>
      <c r="BN194" t="s">
        <v>1154</v>
      </c>
      <c r="BO194">
        <v>2025</v>
      </c>
      <c r="BP194" t="s">
        <v>966</v>
      </c>
      <c r="BQ194">
        <v>69257.0271489078</v>
      </c>
      <c r="BR194">
        <v>93.074297285109225</v>
      </c>
      <c r="BS194" t="s">
        <v>992</v>
      </c>
      <c r="BV194" t="s">
        <v>1034</v>
      </c>
      <c r="BW194" t="s">
        <v>943</v>
      </c>
      <c r="BX194" t="s">
        <v>994</v>
      </c>
      <c r="BY194">
        <v>2.981347284779206</v>
      </c>
      <c r="BZ194" t="s">
        <v>1155</v>
      </c>
      <c r="CA194" t="s">
        <v>991</v>
      </c>
      <c r="CB194" t="b">
        <v>1</v>
      </c>
      <c r="CC194" t="b">
        <v>1</v>
      </c>
      <c r="CD194" t="b">
        <v>1</v>
      </c>
      <c r="CE194" t="b">
        <v>1</v>
      </c>
      <c r="CF194" t="b">
        <v>1</v>
      </c>
    </row>
    <row r="195" spans="1:84" x14ac:dyDescent="0.3">
      <c r="A195" t="s">
        <v>1598</v>
      </c>
      <c r="B195" t="s">
        <v>1230</v>
      </c>
      <c r="C195" s="98">
        <v>45789</v>
      </c>
      <c r="D195">
        <v>2025</v>
      </c>
      <c r="E195">
        <v>5</v>
      </c>
      <c r="F195">
        <v>2</v>
      </c>
      <c r="G195" t="s">
        <v>1226</v>
      </c>
      <c r="H195" t="s">
        <v>127</v>
      </c>
      <c r="I195" t="s">
        <v>127</v>
      </c>
      <c r="J195" t="s">
        <v>6</v>
      </c>
      <c r="L195">
        <v>522611</v>
      </c>
      <c r="M195" s="99" t="s">
        <v>179</v>
      </c>
      <c r="N195">
        <v>2</v>
      </c>
      <c r="O195">
        <v>19</v>
      </c>
      <c r="P195">
        <v>12.264200000000001</v>
      </c>
      <c r="Q195" t="s">
        <v>352</v>
      </c>
      <c r="R195">
        <v>1</v>
      </c>
      <c r="S195">
        <v>12.2759</v>
      </c>
      <c r="T195">
        <v>8.3000000000000004E-2</v>
      </c>
      <c r="U195">
        <v>-0.14096385542167925</v>
      </c>
      <c r="V195">
        <v>12.026899999999999</v>
      </c>
      <c r="W195">
        <v>12.1099</v>
      </c>
      <c r="X195">
        <v>12.1929</v>
      </c>
      <c r="Y195">
        <v>12.3589</v>
      </c>
      <c r="Z195">
        <v>12.4419</v>
      </c>
      <c r="AA195">
        <v>12.524900000000001</v>
      </c>
      <c r="AD195">
        <v>4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 t="s">
        <v>462</v>
      </c>
      <c r="AL195" t="s">
        <v>6</v>
      </c>
      <c r="AM195" t="s">
        <v>1145</v>
      </c>
      <c r="AN195" t="s">
        <v>1146</v>
      </c>
      <c r="AO195" s="100">
        <v>46262.040405092594</v>
      </c>
      <c r="AP195" t="s">
        <v>1147</v>
      </c>
      <c r="AQ195" t="s">
        <v>1599</v>
      </c>
      <c r="AR195" t="s">
        <v>1232</v>
      </c>
      <c r="AS195" t="s">
        <v>1150</v>
      </c>
      <c r="AT195" t="s">
        <v>1512</v>
      </c>
      <c r="AU195">
        <v>25</v>
      </c>
      <c r="AV195">
        <v>12.293559999999999</v>
      </c>
      <c r="AW195">
        <v>6.4464027436496152E-2</v>
      </c>
      <c r="AX195">
        <v>0.52437233345341916</v>
      </c>
      <c r="AY195">
        <v>1.3496428095512332</v>
      </c>
      <c r="AZ195">
        <v>2.2148571597493749</v>
      </c>
      <c r="BA195">
        <v>5.0543421560668635</v>
      </c>
      <c r="BB195" s="97" t="s">
        <v>161</v>
      </c>
      <c r="BD195" s="98"/>
      <c r="BE195" s="98"/>
      <c r="BF195" t="s">
        <v>1152</v>
      </c>
      <c r="BG195" t="s">
        <v>322</v>
      </c>
      <c r="BH195" t="s">
        <v>1153</v>
      </c>
      <c r="BI195">
        <v>1.3496428095512332</v>
      </c>
      <c r="BJ195" t="s">
        <v>987</v>
      </c>
      <c r="BK195">
        <v>1.7851428402506251</v>
      </c>
      <c r="BL195">
        <v>44.628571006265631</v>
      </c>
      <c r="BM195" t="s">
        <v>1260</v>
      </c>
      <c r="BN195" t="s">
        <v>1154</v>
      </c>
      <c r="BO195">
        <v>2025</v>
      </c>
      <c r="BP195" t="s">
        <v>966</v>
      </c>
      <c r="BQ195">
        <v>69257.0271489078</v>
      </c>
      <c r="BR195">
        <v>93.074297285109225</v>
      </c>
      <c r="BS195" t="s">
        <v>992</v>
      </c>
      <c r="BV195" t="s">
        <v>1034</v>
      </c>
      <c r="BW195" t="s">
        <v>943</v>
      </c>
      <c r="BX195" t="s">
        <v>994</v>
      </c>
      <c r="BY195">
        <v>2.981347284779206</v>
      </c>
      <c r="BZ195" t="s">
        <v>1155</v>
      </c>
      <c r="CA195" t="s">
        <v>991</v>
      </c>
      <c r="CB195" t="b">
        <v>1</v>
      </c>
      <c r="CC195" t="b">
        <v>1</v>
      </c>
      <c r="CD195" t="b">
        <v>1</v>
      </c>
      <c r="CE195" t="b">
        <v>1</v>
      </c>
      <c r="CF195" t="b">
        <v>1</v>
      </c>
    </row>
    <row r="196" spans="1:84" x14ac:dyDescent="0.3">
      <c r="A196" t="s">
        <v>1600</v>
      </c>
      <c r="B196" t="s">
        <v>1234</v>
      </c>
      <c r="C196" s="98">
        <v>45796</v>
      </c>
      <c r="D196">
        <v>2025</v>
      </c>
      <c r="E196">
        <v>5</v>
      </c>
      <c r="F196">
        <v>2</v>
      </c>
      <c r="G196" t="s">
        <v>1226</v>
      </c>
      <c r="H196" t="s">
        <v>127</v>
      </c>
      <c r="I196" t="s">
        <v>127</v>
      </c>
      <c r="J196" t="s">
        <v>6</v>
      </c>
      <c r="L196">
        <v>522611</v>
      </c>
      <c r="M196" s="99" t="s">
        <v>179</v>
      </c>
      <c r="N196">
        <v>2</v>
      </c>
      <c r="O196">
        <v>20</v>
      </c>
      <c r="P196">
        <v>12.3209</v>
      </c>
      <c r="Q196" t="s">
        <v>352</v>
      </c>
      <c r="R196">
        <v>1</v>
      </c>
      <c r="S196">
        <v>12.2759</v>
      </c>
      <c r="T196">
        <v>8.3000000000000004E-2</v>
      </c>
      <c r="U196">
        <v>0.54216867469879426</v>
      </c>
      <c r="V196">
        <v>12.026899999999999</v>
      </c>
      <c r="W196">
        <v>12.1099</v>
      </c>
      <c r="X196">
        <v>12.1929</v>
      </c>
      <c r="Y196">
        <v>12.3589</v>
      </c>
      <c r="Z196">
        <v>12.4419</v>
      </c>
      <c r="AA196">
        <v>12.524900000000001</v>
      </c>
      <c r="AD196">
        <v>4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 t="s">
        <v>462</v>
      </c>
      <c r="AL196" t="s">
        <v>6</v>
      </c>
      <c r="AM196" t="s">
        <v>1145</v>
      </c>
      <c r="AN196" t="s">
        <v>1146</v>
      </c>
      <c r="AO196" s="100">
        <v>46262.040405092594</v>
      </c>
      <c r="AP196" t="s">
        <v>1147</v>
      </c>
      <c r="AQ196" t="s">
        <v>1601</v>
      </c>
      <c r="AR196" t="s">
        <v>1236</v>
      </c>
      <c r="AS196" t="s">
        <v>1150</v>
      </c>
      <c r="AT196" t="s">
        <v>1512</v>
      </c>
      <c r="AU196">
        <v>25</v>
      </c>
      <c r="AV196">
        <v>12.293559999999999</v>
      </c>
      <c r="AW196">
        <v>6.4464027436496152E-2</v>
      </c>
      <c r="AX196">
        <v>0.52437233345341916</v>
      </c>
      <c r="AY196">
        <v>1.3496428095512332</v>
      </c>
      <c r="AZ196">
        <v>2.2148571597493749</v>
      </c>
      <c r="BA196">
        <v>5.0543421560668635</v>
      </c>
      <c r="BB196" s="97" t="s">
        <v>161</v>
      </c>
      <c r="BD196" s="98"/>
      <c r="BE196" s="98"/>
      <c r="BF196" t="s">
        <v>1152</v>
      </c>
      <c r="BG196" t="s">
        <v>322</v>
      </c>
      <c r="BH196" t="s">
        <v>1153</v>
      </c>
      <c r="BI196">
        <v>1.3496428095512332</v>
      </c>
      <c r="BJ196" t="s">
        <v>987</v>
      </c>
      <c r="BK196">
        <v>1.7851428402506251</v>
      </c>
      <c r="BL196">
        <v>44.628571006265631</v>
      </c>
      <c r="BM196" t="s">
        <v>1260</v>
      </c>
      <c r="BN196" t="s">
        <v>1154</v>
      </c>
      <c r="BO196">
        <v>2025</v>
      </c>
      <c r="BP196" t="s">
        <v>966</v>
      </c>
      <c r="BQ196">
        <v>69257.0271489078</v>
      </c>
      <c r="BR196">
        <v>93.074297285109225</v>
      </c>
      <c r="BS196" t="s">
        <v>992</v>
      </c>
      <c r="BV196" t="s">
        <v>1034</v>
      </c>
      <c r="BW196" t="s">
        <v>943</v>
      </c>
      <c r="BX196" t="s">
        <v>994</v>
      </c>
      <c r="BY196">
        <v>2.981347284779206</v>
      </c>
      <c r="BZ196" t="s">
        <v>1155</v>
      </c>
      <c r="CA196" t="s">
        <v>991</v>
      </c>
      <c r="CB196" t="b">
        <v>1</v>
      </c>
      <c r="CC196" t="b">
        <v>1</v>
      </c>
      <c r="CD196" t="b">
        <v>1</v>
      </c>
      <c r="CE196" t="b">
        <v>1</v>
      </c>
      <c r="CF196" t="b">
        <v>1</v>
      </c>
    </row>
    <row r="197" spans="1:84" x14ac:dyDescent="0.3">
      <c r="A197" t="s">
        <v>1602</v>
      </c>
      <c r="B197" t="s">
        <v>1238</v>
      </c>
      <c r="C197" s="98">
        <v>45803</v>
      </c>
      <c r="D197">
        <v>2025</v>
      </c>
      <c r="E197">
        <v>5</v>
      </c>
      <c r="F197">
        <v>2</v>
      </c>
      <c r="G197" t="s">
        <v>1226</v>
      </c>
      <c r="H197" t="s">
        <v>127</v>
      </c>
      <c r="I197" t="s">
        <v>127</v>
      </c>
      <c r="J197" t="s">
        <v>6</v>
      </c>
      <c r="L197">
        <v>522611</v>
      </c>
      <c r="M197" s="99" t="s">
        <v>179</v>
      </c>
      <c r="N197">
        <v>2</v>
      </c>
      <c r="O197">
        <v>21</v>
      </c>
      <c r="P197">
        <v>12.3408</v>
      </c>
      <c r="Q197" t="s">
        <v>352</v>
      </c>
      <c r="R197">
        <v>1</v>
      </c>
      <c r="S197">
        <v>12.2759</v>
      </c>
      <c r="T197">
        <v>8.3000000000000004E-2</v>
      </c>
      <c r="U197">
        <v>0.78192771084337032</v>
      </c>
      <c r="V197">
        <v>12.026899999999999</v>
      </c>
      <c r="W197">
        <v>12.1099</v>
      </c>
      <c r="X197">
        <v>12.1929</v>
      </c>
      <c r="Y197">
        <v>12.3589</v>
      </c>
      <c r="Z197">
        <v>12.4419</v>
      </c>
      <c r="AA197">
        <v>12.524900000000001</v>
      </c>
      <c r="AD197">
        <v>4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 t="s">
        <v>462</v>
      </c>
      <c r="AL197" t="s">
        <v>6</v>
      </c>
      <c r="AM197" t="s">
        <v>1145</v>
      </c>
      <c r="AN197" t="s">
        <v>1146</v>
      </c>
      <c r="AO197" s="100">
        <v>46262.040405092594</v>
      </c>
      <c r="AP197" t="s">
        <v>1147</v>
      </c>
      <c r="AQ197" t="s">
        <v>1603</v>
      </c>
      <c r="AR197" t="s">
        <v>1240</v>
      </c>
      <c r="AS197" t="s">
        <v>1150</v>
      </c>
      <c r="AT197" t="s">
        <v>1512</v>
      </c>
      <c r="AU197">
        <v>25</v>
      </c>
      <c r="AV197">
        <v>12.293559999999999</v>
      </c>
      <c r="AW197">
        <v>6.4464027436496152E-2</v>
      </c>
      <c r="AX197">
        <v>0.52437233345341916</v>
      </c>
      <c r="AY197">
        <v>1.3496428095512332</v>
      </c>
      <c r="AZ197">
        <v>2.2148571597493749</v>
      </c>
      <c r="BA197">
        <v>5.0543421560668635</v>
      </c>
      <c r="BB197" s="97" t="s">
        <v>161</v>
      </c>
      <c r="BD197" s="98"/>
      <c r="BE197" s="98"/>
      <c r="BF197" t="s">
        <v>1152</v>
      </c>
      <c r="BG197" t="s">
        <v>322</v>
      </c>
      <c r="BH197" t="s">
        <v>1153</v>
      </c>
      <c r="BI197">
        <v>1.3496428095512332</v>
      </c>
      <c r="BJ197" t="s">
        <v>987</v>
      </c>
      <c r="BK197">
        <v>1.7851428402506251</v>
      </c>
      <c r="BL197">
        <v>44.628571006265631</v>
      </c>
      <c r="BM197" t="s">
        <v>1260</v>
      </c>
      <c r="BN197" t="s">
        <v>1154</v>
      </c>
      <c r="BO197">
        <v>2025</v>
      </c>
      <c r="BP197" t="s">
        <v>966</v>
      </c>
      <c r="BQ197">
        <v>69257.0271489078</v>
      </c>
      <c r="BR197">
        <v>93.074297285109225</v>
      </c>
      <c r="BS197" t="s">
        <v>992</v>
      </c>
      <c r="BV197" t="s">
        <v>1034</v>
      </c>
      <c r="BW197" t="s">
        <v>943</v>
      </c>
      <c r="BX197" t="s">
        <v>994</v>
      </c>
      <c r="BY197">
        <v>2.981347284779206</v>
      </c>
      <c r="BZ197" t="s">
        <v>1155</v>
      </c>
      <c r="CA197" t="s">
        <v>991</v>
      </c>
      <c r="CB197" t="b">
        <v>1</v>
      </c>
      <c r="CC197" t="b">
        <v>1</v>
      </c>
      <c r="CD197" t="b">
        <v>1</v>
      </c>
      <c r="CE197" t="b">
        <v>1</v>
      </c>
      <c r="CF197" t="b">
        <v>1</v>
      </c>
    </row>
    <row r="198" spans="1:84" x14ac:dyDescent="0.3">
      <c r="A198" t="s">
        <v>1604</v>
      </c>
      <c r="B198" t="s">
        <v>1242</v>
      </c>
      <c r="C198" s="98">
        <v>45810</v>
      </c>
      <c r="D198">
        <v>2025</v>
      </c>
      <c r="E198">
        <v>6</v>
      </c>
      <c r="F198">
        <v>2</v>
      </c>
      <c r="G198" t="s">
        <v>1243</v>
      </c>
      <c r="H198" t="s">
        <v>127</v>
      </c>
      <c r="I198" t="s">
        <v>127</v>
      </c>
      <c r="J198" t="s">
        <v>6</v>
      </c>
      <c r="L198">
        <v>522611</v>
      </c>
      <c r="M198" s="99" t="s">
        <v>179</v>
      </c>
      <c r="N198">
        <v>2</v>
      </c>
      <c r="O198">
        <v>22</v>
      </c>
      <c r="P198">
        <v>12.344900000000001</v>
      </c>
      <c r="Q198" t="s">
        <v>352</v>
      </c>
      <c r="R198">
        <v>1</v>
      </c>
      <c r="S198">
        <v>12.2759</v>
      </c>
      <c r="T198">
        <v>8.3000000000000004E-2</v>
      </c>
      <c r="U198">
        <v>0.83132530120482928</v>
      </c>
      <c r="V198">
        <v>12.026899999999999</v>
      </c>
      <c r="W198">
        <v>12.1099</v>
      </c>
      <c r="X198">
        <v>12.1929</v>
      </c>
      <c r="Y198">
        <v>12.3589</v>
      </c>
      <c r="Z198">
        <v>12.4419</v>
      </c>
      <c r="AA198">
        <v>12.524900000000001</v>
      </c>
      <c r="AD198">
        <v>4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 t="s">
        <v>462</v>
      </c>
      <c r="AL198" t="s">
        <v>6</v>
      </c>
      <c r="AM198" t="s">
        <v>1145</v>
      </c>
      <c r="AN198" t="s">
        <v>1146</v>
      </c>
      <c r="AO198" s="100">
        <v>46262.040405092594</v>
      </c>
      <c r="AP198" t="s">
        <v>1147</v>
      </c>
      <c r="AQ198" t="s">
        <v>1605</v>
      </c>
      <c r="AR198" t="s">
        <v>1245</v>
      </c>
      <c r="AS198" t="s">
        <v>1150</v>
      </c>
      <c r="AT198" t="s">
        <v>1512</v>
      </c>
      <c r="AU198">
        <v>25</v>
      </c>
      <c r="AV198">
        <v>12.293559999999999</v>
      </c>
      <c r="AW198">
        <v>6.4464027436496152E-2</v>
      </c>
      <c r="AX198">
        <v>0.52437233345341916</v>
      </c>
      <c r="AY198">
        <v>1.3496428095512332</v>
      </c>
      <c r="AZ198">
        <v>2.2148571597493749</v>
      </c>
      <c r="BA198">
        <v>5.0543421560668635</v>
      </c>
      <c r="BB198" s="97" t="s">
        <v>161</v>
      </c>
      <c r="BD198" s="98"/>
      <c r="BE198" s="98"/>
      <c r="BF198" t="s">
        <v>1152</v>
      </c>
      <c r="BG198" t="s">
        <v>322</v>
      </c>
      <c r="BH198" t="s">
        <v>1153</v>
      </c>
      <c r="BI198">
        <v>1.3496428095512332</v>
      </c>
      <c r="BJ198" t="s">
        <v>987</v>
      </c>
      <c r="BK198">
        <v>1.7851428402506251</v>
      </c>
      <c r="BL198">
        <v>44.628571006265631</v>
      </c>
      <c r="BM198" t="s">
        <v>1260</v>
      </c>
      <c r="BN198" t="s">
        <v>1154</v>
      </c>
      <c r="BO198">
        <v>2025</v>
      </c>
      <c r="BP198" t="s">
        <v>966</v>
      </c>
      <c r="BQ198">
        <v>69257.0271489078</v>
      </c>
      <c r="BR198">
        <v>93.074297285109225</v>
      </c>
      <c r="BS198" t="s">
        <v>992</v>
      </c>
      <c r="BV198" t="s">
        <v>1034</v>
      </c>
      <c r="BW198" t="s">
        <v>943</v>
      </c>
      <c r="BX198" t="s">
        <v>994</v>
      </c>
      <c r="BY198">
        <v>2.981347284779206</v>
      </c>
      <c r="BZ198" t="s">
        <v>1155</v>
      </c>
      <c r="CA198" t="s">
        <v>991</v>
      </c>
      <c r="CB198" t="b">
        <v>1</v>
      </c>
      <c r="CC198" t="b">
        <v>1</v>
      </c>
      <c r="CD198" t="b">
        <v>1</v>
      </c>
      <c r="CE198" t="b">
        <v>1</v>
      </c>
      <c r="CF198" t="b">
        <v>1</v>
      </c>
    </row>
    <row r="199" spans="1:84" x14ac:dyDescent="0.3">
      <c r="A199" t="s">
        <v>1606</v>
      </c>
      <c r="B199" t="s">
        <v>1247</v>
      </c>
      <c r="C199" s="98">
        <v>45817</v>
      </c>
      <c r="D199">
        <v>2025</v>
      </c>
      <c r="E199">
        <v>6</v>
      </c>
      <c r="F199">
        <v>2</v>
      </c>
      <c r="G199" t="s">
        <v>1243</v>
      </c>
      <c r="H199" t="s">
        <v>127</v>
      </c>
      <c r="I199" t="s">
        <v>127</v>
      </c>
      <c r="J199" t="s">
        <v>6</v>
      </c>
      <c r="L199">
        <v>522611</v>
      </c>
      <c r="M199" s="99" t="s">
        <v>179</v>
      </c>
      <c r="N199">
        <v>2</v>
      </c>
      <c r="O199">
        <v>23</v>
      </c>
      <c r="P199">
        <v>12.352399999999999</v>
      </c>
      <c r="Q199" t="s">
        <v>352</v>
      </c>
      <c r="R199">
        <v>1</v>
      </c>
      <c r="S199">
        <v>12.2759</v>
      </c>
      <c r="T199">
        <v>8.3000000000000004E-2</v>
      </c>
      <c r="U199">
        <v>0.92168674698794384</v>
      </c>
      <c r="V199">
        <v>12.026899999999999</v>
      </c>
      <c r="W199">
        <v>12.1099</v>
      </c>
      <c r="X199">
        <v>12.1929</v>
      </c>
      <c r="Y199">
        <v>12.3589</v>
      </c>
      <c r="Z199">
        <v>12.4419</v>
      </c>
      <c r="AA199">
        <v>12.524900000000001</v>
      </c>
      <c r="AD199">
        <v>4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 t="s">
        <v>462</v>
      </c>
      <c r="AL199" t="s">
        <v>6</v>
      </c>
      <c r="AM199" t="s">
        <v>1145</v>
      </c>
      <c r="AN199" t="s">
        <v>1146</v>
      </c>
      <c r="AO199" s="100">
        <v>46262.040405092594</v>
      </c>
      <c r="AP199" t="s">
        <v>1147</v>
      </c>
      <c r="AQ199" t="s">
        <v>1607</v>
      </c>
      <c r="AR199" t="s">
        <v>1249</v>
      </c>
      <c r="AS199" t="s">
        <v>1150</v>
      </c>
      <c r="AT199" t="s">
        <v>1512</v>
      </c>
      <c r="AU199">
        <v>25</v>
      </c>
      <c r="AV199">
        <v>12.293559999999999</v>
      </c>
      <c r="AW199">
        <v>6.4464027436496152E-2</v>
      </c>
      <c r="AX199">
        <v>0.52437233345341916</v>
      </c>
      <c r="AY199">
        <v>1.3496428095512332</v>
      </c>
      <c r="AZ199">
        <v>2.2148571597493749</v>
      </c>
      <c r="BA199">
        <v>5.0543421560668635</v>
      </c>
      <c r="BB199" s="97" t="s">
        <v>161</v>
      </c>
      <c r="BD199" s="98"/>
      <c r="BE199" s="98"/>
      <c r="BF199" t="s">
        <v>1152</v>
      </c>
      <c r="BG199" t="s">
        <v>322</v>
      </c>
      <c r="BH199" t="s">
        <v>1153</v>
      </c>
      <c r="BI199">
        <v>1.3496428095512332</v>
      </c>
      <c r="BJ199" t="s">
        <v>987</v>
      </c>
      <c r="BK199">
        <v>1.7851428402506251</v>
      </c>
      <c r="BL199">
        <v>44.628571006265631</v>
      </c>
      <c r="BM199" t="s">
        <v>1260</v>
      </c>
      <c r="BN199" t="s">
        <v>1154</v>
      </c>
      <c r="BO199">
        <v>2025</v>
      </c>
      <c r="BP199" t="s">
        <v>966</v>
      </c>
      <c r="BQ199">
        <v>69257.0271489078</v>
      </c>
      <c r="BR199">
        <v>93.074297285109225</v>
      </c>
      <c r="BS199" t="s">
        <v>992</v>
      </c>
      <c r="BV199" t="s">
        <v>1034</v>
      </c>
      <c r="BW199" t="s">
        <v>943</v>
      </c>
      <c r="BX199" t="s">
        <v>994</v>
      </c>
      <c r="BY199">
        <v>2.981347284779206</v>
      </c>
      <c r="BZ199" t="s">
        <v>1155</v>
      </c>
      <c r="CA199" t="s">
        <v>991</v>
      </c>
      <c r="CB199" t="b">
        <v>1</v>
      </c>
      <c r="CC199" t="b">
        <v>1</v>
      </c>
      <c r="CD199" t="b">
        <v>1</v>
      </c>
      <c r="CE199" t="b">
        <v>1</v>
      </c>
      <c r="CF199" t="b">
        <v>1</v>
      </c>
    </row>
    <row r="200" spans="1:84" x14ac:dyDescent="0.3">
      <c r="A200" t="s">
        <v>1608</v>
      </c>
      <c r="B200" t="s">
        <v>1251</v>
      </c>
      <c r="C200" s="98">
        <v>45824</v>
      </c>
      <c r="D200">
        <v>2025</v>
      </c>
      <c r="E200">
        <v>6</v>
      </c>
      <c r="F200">
        <v>2</v>
      </c>
      <c r="G200" t="s">
        <v>1243</v>
      </c>
      <c r="H200" t="s">
        <v>127</v>
      </c>
      <c r="I200" t="s">
        <v>127</v>
      </c>
      <c r="J200" t="s">
        <v>6</v>
      </c>
      <c r="L200">
        <v>522611</v>
      </c>
      <c r="M200" s="99" t="s">
        <v>179</v>
      </c>
      <c r="N200">
        <v>2</v>
      </c>
      <c r="O200">
        <v>24</v>
      </c>
      <c r="P200">
        <v>12.238</v>
      </c>
      <c r="Q200" t="s">
        <v>352</v>
      </c>
      <c r="R200">
        <v>1</v>
      </c>
      <c r="S200">
        <v>12.2759</v>
      </c>
      <c r="T200">
        <v>8.3000000000000004E-2</v>
      </c>
      <c r="U200">
        <v>-0.45662650602410226</v>
      </c>
      <c r="V200">
        <v>12.026899999999999</v>
      </c>
      <c r="W200">
        <v>12.1099</v>
      </c>
      <c r="X200">
        <v>12.1929</v>
      </c>
      <c r="Y200">
        <v>12.3589</v>
      </c>
      <c r="Z200">
        <v>12.4419</v>
      </c>
      <c r="AA200">
        <v>12.524900000000001</v>
      </c>
      <c r="AD200">
        <v>4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 t="s">
        <v>462</v>
      </c>
      <c r="AL200" t="s">
        <v>6</v>
      </c>
      <c r="AM200" t="s">
        <v>1145</v>
      </c>
      <c r="AN200" t="s">
        <v>1146</v>
      </c>
      <c r="AO200" s="100">
        <v>46262.040405092594</v>
      </c>
      <c r="AP200" t="s">
        <v>1147</v>
      </c>
      <c r="AQ200" t="s">
        <v>1609</v>
      </c>
      <c r="AR200" t="s">
        <v>1253</v>
      </c>
      <c r="AS200" t="s">
        <v>1150</v>
      </c>
      <c r="AT200" t="s">
        <v>1512</v>
      </c>
      <c r="AU200">
        <v>25</v>
      </c>
      <c r="AV200">
        <v>12.293559999999999</v>
      </c>
      <c r="AW200">
        <v>6.4464027436496152E-2</v>
      </c>
      <c r="AX200">
        <v>0.52437233345341916</v>
      </c>
      <c r="AY200">
        <v>1.3496428095512332</v>
      </c>
      <c r="AZ200">
        <v>2.2148571597493749</v>
      </c>
      <c r="BA200">
        <v>5.0543421560668635</v>
      </c>
      <c r="BB200" s="97" t="s">
        <v>161</v>
      </c>
      <c r="BD200" s="98"/>
      <c r="BE200" s="98"/>
      <c r="BF200" t="s">
        <v>1152</v>
      </c>
      <c r="BG200" t="s">
        <v>322</v>
      </c>
      <c r="BH200" t="s">
        <v>1153</v>
      </c>
      <c r="BI200">
        <v>1.3496428095512332</v>
      </c>
      <c r="BJ200" t="s">
        <v>987</v>
      </c>
      <c r="BK200">
        <v>1.7851428402506251</v>
      </c>
      <c r="BL200">
        <v>44.628571006265631</v>
      </c>
      <c r="BM200" t="s">
        <v>1260</v>
      </c>
      <c r="BN200" t="s">
        <v>1154</v>
      </c>
      <c r="BO200">
        <v>2025</v>
      </c>
      <c r="BP200" t="s">
        <v>966</v>
      </c>
      <c r="BQ200">
        <v>69257.0271489078</v>
      </c>
      <c r="BR200">
        <v>93.074297285109225</v>
      </c>
      <c r="BS200" t="s">
        <v>992</v>
      </c>
      <c r="BV200" t="s">
        <v>1034</v>
      </c>
      <c r="BW200" t="s">
        <v>943</v>
      </c>
      <c r="BX200" t="s">
        <v>994</v>
      </c>
      <c r="BY200">
        <v>2.981347284779206</v>
      </c>
      <c r="BZ200" t="s">
        <v>1155</v>
      </c>
      <c r="CA200" t="s">
        <v>991</v>
      </c>
      <c r="CB200" t="b">
        <v>1</v>
      </c>
      <c r="CC200" t="b">
        <v>1</v>
      </c>
      <c r="CD200" t="b">
        <v>1</v>
      </c>
      <c r="CE200" t="b">
        <v>1</v>
      </c>
      <c r="CF200" t="b">
        <v>1</v>
      </c>
    </row>
    <row r="201" spans="1:84" x14ac:dyDescent="0.3">
      <c r="A201" t="s">
        <v>1610</v>
      </c>
      <c r="B201" t="s">
        <v>1255</v>
      </c>
      <c r="C201" s="98">
        <v>45831</v>
      </c>
      <c r="D201">
        <v>2025</v>
      </c>
      <c r="E201">
        <v>6</v>
      </c>
      <c r="F201">
        <v>2</v>
      </c>
      <c r="G201" t="s">
        <v>1243</v>
      </c>
      <c r="H201" t="s">
        <v>127</v>
      </c>
      <c r="I201" t="s">
        <v>127</v>
      </c>
      <c r="J201" t="s">
        <v>6</v>
      </c>
      <c r="L201">
        <v>522611</v>
      </c>
      <c r="M201" s="99" t="s">
        <v>179</v>
      </c>
      <c r="N201">
        <v>2</v>
      </c>
      <c r="O201">
        <v>25</v>
      </c>
      <c r="P201">
        <v>12.4017</v>
      </c>
      <c r="Q201" t="s">
        <v>352</v>
      </c>
      <c r="R201">
        <v>1</v>
      </c>
      <c r="S201">
        <v>12.2759</v>
      </c>
      <c r="T201">
        <v>8.3000000000000004E-2</v>
      </c>
      <c r="U201">
        <v>1.5156626506024085</v>
      </c>
      <c r="V201">
        <v>12.026899999999999</v>
      </c>
      <c r="W201">
        <v>12.1099</v>
      </c>
      <c r="X201">
        <v>12.1929</v>
      </c>
      <c r="Y201">
        <v>12.3589</v>
      </c>
      <c r="Z201">
        <v>12.4419</v>
      </c>
      <c r="AA201">
        <v>12.524900000000001</v>
      </c>
      <c r="AD201">
        <v>4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 t="s">
        <v>462</v>
      </c>
      <c r="AL201" t="s">
        <v>6</v>
      </c>
      <c r="AM201" t="s">
        <v>1145</v>
      </c>
      <c r="AN201" t="s">
        <v>1146</v>
      </c>
      <c r="AO201" s="100">
        <v>46262.040405092594</v>
      </c>
      <c r="AP201" t="s">
        <v>1147</v>
      </c>
      <c r="AQ201" t="s">
        <v>1611</v>
      </c>
      <c r="AR201" t="s">
        <v>1257</v>
      </c>
      <c r="AS201" t="s">
        <v>1150</v>
      </c>
      <c r="AT201" t="s">
        <v>1512</v>
      </c>
      <c r="AU201">
        <v>25</v>
      </c>
      <c r="AV201">
        <v>12.293559999999999</v>
      </c>
      <c r="AW201">
        <v>6.4464027436496152E-2</v>
      </c>
      <c r="AX201">
        <v>0.52437233345341916</v>
      </c>
      <c r="AY201">
        <v>1.3496428095512332</v>
      </c>
      <c r="AZ201">
        <v>2.2148571597493749</v>
      </c>
      <c r="BA201">
        <v>5.0543421560668635</v>
      </c>
      <c r="BB201" s="97" t="s">
        <v>161</v>
      </c>
      <c r="BD201" s="98"/>
      <c r="BE201" s="98"/>
      <c r="BF201" t="s">
        <v>1152</v>
      </c>
      <c r="BG201" t="s">
        <v>322</v>
      </c>
      <c r="BH201" t="s">
        <v>1153</v>
      </c>
      <c r="BI201">
        <v>1.3496428095512332</v>
      </c>
      <c r="BJ201" t="s">
        <v>987</v>
      </c>
      <c r="BK201">
        <v>1.7851428402506251</v>
      </c>
      <c r="BL201">
        <v>44.628571006265631</v>
      </c>
      <c r="BM201" t="s">
        <v>1260</v>
      </c>
      <c r="BN201" t="s">
        <v>1154</v>
      </c>
      <c r="BO201">
        <v>2025</v>
      </c>
      <c r="BP201" t="s">
        <v>966</v>
      </c>
      <c r="BQ201">
        <v>69257.0271489078</v>
      </c>
      <c r="BR201">
        <v>93.074297285109225</v>
      </c>
      <c r="BS201" t="s">
        <v>992</v>
      </c>
      <c r="BV201" t="s">
        <v>1034</v>
      </c>
      <c r="BW201" t="s">
        <v>943</v>
      </c>
      <c r="BX201" t="s">
        <v>994</v>
      </c>
      <c r="BY201">
        <v>2.981347284779206</v>
      </c>
      <c r="BZ201" t="s">
        <v>1155</v>
      </c>
      <c r="CA201" t="s">
        <v>991</v>
      </c>
      <c r="CB201" t="b">
        <v>1</v>
      </c>
      <c r="CC201" t="b">
        <v>1</v>
      </c>
      <c r="CD201" t="b">
        <v>1</v>
      </c>
      <c r="CE201" t="b">
        <v>1</v>
      </c>
      <c r="CF201" t="b">
        <v>1</v>
      </c>
    </row>
    <row r="202" spans="1:84" x14ac:dyDescent="0.3">
      <c r="A202" t="s">
        <v>1612</v>
      </c>
      <c r="B202" t="s">
        <v>1143</v>
      </c>
      <c r="C202" s="98">
        <v>45663</v>
      </c>
      <c r="D202">
        <v>2025</v>
      </c>
      <c r="E202">
        <v>1</v>
      </c>
      <c r="F202">
        <v>1</v>
      </c>
      <c r="G202" t="s">
        <v>1144</v>
      </c>
      <c r="H202" t="s">
        <v>127</v>
      </c>
      <c r="I202" t="s">
        <v>127</v>
      </c>
      <c r="J202" t="s">
        <v>6</v>
      </c>
      <c r="L202">
        <v>522611</v>
      </c>
      <c r="M202" s="99" t="s">
        <v>180</v>
      </c>
      <c r="N202">
        <v>3</v>
      </c>
      <c r="O202">
        <v>1</v>
      </c>
      <c r="P202">
        <v>15.464</v>
      </c>
      <c r="Q202" t="s">
        <v>352</v>
      </c>
      <c r="R202">
        <v>1</v>
      </c>
      <c r="S202">
        <v>15.5655</v>
      </c>
      <c r="T202">
        <v>8.14E-2</v>
      </c>
      <c r="U202">
        <v>-1.2469287469287433</v>
      </c>
      <c r="V202">
        <v>15.321300000000001</v>
      </c>
      <c r="W202">
        <v>15.402699999999999</v>
      </c>
      <c r="X202">
        <v>15.4841</v>
      </c>
      <c r="Y202">
        <v>15.6469</v>
      </c>
      <c r="Z202">
        <v>15.728300000000001</v>
      </c>
      <c r="AA202">
        <v>15.809699999999999</v>
      </c>
      <c r="AD202">
        <v>4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 t="s">
        <v>462</v>
      </c>
      <c r="AL202" t="s">
        <v>6</v>
      </c>
      <c r="AM202" t="s">
        <v>1145</v>
      </c>
      <c r="AN202" t="s">
        <v>1146</v>
      </c>
      <c r="AO202" s="100">
        <v>46262.040405092594</v>
      </c>
      <c r="AP202" t="s">
        <v>1147</v>
      </c>
      <c r="AQ202" t="s">
        <v>1613</v>
      </c>
      <c r="AR202" t="s">
        <v>1149</v>
      </c>
      <c r="AS202" t="s">
        <v>1150</v>
      </c>
      <c r="AT202" t="s">
        <v>1512</v>
      </c>
      <c r="AU202">
        <v>25</v>
      </c>
      <c r="AV202">
        <v>15.54524</v>
      </c>
      <c r="AW202">
        <v>8.8394235294691773E-2</v>
      </c>
      <c r="AX202">
        <v>0.56862573556080043</v>
      </c>
      <c r="AY202">
        <v>1.3496428095512332</v>
      </c>
      <c r="AZ202">
        <v>2.2878752732265539</v>
      </c>
      <c r="BA202">
        <v>4.6609870512365807</v>
      </c>
      <c r="BB202" s="97" t="s">
        <v>161</v>
      </c>
      <c r="BD202" s="98"/>
      <c r="BE202" s="98"/>
      <c r="BF202" t="s">
        <v>1152</v>
      </c>
      <c r="BG202" t="s">
        <v>322</v>
      </c>
      <c r="BH202" t="s">
        <v>1153</v>
      </c>
      <c r="BI202">
        <v>1.3496428095512332</v>
      </c>
      <c r="BJ202" t="s">
        <v>989</v>
      </c>
      <c r="BK202">
        <v>1.7121247267734461</v>
      </c>
      <c r="BL202">
        <v>42.803118169336152</v>
      </c>
      <c r="BM202" t="s">
        <v>1260</v>
      </c>
      <c r="BN202" t="s">
        <v>1154</v>
      </c>
      <c r="BO202">
        <v>2025</v>
      </c>
      <c r="BP202" t="s">
        <v>966</v>
      </c>
      <c r="BQ202">
        <v>69257.0271489078</v>
      </c>
      <c r="BR202">
        <v>93.074297285109225</v>
      </c>
      <c r="BS202" t="s">
        <v>992</v>
      </c>
      <c r="BV202" t="s">
        <v>1034</v>
      </c>
      <c r="BW202" t="s">
        <v>943</v>
      </c>
      <c r="BX202" t="s">
        <v>994</v>
      </c>
      <c r="BY202">
        <v>2.981347284779206</v>
      </c>
      <c r="BZ202" t="s">
        <v>1155</v>
      </c>
      <c r="CA202" t="s">
        <v>991</v>
      </c>
      <c r="CB202" t="b">
        <v>1</v>
      </c>
      <c r="CC202" t="b">
        <v>1</v>
      </c>
      <c r="CD202" t="b">
        <v>1</v>
      </c>
      <c r="CE202" t="b">
        <v>1</v>
      </c>
      <c r="CF202" t="b">
        <v>1</v>
      </c>
    </row>
    <row r="203" spans="1:84" x14ac:dyDescent="0.3">
      <c r="A203" t="s">
        <v>1614</v>
      </c>
      <c r="B203" t="s">
        <v>1157</v>
      </c>
      <c r="C203" s="98">
        <v>45670</v>
      </c>
      <c r="D203">
        <v>2025</v>
      </c>
      <c r="E203">
        <v>1</v>
      </c>
      <c r="F203">
        <v>1</v>
      </c>
      <c r="G203" t="s">
        <v>1144</v>
      </c>
      <c r="H203" t="s">
        <v>127</v>
      </c>
      <c r="I203" t="s">
        <v>127</v>
      </c>
      <c r="J203" t="s">
        <v>6</v>
      </c>
      <c r="L203">
        <v>522611</v>
      </c>
      <c r="M203" s="99" t="s">
        <v>180</v>
      </c>
      <c r="N203">
        <v>3</v>
      </c>
      <c r="O203">
        <v>2</v>
      </c>
      <c r="P203">
        <v>15.6357</v>
      </c>
      <c r="Q203" t="s">
        <v>352</v>
      </c>
      <c r="R203">
        <v>1</v>
      </c>
      <c r="S203">
        <v>15.5655</v>
      </c>
      <c r="T203">
        <v>8.14E-2</v>
      </c>
      <c r="U203">
        <v>0.86240786240786016</v>
      </c>
      <c r="V203">
        <v>15.321300000000001</v>
      </c>
      <c r="W203">
        <v>15.402699999999999</v>
      </c>
      <c r="X203">
        <v>15.4841</v>
      </c>
      <c r="Y203">
        <v>15.6469</v>
      </c>
      <c r="Z203">
        <v>15.728300000000001</v>
      </c>
      <c r="AA203">
        <v>15.809699999999999</v>
      </c>
      <c r="AD203">
        <v>4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 t="s">
        <v>462</v>
      </c>
      <c r="AL203" t="s">
        <v>6</v>
      </c>
      <c r="AM203" t="s">
        <v>1145</v>
      </c>
      <c r="AN203" t="s">
        <v>1146</v>
      </c>
      <c r="AO203" s="100">
        <v>46262.040405092594</v>
      </c>
      <c r="AP203" t="s">
        <v>1147</v>
      </c>
      <c r="AQ203" t="s">
        <v>1615</v>
      </c>
      <c r="AR203" t="s">
        <v>1159</v>
      </c>
      <c r="AS203" t="s">
        <v>1150</v>
      </c>
      <c r="AT203" t="s">
        <v>1512</v>
      </c>
      <c r="AU203">
        <v>25</v>
      </c>
      <c r="AV203">
        <v>15.54524</v>
      </c>
      <c r="AW203">
        <v>8.8394235294691773E-2</v>
      </c>
      <c r="AX203">
        <v>0.56862573556080043</v>
      </c>
      <c r="AY203">
        <v>1.3496428095512332</v>
      </c>
      <c r="AZ203">
        <v>2.2878752732265539</v>
      </c>
      <c r="BA203">
        <v>4.6609870512365807</v>
      </c>
      <c r="BB203" s="97" t="s">
        <v>161</v>
      </c>
      <c r="BD203" s="98"/>
      <c r="BE203" s="98"/>
      <c r="BF203" t="s">
        <v>1152</v>
      </c>
      <c r="BG203" t="s">
        <v>322</v>
      </c>
      <c r="BH203" t="s">
        <v>1153</v>
      </c>
      <c r="BI203">
        <v>1.3496428095512332</v>
      </c>
      <c r="BJ203" t="s">
        <v>989</v>
      </c>
      <c r="BK203">
        <v>1.7121247267734461</v>
      </c>
      <c r="BL203">
        <v>42.803118169336152</v>
      </c>
      <c r="BM203" t="s">
        <v>1260</v>
      </c>
      <c r="BN203" t="s">
        <v>1154</v>
      </c>
      <c r="BO203">
        <v>2025</v>
      </c>
      <c r="BP203" t="s">
        <v>966</v>
      </c>
      <c r="BQ203">
        <v>69257.0271489078</v>
      </c>
      <c r="BR203">
        <v>93.074297285109225</v>
      </c>
      <c r="BS203" t="s">
        <v>992</v>
      </c>
      <c r="BV203" t="s">
        <v>1034</v>
      </c>
      <c r="BW203" t="s">
        <v>943</v>
      </c>
      <c r="BX203" t="s">
        <v>994</v>
      </c>
      <c r="BY203">
        <v>2.981347284779206</v>
      </c>
      <c r="BZ203" t="s">
        <v>1155</v>
      </c>
      <c r="CA203" t="s">
        <v>991</v>
      </c>
      <c r="CB203" t="b">
        <v>1</v>
      </c>
      <c r="CC203" t="b">
        <v>1</v>
      </c>
      <c r="CD203" t="b">
        <v>1</v>
      </c>
      <c r="CE203" t="b">
        <v>1</v>
      </c>
      <c r="CF203" t="b">
        <v>1</v>
      </c>
    </row>
    <row r="204" spans="1:84" x14ac:dyDescent="0.3">
      <c r="A204" t="s">
        <v>1616</v>
      </c>
      <c r="B204" t="s">
        <v>1161</v>
      </c>
      <c r="C204" s="98">
        <v>45677</v>
      </c>
      <c r="D204">
        <v>2025</v>
      </c>
      <c r="E204">
        <v>1</v>
      </c>
      <c r="F204">
        <v>1</v>
      </c>
      <c r="G204" t="s">
        <v>1144</v>
      </c>
      <c r="H204" t="s">
        <v>127</v>
      </c>
      <c r="I204" t="s">
        <v>127</v>
      </c>
      <c r="J204" t="s">
        <v>6</v>
      </c>
      <c r="L204">
        <v>522611</v>
      </c>
      <c r="M204" s="99" t="s">
        <v>180</v>
      </c>
      <c r="N204">
        <v>3</v>
      </c>
      <c r="O204">
        <v>3</v>
      </c>
      <c r="P204">
        <v>15.605700000000001</v>
      </c>
      <c r="Q204" t="s">
        <v>352</v>
      </c>
      <c r="R204">
        <v>1</v>
      </c>
      <c r="S204">
        <v>15.5655</v>
      </c>
      <c r="T204">
        <v>8.14E-2</v>
      </c>
      <c r="U204">
        <v>0.4938574938574995</v>
      </c>
      <c r="V204">
        <v>15.321300000000001</v>
      </c>
      <c r="W204">
        <v>15.402699999999999</v>
      </c>
      <c r="X204">
        <v>15.4841</v>
      </c>
      <c r="Y204">
        <v>15.6469</v>
      </c>
      <c r="Z204">
        <v>15.728300000000001</v>
      </c>
      <c r="AA204">
        <v>15.809699999999999</v>
      </c>
      <c r="AD204">
        <v>4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 t="s">
        <v>462</v>
      </c>
      <c r="AL204" t="s">
        <v>6</v>
      </c>
      <c r="AM204" t="s">
        <v>1145</v>
      </c>
      <c r="AN204" t="s">
        <v>1146</v>
      </c>
      <c r="AO204" s="100">
        <v>46262.040405092594</v>
      </c>
      <c r="AP204" t="s">
        <v>1147</v>
      </c>
      <c r="AQ204" t="s">
        <v>1617</v>
      </c>
      <c r="AR204" t="s">
        <v>1163</v>
      </c>
      <c r="AS204" t="s">
        <v>1150</v>
      </c>
      <c r="AT204" t="s">
        <v>1512</v>
      </c>
      <c r="AU204">
        <v>25</v>
      </c>
      <c r="AV204">
        <v>15.54524</v>
      </c>
      <c r="AW204">
        <v>8.8394235294691773E-2</v>
      </c>
      <c r="AX204">
        <v>0.56862573556080043</v>
      </c>
      <c r="AY204">
        <v>1.3496428095512332</v>
      </c>
      <c r="AZ204">
        <v>2.2878752732265539</v>
      </c>
      <c r="BA204">
        <v>4.6609870512365807</v>
      </c>
      <c r="BB204" s="97" t="s">
        <v>161</v>
      </c>
      <c r="BD204" s="98"/>
      <c r="BE204" s="98"/>
      <c r="BF204" t="s">
        <v>1152</v>
      </c>
      <c r="BG204" t="s">
        <v>322</v>
      </c>
      <c r="BH204" t="s">
        <v>1153</v>
      </c>
      <c r="BI204">
        <v>1.3496428095512332</v>
      </c>
      <c r="BJ204" t="s">
        <v>989</v>
      </c>
      <c r="BK204">
        <v>1.7121247267734461</v>
      </c>
      <c r="BL204">
        <v>42.803118169336152</v>
      </c>
      <c r="BM204" t="s">
        <v>1260</v>
      </c>
      <c r="BN204" t="s">
        <v>1154</v>
      </c>
      <c r="BO204">
        <v>2025</v>
      </c>
      <c r="BP204" t="s">
        <v>966</v>
      </c>
      <c r="BQ204">
        <v>69257.0271489078</v>
      </c>
      <c r="BR204">
        <v>93.074297285109225</v>
      </c>
      <c r="BS204" t="s">
        <v>992</v>
      </c>
      <c r="BV204" t="s">
        <v>1034</v>
      </c>
      <c r="BW204" t="s">
        <v>943</v>
      </c>
      <c r="BX204" t="s">
        <v>994</v>
      </c>
      <c r="BY204">
        <v>2.981347284779206</v>
      </c>
      <c r="BZ204" t="s">
        <v>1155</v>
      </c>
      <c r="CA204" t="s">
        <v>991</v>
      </c>
      <c r="CB204" t="b">
        <v>1</v>
      </c>
      <c r="CC204" t="b">
        <v>1</v>
      </c>
      <c r="CD204" t="b">
        <v>1</v>
      </c>
      <c r="CE204" t="b">
        <v>1</v>
      </c>
      <c r="CF204" t="b">
        <v>1</v>
      </c>
    </row>
    <row r="205" spans="1:84" x14ac:dyDescent="0.3">
      <c r="A205" t="s">
        <v>1618</v>
      </c>
      <c r="B205" t="s">
        <v>1165</v>
      </c>
      <c r="C205" s="98">
        <v>45684</v>
      </c>
      <c r="D205">
        <v>2025</v>
      </c>
      <c r="E205">
        <v>1</v>
      </c>
      <c r="F205">
        <v>1</v>
      </c>
      <c r="G205" t="s">
        <v>1144</v>
      </c>
      <c r="H205" t="s">
        <v>127</v>
      </c>
      <c r="I205" t="s">
        <v>127</v>
      </c>
      <c r="J205" t="s">
        <v>6</v>
      </c>
      <c r="L205">
        <v>522611</v>
      </c>
      <c r="M205" s="99" t="s">
        <v>180</v>
      </c>
      <c r="N205">
        <v>3</v>
      </c>
      <c r="O205">
        <v>4</v>
      </c>
      <c r="P205">
        <v>15.6366</v>
      </c>
      <c r="Q205" t="s">
        <v>352</v>
      </c>
      <c r="R205">
        <v>1</v>
      </c>
      <c r="S205">
        <v>15.5655</v>
      </c>
      <c r="T205">
        <v>8.14E-2</v>
      </c>
      <c r="U205">
        <v>0.87346437346436723</v>
      </c>
      <c r="V205">
        <v>15.321300000000001</v>
      </c>
      <c r="W205">
        <v>15.402699999999999</v>
      </c>
      <c r="X205">
        <v>15.4841</v>
      </c>
      <c r="Y205">
        <v>15.6469</v>
      </c>
      <c r="Z205">
        <v>15.728300000000001</v>
      </c>
      <c r="AA205">
        <v>15.809699999999999</v>
      </c>
      <c r="AD205">
        <v>4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 t="s">
        <v>462</v>
      </c>
      <c r="AL205" t="s">
        <v>6</v>
      </c>
      <c r="AM205" t="s">
        <v>1145</v>
      </c>
      <c r="AN205" t="s">
        <v>1146</v>
      </c>
      <c r="AO205" s="100">
        <v>46262.040405092594</v>
      </c>
      <c r="AP205" t="s">
        <v>1147</v>
      </c>
      <c r="AQ205" t="s">
        <v>1619</v>
      </c>
      <c r="AR205" t="s">
        <v>1167</v>
      </c>
      <c r="AS205" t="s">
        <v>1150</v>
      </c>
      <c r="AT205" t="s">
        <v>1512</v>
      </c>
      <c r="AU205">
        <v>25</v>
      </c>
      <c r="AV205">
        <v>15.54524</v>
      </c>
      <c r="AW205">
        <v>8.8394235294691773E-2</v>
      </c>
      <c r="AX205">
        <v>0.56862573556080043</v>
      </c>
      <c r="AY205">
        <v>1.3496428095512332</v>
      </c>
      <c r="AZ205">
        <v>2.2878752732265539</v>
      </c>
      <c r="BA205">
        <v>4.6609870512365807</v>
      </c>
      <c r="BB205" s="97" t="s">
        <v>161</v>
      </c>
      <c r="BD205" s="98"/>
      <c r="BE205" s="98"/>
      <c r="BF205" t="s">
        <v>1152</v>
      </c>
      <c r="BG205" t="s">
        <v>322</v>
      </c>
      <c r="BH205" t="s">
        <v>1153</v>
      </c>
      <c r="BI205">
        <v>1.3496428095512332</v>
      </c>
      <c r="BJ205" t="s">
        <v>989</v>
      </c>
      <c r="BK205">
        <v>1.7121247267734461</v>
      </c>
      <c r="BL205">
        <v>42.803118169336152</v>
      </c>
      <c r="BM205" t="s">
        <v>1260</v>
      </c>
      <c r="BN205" t="s">
        <v>1154</v>
      </c>
      <c r="BO205">
        <v>2025</v>
      </c>
      <c r="BP205" t="s">
        <v>966</v>
      </c>
      <c r="BQ205">
        <v>69257.0271489078</v>
      </c>
      <c r="BR205">
        <v>93.074297285109225</v>
      </c>
      <c r="BS205" t="s">
        <v>992</v>
      </c>
      <c r="BV205" t="s">
        <v>1034</v>
      </c>
      <c r="BW205" t="s">
        <v>943</v>
      </c>
      <c r="BX205" t="s">
        <v>994</v>
      </c>
      <c r="BY205">
        <v>2.981347284779206</v>
      </c>
      <c r="BZ205" t="s">
        <v>1155</v>
      </c>
      <c r="CA205" t="s">
        <v>991</v>
      </c>
      <c r="CB205" t="b">
        <v>1</v>
      </c>
      <c r="CC205" t="b">
        <v>1</v>
      </c>
      <c r="CD205" t="b">
        <v>1</v>
      </c>
      <c r="CE205" t="b">
        <v>1</v>
      </c>
      <c r="CF205" t="b">
        <v>1</v>
      </c>
    </row>
    <row r="206" spans="1:84" x14ac:dyDescent="0.3">
      <c r="A206" t="s">
        <v>1620</v>
      </c>
      <c r="B206" t="s">
        <v>1169</v>
      </c>
      <c r="C206" s="98">
        <v>45691</v>
      </c>
      <c r="D206">
        <v>2025</v>
      </c>
      <c r="E206">
        <v>2</v>
      </c>
      <c r="F206">
        <v>1</v>
      </c>
      <c r="G206" t="s">
        <v>1170</v>
      </c>
      <c r="H206" t="s">
        <v>127</v>
      </c>
      <c r="I206" t="s">
        <v>127</v>
      </c>
      <c r="J206" t="s">
        <v>6</v>
      </c>
      <c r="L206">
        <v>522611</v>
      </c>
      <c r="M206" s="99" t="s">
        <v>180</v>
      </c>
      <c r="N206">
        <v>3</v>
      </c>
      <c r="O206">
        <v>5</v>
      </c>
      <c r="P206">
        <v>15.718500000000001</v>
      </c>
      <c r="Q206" t="s">
        <v>352</v>
      </c>
      <c r="R206">
        <v>1</v>
      </c>
      <c r="S206">
        <v>15.5655</v>
      </c>
      <c r="T206">
        <v>8.14E-2</v>
      </c>
      <c r="U206">
        <v>1.8796068796068854</v>
      </c>
      <c r="V206">
        <v>15.321300000000001</v>
      </c>
      <c r="W206">
        <v>15.402699999999999</v>
      </c>
      <c r="X206">
        <v>15.4841</v>
      </c>
      <c r="Y206">
        <v>15.6469</v>
      </c>
      <c r="Z206">
        <v>15.728300000000001</v>
      </c>
      <c r="AA206">
        <v>15.809699999999999</v>
      </c>
      <c r="AD206">
        <v>4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 t="s">
        <v>462</v>
      </c>
      <c r="AL206" t="s">
        <v>6</v>
      </c>
      <c r="AM206" t="s">
        <v>1145</v>
      </c>
      <c r="AN206" t="s">
        <v>1146</v>
      </c>
      <c r="AO206" s="100">
        <v>46262.040405092594</v>
      </c>
      <c r="AP206" t="s">
        <v>1147</v>
      </c>
      <c r="AQ206" t="s">
        <v>1621</v>
      </c>
      <c r="AR206" t="s">
        <v>1172</v>
      </c>
      <c r="AS206" t="s">
        <v>1150</v>
      </c>
      <c r="AT206" t="s">
        <v>1512</v>
      </c>
      <c r="AU206">
        <v>25</v>
      </c>
      <c r="AV206">
        <v>15.54524</v>
      </c>
      <c r="AW206">
        <v>8.8394235294691773E-2</v>
      </c>
      <c r="AX206">
        <v>0.56862573556080043</v>
      </c>
      <c r="AY206">
        <v>1.3496428095512332</v>
      </c>
      <c r="AZ206">
        <v>2.2878752732265539</v>
      </c>
      <c r="BA206">
        <v>4.6609870512365807</v>
      </c>
      <c r="BB206" s="97" t="s">
        <v>161</v>
      </c>
      <c r="BD206" s="98"/>
      <c r="BE206" s="98"/>
      <c r="BF206" t="s">
        <v>1152</v>
      </c>
      <c r="BG206" t="s">
        <v>322</v>
      </c>
      <c r="BH206" t="s">
        <v>1153</v>
      </c>
      <c r="BI206">
        <v>1.3496428095512332</v>
      </c>
      <c r="BJ206" t="s">
        <v>989</v>
      </c>
      <c r="BK206">
        <v>1.7121247267734461</v>
      </c>
      <c r="BL206">
        <v>42.803118169336152</v>
      </c>
      <c r="BM206" t="s">
        <v>1260</v>
      </c>
      <c r="BN206" t="s">
        <v>1154</v>
      </c>
      <c r="BO206">
        <v>2025</v>
      </c>
      <c r="BP206" t="s">
        <v>966</v>
      </c>
      <c r="BQ206">
        <v>69257.0271489078</v>
      </c>
      <c r="BR206">
        <v>93.074297285109225</v>
      </c>
      <c r="BS206" t="s">
        <v>992</v>
      </c>
      <c r="BV206" t="s">
        <v>1034</v>
      </c>
      <c r="BW206" t="s">
        <v>943</v>
      </c>
      <c r="BX206" t="s">
        <v>994</v>
      </c>
      <c r="BY206">
        <v>2.981347284779206</v>
      </c>
      <c r="BZ206" t="s">
        <v>1155</v>
      </c>
      <c r="CA206" t="s">
        <v>991</v>
      </c>
      <c r="CB206" t="b">
        <v>1</v>
      </c>
      <c r="CC206" t="b">
        <v>1</v>
      </c>
      <c r="CD206" t="b">
        <v>1</v>
      </c>
      <c r="CE206" t="b">
        <v>1</v>
      </c>
      <c r="CF206" t="b">
        <v>1</v>
      </c>
    </row>
    <row r="207" spans="1:84" x14ac:dyDescent="0.3">
      <c r="A207" t="s">
        <v>1622</v>
      </c>
      <c r="B207" t="s">
        <v>1174</v>
      </c>
      <c r="C207" s="98">
        <v>45698</v>
      </c>
      <c r="D207">
        <v>2025</v>
      </c>
      <c r="E207">
        <v>2</v>
      </c>
      <c r="F207">
        <v>1</v>
      </c>
      <c r="G207" t="s">
        <v>1170</v>
      </c>
      <c r="H207" t="s">
        <v>127</v>
      </c>
      <c r="I207" t="s">
        <v>127</v>
      </c>
      <c r="J207" t="s">
        <v>6</v>
      </c>
      <c r="L207">
        <v>522611</v>
      </c>
      <c r="M207" s="99" t="s">
        <v>180</v>
      </c>
      <c r="N207">
        <v>3</v>
      </c>
      <c r="O207">
        <v>6</v>
      </c>
      <c r="P207">
        <v>15.686299999999999</v>
      </c>
      <c r="Q207" t="s">
        <v>352</v>
      </c>
      <c r="R207">
        <v>1</v>
      </c>
      <c r="S207">
        <v>15.5655</v>
      </c>
      <c r="T207">
        <v>8.14E-2</v>
      </c>
      <c r="U207">
        <v>1.4840294840294734</v>
      </c>
      <c r="V207">
        <v>15.321300000000001</v>
      </c>
      <c r="W207">
        <v>15.402699999999999</v>
      </c>
      <c r="X207">
        <v>15.4841</v>
      </c>
      <c r="Y207">
        <v>15.6469</v>
      </c>
      <c r="Z207">
        <v>15.728300000000001</v>
      </c>
      <c r="AA207">
        <v>15.809699999999999</v>
      </c>
      <c r="AD207">
        <v>4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 t="s">
        <v>462</v>
      </c>
      <c r="AL207" t="s">
        <v>6</v>
      </c>
      <c r="AM207" t="s">
        <v>1145</v>
      </c>
      <c r="AN207" t="s">
        <v>1146</v>
      </c>
      <c r="AO207" s="100">
        <v>46262.040405092594</v>
      </c>
      <c r="AP207" t="s">
        <v>1147</v>
      </c>
      <c r="AQ207" t="s">
        <v>1623</v>
      </c>
      <c r="AR207" t="s">
        <v>1176</v>
      </c>
      <c r="AS207" t="s">
        <v>1150</v>
      </c>
      <c r="AT207" t="s">
        <v>1512</v>
      </c>
      <c r="AU207">
        <v>25</v>
      </c>
      <c r="AV207">
        <v>15.54524</v>
      </c>
      <c r="AW207">
        <v>8.8394235294691773E-2</v>
      </c>
      <c r="AX207">
        <v>0.56862573556080043</v>
      </c>
      <c r="AY207">
        <v>1.3496428095512332</v>
      </c>
      <c r="AZ207">
        <v>2.2878752732265539</v>
      </c>
      <c r="BA207">
        <v>4.6609870512365807</v>
      </c>
      <c r="BB207" s="97" t="s">
        <v>161</v>
      </c>
      <c r="BD207" s="98"/>
      <c r="BE207" s="98"/>
      <c r="BF207" t="s">
        <v>1152</v>
      </c>
      <c r="BG207" t="s">
        <v>322</v>
      </c>
      <c r="BH207" t="s">
        <v>1153</v>
      </c>
      <c r="BI207">
        <v>1.3496428095512332</v>
      </c>
      <c r="BJ207" t="s">
        <v>989</v>
      </c>
      <c r="BK207">
        <v>1.7121247267734461</v>
      </c>
      <c r="BL207">
        <v>42.803118169336152</v>
      </c>
      <c r="BM207" t="s">
        <v>1260</v>
      </c>
      <c r="BN207" t="s">
        <v>1154</v>
      </c>
      <c r="BO207">
        <v>2025</v>
      </c>
      <c r="BP207" t="s">
        <v>966</v>
      </c>
      <c r="BQ207">
        <v>69257.0271489078</v>
      </c>
      <c r="BR207">
        <v>93.074297285109225</v>
      </c>
      <c r="BS207" t="s">
        <v>992</v>
      </c>
      <c r="BV207" t="s">
        <v>1034</v>
      </c>
      <c r="BW207" t="s">
        <v>943</v>
      </c>
      <c r="BX207" t="s">
        <v>994</v>
      </c>
      <c r="BY207">
        <v>2.981347284779206</v>
      </c>
      <c r="BZ207" t="s">
        <v>1155</v>
      </c>
      <c r="CA207" t="s">
        <v>991</v>
      </c>
      <c r="CB207" t="b">
        <v>1</v>
      </c>
      <c r="CC207" t="b">
        <v>1</v>
      </c>
      <c r="CD207" t="b">
        <v>1</v>
      </c>
      <c r="CE207" t="b">
        <v>1</v>
      </c>
      <c r="CF207" t="b">
        <v>1</v>
      </c>
    </row>
    <row r="208" spans="1:84" x14ac:dyDescent="0.3">
      <c r="A208" t="s">
        <v>1624</v>
      </c>
      <c r="B208" t="s">
        <v>1178</v>
      </c>
      <c r="C208" s="98">
        <v>45705</v>
      </c>
      <c r="D208">
        <v>2025</v>
      </c>
      <c r="E208">
        <v>2</v>
      </c>
      <c r="F208">
        <v>1</v>
      </c>
      <c r="G208" t="s">
        <v>1170</v>
      </c>
      <c r="H208" t="s">
        <v>127</v>
      </c>
      <c r="I208" t="s">
        <v>127</v>
      </c>
      <c r="J208" t="s">
        <v>6</v>
      </c>
      <c r="L208">
        <v>522611</v>
      </c>
      <c r="M208" s="99" t="s">
        <v>180</v>
      </c>
      <c r="N208">
        <v>3</v>
      </c>
      <c r="O208">
        <v>7</v>
      </c>
      <c r="P208">
        <v>15.472300000000001</v>
      </c>
      <c r="Q208" t="s">
        <v>352</v>
      </c>
      <c r="R208">
        <v>1</v>
      </c>
      <c r="S208">
        <v>15.5655</v>
      </c>
      <c r="T208">
        <v>8.14E-2</v>
      </c>
      <c r="U208">
        <v>-1.1449631449631388</v>
      </c>
      <c r="V208">
        <v>15.321300000000001</v>
      </c>
      <c r="W208">
        <v>15.402699999999999</v>
      </c>
      <c r="X208">
        <v>15.4841</v>
      </c>
      <c r="Y208">
        <v>15.6469</v>
      </c>
      <c r="Z208">
        <v>15.728300000000001</v>
      </c>
      <c r="AA208">
        <v>15.809699999999999</v>
      </c>
      <c r="AD208">
        <v>4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 t="s">
        <v>462</v>
      </c>
      <c r="AL208" t="s">
        <v>6</v>
      </c>
      <c r="AM208" t="s">
        <v>1145</v>
      </c>
      <c r="AN208" t="s">
        <v>1146</v>
      </c>
      <c r="AO208" s="100">
        <v>46262.040405092594</v>
      </c>
      <c r="AP208" t="s">
        <v>1147</v>
      </c>
      <c r="AQ208" t="s">
        <v>1625</v>
      </c>
      <c r="AR208" t="s">
        <v>1180</v>
      </c>
      <c r="AS208" t="s">
        <v>1150</v>
      </c>
      <c r="AT208" t="s">
        <v>1512</v>
      </c>
      <c r="AU208">
        <v>25</v>
      </c>
      <c r="AV208">
        <v>15.54524</v>
      </c>
      <c r="AW208">
        <v>8.8394235294691773E-2</v>
      </c>
      <c r="AX208">
        <v>0.56862573556080043</v>
      </c>
      <c r="AY208">
        <v>1.3496428095512332</v>
      </c>
      <c r="AZ208">
        <v>2.2878752732265539</v>
      </c>
      <c r="BA208">
        <v>4.6609870512365807</v>
      </c>
      <c r="BB208" s="97" t="s">
        <v>161</v>
      </c>
      <c r="BD208" s="98"/>
      <c r="BE208" s="98"/>
      <c r="BF208" t="s">
        <v>1152</v>
      </c>
      <c r="BG208" t="s">
        <v>322</v>
      </c>
      <c r="BH208" t="s">
        <v>1153</v>
      </c>
      <c r="BI208">
        <v>1.3496428095512332</v>
      </c>
      <c r="BJ208" t="s">
        <v>989</v>
      </c>
      <c r="BK208">
        <v>1.7121247267734461</v>
      </c>
      <c r="BL208">
        <v>42.803118169336152</v>
      </c>
      <c r="BM208" t="s">
        <v>1260</v>
      </c>
      <c r="BN208" t="s">
        <v>1154</v>
      </c>
      <c r="BO208">
        <v>2025</v>
      </c>
      <c r="BP208" t="s">
        <v>966</v>
      </c>
      <c r="BQ208">
        <v>69257.0271489078</v>
      </c>
      <c r="BR208">
        <v>93.074297285109225</v>
      </c>
      <c r="BS208" t="s">
        <v>992</v>
      </c>
      <c r="BV208" t="s">
        <v>1034</v>
      </c>
      <c r="BW208" t="s">
        <v>943</v>
      </c>
      <c r="BX208" t="s">
        <v>994</v>
      </c>
      <c r="BY208">
        <v>2.981347284779206</v>
      </c>
      <c r="BZ208" t="s">
        <v>1155</v>
      </c>
      <c r="CA208" t="s">
        <v>991</v>
      </c>
      <c r="CB208" t="b">
        <v>1</v>
      </c>
      <c r="CC208" t="b">
        <v>1</v>
      </c>
      <c r="CD208" t="b">
        <v>1</v>
      </c>
      <c r="CE208" t="b">
        <v>1</v>
      </c>
      <c r="CF208" t="b">
        <v>1</v>
      </c>
    </row>
    <row r="209" spans="1:84" x14ac:dyDescent="0.3">
      <c r="A209" t="s">
        <v>1626</v>
      </c>
      <c r="B209" t="s">
        <v>1182</v>
      </c>
      <c r="C209" s="98">
        <v>45712</v>
      </c>
      <c r="D209">
        <v>2025</v>
      </c>
      <c r="E209">
        <v>2</v>
      </c>
      <c r="F209">
        <v>1</v>
      </c>
      <c r="G209" t="s">
        <v>1170</v>
      </c>
      <c r="H209" t="s">
        <v>127</v>
      </c>
      <c r="I209" t="s">
        <v>127</v>
      </c>
      <c r="J209" t="s">
        <v>6</v>
      </c>
      <c r="L209">
        <v>522611</v>
      </c>
      <c r="M209" s="99" t="s">
        <v>180</v>
      </c>
      <c r="N209">
        <v>3</v>
      </c>
      <c r="O209">
        <v>8</v>
      </c>
      <c r="P209">
        <v>15.428100000000001</v>
      </c>
      <c r="Q209" t="s">
        <v>352</v>
      </c>
      <c r="R209">
        <v>1</v>
      </c>
      <c r="S209">
        <v>15.5655</v>
      </c>
      <c r="T209">
        <v>8.14E-2</v>
      </c>
      <c r="U209">
        <v>-1.6879606879606821</v>
      </c>
      <c r="V209">
        <v>15.321300000000001</v>
      </c>
      <c r="W209">
        <v>15.402699999999999</v>
      </c>
      <c r="X209">
        <v>15.4841</v>
      </c>
      <c r="Y209">
        <v>15.6469</v>
      </c>
      <c r="Z209">
        <v>15.728300000000001</v>
      </c>
      <c r="AA209">
        <v>15.809699999999999</v>
      </c>
      <c r="AD209">
        <v>4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 t="s">
        <v>462</v>
      </c>
      <c r="AL209" t="s">
        <v>6</v>
      </c>
      <c r="AM209" t="s">
        <v>1145</v>
      </c>
      <c r="AN209" t="s">
        <v>1146</v>
      </c>
      <c r="AO209" s="100">
        <v>46262.040405092594</v>
      </c>
      <c r="AP209" t="s">
        <v>1147</v>
      </c>
      <c r="AQ209" t="s">
        <v>1627</v>
      </c>
      <c r="AR209" t="s">
        <v>1184</v>
      </c>
      <c r="AS209" t="s">
        <v>1150</v>
      </c>
      <c r="AT209" t="s">
        <v>1512</v>
      </c>
      <c r="AU209">
        <v>25</v>
      </c>
      <c r="AV209">
        <v>15.54524</v>
      </c>
      <c r="AW209">
        <v>8.8394235294691773E-2</v>
      </c>
      <c r="AX209">
        <v>0.56862573556080043</v>
      </c>
      <c r="AY209">
        <v>1.3496428095512332</v>
      </c>
      <c r="AZ209">
        <v>2.2878752732265539</v>
      </c>
      <c r="BA209">
        <v>4.6609870512365807</v>
      </c>
      <c r="BB209" s="97" t="s">
        <v>161</v>
      </c>
      <c r="BD209" s="98"/>
      <c r="BE209" s="98"/>
      <c r="BF209" t="s">
        <v>1152</v>
      </c>
      <c r="BG209" t="s">
        <v>322</v>
      </c>
      <c r="BH209" t="s">
        <v>1153</v>
      </c>
      <c r="BI209">
        <v>1.3496428095512332</v>
      </c>
      <c r="BJ209" t="s">
        <v>989</v>
      </c>
      <c r="BK209">
        <v>1.7121247267734461</v>
      </c>
      <c r="BL209">
        <v>42.803118169336152</v>
      </c>
      <c r="BM209" t="s">
        <v>1260</v>
      </c>
      <c r="BN209" t="s">
        <v>1154</v>
      </c>
      <c r="BO209">
        <v>2025</v>
      </c>
      <c r="BP209" t="s">
        <v>966</v>
      </c>
      <c r="BQ209">
        <v>69257.0271489078</v>
      </c>
      <c r="BR209">
        <v>93.074297285109225</v>
      </c>
      <c r="BS209" t="s">
        <v>992</v>
      </c>
      <c r="BV209" t="s">
        <v>1034</v>
      </c>
      <c r="BW209" t="s">
        <v>943</v>
      </c>
      <c r="BX209" t="s">
        <v>994</v>
      </c>
      <c r="BY209">
        <v>2.981347284779206</v>
      </c>
      <c r="BZ209" t="s">
        <v>1155</v>
      </c>
      <c r="CA209" t="s">
        <v>991</v>
      </c>
      <c r="CB209" t="b">
        <v>1</v>
      </c>
      <c r="CC209" t="b">
        <v>1</v>
      </c>
      <c r="CD209" t="b">
        <v>1</v>
      </c>
      <c r="CE209" t="b">
        <v>1</v>
      </c>
      <c r="CF209" t="b">
        <v>1</v>
      </c>
    </row>
    <row r="210" spans="1:84" x14ac:dyDescent="0.3">
      <c r="A210" t="s">
        <v>1628</v>
      </c>
      <c r="B210" t="s">
        <v>1186</v>
      </c>
      <c r="C210" s="98">
        <v>45719</v>
      </c>
      <c r="D210">
        <v>2025</v>
      </c>
      <c r="E210">
        <v>3</v>
      </c>
      <c r="F210">
        <v>1</v>
      </c>
      <c r="G210" t="s">
        <v>1187</v>
      </c>
      <c r="H210" t="s">
        <v>127</v>
      </c>
      <c r="I210" t="s">
        <v>127</v>
      </c>
      <c r="J210" t="s">
        <v>6</v>
      </c>
      <c r="L210">
        <v>522611</v>
      </c>
      <c r="M210" s="99" t="s">
        <v>180</v>
      </c>
      <c r="N210">
        <v>3</v>
      </c>
      <c r="O210">
        <v>9</v>
      </c>
      <c r="P210">
        <v>15.632</v>
      </c>
      <c r="Q210" t="s">
        <v>352</v>
      </c>
      <c r="R210">
        <v>1</v>
      </c>
      <c r="S210">
        <v>15.5655</v>
      </c>
      <c r="T210">
        <v>8.14E-2</v>
      </c>
      <c r="U210">
        <v>0.81695331695331153</v>
      </c>
      <c r="V210">
        <v>15.321300000000001</v>
      </c>
      <c r="W210">
        <v>15.402699999999999</v>
      </c>
      <c r="X210">
        <v>15.4841</v>
      </c>
      <c r="Y210">
        <v>15.6469</v>
      </c>
      <c r="Z210">
        <v>15.728300000000001</v>
      </c>
      <c r="AA210">
        <v>15.809699999999999</v>
      </c>
      <c r="AD210">
        <v>4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 t="s">
        <v>462</v>
      </c>
      <c r="AL210" t="s">
        <v>6</v>
      </c>
      <c r="AM210" t="s">
        <v>1145</v>
      </c>
      <c r="AN210" t="s">
        <v>1146</v>
      </c>
      <c r="AO210" s="100">
        <v>46262.040405092594</v>
      </c>
      <c r="AP210" t="s">
        <v>1147</v>
      </c>
      <c r="AQ210" t="s">
        <v>1629</v>
      </c>
      <c r="AR210" t="s">
        <v>1189</v>
      </c>
      <c r="AS210" t="s">
        <v>1150</v>
      </c>
      <c r="AT210" t="s">
        <v>1512</v>
      </c>
      <c r="AU210">
        <v>25</v>
      </c>
      <c r="AV210">
        <v>15.54524</v>
      </c>
      <c r="AW210">
        <v>8.8394235294691773E-2</v>
      </c>
      <c r="AX210">
        <v>0.56862573556080043</v>
      </c>
      <c r="AY210">
        <v>1.3496428095512332</v>
      </c>
      <c r="AZ210">
        <v>2.2878752732265539</v>
      </c>
      <c r="BA210">
        <v>4.6609870512365807</v>
      </c>
      <c r="BB210" s="97" t="s">
        <v>161</v>
      </c>
      <c r="BD210" s="98"/>
      <c r="BE210" s="98"/>
      <c r="BF210" t="s">
        <v>1152</v>
      </c>
      <c r="BG210" t="s">
        <v>322</v>
      </c>
      <c r="BH210" t="s">
        <v>1153</v>
      </c>
      <c r="BI210">
        <v>1.3496428095512332</v>
      </c>
      <c r="BJ210" t="s">
        <v>989</v>
      </c>
      <c r="BK210">
        <v>1.7121247267734461</v>
      </c>
      <c r="BL210">
        <v>42.803118169336152</v>
      </c>
      <c r="BM210" t="s">
        <v>1260</v>
      </c>
      <c r="BN210" t="s">
        <v>1154</v>
      </c>
      <c r="BO210">
        <v>2025</v>
      </c>
      <c r="BP210" t="s">
        <v>966</v>
      </c>
      <c r="BQ210">
        <v>69257.0271489078</v>
      </c>
      <c r="BR210">
        <v>93.074297285109225</v>
      </c>
      <c r="BS210" t="s">
        <v>992</v>
      </c>
      <c r="BV210" t="s">
        <v>1034</v>
      </c>
      <c r="BW210" t="s">
        <v>943</v>
      </c>
      <c r="BX210" t="s">
        <v>994</v>
      </c>
      <c r="BY210">
        <v>2.981347284779206</v>
      </c>
      <c r="BZ210" t="s">
        <v>1155</v>
      </c>
      <c r="CA210" t="s">
        <v>991</v>
      </c>
      <c r="CB210" t="b">
        <v>1</v>
      </c>
      <c r="CC210" t="b">
        <v>1</v>
      </c>
      <c r="CD210" t="b">
        <v>1</v>
      </c>
      <c r="CE210" t="b">
        <v>1</v>
      </c>
      <c r="CF210" t="b">
        <v>1</v>
      </c>
    </row>
    <row r="211" spans="1:84" x14ac:dyDescent="0.3">
      <c r="A211" t="s">
        <v>1630</v>
      </c>
      <c r="B211" t="s">
        <v>1191</v>
      </c>
      <c r="C211" s="98">
        <v>45726</v>
      </c>
      <c r="D211">
        <v>2025</v>
      </c>
      <c r="E211">
        <v>3</v>
      </c>
      <c r="F211">
        <v>1</v>
      </c>
      <c r="G211" t="s">
        <v>1187</v>
      </c>
      <c r="H211" t="s">
        <v>127</v>
      </c>
      <c r="I211" t="s">
        <v>127</v>
      </c>
      <c r="J211" t="s">
        <v>6</v>
      </c>
      <c r="L211">
        <v>522611</v>
      </c>
      <c r="M211" s="99" t="s">
        <v>180</v>
      </c>
      <c r="N211">
        <v>3</v>
      </c>
      <c r="O211">
        <v>10</v>
      </c>
      <c r="P211">
        <v>15.482900000000001</v>
      </c>
      <c r="Q211" t="s">
        <v>352</v>
      </c>
      <c r="R211">
        <v>1</v>
      </c>
      <c r="S211">
        <v>15.5655</v>
      </c>
      <c r="T211">
        <v>8.14E-2</v>
      </c>
      <c r="U211">
        <v>-1.0147420147420065</v>
      </c>
      <c r="V211">
        <v>15.321300000000001</v>
      </c>
      <c r="W211">
        <v>15.402699999999999</v>
      </c>
      <c r="X211">
        <v>15.4841</v>
      </c>
      <c r="Y211">
        <v>15.6469</v>
      </c>
      <c r="Z211">
        <v>15.728300000000001</v>
      </c>
      <c r="AA211">
        <v>15.809699999999999</v>
      </c>
      <c r="AD211">
        <v>4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 t="s">
        <v>462</v>
      </c>
      <c r="AL211" t="s">
        <v>6</v>
      </c>
      <c r="AM211" t="s">
        <v>1145</v>
      </c>
      <c r="AN211" t="s">
        <v>1146</v>
      </c>
      <c r="AO211" s="100">
        <v>46262.040405092594</v>
      </c>
      <c r="AP211" t="s">
        <v>1147</v>
      </c>
      <c r="AQ211" t="s">
        <v>1631</v>
      </c>
      <c r="AR211" t="s">
        <v>1193</v>
      </c>
      <c r="AS211" t="s">
        <v>1150</v>
      </c>
      <c r="AT211" t="s">
        <v>1512</v>
      </c>
      <c r="AU211">
        <v>25</v>
      </c>
      <c r="AV211">
        <v>15.54524</v>
      </c>
      <c r="AW211">
        <v>8.8394235294691773E-2</v>
      </c>
      <c r="AX211">
        <v>0.56862573556080043</v>
      </c>
      <c r="AY211">
        <v>1.3496428095512332</v>
      </c>
      <c r="AZ211">
        <v>2.2878752732265539</v>
      </c>
      <c r="BA211">
        <v>4.6609870512365807</v>
      </c>
      <c r="BB211" s="97" t="s">
        <v>161</v>
      </c>
      <c r="BD211" s="98"/>
      <c r="BE211" s="98"/>
      <c r="BF211" t="s">
        <v>1152</v>
      </c>
      <c r="BG211" t="s">
        <v>322</v>
      </c>
      <c r="BH211" t="s">
        <v>1153</v>
      </c>
      <c r="BI211">
        <v>1.3496428095512332</v>
      </c>
      <c r="BJ211" t="s">
        <v>989</v>
      </c>
      <c r="BK211">
        <v>1.7121247267734461</v>
      </c>
      <c r="BL211">
        <v>42.803118169336152</v>
      </c>
      <c r="BM211" t="s">
        <v>1260</v>
      </c>
      <c r="BN211" t="s">
        <v>1154</v>
      </c>
      <c r="BO211">
        <v>2025</v>
      </c>
      <c r="BP211" t="s">
        <v>966</v>
      </c>
      <c r="BQ211">
        <v>69257.0271489078</v>
      </c>
      <c r="BR211">
        <v>93.074297285109225</v>
      </c>
      <c r="BS211" t="s">
        <v>992</v>
      </c>
      <c r="BV211" t="s">
        <v>1034</v>
      </c>
      <c r="BW211" t="s">
        <v>943</v>
      </c>
      <c r="BX211" t="s">
        <v>994</v>
      </c>
      <c r="BY211">
        <v>2.981347284779206</v>
      </c>
      <c r="BZ211" t="s">
        <v>1155</v>
      </c>
      <c r="CA211" t="s">
        <v>991</v>
      </c>
      <c r="CB211" t="b">
        <v>1</v>
      </c>
      <c r="CC211" t="b">
        <v>1</v>
      </c>
      <c r="CD211" t="b">
        <v>1</v>
      </c>
      <c r="CE211" t="b">
        <v>1</v>
      </c>
      <c r="CF211" t="b">
        <v>1</v>
      </c>
    </row>
    <row r="212" spans="1:84" x14ac:dyDescent="0.3">
      <c r="A212" t="s">
        <v>1632</v>
      </c>
      <c r="B212" t="s">
        <v>1195</v>
      </c>
      <c r="C212" s="98">
        <v>45733</v>
      </c>
      <c r="D212">
        <v>2025</v>
      </c>
      <c r="E212">
        <v>3</v>
      </c>
      <c r="F212">
        <v>1</v>
      </c>
      <c r="G212" t="s">
        <v>1187</v>
      </c>
      <c r="H212" t="s">
        <v>127</v>
      </c>
      <c r="I212" t="s">
        <v>127</v>
      </c>
      <c r="J212" t="s">
        <v>6</v>
      </c>
      <c r="L212">
        <v>522611</v>
      </c>
      <c r="M212" s="99" t="s">
        <v>180</v>
      </c>
      <c r="N212">
        <v>3</v>
      </c>
      <c r="O212">
        <v>11</v>
      </c>
      <c r="P212">
        <v>15.564500000000001</v>
      </c>
      <c r="Q212" t="s">
        <v>352</v>
      </c>
      <c r="R212">
        <v>1</v>
      </c>
      <c r="S212">
        <v>15.5655</v>
      </c>
      <c r="T212">
        <v>8.14E-2</v>
      </c>
      <c r="U212">
        <v>-1.2285012285005475E-2</v>
      </c>
      <c r="V212">
        <v>15.321300000000001</v>
      </c>
      <c r="W212">
        <v>15.402699999999999</v>
      </c>
      <c r="X212">
        <v>15.4841</v>
      </c>
      <c r="Y212">
        <v>15.6469</v>
      </c>
      <c r="Z212">
        <v>15.728300000000001</v>
      </c>
      <c r="AA212">
        <v>15.809699999999999</v>
      </c>
      <c r="AD212">
        <v>4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 t="s">
        <v>462</v>
      </c>
      <c r="AL212" t="s">
        <v>6</v>
      </c>
      <c r="AM212" t="s">
        <v>1145</v>
      </c>
      <c r="AN212" t="s">
        <v>1146</v>
      </c>
      <c r="AO212" s="100">
        <v>46262.040405092594</v>
      </c>
      <c r="AP212" t="s">
        <v>1147</v>
      </c>
      <c r="AQ212" t="s">
        <v>1633</v>
      </c>
      <c r="AR212" t="s">
        <v>1197</v>
      </c>
      <c r="AS212" t="s">
        <v>1150</v>
      </c>
      <c r="AT212" t="s">
        <v>1512</v>
      </c>
      <c r="AU212">
        <v>25</v>
      </c>
      <c r="AV212">
        <v>15.54524</v>
      </c>
      <c r="AW212">
        <v>8.8394235294691773E-2</v>
      </c>
      <c r="AX212">
        <v>0.56862573556080043</v>
      </c>
      <c r="AY212">
        <v>1.3496428095512332</v>
      </c>
      <c r="AZ212">
        <v>2.2878752732265539</v>
      </c>
      <c r="BA212">
        <v>4.6609870512365807</v>
      </c>
      <c r="BB212" s="97" t="s">
        <v>161</v>
      </c>
      <c r="BD212" s="98"/>
      <c r="BE212" s="98"/>
      <c r="BF212" t="s">
        <v>1152</v>
      </c>
      <c r="BG212" t="s">
        <v>322</v>
      </c>
      <c r="BH212" t="s">
        <v>1153</v>
      </c>
      <c r="BI212">
        <v>1.3496428095512332</v>
      </c>
      <c r="BJ212" t="s">
        <v>989</v>
      </c>
      <c r="BK212">
        <v>1.7121247267734461</v>
      </c>
      <c r="BL212">
        <v>42.803118169336152</v>
      </c>
      <c r="BM212" t="s">
        <v>1260</v>
      </c>
      <c r="BN212" t="s">
        <v>1154</v>
      </c>
      <c r="BO212">
        <v>2025</v>
      </c>
      <c r="BP212" t="s">
        <v>966</v>
      </c>
      <c r="BQ212">
        <v>69257.0271489078</v>
      </c>
      <c r="BR212">
        <v>93.074297285109225</v>
      </c>
      <c r="BS212" t="s">
        <v>992</v>
      </c>
      <c r="BV212" t="s">
        <v>1034</v>
      </c>
      <c r="BW212" t="s">
        <v>943</v>
      </c>
      <c r="BX212" t="s">
        <v>994</v>
      </c>
      <c r="BY212">
        <v>2.981347284779206</v>
      </c>
      <c r="BZ212" t="s">
        <v>1155</v>
      </c>
      <c r="CA212" t="s">
        <v>991</v>
      </c>
      <c r="CB212" t="b">
        <v>1</v>
      </c>
      <c r="CC212" t="b">
        <v>1</v>
      </c>
      <c r="CD212" t="b">
        <v>1</v>
      </c>
      <c r="CE212" t="b">
        <v>1</v>
      </c>
      <c r="CF212" t="b">
        <v>1</v>
      </c>
    </row>
    <row r="213" spans="1:84" x14ac:dyDescent="0.3">
      <c r="A213" t="s">
        <v>1634</v>
      </c>
      <c r="B213" t="s">
        <v>1199</v>
      </c>
      <c r="C213" s="98">
        <v>45740</v>
      </c>
      <c r="D213">
        <v>2025</v>
      </c>
      <c r="E213">
        <v>3</v>
      </c>
      <c r="F213">
        <v>1</v>
      </c>
      <c r="G213" t="s">
        <v>1187</v>
      </c>
      <c r="H213" t="s">
        <v>127</v>
      </c>
      <c r="I213" t="s">
        <v>127</v>
      </c>
      <c r="J213" t="s">
        <v>6</v>
      </c>
      <c r="L213">
        <v>522611</v>
      </c>
      <c r="M213" s="99" t="s">
        <v>180</v>
      </c>
      <c r="N213">
        <v>3</v>
      </c>
      <c r="O213">
        <v>12</v>
      </c>
      <c r="P213">
        <v>15.633900000000001</v>
      </c>
      <c r="Q213" t="s">
        <v>352</v>
      </c>
      <c r="R213">
        <v>1</v>
      </c>
      <c r="S213">
        <v>15.5655</v>
      </c>
      <c r="T213">
        <v>8.14E-2</v>
      </c>
      <c r="U213">
        <v>0.84029484029484591</v>
      </c>
      <c r="V213">
        <v>15.321300000000001</v>
      </c>
      <c r="W213">
        <v>15.402699999999999</v>
      </c>
      <c r="X213">
        <v>15.4841</v>
      </c>
      <c r="Y213">
        <v>15.6469</v>
      </c>
      <c r="Z213">
        <v>15.728300000000001</v>
      </c>
      <c r="AA213">
        <v>15.809699999999999</v>
      </c>
      <c r="AD213">
        <v>4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 t="s">
        <v>462</v>
      </c>
      <c r="AL213" t="s">
        <v>6</v>
      </c>
      <c r="AM213" t="s">
        <v>1145</v>
      </c>
      <c r="AN213" t="s">
        <v>1146</v>
      </c>
      <c r="AO213" s="100">
        <v>46262.040405092594</v>
      </c>
      <c r="AP213" t="s">
        <v>1147</v>
      </c>
      <c r="AQ213" t="s">
        <v>1635</v>
      </c>
      <c r="AR213" t="s">
        <v>1201</v>
      </c>
      <c r="AS213" t="s">
        <v>1150</v>
      </c>
      <c r="AT213" t="s">
        <v>1512</v>
      </c>
      <c r="AU213">
        <v>25</v>
      </c>
      <c r="AV213">
        <v>15.54524</v>
      </c>
      <c r="AW213">
        <v>8.8394235294691773E-2</v>
      </c>
      <c r="AX213">
        <v>0.56862573556080043</v>
      </c>
      <c r="AY213">
        <v>1.3496428095512332</v>
      </c>
      <c r="AZ213">
        <v>2.2878752732265539</v>
      </c>
      <c r="BA213">
        <v>4.6609870512365807</v>
      </c>
      <c r="BB213" s="97" t="s">
        <v>161</v>
      </c>
      <c r="BD213" s="98"/>
      <c r="BE213" s="98"/>
      <c r="BF213" t="s">
        <v>1152</v>
      </c>
      <c r="BG213" t="s">
        <v>322</v>
      </c>
      <c r="BH213" t="s">
        <v>1153</v>
      </c>
      <c r="BI213">
        <v>1.3496428095512332</v>
      </c>
      <c r="BJ213" t="s">
        <v>989</v>
      </c>
      <c r="BK213">
        <v>1.7121247267734461</v>
      </c>
      <c r="BL213">
        <v>42.803118169336152</v>
      </c>
      <c r="BM213" t="s">
        <v>1260</v>
      </c>
      <c r="BN213" t="s">
        <v>1154</v>
      </c>
      <c r="BO213">
        <v>2025</v>
      </c>
      <c r="BP213" t="s">
        <v>966</v>
      </c>
      <c r="BQ213">
        <v>69257.0271489078</v>
      </c>
      <c r="BR213">
        <v>93.074297285109225</v>
      </c>
      <c r="BS213" t="s">
        <v>992</v>
      </c>
      <c r="BV213" t="s">
        <v>1034</v>
      </c>
      <c r="BW213" t="s">
        <v>943</v>
      </c>
      <c r="BX213" t="s">
        <v>994</v>
      </c>
      <c r="BY213">
        <v>2.981347284779206</v>
      </c>
      <c r="BZ213" t="s">
        <v>1155</v>
      </c>
      <c r="CA213" t="s">
        <v>991</v>
      </c>
      <c r="CB213" t="b">
        <v>1</v>
      </c>
      <c r="CC213" t="b">
        <v>1</v>
      </c>
      <c r="CD213" t="b">
        <v>1</v>
      </c>
      <c r="CE213" t="b">
        <v>1</v>
      </c>
      <c r="CF213" t="b">
        <v>1</v>
      </c>
    </row>
    <row r="214" spans="1:84" x14ac:dyDescent="0.3">
      <c r="A214" t="s">
        <v>1636</v>
      </c>
      <c r="B214" t="s">
        <v>1203</v>
      </c>
      <c r="C214" s="98">
        <v>45747</v>
      </c>
      <c r="D214">
        <v>2025</v>
      </c>
      <c r="E214">
        <v>3</v>
      </c>
      <c r="F214">
        <v>1</v>
      </c>
      <c r="G214" t="s">
        <v>1187</v>
      </c>
      <c r="H214" t="s">
        <v>127</v>
      </c>
      <c r="I214" t="s">
        <v>127</v>
      </c>
      <c r="J214" t="s">
        <v>6</v>
      </c>
      <c r="L214">
        <v>522611</v>
      </c>
      <c r="M214" s="99" t="s">
        <v>180</v>
      </c>
      <c r="N214">
        <v>3</v>
      </c>
      <c r="O214">
        <v>13</v>
      </c>
      <c r="P214">
        <v>15.431699999999999</v>
      </c>
      <c r="Q214" t="s">
        <v>352</v>
      </c>
      <c r="R214">
        <v>1</v>
      </c>
      <c r="S214">
        <v>15.5655</v>
      </c>
      <c r="T214">
        <v>8.14E-2</v>
      </c>
      <c r="U214">
        <v>-1.6437346437346536</v>
      </c>
      <c r="V214">
        <v>15.321300000000001</v>
      </c>
      <c r="W214">
        <v>15.402699999999999</v>
      </c>
      <c r="X214">
        <v>15.4841</v>
      </c>
      <c r="Y214">
        <v>15.6469</v>
      </c>
      <c r="Z214">
        <v>15.728300000000001</v>
      </c>
      <c r="AA214">
        <v>15.809699999999999</v>
      </c>
      <c r="AD214">
        <v>4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 t="s">
        <v>462</v>
      </c>
      <c r="AL214" t="s">
        <v>6</v>
      </c>
      <c r="AM214" t="s">
        <v>1145</v>
      </c>
      <c r="AN214" t="s">
        <v>1146</v>
      </c>
      <c r="AO214" s="100">
        <v>46262.040405092594</v>
      </c>
      <c r="AP214" t="s">
        <v>1147</v>
      </c>
      <c r="AQ214" t="s">
        <v>1637</v>
      </c>
      <c r="AR214" t="s">
        <v>1205</v>
      </c>
      <c r="AS214" t="s">
        <v>1150</v>
      </c>
      <c r="AT214" t="s">
        <v>1512</v>
      </c>
      <c r="AU214">
        <v>25</v>
      </c>
      <c r="AV214">
        <v>15.54524</v>
      </c>
      <c r="AW214">
        <v>8.8394235294691773E-2</v>
      </c>
      <c r="AX214">
        <v>0.56862573556080043</v>
      </c>
      <c r="AY214">
        <v>1.3496428095512332</v>
      </c>
      <c r="AZ214">
        <v>2.2878752732265539</v>
      </c>
      <c r="BA214">
        <v>4.6609870512365807</v>
      </c>
      <c r="BB214" s="97" t="s">
        <v>161</v>
      </c>
      <c r="BD214" s="98"/>
      <c r="BE214" s="98"/>
      <c r="BF214" t="s">
        <v>1152</v>
      </c>
      <c r="BG214" t="s">
        <v>322</v>
      </c>
      <c r="BH214" t="s">
        <v>1153</v>
      </c>
      <c r="BI214">
        <v>1.3496428095512332</v>
      </c>
      <c r="BJ214" t="s">
        <v>989</v>
      </c>
      <c r="BK214">
        <v>1.7121247267734461</v>
      </c>
      <c r="BL214">
        <v>42.803118169336152</v>
      </c>
      <c r="BM214" t="s">
        <v>1260</v>
      </c>
      <c r="BN214" t="s">
        <v>1154</v>
      </c>
      <c r="BO214">
        <v>2025</v>
      </c>
      <c r="BP214" t="s">
        <v>966</v>
      </c>
      <c r="BQ214">
        <v>69257.0271489078</v>
      </c>
      <c r="BR214">
        <v>93.074297285109225</v>
      </c>
      <c r="BS214" t="s">
        <v>992</v>
      </c>
      <c r="BV214" t="s">
        <v>1034</v>
      </c>
      <c r="BW214" t="s">
        <v>943</v>
      </c>
      <c r="BX214" t="s">
        <v>994</v>
      </c>
      <c r="BY214">
        <v>2.981347284779206</v>
      </c>
      <c r="BZ214" t="s">
        <v>1155</v>
      </c>
      <c r="CA214" t="s">
        <v>991</v>
      </c>
      <c r="CB214" t="b">
        <v>1</v>
      </c>
      <c r="CC214" t="b">
        <v>1</v>
      </c>
      <c r="CD214" t="b">
        <v>1</v>
      </c>
      <c r="CE214" t="b">
        <v>1</v>
      </c>
      <c r="CF214" t="b">
        <v>1</v>
      </c>
    </row>
    <row r="215" spans="1:84" x14ac:dyDescent="0.3">
      <c r="A215" t="s">
        <v>1638</v>
      </c>
      <c r="B215" t="s">
        <v>1207</v>
      </c>
      <c r="C215" s="98">
        <v>45754</v>
      </c>
      <c r="D215">
        <v>2025</v>
      </c>
      <c r="E215">
        <v>4</v>
      </c>
      <c r="F215">
        <v>2</v>
      </c>
      <c r="G215" t="s">
        <v>1208</v>
      </c>
      <c r="H215" t="s">
        <v>127</v>
      </c>
      <c r="I215" t="s">
        <v>127</v>
      </c>
      <c r="J215" t="s">
        <v>6</v>
      </c>
      <c r="L215">
        <v>522611</v>
      </c>
      <c r="M215" s="99" t="s">
        <v>180</v>
      </c>
      <c r="N215">
        <v>3</v>
      </c>
      <c r="O215">
        <v>14</v>
      </c>
      <c r="P215">
        <v>15.393800000000001</v>
      </c>
      <c r="Q215" t="s">
        <v>352</v>
      </c>
      <c r="R215">
        <v>1</v>
      </c>
      <c r="S215">
        <v>15.5655</v>
      </c>
      <c r="T215">
        <v>8.14E-2</v>
      </c>
      <c r="U215">
        <v>-2.1093366093366033</v>
      </c>
      <c r="V215">
        <v>15.321300000000001</v>
      </c>
      <c r="W215">
        <v>15.402699999999999</v>
      </c>
      <c r="X215">
        <v>15.4841</v>
      </c>
      <c r="Y215">
        <v>15.6469</v>
      </c>
      <c r="Z215">
        <v>15.728300000000001</v>
      </c>
      <c r="AA215">
        <v>15.809699999999999</v>
      </c>
      <c r="AD215">
        <v>4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1</v>
      </c>
      <c r="AK215" t="s">
        <v>462</v>
      </c>
      <c r="AL215" t="s">
        <v>6</v>
      </c>
      <c r="AM215" t="s">
        <v>1145</v>
      </c>
      <c r="AN215" t="s">
        <v>1146</v>
      </c>
      <c r="AO215" s="100">
        <v>46262.040405092594</v>
      </c>
      <c r="AP215" t="s">
        <v>1147</v>
      </c>
      <c r="AQ215" t="s">
        <v>1639</v>
      </c>
      <c r="AR215" t="s">
        <v>1210</v>
      </c>
      <c r="AS215" t="s">
        <v>1150</v>
      </c>
      <c r="AT215" t="s">
        <v>1512</v>
      </c>
      <c r="AU215">
        <v>25</v>
      </c>
      <c r="AV215">
        <v>15.54524</v>
      </c>
      <c r="AW215">
        <v>8.8394235294691773E-2</v>
      </c>
      <c r="AX215">
        <v>0.56862573556080043</v>
      </c>
      <c r="AY215">
        <v>1.3496428095512332</v>
      </c>
      <c r="AZ215">
        <v>2.2878752732265539</v>
      </c>
      <c r="BA215">
        <v>4.6609870512365807</v>
      </c>
      <c r="BB215" s="97" t="s">
        <v>161</v>
      </c>
      <c r="BD215" s="98"/>
      <c r="BE215" s="98"/>
      <c r="BF215" t="s">
        <v>1152</v>
      </c>
      <c r="BG215" t="s">
        <v>322</v>
      </c>
      <c r="BH215" t="s">
        <v>1153</v>
      </c>
      <c r="BI215">
        <v>1.3496428095512332</v>
      </c>
      <c r="BJ215" t="s">
        <v>989</v>
      </c>
      <c r="BK215">
        <v>1.7121247267734461</v>
      </c>
      <c r="BL215">
        <v>42.803118169336152</v>
      </c>
      <c r="BM215" t="s">
        <v>1260</v>
      </c>
      <c r="BN215" t="s">
        <v>1154</v>
      </c>
      <c r="BO215">
        <v>2025</v>
      </c>
      <c r="BP215" t="s">
        <v>966</v>
      </c>
      <c r="BQ215">
        <v>69257.0271489078</v>
      </c>
      <c r="BR215">
        <v>93.074297285109225</v>
      </c>
      <c r="BS215" t="s">
        <v>992</v>
      </c>
      <c r="BV215" t="s">
        <v>1034</v>
      </c>
      <c r="BW215" t="s">
        <v>943</v>
      </c>
      <c r="BX215" t="s">
        <v>994</v>
      </c>
      <c r="BY215">
        <v>2.981347284779206</v>
      </c>
      <c r="BZ215" t="s">
        <v>1155</v>
      </c>
      <c r="CA215" t="s">
        <v>991</v>
      </c>
      <c r="CB215" t="b">
        <v>1</v>
      </c>
      <c r="CC215" t="b">
        <v>1</v>
      </c>
      <c r="CD215" t="b">
        <v>1</v>
      </c>
      <c r="CE215" t="b">
        <v>1</v>
      </c>
      <c r="CF215" t="b">
        <v>1</v>
      </c>
    </row>
    <row r="216" spans="1:84" x14ac:dyDescent="0.3">
      <c r="A216" t="s">
        <v>1640</v>
      </c>
      <c r="B216" t="s">
        <v>1212</v>
      </c>
      <c r="C216" s="98">
        <v>45761</v>
      </c>
      <c r="D216">
        <v>2025</v>
      </c>
      <c r="E216">
        <v>4</v>
      </c>
      <c r="F216">
        <v>2</v>
      </c>
      <c r="G216" t="s">
        <v>1208</v>
      </c>
      <c r="H216" t="s">
        <v>127</v>
      </c>
      <c r="I216" t="s">
        <v>127</v>
      </c>
      <c r="J216" t="s">
        <v>6</v>
      </c>
      <c r="L216">
        <v>522611</v>
      </c>
      <c r="M216" s="99" t="s">
        <v>180</v>
      </c>
      <c r="N216">
        <v>3</v>
      </c>
      <c r="O216">
        <v>15</v>
      </c>
      <c r="P216">
        <v>15.586600000000001</v>
      </c>
      <c r="Q216" t="s">
        <v>352</v>
      </c>
      <c r="R216">
        <v>1</v>
      </c>
      <c r="S216">
        <v>15.5655</v>
      </c>
      <c r="T216">
        <v>8.14E-2</v>
      </c>
      <c r="U216">
        <v>0.2592137592137661</v>
      </c>
      <c r="V216">
        <v>15.321300000000001</v>
      </c>
      <c r="W216">
        <v>15.402699999999999</v>
      </c>
      <c r="X216">
        <v>15.4841</v>
      </c>
      <c r="Y216">
        <v>15.6469</v>
      </c>
      <c r="Z216">
        <v>15.728300000000001</v>
      </c>
      <c r="AA216">
        <v>15.809699999999999</v>
      </c>
      <c r="AD216">
        <v>4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 t="s">
        <v>462</v>
      </c>
      <c r="AL216" t="s">
        <v>6</v>
      </c>
      <c r="AM216" t="s">
        <v>1145</v>
      </c>
      <c r="AN216" t="s">
        <v>1146</v>
      </c>
      <c r="AO216" s="100">
        <v>46262.040405092594</v>
      </c>
      <c r="AP216" t="s">
        <v>1147</v>
      </c>
      <c r="AQ216" t="s">
        <v>1641</v>
      </c>
      <c r="AR216" t="s">
        <v>1215</v>
      </c>
      <c r="AS216" t="s">
        <v>1150</v>
      </c>
      <c r="AT216" t="s">
        <v>1512</v>
      </c>
      <c r="AU216">
        <v>25</v>
      </c>
      <c r="AV216">
        <v>15.54524</v>
      </c>
      <c r="AW216">
        <v>8.8394235294691773E-2</v>
      </c>
      <c r="AX216">
        <v>0.56862573556080043</v>
      </c>
      <c r="AY216">
        <v>1.3496428095512332</v>
      </c>
      <c r="AZ216">
        <v>2.2878752732265539</v>
      </c>
      <c r="BA216">
        <v>4.6609870512365807</v>
      </c>
      <c r="BB216" s="97" t="s">
        <v>161</v>
      </c>
      <c r="BD216" s="98"/>
      <c r="BE216" s="98"/>
      <c r="BF216" t="s">
        <v>1152</v>
      </c>
      <c r="BG216" t="s">
        <v>322</v>
      </c>
      <c r="BH216" t="s">
        <v>1153</v>
      </c>
      <c r="BI216">
        <v>1.3496428095512332</v>
      </c>
      <c r="BJ216" t="s">
        <v>989</v>
      </c>
      <c r="BK216">
        <v>1.7121247267734461</v>
      </c>
      <c r="BL216">
        <v>42.803118169336152</v>
      </c>
      <c r="BM216" t="s">
        <v>1260</v>
      </c>
      <c r="BN216" t="s">
        <v>1154</v>
      </c>
      <c r="BO216">
        <v>2025</v>
      </c>
      <c r="BP216" t="s">
        <v>966</v>
      </c>
      <c r="BQ216">
        <v>69257.0271489078</v>
      </c>
      <c r="BR216">
        <v>93.074297285109225</v>
      </c>
      <c r="BS216" t="s">
        <v>992</v>
      </c>
      <c r="BV216" t="s">
        <v>1034</v>
      </c>
      <c r="BW216" t="s">
        <v>943</v>
      </c>
      <c r="BX216" t="s">
        <v>994</v>
      </c>
      <c r="BY216">
        <v>2.981347284779206</v>
      </c>
      <c r="BZ216" t="s">
        <v>1155</v>
      </c>
      <c r="CA216" t="s">
        <v>991</v>
      </c>
      <c r="CB216" t="b">
        <v>1</v>
      </c>
      <c r="CC216" t="b">
        <v>1</v>
      </c>
      <c r="CD216" t="b">
        <v>1</v>
      </c>
      <c r="CE216" t="b">
        <v>1</v>
      </c>
      <c r="CF216" t="b">
        <v>1</v>
      </c>
    </row>
    <row r="217" spans="1:84" x14ac:dyDescent="0.3">
      <c r="A217" t="s">
        <v>1642</v>
      </c>
      <c r="B217" t="s">
        <v>1217</v>
      </c>
      <c r="C217" s="98">
        <v>45768</v>
      </c>
      <c r="D217">
        <v>2025</v>
      </c>
      <c r="E217">
        <v>4</v>
      </c>
      <c r="F217">
        <v>2</v>
      </c>
      <c r="G217" t="s">
        <v>1208</v>
      </c>
      <c r="H217" t="s">
        <v>127</v>
      </c>
      <c r="I217" t="s">
        <v>127</v>
      </c>
      <c r="J217" t="s">
        <v>6</v>
      </c>
      <c r="L217">
        <v>522611</v>
      </c>
      <c r="M217" s="99" t="s">
        <v>180</v>
      </c>
      <c r="N217">
        <v>3</v>
      </c>
      <c r="O217">
        <v>16</v>
      </c>
      <c r="P217">
        <v>15.569100000000001</v>
      </c>
      <c r="Q217" t="s">
        <v>352</v>
      </c>
      <c r="R217">
        <v>1</v>
      </c>
      <c r="S217">
        <v>15.5655</v>
      </c>
      <c r="T217">
        <v>8.14E-2</v>
      </c>
      <c r="U217">
        <v>4.4226044226050268E-2</v>
      </c>
      <c r="V217">
        <v>15.321300000000001</v>
      </c>
      <c r="W217">
        <v>15.402699999999999</v>
      </c>
      <c r="X217">
        <v>15.4841</v>
      </c>
      <c r="Y217">
        <v>15.6469</v>
      </c>
      <c r="Z217">
        <v>15.728300000000001</v>
      </c>
      <c r="AA217">
        <v>15.809699999999999</v>
      </c>
      <c r="AD217">
        <v>4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 t="s">
        <v>462</v>
      </c>
      <c r="AL217" t="s">
        <v>6</v>
      </c>
      <c r="AM217" t="s">
        <v>1145</v>
      </c>
      <c r="AN217" t="s">
        <v>1146</v>
      </c>
      <c r="AO217" s="100">
        <v>46262.040405092594</v>
      </c>
      <c r="AP217" t="s">
        <v>1147</v>
      </c>
      <c r="AQ217" t="s">
        <v>1643</v>
      </c>
      <c r="AR217" t="s">
        <v>1219</v>
      </c>
      <c r="AS217" t="s">
        <v>1150</v>
      </c>
      <c r="AT217" t="s">
        <v>1512</v>
      </c>
      <c r="AU217">
        <v>25</v>
      </c>
      <c r="AV217">
        <v>15.54524</v>
      </c>
      <c r="AW217">
        <v>8.8394235294691773E-2</v>
      </c>
      <c r="AX217">
        <v>0.56862573556080043</v>
      </c>
      <c r="AY217">
        <v>1.3496428095512332</v>
      </c>
      <c r="AZ217">
        <v>2.2878752732265539</v>
      </c>
      <c r="BA217">
        <v>4.6609870512365807</v>
      </c>
      <c r="BB217" s="97" t="s">
        <v>161</v>
      </c>
      <c r="BD217" s="98"/>
      <c r="BE217" s="98"/>
      <c r="BF217" t="s">
        <v>1152</v>
      </c>
      <c r="BG217" t="s">
        <v>322</v>
      </c>
      <c r="BH217" t="s">
        <v>1153</v>
      </c>
      <c r="BI217">
        <v>1.3496428095512332</v>
      </c>
      <c r="BJ217" t="s">
        <v>989</v>
      </c>
      <c r="BK217">
        <v>1.7121247267734461</v>
      </c>
      <c r="BL217">
        <v>42.803118169336152</v>
      </c>
      <c r="BM217" t="s">
        <v>1260</v>
      </c>
      <c r="BN217" t="s">
        <v>1154</v>
      </c>
      <c r="BO217">
        <v>2025</v>
      </c>
      <c r="BP217" t="s">
        <v>966</v>
      </c>
      <c r="BQ217">
        <v>69257.0271489078</v>
      </c>
      <c r="BR217">
        <v>93.074297285109225</v>
      </c>
      <c r="BS217" t="s">
        <v>992</v>
      </c>
      <c r="BV217" t="s">
        <v>1034</v>
      </c>
      <c r="BW217" t="s">
        <v>943</v>
      </c>
      <c r="BX217" t="s">
        <v>994</v>
      </c>
      <c r="BY217">
        <v>2.981347284779206</v>
      </c>
      <c r="BZ217" t="s">
        <v>1155</v>
      </c>
      <c r="CA217" t="s">
        <v>991</v>
      </c>
      <c r="CB217" t="b">
        <v>1</v>
      </c>
      <c r="CC217" t="b">
        <v>1</v>
      </c>
      <c r="CD217" t="b">
        <v>1</v>
      </c>
      <c r="CE217" t="b">
        <v>1</v>
      </c>
      <c r="CF217" t="b">
        <v>1</v>
      </c>
    </row>
    <row r="218" spans="1:84" x14ac:dyDescent="0.3">
      <c r="A218" t="s">
        <v>1644</v>
      </c>
      <c r="B218" t="s">
        <v>1221</v>
      </c>
      <c r="C218" s="98">
        <v>45775</v>
      </c>
      <c r="D218">
        <v>2025</v>
      </c>
      <c r="E218">
        <v>4</v>
      </c>
      <c r="F218">
        <v>2</v>
      </c>
      <c r="G218" t="s">
        <v>1208</v>
      </c>
      <c r="H218" t="s">
        <v>127</v>
      </c>
      <c r="I218" t="s">
        <v>127</v>
      </c>
      <c r="J218" t="s">
        <v>6</v>
      </c>
      <c r="L218">
        <v>522611</v>
      </c>
      <c r="M218" s="99" t="s">
        <v>180</v>
      </c>
      <c r="N218">
        <v>3</v>
      </c>
      <c r="O218">
        <v>17</v>
      </c>
      <c r="P218">
        <v>15.545500000000001</v>
      </c>
      <c r="Q218" t="s">
        <v>352</v>
      </c>
      <c r="R218">
        <v>1</v>
      </c>
      <c r="S218">
        <v>15.5655</v>
      </c>
      <c r="T218">
        <v>8.14E-2</v>
      </c>
      <c r="U218">
        <v>-0.24570024570024046</v>
      </c>
      <c r="V218">
        <v>15.321300000000001</v>
      </c>
      <c r="W218">
        <v>15.402699999999999</v>
      </c>
      <c r="X218">
        <v>15.4841</v>
      </c>
      <c r="Y218">
        <v>15.6469</v>
      </c>
      <c r="Z218">
        <v>15.728300000000001</v>
      </c>
      <c r="AA218">
        <v>15.809699999999999</v>
      </c>
      <c r="AD218">
        <v>4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 t="s">
        <v>462</v>
      </c>
      <c r="AL218" t="s">
        <v>6</v>
      </c>
      <c r="AM218" t="s">
        <v>1145</v>
      </c>
      <c r="AN218" t="s">
        <v>1146</v>
      </c>
      <c r="AO218" s="100">
        <v>46262.040405092594</v>
      </c>
      <c r="AP218" t="s">
        <v>1147</v>
      </c>
      <c r="AQ218" t="s">
        <v>1645</v>
      </c>
      <c r="AR218" t="s">
        <v>1223</v>
      </c>
      <c r="AS218" t="s">
        <v>1150</v>
      </c>
      <c r="AT218" t="s">
        <v>1512</v>
      </c>
      <c r="AU218">
        <v>25</v>
      </c>
      <c r="AV218">
        <v>15.54524</v>
      </c>
      <c r="AW218">
        <v>8.8394235294691773E-2</v>
      </c>
      <c r="AX218">
        <v>0.56862573556080043</v>
      </c>
      <c r="AY218">
        <v>1.3496428095512332</v>
      </c>
      <c r="AZ218">
        <v>2.2878752732265539</v>
      </c>
      <c r="BA218">
        <v>4.6609870512365807</v>
      </c>
      <c r="BB218" s="97" t="s">
        <v>161</v>
      </c>
      <c r="BD218" s="98"/>
      <c r="BE218" s="98"/>
      <c r="BF218" t="s">
        <v>1152</v>
      </c>
      <c r="BG218" t="s">
        <v>322</v>
      </c>
      <c r="BH218" t="s">
        <v>1153</v>
      </c>
      <c r="BI218">
        <v>1.3496428095512332</v>
      </c>
      <c r="BJ218" t="s">
        <v>989</v>
      </c>
      <c r="BK218">
        <v>1.7121247267734461</v>
      </c>
      <c r="BL218">
        <v>42.803118169336152</v>
      </c>
      <c r="BM218" t="s">
        <v>1260</v>
      </c>
      <c r="BN218" t="s">
        <v>1154</v>
      </c>
      <c r="BO218">
        <v>2025</v>
      </c>
      <c r="BP218" t="s">
        <v>966</v>
      </c>
      <c r="BQ218">
        <v>69257.0271489078</v>
      </c>
      <c r="BR218">
        <v>93.074297285109225</v>
      </c>
      <c r="BS218" t="s">
        <v>992</v>
      </c>
      <c r="BV218" t="s">
        <v>1034</v>
      </c>
      <c r="BW218" t="s">
        <v>943</v>
      </c>
      <c r="BX218" t="s">
        <v>994</v>
      </c>
      <c r="BY218">
        <v>2.981347284779206</v>
      </c>
      <c r="BZ218" t="s">
        <v>1155</v>
      </c>
      <c r="CA218" t="s">
        <v>991</v>
      </c>
      <c r="CB218" t="b">
        <v>1</v>
      </c>
      <c r="CC218" t="b">
        <v>1</v>
      </c>
      <c r="CD218" t="b">
        <v>1</v>
      </c>
      <c r="CE218" t="b">
        <v>1</v>
      </c>
      <c r="CF218" t="b">
        <v>1</v>
      </c>
    </row>
    <row r="219" spans="1:84" x14ac:dyDescent="0.3">
      <c r="A219" t="s">
        <v>1646</v>
      </c>
      <c r="B219" t="s">
        <v>1225</v>
      </c>
      <c r="C219" s="98">
        <v>45782</v>
      </c>
      <c r="D219">
        <v>2025</v>
      </c>
      <c r="E219">
        <v>5</v>
      </c>
      <c r="F219">
        <v>2</v>
      </c>
      <c r="G219" t="s">
        <v>1226</v>
      </c>
      <c r="H219" t="s">
        <v>127</v>
      </c>
      <c r="I219" t="s">
        <v>127</v>
      </c>
      <c r="J219" t="s">
        <v>6</v>
      </c>
      <c r="L219">
        <v>522611</v>
      </c>
      <c r="M219" s="99" t="s">
        <v>180</v>
      </c>
      <c r="N219">
        <v>3</v>
      </c>
      <c r="O219">
        <v>18</v>
      </c>
      <c r="P219">
        <v>15.5687</v>
      </c>
      <c r="Q219" t="s">
        <v>352</v>
      </c>
      <c r="R219">
        <v>1</v>
      </c>
      <c r="S219">
        <v>15.5655</v>
      </c>
      <c r="T219">
        <v>8.14E-2</v>
      </c>
      <c r="U219">
        <v>3.9312039312034981E-2</v>
      </c>
      <c r="V219">
        <v>15.321300000000001</v>
      </c>
      <c r="W219">
        <v>15.402699999999999</v>
      </c>
      <c r="X219">
        <v>15.4841</v>
      </c>
      <c r="Y219">
        <v>15.6469</v>
      </c>
      <c r="Z219">
        <v>15.728300000000001</v>
      </c>
      <c r="AA219">
        <v>15.809699999999999</v>
      </c>
      <c r="AD219">
        <v>4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 t="s">
        <v>462</v>
      </c>
      <c r="AL219" t="s">
        <v>6</v>
      </c>
      <c r="AM219" t="s">
        <v>1145</v>
      </c>
      <c r="AN219" t="s">
        <v>1146</v>
      </c>
      <c r="AO219" s="100">
        <v>46262.040405092594</v>
      </c>
      <c r="AP219" t="s">
        <v>1147</v>
      </c>
      <c r="AQ219" t="s">
        <v>1647</v>
      </c>
      <c r="AR219" t="s">
        <v>1228</v>
      </c>
      <c r="AS219" t="s">
        <v>1150</v>
      </c>
      <c r="AT219" t="s">
        <v>1512</v>
      </c>
      <c r="AU219">
        <v>25</v>
      </c>
      <c r="AV219">
        <v>15.54524</v>
      </c>
      <c r="AW219">
        <v>8.8394235294691773E-2</v>
      </c>
      <c r="AX219">
        <v>0.56862573556080043</v>
      </c>
      <c r="AY219">
        <v>1.3496428095512332</v>
      </c>
      <c r="AZ219">
        <v>2.2878752732265539</v>
      </c>
      <c r="BA219">
        <v>4.6609870512365807</v>
      </c>
      <c r="BB219" s="97" t="s">
        <v>161</v>
      </c>
      <c r="BD219" s="98"/>
      <c r="BE219" s="98"/>
      <c r="BF219" t="s">
        <v>1152</v>
      </c>
      <c r="BG219" t="s">
        <v>322</v>
      </c>
      <c r="BH219" t="s">
        <v>1153</v>
      </c>
      <c r="BI219">
        <v>1.3496428095512332</v>
      </c>
      <c r="BJ219" t="s">
        <v>989</v>
      </c>
      <c r="BK219">
        <v>1.7121247267734461</v>
      </c>
      <c r="BL219">
        <v>42.803118169336152</v>
      </c>
      <c r="BM219" t="s">
        <v>1260</v>
      </c>
      <c r="BN219" t="s">
        <v>1154</v>
      </c>
      <c r="BO219">
        <v>2025</v>
      </c>
      <c r="BP219" t="s">
        <v>966</v>
      </c>
      <c r="BQ219">
        <v>69257.0271489078</v>
      </c>
      <c r="BR219">
        <v>93.074297285109225</v>
      </c>
      <c r="BS219" t="s">
        <v>992</v>
      </c>
      <c r="BV219" t="s">
        <v>1034</v>
      </c>
      <c r="BW219" t="s">
        <v>943</v>
      </c>
      <c r="BX219" t="s">
        <v>994</v>
      </c>
      <c r="BY219">
        <v>2.981347284779206</v>
      </c>
      <c r="BZ219" t="s">
        <v>1155</v>
      </c>
      <c r="CA219" t="s">
        <v>991</v>
      </c>
      <c r="CB219" t="b">
        <v>1</v>
      </c>
      <c r="CC219" t="b">
        <v>1</v>
      </c>
      <c r="CD219" t="b">
        <v>1</v>
      </c>
      <c r="CE219" t="b">
        <v>1</v>
      </c>
      <c r="CF219" t="b">
        <v>1</v>
      </c>
    </row>
    <row r="220" spans="1:84" x14ac:dyDescent="0.3">
      <c r="A220" t="s">
        <v>1648</v>
      </c>
      <c r="B220" t="s">
        <v>1230</v>
      </c>
      <c r="C220" s="98">
        <v>45789</v>
      </c>
      <c r="D220">
        <v>2025</v>
      </c>
      <c r="E220">
        <v>5</v>
      </c>
      <c r="F220">
        <v>2</v>
      </c>
      <c r="G220" t="s">
        <v>1226</v>
      </c>
      <c r="H220" t="s">
        <v>127</v>
      </c>
      <c r="I220" t="s">
        <v>127</v>
      </c>
      <c r="J220" t="s">
        <v>6</v>
      </c>
      <c r="L220">
        <v>522611</v>
      </c>
      <c r="M220" s="99" t="s">
        <v>180</v>
      </c>
      <c r="N220">
        <v>3</v>
      </c>
      <c r="O220">
        <v>19</v>
      </c>
      <c r="P220">
        <v>15.4955</v>
      </c>
      <c r="Q220" t="s">
        <v>352</v>
      </c>
      <c r="R220">
        <v>1</v>
      </c>
      <c r="S220">
        <v>15.5655</v>
      </c>
      <c r="T220">
        <v>8.14E-2</v>
      </c>
      <c r="U220">
        <v>-0.8599508599508634</v>
      </c>
      <c r="V220">
        <v>15.321300000000001</v>
      </c>
      <c r="W220">
        <v>15.402699999999999</v>
      </c>
      <c r="X220">
        <v>15.4841</v>
      </c>
      <c r="Y220">
        <v>15.6469</v>
      </c>
      <c r="Z220">
        <v>15.728300000000001</v>
      </c>
      <c r="AA220">
        <v>15.809699999999999</v>
      </c>
      <c r="AD220">
        <v>4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 t="s">
        <v>462</v>
      </c>
      <c r="AL220" t="s">
        <v>6</v>
      </c>
      <c r="AM220" t="s">
        <v>1145</v>
      </c>
      <c r="AN220" t="s">
        <v>1146</v>
      </c>
      <c r="AO220" s="100">
        <v>46262.040405092594</v>
      </c>
      <c r="AP220" t="s">
        <v>1147</v>
      </c>
      <c r="AQ220" t="s">
        <v>1649</v>
      </c>
      <c r="AR220" t="s">
        <v>1232</v>
      </c>
      <c r="AS220" t="s">
        <v>1150</v>
      </c>
      <c r="AT220" t="s">
        <v>1512</v>
      </c>
      <c r="AU220">
        <v>25</v>
      </c>
      <c r="AV220">
        <v>15.54524</v>
      </c>
      <c r="AW220">
        <v>8.8394235294691773E-2</v>
      </c>
      <c r="AX220">
        <v>0.56862573556080043</v>
      </c>
      <c r="AY220">
        <v>1.3496428095512332</v>
      </c>
      <c r="AZ220">
        <v>2.2878752732265539</v>
      </c>
      <c r="BA220">
        <v>4.6609870512365807</v>
      </c>
      <c r="BB220" s="97" t="s">
        <v>161</v>
      </c>
      <c r="BD220" s="98"/>
      <c r="BE220" s="98"/>
      <c r="BF220" t="s">
        <v>1152</v>
      </c>
      <c r="BG220" t="s">
        <v>322</v>
      </c>
      <c r="BH220" t="s">
        <v>1153</v>
      </c>
      <c r="BI220">
        <v>1.3496428095512332</v>
      </c>
      <c r="BJ220" t="s">
        <v>989</v>
      </c>
      <c r="BK220">
        <v>1.7121247267734461</v>
      </c>
      <c r="BL220">
        <v>42.803118169336152</v>
      </c>
      <c r="BM220" t="s">
        <v>1260</v>
      </c>
      <c r="BN220" t="s">
        <v>1154</v>
      </c>
      <c r="BO220">
        <v>2025</v>
      </c>
      <c r="BP220" t="s">
        <v>966</v>
      </c>
      <c r="BQ220">
        <v>69257.0271489078</v>
      </c>
      <c r="BR220">
        <v>93.074297285109225</v>
      </c>
      <c r="BS220" t="s">
        <v>992</v>
      </c>
      <c r="BV220" t="s">
        <v>1034</v>
      </c>
      <c r="BW220" t="s">
        <v>943</v>
      </c>
      <c r="BX220" t="s">
        <v>994</v>
      </c>
      <c r="BY220">
        <v>2.981347284779206</v>
      </c>
      <c r="BZ220" t="s">
        <v>1155</v>
      </c>
      <c r="CA220" t="s">
        <v>991</v>
      </c>
      <c r="CB220" t="b">
        <v>1</v>
      </c>
      <c r="CC220" t="b">
        <v>1</v>
      </c>
      <c r="CD220" t="b">
        <v>1</v>
      </c>
      <c r="CE220" t="b">
        <v>1</v>
      </c>
      <c r="CF220" t="b">
        <v>1</v>
      </c>
    </row>
    <row r="221" spans="1:84" x14ac:dyDescent="0.3">
      <c r="A221" t="s">
        <v>1650</v>
      </c>
      <c r="B221" t="s">
        <v>1234</v>
      </c>
      <c r="C221" s="98">
        <v>45796</v>
      </c>
      <c r="D221">
        <v>2025</v>
      </c>
      <c r="E221">
        <v>5</v>
      </c>
      <c r="F221">
        <v>2</v>
      </c>
      <c r="G221" t="s">
        <v>1226</v>
      </c>
      <c r="H221" t="s">
        <v>127</v>
      </c>
      <c r="I221" t="s">
        <v>127</v>
      </c>
      <c r="J221" t="s">
        <v>6</v>
      </c>
      <c r="L221">
        <v>522611</v>
      </c>
      <c r="M221" s="99" t="s">
        <v>180</v>
      </c>
      <c r="N221">
        <v>3</v>
      </c>
      <c r="O221">
        <v>20</v>
      </c>
      <c r="P221">
        <v>15.442299999999999</v>
      </c>
      <c r="Q221" t="s">
        <v>352</v>
      </c>
      <c r="R221">
        <v>1</v>
      </c>
      <c r="S221">
        <v>15.5655</v>
      </c>
      <c r="T221">
        <v>8.14E-2</v>
      </c>
      <c r="U221">
        <v>-1.5135135135135214</v>
      </c>
      <c r="V221">
        <v>15.321300000000001</v>
      </c>
      <c r="W221">
        <v>15.402699999999999</v>
      </c>
      <c r="X221">
        <v>15.4841</v>
      </c>
      <c r="Y221">
        <v>15.6469</v>
      </c>
      <c r="Z221">
        <v>15.728300000000001</v>
      </c>
      <c r="AA221">
        <v>15.809699999999999</v>
      </c>
      <c r="AD221">
        <v>4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 t="s">
        <v>462</v>
      </c>
      <c r="AL221" t="s">
        <v>6</v>
      </c>
      <c r="AM221" t="s">
        <v>1145</v>
      </c>
      <c r="AN221" t="s">
        <v>1146</v>
      </c>
      <c r="AO221" s="100">
        <v>46262.040405092594</v>
      </c>
      <c r="AP221" t="s">
        <v>1147</v>
      </c>
      <c r="AQ221" t="s">
        <v>1651</v>
      </c>
      <c r="AR221" t="s">
        <v>1236</v>
      </c>
      <c r="AS221" t="s">
        <v>1150</v>
      </c>
      <c r="AT221" t="s">
        <v>1512</v>
      </c>
      <c r="AU221">
        <v>25</v>
      </c>
      <c r="AV221">
        <v>15.54524</v>
      </c>
      <c r="AW221">
        <v>8.8394235294691773E-2</v>
      </c>
      <c r="AX221">
        <v>0.56862573556080043</v>
      </c>
      <c r="AY221">
        <v>1.3496428095512332</v>
      </c>
      <c r="AZ221">
        <v>2.2878752732265539</v>
      </c>
      <c r="BA221">
        <v>4.6609870512365807</v>
      </c>
      <c r="BB221" s="97" t="s">
        <v>161</v>
      </c>
      <c r="BD221" s="98"/>
      <c r="BE221" s="98"/>
      <c r="BF221" t="s">
        <v>1152</v>
      </c>
      <c r="BG221" t="s">
        <v>322</v>
      </c>
      <c r="BH221" t="s">
        <v>1153</v>
      </c>
      <c r="BI221">
        <v>1.3496428095512332</v>
      </c>
      <c r="BJ221" t="s">
        <v>989</v>
      </c>
      <c r="BK221">
        <v>1.7121247267734461</v>
      </c>
      <c r="BL221">
        <v>42.803118169336152</v>
      </c>
      <c r="BM221" t="s">
        <v>1260</v>
      </c>
      <c r="BN221" t="s">
        <v>1154</v>
      </c>
      <c r="BO221">
        <v>2025</v>
      </c>
      <c r="BP221" t="s">
        <v>966</v>
      </c>
      <c r="BQ221">
        <v>69257.0271489078</v>
      </c>
      <c r="BR221">
        <v>93.074297285109225</v>
      </c>
      <c r="BS221" t="s">
        <v>992</v>
      </c>
      <c r="BV221" t="s">
        <v>1034</v>
      </c>
      <c r="BW221" t="s">
        <v>943</v>
      </c>
      <c r="BX221" t="s">
        <v>994</v>
      </c>
      <c r="BY221">
        <v>2.981347284779206</v>
      </c>
      <c r="BZ221" t="s">
        <v>1155</v>
      </c>
      <c r="CA221" t="s">
        <v>991</v>
      </c>
      <c r="CB221" t="b">
        <v>1</v>
      </c>
      <c r="CC221" t="b">
        <v>1</v>
      </c>
      <c r="CD221" t="b">
        <v>1</v>
      </c>
      <c r="CE221" t="b">
        <v>1</v>
      </c>
      <c r="CF221" t="b">
        <v>1</v>
      </c>
    </row>
    <row r="222" spans="1:84" x14ac:dyDescent="0.3">
      <c r="A222" t="s">
        <v>1652</v>
      </c>
      <c r="B222" t="s">
        <v>1238</v>
      </c>
      <c r="C222" s="98">
        <v>45803</v>
      </c>
      <c r="D222">
        <v>2025</v>
      </c>
      <c r="E222">
        <v>5</v>
      </c>
      <c r="F222">
        <v>2</v>
      </c>
      <c r="G222" t="s">
        <v>1226</v>
      </c>
      <c r="H222" t="s">
        <v>127</v>
      </c>
      <c r="I222" t="s">
        <v>127</v>
      </c>
      <c r="J222" t="s">
        <v>6</v>
      </c>
      <c r="L222">
        <v>522611</v>
      </c>
      <c r="M222" s="99" t="s">
        <v>180</v>
      </c>
      <c r="N222">
        <v>3</v>
      </c>
      <c r="O222">
        <v>21</v>
      </c>
      <c r="P222">
        <v>15.552</v>
      </c>
      <c r="Q222" t="s">
        <v>352</v>
      </c>
      <c r="R222">
        <v>1</v>
      </c>
      <c r="S222">
        <v>15.5655</v>
      </c>
      <c r="T222">
        <v>8.14E-2</v>
      </c>
      <c r="U222">
        <v>-0.16584766584767213</v>
      </c>
      <c r="V222">
        <v>15.321300000000001</v>
      </c>
      <c r="W222">
        <v>15.402699999999999</v>
      </c>
      <c r="X222">
        <v>15.4841</v>
      </c>
      <c r="Y222">
        <v>15.6469</v>
      </c>
      <c r="Z222">
        <v>15.728300000000001</v>
      </c>
      <c r="AA222">
        <v>15.809699999999999</v>
      </c>
      <c r="AD222">
        <v>4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 t="s">
        <v>462</v>
      </c>
      <c r="AL222" t="s">
        <v>6</v>
      </c>
      <c r="AM222" t="s">
        <v>1145</v>
      </c>
      <c r="AN222" t="s">
        <v>1146</v>
      </c>
      <c r="AO222" s="100">
        <v>46262.040405092594</v>
      </c>
      <c r="AP222" t="s">
        <v>1147</v>
      </c>
      <c r="AQ222" t="s">
        <v>1653</v>
      </c>
      <c r="AR222" t="s">
        <v>1240</v>
      </c>
      <c r="AS222" t="s">
        <v>1150</v>
      </c>
      <c r="AT222" t="s">
        <v>1512</v>
      </c>
      <c r="AU222">
        <v>25</v>
      </c>
      <c r="AV222">
        <v>15.54524</v>
      </c>
      <c r="AW222">
        <v>8.8394235294691773E-2</v>
      </c>
      <c r="AX222">
        <v>0.56862573556080043</v>
      </c>
      <c r="AY222">
        <v>1.3496428095512332</v>
      </c>
      <c r="AZ222">
        <v>2.2878752732265539</v>
      </c>
      <c r="BA222">
        <v>4.6609870512365807</v>
      </c>
      <c r="BB222" s="97" t="s">
        <v>161</v>
      </c>
      <c r="BD222" s="98"/>
      <c r="BE222" s="98"/>
      <c r="BF222" t="s">
        <v>1152</v>
      </c>
      <c r="BG222" t="s">
        <v>322</v>
      </c>
      <c r="BH222" t="s">
        <v>1153</v>
      </c>
      <c r="BI222">
        <v>1.3496428095512332</v>
      </c>
      <c r="BJ222" t="s">
        <v>989</v>
      </c>
      <c r="BK222">
        <v>1.7121247267734461</v>
      </c>
      <c r="BL222">
        <v>42.803118169336152</v>
      </c>
      <c r="BM222" t="s">
        <v>1260</v>
      </c>
      <c r="BN222" t="s">
        <v>1154</v>
      </c>
      <c r="BO222">
        <v>2025</v>
      </c>
      <c r="BP222" t="s">
        <v>966</v>
      </c>
      <c r="BQ222">
        <v>69257.0271489078</v>
      </c>
      <c r="BR222">
        <v>93.074297285109225</v>
      </c>
      <c r="BS222" t="s">
        <v>992</v>
      </c>
      <c r="BV222" t="s">
        <v>1034</v>
      </c>
      <c r="BW222" t="s">
        <v>943</v>
      </c>
      <c r="BX222" t="s">
        <v>994</v>
      </c>
      <c r="BY222">
        <v>2.981347284779206</v>
      </c>
      <c r="BZ222" t="s">
        <v>1155</v>
      </c>
      <c r="CA222" t="s">
        <v>991</v>
      </c>
      <c r="CB222" t="b">
        <v>1</v>
      </c>
      <c r="CC222" t="b">
        <v>1</v>
      </c>
      <c r="CD222" t="b">
        <v>1</v>
      </c>
      <c r="CE222" t="b">
        <v>1</v>
      </c>
      <c r="CF222" t="b">
        <v>1</v>
      </c>
    </row>
    <row r="223" spans="1:84" x14ac:dyDescent="0.3">
      <c r="A223" t="s">
        <v>1654</v>
      </c>
      <c r="B223" t="s">
        <v>1242</v>
      </c>
      <c r="C223" s="98">
        <v>45810</v>
      </c>
      <c r="D223">
        <v>2025</v>
      </c>
      <c r="E223">
        <v>6</v>
      </c>
      <c r="F223">
        <v>2</v>
      </c>
      <c r="G223" t="s">
        <v>1243</v>
      </c>
      <c r="H223" t="s">
        <v>127</v>
      </c>
      <c r="I223" t="s">
        <v>127</v>
      </c>
      <c r="J223" t="s">
        <v>6</v>
      </c>
      <c r="L223">
        <v>522611</v>
      </c>
      <c r="M223" s="99" t="s">
        <v>180</v>
      </c>
      <c r="N223">
        <v>3</v>
      </c>
      <c r="O223">
        <v>22</v>
      </c>
      <c r="P223">
        <v>15.4864</v>
      </c>
      <c r="Q223" t="s">
        <v>352</v>
      </c>
      <c r="R223">
        <v>1</v>
      </c>
      <c r="S223">
        <v>15.5655</v>
      </c>
      <c r="T223">
        <v>8.14E-2</v>
      </c>
      <c r="U223">
        <v>-0.97174447174447653</v>
      </c>
      <c r="V223">
        <v>15.321300000000001</v>
      </c>
      <c r="W223">
        <v>15.402699999999999</v>
      </c>
      <c r="X223">
        <v>15.4841</v>
      </c>
      <c r="Y223">
        <v>15.6469</v>
      </c>
      <c r="Z223">
        <v>15.728300000000001</v>
      </c>
      <c r="AA223">
        <v>15.809699999999999</v>
      </c>
      <c r="AD223">
        <v>4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 t="s">
        <v>462</v>
      </c>
      <c r="AL223" t="s">
        <v>6</v>
      </c>
      <c r="AM223" t="s">
        <v>1145</v>
      </c>
      <c r="AN223" t="s">
        <v>1146</v>
      </c>
      <c r="AO223" s="100">
        <v>46262.040405092594</v>
      </c>
      <c r="AP223" t="s">
        <v>1147</v>
      </c>
      <c r="AQ223" t="s">
        <v>1655</v>
      </c>
      <c r="AR223" t="s">
        <v>1245</v>
      </c>
      <c r="AS223" t="s">
        <v>1150</v>
      </c>
      <c r="AT223" t="s">
        <v>1512</v>
      </c>
      <c r="AU223">
        <v>25</v>
      </c>
      <c r="AV223">
        <v>15.54524</v>
      </c>
      <c r="AW223">
        <v>8.8394235294691773E-2</v>
      </c>
      <c r="AX223">
        <v>0.56862573556080043</v>
      </c>
      <c r="AY223">
        <v>1.3496428095512332</v>
      </c>
      <c r="AZ223">
        <v>2.2878752732265539</v>
      </c>
      <c r="BA223">
        <v>4.6609870512365807</v>
      </c>
      <c r="BB223" s="97" t="s">
        <v>161</v>
      </c>
      <c r="BD223" s="98"/>
      <c r="BE223" s="98"/>
      <c r="BF223" t="s">
        <v>1152</v>
      </c>
      <c r="BG223" t="s">
        <v>322</v>
      </c>
      <c r="BH223" t="s">
        <v>1153</v>
      </c>
      <c r="BI223">
        <v>1.3496428095512332</v>
      </c>
      <c r="BJ223" t="s">
        <v>989</v>
      </c>
      <c r="BK223">
        <v>1.7121247267734461</v>
      </c>
      <c r="BL223">
        <v>42.803118169336152</v>
      </c>
      <c r="BM223" t="s">
        <v>1260</v>
      </c>
      <c r="BN223" t="s">
        <v>1154</v>
      </c>
      <c r="BO223">
        <v>2025</v>
      </c>
      <c r="BP223" t="s">
        <v>966</v>
      </c>
      <c r="BQ223">
        <v>69257.0271489078</v>
      </c>
      <c r="BR223">
        <v>93.074297285109225</v>
      </c>
      <c r="BS223" t="s">
        <v>992</v>
      </c>
      <c r="BV223" t="s">
        <v>1034</v>
      </c>
      <c r="BW223" t="s">
        <v>943</v>
      </c>
      <c r="BX223" t="s">
        <v>994</v>
      </c>
      <c r="BY223">
        <v>2.981347284779206</v>
      </c>
      <c r="BZ223" t="s">
        <v>1155</v>
      </c>
      <c r="CA223" t="s">
        <v>991</v>
      </c>
      <c r="CB223" t="b">
        <v>1</v>
      </c>
      <c r="CC223" t="b">
        <v>1</v>
      </c>
      <c r="CD223" t="b">
        <v>1</v>
      </c>
      <c r="CE223" t="b">
        <v>1</v>
      </c>
      <c r="CF223" t="b">
        <v>1</v>
      </c>
    </row>
    <row r="224" spans="1:84" x14ac:dyDescent="0.3">
      <c r="A224" t="s">
        <v>1656</v>
      </c>
      <c r="B224" t="s">
        <v>1247</v>
      </c>
      <c r="C224" s="98">
        <v>45817</v>
      </c>
      <c r="D224">
        <v>2025</v>
      </c>
      <c r="E224">
        <v>6</v>
      </c>
      <c r="F224">
        <v>2</v>
      </c>
      <c r="G224" t="s">
        <v>1243</v>
      </c>
      <c r="H224" t="s">
        <v>127</v>
      </c>
      <c r="I224" t="s">
        <v>127</v>
      </c>
      <c r="J224" t="s">
        <v>6</v>
      </c>
      <c r="L224">
        <v>522611</v>
      </c>
      <c r="M224" s="99" t="s">
        <v>180</v>
      </c>
      <c r="N224">
        <v>3</v>
      </c>
      <c r="O224">
        <v>23</v>
      </c>
      <c r="P224">
        <v>15.431699999999999</v>
      </c>
      <c r="Q224" t="s">
        <v>352</v>
      </c>
      <c r="R224">
        <v>1</v>
      </c>
      <c r="S224">
        <v>15.5655</v>
      </c>
      <c r="T224">
        <v>8.14E-2</v>
      </c>
      <c r="U224">
        <v>-1.6437346437346536</v>
      </c>
      <c r="V224">
        <v>15.321300000000001</v>
      </c>
      <c r="W224">
        <v>15.402699999999999</v>
      </c>
      <c r="X224">
        <v>15.4841</v>
      </c>
      <c r="Y224">
        <v>15.6469</v>
      </c>
      <c r="Z224">
        <v>15.728300000000001</v>
      </c>
      <c r="AA224">
        <v>15.809699999999999</v>
      </c>
      <c r="AD224">
        <v>4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 t="s">
        <v>462</v>
      </c>
      <c r="AL224" t="s">
        <v>6</v>
      </c>
      <c r="AM224" t="s">
        <v>1145</v>
      </c>
      <c r="AN224" t="s">
        <v>1146</v>
      </c>
      <c r="AO224" s="100">
        <v>46262.040405092594</v>
      </c>
      <c r="AP224" t="s">
        <v>1147</v>
      </c>
      <c r="AQ224" t="s">
        <v>1657</v>
      </c>
      <c r="AR224" t="s">
        <v>1249</v>
      </c>
      <c r="AS224" t="s">
        <v>1150</v>
      </c>
      <c r="AT224" t="s">
        <v>1512</v>
      </c>
      <c r="AU224">
        <v>25</v>
      </c>
      <c r="AV224">
        <v>15.54524</v>
      </c>
      <c r="AW224">
        <v>8.8394235294691773E-2</v>
      </c>
      <c r="AX224">
        <v>0.56862573556080043</v>
      </c>
      <c r="AY224">
        <v>1.3496428095512332</v>
      </c>
      <c r="AZ224">
        <v>2.2878752732265539</v>
      </c>
      <c r="BA224">
        <v>4.6609870512365807</v>
      </c>
      <c r="BB224" s="97" t="s">
        <v>161</v>
      </c>
      <c r="BD224" s="98"/>
      <c r="BE224" s="98"/>
      <c r="BF224" t="s">
        <v>1152</v>
      </c>
      <c r="BG224" t="s">
        <v>322</v>
      </c>
      <c r="BH224" t="s">
        <v>1153</v>
      </c>
      <c r="BI224">
        <v>1.3496428095512332</v>
      </c>
      <c r="BJ224" t="s">
        <v>989</v>
      </c>
      <c r="BK224">
        <v>1.7121247267734461</v>
      </c>
      <c r="BL224">
        <v>42.803118169336152</v>
      </c>
      <c r="BM224" t="s">
        <v>1260</v>
      </c>
      <c r="BN224" t="s">
        <v>1154</v>
      </c>
      <c r="BO224">
        <v>2025</v>
      </c>
      <c r="BP224" t="s">
        <v>966</v>
      </c>
      <c r="BQ224">
        <v>69257.0271489078</v>
      </c>
      <c r="BR224">
        <v>93.074297285109225</v>
      </c>
      <c r="BS224" t="s">
        <v>992</v>
      </c>
      <c r="BV224" t="s">
        <v>1034</v>
      </c>
      <c r="BW224" t="s">
        <v>943</v>
      </c>
      <c r="BX224" t="s">
        <v>994</v>
      </c>
      <c r="BY224">
        <v>2.981347284779206</v>
      </c>
      <c r="BZ224" t="s">
        <v>1155</v>
      </c>
      <c r="CA224" t="s">
        <v>991</v>
      </c>
      <c r="CB224" t="b">
        <v>1</v>
      </c>
      <c r="CC224" t="b">
        <v>1</v>
      </c>
      <c r="CD224" t="b">
        <v>1</v>
      </c>
      <c r="CE224" t="b">
        <v>1</v>
      </c>
      <c r="CF224" t="b">
        <v>1</v>
      </c>
    </row>
    <row r="225" spans="1:84" x14ac:dyDescent="0.3">
      <c r="A225" t="s">
        <v>1658</v>
      </c>
      <c r="B225" t="s">
        <v>1251</v>
      </c>
      <c r="C225" s="98">
        <v>45824</v>
      </c>
      <c r="D225">
        <v>2025</v>
      </c>
      <c r="E225">
        <v>6</v>
      </c>
      <c r="F225">
        <v>2</v>
      </c>
      <c r="G225" t="s">
        <v>1243</v>
      </c>
      <c r="H225" t="s">
        <v>127</v>
      </c>
      <c r="I225" t="s">
        <v>127</v>
      </c>
      <c r="J225" t="s">
        <v>6</v>
      </c>
      <c r="L225">
        <v>522611</v>
      </c>
      <c r="M225" s="99" t="s">
        <v>180</v>
      </c>
      <c r="N225">
        <v>3</v>
      </c>
      <c r="O225">
        <v>24</v>
      </c>
      <c r="P225">
        <v>15.6067</v>
      </c>
      <c r="Q225" t="s">
        <v>352</v>
      </c>
      <c r="R225">
        <v>1</v>
      </c>
      <c r="S225">
        <v>15.5655</v>
      </c>
      <c r="T225">
        <v>8.14E-2</v>
      </c>
      <c r="U225">
        <v>0.506142506142505</v>
      </c>
      <c r="V225">
        <v>15.321300000000001</v>
      </c>
      <c r="W225">
        <v>15.402699999999999</v>
      </c>
      <c r="X225">
        <v>15.4841</v>
      </c>
      <c r="Y225">
        <v>15.6469</v>
      </c>
      <c r="Z225">
        <v>15.728300000000001</v>
      </c>
      <c r="AA225">
        <v>15.809699999999999</v>
      </c>
      <c r="AD225">
        <v>4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 t="s">
        <v>462</v>
      </c>
      <c r="AL225" t="s">
        <v>6</v>
      </c>
      <c r="AM225" t="s">
        <v>1145</v>
      </c>
      <c r="AN225" t="s">
        <v>1146</v>
      </c>
      <c r="AO225" s="100">
        <v>46262.040405092594</v>
      </c>
      <c r="AP225" t="s">
        <v>1147</v>
      </c>
      <c r="AQ225" t="s">
        <v>1659</v>
      </c>
      <c r="AR225" t="s">
        <v>1253</v>
      </c>
      <c r="AS225" t="s">
        <v>1150</v>
      </c>
      <c r="AT225" t="s">
        <v>1512</v>
      </c>
      <c r="AU225">
        <v>25</v>
      </c>
      <c r="AV225">
        <v>15.54524</v>
      </c>
      <c r="AW225">
        <v>8.8394235294691773E-2</v>
      </c>
      <c r="AX225">
        <v>0.56862573556080043</v>
      </c>
      <c r="AY225">
        <v>1.3496428095512332</v>
      </c>
      <c r="AZ225">
        <v>2.2878752732265539</v>
      </c>
      <c r="BA225">
        <v>4.6609870512365807</v>
      </c>
      <c r="BB225" s="97" t="s">
        <v>161</v>
      </c>
      <c r="BD225" s="98"/>
      <c r="BE225" s="98"/>
      <c r="BF225" t="s">
        <v>1152</v>
      </c>
      <c r="BG225" t="s">
        <v>322</v>
      </c>
      <c r="BH225" t="s">
        <v>1153</v>
      </c>
      <c r="BI225">
        <v>1.3496428095512332</v>
      </c>
      <c r="BJ225" t="s">
        <v>989</v>
      </c>
      <c r="BK225">
        <v>1.7121247267734461</v>
      </c>
      <c r="BL225">
        <v>42.803118169336152</v>
      </c>
      <c r="BM225" t="s">
        <v>1260</v>
      </c>
      <c r="BN225" t="s">
        <v>1154</v>
      </c>
      <c r="BO225">
        <v>2025</v>
      </c>
      <c r="BP225" t="s">
        <v>966</v>
      </c>
      <c r="BQ225">
        <v>69257.0271489078</v>
      </c>
      <c r="BR225">
        <v>93.074297285109225</v>
      </c>
      <c r="BS225" t="s">
        <v>992</v>
      </c>
      <c r="BV225" t="s">
        <v>1034</v>
      </c>
      <c r="BW225" t="s">
        <v>943</v>
      </c>
      <c r="BX225" t="s">
        <v>994</v>
      </c>
      <c r="BY225">
        <v>2.981347284779206</v>
      </c>
      <c r="BZ225" t="s">
        <v>1155</v>
      </c>
      <c r="CA225" t="s">
        <v>991</v>
      </c>
      <c r="CB225" t="b">
        <v>1</v>
      </c>
      <c r="CC225" t="b">
        <v>1</v>
      </c>
      <c r="CD225" t="b">
        <v>1</v>
      </c>
      <c r="CE225" t="b">
        <v>1</v>
      </c>
      <c r="CF225" t="b">
        <v>1</v>
      </c>
    </row>
    <row r="226" spans="1:84" x14ac:dyDescent="0.3">
      <c r="A226" t="s">
        <v>1660</v>
      </c>
      <c r="B226" t="s">
        <v>1255</v>
      </c>
      <c r="C226" s="98">
        <v>45831</v>
      </c>
      <c r="D226">
        <v>2025</v>
      </c>
      <c r="E226">
        <v>6</v>
      </c>
      <c r="F226">
        <v>2</v>
      </c>
      <c r="G226" t="s">
        <v>1243</v>
      </c>
      <c r="H226" t="s">
        <v>127</v>
      </c>
      <c r="I226" t="s">
        <v>127</v>
      </c>
      <c r="J226" t="s">
        <v>6</v>
      </c>
      <c r="L226">
        <v>522611</v>
      </c>
      <c r="M226" s="99" t="s">
        <v>180</v>
      </c>
      <c r="N226">
        <v>3</v>
      </c>
      <c r="O226">
        <v>25</v>
      </c>
      <c r="P226">
        <v>15.560499999999999</v>
      </c>
      <c r="Q226" t="s">
        <v>352</v>
      </c>
      <c r="R226">
        <v>1</v>
      </c>
      <c r="S226">
        <v>15.5655</v>
      </c>
      <c r="T226">
        <v>8.14E-2</v>
      </c>
      <c r="U226">
        <v>-6.142506142507103E-2</v>
      </c>
      <c r="V226">
        <v>15.321300000000001</v>
      </c>
      <c r="W226">
        <v>15.402699999999999</v>
      </c>
      <c r="X226">
        <v>15.4841</v>
      </c>
      <c r="Y226">
        <v>15.6469</v>
      </c>
      <c r="Z226">
        <v>15.728300000000001</v>
      </c>
      <c r="AA226">
        <v>15.809699999999999</v>
      </c>
      <c r="AD226">
        <v>4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 t="s">
        <v>462</v>
      </c>
      <c r="AL226" t="s">
        <v>6</v>
      </c>
      <c r="AM226" t="s">
        <v>1145</v>
      </c>
      <c r="AN226" t="s">
        <v>1146</v>
      </c>
      <c r="AO226" s="100">
        <v>46262.040405092594</v>
      </c>
      <c r="AP226" t="s">
        <v>1147</v>
      </c>
      <c r="AQ226" t="s">
        <v>1661</v>
      </c>
      <c r="AR226" t="s">
        <v>1257</v>
      </c>
      <c r="AS226" t="s">
        <v>1150</v>
      </c>
      <c r="AT226" t="s">
        <v>1512</v>
      </c>
      <c r="AU226">
        <v>25</v>
      </c>
      <c r="AV226">
        <v>15.54524</v>
      </c>
      <c r="AW226">
        <v>8.8394235294691773E-2</v>
      </c>
      <c r="AX226">
        <v>0.56862573556080043</v>
      </c>
      <c r="AY226">
        <v>1.3496428095512332</v>
      </c>
      <c r="AZ226">
        <v>2.2878752732265539</v>
      </c>
      <c r="BA226">
        <v>4.6609870512365807</v>
      </c>
      <c r="BB226" s="97" t="s">
        <v>161</v>
      </c>
      <c r="BD226" s="98"/>
      <c r="BE226" s="98"/>
      <c r="BF226" t="s">
        <v>1152</v>
      </c>
      <c r="BG226" t="s">
        <v>322</v>
      </c>
      <c r="BH226" t="s">
        <v>1153</v>
      </c>
      <c r="BI226">
        <v>1.3496428095512332</v>
      </c>
      <c r="BJ226" t="s">
        <v>989</v>
      </c>
      <c r="BK226">
        <v>1.7121247267734461</v>
      </c>
      <c r="BL226">
        <v>42.803118169336152</v>
      </c>
      <c r="BM226" t="s">
        <v>1260</v>
      </c>
      <c r="BN226" t="s">
        <v>1154</v>
      </c>
      <c r="BO226">
        <v>2025</v>
      </c>
      <c r="BP226" t="s">
        <v>966</v>
      </c>
      <c r="BQ226">
        <v>69257.0271489078</v>
      </c>
      <c r="BR226">
        <v>93.074297285109225</v>
      </c>
      <c r="BS226" t="s">
        <v>992</v>
      </c>
      <c r="BV226" t="s">
        <v>1034</v>
      </c>
      <c r="BW226" t="s">
        <v>943</v>
      </c>
      <c r="BX226" t="s">
        <v>994</v>
      </c>
      <c r="BY226">
        <v>2.981347284779206</v>
      </c>
      <c r="BZ226" t="s">
        <v>1155</v>
      </c>
      <c r="CA226" t="s">
        <v>991</v>
      </c>
      <c r="CB226" t="b">
        <v>1</v>
      </c>
      <c r="CC226" t="b">
        <v>1</v>
      </c>
      <c r="CD226" t="b">
        <v>1</v>
      </c>
      <c r="CE226" t="b">
        <v>1</v>
      </c>
      <c r="CF226" t="b">
        <v>1</v>
      </c>
    </row>
    <row r="227" spans="1:84" x14ac:dyDescent="0.3">
      <c r="A227" t="s">
        <v>1662</v>
      </c>
      <c r="B227" t="s">
        <v>1143</v>
      </c>
      <c r="C227" s="98">
        <v>45663</v>
      </c>
      <c r="D227">
        <v>2025</v>
      </c>
      <c r="E227">
        <v>1</v>
      </c>
      <c r="F227">
        <v>1</v>
      </c>
      <c r="G227" t="s">
        <v>1144</v>
      </c>
      <c r="H227" t="s">
        <v>128</v>
      </c>
      <c r="I227" t="s">
        <v>128</v>
      </c>
      <c r="J227" t="s">
        <v>6</v>
      </c>
      <c r="L227">
        <v>522611</v>
      </c>
      <c r="M227" s="99" t="s">
        <v>178</v>
      </c>
      <c r="N227">
        <v>1</v>
      </c>
      <c r="O227">
        <v>1</v>
      </c>
      <c r="P227">
        <v>16.760400000000001</v>
      </c>
      <c r="Q227" t="s">
        <v>352</v>
      </c>
      <c r="R227">
        <v>1</v>
      </c>
      <c r="S227">
        <v>16.634499999999999</v>
      </c>
      <c r="T227">
        <v>0.30969999999999998</v>
      </c>
      <c r="U227">
        <v>0.40652244107200991</v>
      </c>
      <c r="V227">
        <v>15.705399999999999</v>
      </c>
      <c r="W227">
        <v>16.0151</v>
      </c>
      <c r="X227">
        <v>16.3248</v>
      </c>
      <c r="Y227">
        <v>16.944199999999999</v>
      </c>
      <c r="Z227">
        <v>17.253899999999998</v>
      </c>
      <c r="AA227">
        <v>17.563599999999997</v>
      </c>
      <c r="AD227">
        <v>4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 t="s">
        <v>462</v>
      </c>
      <c r="AL227" t="s">
        <v>6</v>
      </c>
      <c r="AM227" t="s">
        <v>1145</v>
      </c>
      <c r="AN227" t="s">
        <v>1146</v>
      </c>
      <c r="AO227" s="100">
        <v>46262.040405092594</v>
      </c>
      <c r="AP227" t="s">
        <v>1147</v>
      </c>
      <c r="AQ227" t="s">
        <v>1663</v>
      </c>
      <c r="AR227" t="s">
        <v>1149</v>
      </c>
      <c r="AS227" t="s">
        <v>1150</v>
      </c>
      <c r="AT227" t="s">
        <v>1664</v>
      </c>
      <c r="AU227">
        <v>25</v>
      </c>
      <c r="AV227">
        <v>16.550387999999998</v>
      </c>
      <c r="AW227">
        <v>0.30147793634029046</v>
      </c>
      <c r="AX227">
        <v>1.8215762454650035</v>
      </c>
      <c r="AY227">
        <v>0.3235385109073674</v>
      </c>
      <c r="AZ227">
        <v>3.329139315924623</v>
      </c>
      <c r="BA227">
        <v>2.0182858105695831</v>
      </c>
      <c r="BB227" s="97" t="s">
        <v>161</v>
      </c>
      <c r="BD227" s="98"/>
      <c r="BE227" s="98"/>
      <c r="BF227" t="s">
        <v>1152</v>
      </c>
      <c r="BG227" t="s">
        <v>322</v>
      </c>
      <c r="BH227" t="s">
        <v>1153</v>
      </c>
      <c r="BI227">
        <v>0.3235385109073674</v>
      </c>
      <c r="BJ227" t="s">
        <v>991</v>
      </c>
      <c r="BK227">
        <v>0.67086068407537702</v>
      </c>
      <c r="BL227">
        <v>16.771517101884427</v>
      </c>
      <c r="BM227" t="s">
        <v>1260</v>
      </c>
      <c r="BN227" t="s">
        <v>1154</v>
      </c>
      <c r="BO227">
        <v>2025</v>
      </c>
      <c r="BP227" t="s">
        <v>966</v>
      </c>
      <c r="BQ227">
        <v>302129.4357621033</v>
      </c>
      <c r="BR227">
        <v>69.787056423789664</v>
      </c>
      <c r="BS227" t="s">
        <v>992</v>
      </c>
      <c r="BV227" t="s">
        <v>1034</v>
      </c>
      <c r="BW227" t="s">
        <v>943</v>
      </c>
      <c r="BX227" t="s">
        <v>994</v>
      </c>
      <c r="BY227">
        <v>2.0182858105695831</v>
      </c>
      <c r="BZ227" t="s">
        <v>1155</v>
      </c>
      <c r="CA227" t="s">
        <v>991</v>
      </c>
      <c r="CB227" t="b">
        <v>1</v>
      </c>
      <c r="CC227" t="b">
        <v>1</v>
      </c>
      <c r="CD227" t="b">
        <v>1</v>
      </c>
      <c r="CE227" t="b">
        <v>1</v>
      </c>
      <c r="CF227" t="b">
        <v>1</v>
      </c>
    </row>
    <row r="228" spans="1:84" x14ac:dyDescent="0.3">
      <c r="A228" t="s">
        <v>1665</v>
      </c>
      <c r="B228" t="s">
        <v>1157</v>
      </c>
      <c r="C228" s="98">
        <v>45670</v>
      </c>
      <c r="D228">
        <v>2025</v>
      </c>
      <c r="E228">
        <v>1</v>
      </c>
      <c r="F228">
        <v>1</v>
      </c>
      <c r="G228" t="s">
        <v>1144</v>
      </c>
      <c r="H228" t="s">
        <v>128</v>
      </c>
      <c r="I228" t="s">
        <v>128</v>
      </c>
      <c r="J228" t="s">
        <v>6</v>
      </c>
      <c r="L228">
        <v>522611</v>
      </c>
      <c r="M228" s="99" t="s">
        <v>178</v>
      </c>
      <c r="N228">
        <v>1</v>
      </c>
      <c r="O228">
        <v>2</v>
      </c>
      <c r="P228">
        <v>16.328099999999999</v>
      </c>
      <c r="Q228" t="s">
        <v>352</v>
      </c>
      <c r="R228">
        <v>1</v>
      </c>
      <c r="S228">
        <v>16.634499999999999</v>
      </c>
      <c r="T228">
        <v>0.30969999999999998</v>
      </c>
      <c r="U228">
        <v>-0.98934452696157582</v>
      </c>
      <c r="V228">
        <v>15.705399999999999</v>
      </c>
      <c r="W228">
        <v>16.0151</v>
      </c>
      <c r="X228">
        <v>16.3248</v>
      </c>
      <c r="Y228">
        <v>16.944199999999999</v>
      </c>
      <c r="Z228">
        <v>17.253899999999998</v>
      </c>
      <c r="AA228">
        <v>17.563599999999997</v>
      </c>
      <c r="AD228">
        <v>4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 t="s">
        <v>462</v>
      </c>
      <c r="AL228" t="s">
        <v>6</v>
      </c>
      <c r="AM228" t="s">
        <v>1145</v>
      </c>
      <c r="AN228" t="s">
        <v>1146</v>
      </c>
      <c r="AO228" s="100">
        <v>46262.040405092594</v>
      </c>
      <c r="AP228" t="s">
        <v>1147</v>
      </c>
      <c r="AQ228" t="s">
        <v>1666</v>
      </c>
      <c r="AR228" t="s">
        <v>1159</v>
      </c>
      <c r="AS228" t="s">
        <v>1150</v>
      </c>
      <c r="AT228" t="s">
        <v>1664</v>
      </c>
      <c r="AU228">
        <v>25</v>
      </c>
      <c r="AV228">
        <v>16.550387999999998</v>
      </c>
      <c r="AW228">
        <v>0.30147793634029046</v>
      </c>
      <c r="AX228">
        <v>1.8215762454650035</v>
      </c>
      <c r="AY228">
        <v>0.3235385109073674</v>
      </c>
      <c r="AZ228">
        <v>3.329139315924623</v>
      </c>
      <c r="BA228">
        <v>2.0182858105695831</v>
      </c>
      <c r="BB228" s="97" t="s">
        <v>161</v>
      </c>
      <c r="BD228" s="98"/>
      <c r="BE228" s="98"/>
      <c r="BF228" t="s">
        <v>1152</v>
      </c>
      <c r="BG228" t="s">
        <v>322</v>
      </c>
      <c r="BH228" t="s">
        <v>1153</v>
      </c>
      <c r="BI228">
        <v>0.3235385109073674</v>
      </c>
      <c r="BJ228" t="s">
        <v>991</v>
      </c>
      <c r="BK228">
        <v>0.67086068407537702</v>
      </c>
      <c r="BL228">
        <v>16.771517101884427</v>
      </c>
      <c r="BM228" t="s">
        <v>1260</v>
      </c>
      <c r="BN228" t="s">
        <v>1154</v>
      </c>
      <c r="BO228">
        <v>2025</v>
      </c>
      <c r="BP228" t="s">
        <v>966</v>
      </c>
      <c r="BQ228">
        <v>302129.4357621033</v>
      </c>
      <c r="BR228">
        <v>69.787056423789664</v>
      </c>
      <c r="BS228" t="s">
        <v>992</v>
      </c>
      <c r="BV228" t="s">
        <v>1034</v>
      </c>
      <c r="BW228" t="s">
        <v>943</v>
      </c>
      <c r="BX228" t="s">
        <v>994</v>
      </c>
      <c r="BY228">
        <v>2.0182858105695831</v>
      </c>
      <c r="BZ228" t="s">
        <v>1155</v>
      </c>
      <c r="CA228" t="s">
        <v>991</v>
      </c>
      <c r="CB228" t="b">
        <v>1</v>
      </c>
      <c r="CC228" t="b">
        <v>1</v>
      </c>
      <c r="CD228" t="b">
        <v>1</v>
      </c>
      <c r="CE228" t="b">
        <v>1</v>
      </c>
      <c r="CF228" t="b">
        <v>1</v>
      </c>
    </row>
    <row r="229" spans="1:84" x14ac:dyDescent="0.3">
      <c r="A229" t="s">
        <v>1667</v>
      </c>
      <c r="B229" t="s">
        <v>1161</v>
      </c>
      <c r="C229" s="98">
        <v>45677</v>
      </c>
      <c r="D229">
        <v>2025</v>
      </c>
      <c r="E229">
        <v>1</v>
      </c>
      <c r="F229">
        <v>1</v>
      </c>
      <c r="G229" t="s">
        <v>1144</v>
      </c>
      <c r="H229" t="s">
        <v>128</v>
      </c>
      <c r="I229" t="s">
        <v>128</v>
      </c>
      <c r="J229" t="s">
        <v>6</v>
      </c>
      <c r="L229">
        <v>522611</v>
      </c>
      <c r="M229" s="99" t="s">
        <v>178</v>
      </c>
      <c r="N229">
        <v>1</v>
      </c>
      <c r="O229">
        <v>3</v>
      </c>
      <c r="P229">
        <v>16.430700000000002</v>
      </c>
      <c r="Q229" t="s">
        <v>352</v>
      </c>
      <c r="R229">
        <v>1</v>
      </c>
      <c r="S229">
        <v>16.634499999999999</v>
      </c>
      <c r="T229">
        <v>0.30969999999999998</v>
      </c>
      <c r="U229">
        <v>-0.65805618340328564</v>
      </c>
      <c r="V229">
        <v>15.705399999999999</v>
      </c>
      <c r="W229">
        <v>16.0151</v>
      </c>
      <c r="X229">
        <v>16.3248</v>
      </c>
      <c r="Y229">
        <v>16.944199999999999</v>
      </c>
      <c r="Z229">
        <v>17.253899999999998</v>
      </c>
      <c r="AA229">
        <v>17.563599999999997</v>
      </c>
      <c r="AD229">
        <v>4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 t="s">
        <v>462</v>
      </c>
      <c r="AL229" t="s">
        <v>6</v>
      </c>
      <c r="AM229" t="s">
        <v>1145</v>
      </c>
      <c r="AN229" t="s">
        <v>1146</v>
      </c>
      <c r="AO229" s="100">
        <v>46262.040405092594</v>
      </c>
      <c r="AP229" t="s">
        <v>1147</v>
      </c>
      <c r="AQ229" t="s">
        <v>1668</v>
      </c>
      <c r="AR229" t="s">
        <v>1163</v>
      </c>
      <c r="AS229" t="s">
        <v>1150</v>
      </c>
      <c r="AT229" t="s">
        <v>1664</v>
      </c>
      <c r="AU229">
        <v>25</v>
      </c>
      <c r="AV229">
        <v>16.550387999999998</v>
      </c>
      <c r="AW229">
        <v>0.30147793634029046</v>
      </c>
      <c r="AX229">
        <v>1.8215762454650035</v>
      </c>
      <c r="AY229">
        <v>0.3235385109073674</v>
      </c>
      <c r="AZ229">
        <v>3.329139315924623</v>
      </c>
      <c r="BA229">
        <v>2.0182858105695831</v>
      </c>
      <c r="BB229" s="97" t="s">
        <v>161</v>
      </c>
      <c r="BD229" s="98"/>
      <c r="BE229" s="98"/>
      <c r="BF229" t="s">
        <v>1152</v>
      </c>
      <c r="BG229" t="s">
        <v>322</v>
      </c>
      <c r="BH229" t="s">
        <v>1153</v>
      </c>
      <c r="BI229">
        <v>0.3235385109073674</v>
      </c>
      <c r="BJ229" t="s">
        <v>991</v>
      </c>
      <c r="BK229">
        <v>0.67086068407537702</v>
      </c>
      <c r="BL229">
        <v>16.771517101884427</v>
      </c>
      <c r="BM229" t="s">
        <v>1260</v>
      </c>
      <c r="BN229" t="s">
        <v>1154</v>
      </c>
      <c r="BO229">
        <v>2025</v>
      </c>
      <c r="BP229" t="s">
        <v>966</v>
      </c>
      <c r="BQ229">
        <v>302129.4357621033</v>
      </c>
      <c r="BR229">
        <v>69.787056423789664</v>
      </c>
      <c r="BS229" t="s">
        <v>992</v>
      </c>
      <c r="BV229" t="s">
        <v>1034</v>
      </c>
      <c r="BW229" t="s">
        <v>943</v>
      </c>
      <c r="BX229" t="s">
        <v>994</v>
      </c>
      <c r="BY229">
        <v>2.0182858105695831</v>
      </c>
      <c r="BZ229" t="s">
        <v>1155</v>
      </c>
      <c r="CA229" t="s">
        <v>991</v>
      </c>
      <c r="CB229" t="b">
        <v>1</v>
      </c>
      <c r="CC229" t="b">
        <v>1</v>
      </c>
      <c r="CD229" t="b">
        <v>1</v>
      </c>
      <c r="CE229" t="b">
        <v>1</v>
      </c>
      <c r="CF229" t="b">
        <v>1</v>
      </c>
    </row>
    <row r="230" spans="1:84" x14ac:dyDescent="0.3">
      <c r="A230" t="s">
        <v>1669</v>
      </c>
      <c r="B230" t="s">
        <v>1165</v>
      </c>
      <c r="C230" s="98">
        <v>45684</v>
      </c>
      <c r="D230">
        <v>2025</v>
      </c>
      <c r="E230">
        <v>1</v>
      </c>
      <c r="F230">
        <v>1</v>
      </c>
      <c r="G230" t="s">
        <v>1144</v>
      </c>
      <c r="H230" t="s">
        <v>128</v>
      </c>
      <c r="I230" t="s">
        <v>128</v>
      </c>
      <c r="J230" t="s">
        <v>6</v>
      </c>
      <c r="L230">
        <v>522611</v>
      </c>
      <c r="M230" s="99" t="s">
        <v>178</v>
      </c>
      <c r="N230">
        <v>1</v>
      </c>
      <c r="O230">
        <v>4</v>
      </c>
      <c r="P230">
        <v>16.325099999999999</v>
      </c>
      <c r="Q230" t="s">
        <v>352</v>
      </c>
      <c r="R230">
        <v>1</v>
      </c>
      <c r="S230">
        <v>16.634499999999999</v>
      </c>
      <c r="T230">
        <v>0.30969999999999998</v>
      </c>
      <c r="U230">
        <v>-0.99903132063287103</v>
      </c>
      <c r="V230">
        <v>15.705399999999999</v>
      </c>
      <c r="W230">
        <v>16.0151</v>
      </c>
      <c r="X230">
        <v>16.3248</v>
      </c>
      <c r="Y230">
        <v>16.944199999999999</v>
      </c>
      <c r="Z230">
        <v>17.253899999999998</v>
      </c>
      <c r="AA230">
        <v>17.563599999999997</v>
      </c>
      <c r="AD230">
        <v>4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 t="s">
        <v>462</v>
      </c>
      <c r="AL230" t="s">
        <v>6</v>
      </c>
      <c r="AM230" t="s">
        <v>1145</v>
      </c>
      <c r="AN230" t="s">
        <v>1146</v>
      </c>
      <c r="AO230" s="100">
        <v>46262.040405092594</v>
      </c>
      <c r="AP230" t="s">
        <v>1147</v>
      </c>
      <c r="AQ230" t="s">
        <v>1670</v>
      </c>
      <c r="AR230" t="s">
        <v>1167</v>
      </c>
      <c r="AS230" t="s">
        <v>1150</v>
      </c>
      <c r="AT230" t="s">
        <v>1664</v>
      </c>
      <c r="AU230">
        <v>25</v>
      </c>
      <c r="AV230">
        <v>16.550387999999998</v>
      </c>
      <c r="AW230">
        <v>0.30147793634029046</v>
      </c>
      <c r="AX230">
        <v>1.8215762454650035</v>
      </c>
      <c r="AY230">
        <v>0.3235385109073674</v>
      </c>
      <c r="AZ230">
        <v>3.329139315924623</v>
      </c>
      <c r="BA230">
        <v>2.0182858105695831</v>
      </c>
      <c r="BB230" s="97" t="s">
        <v>161</v>
      </c>
      <c r="BD230" s="98"/>
      <c r="BE230" s="98"/>
      <c r="BF230" t="s">
        <v>1152</v>
      </c>
      <c r="BG230" t="s">
        <v>322</v>
      </c>
      <c r="BH230" t="s">
        <v>1153</v>
      </c>
      <c r="BI230">
        <v>0.3235385109073674</v>
      </c>
      <c r="BJ230" t="s">
        <v>991</v>
      </c>
      <c r="BK230">
        <v>0.67086068407537702</v>
      </c>
      <c r="BL230">
        <v>16.771517101884427</v>
      </c>
      <c r="BM230" t="s">
        <v>1260</v>
      </c>
      <c r="BN230" t="s">
        <v>1154</v>
      </c>
      <c r="BO230">
        <v>2025</v>
      </c>
      <c r="BP230" t="s">
        <v>966</v>
      </c>
      <c r="BQ230">
        <v>302129.4357621033</v>
      </c>
      <c r="BR230">
        <v>69.787056423789664</v>
      </c>
      <c r="BS230" t="s">
        <v>992</v>
      </c>
      <c r="BV230" t="s">
        <v>1034</v>
      </c>
      <c r="BW230" t="s">
        <v>943</v>
      </c>
      <c r="BX230" t="s">
        <v>994</v>
      </c>
      <c r="BY230">
        <v>2.0182858105695831</v>
      </c>
      <c r="BZ230" t="s">
        <v>1155</v>
      </c>
      <c r="CA230" t="s">
        <v>991</v>
      </c>
      <c r="CB230" t="b">
        <v>1</v>
      </c>
      <c r="CC230" t="b">
        <v>1</v>
      </c>
      <c r="CD230" t="b">
        <v>1</v>
      </c>
      <c r="CE230" t="b">
        <v>1</v>
      </c>
      <c r="CF230" t="b">
        <v>1</v>
      </c>
    </row>
    <row r="231" spans="1:84" x14ac:dyDescent="0.3">
      <c r="A231" t="s">
        <v>1671</v>
      </c>
      <c r="B231" t="s">
        <v>1169</v>
      </c>
      <c r="C231" s="98">
        <v>45691</v>
      </c>
      <c r="D231">
        <v>2025</v>
      </c>
      <c r="E231">
        <v>2</v>
      </c>
      <c r="F231">
        <v>1</v>
      </c>
      <c r="G231" t="s">
        <v>1170</v>
      </c>
      <c r="H231" t="s">
        <v>128</v>
      </c>
      <c r="I231" t="s">
        <v>128</v>
      </c>
      <c r="J231" t="s">
        <v>6</v>
      </c>
      <c r="L231">
        <v>522611</v>
      </c>
      <c r="M231" s="99" t="s">
        <v>178</v>
      </c>
      <c r="N231">
        <v>1</v>
      </c>
      <c r="O231">
        <v>5</v>
      </c>
      <c r="P231">
        <v>16.3599</v>
      </c>
      <c r="Q231" t="s">
        <v>352</v>
      </c>
      <c r="R231">
        <v>1</v>
      </c>
      <c r="S231">
        <v>16.634499999999999</v>
      </c>
      <c r="T231">
        <v>0.30969999999999998</v>
      </c>
      <c r="U231">
        <v>-0.88666451404584934</v>
      </c>
      <c r="V231">
        <v>15.705399999999999</v>
      </c>
      <c r="W231">
        <v>16.0151</v>
      </c>
      <c r="X231">
        <v>16.3248</v>
      </c>
      <c r="Y231">
        <v>16.944199999999999</v>
      </c>
      <c r="Z231">
        <v>17.253899999999998</v>
      </c>
      <c r="AA231">
        <v>17.563599999999997</v>
      </c>
      <c r="AD231">
        <v>4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 t="s">
        <v>462</v>
      </c>
      <c r="AL231" t="s">
        <v>6</v>
      </c>
      <c r="AM231" t="s">
        <v>1145</v>
      </c>
      <c r="AN231" t="s">
        <v>1146</v>
      </c>
      <c r="AO231" s="100">
        <v>46262.040405092594</v>
      </c>
      <c r="AP231" t="s">
        <v>1147</v>
      </c>
      <c r="AQ231" t="s">
        <v>1672</v>
      </c>
      <c r="AR231" t="s">
        <v>1172</v>
      </c>
      <c r="AS231" t="s">
        <v>1150</v>
      </c>
      <c r="AT231" t="s">
        <v>1664</v>
      </c>
      <c r="AU231">
        <v>25</v>
      </c>
      <c r="AV231">
        <v>16.550387999999998</v>
      </c>
      <c r="AW231">
        <v>0.30147793634029046</v>
      </c>
      <c r="AX231">
        <v>1.8215762454650035</v>
      </c>
      <c r="AY231">
        <v>0.3235385109073674</v>
      </c>
      <c r="AZ231">
        <v>3.329139315924623</v>
      </c>
      <c r="BA231">
        <v>2.0182858105695831</v>
      </c>
      <c r="BB231" s="97" t="s">
        <v>161</v>
      </c>
      <c r="BD231" s="98"/>
      <c r="BE231" s="98"/>
      <c r="BF231" t="s">
        <v>1152</v>
      </c>
      <c r="BG231" t="s">
        <v>322</v>
      </c>
      <c r="BH231" t="s">
        <v>1153</v>
      </c>
      <c r="BI231">
        <v>0.3235385109073674</v>
      </c>
      <c r="BJ231" t="s">
        <v>991</v>
      </c>
      <c r="BK231">
        <v>0.67086068407537702</v>
      </c>
      <c r="BL231">
        <v>16.771517101884427</v>
      </c>
      <c r="BM231" t="s">
        <v>1260</v>
      </c>
      <c r="BN231" t="s">
        <v>1154</v>
      </c>
      <c r="BO231">
        <v>2025</v>
      </c>
      <c r="BP231" t="s">
        <v>966</v>
      </c>
      <c r="BQ231">
        <v>302129.4357621033</v>
      </c>
      <c r="BR231">
        <v>69.787056423789664</v>
      </c>
      <c r="BS231" t="s">
        <v>992</v>
      </c>
      <c r="BV231" t="s">
        <v>1034</v>
      </c>
      <c r="BW231" t="s">
        <v>943</v>
      </c>
      <c r="BX231" t="s">
        <v>994</v>
      </c>
      <c r="BY231">
        <v>2.0182858105695831</v>
      </c>
      <c r="BZ231" t="s">
        <v>1155</v>
      </c>
      <c r="CA231" t="s">
        <v>991</v>
      </c>
      <c r="CB231" t="b">
        <v>1</v>
      </c>
      <c r="CC231" t="b">
        <v>1</v>
      </c>
      <c r="CD231" t="b">
        <v>1</v>
      </c>
      <c r="CE231" t="b">
        <v>1</v>
      </c>
      <c r="CF231" t="b">
        <v>1</v>
      </c>
    </row>
    <row r="232" spans="1:84" x14ac:dyDescent="0.3">
      <c r="A232" t="s">
        <v>1673</v>
      </c>
      <c r="B232" t="s">
        <v>1174</v>
      </c>
      <c r="C232" s="98">
        <v>45698</v>
      </c>
      <c r="D232">
        <v>2025</v>
      </c>
      <c r="E232">
        <v>2</v>
      </c>
      <c r="F232">
        <v>1</v>
      </c>
      <c r="G232" t="s">
        <v>1170</v>
      </c>
      <c r="H232" t="s">
        <v>128</v>
      </c>
      <c r="I232" t="s">
        <v>128</v>
      </c>
      <c r="J232" t="s">
        <v>6</v>
      </c>
      <c r="L232">
        <v>522611</v>
      </c>
      <c r="M232" s="99" t="s">
        <v>178</v>
      </c>
      <c r="N232">
        <v>1</v>
      </c>
      <c r="O232">
        <v>6</v>
      </c>
      <c r="P232">
        <v>16.695</v>
      </c>
      <c r="Q232" t="s">
        <v>352</v>
      </c>
      <c r="R232">
        <v>1</v>
      </c>
      <c r="S232">
        <v>16.634499999999999</v>
      </c>
      <c r="T232">
        <v>0.30969999999999998</v>
      </c>
      <c r="U232">
        <v>0.19535033903778209</v>
      </c>
      <c r="V232">
        <v>15.705399999999999</v>
      </c>
      <c r="W232">
        <v>16.0151</v>
      </c>
      <c r="X232">
        <v>16.3248</v>
      </c>
      <c r="Y232">
        <v>16.944199999999999</v>
      </c>
      <c r="Z232">
        <v>17.253899999999998</v>
      </c>
      <c r="AA232">
        <v>17.563599999999997</v>
      </c>
      <c r="AD232">
        <v>4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 t="s">
        <v>462</v>
      </c>
      <c r="AL232" t="s">
        <v>6</v>
      </c>
      <c r="AM232" t="s">
        <v>1145</v>
      </c>
      <c r="AN232" t="s">
        <v>1146</v>
      </c>
      <c r="AO232" s="100">
        <v>46262.040405092594</v>
      </c>
      <c r="AP232" t="s">
        <v>1147</v>
      </c>
      <c r="AQ232" t="s">
        <v>1674</v>
      </c>
      <c r="AR232" t="s">
        <v>1176</v>
      </c>
      <c r="AS232" t="s">
        <v>1150</v>
      </c>
      <c r="AT232" t="s">
        <v>1664</v>
      </c>
      <c r="AU232">
        <v>25</v>
      </c>
      <c r="AV232">
        <v>16.550387999999998</v>
      </c>
      <c r="AW232">
        <v>0.30147793634029046</v>
      </c>
      <c r="AX232">
        <v>1.8215762454650035</v>
      </c>
      <c r="AY232">
        <v>0.3235385109073674</v>
      </c>
      <c r="AZ232">
        <v>3.329139315924623</v>
      </c>
      <c r="BA232">
        <v>2.0182858105695831</v>
      </c>
      <c r="BB232" s="97" t="s">
        <v>161</v>
      </c>
      <c r="BD232" s="98"/>
      <c r="BE232" s="98"/>
      <c r="BF232" t="s">
        <v>1152</v>
      </c>
      <c r="BG232" t="s">
        <v>322</v>
      </c>
      <c r="BH232" t="s">
        <v>1153</v>
      </c>
      <c r="BI232">
        <v>0.3235385109073674</v>
      </c>
      <c r="BJ232" t="s">
        <v>991</v>
      </c>
      <c r="BK232">
        <v>0.67086068407537702</v>
      </c>
      <c r="BL232">
        <v>16.771517101884427</v>
      </c>
      <c r="BM232" t="s">
        <v>1260</v>
      </c>
      <c r="BN232" t="s">
        <v>1154</v>
      </c>
      <c r="BO232">
        <v>2025</v>
      </c>
      <c r="BP232" t="s">
        <v>966</v>
      </c>
      <c r="BQ232">
        <v>302129.4357621033</v>
      </c>
      <c r="BR232">
        <v>69.787056423789664</v>
      </c>
      <c r="BS232" t="s">
        <v>992</v>
      </c>
      <c r="BV232" t="s">
        <v>1034</v>
      </c>
      <c r="BW232" t="s">
        <v>943</v>
      </c>
      <c r="BX232" t="s">
        <v>994</v>
      </c>
      <c r="BY232">
        <v>2.0182858105695831</v>
      </c>
      <c r="BZ232" t="s">
        <v>1155</v>
      </c>
      <c r="CA232" t="s">
        <v>991</v>
      </c>
      <c r="CB232" t="b">
        <v>1</v>
      </c>
      <c r="CC232" t="b">
        <v>1</v>
      </c>
      <c r="CD232" t="b">
        <v>1</v>
      </c>
      <c r="CE232" t="b">
        <v>1</v>
      </c>
      <c r="CF232" t="b">
        <v>1</v>
      </c>
    </row>
    <row r="233" spans="1:84" x14ac:dyDescent="0.3">
      <c r="A233" t="s">
        <v>1675</v>
      </c>
      <c r="B233" t="s">
        <v>1178</v>
      </c>
      <c r="C233" s="98">
        <v>45705</v>
      </c>
      <c r="D233">
        <v>2025</v>
      </c>
      <c r="E233">
        <v>2</v>
      </c>
      <c r="F233">
        <v>1</v>
      </c>
      <c r="G233" t="s">
        <v>1170</v>
      </c>
      <c r="H233" t="s">
        <v>128</v>
      </c>
      <c r="I233" t="s">
        <v>128</v>
      </c>
      <c r="J233" t="s">
        <v>6</v>
      </c>
      <c r="L233">
        <v>522611</v>
      </c>
      <c r="M233" s="99" t="s">
        <v>178</v>
      </c>
      <c r="N233">
        <v>1</v>
      </c>
      <c r="O233">
        <v>7</v>
      </c>
      <c r="P233">
        <v>16.391999999999999</v>
      </c>
      <c r="Q233" t="s">
        <v>352</v>
      </c>
      <c r="R233">
        <v>1</v>
      </c>
      <c r="S233">
        <v>16.634499999999999</v>
      </c>
      <c r="T233">
        <v>0.30969999999999998</v>
      </c>
      <c r="U233">
        <v>-0.78301582176299556</v>
      </c>
      <c r="V233">
        <v>15.705399999999999</v>
      </c>
      <c r="W233">
        <v>16.0151</v>
      </c>
      <c r="X233">
        <v>16.3248</v>
      </c>
      <c r="Y233">
        <v>16.944199999999999</v>
      </c>
      <c r="Z233">
        <v>17.253899999999998</v>
      </c>
      <c r="AA233">
        <v>17.563599999999997</v>
      </c>
      <c r="AD233">
        <v>4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 t="s">
        <v>462</v>
      </c>
      <c r="AL233" t="s">
        <v>6</v>
      </c>
      <c r="AM233" t="s">
        <v>1145</v>
      </c>
      <c r="AN233" t="s">
        <v>1146</v>
      </c>
      <c r="AO233" s="100">
        <v>46262.040405092594</v>
      </c>
      <c r="AP233" t="s">
        <v>1147</v>
      </c>
      <c r="AQ233" t="s">
        <v>1676</v>
      </c>
      <c r="AR233" t="s">
        <v>1180</v>
      </c>
      <c r="AS233" t="s">
        <v>1150</v>
      </c>
      <c r="AT233" t="s">
        <v>1664</v>
      </c>
      <c r="AU233">
        <v>25</v>
      </c>
      <c r="AV233">
        <v>16.550387999999998</v>
      </c>
      <c r="AW233">
        <v>0.30147793634029046</v>
      </c>
      <c r="AX233">
        <v>1.8215762454650035</v>
      </c>
      <c r="AY233">
        <v>0.3235385109073674</v>
      </c>
      <c r="AZ233">
        <v>3.329139315924623</v>
      </c>
      <c r="BA233">
        <v>2.0182858105695831</v>
      </c>
      <c r="BB233" s="97" t="s">
        <v>161</v>
      </c>
      <c r="BD233" s="98"/>
      <c r="BE233" s="98"/>
      <c r="BF233" t="s">
        <v>1152</v>
      </c>
      <c r="BG233" t="s">
        <v>322</v>
      </c>
      <c r="BH233" t="s">
        <v>1153</v>
      </c>
      <c r="BI233">
        <v>0.3235385109073674</v>
      </c>
      <c r="BJ233" t="s">
        <v>991</v>
      </c>
      <c r="BK233">
        <v>0.67086068407537702</v>
      </c>
      <c r="BL233">
        <v>16.771517101884427</v>
      </c>
      <c r="BM233" t="s">
        <v>1260</v>
      </c>
      <c r="BN233" t="s">
        <v>1154</v>
      </c>
      <c r="BO233">
        <v>2025</v>
      </c>
      <c r="BP233" t="s">
        <v>966</v>
      </c>
      <c r="BQ233">
        <v>302129.4357621033</v>
      </c>
      <c r="BR233">
        <v>69.787056423789664</v>
      </c>
      <c r="BS233" t="s">
        <v>992</v>
      </c>
      <c r="BV233" t="s">
        <v>1034</v>
      </c>
      <c r="BW233" t="s">
        <v>943</v>
      </c>
      <c r="BX233" t="s">
        <v>994</v>
      </c>
      <c r="BY233">
        <v>2.0182858105695831</v>
      </c>
      <c r="BZ233" t="s">
        <v>1155</v>
      </c>
      <c r="CA233" t="s">
        <v>991</v>
      </c>
      <c r="CB233" t="b">
        <v>1</v>
      </c>
      <c r="CC233" t="b">
        <v>1</v>
      </c>
      <c r="CD233" t="b">
        <v>1</v>
      </c>
      <c r="CE233" t="b">
        <v>1</v>
      </c>
      <c r="CF233" t="b">
        <v>1</v>
      </c>
    </row>
    <row r="234" spans="1:84" x14ac:dyDescent="0.3">
      <c r="A234" t="s">
        <v>1677</v>
      </c>
      <c r="B234" t="s">
        <v>1182</v>
      </c>
      <c r="C234" s="98">
        <v>45712</v>
      </c>
      <c r="D234">
        <v>2025</v>
      </c>
      <c r="E234">
        <v>2</v>
      </c>
      <c r="F234">
        <v>1</v>
      </c>
      <c r="G234" t="s">
        <v>1170</v>
      </c>
      <c r="H234" t="s">
        <v>128</v>
      </c>
      <c r="I234" t="s">
        <v>128</v>
      </c>
      <c r="J234" t="s">
        <v>6</v>
      </c>
      <c r="L234">
        <v>522611</v>
      </c>
      <c r="M234" s="99" t="s">
        <v>178</v>
      </c>
      <c r="N234">
        <v>1</v>
      </c>
      <c r="O234">
        <v>8</v>
      </c>
      <c r="P234">
        <v>16.744800000000001</v>
      </c>
      <c r="Q234" t="s">
        <v>352</v>
      </c>
      <c r="R234">
        <v>1</v>
      </c>
      <c r="S234">
        <v>16.634499999999999</v>
      </c>
      <c r="T234">
        <v>0.30969999999999998</v>
      </c>
      <c r="U234">
        <v>0.35615111398127963</v>
      </c>
      <c r="V234">
        <v>15.705399999999999</v>
      </c>
      <c r="W234">
        <v>16.0151</v>
      </c>
      <c r="X234">
        <v>16.3248</v>
      </c>
      <c r="Y234">
        <v>16.944199999999999</v>
      </c>
      <c r="Z234">
        <v>17.253899999999998</v>
      </c>
      <c r="AA234">
        <v>17.563599999999997</v>
      </c>
      <c r="AD234">
        <v>4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 t="s">
        <v>462</v>
      </c>
      <c r="AL234" t="s">
        <v>6</v>
      </c>
      <c r="AM234" t="s">
        <v>1145</v>
      </c>
      <c r="AN234" t="s">
        <v>1146</v>
      </c>
      <c r="AO234" s="100">
        <v>46262.040405092594</v>
      </c>
      <c r="AP234" t="s">
        <v>1147</v>
      </c>
      <c r="AQ234" t="s">
        <v>1678</v>
      </c>
      <c r="AR234" t="s">
        <v>1184</v>
      </c>
      <c r="AS234" t="s">
        <v>1150</v>
      </c>
      <c r="AT234" t="s">
        <v>1664</v>
      </c>
      <c r="AU234">
        <v>25</v>
      </c>
      <c r="AV234">
        <v>16.550387999999998</v>
      </c>
      <c r="AW234">
        <v>0.30147793634029046</v>
      </c>
      <c r="AX234">
        <v>1.8215762454650035</v>
      </c>
      <c r="AY234">
        <v>0.3235385109073674</v>
      </c>
      <c r="AZ234">
        <v>3.329139315924623</v>
      </c>
      <c r="BA234">
        <v>2.0182858105695831</v>
      </c>
      <c r="BB234" s="97" t="s">
        <v>161</v>
      </c>
      <c r="BD234" s="98"/>
      <c r="BE234" s="98"/>
      <c r="BF234" t="s">
        <v>1152</v>
      </c>
      <c r="BG234" t="s">
        <v>322</v>
      </c>
      <c r="BH234" t="s">
        <v>1153</v>
      </c>
      <c r="BI234">
        <v>0.3235385109073674</v>
      </c>
      <c r="BJ234" t="s">
        <v>991</v>
      </c>
      <c r="BK234">
        <v>0.67086068407537702</v>
      </c>
      <c r="BL234">
        <v>16.771517101884427</v>
      </c>
      <c r="BM234" t="s">
        <v>1260</v>
      </c>
      <c r="BN234" t="s">
        <v>1154</v>
      </c>
      <c r="BO234">
        <v>2025</v>
      </c>
      <c r="BP234" t="s">
        <v>966</v>
      </c>
      <c r="BQ234">
        <v>302129.4357621033</v>
      </c>
      <c r="BR234">
        <v>69.787056423789664</v>
      </c>
      <c r="BS234" t="s">
        <v>992</v>
      </c>
      <c r="BV234" t="s">
        <v>1034</v>
      </c>
      <c r="BW234" t="s">
        <v>943</v>
      </c>
      <c r="BX234" t="s">
        <v>994</v>
      </c>
      <c r="BY234">
        <v>2.0182858105695831</v>
      </c>
      <c r="BZ234" t="s">
        <v>1155</v>
      </c>
      <c r="CA234" t="s">
        <v>991</v>
      </c>
      <c r="CB234" t="b">
        <v>1</v>
      </c>
      <c r="CC234" t="b">
        <v>1</v>
      </c>
      <c r="CD234" t="b">
        <v>1</v>
      </c>
      <c r="CE234" t="b">
        <v>1</v>
      </c>
      <c r="CF234" t="b">
        <v>1</v>
      </c>
    </row>
    <row r="235" spans="1:84" x14ac:dyDescent="0.3">
      <c r="A235" t="s">
        <v>1679</v>
      </c>
      <c r="B235" t="s">
        <v>1186</v>
      </c>
      <c r="C235" s="98">
        <v>45719</v>
      </c>
      <c r="D235">
        <v>2025</v>
      </c>
      <c r="E235">
        <v>3</v>
      </c>
      <c r="F235">
        <v>1</v>
      </c>
      <c r="G235" t="s">
        <v>1187</v>
      </c>
      <c r="H235" t="s">
        <v>128</v>
      </c>
      <c r="I235" t="s">
        <v>128</v>
      </c>
      <c r="J235" t="s">
        <v>6</v>
      </c>
      <c r="L235">
        <v>522611</v>
      </c>
      <c r="M235" s="99" t="s">
        <v>178</v>
      </c>
      <c r="N235">
        <v>1</v>
      </c>
      <c r="O235">
        <v>9</v>
      </c>
      <c r="P235">
        <v>16.739699999999999</v>
      </c>
      <c r="Q235" t="s">
        <v>352</v>
      </c>
      <c r="R235">
        <v>1</v>
      </c>
      <c r="S235">
        <v>16.634499999999999</v>
      </c>
      <c r="T235">
        <v>0.30969999999999998</v>
      </c>
      <c r="U235">
        <v>0.33968356474007094</v>
      </c>
      <c r="V235">
        <v>15.705399999999999</v>
      </c>
      <c r="W235">
        <v>16.0151</v>
      </c>
      <c r="X235">
        <v>16.3248</v>
      </c>
      <c r="Y235">
        <v>16.944199999999999</v>
      </c>
      <c r="Z235">
        <v>17.253899999999998</v>
      </c>
      <c r="AA235">
        <v>17.563599999999997</v>
      </c>
      <c r="AD235">
        <v>4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 t="s">
        <v>462</v>
      </c>
      <c r="AL235" t="s">
        <v>6</v>
      </c>
      <c r="AM235" t="s">
        <v>1145</v>
      </c>
      <c r="AN235" t="s">
        <v>1146</v>
      </c>
      <c r="AO235" s="100">
        <v>46262.040405092594</v>
      </c>
      <c r="AP235" t="s">
        <v>1147</v>
      </c>
      <c r="AQ235" t="s">
        <v>1680</v>
      </c>
      <c r="AR235" t="s">
        <v>1189</v>
      </c>
      <c r="AS235" t="s">
        <v>1150</v>
      </c>
      <c r="AT235" t="s">
        <v>1664</v>
      </c>
      <c r="AU235">
        <v>25</v>
      </c>
      <c r="AV235">
        <v>16.550387999999998</v>
      </c>
      <c r="AW235">
        <v>0.30147793634029046</v>
      </c>
      <c r="AX235">
        <v>1.8215762454650035</v>
      </c>
      <c r="AY235">
        <v>0.3235385109073674</v>
      </c>
      <c r="AZ235">
        <v>3.329139315924623</v>
      </c>
      <c r="BA235">
        <v>2.0182858105695831</v>
      </c>
      <c r="BB235" s="97" t="s">
        <v>161</v>
      </c>
      <c r="BD235" s="98"/>
      <c r="BE235" s="98"/>
      <c r="BF235" t="s">
        <v>1152</v>
      </c>
      <c r="BG235" t="s">
        <v>322</v>
      </c>
      <c r="BH235" t="s">
        <v>1153</v>
      </c>
      <c r="BI235">
        <v>0.3235385109073674</v>
      </c>
      <c r="BJ235" t="s">
        <v>991</v>
      </c>
      <c r="BK235">
        <v>0.67086068407537702</v>
      </c>
      <c r="BL235">
        <v>16.771517101884427</v>
      </c>
      <c r="BM235" t="s">
        <v>1260</v>
      </c>
      <c r="BN235" t="s">
        <v>1154</v>
      </c>
      <c r="BO235">
        <v>2025</v>
      </c>
      <c r="BP235" t="s">
        <v>966</v>
      </c>
      <c r="BQ235">
        <v>302129.4357621033</v>
      </c>
      <c r="BR235">
        <v>69.787056423789664</v>
      </c>
      <c r="BS235" t="s">
        <v>992</v>
      </c>
      <c r="BV235" t="s">
        <v>1034</v>
      </c>
      <c r="BW235" t="s">
        <v>943</v>
      </c>
      <c r="BX235" t="s">
        <v>994</v>
      </c>
      <c r="BY235">
        <v>2.0182858105695831</v>
      </c>
      <c r="BZ235" t="s">
        <v>1155</v>
      </c>
      <c r="CA235" t="s">
        <v>991</v>
      </c>
      <c r="CB235" t="b">
        <v>1</v>
      </c>
      <c r="CC235" t="b">
        <v>1</v>
      </c>
      <c r="CD235" t="b">
        <v>1</v>
      </c>
      <c r="CE235" t="b">
        <v>1</v>
      </c>
      <c r="CF235" t="b">
        <v>1</v>
      </c>
    </row>
    <row r="236" spans="1:84" x14ac:dyDescent="0.3">
      <c r="A236" t="s">
        <v>1681</v>
      </c>
      <c r="B236" t="s">
        <v>1191</v>
      </c>
      <c r="C236" s="98">
        <v>45726</v>
      </c>
      <c r="D236">
        <v>2025</v>
      </c>
      <c r="E236">
        <v>3</v>
      </c>
      <c r="F236">
        <v>1</v>
      </c>
      <c r="G236" t="s">
        <v>1187</v>
      </c>
      <c r="H236" t="s">
        <v>128</v>
      </c>
      <c r="I236" t="s">
        <v>128</v>
      </c>
      <c r="J236" t="s">
        <v>6</v>
      </c>
      <c r="L236">
        <v>522611</v>
      </c>
      <c r="M236" s="99" t="s">
        <v>178</v>
      </c>
      <c r="N236">
        <v>1</v>
      </c>
      <c r="O236">
        <v>10</v>
      </c>
      <c r="P236">
        <v>17.261700000000001</v>
      </c>
      <c r="Q236" t="s">
        <v>352</v>
      </c>
      <c r="R236">
        <v>1</v>
      </c>
      <c r="S236">
        <v>16.634499999999999</v>
      </c>
      <c r="T236">
        <v>0.30969999999999998</v>
      </c>
      <c r="U236">
        <v>2.0251856635453729</v>
      </c>
      <c r="V236">
        <v>15.705399999999999</v>
      </c>
      <c r="W236">
        <v>16.0151</v>
      </c>
      <c r="X236">
        <v>16.3248</v>
      </c>
      <c r="Y236">
        <v>16.944199999999999</v>
      </c>
      <c r="Z236">
        <v>17.253899999999998</v>
      </c>
      <c r="AA236">
        <v>17.563599999999997</v>
      </c>
      <c r="AD236">
        <v>4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1</v>
      </c>
      <c r="AK236" t="s">
        <v>462</v>
      </c>
      <c r="AL236" t="s">
        <v>6</v>
      </c>
      <c r="AM236" t="s">
        <v>1145</v>
      </c>
      <c r="AN236" t="s">
        <v>1146</v>
      </c>
      <c r="AO236" s="100">
        <v>46262.040405092594</v>
      </c>
      <c r="AP236" t="s">
        <v>1147</v>
      </c>
      <c r="AQ236" t="s">
        <v>1682</v>
      </c>
      <c r="AR236" t="s">
        <v>1193</v>
      </c>
      <c r="AS236" t="s">
        <v>1150</v>
      </c>
      <c r="AT236" t="s">
        <v>1664</v>
      </c>
      <c r="AU236">
        <v>25</v>
      </c>
      <c r="AV236">
        <v>16.550387999999998</v>
      </c>
      <c r="AW236">
        <v>0.30147793634029046</v>
      </c>
      <c r="AX236">
        <v>1.8215762454650035</v>
      </c>
      <c r="AY236">
        <v>0.3235385109073674</v>
      </c>
      <c r="AZ236">
        <v>3.329139315924623</v>
      </c>
      <c r="BA236">
        <v>2.0182858105695831</v>
      </c>
      <c r="BB236" s="97" t="s">
        <v>161</v>
      </c>
      <c r="BD236" s="98"/>
      <c r="BE236" s="98"/>
      <c r="BF236" t="s">
        <v>1152</v>
      </c>
      <c r="BG236" t="s">
        <v>322</v>
      </c>
      <c r="BH236" t="s">
        <v>1153</v>
      </c>
      <c r="BI236">
        <v>0.3235385109073674</v>
      </c>
      <c r="BJ236" t="s">
        <v>991</v>
      </c>
      <c r="BK236">
        <v>0.67086068407537702</v>
      </c>
      <c r="BL236">
        <v>16.771517101884427</v>
      </c>
      <c r="BM236" t="s">
        <v>1260</v>
      </c>
      <c r="BN236" t="s">
        <v>1154</v>
      </c>
      <c r="BO236">
        <v>2025</v>
      </c>
      <c r="BP236" t="s">
        <v>966</v>
      </c>
      <c r="BQ236">
        <v>302129.4357621033</v>
      </c>
      <c r="BR236">
        <v>69.787056423789664</v>
      </c>
      <c r="BS236" t="s">
        <v>992</v>
      </c>
      <c r="BV236" t="s">
        <v>1034</v>
      </c>
      <c r="BW236" t="s">
        <v>943</v>
      </c>
      <c r="BX236" t="s">
        <v>994</v>
      </c>
      <c r="BY236">
        <v>2.0182858105695831</v>
      </c>
      <c r="BZ236" t="s">
        <v>1155</v>
      </c>
      <c r="CA236" t="s">
        <v>991</v>
      </c>
      <c r="CB236" t="b">
        <v>1</v>
      </c>
      <c r="CC236" t="b">
        <v>1</v>
      </c>
      <c r="CD236" t="b">
        <v>1</v>
      </c>
      <c r="CE236" t="b">
        <v>1</v>
      </c>
      <c r="CF236" t="b">
        <v>1</v>
      </c>
    </row>
    <row r="237" spans="1:84" x14ac:dyDescent="0.3">
      <c r="A237" t="s">
        <v>1683</v>
      </c>
      <c r="B237" t="s">
        <v>1195</v>
      </c>
      <c r="C237" s="98">
        <v>45733</v>
      </c>
      <c r="D237">
        <v>2025</v>
      </c>
      <c r="E237">
        <v>3</v>
      </c>
      <c r="F237">
        <v>1</v>
      </c>
      <c r="G237" t="s">
        <v>1187</v>
      </c>
      <c r="H237" t="s">
        <v>128</v>
      </c>
      <c r="I237" t="s">
        <v>128</v>
      </c>
      <c r="J237" t="s">
        <v>6</v>
      </c>
      <c r="L237">
        <v>522611</v>
      </c>
      <c r="M237" s="99" t="s">
        <v>178</v>
      </c>
      <c r="N237">
        <v>1</v>
      </c>
      <c r="O237">
        <v>11</v>
      </c>
      <c r="P237">
        <v>16.203099999999999</v>
      </c>
      <c r="Q237" t="s">
        <v>352</v>
      </c>
      <c r="R237">
        <v>1</v>
      </c>
      <c r="S237">
        <v>16.634499999999999</v>
      </c>
      <c r="T237">
        <v>0.30969999999999998</v>
      </c>
      <c r="U237">
        <v>-1.3929609299321926</v>
      </c>
      <c r="V237">
        <v>15.705399999999999</v>
      </c>
      <c r="W237">
        <v>16.0151</v>
      </c>
      <c r="X237">
        <v>16.3248</v>
      </c>
      <c r="Y237">
        <v>16.944199999999999</v>
      </c>
      <c r="Z237">
        <v>17.253899999999998</v>
      </c>
      <c r="AA237">
        <v>17.563599999999997</v>
      </c>
      <c r="AD237">
        <v>4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 t="s">
        <v>462</v>
      </c>
      <c r="AL237" t="s">
        <v>6</v>
      </c>
      <c r="AM237" t="s">
        <v>1145</v>
      </c>
      <c r="AN237" t="s">
        <v>1146</v>
      </c>
      <c r="AO237" s="100">
        <v>46262.040405092594</v>
      </c>
      <c r="AP237" t="s">
        <v>1147</v>
      </c>
      <c r="AQ237" t="s">
        <v>1684</v>
      </c>
      <c r="AR237" t="s">
        <v>1197</v>
      </c>
      <c r="AS237" t="s">
        <v>1150</v>
      </c>
      <c r="AT237" t="s">
        <v>1664</v>
      </c>
      <c r="AU237">
        <v>25</v>
      </c>
      <c r="AV237">
        <v>16.550387999999998</v>
      </c>
      <c r="AW237">
        <v>0.30147793634029046</v>
      </c>
      <c r="AX237">
        <v>1.8215762454650035</v>
      </c>
      <c r="AY237">
        <v>0.3235385109073674</v>
      </c>
      <c r="AZ237">
        <v>3.329139315924623</v>
      </c>
      <c r="BA237">
        <v>2.0182858105695831</v>
      </c>
      <c r="BB237" s="97" t="s">
        <v>161</v>
      </c>
      <c r="BD237" s="98"/>
      <c r="BE237" s="98"/>
      <c r="BF237" t="s">
        <v>1152</v>
      </c>
      <c r="BG237" t="s">
        <v>322</v>
      </c>
      <c r="BH237" t="s">
        <v>1153</v>
      </c>
      <c r="BI237">
        <v>0.3235385109073674</v>
      </c>
      <c r="BJ237" t="s">
        <v>991</v>
      </c>
      <c r="BK237">
        <v>0.67086068407537702</v>
      </c>
      <c r="BL237">
        <v>16.771517101884427</v>
      </c>
      <c r="BM237" t="s">
        <v>1260</v>
      </c>
      <c r="BN237" t="s">
        <v>1154</v>
      </c>
      <c r="BO237">
        <v>2025</v>
      </c>
      <c r="BP237" t="s">
        <v>966</v>
      </c>
      <c r="BQ237">
        <v>302129.4357621033</v>
      </c>
      <c r="BR237">
        <v>69.787056423789664</v>
      </c>
      <c r="BS237" t="s">
        <v>992</v>
      </c>
      <c r="BV237" t="s">
        <v>1034</v>
      </c>
      <c r="BW237" t="s">
        <v>943</v>
      </c>
      <c r="BX237" t="s">
        <v>994</v>
      </c>
      <c r="BY237">
        <v>2.0182858105695831</v>
      </c>
      <c r="BZ237" t="s">
        <v>1155</v>
      </c>
      <c r="CA237" t="s">
        <v>991</v>
      </c>
      <c r="CB237" t="b">
        <v>1</v>
      </c>
      <c r="CC237" t="b">
        <v>1</v>
      </c>
      <c r="CD237" t="b">
        <v>1</v>
      </c>
      <c r="CE237" t="b">
        <v>1</v>
      </c>
      <c r="CF237" t="b">
        <v>1</v>
      </c>
    </row>
    <row r="238" spans="1:84" x14ac:dyDescent="0.3">
      <c r="A238" t="s">
        <v>1685</v>
      </c>
      <c r="B238" t="s">
        <v>1199</v>
      </c>
      <c r="C238" s="98">
        <v>45740</v>
      </c>
      <c r="D238">
        <v>2025</v>
      </c>
      <c r="E238">
        <v>3</v>
      </c>
      <c r="F238">
        <v>1</v>
      </c>
      <c r="G238" t="s">
        <v>1187</v>
      </c>
      <c r="H238" t="s">
        <v>128</v>
      </c>
      <c r="I238" t="s">
        <v>128</v>
      </c>
      <c r="J238" t="s">
        <v>6</v>
      </c>
      <c r="L238">
        <v>522611</v>
      </c>
      <c r="M238" s="99" t="s">
        <v>178</v>
      </c>
      <c r="N238">
        <v>1</v>
      </c>
      <c r="O238">
        <v>12</v>
      </c>
      <c r="P238">
        <v>16.909500000000001</v>
      </c>
      <c r="Q238" t="s">
        <v>352</v>
      </c>
      <c r="R238">
        <v>1</v>
      </c>
      <c r="S238">
        <v>16.634499999999999</v>
      </c>
      <c r="T238">
        <v>0.30969999999999998</v>
      </c>
      <c r="U238">
        <v>0.88795608653536373</v>
      </c>
      <c r="V238">
        <v>15.705399999999999</v>
      </c>
      <c r="W238">
        <v>16.0151</v>
      </c>
      <c r="X238">
        <v>16.3248</v>
      </c>
      <c r="Y238">
        <v>16.944199999999999</v>
      </c>
      <c r="Z238">
        <v>17.253899999999998</v>
      </c>
      <c r="AA238">
        <v>17.563599999999997</v>
      </c>
      <c r="AD238">
        <v>4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 t="s">
        <v>462</v>
      </c>
      <c r="AL238" t="s">
        <v>6</v>
      </c>
      <c r="AM238" t="s">
        <v>1145</v>
      </c>
      <c r="AN238" t="s">
        <v>1146</v>
      </c>
      <c r="AO238" s="100">
        <v>46262.040405092594</v>
      </c>
      <c r="AP238" t="s">
        <v>1147</v>
      </c>
      <c r="AQ238" t="s">
        <v>1686</v>
      </c>
      <c r="AR238" t="s">
        <v>1201</v>
      </c>
      <c r="AS238" t="s">
        <v>1150</v>
      </c>
      <c r="AT238" t="s">
        <v>1664</v>
      </c>
      <c r="AU238">
        <v>25</v>
      </c>
      <c r="AV238">
        <v>16.550387999999998</v>
      </c>
      <c r="AW238">
        <v>0.30147793634029046</v>
      </c>
      <c r="AX238">
        <v>1.8215762454650035</v>
      </c>
      <c r="AY238">
        <v>0.3235385109073674</v>
      </c>
      <c r="AZ238">
        <v>3.329139315924623</v>
      </c>
      <c r="BA238">
        <v>2.0182858105695831</v>
      </c>
      <c r="BB238" s="97" t="s">
        <v>161</v>
      </c>
      <c r="BD238" s="98"/>
      <c r="BE238" s="98"/>
      <c r="BF238" t="s">
        <v>1152</v>
      </c>
      <c r="BG238" t="s">
        <v>322</v>
      </c>
      <c r="BH238" t="s">
        <v>1153</v>
      </c>
      <c r="BI238">
        <v>0.3235385109073674</v>
      </c>
      <c r="BJ238" t="s">
        <v>991</v>
      </c>
      <c r="BK238">
        <v>0.67086068407537702</v>
      </c>
      <c r="BL238">
        <v>16.771517101884427</v>
      </c>
      <c r="BM238" t="s">
        <v>1260</v>
      </c>
      <c r="BN238" t="s">
        <v>1154</v>
      </c>
      <c r="BO238">
        <v>2025</v>
      </c>
      <c r="BP238" t="s">
        <v>966</v>
      </c>
      <c r="BQ238">
        <v>302129.4357621033</v>
      </c>
      <c r="BR238">
        <v>69.787056423789664</v>
      </c>
      <c r="BS238" t="s">
        <v>992</v>
      </c>
      <c r="BV238" t="s">
        <v>1034</v>
      </c>
      <c r="BW238" t="s">
        <v>943</v>
      </c>
      <c r="BX238" t="s">
        <v>994</v>
      </c>
      <c r="BY238">
        <v>2.0182858105695831</v>
      </c>
      <c r="BZ238" t="s">
        <v>1155</v>
      </c>
      <c r="CA238" t="s">
        <v>991</v>
      </c>
      <c r="CB238" t="b">
        <v>1</v>
      </c>
      <c r="CC238" t="b">
        <v>1</v>
      </c>
      <c r="CD238" t="b">
        <v>1</v>
      </c>
      <c r="CE238" t="b">
        <v>1</v>
      </c>
      <c r="CF238" t="b">
        <v>1</v>
      </c>
    </row>
    <row r="239" spans="1:84" x14ac:dyDescent="0.3">
      <c r="A239" t="s">
        <v>1687</v>
      </c>
      <c r="B239" t="s">
        <v>1203</v>
      </c>
      <c r="C239" s="98">
        <v>45747</v>
      </c>
      <c r="D239">
        <v>2025</v>
      </c>
      <c r="E239">
        <v>3</v>
      </c>
      <c r="F239">
        <v>1</v>
      </c>
      <c r="G239" t="s">
        <v>1187</v>
      </c>
      <c r="H239" t="s">
        <v>128</v>
      </c>
      <c r="I239" t="s">
        <v>128</v>
      </c>
      <c r="J239" t="s">
        <v>6</v>
      </c>
      <c r="L239">
        <v>522611</v>
      </c>
      <c r="M239" s="99" t="s">
        <v>178</v>
      </c>
      <c r="N239">
        <v>1</v>
      </c>
      <c r="O239">
        <v>13</v>
      </c>
      <c r="P239">
        <v>16.6068</v>
      </c>
      <c r="Q239" t="s">
        <v>352</v>
      </c>
      <c r="R239">
        <v>1</v>
      </c>
      <c r="S239">
        <v>16.634499999999999</v>
      </c>
      <c r="T239">
        <v>0.30969999999999998</v>
      </c>
      <c r="U239">
        <v>-8.9441394898286716E-2</v>
      </c>
      <c r="V239">
        <v>15.705399999999999</v>
      </c>
      <c r="W239">
        <v>16.0151</v>
      </c>
      <c r="X239">
        <v>16.3248</v>
      </c>
      <c r="Y239">
        <v>16.944199999999999</v>
      </c>
      <c r="Z239">
        <v>17.253899999999998</v>
      </c>
      <c r="AA239">
        <v>17.563599999999997</v>
      </c>
      <c r="AD239">
        <v>4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 t="s">
        <v>462</v>
      </c>
      <c r="AL239" t="s">
        <v>6</v>
      </c>
      <c r="AM239" t="s">
        <v>1145</v>
      </c>
      <c r="AN239" t="s">
        <v>1146</v>
      </c>
      <c r="AO239" s="100">
        <v>46262.040405092594</v>
      </c>
      <c r="AP239" t="s">
        <v>1147</v>
      </c>
      <c r="AQ239" t="s">
        <v>1688</v>
      </c>
      <c r="AR239" t="s">
        <v>1205</v>
      </c>
      <c r="AS239" t="s">
        <v>1150</v>
      </c>
      <c r="AT239" t="s">
        <v>1664</v>
      </c>
      <c r="AU239">
        <v>25</v>
      </c>
      <c r="AV239">
        <v>16.550387999999998</v>
      </c>
      <c r="AW239">
        <v>0.30147793634029046</v>
      </c>
      <c r="AX239">
        <v>1.8215762454650035</v>
      </c>
      <c r="AY239">
        <v>0.3235385109073674</v>
      </c>
      <c r="AZ239">
        <v>3.329139315924623</v>
      </c>
      <c r="BA239">
        <v>2.0182858105695831</v>
      </c>
      <c r="BB239" s="97" t="s">
        <v>161</v>
      </c>
      <c r="BD239" s="98"/>
      <c r="BE239" s="98"/>
      <c r="BF239" t="s">
        <v>1152</v>
      </c>
      <c r="BG239" t="s">
        <v>322</v>
      </c>
      <c r="BH239" t="s">
        <v>1153</v>
      </c>
      <c r="BI239">
        <v>0.3235385109073674</v>
      </c>
      <c r="BJ239" t="s">
        <v>991</v>
      </c>
      <c r="BK239">
        <v>0.67086068407537702</v>
      </c>
      <c r="BL239">
        <v>16.771517101884427</v>
      </c>
      <c r="BM239" t="s">
        <v>1260</v>
      </c>
      <c r="BN239" t="s">
        <v>1154</v>
      </c>
      <c r="BO239">
        <v>2025</v>
      </c>
      <c r="BP239" t="s">
        <v>966</v>
      </c>
      <c r="BQ239">
        <v>302129.4357621033</v>
      </c>
      <c r="BR239">
        <v>69.787056423789664</v>
      </c>
      <c r="BS239" t="s">
        <v>992</v>
      </c>
      <c r="BV239" t="s">
        <v>1034</v>
      </c>
      <c r="BW239" t="s">
        <v>943</v>
      </c>
      <c r="BX239" t="s">
        <v>994</v>
      </c>
      <c r="BY239">
        <v>2.0182858105695831</v>
      </c>
      <c r="BZ239" t="s">
        <v>1155</v>
      </c>
      <c r="CA239" t="s">
        <v>991</v>
      </c>
      <c r="CB239" t="b">
        <v>1</v>
      </c>
      <c r="CC239" t="b">
        <v>1</v>
      </c>
      <c r="CD239" t="b">
        <v>1</v>
      </c>
      <c r="CE239" t="b">
        <v>1</v>
      </c>
      <c r="CF239" t="b">
        <v>1</v>
      </c>
    </row>
    <row r="240" spans="1:84" x14ac:dyDescent="0.3">
      <c r="A240" t="s">
        <v>1689</v>
      </c>
      <c r="B240" t="s">
        <v>1207</v>
      </c>
      <c r="C240" s="98">
        <v>45754</v>
      </c>
      <c r="D240">
        <v>2025</v>
      </c>
      <c r="E240">
        <v>4</v>
      </c>
      <c r="F240">
        <v>2</v>
      </c>
      <c r="G240" t="s">
        <v>1208</v>
      </c>
      <c r="H240" t="s">
        <v>128</v>
      </c>
      <c r="I240" t="s">
        <v>128</v>
      </c>
      <c r="J240" t="s">
        <v>6</v>
      </c>
      <c r="L240">
        <v>522611</v>
      </c>
      <c r="M240" s="99" t="s">
        <v>178</v>
      </c>
      <c r="N240">
        <v>1</v>
      </c>
      <c r="O240">
        <v>14</v>
      </c>
      <c r="P240">
        <v>16.630099999999999</v>
      </c>
      <c r="Q240" t="s">
        <v>352</v>
      </c>
      <c r="R240">
        <v>1</v>
      </c>
      <c r="S240">
        <v>16.634499999999999</v>
      </c>
      <c r="T240">
        <v>0.30969999999999998</v>
      </c>
      <c r="U240">
        <v>-1.4207297384567013E-2</v>
      </c>
      <c r="V240">
        <v>15.705399999999999</v>
      </c>
      <c r="W240">
        <v>16.0151</v>
      </c>
      <c r="X240">
        <v>16.3248</v>
      </c>
      <c r="Y240">
        <v>16.944199999999999</v>
      </c>
      <c r="Z240">
        <v>17.253899999999998</v>
      </c>
      <c r="AA240">
        <v>17.563599999999997</v>
      </c>
      <c r="AD240">
        <v>4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 t="s">
        <v>462</v>
      </c>
      <c r="AL240" t="s">
        <v>6</v>
      </c>
      <c r="AM240" t="s">
        <v>1145</v>
      </c>
      <c r="AN240" t="s">
        <v>1146</v>
      </c>
      <c r="AO240" s="100">
        <v>46262.040405092594</v>
      </c>
      <c r="AP240" t="s">
        <v>1147</v>
      </c>
      <c r="AQ240" t="s">
        <v>1690</v>
      </c>
      <c r="AR240" t="s">
        <v>1210</v>
      </c>
      <c r="AS240" t="s">
        <v>1150</v>
      </c>
      <c r="AT240" t="s">
        <v>1664</v>
      </c>
      <c r="AU240">
        <v>25</v>
      </c>
      <c r="AV240">
        <v>16.550387999999998</v>
      </c>
      <c r="AW240">
        <v>0.30147793634029046</v>
      </c>
      <c r="AX240">
        <v>1.8215762454650035</v>
      </c>
      <c r="AY240">
        <v>0.3235385109073674</v>
      </c>
      <c r="AZ240">
        <v>3.329139315924623</v>
      </c>
      <c r="BA240">
        <v>2.0182858105695831</v>
      </c>
      <c r="BB240" s="97" t="s">
        <v>161</v>
      </c>
      <c r="BD240" s="98"/>
      <c r="BE240" s="98"/>
      <c r="BF240" t="s">
        <v>1152</v>
      </c>
      <c r="BG240" t="s">
        <v>322</v>
      </c>
      <c r="BH240" t="s">
        <v>1153</v>
      </c>
      <c r="BI240">
        <v>0.3235385109073674</v>
      </c>
      <c r="BJ240" t="s">
        <v>991</v>
      </c>
      <c r="BK240">
        <v>0.67086068407537702</v>
      </c>
      <c r="BL240">
        <v>16.771517101884427</v>
      </c>
      <c r="BM240" t="s">
        <v>1260</v>
      </c>
      <c r="BN240" t="s">
        <v>1154</v>
      </c>
      <c r="BO240">
        <v>2025</v>
      </c>
      <c r="BP240" t="s">
        <v>966</v>
      </c>
      <c r="BQ240">
        <v>302129.4357621033</v>
      </c>
      <c r="BR240">
        <v>69.787056423789664</v>
      </c>
      <c r="BS240" t="s">
        <v>992</v>
      </c>
      <c r="BV240" t="s">
        <v>1034</v>
      </c>
      <c r="BW240" t="s">
        <v>943</v>
      </c>
      <c r="BX240" t="s">
        <v>994</v>
      </c>
      <c r="BY240">
        <v>2.0182858105695831</v>
      </c>
      <c r="BZ240" t="s">
        <v>1155</v>
      </c>
      <c r="CA240" t="s">
        <v>991</v>
      </c>
      <c r="CB240" t="b">
        <v>1</v>
      </c>
      <c r="CC240" t="b">
        <v>1</v>
      </c>
      <c r="CD240" t="b">
        <v>1</v>
      </c>
      <c r="CE240" t="b">
        <v>1</v>
      </c>
      <c r="CF240" t="b">
        <v>1</v>
      </c>
    </row>
    <row r="241" spans="1:84" x14ac:dyDescent="0.3">
      <c r="A241" t="s">
        <v>1691</v>
      </c>
      <c r="B241" t="s">
        <v>1212</v>
      </c>
      <c r="C241" s="98">
        <v>45761</v>
      </c>
      <c r="D241">
        <v>2025</v>
      </c>
      <c r="E241">
        <v>4</v>
      </c>
      <c r="F241">
        <v>2</v>
      </c>
      <c r="G241" t="s">
        <v>1208</v>
      </c>
      <c r="H241" t="s">
        <v>128</v>
      </c>
      <c r="I241" t="s">
        <v>128</v>
      </c>
      <c r="J241" t="s">
        <v>6</v>
      </c>
      <c r="L241">
        <v>522611</v>
      </c>
      <c r="M241" s="99" t="s">
        <v>178</v>
      </c>
      <c r="N241">
        <v>1</v>
      </c>
      <c r="O241">
        <v>15</v>
      </c>
      <c r="P241">
        <v>16.185500000000001</v>
      </c>
      <c r="Q241" t="s">
        <v>352</v>
      </c>
      <c r="R241">
        <v>1</v>
      </c>
      <c r="S241">
        <v>16.634499999999999</v>
      </c>
      <c r="T241">
        <v>0.30969999999999998</v>
      </c>
      <c r="U241">
        <v>-1.4497901194704492</v>
      </c>
      <c r="V241">
        <v>15.705399999999999</v>
      </c>
      <c r="W241">
        <v>16.0151</v>
      </c>
      <c r="X241">
        <v>16.3248</v>
      </c>
      <c r="Y241">
        <v>16.944199999999999</v>
      </c>
      <c r="Z241">
        <v>17.253899999999998</v>
      </c>
      <c r="AA241">
        <v>17.563599999999997</v>
      </c>
      <c r="AD241">
        <v>4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 t="s">
        <v>462</v>
      </c>
      <c r="AL241" t="s">
        <v>6</v>
      </c>
      <c r="AM241" t="s">
        <v>1145</v>
      </c>
      <c r="AN241" t="s">
        <v>1146</v>
      </c>
      <c r="AO241" s="100">
        <v>46262.040405092594</v>
      </c>
      <c r="AP241" t="s">
        <v>1147</v>
      </c>
      <c r="AQ241" t="s">
        <v>1692</v>
      </c>
      <c r="AR241" t="s">
        <v>1215</v>
      </c>
      <c r="AS241" t="s">
        <v>1150</v>
      </c>
      <c r="AT241" t="s">
        <v>1664</v>
      </c>
      <c r="AU241">
        <v>25</v>
      </c>
      <c r="AV241">
        <v>16.550387999999998</v>
      </c>
      <c r="AW241">
        <v>0.30147793634029046</v>
      </c>
      <c r="AX241">
        <v>1.8215762454650035</v>
      </c>
      <c r="AY241">
        <v>0.3235385109073674</v>
      </c>
      <c r="AZ241">
        <v>3.329139315924623</v>
      </c>
      <c r="BA241">
        <v>2.0182858105695831</v>
      </c>
      <c r="BB241" s="97" t="s">
        <v>161</v>
      </c>
      <c r="BD241" s="98"/>
      <c r="BE241" s="98"/>
      <c r="BF241" t="s">
        <v>1152</v>
      </c>
      <c r="BG241" t="s">
        <v>322</v>
      </c>
      <c r="BH241" t="s">
        <v>1153</v>
      </c>
      <c r="BI241">
        <v>0.3235385109073674</v>
      </c>
      <c r="BJ241" t="s">
        <v>991</v>
      </c>
      <c r="BK241">
        <v>0.67086068407537702</v>
      </c>
      <c r="BL241">
        <v>16.771517101884427</v>
      </c>
      <c r="BM241" t="s">
        <v>1260</v>
      </c>
      <c r="BN241" t="s">
        <v>1154</v>
      </c>
      <c r="BO241">
        <v>2025</v>
      </c>
      <c r="BP241" t="s">
        <v>966</v>
      </c>
      <c r="BQ241">
        <v>302129.4357621033</v>
      </c>
      <c r="BR241">
        <v>69.787056423789664</v>
      </c>
      <c r="BS241" t="s">
        <v>992</v>
      </c>
      <c r="BV241" t="s">
        <v>1034</v>
      </c>
      <c r="BW241" t="s">
        <v>943</v>
      </c>
      <c r="BX241" t="s">
        <v>994</v>
      </c>
      <c r="BY241">
        <v>2.0182858105695831</v>
      </c>
      <c r="BZ241" t="s">
        <v>1155</v>
      </c>
      <c r="CA241" t="s">
        <v>991</v>
      </c>
      <c r="CB241" t="b">
        <v>1</v>
      </c>
      <c r="CC241" t="b">
        <v>1</v>
      </c>
      <c r="CD241" t="b">
        <v>1</v>
      </c>
      <c r="CE241" t="b">
        <v>1</v>
      </c>
      <c r="CF241" t="b">
        <v>1</v>
      </c>
    </row>
    <row r="242" spans="1:84" x14ac:dyDescent="0.3">
      <c r="A242" t="s">
        <v>1693</v>
      </c>
      <c r="B242" t="s">
        <v>1217</v>
      </c>
      <c r="C242" s="98">
        <v>45768</v>
      </c>
      <c r="D242">
        <v>2025</v>
      </c>
      <c r="E242">
        <v>4</v>
      </c>
      <c r="F242">
        <v>2</v>
      </c>
      <c r="G242" t="s">
        <v>1208</v>
      </c>
      <c r="H242" t="s">
        <v>128</v>
      </c>
      <c r="I242" t="s">
        <v>128</v>
      </c>
      <c r="J242" t="s">
        <v>6</v>
      </c>
      <c r="L242">
        <v>522611</v>
      </c>
      <c r="M242" s="99" t="s">
        <v>178</v>
      </c>
      <c r="N242">
        <v>1</v>
      </c>
      <c r="O242">
        <v>16</v>
      </c>
      <c r="P242">
        <v>16.492000000000001</v>
      </c>
      <c r="Q242" t="s">
        <v>352</v>
      </c>
      <c r="R242">
        <v>1</v>
      </c>
      <c r="S242">
        <v>16.634499999999999</v>
      </c>
      <c r="T242">
        <v>0.30969999999999998</v>
      </c>
      <c r="U242">
        <v>-0.46012269938649758</v>
      </c>
      <c r="V242">
        <v>15.705399999999999</v>
      </c>
      <c r="W242">
        <v>16.0151</v>
      </c>
      <c r="X242">
        <v>16.3248</v>
      </c>
      <c r="Y242">
        <v>16.944199999999999</v>
      </c>
      <c r="Z242">
        <v>17.253899999999998</v>
      </c>
      <c r="AA242">
        <v>17.563599999999997</v>
      </c>
      <c r="AD242">
        <v>4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 t="s">
        <v>462</v>
      </c>
      <c r="AL242" t="s">
        <v>6</v>
      </c>
      <c r="AM242" t="s">
        <v>1145</v>
      </c>
      <c r="AN242" t="s">
        <v>1146</v>
      </c>
      <c r="AO242" s="100">
        <v>46262.040405092594</v>
      </c>
      <c r="AP242" t="s">
        <v>1147</v>
      </c>
      <c r="AQ242" t="s">
        <v>1694</v>
      </c>
      <c r="AR242" t="s">
        <v>1219</v>
      </c>
      <c r="AS242" t="s">
        <v>1150</v>
      </c>
      <c r="AT242" t="s">
        <v>1664</v>
      </c>
      <c r="AU242">
        <v>25</v>
      </c>
      <c r="AV242">
        <v>16.550387999999998</v>
      </c>
      <c r="AW242">
        <v>0.30147793634029046</v>
      </c>
      <c r="AX242">
        <v>1.8215762454650035</v>
      </c>
      <c r="AY242">
        <v>0.3235385109073674</v>
      </c>
      <c r="AZ242">
        <v>3.329139315924623</v>
      </c>
      <c r="BA242">
        <v>2.0182858105695831</v>
      </c>
      <c r="BB242" s="97" t="s">
        <v>161</v>
      </c>
      <c r="BD242" s="98"/>
      <c r="BE242" s="98"/>
      <c r="BF242" t="s">
        <v>1152</v>
      </c>
      <c r="BG242" t="s">
        <v>322</v>
      </c>
      <c r="BH242" t="s">
        <v>1153</v>
      </c>
      <c r="BI242">
        <v>0.3235385109073674</v>
      </c>
      <c r="BJ242" t="s">
        <v>991</v>
      </c>
      <c r="BK242">
        <v>0.67086068407537702</v>
      </c>
      <c r="BL242">
        <v>16.771517101884427</v>
      </c>
      <c r="BM242" t="s">
        <v>1260</v>
      </c>
      <c r="BN242" t="s">
        <v>1154</v>
      </c>
      <c r="BO242">
        <v>2025</v>
      </c>
      <c r="BP242" t="s">
        <v>966</v>
      </c>
      <c r="BQ242">
        <v>302129.4357621033</v>
      </c>
      <c r="BR242">
        <v>69.787056423789664</v>
      </c>
      <c r="BS242" t="s">
        <v>992</v>
      </c>
      <c r="BV242" t="s">
        <v>1034</v>
      </c>
      <c r="BW242" t="s">
        <v>943</v>
      </c>
      <c r="BX242" t="s">
        <v>994</v>
      </c>
      <c r="BY242">
        <v>2.0182858105695831</v>
      </c>
      <c r="BZ242" t="s">
        <v>1155</v>
      </c>
      <c r="CA242" t="s">
        <v>991</v>
      </c>
      <c r="CB242" t="b">
        <v>1</v>
      </c>
      <c r="CC242" t="b">
        <v>1</v>
      </c>
      <c r="CD242" t="b">
        <v>1</v>
      </c>
      <c r="CE242" t="b">
        <v>1</v>
      </c>
      <c r="CF242" t="b">
        <v>1</v>
      </c>
    </row>
    <row r="243" spans="1:84" x14ac:dyDescent="0.3">
      <c r="A243" t="s">
        <v>1695</v>
      </c>
      <c r="B243" t="s">
        <v>1221</v>
      </c>
      <c r="C243" s="98">
        <v>45775</v>
      </c>
      <c r="D243">
        <v>2025</v>
      </c>
      <c r="E243">
        <v>4</v>
      </c>
      <c r="F243">
        <v>2</v>
      </c>
      <c r="G243" t="s">
        <v>1208</v>
      </c>
      <c r="H243" t="s">
        <v>128</v>
      </c>
      <c r="I243" t="s">
        <v>128</v>
      </c>
      <c r="J243" t="s">
        <v>6</v>
      </c>
      <c r="L243">
        <v>522611</v>
      </c>
      <c r="M243" s="99" t="s">
        <v>178</v>
      </c>
      <c r="N243">
        <v>1</v>
      </c>
      <c r="O243">
        <v>17</v>
      </c>
      <c r="P243">
        <v>16.864599999999999</v>
      </c>
      <c r="Q243" t="s">
        <v>352</v>
      </c>
      <c r="R243">
        <v>1</v>
      </c>
      <c r="S243">
        <v>16.634499999999999</v>
      </c>
      <c r="T243">
        <v>0.30969999999999998</v>
      </c>
      <c r="U243">
        <v>0.74297707458831197</v>
      </c>
      <c r="V243">
        <v>15.705399999999999</v>
      </c>
      <c r="W243">
        <v>16.0151</v>
      </c>
      <c r="X243">
        <v>16.3248</v>
      </c>
      <c r="Y243">
        <v>16.944199999999999</v>
      </c>
      <c r="Z243">
        <v>17.253899999999998</v>
      </c>
      <c r="AA243">
        <v>17.563599999999997</v>
      </c>
      <c r="AD243">
        <v>4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 t="s">
        <v>462</v>
      </c>
      <c r="AL243" t="s">
        <v>6</v>
      </c>
      <c r="AM243" t="s">
        <v>1145</v>
      </c>
      <c r="AN243" t="s">
        <v>1146</v>
      </c>
      <c r="AO243" s="100">
        <v>46262.040405092594</v>
      </c>
      <c r="AP243" t="s">
        <v>1147</v>
      </c>
      <c r="AQ243" t="s">
        <v>1696</v>
      </c>
      <c r="AR243" t="s">
        <v>1223</v>
      </c>
      <c r="AS243" t="s">
        <v>1150</v>
      </c>
      <c r="AT243" t="s">
        <v>1664</v>
      </c>
      <c r="AU243">
        <v>25</v>
      </c>
      <c r="AV243">
        <v>16.550387999999998</v>
      </c>
      <c r="AW243">
        <v>0.30147793634029046</v>
      </c>
      <c r="AX243">
        <v>1.8215762454650035</v>
      </c>
      <c r="AY243">
        <v>0.3235385109073674</v>
      </c>
      <c r="AZ243">
        <v>3.329139315924623</v>
      </c>
      <c r="BA243">
        <v>2.0182858105695831</v>
      </c>
      <c r="BB243" s="97" t="s">
        <v>161</v>
      </c>
      <c r="BD243" s="98"/>
      <c r="BE243" s="98"/>
      <c r="BF243" t="s">
        <v>1152</v>
      </c>
      <c r="BG243" t="s">
        <v>322</v>
      </c>
      <c r="BH243" t="s">
        <v>1153</v>
      </c>
      <c r="BI243">
        <v>0.3235385109073674</v>
      </c>
      <c r="BJ243" t="s">
        <v>991</v>
      </c>
      <c r="BK243">
        <v>0.67086068407537702</v>
      </c>
      <c r="BL243">
        <v>16.771517101884427</v>
      </c>
      <c r="BM243" t="s">
        <v>1260</v>
      </c>
      <c r="BN243" t="s">
        <v>1154</v>
      </c>
      <c r="BO243">
        <v>2025</v>
      </c>
      <c r="BP243" t="s">
        <v>966</v>
      </c>
      <c r="BQ243">
        <v>302129.4357621033</v>
      </c>
      <c r="BR243">
        <v>69.787056423789664</v>
      </c>
      <c r="BS243" t="s">
        <v>992</v>
      </c>
      <c r="BV243" t="s">
        <v>1034</v>
      </c>
      <c r="BW243" t="s">
        <v>943</v>
      </c>
      <c r="BX243" t="s">
        <v>994</v>
      </c>
      <c r="BY243">
        <v>2.0182858105695831</v>
      </c>
      <c r="BZ243" t="s">
        <v>1155</v>
      </c>
      <c r="CA243" t="s">
        <v>991</v>
      </c>
      <c r="CB243" t="b">
        <v>1</v>
      </c>
      <c r="CC243" t="b">
        <v>1</v>
      </c>
      <c r="CD243" t="b">
        <v>1</v>
      </c>
      <c r="CE243" t="b">
        <v>1</v>
      </c>
      <c r="CF243" t="b">
        <v>1</v>
      </c>
    </row>
    <row r="244" spans="1:84" x14ac:dyDescent="0.3">
      <c r="A244" t="s">
        <v>1697</v>
      </c>
      <c r="B244" t="s">
        <v>1225</v>
      </c>
      <c r="C244" s="98">
        <v>45782</v>
      </c>
      <c r="D244">
        <v>2025</v>
      </c>
      <c r="E244">
        <v>5</v>
      </c>
      <c r="F244">
        <v>2</v>
      </c>
      <c r="G244" t="s">
        <v>1226</v>
      </c>
      <c r="H244" t="s">
        <v>128</v>
      </c>
      <c r="I244" t="s">
        <v>128</v>
      </c>
      <c r="J244" t="s">
        <v>6</v>
      </c>
      <c r="L244">
        <v>522611</v>
      </c>
      <c r="M244" s="99" t="s">
        <v>178</v>
      </c>
      <c r="N244">
        <v>1</v>
      </c>
      <c r="O244">
        <v>18</v>
      </c>
      <c r="P244">
        <v>16.608899999999998</v>
      </c>
      <c r="Q244" t="s">
        <v>352</v>
      </c>
      <c r="R244">
        <v>1</v>
      </c>
      <c r="S244">
        <v>16.634499999999999</v>
      </c>
      <c r="T244">
        <v>0.30969999999999998</v>
      </c>
      <c r="U244">
        <v>-8.2660639328384675E-2</v>
      </c>
      <c r="V244">
        <v>15.705399999999999</v>
      </c>
      <c r="W244">
        <v>16.0151</v>
      </c>
      <c r="X244">
        <v>16.3248</v>
      </c>
      <c r="Y244">
        <v>16.944199999999999</v>
      </c>
      <c r="Z244">
        <v>17.253899999999998</v>
      </c>
      <c r="AA244">
        <v>17.563599999999997</v>
      </c>
      <c r="AD244">
        <v>4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 t="s">
        <v>462</v>
      </c>
      <c r="AL244" t="s">
        <v>6</v>
      </c>
      <c r="AM244" t="s">
        <v>1145</v>
      </c>
      <c r="AN244" t="s">
        <v>1146</v>
      </c>
      <c r="AO244" s="100">
        <v>46262.040405092594</v>
      </c>
      <c r="AP244" t="s">
        <v>1147</v>
      </c>
      <c r="AQ244" t="s">
        <v>1698</v>
      </c>
      <c r="AR244" t="s">
        <v>1228</v>
      </c>
      <c r="AS244" t="s">
        <v>1150</v>
      </c>
      <c r="AT244" t="s">
        <v>1664</v>
      </c>
      <c r="AU244">
        <v>25</v>
      </c>
      <c r="AV244">
        <v>16.550387999999998</v>
      </c>
      <c r="AW244">
        <v>0.30147793634029046</v>
      </c>
      <c r="AX244">
        <v>1.8215762454650035</v>
      </c>
      <c r="AY244">
        <v>0.3235385109073674</v>
      </c>
      <c r="AZ244">
        <v>3.329139315924623</v>
      </c>
      <c r="BA244">
        <v>2.0182858105695831</v>
      </c>
      <c r="BB244" s="97" t="s">
        <v>161</v>
      </c>
      <c r="BD244" s="98"/>
      <c r="BE244" s="98"/>
      <c r="BF244" t="s">
        <v>1152</v>
      </c>
      <c r="BG244" t="s">
        <v>322</v>
      </c>
      <c r="BH244" t="s">
        <v>1153</v>
      </c>
      <c r="BI244">
        <v>0.3235385109073674</v>
      </c>
      <c r="BJ244" t="s">
        <v>991</v>
      </c>
      <c r="BK244">
        <v>0.67086068407537702</v>
      </c>
      <c r="BL244">
        <v>16.771517101884427</v>
      </c>
      <c r="BM244" t="s">
        <v>1260</v>
      </c>
      <c r="BN244" t="s">
        <v>1154</v>
      </c>
      <c r="BO244">
        <v>2025</v>
      </c>
      <c r="BP244" t="s">
        <v>966</v>
      </c>
      <c r="BQ244">
        <v>302129.4357621033</v>
      </c>
      <c r="BR244">
        <v>69.787056423789664</v>
      </c>
      <c r="BS244" t="s">
        <v>992</v>
      </c>
      <c r="BV244" t="s">
        <v>1034</v>
      </c>
      <c r="BW244" t="s">
        <v>943</v>
      </c>
      <c r="BX244" t="s">
        <v>994</v>
      </c>
      <c r="BY244">
        <v>2.0182858105695831</v>
      </c>
      <c r="BZ244" t="s">
        <v>1155</v>
      </c>
      <c r="CA244" t="s">
        <v>991</v>
      </c>
      <c r="CB244" t="b">
        <v>1</v>
      </c>
      <c r="CC244" t="b">
        <v>1</v>
      </c>
      <c r="CD244" t="b">
        <v>1</v>
      </c>
      <c r="CE244" t="b">
        <v>1</v>
      </c>
      <c r="CF244" t="b">
        <v>1</v>
      </c>
    </row>
    <row r="245" spans="1:84" x14ac:dyDescent="0.3">
      <c r="A245" t="s">
        <v>1699</v>
      </c>
      <c r="B245" t="s">
        <v>1230</v>
      </c>
      <c r="C245" s="98">
        <v>45789</v>
      </c>
      <c r="D245">
        <v>2025</v>
      </c>
      <c r="E245">
        <v>5</v>
      </c>
      <c r="F245">
        <v>2</v>
      </c>
      <c r="G245" t="s">
        <v>1226</v>
      </c>
      <c r="H245" t="s">
        <v>128</v>
      </c>
      <c r="I245" t="s">
        <v>128</v>
      </c>
      <c r="J245" t="s">
        <v>6</v>
      </c>
      <c r="L245">
        <v>522611</v>
      </c>
      <c r="M245" s="99" t="s">
        <v>178</v>
      </c>
      <c r="N245">
        <v>1</v>
      </c>
      <c r="O245">
        <v>19</v>
      </c>
      <c r="P245">
        <v>16.659600000000001</v>
      </c>
      <c r="Q245" t="s">
        <v>352</v>
      </c>
      <c r="R245">
        <v>1</v>
      </c>
      <c r="S245">
        <v>16.634499999999999</v>
      </c>
      <c r="T245">
        <v>0.30969999999999998</v>
      </c>
      <c r="U245">
        <v>8.1046173716505979E-2</v>
      </c>
      <c r="V245">
        <v>15.705399999999999</v>
      </c>
      <c r="W245">
        <v>16.0151</v>
      </c>
      <c r="X245">
        <v>16.3248</v>
      </c>
      <c r="Y245">
        <v>16.944199999999999</v>
      </c>
      <c r="Z245">
        <v>17.253899999999998</v>
      </c>
      <c r="AA245">
        <v>17.563599999999997</v>
      </c>
      <c r="AD245">
        <v>4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 t="s">
        <v>462</v>
      </c>
      <c r="AL245" t="s">
        <v>6</v>
      </c>
      <c r="AM245" t="s">
        <v>1145</v>
      </c>
      <c r="AN245" t="s">
        <v>1146</v>
      </c>
      <c r="AO245" s="100">
        <v>46262.040405092594</v>
      </c>
      <c r="AP245" t="s">
        <v>1147</v>
      </c>
      <c r="AQ245" t="s">
        <v>1700</v>
      </c>
      <c r="AR245" t="s">
        <v>1232</v>
      </c>
      <c r="AS245" t="s">
        <v>1150</v>
      </c>
      <c r="AT245" t="s">
        <v>1664</v>
      </c>
      <c r="AU245">
        <v>25</v>
      </c>
      <c r="AV245">
        <v>16.550387999999998</v>
      </c>
      <c r="AW245">
        <v>0.30147793634029046</v>
      </c>
      <c r="AX245">
        <v>1.8215762454650035</v>
      </c>
      <c r="AY245">
        <v>0.3235385109073674</v>
      </c>
      <c r="AZ245">
        <v>3.329139315924623</v>
      </c>
      <c r="BA245">
        <v>2.0182858105695831</v>
      </c>
      <c r="BB245" s="97" t="s">
        <v>161</v>
      </c>
      <c r="BD245" s="98"/>
      <c r="BE245" s="98"/>
      <c r="BF245" t="s">
        <v>1152</v>
      </c>
      <c r="BG245" t="s">
        <v>322</v>
      </c>
      <c r="BH245" t="s">
        <v>1153</v>
      </c>
      <c r="BI245">
        <v>0.3235385109073674</v>
      </c>
      <c r="BJ245" t="s">
        <v>991</v>
      </c>
      <c r="BK245">
        <v>0.67086068407537702</v>
      </c>
      <c r="BL245">
        <v>16.771517101884427</v>
      </c>
      <c r="BM245" t="s">
        <v>1260</v>
      </c>
      <c r="BN245" t="s">
        <v>1154</v>
      </c>
      <c r="BO245">
        <v>2025</v>
      </c>
      <c r="BP245" t="s">
        <v>966</v>
      </c>
      <c r="BQ245">
        <v>302129.4357621033</v>
      </c>
      <c r="BR245">
        <v>69.787056423789664</v>
      </c>
      <c r="BS245" t="s">
        <v>992</v>
      </c>
      <c r="BV245" t="s">
        <v>1034</v>
      </c>
      <c r="BW245" t="s">
        <v>943</v>
      </c>
      <c r="BX245" t="s">
        <v>994</v>
      </c>
      <c r="BY245">
        <v>2.0182858105695831</v>
      </c>
      <c r="BZ245" t="s">
        <v>1155</v>
      </c>
      <c r="CA245" t="s">
        <v>991</v>
      </c>
      <c r="CB245" t="b">
        <v>1</v>
      </c>
      <c r="CC245" t="b">
        <v>1</v>
      </c>
      <c r="CD245" t="b">
        <v>1</v>
      </c>
      <c r="CE245" t="b">
        <v>1</v>
      </c>
      <c r="CF245" t="b">
        <v>1</v>
      </c>
    </row>
    <row r="246" spans="1:84" x14ac:dyDescent="0.3">
      <c r="A246" t="s">
        <v>1701</v>
      </c>
      <c r="B246" t="s">
        <v>1234</v>
      </c>
      <c r="C246" s="98">
        <v>45796</v>
      </c>
      <c r="D246">
        <v>2025</v>
      </c>
      <c r="E246">
        <v>5</v>
      </c>
      <c r="F246">
        <v>2</v>
      </c>
      <c r="G246" t="s">
        <v>1226</v>
      </c>
      <c r="H246" t="s">
        <v>128</v>
      </c>
      <c r="I246" t="s">
        <v>128</v>
      </c>
      <c r="J246" t="s">
        <v>6</v>
      </c>
      <c r="L246">
        <v>522611</v>
      </c>
      <c r="M246" s="99" t="s">
        <v>178</v>
      </c>
      <c r="N246">
        <v>1</v>
      </c>
      <c r="O246">
        <v>20</v>
      </c>
      <c r="P246">
        <v>16.5444</v>
      </c>
      <c r="Q246" t="s">
        <v>352</v>
      </c>
      <c r="R246">
        <v>1</v>
      </c>
      <c r="S246">
        <v>16.634499999999999</v>
      </c>
      <c r="T246">
        <v>0.30969999999999998</v>
      </c>
      <c r="U246">
        <v>-0.29092670326121933</v>
      </c>
      <c r="V246">
        <v>15.705399999999999</v>
      </c>
      <c r="W246">
        <v>16.0151</v>
      </c>
      <c r="X246">
        <v>16.3248</v>
      </c>
      <c r="Y246">
        <v>16.944199999999999</v>
      </c>
      <c r="Z246">
        <v>17.253899999999998</v>
      </c>
      <c r="AA246">
        <v>17.563599999999997</v>
      </c>
      <c r="AD246">
        <v>4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 t="s">
        <v>462</v>
      </c>
      <c r="AL246" t="s">
        <v>6</v>
      </c>
      <c r="AM246" t="s">
        <v>1145</v>
      </c>
      <c r="AN246" t="s">
        <v>1146</v>
      </c>
      <c r="AO246" s="100">
        <v>46262.040405092594</v>
      </c>
      <c r="AP246" t="s">
        <v>1147</v>
      </c>
      <c r="AQ246" t="s">
        <v>1702</v>
      </c>
      <c r="AR246" t="s">
        <v>1236</v>
      </c>
      <c r="AS246" t="s">
        <v>1150</v>
      </c>
      <c r="AT246" t="s">
        <v>1664</v>
      </c>
      <c r="AU246">
        <v>25</v>
      </c>
      <c r="AV246">
        <v>16.550387999999998</v>
      </c>
      <c r="AW246">
        <v>0.30147793634029046</v>
      </c>
      <c r="AX246">
        <v>1.8215762454650035</v>
      </c>
      <c r="AY246">
        <v>0.3235385109073674</v>
      </c>
      <c r="AZ246">
        <v>3.329139315924623</v>
      </c>
      <c r="BA246">
        <v>2.0182858105695831</v>
      </c>
      <c r="BB246" s="97" t="s">
        <v>161</v>
      </c>
      <c r="BD246" s="98"/>
      <c r="BE246" s="98"/>
      <c r="BF246" t="s">
        <v>1152</v>
      </c>
      <c r="BG246" t="s">
        <v>322</v>
      </c>
      <c r="BH246" t="s">
        <v>1153</v>
      </c>
      <c r="BI246">
        <v>0.3235385109073674</v>
      </c>
      <c r="BJ246" t="s">
        <v>991</v>
      </c>
      <c r="BK246">
        <v>0.67086068407537702</v>
      </c>
      <c r="BL246">
        <v>16.771517101884427</v>
      </c>
      <c r="BM246" t="s">
        <v>1260</v>
      </c>
      <c r="BN246" t="s">
        <v>1154</v>
      </c>
      <c r="BO246">
        <v>2025</v>
      </c>
      <c r="BP246" t="s">
        <v>966</v>
      </c>
      <c r="BQ246">
        <v>302129.4357621033</v>
      </c>
      <c r="BR246">
        <v>69.787056423789664</v>
      </c>
      <c r="BS246" t="s">
        <v>992</v>
      </c>
      <c r="BV246" t="s">
        <v>1034</v>
      </c>
      <c r="BW246" t="s">
        <v>943</v>
      </c>
      <c r="BX246" t="s">
        <v>994</v>
      </c>
      <c r="BY246">
        <v>2.0182858105695831</v>
      </c>
      <c r="BZ246" t="s">
        <v>1155</v>
      </c>
      <c r="CA246" t="s">
        <v>991</v>
      </c>
      <c r="CB246" t="b">
        <v>1</v>
      </c>
      <c r="CC246" t="b">
        <v>1</v>
      </c>
      <c r="CD246" t="b">
        <v>1</v>
      </c>
      <c r="CE246" t="b">
        <v>1</v>
      </c>
      <c r="CF246" t="b">
        <v>1</v>
      </c>
    </row>
    <row r="247" spans="1:84" x14ac:dyDescent="0.3">
      <c r="A247" t="s">
        <v>1703</v>
      </c>
      <c r="B247" t="s">
        <v>1238</v>
      </c>
      <c r="C247" s="98">
        <v>45803</v>
      </c>
      <c r="D247">
        <v>2025</v>
      </c>
      <c r="E247">
        <v>5</v>
      </c>
      <c r="F247">
        <v>2</v>
      </c>
      <c r="G247" t="s">
        <v>1226</v>
      </c>
      <c r="H247" t="s">
        <v>128</v>
      </c>
      <c r="I247" t="s">
        <v>128</v>
      </c>
      <c r="J247" t="s">
        <v>6</v>
      </c>
      <c r="L247">
        <v>522611</v>
      </c>
      <c r="M247" s="99" t="s">
        <v>178</v>
      </c>
      <c r="N247">
        <v>1</v>
      </c>
      <c r="O247">
        <v>21</v>
      </c>
      <c r="P247">
        <v>16.992000000000001</v>
      </c>
      <c r="Q247" t="s">
        <v>352</v>
      </c>
      <c r="R247">
        <v>1</v>
      </c>
      <c r="S247">
        <v>16.634499999999999</v>
      </c>
      <c r="T247">
        <v>0.30969999999999998</v>
      </c>
      <c r="U247">
        <v>1.1543429124959694</v>
      </c>
      <c r="V247">
        <v>15.705399999999999</v>
      </c>
      <c r="W247">
        <v>16.0151</v>
      </c>
      <c r="X247">
        <v>16.3248</v>
      </c>
      <c r="Y247">
        <v>16.944199999999999</v>
      </c>
      <c r="Z247">
        <v>17.253899999999998</v>
      </c>
      <c r="AA247">
        <v>17.563599999999997</v>
      </c>
      <c r="AD247">
        <v>4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 t="s">
        <v>462</v>
      </c>
      <c r="AL247" t="s">
        <v>6</v>
      </c>
      <c r="AM247" t="s">
        <v>1145</v>
      </c>
      <c r="AN247" t="s">
        <v>1146</v>
      </c>
      <c r="AO247" s="100">
        <v>46262.040405092594</v>
      </c>
      <c r="AP247" t="s">
        <v>1147</v>
      </c>
      <c r="AQ247" t="s">
        <v>1704</v>
      </c>
      <c r="AR247" t="s">
        <v>1240</v>
      </c>
      <c r="AS247" t="s">
        <v>1150</v>
      </c>
      <c r="AT247" t="s">
        <v>1664</v>
      </c>
      <c r="AU247">
        <v>25</v>
      </c>
      <c r="AV247">
        <v>16.550387999999998</v>
      </c>
      <c r="AW247">
        <v>0.30147793634029046</v>
      </c>
      <c r="AX247">
        <v>1.8215762454650035</v>
      </c>
      <c r="AY247">
        <v>0.3235385109073674</v>
      </c>
      <c r="AZ247">
        <v>3.329139315924623</v>
      </c>
      <c r="BA247">
        <v>2.0182858105695831</v>
      </c>
      <c r="BB247" s="97" t="s">
        <v>161</v>
      </c>
      <c r="BD247" s="98"/>
      <c r="BE247" s="98"/>
      <c r="BF247" t="s">
        <v>1152</v>
      </c>
      <c r="BG247" t="s">
        <v>322</v>
      </c>
      <c r="BH247" t="s">
        <v>1153</v>
      </c>
      <c r="BI247">
        <v>0.3235385109073674</v>
      </c>
      <c r="BJ247" t="s">
        <v>991</v>
      </c>
      <c r="BK247">
        <v>0.67086068407537702</v>
      </c>
      <c r="BL247">
        <v>16.771517101884427</v>
      </c>
      <c r="BM247" t="s">
        <v>1260</v>
      </c>
      <c r="BN247" t="s">
        <v>1154</v>
      </c>
      <c r="BO247">
        <v>2025</v>
      </c>
      <c r="BP247" t="s">
        <v>966</v>
      </c>
      <c r="BQ247">
        <v>302129.4357621033</v>
      </c>
      <c r="BR247">
        <v>69.787056423789664</v>
      </c>
      <c r="BS247" t="s">
        <v>992</v>
      </c>
      <c r="BV247" t="s">
        <v>1034</v>
      </c>
      <c r="BW247" t="s">
        <v>943</v>
      </c>
      <c r="BX247" t="s">
        <v>994</v>
      </c>
      <c r="BY247">
        <v>2.0182858105695831</v>
      </c>
      <c r="BZ247" t="s">
        <v>1155</v>
      </c>
      <c r="CA247" t="s">
        <v>991</v>
      </c>
      <c r="CB247" t="b">
        <v>1</v>
      </c>
      <c r="CC247" t="b">
        <v>1</v>
      </c>
      <c r="CD247" t="b">
        <v>1</v>
      </c>
      <c r="CE247" t="b">
        <v>1</v>
      </c>
      <c r="CF247" t="b">
        <v>1</v>
      </c>
    </row>
    <row r="248" spans="1:84" x14ac:dyDescent="0.3">
      <c r="A248" t="s">
        <v>1705</v>
      </c>
      <c r="B248" t="s">
        <v>1242</v>
      </c>
      <c r="C248" s="98">
        <v>45810</v>
      </c>
      <c r="D248">
        <v>2025</v>
      </c>
      <c r="E248">
        <v>6</v>
      </c>
      <c r="F248">
        <v>2</v>
      </c>
      <c r="G248" t="s">
        <v>1243</v>
      </c>
      <c r="H248" t="s">
        <v>128</v>
      </c>
      <c r="I248" t="s">
        <v>128</v>
      </c>
      <c r="J248" t="s">
        <v>6</v>
      </c>
      <c r="L248">
        <v>522611</v>
      </c>
      <c r="M248" s="99" t="s">
        <v>178</v>
      </c>
      <c r="N248">
        <v>1</v>
      </c>
      <c r="O248">
        <v>22</v>
      </c>
      <c r="P248">
        <v>16.627800000000001</v>
      </c>
      <c r="Q248" t="s">
        <v>352</v>
      </c>
      <c r="R248">
        <v>1</v>
      </c>
      <c r="S248">
        <v>16.634499999999999</v>
      </c>
      <c r="T248">
        <v>0.30969999999999998</v>
      </c>
      <c r="U248">
        <v>-2.1633839199220524E-2</v>
      </c>
      <c r="V248">
        <v>15.705399999999999</v>
      </c>
      <c r="W248">
        <v>16.0151</v>
      </c>
      <c r="X248">
        <v>16.3248</v>
      </c>
      <c r="Y248">
        <v>16.944199999999999</v>
      </c>
      <c r="Z248">
        <v>17.253899999999998</v>
      </c>
      <c r="AA248">
        <v>17.563599999999997</v>
      </c>
      <c r="AD248">
        <v>4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 t="s">
        <v>462</v>
      </c>
      <c r="AL248" t="s">
        <v>6</v>
      </c>
      <c r="AM248" t="s">
        <v>1145</v>
      </c>
      <c r="AN248" t="s">
        <v>1146</v>
      </c>
      <c r="AO248" s="100">
        <v>46262.040405092594</v>
      </c>
      <c r="AP248" t="s">
        <v>1147</v>
      </c>
      <c r="AQ248" t="s">
        <v>1706</v>
      </c>
      <c r="AR248" t="s">
        <v>1245</v>
      </c>
      <c r="AS248" t="s">
        <v>1150</v>
      </c>
      <c r="AT248" t="s">
        <v>1664</v>
      </c>
      <c r="AU248">
        <v>25</v>
      </c>
      <c r="AV248">
        <v>16.550387999999998</v>
      </c>
      <c r="AW248">
        <v>0.30147793634029046</v>
      </c>
      <c r="AX248">
        <v>1.8215762454650035</v>
      </c>
      <c r="AY248">
        <v>0.3235385109073674</v>
      </c>
      <c r="AZ248">
        <v>3.329139315924623</v>
      </c>
      <c r="BA248">
        <v>2.0182858105695831</v>
      </c>
      <c r="BB248" s="97" t="s">
        <v>161</v>
      </c>
      <c r="BD248" s="98"/>
      <c r="BE248" s="98"/>
      <c r="BF248" t="s">
        <v>1152</v>
      </c>
      <c r="BG248" t="s">
        <v>322</v>
      </c>
      <c r="BH248" t="s">
        <v>1153</v>
      </c>
      <c r="BI248">
        <v>0.3235385109073674</v>
      </c>
      <c r="BJ248" t="s">
        <v>991</v>
      </c>
      <c r="BK248">
        <v>0.67086068407537702</v>
      </c>
      <c r="BL248">
        <v>16.771517101884427</v>
      </c>
      <c r="BM248" t="s">
        <v>1260</v>
      </c>
      <c r="BN248" t="s">
        <v>1154</v>
      </c>
      <c r="BO248">
        <v>2025</v>
      </c>
      <c r="BP248" t="s">
        <v>966</v>
      </c>
      <c r="BQ248">
        <v>302129.4357621033</v>
      </c>
      <c r="BR248">
        <v>69.787056423789664</v>
      </c>
      <c r="BS248" t="s">
        <v>992</v>
      </c>
      <c r="BV248" t="s">
        <v>1034</v>
      </c>
      <c r="BW248" t="s">
        <v>943</v>
      </c>
      <c r="BX248" t="s">
        <v>994</v>
      </c>
      <c r="BY248">
        <v>2.0182858105695831</v>
      </c>
      <c r="BZ248" t="s">
        <v>1155</v>
      </c>
      <c r="CA248" t="s">
        <v>991</v>
      </c>
      <c r="CB248" t="b">
        <v>1</v>
      </c>
      <c r="CC248" t="b">
        <v>1</v>
      </c>
      <c r="CD248" t="b">
        <v>1</v>
      </c>
      <c r="CE248" t="b">
        <v>1</v>
      </c>
      <c r="CF248" t="b">
        <v>1</v>
      </c>
    </row>
    <row r="249" spans="1:84" x14ac:dyDescent="0.3">
      <c r="A249" t="s">
        <v>1707</v>
      </c>
      <c r="B249" t="s">
        <v>1247</v>
      </c>
      <c r="C249" s="98">
        <v>45817</v>
      </c>
      <c r="D249">
        <v>2025</v>
      </c>
      <c r="E249">
        <v>6</v>
      </c>
      <c r="F249">
        <v>2</v>
      </c>
      <c r="G249" t="s">
        <v>1243</v>
      </c>
      <c r="H249" t="s">
        <v>128</v>
      </c>
      <c r="I249" t="s">
        <v>128</v>
      </c>
      <c r="J249" t="s">
        <v>6</v>
      </c>
      <c r="L249">
        <v>522611</v>
      </c>
      <c r="M249" s="99" t="s">
        <v>178</v>
      </c>
      <c r="N249">
        <v>1</v>
      </c>
      <c r="O249">
        <v>23</v>
      </c>
      <c r="P249">
        <v>15.952999999999999</v>
      </c>
      <c r="Q249" t="s">
        <v>352</v>
      </c>
      <c r="R249">
        <v>1</v>
      </c>
      <c r="S249">
        <v>16.634499999999999</v>
      </c>
      <c r="T249">
        <v>0.30969999999999998</v>
      </c>
      <c r="U249">
        <v>-2.200516628995802</v>
      </c>
      <c r="V249">
        <v>15.705399999999999</v>
      </c>
      <c r="W249">
        <v>16.0151</v>
      </c>
      <c r="X249">
        <v>16.3248</v>
      </c>
      <c r="Y249">
        <v>16.944199999999999</v>
      </c>
      <c r="Z249">
        <v>17.253899999999998</v>
      </c>
      <c r="AA249">
        <v>17.563599999999997</v>
      </c>
      <c r="AD249">
        <v>4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1</v>
      </c>
      <c r="AK249" t="s">
        <v>462</v>
      </c>
      <c r="AL249" t="s">
        <v>6</v>
      </c>
      <c r="AM249" t="s">
        <v>1145</v>
      </c>
      <c r="AN249" t="s">
        <v>1146</v>
      </c>
      <c r="AO249" s="100">
        <v>46262.040405092594</v>
      </c>
      <c r="AP249" t="s">
        <v>1147</v>
      </c>
      <c r="AQ249" t="s">
        <v>1708</v>
      </c>
      <c r="AR249" t="s">
        <v>1249</v>
      </c>
      <c r="AS249" t="s">
        <v>1150</v>
      </c>
      <c r="AT249" t="s">
        <v>1664</v>
      </c>
      <c r="AU249">
        <v>25</v>
      </c>
      <c r="AV249">
        <v>16.550387999999998</v>
      </c>
      <c r="AW249">
        <v>0.30147793634029046</v>
      </c>
      <c r="AX249">
        <v>1.8215762454650035</v>
      </c>
      <c r="AY249">
        <v>0.3235385109073674</v>
      </c>
      <c r="AZ249">
        <v>3.329139315924623</v>
      </c>
      <c r="BA249">
        <v>2.0182858105695831</v>
      </c>
      <c r="BB249" s="97" t="s">
        <v>161</v>
      </c>
      <c r="BD249" s="98"/>
      <c r="BE249" s="98"/>
      <c r="BF249" t="s">
        <v>1152</v>
      </c>
      <c r="BG249" t="s">
        <v>322</v>
      </c>
      <c r="BH249" t="s">
        <v>1153</v>
      </c>
      <c r="BI249">
        <v>0.3235385109073674</v>
      </c>
      <c r="BJ249" t="s">
        <v>991</v>
      </c>
      <c r="BK249">
        <v>0.67086068407537702</v>
      </c>
      <c r="BL249">
        <v>16.771517101884427</v>
      </c>
      <c r="BM249" t="s">
        <v>1260</v>
      </c>
      <c r="BN249" t="s">
        <v>1154</v>
      </c>
      <c r="BO249">
        <v>2025</v>
      </c>
      <c r="BP249" t="s">
        <v>966</v>
      </c>
      <c r="BQ249">
        <v>302129.4357621033</v>
      </c>
      <c r="BR249">
        <v>69.787056423789664</v>
      </c>
      <c r="BS249" t="s">
        <v>992</v>
      </c>
      <c r="BV249" t="s">
        <v>1034</v>
      </c>
      <c r="BW249" t="s">
        <v>943</v>
      </c>
      <c r="BX249" t="s">
        <v>994</v>
      </c>
      <c r="BY249">
        <v>2.0182858105695831</v>
      </c>
      <c r="BZ249" t="s">
        <v>1155</v>
      </c>
      <c r="CA249" t="s">
        <v>991</v>
      </c>
      <c r="CB249" t="b">
        <v>1</v>
      </c>
      <c r="CC249" t="b">
        <v>1</v>
      </c>
      <c r="CD249" t="b">
        <v>1</v>
      </c>
      <c r="CE249" t="b">
        <v>1</v>
      </c>
      <c r="CF249" t="b">
        <v>1</v>
      </c>
    </row>
    <row r="250" spans="1:84" x14ac:dyDescent="0.3">
      <c r="A250" t="s">
        <v>1709</v>
      </c>
      <c r="B250" t="s">
        <v>1251</v>
      </c>
      <c r="C250" s="98">
        <v>45824</v>
      </c>
      <c r="D250">
        <v>2025</v>
      </c>
      <c r="E250">
        <v>6</v>
      </c>
      <c r="F250">
        <v>2</v>
      </c>
      <c r="G250" t="s">
        <v>1243</v>
      </c>
      <c r="H250" t="s">
        <v>128</v>
      </c>
      <c r="I250" t="s">
        <v>128</v>
      </c>
      <c r="J250" t="s">
        <v>6</v>
      </c>
      <c r="L250">
        <v>522611</v>
      </c>
      <c r="M250" s="99" t="s">
        <v>178</v>
      </c>
      <c r="N250">
        <v>1</v>
      </c>
      <c r="O250">
        <v>24</v>
      </c>
      <c r="P250">
        <v>16.420200000000001</v>
      </c>
      <c r="Q250" t="s">
        <v>352</v>
      </c>
      <c r="R250">
        <v>1</v>
      </c>
      <c r="S250">
        <v>16.634499999999999</v>
      </c>
      <c r="T250">
        <v>0.30969999999999998</v>
      </c>
      <c r="U250">
        <v>-0.69195996125281867</v>
      </c>
      <c r="V250">
        <v>15.705399999999999</v>
      </c>
      <c r="W250">
        <v>16.0151</v>
      </c>
      <c r="X250">
        <v>16.3248</v>
      </c>
      <c r="Y250">
        <v>16.944199999999999</v>
      </c>
      <c r="Z250">
        <v>17.253899999999998</v>
      </c>
      <c r="AA250">
        <v>17.563599999999997</v>
      </c>
      <c r="AD250">
        <v>4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 t="s">
        <v>462</v>
      </c>
      <c r="AL250" t="s">
        <v>6</v>
      </c>
      <c r="AM250" t="s">
        <v>1145</v>
      </c>
      <c r="AN250" t="s">
        <v>1146</v>
      </c>
      <c r="AO250" s="100">
        <v>46262.040405092594</v>
      </c>
      <c r="AP250" t="s">
        <v>1147</v>
      </c>
      <c r="AQ250" t="s">
        <v>1710</v>
      </c>
      <c r="AR250" t="s">
        <v>1253</v>
      </c>
      <c r="AS250" t="s">
        <v>1150</v>
      </c>
      <c r="AT250" t="s">
        <v>1664</v>
      </c>
      <c r="AU250">
        <v>25</v>
      </c>
      <c r="AV250">
        <v>16.550387999999998</v>
      </c>
      <c r="AW250">
        <v>0.30147793634029046</v>
      </c>
      <c r="AX250">
        <v>1.8215762454650035</v>
      </c>
      <c r="AY250">
        <v>0.3235385109073674</v>
      </c>
      <c r="AZ250">
        <v>3.329139315924623</v>
      </c>
      <c r="BA250">
        <v>2.0182858105695831</v>
      </c>
      <c r="BB250" s="97" t="s">
        <v>161</v>
      </c>
      <c r="BD250" s="98"/>
      <c r="BE250" s="98"/>
      <c r="BF250" t="s">
        <v>1152</v>
      </c>
      <c r="BG250" t="s">
        <v>322</v>
      </c>
      <c r="BH250" t="s">
        <v>1153</v>
      </c>
      <c r="BI250">
        <v>0.3235385109073674</v>
      </c>
      <c r="BJ250" t="s">
        <v>991</v>
      </c>
      <c r="BK250">
        <v>0.67086068407537702</v>
      </c>
      <c r="BL250">
        <v>16.771517101884427</v>
      </c>
      <c r="BM250" t="s">
        <v>1260</v>
      </c>
      <c r="BN250" t="s">
        <v>1154</v>
      </c>
      <c r="BO250">
        <v>2025</v>
      </c>
      <c r="BP250" t="s">
        <v>966</v>
      </c>
      <c r="BQ250">
        <v>302129.4357621033</v>
      </c>
      <c r="BR250">
        <v>69.787056423789664</v>
      </c>
      <c r="BS250" t="s">
        <v>992</v>
      </c>
      <c r="BV250" t="s">
        <v>1034</v>
      </c>
      <c r="BW250" t="s">
        <v>943</v>
      </c>
      <c r="BX250" t="s">
        <v>994</v>
      </c>
      <c r="BY250">
        <v>2.0182858105695831</v>
      </c>
      <c r="BZ250" t="s">
        <v>1155</v>
      </c>
      <c r="CA250" t="s">
        <v>991</v>
      </c>
      <c r="CB250" t="b">
        <v>1</v>
      </c>
      <c r="CC250" t="b">
        <v>1</v>
      </c>
      <c r="CD250" t="b">
        <v>1</v>
      </c>
      <c r="CE250" t="b">
        <v>1</v>
      </c>
      <c r="CF250" t="b">
        <v>1</v>
      </c>
    </row>
    <row r="251" spans="1:84" x14ac:dyDescent="0.3">
      <c r="A251" t="s">
        <v>1711</v>
      </c>
      <c r="B251" t="s">
        <v>1255</v>
      </c>
      <c r="C251" s="98">
        <v>45831</v>
      </c>
      <c r="D251">
        <v>2025</v>
      </c>
      <c r="E251">
        <v>6</v>
      </c>
      <c r="F251">
        <v>2</v>
      </c>
      <c r="G251" t="s">
        <v>1243</v>
      </c>
      <c r="H251" t="s">
        <v>128</v>
      </c>
      <c r="I251" t="s">
        <v>128</v>
      </c>
      <c r="J251" t="s">
        <v>6</v>
      </c>
      <c r="L251">
        <v>522611</v>
      </c>
      <c r="M251" s="99" t="s">
        <v>178</v>
      </c>
      <c r="N251">
        <v>1</v>
      </c>
      <c r="O251">
        <v>25</v>
      </c>
      <c r="P251">
        <v>16.024799999999999</v>
      </c>
      <c r="Q251" t="s">
        <v>352</v>
      </c>
      <c r="R251">
        <v>1</v>
      </c>
      <c r="S251">
        <v>16.634499999999999</v>
      </c>
      <c r="T251">
        <v>0.30969999999999998</v>
      </c>
      <c r="U251">
        <v>-1.9686793671294807</v>
      </c>
      <c r="V251">
        <v>15.705399999999999</v>
      </c>
      <c r="W251">
        <v>16.0151</v>
      </c>
      <c r="X251">
        <v>16.3248</v>
      </c>
      <c r="Y251">
        <v>16.944199999999999</v>
      </c>
      <c r="Z251">
        <v>17.253899999999998</v>
      </c>
      <c r="AA251">
        <v>17.563599999999997</v>
      </c>
      <c r="AD251">
        <v>4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 t="s">
        <v>462</v>
      </c>
      <c r="AL251" t="s">
        <v>6</v>
      </c>
      <c r="AM251" t="s">
        <v>1145</v>
      </c>
      <c r="AN251" t="s">
        <v>1146</v>
      </c>
      <c r="AO251" s="100">
        <v>46262.040405092594</v>
      </c>
      <c r="AP251" t="s">
        <v>1147</v>
      </c>
      <c r="AQ251" t="s">
        <v>1712</v>
      </c>
      <c r="AR251" t="s">
        <v>1257</v>
      </c>
      <c r="AS251" t="s">
        <v>1150</v>
      </c>
      <c r="AT251" t="s">
        <v>1664</v>
      </c>
      <c r="AU251">
        <v>25</v>
      </c>
      <c r="AV251">
        <v>16.550387999999998</v>
      </c>
      <c r="AW251">
        <v>0.30147793634029046</v>
      </c>
      <c r="AX251">
        <v>1.8215762454650035</v>
      </c>
      <c r="AY251">
        <v>0.3235385109073674</v>
      </c>
      <c r="AZ251">
        <v>3.329139315924623</v>
      </c>
      <c r="BA251">
        <v>2.0182858105695831</v>
      </c>
      <c r="BB251" s="97" t="s">
        <v>161</v>
      </c>
      <c r="BD251" s="98"/>
      <c r="BE251" s="98"/>
      <c r="BF251" t="s">
        <v>1152</v>
      </c>
      <c r="BG251" t="s">
        <v>322</v>
      </c>
      <c r="BH251" t="s">
        <v>1153</v>
      </c>
      <c r="BI251">
        <v>0.3235385109073674</v>
      </c>
      <c r="BJ251" t="s">
        <v>991</v>
      </c>
      <c r="BK251">
        <v>0.67086068407537702</v>
      </c>
      <c r="BL251">
        <v>16.771517101884427</v>
      </c>
      <c r="BM251" t="s">
        <v>1260</v>
      </c>
      <c r="BN251" t="s">
        <v>1154</v>
      </c>
      <c r="BO251">
        <v>2025</v>
      </c>
      <c r="BP251" t="s">
        <v>966</v>
      </c>
      <c r="BQ251">
        <v>302129.4357621033</v>
      </c>
      <c r="BR251">
        <v>69.787056423789664</v>
      </c>
      <c r="BS251" t="s">
        <v>992</v>
      </c>
      <c r="BV251" t="s">
        <v>1034</v>
      </c>
      <c r="BW251" t="s">
        <v>943</v>
      </c>
      <c r="BX251" t="s">
        <v>994</v>
      </c>
      <c r="BY251">
        <v>2.0182858105695831</v>
      </c>
      <c r="BZ251" t="s">
        <v>1155</v>
      </c>
      <c r="CA251" t="s">
        <v>991</v>
      </c>
      <c r="CB251" t="b">
        <v>1</v>
      </c>
      <c r="CC251" t="b">
        <v>1</v>
      </c>
      <c r="CD251" t="b">
        <v>1</v>
      </c>
      <c r="CE251" t="b">
        <v>1</v>
      </c>
      <c r="CF251" t="b">
        <v>1</v>
      </c>
    </row>
    <row r="252" spans="1:84" x14ac:dyDescent="0.3">
      <c r="A252" t="s">
        <v>1713</v>
      </c>
      <c r="B252" t="s">
        <v>1143</v>
      </c>
      <c r="C252" s="98">
        <v>45663</v>
      </c>
      <c r="D252">
        <v>2025</v>
      </c>
      <c r="E252">
        <v>1</v>
      </c>
      <c r="F252">
        <v>1</v>
      </c>
      <c r="G252" t="s">
        <v>1144</v>
      </c>
      <c r="H252" t="s">
        <v>128</v>
      </c>
      <c r="I252" t="s">
        <v>128</v>
      </c>
      <c r="J252" t="s">
        <v>6</v>
      </c>
      <c r="L252">
        <v>522611</v>
      </c>
      <c r="M252" s="99" t="s">
        <v>179</v>
      </c>
      <c r="N252">
        <v>2</v>
      </c>
      <c r="O252">
        <v>1</v>
      </c>
      <c r="P252">
        <v>34.364199999999997</v>
      </c>
      <c r="Q252" t="s">
        <v>352</v>
      </c>
      <c r="R252">
        <v>1</v>
      </c>
      <c r="S252">
        <v>35.834499999999998</v>
      </c>
      <c r="T252">
        <v>0.45219999999999999</v>
      </c>
      <c r="U252">
        <v>-3.2514374170720957</v>
      </c>
      <c r="V252">
        <v>34.477899999999998</v>
      </c>
      <c r="W252">
        <v>34.930099999999996</v>
      </c>
      <c r="X252">
        <v>35.382300000000001</v>
      </c>
      <c r="Y252">
        <v>36.286699999999996</v>
      </c>
      <c r="Z252">
        <v>36.738900000000001</v>
      </c>
      <c r="AA252">
        <v>37.191099999999999</v>
      </c>
      <c r="AD252">
        <v>4</v>
      </c>
      <c r="AE252">
        <v>1</v>
      </c>
      <c r="AF252">
        <v>0</v>
      </c>
      <c r="AG252">
        <v>1</v>
      </c>
      <c r="AH252">
        <v>0</v>
      </c>
      <c r="AI252">
        <v>0</v>
      </c>
      <c r="AJ252">
        <v>1</v>
      </c>
      <c r="AK252" t="s">
        <v>1213</v>
      </c>
      <c r="AL252" t="s">
        <v>6</v>
      </c>
      <c r="AM252" t="s">
        <v>1145</v>
      </c>
      <c r="AN252" t="s">
        <v>1146</v>
      </c>
      <c r="AO252" s="100">
        <v>46262.040405092594</v>
      </c>
      <c r="AP252" t="s">
        <v>1147</v>
      </c>
      <c r="AQ252" t="s">
        <v>1714</v>
      </c>
      <c r="AR252" t="s">
        <v>1149</v>
      </c>
      <c r="AS252" t="s">
        <v>1150</v>
      </c>
      <c r="AT252" t="s">
        <v>1664</v>
      </c>
      <c r="AU252">
        <v>25</v>
      </c>
      <c r="AV252">
        <v>35.802600000000005</v>
      </c>
      <c r="AW252">
        <v>0.49531058185748494</v>
      </c>
      <c r="AX252">
        <v>1.3834486374103694</v>
      </c>
      <c r="AY252">
        <v>0.3235385109073674</v>
      </c>
      <c r="AZ252">
        <v>2.6062287626344767</v>
      </c>
      <c r="BA252">
        <v>2.6574614985161111</v>
      </c>
      <c r="BB252" s="97" t="s">
        <v>161</v>
      </c>
      <c r="BD252" s="98"/>
      <c r="BE252" s="98"/>
      <c r="BF252" t="s">
        <v>1152</v>
      </c>
      <c r="BG252" t="s">
        <v>322</v>
      </c>
      <c r="BH252" t="s">
        <v>1153</v>
      </c>
      <c r="BI252">
        <v>0.3235385109073674</v>
      </c>
      <c r="BJ252" t="s">
        <v>991</v>
      </c>
      <c r="BK252">
        <v>1.3937712373655233</v>
      </c>
      <c r="BL252">
        <v>34.844280934138084</v>
      </c>
      <c r="BM252" t="s">
        <v>1260</v>
      </c>
      <c r="BN252" t="s">
        <v>1154</v>
      </c>
      <c r="BO252">
        <v>2025</v>
      </c>
      <c r="BP252" t="s">
        <v>966</v>
      </c>
      <c r="BQ252">
        <v>302129.4357621033</v>
      </c>
      <c r="BR252">
        <v>69.787056423789664</v>
      </c>
      <c r="BS252" t="s">
        <v>992</v>
      </c>
      <c r="BV252" t="s">
        <v>1034</v>
      </c>
      <c r="BW252" t="s">
        <v>943</v>
      </c>
      <c r="BX252" t="s">
        <v>994</v>
      </c>
      <c r="BY252">
        <v>2.0182858105695831</v>
      </c>
      <c r="BZ252" t="s">
        <v>1155</v>
      </c>
      <c r="CA252" t="s">
        <v>991</v>
      </c>
      <c r="CB252" t="b">
        <v>1</v>
      </c>
      <c r="CC252" t="b">
        <v>1</v>
      </c>
      <c r="CD252" t="b">
        <v>1</v>
      </c>
      <c r="CE252" t="b">
        <v>1</v>
      </c>
      <c r="CF252" t="b">
        <v>1</v>
      </c>
    </row>
    <row r="253" spans="1:84" x14ac:dyDescent="0.3">
      <c r="A253" t="s">
        <v>1715</v>
      </c>
      <c r="B253" t="s">
        <v>1157</v>
      </c>
      <c r="C253" s="98">
        <v>45670</v>
      </c>
      <c r="D253">
        <v>2025</v>
      </c>
      <c r="E253">
        <v>1</v>
      </c>
      <c r="F253">
        <v>1</v>
      </c>
      <c r="G253" t="s">
        <v>1144</v>
      </c>
      <c r="H253" t="s">
        <v>128</v>
      </c>
      <c r="I253" t="s">
        <v>128</v>
      </c>
      <c r="J253" t="s">
        <v>6</v>
      </c>
      <c r="L253">
        <v>522611</v>
      </c>
      <c r="M253" s="99" t="s">
        <v>179</v>
      </c>
      <c r="N253">
        <v>2</v>
      </c>
      <c r="O253">
        <v>2</v>
      </c>
      <c r="P253">
        <v>35.594799999999999</v>
      </c>
      <c r="Q253" t="s">
        <v>352</v>
      </c>
      <c r="R253">
        <v>1</v>
      </c>
      <c r="S253">
        <v>35.834499999999998</v>
      </c>
      <c r="T253">
        <v>0.45219999999999999</v>
      </c>
      <c r="U253">
        <v>-0.53007518796992292</v>
      </c>
      <c r="V253">
        <v>34.477899999999998</v>
      </c>
      <c r="W253">
        <v>34.930099999999996</v>
      </c>
      <c r="X253">
        <v>35.382300000000001</v>
      </c>
      <c r="Y253">
        <v>36.286699999999996</v>
      </c>
      <c r="Z253">
        <v>36.738900000000001</v>
      </c>
      <c r="AA253">
        <v>37.191099999999999</v>
      </c>
      <c r="AD253">
        <v>4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 t="s">
        <v>462</v>
      </c>
      <c r="AL253" t="s">
        <v>6</v>
      </c>
      <c r="AM253" t="s">
        <v>1145</v>
      </c>
      <c r="AN253" t="s">
        <v>1146</v>
      </c>
      <c r="AO253" s="100">
        <v>46262.040405092594</v>
      </c>
      <c r="AP253" t="s">
        <v>1147</v>
      </c>
      <c r="AQ253" t="s">
        <v>1716</v>
      </c>
      <c r="AR253" t="s">
        <v>1159</v>
      </c>
      <c r="AS253" t="s">
        <v>1150</v>
      </c>
      <c r="AT253" t="s">
        <v>1664</v>
      </c>
      <c r="AU253">
        <v>25</v>
      </c>
      <c r="AV253">
        <v>35.802600000000005</v>
      </c>
      <c r="AW253">
        <v>0.49531058185748494</v>
      </c>
      <c r="AX253">
        <v>1.3834486374103694</v>
      </c>
      <c r="AY253">
        <v>0.3235385109073674</v>
      </c>
      <c r="AZ253">
        <v>2.6062287626344767</v>
      </c>
      <c r="BA253">
        <v>2.6574614985161111</v>
      </c>
      <c r="BB253" s="97" t="s">
        <v>161</v>
      </c>
      <c r="BD253" s="98"/>
      <c r="BE253" s="98"/>
      <c r="BF253" t="s">
        <v>1152</v>
      </c>
      <c r="BG253" t="s">
        <v>322</v>
      </c>
      <c r="BH253" t="s">
        <v>1153</v>
      </c>
      <c r="BI253">
        <v>0.3235385109073674</v>
      </c>
      <c r="BJ253" t="s">
        <v>991</v>
      </c>
      <c r="BK253">
        <v>1.3937712373655233</v>
      </c>
      <c r="BL253">
        <v>34.844280934138084</v>
      </c>
      <c r="BM253" t="s">
        <v>1260</v>
      </c>
      <c r="BN253" t="s">
        <v>1154</v>
      </c>
      <c r="BO253">
        <v>2025</v>
      </c>
      <c r="BP253" t="s">
        <v>966</v>
      </c>
      <c r="BQ253">
        <v>302129.4357621033</v>
      </c>
      <c r="BR253">
        <v>69.787056423789664</v>
      </c>
      <c r="BS253" t="s">
        <v>992</v>
      </c>
      <c r="BV253" t="s">
        <v>1034</v>
      </c>
      <c r="BW253" t="s">
        <v>943</v>
      </c>
      <c r="BX253" t="s">
        <v>994</v>
      </c>
      <c r="BY253">
        <v>2.0182858105695831</v>
      </c>
      <c r="BZ253" t="s">
        <v>1155</v>
      </c>
      <c r="CA253" t="s">
        <v>991</v>
      </c>
      <c r="CB253" t="b">
        <v>1</v>
      </c>
      <c r="CC253" t="b">
        <v>1</v>
      </c>
      <c r="CD253" t="b">
        <v>1</v>
      </c>
      <c r="CE253" t="b">
        <v>1</v>
      </c>
      <c r="CF253" t="b">
        <v>1</v>
      </c>
    </row>
    <row r="254" spans="1:84" x14ac:dyDescent="0.3">
      <c r="A254" t="s">
        <v>1717</v>
      </c>
      <c r="B254" t="s">
        <v>1161</v>
      </c>
      <c r="C254" s="98">
        <v>45677</v>
      </c>
      <c r="D254">
        <v>2025</v>
      </c>
      <c r="E254">
        <v>1</v>
      </c>
      <c r="F254">
        <v>1</v>
      </c>
      <c r="G254" t="s">
        <v>1144</v>
      </c>
      <c r="H254" t="s">
        <v>128</v>
      </c>
      <c r="I254" t="s">
        <v>128</v>
      </c>
      <c r="J254" t="s">
        <v>6</v>
      </c>
      <c r="L254">
        <v>522611</v>
      </c>
      <c r="M254" s="99" t="s">
        <v>179</v>
      </c>
      <c r="N254">
        <v>2</v>
      </c>
      <c r="O254">
        <v>3</v>
      </c>
      <c r="P254">
        <v>36.4375</v>
      </c>
      <c r="Q254" t="s">
        <v>352</v>
      </c>
      <c r="R254">
        <v>1</v>
      </c>
      <c r="S254">
        <v>35.834499999999998</v>
      </c>
      <c r="T254">
        <v>0.45219999999999999</v>
      </c>
      <c r="U254">
        <v>1.3334807607253463</v>
      </c>
      <c r="V254">
        <v>34.477899999999998</v>
      </c>
      <c r="W254">
        <v>34.930099999999996</v>
      </c>
      <c r="X254">
        <v>35.382300000000001</v>
      </c>
      <c r="Y254">
        <v>36.286699999999996</v>
      </c>
      <c r="Z254">
        <v>36.738900000000001</v>
      </c>
      <c r="AA254">
        <v>37.191099999999999</v>
      </c>
      <c r="AD254">
        <v>4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 t="s">
        <v>462</v>
      </c>
      <c r="AL254" t="s">
        <v>6</v>
      </c>
      <c r="AM254" t="s">
        <v>1145</v>
      </c>
      <c r="AN254" t="s">
        <v>1146</v>
      </c>
      <c r="AO254" s="100">
        <v>46262.040405092594</v>
      </c>
      <c r="AP254" t="s">
        <v>1147</v>
      </c>
      <c r="AQ254" t="s">
        <v>1718</v>
      </c>
      <c r="AR254" t="s">
        <v>1163</v>
      </c>
      <c r="AS254" t="s">
        <v>1150</v>
      </c>
      <c r="AT254" t="s">
        <v>1664</v>
      </c>
      <c r="AU254">
        <v>25</v>
      </c>
      <c r="AV254">
        <v>35.802600000000005</v>
      </c>
      <c r="AW254">
        <v>0.49531058185748494</v>
      </c>
      <c r="AX254">
        <v>1.3834486374103694</v>
      </c>
      <c r="AY254">
        <v>0.3235385109073674</v>
      </c>
      <c r="AZ254">
        <v>2.6062287626344767</v>
      </c>
      <c r="BA254">
        <v>2.6574614985161111</v>
      </c>
      <c r="BB254" s="97" t="s">
        <v>161</v>
      </c>
      <c r="BD254" s="98"/>
      <c r="BE254" s="98"/>
      <c r="BF254" t="s">
        <v>1152</v>
      </c>
      <c r="BG254" t="s">
        <v>322</v>
      </c>
      <c r="BH254" t="s">
        <v>1153</v>
      </c>
      <c r="BI254">
        <v>0.3235385109073674</v>
      </c>
      <c r="BJ254" t="s">
        <v>991</v>
      </c>
      <c r="BK254">
        <v>1.3937712373655233</v>
      </c>
      <c r="BL254">
        <v>34.844280934138084</v>
      </c>
      <c r="BM254" t="s">
        <v>1260</v>
      </c>
      <c r="BN254" t="s">
        <v>1154</v>
      </c>
      <c r="BO254">
        <v>2025</v>
      </c>
      <c r="BP254" t="s">
        <v>966</v>
      </c>
      <c r="BQ254">
        <v>302129.4357621033</v>
      </c>
      <c r="BR254">
        <v>69.787056423789664</v>
      </c>
      <c r="BS254" t="s">
        <v>992</v>
      </c>
      <c r="BV254" t="s">
        <v>1034</v>
      </c>
      <c r="BW254" t="s">
        <v>943</v>
      </c>
      <c r="BX254" t="s">
        <v>994</v>
      </c>
      <c r="BY254">
        <v>2.0182858105695831</v>
      </c>
      <c r="BZ254" t="s">
        <v>1155</v>
      </c>
      <c r="CA254" t="s">
        <v>991</v>
      </c>
      <c r="CB254" t="b">
        <v>1</v>
      </c>
      <c r="CC254" t="b">
        <v>1</v>
      </c>
      <c r="CD254" t="b">
        <v>1</v>
      </c>
      <c r="CE254" t="b">
        <v>1</v>
      </c>
      <c r="CF254" t="b">
        <v>1</v>
      </c>
    </row>
    <row r="255" spans="1:84" x14ac:dyDescent="0.3">
      <c r="A255" t="s">
        <v>1719</v>
      </c>
      <c r="B255" t="s">
        <v>1165</v>
      </c>
      <c r="C255" s="98">
        <v>45684</v>
      </c>
      <c r="D255">
        <v>2025</v>
      </c>
      <c r="E255">
        <v>1</v>
      </c>
      <c r="F255">
        <v>1</v>
      </c>
      <c r="G255" t="s">
        <v>1144</v>
      </c>
      <c r="H255" t="s">
        <v>128</v>
      </c>
      <c r="I255" t="s">
        <v>128</v>
      </c>
      <c r="J255" t="s">
        <v>6</v>
      </c>
      <c r="L255">
        <v>522611</v>
      </c>
      <c r="M255" s="99" t="s">
        <v>179</v>
      </c>
      <c r="N255">
        <v>2</v>
      </c>
      <c r="O255">
        <v>4</v>
      </c>
      <c r="P255">
        <v>35.855800000000002</v>
      </c>
      <c r="Q255" t="s">
        <v>352</v>
      </c>
      <c r="R255">
        <v>1</v>
      </c>
      <c r="S255">
        <v>35.834499999999998</v>
      </c>
      <c r="T255">
        <v>0.45219999999999999</v>
      </c>
      <c r="U255">
        <v>4.7103051747022666E-2</v>
      </c>
      <c r="V255">
        <v>34.477899999999998</v>
      </c>
      <c r="W255">
        <v>34.930099999999996</v>
      </c>
      <c r="X255">
        <v>35.382300000000001</v>
      </c>
      <c r="Y255">
        <v>36.286699999999996</v>
      </c>
      <c r="Z255">
        <v>36.738900000000001</v>
      </c>
      <c r="AA255">
        <v>37.191099999999999</v>
      </c>
      <c r="AD255">
        <v>4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 t="s">
        <v>462</v>
      </c>
      <c r="AL255" t="s">
        <v>6</v>
      </c>
      <c r="AM255" t="s">
        <v>1145</v>
      </c>
      <c r="AN255" t="s">
        <v>1146</v>
      </c>
      <c r="AO255" s="100">
        <v>46262.040405092594</v>
      </c>
      <c r="AP255" t="s">
        <v>1147</v>
      </c>
      <c r="AQ255" t="s">
        <v>1720</v>
      </c>
      <c r="AR255" t="s">
        <v>1167</v>
      </c>
      <c r="AS255" t="s">
        <v>1150</v>
      </c>
      <c r="AT255" t="s">
        <v>1664</v>
      </c>
      <c r="AU255">
        <v>25</v>
      </c>
      <c r="AV255">
        <v>35.802600000000005</v>
      </c>
      <c r="AW255">
        <v>0.49531058185748494</v>
      </c>
      <c r="AX255">
        <v>1.3834486374103694</v>
      </c>
      <c r="AY255">
        <v>0.3235385109073674</v>
      </c>
      <c r="AZ255">
        <v>2.6062287626344767</v>
      </c>
      <c r="BA255">
        <v>2.6574614985161111</v>
      </c>
      <c r="BB255" s="97" t="s">
        <v>161</v>
      </c>
      <c r="BD255" s="98"/>
      <c r="BE255" s="98"/>
      <c r="BF255" t="s">
        <v>1152</v>
      </c>
      <c r="BG255" t="s">
        <v>322</v>
      </c>
      <c r="BH255" t="s">
        <v>1153</v>
      </c>
      <c r="BI255">
        <v>0.3235385109073674</v>
      </c>
      <c r="BJ255" t="s">
        <v>991</v>
      </c>
      <c r="BK255">
        <v>1.3937712373655233</v>
      </c>
      <c r="BL255">
        <v>34.844280934138084</v>
      </c>
      <c r="BM255" t="s">
        <v>1260</v>
      </c>
      <c r="BN255" t="s">
        <v>1154</v>
      </c>
      <c r="BO255">
        <v>2025</v>
      </c>
      <c r="BP255" t="s">
        <v>966</v>
      </c>
      <c r="BQ255">
        <v>302129.4357621033</v>
      </c>
      <c r="BR255">
        <v>69.787056423789664</v>
      </c>
      <c r="BS255" t="s">
        <v>992</v>
      </c>
      <c r="BV255" t="s">
        <v>1034</v>
      </c>
      <c r="BW255" t="s">
        <v>943</v>
      </c>
      <c r="BX255" t="s">
        <v>994</v>
      </c>
      <c r="BY255">
        <v>2.0182858105695831</v>
      </c>
      <c r="BZ255" t="s">
        <v>1155</v>
      </c>
      <c r="CA255" t="s">
        <v>991</v>
      </c>
      <c r="CB255" t="b">
        <v>1</v>
      </c>
      <c r="CC255" t="b">
        <v>1</v>
      </c>
      <c r="CD255" t="b">
        <v>1</v>
      </c>
      <c r="CE255" t="b">
        <v>1</v>
      </c>
      <c r="CF255" t="b">
        <v>1</v>
      </c>
    </row>
    <row r="256" spans="1:84" x14ac:dyDescent="0.3">
      <c r="A256" t="s">
        <v>1721</v>
      </c>
      <c r="B256" t="s">
        <v>1169</v>
      </c>
      <c r="C256" s="98">
        <v>45691</v>
      </c>
      <c r="D256">
        <v>2025</v>
      </c>
      <c r="E256">
        <v>2</v>
      </c>
      <c r="F256">
        <v>1</v>
      </c>
      <c r="G256" t="s">
        <v>1170</v>
      </c>
      <c r="H256" t="s">
        <v>128</v>
      </c>
      <c r="I256" t="s">
        <v>128</v>
      </c>
      <c r="J256" t="s">
        <v>6</v>
      </c>
      <c r="L256">
        <v>522611</v>
      </c>
      <c r="M256" s="99" t="s">
        <v>179</v>
      </c>
      <c r="N256">
        <v>2</v>
      </c>
      <c r="O256">
        <v>5</v>
      </c>
      <c r="P256">
        <v>35.304299999999998</v>
      </c>
      <c r="Q256" t="s">
        <v>352</v>
      </c>
      <c r="R256">
        <v>1</v>
      </c>
      <c r="S256">
        <v>35.834499999999998</v>
      </c>
      <c r="T256">
        <v>0.45219999999999999</v>
      </c>
      <c r="U256">
        <v>-1.1724900486510408</v>
      </c>
      <c r="V256">
        <v>34.477899999999998</v>
      </c>
      <c r="W256">
        <v>34.930099999999996</v>
      </c>
      <c r="X256">
        <v>35.382300000000001</v>
      </c>
      <c r="Y256">
        <v>36.286699999999996</v>
      </c>
      <c r="Z256">
        <v>36.738900000000001</v>
      </c>
      <c r="AA256">
        <v>37.191099999999999</v>
      </c>
      <c r="AD256">
        <v>4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 t="s">
        <v>462</v>
      </c>
      <c r="AL256" t="s">
        <v>6</v>
      </c>
      <c r="AM256" t="s">
        <v>1145</v>
      </c>
      <c r="AN256" t="s">
        <v>1146</v>
      </c>
      <c r="AO256" s="100">
        <v>46262.040405092594</v>
      </c>
      <c r="AP256" t="s">
        <v>1147</v>
      </c>
      <c r="AQ256" t="s">
        <v>1722</v>
      </c>
      <c r="AR256" t="s">
        <v>1172</v>
      </c>
      <c r="AS256" t="s">
        <v>1150</v>
      </c>
      <c r="AT256" t="s">
        <v>1664</v>
      </c>
      <c r="AU256">
        <v>25</v>
      </c>
      <c r="AV256">
        <v>35.802600000000005</v>
      </c>
      <c r="AW256">
        <v>0.49531058185748494</v>
      </c>
      <c r="AX256">
        <v>1.3834486374103694</v>
      </c>
      <c r="AY256">
        <v>0.3235385109073674</v>
      </c>
      <c r="AZ256">
        <v>2.6062287626344767</v>
      </c>
      <c r="BA256">
        <v>2.6574614985161111</v>
      </c>
      <c r="BB256" s="97" t="s">
        <v>161</v>
      </c>
      <c r="BD256" s="98"/>
      <c r="BE256" s="98"/>
      <c r="BF256" t="s">
        <v>1152</v>
      </c>
      <c r="BG256" t="s">
        <v>322</v>
      </c>
      <c r="BH256" t="s">
        <v>1153</v>
      </c>
      <c r="BI256">
        <v>0.3235385109073674</v>
      </c>
      <c r="BJ256" t="s">
        <v>991</v>
      </c>
      <c r="BK256">
        <v>1.3937712373655233</v>
      </c>
      <c r="BL256">
        <v>34.844280934138084</v>
      </c>
      <c r="BM256" t="s">
        <v>1260</v>
      </c>
      <c r="BN256" t="s">
        <v>1154</v>
      </c>
      <c r="BO256">
        <v>2025</v>
      </c>
      <c r="BP256" t="s">
        <v>966</v>
      </c>
      <c r="BQ256">
        <v>302129.4357621033</v>
      </c>
      <c r="BR256">
        <v>69.787056423789664</v>
      </c>
      <c r="BS256" t="s">
        <v>992</v>
      </c>
      <c r="BV256" t="s">
        <v>1034</v>
      </c>
      <c r="BW256" t="s">
        <v>943</v>
      </c>
      <c r="BX256" t="s">
        <v>994</v>
      </c>
      <c r="BY256">
        <v>2.0182858105695831</v>
      </c>
      <c r="BZ256" t="s">
        <v>1155</v>
      </c>
      <c r="CA256" t="s">
        <v>991</v>
      </c>
      <c r="CB256" t="b">
        <v>1</v>
      </c>
      <c r="CC256" t="b">
        <v>1</v>
      </c>
      <c r="CD256" t="b">
        <v>1</v>
      </c>
      <c r="CE256" t="b">
        <v>1</v>
      </c>
      <c r="CF256" t="b">
        <v>1</v>
      </c>
    </row>
    <row r="257" spans="1:84" x14ac:dyDescent="0.3">
      <c r="A257" t="s">
        <v>1723</v>
      </c>
      <c r="B257" t="s">
        <v>1174</v>
      </c>
      <c r="C257" s="98">
        <v>45698</v>
      </c>
      <c r="D257">
        <v>2025</v>
      </c>
      <c r="E257">
        <v>2</v>
      </c>
      <c r="F257">
        <v>1</v>
      </c>
      <c r="G257" t="s">
        <v>1170</v>
      </c>
      <c r="H257" t="s">
        <v>128</v>
      </c>
      <c r="I257" t="s">
        <v>128</v>
      </c>
      <c r="J257" t="s">
        <v>6</v>
      </c>
      <c r="L257">
        <v>522611</v>
      </c>
      <c r="M257" s="99" t="s">
        <v>179</v>
      </c>
      <c r="N257">
        <v>2</v>
      </c>
      <c r="O257">
        <v>6</v>
      </c>
      <c r="P257">
        <v>35.409100000000002</v>
      </c>
      <c r="Q257" t="s">
        <v>352</v>
      </c>
      <c r="R257">
        <v>1</v>
      </c>
      <c r="S257">
        <v>35.834499999999998</v>
      </c>
      <c r="T257">
        <v>0.45219999999999999</v>
      </c>
      <c r="U257">
        <v>-0.94073418841219869</v>
      </c>
      <c r="V257">
        <v>34.477899999999998</v>
      </c>
      <c r="W257">
        <v>34.930099999999996</v>
      </c>
      <c r="X257">
        <v>35.382300000000001</v>
      </c>
      <c r="Y257">
        <v>36.286699999999996</v>
      </c>
      <c r="Z257">
        <v>36.738900000000001</v>
      </c>
      <c r="AA257">
        <v>37.191099999999999</v>
      </c>
      <c r="AD257">
        <v>4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 t="s">
        <v>462</v>
      </c>
      <c r="AL257" t="s">
        <v>6</v>
      </c>
      <c r="AM257" t="s">
        <v>1145</v>
      </c>
      <c r="AN257" t="s">
        <v>1146</v>
      </c>
      <c r="AO257" s="100">
        <v>46262.040405092594</v>
      </c>
      <c r="AP257" t="s">
        <v>1147</v>
      </c>
      <c r="AQ257" t="s">
        <v>1724</v>
      </c>
      <c r="AR257" t="s">
        <v>1176</v>
      </c>
      <c r="AS257" t="s">
        <v>1150</v>
      </c>
      <c r="AT257" t="s">
        <v>1664</v>
      </c>
      <c r="AU257">
        <v>25</v>
      </c>
      <c r="AV257">
        <v>35.802600000000005</v>
      </c>
      <c r="AW257">
        <v>0.49531058185748494</v>
      </c>
      <c r="AX257">
        <v>1.3834486374103694</v>
      </c>
      <c r="AY257">
        <v>0.3235385109073674</v>
      </c>
      <c r="AZ257">
        <v>2.6062287626344767</v>
      </c>
      <c r="BA257">
        <v>2.6574614985161111</v>
      </c>
      <c r="BB257" s="97" t="s">
        <v>161</v>
      </c>
      <c r="BD257" s="98"/>
      <c r="BE257" s="98"/>
      <c r="BF257" t="s">
        <v>1152</v>
      </c>
      <c r="BG257" t="s">
        <v>322</v>
      </c>
      <c r="BH257" t="s">
        <v>1153</v>
      </c>
      <c r="BI257">
        <v>0.3235385109073674</v>
      </c>
      <c r="BJ257" t="s">
        <v>991</v>
      </c>
      <c r="BK257">
        <v>1.3937712373655233</v>
      </c>
      <c r="BL257">
        <v>34.844280934138084</v>
      </c>
      <c r="BM257" t="s">
        <v>1260</v>
      </c>
      <c r="BN257" t="s">
        <v>1154</v>
      </c>
      <c r="BO257">
        <v>2025</v>
      </c>
      <c r="BP257" t="s">
        <v>966</v>
      </c>
      <c r="BQ257">
        <v>302129.4357621033</v>
      </c>
      <c r="BR257">
        <v>69.787056423789664</v>
      </c>
      <c r="BS257" t="s">
        <v>992</v>
      </c>
      <c r="BV257" t="s">
        <v>1034</v>
      </c>
      <c r="BW257" t="s">
        <v>943</v>
      </c>
      <c r="BX257" t="s">
        <v>994</v>
      </c>
      <c r="BY257">
        <v>2.0182858105695831</v>
      </c>
      <c r="BZ257" t="s">
        <v>1155</v>
      </c>
      <c r="CA257" t="s">
        <v>991</v>
      </c>
      <c r="CB257" t="b">
        <v>1</v>
      </c>
      <c r="CC257" t="b">
        <v>1</v>
      </c>
      <c r="CD257" t="b">
        <v>1</v>
      </c>
      <c r="CE257" t="b">
        <v>1</v>
      </c>
      <c r="CF257" t="b">
        <v>1</v>
      </c>
    </row>
    <row r="258" spans="1:84" x14ac:dyDescent="0.3">
      <c r="A258" t="s">
        <v>1725</v>
      </c>
      <c r="B258" t="s">
        <v>1178</v>
      </c>
      <c r="C258" s="98">
        <v>45705</v>
      </c>
      <c r="D258">
        <v>2025</v>
      </c>
      <c r="E258">
        <v>2</v>
      </c>
      <c r="F258">
        <v>1</v>
      </c>
      <c r="G258" t="s">
        <v>1170</v>
      </c>
      <c r="H258" t="s">
        <v>128</v>
      </c>
      <c r="I258" t="s">
        <v>128</v>
      </c>
      <c r="J258" t="s">
        <v>6</v>
      </c>
      <c r="L258">
        <v>522611</v>
      </c>
      <c r="M258" s="99" t="s">
        <v>179</v>
      </c>
      <c r="N258">
        <v>2</v>
      </c>
      <c r="O258">
        <v>7</v>
      </c>
      <c r="P258">
        <v>36.345700000000001</v>
      </c>
      <c r="Q258" t="s">
        <v>352</v>
      </c>
      <c r="R258">
        <v>1</v>
      </c>
      <c r="S258">
        <v>35.834499999999998</v>
      </c>
      <c r="T258">
        <v>0.45219999999999999</v>
      </c>
      <c r="U258">
        <v>1.1304732419283554</v>
      </c>
      <c r="V258">
        <v>34.477899999999998</v>
      </c>
      <c r="W258">
        <v>34.930099999999996</v>
      </c>
      <c r="X258">
        <v>35.382300000000001</v>
      </c>
      <c r="Y258">
        <v>36.286699999999996</v>
      </c>
      <c r="Z258">
        <v>36.738900000000001</v>
      </c>
      <c r="AA258">
        <v>37.191099999999999</v>
      </c>
      <c r="AD258">
        <v>4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 t="s">
        <v>462</v>
      </c>
      <c r="AL258" t="s">
        <v>6</v>
      </c>
      <c r="AM258" t="s">
        <v>1145</v>
      </c>
      <c r="AN258" t="s">
        <v>1146</v>
      </c>
      <c r="AO258" s="100">
        <v>46262.040405092594</v>
      </c>
      <c r="AP258" t="s">
        <v>1147</v>
      </c>
      <c r="AQ258" t="s">
        <v>1726</v>
      </c>
      <c r="AR258" t="s">
        <v>1180</v>
      </c>
      <c r="AS258" t="s">
        <v>1150</v>
      </c>
      <c r="AT258" t="s">
        <v>1664</v>
      </c>
      <c r="AU258">
        <v>25</v>
      </c>
      <c r="AV258">
        <v>35.802600000000005</v>
      </c>
      <c r="AW258">
        <v>0.49531058185748494</v>
      </c>
      <c r="AX258">
        <v>1.3834486374103694</v>
      </c>
      <c r="AY258">
        <v>0.3235385109073674</v>
      </c>
      <c r="AZ258">
        <v>2.6062287626344767</v>
      </c>
      <c r="BA258">
        <v>2.6574614985161111</v>
      </c>
      <c r="BB258" s="97" t="s">
        <v>161</v>
      </c>
      <c r="BD258" s="98"/>
      <c r="BE258" s="98"/>
      <c r="BF258" t="s">
        <v>1152</v>
      </c>
      <c r="BG258" t="s">
        <v>322</v>
      </c>
      <c r="BH258" t="s">
        <v>1153</v>
      </c>
      <c r="BI258">
        <v>0.3235385109073674</v>
      </c>
      <c r="BJ258" t="s">
        <v>991</v>
      </c>
      <c r="BK258">
        <v>1.3937712373655233</v>
      </c>
      <c r="BL258">
        <v>34.844280934138084</v>
      </c>
      <c r="BM258" t="s">
        <v>1260</v>
      </c>
      <c r="BN258" t="s">
        <v>1154</v>
      </c>
      <c r="BO258">
        <v>2025</v>
      </c>
      <c r="BP258" t="s">
        <v>966</v>
      </c>
      <c r="BQ258">
        <v>302129.4357621033</v>
      </c>
      <c r="BR258">
        <v>69.787056423789664</v>
      </c>
      <c r="BS258" t="s">
        <v>992</v>
      </c>
      <c r="BV258" t="s">
        <v>1034</v>
      </c>
      <c r="BW258" t="s">
        <v>943</v>
      </c>
      <c r="BX258" t="s">
        <v>994</v>
      </c>
      <c r="BY258">
        <v>2.0182858105695831</v>
      </c>
      <c r="BZ258" t="s">
        <v>1155</v>
      </c>
      <c r="CA258" t="s">
        <v>991</v>
      </c>
      <c r="CB258" t="b">
        <v>1</v>
      </c>
      <c r="CC258" t="b">
        <v>1</v>
      </c>
      <c r="CD258" t="b">
        <v>1</v>
      </c>
      <c r="CE258" t="b">
        <v>1</v>
      </c>
      <c r="CF258" t="b">
        <v>1</v>
      </c>
    </row>
    <row r="259" spans="1:84" x14ac:dyDescent="0.3">
      <c r="A259" t="s">
        <v>1727</v>
      </c>
      <c r="B259" t="s">
        <v>1182</v>
      </c>
      <c r="C259" s="98">
        <v>45712</v>
      </c>
      <c r="D259">
        <v>2025</v>
      </c>
      <c r="E259">
        <v>2</v>
      </c>
      <c r="F259">
        <v>1</v>
      </c>
      <c r="G259" t="s">
        <v>1170</v>
      </c>
      <c r="H259" t="s">
        <v>128</v>
      </c>
      <c r="I259" t="s">
        <v>128</v>
      </c>
      <c r="J259" t="s">
        <v>6</v>
      </c>
      <c r="L259">
        <v>522611</v>
      </c>
      <c r="M259" s="99" t="s">
        <v>179</v>
      </c>
      <c r="N259">
        <v>2</v>
      </c>
      <c r="O259">
        <v>8</v>
      </c>
      <c r="P259">
        <v>35.905799999999999</v>
      </c>
      <c r="Q259" t="s">
        <v>352</v>
      </c>
      <c r="R259">
        <v>1</v>
      </c>
      <c r="S259">
        <v>35.834499999999998</v>
      </c>
      <c r="T259">
        <v>0.45219999999999999</v>
      </c>
      <c r="U259">
        <v>0.1576735957540929</v>
      </c>
      <c r="V259">
        <v>34.477899999999998</v>
      </c>
      <c r="W259">
        <v>34.930099999999996</v>
      </c>
      <c r="X259">
        <v>35.382300000000001</v>
      </c>
      <c r="Y259">
        <v>36.286699999999996</v>
      </c>
      <c r="Z259">
        <v>36.738900000000001</v>
      </c>
      <c r="AA259">
        <v>37.191099999999999</v>
      </c>
      <c r="AD259">
        <v>4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 t="s">
        <v>462</v>
      </c>
      <c r="AL259" t="s">
        <v>6</v>
      </c>
      <c r="AM259" t="s">
        <v>1145</v>
      </c>
      <c r="AN259" t="s">
        <v>1146</v>
      </c>
      <c r="AO259" s="100">
        <v>46262.040405092594</v>
      </c>
      <c r="AP259" t="s">
        <v>1147</v>
      </c>
      <c r="AQ259" t="s">
        <v>1728</v>
      </c>
      <c r="AR259" t="s">
        <v>1184</v>
      </c>
      <c r="AS259" t="s">
        <v>1150</v>
      </c>
      <c r="AT259" t="s">
        <v>1664</v>
      </c>
      <c r="AU259">
        <v>25</v>
      </c>
      <c r="AV259">
        <v>35.802600000000005</v>
      </c>
      <c r="AW259">
        <v>0.49531058185748494</v>
      </c>
      <c r="AX259">
        <v>1.3834486374103694</v>
      </c>
      <c r="AY259">
        <v>0.3235385109073674</v>
      </c>
      <c r="AZ259">
        <v>2.6062287626344767</v>
      </c>
      <c r="BA259">
        <v>2.6574614985161111</v>
      </c>
      <c r="BB259" s="97" t="s">
        <v>161</v>
      </c>
      <c r="BD259" s="98"/>
      <c r="BE259" s="98"/>
      <c r="BF259" t="s">
        <v>1152</v>
      </c>
      <c r="BG259" t="s">
        <v>322</v>
      </c>
      <c r="BH259" t="s">
        <v>1153</v>
      </c>
      <c r="BI259">
        <v>0.3235385109073674</v>
      </c>
      <c r="BJ259" t="s">
        <v>991</v>
      </c>
      <c r="BK259">
        <v>1.3937712373655233</v>
      </c>
      <c r="BL259">
        <v>34.844280934138084</v>
      </c>
      <c r="BM259" t="s">
        <v>1260</v>
      </c>
      <c r="BN259" t="s">
        <v>1154</v>
      </c>
      <c r="BO259">
        <v>2025</v>
      </c>
      <c r="BP259" t="s">
        <v>966</v>
      </c>
      <c r="BQ259">
        <v>302129.4357621033</v>
      </c>
      <c r="BR259">
        <v>69.787056423789664</v>
      </c>
      <c r="BS259" t="s">
        <v>992</v>
      </c>
      <c r="BV259" t="s">
        <v>1034</v>
      </c>
      <c r="BW259" t="s">
        <v>943</v>
      </c>
      <c r="BX259" t="s">
        <v>994</v>
      </c>
      <c r="BY259">
        <v>2.0182858105695831</v>
      </c>
      <c r="BZ259" t="s">
        <v>1155</v>
      </c>
      <c r="CA259" t="s">
        <v>991</v>
      </c>
      <c r="CB259" t="b">
        <v>1</v>
      </c>
      <c r="CC259" t="b">
        <v>1</v>
      </c>
      <c r="CD259" t="b">
        <v>1</v>
      </c>
      <c r="CE259" t="b">
        <v>1</v>
      </c>
      <c r="CF259" t="b">
        <v>1</v>
      </c>
    </row>
    <row r="260" spans="1:84" x14ac:dyDescent="0.3">
      <c r="A260" t="s">
        <v>1729</v>
      </c>
      <c r="B260" t="s">
        <v>1186</v>
      </c>
      <c r="C260" s="98">
        <v>45719</v>
      </c>
      <c r="D260">
        <v>2025</v>
      </c>
      <c r="E260">
        <v>3</v>
      </c>
      <c r="F260">
        <v>1</v>
      </c>
      <c r="G260" t="s">
        <v>1187</v>
      </c>
      <c r="H260" t="s">
        <v>128</v>
      </c>
      <c r="I260" t="s">
        <v>128</v>
      </c>
      <c r="J260" t="s">
        <v>6</v>
      </c>
      <c r="L260">
        <v>522611</v>
      </c>
      <c r="M260" s="99" t="s">
        <v>179</v>
      </c>
      <c r="N260">
        <v>2</v>
      </c>
      <c r="O260">
        <v>9</v>
      </c>
      <c r="P260">
        <v>35.856200000000001</v>
      </c>
      <c r="Q260" t="s">
        <v>352</v>
      </c>
      <c r="R260">
        <v>1</v>
      </c>
      <c r="S260">
        <v>35.834499999999998</v>
      </c>
      <c r="T260">
        <v>0.45219999999999999</v>
      </c>
      <c r="U260">
        <v>4.7987616099077215E-2</v>
      </c>
      <c r="V260">
        <v>34.477899999999998</v>
      </c>
      <c r="W260">
        <v>34.930099999999996</v>
      </c>
      <c r="X260">
        <v>35.382300000000001</v>
      </c>
      <c r="Y260">
        <v>36.286699999999996</v>
      </c>
      <c r="Z260">
        <v>36.738900000000001</v>
      </c>
      <c r="AA260">
        <v>37.191099999999999</v>
      </c>
      <c r="AD260">
        <v>4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 t="s">
        <v>462</v>
      </c>
      <c r="AL260" t="s">
        <v>6</v>
      </c>
      <c r="AM260" t="s">
        <v>1145</v>
      </c>
      <c r="AN260" t="s">
        <v>1146</v>
      </c>
      <c r="AO260" s="100">
        <v>46262.040405092594</v>
      </c>
      <c r="AP260" t="s">
        <v>1147</v>
      </c>
      <c r="AQ260" t="s">
        <v>1730</v>
      </c>
      <c r="AR260" t="s">
        <v>1189</v>
      </c>
      <c r="AS260" t="s">
        <v>1150</v>
      </c>
      <c r="AT260" t="s">
        <v>1664</v>
      </c>
      <c r="AU260">
        <v>25</v>
      </c>
      <c r="AV260">
        <v>35.802600000000005</v>
      </c>
      <c r="AW260">
        <v>0.49531058185748494</v>
      </c>
      <c r="AX260">
        <v>1.3834486374103694</v>
      </c>
      <c r="AY260">
        <v>0.3235385109073674</v>
      </c>
      <c r="AZ260">
        <v>2.6062287626344767</v>
      </c>
      <c r="BA260">
        <v>2.6574614985161111</v>
      </c>
      <c r="BB260" s="97" t="s">
        <v>161</v>
      </c>
      <c r="BD260" s="98"/>
      <c r="BE260" s="98"/>
      <c r="BF260" t="s">
        <v>1152</v>
      </c>
      <c r="BG260" t="s">
        <v>322</v>
      </c>
      <c r="BH260" t="s">
        <v>1153</v>
      </c>
      <c r="BI260">
        <v>0.3235385109073674</v>
      </c>
      <c r="BJ260" t="s">
        <v>991</v>
      </c>
      <c r="BK260">
        <v>1.3937712373655233</v>
      </c>
      <c r="BL260">
        <v>34.844280934138084</v>
      </c>
      <c r="BM260" t="s">
        <v>1260</v>
      </c>
      <c r="BN260" t="s">
        <v>1154</v>
      </c>
      <c r="BO260">
        <v>2025</v>
      </c>
      <c r="BP260" t="s">
        <v>966</v>
      </c>
      <c r="BQ260">
        <v>302129.4357621033</v>
      </c>
      <c r="BR260">
        <v>69.787056423789664</v>
      </c>
      <c r="BS260" t="s">
        <v>992</v>
      </c>
      <c r="BV260" t="s">
        <v>1034</v>
      </c>
      <c r="BW260" t="s">
        <v>943</v>
      </c>
      <c r="BX260" t="s">
        <v>994</v>
      </c>
      <c r="BY260">
        <v>2.0182858105695831</v>
      </c>
      <c r="BZ260" t="s">
        <v>1155</v>
      </c>
      <c r="CA260" t="s">
        <v>991</v>
      </c>
      <c r="CB260" t="b">
        <v>1</v>
      </c>
      <c r="CC260" t="b">
        <v>1</v>
      </c>
      <c r="CD260" t="b">
        <v>1</v>
      </c>
      <c r="CE260" t="b">
        <v>1</v>
      </c>
      <c r="CF260" t="b">
        <v>1</v>
      </c>
    </row>
    <row r="261" spans="1:84" x14ac:dyDescent="0.3">
      <c r="A261" t="s">
        <v>1731</v>
      </c>
      <c r="B261" t="s">
        <v>1191</v>
      </c>
      <c r="C261" s="98">
        <v>45726</v>
      </c>
      <c r="D261">
        <v>2025</v>
      </c>
      <c r="E261">
        <v>3</v>
      </c>
      <c r="F261">
        <v>1</v>
      </c>
      <c r="G261" t="s">
        <v>1187</v>
      </c>
      <c r="H261" t="s">
        <v>128</v>
      </c>
      <c r="I261" t="s">
        <v>128</v>
      </c>
      <c r="J261" t="s">
        <v>6</v>
      </c>
      <c r="L261">
        <v>522611</v>
      </c>
      <c r="M261" s="99" t="s">
        <v>179</v>
      </c>
      <c r="N261">
        <v>2</v>
      </c>
      <c r="O261">
        <v>10</v>
      </c>
      <c r="P261">
        <v>35.810299999999998</v>
      </c>
      <c r="Q261" t="s">
        <v>352</v>
      </c>
      <c r="R261">
        <v>1</v>
      </c>
      <c r="S261">
        <v>35.834499999999998</v>
      </c>
      <c r="T261">
        <v>0.45219999999999999</v>
      </c>
      <c r="U261">
        <v>-5.3516143299426014E-2</v>
      </c>
      <c r="V261">
        <v>34.477899999999998</v>
      </c>
      <c r="W261">
        <v>34.930099999999996</v>
      </c>
      <c r="X261">
        <v>35.382300000000001</v>
      </c>
      <c r="Y261">
        <v>36.286699999999996</v>
      </c>
      <c r="Z261">
        <v>36.738900000000001</v>
      </c>
      <c r="AA261">
        <v>37.191099999999999</v>
      </c>
      <c r="AD261">
        <v>4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 t="s">
        <v>462</v>
      </c>
      <c r="AL261" t="s">
        <v>6</v>
      </c>
      <c r="AM261" t="s">
        <v>1145</v>
      </c>
      <c r="AN261" t="s">
        <v>1146</v>
      </c>
      <c r="AO261" s="100">
        <v>46262.040405092594</v>
      </c>
      <c r="AP261" t="s">
        <v>1147</v>
      </c>
      <c r="AQ261" t="s">
        <v>1732</v>
      </c>
      <c r="AR261" t="s">
        <v>1193</v>
      </c>
      <c r="AS261" t="s">
        <v>1150</v>
      </c>
      <c r="AT261" t="s">
        <v>1664</v>
      </c>
      <c r="AU261">
        <v>25</v>
      </c>
      <c r="AV261">
        <v>35.802600000000005</v>
      </c>
      <c r="AW261">
        <v>0.49531058185748494</v>
      </c>
      <c r="AX261">
        <v>1.3834486374103694</v>
      </c>
      <c r="AY261">
        <v>0.3235385109073674</v>
      </c>
      <c r="AZ261">
        <v>2.6062287626344767</v>
      </c>
      <c r="BA261">
        <v>2.6574614985161111</v>
      </c>
      <c r="BB261" s="97" t="s">
        <v>161</v>
      </c>
      <c r="BD261" s="98"/>
      <c r="BE261" s="98"/>
      <c r="BF261" t="s">
        <v>1152</v>
      </c>
      <c r="BG261" t="s">
        <v>322</v>
      </c>
      <c r="BH261" t="s">
        <v>1153</v>
      </c>
      <c r="BI261">
        <v>0.3235385109073674</v>
      </c>
      <c r="BJ261" t="s">
        <v>991</v>
      </c>
      <c r="BK261">
        <v>1.3937712373655233</v>
      </c>
      <c r="BL261">
        <v>34.844280934138084</v>
      </c>
      <c r="BM261" t="s">
        <v>1260</v>
      </c>
      <c r="BN261" t="s">
        <v>1154</v>
      </c>
      <c r="BO261">
        <v>2025</v>
      </c>
      <c r="BP261" t="s">
        <v>966</v>
      </c>
      <c r="BQ261">
        <v>302129.4357621033</v>
      </c>
      <c r="BR261">
        <v>69.787056423789664</v>
      </c>
      <c r="BS261" t="s">
        <v>992</v>
      </c>
      <c r="BV261" t="s">
        <v>1034</v>
      </c>
      <c r="BW261" t="s">
        <v>943</v>
      </c>
      <c r="BX261" t="s">
        <v>994</v>
      </c>
      <c r="BY261">
        <v>2.0182858105695831</v>
      </c>
      <c r="BZ261" t="s">
        <v>1155</v>
      </c>
      <c r="CA261" t="s">
        <v>991</v>
      </c>
      <c r="CB261" t="b">
        <v>1</v>
      </c>
      <c r="CC261" t="b">
        <v>1</v>
      </c>
      <c r="CD261" t="b">
        <v>1</v>
      </c>
      <c r="CE261" t="b">
        <v>1</v>
      </c>
      <c r="CF261" t="b">
        <v>1</v>
      </c>
    </row>
    <row r="262" spans="1:84" x14ac:dyDescent="0.3">
      <c r="A262" t="s">
        <v>1733</v>
      </c>
      <c r="B262" t="s">
        <v>1195</v>
      </c>
      <c r="C262" s="98">
        <v>45733</v>
      </c>
      <c r="D262">
        <v>2025</v>
      </c>
      <c r="E262">
        <v>3</v>
      </c>
      <c r="F262">
        <v>1</v>
      </c>
      <c r="G262" t="s">
        <v>1187</v>
      </c>
      <c r="H262" t="s">
        <v>128</v>
      </c>
      <c r="I262" t="s">
        <v>128</v>
      </c>
      <c r="J262" t="s">
        <v>6</v>
      </c>
      <c r="L262">
        <v>522611</v>
      </c>
      <c r="M262" s="99" t="s">
        <v>179</v>
      </c>
      <c r="N262">
        <v>2</v>
      </c>
      <c r="O262">
        <v>11</v>
      </c>
      <c r="P262">
        <v>35.851799999999997</v>
      </c>
      <c r="Q262" t="s">
        <v>352</v>
      </c>
      <c r="R262">
        <v>1</v>
      </c>
      <c r="S262">
        <v>35.834499999999998</v>
      </c>
      <c r="T262">
        <v>0.45219999999999999</v>
      </c>
      <c r="U262">
        <v>3.8257408226445737E-2</v>
      </c>
      <c r="V262">
        <v>34.477899999999998</v>
      </c>
      <c r="W262">
        <v>34.930099999999996</v>
      </c>
      <c r="X262">
        <v>35.382300000000001</v>
      </c>
      <c r="Y262">
        <v>36.286699999999996</v>
      </c>
      <c r="Z262">
        <v>36.738900000000001</v>
      </c>
      <c r="AA262">
        <v>37.191099999999999</v>
      </c>
      <c r="AD262">
        <v>4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 t="s">
        <v>462</v>
      </c>
      <c r="AL262" t="s">
        <v>6</v>
      </c>
      <c r="AM262" t="s">
        <v>1145</v>
      </c>
      <c r="AN262" t="s">
        <v>1146</v>
      </c>
      <c r="AO262" s="100">
        <v>46262.040405092594</v>
      </c>
      <c r="AP262" t="s">
        <v>1147</v>
      </c>
      <c r="AQ262" t="s">
        <v>1734</v>
      </c>
      <c r="AR262" t="s">
        <v>1197</v>
      </c>
      <c r="AS262" t="s">
        <v>1150</v>
      </c>
      <c r="AT262" t="s">
        <v>1664</v>
      </c>
      <c r="AU262">
        <v>25</v>
      </c>
      <c r="AV262">
        <v>35.802600000000005</v>
      </c>
      <c r="AW262">
        <v>0.49531058185748494</v>
      </c>
      <c r="AX262">
        <v>1.3834486374103694</v>
      </c>
      <c r="AY262">
        <v>0.3235385109073674</v>
      </c>
      <c r="AZ262">
        <v>2.6062287626344767</v>
      </c>
      <c r="BA262">
        <v>2.6574614985161111</v>
      </c>
      <c r="BB262" s="97" t="s">
        <v>161</v>
      </c>
      <c r="BD262" s="98"/>
      <c r="BE262" s="98"/>
      <c r="BF262" t="s">
        <v>1152</v>
      </c>
      <c r="BG262" t="s">
        <v>322</v>
      </c>
      <c r="BH262" t="s">
        <v>1153</v>
      </c>
      <c r="BI262">
        <v>0.3235385109073674</v>
      </c>
      <c r="BJ262" t="s">
        <v>991</v>
      </c>
      <c r="BK262">
        <v>1.3937712373655233</v>
      </c>
      <c r="BL262">
        <v>34.844280934138084</v>
      </c>
      <c r="BM262" t="s">
        <v>1260</v>
      </c>
      <c r="BN262" t="s">
        <v>1154</v>
      </c>
      <c r="BO262">
        <v>2025</v>
      </c>
      <c r="BP262" t="s">
        <v>966</v>
      </c>
      <c r="BQ262">
        <v>302129.4357621033</v>
      </c>
      <c r="BR262">
        <v>69.787056423789664</v>
      </c>
      <c r="BS262" t="s">
        <v>992</v>
      </c>
      <c r="BV262" t="s">
        <v>1034</v>
      </c>
      <c r="BW262" t="s">
        <v>943</v>
      </c>
      <c r="BX262" t="s">
        <v>994</v>
      </c>
      <c r="BY262">
        <v>2.0182858105695831</v>
      </c>
      <c r="BZ262" t="s">
        <v>1155</v>
      </c>
      <c r="CA262" t="s">
        <v>991</v>
      </c>
      <c r="CB262" t="b">
        <v>1</v>
      </c>
      <c r="CC262" t="b">
        <v>1</v>
      </c>
      <c r="CD262" t="b">
        <v>1</v>
      </c>
      <c r="CE262" t="b">
        <v>1</v>
      </c>
      <c r="CF262" t="b">
        <v>1</v>
      </c>
    </row>
    <row r="263" spans="1:84" x14ac:dyDescent="0.3">
      <c r="A263" t="s">
        <v>1735</v>
      </c>
      <c r="B263" t="s">
        <v>1199</v>
      </c>
      <c r="C263" s="98">
        <v>45740</v>
      </c>
      <c r="D263">
        <v>2025</v>
      </c>
      <c r="E263">
        <v>3</v>
      </c>
      <c r="F263">
        <v>1</v>
      </c>
      <c r="G263" t="s">
        <v>1187</v>
      </c>
      <c r="H263" t="s">
        <v>128</v>
      </c>
      <c r="I263" t="s">
        <v>128</v>
      </c>
      <c r="J263" t="s">
        <v>6</v>
      </c>
      <c r="L263">
        <v>522611</v>
      </c>
      <c r="M263" s="99" t="s">
        <v>179</v>
      </c>
      <c r="N263">
        <v>2</v>
      </c>
      <c r="O263">
        <v>12</v>
      </c>
      <c r="P263">
        <v>36.198700000000002</v>
      </c>
      <c r="Q263" t="s">
        <v>352</v>
      </c>
      <c r="R263">
        <v>1</v>
      </c>
      <c r="S263">
        <v>35.834499999999998</v>
      </c>
      <c r="T263">
        <v>0.45219999999999999</v>
      </c>
      <c r="U263">
        <v>0.80539584254755392</v>
      </c>
      <c r="V263">
        <v>34.477899999999998</v>
      </c>
      <c r="W263">
        <v>34.930099999999996</v>
      </c>
      <c r="X263">
        <v>35.382300000000001</v>
      </c>
      <c r="Y263">
        <v>36.286699999999996</v>
      </c>
      <c r="Z263">
        <v>36.738900000000001</v>
      </c>
      <c r="AA263">
        <v>37.191099999999999</v>
      </c>
      <c r="AD263">
        <v>4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 t="s">
        <v>462</v>
      </c>
      <c r="AL263" t="s">
        <v>6</v>
      </c>
      <c r="AM263" t="s">
        <v>1145</v>
      </c>
      <c r="AN263" t="s">
        <v>1146</v>
      </c>
      <c r="AO263" s="100">
        <v>46262.040405092594</v>
      </c>
      <c r="AP263" t="s">
        <v>1147</v>
      </c>
      <c r="AQ263" t="s">
        <v>1736</v>
      </c>
      <c r="AR263" t="s">
        <v>1201</v>
      </c>
      <c r="AS263" t="s">
        <v>1150</v>
      </c>
      <c r="AT263" t="s">
        <v>1664</v>
      </c>
      <c r="AU263">
        <v>25</v>
      </c>
      <c r="AV263">
        <v>35.802600000000005</v>
      </c>
      <c r="AW263">
        <v>0.49531058185748494</v>
      </c>
      <c r="AX263">
        <v>1.3834486374103694</v>
      </c>
      <c r="AY263">
        <v>0.3235385109073674</v>
      </c>
      <c r="AZ263">
        <v>2.6062287626344767</v>
      </c>
      <c r="BA263">
        <v>2.6574614985161111</v>
      </c>
      <c r="BB263" s="97" t="s">
        <v>161</v>
      </c>
      <c r="BD263" s="98"/>
      <c r="BE263" s="98"/>
      <c r="BF263" t="s">
        <v>1152</v>
      </c>
      <c r="BG263" t="s">
        <v>322</v>
      </c>
      <c r="BH263" t="s">
        <v>1153</v>
      </c>
      <c r="BI263">
        <v>0.3235385109073674</v>
      </c>
      <c r="BJ263" t="s">
        <v>991</v>
      </c>
      <c r="BK263">
        <v>1.3937712373655233</v>
      </c>
      <c r="BL263">
        <v>34.844280934138084</v>
      </c>
      <c r="BM263" t="s">
        <v>1260</v>
      </c>
      <c r="BN263" t="s">
        <v>1154</v>
      </c>
      <c r="BO263">
        <v>2025</v>
      </c>
      <c r="BP263" t="s">
        <v>966</v>
      </c>
      <c r="BQ263">
        <v>302129.4357621033</v>
      </c>
      <c r="BR263">
        <v>69.787056423789664</v>
      </c>
      <c r="BS263" t="s">
        <v>992</v>
      </c>
      <c r="BV263" t="s">
        <v>1034</v>
      </c>
      <c r="BW263" t="s">
        <v>943</v>
      </c>
      <c r="BX263" t="s">
        <v>994</v>
      </c>
      <c r="BY263">
        <v>2.0182858105695831</v>
      </c>
      <c r="BZ263" t="s">
        <v>1155</v>
      </c>
      <c r="CA263" t="s">
        <v>991</v>
      </c>
      <c r="CB263" t="b">
        <v>1</v>
      </c>
      <c r="CC263" t="b">
        <v>1</v>
      </c>
      <c r="CD263" t="b">
        <v>1</v>
      </c>
      <c r="CE263" t="b">
        <v>1</v>
      </c>
      <c r="CF263" t="b">
        <v>1</v>
      </c>
    </row>
    <row r="264" spans="1:84" x14ac:dyDescent="0.3">
      <c r="A264" t="s">
        <v>1737</v>
      </c>
      <c r="B264" t="s">
        <v>1203</v>
      </c>
      <c r="C264" s="98">
        <v>45747</v>
      </c>
      <c r="D264">
        <v>2025</v>
      </c>
      <c r="E264">
        <v>3</v>
      </c>
      <c r="F264">
        <v>1</v>
      </c>
      <c r="G264" t="s">
        <v>1187</v>
      </c>
      <c r="H264" t="s">
        <v>128</v>
      </c>
      <c r="I264" t="s">
        <v>128</v>
      </c>
      <c r="J264" t="s">
        <v>6</v>
      </c>
      <c r="L264">
        <v>522611</v>
      </c>
      <c r="M264" s="99" t="s">
        <v>179</v>
      </c>
      <c r="N264">
        <v>2</v>
      </c>
      <c r="O264">
        <v>13</v>
      </c>
      <c r="P264">
        <v>36.084400000000002</v>
      </c>
      <c r="Q264" t="s">
        <v>352</v>
      </c>
      <c r="R264">
        <v>1</v>
      </c>
      <c r="S264">
        <v>35.834499999999998</v>
      </c>
      <c r="T264">
        <v>0.45219999999999999</v>
      </c>
      <c r="U264">
        <v>0.5526315789473768</v>
      </c>
      <c r="V264">
        <v>34.477899999999998</v>
      </c>
      <c r="W264">
        <v>34.930099999999996</v>
      </c>
      <c r="X264">
        <v>35.382300000000001</v>
      </c>
      <c r="Y264">
        <v>36.286699999999996</v>
      </c>
      <c r="Z264">
        <v>36.738900000000001</v>
      </c>
      <c r="AA264">
        <v>37.191099999999999</v>
      </c>
      <c r="AD264">
        <v>4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 t="s">
        <v>462</v>
      </c>
      <c r="AL264" t="s">
        <v>6</v>
      </c>
      <c r="AM264" t="s">
        <v>1145</v>
      </c>
      <c r="AN264" t="s">
        <v>1146</v>
      </c>
      <c r="AO264" s="100">
        <v>46262.040405092594</v>
      </c>
      <c r="AP264" t="s">
        <v>1147</v>
      </c>
      <c r="AQ264" t="s">
        <v>1738</v>
      </c>
      <c r="AR264" t="s">
        <v>1205</v>
      </c>
      <c r="AS264" t="s">
        <v>1150</v>
      </c>
      <c r="AT264" t="s">
        <v>1664</v>
      </c>
      <c r="AU264">
        <v>25</v>
      </c>
      <c r="AV264">
        <v>35.802600000000005</v>
      </c>
      <c r="AW264">
        <v>0.49531058185748494</v>
      </c>
      <c r="AX264">
        <v>1.3834486374103694</v>
      </c>
      <c r="AY264">
        <v>0.3235385109073674</v>
      </c>
      <c r="AZ264">
        <v>2.6062287626344767</v>
      </c>
      <c r="BA264">
        <v>2.6574614985161111</v>
      </c>
      <c r="BB264" s="97" t="s">
        <v>161</v>
      </c>
      <c r="BD264" s="98"/>
      <c r="BE264" s="98"/>
      <c r="BF264" t="s">
        <v>1152</v>
      </c>
      <c r="BG264" t="s">
        <v>322</v>
      </c>
      <c r="BH264" t="s">
        <v>1153</v>
      </c>
      <c r="BI264">
        <v>0.3235385109073674</v>
      </c>
      <c r="BJ264" t="s">
        <v>991</v>
      </c>
      <c r="BK264">
        <v>1.3937712373655233</v>
      </c>
      <c r="BL264">
        <v>34.844280934138084</v>
      </c>
      <c r="BM264" t="s">
        <v>1260</v>
      </c>
      <c r="BN264" t="s">
        <v>1154</v>
      </c>
      <c r="BO264">
        <v>2025</v>
      </c>
      <c r="BP264" t="s">
        <v>966</v>
      </c>
      <c r="BQ264">
        <v>302129.4357621033</v>
      </c>
      <c r="BR264">
        <v>69.787056423789664</v>
      </c>
      <c r="BS264" t="s">
        <v>992</v>
      </c>
      <c r="BV264" t="s">
        <v>1034</v>
      </c>
      <c r="BW264" t="s">
        <v>943</v>
      </c>
      <c r="BX264" t="s">
        <v>994</v>
      </c>
      <c r="BY264">
        <v>2.0182858105695831</v>
      </c>
      <c r="BZ264" t="s">
        <v>1155</v>
      </c>
      <c r="CA264" t="s">
        <v>991</v>
      </c>
      <c r="CB264" t="b">
        <v>1</v>
      </c>
      <c r="CC264" t="b">
        <v>1</v>
      </c>
      <c r="CD264" t="b">
        <v>1</v>
      </c>
      <c r="CE264" t="b">
        <v>1</v>
      </c>
      <c r="CF264" t="b">
        <v>1</v>
      </c>
    </row>
    <row r="265" spans="1:84" x14ac:dyDescent="0.3">
      <c r="A265" t="s">
        <v>1739</v>
      </c>
      <c r="B265" t="s">
        <v>1207</v>
      </c>
      <c r="C265" s="98">
        <v>45754</v>
      </c>
      <c r="D265">
        <v>2025</v>
      </c>
      <c r="E265">
        <v>4</v>
      </c>
      <c r="F265">
        <v>2</v>
      </c>
      <c r="G265" t="s">
        <v>1208</v>
      </c>
      <c r="H265" t="s">
        <v>128</v>
      </c>
      <c r="I265" t="s">
        <v>128</v>
      </c>
      <c r="J265" t="s">
        <v>6</v>
      </c>
      <c r="L265">
        <v>522611</v>
      </c>
      <c r="M265" s="99" t="s">
        <v>179</v>
      </c>
      <c r="N265">
        <v>2</v>
      </c>
      <c r="O265">
        <v>14</v>
      </c>
      <c r="P265">
        <v>35.932000000000002</v>
      </c>
      <c r="Q265" t="s">
        <v>352</v>
      </c>
      <c r="R265">
        <v>1</v>
      </c>
      <c r="S265">
        <v>35.834499999999998</v>
      </c>
      <c r="T265">
        <v>0.45219999999999999</v>
      </c>
      <c r="U265">
        <v>0.21561256081380739</v>
      </c>
      <c r="V265">
        <v>34.477899999999998</v>
      </c>
      <c r="W265">
        <v>34.930099999999996</v>
      </c>
      <c r="X265">
        <v>35.382300000000001</v>
      </c>
      <c r="Y265">
        <v>36.286699999999996</v>
      </c>
      <c r="Z265">
        <v>36.738900000000001</v>
      </c>
      <c r="AA265">
        <v>37.191099999999999</v>
      </c>
      <c r="AD265">
        <v>4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 t="s">
        <v>462</v>
      </c>
      <c r="AL265" t="s">
        <v>6</v>
      </c>
      <c r="AM265" t="s">
        <v>1145</v>
      </c>
      <c r="AN265" t="s">
        <v>1146</v>
      </c>
      <c r="AO265" s="100">
        <v>46262.040405092594</v>
      </c>
      <c r="AP265" t="s">
        <v>1147</v>
      </c>
      <c r="AQ265" t="s">
        <v>1740</v>
      </c>
      <c r="AR265" t="s">
        <v>1210</v>
      </c>
      <c r="AS265" t="s">
        <v>1150</v>
      </c>
      <c r="AT265" t="s">
        <v>1664</v>
      </c>
      <c r="AU265">
        <v>25</v>
      </c>
      <c r="AV265">
        <v>35.802600000000005</v>
      </c>
      <c r="AW265">
        <v>0.49531058185748494</v>
      </c>
      <c r="AX265">
        <v>1.3834486374103694</v>
      </c>
      <c r="AY265">
        <v>0.3235385109073674</v>
      </c>
      <c r="AZ265">
        <v>2.6062287626344767</v>
      </c>
      <c r="BA265">
        <v>2.6574614985161111</v>
      </c>
      <c r="BB265" s="97" t="s">
        <v>161</v>
      </c>
      <c r="BD265" s="98"/>
      <c r="BE265" s="98"/>
      <c r="BF265" t="s">
        <v>1152</v>
      </c>
      <c r="BG265" t="s">
        <v>322</v>
      </c>
      <c r="BH265" t="s">
        <v>1153</v>
      </c>
      <c r="BI265">
        <v>0.3235385109073674</v>
      </c>
      <c r="BJ265" t="s">
        <v>991</v>
      </c>
      <c r="BK265">
        <v>1.3937712373655233</v>
      </c>
      <c r="BL265">
        <v>34.844280934138084</v>
      </c>
      <c r="BM265" t="s">
        <v>1260</v>
      </c>
      <c r="BN265" t="s">
        <v>1154</v>
      </c>
      <c r="BO265">
        <v>2025</v>
      </c>
      <c r="BP265" t="s">
        <v>966</v>
      </c>
      <c r="BQ265">
        <v>302129.4357621033</v>
      </c>
      <c r="BR265">
        <v>69.787056423789664</v>
      </c>
      <c r="BS265" t="s">
        <v>992</v>
      </c>
      <c r="BV265" t="s">
        <v>1034</v>
      </c>
      <c r="BW265" t="s">
        <v>943</v>
      </c>
      <c r="BX265" t="s">
        <v>994</v>
      </c>
      <c r="BY265">
        <v>2.0182858105695831</v>
      </c>
      <c r="BZ265" t="s">
        <v>1155</v>
      </c>
      <c r="CA265" t="s">
        <v>991</v>
      </c>
      <c r="CB265" t="b">
        <v>1</v>
      </c>
      <c r="CC265" t="b">
        <v>1</v>
      </c>
      <c r="CD265" t="b">
        <v>1</v>
      </c>
      <c r="CE265" t="b">
        <v>1</v>
      </c>
      <c r="CF265" t="b">
        <v>1</v>
      </c>
    </row>
    <row r="266" spans="1:84" x14ac:dyDescent="0.3">
      <c r="A266" t="s">
        <v>1741</v>
      </c>
      <c r="B266" t="s">
        <v>1212</v>
      </c>
      <c r="C266" s="98">
        <v>45761</v>
      </c>
      <c r="D266">
        <v>2025</v>
      </c>
      <c r="E266">
        <v>4</v>
      </c>
      <c r="F266">
        <v>2</v>
      </c>
      <c r="G266" t="s">
        <v>1208</v>
      </c>
      <c r="H266" t="s">
        <v>128</v>
      </c>
      <c r="I266" t="s">
        <v>128</v>
      </c>
      <c r="J266" t="s">
        <v>6</v>
      </c>
      <c r="L266">
        <v>522611</v>
      </c>
      <c r="M266" s="99" t="s">
        <v>179</v>
      </c>
      <c r="N266">
        <v>2</v>
      </c>
      <c r="O266">
        <v>15</v>
      </c>
      <c r="P266">
        <v>35.362900000000003</v>
      </c>
      <c r="Q266" t="s">
        <v>352</v>
      </c>
      <c r="R266">
        <v>1</v>
      </c>
      <c r="S266">
        <v>35.834499999999998</v>
      </c>
      <c r="T266">
        <v>0.45219999999999999</v>
      </c>
      <c r="U266">
        <v>-1.042901371074735</v>
      </c>
      <c r="V266">
        <v>34.477899999999998</v>
      </c>
      <c r="W266">
        <v>34.930099999999996</v>
      </c>
      <c r="X266">
        <v>35.382300000000001</v>
      </c>
      <c r="Y266">
        <v>36.286699999999996</v>
      </c>
      <c r="Z266">
        <v>36.738900000000001</v>
      </c>
      <c r="AA266">
        <v>37.191099999999999</v>
      </c>
      <c r="AD266">
        <v>4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 t="s">
        <v>462</v>
      </c>
      <c r="AL266" t="s">
        <v>6</v>
      </c>
      <c r="AM266" t="s">
        <v>1145</v>
      </c>
      <c r="AN266" t="s">
        <v>1146</v>
      </c>
      <c r="AO266" s="100">
        <v>46262.040405092594</v>
      </c>
      <c r="AP266" t="s">
        <v>1147</v>
      </c>
      <c r="AQ266" t="s">
        <v>1742</v>
      </c>
      <c r="AR266" t="s">
        <v>1215</v>
      </c>
      <c r="AS266" t="s">
        <v>1150</v>
      </c>
      <c r="AT266" t="s">
        <v>1664</v>
      </c>
      <c r="AU266">
        <v>25</v>
      </c>
      <c r="AV266">
        <v>35.802600000000005</v>
      </c>
      <c r="AW266">
        <v>0.49531058185748494</v>
      </c>
      <c r="AX266">
        <v>1.3834486374103694</v>
      </c>
      <c r="AY266">
        <v>0.3235385109073674</v>
      </c>
      <c r="AZ266">
        <v>2.6062287626344767</v>
      </c>
      <c r="BA266">
        <v>2.6574614985161111</v>
      </c>
      <c r="BB266" s="97" t="s">
        <v>161</v>
      </c>
      <c r="BD266" s="98"/>
      <c r="BE266" s="98"/>
      <c r="BF266" t="s">
        <v>1152</v>
      </c>
      <c r="BG266" t="s">
        <v>322</v>
      </c>
      <c r="BH266" t="s">
        <v>1153</v>
      </c>
      <c r="BI266">
        <v>0.3235385109073674</v>
      </c>
      <c r="BJ266" t="s">
        <v>991</v>
      </c>
      <c r="BK266">
        <v>1.3937712373655233</v>
      </c>
      <c r="BL266">
        <v>34.844280934138084</v>
      </c>
      <c r="BM266" t="s">
        <v>1260</v>
      </c>
      <c r="BN266" t="s">
        <v>1154</v>
      </c>
      <c r="BO266">
        <v>2025</v>
      </c>
      <c r="BP266" t="s">
        <v>966</v>
      </c>
      <c r="BQ266">
        <v>302129.4357621033</v>
      </c>
      <c r="BR266">
        <v>69.787056423789664</v>
      </c>
      <c r="BS266" t="s">
        <v>992</v>
      </c>
      <c r="BV266" t="s">
        <v>1034</v>
      </c>
      <c r="BW266" t="s">
        <v>943</v>
      </c>
      <c r="BX266" t="s">
        <v>994</v>
      </c>
      <c r="BY266">
        <v>2.0182858105695831</v>
      </c>
      <c r="BZ266" t="s">
        <v>1155</v>
      </c>
      <c r="CA266" t="s">
        <v>991</v>
      </c>
      <c r="CB266" t="b">
        <v>1</v>
      </c>
      <c r="CC266" t="b">
        <v>1</v>
      </c>
      <c r="CD266" t="b">
        <v>1</v>
      </c>
      <c r="CE266" t="b">
        <v>1</v>
      </c>
      <c r="CF266" t="b">
        <v>1</v>
      </c>
    </row>
    <row r="267" spans="1:84" x14ac:dyDescent="0.3">
      <c r="A267" t="s">
        <v>1743</v>
      </c>
      <c r="B267" t="s">
        <v>1217</v>
      </c>
      <c r="C267" s="98">
        <v>45768</v>
      </c>
      <c r="D267">
        <v>2025</v>
      </c>
      <c r="E267">
        <v>4</v>
      </c>
      <c r="F267">
        <v>2</v>
      </c>
      <c r="G267" t="s">
        <v>1208</v>
      </c>
      <c r="H267" t="s">
        <v>128</v>
      </c>
      <c r="I267" t="s">
        <v>128</v>
      </c>
      <c r="J267" t="s">
        <v>6</v>
      </c>
      <c r="L267">
        <v>522611</v>
      </c>
      <c r="M267" s="99" t="s">
        <v>179</v>
      </c>
      <c r="N267">
        <v>2</v>
      </c>
      <c r="O267">
        <v>16</v>
      </c>
      <c r="P267">
        <v>36.065600000000003</v>
      </c>
      <c r="Q267" t="s">
        <v>352</v>
      </c>
      <c r="R267">
        <v>1</v>
      </c>
      <c r="S267">
        <v>35.834499999999998</v>
      </c>
      <c r="T267">
        <v>0.45219999999999999</v>
      </c>
      <c r="U267">
        <v>0.51105705440071869</v>
      </c>
      <c r="V267">
        <v>34.477899999999998</v>
      </c>
      <c r="W267">
        <v>34.930099999999996</v>
      </c>
      <c r="X267">
        <v>35.382300000000001</v>
      </c>
      <c r="Y267">
        <v>36.286699999999996</v>
      </c>
      <c r="Z267">
        <v>36.738900000000001</v>
      </c>
      <c r="AA267">
        <v>37.191099999999999</v>
      </c>
      <c r="AD267">
        <v>4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 t="s">
        <v>462</v>
      </c>
      <c r="AL267" t="s">
        <v>6</v>
      </c>
      <c r="AM267" t="s">
        <v>1145</v>
      </c>
      <c r="AN267" t="s">
        <v>1146</v>
      </c>
      <c r="AO267" s="100">
        <v>46262.040405092594</v>
      </c>
      <c r="AP267" t="s">
        <v>1147</v>
      </c>
      <c r="AQ267" t="s">
        <v>1744</v>
      </c>
      <c r="AR267" t="s">
        <v>1219</v>
      </c>
      <c r="AS267" t="s">
        <v>1150</v>
      </c>
      <c r="AT267" t="s">
        <v>1664</v>
      </c>
      <c r="AU267">
        <v>25</v>
      </c>
      <c r="AV267">
        <v>35.802600000000005</v>
      </c>
      <c r="AW267">
        <v>0.49531058185748494</v>
      </c>
      <c r="AX267">
        <v>1.3834486374103694</v>
      </c>
      <c r="AY267">
        <v>0.3235385109073674</v>
      </c>
      <c r="AZ267">
        <v>2.6062287626344767</v>
      </c>
      <c r="BA267">
        <v>2.6574614985161111</v>
      </c>
      <c r="BB267" s="97" t="s">
        <v>161</v>
      </c>
      <c r="BD267" s="98"/>
      <c r="BE267" s="98"/>
      <c r="BF267" t="s">
        <v>1152</v>
      </c>
      <c r="BG267" t="s">
        <v>322</v>
      </c>
      <c r="BH267" t="s">
        <v>1153</v>
      </c>
      <c r="BI267">
        <v>0.3235385109073674</v>
      </c>
      <c r="BJ267" t="s">
        <v>991</v>
      </c>
      <c r="BK267">
        <v>1.3937712373655233</v>
      </c>
      <c r="BL267">
        <v>34.844280934138084</v>
      </c>
      <c r="BM267" t="s">
        <v>1260</v>
      </c>
      <c r="BN267" t="s">
        <v>1154</v>
      </c>
      <c r="BO267">
        <v>2025</v>
      </c>
      <c r="BP267" t="s">
        <v>966</v>
      </c>
      <c r="BQ267">
        <v>302129.4357621033</v>
      </c>
      <c r="BR267">
        <v>69.787056423789664</v>
      </c>
      <c r="BS267" t="s">
        <v>992</v>
      </c>
      <c r="BV267" t="s">
        <v>1034</v>
      </c>
      <c r="BW267" t="s">
        <v>943</v>
      </c>
      <c r="BX267" t="s">
        <v>994</v>
      </c>
      <c r="BY267">
        <v>2.0182858105695831</v>
      </c>
      <c r="BZ267" t="s">
        <v>1155</v>
      </c>
      <c r="CA267" t="s">
        <v>991</v>
      </c>
      <c r="CB267" t="b">
        <v>1</v>
      </c>
      <c r="CC267" t="b">
        <v>1</v>
      </c>
      <c r="CD267" t="b">
        <v>1</v>
      </c>
      <c r="CE267" t="b">
        <v>1</v>
      </c>
      <c r="CF267" t="b">
        <v>1</v>
      </c>
    </row>
    <row r="268" spans="1:84" x14ac:dyDescent="0.3">
      <c r="A268" t="s">
        <v>1745</v>
      </c>
      <c r="B268" t="s">
        <v>1221</v>
      </c>
      <c r="C268" s="98">
        <v>45775</v>
      </c>
      <c r="D268">
        <v>2025</v>
      </c>
      <c r="E268">
        <v>4</v>
      </c>
      <c r="F268">
        <v>2</v>
      </c>
      <c r="G268" t="s">
        <v>1208</v>
      </c>
      <c r="H268" t="s">
        <v>128</v>
      </c>
      <c r="I268" t="s">
        <v>128</v>
      </c>
      <c r="J268" t="s">
        <v>6</v>
      </c>
      <c r="L268">
        <v>522611</v>
      </c>
      <c r="M268" s="99" t="s">
        <v>179</v>
      </c>
      <c r="N268">
        <v>2</v>
      </c>
      <c r="O268">
        <v>17</v>
      </c>
      <c r="P268">
        <v>35.525100000000002</v>
      </c>
      <c r="Q268" t="s">
        <v>352</v>
      </c>
      <c r="R268">
        <v>1</v>
      </c>
      <c r="S268">
        <v>35.834499999999998</v>
      </c>
      <c r="T268">
        <v>0.45219999999999999</v>
      </c>
      <c r="U268">
        <v>-0.68421052631578194</v>
      </c>
      <c r="V268">
        <v>34.477899999999998</v>
      </c>
      <c r="W268">
        <v>34.930099999999996</v>
      </c>
      <c r="X268">
        <v>35.382300000000001</v>
      </c>
      <c r="Y268">
        <v>36.286699999999996</v>
      </c>
      <c r="Z268">
        <v>36.738900000000001</v>
      </c>
      <c r="AA268">
        <v>37.191099999999999</v>
      </c>
      <c r="AD268">
        <v>4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 t="s">
        <v>462</v>
      </c>
      <c r="AL268" t="s">
        <v>6</v>
      </c>
      <c r="AM268" t="s">
        <v>1145</v>
      </c>
      <c r="AN268" t="s">
        <v>1146</v>
      </c>
      <c r="AO268" s="100">
        <v>46262.040405092594</v>
      </c>
      <c r="AP268" t="s">
        <v>1147</v>
      </c>
      <c r="AQ268" t="s">
        <v>1746</v>
      </c>
      <c r="AR268" t="s">
        <v>1223</v>
      </c>
      <c r="AS268" t="s">
        <v>1150</v>
      </c>
      <c r="AT268" t="s">
        <v>1664</v>
      </c>
      <c r="AU268">
        <v>25</v>
      </c>
      <c r="AV268">
        <v>35.802600000000005</v>
      </c>
      <c r="AW268">
        <v>0.49531058185748494</v>
      </c>
      <c r="AX268">
        <v>1.3834486374103694</v>
      </c>
      <c r="AY268">
        <v>0.3235385109073674</v>
      </c>
      <c r="AZ268">
        <v>2.6062287626344767</v>
      </c>
      <c r="BA268">
        <v>2.6574614985161111</v>
      </c>
      <c r="BB268" s="97" t="s">
        <v>161</v>
      </c>
      <c r="BD268" s="98"/>
      <c r="BE268" s="98"/>
      <c r="BF268" t="s">
        <v>1152</v>
      </c>
      <c r="BG268" t="s">
        <v>322</v>
      </c>
      <c r="BH268" t="s">
        <v>1153</v>
      </c>
      <c r="BI268">
        <v>0.3235385109073674</v>
      </c>
      <c r="BJ268" t="s">
        <v>991</v>
      </c>
      <c r="BK268">
        <v>1.3937712373655233</v>
      </c>
      <c r="BL268">
        <v>34.844280934138084</v>
      </c>
      <c r="BM268" t="s">
        <v>1260</v>
      </c>
      <c r="BN268" t="s">
        <v>1154</v>
      </c>
      <c r="BO268">
        <v>2025</v>
      </c>
      <c r="BP268" t="s">
        <v>966</v>
      </c>
      <c r="BQ268">
        <v>302129.4357621033</v>
      </c>
      <c r="BR268">
        <v>69.787056423789664</v>
      </c>
      <c r="BS268" t="s">
        <v>992</v>
      </c>
      <c r="BV268" t="s">
        <v>1034</v>
      </c>
      <c r="BW268" t="s">
        <v>943</v>
      </c>
      <c r="BX268" t="s">
        <v>994</v>
      </c>
      <c r="BY268">
        <v>2.0182858105695831</v>
      </c>
      <c r="BZ268" t="s">
        <v>1155</v>
      </c>
      <c r="CA268" t="s">
        <v>991</v>
      </c>
      <c r="CB268" t="b">
        <v>1</v>
      </c>
      <c r="CC268" t="b">
        <v>1</v>
      </c>
      <c r="CD268" t="b">
        <v>1</v>
      </c>
      <c r="CE268" t="b">
        <v>1</v>
      </c>
      <c r="CF268" t="b">
        <v>1</v>
      </c>
    </row>
    <row r="269" spans="1:84" x14ac:dyDescent="0.3">
      <c r="A269" t="s">
        <v>1747</v>
      </c>
      <c r="B269" t="s">
        <v>1225</v>
      </c>
      <c r="C269" s="98">
        <v>45782</v>
      </c>
      <c r="D269">
        <v>2025</v>
      </c>
      <c r="E269">
        <v>5</v>
      </c>
      <c r="F269">
        <v>2</v>
      </c>
      <c r="G269" t="s">
        <v>1226</v>
      </c>
      <c r="H269" t="s">
        <v>128</v>
      </c>
      <c r="I269" t="s">
        <v>128</v>
      </c>
      <c r="J269" t="s">
        <v>6</v>
      </c>
      <c r="L269">
        <v>522611</v>
      </c>
      <c r="M269" s="99" t="s">
        <v>179</v>
      </c>
      <c r="N269">
        <v>2</v>
      </c>
      <c r="O269">
        <v>18</v>
      </c>
      <c r="P269">
        <v>36.329099999999997</v>
      </c>
      <c r="Q269" t="s">
        <v>352</v>
      </c>
      <c r="R269">
        <v>1</v>
      </c>
      <c r="S269">
        <v>35.834499999999998</v>
      </c>
      <c r="T269">
        <v>0.45219999999999999</v>
      </c>
      <c r="U269">
        <v>1.0937638213179972</v>
      </c>
      <c r="V269">
        <v>34.477899999999998</v>
      </c>
      <c r="W269">
        <v>34.930099999999996</v>
      </c>
      <c r="X269">
        <v>35.382300000000001</v>
      </c>
      <c r="Y269">
        <v>36.286699999999996</v>
      </c>
      <c r="Z269">
        <v>36.738900000000001</v>
      </c>
      <c r="AA269">
        <v>37.191099999999999</v>
      </c>
      <c r="AD269">
        <v>4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 t="s">
        <v>462</v>
      </c>
      <c r="AL269" t="s">
        <v>6</v>
      </c>
      <c r="AM269" t="s">
        <v>1145</v>
      </c>
      <c r="AN269" t="s">
        <v>1146</v>
      </c>
      <c r="AO269" s="100">
        <v>46262.040405092594</v>
      </c>
      <c r="AP269" t="s">
        <v>1147</v>
      </c>
      <c r="AQ269" t="s">
        <v>1748</v>
      </c>
      <c r="AR269" t="s">
        <v>1228</v>
      </c>
      <c r="AS269" t="s">
        <v>1150</v>
      </c>
      <c r="AT269" t="s">
        <v>1664</v>
      </c>
      <c r="AU269">
        <v>25</v>
      </c>
      <c r="AV269">
        <v>35.802600000000005</v>
      </c>
      <c r="AW269">
        <v>0.49531058185748494</v>
      </c>
      <c r="AX269">
        <v>1.3834486374103694</v>
      </c>
      <c r="AY269">
        <v>0.3235385109073674</v>
      </c>
      <c r="AZ269">
        <v>2.6062287626344767</v>
      </c>
      <c r="BA269">
        <v>2.6574614985161111</v>
      </c>
      <c r="BB269" s="97" t="s">
        <v>161</v>
      </c>
      <c r="BD269" s="98"/>
      <c r="BE269" s="98"/>
      <c r="BF269" t="s">
        <v>1152</v>
      </c>
      <c r="BG269" t="s">
        <v>322</v>
      </c>
      <c r="BH269" t="s">
        <v>1153</v>
      </c>
      <c r="BI269">
        <v>0.3235385109073674</v>
      </c>
      <c r="BJ269" t="s">
        <v>991</v>
      </c>
      <c r="BK269">
        <v>1.3937712373655233</v>
      </c>
      <c r="BL269">
        <v>34.844280934138084</v>
      </c>
      <c r="BM269" t="s">
        <v>1260</v>
      </c>
      <c r="BN269" t="s">
        <v>1154</v>
      </c>
      <c r="BO269">
        <v>2025</v>
      </c>
      <c r="BP269" t="s">
        <v>966</v>
      </c>
      <c r="BQ269">
        <v>302129.4357621033</v>
      </c>
      <c r="BR269">
        <v>69.787056423789664</v>
      </c>
      <c r="BS269" t="s">
        <v>992</v>
      </c>
      <c r="BV269" t="s">
        <v>1034</v>
      </c>
      <c r="BW269" t="s">
        <v>943</v>
      </c>
      <c r="BX269" t="s">
        <v>994</v>
      </c>
      <c r="BY269">
        <v>2.0182858105695831</v>
      </c>
      <c r="BZ269" t="s">
        <v>1155</v>
      </c>
      <c r="CA269" t="s">
        <v>991</v>
      </c>
      <c r="CB269" t="b">
        <v>1</v>
      </c>
      <c r="CC269" t="b">
        <v>1</v>
      </c>
      <c r="CD269" t="b">
        <v>1</v>
      </c>
      <c r="CE269" t="b">
        <v>1</v>
      </c>
      <c r="CF269" t="b">
        <v>1</v>
      </c>
    </row>
    <row r="270" spans="1:84" x14ac:dyDescent="0.3">
      <c r="A270" t="s">
        <v>1749</v>
      </c>
      <c r="B270" t="s">
        <v>1230</v>
      </c>
      <c r="C270" s="98">
        <v>45789</v>
      </c>
      <c r="D270">
        <v>2025</v>
      </c>
      <c r="E270">
        <v>5</v>
      </c>
      <c r="F270">
        <v>2</v>
      </c>
      <c r="G270" t="s">
        <v>1226</v>
      </c>
      <c r="H270" t="s">
        <v>128</v>
      </c>
      <c r="I270" t="s">
        <v>128</v>
      </c>
      <c r="J270" t="s">
        <v>6</v>
      </c>
      <c r="L270">
        <v>522611</v>
      </c>
      <c r="M270" s="99" t="s">
        <v>179</v>
      </c>
      <c r="N270">
        <v>2</v>
      </c>
      <c r="O270">
        <v>19</v>
      </c>
      <c r="P270">
        <v>35.259700000000002</v>
      </c>
      <c r="Q270" t="s">
        <v>352</v>
      </c>
      <c r="R270">
        <v>1</v>
      </c>
      <c r="S270">
        <v>35.834499999999998</v>
      </c>
      <c r="T270">
        <v>0.45219999999999999</v>
      </c>
      <c r="U270">
        <v>-1.2711189739053432</v>
      </c>
      <c r="V270">
        <v>34.477899999999998</v>
      </c>
      <c r="W270">
        <v>34.930099999999996</v>
      </c>
      <c r="X270">
        <v>35.382300000000001</v>
      </c>
      <c r="Y270">
        <v>36.286699999999996</v>
      </c>
      <c r="Z270">
        <v>36.738900000000001</v>
      </c>
      <c r="AA270">
        <v>37.191099999999999</v>
      </c>
      <c r="AD270">
        <v>4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 t="s">
        <v>462</v>
      </c>
      <c r="AL270" t="s">
        <v>6</v>
      </c>
      <c r="AM270" t="s">
        <v>1145</v>
      </c>
      <c r="AN270" t="s">
        <v>1146</v>
      </c>
      <c r="AO270" s="100">
        <v>46262.040405092594</v>
      </c>
      <c r="AP270" t="s">
        <v>1147</v>
      </c>
      <c r="AQ270" t="s">
        <v>1750</v>
      </c>
      <c r="AR270" t="s">
        <v>1232</v>
      </c>
      <c r="AS270" t="s">
        <v>1150</v>
      </c>
      <c r="AT270" t="s">
        <v>1664</v>
      </c>
      <c r="AU270">
        <v>25</v>
      </c>
      <c r="AV270">
        <v>35.802600000000005</v>
      </c>
      <c r="AW270">
        <v>0.49531058185748494</v>
      </c>
      <c r="AX270">
        <v>1.3834486374103694</v>
      </c>
      <c r="AY270">
        <v>0.3235385109073674</v>
      </c>
      <c r="AZ270">
        <v>2.6062287626344767</v>
      </c>
      <c r="BA270">
        <v>2.6574614985161111</v>
      </c>
      <c r="BB270" s="97" t="s">
        <v>161</v>
      </c>
      <c r="BD270" s="98"/>
      <c r="BE270" s="98"/>
      <c r="BF270" t="s">
        <v>1152</v>
      </c>
      <c r="BG270" t="s">
        <v>322</v>
      </c>
      <c r="BH270" t="s">
        <v>1153</v>
      </c>
      <c r="BI270">
        <v>0.3235385109073674</v>
      </c>
      <c r="BJ270" t="s">
        <v>991</v>
      </c>
      <c r="BK270">
        <v>1.3937712373655233</v>
      </c>
      <c r="BL270">
        <v>34.844280934138084</v>
      </c>
      <c r="BM270" t="s">
        <v>1260</v>
      </c>
      <c r="BN270" t="s">
        <v>1154</v>
      </c>
      <c r="BO270">
        <v>2025</v>
      </c>
      <c r="BP270" t="s">
        <v>966</v>
      </c>
      <c r="BQ270">
        <v>302129.4357621033</v>
      </c>
      <c r="BR270">
        <v>69.787056423789664</v>
      </c>
      <c r="BS270" t="s">
        <v>992</v>
      </c>
      <c r="BV270" t="s">
        <v>1034</v>
      </c>
      <c r="BW270" t="s">
        <v>943</v>
      </c>
      <c r="BX270" t="s">
        <v>994</v>
      </c>
      <c r="BY270">
        <v>2.0182858105695831</v>
      </c>
      <c r="BZ270" t="s">
        <v>1155</v>
      </c>
      <c r="CA270" t="s">
        <v>991</v>
      </c>
      <c r="CB270" t="b">
        <v>1</v>
      </c>
      <c r="CC270" t="b">
        <v>1</v>
      </c>
      <c r="CD270" t="b">
        <v>1</v>
      </c>
      <c r="CE270" t="b">
        <v>1</v>
      </c>
      <c r="CF270" t="b">
        <v>1</v>
      </c>
    </row>
    <row r="271" spans="1:84" x14ac:dyDescent="0.3">
      <c r="A271" t="s">
        <v>1751</v>
      </c>
      <c r="B271" t="s">
        <v>1234</v>
      </c>
      <c r="C271" s="98">
        <v>45796</v>
      </c>
      <c r="D271">
        <v>2025</v>
      </c>
      <c r="E271">
        <v>5</v>
      </c>
      <c r="F271">
        <v>2</v>
      </c>
      <c r="G271" t="s">
        <v>1226</v>
      </c>
      <c r="H271" t="s">
        <v>128</v>
      </c>
      <c r="I271" t="s">
        <v>128</v>
      </c>
      <c r="J271" t="s">
        <v>6</v>
      </c>
      <c r="L271">
        <v>522611</v>
      </c>
      <c r="M271" s="99" t="s">
        <v>179</v>
      </c>
      <c r="N271">
        <v>2</v>
      </c>
      <c r="O271">
        <v>20</v>
      </c>
      <c r="P271">
        <v>35.772300000000001</v>
      </c>
      <c r="Q271" t="s">
        <v>352</v>
      </c>
      <c r="R271">
        <v>1</v>
      </c>
      <c r="S271">
        <v>35.834499999999998</v>
      </c>
      <c r="T271">
        <v>0.45219999999999999</v>
      </c>
      <c r="U271">
        <v>-0.13754975674479689</v>
      </c>
      <c r="V271">
        <v>34.477899999999998</v>
      </c>
      <c r="W271">
        <v>34.930099999999996</v>
      </c>
      <c r="X271">
        <v>35.382300000000001</v>
      </c>
      <c r="Y271">
        <v>36.286699999999996</v>
      </c>
      <c r="Z271">
        <v>36.738900000000001</v>
      </c>
      <c r="AA271">
        <v>37.191099999999999</v>
      </c>
      <c r="AD271">
        <v>4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 t="s">
        <v>462</v>
      </c>
      <c r="AL271" t="s">
        <v>6</v>
      </c>
      <c r="AM271" t="s">
        <v>1145</v>
      </c>
      <c r="AN271" t="s">
        <v>1146</v>
      </c>
      <c r="AO271" s="100">
        <v>46262.040405092594</v>
      </c>
      <c r="AP271" t="s">
        <v>1147</v>
      </c>
      <c r="AQ271" t="s">
        <v>1752</v>
      </c>
      <c r="AR271" t="s">
        <v>1236</v>
      </c>
      <c r="AS271" t="s">
        <v>1150</v>
      </c>
      <c r="AT271" t="s">
        <v>1664</v>
      </c>
      <c r="AU271">
        <v>25</v>
      </c>
      <c r="AV271">
        <v>35.802600000000005</v>
      </c>
      <c r="AW271">
        <v>0.49531058185748494</v>
      </c>
      <c r="AX271">
        <v>1.3834486374103694</v>
      </c>
      <c r="AY271">
        <v>0.3235385109073674</v>
      </c>
      <c r="AZ271">
        <v>2.6062287626344767</v>
      </c>
      <c r="BA271">
        <v>2.6574614985161111</v>
      </c>
      <c r="BB271" s="97" t="s">
        <v>161</v>
      </c>
      <c r="BD271" s="98"/>
      <c r="BE271" s="98"/>
      <c r="BF271" t="s">
        <v>1152</v>
      </c>
      <c r="BG271" t="s">
        <v>322</v>
      </c>
      <c r="BH271" t="s">
        <v>1153</v>
      </c>
      <c r="BI271">
        <v>0.3235385109073674</v>
      </c>
      <c r="BJ271" t="s">
        <v>991</v>
      </c>
      <c r="BK271">
        <v>1.3937712373655233</v>
      </c>
      <c r="BL271">
        <v>34.844280934138084</v>
      </c>
      <c r="BM271" t="s">
        <v>1260</v>
      </c>
      <c r="BN271" t="s">
        <v>1154</v>
      </c>
      <c r="BO271">
        <v>2025</v>
      </c>
      <c r="BP271" t="s">
        <v>966</v>
      </c>
      <c r="BQ271">
        <v>302129.4357621033</v>
      </c>
      <c r="BR271">
        <v>69.787056423789664</v>
      </c>
      <c r="BS271" t="s">
        <v>992</v>
      </c>
      <c r="BV271" t="s">
        <v>1034</v>
      </c>
      <c r="BW271" t="s">
        <v>943</v>
      </c>
      <c r="BX271" t="s">
        <v>994</v>
      </c>
      <c r="BY271">
        <v>2.0182858105695831</v>
      </c>
      <c r="BZ271" t="s">
        <v>1155</v>
      </c>
      <c r="CA271" t="s">
        <v>991</v>
      </c>
      <c r="CB271" t="b">
        <v>1</v>
      </c>
      <c r="CC271" t="b">
        <v>1</v>
      </c>
      <c r="CD271" t="b">
        <v>1</v>
      </c>
      <c r="CE271" t="b">
        <v>1</v>
      </c>
      <c r="CF271" t="b">
        <v>1</v>
      </c>
    </row>
    <row r="272" spans="1:84" x14ac:dyDescent="0.3">
      <c r="A272" t="s">
        <v>1753</v>
      </c>
      <c r="B272" t="s">
        <v>1238</v>
      </c>
      <c r="C272" s="98">
        <v>45803</v>
      </c>
      <c r="D272">
        <v>2025</v>
      </c>
      <c r="E272">
        <v>5</v>
      </c>
      <c r="F272">
        <v>2</v>
      </c>
      <c r="G272" t="s">
        <v>1226</v>
      </c>
      <c r="H272" t="s">
        <v>128</v>
      </c>
      <c r="I272" t="s">
        <v>128</v>
      </c>
      <c r="J272" t="s">
        <v>6</v>
      </c>
      <c r="L272">
        <v>522611</v>
      </c>
      <c r="M272" s="99" t="s">
        <v>179</v>
      </c>
      <c r="N272">
        <v>2</v>
      </c>
      <c r="O272">
        <v>21</v>
      </c>
      <c r="P272">
        <v>35.831200000000003</v>
      </c>
      <c r="Q272" t="s">
        <v>352</v>
      </c>
      <c r="R272">
        <v>1</v>
      </c>
      <c r="S272">
        <v>35.834499999999998</v>
      </c>
      <c r="T272">
        <v>0.45219999999999999</v>
      </c>
      <c r="U272">
        <v>-7.2976559044578984E-3</v>
      </c>
      <c r="V272">
        <v>34.477899999999998</v>
      </c>
      <c r="W272">
        <v>34.930099999999996</v>
      </c>
      <c r="X272">
        <v>35.382300000000001</v>
      </c>
      <c r="Y272">
        <v>36.286699999999996</v>
      </c>
      <c r="Z272">
        <v>36.738900000000001</v>
      </c>
      <c r="AA272">
        <v>37.191099999999999</v>
      </c>
      <c r="AD272">
        <v>4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 t="s">
        <v>462</v>
      </c>
      <c r="AL272" t="s">
        <v>6</v>
      </c>
      <c r="AM272" t="s">
        <v>1145</v>
      </c>
      <c r="AN272" t="s">
        <v>1146</v>
      </c>
      <c r="AO272" s="100">
        <v>46262.040405092594</v>
      </c>
      <c r="AP272" t="s">
        <v>1147</v>
      </c>
      <c r="AQ272" t="s">
        <v>1754</v>
      </c>
      <c r="AR272" t="s">
        <v>1240</v>
      </c>
      <c r="AS272" t="s">
        <v>1150</v>
      </c>
      <c r="AT272" t="s">
        <v>1664</v>
      </c>
      <c r="AU272">
        <v>25</v>
      </c>
      <c r="AV272">
        <v>35.802600000000005</v>
      </c>
      <c r="AW272">
        <v>0.49531058185748494</v>
      </c>
      <c r="AX272">
        <v>1.3834486374103694</v>
      </c>
      <c r="AY272">
        <v>0.3235385109073674</v>
      </c>
      <c r="AZ272">
        <v>2.6062287626344767</v>
      </c>
      <c r="BA272">
        <v>2.6574614985161111</v>
      </c>
      <c r="BB272" s="97" t="s">
        <v>161</v>
      </c>
      <c r="BD272" s="98"/>
      <c r="BE272" s="98"/>
      <c r="BF272" t="s">
        <v>1152</v>
      </c>
      <c r="BG272" t="s">
        <v>322</v>
      </c>
      <c r="BH272" t="s">
        <v>1153</v>
      </c>
      <c r="BI272">
        <v>0.3235385109073674</v>
      </c>
      <c r="BJ272" t="s">
        <v>991</v>
      </c>
      <c r="BK272">
        <v>1.3937712373655233</v>
      </c>
      <c r="BL272">
        <v>34.844280934138084</v>
      </c>
      <c r="BM272" t="s">
        <v>1260</v>
      </c>
      <c r="BN272" t="s">
        <v>1154</v>
      </c>
      <c r="BO272">
        <v>2025</v>
      </c>
      <c r="BP272" t="s">
        <v>966</v>
      </c>
      <c r="BQ272">
        <v>302129.4357621033</v>
      </c>
      <c r="BR272">
        <v>69.787056423789664</v>
      </c>
      <c r="BS272" t="s">
        <v>992</v>
      </c>
      <c r="BV272" t="s">
        <v>1034</v>
      </c>
      <c r="BW272" t="s">
        <v>943</v>
      </c>
      <c r="BX272" t="s">
        <v>994</v>
      </c>
      <c r="BY272">
        <v>2.0182858105695831</v>
      </c>
      <c r="BZ272" t="s">
        <v>1155</v>
      </c>
      <c r="CA272" t="s">
        <v>991</v>
      </c>
      <c r="CB272" t="b">
        <v>1</v>
      </c>
      <c r="CC272" t="b">
        <v>1</v>
      </c>
      <c r="CD272" t="b">
        <v>1</v>
      </c>
      <c r="CE272" t="b">
        <v>1</v>
      </c>
      <c r="CF272" t="b">
        <v>1</v>
      </c>
    </row>
    <row r="273" spans="1:84" x14ac:dyDescent="0.3">
      <c r="A273" t="s">
        <v>1755</v>
      </c>
      <c r="B273" t="s">
        <v>1242</v>
      </c>
      <c r="C273" s="98">
        <v>45810</v>
      </c>
      <c r="D273">
        <v>2025</v>
      </c>
      <c r="E273">
        <v>6</v>
      </c>
      <c r="F273">
        <v>2</v>
      </c>
      <c r="G273" t="s">
        <v>1243</v>
      </c>
      <c r="H273" t="s">
        <v>128</v>
      </c>
      <c r="I273" t="s">
        <v>128</v>
      </c>
      <c r="J273" t="s">
        <v>6</v>
      </c>
      <c r="L273">
        <v>522611</v>
      </c>
      <c r="M273" s="99" t="s">
        <v>179</v>
      </c>
      <c r="N273">
        <v>2</v>
      </c>
      <c r="O273">
        <v>22</v>
      </c>
      <c r="P273">
        <v>35.235500000000002</v>
      </c>
      <c r="Q273" t="s">
        <v>352</v>
      </c>
      <c r="R273">
        <v>1</v>
      </c>
      <c r="S273">
        <v>35.834499999999998</v>
      </c>
      <c r="T273">
        <v>0.45219999999999999</v>
      </c>
      <c r="U273">
        <v>-1.3246351172047692</v>
      </c>
      <c r="V273">
        <v>34.477899999999998</v>
      </c>
      <c r="W273">
        <v>34.930099999999996</v>
      </c>
      <c r="X273">
        <v>35.382300000000001</v>
      </c>
      <c r="Y273">
        <v>36.286699999999996</v>
      </c>
      <c r="Z273">
        <v>36.738900000000001</v>
      </c>
      <c r="AA273">
        <v>37.191099999999999</v>
      </c>
      <c r="AD273">
        <v>4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 t="s">
        <v>462</v>
      </c>
      <c r="AL273" t="s">
        <v>6</v>
      </c>
      <c r="AM273" t="s">
        <v>1145</v>
      </c>
      <c r="AN273" t="s">
        <v>1146</v>
      </c>
      <c r="AO273" s="100">
        <v>46262.040405092594</v>
      </c>
      <c r="AP273" t="s">
        <v>1147</v>
      </c>
      <c r="AQ273" t="s">
        <v>1756</v>
      </c>
      <c r="AR273" t="s">
        <v>1245</v>
      </c>
      <c r="AS273" t="s">
        <v>1150</v>
      </c>
      <c r="AT273" t="s">
        <v>1664</v>
      </c>
      <c r="AU273">
        <v>25</v>
      </c>
      <c r="AV273">
        <v>35.802600000000005</v>
      </c>
      <c r="AW273">
        <v>0.49531058185748494</v>
      </c>
      <c r="AX273">
        <v>1.3834486374103694</v>
      </c>
      <c r="AY273">
        <v>0.3235385109073674</v>
      </c>
      <c r="AZ273">
        <v>2.6062287626344767</v>
      </c>
      <c r="BA273">
        <v>2.6574614985161111</v>
      </c>
      <c r="BB273" s="97" t="s">
        <v>161</v>
      </c>
      <c r="BD273" s="98"/>
      <c r="BE273" s="98"/>
      <c r="BF273" t="s">
        <v>1152</v>
      </c>
      <c r="BG273" t="s">
        <v>322</v>
      </c>
      <c r="BH273" t="s">
        <v>1153</v>
      </c>
      <c r="BI273">
        <v>0.3235385109073674</v>
      </c>
      <c r="BJ273" t="s">
        <v>991</v>
      </c>
      <c r="BK273">
        <v>1.3937712373655233</v>
      </c>
      <c r="BL273">
        <v>34.844280934138084</v>
      </c>
      <c r="BM273" t="s">
        <v>1260</v>
      </c>
      <c r="BN273" t="s">
        <v>1154</v>
      </c>
      <c r="BO273">
        <v>2025</v>
      </c>
      <c r="BP273" t="s">
        <v>966</v>
      </c>
      <c r="BQ273">
        <v>302129.4357621033</v>
      </c>
      <c r="BR273">
        <v>69.787056423789664</v>
      </c>
      <c r="BS273" t="s">
        <v>992</v>
      </c>
      <c r="BV273" t="s">
        <v>1034</v>
      </c>
      <c r="BW273" t="s">
        <v>943</v>
      </c>
      <c r="BX273" t="s">
        <v>994</v>
      </c>
      <c r="BY273">
        <v>2.0182858105695831</v>
      </c>
      <c r="BZ273" t="s">
        <v>1155</v>
      </c>
      <c r="CA273" t="s">
        <v>991</v>
      </c>
      <c r="CB273" t="b">
        <v>1</v>
      </c>
      <c r="CC273" t="b">
        <v>1</v>
      </c>
      <c r="CD273" t="b">
        <v>1</v>
      </c>
      <c r="CE273" t="b">
        <v>1</v>
      </c>
      <c r="CF273" t="b">
        <v>1</v>
      </c>
    </row>
    <row r="274" spans="1:84" x14ac:dyDescent="0.3">
      <c r="A274" t="s">
        <v>1757</v>
      </c>
      <c r="B274" t="s">
        <v>1247</v>
      </c>
      <c r="C274" s="98">
        <v>45817</v>
      </c>
      <c r="D274">
        <v>2025</v>
      </c>
      <c r="E274">
        <v>6</v>
      </c>
      <c r="F274">
        <v>2</v>
      </c>
      <c r="G274" t="s">
        <v>1243</v>
      </c>
      <c r="H274" t="s">
        <v>128</v>
      </c>
      <c r="I274" t="s">
        <v>128</v>
      </c>
      <c r="J274" t="s">
        <v>6</v>
      </c>
      <c r="L274">
        <v>522611</v>
      </c>
      <c r="M274" s="99" t="s">
        <v>179</v>
      </c>
      <c r="N274">
        <v>2</v>
      </c>
      <c r="O274">
        <v>23</v>
      </c>
      <c r="P274">
        <v>36.613199999999999</v>
      </c>
      <c r="Q274" t="s">
        <v>352</v>
      </c>
      <c r="R274">
        <v>1</v>
      </c>
      <c r="S274">
        <v>35.834499999999998</v>
      </c>
      <c r="T274">
        <v>0.45219999999999999</v>
      </c>
      <c r="U274">
        <v>1.722025652366211</v>
      </c>
      <c r="V274">
        <v>34.477899999999998</v>
      </c>
      <c r="W274">
        <v>34.930099999999996</v>
      </c>
      <c r="X274">
        <v>35.382300000000001</v>
      </c>
      <c r="Y274">
        <v>36.286699999999996</v>
      </c>
      <c r="Z274">
        <v>36.738900000000001</v>
      </c>
      <c r="AA274">
        <v>37.191099999999999</v>
      </c>
      <c r="AD274">
        <v>4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 t="s">
        <v>462</v>
      </c>
      <c r="AL274" t="s">
        <v>6</v>
      </c>
      <c r="AM274" t="s">
        <v>1145</v>
      </c>
      <c r="AN274" t="s">
        <v>1146</v>
      </c>
      <c r="AO274" s="100">
        <v>46262.040405092594</v>
      </c>
      <c r="AP274" t="s">
        <v>1147</v>
      </c>
      <c r="AQ274" t="s">
        <v>1758</v>
      </c>
      <c r="AR274" t="s">
        <v>1249</v>
      </c>
      <c r="AS274" t="s">
        <v>1150</v>
      </c>
      <c r="AT274" t="s">
        <v>1664</v>
      </c>
      <c r="AU274">
        <v>25</v>
      </c>
      <c r="AV274">
        <v>35.802600000000005</v>
      </c>
      <c r="AW274">
        <v>0.49531058185748494</v>
      </c>
      <c r="AX274">
        <v>1.3834486374103694</v>
      </c>
      <c r="AY274">
        <v>0.3235385109073674</v>
      </c>
      <c r="AZ274">
        <v>2.6062287626344767</v>
      </c>
      <c r="BA274">
        <v>2.6574614985161111</v>
      </c>
      <c r="BB274" s="97" t="s">
        <v>161</v>
      </c>
      <c r="BD274" s="98"/>
      <c r="BE274" s="98"/>
      <c r="BF274" t="s">
        <v>1152</v>
      </c>
      <c r="BG274" t="s">
        <v>322</v>
      </c>
      <c r="BH274" t="s">
        <v>1153</v>
      </c>
      <c r="BI274">
        <v>0.3235385109073674</v>
      </c>
      <c r="BJ274" t="s">
        <v>991</v>
      </c>
      <c r="BK274">
        <v>1.3937712373655233</v>
      </c>
      <c r="BL274">
        <v>34.844280934138084</v>
      </c>
      <c r="BM274" t="s">
        <v>1260</v>
      </c>
      <c r="BN274" t="s">
        <v>1154</v>
      </c>
      <c r="BO274">
        <v>2025</v>
      </c>
      <c r="BP274" t="s">
        <v>966</v>
      </c>
      <c r="BQ274">
        <v>302129.4357621033</v>
      </c>
      <c r="BR274">
        <v>69.787056423789664</v>
      </c>
      <c r="BS274" t="s">
        <v>992</v>
      </c>
      <c r="BV274" t="s">
        <v>1034</v>
      </c>
      <c r="BW274" t="s">
        <v>943</v>
      </c>
      <c r="BX274" t="s">
        <v>994</v>
      </c>
      <c r="BY274">
        <v>2.0182858105695831</v>
      </c>
      <c r="BZ274" t="s">
        <v>1155</v>
      </c>
      <c r="CA274" t="s">
        <v>991</v>
      </c>
      <c r="CB274" t="b">
        <v>1</v>
      </c>
      <c r="CC274" t="b">
        <v>1</v>
      </c>
      <c r="CD274" t="b">
        <v>1</v>
      </c>
      <c r="CE274" t="b">
        <v>1</v>
      </c>
      <c r="CF274" t="b">
        <v>1</v>
      </c>
    </row>
    <row r="275" spans="1:84" x14ac:dyDescent="0.3">
      <c r="A275" t="s">
        <v>1759</v>
      </c>
      <c r="B275" t="s">
        <v>1251</v>
      </c>
      <c r="C275" s="98">
        <v>45824</v>
      </c>
      <c r="D275">
        <v>2025</v>
      </c>
      <c r="E275">
        <v>6</v>
      </c>
      <c r="F275">
        <v>2</v>
      </c>
      <c r="G275" t="s">
        <v>1243</v>
      </c>
      <c r="H275" t="s">
        <v>128</v>
      </c>
      <c r="I275" t="s">
        <v>128</v>
      </c>
      <c r="J275" t="s">
        <v>6</v>
      </c>
      <c r="L275">
        <v>522611</v>
      </c>
      <c r="M275" s="99" t="s">
        <v>179</v>
      </c>
      <c r="N275">
        <v>2</v>
      </c>
      <c r="O275">
        <v>24</v>
      </c>
      <c r="P275">
        <v>36.494900000000001</v>
      </c>
      <c r="Q275" t="s">
        <v>352</v>
      </c>
      <c r="R275">
        <v>1</v>
      </c>
      <c r="S275">
        <v>35.834499999999998</v>
      </c>
      <c r="T275">
        <v>0.45219999999999999</v>
      </c>
      <c r="U275">
        <v>1.4604157452454727</v>
      </c>
      <c r="V275">
        <v>34.477899999999998</v>
      </c>
      <c r="W275">
        <v>34.930099999999996</v>
      </c>
      <c r="X275">
        <v>35.382300000000001</v>
      </c>
      <c r="Y275">
        <v>36.286699999999996</v>
      </c>
      <c r="Z275">
        <v>36.738900000000001</v>
      </c>
      <c r="AA275">
        <v>37.191099999999999</v>
      </c>
      <c r="AD275">
        <v>4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 t="s">
        <v>462</v>
      </c>
      <c r="AL275" t="s">
        <v>6</v>
      </c>
      <c r="AM275" t="s">
        <v>1145</v>
      </c>
      <c r="AN275" t="s">
        <v>1146</v>
      </c>
      <c r="AO275" s="100">
        <v>46262.040405092594</v>
      </c>
      <c r="AP275" t="s">
        <v>1147</v>
      </c>
      <c r="AQ275" t="s">
        <v>1760</v>
      </c>
      <c r="AR275" t="s">
        <v>1253</v>
      </c>
      <c r="AS275" t="s">
        <v>1150</v>
      </c>
      <c r="AT275" t="s">
        <v>1664</v>
      </c>
      <c r="AU275">
        <v>25</v>
      </c>
      <c r="AV275">
        <v>35.802600000000005</v>
      </c>
      <c r="AW275">
        <v>0.49531058185748494</v>
      </c>
      <c r="AX275">
        <v>1.3834486374103694</v>
      </c>
      <c r="AY275">
        <v>0.3235385109073674</v>
      </c>
      <c r="AZ275">
        <v>2.6062287626344767</v>
      </c>
      <c r="BA275">
        <v>2.6574614985161111</v>
      </c>
      <c r="BB275" s="97" t="s">
        <v>161</v>
      </c>
      <c r="BD275" s="98"/>
      <c r="BE275" s="98"/>
      <c r="BF275" t="s">
        <v>1152</v>
      </c>
      <c r="BG275" t="s">
        <v>322</v>
      </c>
      <c r="BH275" t="s">
        <v>1153</v>
      </c>
      <c r="BI275">
        <v>0.3235385109073674</v>
      </c>
      <c r="BJ275" t="s">
        <v>991</v>
      </c>
      <c r="BK275">
        <v>1.3937712373655233</v>
      </c>
      <c r="BL275">
        <v>34.844280934138084</v>
      </c>
      <c r="BM275" t="s">
        <v>1260</v>
      </c>
      <c r="BN275" t="s">
        <v>1154</v>
      </c>
      <c r="BO275">
        <v>2025</v>
      </c>
      <c r="BP275" t="s">
        <v>966</v>
      </c>
      <c r="BQ275">
        <v>302129.4357621033</v>
      </c>
      <c r="BR275">
        <v>69.787056423789664</v>
      </c>
      <c r="BS275" t="s">
        <v>992</v>
      </c>
      <c r="BV275" t="s">
        <v>1034</v>
      </c>
      <c r="BW275" t="s">
        <v>943</v>
      </c>
      <c r="BX275" t="s">
        <v>994</v>
      </c>
      <c r="BY275">
        <v>2.0182858105695831</v>
      </c>
      <c r="BZ275" t="s">
        <v>1155</v>
      </c>
      <c r="CA275" t="s">
        <v>991</v>
      </c>
      <c r="CB275" t="b">
        <v>1</v>
      </c>
      <c r="CC275" t="b">
        <v>1</v>
      </c>
      <c r="CD275" t="b">
        <v>1</v>
      </c>
      <c r="CE275" t="b">
        <v>1</v>
      </c>
      <c r="CF275" t="b">
        <v>1</v>
      </c>
    </row>
    <row r="276" spans="1:84" x14ac:dyDescent="0.3">
      <c r="A276" t="s">
        <v>1761</v>
      </c>
      <c r="B276" t="s">
        <v>1255</v>
      </c>
      <c r="C276" s="98">
        <v>45831</v>
      </c>
      <c r="D276">
        <v>2025</v>
      </c>
      <c r="E276">
        <v>6</v>
      </c>
      <c r="F276">
        <v>2</v>
      </c>
      <c r="G276" t="s">
        <v>1243</v>
      </c>
      <c r="H276" t="s">
        <v>128</v>
      </c>
      <c r="I276" t="s">
        <v>128</v>
      </c>
      <c r="J276" t="s">
        <v>6</v>
      </c>
      <c r="L276">
        <v>522611</v>
      </c>
      <c r="M276" s="99" t="s">
        <v>179</v>
      </c>
      <c r="N276">
        <v>2</v>
      </c>
      <c r="O276">
        <v>25</v>
      </c>
      <c r="P276">
        <v>35.624899999999997</v>
      </c>
      <c r="Q276" t="s">
        <v>352</v>
      </c>
      <c r="R276">
        <v>1</v>
      </c>
      <c r="S276">
        <v>35.834499999999998</v>
      </c>
      <c r="T276">
        <v>0.45219999999999999</v>
      </c>
      <c r="U276">
        <v>-0.4635117204776687</v>
      </c>
      <c r="V276">
        <v>34.477899999999998</v>
      </c>
      <c r="W276">
        <v>34.930099999999996</v>
      </c>
      <c r="X276">
        <v>35.382300000000001</v>
      </c>
      <c r="Y276">
        <v>36.286699999999996</v>
      </c>
      <c r="Z276">
        <v>36.738900000000001</v>
      </c>
      <c r="AA276">
        <v>37.191099999999999</v>
      </c>
      <c r="AD276">
        <v>4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 t="s">
        <v>462</v>
      </c>
      <c r="AL276" t="s">
        <v>6</v>
      </c>
      <c r="AM276" t="s">
        <v>1145</v>
      </c>
      <c r="AN276" t="s">
        <v>1146</v>
      </c>
      <c r="AO276" s="100">
        <v>46262.040405092594</v>
      </c>
      <c r="AP276" t="s">
        <v>1147</v>
      </c>
      <c r="AQ276" t="s">
        <v>1762</v>
      </c>
      <c r="AR276" t="s">
        <v>1257</v>
      </c>
      <c r="AS276" t="s">
        <v>1150</v>
      </c>
      <c r="AT276" t="s">
        <v>1664</v>
      </c>
      <c r="AU276">
        <v>25</v>
      </c>
      <c r="AV276">
        <v>35.802600000000005</v>
      </c>
      <c r="AW276">
        <v>0.49531058185748494</v>
      </c>
      <c r="AX276">
        <v>1.3834486374103694</v>
      </c>
      <c r="AY276">
        <v>0.3235385109073674</v>
      </c>
      <c r="AZ276">
        <v>2.6062287626344767</v>
      </c>
      <c r="BA276">
        <v>2.6574614985161111</v>
      </c>
      <c r="BB276" s="97" t="s">
        <v>161</v>
      </c>
      <c r="BD276" s="98"/>
      <c r="BE276" s="98"/>
      <c r="BF276" t="s">
        <v>1152</v>
      </c>
      <c r="BG276" t="s">
        <v>322</v>
      </c>
      <c r="BH276" t="s">
        <v>1153</v>
      </c>
      <c r="BI276">
        <v>0.3235385109073674</v>
      </c>
      <c r="BJ276" t="s">
        <v>991</v>
      </c>
      <c r="BK276">
        <v>1.3937712373655233</v>
      </c>
      <c r="BL276">
        <v>34.844280934138084</v>
      </c>
      <c r="BM276" t="s">
        <v>1260</v>
      </c>
      <c r="BN276" t="s">
        <v>1154</v>
      </c>
      <c r="BO276">
        <v>2025</v>
      </c>
      <c r="BP276" t="s">
        <v>966</v>
      </c>
      <c r="BQ276">
        <v>302129.4357621033</v>
      </c>
      <c r="BR276">
        <v>69.787056423789664</v>
      </c>
      <c r="BS276" t="s">
        <v>992</v>
      </c>
      <c r="BV276" t="s">
        <v>1034</v>
      </c>
      <c r="BW276" t="s">
        <v>943</v>
      </c>
      <c r="BX276" t="s">
        <v>994</v>
      </c>
      <c r="BY276">
        <v>2.0182858105695831</v>
      </c>
      <c r="BZ276" t="s">
        <v>1155</v>
      </c>
      <c r="CA276" t="s">
        <v>991</v>
      </c>
      <c r="CB276" t="b">
        <v>1</v>
      </c>
      <c r="CC276" t="b">
        <v>1</v>
      </c>
      <c r="CD276" t="b">
        <v>1</v>
      </c>
      <c r="CE276" t="b">
        <v>1</v>
      </c>
      <c r="CF276" t="b">
        <v>1</v>
      </c>
    </row>
    <row r="277" spans="1:84" x14ac:dyDescent="0.3">
      <c r="A277" t="s">
        <v>1763</v>
      </c>
      <c r="B277" t="s">
        <v>1143</v>
      </c>
      <c r="C277" s="98">
        <v>45663</v>
      </c>
      <c r="D277">
        <v>2025</v>
      </c>
      <c r="E277">
        <v>1</v>
      </c>
      <c r="F277">
        <v>1</v>
      </c>
      <c r="G277" t="s">
        <v>1144</v>
      </c>
      <c r="H277" t="s">
        <v>128</v>
      </c>
      <c r="I277" t="s">
        <v>128</v>
      </c>
      <c r="J277" t="s">
        <v>6</v>
      </c>
      <c r="L277">
        <v>522611</v>
      </c>
      <c r="M277" s="99" t="s">
        <v>180</v>
      </c>
      <c r="N277">
        <v>3</v>
      </c>
      <c r="O277">
        <v>1</v>
      </c>
      <c r="P277">
        <v>45.295299999999997</v>
      </c>
      <c r="Q277" t="s">
        <v>352</v>
      </c>
      <c r="R277">
        <v>1</v>
      </c>
      <c r="S277">
        <v>44.910299999999999</v>
      </c>
      <c r="T277">
        <v>0.49880000000000002</v>
      </c>
      <c r="U277">
        <v>0.77185244587008417</v>
      </c>
      <c r="V277">
        <v>43.413899999999998</v>
      </c>
      <c r="W277">
        <v>43.912700000000001</v>
      </c>
      <c r="X277">
        <v>44.411499999999997</v>
      </c>
      <c r="Y277">
        <v>45.409100000000002</v>
      </c>
      <c r="Z277">
        <v>45.907899999999998</v>
      </c>
      <c r="AA277">
        <v>46.406700000000001</v>
      </c>
      <c r="AD277">
        <v>4</v>
      </c>
      <c r="AE277">
        <v>0</v>
      </c>
      <c r="AF277">
        <v>0</v>
      </c>
      <c r="AG277">
        <v>1</v>
      </c>
      <c r="AH277">
        <v>0</v>
      </c>
      <c r="AI277">
        <v>0</v>
      </c>
      <c r="AJ277">
        <v>0</v>
      </c>
      <c r="AK277" t="s">
        <v>1213</v>
      </c>
      <c r="AL277" t="s">
        <v>6</v>
      </c>
      <c r="AM277" t="s">
        <v>1145</v>
      </c>
      <c r="AN277" t="s">
        <v>1146</v>
      </c>
      <c r="AO277" s="100">
        <v>46262.040405092594</v>
      </c>
      <c r="AP277" t="s">
        <v>1147</v>
      </c>
      <c r="AQ277" t="s">
        <v>1764</v>
      </c>
      <c r="AR277" t="s">
        <v>1149</v>
      </c>
      <c r="AS277" t="s">
        <v>1150</v>
      </c>
      <c r="AT277" t="s">
        <v>1664</v>
      </c>
      <c r="AU277">
        <v>25</v>
      </c>
      <c r="AV277">
        <v>44.942519999999995</v>
      </c>
      <c r="AW277">
        <v>0.46959776759832833</v>
      </c>
      <c r="AX277">
        <v>1.044885261436894</v>
      </c>
      <c r="AY277">
        <v>0.3235385109073674</v>
      </c>
      <c r="AZ277">
        <v>2.0475991922782422</v>
      </c>
      <c r="BA277">
        <v>3.518531292169703</v>
      </c>
      <c r="BB277" s="97" t="s">
        <v>161</v>
      </c>
      <c r="BD277" s="98"/>
      <c r="BE277" s="98"/>
      <c r="BF277" t="s">
        <v>1152</v>
      </c>
      <c r="BG277" t="s">
        <v>322</v>
      </c>
      <c r="BH277" t="s">
        <v>1153</v>
      </c>
      <c r="BI277">
        <v>0.3235385109073674</v>
      </c>
      <c r="BJ277" t="s">
        <v>1032</v>
      </c>
      <c r="BK277">
        <v>1.9524008077217578</v>
      </c>
      <c r="BL277">
        <v>48.810020193043947</v>
      </c>
      <c r="BM277" t="s">
        <v>1260</v>
      </c>
      <c r="BN277" t="s">
        <v>1154</v>
      </c>
      <c r="BO277">
        <v>2025</v>
      </c>
      <c r="BP277" t="s">
        <v>966</v>
      </c>
      <c r="BQ277">
        <v>302129.4357621033</v>
      </c>
      <c r="BR277">
        <v>69.787056423789664</v>
      </c>
      <c r="BS277" t="s">
        <v>992</v>
      </c>
      <c r="BV277" t="s">
        <v>1034</v>
      </c>
      <c r="BW277" t="s">
        <v>943</v>
      </c>
      <c r="BX277" t="s">
        <v>994</v>
      </c>
      <c r="BY277">
        <v>2.0182858105695831</v>
      </c>
      <c r="BZ277" t="s">
        <v>1155</v>
      </c>
      <c r="CA277" t="s">
        <v>991</v>
      </c>
      <c r="CB277" t="b">
        <v>1</v>
      </c>
      <c r="CC277" t="b">
        <v>1</v>
      </c>
      <c r="CD277" t="b">
        <v>1</v>
      </c>
      <c r="CE277" t="b">
        <v>1</v>
      </c>
      <c r="CF277" t="b">
        <v>1</v>
      </c>
    </row>
    <row r="278" spans="1:84" x14ac:dyDescent="0.3">
      <c r="A278" t="s">
        <v>1766</v>
      </c>
      <c r="B278" t="s">
        <v>1157</v>
      </c>
      <c r="C278" s="98">
        <v>45670</v>
      </c>
      <c r="D278">
        <v>2025</v>
      </c>
      <c r="E278">
        <v>1</v>
      </c>
      <c r="F278">
        <v>1</v>
      </c>
      <c r="G278" t="s">
        <v>1144</v>
      </c>
      <c r="H278" t="s">
        <v>128</v>
      </c>
      <c r="I278" t="s">
        <v>128</v>
      </c>
      <c r="J278" t="s">
        <v>6</v>
      </c>
      <c r="L278">
        <v>522611</v>
      </c>
      <c r="M278" s="99" t="s">
        <v>180</v>
      </c>
      <c r="N278">
        <v>3</v>
      </c>
      <c r="O278">
        <v>2</v>
      </c>
      <c r="P278">
        <v>45.099200000000003</v>
      </c>
      <c r="Q278" t="s">
        <v>352</v>
      </c>
      <c r="R278">
        <v>1</v>
      </c>
      <c r="S278">
        <v>44.910299999999999</v>
      </c>
      <c r="T278">
        <v>0.49880000000000002</v>
      </c>
      <c r="U278">
        <v>0.37870890136327956</v>
      </c>
      <c r="V278">
        <v>43.413899999999998</v>
      </c>
      <c r="W278">
        <v>43.912700000000001</v>
      </c>
      <c r="X278">
        <v>44.411499999999997</v>
      </c>
      <c r="Y278">
        <v>45.409100000000002</v>
      </c>
      <c r="Z278">
        <v>45.907899999999998</v>
      </c>
      <c r="AA278">
        <v>46.406700000000001</v>
      </c>
      <c r="AD278">
        <v>4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 t="s">
        <v>462</v>
      </c>
      <c r="AL278" t="s">
        <v>6</v>
      </c>
      <c r="AM278" t="s">
        <v>1145</v>
      </c>
      <c r="AN278" t="s">
        <v>1146</v>
      </c>
      <c r="AO278" s="100">
        <v>46262.040405092594</v>
      </c>
      <c r="AP278" t="s">
        <v>1147</v>
      </c>
      <c r="AQ278" t="s">
        <v>1767</v>
      </c>
      <c r="AR278" t="s">
        <v>1159</v>
      </c>
      <c r="AS278" t="s">
        <v>1150</v>
      </c>
      <c r="AT278" t="s">
        <v>1664</v>
      </c>
      <c r="AU278">
        <v>25</v>
      </c>
      <c r="AV278">
        <v>44.942519999999995</v>
      </c>
      <c r="AW278">
        <v>0.46959776759832833</v>
      </c>
      <c r="AX278">
        <v>1.044885261436894</v>
      </c>
      <c r="AY278">
        <v>0.3235385109073674</v>
      </c>
      <c r="AZ278">
        <v>2.0475991922782422</v>
      </c>
      <c r="BA278">
        <v>3.518531292169703</v>
      </c>
      <c r="BB278" s="97" t="s">
        <v>161</v>
      </c>
      <c r="BD278" s="98"/>
      <c r="BE278" s="98"/>
      <c r="BF278" t="s">
        <v>1152</v>
      </c>
      <c r="BG278" t="s">
        <v>322</v>
      </c>
      <c r="BH278" t="s">
        <v>1153</v>
      </c>
      <c r="BI278">
        <v>0.3235385109073674</v>
      </c>
      <c r="BJ278" t="s">
        <v>1032</v>
      </c>
      <c r="BK278">
        <v>1.9524008077217578</v>
      </c>
      <c r="BL278">
        <v>48.810020193043947</v>
      </c>
      <c r="BM278" t="s">
        <v>1260</v>
      </c>
      <c r="BN278" t="s">
        <v>1154</v>
      </c>
      <c r="BO278">
        <v>2025</v>
      </c>
      <c r="BP278" t="s">
        <v>966</v>
      </c>
      <c r="BQ278">
        <v>302129.4357621033</v>
      </c>
      <c r="BR278">
        <v>69.787056423789664</v>
      </c>
      <c r="BS278" t="s">
        <v>992</v>
      </c>
      <c r="BV278" t="s">
        <v>1034</v>
      </c>
      <c r="BW278" t="s">
        <v>943</v>
      </c>
      <c r="BX278" t="s">
        <v>994</v>
      </c>
      <c r="BY278">
        <v>2.0182858105695831</v>
      </c>
      <c r="BZ278" t="s">
        <v>1155</v>
      </c>
      <c r="CA278" t="s">
        <v>991</v>
      </c>
      <c r="CB278" t="b">
        <v>1</v>
      </c>
      <c r="CC278" t="b">
        <v>1</v>
      </c>
      <c r="CD278" t="b">
        <v>1</v>
      </c>
      <c r="CE278" t="b">
        <v>1</v>
      </c>
      <c r="CF278" t="b">
        <v>1</v>
      </c>
    </row>
    <row r="279" spans="1:84" x14ac:dyDescent="0.3">
      <c r="A279" t="s">
        <v>1768</v>
      </c>
      <c r="B279" t="s">
        <v>1161</v>
      </c>
      <c r="C279" s="98">
        <v>45677</v>
      </c>
      <c r="D279">
        <v>2025</v>
      </c>
      <c r="E279">
        <v>1</v>
      </c>
      <c r="F279">
        <v>1</v>
      </c>
      <c r="G279" t="s">
        <v>1144</v>
      </c>
      <c r="H279" t="s">
        <v>128</v>
      </c>
      <c r="I279" t="s">
        <v>128</v>
      </c>
      <c r="J279" t="s">
        <v>6</v>
      </c>
      <c r="L279">
        <v>522611</v>
      </c>
      <c r="M279" s="99" t="s">
        <v>180</v>
      </c>
      <c r="N279">
        <v>3</v>
      </c>
      <c r="O279">
        <v>3</v>
      </c>
      <c r="P279">
        <v>43.606699999999996</v>
      </c>
      <c r="Q279" t="s">
        <v>352</v>
      </c>
      <c r="R279">
        <v>1</v>
      </c>
      <c r="S279">
        <v>44.910299999999999</v>
      </c>
      <c r="T279">
        <v>0.49880000000000002</v>
      </c>
      <c r="U279">
        <v>-2.6134723336006473</v>
      </c>
      <c r="V279">
        <v>43.413899999999998</v>
      </c>
      <c r="W279">
        <v>43.912700000000001</v>
      </c>
      <c r="X279">
        <v>44.411499999999997</v>
      </c>
      <c r="Y279">
        <v>45.409100000000002</v>
      </c>
      <c r="Z279">
        <v>45.907899999999998</v>
      </c>
      <c r="AA279">
        <v>46.406700000000001</v>
      </c>
      <c r="AD279">
        <v>4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1</v>
      </c>
      <c r="AK279" t="s">
        <v>462</v>
      </c>
      <c r="AL279" t="s">
        <v>6</v>
      </c>
      <c r="AM279" t="s">
        <v>1145</v>
      </c>
      <c r="AN279" t="s">
        <v>1146</v>
      </c>
      <c r="AO279" s="100">
        <v>46262.040405092594</v>
      </c>
      <c r="AP279" t="s">
        <v>1147</v>
      </c>
      <c r="AQ279" t="s">
        <v>1769</v>
      </c>
      <c r="AR279" t="s">
        <v>1163</v>
      </c>
      <c r="AS279" t="s">
        <v>1150</v>
      </c>
      <c r="AT279" t="s">
        <v>1664</v>
      </c>
      <c r="AU279">
        <v>25</v>
      </c>
      <c r="AV279">
        <v>44.942519999999995</v>
      </c>
      <c r="AW279">
        <v>0.46959776759832833</v>
      </c>
      <c r="AX279">
        <v>1.044885261436894</v>
      </c>
      <c r="AY279">
        <v>0.3235385109073674</v>
      </c>
      <c r="AZ279">
        <v>2.0475991922782422</v>
      </c>
      <c r="BA279">
        <v>3.518531292169703</v>
      </c>
      <c r="BB279" s="97" t="s">
        <v>161</v>
      </c>
      <c r="BD279" s="98"/>
      <c r="BE279" s="98"/>
      <c r="BF279" t="s">
        <v>1152</v>
      </c>
      <c r="BG279" t="s">
        <v>322</v>
      </c>
      <c r="BH279" t="s">
        <v>1153</v>
      </c>
      <c r="BI279">
        <v>0.3235385109073674</v>
      </c>
      <c r="BJ279" t="s">
        <v>1032</v>
      </c>
      <c r="BK279">
        <v>1.9524008077217578</v>
      </c>
      <c r="BL279">
        <v>48.810020193043947</v>
      </c>
      <c r="BM279" t="s">
        <v>1260</v>
      </c>
      <c r="BN279" t="s">
        <v>1154</v>
      </c>
      <c r="BO279">
        <v>2025</v>
      </c>
      <c r="BP279" t="s">
        <v>966</v>
      </c>
      <c r="BQ279">
        <v>302129.4357621033</v>
      </c>
      <c r="BR279">
        <v>69.787056423789664</v>
      </c>
      <c r="BS279" t="s">
        <v>992</v>
      </c>
      <c r="BV279" t="s">
        <v>1034</v>
      </c>
      <c r="BW279" t="s">
        <v>943</v>
      </c>
      <c r="BX279" t="s">
        <v>994</v>
      </c>
      <c r="BY279">
        <v>2.0182858105695831</v>
      </c>
      <c r="BZ279" t="s">
        <v>1155</v>
      </c>
      <c r="CA279" t="s">
        <v>991</v>
      </c>
      <c r="CB279" t="b">
        <v>1</v>
      </c>
      <c r="CC279" t="b">
        <v>1</v>
      </c>
      <c r="CD279" t="b">
        <v>1</v>
      </c>
      <c r="CE279" t="b">
        <v>1</v>
      </c>
      <c r="CF279" t="b">
        <v>1</v>
      </c>
    </row>
    <row r="280" spans="1:84" x14ac:dyDescent="0.3">
      <c r="A280" t="s">
        <v>1770</v>
      </c>
      <c r="B280" t="s">
        <v>1165</v>
      </c>
      <c r="C280" s="98">
        <v>45684</v>
      </c>
      <c r="D280">
        <v>2025</v>
      </c>
      <c r="E280">
        <v>1</v>
      </c>
      <c r="F280">
        <v>1</v>
      </c>
      <c r="G280" t="s">
        <v>1144</v>
      </c>
      <c r="H280" t="s">
        <v>128</v>
      </c>
      <c r="I280" t="s">
        <v>128</v>
      </c>
      <c r="J280" t="s">
        <v>6</v>
      </c>
      <c r="L280">
        <v>522611</v>
      </c>
      <c r="M280" s="99" t="s">
        <v>180</v>
      </c>
      <c r="N280">
        <v>3</v>
      </c>
      <c r="O280">
        <v>4</v>
      </c>
      <c r="P280">
        <v>45.035200000000003</v>
      </c>
      <c r="Q280" t="s">
        <v>352</v>
      </c>
      <c r="R280">
        <v>1</v>
      </c>
      <c r="S280">
        <v>44.910299999999999</v>
      </c>
      <c r="T280">
        <v>0.49880000000000002</v>
      </c>
      <c r="U280">
        <v>0.2504009623095505</v>
      </c>
      <c r="V280">
        <v>43.413899999999998</v>
      </c>
      <c r="W280">
        <v>43.912700000000001</v>
      </c>
      <c r="X280">
        <v>44.411499999999997</v>
      </c>
      <c r="Y280">
        <v>45.409100000000002</v>
      </c>
      <c r="Z280">
        <v>45.907899999999998</v>
      </c>
      <c r="AA280">
        <v>46.406700000000001</v>
      </c>
      <c r="AD280">
        <v>4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 t="s">
        <v>462</v>
      </c>
      <c r="AL280" t="s">
        <v>6</v>
      </c>
      <c r="AM280" t="s">
        <v>1145</v>
      </c>
      <c r="AN280" t="s">
        <v>1146</v>
      </c>
      <c r="AO280" s="100">
        <v>46262.040405092594</v>
      </c>
      <c r="AP280" t="s">
        <v>1147</v>
      </c>
      <c r="AQ280" t="s">
        <v>1771</v>
      </c>
      <c r="AR280" t="s">
        <v>1167</v>
      </c>
      <c r="AS280" t="s">
        <v>1150</v>
      </c>
      <c r="AT280" t="s">
        <v>1664</v>
      </c>
      <c r="AU280">
        <v>25</v>
      </c>
      <c r="AV280">
        <v>44.942519999999995</v>
      </c>
      <c r="AW280">
        <v>0.46959776759832833</v>
      </c>
      <c r="AX280">
        <v>1.044885261436894</v>
      </c>
      <c r="AY280">
        <v>0.3235385109073674</v>
      </c>
      <c r="AZ280">
        <v>2.0475991922782422</v>
      </c>
      <c r="BA280">
        <v>3.518531292169703</v>
      </c>
      <c r="BB280" s="97" t="s">
        <v>161</v>
      </c>
      <c r="BD280" s="98"/>
      <c r="BE280" s="98"/>
      <c r="BF280" t="s">
        <v>1152</v>
      </c>
      <c r="BG280" t="s">
        <v>322</v>
      </c>
      <c r="BH280" t="s">
        <v>1153</v>
      </c>
      <c r="BI280">
        <v>0.3235385109073674</v>
      </c>
      <c r="BJ280" t="s">
        <v>1032</v>
      </c>
      <c r="BK280">
        <v>1.9524008077217578</v>
      </c>
      <c r="BL280">
        <v>48.810020193043947</v>
      </c>
      <c r="BM280" t="s">
        <v>1260</v>
      </c>
      <c r="BN280" t="s">
        <v>1154</v>
      </c>
      <c r="BO280">
        <v>2025</v>
      </c>
      <c r="BP280" t="s">
        <v>966</v>
      </c>
      <c r="BQ280">
        <v>302129.4357621033</v>
      </c>
      <c r="BR280">
        <v>69.787056423789664</v>
      </c>
      <c r="BS280" t="s">
        <v>992</v>
      </c>
      <c r="BV280" t="s">
        <v>1034</v>
      </c>
      <c r="BW280" t="s">
        <v>943</v>
      </c>
      <c r="BX280" t="s">
        <v>994</v>
      </c>
      <c r="BY280">
        <v>2.0182858105695831</v>
      </c>
      <c r="BZ280" t="s">
        <v>1155</v>
      </c>
      <c r="CA280" t="s">
        <v>991</v>
      </c>
      <c r="CB280" t="b">
        <v>1</v>
      </c>
      <c r="CC280" t="b">
        <v>1</v>
      </c>
      <c r="CD280" t="b">
        <v>1</v>
      </c>
      <c r="CE280" t="b">
        <v>1</v>
      </c>
      <c r="CF280" t="b">
        <v>1</v>
      </c>
    </row>
    <row r="281" spans="1:84" x14ac:dyDescent="0.3">
      <c r="A281" t="s">
        <v>1772</v>
      </c>
      <c r="B281" t="s">
        <v>1169</v>
      </c>
      <c r="C281" s="98">
        <v>45691</v>
      </c>
      <c r="D281">
        <v>2025</v>
      </c>
      <c r="E281">
        <v>2</v>
      </c>
      <c r="F281">
        <v>1</v>
      </c>
      <c r="G281" t="s">
        <v>1170</v>
      </c>
      <c r="H281" t="s">
        <v>128</v>
      </c>
      <c r="I281" t="s">
        <v>128</v>
      </c>
      <c r="J281" t="s">
        <v>6</v>
      </c>
      <c r="L281">
        <v>522611</v>
      </c>
      <c r="M281" s="99" t="s">
        <v>180</v>
      </c>
      <c r="N281">
        <v>3</v>
      </c>
      <c r="O281">
        <v>5</v>
      </c>
      <c r="P281">
        <v>44.8797</v>
      </c>
      <c r="Q281" t="s">
        <v>352</v>
      </c>
      <c r="R281">
        <v>1</v>
      </c>
      <c r="S281">
        <v>44.910299999999999</v>
      </c>
      <c r="T281">
        <v>0.49880000000000002</v>
      </c>
      <c r="U281">
        <v>-6.1347233360063626E-2</v>
      </c>
      <c r="V281">
        <v>43.413899999999998</v>
      </c>
      <c r="W281">
        <v>43.912700000000001</v>
      </c>
      <c r="X281">
        <v>44.411499999999997</v>
      </c>
      <c r="Y281">
        <v>45.409100000000002</v>
      </c>
      <c r="Z281">
        <v>45.907899999999998</v>
      </c>
      <c r="AA281">
        <v>46.406700000000001</v>
      </c>
      <c r="AD281">
        <v>4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 t="s">
        <v>462</v>
      </c>
      <c r="AL281" t="s">
        <v>6</v>
      </c>
      <c r="AM281" t="s">
        <v>1145</v>
      </c>
      <c r="AN281" t="s">
        <v>1146</v>
      </c>
      <c r="AO281" s="100">
        <v>46262.040405092594</v>
      </c>
      <c r="AP281" t="s">
        <v>1147</v>
      </c>
      <c r="AQ281" t="s">
        <v>1773</v>
      </c>
      <c r="AR281" t="s">
        <v>1172</v>
      </c>
      <c r="AS281" t="s">
        <v>1150</v>
      </c>
      <c r="AT281" t="s">
        <v>1664</v>
      </c>
      <c r="AU281">
        <v>25</v>
      </c>
      <c r="AV281">
        <v>44.942519999999995</v>
      </c>
      <c r="AW281">
        <v>0.46959776759832833</v>
      </c>
      <c r="AX281">
        <v>1.044885261436894</v>
      </c>
      <c r="AY281">
        <v>0.3235385109073674</v>
      </c>
      <c r="AZ281">
        <v>2.0475991922782422</v>
      </c>
      <c r="BA281">
        <v>3.518531292169703</v>
      </c>
      <c r="BB281" s="97" t="s">
        <v>161</v>
      </c>
      <c r="BD281" s="98"/>
      <c r="BE281" s="98"/>
      <c r="BF281" t="s">
        <v>1152</v>
      </c>
      <c r="BG281" t="s">
        <v>322</v>
      </c>
      <c r="BH281" t="s">
        <v>1153</v>
      </c>
      <c r="BI281">
        <v>0.3235385109073674</v>
      </c>
      <c r="BJ281" t="s">
        <v>1032</v>
      </c>
      <c r="BK281">
        <v>1.9524008077217578</v>
      </c>
      <c r="BL281">
        <v>48.810020193043947</v>
      </c>
      <c r="BM281" t="s">
        <v>1260</v>
      </c>
      <c r="BN281" t="s">
        <v>1154</v>
      </c>
      <c r="BO281">
        <v>2025</v>
      </c>
      <c r="BP281" t="s">
        <v>966</v>
      </c>
      <c r="BQ281">
        <v>302129.4357621033</v>
      </c>
      <c r="BR281">
        <v>69.787056423789664</v>
      </c>
      <c r="BS281" t="s">
        <v>992</v>
      </c>
      <c r="BV281" t="s">
        <v>1034</v>
      </c>
      <c r="BW281" t="s">
        <v>943</v>
      </c>
      <c r="BX281" t="s">
        <v>994</v>
      </c>
      <c r="BY281">
        <v>2.0182858105695831</v>
      </c>
      <c r="BZ281" t="s">
        <v>1155</v>
      </c>
      <c r="CA281" t="s">
        <v>991</v>
      </c>
      <c r="CB281" t="b">
        <v>1</v>
      </c>
      <c r="CC281" t="b">
        <v>1</v>
      </c>
      <c r="CD281" t="b">
        <v>1</v>
      </c>
      <c r="CE281" t="b">
        <v>1</v>
      </c>
      <c r="CF281" t="b">
        <v>1</v>
      </c>
    </row>
    <row r="282" spans="1:84" x14ac:dyDescent="0.3">
      <c r="A282" t="s">
        <v>1774</v>
      </c>
      <c r="B282" t="s">
        <v>1174</v>
      </c>
      <c r="C282" s="98">
        <v>45698</v>
      </c>
      <c r="D282">
        <v>2025</v>
      </c>
      <c r="E282">
        <v>2</v>
      </c>
      <c r="F282">
        <v>1</v>
      </c>
      <c r="G282" t="s">
        <v>1170</v>
      </c>
      <c r="H282" t="s">
        <v>128</v>
      </c>
      <c r="I282" t="s">
        <v>128</v>
      </c>
      <c r="J282" t="s">
        <v>6</v>
      </c>
      <c r="L282">
        <v>522611</v>
      </c>
      <c r="M282" s="99" t="s">
        <v>180</v>
      </c>
      <c r="N282">
        <v>3</v>
      </c>
      <c r="O282">
        <v>6</v>
      </c>
      <c r="P282">
        <v>44.951900000000002</v>
      </c>
      <c r="Q282" t="s">
        <v>352</v>
      </c>
      <c r="R282">
        <v>1</v>
      </c>
      <c r="S282">
        <v>44.910299999999999</v>
      </c>
      <c r="T282">
        <v>0.49880000000000002</v>
      </c>
      <c r="U282">
        <v>8.3400160384928868E-2</v>
      </c>
      <c r="V282">
        <v>43.413899999999998</v>
      </c>
      <c r="W282">
        <v>43.912700000000001</v>
      </c>
      <c r="X282">
        <v>44.411499999999997</v>
      </c>
      <c r="Y282">
        <v>45.409100000000002</v>
      </c>
      <c r="Z282">
        <v>45.907899999999998</v>
      </c>
      <c r="AA282">
        <v>46.406700000000001</v>
      </c>
      <c r="AD282">
        <v>4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 t="s">
        <v>462</v>
      </c>
      <c r="AL282" t="s">
        <v>6</v>
      </c>
      <c r="AM282" t="s">
        <v>1145</v>
      </c>
      <c r="AN282" t="s">
        <v>1146</v>
      </c>
      <c r="AO282" s="100">
        <v>46262.040405092594</v>
      </c>
      <c r="AP282" t="s">
        <v>1147</v>
      </c>
      <c r="AQ282" t="s">
        <v>1775</v>
      </c>
      <c r="AR282" t="s">
        <v>1176</v>
      </c>
      <c r="AS282" t="s">
        <v>1150</v>
      </c>
      <c r="AT282" t="s">
        <v>1664</v>
      </c>
      <c r="AU282">
        <v>25</v>
      </c>
      <c r="AV282">
        <v>44.942519999999995</v>
      </c>
      <c r="AW282">
        <v>0.46959776759832833</v>
      </c>
      <c r="AX282">
        <v>1.044885261436894</v>
      </c>
      <c r="AY282">
        <v>0.3235385109073674</v>
      </c>
      <c r="AZ282">
        <v>2.0475991922782422</v>
      </c>
      <c r="BA282">
        <v>3.518531292169703</v>
      </c>
      <c r="BB282" s="97" t="s">
        <v>161</v>
      </c>
      <c r="BD282" s="98"/>
      <c r="BE282" s="98"/>
      <c r="BF282" t="s">
        <v>1152</v>
      </c>
      <c r="BG282" t="s">
        <v>322</v>
      </c>
      <c r="BH282" t="s">
        <v>1153</v>
      </c>
      <c r="BI282">
        <v>0.3235385109073674</v>
      </c>
      <c r="BJ282" t="s">
        <v>1032</v>
      </c>
      <c r="BK282">
        <v>1.9524008077217578</v>
      </c>
      <c r="BL282">
        <v>48.810020193043947</v>
      </c>
      <c r="BM282" t="s">
        <v>1260</v>
      </c>
      <c r="BN282" t="s">
        <v>1154</v>
      </c>
      <c r="BO282">
        <v>2025</v>
      </c>
      <c r="BP282" t="s">
        <v>966</v>
      </c>
      <c r="BQ282">
        <v>302129.4357621033</v>
      </c>
      <c r="BR282">
        <v>69.787056423789664</v>
      </c>
      <c r="BS282" t="s">
        <v>992</v>
      </c>
      <c r="BV282" t="s">
        <v>1034</v>
      </c>
      <c r="BW282" t="s">
        <v>943</v>
      </c>
      <c r="BX282" t="s">
        <v>994</v>
      </c>
      <c r="BY282">
        <v>2.0182858105695831</v>
      </c>
      <c r="BZ282" t="s">
        <v>1155</v>
      </c>
      <c r="CA282" t="s">
        <v>991</v>
      </c>
      <c r="CB282" t="b">
        <v>1</v>
      </c>
      <c r="CC282" t="b">
        <v>1</v>
      </c>
      <c r="CD282" t="b">
        <v>1</v>
      </c>
      <c r="CE282" t="b">
        <v>1</v>
      </c>
      <c r="CF282" t="b">
        <v>1</v>
      </c>
    </row>
    <row r="283" spans="1:84" x14ac:dyDescent="0.3">
      <c r="A283" t="s">
        <v>1776</v>
      </c>
      <c r="B283" t="s">
        <v>1178</v>
      </c>
      <c r="C283" s="98">
        <v>45705</v>
      </c>
      <c r="D283">
        <v>2025</v>
      </c>
      <c r="E283">
        <v>2</v>
      </c>
      <c r="F283">
        <v>1</v>
      </c>
      <c r="G283" t="s">
        <v>1170</v>
      </c>
      <c r="H283" t="s">
        <v>128</v>
      </c>
      <c r="I283" t="s">
        <v>128</v>
      </c>
      <c r="J283" t="s">
        <v>6</v>
      </c>
      <c r="L283">
        <v>522611</v>
      </c>
      <c r="M283" s="99" t="s">
        <v>180</v>
      </c>
      <c r="N283">
        <v>3</v>
      </c>
      <c r="O283">
        <v>7</v>
      </c>
      <c r="P283">
        <v>44.373199999999997</v>
      </c>
      <c r="Q283" t="s">
        <v>352</v>
      </c>
      <c r="R283">
        <v>1</v>
      </c>
      <c r="S283">
        <v>44.910299999999999</v>
      </c>
      <c r="T283">
        <v>0.49880000000000002</v>
      </c>
      <c r="U283">
        <v>-1.0767842822774707</v>
      </c>
      <c r="V283">
        <v>43.413899999999998</v>
      </c>
      <c r="W283">
        <v>43.912700000000001</v>
      </c>
      <c r="X283">
        <v>44.411499999999997</v>
      </c>
      <c r="Y283">
        <v>45.409100000000002</v>
      </c>
      <c r="Z283">
        <v>45.907899999999998</v>
      </c>
      <c r="AA283">
        <v>46.406700000000001</v>
      </c>
      <c r="AD283">
        <v>4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 t="s">
        <v>462</v>
      </c>
      <c r="AL283" t="s">
        <v>6</v>
      </c>
      <c r="AM283" t="s">
        <v>1145</v>
      </c>
      <c r="AN283" t="s">
        <v>1146</v>
      </c>
      <c r="AO283" s="100">
        <v>46262.040405092594</v>
      </c>
      <c r="AP283" t="s">
        <v>1147</v>
      </c>
      <c r="AQ283" t="s">
        <v>1777</v>
      </c>
      <c r="AR283" t="s">
        <v>1180</v>
      </c>
      <c r="AS283" t="s">
        <v>1150</v>
      </c>
      <c r="AT283" t="s">
        <v>1664</v>
      </c>
      <c r="AU283">
        <v>25</v>
      </c>
      <c r="AV283">
        <v>44.942519999999995</v>
      </c>
      <c r="AW283">
        <v>0.46959776759832833</v>
      </c>
      <c r="AX283">
        <v>1.044885261436894</v>
      </c>
      <c r="AY283">
        <v>0.3235385109073674</v>
      </c>
      <c r="AZ283">
        <v>2.0475991922782422</v>
      </c>
      <c r="BA283">
        <v>3.518531292169703</v>
      </c>
      <c r="BB283" s="97" t="s">
        <v>161</v>
      </c>
      <c r="BD283" s="98"/>
      <c r="BE283" s="98"/>
      <c r="BF283" t="s">
        <v>1152</v>
      </c>
      <c r="BG283" t="s">
        <v>322</v>
      </c>
      <c r="BH283" t="s">
        <v>1153</v>
      </c>
      <c r="BI283">
        <v>0.3235385109073674</v>
      </c>
      <c r="BJ283" t="s">
        <v>1032</v>
      </c>
      <c r="BK283">
        <v>1.9524008077217578</v>
      </c>
      <c r="BL283">
        <v>48.810020193043947</v>
      </c>
      <c r="BM283" t="s">
        <v>1260</v>
      </c>
      <c r="BN283" t="s">
        <v>1154</v>
      </c>
      <c r="BO283">
        <v>2025</v>
      </c>
      <c r="BP283" t="s">
        <v>966</v>
      </c>
      <c r="BQ283">
        <v>302129.4357621033</v>
      </c>
      <c r="BR283">
        <v>69.787056423789664</v>
      </c>
      <c r="BS283" t="s">
        <v>992</v>
      </c>
      <c r="BV283" t="s">
        <v>1034</v>
      </c>
      <c r="BW283" t="s">
        <v>943</v>
      </c>
      <c r="BX283" t="s">
        <v>994</v>
      </c>
      <c r="BY283">
        <v>2.0182858105695831</v>
      </c>
      <c r="BZ283" t="s">
        <v>1155</v>
      </c>
      <c r="CA283" t="s">
        <v>991</v>
      </c>
      <c r="CB283" t="b">
        <v>1</v>
      </c>
      <c r="CC283" t="b">
        <v>1</v>
      </c>
      <c r="CD283" t="b">
        <v>1</v>
      </c>
      <c r="CE283" t="b">
        <v>1</v>
      </c>
      <c r="CF283" t="b">
        <v>1</v>
      </c>
    </row>
    <row r="284" spans="1:84" x14ac:dyDescent="0.3">
      <c r="A284" t="s">
        <v>1778</v>
      </c>
      <c r="B284" t="s">
        <v>1182</v>
      </c>
      <c r="C284" s="98">
        <v>45712</v>
      </c>
      <c r="D284">
        <v>2025</v>
      </c>
      <c r="E284">
        <v>2</v>
      </c>
      <c r="F284">
        <v>1</v>
      </c>
      <c r="G284" t="s">
        <v>1170</v>
      </c>
      <c r="H284" t="s">
        <v>128</v>
      </c>
      <c r="I284" t="s">
        <v>128</v>
      </c>
      <c r="J284" t="s">
        <v>6</v>
      </c>
      <c r="L284">
        <v>522611</v>
      </c>
      <c r="M284" s="99" t="s">
        <v>180</v>
      </c>
      <c r="N284">
        <v>3</v>
      </c>
      <c r="O284">
        <v>8</v>
      </c>
      <c r="P284">
        <v>44.776000000000003</v>
      </c>
      <c r="Q284" t="s">
        <v>352</v>
      </c>
      <c r="R284">
        <v>1</v>
      </c>
      <c r="S284">
        <v>44.910299999999999</v>
      </c>
      <c r="T284">
        <v>0.49880000000000002</v>
      </c>
      <c r="U284">
        <v>-0.26924619085805152</v>
      </c>
      <c r="V284">
        <v>43.413899999999998</v>
      </c>
      <c r="W284">
        <v>43.912700000000001</v>
      </c>
      <c r="X284">
        <v>44.411499999999997</v>
      </c>
      <c r="Y284">
        <v>45.409100000000002</v>
      </c>
      <c r="Z284">
        <v>45.907899999999998</v>
      </c>
      <c r="AA284">
        <v>46.406700000000001</v>
      </c>
      <c r="AD284">
        <v>4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 t="s">
        <v>462</v>
      </c>
      <c r="AL284" t="s">
        <v>6</v>
      </c>
      <c r="AM284" t="s">
        <v>1145</v>
      </c>
      <c r="AN284" t="s">
        <v>1146</v>
      </c>
      <c r="AO284" s="100">
        <v>46262.040405092594</v>
      </c>
      <c r="AP284" t="s">
        <v>1147</v>
      </c>
      <c r="AQ284" t="s">
        <v>1779</v>
      </c>
      <c r="AR284" t="s">
        <v>1184</v>
      </c>
      <c r="AS284" t="s">
        <v>1150</v>
      </c>
      <c r="AT284" t="s">
        <v>1664</v>
      </c>
      <c r="AU284">
        <v>25</v>
      </c>
      <c r="AV284">
        <v>44.942519999999995</v>
      </c>
      <c r="AW284">
        <v>0.46959776759832833</v>
      </c>
      <c r="AX284">
        <v>1.044885261436894</v>
      </c>
      <c r="AY284">
        <v>0.3235385109073674</v>
      </c>
      <c r="AZ284">
        <v>2.0475991922782422</v>
      </c>
      <c r="BA284">
        <v>3.518531292169703</v>
      </c>
      <c r="BB284" s="97" t="s">
        <v>161</v>
      </c>
      <c r="BD284" s="98"/>
      <c r="BE284" s="98"/>
      <c r="BF284" t="s">
        <v>1152</v>
      </c>
      <c r="BG284" t="s">
        <v>322</v>
      </c>
      <c r="BH284" t="s">
        <v>1153</v>
      </c>
      <c r="BI284">
        <v>0.3235385109073674</v>
      </c>
      <c r="BJ284" t="s">
        <v>1032</v>
      </c>
      <c r="BK284">
        <v>1.9524008077217578</v>
      </c>
      <c r="BL284">
        <v>48.810020193043947</v>
      </c>
      <c r="BM284" t="s">
        <v>1260</v>
      </c>
      <c r="BN284" t="s">
        <v>1154</v>
      </c>
      <c r="BO284">
        <v>2025</v>
      </c>
      <c r="BP284" t="s">
        <v>966</v>
      </c>
      <c r="BQ284">
        <v>302129.4357621033</v>
      </c>
      <c r="BR284">
        <v>69.787056423789664</v>
      </c>
      <c r="BS284" t="s">
        <v>992</v>
      </c>
      <c r="BV284" t="s">
        <v>1034</v>
      </c>
      <c r="BW284" t="s">
        <v>943</v>
      </c>
      <c r="BX284" t="s">
        <v>994</v>
      </c>
      <c r="BY284">
        <v>2.0182858105695831</v>
      </c>
      <c r="BZ284" t="s">
        <v>1155</v>
      </c>
      <c r="CA284" t="s">
        <v>991</v>
      </c>
      <c r="CB284" t="b">
        <v>1</v>
      </c>
      <c r="CC284" t="b">
        <v>1</v>
      </c>
      <c r="CD284" t="b">
        <v>1</v>
      </c>
      <c r="CE284" t="b">
        <v>1</v>
      </c>
      <c r="CF284" t="b">
        <v>1</v>
      </c>
    </row>
    <row r="285" spans="1:84" x14ac:dyDescent="0.3">
      <c r="A285" t="s">
        <v>1780</v>
      </c>
      <c r="B285" t="s">
        <v>1186</v>
      </c>
      <c r="C285" s="98">
        <v>45719</v>
      </c>
      <c r="D285">
        <v>2025</v>
      </c>
      <c r="E285">
        <v>3</v>
      </c>
      <c r="F285">
        <v>1</v>
      </c>
      <c r="G285" t="s">
        <v>1187</v>
      </c>
      <c r="H285" t="s">
        <v>128</v>
      </c>
      <c r="I285" t="s">
        <v>128</v>
      </c>
      <c r="J285" t="s">
        <v>6</v>
      </c>
      <c r="L285">
        <v>522611</v>
      </c>
      <c r="M285" s="99" t="s">
        <v>180</v>
      </c>
      <c r="N285">
        <v>3</v>
      </c>
      <c r="O285">
        <v>9</v>
      </c>
      <c r="P285">
        <v>44.821399999999997</v>
      </c>
      <c r="Q285" t="s">
        <v>352</v>
      </c>
      <c r="R285">
        <v>1</v>
      </c>
      <c r="S285">
        <v>44.910299999999999</v>
      </c>
      <c r="T285">
        <v>0.49880000000000002</v>
      </c>
      <c r="U285">
        <v>-0.17822774659182522</v>
      </c>
      <c r="V285">
        <v>43.413899999999998</v>
      </c>
      <c r="W285">
        <v>43.912700000000001</v>
      </c>
      <c r="X285">
        <v>44.411499999999997</v>
      </c>
      <c r="Y285">
        <v>45.409100000000002</v>
      </c>
      <c r="Z285">
        <v>45.907899999999998</v>
      </c>
      <c r="AA285">
        <v>46.406700000000001</v>
      </c>
      <c r="AD285">
        <v>4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 t="s">
        <v>462</v>
      </c>
      <c r="AL285" t="s">
        <v>6</v>
      </c>
      <c r="AM285" t="s">
        <v>1145</v>
      </c>
      <c r="AN285" t="s">
        <v>1146</v>
      </c>
      <c r="AO285" s="100">
        <v>46262.040405092594</v>
      </c>
      <c r="AP285" t="s">
        <v>1147</v>
      </c>
      <c r="AQ285" t="s">
        <v>1781</v>
      </c>
      <c r="AR285" t="s">
        <v>1189</v>
      </c>
      <c r="AS285" t="s">
        <v>1150</v>
      </c>
      <c r="AT285" t="s">
        <v>1664</v>
      </c>
      <c r="AU285">
        <v>25</v>
      </c>
      <c r="AV285">
        <v>44.942519999999995</v>
      </c>
      <c r="AW285">
        <v>0.46959776759832833</v>
      </c>
      <c r="AX285">
        <v>1.044885261436894</v>
      </c>
      <c r="AY285">
        <v>0.3235385109073674</v>
      </c>
      <c r="AZ285">
        <v>2.0475991922782422</v>
      </c>
      <c r="BA285">
        <v>3.518531292169703</v>
      </c>
      <c r="BB285" s="97" t="s">
        <v>161</v>
      </c>
      <c r="BD285" s="98"/>
      <c r="BE285" s="98"/>
      <c r="BF285" t="s">
        <v>1152</v>
      </c>
      <c r="BG285" t="s">
        <v>322</v>
      </c>
      <c r="BH285" t="s">
        <v>1153</v>
      </c>
      <c r="BI285">
        <v>0.3235385109073674</v>
      </c>
      <c r="BJ285" t="s">
        <v>1032</v>
      </c>
      <c r="BK285">
        <v>1.9524008077217578</v>
      </c>
      <c r="BL285">
        <v>48.810020193043947</v>
      </c>
      <c r="BM285" t="s">
        <v>1260</v>
      </c>
      <c r="BN285" t="s">
        <v>1154</v>
      </c>
      <c r="BO285">
        <v>2025</v>
      </c>
      <c r="BP285" t="s">
        <v>966</v>
      </c>
      <c r="BQ285">
        <v>302129.4357621033</v>
      </c>
      <c r="BR285">
        <v>69.787056423789664</v>
      </c>
      <c r="BS285" t="s">
        <v>992</v>
      </c>
      <c r="BV285" t="s">
        <v>1034</v>
      </c>
      <c r="BW285" t="s">
        <v>943</v>
      </c>
      <c r="BX285" t="s">
        <v>994</v>
      </c>
      <c r="BY285">
        <v>2.0182858105695831</v>
      </c>
      <c r="BZ285" t="s">
        <v>1155</v>
      </c>
      <c r="CA285" t="s">
        <v>991</v>
      </c>
      <c r="CB285" t="b">
        <v>1</v>
      </c>
      <c r="CC285" t="b">
        <v>1</v>
      </c>
      <c r="CD285" t="b">
        <v>1</v>
      </c>
      <c r="CE285" t="b">
        <v>1</v>
      </c>
      <c r="CF285" t="b">
        <v>1</v>
      </c>
    </row>
    <row r="286" spans="1:84" x14ac:dyDescent="0.3">
      <c r="A286" t="s">
        <v>1782</v>
      </c>
      <c r="B286" t="s">
        <v>1191</v>
      </c>
      <c r="C286" s="98">
        <v>45726</v>
      </c>
      <c r="D286">
        <v>2025</v>
      </c>
      <c r="E286">
        <v>3</v>
      </c>
      <c r="F286">
        <v>1</v>
      </c>
      <c r="G286" t="s">
        <v>1187</v>
      </c>
      <c r="H286" t="s">
        <v>128</v>
      </c>
      <c r="I286" t="s">
        <v>128</v>
      </c>
      <c r="J286" t="s">
        <v>6</v>
      </c>
      <c r="L286">
        <v>522611</v>
      </c>
      <c r="M286" s="99" t="s">
        <v>180</v>
      </c>
      <c r="N286">
        <v>3</v>
      </c>
      <c r="O286">
        <v>10</v>
      </c>
      <c r="P286">
        <v>45.503</v>
      </c>
      <c r="Q286" t="s">
        <v>352</v>
      </c>
      <c r="R286">
        <v>1</v>
      </c>
      <c r="S286">
        <v>44.910299999999999</v>
      </c>
      <c r="T286">
        <v>0.49880000000000002</v>
      </c>
      <c r="U286">
        <v>1.1882518043303942</v>
      </c>
      <c r="V286">
        <v>43.413899999999998</v>
      </c>
      <c r="W286">
        <v>43.912700000000001</v>
      </c>
      <c r="X286">
        <v>44.411499999999997</v>
      </c>
      <c r="Y286">
        <v>45.409100000000002</v>
      </c>
      <c r="Z286">
        <v>45.907899999999998</v>
      </c>
      <c r="AA286">
        <v>46.406700000000001</v>
      </c>
      <c r="AD286">
        <v>4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 t="s">
        <v>462</v>
      </c>
      <c r="AL286" t="s">
        <v>6</v>
      </c>
      <c r="AM286" t="s">
        <v>1145</v>
      </c>
      <c r="AN286" t="s">
        <v>1146</v>
      </c>
      <c r="AO286" s="100">
        <v>46262.040405092594</v>
      </c>
      <c r="AP286" t="s">
        <v>1147</v>
      </c>
      <c r="AQ286" t="s">
        <v>1783</v>
      </c>
      <c r="AR286" t="s">
        <v>1193</v>
      </c>
      <c r="AS286" t="s">
        <v>1150</v>
      </c>
      <c r="AT286" t="s">
        <v>1664</v>
      </c>
      <c r="AU286">
        <v>25</v>
      </c>
      <c r="AV286">
        <v>44.942519999999995</v>
      </c>
      <c r="AW286">
        <v>0.46959776759832833</v>
      </c>
      <c r="AX286">
        <v>1.044885261436894</v>
      </c>
      <c r="AY286">
        <v>0.3235385109073674</v>
      </c>
      <c r="AZ286">
        <v>2.0475991922782422</v>
      </c>
      <c r="BA286">
        <v>3.518531292169703</v>
      </c>
      <c r="BB286" s="97" t="s">
        <v>161</v>
      </c>
      <c r="BD286" s="98"/>
      <c r="BE286" s="98"/>
      <c r="BF286" t="s">
        <v>1152</v>
      </c>
      <c r="BG286" t="s">
        <v>322</v>
      </c>
      <c r="BH286" t="s">
        <v>1153</v>
      </c>
      <c r="BI286">
        <v>0.3235385109073674</v>
      </c>
      <c r="BJ286" t="s">
        <v>1032</v>
      </c>
      <c r="BK286">
        <v>1.9524008077217578</v>
      </c>
      <c r="BL286">
        <v>48.810020193043947</v>
      </c>
      <c r="BM286" t="s">
        <v>1260</v>
      </c>
      <c r="BN286" t="s">
        <v>1154</v>
      </c>
      <c r="BO286">
        <v>2025</v>
      </c>
      <c r="BP286" t="s">
        <v>966</v>
      </c>
      <c r="BQ286">
        <v>302129.4357621033</v>
      </c>
      <c r="BR286">
        <v>69.787056423789664</v>
      </c>
      <c r="BS286" t="s">
        <v>992</v>
      </c>
      <c r="BV286" t="s">
        <v>1034</v>
      </c>
      <c r="BW286" t="s">
        <v>943</v>
      </c>
      <c r="BX286" t="s">
        <v>994</v>
      </c>
      <c r="BY286">
        <v>2.0182858105695831</v>
      </c>
      <c r="BZ286" t="s">
        <v>1155</v>
      </c>
      <c r="CA286" t="s">
        <v>991</v>
      </c>
      <c r="CB286" t="b">
        <v>1</v>
      </c>
      <c r="CC286" t="b">
        <v>1</v>
      </c>
      <c r="CD286" t="b">
        <v>1</v>
      </c>
      <c r="CE286" t="b">
        <v>1</v>
      </c>
      <c r="CF286" t="b">
        <v>1</v>
      </c>
    </row>
    <row r="287" spans="1:84" x14ac:dyDescent="0.3">
      <c r="A287" t="s">
        <v>1784</v>
      </c>
      <c r="B287" t="s">
        <v>1195</v>
      </c>
      <c r="C287" s="98">
        <v>45733</v>
      </c>
      <c r="D287">
        <v>2025</v>
      </c>
      <c r="E287">
        <v>3</v>
      </c>
      <c r="F287">
        <v>1</v>
      </c>
      <c r="G287" t="s">
        <v>1187</v>
      </c>
      <c r="H287" t="s">
        <v>128</v>
      </c>
      <c r="I287" t="s">
        <v>128</v>
      </c>
      <c r="J287" t="s">
        <v>6</v>
      </c>
      <c r="L287">
        <v>522611</v>
      </c>
      <c r="M287" s="99" t="s">
        <v>180</v>
      </c>
      <c r="N287">
        <v>3</v>
      </c>
      <c r="O287">
        <v>11</v>
      </c>
      <c r="P287">
        <v>45.077199999999998</v>
      </c>
      <c r="Q287" t="s">
        <v>352</v>
      </c>
      <c r="R287">
        <v>1</v>
      </c>
      <c r="S287">
        <v>44.910299999999999</v>
      </c>
      <c r="T287">
        <v>0.49880000000000002</v>
      </c>
      <c r="U287">
        <v>0.33460304731354906</v>
      </c>
      <c r="V287">
        <v>43.413899999999998</v>
      </c>
      <c r="W287">
        <v>43.912700000000001</v>
      </c>
      <c r="X287">
        <v>44.411499999999997</v>
      </c>
      <c r="Y287">
        <v>45.409100000000002</v>
      </c>
      <c r="Z287">
        <v>45.907899999999998</v>
      </c>
      <c r="AA287">
        <v>46.406700000000001</v>
      </c>
      <c r="AD287">
        <v>4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 t="s">
        <v>462</v>
      </c>
      <c r="AL287" t="s">
        <v>6</v>
      </c>
      <c r="AM287" t="s">
        <v>1145</v>
      </c>
      <c r="AN287" t="s">
        <v>1146</v>
      </c>
      <c r="AO287" s="100">
        <v>46262.040405092594</v>
      </c>
      <c r="AP287" t="s">
        <v>1147</v>
      </c>
      <c r="AQ287" t="s">
        <v>1785</v>
      </c>
      <c r="AR287" t="s">
        <v>1197</v>
      </c>
      <c r="AS287" t="s">
        <v>1150</v>
      </c>
      <c r="AT287" t="s">
        <v>1664</v>
      </c>
      <c r="AU287">
        <v>25</v>
      </c>
      <c r="AV287">
        <v>44.942519999999995</v>
      </c>
      <c r="AW287">
        <v>0.46959776759832833</v>
      </c>
      <c r="AX287">
        <v>1.044885261436894</v>
      </c>
      <c r="AY287">
        <v>0.3235385109073674</v>
      </c>
      <c r="AZ287">
        <v>2.0475991922782422</v>
      </c>
      <c r="BA287">
        <v>3.518531292169703</v>
      </c>
      <c r="BB287" s="97" t="s">
        <v>161</v>
      </c>
      <c r="BD287" s="98"/>
      <c r="BE287" s="98"/>
      <c r="BF287" t="s">
        <v>1152</v>
      </c>
      <c r="BG287" t="s">
        <v>322</v>
      </c>
      <c r="BH287" t="s">
        <v>1153</v>
      </c>
      <c r="BI287">
        <v>0.3235385109073674</v>
      </c>
      <c r="BJ287" t="s">
        <v>1032</v>
      </c>
      <c r="BK287">
        <v>1.9524008077217578</v>
      </c>
      <c r="BL287">
        <v>48.810020193043947</v>
      </c>
      <c r="BM287" t="s">
        <v>1260</v>
      </c>
      <c r="BN287" t="s">
        <v>1154</v>
      </c>
      <c r="BO287">
        <v>2025</v>
      </c>
      <c r="BP287" t="s">
        <v>966</v>
      </c>
      <c r="BQ287">
        <v>302129.4357621033</v>
      </c>
      <c r="BR287">
        <v>69.787056423789664</v>
      </c>
      <c r="BS287" t="s">
        <v>992</v>
      </c>
      <c r="BV287" t="s">
        <v>1034</v>
      </c>
      <c r="BW287" t="s">
        <v>943</v>
      </c>
      <c r="BX287" t="s">
        <v>994</v>
      </c>
      <c r="BY287">
        <v>2.0182858105695831</v>
      </c>
      <c r="BZ287" t="s">
        <v>1155</v>
      </c>
      <c r="CA287" t="s">
        <v>991</v>
      </c>
      <c r="CB287" t="b">
        <v>1</v>
      </c>
      <c r="CC287" t="b">
        <v>1</v>
      </c>
      <c r="CD287" t="b">
        <v>1</v>
      </c>
      <c r="CE287" t="b">
        <v>1</v>
      </c>
      <c r="CF287" t="b">
        <v>1</v>
      </c>
    </row>
    <row r="288" spans="1:84" x14ac:dyDescent="0.3">
      <c r="A288" t="s">
        <v>1786</v>
      </c>
      <c r="B288" t="s">
        <v>1199</v>
      </c>
      <c r="C288" s="98">
        <v>45740</v>
      </c>
      <c r="D288">
        <v>2025</v>
      </c>
      <c r="E288">
        <v>3</v>
      </c>
      <c r="F288">
        <v>1</v>
      </c>
      <c r="G288" t="s">
        <v>1187</v>
      </c>
      <c r="H288" t="s">
        <v>128</v>
      </c>
      <c r="I288" t="s">
        <v>128</v>
      </c>
      <c r="J288" t="s">
        <v>6</v>
      </c>
      <c r="L288">
        <v>522611</v>
      </c>
      <c r="M288" s="99" t="s">
        <v>180</v>
      </c>
      <c r="N288">
        <v>3</v>
      </c>
      <c r="O288">
        <v>12</v>
      </c>
      <c r="P288">
        <v>44.907600000000002</v>
      </c>
      <c r="Q288" t="s">
        <v>352</v>
      </c>
      <c r="R288">
        <v>1</v>
      </c>
      <c r="S288">
        <v>44.910299999999999</v>
      </c>
      <c r="T288">
        <v>0.49880000000000002</v>
      </c>
      <c r="U288">
        <v>-5.412991178823697E-3</v>
      </c>
      <c r="V288">
        <v>43.413899999999998</v>
      </c>
      <c r="W288">
        <v>43.912700000000001</v>
      </c>
      <c r="X288">
        <v>44.411499999999997</v>
      </c>
      <c r="Y288">
        <v>45.409100000000002</v>
      </c>
      <c r="Z288">
        <v>45.907899999999998</v>
      </c>
      <c r="AA288">
        <v>46.406700000000001</v>
      </c>
      <c r="AD288">
        <v>4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 t="s">
        <v>462</v>
      </c>
      <c r="AL288" t="s">
        <v>6</v>
      </c>
      <c r="AM288" t="s">
        <v>1145</v>
      </c>
      <c r="AN288" t="s">
        <v>1146</v>
      </c>
      <c r="AO288" s="100">
        <v>46262.040405092594</v>
      </c>
      <c r="AP288" t="s">
        <v>1147</v>
      </c>
      <c r="AQ288" t="s">
        <v>1787</v>
      </c>
      <c r="AR288" t="s">
        <v>1201</v>
      </c>
      <c r="AS288" t="s">
        <v>1150</v>
      </c>
      <c r="AT288" t="s">
        <v>1664</v>
      </c>
      <c r="AU288">
        <v>25</v>
      </c>
      <c r="AV288">
        <v>44.942519999999995</v>
      </c>
      <c r="AW288">
        <v>0.46959776759832833</v>
      </c>
      <c r="AX288">
        <v>1.044885261436894</v>
      </c>
      <c r="AY288">
        <v>0.3235385109073674</v>
      </c>
      <c r="AZ288">
        <v>2.0475991922782422</v>
      </c>
      <c r="BA288">
        <v>3.518531292169703</v>
      </c>
      <c r="BB288" s="97" t="s">
        <v>161</v>
      </c>
      <c r="BD288" s="98"/>
      <c r="BE288" s="98"/>
      <c r="BF288" t="s">
        <v>1152</v>
      </c>
      <c r="BG288" t="s">
        <v>322</v>
      </c>
      <c r="BH288" t="s">
        <v>1153</v>
      </c>
      <c r="BI288">
        <v>0.3235385109073674</v>
      </c>
      <c r="BJ288" t="s">
        <v>1032</v>
      </c>
      <c r="BK288">
        <v>1.9524008077217578</v>
      </c>
      <c r="BL288">
        <v>48.810020193043947</v>
      </c>
      <c r="BM288" t="s">
        <v>1260</v>
      </c>
      <c r="BN288" t="s">
        <v>1154</v>
      </c>
      <c r="BO288">
        <v>2025</v>
      </c>
      <c r="BP288" t="s">
        <v>966</v>
      </c>
      <c r="BQ288">
        <v>302129.4357621033</v>
      </c>
      <c r="BR288">
        <v>69.787056423789664</v>
      </c>
      <c r="BS288" t="s">
        <v>992</v>
      </c>
      <c r="BV288" t="s">
        <v>1034</v>
      </c>
      <c r="BW288" t="s">
        <v>943</v>
      </c>
      <c r="BX288" t="s">
        <v>994</v>
      </c>
      <c r="BY288">
        <v>2.0182858105695831</v>
      </c>
      <c r="BZ288" t="s">
        <v>1155</v>
      </c>
      <c r="CA288" t="s">
        <v>991</v>
      </c>
      <c r="CB288" t="b">
        <v>1</v>
      </c>
      <c r="CC288" t="b">
        <v>1</v>
      </c>
      <c r="CD288" t="b">
        <v>1</v>
      </c>
      <c r="CE288" t="b">
        <v>1</v>
      </c>
      <c r="CF288" t="b">
        <v>1</v>
      </c>
    </row>
    <row r="289" spans="1:84" x14ac:dyDescent="0.3">
      <c r="A289" t="s">
        <v>1788</v>
      </c>
      <c r="B289" t="s">
        <v>1203</v>
      </c>
      <c r="C289" s="98">
        <v>45747</v>
      </c>
      <c r="D289">
        <v>2025</v>
      </c>
      <c r="E289">
        <v>3</v>
      </c>
      <c r="F289">
        <v>1</v>
      </c>
      <c r="G289" t="s">
        <v>1187</v>
      </c>
      <c r="H289" t="s">
        <v>128</v>
      </c>
      <c r="I289" t="s">
        <v>128</v>
      </c>
      <c r="J289" t="s">
        <v>6</v>
      </c>
      <c r="L289">
        <v>522611</v>
      </c>
      <c r="M289" s="99" t="s">
        <v>180</v>
      </c>
      <c r="N289">
        <v>3</v>
      </c>
      <c r="O289">
        <v>13</v>
      </c>
      <c r="P289">
        <v>45.673000000000002</v>
      </c>
      <c r="Q289" t="s">
        <v>352</v>
      </c>
      <c r="R289">
        <v>1</v>
      </c>
      <c r="S289">
        <v>44.910299999999999</v>
      </c>
      <c r="T289">
        <v>0.49880000000000002</v>
      </c>
      <c r="U289">
        <v>1.5290697674418652</v>
      </c>
      <c r="V289">
        <v>43.413899999999998</v>
      </c>
      <c r="W289">
        <v>43.912700000000001</v>
      </c>
      <c r="X289">
        <v>44.411499999999997</v>
      </c>
      <c r="Y289">
        <v>45.409100000000002</v>
      </c>
      <c r="Z289">
        <v>45.907899999999998</v>
      </c>
      <c r="AA289">
        <v>46.406700000000001</v>
      </c>
      <c r="AD289">
        <v>4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 t="s">
        <v>462</v>
      </c>
      <c r="AL289" t="s">
        <v>6</v>
      </c>
      <c r="AM289" t="s">
        <v>1145</v>
      </c>
      <c r="AN289" t="s">
        <v>1146</v>
      </c>
      <c r="AO289" s="100">
        <v>46262.040405092594</v>
      </c>
      <c r="AP289" t="s">
        <v>1147</v>
      </c>
      <c r="AQ289" t="s">
        <v>1789</v>
      </c>
      <c r="AR289" t="s">
        <v>1205</v>
      </c>
      <c r="AS289" t="s">
        <v>1150</v>
      </c>
      <c r="AT289" t="s">
        <v>1664</v>
      </c>
      <c r="AU289">
        <v>25</v>
      </c>
      <c r="AV289">
        <v>44.942519999999995</v>
      </c>
      <c r="AW289">
        <v>0.46959776759832833</v>
      </c>
      <c r="AX289">
        <v>1.044885261436894</v>
      </c>
      <c r="AY289">
        <v>0.3235385109073674</v>
      </c>
      <c r="AZ289">
        <v>2.0475991922782422</v>
      </c>
      <c r="BA289">
        <v>3.518531292169703</v>
      </c>
      <c r="BB289" s="97" t="s">
        <v>161</v>
      </c>
      <c r="BD289" s="98"/>
      <c r="BE289" s="98"/>
      <c r="BF289" t="s">
        <v>1152</v>
      </c>
      <c r="BG289" t="s">
        <v>322</v>
      </c>
      <c r="BH289" t="s">
        <v>1153</v>
      </c>
      <c r="BI289">
        <v>0.3235385109073674</v>
      </c>
      <c r="BJ289" t="s">
        <v>1032</v>
      </c>
      <c r="BK289">
        <v>1.9524008077217578</v>
      </c>
      <c r="BL289">
        <v>48.810020193043947</v>
      </c>
      <c r="BM289" t="s">
        <v>1260</v>
      </c>
      <c r="BN289" t="s">
        <v>1154</v>
      </c>
      <c r="BO289">
        <v>2025</v>
      </c>
      <c r="BP289" t="s">
        <v>966</v>
      </c>
      <c r="BQ289">
        <v>302129.4357621033</v>
      </c>
      <c r="BR289">
        <v>69.787056423789664</v>
      </c>
      <c r="BS289" t="s">
        <v>992</v>
      </c>
      <c r="BV289" t="s">
        <v>1034</v>
      </c>
      <c r="BW289" t="s">
        <v>943</v>
      </c>
      <c r="BX289" t="s">
        <v>994</v>
      </c>
      <c r="BY289">
        <v>2.0182858105695831</v>
      </c>
      <c r="BZ289" t="s">
        <v>1155</v>
      </c>
      <c r="CA289" t="s">
        <v>991</v>
      </c>
      <c r="CB289" t="b">
        <v>1</v>
      </c>
      <c r="CC289" t="b">
        <v>1</v>
      </c>
      <c r="CD289" t="b">
        <v>1</v>
      </c>
      <c r="CE289" t="b">
        <v>1</v>
      </c>
      <c r="CF289" t="b">
        <v>1</v>
      </c>
    </row>
    <row r="290" spans="1:84" x14ac:dyDescent="0.3">
      <c r="A290" t="s">
        <v>1790</v>
      </c>
      <c r="B290" t="s">
        <v>1207</v>
      </c>
      <c r="C290" s="98">
        <v>45754</v>
      </c>
      <c r="D290">
        <v>2025</v>
      </c>
      <c r="E290">
        <v>4</v>
      </c>
      <c r="F290">
        <v>2</v>
      </c>
      <c r="G290" t="s">
        <v>1208</v>
      </c>
      <c r="H290" t="s">
        <v>128</v>
      </c>
      <c r="I290" t="s">
        <v>128</v>
      </c>
      <c r="J290" t="s">
        <v>6</v>
      </c>
      <c r="L290">
        <v>522611</v>
      </c>
      <c r="M290" s="99" t="s">
        <v>180</v>
      </c>
      <c r="N290">
        <v>3</v>
      </c>
      <c r="O290">
        <v>14</v>
      </c>
      <c r="P290">
        <v>44.633400000000002</v>
      </c>
      <c r="Q290" t="s">
        <v>352</v>
      </c>
      <c r="R290">
        <v>1</v>
      </c>
      <c r="S290">
        <v>44.910299999999999</v>
      </c>
      <c r="T290">
        <v>0.49880000000000002</v>
      </c>
      <c r="U290">
        <v>-0.55513231756214454</v>
      </c>
      <c r="V290">
        <v>43.413899999999998</v>
      </c>
      <c r="W290">
        <v>43.912700000000001</v>
      </c>
      <c r="X290">
        <v>44.411499999999997</v>
      </c>
      <c r="Y290">
        <v>45.409100000000002</v>
      </c>
      <c r="Z290">
        <v>45.907899999999998</v>
      </c>
      <c r="AA290">
        <v>46.406700000000001</v>
      </c>
      <c r="AD290">
        <v>4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 t="s">
        <v>462</v>
      </c>
      <c r="AL290" t="s">
        <v>6</v>
      </c>
      <c r="AM290" t="s">
        <v>1145</v>
      </c>
      <c r="AN290" t="s">
        <v>1146</v>
      </c>
      <c r="AO290" s="100">
        <v>46262.040405092594</v>
      </c>
      <c r="AP290" t="s">
        <v>1147</v>
      </c>
      <c r="AQ290" t="s">
        <v>1791</v>
      </c>
      <c r="AR290" t="s">
        <v>1210</v>
      </c>
      <c r="AS290" t="s">
        <v>1150</v>
      </c>
      <c r="AT290" t="s">
        <v>1664</v>
      </c>
      <c r="AU290">
        <v>25</v>
      </c>
      <c r="AV290">
        <v>44.942519999999995</v>
      </c>
      <c r="AW290">
        <v>0.46959776759832833</v>
      </c>
      <c r="AX290">
        <v>1.044885261436894</v>
      </c>
      <c r="AY290">
        <v>0.3235385109073674</v>
      </c>
      <c r="AZ290">
        <v>2.0475991922782422</v>
      </c>
      <c r="BA290">
        <v>3.518531292169703</v>
      </c>
      <c r="BB290" s="97" t="s">
        <v>161</v>
      </c>
      <c r="BD290" s="98"/>
      <c r="BE290" s="98"/>
      <c r="BF290" t="s">
        <v>1152</v>
      </c>
      <c r="BG290" t="s">
        <v>322</v>
      </c>
      <c r="BH290" t="s">
        <v>1153</v>
      </c>
      <c r="BI290">
        <v>0.3235385109073674</v>
      </c>
      <c r="BJ290" t="s">
        <v>1032</v>
      </c>
      <c r="BK290">
        <v>1.9524008077217578</v>
      </c>
      <c r="BL290">
        <v>48.810020193043947</v>
      </c>
      <c r="BM290" t="s">
        <v>1260</v>
      </c>
      <c r="BN290" t="s">
        <v>1154</v>
      </c>
      <c r="BO290">
        <v>2025</v>
      </c>
      <c r="BP290" t="s">
        <v>966</v>
      </c>
      <c r="BQ290">
        <v>302129.4357621033</v>
      </c>
      <c r="BR290">
        <v>69.787056423789664</v>
      </c>
      <c r="BS290" t="s">
        <v>992</v>
      </c>
      <c r="BV290" t="s">
        <v>1034</v>
      </c>
      <c r="BW290" t="s">
        <v>943</v>
      </c>
      <c r="BX290" t="s">
        <v>994</v>
      </c>
      <c r="BY290">
        <v>2.0182858105695831</v>
      </c>
      <c r="BZ290" t="s">
        <v>1155</v>
      </c>
      <c r="CA290" t="s">
        <v>991</v>
      </c>
      <c r="CB290" t="b">
        <v>1</v>
      </c>
      <c r="CC290" t="b">
        <v>1</v>
      </c>
      <c r="CD290" t="b">
        <v>1</v>
      </c>
      <c r="CE290" t="b">
        <v>1</v>
      </c>
      <c r="CF290" t="b">
        <v>1</v>
      </c>
    </row>
    <row r="291" spans="1:84" x14ac:dyDescent="0.3">
      <c r="A291" t="s">
        <v>1792</v>
      </c>
      <c r="B291" t="s">
        <v>1212</v>
      </c>
      <c r="C291" s="98">
        <v>45761</v>
      </c>
      <c r="D291">
        <v>2025</v>
      </c>
      <c r="E291">
        <v>4</v>
      </c>
      <c r="F291">
        <v>2</v>
      </c>
      <c r="G291" t="s">
        <v>1208</v>
      </c>
      <c r="H291" t="s">
        <v>128</v>
      </c>
      <c r="I291" t="s">
        <v>128</v>
      </c>
      <c r="J291" t="s">
        <v>6</v>
      </c>
      <c r="L291">
        <v>522611</v>
      </c>
      <c r="M291" s="99" t="s">
        <v>180</v>
      </c>
      <c r="N291">
        <v>3</v>
      </c>
      <c r="O291">
        <v>15</v>
      </c>
      <c r="P291">
        <v>44.716099999999997</v>
      </c>
      <c r="Q291" t="s">
        <v>352</v>
      </c>
      <c r="R291">
        <v>1</v>
      </c>
      <c r="S291">
        <v>44.910299999999999</v>
      </c>
      <c r="T291">
        <v>0.49880000000000002</v>
      </c>
      <c r="U291">
        <v>-0.38933440256616308</v>
      </c>
      <c r="V291">
        <v>43.413899999999998</v>
      </c>
      <c r="W291">
        <v>43.912700000000001</v>
      </c>
      <c r="X291">
        <v>44.411499999999997</v>
      </c>
      <c r="Y291">
        <v>45.409100000000002</v>
      </c>
      <c r="Z291">
        <v>45.907899999999998</v>
      </c>
      <c r="AA291">
        <v>46.406700000000001</v>
      </c>
      <c r="AD291">
        <v>4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 t="s">
        <v>462</v>
      </c>
      <c r="AL291" t="s">
        <v>6</v>
      </c>
      <c r="AM291" t="s">
        <v>1145</v>
      </c>
      <c r="AN291" t="s">
        <v>1146</v>
      </c>
      <c r="AO291" s="100">
        <v>46262.040405092594</v>
      </c>
      <c r="AP291" t="s">
        <v>1147</v>
      </c>
      <c r="AQ291" t="s">
        <v>1793</v>
      </c>
      <c r="AR291" t="s">
        <v>1215</v>
      </c>
      <c r="AS291" t="s">
        <v>1150</v>
      </c>
      <c r="AT291" t="s">
        <v>1664</v>
      </c>
      <c r="AU291">
        <v>25</v>
      </c>
      <c r="AV291">
        <v>44.942519999999995</v>
      </c>
      <c r="AW291">
        <v>0.46959776759832833</v>
      </c>
      <c r="AX291">
        <v>1.044885261436894</v>
      </c>
      <c r="AY291">
        <v>0.3235385109073674</v>
      </c>
      <c r="AZ291">
        <v>2.0475991922782422</v>
      </c>
      <c r="BA291">
        <v>3.518531292169703</v>
      </c>
      <c r="BB291" s="97" t="s">
        <v>161</v>
      </c>
      <c r="BD291" s="98"/>
      <c r="BE291" s="98"/>
      <c r="BF291" t="s">
        <v>1152</v>
      </c>
      <c r="BG291" t="s">
        <v>322</v>
      </c>
      <c r="BH291" t="s">
        <v>1153</v>
      </c>
      <c r="BI291">
        <v>0.3235385109073674</v>
      </c>
      <c r="BJ291" t="s">
        <v>1032</v>
      </c>
      <c r="BK291">
        <v>1.9524008077217578</v>
      </c>
      <c r="BL291">
        <v>48.810020193043947</v>
      </c>
      <c r="BM291" t="s">
        <v>1260</v>
      </c>
      <c r="BN291" t="s">
        <v>1154</v>
      </c>
      <c r="BO291">
        <v>2025</v>
      </c>
      <c r="BP291" t="s">
        <v>966</v>
      </c>
      <c r="BQ291">
        <v>302129.4357621033</v>
      </c>
      <c r="BR291">
        <v>69.787056423789664</v>
      </c>
      <c r="BS291" t="s">
        <v>992</v>
      </c>
      <c r="BV291" t="s">
        <v>1034</v>
      </c>
      <c r="BW291" t="s">
        <v>943</v>
      </c>
      <c r="BX291" t="s">
        <v>994</v>
      </c>
      <c r="BY291">
        <v>2.0182858105695831</v>
      </c>
      <c r="BZ291" t="s">
        <v>1155</v>
      </c>
      <c r="CA291" t="s">
        <v>991</v>
      </c>
      <c r="CB291" t="b">
        <v>1</v>
      </c>
      <c r="CC291" t="b">
        <v>1</v>
      </c>
      <c r="CD291" t="b">
        <v>1</v>
      </c>
      <c r="CE291" t="b">
        <v>1</v>
      </c>
      <c r="CF291" t="b">
        <v>1</v>
      </c>
    </row>
    <row r="292" spans="1:84" x14ac:dyDescent="0.3">
      <c r="A292" t="s">
        <v>1794</v>
      </c>
      <c r="B292" t="s">
        <v>1217</v>
      </c>
      <c r="C292" s="98">
        <v>45768</v>
      </c>
      <c r="D292">
        <v>2025</v>
      </c>
      <c r="E292">
        <v>4</v>
      </c>
      <c r="F292">
        <v>2</v>
      </c>
      <c r="G292" t="s">
        <v>1208</v>
      </c>
      <c r="H292" t="s">
        <v>128</v>
      </c>
      <c r="I292" t="s">
        <v>128</v>
      </c>
      <c r="J292" t="s">
        <v>6</v>
      </c>
      <c r="L292">
        <v>522611</v>
      </c>
      <c r="M292" s="99" t="s">
        <v>180</v>
      </c>
      <c r="N292">
        <v>3</v>
      </c>
      <c r="O292">
        <v>16</v>
      </c>
      <c r="P292">
        <v>44.004100000000001</v>
      </c>
      <c r="Q292" t="s">
        <v>352</v>
      </c>
      <c r="R292">
        <v>1</v>
      </c>
      <c r="S292">
        <v>44.910299999999999</v>
      </c>
      <c r="T292">
        <v>0.49880000000000002</v>
      </c>
      <c r="U292">
        <v>-1.8167602245388899</v>
      </c>
      <c r="V292">
        <v>43.413899999999998</v>
      </c>
      <c r="W292">
        <v>43.912700000000001</v>
      </c>
      <c r="X292">
        <v>44.411499999999997</v>
      </c>
      <c r="Y292">
        <v>45.409100000000002</v>
      </c>
      <c r="Z292">
        <v>45.907899999999998</v>
      </c>
      <c r="AA292">
        <v>46.406700000000001</v>
      </c>
      <c r="AD292">
        <v>4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 t="s">
        <v>462</v>
      </c>
      <c r="AL292" t="s">
        <v>6</v>
      </c>
      <c r="AM292" t="s">
        <v>1145</v>
      </c>
      <c r="AN292" t="s">
        <v>1146</v>
      </c>
      <c r="AO292" s="100">
        <v>46262.040405092594</v>
      </c>
      <c r="AP292" t="s">
        <v>1147</v>
      </c>
      <c r="AQ292" t="s">
        <v>1795</v>
      </c>
      <c r="AR292" t="s">
        <v>1219</v>
      </c>
      <c r="AS292" t="s">
        <v>1150</v>
      </c>
      <c r="AT292" t="s">
        <v>1664</v>
      </c>
      <c r="AU292">
        <v>25</v>
      </c>
      <c r="AV292">
        <v>44.942519999999995</v>
      </c>
      <c r="AW292">
        <v>0.46959776759832833</v>
      </c>
      <c r="AX292">
        <v>1.044885261436894</v>
      </c>
      <c r="AY292">
        <v>0.3235385109073674</v>
      </c>
      <c r="AZ292">
        <v>2.0475991922782422</v>
      </c>
      <c r="BA292">
        <v>3.518531292169703</v>
      </c>
      <c r="BB292" s="97" t="s">
        <v>161</v>
      </c>
      <c r="BD292" s="98"/>
      <c r="BE292" s="98"/>
      <c r="BF292" t="s">
        <v>1152</v>
      </c>
      <c r="BG292" t="s">
        <v>322</v>
      </c>
      <c r="BH292" t="s">
        <v>1153</v>
      </c>
      <c r="BI292">
        <v>0.3235385109073674</v>
      </c>
      <c r="BJ292" t="s">
        <v>1032</v>
      </c>
      <c r="BK292">
        <v>1.9524008077217578</v>
      </c>
      <c r="BL292">
        <v>48.810020193043947</v>
      </c>
      <c r="BM292" t="s">
        <v>1260</v>
      </c>
      <c r="BN292" t="s">
        <v>1154</v>
      </c>
      <c r="BO292">
        <v>2025</v>
      </c>
      <c r="BP292" t="s">
        <v>966</v>
      </c>
      <c r="BQ292">
        <v>302129.4357621033</v>
      </c>
      <c r="BR292">
        <v>69.787056423789664</v>
      </c>
      <c r="BS292" t="s">
        <v>992</v>
      </c>
      <c r="BV292" t="s">
        <v>1034</v>
      </c>
      <c r="BW292" t="s">
        <v>943</v>
      </c>
      <c r="BX292" t="s">
        <v>994</v>
      </c>
      <c r="BY292">
        <v>2.0182858105695831</v>
      </c>
      <c r="BZ292" t="s">
        <v>1155</v>
      </c>
      <c r="CA292" t="s">
        <v>991</v>
      </c>
      <c r="CB292" t="b">
        <v>1</v>
      </c>
      <c r="CC292" t="b">
        <v>1</v>
      </c>
      <c r="CD292" t="b">
        <v>1</v>
      </c>
      <c r="CE292" t="b">
        <v>1</v>
      </c>
      <c r="CF292" t="b">
        <v>1</v>
      </c>
    </row>
    <row r="293" spans="1:84" x14ac:dyDescent="0.3">
      <c r="A293" t="s">
        <v>1796</v>
      </c>
      <c r="B293" t="s">
        <v>1221</v>
      </c>
      <c r="C293" s="98">
        <v>45775</v>
      </c>
      <c r="D293">
        <v>2025</v>
      </c>
      <c r="E293">
        <v>4</v>
      </c>
      <c r="F293">
        <v>2</v>
      </c>
      <c r="G293" t="s">
        <v>1208</v>
      </c>
      <c r="H293" t="s">
        <v>128</v>
      </c>
      <c r="I293" t="s">
        <v>128</v>
      </c>
      <c r="J293" t="s">
        <v>6</v>
      </c>
      <c r="L293">
        <v>522611</v>
      </c>
      <c r="M293" s="99" t="s">
        <v>180</v>
      </c>
      <c r="N293">
        <v>3</v>
      </c>
      <c r="O293">
        <v>17</v>
      </c>
      <c r="P293">
        <v>45.692999999999998</v>
      </c>
      <c r="Q293" t="s">
        <v>352</v>
      </c>
      <c r="R293">
        <v>1</v>
      </c>
      <c r="S293">
        <v>44.910299999999999</v>
      </c>
      <c r="T293">
        <v>0.49880000000000002</v>
      </c>
      <c r="U293">
        <v>1.5691659983961475</v>
      </c>
      <c r="V293">
        <v>43.413899999999998</v>
      </c>
      <c r="W293">
        <v>43.912700000000001</v>
      </c>
      <c r="X293">
        <v>44.411499999999997</v>
      </c>
      <c r="Y293">
        <v>45.409100000000002</v>
      </c>
      <c r="Z293">
        <v>45.907899999999998</v>
      </c>
      <c r="AA293">
        <v>46.406700000000001</v>
      </c>
      <c r="AD293">
        <v>4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 t="s">
        <v>462</v>
      </c>
      <c r="AL293" t="s">
        <v>6</v>
      </c>
      <c r="AM293" t="s">
        <v>1145</v>
      </c>
      <c r="AN293" t="s">
        <v>1146</v>
      </c>
      <c r="AO293" s="100">
        <v>46262.040405092594</v>
      </c>
      <c r="AP293" t="s">
        <v>1147</v>
      </c>
      <c r="AQ293" t="s">
        <v>1797</v>
      </c>
      <c r="AR293" t="s">
        <v>1223</v>
      </c>
      <c r="AS293" t="s">
        <v>1150</v>
      </c>
      <c r="AT293" t="s">
        <v>1664</v>
      </c>
      <c r="AU293">
        <v>25</v>
      </c>
      <c r="AV293">
        <v>44.942519999999995</v>
      </c>
      <c r="AW293">
        <v>0.46959776759832833</v>
      </c>
      <c r="AX293">
        <v>1.044885261436894</v>
      </c>
      <c r="AY293">
        <v>0.3235385109073674</v>
      </c>
      <c r="AZ293">
        <v>2.0475991922782422</v>
      </c>
      <c r="BA293">
        <v>3.518531292169703</v>
      </c>
      <c r="BB293" s="97" t="s">
        <v>161</v>
      </c>
      <c r="BD293" s="98"/>
      <c r="BE293" s="98"/>
      <c r="BF293" t="s">
        <v>1152</v>
      </c>
      <c r="BG293" t="s">
        <v>322</v>
      </c>
      <c r="BH293" t="s">
        <v>1153</v>
      </c>
      <c r="BI293">
        <v>0.3235385109073674</v>
      </c>
      <c r="BJ293" t="s">
        <v>1032</v>
      </c>
      <c r="BK293">
        <v>1.9524008077217578</v>
      </c>
      <c r="BL293">
        <v>48.810020193043947</v>
      </c>
      <c r="BM293" t="s">
        <v>1260</v>
      </c>
      <c r="BN293" t="s">
        <v>1154</v>
      </c>
      <c r="BO293">
        <v>2025</v>
      </c>
      <c r="BP293" t="s">
        <v>966</v>
      </c>
      <c r="BQ293">
        <v>302129.4357621033</v>
      </c>
      <c r="BR293">
        <v>69.787056423789664</v>
      </c>
      <c r="BS293" t="s">
        <v>992</v>
      </c>
      <c r="BV293" t="s">
        <v>1034</v>
      </c>
      <c r="BW293" t="s">
        <v>943</v>
      </c>
      <c r="BX293" t="s">
        <v>994</v>
      </c>
      <c r="BY293">
        <v>2.0182858105695831</v>
      </c>
      <c r="BZ293" t="s">
        <v>1155</v>
      </c>
      <c r="CA293" t="s">
        <v>991</v>
      </c>
      <c r="CB293" t="b">
        <v>1</v>
      </c>
      <c r="CC293" t="b">
        <v>1</v>
      </c>
      <c r="CD293" t="b">
        <v>1</v>
      </c>
      <c r="CE293" t="b">
        <v>1</v>
      </c>
      <c r="CF293" t="b">
        <v>1</v>
      </c>
    </row>
    <row r="294" spans="1:84" x14ac:dyDescent="0.3">
      <c r="A294" t="s">
        <v>1798</v>
      </c>
      <c r="B294" t="s">
        <v>1225</v>
      </c>
      <c r="C294" s="98">
        <v>45782</v>
      </c>
      <c r="D294">
        <v>2025</v>
      </c>
      <c r="E294">
        <v>5</v>
      </c>
      <c r="F294">
        <v>2</v>
      </c>
      <c r="G294" t="s">
        <v>1226</v>
      </c>
      <c r="H294" t="s">
        <v>128</v>
      </c>
      <c r="I294" t="s">
        <v>128</v>
      </c>
      <c r="J294" t="s">
        <v>6</v>
      </c>
      <c r="L294">
        <v>522611</v>
      </c>
      <c r="M294" s="99" t="s">
        <v>180</v>
      </c>
      <c r="N294">
        <v>3</v>
      </c>
      <c r="O294">
        <v>18</v>
      </c>
      <c r="P294">
        <v>45.391399999999997</v>
      </c>
      <c r="Q294" t="s">
        <v>352</v>
      </c>
      <c r="R294">
        <v>1</v>
      </c>
      <c r="S294">
        <v>44.910299999999999</v>
      </c>
      <c r="T294">
        <v>0.49880000000000002</v>
      </c>
      <c r="U294">
        <v>0.96451483560544882</v>
      </c>
      <c r="V294">
        <v>43.413899999999998</v>
      </c>
      <c r="W294">
        <v>43.912700000000001</v>
      </c>
      <c r="X294">
        <v>44.411499999999997</v>
      </c>
      <c r="Y294">
        <v>45.409100000000002</v>
      </c>
      <c r="Z294">
        <v>45.907899999999998</v>
      </c>
      <c r="AA294">
        <v>46.406700000000001</v>
      </c>
      <c r="AD294">
        <v>4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 t="s">
        <v>462</v>
      </c>
      <c r="AL294" t="s">
        <v>6</v>
      </c>
      <c r="AM294" t="s">
        <v>1145</v>
      </c>
      <c r="AN294" t="s">
        <v>1146</v>
      </c>
      <c r="AO294" s="100">
        <v>46262.040405092594</v>
      </c>
      <c r="AP294" t="s">
        <v>1147</v>
      </c>
      <c r="AQ294" t="s">
        <v>1799</v>
      </c>
      <c r="AR294" t="s">
        <v>1228</v>
      </c>
      <c r="AS294" t="s">
        <v>1150</v>
      </c>
      <c r="AT294" t="s">
        <v>1664</v>
      </c>
      <c r="AU294">
        <v>25</v>
      </c>
      <c r="AV294">
        <v>44.942519999999995</v>
      </c>
      <c r="AW294">
        <v>0.46959776759832833</v>
      </c>
      <c r="AX294">
        <v>1.044885261436894</v>
      </c>
      <c r="AY294">
        <v>0.3235385109073674</v>
      </c>
      <c r="AZ294">
        <v>2.0475991922782422</v>
      </c>
      <c r="BA294">
        <v>3.518531292169703</v>
      </c>
      <c r="BB294" s="97" t="s">
        <v>161</v>
      </c>
      <c r="BD294" s="98"/>
      <c r="BE294" s="98"/>
      <c r="BF294" t="s">
        <v>1152</v>
      </c>
      <c r="BG294" t="s">
        <v>322</v>
      </c>
      <c r="BH294" t="s">
        <v>1153</v>
      </c>
      <c r="BI294">
        <v>0.3235385109073674</v>
      </c>
      <c r="BJ294" t="s">
        <v>1032</v>
      </c>
      <c r="BK294">
        <v>1.9524008077217578</v>
      </c>
      <c r="BL294">
        <v>48.810020193043947</v>
      </c>
      <c r="BM294" t="s">
        <v>1260</v>
      </c>
      <c r="BN294" t="s">
        <v>1154</v>
      </c>
      <c r="BO294">
        <v>2025</v>
      </c>
      <c r="BP294" t="s">
        <v>966</v>
      </c>
      <c r="BQ294">
        <v>302129.4357621033</v>
      </c>
      <c r="BR294">
        <v>69.787056423789664</v>
      </c>
      <c r="BS294" t="s">
        <v>992</v>
      </c>
      <c r="BV294" t="s">
        <v>1034</v>
      </c>
      <c r="BW294" t="s">
        <v>943</v>
      </c>
      <c r="BX294" t="s">
        <v>994</v>
      </c>
      <c r="BY294">
        <v>2.0182858105695831</v>
      </c>
      <c r="BZ294" t="s">
        <v>1155</v>
      </c>
      <c r="CA294" t="s">
        <v>991</v>
      </c>
      <c r="CB294" t="b">
        <v>1</v>
      </c>
      <c r="CC294" t="b">
        <v>1</v>
      </c>
      <c r="CD294" t="b">
        <v>1</v>
      </c>
      <c r="CE294" t="b">
        <v>1</v>
      </c>
      <c r="CF294" t="b">
        <v>1</v>
      </c>
    </row>
    <row r="295" spans="1:84" x14ac:dyDescent="0.3">
      <c r="A295" t="s">
        <v>1800</v>
      </c>
      <c r="B295" t="s">
        <v>1230</v>
      </c>
      <c r="C295" s="98">
        <v>45789</v>
      </c>
      <c r="D295">
        <v>2025</v>
      </c>
      <c r="E295">
        <v>5</v>
      </c>
      <c r="F295">
        <v>2</v>
      </c>
      <c r="G295" t="s">
        <v>1226</v>
      </c>
      <c r="H295" t="s">
        <v>128</v>
      </c>
      <c r="I295" t="s">
        <v>128</v>
      </c>
      <c r="J295" t="s">
        <v>6</v>
      </c>
      <c r="L295">
        <v>522611</v>
      </c>
      <c r="M295" s="99" t="s">
        <v>180</v>
      </c>
      <c r="N295">
        <v>3</v>
      </c>
      <c r="O295">
        <v>19</v>
      </c>
      <c r="P295">
        <v>45.367699999999999</v>
      </c>
      <c r="Q295" t="s">
        <v>352</v>
      </c>
      <c r="R295">
        <v>1</v>
      </c>
      <c r="S295">
        <v>44.910299999999999</v>
      </c>
      <c r="T295">
        <v>0.49880000000000002</v>
      </c>
      <c r="U295">
        <v>0.91700080192461864</v>
      </c>
      <c r="V295">
        <v>43.413899999999998</v>
      </c>
      <c r="W295">
        <v>43.912700000000001</v>
      </c>
      <c r="X295">
        <v>44.411499999999997</v>
      </c>
      <c r="Y295">
        <v>45.409100000000002</v>
      </c>
      <c r="Z295">
        <v>45.907899999999998</v>
      </c>
      <c r="AA295">
        <v>46.406700000000001</v>
      </c>
      <c r="AD295">
        <v>4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 t="s">
        <v>462</v>
      </c>
      <c r="AL295" t="s">
        <v>6</v>
      </c>
      <c r="AM295" t="s">
        <v>1145</v>
      </c>
      <c r="AN295" t="s">
        <v>1146</v>
      </c>
      <c r="AO295" s="100">
        <v>46262.040405092594</v>
      </c>
      <c r="AP295" t="s">
        <v>1147</v>
      </c>
      <c r="AQ295" t="s">
        <v>1801</v>
      </c>
      <c r="AR295" t="s">
        <v>1232</v>
      </c>
      <c r="AS295" t="s">
        <v>1150</v>
      </c>
      <c r="AT295" t="s">
        <v>1664</v>
      </c>
      <c r="AU295">
        <v>25</v>
      </c>
      <c r="AV295">
        <v>44.942519999999995</v>
      </c>
      <c r="AW295">
        <v>0.46959776759832833</v>
      </c>
      <c r="AX295">
        <v>1.044885261436894</v>
      </c>
      <c r="AY295">
        <v>0.3235385109073674</v>
      </c>
      <c r="AZ295">
        <v>2.0475991922782422</v>
      </c>
      <c r="BA295">
        <v>3.518531292169703</v>
      </c>
      <c r="BB295" s="97" t="s">
        <v>161</v>
      </c>
      <c r="BD295" s="98"/>
      <c r="BE295" s="98"/>
      <c r="BF295" t="s">
        <v>1152</v>
      </c>
      <c r="BG295" t="s">
        <v>322</v>
      </c>
      <c r="BH295" t="s">
        <v>1153</v>
      </c>
      <c r="BI295">
        <v>0.3235385109073674</v>
      </c>
      <c r="BJ295" t="s">
        <v>1032</v>
      </c>
      <c r="BK295">
        <v>1.9524008077217578</v>
      </c>
      <c r="BL295">
        <v>48.810020193043947</v>
      </c>
      <c r="BM295" t="s">
        <v>1260</v>
      </c>
      <c r="BN295" t="s">
        <v>1154</v>
      </c>
      <c r="BO295">
        <v>2025</v>
      </c>
      <c r="BP295" t="s">
        <v>966</v>
      </c>
      <c r="BQ295">
        <v>302129.4357621033</v>
      </c>
      <c r="BR295">
        <v>69.787056423789664</v>
      </c>
      <c r="BS295" t="s">
        <v>992</v>
      </c>
      <c r="BV295" t="s">
        <v>1034</v>
      </c>
      <c r="BW295" t="s">
        <v>943</v>
      </c>
      <c r="BX295" t="s">
        <v>994</v>
      </c>
      <c r="BY295">
        <v>2.0182858105695831</v>
      </c>
      <c r="BZ295" t="s">
        <v>1155</v>
      </c>
      <c r="CA295" t="s">
        <v>991</v>
      </c>
      <c r="CB295" t="b">
        <v>1</v>
      </c>
      <c r="CC295" t="b">
        <v>1</v>
      </c>
      <c r="CD295" t="b">
        <v>1</v>
      </c>
      <c r="CE295" t="b">
        <v>1</v>
      </c>
      <c r="CF295" t="b">
        <v>1</v>
      </c>
    </row>
    <row r="296" spans="1:84" x14ac:dyDescent="0.3">
      <c r="A296" t="s">
        <v>1802</v>
      </c>
      <c r="B296" t="s">
        <v>1234</v>
      </c>
      <c r="C296" s="98">
        <v>45796</v>
      </c>
      <c r="D296">
        <v>2025</v>
      </c>
      <c r="E296">
        <v>5</v>
      </c>
      <c r="F296">
        <v>2</v>
      </c>
      <c r="G296" t="s">
        <v>1226</v>
      </c>
      <c r="H296" t="s">
        <v>128</v>
      </c>
      <c r="I296" t="s">
        <v>128</v>
      </c>
      <c r="J296" t="s">
        <v>6</v>
      </c>
      <c r="L296">
        <v>522611</v>
      </c>
      <c r="M296" s="99" t="s">
        <v>180</v>
      </c>
      <c r="N296">
        <v>3</v>
      </c>
      <c r="O296">
        <v>20</v>
      </c>
      <c r="P296">
        <v>45.244</v>
      </c>
      <c r="Q296" t="s">
        <v>352</v>
      </c>
      <c r="R296">
        <v>1</v>
      </c>
      <c r="S296">
        <v>44.910299999999999</v>
      </c>
      <c r="T296">
        <v>0.49880000000000002</v>
      </c>
      <c r="U296">
        <v>0.66900561347233423</v>
      </c>
      <c r="V296">
        <v>43.413899999999998</v>
      </c>
      <c r="W296">
        <v>43.912700000000001</v>
      </c>
      <c r="X296">
        <v>44.411499999999997</v>
      </c>
      <c r="Y296">
        <v>45.409100000000002</v>
      </c>
      <c r="Z296">
        <v>45.907899999999998</v>
      </c>
      <c r="AA296">
        <v>46.406700000000001</v>
      </c>
      <c r="AD296">
        <v>4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 t="s">
        <v>462</v>
      </c>
      <c r="AL296" t="s">
        <v>6</v>
      </c>
      <c r="AM296" t="s">
        <v>1145</v>
      </c>
      <c r="AN296" t="s">
        <v>1146</v>
      </c>
      <c r="AO296" s="100">
        <v>46262.040405092594</v>
      </c>
      <c r="AP296" t="s">
        <v>1147</v>
      </c>
      <c r="AQ296" t="s">
        <v>1803</v>
      </c>
      <c r="AR296" t="s">
        <v>1236</v>
      </c>
      <c r="AS296" t="s">
        <v>1150</v>
      </c>
      <c r="AT296" t="s">
        <v>1664</v>
      </c>
      <c r="AU296">
        <v>25</v>
      </c>
      <c r="AV296">
        <v>44.942519999999995</v>
      </c>
      <c r="AW296">
        <v>0.46959776759832833</v>
      </c>
      <c r="AX296">
        <v>1.044885261436894</v>
      </c>
      <c r="AY296">
        <v>0.3235385109073674</v>
      </c>
      <c r="AZ296">
        <v>2.0475991922782422</v>
      </c>
      <c r="BA296">
        <v>3.518531292169703</v>
      </c>
      <c r="BB296" s="97" t="s">
        <v>161</v>
      </c>
      <c r="BD296" s="98"/>
      <c r="BE296" s="98"/>
      <c r="BF296" t="s">
        <v>1152</v>
      </c>
      <c r="BG296" t="s">
        <v>322</v>
      </c>
      <c r="BH296" t="s">
        <v>1153</v>
      </c>
      <c r="BI296">
        <v>0.3235385109073674</v>
      </c>
      <c r="BJ296" t="s">
        <v>1032</v>
      </c>
      <c r="BK296">
        <v>1.9524008077217578</v>
      </c>
      <c r="BL296">
        <v>48.810020193043947</v>
      </c>
      <c r="BM296" t="s">
        <v>1260</v>
      </c>
      <c r="BN296" t="s">
        <v>1154</v>
      </c>
      <c r="BO296">
        <v>2025</v>
      </c>
      <c r="BP296" t="s">
        <v>966</v>
      </c>
      <c r="BQ296">
        <v>302129.4357621033</v>
      </c>
      <c r="BR296">
        <v>69.787056423789664</v>
      </c>
      <c r="BS296" t="s">
        <v>992</v>
      </c>
      <c r="BV296" t="s">
        <v>1034</v>
      </c>
      <c r="BW296" t="s">
        <v>943</v>
      </c>
      <c r="BX296" t="s">
        <v>994</v>
      </c>
      <c r="BY296">
        <v>2.0182858105695831</v>
      </c>
      <c r="BZ296" t="s">
        <v>1155</v>
      </c>
      <c r="CA296" t="s">
        <v>991</v>
      </c>
      <c r="CB296" t="b">
        <v>1</v>
      </c>
      <c r="CC296" t="b">
        <v>1</v>
      </c>
      <c r="CD296" t="b">
        <v>1</v>
      </c>
      <c r="CE296" t="b">
        <v>1</v>
      </c>
      <c r="CF296" t="b">
        <v>1</v>
      </c>
    </row>
    <row r="297" spans="1:84" x14ac:dyDescent="0.3">
      <c r="A297" t="s">
        <v>1804</v>
      </c>
      <c r="B297" t="s">
        <v>1238</v>
      </c>
      <c r="C297" s="98">
        <v>45803</v>
      </c>
      <c r="D297">
        <v>2025</v>
      </c>
      <c r="E297">
        <v>5</v>
      </c>
      <c r="F297">
        <v>2</v>
      </c>
      <c r="G297" t="s">
        <v>1226</v>
      </c>
      <c r="H297" t="s">
        <v>128</v>
      </c>
      <c r="I297" t="s">
        <v>128</v>
      </c>
      <c r="J297" t="s">
        <v>6</v>
      </c>
      <c r="L297">
        <v>522611</v>
      </c>
      <c r="M297" s="99" t="s">
        <v>180</v>
      </c>
      <c r="N297">
        <v>3</v>
      </c>
      <c r="O297">
        <v>21</v>
      </c>
      <c r="P297">
        <v>44.965299999999999</v>
      </c>
      <c r="Q297" t="s">
        <v>352</v>
      </c>
      <c r="R297">
        <v>1</v>
      </c>
      <c r="S297">
        <v>44.910299999999999</v>
      </c>
      <c r="T297">
        <v>0.49880000000000002</v>
      </c>
      <c r="U297">
        <v>0.11026463512429774</v>
      </c>
      <c r="V297">
        <v>43.413899999999998</v>
      </c>
      <c r="W297">
        <v>43.912700000000001</v>
      </c>
      <c r="X297">
        <v>44.411499999999997</v>
      </c>
      <c r="Y297">
        <v>45.409100000000002</v>
      </c>
      <c r="Z297">
        <v>45.907899999999998</v>
      </c>
      <c r="AA297">
        <v>46.406700000000001</v>
      </c>
      <c r="AD297">
        <v>4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 t="s">
        <v>462</v>
      </c>
      <c r="AL297" t="s">
        <v>6</v>
      </c>
      <c r="AM297" t="s">
        <v>1145</v>
      </c>
      <c r="AN297" t="s">
        <v>1146</v>
      </c>
      <c r="AO297" s="100">
        <v>46262.040405092594</v>
      </c>
      <c r="AP297" t="s">
        <v>1147</v>
      </c>
      <c r="AQ297" t="s">
        <v>1805</v>
      </c>
      <c r="AR297" t="s">
        <v>1240</v>
      </c>
      <c r="AS297" t="s">
        <v>1150</v>
      </c>
      <c r="AT297" t="s">
        <v>1664</v>
      </c>
      <c r="AU297">
        <v>25</v>
      </c>
      <c r="AV297">
        <v>44.942519999999995</v>
      </c>
      <c r="AW297">
        <v>0.46959776759832833</v>
      </c>
      <c r="AX297">
        <v>1.044885261436894</v>
      </c>
      <c r="AY297">
        <v>0.3235385109073674</v>
      </c>
      <c r="AZ297">
        <v>2.0475991922782422</v>
      </c>
      <c r="BA297">
        <v>3.518531292169703</v>
      </c>
      <c r="BB297" s="97" t="s">
        <v>161</v>
      </c>
      <c r="BD297" s="98"/>
      <c r="BE297" s="98"/>
      <c r="BF297" t="s">
        <v>1152</v>
      </c>
      <c r="BG297" t="s">
        <v>322</v>
      </c>
      <c r="BH297" t="s">
        <v>1153</v>
      </c>
      <c r="BI297">
        <v>0.3235385109073674</v>
      </c>
      <c r="BJ297" t="s">
        <v>1032</v>
      </c>
      <c r="BK297">
        <v>1.9524008077217578</v>
      </c>
      <c r="BL297">
        <v>48.810020193043947</v>
      </c>
      <c r="BM297" t="s">
        <v>1260</v>
      </c>
      <c r="BN297" t="s">
        <v>1154</v>
      </c>
      <c r="BO297">
        <v>2025</v>
      </c>
      <c r="BP297" t="s">
        <v>966</v>
      </c>
      <c r="BQ297">
        <v>302129.4357621033</v>
      </c>
      <c r="BR297">
        <v>69.787056423789664</v>
      </c>
      <c r="BS297" t="s">
        <v>992</v>
      </c>
      <c r="BV297" t="s">
        <v>1034</v>
      </c>
      <c r="BW297" t="s">
        <v>943</v>
      </c>
      <c r="BX297" t="s">
        <v>994</v>
      </c>
      <c r="BY297">
        <v>2.0182858105695831</v>
      </c>
      <c r="BZ297" t="s">
        <v>1155</v>
      </c>
      <c r="CA297" t="s">
        <v>991</v>
      </c>
      <c r="CB297" t="b">
        <v>1</v>
      </c>
      <c r="CC297" t="b">
        <v>1</v>
      </c>
      <c r="CD297" t="b">
        <v>1</v>
      </c>
      <c r="CE297" t="b">
        <v>1</v>
      </c>
      <c r="CF297" t="b">
        <v>1</v>
      </c>
    </row>
    <row r="298" spans="1:84" x14ac:dyDescent="0.3">
      <c r="A298" t="s">
        <v>1806</v>
      </c>
      <c r="B298" t="s">
        <v>1242</v>
      </c>
      <c r="C298" s="98">
        <v>45810</v>
      </c>
      <c r="D298">
        <v>2025</v>
      </c>
      <c r="E298">
        <v>6</v>
      </c>
      <c r="F298">
        <v>2</v>
      </c>
      <c r="G298" t="s">
        <v>1243</v>
      </c>
      <c r="H298" t="s">
        <v>128</v>
      </c>
      <c r="I298" t="s">
        <v>128</v>
      </c>
      <c r="J298" t="s">
        <v>6</v>
      </c>
      <c r="L298">
        <v>522611</v>
      </c>
      <c r="M298" s="99" t="s">
        <v>180</v>
      </c>
      <c r="N298">
        <v>3</v>
      </c>
      <c r="O298">
        <v>22</v>
      </c>
      <c r="P298">
        <v>45.017800000000001</v>
      </c>
      <c r="Q298" t="s">
        <v>352</v>
      </c>
      <c r="R298">
        <v>1</v>
      </c>
      <c r="S298">
        <v>44.910299999999999</v>
      </c>
      <c r="T298">
        <v>0.49880000000000002</v>
      </c>
      <c r="U298">
        <v>0.21551724137931375</v>
      </c>
      <c r="V298">
        <v>43.413899999999998</v>
      </c>
      <c r="W298">
        <v>43.912700000000001</v>
      </c>
      <c r="X298">
        <v>44.411499999999997</v>
      </c>
      <c r="Y298">
        <v>45.409100000000002</v>
      </c>
      <c r="Z298">
        <v>45.907899999999998</v>
      </c>
      <c r="AA298">
        <v>46.406700000000001</v>
      </c>
      <c r="AD298">
        <v>4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 t="s">
        <v>462</v>
      </c>
      <c r="AL298" t="s">
        <v>6</v>
      </c>
      <c r="AM298" t="s">
        <v>1145</v>
      </c>
      <c r="AN298" t="s">
        <v>1146</v>
      </c>
      <c r="AO298" s="100">
        <v>46262.040405092594</v>
      </c>
      <c r="AP298" t="s">
        <v>1147</v>
      </c>
      <c r="AQ298" t="s">
        <v>1807</v>
      </c>
      <c r="AR298" t="s">
        <v>1245</v>
      </c>
      <c r="AS298" t="s">
        <v>1150</v>
      </c>
      <c r="AT298" t="s">
        <v>1664</v>
      </c>
      <c r="AU298">
        <v>25</v>
      </c>
      <c r="AV298">
        <v>44.942519999999995</v>
      </c>
      <c r="AW298">
        <v>0.46959776759832833</v>
      </c>
      <c r="AX298">
        <v>1.044885261436894</v>
      </c>
      <c r="AY298">
        <v>0.3235385109073674</v>
      </c>
      <c r="AZ298">
        <v>2.0475991922782422</v>
      </c>
      <c r="BA298">
        <v>3.518531292169703</v>
      </c>
      <c r="BB298" s="97" t="s">
        <v>161</v>
      </c>
      <c r="BD298" s="98"/>
      <c r="BE298" s="98"/>
      <c r="BF298" t="s">
        <v>1152</v>
      </c>
      <c r="BG298" t="s">
        <v>322</v>
      </c>
      <c r="BH298" t="s">
        <v>1153</v>
      </c>
      <c r="BI298">
        <v>0.3235385109073674</v>
      </c>
      <c r="BJ298" t="s">
        <v>1032</v>
      </c>
      <c r="BK298">
        <v>1.9524008077217578</v>
      </c>
      <c r="BL298">
        <v>48.810020193043947</v>
      </c>
      <c r="BM298" t="s">
        <v>1260</v>
      </c>
      <c r="BN298" t="s">
        <v>1154</v>
      </c>
      <c r="BO298">
        <v>2025</v>
      </c>
      <c r="BP298" t="s">
        <v>966</v>
      </c>
      <c r="BQ298">
        <v>302129.4357621033</v>
      </c>
      <c r="BR298">
        <v>69.787056423789664</v>
      </c>
      <c r="BS298" t="s">
        <v>992</v>
      </c>
      <c r="BV298" t="s">
        <v>1034</v>
      </c>
      <c r="BW298" t="s">
        <v>943</v>
      </c>
      <c r="BX298" t="s">
        <v>994</v>
      </c>
      <c r="BY298">
        <v>2.0182858105695831</v>
      </c>
      <c r="BZ298" t="s">
        <v>1155</v>
      </c>
      <c r="CA298" t="s">
        <v>991</v>
      </c>
      <c r="CB298" t="b">
        <v>1</v>
      </c>
      <c r="CC298" t="b">
        <v>1</v>
      </c>
      <c r="CD298" t="b">
        <v>1</v>
      </c>
      <c r="CE298" t="b">
        <v>1</v>
      </c>
      <c r="CF298" t="b">
        <v>1</v>
      </c>
    </row>
    <row r="299" spans="1:84" x14ac:dyDescent="0.3">
      <c r="A299" t="s">
        <v>1808</v>
      </c>
      <c r="B299" t="s">
        <v>1247</v>
      </c>
      <c r="C299" s="98">
        <v>45817</v>
      </c>
      <c r="D299">
        <v>2025</v>
      </c>
      <c r="E299">
        <v>6</v>
      </c>
      <c r="F299">
        <v>2</v>
      </c>
      <c r="G299" t="s">
        <v>1243</v>
      </c>
      <c r="H299" t="s">
        <v>128</v>
      </c>
      <c r="I299" t="s">
        <v>128</v>
      </c>
      <c r="J299" t="s">
        <v>6</v>
      </c>
      <c r="L299">
        <v>522611</v>
      </c>
      <c r="M299" s="99" t="s">
        <v>180</v>
      </c>
      <c r="N299">
        <v>3</v>
      </c>
      <c r="O299">
        <v>23</v>
      </c>
      <c r="P299">
        <v>44.784599999999998</v>
      </c>
      <c r="Q299" t="s">
        <v>352</v>
      </c>
      <c r="R299">
        <v>1</v>
      </c>
      <c r="S299">
        <v>44.910299999999999</v>
      </c>
      <c r="T299">
        <v>0.49880000000000002</v>
      </c>
      <c r="U299">
        <v>-0.25200481154771837</v>
      </c>
      <c r="V299">
        <v>43.413899999999998</v>
      </c>
      <c r="W299">
        <v>43.912700000000001</v>
      </c>
      <c r="X299">
        <v>44.411499999999997</v>
      </c>
      <c r="Y299">
        <v>45.409100000000002</v>
      </c>
      <c r="Z299">
        <v>45.907899999999998</v>
      </c>
      <c r="AA299">
        <v>46.406700000000001</v>
      </c>
      <c r="AD299">
        <v>4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 t="s">
        <v>462</v>
      </c>
      <c r="AL299" t="s">
        <v>6</v>
      </c>
      <c r="AM299" t="s">
        <v>1145</v>
      </c>
      <c r="AN299" t="s">
        <v>1146</v>
      </c>
      <c r="AO299" s="100">
        <v>46262.040405092594</v>
      </c>
      <c r="AP299" t="s">
        <v>1147</v>
      </c>
      <c r="AQ299" t="s">
        <v>1809</v>
      </c>
      <c r="AR299" t="s">
        <v>1249</v>
      </c>
      <c r="AS299" t="s">
        <v>1150</v>
      </c>
      <c r="AT299" t="s">
        <v>1664</v>
      </c>
      <c r="AU299">
        <v>25</v>
      </c>
      <c r="AV299">
        <v>44.942519999999995</v>
      </c>
      <c r="AW299">
        <v>0.46959776759832833</v>
      </c>
      <c r="AX299">
        <v>1.044885261436894</v>
      </c>
      <c r="AY299">
        <v>0.3235385109073674</v>
      </c>
      <c r="AZ299">
        <v>2.0475991922782422</v>
      </c>
      <c r="BA299">
        <v>3.518531292169703</v>
      </c>
      <c r="BB299" s="97" t="s">
        <v>161</v>
      </c>
      <c r="BD299" s="98"/>
      <c r="BE299" s="98"/>
      <c r="BF299" t="s">
        <v>1152</v>
      </c>
      <c r="BG299" t="s">
        <v>322</v>
      </c>
      <c r="BH299" t="s">
        <v>1153</v>
      </c>
      <c r="BI299">
        <v>0.3235385109073674</v>
      </c>
      <c r="BJ299" t="s">
        <v>1032</v>
      </c>
      <c r="BK299">
        <v>1.9524008077217578</v>
      </c>
      <c r="BL299">
        <v>48.810020193043947</v>
      </c>
      <c r="BM299" t="s">
        <v>1260</v>
      </c>
      <c r="BN299" t="s">
        <v>1154</v>
      </c>
      <c r="BO299">
        <v>2025</v>
      </c>
      <c r="BP299" t="s">
        <v>966</v>
      </c>
      <c r="BQ299">
        <v>302129.4357621033</v>
      </c>
      <c r="BR299">
        <v>69.787056423789664</v>
      </c>
      <c r="BS299" t="s">
        <v>992</v>
      </c>
      <c r="BV299" t="s">
        <v>1034</v>
      </c>
      <c r="BW299" t="s">
        <v>943</v>
      </c>
      <c r="BX299" t="s">
        <v>994</v>
      </c>
      <c r="BY299">
        <v>2.0182858105695831</v>
      </c>
      <c r="BZ299" t="s">
        <v>1155</v>
      </c>
      <c r="CA299" t="s">
        <v>991</v>
      </c>
      <c r="CB299" t="b">
        <v>1</v>
      </c>
      <c r="CC299" t="b">
        <v>1</v>
      </c>
      <c r="CD299" t="b">
        <v>1</v>
      </c>
      <c r="CE299" t="b">
        <v>1</v>
      </c>
      <c r="CF299" t="b">
        <v>1</v>
      </c>
    </row>
    <row r="300" spans="1:84" x14ac:dyDescent="0.3">
      <c r="A300" t="s">
        <v>1810</v>
      </c>
      <c r="B300" t="s">
        <v>1251</v>
      </c>
      <c r="C300" s="98">
        <v>45824</v>
      </c>
      <c r="D300">
        <v>2025</v>
      </c>
      <c r="E300">
        <v>6</v>
      </c>
      <c r="F300">
        <v>2</v>
      </c>
      <c r="G300" t="s">
        <v>1243</v>
      </c>
      <c r="H300" t="s">
        <v>128</v>
      </c>
      <c r="I300" t="s">
        <v>128</v>
      </c>
      <c r="J300" t="s">
        <v>6</v>
      </c>
      <c r="L300">
        <v>522611</v>
      </c>
      <c r="M300" s="99" t="s">
        <v>180</v>
      </c>
      <c r="N300">
        <v>3</v>
      </c>
      <c r="O300">
        <v>24</v>
      </c>
      <c r="P300">
        <v>44.808799999999998</v>
      </c>
      <c r="Q300" t="s">
        <v>352</v>
      </c>
      <c r="R300">
        <v>1</v>
      </c>
      <c r="S300">
        <v>44.910299999999999</v>
      </c>
      <c r="T300">
        <v>0.49880000000000002</v>
      </c>
      <c r="U300">
        <v>-0.2034883720930262</v>
      </c>
      <c r="V300">
        <v>43.413899999999998</v>
      </c>
      <c r="W300">
        <v>43.912700000000001</v>
      </c>
      <c r="X300">
        <v>44.411499999999997</v>
      </c>
      <c r="Y300">
        <v>45.409100000000002</v>
      </c>
      <c r="Z300">
        <v>45.907899999999998</v>
      </c>
      <c r="AA300">
        <v>46.406700000000001</v>
      </c>
      <c r="AD300">
        <v>4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 t="s">
        <v>462</v>
      </c>
      <c r="AL300" t="s">
        <v>6</v>
      </c>
      <c r="AM300" t="s">
        <v>1145</v>
      </c>
      <c r="AN300" t="s">
        <v>1146</v>
      </c>
      <c r="AO300" s="100">
        <v>46262.040405092594</v>
      </c>
      <c r="AP300" t="s">
        <v>1147</v>
      </c>
      <c r="AQ300" t="s">
        <v>1811</v>
      </c>
      <c r="AR300" t="s">
        <v>1253</v>
      </c>
      <c r="AS300" t="s">
        <v>1150</v>
      </c>
      <c r="AT300" t="s">
        <v>1664</v>
      </c>
      <c r="AU300">
        <v>25</v>
      </c>
      <c r="AV300">
        <v>44.942519999999995</v>
      </c>
      <c r="AW300">
        <v>0.46959776759832833</v>
      </c>
      <c r="AX300">
        <v>1.044885261436894</v>
      </c>
      <c r="AY300">
        <v>0.3235385109073674</v>
      </c>
      <c r="AZ300">
        <v>2.0475991922782422</v>
      </c>
      <c r="BA300">
        <v>3.518531292169703</v>
      </c>
      <c r="BB300" s="97" t="s">
        <v>161</v>
      </c>
      <c r="BD300" s="98"/>
      <c r="BE300" s="98"/>
      <c r="BF300" t="s">
        <v>1152</v>
      </c>
      <c r="BG300" t="s">
        <v>322</v>
      </c>
      <c r="BH300" t="s">
        <v>1153</v>
      </c>
      <c r="BI300">
        <v>0.3235385109073674</v>
      </c>
      <c r="BJ300" t="s">
        <v>1032</v>
      </c>
      <c r="BK300">
        <v>1.9524008077217578</v>
      </c>
      <c r="BL300">
        <v>48.810020193043947</v>
      </c>
      <c r="BM300" t="s">
        <v>1260</v>
      </c>
      <c r="BN300" t="s">
        <v>1154</v>
      </c>
      <c r="BO300">
        <v>2025</v>
      </c>
      <c r="BP300" t="s">
        <v>966</v>
      </c>
      <c r="BQ300">
        <v>302129.4357621033</v>
      </c>
      <c r="BR300">
        <v>69.787056423789664</v>
      </c>
      <c r="BS300" t="s">
        <v>992</v>
      </c>
      <c r="BV300" t="s">
        <v>1034</v>
      </c>
      <c r="BW300" t="s">
        <v>943</v>
      </c>
      <c r="BX300" t="s">
        <v>994</v>
      </c>
      <c r="BY300">
        <v>2.0182858105695831</v>
      </c>
      <c r="BZ300" t="s">
        <v>1155</v>
      </c>
      <c r="CA300" t="s">
        <v>991</v>
      </c>
      <c r="CB300" t="b">
        <v>1</v>
      </c>
      <c r="CC300" t="b">
        <v>1</v>
      </c>
      <c r="CD300" t="b">
        <v>1</v>
      </c>
      <c r="CE300" t="b">
        <v>1</v>
      </c>
      <c r="CF300" t="b">
        <v>1</v>
      </c>
    </row>
    <row r="301" spans="1:84" x14ac:dyDescent="0.3">
      <c r="A301" t="s">
        <v>1812</v>
      </c>
      <c r="B301" t="s">
        <v>1255</v>
      </c>
      <c r="C301" s="98">
        <v>45831</v>
      </c>
      <c r="D301">
        <v>2025</v>
      </c>
      <c r="E301">
        <v>6</v>
      </c>
      <c r="F301">
        <v>2</v>
      </c>
      <c r="G301" t="s">
        <v>1243</v>
      </c>
      <c r="H301" t="s">
        <v>128</v>
      </c>
      <c r="I301" t="s">
        <v>128</v>
      </c>
      <c r="J301" t="s">
        <v>6</v>
      </c>
      <c r="L301">
        <v>522611</v>
      </c>
      <c r="M301" s="99" t="s">
        <v>180</v>
      </c>
      <c r="N301">
        <v>3</v>
      </c>
      <c r="O301">
        <v>25</v>
      </c>
      <c r="P301">
        <v>44.937399999999997</v>
      </c>
      <c r="Q301" t="s">
        <v>352</v>
      </c>
      <c r="R301">
        <v>1</v>
      </c>
      <c r="S301">
        <v>44.910299999999999</v>
      </c>
      <c r="T301">
        <v>0.49880000000000002</v>
      </c>
      <c r="U301">
        <v>5.4330392943057811E-2</v>
      </c>
      <c r="V301">
        <v>43.413899999999998</v>
      </c>
      <c r="W301">
        <v>43.912700000000001</v>
      </c>
      <c r="X301">
        <v>44.411499999999997</v>
      </c>
      <c r="Y301">
        <v>45.409100000000002</v>
      </c>
      <c r="Z301">
        <v>45.907899999999998</v>
      </c>
      <c r="AA301">
        <v>46.406700000000001</v>
      </c>
      <c r="AD301">
        <v>4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 t="s">
        <v>462</v>
      </c>
      <c r="AL301" t="s">
        <v>6</v>
      </c>
      <c r="AM301" t="s">
        <v>1145</v>
      </c>
      <c r="AN301" t="s">
        <v>1146</v>
      </c>
      <c r="AO301" s="100">
        <v>46262.040405092594</v>
      </c>
      <c r="AP301" t="s">
        <v>1147</v>
      </c>
      <c r="AQ301" t="s">
        <v>1813</v>
      </c>
      <c r="AR301" t="s">
        <v>1257</v>
      </c>
      <c r="AS301" t="s">
        <v>1150</v>
      </c>
      <c r="AT301" t="s">
        <v>1664</v>
      </c>
      <c r="AU301">
        <v>25</v>
      </c>
      <c r="AV301">
        <v>44.942519999999995</v>
      </c>
      <c r="AW301">
        <v>0.46959776759832833</v>
      </c>
      <c r="AX301">
        <v>1.044885261436894</v>
      </c>
      <c r="AY301">
        <v>0.3235385109073674</v>
      </c>
      <c r="AZ301">
        <v>2.0475991922782422</v>
      </c>
      <c r="BA301">
        <v>3.518531292169703</v>
      </c>
      <c r="BB301" s="97" t="s">
        <v>161</v>
      </c>
      <c r="BD301" s="98"/>
      <c r="BE301" s="98"/>
      <c r="BF301" t="s">
        <v>1152</v>
      </c>
      <c r="BG301" t="s">
        <v>322</v>
      </c>
      <c r="BH301" t="s">
        <v>1153</v>
      </c>
      <c r="BI301">
        <v>0.3235385109073674</v>
      </c>
      <c r="BJ301" t="s">
        <v>1032</v>
      </c>
      <c r="BK301">
        <v>1.9524008077217578</v>
      </c>
      <c r="BL301">
        <v>48.810020193043947</v>
      </c>
      <c r="BM301" t="s">
        <v>1260</v>
      </c>
      <c r="BN301" t="s">
        <v>1154</v>
      </c>
      <c r="BO301">
        <v>2025</v>
      </c>
      <c r="BP301" t="s">
        <v>966</v>
      </c>
      <c r="BQ301">
        <v>302129.4357621033</v>
      </c>
      <c r="BR301">
        <v>69.787056423789664</v>
      </c>
      <c r="BS301" t="s">
        <v>992</v>
      </c>
      <c r="BV301" t="s">
        <v>1034</v>
      </c>
      <c r="BW301" t="s">
        <v>943</v>
      </c>
      <c r="BX301" t="s">
        <v>994</v>
      </c>
      <c r="BY301">
        <v>2.0182858105695831</v>
      </c>
      <c r="BZ301" t="s">
        <v>1155</v>
      </c>
      <c r="CA301" t="s">
        <v>991</v>
      </c>
      <c r="CB301" t="b">
        <v>1</v>
      </c>
      <c r="CC301" t="b">
        <v>1</v>
      </c>
      <c r="CD301" t="b">
        <v>1</v>
      </c>
      <c r="CE301" t="b">
        <v>1</v>
      </c>
      <c r="CF301" t="b">
        <v>1</v>
      </c>
    </row>
    <row r="302" spans="1:84" x14ac:dyDescent="0.3">
      <c r="A302" t="s">
        <v>1814</v>
      </c>
      <c r="B302" t="s">
        <v>1143</v>
      </c>
      <c r="C302" s="98">
        <v>45663</v>
      </c>
      <c r="D302">
        <v>2025</v>
      </c>
      <c r="E302">
        <v>1</v>
      </c>
      <c r="F302">
        <v>1</v>
      </c>
      <c r="G302" t="s">
        <v>1144</v>
      </c>
      <c r="H302" t="s">
        <v>129</v>
      </c>
      <c r="I302" t="s">
        <v>129</v>
      </c>
      <c r="J302" t="s">
        <v>6</v>
      </c>
      <c r="L302">
        <v>522611</v>
      </c>
      <c r="M302" s="99" t="s">
        <v>178</v>
      </c>
      <c r="N302">
        <v>1</v>
      </c>
      <c r="O302">
        <v>1</v>
      </c>
      <c r="P302">
        <v>73.509900000000002</v>
      </c>
      <c r="Q302" t="s">
        <v>352</v>
      </c>
      <c r="R302">
        <v>1</v>
      </c>
      <c r="S302">
        <v>72.148300000000006</v>
      </c>
      <c r="T302">
        <v>0.90059999999999996</v>
      </c>
      <c r="U302">
        <v>1.5118809682433887</v>
      </c>
      <c r="V302">
        <v>69.4465</v>
      </c>
      <c r="W302">
        <v>70.347100000000012</v>
      </c>
      <c r="X302">
        <v>71.247700000000009</v>
      </c>
      <c r="Y302">
        <v>73.048900000000003</v>
      </c>
      <c r="Z302">
        <v>73.9495</v>
      </c>
      <c r="AA302">
        <v>74.850100000000012</v>
      </c>
      <c r="AD302">
        <v>2.4095619923060774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 t="s">
        <v>462</v>
      </c>
      <c r="AL302" t="s">
        <v>6</v>
      </c>
      <c r="AM302" t="s">
        <v>1145</v>
      </c>
      <c r="AN302" t="s">
        <v>1146</v>
      </c>
      <c r="AO302" s="100">
        <v>46262.040405092594</v>
      </c>
      <c r="AP302" t="s">
        <v>1147</v>
      </c>
      <c r="AQ302" t="s">
        <v>1815</v>
      </c>
      <c r="AR302" t="s">
        <v>1149</v>
      </c>
      <c r="AS302" t="s">
        <v>1150</v>
      </c>
      <c r="AT302" t="s">
        <v>1816</v>
      </c>
      <c r="AU302">
        <v>25</v>
      </c>
      <c r="AV302">
        <v>72.155820000000006</v>
      </c>
      <c r="AW302">
        <v>0.74372419675127821</v>
      </c>
      <c r="AX302">
        <v>1.0307196242122647</v>
      </c>
      <c r="AY302">
        <v>-1.2048563495588844</v>
      </c>
      <c r="AZ302">
        <v>2.9055437295091213</v>
      </c>
      <c r="BA302">
        <v>1.1688005296958408</v>
      </c>
      <c r="BB302" t="s">
        <v>4619</v>
      </c>
      <c r="BD302" s="98"/>
      <c r="BE302" s="98"/>
      <c r="BF302" t="s">
        <v>1152</v>
      </c>
      <c r="BG302" t="s">
        <v>322</v>
      </c>
      <c r="BH302" t="s">
        <v>1153</v>
      </c>
      <c r="BI302">
        <v>1.2048563495588844</v>
      </c>
      <c r="BJ302" t="s">
        <v>991</v>
      </c>
      <c r="BK302">
        <v>-0.49598173720304395</v>
      </c>
      <c r="BL302">
        <v>-20.583896110029666</v>
      </c>
      <c r="BM302" t="s">
        <v>1021</v>
      </c>
      <c r="BN302" t="s">
        <v>1154</v>
      </c>
      <c r="BO302">
        <v>2025</v>
      </c>
      <c r="BP302" t="s">
        <v>966</v>
      </c>
      <c r="BQ302">
        <v>629753.08985003456</v>
      </c>
      <c r="BR302">
        <v>37.024691014996542</v>
      </c>
      <c r="BS302" t="s">
        <v>992</v>
      </c>
      <c r="BV302" t="s">
        <v>1034</v>
      </c>
      <c r="BW302" t="s">
        <v>943</v>
      </c>
      <c r="BX302" t="s">
        <v>994</v>
      </c>
      <c r="BY302">
        <v>1.1688005296958408</v>
      </c>
      <c r="BZ302" t="s">
        <v>1155</v>
      </c>
      <c r="CA302" t="s">
        <v>991</v>
      </c>
      <c r="CB302" t="b">
        <v>1</v>
      </c>
      <c r="CC302" t="b">
        <v>1</v>
      </c>
      <c r="CD302" t="b">
        <v>1</v>
      </c>
      <c r="CE302" t="b">
        <v>1</v>
      </c>
      <c r="CF302" t="b">
        <v>1</v>
      </c>
    </row>
    <row r="303" spans="1:84" x14ac:dyDescent="0.3">
      <c r="A303" t="s">
        <v>1817</v>
      </c>
      <c r="B303" t="s">
        <v>1157</v>
      </c>
      <c r="C303" s="98">
        <v>45670</v>
      </c>
      <c r="D303">
        <v>2025</v>
      </c>
      <c r="E303">
        <v>1</v>
      </c>
      <c r="F303">
        <v>1</v>
      </c>
      <c r="G303" t="s">
        <v>1144</v>
      </c>
      <c r="H303" t="s">
        <v>129</v>
      </c>
      <c r="I303" t="s">
        <v>129</v>
      </c>
      <c r="J303" t="s">
        <v>6</v>
      </c>
      <c r="L303">
        <v>522611</v>
      </c>
      <c r="M303" s="99" t="s">
        <v>178</v>
      </c>
      <c r="N303">
        <v>1</v>
      </c>
      <c r="O303">
        <v>2</v>
      </c>
      <c r="P303">
        <v>72.648799999999994</v>
      </c>
      <c r="Q303" t="s">
        <v>352</v>
      </c>
      <c r="R303">
        <v>1</v>
      </c>
      <c r="S303">
        <v>72.148300000000006</v>
      </c>
      <c r="T303">
        <v>0.90059999999999996</v>
      </c>
      <c r="U303">
        <v>0.55574061736618718</v>
      </c>
      <c r="V303">
        <v>69.4465</v>
      </c>
      <c r="W303">
        <v>70.347100000000012</v>
      </c>
      <c r="X303">
        <v>71.247700000000009</v>
      </c>
      <c r="Y303">
        <v>73.048900000000003</v>
      </c>
      <c r="Z303">
        <v>73.9495</v>
      </c>
      <c r="AA303">
        <v>74.850100000000012</v>
      </c>
      <c r="AD303">
        <v>2.4095619923060774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 t="s">
        <v>462</v>
      </c>
      <c r="AL303" t="s">
        <v>6</v>
      </c>
      <c r="AM303" t="s">
        <v>1145</v>
      </c>
      <c r="AN303" t="s">
        <v>1146</v>
      </c>
      <c r="AO303" s="100">
        <v>46262.040405092594</v>
      </c>
      <c r="AP303" t="s">
        <v>1147</v>
      </c>
      <c r="AQ303" t="s">
        <v>1818</v>
      </c>
      <c r="AR303" t="s">
        <v>1159</v>
      </c>
      <c r="AS303" t="s">
        <v>1150</v>
      </c>
      <c r="AT303" t="s">
        <v>1816</v>
      </c>
      <c r="AU303">
        <v>25</v>
      </c>
      <c r="AV303">
        <v>72.155820000000006</v>
      </c>
      <c r="AW303">
        <v>0.74372419675127821</v>
      </c>
      <c r="AX303">
        <v>1.0307196242122647</v>
      </c>
      <c r="AY303">
        <v>-1.2048563495588844</v>
      </c>
      <c r="AZ303">
        <v>2.9055437295091213</v>
      </c>
      <c r="BA303">
        <v>1.1688005296958408</v>
      </c>
      <c r="BB303" t="s">
        <v>4619</v>
      </c>
      <c r="BD303" s="98"/>
      <c r="BE303" s="98"/>
      <c r="BF303" t="s">
        <v>1152</v>
      </c>
      <c r="BG303" t="s">
        <v>322</v>
      </c>
      <c r="BH303" t="s">
        <v>1153</v>
      </c>
      <c r="BI303">
        <v>1.2048563495588844</v>
      </c>
      <c r="BJ303" t="s">
        <v>991</v>
      </c>
      <c r="BK303">
        <v>-0.49598173720304395</v>
      </c>
      <c r="BL303">
        <v>-20.583896110029666</v>
      </c>
      <c r="BM303" t="s">
        <v>1021</v>
      </c>
      <c r="BN303" t="s">
        <v>1154</v>
      </c>
      <c r="BO303">
        <v>2025</v>
      </c>
      <c r="BP303" t="s">
        <v>966</v>
      </c>
      <c r="BQ303">
        <v>629753.08985003456</v>
      </c>
      <c r="BR303">
        <v>37.024691014996542</v>
      </c>
      <c r="BS303" t="s">
        <v>992</v>
      </c>
      <c r="BV303" t="s">
        <v>1034</v>
      </c>
      <c r="BW303" t="s">
        <v>943</v>
      </c>
      <c r="BX303" t="s">
        <v>994</v>
      </c>
      <c r="BY303">
        <v>1.1688005296958408</v>
      </c>
      <c r="BZ303" t="s">
        <v>1155</v>
      </c>
      <c r="CA303" t="s">
        <v>991</v>
      </c>
      <c r="CB303" t="b">
        <v>1</v>
      </c>
      <c r="CC303" t="b">
        <v>1</v>
      </c>
      <c r="CD303" t="b">
        <v>1</v>
      </c>
      <c r="CE303" t="b">
        <v>1</v>
      </c>
      <c r="CF303" t="b">
        <v>1</v>
      </c>
    </row>
    <row r="304" spans="1:84" x14ac:dyDescent="0.3">
      <c r="A304" t="s">
        <v>1819</v>
      </c>
      <c r="B304" t="s">
        <v>1161</v>
      </c>
      <c r="C304" s="98">
        <v>45677</v>
      </c>
      <c r="D304">
        <v>2025</v>
      </c>
      <c r="E304">
        <v>1</v>
      </c>
      <c r="F304">
        <v>1</v>
      </c>
      <c r="G304" t="s">
        <v>1144</v>
      </c>
      <c r="H304" t="s">
        <v>129</v>
      </c>
      <c r="I304" t="s">
        <v>129</v>
      </c>
      <c r="J304" t="s">
        <v>6</v>
      </c>
      <c r="L304">
        <v>522611</v>
      </c>
      <c r="M304" s="99" t="s">
        <v>178</v>
      </c>
      <c r="N304">
        <v>1</v>
      </c>
      <c r="O304">
        <v>3</v>
      </c>
      <c r="P304">
        <v>72.095600000000005</v>
      </c>
      <c r="Q304" t="s">
        <v>352</v>
      </c>
      <c r="R304">
        <v>1</v>
      </c>
      <c r="S304">
        <v>72.148300000000006</v>
      </c>
      <c r="T304">
        <v>0.90059999999999996</v>
      </c>
      <c r="U304">
        <v>-5.8516544525873335E-2</v>
      </c>
      <c r="V304">
        <v>69.4465</v>
      </c>
      <c r="W304">
        <v>70.347100000000012</v>
      </c>
      <c r="X304">
        <v>71.247700000000009</v>
      </c>
      <c r="Y304">
        <v>73.048900000000003</v>
      </c>
      <c r="Z304">
        <v>73.9495</v>
      </c>
      <c r="AA304">
        <v>74.850100000000012</v>
      </c>
      <c r="AD304">
        <v>2.4095619923060774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 t="s">
        <v>462</v>
      </c>
      <c r="AL304" t="s">
        <v>6</v>
      </c>
      <c r="AM304" t="s">
        <v>1145</v>
      </c>
      <c r="AN304" t="s">
        <v>1146</v>
      </c>
      <c r="AO304" s="100">
        <v>46262.040405092594</v>
      </c>
      <c r="AP304" t="s">
        <v>1147</v>
      </c>
      <c r="AQ304" t="s">
        <v>1820</v>
      </c>
      <c r="AR304" t="s">
        <v>1163</v>
      </c>
      <c r="AS304" t="s">
        <v>1150</v>
      </c>
      <c r="AT304" t="s">
        <v>1816</v>
      </c>
      <c r="AU304">
        <v>25</v>
      </c>
      <c r="AV304">
        <v>72.155820000000006</v>
      </c>
      <c r="AW304">
        <v>0.74372419675127821</v>
      </c>
      <c r="AX304">
        <v>1.0307196242122647</v>
      </c>
      <c r="AY304">
        <v>-1.2048563495588844</v>
      </c>
      <c r="AZ304">
        <v>2.9055437295091213</v>
      </c>
      <c r="BA304">
        <v>1.1688005296958408</v>
      </c>
      <c r="BB304" t="s">
        <v>4619</v>
      </c>
      <c r="BD304" s="98"/>
      <c r="BE304" s="98"/>
      <c r="BF304" t="s">
        <v>1152</v>
      </c>
      <c r="BG304" t="s">
        <v>322</v>
      </c>
      <c r="BH304" t="s">
        <v>1153</v>
      </c>
      <c r="BI304">
        <v>1.2048563495588844</v>
      </c>
      <c r="BJ304" t="s">
        <v>991</v>
      </c>
      <c r="BK304">
        <v>-0.49598173720304395</v>
      </c>
      <c r="BL304">
        <v>-20.583896110029666</v>
      </c>
      <c r="BM304" t="s">
        <v>1021</v>
      </c>
      <c r="BN304" t="s">
        <v>1154</v>
      </c>
      <c r="BO304">
        <v>2025</v>
      </c>
      <c r="BP304" t="s">
        <v>966</v>
      </c>
      <c r="BQ304">
        <v>629753.08985003456</v>
      </c>
      <c r="BR304">
        <v>37.024691014996542</v>
      </c>
      <c r="BS304" t="s">
        <v>992</v>
      </c>
      <c r="BV304" t="s">
        <v>1034</v>
      </c>
      <c r="BW304" t="s">
        <v>943</v>
      </c>
      <c r="BX304" t="s">
        <v>994</v>
      </c>
      <c r="BY304">
        <v>1.1688005296958408</v>
      </c>
      <c r="BZ304" t="s">
        <v>1155</v>
      </c>
      <c r="CA304" t="s">
        <v>991</v>
      </c>
      <c r="CB304" t="b">
        <v>1</v>
      </c>
      <c r="CC304" t="b">
        <v>1</v>
      </c>
      <c r="CD304" t="b">
        <v>1</v>
      </c>
      <c r="CE304" t="b">
        <v>1</v>
      </c>
      <c r="CF304" t="b">
        <v>1</v>
      </c>
    </row>
    <row r="305" spans="1:84" x14ac:dyDescent="0.3">
      <c r="A305" t="s">
        <v>1821</v>
      </c>
      <c r="B305" t="s">
        <v>1165</v>
      </c>
      <c r="C305" s="98">
        <v>45684</v>
      </c>
      <c r="D305">
        <v>2025</v>
      </c>
      <c r="E305">
        <v>1</v>
      </c>
      <c r="F305">
        <v>1</v>
      </c>
      <c r="G305" t="s">
        <v>1144</v>
      </c>
      <c r="H305" t="s">
        <v>129</v>
      </c>
      <c r="I305" t="s">
        <v>129</v>
      </c>
      <c r="J305" t="s">
        <v>6</v>
      </c>
      <c r="L305">
        <v>522611</v>
      </c>
      <c r="M305" s="99" t="s">
        <v>178</v>
      </c>
      <c r="N305">
        <v>1</v>
      </c>
      <c r="O305">
        <v>4</v>
      </c>
      <c r="P305">
        <v>71.626499999999993</v>
      </c>
      <c r="Q305" t="s">
        <v>352</v>
      </c>
      <c r="R305">
        <v>1</v>
      </c>
      <c r="S305">
        <v>72.148300000000006</v>
      </c>
      <c r="T305">
        <v>0.90059999999999996</v>
      </c>
      <c r="U305">
        <v>-0.57939151676661471</v>
      </c>
      <c r="V305">
        <v>69.4465</v>
      </c>
      <c r="W305">
        <v>70.347100000000012</v>
      </c>
      <c r="X305">
        <v>71.247700000000009</v>
      </c>
      <c r="Y305">
        <v>73.048900000000003</v>
      </c>
      <c r="Z305">
        <v>73.9495</v>
      </c>
      <c r="AA305">
        <v>74.850100000000012</v>
      </c>
      <c r="AD305">
        <v>2.4095619923060774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 t="s">
        <v>462</v>
      </c>
      <c r="AL305" t="s">
        <v>6</v>
      </c>
      <c r="AM305" t="s">
        <v>1145</v>
      </c>
      <c r="AN305" t="s">
        <v>1146</v>
      </c>
      <c r="AO305" s="100">
        <v>46262.040405092594</v>
      </c>
      <c r="AP305" t="s">
        <v>1147</v>
      </c>
      <c r="AQ305" t="s">
        <v>1822</v>
      </c>
      <c r="AR305" t="s">
        <v>1167</v>
      </c>
      <c r="AS305" t="s">
        <v>1150</v>
      </c>
      <c r="AT305" t="s">
        <v>1816</v>
      </c>
      <c r="AU305">
        <v>25</v>
      </c>
      <c r="AV305">
        <v>72.155820000000006</v>
      </c>
      <c r="AW305">
        <v>0.74372419675127821</v>
      </c>
      <c r="AX305">
        <v>1.0307196242122647</v>
      </c>
      <c r="AY305">
        <v>-1.2048563495588844</v>
      </c>
      <c r="AZ305">
        <v>2.9055437295091213</v>
      </c>
      <c r="BA305">
        <v>1.1688005296958408</v>
      </c>
      <c r="BB305" t="s">
        <v>4619</v>
      </c>
      <c r="BD305" s="98"/>
      <c r="BE305" s="98"/>
      <c r="BF305" t="s">
        <v>1152</v>
      </c>
      <c r="BG305" t="s">
        <v>322</v>
      </c>
      <c r="BH305" t="s">
        <v>1153</v>
      </c>
      <c r="BI305">
        <v>1.2048563495588844</v>
      </c>
      <c r="BJ305" t="s">
        <v>991</v>
      </c>
      <c r="BK305">
        <v>-0.49598173720304395</v>
      </c>
      <c r="BL305">
        <v>-20.583896110029666</v>
      </c>
      <c r="BM305" t="s">
        <v>1021</v>
      </c>
      <c r="BN305" t="s">
        <v>1154</v>
      </c>
      <c r="BO305">
        <v>2025</v>
      </c>
      <c r="BP305" t="s">
        <v>966</v>
      </c>
      <c r="BQ305">
        <v>629753.08985003456</v>
      </c>
      <c r="BR305">
        <v>37.024691014996542</v>
      </c>
      <c r="BS305" t="s">
        <v>992</v>
      </c>
      <c r="BV305" t="s">
        <v>1034</v>
      </c>
      <c r="BW305" t="s">
        <v>943</v>
      </c>
      <c r="BX305" t="s">
        <v>994</v>
      </c>
      <c r="BY305">
        <v>1.1688005296958408</v>
      </c>
      <c r="BZ305" t="s">
        <v>1155</v>
      </c>
      <c r="CA305" t="s">
        <v>991</v>
      </c>
      <c r="CB305" t="b">
        <v>1</v>
      </c>
      <c r="CC305" t="b">
        <v>1</v>
      </c>
      <c r="CD305" t="b">
        <v>1</v>
      </c>
      <c r="CE305" t="b">
        <v>1</v>
      </c>
      <c r="CF305" t="b">
        <v>1</v>
      </c>
    </row>
    <row r="306" spans="1:84" x14ac:dyDescent="0.3">
      <c r="A306" t="s">
        <v>1823</v>
      </c>
      <c r="B306" t="s">
        <v>1169</v>
      </c>
      <c r="C306" s="98">
        <v>45691</v>
      </c>
      <c r="D306">
        <v>2025</v>
      </c>
      <c r="E306">
        <v>2</v>
      </c>
      <c r="F306">
        <v>1</v>
      </c>
      <c r="G306" t="s">
        <v>1170</v>
      </c>
      <c r="H306" t="s">
        <v>129</v>
      </c>
      <c r="I306" t="s">
        <v>129</v>
      </c>
      <c r="J306" t="s">
        <v>6</v>
      </c>
      <c r="L306">
        <v>522611</v>
      </c>
      <c r="M306" s="99" t="s">
        <v>178</v>
      </c>
      <c r="N306">
        <v>1</v>
      </c>
      <c r="O306">
        <v>5</v>
      </c>
      <c r="P306">
        <v>71.576400000000007</v>
      </c>
      <c r="Q306" t="s">
        <v>352</v>
      </c>
      <c r="R306">
        <v>1</v>
      </c>
      <c r="S306">
        <v>72.148300000000006</v>
      </c>
      <c r="T306">
        <v>0.90059999999999996</v>
      </c>
      <c r="U306">
        <v>-0.63502109704641285</v>
      </c>
      <c r="V306">
        <v>69.4465</v>
      </c>
      <c r="W306">
        <v>70.347100000000012</v>
      </c>
      <c r="X306">
        <v>71.247700000000009</v>
      </c>
      <c r="Y306">
        <v>73.048900000000003</v>
      </c>
      <c r="Z306">
        <v>73.9495</v>
      </c>
      <c r="AA306">
        <v>74.850100000000012</v>
      </c>
      <c r="AD306">
        <v>2.4095619923060774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 t="s">
        <v>462</v>
      </c>
      <c r="AL306" t="s">
        <v>6</v>
      </c>
      <c r="AM306" t="s">
        <v>1145</v>
      </c>
      <c r="AN306" t="s">
        <v>1146</v>
      </c>
      <c r="AO306" s="100">
        <v>46262.040405092594</v>
      </c>
      <c r="AP306" t="s">
        <v>1147</v>
      </c>
      <c r="AQ306" t="s">
        <v>1824</v>
      </c>
      <c r="AR306" t="s">
        <v>1172</v>
      </c>
      <c r="AS306" t="s">
        <v>1150</v>
      </c>
      <c r="AT306" t="s">
        <v>1816</v>
      </c>
      <c r="AU306">
        <v>25</v>
      </c>
      <c r="AV306">
        <v>72.155820000000006</v>
      </c>
      <c r="AW306">
        <v>0.74372419675127821</v>
      </c>
      <c r="AX306">
        <v>1.0307196242122647</v>
      </c>
      <c r="AY306">
        <v>-1.2048563495588844</v>
      </c>
      <c r="AZ306">
        <v>2.9055437295091213</v>
      </c>
      <c r="BA306">
        <v>1.1688005296958408</v>
      </c>
      <c r="BB306" t="s">
        <v>4619</v>
      </c>
      <c r="BD306" s="98"/>
      <c r="BE306" s="98"/>
      <c r="BF306" t="s">
        <v>1152</v>
      </c>
      <c r="BG306" t="s">
        <v>322</v>
      </c>
      <c r="BH306" t="s">
        <v>1153</v>
      </c>
      <c r="BI306">
        <v>1.2048563495588844</v>
      </c>
      <c r="BJ306" t="s">
        <v>991</v>
      </c>
      <c r="BK306">
        <v>-0.49598173720304395</v>
      </c>
      <c r="BL306">
        <v>-20.583896110029666</v>
      </c>
      <c r="BM306" t="s">
        <v>1021</v>
      </c>
      <c r="BN306" t="s">
        <v>1154</v>
      </c>
      <c r="BO306">
        <v>2025</v>
      </c>
      <c r="BP306" t="s">
        <v>966</v>
      </c>
      <c r="BQ306">
        <v>629753.08985003456</v>
      </c>
      <c r="BR306">
        <v>37.024691014996542</v>
      </c>
      <c r="BS306" t="s">
        <v>992</v>
      </c>
      <c r="BV306" t="s">
        <v>1034</v>
      </c>
      <c r="BW306" t="s">
        <v>943</v>
      </c>
      <c r="BX306" t="s">
        <v>994</v>
      </c>
      <c r="BY306">
        <v>1.1688005296958408</v>
      </c>
      <c r="BZ306" t="s">
        <v>1155</v>
      </c>
      <c r="CA306" t="s">
        <v>991</v>
      </c>
      <c r="CB306" t="b">
        <v>1</v>
      </c>
      <c r="CC306" t="b">
        <v>1</v>
      </c>
      <c r="CD306" t="b">
        <v>1</v>
      </c>
      <c r="CE306" t="b">
        <v>1</v>
      </c>
      <c r="CF306" t="b">
        <v>1</v>
      </c>
    </row>
    <row r="307" spans="1:84" x14ac:dyDescent="0.3">
      <c r="A307" t="s">
        <v>1825</v>
      </c>
      <c r="B307" t="s">
        <v>1174</v>
      </c>
      <c r="C307" s="98">
        <v>45698</v>
      </c>
      <c r="D307">
        <v>2025</v>
      </c>
      <c r="E307">
        <v>2</v>
      </c>
      <c r="F307">
        <v>1</v>
      </c>
      <c r="G307" t="s">
        <v>1170</v>
      </c>
      <c r="H307" t="s">
        <v>129</v>
      </c>
      <c r="I307" t="s">
        <v>129</v>
      </c>
      <c r="J307" t="s">
        <v>6</v>
      </c>
      <c r="L307">
        <v>522611</v>
      </c>
      <c r="M307" s="99" t="s">
        <v>178</v>
      </c>
      <c r="N307">
        <v>1</v>
      </c>
      <c r="O307">
        <v>6</v>
      </c>
      <c r="P307">
        <v>73.591700000000003</v>
      </c>
      <c r="Q307" t="s">
        <v>352</v>
      </c>
      <c r="R307">
        <v>1</v>
      </c>
      <c r="S307">
        <v>72.148300000000006</v>
      </c>
      <c r="T307">
        <v>0.90059999999999996</v>
      </c>
      <c r="U307">
        <v>1.6027093049078358</v>
      </c>
      <c r="V307">
        <v>69.4465</v>
      </c>
      <c r="W307">
        <v>70.347100000000012</v>
      </c>
      <c r="X307">
        <v>71.247700000000009</v>
      </c>
      <c r="Y307">
        <v>73.048900000000003</v>
      </c>
      <c r="Z307">
        <v>73.9495</v>
      </c>
      <c r="AA307">
        <v>74.850100000000012</v>
      </c>
      <c r="AD307">
        <v>2.4095619923060774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 t="s">
        <v>462</v>
      </c>
      <c r="AL307" t="s">
        <v>6</v>
      </c>
      <c r="AM307" t="s">
        <v>1145</v>
      </c>
      <c r="AN307" t="s">
        <v>1146</v>
      </c>
      <c r="AO307" s="100">
        <v>46262.040405092594</v>
      </c>
      <c r="AP307" t="s">
        <v>1147</v>
      </c>
      <c r="AQ307" t="s">
        <v>1826</v>
      </c>
      <c r="AR307" t="s">
        <v>1176</v>
      </c>
      <c r="AS307" t="s">
        <v>1150</v>
      </c>
      <c r="AT307" t="s">
        <v>1816</v>
      </c>
      <c r="AU307">
        <v>25</v>
      </c>
      <c r="AV307">
        <v>72.155820000000006</v>
      </c>
      <c r="AW307">
        <v>0.74372419675127821</v>
      </c>
      <c r="AX307">
        <v>1.0307196242122647</v>
      </c>
      <c r="AY307">
        <v>-1.2048563495588844</v>
      </c>
      <c r="AZ307">
        <v>2.9055437295091213</v>
      </c>
      <c r="BA307">
        <v>1.1688005296958408</v>
      </c>
      <c r="BB307" t="s">
        <v>4619</v>
      </c>
      <c r="BD307" s="98"/>
      <c r="BE307" s="98"/>
      <c r="BF307" t="s">
        <v>1152</v>
      </c>
      <c r="BG307" t="s">
        <v>322</v>
      </c>
      <c r="BH307" t="s">
        <v>1153</v>
      </c>
      <c r="BI307">
        <v>1.2048563495588844</v>
      </c>
      <c r="BJ307" t="s">
        <v>991</v>
      </c>
      <c r="BK307">
        <v>-0.49598173720304395</v>
      </c>
      <c r="BL307">
        <v>-20.583896110029666</v>
      </c>
      <c r="BM307" t="s">
        <v>1021</v>
      </c>
      <c r="BN307" t="s">
        <v>1154</v>
      </c>
      <c r="BO307">
        <v>2025</v>
      </c>
      <c r="BP307" t="s">
        <v>966</v>
      </c>
      <c r="BQ307">
        <v>629753.08985003456</v>
      </c>
      <c r="BR307">
        <v>37.024691014996542</v>
      </c>
      <c r="BS307" t="s">
        <v>992</v>
      </c>
      <c r="BV307" t="s">
        <v>1034</v>
      </c>
      <c r="BW307" t="s">
        <v>943</v>
      </c>
      <c r="BX307" t="s">
        <v>994</v>
      </c>
      <c r="BY307">
        <v>1.1688005296958408</v>
      </c>
      <c r="BZ307" t="s">
        <v>1155</v>
      </c>
      <c r="CA307" t="s">
        <v>991</v>
      </c>
      <c r="CB307" t="b">
        <v>1</v>
      </c>
      <c r="CC307" t="b">
        <v>1</v>
      </c>
      <c r="CD307" t="b">
        <v>1</v>
      </c>
      <c r="CE307" t="b">
        <v>1</v>
      </c>
      <c r="CF307" t="b">
        <v>1</v>
      </c>
    </row>
    <row r="308" spans="1:84" x14ac:dyDescent="0.3">
      <c r="A308" t="s">
        <v>1827</v>
      </c>
      <c r="B308" t="s">
        <v>1178</v>
      </c>
      <c r="C308" s="98">
        <v>45705</v>
      </c>
      <c r="D308">
        <v>2025</v>
      </c>
      <c r="E308">
        <v>2</v>
      </c>
      <c r="F308">
        <v>1</v>
      </c>
      <c r="G308" t="s">
        <v>1170</v>
      </c>
      <c r="H308" t="s">
        <v>129</v>
      </c>
      <c r="I308" t="s">
        <v>129</v>
      </c>
      <c r="J308" t="s">
        <v>6</v>
      </c>
      <c r="L308">
        <v>522611</v>
      </c>
      <c r="M308" s="99" t="s">
        <v>178</v>
      </c>
      <c r="N308">
        <v>1</v>
      </c>
      <c r="O308">
        <v>7</v>
      </c>
      <c r="P308">
        <v>72.604600000000005</v>
      </c>
      <c r="Q308" t="s">
        <v>352</v>
      </c>
      <c r="R308">
        <v>1</v>
      </c>
      <c r="S308">
        <v>72.148300000000006</v>
      </c>
      <c r="T308">
        <v>0.90059999999999996</v>
      </c>
      <c r="U308">
        <v>0.50666222518320991</v>
      </c>
      <c r="V308">
        <v>69.4465</v>
      </c>
      <c r="W308">
        <v>70.347100000000012</v>
      </c>
      <c r="X308">
        <v>71.247700000000009</v>
      </c>
      <c r="Y308">
        <v>73.048900000000003</v>
      </c>
      <c r="Z308">
        <v>73.9495</v>
      </c>
      <c r="AA308">
        <v>74.850100000000012</v>
      </c>
      <c r="AD308">
        <v>2.4095619923060774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 t="s">
        <v>462</v>
      </c>
      <c r="AL308" t="s">
        <v>6</v>
      </c>
      <c r="AM308" t="s">
        <v>1145</v>
      </c>
      <c r="AN308" t="s">
        <v>1146</v>
      </c>
      <c r="AO308" s="100">
        <v>46262.040405092594</v>
      </c>
      <c r="AP308" t="s">
        <v>1147</v>
      </c>
      <c r="AQ308" t="s">
        <v>1828</v>
      </c>
      <c r="AR308" t="s">
        <v>1180</v>
      </c>
      <c r="AS308" t="s">
        <v>1150</v>
      </c>
      <c r="AT308" t="s">
        <v>1816</v>
      </c>
      <c r="AU308">
        <v>25</v>
      </c>
      <c r="AV308">
        <v>72.155820000000006</v>
      </c>
      <c r="AW308">
        <v>0.74372419675127821</v>
      </c>
      <c r="AX308">
        <v>1.0307196242122647</v>
      </c>
      <c r="AY308">
        <v>-1.2048563495588844</v>
      </c>
      <c r="AZ308">
        <v>2.9055437295091213</v>
      </c>
      <c r="BA308">
        <v>1.1688005296958408</v>
      </c>
      <c r="BB308" t="s">
        <v>4619</v>
      </c>
      <c r="BD308" s="98"/>
      <c r="BE308" s="98"/>
      <c r="BF308" t="s">
        <v>1152</v>
      </c>
      <c r="BG308" t="s">
        <v>322</v>
      </c>
      <c r="BH308" t="s">
        <v>1153</v>
      </c>
      <c r="BI308">
        <v>1.2048563495588844</v>
      </c>
      <c r="BJ308" t="s">
        <v>991</v>
      </c>
      <c r="BK308">
        <v>-0.49598173720304395</v>
      </c>
      <c r="BL308">
        <v>-20.583896110029666</v>
      </c>
      <c r="BM308" t="s">
        <v>1021</v>
      </c>
      <c r="BN308" t="s">
        <v>1154</v>
      </c>
      <c r="BO308">
        <v>2025</v>
      </c>
      <c r="BP308" t="s">
        <v>966</v>
      </c>
      <c r="BQ308">
        <v>629753.08985003456</v>
      </c>
      <c r="BR308">
        <v>37.024691014996542</v>
      </c>
      <c r="BS308" t="s">
        <v>992</v>
      </c>
      <c r="BV308" t="s">
        <v>1034</v>
      </c>
      <c r="BW308" t="s">
        <v>943</v>
      </c>
      <c r="BX308" t="s">
        <v>994</v>
      </c>
      <c r="BY308">
        <v>1.1688005296958408</v>
      </c>
      <c r="BZ308" t="s">
        <v>1155</v>
      </c>
      <c r="CA308" t="s">
        <v>991</v>
      </c>
      <c r="CB308" t="b">
        <v>1</v>
      </c>
      <c r="CC308" t="b">
        <v>1</v>
      </c>
      <c r="CD308" t="b">
        <v>1</v>
      </c>
      <c r="CE308" t="b">
        <v>1</v>
      </c>
      <c r="CF308" t="b">
        <v>1</v>
      </c>
    </row>
    <row r="309" spans="1:84" x14ac:dyDescent="0.3">
      <c r="A309" t="s">
        <v>1829</v>
      </c>
      <c r="B309" t="s">
        <v>1182</v>
      </c>
      <c r="C309" s="98">
        <v>45712</v>
      </c>
      <c r="D309">
        <v>2025</v>
      </c>
      <c r="E309">
        <v>2</v>
      </c>
      <c r="F309">
        <v>1</v>
      </c>
      <c r="G309" t="s">
        <v>1170</v>
      </c>
      <c r="H309" t="s">
        <v>129</v>
      </c>
      <c r="I309" t="s">
        <v>129</v>
      </c>
      <c r="J309" t="s">
        <v>6</v>
      </c>
      <c r="L309">
        <v>522611</v>
      </c>
      <c r="M309" s="99" t="s">
        <v>178</v>
      </c>
      <c r="N309">
        <v>1</v>
      </c>
      <c r="O309">
        <v>8</v>
      </c>
      <c r="P309">
        <v>72.209100000000007</v>
      </c>
      <c r="Q309" t="s">
        <v>352</v>
      </c>
      <c r="R309">
        <v>1</v>
      </c>
      <c r="S309">
        <v>72.148300000000006</v>
      </c>
      <c r="T309">
        <v>0.90059999999999996</v>
      </c>
      <c r="U309">
        <v>6.7510548523207203E-2</v>
      </c>
      <c r="V309">
        <v>69.4465</v>
      </c>
      <c r="W309">
        <v>70.347100000000012</v>
      </c>
      <c r="X309">
        <v>71.247700000000009</v>
      </c>
      <c r="Y309">
        <v>73.048900000000003</v>
      </c>
      <c r="Z309">
        <v>73.9495</v>
      </c>
      <c r="AA309">
        <v>74.850100000000012</v>
      </c>
      <c r="AD309">
        <v>2.4095619923060774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 t="s">
        <v>462</v>
      </c>
      <c r="AL309" t="s">
        <v>6</v>
      </c>
      <c r="AM309" t="s">
        <v>1145</v>
      </c>
      <c r="AN309" t="s">
        <v>1146</v>
      </c>
      <c r="AO309" s="100">
        <v>46262.040405092594</v>
      </c>
      <c r="AP309" t="s">
        <v>1147</v>
      </c>
      <c r="AQ309" t="s">
        <v>1830</v>
      </c>
      <c r="AR309" t="s">
        <v>1184</v>
      </c>
      <c r="AS309" t="s">
        <v>1150</v>
      </c>
      <c r="AT309" t="s">
        <v>1816</v>
      </c>
      <c r="AU309">
        <v>25</v>
      </c>
      <c r="AV309">
        <v>72.155820000000006</v>
      </c>
      <c r="AW309">
        <v>0.74372419675127821</v>
      </c>
      <c r="AX309">
        <v>1.0307196242122647</v>
      </c>
      <c r="AY309">
        <v>-1.2048563495588844</v>
      </c>
      <c r="AZ309">
        <v>2.9055437295091213</v>
      </c>
      <c r="BA309">
        <v>1.1688005296958408</v>
      </c>
      <c r="BB309" t="s">
        <v>4619</v>
      </c>
      <c r="BD309" s="98"/>
      <c r="BE309" s="98"/>
      <c r="BF309" t="s">
        <v>1152</v>
      </c>
      <c r="BG309" t="s">
        <v>322</v>
      </c>
      <c r="BH309" t="s">
        <v>1153</v>
      </c>
      <c r="BI309">
        <v>1.2048563495588844</v>
      </c>
      <c r="BJ309" t="s">
        <v>991</v>
      </c>
      <c r="BK309">
        <v>-0.49598173720304395</v>
      </c>
      <c r="BL309">
        <v>-20.583896110029666</v>
      </c>
      <c r="BM309" t="s">
        <v>1021</v>
      </c>
      <c r="BN309" t="s">
        <v>1154</v>
      </c>
      <c r="BO309">
        <v>2025</v>
      </c>
      <c r="BP309" t="s">
        <v>966</v>
      </c>
      <c r="BQ309">
        <v>629753.08985003456</v>
      </c>
      <c r="BR309">
        <v>37.024691014996542</v>
      </c>
      <c r="BS309" t="s">
        <v>992</v>
      </c>
      <c r="BV309" t="s">
        <v>1034</v>
      </c>
      <c r="BW309" t="s">
        <v>943</v>
      </c>
      <c r="BX309" t="s">
        <v>994</v>
      </c>
      <c r="BY309">
        <v>1.1688005296958408</v>
      </c>
      <c r="BZ309" t="s">
        <v>1155</v>
      </c>
      <c r="CA309" t="s">
        <v>991</v>
      </c>
      <c r="CB309" t="b">
        <v>1</v>
      </c>
      <c r="CC309" t="b">
        <v>1</v>
      </c>
      <c r="CD309" t="b">
        <v>1</v>
      </c>
      <c r="CE309" t="b">
        <v>1</v>
      </c>
      <c r="CF309" t="b">
        <v>1</v>
      </c>
    </row>
    <row r="310" spans="1:84" x14ac:dyDescent="0.3">
      <c r="A310" t="s">
        <v>1831</v>
      </c>
      <c r="B310" t="s">
        <v>1186</v>
      </c>
      <c r="C310" s="98">
        <v>45719</v>
      </c>
      <c r="D310">
        <v>2025</v>
      </c>
      <c r="E310">
        <v>3</v>
      </c>
      <c r="F310">
        <v>1</v>
      </c>
      <c r="G310" t="s">
        <v>1187</v>
      </c>
      <c r="H310" t="s">
        <v>129</v>
      </c>
      <c r="I310" t="s">
        <v>129</v>
      </c>
      <c r="J310" t="s">
        <v>6</v>
      </c>
      <c r="L310">
        <v>522611</v>
      </c>
      <c r="M310" s="99" t="s">
        <v>178</v>
      </c>
      <c r="N310">
        <v>1</v>
      </c>
      <c r="O310">
        <v>9</v>
      </c>
      <c r="P310">
        <v>71.836500000000001</v>
      </c>
      <c r="Q310" t="s">
        <v>352</v>
      </c>
      <c r="R310">
        <v>1</v>
      </c>
      <c r="S310">
        <v>72.148300000000006</v>
      </c>
      <c r="T310">
        <v>0.90059999999999996</v>
      </c>
      <c r="U310">
        <v>-0.34621363535421407</v>
      </c>
      <c r="V310">
        <v>69.4465</v>
      </c>
      <c r="W310">
        <v>70.347100000000012</v>
      </c>
      <c r="X310">
        <v>71.247700000000009</v>
      </c>
      <c r="Y310">
        <v>73.048900000000003</v>
      </c>
      <c r="Z310">
        <v>73.9495</v>
      </c>
      <c r="AA310">
        <v>74.850100000000012</v>
      </c>
      <c r="AD310">
        <v>2.4095619923060774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 t="s">
        <v>462</v>
      </c>
      <c r="AL310" t="s">
        <v>6</v>
      </c>
      <c r="AM310" t="s">
        <v>1145</v>
      </c>
      <c r="AN310" t="s">
        <v>1146</v>
      </c>
      <c r="AO310" s="100">
        <v>46262.040405092594</v>
      </c>
      <c r="AP310" t="s">
        <v>1147</v>
      </c>
      <c r="AQ310" t="s">
        <v>1832</v>
      </c>
      <c r="AR310" t="s">
        <v>1189</v>
      </c>
      <c r="AS310" t="s">
        <v>1150</v>
      </c>
      <c r="AT310" t="s">
        <v>1816</v>
      </c>
      <c r="AU310">
        <v>25</v>
      </c>
      <c r="AV310">
        <v>72.155820000000006</v>
      </c>
      <c r="AW310">
        <v>0.74372419675127821</v>
      </c>
      <c r="AX310">
        <v>1.0307196242122647</v>
      </c>
      <c r="AY310">
        <v>-1.2048563495588844</v>
      </c>
      <c r="AZ310">
        <v>2.9055437295091213</v>
      </c>
      <c r="BA310">
        <v>1.1688005296958408</v>
      </c>
      <c r="BB310" t="s">
        <v>4619</v>
      </c>
      <c r="BD310" s="98"/>
      <c r="BE310" s="98"/>
      <c r="BF310" t="s">
        <v>1152</v>
      </c>
      <c r="BG310" t="s">
        <v>322</v>
      </c>
      <c r="BH310" t="s">
        <v>1153</v>
      </c>
      <c r="BI310">
        <v>1.2048563495588844</v>
      </c>
      <c r="BJ310" t="s">
        <v>991</v>
      </c>
      <c r="BK310">
        <v>-0.49598173720304395</v>
      </c>
      <c r="BL310">
        <v>-20.583896110029666</v>
      </c>
      <c r="BM310" t="s">
        <v>1021</v>
      </c>
      <c r="BN310" t="s">
        <v>1154</v>
      </c>
      <c r="BO310">
        <v>2025</v>
      </c>
      <c r="BP310" t="s">
        <v>966</v>
      </c>
      <c r="BQ310">
        <v>629753.08985003456</v>
      </c>
      <c r="BR310">
        <v>37.024691014996542</v>
      </c>
      <c r="BS310" t="s">
        <v>992</v>
      </c>
      <c r="BV310" t="s">
        <v>1034</v>
      </c>
      <c r="BW310" t="s">
        <v>943</v>
      </c>
      <c r="BX310" t="s">
        <v>994</v>
      </c>
      <c r="BY310">
        <v>1.1688005296958408</v>
      </c>
      <c r="BZ310" t="s">
        <v>1155</v>
      </c>
      <c r="CA310" t="s">
        <v>991</v>
      </c>
      <c r="CB310" t="b">
        <v>1</v>
      </c>
      <c r="CC310" t="b">
        <v>1</v>
      </c>
      <c r="CD310" t="b">
        <v>1</v>
      </c>
      <c r="CE310" t="b">
        <v>1</v>
      </c>
      <c r="CF310" t="b">
        <v>1</v>
      </c>
    </row>
    <row r="311" spans="1:84" x14ac:dyDescent="0.3">
      <c r="A311" t="s">
        <v>1833</v>
      </c>
      <c r="B311" t="s">
        <v>1191</v>
      </c>
      <c r="C311" s="98">
        <v>45726</v>
      </c>
      <c r="D311">
        <v>2025</v>
      </c>
      <c r="E311">
        <v>3</v>
      </c>
      <c r="F311">
        <v>1</v>
      </c>
      <c r="G311" t="s">
        <v>1187</v>
      </c>
      <c r="H311" t="s">
        <v>129</v>
      </c>
      <c r="I311" t="s">
        <v>129</v>
      </c>
      <c r="J311" t="s">
        <v>6</v>
      </c>
      <c r="L311">
        <v>522611</v>
      </c>
      <c r="M311" s="99" t="s">
        <v>178</v>
      </c>
      <c r="N311">
        <v>1</v>
      </c>
      <c r="O311">
        <v>10</v>
      </c>
      <c r="P311">
        <v>71.1494</v>
      </c>
      <c r="Q311" t="s">
        <v>352</v>
      </c>
      <c r="R311">
        <v>1</v>
      </c>
      <c r="S311">
        <v>72.148300000000006</v>
      </c>
      <c r="T311">
        <v>0.90059999999999996</v>
      </c>
      <c r="U311">
        <v>-1.1091494559182835</v>
      </c>
      <c r="V311">
        <v>69.4465</v>
      </c>
      <c r="W311">
        <v>70.347100000000012</v>
      </c>
      <c r="X311">
        <v>71.247700000000009</v>
      </c>
      <c r="Y311">
        <v>73.048900000000003</v>
      </c>
      <c r="Z311">
        <v>73.9495</v>
      </c>
      <c r="AA311">
        <v>74.850100000000012</v>
      </c>
      <c r="AD311">
        <v>2.4095619923060774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 t="s">
        <v>462</v>
      </c>
      <c r="AL311" t="s">
        <v>6</v>
      </c>
      <c r="AM311" t="s">
        <v>1145</v>
      </c>
      <c r="AN311" t="s">
        <v>1146</v>
      </c>
      <c r="AO311" s="100">
        <v>46262.040405092594</v>
      </c>
      <c r="AP311" t="s">
        <v>1147</v>
      </c>
      <c r="AQ311" t="s">
        <v>1834</v>
      </c>
      <c r="AR311" t="s">
        <v>1193</v>
      </c>
      <c r="AS311" t="s">
        <v>1150</v>
      </c>
      <c r="AT311" t="s">
        <v>1816</v>
      </c>
      <c r="AU311">
        <v>25</v>
      </c>
      <c r="AV311">
        <v>72.155820000000006</v>
      </c>
      <c r="AW311">
        <v>0.74372419675127821</v>
      </c>
      <c r="AX311">
        <v>1.0307196242122647</v>
      </c>
      <c r="AY311">
        <v>-1.2048563495588844</v>
      </c>
      <c r="AZ311">
        <v>2.9055437295091213</v>
      </c>
      <c r="BA311">
        <v>1.1688005296958408</v>
      </c>
      <c r="BB311" t="s">
        <v>4619</v>
      </c>
      <c r="BD311" s="98"/>
      <c r="BE311" s="98"/>
      <c r="BF311" t="s">
        <v>1152</v>
      </c>
      <c r="BG311" t="s">
        <v>322</v>
      </c>
      <c r="BH311" t="s">
        <v>1153</v>
      </c>
      <c r="BI311">
        <v>1.2048563495588844</v>
      </c>
      <c r="BJ311" t="s">
        <v>991</v>
      </c>
      <c r="BK311">
        <v>-0.49598173720304395</v>
      </c>
      <c r="BL311">
        <v>-20.583896110029666</v>
      </c>
      <c r="BM311" t="s">
        <v>1021</v>
      </c>
      <c r="BN311" t="s">
        <v>1154</v>
      </c>
      <c r="BO311">
        <v>2025</v>
      </c>
      <c r="BP311" t="s">
        <v>966</v>
      </c>
      <c r="BQ311">
        <v>629753.08985003456</v>
      </c>
      <c r="BR311">
        <v>37.024691014996542</v>
      </c>
      <c r="BS311" t="s">
        <v>992</v>
      </c>
      <c r="BV311" t="s">
        <v>1034</v>
      </c>
      <c r="BW311" t="s">
        <v>943</v>
      </c>
      <c r="BX311" t="s">
        <v>994</v>
      </c>
      <c r="BY311">
        <v>1.1688005296958408</v>
      </c>
      <c r="BZ311" t="s">
        <v>1155</v>
      </c>
      <c r="CA311" t="s">
        <v>991</v>
      </c>
      <c r="CB311" t="b">
        <v>1</v>
      </c>
      <c r="CC311" t="b">
        <v>1</v>
      </c>
      <c r="CD311" t="b">
        <v>1</v>
      </c>
      <c r="CE311" t="b">
        <v>1</v>
      </c>
      <c r="CF311" t="b">
        <v>1</v>
      </c>
    </row>
    <row r="312" spans="1:84" x14ac:dyDescent="0.3">
      <c r="A312" t="s">
        <v>1835</v>
      </c>
      <c r="B312" t="s">
        <v>1195</v>
      </c>
      <c r="C312" s="98">
        <v>45733</v>
      </c>
      <c r="D312">
        <v>2025</v>
      </c>
      <c r="E312">
        <v>3</v>
      </c>
      <c r="F312">
        <v>1</v>
      </c>
      <c r="G312" t="s">
        <v>1187</v>
      </c>
      <c r="H312" t="s">
        <v>129</v>
      </c>
      <c r="I312" t="s">
        <v>129</v>
      </c>
      <c r="J312" t="s">
        <v>6</v>
      </c>
      <c r="L312">
        <v>522611</v>
      </c>
      <c r="M312" s="99" t="s">
        <v>178</v>
      </c>
      <c r="N312">
        <v>1</v>
      </c>
      <c r="O312">
        <v>11</v>
      </c>
      <c r="P312">
        <v>72.088099999999997</v>
      </c>
      <c r="Q312" t="s">
        <v>352</v>
      </c>
      <c r="R312">
        <v>1</v>
      </c>
      <c r="S312">
        <v>72.148300000000006</v>
      </c>
      <c r="T312">
        <v>0.90059999999999996</v>
      </c>
      <c r="U312">
        <v>-6.6844326004895538E-2</v>
      </c>
      <c r="V312">
        <v>69.4465</v>
      </c>
      <c r="W312">
        <v>70.347100000000012</v>
      </c>
      <c r="X312">
        <v>71.247700000000009</v>
      </c>
      <c r="Y312">
        <v>73.048900000000003</v>
      </c>
      <c r="Z312">
        <v>73.9495</v>
      </c>
      <c r="AA312">
        <v>74.850100000000012</v>
      </c>
      <c r="AD312">
        <v>2.4095619923060774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 t="s">
        <v>462</v>
      </c>
      <c r="AL312" t="s">
        <v>6</v>
      </c>
      <c r="AM312" t="s">
        <v>1145</v>
      </c>
      <c r="AN312" t="s">
        <v>1146</v>
      </c>
      <c r="AO312" s="100">
        <v>46262.040405092594</v>
      </c>
      <c r="AP312" t="s">
        <v>1147</v>
      </c>
      <c r="AQ312" t="s">
        <v>1836</v>
      </c>
      <c r="AR312" t="s">
        <v>1197</v>
      </c>
      <c r="AS312" t="s">
        <v>1150</v>
      </c>
      <c r="AT312" t="s">
        <v>1816</v>
      </c>
      <c r="AU312">
        <v>25</v>
      </c>
      <c r="AV312">
        <v>72.155820000000006</v>
      </c>
      <c r="AW312">
        <v>0.74372419675127821</v>
      </c>
      <c r="AX312">
        <v>1.0307196242122647</v>
      </c>
      <c r="AY312">
        <v>-1.2048563495588844</v>
      </c>
      <c r="AZ312">
        <v>2.9055437295091213</v>
      </c>
      <c r="BA312">
        <v>1.1688005296958408</v>
      </c>
      <c r="BB312" t="s">
        <v>4619</v>
      </c>
      <c r="BD312" s="98"/>
      <c r="BE312" s="98"/>
      <c r="BF312" t="s">
        <v>1152</v>
      </c>
      <c r="BG312" t="s">
        <v>322</v>
      </c>
      <c r="BH312" t="s">
        <v>1153</v>
      </c>
      <c r="BI312">
        <v>1.2048563495588844</v>
      </c>
      <c r="BJ312" t="s">
        <v>991</v>
      </c>
      <c r="BK312">
        <v>-0.49598173720304395</v>
      </c>
      <c r="BL312">
        <v>-20.583896110029666</v>
      </c>
      <c r="BM312" t="s">
        <v>1021</v>
      </c>
      <c r="BN312" t="s">
        <v>1154</v>
      </c>
      <c r="BO312">
        <v>2025</v>
      </c>
      <c r="BP312" t="s">
        <v>966</v>
      </c>
      <c r="BQ312">
        <v>629753.08985003456</v>
      </c>
      <c r="BR312">
        <v>37.024691014996542</v>
      </c>
      <c r="BS312" t="s">
        <v>992</v>
      </c>
      <c r="BV312" t="s">
        <v>1034</v>
      </c>
      <c r="BW312" t="s">
        <v>943</v>
      </c>
      <c r="BX312" t="s">
        <v>994</v>
      </c>
      <c r="BY312">
        <v>1.1688005296958408</v>
      </c>
      <c r="BZ312" t="s">
        <v>1155</v>
      </c>
      <c r="CA312" t="s">
        <v>991</v>
      </c>
      <c r="CB312" t="b">
        <v>1</v>
      </c>
      <c r="CC312" t="b">
        <v>1</v>
      </c>
      <c r="CD312" t="b">
        <v>1</v>
      </c>
      <c r="CE312" t="b">
        <v>1</v>
      </c>
      <c r="CF312" t="b">
        <v>1</v>
      </c>
    </row>
    <row r="313" spans="1:84" x14ac:dyDescent="0.3">
      <c r="A313" t="s">
        <v>1837</v>
      </c>
      <c r="B313" t="s">
        <v>1199</v>
      </c>
      <c r="C313" s="98">
        <v>45740</v>
      </c>
      <c r="D313">
        <v>2025</v>
      </c>
      <c r="E313">
        <v>3</v>
      </c>
      <c r="F313">
        <v>1</v>
      </c>
      <c r="G313" t="s">
        <v>1187</v>
      </c>
      <c r="H313" t="s">
        <v>129</v>
      </c>
      <c r="I313" t="s">
        <v>129</v>
      </c>
      <c r="J313" t="s">
        <v>6</v>
      </c>
      <c r="L313">
        <v>522611</v>
      </c>
      <c r="M313" s="99" t="s">
        <v>178</v>
      </c>
      <c r="N313">
        <v>1</v>
      </c>
      <c r="O313">
        <v>12</v>
      </c>
      <c r="P313">
        <v>72.935100000000006</v>
      </c>
      <c r="Q313" t="s">
        <v>352</v>
      </c>
      <c r="R313">
        <v>1</v>
      </c>
      <c r="S313">
        <v>72.148300000000006</v>
      </c>
      <c r="T313">
        <v>0.90059999999999996</v>
      </c>
      <c r="U313">
        <v>0.87363979569176053</v>
      </c>
      <c r="V313">
        <v>69.4465</v>
      </c>
      <c r="W313">
        <v>70.347100000000012</v>
      </c>
      <c r="X313">
        <v>71.247700000000009</v>
      </c>
      <c r="Y313">
        <v>73.048900000000003</v>
      </c>
      <c r="Z313">
        <v>73.9495</v>
      </c>
      <c r="AA313">
        <v>74.850100000000012</v>
      </c>
      <c r="AD313">
        <v>2.4095619923060774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 t="s">
        <v>462</v>
      </c>
      <c r="AL313" t="s">
        <v>6</v>
      </c>
      <c r="AM313" t="s">
        <v>1145</v>
      </c>
      <c r="AN313" t="s">
        <v>1146</v>
      </c>
      <c r="AO313" s="100">
        <v>46262.040405092594</v>
      </c>
      <c r="AP313" t="s">
        <v>1147</v>
      </c>
      <c r="AQ313" t="s">
        <v>1838</v>
      </c>
      <c r="AR313" t="s">
        <v>1201</v>
      </c>
      <c r="AS313" t="s">
        <v>1150</v>
      </c>
      <c r="AT313" t="s">
        <v>1816</v>
      </c>
      <c r="AU313">
        <v>25</v>
      </c>
      <c r="AV313">
        <v>72.155820000000006</v>
      </c>
      <c r="AW313">
        <v>0.74372419675127821</v>
      </c>
      <c r="AX313">
        <v>1.0307196242122647</v>
      </c>
      <c r="AY313">
        <v>-1.2048563495588844</v>
      </c>
      <c r="AZ313">
        <v>2.9055437295091213</v>
      </c>
      <c r="BA313">
        <v>1.1688005296958408</v>
      </c>
      <c r="BB313" t="s">
        <v>4619</v>
      </c>
      <c r="BD313" s="98"/>
      <c r="BE313" s="98"/>
      <c r="BF313" t="s">
        <v>1152</v>
      </c>
      <c r="BG313" t="s">
        <v>322</v>
      </c>
      <c r="BH313" t="s">
        <v>1153</v>
      </c>
      <c r="BI313">
        <v>1.2048563495588844</v>
      </c>
      <c r="BJ313" t="s">
        <v>991</v>
      </c>
      <c r="BK313">
        <v>-0.49598173720304395</v>
      </c>
      <c r="BL313">
        <v>-20.583896110029666</v>
      </c>
      <c r="BM313" t="s">
        <v>1021</v>
      </c>
      <c r="BN313" t="s">
        <v>1154</v>
      </c>
      <c r="BO313">
        <v>2025</v>
      </c>
      <c r="BP313" t="s">
        <v>966</v>
      </c>
      <c r="BQ313">
        <v>629753.08985003456</v>
      </c>
      <c r="BR313">
        <v>37.024691014996542</v>
      </c>
      <c r="BS313" t="s">
        <v>992</v>
      </c>
      <c r="BV313" t="s">
        <v>1034</v>
      </c>
      <c r="BW313" t="s">
        <v>943</v>
      </c>
      <c r="BX313" t="s">
        <v>994</v>
      </c>
      <c r="BY313">
        <v>1.1688005296958408</v>
      </c>
      <c r="BZ313" t="s">
        <v>1155</v>
      </c>
      <c r="CA313" t="s">
        <v>991</v>
      </c>
      <c r="CB313" t="b">
        <v>1</v>
      </c>
      <c r="CC313" t="b">
        <v>1</v>
      </c>
      <c r="CD313" t="b">
        <v>1</v>
      </c>
      <c r="CE313" t="b">
        <v>1</v>
      </c>
      <c r="CF313" t="b">
        <v>1</v>
      </c>
    </row>
    <row r="314" spans="1:84" x14ac:dyDescent="0.3">
      <c r="A314" t="s">
        <v>1839</v>
      </c>
      <c r="B314" t="s">
        <v>1203</v>
      </c>
      <c r="C314" s="98">
        <v>45747</v>
      </c>
      <c r="D314">
        <v>2025</v>
      </c>
      <c r="E314">
        <v>3</v>
      </c>
      <c r="F314">
        <v>1</v>
      </c>
      <c r="G314" t="s">
        <v>1187</v>
      </c>
      <c r="H314" t="s">
        <v>129</v>
      </c>
      <c r="I314" t="s">
        <v>129</v>
      </c>
      <c r="J314" t="s">
        <v>6</v>
      </c>
      <c r="L314">
        <v>522611</v>
      </c>
      <c r="M314" s="99" t="s">
        <v>178</v>
      </c>
      <c r="N314">
        <v>1</v>
      </c>
      <c r="O314">
        <v>13</v>
      </c>
      <c r="P314">
        <v>71.794700000000006</v>
      </c>
      <c r="Q314" t="s">
        <v>352</v>
      </c>
      <c r="R314">
        <v>1</v>
      </c>
      <c r="S314">
        <v>72.148300000000006</v>
      </c>
      <c r="T314">
        <v>0.90059999999999996</v>
      </c>
      <c r="U314">
        <v>-0.39262713746391315</v>
      </c>
      <c r="V314">
        <v>69.4465</v>
      </c>
      <c r="W314">
        <v>70.347100000000012</v>
      </c>
      <c r="X314">
        <v>71.247700000000009</v>
      </c>
      <c r="Y314">
        <v>73.048900000000003</v>
      </c>
      <c r="Z314">
        <v>73.9495</v>
      </c>
      <c r="AA314">
        <v>74.850100000000012</v>
      </c>
      <c r="AD314">
        <v>2.4095619923060774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 t="s">
        <v>462</v>
      </c>
      <c r="AL314" t="s">
        <v>6</v>
      </c>
      <c r="AM314" t="s">
        <v>1145</v>
      </c>
      <c r="AN314" t="s">
        <v>1146</v>
      </c>
      <c r="AO314" s="100">
        <v>46262.040405092594</v>
      </c>
      <c r="AP314" t="s">
        <v>1147</v>
      </c>
      <c r="AQ314" t="s">
        <v>1840</v>
      </c>
      <c r="AR314" t="s">
        <v>1205</v>
      </c>
      <c r="AS314" t="s">
        <v>1150</v>
      </c>
      <c r="AT314" t="s">
        <v>1816</v>
      </c>
      <c r="AU314">
        <v>25</v>
      </c>
      <c r="AV314">
        <v>72.155820000000006</v>
      </c>
      <c r="AW314">
        <v>0.74372419675127821</v>
      </c>
      <c r="AX314">
        <v>1.0307196242122647</v>
      </c>
      <c r="AY314">
        <v>-1.2048563495588844</v>
      </c>
      <c r="AZ314">
        <v>2.9055437295091213</v>
      </c>
      <c r="BA314">
        <v>1.1688005296958408</v>
      </c>
      <c r="BB314" t="s">
        <v>4619</v>
      </c>
      <c r="BD314" s="98"/>
      <c r="BE314" s="98"/>
      <c r="BF314" t="s">
        <v>1152</v>
      </c>
      <c r="BG314" t="s">
        <v>322</v>
      </c>
      <c r="BH314" t="s">
        <v>1153</v>
      </c>
      <c r="BI314">
        <v>1.2048563495588844</v>
      </c>
      <c r="BJ314" t="s">
        <v>991</v>
      </c>
      <c r="BK314">
        <v>-0.49598173720304395</v>
      </c>
      <c r="BL314">
        <v>-20.583896110029666</v>
      </c>
      <c r="BM314" t="s">
        <v>1021</v>
      </c>
      <c r="BN314" t="s">
        <v>1154</v>
      </c>
      <c r="BO314">
        <v>2025</v>
      </c>
      <c r="BP314" t="s">
        <v>966</v>
      </c>
      <c r="BQ314">
        <v>629753.08985003456</v>
      </c>
      <c r="BR314">
        <v>37.024691014996542</v>
      </c>
      <c r="BS314" t="s">
        <v>992</v>
      </c>
      <c r="BV314" t="s">
        <v>1034</v>
      </c>
      <c r="BW314" t="s">
        <v>943</v>
      </c>
      <c r="BX314" t="s">
        <v>994</v>
      </c>
      <c r="BY314">
        <v>1.1688005296958408</v>
      </c>
      <c r="BZ314" t="s">
        <v>1155</v>
      </c>
      <c r="CA314" t="s">
        <v>991</v>
      </c>
      <c r="CB314" t="b">
        <v>1</v>
      </c>
      <c r="CC314" t="b">
        <v>1</v>
      </c>
      <c r="CD314" t="b">
        <v>1</v>
      </c>
      <c r="CE314" t="b">
        <v>1</v>
      </c>
      <c r="CF314" t="b">
        <v>1</v>
      </c>
    </row>
    <row r="315" spans="1:84" x14ac:dyDescent="0.3">
      <c r="A315" t="s">
        <v>1841</v>
      </c>
      <c r="B315" t="s">
        <v>1207</v>
      </c>
      <c r="C315" s="98">
        <v>45754</v>
      </c>
      <c r="D315">
        <v>2025</v>
      </c>
      <c r="E315">
        <v>4</v>
      </c>
      <c r="F315">
        <v>2</v>
      </c>
      <c r="G315" t="s">
        <v>1208</v>
      </c>
      <c r="H315" t="s">
        <v>129</v>
      </c>
      <c r="I315" t="s">
        <v>129</v>
      </c>
      <c r="J315" t="s">
        <v>6</v>
      </c>
      <c r="L315">
        <v>522611</v>
      </c>
      <c r="M315" s="99" t="s">
        <v>178</v>
      </c>
      <c r="N315">
        <v>1</v>
      </c>
      <c r="O315">
        <v>14</v>
      </c>
      <c r="P315">
        <v>71.943600000000004</v>
      </c>
      <c r="Q315" t="s">
        <v>352</v>
      </c>
      <c r="R315">
        <v>1</v>
      </c>
      <c r="S315">
        <v>72.148300000000006</v>
      </c>
      <c r="T315">
        <v>0.90059999999999996</v>
      </c>
      <c r="U315">
        <v>-0.22729291583389136</v>
      </c>
      <c r="V315">
        <v>69.4465</v>
      </c>
      <c r="W315">
        <v>70.347100000000012</v>
      </c>
      <c r="X315">
        <v>71.247700000000009</v>
      </c>
      <c r="Y315">
        <v>73.048900000000003</v>
      </c>
      <c r="Z315">
        <v>73.9495</v>
      </c>
      <c r="AA315">
        <v>74.850100000000012</v>
      </c>
      <c r="AD315">
        <v>2.4095619923060774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 t="s">
        <v>462</v>
      </c>
      <c r="AL315" t="s">
        <v>6</v>
      </c>
      <c r="AM315" t="s">
        <v>1145</v>
      </c>
      <c r="AN315" t="s">
        <v>1146</v>
      </c>
      <c r="AO315" s="100">
        <v>46262.040405092594</v>
      </c>
      <c r="AP315" t="s">
        <v>1147</v>
      </c>
      <c r="AQ315" t="s">
        <v>1842</v>
      </c>
      <c r="AR315" t="s">
        <v>1210</v>
      </c>
      <c r="AS315" t="s">
        <v>1150</v>
      </c>
      <c r="AT315" t="s">
        <v>1816</v>
      </c>
      <c r="AU315">
        <v>25</v>
      </c>
      <c r="AV315">
        <v>72.155820000000006</v>
      </c>
      <c r="AW315">
        <v>0.74372419675127821</v>
      </c>
      <c r="AX315">
        <v>1.0307196242122647</v>
      </c>
      <c r="AY315">
        <v>-1.2048563495588844</v>
      </c>
      <c r="AZ315">
        <v>2.9055437295091213</v>
      </c>
      <c r="BA315">
        <v>1.1688005296958408</v>
      </c>
      <c r="BB315" t="s">
        <v>4619</v>
      </c>
      <c r="BD315" s="98"/>
      <c r="BE315" s="98"/>
      <c r="BF315" t="s">
        <v>1152</v>
      </c>
      <c r="BG315" t="s">
        <v>322</v>
      </c>
      <c r="BH315" t="s">
        <v>1153</v>
      </c>
      <c r="BI315">
        <v>1.2048563495588844</v>
      </c>
      <c r="BJ315" t="s">
        <v>991</v>
      </c>
      <c r="BK315">
        <v>-0.49598173720304395</v>
      </c>
      <c r="BL315">
        <v>-20.583896110029666</v>
      </c>
      <c r="BM315" t="s">
        <v>1021</v>
      </c>
      <c r="BN315" t="s">
        <v>1154</v>
      </c>
      <c r="BO315">
        <v>2025</v>
      </c>
      <c r="BP315" t="s">
        <v>966</v>
      </c>
      <c r="BQ315">
        <v>629753.08985003456</v>
      </c>
      <c r="BR315">
        <v>37.024691014996542</v>
      </c>
      <c r="BS315" t="s">
        <v>992</v>
      </c>
      <c r="BV315" t="s">
        <v>1034</v>
      </c>
      <c r="BW315" t="s">
        <v>943</v>
      </c>
      <c r="BX315" t="s">
        <v>994</v>
      </c>
      <c r="BY315">
        <v>1.1688005296958408</v>
      </c>
      <c r="BZ315" t="s">
        <v>1155</v>
      </c>
      <c r="CA315" t="s">
        <v>991</v>
      </c>
      <c r="CB315" t="b">
        <v>1</v>
      </c>
      <c r="CC315" t="b">
        <v>1</v>
      </c>
      <c r="CD315" t="b">
        <v>1</v>
      </c>
      <c r="CE315" t="b">
        <v>1</v>
      </c>
      <c r="CF315" t="b">
        <v>1</v>
      </c>
    </row>
    <row r="316" spans="1:84" x14ac:dyDescent="0.3">
      <c r="A316" t="s">
        <v>1843</v>
      </c>
      <c r="B316" t="s">
        <v>1212</v>
      </c>
      <c r="C316" s="98">
        <v>45761</v>
      </c>
      <c r="D316">
        <v>2025</v>
      </c>
      <c r="E316">
        <v>4</v>
      </c>
      <c r="F316">
        <v>2</v>
      </c>
      <c r="G316" t="s">
        <v>1208</v>
      </c>
      <c r="H316" t="s">
        <v>129</v>
      </c>
      <c r="I316" t="s">
        <v>129</v>
      </c>
      <c r="J316" t="s">
        <v>6</v>
      </c>
      <c r="L316">
        <v>522611</v>
      </c>
      <c r="M316" s="99" t="s">
        <v>178</v>
      </c>
      <c r="N316">
        <v>1</v>
      </c>
      <c r="O316">
        <v>15</v>
      </c>
      <c r="P316">
        <v>71.949200000000005</v>
      </c>
      <c r="Q316" t="s">
        <v>352</v>
      </c>
      <c r="R316">
        <v>1</v>
      </c>
      <c r="S316">
        <v>72.148300000000006</v>
      </c>
      <c r="T316">
        <v>0.90059999999999996</v>
      </c>
      <c r="U316">
        <v>-0.22107483899622629</v>
      </c>
      <c r="V316">
        <v>69.4465</v>
      </c>
      <c r="W316">
        <v>70.347100000000012</v>
      </c>
      <c r="X316">
        <v>71.247700000000009</v>
      </c>
      <c r="Y316">
        <v>73.048900000000003</v>
      </c>
      <c r="Z316">
        <v>73.9495</v>
      </c>
      <c r="AA316">
        <v>74.850100000000012</v>
      </c>
      <c r="AD316">
        <v>2.4095619923060774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 t="s">
        <v>462</v>
      </c>
      <c r="AL316" t="s">
        <v>6</v>
      </c>
      <c r="AM316" t="s">
        <v>1145</v>
      </c>
      <c r="AN316" t="s">
        <v>1146</v>
      </c>
      <c r="AO316" s="100">
        <v>46262.040405092594</v>
      </c>
      <c r="AP316" t="s">
        <v>1147</v>
      </c>
      <c r="AQ316" t="s">
        <v>1844</v>
      </c>
      <c r="AR316" t="s">
        <v>1215</v>
      </c>
      <c r="AS316" t="s">
        <v>1150</v>
      </c>
      <c r="AT316" t="s">
        <v>1816</v>
      </c>
      <c r="AU316">
        <v>25</v>
      </c>
      <c r="AV316">
        <v>72.155820000000006</v>
      </c>
      <c r="AW316">
        <v>0.74372419675127821</v>
      </c>
      <c r="AX316">
        <v>1.0307196242122647</v>
      </c>
      <c r="AY316">
        <v>-1.2048563495588844</v>
      </c>
      <c r="AZ316">
        <v>2.9055437295091213</v>
      </c>
      <c r="BA316">
        <v>1.1688005296958408</v>
      </c>
      <c r="BB316" t="s">
        <v>4619</v>
      </c>
      <c r="BD316" s="98"/>
      <c r="BE316" s="98"/>
      <c r="BF316" t="s">
        <v>1152</v>
      </c>
      <c r="BG316" t="s">
        <v>322</v>
      </c>
      <c r="BH316" t="s">
        <v>1153</v>
      </c>
      <c r="BI316">
        <v>1.2048563495588844</v>
      </c>
      <c r="BJ316" t="s">
        <v>991</v>
      </c>
      <c r="BK316">
        <v>-0.49598173720304395</v>
      </c>
      <c r="BL316">
        <v>-20.583896110029666</v>
      </c>
      <c r="BM316" t="s">
        <v>1021</v>
      </c>
      <c r="BN316" t="s">
        <v>1154</v>
      </c>
      <c r="BO316">
        <v>2025</v>
      </c>
      <c r="BP316" t="s">
        <v>966</v>
      </c>
      <c r="BQ316">
        <v>629753.08985003456</v>
      </c>
      <c r="BR316">
        <v>37.024691014996542</v>
      </c>
      <c r="BS316" t="s">
        <v>992</v>
      </c>
      <c r="BV316" t="s">
        <v>1034</v>
      </c>
      <c r="BW316" t="s">
        <v>943</v>
      </c>
      <c r="BX316" t="s">
        <v>994</v>
      </c>
      <c r="BY316">
        <v>1.1688005296958408</v>
      </c>
      <c r="BZ316" t="s">
        <v>1155</v>
      </c>
      <c r="CA316" t="s">
        <v>991</v>
      </c>
      <c r="CB316" t="b">
        <v>1</v>
      </c>
      <c r="CC316" t="b">
        <v>1</v>
      </c>
      <c r="CD316" t="b">
        <v>1</v>
      </c>
      <c r="CE316" t="b">
        <v>1</v>
      </c>
      <c r="CF316" t="b">
        <v>1</v>
      </c>
    </row>
    <row r="317" spans="1:84" x14ac:dyDescent="0.3">
      <c r="A317" t="s">
        <v>1845</v>
      </c>
      <c r="B317" t="s">
        <v>1217</v>
      </c>
      <c r="C317" s="98">
        <v>45768</v>
      </c>
      <c r="D317">
        <v>2025</v>
      </c>
      <c r="E317">
        <v>4</v>
      </c>
      <c r="F317">
        <v>2</v>
      </c>
      <c r="G317" t="s">
        <v>1208</v>
      </c>
      <c r="H317" t="s">
        <v>129</v>
      </c>
      <c r="I317" t="s">
        <v>129</v>
      </c>
      <c r="J317" t="s">
        <v>6</v>
      </c>
      <c r="L317">
        <v>522611</v>
      </c>
      <c r="M317" s="99" t="s">
        <v>178</v>
      </c>
      <c r="N317">
        <v>1</v>
      </c>
      <c r="O317">
        <v>16</v>
      </c>
      <c r="P317">
        <v>72.247</v>
      </c>
      <c r="Q317" t="s">
        <v>352</v>
      </c>
      <c r="R317">
        <v>1</v>
      </c>
      <c r="S317">
        <v>72.148300000000006</v>
      </c>
      <c r="T317">
        <v>0.90059999999999996</v>
      </c>
      <c r="U317">
        <v>0.10959360426381723</v>
      </c>
      <c r="V317">
        <v>69.4465</v>
      </c>
      <c r="W317">
        <v>70.347100000000012</v>
      </c>
      <c r="X317">
        <v>71.247700000000009</v>
      </c>
      <c r="Y317">
        <v>73.048900000000003</v>
      </c>
      <c r="Z317">
        <v>73.9495</v>
      </c>
      <c r="AA317">
        <v>74.850100000000012</v>
      </c>
      <c r="AD317">
        <v>2.4095619923060774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 t="s">
        <v>462</v>
      </c>
      <c r="AL317" t="s">
        <v>6</v>
      </c>
      <c r="AM317" t="s">
        <v>1145</v>
      </c>
      <c r="AN317" t="s">
        <v>1146</v>
      </c>
      <c r="AO317" s="100">
        <v>46262.040405092594</v>
      </c>
      <c r="AP317" t="s">
        <v>1147</v>
      </c>
      <c r="AQ317" t="s">
        <v>1846</v>
      </c>
      <c r="AR317" t="s">
        <v>1219</v>
      </c>
      <c r="AS317" t="s">
        <v>1150</v>
      </c>
      <c r="AT317" t="s">
        <v>1816</v>
      </c>
      <c r="AU317">
        <v>25</v>
      </c>
      <c r="AV317">
        <v>72.155820000000006</v>
      </c>
      <c r="AW317">
        <v>0.74372419675127821</v>
      </c>
      <c r="AX317">
        <v>1.0307196242122647</v>
      </c>
      <c r="AY317">
        <v>-1.2048563495588844</v>
      </c>
      <c r="AZ317">
        <v>2.9055437295091213</v>
      </c>
      <c r="BA317">
        <v>1.1688005296958408</v>
      </c>
      <c r="BB317" t="s">
        <v>4619</v>
      </c>
      <c r="BD317" s="98"/>
      <c r="BE317" s="98"/>
      <c r="BF317" t="s">
        <v>1152</v>
      </c>
      <c r="BG317" t="s">
        <v>322</v>
      </c>
      <c r="BH317" t="s">
        <v>1153</v>
      </c>
      <c r="BI317">
        <v>1.2048563495588844</v>
      </c>
      <c r="BJ317" t="s">
        <v>991</v>
      </c>
      <c r="BK317">
        <v>-0.49598173720304395</v>
      </c>
      <c r="BL317">
        <v>-20.583896110029666</v>
      </c>
      <c r="BM317" t="s">
        <v>1021</v>
      </c>
      <c r="BN317" t="s">
        <v>1154</v>
      </c>
      <c r="BO317">
        <v>2025</v>
      </c>
      <c r="BP317" t="s">
        <v>966</v>
      </c>
      <c r="BQ317">
        <v>629753.08985003456</v>
      </c>
      <c r="BR317">
        <v>37.024691014996542</v>
      </c>
      <c r="BS317" t="s">
        <v>992</v>
      </c>
      <c r="BV317" t="s">
        <v>1034</v>
      </c>
      <c r="BW317" t="s">
        <v>943</v>
      </c>
      <c r="BX317" t="s">
        <v>994</v>
      </c>
      <c r="BY317">
        <v>1.1688005296958408</v>
      </c>
      <c r="BZ317" t="s">
        <v>1155</v>
      </c>
      <c r="CA317" t="s">
        <v>991</v>
      </c>
      <c r="CB317" t="b">
        <v>1</v>
      </c>
      <c r="CC317" t="b">
        <v>1</v>
      </c>
      <c r="CD317" t="b">
        <v>1</v>
      </c>
      <c r="CE317" t="b">
        <v>1</v>
      </c>
      <c r="CF317" t="b">
        <v>1</v>
      </c>
    </row>
    <row r="318" spans="1:84" x14ac:dyDescent="0.3">
      <c r="A318" t="s">
        <v>1847</v>
      </c>
      <c r="B318" t="s">
        <v>1221</v>
      </c>
      <c r="C318" s="98">
        <v>45775</v>
      </c>
      <c r="D318">
        <v>2025</v>
      </c>
      <c r="E318">
        <v>4</v>
      </c>
      <c r="F318">
        <v>2</v>
      </c>
      <c r="G318" t="s">
        <v>1208</v>
      </c>
      <c r="H318" t="s">
        <v>129</v>
      </c>
      <c r="I318" t="s">
        <v>129</v>
      </c>
      <c r="J318" t="s">
        <v>6</v>
      </c>
      <c r="L318">
        <v>522611</v>
      </c>
      <c r="M318" s="99" t="s">
        <v>178</v>
      </c>
      <c r="N318">
        <v>1</v>
      </c>
      <c r="O318">
        <v>17</v>
      </c>
      <c r="P318">
        <v>70.713499999999996</v>
      </c>
      <c r="Q318" t="s">
        <v>352</v>
      </c>
      <c r="R318">
        <v>1</v>
      </c>
      <c r="S318">
        <v>72.148300000000006</v>
      </c>
      <c r="T318">
        <v>0.90059999999999996</v>
      </c>
      <c r="U318">
        <v>-1.5931601154785808</v>
      </c>
      <c r="V318">
        <v>69.4465</v>
      </c>
      <c r="W318">
        <v>70.347100000000012</v>
      </c>
      <c r="X318">
        <v>71.247700000000009</v>
      </c>
      <c r="Y318">
        <v>73.048900000000003</v>
      </c>
      <c r="Z318">
        <v>73.9495</v>
      </c>
      <c r="AA318">
        <v>74.850100000000012</v>
      </c>
      <c r="AD318">
        <v>2.4095619923060774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 t="s">
        <v>462</v>
      </c>
      <c r="AL318" t="s">
        <v>6</v>
      </c>
      <c r="AM318" t="s">
        <v>1145</v>
      </c>
      <c r="AN318" t="s">
        <v>1146</v>
      </c>
      <c r="AO318" s="100">
        <v>46262.040405092594</v>
      </c>
      <c r="AP318" t="s">
        <v>1147</v>
      </c>
      <c r="AQ318" t="s">
        <v>1848</v>
      </c>
      <c r="AR318" t="s">
        <v>1223</v>
      </c>
      <c r="AS318" t="s">
        <v>1150</v>
      </c>
      <c r="AT318" t="s">
        <v>1816</v>
      </c>
      <c r="AU318">
        <v>25</v>
      </c>
      <c r="AV318">
        <v>72.155820000000006</v>
      </c>
      <c r="AW318">
        <v>0.74372419675127821</v>
      </c>
      <c r="AX318">
        <v>1.0307196242122647</v>
      </c>
      <c r="AY318">
        <v>-1.2048563495588844</v>
      </c>
      <c r="AZ318">
        <v>2.9055437295091213</v>
      </c>
      <c r="BA318">
        <v>1.1688005296958408</v>
      </c>
      <c r="BB318" t="s">
        <v>4619</v>
      </c>
      <c r="BD318" s="98"/>
      <c r="BE318" s="98"/>
      <c r="BF318" t="s">
        <v>1152</v>
      </c>
      <c r="BG318" t="s">
        <v>322</v>
      </c>
      <c r="BH318" t="s">
        <v>1153</v>
      </c>
      <c r="BI318">
        <v>1.2048563495588844</v>
      </c>
      <c r="BJ318" t="s">
        <v>991</v>
      </c>
      <c r="BK318">
        <v>-0.49598173720304395</v>
      </c>
      <c r="BL318">
        <v>-20.583896110029666</v>
      </c>
      <c r="BM318" t="s">
        <v>1021</v>
      </c>
      <c r="BN318" t="s">
        <v>1154</v>
      </c>
      <c r="BO318">
        <v>2025</v>
      </c>
      <c r="BP318" t="s">
        <v>966</v>
      </c>
      <c r="BQ318">
        <v>629753.08985003456</v>
      </c>
      <c r="BR318">
        <v>37.024691014996542</v>
      </c>
      <c r="BS318" t="s">
        <v>992</v>
      </c>
      <c r="BV318" t="s">
        <v>1034</v>
      </c>
      <c r="BW318" t="s">
        <v>943</v>
      </c>
      <c r="BX318" t="s">
        <v>994</v>
      </c>
      <c r="BY318">
        <v>1.1688005296958408</v>
      </c>
      <c r="BZ318" t="s">
        <v>1155</v>
      </c>
      <c r="CA318" t="s">
        <v>991</v>
      </c>
      <c r="CB318" t="b">
        <v>1</v>
      </c>
      <c r="CC318" t="b">
        <v>1</v>
      </c>
      <c r="CD318" t="b">
        <v>1</v>
      </c>
      <c r="CE318" t="b">
        <v>1</v>
      </c>
      <c r="CF318" t="b">
        <v>1</v>
      </c>
    </row>
    <row r="319" spans="1:84" x14ac:dyDescent="0.3">
      <c r="A319" t="s">
        <v>1849</v>
      </c>
      <c r="B319" t="s">
        <v>1225</v>
      </c>
      <c r="C319" s="98">
        <v>45782</v>
      </c>
      <c r="D319">
        <v>2025</v>
      </c>
      <c r="E319">
        <v>5</v>
      </c>
      <c r="F319">
        <v>2</v>
      </c>
      <c r="G319" t="s">
        <v>1226</v>
      </c>
      <c r="H319" t="s">
        <v>129</v>
      </c>
      <c r="I319" t="s">
        <v>129</v>
      </c>
      <c r="J319" t="s">
        <v>6</v>
      </c>
      <c r="L319">
        <v>522611</v>
      </c>
      <c r="M319" s="99" t="s">
        <v>178</v>
      </c>
      <c r="N319">
        <v>1</v>
      </c>
      <c r="O319">
        <v>18</v>
      </c>
      <c r="P319">
        <v>71.936300000000003</v>
      </c>
      <c r="Q319" t="s">
        <v>352</v>
      </c>
      <c r="R319">
        <v>1</v>
      </c>
      <c r="S319">
        <v>72.148300000000006</v>
      </c>
      <c r="T319">
        <v>0.90059999999999996</v>
      </c>
      <c r="U319">
        <v>-0.23539862314013246</v>
      </c>
      <c r="V319">
        <v>69.4465</v>
      </c>
      <c r="W319">
        <v>70.347100000000012</v>
      </c>
      <c r="X319">
        <v>71.247700000000009</v>
      </c>
      <c r="Y319">
        <v>73.048900000000003</v>
      </c>
      <c r="Z319">
        <v>73.9495</v>
      </c>
      <c r="AA319">
        <v>74.850100000000012</v>
      </c>
      <c r="AD319">
        <v>2.4095619923060774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 t="s">
        <v>462</v>
      </c>
      <c r="AL319" t="s">
        <v>6</v>
      </c>
      <c r="AM319" t="s">
        <v>1145</v>
      </c>
      <c r="AN319" t="s">
        <v>1146</v>
      </c>
      <c r="AO319" s="100">
        <v>46262.040405092594</v>
      </c>
      <c r="AP319" t="s">
        <v>1147</v>
      </c>
      <c r="AQ319" t="s">
        <v>1850</v>
      </c>
      <c r="AR319" t="s">
        <v>1228</v>
      </c>
      <c r="AS319" t="s">
        <v>1150</v>
      </c>
      <c r="AT319" t="s">
        <v>1816</v>
      </c>
      <c r="AU319">
        <v>25</v>
      </c>
      <c r="AV319">
        <v>72.155820000000006</v>
      </c>
      <c r="AW319">
        <v>0.74372419675127821</v>
      </c>
      <c r="AX319">
        <v>1.0307196242122647</v>
      </c>
      <c r="AY319">
        <v>-1.2048563495588844</v>
      </c>
      <c r="AZ319">
        <v>2.9055437295091213</v>
      </c>
      <c r="BA319">
        <v>1.1688005296958408</v>
      </c>
      <c r="BB319" t="s">
        <v>4619</v>
      </c>
      <c r="BD319" s="98"/>
      <c r="BE319" s="98"/>
      <c r="BF319" t="s">
        <v>1152</v>
      </c>
      <c r="BG319" t="s">
        <v>322</v>
      </c>
      <c r="BH319" t="s">
        <v>1153</v>
      </c>
      <c r="BI319">
        <v>1.2048563495588844</v>
      </c>
      <c r="BJ319" t="s">
        <v>991</v>
      </c>
      <c r="BK319">
        <v>-0.49598173720304395</v>
      </c>
      <c r="BL319">
        <v>-20.583896110029666</v>
      </c>
      <c r="BM319" t="s">
        <v>1021</v>
      </c>
      <c r="BN319" t="s">
        <v>1154</v>
      </c>
      <c r="BO319">
        <v>2025</v>
      </c>
      <c r="BP319" t="s">
        <v>966</v>
      </c>
      <c r="BQ319">
        <v>629753.08985003456</v>
      </c>
      <c r="BR319">
        <v>37.024691014996542</v>
      </c>
      <c r="BS319" t="s">
        <v>992</v>
      </c>
      <c r="BV319" t="s">
        <v>1034</v>
      </c>
      <c r="BW319" t="s">
        <v>943</v>
      </c>
      <c r="BX319" t="s">
        <v>994</v>
      </c>
      <c r="BY319">
        <v>1.1688005296958408</v>
      </c>
      <c r="BZ319" t="s">
        <v>1155</v>
      </c>
      <c r="CA319" t="s">
        <v>991</v>
      </c>
      <c r="CB319" t="b">
        <v>1</v>
      </c>
      <c r="CC319" t="b">
        <v>1</v>
      </c>
      <c r="CD319" t="b">
        <v>1</v>
      </c>
      <c r="CE319" t="b">
        <v>1</v>
      </c>
      <c r="CF319" t="b">
        <v>1</v>
      </c>
    </row>
    <row r="320" spans="1:84" x14ac:dyDescent="0.3">
      <c r="A320" t="s">
        <v>1851</v>
      </c>
      <c r="B320" t="s">
        <v>1230</v>
      </c>
      <c r="C320" s="98">
        <v>45789</v>
      </c>
      <c r="D320">
        <v>2025</v>
      </c>
      <c r="E320">
        <v>5</v>
      </c>
      <c r="F320">
        <v>2</v>
      </c>
      <c r="G320" t="s">
        <v>1226</v>
      </c>
      <c r="H320" t="s">
        <v>129</v>
      </c>
      <c r="I320" t="s">
        <v>129</v>
      </c>
      <c r="J320" t="s">
        <v>6</v>
      </c>
      <c r="L320">
        <v>522611</v>
      </c>
      <c r="M320" s="99" t="s">
        <v>178</v>
      </c>
      <c r="N320">
        <v>1</v>
      </c>
      <c r="O320">
        <v>19</v>
      </c>
      <c r="P320">
        <v>71.378799999999998</v>
      </c>
      <c r="Q320" t="s">
        <v>352</v>
      </c>
      <c r="R320">
        <v>1</v>
      </c>
      <c r="S320">
        <v>72.148300000000006</v>
      </c>
      <c r="T320">
        <v>0.90059999999999996</v>
      </c>
      <c r="U320">
        <v>-0.85443037974684422</v>
      </c>
      <c r="V320">
        <v>69.4465</v>
      </c>
      <c r="W320">
        <v>70.347100000000012</v>
      </c>
      <c r="X320">
        <v>71.247700000000009</v>
      </c>
      <c r="Y320">
        <v>73.048900000000003</v>
      </c>
      <c r="Z320">
        <v>73.9495</v>
      </c>
      <c r="AA320">
        <v>74.850100000000012</v>
      </c>
      <c r="AD320">
        <v>2.4095619923060774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 t="s">
        <v>462</v>
      </c>
      <c r="AL320" t="s">
        <v>6</v>
      </c>
      <c r="AM320" t="s">
        <v>1145</v>
      </c>
      <c r="AN320" t="s">
        <v>1146</v>
      </c>
      <c r="AO320" s="100">
        <v>46262.040405092594</v>
      </c>
      <c r="AP320" t="s">
        <v>1147</v>
      </c>
      <c r="AQ320" t="s">
        <v>1852</v>
      </c>
      <c r="AR320" t="s">
        <v>1232</v>
      </c>
      <c r="AS320" t="s">
        <v>1150</v>
      </c>
      <c r="AT320" t="s">
        <v>1816</v>
      </c>
      <c r="AU320">
        <v>25</v>
      </c>
      <c r="AV320">
        <v>72.155820000000006</v>
      </c>
      <c r="AW320">
        <v>0.74372419675127821</v>
      </c>
      <c r="AX320">
        <v>1.0307196242122647</v>
      </c>
      <c r="AY320">
        <v>-1.2048563495588844</v>
      </c>
      <c r="AZ320">
        <v>2.9055437295091213</v>
      </c>
      <c r="BA320">
        <v>1.1688005296958408</v>
      </c>
      <c r="BB320" t="s">
        <v>4619</v>
      </c>
      <c r="BD320" s="98"/>
      <c r="BE320" s="98"/>
      <c r="BF320" t="s">
        <v>1152</v>
      </c>
      <c r="BG320" t="s">
        <v>322</v>
      </c>
      <c r="BH320" t="s">
        <v>1153</v>
      </c>
      <c r="BI320">
        <v>1.2048563495588844</v>
      </c>
      <c r="BJ320" t="s">
        <v>991</v>
      </c>
      <c r="BK320">
        <v>-0.49598173720304395</v>
      </c>
      <c r="BL320">
        <v>-20.583896110029666</v>
      </c>
      <c r="BM320" t="s">
        <v>1021</v>
      </c>
      <c r="BN320" t="s">
        <v>1154</v>
      </c>
      <c r="BO320">
        <v>2025</v>
      </c>
      <c r="BP320" t="s">
        <v>966</v>
      </c>
      <c r="BQ320">
        <v>629753.08985003456</v>
      </c>
      <c r="BR320">
        <v>37.024691014996542</v>
      </c>
      <c r="BS320" t="s">
        <v>992</v>
      </c>
      <c r="BV320" t="s">
        <v>1034</v>
      </c>
      <c r="BW320" t="s">
        <v>943</v>
      </c>
      <c r="BX320" t="s">
        <v>994</v>
      </c>
      <c r="BY320">
        <v>1.1688005296958408</v>
      </c>
      <c r="BZ320" t="s">
        <v>1155</v>
      </c>
      <c r="CA320" t="s">
        <v>991</v>
      </c>
      <c r="CB320" t="b">
        <v>1</v>
      </c>
      <c r="CC320" t="b">
        <v>1</v>
      </c>
      <c r="CD320" t="b">
        <v>1</v>
      </c>
      <c r="CE320" t="b">
        <v>1</v>
      </c>
      <c r="CF320" t="b">
        <v>1</v>
      </c>
    </row>
    <row r="321" spans="1:84" x14ac:dyDescent="0.3">
      <c r="A321" t="s">
        <v>1853</v>
      </c>
      <c r="B321" t="s">
        <v>1234</v>
      </c>
      <c r="C321" s="98">
        <v>45796</v>
      </c>
      <c r="D321">
        <v>2025</v>
      </c>
      <c r="E321">
        <v>5</v>
      </c>
      <c r="F321">
        <v>2</v>
      </c>
      <c r="G321" t="s">
        <v>1226</v>
      </c>
      <c r="H321" t="s">
        <v>129</v>
      </c>
      <c r="I321" t="s">
        <v>129</v>
      </c>
      <c r="J321" t="s">
        <v>6</v>
      </c>
      <c r="L321">
        <v>522611</v>
      </c>
      <c r="M321" s="99" t="s">
        <v>178</v>
      </c>
      <c r="N321">
        <v>1</v>
      </c>
      <c r="O321">
        <v>20</v>
      </c>
      <c r="P321">
        <v>72.944999999999993</v>
      </c>
      <c r="Q321" t="s">
        <v>352</v>
      </c>
      <c r="R321">
        <v>1</v>
      </c>
      <c r="S321">
        <v>72.148300000000006</v>
      </c>
      <c r="T321">
        <v>0.90059999999999996</v>
      </c>
      <c r="U321">
        <v>0.88463246724404521</v>
      </c>
      <c r="V321">
        <v>69.4465</v>
      </c>
      <c r="W321">
        <v>70.347100000000012</v>
      </c>
      <c r="X321">
        <v>71.247700000000009</v>
      </c>
      <c r="Y321">
        <v>73.048900000000003</v>
      </c>
      <c r="Z321">
        <v>73.9495</v>
      </c>
      <c r="AA321">
        <v>74.850100000000012</v>
      </c>
      <c r="AD321">
        <v>2.4095619923060774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 t="s">
        <v>462</v>
      </c>
      <c r="AL321" t="s">
        <v>6</v>
      </c>
      <c r="AM321" t="s">
        <v>1145</v>
      </c>
      <c r="AN321" t="s">
        <v>1146</v>
      </c>
      <c r="AO321" s="100">
        <v>46262.040405092594</v>
      </c>
      <c r="AP321" t="s">
        <v>1147</v>
      </c>
      <c r="AQ321" t="s">
        <v>1854</v>
      </c>
      <c r="AR321" t="s">
        <v>1236</v>
      </c>
      <c r="AS321" t="s">
        <v>1150</v>
      </c>
      <c r="AT321" t="s">
        <v>1816</v>
      </c>
      <c r="AU321">
        <v>25</v>
      </c>
      <c r="AV321">
        <v>72.155820000000006</v>
      </c>
      <c r="AW321">
        <v>0.74372419675127821</v>
      </c>
      <c r="AX321">
        <v>1.0307196242122647</v>
      </c>
      <c r="AY321">
        <v>-1.2048563495588844</v>
      </c>
      <c r="AZ321">
        <v>2.9055437295091213</v>
      </c>
      <c r="BA321">
        <v>1.1688005296958408</v>
      </c>
      <c r="BB321" t="s">
        <v>4619</v>
      </c>
      <c r="BD321" s="98"/>
      <c r="BE321" s="98"/>
      <c r="BF321" t="s">
        <v>1152</v>
      </c>
      <c r="BG321" t="s">
        <v>322</v>
      </c>
      <c r="BH321" t="s">
        <v>1153</v>
      </c>
      <c r="BI321">
        <v>1.2048563495588844</v>
      </c>
      <c r="BJ321" t="s">
        <v>991</v>
      </c>
      <c r="BK321">
        <v>-0.49598173720304395</v>
      </c>
      <c r="BL321">
        <v>-20.583896110029666</v>
      </c>
      <c r="BM321" t="s">
        <v>1021</v>
      </c>
      <c r="BN321" t="s">
        <v>1154</v>
      </c>
      <c r="BO321">
        <v>2025</v>
      </c>
      <c r="BP321" t="s">
        <v>966</v>
      </c>
      <c r="BQ321">
        <v>629753.08985003456</v>
      </c>
      <c r="BR321">
        <v>37.024691014996542</v>
      </c>
      <c r="BS321" t="s">
        <v>992</v>
      </c>
      <c r="BV321" t="s">
        <v>1034</v>
      </c>
      <c r="BW321" t="s">
        <v>943</v>
      </c>
      <c r="BX321" t="s">
        <v>994</v>
      </c>
      <c r="BY321">
        <v>1.1688005296958408</v>
      </c>
      <c r="BZ321" t="s">
        <v>1155</v>
      </c>
      <c r="CA321" t="s">
        <v>991</v>
      </c>
      <c r="CB321" t="b">
        <v>1</v>
      </c>
      <c r="CC321" t="b">
        <v>1</v>
      </c>
      <c r="CD321" t="b">
        <v>1</v>
      </c>
      <c r="CE321" t="b">
        <v>1</v>
      </c>
      <c r="CF321" t="b">
        <v>1</v>
      </c>
    </row>
    <row r="322" spans="1:84" x14ac:dyDescent="0.3">
      <c r="A322" t="s">
        <v>1855</v>
      </c>
      <c r="B322" t="s">
        <v>1238</v>
      </c>
      <c r="C322" s="98">
        <v>45803</v>
      </c>
      <c r="D322">
        <v>2025</v>
      </c>
      <c r="E322">
        <v>5</v>
      </c>
      <c r="F322">
        <v>2</v>
      </c>
      <c r="G322" t="s">
        <v>1226</v>
      </c>
      <c r="H322" t="s">
        <v>129</v>
      </c>
      <c r="I322" t="s">
        <v>129</v>
      </c>
      <c r="J322" t="s">
        <v>6</v>
      </c>
      <c r="L322">
        <v>522611</v>
      </c>
      <c r="M322" s="99" t="s">
        <v>178</v>
      </c>
      <c r="N322">
        <v>1</v>
      </c>
      <c r="O322">
        <v>21</v>
      </c>
      <c r="P322">
        <v>71.4542</v>
      </c>
      <c r="Q322" t="s">
        <v>352</v>
      </c>
      <c r="R322">
        <v>1</v>
      </c>
      <c r="S322">
        <v>72.148300000000006</v>
      </c>
      <c r="T322">
        <v>0.90059999999999996</v>
      </c>
      <c r="U322">
        <v>-0.77070841661115475</v>
      </c>
      <c r="V322">
        <v>69.4465</v>
      </c>
      <c r="W322">
        <v>70.347100000000012</v>
      </c>
      <c r="X322">
        <v>71.247700000000009</v>
      </c>
      <c r="Y322">
        <v>73.048900000000003</v>
      </c>
      <c r="Z322">
        <v>73.9495</v>
      </c>
      <c r="AA322">
        <v>74.850100000000012</v>
      </c>
      <c r="AD322">
        <v>2.4095619923060774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 t="s">
        <v>462</v>
      </c>
      <c r="AL322" t="s">
        <v>6</v>
      </c>
      <c r="AM322" t="s">
        <v>1145</v>
      </c>
      <c r="AN322" t="s">
        <v>1146</v>
      </c>
      <c r="AO322" s="100">
        <v>46262.040405092594</v>
      </c>
      <c r="AP322" t="s">
        <v>1147</v>
      </c>
      <c r="AQ322" t="s">
        <v>1856</v>
      </c>
      <c r="AR322" t="s">
        <v>1240</v>
      </c>
      <c r="AS322" t="s">
        <v>1150</v>
      </c>
      <c r="AT322" t="s">
        <v>1816</v>
      </c>
      <c r="AU322">
        <v>25</v>
      </c>
      <c r="AV322">
        <v>72.155820000000006</v>
      </c>
      <c r="AW322">
        <v>0.74372419675127821</v>
      </c>
      <c r="AX322">
        <v>1.0307196242122647</v>
      </c>
      <c r="AY322">
        <v>-1.2048563495588844</v>
      </c>
      <c r="AZ322">
        <v>2.9055437295091213</v>
      </c>
      <c r="BA322">
        <v>1.1688005296958408</v>
      </c>
      <c r="BB322" t="s">
        <v>4619</v>
      </c>
      <c r="BD322" s="98"/>
      <c r="BE322" s="98"/>
      <c r="BF322" t="s">
        <v>1152</v>
      </c>
      <c r="BG322" t="s">
        <v>322</v>
      </c>
      <c r="BH322" t="s">
        <v>1153</v>
      </c>
      <c r="BI322">
        <v>1.2048563495588844</v>
      </c>
      <c r="BJ322" t="s">
        <v>991</v>
      </c>
      <c r="BK322">
        <v>-0.49598173720304395</v>
      </c>
      <c r="BL322">
        <v>-20.583896110029666</v>
      </c>
      <c r="BM322" t="s">
        <v>1021</v>
      </c>
      <c r="BN322" t="s">
        <v>1154</v>
      </c>
      <c r="BO322">
        <v>2025</v>
      </c>
      <c r="BP322" t="s">
        <v>966</v>
      </c>
      <c r="BQ322">
        <v>629753.08985003456</v>
      </c>
      <c r="BR322">
        <v>37.024691014996542</v>
      </c>
      <c r="BS322" t="s">
        <v>992</v>
      </c>
      <c r="BV322" t="s">
        <v>1034</v>
      </c>
      <c r="BW322" t="s">
        <v>943</v>
      </c>
      <c r="BX322" t="s">
        <v>994</v>
      </c>
      <c r="BY322">
        <v>1.1688005296958408</v>
      </c>
      <c r="BZ322" t="s">
        <v>1155</v>
      </c>
      <c r="CA322" t="s">
        <v>991</v>
      </c>
      <c r="CB322" t="b">
        <v>1</v>
      </c>
      <c r="CC322" t="b">
        <v>1</v>
      </c>
      <c r="CD322" t="b">
        <v>1</v>
      </c>
      <c r="CE322" t="b">
        <v>1</v>
      </c>
      <c r="CF322" t="b">
        <v>1</v>
      </c>
    </row>
    <row r="323" spans="1:84" x14ac:dyDescent="0.3">
      <c r="A323" t="s">
        <v>1857</v>
      </c>
      <c r="B323" t="s">
        <v>1242</v>
      </c>
      <c r="C323" s="98">
        <v>45810</v>
      </c>
      <c r="D323">
        <v>2025</v>
      </c>
      <c r="E323">
        <v>6</v>
      </c>
      <c r="F323">
        <v>2</v>
      </c>
      <c r="G323" t="s">
        <v>1243</v>
      </c>
      <c r="H323" t="s">
        <v>129</v>
      </c>
      <c r="I323" t="s">
        <v>129</v>
      </c>
      <c r="J323" t="s">
        <v>6</v>
      </c>
      <c r="L323">
        <v>522611</v>
      </c>
      <c r="M323" s="99" t="s">
        <v>178</v>
      </c>
      <c r="N323">
        <v>1</v>
      </c>
      <c r="O323">
        <v>22</v>
      </c>
      <c r="P323">
        <v>72.668000000000006</v>
      </c>
      <c r="Q323" t="s">
        <v>352</v>
      </c>
      <c r="R323">
        <v>1</v>
      </c>
      <c r="S323">
        <v>72.148300000000006</v>
      </c>
      <c r="T323">
        <v>0.90059999999999996</v>
      </c>
      <c r="U323">
        <v>0.57705973795247645</v>
      </c>
      <c r="V323">
        <v>69.4465</v>
      </c>
      <c r="W323">
        <v>70.347100000000012</v>
      </c>
      <c r="X323">
        <v>71.247700000000009</v>
      </c>
      <c r="Y323">
        <v>73.048900000000003</v>
      </c>
      <c r="Z323">
        <v>73.9495</v>
      </c>
      <c r="AA323">
        <v>74.850100000000012</v>
      </c>
      <c r="AD323">
        <v>2.4095619923060774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 t="s">
        <v>462</v>
      </c>
      <c r="AL323" t="s">
        <v>6</v>
      </c>
      <c r="AM323" t="s">
        <v>1145</v>
      </c>
      <c r="AN323" t="s">
        <v>1146</v>
      </c>
      <c r="AO323" s="100">
        <v>46262.040405092594</v>
      </c>
      <c r="AP323" t="s">
        <v>1147</v>
      </c>
      <c r="AQ323" t="s">
        <v>1858</v>
      </c>
      <c r="AR323" t="s">
        <v>1245</v>
      </c>
      <c r="AS323" t="s">
        <v>1150</v>
      </c>
      <c r="AT323" t="s">
        <v>1816</v>
      </c>
      <c r="AU323">
        <v>25</v>
      </c>
      <c r="AV323">
        <v>72.155820000000006</v>
      </c>
      <c r="AW323">
        <v>0.74372419675127821</v>
      </c>
      <c r="AX323">
        <v>1.0307196242122647</v>
      </c>
      <c r="AY323">
        <v>-1.2048563495588844</v>
      </c>
      <c r="AZ323">
        <v>2.9055437295091213</v>
      </c>
      <c r="BA323">
        <v>1.1688005296958408</v>
      </c>
      <c r="BB323" t="s">
        <v>4619</v>
      </c>
      <c r="BD323" s="98"/>
      <c r="BE323" s="98"/>
      <c r="BF323" t="s">
        <v>1152</v>
      </c>
      <c r="BG323" t="s">
        <v>322</v>
      </c>
      <c r="BH323" t="s">
        <v>1153</v>
      </c>
      <c r="BI323">
        <v>1.2048563495588844</v>
      </c>
      <c r="BJ323" t="s">
        <v>991</v>
      </c>
      <c r="BK323">
        <v>-0.49598173720304395</v>
      </c>
      <c r="BL323">
        <v>-20.583896110029666</v>
      </c>
      <c r="BM323" t="s">
        <v>1021</v>
      </c>
      <c r="BN323" t="s">
        <v>1154</v>
      </c>
      <c r="BO323">
        <v>2025</v>
      </c>
      <c r="BP323" t="s">
        <v>966</v>
      </c>
      <c r="BQ323">
        <v>629753.08985003456</v>
      </c>
      <c r="BR323">
        <v>37.024691014996542</v>
      </c>
      <c r="BS323" t="s">
        <v>992</v>
      </c>
      <c r="BV323" t="s">
        <v>1034</v>
      </c>
      <c r="BW323" t="s">
        <v>943</v>
      </c>
      <c r="BX323" t="s">
        <v>994</v>
      </c>
      <c r="BY323">
        <v>1.1688005296958408</v>
      </c>
      <c r="BZ323" t="s">
        <v>1155</v>
      </c>
      <c r="CA323" t="s">
        <v>991</v>
      </c>
      <c r="CB323" t="b">
        <v>1</v>
      </c>
      <c r="CC323" t="b">
        <v>1</v>
      </c>
      <c r="CD323" t="b">
        <v>1</v>
      </c>
      <c r="CE323" t="b">
        <v>1</v>
      </c>
      <c r="CF323" t="b">
        <v>1</v>
      </c>
    </row>
    <row r="324" spans="1:84" x14ac:dyDescent="0.3">
      <c r="A324" t="s">
        <v>1859</v>
      </c>
      <c r="B324" t="s">
        <v>1247</v>
      </c>
      <c r="C324" s="98">
        <v>45817</v>
      </c>
      <c r="D324">
        <v>2025</v>
      </c>
      <c r="E324">
        <v>6</v>
      </c>
      <c r="F324">
        <v>2</v>
      </c>
      <c r="G324" t="s">
        <v>1243</v>
      </c>
      <c r="H324" t="s">
        <v>129</v>
      </c>
      <c r="I324" t="s">
        <v>129</v>
      </c>
      <c r="J324" t="s">
        <v>6</v>
      </c>
      <c r="L324">
        <v>522611</v>
      </c>
      <c r="M324" s="99" t="s">
        <v>178</v>
      </c>
      <c r="N324">
        <v>1</v>
      </c>
      <c r="O324">
        <v>23</v>
      </c>
      <c r="P324">
        <v>73.521199999999993</v>
      </c>
      <c r="Q324" t="s">
        <v>352</v>
      </c>
      <c r="R324">
        <v>1</v>
      </c>
      <c r="S324">
        <v>72.148300000000006</v>
      </c>
      <c r="T324">
        <v>0.90059999999999996</v>
      </c>
      <c r="U324">
        <v>1.5244281590050934</v>
      </c>
      <c r="V324">
        <v>69.4465</v>
      </c>
      <c r="W324">
        <v>70.347100000000012</v>
      </c>
      <c r="X324">
        <v>71.247700000000009</v>
      </c>
      <c r="Y324">
        <v>73.048900000000003</v>
      </c>
      <c r="Z324">
        <v>73.9495</v>
      </c>
      <c r="AA324">
        <v>74.850100000000012</v>
      </c>
      <c r="AD324">
        <v>2.4095619923060774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 t="s">
        <v>462</v>
      </c>
      <c r="AL324" t="s">
        <v>6</v>
      </c>
      <c r="AM324" t="s">
        <v>1145</v>
      </c>
      <c r="AN324" t="s">
        <v>1146</v>
      </c>
      <c r="AO324" s="100">
        <v>46262.040405092594</v>
      </c>
      <c r="AP324" t="s">
        <v>1147</v>
      </c>
      <c r="AQ324" t="s">
        <v>1860</v>
      </c>
      <c r="AR324" t="s">
        <v>1249</v>
      </c>
      <c r="AS324" t="s">
        <v>1150</v>
      </c>
      <c r="AT324" t="s">
        <v>1816</v>
      </c>
      <c r="AU324">
        <v>25</v>
      </c>
      <c r="AV324">
        <v>72.155820000000006</v>
      </c>
      <c r="AW324">
        <v>0.74372419675127821</v>
      </c>
      <c r="AX324">
        <v>1.0307196242122647</v>
      </c>
      <c r="AY324">
        <v>-1.2048563495588844</v>
      </c>
      <c r="AZ324">
        <v>2.9055437295091213</v>
      </c>
      <c r="BA324">
        <v>1.1688005296958408</v>
      </c>
      <c r="BB324" t="s">
        <v>4619</v>
      </c>
      <c r="BD324" s="98"/>
      <c r="BE324" s="98"/>
      <c r="BF324" t="s">
        <v>1152</v>
      </c>
      <c r="BG324" t="s">
        <v>322</v>
      </c>
      <c r="BH324" t="s">
        <v>1153</v>
      </c>
      <c r="BI324">
        <v>1.2048563495588844</v>
      </c>
      <c r="BJ324" t="s">
        <v>991</v>
      </c>
      <c r="BK324">
        <v>-0.49598173720304395</v>
      </c>
      <c r="BL324">
        <v>-20.583896110029666</v>
      </c>
      <c r="BM324" t="s">
        <v>1021</v>
      </c>
      <c r="BN324" t="s">
        <v>1154</v>
      </c>
      <c r="BO324">
        <v>2025</v>
      </c>
      <c r="BP324" t="s">
        <v>966</v>
      </c>
      <c r="BQ324">
        <v>629753.08985003456</v>
      </c>
      <c r="BR324">
        <v>37.024691014996542</v>
      </c>
      <c r="BS324" t="s">
        <v>992</v>
      </c>
      <c r="BV324" t="s">
        <v>1034</v>
      </c>
      <c r="BW324" t="s">
        <v>943</v>
      </c>
      <c r="BX324" t="s">
        <v>994</v>
      </c>
      <c r="BY324">
        <v>1.1688005296958408</v>
      </c>
      <c r="BZ324" t="s">
        <v>1155</v>
      </c>
      <c r="CA324" t="s">
        <v>991</v>
      </c>
      <c r="CB324" t="b">
        <v>1</v>
      </c>
      <c r="CC324" t="b">
        <v>1</v>
      </c>
      <c r="CD324" t="b">
        <v>1</v>
      </c>
      <c r="CE324" t="b">
        <v>1</v>
      </c>
      <c r="CF324" t="b">
        <v>1</v>
      </c>
    </row>
    <row r="325" spans="1:84" x14ac:dyDescent="0.3">
      <c r="A325" t="s">
        <v>1861</v>
      </c>
      <c r="B325" t="s">
        <v>1251</v>
      </c>
      <c r="C325" s="98">
        <v>45824</v>
      </c>
      <c r="D325">
        <v>2025</v>
      </c>
      <c r="E325">
        <v>6</v>
      </c>
      <c r="F325">
        <v>2</v>
      </c>
      <c r="G325" t="s">
        <v>1243</v>
      </c>
      <c r="H325" t="s">
        <v>129</v>
      </c>
      <c r="I325" t="s">
        <v>129</v>
      </c>
      <c r="J325" t="s">
        <v>6</v>
      </c>
      <c r="L325">
        <v>522611</v>
      </c>
      <c r="M325" s="99" t="s">
        <v>178</v>
      </c>
      <c r="N325">
        <v>1</v>
      </c>
      <c r="O325">
        <v>24</v>
      </c>
      <c r="P325">
        <v>71.865799999999993</v>
      </c>
      <c r="Q325" t="s">
        <v>352</v>
      </c>
      <c r="R325">
        <v>1</v>
      </c>
      <c r="S325">
        <v>72.148300000000006</v>
      </c>
      <c r="T325">
        <v>0.90059999999999996</v>
      </c>
      <c r="U325">
        <v>-0.31367976904287487</v>
      </c>
      <c r="V325">
        <v>69.4465</v>
      </c>
      <c r="W325">
        <v>70.347100000000012</v>
      </c>
      <c r="X325">
        <v>71.247700000000009</v>
      </c>
      <c r="Y325">
        <v>73.048900000000003</v>
      </c>
      <c r="Z325">
        <v>73.9495</v>
      </c>
      <c r="AA325">
        <v>74.850100000000012</v>
      </c>
      <c r="AD325">
        <v>2.4095619923060774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 t="s">
        <v>462</v>
      </c>
      <c r="AL325" t="s">
        <v>6</v>
      </c>
      <c r="AM325" t="s">
        <v>1145</v>
      </c>
      <c r="AN325" t="s">
        <v>1146</v>
      </c>
      <c r="AO325" s="100">
        <v>46262.040405092594</v>
      </c>
      <c r="AP325" t="s">
        <v>1147</v>
      </c>
      <c r="AQ325" t="s">
        <v>1862</v>
      </c>
      <c r="AR325" t="s">
        <v>1253</v>
      </c>
      <c r="AS325" t="s">
        <v>1150</v>
      </c>
      <c r="AT325" t="s">
        <v>1816</v>
      </c>
      <c r="AU325">
        <v>25</v>
      </c>
      <c r="AV325">
        <v>72.155820000000006</v>
      </c>
      <c r="AW325">
        <v>0.74372419675127821</v>
      </c>
      <c r="AX325">
        <v>1.0307196242122647</v>
      </c>
      <c r="AY325">
        <v>-1.2048563495588844</v>
      </c>
      <c r="AZ325">
        <v>2.9055437295091213</v>
      </c>
      <c r="BA325">
        <v>1.1688005296958408</v>
      </c>
      <c r="BB325" t="s">
        <v>4619</v>
      </c>
      <c r="BD325" s="98"/>
      <c r="BE325" s="98"/>
      <c r="BF325" t="s">
        <v>1152</v>
      </c>
      <c r="BG325" t="s">
        <v>322</v>
      </c>
      <c r="BH325" t="s">
        <v>1153</v>
      </c>
      <c r="BI325">
        <v>1.2048563495588844</v>
      </c>
      <c r="BJ325" t="s">
        <v>991</v>
      </c>
      <c r="BK325">
        <v>-0.49598173720304395</v>
      </c>
      <c r="BL325">
        <v>-20.583896110029666</v>
      </c>
      <c r="BM325" t="s">
        <v>1021</v>
      </c>
      <c r="BN325" t="s">
        <v>1154</v>
      </c>
      <c r="BO325">
        <v>2025</v>
      </c>
      <c r="BP325" t="s">
        <v>966</v>
      </c>
      <c r="BQ325">
        <v>629753.08985003456</v>
      </c>
      <c r="BR325">
        <v>37.024691014996542</v>
      </c>
      <c r="BS325" t="s">
        <v>992</v>
      </c>
      <c r="BV325" t="s">
        <v>1034</v>
      </c>
      <c r="BW325" t="s">
        <v>943</v>
      </c>
      <c r="BX325" t="s">
        <v>994</v>
      </c>
      <c r="BY325">
        <v>1.1688005296958408</v>
      </c>
      <c r="BZ325" t="s">
        <v>1155</v>
      </c>
      <c r="CA325" t="s">
        <v>991</v>
      </c>
      <c r="CB325" t="b">
        <v>1</v>
      </c>
      <c r="CC325" t="b">
        <v>1</v>
      </c>
      <c r="CD325" t="b">
        <v>1</v>
      </c>
      <c r="CE325" t="b">
        <v>1</v>
      </c>
      <c r="CF325" t="b">
        <v>1</v>
      </c>
    </row>
    <row r="326" spans="1:84" x14ac:dyDescent="0.3">
      <c r="A326" t="s">
        <v>1863</v>
      </c>
      <c r="B326" t="s">
        <v>1255</v>
      </c>
      <c r="C326" s="98">
        <v>45831</v>
      </c>
      <c r="D326">
        <v>2025</v>
      </c>
      <c r="E326">
        <v>6</v>
      </c>
      <c r="F326">
        <v>2</v>
      </c>
      <c r="G326" t="s">
        <v>1243</v>
      </c>
      <c r="H326" t="s">
        <v>129</v>
      </c>
      <c r="I326" t="s">
        <v>129</v>
      </c>
      <c r="J326" t="s">
        <v>6</v>
      </c>
      <c r="L326">
        <v>522611</v>
      </c>
      <c r="M326" s="99" t="s">
        <v>178</v>
      </c>
      <c r="N326">
        <v>1</v>
      </c>
      <c r="O326">
        <v>25</v>
      </c>
      <c r="P326">
        <v>71.606499999999997</v>
      </c>
      <c r="Q326" t="s">
        <v>352</v>
      </c>
      <c r="R326">
        <v>1</v>
      </c>
      <c r="S326">
        <v>72.148300000000006</v>
      </c>
      <c r="T326">
        <v>0.90059999999999996</v>
      </c>
      <c r="U326">
        <v>-0.6015989340439809</v>
      </c>
      <c r="V326">
        <v>69.4465</v>
      </c>
      <c r="W326">
        <v>70.347100000000012</v>
      </c>
      <c r="X326">
        <v>71.247700000000009</v>
      </c>
      <c r="Y326">
        <v>73.048900000000003</v>
      </c>
      <c r="Z326">
        <v>73.9495</v>
      </c>
      <c r="AA326">
        <v>74.850100000000012</v>
      </c>
      <c r="AD326">
        <v>2.4095619923060774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 t="s">
        <v>462</v>
      </c>
      <c r="AL326" t="s">
        <v>6</v>
      </c>
      <c r="AM326" t="s">
        <v>1145</v>
      </c>
      <c r="AN326" t="s">
        <v>1146</v>
      </c>
      <c r="AO326" s="100">
        <v>46262.040405092594</v>
      </c>
      <c r="AP326" t="s">
        <v>1147</v>
      </c>
      <c r="AQ326" t="s">
        <v>1864</v>
      </c>
      <c r="AR326" t="s">
        <v>1257</v>
      </c>
      <c r="AS326" t="s">
        <v>1150</v>
      </c>
      <c r="AT326" t="s">
        <v>1816</v>
      </c>
      <c r="AU326">
        <v>25</v>
      </c>
      <c r="AV326">
        <v>72.155820000000006</v>
      </c>
      <c r="AW326">
        <v>0.74372419675127821</v>
      </c>
      <c r="AX326">
        <v>1.0307196242122647</v>
      </c>
      <c r="AY326">
        <v>-1.2048563495588844</v>
      </c>
      <c r="AZ326">
        <v>2.9055437295091213</v>
      </c>
      <c r="BA326">
        <v>1.1688005296958408</v>
      </c>
      <c r="BB326" t="s">
        <v>4619</v>
      </c>
      <c r="BD326" s="98"/>
      <c r="BE326" s="98"/>
      <c r="BF326" t="s">
        <v>1152</v>
      </c>
      <c r="BG326" t="s">
        <v>322</v>
      </c>
      <c r="BH326" t="s">
        <v>1153</v>
      </c>
      <c r="BI326">
        <v>1.2048563495588844</v>
      </c>
      <c r="BJ326" t="s">
        <v>991</v>
      </c>
      <c r="BK326">
        <v>-0.49598173720304395</v>
      </c>
      <c r="BL326">
        <v>-20.583896110029666</v>
      </c>
      <c r="BM326" t="s">
        <v>1021</v>
      </c>
      <c r="BN326" t="s">
        <v>1154</v>
      </c>
      <c r="BO326">
        <v>2025</v>
      </c>
      <c r="BP326" t="s">
        <v>966</v>
      </c>
      <c r="BQ326">
        <v>629753.08985003456</v>
      </c>
      <c r="BR326">
        <v>37.024691014996542</v>
      </c>
      <c r="BS326" t="s">
        <v>992</v>
      </c>
      <c r="BV326" t="s">
        <v>1034</v>
      </c>
      <c r="BW326" t="s">
        <v>943</v>
      </c>
      <c r="BX326" t="s">
        <v>994</v>
      </c>
      <c r="BY326">
        <v>1.1688005296958408</v>
      </c>
      <c r="BZ326" t="s">
        <v>1155</v>
      </c>
      <c r="CA326" t="s">
        <v>991</v>
      </c>
      <c r="CB326" t="b">
        <v>1</v>
      </c>
      <c r="CC326" t="b">
        <v>1</v>
      </c>
      <c r="CD326" t="b">
        <v>1</v>
      </c>
      <c r="CE326" t="b">
        <v>1</v>
      </c>
      <c r="CF326" t="b">
        <v>1</v>
      </c>
    </row>
    <row r="327" spans="1:84" x14ac:dyDescent="0.3">
      <c r="A327" t="s">
        <v>1865</v>
      </c>
      <c r="B327" t="s">
        <v>1143</v>
      </c>
      <c r="C327" s="98">
        <v>45663</v>
      </c>
      <c r="D327">
        <v>2025</v>
      </c>
      <c r="E327">
        <v>1</v>
      </c>
      <c r="F327">
        <v>1</v>
      </c>
      <c r="G327" t="s">
        <v>1144</v>
      </c>
      <c r="H327" t="s">
        <v>129</v>
      </c>
      <c r="I327" t="s">
        <v>129</v>
      </c>
      <c r="J327" t="s">
        <v>6</v>
      </c>
      <c r="L327">
        <v>522611</v>
      </c>
      <c r="M327" s="99" t="s">
        <v>179</v>
      </c>
      <c r="N327">
        <v>2</v>
      </c>
      <c r="O327">
        <v>1</v>
      </c>
      <c r="P327">
        <v>82.017300000000006</v>
      </c>
      <c r="Q327" t="s">
        <v>352</v>
      </c>
      <c r="R327">
        <v>1</v>
      </c>
      <c r="S327">
        <v>81.875900000000001</v>
      </c>
      <c r="T327">
        <v>0.73899999999999999</v>
      </c>
      <c r="U327">
        <v>0.191339648173213</v>
      </c>
      <c r="V327">
        <v>79.658900000000003</v>
      </c>
      <c r="W327">
        <v>80.397900000000007</v>
      </c>
      <c r="X327">
        <v>81.136899999999997</v>
      </c>
      <c r="Y327">
        <v>82.614900000000006</v>
      </c>
      <c r="Z327">
        <v>83.353899999999996</v>
      </c>
      <c r="AA327">
        <v>84.0929</v>
      </c>
      <c r="AD327">
        <v>2.4095619923060774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 t="s">
        <v>462</v>
      </c>
      <c r="AL327" t="s">
        <v>6</v>
      </c>
      <c r="AM327" t="s">
        <v>1145</v>
      </c>
      <c r="AN327" t="s">
        <v>1146</v>
      </c>
      <c r="AO327" s="100">
        <v>46262.040405092594</v>
      </c>
      <c r="AP327" t="s">
        <v>1147</v>
      </c>
      <c r="AQ327" t="s">
        <v>1866</v>
      </c>
      <c r="AR327" t="s">
        <v>1149</v>
      </c>
      <c r="AS327" t="s">
        <v>1150</v>
      </c>
      <c r="AT327" t="s">
        <v>1816</v>
      </c>
      <c r="AU327">
        <v>25</v>
      </c>
      <c r="AV327">
        <v>81.972576000000004</v>
      </c>
      <c r="AW327">
        <v>0.75889536788677248</v>
      </c>
      <c r="AX327">
        <v>0.92579177685811953</v>
      </c>
      <c r="AY327">
        <v>-1.2048563495588844</v>
      </c>
      <c r="AZ327">
        <v>2.7324127813747814</v>
      </c>
      <c r="BA327">
        <v>1.3012706235473701</v>
      </c>
      <c r="BB327" t="s">
        <v>4619</v>
      </c>
      <c r="BD327" s="98"/>
      <c r="BE327" s="98"/>
      <c r="BF327" t="s">
        <v>1152</v>
      </c>
      <c r="BG327" t="s">
        <v>322</v>
      </c>
      <c r="BH327" t="s">
        <v>1153</v>
      </c>
      <c r="BI327">
        <v>1.2048563495588844</v>
      </c>
      <c r="BJ327" t="s">
        <v>991</v>
      </c>
      <c r="BK327">
        <v>-0.32285078906870401</v>
      </c>
      <c r="BL327">
        <v>-13.398733466895319</v>
      </c>
      <c r="BM327" t="s">
        <v>1021</v>
      </c>
      <c r="BN327" t="s">
        <v>1154</v>
      </c>
      <c r="BO327">
        <v>2025</v>
      </c>
      <c r="BP327" t="s">
        <v>966</v>
      </c>
      <c r="BQ327">
        <v>629753.08985003456</v>
      </c>
      <c r="BR327">
        <v>37.024691014996542</v>
      </c>
      <c r="BS327" t="s">
        <v>992</v>
      </c>
      <c r="BV327" t="s">
        <v>1034</v>
      </c>
      <c r="BW327" t="s">
        <v>943</v>
      </c>
      <c r="BX327" t="s">
        <v>994</v>
      </c>
      <c r="BY327">
        <v>1.1688005296958408</v>
      </c>
      <c r="BZ327" t="s">
        <v>1155</v>
      </c>
      <c r="CA327" t="s">
        <v>991</v>
      </c>
      <c r="CB327" t="b">
        <v>1</v>
      </c>
      <c r="CC327" t="b">
        <v>1</v>
      </c>
      <c r="CD327" t="b">
        <v>1</v>
      </c>
      <c r="CE327" t="b">
        <v>1</v>
      </c>
      <c r="CF327" t="b">
        <v>1</v>
      </c>
    </row>
    <row r="328" spans="1:84" x14ac:dyDescent="0.3">
      <c r="A328" t="s">
        <v>1867</v>
      </c>
      <c r="B328" t="s">
        <v>1157</v>
      </c>
      <c r="C328" s="98">
        <v>45670</v>
      </c>
      <c r="D328">
        <v>2025</v>
      </c>
      <c r="E328">
        <v>1</v>
      </c>
      <c r="F328">
        <v>1</v>
      </c>
      <c r="G328" t="s">
        <v>1144</v>
      </c>
      <c r="H328" t="s">
        <v>129</v>
      </c>
      <c r="I328" t="s">
        <v>129</v>
      </c>
      <c r="J328" t="s">
        <v>6</v>
      </c>
      <c r="L328">
        <v>522611</v>
      </c>
      <c r="M328" s="99" t="s">
        <v>179</v>
      </c>
      <c r="N328">
        <v>2</v>
      </c>
      <c r="O328">
        <v>2</v>
      </c>
      <c r="P328">
        <v>81.874399999999994</v>
      </c>
      <c r="Q328" t="s">
        <v>352</v>
      </c>
      <c r="R328">
        <v>1</v>
      </c>
      <c r="S328">
        <v>81.875900000000001</v>
      </c>
      <c r="T328">
        <v>0.73899999999999999</v>
      </c>
      <c r="U328">
        <v>-2.0297699594142926E-3</v>
      </c>
      <c r="V328">
        <v>79.658900000000003</v>
      </c>
      <c r="W328">
        <v>80.397900000000007</v>
      </c>
      <c r="X328">
        <v>81.136899999999997</v>
      </c>
      <c r="Y328">
        <v>82.614900000000006</v>
      </c>
      <c r="Z328">
        <v>83.353899999999996</v>
      </c>
      <c r="AA328">
        <v>84.0929</v>
      </c>
      <c r="AD328">
        <v>2.4095619923060774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 t="s">
        <v>462</v>
      </c>
      <c r="AL328" t="s">
        <v>6</v>
      </c>
      <c r="AM328" t="s">
        <v>1145</v>
      </c>
      <c r="AN328" t="s">
        <v>1146</v>
      </c>
      <c r="AO328" s="100">
        <v>46262.040405092594</v>
      </c>
      <c r="AP328" t="s">
        <v>1147</v>
      </c>
      <c r="AQ328" t="s">
        <v>1868</v>
      </c>
      <c r="AR328" t="s">
        <v>1159</v>
      </c>
      <c r="AS328" t="s">
        <v>1150</v>
      </c>
      <c r="AT328" t="s">
        <v>1816</v>
      </c>
      <c r="AU328">
        <v>25</v>
      </c>
      <c r="AV328">
        <v>81.972576000000004</v>
      </c>
      <c r="AW328">
        <v>0.75889536788677248</v>
      </c>
      <c r="AX328">
        <v>0.92579177685811953</v>
      </c>
      <c r="AY328">
        <v>-1.2048563495588844</v>
      </c>
      <c r="AZ328">
        <v>2.7324127813747814</v>
      </c>
      <c r="BA328">
        <v>1.3012706235473701</v>
      </c>
      <c r="BB328" t="s">
        <v>4619</v>
      </c>
      <c r="BD328" s="98"/>
      <c r="BE328" s="98"/>
      <c r="BF328" t="s">
        <v>1152</v>
      </c>
      <c r="BG328" t="s">
        <v>322</v>
      </c>
      <c r="BH328" t="s">
        <v>1153</v>
      </c>
      <c r="BI328">
        <v>1.2048563495588844</v>
      </c>
      <c r="BJ328" t="s">
        <v>991</v>
      </c>
      <c r="BK328">
        <v>-0.32285078906870401</v>
      </c>
      <c r="BL328">
        <v>-13.398733466895319</v>
      </c>
      <c r="BM328" t="s">
        <v>1021</v>
      </c>
      <c r="BN328" t="s">
        <v>1154</v>
      </c>
      <c r="BO328">
        <v>2025</v>
      </c>
      <c r="BP328" t="s">
        <v>966</v>
      </c>
      <c r="BQ328">
        <v>629753.08985003456</v>
      </c>
      <c r="BR328">
        <v>37.024691014996542</v>
      </c>
      <c r="BS328" t="s">
        <v>992</v>
      </c>
      <c r="BV328" t="s">
        <v>1034</v>
      </c>
      <c r="BW328" t="s">
        <v>943</v>
      </c>
      <c r="BX328" t="s">
        <v>994</v>
      </c>
      <c r="BY328">
        <v>1.1688005296958408</v>
      </c>
      <c r="BZ328" t="s">
        <v>1155</v>
      </c>
      <c r="CA328" t="s">
        <v>991</v>
      </c>
      <c r="CB328" t="b">
        <v>1</v>
      </c>
      <c r="CC328" t="b">
        <v>1</v>
      </c>
      <c r="CD328" t="b">
        <v>1</v>
      </c>
      <c r="CE328" t="b">
        <v>1</v>
      </c>
      <c r="CF328" t="b">
        <v>1</v>
      </c>
    </row>
    <row r="329" spans="1:84" x14ac:dyDescent="0.3">
      <c r="A329" t="s">
        <v>1869</v>
      </c>
      <c r="B329" t="s">
        <v>1161</v>
      </c>
      <c r="C329" s="98">
        <v>45677</v>
      </c>
      <c r="D329">
        <v>2025</v>
      </c>
      <c r="E329">
        <v>1</v>
      </c>
      <c r="F329">
        <v>1</v>
      </c>
      <c r="G329" t="s">
        <v>1144</v>
      </c>
      <c r="H329" t="s">
        <v>129</v>
      </c>
      <c r="I329" t="s">
        <v>129</v>
      </c>
      <c r="J329" t="s">
        <v>6</v>
      </c>
      <c r="L329">
        <v>522611</v>
      </c>
      <c r="M329" s="99" t="s">
        <v>179</v>
      </c>
      <c r="N329">
        <v>2</v>
      </c>
      <c r="O329">
        <v>3</v>
      </c>
      <c r="P329">
        <v>81.141499999999994</v>
      </c>
      <c r="Q329" t="s">
        <v>352</v>
      </c>
      <c r="R329">
        <v>1</v>
      </c>
      <c r="S329">
        <v>81.875900000000001</v>
      </c>
      <c r="T329">
        <v>0.73899999999999999</v>
      </c>
      <c r="U329">
        <v>-0.99377537212450329</v>
      </c>
      <c r="V329">
        <v>79.658900000000003</v>
      </c>
      <c r="W329">
        <v>80.397900000000007</v>
      </c>
      <c r="X329">
        <v>81.136899999999997</v>
      </c>
      <c r="Y329">
        <v>82.614900000000006</v>
      </c>
      <c r="Z329">
        <v>83.353899999999996</v>
      </c>
      <c r="AA329">
        <v>84.0929</v>
      </c>
      <c r="AD329">
        <v>2.4095619923060774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 t="s">
        <v>462</v>
      </c>
      <c r="AL329" t="s">
        <v>6</v>
      </c>
      <c r="AM329" t="s">
        <v>1145</v>
      </c>
      <c r="AN329" t="s">
        <v>1146</v>
      </c>
      <c r="AO329" s="100">
        <v>46262.040405092594</v>
      </c>
      <c r="AP329" t="s">
        <v>1147</v>
      </c>
      <c r="AQ329" t="s">
        <v>1870</v>
      </c>
      <c r="AR329" t="s">
        <v>1163</v>
      </c>
      <c r="AS329" t="s">
        <v>1150</v>
      </c>
      <c r="AT329" t="s">
        <v>1816</v>
      </c>
      <c r="AU329">
        <v>25</v>
      </c>
      <c r="AV329">
        <v>81.972576000000004</v>
      </c>
      <c r="AW329">
        <v>0.75889536788677248</v>
      </c>
      <c r="AX329">
        <v>0.92579177685811953</v>
      </c>
      <c r="AY329">
        <v>-1.2048563495588844</v>
      </c>
      <c r="AZ329">
        <v>2.7324127813747814</v>
      </c>
      <c r="BA329">
        <v>1.3012706235473701</v>
      </c>
      <c r="BB329" t="s">
        <v>4619</v>
      </c>
      <c r="BD329" s="98"/>
      <c r="BE329" s="98"/>
      <c r="BF329" t="s">
        <v>1152</v>
      </c>
      <c r="BG329" t="s">
        <v>322</v>
      </c>
      <c r="BH329" t="s">
        <v>1153</v>
      </c>
      <c r="BI329">
        <v>1.2048563495588844</v>
      </c>
      <c r="BJ329" t="s">
        <v>991</v>
      </c>
      <c r="BK329">
        <v>-0.32285078906870401</v>
      </c>
      <c r="BL329">
        <v>-13.398733466895319</v>
      </c>
      <c r="BM329" t="s">
        <v>1021</v>
      </c>
      <c r="BN329" t="s">
        <v>1154</v>
      </c>
      <c r="BO329">
        <v>2025</v>
      </c>
      <c r="BP329" t="s">
        <v>966</v>
      </c>
      <c r="BQ329">
        <v>629753.08985003456</v>
      </c>
      <c r="BR329">
        <v>37.024691014996542</v>
      </c>
      <c r="BS329" t="s">
        <v>992</v>
      </c>
      <c r="BV329" t="s">
        <v>1034</v>
      </c>
      <c r="BW329" t="s">
        <v>943</v>
      </c>
      <c r="BX329" t="s">
        <v>994</v>
      </c>
      <c r="BY329">
        <v>1.1688005296958408</v>
      </c>
      <c r="BZ329" t="s">
        <v>1155</v>
      </c>
      <c r="CA329" t="s">
        <v>991</v>
      </c>
      <c r="CB329" t="b">
        <v>1</v>
      </c>
      <c r="CC329" t="b">
        <v>1</v>
      </c>
      <c r="CD329" t="b">
        <v>1</v>
      </c>
      <c r="CE329" t="b">
        <v>1</v>
      </c>
      <c r="CF329" t="b">
        <v>1</v>
      </c>
    </row>
    <row r="330" spans="1:84" x14ac:dyDescent="0.3">
      <c r="A330" t="s">
        <v>1871</v>
      </c>
      <c r="B330" t="s">
        <v>1165</v>
      </c>
      <c r="C330" s="98">
        <v>45684</v>
      </c>
      <c r="D330">
        <v>2025</v>
      </c>
      <c r="E330">
        <v>1</v>
      </c>
      <c r="F330">
        <v>1</v>
      </c>
      <c r="G330" t="s">
        <v>1144</v>
      </c>
      <c r="H330" t="s">
        <v>129</v>
      </c>
      <c r="I330" t="s">
        <v>129</v>
      </c>
      <c r="J330" t="s">
        <v>6</v>
      </c>
      <c r="L330">
        <v>522611</v>
      </c>
      <c r="M330" s="99" t="s">
        <v>179</v>
      </c>
      <c r="N330">
        <v>2</v>
      </c>
      <c r="O330">
        <v>4</v>
      </c>
      <c r="P330">
        <v>82.216499999999996</v>
      </c>
      <c r="Q330" t="s">
        <v>352</v>
      </c>
      <c r="R330">
        <v>1</v>
      </c>
      <c r="S330">
        <v>81.875900000000001</v>
      </c>
      <c r="T330">
        <v>0.73899999999999999</v>
      </c>
      <c r="U330">
        <v>0.46089309878213114</v>
      </c>
      <c r="V330">
        <v>79.658900000000003</v>
      </c>
      <c r="W330">
        <v>80.397900000000007</v>
      </c>
      <c r="X330">
        <v>81.136899999999997</v>
      </c>
      <c r="Y330">
        <v>82.614900000000006</v>
      </c>
      <c r="Z330">
        <v>83.353899999999996</v>
      </c>
      <c r="AA330">
        <v>84.0929</v>
      </c>
      <c r="AD330">
        <v>2.4095619923060774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 t="s">
        <v>462</v>
      </c>
      <c r="AL330" t="s">
        <v>6</v>
      </c>
      <c r="AM330" t="s">
        <v>1145</v>
      </c>
      <c r="AN330" t="s">
        <v>1146</v>
      </c>
      <c r="AO330" s="100">
        <v>46262.040405092594</v>
      </c>
      <c r="AP330" t="s">
        <v>1147</v>
      </c>
      <c r="AQ330" t="s">
        <v>1872</v>
      </c>
      <c r="AR330" t="s">
        <v>1167</v>
      </c>
      <c r="AS330" t="s">
        <v>1150</v>
      </c>
      <c r="AT330" t="s">
        <v>1816</v>
      </c>
      <c r="AU330">
        <v>25</v>
      </c>
      <c r="AV330">
        <v>81.972576000000004</v>
      </c>
      <c r="AW330">
        <v>0.75889536788677248</v>
      </c>
      <c r="AX330">
        <v>0.92579177685811953</v>
      </c>
      <c r="AY330">
        <v>-1.2048563495588844</v>
      </c>
      <c r="AZ330">
        <v>2.7324127813747814</v>
      </c>
      <c r="BA330">
        <v>1.3012706235473701</v>
      </c>
      <c r="BB330" t="s">
        <v>4619</v>
      </c>
      <c r="BD330" s="98"/>
      <c r="BE330" s="98"/>
      <c r="BF330" t="s">
        <v>1152</v>
      </c>
      <c r="BG330" t="s">
        <v>322</v>
      </c>
      <c r="BH330" t="s">
        <v>1153</v>
      </c>
      <c r="BI330">
        <v>1.2048563495588844</v>
      </c>
      <c r="BJ330" t="s">
        <v>991</v>
      </c>
      <c r="BK330">
        <v>-0.32285078906870401</v>
      </c>
      <c r="BL330">
        <v>-13.398733466895319</v>
      </c>
      <c r="BM330" t="s">
        <v>1021</v>
      </c>
      <c r="BN330" t="s">
        <v>1154</v>
      </c>
      <c r="BO330">
        <v>2025</v>
      </c>
      <c r="BP330" t="s">
        <v>966</v>
      </c>
      <c r="BQ330">
        <v>629753.08985003456</v>
      </c>
      <c r="BR330">
        <v>37.024691014996542</v>
      </c>
      <c r="BS330" t="s">
        <v>992</v>
      </c>
      <c r="BV330" t="s">
        <v>1034</v>
      </c>
      <c r="BW330" t="s">
        <v>943</v>
      </c>
      <c r="BX330" t="s">
        <v>994</v>
      </c>
      <c r="BY330">
        <v>1.1688005296958408</v>
      </c>
      <c r="BZ330" t="s">
        <v>1155</v>
      </c>
      <c r="CA330" t="s">
        <v>991</v>
      </c>
      <c r="CB330" t="b">
        <v>1</v>
      </c>
      <c r="CC330" t="b">
        <v>1</v>
      </c>
      <c r="CD330" t="b">
        <v>1</v>
      </c>
      <c r="CE330" t="b">
        <v>1</v>
      </c>
      <c r="CF330" t="b">
        <v>1</v>
      </c>
    </row>
    <row r="331" spans="1:84" x14ac:dyDescent="0.3">
      <c r="A331" t="s">
        <v>1873</v>
      </c>
      <c r="B331" t="s">
        <v>1169</v>
      </c>
      <c r="C331" s="98">
        <v>45691</v>
      </c>
      <c r="D331">
        <v>2025</v>
      </c>
      <c r="E331">
        <v>2</v>
      </c>
      <c r="F331">
        <v>1</v>
      </c>
      <c r="G331" t="s">
        <v>1170</v>
      </c>
      <c r="H331" t="s">
        <v>129</v>
      </c>
      <c r="I331" t="s">
        <v>129</v>
      </c>
      <c r="J331" t="s">
        <v>6</v>
      </c>
      <c r="L331">
        <v>522611</v>
      </c>
      <c r="M331" s="99" t="s">
        <v>179</v>
      </c>
      <c r="N331">
        <v>2</v>
      </c>
      <c r="O331">
        <v>5</v>
      </c>
      <c r="P331">
        <v>83.365399999999994</v>
      </c>
      <c r="Q331" t="s">
        <v>352</v>
      </c>
      <c r="R331">
        <v>1</v>
      </c>
      <c r="S331">
        <v>81.875900000000001</v>
      </c>
      <c r="T331">
        <v>0.73899999999999999</v>
      </c>
      <c r="U331">
        <v>2.0155615696887583</v>
      </c>
      <c r="V331">
        <v>79.658900000000003</v>
      </c>
      <c r="W331">
        <v>80.397900000000007</v>
      </c>
      <c r="X331">
        <v>81.136899999999997</v>
      </c>
      <c r="Y331">
        <v>82.614900000000006</v>
      </c>
      <c r="Z331">
        <v>83.353899999999996</v>
      </c>
      <c r="AA331">
        <v>84.0929</v>
      </c>
      <c r="AD331">
        <v>2.4095619923060774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1</v>
      </c>
      <c r="AK331" t="s">
        <v>462</v>
      </c>
      <c r="AL331" t="s">
        <v>6</v>
      </c>
      <c r="AM331" t="s">
        <v>1145</v>
      </c>
      <c r="AN331" t="s">
        <v>1146</v>
      </c>
      <c r="AO331" s="100">
        <v>46262.040405092594</v>
      </c>
      <c r="AP331" t="s">
        <v>1147</v>
      </c>
      <c r="AQ331" t="s">
        <v>1874</v>
      </c>
      <c r="AR331" t="s">
        <v>1172</v>
      </c>
      <c r="AS331" t="s">
        <v>1150</v>
      </c>
      <c r="AT331" t="s">
        <v>1816</v>
      </c>
      <c r="AU331">
        <v>25</v>
      </c>
      <c r="AV331">
        <v>81.972576000000004</v>
      </c>
      <c r="AW331">
        <v>0.75889536788677248</v>
      </c>
      <c r="AX331">
        <v>0.92579177685811953</v>
      </c>
      <c r="AY331">
        <v>-1.2048563495588844</v>
      </c>
      <c r="AZ331">
        <v>2.7324127813747814</v>
      </c>
      <c r="BA331">
        <v>1.3012706235473701</v>
      </c>
      <c r="BB331" t="s">
        <v>4619</v>
      </c>
      <c r="BD331" s="98"/>
      <c r="BE331" s="98"/>
      <c r="BF331" t="s">
        <v>1152</v>
      </c>
      <c r="BG331" t="s">
        <v>322</v>
      </c>
      <c r="BH331" t="s">
        <v>1153</v>
      </c>
      <c r="BI331">
        <v>1.2048563495588844</v>
      </c>
      <c r="BJ331" t="s">
        <v>991</v>
      </c>
      <c r="BK331">
        <v>-0.32285078906870401</v>
      </c>
      <c r="BL331">
        <v>-13.398733466895319</v>
      </c>
      <c r="BM331" t="s">
        <v>1021</v>
      </c>
      <c r="BN331" t="s">
        <v>1154</v>
      </c>
      <c r="BO331">
        <v>2025</v>
      </c>
      <c r="BP331" t="s">
        <v>966</v>
      </c>
      <c r="BQ331">
        <v>629753.08985003456</v>
      </c>
      <c r="BR331">
        <v>37.024691014996542</v>
      </c>
      <c r="BS331" t="s">
        <v>992</v>
      </c>
      <c r="BV331" t="s">
        <v>1034</v>
      </c>
      <c r="BW331" t="s">
        <v>943</v>
      </c>
      <c r="BX331" t="s">
        <v>994</v>
      </c>
      <c r="BY331">
        <v>1.1688005296958408</v>
      </c>
      <c r="BZ331" t="s">
        <v>1155</v>
      </c>
      <c r="CA331" t="s">
        <v>991</v>
      </c>
      <c r="CB331" t="b">
        <v>1</v>
      </c>
      <c r="CC331" t="b">
        <v>1</v>
      </c>
      <c r="CD331" t="b">
        <v>1</v>
      </c>
      <c r="CE331" t="b">
        <v>1</v>
      </c>
      <c r="CF331" t="b">
        <v>1</v>
      </c>
    </row>
    <row r="332" spans="1:84" x14ac:dyDescent="0.3">
      <c r="A332" t="s">
        <v>1875</v>
      </c>
      <c r="B332" t="s">
        <v>1174</v>
      </c>
      <c r="C332" s="98">
        <v>45698</v>
      </c>
      <c r="D332">
        <v>2025</v>
      </c>
      <c r="E332">
        <v>2</v>
      </c>
      <c r="F332">
        <v>1</v>
      </c>
      <c r="G332" t="s">
        <v>1170</v>
      </c>
      <c r="H332" t="s">
        <v>129</v>
      </c>
      <c r="I332" t="s">
        <v>129</v>
      </c>
      <c r="J332" t="s">
        <v>6</v>
      </c>
      <c r="L332">
        <v>522611</v>
      </c>
      <c r="M332" s="99" t="s">
        <v>179</v>
      </c>
      <c r="N332">
        <v>2</v>
      </c>
      <c r="O332">
        <v>6</v>
      </c>
      <c r="P332">
        <v>81.685100000000006</v>
      </c>
      <c r="Q332" t="s">
        <v>352</v>
      </c>
      <c r="R332">
        <v>1</v>
      </c>
      <c r="S332">
        <v>81.875900000000001</v>
      </c>
      <c r="T332">
        <v>0.73899999999999999</v>
      </c>
      <c r="U332">
        <v>-0.25818673883625964</v>
      </c>
      <c r="V332">
        <v>79.658900000000003</v>
      </c>
      <c r="W332">
        <v>80.397900000000007</v>
      </c>
      <c r="X332">
        <v>81.136899999999997</v>
      </c>
      <c r="Y332">
        <v>82.614900000000006</v>
      </c>
      <c r="Z332">
        <v>83.353899999999996</v>
      </c>
      <c r="AA332">
        <v>84.0929</v>
      </c>
      <c r="AD332">
        <v>2.4095619923060774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 t="s">
        <v>462</v>
      </c>
      <c r="AL332" t="s">
        <v>6</v>
      </c>
      <c r="AM332" t="s">
        <v>1145</v>
      </c>
      <c r="AN332" t="s">
        <v>1146</v>
      </c>
      <c r="AO332" s="100">
        <v>46262.040405092594</v>
      </c>
      <c r="AP332" t="s">
        <v>1147</v>
      </c>
      <c r="AQ332" t="s">
        <v>1876</v>
      </c>
      <c r="AR332" t="s">
        <v>1176</v>
      </c>
      <c r="AS332" t="s">
        <v>1150</v>
      </c>
      <c r="AT332" t="s">
        <v>1816</v>
      </c>
      <c r="AU332">
        <v>25</v>
      </c>
      <c r="AV332">
        <v>81.972576000000004</v>
      </c>
      <c r="AW332">
        <v>0.75889536788677248</v>
      </c>
      <c r="AX332">
        <v>0.92579177685811953</v>
      </c>
      <c r="AY332">
        <v>-1.2048563495588844</v>
      </c>
      <c r="AZ332">
        <v>2.7324127813747814</v>
      </c>
      <c r="BA332">
        <v>1.3012706235473701</v>
      </c>
      <c r="BB332" t="s">
        <v>4619</v>
      </c>
      <c r="BD332" s="98"/>
      <c r="BE332" s="98"/>
      <c r="BF332" t="s">
        <v>1152</v>
      </c>
      <c r="BG332" t="s">
        <v>322</v>
      </c>
      <c r="BH332" t="s">
        <v>1153</v>
      </c>
      <c r="BI332">
        <v>1.2048563495588844</v>
      </c>
      <c r="BJ332" t="s">
        <v>991</v>
      </c>
      <c r="BK332">
        <v>-0.32285078906870401</v>
      </c>
      <c r="BL332">
        <v>-13.398733466895319</v>
      </c>
      <c r="BM332" t="s">
        <v>1021</v>
      </c>
      <c r="BN332" t="s">
        <v>1154</v>
      </c>
      <c r="BO332">
        <v>2025</v>
      </c>
      <c r="BP332" t="s">
        <v>966</v>
      </c>
      <c r="BQ332">
        <v>629753.08985003456</v>
      </c>
      <c r="BR332">
        <v>37.024691014996542</v>
      </c>
      <c r="BS332" t="s">
        <v>992</v>
      </c>
      <c r="BV332" t="s">
        <v>1034</v>
      </c>
      <c r="BW332" t="s">
        <v>943</v>
      </c>
      <c r="BX332" t="s">
        <v>994</v>
      </c>
      <c r="BY332">
        <v>1.1688005296958408</v>
      </c>
      <c r="BZ332" t="s">
        <v>1155</v>
      </c>
      <c r="CA332" t="s">
        <v>991</v>
      </c>
      <c r="CB332" t="b">
        <v>1</v>
      </c>
      <c r="CC332" t="b">
        <v>1</v>
      </c>
      <c r="CD332" t="b">
        <v>1</v>
      </c>
      <c r="CE332" t="b">
        <v>1</v>
      </c>
      <c r="CF332" t="b">
        <v>1</v>
      </c>
    </row>
    <row r="333" spans="1:84" x14ac:dyDescent="0.3">
      <c r="A333" t="s">
        <v>1877</v>
      </c>
      <c r="B333" t="s">
        <v>1178</v>
      </c>
      <c r="C333" s="98">
        <v>45705</v>
      </c>
      <c r="D333">
        <v>2025</v>
      </c>
      <c r="E333">
        <v>2</v>
      </c>
      <c r="F333">
        <v>1</v>
      </c>
      <c r="G333" t="s">
        <v>1170</v>
      </c>
      <c r="H333" t="s">
        <v>129</v>
      </c>
      <c r="I333" t="s">
        <v>129</v>
      </c>
      <c r="J333" t="s">
        <v>6</v>
      </c>
      <c r="L333">
        <v>522611</v>
      </c>
      <c r="M333" s="99" t="s">
        <v>179</v>
      </c>
      <c r="N333">
        <v>2</v>
      </c>
      <c r="O333">
        <v>7</v>
      </c>
      <c r="P333">
        <v>81.725899999999996</v>
      </c>
      <c r="Q333" t="s">
        <v>352</v>
      </c>
      <c r="R333">
        <v>1</v>
      </c>
      <c r="S333">
        <v>81.875900000000001</v>
      </c>
      <c r="T333">
        <v>0.73899999999999999</v>
      </c>
      <c r="U333">
        <v>-0.20297699594046778</v>
      </c>
      <c r="V333">
        <v>79.658900000000003</v>
      </c>
      <c r="W333">
        <v>80.397900000000007</v>
      </c>
      <c r="X333">
        <v>81.136899999999997</v>
      </c>
      <c r="Y333">
        <v>82.614900000000006</v>
      </c>
      <c r="Z333">
        <v>83.353899999999996</v>
      </c>
      <c r="AA333">
        <v>84.0929</v>
      </c>
      <c r="AD333">
        <v>2.4095619923060774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 t="s">
        <v>462</v>
      </c>
      <c r="AL333" t="s">
        <v>6</v>
      </c>
      <c r="AM333" t="s">
        <v>1145</v>
      </c>
      <c r="AN333" t="s">
        <v>1146</v>
      </c>
      <c r="AO333" s="100">
        <v>46262.040405092594</v>
      </c>
      <c r="AP333" t="s">
        <v>1147</v>
      </c>
      <c r="AQ333" t="s">
        <v>1878</v>
      </c>
      <c r="AR333" t="s">
        <v>1180</v>
      </c>
      <c r="AS333" t="s">
        <v>1150</v>
      </c>
      <c r="AT333" t="s">
        <v>1816</v>
      </c>
      <c r="AU333">
        <v>25</v>
      </c>
      <c r="AV333">
        <v>81.972576000000004</v>
      </c>
      <c r="AW333">
        <v>0.75889536788677248</v>
      </c>
      <c r="AX333">
        <v>0.92579177685811953</v>
      </c>
      <c r="AY333">
        <v>-1.2048563495588844</v>
      </c>
      <c r="AZ333">
        <v>2.7324127813747814</v>
      </c>
      <c r="BA333">
        <v>1.3012706235473701</v>
      </c>
      <c r="BB333" t="s">
        <v>4619</v>
      </c>
      <c r="BD333" s="98"/>
      <c r="BE333" s="98"/>
      <c r="BF333" t="s">
        <v>1152</v>
      </c>
      <c r="BG333" t="s">
        <v>322</v>
      </c>
      <c r="BH333" t="s">
        <v>1153</v>
      </c>
      <c r="BI333">
        <v>1.2048563495588844</v>
      </c>
      <c r="BJ333" t="s">
        <v>991</v>
      </c>
      <c r="BK333">
        <v>-0.32285078906870401</v>
      </c>
      <c r="BL333">
        <v>-13.398733466895319</v>
      </c>
      <c r="BM333" t="s">
        <v>1021</v>
      </c>
      <c r="BN333" t="s">
        <v>1154</v>
      </c>
      <c r="BO333">
        <v>2025</v>
      </c>
      <c r="BP333" t="s">
        <v>966</v>
      </c>
      <c r="BQ333">
        <v>629753.08985003456</v>
      </c>
      <c r="BR333">
        <v>37.024691014996542</v>
      </c>
      <c r="BS333" t="s">
        <v>992</v>
      </c>
      <c r="BV333" t="s">
        <v>1034</v>
      </c>
      <c r="BW333" t="s">
        <v>943</v>
      </c>
      <c r="BX333" t="s">
        <v>994</v>
      </c>
      <c r="BY333">
        <v>1.1688005296958408</v>
      </c>
      <c r="BZ333" t="s">
        <v>1155</v>
      </c>
      <c r="CA333" t="s">
        <v>991</v>
      </c>
      <c r="CB333" t="b">
        <v>1</v>
      </c>
      <c r="CC333" t="b">
        <v>1</v>
      </c>
      <c r="CD333" t="b">
        <v>1</v>
      </c>
      <c r="CE333" t="b">
        <v>1</v>
      </c>
      <c r="CF333" t="b">
        <v>1</v>
      </c>
    </row>
    <row r="334" spans="1:84" x14ac:dyDescent="0.3">
      <c r="A334" t="s">
        <v>1879</v>
      </c>
      <c r="B334" t="s">
        <v>1182</v>
      </c>
      <c r="C334" s="98">
        <v>45712</v>
      </c>
      <c r="D334">
        <v>2025</v>
      </c>
      <c r="E334">
        <v>2</v>
      </c>
      <c r="F334">
        <v>1</v>
      </c>
      <c r="G334" t="s">
        <v>1170</v>
      </c>
      <c r="H334" t="s">
        <v>129</v>
      </c>
      <c r="I334" t="s">
        <v>129</v>
      </c>
      <c r="J334" t="s">
        <v>6</v>
      </c>
      <c r="L334">
        <v>522611</v>
      </c>
      <c r="M334" s="99" t="s">
        <v>179</v>
      </c>
      <c r="N334">
        <v>2</v>
      </c>
      <c r="O334">
        <v>8</v>
      </c>
      <c r="P334">
        <v>81.1036</v>
      </c>
      <c r="Q334" t="s">
        <v>352</v>
      </c>
      <c r="R334">
        <v>1</v>
      </c>
      <c r="S334">
        <v>81.875900000000001</v>
      </c>
      <c r="T334">
        <v>0.73899999999999999</v>
      </c>
      <c r="U334">
        <v>-1.0450608930987839</v>
      </c>
      <c r="V334">
        <v>79.658900000000003</v>
      </c>
      <c r="W334">
        <v>80.397900000000007</v>
      </c>
      <c r="X334">
        <v>81.136899999999997</v>
      </c>
      <c r="Y334">
        <v>82.614900000000006</v>
      </c>
      <c r="Z334">
        <v>83.353899999999996</v>
      </c>
      <c r="AA334">
        <v>84.0929</v>
      </c>
      <c r="AD334">
        <v>2.4095619923060774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 t="s">
        <v>462</v>
      </c>
      <c r="AL334" t="s">
        <v>6</v>
      </c>
      <c r="AM334" t="s">
        <v>1145</v>
      </c>
      <c r="AN334" t="s">
        <v>1146</v>
      </c>
      <c r="AO334" s="100">
        <v>46262.040405092594</v>
      </c>
      <c r="AP334" t="s">
        <v>1147</v>
      </c>
      <c r="AQ334" t="s">
        <v>1880</v>
      </c>
      <c r="AR334" t="s">
        <v>1184</v>
      </c>
      <c r="AS334" t="s">
        <v>1150</v>
      </c>
      <c r="AT334" t="s">
        <v>1816</v>
      </c>
      <c r="AU334">
        <v>25</v>
      </c>
      <c r="AV334">
        <v>81.972576000000004</v>
      </c>
      <c r="AW334">
        <v>0.75889536788677248</v>
      </c>
      <c r="AX334">
        <v>0.92579177685811953</v>
      </c>
      <c r="AY334">
        <v>-1.2048563495588844</v>
      </c>
      <c r="AZ334">
        <v>2.7324127813747814</v>
      </c>
      <c r="BA334">
        <v>1.3012706235473701</v>
      </c>
      <c r="BB334" t="s">
        <v>4619</v>
      </c>
      <c r="BD334" s="98"/>
      <c r="BE334" s="98"/>
      <c r="BF334" t="s">
        <v>1152</v>
      </c>
      <c r="BG334" t="s">
        <v>322</v>
      </c>
      <c r="BH334" t="s">
        <v>1153</v>
      </c>
      <c r="BI334">
        <v>1.2048563495588844</v>
      </c>
      <c r="BJ334" t="s">
        <v>991</v>
      </c>
      <c r="BK334">
        <v>-0.32285078906870401</v>
      </c>
      <c r="BL334">
        <v>-13.398733466895319</v>
      </c>
      <c r="BM334" t="s">
        <v>1021</v>
      </c>
      <c r="BN334" t="s">
        <v>1154</v>
      </c>
      <c r="BO334">
        <v>2025</v>
      </c>
      <c r="BP334" t="s">
        <v>966</v>
      </c>
      <c r="BQ334">
        <v>629753.08985003456</v>
      </c>
      <c r="BR334">
        <v>37.024691014996542</v>
      </c>
      <c r="BS334" t="s">
        <v>992</v>
      </c>
      <c r="BV334" t="s">
        <v>1034</v>
      </c>
      <c r="BW334" t="s">
        <v>943</v>
      </c>
      <c r="BX334" t="s">
        <v>994</v>
      </c>
      <c r="BY334">
        <v>1.1688005296958408</v>
      </c>
      <c r="BZ334" t="s">
        <v>1155</v>
      </c>
      <c r="CA334" t="s">
        <v>991</v>
      </c>
      <c r="CB334" t="b">
        <v>1</v>
      </c>
      <c r="CC334" t="b">
        <v>1</v>
      </c>
      <c r="CD334" t="b">
        <v>1</v>
      </c>
      <c r="CE334" t="b">
        <v>1</v>
      </c>
      <c r="CF334" t="b">
        <v>1</v>
      </c>
    </row>
    <row r="335" spans="1:84" x14ac:dyDescent="0.3">
      <c r="A335" t="s">
        <v>1881</v>
      </c>
      <c r="B335" t="s">
        <v>1186</v>
      </c>
      <c r="C335" s="98">
        <v>45719</v>
      </c>
      <c r="D335">
        <v>2025</v>
      </c>
      <c r="E335">
        <v>3</v>
      </c>
      <c r="F335">
        <v>1</v>
      </c>
      <c r="G335" t="s">
        <v>1187</v>
      </c>
      <c r="H335" t="s">
        <v>129</v>
      </c>
      <c r="I335" t="s">
        <v>129</v>
      </c>
      <c r="J335" t="s">
        <v>6</v>
      </c>
      <c r="L335">
        <v>522611</v>
      </c>
      <c r="M335" s="99" t="s">
        <v>179</v>
      </c>
      <c r="N335">
        <v>2</v>
      </c>
      <c r="O335">
        <v>9</v>
      </c>
      <c r="P335">
        <v>82.111699999999999</v>
      </c>
      <c r="Q335" t="s">
        <v>352</v>
      </c>
      <c r="R335">
        <v>1</v>
      </c>
      <c r="S335">
        <v>81.875900000000001</v>
      </c>
      <c r="T335">
        <v>0.73899999999999999</v>
      </c>
      <c r="U335">
        <v>0.31907983761839998</v>
      </c>
      <c r="V335">
        <v>79.658900000000003</v>
      </c>
      <c r="W335">
        <v>80.397900000000007</v>
      </c>
      <c r="X335">
        <v>81.136899999999997</v>
      </c>
      <c r="Y335">
        <v>82.614900000000006</v>
      </c>
      <c r="Z335">
        <v>83.353899999999996</v>
      </c>
      <c r="AA335">
        <v>84.0929</v>
      </c>
      <c r="AD335">
        <v>2.4095619923060774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 t="s">
        <v>462</v>
      </c>
      <c r="AL335" t="s">
        <v>6</v>
      </c>
      <c r="AM335" t="s">
        <v>1145</v>
      </c>
      <c r="AN335" t="s">
        <v>1146</v>
      </c>
      <c r="AO335" s="100">
        <v>46262.040405092594</v>
      </c>
      <c r="AP335" t="s">
        <v>1147</v>
      </c>
      <c r="AQ335" t="s">
        <v>1882</v>
      </c>
      <c r="AR335" t="s">
        <v>1189</v>
      </c>
      <c r="AS335" t="s">
        <v>1150</v>
      </c>
      <c r="AT335" t="s">
        <v>1816</v>
      </c>
      <c r="AU335">
        <v>25</v>
      </c>
      <c r="AV335">
        <v>81.972576000000004</v>
      </c>
      <c r="AW335">
        <v>0.75889536788677248</v>
      </c>
      <c r="AX335">
        <v>0.92579177685811953</v>
      </c>
      <c r="AY335">
        <v>-1.2048563495588844</v>
      </c>
      <c r="AZ335">
        <v>2.7324127813747814</v>
      </c>
      <c r="BA335">
        <v>1.3012706235473701</v>
      </c>
      <c r="BB335" t="s">
        <v>4619</v>
      </c>
      <c r="BD335" s="98"/>
      <c r="BE335" s="98"/>
      <c r="BF335" t="s">
        <v>1152</v>
      </c>
      <c r="BG335" t="s">
        <v>322</v>
      </c>
      <c r="BH335" t="s">
        <v>1153</v>
      </c>
      <c r="BI335">
        <v>1.2048563495588844</v>
      </c>
      <c r="BJ335" t="s">
        <v>991</v>
      </c>
      <c r="BK335">
        <v>-0.32285078906870401</v>
      </c>
      <c r="BL335">
        <v>-13.398733466895319</v>
      </c>
      <c r="BM335" t="s">
        <v>1021</v>
      </c>
      <c r="BN335" t="s">
        <v>1154</v>
      </c>
      <c r="BO335">
        <v>2025</v>
      </c>
      <c r="BP335" t="s">
        <v>966</v>
      </c>
      <c r="BQ335">
        <v>629753.08985003456</v>
      </c>
      <c r="BR335">
        <v>37.024691014996542</v>
      </c>
      <c r="BS335" t="s">
        <v>992</v>
      </c>
      <c r="BV335" t="s">
        <v>1034</v>
      </c>
      <c r="BW335" t="s">
        <v>943</v>
      </c>
      <c r="BX335" t="s">
        <v>994</v>
      </c>
      <c r="BY335">
        <v>1.1688005296958408</v>
      </c>
      <c r="BZ335" t="s">
        <v>1155</v>
      </c>
      <c r="CA335" t="s">
        <v>991</v>
      </c>
      <c r="CB335" t="b">
        <v>1</v>
      </c>
      <c r="CC335" t="b">
        <v>1</v>
      </c>
      <c r="CD335" t="b">
        <v>1</v>
      </c>
      <c r="CE335" t="b">
        <v>1</v>
      </c>
      <c r="CF335" t="b">
        <v>1</v>
      </c>
    </row>
    <row r="336" spans="1:84" x14ac:dyDescent="0.3">
      <c r="A336" t="s">
        <v>1883</v>
      </c>
      <c r="B336" t="s">
        <v>1191</v>
      </c>
      <c r="C336" s="98">
        <v>45726</v>
      </c>
      <c r="D336">
        <v>2025</v>
      </c>
      <c r="E336">
        <v>3</v>
      </c>
      <c r="F336">
        <v>1</v>
      </c>
      <c r="G336" t="s">
        <v>1187</v>
      </c>
      <c r="H336" t="s">
        <v>129</v>
      </c>
      <c r="I336" t="s">
        <v>129</v>
      </c>
      <c r="J336" t="s">
        <v>6</v>
      </c>
      <c r="L336">
        <v>522611</v>
      </c>
      <c r="M336" s="99" t="s">
        <v>179</v>
      </c>
      <c r="N336">
        <v>2</v>
      </c>
      <c r="O336">
        <v>10</v>
      </c>
      <c r="P336">
        <v>80.954300000000003</v>
      </c>
      <c r="Q336" t="s">
        <v>352</v>
      </c>
      <c r="R336">
        <v>1</v>
      </c>
      <c r="S336">
        <v>81.875900000000001</v>
      </c>
      <c r="T336">
        <v>0.73899999999999999</v>
      </c>
      <c r="U336">
        <v>-1.2470906630581839</v>
      </c>
      <c r="V336">
        <v>79.658900000000003</v>
      </c>
      <c r="W336">
        <v>80.397900000000007</v>
      </c>
      <c r="X336">
        <v>81.136899999999997</v>
      </c>
      <c r="Y336">
        <v>82.614900000000006</v>
      </c>
      <c r="Z336">
        <v>83.353899999999996</v>
      </c>
      <c r="AA336">
        <v>84.0929</v>
      </c>
      <c r="AD336">
        <v>2.4095619923060774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 t="s">
        <v>462</v>
      </c>
      <c r="AL336" t="s">
        <v>6</v>
      </c>
      <c r="AM336" t="s">
        <v>1145</v>
      </c>
      <c r="AN336" t="s">
        <v>1146</v>
      </c>
      <c r="AO336" s="100">
        <v>46262.040405092594</v>
      </c>
      <c r="AP336" t="s">
        <v>1147</v>
      </c>
      <c r="AQ336" t="s">
        <v>1884</v>
      </c>
      <c r="AR336" t="s">
        <v>1193</v>
      </c>
      <c r="AS336" t="s">
        <v>1150</v>
      </c>
      <c r="AT336" t="s">
        <v>1816</v>
      </c>
      <c r="AU336">
        <v>25</v>
      </c>
      <c r="AV336">
        <v>81.972576000000004</v>
      </c>
      <c r="AW336">
        <v>0.75889536788677248</v>
      </c>
      <c r="AX336">
        <v>0.92579177685811953</v>
      </c>
      <c r="AY336">
        <v>-1.2048563495588844</v>
      </c>
      <c r="AZ336">
        <v>2.7324127813747814</v>
      </c>
      <c r="BA336">
        <v>1.3012706235473701</v>
      </c>
      <c r="BB336" t="s">
        <v>4619</v>
      </c>
      <c r="BD336" s="98"/>
      <c r="BE336" s="98"/>
      <c r="BF336" t="s">
        <v>1152</v>
      </c>
      <c r="BG336" t="s">
        <v>322</v>
      </c>
      <c r="BH336" t="s">
        <v>1153</v>
      </c>
      <c r="BI336">
        <v>1.2048563495588844</v>
      </c>
      <c r="BJ336" t="s">
        <v>991</v>
      </c>
      <c r="BK336">
        <v>-0.32285078906870401</v>
      </c>
      <c r="BL336">
        <v>-13.398733466895319</v>
      </c>
      <c r="BM336" t="s">
        <v>1021</v>
      </c>
      <c r="BN336" t="s">
        <v>1154</v>
      </c>
      <c r="BO336">
        <v>2025</v>
      </c>
      <c r="BP336" t="s">
        <v>966</v>
      </c>
      <c r="BQ336">
        <v>629753.08985003456</v>
      </c>
      <c r="BR336">
        <v>37.024691014996542</v>
      </c>
      <c r="BS336" t="s">
        <v>992</v>
      </c>
      <c r="BV336" t="s">
        <v>1034</v>
      </c>
      <c r="BW336" t="s">
        <v>943</v>
      </c>
      <c r="BX336" t="s">
        <v>994</v>
      </c>
      <c r="BY336">
        <v>1.1688005296958408</v>
      </c>
      <c r="BZ336" t="s">
        <v>1155</v>
      </c>
      <c r="CA336" t="s">
        <v>991</v>
      </c>
      <c r="CB336" t="b">
        <v>1</v>
      </c>
      <c r="CC336" t="b">
        <v>1</v>
      </c>
      <c r="CD336" t="b">
        <v>1</v>
      </c>
      <c r="CE336" t="b">
        <v>1</v>
      </c>
      <c r="CF336" t="b">
        <v>1</v>
      </c>
    </row>
    <row r="337" spans="1:84" x14ac:dyDescent="0.3">
      <c r="A337" t="s">
        <v>1885</v>
      </c>
      <c r="B337" t="s">
        <v>1195</v>
      </c>
      <c r="C337" s="98">
        <v>45733</v>
      </c>
      <c r="D337">
        <v>2025</v>
      </c>
      <c r="E337">
        <v>3</v>
      </c>
      <c r="F337">
        <v>1</v>
      </c>
      <c r="G337" t="s">
        <v>1187</v>
      </c>
      <c r="H337" t="s">
        <v>129</v>
      </c>
      <c r="I337" t="s">
        <v>129</v>
      </c>
      <c r="J337" t="s">
        <v>6</v>
      </c>
      <c r="L337">
        <v>522611</v>
      </c>
      <c r="M337" s="99" t="s">
        <v>179</v>
      </c>
      <c r="N337">
        <v>2</v>
      </c>
      <c r="O337">
        <v>11</v>
      </c>
      <c r="P337">
        <v>81.0578</v>
      </c>
      <c r="Q337" t="s">
        <v>352</v>
      </c>
      <c r="R337">
        <v>1</v>
      </c>
      <c r="S337">
        <v>81.875900000000001</v>
      </c>
      <c r="T337">
        <v>0.73899999999999999</v>
      </c>
      <c r="U337">
        <v>-1.1070365358592709</v>
      </c>
      <c r="V337">
        <v>79.658900000000003</v>
      </c>
      <c r="W337">
        <v>80.397900000000007</v>
      </c>
      <c r="X337">
        <v>81.136899999999997</v>
      </c>
      <c r="Y337">
        <v>82.614900000000006</v>
      </c>
      <c r="Z337">
        <v>83.353899999999996</v>
      </c>
      <c r="AA337">
        <v>84.0929</v>
      </c>
      <c r="AD337">
        <v>2.4095619923060774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 t="s">
        <v>462</v>
      </c>
      <c r="AL337" t="s">
        <v>6</v>
      </c>
      <c r="AM337" t="s">
        <v>1145</v>
      </c>
      <c r="AN337" t="s">
        <v>1146</v>
      </c>
      <c r="AO337" s="100">
        <v>46262.040405092594</v>
      </c>
      <c r="AP337" t="s">
        <v>1147</v>
      </c>
      <c r="AQ337" t="s">
        <v>1886</v>
      </c>
      <c r="AR337" t="s">
        <v>1197</v>
      </c>
      <c r="AS337" t="s">
        <v>1150</v>
      </c>
      <c r="AT337" t="s">
        <v>1816</v>
      </c>
      <c r="AU337">
        <v>25</v>
      </c>
      <c r="AV337">
        <v>81.972576000000004</v>
      </c>
      <c r="AW337">
        <v>0.75889536788677248</v>
      </c>
      <c r="AX337">
        <v>0.92579177685811953</v>
      </c>
      <c r="AY337">
        <v>-1.2048563495588844</v>
      </c>
      <c r="AZ337">
        <v>2.7324127813747814</v>
      </c>
      <c r="BA337">
        <v>1.3012706235473701</v>
      </c>
      <c r="BB337" t="s">
        <v>4619</v>
      </c>
      <c r="BD337" s="98"/>
      <c r="BE337" s="98"/>
      <c r="BF337" t="s">
        <v>1152</v>
      </c>
      <c r="BG337" t="s">
        <v>322</v>
      </c>
      <c r="BH337" t="s">
        <v>1153</v>
      </c>
      <c r="BI337">
        <v>1.2048563495588844</v>
      </c>
      <c r="BJ337" t="s">
        <v>991</v>
      </c>
      <c r="BK337">
        <v>-0.32285078906870401</v>
      </c>
      <c r="BL337">
        <v>-13.398733466895319</v>
      </c>
      <c r="BM337" t="s">
        <v>1021</v>
      </c>
      <c r="BN337" t="s">
        <v>1154</v>
      </c>
      <c r="BO337">
        <v>2025</v>
      </c>
      <c r="BP337" t="s">
        <v>966</v>
      </c>
      <c r="BQ337">
        <v>629753.08985003456</v>
      </c>
      <c r="BR337">
        <v>37.024691014996542</v>
      </c>
      <c r="BS337" t="s">
        <v>992</v>
      </c>
      <c r="BV337" t="s">
        <v>1034</v>
      </c>
      <c r="BW337" t="s">
        <v>943</v>
      </c>
      <c r="BX337" t="s">
        <v>994</v>
      </c>
      <c r="BY337">
        <v>1.1688005296958408</v>
      </c>
      <c r="BZ337" t="s">
        <v>1155</v>
      </c>
      <c r="CA337" t="s">
        <v>991</v>
      </c>
      <c r="CB337" t="b">
        <v>1</v>
      </c>
      <c r="CC337" t="b">
        <v>1</v>
      </c>
      <c r="CD337" t="b">
        <v>1</v>
      </c>
      <c r="CE337" t="b">
        <v>1</v>
      </c>
      <c r="CF337" t="b">
        <v>1</v>
      </c>
    </row>
    <row r="338" spans="1:84" x14ac:dyDescent="0.3">
      <c r="A338" t="s">
        <v>1887</v>
      </c>
      <c r="B338" t="s">
        <v>1199</v>
      </c>
      <c r="C338" s="98">
        <v>45740</v>
      </c>
      <c r="D338">
        <v>2025</v>
      </c>
      <c r="E338">
        <v>3</v>
      </c>
      <c r="F338">
        <v>1</v>
      </c>
      <c r="G338" t="s">
        <v>1187</v>
      </c>
      <c r="H338" t="s">
        <v>129</v>
      </c>
      <c r="I338" t="s">
        <v>129</v>
      </c>
      <c r="J338" t="s">
        <v>6</v>
      </c>
      <c r="L338">
        <v>522611</v>
      </c>
      <c r="M338" s="99" t="s">
        <v>179</v>
      </c>
      <c r="N338">
        <v>2</v>
      </c>
      <c r="O338">
        <v>12</v>
      </c>
      <c r="P338">
        <v>82.821600000000004</v>
      </c>
      <c r="Q338" t="s">
        <v>352</v>
      </c>
      <c r="R338">
        <v>1</v>
      </c>
      <c r="S338">
        <v>81.875900000000001</v>
      </c>
      <c r="T338">
        <v>0.73899999999999999</v>
      </c>
      <c r="U338">
        <v>1.2797023004059569</v>
      </c>
      <c r="V338">
        <v>79.658900000000003</v>
      </c>
      <c r="W338">
        <v>80.397900000000007</v>
      </c>
      <c r="X338">
        <v>81.136899999999997</v>
      </c>
      <c r="Y338">
        <v>82.614900000000006</v>
      </c>
      <c r="Z338">
        <v>83.353899999999996</v>
      </c>
      <c r="AA338">
        <v>84.0929</v>
      </c>
      <c r="AD338">
        <v>2.4095619923060774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 t="s">
        <v>462</v>
      </c>
      <c r="AL338" t="s">
        <v>6</v>
      </c>
      <c r="AM338" t="s">
        <v>1145</v>
      </c>
      <c r="AN338" t="s">
        <v>1146</v>
      </c>
      <c r="AO338" s="100">
        <v>46262.040405092594</v>
      </c>
      <c r="AP338" t="s">
        <v>1147</v>
      </c>
      <c r="AQ338" t="s">
        <v>1888</v>
      </c>
      <c r="AR338" t="s">
        <v>1201</v>
      </c>
      <c r="AS338" t="s">
        <v>1150</v>
      </c>
      <c r="AT338" t="s">
        <v>1816</v>
      </c>
      <c r="AU338">
        <v>25</v>
      </c>
      <c r="AV338">
        <v>81.972576000000004</v>
      </c>
      <c r="AW338">
        <v>0.75889536788677248</v>
      </c>
      <c r="AX338">
        <v>0.92579177685811953</v>
      </c>
      <c r="AY338">
        <v>-1.2048563495588844</v>
      </c>
      <c r="AZ338">
        <v>2.7324127813747814</v>
      </c>
      <c r="BA338">
        <v>1.3012706235473701</v>
      </c>
      <c r="BB338" t="s">
        <v>4619</v>
      </c>
      <c r="BD338" s="98"/>
      <c r="BE338" s="98"/>
      <c r="BF338" t="s">
        <v>1152</v>
      </c>
      <c r="BG338" t="s">
        <v>322</v>
      </c>
      <c r="BH338" t="s">
        <v>1153</v>
      </c>
      <c r="BI338">
        <v>1.2048563495588844</v>
      </c>
      <c r="BJ338" t="s">
        <v>991</v>
      </c>
      <c r="BK338">
        <v>-0.32285078906870401</v>
      </c>
      <c r="BL338">
        <v>-13.398733466895319</v>
      </c>
      <c r="BM338" t="s">
        <v>1021</v>
      </c>
      <c r="BN338" t="s">
        <v>1154</v>
      </c>
      <c r="BO338">
        <v>2025</v>
      </c>
      <c r="BP338" t="s">
        <v>966</v>
      </c>
      <c r="BQ338">
        <v>629753.08985003456</v>
      </c>
      <c r="BR338">
        <v>37.024691014996542</v>
      </c>
      <c r="BS338" t="s">
        <v>992</v>
      </c>
      <c r="BV338" t="s">
        <v>1034</v>
      </c>
      <c r="BW338" t="s">
        <v>943</v>
      </c>
      <c r="BX338" t="s">
        <v>994</v>
      </c>
      <c r="BY338">
        <v>1.1688005296958408</v>
      </c>
      <c r="BZ338" t="s">
        <v>1155</v>
      </c>
      <c r="CA338" t="s">
        <v>991</v>
      </c>
      <c r="CB338" t="b">
        <v>1</v>
      </c>
      <c r="CC338" t="b">
        <v>1</v>
      </c>
      <c r="CD338" t="b">
        <v>1</v>
      </c>
      <c r="CE338" t="b">
        <v>1</v>
      </c>
      <c r="CF338" t="b">
        <v>1</v>
      </c>
    </row>
    <row r="339" spans="1:84" x14ac:dyDescent="0.3">
      <c r="A339" t="s">
        <v>1889</v>
      </c>
      <c r="B339" t="s">
        <v>1203</v>
      </c>
      <c r="C339" s="98">
        <v>45747</v>
      </c>
      <c r="D339">
        <v>2025</v>
      </c>
      <c r="E339">
        <v>3</v>
      </c>
      <c r="F339">
        <v>1</v>
      </c>
      <c r="G339" t="s">
        <v>1187</v>
      </c>
      <c r="H339" t="s">
        <v>129</v>
      </c>
      <c r="I339" t="s">
        <v>129</v>
      </c>
      <c r="J339" t="s">
        <v>6</v>
      </c>
      <c r="L339">
        <v>522611</v>
      </c>
      <c r="M339" s="99" t="s">
        <v>179</v>
      </c>
      <c r="N339">
        <v>2</v>
      </c>
      <c r="O339">
        <v>13</v>
      </c>
      <c r="P339">
        <v>81.206699999999998</v>
      </c>
      <c r="Q339" t="s">
        <v>352</v>
      </c>
      <c r="R339">
        <v>1</v>
      </c>
      <c r="S339">
        <v>81.875900000000001</v>
      </c>
      <c r="T339">
        <v>0.73899999999999999</v>
      </c>
      <c r="U339">
        <v>-0.90554803788904403</v>
      </c>
      <c r="V339">
        <v>79.658900000000003</v>
      </c>
      <c r="W339">
        <v>80.397900000000007</v>
      </c>
      <c r="X339">
        <v>81.136899999999997</v>
      </c>
      <c r="Y339">
        <v>82.614900000000006</v>
      </c>
      <c r="Z339">
        <v>83.353899999999996</v>
      </c>
      <c r="AA339">
        <v>84.0929</v>
      </c>
      <c r="AD339">
        <v>2.4095619923060774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 t="s">
        <v>462</v>
      </c>
      <c r="AL339" t="s">
        <v>6</v>
      </c>
      <c r="AM339" t="s">
        <v>1145</v>
      </c>
      <c r="AN339" t="s">
        <v>1146</v>
      </c>
      <c r="AO339" s="100">
        <v>46262.040405092594</v>
      </c>
      <c r="AP339" t="s">
        <v>1147</v>
      </c>
      <c r="AQ339" t="s">
        <v>1890</v>
      </c>
      <c r="AR339" t="s">
        <v>1205</v>
      </c>
      <c r="AS339" t="s">
        <v>1150</v>
      </c>
      <c r="AT339" t="s">
        <v>1816</v>
      </c>
      <c r="AU339">
        <v>25</v>
      </c>
      <c r="AV339">
        <v>81.972576000000004</v>
      </c>
      <c r="AW339">
        <v>0.75889536788677248</v>
      </c>
      <c r="AX339">
        <v>0.92579177685811953</v>
      </c>
      <c r="AY339">
        <v>-1.2048563495588844</v>
      </c>
      <c r="AZ339">
        <v>2.7324127813747814</v>
      </c>
      <c r="BA339">
        <v>1.3012706235473701</v>
      </c>
      <c r="BB339" t="s">
        <v>4619</v>
      </c>
      <c r="BD339" s="98"/>
      <c r="BE339" s="98"/>
      <c r="BF339" t="s">
        <v>1152</v>
      </c>
      <c r="BG339" t="s">
        <v>322</v>
      </c>
      <c r="BH339" t="s">
        <v>1153</v>
      </c>
      <c r="BI339">
        <v>1.2048563495588844</v>
      </c>
      <c r="BJ339" t="s">
        <v>991</v>
      </c>
      <c r="BK339">
        <v>-0.32285078906870401</v>
      </c>
      <c r="BL339">
        <v>-13.398733466895319</v>
      </c>
      <c r="BM339" t="s">
        <v>1021</v>
      </c>
      <c r="BN339" t="s">
        <v>1154</v>
      </c>
      <c r="BO339">
        <v>2025</v>
      </c>
      <c r="BP339" t="s">
        <v>966</v>
      </c>
      <c r="BQ339">
        <v>629753.08985003456</v>
      </c>
      <c r="BR339">
        <v>37.024691014996542</v>
      </c>
      <c r="BS339" t="s">
        <v>992</v>
      </c>
      <c r="BV339" t="s">
        <v>1034</v>
      </c>
      <c r="BW339" t="s">
        <v>943</v>
      </c>
      <c r="BX339" t="s">
        <v>994</v>
      </c>
      <c r="BY339">
        <v>1.1688005296958408</v>
      </c>
      <c r="BZ339" t="s">
        <v>1155</v>
      </c>
      <c r="CA339" t="s">
        <v>991</v>
      </c>
      <c r="CB339" t="b">
        <v>1</v>
      </c>
      <c r="CC339" t="b">
        <v>1</v>
      </c>
      <c r="CD339" t="b">
        <v>1</v>
      </c>
      <c r="CE339" t="b">
        <v>1</v>
      </c>
      <c r="CF339" t="b">
        <v>1</v>
      </c>
    </row>
    <row r="340" spans="1:84" x14ac:dyDescent="0.3">
      <c r="A340" t="s">
        <v>1891</v>
      </c>
      <c r="B340" t="s">
        <v>1207</v>
      </c>
      <c r="C340" s="98">
        <v>45754</v>
      </c>
      <c r="D340">
        <v>2025</v>
      </c>
      <c r="E340">
        <v>4</v>
      </c>
      <c r="F340">
        <v>2</v>
      </c>
      <c r="G340" t="s">
        <v>1208</v>
      </c>
      <c r="H340" t="s">
        <v>129</v>
      </c>
      <c r="I340" t="s">
        <v>129</v>
      </c>
      <c r="J340" t="s">
        <v>6</v>
      </c>
      <c r="L340">
        <v>522611</v>
      </c>
      <c r="M340" s="99" t="s">
        <v>179</v>
      </c>
      <c r="N340">
        <v>2</v>
      </c>
      <c r="O340">
        <v>14</v>
      </c>
      <c r="P340">
        <v>82.674999999999997</v>
      </c>
      <c r="Q340" t="s">
        <v>352</v>
      </c>
      <c r="R340">
        <v>1</v>
      </c>
      <c r="S340">
        <v>81.875900000000001</v>
      </c>
      <c r="T340">
        <v>0.73899999999999999</v>
      </c>
      <c r="U340">
        <v>1.081326116373472</v>
      </c>
      <c r="V340">
        <v>79.658900000000003</v>
      </c>
      <c r="W340">
        <v>80.397900000000007</v>
      </c>
      <c r="X340">
        <v>81.136899999999997</v>
      </c>
      <c r="Y340">
        <v>82.614900000000006</v>
      </c>
      <c r="Z340">
        <v>83.353899999999996</v>
      </c>
      <c r="AA340">
        <v>84.0929</v>
      </c>
      <c r="AD340">
        <v>2.4095619923060774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 t="s">
        <v>462</v>
      </c>
      <c r="AL340" t="s">
        <v>6</v>
      </c>
      <c r="AM340" t="s">
        <v>1145</v>
      </c>
      <c r="AN340" t="s">
        <v>1146</v>
      </c>
      <c r="AO340" s="100">
        <v>46262.040405092594</v>
      </c>
      <c r="AP340" t="s">
        <v>1147</v>
      </c>
      <c r="AQ340" t="s">
        <v>1892</v>
      </c>
      <c r="AR340" t="s">
        <v>1210</v>
      </c>
      <c r="AS340" t="s">
        <v>1150</v>
      </c>
      <c r="AT340" t="s">
        <v>1816</v>
      </c>
      <c r="AU340">
        <v>25</v>
      </c>
      <c r="AV340">
        <v>81.972576000000004</v>
      </c>
      <c r="AW340">
        <v>0.75889536788677248</v>
      </c>
      <c r="AX340">
        <v>0.92579177685811953</v>
      </c>
      <c r="AY340">
        <v>-1.2048563495588844</v>
      </c>
      <c r="AZ340">
        <v>2.7324127813747814</v>
      </c>
      <c r="BA340">
        <v>1.3012706235473701</v>
      </c>
      <c r="BB340" t="s">
        <v>4619</v>
      </c>
      <c r="BD340" s="98"/>
      <c r="BE340" s="98"/>
      <c r="BF340" t="s">
        <v>1152</v>
      </c>
      <c r="BG340" t="s">
        <v>322</v>
      </c>
      <c r="BH340" t="s">
        <v>1153</v>
      </c>
      <c r="BI340">
        <v>1.2048563495588844</v>
      </c>
      <c r="BJ340" t="s">
        <v>991</v>
      </c>
      <c r="BK340">
        <v>-0.32285078906870401</v>
      </c>
      <c r="BL340">
        <v>-13.398733466895319</v>
      </c>
      <c r="BM340" t="s">
        <v>1021</v>
      </c>
      <c r="BN340" t="s">
        <v>1154</v>
      </c>
      <c r="BO340">
        <v>2025</v>
      </c>
      <c r="BP340" t="s">
        <v>966</v>
      </c>
      <c r="BQ340">
        <v>629753.08985003456</v>
      </c>
      <c r="BR340">
        <v>37.024691014996542</v>
      </c>
      <c r="BS340" t="s">
        <v>992</v>
      </c>
      <c r="BV340" t="s">
        <v>1034</v>
      </c>
      <c r="BW340" t="s">
        <v>943</v>
      </c>
      <c r="BX340" t="s">
        <v>994</v>
      </c>
      <c r="BY340">
        <v>1.1688005296958408</v>
      </c>
      <c r="BZ340" t="s">
        <v>1155</v>
      </c>
      <c r="CA340" t="s">
        <v>991</v>
      </c>
      <c r="CB340" t="b">
        <v>1</v>
      </c>
      <c r="CC340" t="b">
        <v>1</v>
      </c>
      <c r="CD340" t="b">
        <v>1</v>
      </c>
      <c r="CE340" t="b">
        <v>1</v>
      </c>
      <c r="CF340" t="b">
        <v>1</v>
      </c>
    </row>
    <row r="341" spans="1:84" x14ac:dyDescent="0.3">
      <c r="A341" t="s">
        <v>1893</v>
      </c>
      <c r="B341" t="s">
        <v>1212</v>
      </c>
      <c r="C341" s="98">
        <v>45761</v>
      </c>
      <c r="D341">
        <v>2025</v>
      </c>
      <c r="E341">
        <v>4</v>
      </c>
      <c r="F341">
        <v>2</v>
      </c>
      <c r="G341" t="s">
        <v>1208</v>
      </c>
      <c r="H341" t="s">
        <v>129</v>
      </c>
      <c r="I341" t="s">
        <v>129</v>
      </c>
      <c r="J341" t="s">
        <v>6</v>
      </c>
      <c r="L341">
        <v>522611</v>
      </c>
      <c r="M341" s="99" t="s">
        <v>179</v>
      </c>
      <c r="N341">
        <v>2</v>
      </c>
      <c r="O341">
        <v>15</v>
      </c>
      <c r="P341">
        <v>83.002399999999994</v>
      </c>
      <c r="Q341" t="s">
        <v>352</v>
      </c>
      <c r="R341">
        <v>1</v>
      </c>
      <c r="S341">
        <v>81.875900000000001</v>
      </c>
      <c r="T341">
        <v>0.73899999999999999</v>
      </c>
      <c r="U341">
        <v>1.5243572395128457</v>
      </c>
      <c r="V341">
        <v>79.658900000000003</v>
      </c>
      <c r="W341">
        <v>80.397900000000007</v>
      </c>
      <c r="X341">
        <v>81.136899999999997</v>
      </c>
      <c r="Y341">
        <v>82.614900000000006</v>
      </c>
      <c r="Z341">
        <v>83.353899999999996</v>
      </c>
      <c r="AA341">
        <v>84.0929</v>
      </c>
      <c r="AD341">
        <v>2.4095619923060774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 t="s">
        <v>462</v>
      </c>
      <c r="AL341" t="s">
        <v>6</v>
      </c>
      <c r="AM341" t="s">
        <v>1145</v>
      </c>
      <c r="AN341" t="s">
        <v>1146</v>
      </c>
      <c r="AO341" s="100">
        <v>46262.040405092594</v>
      </c>
      <c r="AP341" t="s">
        <v>1147</v>
      </c>
      <c r="AQ341" t="s">
        <v>1894</v>
      </c>
      <c r="AR341" t="s">
        <v>1215</v>
      </c>
      <c r="AS341" t="s">
        <v>1150</v>
      </c>
      <c r="AT341" t="s">
        <v>1816</v>
      </c>
      <c r="AU341">
        <v>25</v>
      </c>
      <c r="AV341">
        <v>81.972576000000004</v>
      </c>
      <c r="AW341">
        <v>0.75889536788677248</v>
      </c>
      <c r="AX341">
        <v>0.92579177685811953</v>
      </c>
      <c r="AY341">
        <v>-1.2048563495588844</v>
      </c>
      <c r="AZ341">
        <v>2.7324127813747814</v>
      </c>
      <c r="BA341">
        <v>1.3012706235473701</v>
      </c>
      <c r="BB341" t="s">
        <v>4619</v>
      </c>
      <c r="BD341" s="98"/>
      <c r="BE341" s="98"/>
      <c r="BF341" t="s">
        <v>1152</v>
      </c>
      <c r="BG341" t="s">
        <v>322</v>
      </c>
      <c r="BH341" t="s">
        <v>1153</v>
      </c>
      <c r="BI341">
        <v>1.2048563495588844</v>
      </c>
      <c r="BJ341" t="s">
        <v>991</v>
      </c>
      <c r="BK341">
        <v>-0.32285078906870401</v>
      </c>
      <c r="BL341">
        <v>-13.398733466895319</v>
      </c>
      <c r="BM341" t="s">
        <v>1021</v>
      </c>
      <c r="BN341" t="s">
        <v>1154</v>
      </c>
      <c r="BO341">
        <v>2025</v>
      </c>
      <c r="BP341" t="s">
        <v>966</v>
      </c>
      <c r="BQ341">
        <v>629753.08985003456</v>
      </c>
      <c r="BR341">
        <v>37.024691014996542</v>
      </c>
      <c r="BS341" t="s">
        <v>992</v>
      </c>
      <c r="BV341" t="s">
        <v>1034</v>
      </c>
      <c r="BW341" t="s">
        <v>943</v>
      </c>
      <c r="BX341" t="s">
        <v>994</v>
      </c>
      <c r="BY341">
        <v>1.1688005296958408</v>
      </c>
      <c r="BZ341" t="s">
        <v>1155</v>
      </c>
      <c r="CA341" t="s">
        <v>991</v>
      </c>
      <c r="CB341" t="b">
        <v>1</v>
      </c>
      <c r="CC341" t="b">
        <v>1</v>
      </c>
      <c r="CD341" t="b">
        <v>1</v>
      </c>
      <c r="CE341" t="b">
        <v>1</v>
      </c>
      <c r="CF341" t="b">
        <v>1</v>
      </c>
    </row>
    <row r="342" spans="1:84" x14ac:dyDescent="0.3">
      <c r="A342" t="s">
        <v>1895</v>
      </c>
      <c r="B342" t="s">
        <v>1217</v>
      </c>
      <c r="C342" s="98">
        <v>45768</v>
      </c>
      <c r="D342">
        <v>2025</v>
      </c>
      <c r="E342">
        <v>4</v>
      </c>
      <c r="F342">
        <v>2</v>
      </c>
      <c r="G342" t="s">
        <v>1208</v>
      </c>
      <c r="H342" t="s">
        <v>129</v>
      </c>
      <c r="I342" t="s">
        <v>129</v>
      </c>
      <c r="J342" t="s">
        <v>6</v>
      </c>
      <c r="L342">
        <v>522611</v>
      </c>
      <c r="M342" s="99" t="s">
        <v>179</v>
      </c>
      <c r="N342">
        <v>2</v>
      </c>
      <c r="O342">
        <v>16</v>
      </c>
      <c r="P342">
        <v>82.067499999999995</v>
      </c>
      <c r="Q342" t="s">
        <v>352</v>
      </c>
      <c r="R342">
        <v>1</v>
      </c>
      <c r="S342">
        <v>81.875900000000001</v>
      </c>
      <c r="T342">
        <v>0.73899999999999999</v>
      </c>
      <c r="U342">
        <v>0.25926928281460621</v>
      </c>
      <c r="V342">
        <v>79.658900000000003</v>
      </c>
      <c r="W342">
        <v>80.397900000000007</v>
      </c>
      <c r="X342">
        <v>81.136899999999997</v>
      </c>
      <c r="Y342">
        <v>82.614900000000006</v>
      </c>
      <c r="Z342">
        <v>83.353899999999996</v>
      </c>
      <c r="AA342">
        <v>84.0929</v>
      </c>
      <c r="AD342">
        <v>2.4095619923060774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 t="s">
        <v>462</v>
      </c>
      <c r="AL342" t="s">
        <v>6</v>
      </c>
      <c r="AM342" t="s">
        <v>1145</v>
      </c>
      <c r="AN342" t="s">
        <v>1146</v>
      </c>
      <c r="AO342" s="100">
        <v>46262.040405092594</v>
      </c>
      <c r="AP342" t="s">
        <v>1147</v>
      </c>
      <c r="AQ342" t="s">
        <v>1896</v>
      </c>
      <c r="AR342" t="s">
        <v>1219</v>
      </c>
      <c r="AS342" t="s">
        <v>1150</v>
      </c>
      <c r="AT342" t="s">
        <v>1816</v>
      </c>
      <c r="AU342">
        <v>25</v>
      </c>
      <c r="AV342">
        <v>81.972576000000004</v>
      </c>
      <c r="AW342">
        <v>0.75889536788677248</v>
      </c>
      <c r="AX342">
        <v>0.92579177685811953</v>
      </c>
      <c r="AY342">
        <v>-1.2048563495588844</v>
      </c>
      <c r="AZ342">
        <v>2.7324127813747814</v>
      </c>
      <c r="BA342">
        <v>1.3012706235473701</v>
      </c>
      <c r="BB342" t="s">
        <v>4619</v>
      </c>
      <c r="BD342" s="98"/>
      <c r="BE342" s="98"/>
      <c r="BF342" t="s">
        <v>1152</v>
      </c>
      <c r="BG342" t="s">
        <v>322</v>
      </c>
      <c r="BH342" t="s">
        <v>1153</v>
      </c>
      <c r="BI342">
        <v>1.2048563495588844</v>
      </c>
      <c r="BJ342" t="s">
        <v>991</v>
      </c>
      <c r="BK342">
        <v>-0.32285078906870401</v>
      </c>
      <c r="BL342">
        <v>-13.398733466895319</v>
      </c>
      <c r="BM342" t="s">
        <v>1021</v>
      </c>
      <c r="BN342" t="s">
        <v>1154</v>
      </c>
      <c r="BO342">
        <v>2025</v>
      </c>
      <c r="BP342" t="s">
        <v>966</v>
      </c>
      <c r="BQ342">
        <v>629753.08985003456</v>
      </c>
      <c r="BR342">
        <v>37.024691014996542</v>
      </c>
      <c r="BS342" t="s">
        <v>992</v>
      </c>
      <c r="BV342" t="s">
        <v>1034</v>
      </c>
      <c r="BW342" t="s">
        <v>943</v>
      </c>
      <c r="BX342" t="s">
        <v>994</v>
      </c>
      <c r="BY342">
        <v>1.1688005296958408</v>
      </c>
      <c r="BZ342" t="s">
        <v>1155</v>
      </c>
      <c r="CA342" t="s">
        <v>991</v>
      </c>
      <c r="CB342" t="b">
        <v>1</v>
      </c>
      <c r="CC342" t="b">
        <v>1</v>
      </c>
      <c r="CD342" t="b">
        <v>1</v>
      </c>
      <c r="CE342" t="b">
        <v>1</v>
      </c>
      <c r="CF342" t="b">
        <v>1</v>
      </c>
    </row>
    <row r="343" spans="1:84" x14ac:dyDescent="0.3">
      <c r="A343" t="s">
        <v>1897</v>
      </c>
      <c r="B343" t="s">
        <v>1221</v>
      </c>
      <c r="C343" s="98">
        <v>45775</v>
      </c>
      <c r="D343">
        <v>2025</v>
      </c>
      <c r="E343">
        <v>4</v>
      </c>
      <c r="F343">
        <v>2</v>
      </c>
      <c r="G343" t="s">
        <v>1208</v>
      </c>
      <c r="H343" t="s">
        <v>129</v>
      </c>
      <c r="I343" t="s">
        <v>129</v>
      </c>
      <c r="J343" t="s">
        <v>6</v>
      </c>
      <c r="L343">
        <v>522611</v>
      </c>
      <c r="M343" s="99" t="s">
        <v>179</v>
      </c>
      <c r="N343">
        <v>2</v>
      </c>
      <c r="O343">
        <v>17</v>
      </c>
      <c r="P343">
        <v>82.284800000000004</v>
      </c>
      <c r="Q343" t="s">
        <v>352</v>
      </c>
      <c r="R343">
        <v>1</v>
      </c>
      <c r="S343">
        <v>81.875900000000001</v>
      </c>
      <c r="T343">
        <v>0.73899999999999999</v>
      </c>
      <c r="U343">
        <v>0.5533152909336978</v>
      </c>
      <c r="V343">
        <v>79.658900000000003</v>
      </c>
      <c r="W343">
        <v>80.397900000000007</v>
      </c>
      <c r="X343">
        <v>81.136899999999997</v>
      </c>
      <c r="Y343">
        <v>82.614900000000006</v>
      </c>
      <c r="Z343">
        <v>83.353899999999996</v>
      </c>
      <c r="AA343">
        <v>84.0929</v>
      </c>
      <c r="AD343">
        <v>2.4095619923060774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 t="s">
        <v>462</v>
      </c>
      <c r="AL343" t="s">
        <v>6</v>
      </c>
      <c r="AM343" t="s">
        <v>1145</v>
      </c>
      <c r="AN343" t="s">
        <v>1146</v>
      </c>
      <c r="AO343" s="100">
        <v>46262.040405092594</v>
      </c>
      <c r="AP343" t="s">
        <v>1147</v>
      </c>
      <c r="AQ343" t="s">
        <v>1898</v>
      </c>
      <c r="AR343" t="s">
        <v>1223</v>
      </c>
      <c r="AS343" t="s">
        <v>1150</v>
      </c>
      <c r="AT343" t="s">
        <v>1816</v>
      </c>
      <c r="AU343">
        <v>25</v>
      </c>
      <c r="AV343">
        <v>81.972576000000004</v>
      </c>
      <c r="AW343">
        <v>0.75889536788677248</v>
      </c>
      <c r="AX343">
        <v>0.92579177685811953</v>
      </c>
      <c r="AY343">
        <v>-1.2048563495588844</v>
      </c>
      <c r="AZ343">
        <v>2.7324127813747814</v>
      </c>
      <c r="BA343">
        <v>1.3012706235473701</v>
      </c>
      <c r="BB343" t="s">
        <v>4619</v>
      </c>
      <c r="BD343" s="98"/>
      <c r="BE343" s="98"/>
      <c r="BF343" t="s">
        <v>1152</v>
      </c>
      <c r="BG343" t="s">
        <v>322</v>
      </c>
      <c r="BH343" t="s">
        <v>1153</v>
      </c>
      <c r="BI343">
        <v>1.2048563495588844</v>
      </c>
      <c r="BJ343" t="s">
        <v>991</v>
      </c>
      <c r="BK343">
        <v>-0.32285078906870401</v>
      </c>
      <c r="BL343">
        <v>-13.398733466895319</v>
      </c>
      <c r="BM343" t="s">
        <v>1021</v>
      </c>
      <c r="BN343" t="s">
        <v>1154</v>
      </c>
      <c r="BO343">
        <v>2025</v>
      </c>
      <c r="BP343" t="s">
        <v>966</v>
      </c>
      <c r="BQ343">
        <v>629753.08985003456</v>
      </c>
      <c r="BR343">
        <v>37.024691014996542</v>
      </c>
      <c r="BS343" t="s">
        <v>992</v>
      </c>
      <c r="BV343" t="s">
        <v>1034</v>
      </c>
      <c r="BW343" t="s">
        <v>943</v>
      </c>
      <c r="BX343" t="s">
        <v>994</v>
      </c>
      <c r="BY343">
        <v>1.1688005296958408</v>
      </c>
      <c r="BZ343" t="s">
        <v>1155</v>
      </c>
      <c r="CA343" t="s">
        <v>991</v>
      </c>
      <c r="CB343" t="b">
        <v>1</v>
      </c>
      <c r="CC343" t="b">
        <v>1</v>
      </c>
      <c r="CD343" t="b">
        <v>1</v>
      </c>
      <c r="CE343" t="b">
        <v>1</v>
      </c>
      <c r="CF343" t="b">
        <v>1</v>
      </c>
    </row>
    <row r="344" spans="1:84" x14ac:dyDescent="0.3">
      <c r="A344" t="s">
        <v>1899</v>
      </c>
      <c r="B344" t="s">
        <v>1225</v>
      </c>
      <c r="C344" s="98">
        <v>45782</v>
      </c>
      <c r="D344">
        <v>2025</v>
      </c>
      <c r="E344">
        <v>5</v>
      </c>
      <c r="F344">
        <v>2</v>
      </c>
      <c r="G344" t="s">
        <v>1226</v>
      </c>
      <c r="H344" t="s">
        <v>129</v>
      </c>
      <c r="I344" t="s">
        <v>129</v>
      </c>
      <c r="J344" t="s">
        <v>6</v>
      </c>
      <c r="L344">
        <v>522611</v>
      </c>
      <c r="M344" s="99" t="s">
        <v>179</v>
      </c>
      <c r="N344">
        <v>2</v>
      </c>
      <c r="O344">
        <v>18</v>
      </c>
      <c r="P344">
        <v>83.318700000000007</v>
      </c>
      <c r="Q344" t="s">
        <v>352</v>
      </c>
      <c r="R344">
        <v>1</v>
      </c>
      <c r="S344">
        <v>81.875900000000001</v>
      </c>
      <c r="T344">
        <v>0.73899999999999999</v>
      </c>
      <c r="U344">
        <v>1.952368064952646</v>
      </c>
      <c r="V344">
        <v>79.658900000000003</v>
      </c>
      <c r="W344">
        <v>80.397900000000007</v>
      </c>
      <c r="X344">
        <v>81.136899999999997</v>
      </c>
      <c r="Y344">
        <v>82.614900000000006</v>
      </c>
      <c r="Z344">
        <v>83.353899999999996</v>
      </c>
      <c r="AA344">
        <v>84.0929</v>
      </c>
      <c r="AD344">
        <v>2.4095619923060774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 t="s">
        <v>462</v>
      </c>
      <c r="AL344" t="s">
        <v>6</v>
      </c>
      <c r="AM344" t="s">
        <v>1145</v>
      </c>
      <c r="AN344" t="s">
        <v>1146</v>
      </c>
      <c r="AO344" s="100">
        <v>46262.040405092594</v>
      </c>
      <c r="AP344" t="s">
        <v>1147</v>
      </c>
      <c r="AQ344" t="s">
        <v>1900</v>
      </c>
      <c r="AR344" t="s">
        <v>1228</v>
      </c>
      <c r="AS344" t="s">
        <v>1150</v>
      </c>
      <c r="AT344" t="s">
        <v>1816</v>
      </c>
      <c r="AU344">
        <v>25</v>
      </c>
      <c r="AV344">
        <v>81.972576000000004</v>
      </c>
      <c r="AW344">
        <v>0.75889536788677248</v>
      </c>
      <c r="AX344">
        <v>0.92579177685811953</v>
      </c>
      <c r="AY344">
        <v>-1.2048563495588844</v>
      </c>
      <c r="AZ344">
        <v>2.7324127813747814</v>
      </c>
      <c r="BA344">
        <v>1.3012706235473701</v>
      </c>
      <c r="BB344" t="s">
        <v>4619</v>
      </c>
      <c r="BD344" s="98"/>
      <c r="BE344" s="98"/>
      <c r="BF344" t="s">
        <v>1152</v>
      </c>
      <c r="BG344" t="s">
        <v>322</v>
      </c>
      <c r="BH344" t="s">
        <v>1153</v>
      </c>
      <c r="BI344">
        <v>1.2048563495588844</v>
      </c>
      <c r="BJ344" t="s">
        <v>991</v>
      </c>
      <c r="BK344">
        <v>-0.32285078906870401</v>
      </c>
      <c r="BL344">
        <v>-13.398733466895319</v>
      </c>
      <c r="BM344" t="s">
        <v>1021</v>
      </c>
      <c r="BN344" t="s">
        <v>1154</v>
      </c>
      <c r="BO344">
        <v>2025</v>
      </c>
      <c r="BP344" t="s">
        <v>966</v>
      </c>
      <c r="BQ344">
        <v>629753.08985003456</v>
      </c>
      <c r="BR344">
        <v>37.024691014996542</v>
      </c>
      <c r="BS344" t="s">
        <v>992</v>
      </c>
      <c r="BV344" t="s">
        <v>1034</v>
      </c>
      <c r="BW344" t="s">
        <v>943</v>
      </c>
      <c r="BX344" t="s">
        <v>994</v>
      </c>
      <c r="BY344">
        <v>1.1688005296958408</v>
      </c>
      <c r="BZ344" t="s">
        <v>1155</v>
      </c>
      <c r="CA344" t="s">
        <v>991</v>
      </c>
      <c r="CB344" t="b">
        <v>1</v>
      </c>
      <c r="CC344" t="b">
        <v>1</v>
      </c>
      <c r="CD344" t="b">
        <v>1</v>
      </c>
      <c r="CE344" t="b">
        <v>1</v>
      </c>
      <c r="CF344" t="b">
        <v>1</v>
      </c>
    </row>
    <row r="345" spans="1:84" x14ac:dyDescent="0.3">
      <c r="A345" t="s">
        <v>1901</v>
      </c>
      <c r="B345" t="s">
        <v>1230</v>
      </c>
      <c r="C345" s="98">
        <v>45789</v>
      </c>
      <c r="D345">
        <v>2025</v>
      </c>
      <c r="E345">
        <v>5</v>
      </c>
      <c r="F345">
        <v>2</v>
      </c>
      <c r="G345" t="s">
        <v>1226</v>
      </c>
      <c r="H345" t="s">
        <v>129</v>
      </c>
      <c r="I345" t="s">
        <v>129</v>
      </c>
      <c r="J345" t="s">
        <v>6</v>
      </c>
      <c r="L345">
        <v>522611</v>
      </c>
      <c r="M345" s="99" t="s">
        <v>179</v>
      </c>
      <c r="N345">
        <v>2</v>
      </c>
      <c r="O345">
        <v>19</v>
      </c>
      <c r="P345">
        <v>81.730500000000006</v>
      </c>
      <c r="Q345" t="s">
        <v>352</v>
      </c>
      <c r="R345">
        <v>1</v>
      </c>
      <c r="S345">
        <v>81.875900000000001</v>
      </c>
      <c r="T345">
        <v>0.73899999999999999</v>
      </c>
      <c r="U345">
        <v>-0.196752368064946</v>
      </c>
      <c r="V345">
        <v>79.658900000000003</v>
      </c>
      <c r="W345">
        <v>80.397900000000007</v>
      </c>
      <c r="X345">
        <v>81.136899999999997</v>
      </c>
      <c r="Y345">
        <v>82.614900000000006</v>
      </c>
      <c r="Z345">
        <v>83.353899999999996</v>
      </c>
      <c r="AA345">
        <v>84.0929</v>
      </c>
      <c r="AD345">
        <v>2.4095619923060774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 t="s">
        <v>462</v>
      </c>
      <c r="AL345" t="s">
        <v>6</v>
      </c>
      <c r="AM345" t="s">
        <v>1145</v>
      </c>
      <c r="AN345" t="s">
        <v>1146</v>
      </c>
      <c r="AO345" s="100">
        <v>46262.040405092594</v>
      </c>
      <c r="AP345" t="s">
        <v>1147</v>
      </c>
      <c r="AQ345" t="s">
        <v>1902</v>
      </c>
      <c r="AR345" t="s">
        <v>1232</v>
      </c>
      <c r="AS345" t="s">
        <v>1150</v>
      </c>
      <c r="AT345" t="s">
        <v>1816</v>
      </c>
      <c r="AU345">
        <v>25</v>
      </c>
      <c r="AV345">
        <v>81.972576000000004</v>
      </c>
      <c r="AW345">
        <v>0.75889536788677248</v>
      </c>
      <c r="AX345">
        <v>0.92579177685811953</v>
      </c>
      <c r="AY345">
        <v>-1.2048563495588844</v>
      </c>
      <c r="AZ345">
        <v>2.7324127813747814</v>
      </c>
      <c r="BA345">
        <v>1.3012706235473701</v>
      </c>
      <c r="BB345" t="s">
        <v>4619</v>
      </c>
      <c r="BD345" s="98"/>
      <c r="BE345" s="98"/>
      <c r="BF345" t="s">
        <v>1152</v>
      </c>
      <c r="BG345" t="s">
        <v>322</v>
      </c>
      <c r="BH345" t="s">
        <v>1153</v>
      </c>
      <c r="BI345">
        <v>1.2048563495588844</v>
      </c>
      <c r="BJ345" t="s">
        <v>991</v>
      </c>
      <c r="BK345">
        <v>-0.32285078906870401</v>
      </c>
      <c r="BL345">
        <v>-13.398733466895319</v>
      </c>
      <c r="BM345" t="s">
        <v>1021</v>
      </c>
      <c r="BN345" t="s">
        <v>1154</v>
      </c>
      <c r="BO345">
        <v>2025</v>
      </c>
      <c r="BP345" t="s">
        <v>966</v>
      </c>
      <c r="BQ345">
        <v>629753.08985003456</v>
      </c>
      <c r="BR345">
        <v>37.024691014996542</v>
      </c>
      <c r="BS345" t="s">
        <v>992</v>
      </c>
      <c r="BV345" t="s">
        <v>1034</v>
      </c>
      <c r="BW345" t="s">
        <v>943</v>
      </c>
      <c r="BX345" t="s">
        <v>994</v>
      </c>
      <c r="BY345">
        <v>1.1688005296958408</v>
      </c>
      <c r="BZ345" t="s">
        <v>1155</v>
      </c>
      <c r="CA345" t="s">
        <v>991</v>
      </c>
      <c r="CB345" t="b">
        <v>1</v>
      </c>
      <c r="CC345" t="b">
        <v>1</v>
      </c>
      <c r="CD345" t="b">
        <v>1</v>
      </c>
      <c r="CE345" t="b">
        <v>1</v>
      </c>
      <c r="CF345" t="b">
        <v>1</v>
      </c>
    </row>
    <row r="346" spans="1:84" x14ac:dyDescent="0.3">
      <c r="A346" t="s">
        <v>1903</v>
      </c>
      <c r="B346" t="s">
        <v>1234</v>
      </c>
      <c r="C346" s="98">
        <v>45796</v>
      </c>
      <c r="D346">
        <v>2025</v>
      </c>
      <c r="E346">
        <v>5</v>
      </c>
      <c r="F346">
        <v>2</v>
      </c>
      <c r="G346" t="s">
        <v>1226</v>
      </c>
      <c r="H346" t="s">
        <v>129</v>
      </c>
      <c r="I346" t="s">
        <v>129</v>
      </c>
      <c r="J346" t="s">
        <v>6</v>
      </c>
      <c r="L346">
        <v>522611</v>
      </c>
      <c r="M346" s="99" t="s">
        <v>179</v>
      </c>
      <c r="N346">
        <v>2</v>
      </c>
      <c r="O346">
        <v>20</v>
      </c>
      <c r="P346">
        <v>81.437600000000003</v>
      </c>
      <c r="Q346" t="s">
        <v>352</v>
      </c>
      <c r="R346">
        <v>1</v>
      </c>
      <c r="S346">
        <v>81.875900000000001</v>
      </c>
      <c r="T346">
        <v>0.73899999999999999</v>
      </c>
      <c r="U346">
        <v>-0.59309878213802181</v>
      </c>
      <c r="V346">
        <v>79.658900000000003</v>
      </c>
      <c r="W346">
        <v>80.397900000000007</v>
      </c>
      <c r="X346">
        <v>81.136899999999997</v>
      </c>
      <c r="Y346">
        <v>82.614900000000006</v>
      </c>
      <c r="Z346">
        <v>83.353899999999996</v>
      </c>
      <c r="AA346">
        <v>84.0929</v>
      </c>
      <c r="AD346">
        <v>2.4095619923060774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 t="s">
        <v>462</v>
      </c>
      <c r="AL346" t="s">
        <v>6</v>
      </c>
      <c r="AM346" t="s">
        <v>1145</v>
      </c>
      <c r="AN346" t="s">
        <v>1146</v>
      </c>
      <c r="AO346" s="100">
        <v>46262.040405092594</v>
      </c>
      <c r="AP346" t="s">
        <v>1147</v>
      </c>
      <c r="AQ346" t="s">
        <v>1904</v>
      </c>
      <c r="AR346" t="s">
        <v>1236</v>
      </c>
      <c r="AS346" t="s">
        <v>1150</v>
      </c>
      <c r="AT346" t="s">
        <v>1816</v>
      </c>
      <c r="AU346">
        <v>25</v>
      </c>
      <c r="AV346">
        <v>81.972576000000004</v>
      </c>
      <c r="AW346">
        <v>0.75889536788677248</v>
      </c>
      <c r="AX346">
        <v>0.92579177685811953</v>
      </c>
      <c r="AY346">
        <v>-1.2048563495588844</v>
      </c>
      <c r="AZ346">
        <v>2.7324127813747814</v>
      </c>
      <c r="BA346">
        <v>1.3012706235473701</v>
      </c>
      <c r="BB346" t="s">
        <v>4619</v>
      </c>
      <c r="BD346" s="98"/>
      <c r="BE346" s="98"/>
      <c r="BF346" t="s">
        <v>1152</v>
      </c>
      <c r="BG346" t="s">
        <v>322</v>
      </c>
      <c r="BH346" t="s">
        <v>1153</v>
      </c>
      <c r="BI346">
        <v>1.2048563495588844</v>
      </c>
      <c r="BJ346" t="s">
        <v>991</v>
      </c>
      <c r="BK346">
        <v>-0.32285078906870401</v>
      </c>
      <c r="BL346">
        <v>-13.398733466895319</v>
      </c>
      <c r="BM346" t="s">
        <v>1021</v>
      </c>
      <c r="BN346" t="s">
        <v>1154</v>
      </c>
      <c r="BO346">
        <v>2025</v>
      </c>
      <c r="BP346" t="s">
        <v>966</v>
      </c>
      <c r="BQ346">
        <v>629753.08985003456</v>
      </c>
      <c r="BR346">
        <v>37.024691014996542</v>
      </c>
      <c r="BS346" t="s">
        <v>992</v>
      </c>
      <c r="BV346" t="s">
        <v>1034</v>
      </c>
      <c r="BW346" t="s">
        <v>943</v>
      </c>
      <c r="BX346" t="s">
        <v>994</v>
      </c>
      <c r="BY346">
        <v>1.1688005296958408</v>
      </c>
      <c r="BZ346" t="s">
        <v>1155</v>
      </c>
      <c r="CA346" t="s">
        <v>991</v>
      </c>
      <c r="CB346" t="b">
        <v>1</v>
      </c>
      <c r="CC346" t="b">
        <v>1</v>
      </c>
      <c r="CD346" t="b">
        <v>1</v>
      </c>
      <c r="CE346" t="b">
        <v>1</v>
      </c>
      <c r="CF346" t="b">
        <v>1</v>
      </c>
    </row>
    <row r="347" spans="1:84" x14ac:dyDescent="0.3">
      <c r="A347" t="s">
        <v>1905</v>
      </c>
      <c r="B347" t="s">
        <v>1238</v>
      </c>
      <c r="C347" s="98">
        <v>45803</v>
      </c>
      <c r="D347">
        <v>2025</v>
      </c>
      <c r="E347">
        <v>5</v>
      </c>
      <c r="F347">
        <v>2</v>
      </c>
      <c r="G347" t="s">
        <v>1226</v>
      </c>
      <c r="H347" t="s">
        <v>129</v>
      </c>
      <c r="I347" t="s">
        <v>129</v>
      </c>
      <c r="J347" t="s">
        <v>6</v>
      </c>
      <c r="L347">
        <v>522611</v>
      </c>
      <c r="M347" s="99" t="s">
        <v>179</v>
      </c>
      <c r="N347">
        <v>2</v>
      </c>
      <c r="O347">
        <v>21</v>
      </c>
      <c r="P347">
        <v>80.875799999999998</v>
      </c>
      <c r="Q347" t="s">
        <v>352</v>
      </c>
      <c r="R347">
        <v>1</v>
      </c>
      <c r="S347">
        <v>81.875900000000001</v>
      </c>
      <c r="T347">
        <v>0.73899999999999999</v>
      </c>
      <c r="U347">
        <v>-1.3533152909336987</v>
      </c>
      <c r="V347">
        <v>79.658900000000003</v>
      </c>
      <c r="W347">
        <v>80.397900000000007</v>
      </c>
      <c r="X347">
        <v>81.136899999999997</v>
      </c>
      <c r="Y347">
        <v>82.614900000000006</v>
      </c>
      <c r="Z347">
        <v>83.353899999999996</v>
      </c>
      <c r="AA347">
        <v>84.0929</v>
      </c>
      <c r="AD347">
        <v>2.4095619923060774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 t="s">
        <v>462</v>
      </c>
      <c r="AL347" t="s">
        <v>6</v>
      </c>
      <c r="AM347" t="s">
        <v>1145</v>
      </c>
      <c r="AN347" t="s">
        <v>1146</v>
      </c>
      <c r="AO347" s="100">
        <v>46262.040405092594</v>
      </c>
      <c r="AP347" t="s">
        <v>1147</v>
      </c>
      <c r="AQ347" t="s">
        <v>1906</v>
      </c>
      <c r="AR347" t="s">
        <v>1240</v>
      </c>
      <c r="AS347" t="s">
        <v>1150</v>
      </c>
      <c r="AT347" t="s">
        <v>1816</v>
      </c>
      <c r="AU347">
        <v>25</v>
      </c>
      <c r="AV347">
        <v>81.972576000000004</v>
      </c>
      <c r="AW347">
        <v>0.75889536788677248</v>
      </c>
      <c r="AX347">
        <v>0.92579177685811953</v>
      </c>
      <c r="AY347">
        <v>-1.2048563495588844</v>
      </c>
      <c r="AZ347">
        <v>2.7324127813747814</v>
      </c>
      <c r="BA347">
        <v>1.3012706235473701</v>
      </c>
      <c r="BB347" t="s">
        <v>4619</v>
      </c>
      <c r="BD347" s="98"/>
      <c r="BE347" s="98"/>
      <c r="BF347" t="s">
        <v>1152</v>
      </c>
      <c r="BG347" t="s">
        <v>322</v>
      </c>
      <c r="BH347" t="s">
        <v>1153</v>
      </c>
      <c r="BI347">
        <v>1.2048563495588844</v>
      </c>
      <c r="BJ347" t="s">
        <v>991</v>
      </c>
      <c r="BK347">
        <v>-0.32285078906870401</v>
      </c>
      <c r="BL347">
        <v>-13.398733466895319</v>
      </c>
      <c r="BM347" t="s">
        <v>1021</v>
      </c>
      <c r="BN347" t="s">
        <v>1154</v>
      </c>
      <c r="BO347">
        <v>2025</v>
      </c>
      <c r="BP347" t="s">
        <v>966</v>
      </c>
      <c r="BQ347">
        <v>629753.08985003456</v>
      </c>
      <c r="BR347">
        <v>37.024691014996542</v>
      </c>
      <c r="BS347" t="s">
        <v>992</v>
      </c>
      <c r="BV347" t="s">
        <v>1034</v>
      </c>
      <c r="BW347" t="s">
        <v>943</v>
      </c>
      <c r="BX347" t="s">
        <v>994</v>
      </c>
      <c r="BY347">
        <v>1.1688005296958408</v>
      </c>
      <c r="BZ347" t="s">
        <v>1155</v>
      </c>
      <c r="CA347" t="s">
        <v>991</v>
      </c>
      <c r="CB347" t="b">
        <v>1</v>
      </c>
      <c r="CC347" t="b">
        <v>1</v>
      </c>
      <c r="CD347" t="b">
        <v>1</v>
      </c>
      <c r="CE347" t="b">
        <v>1</v>
      </c>
      <c r="CF347" t="b">
        <v>1</v>
      </c>
    </row>
    <row r="348" spans="1:84" x14ac:dyDescent="0.3">
      <c r="A348" t="s">
        <v>1907</v>
      </c>
      <c r="B348" t="s">
        <v>1242</v>
      </c>
      <c r="C348" s="98">
        <v>45810</v>
      </c>
      <c r="D348">
        <v>2025</v>
      </c>
      <c r="E348">
        <v>6</v>
      </c>
      <c r="F348">
        <v>2</v>
      </c>
      <c r="G348" t="s">
        <v>1243</v>
      </c>
      <c r="H348" t="s">
        <v>129</v>
      </c>
      <c r="I348" t="s">
        <v>129</v>
      </c>
      <c r="J348" t="s">
        <v>6</v>
      </c>
      <c r="L348">
        <v>522611</v>
      </c>
      <c r="M348" s="99" t="s">
        <v>179</v>
      </c>
      <c r="N348">
        <v>2</v>
      </c>
      <c r="O348">
        <v>22</v>
      </c>
      <c r="P348">
        <v>81.906700000000001</v>
      </c>
      <c r="Q348" t="s">
        <v>352</v>
      </c>
      <c r="R348">
        <v>1</v>
      </c>
      <c r="S348">
        <v>81.875900000000001</v>
      </c>
      <c r="T348">
        <v>0.73899999999999999</v>
      </c>
      <c r="U348">
        <v>4.1677943166440155E-2</v>
      </c>
      <c r="V348">
        <v>79.658900000000003</v>
      </c>
      <c r="W348">
        <v>80.397900000000007</v>
      </c>
      <c r="X348">
        <v>81.136899999999997</v>
      </c>
      <c r="Y348">
        <v>82.614900000000006</v>
      </c>
      <c r="Z348">
        <v>83.353899999999996</v>
      </c>
      <c r="AA348">
        <v>84.0929</v>
      </c>
      <c r="AD348">
        <v>2.4095619923060774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 t="s">
        <v>462</v>
      </c>
      <c r="AL348" t="s">
        <v>6</v>
      </c>
      <c r="AM348" t="s">
        <v>1145</v>
      </c>
      <c r="AN348" t="s">
        <v>1146</v>
      </c>
      <c r="AO348" s="100">
        <v>46262.040405092594</v>
      </c>
      <c r="AP348" t="s">
        <v>1147</v>
      </c>
      <c r="AQ348" t="s">
        <v>1908</v>
      </c>
      <c r="AR348" t="s">
        <v>1245</v>
      </c>
      <c r="AS348" t="s">
        <v>1150</v>
      </c>
      <c r="AT348" t="s">
        <v>1816</v>
      </c>
      <c r="AU348">
        <v>25</v>
      </c>
      <c r="AV348">
        <v>81.972576000000004</v>
      </c>
      <c r="AW348">
        <v>0.75889536788677248</v>
      </c>
      <c r="AX348">
        <v>0.92579177685811953</v>
      </c>
      <c r="AY348">
        <v>-1.2048563495588844</v>
      </c>
      <c r="AZ348">
        <v>2.7324127813747814</v>
      </c>
      <c r="BA348">
        <v>1.3012706235473701</v>
      </c>
      <c r="BB348" t="s">
        <v>4619</v>
      </c>
      <c r="BD348" s="98"/>
      <c r="BE348" s="98"/>
      <c r="BF348" t="s">
        <v>1152</v>
      </c>
      <c r="BG348" t="s">
        <v>322</v>
      </c>
      <c r="BH348" t="s">
        <v>1153</v>
      </c>
      <c r="BI348">
        <v>1.2048563495588844</v>
      </c>
      <c r="BJ348" t="s">
        <v>991</v>
      </c>
      <c r="BK348">
        <v>-0.32285078906870401</v>
      </c>
      <c r="BL348">
        <v>-13.398733466895319</v>
      </c>
      <c r="BM348" t="s">
        <v>1021</v>
      </c>
      <c r="BN348" t="s">
        <v>1154</v>
      </c>
      <c r="BO348">
        <v>2025</v>
      </c>
      <c r="BP348" t="s">
        <v>966</v>
      </c>
      <c r="BQ348">
        <v>629753.08985003456</v>
      </c>
      <c r="BR348">
        <v>37.024691014996542</v>
      </c>
      <c r="BS348" t="s">
        <v>992</v>
      </c>
      <c r="BV348" t="s">
        <v>1034</v>
      </c>
      <c r="BW348" t="s">
        <v>943</v>
      </c>
      <c r="BX348" t="s">
        <v>994</v>
      </c>
      <c r="BY348">
        <v>1.1688005296958408</v>
      </c>
      <c r="BZ348" t="s">
        <v>1155</v>
      </c>
      <c r="CA348" t="s">
        <v>991</v>
      </c>
      <c r="CB348" t="b">
        <v>1</v>
      </c>
      <c r="CC348" t="b">
        <v>1</v>
      </c>
      <c r="CD348" t="b">
        <v>1</v>
      </c>
      <c r="CE348" t="b">
        <v>1</v>
      </c>
      <c r="CF348" t="b">
        <v>1</v>
      </c>
    </row>
    <row r="349" spans="1:84" x14ac:dyDescent="0.3">
      <c r="A349" t="s">
        <v>1909</v>
      </c>
      <c r="B349" t="s">
        <v>1247</v>
      </c>
      <c r="C349" s="98">
        <v>45817</v>
      </c>
      <c r="D349">
        <v>2025</v>
      </c>
      <c r="E349">
        <v>6</v>
      </c>
      <c r="F349">
        <v>2</v>
      </c>
      <c r="G349" t="s">
        <v>1243</v>
      </c>
      <c r="H349" t="s">
        <v>129</v>
      </c>
      <c r="I349" t="s">
        <v>129</v>
      </c>
      <c r="J349" t="s">
        <v>6</v>
      </c>
      <c r="L349">
        <v>522611</v>
      </c>
      <c r="M349" s="99" t="s">
        <v>179</v>
      </c>
      <c r="N349">
        <v>2</v>
      </c>
      <c r="O349">
        <v>23</v>
      </c>
      <c r="P349">
        <v>82.968999999999994</v>
      </c>
      <c r="Q349" t="s">
        <v>352</v>
      </c>
      <c r="R349">
        <v>1</v>
      </c>
      <c r="S349">
        <v>81.875900000000001</v>
      </c>
      <c r="T349">
        <v>0.73899999999999999</v>
      </c>
      <c r="U349">
        <v>1.4791610284167696</v>
      </c>
      <c r="V349">
        <v>79.658900000000003</v>
      </c>
      <c r="W349">
        <v>80.397900000000007</v>
      </c>
      <c r="X349">
        <v>81.136899999999997</v>
      </c>
      <c r="Y349">
        <v>82.614900000000006</v>
      </c>
      <c r="Z349">
        <v>83.353899999999996</v>
      </c>
      <c r="AA349">
        <v>84.0929</v>
      </c>
      <c r="AD349">
        <v>2.4095619923060774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 t="s">
        <v>462</v>
      </c>
      <c r="AL349" t="s">
        <v>6</v>
      </c>
      <c r="AM349" t="s">
        <v>1145</v>
      </c>
      <c r="AN349" t="s">
        <v>1146</v>
      </c>
      <c r="AO349" s="100">
        <v>46262.040405092594</v>
      </c>
      <c r="AP349" t="s">
        <v>1147</v>
      </c>
      <c r="AQ349" t="s">
        <v>1910</v>
      </c>
      <c r="AR349" t="s">
        <v>1249</v>
      </c>
      <c r="AS349" t="s">
        <v>1150</v>
      </c>
      <c r="AT349" t="s">
        <v>1816</v>
      </c>
      <c r="AU349">
        <v>25</v>
      </c>
      <c r="AV349">
        <v>81.972576000000004</v>
      </c>
      <c r="AW349">
        <v>0.75889536788677248</v>
      </c>
      <c r="AX349">
        <v>0.92579177685811953</v>
      </c>
      <c r="AY349">
        <v>-1.2048563495588844</v>
      </c>
      <c r="AZ349">
        <v>2.7324127813747814</v>
      </c>
      <c r="BA349">
        <v>1.3012706235473701</v>
      </c>
      <c r="BB349" t="s">
        <v>4619</v>
      </c>
      <c r="BD349" s="98"/>
      <c r="BE349" s="98"/>
      <c r="BF349" t="s">
        <v>1152</v>
      </c>
      <c r="BG349" t="s">
        <v>322</v>
      </c>
      <c r="BH349" t="s">
        <v>1153</v>
      </c>
      <c r="BI349">
        <v>1.2048563495588844</v>
      </c>
      <c r="BJ349" t="s">
        <v>991</v>
      </c>
      <c r="BK349">
        <v>-0.32285078906870401</v>
      </c>
      <c r="BL349">
        <v>-13.398733466895319</v>
      </c>
      <c r="BM349" t="s">
        <v>1021</v>
      </c>
      <c r="BN349" t="s">
        <v>1154</v>
      </c>
      <c r="BO349">
        <v>2025</v>
      </c>
      <c r="BP349" t="s">
        <v>966</v>
      </c>
      <c r="BQ349">
        <v>629753.08985003456</v>
      </c>
      <c r="BR349">
        <v>37.024691014996542</v>
      </c>
      <c r="BS349" t="s">
        <v>992</v>
      </c>
      <c r="BV349" t="s">
        <v>1034</v>
      </c>
      <c r="BW349" t="s">
        <v>943</v>
      </c>
      <c r="BX349" t="s">
        <v>994</v>
      </c>
      <c r="BY349">
        <v>1.1688005296958408</v>
      </c>
      <c r="BZ349" t="s">
        <v>1155</v>
      </c>
      <c r="CA349" t="s">
        <v>991</v>
      </c>
      <c r="CB349" t="b">
        <v>1</v>
      </c>
      <c r="CC349" t="b">
        <v>1</v>
      </c>
      <c r="CD349" t="b">
        <v>1</v>
      </c>
      <c r="CE349" t="b">
        <v>1</v>
      </c>
      <c r="CF349" t="b">
        <v>1</v>
      </c>
    </row>
    <row r="350" spans="1:84" x14ac:dyDescent="0.3">
      <c r="A350" t="s">
        <v>1911</v>
      </c>
      <c r="B350" t="s">
        <v>1251</v>
      </c>
      <c r="C350" s="98">
        <v>45824</v>
      </c>
      <c r="D350">
        <v>2025</v>
      </c>
      <c r="E350">
        <v>6</v>
      </c>
      <c r="F350">
        <v>2</v>
      </c>
      <c r="G350" t="s">
        <v>1243</v>
      </c>
      <c r="H350" t="s">
        <v>129</v>
      </c>
      <c r="I350" t="s">
        <v>129</v>
      </c>
      <c r="J350" t="s">
        <v>6</v>
      </c>
      <c r="L350">
        <v>522611</v>
      </c>
      <c r="M350" s="99" t="s">
        <v>179</v>
      </c>
      <c r="N350">
        <v>2</v>
      </c>
      <c r="O350">
        <v>24</v>
      </c>
      <c r="P350">
        <v>82.584999999999994</v>
      </c>
      <c r="Q350" t="s">
        <v>352</v>
      </c>
      <c r="R350">
        <v>1</v>
      </c>
      <c r="S350">
        <v>81.875900000000001</v>
      </c>
      <c r="T350">
        <v>0.73899999999999999</v>
      </c>
      <c r="U350">
        <v>0.95953991880919121</v>
      </c>
      <c r="V350">
        <v>79.658900000000003</v>
      </c>
      <c r="W350">
        <v>80.397900000000007</v>
      </c>
      <c r="X350">
        <v>81.136899999999997</v>
      </c>
      <c r="Y350">
        <v>82.614900000000006</v>
      </c>
      <c r="Z350">
        <v>83.353899999999996</v>
      </c>
      <c r="AA350">
        <v>84.0929</v>
      </c>
      <c r="AD350">
        <v>2.4095619923060774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 t="s">
        <v>462</v>
      </c>
      <c r="AL350" t="s">
        <v>6</v>
      </c>
      <c r="AM350" t="s">
        <v>1145</v>
      </c>
      <c r="AN350" t="s">
        <v>1146</v>
      </c>
      <c r="AO350" s="100">
        <v>46262.040405092594</v>
      </c>
      <c r="AP350" t="s">
        <v>1147</v>
      </c>
      <c r="AQ350" t="s">
        <v>1912</v>
      </c>
      <c r="AR350" t="s">
        <v>1253</v>
      </c>
      <c r="AS350" t="s">
        <v>1150</v>
      </c>
      <c r="AT350" t="s">
        <v>1816</v>
      </c>
      <c r="AU350">
        <v>25</v>
      </c>
      <c r="AV350">
        <v>81.972576000000004</v>
      </c>
      <c r="AW350">
        <v>0.75889536788677248</v>
      </c>
      <c r="AX350">
        <v>0.92579177685811953</v>
      </c>
      <c r="AY350">
        <v>-1.2048563495588844</v>
      </c>
      <c r="AZ350">
        <v>2.7324127813747814</v>
      </c>
      <c r="BA350">
        <v>1.3012706235473701</v>
      </c>
      <c r="BB350" t="s">
        <v>4619</v>
      </c>
      <c r="BD350" s="98"/>
      <c r="BE350" s="98"/>
      <c r="BF350" t="s">
        <v>1152</v>
      </c>
      <c r="BG350" t="s">
        <v>322</v>
      </c>
      <c r="BH350" t="s">
        <v>1153</v>
      </c>
      <c r="BI350">
        <v>1.2048563495588844</v>
      </c>
      <c r="BJ350" t="s">
        <v>991</v>
      </c>
      <c r="BK350">
        <v>-0.32285078906870401</v>
      </c>
      <c r="BL350">
        <v>-13.398733466895319</v>
      </c>
      <c r="BM350" t="s">
        <v>1021</v>
      </c>
      <c r="BN350" t="s">
        <v>1154</v>
      </c>
      <c r="BO350">
        <v>2025</v>
      </c>
      <c r="BP350" t="s">
        <v>966</v>
      </c>
      <c r="BQ350">
        <v>629753.08985003456</v>
      </c>
      <c r="BR350">
        <v>37.024691014996542</v>
      </c>
      <c r="BS350" t="s">
        <v>992</v>
      </c>
      <c r="BV350" t="s">
        <v>1034</v>
      </c>
      <c r="BW350" t="s">
        <v>943</v>
      </c>
      <c r="BX350" t="s">
        <v>994</v>
      </c>
      <c r="BY350">
        <v>1.1688005296958408</v>
      </c>
      <c r="BZ350" t="s">
        <v>1155</v>
      </c>
      <c r="CA350" t="s">
        <v>991</v>
      </c>
      <c r="CB350" t="b">
        <v>1</v>
      </c>
      <c r="CC350" t="b">
        <v>1</v>
      </c>
      <c r="CD350" t="b">
        <v>1</v>
      </c>
      <c r="CE350" t="b">
        <v>1</v>
      </c>
      <c r="CF350" t="b">
        <v>1</v>
      </c>
    </row>
    <row r="351" spans="1:84" x14ac:dyDescent="0.3">
      <c r="A351" t="s">
        <v>1913</v>
      </c>
      <c r="B351" t="s">
        <v>1255</v>
      </c>
      <c r="C351" s="98">
        <v>45831</v>
      </c>
      <c r="D351">
        <v>2025</v>
      </c>
      <c r="E351">
        <v>6</v>
      </c>
      <c r="F351">
        <v>2</v>
      </c>
      <c r="G351" t="s">
        <v>1243</v>
      </c>
      <c r="H351" t="s">
        <v>129</v>
      </c>
      <c r="I351" t="s">
        <v>129</v>
      </c>
      <c r="J351" t="s">
        <v>6</v>
      </c>
      <c r="L351">
        <v>522611</v>
      </c>
      <c r="M351" s="99" t="s">
        <v>179</v>
      </c>
      <c r="N351">
        <v>2</v>
      </c>
      <c r="O351">
        <v>25</v>
      </c>
      <c r="P351">
        <v>81.179599999999994</v>
      </c>
      <c r="Q351" t="s">
        <v>352</v>
      </c>
      <c r="R351">
        <v>1</v>
      </c>
      <c r="S351">
        <v>81.875900000000001</v>
      </c>
      <c r="T351">
        <v>0.73899999999999999</v>
      </c>
      <c r="U351">
        <v>-0.94221921515562645</v>
      </c>
      <c r="V351">
        <v>79.658900000000003</v>
      </c>
      <c r="W351">
        <v>80.397900000000007</v>
      </c>
      <c r="X351">
        <v>81.136899999999997</v>
      </c>
      <c r="Y351">
        <v>82.614900000000006</v>
      </c>
      <c r="Z351">
        <v>83.353899999999996</v>
      </c>
      <c r="AA351">
        <v>84.0929</v>
      </c>
      <c r="AD351">
        <v>2.4095619923060774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 t="s">
        <v>462</v>
      </c>
      <c r="AL351" t="s">
        <v>6</v>
      </c>
      <c r="AM351" t="s">
        <v>1145</v>
      </c>
      <c r="AN351" t="s">
        <v>1146</v>
      </c>
      <c r="AO351" s="100">
        <v>46262.040405092594</v>
      </c>
      <c r="AP351" t="s">
        <v>1147</v>
      </c>
      <c r="AQ351" t="s">
        <v>1914</v>
      </c>
      <c r="AR351" t="s">
        <v>1257</v>
      </c>
      <c r="AS351" t="s">
        <v>1150</v>
      </c>
      <c r="AT351" t="s">
        <v>1816</v>
      </c>
      <c r="AU351">
        <v>25</v>
      </c>
      <c r="AV351">
        <v>81.972576000000004</v>
      </c>
      <c r="AW351">
        <v>0.75889536788677248</v>
      </c>
      <c r="AX351">
        <v>0.92579177685811953</v>
      </c>
      <c r="AY351">
        <v>-1.2048563495588844</v>
      </c>
      <c r="AZ351">
        <v>2.7324127813747814</v>
      </c>
      <c r="BA351">
        <v>1.3012706235473701</v>
      </c>
      <c r="BB351" t="s">
        <v>4619</v>
      </c>
      <c r="BD351" s="98"/>
      <c r="BE351" s="98"/>
      <c r="BF351" t="s">
        <v>1152</v>
      </c>
      <c r="BG351" t="s">
        <v>322</v>
      </c>
      <c r="BH351" t="s">
        <v>1153</v>
      </c>
      <c r="BI351">
        <v>1.2048563495588844</v>
      </c>
      <c r="BJ351" t="s">
        <v>991</v>
      </c>
      <c r="BK351">
        <v>-0.32285078906870401</v>
      </c>
      <c r="BL351">
        <v>-13.398733466895319</v>
      </c>
      <c r="BM351" t="s">
        <v>1021</v>
      </c>
      <c r="BN351" t="s">
        <v>1154</v>
      </c>
      <c r="BO351">
        <v>2025</v>
      </c>
      <c r="BP351" t="s">
        <v>966</v>
      </c>
      <c r="BQ351">
        <v>629753.08985003456</v>
      </c>
      <c r="BR351">
        <v>37.024691014996542</v>
      </c>
      <c r="BS351" t="s">
        <v>992</v>
      </c>
      <c r="BV351" t="s">
        <v>1034</v>
      </c>
      <c r="BW351" t="s">
        <v>943</v>
      </c>
      <c r="BX351" t="s">
        <v>994</v>
      </c>
      <c r="BY351">
        <v>1.1688005296958408</v>
      </c>
      <c r="BZ351" t="s">
        <v>1155</v>
      </c>
      <c r="CA351" t="s">
        <v>991</v>
      </c>
      <c r="CB351" t="b">
        <v>1</v>
      </c>
      <c r="CC351" t="b">
        <v>1</v>
      </c>
      <c r="CD351" t="b">
        <v>1</v>
      </c>
      <c r="CE351" t="b">
        <v>1</v>
      </c>
      <c r="CF351" t="b">
        <v>1</v>
      </c>
    </row>
    <row r="352" spans="1:84" x14ac:dyDescent="0.3">
      <c r="A352" t="s">
        <v>1915</v>
      </c>
      <c r="B352" t="s">
        <v>1143</v>
      </c>
      <c r="C352" s="98">
        <v>45663</v>
      </c>
      <c r="D352">
        <v>2025</v>
      </c>
      <c r="E352">
        <v>1</v>
      </c>
      <c r="F352">
        <v>1</v>
      </c>
      <c r="G352" t="s">
        <v>1144</v>
      </c>
      <c r="H352" t="s">
        <v>129</v>
      </c>
      <c r="I352" t="s">
        <v>129</v>
      </c>
      <c r="J352" t="s">
        <v>6</v>
      </c>
      <c r="L352">
        <v>522611</v>
      </c>
      <c r="M352" s="99" t="s">
        <v>180</v>
      </c>
      <c r="N352">
        <v>3</v>
      </c>
      <c r="O352">
        <v>1</v>
      </c>
      <c r="P352">
        <v>87.058000000000007</v>
      </c>
      <c r="Q352" t="s">
        <v>352</v>
      </c>
      <c r="R352">
        <v>1</v>
      </c>
      <c r="S352">
        <v>87.665499999999994</v>
      </c>
      <c r="T352">
        <v>0.71030000000000004</v>
      </c>
      <c r="U352">
        <v>-0.85527242010416371</v>
      </c>
      <c r="V352">
        <v>85.534599999999998</v>
      </c>
      <c r="W352">
        <v>86.244900000000001</v>
      </c>
      <c r="X352">
        <v>86.955199999999991</v>
      </c>
      <c r="Y352">
        <v>88.375799999999998</v>
      </c>
      <c r="Z352">
        <v>89.086099999999988</v>
      </c>
      <c r="AA352">
        <v>89.796399999999991</v>
      </c>
      <c r="AD352">
        <v>2.4095619923060774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 t="s">
        <v>462</v>
      </c>
      <c r="AL352" t="s">
        <v>6</v>
      </c>
      <c r="AM352" t="s">
        <v>1145</v>
      </c>
      <c r="AN352" t="s">
        <v>1146</v>
      </c>
      <c r="AO352" s="100">
        <v>46262.040405092594</v>
      </c>
      <c r="AP352" t="s">
        <v>1147</v>
      </c>
      <c r="AQ352" t="s">
        <v>1916</v>
      </c>
      <c r="AR352" t="s">
        <v>1149</v>
      </c>
      <c r="AS352" t="s">
        <v>1150</v>
      </c>
      <c r="AT352" t="s">
        <v>1816</v>
      </c>
      <c r="AU352">
        <v>25</v>
      </c>
      <c r="AV352">
        <v>87.571144000000004</v>
      </c>
      <c r="AW352">
        <v>0.63200297538856509</v>
      </c>
      <c r="AX352">
        <v>0.72170231713378674</v>
      </c>
      <c r="AY352">
        <v>-1.2048563495588844</v>
      </c>
      <c r="AZ352">
        <v>2.3956651728296325</v>
      </c>
      <c r="BA352">
        <v>1.6692556115541315</v>
      </c>
      <c r="BB352" t="s">
        <v>4619</v>
      </c>
      <c r="BD352" s="98"/>
      <c r="BE352" s="98"/>
      <c r="BF352" t="s">
        <v>1152</v>
      </c>
      <c r="BG352" t="s">
        <v>322</v>
      </c>
      <c r="BH352" t="s">
        <v>1153</v>
      </c>
      <c r="BI352">
        <v>1.2048563495588844</v>
      </c>
      <c r="BJ352" t="s">
        <v>991</v>
      </c>
      <c r="BK352">
        <v>1.3896819476444833E-2</v>
      </c>
      <c r="BL352">
        <v>0.57673633302726723</v>
      </c>
      <c r="BM352" t="s">
        <v>1765</v>
      </c>
      <c r="BN352" t="s">
        <v>1154</v>
      </c>
      <c r="BO352">
        <v>2025</v>
      </c>
      <c r="BP352" t="s">
        <v>966</v>
      </c>
      <c r="BQ352">
        <v>629753.08985003456</v>
      </c>
      <c r="BR352">
        <v>37.024691014996542</v>
      </c>
      <c r="BS352" t="s">
        <v>992</v>
      </c>
      <c r="BV352" t="s">
        <v>1034</v>
      </c>
      <c r="BW352" t="s">
        <v>943</v>
      </c>
      <c r="BX352" t="s">
        <v>994</v>
      </c>
      <c r="BY352">
        <v>1.1688005296958408</v>
      </c>
      <c r="BZ352" t="s">
        <v>1155</v>
      </c>
      <c r="CA352" t="s">
        <v>991</v>
      </c>
      <c r="CB352" t="b">
        <v>1</v>
      </c>
      <c r="CC352" t="b">
        <v>1</v>
      </c>
      <c r="CD352" t="b">
        <v>1</v>
      </c>
      <c r="CE352" t="b">
        <v>1</v>
      </c>
      <c r="CF352" t="b">
        <v>1</v>
      </c>
    </row>
    <row r="353" spans="1:84" x14ac:dyDescent="0.3">
      <c r="A353" t="s">
        <v>1917</v>
      </c>
      <c r="B353" t="s">
        <v>1157</v>
      </c>
      <c r="C353" s="98">
        <v>45670</v>
      </c>
      <c r="D353">
        <v>2025</v>
      </c>
      <c r="E353">
        <v>1</v>
      </c>
      <c r="F353">
        <v>1</v>
      </c>
      <c r="G353" t="s">
        <v>1144</v>
      </c>
      <c r="H353" t="s">
        <v>129</v>
      </c>
      <c r="I353" t="s">
        <v>129</v>
      </c>
      <c r="J353" t="s">
        <v>6</v>
      </c>
      <c r="L353">
        <v>522611</v>
      </c>
      <c r="M353" s="99" t="s">
        <v>180</v>
      </c>
      <c r="N353">
        <v>3</v>
      </c>
      <c r="O353">
        <v>2</v>
      </c>
      <c r="P353">
        <v>87.307400000000001</v>
      </c>
      <c r="Q353" t="s">
        <v>352</v>
      </c>
      <c r="R353">
        <v>1</v>
      </c>
      <c r="S353">
        <v>87.665499999999994</v>
      </c>
      <c r="T353">
        <v>0.71030000000000004</v>
      </c>
      <c r="U353">
        <v>-0.50415317471489962</v>
      </c>
      <c r="V353">
        <v>85.534599999999998</v>
      </c>
      <c r="W353">
        <v>86.244900000000001</v>
      </c>
      <c r="X353">
        <v>86.955199999999991</v>
      </c>
      <c r="Y353">
        <v>88.375799999999998</v>
      </c>
      <c r="Z353">
        <v>89.086099999999988</v>
      </c>
      <c r="AA353">
        <v>89.796399999999991</v>
      </c>
      <c r="AD353">
        <v>2.4095619923060774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 t="s">
        <v>462</v>
      </c>
      <c r="AL353" t="s">
        <v>6</v>
      </c>
      <c r="AM353" t="s">
        <v>1145</v>
      </c>
      <c r="AN353" t="s">
        <v>1146</v>
      </c>
      <c r="AO353" s="100">
        <v>46262.040405092594</v>
      </c>
      <c r="AP353" t="s">
        <v>1147</v>
      </c>
      <c r="AQ353" t="s">
        <v>1918</v>
      </c>
      <c r="AR353" t="s">
        <v>1159</v>
      </c>
      <c r="AS353" t="s">
        <v>1150</v>
      </c>
      <c r="AT353" t="s">
        <v>1816</v>
      </c>
      <c r="AU353">
        <v>25</v>
      </c>
      <c r="AV353">
        <v>87.571144000000004</v>
      </c>
      <c r="AW353">
        <v>0.63200297538856509</v>
      </c>
      <c r="AX353">
        <v>0.72170231713378674</v>
      </c>
      <c r="AY353">
        <v>-1.2048563495588844</v>
      </c>
      <c r="AZ353">
        <v>2.3956651728296325</v>
      </c>
      <c r="BA353">
        <v>1.6692556115541315</v>
      </c>
      <c r="BB353" t="s">
        <v>4619</v>
      </c>
      <c r="BD353" s="98"/>
      <c r="BE353" s="98"/>
      <c r="BF353" t="s">
        <v>1152</v>
      </c>
      <c r="BG353" t="s">
        <v>322</v>
      </c>
      <c r="BH353" t="s">
        <v>1153</v>
      </c>
      <c r="BI353">
        <v>1.2048563495588844</v>
      </c>
      <c r="BJ353" t="s">
        <v>991</v>
      </c>
      <c r="BK353">
        <v>1.3896819476444833E-2</v>
      </c>
      <c r="BL353">
        <v>0.57673633302726723</v>
      </c>
      <c r="BM353" t="s">
        <v>1765</v>
      </c>
      <c r="BN353" t="s">
        <v>1154</v>
      </c>
      <c r="BO353">
        <v>2025</v>
      </c>
      <c r="BP353" t="s">
        <v>966</v>
      </c>
      <c r="BQ353">
        <v>629753.08985003456</v>
      </c>
      <c r="BR353">
        <v>37.024691014996542</v>
      </c>
      <c r="BS353" t="s">
        <v>992</v>
      </c>
      <c r="BV353" t="s">
        <v>1034</v>
      </c>
      <c r="BW353" t="s">
        <v>943</v>
      </c>
      <c r="BX353" t="s">
        <v>994</v>
      </c>
      <c r="BY353">
        <v>1.1688005296958408</v>
      </c>
      <c r="BZ353" t="s">
        <v>1155</v>
      </c>
      <c r="CA353" t="s">
        <v>991</v>
      </c>
      <c r="CB353" t="b">
        <v>1</v>
      </c>
      <c r="CC353" t="b">
        <v>1</v>
      </c>
      <c r="CD353" t="b">
        <v>1</v>
      </c>
      <c r="CE353" t="b">
        <v>1</v>
      </c>
      <c r="CF353" t="b">
        <v>1</v>
      </c>
    </row>
    <row r="354" spans="1:84" x14ac:dyDescent="0.3">
      <c r="A354" t="s">
        <v>1919</v>
      </c>
      <c r="B354" t="s">
        <v>1161</v>
      </c>
      <c r="C354" s="98">
        <v>45677</v>
      </c>
      <c r="D354">
        <v>2025</v>
      </c>
      <c r="E354">
        <v>1</v>
      </c>
      <c r="F354">
        <v>1</v>
      </c>
      <c r="G354" t="s">
        <v>1144</v>
      </c>
      <c r="H354" t="s">
        <v>129</v>
      </c>
      <c r="I354" t="s">
        <v>129</v>
      </c>
      <c r="J354" t="s">
        <v>6</v>
      </c>
      <c r="L354">
        <v>522611</v>
      </c>
      <c r="M354" s="99" t="s">
        <v>180</v>
      </c>
      <c r="N354">
        <v>3</v>
      </c>
      <c r="O354">
        <v>3</v>
      </c>
      <c r="P354">
        <v>87.873099999999994</v>
      </c>
      <c r="Q354" t="s">
        <v>352</v>
      </c>
      <c r="R354">
        <v>1</v>
      </c>
      <c r="S354">
        <v>87.665499999999994</v>
      </c>
      <c r="T354">
        <v>0.71030000000000004</v>
      </c>
      <c r="U354">
        <v>0.29227087146276126</v>
      </c>
      <c r="V354">
        <v>85.534599999999998</v>
      </c>
      <c r="W354">
        <v>86.244900000000001</v>
      </c>
      <c r="X354">
        <v>86.955199999999991</v>
      </c>
      <c r="Y354">
        <v>88.375799999999998</v>
      </c>
      <c r="Z354">
        <v>89.086099999999988</v>
      </c>
      <c r="AA354">
        <v>89.796399999999991</v>
      </c>
      <c r="AD354">
        <v>2.4095619923060774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 t="s">
        <v>462</v>
      </c>
      <c r="AL354" t="s">
        <v>6</v>
      </c>
      <c r="AM354" t="s">
        <v>1145</v>
      </c>
      <c r="AN354" t="s">
        <v>1146</v>
      </c>
      <c r="AO354" s="100">
        <v>46262.040405092594</v>
      </c>
      <c r="AP354" t="s">
        <v>1147</v>
      </c>
      <c r="AQ354" t="s">
        <v>1920</v>
      </c>
      <c r="AR354" t="s">
        <v>1163</v>
      </c>
      <c r="AS354" t="s">
        <v>1150</v>
      </c>
      <c r="AT354" t="s">
        <v>1816</v>
      </c>
      <c r="AU354">
        <v>25</v>
      </c>
      <c r="AV354">
        <v>87.571144000000004</v>
      </c>
      <c r="AW354">
        <v>0.63200297538856509</v>
      </c>
      <c r="AX354">
        <v>0.72170231713378674</v>
      </c>
      <c r="AY354">
        <v>-1.2048563495588844</v>
      </c>
      <c r="AZ354">
        <v>2.3956651728296325</v>
      </c>
      <c r="BA354">
        <v>1.6692556115541315</v>
      </c>
      <c r="BB354" t="s">
        <v>4619</v>
      </c>
      <c r="BD354" s="98"/>
      <c r="BE354" s="98"/>
      <c r="BF354" t="s">
        <v>1152</v>
      </c>
      <c r="BG354" t="s">
        <v>322</v>
      </c>
      <c r="BH354" t="s">
        <v>1153</v>
      </c>
      <c r="BI354">
        <v>1.2048563495588844</v>
      </c>
      <c r="BJ354" t="s">
        <v>991</v>
      </c>
      <c r="BK354">
        <v>1.3896819476444833E-2</v>
      </c>
      <c r="BL354">
        <v>0.57673633302726723</v>
      </c>
      <c r="BM354" t="s">
        <v>1765</v>
      </c>
      <c r="BN354" t="s">
        <v>1154</v>
      </c>
      <c r="BO354">
        <v>2025</v>
      </c>
      <c r="BP354" t="s">
        <v>966</v>
      </c>
      <c r="BQ354">
        <v>629753.08985003456</v>
      </c>
      <c r="BR354">
        <v>37.024691014996542</v>
      </c>
      <c r="BS354" t="s">
        <v>992</v>
      </c>
      <c r="BV354" t="s">
        <v>1034</v>
      </c>
      <c r="BW354" t="s">
        <v>943</v>
      </c>
      <c r="BX354" t="s">
        <v>994</v>
      </c>
      <c r="BY354">
        <v>1.1688005296958408</v>
      </c>
      <c r="BZ354" t="s">
        <v>1155</v>
      </c>
      <c r="CA354" t="s">
        <v>991</v>
      </c>
      <c r="CB354" t="b">
        <v>1</v>
      </c>
      <c r="CC354" t="b">
        <v>1</v>
      </c>
      <c r="CD354" t="b">
        <v>1</v>
      </c>
      <c r="CE354" t="b">
        <v>1</v>
      </c>
      <c r="CF354" t="b">
        <v>1</v>
      </c>
    </row>
    <row r="355" spans="1:84" x14ac:dyDescent="0.3">
      <c r="A355" t="s">
        <v>1921</v>
      </c>
      <c r="B355" t="s">
        <v>1165</v>
      </c>
      <c r="C355" s="98">
        <v>45684</v>
      </c>
      <c r="D355">
        <v>2025</v>
      </c>
      <c r="E355">
        <v>1</v>
      </c>
      <c r="F355">
        <v>1</v>
      </c>
      <c r="G355" t="s">
        <v>1144</v>
      </c>
      <c r="H355" t="s">
        <v>129</v>
      </c>
      <c r="I355" t="s">
        <v>129</v>
      </c>
      <c r="J355" t="s">
        <v>6</v>
      </c>
      <c r="L355">
        <v>522611</v>
      </c>
      <c r="M355" s="99" t="s">
        <v>180</v>
      </c>
      <c r="N355">
        <v>3</v>
      </c>
      <c r="O355">
        <v>4</v>
      </c>
      <c r="P355">
        <v>87.5197</v>
      </c>
      <c r="Q355" t="s">
        <v>352</v>
      </c>
      <c r="R355">
        <v>1</v>
      </c>
      <c r="S355">
        <v>87.665499999999994</v>
      </c>
      <c r="T355">
        <v>0.71030000000000004</v>
      </c>
      <c r="U355">
        <v>-0.20526538082499529</v>
      </c>
      <c r="V355">
        <v>85.534599999999998</v>
      </c>
      <c r="W355">
        <v>86.244900000000001</v>
      </c>
      <c r="X355">
        <v>86.955199999999991</v>
      </c>
      <c r="Y355">
        <v>88.375799999999998</v>
      </c>
      <c r="Z355">
        <v>89.086099999999988</v>
      </c>
      <c r="AA355">
        <v>89.796399999999991</v>
      </c>
      <c r="AD355">
        <v>2.4095619923060774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 t="s">
        <v>462</v>
      </c>
      <c r="AL355" t="s">
        <v>6</v>
      </c>
      <c r="AM355" t="s">
        <v>1145</v>
      </c>
      <c r="AN355" t="s">
        <v>1146</v>
      </c>
      <c r="AO355" s="100">
        <v>46262.040405092594</v>
      </c>
      <c r="AP355" t="s">
        <v>1147</v>
      </c>
      <c r="AQ355" t="s">
        <v>1922</v>
      </c>
      <c r="AR355" t="s">
        <v>1167</v>
      </c>
      <c r="AS355" t="s">
        <v>1150</v>
      </c>
      <c r="AT355" t="s">
        <v>1816</v>
      </c>
      <c r="AU355">
        <v>25</v>
      </c>
      <c r="AV355">
        <v>87.571144000000004</v>
      </c>
      <c r="AW355">
        <v>0.63200297538856509</v>
      </c>
      <c r="AX355">
        <v>0.72170231713378674</v>
      </c>
      <c r="AY355">
        <v>-1.2048563495588844</v>
      </c>
      <c r="AZ355">
        <v>2.3956651728296325</v>
      </c>
      <c r="BA355">
        <v>1.6692556115541315</v>
      </c>
      <c r="BB355" t="s">
        <v>4619</v>
      </c>
      <c r="BD355" s="98"/>
      <c r="BE355" s="98"/>
      <c r="BF355" t="s">
        <v>1152</v>
      </c>
      <c r="BG355" t="s">
        <v>322</v>
      </c>
      <c r="BH355" t="s">
        <v>1153</v>
      </c>
      <c r="BI355">
        <v>1.2048563495588844</v>
      </c>
      <c r="BJ355" t="s">
        <v>991</v>
      </c>
      <c r="BK355">
        <v>1.3896819476444833E-2</v>
      </c>
      <c r="BL355">
        <v>0.57673633302726723</v>
      </c>
      <c r="BM355" t="s">
        <v>1765</v>
      </c>
      <c r="BN355" t="s">
        <v>1154</v>
      </c>
      <c r="BO355">
        <v>2025</v>
      </c>
      <c r="BP355" t="s">
        <v>966</v>
      </c>
      <c r="BQ355">
        <v>629753.08985003456</v>
      </c>
      <c r="BR355">
        <v>37.024691014996542</v>
      </c>
      <c r="BS355" t="s">
        <v>992</v>
      </c>
      <c r="BV355" t="s">
        <v>1034</v>
      </c>
      <c r="BW355" t="s">
        <v>943</v>
      </c>
      <c r="BX355" t="s">
        <v>994</v>
      </c>
      <c r="BY355">
        <v>1.1688005296958408</v>
      </c>
      <c r="BZ355" t="s">
        <v>1155</v>
      </c>
      <c r="CA355" t="s">
        <v>991</v>
      </c>
      <c r="CB355" t="b">
        <v>1</v>
      </c>
      <c r="CC355" t="b">
        <v>1</v>
      </c>
      <c r="CD355" t="b">
        <v>1</v>
      </c>
      <c r="CE355" t="b">
        <v>1</v>
      </c>
      <c r="CF355" t="b">
        <v>1</v>
      </c>
    </row>
    <row r="356" spans="1:84" x14ac:dyDescent="0.3">
      <c r="A356" t="s">
        <v>1923</v>
      </c>
      <c r="B356" t="s">
        <v>1169</v>
      </c>
      <c r="C356" s="98">
        <v>45691</v>
      </c>
      <c r="D356">
        <v>2025</v>
      </c>
      <c r="E356">
        <v>2</v>
      </c>
      <c r="F356">
        <v>1</v>
      </c>
      <c r="G356" t="s">
        <v>1170</v>
      </c>
      <c r="H356" t="s">
        <v>129</v>
      </c>
      <c r="I356" t="s">
        <v>129</v>
      </c>
      <c r="J356" t="s">
        <v>6</v>
      </c>
      <c r="L356">
        <v>522611</v>
      </c>
      <c r="M356" s="99" t="s">
        <v>180</v>
      </c>
      <c r="N356">
        <v>3</v>
      </c>
      <c r="O356">
        <v>5</v>
      </c>
      <c r="P356">
        <v>87.817800000000005</v>
      </c>
      <c r="Q356" t="s">
        <v>352</v>
      </c>
      <c r="R356">
        <v>1</v>
      </c>
      <c r="S356">
        <v>87.665499999999994</v>
      </c>
      <c r="T356">
        <v>0.71030000000000004</v>
      </c>
      <c r="U356">
        <v>0.21441644375617483</v>
      </c>
      <c r="V356">
        <v>85.534599999999998</v>
      </c>
      <c r="W356">
        <v>86.244900000000001</v>
      </c>
      <c r="X356">
        <v>86.955199999999991</v>
      </c>
      <c r="Y356">
        <v>88.375799999999998</v>
      </c>
      <c r="Z356">
        <v>89.086099999999988</v>
      </c>
      <c r="AA356">
        <v>89.796399999999991</v>
      </c>
      <c r="AD356">
        <v>2.4095619923060774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 t="s">
        <v>462</v>
      </c>
      <c r="AL356" t="s">
        <v>6</v>
      </c>
      <c r="AM356" t="s">
        <v>1145</v>
      </c>
      <c r="AN356" t="s">
        <v>1146</v>
      </c>
      <c r="AO356" s="100">
        <v>46262.040405092594</v>
      </c>
      <c r="AP356" t="s">
        <v>1147</v>
      </c>
      <c r="AQ356" t="s">
        <v>1924</v>
      </c>
      <c r="AR356" t="s">
        <v>1172</v>
      </c>
      <c r="AS356" t="s">
        <v>1150</v>
      </c>
      <c r="AT356" t="s">
        <v>1816</v>
      </c>
      <c r="AU356">
        <v>25</v>
      </c>
      <c r="AV356">
        <v>87.571144000000004</v>
      </c>
      <c r="AW356">
        <v>0.63200297538856509</v>
      </c>
      <c r="AX356">
        <v>0.72170231713378674</v>
      </c>
      <c r="AY356">
        <v>-1.2048563495588844</v>
      </c>
      <c r="AZ356">
        <v>2.3956651728296325</v>
      </c>
      <c r="BA356">
        <v>1.6692556115541315</v>
      </c>
      <c r="BB356" t="s">
        <v>4619</v>
      </c>
      <c r="BD356" s="98"/>
      <c r="BE356" s="98"/>
      <c r="BF356" t="s">
        <v>1152</v>
      </c>
      <c r="BG356" t="s">
        <v>322</v>
      </c>
      <c r="BH356" t="s">
        <v>1153</v>
      </c>
      <c r="BI356">
        <v>1.2048563495588844</v>
      </c>
      <c r="BJ356" t="s">
        <v>991</v>
      </c>
      <c r="BK356">
        <v>1.3896819476444833E-2</v>
      </c>
      <c r="BL356">
        <v>0.57673633302726723</v>
      </c>
      <c r="BM356" t="s">
        <v>1765</v>
      </c>
      <c r="BN356" t="s">
        <v>1154</v>
      </c>
      <c r="BO356">
        <v>2025</v>
      </c>
      <c r="BP356" t="s">
        <v>966</v>
      </c>
      <c r="BQ356">
        <v>629753.08985003456</v>
      </c>
      <c r="BR356">
        <v>37.024691014996542</v>
      </c>
      <c r="BS356" t="s">
        <v>992</v>
      </c>
      <c r="BV356" t="s">
        <v>1034</v>
      </c>
      <c r="BW356" t="s">
        <v>943</v>
      </c>
      <c r="BX356" t="s">
        <v>994</v>
      </c>
      <c r="BY356">
        <v>1.1688005296958408</v>
      </c>
      <c r="BZ356" t="s">
        <v>1155</v>
      </c>
      <c r="CA356" t="s">
        <v>991</v>
      </c>
      <c r="CB356" t="b">
        <v>1</v>
      </c>
      <c r="CC356" t="b">
        <v>1</v>
      </c>
      <c r="CD356" t="b">
        <v>1</v>
      </c>
      <c r="CE356" t="b">
        <v>1</v>
      </c>
      <c r="CF356" t="b">
        <v>1</v>
      </c>
    </row>
    <row r="357" spans="1:84" x14ac:dyDescent="0.3">
      <c r="A357" t="s">
        <v>1925</v>
      </c>
      <c r="B357" t="s">
        <v>1174</v>
      </c>
      <c r="C357" s="98">
        <v>45698</v>
      </c>
      <c r="D357">
        <v>2025</v>
      </c>
      <c r="E357">
        <v>2</v>
      </c>
      <c r="F357">
        <v>1</v>
      </c>
      <c r="G357" t="s">
        <v>1170</v>
      </c>
      <c r="H357" t="s">
        <v>129</v>
      </c>
      <c r="I357" t="s">
        <v>129</v>
      </c>
      <c r="J357" t="s">
        <v>6</v>
      </c>
      <c r="L357">
        <v>522611</v>
      </c>
      <c r="M357" s="99" t="s">
        <v>180</v>
      </c>
      <c r="N357">
        <v>3</v>
      </c>
      <c r="O357">
        <v>6</v>
      </c>
      <c r="P357">
        <v>87.876300000000001</v>
      </c>
      <c r="Q357" t="s">
        <v>352</v>
      </c>
      <c r="R357">
        <v>1</v>
      </c>
      <c r="S357">
        <v>87.665499999999994</v>
      </c>
      <c r="T357">
        <v>0.71030000000000004</v>
      </c>
      <c r="U357">
        <v>0.29677601013657057</v>
      </c>
      <c r="V357">
        <v>85.534599999999998</v>
      </c>
      <c r="W357">
        <v>86.244900000000001</v>
      </c>
      <c r="X357">
        <v>86.955199999999991</v>
      </c>
      <c r="Y357">
        <v>88.375799999999998</v>
      </c>
      <c r="Z357">
        <v>89.086099999999988</v>
      </c>
      <c r="AA357">
        <v>89.796399999999991</v>
      </c>
      <c r="AD357">
        <v>2.4095619923060774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 t="s">
        <v>462</v>
      </c>
      <c r="AL357" t="s">
        <v>6</v>
      </c>
      <c r="AM357" t="s">
        <v>1145</v>
      </c>
      <c r="AN357" t="s">
        <v>1146</v>
      </c>
      <c r="AO357" s="100">
        <v>46262.040405092594</v>
      </c>
      <c r="AP357" t="s">
        <v>1147</v>
      </c>
      <c r="AQ357" t="s">
        <v>1926</v>
      </c>
      <c r="AR357" t="s">
        <v>1176</v>
      </c>
      <c r="AS357" t="s">
        <v>1150</v>
      </c>
      <c r="AT357" t="s">
        <v>1816</v>
      </c>
      <c r="AU357">
        <v>25</v>
      </c>
      <c r="AV357">
        <v>87.571144000000004</v>
      </c>
      <c r="AW357">
        <v>0.63200297538856509</v>
      </c>
      <c r="AX357">
        <v>0.72170231713378674</v>
      </c>
      <c r="AY357">
        <v>-1.2048563495588844</v>
      </c>
      <c r="AZ357">
        <v>2.3956651728296325</v>
      </c>
      <c r="BA357">
        <v>1.6692556115541315</v>
      </c>
      <c r="BB357" t="s">
        <v>4619</v>
      </c>
      <c r="BD357" s="98"/>
      <c r="BE357" s="98"/>
      <c r="BF357" t="s">
        <v>1152</v>
      </c>
      <c r="BG357" t="s">
        <v>322</v>
      </c>
      <c r="BH357" t="s">
        <v>1153</v>
      </c>
      <c r="BI357">
        <v>1.2048563495588844</v>
      </c>
      <c r="BJ357" t="s">
        <v>991</v>
      </c>
      <c r="BK357">
        <v>1.3896819476444833E-2</v>
      </c>
      <c r="BL357">
        <v>0.57673633302726723</v>
      </c>
      <c r="BM357" t="s">
        <v>1765</v>
      </c>
      <c r="BN357" t="s">
        <v>1154</v>
      </c>
      <c r="BO357">
        <v>2025</v>
      </c>
      <c r="BP357" t="s">
        <v>966</v>
      </c>
      <c r="BQ357">
        <v>629753.08985003456</v>
      </c>
      <c r="BR357">
        <v>37.024691014996542</v>
      </c>
      <c r="BS357" t="s">
        <v>992</v>
      </c>
      <c r="BV357" t="s">
        <v>1034</v>
      </c>
      <c r="BW357" t="s">
        <v>943</v>
      </c>
      <c r="BX357" t="s">
        <v>994</v>
      </c>
      <c r="BY357">
        <v>1.1688005296958408</v>
      </c>
      <c r="BZ357" t="s">
        <v>1155</v>
      </c>
      <c r="CA357" t="s">
        <v>991</v>
      </c>
      <c r="CB357" t="b">
        <v>1</v>
      </c>
      <c r="CC357" t="b">
        <v>1</v>
      </c>
      <c r="CD357" t="b">
        <v>1</v>
      </c>
      <c r="CE357" t="b">
        <v>1</v>
      </c>
      <c r="CF357" t="b">
        <v>1</v>
      </c>
    </row>
    <row r="358" spans="1:84" x14ac:dyDescent="0.3">
      <c r="A358" t="s">
        <v>1927</v>
      </c>
      <c r="B358" t="s">
        <v>1178</v>
      </c>
      <c r="C358" s="98">
        <v>45705</v>
      </c>
      <c r="D358">
        <v>2025</v>
      </c>
      <c r="E358">
        <v>2</v>
      </c>
      <c r="F358">
        <v>1</v>
      </c>
      <c r="G358" t="s">
        <v>1170</v>
      </c>
      <c r="H358" t="s">
        <v>129</v>
      </c>
      <c r="I358" t="s">
        <v>129</v>
      </c>
      <c r="J358" t="s">
        <v>6</v>
      </c>
      <c r="L358">
        <v>522611</v>
      </c>
      <c r="M358" s="99" t="s">
        <v>180</v>
      </c>
      <c r="N358">
        <v>3</v>
      </c>
      <c r="O358">
        <v>7</v>
      </c>
      <c r="P358">
        <v>87.453299999999999</v>
      </c>
      <c r="Q358" t="s">
        <v>352</v>
      </c>
      <c r="R358">
        <v>1</v>
      </c>
      <c r="S358">
        <v>87.665499999999994</v>
      </c>
      <c r="T358">
        <v>0.71030000000000004</v>
      </c>
      <c r="U358">
        <v>-0.29874700830634338</v>
      </c>
      <c r="V358">
        <v>85.534599999999998</v>
      </c>
      <c r="W358">
        <v>86.244900000000001</v>
      </c>
      <c r="X358">
        <v>86.955199999999991</v>
      </c>
      <c r="Y358">
        <v>88.375799999999998</v>
      </c>
      <c r="Z358">
        <v>89.086099999999988</v>
      </c>
      <c r="AA358">
        <v>89.796399999999991</v>
      </c>
      <c r="AD358">
        <v>2.4095619923060774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 t="s">
        <v>462</v>
      </c>
      <c r="AL358" t="s">
        <v>6</v>
      </c>
      <c r="AM358" t="s">
        <v>1145</v>
      </c>
      <c r="AN358" t="s">
        <v>1146</v>
      </c>
      <c r="AO358" s="100">
        <v>46262.040405092594</v>
      </c>
      <c r="AP358" t="s">
        <v>1147</v>
      </c>
      <c r="AQ358" t="s">
        <v>1928</v>
      </c>
      <c r="AR358" t="s">
        <v>1180</v>
      </c>
      <c r="AS358" t="s">
        <v>1150</v>
      </c>
      <c r="AT358" t="s">
        <v>1816</v>
      </c>
      <c r="AU358">
        <v>25</v>
      </c>
      <c r="AV358">
        <v>87.571144000000004</v>
      </c>
      <c r="AW358">
        <v>0.63200297538856509</v>
      </c>
      <c r="AX358">
        <v>0.72170231713378674</v>
      </c>
      <c r="AY358">
        <v>-1.2048563495588844</v>
      </c>
      <c r="AZ358">
        <v>2.3956651728296325</v>
      </c>
      <c r="BA358">
        <v>1.6692556115541315</v>
      </c>
      <c r="BB358" t="s">
        <v>4619</v>
      </c>
      <c r="BD358" s="98"/>
      <c r="BE358" s="98"/>
      <c r="BF358" t="s">
        <v>1152</v>
      </c>
      <c r="BG358" t="s">
        <v>322</v>
      </c>
      <c r="BH358" t="s">
        <v>1153</v>
      </c>
      <c r="BI358">
        <v>1.2048563495588844</v>
      </c>
      <c r="BJ358" t="s">
        <v>991</v>
      </c>
      <c r="BK358">
        <v>1.3896819476444833E-2</v>
      </c>
      <c r="BL358">
        <v>0.57673633302726723</v>
      </c>
      <c r="BM358" t="s">
        <v>1765</v>
      </c>
      <c r="BN358" t="s">
        <v>1154</v>
      </c>
      <c r="BO358">
        <v>2025</v>
      </c>
      <c r="BP358" t="s">
        <v>966</v>
      </c>
      <c r="BQ358">
        <v>629753.08985003456</v>
      </c>
      <c r="BR358">
        <v>37.024691014996542</v>
      </c>
      <c r="BS358" t="s">
        <v>992</v>
      </c>
      <c r="BV358" t="s">
        <v>1034</v>
      </c>
      <c r="BW358" t="s">
        <v>943</v>
      </c>
      <c r="BX358" t="s">
        <v>994</v>
      </c>
      <c r="BY358">
        <v>1.1688005296958408</v>
      </c>
      <c r="BZ358" t="s">
        <v>1155</v>
      </c>
      <c r="CA358" t="s">
        <v>991</v>
      </c>
      <c r="CB358" t="b">
        <v>1</v>
      </c>
      <c r="CC358" t="b">
        <v>1</v>
      </c>
      <c r="CD358" t="b">
        <v>1</v>
      </c>
      <c r="CE358" t="b">
        <v>1</v>
      </c>
      <c r="CF358" t="b">
        <v>1</v>
      </c>
    </row>
    <row r="359" spans="1:84" x14ac:dyDescent="0.3">
      <c r="A359" t="s">
        <v>1929</v>
      </c>
      <c r="B359" t="s">
        <v>1182</v>
      </c>
      <c r="C359" s="98">
        <v>45712</v>
      </c>
      <c r="D359">
        <v>2025</v>
      </c>
      <c r="E359">
        <v>2</v>
      </c>
      <c r="F359">
        <v>1</v>
      </c>
      <c r="G359" t="s">
        <v>1170</v>
      </c>
      <c r="H359" t="s">
        <v>129</v>
      </c>
      <c r="I359" t="s">
        <v>129</v>
      </c>
      <c r="J359" t="s">
        <v>6</v>
      </c>
      <c r="L359">
        <v>522611</v>
      </c>
      <c r="M359" s="99" t="s">
        <v>180</v>
      </c>
      <c r="N359">
        <v>3</v>
      </c>
      <c r="O359">
        <v>8</v>
      </c>
      <c r="P359">
        <v>87.637</v>
      </c>
      <c r="Q359" t="s">
        <v>352</v>
      </c>
      <c r="R359">
        <v>1</v>
      </c>
      <c r="S359">
        <v>87.665499999999994</v>
      </c>
      <c r="T359">
        <v>0.71030000000000004</v>
      </c>
      <c r="U359">
        <v>-4.012389131352101E-2</v>
      </c>
      <c r="V359">
        <v>85.534599999999998</v>
      </c>
      <c r="W359">
        <v>86.244900000000001</v>
      </c>
      <c r="X359">
        <v>86.955199999999991</v>
      </c>
      <c r="Y359">
        <v>88.375799999999998</v>
      </c>
      <c r="Z359">
        <v>89.086099999999988</v>
      </c>
      <c r="AA359">
        <v>89.796399999999991</v>
      </c>
      <c r="AD359">
        <v>2.4095619923060774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 t="s">
        <v>462</v>
      </c>
      <c r="AL359" t="s">
        <v>6</v>
      </c>
      <c r="AM359" t="s">
        <v>1145</v>
      </c>
      <c r="AN359" t="s">
        <v>1146</v>
      </c>
      <c r="AO359" s="100">
        <v>46262.040405092594</v>
      </c>
      <c r="AP359" t="s">
        <v>1147</v>
      </c>
      <c r="AQ359" t="s">
        <v>1930</v>
      </c>
      <c r="AR359" t="s">
        <v>1184</v>
      </c>
      <c r="AS359" t="s">
        <v>1150</v>
      </c>
      <c r="AT359" t="s">
        <v>1816</v>
      </c>
      <c r="AU359">
        <v>25</v>
      </c>
      <c r="AV359">
        <v>87.571144000000004</v>
      </c>
      <c r="AW359">
        <v>0.63200297538856509</v>
      </c>
      <c r="AX359">
        <v>0.72170231713378674</v>
      </c>
      <c r="AY359">
        <v>-1.2048563495588844</v>
      </c>
      <c r="AZ359">
        <v>2.3956651728296325</v>
      </c>
      <c r="BA359">
        <v>1.6692556115541315</v>
      </c>
      <c r="BB359" t="s">
        <v>4619</v>
      </c>
      <c r="BD359" s="98"/>
      <c r="BE359" s="98"/>
      <c r="BF359" t="s">
        <v>1152</v>
      </c>
      <c r="BG359" t="s">
        <v>322</v>
      </c>
      <c r="BH359" t="s">
        <v>1153</v>
      </c>
      <c r="BI359">
        <v>1.2048563495588844</v>
      </c>
      <c r="BJ359" t="s">
        <v>991</v>
      </c>
      <c r="BK359">
        <v>1.3896819476444833E-2</v>
      </c>
      <c r="BL359">
        <v>0.57673633302726723</v>
      </c>
      <c r="BM359" t="s">
        <v>1765</v>
      </c>
      <c r="BN359" t="s">
        <v>1154</v>
      </c>
      <c r="BO359">
        <v>2025</v>
      </c>
      <c r="BP359" t="s">
        <v>966</v>
      </c>
      <c r="BQ359">
        <v>629753.08985003456</v>
      </c>
      <c r="BR359">
        <v>37.024691014996542</v>
      </c>
      <c r="BS359" t="s">
        <v>992</v>
      </c>
      <c r="BV359" t="s">
        <v>1034</v>
      </c>
      <c r="BW359" t="s">
        <v>943</v>
      </c>
      <c r="BX359" t="s">
        <v>994</v>
      </c>
      <c r="BY359">
        <v>1.1688005296958408</v>
      </c>
      <c r="BZ359" t="s">
        <v>1155</v>
      </c>
      <c r="CA359" t="s">
        <v>991</v>
      </c>
      <c r="CB359" t="b">
        <v>1</v>
      </c>
      <c r="CC359" t="b">
        <v>1</v>
      </c>
      <c r="CD359" t="b">
        <v>1</v>
      </c>
      <c r="CE359" t="b">
        <v>1</v>
      </c>
      <c r="CF359" t="b">
        <v>1</v>
      </c>
    </row>
    <row r="360" spans="1:84" x14ac:dyDescent="0.3">
      <c r="A360" t="s">
        <v>1931</v>
      </c>
      <c r="B360" t="s">
        <v>1186</v>
      </c>
      <c r="C360" s="98">
        <v>45719</v>
      </c>
      <c r="D360">
        <v>2025</v>
      </c>
      <c r="E360">
        <v>3</v>
      </c>
      <c r="F360">
        <v>1</v>
      </c>
      <c r="G360" t="s">
        <v>1187</v>
      </c>
      <c r="H360" t="s">
        <v>129</v>
      </c>
      <c r="I360" t="s">
        <v>129</v>
      </c>
      <c r="J360" t="s">
        <v>6</v>
      </c>
      <c r="L360">
        <v>522611</v>
      </c>
      <c r="M360" s="99" t="s">
        <v>180</v>
      </c>
      <c r="N360">
        <v>3</v>
      </c>
      <c r="O360">
        <v>9</v>
      </c>
      <c r="P360">
        <v>87.812299999999993</v>
      </c>
      <c r="Q360" t="s">
        <v>352</v>
      </c>
      <c r="R360">
        <v>1</v>
      </c>
      <c r="S360">
        <v>87.665499999999994</v>
      </c>
      <c r="T360">
        <v>0.71030000000000004</v>
      </c>
      <c r="U360">
        <v>0.20667323666056445</v>
      </c>
      <c r="V360">
        <v>85.534599999999998</v>
      </c>
      <c r="W360">
        <v>86.244900000000001</v>
      </c>
      <c r="X360">
        <v>86.955199999999991</v>
      </c>
      <c r="Y360">
        <v>88.375799999999998</v>
      </c>
      <c r="Z360">
        <v>89.086099999999988</v>
      </c>
      <c r="AA360">
        <v>89.796399999999991</v>
      </c>
      <c r="AD360">
        <v>2.4095619923060774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 t="s">
        <v>462</v>
      </c>
      <c r="AL360" t="s">
        <v>6</v>
      </c>
      <c r="AM360" t="s">
        <v>1145</v>
      </c>
      <c r="AN360" t="s">
        <v>1146</v>
      </c>
      <c r="AO360" s="100">
        <v>46262.040405092594</v>
      </c>
      <c r="AP360" t="s">
        <v>1147</v>
      </c>
      <c r="AQ360" t="s">
        <v>1932</v>
      </c>
      <c r="AR360" t="s">
        <v>1189</v>
      </c>
      <c r="AS360" t="s">
        <v>1150</v>
      </c>
      <c r="AT360" t="s">
        <v>1816</v>
      </c>
      <c r="AU360">
        <v>25</v>
      </c>
      <c r="AV360">
        <v>87.571144000000004</v>
      </c>
      <c r="AW360">
        <v>0.63200297538856509</v>
      </c>
      <c r="AX360">
        <v>0.72170231713378674</v>
      </c>
      <c r="AY360">
        <v>-1.2048563495588844</v>
      </c>
      <c r="AZ360">
        <v>2.3956651728296325</v>
      </c>
      <c r="BA360">
        <v>1.6692556115541315</v>
      </c>
      <c r="BB360" t="s">
        <v>4619</v>
      </c>
      <c r="BD360" s="98"/>
      <c r="BE360" s="98"/>
      <c r="BF360" t="s">
        <v>1152</v>
      </c>
      <c r="BG360" t="s">
        <v>322</v>
      </c>
      <c r="BH360" t="s">
        <v>1153</v>
      </c>
      <c r="BI360">
        <v>1.2048563495588844</v>
      </c>
      <c r="BJ360" t="s">
        <v>991</v>
      </c>
      <c r="BK360">
        <v>1.3896819476444833E-2</v>
      </c>
      <c r="BL360">
        <v>0.57673633302726723</v>
      </c>
      <c r="BM360" t="s">
        <v>1765</v>
      </c>
      <c r="BN360" t="s">
        <v>1154</v>
      </c>
      <c r="BO360">
        <v>2025</v>
      </c>
      <c r="BP360" t="s">
        <v>966</v>
      </c>
      <c r="BQ360">
        <v>629753.08985003456</v>
      </c>
      <c r="BR360">
        <v>37.024691014996542</v>
      </c>
      <c r="BS360" t="s">
        <v>992</v>
      </c>
      <c r="BV360" t="s">
        <v>1034</v>
      </c>
      <c r="BW360" t="s">
        <v>943</v>
      </c>
      <c r="BX360" t="s">
        <v>994</v>
      </c>
      <c r="BY360">
        <v>1.1688005296958408</v>
      </c>
      <c r="BZ360" t="s">
        <v>1155</v>
      </c>
      <c r="CA360" t="s">
        <v>991</v>
      </c>
      <c r="CB360" t="b">
        <v>1</v>
      </c>
      <c r="CC360" t="b">
        <v>1</v>
      </c>
      <c r="CD360" t="b">
        <v>1</v>
      </c>
      <c r="CE360" t="b">
        <v>1</v>
      </c>
      <c r="CF360" t="b">
        <v>1</v>
      </c>
    </row>
    <row r="361" spans="1:84" x14ac:dyDescent="0.3">
      <c r="A361" t="s">
        <v>1933</v>
      </c>
      <c r="B361" t="s">
        <v>1191</v>
      </c>
      <c r="C361" s="98">
        <v>45726</v>
      </c>
      <c r="D361">
        <v>2025</v>
      </c>
      <c r="E361">
        <v>3</v>
      </c>
      <c r="F361">
        <v>1</v>
      </c>
      <c r="G361" t="s">
        <v>1187</v>
      </c>
      <c r="H361" t="s">
        <v>129</v>
      </c>
      <c r="I361" t="s">
        <v>129</v>
      </c>
      <c r="J361" t="s">
        <v>6</v>
      </c>
      <c r="L361">
        <v>522611</v>
      </c>
      <c r="M361" s="99" t="s">
        <v>180</v>
      </c>
      <c r="N361">
        <v>3</v>
      </c>
      <c r="O361">
        <v>10</v>
      </c>
      <c r="P361">
        <v>87.605900000000005</v>
      </c>
      <c r="Q361" t="s">
        <v>352</v>
      </c>
      <c r="R361">
        <v>1</v>
      </c>
      <c r="S361">
        <v>87.665499999999994</v>
      </c>
      <c r="T361">
        <v>0.71030000000000004</v>
      </c>
      <c r="U361">
        <v>-8.3908207799505835E-2</v>
      </c>
      <c r="V361">
        <v>85.534599999999998</v>
      </c>
      <c r="W361">
        <v>86.244900000000001</v>
      </c>
      <c r="X361">
        <v>86.955199999999991</v>
      </c>
      <c r="Y361">
        <v>88.375799999999998</v>
      </c>
      <c r="Z361">
        <v>89.086099999999988</v>
      </c>
      <c r="AA361">
        <v>89.796399999999991</v>
      </c>
      <c r="AD361">
        <v>2.4095619923060774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 t="s">
        <v>462</v>
      </c>
      <c r="AL361" t="s">
        <v>6</v>
      </c>
      <c r="AM361" t="s">
        <v>1145</v>
      </c>
      <c r="AN361" t="s">
        <v>1146</v>
      </c>
      <c r="AO361" s="100">
        <v>46262.040405092594</v>
      </c>
      <c r="AP361" t="s">
        <v>1147</v>
      </c>
      <c r="AQ361" t="s">
        <v>1934</v>
      </c>
      <c r="AR361" t="s">
        <v>1193</v>
      </c>
      <c r="AS361" t="s">
        <v>1150</v>
      </c>
      <c r="AT361" t="s">
        <v>1816</v>
      </c>
      <c r="AU361">
        <v>25</v>
      </c>
      <c r="AV361">
        <v>87.571144000000004</v>
      </c>
      <c r="AW361">
        <v>0.63200297538856509</v>
      </c>
      <c r="AX361">
        <v>0.72170231713378674</v>
      </c>
      <c r="AY361">
        <v>-1.2048563495588844</v>
      </c>
      <c r="AZ361">
        <v>2.3956651728296325</v>
      </c>
      <c r="BA361">
        <v>1.6692556115541315</v>
      </c>
      <c r="BB361" t="s">
        <v>4619</v>
      </c>
      <c r="BD361" s="98"/>
      <c r="BE361" s="98"/>
      <c r="BF361" t="s">
        <v>1152</v>
      </c>
      <c r="BG361" t="s">
        <v>322</v>
      </c>
      <c r="BH361" t="s">
        <v>1153</v>
      </c>
      <c r="BI361">
        <v>1.2048563495588844</v>
      </c>
      <c r="BJ361" t="s">
        <v>991</v>
      </c>
      <c r="BK361">
        <v>1.3896819476444833E-2</v>
      </c>
      <c r="BL361">
        <v>0.57673633302726723</v>
      </c>
      <c r="BM361" t="s">
        <v>1765</v>
      </c>
      <c r="BN361" t="s">
        <v>1154</v>
      </c>
      <c r="BO361">
        <v>2025</v>
      </c>
      <c r="BP361" t="s">
        <v>966</v>
      </c>
      <c r="BQ361">
        <v>629753.08985003456</v>
      </c>
      <c r="BR361">
        <v>37.024691014996542</v>
      </c>
      <c r="BS361" t="s">
        <v>992</v>
      </c>
      <c r="BV361" t="s">
        <v>1034</v>
      </c>
      <c r="BW361" t="s">
        <v>943</v>
      </c>
      <c r="BX361" t="s">
        <v>994</v>
      </c>
      <c r="BY361">
        <v>1.1688005296958408</v>
      </c>
      <c r="BZ361" t="s">
        <v>1155</v>
      </c>
      <c r="CA361" t="s">
        <v>991</v>
      </c>
      <c r="CB361" t="b">
        <v>1</v>
      </c>
      <c r="CC361" t="b">
        <v>1</v>
      </c>
      <c r="CD361" t="b">
        <v>1</v>
      </c>
      <c r="CE361" t="b">
        <v>1</v>
      </c>
      <c r="CF361" t="b">
        <v>1</v>
      </c>
    </row>
    <row r="362" spans="1:84" x14ac:dyDescent="0.3">
      <c r="A362" t="s">
        <v>1935</v>
      </c>
      <c r="B362" t="s">
        <v>1195</v>
      </c>
      <c r="C362" s="98">
        <v>45733</v>
      </c>
      <c r="D362">
        <v>2025</v>
      </c>
      <c r="E362">
        <v>3</v>
      </c>
      <c r="F362">
        <v>1</v>
      </c>
      <c r="G362" t="s">
        <v>1187</v>
      </c>
      <c r="H362" t="s">
        <v>129</v>
      </c>
      <c r="I362" t="s">
        <v>129</v>
      </c>
      <c r="J362" t="s">
        <v>6</v>
      </c>
      <c r="L362">
        <v>522611</v>
      </c>
      <c r="M362" s="99" t="s">
        <v>180</v>
      </c>
      <c r="N362">
        <v>3</v>
      </c>
      <c r="O362">
        <v>11</v>
      </c>
      <c r="P362">
        <v>88.023200000000003</v>
      </c>
      <c r="Q362" t="s">
        <v>352</v>
      </c>
      <c r="R362">
        <v>1</v>
      </c>
      <c r="S362">
        <v>87.665499999999994</v>
      </c>
      <c r="T362">
        <v>0.71030000000000004</v>
      </c>
      <c r="U362">
        <v>0.50359003238069588</v>
      </c>
      <c r="V362">
        <v>85.534599999999998</v>
      </c>
      <c r="W362">
        <v>86.244900000000001</v>
      </c>
      <c r="X362">
        <v>86.955199999999991</v>
      </c>
      <c r="Y362">
        <v>88.375799999999998</v>
      </c>
      <c r="Z362">
        <v>89.086099999999988</v>
      </c>
      <c r="AA362">
        <v>89.796399999999991</v>
      </c>
      <c r="AD362">
        <v>2.4095619923060774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 t="s">
        <v>462</v>
      </c>
      <c r="AL362" t="s">
        <v>6</v>
      </c>
      <c r="AM362" t="s">
        <v>1145</v>
      </c>
      <c r="AN362" t="s">
        <v>1146</v>
      </c>
      <c r="AO362" s="100">
        <v>46262.040405092594</v>
      </c>
      <c r="AP362" t="s">
        <v>1147</v>
      </c>
      <c r="AQ362" t="s">
        <v>1936</v>
      </c>
      <c r="AR362" t="s">
        <v>1197</v>
      </c>
      <c r="AS362" t="s">
        <v>1150</v>
      </c>
      <c r="AT362" t="s">
        <v>1816</v>
      </c>
      <c r="AU362">
        <v>25</v>
      </c>
      <c r="AV362">
        <v>87.571144000000004</v>
      </c>
      <c r="AW362">
        <v>0.63200297538856509</v>
      </c>
      <c r="AX362">
        <v>0.72170231713378674</v>
      </c>
      <c r="AY362">
        <v>-1.2048563495588844</v>
      </c>
      <c r="AZ362">
        <v>2.3956651728296325</v>
      </c>
      <c r="BA362">
        <v>1.6692556115541315</v>
      </c>
      <c r="BB362" t="s">
        <v>4619</v>
      </c>
      <c r="BD362" s="98"/>
      <c r="BE362" s="98"/>
      <c r="BF362" t="s">
        <v>1152</v>
      </c>
      <c r="BG362" t="s">
        <v>322</v>
      </c>
      <c r="BH362" t="s">
        <v>1153</v>
      </c>
      <c r="BI362">
        <v>1.2048563495588844</v>
      </c>
      <c r="BJ362" t="s">
        <v>991</v>
      </c>
      <c r="BK362">
        <v>1.3896819476444833E-2</v>
      </c>
      <c r="BL362">
        <v>0.57673633302726723</v>
      </c>
      <c r="BM362" t="s">
        <v>1765</v>
      </c>
      <c r="BN362" t="s">
        <v>1154</v>
      </c>
      <c r="BO362">
        <v>2025</v>
      </c>
      <c r="BP362" t="s">
        <v>966</v>
      </c>
      <c r="BQ362">
        <v>629753.08985003456</v>
      </c>
      <c r="BR362">
        <v>37.024691014996542</v>
      </c>
      <c r="BS362" t="s">
        <v>992</v>
      </c>
      <c r="BV362" t="s">
        <v>1034</v>
      </c>
      <c r="BW362" t="s">
        <v>943</v>
      </c>
      <c r="BX362" t="s">
        <v>994</v>
      </c>
      <c r="BY362">
        <v>1.1688005296958408</v>
      </c>
      <c r="BZ362" t="s">
        <v>1155</v>
      </c>
      <c r="CA362" t="s">
        <v>991</v>
      </c>
      <c r="CB362" t="b">
        <v>1</v>
      </c>
      <c r="CC362" t="b">
        <v>1</v>
      </c>
      <c r="CD362" t="b">
        <v>1</v>
      </c>
      <c r="CE362" t="b">
        <v>1</v>
      </c>
      <c r="CF362" t="b">
        <v>1</v>
      </c>
    </row>
    <row r="363" spans="1:84" x14ac:dyDescent="0.3">
      <c r="A363" t="s">
        <v>1937</v>
      </c>
      <c r="B363" t="s">
        <v>1199</v>
      </c>
      <c r="C363" s="98">
        <v>45740</v>
      </c>
      <c r="D363">
        <v>2025</v>
      </c>
      <c r="E363">
        <v>3</v>
      </c>
      <c r="F363">
        <v>1</v>
      </c>
      <c r="G363" t="s">
        <v>1187</v>
      </c>
      <c r="H363" t="s">
        <v>129</v>
      </c>
      <c r="I363" t="s">
        <v>129</v>
      </c>
      <c r="J363" t="s">
        <v>6</v>
      </c>
      <c r="L363">
        <v>522611</v>
      </c>
      <c r="M363" s="99" t="s">
        <v>180</v>
      </c>
      <c r="N363">
        <v>3</v>
      </c>
      <c r="O363">
        <v>12</v>
      </c>
      <c r="P363">
        <v>88.994299999999996</v>
      </c>
      <c r="Q363" t="s">
        <v>352</v>
      </c>
      <c r="R363">
        <v>1</v>
      </c>
      <c r="S363">
        <v>87.665499999999994</v>
      </c>
      <c r="T363">
        <v>0.71030000000000004</v>
      </c>
      <c r="U363">
        <v>1.8707588342953696</v>
      </c>
      <c r="V363">
        <v>85.534599999999998</v>
      </c>
      <c r="W363">
        <v>86.244900000000001</v>
      </c>
      <c r="X363">
        <v>86.955199999999991</v>
      </c>
      <c r="Y363">
        <v>88.375799999999998</v>
      </c>
      <c r="Z363">
        <v>89.086099999999988</v>
      </c>
      <c r="AA363">
        <v>89.796399999999991</v>
      </c>
      <c r="AD363">
        <v>2.4095619923060774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 t="s">
        <v>462</v>
      </c>
      <c r="AL363" t="s">
        <v>6</v>
      </c>
      <c r="AM363" t="s">
        <v>1145</v>
      </c>
      <c r="AN363" t="s">
        <v>1146</v>
      </c>
      <c r="AO363" s="100">
        <v>46262.040405092594</v>
      </c>
      <c r="AP363" t="s">
        <v>1147</v>
      </c>
      <c r="AQ363" t="s">
        <v>1938</v>
      </c>
      <c r="AR363" t="s">
        <v>1201</v>
      </c>
      <c r="AS363" t="s">
        <v>1150</v>
      </c>
      <c r="AT363" t="s">
        <v>1816</v>
      </c>
      <c r="AU363">
        <v>25</v>
      </c>
      <c r="AV363">
        <v>87.571144000000004</v>
      </c>
      <c r="AW363">
        <v>0.63200297538856509</v>
      </c>
      <c r="AX363">
        <v>0.72170231713378674</v>
      </c>
      <c r="AY363">
        <v>-1.2048563495588844</v>
      </c>
      <c r="AZ363">
        <v>2.3956651728296325</v>
      </c>
      <c r="BA363">
        <v>1.6692556115541315</v>
      </c>
      <c r="BB363" t="s">
        <v>4619</v>
      </c>
      <c r="BD363" s="98"/>
      <c r="BE363" s="98"/>
      <c r="BF363" t="s">
        <v>1152</v>
      </c>
      <c r="BG363" t="s">
        <v>322</v>
      </c>
      <c r="BH363" t="s">
        <v>1153</v>
      </c>
      <c r="BI363">
        <v>1.2048563495588844</v>
      </c>
      <c r="BJ363" t="s">
        <v>991</v>
      </c>
      <c r="BK363">
        <v>1.3896819476444833E-2</v>
      </c>
      <c r="BL363">
        <v>0.57673633302726723</v>
      </c>
      <c r="BM363" t="s">
        <v>1765</v>
      </c>
      <c r="BN363" t="s">
        <v>1154</v>
      </c>
      <c r="BO363">
        <v>2025</v>
      </c>
      <c r="BP363" t="s">
        <v>966</v>
      </c>
      <c r="BQ363">
        <v>629753.08985003456</v>
      </c>
      <c r="BR363">
        <v>37.024691014996542</v>
      </c>
      <c r="BS363" t="s">
        <v>992</v>
      </c>
      <c r="BV363" t="s">
        <v>1034</v>
      </c>
      <c r="BW363" t="s">
        <v>943</v>
      </c>
      <c r="BX363" t="s">
        <v>994</v>
      </c>
      <c r="BY363">
        <v>1.1688005296958408</v>
      </c>
      <c r="BZ363" t="s">
        <v>1155</v>
      </c>
      <c r="CA363" t="s">
        <v>991</v>
      </c>
      <c r="CB363" t="b">
        <v>1</v>
      </c>
      <c r="CC363" t="b">
        <v>1</v>
      </c>
      <c r="CD363" t="b">
        <v>1</v>
      </c>
      <c r="CE363" t="b">
        <v>1</v>
      </c>
      <c r="CF363" t="b">
        <v>1</v>
      </c>
    </row>
    <row r="364" spans="1:84" x14ac:dyDescent="0.3">
      <c r="A364" t="s">
        <v>1939</v>
      </c>
      <c r="B364" t="s">
        <v>1203</v>
      </c>
      <c r="C364" s="98">
        <v>45747</v>
      </c>
      <c r="D364">
        <v>2025</v>
      </c>
      <c r="E364">
        <v>3</v>
      </c>
      <c r="F364">
        <v>1</v>
      </c>
      <c r="G364" t="s">
        <v>1187</v>
      </c>
      <c r="H364" t="s">
        <v>129</v>
      </c>
      <c r="I364" t="s">
        <v>129</v>
      </c>
      <c r="J364" t="s">
        <v>6</v>
      </c>
      <c r="L364">
        <v>522611</v>
      </c>
      <c r="M364" s="99" t="s">
        <v>180</v>
      </c>
      <c r="N364">
        <v>3</v>
      </c>
      <c r="O364">
        <v>13</v>
      </c>
      <c r="P364">
        <v>88.085999999999999</v>
      </c>
      <c r="Q364" t="s">
        <v>352</v>
      </c>
      <c r="R364">
        <v>1</v>
      </c>
      <c r="S364">
        <v>87.665499999999994</v>
      </c>
      <c r="T364">
        <v>0.71030000000000004</v>
      </c>
      <c r="U364">
        <v>0.59200337885401111</v>
      </c>
      <c r="V364">
        <v>85.534599999999998</v>
      </c>
      <c r="W364">
        <v>86.244900000000001</v>
      </c>
      <c r="X364">
        <v>86.955199999999991</v>
      </c>
      <c r="Y364">
        <v>88.375799999999998</v>
      </c>
      <c r="Z364">
        <v>89.086099999999988</v>
      </c>
      <c r="AA364">
        <v>89.796399999999991</v>
      </c>
      <c r="AD364">
        <v>2.4095619923060774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 t="s">
        <v>462</v>
      </c>
      <c r="AL364" t="s">
        <v>6</v>
      </c>
      <c r="AM364" t="s">
        <v>1145</v>
      </c>
      <c r="AN364" t="s">
        <v>1146</v>
      </c>
      <c r="AO364" s="100">
        <v>46262.040405092594</v>
      </c>
      <c r="AP364" t="s">
        <v>1147</v>
      </c>
      <c r="AQ364" t="s">
        <v>1940</v>
      </c>
      <c r="AR364" t="s">
        <v>1205</v>
      </c>
      <c r="AS364" t="s">
        <v>1150</v>
      </c>
      <c r="AT364" t="s">
        <v>1816</v>
      </c>
      <c r="AU364">
        <v>25</v>
      </c>
      <c r="AV364">
        <v>87.571144000000004</v>
      </c>
      <c r="AW364">
        <v>0.63200297538856509</v>
      </c>
      <c r="AX364">
        <v>0.72170231713378674</v>
      </c>
      <c r="AY364">
        <v>-1.2048563495588844</v>
      </c>
      <c r="AZ364">
        <v>2.3956651728296325</v>
      </c>
      <c r="BA364">
        <v>1.6692556115541315</v>
      </c>
      <c r="BB364" t="s">
        <v>4619</v>
      </c>
      <c r="BD364" s="98"/>
      <c r="BE364" s="98"/>
      <c r="BF364" t="s">
        <v>1152</v>
      </c>
      <c r="BG364" t="s">
        <v>322</v>
      </c>
      <c r="BH364" t="s">
        <v>1153</v>
      </c>
      <c r="BI364">
        <v>1.2048563495588844</v>
      </c>
      <c r="BJ364" t="s">
        <v>991</v>
      </c>
      <c r="BK364">
        <v>1.3896819476444833E-2</v>
      </c>
      <c r="BL364">
        <v>0.57673633302726723</v>
      </c>
      <c r="BM364" t="s">
        <v>1765</v>
      </c>
      <c r="BN364" t="s">
        <v>1154</v>
      </c>
      <c r="BO364">
        <v>2025</v>
      </c>
      <c r="BP364" t="s">
        <v>966</v>
      </c>
      <c r="BQ364">
        <v>629753.08985003456</v>
      </c>
      <c r="BR364">
        <v>37.024691014996542</v>
      </c>
      <c r="BS364" t="s">
        <v>992</v>
      </c>
      <c r="BV364" t="s">
        <v>1034</v>
      </c>
      <c r="BW364" t="s">
        <v>943</v>
      </c>
      <c r="BX364" t="s">
        <v>994</v>
      </c>
      <c r="BY364">
        <v>1.1688005296958408</v>
      </c>
      <c r="BZ364" t="s">
        <v>1155</v>
      </c>
      <c r="CA364" t="s">
        <v>991</v>
      </c>
      <c r="CB364" t="b">
        <v>1</v>
      </c>
      <c r="CC364" t="b">
        <v>1</v>
      </c>
      <c r="CD364" t="b">
        <v>1</v>
      </c>
      <c r="CE364" t="b">
        <v>1</v>
      </c>
      <c r="CF364" t="b">
        <v>1</v>
      </c>
    </row>
    <row r="365" spans="1:84" x14ac:dyDescent="0.3">
      <c r="A365" t="s">
        <v>1941</v>
      </c>
      <c r="B365" t="s">
        <v>1207</v>
      </c>
      <c r="C365" s="98">
        <v>45754</v>
      </c>
      <c r="D365">
        <v>2025</v>
      </c>
      <c r="E365">
        <v>4</v>
      </c>
      <c r="F365">
        <v>2</v>
      </c>
      <c r="G365" t="s">
        <v>1208</v>
      </c>
      <c r="H365" t="s">
        <v>129</v>
      </c>
      <c r="I365" t="s">
        <v>129</v>
      </c>
      <c r="J365" t="s">
        <v>6</v>
      </c>
      <c r="L365">
        <v>522611</v>
      </c>
      <c r="M365" s="99" t="s">
        <v>180</v>
      </c>
      <c r="N365">
        <v>3</v>
      </c>
      <c r="O365">
        <v>14</v>
      </c>
      <c r="P365">
        <v>87.705200000000005</v>
      </c>
      <c r="Q365" t="s">
        <v>352</v>
      </c>
      <c r="R365">
        <v>1</v>
      </c>
      <c r="S365">
        <v>87.665499999999994</v>
      </c>
      <c r="T365">
        <v>0.71030000000000004</v>
      </c>
      <c r="U365">
        <v>5.5891876671843588E-2</v>
      </c>
      <c r="V365">
        <v>85.534599999999998</v>
      </c>
      <c r="W365">
        <v>86.244900000000001</v>
      </c>
      <c r="X365">
        <v>86.955199999999991</v>
      </c>
      <c r="Y365">
        <v>88.375799999999998</v>
      </c>
      <c r="Z365">
        <v>89.086099999999988</v>
      </c>
      <c r="AA365">
        <v>89.796399999999991</v>
      </c>
      <c r="AD365">
        <v>2.4095619923060774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 t="s">
        <v>462</v>
      </c>
      <c r="AL365" t="s">
        <v>6</v>
      </c>
      <c r="AM365" t="s">
        <v>1145</v>
      </c>
      <c r="AN365" t="s">
        <v>1146</v>
      </c>
      <c r="AO365" s="100">
        <v>46262.040405092594</v>
      </c>
      <c r="AP365" t="s">
        <v>1147</v>
      </c>
      <c r="AQ365" t="s">
        <v>1942</v>
      </c>
      <c r="AR365" t="s">
        <v>1210</v>
      </c>
      <c r="AS365" t="s">
        <v>1150</v>
      </c>
      <c r="AT365" t="s">
        <v>1816</v>
      </c>
      <c r="AU365">
        <v>25</v>
      </c>
      <c r="AV365">
        <v>87.571144000000004</v>
      </c>
      <c r="AW365">
        <v>0.63200297538856509</v>
      </c>
      <c r="AX365">
        <v>0.72170231713378674</v>
      </c>
      <c r="AY365">
        <v>-1.2048563495588844</v>
      </c>
      <c r="AZ365">
        <v>2.3956651728296325</v>
      </c>
      <c r="BA365">
        <v>1.6692556115541315</v>
      </c>
      <c r="BB365" t="s">
        <v>4619</v>
      </c>
      <c r="BD365" s="98"/>
      <c r="BE365" s="98"/>
      <c r="BF365" t="s">
        <v>1152</v>
      </c>
      <c r="BG365" t="s">
        <v>322</v>
      </c>
      <c r="BH365" t="s">
        <v>1153</v>
      </c>
      <c r="BI365">
        <v>1.2048563495588844</v>
      </c>
      <c r="BJ365" t="s">
        <v>991</v>
      </c>
      <c r="BK365">
        <v>1.3896819476444833E-2</v>
      </c>
      <c r="BL365">
        <v>0.57673633302726723</v>
      </c>
      <c r="BM365" t="s">
        <v>1765</v>
      </c>
      <c r="BN365" t="s">
        <v>1154</v>
      </c>
      <c r="BO365">
        <v>2025</v>
      </c>
      <c r="BP365" t="s">
        <v>966</v>
      </c>
      <c r="BQ365">
        <v>629753.08985003456</v>
      </c>
      <c r="BR365">
        <v>37.024691014996542</v>
      </c>
      <c r="BS365" t="s">
        <v>992</v>
      </c>
      <c r="BV365" t="s">
        <v>1034</v>
      </c>
      <c r="BW365" t="s">
        <v>943</v>
      </c>
      <c r="BX365" t="s">
        <v>994</v>
      </c>
      <c r="BY365">
        <v>1.1688005296958408</v>
      </c>
      <c r="BZ365" t="s">
        <v>1155</v>
      </c>
      <c r="CA365" t="s">
        <v>991</v>
      </c>
      <c r="CB365" t="b">
        <v>1</v>
      </c>
      <c r="CC365" t="b">
        <v>1</v>
      </c>
      <c r="CD365" t="b">
        <v>1</v>
      </c>
      <c r="CE365" t="b">
        <v>1</v>
      </c>
      <c r="CF365" t="b">
        <v>1</v>
      </c>
    </row>
    <row r="366" spans="1:84" x14ac:dyDescent="0.3">
      <c r="A366" t="s">
        <v>1943</v>
      </c>
      <c r="B366" t="s">
        <v>1212</v>
      </c>
      <c r="C366" s="98">
        <v>45761</v>
      </c>
      <c r="D366">
        <v>2025</v>
      </c>
      <c r="E366">
        <v>4</v>
      </c>
      <c r="F366">
        <v>2</v>
      </c>
      <c r="G366" t="s">
        <v>1208</v>
      </c>
      <c r="H366" t="s">
        <v>129</v>
      </c>
      <c r="I366" t="s">
        <v>129</v>
      </c>
      <c r="J366" t="s">
        <v>6</v>
      </c>
      <c r="L366">
        <v>522611</v>
      </c>
      <c r="M366" s="99" t="s">
        <v>180</v>
      </c>
      <c r="N366">
        <v>3</v>
      </c>
      <c r="O366">
        <v>15</v>
      </c>
      <c r="P366">
        <v>86.4679</v>
      </c>
      <c r="Q366" t="s">
        <v>352</v>
      </c>
      <c r="R366">
        <v>1</v>
      </c>
      <c r="S366">
        <v>87.665499999999994</v>
      </c>
      <c r="T366">
        <v>0.71030000000000004</v>
      </c>
      <c r="U366">
        <v>-1.686048148669568</v>
      </c>
      <c r="V366">
        <v>85.534599999999998</v>
      </c>
      <c r="W366">
        <v>86.244900000000001</v>
      </c>
      <c r="X366">
        <v>86.955199999999991</v>
      </c>
      <c r="Y366">
        <v>88.375799999999998</v>
      </c>
      <c r="Z366">
        <v>89.086099999999988</v>
      </c>
      <c r="AA366">
        <v>89.796399999999991</v>
      </c>
      <c r="AD366">
        <v>2.4095619923060774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 t="s">
        <v>462</v>
      </c>
      <c r="AL366" t="s">
        <v>6</v>
      </c>
      <c r="AM366" t="s">
        <v>1145</v>
      </c>
      <c r="AN366" t="s">
        <v>1146</v>
      </c>
      <c r="AO366" s="100">
        <v>46262.040405092594</v>
      </c>
      <c r="AP366" t="s">
        <v>1147</v>
      </c>
      <c r="AQ366" t="s">
        <v>1944</v>
      </c>
      <c r="AR366" t="s">
        <v>1215</v>
      </c>
      <c r="AS366" t="s">
        <v>1150</v>
      </c>
      <c r="AT366" t="s">
        <v>1816</v>
      </c>
      <c r="AU366">
        <v>25</v>
      </c>
      <c r="AV366">
        <v>87.571144000000004</v>
      </c>
      <c r="AW366">
        <v>0.63200297538856509</v>
      </c>
      <c r="AX366">
        <v>0.72170231713378674</v>
      </c>
      <c r="AY366">
        <v>-1.2048563495588844</v>
      </c>
      <c r="AZ366">
        <v>2.3956651728296325</v>
      </c>
      <c r="BA366">
        <v>1.6692556115541315</v>
      </c>
      <c r="BB366" t="s">
        <v>4619</v>
      </c>
      <c r="BD366" s="98"/>
      <c r="BE366" s="98"/>
      <c r="BF366" t="s">
        <v>1152</v>
      </c>
      <c r="BG366" t="s">
        <v>322</v>
      </c>
      <c r="BH366" t="s">
        <v>1153</v>
      </c>
      <c r="BI366">
        <v>1.2048563495588844</v>
      </c>
      <c r="BJ366" t="s">
        <v>991</v>
      </c>
      <c r="BK366">
        <v>1.3896819476444833E-2</v>
      </c>
      <c r="BL366">
        <v>0.57673633302726723</v>
      </c>
      <c r="BM366" t="s">
        <v>1765</v>
      </c>
      <c r="BN366" t="s">
        <v>1154</v>
      </c>
      <c r="BO366">
        <v>2025</v>
      </c>
      <c r="BP366" t="s">
        <v>966</v>
      </c>
      <c r="BQ366">
        <v>629753.08985003456</v>
      </c>
      <c r="BR366">
        <v>37.024691014996542</v>
      </c>
      <c r="BS366" t="s">
        <v>992</v>
      </c>
      <c r="BV366" t="s">
        <v>1034</v>
      </c>
      <c r="BW366" t="s">
        <v>943</v>
      </c>
      <c r="BX366" t="s">
        <v>994</v>
      </c>
      <c r="BY366">
        <v>1.1688005296958408</v>
      </c>
      <c r="BZ366" t="s">
        <v>1155</v>
      </c>
      <c r="CA366" t="s">
        <v>991</v>
      </c>
      <c r="CB366" t="b">
        <v>1</v>
      </c>
      <c r="CC366" t="b">
        <v>1</v>
      </c>
      <c r="CD366" t="b">
        <v>1</v>
      </c>
      <c r="CE366" t="b">
        <v>1</v>
      </c>
      <c r="CF366" t="b">
        <v>1</v>
      </c>
    </row>
    <row r="367" spans="1:84" x14ac:dyDescent="0.3">
      <c r="A367" t="s">
        <v>1945</v>
      </c>
      <c r="B367" t="s">
        <v>1217</v>
      </c>
      <c r="C367" s="98">
        <v>45768</v>
      </c>
      <c r="D367">
        <v>2025</v>
      </c>
      <c r="E367">
        <v>4</v>
      </c>
      <c r="F367">
        <v>2</v>
      </c>
      <c r="G367" t="s">
        <v>1208</v>
      </c>
      <c r="H367" t="s">
        <v>129</v>
      </c>
      <c r="I367" t="s">
        <v>129</v>
      </c>
      <c r="J367" t="s">
        <v>6</v>
      </c>
      <c r="L367">
        <v>522611</v>
      </c>
      <c r="M367" s="99" t="s">
        <v>180</v>
      </c>
      <c r="N367">
        <v>3</v>
      </c>
      <c r="O367">
        <v>16</v>
      </c>
      <c r="P367">
        <v>87.941100000000006</v>
      </c>
      <c r="Q367" t="s">
        <v>352</v>
      </c>
      <c r="R367">
        <v>1</v>
      </c>
      <c r="S367">
        <v>87.665499999999994</v>
      </c>
      <c r="T367">
        <v>0.71030000000000004</v>
      </c>
      <c r="U367">
        <v>0.38800506828102405</v>
      </c>
      <c r="V367">
        <v>85.534599999999998</v>
      </c>
      <c r="W367">
        <v>86.244900000000001</v>
      </c>
      <c r="X367">
        <v>86.955199999999991</v>
      </c>
      <c r="Y367">
        <v>88.375799999999998</v>
      </c>
      <c r="Z367">
        <v>89.086099999999988</v>
      </c>
      <c r="AA367">
        <v>89.796399999999991</v>
      </c>
      <c r="AD367">
        <v>2.4095619923060774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 t="s">
        <v>462</v>
      </c>
      <c r="AL367" t="s">
        <v>6</v>
      </c>
      <c r="AM367" t="s">
        <v>1145</v>
      </c>
      <c r="AN367" t="s">
        <v>1146</v>
      </c>
      <c r="AO367" s="100">
        <v>46262.040405092594</v>
      </c>
      <c r="AP367" t="s">
        <v>1147</v>
      </c>
      <c r="AQ367" t="s">
        <v>1946</v>
      </c>
      <c r="AR367" t="s">
        <v>1219</v>
      </c>
      <c r="AS367" t="s">
        <v>1150</v>
      </c>
      <c r="AT367" t="s">
        <v>1816</v>
      </c>
      <c r="AU367">
        <v>25</v>
      </c>
      <c r="AV367">
        <v>87.571144000000004</v>
      </c>
      <c r="AW367">
        <v>0.63200297538856509</v>
      </c>
      <c r="AX367">
        <v>0.72170231713378674</v>
      </c>
      <c r="AY367">
        <v>-1.2048563495588844</v>
      </c>
      <c r="AZ367">
        <v>2.3956651728296325</v>
      </c>
      <c r="BA367">
        <v>1.6692556115541315</v>
      </c>
      <c r="BB367" t="s">
        <v>4619</v>
      </c>
      <c r="BD367" s="98"/>
      <c r="BE367" s="98"/>
      <c r="BF367" t="s">
        <v>1152</v>
      </c>
      <c r="BG367" t="s">
        <v>322</v>
      </c>
      <c r="BH367" t="s">
        <v>1153</v>
      </c>
      <c r="BI367">
        <v>1.2048563495588844</v>
      </c>
      <c r="BJ367" t="s">
        <v>991</v>
      </c>
      <c r="BK367">
        <v>1.3896819476444833E-2</v>
      </c>
      <c r="BL367">
        <v>0.57673633302726723</v>
      </c>
      <c r="BM367" t="s">
        <v>1765</v>
      </c>
      <c r="BN367" t="s">
        <v>1154</v>
      </c>
      <c r="BO367">
        <v>2025</v>
      </c>
      <c r="BP367" t="s">
        <v>966</v>
      </c>
      <c r="BQ367">
        <v>629753.08985003456</v>
      </c>
      <c r="BR367">
        <v>37.024691014996542</v>
      </c>
      <c r="BS367" t="s">
        <v>992</v>
      </c>
      <c r="BV367" t="s">
        <v>1034</v>
      </c>
      <c r="BW367" t="s">
        <v>943</v>
      </c>
      <c r="BX367" t="s">
        <v>994</v>
      </c>
      <c r="BY367">
        <v>1.1688005296958408</v>
      </c>
      <c r="BZ367" t="s">
        <v>1155</v>
      </c>
      <c r="CA367" t="s">
        <v>991</v>
      </c>
      <c r="CB367" t="b">
        <v>1</v>
      </c>
      <c r="CC367" t="b">
        <v>1</v>
      </c>
      <c r="CD367" t="b">
        <v>1</v>
      </c>
      <c r="CE367" t="b">
        <v>1</v>
      </c>
      <c r="CF367" t="b">
        <v>1</v>
      </c>
    </row>
    <row r="368" spans="1:84" x14ac:dyDescent="0.3">
      <c r="A368" t="s">
        <v>1947</v>
      </c>
      <c r="B368" t="s">
        <v>1221</v>
      </c>
      <c r="C368" s="98">
        <v>45775</v>
      </c>
      <c r="D368">
        <v>2025</v>
      </c>
      <c r="E368">
        <v>4</v>
      </c>
      <c r="F368">
        <v>2</v>
      </c>
      <c r="G368" t="s">
        <v>1208</v>
      </c>
      <c r="H368" t="s">
        <v>129</v>
      </c>
      <c r="I368" t="s">
        <v>129</v>
      </c>
      <c r="J368" t="s">
        <v>6</v>
      </c>
      <c r="L368">
        <v>522611</v>
      </c>
      <c r="M368" s="99" t="s">
        <v>180</v>
      </c>
      <c r="N368">
        <v>3</v>
      </c>
      <c r="O368">
        <v>17</v>
      </c>
      <c r="P368">
        <v>86.282899999999998</v>
      </c>
      <c r="Q368" t="s">
        <v>352</v>
      </c>
      <c r="R368">
        <v>1</v>
      </c>
      <c r="S368">
        <v>87.665499999999994</v>
      </c>
      <c r="T368">
        <v>0.71030000000000004</v>
      </c>
      <c r="U368">
        <v>-1.9465014782486223</v>
      </c>
      <c r="V368">
        <v>85.534599999999998</v>
      </c>
      <c r="W368">
        <v>86.244900000000001</v>
      </c>
      <c r="X368">
        <v>86.955199999999991</v>
      </c>
      <c r="Y368">
        <v>88.375799999999998</v>
      </c>
      <c r="Z368">
        <v>89.086099999999988</v>
      </c>
      <c r="AA368">
        <v>89.796399999999991</v>
      </c>
      <c r="AD368">
        <v>2.4095619923060774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 t="s">
        <v>462</v>
      </c>
      <c r="AL368" t="s">
        <v>6</v>
      </c>
      <c r="AM368" t="s">
        <v>1145</v>
      </c>
      <c r="AN368" t="s">
        <v>1146</v>
      </c>
      <c r="AO368" s="100">
        <v>46262.040405092594</v>
      </c>
      <c r="AP368" t="s">
        <v>1147</v>
      </c>
      <c r="AQ368" t="s">
        <v>1948</v>
      </c>
      <c r="AR368" t="s">
        <v>1223</v>
      </c>
      <c r="AS368" t="s">
        <v>1150</v>
      </c>
      <c r="AT368" t="s">
        <v>1816</v>
      </c>
      <c r="AU368">
        <v>25</v>
      </c>
      <c r="AV368">
        <v>87.571144000000004</v>
      </c>
      <c r="AW368">
        <v>0.63200297538856509</v>
      </c>
      <c r="AX368">
        <v>0.72170231713378674</v>
      </c>
      <c r="AY368">
        <v>-1.2048563495588844</v>
      </c>
      <c r="AZ368">
        <v>2.3956651728296325</v>
      </c>
      <c r="BA368">
        <v>1.6692556115541315</v>
      </c>
      <c r="BB368" t="s">
        <v>4619</v>
      </c>
      <c r="BD368" s="98"/>
      <c r="BE368" s="98"/>
      <c r="BF368" t="s">
        <v>1152</v>
      </c>
      <c r="BG368" t="s">
        <v>322</v>
      </c>
      <c r="BH368" t="s">
        <v>1153</v>
      </c>
      <c r="BI368">
        <v>1.2048563495588844</v>
      </c>
      <c r="BJ368" t="s">
        <v>991</v>
      </c>
      <c r="BK368">
        <v>1.3896819476444833E-2</v>
      </c>
      <c r="BL368">
        <v>0.57673633302726723</v>
      </c>
      <c r="BM368" t="s">
        <v>1765</v>
      </c>
      <c r="BN368" t="s">
        <v>1154</v>
      </c>
      <c r="BO368">
        <v>2025</v>
      </c>
      <c r="BP368" t="s">
        <v>966</v>
      </c>
      <c r="BQ368">
        <v>629753.08985003456</v>
      </c>
      <c r="BR368">
        <v>37.024691014996542</v>
      </c>
      <c r="BS368" t="s">
        <v>992</v>
      </c>
      <c r="BV368" t="s">
        <v>1034</v>
      </c>
      <c r="BW368" t="s">
        <v>943</v>
      </c>
      <c r="BX368" t="s">
        <v>994</v>
      </c>
      <c r="BY368">
        <v>1.1688005296958408</v>
      </c>
      <c r="BZ368" t="s">
        <v>1155</v>
      </c>
      <c r="CA368" t="s">
        <v>991</v>
      </c>
      <c r="CB368" t="b">
        <v>1</v>
      </c>
      <c r="CC368" t="b">
        <v>1</v>
      </c>
      <c r="CD368" t="b">
        <v>1</v>
      </c>
      <c r="CE368" t="b">
        <v>1</v>
      </c>
      <c r="CF368" t="b">
        <v>1</v>
      </c>
    </row>
    <row r="369" spans="1:84" x14ac:dyDescent="0.3">
      <c r="A369" t="s">
        <v>1949</v>
      </c>
      <c r="B369" t="s">
        <v>1225</v>
      </c>
      <c r="C369" s="98">
        <v>45782</v>
      </c>
      <c r="D369">
        <v>2025</v>
      </c>
      <c r="E369">
        <v>5</v>
      </c>
      <c r="F369">
        <v>2</v>
      </c>
      <c r="G369" t="s">
        <v>1226</v>
      </c>
      <c r="H369" t="s">
        <v>129</v>
      </c>
      <c r="I369" t="s">
        <v>129</v>
      </c>
      <c r="J369" t="s">
        <v>6</v>
      </c>
      <c r="L369">
        <v>522611</v>
      </c>
      <c r="M369" s="99" t="s">
        <v>180</v>
      </c>
      <c r="N369">
        <v>3</v>
      </c>
      <c r="O369">
        <v>18</v>
      </c>
      <c r="P369">
        <v>86.664699999999996</v>
      </c>
      <c r="Q369" t="s">
        <v>352</v>
      </c>
      <c r="R369">
        <v>1</v>
      </c>
      <c r="S369">
        <v>87.665499999999994</v>
      </c>
      <c r="T369">
        <v>0.71030000000000004</v>
      </c>
      <c r="U369">
        <v>-1.4089821202308856</v>
      </c>
      <c r="V369">
        <v>85.534599999999998</v>
      </c>
      <c r="W369">
        <v>86.244900000000001</v>
      </c>
      <c r="X369">
        <v>86.955199999999991</v>
      </c>
      <c r="Y369">
        <v>88.375799999999998</v>
      </c>
      <c r="Z369">
        <v>89.086099999999988</v>
      </c>
      <c r="AA369">
        <v>89.796399999999991</v>
      </c>
      <c r="AD369">
        <v>2.4095619923060774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 t="s">
        <v>462</v>
      </c>
      <c r="AL369" t="s">
        <v>6</v>
      </c>
      <c r="AM369" t="s">
        <v>1145</v>
      </c>
      <c r="AN369" t="s">
        <v>1146</v>
      </c>
      <c r="AO369" s="100">
        <v>46262.040405092594</v>
      </c>
      <c r="AP369" t="s">
        <v>1147</v>
      </c>
      <c r="AQ369" t="s">
        <v>1950</v>
      </c>
      <c r="AR369" t="s">
        <v>1228</v>
      </c>
      <c r="AS369" t="s">
        <v>1150</v>
      </c>
      <c r="AT369" t="s">
        <v>1816</v>
      </c>
      <c r="AU369">
        <v>25</v>
      </c>
      <c r="AV369">
        <v>87.571144000000004</v>
      </c>
      <c r="AW369">
        <v>0.63200297538856509</v>
      </c>
      <c r="AX369">
        <v>0.72170231713378674</v>
      </c>
      <c r="AY369">
        <v>-1.2048563495588844</v>
      </c>
      <c r="AZ369">
        <v>2.3956651728296325</v>
      </c>
      <c r="BA369">
        <v>1.6692556115541315</v>
      </c>
      <c r="BB369" t="s">
        <v>4619</v>
      </c>
      <c r="BD369" s="98"/>
      <c r="BE369" s="98"/>
      <c r="BF369" t="s">
        <v>1152</v>
      </c>
      <c r="BG369" t="s">
        <v>322</v>
      </c>
      <c r="BH369" t="s">
        <v>1153</v>
      </c>
      <c r="BI369">
        <v>1.2048563495588844</v>
      </c>
      <c r="BJ369" t="s">
        <v>991</v>
      </c>
      <c r="BK369">
        <v>1.3896819476444833E-2</v>
      </c>
      <c r="BL369">
        <v>0.57673633302726723</v>
      </c>
      <c r="BM369" t="s">
        <v>1765</v>
      </c>
      <c r="BN369" t="s">
        <v>1154</v>
      </c>
      <c r="BO369">
        <v>2025</v>
      </c>
      <c r="BP369" t="s">
        <v>966</v>
      </c>
      <c r="BQ369">
        <v>629753.08985003456</v>
      </c>
      <c r="BR369">
        <v>37.024691014996542</v>
      </c>
      <c r="BS369" t="s">
        <v>992</v>
      </c>
      <c r="BV369" t="s">
        <v>1034</v>
      </c>
      <c r="BW369" t="s">
        <v>943</v>
      </c>
      <c r="BX369" t="s">
        <v>994</v>
      </c>
      <c r="BY369">
        <v>1.1688005296958408</v>
      </c>
      <c r="BZ369" t="s">
        <v>1155</v>
      </c>
      <c r="CA369" t="s">
        <v>991</v>
      </c>
      <c r="CB369" t="b">
        <v>1</v>
      </c>
      <c r="CC369" t="b">
        <v>1</v>
      </c>
      <c r="CD369" t="b">
        <v>1</v>
      </c>
      <c r="CE369" t="b">
        <v>1</v>
      </c>
      <c r="CF369" t="b">
        <v>1</v>
      </c>
    </row>
    <row r="370" spans="1:84" x14ac:dyDescent="0.3">
      <c r="A370" t="s">
        <v>1951</v>
      </c>
      <c r="B370" t="s">
        <v>1230</v>
      </c>
      <c r="C370" s="98">
        <v>45789</v>
      </c>
      <c r="D370">
        <v>2025</v>
      </c>
      <c r="E370">
        <v>5</v>
      </c>
      <c r="F370">
        <v>2</v>
      </c>
      <c r="G370" t="s">
        <v>1226</v>
      </c>
      <c r="H370" t="s">
        <v>129</v>
      </c>
      <c r="I370" t="s">
        <v>129</v>
      </c>
      <c r="J370" t="s">
        <v>6</v>
      </c>
      <c r="L370">
        <v>522611</v>
      </c>
      <c r="M370" s="99" t="s">
        <v>180</v>
      </c>
      <c r="N370">
        <v>3</v>
      </c>
      <c r="O370">
        <v>19</v>
      </c>
      <c r="P370">
        <v>88.272499999999994</v>
      </c>
      <c r="Q370" t="s">
        <v>352</v>
      </c>
      <c r="R370">
        <v>1</v>
      </c>
      <c r="S370">
        <v>87.665499999999994</v>
      </c>
      <c r="T370">
        <v>0.71030000000000004</v>
      </c>
      <c r="U370">
        <v>0.85456849218639908</v>
      </c>
      <c r="V370">
        <v>85.534599999999998</v>
      </c>
      <c r="W370">
        <v>86.244900000000001</v>
      </c>
      <c r="X370">
        <v>86.955199999999991</v>
      </c>
      <c r="Y370">
        <v>88.375799999999998</v>
      </c>
      <c r="Z370">
        <v>89.086099999999988</v>
      </c>
      <c r="AA370">
        <v>89.796399999999991</v>
      </c>
      <c r="AD370">
        <v>2.4095619923060774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 t="s">
        <v>462</v>
      </c>
      <c r="AL370" t="s">
        <v>6</v>
      </c>
      <c r="AM370" t="s">
        <v>1145</v>
      </c>
      <c r="AN370" t="s">
        <v>1146</v>
      </c>
      <c r="AO370" s="100">
        <v>46262.040405092594</v>
      </c>
      <c r="AP370" t="s">
        <v>1147</v>
      </c>
      <c r="AQ370" t="s">
        <v>1952</v>
      </c>
      <c r="AR370" t="s">
        <v>1232</v>
      </c>
      <c r="AS370" t="s">
        <v>1150</v>
      </c>
      <c r="AT370" t="s">
        <v>1816</v>
      </c>
      <c r="AU370">
        <v>25</v>
      </c>
      <c r="AV370">
        <v>87.571144000000004</v>
      </c>
      <c r="AW370">
        <v>0.63200297538856509</v>
      </c>
      <c r="AX370">
        <v>0.72170231713378674</v>
      </c>
      <c r="AY370">
        <v>-1.2048563495588844</v>
      </c>
      <c r="AZ370">
        <v>2.3956651728296325</v>
      </c>
      <c r="BA370">
        <v>1.6692556115541315</v>
      </c>
      <c r="BB370" t="s">
        <v>4619</v>
      </c>
      <c r="BD370" s="98"/>
      <c r="BE370" s="98"/>
      <c r="BF370" t="s">
        <v>1152</v>
      </c>
      <c r="BG370" t="s">
        <v>322</v>
      </c>
      <c r="BH370" t="s">
        <v>1153</v>
      </c>
      <c r="BI370">
        <v>1.2048563495588844</v>
      </c>
      <c r="BJ370" t="s">
        <v>991</v>
      </c>
      <c r="BK370">
        <v>1.3896819476444833E-2</v>
      </c>
      <c r="BL370">
        <v>0.57673633302726723</v>
      </c>
      <c r="BM370" t="s">
        <v>1765</v>
      </c>
      <c r="BN370" t="s">
        <v>1154</v>
      </c>
      <c r="BO370">
        <v>2025</v>
      </c>
      <c r="BP370" t="s">
        <v>966</v>
      </c>
      <c r="BQ370">
        <v>629753.08985003456</v>
      </c>
      <c r="BR370">
        <v>37.024691014996542</v>
      </c>
      <c r="BS370" t="s">
        <v>992</v>
      </c>
      <c r="BV370" t="s">
        <v>1034</v>
      </c>
      <c r="BW370" t="s">
        <v>943</v>
      </c>
      <c r="BX370" t="s">
        <v>994</v>
      </c>
      <c r="BY370">
        <v>1.1688005296958408</v>
      </c>
      <c r="BZ370" t="s">
        <v>1155</v>
      </c>
      <c r="CA370" t="s">
        <v>991</v>
      </c>
      <c r="CB370" t="b">
        <v>1</v>
      </c>
      <c r="CC370" t="b">
        <v>1</v>
      </c>
      <c r="CD370" t="b">
        <v>1</v>
      </c>
      <c r="CE370" t="b">
        <v>1</v>
      </c>
      <c r="CF370" t="b">
        <v>1</v>
      </c>
    </row>
    <row r="371" spans="1:84" x14ac:dyDescent="0.3">
      <c r="A371" t="s">
        <v>1953</v>
      </c>
      <c r="B371" t="s">
        <v>1234</v>
      </c>
      <c r="C371" s="98">
        <v>45796</v>
      </c>
      <c r="D371">
        <v>2025</v>
      </c>
      <c r="E371">
        <v>5</v>
      </c>
      <c r="F371">
        <v>2</v>
      </c>
      <c r="G371" t="s">
        <v>1226</v>
      </c>
      <c r="H371" t="s">
        <v>129</v>
      </c>
      <c r="I371" t="s">
        <v>129</v>
      </c>
      <c r="J371" t="s">
        <v>6</v>
      </c>
      <c r="L371">
        <v>522611</v>
      </c>
      <c r="M371" s="99" t="s">
        <v>180</v>
      </c>
      <c r="N371">
        <v>3</v>
      </c>
      <c r="O371">
        <v>20</v>
      </c>
      <c r="P371">
        <v>88.167100000000005</v>
      </c>
      <c r="Q371" t="s">
        <v>352</v>
      </c>
      <c r="R371">
        <v>1</v>
      </c>
      <c r="S371">
        <v>87.665499999999994</v>
      </c>
      <c r="T371">
        <v>0.71030000000000004</v>
      </c>
      <c r="U371">
        <v>0.70618048711813386</v>
      </c>
      <c r="V371">
        <v>85.534599999999998</v>
      </c>
      <c r="W371">
        <v>86.244900000000001</v>
      </c>
      <c r="X371">
        <v>86.955199999999991</v>
      </c>
      <c r="Y371">
        <v>88.375799999999998</v>
      </c>
      <c r="Z371">
        <v>89.086099999999988</v>
      </c>
      <c r="AA371">
        <v>89.796399999999991</v>
      </c>
      <c r="AD371">
        <v>2.4095619923060774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 t="s">
        <v>462</v>
      </c>
      <c r="AL371" t="s">
        <v>6</v>
      </c>
      <c r="AM371" t="s">
        <v>1145</v>
      </c>
      <c r="AN371" t="s">
        <v>1146</v>
      </c>
      <c r="AO371" s="100">
        <v>46262.040405092594</v>
      </c>
      <c r="AP371" t="s">
        <v>1147</v>
      </c>
      <c r="AQ371" t="s">
        <v>1954</v>
      </c>
      <c r="AR371" t="s">
        <v>1236</v>
      </c>
      <c r="AS371" t="s">
        <v>1150</v>
      </c>
      <c r="AT371" t="s">
        <v>1816</v>
      </c>
      <c r="AU371">
        <v>25</v>
      </c>
      <c r="AV371">
        <v>87.571144000000004</v>
      </c>
      <c r="AW371">
        <v>0.63200297538856509</v>
      </c>
      <c r="AX371">
        <v>0.72170231713378674</v>
      </c>
      <c r="AY371">
        <v>-1.2048563495588844</v>
      </c>
      <c r="AZ371">
        <v>2.3956651728296325</v>
      </c>
      <c r="BA371">
        <v>1.6692556115541315</v>
      </c>
      <c r="BB371" t="s">
        <v>4619</v>
      </c>
      <c r="BD371" s="98"/>
      <c r="BE371" s="98"/>
      <c r="BF371" t="s">
        <v>1152</v>
      </c>
      <c r="BG371" t="s">
        <v>322</v>
      </c>
      <c r="BH371" t="s">
        <v>1153</v>
      </c>
      <c r="BI371">
        <v>1.2048563495588844</v>
      </c>
      <c r="BJ371" t="s">
        <v>991</v>
      </c>
      <c r="BK371">
        <v>1.3896819476444833E-2</v>
      </c>
      <c r="BL371">
        <v>0.57673633302726723</v>
      </c>
      <c r="BM371" t="s">
        <v>1765</v>
      </c>
      <c r="BN371" t="s">
        <v>1154</v>
      </c>
      <c r="BO371">
        <v>2025</v>
      </c>
      <c r="BP371" t="s">
        <v>966</v>
      </c>
      <c r="BQ371">
        <v>629753.08985003456</v>
      </c>
      <c r="BR371">
        <v>37.024691014996542</v>
      </c>
      <c r="BS371" t="s">
        <v>992</v>
      </c>
      <c r="BV371" t="s">
        <v>1034</v>
      </c>
      <c r="BW371" t="s">
        <v>943</v>
      </c>
      <c r="BX371" t="s">
        <v>994</v>
      </c>
      <c r="BY371">
        <v>1.1688005296958408</v>
      </c>
      <c r="BZ371" t="s">
        <v>1155</v>
      </c>
      <c r="CA371" t="s">
        <v>991</v>
      </c>
      <c r="CB371" t="b">
        <v>1</v>
      </c>
      <c r="CC371" t="b">
        <v>1</v>
      </c>
      <c r="CD371" t="b">
        <v>1</v>
      </c>
      <c r="CE371" t="b">
        <v>1</v>
      </c>
      <c r="CF371" t="b">
        <v>1</v>
      </c>
    </row>
    <row r="372" spans="1:84" x14ac:dyDescent="0.3">
      <c r="A372" t="s">
        <v>1955</v>
      </c>
      <c r="B372" t="s">
        <v>1238</v>
      </c>
      <c r="C372" s="98">
        <v>45803</v>
      </c>
      <c r="D372">
        <v>2025</v>
      </c>
      <c r="E372">
        <v>5</v>
      </c>
      <c r="F372">
        <v>2</v>
      </c>
      <c r="G372" t="s">
        <v>1226</v>
      </c>
      <c r="H372" t="s">
        <v>129</v>
      </c>
      <c r="I372" t="s">
        <v>129</v>
      </c>
      <c r="J372" t="s">
        <v>6</v>
      </c>
      <c r="L372">
        <v>522611</v>
      </c>
      <c r="M372" s="99" t="s">
        <v>180</v>
      </c>
      <c r="N372">
        <v>3</v>
      </c>
      <c r="O372">
        <v>21</v>
      </c>
      <c r="P372">
        <v>87.558999999999997</v>
      </c>
      <c r="Q372" t="s">
        <v>352</v>
      </c>
      <c r="R372">
        <v>1</v>
      </c>
      <c r="S372">
        <v>87.665499999999994</v>
      </c>
      <c r="T372">
        <v>0.71030000000000004</v>
      </c>
      <c r="U372">
        <v>-0.14993664648739535</v>
      </c>
      <c r="V372">
        <v>85.534599999999998</v>
      </c>
      <c r="W372">
        <v>86.244900000000001</v>
      </c>
      <c r="X372">
        <v>86.955199999999991</v>
      </c>
      <c r="Y372">
        <v>88.375799999999998</v>
      </c>
      <c r="Z372">
        <v>89.086099999999988</v>
      </c>
      <c r="AA372">
        <v>89.796399999999991</v>
      </c>
      <c r="AD372">
        <v>2.4095619923060774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 t="s">
        <v>462</v>
      </c>
      <c r="AL372" t="s">
        <v>6</v>
      </c>
      <c r="AM372" t="s">
        <v>1145</v>
      </c>
      <c r="AN372" t="s">
        <v>1146</v>
      </c>
      <c r="AO372" s="100">
        <v>46262.040405092594</v>
      </c>
      <c r="AP372" t="s">
        <v>1147</v>
      </c>
      <c r="AQ372" t="s">
        <v>1956</v>
      </c>
      <c r="AR372" t="s">
        <v>1240</v>
      </c>
      <c r="AS372" t="s">
        <v>1150</v>
      </c>
      <c r="AT372" t="s">
        <v>1816</v>
      </c>
      <c r="AU372">
        <v>25</v>
      </c>
      <c r="AV372">
        <v>87.571144000000004</v>
      </c>
      <c r="AW372">
        <v>0.63200297538856509</v>
      </c>
      <c r="AX372">
        <v>0.72170231713378674</v>
      </c>
      <c r="AY372">
        <v>-1.2048563495588844</v>
      </c>
      <c r="AZ372">
        <v>2.3956651728296325</v>
      </c>
      <c r="BA372">
        <v>1.6692556115541315</v>
      </c>
      <c r="BB372" t="s">
        <v>4619</v>
      </c>
      <c r="BD372" s="98"/>
      <c r="BE372" s="98"/>
      <c r="BF372" t="s">
        <v>1152</v>
      </c>
      <c r="BG372" t="s">
        <v>322</v>
      </c>
      <c r="BH372" t="s">
        <v>1153</v>
      </c>
      <c r="BI372">
        <v>1.2048563495588844</v>
      </c>
      <c r="BJ372" t="s">
        <v>991</v>
      </c>
      <c r="BK372">
        <v>1.3896819476444833E-2</v>
      </c>
      <c r="BL372">
        <v>0.57673633302726723</v>
      </c>
      <c r="BM372" t="s">
        <v>1765</v>
      </c>
      <c r="BN372" t="s">
        <v>1154</v>
      </c>
      <c r="BO372">
        <v>2025</v>
      </c>
      <c r="BP372" t="s">
        <v>966</v>
      </c>
      <c r="BQ372">
        <v>629753.08985003456</v>
      </c>
      <c r="BR372">
        <v>37.024691014996542</v>
      </c>
      <c r="BS372" t="s">
        <v>992</v>
      </c>
      <c r="BV372" t="s">
        <v>1034</v>
      </c>
      <c r="BW372" t="s">
        <v>943</v>
      </c>
      <c r="BX372" t="s">
        <v>994</v>
      </c>
      <c r="BY372">
        <v>1.1688005296958408</v>
      </c>
      <c r="BZ372" t="s">
        <v>1155</v>
      </c>
      <c r="CA372" t="s">
        <v>991</v>
      </c>
      <c r="CB372" t="b">
        <v>1</v>
      </c>
      <c r="CC372" t="b">
        <v>1</v>
      </c>
      <c r="CD372" t="b">
        <v>1</v>
      </c>
      <c r="CE372" t="b">
        <v>1</v>
      </c>
      <c r="CF372" t="b">
        <v>1</v>
      </c>
    </row>
    <row r="373" spans="1:84" x14ac:dyDescent="0.3">
      <c r="A373" t="s">
        <v>1957</v>
      </c>
      <c r="B373" t="s">
        <v>1242</v>
      </c>
      <c r="C373" s="98">
        <v>45810</v>
      </c>
      <c r="D373">
        <v>2025</v>
      </c>
      <c r="E373">
        <v>6</v>
      </c>
      <c r="F373">
        <v>2</v>
      </c>
      <c r="G373" t="s">
        <v>1243</v>
      </c>
      <c r="H373" t="s">
        <v>129</v>
      </c>
      <c r="I373" t="s">
        <v>129</v>
      </c>
      <c r="J373" t="s">
        <v>6</v>
      </c>
      <c r="L373">
        <v>522611</v>
      </c>
      <c r="M373" s="99" t="s">
        <v>180</v>
      </c>
      <c r="N373">
        <v>3</v>
      </c>
      <c r="O373">
        <v>22</v>
      </c>
      <c r="P373">
        <v>86.450900000000004</v>
      </c>
      <c r="Q373" t="s">
        <v>352</v>
      </c>
      <c r="R373">
        <v>1</v>
      </c>
      <c r="S373">
        <v>87.665499999999994</v>
      </c>
      <c r="T373">
        <v>0.71030000000000004</v>
      </c>
      <c r="U373">
        <v>-1.7099816978741238</v>
      </c>
      <c r="V373">
        <v>85.534599999999998</v>
      </c>
      <c r="W373">
        <v>86.244900000000001</v>
      </c>
      <c r="X373">
        <v>86.955199999999991</v>
      </c>
      <c r="Y373">
        <v>88.375799999999998</v>
      </c>
      <c r="Z373">
        <v>89.086099999999988</v>
      </c>
      <c r="AA373">
        <v>89.796399999999991</v>
      </c>
      <c r="AD373">
        <v>2.4095619923060774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 t="s">
        <v>462</v>
      </c>
      <c r="AL373" t="s">
        <v>6</v>
      </c>
      <c r="AM373" t="s">
        <v>1145</v>
      </c>
      <c r="AN373" t="s">
        <v>1146</v>
      </c>
      <c r="AO373" s="100">
        <v>46262.040405092594</v>
      </c>
      <c r="AP373" t="s">
        <v>1147</v>
      </c>
      <c r="AQ373" t="s">
        <v>1958</v>
      </c>
      <c r="AR373" t="s">
        <v>1245</v>
      </c>
      <c r="AS373" t="s">
        <v>1150</v>
      </c>
      <c r="AT373" t="s">
        <v>1816</v>
      </c>
      <c r="AU373">
        <v>25</v>
      </c>
      <c r="AV373">
        <v>87.571144000000004</v>
      </c>
      <c r="AW373">
        <v>0.63200297538856509</v>
      </c>
      <c r="AX373">
        <v>0.72170231713378674</v>
      </c>
      <c r="AY373">
        <v>-1.2048563495588844</v>
      </c>
      <c r="AZ373">
        <v>2.3956651728296325</v>
      </c>
      <c r="BA373">
        <v>1.6692556115541315</v>
      </c>
      <c r="BB373" t="s">
        <v>4619</v>
      </c>
      <c r="BD373" s="98"/>
      <c r="BE373" s="98"/>
      <c r="BF373" t="s">
        <v>1152</v>
      </c>
      <c r="BG373" t="s">
        <v>322</v>
      </c>
      <c r="BH373" t="s">
        <v>1153</v>
      </c>
      <c r="BI373">
        <v>1.2048563495588844</v>
      </c>
      <c r="BJ373" t="s">
        <v>991</v>
      </c>
      <c r="BK373">
        <v>1.3896819476444833E-2</v>
      </c>
      <c r="BL373">
        <v>0.57673633302726723</v>
      </c>
      <c r="BM373" t="s">
        <v>1765</v>
      </c>
      <c r="BN373" t="s">
        <v>1154</v>
      </c>
      <c r="BO373">
        <v>2025</v>
      </c>
      <c r="BP373" t="s">
        <v>966</v>
      </c>
      <c r="BQ373">
        <v>629753.08985003456</v>
      </c>
      <c r="BR373">
        <v>37.024691014996542</v>
      </c>
      <c r="BS373" t="s">
        <v>992</v>
      </c>
      <c r="BV373" t="s">
        <v>1034</v>
      </c>
      <c r="BW373" t="s">
        <v>943</v>
      </c>
      <c r="BX373" t="s">
        <v>994</v>
      </c>
      <c r="BY373">
        <v>1.1688005296958408</v>
      </c>
      <c r="BZ373" t="s">
        <v>1155</v>
      </c>
      <c r="CA373" t="s">
        <v>991</v>
      </c>
      <c r="CB373" t="b">
        <v>1</v>
      </c>
      <c r="CC373" t="b">
        <v>1</v>
      </c>
      <c r="CD373" t="b">
        <v>1</v>
      </c>
      <c r="CE373" t="b">
        <v>1</v>
      </c>
      <c r="CF373" t="b">
        <v>1</v>
      </c>
    </row>
    <row r="374" spans="1:84" x14ac:dyDescent="0.3">
      <c r="A374" t="s">
        <v>1959</v>
      </c>
      <c r="B374" t="s">
        <v>1247</v>
      </c>
      <c r="C374" s="98">
        <v>45817</v>
      </c>
      <c r="D374">
        <v>2025</v>
      </c>
      <c r="E374">
        <v>6</v>
      </c>
      <c r="F374">
        <v>2</v>
      </c>
      <c r="G374" t="s">
        <v>1243</v>
      </c>
      <c r="H374" t="s">
        <v>129</v>
      </c>
      <c r="I374" t="s">
        <v>129</v>
      </c>
      <c r="J374" t="s">
        <v>6</v>
      </c>
      <c r="L374">
        <v>522611</v>
      </c>
      <c r="M374" s="99" t="s">
        <v>180</v>
      </c>
      <c r="N374">
        <v>3</v>
      </c>
      <c r="O374">
        <v>23</v>
      </c>
      <c r="P374">
        <v>87.401799999999994</v>
      </c>
      <c r="Q374" t="s">
        <v>352</v>
      </c>
      <c r="R374">
        <v>1</v>
      </c>
      <c r="S374">
        <v>87.665499999999994</v>
      </c>
      <c r="T374">
        <v>0.71030000000000004</v>
      </c>
      <c r="U374">
        <v>-0.37125158383781504</v>
      </c>
      <c r="V374">
        <v>85.534599999999998</v>
      </c>
      <c r="W374">
        <v>86.244900000000001</v>
      </c>
      <c r="X374">
        <v>86.955199999999991</v>
      </c>
      <c r="Y374">
        <v>88.375799999999998</v>
      </c>
      <c r="Z374">
        <v>89.086099999999988</v>
      </c>
      <c r="AA374">
        <v>89.796399999999991</v>
      </c>
      <c r="AD374">
        <v>2.4095619923060774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 t="s">
        <v>462</v>
      </c>
      <c r="AL374" t="s">
        <v>6</v>
      </c>
      <c r="AM374" t="s">
        <v>1145</v>
      </c>
      <c r="AN374" t="s">
        <v>1146</v>
      </c>
      <c r="AO374" s="100">
        <v>46262.040405092594</v>
      </c>
      <c r="AP374" t="s">
        <v>1147</v>
      </c>
      <c r="AQ374" t="s">
        <v>1960</v>
      </c>
      <c r="AR374" t="s">
        <v>1249</v>
      </c>
      <c r="AS374" t="s">
        <v>1150</v>
      </c>
      <c r="AT374" t="s">
        <v>1816</v>
      </c>
      <c r="AU374">
        <v>25</v>
      </c>
      <c r="AV374">
        <v>87.571144000000004</v>
      </c>
      <c r="AW374">
        <v>0.63200297538856509</v>
      </c>
      <c r="AX374">
        <v>0.72170231713378674</v>
      </c>
      <c r="AY374">
        <v>-1.2048563495588844</v>
      </c>
      <c r="AZ374">
        <v>2.3956651728296325</v>
      </c>
      <c r="BA374">
        <v>1.6692556115541315</v>
      </c>
      <c r="BB374" t="s">
        <v>4619</v>
      </c>
      <c r="BD374" s="98"/>
      <c r="BE374" s="98"/>
      <c r="BF374" t="s">
        <v>1152</v>
      </c>
      <c r="BG374" t="s">
        <v>322</v>
      </c>
      <c r="BH374" t="s">
        <v>1153</v>
      </c>
      <c r="BI374">
        <v>1.2048563495588844</v>
      </c>
      <c r="BJ374" t="s">
        <v>991</v>
      </c>
      <c r="BK374">
        <v>1.3896819476444833E-2</v>
      </c>
      <c r="BL374">
        <v>0.57673633302726723</v>
      </c>
      <c r="BM374" t="s">
        <v>1765</v>
      </c>
      <c r="BN374" t="s">
        <v>1154</v>
      </c>
      <c r="BO374">
        <v>2025</v>
      </c>
      <c r="BP374" t="s">
        <v>966</v>
      </c>
      <c r="BQ374">
        <v>629753.08985003456</v>
      </c>
      <c r="BR374">
        <v>37.024691014996542</v>
      </c>
      <c r="BS374" t="s">
        <v>992</v>
      </c>
      <c r="BV374" t="s">
        <v>1034</v>
      </c>
      <c r="BW374" t="s">
        <v>943</v>
      </c>
      <c r="BX374" t="s">
        <v>994</v>
      </c>
      <c r="BY374">
        <v>1.1688005296958408</v>
      </c>
      <c r="BZ374" t="s">
        <v>1155</v>
      </c>
      <c r="CA374" t="s">
        <v>991</v>
      </c>
      <c r="CB374" t="b">
        <v>1</v>
      </c>
      <c r="CC374" t="b">
        <v>1</v>
      </c>
      <c r="CD374" t="b">
        <v>1</v>
      </c>
      <c r="CE374" t="b">
        <v>1</v>
      </c>
      <c r="CF374" t="b">
        <v>1</v>
      </c>
    </row>
    <row r="375" spans="1:84" x14ac:dyDescent="0.3">
      <c r="A375" t="s">
        <v>1961</v>
      </c>
      <c r="B375" t="s">
        <v>1251</v>
      </c>
      <c r="C375" s="98">
        <v>45824</v>
      </c>
      <c r="D375">
        <v>2025</v>
      </c>
      <c r="E375">
        <v>6</v>
      </c>
      <c r="F375">
        <v>2</v>
      </c>
      <c r="G375" t="s">
        <v>1243</v>
      </c>
      <c r="H375" t="s">
        <v>129</v>
      </c>
      <c r="I375" t="s">
        <v>129</v>
      </c>
      <c r="J375" t="s">
        <v>6</v>
      </c>
      <c r="L375">
        <v>522611</v>
      </c>
      <c r="M375" s="99" t="s">
        <v>180</v>
      </c>
      <c r="N375">
        <v>3</v>
      </c>
      <c r="O375">
        <v>24</v>
      </c>
      <c r="P375">
        <v>87.183400000000006</v>
      </c>
      <c r="Q375" t="s">
        <v>352</v>
      </c>
      <c r="R375">
        <v>1</v>
      </c>
      <c r="S375">
        <v>87.665499999999994</v>
      </c>
      <c r="T375">
        <v>0.71030000000000004</v>
      </c>
      <c r="U375">
        <v>-0.67872729832463519</v>
      </c>
      <c r="V375">
        <v>85.534599999999998</v>
      </c>
      <c r="W375">
        <v>86.244900000000001</v>
      </c>
      <c r="X375">
        <v>86.955199999999991</v>
      </c>
      <c r="Y375">
        <v>88.375799999999998</v>
      </c>
      <c r="Z375">
        <v>89.086099999999988</v>
      </c>
      <c r="AA375">
        <v>89.796399999999991</v>
      </c>
      <c r="AD375">
        <v>2.4095619923060774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 t="s">
        <v>462</v>
      </c>
      <c r="AL375" t="s">
        <v>6</v>
      </c>
      <c r="AM375" t="s">
        <v>1145</v>
      </c>
      <c r="AN375" t="s">
        <v>1146</v>
      </c>
      <c r="AO375" s="100">
        <v>46262.040405092594</v>
      </c>
      <c r="AP375" t="s">
        <v>1147</v>
      </c>
      <c r="AQ375" t="s">
        <v>1962</v>
      </c>
      <c r="AR375" t="s">
        <v>1253</v>
      </c>
      <c r="AS375" t="s">
        <v>1150</v>
      </c>
      <c r="AT375" t="s">
        <v>1816</v>
      </c>
      <c r="AU375">
        <v>25</v>
      </c>
      <c r="AV375">
        <v>87.571144000000004</v>
      </c>
      <c r="AW375">
        <v>0.63200297538856509</v>
      </c>
      <c r="AX375">
        <v>0.72170231713378674</v>
      </c>
      <c r="AY375">
        <v>-1.2048563495588844</v>
      </c>
      <c r="AZ375">
        <v>2.3956651728296325</v>
      </c>
      <c r="BA375">
        <v>1.6692556115541315</v>
      </c>
      <c r="BB375" t="s">
        <v>4619</v>
      </c>
      <c r="BD375" s="98"/>
      <c r="BE375" s="98"/>
      <c r="BF375" t="s">
        <v>1152</v>
      </c>
      <c r="BG375" t="s">
        <v>322</v>
      </c>
      <c r="BH375" t="s">
        <v>1153</v>
      </c>
      <c r="BI375">
        <v>1.2048563495588844</v>
      </c>
      <c r="BJ375" t="s">
        <v>991</v>
      </c>
      <c r="BK375">
        <v>1.3896819476444833E-2</v>
      </c>
      <c r="BL375">
        <v>0.57673633302726723</v>
      </c>
      <c r="BM375" t="s">
        <v>1765</v>
      </c>
      <c r="BN375" t="s">
        <v>1154</v>
      </c>
      <c r="BO375">
        <v>2025</v>
      </c>
      <c r="BP375" t="s">
        <v>966</v>
      </c>
      <c r="BQ375">
        <v>629753.08985003456</v>
      </c>
      <c r="BR375">
        <v>37.024691014996542</v>
      </c>
      <c r="BS375" t="s">
        <v>992</v>
      </c>
      <c r="BV375" t="s">
        <v>1034</v>
      </c>
      <c r="BW375" t="s">
        <v>943</v>
      </c>
      <c r="BX375" t="s">
        <v>994</v>
      </c>
      <c r="BY375">
        <v>1.1688005296958408</v>
      </c>
      <c r="BZ375" t="s">
        <v>1155</v>
      </c>
      <c r="CA375" t="s">
        <v>991</v>
      </c>
      <c r="CB375" t="b">
        <v>1</v>
      </c>
      <c r="CC375" t="b">
        <v>1</v>
      </c>
      <c r="CD375" t="b">
        <v>1</v>
      </c>
      <c r="CE375" t="b">
        <v>1</v>
      </c>
      <c r="CF375" t="b">
        <v>1</v>
      </c>
    </row>
    <row r="376" spans="1:84" x14ac:dyDescent="0.3">
      <c r="A376" t="s">
        <v>1963</v>
      </c>
      <c r="B376" t="s">
        <v>1255</v>
      </c>
      <c r="C376" s="98">
        <v>45831</v>
      </c>
      <c r="D376">
        <v>2025</v>
      </c>
      <c r="E376">
        <v>6</v>
      </c>
      <c r="F376">
        <v>2</v>
      </c>
      <c r="G376" t="s">
        <v>1243</v>
      </c>
      <c r="H376" t="s">
        <v>129</v>
      </c>
      <c r="I376" t="s">
        <v>129</v>
      </c>
      <c r="J376" t="s">
        <v>6</v>
      </c>
      <c r="L376">
        <v>522611</v>
      </c>
      <c r="M376" s="99" t="s">
        <v>180</v>
      </c>
      <c r="N376">
        <v>3</v>
      </c>
      <c r="O376">
        <v>25</v>
      </c>
      <c r="P376">
        <v>88.117800000000003</v>
      </c>
      <c r="Q376" t="s">
        <v>352</v>
      </c>
      <c r="R376">
        <v>1</v>
      </c>
      <c r="S376">
        <v>87.665499999999994</v>
      </c>
      <c r="T376">
        <v>0.71030000000000004</v>
      </c>
      <c r="U376">
        <v>0.63677319442490232</v>
      </c>
      <c r="V376">
        <v>85.534599999999998</v>
      </c>
      <c r="W376">
        <v>86.244900000000001</v>
      </c>
      <c r="X376">
        <v>86.955199999999991</v>
      </c>
      <c r="Y376">
        <v>88.375799999999998</v>
      </c>
      <c r="Z376">
        <v>89.086099999999988</v>
      </c>
      <c r="AA376">
        <v>89.796399999999991</v>
      </c>
      <c r="AD376">
        <v>2.4095619923060774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 t="s">
        <v>462</v>
      </c>
      <c r="AL376" t="s">
        <v>6</v>
      </c>
      <c r="AM376" t="s">
        <v>1145</v>
      </c>
      <c r="AN376" t="s">
        <v>1146</v>
      </c>
      <c r="AO376" s="100">
        <v>46262.040405092594</v>
      </c>
      <c r="AP376" t="s">
        <v>1147</v>
      </c>
      <c r="AQ376" t="s">
        <v>1964</v>
      </c>
      <c r="AR376" t="s">
        <v>1257</v>
      </c>
      <c r="AS376" t="s">
        <v>1150</v>
      </c>
      <c r="AT376" t="s">
        <v>1816</v>
      </c>
      <c r="AU376">
        <v>25</v>
      </c>
      <c r="AV376">
        <v>87.571144000000004</v>
      </c>
      <c r="AW376">
        <v>0.63200297538856509</v>
      </c>
      <c r="AX376">
        <v>0.72170231713378674</v>
      </c>
      <c r="AY376">
        <v>-1.2048563495588844</v>
      </c>
      <c r="AZ376">
        <v>2.3956651728296325</v>
      </c>
      <c r="BA376">
        <v>1.6692556115541315</v>
      </c>
      <c r="BB376" t="s">
        <v>4619</v>
      </c>
      <c r="BD376" s="98"/>
      <c r="BE376" s="98"/>
      <c r="BF376" t="s">
        <v>1152</v>
      </c>
      <c r="BG376" t="s">
        <v>322</v>
      </c>
      <c r="BH376" t="s">
        <v>1153</v>
      </c>
      <c r="BI376">
        <v>1.2048563495588844</v>
      </c>
      <c r="BJ376" t="s">
        <v>991</v>
      </c>
      <c r="BK376">
        <v>1.3896819476444833E-2</v>
      </c>
      <c r="BL376">
        <v>0.57673633302726723</v>
      </c>
      <c r="BM376" t="s">
        <v>1765</v>
      </c>
      <c r="BN376" t="s">
        <v>1154</v>
      </c>
      <c r="BO376">
        <v>2025</v>
      </c>
      <c r="BP376" t="s">
        <v>966</v>
      </c>
      <c r="BQ376">
        <v>629753.08985003456</v>
      </c>
      <c r="BR376">
        <v>37.024691014996542</v>
      </c>
      <c r="BS376" t="s">
        <v>992</v>
      </c>
      <c r="BV376" t="s">
        <v>1034</v>
      </c>
      <c r="BW376" t="s">
        <v>943</v>
      </c>
      <c r="BX376" t="s">
        <v>994</v>
      </c>
      <c r="BY376">
        <v>1.1688005296958408</v>
      </c>
      <c r="BZ376" t="s">
        <v>1155</v>
      </c>
      <c r="CA376" t="s">
        <v>991</v>
      </c>
      <c r="CB376" t="b">
        <v>1</v>
      </c>
      <c r="CC376" t="b">
        <v>1</v>
      </c>
      <c r="CD376" t="b">
        <v>1</v>
      </c>
      <c r="CE376" t="b">
        <v>1</v>
      </c>
      <c r="CF376" t="b">
        <v>1</v>
      </c>
    </row>
    <row r="377" spans="1:84" x14ac:dyDescent="0.3">
      <c r="A377" t="s">
        <v>1965</v>
      </c>
      <c r="B377" t="s">
        <v>1143</v>
      </c>
      <c r="C377" s="98">
        <v>45663</v>
      </c>
      <c r="D377">
        <v>2025</v>
      </c>
      <c r="E377">
        <v>1</v>
      </c>
      <c r="F377">
        <v>1</v>
      </c>
      <c r="G377" t="s">
        <v>1144</v>
      </c>
      <c r="H377" t="s">
        <v>130</v>
      </c>
      <c r="I377" t="s">
        <v>130</v>
      </c>
      <c r="J377" t="s">
        <v>6</v>
      </c>
      <c r="L377">
        <v>522611</v>
      </c>
      <c r="M377" s="99" t="s">
        <v>178</v>
      </c>
      <c r="N377">
        <v>1</v>
      </c>
      <c r="O377">
        <v>1</v>
      </c>
      <c r="P377">
        <v>24.4575</v>
      </c>
      <c r="Q377" t="s">
        <v>352</v>
      </c>
      <c r="R377">
        <v>1</v>
      </c>
      <c r="S377">
        <v>23.837900000000001</v>
      </c>
      <c r="T377">
        <v>0.27439999999999998</v>
      </c>
      <c r="U377">
        <v>2.2580174927113643</v>
      </c>
      <c r="V377">
        <v>23.014700000000001</v>
      </c>
      <c r="W377">
        <v>23.289100000000001</v>
      </c>
      <c r="X377">
        <v>23.563500000000001</v>
      </c>
      <c r="Y377">
        <v>24.112300000000001</v>
      </c>
      <c r="Z377">
        <v>24.386700000000001</v>
      </c>
      <c r="AA377">
        <v>24.661100000000001</v>
      </c>
      <c r="AD377">
        <v>2.6301695796471778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1</v>
      </c>
      <c r="AK377" t="s">
        <v>462</v>
      </c>
      <c r="AL377" t="s">
        <v>6</v>
      </c>
      <c r="AM377" t="s">
        <v>1145</v>
      </c>
      <c r="AN377" t="s">
        <v>1146</v>
      </c>
      <c r="AO377" s="100">
        <v>46262.040405092594</v>
      </c>
      <c r="AP377" t="s">
        <v>1147</v>
      </c>
      <c r="AQ377" t="s">
        <v>1966</v>
      </c>
      <c r="AR377" t="s">
        <v>1149</v>
      </c>
      <c r="AS377" t="s">
        <v>1150</v>
      </c>
      <c r="AT377" t="s">
        <v>1967</v>
      </c>
      <c r="AU377">
        <v>25</v>
      </c>
      <c r="AV377">
        <v>23.806176000000001</v>
      </c>
      <c r="AW377">
        <v>0.26810840512747824</v>
      </c>
      <c r="AX377">
        <v>1.1262136561851774</v>
      </c>
      <c r="AY377">
        <v>-0.19629249469443186</v>
      </c>
      <c r="AZ377">
        <v>2.0545450273999744</v>
      </c>
      <c r="BA377">
        <v>2.1611148751268172</v>
      </c>
      <c r="BB377" t="s">
        <v>4619</v>
      </c>
      <c r="BD377" s="98"/>
      <c r="BE377" s="98"/>
      <c r="BF377" t="s">
        <v>1152</v>
      </c>
      <c r="BG377" t="s">
        <v>322</v>
      </c>
      <c r="BH377" t="s">
        <v>1153</v>
      </c>
      <c r="BI377">
        <v>0.19629249469443186</v>
      </c>
      <c r="BJ377" t="s">
        <v>991</v>
      </c>
      <c r="BK377">
        <v>0.57562455224720344</v>
      </c>
      <c r="BL377">
        <v>21.885453953293009</v>
      </c>
      <c r="BM377" t="s">
        <v>1260</v>
      </c>
      <c r="BN377" t="s">
        <v>1154</v>
      </c>
      <c r="BO377">
        <v>2025</v>
      </c>
      <c r="BP377" t="s">
        <v>966</v>
      </c>
      <c r="BQ377">
        <v>254269.32324866956</v>
      </c>
      <c r="BR377">
        <v>74.573067675133046</v>
      </c>
      <c r="BS377" t="s">
        <v>992</v>
      </c>
      <c r="BV377" t="s">
        <v>1034</v>
      </c>
      <c r="BW377" t="s">
        <v>943</v>
      </c>
      <c r="BX377" t="s">
        <v>994</v>
      </c>
      <c r="BY377">
        <v>2.1611148751268172</v>
      </c>
      <c r="BZ377" t="s">
        <v>1155</v>
      </c>
      <c r="CA377" t="s">
        <v>991</v>
      </c>
      <c r="CB377" t="b">
        <v>1</v>
      </c>
      <c r="CC377" t="b">
        <v>1</v>
      </c>
      <c r="CD377" t="b">
        <v>1</v>
      </c>
      <c r="CE377" t="b">
        <v>1</v>
      </c>
      <c r="CF377" t="b">
        <v>1</v>
      </c>
    </row>
    <row r="378" spans="1:84" x14ac:dyDescent="0.3">
      <c r="A378" t="s">
        <v>1968</v>
      </c>
      <c r="B378" t="s">
        <v>1157</v>
      </c>
      <c r="C378" s="98">
        <v>45670</v>
      </c>
      <c r="D378">
        <v>2025</v>
      </c>
      <c r="E378">
        <v>1</v>
      </c>
      <c r="F378">
        <v>1</v>
      </c>
      <c r="G378" t="s">
        <v>1144</v>
      </c>
      <c r="H378" t="s">
        <v>130</v>
      </c>
      <c r="I378" t="s">
        <v>130</v>
      </c>
      <c r="J378" t="s">
        <v>6</v>
      </c>
      <c r="L378">
        <v>522611</v>
      </c>
      <c r="M378" s="99" t="s">
        <v>178</v>
      </c>
      <c r="N378">
        <v>1</v>
      </c>
      <c r="O378">
        <v>2</v>
      </c>
      <c r="P378">
        <v>23.897500000000001</v>
      </c>
      <c r="Q378" t="s">
        <v>352</v>
      </c>
      <c r="R378">
        <v>1</v>
      </c>
      <c r="S378">
        <v>23.837900000000001</v>
      </c>
      <c r="T378">
        <v>0.27439999999999998</v>
      </c>
      <c r="U378">
        <v>0.21720116618075677</v>
      </c>
      <c r="V378">
        <v>23.014700000000001</v>
      </c>
      <c r="W378">
        <v>23.289100000000001</v>
      </c>
      <c r="X378">
        <v>23.563500000000001</v>
      </c>
      <c r="Y378">
        <v>24.112300000000001</v>
      </c>
      <c r="Z378">
        <v>24.386700000000001</v>
      </c>
      <c r="AA378">
        <v>24.661100000000001</v>
      </c>
      <c r="AD378">
        <v>2.6301695796471778</v>
      </c>
      <c r="AE378">
        <v>0</v>
      </c>
      <c r="AF378">
        <v>0</v>
      </c>
      <c r="AG378">
        <v>0</v>
      </c>
      <c r="AH378">
        <v>0</v>
      </c>
      <c r="AI378">
        <v>1</v>
      </c>
      <c r="AJ378">
        <v>0</v>
      </c>
      <c r="AK378" t="s">
        <v>1213</v>
      </c>
      <c r="AL378" t="s">
        <v>6</v>
      </c>
      <c r="AM378" t="s">
        <v>1145</v>
      </c>
      <c r="AN378" t="s">
        <v>1146</v>
      </c>
      <c r="AO378" s="100">
        <v>46262.040405092594</v>
      </c>
      <c r="AP378" t="s">
        <v>1147</v>
      </c>
      <c r="AQ378" t="s">
        <v>1969</v>
      </c>
      <c r="AR378" t="s">
        <v>1159</v>
      </c>
      <c r="AS378" t="s">
        <v>1150</v>
      </c>
      <c r="AT378" t="s">
        <v>1967</v>
      </c>
      <c r="AU378">
        <v>25</v>
      </c>
      <c r="AV378">
        <v>23.806176000000001</v>
      </c>
      <c r="AW378">
        <v>0.26810840512747824</v>
      </c>
      <c r="AX378">
        <v>1.1262136561851774</v>
      </c>
      <c r="AY378">
        <v>-0.19629249469443186</v>
      </c>
      <c r="AZ378">
        <v>2.0545450273999744</v>
      </c>
      <c r="BA378">
        <v>2.1611148751268172</v>
      </c>
      <c r="BB378" t="s">
        <v>4619</v>
      </c>
      <c r="BD378" s="98"/>
      <c r="BE378" s="98"/>
      <c r="BF378" t="s">
        <v>1152</v>
      </c>
      <c r="BG378" t="s">
        <v>322</v>
      </c>
      <c r="BH378" t="s">
        <v>1153</v>
      </c>
      <c r="BI378">
        <v>0.19629249469443186</v>
      </c>
      <c r="BJ378" t="s">
        <v>991</v>
      </c>
      <c r="BK378">
        <v>0.57562455224720344</v>
      </c>
      <c r="BL378">
        <v>21.885453953293009</v>
      </c>
      <c r="BM378" t="s">
        <v>1260</v>
      </c>
      <c r="BN378" t="s">
        <v>1154</v>
      </c>
      <c r="BO378">
        <v>2025</v>
      </c>
      <c r="BP378" t="s">
        <v>966</v>
      </c>
      <c r="BQ378">
        <v>254269.32324866956</v>
      </c>
      <c r="BR378">
        <v>74.573067675133046</v>
      </c>
      <c r="BS378" t="s">
        <v>992</v>
      </c>
      <c r="BV378" t="s">
        <v>1034</v>
      </c>
      <c r="BW378" t="s">
        <v>943</v>
      </c>
      <c r="BX378" t="s">
        <v>994</v>
      </c>
      <c r="BY378">
        <v>2.1611148751268172</v>
      </c>
      <c r="BZ378" t="s">
        <v>1155</v>
      </c>
      <c r="CA378" t="s">
        <v>991</v>
      </c>
      <c r="CB378" t="b">
        <v>1</v>
      </c>
      <c r="CC378" t="b">
        <v>1</v>
      </c>
      <c r="CD378" t="b">
        <v>1</v>
      </c>
      <c r="CE378" t="b">
        <v>1</v>
      </c>
      <c r="CF378" t="b">
        <v>1</v>
      </c>
    </row>
    <row r="379" spans="1:84" x14ac:dyDescent="0.3">
      <c r="A379" t="s">
        <v>1970</v>
      </c>
      <c r="B379" t="s">
        <v>1161</v>
      </c>
      <c r="C379" s="98">
        <v>45677</v>
      </c>
      <c r="D379">
        <v>2025</v>
      </c>
      <c r="E379">
        <v>1</v>
      </c>
      <c r="F379">
        <v>1</v>
      </c>
      <c r="G379" t="s">
        <v>1144</v>
      </c>
      <c r="H379" t="s">
        <v>130</v>
      </c>
      <c r="I379" t="s">
        <v>130</v>
      </c>
      <c r="J379" t="s">
        <v>6</v>
      </c>
      <c r="L379">
        <v>522611</v>
      </c>
      <c r="M379" s="99" t="s">
        <v>178</v>
      </c>
      <c r="N379">
        <v>1</v>
      </c>
      <c r="O379">
        <v>3</v>
      </c>
      <c r="P379">
        <v>23.624099999999999</v>
      </c>
      <c r="Q379" t="s">
        <v>352</v>
      </c>
      <c r="R379">
        <v>1</v>
      </c>
      <c r="S379">
        <v>23.837900000000001</v>
      </c>
      <c r="T379">
        <v>0.27439999999999998</v>
      </c>
      <c r="U379">
        <v>-0.77915451895044707</v>
      </c>
      <c r="V379">
        <v>23.014700000000001</v>
      </c>
      <c r="W379">
        <v>23.289100000000001</v>
      </c>
      <c r="X379">
        <v>23.563500000000001</v>
      </c>
      <c r="Y379">
        <v>24.112300000000001</v>
      </c>
      <c r="Z379">
        <v>24.386700000000001</v>
      </c>
      <c r="AA379">
        <v>24.661100000000001</v>
      </c>
      <c r="AD379">
        <v>2.6301695796471778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 t="s">
        <v>462</v>
      </c>
      <c r="AL379" t="s">
        <v>6</v>
      </c>
      <c r="AM379" t="s">
        <v>1145</v>
      </c>
      <c r="AN379" t="s">
        <v>1146</v>
      </c>
      <c r="AO379" s="100">
        <v>46262.040405092594</v>
      </c>
      <c r="AP379" t="s">
        <v>1147</v>
      </c>
      <c r="AQ379" t="s">
        <v>1971</v>
      </c>
      <c r="AR379" t="s">
        <v>1163</v>
      </c>
      <c r="AS379" t="s">
        <v>1150</v>
      </c>
      <c r="AT379" t="s">
        <v>1967</v>
      </c>
      <c r="AU379">
        <v>25</v>
      </c>
      <c r="AV379">
        <v>23.806176000000001</v>
      </c>
      <c r="AW379">
        <v>0.26810840512747824</v>
      </c>
      <c r="AX379">
        <v>1.1262136561851774</v>
      </c>
      <c r="AY379">
        <v>-0.19629249469443186</v>
      </c>
      <c r="AZ379">
        <v>2.0545450273999744</v>
      </c>
      <c r="BA379">
        <v>2.1611148751268172</v>
      </c>
      <c r="BB379" t="s">
        <v>4619</v>
      </c>
      <c r="BD379" s="98"/>
      <c r="BE379" s="98"/>
      <c r="BF379" t="s">
        <v>1152</v>
      </c>
      <c r="BG379" t="s">
        <v>322</v>
      </c>
      <c r="BH379" t="s">
        <v>1153</v>
      </c>
      <c r="BI379">
        <v>0.19629249469443186</v>
      </c>
      <c r="BJ379" t="s">
        <v>991</v>
      </c>
      <c r="BK379">
        <v>0.57562455224720344</v>
      </c>
      <c r="BL379">
        <v>21.885453953293009</v>
      </c>
      <c r="BM379" t="s">
        <v>1260</v>
      </c>
      <c r="BN379" t="s">
        <v>1154</v>
      </c>
      <c r="BO379">
        <v>2025</v>
      </c>
      <c r="BP379" t="s">
        <v>966</v>
      </c>
      <c r="BQ379">
        <v>254269.32324866956</v>
      </c>
      <c r="BR379">
        <v>74.573067675133046</v>
      </c>
      <c r="BS379" t="s">
        <v>992</v>
      </c>
      <c r="BV379" t="s">
        <v>1034</v>
      </c>
      <c r="BW379" t="s">
        <v>943</v>
      </c>
      <c r="BX379" t="s">
        <v>994</v>
      </c>
      <c r="BY379">
        <v>2.1611148751268172</v>
      </c>
      <c r="BZ379" t="s">
        <v>1155</v>
      </c>
      <c r="CA379" t="s">
        <v>991</v>
      </c>
      <c r="CB379" t="b">
        <v>1</v>
      </c>
      <c r="CC379" t="b">
        <v>1</v>
      </c>
      <c r="CD379" t="b">
        <v>1</v>
      </c>
      <c r="CE379" t="b">
        <v>1</v>
      </c>
      <c r="CF379" t="b">
        <v>1</v>
      </c>
    </row>
    <row r="380" spans="1:84" x14ac:dyDescent="0.3">
      <c r="A380" t="s">
        <v>1972</v>
      </c>
      <c r="B380" t="s">
        <v>1165</v>
      </c>
      <c r="C380" s="98">
        <v>45684</v>
      </c>
      <c r="D380">
        <v>2025</v>
      </c>
      <c r="E380">
        <v>1</v>
      </c>
      <c r="F380">
        <v>1</v>
      </c>
      <c r="G380" t="s">
        <v>1144</v>
      </c>
      <c r="H380" t="s">
        <v>130</v>
      </c>
      <c r="I380" t="s">
        <v>130</v>
      </c>
      <c r="J380" t="s">
        <v>6</v>
      </c>
      <c r="L380">
        <v>522611</v>
      </c>
      <c r="M380" s="99" t="s">
        <v>178</v>
      </c>
      <c r="N380">
        <v>1</v>
      </c>
      <c r="O380">
        <v>4</v>
      </c>
      <c r="P380">
        <v>23.5167</v>
      </c>
      <c r="Q380" t="s">
        <v>352</v>
      </c>
      <c r="R380">
        <v>1</v>
      </c>
      <c r="S380">
        <v>23.837900000000001</v>
      </c>
      <c r="T380">
        <v>0.27439999999999998</v>
      </c>
      <c r="U380">
        <v>-1.1705539358600623</v>
      </c>
      <c r="V380">
        <v>23.014700000000001</v>
      </c>
      <c r="W380">
        <v>23.289100000000001</v>
      </c>
      <c r="X380">
        <v>23.563500000000001</v>
      </c>
      <c r="Y380">
        <v>24.112300000000001</v>
      </c>
      <c r="Z380">
        <v>24.386700000000001</v>
      </c>
      <c r="AA380">
        <v>24.661100000000001</v>
      </c>
      <c r="AD380">
        <v>2.6301695796471778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 t="s">
        <v>462</v>
      </c>
      <c r="AL380" t="s">
        <v>6</v>
      </c>
      <c r="AM380" t="s">
        <v>1145</v>
      </c>
      <c r="AN380" t="s">
        <v>1146</v>
      </c>
      <c r="AO380" s="100">
        <v>46262.040405092594</v>
      </c>
      <c r="AP380" t="s">
        <v>1147</v>
      </c>
      <c r="AQ380" t="s">
        <v>1973</v>
      </c>
      <c r="AR380" t="s">
        <v>1167</v>
      </c>
      <c r="AS380" t="s">
        <v>1150</v>
      </c>
      <c r="AT380" t="s">
        <v>1967</v>
      </c>
      <c r="AU380">
        <v>25</v>
      </c>
      <c r="AV380">
        <v>23.806176000000001</v>
      </c>
      <c r="AW380">
        <v>0.26810840512747824</v>
      </c>
      <c r="AX380">
        <v>1.1262136561851774</v>
      </c>
      <c r="AY380">
        <v>-0.19629249469443186</v>
      </c>
      <c r="AZ380">
        <v>2.0545450273999744</v>
      </c>
      <c r="BA380">
        <v>2.1611148751268172</v>
      </c>
      <c r="BB380" t="s">
        <v>4619</v>
      </c>
      <c r="BD380" s="98"/>
      <c r="BE380" s="98"/>
      <c r="BF380" t="s">
        <v>1152</v>
      </c>
      <c r="BG380" t="s">
        <v>322</v>
      </c>
      <c r="BH380" t="s">
        <v>1153</v>
      </c>
      <c r="BI380">
        <v>0.19629249469443186</v>
      </c>
      <c r="BJ380" t="s">
        <v>991</v>
      </c>
      <c r="BK380">
        <v>0.57562455224720344</v>
      </c>
      <c r="BL380">
        <v>21.885453953293009</v>
      </c>
      <c r="BM380" t="s">
        <v>1260</v>
      </c>
      <c r="BN380" t="s">
        <v>1154</v>
      </c>
      <c r="BO380">
        <v>2025</v>
      </c>
      <c r="BP380" t="s">
        <v>966</v>
      </c>
      <c r="BQ380">
        <v>254269.32324866956</v>
      </c>
      <c r="BR380">
        <v>74.573067675133046</v>
      </c>
      <c r="BS380" t="s">
        <v>992</v>
      </c>
      <c r="BV380" t="s">
        <v>1034</v>
      </c>
      <c r="BW380" t="s">
        <v>943</v>
      </c>
      <c r="BX380" t="s">
        <v>994</v>
      </c>
      <c r="BY380">
        <v>2.1611148751268172</v>
      </c>
      <c r="BZ380" t="s">
        <v>1155</v>
      </c>
      <c r="CA380" t="s">
        <v>991</v>
      </c>
      <c r="CB380" t="b">
        <v>1</v>
      </c>
      <c r="CC380" t="b">
        <v>1</v>
      </c>
      <c r="CD380" t="b">
        <v>1</v>
      </c>
      <c r="CE380" t="b">
        <v>1</v>
      </c>
      <c r="CF380" t="b">
        <v>1</v>
      </c>
    </row>
    <row r="381" spans="1:84" x14ac:dyDescent="0.3">
      <c r="A381" t="s">
        <v>1974</v>
      </c>
      <c r="B381" t="s">
        <v>1169</v>
      </c>
      <c r="C381" s="98">
        <v>45691</v>
      </c>
      <c r="D381">
        <v>2025</v>
      </c>
      <c r="E381">
        <v>2</v>
      </c>
      <c r="F381">
        <v>1</v>
      </c>
      <c r="G381" t="s">
        <v>1170</v>
      </c>
      <c r="H381" t="s">
        <v>130</v>
      </c>
      <c r="I381" t="s">
        <v>130</v>
      </c>
      <c r="J381" t="s">
        <v>6</v>
      </c>
      <c r="L381">
        <v>522611</v>
      </c>
      <c r="M381" s="99" t="s">
        <v>178</v>
      </c>
      <c r="N381">
        <v>1</v>
      </c>
      <c r="O381">
        <v>5</v>
      </c>
      <c r="P381">
        <v>23.822500000000002</v>
      </c>
      <c r="Q381" t="s">
        <v>352</v>
      </c>
      <c r="R381">
        <v>1</v>
      </c>
      <c r="S381">
        <v>23.837900000000001</v>
      </c>
      <c r="T381">
        <v>0.27439999999999998</v>
      </c>
      <c r="U381">
        <v>-5.6122448979590518E-2</v>
      </c>
      <c r="V381">
        <v>23.014700000000001</v>
      </c>
      <c r="W381">
        <v>23.289100000000001</v>
      </c>
      <c r="X381">
        <v>23.563500000000001</v>
      </c>
      <c r="Y381">
        <v>24.112300000000001</v>
      </c>
      <c r="Z381">
        <v>24.386700000000001</v>
      </c>
      <c r="AA381">
        <v>24.661100000000001</v>
      </c>
      <c r="AD381">
        <v>2.6301695796471778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 t="s">
        <v>462</v>
      </c>
      <c r="AL381" t="s">
        <v>6</v>
      </c>
      <c r="AM381" t="s">
        <v>1145</v>
      </c>
      <c r="AN381" t="s">
        <v>1146</v>
      </c>
      <c r="AO381" s="100">
        <v>46262.040405092594</v>
      </c>
      <c r="AP381" t="s">
        <v>1147</v>
      </c>
      <c r="AQ381" t="s">
        <v>1975</v>
      </c>
      <c r="AR381" t="s">
        <v>1172</v>
      </c>
      <c r="AS381" t="s">
        <v>1150</v>
      </c>
      <c r="AT381" t="s">
        <v>1967</v>
      </c>
      <c r="AU381">
        <v>25</v>
      </c>
      <c r="AV381">
        <v>23.806176000000001</v>
      </c>
      <c r="AW381">
        <v>0.26810840512747824</v>
      </c>
      <c r="AX381">
        <v>1.1262136561851774</v>
      </c>
      <c r="AY381">
        <v>-0.19629249469443186</v>
      </c>
      <c r="AZ381">
        <v>2.0545450273999744</v>
      </c>
      <c r="BA381">
        <v>2.1611148751268172</v>
      </c>
      <c r="BB381" t="s">
        <v>4619</v>
      </c>
      <c r="BD381" s="98"/>
      <c r="BE381" s="98"/>
      <c r="BF381" t="s">
        <v>1152</v>
      </c>
      <c r="BG381" t="s">
        <v>322</v>
      </c>
      <c r="BH381" t="s">
        <v>1153</v>
      </c>
      <c r="BI381">
        <v>0.19629249469443186</v>
      </c>
      <c r="BJ381" t="s">
        <v>991</v>
      </c>
      <c r="BK381">
        <v>0.57562455224720344</v>
      </c>
      <c r="BL381">
        <v>21.885453953293009</v>
      </c>
      <c r="BM381" t="s">
        <v>1260</v>
      </c>
      <c r="BN381" t="s">
        <v>1154</v>
      </c>
      <c r="BO381">
        <v>2025</v>
      </c>
      <c r="BP381" t="s">
        <v>966</v>
      </c>
      <c r="BQ381">
        <v>254269.32324866956</v>
      </c>
      <c r="BR381">
        <v>74.573067675133046</v>
      </c>
      <c r="BS381" t="s">
        <v>992</v>
      </c>
      <c r="BV381" t="s">
        <v>1034</v>
      </c>
      <c r="BW381" t="s">
        <v>943</v>
      </c>
      <c r="BX381" t="s">
        <v>994</v>
      </c>
      <c r="BY381">
        <v>2.1611148751268172</v>
      </c>
      <c r="BZ381" t="s">
        <v>1155</v>
      </c>
      <c r="CA381" t="s">
        <v>991</v>
      </c>
      <c r="CB381" t="b">
        <v>1</v>
      </c>
      <c r="CC381" t="b">
        <v>1</v>
      </c>
      <c r="CD381" t="b">
        <v>1</v>
      </c>
      <c r="CE381" t="b">
        <v>1</v>
      </c>
      <c r="CF381" t="b">
        <v>1</v>
      </c>
    </row>
    <row r="382" spans="1:84" x14ac:dyDescent="0.3">
      <c r="A382" t="s">
        <v>1976</v>
      </c>
      <c r="B382" t="s">
        <v>1174</v>
      </c>
      <c r="C382" s="98">
        <v>45698</v>
      </c>
      <c r="D382">
        <v>2025</v>
      </c>
      <c r="E382">
        <v>2</v>
      </c>
      <c r="F382">
        <v>1</v>
      </c>
      <c r="G382" t="s">
        <v>1170</v>
      </c>
      <c r="H382" t="s">
        <v>130</v>
      </c>
      <c r="I382" t="s">
        <v>130</v>
      </c>
      <c r="J382" t="s">
        <v>6</v>
      </c>
      <c r="L382">
        <v>522611</v>
      </c>
      <c r="M382" s="99" t="s">
        <v>178</v>
      </c>
      <c r="N382">
        <v>1</v>
      </c>
      <c r="O382">
        <v>6</v>
      </c>
      <c r="P382">
        <v>23.789400000000001</v>
      </c>
      <c r="Q382" t="s">
        <v>352</v>
      </c>
      <c r="R382">
        <v>1</v>
      </c>
      <c r="S382">
        <v>23.837900000000001</v>
      </c>
      <c r="T382">
        <v>0.27439999999999998</v>
      </c>
      <c r="U382">
        <v>-0.17674927113702862</v>
      </c>
      <c r="V382">
        <v>23.014700000000001</v>
      </c>
      <c r="W382">
        <v>23.289100000000001</v>
      </c>
      <c r="X382">
        <v>23.563500000000001</v>
      </c>
      <c r="Y382">
        <v>24.112300000000001</v>
      </c>
      <c r="Z382">
        <v>24.386700000000001</v>
      </c>
      <c r="AA382">
        <v>24.661100000000001</v>
      </c>
      <c r="AD382">
        <v>2.6301695796471778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 t="s">
        <v>462</v>
      </c>
      <c r="AL382" t="s">
        <v>6</v>
      </c>
      <c r="AM382" t="s">
        <v>1145</v>
      </c>
      <c r="AN382" t="s">
        <v>1146</v>
      </c>
      <c r="AO382" s="100">
        <v>46262.040405092594</v>
      </c>
      <c r="AP382" t="s">
        <v>1147</v>
      </c>
      <c r="AQ382" t="s">
        <v>1977</v>
      </c>
      <c r="AR382" t="s">
        <v>1176</v>
      </c>
      <c r="AS382" t="s">
        <v>1150</v>
      </c>
      <c r="AT382" t="s">
        <v>1967</v>
      </c>
      <c r="AU382">
        <v>25</v>
      </c>
      <c r="AV382">
        <v>23.806176000000001</v>
      </c>
      <c r="AW382">
        <v>0.26810840512747824</v>
      </c>
      <c r="AX382">
        <v>1.1262136561851774</v>
      </c>
      <c r="AY382">
        <v>-0.19629249469443186</v>
      </c>
      <c r="AZ382">
        <v>2.0545450273999744</v>
      </c>
      <c r="BA382">
        <v>2.1611148751268172</v>
      </c>
      <c r="BB382" t="s">
        <v>4619</v>
      </c>
      <c r="BD382" s="98"/>
      <c r="BE382" s="98"/>
      <c r="BF382" t="s">
        <v>1152</v>
      </c>
      <c r="BG382" t="s">
        <v>322</v>
      </c>
      <c r="BH382" t="s">
        <v>1153</v>
      </c>
      <c r="BI382">
        <v>0.19629249469443186</v>
      </c>
      <c r="BJ382" t="s">
        <v>991</v>
      </c>
      <c r="BK382">
        <v>0.57562455224720344</v>
      </c>
      <c r="BL382">
        <v>21.885453953293009</v>
      </c>
      <c r="BM382" t="s">
        <v>1260</v>
      </c>
      <c r="BN382" t="s">
        <v>1154</v>
      </c>
      <c r="BO382">
        <v>2025</v>
      </c>
      <c r="BP382" t="s">
        <v>966</v>
      </c>
      <c r="BQ382">
        <v>254269.32324866956</v>
      </c>
      <c r="BR382">
        <v>74.573067675133046</v>
      </c>
      <c r="BS382" t="s">
        <v>992</v>
      </c>
      <c r="BV382" t="s">
        <v>1034</v>
      </c>
      <c r="BW382" t="s">
        <v>943</v>
      </c>
      <c r="BX382" t="s">
        <v>994</v>
      </c>
      <c r="BY382">
        <v>2.1611148751268172</v>
      </c>
      <c r="BZ382" t="s">
        <v>1155</v>
      </c>
      <c r="CA382" t="s">
        <v>991</v>
      </c>
      <c r="CB382" t="b">
        <v>1</v>
      </c>
      <c r="CC382" t="b">
        <v>1</v>
      </c>
      <c r="CD382" t="b">
        <v>1</v>
      </c>
      <c r="CE382" t="b">
        <v>1</v>
      </c>
      <c r="CF382" t="b">
        <v>1</v>
      </c>
    </row>
    <row r="383" spans="1:84" x14ac:dyDescent="0.3">
      <c r="A383" t="s">
        <v>1978</v>
      </c>
      <c r="B383" t="s">
        <v>1178</v>
      </c>
      <c r="C383" s="98">
        <v>45705</v>
      </c>
      <c r="D383">
        <v>2025</v>
      </c>
      <c r="E383">
        <v>2</v>
      </c>
      <c r="F383">
        <v>1</v>
      </c>
      <c r="G383" t="s">
        <v>1170</v>
      </c>
      <c r="H383" t="s">
        <v>130</v>
      </c>
      <c r="I383" t="s">
        <v>130</v>
      </c>
      <c r="J383" t="s">
        <v>6</v>
      </c>
      <c r="L383">
        <v>522611</v>
      </c>
      <c r="M383" s="99" t="s">
        <v>178</v>
      </c>
      <c r="N383">
        <v>1</v>
      </c>
      <c r="O383">
        <v>7</v>
      </c>
      <c r="P383">
        <v>23.521999999999998</v>
      </c>
      <c r="Q383" t="s">
        <v>352</v>
      </c>
      <c r="R383">
        <v>1</v>
      </c>
      <c r="S383">
        <v>23.837900000000001</v>
      </c>
      <c r="T383">
        <v>0.27439999999999998</v>
      </c>
      <c r="U383">
        <v>-1.1512390670554036</v>
      </c>
      <c r="V383">
        <v>23.014700000000001</v>
      </c>
      <c r="W383">
        <v>23.289100000000001</v>
      </c>
      <c r="X383">
        <v>23.563500000000001</v>
      </c>
      <c r="Y383">
        <v>24.112300000000001</v>
      </c>
      <c r="Z383">
        <v>24.386700000000001</v>
      </c>
      <c r="AA383">
        <v>24.661100000000001</v>
      </c>
      <c r="AD383">
        <v>2.6301695796471778</v>
      </c>
      <c r="AE383">
        <v>0</v>
      </c>
      <c r="AF383">
        <v>0</v>
      </c>
      <c r="AG383">
        <v>0</v>
      </c>
      <c r="AH383">
        <v>0</v>
      </c>
      <c r="AI383">
        <v>1</v>
      </c>
      <c r="AJ383">
        <v>0</v>
      </c>
      <c r="AK383" t="s">
        <v>1213</v>
      </c>
      <c r="AL383" t="s">
        <v>6</v>
      </c>
      <c r="AM383" t="s">
        <v>1145</v>
      </c>
      <c r="AN383" t="s">
        <v>1146</v>
      </c>
      <c r="AO383" s="100">
        <v>46262.040405092594</v>
      </c>
      <c r="AP383" t="s">
        <v>1147</v>
      </c>
      <c r="AQ383" t="s">
        <v>1979</v>
      </c>
      <c r="AR383" t="s">
        <v>1180</v>
      </c>
      <c r="AS383" t="s">
        <v>1150</v>
      </c>
      <c r="AT383" t="s">
        <v>1967</v>
      </c>
      <c r="AU383">
        <v>25</v>
      </c>
      <c r="AV383">
        <v>23.806176000000001</v>
      </c>
      <c r="AW383">
        <v>0.26810840512747824</v>
      </c>
      <c r="AX383">
        <v>1.1262136561851774</v>
      </c>
      <c r="AY383">
        <v>-0.19629249469443186</v>
      </c>
      <c r="AZ383">
        <v>2.0545450273999744</v>
      </c>
      <c r="BA383">
        <v>2.1611148751268172</v>
      </c>
      <c r="BB383" t="s">
        <v>4619</v>
      </c>
      <c r="BD383" s="98"/>
      <c r="BE383" s="98"/>
      <c r="BF383" t="s">
        <v>1152</v>
      </c>
      <c r="BG383" t="s">
        <v>322</v>
      </c>
      <c r="BH383" t="s">
        <v>1153</v>
      </c>
      <c r="BI383">
        <v>0.19629249469443186</v>
      </c>
      <c r="BJ383" t="s">
        <v>991</v>
      </c>
      <c r="BK383">
        <v>0.57562455224720344</v>
      </c>
      <c r="BL383">
        <v>21.885453953293009</v>
      </c>
      <c r="BM383" t="s">
        <v>1260</v>
      </c>
      <c r="BN383" t="s">
        <v>1154</v>
      </c>
      <c r="BO383">
        <v>2025</v>
      </c>
      <c r="BP383" t="s">
        <v>966</v>
      </c>
      <c r="BQ383">
        <v>254269.32324866956</v>
      </c>
      <c r="BR383">
        <v>74.573067675133046</v>
      </c>
      <c r="BS383" t="s">
        <v>992</v>
      </c>
      <c r="BV383" t="s">
        <v>1034</v>
      </c>
      <c r="BW383" t="s">
        <v>943</v>
      </c>
      <c r="BX383" t="s">
        <v>994</v>
      </c>
      <c r="BY383">
        <v>2.1611148751268172</v>
      </c>
      <c r="BZ383" t="s">
        <v>1155</v>
      </c>
      <c r="CA383" t="s">
        <v>991</v>
      </c>
      <c r="CB383" t="b">
        <v>1</v>
      </c>
      <c r="CC383" t="b">
        <v>1</v>
      </c>
      <c r="CD383" t="b">
        <v>1</v>
      </c>
      <c r="CE383" t="b">
        <v>1</v>
      </c>
      <c r="CF383" t="b">
        <v>1</v>
      </c>
    </row>
    <row r="384" spans="1:84" x14ac:dyDescent="0.3">
      <c r="A384" t="s">
        <v>1980</v>
      </c>
      <c r="B384" t="s">
        <v>1182</v>
      </c>
      <c r="C384" s="98">
        <v>45712</v>
      </c>
      <c r="D384">
        <v>2025</v>
      </c>
      <c r="E384">
        <v>2</v>
      </c>
      <c r="F384">
        <v>1</v>
      </c>
      <c r="G384" t="s">
        <v>1170</v>
      </c>
      <c r="H384" t="s">
        <v>130</v>
      </c>
      <c r="I384" t="s">
        <v>130</v>
      </c>
      <c r="J384" t="s">
        <v>6</v>
      </c>
      <c r="L384">
        <v>522611</v>
      </c>
      <c r="M384" s="99" t="s">
        <v>178</v>
      </c>
      <c r="N384">
        <v>1</v>
      </c>
      <c r="O384">
        <v>8</v>
      </c>
      <c r="P384">
        <v>23.869900000000001</v>
      </c>
      <c r="Q384" t="s">
        <v>352</v>
      </c>
      <c r="R384">
        <v>1</v>
      </c>
      <c r="S384">
        <v>23.837900000000001</v>
      </c>
      <c r="T384">
        <v>0.27439999999999998</v>
      </c>
      <c r="U384">
        <v>0.11661807580174939</v>
      </c>
      <c r="V384">
        <v>23.014700000000001</v>
      </c>
      <c r="W384">
        <v>23.289100000000001</v>
      </c>
      <c r="X384">
        <v>23.563500000000001</v>
      </c>
      <c r="Y384">
        <v>24.112300000000001</v>
      </c>
      <c r="Z384">
        <v>24.386700000000001</v>
      </c>
      <c r="AA384">
        <v>24.661100000000001</v>
      </c>
      <c r="AD384">
        <v>2.6301695796471778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 t="s">
        <v>462</v>
      </c>
      <c r="AL384" t="s">
        <v>6</v>
      </c>
      <c r="AM384" t="s">
        <v>1145</v>
      </c>
      <c r="AN384" t="s">
        <v>1146</v>
      </c>
      <c r="AO384" s="100">
        <v>46262.040405092594</v>
      </c>
      <c r="AP384" t="s">
        <v>1147</v>
      </c>
      <c r="AQ384" t="s">
        <v>1981</v>
      </c>
      <c r="AR384" t="s">
        <v>1184</v>
      </c>
      <c r="AS384" t="s">
        <v>1150</v>
      </c>
      <c r="AT384" t="s">
        <v>1967</v>
      </c>
      <c r="AU384">
        <v>25</v>
      </c>
      <c r="AV384">
        <v>23.806176000000001</v>
      </c>
      <c r="AW384">
        <v>0.26810840512747824</v>
      </c>
      <c r="AX384">
        <v>1.1262136561851774</v>
      </c>
      <c r="AY384">
        <v>-0.19629249469443186</v>
      </c>
      <c r="AZ384">
        <v>2.0545450273999744</v>
      </c>
      <c r="BA384">
        <v>2.1611148751268172</v>
      </c>
      <c r="BB384" t="s">
        <v>4619</v>
      </c>
      <c r="BD384" s="98"/>
      <c r="BE384" s="98"/>
      <c r="BF384" t="s">
        <v>1152</v>
      </c>
      <c r="BG384" t="s">
        <v>322</v>
      </c>
      <c r="BH384" t="s">
        <v>1153</v>
      </c>
      <c r="BI384">
        <v>0.19629249469443186</v>
      </c>
      <c r="BJ384" t="s">
        <v>991</v>
      </c>
      <c r="BK384">
        <v>0.57562455224720344</v>
      </c>
      <c r="BL384">
        <v>21.885453953293009</v>
      </c>
      <c r="BM384" t="s">
        <v>1260</v>
      </c>
      <c r="BN384" t="s">
        <v>1154</v>
      </c>
      <c r="BO384">
        <v>2025</v>
      </c>
      <c r="BP384" t="s">
        <v>966</v>
      </c>
      <c r="BQ384">
        <v>254269.32324866956</v>
      </c>
      <c r="BR384">
        <v>74.573067675133046</v>
      </c>
      <c r="BS384" t="s">
        <v>992</v>
      </c>
      <c r="BV384" t="s">
        <v>1034</v>
      </c>
      <c r="BW384" t="s">
        <v>943</v>
      </c>
      <c r="BX384" t="s">
        <v>994</v>
      </c>
      <c r="BY384">
        <v>2.1611148751268172</v>
      </c>
      <c r="BZ384" t="s">
        <v>1155</v>
      </c>
      <c r="CA384" t="s">
        <v>991</v>
      </c>
      <c r="CB384" t="b">
        <v>1</v>
      </c>
      <c r="CC384" t="b">
        <v>1</v>
      </c>
      <c r="CD384" t="b">
        <v>1</v>
      </c>
      <c r="CE384" t="b">
        <v>1</v>
      </c>
      <c r="CF384" t="b">
        <v>1</v>
      </c>
    </row>
    <row r="385" spans="1:84" x14ac:dyDescent="0.3">
      <c r="A385" t="s">
        <v>1982</v>
      </c>
      <c r="B385" t="s">
        <v>1186</v>
      </c>
      <c r="C385" s="98">
        <v>45719</v>
      </c>
      <c r="D385">
        <v>2025</v>
      </c>
      <c r="E385">
        <v>3</v>
      </c>
      <c r="F385">
        <v>1</v>
      </c>
      <c r="G385" t="s">
        <v>1187</v>
      </c>
      <c r="H385" t="s">
        <v>130</v>
      </c>
      <c r="I385" t="s">
        <v>130</v>
      </c>
      <c r="J385" t="s">
        <v>6</v>
      </c>
      <c r="L385">
        <v>522611</v>
      </c>
      <c r="M385" s="99" t="s">
        <v>178</v>
      </c>
      <c r="N385">
        <v>1</v>
      </c>
      <c r="O385">
        <v>9</v>
      </c>
      <c r="P385">
        <v>23.522099999999998</v>
      </c>
      <c r="Q385" t="s">
        <v>352</v>
      </c>
      <c r="R385">
        <v>1</v>
      </c>
      <c r="S385">
        <v>23.837900000000001</v>
      </c>
      <c r="T385">
        <v>0.27439999999999998</v>
      </c>
      <c r="U385">
        <v>-1.150874635568524</v>
      </c>
      <c r="V385">
        <v>23.014700000000001</v>
      </c>
      <c r="W385">
        <v>23.289100000000001</v>
      </c>
      <c r="X385">
        <v>23.563500000000001</v>
      </c>
      <c r="Y385">
        <v>24.112300000000001</v>
      </c>
      <c r="Z385">
        <v>24.386700000000001</v>
      </c>
      <c r="AA385">
        <v>24.661100000000001</v>
      </c>
      <c r="AD385">
        <v>2.6301695796471778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 t="s">
        <v>462</v>
      </c>
      <c r="AL385" t="s">
        <v>6</v>
      </c>
      <c r="AM385" t="s">
        <v>1145</v>
      </c>
      <c r="AN385" t="s">
        <v>1146</v>
      </c>
      <c r="AO385" s="100">
        <v>46262.040405092594</v>
      </c>
      <c r="AP385" t="s">
        <v>1147</v>
      </c>
      <c r="AQ385" t="s">
        <v>1983</v>
      </c>
      <c r="AR385" t="s">
        <v>1189</v>
      </c>
      <c r="AS385" t="s">
        <v>1150</v>
      </c>
      <c r="AT385" t="s">
        <v>1967</v>
      </c>
      <c r="AU385">
        <v>25</v>
      </c>
      <c r="AV385">
        <v>23.806176000000001</v>
      </c>
      <c r="AW385">
        <v>0.26810840512747824</v>
      </c>
      <c r="AX385">
        <v>1.1262136561851774</v>
      </c>
      <c r="AY385">
        <v>-0.19629249469443186</v>
      </c>
      <c r="AZ385">
        <v>2.0545450273999744</v>
      </c>
      <c r="BA385">
        <v>2.1611148751268172</v>
      </c>
      <c r="BB385" t="s">
        <v>4619</v>
      </c>
      <c r="BD385" s="98"/>
      <c r="BE385" s="98"/>
      <c r="BF385" t="s">
        <v>1152</v>
      </c>
      <c r="BG385" t="s">
        <v>322</v>
      </c>
      <c r="BH385" t="s">
        <v>1153</v>
      </c>
      <c r="BI385">
        <v>0.19629249469443186</v>
      </c>
      <c r="BJ385" t="s">
        <v>991</v>
      </c>
      <c r="BK385">
        <v>0.57562455224720344</v>
      </c>
      <c r="BL385">
        <v>21.885453953293009</v>
      </c>
      <c r="BM385" t="s">
        <v>1260</v>
      </c>
      <c r="BN385" t="s">
        <v>1154</v>
      </c>
      <c r="BO385">
        <v>2025</v>
      </c>
      <c r="BP385" t="s">
        <v>966</v>
      </c>
      <c r="BQ385">
        <v>254269.32324866956</v>
      </c>
      <c r="BR385">
        <v>74.573067675133046</v>
      </c>
      <c r="BS385" t="s">
        <v>992</v>
      </c>
      <c r="BV385" t="s">
        <v>1034</v>
      </c>
      <c r="BW385" t="s">
        <v>943</v>
      </c>
      <c r="BX385" t="s">
        <v>994</v>
      </c>
      <c r="BY385">
        <v>2.1611148751268172</v>
      </c>
      <c r="BZ385" t="s">
        <v>1155</v>
      </c>
      <c r="CA385" t="s">
        <v>991</v>
      </c>
      <c r="CB385" t="b">
        <v>1</v>
      </c>
      <c r="CC385" t="b">
        <v>1</v>
      </c>
      <c r="CD385" t="b">
        <v>1</v>
      </c>
      <c r="CE385" t="b">
        <v>1</v>
      </c>
      <c r="CF385" t="b">
        <v>1</v>
      </c>
    </row>
    <row r="386" spans="1:84" x14ac:dyDescent="0.3">
      <c r="A386" t="s">
        <v>1984</v>
      </c>
      <c r="B386" t="s">
        <v>1191</v>
      </c>
      <c r="C386" s="98">
        <v>45726</v>
      </c>
      <c r="D386">
        <v>2025</v>
      </c>
      <c r="E386">
        <v>3</v>
      </c>
      <c r="F386">
        <v>1</v>
      </c>
      <c r="G386" t="s">
        <v>1187</v>
      </c>
      <c r="H386" t="s">
        <v>130</v>
      </c>
      <c r="I386" t="s">
        <v>130</v>
      </c>
      <c r="J386" t="s">
        <v>6</v>
      </c>
      <c r="L386">
        <v>522611</v>
      </c>
      <c r="M386" s="99" t="s">
        <v>178</v>
      </c>
      <c r="N386">
        <v>1</v>
      </c>
      <c r="O386">
        <v>10</v>
      </c>
      <c r="P386">
        <v>24.1431</v>
      </c>
      <c r="Q386" t="s">
        <v>352</v>
      </c>
      <c r="R386">
        <v>1</v>
      </c>
      <c r="S386">
        <v>23.837900000000001</v>
      </c>
      <c r="T386">
        <v>0.27439999999999998</v>
      </c>
      <c r="U386">
        <v>1.112244897959181</v>
      </c>
      <c r="V386">
        <v>23.014700000000001</v>
      </c>
      <c r="W386">
        <v>23.289100000000001</v>
      </c>
      <c r="X386">
        <v>23.563500000000001</v>
      </c>
      <c r="Y386">
        <v>24.112300000000001</v>
      </c>
      <c r="Z386">
        <v>24.386700000000001</v>
      </c>
      <c r="AA386">
        <v>24.661100000000001</v>
      </c>
      <c r="AD386">
        <v>2.6301695796471778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 t="s">
        <v>462</v>
      </c>
      <c r="AL386" t="s">
        <v>6</v>
      </c>
      <c r="AM386" t="s">
        <v>1145</v>
      </c>
      <c r="AN386" t="s">
        <v>1146</v>
      </c>
      <c r="AO386" s="100">
        <v>46262.040405092594</v>
      </c>
      <c r="AP386" t="s">
        <v>1147</v>
      </c>
      <c r="AQ386" t="s">
        <v>1985</v>
      </c>
      <c r="AR386" t="s">
        <v>1193</v>
      </c>
      <c r="AS386" t="s">
        <v>1150</v>
      </c>
      <c r="AT386" t="s">
        <v>1967</v>
      </c>
      <c r="AU386">
        <v>25</v>
      </c>
      <c r="AV386">
        <v>23.806176000000001</v>
      </c>
      <c r="AW386">
        <v>0.26810840512747824</v>
      </c>
      <c r="AX386">
        <v>1.1262136561851774</v>
      </c>
      <c r="AY386">
        <v>-0.19629249469443186</v>
      </c>
      <c r="AZ386">
        <v>2.0545450273999744</v>
      </c>
      <c r="BA386">
        <v>2.1611148751268172</v>
      </c>
      <c r="BB386" t="s">
        <v>4619</v>
      </c>
      <c r="BD386" s="98"/>
      <c r="BE386" s="98"/>
      <c r="BF386" t="s">
        <v>1152</v>
      </c>
      <c r="BG386" t="s">
        <v>322</v>
      </c>
      <c r="BH386" t="s">
        <v>1153</v>
      </c>
      <c r="BI386">
        <v>0.19629249469443186</v>
      </c>
      <c r="BJ386" t="s">
        <v>991</v>
      </c>
      <c r="BK386">
        <v>0.57562455224720344</v>
      </c>
      <c r="BL386">
        <v>21.885453953293009</v>
      </c>
      <c r="BM386" t="s">
        <v>1260</v>
      </c>
      <c r="BN386" t="s">
        <v>1154</v>
      </c>
      <c r="BO386">
        <v>2025</v>
      </c>
      <c r="BP386" t="s">
        <v>966</v>
      </c>
      <c r="BQ386">
        <v>254269.32324866956</v>
      </c>
      <c r="BR386">
        <v>74.573067675133046</v>
      </c>
      <c r="BS386" t="s">
        <v>992</v>
      </c>
      <c r="BV386" t="s">
        <v>1034</v>
      </c>
      <c r="BW386" t="s">
        <v>943</v>
      </c>
      <c r="BX386" t="s">
        <v>994</v>
      </c>
      <c r="BY386">
        <v>2.1611148751268172</v>
      </c>
      <c r="BZ386" t="s">
        <v>1155</v>
      </c>
      <c r="CA386" t="s">
        <v>991</v>
      </c>
      <c r="CB386" t="b">
        <v>1</v>
      </c>
      <c r="CC386" t="b">
        <v>1</v>
      </c>
      <c r="CD386" t="b">
        <v>1</v>
      </c>
      <c r="CE386" t="b">
        <v>1</v>
      </c>
      <c r="CF386" t="b">
        <v>1</v>
      </c>
    </row>
    <row r="387" spans="1:84" x14ac:dyDescent="0.3">
      <c r="A387" t="s">
        <v>1986</v>
      </c>
      <c r="B387" t="s">
        <v>1195</v>
      </c>
      <c r="C387" s="98">
        <v>45733</v>
      </c>
      <c r="D387">
        <v>2025</v>
      </c>
      <c r="E387">
        <v>3</v>
      </c>
      <c r="F387">
        <v>1</v>
      </c>
      <c r="G387" t="s">
        <v>1187</v>
      </c>
      <c r="H387" t="s">
        <v>130</v>
      </c>
      <c r="I387" t="s">
        <v>130</v>
      </c>
      <c r="J387" t="s">
        <v>6</v>
      </c>
      <c r="L387">
        <v>522611</v>
      </c>
      <c r="M387" s="99" t="s">
        <v>178</v>
      </c>
      <c r="N387">
        <v>1</v>
      </c>
      <c r="O387">
        <v>11</v>
      </c>
      <c r="P387">
        <v>24.1295</v>
      </c>
      <c r="Q387" t="s">
        <v>352</v>
      </c>
      <c r="R387">
        <v>1</v>
      </c>
      <c r="S387">
        <v>23.837900000000001</v>
      </c>
      <c r="T387">
        <v>0.27439999999999998</v>
      </c>
      <c r="U387">
        <v>1.0626822157434366</v>
      </c>
      <c r="V387">
        <v>23.014700000000001</v>
      </c>
      <c r="W387">
        <v>23.289100000000001</v>
      </c>
      <c r="X387">
        <v>23.563500000000001</v>
      </c>
      <c r="Y387">
        <v>24.112300000000001</v>
      </c>
      <c r="Z387">
        <v>24.386700000000001</v>
      </c>
      <c r="AA387">
        <v>24.661100000000001</v>
      </c>
      <c r="AD387">
        <v>2.6301695796471778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 t="s">
        <v>462</v>
      </c>
      <c r="AL387" t="s">
        <v>6</v>
      </c>
      <c r="AM387" t="s">
        <v>1145</v>
      </c>
      <c r="AN387" t="s">
        <v>1146</v>
      </c>
      <c r="AO387" s="100">
        <v>46262.040405092594</v>
      </c>
      <c r="AP387" t="s">
        <v>1147</v>
      </c>
      <c r="AQ387" t="s">
        <v>1987</v>
      </c>
      <c r="AR387" t="s">
        <v>1197</v>
      </c>
      <c r="AS387" t="s">
        <v>1150</v>
      </c>
      <c r="AT387" t="s">
        <v>1967</v>
      </c>
      <c r="AU387">
        <v>25</v>
      </c>
      <c r="AV387">
        <v>23.806176000000001</v>
      </c>
      <c r="AW387">
        <v>0.26810840512747824</v>
      </c>
      <c r="AX387">
        <v>1.1262136561851774</v>
      </c>
      <c r="AY387">
        <v>-0.19629249469443186</v>
      </c>
      <c r="AZ387">
        <v>2.0545450273999744</v>
      </c>
      <c r="BA387">
        <v>2.1611148751268172</v>
      </c>
      <c r="BB387" t="s">
        <v>4619</v>
      </c>
      <c r="BD387" s="98"/>
      <c r="BE387" s="98"/>
      <c r="BF387" t="s">
        <v>1152</v>
      </c>
      <c r="BG387" t="s">
        <v>322</v>
      </c>
      <c r="BH387" t="s">
        <v>1153</v>
      </c>
      <c r="BI387">
        <v>0.19629249469443186</v>
      </c>
      <c r="BJ387" t="s">
        <v>991</v>
      </c>
      <c r="BK387">
        <v>0.57562455224720344</v>
      </c>
      <c r="BL387">
        <v>21.885453953293009</v>
      </c>
      <c r="BM387" t="s">
        <v>1260</v>
      </c>
      <c r="BN387" t="s">
        <v>1154</v>
      </c>
      <c r="BO387">
        <v>2025</v>
      </c>
      <c r="BP387" t="s">
        <v>966</v>
      </c>
      <c r="BQ387">
        <v>254269.32324866956</v>
      </c>
      <c r="BR387">
        <v>74.573067675133046</v>
      </c>
      <c r="BS387" t="s">
        <v>992</v>
      </c>
      <c r="BV387" t="s">
        <v>1034</v>
      </c>
      <c r="BW387" t="s">
        <v>943</v>
      </c>
      <c r="BX387" t="s">
        <v>994</v>
      </c>
      <c r="BY387">
        <v>2.1611148751268172</v>
      </c>
      <c r="BZ387" t="s">
        <v>1155</v>
      </c>
      <c r="CA387" t="s">
        <v>991</v>
      </c>
      <c r="CB387" t="b">
        <v>1</v>
      </c>
      <c r="CC387" t="b">
        <v>1</v>
      </c>
      <c r="CD387" t="b">
        <v>1</v>
      </c>
      <c r="CE387" t="b">
        <v>1</v>
      </c>
      <c r="CF387" t="b">
        <v>1</v>
      </c>
    </row>
    <row r="388" spans="1:84" x14ac:dyDescent="0.3">
      <c r="A388" t="s">
        <v>1988</v>
      </c>
      <c r="B388" t="s">
        <v>1199</v>
      </c>
      <c r="C388" s="98">
        <v>45740</v>
      </c>
      <c r="D388">
        <v>2025</v>
      </c>
      <c r="E388">
        <v>3</v>
      </c>
      <c r="F388">
        <v>1</v>
      </c>
      <c r="G388" t="s">
        <v>1187</v>
      </c>
      <c r="H388" t="s">
        <v>130</v>
      </c>
      <c r="I388" t="s">
        <v>130</v>
      </c>
      <c r="J388" t="s">
        <v>6</v>
      </c>
      <c r="L388">
        <v>522611</v>
      </c>
      <c r="M388" s="99" t="s">
        <v>178</v>
      </c>
      <c r="N388">
        <v>1</v>
      </c>
      <c r="O388">
        <v>12</v>
      </c>
      <c r="P388">
        <v>24.1356</v>
      </c>
      <c r="Q388" t="s">
        <v>352</v>
      </c>
      <c r="R388">
        <v>1</v>
      </c>
      <c r="S388">
        <v>23.837900000000001</v>
      </c>
      <c r="T388">
        <v>0.27439999999999998</v>
      </c>
      <c r="U388">
        <v>1.0849125364431451</v>
      </c>
      <c r="V388">
        <v>23.014700000000001</v>
      </c>
      <c r="W388">
        <v>23.289100000000001</v>
      </c>
      <c r="X388">
        <v>23.563500000000001</v>
      </c>
      <c r="Y388">
        <v>24.112300000000001</v>
      </c>
      <c r="Z388">
        <v>24.386700000000001</v>
      </c>
      <c r="AA388">
        <v>24.661100000000001</v>
      </c>
      <c r="AD388">
        <v>2.6301695796471778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 t="s">
        <v>462</v>
      </c>
      <c r="AL388" t="s">
        <v>6</v>
      </c>
      <c r="AM388" t="s">
        <v>1145</v>
      </c>
      <c r="AN388" t="s">
        <v>1146</v>
      </c>
      <c r="AO388" s="100">
        <v>46262.040405092594</v>
      </c>
      <c r="AP388" t="s">
        <v>1147</v>
      </c>
      <c r="AQ388" t="s">
        <v>1989</v>
      </c>
      <c r="AR388" t="s">
        <v>1201</v>
      </c>
      <c r="AS388" t="s">
        <v>1150</v>
      </c>
      <c r="AT388" t="s">
        <v>1967</v>
      </c>
      <c r="AU388">
        <v>25</v>
      </c>
      <c r="AV388">
        <v>23.806176000000001</v>
      </c>
      <c r="AW388">
        <v>0.26810840512747824</v>
      </c>
      <c r="AX388">
        <v>1.1262136561851774</v>
      </c>
      <c r="AY388">
        <v>-0.19629249469443186</v>
      </c>
      <c r="AZ388">
        <v>2.0545450273999744</v>
      </c>
      <c r="BA388">
        <v>2.1611148751268172</v>
      </c>
      <c r="BB388" t="s">
        <v>4619</v>
      </c>
      <c r="BD388" s="98"/>
      <c r="BE388" s="98"/>
      <c r="BF388" t="s">
        <v>1152</v>
      </c>
      <c r="BG388" t="s">
        <v>322</v>
      </c>
      <c r="BH388" t="s">
        <v>1153</v>
      </c>
      <c r="BI388">
        <v>0.19629249469443186</v>
      </c>
      <c r="BJ388" t="s">
        <v>991</v>
      </c>
      <c r="BK388">
        <v>0.57562455224720344</v>
      </c>
      <c r="BL388">
        <v>21.885453953293009</v>
      </c>
      <c r="BM388" t="s">
        <v>1260</v>
      </c>
      <c r="BN388" t="s">
        <v>1154</v>
      </c>
      <c r="BO388">
        <v>2025</v>
      </c>
      <c r="BP388" t="s">
        <v>966</v>
      </c>
      <c r="BQ388">
        <v>254269.32324866956</v>
      </c>
      <c r="BR388">
        <v>74.573067675133046</v>
      </c>
      <c r="BS388" t="s">
        <v>992</v>
      </c>
      <c r="BV388" t="s">
        <v>1034</v>
      </c>
      <c r="BW388" t="s">
        <v>943</v>
      </c>
      <c r="BX388" t="s">
        <v>994</v>
      </c>
      <c r="BY388">
        <v>2.1611148751268172</v>
      </c>
      <c r="BZ388" t="s">
        <v>1155</v>
      </c>
      <c r="CA388" t="s">
        <v>991</v>
      </c>
      <c r="CB388" t="b">
        <v>1</v>
      </c>
      <c r="CC388" t="b">
        <v>1</v>
      </c>
      <c r="CD388" t="b">
        <v>1</v>
      </c>
      <c r="CE388" t="b">
        <v>1</v>
      </c>
      <c r="CF388" t="b">
        <v>1</v>
      </c>
    </row>
    <row r="389" spans="1:84" x14ac:dyDescent="0.3">
      <c r="A389" t="s">
        <v>1990</v>
      </c>
      <c r="B389" t="s">
        <v>1203</v>
      </c>
      <c r="C389" s="98">
        <v>45747</v>
      </c>
      <c r="D389">
        <v>2025</v>
      </c>
      <c r="E389">
        <v>3</v>
      </c>
      <c r="F389">
        <v>1</v>
      </c>
      <c r="G389" t="s">
        <v>1187</v>
      </c>
      <c r="H389" t="s">
        <v>130</v>
      </c>
      <c r="I389" t="s">
        <v>130</v>
      </c>
      <c r="J389" t="s">
        <v>6</v>
      </c>
      <c r="L389">
        <v>522611</v>
      </c>
      <c r="M389" s="99" t="s">
        <v>178</v>
      </c>
      <c r="N389">
        <v>1</v>
      </c>
      <c r="O389">
        <v>13</v>
      </c>
      <c r="P389">
        <v>23.707899999999999</v>
      </c>
      <c r="Q389" t="s">
        <v>352</v>
      </c>
      <c r="R389">
        <v>1</v>
      </c>
      <c r="S389">
        <v>23.837900000000001</v>
      </c>
      <c r="T389">
        <v>0.27439999999999998</v>
      </c>
      <c r="U389">
        <v>-0.4737609329446158</v>
      </c>
      <c r="V389">
        <v>23.014700000000001</v>
      </c>
      <c r="W389">
        <v>23.289100000000001</v>
      </c>
      <c r="X389">
        <v>23.563500000000001</v>
      </c>
      <c r="Y389">
        <v>24.112300000000001</v>
      </c>
      <c r="Z389">
        <v>24.386700000000001</v>
      </c>
      <c r="AA389">
        <v>24.661100000000001</v>
      </c>
      <c r="AD389">
        <v>2.6301695796471778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 t="s">
        <v>462</v>
      </c>
      <c r="AL389" t="s">
        <v>6</v>
      </c>
      <c r="AM389" t="s">
        <v>1145</v>
      </c>
      <c r="AN389" t="s">
        <v>1146</v>
      </c>
      <c r="AO389" s="100">
        <v>46262.040405092594</v>
      </c>
      <c r="AP389" t="s">
        <v>1147</v>
      </c>
      <c r="AQ389" t="s">
        <v>1991</v>
      </c>
      <c r="AR389" t="s">
        <v>1205</v>
      </c>
      <c r="AS389" t="s">
        <v>1150</v>
      </c>
      <c r="AT389" t="s">
        <v>1967</v>
      </c>
      <c r="AU389">
        <v>25</v>
      </c>
      <c r="AV389">
        <v>23.806176000000001</v>
      </c>
      <c r="AW389">
        <v>0.26810840512747824</v>
      </c>
      <c r="AX389">
        <v>1.1262136561851774</v>
      </c>
      <c r="AY389">
        <v>-0.19629249469443186</v>
      </c>
      <c r="AZ389">
        <v>2.0545450273999744</v>
      </c>
      <c r="BA389">
        <v>2.1611148751268172</v>
      </c>
      <c r="BB389" t="s">
        <v>4619</v>
      </c>
      <c r="BD389" s="98"/>
      <c r="BE389" s="98"/>
      <c r="BF389" t="s">
        <v>1152</v>
      </c>
      <c r="BG389" t="s">
        <v>322</v>
      </c>
      <c r="BH389" t="s">
        <v>1153</v>
      </c>
      <c r="BI389">
        <v>0.19629249469443186</v>
      </c>
      <c r="BJ389" t="s">
        <v>991</v>
      </c>
      <c r="BK389">
        <v>0.57562455224720344</v>
      </c>
      <c r="BL389">
        <v>21.885453953293009</v>
      </c>
      <c r="BM389" t="s">
        <v>1260</v>
      </c>
      <c r="BN389" t="s">
        <v>1154</v>
      </c>
      <c r="BO389">
        <v>2025</v>
      </c>
      <c r="BP389" t="s">
        <v>966</v>
      </c>
      <c r="BQ389">
        <v>254269.32324866956</v>
      </c>
      <c r="BR389">
        <v>74.573067675133046</v>
      </c>
      <c r="BS389" t="s">
        <v>992</v>
      </c>
      <c r="BV389" t="s">
        <v>1034</v>
      </c>
      <c r="BW389" t="s">
        <v>943</v>
      </c>
      <c r="BX389" t="s">
        <v>994</v>
      </c>
      <c r="BY389">
        <v>2.1611148751268172</v>
      </c>
      <c r="BZ389" t="s">
        <v>1155</v>
      </c>
      <c r="CA389" t="s">
        <v>991</v>
      </c>
      <c r="CB389" t="b">
        <v>1</v>
      </c>
      <c r="CC389" t="b">
        <v>1</v>
      </c>
      <c r="CD389" t="b">
        <v>1</v>
      </c>
      <c r="CE389" t="b">
        <v>1</v>
      </c>
      <c r="CF389" t="b">
        <v>1</v>
      </c>
    </row>
    <row r="390" spans="1:84" x14ac:dyDescent="0.3">
      <c r="A390" t="s">
        <v>1992</v>
      </c>
      <c r="B390" t="s">
        <v>1207</v>
      </c>
      <c r="C390" s="98">
        <v>45754</v>
      </c>
      <c r="D390">
        <v>2025</v>
      </c>
      <c r="E390">
        <v>4</v>
      </c>
      <c r="F390">
        <v>2</v>
      </c>
      <c r="G390" t="s">
        <v>1208</v>
      </c>
      <c r="H390" t="s">
        <v>130</v>
      </c>
      <c r="I390" t="s">
        <v>130</v>
      </c>
      <c r="J390" t="s">
        <v>6</v>
      </c>
      <c r="L390">
        <v>522611</v>
      </c>
      <c r="M390" s="99" t="s">
        <v>178</v>
      </c>
      <c r="N390">
        <v>1</v>
      </c>
      <c r="O390">
        <v>14</v>
      </c>
      <c r="P390">
        <v>23.979099999999999</v>
      </c>
      <c r="Q390" t="s">
        <v>352</v>
      </c>
      <c r="R390">
        <v>1</v>
      </c>
      <c r="S390">
        <v>23.837900000000001</v>
      </c>
      <c r="T390">
        <v>0.27439999999999998</v>
      </c>
      <c r="U390">
        <v>0.5145772594752106</v>
      </c>
      <c r="V390">
        <v>23.014700000000001</v>
      </c>
      <c r="W390">
        <v>23.289100000000001</v>
      </c>
      <c r="X390">
        <v>23.563500000000001</v>
      </c>
      <c r="Y390">
        <v>24.112300000000001</v>
      </c>
      <c r="Z390">
        <v>24.386700000000001</v>
      </c>
      <c r="AA390">
        <v>24.661100000000001</v>
      </c>
      <c r="AD390">
        <v>2.6301695796471778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 t="s">
        <v>462</v>
      </c>
      <c r="AL390" t="s">
        <v>6</v>
      </c>
      <c r="AM390" t="s">
        <v>1145</v>
      </c>
      <c r="AN390" t="s">
        <v>1146</v>
      </c>
      <c r="AO390" s="100">
        <v>46262.040405092594</v>
      </c>
      <c r="AP390" t="s">
        <v>1147</v>
      </c>
      <c r="AQ390" t="s">
        <v>1993</v>
      </c>
      <c r="AR390" t="s">
        <v>1210</v>
      </c>
      <c r="AS390" t="s">
        <v>1150</v>
      </c>
      <c r="AT390" t="s">
        <v>1967</v>
      </c>
      <c r="AU390">
        <v>25</v>
      </c>
      <c r="AV390">
        <v>23.806176000000001</v>
      </c>
      <c r="AW390">
        <v>0.26810840512747824</v>
      </c>
      <c r="AX390">
        <v>1.1262136561851774</v>
      </c>
      <c r="AY390">
        <v>-0.19629249469443186</v>
      </c>
      <c r="AZ390">
        <v>2.0545450273999744</v>
      </c>
      <c r="BA390">
        <v>2.1611148751268172</v>
      </c>
      <c r="BB390" t="s">
        <v>4619</v>
      </c>
      <c r="BD390" s="98"/>
      <c r="BE390" s="98"/>
      <c r="BF390" t="s">
        <v>1152</v>
      </c>
      <c r="BG390" t="s">
        <v>322</v>
      </c>
      <c r="BH390" t="s">
        <v>1153</v>
      </c>
      <c r="BI390">
        <v>0.19629249469443186</v>
      </c>
      <c r="BJ390" t="s">
        <v>991</v>
      </c>
      <c r="BK390">
        <v>0.57562455224720344</v>
      </c>
      <c r="BL390">
        <v>21.885453953293009</v>
      </c>
      <c r="BM390" t="s">
        <v>1260</v>
      </c>
      <c r="BN390" t="s">
        <v>1154</v>
      </c>
      <c r="BO390">
        <v>2025</v>
      </c>
      <c r="BP390" t="s">
        <v>966</v>
      </c>
      <c r="BQ390">
        <v>254269.32324866956</v>
      </c>
      <c r="BR390">
        <v>74.573067675133046</v>
      </c>
      <c r="BS390" t="s">
        <v>992</v>
      </c>
      <c r="BV390" t="s">
        <v>1034</v>
      </c>
      <c r="BW390" t="s">
        <v>943</v>
      </c>
      <c r="BX390" t="s">
        <v>994</v>
      </c>
      <c r="BY390">
        <v>2.1611148751268172</v>
      </c>
      <c r="BZ390" t="s">
        <v>1155</v>
      </c>
      <c r="CA390" t="s">
        <v>991</v>
      </c>
      <c r="CB390" t="b">
        <v>1</v>
      </c>
      <c r="CC390" t="b">
        <v>1</v>
      </c>
      <c r="CD390" t="b">
        <v>1</v>
      </c>
      <c r="CE390" t="b">
        <v>1</v>
      </c>
      <c r="CF390" t="b">
        <v>1</v>
      </c>
    </row>
    <row r="391" spans="1:84" x14ac:dyDescent="0.3">
      <c r="A391" t="s">
        <v>1994</v>
      </c>
      <c r="B391" t="s">
        <v>1212</v>
      </c>
      <c r="C391" s="98">
        <v>45761</v>
      </c>
      <c r="D391">
        <v>2025</v>
      </c>
      <c r="E391">
        <v>4</v>
      </c>
      <c r="F391">
        <v>2</v>
      </c>
      <c r="G391" t="s">
        <v>1208</v>
      </c>
      <c r="H391" t="s">
        <v>130</v>
      </c>
      <c r="I391" t="s">
        <v>130</v>
      </c>
      <c r="J391" t="s">
        <v>6</v>
      </c>
      <c r="L391">
        <v>522611</v>
      </c>
      <c r="M391" s="99" t="s">
        <v>178</v>
      </c>
      <c r="N391">
        <v>1</v>
      </c>
      <c r="O391">
        <v>15</v>
      </c>
      <c r="P391">
        <v>23.8017</v>
      </c>
      <c r="Q391" t="s">
        <v>352</v>
      </c>
      <c r="R391">
        <v>1</v>
      </c>
      <c r="S391">
        <v>23.837900000000001</v>
      </c>
      <c r="T391">
        <v>0.27439999999999998</v>
      </c>
      <c r="U391">
        <v>-0.13192419825073215</v>
      </c>
      <c r="V391">
        <v>23.014700000000001</v>
      </c>
      <c r="W391">
        <v>23.289100000000001</v>
      </c>
      <c r="X391">
        <v>23.563500000000001</v>
      </c>
      <c r="Y391">
        <v>24.112300000000001</v>
      </c>
      <c r="Z391">
        <v>24.386700000000001</v>
      </c>
      <c r="AA391">
        <v>24.661100000000001</v>
      </c>
      <c r="AD391">
        <v>2.6301695796471778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 t="s">
        <v>462</v>
      </c>
      <c r="AL391" t="s">
        <v>6</v>
      </c>
      <c r="AM391" t="s">
        <v>1145</v>
      </c>
      <c r="AN391" t="s">
        <v>1146</v>
      </c>
      <c r="AO391" s="100">
        <v>46262.040405092594</v>
      </c>
      <c r="AP391" t="s">
        <v>1147</v>
      </c>
      <c r="AQ391" t="s">
        <v>1995</v>
      </c>
      <c r="AR391" t="s">
        <v>1215</v>
      </c>
      <c r="AS391" t="s">
        <v>1150</v>
      </c>
      <c r="AT391" t="s">
        <v>1967</v>
      </c>
      <c r="AU391">
        <v>25</v>
      </c>
      <c r="AV391">
        <v>23.806176000000001</v>
      </c>
      <c r="AW391">
        <v>0.26810840512747824</v>
      </c>
      <c r="AX391">
        <v>1.1262136561851774</v>
      </c>
      <c r="AY391">
        <v>-0.19629249469443186</v>
      </c>
      <c r="AZ391">
        <v>2.0545450273999744</v>
      </c>
      <c r="BA391">
        <v>2.1611148751268172</v>
      </c>
      <c r="BB391" t="s">
        <v>4619</v>
      </c>
      <c r="BD391" s="98"/>
      <c r="BE391" s="98"/>
      <c r="BF391" t="s">
        <v>1152</v>
      </c>
      <c r="BG391" t="s">
        <v>322</v>
      </c>
      <c r="BH391" t="s">
        <v>1153</v>
      </c>
      <c r="BI391">
        <v>0.19629249469443186</v>
      </c>
      <c r="BJ391" t="s">
        <v>991</v>
      </c>
      <c r="BK391">
        <v>0.57562455224720344</v>
      </c>
      <c r="BL391">
        <v>21.885453953293009</v>
      </c>
      <c r="BM391" t="s">
        <v>1260</v>
      </c>
      <c r="BN391" t="s">
        <v>1154</v>
      </c>
      <c r="BO391">
        <v>2025</v>
      </c>
      <c r="BP391" t="s">
        <v>966</v>
      </c>
      <c r="BQ391">
        <v>254269.32324866956</v>
      </c>
      <c r="BR391">
        <v>74.573067675133046</v>
      </c>
      <c r="BS391" t="s">
        <v>992</v>
      </c>
      <c r="BV391" t="s">
        <v>1034</v>
      </c>
      <c r="BW391" t="s">
        <v>943</v>
      </c>
      <c r="BX391" t="s">
        <v>994</v>
      </c>
      <c r="BY391">
        <v>2.1611148751268172</v>
      </c>
      <c r="BZ391" t="s">
        <v>1155</v>
      </c>
      <c r="CA391" t="s">
        <v>991</v>
      </c>
      <c r="CB391" t="b">
        <v>1</v>
      </c>
      <c r="CC391" t="b">
        <v>1</v>
      </c>
      <c r="CD391" t="b">
        <v>1</v>
      </c>
      <c r="CE391" t="b">
        <v>1</v>
      </c>
      <c r="CF391" t="b">
        <v>1</v>
      </c>
    </row>
    <row r="392" spans="1:84" x14ac:dyDescent="0.3">
      <c r="A392" t="s">
        <v>1996</v>
      </c>
      <c r="B392" t="s">
        <v>1217</v>
      </c>
      <c r="C392" s="98">
        <v>45768</v>
      </c>
      <c r="D392">
        <v>2025</v>
      </c>
      <c r="E392">
        <v>4</v>
      </c>
      <c r="F392">
        <v>2</v>
      </c>
      <c r="G392" t="s">
        <v>1208</v>
      </c>
      <c r="H392" t="s">
        <v>130</v>
      </c>
      <c r="I392" t="s">
        <v>130</v>
      </c>
      <c r="J392" t="s">
        <v>6</v>
      </c>
      <c r="L392">
        <v>522611</v>
      </c>
      <c r="M392" s="99" t="s">
        <v>178</v>
      </c>
      <c r="N392">
        <v>1</v>
      </c>
      <c r="O392">
        <v>16</v>
      </c>
      <c r="P392">
        <v>23.731200000000001</v>
      </c>
      <c r="Q392" t="s">
        <v>352</v>
      </c>
      <c r="R392">
        <v>1</v>
      </c>
      <c r="S392">
        <v>23.837900000000001</v>
      </c>
      <c r="T392">
        <v>0.27439999999999998</v>
      </c>
      <c r="U392">
        <v>-0.3888483965014578</v>
      </c>
      <c r="V392">
        <v>23.014700000000001</v>
      </c>
      <c r="W392">
        <v>23.289100000000001</v>
      </c>
      <c r="X392">
        <v>23.563500000000001</v>
      </c>
      <c r="Y392">
        <v>24.112300000000001</v>
      </c>
      <c r="Z392">
        <v>24.386700000000001</v>
      </c>
      <c r="AA392">
        <v>24.661100000000001</v>
      </c>
      <c r="AD392">
        <v>2.6301695796471778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 t="s">
        <v>462</v>
      </c>
      <c r="AL392" t="s">
        <v>6</v>
      </c>
      <c r="AM392" t="s">
        <v>1145</v>
      </c>
      <c r="AN392" t="s">
        <v>1146</v>
      </c>
      <c r="AO392" s="100">
        <v>46262.040405092594</v>
      </c>
      <c r="AP392" t="s">
        <v>1147</v>
      </c>
      <c r="AQ392" t="s">
        <v>1997</v>
      </c>
      <c r="AR392" t="s">
        <v>1219</v>
      </c>
      <c r="AS392" t="s">
        <v>1150</v>
      </c>
      <c r="AT392" t="s">
        <v>1967</v>
      </c>
      <c r="AU392">
        <v>25</v>
      </c>
      <c r="AV392">
        <v>23.806176000000001</v>
      </c>
      <c r="AW392">
        <v>0.26810840512747824</v>
      </c>
      <c r="AX392">
        <v>1.1262136561851774</v>
      </c>
      <c r="AY392">
        <v>-0.19629249469443186</v>
      </c>
      <c r="AZ392">
        <v>2.0545450273999744</v>
      </c>
      <c r="BA392">
        <v>2.1611148751268172</v>
      </c>
      <c r="BB392" t="s">
        <v>4619</v>
      </c>
      <c r="BD392" s="98"/>
      <c r="BE392" s="98"/>
      <c r="BF392" t="s">
        <v>1152</v>
      </c>
      <c r="BG392" t="s">
        <v>322</v>
      </c>
      <c r="BH392" t="s">
        <v>1153</v>
      </c>
      <c r="BI392">
        <v>0.19629249469443186</v>
      </c>
      <c r="BJ392" t="s">
        <v>991</v>
      </c>
      <c r="BK392">
        <v>0.57562455224720344</v>
      </c>
      <c r="BL392">
        <v>21.885453953293009</v>
      </c>
      <c r="BM392" t="s">
        <v>1260</v>
      </c>
      <c r="BN392" t="s">
        <v>1154</v>
      </c>
      <c r="BO392">
        <v>2025</v>
      </c>
      <c r="BP392" t="s">
        <v>966</v>
      </c>
      <c r="BQ392">
        <v>254269.32324866956</v>
      </c>
      <c r="BR392">
        <v>74.573067675133046</v>
      </c>
      <c r="BS392" t="s">
        <v>992</v>
      </c>
      <c r="BV392" t="s">
        <v>1034</v>
      </c>
      <c r="BW392" t="s">
        <v>943</v>
      </c>
      <c r="BX392" t="s">
        <v>994</v>
      </c>
      <c r="BY392">
        <v>2.1611148751268172</v>
      </c>
      <c r="BZ392" t="s">
        <v>1155</v>
      </c>
      <c r="CA392" t="s">
        <v>991</v>
      </c>
      <c r="CB392" t="b">
        <v>1</v>
      </c>
      <c r="CC392" t="b">
        <v>1</v>
      </c>
      <c r="CD392" t="b">
        <v>1</v>
      </c>
      <c r="CE392" t="b">
        <v>1</v>
      </c>
      <c r="CF392" t="b">
        <v>1</v>
      </c>
    </row>
    <row r="393" spans="1:84" x14ac:dyDescent="0.3">
      <c r="A393" t="s">
        <v>1998</v>
      </c>
      <c r="B393" t="s">
        <v>1221</v>
      </c>
      <c r="C393" s="98">
        <v>45775</v>
      </c>
      <c r="D393">
        <v>2025</v>
      </c>
      <c r="E393">
        <v>4</v>
      </c>
      <c r="F393">
        <v>2</v>
      </c>
      <c r="G393" t="s">
        <v>1208</v>
      </c>
      <c r="H393" t="s">
        <v>130</v>
      </c>
      <c r="I393" t="s">
        <v>130</v>
      </c>
      <c r="J393" t="s">
        <v>6</v>
      </c>
      <c r="L393">
        <v>522611</v>
      </c>
      <c r="M393" s="99" t="s">
        <v>178</v>
      </c>
      <c r="N393">
        <v>1</v>
      </c>
      <c r="O393">
        <v>17</v>
      </c>
      <c r="P393">
        <v>23.744900000000001</v>
      </c>
      <c r="Q393" t="s">
        <v>352</v>
      </c>
      <c r="R393">
        <v>1</v>
      </c>
      <c r="S393">
        <v>23.837900000000001</v>
      </c>
      <c r="T393">
        <v>0.27439999999999998</v>
      </c>
      <c r="U393">
        <v>-0.33892128279883377</v>
      </c>
      <c r="V393">
        <v>23.014700000000001</v>
      </c>
      <c r="W393">
        <v>23.289100000000001</v>
      </c>
      <c r="X393">
        <v>23.563500000000001</v>
      </c>
      <c r="Y393">
        <v>24.112300000000001</v>
      </c>
      <c r="Z393">
        <v>24.386700000000001</v>
      </c>
      <c r="AA393">
        <v>24.661100000000001</v>
      </c>
      <c r="AD393">
        <v>2.6301695796471778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 t="s">
        <v>462</v>
      </c>
      <c r="AL393" t="s">
        <v>6</v>
      </c>
      <c r="AM393" t="s">
        <v>1145</v>
      </c>
      <c r="AN393" t="s">
        <v>1146</v>
      </c>
      <c r="AO393" s="100">
        <v>46262.040405092594</v>
      </c>
      <c r="AP393" t="s">
        <v>1147</v>
      </c>
      <c r="AQ393" t="s">
        <v>1999</v>
      </c>
      <c r="AR393" t="s">
        <v>1223</v>
      </c>
      <c r="AS393" t="s">
        <v>1150</v>
      </c>
      <c r="AT393" t="s">
        <v>1967</v>
      </c>
      <c r="AU393">
        <v>25</v>
      </c>
      <c r="AV393">
        <v>23.806176000000001</v>
      </c>
      <c r="AW393">
        <v>0.26810840512747824</v>
      </c>
      <c r="AX393">
        <v>1.1262136561851774</v>
      </c>
      <c r="AY393">
        <v>-0.19629249469443186</v>
      </c>
      <c r="AZ393">
        <v>2.0545450273999744</v>
      </c>
      <c r="BA393">
        <v>2.1611148751268172</v>
      </c>
      <c r="BB393" t="s">
        <v>4619</v>
      </c>
      <c r="BD393" s="98"/>
      <c r="BE393" s="98"/>
      <c r="BF393" t="s">
        <v>1152</v>
      </c>
      <c r="BG393" t="s">
        <v>322</v>
      </c>
      <c r="BH393" t="s">
        <v>1153</v>
      </c>
      <c r="BI393">
        <v>0.19629249469443186</v>
      </c>
      <c r="BJ393" t="s">
        <v>991</v>
      </c>
      <c r="BK393">
        <v>0.57562455224720344</v>
      </c>
      <c r="BL393">
        <v>21.885453953293009</v>
      </c>
      <c r="BM393" t="s">
        <v>1260</v>
      </c>
      <c r="BN393" t="s">
        <v>1154</v>
      </c>
      <c r="BO393">
        <v>2025</v>
      </c>
      <c r="BP393" t="s">
        <v>966</v>
      </c>
      <c r="BQ393">
        <v>254269.32324866956</v>
      </c>
      <c r="BR393">
        <v>74.573067675133046</v>
      </c>
      <c r="BS393" t="s">
        <v>992</v>
      </c>
      <c r="BV393" t="s">
        <v>1034</v>
      </c>
      <c r="BW393" t="s">
        <v>943</v>
      </c>
      <c r="BX393" t="s">
        <v>994</v>
      </c>
      <c r="BY393">
        <v>2.1611148751268172</v>
      </c>
      <c r="BZ393" t="s">
        <v>1155</v>
      </c>
      <c r="CA393" t="s">
        <v>991</v>
      </c>
      <c r="CB393" t="b">
        <v>1</v>
      </c>
      <c r="CC393" t="b">
        <v>1</v>
      </c>
      <c r="CD393" t="b">
        <v>1</v>
      </c>
      <c r="CE393" t="b">
        <v>1</v>
      </c>
      <c r="CF393" t="b">
        <v>1</v>
      </c>
    </row>
    <row r="394" spans="1:84" x14ac:dyDescent="0.3">
      <c r="A394" t="s">
        <v>2000</v>
      </c>
      <c r="B394" t="s">
        <v>1225</v>
      </c>
      <c r="C394" s="98">
        <v>45782</v>
      </c>
      <c r="D394">
        <v>2025</v>
      </c>
      <c r="E394">
        <v>5</v>
      </c>
      <c r="F394">
        <v>2</v>
      </c>
      <c r="G394" t="s">
        <v>1226</v>
      </c>
      <c r="H394" t="s">
        <v>130</v>
      </c>
      <c r="I394" t="s">
        <v>130</v>
      </c>
      <c r="J394" t="s">
        <v>6</v>
      </c>
      <c r="L394">
        <v>522611</v>
      </c>
      <c r="M394" s="99" t="s">
        <v>178</v>
      </c>
      <c r="N394">
        <v>1</v>
      </c>
      <c r="O394">
        <v>18</v>
      </c>
      <c r="P394">
        <v>23.481300000000001</v>
      </c>
      <c r="Q394" t="s">
        <v>352</v>
      </c>
      <c r="R394">
        <v>1</v>
      </c>
      <c r="S394">
        <v>23.837900000000001</v>
      </c>
      <c r="T394">
        <v>0.27439999999999998</v>
      </c>
      <c r="U394">
        <v>-1.2995626822157444</v>
      </c>
      <c r="V394">
        <v>23.014700000000001</v>
      </c>
      <c r="W394">
        <v>23.289100000000001</v>
      </c>
      <c r="X394">
        <v>23.563500000000001</v>
      </c>
      <c r="Y394">
        <v>24.112300000000001</v>
      </c>
      <c r="Z394">
        <v>24.386700000000001</v>
      </c>
      <c r="AA394">
        <v>24.661100000000001</v>
      </c>
      <c r="AD394">
        <v>2.6301695796471778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 t="s">
        <v>462</v>
      </c>
      <c r="AL394" t="s">
        <v>6</v>
      </c>
      <c r="AM394" t="s">
        <v>1145</v>
      </c>
      <c r="AN394" t="s">
        <v>1146</v>
      </c>
      <c r="AO394" s="100">
        <v>46262.040405092594</v>
      </c>
      <c r="AP394" t="s">
        <v>1147</v>
      </c>
      <c r="AQ394" t="s">
        <v>2001</v>
      </c>
      <c r="AR394" t="s">
        <v>1228</v>
      </c>
      <c r="AS394" t="s">
        <v>1150</v>
      </c>
      <c r="AT394" t="s">
        <v>1967</v>
      </c>
      <c r="AU394">
        <v>25</v>
      </c>
      <c r="AV394">
        <v>23.806176000000001</v>
      </c>
      <c r="AW394">
        <v>0.26810840512747824</v>
      </c>
      <c r="AX394">
        <v>1.1262136561851774</v>
      </c>
      <c r="AY394">
        <v>-0.19629249469443186</v>
      </c>
      <c r="AZ394">
        <v>2.0545450273999744</v>
      </c>
      <c r="BA394">
        <v>2.1611148751268172</v>
      </c>
      <c r="BB394" t="s">
        <v>4619</v>
      </c>
      <c r="BD394" s="98"/>
      <c r="BE394" s="98"/>
      <c r="BF394" t="s">
        <v>1152</v>
      </c>
      <c r="BG394" t="s">
        <v>322</v>
      </c>
      <c r="BH394" t="s">
        <v>1153</v>
      </c>
      <c r="BI394">
        <v>0.19629249469443186</v>
      </c>
      <c r="BJ394" t="s">
        <v>991</v>
      </c>
      <c r="BK394">
        <v>0.57562455224720344</v>
      </c>
      <c r="BL394">
        <v>21.885453953293009</v>
      </c>
      <c r="BM394" t="s">
        <v>1260</v>
      </c>
      <c r="BN394" t="s">
        <v>1154</v>
      </c>
      <c r="BO394">
        <v>2025</v>
      </c>
      <c r="BP394" t="s">
        <v>966</v>
      </c>
      <c r="BQ394">
        <v>254269.32324866956</v>
      </c>
      <c r="BR394">
        <v>74.573067675133046</v>
      </c>
      <c r="BS394" t="s">
        <v>992</v>
      </c>
      <c r="BV394" t="s">
        <v>1034</v>
      </c>
      <c r="BW394" t="s">
        <v>943</v>
      </c>
      <c r="BX394" t="s">
        <v>994</v>
      </c>
      <c r="BY394">
        <v>2.1611148751268172</v>
      </c>
      <c r="BZ394" t="s">
        <v>1155</v>
      </c>
      <c r="CA394" t="s">
        <v>991</v>
      </c>
      <c r="CB394" t="b">
        <v>1</v>
      </c>
      <c r="CC394" t="b">
        <v>1</v>
      </c>
      <c r="CD394" t="b">
        <v>1</v>
      </c>
      <c r="CE394" t="b">
        <v>1</v>
      </c>
      <c r="CF394" t="b">
        <v>1</v>
      </c>
    </row>
    <row r="395" spans="1:84" x14ac:dyDescent="0.3">
      <c r="A395" t="s">
        <v>2002</v>
      </c>
      <c r="B395" t="s">
        <v>1230</v>
      </c>
      <c r="C395" s="98">
        <v>45789</v>
      </c>
      <c r="D395">
        <v>2025</v>
      </c>
      <c r="E395">
        <v>5</v>
      </c>
      <c r="F395">
        <v>2</v>
      </c>
      <c r="G395" t="s">
        <v>1226</v>
      </c>
      <c r="H395" t="s">
        <v>130</v>
      </c>
      <c r="I395" t="s">
        <v>130</v>
      </c>
      <c r="J395" t="s">
        <v>6</v>
      </c>
      <c r="L395">
        <v>522611</v>
      </c>
      <c r="M395" s="99" t="s">
        <v>178</v>
      </c>
      <c r="N395">
        <v>1</v>
      </c>
      <c r="O395">
        <v>19</v>
      </c>
      <c r="P395">
        <v>23.441700000000001</v>
      </c>
      <c r="Q395" t="s">
        <v>352</v>
      </c>
      <c r="R395">
        <v>1</v>
      </c>
      <c r="S395">
        <v>23.837900000000001</v>
      </c>
      <c r="T395">
        <v>0.27439999999999998</v>
      </c>
      <c r="U395">
        <v>-1.4438775510204094</v>
      </c>
      <c r="V395">
        <v>23.014700000000001</v>
      </c>
      <c r="W395">
        <v>23.289100000000001</v>
      </c>
      <c r="X395">
        <v>23.563500000000001</v>
      </c>
      <c r="Y395">
        <v>24.112300000000001</v>
      </c>
      <c r="Z395">
        <v>24.386700000000001</v>
      </c>
      <c r="AA395">
        <v>24.661100000000001</v>
      </c>
      <c r="AD395">
        <v>2.6301695796471778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 t="s">
        <v>462</v>
      </c>
      <c r="AL395" t="s">
        <v>6</v>
      </c>
      <c r="AM395" t="s">
        <v>1145</v>
      </c>
      <c r="AN395" t="s">
        <v>1146</v>
      </c>
      <c r="AO395" s="100">
        <v>46262.040405092594</v>
      </c>
      <c r="AP395" t="s">
        <v>1147</v>
      </c>
      <c r="AQ395" t="s">
        <v>2003</v>
      </c>
      <c r="AR395" t="s">
        <v>1232</v>
      </c>
      <c r="AS395" t="s">
        <v>1150</v>
      </c>
      <c r="AT395" t="s">
        <v>1967</v>
      </c>
      <c r="AU395">
        <v>25</v>
      </c>
      <c r="AV395">
        <v>23.806176000000001</v>
      </c>
      <c r="AW395">
        <v>0.26810840512747824</v>
      </c>
      <c r="AX395">
        <v>1.1262136561851774</v>
      </c>
      <c r="AY395">
        <v>-0.19629249469443186</v>
      </c>
      <c r="AZ395">
        <v>2.0545450273999744</v>
      </c>
      <c r="BA395">
        <v>2.1611148751268172</v>
      </c>
      <c r="BB395" t="s">
        <v>4619</v>
      </c>
      <c r="BD395" s="98"/>
      <c r="BE395" s="98"/>
      <c r="BF395" t="s">
        <v>1152</v>
      </c>
      <c r="BG395" t="s">
        <v>322</v>
      </c>
      <c r="BH395" t="s">
        <v>1153</v>
      </c>
      <c r="BI395">
        <v>0.19629249469443186</v>
      </c>
      <c r="BJ395" t="s">
        <v>991</v>
      </c>
      <c r="BK395">
        <v>0.57562455224720344</v>
      </c>
      <c r="BL395">
        <v>21.885453953293009</v>
      </c>
      <c r="BM395" t="s">
        <v>1260</v>
      </c>
      <c r="BN395" t="s">
        <v>1154</v>
      </c>
      <c r="BO395">
        <v>2025</v>
      </c>
      <c r="BP395" t="s">
        <v>966</v>
      </c>
      <c r="BQ395">
        <v>254269.32324866956</v>
      </c>
      <c r="BR395">
        <v>74.573067675133046</v>
      </c>
      <c r="BS395" t="s">
        <v>992</v>
      </c>
      <c r="BV395" t="s">
        <v>1034</v>
      </c>
      <c r="BW395" t="s">
        <v>943</v>
      </c>
      <c r="BX395" t="s">
        <v>994</v>
      </c>
      <c r="BY395">
        <v>2.1611148751268172</v>
      </c>
      <c r="BZ395" t="s">
        <v>1155</v>
      </c>
      <c r="CA395" t="s">
        <v>991</v>
      </c>
      <c r="CB395" t="b">
        <v>1</v>
      </c>
      <c r="CC395" t="b">
        <v>1</v>
      </c>
      <c r="CD395" t="b">
        <v>1</v>
      </c>
      <c r="CE395" t="b">
        <v>1</v>
      </c>
      <c r="CF395" t="b">
        <v>1</v>
      </c>
    </row>
    <row r="396" spans="1:84" x14ac:dyDescent="0.3">
      <c r="A396" t="s">
        <v>2004</v>
      </c>
      <c r="B396" t="s">
        <v>1234</v>
      </c>
      <c r="C396" s="98">
        <v>45796</v>
      </c>
      <c r="D396">
        <v>2025</v>
      </c>
      <c r="E396">
        <v>5</v>
      </c>
      <c r="F396">
        <v>2</v>
      </c>
      <c r="G396" t="s">
        <v>1226</v>
      </c>
      <c r="H396" t="s">
        <v>130</v>
      </c>
      <c r="I396" t="s">
        <v>130</v>
      </c>
      <c r="J396" t="s">
        <v>6</v>
      </c>
      <c r="L396">
        <v>522611</v>
      </c>
      <c r="M396" s="99" t="s">
        <v>178</v>
      </c>
      <c r="N396">
        <v>1</v>
      </c>
      <c r="O396">
        <v>20</v>
      </c>
      <c r="P396">
        <v>24.055900000000001</v>
      </c>
      <c r="Q396" t="s">
        <v>352</v>
      </c>
      <c r="R396">
        <v>1</v>
      </c>
      <c r="S396">
        <v>23.837900000000001</v>
      </c>
      <c r="T396">
        <v>0.27439999999999998</v>
      </c>
      <c r="U396">
        <v>0.79446064139941686</v>
      </c>
      <c r="V396">
        <v>23.014700000000001</v>
      </c>
      <c r="W396">
        <v>23.289100000000001</v>
      </c>
      <c r="X396">
        <v>23.563500000000001</v>
      </c>
      <c r="Y396">
        <v>24.112300000000001</v>
      </c>
      <c r="Z396">
        <v>24.386700000000001</v>
      </c>
      <c r="AA396">
        <v>24.661100000000001</v>
      </c>
      <c r="AD396">
        <v>2.6301695796471778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 t="s">
        <v>462</v>
      </c>
      <c r="AL396" t="s">
        <v>6</v>
      </c>
      <c r="AM396" t="s">
        <v>1145</v>
      </c>
      <c r="AN396" t="s">
        <v>1146</v>
      </c>
      <c r="AO396" s="100">
        <v>46262.040405092594</v>
      </c>
      <c r="AP396" t="s">
        <v>1147</v>
      </c>
      <c r="AQ396" t="s">
        <v>2005</v>
      </c>
      <c r="AR396" t="s">
        <v>1236</v>
      </c>
      <c r="AS396" t="s">
        <v>1150</v>
      </c>
      <c r="AT396" t="s">
        <v>1967</v>
      </c>
      <c r="AU396">
        <v>25</v>
      </c>
      <c r="AV396">
        <v>23.806176000000001</v>
      </c>
      <c r="AW396">
        <v>0.26810840512747824</v>
      </c>
      <c r="AX396">
        <v>1.1262136561851774</v>
      </c>
      <c r="AY396">
        <v>-0.19629249469443186</v>
      </c>
      <c r="AZ396">
        <v>2.0545450273999744</v>
      </c>
      <c r="BA396">
        <v>2.1611148751268172</v>
      </c>
      <c r="BB396" t="s">
        <v>4619</v>
      </c>
      <c r="BD396" s="98"/>
      <c r="BE396" s="98"/>
      <c r="BF396" t="s">
        <v>1152</v>
      </c>
      <c r="BG396" t="s">
        <v>322</v>
      </c>
      <c r="BH396" t="s">
        <v>1153</v>
      </c>
      <c r="BI396">
        <v>0.19629249469443186</v>
      </c>
      <c r="BJ396" t="s">
        <v>991</v>
      </c>
      <c r="BK396">
        <v>0.57562455224720344</v>
      </c>
      <c r="BL396">
        <v>21.885453953293009</v>
      </c>
      <c r="BM396" t="s">
        <v>1260</v>
      </c>
      <c r="BN396" t="s">
        <v>1154</v>
      </c>
      <c r="BO396">
        <v>2025</v>
      </c>
      <c r="BP396" t="s">
        <v>966</v>
      </c>
      <c r="BQ396">
        <v>254269.32324866956</v>
      </c>
      <c r="BR396">
        <v>74.573067675133046</v>
      </c>
      <c r="BS396" t="s">
        <v>992</v>
      </c>
      <c r="BV396" t="s">
        <v>1034</v>
      </c>
      <c r="BW396" t="s">
        <v>943</v>
      </c>
      <c r="BX396" t="s">
        <v>994</v>
      </c>
      <c r="BY396">
        <v>2.1611148751268172</v>
      </c>
      <c r="BZ396" t="s">
        <v>1155</v>
      </c>
      <c r="CA396" t="s">
        <v>991</v>
      </c>
      <c r="CB396" t="b">
        <v>1</v>
      </c>
      <c r="CC396" t="b">
        <v>1</v>
      </c>
      <c r="CD396" t="b">
        <v>1</v>
      </c>
      <c r="CE396" t="b">
        <v>1</v>
      </c>
      <c r="CF396" t="b">
        <v>1</v>
      </c>
    </row>
    <row r="397" spans="1:84" x14ac:dyDescent="0.3">
      <c r="A397" t="s">
        <v>2006</v>
      </c>
      <c r="B397" t="s">
        <v>1238</v>
      </c>
      <c r="C397" s="98">
        <v>45803</v>
      </c>
      <c r="D397">
        <v>2025</v>
      </c>
      <c r="E397">
        <v>5</v>
      </c>
      <c r="F397">
        <v>2</v>
      </c>
      <c r="G397" t="s">
        <v>1226</v>
      </c>
      <c r="H397" t="s">
        <v>130</v>
      </c>
      <c r="I397" t="s">
        <v>130</v>
      </c>
      <c r="J397" t="s">
        <v>6</v>
      </c>
      <c r="L397">
        <v>522611</v>
      </c>
      <c r="M397" s="99" t="s">
        <v>178</v>
      </c>
      <c r="N397">
        <v>1</v>
      </c>
      <c r="O397">
        <v>21</v>
      </c>
      <c r="P397">
        <v>23.785499999999999</v>
      </c>
      <c r="Q397" t="s">
        <v>352</v>
      </c>
      <c r="R397">
        <v>1</v>
      </c>
      <c r="S397">
        <v>23.837900000000001</v>
      </c>
      <c r="T397">
        <v>0.27439999999999998</v>
      </c>
      <c r="U397">
        <v>-0.19096209912537254</v>
      </c>
      <c r="V397">
        <v>23.014700000000001</v>
      </c>
      <c r="W397">
        <v>23.289100000000001</v>
      </c>
      <c r="X397">
        <v>23.563500000000001</v>
      </c>
      <c r="Y397">
        <v>24.112300000000001</v>
      </c>
      <c r="Z397">
        <v>24.386700000000001</v>
      </c>
      <c r="AA397">
        <v>24.661100000000001</v>
      </c>
      <c r="AD397">
        <v>2.6301695796471778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 t="s">
        <v>462</v>
      </c>
      <c r="AL397" t="s">
        <v>6</v>
      </c>
      <c r="AM397" t="s">
        <v>1145</v>
      </c>
      <c r="AN397" t="s">
        <v>1146</v>
      </c>
      <c r="AO397" s="100">
        <v>46262.040405092594</v>
      </c>
      <c r="AP397" t="s">
        <v>1147</v>
      </c>
      <c r="AQ397" t="s">
        <v>2007</v>
      </c>
      <c r="AR397" t="s">
        <v>1240</v>
      </c>
      <c r="AS397" t="s">
        <v>1150</v>
      </c>
      <c r="AT397" t="s">
        <v>1967</v>
      </c>
      <c r="AU397">
        <v>25</v>
      </c>
      <c r="AV397">
        <v>23.806176000000001</v>
      </c>
      <c r="AW397">
        <v>0.26810840512747824</v>
      </c>
      <c r="AX397">
        <v>1.1262136561851774</v>
      </c>
      <c r="AY397">
        <v>-0.19629249469443186</v>
      </c>
      <c r="AZ397">
        <v>2.0545450273999744</v>
      </c>
      <c r="BA397">
        <v>2.1611148751268172</v>
      </c>
      <c r="BB397" t="s">
        <v>4619</v>
      </c>
      <c r="BD397" s="98"/>
      <c r="BE397" s="98"/>
      <c r="BF397" t="s">
        <v>1152</v>
      </c>
      <c r="BG397" t="s">
        <v>322</v>
      </c>
      <c r="BH397" t="s">
        <v>1153</v>
      </c>
      <c r="BI397">
        <v>0.19629249469443186</v>
      </c>
      <c r="BJ397" t="s">
        <v>991</v>
      </c>
      <c r="BK397">
        <v>0.57562455224720344</v>
      </c>
      <c r="BL397">
        <v>21.885453953293009</v>
      </c>
      <c r="BM397" t="s">
        <v>1260</v>
      </c>
      <c r="BN397" t="s">
        <v>1154</v>
      </c>
      <c r="BO397">
        <v>2025</v>
      </c>
      <c r="BP397" t="s">
        <v>966</v>
      </c>
      <c r="BQ397">
        <v>254269.32324866956</v>
      </c>
      <c r="BR397">
        <v>74.573067675133046</v>
      </c>
      <c r="BS397" t="s">
        <v>992</v>
      </c>
      <c r="BV397" t="s">
        <v>1034</v>
      </c>
      <c r="BW397" t="s">
        <v>943</v>
      </c>
      <c r="BX397" t="s">
        <v>994</v>
      </c>
      <c r="BY397">
        <v>2.1611148751268172</v>
      </c>
      <c r="BZ397" t="s">
        <v>1155</v>
      </c>
      <c r="CA397" t="s">
        <v>991</v>
      </c>
      <c r="CB397" t="b">
        <v>1</v>
      </c>
      <c r="CC397" t="b">
        <v>1</v>
      </c>
      <c r="CD397" t="b">
        <v>1</v>
      </c>
      <c r="CE397" t="b">
        <v>1</v>
      </c>
      <c r="CF397" t="b">
        <v>1</v>
      </c>
    </row>
    <row r="398" spans="1:84" x14ac:dyDescent="0.3">
      <c r="A398" t="s">
        <v>2008</v>
      </c>
      <c r="B398" t="s">
        <v>1242</v>
      </c>
      <c r="C398" s="98">
        <v>45810</v>
      </c>
      <c r="D398">
        <v>2025</v>
      </c>
      <c r="E398">
        <v>6</v>
      </c>
      <c r="F398">
        <v>2</v>
      </c>
      <c r="G398" t="s">
        <v>1243</v>
      </c>
      <c r="H398" t="s">
        <v>130</v>
      </c>
      <c r="I398" t="s">
        <v>130</v>
      </c>
      <c r="J398" t="s">
        <v>6</v>
      </c>
      <c r="L398">
        <v>522611</v>
      </c>
      <c r="M398" s="99" t="s">
        <v>178</v>
      </c>
      <c r="N398">
        <v>1</v>
      </c>
      <c r="O398">
        <v>22</v>
      </c>
      <c r="P398">
        <v>23.897300000000001</v>
      </c>
      <c r="Q398" t="s">
        <v>352</v>
      </c>
      <c r="R398">
        <v>1</v>
      </c>
      <c r="S398">
        <v>23.837900000000001</v>
      </c>
      <c r="T398">
        <v>0.27439999999999998</v>
      </c>
      <c r="U398">
        <v>0.21647230320699754</v>
      </c>
      <c r="V398">
        <v>23.014700000000001</v>
      </c>
      <c r="W398">
        <v>23.289100000000001</v>
      </c>
      <c r="X398">
        <v>23.563500000000001</v>
      </c>
      <c r="Y398">
        <v>24.112300000000001</v>
      </c>
      <c r="Z398">
        <v>24.386700000000001</v>
      </c>
      <c r="AA398">
        <v>24.661100000000001</v>
      </c>
      <c r="AD398">
        <v>2.6301695796471778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 t="s">
        <v>462</v>
      </c>
      <c r="AL398" t="s">
        <v>6</v>
      </c>
      <c r="AM398" t="s">
        <v>1145</v>
      </c>
      <c r="AN398" t="s">
        <v>1146</v>
      </c>
      <c r="AO398" s="100">
        <v>46262.040405092594</v>
      </c>
      <c r="AP398" t="s">
        <v>1147</v>
      </c>
      <c r="AQ398" t="s">
        <v>2009</v>
      </c>
      <c r="AR398" t="s">
        <v>1245</v>
      </c>
      <c r="AS398" t="s">
        <v>1150</v>
      </c>
      <c r="AT398" t="s">
        <v>1967</v>
      </c>
      <c r="AU398">
        <v>25</v>
      </c>
      <c r="AV398">
        <v>23.806176000000001</v>
      </c>
      <c r="AW398">
        <v>0.26810840512747824</v>
      </c>
      <c r="AX398">
        <v>1.1262136561851774</v>
      </c>
      <c r="AY398">
        <v>-0.19629249469443186</v>
      </c>
      <c r="AZ398">
        <v>2.0545450273999744</v>
      </c>
      <c r="BA398">
        <v>2.1611148751268172</v>
      </c>
      <c r="BB398" t="s">
        <v>4619</v>
      </c>
      <c r="BD398" s="98"/>
      <c r="BE398" s="98"/>
      <c r="BF398" t="s">
        <v>1152</v>
      </c>
      <c r="BG398" t="s">
        <v>322</v>
      </c>
      <c r="BH398" t="s">
        <v>1153</v>
      </c>
      <c r="BI398">
        <v>0.19629249469443186</v>
      </c>
      <c r="BJ398" t="s">
        <v>991</v>
      </c>
      <c r="BK398">
        <v>0.57562455224720344</v>
      </c>
      <c r="BL398">
        <v>21.885453953293009</v>
      </c>
      <c r="BM398" t="s">
        <v>1260</v>
      </c>
      <c r="BN398" t="s">
        <v>1154</v>
      </c>
      <c r="BO398">
        <v>2025</v>
      </c>
      <c r="BP398" t="s">
        <v>966</v>
      </c>
      <c r="BQ398">
        <v>254269.32324866956</v>
      </c>
      <c r="BR398">
        <v>74.573067675133046</v>
      </c>
      <c r="BS398" t="s">
        <v>992</v>
      </c>
      <c r="BV398" t="s">
        <v>1034</v>
      </c>
      <c r="BW398" t="s">
        <v>943</v>
      </c>
      <c r="BX398" t="s">
        <v>994</v>
      </c>
      <c r="BY398">
        <v>2.1611148751268172</v>
      </c>
      <c r="BZ398" t="s">
        <v>1155</v>
      </c>
      <c r="CA398" t="s">
        <v>991</v>
      </c>
      <c r="CB398" t="b">
        <v>1</v>
      </c>
      <c r="CC398" t="b">
        <v>1</v>
      </c>
      <c r="CD398" t="b">
        <v>1</v>
      </c>
      <c r="CE398" t="b">
        <v>1</v>
      </c>
      <c r="CF398" t="b">
        <v>1</v>
      </c>
    </row>
    <row r="399" spans="1:84" x14ac:dyDescent="0.3">
      <c r="A399" t="s">
        <v>2010</v>
      </c>
      <c r="B399" t="s">
        <v>1247</v>
      </c>
      <c r="C399" s="98">
        <v>45817</v>
      </c>
      <c r="D399">
        <v>2025</v>
      </c>
      <c r="E399">
        <v>6</v>
      </c>
      <c r="F399">
        <v>2</v>
      </c>
      <c r="G399" t="s">
        <v>1243</v>
      </c>
      <c r="H399" t="s">
        <v>130</v>
      </c>
      <c r="I399" t="s">
        <v>130</v>
      </c>
      <c r="J399" t="s">
        <v>6</v>
      </c>
      <c r="L399">
        <v>522611</v>
      </c>
      <c r="M399" s="99" t="s">
        <v>178</v>
      </c>
      <c r="N399">
        <v>1</v>
      </c>
      <c r="O399">
        <v>23</v>
      </c>
      <c r="P399">
        <v>24.1128</v>
      </c>
      <c r="Q399" t="s">
        <v>352</v>
      </c>
      <c r="R399">
        <v>1</v>
      </c>
      <c r="S399">
        <v>23.837900000000001</v>
      </c>
      <c r="T399">
        <v>0.27439999999999998</v>
      </c>
      <c r="U399">
        <v>1.0018221574343982</v>
      </c>
      <c r="V399">
        <v>23.014700000000001</v>
      </c>
      <c r="W399">
        <v>23.289100000000001</v>
      </c>
      <c r="X399">
        <v>23.563500000000001</v>
      </c>
      <c r="Y399">
        <v>24.112300000000001</v>
      </c>
      <c r="Z399">
        <v>24.386700000000001</v>
      </c>
      <c r="AA399">
        <v>24.661100000000001</v>
      </c>
      <c r="AD399">
        <v>2.6301695796471778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 t="s">
        <v>462</v>
      </c>
      <c r="AL399" t="s">
        <v>6</v>
      </c>
      <c r="AM399" t="s">
        <v>1145</v>
      </c>
      <c r="AN399" t="s">
        <v>1146</v>
      </c>
      <c r="AO399" s="100">
        <v>46262.040405092594</v>
      </c>
      <c r="AP399" t="s">
        <v>1147</v>
      </c>
      <c r="AQ399" t="s">
        <v>2011</v>
      </c>
      <c r="AR399" t="s">
        <v>1249</v>
      </c>
      <c r="AS399" t="s">
        <v>1150</v>
      </c>
      <c r="AT399" t="s">
        <v>1967</v>
      </c>
      <c r="AU399">
        <v>25</v>
      </c>
      <c r="AV399">
        <v>23.806176000000001</v>
      </c>
      <c r="AW399">
        <v>0.26810840512747824</v>
      </c>
      <c r="AX399">
        <v>1.1262136561851774</v>
      </c>
      <c r="AY399">
        <v>-0.19629249469443186</v>
      </c>
      <c r="AZ399">
        <v>2.0545450273999744</v>
      </c>
      <c r="BA399">
        <v>2.1611148751268172</v>
      </c>
      <c r="BB399" t="s">
        <v>4619</v>
      </c>
      <c r="BD399" s="98"/>
      <c r="BE399" s="98"/>
      <c r="BF399" t="s">
        <v>1152</v>
      </c>
      <c r="BG399" t="s">
        <v>322</v>
      </c>
      <c r="BH399" t="s">
        <v>1153</v>
      </c>
      <c r="BI399">
        <v>0.19629249469443186</v>
      </c>
      <c r="BJ399" t="s">
        <v>991</v>
      </c>
      <c r="BK399">
        <v>0.57562455224720344</v>
      </c>
      <c r="BL399">
        <v>21.885453953293009</v>
      </c>
      <c r="BM399" t="s">
        <v>1260</v>
      </c>
      <c r="BN399" t="s">
        <v>1154</v>
      </c>
      <c r="BO399">
        <v>2025</v>
      </c>
      <c r="BP399" t="s">
        <v>966</v>
      </c>
      <c r="BQ399">
        <v>254269.32324866956</v>
      </c>
      <c r="BR399">
        <v>74.573067675133046</v>
      </c>
      <c r="BS399" t="s">
        <v>992</v>
      </c>
      <c r="BV399" t="s">
        <v>1034</v>
      </c>
      <c r="BW399" t="s">
        <v>943</v>
      </c>
      <c r="BX399" t="s">
        <v>994</v>
      </c>
      <c r="BY399">
        <v>2.1611148751268172</v>
      </c>
      <c r="BZ399" t="s">
        <v>1155</v>
      </c>
      <c r="CA399" t="s">
        <v>991</v>
      </c>
      <c r="CB399" t="b">
        <v>1</v>
      </c>
      <c r="CC399" t="b">
        <v>1</v>
      </c>
      <c r="CD399" t="b">
        <v>1</v>
      </c>
      <c r="CE399" t="b">
        <v>1</v>
      </c>
      <c r="CF399" t="b">
        <v>1</v>
      </c>
    </row>
    <row r="400" spans="1:84" x14ac:dyDescent="0.3">
      <c r="A400" t="s">
        <v>2012</v>
      </c>
      <c r="B400" t="s">
        <v>1251</v>
      </c>
      <c r="C400" s="98">
        <v>45824</v>
      </c>
      <c r="D400">
        <v>2025</v>
      </c>
      <c r="E400">
        <v>6</v>
      </c>
      <c r="F400">
        <v>2</v>
      </c>
      <c r="G400" t="s">
        <v>1243</v>
      </c>
      <c r="H400" t="s">
        <v>130</v>
      </c>
      <c r="I400" t="s">
        <v>130</v>
      </c>
      <c r="J400" t="s">
        <v>6</v>
      </c>
      <c r="L400">
        <v>522611</v>
      </c>
      <c r="M400" s="99" t="s">
        <v>178</v>
      </c>
      <c r="N400">
        <v>1</v>
      </c>
      <c r="O400">
        <v>24</v>
      </c>
      <c r="P400">
        <v>23.362400000000001</v>
      </c>
      <c r="Q400" t="s">
        <v>352</v>
      </c>
      <c r="R400">
        <v>1</v>
      </c>
      <c r="S400">
        <v>23.837900000000001</v>
      </c>
      <c r="T400">
        <v>0.27439999999999998</v>
      </c>
      <c r="U400">
        <v>-1.7328717201166191</v>
      </c>
      <c r="V400">
        <v>23.014700000000001</v>
      </c>
      <c r="W400">
        <v>23.289100000000001</v>
      </c>
      <c r="X400">
        <v>23.563500000000001</v>
      </c>
      <c r="Y400">
        <v>24.112300000000001</v>
      </c>
      <c r="Z400">
        <v>24.386700000000001</v>
      </c>
      <c r="AA400">
        <v>24.661100000000001</v>
      </c>
      <c r="AD400">
        <v>2.6301695796471778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 t="s">
        <v>462</v>
      </c>
      <c r="AL400" t="s">
        <v>6</v>
      </c>
      <c r="AM400" t="s">
        <v>1145</v>
      </c>
      <c r="AN400" t="s">
        <v>1146</v>
      </c>
      <c r="AO400" s="100">
        <v>46262.040405092594</v>
      </c>
      <c r="AP400" t="s">
        <v>1147</v>
      </c>
      <c r="AQ400" t="s">
        <v>2013</v>
      </c>
      <c r="AR400" t="s">
        <v>1253</v>
      </c>
      <c r="AS400" t="s">
        <v>1150</v>
      </c>
      <c r="AT400" t="s">
        <v>1967</v>
      </c>
      <c r="AU400">
        <v>25</v>
      </c>
      <c r="AV400">
        <v>23.806176000000001</v>
      </c>
      <c r="AW400">
        <v>0.26810840512747824</v>
      </c>
      <c r="AX400">
        <v>1.1262136561851774</v>
      </c>
      <c r="AY400">
        <v>-0.19629249469443186</v>
      </c>
      <c r="AZ400">
        <v>2.0545450273999744</v>
      </c>
      <c r="BA400">
        <v>2.1611148751268172</v>
      </c>
      <c r="BB400" t="s">
        <v>4619</v>
      </c>
      <c r="BD400" s="98"/>
      <c r="BE400" s="98"/>
      <c r="BF400" t="s">
        <v>1152</v>
      </c>
      <c r="BG400" t="s">
        <v>322</v>
      </c>
      <c r="BH400" t="s">
        <v>1153</v>
      </c>
      <c r="BI400">
        <v>0.19629249469443186</v>
      </c>
      <c r="BJ400" t="s">
        <v>991</v>
      </c>
      <c r="BK400">
        <v>0.57562455224720344</v>
      </c>
      <c r="BL400">
        <v>21.885453953293009</v>
      </c>
      <c r="BM400" t="s">
        <v>1260</v>
      </c>
      <c r="BN400" t="s">
        <v>1154</v>
      </c>
      <c r="BO400">
        <v>2025</v>
      </c>
      <c r="BP400" t="s">
        <v>966</v>
      </c>
      <c r="BQ400">
        <v>254269.32324866956</v>
      </c>
      <c r="BR400">
        <v>74.573067675133046</v>
      </c>
      <c r="BS400" t="s">
        <v>992</v>
      </c>
      <c r="BV400" t="s">
        <v>1034</v>
      </c>
      <c r="BW400" t="s">
        <v>943</v>
      </c>
      <c r="BX400" t="s">
        <v>994</v>
      </c>
      <c r="BY400">
        <v>2.1611148751268172</v>
      </c>
      <c r="BZ400" t="s">
        <v>1155</v>
      </c>
      <c r="CA400" t="s">
        <v>991</v>
      </c>
      <c r="CB400" t="b">
        <v>1</v>
      </c>
      <c r="CC400" t="b">
        <v>1</v>
      </c>
      <c r="CD400" t="b">
        <v>1</v>
      </c>
      <c r="CE400" t="b">
        <v>1</v>
      </c>
      <c r="CF400" t="b">
        <v>1</v>
      </c>
    </row>
    <row r="401" spans="1:84" x14ac:dyDescent="0.3">
      <c r="A401" t="s">
        <v>2014</v>
      </c>
      <c r="B401" t="s">
        <v>1255</v>
      </c>
      <c r="C401" s="98">
        <v>45831</v>
      </c>
      <c r="D401">
        <v>2025</v>
      </c>
      <c r="E401">
        <v>6</v>
      </c>
      <c r="F401">
        <v>2</v>
      </c>
      <c r="G401" t="s">
        <v>1243</v>
      </c>
      <c r="H401" t="s">
        <v>130</v>
      </c>
      <c r="I401" t="s">
        <v>130</v>
      </c>
      <c r="J401" t="s">
        <v>6</v>
      </c>
      <c r="L401">
        <v>522611</v>
      </c>
      <c r="M401" s="99" t="s">
        <v>178</v>
      </c>
      <c r="N401">
        <v>1</v>
      </c>
      <c r="O401">
        <v>25</v>
      </c>
      <c r="P401">
        <v>23.622800000000002</v>
      </c>
      <c r="Q401" t="s">
        <v>352</v>
      </c>
      <c r="R401">
        <v>1</v>
      </c>
      <c r="S401">
        <v>23.837900000000001</v>
      </c>
      <c r="T401">
        <v>0.27439999999999998</v>
      </c>
      <c r="U401">
        <v>-0.78389212827988208</v>
      </c>
      <c r="V401">
        <v>23.014700000000001</v>
      </c>
      <c r="W401">
        <v>23.289100000000001</v>
      </c>
      <c r="X401">
        <v>23.563500000000001</v>
      </c>
      <c r="Y401">
        <v>24.112300000000001</v>
      </c>
      <c r="Z401">
        <v>24.386700000000001</v>
      </c>
      <c r="AA401">
        <v>24.661100000000001</v>
      </c>
      <c r="AD401">
        <v>2.6301695796471778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 t="s">
        <v>462</v>
      </c>
      <c r="AL401" t="s">
        <v>6</v>
      </c>
      <c r="AM401" t="s">
        <v>1145</v>
      </c>
      <c r="AN401" t="s">
        <v>1146</v>
      </c>
      <c r="AO401" s="100">
        <v>46262.040405092594</v>
      </c>
      <c r="AP401" t="s">
        <v>1147</v>
      </c>
      <c r="AQ401" t="s">
        <v>2015</v>
      </c>
      <c r="AR401" t="s">
        <v>1257</v>
      </c>
      <c r="AS401" t="s">
        <v>1150</v>
      </c>
      <c r="AT401" t="s">
        <v>1967</v>
      </c>
      <c r="AU401">
        <v>25</v>
      </c>
      <c r="AV401">
        <v>23.806176000000001</v>
      </c>
      <c r="AW401">
        <v>0.26810840512747824</v>
      </c>
      <c r="AX401">
        <v>1.1262136561851774</v>
      </c>
      <c r="AY401">
        <v>-0.19629249469443186</v>
      </c>
      <c r="AZ401">
        <v>2.0545450273999744</v>
      </c>
      <c r="BA401">
        <v>2.1611148751268172</v>
      </c>
      <c r="BB401" t="s">
        <v>4619</v>
      </c>
      <c r="BD401" s="98"/>
      <c r="BE401" s="98"/>
      <c r="BF401" t="s">
        <v>1152</v>
      </c>
      <c r="BG401" t="s">
        <v>322</v>
      </c>
      <c r="BH401" t="s">
        <v>1153</v>
      </c>
      <c r="BI401">
        <v>0.19629249469443186</v>
      </c>
      <c r="BJ401" t="s">
        <v>991</v>
      </c>
      <c r="BK401">
        <v>0.57562455224720344</v>
      </c>
      <c r="BL401">
        <v>21.885453953293009</v>
      </c>
      <c r="BM401" t="s">
        <v>1260</v>
      </c>
      <c r="BN401" t="s">
        <v>1154</v>
      </c>
      <c r="BO401">
        <v>2025</v>
      </c>
      <c r="BP401" t="s">
        <v>966</v>
      </c>
      <c r="BQ401">
        <v>254269.32324866956</v>
      </c>
      <c r="BR401">
        <v>74.573067675133046</v>
      </c>
      <c r="BS401" t="s">
        <v>992</v>
      </c>
      <c r="BV401" t="s">
        <v>1034</v>
      </c>
      <c r="BW401" t="s">
        <v>943</v>
      </c>
      <c r="BX401" t="s">
        <v>994</v>
      </c>
      <c r="BY401">
        <v>2.1611148751268172</v>
      </c>
      <c r="BZ401" t="s">
        <v>1155</v>
      </c>
      <c r="CA401" t="s">
        <v>991</v>
      </c>
      <c r="CB401" t="b">
        <v>1</v>
      </c>
      <c r="CC401" t="b">
        <v>1</v>
      </c>
      <c r="CD401" t="b">
        <v>1</v>
      </c>
      <c r="CE401" t="b">
        <v>1</v>
      </c>
      <c r="CF401" t="b">
        <v>1</v>
      </c>
    </row>
    <row r="402" spans="1:84" x14ac:dyDescent="0.3">
      <c r="A402" t="s">
        <v>2016</v>
      </c>
      <c r="B402" t="s">
        <v>1143</v>
      </c>
      <c r="C402" s="98">
        <v>45663</v>
      </c>
      <c r="D402">
        <v>2025</v>
      </c>
      <c r="E402">
        <v>1</v>
      </c>
      <c r="F402">
        <v>1</v>
      </c>
      <c r="G402" t="s">
        <v>1144</v>
      </c>
      <c r="H402" t="s">
        <v>130</v>
      </c>
      <c r="I402" t="s">
        <v>130</v>
      </c>
      <c r="J402" t="s">
        <v>6</v>
      </c>
      <c r="L402">
        <v>522611</v>
      </c>
      <c r="M402" s="99" t="s">
        <v>179</v>
      </c>
      <c r="N402">
        <v>2</v>
      </c>
      <c r="O402">
        <v>1</v>
      </c>
      <c r="P402">
        <v>28.091899999999999</v>
      </c>
      <c r="Q402" t="s">
        <v>352</v>
      </c>
      <c r="R402">
        <v>1</v>
      </c>
      <c r="S402">
        <v>28.055199999999999</v>
      </c>
      <c r="T402">
        <v>0.2097</v>
      </c>
      <c r="U402">
        <v>0.1750119217930364</v>
      </c>
      <c r="V402">
        <v>27.426099999999998</v>
      </c>
      <c r="W402">
        <v>27.6358</v>
      </c>
      <c r="X402">
        <v>27.845499999999998</v>
      </c>
      <c r="Y402">
        <v>28.264900000000001</v>
      </c>
      <c r="Z402">
        <v>28.474599999999999</v>
      </c>
      <c r="AA402">
        <v>28.6843</v>
      </c>
      <c r="AD402">
        <v>2.6301695796471778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 t="s">
        <v>462</v>
      </c>
      <c r="AL402" t="s">
        <v>6</v>
      </c>
      <c r="AM402" t="s">
        <v>1145</v>
      </c>
      <c r="AN402" t="s">
        <v>1146</v>
      </c>
      <c r="AO402" s="100">
        <v>46262.040405092594</v>
      </c>
      <c r="AP402" t="s">
        <v>1147</v>
      </c>
      <c r="AQ402" t="s">
        <v>2017</v>
      </c>
      <c r="AR402" t="s">
        <v>1149</v>
      </c>
      <c r="AS402" t="s">
        <v>1150</v>
      </c>
      <c r="AT402" t="s">
        <v>1967</v>
      </c>
      <c r="AU402">
        <v>25</v>
      </c>
      <c r="AV402">
        <v>28.065932000000004</v>
      </c>
      <c r="AW402">
        <v>0.22880332842858758</v>
      </c>
      <c r="AX402">
        <v>0.8152350986547946</v>
      </c>
      <c r="AY402">
        <v>-0.19629249469443186</v>
      </c>
      <c r="AZ402">
        <v>1.5414304074748428</v>
      </c>
      <c r="BA402">
        <v>2.9854910429750197</v>
      </c>
      <c r="BB402" t="s">
        <v>4619</v>
      </c>
      <c r="BD402" s="98"/>
      <c r="BE402" s="98"/>
      <c r="BF402" t="s">
        <v>1152</v>
      </c>
      <c r="BG402" t="s">
        <v>322</v>
      </c>
      <c r="BH402" t="s">
        <v>1153</v>
      </c>
      <c r="BI402">
        <v>0.19629249469443186</v>
      </c>
      <c r="BJ402" t="s">
        <v>991</v>
      </c>
      <c r="BK402">
        <v>1.088739172172335</v>
      </c>
      <c r="BL402">
        <v>41.394257640162621</v>
      </c>
      <c r="BM402" t="s">
        <v>1260</v>
      </c>
      <c r="BN402" t="s">
        <v>1154</v>
      </c>
      <c r="BO402">
        <v>2025</v>
      </c>
      <c r="BP402" t="s">
        <v>966</v>
      </c>
      <c r="BQ402">
        <v>254269.32324866956</v>
      </c>
      <c r="BR402">
        <v>74.573067675133046</v>
      </c>
      <c r="BS402" t="s">
        <v>992</v>
      </c>
      <c r="BV402" t="s">
        <v>1034</v>
      </c>
      <c r="BW402" t="s">
        <v>943</v>
      </c>
      <c r="BX402" t="s">
        <v>994</v>
      </c>
      <c r="BY402">
        <v>2.1611148751268172</v>
      </c>
      <c r="BZ402" t="s">
        <v>1155</v>
      </c>
      <c r="CA402" t="s">
        <v>991</v>
      </c>
      <c r="CB402" t="b">
        <v>1</v>
      </c>
      <c r="CC402" t="b">
        <v>1</v>
      </c>
      <c r="CD402" t="b">
        <v>1</v>
      </c>
      <c r="CE402" t="b">
        <v>1</v>
      </c>
      <c r="CF402" t="b">
        <v>1</v>
      </c>
    </row>
    <row r="403" spans="1:84" x14ac:dyDescent="0.3">
      <c r="A403" t="s">
        <v>2018</v>
      </c>
      <c r="B403" t="s">
        <v>1157</v>
      </c>
      <c r="C403" s="98">
        <v>45670</v>
      </c>
      <c r="D403">
        <v>2025</v>
      </c>
      <c r="E403">
        <v>1</v>
      </c>
      <c r="F403">
        <v>1</v>
      </c>
      <c r="G403" t="s">
        <v>1144</v>
      </c>
      <c r="H403" t="s">
        <v>130</v>
      </c>
      <c r="I403" t="s">
        <v>130</v>
      </c>
      <c r="J403" t="s">
        <v>6</v>
      </c>
      <c r="L403">
        <v>522611</v>
      </c>
      <c r="M403" s="99" t="s">
        <v>179</v>
      </c>
      <c r="N403">
        <v>2</v>
      </c>
      <c r="O403">
        <v>2</v>
      </c>
      <c r="P403">
        <v>28.1374</v>
      </c>
      <c r="Q403" t="s">
        <v>352</v>
      </c>
      <c r="R403">
        <v>1</v>
      </c>
      <c r="S403">
        <v>28.055199999999999</v>
      </c>
      <c r="T403">
        <v>0.2097</v>
      </c>
      <c r="U403">
        <v>0.39198855507868513</v>
      </c>
      <c r="V403">
        <v>27.426099999999998</v>
      </c>
      <c r="W403">
        <v>27.6358</v>
      </c>
      <c r="X403">
        <v>27.845499999999998</v>
      </c>
      <c r="Y403">
        <v>28.264900000000001</v>
      </c>
      <c r="Z403">
        <v>28.474599999999999</v>
      </c>
      <c r="AA403">
        <v>28.6843</v>
      </c>
      <c r="AD403">
        <v>2.6301695796471778</v>
      </c>
      <c r="AE403">
        <v>0</v>
      </c>
      <c r="AF403">
        <v>0</v>
      </c>
      <c r="AG403">
        <v>0</v>
      </c>
      <c r="AH403">
        <v>0</v>
      </c>
      <c r="AI403">
        <v>1</v>
      </c>
      <c r="AJ403">
        <v>0</v>
      </c>
      <c r="AK403" t="s">
        <v>1213</v>
      </c>
      <c r="AL403" t="s">
        <v>6</v>
      </c>
      <c r="AM403" t="s">
        <v>1145</v>
      </c>
      <c r="AN403" t="s">
        <v>1146</v>
      </c>
      <c r="AO403" s="100">
        <v>46262.040405092594</v>
      </c>
      <c r="AP403" t="s">
        <v>1147</v>
      </c>
      <c r="AQ403" t="s">
        <v>2019</v>
      </c>
      <c r="AR403" t="s">
        <v>1159</v>
      </c>
      <c r="AS403" t="s">
        <v>1150</v>
      </c>
      <c r="AT403" t="s">
        <v>1967</v>
      </c>
      <c r="AU403">
        <v>25</v>
      </c>
      <c r="AV403">
        <v>28.065932000000004</v>
      </c>
      <c r="AW403">
        <v>0.22880332842858758</v>
      </c>
      <c r="AX403">
        <v>0.8152350986547946</v>
      </c>
      <c r="AY403">
        <v>-0.19629249469443186</v>
      </c>
      <c r="AZ403">
        <v>1.5414304074748428</v>
      </c>
      <c r="BA403">
        <v>2.9854910429750197</v>
      </c>
      <c r="BB403" t="s">
        <v>4619</v>
      </c>
      <c r="BD403" s="98"/>
      <c r="BE403" s="98"/>
      <c r="BF403" t="s">
        <v>1152</v>
      </c>
      <c r="BG403" t="s">
        <v>322</v>
      </c>
      <c r="BH403" t="s">
        <v>1153</v>
      </c>
      <c r="BI403">
        <v>0.19629249469443186</v>
      </c>
      <c r="BJ403" t="s">
        <v>991</v>
      </c>
      <c r="BK403">
        <v>1.088739172172335</v>
      </c>
      <c r="BL403">
        <v>41.394257640162621</v>
      </c>
      <c r="BM403" t="s">
        <v>1260</v>
      </c>
      <c r="BN403" t="s">
        <v>1154</v>
      </c>
      <c r="BO403">
        <v>2025</v>
      </c>
      <c r="BP403" t="s">
        <v>966</v>
      </c>
      <c r="BQ403">
        <v>254269.32324866956</v>
      </c>
      <c r="BR403">
        <v>74.573067675133046</v>
      </c>
      <c r="BS403" t="s">
        <v>992</v>
      </c>
      <c r="BV403" t="s">
        <v>1034</v>
      </c>
      <c r="BW403" t="s">
        <v>943</v>
      </c>
      <c r="BX403" t="s">
        <v>994</v>
      </c>
      <c r="BY403">
        <v>2.1611148751268172</v>
      </c>
      <c r="BZ403" t="s">
        <v>1155</v>
      </c>
      <c r="CA403" t="s">
        <v>991</v>
      </c>
      <c r="CB403" t="b">
        <v>1</v>
      </c>
      <c r="CC403" t="b">
        <v>1</v>
      </c>
      <c r="CD403" t="b">
        <v>1</v>
      </c>
      <c r="CE403" t="b">
        <v>1</v>
      </c>
      <c r="CF403" t="b">
        <v>1</v>
      </c>
    </row>
    <row r="404" spans="1:84" x14ac:dyDescent="0.3">
      <c r="A404" t="s">
        <v>2020</v>
      </c>
      <c r="B404" t="s">
        <v>1161</v>
      </c>
      <c r="C404" s="98">
        <v>45677</v>
      </c>
      <c r="D404">
        <v>2025</v>
      </c>
      <c r="E404">
        <v>1</v>
      </c>
      <c r="F404">
        <v>1</v>
      </c>
      <c r="G404" t="s">
        <v>1144</v>
      </c>
      <c r="H404" t="s">
        <v>130</v>
      </c>
      <c r="I404" t="s">
        <v>130</v>
      </c>
      <c r="J404" t="s">
        <v>6</v>
      </c>
      <c r="L404">
        <v>522611</v>
      </c>
      <c r="M404" s="99" t="s">
        <v>179</v>
      </c>
      <c r="N404">
        <v>2</v>
      </c>
      <c r="O404">
        <v>3</v>
      </c>
      <c r="P404">
        <v>27.976099999999999</v>
      </c>
      <c r="Q404" t="s">
        <v>352</v>
      </c>
      <c r="R404">
        <v>1</v>
      </c>
      <c r="S404">
        <v>28.055199999999999</v>
      </c>
      <c r="T404">
        <v>0.2097</v>
      </c>
      <c r="U404">
        <v>-0.37720553171197135</v>
      </c>
      <c r="V404">
        <v>27.426099999999998</v>
      </c>
      <c r="W404">
        <v>27.6358</v>
      </c>
      <c r="X404">
        <v>27.845499999999998</v>
      </c>
      <c r="Y404">
        <v>28.264900000000001</v>
      </c>
      <c r="Z404">
        <v>28.474599999999999</v>
      </c>
      <c r="AA404">
        <v>28.6843</v>
      </c>
      <c r="AD404">
        <v>2.6301695796471778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 t="s">
        <v>462</v>
      </c>
      <c r="AL404" t="s">
        <v>6</v>
      </c>
      <c r="AM404" t="s">
        <v>1145</v>
      </c>
      <c r="AN404" t="s">
        <v>1146</v>
      </c>
      <c r="AO404" s="100">
        <v>46262.040405092594</v>
      </c>
      <c r="AP404" t="s">
        <v>1147</v>
      </c>
      <c r="AQ404" t="s">
        <v>2021</v>
      </c>
      <c r="AR404" t="s">
        <v>1163</v>
      </c>
      <c r="AS404" t="s">
        <v>1150</v>
      </c>
      <c r="AT404" t="s">
        <v>1967</v>
      </c>
      <c r="AU404">
        <v>25</v>
      </c>
      <c r="AV404">
        <v>28.065932000000004</v>
      </c>
      <c r="AW404">
        <v>0.22880332842858758</v>
      </c>
      <c r="AX404">
        <v>0.8152350986547946</v>
      </c>
      <c r="AY404">
        <v>-0.19629249469443186</v>
      </c>
      <c r="AZ404">
        <v>1.5414304074748428</v>
      </c>
      <c r="BA404">
        <v>2.9854910429750197</v>
      </c>
      <c r="BB404" t="s">
        <v>4619</v>
      </c>
      <c r="BD404" s="98"/>
      <c r="BE404" s="98"/>
      <c r="BF404" t="s">
        <v>1152</v>
      </c>
      <c r="BG404" t="s">
        <v>322</v>
      </c>
      <c r="BH404" t="s">
        <v>1153</v>
      </c>
      <c r="BI404">
        <v>0.19629249469443186</v>
      </c>
      <c r="BJ404" t="s">
        <v>991</v>
      </c>
      <c r="BK404">
        <v>1.088739172172335</v>
      </c>
      <c r="BL404">
        <v>41.394257640162621</v>
      </c>
      <c r="BM404" t="s">
        <v>1260</v>
      </c>
      <c r="BN404" t="s">
        <v>1154</v>
      </c>
      <c r="BO404">
        <v>2025</v>
      </c>
      <c r="BP404" t="s">
        <v>966</v>
      </c>
      <c r="BQ404">
        <v>254269.32324866956</v>
      </c>
      <c r="BR404">
        <v>74.573067675133046</v>
      </c>
      <c r="BS404" t="s">
        <v>992</v>
      </c>
      <c r="BV404" t="s">
        <v>1034</v>
      </c>
      <c r="BW404" t="s">
        <v>943</v>
      </c>
      <c r="BX404" t="s">
        <v>994</v>
      </c>
      <c r="BY404">
        <v>2.1611148751268172</v>
      </c>
      <c r="BZ404" t="s">
        <v>1155</v>
      </c>
      <c r="CA404" t="s">
        <v>991</v>
      </c>
      <c r="CB404" t="b">
        <v>1</v>
      </c>
      <c r="CC404" t="b">
        <v>1</v>
      </c>
      <c r="CD404" t="b">
        <v>1</v>
      </c>
      <c r="CE404" t="b">
        <v>1</v>
      </c>
      <c r="CF404" t="b">
        <v>1</v>
      </c>
    </row>
    <row r="405" spans="1:84" x14ac:dyDescent="0.3">
      <c r="A405" t="s">
        <v>2022</v>
      </c>
      <c r="B405" t="s">
        <v>1165</v>
      </c>
      <c r="C405" s="98">
        <v>45684</v>
      </c>
      <c r="D405">
        <v>2025</v>
      </c>
      <c r="E405">
        <v>1</v>
      </c>
      <c r="F405">
        <v>1</v>
      </c>
      <c r="G405" t="s">
        <v>1144</v>
      </c>
      <c r="H405" t="s">
        <v>130</v>
      </c>
      <c r="I405" t="s">
        <v>130</v>
      </c>
      <c r="J405" t="s">
        <v>6</v>
      </c>
      <c r="L405">
        <v>522611</v>
      </c>
      <c r="M405" s="99" t="s">
        <v>179</v>
      </c>
      <c r="N405">
        <v>2</v>
      </c>
      <c r="O405">
        <v>4</v>
      </c>
      <c r="P405">
        <v>28.271000000000001</v>
      </c>
      <c r="Q405" t="s">
        <v>352</v>
      </c>
      <c r="R405">
        <v>1</v>
      </c>
      <c r="S405">
        <v>28.055199999999999</v>
      </c>
      <c r="T405">
        <v>0.2097</v>
      </c>
      <c r="U405">
        <v>1.0290891750119291</v>
      </c>
      <c r="V405">
        <v>27.426099999999998</v>
      </c>
      <c r="W405">
        <v>27.6358</v>
      </c>
      <c r="X405">
        <v>27.845499999999998</v>
      </c>
      <c r="Y405">
        <v>28.264900000000001</v>
      </c>
      <c r="Z405">
        <v>28.474599999999999</v>
      </c>
      <c r="AA405">
        <v>28.6843</v>
      </c>
      <c r="AD405">
        <v>2.6301695796471778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 t="s">
        <v>462</v>
      </c>
      <c r="AL405" t="s">
        <v>6</v>
      </c>
      <c r="AM405" t="s">
        <v>1145</v>
      </c>
      <c r="AN405" t="s">
        <v>1146</v>
      </c>
      <c r="AO405" s="100">
        <v>46262.040405092594</v>
      </c>
      <c r="AP405" t="s">
        <v>1147</v>
      </c>
      <c r="AQ405" t="s">
        <v>2023</v>
      </c>
      <c r="AR405" t="s">
        <v>1167</v>
      </c>
      <c r="AS405" t="s">
        <v>1150</v>
      </c>
      <c r="AT405" t="s">
        <v>1967</v>
      </c>
      <c r="AU405">
        <v>25</v>
      </c>
      <c r="AV405">
        <v>28.065932000000004</v>
      </c>
      <c r="AW405">
        <v>0.22880332842858758</v>
      </c>
      <c r="AX405">
        <v>0.8152350986547946</v>
      </c>
      <c r="AY405">
        <v>-0.19629249469443186</v>
      </c>
      <c r="AZ405">
        <v>1.5414304074748428</v>
      </c>
      <c r="BA405">
        <v>2.9854910429750197</v>
      </c>
      <c r="BB405" t="s">
        <v>4619</v>
      </c>
      <c r="BD405" s="98"/>
      <c r="BE405" s="98"/>
      <c r="BF405" t="s">
        <v>1152</v>
      </c>
      <c r="BG405" t="s">
        <v>322</v>
      </c>
      <c r="BH405" t="s">
        <v>1153</v>
      </c>
      <c r="BI405">
        <v>0.19629249469443186</v>
      </c>
      <c r="BJ405" t="s">
        <v>991</v>
      </c>
      <c r="BK405">
        <v>1.088739172172335</v>
      </c>
      <c r="BL405">
        <v>41.394257640162621</v>
      </c>
      <c r="BM405" t="s">
        <v>1260</v>
      </c>
      <c r="BN405" t="s">
        <v>1154</v>
      </c>
      <c r="BO405">
        <v>2025</v>
      </c>
      <c r="BP405" t="s">
        <v>966</v>
      </c>
      <c r="BQ405">
        <v>254269.32324866956</v>
      </c>
      <c r="BR405">
        <v>74.573067675133046</v>
      </c>
      <c r="BS405" t="s">
        <v>992</v>
      </c>
      <c r="BV405" t="s">
        <v>1034</v>
      </c>
      <c r="BW405" t="s">
        <v>943</v>
      </c>
      <c r="BX405" t="s">
        <v>994</v>
      </c>
      <c r="BY405">
        <v>2.1611148751268172</v>
      </c>
      <c r="BZ405" t="s">
        <v>1155</v>
      </c>
      <c r="CA405" t="s">
        <v>991</v>
      </c>
      <c r="CB405" t="b">
        <v>1</v>
      </c>
      <c r="CC405" t="b">
        <v>1</v>
      </c>
      <c r="CD405" t="b">
        <v>1</v>
      </c>
      <c r="CE405" t="b">
        <v>1</v>
      </c>
      <c r="CF405" t="b">
        <v>1</v>
      </c>
    </row>
    <row r="406" spans="1:84" x14ac:dyDescent="0.3">
      <c r="A406" t="s">
        <v>2024</v>
      </c>
      <c r="B406" t="s">
        <v>1169</v>
      </c>
      <c r="C406" s="98">
        <v>45691</v>
      </c>
      <c r="D406">
        <v>2025</v>
      </c>
      <c r="E406">
        <v>2</v>
      </c>
      <c r="F406">
        <v>1</v>
      </c>
      <c r="G406" t="s">
        <v>1170</v>
      </c>
      <c r="H406" t="s">
        <v>130</v>
      </c>
      <c r="I406" t="s">
        <v>130</v>
      </c>
      <c r="J406" t="s">
        <v>6</v>
      </c>
      <c r="L406">
        <v>522611</v>
      </c>
      <c r="M406" s="99" t="s">
        <v>179</v>
      </c>
      <c r="N406">
        <v>2</v>
      </c>
      <c r="O406">
        <v>5</v>
      </c>
      <c r="P406">
        <v>28.099299999999999</v>
      </c>
      <c r="Q406" t="s">
        <v>352</v>
      </c>
      <c r="R406">
        <v>1</v>
      </c>
      <c r="S406">
        <v>28.055199999999999</v>
      </c>
      <c r="T406">
        <v>0.2097</v>
      </c>
      <c r="U406">
        <v>0.21030042918455055</v>
      </c>
      <c r="V406">
        <v>27.426099999999998</v>
      </c>
      <c r="W406">
        <v>27.6358</v>
      </c>
      <c r="X406">
        <v>27.845499999999998</v>
      </c>
      <c r="Y406">
        <v>28.264900000000001</v>
      </c>
      <c r="Z406">
        <v>28.474599999999999</v>
      </c>
      <c r="AA406">
        <v>28.6843</v>
      </c>
      <c r="AD406">
        <v>2.6301695796471778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 t="s">
        <v>462</v>
      </c>
      <c r="AL406" t="s">
        <v>6</v>
      </c>
      <c r="AM406" t="s">
        <v>1145</v>
      </c>
      <c r="AN406" t="s">
        <v>1146</v>
      </c>
      <c r="AO406" s="100">
        <v>46262.040405092594</v>
      </c>
      <c r="AP406" t="s">
        <v>1147</v>
      </c>
      <c r="AQ406" t="s">
        <v>2025</v>
      </c>
      <c r="AR406" t="s">
        <v>1172</v>
      </c>
      <c r="AS406" t="s">
        <v>1150</v>
      </c>
      <c r="AT406" t="s">
        <v>1967</v>
      </c>
      <c r="AU406">
        <v>25</v>
      </c>
      <c r="AV406">
        <v>28.065932000000004</v>
      </c>
      <c r="AW406">
        <v>0.22880332842858758</v>
      </c>
      <c r="AX406">
        <v>0.8152350986547946</v>
      </c>
      <c r="AY406">
        <v>-0.19629249469443186</v>
      </c>
      <c r="AZ406">
        <v>1.5414304074748428</v>
      </c>
      <c r="BA406">
        <v>2.9854910429750197</v>
      </c>
      <c r="BB406" t="s">
        <v>4619</v>
      </c>
      <c r="BD406" s="98"/>
      <c r="BE406" s="98"/>
      <c r="BF406" t="s">
        <v>1152</v>
      </c>
      <c r="BG406" t="s">
        <v>322</v>
      </c>
      <c r="BH406" t="s">
        <v>1153</v>
      </c>
      <c r="BI406">
        <v>0.19629249469443186</v>
      </c>
      <c r="BJ406" t="s">
        <v>991</v>
      </c>
      <c r="BK406">
        <v>1.088739172172335</v>
      </c>
      <c r="BL406">
        <v>41.394257640162621</v>
      </c>
      <c r="BM406" t="s">
        <v>1260</v>
      </c>
      <c r="BN406" t="s">
        <v>1154</v>
      </c>
      <c r="BO406">
        <v>2025</v>
      </c>
      <c r="BP406" t="s">
        <v>966</v>
      </c>
      <c r="BQ406">
        <v>254269.32324866956</v>
      </c>
      <c r="BR406">
        <v>74.573067675133046</v>
      </c>
      <c r="BS406" t="s">
        <v>992</v>
      </c>
      <c r="BV406" t="s">
        <v>1034</v>
      </c>
      <c r="BW406" t="s">
        <v>943</v>
      </c>
      <c r="BX406" t="s">
        <v>994</v>
      </c>
      <c r="BY406">
        <v>2.1611148751268172</v>
      </c>
      <c r="BZ406" t="s">
        <v>1155</v>
      </c>
      <c r="CA406" t="s">
        <v>991</v>
      </c>
      <c r="CB406" t="b">
        <v>1</v>
      </c>
      <c r="CC406" t="b">
        <v>1</v>
      </c>
      <c r="CD406" t="b">
        <v>1</v>
      </c>
      <c r="CE406" t="b">
        <v>1</v>
      </c>
      <c r="CF406" t="b">
        <v>1</v>
      </c>
    </row>
    <row r="407" spans="1:84" x14ac:dyDescent="0.3">
      <c r="A407" t="s">
        <v>2026</v>
      </c>
      <c r="B407" t="s">
        <v>1174</v>
      </c>
      <c r="C407" s="98">
        <v>45698</v>
      </c>
      <c r="D407">
        <v>2025</v>
      </c>
      <c r="E407">
        <v>2</v>
      </c>
      <c r="F407">
        <v>1</v>
      </c>
      <c r="G407" t="s">
        <v>1170</v>
      </c>
      <c r="H407" t="s">
        <v>130</v>
      </c>
      <c r="I407" t="s">
        <v>130</v>
      </c>
      <c r="J407" t="s">
        <v>6</v>
      </c>
      <c r="L407">
        <v>522611</v>
      </c>
      <c r="M407" s="99" t="s">
        <v>179</v>
      </c>
      <c r="N407">
        <v>2</v>
      </c>
      <c r="O407">
        <v>6</v>
      </c>
      <c r="P407">
        <v>27.800699999999999</v>
      </c>
      <c r="Q407" t="s">
        <v>352</v>
      </c>
      <c r="R407">
        <v>1</v>
      </c>
      <c r="S407">
        <v>28.055199999999999</v>
      </c>
      <c r="T407">
        <v>0.2097</v>
      </c>
      <c r="U407">
        <v>-1.2136385312350986</v>
      </c>
      <c r="V407">
        <v>27.426099999999998</v>
      </c>
      <c r="W407">
        <v>27.6358</v>
      </c>
      <c r="X407">
        <v>27.845499999999998</v>
      </c>
      <c r="Y407">
        <v>28.264900000000001</v>
      </c>
      <c r="Z407">
        <v>28.474599999999999</v>
      </c>
      <c r="AA407">
        <v>28.6843</v>
      </c>
      <c r="AD407">
        <v>2.6301695796471778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 t="s">
        <v>462</v>
      </c>
      <c r="AL407" t="s">
        <v>6</v>
      </c>
      <c r="AM407" t="s">
        <v>1145</v>
      </c>
      <c r="AN407" t="s">
        <v>1146</v>
      </c>
      <c r="AO407" s="100">
        <v>46262.040405092594</v>
      </c>
      <c r="AP407" t="s">
        <v>1147</v>
      </c>
      <c r="AQ407" t="s">
        <v>2027</v>
      </c>
      <c r="AR407" t="s">
        <v>1176</v>
      </c>
      <c r="AS407" t="s">
        <v>1150</v>
      </c>
      <c r="AT407" t="s">
        <v>1967</v>
      </c>
      <c r="AU407">
        <v>25</v>
      </c>
      <c r="AV407">
        <v>28.065932000000004</v>
      </c>
      <c r="AW407">
        <v>0.22880332842858758</v>
      </c>
      <c r="AX407">
        <v>0.8152350986547946</v>
      </c>
      <c r="AY407">
        <v>-0.19629249469443186</v>
      </c>
      <c r="AZ407">
        <v>1.5414304074748428</v>
      </c>
      <c r="BA407">
        <v>2.9854910429750197</v>
      </c>
      <c r="BB407" t="s">
        <v>4619</v>
      </c>
      <c r="BD407" s="98"/>
      <c r="BE407" s="98"/>
      <c r="BF407" t="s">
        <v>1152</v>
      </c>
      <c r="BG407" t="s">
        <v>322</v>
      </c>
      <c r="BH407" t="s">
        <v>1153</v>
      </c>
      <c r="BI407">
        <v>0.19629249469443186</v>
      </c>
      <c r="BJ407" t="s">
        <v>991</v>
      </c>
      <c r="BK407">
        <v>1.088739172172335</v>
      </c>
      <c r="BL407">
        <v>41.394257640162621</v>
      </c>
      <c r="BM407" t="s">
        <v>1260</v>
      </c>
      <c r="BN407" t="s">
        <v>1154</v>
      </c>
      <c r="BO407">
        <v>2025</v>
      </c>
      <c r="BP407" t="s">
        <v>966</v>
      </c>
      <c r="BQ407">
        <v>254269.32324866956</v>
      </c>
      <c r="BR407">
        <v>74.573067675133046</v>
      </c>
      <c r="BS407" t="s">
        <v>992</v>
      </c>
      <c r="BV407" t="s">
        <v>1034</v>
      </c>
      <c r="BW407" t="s">
        <v>943</v>
      </c>
      <c r="BX407" t="s">
        <v>994</v>
      </c>
      <c r="BY407">
        <v>2.1611148751268172</v>
      </c>
      <c r="BZ407" t="s">
        <v>1155</v>
      </c>
      <c r="CA407" t="s">
        <v>991</v>
      </c>
      <c r="CB407" t="b">
        <v>1</v>
      </c>
      <c r="CC407" t="b">
        <v>1</v>
      </c>
      <c r="CD407" t="b">
        <v>1</v>
      </c>
      <c r="CE407" t="b">
        <v>1</v>
      </c>
      <c r="CF407" t="b">
        <v>1</v>
      </c>
    </row>
    <row r="408" spans="1:84" x14ac:dyDescent="0.3">
      <c r="A408" t="s">
        <v>2028</v>
      </c>
      <c r="B408" t="s">
        <v>1178</v>
      </c>
      <c r="C408" s="98">
        <v>45705</v>
      </c>
      <c r="D408">
        <v>2025</v>
      </c>
      <c r="E408">
        <v>2</v>
      </c>
      <c r="F408">
        <v>1</v>
      </c>
      <c r="G408" t="s">
        <v>1170</v>
      </c>
      <c r="H408" t="s">
        <v>130</v>
      </c>
      <c r="I408" t="s">
        <v>130</v>
      </c>
      <c r="J408" t="s">
        <v>6</v>
      </c>
      <c r="L408">
        <v>522611</v>
      </c>
      <c r="M408" s="99" t="s">
        <v>179</v>
      </c>
      <c r="N408">
        <v>2</v>
      </c>
      <c r="O408">
        <v>7</v>
      </c>
      <c r="P408">
        <v>27.86</v>
      </c>
      <c r="Q408" t="s">
        <v>352</v>
      </c>
      <c r="R408">
        <v>1</v>
      </c>
      <c r="S408">
        <v>28.055199999999999</v>
      </c>
      <c r="T408">
        <v>0.2097</v>
      </c>
      <c r="U408">
        <v>-0.93085360038149656</v>
      </c>
      <c r="V408">
        <v>27.426099999999998</v>
      </c>
      <c r="W408">
        <v>27.6358</v>
      </c>
      <c r="X408">
        <v>27.845499999999998</v>
      </c>
      <c r="Y408">
        <v>28.264900000000001</v>
      </c>
      <c r="Z408">
        <v>28.474599999999999</v>
      </c>
      <c r="AA408">
        <v>28.6843</v>
      </c>
      <c r="AD408">
        <v>2.6301695796471778</v>
      </c>
      <c r="AE408">
        <v>0</v>
      </c>
      <c r="AF408">
        <v>0</v>
      </c>
      <c r="AG408">
        <v>0</v>
      </c>
      <c r="AH408">
        <v>0</v>
      </c>
      <c r="AI408">
        <v>1</v>
      </c>
      <c r="AJ408">
        <v>0</v>
      </c>
      <c r="AK408" t="s">
        <v>1213</v>
      </c>
      <c r="AL408" t="s">
        <v>6</v>
      </c>
      <c r="AM408" t="s">
        <v>1145</v>
      </c>
      <c r="AN408" t="s">
        <v>1146</v>
      </c>
      <c r="AO408" s="100">
        <v>46262.040405092594</v>
      </c>
      <c r="AP408" t="s">
        <v>1147</v>
      </c>
      <c r="AQ408" t="s">
        <v>2029</v>
      </c>
      <c r="AR408" t="s">
        <v>1180</v>
      </c>
      <c r="AS408" t="s">
        <v>1150</v>
      </c>
      <c r="AT408" t="s">
        <v>1967</v>
      </c>
      <c r="AU408">
        <v>25</v>
      </c>
      <c r="AV408">
        <v>28.065932000000004</v>
      </c>
      <c r="AW408">
        <v>0.22880332842858758</v>
      </c>
      <c r="AX408">
        <v>0.8152350986547946</v>
      </c>
      <c r="AY408">
        <v>-0.19629249469443186</v>
      </c>
      <c r="AZ408">
        <v>1.5414304074748428</v>
      </c>
      <c r="BA408">
        <v>2.9854910429750197</v>
      </c>
      <c r="BB408" t="s">
        <v>4619</v>
      </c>
      <c r="BD408" s="98"/>
      <c r="BE408" s="98"/>
      <c r="BF408" t="s">
        <v>1152</v>
      </c>
      <c r="BG408" t="s">
        <v>322</v>
      </c>
      <c r="BH408" t="s">
        <v>1153</v>
      </c>
      <c r="BI408">
        <v>0.19629249469443186</v>
      </c>
      <c r="BJ408" t="s">
        <v>991</v>
      </c>
      <c r="BK408">
        <v>1.088739172172335</v>
      </c>
      <c r="BL408">
        <v>41.394257640162621</v>
      </c>
      <c r="BM408" t="s">
        <v>1260</v>
      </c>
      <c r="BN408" t="s">
        <v>1154</v>
      </c>
      <c r="BO408">
        <v>2025</v>
      </c>
      <c r="BP408" t="s">
        <v>966</v>
      </c>
      <c r="BQ408">
        <v>254269.32324866956</v>
      </c>
      <c r="BR408">
        <v>74.573067675133046</v>
      </c>
      <c r="BS408" t="s">
        <v>992</v>
      </c>
      <c r="BV408" t="s">
        <v>1034</v>
      </c>
      <c r="BW408" t="s">
        <v>943</v>
      </c>
      <c r="BX408" t="s">
        <v>994</v>
      </c>
      <c r="BY408">
        <v>2.1611148751268172</v>
      </c>
      <c r="BZ408" t="s">
        <v>1155</v>
      </c>
      <c r="CA408" t="s">
        <v>991</v>
      </c>
      <c r="CB408" t="b">
        <v>1</v>
      </c>
      <c r="CC408" t="b">
        <v>1</v>
      </c>
      <c r="CD408" t="b">
        <v>1</v>
      </c>
      <c r="CE408" t="b">
        <v>1</v>
      </c>
      <c r="CF408" t="b">
        <v>1</v>
      </c>
    </row>
    <row r="409" spans="1:84" x14ac:dyDescent="0.3">
      <c r="A409" t="s">
        <v>2030</v>
      </c>
      <c r="B409" t="s">
        <v>1182</v>
      </c>
      <c r="C409" s="98">
        <v>45712</v>
      </c>
      <c r="D409">
        <v>2025</v>
      </c>
      <c r="E409">
        <v>2</v>
      </c>
      <c r="F409">
        <v>1</v>
      </c>
      <c r="G409" t="s">
        <v>1170</v>
      </c>
      <c r="H409" t="s">
        <v>130</v>
      </c>
      <c r="I409" t="s">
        <v>130</v>
      </c>
      <c r="J409" t="s">
        <v>6</v>
      </c>
      <c r="L409">
        <v>522611</v>
      </c>
      <c r="M409" s="99" t="s">
        <v>179</v>
      </c>
      <c r="N409">
        <v>2</v>
      </c>
      <c r="O409">
        <v>8</v>
      </c>
      <c r="P409">
        <v>28.2241</v>
      </c>
      <c r="Q409" t="s">
        <v>352</v>
      </c>
      <c r="R409">
        <v>1</v>
      </c>
      <c r="S409">
        <v>28.055199999999999</v>
      </c>
      <c r="T409">
        <v>0.2097</v>
      </c>
      <c r="U409">
        <v>0.8054363376251823</v>
      </c>
      <c r="V409">
        <v>27.426099999999998</v>
      </c>
      <c r="W409">
        <v>27.6358</v>
      </c>
      <c r="X409">
        <v>27.845499999999998</v>
      </c>
      <c r="Y409">
        <v>28.264900000000001</v>
      </c>
      <c r="Z409">
        <v>28.474599999999999</v>
      </c>
      <c r="AA409">
        <v>28.6843</v>
      </c>
      <c r="AD409">
        <v>2.6301695796471778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 t="s">
        <v>462</v>
      </c>
      <c r="AL409" t="s">
        <v>6</v>
      </c>
      <c r="AM409" t="s">
        <v>1145</v>
      </c>
      <c r="AN409" t="s">
        <v>1146</v>
      </c>
      <c r="AO409" s="100">
        <v>46262.040405092594</v>
      </c>
      <c r="AP409" t="s">
        <v>1147</v>
      </c>
      <c r="AQ409" t="s">
        <v>2031</v>
      </c>
      <c r="AR409" t="s">
        <v>1184</v>
      </c>
      <c r="AS409" t="s">
        <v>1150</v>
      </c>
      <c r="AT409" t="s">
        <v>1967</v>
      </c>
      <c r="AU409">
        <v>25</v>
      </c>
      <c r="AV409">
        <v>28.065932000000004</v>
      </c>
      <c r="AW409">
        <v>0.22880332842858758</v>
      </c>
      <c r="AX409">
        <v>0.8152350986547946</v>
      </c>
      <c r="AY409">
        <v>-0.19629249469443186</v>
      </c>
      <c r="AZ409">
        <v>1.5414304074748428</v>
      </c>
      <c r="BA409">
        <v>2.9854910429750197</v>
      </c>
      <c r="BB409" t="s">
        <v>4619</v>
      </c>
      <c r="BD409" s="98"/>
      <c r="BE409" s="98"/>
      <c r="BF409" t="s">
        <v>1152</v>
      </c>
      <c r="BG409" t="s">
        <v>322</v>
      </c>
      <c r="BH409" t="s">
        <v>1153</v>
      </c>
      <c r="BI409">
        <v>0.19629249469443186</v>
      </c>
      <c r="BJ409" t="s">
        <v>991</v>
      </c>
      <c r="BK409">
        <v>1.088739172172335</v>
      </c>
      <c r="BL409">
        <v>41.394257640162621</v>
      </c>
      <c r="BM409" t="s">
        <v>1260</v>
      </c>
      <c r="BN409" t="s">
        <v>1154</v>
      </c>
      <c r="BO409">
        <v>2025</v>
      </c>
      <c r="BP409" t="s">
        <v>966</v>
      </c>
      <c r="BQ409">
        <v>254269.32324866956</v>
      </c>
      <c r="BR409">
        <v>74.573067675133046</v>
      </c>
      <c r="BS409" t="s">
        <v>992</v>
      </c>
      <c r="BV409" t="s">
        <v>1034</v>
      </c>
      <c r="BW409" t="s">
        <v>943</v>
      </c>
      <c r="BX409" t="s">
        <v>994</v>
      </c>
      <c r="BY409">
        <v>2.1611148751268172</v>
      </c>
      <c r="BZ409" t="s">
        <v>1155</v>
      </c>
      <c r="CA409" t="s">
        <v>991</v>
      </c>
      <c r="CB409" t="b">
        <v>1</v>
      </c>
      <c r="CC409" t="b">
        <v>1</v>
      </c>
      <c r="CD409" t="b">
        <v>1</v>
      </c>
      <c r="CE409" t="b">
        <v>1</v>
      </c>
      <c r="CF409" t="b">
        <v>1</v>
      </c>
    </row>
    <row r="410" spans="1:84" x14ac:dyDescent="0.3">
      <c r="A410" t="s">
        <v>2032</v>
      </c>
      <c r="B410" t="s">
        <v>1186</v>
      </c>
      <c r="C410" s="98">
        <v>45719</v>
      </c>
      <c r="D410">
        <v>2025</v>
      </c>
      <c r="E410">
        <v>3</v>
      </c>
      <c r="F410">
        <v>1</v>
      </c>
      <c r="G410" t="s">
        <v>1187</v>
      </c>
      <c r="H410" t="s">
        <v>130</v>
      </c>
      <c r="I410" t="s">
        <v>130</v>
      </c>
      <c r="J410" t="s">
        <v>6</v>
      </c>
      <c r="L410">
        <v>522611</v>
      </c>
      <c r="M410" s="99" t="s">
        <v>179</v>
      </c>
      <c r="N410">
        <v>2</v>
      </c>
      <c r="O410">
        <v>9</v>
      </c>
      <c r="P410">
        <v>28.1525</v>
      </c>
      <c r="Q410" t="s">
        <v>352</v>
      </c>
      <c r="R410">
        <v>1</v>
      </c>
      <c r="S410">
        <v>28.055199999999999</v>
      </c>
      <c r="T410">
        <v>0.2097</v>
      </c>
      <c r="U410">
        <v>0.46399618502623086</v>
      </c>
      <c r="V410">
        <v>27.426099999999998</v>
      </c>
      <c r="W410">
        <v>27.6358</v>
      </c>
      <c r="X410">
        <v>27.845499999999998</v>
      </c>
      <c r="Y410">
        <v>28.264900000000001</v>
      </c>
      <c r="Z410">
        <v>28.474599999999999</v>
      </c>
      <c r="AA410">
        <v>28.6843</v>
      </c>
      <c r="AD410">
        <v>2.6301695796471778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 t="s">
        <v>462</v>
      </c>
      <c r="AL410" t="s">
        <v>6</v>
      </c>
      <c r="AM410" t="s">
        <v>1145</v>
      </c>
      <c r="AN410" t="s">
        <v>1146</v>
      </c>
      <c r="AO410" s="100">
        <v>46262.040405092594</v>
      </c>
      <c r="AP410" t="s">
        <v>1147</v>
      </c>
      <c r="AQ410" t="s">
        <v>2033</v>
      </c>
      <c r="AR410" t="s">
        <v>1189</v>
      </c>
      <c r="AS410" t="s">
        <v>1150</v>
      </c>
      <c r="AT410" t="s">
        <v>1967</v>
      </c>
      <c r="AU410">
        <v>25</v>
      </c>
      <c r="AV410">
        <v>28.065932000000004</v>
      </c>
      <c r="AW410">
        <v>0.22880332842858758</v>
      </c>
      <c r="AX410">
        <v>0.8152350986547946</v>
      </c>
      <c r="AY410">
        <v>-0.19629249469443186</v>
      </c>
      <c r="AZ410">
        <v>1.5414304074748428</v>
      </c>
      <c r="BA410">
        <v>2.9854910429750197</v>
      </c>
      <c r="BB410" t="s">
        <v>4619</v>
      </c>
      <c r="BD410" s="98"/>
      <c r="BE410" s="98"/>
      <c r="BF410" t="s">
        <v>1152</v>
      </c>
      <c r="BG410" t="s">
        <v>322</v>
      </c>
      <c r="BH410" t="s">
        <v>1153</v>
      </c>
      <c r="BI410">
        <v>0.19629249469443186</v>
      </c>
      <c r="BJ410" t="s">
        <v>991</v>
      </c>
      <c r="BK410">
        <v>1.088739172172335</v>
      </c>
      <c r="BL410">
        <v>41.394257640162621</v>
      </c>
      <c r="BM410" t="s">
        <v>1260</v>
      </c>
      <c r="BN410" t="s">
        <v>1154</v>
      </c>
      <c r="BO410">
        <v>2025</v>
      </c>
      <c r="BP410" t="s">
        <v>966</v>
      </c>
      <c r="BQ410">
        <v>254269.32324866956</v>
      </c>
      <c r="BR410">
        <v>74.573067675133046</v>
      </c>
      <c r="BS410" t="s">
        <v>992</v>
      </c>
      <c r="BV410" t="s">
        <v>1034</v>
      </c>
      <c r="BW410" t="s">
        <v>943</v>
      </c>
      <c r="BX410" t="s">
        <v>994</v>
      </c>
      <c r="BY410">
        <v>2.1611148751268172</v>
      </c>
      <c r="BZ410" t="s">
        <v>1155</v>
      </c>
      <c r="CA410" t="s">
        <v>991</v>
      </c>
      <c r="CB410" t="b">
        <v>1</v>
      </c>
      <c r="CC410" t="b">
        <v>1</v>
      </c>
      <c r="CD410" t="b">
        <v>1</v>
      </c>
      <c r="CE410" t="b">
        <v>1</v>
      </c>
      <c r="CF410" t="b">
        <v>1</v>
      </c>
    </row>
    <row r="411" spans="1:84" x14ac:dyDescent="0.3">
      <c r="A411" t="s">
        <v>2034</v>
      </c>
      <c r="B411" t="s">
        <v>1191</v>
      </c>
      <c r="C411" s="98">
        <v>45726</v>
      </c>
      <c r="D411">
        <v>2025</v>
      </c>
      <c r="E411">
        <v>3</v>
      </c>
      <c r="F411">
        <v>1</v>
      </c>
      <c r="G411" t="s">
        <v>1187</v>
      </c>
      <c r="H411" t="s">
        <v>130</v>
      </c>
      <c r="I411" t="s">
        <v>130</v>
      </c>
      <c r="J411" t="s">
        <v>6</v>
      </c>
      <c r="L411">
        <v>522611</v>
      </c>
      <c r="M411" s="99" t="s">
        <v>179</v>
      </c>
      <c r="N411">
        <v>2</v>
      </c>
      <c r="O411">
        <v>10</v>
      </c>
      <c r="P411">
        <v>27.6569</v>
      </c>
      <c r="Q411" t="s">
        <v>352</v>
      </c>
      <c r="R411">
        <v>1</v>
      </c>
      <c r="S411">
        <v>28.055199999999999</v>
      </c>
      <c r="T411">
        <v>0.2097</v>
      </c>
      <c r="U411">
        <v>-1.8993800667620362</v>
      </c>
      <c r="V411">
        <v>27.426099999999998</v>
      </c>
      <c r="W411">
        <v>27.6358</v>
      </c>
      <c r="X411">
        <v>27.845499999999998</v>
      </c>
      <c r="Y411">
        <v>28.264900000000001</v>
      </c>
      <c r="Z411">
        <v>28.474599999999999</v>
      </c>
      <c r="AA411">
        <v>28.6843</v>
      </c>
      <c r="AD411">
        <v>2.6301695796471778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 t="s">
        <v>462</v>
      </c>
      <c r="AL411" t="s">
        <v>6</v>
      </c>
      <c r="AM411" t="s">
        <v>1145</v>
      </c>
      <c r="AN411" t="s">
        <v>1146</v>
      </c>
      <c r="AO411" s="100">
        <v>46262.040405092594</v>
      </c>
      <c r="AP411" t="s">
        <v>1147</v>
      </c>
      <c r="AQ411" t="s">
        <v>2035</v>
      </c>
      <c r="AR411" t="s">
        <v>1193</v>
      </c>
      <c r="AS411" t="s">
        <v>1150</v>
      </c>
      <c r="AT411" t="s">
        <v>1967</v>
      </c>
      <c r="AU411">
        <v>25</v>
      </c>
      <c r="AV411">
        <v>28.065932000000004</v>
      </c>
      <c r="AW411">
        <v>0.22880332842858758</v>
      </c>
      <c r="AX411">
        <v>0.8152350986547946</v>
      </c>
      <c r="AY411">
        <v>-0.19629249469443186</v>
      </c>
      <c r="AZ411">
        <v>1.5414304074748428</v>
      </c>
      <c r="BA411">
        <v>2.9854910429750197</v>
      </c>
      <c r="BB411" t="s">
        <v>4619</v>
      </c>
      <c r="BD411" s="98"/>
      <c r="BE411" s="98"/>
      <c r="BF411" t="s">
        <v>1152</v>
      </c>
      <c r="BG411" t="s">
        <v>322</v>
      </c>
      <c r="BH411" t="s">
        <v>1153</v>
      </c>
      <c r="BI411">
        <v>0.19629249469443186</v>
      </c>
      <c r="BJ411" t="s">
        <v>991</v>
      </c>
      <c r="BK411">
        <v>1.088739172172335</v>
      </c>
      <c r="BL411">
        <v>41.394257640162621</v>
      </c>
      <c r="BM411" t="s">
        <v>1260</v>
      </c>
      <c r="BN411" t="s">
        <v>1154</v>
      </c>
      <c r="BO411">
        <v>2025</v>
      </c>
      <c r="BP411" t="s">
        <v>966</v>
      </c>
      <c r="BQ411">
        <v>254269.32324866956</v>
      </c>
      <c r="BR411">
        <v>74.573067675133046</v>
      </c>
      <c r="BS411" t="s">
        <v>992</v>
      </c>
      <c r="BV411" t="s">
        <v>1034</v>
      </c>
      <c r="BW411" t="s">
        <v>943</v>
      </c>
      <c r="BX411" t="s">
        <v>994</v>
      </c>
      <c r="BY411">
        <v>2.1611148751268172</v>
      </c>
      <c r="BZ411" t="s">
        <v>1155</v>
      </c>
      <c r="CA411" t="s">
        <v>991</v>
      </c>
      <c r="CB411" t="b">
        <v>1</v>
      </c>
      <c r="CC411" t="b">
        <v>1</v>
      </c>
      <c r="CD411" t="b">
        <v>1</v>
      </c>
      <c r="CE411" t="b">
        <v>1</v>
      </c>
      <c r="CF411" t="b">
        <v>1</v>
      </c>
    </row>
    <row r="412" spans="1:84" x14ac:dyDescent="0.3">
      <c r="A412" t="s">
        <v>2036</v>
      </c>
      <c r="B412" t="s">
        <v>1195</v>
      </c>
      <c r="C412" s="98">
        <v>45733</v>
      </c>
      <c r="D412">
        <v>2025</v>
      </c>
      <c r="E412">
        <v>3</v>
      </c>
      <c r="F412">
        <v>1</v>
      </c>
      <c r="G412" t="s">
        <v>1187</v>
      </c>
      <c r="H412" t="s">
        <v>130</v>
      </c>
      <c r="I412" t="s">
        <v>130</v>
      </c>
      <c r="J412" t="s">
        <v>6</v>
      </c>
      <c r="L412">
        <v>522611</v>
      </c>
      <c r="M412" s="99" t="s">
        <v>179</v>
      </c>
      <c r="N412">
        <v>2</v>
      </c>
      <c r="O412">
        <v>11</v>
      </c>
      <c r="P412">
        <v>28.337800000000001</v>
      </c>
      <c r="Q412" t="s">
        <v>352</v>
      </c>
      <c r="R412">
        <v>1</v>
      </c>
      <c r="S412">
        <v>28.055199999999999</v>
      </c>
      <c r="T412">
        <v>0.2097</v>
      </c>
      <c r="U412">
        <v>1.3476394849785511</v>
      </c>
      <c r="V412">
        <v>27.426099999999998</v>
      </c>
      <c r="W412">
        <v>27.6358</v>
      </c>
      <c r="X412">
        <v>27.845499999999998</v>
      </c>
      <c r="Y412">
        <v>28.264900000000001</v>
      </c>
      <c r="Z412">
        <v>28.474599999999999</v>
      </c>
      <c r="AA412">
        <v>28.6843</v>
      </c>
      <c r="AD412">
        <v>2.6301695796471778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 t="s">
        <v>462</v>
      </c>
      <c r="AL412" t="s">
        <v>6</v>
      </c>
      <c r="AM412" t="s">
        <v>1145</v>
      </c>
      <c r="AN412" t="s">
        <v>1146</v>
      </c>
      <c r="AO412" s="100">
        <v>46262.040405092594</v>
      </c>
      <c r="AP412" t="s">
        <v>1147</v>
      </c>
      <c r="AQ412" t="s">
        <v>2037</v>
      </c>
      <c r="AR412" t="s">
        <v>1197</v>
      </c>
      <c r="AS412" t="s">
        <v>1150</v>
      </c>
      <c r="AT412" t="s">
        <v>1967</v>
      </c>
      <c r="AU412">
        <v>25</v>
      </c>
      <c r="AV412">
        <v>28.065932000000004</v>
      </c>
      <c r="AW412">
        <v>0.22880332842858758</v>
      </c>
      <c r="AX412">
        <v>0.8152350986547946</v>
      </c>
      <c r="AY412">
        <v>-0.19629249469443186</v>
      </c>
      <c r="AZ412">
        <v>1.5414304074748428</v>
      </c>
      <c r="BA412">
        <v>2.9854910429750197</v>
      </c>
      <c r="BB412" t="s">
        <v>4619</v>
      </c>
      <c r="BD412" s="98"/>
      <c r="BE412" s="98"/>
      <c r="BF412" t="s">
        <v>1152</v>
      </c>
      <c r="BG412" t="s">
        <v>322</v>
      </c>
      <c r="BH412" t="s">
        <v>1153</v>
      </c>
      <c r="BI412">
        <v>0.19629249469443186</v>
      </c>
      <c r="BJ412" t="s">
        <v>991</v>
      </c>
      <c r="BK412">
        <v>1.088739172172335</v>
      </c>
      <c r="BL412">
        <v>41.394257640162621</v>
      </c>
      <c r="BM412" t="s">
        <v>1260</v>
      </c>
      <c r="BN412" t="s">
        <v>1154</v>
      </c>
      <c r="BO412">
        <v>2025</v>
      </c>
      <c r="BP412" t="s">
        <v>966</v>
      </c>
      <c r="BQ412">
        <v>254269.32324866956</v>
      </c>
      <c r="BR412">
        <v>74.573067675133046</v>
      </c>
      <c r="BS412" t="s">
        <v>992</v>
      </c>
      <c r="BV412" t="s">
        <v>1034</v>
      </c>
      <c r="BW412" t="s">
        <v>943</v>
      </c>
      <c r="BX412" t="s">
        <v>994</v>
      </c>
      <c r="BY412">
        <v>2.1611148751268172</v>
      </c>
      <c r="BZ412" t="s">
        <v>1155</v>
      </c>
      <c r="CA412" t="s">
        <v>991</v>
      </c>
      <c r="CB412" t="b">
        <v>1</v>
      </c>
      <c r="CC412" t="b">
        <v>1</v>
      </c>
      <c r="CD412" t="b">
        <v>1</v>
      </c>
      <c r="CE412" t="b">
        <v>1</v>
      </c>
      <c r="CF412" t="b">
        <v>1</v>
      </c>
    </row>
    <row r="413" spans="1:84" x14ac:dyDescent="0.3">
      <c r="A413" t="s">
        <v>2038</v>
      </c>
      <c r="B413" t="s">
        <v>1199</v>
      </c>
      <c r="C413" s="98">
        <v>45740</v>
      </c>
      <c r="D413">
        <v>2025</v>
      </c>
      <c r="E413">
        <v>3</v>
      </c>
      <c r="F413">
        <v>1</v>
      </c>
      <c r="G413" t="s">
        <v>1187</v>
      </c>
      <c r="H413" t="s">
        <v>130</v>
      </c>
      <c r="I413" t="s">
        <v>130</v>
      </c>
      <c r="J413" t="s">
        <v>6</v>
      </c>
      <c r="L413">
        <v>522611</v>
      </c>
      <c r="M413" s="99" t="s">
        <v>179</v>
      </c>
      <c r="N413">
        <v>2</v>
      </c>
      <c r="O413">
        <v>12</v>
      </c>
      <c r="P413">
        <v>28.180599999999998</v>
      </c>
      <c r="Q413" t="s">
        <v>352</v>
      </c>
      <c r="R413">
        <v>1</v>
      </c>
      <c r="S413">
        <v>28.055199999999999</v>
      </c>
      <c r="T413">
        <v>0.2097</v>
      </c>
      <c r="U413">
        <v>0.59799713876966654</v>
      </c>
      <c r="V413">
        <v>27.426099999999998</v>
      </c>
      <c r="W413">
        <v>27.6358</v>
      </c>
      <c r="X413">
        <v>27.845499999999998</v>
      </c>
      <c r="Y413">
        <v>28.264900000000001</v>
      </c>
      <c r="Z413">
        <v>28.474599999999999</v>
      </c>
      <c r="AA413">
        <v>28.6843</v>
      </c>
      <c r="AD413">
        <v>2.6301695796471778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 t="s">
        <v>462</v>
      </c>
      <c r="AL413" t="s">
        <v>6</v>
      </c>
      <c r="AM413" t="s">
        <v>1145</v>
      </c>
      <c r="AN413" t="s">
        <v>1146</v>
      </c>
      <c r="AO413" s="100">
        <v>46262.040405092594</v>
      </c>
      <c r="AP413" t="s">
        <v>1147</v>
      </c>
      <c r="AQ413" t="s">
        <v>2039</v>
      </c>
      <c r="AR413" t="s">
        <v>1201</v>
      </c>
      <c r="AS413" t="s">
        <v>1150</v>
      </c>
      <c r="AT413" t="s">
        <v>1967</v>
      </c>
      <c r="AU413">
        <v>25</v>
      </c>
      <c r="AV413">
        <v>28.065932000000004</v>
      </c>
      <c r="AW413">
        <v>0.22880332842858758</v>
      </c>
      <c r="AX413">
        <v>0.8152350986547946</v>
      </c>
      <c r="AY413">
        <v>-0.19629249469443186</v>
      </c>
      <c r="AZ413">
        <v>1.5414304074748428</v>
      </c>
      <c r="BA413">
        <v>2.9854910429750197</v>
      </c>
      <c r="BB413" t="s">
        <v>4619</v>
      </c>
      <c r="BD413" s="98"/>
      <c r="BE413" s="98"/>
      <c r="BF413" t="s">
        <v>1152</v>
      </c>
      <c r="BG413" t="s">
        <v>322</v>
      </c>
      <c r="BH413" t="s">
        <v>1153</v>
      </c>
      <c r="BI413">
        <v>0.19629249469443186</v>
      </c>
      <c r="BJ413" t="s">
        <v>991</v>
      </c>
      <c r="BK413">
        <v>1.088739172172335</v>
      </c>
      <c r="BL413">
        <v>41.394257640162621</v>
      </c>
      <c r="BM413" t="s">
        <v>1260</v>
      </c>
      <c r="BN413" t="s">
        <v>1154</v>
      </c>
      <c r="BO413">
        <v>2025</v>
      </c>
      <c r="BP413" t="s">
        <v>966</v>
      </c>
      <c r="BQ413">
        <v>254269.32324866956</v>
      </c>
      <c r="BR413">
        <v>74.573067675133046</v>
      </c>
      <c r="BS413" t="s">
        <v>992</v>
      </c>
      <c r="BV413" t="s">
        <v>1034</v>
      </c>
      <c r="BW413" t="s">
        <v>943</v>
      </c>
      <c r="BX413" t="s">
        <v>994</v>
      </c>
      <c r="BY413">
        <v>2.1611148751268172</v>
      </c>
      <c r="BZ413" t="s">
        <v>1155</v>
      </c>
      <c r="CA413" t="s">
        <v>991</v>
      </c>
      <c r="CB413" t="b">
        <v>1</v>
      </c>
      <c r="CC413" t="b">
        <v>1</v>
      </c>
      <c r="CD413" t="b">
        <v>1</v>
      </c>
      <c r="CE413" t="b">
        <v>1</v>
      </c>
      <c r="CF413" t="b">
        <v>1</v>
      </c>
    </row>
    <row r="414" spans="1:84" x14ac:dyDescent="0.3">
      <c r="A414" t="s">
        <v>2040</v>
      </c>
      <c r="B414" t="s">
        <v>1203</v>
      </c>
      <c r="C414" s="98">
        <v>45747</v>
      </c>
      <c r="D414">
        <v>2025</v>
      </c>
      <c r="E414">
        <v>3</v>
      </c>
      <c r="F414">
        <v>1</v>
      </c>
      <c r="G414" t="s">
        <v>1187</v>
      </c>
      <c r="H414" t="s">
        <v>130</v>
      </c>
      <c r="I414" t="s">
        <v>130</v>
      </c>
      <c r="J414" t="s">
        <v>6</v>
      </c>
      <c r="L414">
        <v>522611</v>
      </c>
      <c r="M414" s="99" t="s">
        <v>179</v>
      </c>
      <c r="N414">
        <v>2</v>
      </c>
      <c r="O414">
        <v>13</v>
      </c>
      <c r="P414">
        <v>28.3369</v>
      </c>
      <c r="Q414" t="s">
        <v>352</v>
      </c>
      <c r="R414">
        <v>1</v>
      </c>
      <c r="S414">
        <v>28.055199999999999</v>
      </c>
      <c r="T414">
        <v>0.2097</v>
      </c>
      <c r="U414">
        <v>1.3433476394849819</v>
      </c>
      <c r="V414">
        <v>27.426099999999998</v>
      </c>
      <c r="W414">
        <v>27.6358</v>
      </c>
      <c r="X414">
        <v>27.845499999999998</v>
      </c>
      <c r="Y414">
        <v>28.264900000000001</v>
      </c>
      <c r="Z414">
        <v>28.474599999999999</v>
      </c>
      <c r="AA414">
        <v>28.6843</v>
      </c>
      <c r="AD414">
        <v>2.6301695796471778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 t="s">
        <v>462</v>
      </c>
      <c r="AL414" t="s">
        <v>6</v>
      </c>
      <c r="AM414" t="s">
        <v>1145</v>
      </c>
      <c r="AN414" t="s">
        <v>1146</v>
      </c>
      <c r="AO414" s="100">
        <v>46262.040405092594</v>
      </c>
      <c r="AP414" t="s">
        <v>1147</v>
      </c>
      <c r="AQ414" t="s">
        <v>2041</v>
      </c>
      <c r="AR414" t="s">
        <v>1205</v>
      </c>
      <c r="AS414" t="s">
        <v>1150</v>
      </c>
      <c r="AT414" t="s">
        <v>1967</v>
      </c>
      <c r="AU414">
        <v>25</v>
      </c>
      <c r="AV414">
        <v>28.065932000000004</v>
      </c>
      <c r="AW414">
        <v>0.22880332842858758</v>
      </c>
      <c r="AX414">
        <v>0.8152350986547946</v>
      </c>
      <c r="AY414">
        <v>-0.19629249469443186</v>
      </c>
      <c r="AZ414">
        <v>1.5414304074748428</v>
      </c>
      <c r="BA414">
        <v>2.9854910429750197</v>
      </c>
      <c r="BB414" t="s">
        <v>4619</v>
      </c>
      <c r="BD414" s="98"/>
      <c r="BE414" s="98"/>
      <c r="BF414" t="s">
        <v>1152</v>
      </c>
      <c r="BG414" t="s">
        <v>322</v>
      </c>
      <c r="BH414" t="s">
        <v>1153</v>
      </c>
      <c r="BI414">
        <v>0.19629249469443186</v>
      </c>
      <c r="BJ414" t="s">
        <v>991</v>
      </c>
      <c r="BK414">
        <v>1.088739172172335</v>
      </c>
      <c r="BL414">
        <v>41.394257640162621</v>
      </c>
      <c r="BM414" t="s">
        <v>1260</v>
      </c>
      <c r="BN414" t="s">
        <v>1154</v>
      </c>
      <c r="BO414">
        <v>2025</v>
      </c>
      <c r="BP414" t="s">
        <v>966</v>
      </c>
      <c r="BQ414">
        <v>254269.32324866956</v>
      </c>
      <c r="BR414">
        <v>74.573067675133046</v>
      </c>
      <c r="BS414" t="s">
        <v>992</v>
      </c>
      <c r="BV414" t="s">
        <v>1034</v>
      </c>
      <c r="BW414" t="s">
        <v>943</v>
      </c>
      <c r="BX414" t="s">
        <v>994</v>
      </c>
      <c r="BY414">
        <v>2.1611148751268172</v>
      </c>
      <c r="BZ414" t="s">
        <v>1155</v>
      </c>
      <c r="CA414" t="s">
        <v>991</v>
      </c>
      <c r="CB414" t="b">
        <v>1</v>
      </c>
      <c r="CC414" t="b">
        <v>1</v>
      </c>
      <c r="CD414" t="b">
        <v>1</v>
      </c>
      <c r="CE414" t="b">
        <v>1</v>
      </c>
      <c r="CF414" t="b">
        <v>1</v>
      </c>
    </row>
    <row r="415" spans="1:84" x14ac:dyDescent="0.3">
      <c r="A415" t="s">
        <v>2042</v>
      </c>
      <c r="B415" t="s">
        <v>1207</v>
      </c>
      <c r="C415" s="98">
        <v>45754</v>
      </c>
      <c r="D415">
        <v>2025</v>
      </c>
      <c r="E415">
        <v>4</v>
      </c>
      <c r="F415">
        <v>2</v>
      </c>
      <c r="G415" t="s">
        <v>1208</v>
      </c>
      <c r="H415" t="s">
        <v>130</v>
      </c>
      <c r="I415" t="s">
        <v>130</v>
      </c>
      <c r="J415" t="s">
        <v>6</v>
      </c>
      <c r="L415">
        <v>522611</v>
      </c>
      <c r="M415" s="99" t="s">
        <v>179</v>
      </c>
      <c r="N415">
        <v>2</v>
      </c>
      <c r="O415">
        <v>14</v>
      </c>
      <c r="P415">
        <v>27.974699999999999</v>
      </c>
      <c r="Q415" t="s">
        <v>352</v>
      </c>
      <c r="R415">
        <v>1</v>
      </c>
      <c r="S415">
        <v>28.055199999999999</v>
      </c>
      <c r="T415">
        <v>0.2097</v>
      </c>
      <c r="U415">
        <v>-0.38388173581306956</v>
      </c>
      <c r="V415">
        <v>27.426099999999998</v>
      </c>
      <c r="W415">
        <v>27.6358</v>
      </c>
      <c r="X415">
        <v>27.845499999999998</v>
      </c>
      <c r="Y415">
        <v>28.264900000000001</v>
      </c>
      <c r="Z415">
        <v>28.474599999999999</v>
      </c>
      <c r="AA415">
        <v>28.6843</v>
      </c>
      <c r="AD415">
        <v>2.6301695796471778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 t="s">
        <v>462</v>
      </c>
      <c r="AL415" t="s">
        <v>6</v>
      </c>
      <c r="AM415" t="s">
        <v>1145</v>
      </c>
      <c r="AN415" t="s">
        <v>1146</v>
      </c>
      <c r="AO415" s="100">
        <v>46262.040405092594</v>
      </c>
      <c r="AP415" t="s">
        <v>1147</v>
      </c>
      <c r="AQ415" t="s">
        <v>2043</v>
      </c>
      <c r="AR415" t="s">
        <v>1210</v>
      </c>
      <c r="AS415" t="s">
        <v>1150</v>
      </c>
      <c r="AT415" t="s">
        <v>1967</v>
      </c>
      <c r="AU415">
        <v>25</v>
      </c>
      <c r="AV415">
        <v>28.065932000000004</v>
      </c>
      <c r="AW415">
        <v>0.22880332842858758</v>
      </c>
      <c r="AX415">
        <v>0.8152350986547946</v>
      </c>
      <c r="AY415">
        <v>-0.19629249469443186</v>
      </c>
      <c r="AZ415">
        <v>1.5414304074748428</v>
      </c>
      <c r="BA415">
        <v>2.9854910429750197</v>
      </c>
      <c r="BB415" t="s">
        <v>4619</v>
      </c>
      <c r="BD415" s="98"/>
      <c r="BE415" s="98"/>
      <c r="BF415" t="s">
        <v>1152</v>
      </c>
      <c r="BG415" t="s">
        <v>322</v>
      </c>
      <c r="BH415" t="s">
        <v>1153</v>
      </c>
      <c r="BI415">
        <v>0.19629249469443186</v>
      </c>
      <c r="BJ415" t="s">
        <v>991</v>
      </c>
      <c r="BK415">
        <v>1.088739172172335</v>
      </c>
      <c r="BL415">
        <v>41.394257640162621</v>
      </c>
      <c r="BM415" t="s">
        <v>1260</v>
      </c>
      <c r="BN415" t="s">
        <v>1154</v>
      </c>
      <c r="BO415">
        <v>2025</v>
      </c>
      <c r="BP415" t="s">
        <v>966</v>
      </c>
      <c r="BQ415">
        <v>254269.32324866956</v>
      </c>
      <c r="BR415">
        <v>74.573067675133046</v>
      </c>
      <c r="BS415" t="s">
        <v>992</v>
      </c>
      <c r="BV415" t="s">
        <v>1034</v>
      </c>
      <c r="BW415" t="s">
        <v>943</v>
      </c>
      <c r="BX415" t="s">
        <v>994</v>
      </c>
      <c r="BY415">
        <v>2.1611148751268172</v>
      </c>
      <c r="BZ415" t="s">
        <v>1155</v>
      </c>
      <c r="CA415" t="s">
        <v>991</v>
      </c>
      <c r="CB415" t="b">
        <v>1</v>
      </c>
      <c r="CC415" t="b">
        <v>1</v>
      </c>
      <c r="CD415" t="b">
        <v>1</v>
      </c>
      <c r="CE415" t="b">
        <v>1</v>
      </c>
      <c r="CF415" t="b">
        <v>1</v>
      </c>
    </row>
    <row r="416" spans="1:84" x14ac:dyDescent="0.3">
      <c r="A416" t="s">
        <v>2044</v>
      </c>
      <c r="B416" t="s">
        <v>1212</v>
      </c>
      <c r="C416" s="98">
        <v>45761</v>
      </c>
      <c r="D416">
        <v>2025</v>
      </c>
      <c r="E416">
        <v>4</v>
      </c>
      <c r="F416">
        <v>2</v>
      </c>
      <c r="G416" t="s">
        <v>1208</v>
      </c>
      <c r="H416" t="s">
        <v>130</v>
      </c>
      <c r="I416" t="s">
        <v>130</v>
      </c>
      <c r="J416" t="s">
        <v>6</v>
      </c>
      <c r="L416">
        <v>522611</v>
      </c>
      <c r="M416" s="99" t="s">
        <v>179</v>
      </c>
      <c r="N416">
        <v>2</v>
      </c>
      <c r="O416">
        <v>15</v>
      </c>
      <c r="P416">
        <v>27.993200000000002</v>
      </c>
      <c r="Q416" t="s">
        <v>352</v>
      </c>
      <c r="R416">
        <v>1</v>
      </c>
      <c r="S416">
        <v>28.055199999999999</v>
      </c>
      <c r="T416">
        <v>0.2097</v>
      </c>
      <c r="U416">
        <v>-0.2956604673342757</v>
      </c>
      <c r="V416">
        <v>27.426099999999998</v>
      </c>
      <c r="W416">
        <v>27.6358</v>
      </c>
      <c r="X416">
        <v>27.845499999999998</v>
      </c>
      <c r="Y416">
        <v>28.264900000000001</v>
      </c>
      <c r="Z416">
        <v>28.474599999999999</v>
      </c>
      <c r="AA416">
        <v>28.6843</v>
      </c>
      <c r="AD416">
        <v>2.6301695796471778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 t="s">
        <v>462</v>
      </c>
      <c r="AL416" t="s">
        <v>6</v>
      </c>
      <c r="AM416" t="s">
        <v>1145</v>
      </c>
      <c r="AN416" t="s">
        <v>1146</v>
      </c>
      <c r="AO416" s="100">
        <v>46262.040405092594</v>
      </c>
      <c r="AP416" t="s">
        <v>1147</v>
      </c>
      <c r="AQ416" t="s">
        <v>2045</v>
      </c>
      <c r="AR416" t="s">
        <v>1215</v>
      </c>
      <c r="AS416" t="s">
        <v>1150</v>
      </c>
      <c r="AT416" t="s">
        <v>1967</v>
      </c>
      <c r="AU416">
        <v>25</v>
      </c>
      <c r="AV416">
        <v>28.065932000000004</v>
      </c>
      <c r="AW416">
        <v>0.22880332842858758</v>
      </c>
      <c r="AX416">
        <v>0.8152350986547946</v>
      </c>
      <c r="AY416">
        <v>-0.19629249469443186</v>
      </c>
      <c r="AZ416">
        <v>1.5414304074748428</v>
      </c>
      <c r="BA416">
        <v>2.9854910429750197</v>
      </c>
      <c r="BB416" t="s">
        <v>4619</v>
      </c>
      <c r="BD416" s="98"/>
      <c r="BE416" s="98"/>
      <c r="BF416" t="s">
        <v>1152</v>
      </c>
      <c r="BG416" t="s">
        <v>322</v>
      </c>
      <c r="BH416" t="s">
        <v>1153</v>
      </c>
      <c r="BI416">
        <v>0.19629249469443186</v>
      </c>
      <c r="BJ416" t="s">
        <v>991</v>
      </c>
      <c r="BK416">
        <v>1.088739172172335</v>
      </c>
      <c r="BL416">
        <v>41.394257640162621</v>
      </c>
      <c r="BM416" t="s">
        <v>1260</v>
      </c>
      <c r="BN416" t="s">
        <v>1154</v>
      </c>
      <c r="BO416">
        <v>2025</v>
      </c>
      <c r="BP416" t="s">
        <v>966</v>
      </c>
      <c r="BQ416">
        <v>254269.32324866956</v>
      </c>
      <c r="BR416">
        <v>74.573067675133046</v>
      </c>
      <c r="BS416" t="s">
        <v>992</v>
      </c>
      <c r="BV416" t="s">
        <v>1034</v>
      </c>
      <c r="BW416" t="s">
        <v>943</v>
      </c>
      <c r="BX416" t="s">
        <v>994</v>
      </c>
      <c r="BY416">
        <v>2.1611148751268172</v>
      </c>
      <c r="BZ416" t="s">
        <v>1155</v>
      </c>
      <c r="CA416" t="s">
        <v>991</v>
      </c>
      <c r="CB416" t="b">
        <v>1</v>
      </c>
      <c r="CC416" t="b">
        <v>1</v>
      </c>
      <c r="CD416" t="b">
        <v>1</v>
      </c>
      <c r="CE416" t="b">
        <v>1</v>
      </c>
      <c r="CF416" t="b">
        <v>1</v>
      </c>
    </row>
    <row r="417" spans="1:84" x14ac:dyDescent="0.3">
      <c r="A417" t="s">
        <v>2046</v>
      </c>
      <c r="B417" t="s">
        <v>1217</v>
      </c>
      <c r="C417" s="98">
        <v>45768</v>
      </c>
      <c r="D417">
        <v>2025</v>
      </c>
      <c r="E417">
        <v>4</v>
      </c>
      <c r="F417">
        <v>2</v>
      </c>
      <c r="G417" t="s">
        <v>1208</v>
      </c>
      <c r="H417" t="s">
        <v>130</v>
      </c>
      <c r="I417" t="s">
        <v>130</v>
      </c>
      <c r="J417" t="s">
        <v>6</v>
      </c>
      <c r="L417">
        <v>522611</v>
      </c>
      <c r="M417" s="99" t="s">
        <v>179</v>
      </c>
      <c r="N417">
        <v>2</v>
      </c>
      <c r="O417">
        <v>16</v>
      </c>
      <c r="P417">
        <v>27.818899999999999</v>
      </c>
      <c r="Q417" t="s">
        <v>352</v>
      </c>
      <c r="R417">
        <v>1</v>
      </c>
      <c r="S417">
        <v>28.055199999999999</v>
      </c>
      <c r="T417">
        <v>0.2097</v>
      </c>
      <c r="U417">
        <v>-1.1268478779208391</v>
      </c>
      <c r="V417">
        <v>27.426099999999998</v>
      </c>
      <c r="W417">
        <v>27.6358</v>
      </c>
      <c r="X417">
        <v>27.845499999999998</v>
      </c>
      <c r="Y417">
        <v>28.264900000000001</v>
      </c>
      <c r="Z417">
        <v>28.474599999999999</v>
      </c>
      <c r="AA417">
        <v>28.6843</v>
      </c>
      <c r="AD417">
        <v>2.6301695796471778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 t="s">
        <v>462</v>
      </c>
      <c r="AL417" t="s">
        <v>6</v>
      </c>
      <c r="AM417" t="s">
        <v>1145</v>
      </c>
      <c r="AN417" t="s">
        <v>1146</v>
      </c>
      <c r="AO417" s="100">
        <v>46262.040405092594</v>
      </c>
      <c r="AP417" t="s">
        <v>1147</v>
      </c>
      <c r="AQ417" t="s">
        <v>2047</v>
      </c>
      <c r="AR417" t="s">
        <v>1219</v>
      </c>
      <c r="AS417" t="s">
        <v>1150</v>
      </c>
      <c r="AT417" t="s">
        <v>1967</v>
      </c>
      <c r="AU417">
        <v>25</v>
      </c>
      <c r="AV417">
        <v>28.065932000000004</v>
      </c>
      <c r="AW417">
        <v>0.22880332842858758</v>
      </c>
      <c r="AX417">
        <v>0.8152350986547946</v>
      </c>
      <c r="AY417">
        <v>-0.19629249469443186</v>
      </c>
      <c r="AZ417">
        <v>1.5414304074748428</v>
      </c>
      <c r="BA417">
        <v>2.9854910429750197</v>
      </c>
      <c r="BB417" t="s">
        <v>4619</v>
      </c>
      <c r="BD417" s="98"/>
      <c r="BE417" s="98"/>
      <c r="BF417" t="s">
        <v>1152</v>
      </c>
      <c r="BG417" t="s">
        <v>322</v>
      </c>
      <c r="BH417" t="s">
        <v>1153</v>
      </c>
      <c r="BI417">
        <v>0.19629249469443186</v>
      </c>
      <c r="BJ417" t="s">
        <v>991</v>
      </c>
      <c r="BK417">
        <v>1.088739172172335</v>
      </c>
      <c r="BL417">
        <v>41.394257640162621</v>
      </c>
      <c r="BM417" t="s">
        <v>1260</v>
      </c>
      <c r="BN417" t="s">
        <v>1154</v>
      </c>
      <c r="BO417">
        <v>2025</v>
      </c>
      <c r="BP417" t="s">
        <v>966</v>
      </c>
      <c r="BQ417">
        <v>254269.32324866956</v>
      </c>
      <c r="BR417">
        <v>74.573067675133046</v>
      </c>
      <c r="BS417" t="s">
        <v>992</v>
      </c>
      <c r="BV417" t="s">
        <v>1034</v>
      </c>
      <c r="BW417" t="s">
        <v>943</v>
      </c>
      <c r="BX417" t="s">
        <v>994</v>
      </c>
      <c r="BY417">
        <v>2.1611148751268172</v>
      </c>
      <c r="BZ417" t="s">
        <v>1155</v>
      </c>
      <c r="CA417" t="s">
        <v>991</v>
      </c>
      <c r="CB417" t="b">
        <v>1</v>
      </c>
      <c r="CC417" t="b">
        <v>1</v>
      </c>
      <c r="CD417" t="b">
        <v>1</v>
      </c>
      <c r="CE417" t="b">
        <v>1</v>
      </c>
      <c r="CF417" t="b">
        <v>1</v>
      </c>
    </row>
    <row r="418" spans="1:84" x14ac:dyDescent="0.3">
      <c r="A418" t="s">
        <v>2048</v>
      </c>
      <c r="B418" t="s">
        <v>1221</v>
      </c>
      <c r="C418" s="98">
        <v>45775</v>
      </c>
      <c r="D418">
        <v>2025</v>
      </c>
      <c r="E418">
        <v>4</v>
      </c>
      <c r="F418">
        <v>2</v>
      </c>
      <c r="G418" t="s">
        <v>1208</v>
      </c>
      <c r="H418" t="s">
        <v>130</v>
      </c>
      <c r="I418" t="s">
        <v>130</v>
      </c>
      <c r="J418" t="s">
        <v>6</v>
      </c>
      <c r="L418">
        <v>522611</v>
      </c>
      <c r="M418" s="99" t="s">
        <v>179</v>
      </c>
      <c r="N418">
        <v>2</v>
      </c>
      <c r="O418">
        <v>17</v>
      </c>
      <c r="P418">
        <v>28.587299999999999</v>
      </c>
      <c r="Q418" t="s">
        <v>352</v>
      </c>
      <c r="R418">
        <v>1</v>
      </c>
      <c r="S418">
        <v>28.055199999999999</v>
      </c>
      <c r="T418">
        <v>0.2097</v>
      </c>
      <c r="U418">
        <v>2.5374344301382918</v>
      </c>
      <c r="V418">
        <v>27.426099999999998</v>
      </c>
      <c r="W418">
        <v>27.6358</v>
      </c>
      <c r="X418">
        <v>27.845499999999998</v>
      </c>
      <c r="Y418">
        <v>28.264900000000001</v>
      </c>
      <c r="Z418">
        <v>28.474599999999999</v>
      </c>
      <c r="AA418">
        <v>28.6843</v>
      </c>
      <c r="AD418">
        <v>2.6301695796471778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1</v>
      </c>
      <c r="AK418" t="s">
        <v>462</v>
      </c>
      <c r="AL418" t="s">
        <v>6</v>
      </c>
      <c r="AM418" t="s">
        <v>1145</v>
      </c>
      <c r="AN418" t="s">
        <v>1146</v>
      </c>
      <c r="AO418" s="100">
        <v>46262.040405092594</v>
      </c>
      <c r="AP418" t="s">
        <v>1147</v>
      </c>
      <c r="AQ418" t="s">
        <v>2049</v>
      </c>
      <c r="AR418" t="s">
        <v>1223</v>
      </c>
      <c r="AS418" t="s">
        <v>1150</v>
      </c>
      <c r="AT418" t="s">
        <v>1967</v>
      </c>
      <c r="AU418">
        <v>25</v>
      </c>
      <c r="AV418">
        <v>28.065932000000004</v>
      </c>
      <c r="AW418">
        <v>0.22880332842858758</v>
      </c>
      <c r="AX418">
        <v>0.8152350986547946</v>
      </c>
      <c r="AY418">
        <v>-0.19629249469443186</v>
      </c>
      <c r="AZ418">
        <v>1.5414304074748428</v>
      </c>
      <c r="BA418">
        <v>2.9854910429750197</v>
      </c>
      <c r="BB418" t="s">
        <v>4619</v>
      </c>
      <c r="BD418" s="98"/>
      <c r="BE418" s="98"/>
      <c r="BF418" t="s">
        <v>1152</v>
      </c>
      <c r="BG418" t="s">
        <v>322</v>
      </c>
      <c r="BH418" t="s">
        <v>1153</v>
      </c>
      <c r="BI418">
        <v>0.19629249469443186</v>
      </c>
      <c r="BJ418" t="s">
        <v>991</v>
      </c>
      <c r="BK418">
        <v>1.088739172172335</v>
      </c>
      <c r="BL418">
        <v>41.394257640162621</v>
      </c>
      <c r="BM418" t="s">
        <v>1260</v>
      </c>
      <c r="BN418" t="s">
        <v>1154</v>
      </c>
      <c r="BO418">
        <v>2025</v>
      </c>
      <c r="BP418" t="s">
        <v>966</v>
      </c>
      <c r="BQ418">
        <v>254269.32324866956</v>
      </c>
      <c r="BR418">
        <v>74.573067675133046</v>
      </c>
      <c r="BS418" t="s">
        <v>992</v>
      </c>
      <c r="BV418" t="s">
        <v>1034</v>
      </c>
      <c r="BW418" t="s">
        <v>943</v>
      </c>
      <c r="BX418" t="s">
        <v>994</v>
      </c>
      <c r="BY418">
        <v>2.1611148751268172</v>
      </c>
      <c r="BZ418" t="s">
        <v>1155</v>
      </c>
      <c r="CA418" t="s">
        <v>991</v>
      </c>
      <c r="CB418" t="b">
        <v>1</v>
      </c>
      <c r="CC418" t="b">
        <v>1</v>
      </c>
      <c r="CD418" t="b">
        <v>1</v>
      </c>
      <c r="CE418" t="b">
        <v>1</v>
      </c>
      <c r="CF418" t="b">
        <v>1</v>
      </c>
    </row>
    <row r="419" spans="1:84" x14ac:dyDescent="0.3">
      <c r="A419" t="s">
        <v>2050</v>
      </c>
      <c r="B419" t="s">
        <v>1225</v>
      </c>
      <c r="C419" s="98">
        <v>45782</v>
      </c>
      <c r="D419">
        <v>2025</v>
      </c>
      <c r="E419">
        <v>5</v>
      </c>
      <c r="F419">
        <v>2</v>
      </c>
      <c r="G419" t="s">
        <v>1226</v>
      </c>
      <c r="H419" t="s">
        <v>130</v>
      </c>
      <c r="I419" t="s">
        <v>130</v>
      </c>
      <c r="J419" t="s">
        <v>6</v>
      </c>
      <c r="L419">
        <v>522611</v>
      </c>
      <c r="M419" s="99" t="s">
        <v>179</v>
      </c>
      <c r="N419">
        <v>2</v>
      </c>
      <c r="O419">
        <v>18</v>
      </c>
      <c r="P419">
        <v>28.0184</v>
      </c>
      <c r="Q419" t="s">
        <v>352</v>
      </c>
      <c r="R419">
        <v>1</v>
      </c>
      <c r="S419">
        <v>28.055199999999999</v>
      </c>
      <c r="T419">
        <v>0.2097</v>
      </c>
      <c r="U419">
        <v>-0.17548879351454219</v>
      </c>
      <c r="V419">
        <v>27.426099999999998</v>
      </c>
      <c r="W419">
        <v>27.6358</v>
      </c>
      <c r="X419">
        <v>27.845499999999998</v>
      </c>
      <c r="Y419">
        <v>28.264900000000001</v>
      </c>
      <c r="Z419">
        <v>28.474599999999999</v>
      </c>
      <c r="AA419">
        <v>28.6843</v>
      </c>
      <c r="AD419">
        <v>2.6301695796471778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 t="s">
        <v>462</v>
      </c>
      <c r="AL419" t="s">
        <v>6</v>
      </c>
      <c r="AM419" t="s">
        <v>1145</v>
      </c>
      <c r="AN419" t="s">
        <v>1146</v>
      </c>
      <c r="AO419" s="100">
        <v>46262.040405092594</v>
      </c>
      <c r="AP419" t="s">
        <v>1147</v>
      </c>
      <c r="AQ419" t="s">
        <v>2051</v>
      </c>
      <c r="AR419" t="s">
        <v>1228</v>
      </c>
      <c r="AS419" t="s">
        <v>1150</v>
      </c>
      <c r="AT419" t="s">
        <v>1967</v>
      </c>
      <c r="AU419">
        <v>25</v>
      </c>
      <c r="AV419">
        <v>28.065932000000004</v>
      </c>
      <c r="AW419">
        <v>0.22880332842858758</v>
      </c>
      <c r="AX419">
        <v>0.8152350986547946</v>
      </c>
      <c r="AY419">
        <v>-0.19629249469443186</v>
      </c>
      <c r="AZ419">
        <v>1.5414304074748428</v>
      </c>
      <c r="BA419">
        <v>2.9854910429750197</v>
      </c>
      <c r="BB419" t="s">
        <v>4619</v>
      </c>
      <c r="BD419" s="98"/>
      <c r="BE419" s="98"/>
      <c r="BF419" t="s">
        <v>1152</v>
      </c>
      <c r="BG419" t="s">
        <v>322</v>
      </c>
      <c r="BH419" t="s">
        <v>1153</v>
      </c>
      <c r="BI419">
        <v>0.19629249469443186</v>
      </c>
      <c r="BJ419" t="s">
        <v>991</v>
      </c>
      <c r="BK419">
        <v>1.088739172172335</v>
      </c>
      <c r="BL419">
        <v>41.394257640162621</v>
      </c>
      <c r="BM419" t="s">
        <v>1260</v>
      </c>
      <c r="BN419" t="s">
        <v>1154</v>
      </c>
      <c r="BO419">
        <v>2025</v>
      </c>
      <c r="BP419" t="s">
        <v>966</v>
      </c>
      <c r="BQ419">
        <v>254269.32324866956</v>
      </c>
      <c r="BR419">
        <v>74.573067675133046</v>
      </c>
      <c r="BS419" t="s">
        <v>992</v>
      </c>
      <c r="BV419" t="s">
        <v>1034</v>
      </c>
      <c r="BW419" t="s">
        <v>943</v>
      </c>
      <c r="BX419" t="s">
        <v>994</v>
      </c>
      <c r="BY419">
        <v>2.1611148751268172</v>
      </c>
      <c r="BZ419" t="s">
        <v>1155</v>
      </c>
      <c r="CA419" t="s">
        <v>991</v>
      </c>
      <c r="CB419" t="b">
        <v>1</v>
      </c>
      <c r="CC419" t="b">
        <v>1</v>
      </c>
      <c r="CD419" t="b">
        <v>1</v>
      </c>
      <c r="CE419" t="b">
        <v>1</v>
      </c>
      <c r="CF419" t="b">
        <v>1</v>
      </c>
    </row>
    <row r="420" spans="1:84" x14ac:dyDescent="0.3">
      <c r="A420" t="s">
        <v>2052</v>
      </c>
      <c r="B420" t="s">
        <v>1230</v>
      </c>
      <c r="C420" s="98">
        <v>45789</v>
      </c>
      <c r="D420">
        <v>2025</v>
      </c>
      <c r="E420">
        <v>5</v>
      </c>
      <c r="F420">
        <v>2</v>
      </c>
      <c r="G420" t="s">
        <v>1226</v>
      </c>
      <c r="H420" t="s">
        <v>130</v>
      </c>
      <c r="I420" t="s">
        <v>130</v>
      </c>
      <c r="J420" t="s">
        <v>6</v>
      </c>
      <c r="L420">
        <v>522611</v>
      </c>
      <c r="M420" s="99" t="s">
        <v>179</v>
      </c>
      <c r="N420">
        <v>2</v>
      </c>
      <c r="O420">
        <v>19</v>
      </c>
      <c r="P420">
        <v>28.388100000000001</v>
      </c>
      <c r="Q420" t="s">
        <v>352</v>
      </c>
      <c r="R420">
        <v>1</v>
      </c>
      <c r="S420">
        <v>28.055199999999999</v>
      </c>
      <c r="T420">
        <v>0.2097</v>
      </c>
      <c r="U420">
        <v>1.5875059608965294</v>
      </c>
      <c r="V420">
        <v>27.426099999999998</v>
      </c>
      <c r="W420">
        <v>27.6358</v>
      </c>
      <c r="X420">
        <v>27.845499999999998</v>
      </c>
      <c r="Y420">
        <v>28.264900000000001</v>
      </c>
      <c r="Z420">
        <v>28.474599999999999</v>
      </c>
      <c r="AA420">
        <v>28.6843</v>
      </c>
      <c r="AD420">
        <v>2.6301695796471778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 t="s">
        <v>462</v>
      </c>
      <c r="AL420" t="s">
        <v>6</v>
      </c>
      <c r="AM420" t="s">
        <v>1145</v>
      </c>
      <c r="AN420" t="s">
        <v>1146</v>
      </c>
      <c r="AO420" s="100">
        <v>46262.040405092594</v>
      </c>
      <c r="AP420" t="s">
        <v>1147</v>
      </c>
      <c r="AQ420" t="s">
        <v>2053</v>
      </c>
      <c r="AR420" t="s">
        <v>1232</v>
      </c>
      <c r="AS420" t="s">
        <v>1150</v>
      </c>
      <c r="AT420" t="s">
        <v>1967</v>
      </c>
      <c r="AU420">
        <v>25</v>
      </c>
      <c r="AV420">
        <v>28.065932000000004</v>
      </c>
      <c r="AW420">
        <v>0.22880332842858758</v>
      </c>
      <c r="AX420">
        <v>0.8152350986547946</v>
      </c>
      <c r="AY420">
        <v>-0.19629249469443186</v>
      </c>
      <c r="AZ420">
        <v>1.5414304074748428</v>
      </c>
      <c r="BA420">
        <v>2.9854910429750197</v>
      </c>
      <c r="BB420" t="s">
        <v>4619</v>
      </c>
      <c r="BD420" s="98"/>
      <c r="BE420" s="98"/>
      <c r="BF420" t="s">
        <v>1152</v>
      </c>
      <c r="BG420" t="s">
        <v>322</v>
      </c>
      <c r="BH420" t="s">
        <v>1153</v>
      </c>
      <c r="BI420">
        <v>0.19629249469443186</v>
      </c>
      <c r="BJ420" t="s">
        <v>991</v>
      </c>
      <c r="BK420">
        <v>1.088739172172335</v>
      </c>
      <c r="BL420">
        <v>41.394257640162621</v>
      </c>
      <c r="BM420" t="s">
        <v>1260</v>
      </c>
      <c r="BN420" t="s">
        <v>1154</v>
      </c>
      <c r="BO420">
        <v>2025</v>
      </c>
      <c r="BP420" t="s">
        <v>966</v>
      </c>
      <c r="BQ420">
        <v>254269.32324866956</v>
      </c>
      <c r="BR420">
        <v>74.573067675133046</v>
      </c>
      <c r="BS420" t="s">
        <v>992</v>
      </c>
      <c r="BV420" t="s">
        <v>1034</v>
      </c>
      <c r="BW420" t="s">
        <v>943</v>
      </c>
      <c r="BX420" t="s">
        <v>994</v>
      </c>
      <c r="BY420">
        <v>2.1611148751268172</v>
      </c>
      <c r="BZ420" t="s">
        <v>1155</v>
      </c>
      <c r="CA420" t="s">
        <v>991</v>
      </c>
      <c r="CB420" t="b">
        <v>1</v>
      </c>
      <c r="CC420" t="b">
        <v>1</v>
      </c>
      <c r="CD420" t="b">
        <v>1</v>
      </c>
      <c r="CE420" t="b">
        <v>1</v>
      </c>
      <c r="CF420" t="b">
        <v>1</v>
      </c>
    </row>
    <row r="421" spans="1:84" x14ac:dyDescent="0.3">
      <c r="A421" t="s">
        <v>2054</v>
      </c>
      <c r="B421" t="s">
        <v>1234</v>
      </c>
      <c r="C421" s="98">
        <v>45796</v>
      </c>
      <c r="D421">
        <v>2025</v>
      </c>
      <c r="E421">
        <v>5</v>
      </c>
      <c r="F421">
        <v>2</v>
      </c>
      <c r="G421" t="s">
        <v>1226</v>
      </c>
      <c r="H421" t="s">
        <v>130</v>
      </c>
      <c r="I421" t="s">
        <v>130</v>
      </c>
      <c r="J421" t="s">
        <v>6</v>
      </c>
      <c r="L421">
        <v>522611</v>
      </c>
      <c r="M421" s="99" t="s">
        <v>179</v>
      </c>
      <c r="N421">
        <v>2</v>
      </c>
      <c r="O421">
        <v>20</v>
      </c>
      <c r="P421">
        <v>27.9194</v>
      </c>
      <c r="Q421" t="s">
        <v>352</v>
      </c>
      <c r="R421">
        <v>1</v>
      </c>
      <c r="S421">
        <v>28.055199999999999</v>
      </c>
      <c r="T421">
        <v>0.2097</v>
      </c>
      <c r="U421">
        <v>-0.64759179780638865</v>
      </c>
      <c r="V421">
        <v>27.426099999999998</v>
      </c>
      <c r="W421">
        <v>27.6358</v>
      </c>
      <c r="X421">
        <v>27.845499999999998</v>
      </c>
      <c r="Y421">
        <v>28.264900000000001</v>
      </c>
      <c r="Z421">
        <v>28.474599999999999</v>
      </c>
      <c r="AA421">
        <v>28.6843</v>
      </c>
      <c r="AD421">
        <v>2.6301695796471778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 t="s">
        <v>462</v>
      </c>
      <c r="AL421" t="s">
        <v>6</v>
      </c>
      <c r="AM421" t="s">
        <v>1145</v>
      </c>
      <c r="AN421" t="s">
        <v>1146</v>
      </c>
      <c r="AO421" s="100">
        <v>46262.040405092594</v>
      </c>
      <c r="AP421" t="s">
        <v>1147</v>
      </c>
      <c r="AQ421" t="s">
        <v>2055</v>
      </c>
      <c r="AR421" t="s">
        <v>1236</v>
      </c>
      <c r="AS421" t="s">
        <v>1150</v>
      </c>
      <c r="AT421" t="s">
        <v>1967</v>
      </c>
      <c r="AU421">
        <v>25</v>
      </c>
      <c r="AV421">
        <v>28.065932000000004</v>
      </c>
      <c r="AW421">
        <v>0.22880332842858758</v>
      </c>
      <c r="AX421">
        <v>0.8152350986547946</v>
      </c>
      <c r="AY421">
        <v>-0.19629249469443186</v>
      </c>
      <c r="AZ421">
        <v>1.5414304074748428</v>
      </c>
      <c r="BA421">
        <v>2.9854910429750197</v>
      </c>
      <c r="BB421" t="s">
        <v>4619</v>
      </c>
      <c r="BD421" s="98"/>
      <c r="BE421" s="98"/>
      <c r="BF421" t="s">
        <v>1152</v>
      </c>
      <c r="BG421" t="s">
        <v>322</v>
      </c>
      <c r="BH421" t="s">
        <v>1153</v>
      </c>
      <c r="BI421">
        <v>0.19629249469443186</v>
      </c>
      <c r="BJ421" t="s">
        <v>991</v>
      </c>
      <c r="BK421">
        <v>1.088739172172335</v>
      </c>
      <c r="BL421">
        <v>41.394257640162621</v>
      </c>
      <c r="BM421" t="s">
        <v>1260</v>
      </c>
      <c r="BN421" t="s">
        <v>1154</v>
      </c>
      <c r="BO421">
        <v>2025</v>
      </c>
      <c r="BP421" t="s">
        <v>966</v>
      </c>
      <c r="BQ421">
        <v>254269.32324866956</v>
      </c>
      <c r="BR421">
        <v>74.573067675133046</v>
      </c>
      <c r="BS421" t="s">
        <v>992</v>
      </c>
      <c r="BV421" t="s">
        <v>1034</v>
      </c>
      <c r="BW421" t="s">
        <v>943</v>
      </c>
      <c r="BX421" t="s">
        <v>994</v>
      </c>
      <c r="BY421">
        <v>2.1611148751268172</v>
      </c>
      <c r="BZ421" t="s">
        <v>1155</v>
      </c>
      <c r="CA421" t="s">
        <v>991</v>
      </c>
      <c r="CB421" t="b">
        <v>1</v>
      </c>
      <c r="CC421" t="b">
        <v>1</v>
      </c>
      <c r="CD421" t="b">
        <v>1</v>
      </c>
      <c r="CE421" t="b">
        <v>1</v>
      </c>
      <c r="CF421" t="b">
        <v>1</v>
      </c>
    </row>
    <row r="422" spans="1:84" x14ac:dyDescent="0.3">
      <c r="A422" t="s">
        <v>2056</v>
      </c>
      <c r="B422" t="s">
        <v>1238</v>
      </c>
      <c r="C422" s="98">
        <v>45803</v>
      </c>
      <c r="D422">
        <v>2025</v>
      </c>
      <c r="E422">
        <v>5</v>
      </c>
      <c r="F422">
        <v>2</v>
      </c>
      <c r="G422" t="s">
        <v>1226</v>
      </c>
      <c r="H422" t="s">
        <v>130</v>
      </c>
      <c r="I422" t="s">
        <v>130</v>
      </c>
      <c r="J422" t="s">
        <v>6</v>
      </c>
      <c r="L422">
        <v>522611</v>
      </c>
      <c r="M422" s="99" t="s">
        <v>179</v>
      </c>
      <c r="N422">
        <v>2</v>
      </c>
      <c r="O422">
        <v>21</v>
      </c>
      <c r="P422">
        <v>28.089500000000001</v>
      </c>
      <c r="Q422" t="s">
        <v>352</v>
      </c>
      <c r="R422">
        <v>1</v>
      </c>
      <c r="S422">
        <v>28.055199999999999</v>
      </c>
      <c r="T422">
        <v>0.2097</v>
      </c>
      <c r="U422">
        <v>0.16356700047688019</v>
      </c>
      <c r="V422">
        <v>27.426099999999998</v>
      </c>
      <c r="W422">
        <v>27.6358</v>
      </c>
      <c r="X422">
        <v>27.845499999999998</v>
      </c>
      <c r="Y422">
        <v>28.264900000000001</v>
      </c>
      <c r="Z422">
        <v>28.474599999999999</v>
      </c>
      <c r="AA422">
        <v>28.6843</v>
      </c>
      <c r="AD422">
        <v>2.6301695796471778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 t="s">
        <v>462</v>
      </c>
      <c r="AL422" t="s">
        <v>6</v>
      </c>
      <c r="AM422" t="s">
        <v>1145</v>
      </c>
      <c r="AN422" t="s">
        <v>1146</v>
      </c>
      <c r="AO422" s="100">
        <v>46262.040405092594</v>
      </c>
      <c r="AP422" t="s">
        <v>1147</v>
      </c>
      <c r="AQ422" t="s">
        <v>2057</v>
      </c>
      <c r="AR422" t="s">
        <v>1240</v>
      </c>
      <c r="AS422" t="s">
        <v>1150</v>
      </c>
      <c r="AT422" t="s">
        <v>1967</v>
      </c>
      <c r="AU422">
        <v>25</v>
      </c>
      <c r="AV422">
        <v>28.065932000000004</v>
      </c>
      <c r="AW422">
        <v>0.22880332842858758</v>
      </c>
      <c r="AX422">
        <v>0.8152350986547946</v>
      </c>
      <c r="AY422">
        <v>-0.19629249469443186</v>
      </c>
      <c r="AZ422">
        <v>1.5414304074748428</v>
      </c>
      <c r="BA422">
        <v>2.9854910429750197</v>
      </c>
      <c r="BB422" t="s">
        <v>4619</v>
      </c>
      <c r="BD422" s="98"/>
      <c r="BE422" s="98"/>
      <c r="BF422" t="s">
        <v>1152</v>
      </c>
      <c r="BG422" t="s">
        <v>322</v>
      </c>
      <c r="BH422" t="s">
        <v>1153</v>
      </c>
      <c r="BI422">
        <v>0.19629249469443186</v>
      </c>
      <c r="BJ422" t="s">
        <v>991</v>
      </c>
      <c r="BK422">
        <v>1.088739172172335</v>
      </c>
      <c r="BL422">
        <v>41.394257640162621</v>
      </c>
      <c r="BM422" t="s">
        <v>1260</v>
      </c>
      <c r="BN422" t="s">
        <v>1154</v>
      </c>
      <c r="BO422">
        <v>2025</v>
      </c>
      <c r="BP422" t="s">
        <v>966</v>
      </c>
      <c r="BQ422">
        <v>254269.32324866956</v>
      </c>
      <c r="BR422">
        <v>74.573067675133046</v>
      </c>
      <c r="BS422" t="s">
        <v>992</v>
      </c>
      <c r="BV422" t="s">
        <v>1034</v>
      </c>
      <c r="BW422" t="s">
        <v>943</v>
      </c>
      <c r="BX422" t="s">
        <v>994</v>
      </c>
      <c r="BY422">
        <v>2.1611148751268172</v>
      </c>
      <c r="BZ422" t="s">
        <v>1155</v>
      </c>
      <c r="CA422" t="s">
        <v>991</v>
      </c>
      <c r="CB422" t="b">
        <v>1</v>
      </c>
      <c r="CC422" t="b">
        <v>1</v>
      </c>
      <c r="CD422" t="b">
        <v>1</v>
      </c>
      <c r="CE422" t="b">
        <v>1</v>
      </c>
      <c r="CF422" t="b">
        <v>1</v>
      </c>
    </row>
    <row r="423" spans="1:84" x14ac:dyDescent="0.3">
      <c r="A423" t="s">
        <v>2058</v>
      </c>
      <c r="B423" t="s">
        <v>1242</v>
      </c>
      <c r="C423" s="98">
        <v>45810</v>
      </c>
      <c r="D423">
        <v>2025</v>
      </c>
      <c r="E423">
        <v>6</v>
      </c>
      <c r="F423">
        <v>2</v>
      </c>
      <c r="G423" t="s">
        <v>1243</v>
      </c>
      <c r="H423" t="s">
        <v>130</v>
      </c>
      <c r="I423" t="s">
        <v>130</v>
      </c>
      <c r="J423" t="s">
        <v>6</v>
      </c>
      <c r="L423">
        <v>522611</v>
      </c>
      <c r="M423" s="99" t="s">
        <v>179</v>
      </c>
      <c r="N423">
        <v>2</v>
      </c>
      <c r="O423">
        <v>22</v>
      </c>
      <c r="P423">
        <v>27.704599999999999</v>
      </c>
      <c r="Q423" t="s">
        <v>352</v>
      </c>
      <c r="R423">
        <v>1</v>
      </c>
      <c r="S423">
        <v>28.055199999999999</v>
      </c>
      <c r="T423">
        <v>0.2097</v>
      </c>
      <c r="U423">
        <v>-1.6719122556032429</v>
      </c>
      <c r="V423">
        <v>27.426099999999998</v>
      </c>
      <c r="W423">
        <v>27.6358</v>
      </c>
      <c r="X423">
        <v>27.845499999999998</v>
      </c>
      <c r="Y423">
        <v>28.264900000000001</v>
      </c>
      <c r="Z423">
        <v>28.474599999999999</v>
      </c>
      <c r="AA423">
        <v>28.6843</v>
      </c>
      <c r="AD423">
        <v>2.6301695796471778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 t="s">
        <v>462</v>
      </c>
      <c r="AL423" t="s">
        <v>6</v>
      </c>
      <c r="AM423" t="s">
        <v>1145</v>
      </c>
      <c r="AN423" t="s">
        <v>1146</v>
      </c>
      <c r="AO423" s="100">
        <v>46262.040405092594</v>
      </c>
      <c r="AP423" t="s">
        <v>1147</v>
      </c>
      <c r="AQ423" t="s">
        <v>2059</v>
      </c>
      <c r="AR423" t="s">
        <v>1245</v>
      </c>
      <c r="AS423" t="s">
        <v>1150</v>
      </c>
      <c r="AT423" t="s">
        <v>1967</v>
      </c>
      <c r="AU423">
        <v>25</v>
      </c>
      <c r="AV423">
        <v>28.065932000000004</v>
      </c>
      <c r="AW423">
        <v>0.22880332842858758</v>
      </c>
      <c r="AX423">
        <v>0.8152350986547946</v>
      </c>
      <c r="AY423">
        <v>-0.19629249469443186</v>
      </c>
      <c r="AZ423">
        <v>1.5414304074748428</v>
      </c>
      <c r="BA423">
        <v>2.9854910429750197</v>
      </c>
      <c r="BB423" t="s">
        <v>4619</v>
      </c>
      <c r="BD423" s="98"/>
      <c r="BE423" s="98"/>
      <c r="BF423" t="s">
        <v>1152</v>
      </c>
      <c r="BG423" t="s">
        <v>322</v>
      </c>
      <c r="BH423" t="s">
        <v>1153</v>
      </c>
      <c r="BI423">
        <v>0.19629249469443186</v>
      </c>
      <c r="BJ423" t="s">
        <v>991</v>
      </c>
      <c r="BK423">
        <v>1.088739172172335</v>
      </c>
      <c r="BL423">
        <v>41.394257640162621</v>
      </c>
      <c r="BM423" t="s">
        <v>1260</v>
      </c>
      <c r="BN423" t="s">
        <v>1154</v>
      </c>
      <c r="BO423">
        <v>2025</v>
      </c>
      <c r="BP423" t="s">
        <v>966</v>
      </c>
      <c r="BQ423">
        <v>254269.32324866956</v>
      </c>
      <c r="BR423">
        <v>74.573067675133046</v>
      </c>
      <c r="BS423" t="s">
        <v>992</v>
      </c>
      <c r="BV423" t="s">
        <v>1034</v>
      </c>
      <c r="BW423" t="s">
        <v>943</v>
      </c>
      <c r="BX423" t="s">
        <v>994</v>
      </c>
      <c r="BY423">
        <v>2.1611148751268172</v>
      </c>
      <c r="BZ423" t="s">
        <v>1155</v>
      </c>
      <c r="CA423" t="s">
        <v>991</v>
      </c>
      <c r="CB423" t="b">
        <v>1</v>
      </c>
      <c r="CC423" t="b">
        <v>1</v>
      </c>
      <c r="CD423" t="b">
        <v>1</v>
      </c>
      <c r="CE423" t="b">
        <v>1</v>
      </c>
      <c r="CF423" t="b">
        <v>1</v>
      </c>
    </row>
    <row r="424" spans="1:84" x14ac:dyDescent="0.3">
      <c r="A424" t="s">
        <v>2060</v>
      </c>
      <c r="B424" t="s">
        <v>1247</v>
      </c>
      <c r="C424" s="98">
        <v>45817</v>
      </c>
      <c r="D424">
        <v>2025</v>
      </c>
      <c r="E424">
        <v>6</v>
      </c>
      <c r="F424">
        <v>2</v>
      </c>
      <c r="G424" t="s">
        <v>1243</v>
      </c>
      <c r="H424" t="s">
        <v>130</v>
      </c>
      <c r="I424" t="s">
        <v>130</v>
      </c>
      <c r="J424" t="s">
        <v>6</v>
      </c>
      <c r="L424">
        <v>522611</v>
      </c>
      <c r="M424" s="99" t="s">
        <v>179</v>
      </c>
      <c r="N424">
        <v>2</v>
      </c>
      <c r="O424">
        <v>23</v>
      </c>
      <c r="P424">
        <v>27.974900000000002</v>
      </c>
      <c r="Q424" t="s">
        <v>352</v>
      </c>
      <c r="R424">
        <v>1</v>
      </c>
      <c r="S424">
        <v>28.055199999999999</v>
      </c>
      <c r="T424">
        <v>0.2097</v>
      </c>
      <c r="U424">
        <v>-0.38292799237004099</v>
      </c>
      <c r="V424">
        <v>27.426099999999998</v>
      </c>
      <c r="W424">
        <v>27.6358</v>
      </c>
      <c r="X424">
        <v>27.845499999999998</v>
      </c>
      <c r="Y424">
        <v>28.264900000000001</v>
      </c>
      <c r="Z424">
        <v>28.474599999999999</v>
      </c>
      <c r="AA424">
        <v>28.6843</v>
      </c>
      <c r="AD424">
        <v>2.6301695796471778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 t="s">
        <v>462</v>
      </c>
      <c r="AL424" t="s">
        <v>6</v>
      </c>
      <c r="AM424" t="s">
        <v>1145</v>
      </c>
      <c r="AN424" t="s">
        <v>1146</v>
      </c>
      <c r="AO424" s="100">
        <v>46262.040405092594</v>
      </c>
      <c r="AP424" t="s">
        <v>1147</v>
      </c>
      <c r="AQ424" t="s">
        <v>2061</v>
      </c>
      <c r="AR424" t="s">
        <v>1249</v>
      </c>
      <c r="AS424" t="s">
        <v>1150</v>
      </c>
      <c r="AT424" t="s">
        <v>1967</v>
      </c>
      <c r="AU424">
        <v>25</v>
      </c>
      <c r="AV424">
        <v>28.065932000000004</v>
      </c>
      <c r="AW424">
        <v>0.22880332842858758</v>
      </c>
      <c r="AX424">
        <v>0.8152350986547946</v>
      </c>
      <c r="AY424">
        <v>-0.19629249469443186</v>
      </c>
      <c r="AZ424">
        <v>1.5414304074748428</v>
      </c>
      <c r="BA424">
        <v>2.9854910429750197</v>
      </c>
      <c r="BB424" t="s">
        <v>4619</v>
      </c>
      <c r="BD424" s="98"/>
      <c r="BE424" s="98"/>
      <c r="BF424" t="s">
        <v>1152</v>
      </c>
      <c r="BG424" t="s">
        <v>322</v>
      </c>
      <c r="BH424" t="s">
        <v>1153</v>
      </c>
      <c r="BI424">
        <v>0.19629249469443186</v>
      </c>
      <c r="BJ424" t="s">
        <v>991</v>
      </c>
      <c r="BK424">
        <v>1.088739172172335</v>
      </c>
      <c r="BL424">
        <v>41.394257640162621</v>
      </c>
      <c r="BM424" t="s">
        <v>1260</v>
      </c>
      <c r="BN424" t="s">
        <v>1154</v>
      </c>
      <c r="BO424">
        <v>2025</v>
      </c>
      <c r="BP424" t="s">
        <v>966</v>
      </c>
      <c r="BQ424">
        <v>254269.32324866956</v>
      </c>
      <c r="BR424">
        <v>74.573067675133046</v>
      </c>
      <c r="BS424" t="s">
        <v>992</v>
      </c>
      <c r="BV424" t="s">
        <v>1034</v>
      </c>
      <c r="BW424" t="s">
        <v>943</v>
      </c>
      <c r="BX424" t="s">
        <v>994</v>
      </c>
      <c r="BY424">
        <v>2.1611148751268172</v>
      </c>
      <c r="BZ424" t="s">
        <v>1155</v>
      </c>
      <c r="CA424" t="s">
        <v>991</v>
      </c>
      <c r="CB424" t="b">
        <v>1</v>
      </c>
      <c r="CC424" t="b">
        <v>1</v>
      </c>
      <c r="CD424" t="b">
        <v>1</v>
      </c>
      <c r="CE424" t="b">
        <v>1</v>
      </c>
      <c r="CF424" t="b">
        <v>1</v>
      </c>
    </row>
    <row r="425" spans="1:84" x14ac:dyDescent="0.3">
      <c r="A425" t="s">
        <v>2062</v>
      </c>
      <c r="B425" t="s">
        <v>1251</v>
      </c>
      <c r="C425" s="98">
        <v>45824</v>
      </c>
      <c r="D425">
        <v>2025</v>
      </c>
      <c r="E425">
        <v>6</v>
      </c>
      <c r="F425">
        <v>2</v>
      </c>
      <c r="G425" t="s">
        <v>1243</v>
      </c>
      <c r="H425" t="s">
        <v>130</v>
      </c>
      <c r="I425" t="s">
        <v>130</v>
      </c>
      <c r="J425" t="s">
        <v>6</v>
      </c>
      <c r="L425">
        <v>522611</v>
      </c>
      <c r="M425" s="99" t="s">
        <v>179</v>
      </c>
      <c r="N425">
        <v>2</v>
      </c>
      <c r="O425">
        <v>24</v>
      </c>
      <c r="P425">
        <v>28.261500000000002</v>
      </c>
      <c r="Q425" t="s">
        <v>352</v>
      </c>
      <c r="R425">
        <v>1</v>
      </c>
      <c r="S425">
        <v>28.055199999999999</v>
      </c>
      <c r="T425">
        <v>0.2097</v>
      </c>
      <c r="U425">
        <v>0.98378636146877618</v>
      </c>
      <c r="V425">
        <v>27.426099999999998</v>
      </c>
      <c r="W425">
        <v>27.6358</v>
      </c>
      <c r="X425">
        <v>27.845499999999998</v>
      </c>
      <c r="Y425">
        <v>28.264900000000001</v>
      </c>
      <c r="Z425">
        <v>28.474599999999999</v>
      </c>
      <c r="AA425">
        <v>28.6843</v>
      </c>
      <c r="AD425">
        <v>2.6301695796471778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 t="s">
        <v>462</v>
      </c>
      <c r="AL425" t="s">
        <v>6</v>
      </c>
      <c r="AM425" t="s">
        <v>1145</v>
      </c>
      <c r="AN425" t="s">
        <v>1146</v>
      </c>
      <c r="AO425" s="100">
        <v>46262.040405092594</v>
      </c>
      <c r="AP425" t="s">
        <v>1147</v>
      </c>
      <c r="AQ425" t="s">
        <v>2063</v>
      </c>
      <c r="AR425" t="s">
        <v>1253</v>
      </c>
      <c r="AS425" t="s">
        <v>1150</v>
      </c>
      <c r="AT425" t="s">
        <v>1967</v>
      </c>
      <c r="AU425">
        <v>25</v>
      </c>
      <c r="AV425">
        <v>28.065932000000004</v>
      </c>
      <c r="AW425">
        <v>0.22880332842858758</v>
      </c>
      <c r="AX425">
        <v>0.8152350986547946</v>
      </c>
      <c r="AY425">
        <v>-0.19629249469443186</v>
      </c>
      <c r="AZ425">
        <v>1.5414304074748428</v>
      </c>
      <c r="BA425">
        <v>2.9854910429750197</v>
      </c>
      <c r="BB425" t="s">
        <v>4619</v>
      </c>
      <c r="BD425" s="98"/>
      <c r="BE425" s="98"/>
      <c r="BF425" t="s">
        <v>1152</v>
      </c>
      <c r="BG425" t="s">
        <v>322</v>
      </c>
      <c r="BH425" t="s">
        <v>1153</v>
      </c>
      <c r="BI425">
        <v>0.19629249469443186</v>
      </c>
      <c r="BJ425" t="s">
        <v>991</v>
      </c>
      <c r="BK425">
        <v>1.088739172172335</v>
      </c>
      <c r="BL425">
        <v>41.394257640162621</v>
      </c>
      <c r="BM425" t="s">
        <v>1260</v>
      </c>
      <c r="BN425" t="s">
        <v>1154</v>
      </c>
      <c r="BO425">
        <v>2025</v>
      </c>
      <c r="BP425" t="s">
        <v>966</v>
      </c>
      <c r="BQ425">
        <v>254269.32324866956</v>
      </c>
      <c r="BR425">
        <v>74.573067675133046</v>
      </c>
      <c r="BS425" t="s">
        <v>992</v>
      </c>
      <c r="BV425" t="s">
        <v>1034</v>
      </c>
      <c r="BW425" t="s">
        <v>943</v>
      </c>
      <c r="BX425" t="s">
        <v>994</v>
      </c>
      <c r="BY425">
        <v>2.1611148751268172</v>
      </c>
      <c r="BZ425" t="s">
        <v>1155</v>
      </c>
      <c r="CA425" t="s">
        <v>991</v>
      </c>
      <c r="CB425" t="b">
        <v>1</v>
      </c>
      <c r="CC425" t="b">
        <v>1</v>
      </c>
      <c r="CD425" t="b">
        <v>1</v>
      </c>
      <c r="CE425" t="b">
        <v>1</v>
      </c>
      <c r="CF425" t="b">
        <v>1</v>
      </c>
    </row>
    <row r="426" spans="1:84" x14ac:dyDescent="0.3">
      <c r="A426" t="s">
        <v>2064</v>
      </c>
      <c r="B426" t="s">
        <v>1255</v>
      </c>
      <c r="C426" s="98">
        <v>45831</v>
      </c>
      <c r="D426">
        <v>2025</v>
      </c>
      <c r="E426">
        <v>6</v>
      </c>
      <c r="F426">
        <v>2</v>
      </c>
      <c r="G426" t="s">
        <v>1243</v>
      </c>
      <c r="H426" t="s">
        <v>130</v>
      </c>
      <c r="I426" t="s">
        <v>130</v>
      </c>
      <c r="J426" t="s">
        <v>6</v>
      </c>
      <c r="L426">
        <v>522611</v>
      </c>
      <c r="M426" s="99" t="s">
        <v>179</v>
      </c>
      <c r="N426">
        <v>2</v>
      </c>
      <c r="O426">
        <v>25</v>
      </c>
      <c r="P426">
        <v>27.7926</v>
      </c>
      <c r="Q426" t="s">
        <v>352</v>
      </c>
      <c r="R426">
        <v>1</v>
      </c>
      <c r="S426">
        <v>28.055199999999999</v>
      </c>
      <c r="T426">
        <v>0.2097</v>
      </c>
      <c r="U426">
        <v>-1.2522651406771534</v>
      </c>
      <c r="V426">
        <v>27.426099999999998</v>
      </c>
      <c r="W426">
        <v>27.6358</v>
      </c>
      <c r="X426">
        <v>27.845499999999998</v>
      </c>
      <c r="Y426">
        <v>28.264900000000001</v>
      </c>
      <c r="Z426">
        <v>28.474599999999999</v>
      </c>
      <c r="AA426">
        <v>28.6843</v>
      </c>
      <c r="AD426">
        <v>2.6301695796471778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 t="s">
        <v>462</v>
      </c>
      <c r="AL426" t="s">
        <v>6</v>
      </c>
      <c r="AM426" t="s">
        <v>1145</v>
      </c>
      <c r="AN426" t="s">
        <v>1146</v>
      </c>
      <c r="AO426" s="100">
        <v>46262.040405092594</v>
      </c>
      <c r="AP426" t="s">
        <v>1147</v>
      </c>
      <c r="AQ426" t="s">
        <v>2065</v>
      </c>
      <c r="AR426" t="s">
        <v>1257</v>
      </c>
      <c r="AS426" t="s">
        <v>1150</v>
      </c>
      <c r="AT426" t="s">
        <v>1967</v>
      </c>
      <c r="AU426">
        <v>25</v>
      </c>
      <c r="AV426">
        <v>28.065932000000004</v>
      </c>
      <c r="AW426">
        <v>0.22880332842858758</v>
      </c>
      <c r="AX426">
        <v>0.8152350986547946</v>
      </c>
      <c r="AY426">
        <v>-0.19629249469443186</v>
      </c>
      <c r="AZ426">
        <v>1.5414304074748428</v>
      </c>
      <c r="BA426">
        <v>2.9854910429750197</v>
      </c>
      <c r="BB426" t="s">
        <v>4619</v>
      </c>
      <c r="BD426" s="98"/>
      <c r="BE426" s="98"/>
      <c r="BF426" t="s">
        <v>1152</v>
      </c>
      <c r="BG426" t="s">
        <v>322</v>
      </c>
      <c r="BH426" t="s">
        <v>1153</v>
      </c>
      <c r="BI426">
        <v>0.19629249469443186</v>
      </c>
      <c r="BJ426" t="s">
        <v>991</v>
      </c>
      <c r="BK426">
        <v>1.088739172172335</v>
      </c>
      <c r="BL426">
        <v>41.394257640162621</v>
      </c>
      <c r="BM426" t="s">
        <v>1260</v>
      </c>
      <c r="BN426" t="s">
        <v>1154</v>
      </c>
      <c r="BO426">
        <v>2025</v>
      </c>
      <c r="BP426" t="s">
        <v>966</v>
      </c>
      <c r="BQ426">
        <v>254269.32324866956</v>
      </c>
      <c r="BR426">
        <v>74.573067675133046</v>
      </c>
      <c r="BS426" t="s">
        <v>992</v>
      </c>
      <c r="BV426" t="s">
        <v>1034</v>
      </c>
      <c r="BW426" t="s">
        <v>943</v>
      </c>
      <c r="BX426" t="s">
        <v>994</v>
      </c>
      <c r="BY426">
        <v>2.1611148751268172</v>
      </c>
      <c r="BZ426" t="s">
        <v>1155</v>
      </c>
      <c r="CA426" t="s">
        <v>991</v>
      </c>
      <c r="CB426" t="b">
        <v>1</v>
      </c>
      <c r="CC426" t="b">
        <v>1</v>
      </c>
      <c r="CD426" t="b">
        <v>1</v>
      </c>
      <c r="CE426" t="b">
        <v>1</v>
      </c>
      <c r="CF426" t="b">
        <v>1</v>
      </c>
    </row>
    <row r="427" spans="1:84" x14ac:dyDescent="0.3">
      <c r="A427" t="s">
        <v>2066</v>
      </c>
      <c r="B427" t="s">
        <v>1143</v>
      </c>
      <c r="C427" s="98">
        <v>45663</v>
      </c>
      <c r="D427">
        <v>2025</v>
      </c>
      <c r="E427">
        <v>1</v>
      </c>
      <c r="F427">
        <v>1</v>
      </c>
      <c r="G427" t="s">
        <v>1144</v>
      </c>
      <c r="H427" t="s">
        <v>130</v>
      </c>
      <c r="I427" t="s">
        <v>130</v>
      </c>
      <c r="J427" t="s">
        <v>6</v>
      </c>
      <c r="L427">
        <v>522611</v>
      </c>
      <c r="M427" s="99" t="s">
        <v>180</v>
      </c>
      <c r="N427">
        <v>3</v>
      </c>
      <c r="O427">
        <v>1</v>
      </c>
      <c r="P427">
        <v>30.6477</v>
      </c>
      <c r="Q427" t="s">
        <v>352</v>
      </c>
      <c r="R427">
        <v>1</v>
      </c>
      <c r="S427">
        <v>30.3931</v>
      </c>
      <c r="T427">
        <v>0.2374</v>
      </c>
      <c r="U427">
        <v>1.0724515585509686</v>
      </c>
      <c r="V427">
        <v>29.680900000000001</v>
      </c>
      <c r="W427">
        <v>29.918300000000002</v>
      </c>
      <c r="X427">
        <v>30.1557</v>
      </c>
      <c r="Y427">
        <v>30.630500000000001</v>
      </c>
      <c r="Z427">
        <v>30.867899999999999</v>
      </c>
      <c r="AA427">
        <v>31.1053</v>
      </c>
      <c r="AD427">
        <v>2.6301695796471778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 t="s">
        <v>462</v>
      </c>
      <c r="AL427" t="s">
        <v>6</v>
      </c>
      <c r="AM427" t="s">
        <v>1145</v>
      </c>
      <c r="AN427" t="s">
        <v>1146</v>
      </c>
      <c r="AO427" s="100">
        <v>46262.040405092594</v>
      </c>
      <c r="AP427" t="s">
        <v>1147</v>
      </c>
      <c r="AQ427" t="s">
        <v>2067</v>
      </c>
      <c r="AR427" t="s">
        <v>1149</v>
      </c>
      <c r="AS427" t="s">
        <v>1150</v>
      </c>
      <c r="AT427" t="s">
        <v>1967</v>
      </c>
      <c r="AU427">
        <v>25</v>
      </c>
      <c r="AV427">
        <v>30.337060000000001</v>
      </c>
      <c r="AW427">
        <v>0.18563368947113715</v>
      </c>
      <c r="AX427">
        <v>0.61190401927918248</v>
      </c>
      <c r="AY427">
        <v>-0.19629249469443186</v>
      </c>
      <c r="AZ427">
        <v>1.2059341265050829</v>
      </c>
      <c r="BA427">
        <v>3.977547145089571</v>
      </c>
      <c r="BB427" t="s">
        <v>4619</v>
      </c>
      <c r="BD427" s="98"/>
      <c r="BE427" s="98"/>
      <c r="BF427" t="s">
        <v>1152</v>
      </c>
      <c r="BG427" t="s">
        <v>322</v>
      </c>
      <c r="BH427" t="s">
        <v>1153</v>
      </c>
      <c r="BI427">
        <v>0.19629249469443186</v>
      </c>
      <c r="BJ427" t="s">
        <v>1032</v>
      </c>
      <c r="BK427">
        <v>1.4242354531420949</v>
      </c>
      <c r="BL427">
        <v>54.14994775101718</v>
      </c>
      <c r="BM427" t="s">
        <v>1260</v>
      </c>
      <c r="BN427" t="s">
        <v>1154</v>
      </c>
      <c r="BO427">
        <v>2025</v>
      </c>
      <c r="BP427" t="s">
        <v>966</v>
      </c>
      <c r="BQ427">
        <v>254269.32324866956</v>
      </c>
      <c r="BR427">
        <v>74.573067675133046</v>
      </c>
      <c r="BS427" t="s">
        <v>992</v>
      </c>
      <c r="BV427" t="s">
        <v>1034</v>
      </c>
      <c r="BW427" t="s">
        <v>943</v>
      </c>
      <c r="BX427" t="s">
        <v>994</v>
      </c>
      <c r="BY427">
        <v>2.1611148751268172</v>
      </c>
      <c r="BZ427" t="s">
        <v>1155</v>
      </c>
      <c r="CA427" t="s">
        <v>991</v>
      </c>
      <c r="CB427" t="b">
        <v>1</v>
      </c>
      <c r="CC427" t="b">
        <v>1</v>
      </c>
      <c r="CD427" t="b">
        <v>1</v>
      </c>
      <c r="CE427" t="b">
        <v>1</v>
      </c>
      <c r="CF427" t="b">
        <v>1</v>
      </c>
    </row>
    <row r="428" spans="1:84" x14ac:dyDescent="0.3">
      <c r="A428" t="s">
        <v>2068</v>
      </c>
      <c r="B428" t="s">
        <v>1157</v>
      </c>
      <c r="C428" s="98">
        <v>45670</v>
      </c>
      <c r="D428">
        <v>2025</v>
      </c>
      <c r="E428">
        <v>1</v>
      </c>
      <c r="F428">
        <v>1</v>
      </c>
      <c r="G428" t="s">
        <v>1144</v>
      </c>
      <c r="H428" t="s">
        <v>130</v>
      </c>
      <c r="I428" t="s">
        <v>130</v>
      </c>
      <c r="J428" t="s">
        <v>6</v>
      </c>
      <c r="L428">
        <v>522611</v>
      </c>
      <c r="M428" s="99" t="s">
        <v>180</v>
      </c>
      <c r="N428">
        <v>3</v>
      </c>
      <c r="O428">
        <v>2</v>
      </c>
      <c r="P428">
        <v>30.473199999999999</v>
      </c>
      <c r="Q428" t="s">
        <v>352</v>
      </c>
      <c r="R428">
        <v>1</v>
      </c>
      <c r="S428">
        <v>30.3931</v>
      </c>
      <c r="T428">
        <v>0.2374</v>
      </c>
      <c r="U428">
        <v>0.33740522325188738</v>
      </c>
      <c r="V428">
        <v>29.680900000000001</v>
      </c>
      <c r="W428">
        <v>29.918300000000002</v>
      </c>
      <c r="X428">
        <v>30.1557</v>
      </c>
      <c r="Y428">
        <v>30.630500000000001</v>
      </c>
      <c r="Z428">
        <v>30.867899999999999</v>
      </c>
      <c r="AA428">
        <v>31.1053</v>
      </c>
      <c r="AD428">
        <v>2.6301695796471778</v>
      </c>
      <c r="AE428">
        <v>0</v>
      </c>
      <c r="AF428">
        <v>0</v>
      </c>
      <c r="AG428">
        <v>0</v>
      </c>
      <c r="AH428">
        <v>0</v>
      </c>
      <c r="AI428">
        <v>1</v>
      </c>
      <c r="AJ428">
        <v>0</v>
      </c>
      <c r="AK428" t="s">
        <v>1213</v>
      </c>
      <c r="AL428" t="s">
        <v>6</v>
      </c>
      <c r="AM428" t="s">
        <v>1145</v>
      </c>
      <c r="AN428" t="s">
        <v>1146</v>
      </c>
      <c r="AO428" s="100">
        <v>46262.040405092594</v>
      </c>
      <c r="AP428" t="s">
        <v>1147</v>
      </c>
      <c r="AQ428" t="s">
        <v>2069</v>
      </c>
      <c r="AR428" t="s">
        <v>1159</v>
      </c>
      <c r="AS428" t="s">
        <v>1150</v>
      </c>
      <c r="AT428" t="s">
        <v>1967</v>
      </c>
      <c r="AU428">
        <v>25</v>
      </c>
      <c r="AV428">
        <v>30.337060000000001</v>
      </c>
      <c r="AW428">
        <v>0.18563368947113715</v>
      </c>
      <c r="AX428">
        <v>0.61190401927918248</v>
      </c>
      <c r="AY428">
        <v>-0.19629249469443186</v>
      </c>
      <c r="AZ428">
        <v>1.2059341265050829</v>
      </c>
      <c r="BA428">
        <v>3.977547145089571</v>
      </c>
      <c r="BB428" t="s">
        <v>4619</v>
      </c>
      <c r="BD428" s="98"/>
      <c r="BE428" s="98"/>
      <c r="BF428" t="s">
        <v>1152</v>
      </c>
      <c r="BG428" t="s">
        <v>322</v>
      </c>
      <c r="BH428" t="s">
        <v>1153</v>
      </c>
      <c r="BI428">
        <v>0.19629249469443186</v>
      </c>
      <c r="BJ428" t="s">
        <v>1032</v>
      </c>
      <c r="BK428">
        <v>1.4242354531420949</v>
      </c>
      <c r="BL428">
        <v>54.14994775101718</v>
      </c>
      <c r="BM428" t="s">
        <v>1260</v>
      </c>
      <c r="BN428" t="s">
        <v>1154</v>
      </c>
      <c r="BO428">
        <v>2025</v>
      </c>
      <c r="BP428" t="s">
        <v>966</v>
      </c>
      <c r="BQ428">
        <v>254269.32324866956</v>
      </c>
      <c r="BR428">
        <v>74.573067675133046</v>
      </c>
      <c r="BS428" t="s">
        <v>992</v>
      </c>
      <c r="BV428" t="s">
        <v>1034</v>
      </c>
      <c r="BW428" t="s">
        <v>943</v>
      </c>
      <c r="BX428" t="s">
        <v>994</v>
      </c>
      <c r="BY428">
        <v>2.1611148751268172</v>
      </c>
      <c r="BZ428" t="s">
        <v>1155</v>
      </c>
      <c r="CA428" t="s">
        <v>991</v>
      </c>
      <c r="CB428" t="b">
        <v>1</v>
      </c>
      <c r="CC428" t="b">
        <v>1</v>
      </c>
      <c r="CD428" t="b">
        <v>1</v>
      </c>
      <c r="CE428" t="b">
        <v>1</v>
      </c>
      <c r="CF428" t="b">
        <v>1</v>
      </c>
    </row>
    <row r="429" spans="1:84" x14ac:dyDescent="0.3">
      <c r="A429" t="s">
        <v>2070</v>
      </c>
      <c r="B429" t="s">
        <v>1161</v>
      </c>
      <c r="C429" s="98">
        <v>45677</v>
      </c>
      <c r="D429">
        <v>2025</v>
      </c>
      <c r="E429">
        <v>1</v>
      </c>
      <c r="F429">
        <v>1</v>
      </c>
      <c r="G429" t="s">
        <v>1144</v>
      </c>
      <c r="H429" t="s">
        <v>130</v>
      </c>
      <c r="I429" t="s">
        <v>130</v>
      </c>
      <c r="J429" t="s">
        <v>6</v>
      </c>
      <c r="L429">
        <v>522611</v>
      </c>
      <c r="M429" s="99" t="s">
        <v>180</v>
      </c>
      <c r="N429">
        <v>3</v>
      </c>
      <c r="O429">
        <v>3</v>
      </c>
      <c r="P429">
        <v>30.145199999999999</v>
      </c>
      <c r="Q429" t="s">
        <v>352</v>
      </c>
      <c r="R429">
        <v>1</v>
      </c>
      <c r="S429">
        <v>30.3931</v>
      </c>
      <c r="T429">
        <v>0.2374</v>
      </c>
      <c r="U429">
        <v>-1.0442291491154228</v>
      </c>
      <c r="V429">
        <v>29.680900000000001</v>
      </c>
      <c r="W429">
        <v>29.918300000000002</v>
      </c>
      <c r="X429">
        <v>30.1557</v>
      </c>
      <c r="Y429">
        <v>30.630500000000001</v>
      </c>
      <c r="Z429">
        <v>30.867899999999999</v>
      </c>
      <c r="AA429">
        <v>31.1053</v>
      </c>
      <c r="AD429">
        <v>2.6301695796471778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 t="s">
        <v>462</v>
      </c>
      <c r="AL429" t="s">
        <v>6</v>
      </c>
      <c r="AM429" t="s">
        <v>1145</v>
      </c>
      <c r="AN429" t="s">
        <v>1146</v>
      </c>
      <c r="AO429" s="100">
        <v>46262.040405092594</v>
      </c>
      <c r="AP429" t="s">
        <v>1147</v>
      </c>
      <c r="AQ429" t="s">
        <v>2071</v>
      </c>
      <c r="AR429" t="s">
        <v>1163</v>
      </c>
      <c r="AS429" t="s">
        <v>1150</v>
      </c>
      <c r="AT429" t="s">
        <v>1967</v>
      </c>
      <c r="AU429">
        <v>25</v>
      </c>
      <c r="AV429">
        <v>30.337060000000001</v>
      </c>
      <c r="AW429">
        <v>0.18563368947113715</v>
      </c>
      <c r="AX429">
        <v>0.61190401927918248</v>
      </c>
      <c r="AY429">
        <v>-0.19629249469443186</v>
      </c>
      <c r="AZ429">
        <v>1.2059341265050829</v>
      </c>
      <c r="BA429">
        <v>3.977547145089571</v>
      </c>
      <c r="BB429" t="s">
        <v>4619</v>
      </c>
      <c r="BD429" s="98"/>
      <c r="BE429" s="98"/>
      <c r="BF429" t="s">
        <v>1152</v>
      </c>
      <c r="BG429" t="s">
        <v>322</v>
      </c>
      <c r="BH429" t="s">
        <v>1153</v>
      </c>
      <c r="BI429">
        <v>0.19629249469443186</v>
      </c>
      <c r="BJ429" t="s">
        <v>1032</v>
      </c>
      <c r="BK429">
        <v>1.4242354531420949</v>
      </c>
      <c r="BL429">
        <v>54.14994775101718</v>
      </c>
      <c r="BM429" t="s">
        <v>1260</v>
      </c>
      <c r="BN429" t="s">
        <v>1154</v>
      </c>
      <c r="BO429">
        <v>2025</v>
      </c>
      <c r="BP429" t="s">
        <v>966</v>
      </c>
      <c r="BQ429">
        <v>254269.32324866956</v>
      </c>
      <c r="BR429">
        <v>74.573067675133046</v>
      </c>
      <c r="BS429" t="s">
        <v>992</v>
      </c>
      <c r="BV429" t="s">
        <v>1034</v>
      </c>
      <c r="BW429" t="s">
        <v>943</v>
      </c>
      <c r="BX429" t="s">
        <v>994</v>
      </c>
      <c r="BY429">
        <v>2.1611148751268172</v>
      </c>
      <c r="BZ429" t="s">
        <v>1155</v>
      </c>
      <c r="CA429" t="s">
        <v>991</v>
      </c>
      <c r="CB429" t="b">
        <v>1</v>
      </c>
      <c r="CC429" t="b">
        <v>1</v>
      </c>
      <c r="CD429" t="b">
        <v>1</v>
      </c>
      <c r="CE429" t="b">
        <v>1</v>
      </c>
      <c r="CF429" t="b">
        <v>1</v>
      </c>
    </row>
    <row r="430" spans="1:84" x14ac:dyDescent="0.3">
      <c r="A430" t="s">
        <v>2072</v>
      </c>
      <c r="B430" t="s">
        <v>1165</v>
      </c>
      <c r="C430" s="98">
        <v>45684</v>
      </c>
      <c r="D430">
        <v>2025</v>
      </c>
      <c r="E430">
        <v>1</v>
      </c>
      <c r="F430">
        <v>1</v>
      </c>
      <c r="G430" t="s">
        <v>1144</v>
      </c>
      <c r="H430" t="s">
        <v>130</v>
      </c>
      <c r="I430" t="s">
        <v>130</v>
      </c>
      <c r="J430" t="s">
        <v>6</v>
      </c>
      <c r="L430">
        <v>522611</v>
      </c>
      <c r="M430" s="99" t="s">
        <v>180</v>
      </c>
      <c r="N430">
        <v>3</v>
      </c>
      <c r="O430">
        <v>4</v>
      </c>
      <c r="P430">
        <v>30.274000000000001</v>
      </c>
      <c r="Q430" t="s">
        <v>352</v>
      </c>
      <c r="R430">
        <v>1</v>
      </c>
      <c r="S430">
        <v>30.3931</v>
      </c>
      <c r="T430">
        <v>0.2374</v>
      </c>
      <c r="U430">
        <v>-0.50168491996629971</v>
      </c>
      <c r="V430">
        <v>29.680900000000001</v>
      </c>
      <c r="W430">
        <v>29.918300000000002</v>
      </c>
      <c r="X430">
        <v>30.1557</v>
      </c>
      <c r="Y430">
        <v>30.630500000000001</v>
      </c>
      <c r="Z430">
        <v>30.867899999999999</v>
      </c>
      <c r="AA430">
        <v>31.1053</v>
      </c>
      <c r="AD430">
        <v>2.6301695796471778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 t="s">
        <v>462</v>
      </c>
      <c r="AL430" t="s">
        <v>6</v>
      </c>
      <c r="AM430" t="s">
        <v>1145</v>
      </c>
      <c r="AN430" t="s">
        <v>1146</v>
      </c>
      <c r="AO430" s="100">
        <v>46262.040405092594</v>
      </c>
      <c r="AP430" t="s">
        <v>1147</v>
      </c>
      <c r="AQ430" t="s">
        <v>2073</v>
      </c>
      <c r="AR430" t="s">
        <v>1167</v>
      </c>
      <c r="AS430" t="s">
        <v>1150</v>
      </c>
      <c r="AT430" t="s">
        <v>1967</v>
      </c>
      <c r="AU430">
        <v>25</v>
      </c>
      <c r="AV430">
        <v>30.337060000000001</v>
      </c>
      <c r="AW430">
        <v>0.18563368947113715</v>
      </c>
      <c r="AX430">
        <v>0.61190401927918248</v>
      </c>
      <c r="AY430">
        <v>-0.19629249469443186</v>
      </c>
      <c r="AZ430">
        <v>1.2059341265050829</v>
      </c>
      <c r="BA430">
        <v>3.977547145089571</v>
      </c>
      <c r="BB430" t="s">
        <v>4619</v>
      </c>
      <c r="BD430" s="98"/>
      <c r="BE430" s="98"/>
      <c r="BF430" t="s">
        <v>1152</v>
      </c>
      <c r="BG430" t="s">
        <v>322</v>
      </c>
      <c r="BH430" t="s">
        <v>1153</v>
      </c>
      <c r="BI430">
        <v>0.19629249469443186</v>
      </c>
      <c r="BJ430" t="s">
        <v>1032</v>
      </c>
      <c r="BK430">
        <v>1.4242354531420949</v>
      </c>
      <c r="BL430">
        <v>54.14994775101718</v>
      </c>
      <c r="BM430" t="s">
        <v>1260</v>
      </c>
      <c r="BN430" t="s">
        <v>1154</v>
      </c>
      <c r="BO430">
        <v>2025</v>
      </c>
      <c r="BP430" t="s">
        <v>966</v>
      </c>
      <c r="BQ430">
        <v>254269.32324866956</v>
      </c>
      <c r="BR430">
        <v>74.573067675133046</v>
      </c>
      <c r="BS430" t="s">
        <v>992</v>
      </c>
      <c r="BV430" t="s">
        <v>1034</v>
      </c>
      <c r="BW430" t="s">
        <v>943</v>
      </c>
      <c r="BX430" t="s">
        <v>994</v>
      </c>
      <c r="BY430">
        <v>2.1611148751268172</v>
      </c>
      <c r="BZ430" t="s">
        <v>1155</v>
      </c>
      <c r="CA430" t="s">
        <v>991</v>
      </c>
      <c r="CB430" t="b">
        <v>1</v>
      </c>
      <c r="CC430" t="b">
        <v>1</v>
      </c>
      <c r="CD430" t="b">
        <v>1</v>
      </c>
      <c r="CE430" t="b">
        <v>1</v>
      </c>
      <c r="CF430" t="b">
        <v>1</v>
      </c>
    </row>
    <row r="431" spans="1:84" x14ac:dyDescent="0.3">
      <c r="A431" t="s">
        <v>2074</v>
      </c>
      <c r="B431" t="s">
        <v>1169</v>
      </c>
      <c r="C431" s="98">
        <v>45691</v>
      </c>
      <c r="D431">
        <v>2025</v>
      </c>
      <c r="E431">
        <v>2</v>
      </c>
      <c r="F431">
        <v>1</v>
      </c>
      <c r="G431" t="s">
        <v>1170</v>
      </c>
      <c r="H431" t="s">
        <v>130</v>
      </c>
      <c r="I431" t="s">
        <v>130</v>
      </c>
      <c r="J431" t="s">
        <v>6</v>
      </c>
      <c r="L431">
        <v>522611</v>
      </c>
      <c r="M431" s="99" t="s">
        <v>180</v>
      </c>
      <c r="N431">
        <v>3</v>
      </c>
      <c r="O431">
        <v>5</v>
      </c>
      <c r="P431">
        <v>30.284099999999999</v>
      </c>
      <c r="Q431" t="s">
        <v>352</v>
      </c>
      <c r="R431">
        <v>1</v>
      </c>
      <c r="S431">
        <v>30.3931</v>
      </c>
      <c r="T431">
        <v>0.2374</v>
      </c>
      <c r="U431">
        <v>-0.45914069081719361</v>
      </c>
      <c r="V431">
        <v>29.680900000000001</v>
      </c>
      <c r="W431">
        <v>29.918300000000002</v>
      </c>
      <c r="X431">
        <v>30.1557</v>
      </c>
      <c r="Y431">
        <v>30.630500000000001</v>
      </c>
      <c r="Z431">
        <v>30.867899999999999</v>
      </c>
      <c r="AA431">
        <v>31.1053</v>
      </c>
      <c r="AD431">
        <v>2.6301695796471778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 t="s">
        <v>462</v>
      </c>
      <c r="AL431" t="s">
        <v>6</v>
      </c>
      <c r="AM431" t="s">
        <v>1145</v>
      </c>
      <c r="AN431" t="s">
        <v>1146</v>
      </c>
      <c r="AO431" s="100">
        <v>46262.040405092594</v>
      </c>
      <c r="AP431" t="s">
        <v>1147</v>
      </c>
      <c r="AQ431" t="s">
        <v>2075</v>
      </c>
      <c r="AR431" t="s">
        <v>1172</v>
      </c>
      <c r="AS431" t="s">
        <v>1150</v>
      </c>
      <c r="AT431" t="s">
        <v>1967</v>
      </c>
      <c r="AU431">
        <v>25</v>
      </c>
      <c r="AV431">
        <v>30.337060000000001</v>
      </c>
      <c r="AW431">
        <v>0.18563368947113715</v>
      </c>
      <c r="AX431">
        <v>0.61190401927918248</v>
      </c>
      <c r="AY431">
        <v>-0.19629249469443186</v>
      </c>
      <c r="AZ431">
        <v>1.2059341265050829</v>
      </c>
      <c r="BA431">
        <v>3.977547145089571</v>
      </c>
      <c r="BB431" t="s">
        <v>4619</v>
      </c>
      <c r="BD431" s="98"/>
      <c r="BE431" s="98"/>
      <c r="BF431" t="s">
        <v>1152</v>
      </c>
      <c r="BG431" t="s">
        <v>322</v>
      </c>
      <c r="BH431" t="s">
        <v>1153</v>
      </c>
      <c r="BI431">
        <v>0.19629249469443186</v>
      </c>
      <c r="BJ431" t="s">
        <v>1032</v>
      </c>
      <c r="BK431">
        <v>1.4242354531420949</v>
      </c>
      <c r="BL431">
        <v>54.14994775101718</v>
      </c>
      <c r="BM431" t="s">
        <v>1260</v>
      </c>
      <c r="BN431" t="s">
        <v>1154</v>
      </c>
      <c r="BO431">
        <v>2025</v>
      </c>
      <c r="BP431" t="s">
        <v>966</v>
      </c>
      <c r="BQ431">
        <v>254269.32324866956</v>
      </c>
      <c r="BR431">
        <v>74.573067675133046</v>
      </c>
      <c r="BS431" t="s">
        <v>992</v>
      </c>
      <c r="BV431" t="s">
        <v>1034</v>
      </c>
      <c r="BW431" t="s">
        <v>943</v>
      </c>
      <c r="BX431" t="s">
        <v>994</v>
      </c>
      <c r="BY431">
        <v>2.1611148751268172</v>
      </c>
      <c r="BZ431" t="s">
        <v>1155</v>
      </c>
      <c r="CA431" t="s">
        <v>991</v>
      </c>
      <c r="CB431" t="b">
        <v>1</v>
      </c>
      <c r="CC431" t="b">
        <v>1</v>
      </c>
      <c r="CD431" t="b">
        <v>1</v>
      </c>
      <c r="CE431" t="b">
        <v>1</v>
      </c>
      <c r="CF431" t="b">
        <v>1</v>
      </c>
    </row>
    <row r="432" spans="1:84" x14ac:dyDescent="0.3">
      <c r="A432" t="s">
        <v>2076</v>
      </c>
      <c r="B432" t="s">
        <v>1174</v>
      </c>
      <c r="C432" s="98">
        <v>45698</v>
      </c>
      <c r="D432">
        <v>2025</v>
      </c>
      <c r="E432">
        <v>2</v>
      </c>
      <c r="F432">
        <v>1</v>
      </c>
      <c r="G432" t="s">
        <v>1170</v>
      </c>
      <c r="H432" t="s">
        <v>130</v>
      </c>
      <c r="I432" t="s">
        <v>130</v>
      </c>
      <c r="J432" t="s">
        <v>6</v>
      </c>
      <c r="L432">
        <v>522611</v>
      </c>
      <c r="M432" s="99" t="s">
        <v>180</v>
      </c>
      <c r="N432">
        <v>3</v>
      </c>
      <c r="O432">
        <v>6</v>
      </c>
      <c r="P432">
        <v>30.3813</v>
      </c>
      <c r="Q432" t="s">
        <v>352</v>
      </c>
      <c r="R432">
        <v>1</v>
      </c>
      <c r="S432">
        <v>30.3931</v>
      </c>
      <c r="T432">
        <v>0.2374</v>
      </c>
      <c r="U432">
        <v>-4.9705139005901101E-2</v>
      </c>
      <c r="V432">
        <v>29.680900000000001</v>
      </c>
      <c r="W432">
        <v>29.918300000000002</v>
      </c>
      <c r="X432">
        <v>30.1557</v>
      </c>
      <c r="Y432">
        <v>30.630500000000001</v>
      </c>
      <c r="Z432">
        <v>30.867899999999999</v>
      </c>
      <c r="AA432">
        <v>31.1053</v>
      </c>
      <c r="AD432">
        <v>2.6301695796471778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 t="s">
        <v>462</v>
      </c>
      <c r="AL432" t="s">
        <v>6</v>
      </c>
      <c r="AM432" t="s">
        <v>1145</v>
      </c>
      <c r="AN432" t="s">
        <v>1146</v>
      </c>
      <c r="AO432" s="100">
        <v>46262.040405092594</v>
      </c>
      <c r="AP432" t="s">
        <v>1147</v>
      </c>
      <c r="AQ432" t="s">
        <v>2077</v>
      </c>
      <c r="AR432" t="s">
        <v>1176</v>
      </c>
      <c r="AS432" t="s">
        <v>1150</v>
      </c>
      <c r="AT432" t="s">
        <v>1967</v>
      </c>
      <c r="AU432">
        <v>25</v>
      </c>
      <c r="AV432">
        <v>30.337060000000001</v>
      </c>
      <c r="AW432">
        <v>0.18563368947113715</v>
      </c>
      <c r="AX432">
        <v>0.61190401927918248</v>
      </c>
      <c r="AY432">
        <v>-0.19629249469443186</v>
      </c>
      <c r="AZ432">
        <v>1.2059341265050829</v>
      </c>
      <c r="BA432">
        <v>3.977547145089571</v>
      </c>
      <c r="BB432" t="s">
        <v>4619</v>
      </c>
      <c r="BD432" s="98"/>
      <c r="BE432" s="98"/>
      <c r="BF432" t="s">
        <v>1152</v>
      </c>
      <c r="BG432" t="s">
        <v>322</v>
      </c>
      <c r="BH432" t="s">
        <v>1153</v>
      </c>
      <c r="BI432">
        <v>0.19629249469443186</v>
      </c>
      <c r="BJ432" t="s">
        <v>1032</v>
      </c>
      <c r="BK432">
        <v>1.4242354531420949</v>
      </c>
      <c r="BL432">
        <v>54.14994775101718</v>
      </c>
      <c r="BM432" t="s">
        <v>1260</v>
      </c>
      <c r="BN432" t="s">
        <v>1154</v>
      </c>
      <c r="BO432">
        <v>2025</v>
      </c>
      <c r="BP432" t="s">
        <v>966</v>
      </c>
      <c r="BQ432">
        <v>254269.32324866956</v>
      </c>
      <c r="BR432">
        <v>74.573067675133046</v>
      </c>
      <c r="BS432" t="s">
        <v>992</v>
      </c>
      <c r="BV432" t="s">
        <v>1034</v>
      </c>
      <c r="BW432" t="s">
        <v>943</v>
      </c>
      <c r="BX432" t="s">
        <v>994</v>
      </c>
      <c r="BY432">
        <v>2.1611148751268172</v>
      </c>
      <c r="BZ432" t="s">
        <v>1155</v>
      </c>
      <c r="CA432" t="s">
        <v>991</v>
      </c>
      <c r="CB432" t="b">
        <v>1</v>
      </c>
      <c r="CC432" t="b">
        <v>1</v>
      </c>
      <c r="CD432" t="b">
        <v>1</v>
      </c>
      <c r="CE432" t="b">
        <v>1</v>
      </c>
      <c r="CF432" t="b">
        <v>1</v>
      </c>
    </row>
    <row r="433" spans="1:84" x14ac:dyDescent="0.3">
      <c r="A433" t="s">
        <v>2078</v>
      </c>
      <c r="B433" t="s">
        <v>1178</v>
      </c>
      <c r="C433" s="98">
        <v>45705</v>
      </c>
      <c r="D433">
        <v>2025</v>
      </c>
      <c r="E433">
        <v>2</v>
      </c>
      <c r="F433">
        <v>1</v>
      </c>
      <c r="G433" t="s">
        <v>1170</v>
      </c>
      <c r="H433" t="s">
        <v>130</v>
      </c>
      <c r="I433" t="s">
        <v>130</v>
      </c>
      <c r="J433" t="s">
        <v>6</v>
      </c>
      <c r="L433">
        <v>522611</v>
      </c>
      <c r="M433" s="99" t="s">
        <v>180</v>
      </c>
      <c r="N433">
        <v>3</v>
      </c>
      <c r="O433">
        <v>7</v>
      </c>
      <c r="P433">
        <v>30.265799999999999</v>
      </c>
      <c r="Q433" t="s">
        <v>352</v>
      </c>
      <c r="R433">
        <v>1</v>
      </c>
      <c r="S433">
        <v>30.3931</v>
      </c>
      <c r="T433">
        <v>0.2374</v>
      </c>
      <c r="U433">
        <v>-0.53622577927549175</v>
      </c>
      <c r="V433">
        <v>29.680900000000001</v>
      </c>
      <c r="W433">
        <v>29.918300000000002</v>
      </c>
      <c r="X433">
        <v>30.1557</v>
      </c>
      <c r="Y433">
        <v>30.630500000000001</v>
      </c>
      <c r="Z433">
        <v>30.867899999999999</v>
      </c>
      <c r="AA433">
        <v>31.1053</v>
      </c>
      <c r="AD433">
        <v>2.6301695796471778</v>
      </c>
      <c r="AE433">
        <v>0</v>
      </c>
      <c r="AF433">
        <v>0</v>
      </c>
      <c r="AG433">
        <v>0</v>
      </c>
      <c r="AH433">
        <v>0</v>
      </c>
      <c r="AI433">
        <v>1</v>
      </c>
      <c r="AJ433">
        <v>0</v>
      </c>
      <c r="AK433" t="s">
        <v>1213</v>
      </c>
      <c r="AL433" t="s">
        <v>6</v>
      </c>
      <c r="AM433" t="s">
        <v>1145</v>
      </c>
      <c r="AN433" t="s">
        <v>1146</v>
      </c>
      <c r="AO433" s="100">
        <v>46262.040405092594</v>
      </c>
      <c r="AP433" t="s">
        <v>1147</v>
      </c>
      <c r="AQ433" t="s">
        <v>2079</v>
      </c>
      <c r="AR433" t="s">
        <v>1180</v>
      </c>
      <c r="AS433" t="s">
        <v>1150</v>
      </c>
      <c r="AT433" t="s">
        <v>1967</v>
      </c>
      <c r="AU433">
        <v>25</v>
      </c>
      <c r="AV433">
        <v>30.337060000000001</v>
      </c>
      <c r="AW433">
        <v>0.18563368947113715</v>
      </c>
      <c r="AX433">
        <v>0.61190401927918248</v>
      </c>
      <c r="AY433">
        <v>-0.19629249469443186</v>
      </c>
      <c r="AZ433">
        <v>1.2059341265050829</v>
      </c>
      <c r="BA433">
        <v>3.977547145089571</v>
      </c>
      <c r="BB433" t="s">
        <v>4619</v>
      </c>
      <c r="BD433" s="98"/>
      <c r="BE433" s="98"/>
      <c r="BF433" t="s">
        <v>1152</v>
      </c>
      <c r="BG433" t="s">
        <v>322</v>
      </c>
      <c r="BH433" t="s">
        <v>1153</v>
      </c>
      <c r="BI433">
        <v>0.19629249469443186</v>
      </c>
      <c r="BJ433" t="s">
        <v>1032</v>
      </c>
      <c r="BK433">
        <v>1.4242354531420949</v>
      </c>
      <c r="BL433">
        <v>54.14994775101718</v>
      </c>
      <c r="BM433" t="s">
        <v>1260</v>
      </c>
      <c r="BN433" t="s">
        <v>1154</v>
      </c>
      <c r="BO433">
        <v>2025</v>
      </c>
      <c r="BP433" t="s">
        <v>966</v>
      </c>
      <c r="BQ433">
        <v>254269.32324866956</v>
      </c>
      <c r="BR433">
        <v>74.573067675133046</v>
      </c>
      <c r="BS433" t="s">
        <v>992</v>
      </c>
      <c r="BV433" t="s">
        <v>1034</v>
      </c>
      <c r="BW433" t="s">
        <v>943</v>
      </c>
      <c r="BX433" t="s">
        <v>994</v>
      </c>
      <c r="BY433">
        <v>2.1611148751268172</v>
      </c>
      <c r="BZ433" t="s">
        <v>1155</v>
      </c>
      <c r="CA433" t="s">
        <v>991</v>
      </c>
      <c r="CB433" t="b">
        <v>1</v>
      </c>
      <c r="CC433" t="b">
        <v>1</v>
      </c>
      <c r="CD433" t="b">
        <v>1</v>
      </c>
      <c r="CE433" t="b">
        <v>1</v>
      </c>
      <c r="CF433" t="b">
        <v>1</v>
      </c>
    </row>
    <row r="434" spans="1:84" x14ac:dyDescent="0.3">
      <c r="A434" t="s">
        <v>2080</v>
      </c>
      <c r="B434" t="s">
        <v>1182</v>
      </c>
      <c r="C434" s="98">
        <v>45712</v>
      </c>
      <c r="D434">
        <v>2025</v>
      </c>
      <c r="E434">
        <v>2</v>
      </c>
      <c r="F434">
        <v>1</v>
      </c>
      <c r="G434" t="s">
        <v>1170</v>
      </c>
      <c r="H434" t="s">
        <v>130</v>
      </c>
      <c r="I434" t="s">
        <v>130</v>
      </c>
      <c r="J434" t="s">
        <v>6</v>
      </c>
      <c r="L434">
        <v>522611</v>
      </c>
      <c r="M434" s="99" t="s">
        <v>180</v>
      </c>
      <c r="N434">
        <v>3</v>
      </c>
      <c r="O434">
        <v>8</v>
      </c>
      <c r="P434">
        <v>30.1967</v>
      </c>
      <c r="Q434" t="s">
        <v>352</v>
      </c>
      <c r="R434">
        <v>1</v>
      </c>
      <c r="S434">
        <v>30.3931</v>
      </c>
      <c r="T434">
        <v>0.2374</v>
      </c>
      <c r="U434">
        <v>-0.82729570345408832</v>
      </c>
      <c r="V434">
        <v>29.680900000000001</v>
      </c>
      <c r="W434">
        <v>29.918300000000002</v>
      </c>
      <c r="X434">
        <v>30.1557</v>
      </c>
      <c r="Y434">
        <v>30.630500000000001</v>
      </c>
      <c r="Z434">
        <v>30.867899999999999</v>
      </c>
      <c r="AA434">
        <v>31.1053</v>
      </c>
      <c r="AD434">
        <v>2.6301695796471778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 t="s">
        <v>462</v>
      </c>
      <c r="AL434" t="s">
        <v>6</v>
      </c>
      <c r="AM434" t="s">
        <v>1145</v>
      </c>
      <c r="AN434" t="s">
        <v>1146</v>
      </c>
      <c r="AO434" s="100">
        <v>46262.040405092594</v>
      </c>
      <c r="AP434" t="s">
        <v>1147</v>
      </c>
      <c r="AQ434" t="s">
        <v>2081</v>
      </c>
      <c r="AR434" t="s">
        <v>1184</v>
      </c>
      <c r="AS434" t="s">
        <v>1150</v>
      </c>
      <c r="AT434" t="s">
        <v>1967</v>
      </c>
      <c r="AU434">
        <v>25</v>
      </c>
      <c r="AV434">
        <v>30.337060000000001</v>
      </c>
      <c r="AW434">
        <v>0.18563368947113715</v>
      </c>
      <c r="AX434">
        <v>0.61190401927918248</v>
      </c>
      <c r="AY434">
        <v>-0.19629249469443186</v>
      </c>
      <c r="AZ434">
        <v>1.2059341265050829</v>
      </c>
      <c r="BA434">
        <v>3.977547145089571</v>
      </c>
      <c r="BB434" t="s">
        <v>4619</v>
      </c>
      <c r="BD434" s="98"/>
      <c r="BE434" s="98"/>
      <c r="BF434" t="s">
        <v>1152</v>
      </c>
      <c r="BG434" t="s">
        <v>322</v>
      </c>
      <c r="BH434" t="s">
        <v>1153</v>
      </c>
      <c r="BI434">
        <v>0.19629249469443186</v>
      </c>
      <c r="BJ434" t="s">
        <v>1032</v>
      </c>
      <c r="BK434">
        <v>1.4242354531420949</v>
      </c>
      <c r="BL434">
        <v>54.14994775101718</v>
      </c>
      <c r="BM434" t="s">
        <v>1260</v>
      </c>
      <c r="BN434" t="s">
        <v>1154</v>
      </c>
      <c r="BO434">
        <v>2025</v>
      </c>
      <c r="BP434" t="s">
        <v>966</v>
      </c>
      <c r="BQ434">
        <v>254269.32324866956</v>
      </c>
      <c r="BR434">
        <v>74.573067675133046</v>
      </c>
      <c r="BS434" t="s">
        <v>992</v>
      </c>
      <c r="BV434" t="s">
        <v>1034</v>
      </c>
      <c r="BW434" t="s">
        <v>943</v>
      </c>
      <c r="BX434" t="s">
        <v>994</v>
      </c>
      <c r="BY434">
        <v>2.1611148751268172</v>
      </c>
      <c r="BZ434" t="s">
        <v>1155</v>
      </c>
      <c r="CA434" t="s">
        <v>991</v>
      </c>
      <c r="CB434" t="b">
        <v>1</v>
      </c>
      <c r="CC434" t="b">
        <v>1</v>
      </c>
      <c r="CD434" t="b">
        <v>1</v>
      </c>
      <c r="CE434" t="b">
        <v>1</v>
      </c>
      <c r="CF434" t="b">
        <v>1</v>
      </c>
    </row>
    <row r="435" spans="1:84" x14ac:dyDescent="0.3">
      <c r="A435" t="s">
        <v>2082</v>
      </c>
      <c r="B435" t="s">
        <v>1186</v>
      </c>
      <c r="C435" s="98">
        <v>45719</v>
      </c>
      <c r="D435">
        <v>2025</v>
      </c>
      <c r="E435">
        <v>3</v>
      </c>
      <c r="F435">
        <v>1</v>
      </c>
      <c r="G435" t="s">
        <v>1187</v>
      </c>
      <c r="H435" t="s">
        <v>130</v>
      </c>
      <c r="I435" t="s">
        <v>130</v>
      </c>
      <c r="J435" t="s">
        <v>6</v>
      </c>
      <c r="L435">
        <v>522611</v>
      </c>
      <c r="M435" s="99" t="s">
        <v>180</v>
      </c>
      <c r="N435">
        <v>3</v>
      </c>
      <c r="O435">
        <v>9</v>
      </c>
      <c r="P435">
        <v>30.320799999999998</v>
      </c>
      <c r="Q435" t="s">
        <v>352</v>
      </c>
      <c r="R435">
        <v>1</v>
      </c>
      <c r="S435">
        <v>30.3931</v>
      </c>
      <c r="T435">
        <v>0.2374</v>
      </c>
      <c r="U435">
        <v>-0.30454928390902286</v>
      </c>
      <c r="V435">
        <v>29.680900000000001</v>
      </c>
      <c r="W435">
        <v>29.918300000000002</v>
      </c>
      <c r="X435">
        <v>30.1557</v>
      </c>
      <c r="Y435">
        <v>30.630500000000001</v>
      </c>
      <c r="Z435">
        <v>30.867899999999999</v>
      </c>
      <c r="AA435">
        <v>31.1053</v>
      </c>
      <c r="AD435">
        <v>2.6301695796471778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 t="s">
        <v>462</v>
      </c>
      <c r="AL435" t="s">
        <v>6</v>
      </c>
      <c r="AM435" t="s">
        <v>1145</v>
      </c>
      <c r="AN435" t="s">
        <v>1146</v>
      </c>
      <c r="AO435" s="100">
        <v>46262.040405092594</v>
      </c>
      <c r="AP435" t="s">
        <v>1147</v>
      </c>
      <c r="AQ435" t="s">
        <v>2083</v>
      </c>
      <c r="AR435" t="s">
        <v>1189</v>
      </c>
      <c r="AS435" t="s">
        <v>1150</v>
      </c>
      <c r="AT435" t="s">
        <v>1967</v>
      </c>
      <c r="AU435">
        <v>25</v>
      </c>
      <c r="AV435">
        <v>30.337060000000001</v>
      </c>
      <c r="AW435">
        <v>0.18563368947113715</v>
      </c>
      <c r="AX435">
        <v>0.61190401927918248</v>
      </c>
      <c r="AY435">
        <v>-0.19629249469443186</v>
      </c>
      <c r="AZ435">
        <v>1.2059341265050829</v>
      </c>
      <c r="BA435">
        <v>3.977547145089571</v>
      </c>
      <c r="BB435" t="s">
        <v>4619</v>
      </c>
      <c r="BD435" s="98"/>
      <c r="BE435" s="98"/>
      <c r="BF435" t="s">
        <v>1152</v>
      </c>
      <c r="BG435" t="s">
        <v>322</v>
      </c>
      <c r="BH435" t="s">
        <v>1153</v>
      </c>
      <c r="BI435">
        <v>0.19629249469443186</v>
      </c>
      <c r="BJ435" t="s">
        <v>1032</v>
      </c>
      <c r="BK435">
        <v>1.4242354531420949</v>
      </c>
      <c r="BL435">
        <v>54.14994775101718</v>
      </c>
      <c r="BM435" t="s">
        <v>1260</v>
      </c>
      <c r="BN435" t="s">
        <v>1154</v>
      </c>
      <c r="BO435">
        <v>2025</v>
      </c>
      <c r="BP435" t="s">
        <v>966</v>
      </c>
      <c r="BQ435">
        <v>254269.32324866956</v>
      </c>
      <c r="BR435">
        <v>74.573067675133046</v>
      </c>
      <c r="BS435" t="s">
        <v>992</v>
      </c>
      <c r="BV435" t="s">
        <v>1034</v>
      </c>
      <c r="BW435" t="s">
        <v>943</v>
      </c>
      <c r="BX435" t="s">
        <v>994</v>
      </c>
      <c r="BY435">
        <v>2.1611148751268172</v>
      </c>
      <c r="BZ435" t="s">
        <v>1155</v>
      </c>
      <c r="CA435" t="s">
        <v>991</v>
      </c>
      <c r="CB435" t="b">
        <v>1</v>
      </c>
      <c r="CC435" t="b">
        <v>1</v>
      </c>
      <c r="CD435" t="b">
        <v>1</v>
      </c>
      <c r="CE435" t="b">
        <v>1</v>
      </c>
      <c r="CF435" t="b">
        <v>1</v>
      </c>
    </row>
    <row r="436" spans="1:84" x14ac:dyDescent="0.3">
      <c r="A436" t="s">
        <v>2084</v>
      </c>
      <c r="B436" t="s">
        <v>1191</v>
      </c>
      <c r="C436" s="98">
        <v>45726</v>
      </c>
      <c r="D436">
        <v>2025</v>
      </c>
      <c r="E436">
        <v>3</v>
      </c>
      <c r="F436">
        <v>1</v>
      </c>
      <c r="G436" t="s">
        <v>1187</v>
      </c>
      <c r="H436" t="s">
        <v>130</v>
      </c>
      <c r="I436" t="s">
        <v>130</v>
      </c>
      <c r="J436" t="s">
        <v>6</v>
      </c>
      <c r="L436">
        <v>522611</v>
      </c>
      <c r="M436" s="99" t="s">
        <v>180</v>
      </c>
      <c r="N436">
        <v>3</v>
      </c>
      <c r="O436">
        <v>10</v>
      </c>
      <c r="P436">
        <v>30.1493</v>
      </c>
      <c r="Q436" t="s">
        <v>352</v>
      </c>
      <c r="R436">
        <v>1</v>
      </c>
      <c r="S436">
        <v>30.3931</v>
      </c>
      <c r="T436">
        <v>0.2374</v>
      </c>
      <c r="U436">
        <v>-1.0269587194608265</v>
      </c>
      <c r="V436">
        <v>29.680900000000001</v>
      </c>
      <c r="W436">
        <v>29.918300000000002</v>
      </c>
      <c r="X436">
        <v>30.1557</v>
      </c>
      <c r="Y436">
        <v>30.630500000000001</v>
      </c>
      <c r="Z436">
        <v>30.867899999999999</v>
      </c>
      <c r="AA436">
        <v>31.1053</v>
      </c>
      <c r="AD436">
        <v>2.6301695796471778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 t="s">
        <v>462</v>
      </c>
      <c r="AL436" t="s">
        <v>6</v>
      </c>
      <c r="AM436" t="s">
        <v>1145</v>
      </c>
      <c r="AN436" t="s">
        <v>1146</v>
      </c>
      <c r="AO436" s="100">
        <v>46262.040405092594</v>
      </c>
      <c r="AP436" t="s">
        <v>1147</v>
      </c>
      <c r="AQ436" t="s">
        <v>2085</v>
      </c>
      <c r="AR436" t="s">
        <v>1193</v>
      </c>
      <c r="AS436" t="s">
        <v>1150</v>
      </c>
      <c r="AT436" t="s">
        <v>1967</v>
      </c>
      <c r="AU436">
        <v>25</v>
      </c>
      <c r="AV436">
        <v>30.337060000000001</v>
      </c>
      <c r="AW436">
        <v>0.18563368947113715</v>
      </c>
      <c r="AX436">
        <v>0.61190401927918248</v>
      </c>
      <c r="AY436">
        <v>-0.19629249469443186</v>
      </c>
      <c r="AZ436">
        <v>1.2059341265050829</v>
      </c>
      <c r="BA436">
        <v>3.977547145089571</v>
      </c>
      <c r="BB436" t="s">
        <v>4619</v>
      </c>
      <c r="BD436" s="98"/>
      <c r="BE436" s="98"/>
      <c r="BF436" t="s">
        <v>1152</v>
      </c>
      <c r="BG436" t="s">
        <v>322</v>
      </c>
      <c r="BH436" t="s">
        <v>1153</v>
      </c>
      <c r="BI436">
        <v>0.19629249469443186</v>
      </c>
      <c r="BJ436" t="s">
        <v>1032</v>
      </c>
      <c r="BK436">
        <v>1.4242354531420949</v>
      </c>
      <c r="BL436">
        <v>54.14994775101718</v>
      </c>
      <c r="BM436" t="s">
        <v>1260</v>
      </c>
      <c r="BN436" t="s">
        <v>1154</v>
      </c>
      <c r="BO436">
        <v>2025</v>
      </c>
      <c r="BP436" t="s">
        <v>966</v>
      </c>
      <c r="BQ436">
        <v>254269.32324866956</v>
      </c>
      <c r="BR436">
        <v>74.573067675133046</v>
      </c>
      <c r="BS436" t="s">
        <v>992</v>
      </c>
      <c r="BV436" t="s">
        <v>1034</v>
      </c>
      <c r="BW436" t="s">
        <v>943</v>
      </c>
      <c r="BX436" t="s">
        <v>994</v>
      </c>
      <c r="BY436">
        <v>2.1611148751268172</v>
      </c>
      <c r="BZ436" t="s">
        <v>1155</v>
      </c>
      <c r="CA436" t="s">
        <v>991</v>
      </c>
      <c r="CB436" t="b">
        <v>1</v>
      </c>
      <c r="CC436" t="b">
        <v>1</v>
      </c>
      <c r="CD436" t="b">
        <v>1</v>
      </c>
      <c r="CE436" t="b">
        <v>1</v>
      </c>
      <c r="CF436" t="b">
        <v>1</v>
      </c>
    </row>
    <row r="437" spans="1:84" x14ac:dyDescent="0.3">
      <c r="A437" t="s">
        <v>2086</v>
      </c>
      <c r="B437" t="s">
        <v>1195</v>
      </c>
      <c r="C437" s="98">
        <v>45733</v>
      </c>
      <c r="D437">
        <v>2025</v>
      </c>
      <c r="E437">
        <v>3</v>
      </c>
      <c r="F437">
        <v>1</v>
      </c>
      <c r="G437" t="s">
        <v>1187</v>
      </c>
      <c r="H437" t="s">
        <v>130</v>
      </c>
      <c r="I437" t="s">
        <v>130</v>
      </c>
      <c r="J437" t="s">
        <v>6</v>
      </c>
      <c r="L437">
        <v>522611</v>
      </c>
      <c r="M437" s="99" t="s">
        <v>180</v>
      </c>
      <c r="N437">
        <v>3</v>
      </c>
      <c r="O437">
        <v>11</v>
      </c>
      <c r="P437">
        <v>30.0869</v>
      </c>
      <c r="Q437" t="s">
        <v>352</v>
      </c>
      <c r="R437">
        <v>1</v>
      </c>
      <c r="S437">
        <v>30.3931</v>
      </c>
      <c r="T437">
        <v>0.2374</v>
      </c>
      <c r="U437">
        <v>-1.2898062342038774</v>
      </c>
      <c r="V437">
        <v>29.680900000000001</v>
      </c>
      <c r="W437">
        <v>29.918300000000002</v>
      </c>
      <c r="X437">
        <v>30.1557</v>
      </c>
      <c r="Y437">
        <v>30.630500000000001</v>
      </c>
      <c r="Z437">
        <v>30.867899999999999</v>
      </c>
      <c r="AA437">
        <v>31.1053</v>
      </c>
      <c r="AD437">
        <v>2.6301695796471778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 t="s">
        <v>462</v>
      </c>
      <c r="AL437" t="s">
        <v>6</v>
      </c>
      <c r="AM437" t="s">
        <v>1145</v>
      </c>
      <c r="AN437" t="s">
        <v>1146</v>
      </c>
      <c r="AO437" s="100">
        <v>46262.040405092594</v>
      </c>
      <c r="AP437" t="s">
        <v>1147</v>
      </c>
      <c r="AQ437" t="s">
        <v>2087</v>
      </c>
      <c r="AR437" t="s">
        <v>1197</v>
      </c>
      <c r="AS437" t="s">
        <v>1150</v>
      </c>
      <c r="AT437" t="s">
        <v>1967</v>
      </c>
      <c r="AU437">
        <v>25</v>
      </c>
      <c r="AV437">
        <v>30.337060000000001</v>
      </c>
      <c r="AW437">
        <v>0.18563368947113715</v>
      </c>
      <c r="AX437">
        <v>0.61190401927918248</v>
      </c>
      <c r="AY437">
        <v>-0.19629249469443186</v>
      </c>
      <c r="AZ437">
        <v>1.2059341265050829</v>
      </c>
      <c r="BA437">
        <v>3.977547145089571</v>
      </c>
      <c r="BB437" t="s">
        <v>4619</v>
      </c>
      <c r="BD437" s="98"/>
      <c r="BE437" s="98"/>
      <c r="BF437" t="s">
        <v>1152</v>
      </c>
      <c r="BG437" t="s">
        <v>322</v>
      </c>
      <c r="BH437" t="s">
        <v>1153</v>
      </c>
      <c r="BI437">
        <v>0.19629249469443186</v>
      </c>
      <c r="BJ437" t="s">
        <v>1032</v>
      </c>
      <c r="BK437">
        <v>1.4242354531420949</v>
      </c>
      <c r="BL437">
        <v>54.14994775101718</v>
      </c>
      <c r="BM437" t="s">
        <v>1260</v>
      </c>
      <c r="BN437" t="s">
        <v>1154</v>
      </c>
      <c r="BO437">
        <v>2025</v>
      </c>
      <c r="BP437" t="s">
        <v>966</v>
      </c>
      <c r="BQ437">
        <v>254269.32324866956</v>
      </c>
      <c r="BR437">
        <v>74.573067675133046</v>
      </c>
      <c r="BS437" t="s">
        <v>992</v>
      </c>
      <c r="BV437" t="s">
        <v>1034</v>
      </c>
      <c r="BW437" t="s">
        <v>943</v>
      </c>
      <c r="BX437" t="s">
        <v>994</v>
      </c>
      <c r="BY437">
        <v>2.1611148751268172</v>
      </c>
      <c r="BZ437" t="s">
        <v>1155</v>
      </c>
      <c r="CA437" t="s">
        <v>991</v>
      </c>
      <c r="CB437" t="b">
        <v>1</v>
      </c>
      <c r="CC437" t="b">
        <v>1</v>
      </c>
      <c r="CD437" t="b">
        <v>1</v>
      </c>
      <c r="CE437" t="b">
        <v>1</v>
      </c>
      <c r="CF437" t="b">
        <v>1</v>
      </c>
    </row>
    <row r="438" spans="1:84" x14ac:dyDescent="0.3">
      <c r="A438" t="s">
        <v>2088</v>
      </c>
      <c r="B438" t="s">
        <v>1199</v>
      </c>
      <c r="C438" s="98">
        <v>45740</v>
      </c>
      <c r="D438">
        <v>2025</v>
      </c>
      <c r="E438">
        <v>3</v>
      </c>
      <c r="F438">
        <v>1</v>
      </c>
      <c r="G438" t="s">
        <v>1187</v>
      </c>
      <c r="H438" t="s">
        <v>130</v>
      </c>
      <c r="I438" t="s">
        <v>130</v>
      </c>
      <c r="J438" t="s">
        <v>6</v>
      </c>
      <c r="L438">
        <v>522611</v>
      </c>
      <c r="M438" s="99" t="s">
        <v>180</v>
      </c>
      <c r="N438">
        <v>3</v>
      </c>
      <c r="O438">
        <v>12</v>
      </c>
      <c r="P438">
        <v>30.381699999999999</v>
      </c>
      <c r="Q438" t="s">
        <v>352</v>
      </c>
      <c r="R438">
        <v>1</v>
      </c>
      <c r="S438">
        <v>30.3931</v>
      </c>
      <c r="T438">
        <v>0.2374</v>
      </c>
      <c r="U438">
        <v>-4.8020219039603428E-2</v>
      </c>
      <c r="V438">
        <v>29.680900000000001</v>
      </c>
      <c r="W438">
        <v>29.918300000000002</v>
      </c>
      <c r="X438">
        <v>30.1557</v>
      </c>
      <c r="Y438">
        <v>30.630500000000001</v>
      </c>
      <c r="Z438">
        <v>30.867899999999999</v>
      </c>
      <c r="AA438">
        <v>31.1053</v>
      </c>
      <c r="AD438">
        <v>2.6301695796471778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 t="s">
        <v>462</v>
      </c>
      <c r="AL438" t="s">
        <v>6</v>
      </c>
      <c r="AM438" t="s">
        <v>1145</v>
      </c>
      <c r="AN438" t="s">
        <v>1146</v>
      </c>
      <c r="AO438" s="100">
        <v>46262.040405092594</v>
      </c>
      <c r="AP438" t="s">
        <v>1147</v>
      </c>
      <c r="AQ438" t="s">
        <v>2089</v>
      </c>
      <c r="AR438" t="s">
        <v>1201</v>
      </c>
      <c r="AS438" t="s">
        <v>1150</v>
      </c>
      <c r="AT438" t="s">
        <v>1967</v>
      </c>
      <c r="AU438">
        <v>25</v>
      </c>
      <c r="AV438">
        <v>30.337060000000001</v>
      </c>
      <c r="AW438">
        <v>0.18563368947113715</v>
      </c>
      <c r="AX438">
        <v>0.61190401927918248</v>
      </c>
      <c r="AY438">
        <v>-0.19629249469443186</v>
      </c>
      <c r="AZ438">
        <v>1.2059341265050829</v>
      </c>
      <c r="BA438">
        <v>3.977547145089571</v>
      </c>
      <c r="BB438" t="s">
        <v>4619</v>
      </c>
      <c r="BD438" s="98"/>
      <c r="BE438" s="98"/>
      <c r="BF438" t="s">
        <v>1152</v>
      </c>
      <c r="BG438" t="s">
        <v>322</v>
      </c>
      <c r="BH438" t="s">
        <v>1153</v>
      </c>
      <c r="BI438">
        <v>0.19629249469443186</v>
      </c>
      <c r="BJ438" t="s">
        <v>1032</v>
      </c>
      <c r="BK438">
        <v>1.4242354531420949</v>
      </c>
      <c r="BL438">
        <v>54.14994775101718</v>
      </c>
      <c r="BM438" t="s">
        <v>1260</v>
      </c>
      <c r="BN438" t="s">
        <v>1154</v>
      </c>
      <c r="BO438">
        <v>2025</v>
      </c>
      <c r="BP438" t="s">
        <v>966</v>
      </c>
      <c r="BQ438">
        <v>254269.32324866956</v>
      </c>
      <c r="BR438">
        <v>74.573067675133046</v>
      </c>
      <c r="BS438" t="s">
        <v>992</v>
      </c>
      <c r="BV438" t="s">
        <v>1034</v>
      </c>
      <c r="BW438" t="s">
        <v>943</v>
      </c>
      <c r="BX438" t="s">
        <v>994</v>
      </c>
      <c r="BY438">
        <v>2.1611148751268172</v>
      </c>
      <c r="BZ438" t="s">
        <v>1155</v>
      </c>
      <c r="CA438" t="s">
        <v>991</v>
      </c>
      <c r="CB438" t="b">
        <v>1</v>
      </c>
      <c r="CC438" t="b">
        <v>1</v>
      </c>
      <c r="CD438" t="b">
        <v>1</v>
      </c>
      <c r="CE438" t="b">
        <v>1</v>
      </c>
      <c r="CF438" t="b">
        <v>1</v>
      </c>
    </row>
    <row r="439" spans="1:84" x14ac:dyDescent="0.3">
      <c r="A439" t="s">
        <v>2090</v>
      </c>
      <c r="B439" t="s">
        <v>1203</v>
      </c>
      <c r="C439" s="98">
        <v>45747</v>
      </c>
      <c r="D439">
        <v>2025</v>
      </c>
      <c r="E439">
        <v>3</v>
      </c>
      <c r="F439">
        <v>1</v>
      </c>
      <c r="G439" t="s">
        <v>1187</v>
      </c>
      <c r="H439" t="s">
        <v>130</v>
      </c>
      <c r="I439" t="s">
        <v>130</v>
      </c>
      <c r="J439" t="s">
        <v>6</v>
      </c>
      <c r="L439">
        <v>522611</v>
      </c>
      <c r="M439" s="99" t="s">
        <v>180</v>
      </c>
      <c r="N439">
        <v>3</v>
      </c>
      <c r="O439">
        <v>13</v>
      </c>
      <c r="P439">
        <v>30.602699999999999</v>
      </c>
      <c r="Q439" t="s">
        <v>352</v>
      </c>
      <c r="R439">
        <v>1</v>
      </c>
      <c r="S439">
        <v>30.3931</v>
      </c>
      <c r="T439">
        <v>0.2374</v>
      </c>
      <c r="U439">
        <v>0.88289806234203128</v>
      </c>
      <c r="V439">
        <v>29.680900000000001</v>
      </c>
      <c r="W439">
        <v>29.918300000000002</v>
      </c>
      <c r="X439">
        <v>30.1557</v>
      </c>
      <c r="Y439">
        <v>30.630500000000001</v>
      </c>
      <c r="Z439">
        <v>30.867899999999999</v>
      </c>
      <c r="AA439">
        <v>31.1053</v>
      </c>
      <c r="AD439">
        <v>2.6301695796471778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 t="s">
        <v>462</v>
      </c>
      <c r="AL439" t="s">
        <v>6</v>
      </c>
      <c r="AM439" t="s">
        <v>1145</v>
      </c>
      <c r="AN439" t="s">
        <v>1146</v>
      </c>
      <c r="AO439" s="100">
        <v>46262.040405092594</v>
      </c>
      <c r="AP439" t="s">
        <v>1147</v>
      </c>
      <c r="AQ439" t="s">
        <v>2091</v>
      </c>
      <c r="AR439" t="s">
        <v>1205</v>
      </c>
      <c r="AS439" t="s">
        <v>1150</v>
      </c>
      <c r="AT439" t="s">
        <v>1967</v>
      </c>
      <c r="AU439">
        <v>25</v>
      </c>
      <c r="AV439">
        <v>30.337060000000001</v>
      </c>
      <c r="AW439">
        <v>0.18563368947113715</v>
      </c>
      <c r="AX439">
        <v>0.61190401927918248</v>
      </c>
      <c r="AY439">
        <v>-0.19629249469443186</v>
      </c>
      <c r="AZ439">
        <v>1.2059341265050829</v>
      </c>
      <c r="BA439">
        <v>3.977547145089571</v>
      </c>
      <c r="BB439" t="s">
        <v>4619</v>
      </c>
      <c r="BD439" s="98"/>
      <c r="BE439" s="98"/>
      <c r="BF439" t="s">
        <v>1152</v>
      </c>
      <c r="BG439" t="s">
        <v>322</v>
      </c>
      <c r="BH439" t="s">
        <v>1153</v>
      </c>
      <c r="BI439">
        <v>0.19629249469443186</v>
      </c>
      <c r="BJ439" t="s">
        <v>1032</v>
      </c>
      <c r="BK439">
        <v>1.4242354531420949</v>
      </c>
      <c r="BL439">
        <v>54.14994775101718</v>
      </c>
      <c r="BM439" t="s">
        <v>1260</v>
      </c>
      <c r="BN439" t="s">
        <v>1154</v>
      </c>
      <c r="BO439">
        <v>2025</v>
      </c>
      <c r="BP439" t="s">
        <v>966</v>
      </c>
      <c r="BQ439">
        <v>254269.32324866956</v>
      </c>
      <c r="BR439">
        <v>74.573067675133046</v>
      </c>
      <c r="BS439" t="s">
        <v>992</v>
      </c>
      <c r="BV439" t="s">
        <v>1034</v>
      </c>
      <c r="BW439" t="s">
        <v>943</v>
      </c>
      <c r="BX439" t="s">
        <v>994</v>
      </c>
      <c r="BY439">
        <v>2.1611148751268172</v>
      </c>
      <c r="BZ439" t="s">
        <v>1155</v>
      </c>
      <c r="CA439" t="s">
        <v>991</v>
      </c>
      <c r="CB439" t="b">
        <v>1</v>
      </c>
      <c r="CC439" t="b">
        <v>1</v>
      </c>
      <c r="CD439" t="b">
        <v>1</v>
      </c>
      <c r="CE439" t="b">
        <v>1</v>
      </c>
      <c r="CF439" t="b">
        <v>1</v>
      </c>
    </row>
    <row r="440" spans="1:84" x14ac:dyDescent="0.3">
      <c r="A440" t="s">
        <v>2092</v>
      </c>
      <c r="B440" t="s">
        <v>1207</v>
      </c>
      <c r="C440" s="98">
        <v>45754</v>
      </c>
      <c r="D440">
        <v>2025</v>
      </c>
      <c r="E440">
        <v>4</v>
      </c>
      <c r="F440">
        <v>2</v>
      </c>
      <c r="G440" t="s">
        <v>1208</v>
      </c>
      <c r="H440" t="s">
        <v>130</v>
      </c>
      <c r="I440" t="s">
        <v>130</v>
      </c>
      <c r="J440" t="s">
        <v>6</v>
      </c>
      <c r="L440">
        <v>522611</v>
      </c>
      <c r="M440" s="99" t="s">
        <v>180</v>
      </c>
      <c r="N440">
        <v>3</v>
      </c>
      <c r="O440">
        <v>14</v>
      </c>
      <c r="P440">
        <v>30.03</v>
      </c>
      <c r="Q440" t="s">
        <v>352</v>
      </c>
      <c r="R440">
        <v>1</v>
      </c>
      <c r="S440">
        <v>30.3931</v>
      </c>
      <c r="T440">
        <v>0.2374</v>
      </c>
      <c r="U440">
        <v>-1.529486099410275</v>
      </c>
      <c r="V440">
        <v>29.680900000000001</v>
      </c>
      <c r="W440">
        <v>29.918300000000002</v>
      </c>
      <c r="X440">
        <v>30.1557</v>
      </c>
      <c r="Y440">
        <v>30.630500000000001</v>
      </c>
      <c r="Z440">
        <v>30.867899999999999</v>
      </c>
      <c r="AA440">
        <v>31.1053</v>
      </c>
      <c r="AD440">
        <v>2.6301695796471778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 t="s">
        <v>462</v>
      </c>
      <c r="AL440" t="s">
        <v>6</v>
      </c>
      <c r="AM440" t="s">
        <v>1145</v>
      </c>
      <c r="AN440" t="s">
        <v>1146</v>
      </c>
      <c r="AO440" s="100">
        <v>46262.040405092594</v>
      </c>
      <c r="AP440" t="s">
        <v>1147</v>
      </c>
      <c r="AQ440" t="s">
        <v>2093</v>
      </c>
      <c r="AR440" t="s">
        <v>1210</v>
      </c>
      <c r="AS440" t="s">
        <v>1150</v>
      </c>
      <c r="AT440" t="s">
        <v>1967</v>
      </c>
      <c r="AU440">
        <v>25</v>
      </c>
      <c r="AV440">
        <v>30.337060000000001</v>
      </c>
      <c r="AW440">
        <v>0.18563368947113715</v>
      </c>
      <c r="AX440">
        <v>0.61190401927918248</v>
      </c>
      <c r="AY440">
        <v>-0.19629249469443186</v>
      </c>
      <c r="AZ440">
        <v>1.2059341265050829</v>
      </c>
      <c r="BA440">
        <v>3.977547145089571</v>
      </c>
      <c r="BB440" t="s">
        <v>4619</v>
      </c>
      <c r="BD440" s="98"/>
      <c r="BE440" s="98"/>
      <c r="BF440" t="s">
        <v>1152</v>
      </c>
      <c r="BG440" t="s">
        <v>322</v>
      </c>
      <c r="BH440" t="s">
        <v>1153</v>
      </c>
      <c r="BI440">
        <v>0.19629249469443186</v>
      </c>
      <c r="BJ440" t="s">
        <v>1032</v>
      </c>
      <c r="BK440">
        <v>1.4242354531420949</v>
      </c>
      <c r="BL440">
        <v>54.14994775101718</v>
      </c>
      <c r="BM440" t="s">
        <v>1260</v>
      </c>
      <c r="BN440" t="s">
        <v>1154</v>
      </c>
      <c r="BO440">
        <v>2025</v>
      </c>
      <c r="BP440" t="s">
        <v>966</v>
      </c>
      <c r="BQ440">
        <v>254269.32324866956</v>
      </c>
      <c r="BR440">
        <v>74.573067675133046</v>
      </c>
      <c r="BS440" t="s">
        <v>992</v>
      </c>
      <c r="BV440" t="s">
        <v>1034</v>
      </c>
      <c r="BW440" t="s">
        <v>943</v>
      </c>
      <c r="BX440" t="s">
        <v>994</v>
      </c>
      <c r="BY440">
        <v>2.1611148751268172</v>
      </c>
      <c r="BZ440" t="s">
        <v>1155</v>
      </c>
      <c r="CA440" t="s">
        <v>991</v>
      </c>
      <c r="CB440" t="b">
        <v>1</v>
      </c>
      <c r="CC440" t="b">
        <v>1</v>
      </c>
      <c r="CD440" t="b">
        <v>1</v>
      </c>
      <c r="CE440" t="b">
        <v>1</v>
      </c>
      <c r="CF440" t="b">
        <v>1</v>
      </c>
    </row>
    <row r="441" spans="1:84" x14ac:dyDescent="0.3">
      <c r="A441" t="s">
        <v>2094</v>
      </c>
      <c r="B441" t="s">
        <v>1212</v>
      </c>
      <c r="C441" s="98">
        <v>45761</v>
      </c>
      <c r="D441">
        <v>2025</v>
      </c>
      <c r="E441">
        <v>4</v>
      </c>
      <c r="F441">
        <v>2</v>
      </c>
      <c r="G441" t="s">
        <v>1208</v>
      </c>
      <c r="H441" t="s">
        <v>130</v>
      </c>
      <c r="I441" t="s">
        <v>130</v>
      </c>
      <c r="J441" t="s">
        <v>6</v>
      </c>
      <c r="L441">
        <v>522611</v>
      </c>
      <c r="M441" s="99" t="s">
        <v>180</v>
      </c>
      <c r="N441">
        <v>3</v>
      </c>
      <c r="O441">
        <v>15</v>
      </c>
      <c r="P441">
        <v>30.393899999999999</v>
      </c>
      <c r="Q441" t="s">
        <v>352</v>
      </c>
      <c r="R441">
        <v>1</v>
      </c>
      <c r="S441">
        <v>30.3931</v>
      </c>
      <c r="T441">
        <v>0.2374</v>
      </c>
      <c r="U441">
        <v>3.3698399325953476E-3</v>
      </c>
      <c r="V441">
        <v>29.680900000000001</v>
      </c>
      <c r="W441">
        <v>29.918300000000002</v>
      </c>
      <c r="X441">
        <v>30.1557</v>
      </c>
      <c r="Y441">
        <v>30.630500000000001</v>
      </c>
      <c r="Z441">
        <v>30.867899999999999</v>
      </c>
      <c r="AA441">
        <v>31.1053</v>
      </c>
      <c r="AD441">
        <v>2.6301695796471778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 t="s">
        <v>462</v>
      </c>
      <c r="AL441" t="s">
        <v>6</v>
      </c>
      <c r="AM441" t="s">
        <v>1145</v>
      </c>
      <c r="AN441" t="s">
        <v>1146</v>
      </c>
      <c r="AO441" s="100">
        <v>46262.040405092594</v>
      </c>
      <c r="AP441" t="s">
        <v>1147</v>
      </c>
      <c r="AQ441" t="s">
        <v>2095</v>
      </c>
      <c r="AR441" t="s">
        <v>1215</v>
      </c>
      <c r="AS441" t="s">
        <v>1150</v>
      </c>
      <c r="AT441" t="s">
        <v>1967</v>
      </c>
      <c r="AU441">
        <v>25</v>
      </c>
      <c r="AV441">
        <v>30.337060000000001</v>
      </c>
      <c r="AW441">
        <v>0.18563368947113715</v>
      </c>
      <c r="AX441">
        <v>0.61190401927918248</v>
      </c>
      <c r="AY441">
        <v>-0.19629249469443186</v>
      </c>
      <c r="AZ441">
        <v>1.2059341265050829</v>
      </c>
      <c r="BA441">
        <v>3.977547145089571</v>
      </c>
      <c r="BB441" t="s">
        <v>4619</v>
      </c>
      <c r="BD441" s="98"/>
      <c r="BE441" s="98"/>
      <c r="BF441" t="s">
        <v>1152</v>
      </c>
      <c r="BG441" t="s">
        <v>322</v>
      </c>
      <c r="BH441" t="s">
        <v>1153</v>
      </c>
      <c r="BI441">
        <v>0.19629249469443186</v>
      </c>
      <c r="BJ441" t="s">
        <v>1032</v>
      </c>
      <c r="BK441">
        <v>1.4242354531420949</v>
      </c>
      <c r="BL441">
        <v>54.14994775101718</v>
      </c>
      <c r="BM441" t="s">
        <v>1260</v>
      </c>
      <c r="BN441" t="s">
        <v>1154</v>
      </c>
      <c r="BO441">
        <v>2025</v>
      </c>
      <c r="BP441" t="s">
        <v>966</v>
      </c>
      <c r="BQ441">
        <v>254269.32324866956</v>
      </c>
      <c r="BR441">
        <v>74.573067675133046</v>
      </c>
      <c r="BS441" t="s">
        <v>992</v>
      </c>
      <c r="BV441" t="s">
        <v>1034</v>
      </c>
      <c r="BW441" t="s">
        <v>943</v>
      </c>
      <c r="BX441" t="s">
        <v>994</v>
      </c>
      <c r="BY441">
        <v>2.1611148751268172</v>
      </c>
      <c r="BZ441" t="s">
        <v>1155</v>
      </c>
      <c r="CA441" t="s">
        <v>991</v>
      </c>
      <c r="CB441" t="b">
        <v>1</v>
      </c>
      <c r="CC441" t="b">
        <v>1</v>
      </c>
      <c r="CD441" t="b">
        <v>1</v>
      </c>
      <c r="CE441" t="b">
        <v>1</v>
      </c>
      <c r="CF441" t="b">
        <v>1</v>
      </c>
    </row>
    <row r="442" spans="1:84" x14ac:dyDescent="0.3">
      <c r="A442" t="s">
        <v>2096</v>
      </c>
      <c r="B442" t="s">
        <v>1217</v>
      </c>
      <c r="C442" s="98">
        <v>45768</v>
      </c>
      <c r="D442">
        <v>2025</v>
      </c>
      <c r="E442">
        <v>4</v>
      </c>
      <c r="F442">
        <v>2</v>
      </c>
      <c r="G442" t="s">
        <v>1208</v>
      </c>
      <c r="H442" t="s">
        <v>130</v>
      </c>
      <c r="I442" t="s">
        <v>130</v>
      </c>
      <c r="J442" t="s">
        <v>6</v>
      </c>
      <c r="L442">
        <v>522611</v>
      </c>
      <c r="M442" s="99" t="s">
        <v>180</v>
      </c>
      <c r="N442">
        <v>3</v>
      </c>
      <c r="O442">
        <v>16</v>
      </c>
      <c r="P442">
        <v>30.238800000000001</v>
      </c>
      <c r="Q442" t="s">
        <v>352</v>
      </c>
      <c r="R442">
        <v>1</v>
      </c>
      <c r="S442">
        <v>30.3931</v>
      </c>
      <c r="T442">
        <v>0.2374</v>
      </c>
      <c r="U442">
        <v>-0.64995787700083918</v>
      </c>
      <c r="V442">
        <v>29.680900000000001</v>
      </c>
      <c r="W442">
        <v>29.918300000000002</v>
      </c>
      <c r="X442">
        <v>30.1557</v>
      </c>
      <c r="Y442">
        <v>30.630500000000001</v>
      </c>
      <c r="Z442">
        <v>30.867899999999999</v>
      </c>
      <c r="AA442">
        <v>31.1053</v>
      </c>
      <c r="AD442">
        <v>2.6301695796471778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 t="s">
        <v>462</v>
      </c>
      <c r="AL442" t="s">
        <v>6</v>
      </c>
      <c r="AM442" t="s">
        <v>1145</v>
      </c>
      <c r="AN442" t="s">
        <v>1146</v>
      </c>
      <c r="AO442" s="100">
        <v>46262.040405092594</v>
      </c>
      <c r="AP442" t="s">
        <v>1147</v>
      </c>
      <c r="AQ442" t="s">
        <v>2097</v>
      </c>
      <c r="AR442" t="s">
        <v>1219</v>
      </c>
      <c r="AS442" t="s">
        <v>1150</v>
      </c>
      <c r="AT442" t="s">
        <v>1967</v>
      </c>
      <c r="AU442">
        <v>25</v>
      </c>
      <c r="AV442">
        <v>30.337060000000001</v>
      </c>
      <c r="AW442">
        <v>0.18563368947113715</v>
      </c>
      <c r="AX442">
        <v>0.61190401927918248</v>
      </c>
      <c r="AY442">
        <v>-0.19629249469443186</v>
      </c>
      <c r="AZ442">
        <v>1.2059341265050829</v>
      </c>
      <c r="BA442">
        <v>3.977547145089571</v>
      </c>
      <c r="BB442" t="s">
        <v>4619</v>
      </c>
      <c r="BD442" s="98"/>
      <c r="BE442" s="98"/>
      <c r="BF442" t="s">
        <v>1152</v>
      </c>
      <c r="BG442" t="s">
        <v>322</v>
      </c>
      <c r="BH442" t="s">
        <v>1153</v>
      </c>
      <c r="BI442">
        <v>0.19629249469443186</v>
      </c>
      <c r="BJ442" t="s">
        <v>1032</v>
      </c>
      <c r="BK442">
        <v>1.4242354531420949</v>
      </c>
      <c r="BL442">
        <v>54.14994775101718</v>
      </c>
      <c r="BM442" t="s">
        <v>1260</v>
      </c>
      <c r="BN442" t="s">
        <v>1154</v>
      </c>
      <c r="BO442">
        <v>2025</v>
      </c>
      <c r="BP442" t="s">
        <v>966</v>
      </c>
      <c r="BQ442">
        <v>254269.32324866956</v>
      </c>
      <c r="BR442">
        <v>74.573067675133046</v>
      </c>
      <c r="BS442" t="s">
        <v>992</v>
      </c>
      <c r="BV442" t="s">
        <v>1034</v>
      </c>
      <c r="BW442" t="s">
        <v>943</v>
      </c>
      <c r="BX442" t="s">
        <v>994</v>
      </c>
      <c r="BY442">
        <v>2.1611148751268172</v>
      </c>
      <c r="BZ442" t="s">
        <v>1155</v>
      </c>
      <c r="CA442" t="s">
        <v>991</v>
      </c>
      <c r="CB442" t="b">
        <v>1</v>
      </c>
      <c r="CC442" t="b">
        <v>1</v>
      </c>
      <c r="CD442" t="b">
        <v>1</v>
      </c>
      <c r="CE442" t="b">
        <v>1</v>
      </c>
      <c r="CF442" t="b">
        <v>1</v>
      </c>
    </row>
    <row r="443" spans="1:84" x14ac:dyDescent="0.3">
      <c r="A443" t="s">
        <v>2098</v>
      </c>
      <c r="B443" t="s">
        <v>1221</v>
      </c>
      <c r="C443" s="98">
        <v>45775</v>
      </c>
      <c r="D443">
        <v>2025</v>
      </c>
      <c r="E443">
        <v>4</v>
      </c>
      <c r="F443">
        <v>2</v>
      </c>
      <c r="G443" t="s">
        <v>1208</v>
      </c>
      <c r="H443" t="s">
        <v>130</v>
      </c>
      <c r="I443" t="s">
        <v>130</v>
      </c>
      <c r="J443" t="s">
        <v>6</v>
      </c>
      <c r="L443">
        <v>522611</v>
      </c>
      <c r="M443" s="99" t="s">
        <v>180</v>
      </c>
      <c r="N443">
        <v>3</v>
      </c>
      <c r="O443">
        <v>17</v>
      </c>
      <c r="P443">
        <v>30.161100000000001</v>
      </c>
      <c r="Q443" t="s">
        <v>352</v>
      </c>
      <c r="R443">
        <v>1</v>
      </c>
      <c r="S443">
        <v>30.3931</v>
      </c>
      <c r="T443">
        <v>0.2374</v>
      </c>
      <c r="U443">
        <v>-0.9772535804549255</v>
      </c>
      <c r="V443">
        <v>29.680900000000001</v>
      </c>
      <c r="W443">
        <v>29.918300000000002</v>
      </c>
      <c r="X443">
        <v>30.1557</v>
      </c>
      <c r="Y443">
        <v>30.630500000000001</v>
      </c>
      <c r="Z443">
        <v>30.867899999999999</v>
      </c>
      <c r="AA443">
        <v>31.1053</v>
      </c>
      <c r="AD443">
        <v>2.6301695796471778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 t="s">
        <v>462</v>
      </c>
      <c r="AL443" t="s">
        <v>6</v>
      </c>
      <c r="AM443" t="s">
        <v>1145</v>
      </c>
      <c r="AN443" t="s">
        <v>1146</v>
      </c>
      <c r="AO443" s="100">
        <v>46262.040405092594</v>
      </c>
      <c r="AP443" t="s">
        <v>1147</v>
      </c>
      <c r="AQ443" t="s">
        <v>2099</v>
      </c>
      <c r="AR443" t="s">
        <v>1223</v>
      </c>
      <c r="AS443" t="s">
        <v>1150</v>
      </c>
      <c r="AT443" t="s">
        <v>1967</v>
      </c>
      <c r="AU443">
        <v>25</v>
      </c>
      <c r="AV443">
        <v>30.337060000000001</v>
      </c>
      <c r="AW443">
        <v>0.18563368947113715</v>
      </c>
      <c r="AX443">
        <v>0.61190401927918248</v>
      </c>
      <c r="AY443">
        <v>-0.19629249469443186</v>
      </c>
      <c r="AZ443">
        <v>1.2059341265050829</v>
      </c>
      <c r="BA443">
        <v>3.977547145089571</v>
      </c>
      <c r="BB443" t="s">
        <v>4619</v>
      </c>
      <c r="BD443" s="98"/>
      <c r="BE443" s="98"/>
      <c r="BF443" t="s">
        <v>1152</v>
      </c>
      <c r="BG443" t="s">
        <v>322</v>
      </c>
      <c r="BH443" t="s">
        <v>1153</v>
      </c>
      <c r="BI443">
        <v>0.19629249469443186</v>
      </c>
      <c r="BJ443" t="s">
        <v>1032</v>
      </c>
      <c r="BK443">
        <v>1.4242354531420949</v>
      </c>
      <c r="BL443">
        <v>54.14994775101718</v>
      </c>
      <c r="BM443" t="s">
        <v>1260</v>
      </c>
      <c r="BN443" t="s">
        <v>1154</v>
      </c>
      <c r="BO443">
        <v>2025</v>
      </c>
      <c r="BP443" t="s">
        <v>966</v>
      </c>
      <c r="BQ443">
        <v>254269.32324866956</v>
      </c>
      <c r="BR443">
        <v>74.573067675133046</v>
      </c>
      <c r="BS443" t="s">
        <v>992</v>
      </c>
      <c r="BV443" t="s">
        <v>1034</v>
      </c>
      <c r="BW443" t="s">
        <v>943</v>
      </c>
      <c r="BX443" t="s">
        <v>994</v>
      </c>
      <c r="BY443">
        <v>2.1611148751268172</v>
      </c>
      <c r="BZ443" t="s">
        <v>1155</v>
      </c>
      <c r="CA443" t="s">
        <v>991</v>
      </c>
      <c r="CB443" t="b">
        <v>1</v>
      </c>
      <c r="CC443" t="b">
        <v>1</v>
      </c>
      <c r="CD443" t="b">
        <v>1</v>
      </c>
      <c r="CE443" t="b">
        <v>1</v>
      </c>
      <c r="CF443" t="b">
        <v>1</v>
      </c>
    </row>
    <row r="444" spans="1:84" x14ac:dyDescent="0.3">
      <c r="A444" t="s">
        <v>2100</v>
      </c>
      <c r="B444" t="s">
        <v>1225</v>
      </c>
      <c r="C444" s="98">
        <v>45782</v>
      </c>
      <c r="D444">
        <v>2025</v>
      </c>
      <c r="E444">
        <v>5</v>
      </c>
      <c r="F444">
        <v>2</v>
      </c>
      <c r="G444" t="s">
        <v>1226</v>
      </c>
      <c r="H444" t="s">
        <v>130</v>
      </c>
      <c r="I444" t="s">
        <v>130</v>
      </c>
      <c r="J444" t="s">
        <v>6</v>
      </c>
      <c r="L444">
        <v>522611</v>
      </c>
      <c r="M444" s="99" t="s">
        <v>180</v>
      </c>
      <c r="N444">
        <v>3</v>
      </c>
      <c r="O444">
        <v>18</v>
      </c>
      <c r="P444">
        <v>30.595700000000001</v>
      </c>
      <c r="Q444" t="s">
        <v>352</v>
      </c>
      <c r="R444">
        <v>1</v>
      </c>
      <c r="S444">
        <v>30.3931</v>
      </c>
      <c r="T444">
        <v>0.2374</v>
      </c>
      <c r="U444">
        <v>0.85341196293176214</v>
      </c>
      <c r="V444">
        <v>29.680900000000001</v>
      </c>
      <c r="W444">
        <v>29.918300000000002</v>
      </c>
      <c r="X444">
        <v>30.1557</v>
      </c>
      <c r="Y444">
        <v>30.630500000000001</v>
      </c>
      <c r="Z444">
        <v>30.867899999999999</v>
      </c>
      <c r="AA444">
        <v>31.1053</v>
      </c>
      <c r="AD444">
        <v>2.6301695796471778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 t="s">
        <v>462</v>
      </c>
      <c r="AL444" t="s">
        <v>6</v>
      </c>
      <c r="AM444" t="s">
        <v>1145</v>
      </c>
      <c r="AN444" t="s">
        <v>1146</v>
      </c>
      <c r="AO444" s="100">
        <v>46262.040405092594</v>
      </c>
      <c r="AP444" t="s">
        <v>1147</v>
      </c>
      <c r="AQ444" t="s">
        <v>2101</v>
      </c>
      <c r="AR444" t="s">
        <v>1228</v>
      </c>
      <c r="AS444" t="s">
        <v>1150</v>
      </c>
      <c r="AT444" t="s">
        <v>1967</v>
      </c>
      <c r="AU444">
        <v>25</v>
      </c>
      <c r="AV444">
        <v>30.337060000000001</v>
      </c>
      <c r="AW444">
        <v>0.18563368947113715</v>
      </c>
      <c r="AX444">
        <v>0.61190401927918248</v>
      </c>
      <c r="AY444">
        <v>-0.19629249469443186</v>
      </c>
      <c r="AZ444">
        <v>1.2059341265050829</v>
      </c>
      <c r="BA444">
        <v>3.977547145089571</v>
      </c>
      <c r="BB444" t="s">
        <v>4619</v>
      </c>
      <c r="BD444" s="98"/>
      <c r="BE444" s="98"/>
      <c r="BF444" t="s">
        <v>1152</v>
      </c>
      <c r="BG444" t="s">
        <v>322</v>
      </c>
      <c r="BH444" t="s">
        <v>1153</v>
      </c>
      <c r="BI444">
        <v>0.19629249469443186</v>
      </c>
      <c r="BJ444" t="s">
        <v>1032</v>
      </c>
      <c r="BK444">
        <v>1.4242354531420949</v>
      </c>
      <c r="BL444">
        <v>54.14994775101718</v>
      </c>
      <c r="BM444" t="s">
        <v>1260</v>
      </c>
      <c r="BN444" t="s">
        <v>1154</v>
      </c>
      <c r="BO444">
        <v>2025</v>
      </c>
      <c r="BP444" t="s">
        <v>966</v>
      </c>
      <c r="BQ444">
        <v>254269.32324866956</v>
      </c>
      <c r="BR444">
        <v>74.573067675133046</v>
      </c>
      <c r="BS444" t="s">
        <v>992</v>
      </c>
      <c r="BV444" t="s">
        <v>1034</v>
      </c>
      <c r="BW444" t="s">
        <v>943</v>
      </c>
      <c r="BX444" t="s">
        <v>994</v>
      </c>
      <c r="BY444">
        <v>2.1611148751268172</v>
      </c>
      <c r="BZ444" t="s">
        <v>1155</v>
      </c>
      <c r="CA444" t="s">
        <v>991</v>
      </c>
      <c r="CB444" t="b">
        <v>1</v>
      </c>
      <c r="CC444" t="b">
        <v>1</v>
      </c>
      <c r="CD444" t="b">
        <v>1</v>
      </c>
      <c r="CE444" t="b">
        <v>1</v>
      </c>
      <c r="CF444" t="b">
        <v>1</v>
      </c>
    </row>
    <row r="445" spans="1:84" x14ac:dyDescent="0.3">
      <c r="A445" t="s">
        <v>2102</v>
      </c>
      <c r="B445" t="s">
        <v>1230</v>
      </c>
      <c r="C445" s="98">
        <v>45789</v>
      </c>
      <c r="D445">
        <v>2025</v>
      </c>
      <c r="E445">
        <v>5</v>
      </c>
      <c r="F445">
        <v>2</v>
      </c>
      <c r="G445" t="s">
        <v>1226</v>
      </c>
      <c r="H445" t="s">
        <v>130</v>
      </c>
      <c r="I445" t="s">
        <v>130</v>
      </c>
      <c r="J445" t="s">
        <v>6</v>
      </c>
      <c r="L445">
        <v>522611</v>
      </c>
      <c r="M445" s="99" t="s">
        <v>180</v>
      </c>
      <c r="N445">
        <v>3</v>
      </c>
      <c r="O445">
        <v>19</v>
      </c>
      <c r="P445">
        <v>30.270099999999999</v>
      </c>
      <c r="Q445" t="s">
        <v>352</v>
      </c>
      <c r="R445">
        <v>1</v>
      </c>
      <c r="S445">
        <v>30.3931</v>
      </c>
      <c r="T445">
        <v>0.2374</v>
      </c>
      <c r="U445">
        <v>-0.51811288963774693</v>
      </c>
      <c r="V445">
        <v>29.680900000000001</v>
      </c>
      <c r="W445">
        <v>29.918300000000002</v>
      </c>
      <c r="X445">
        <v>30.1557</v>
      </c>
      <c r="Y445">
        <v>30.630500000000001</v>
      </c>
      <c r="Z445">
        <v>30.867899999999999</v>
      </c>
      <c r="AA445">
        <v>31.1053</v>
      </c>
      <c r="AD445">
        <v>2.6301695796471778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 t="s">
        <v>462</v>
      </c>
      <c r="AL445" t="s">
        <v>6</v>
      </c>
      <c r="AM445" t="s">
        <v>1145</v>
      </c>
      <c r="AN445" t="s">
        <v>1146</v>
      </c>
      <c r="AO445" s="100">
        <v>46262.040405092594</v>
      </c>
      <c r="AP445" t="s">
        <v>1147</v>
      </c>
      <c r="AQ445" t="s">
        <v>2103</v>
      </c>
      <c r="AR445" t="s">
        <v>1232</v>
      </c>
      <c r="AS445" t="s">
        <v>1150</v>
      </c>
      <c r="AT445" t="s">
        <v>1967</v>
      </c>
      <c r="AU445">
        <v>25</v>
      </c>
      <c r="AV445">
        <v>30.337060000000001</v>
      </c>
      <c r="AW445">
        <v>0.18563368947113715</v>
      </c>
      <c r="AX445">
        <v>0.61190401927918248</v>
      </c>
      <c r="AY445">
        <v>-0.19629249469443186</v>
      </c>
      <c r="AZ445">
        <v>1.2059341265050829</v>
      </c>
      <c r="BA445">
        <v>3.977547145089571</v>
      </c>
      <c r="BB445" t="s">
        <v>4619</v>
      </c>
      <c r="BD445" s="98"/>
      <c r="BE445" s="98"/>
      <c r="BF445" t="s">
        <v>1152</v>
      </c>
      <c r="BG445" t="s">
        <v>322</v>
      </c>
      <c r="BH445" t="s">
        <v>1153</v>
      </c>
      <c r="BI445">
        <v>0.19629249469443186</v>
      </c>
      <c r="BJ445" t="s">
        <v>1032</v>
      </c>
      <c r="BK445">
        <v>1.4242354531420949</v>
      </c>
      <c r="BL445">
        <v>54.14994775101718</v>
      </c>
      <c r="BM445" t="s">
        <v>1260</v>
      </c>
      <c r="BN445" t="s">
        <v>1154</v>
      </c>
      <c r="BO445">
        <v>2025</v>
      </c>
      <c r="BP445" t="s">
        <v>966</v>
      </c>
      <c r="BQ445">
        <v>254269.32324866956</v>
      </c>
      <c r="BR445">
        <v>74.573067675133046</v>
      </c>
      <c r="BS445" t="s">
        <v>992</v>
      </c>
      <c r="BV445" t="s">
        <v>1034</v>
      </c>
      <c r="BW445" t="s">
        <v>943</v>
      </c>
      <c r="BX445" t="s">
        <v>994</v>
      </c>
      <c r="BY445">
        <v>2.1611148751268172</v>
      </c>
      <c r="BZ445" t="s">
        <v>1155</v>
      </c>
      <c r="CA445" t="s">
        <v>991</v>
      </c>
      <c r="CB445" t="b">
        <v>1</v>
      </c>
      <c r="CC445" t="b">
        <v>1</v>
      </c>
      <c r="CD445" t="b">
        <v>1</v>
      </c>
      <c r="CE445" t="b">
        <v>1</v>
      </c>
      <c r="CF445" t="b">
        <v>1</v>
      </c>
    </row>
    <row r="446" spans="1:84" x14ac:dyDescent="0.3">
      <c r="A446" t="s">
        <v>2104</v>
      </c>
      <c r="B446" t="s">
        <v>1234</v>
      </c>
      <c r="C446" s="98">
        <v>45796</v>
      </c>
      <c r="D446">
        <v>2025</v>
      </c>
      <c r="E446">
        <v>5</v>
      </c>
      <c r="F446">
        <v>2</v>
      </c>
      <c r="G446" t="s">
        <v>1226</v>
      </c>
      <c r="H446" t="s">
        <v>130</v>
      </c>
      <c r="I446" t="s">
        <v>130</v>
      </c>
      <c r="J446" t="s">
        <v>6</v>
      </c>
      <c r="L446">
        <v>522611</v>
      </c>
      <c r="M446" s="99" t="s">
        <v>180</v>
      </c>
      <c r="N446">
        <v>3</v>
      </c>
      <c r="O446">
        <v>20</v>
      </c>
      <c r="P446">
        <v>30.748899999999999</v>
      </c>
      <c r="Q446" t="s">
        <v>352</v>
      </c>
      <c r="R446">
        <v>1</v>
      </c>
      <c r="S446">
        <v>30.3931</v>
      </c>
      <c r="T446">
        <v>0.2374</v>
      </c>
      <c r="U446">
        <v>1.4987363100252677</v>
      </c>
      <c r="V446">
        <v>29.680900000000001</v>
      </c>
      <c r="W446">
        <v>29.918300000000002</v>
      </c>
      <c r="X446">
        <v>30.1557</v>
      </c>
      <c r="Y446">
        <v>30.630500000000001</v>
      </c>
      <c r="Z446">
        <v>30.867899999999999</v>
      </c>
      <c r="AA446">
        <v>31.1053</v>
      </c>
      <c r="AD446">
        <v>2.6301695796471778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 t="s">
        <v>462</v>
      </c>
      <c r="AL446" t="s">
        <v>6</v>
      </c>
      <c r="AM446" t="s">
        <v>1145</v>
      </c>
      <c r="AN446" t="s">
        <v>1146</v>
      </c>
      <c r="AO446" s="100">
        <v>46262.040405092594</v>
      </c>
      <c r="AP446" t="s">
        <v>1147</v>
      </c>
      <c r="AQ446" t="s">
        <v>2105</v>
      </c>
      <c r="AR446" t="s">
        <v>1236</v>
      </c>
      <c r="AS446" t="s">
        <v>1150</v>
      </c>
      <c r="AT446" t="s">
        <v>1967</v>
      </c>
      <c r="AU446">
        <v>25</v>
      </c>
      <c r="AV446">
        <v>30.337060000000001</v>
      </c>
      <c r="AW446">
        <v>0.18563368947113715</v>
      </c>
      <c r="AX446">
        <v>0.61190401927918248</v>
      </c>
      <c r="AY446">
        <v>-0.19629249469443186</v>
      </c>
      <c r="AZ446">
        <v>1.2059341265050829</v>
      </c>
      <c r="BA446">
        <v>3.977547145089571</v>
      </c>
      <c r="BB446" t="s">
        <v>4619</v>
      </c>
      <c r="BD446" s="98"/>
      <c r="BE446" s="98"/>
      <c r="BF446" t="s">
        <v>1152</v>
      </c>
      <c r="BG446" t="s">
        <v>322</v>
      </c>
      <c r="BH446" t="s">
        <v>1153</v>
      </c>
      <c r="BI446">
        <v>0.19629249469443186</v>
      </c>
      <c r="BJ446" t="s">
        <v>1032</v>
      </c>
      <c r="BK446">
        <v>1.4242354531420949</v>
      </c>
      <c r="BL446">
        <v>54.14994775101718</v>
      </c>
      <c r="BM446" t="s">
        <v>1260</v>
      </c>
      <c r="BN446" t="s">
        <v>1154</v>
      </c>
      <c r="BO446">
        <v>2025</v>
      </c>
      <c r="BP446" t="s">
        <v>966</v>
      </c>
      <c r="BQ446">
        <v>254269.32324866956</v>
      </c>
      <c r="BR446">
        <v>74.573067675133046</v>
      </c>
      <c r="BS446" t="s">
        <v>992</v>
      </c>
      <c r="BV446" t="s">
        <v>1034</v>
      </c>
      <c r="BW446" t="s">
        <v>943</v>
      </c>
      <c r="BX446" t="s">
        <v>994</v>
      </c>
      <c r="BY446">
        <v>2.1611148751268172</v>
      </c>
      <c r="BZ446" t="s">
        <v>1155</v>
      </c>
      <c r="CA446" t="s">
        <v>991</v>
      </c>
      <c r="CB446" t="b">
        <v>1</v>
      </c>
      <c r="CC446" t="b">
        <v>1</v>
      </c>
      <c r="CD446" t="b">
        <v>1</v>
      </c>
      <c r="CE446" t="b">
        <v>1</v>
      </c>
      <c r="CF446" t="b">
        <v>1</v>
      </c>
    </row>
    <row r="447" spans="1:84" x14ac:dyDescent="0.3">
      <c r="A447" t="s">
        <v>2106</v>
      </c>
      <c r="B447" t="s">
        <v>1238</v>
      </c>
      <c r="C447" s="98">
        <v>45803</v>
      </c>
      <c r="D447">
        <v>2025</v>
      </c>
      <c r="E447">
        <v>5</v>
      </c>
      <c r="F447">
        <v>2</v>
      </c>
      <c r="G447" t="s">
        <v>1226</v>
      </c>
      <c r="H447" t="s">
        <v>130</v>
      </c>
      <c r="I447" t="s">
        <v>130</v>
      </c>
      <c r="J447" t="s">
        <v>6</v>
      </c>
      <c r="L447">
        <v>522611</v>
      </c>
      <c r="M447" s="99" t="s">
        <v>180</v>
      </c>
      <c r="N447">
        <v>3</v>
      </c>
      <c r="O447">
        <v>21</v>
      </c>
      <c r="P447">
        <v>30.207899999999999</v>
      </c>
      <c r="Q447" t="s">
        <v>352</v>
      </c>
      <c r="R447">
        <v>1</v>
      </c>
      <c r="S447">
        <v>30.3931</v>
      </c>
      <c r="T447">
        <v>0.2374</v>
      </c>
      <c r="U447">
        <v>-0.7801179443976487</v>
      </c>
      <c r="V447">
        <v>29.680900000000001</v>
      </c>
      <c r="W447">
        <v>29.918300000000002</v>
      </c>
      <c r="X447">
        <v>30.1557</v>
      </c>
      <c r="Y447">
        <v>30.630500000000001</v>
      </c>
      <c r="Z447">
        <v>30.867899999999999</v>
      </c>
      <c r="AA447">
        <v>31.1053</v>
      </c>
      <c r="AD447">
        <v>2.6301695796471778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 t="s">
        <v>462</v>
      </c>
      <c r="AL447" t="s">
        <v>6</v>
      </c>
      <c r="AM447" t="s">
        <v>1145</v>
      </c>
      <c r="AN447" t="s">
        <v>1146</v>
      </c>
      <c r="AO447" s="100">
        <v>46262.040405092594</v>
      </c>
      <c r="AP447" t="s">
        <v>1147</v>
      </c>
      <c r="AQ447" t="s">
        <v>2107</v>
      </c>
      <c r="AR447" t="s">
        <v>1240</v>
      </c>
      <c r="AS447" t="s">
        <v>1150</v>
      </c>
      <c r="AT447" t="s">
        <v>1967</v>
      </c>
      <c r="AU447">
        <v>25</v>
      </c>
      <c r="AV447">
        <v>30.337060000000001</v>
      </c>
      <c r="AW447">
        <v>0.18563368947113715</v>
      </c>
      <c r="AX447">
        <v>0.61190401927918248</v>
      </c>
      <c r="AY447">
        <v>-0.19629249469443186</v>
      </c>
      <c r="AZ447">
        <v>1.2059341265050829</v>
      </c>
      <c r="BA447">
        <v>3.977547145089571</v>
      </c>
      <c r="BB447" t="s">
        <v>4619</v>
      </c>
      <c r="BD447" s="98"/>
      <c r="BE447" s="98"/>
      <c r="BF447" t="s">
        <v>1152</v>
      </c>
      <c r="BG447" t="s">
        <v>322</v>
      </c>
      <c r="BH447" t="s">
        <v>1153</v>
      </c>
      <c r="BI447">
        <v>0.19629249469443186</v>
      </c>
      <c r="BJ447" t="s">
        <v>1032</v>
      </c>
      <c r="BK447">
        <v>1.4242354531420949</v>
      </c>
      <c r="BL447">
        <v>54.14994775101718</v>
      </c>
      <c r="BM447" t="s">
        <v>1260</v>
      </c>
      <c r="BN447" t="s">
        <v>1154</v>
      </c>
      <c r="BO447">
        <v>2025</v>
      </c>
      <c r="BP447" t="s">
        <v>966</v>
      </c>
      <c r="BQ447">
        <v>254269.32324866956</v>
      </c>
      <c r="BR447">
        <v>74.573067675133046</v>
      </c>
      <c r="BS447" t="s">
        <v>992</v>
      </c>
      <c r="BV447" t="s">
        <v>1034</v>
      </c>
      <c r="BW447" t="s">
        <v>943</v>
      </c>
      <c r="BX447" t="s">
        <v>994</v>
      </c>
      <c r="BY447">
        <v>2.1611148751268172</v>
      </c>
      <c r="BZ447" t="s">
        <v>1155</v>
      </c>
      <c r="CA447" t="s">
        <v>991</v>
      </c>
      <c r="CB447" t="b">
        <v>1</v>
      </c>
      <c r="CC447" t="b">
        <v>1</v>
      </c>
      <c r="CD447" t="b">
        <v>1</v>
      </c>
      <c r="CE447" t="b">
        <v>1</v>
      </c>
      <c r="CF447" t="b">
        <v>1</v>
      </c>
    </row>
    <row r="448" spans="1:84" x14ac:dyDescent="0.3">
      <c r="A448" t="s">
        <v>2108</v>
      </c>
      <c r="B448" t="s">
        <v>1242</v>
      </c>
      <c r="C448" s="98">
        <v>45810</v>
      </c>
      <c r="D448">
        <v>2025</v>
      </c>
      <c r="E448">
        <v>6</v>
      </c>
      <c r="F448">
        <v>2</v>
      </c>
      <c r="G448" t="s">
        <v>1243</v>
      </c>
      <c r="H448" t="s">
        <v>130</v>
      </c>
      <c r="I448" t="s">
        <v>130</v>
      </c>
      <c r="J448" t="s">
        <v>6</v>
      </c>
      <c r="L448">
        <v>522611</v>
      </c>
      <c r="M448" s="99" t="s">
        <v>180</v>
      </c>
      <c r="N448">
        <v>3</v>
      </c>
      <c r="O448">
        <v>22</v>
      </c>
      <c r="P448">
        <v>30.4849</v>
      </c>
      <c r="Q448" t="s">
        <v>352</v>
      </c>
      <c r="R448">
        <v>1</v>
      </c>
      <c r="S448">
        <v>30.3931</v>
      </c>
      <c r="T448">
        <v>0.2374</v>
      </c>
      <c r="U448">
        <v>0.38668913226621404</v>
      </c>
      <c r="V448">
        <v>29.680900000000001</v>
      </c>
      <c r="W448">
        <v>29.918300000000002</v>
      </c>
      <c r="X448">
        <v>30.1557</v>
      </c>
      <c r="Y448">
        <v>30.630500000000001</v>
      </c>
      <c r="Z448">
        <v>30.867899999999999</v>
      </c>
      <c r="AA448">
        <v>31.1053</v>
      </c>
      <c r="AD448">
        <v>2.6301695796471778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 t="s">
        <v>462</v>
      </c>
      <c r="AL448" t="s">
        <v>6</v>
      </c>
      <c r="AM448" t="s">
        <v>1145</v>
      </c>
      <c r="AN448" t="s">
        <v>1146</v>
      </c>
      <c r="AO448" s="100">
        <v>46262.040405092594</v>
      </c>
      <c r="AP448" t="s">
        <v>1147</v>
      </c>
      <c r="AQ448" t="s">
        <v>2109</v>
      </c>
      <c r="AR448" t="s">
        <v>1245</v>
      </c>
      <c r="AS448" t="s">
        <v>1150</v>
      </c>
      <c r="AT448" t="s">
        <v>1967</v>
      </c>
      <c r="AU448">
        <v>25</v>
      </c>
      <c r="AV448">
        <v>30.337060000000001</v>
      </c>
      <c r="AW448">
        <v>0.18563368947113715</v>
      </c>
      <c r="AX448">
        <v>0.61190401927918248</v>
      </c>
      <c r="AY448">
        <v>-0.19629249469443186</v>
      </c>
      <c r="AZ448">
        <v>1.2059341265050829</v>
      </c>
      <c r="BA448">
        <v>3.977547145089571</v>
      </c>
      <c r="BB448" t="s">
        <v>4619</v>
      </c>
      <c r="BD448" s="98"/>
      <c r="BE448" s="98"/>
      <c r="BF448" t="s">
        <v>1152</v>
      </c>
      <c r="BG448" t="s">
        <v>322</v>
      </c>
      <c r="BH448" t="s">
        <v>1153</v>
      </c>
      <c r="BI448">
        <v>0.19629249469443186</v>
      </c>
      <c r="BJ448" t="s">
        <v>1032</v>
      </c>
      <c r="BK448">
        <v>1.4242354531420949</v>
      </c>
      <c r="BL448">
        <v>54.14994775101718</v>
      </c>
      <c r="BM448" t="s">
        <v>1260</v>
      </c>
      <c r="BN448" t="s">
        <v>1154</v>
      </c>
      <c r="BO448">
        <v>2025</v>
      </c>
      <c r="BP448" t="s">
        <v>966</v>
      </c>
      <c r="BQ448">
        <v>254269.32324866956</v>
      </c>
      <c r="BR448">
        <v>74.573067675133046</v>
      </c>
      <c r="BS448" t="s">
        <v>992</v>
      </c>
      <c r="BV448" t="s">
        <v>1034</v>
      </c>
      <c r="BW448" t="s">
        <v>943</v>
      </c>
      <c r="BX448" t="s">
        <v>994</v>
      </c>
      <c r="BY448">
        <v>2.1611148751268172</v>
      </c>
      <c r="BZ448" t="s">
        <v>1155</v>
      </c>
      <c r="CA448" t="s">
        <v>991</v>
      </c>
      <c r="CB448" t="b">
        <v>1</v>
      </c>
      <c r="CC448" t="b">
        <v>1</v>
      </c>
      <c r="CD448" t="b">
        <v>1</v>
      </c>
      <c r="CE448" t="b">
        <v>1</v>
      </c>
      <c r="CF448" t="b">
        <v>1</v>
      </c>
    </row>
    <row r="449" spans="1:84" x14ac:dyDescent="0.3">
      <c r="A449" t="s">
        <v>2110</v>
      </c>
      <c r="B449" t="s">
        <v>1247</v>
      </c>
      <c r="C449" s="98">
        <v>45817</v>
      </c>
      <c r="D449">
        <v>2025</v>
      </c>
      <c r="E449">
        <v>6</v>
      </c>
      <c r="F449">
        <v>2</v>
      </c>
      <c r="G449" t="s">
        <v>1243</v>
      </c>
      <c r="H449" t="s">
        <v>130</v>
      </c>
      <c r="I449" t="s">
        <v>130</v>
      </c>
      <c r="J449" t="s">
        <v>6</v>
      </c>
      <c r="L449">
        <v>522611</v>
      </c>
      <c r="M449" s="99" t="s">
        <v>180</v>
      </c>
      <c r="N449">
        <v>3</v>
      </c>
      <c r="O449">
        <v>23</v>
      </c>
      <c r="P449">
        <v>30.339099999999998</v>
      </c>
      <c r="Q449" t="s">
        <v>352</v>
      </c>
      <c r="R449">
        <v>1</v>
      </c>
      <c r="S449">
        <v>30.3931</v>
      </c>
      <c r="T449">
        <v>0.2374</v>
      </c>
      <c r="U449">
        <v>-0.22746419545072472</v>
      </c>
      <c r="V449">
        <v>29.680900000000001</v>
      </c>
      <c r="W449">
        <v>29.918300000000002</v>
      </c>
      <c r="X449">
        <v>30.1557</v>
      </c>
      <c r="Y449">
        <v>30.630500000000001</v>
      </c>
      <c r="Z449">
        <v>30.867899999999999</v>
      </c>
      <c r="AA449">
        <v>31.1053</v>
      </c>
      <c r="AD449">
        <v>2.6301695796471778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 t="s">
        <v>462</v>
      </c>
      <c r="AL449" t="s">
        <v>6</v>
      </c>
      <c r="AM449" t="s">
        <v>1145</v>
      </c>
      <c r="AN449" t="s">
        <v>1146</v>
      </c>
      <c r="AO449" s="100">
        <v>46262.040405092594</v>
      </c>
      <c r="AP449" t="s">
        <v>1147</v>
      </c>
      <c r="AQ449" t="s">
        <v>2111</v>
      </c>
      <c r="AR449" t="s">
        <v>1249</v>
      </c>
      <c r="AS449" t="s">
        <v>1150</v>
      </c>
      <c r="AT449" t="s">
        <v>1967</v>
      </c>
      <c r="AU449">
        <v>25</v>
      </c>
      <c r="AV449">
        <v>30.337060000000001</v>
      </c>
      <c r="AW449">
        <v>0.18563368947113715</v>
      </c>
      <c r="AX449">
        <v>0.61190401927918248</v>
      </c>
      <c r="AY449">
        <v>-0.19629249469443186</v>
      </c>
      <c r="AZ449">
        <v>1.2059341265050829</v>
      </c>
      <c r="BA449">
        <v>3.977547145089571</v>
      </c>
      <c r="BB449" t="s">
        <v>4619</v>
      </c>
      <c r="BD449" s="98"/>
      <c r="BE449" s="98"/>
      <c r="BF449" t="s">
        <v>1152</v>
      </c>
      <c r="BG449" t="s">
        <v>322</v>
      </c>
      <c r="BH449" t="s">
        <v>1153</v>
      </c>
      <c r="BI449">
        <v>0.19629249469443186</v>
      </c>
      <c r="BJ449" t="s">
        <v>1032</v>
      </c>
      <c r="BK449">
        <v>1.4242354531420949</v>
      </c>
      <c r="BL449">
        <v>54.14994775101718</v>
      </c>
      <c r="BM449" t="s">
        <v>1260</v>
      </c>
      <c r="BN449" t="s">
        <v>1154</v>
      </c>
      <c r="BO449">
        <v>2025</v>
      </c>
      <c r="BP449" t="s">
        <v>966</v>
      </c>
      <c r="BQ449">
        <v>254269.32324866956</v>
      </c>
      <c r="BR449">
        <v>74.573067675133046</v>
      </c>
      <c r="BS449" t="s">
        <v>992</v>
      </c>
      <c r="BV449" t="s">
        <v>1034</v>
      </c>
      <c r="BW449" t="s">
        <v>943</v>
      </c>
      <c r="BX449" t="s">
        <v>994</v>
      </c>
      <c r="BY449">
        <v>2.1611148751268172</v>
      </c>
      <c r="BZ449" t="s">
        <v>1155</v>
      </c>
      <c r="CA449" t="s">
        <v>991</v>
      </c>
      <c r="CB449" t="b">
        <v>1</v>
      </c>
      <c r="CC449" t="b">
        <v>1</v>
      </c>
      <c r="CD449" t="b">
        <v>1</v>
      </c>
      <c r="CE449" t="b">
        <v>1</v>
      </c>
      <c r="CF449" t="b">
        <v>1</v>
      </c>
    </row>
    <row r="450" spans="1:84" x14ac:dyDescent="0.3">
      <c r="A450" t="s">
        <v>2112</v>
      </c>
      <c r="B450" t="s">
        <v>1251</v>
      </c>
      <c r="C450" s="98">
        <v>45824</v>
      </c>
      <c r="D450">
        <v>2025</v>
      </c>
      <c r="E450">
        <v>6</v>
      </c>
      <c r="F450">
        <v>2</v>
      </c>
      <c r="G450" t="s">
        <v>1243</v>
      </c>
      <c r="H450" t="s">
        <v>130</v>
      </c>
      <c r="I450" t="s">
        <v>130</v>
      </c>
      <c r="J450" t="s">
        <v>6</v>
      </c>
      <c r="L450">
        <v>522611</v>
      </c>
      <c r="M450" s="99" t="s">
        <v>180</v>
      </c>
      <c r="N450">
        <v>3</v>
      </c>
      <c r="O450">
        <v>24</v>
      </c>
      <c r="P450">
        <v>30.214099999999998</v>
      </c>
      <c r="Q450" t="s">
        <v>352</v>
      </c>
      <c r="R450">
        <v>1</v>
      </c>
      <c r="S450">
        <v>30.3931</v>
      </c>
      <c r="T450">
        <v>0.2374</v>
      </c>
      <c r="U450">
        <v>-0.75400168491997488</v>
      </c>
      <c r="V450">
        <v>29.680900000000001</v>
      </c>
      <c r="W450">
        <v>29.918300000000002</v>
      </c>
      <c r="X450">
        <v>30.1557</v>
      </c>
      <c r="Y450">
        <v>30.630500000000001</v>
      </c>
      <c r="Z450">
        <v>30.867899999999999</v>
      </c>
      <c r="AA450">
        <v>31.1053</v>
      </c>
      <c r="AD450">
        <v>2.6301695796471778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 t="s">
        <v>462</v>
      </c>
      <c r="AL450" t="s">
        <v>6</v>
      </c>
      <c r="AM450" t="s">
        <v>1145</v>
      </c>
      <c r="AN450" t="s">
        <v>1146</v>
      </c>
      <c r="AO450" s="100">
        <v>46262.040405092594</v>
      </c>
      <c r="AP450" t="s">
        <v>1147</v>
      </c>
      <c r="AQ450" t="s">
        <v>2113</v>
      </c>
      <c r="AR450" t="s">
        <v>1253</v>
      </c>
      <c r="AS450" t="s">
        <v>1150</v>
      </c>
      <c r="AT450" t="s">
        <v>1967</v>
      </c>
      <c r="AU450">
        <v>25</v>
      </c>
      <c r="AV450">
        <v>30.337060000000001</v>
      </c>
      <c r="AW450">
        <v>0.18563368947113715</v>
      </c>
      <c r="AX450">
        <v>0.61190401927918248</v>
      </c>
      <c r="AY450">
        <v>-0.19629249469443186</v>
      </c>
      <c r="AZ450">
        <v>1.2059341265050829</v>
      </c>
      <c r="BA450">
        <v>3.977547145089571</v>
      </c>
      <c r="BB450" t="s">
        <v>4619</v>
      </c>
      <c r="BD450" s="98"/>
      <c r="BE450" s="98"/>
      <c r="BF450" t="s">
        <v>1152</v>
      </c>
      <c r="BG450" t="s">
        <v>322</v>
      </c>
      <c r="BH450" t="s">
        <v>1153</v>
      </c>
      <c r="BI450">
        <v>0.19629249469443186</v>
      </c>
      <c r="BJ450" t="s">
        <v>1032</v>
      </c>
      <c r="BK450">
        <v>1.4242354531420949</v>
      </c>
      <c r="BL450">
        <v>54.14994775101718</v>
      </c>
      <c r="BM450" t="s">
        <v>1260</v>
      </c>
      <c r="BN450" t="s">
        <v>1154</v>
      </c>
      <c r="BO450">
        <v>2025</v>
      </c>
      <c r="BP450" t="s">
        <v>966</v>
      </c>
      <c r="BQ450">
        <v>254269.32324866956</v>
      </c>
      <c r="BR450">
        <v>74.573067675133046</v>
      </c>
      <c r="BS450" t="s">
        <v>992</v>
      </c>
      <c r="BV450" t="s">
        <v>1034</v>
      </c>
      <c r="BW450" t="s">
        <v>943</v>
      </c>
      <c r="BX450" t="s">
        <v>994</v>
      </c>
      <c r="BY450">
        <v>2.1611148751268172</v>
      </c>
      <c r="BZ450" t="s">
        <v>1155</v>
      </c>
      <c r="CA450" t="s">
        <v>991</v>
      </c>
      <c r="CB450" t="b">
        <v>1</v>
      </c>
      <c r="CC450" t="b">
        <v>1</v>
      </c>
      <c r="CD450" t="b">
        <v>1</v>
      </c>
      <c r="CE450" t="b">
        <v>1</v>
      </c>
      <c r="CF450" t="b">
        <v>1</v>
      </c>
    </row>
    <row r="451" spans="1:84" x14ac:dyDescent="0.3">
      <c r="A451" t="s">
        <v>2114</v>
      </c>
      <c r="B451" t="s">
        <v>1255</v>
      </c>
      <c r="C451" s="98">
        <v>45831</v>
      </c>
      <c r="D451">
        <v>2025</v>
      </c>
      <c r="E451">
        <v>6</v>
      </c>
      <c r="F451">
        <v>2</v>
      </c>
      <c r="G451" t="s">
        <v>1243</v>
      </c>
      <c r="H451" t="s">
        <v>130</v>
      </c>
      <c r="I451" t="s">
        <v>130</v>
      </c>
      <c r="J451" t="s">
        <v>6</v>
      </c>
      <c r="L451">
        <v>522611</v>
      </c>
      <c r="M451" s="99" t="s">
        <v>180</v>
      </c>
      <c r="N451">
        <v>3</v>
      </c>
      <c r="O451">
        <v>25</v>
      </c>
      <c r="P451">
        <v>30.532599999999999</v>
      </c>
      <c r="Q451" t="s">
        <v>352</v>
      </c>
      <c r="R451">
        <v>1</v>
      </c>
      <c r="S451">
        <v>30.3931</v>
      </c>
      <c r="T451">
        <v>0.2374</v>
      </c>
      <c r="U451">
        <v>0.5876158382476756</v>
      </c>
      <c r="V451">
        <v>29.680900000000001</v>
      </c>
      <c r="W451">
        <v>29.918300000000002</v>
      </c>
      <c r="X451">
        <v>30.1557</v>
      </c>
      <c r="Y451">
        <v>30.630500000000001</v>
      </c>
      <c r="Z451">
        <v>30.867899999999999</v>
      </c>
      <c r="AA451">
        <v>31.1053</v>
      </c>
      <c r="AD451">
        <v>2.6301695796471778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 t="s">
        <v>462</v>
      </c>
      <c r="AL451" t="s">
        <v>6</v>
      </c>
      <c r="AM451" t="s">
        <v>1145</v>
      </c>
      <c r="AN451" t="s">
        <v>1146</v>
      </c>
      <c r="AO451" s="100">
        <v>46262.040405092594</v>
      </c>
      <c r="AP451" t="s">
        <v>1147</v>
      </c>
      <c r="AQ451" t="s">
        <v>2115</v>
      </c>
      <c r="AR451" t="s">
        <v>1257</v>
      </c>
      <c r="AS451" t="s">
        <v>1150</v>
      </c>
      <c r="AT451" t="s">
        <v>1967</v>
      </c>
      <c r="AU451">
        <v>25</v>
      </c>
      <c r="AV451">
        <v>30.337060000000001</v>
      </c>
      <c r="AW451">
        <v>0.18563368947113715</v>
      </c>
      <c r="AX451">
        <v>0.61190401927918248</v>
      </c>
      <c r="AY451">
        <v>-0.19629249469443186</v>
      </c>
      <c r="AZ451">
        <v>1.2059341265050829</v>
      </c>
      <c r="BA451">
        <v>3.977547145089571</v>
      </c>
      <c r="BB451" t="s">
        <v>4619</v>
      </c>
      <c r="BD451" s="98"/>
      <c r="BE451" s="98"/>
      <c r="BF451" t="s">
        <v>1152</v>
      </c>
      <c r="BG451" t="s">
        <v>322</v>
      </c>
      <c r="BH451" t="s">
        <v>1153</v>
      </c>
      <c r="BI451">
        <v>0.19629249469443186</v>
      </c>
      <c r="BJ451" t="s">
        <v>1032</v>
      </c>
      <c r="BK451">
        <v>1.4242354531420949</v>
      </c>
      <c r="BL451">
        <v>54.14994775101718</v>
      </c>
      <c r="BM451" t="s">
        <v>1260</v>
      </c>
      <c r="BN451" t="s">
        <v>1154</v>
      </c>
      <c r="BO451">
        <v>2025</v>
      </c>
      <c r="BP451" t="s">
        <v>966</v>
      </c>
      <c r="BQ451">
        <v>254269.32324866956</v>
      </c>
      <c r="BR451">
        <v>74.573067675133046</v>
      </c>
      <c r="BS451" t="s">
        <v>992</v>
      </c>
      <c r="BV451" t="s">
        <v>1034</v>
      </c>
      <c r="BW451" t="s">
        <v>943</v>
      </c>
      <c r="BX451" t="s">
        <v>994</v>
      </c>
      <c r="BY451">
        <v>2.1611148751268172</v>
      </c>
      <c r="BZ451" t="s">
        <v>1155</v>
      </c>
      <c r="CA451" t="s">
        <v>991</v>
      </c>
      <c r="CB451" t="b">
        <v>1</v>
      </c>
      <c r="CC451" t="b">
        <v>1</v>
      </c>
      <c r="CD451" t="b">
        <v>1</v>
      </c>
      <c r="CE451" t="b">
        <v>1</v>
      </c>
      <c r="CF451" t="b">
        <v>1</v>
      </c>
    </row>
    <row r="452" spans="1:84" x14ac:dyDescent="0.3">
      <c r="A452" t="s">
        <v>2116</v>
      </c>
      <c r="B452" t="s">
        <v>1143</v>
      </c>
      <c r="C452" s="98">
        <v>45663</v>
      </c>
      <c r="D452">
        <v>2025</v>
      </c>
      <c r="E452">
        <v>1</v>
      </c>
      <c r="F452">
        <v>1</v>
      </c>
      <c r="G452" t="s">
        <v>1144</v>
      </c>
      <c r="H452" t="s">
        <v>131</v>
      </c>
      <c r="I452" t="s">
        <v>131</v>
      </c>
      <c r="J452" t="s">
        <v>6</v>
      </c>
      <c r="L452">
        <v>522611</v>
      </c>
      <c r="M452" s="99" t="s">
        <v>178</v>
      </c>
      <c r="N452">
        <v>1</v>
      </c>
      <c r="O452">
        <v>1</v>
      </c>
      <c r="P452">
        <v>32.927599999999998</v>
      </c>
      <c r="Q452" t="s">
        <v>352</v>
      </c>
      <c r="R452">
        <v>1</v>
      </c>
      <c r="S452">
        <v>33.017200000000003</v>
      </c>
      <c r="T452">
        <v>0.57820000000000005</v>
      </c>
      <c r="U452">
        <v>-0.1549636803874167</v>
      </c>
      <c r="V452">
        <v>31.282600000000002</v>
      </c>
      <c r="W452">
        <v>31.860800000000001</v>
      </c>
      <c r="X452">
        <v>32.439</v>
      </c>
      <c r="Y452">
        <v>33.595400000000005</v>
      </c>
      <c r="Z452">
        <v>34.1736</v>
      </c>
      <c r="AA452">
        <v>34.751800000000003</v>
      </c>
      <c r="AD452">
        <v>1.7378743866409962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 t="s">
        <v>462</v>
      </c>
      <c r="AL452" t="s">
        <v>6</v>
      </c>
      <c r="AM452" t="s">
        <v>1145</v>
      </c>
      <c r="AN452" t="s">
        <v>1146</v>
      </c>
      <c r="AO452" s="100">
        <v>46262.040405092594</v>
      </c>
      <c r="AP452" t="s">
        <v>1147</v>
      </c>
      <c r="AQ452" t="s">
        <v>2117</v>
      </c>
      <c r="AR452" t="s">
        <v>1149</v>
      </c>
      <c r="AS452" t="s">
        <v>1150</v>
      </c>
      <c r="AT452" t="s">
        <v>2118</v>
      </c>
      <c r="AU452">
        <v>25</v>
      </c>
      <c r="AV452">
        <v>32.808888000000003</v>
      </c>
      <c r="AW452">
        <v>0.48486925498873695</v>
      </c>
      <c r="AX452">
        <v>1.4778594598778749</v>
      </c>
      <c r="AY452">
        <v>0.98520808149391026</v>
      </c>
      <c r="AZ452">
        <v>3.4236761902924036</v>
      </c>
      <c r="BA452">
        <v>0.50929491306926011</v>
      </c>
      <c r="BB452" t="s">
        <v>4619</v>
      </c>
      <c r="BD452" s="98"/>
      <c r="BE452" s="98"/>
      <c r="BF452" t="s">
        <v>1152</v>
      </c>
      <c r="BG452" t="s">
        <v>322</v>
      </c>
      <c r="BH452" t="s">
        <v>1153</v>
      </c>
      <c r="BI452">
        <v>0.98520808149391026</v>
      </c>
      <c r="BJ452" t="s">
        <v>991</v>
      </c>
      <c r="BK452">
        <v>-1.6858018036514073</v>
      </c>
      <c r="BL452">
        <v>-97.003662440170032</v>
      </c>
      <c r="BM452" t="s">
        <v>1021</v>
      </c>
      <c r="BN452" t="s">
        <v>1154</v>
      </c>
      <c r="BO452">
        <v>2025</v>
      </c>
      <c r="BP452" t="s">
        <v>966</v>
      </c>
      <c r="BQ452">
        <v>839085.19678976806</v>
      </c>
      <c r="BR452">
        <v>16.091480321023194</v>
      </c>
      <c r="BS452" t="s">
        <v>992</v>
      </c>
      <c r="BV452" t="s">
        <v>1034</v>
      </c>
      <c r="BW452" t="s">
        <v>943</v>
      </c>
      <c r="BX452" t="s">
        <v>994</v>
      </c>
      <c r="BY452">
        <v>0.50929491306926011</v>
      </c>
      <c r="BZ452" t="s">
        <v>1155</v>
      </c>
      <c r="CA452" t="s">
        <v>991</v>
      </c>
      <c r="CB452" t="b">
        <v>1</v>
      </c>
      <c r="CC452" t="b">
        <v>1</v>
      </c>
      <c r="CD452" t="b">
        <v>1</v>
      </c>
      <c r="CE452" t="b">
        <v>1</v>
      </c>
      <c r="CF452" t="b">
        <v>1</v>
      </c>
    </row>
    <row r="453" spans="1:84" x14ac:dyDescent="0.3">
      <c r="A453" t="s">
        <v>2119</v>
      </c>
      <c r="B453" t="s">
        <v>1157</v>
      </c>
      <c r="C453" s="98">
        <v>45670</v>
      </c>
      <c r="D453">
        <v>2025</v>
      </c>
      <c r="E453">
        <v>1</v>
      </c>
      <c r="F453">
        <v>1</v>
      </c>
      <c r="G453" t="s">
        <v>1144</v>
      </c>
      <c r="H453" t="s">
        <v>131</v>
      </c>
      <c r="I453" t="s">
        <v>131</v>
      </c>
      <c r="J453" t="s">
        <v>6</v>
      </c>
      <c r="L453">
        <v>522611</v>
      </c>
      <c r="M453" s="99" t="s">
        <v>178</v>
      </c>
      <c r="N453">
        <v>1</v>
      </c>
      <c r="O453">
        <v>2</v>
      </c>
      <c r="P453">
        <v>33.366</v>
      </c>
      <c r="Q453" t="s">
        <v>352</v>
      </c>
      <c r="R453">
        <v>1</v>
      </c>
      <c r="S453">
        <v>33.017200000000003</v>
      </c>
      <c r="T453">
        <v>0.57820000000000005</v>
      </c>
      <c r="U453">
        <v>0.60325147007955215</v>
      </c>
      <c r="V453">
        <v>31.282600000000002</v>
      </c>
      <c r="W453">
        <v>31.860800000000001</v>
      </c>
      <c r="X453">
        <v>32.439</v>
      </c>
      <c r="Y453">
        <v>33.595400000000005</v>
      </c>
      <c r="Z453">
        <v>34.1736</v>
      </c>
      <c r="AA453">
        <v>34.751800000000003</v>
      </c>
      <c r="AD453">
        <v>1.7378743866409962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 t="s">
        <v>462</v>
      </c>
      <c r="AL453" t="s">
        <v>6</v>
      </c>
      <c r="AM453" t="s">
        <v>1145</v>
      </c>
      <c r="AN453" t="s">
        <v>1146</v>
      </c>
      <c r="AO453" s="100">
        <v>46262.040405092594</v>
      </c>
      <c r="AP453" t="s">
        <v>1147</v>
      </c>
      <c r="AQ453" t="s">
        <v>2120</v>
      </c>
      <c r="AR453" t="s">
        <v>1159</v>
      </c>
      <c r="AS453" t="s">
        <v>1150</v>
      </c>
      <c r="AT453" t="s">
        <v>2118</v>
      </c>
      <c r="AU453">
        <v>25</v>
      </c>
      <c r="AV453">
        <v>32.808888000000003</v>
      </c>
      <c r="AW453">
        <v>0.48486925498873695</v>
      </c>
      <c r="AX453">
        <v>1.4778594598778749</v>
      </c>
      <c r="AY453">
        <v>0.98520808149391026</v>
      </c>
      <c r="AZ453">
        <v>3.4236761902924036</v>
      </c>
      <c r="BA453">
        <v>0.50929491306926011</v>
      </c>
      <c r="BB453" t="s">
        <v>4619</v>
      </c>
      <c r="BD453" s="98"/>
      <c r="BE453" s="98"/>
      <c r="BF453" t="s">
        <v>1152</v>
      </c>
      <c r="BG453" t="s">
        <v>322</v>
      </c>
      <c r="BH453" t="s">
        <v>1153</v>
      </c>
      <c r="BI453">
        <v>0.98520808149391026</v>
      </c>
      <c r="BJ453" t="s">
        <v>991</v>
      </c>
      <c r="BK453">
        <v>-1.6858018036514073</v>
      </c>
      <c r="BL453">
        <v>-97.003662440170032</v>
      </c>
      <c r="BM453" t="s">
        <v>1021</v>
      </c>
      <c r="BN453" t="s">
        <v>1154</v>
      </c>
      <c r="BO453">
        <v>2025</v>
      </c>
      <c r="BP453" t="s">
        <v>966</v>
      </c>
      <c r="BQ453">
        <v>839085.19678976806</v>
      </c>
      <c r="BR453">
        <v>16.091480321023194</v>
      </c>
      <c r="BS453" t="s">
        <v>992</v>
      </c>
      <c r="BV453" t="s">
        <v>1034</v>
      </c>
      <c r="BW453" t="s">
        <v>943</v>
      </c>
      <c r="BX453" t="s">
        <v>994</v>
      </c>
      <c r="BY453">
        <v>0.50929491306926011</v>
      </c>
      <c r="BZ453" t="s">
        <v>1155</v>
      </c>
      <c r="CA453" t="s">
        <v>991</v>
      </c>
      <c r="CB453" t="b">
        <v>1</v>
      </c>
      <c r="CC453" t="b">
        <v>1</v>
      </c>
      <c r="CD453" t="b">
        <v>1</v>
      </c>
      <c r="CE453" t="b">
        <v>1</v>
      </c>
      <c r="CF453" t="b">
        <v>1</v>
      </c>
    </row>
    <row r="454" spans="1:84" x14ac:dyDescent="0.3">
      <c r="A454" t="s">
        <v>2121</v>
      </c>
      <c r="B454" t="s">
        <v>1161</v>
      </c>
      <c r="C454" s="98">
        <v>45677</v>
      </c>
      <c r="D454">
        <v>2025</v>
      </c>
      <c r="E454">
        <v>1</v>
      </c>
      <c r="F454">
        <v>1</v>
      </c>
      <c r="G454" t="s">
        <v>1144</v>
      </c>
      <c r="H454" t="s">
        <v>131</v>
      </c>
      <c r="I454" t="s">
        <v>131</v>
      </c>
      <c r="J454" t="s">
        <v>6</v>
      </c>
      <c r="L454">
        <v>522611</v>
      </c>
      <c r="M454" s="99" t="s">
        <v>178</v>
      </c>
      <c r="N454">
        <v>1</v>
      </c>
      <c r="O454">
        <v>3</v>
      </c>
      <c r="P454">
        <v>32.989899999999999</v>
      </c>
      <c r="Q454" t="s">
        <v>352</v>
      </c>
      <c r="R454">
        <v>1</v>
      </c>
      <c r="S454">
        <v>33.017200000000003</v>
      </c>
      <c r="T454">
        <v>0.57820000000000005</v>
      </c>
      <c r="U454">
        <v>-4.7215496368045444E-2</v>
      </c>
      <c r="V454">
        <v>31.282600000000002</v>
      </c>
      <c r="W454">
        <v>31.860800000000001</v>
      </c>
      <c r="X454">
        <v>32.439</v>
      </c>
      <c r="Y454">
        <v>33.595400000000005</v>
      </c>
      <c r="Z454">
        <v>34.1736</v>
      </c>
      <c r="AA454">
        <v>34.751800000000003</v>
      </c>
      <c r="AD454">
        <v>1.7378743866409962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 t="s">
        <v>462</v>
      </c>
      <c r="AL454" t="s">
        <v>6</v>
      </c>
      <c r="AM454" t="s">
        <v>1145</v>
      </c>
      <c r="AN454" t="s">
        <v>1146</v>
      </c>
      <c r="AO454" s="100">
        <v>46262.040405092594</v>
      </c>
      <c r="AP454" t="s">
        <v>1147</v>
      </c>
      <c r="AQ454" t="s">
        <v>2122</v>
      </c>
      <c r="AR454" t="s">
        <v>1163</v>
      </c>
      <c r="AS454" t="s">
        <v>1150</v>
      </c>
      <c r="AT454" t="s">
        <v>2118</v>
      </c>
      <c r="AU454">
        <v>25</v>
      </c>
      <c r="AV454">
        <v>32.808888000000003</v>
      </c>
      <c r="AW454">
        <v>0.48486925498873695</v>
      </c>
      <c r="AX454">
        <v>1.4778594598778749</v>
      </c>
      <c r="AY454">
        <v>0.98520808149391026</v>
      </c>
      <c r="AZ454">
        <v>3.4236761902924036</v>
      </c>
      <c r="BA454">
        <v>0.50929491306926011</v>
      </c>
      <c r="BB454" t="s">
        <v>4619</v>
      </c>
      <c r="BD454" s="98"/>
      <c r="BE454" s="98"/>
      <c r="BF454" t="s">
        <v>1152</v>
      </c>
      <c r="BG454" t="s">
        <v>322</v>
      </c>
      <c r="BH454" t="s">
        <v>1153</v>
      </c>
      <c r="BI454">
        <v>0.98520808149391026</v>
      </c>
      <c r="BJ454" t="s">
        <v>991</v>
      </c>
      <c r="BK454">
        <v>-1.6858018036514073</v>
      </c>
      <c r="BL454">
        <v>-97.003662440170032</v>
      </c>
      <c r="BM454" t="s">
        <v>1021</v>
      </c>
      <c r="BN454" t="s">
        <v>1154</v>
      </c>
      <c r="BO454">
        <v>2025</v>
      </c>
      <c r="BP454" t="s">
        <v>966</v>
      </c>
      <c r="BQ454">
        <v>839085.19678976806</v>
      </c>
      <c r="BR454">
        <v>16.091480321023194</v>
      </c>
      <c r="BS454" t="s">
        <v>992</v>
      </c>
      <c r="BV454" t="s">
        <v>1034</v>
      </c>
      <c r="BW454" t="s">
        <v>943</v>
      </c>
      <c r="BX454" t="s">
        <v>994</v>
      </c>
      <c r="BY454">
        <v>0.50929491306926011</v>
      </c>
      <c r="BZ454" t="s">
        <v>1155</v>
      </c>
      <c r="CA454" t="s">
        <v>991</v>
      </c>
      <c r="CB454" t="b">
        <v>1</v>
      </c>
      <c r="CC454" t="b">
        <v>1</v>
      </c>
      <c r="CD454" t="b">
        <v>1</v>
      </c>
      <c r="CE454" t="b">
        <v>1</v>
      </c>
      <c r="CF454" t="b">
        <v>1</v>
      </c>
    </row>
    <row r="455" spans="1:84" x14ac:dyDescent="0.3">
      <c r="A455" t="s">
        <v>2123</v>
      </c>
      <c r="B455" t="s">
        <v>1165</v>
      </c>
      <c r="C455" s="98">
        <v>45684</v>
      </c>
      <c r="D455">
        <v>2025</v>
      </c>
      <c r="E455">
        <v>1</v>
      </c>
      <c r="F455">
        <v>1</v>
      </c>
      <c r="G455" t="s">
        <v>1144</v>
      </c>
      <c r="H455" t="s">
        <v>131</v>
      </c>
      <c r="I455" t="s">
        <v>131</v>
      </c>
      <c r="J455" t="s">
        <v>6</v>
      </c>
      <c r="L455">
        <v>522611</v>
      </c>
      <c r="M455" s="99" t="s">
        <v>178</v>
      </c>
      <c r="N455">
        <v>1</v>
      </c>
      <c r="O455">
        <v>4</v>
      </c>
      <c r="P455">
        <v>32.389400000000002</v>
      </c>
      <c r="Q455" t="s">
        <v>352</v>
      </c>
      <c r="R455">
        <v>1</v>
      </c>
      <c r="S455">
        <v>33.017200000000003</v>
      </c>
      <c r="T455">
        <v>0.57820000000000005</v>
      </c>
      <c r="U455">
        <v>-1.0857834659287453</v>
      </c>
      <c r="V455">
        <v>31.282600000000002</v>
      </c>
      <c r="W455">
        <v>31.860800000000001</v>
      </c>
      <c r="X455">
        <v>32.439</v>
      </c>
      <c r="Y455">
        <v>33.595400000000005</v>
      </c>
      <c r="Z455">
        <v>34.1736</v>
      </c>
      <c r="AA455">
        <v>34.751800000000003</v>
      </c>
      <c r="AD455">
        <v>1.7378743866409962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 t="s">
        <v>462</v>
      </c>
      <c r="AL455" t="s">
        <v>6</v>
      </c>
      <c r="AM455" t="s">
        <v>1145</v>
      </c>
      <c r="AN455" t="s">
        <v>1146</v>
      </c>
      <c r="AO455" s="100">
        <v>46262.040405092594</v>
      </c>
      <c r="AP455" t="s">
        <v>1147</v>
      </c>
      <c r="AQ455" t="s">
        <v>2124</v>
      </c>
      <c r="AR455" t="s">
        <v>1167</v>
      </c>
      <c r="AS455" t="s">
        <v>1150</v>
      </c>
      <c r="AT455" t="s">
        <v>2118</v>
      </c>
      <c r="AU455">
        <v>25</v>
      </c>
      <c r="AV455">
        <v>32.808888000000003</v>
      </c>
      <c r="AW455">
        <v>0.48486925498873695</v>
      </c>
      <c r="AX455">
        <v>1.4778594598778749</v>
      </c>
      <c r="AY455">
        <v>0.98520808149391026</v>
      </c>
      <c r="AZ455">
        <v>3.4236761902924036</v>
      </c>
      <c r="BA455">
        <v>0.50929491306926011</v>
      </c>
      <c r="BB455" t="s">
        <v>4619</v>
      </c>
      <c r="BD455" s="98"/>
      <c r="BE455" s="98"/>
      <c r="BF455" t="s">
        <v>1152</v>
      </c>
      <c r="BG455" t="s">
        <v>322</v>
      </c>
      <c r="BH455" t="s">
        <v>1153</v>
      </c>
      <c r="BI455">
        <v>0.98520808149391026</v>
      </c>
      <c r="BJ455" t="s">
        <v>991</v>
      </c>
      <c r="BK455">
        <v>-1.6858018036514073</v>
      </c>
      <c r="BL455">
        <v>-97.003662440170032</v>
      </c>
      <c r="BM455" t="s">
        <v>1021</v>
      </c>
      <c r="BN455" t="s">
        <v>1154</v>
      </c>
      <c r="BO455">
        <v>2025</v>
      </c>
      <c r="BP455" t="s">
        <v>966</v>
      </c>
      <c r="BQ455">
        <v>839085.19678976806</v>
      </c>
      <c r="BR455">
        <v>16.091480321023194</v>
      </c>
      <c r="BS455" t="s">
        <v>992</v>
      </c>
      <c r="BV455" t="s">
        <v>1034</v>
      </c>
      <c r="BW455" t="s">
        <v>943</v>
      </c>
      <c r="BX455" t="s">
        <v>994</v>
      </c>
      <c r="BY455">
        <v>0.50929491306926011</v>
      </c>
      <c r="BZ455" t="s">
        <v>1155</v>
      </c>
      <c r="CA455" t="s">
        <v>991</v>
      </c>
      <c r="CB455" t="b">
        <v>1</v>
      </c>
      <c r="CC455" t="b">
        <v>1</v>
      </c>
      <c r="CD455" t="b">
        <v>1</v>
      </c>
      <c r="CE455" t="b">
        <v>1</v>
      </c>
      <c r="CF455" t="b">
        <v>1</v>
      </c>
    </row>
    <row r="456" spans="1:84" x14ac:dyDescent="0.3">
      <c r="A456" t="s">
        <v>2125</v>
      </c>
      <c r="B456" t="s">
        <v>1169</v>
      </c>
      <c r="C456" s="98">
        <v>45691</v>
      </c>
      <c r="D456">
        <v>2025</v>
      </c>
      <c r="E456">
        <v>2</v>
      </c>
      <c r="F456">
        <v>1</v>
      </c>
      <c r="G456" t="s">
        <v>1170</v>
      </c>
      <c r="H456" t="s">
        <v>131</v>
      </c>
      <c r="I456" t="s">
        <v>131</v>
      </c>
      <c r="J456" t="s">
        <v>6</v>
      </c>
      <c r="L456">
        <v>522611</v>
      </c>
      <c r="M456" s="99" t="s">
        <v>178</v>
      </c>
      <c r="N456">
        <v>1</v>
      </c>
      <c r="O456">
        <v>5</v>
      </c>
      <c r="P456">
        <v>32.958199999999998</v>
      </c>
      <c r="Q456" t="s">
        <v>352</v>
      </c>
      <c r="R456">
        <v>1</v>
      </c>
      <c r="S456">
        <v>33.017200000000003</v>
      </c>
      <c r="T456">
        <v>0.57820000000000005</v>
      </c>
      <c r="U456">
        <v>-0.10204081632653857</v>
      </c>
      <c r="V456">
        <v>31.282600000000002</v>
      </c>
      <c r="W456">
        <v>31.860800000000001</v>
      </c>
      <c r="X456">
        <v>32.439</v>
      </c>
      <c r="Y456">
        <v>33.595400000000005</v>
      </c>
      <c r="Z456">
        <v>34.1736</v>
      </c>
      <c r="AA456">
        <v>34.751800000000003</v>
      </c>
      <c r="AD456">
        <v>1.7378743866409962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 t="s">
        <v>462</v>
      </c>
      <c r="AL456" t="s">
        <v>6</v>
      </c>
      <c r="AM456" t="s">
        <v>1145</v>
      </c>
      <c r="AN456" t="s">
        <v>1146</v>
      </c>
      <c r="AO456" s="100">
        <v>46262.040405092594</v>
      </c>
      <c r="AP456" t="s">
        <v>1147</v>
      </c>
      <c r="AQ456" t="s">
        <v>2126</v>
      </c>
      <c r="AR456" t="s">
        <v>1172</v>
      </c>
      <c r="AS456" t="s">
        <v>1150</v>
      </c>
      <c r="AT456" t="s">
        <v>2118</v>
      </c>
      <c r="AU456">
        <v>25</v>
      </c>
      <c r="AV456">
        <v>32.808888000000003</v>
      </c>
      <c r="AW456">
        <v>0.48486925498873695</v>
      </c>
      <c r="AX456">
        <v>1.4778594598778749</v>
      </c>
      <c r="AY456">
        <v>0.98520808149391026</v>
      </c>
      <c r="AZ456">
        <v>3.4236761902924036</v>
      </c>
      <c r="BA456">
        <v>0.50929491306926011</v>
      </c>
      <c r="BB456" t="s">
        <v>4619</v>
      </c>
      <c r="BD456" s="98"/>
      <c r="BE456" s="98"/>
      <c r="BF456" t="s">
        <v>1152</v>
      </c>
      <c r="BG456" t="s">
        <v>322</v>
      </c>
      <c r="BH456" t="s">
        <v>1153</v>
      </c>
      <c r="BI456">
        <v>0.98520808149391026</v>
      </c>
      <c r="BJ456" t="s">
        <v>991</v>
      </c>
      <c r="BK456">
        <v>-1.6858018036514073</v>
      </c>
      <c r="BL456">
        <v>-97.003662440170032</v>
      </c>
      <c r="BM456" t="s">
        <v>1021</v>
      </c>
      <c r="BN456" t="s">
        <v>1154</v>
      </c>
      <c r="BO456">
        <v>2025</v>
      </c>
      <c r="BP456" t="s">
        <v>966</v>
      </c>
      <c r="BQ456">
        <v>839085.19678976806</v>
      </c>
      <c r="BR456">
        <v>16.091480321023194</v>
      </c>
      <c r="BS456" t="s">
        <v>992</v>
      </c>
      <c r="BV456" t="s">
        <v>1034</v>
      </c>
      <c r="BW456" t="s">
        <v>943</v>
      </c>
      <c r="BX456" t="s">
        <v>994</v>
      </c>
      <c r="BY456">
        <v>0.50929491306926011</v>
      </c>
      <c r="BZ456" t="s">
        <v>1155</v>
      </c>
      <c r="CA456" t="s">
        <v>991</v>
      </c>
      <c r="CB456" t="b">
        <v>1</v>
      </c>
      <c r="CC456" t="b">
        <v>1</v>
      </c>
      <c r="CD456" t="b">
        <v>1</v>
      </c>
      <c r="CE456" t="b">
        <v>1</v>
      </c>
      <c r="CF456" t="b">
        <v>1</v>
      </c>
    </row>
    <row r="457" spans="1:84" x14ac:dyDescent="0.3">
      <c r="A457" t="s">
        <v>2127</v>
      </c>
      <c r="B457" t="s">
        <v>1174</v>
      </c>
      <c r="C457" s="98">
        <v>45698</v>
      </c>
      <c r="D457">
        <v>2025</v>
      </c>
      <c r="E457">
        <v>2</v>
      </c>
      <c r="F457">
        <v>1</v>
      </c>
      <c r="G457" t="s">
        <v>1170</v>
      </c>
      <c r="H457" t="s">
        <v>131</v>
      </c>
      <c r="I457" t="s">
        <v>131</v>
      </c>
      <c r="J457" t="s">
        <v>6</v>
      </c>
      <c r="L457">
        <v>522611</v>
      </c>
      <c r="M457" s="99" t="s">
        <v>178</v>
      </c>
      <c r="N457">
        <v>1</v>
      </c>
      <c r="O457">
        <v>6</v>
      </c>
      <c r="P457">
        <v>33.0473</v>
      </c>
      <c r="Q457" t="s">
        <v>352</v>
      </c>
      <c r="R457">
        <v>1</v>
      </c>
      <c r="S457">
        <v>33.017200000000003</v>
      </c>
      <c r="T457">
        <v>0.57820000000000005</v>
      </c>
      <c r="U457">
        <v>5.2058111380140694E-2</v>
      </c>
      <c r="V457">
        <v>31.282600000000002</v>
      </c>
      <c r="W457">
        <v>31.860800000000001</v>
      </c>
      <c r="X457">
        <v>32.439</v>
      </c>
      <c r="Y457">
        <v>33.595400000000005</v>
      </c>
      <c r="Z457">
        <v>34.1736</v>
      </c>
      <c r="AA457">
        <v>34.751800000000003</v>
      </c>
      <c r="AD457">
        <v>1.7378743866409962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 t="s">
        <v>462</v>
      </c>
      <c r="AL457" t="s">
        <v>6</v>
      </c>
      <c r="AM457" t="s">
        <v>1145</v>
      </c>
      <c r="AN457" t="s">
        <v>1146</v>
      </c>
      <c r="AO457" s="100">
        <v>46262.040405092594</v>
      </c>
      <c r="AP457" t="s">
        <v>1147</v>
      </c>
      <c r="AQ457" t="s">
        <v>2128</v>
      </c>
      <c r="AR457" t="s">
        <v>1176</v>
      </c>
      <c r="AS457" t="s">
        <v>1150</v>
      </c>
      <c r="AT457" t="s">
        <v>2118</v>
      </c>
      <c r="AU457">
        <v>25</v>
      </c>
      <c r="AV457">
        <v>32.808888000000003</v>
      </c>
      <c r="AW457">
        <v>0.48486925498873695</v>
      </c>
      <c r="AX457">
        <v>1.4778594598778749</v>
      </c>
      <c r="AY457">
        <v>0.98520808149391026</v>
      </c>
      <c r="AZ457">
        <v>3.4236761902924036</v>
      </c>
      <c r="BA457">
        <v>0.50929491306926011</v>
      </c>
      <c r="BB457" t="s">
        <v>4619</v>
      </c>
      <c r="BD457" s="98"/>
      <c r="BE457" s="98"/>
      <c r="BF457" t="s">
        <v>1152</v>
      </c>
      <c r="BG457" t="s">
        <v>322</v>
      </c>
      <c r="BH457" t="s">
        <v>1153</v>
      </c>
      <c r="BI457">
        <v>0.98520808149391026</v>
      </c>
      <c r="BJ457" t="s">
        <v>991</v>
      </c>
      <c r="BK457">
        <v>-1.6858018036514073</v>
      </c>
      <c r="BL457">
        <v>-97.003662440170032</v>
      </c>
      <c r="BM457" t="s">
        <v>1021</v>
      </c>
      <c r="BN457" t="s">
        <v>1154</v>
      </c>
      <c r="BO457">
        <v>2025</v>
      </c>
      <c r="BP457" t="s">
        <v>966</v>
      </c>
      <c r="BQ457">
        <v>839085.19678976806</v>
      </c>
      <c r="BR457">
        <v>16.091480321023194</v>
      </c>
      <c r="BS457" t="s">
        <v>992</v>
      </c>
      <c r="BV457" t="s">
        <v>1034</v>
      </c>
      <c r="BW457" t="s">
        <v>943</v>
      </c>
      <c r="BX457" t="s">
        <v>994</v>
      </c>
      <c r="BY457">
        <v>0.50929491306926011</v>
      </c>
      <c r="BZ457" t="s">
        <v>1155</v>
      </c>
      <c r="CA457" t="s">
        <v>991</v>
      </c>
      <c r="CB457" t="b">
        <v>1</v>
      </c>
      <c r="CC457" t="b">
        <v>1</v>
      </c>
      <c r="CD457" t="b">
        <v>1</v>
      </c>
      <c r="CE457" t="b">
        <v>1</v>
      </c>
      <c r="CF457" t="b">
        <v>1</v>
      </c>
    </row>
    <row r="458" spans="1:84" x14ac:dyDescent="0.3">
      <c r="A458" t="s">
        <v>2129</v>
      </c>
      <c r="B458" t="s">
        <v>1178</v>
      </c>
      <c r="C458" s="98">
        <v>45705</v>
      </c>
      <c r="D458">
        <v>2025</v>
      </c>
      <c r="E458">
        <v>2</v>
      </c>
      <c r="F458">
        <v>1</v>
      </c>
      <c r="G458" t="s">
        <v>1170</v>
      </c>
      <c r="H458" t="s">
        <v>131</v>
      </c>
      <c r="I458" t="s">
        <v>131</v>
      </c>
      <c r="J458" t="s">
        <v>6</v>
      </c>
      <c r="L458">
        <v>522611</v>
      </c>
      <c r="M458" s="99" t="s">
        <v>178</v>
      </c>
      <c r="N458">
        <v>1</v>
      </c>
      <c r="O458">
        <v>7</v>
      </c>
      <c r="P458">
        <v>33.571399999999997</v>
      </c>
      <c r="Q458" t="s">
        <v>352</v>
      </c>
      <c r="R458">
        <v>1</v>
      </c>
      <c r="S458">
        <v>33.017200000000003</v>
      </c>
      <c r="T458">
        <v>0.57820000000000005</v>
      </c>
      <c r="U458">
        <v>0.95849187132479152</v>
      </c>
      <c r="V458">
        <v>31.282600000000002</v>
      </c>
      <c r="W458">
        <v>31.860800000000001</v>
      </c>
      <c r="X458">
        <v>32.439</v>
      </c>
      <c r="Y458">
        <v>33.595400000000005</v>
      </c>
      <c r="Z458">
        <v>34.1736</v>
      </c>
      <c r="AA458">
        <v>34.751800000000003</v>
      </c>
      <c r="AD458">
        <v>1.7378743866409962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 t="s">
        <v>462</v>
      </c>
      <c r="AL458" t="s">
        <v>6</v>
      </c>
      <c r="AM458" t="s">
        <v>1145</v>
      </c>
      <c r="AN458" t="s">
        <v>1146</v>
      </c>
      <c r="AO458" s="100">
        <v>46262.040405092594</v>
      </c>
      <c r="AP458" t="s">
        <v>1147</v>
      </c>
      <c r="AQ458" t="s">
        <v>2130</v>
      </c>
      <c r="AR458" t="s">
        <v>1180</v>
      </c>
      <c r="AS458" t="s">
        <v>1150</v>
      </c>
      <c r="AT458" t="s">
        <v>2118</v>
      </c>
      <c r="AU458">
        <v>25</v>
      </c>
      <c r="AV458">
        <v>32.808888000000003</v>
      </c>
      <c r="AW458">
        <v>0.48486925498873695</v>
      </c>
      <c r="AX458">
        <v>1.4778594598778749</v>
      </c>
      <c r="AY458">
        <v>0.98520808149391026</v>
      </c>
      <c r="AZ458">
        <v>3.4236761902924036</v>
      </c>
      <c r="BA458">
        <v>0.50929491306926011</v>
      </c>
      <c r="BB458" t="s">
        <v>4619</v>
      </c>
      <c r="BD458" s="98"/>
      <c r="BE458" s="98"/>
      <c r="BF458" t="s">
        <v>1152</v>
      </c>
      <c r="BG458" t="s">
        <v>322</v>
      </c>
      <c r="BH458" t="s">
        <v>1153</v>
      </c>
      <c r="BI458">
        <v>0.98520808149391026</v>
      </c>
      <c r="BJ458" t="s">
        <v>991</v>
      </c>
      <c r="BK458">
        <v>-1.6858018036514073</v>
      </c>
      <c r="BL458">
        <v>-97.003662440170032</v>
      </c>
      <c r="BM458" t="s">
        <v>1021</v>
      </c>
      <c r="BN458" t="s">
        <v>1154</v>
      </c>
      <c r="BO458">
        <v>2025</v>
      </c>
      <c r="BP458" t="s">
        <v>966</v>
      </c>
      <c r="BQ458">
        <v>839085.19678976806</v>
      </c>
      <c r="BR458">
        <v>16.091480321023194</v>
      </c>
      <c r="BS458" t="s">
        <v>992</v>
      </c>
      <c r="BV458" t="s">
        <v>1034</v>
      </c>
      <c r="BW458" t="s">
        <v>943</v>
      </c>
      <c r="BX458" t="s">
        <v>994</v>
      </c>
      <c r="BY458">
        <v>0.50929491306926011</v>
      </c>
      <c r="BZ458" t="s">
        <v>1155</v>
      </c>
      <c r="CA458" t="s">
        <v>991</v>
      </c>
      <c r="CB458" t="b">
        <v>1</v>
      </c>
      <c r="CC458" t="b">
        <v>1</v>
      </c>
      <c r="CD458" t="b">
        <v>1</v>
      </c>
      <c r="CE458" t="b">
        <v>1</v>
      </c>
      <c r="CF458" t="b">
        <v>1</v>
      </c>
    </row>
    <row r="459" spans="1:84" x14ac:dyDescent="0.3">
      <c r="A459" t="s">
        <v>2131</v>
      </c>
      <c r="B459" t="s">
        <v>1182</v>
      </c>
      <c r="C459" s="98">
        <v>45712</v>
      </c>
      <c r="D459">
        <v>2025</v>
      </c>
      <c r="E459">
        <v>2</v>
      </c>
      <c r="F459">
        <v>1</v>
      </c>
      <c r="G459" t="s">
        <v>1170</v>
      </c>
      <c r="H459" t="s">
        <v>131</v>
      </c>
      <c r="I459" t="s">
        <v>131</v>
      </c>
      <c r="J459" t="s">
        <v>6</v>
      </c>
      <c r="L459">
        <v>522611</v>
      </c>
      <c r="M459" s="99" t="s">
        <v>178</v>
      </c>
      <c r="N459">
        <v>1</v>
      </c>
      <c r="O459">
        <v>8</v>
      </c>
      <c r="P459">
        <v>32.493200000000002</v>
      </c>
      <c r="Q459" t="s">
        <v>352</v>
      </c>
      <c r="R459">
        <v>1</v>
      </c>
      <c r="S459">
        <v>33.017200000000003</v>
      </c>
      <c r="T459">
        <v>0.57820000000000005</v>
      </c>
      <c r="U459">
        <v>-0.90626080940851061</v>
      </c>
      <c r="V459">
        <v>31.282600000000002</v>
      </c>
      <c r="W459">
        <v>31.860800000000001</v>
      </c>
      <c r="X459">
        <v>32.439</v>
      </c>
      <c r="Y459">
        <v>33.595400000000005</v>
      </c>
      <c r="Z459">
        <v>34.1736</v>
      </c>
      <c r="AA459">
        <v>34.751800000000003</v>
      </c>
      <c r="AD459">
        <v>1.7378743866409962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 t="s">
        <v>462</v>
      </c>
      <c r="AL459" t="s">
        <v>6</v>
      </c>
      <c r="AM459" t="s">
        <v>1145</v>
      </c>
      <c r="AN459" t="s">
        <v>1146</v>
      </c>
      <c r="AO459" s="100">
        <v>46262.040405092594</v>
      </c>
      <c r="AP459" t="s">
        <v>1147</v>
      </c>
      <c r="AQ459" t="s">
        <v>2132</v>
      </c>
      <c r="AR459" t="s">
        <v>1184</v>
      </c>
      <c r="AS459" t="s">
        <v>1150</v>
      </c>
      <c r="AT459" t="s">
        <v>2118</v>
      </c>
      <c r="AU459">
        <v>25</v>
      </c>
      <c r="AV459">
        <v>32.808888000000003</v>
      </c>
      <c r="AW459">
        <v>0.48486925498873695</v>
      </c>
      <c r="AX459">
        <v>1.4778594598778749</v>
      </c>
      <c r="AY459">
        <v>0.98520808149391026</v>
      </c>
      <c r="AZ459">
        <v>3.4236761902924036</v>
      </c>
      <c r="BA459">
        <v>0.50929491306926011</v>
      </c>
      <c r="BB459" t="s">
        <v>4619</v>
      </c>
      <c r="BD459" s="98"/>
      <c r="BE459" s="98"/>
      <c r="BF459" t="s">
        <v>1152</v>
      </c>
      <c r="BG459" t="s">
        <v>322</v>
      </c>
      <c r="BH459" t="s">
        <v>1153</v>
      </c>
      <c r="BI459">
        <v>0.98520808149391026</v>
      </c>
      <c r="BJ459" t="s">
        <v>991</v>
      </c>
      <c r="BK459">
        <v>-1.6858018036514073</v>
      </c>
      <c r="BL459">
        <v>-97.003662440170032</v>
      </c>
      <c r="BM459" t="s">
        <v>1021</v>
      </c>
      <c r="BN459" t="s">
        <v>1154</v>
      </c>
      <c r="BO459">
        <v>2025</v>
      </c>
      <c r="BP459" t="s">
        <v>966</v>
      </c>
      <c r="BQ459">
        <v>839085.19678976806</v>
      </c>
      <c r="BR459">
        <v>16.091480321023194</v>
      </c>
      <c r="BS459" t="s">
        <v>992</v>
      </c>
      <c r="BV459" t="s">
        <v>1034</v>
      </c>
      <c r="BW459" t="s">
        <v>943</v>
      </c>
      <c r="BX459" t="s">
        <v>994</v>
      </c>
      <c r="BY459">
        <v>0.50929491306926011</v>
      </c>
      <c r="BZ459" t="s">
        <v>1155</v>
      </c>
      <c r="CA459" t="s">
        <v>991</v>
      </c>
      <c r="CB459" t="b">
        <v>1</v>
      </c>
      <c r="CC459" t="b">
        <v>1</v>
      </c>
      <c r="CD459" t="b">
        <v>1</v>
      </c>
      <c r="CE459" t="b">
        <v>1</v>
      </c>
      <c r="CF459" t="b">
        <v>1</v>
      </c>
    </row>
    <row r="460" spans="1:84" x14ac:dyDescent="0.3">
      <c r="A460" t="s">
        <v>2133</v>
      </c>
      <c r="B460" t="s">
        <v>1186</v>
      </c>
      <c r="C460" s="98">
        <v>45719</v>
      </c>
      <c r="D460">
        <v>2025</v>
      </c>
      <c r="E460">
        <v>3</v>
      </c>
      <c r="F460">
        <v>1</v>
      </c>
      <c r="G460" t="s">
        <v>1187</v>
      </c>
      <c r="H460" t="s">
        <v>131</v>
      </c>
      <c r="I460" t="s">
        <v>131</v>
      </c>
      <c r="J460" t="s">
        <v>6</v>
      </c>
      <c r="L460">
        <v>522611</v>
      </c>
      <c r="M460" s="99" t="s">
        <v>178</v>
      </c>
      <c r="N460">
        <v>1</v>
      </c>
      <c r="O460">
        <v>9</v>
      </c>
      <c r="P460">
        <v>32.994500000000002</v>
      </c>
      <c r="Q460" t="s">
        <v>352</v>
      </c>
      <c r="R460">
        <v>1</v>
      </c>
      <c r="S460">
        <v>33.017200000000003</v>
      </c>
      <c r="T460">
        <v>0.57820000000000005</v>
      </c>
      <c r="U460">
        <v>-3.9259771705292955E-2</v>
      </c>
      <c r="V460">
        <v>31.282600000000002</v>
      </c>
      <c r="W460">
        <v>31.860800000000001</v>
      </c>
      <c r="X460">
        <v>32.439</v>
      </c>
      <c r="Y460">
        <v>33.595400000000005</v>
      </c>
      <c r="Z460">
        <v>34.1736</v>
      </c>
      <c r="AA460">
        <v>34.751800000000003</v>
      </c>
      <c r="AD460">
        <v>1.7378743866409962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 t="s">
        <v>462</v>
      </c>
      <c r="AL460" t="s">
        <v>6</v>
      </c>
      <c r="AM460" t="s">
        <v>1145</v>
      </c>
      <c r="AN460" t="s">
        <v>1146</v>
      </c>
      <c r="AO460" s="100">
        <v>46262.040405092594</v>
      </c>
      <c r="AP460" t="s">
        <v>1147</v>
      </c>
      <c r="AQ460" t="s">
        <v>2134</v>
      </c>
      <c r="AR460" t="s">
        <v>1189</v>
      </c>
      <c r="AS460" t="s">
        <v>1150</v>
      </c>
      <c r="AT460" t="s">
        <v>2118</v>
      </c>
      <c r="AU460">
        <v>25</v>
      </c>
      <c r="AV460">
        <v>32.808888000000003</v>
      </c>
      <c r="AW460">
        <v>0.48486925498873695</v>
      </c>
      <c r="AX460">
        <v>1.4778594598778749</v>
      </c>
      <c r="AY460">
        <v>0.98520808149391026</v>
      </c>
      <c r="AZ460">
        <v>3.4236761902924036</v>
      </c>
      <c r="BA460">
        <v>0.50929491306926011</v>
      </c>
      <c r="BB460" t="s">
        <v>4619</v>
      </c>
      <c r="BD460" s="98"/>
      <c r="BE460" s="98"/>
      <c r="BF460" t="s">
        <v>1152</v>
      </c>
      <c r="BG460" t="s">
        <v>322</v>
      </c>
      <c r="BH460" t="s">
        <v>1153</v>
      </c>
      <c r="BI460">
        <v>0.98520808149391026</v>
      </c>
      <c r="BJ460" t="s">
        <v>991</v>
      </c>
      <c r="BK460">
        <v>-1.6858018036514073</v>
      </c>
      <c r="BL460">
        <v>-97.003662440170032</v>
      </c>
      <c r="BM460" t="s">
        <v>1021</v>
      </c>
      <c r="BN460" t="s">
        <v>1154</v>
      </c>
      <c r="BO460">
        <v>2025</v>
      </c>
      <c r="BP460" t="s">
        <v>966</v>
      </c>
      <c r="BQ460">
        <v>839085.19678976806</v>
      </c>
      <c r="BR460">
        <v>16.091480321023194</v>
      </c>
      <c r="BS460" t="s">
        <v>992</v>
      </c>
      <c r="BV460" t="s">
        <v>1034</v>
      </c>
      <c r="BW460" t="s">
        <v>943</v>
      </c>
      <c r="BX460" t="s">
        <v>994</v>
      </c>
      <c r="BY460">
        <v>0.50929491306926011</v>
      </c>
      <c r="BZ460" t="s">
        <v>1155</v>
      </c>
      <c r="CA460" t="s">
        <v>991</v>
      </c>
      <c r="CB460" t="b">
        <v>1</v>
      </c>
      <c r="CC460" t="b">
        <v>1</v>
      </c>
      <c r="CD460" t="b">
        <v>1</v>
      </c>
      <c r="CE460" t="b">
        <v>1</v>
      </c>
      <c r="CF460" t="b">
        <v>1</v>
      </c>
    </row>
    <row r="461" spans="1:84" x14ac:dyDescent="0.3">
      <c r="A461" t="s">
        <v>2135</v>
      </c>
      <c r="B461" t="s">
        <v>1191</v>
      </c>
      <c r="C461" s="98">
        <v>45726</v>
      </c>
      <c r="D461">
        <v>2025</v>
      </c>
      <c r="E461">
        <v>3</v>
      </c>
      <c r="F461">
        <v>1</v>
      </c>
      <c r="G461" t="s">
        <v>1187</v>
      </c>
      <c r="H461" t="s">
        <v>131</v>
      </c>
      <c r="I461" t="s">
        <v>131</v>
      </c>
      <c r="J461" t="s">
        <v>6</v>
      </c>
      <c r="L461">
        <v>522611</v>
      </c>
      <c r="M461" s="99" t="s">
        <v>178</v>
      </c>
      <c r="N461">
        <v>1</v>
      </c>
      <c r="O461">
        <v>10</v>
      </c>
      <c r="P461">
        <v>32.021599999999999</v>
      </c>
      <c r="Q461" t="s">
        <v>352</v>
      </c>
      <c r="R461">
        <v>1</v>
      </c>
      <c r="S461">
        <v>33.017200000000003</v>
      </c>
      <c r="T461">
        <v>0.57820000000000005</v>
      </c>
      <c r="U461">
        <v>-1.7218955378761727</v>
      </c>
      <c r="V461">
        <v>31.282600000000002</v>
      </c>
      <c r="W461">
        <v>31.860800000000001</v>
      </c>
      <c r="X461">
        <v>32.439</v>
      </c>
      <c r="Y461">
        <v>33.595400000000005</v>
      </c>
      <c r="Z461">
        <v>34.1736</v>
      </c>
      <c r="AA461">
        <v>34.751800000000003</v>
      </c>
      <c r="AD461">
        <v>1.7378743866409962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 t="s">
        <v>462</v>
      </c>
      <c r="AL461" t="s">
        <v>6</v>
      </c>
      <c r="AM461" t="s">
        <v>1145</v>
      </c>
      <c r="AN461" t="s">
        <v>1146</v>
      </c>
      <c r="AO461" s="100">
        <v>46262.040405092594</v>
      </c>
      <c r="AP461" t="s">
        <v>1147</v>
      </c>
      <c r="AQ461" t="s">
        <v>2136</v>
      </c>
      <c r="AR461" t="s">
        <v>1193</v>
      </c>
      <c r="AS461" t="s">
        <v>1150</v>
      </c>
      <c r="AT461" t="s">
        <v>2118</v>
      </c>
      <c r="AU461">
        <v>25</v>
      </c>
      <c r="AV461">
        <v>32.808888000000003</v>
      </c>
      <c r="AW461">
        <v>0.48486925498873695</v>
      </c>
      <c r="AX461">
        <v>1.4778594598778749</v>
      </c>
      <c r="AY461">
        <v>0.98520808149391026</v>
      </c>
      <c r="AZ461">
        <v>3.4236761902924036</v>
      </c>
      <c r="BA461">
        <v>0.50929491306926011</v>
      </c>
      <c r="BB461" t="s">
        <v>4619</v>
      </c>
      <c r="BD461" s="98"/>
      <c r="BE461" s="98"/>
      <c r="BF461" t="s">
        <v>1152</v>
      </c>
      <c r="BG461" t="s">
        <v>322</v>
      </c>
      <c r="BH461" t="s">
        <v>1153</v>
      </c>
      <c r="BI461">
        <v>0.98520808149391026</v>
      </c>
      <c r="BJ461" t="s">
        <v>991</v>
      </c>
      <c r="BK461">
        <v>-1.6858018036514073</v>
      </c>
      <c r="BL461">
        <v>-97.003662440170032</v>
      </c>
      <c r="BM461" t="s">
        <v>1021</v>
      </c>
      <c r="BN461" t="s">
        <v>1154</v>
      </c>
      <c r="BO461">
        <v>2025</v>
      </c>
      <c r="BP461" t="s">
        <v>966</v>
      </c>
      <c r="BQ461">
        <v>839085.19678976806</v>
      </c>
      <c r="BR461">
        <v>16.091480321023194</v>
      </c>
      <c r="BS461" t="s">
        <v>992</v>
      </c>
      <c r="BV461" t="s">
        <v>1034</v>
      </c>
      <c r="BW461" t="s">
        <v>943</v>
      </c>
      <c r="BX461" t="s">
        <v>994</v>
      </c>
      <c r="BY461">
        <v>0.50929491306926011</v>
      </c>
      <c r="BZ461" t="s">
        <v>1155</v>
      </c>
      <c r="CA461" t="s">
        <v>991</v>
      </c>
      <c r="CB461" t="b">
        <v>1</v>
      </c>
      <c r="CC461" t="b">
        <v>1</v>
      </c>
      <c r="CD461" t="b">
        <v>1</v>
      </c>
      <c r="CE461" t="b">
        <v>1</v>
      </c>
      <c r="CF461" t="b">
        <v>1</v>
      </c>
    </row>
    <row r="462" spans="1:84" x14ac:dyDescent="0.3">
      <c r="A462" t="s">
        <v>2137</v>
      </c>
      <c r="B462" t="s">
        <v>1195</v>
      </c>
      <c r="C462" s="98">
        <v>45733</v>
      </c>
      <c r="D462">
        <v>2025</v>
      </c>
      <c r="E462">
        <v>3</v>
      </c>
      <c r="F462">
        <v>1</v>
      </c>
      <c r="G462" t="s">
        <v>1187</v>
      </c>
      <c r="H462" t="s">
        <v>131</v>
      </c>
      <c r="I462" t="s">
        <v>131</v>
      </c>
      <c r="J462" t="s">
        <v>6</v>
      </c>
      <c r="L462">
        <v>522611</v>
      </c>
      <c r="M462" s="99" t="s">
        <v>178</v>
      </c>
      <c r="N462">
        <v>1</v>
      </c>
      <c r="O462">
        <v>11</v>
      </c>
      <c r="P462">
        <v>33.393900000000002</v>
      </c>
      <c r="Q462" t="s">
        <v>352</v>
      </c>
      <c r="R462">
        <v>1</v>
      </c>
      <c r="S462">
        <v>33.017200000000003</v>
      </c>
      <c r="T462">
        <v>0.57820000000000005</v>
      </c>
      <c r="U462">
        <v>0.65150466966447518</v>
      </c>
      <c r="V462">
        <v>31.282600000000002</v>
      </c>
      <c r="W462">
        <v>31.860800000000001</v>
      </c>
      <c r="X462">
        <v>32.439</v>
      </c>
      <c r="Y462">
        <v>33.595400000000005</v>
      </c>
      <c r="Z462">
        <v>34.1736</v>
      </c>
      <c r="AA462">
        <v>34.751800000000003</v>
      </c>
      <c r="AD462">
        <v>1.7378743866409962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 t="s">
        <v>462</v>
      </c>
      <c r="AL462" t="s">
        <v>6</v>
      </c>
      <c r="AM462" t="s">
        <v>1145</v>
      </c>
      <c r="AN462" t="s">
        <v>1146</v>
      </c>
      <c r="AO462" s="100">
        <v>46262.040405092594</v>
      </c>
      <c r="AP462" t="s">
        <v>1147</v>
      </c>
      <c r="AQ462" t="s">
        <v>2138</v>
      </c>
      <c r="AR462" t="s">
        <v>1197</v>
      </c>
      <c r="AS462" t="s">
        <v>1150</v>
      </c>
      <c r="AT462" t="s">
        <v>2118</v>
      </c>
      <c r="AU462">
        <v>25</v>
      </c>
      <c r="AV462">
        <v>32.808888000000003</v>
      </c>
      <c r="AW462">
        <v>0.48486925498873695</v>
      </c>
      <c r="AX462">
        <v>1.4778594598778749</v>
      </c>
      <c r="AY462">
        <v>0.98520808149391026</v>
      </c>
      <c r="AZ462">
        <v>3.4236761902924036</v>
      </c>
      <c r="BA462">
        <v>0.50929491306926011</v>
      </c>
      <c r="BB462" t="s">
        <v>4619</v>
      </c>
      <c r="BD462" s="98"/>
      <c r="BE462" s="98"/>
      <c r="BF462" t="s">
        <v>1152</v>
      </c>
      <c r="BG462" t="s">
        <v>322</v>
      </c>
      <c r="BH462" t="s">
        <v>1153</v>
      </c>
      <c r="BI462">
        <v>0.98520808149391026</v>
      </c>
      <c r="BJ462" t="s">
        <v>991</v>
      </c>
      <c r="BK462">
        <v>-1.6858018036514073</v>
      </c>
      <c r="BL462">
        <v>-97.003662440170032</v>
      </c>
      <c r="BM462" t="s">
        <v>1021</v>
      </c>
      <c r="BN462" t="s">
        <v>1154</v>
      </c>
      <c r="BO462">
        <v>2025</v>
      </c>
      <c r="BP462" t="s">
        <v>966</v>
      </c>
      <c r="BQ462">
        <v>839085.19678976806</v>
      </c>
      <c r="BR462">
        <v>16.091480321023194</v>
      </c>
      <c r="BS462" t="s">
        <v>992</v>
      </c>
      <c r="BV462" t="s">
        <v>1034</v>
      </c>
      <c r="BW462" t="s">
        <v>943</v>
      </c>
      <c r="BX462" t="s">
        <v>994</v>
      </c>
      <c r="BY462">
        <v>0.50929491306926011</v>
      </c>
      <c r="BZ462" t="s">
        <v>1155</v>
      </c>
      <c r="CA462" t="s">
        <v>991</v>
      </c>
      <c r="CB462" t="b">
        <v>1</v>
      </c>
      <c r="CC462" t="b">
        <v>1</v>
      </c>
      <c r="CD462" t="b">
        <v>1</v>
      </c>
      <c r="CE462" t="b">
        <v>1</v>
      </c>
      <c r="CF462" t="b">
        <v>1</v>
      </c>
    </row>
    <row r="463" spans="1:84" x14ac:dyDescent="0.3">
      <c r="A463" t="s">
        <v>2139</v>
      </c>
      <c r="B463" t="s">
        <v>1199</v>
      </c>
      <c r="C463" s="98">
        <v>45740</v>
      </c>
      <c r="D463">
        <v>2025</v>
      </c>
      <c r="E463">
        <v>3</v>
      </c>
      <c r="F463">
        <v>1</v>
      </c>
      <c r="G463" t="s">
        <v>1187</v>
      </c>
      <c r="H463" t="s">
        <v>131</v>
      </c>
      <c r="I463" t="s">
        <v>131</v>
      </c>
      <c r="J463" t="s">
        <v>6</v>
      </c>
      <c r="L463">
        <v>522611</v>
      </c>
      <c r="M463" s="99" t="s">
        <v>178</v>
      </c>
      <c r="N463">
        <v>1</v>
      </c>
      <c r="O463">
        <v>12</v>
      </c>
      <c r="P463">
        <v>32.3919</v>
      </c>
      <c r="Q463" t="s">
        <v>352</v>
      </c>
      <c r="R463">
        <v>1</v>
      </c>
      <c r="S463">
        <v>33.017200000000003</v>
      </c>
      <c r="T463">
        <v>0.57820000000000005</v>
      </c>
      <c r="U463">
        <v>-1.0814597025250827</v>
      </c>
      <c r="V463">
        <v>31.282600000000002</v>
      </c>
      <c r="W463">
        <v>31.860800000000001</v>
      </c>
      <c r="X463">
        <v>32.439</v>
      </c>
      <c r="Y463">
        <v>33.595400000000005</v>
      </c>
      <c r="Z463">
        <v>34.1736</v>
      </c>
      <c r="AA463">
        <v>34.751800000000003</v>
      </c>
      <c r="AD463">
        <v>1.7378743866409962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 t="s">
        <v>462</v>
      </c>
      <c r="AL463" t="s">
        <v>6</v>
      </c>
      <c r="AM463" t="s">
        <v>1145</v>
      </c>
      <c r="AN463" t="s">
        <v>1146</v>
      </c>
      <c r="AO463" s="100">
        <v>46262.040405092594</v>
      </c>
      <c r="AP463" t="s">
        <v>1147</v>
      </c>
      <c r="AQ463" t="s">
        <v>2140</v>
      </c>
      <c r="AR463" t="s">
        <v>1201</v>
      </c>
      <c r="AS463" t="s">
        <v>1150</v>
      </c>
      <c r="AT463" t="s">
        <v>2118</v>
      </c>
      <c r="AU463">
        <v>25</v>
      </c>
      <c r="AV463">
        <v>32.808888000000003</v>
      </c>
      <c r="AW463">
        <v>0.48486925498873695</v>
      </c>
      <c r="AX463">
        <v>1.4778594598778749</v>
      </c>
      <c r="AY463">
        <v>0.98520808149391026</v>
      </c>
      <c r="AZ463">
        <v>3.4236761902924036</v>
      </c>
      <c r="BA463">
        <v>0.50929491306926011</v>
      </c>
      <c r="BB463" t="s">
        <v>4619</v>
      </c>
      <c r="BD463" s="98"/>
      <c r="BE463" s="98"/>
      <c r="BF463" t="s">
        <v>1152</v>
      </c>
      <c r="BG463" t="s">
        <v>322</v>
      </c>
      <c r="BH463" t="s">
        <v>1153</v>
      </c>
      <c r="BI463">
        <v>0.98520808149391026</v>
      </c>
      <c r="BJ463" t="s">
        <v>991</v>
      </c>
      <c r="BK463">
        <v>-1.6858018036514073</v>
      </c>
      <c r="BL463">
        <v>-97.003662440170032</v>
      </c>
      <c r="BM463" t="s">
        <v>1021</v>
      </c>
      <c r="BN463" t="s">
        <v>1154</v>
      </c>
      <c r="BO463">
        <v>2025</v>
      </c>
      <c r="BP463" t="s">
        <v>966</v>
      </c>
      <c r="BQ463">
        <v>839085.19678976806</v>
      </c>
      <c r="BR463">
        <v>16.091480321023194</v>
      </c>
      <c r="BS463" t="s">
        <v>992</v>
      </c>
      <c r="BV463" t="s">
        <v>1034</v>
      </c>
      <c r="BW463" t="s">
        <v>943</v>
      </c>
      <c r="BX463" t="s">
        <v>994</v>
      </c>
      <c r="BY463">
        <v>0.50929491306926011</v>
      </c>
      <c r="BZ463" t="s">
        <v>1155</v>
      </c>
      <c r="CA463" t="s">
        <v>991</v>
      </c>
      <c r="CB463" t="b">
        <v>1</v>
      </c>
      <c r="CC463" t="b">
        <v>1</v>
      </c>
      <c r="CD463" t="b">
        <v>1</v>
      </c>
      <c r="CE463" t="b">
        <v>1</v>
      </c>
      <c r="CF463" t="b">
        <v>1</v>
      </c>
    </row>
    <row r="464" spans="1:84" x14ac:dyDescent="0.3">
      <c r="A464" t="s">
        <v>2141</v>
      </c>
      <c r="B464" t="s">
        <v>1203</v>
      </c>
      <c r="C464" s="98">
        <v>45747</v>
      </c>
      <c r="D464">
        <v>2025</v>
      </c>
      <c r="E464">
        <v>3</v>
      </c>
      <c r="F464">
        <v>1</v>
      </c>
      <c r="G464" t="s">
        <v>1187</v>
      </c>
      <c r="H464" t="s">
        <v>131</v>
      </c>
      <c r="I464" t="s">
        <v>131</v>
      </c>
      <c r="J464" t="s">
        <v>6</v>
      </c>
      <c r="L464">
        <v>522611</v>
      </c>
      <c r="M464" s="99" t="s">
        <v>178</v>
      </c>
      <c r="N464">
        <v>1</v>
      </c>
      <c r="O464">
        <v>13</v>
      </c>
      <c r="P464">
        <v>31.972799999999999</v>
      </c>
      <c r="Q464" t="s">
        <v>352</v>
      </c>
      <c r="R464">
        <v>1</v>
      </c>
      <c r="S464">
        <v>33.017200000000003</v>
      </c>
      <c r="T464">
        <v>0.57820000000000005</v>
      </c>
      <c r="U464">
        <v>-1.8062953995157438</v>
      </c>
      <c r="V464">
        <v>31.282600000000002</v>
      </c>
      <c r="W464">
        <v>31.860800000000001</v>
      </c>
      <c r="X464">
        <v>32.439</v>
      </c>
      <c r="Y464">
        <v>33.595400000000005</v>
      </c>
      <c r="Z464">
        <v>34.1736</v>
      </c>
      <c r="AA464">
        <v>34.751800000000003</v>
      </c>
      <c r="AD464">
        <v>1.7378743866409962</v>
      </c>
      <c r="AE464">
        <v>0</v>
      </c>
      <c r="AF464">
        <v>0</v>
      </c>
      <c r="AG464">
        <v>0</v>
      </c>
      <c r="AH464">
        <v>1</v>
      </c>
      <c r="AI464">
        <v>1</v>
      </c>
      <c r="AJ464">
        <v>0</v>
      </c>
      <c r="AK464" t="s">
        <v>1213</v>
      </c>
      <c r="AL464" t="s">
        <v>6</v>
      </c>
      <c r="AM464" t="s">
        <v>1145</v>
      </c>
      <c r="AN464" t="s">
        <v>1146</v>
      </c>
      <c r="AO464" s="100">
        <v>46262.040405092594</v>
      </c>
      <c r="AP464" t="s">
        <v>1147</v>
      </c>
      <c r="AQ464" t="s">
        <v>2142</v>
      </c>
      <c r="AR464" t="s">
        <v>1205</v>
      </c>
      <c r="AS464" t="s">
        <v>1150</v>
      </c>
      <c r="AT464" t="s">
        <v>2118</v>
      </c>
      <c r="AU464">
        <v>25</v>
      </c>
      <c r="AV464">
        <v>32.808888000000003</v>
      </c>
      <c r="AW464">
        <v>0.48486925498873695</v>
      </c>
      <c r="AX464">
        <v>1.4778594598778749</v>
      </c>
      <c r="AY464">
        <v>0.98520808149391026</v>
      </c>
      <c r="AZ464">
        <v>3.4236761902924036</v>
      </c>
      <c r="BA464">
        <v>0.50929491306926011</v>
      </c>
      <c r="BB464" t="s">
        <v>4619</v>
      </c>
      <c r="BD464" s="98"/>
      <c r="BE464" s="98"/>
      <c r="BF464" t="s">
        <v>1152</v>
      </c>
      <c r="BG464" t="s">
        <v>322</v>
      </c>
      <c r="BH464" t="s">
        <v>1153</v>
      </c>
      <c r="BI464">
        <v>0.98520808149391026</v>
      </c>
      <c r="BJ464" t="s">
        <v>991</v>
      </c>
      <c r="BK464">
        <v>-1.6858018036514073</v>
      </c>
      <c r="BL464">
        <v>-97.003662440170032</v>
      </c>
      <c r="BM464" t="s">
        <v>1021</v>
      </c>
      <c r="BN464" t="s">
        <v>1154</v>
      </c>
      <c r="BO464">
        <v>2025</v>
      </c>
      <c r="BP464" t="s">
        <v>966</v>
      </c>
      <c r="BQ464">
        <v>839085.19678976806</v>
      </c>
      <c r="BR464">
        <v>16.091480321023194</v>
      </c>
      <c r="BS464" t="s">
        <v>992</v>
      </c>
      <c r="BV464" t="s">
        <v>1034</v>
      </c>
      <c r="BW464" t="s">
        <v>943</v>
      </c>
      <c r="BX464" t="s">
        <v>994</v>
      </c>
      <c r="BY464">
        <v>0.50929491306926011</v>
      </c>
      <c r="BZ464" t="s">
        <v>1155</v>
      </c>
      <c r="CA464" t="s">
        <v>991</v>
      </c>
      <c r="CB464" t="b">
        <v>1</v>
      </c>
      <c r="CC464" t="b">
        <v>1</v>
      </c>
      <c r="CD464" t="b">
        <v>1</v>
      </c>
      <c r="CE464" t="b">
        <v>1</v>
      </c>
      <c r="CF464" t="b">
        <v>1</v>
      </c>
    </row>
    <row r="465" spans="1:84" x14ac:dyDescent="0.3">
      <c r="A465" t="s">
        <v>2143</v>
      </c>
      <c r="B465" t="s">
        <v>1207</v>
      </c>
      <c r="C465" s="98">
        <v>45754</v>
      </c>
      <c r="D465">
        <v>2025</v>
      </c>
      <c r="E465">
        <v>4</v>
      </c>
      <c r="F465">
        <v>2</v>
      </c>
      <c r="G465" t="s">
        <v>1208</v>
      </c>
      <c r="H465" t="s">
        <v>131</v>
      </c>
      <c r="I465" t="s">
        <v>131</v>
      </c>
      <c r="J465" t="s">
        <v>6</v>
      </c>
      <c r="L465">
        <v>522611</v>
      </c>
      <c r="M465" s="99" t="s">
        <v>178</v>
      </c>
      <c r="N465">
        <v>1</v>
      </c>
      <c r="O465">
        <v>14</v>
      </c>
      <c r="P465">
        <v>32.982999999999997</v>
      </c>
      <c r="Q465" t="s">
        <v>352</v>
      </c>
      <c r="R465">
        <v>1</v>
      </c>
      <c r="S465">
        <v>33.017200000000003</v>
      </c>
      <c r="T465">
        <v>0.57820000000000005</v>
      </c>
      <c r="U465">
        <v>-5.914908336216803E-2</v>
      </c>
      <c r="V465">
        <v>31.282600000000002</v>
      </c>
      <c r="W465">
        <v>31.860800000000001</v>
      </c>
      <c r="X465">
        <v>32.439</v>
      </c>
      <c r="Y465">
        <v>33.595400000000005</v>
      </c>
      <c r="Z465">
        <v>34.1736</v>
      </c>
      <c r="AA465">
        <v>34.751800000000003</v>
      </c>
      <c r="AD465">
        <v>1.7378743866409962</v>
      </c>
      <c r="AE465">
        <v>0</v>
      </c>
      <c r="AF465">
        <v>0</v>
      </c>
      <c r="AG465">
        <v>0</v>
      </c>
      <c r="AH465">
        <v>0</v>
      </c>
      <c r="AI465">
        <v>1</v>
      </c>
      <c r="AJ465">
        <v>0</v>
      </c>
      <c r="AK465" t="s">
        <v>1213</v>
      </c>
      <c r="AL465" t="s">
        <v>6</v>
      </c>
      <c r="AM465" t="s">
        <v>1145</v>
      </c>
      <c r="AN465" t="s">
        <v>1146</v>
      </c>
      <c r="AO465" s="100">
        <v>46262.040405092594</v>
      </c>
      <c r="AP465" t="s">
        <v>1147</v>
      </c>
      <c r="AQ465" t="s">
        <v>2144</v>
      </c>
      <c r="AR465" t="s">
        <v>1210</v>
      </c>
      <c r="AS465" t="s">
        <v>1150</v>
      </c>
      <c r="AT465" t="s">
        <v>2118</v>
      </c>
      <c r="AU465">
        <v>25</v>
      </c>
      <c r="AV465">
        <v>32.808888000000003</v>
      </c>
      <c r="AW465">
        <v>0.48486925498873695</v>
      </c>
      <c r="AX465">
        <v>1.4778594598778749</v>
      </c>
      <c r="AY465">
        <v>0.98520808149391026</v>
      </c>
      <c r="AZ465">
        <v>3.4236761902924036</v>
      </c>
      <c r="BA465">
        <v>0.50929491306926011</v>
      </c>
      <c r="BB465" t="s">
        <v>4619</v>
      </c>
      <c r="BD465" s="98"/>
      <c r="BE465" s="98"/>
      <c r="BF465" t="s">
        <v>1152</v>
      </c>
      <c r="BG465" t="s">
        <v>322</v>
      </c>
      <c r="BH465" t="s">
        <v>1153</v>
      </c>
      <c r="BI465">
        <v>0.98520808149391026</v>
      </c>
      <c r="BJ465" t="s">
        <v>991</v>
      </c>
      <c r="BK465">
        <v>-1.6858018036514073</v>
      </c>
      <c r="BL465">
        <v>-97.003662440170032</v>
      </c>
      <c r="BM465" t="s">
        <v>1021</v>
      </c>
      <c r="BN465" t="s">
        <v>1154</v>
      </c>
      <c r="BO465">
        <v>2025</v>
      </c>
      <c r="BP465" t="s">
        <v>966</v>
      </c>
      <c r="BQ465">
        <v>839085.19678976806</v>
      </c>
      <c r="BR465">
        <v>16.091480321023194</v>
      </c>
      <c r="BS465" t="s">
        <v>992</v>
      </c>
      <c r="BV465" t="s">
        <v>1034</v>
      </c>
      <c r="BW465" t="s">
        <v>943</v>
      </c>
      <c r="BX465" t="s">
        <v>994</v>
      </c>
      <c r="BY465">
        <v>0.50929491306926011</v>
      </c>
      <c r="BZ465" t="s">
        <v>1155</v>
      </c>
      <c r="CA465" t="s">
        <v>991</v>
      </c>
      <c r="CB465" t="b">
        <v>1</v>
      </c>
      <c r="CC465" t="b">
        <v>1</v>
      </c>
      <c r="CD465" t="b">
        <v>1</v>
      </c>
      <c r="CE465" t="b">
        <v>1</v>
      </c>
      <c r="CF465" t="b">
        <v>1</v>
      </c>
    </row>
    <row r="466" spans="1:84" x14ac:dyDescent="0.3">
      <c r="A466" t="s">
        <v>2145</v>
      </c>
      <c r="B466" t="s">
        <v>1212</v>
      </c>
      <c r="C466" s="98">
        <v>45761</v>
      </c>
      <c r="D466">
        <v>2025</v>
      </c>
      <c r="E466">
        <v>4</v>
      </c>
      <c r="F466">
        <v>2</v>
      </c>
      <c r="G466" t="s">
        <v>1208</v>
      </c>
      <c r="H466" t="s">
        <v>131</v>
      </c>
      <c r="I466" t="s">
        <v>131</v>
      </c>
      <c r="J466" t="s">
        <v>6</v>
      </c>
      <c r="L466">
        <v>522611</v>
      </c>
      <c r="M466" s="99" t="s">
        <v>178</v>
      </c>
      <c r="N466">
        <v>1</v>
      </c>
      <c r="O466">
        <v>15</v>
      </c>
      <c r="P466">
        <v>33.656599999999997</v>
      </c>
      <c r="Q466" t="s">
        <v>352</v>
      </c>
      <c r="R466">
        <v>1</v>
      </c>
      <c r="S466">
        <v>33.017200000000003</v>
      </c>
      <c r="T466">
        <v>0.57820000000000005</v>
      </c>
      <c r="U466">
        <v>1.1058457281217482</v>
      </c>
      <c r="V466">
        <v>31.282600000000002</v>
      </c>
      <c r="W466">
        <v>31.860800000000001</v>
      </c>
      <c r="X466">
        <v>32.439</v>
      </c>
      <c r="Y466">
        <v>33.595400000000005</v>
      </c>
      <c r="Z466">
        <v>34.1736</v>
      </c>
      <c r="AA466">
        <v>34.751800000000003</v>
      </c>
      <c r="AD466">
        <v>1.7378743866409962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 t="s">
        <v>462</v>
      </c>
      <c r="AL466" t="s">
        <v>6</v>
      </c>
      <c r="AM466" t="s">
        <v>1145</v>
      </c>
      <c r="AN466" t="s">
        <v>1146</v>
      </c>
      <c r="AO466" s="100">
        <v>46262.040405092594</v>
      </c>
      <c r="AP466" t="s">
        <v>1147</v>
      </c>
      <c r="AQ466" t="s">
        <v>2146</v>
      </c>
      <c r="AR466" t="s">
        <v>1215</v>
      </c>
      <c r="AS466" t="s">
        <v>1150</v>
      </c>
      <c r="AT466" t="s">
        <v>2118</v>
      </c>
      <c r="AU466">
        <v>25</v>
      </c>
      <c r="AV466">
        <v>32.808888000000003</v>
      </c>
      <c r="AW466">
        <v>0.48486925498873695</v>
      </c>
      <c r="AX466">
        <v>1.4778594598778749</v>
      </c>
      <c r="AY466">
        <v>0.98520808149391026</v>
      </c>
      <c r="AZ466">
        <v>3.4236761902924036</v>
      </c>
      <c r="BA466">
        <v>0.50929491306926011</v>
      </c>
      <c r="BB466" t="s">
        <v>4619</v>
      </c>
      <c r="BD466" s="98"/>
      <c r="BE466" s="98"/>
      <c r="BF466" t="s">
        <v>1152</v>
      </c>
      <c r="BG466" t="s">
        <v>322</v>
      </c>
      <c r="BH466" t="s">
        <v>1153</v>
      </c>
      <c r="BI466">
        <v>0.98520808149391026</v>
      </c>
      <c r="BJ466" t="s">
        <v>991</v>
      </c>
      <c r="BK466">
        <v>-1.6858018036514073</v>
      </c>
      <c r="BL466">
        <v>-97.003662440170032</v>
      </c>
      <c r="BM466" t="s">
        <v>1021</v>
      </c>
      <c r="BN466" t="s">
        <v>1154</v>
      </c>
      <c r="BO466">
        <v>2025</v>
      </c>
      <c r="BP466" t="s">
        <v>966</v>
      </c>
      <c r="BQ466">
        <v>839085.19678976806</v>
      </c>
      <c r="BR466">
        <v>16.091480321023194</v>
      </c>
      <c r="BS466" t="s">
        <v>992</v>
      </c>
      <c r="BV466" t="s">
        <v>1034</v>
      </c>
      <c r="BW466" t="s">
        <v>943</v>
      </c>
      <c r="BX466" t="s">
        <v>994</v>
      </c>
      <c r="BY466">
        <v>0.50929491306926011</v>
      </c>
      <c r="BZ466" t="s">
        <v>1155</v>
      </c>
      <c r="CA466" t="s">
        <v>991</v>
      </c>
      <c r="CB466" t="b">
        <v>1</v>
      </c>
      <c r="CC466" t="b">
        <v>1</v>
      </c>
      <c r="CD466" t="b">
        <v>1</v>
      </c>
      <c r="CE466" t="b">
        <v>1</v>
      </c>
      <c r="CF466" t="b">
        <v>1</v>
      </c>
    </row>
    <row r="467" spans="1:84" x14ac:dyDescent="0.3">
      <c r="A467" t="s">
        <v>2147</v>
      </c>
      <c r="B467" t="s">
        <v>1217</v>
      </c>
      <c r="C467" s="98">
        <v>45768</v>
      </c>
      <c r="D467">
        <v>2025</v>
      </c>
      <c r="E467">
        <v>4</v>
      </c>
      <c r="F467">
        <v>2</v>
      </c>
      <c r="G467" t="s">
        <v>1208</v>
      </c>
      <c r="H467" t="s">
        <v>131</v>
      </c>
      <c r="I467" t="s">
        <v>131</v>
      </c>
      <c r="J467" t="s">
        <v>6</v>
      </c>
      <c r="L467">
        <v>522611</v>
      </c>
      <c r="M467" s="99" t="s">
        <v>178</v>
      </c>
      <c r="N467">
        <v>1</v>
      </c>
      <c r="O467">
        <v>16</v>
      </c>
      <c r="P467">
        <v>32.135800000000003</v>
      </c>
      <c r="Q467" t="s">
        <v>352</v>
      </c>
      <c r="R467">
        <v>1</v>
      </c>
      <c r="S467">
        <v>33.017200000000003</v>
      </c>
      <c r="T467">
        <v>0.57820000000000005</v>
      </c>
      <c r="U467">
        <v>-1.5243860255966779</v>
      </c>
      <c r="V467">
        <v>31.282600000000002</v>
      </c>
      <c r="W467">
        <v>31.860800000000001</v>
      </c>
      <c r="X467">
        <v>32.439</v>
      </c>
      <c r="Y467">
        <v>33.595400000000005</v>
      </c>
      <c r="Z467">
        <v>34.1736</v>
      </c>
      <c r="AA467">
        <v>34.751800000000003</v>
      </c>
      <c r="AD467">
        <v>1.7378743866409962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 t="s">
        <v>462</v>
      </c>
      <c r="AL467" t="s">
        <v>6</v>
      </c>
      <c r="AM467" t="s">
        <v>1145</v>
      </c>
      <c r="AN467" t="s">
        <v>1146</v>
      </c>
      <c r="AO467" s="100">
        <v>46262.040405092594</v>
      </c>
      <c r="AP467" t="s">
        <v>1147</v>
      </c>
      <c r="AQ467" t="s">
        <v>2148</v>
      </c>
      <c r="AR467" t="s">
        <v>1219</v>
      </c>
      <c r="AS467" t="s">
        <v>1150</v>
      </c>
      <c r="AT467" t="s">
        <v>2118</v>
      </c>
      <c r="AU467">
        <v>25</v>
      </c>
      <c r="AV467">
        <v>32.808888000000003</v>
      </c>
      <c r="AW467">
        <v>0.48486925498873695</v>
      </c>
      <c r="AX467">
        <v>1.4778594598778749</v>
      </c>
      <c r="AY467">
        <v>0.98520808149391026</v>
      </c>
      <c r="AZ467">
        <v>3.4236761902924036</v>
      </c>
      <c r="BA467">
        <v>0.50929491306926011</v>
      </c>
      <c r="BB467" t="s">
        <v>4619</v>
      </c>
      <c r="BD467" s="98"/>
      <c r="BE467" s="98"/>
      <c r="BF467" t="s">
        <v>1152</v>
      </c>
      <c r="BG467" t="s">
        <v>322</v>
      </c>
      <c r="BH467" t="s">
        <v>1153</v>
      </c>
      <c r="BI467">
        <v>0.98520808149391026</v>
      </c>
      <c r="BJ467" t="s">
        <v>991</v>
      </c>
      <c r="BK467">
        <v>-1.6858018036514073</v>
      </c>
      <c r="BL467">
        <v>-97.003662440170032</v>
      </c>
      <c r="BM467" t="s">
        <v>1021</v>
      </c>
      <c r="BN467" t="s">
        <v>1154</v>
      </c>
      <c r="BO467">
        <v>2025</v>
      </c>
      <c r="BP467" t="s">
        <v>966</v>
      </c>
      <c r="BQ467">
        <v>839085.19678976806</v>
      </c>
      <c r="BR467">
        <v>16.091480321023194</v>
      </c>
      <c r="BS467" t="s">
        <v>992</v>
      </c>
      <c r="BV467" t="s">
        <v>1034</v>
      </c>
      <c r="BW467" t="s">
        <v>943</v>
      </c>
      <c r="BX467" t="s">
        <v>994</v>
      </c>
      <c r="BY467">
        <v>0.50929491306926011</v>
      </c>
      <c r="BZ467" t="s">
        <v>1155</v>
      </c>
      <c r="CA467" t="s">
        <v>991</v>
      </c>
      <c r="CB467" t="b">
        <v>1</v>
      </c>
      <c r="CC467" t="b">
        <v>1</v>
      </c>
      <c r="CD467" t="b">
        <v>1</v>
      </c>
      <c r="CE467" t="b">
        <v>1</v>
      </c>
      <c r="CF467" t="b">
        <v>1</v>
      </c>
    </row>
    <row r="468" spans="1:84" x14ac:dyDescent="0.3">
      <c r="A468" t="s">
        <v>2149</v>
      </c>
      <c r="B468" t="s">
        <v>1221</v>
      </c>
      <c r="C468" s="98">
        <v>45775</v>
      </c>
      <c r="D468">
        <v>2025</v>
      </c>
      <c r="E468">
        <v>4</v>
      </c>
      <c r="F468">
        <v>2</v>
      </c>
      <c r="G468" t="s">
        <v>1208</v>
      </c>
      <c r="H468" t="s">
        <v>131</v>
      </c>
      <c r="I468" t="s">
        <v>131</v>
      </c>
      <c r="J468" t="s">
        <v>6</v>
      </c>
      <c r="L468">
        <v>522611</v>
      </c>
      <c r="M468" s="99" t="s">
        <v>178</v>
      </c>
      <c r="N468">
        <v>1</v>
      </c>
      <c r="O468">
        <v>17</v>
      </c>
      <c r="P468">
        <v>32.388100000000001</v>
      </c>
      <c r="Q468" t="s">
        <v>352</v>
      </c>
      <c r="R468">
        <v>1</v>
      </c>
      <c r="S468">
        <v>33.017200000000003</v>
      </c>
      <c r="T468">
        <v>0.57820000000000005</v>
      </c>
      <c r="U468">
        <v>-1.0880318228986527</v>
      </c>
      <c r="V468">
        <v>31.282600000000002</v>
      </c>
      <c r="W468">
        <v>31.860800000000001</v>
      </c>
      <c r="X468">
        <v>32.439</v>
      </c>
      <c r="Y468">
        <v>33.595400000000005</v>
      </c>
      <c r="Z468">
        <v>34.1736</v>
      </c>
      <c r="AA468">
        <v>34.751800000000003</v>
      </c>
      <c r="AD468">
        <v>1.7378743866409962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 t="s">
        <v>462</v>
      </c>
      <c r="AL468" t="s">
        <v>6</v>
      </c>
      <c r="AM468" t="s">
        <v>1145</v>
      </c>
      <c r="AN468" t="s">
        <v>1146</v>
      </c>
      <c r="AO468" s="100">
        <v>46262.040405092594</v>
      </c>
      <c r="AP468" t="s">
        <v>1147</v>
      </c>
      <c r="AQ468" t="s">
        <v>2150</v>
      </c>
      <c r="AR468" t="s">
        <v>1223</v>
      </c>
      <c r="AS468" t="s">
        <v>1150</v>
      </c>
      <c r="AT468" t="s">
        <v>2118</v>
      </c>
      <c r="AU468">
        <v>25</v>
      </c>
      <c r="AV468">
        <v>32.808888000000003</v>
      </c>
      <c r="AW468">
        <v>0.48486925498873695</v>
      </c>
      <c r="AX468">
        <v>1.4778594598778749</v>
      </c>
      <c r="AY468">
        <v>0.98520808149391026</v>
      </c>
      <c r="AZ468">
        <v>3.4236761902924036</v>
      </c>
      <c r="BA468">
        <v>0.50929491306926011</v>
      </c>
      <c r="BB468" t="s">
        <v>4619</v>
      </c>
      <c r="BD468" s="98"/>
      <c r="BE468" s="98"/>
      <c r="BF468" t="s">
        <v>1152</v>
      </c>
      <c r="BG468" t="s">
        <v>322</v>
      </c>
      <c r="BH468" t="s">
        <v>1153</v>
      </c>
      <c r="BI468">
        <v>0.98520808149391026</v>
      </c>
      <c r="BJ468" t="s">
        <v>991</v>
      </c>
      <c r="BK468">
        <v>-1.6858018036514073</v>
      </c>
      <c r="BL468">
        <v>-97.003662440170032</v>
      </c>
      <c r="BM468" t="s">
        <v>1021</v>
      </c>
      <c r="BN468" t="s">
        <v>1154</v>
      </c>
      <c r="BO468">
        <v>2025</v>
      </c>
      <c r="BP468" t="s">
        <v>966</v>
      </c>
      <c r="BQ468">
        <v>839085.19678976806</v>
      </c>
      <c r="BR468">
        <v>16.091480321023194</v>
      </c>
      <c r="BS468" t="s">
        <v>992</v>
      </c>
      <c r="BV468" t="s">
        <v>1034</v>
      </c>
      <c r="BW468" t="s">
        <v>943</v>
      </c>
      <c r="BX468" t="s">
        <v>994</v>
      </c>
      <c r="BY468">
        <v>0.50929491306926011</v>
      </c>
      <c r="BZ468" t="s">
        <v>1155</v>
      </c>
      <c r="CA468" t="s">
        <v>991</v>
      </c>
      <c r="CB468" t="b">
        <v>1</v>
      </c>
      <c r="CC468" t="b">
        <v>1</v>
      </c>
      <c r="CD468" t="b">
        <v>1</v>
      </c>
      <c r="CE468" t="b">
        <v>1</v>
      </c>
      <c r="CF468" t="b">
        <v>1</v>
      </c>
    </row>
    <row r="469" spans="1:84" x14ac:dyDescent="0.3">
      <c r="A469" t="s">
        <v>2151</v>
      </c>
      <c r="B469" t="s">
        <v>1225</v>
      </c>
      <c r="C469" s="98">
        <v>45782</v>
      </c>
      <c r="D469">
        <v>2025</v>
      </c>
      <c r="E469">
        <v>5</v>
      </c>
      <c r="F469">
        <v>2</v>
      </c>
      <c r="G469" t="s">
        <v>1226</v>
      </c>
      <c r="H469" t="s">
        <v>131</v>
      </c>
      <c r="I469" t="s">
        <v>131</v>
      </c>
      <c r="J469" t="s">
        <v>6</v>
      </c>
      <c r="L469">
        <v>522611</v>
      </c>
      <c r="M469" s="99" t="s">
        <v>178</v>
      </c>
      <c r="N469">
        <v>1</v>
      </c>
      <c r="O469">
        <v>18</v>
      </c>
      <c r="P469">
        <v>32.587499999999999</v>
      </c>
      <c r="Q469" t="s">
        <v>352</v>
      </c>
      <c r="R469">
        <v>1</v>
      </c>
      <c r="S469">
        <v>33.017200000000003</v>
      </c>
      <c r="T469">
        <v>0.57820000000000005</v>
      </c>
      <c r="U469">
        <v>-0.74316845382221364</v>
      </c>
      <c r="V469">
        <v>31.282600000000002</v>
      </c>
      <c r="W469">
        <v>31.860800000000001</v>
      </c>
      <c r="X469">
        <v>32.439</v>
      </c>
      <c r="Y469">
        <v>33.595400000000005</v>
      </c>
      <c r="Z469">
        <v>34.1736</v>
      </c>
      <c r="AA469">
        <v>34.751800000000003</v>
      </c>
      <c r="AD469">
        <v>1.7378743866409962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 t="s">
        <v>462</v>
      </c>
      <c r="AL469" t="s">
        <v>6</v>
      </c>
      <c r="AM469" t="s">
        <v>1145</v>
      </c>
      <c r="AN469" t="s">
        <v>1146</v>
      </c>
      <c r="AO469" s="100">
        <v>46262.040405092594</v>
      </c>
      <c r="AP469" t="s">
        <v>1147</v>
      </c>
      <c r="AQ469" t="s">
        <v>2152</v>
      </c>
      <c r="AR469" t="s">
        <v>1228</v>
      </c>
      <c r="AS469" t="s">
        <v>1150</v>
      </c>
      <c r="AT469" t="s">
        <v>2118</v>
      </c>
      <c r="AU469">
        <v>25</v>
      </c>
      <c r="AV469">
        <v>32.808888000000003</v>
      </c>
      <c r="AW469">
        <v>0.48486925498873695</v>
      </c>
      <c r="AX469">
        <v>1.4778594598778749</v>
      </c>
      <c r="AY469">
        <v>0.98520808149391026</v>
      </c>
      <c r="AZ469">
        <v>3.4236761902924036</v>
      </c>
      <c r="BA469">
        <v>0.50929491306926011</v>
      </c>
      <c r="BB469" t="s">
        <v>4619</v>
      </c>
      <c r="BD469" s="98"/>
      <c r="BE469" s="98"/>
      <c r="BF469" t="s">
        <v>1152</v>
      </c>
      <c r="BG469" t="s">
        <v>322</v>
      </c>
      <c r="BH469" t="s">
        <v>1153</v>
      </c>
      <c r="BI469">
        <v>0.98520808149391026</v>
      </c>
      <c r="BJ469" t="s">
        <v>991</v>
      </c>
      <c r="BK469">
        <v>-1.6858018036514073</v>
      </c>
      <c r="BL469">
        <v>-97.003662440170032</v>
      </c>
      <c r="BM469" t="s">
        <v>1021</v>
      </c>
      <c r="BN469" t="s">
        <v>1154</v>
      </c>
      <c r="BO469">
        <v>2025</v>
      </c>
      <c r="BP469" t="s">
        <v>966</v>
      </c>
      <c r="BQ469">
        <v>839085.19678976806</v>
      </c>
      <c r="BR469">
        <v>16.091480321023194</v>
      </c>
      <c r="BS469" t="s">
        <v>992</v>
      </c>
      <c r="BV469" t="s">
        <v>1034</v>
      </c>
      <c r="BW469" t="s">
        <v>943</v>
      </c>
      <c r="BX469" t="s">
        <v>994</v>
      </c>
      <c r="BY469">
        <v>0.50929491306926011</v>
      </c>
      <c r="BZ469" t="s">
        <v>1155</v>
      </c>
      <c r="CA469" t="s">
        <v>991</v>
      </c>
      <c r="CB469" t="b">
        <v>1</v>
      </c>
      <c r="CC469" t="b">
        <v>1</v>
      </c>
      <c r="CD469" t="b">
        <v>1</v>
      </c>
      <c r="CE469" t="b">
        <v>1</v>
      </c>
      <c r="CF469" t="b">
        <v>1</v>
      </c>
    </row>
    <row r="470" spans="1:84" x14ac:dyDescent="0.3">
      <c r="A470" t="s">
        <v>2153</v>
      </c>
      <c r="B470" t="s">
        <v>1230</v>
      </c>
      <c r="C470" s="98">
        <v>45789</v>
      </c>
      <c r="D470">
        <v>2025</v>
      </c>
      <c r="E470">
        <v>5</v>
      </c>
      <c r="F470">
        <v>2</v>
      </c>
      <c r="G470" t="s">
        <v>1226</v>
      </c>
      <c r="H470" t="s">
        <v>131</v>
      </c>
      <c r="I470" t="s">
        <v>131</v>
      </c>
      <c r="J470" t="s">
        <v>6</v>
      </c>
      <c r="L470">
        <v>522611</v>
      </c>
      <c r="M470" s="99" t="s">
        <v>178</v>
      </c>
      <c r="N470">
        <v>1</v>
      </c>
      <c r="O470">
        <v>19</v>
      </c>
      <c r="P470">
        <v>32.364100000000001</v>
      </c>
      <c r="Q470" t="s">
        <v>352</v>
      </c>
      <c r="R470">
        <v>1</v>
      </c>
      <c r="S470">
        <v>33.017200000000003</v>
      </c>
      <c r="T470">
        <v>0.57820000000000005</v>
      </c>
      <c r="U470">
        <v>-1.1295399515738533</v>
      </c>
      <c r="V470">
        <v>31.282600000000002</v>
      </c>
      <c r="W470">
        <v>31.860800000000001</v>
      </c>
      <c r="X470">
        <v>32.439</v>
      </c>
      <c r="Y470">
        <v>33.595400000000005</v>
      </c>
      <c r="Z470">
        <v>34.1736</v>
      </c>
      <c r="AA470">
        <v>34.751800000000003</v>
      </c>
      <c r="AD470">
        <v>1.7378743866409962</v>
      </c>
      <c r="AE470">
        <v>0</v>
      </c>
      <c r="AF470">
        <v>0</v>
      </c>
      <c r="AG470">
        <v>0</v>
      </c>
      <c r="AH470">
        <v>0</v>
      </c>
      <c r="AI470">
        <v>1</v>
      </c>
      <c r="AJ470">
        <v>0</v>
      </c>
      <c r="AK470" t="s">
        <v>1213</v>
      </c>
      <c r="AL470" t="s">
        <v>6</v>
      </c>
      <c r="AM470" t="s">
        <v>1145</v>
      </c>
      <c r="AN470" t="s">
        <v>1146</v>
      </c>
      <c r="AO470" s="100">
        <v>46262.040405092594</v>
      </c>
      <c r="AP470" t="s">
        <v>1147</v>
      </c>
      <c r="AQ470" t="s">
        <v>2154</v>
      </c>
      <c r="AR470" t="s">
        <v>1232</v>
      </c>
      <c r="AS470" t="s">
        <v>1150</v>
      </c>
      <c r="AT470" t="s">
        <v>2118</v>
      </c>
      <c r="AU470">
        <v>25</v>
      </c>
      <c r="AV470">
        <v>32.808888000000003</v>
      </c>
      <c r="AW470">
        <v>0.48486925498873695</v>
      </c>
      <c r="AX470">
        <v>1.4778594598778749</v>
      </c>
      <c r="AY470">
        <v>0.98520808149391026</v>
      </c>
      <c r="AZ470">
        <v>3.4236761902924036</v>
      </c>
      <c r="BA470">
        <v>0.50929491306926011</v>
      </c>
      <c r="BB470" t="s">
        <v>4619</v>
      </c>
      <c r="BD470" s="98"/>
      <c r="BE470" s="98"/>
      <c r="BF470" t="s">
        <v>1152</v>
      </c>
      <c r="BG470" t="s">
        <v>322</v>
      </c>
      <c r="BH470" t="s">
        <v>1153</v>
      </c>
      <c r="BI470">
        <v>0.98520808149391026</v>
      </c>
      <c r="BJ470" t="s">
        <v>991</v>
      </c>
      <c r="BK470">
        <v>-1.6858018036514073</v>
      </c>
      <c r="BL470">
        <v>-97.003662440170032</v>
      </c>
      <c r="BM470" t="s">
        <v>1021</v>
      </c>
      <c r="BN470" t="s">
        <v>1154</v>
      </c>
      <c r="BO470">
        <v>2025</v>
      </c>
      <c r="BP470" t="s">
        <v>966</v>
      </c>
      <c r="BQ470">
        <v>839085.19678976806</v>
      </c>
      <c r="BR470">
        <v>16.091480321023194</v>
      </c>
      <c r="BS470" t="s">
        <v>992</v>
      </c>
      <c r="BV470" t="s">
        <v>1034</v>
      </c>
      <c r="BW470" t="s">
        <v>943</v>
      </c>
      <c r="BX470" t="s">
        <v>994</v>
      </c>
      <c r="BY470">
        <v>0.50929491306926011</v>
      </c>
      <c r="BZ470" t="s">
        <v>1155</v>
      </c>
      <c r="CA470" t="s">
        <v>991</v>
      </c>
      <c r="CB470" t="b">
        <v>1</v>
      </c>
      <c r="CC470" t="b">
        <v>1</v>
      </c>
      <c r="CD470" t="b">
        <v>1</v>
      </c>
      <c r="CE470" t="b">
        <v>1</v>
      </c>
      <c r="CF470" t="b">
        <v>1</v>
      </c>
    </row>
    <row r="471" spans="1:84" x14ac:dyDescent="0.3">
      <c r="A471" t="s">
        <v>2155</v>
      </c>
      <c r="B471" t="s">
        <v>1234</v>
      </c>
      <c r="C471" s="98">
        <v>45796</v>
      </c>
      <c r="D471">
        <v>2025</v>
      </c>
      <c r="E471">
        <v>5</v>
      </c>
      <c r="F471">
        <v>2</v>
      </c>
      <c r="G471" t="s">
        <v>1226</v>
      </c>
      <c r="H471" t="s">
        <v>131</v>
      </c>
      <c r="I471" t="s">
        <v>131</v>
      </c>
      <c r="J471" t="s">
        <v>6</v>
      </c>
      <c r="L471">
        <v>522611</v>
      </c>
      <c r="M471" s="99" t="s">
        <v>178</v>
      </c>
      <c r="N471">
        <v>1</v>
      </c>
      <c r="O471">
        <v>20</v>
      </c>
      <c r="P471">
        <v>33.236600000000003</v>
      </c>
      <c r="Q471" t="s">
        <v>352</v>
      </c>
      <c r="R471">
        <v>1</v>
      </c>
      <c r="S471">
        <v>33.017200000000003</v>
      </c>
      <c r="T471">
        <v>0.57820000000000005</v>
      </c>
      <c r="U471">
        <v>0.37945347630577697</v>
      </c>
      <c r="V471">
        <v>31.282600000000002</v>
      </c>
      <c r="W471">
        <v>31.860800000000001</v>
      </c>
      <c r="X471">
        <v>32.439</v>
      </c>
      <c r="Y471">
        <v>33.595400000000005</v>
      </c>
      <c r="Z471">
        <v>34.1736</v>
      </c>
      <c r="AA471">
        <v>34.751800000000003</v>
      </c>
      <c r="AD471">
        <v>1.7378743866409962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 t="s">
        <v>462</v>
      </c>
      <c r="AL471" t="s">
        <v>6</v>
      </c>
      <c r="AM471" t="s">
        <v>1145</v>
      </c>
      <c r="AN471" t="s">
        <v>1146</v>
      </c>
      <c r="AO471" s="100">
        <v>46262.040405092594</v>
      </c>
      <c r="AP471" t="s">
        <v>1147</v>
      </c>
      <c r="AQ471" t="s">
        <v>2156</v>
      </c>
      <c r="AR471" t="s">
        <v>1236</v>
      </c>
      <c r="AS471" t="s">
        <v>1150</v>
      </c>
      <c r="AT471" t="s">
        <v>2118</v>
      </c>
      <c r="AU471">
        <v>25</v>
      </c>
      <c r="AV471">
        <v>32.808888000000003</v>
      </c>
      <c r="AW471">
        <v>0.48486925498873695</v>
      </c>
      <c r="AX471">
        <v>1.4778594598778749</v>
      </c>
      <c r="AY471">
        <v>0.98520808149391026</v>
      </c>
      <c r="AZ471">
        <v>3.4236761902924036</v>
      </c>
      <c r="BA471">
        <v>0.50929491306926011</v>
      </c>
      <c r="BB471" t="s">
        <v>4619</v>
      </c>
      <c r="BD471" s="98"/>
      <c r="BE471" s="98"/>
      <c r="BF471" t="s">
        <v>1152</v>
      </c>
      <c r="BG471" t="s">
        <v>322</v>
      </c>
      <c r="BH471" t="s">
        <v>1153</v>
      </c>
      <c r="BI471">
        <v>0.98520808149391026</v>
      </c>
      <c r="BJ471" t="s">
        <v>991</v>
      </c>
      <c r="BK471">
        <v>-1.6858018036514073</v>
      </c>
      <c r="BL471">
        <v>-97.003662440170032</v>
      </c>
      <c r="BM471" t="s">
        <v>1021</v>
      </c>
      <c r="BN471" t="s">
        <v>1154</v>
      </c>
      <c r="BO471">
        <v>2025</v>
      </c>
      <c r="BP471" t="s">
        <v>966</v>
      </c>
      <c r="BQ471">
        <v>839085.19678976806</v>
      </c>
      <c r="BR471">
        <v>16.091480321023194</v>
      </c>
      <c r="BS471" t="s">
        <v>992</v>
      </c>
      <c r="BV471" t="s">
        <v>1034</v>
      </c>
      <c r="BW471" t="s">
        <v>943</v>
      </c>
      <c r="BX471" t="s">
        <v>994</v>
      </c>
      <c r="BY471">
        <v>0.50929491306926011</v>
      </c>
      <c r="BZ471" t="s">
        <v>1155</v>
      </c>
      <c r="CA471" t="s">
        <v>991</v>
      </c>
      <c r="CB471" t="b">
        <v>1</v>
      </c>
      <c r="CC471" t="b">
        <v>1</v>
      </c>
      <c r="CD471" t="b">
        <v>1</v>
      </c>
      <c r="CE471" t="b">
        <v>1</v>
      </c>
      <c r="CF471" t="b">
        <v>1</v>
      </c>
    </row>
    <row r="472" spans="1:84" x14ac:dyDescent="0.3">
      <c r="A472" t="s">
        <v>2157</v>
      </c>
      <c r="B472" t="s">
        <v>1238</v>
      </c>
      <c r="C472" s="98">
        <v>45803</v>
      </c>
      <c r="D472">
        <v>2025</v>
      </c>
      <c r="E472">
        <v>5</v>
      </c>
      <c r="F472">
        <v>2</v>
      </c>
      <c r="G472" t="s">
        <v>1226</v>
      </c>
      <c r="H472" t="s">
        <v>131</v>
      </c>
      <c r="I472" t="s">
        <v>131</v>
      </c>
      <c r="J472" t="s">
        <v>6</v>
      </c>
      <c r="L472">
        <v>522611</v>
      </c>
      <c r="M472" s="99" t="s">
        <v>178</v>
      </c>
      <c r="N472">
        <v>1</v>
      </c>
      <c r="O472">
        <v>21</v>
      </c>
      <c r="P472">
        <v>32.550400000000003</v>
      </c>
      <c r="Q472" t="s">
        <v>352</v>
      </c>
      <c r="R472">
        <v>1</v>
      </c>
      <c r="S472">
        <v>33.017200000000003</v>
      </c>
      <c r="T472">
        <v>0.57820000000000005</v>
      </c>
      <c r="U472">
        <v>-0.80733310273261705</v>
      </c>
      <c r="V472">
        <v>31.282600000000002</v>
      </c>
      <c r="W472">
        <v>31.860800000000001</v>
      </c>
      <c r="X472">
        <v>32.439</v>
      </c>
      <c r="Y472">
        <v>33.595400000000005</v>
      </c>
      <c r="Z472">
        <v>34.1736</v>
      </c>
      <c r="AA472">
        <v>34.751800000000003</v>
      </c>
      <c r="AD472">
        <v>1.7378743866409962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 t="s">
        <v>462</v>
      </c>
      <c r="AL472" t="s">
        <v>6</v>
      </c>
      <c r="AM472" t="s">
        <v>1145</v>
      </c>
      <c r="AN472" t="s">
        <v>1146</v>
      </c>
      <c r="AO472" s="100">
        <v>46262.040405092594</v>
      </c>
      <c r="AP472" t="s">
        <v>1147</v>
      </c>
      <c r="AQ472" t="s">
        <v>2158</v>
      </c>
      <c r="AR472" t="s">
        <v>1240</v>
      </c>
      <c r="AS472" t="s">
        <v>1150</v>
      </c>
      <c r="AT472" t="s">
        <v>2118</v>
      </c>
      <c r="AU472">
        <v>25</v>
      </c>
      <c r="AV472">
        <v>32.808888000000003</v>
      </c>
      <c r="AW472">
        <v>0.48486925498873695</v>
      </c>
      <c r="AX472">
        <v>1.4778594598778749</v>
      </c>
      <c r="AY472">
        <v>0.98520808149391026</v>
      </c>
      <c r="AZ472">
        <v>3.4236761902924036</v>
      </c>
      <c r="BA472">
        <v>0.50929491306926011</v>
      </c>
      <c r="BB472" t="s">
        <v>4619</v>
      </c>
      <c r="BD472" s="98"/>
      <c r="BE472" s="98"/>
      <c r="BF472" t="s">
        <v>1152</v>
      </c>
      <c r="BG472" t="s">
        <v>322</v>
      </c>
      <c r="BH472" t="s">
        <v>1153</v>
      </c>
      <c r="BI472">
        <v>0.98520808149391026</v>
      </c>
      <c r="BJ472" t="s">
        <v>991</v>
      </c>
      <c r="BK472">
        <v>-1.6858018036514073</v>
      </c>
      <c r="BL472">
        <v>-97.003662440170032</v>
      </c>
      <c r="BM472" t="s">
        <v>1021</v>
      </c>
      <c r="BN472" t="s">
        <v>1154</v>
      </c>
      <c r="BO472">
        <v>2025</v>
      </c>
      <c r="BP472" t="s">
        <v>966</v>
      </c>
      <c r="BQ472">
        <v>839085.19678976806</v>
      </c>
      <c r="BR472">
        <v>16.091480321023194</v>
      </c>
      <c r="BS472" t="s">
        <v>992</v>
      </c>
      <c r="BV472" t="s">
        <v>1034</v>
      </c>
      <c r="BW472" t="s">
        <v>943</v>
      </c>
      <c r="BX472" t="s">
        <v>994</v>
      </c>
      <c r="BY472">
        <v>0.50929491306926011</v>
      </c>
      <c r="BZ472" t="s">
        <v>1155</v>
      </c>
      <c r="CA472" t="s">
        <v>991</v>
      </c>
      <c r="CB472" t="b">
        <v>1</v>
      </c>
      <c r="CC472" t="b">
        <v>1</v>
      </c>
      <c r="CD472" t="b">
        <v>1</v>
      </c>
      <c r="CE472" t="b">
        <v>1</v>
      </c>
      <c r="CF472" t="b">
        <v>1</v>
      </c>
    </row>
    <row r="473" spans="1:84" x14ac:dyDescent="0.3">
      <c r="A473" t="s">
        <v>2159</v>
      </c>
      <c r="B473" t="s">
        <v>1242</v>
      </c>
      <c r="C473" s="98">
        <v>45810</v>
      </c>
      <c r="D473">
        <v>2025</v>
      </c>
      <c r="E473">
        <v>6</v>
      </c>
      <c r="F473">
        <v>2</v>
      </c>
      <c r="G473" t="s">
        <v>1243</v>
      </c>
      <c r="H473" t="s">
        <v>131</v>
      </c>
      <c r="I473" t="s">
        <v>131</v>
      </c>
      <c r="J473" t="s">
        <v>6</v>
      </c>
      <c r="L473">
        <v>522611</v>
      </c>
      <c r="M473" s="99" t="s">
        <v>178</v>
      </c>
      <c r="N473">
        <v>1</v>
      </c>
      <c r="O473">
        <v>22</v>
      </c>
      <c r="P473">
        <v>32.6</v>
      </c>
      <c r="Q473" t="s">
        <v>352</v>
      </c>
      <c r="R473">
        <v>1</v>
      </c>
      <c r="S473">
        <v>33.017200000000003</v>
      </c>
      <c r="T473">
        <v>0.57820000000000005</v>
      </c>
      <c r="U473">
        <v>-0.72154963680387596</v>
      </c>
      <c r="V473">
        <v>31.282600000000002</v>
      </c>
      <c r="W473">
        <v>31.860800000000001</v>
      </c>
      <c r="X473">
        <v>32.439</v>
      </c>
      <c r="Y473">
        <v>33.595400000000005</v>
      </c>
      <c r="Z473">
        <v>34.1736</v>
      </c>
      <c r="AA473">
        <v>34.751800000000003</v>
      </c>
      <c r="AD473">
        <v>1.7378743866409962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 t="s">
        <v>462</v>
      </c>
      <c r="AL473" t="s">
        <v>6</v>
      </c>
      <c r="AM473" t="s">
        <v>1145</v>
      </c>
      <c r="AN473" t="s">
        <v>1146</v>
      </c>
      <c r="AO473" s="100">
        <v>46262.040405092594</v>
      </c>
      <c r="AP473" t="s">
        <v>1147</v>
      </c>
      <c r="AQ473" t="s">
        <v>2160</v>
      </c>
      <c r="AR473" t="s">
        <v>1245</v>
      </c>
      <c r="AS473" t="s">
        <v>1150</v>
      </c>
      <c r="AT473" t="s">
        <v>2118</v>
      </c>
      <c r="AU473">
        <v>25</v>
      </c>
      <c r="AV473">
        <v>32.808888000000003</v>
      </c>
      <c r="AW473">
        <v>0.48486925498873695</v>
      </c>
      <c r="AX473">
        <v>1.4778594598778749</v>
      </c>
      <c r="AY473">
        <v>0.98520808149391026</v>
      </c>
      <c r="AZ473">
        <v>3.4236761902924036</v>
      </c>
      <c r="BA473">
        <v>0.50929491306926011</v>
      </c>
      <c r="BB473" t="s">
        <v>4619</v>
      </c>
      <c r="BD473" s="98"/>
      <c r="BE473" s="98"/>
      <c r="BF473" t="s">
        <v>1152</v>
      </c>
      <c r="BG473" t="s">
        <v>322</v>
      </c>
      <c r="BH473" t="s">
        <v>1153</v>
      </c>
      <c r="BI473">
        <v>0.98520808149391026</v>
      </c>
      <c r="BJ473" t="s">
        <v>991</v>
      </c>
      <c r="BK473">
        <v>-1.6858018036514073</v>
      </c>
      <c r="BL473">
        <v>-97.003662440170032</v>
      </c>
      <c r="BM473" t="s">
        <v>1021</v>
      </c>
      <c r="BN473" t="s">
        <v>1154</v>
      </c>
      <c r="BO473">
        <v>2025</v>
      </c>
      <c r="BP473" t="s">
        <v>966</v>
      </c>
      <c r="BQ473">
        <v>839085.19678976806</v>
      </c>
      <c r="BR473">
        <v>16.091480321023194</v>
      </c>
      <c r="BS473" t="s">
        <v>992</v>
      </c>
      <c r="BV473" t="s">
        <v>1034</v>
      </c>
      <c r="BW473" t="s">
        <v>943</v>
      </c>
      <c r="BX473" t="s">
        <v>994</v>
      </c>
      <c r="BY473">
        <v>0.50929491306926011</v>
      </c>
      <c r="BZ473" t="s">
        <v>1155</v>
      </c>
      <c r="CA473" t="s">
        <v>991</v>
      </c>
      <c r="CB473" t="b">
        <v>1</v>
      </c>
      <c r="CC473" t="b">
        <v>1</v>
      </c>
      <c r="CD473" t="b">
        <v>1</v>
      </c>
      <c r="CE473" t="b">
        <v>1</v>
      </c>
      <c r="CF473" t="b">
        <v>1</v>
      </c>
    </row>
    <row r="474" spans="1:84" x14ac:dyDescent="0.3">
      <c r="A474" t="s">
        <v>2161</v>
      </c>
      <c r="B474" t="s">
        <v>1247</v>
      </c>
      <c r="C474" s="98">
        <v>45817</v>
      </c>
      <c r="D474">
        <v>2025</v>
      </c>
      <c r="E474">
        <v>6</v>
      </c>
      <c r="F474">
        <v>2</v>
      </c>
      <c r="G474" t="s">
        <v>1243</v>
      </c>
      <c r="H474" t="s">
        <v>131</v>
      </c>
      <c r="I474" t="s">
        <v>131</v>
      </c>
      <c r="J474" t="s">
        <v>6</v>
      </c>
      <c r="L474">
        <v>522611</v>
      </c>
      <c r="M474" s="99" t="s">
        <v>178</v>
      </c>
      <c r="N474">
        <v>1</v>
      </c>
      <c r="O474">
        <v>23</v>
      </c>
      <c r="P474">
        <v>33.354500000000002</v>
      </c>
      <c r="Q474" t="s">
        <v>352</v>
      </c>
      <c r="R474">
        <v>1</v>
      </c>
      <c r="S474">
        <v>33.017200000000003</v>
      </c>
      <c r="T474">
        <v>0.57820000000000005</v>
      </c>
      <c r="U474">
        <v>0.58336215842268946</v>
      </c>
      <c r="V474">
        <v>31.282600000000002</v>
      </c>
      <c r="W474">
        <v>31.860800000000001</v>
      </c>
      <c r="X474">
        <v>32.439</v>
      </c>
      <c r="Y474">
        <v>33.595400000000005</v>
      </c>
      <c r="Z474">
        <v>34.1736</v>
      </c>
      <c r="AA474">
        <v>34.751800000000003</v>
      </c>
      <c r="AD474">
        <v>1.7378743866409962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 t="s">
        <v>462</v>
      </c>
      <c r="AL474" t="s">
        <v>6</v>
      </c>
      <c r="AM474" t="s">
        <v>1145</v>
      </c>
      <c r="AN474" t="s">
        <v>1146</v>
      </c>
      <c r="AO474" s="100">
        <v>46262.040405092594</v>
      </c>
      <c r="AP474" t="s">
        <v>1147</v>
      </c>
      <c r="AQ474" t="s">
        <v>2162</v>
      </c>
      <c r="AR474" t="s">
        <v>1249</v>
      </c>
      <c r="AS474" t="s">
        <v>1150</v>
      </c>
      <c r="AT474" t="s">
        <v>2118</v>
      </c>
      <c r="AU474">
        <v>25</v>
      </c>
      <c r="AV474">
        <v>32.808888000000003</v>
      </c>
      <c r="AW474">
        <v>0.48486925498873695</v>
      </c>
      <c r="AX474">
        <v>1.4778594598778749</v>
      </c>
      <c r="AY474">
        <v>0.98520808149391026</v>
      </c>
      <c r="AZ474">
        <v>3.4236761902924036</v>
      </c>
      <c r="BA474">
        <v>0.50929491306926011</v>
      </c>
      <c r="BB474" t="s">
        <v>4619</v>
      </c>
      <c r="BD474" s="98"/>
      <c r="BE474" s="98"/>
      <c r="BF474" t="s">
        <v>1152</v>
      </c>
      <c r="BG474" t="s">
        <v>322</v>
      </c>
      <c r="BH474" t="s">
        <v>1153</v>
      </c>
      <c r="BI474">
        <v>0.98520808149391026</v>
      </c>
      <c r="BJ474" t="s">
        <v>991</v>
      </c>
      <c r="BK474">
        <v>-1.6858018036514073</v>
      </c>
      <c r="BL474">
        <v>-97.003662440170032</v>
      </c>
      <c r="BM474" t="s">
        <v>1021</v>
      </c>
      <c r="BN474" t="s">
        <v>1154</v>
      </c>
      <c r="BO474">
        <v>2025</v>
      </c>
      <c r="BP474" t="s">
        <v>966</v>
      </c>
      <c r="BQ474">
        <v>839085.19678976806</v>
      </c>
      <c r="BR474">
        <v>16.091480321023194</v>
      </c>
      <c r="BS474" t="s">
        <v>992</v>
      </c>
      <c r="BV474" t="s">
        <v>1034</v>
      </c>
      <c r="BW474" t="s">
        <v>943</v>
      </c>
      <c r="BX474" t="s">
        <v>994</v>
      </c>
      <c r="BY474">
        <v>0.50929491306926011</v>
      </c>
      <c r="BZ474" t="s">
        <v>1155</v>
      </c>
      <c r="CA474" t="s">
        <v>991</v>
      </c>
      <c r="CB474" t="b">
        <v>1</v>
      </c>
      <c r="CC474" t="b">
        <v>1</v>
      </c>
      <c r="CD474" t="b">
        <v>1</v>
      </c>
      <c r="CE474" t="b">
        <v>1</v>
      </c>
      <c r="CF474" t="b">
        <v>1</v>
      </c>
    </row>
    <row r="475" spans="1:84" x14ac:dyDescent="0.3">
      <c r="A475" t="s">
        <v>2163</v>
      </c>
      <c r="B475" t="s">
        <v>1251</v>
      </c>
      <c r="C475" s="98">
        <v>45824</v>
      </c>
      <c r="D475">
        <v>2025</v>
      </c>
      <c r="E475">
        <v>6</v>
      </c>
      <c r="F475">
        <v>2</v>
      </c>
      <c r="G475" t="s">
        <v>1243</v>
      </c>
      <c r="H475" t="s">
        <v>131</v>
      </c>
      <c r="I475" t="s">
        <v>131</v>
      </c>
      <c r="J475" t="s">
        <v>6</v>
      </c>
      <c r="L475">
        <v>522611</v>
      </c>
      <c r="M475" s="99" t="s">
        <v>178</v>
      </c>
      <c r="N475">
        <v>1</v>
      </c>
      <c r="O475">
        <v>24</v>
      </c>
      <c r="P475">
        <v>32.580399999999997</v>
      </c>
      <c r="Q475" t="s">
        <v>352</v>
      </c>
      <c r="R475">
        <v>1</v>
      </c>
      <c r="S475">
        <v>33.017200000000003</v>
      </c>
      <c r="T475">
        <v>0.57820000000000005</v>
      </c>
      <c r="U475">
        <v>-0.75544794188862874</v>
      </c>
      <c r="V475">
        <v>31.282600000000002</v>
      </c>
      <c r="W475">
        <v>31.860800000000001</v>
      </c>
      <c r="X475">
        <v>32.439</v>
      </c>
      <c r="Y475">
        <v>33.595400000000005</v>
      </c>
      <c r="Z475">
        <v>34.1736</v>
      </c>
      <c r="AA475">
        <v>34.751800000000003</v>
      </c>
      <c r="AD475">
        <v>1.7378743866409962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 t="s">
        <v>462</v>
      </c>
      <c r="AL475" t="s">
        <v>6</v>
      </c>
      <c r="AM475" t="s">
        <v>1145</v>
      </c>
      <c r="AN475" t="s">
        <v>1146</v>
      </c>
      <c r="AO475" s="100">
        <v>46262.040405092594</v>
      </c>
      <c r="AP475" t="s">
        <v>1147</v>
      </c>
      <c r="AQ475" t="s">
        <v>2164</v>
      </c>
      <c r="AR475" t="s">
        <v>1253</v>
      </c>
      <c r="AS475" t="s">
        <v>1150</v>
      </c>
      <c r="AT475" t="s">
        <v>2118</v>
      </c>
      <c r="AU475">
        <v>25</v>
      </c>
      <c r="AV475">
        <v>32.808888000000003</v>
      </c>
      <c r="AW475">
        <v>0.48486925498873695</v>
      </c>
      <c r="AX475">
        <v>1.4778594598778749</v>
      </c>
      <c r="AY475">
        <v>0.98520808149391026</v>
      </c>
      <c r="AZ475">
        <v>3.4236761902924036</v>
      </c>
      <c r="BA475">
        <v>0.50929491306926011</v>
      </c>
      <c r="BB475" t="s">
        <v>4619</v>
      </c>
      <c r="BD475" s="98"/>
      <c r="BE475" s="98"/>
      <c r="BF475" t="s">
        <v>1152</v>
      </c>
      <c r="BG475" t="s">
        <v>322</v>
      </c>
      <c r="BH475" t="s">
        <v>1153</v>
      </c>
      <c r="BI475">
        <v>0.98520808149391026</v>
      </c>
      <c r="BJ475" t="s">
        <v>991</v>
      </c>
      <c r="BK475">
        <v>-1.6858018036514073</v>
      </c>
      <c r="BL475">
        <v>-97.003662440170032</v>
      </c>
      <c r="BM475" t="s">
        <v>1021</v>
      </c>
      <c r="BN475" t="s">
        <v>1154</v>
      </c>
      <c r="BO475">
        <v>2025</v>
      </c>
      <c r="BP475" t="s">
        <v>966</v>
      </c>
      <c r="BQ475">
        <v>839085.19678976806</v>
      </c>
      <c r="BR475">
        <v>16.091480321023194</v>
      </c>
      <c r="BS475" t="s">
        <v>992</v>
      </c>
      <c r="BV475" t="s">
        <v>1034</v>
      </c>
      <c r="BW475" t="s">
        <v>943</v>
      </c>
      <c r="BX475" t="s">
        <v>994</v>
      </c>
      <c r="BY475">
        <v>0.50929491306926011</v>
      </c>
      <c r="BZ475" t="s">
        <v>1155</v>
      </c>
      <c r="CA475" t="s">
        <v>991</v>
      </c>
      <c r="CB475" t="b">
        <v>1</v>
      </c>
      <c r="CC475" t="b">
        <v>1</v>
      </c>
      <c r="CD475" t="b">
        <v>1</v>
      </c>
      <c r="CE475" t="b">
        <v>1</v>
      </c>
      <c r="CF475" t="b">
        <v>1</v>
      </c>
    </row>
    <row r="476" spans="1:84" x14ac:dyDescent="0.3">
      <c r="A476" t="s">
        <v>2165</v>
      </c>
      <c r="B476" t="s">
        <v>1255</v>
      </c>
      <c r="C476" s="98">
        <v>45831</v>
      </c>
      <c r="D476">
        <v>2025</v>
      </c>
      <c r="E476">
        <v>6</v>
      </c>
      <c r="F476">
        <v>2</v>
      </c>
      <c r="G476" t="s">
        <v>1243</v>
      </c>
      <c r="H476" t="s">
        <v>131</v>
      </c>
      <c r="I476" t="s">
        <v>131</v>
      </c>
      <c r="J476" t="s">
        <v>6</v>
      </c>
      <c r="L476">
        <v>522611</v>
      </c>
      <c r="M476" s="99" t="s">
        <v>178</v>
      </c>
      <c r="N476">
        <v>1</v>
      </c>
      <c r="O476">
        <v>25</v>
      </c>
      <c r="P476">
        <v>33.267499999999998</v>
      </c>
      <c r="Q476" t="s">
        <v>352</v>
      </c>
      <c r="R476">
        <v>1</v>
      </c>
      <c r="S476">
        <v>33.017200000000003</v>
      </c>
      <c r="T476">
        <v>0.57820000000000005</v>
      </c>
      <c r="U476">
        <v>0.43289519197508775</v>
      </c>
      <c r="V476">
        <v>31.282600000000002</v>
      </c>
      <c r="W476">
        <v>31.860800000000001</v>
      </c>
      <c r="X476">
        <v>32.439</v>
      </c>
      <c r="Y476">
        <v>33.595400000000005</v>
      </c>
      <c r="Z476">
        <v>34.1736</v>
      </c>
      <c r="AA476">
        <v>34.751800000000003</v>
      </c>
      <c r="AD476">
        <v>1.7378743866409962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 t="s">
        <v>462</v>
      </c>
      <c r="AL476" t="s">
        <v>6</v>
      </c>
      <c r="AM476" t="s">
        <v>1145</v>
      </c>
      <c r="AN476" t="s">
        <v>1146</v>
      </c>
      <c r="AO476" s="100">
        <v>46262.040405092594</v>
      </c>
      <c r="AP476" t="s">
        <v>1147</v>
      </c>
      <c r="AQ476" t="s">
        <v>2166</v>
      </c>
      <c r="AR476" t="s">
        <v>1257</v>
      </c>
      <c r="AS476" t="s">
        <v>1150</v>
      </c>
      <c r="AT476" t="s">
        <v>2118</v>
      </c>
      <c r="AU476">
        <v>25</v>
      </c>
      <c r="AV476">
        <v>32.808888000000003</v>
      </c>
      <c r="AW476">
        <v>0.48486925498873695</v>
      </c>
      <c r="AX476">
        <v>1.4778594598778749</v>
      </c>
      <c r="AY476">
        <v>0.98520808149391026</v>
      </c>
      <c r="AZ476">
        <v>3.4236761902924036</v>
      </c>
      <c r="BA476">
        <v>0.50929491306926011</v>
      </c>
      <c r="BB476" t="s">
        <v>4619</v>
      </c>
      <c r="BD476" s="98"/>
      <c r="BE476" s="98"/>
      <c r="BF476" t="s">
        <v>1152</v>
      </c>
      <c r="BG476" t="s">
        <v>322</v>
      </c>
      <c r="BH476" t="s">
        <v>1153</v>
      </c>
      <c r="BI476">
        <v>0.98520808149391026</v>
      </c>
      <c r="BJ476" t="s">
        <v>991</v>
      </c>
      <c r="BK476">
        <v>-1.6858018036514073</v>
      </c>
      <c r="BL476">
        <v>-97.003662440170032</v>
      </c>
      <c r="BM476" t="s">
        <v>1021</v>
      </c>
      <c r="BN476" t="s">
        <v>1154</v>
      </c>
      <c r="BO476">
        <v>2025</v>
      </c>
      <c r="BP476" t="s">
        <v>966</v>
      </c>
      <c r="BQ476">
        <v>839085.19678976806</v>
      </c>
      <c r="BR476">
        <v>16.091480321023194</v>
      </c>
      <c r="BS476" t="s">
        <v>992</v>
      </c>
      <c r="BV476" t="s">
        <v>1034</v>
      </c>
      <c r="BW476" t="s">
        <v>943</v>
      </c>
      <c r="BX476" t="s">
        <v>994</v>
      </c>
      <c r="BY476">
        <v>0.50929491306926011</v>
      </c>
      <c r="BZ476" t="s">
        <v>1155</v>
      </c>
      <c r="CA476" t="s">
        <v>991</v>
      </c>
      <c r="CB476" t="b">
        <v>1</v>
      </c>
      <c r="CC476" t="b">
        <v>1</v>
      </c>
      <c r="CD476" t="b">
        <v>1</v>
      </c>
      <c r="CE476" t="b">
        <v>1</v>
      </c>
      <c r="CF476" t="b">
        <v>1</v>
      </c>
    </row>
    <row r="477" spans="1:84" x14ac:dyDescent="0.3">
      <c r="A477" t="s">
        <v>2167</v>
      </c>
      <c r="B477" t="s">
        <v>1143</v>
      </c>
      <c r="C477" s="98">
        <v>45663</v>
      </c>
      <c r="D477">
        <v>2025</v>
      </c>
      <c r="E477">
        <v>1</v>
      </c>
      <c r="F477">
        <v>1</v>
      </c>
      <c r="G477" t="s">
        <v>1144</v>
      </c>
      <c r="H477" t="s">
        <v>131</v>
      </c>
      <c r="I477" t="s">
        <v>131</v>
      </c>
      <c r="J477" t="s">
        <v>6</v>
      </c>
      <c r="L477">
        <v>522611</v>
      </c>
      <c r="M477" s="99" t="s">
        <v>179</v>
      </c>
      <c r="N477">
        <v>2</v>
      </c>
      <c r="O477">
        <v>1</v>
      </c>
      <c r="P477">
        <v>33.903500000000001</v>
      </c>
      <c r="Q477" t="s">
        <v>352</v>
      </c>
      <c r="R477">
        <v>1</v>
      </c>
      <c r="S477">
        <v>34.272399999999998</v>
      </c>
      <c r="T477">
        <v>0.37980000000000003</v>
      </c>
      <c r="U477">
        <v>-0.97130068457081731</v>
      </c>
      <c r="V477">
        <v>33.132999999999996</v>
      </c>
      <c r="W477">
        <v>33.512799999999999</v>
      </c>
      <c r="X477">
        <v>33.892599999999995</v>
      </c>
      <c r="Y477">
        <v>34.652200000000001</v>
      </c>
      <c r="Z477">
        <v>35.031999999999996</v>
      </c>
      <c r="AA477">
        <v>35.411799999999999</v>
      </c>
      <c r="AD477">
        <v>1.7378743866409962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 t="s">
        <v>462</v>
      </c>
      <c r="AL477" t="s">
        <v>6</v>
      </c>
      <c r="AM477" t="s">
        <v>1145</v>
      </c>
      <c r="AN477" t="s">
        <v>1146</v>
      </c>
      <c r="AO477" s="100">
        <v>46262.040405092594</v>
      </c>
      <c r="AP477" t="s">
        <v>1147</v>
      </c>
      <c r="AQ477" t="s">
        <v>2168</v>
      </c>
      <c r="AR477" t="s">
        <v>1149</v>
      </c>
      <c r="AS477" t="s">
        <v>1150</v>
      </c>
      <c r="AT477" t="s">
        <v>2118</v>
      </c>
      <c r="AU477">
        <v>25</v>
      </c>
      <c r="AV477">
        <v>34.147188000000007</v>
      </c>
      <c r="AW477">
        <v>0.45496265077476394</v>
      </c>
      <c r="AX477">
        <v>1.332357589078093</v>
      </c>
      <c r="AY477">
        <v>0.98520808149391026</v>
      </c>
      <c r="AZ477">
        <v>3.1835981034727636</v>
      </c>
      <c r="BA477">
        <v>0.56491313692136014</v>
      </c>
      <c r="BB477" t="s">
        <v>4619</v>
      </c>
      <c r="BD477" s="98"/>
      <c r="BE477" s="98"/>
      <c r="BF477" t="s">
        <v>1152</v>
      </c>
      <c r="BG477" t="s">
        <v>322</v>
      </c>
      <c r="BH477" t="s">
        <v>1153</v>
      </c>
      <c r="BI477">
        <v>0.98520808149391026</v>
      </c>
      <c r="BJ477" t="s">
        <v>991</v>
      </c>
      <c r="BK477">
        <v>-1.4457237168317674</v>
      </c>
      <c r="BL477">
        <v>-83.189195257437191</v>
      </c>
      <c r="BM477" t="s">
        <v>1021</v>
      </c>
      <c r="BN477" t="s">
        <v>1154</v>
      </c>
      <c r="BO477">
        <v>2025</v>
      </c>
      <c r="BP477" t="s">
        <v>966</v>
      </c>
      <c r="BQ477">
        <v>839085.19678976806</v>
      </c>
      <c r="BR477">
        <v>16.091480321023194</v>
      </c>
      <c r="BS477" t="s">
        <v>992</v>
      </c>
      <c r="BV477" t="s">
        <v>1034</v>
      </c>
      <c r="BW477" t="s">
        <v>943</v>
      </c>
      <c r="BX477" t="s">
        <v>994</v>
      </c>
      <c r="BY477">
        <v>0.50929491306926011</v>
      </c>
      <c r="BZ477" t="s">
        <v>1155</v>
      </c>
      <c r="CA477" t="s">
        <v>991</v>
      </c>
      <c r="CB477" t="b">
        <v>1</v>
      </c>
      <c r="CC477" t="b">
        <v>1</v>
      </c>
      <c r="CD477" t="b">
        <v>1</v>
      </c>
      <c r="CE477" t="b">
        <v>1</v>
      </c>
      <c r="CF477" t="b">
        <v>1</v>
      </c>
    </row>
    <row r="478" spans="1:84" x14ac:dyDescent="0.3">
      <c r="A478" t="s">
        <v>2169</v>
      </c>
      <c r="B478" t="s">
        <v>1157</v>
      </c>
      <c r="C478" s="98">
        <v>45670</v>
      </c>
      <c r="D478">
        <v>2025</v>
      </c>
      <c r="E478">
        <v>1</v>
      </c>
      <c r="F478">
        <v>1</v>
      </c>
      <c r="G478" t="s">
        <v>1144</v>
      </c>
      <c r="H478" t="s">
        <v>131</v>
      </c>
      <c r="I478" t="s">
        <v>131</v>
      </c>
      <c r="J478" t="s">
        <v>6</v>
      </c>
      <c r="L478">
        <v>522611</v>
      </c>
      <c r="M478" s="99" t="s">
        <v>179</v>
      </c>
      <c r="N478">
        <v>2</v>
      </c>
      <c r="O478">
        <v>2</v>
      </c>
      <c r="P478">
        <v>33.812100000000001</v>
      </c>
      <c r="Q478" t="s">
        <v>352</v>
      </c>
      <c r="R478">
        <v>1</v>
      </c>
      <c r="S478">
        <v>34.272399999999998</v>
      </c>
      <c r="T478">
        <v>0.37980000000000003</v>
      </c>
      <c r="U478">
        <v>-1.2119536598209493</v>
      </c>
      <c r="V478">
        <v>33.132999999999996</v>
      </c>
      <c r="W478">
        <v>33.512799999999999</v>
      </c>
      <c r="X478">
        <v>33.892599999999995</v>
      </c>
      <c r="Y478">
        <v>34.652200000000001</v>
      </c>
      <c r="Z478">
        <v>35.031999999999996</v>
      </c>
      <c r="AA478">
        <v>35.411799999999999</v>
      </c>
      <c r="AD478">
        <v>1.7378743866409962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 t="s">
        <v>462</v>
      </c>
      <c r="AL478" t="s">
        <v>6</v>
      </c>
      <c r="AM478" t="s">
        <v>1145</v>
      </c>
      <c r="AN478" t="s">
        <v>1146</v>
      </c>
      <c r="AO478" s="100">
        <v>46262.040405092594</v>
      </c>
      <c r="AP478" t="s">
        <v>1147</v>
      </c>
      <c r="AQ478" t="s">
        <v>2170</v>
      </c>
      <c r="AR478" t="s">
        <v>1159</v>
      </c>
      <c r="AS478" t="s">
        <v>1150</v>
      </c>
      <c r="AT478" t="s">
        <v>2118</v>
      </c>
      <c r="AU478">
        <v>25</v>
      </c>
      <c r="AV478">
        <v>34.147188000000007</v>
      </c>
      <c r="AW478">
        <v>0.45496265077476394</v>
      </c>
      <c r="AX478">
        <v>1.332357589078093</v>
      </c>
      <c r="AY478">
        <v>0.98520808149391026</v>
      </c>
      <c r="AZ478">
        <v>3.1835981034727636</v>
      </c>
      <c r="BA478">
        <v>0.56491313692136014</v>
      </c>
      <c r="BB478" t="s">
        <v>4619</v>
      </c>
      <c r="BD478" s="98"/>
      <c r="BE478" s="98"/>
      <c r="BF478" t="s">
        <v>1152</v>
      </c>
      <c r="BG478" t="s">
        <v>322</v>
      </c>
      <c r="BH478" t="s">
        <v>1153</v>
      </c>
      <c r="BI478">
        <v>0.98520808149391026</v>
      </c>
      <c r="BJ478" t="s">
        <v>991</v>
      </c>
      <c r="BK478">
        <v>-1.4457237168317674</v>
      </c>
      <c r="BL478">
        <v>-83.189195257437191</v>
      </c>
      <c r="BM478" t="s">
        <v>1021</v>
      </c>
      <c r="BN478" t="s">
        <v>1154</v>
      </c>
      <c r="BO478">
        <v>2025</v>
      </c>
      <c r="BP478" t="s">
        <v>966</v>
      </c>
      <c r="BQ478">
        <v>839085.19678976806</v>
      </c>
      <c r="BR478">
        <v>16.091480321023194</v>
      </c>
      <c r="BS478" t="s">
        <v>992</v>
      </c>
      <c r="BV478" t="s">
        <v>1034</v>
      </c>
      <c r="BW478" t="s">
        <v>943</v>
      </c>
      <c r="BX478" t="s">
        <v>994</v>
      </c>
      <c r="BY478">
        <v>0.50929491306926011</v>
      </c>
      <c r="BZ478" t="s">
        <v>1155</v>
      </c>
      <c r="CA478" t="s">
        <v>991</v>
      </c>
      <c r="CB478" t="b">
        <v>1</v>
      </c>
      <c r="CC478" t="b">
        <v>1</v>
      </c>
      <c r="CD478" t="b">
        <v>1</v>
      </c>
      <c r="CE478" t="b">
        <v>1</v>
      </c>
      <c r="CF478" t="b">
        <v>1</v>
      </c>
    </row>
    <row r="479" spans="1:84" x14ac:dyDescent="0.3">
      <c r="A479" t="s">
        <v>2171</v>
      </c>
      <c r="B479" t="s">
        <v>1161</v>
      </c>
      <c r="C479" s="98">
        <v>45677</v>
      </c>
      <c r="D479">
        <v>2025</v>
      </c>
      <c r="E479">
        <v>1</v>
      </c>
      <c r="F479">
        <v>1</v>
      </c>
      <c r="G479" t="s">
        <v>1144</v>
      </c>
      <c r="H479" t="s">
        <v>131</v>
      </c>
      <c r="I479" t="s">
        <v>131</v>
      </c>
      <c r="J479" t="s">
        <v>6</v>
      </c>
      <c r="L479">
        <v>522611</v>
      </c>
      <c r="M479" s="99" t="s">
        <v>179</v>
      </c>
      <c r="N479">
        <v>2</v>
      </c>
      <c r="O479">
        <v>3</v>
      </c>
      <c r="P479">
        <v>33.575400000000002</v>
      </c>
      <c r="Q479" t="s">
        <v>352</v>
      </c>
      <c r="R479">
        <v>1</v>
      </c>
      <c r="S479">
        <v>34.272399999999998</v>
      </c>
      <c r="T479">
        <v>0.37980000000000003</v>
      </c>
      <c r="U479">
        <v>-1.8351764086361126</v>
      </c>
      <c r="V479">
        <v>33.132999999999996</v>
      </c>
      <c r="W479">
        <v>33.512799999999999</v>
      </c>
      <c r="X479">
        <v>33.892599999999995</v>
      </c>
      <c r="Y479">
        <v>34.652200000000001</v>
      </c>
      <c r="Z479">
        <v>35.031999999999996</v>
      </c>
      <c r="AA479">
        <v>35.411799999999999</v>
      </c>
      <c r="AD479">
        <v>1.7378743866409962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 t="s">
        <v>462</v>
      </c>
      <c r="AL479" t="s">
        <v>6</v>
      </c>
      <c r="AM479" t="s">
        <v>1145</v>
      </c>
      <c r="AN479" t="s">
        <v>1146</v>
      </c>
      <c r="AO479" s="100">
        <v>46262.040405092594</v>
      </c>
      <c r="AP479" t="s">
        <v>1147</v>
      </c>
      <c r="AQ479" t="s">
        <v>2172</v>
      </c>
      <c r="AR479" t="s">
        <v>1163</v>
      </c>
      <c r="AS479" t="s">
        <v>1150</v>
      </c>
      <c r="AT479" t="s">
        <v>2118</v>
      </c>
      <c r="AU479">
        <v>25</v>
      </c>
      <c r="AV479">
        <v>34.147188000000007</v>
      </c>
      <c r="AW479">
        <v>0.45496265077476394</v>
      </c>
      <c r="AX479">
        <v>1.332357589078093</v>
      </c>
      <c r="AY479">
        <v>0.98520808149391026</v>
      </c>
      <c r="AZ479">
        <v>3.1835981034727636</v>
      </c>
      <c r="BA479">
        <v>0.56491313692136014</v>
      </c>
      <c r="BB479" t="s">
        <v>4619</v>
      </c>
      <c r="BD479" s="98"/>
      <c r="BE479" s="98"/>
      <c r="BF479" t="s">
        <v>1152</v>
      </c>
      <c r="BG479" t="s">
        <v>322</v>
      </c>
      <c r="BH479" t="s">
        <v>1153</v>
      </c>
      <c r="BI479">
        <v>0.98520808149391026</v>
      </c>
      <c r="BJ479" t="s">
        <v>991</v>
      </c>
      <c r="BK479">
        <v>-1.4457237168317674</v>
      </c>
      <c r="BL479">
        <v>-83.189195257437191</v>
      </c>
      <c r="BM479" t="s">
        <v>1021</v>
      </c>
      <c r="BN479" t="s">
        <v>1154</v>
      </c>
      <c r="BO479">
        <v>2025</v>
      </c>
      <c r="BP479" t="s">
        <v>966</v>
      </c>
      <c r="BQ479">
        <v>839085.19678976806</v>
      </c>
      <c r="BR479">
        <v>16.091480321023194</v>
      </c>
      <c r="BS479" t="s">
        <v>992</v>
      </c>
      <c r="BV479" t="s">
        <v>1034</v>
      </c>
      <c r="BW479" t="s">
        <v>943</v>
      </c>
      <c r="BX479" t="s">
        <v>994</v>
      </c>
      <c r="BY479">
        <v>0.50929491306926011</v>
      </c>
      <c r="BZ479" t="s">
        <v>1155</v>
      </c>
      <c r="CA479" t="s">
        <v>991</v>
      </c>
      <c r="CB479" t="b">
        <v>1</v>
      </c>
      <c r="CC479" t="b">
        <v>1</v>
      </c>
      <c r="CD479" t="b">
        <v>1</v>
      </c>
      <c r="CE479" t="b">
        <v>1</v>
      </c>
      <c r="CF479" t="b">
        <v>1</v>
      </c>
    </row>
    <row r="480" spans="1:84" x14ac:dyDescent="0.3">
      <c r="A480" t="s">
        <v>2173</v>
      </c>
      <c r="B480" t="s">
        <v>1165</v>
      </c>
      <c r="C480" s="98">
        <v>45684</v>
      </c>
      <c r="D480">
        <v>2025</v>
      </c>
      <c r="E480">
        <v>1</v>
      </c>
      <c r="F480">
        <v>1</v>
      </c>
      <c r="G480" t="s">
        <v>1144</v>
      </c>
      <c r="H480" t="s">
        <v>131</v>
      </c>
      <c r="I480" t="s">
        <v>131</v>
      </c>
      <c r="J480" t="s">
        <v>6</v>
      </c>
      <c r="L480">
        <v>522611</v>
      </c>
      <c r="M480" s="99" t="s">
        <v>179</v>
      </c>
      <c r="N480">
        <v>2</v>
      </c>
      <c r="O480">
        <v>4</v>
      </c>
      <c r="P480">
        <v>34.979199999999999</v>
      </c>
      <c r="Q480" t="s">
        <v>352</v>
      </c>
      <c r="R480">
        <v>1</v>
      </c>
      <c r="S480">
        <v>34.272399999999998</v>
      </c>
      <c r="T480">
        <v>0.37980000000000003</v>
      </c>
      <c r="U480">
        <v>1.8609794628752006</v>
      </c>
      <c r="V480">
        <v>33.132999999999996</v>
      </c>
      <c r="W480">
        <v>33.512799999999999</v>
      </c>
      <c r="X480">
        <v>33.892599999999995</v>
      </c>
      <c r="Y480">
        <v>34.652200000000001</v>
      </c>
      <c r="Z480">
        <v>35.031999999999996</v>
      </c>
      <c r="AA480">
        <v>35.411799999999999</v>
      </c>
      <c r="AD480">
        <v>1.7378743866409962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 t="s">
        <v>462</v>
      </c>
      <c r="AL480" t="s">
        <v>6</v>
      </c>
      <c r="AM480" t="s">
        <v>1145</v>
      </c>
      <c r="AN480" t="s">
        <v>1146</v>
      </c>
      <c r="AO480" s="100">
        <v>46262.040405092594</v>
      </c>
      <c r="AP480" t="s">
        <v>1147</v>
      </c>
      <c r="AQ480" t="s">
        <v>2174</v>
      </c>
      <c r="AR480" t="s">
        <v>1167</v>
      </c>
      <c r="AS480" t="s">
        <v>1150</v>
      </c>
      <c r="AT480" t="s">
        <v>2118</v>
      </c>
      <c r="AU480">
        <v>25</v>
      </c>
      <c r="AV480">
        <v>34.147188000000007</v>
      </c>
      <c r="AW480">
        <v>0.45496265077476394</v>
      </c>
      <c r="AX480">
        <v>1.332357589078093</v>
      </c>
      <c r="AY480">
        <v>0.98520808149391026</v>
      </c>
      <c r="AZ480">
        <v>3.1835981034727636</v>
      </c>
      <c r="BA480">
        <v>0.56491313692136014</v>
      </c>
      <c r="BB480" t="s">
        <v>4619</v>
      </c>
      <c r="BD480" s="98"/>
      <c r="BE480" s="98"/>
      <c r="BF480" t="s">
        <v>1152</v>
      </c>
      <c r="BG480" t="s">
        <v>322</v>
      </c>
      <c r="BH480" t="s">
        <v>1153</v>
      </c>
      <c r="BI480">
        <v>0.98520808149391026</v>
      </c>
      <c r="BJ480" t="s">
        <v>991</v>
      </c>
      <c r="BK480">
        <v>-1.4457237168317674</v>
      </c>
      <c r="BL480">
        <v>-83.189195257437191</v>
      </c>
      <c r="BM480" t="s">
        <v>1021</v>
      </c>
      <c r="BN480" t="s">
        <v>1154</v>
      </c>
      <c r="BO480">
        <v>2025</v>
      </c>
      <c r="BP480" t="s">
        <v>966</v>
      </c>
      <c r="BQ480">
        <v>839085.19678976806</v>
      </c>
      <c r="BR480">
        <v>16.091480321023194</v>
      </c>
      <c r="BS480" t="s">
        <v>992</v>
      </c>
      <c r="BV480" t="s">
        <v>1034</v>
      </c>
      <c r="BW480" t="s">
        <v>943</v>
      </c>
      <c r="BX480" t="s">
        <v>994</v>
      </c>
      <c r="BY480">
        <v>0.50929491306926011</v>
      </c>
      <c r="BZ480" t="s">
        <v>1155</v>
      </c>
      <c r="CA480" t="s">
        <v>991</v>
      </c>
      <c r="CB480" t="b">
        <v>1</v>
      </c>
      <c r="CC480" t="b">
        <v>1</v>
      </c>
      <c r="CD480" t="b">
        <v>1</v>
      </c>
      <c r="CE480" t="b">
        <v>1</v>
      </c>
      <c r="CF480" t="b">
        <v>1</v>
      </c>
    </row>
    <row r="481" spans="1:84" x14ac:dyDescent="0.3">
      <c r="A481" t="s">
        <v>2175</v>
      </c>
      <c r="B481" t="s">
        <v>1169</v>
      </c>
      <c r="C481" s="98">
        <v>45691</v>
      </c>
      <c r="D481">
        <v>2025</v>
      </c>
      <c r="E481">
        <v>2</v>
      </c>
      <c r="F481">
        <v>1</v>
      </c>
      <c r="G481" t="s">
        <v>1170</v>
      </c>
      <c r="H481" t="s">
        <v>131</v>
      </c>
      <c r="I481" t="s">
        <v>131</v>
      </c>
      <c r="J481" t="s">
        <v>6</v>
      </c>
      <c r="L481">
        <v>522611</v>
      </c>
      <c r="M481" s="99" t="s">
        <v>179</v>
      </c>
      <c r="N481">
        <v>2</v>
      </c>
      <c r="O481">
        <v>5</v>
      </c>
      <c r="P481">
        <v>34.150799999999997</v>
      </c>
      <c r="Q481" t="s">
        <v>352</v>
      </c>
      <c r="R481">
        <v>1</v>
      </c>
      <c r="S481">
        <v>34.272399999999998</v>
      </c>
      <c r="T481">
        <v>0.37980000000000003</v>
      </c>
      <c r="U481">
        <v>-0.32016850974197159</v>
      </c>
      <c r="V481">
        <v>33.132999999999996</v>
      </c>
      <c r="W481">
        <v>33.512799999999999</v>
      </c>
      <c r="X481">
        <v>33.892599999999995</v>
      </c>
      <c r="Y481">
        <v>34.652200000000001</v>
      </c>
      <c r="Z481">
        <v>35.031999999999996</v>
      </c>
      <c r="AA481">
        <v>35.411799999999999</v>
      </c>
      <c r="AD481">
        <v>1.7378743866409962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 t="s">
        <v>462</v>
      </c>
      <c r="AL481" t="s">
        <v>6</v>
      </c>
      <c r="AM481" t="s">
        <v>1145</v>
      </c>
      <c r="AN481" t="s">
        <v>1146</v>
      </c>
      <c r="AO481" s="100">
        <v>46262.040405092594</v>
      </c>
      <c r="AP481" t="s">
        <v>1147</v>
      </c>
      <c r="AQ481" t="s">
        <v>2176</v>
      </c>
      <c r="AR481" t="s">
        <v>1172</v>
      </c>
      <c r="AS481" t="s">
        <v>1150</v>
      </c>
      <c r="AT481" t="s">
        <v>2118</v>
      </c>
      <c r="AU481">
        <v>25</v>
      </c>
      <c r="AV481">
        <v>34.147188000000007</v>
      </c>
      <c r="AW481">
        <v>0.45496265077476394</v>
      </c>
      <c r="AX481">
        <v>1.332357589078093</v>
      </c>
      <c r="AY481">
        <v>0.98520808149391026</v>
      </c>
      <c r="AZ481">
        <v>3.1835981034727636</v>
      </c>
      <c r="BA481">
        <v>0.56491313692136014</v>
      </c>
      <c r="BB481" t="s">
        <v>4619</v>
      </c>
      <c r="BD481" s="98"/>
      <c r="BE481" s="98"/>
      <c r="BF481" t="s">
        <v>1152</v>
      </c>
      <c r="BG481" t="s">
        <v>322</v>
      </c>
      <c r="BH481" t="s">
        <v>1153</v>
      </c>
      <c r="BI481">
        <v>0.98520808149391026</v>
      </c>
      <c r="BJ481" t="s">
        <v>991</v>
      </c>
      <c r="BK481">
        <v>-1.4457237168317674</v>
      </c>
      <c r="BL481">
        <v>-83.189195257437191</v>
      </c>
      <c r="BM481" t="s">
        <v>1021</v>
      </c>
      <c r="BN481" t="s">
        <v>1154</v>
      </c>
      <c r="BO481">
        <v>2025</v>
      </c>
      <c r="BP481" t="s">
        <v>966</v>
      </c>
      <c r="BQ481">
        <v>839085.19678976806</v>
      </c>
      <c r="BR481">
        <v>16.091480321023194</v>
      </c>
      <c r="BS481" t="s">
        <v>992</v>
      </c>
      <c r="BV481" t="s">
        <v>1034</v>
      </c>
      <c r="BW481" t="s">
        <v>943</v>
      </c>
      <c r="BX481" t="s">
        <v>994</v>
      </c>
      <c r="BY481">
        <v>0.50929491306926011</v>
      </c>
      <c r="BZ481" t="s">
        <v>1155</v>
      </c>
      <c r="CA481" t="s">
        <v>991</v>
      </c>
      <c r="CB481" t="b">
        <v>1</v>
      </c>
      <c r="CC481" t="b">
        <v>1</v>
      </c>
      <c r="CD481" t="b">
        <v>1</v>
      </c>
      <c r="CE481" t="b">
        <v>1</v>
      </c>
      <c r="CF481" t="b">
        <v>1</v>
      </c>
    </row>
    <row r="482" spans="1:84" x14ac:dyDescent="0.3">
      <c r="A482" t="s">
        <v>2177</v>
      </c>
      <c r="B482" t="s">
        <v>1174</v>
      </c>
      <c r="C482" s="98">
        <v>45698</v>
      </c>
      <c r="D482">
        <v>2025</v>
      </c>
      <c r="E482">
        <v>2</v>
      </c>
      <c r="F482">
        <v>1</v>
      </c>
      <c r="G482" t="s">
        <v>1170</v>
      </c>
      <c r="H482" t="s">
        <v>131</v>
      </c>
      <c r="I482" t="s">
        <v>131</v>
      </c>
      <c r="J482" t="s">
        <v>6</v>
      </c>
      <c r="L482">
        <v>522611</v>
      </c>
      <c r="M482" s="99" t="s">
        <v>179</v>
      </c>
      <c r="N482">
        <v>2</v>
      </c>
      <c r="O482">
        <v>6</v>
      </c>
      <c r="P482">
        <v>34.365000000000002</v>
      </c>
      <c r="Q482" t="s">
        <v>352</v>
      </c>
      <c r="R482">
        <v>1</v>
      </c>
      <c r="S482">
        <v>34.272399999999998</v>
      </c>
      <c r="T482">
        <v>0.37980000000000003</v>
      </c>
      <c r="U482">
        <v>0.2438125329120707</v>
      </c>
      <c r="V482">
        <v>33.132999999999996</v>
      </c>
      <c r="W482">
        <v>33.512799999999999</v>
      </c>
      <c r="X482">
        <v>33.892599999999995</v>
      </c>
      <c r="Y482">
        <v>34.652200000000001</v>
      </c>
      <c r="Z482">
        <v>35.031999999999996</v>
      </c>
      <c r="AA482">
        <v>35.411799999999999</v>
      </c>
      <c r="AD482">
        <v>1.7378743866409962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 t="s">
        <v>462</v>
      </c>
      <c r="AL482" t="s">
        <v>6</v>
      </c>
      <c r="AM482" t="s">
        <v>1145</v>
      </c>
      <c r="AN482" t="s">
        <v>1146</v>
      </c>
      <c r="AO482" s="100">
        <v>46262.040405092594</v>
      </c>
      <c r="AP482" t="s">
        <v>1147</v>
      </c>
      <c r="AQ482" t="s">
        <v>2178</v>
      </c>
      <c r="AR482" t="s">
        <v>1176</v>
      </c>
      <c r="AS482" t="s">
        <v>1150</v>
      </c>
      <c r="AT482" t="s">
        <v>2118</v>
      </c>
      <c r="AU482">
        <v>25</v>
      </c>
      <c r="AV482">
        <v>34.147188000000007</v>
      </c>
      <c r="AW482">
        <v>0.45496265077476394</v>
      </c>
      <c r="AX482">
        <v>1.332357589078093</v>
      </c>
      <c r="AY482">
        <v>0.98520808149391026</v>
      </c>
      <c r="AZ482">
        <v>3.1835981034727636</v>
      </c>
      <c r="BA482">
        <v>0.56491313692136014</v>
      </c>
      <c r="BB482" t="s">
        <v>4619</v>
      </c>
      <c r="BD482" s="98"/>
      <c r="BE482" s="98"/>
      <c r="BF482" t="s">
        <v>1152</v>
      </c>
      <c r="BG482" t="s">
        <v>322</v>
      </c>
      <c r="BH482" t="s">
        <v>1153</v>
      </c>
      <c r="BI482">
        <v>0.98520808149391026</v>
      </c>
      <c r="BJ482" t="s">
        <v>991</v>
      </c>
      <c r="BK482">
        <v>-1.4457237168317674</v>
      </c>
      <c r="BL482">
        <v>-83.189195257437191</v>
      </c>
      <c r="BM482" t="s">
        <v>1021</v>
      </c>
      <c r="BN482" t="s">
        <v>1154</v>
      </c>
      <c r="BO482">
        <v>2025</v>
      </c>
      <c r="BP482" t="s">
        <v>966</v>
      </c>
      <c r="BQ482">
        <v>839085.19678976806</v>
      </c>
      <c r="BR482">
        <v>16.091480321023194</v>
      </c>
      <c r="BS482" t="s">
        <v>992</v>
      </c>
      <c r="BV482" t="s">
        <v>1034</v>
      </c>
      <c r="BW482" t="s">
        <v>943</v>
      </c>
      <c r="BX482" t="s">
        <v>994</v>
      </c>
      <c r="BY482">
        <v>0.50929491306926011</v>
      </c>
      <c r="BZ482" t="s">
        <v>1155</v>
      </c>
      <c r="CA482" t="s">
        <v>991</v>
      </c>
      <c r="CB482" t="b">
        <v>1</v>
      </c>
      <c r="CC482" t="b">
        <v>1</v>
      </c>
      <c r="CD482" t="b">
        <v>1</v>
      </c>
      <c r="CE482" t="b">
        <v>1</v>
      </c>
      <c r="CF482" t="b">
        <v>1</v>
      </c>
    </row>
    <row r="483" spans="1:84" x14ac:dyDescent="0.3">
      <c r="A483" t="s">
        <v>2179</v>
      </c>
      <c r="B483" t="s">
        <v>1178</v>
      </c>
      <c r="C483" s="98">
        <v>45705</v>
      </c>
      <c r="D483">
        <v>2025</v>
      </c>
      <c r="E483">
        <v>2</v>
      </c>
      <c r="F483">
        <v>1</v>
      </c>
      <c r="G483" t="s">
        <v>1170</v>
      </c>
      <c r="H483" t="s">
        <v>131</v>
      </c>
      <c r="I483" t="s">
        <v>131</v>
      </c>
      <c r="J483" t="s">
        <v>6</v>
      </c>
      <c r="L483">
        <v>522611</v>
      </c>
      <c r="M483" s="99" t="s">
        <v>179</v>
      </c>
      <c r="N483">
        <v>2</v>
      </c>
      <c r="O483">
        <v>7</v>
      </c>
      <c r="P483">
        <v>34.260599999999997</v>
      </c>
      <c r="Q483" t="s">
        <v>352</v>
      </c>
      <c r="R483">
        <v>1</v>
      </c>
      <c r="S483">
        <v>34.272399999999998</v>
      </c>
      <c r="T483">
        <v>0.37980000000000003</v>
      </c>
      <c r="U483">
        <v>-3.1068983675621168E-2</v>
      </c>
      <c r="V483">
        <v>33.132999999999996</v>
      </c>
      <c r="W483">
        <v>33.512799999999999</v>
      </c>
      <c r="X483">
        <v>33.892599999999995</v>
      </c>
      <c r="Y483">
        <v>34.652200000000001</v>
      </c>
      <c r="Z483">
        <v>35.031999999999996</v>
      </c>
      <c r="AA483">
        <v>35.411799999999999</v>
      </c>
      <c r="AD483">
        <v>1.7378743866409962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 t="s">
        <v>462</v>
      </c>
      <c r="AL483" t="s">
        <v>6</v>
      </c>
      <c r="AM483" t="s">
        <v>1145</v>
      </c>
      <c r="AN483" t="s">
        <v>1146</v>
      </c>
      <c r="AO483" s="100">
        <v>46262.040405092594</v>
      </c>
      <c r="AP483" t="s">
        <v>1147</v>
      </c>
      <c r="AQ483" t="s">
        <v>2180</v>
      </c>
      <c r="AR483" t="s">
        <v>1180</v>
      </c>
      <c r="AS483" t="s">
        <v>1150</v>
      </c>
      <c r="AT483" t="s">
        <v>2118</v>
      </c>
      <c r="AU483">
        <v>25</v>
      </c>
      <c r="AV483">
        <v>34.147188000000007</v>
      </c>
      <c r="AW483">
        <v>0.45496265077476394</v>
      </c>
      <c r="AX483">
        <v>1.332357589078093</v>
      </c>
      <c r="AY483">
        <v>0.98520808149391026</v>
      </c>
      <c r="AZ483">
        <v>3.1835981034727636</v>
      </c>
      <c r="BA483">
        <v>0.56491313692136014</v>
      </c>
      <c r="BB483" t="s">
        <v>4619</v>
      </c>
      <c r="BD483" s="98"/>
      <c r="BE483" s="98"/>
      <c r="BF483" t="s">
        <v>1152</v>
      </c>
      <c r="BG483" t="s">
        <v>322</v>
      </c>
      <c r="BH483" t="s">
        <v>1153</v>
      </c>
      <c r="BI483">
        <v>0.98520808149391026</v>
      </c>
      <c r="BJ483" t="s">
        <v>991</v>
      </c>
      <c r="BK483">
        <v>-1.4457237168317674</v>
      </c>
      <c r="BL483">
        <v>-83.189195257437191</v>
      </c>
      <c r="BM483" t="s">
        <v>1021</v>
      </c>
      <c r="BN483" t="s">
        <v>1154</v>
      </c>
      <c r="BO483">
        <v>2025</v>
      </c>
      <c r="BP483" t="s">
        <v>966</v>
      </c>
      <c r="BQ483">
        <v>839085.19678976806</v>
      </c>
      <c r="BR483">
        <v>16.091480321023194</v>
      </c>
      <c r="BS483" t="s">
        <v>992</v>
      </c>
      <c r="BV483" t="s">
        <v>1034</v>
      </c>
      <c r="BW483" t="s">
        <v>943</v>
      </c>
      <c r="BX483" t="s">
        <v>994</v>
      </c>
      <c r="BY483">
        <v>0.50929491306926011</v>
      </c>
      <c r="BZ483" t="s">
        <v>1155</v>
      </c>
      <c r="CA483" t="s">
        <v>991</v>
      </c>
      <c r="CB483" t="b">
        <v>1</v>
      </c>
      <c r="CC483" t="b">
        <v>1</v>
      </c>
      <c r="CD483" t="b">
        <v>1</v>
      </c>
      <c r="CE483" t="b">
        <v>1</v>
      </c>
      <c r="CF483" t="b">
        <v>1</v>
      </c>
    </row>
    <row r="484" spans="1:84" x14ac:dyDescent="0.3">
      <c r="A484" t="s">
        <v>2181</v>
      </c>
      <c r="B484" t="s">
        <v>1182</v>
      </c>
      <c r="C484" s="98">
        <v>45712</v>
      </c>
      <c r="D484">
        <v>2025</v>
      </c>
      <c r="E484">
        <v>2</v>
      </c>
      <c r="F484">
        <v>1</v>
      </c>
      <c r="G484" t="s">
        <v>1170</v>
      </c>
      <c r="H484" t="s">
        <v>131</v>
      </c>
      <c r="I484" t="s">
        <v>131</v>
      </c>
      <c r="J484" t="s">
        <v>6</v>
      </c>
      <c r="L484">
        <v>522611</v>
      </c>
      <c r="M484" s="99" t="s">
        <v>179</v>
      </c>
      <c r="N484">
        <v>2</v>
      </c>
      <c r="O484">
        <v>8</v>
      </c>
      <c r="P484">
        <v>34.333199999999998</v>
      </c>
      <c r="Q484" t="s">
        <v>352</v>
      </c>
      <c r="R484">
        <v>1</v>
      </c>
      <c r="S484">
        <v>34.272399999999998</v>
      </c>
      <c r="T484">
        <v>0.37980000000000003</v>
      </c>
      <c r="U484">
        <v>0.16008425487098579</v>
      </c>
      <c r="V484">
        <v>33.132999999999996</v>
      </c>
      <c r="W484">
        <v>33.512799999999999</v>
      </c>
      <c r="X484">
        <v>33.892599999999995</v>
      </c>
      <c r="Y484">
        <v>34.652200000000001</v>
      </c>
      <c r="Z484">
        <v>35.031999999999996</v>
      </c>
      <c r="AA484">
        <v>35.411799999999999</v>
      </c>
      <c r="AD484">
        <v>1.7378743866409962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 t="s">
        <v>462</v>
      </c>
      <c r="AL484" t="s">
        <v>6</v>
      </c>
      <c r="AM484" t="s">
        <v>1145</v>
      </c>
      <c r="AN484" t="s">
        <v>1146</v>
      </c>
      <c r="AO484" s="100">
        <v>46262.040405092594</v>
      </c>
      <c r="AP484" t="s">
        <v>1147</v>
      </c>
      <c r="AQ484" t="s">
        <v>2182</v>
      </c>
      <c r="AR484" t="s">
        <v>1184</v>
      </c>
      <c r="AS484" t="s">
        <v>1150</v>
      </c>
      <c r="AT484" t="s">
        <v>2118</v>
      </c>
      <c r="AU484">
        <v>25</v>
      </c>
      <c r="AV484">
        <v>34.147188000000007</v>
      </c>
      <c r="AW484">
        <v>0.45496265077476394</v>
      </c>
      <c r="AX484">
        <v>1.332357589078093</v>
      </c>
      <c r="AY484">
        <v>0.98520808149391026</v>
      </c>
      <c r="AZ484">
        <v>3.1835981034727636</v>
      </c>
      <c r="BA484">
        <v>0.56491313692136014</v>
      </c>
      <c r="BB484" t="s">
        <v>4619</v>
      </c>
      <c r="BD484" s="98"/>
      <c r="BE484" s="98"/>
      <c r="BF484" t="s">
        <v>1152</v>
      </c>
      <c r="BG484" t="s">
        <v>322</v>
      </c>
      <c r="BH484" t="s">
        <v>1153</v>
      </c>
      <c r="BI484">
        <v>0.98520808149391026</v>
      </c>
      <c r="BJ484" t="s">
        <v>991</v>
      </c>
      <c r="BK484">
        <v>-1.4457237168317674</v>
      </c>
      <c r="BL484">
        <v>-83.189195257437191</v>
      </c>
      <c r="BM484" t="s">
        <v>1021</v>
      </c>
      <c r="BN484" t="s">
        <v>1154</v>
      </c>
      <c r="BO484">
        <v>2025</v>
      </c>
      <c r="BP484" t="s">
        <v>966</v>
      </c>
      <c r="BQ484">
        <v>839085.19678976806</v>
      </c>
      <c r="BR484">
        <v>16.091480321023194</v>
      </c>
      <c r="BS484" t="s">
        <v>992</v>
      </c>
      <c r="BV484" t="s">
        <v>1034</v>
      </c>
      <c r="BW484" t="s">
        <v>943</v>
      </c>
      <c r="BX484" t="s">
        <v>994</v>
      </c>
      <c r="BY484">
        <v>0.50929491306926011</v>
      </c>
      <c r="BZ484" t="s">
        <v>1155</v>
      </c>
      <c r="CA484" t="s">
        <v>991</v>
      </c>
      <c r="CB484" t="b">
        <v>1</v>
      </c>
      <c r="CC484" t="b">
        <v>1</v>
      </c>
      <c r="CD484" t="b">
        <v>1</v>
      </c>
      <c r="CE484" t="b">
        <v>1</v>
      </c>
      <c r="CF484" t="b">
        <v>1</v>
      </c>
    </row>
    <row r="485" spans="1:84" x14ac:dyDescent="0.3">
      <c r="A485" t="s">
        <v>2183</v>
      </c>
      <c r="B485" t="s">
        <v>1186</v>
      </c>
      <c r="C485" s="98">
        <v>45719</v>
      </c>
      <c r="D485">
        <v>2025</v>
      </c>
      <c r="E485">
        <v>3</v>
      </c>
      <c r="F485">
        <v>1</v>
      </c>
      <c r="G485" t="s">
        <v>1187</v>
      </c>
      <c r="H485" t="s">
        <v>131</v>
      </c>
      <c r="I485" t="s">
        <v>131</v>
      </c>
      <c r="J485" t="s">
        <v>6</v>
      </c>
      <c r="L485">
        <v>522611</v>
      </c>
      <c r="M485" s="99" t="s">
        <v>179</v>
      </c>
      <c r="N485">
        <v>2</v>
      </c>
      <c r="O485">
        <v>9</v>
      </c>
      <c r="P485">
        <v>34.2913</v>
      </c>
      <c r="Q485" t="s">
        <v>352</v>
      </c>
      <c r="R485">
        <v>1</v>
      </c>
      <c r="S485">
        <v>34.272399999999998</v>
      </c>
      <c r="T485">
        <v>0.37980000000000003</v>
      </c>
      <c r="U485">
        <v>4.9763033175361071E-2</v>
      </c>
      <c r="V485">
        <v>33.132999999999996</v>
      </c>
      <c r="W485">
        <v>33.512799999999999</v>
      </c>
      <c r="X485">
        <v>33.892599999999995</v>
      </c>
      <c r="Y485">
        <v>34.652200000000001</v>
      </c>
      <c r="Z485">
        <v>35.031999999999996</v>
      </c>
      <c r="AA485">
        <v>35.411799999999999</v>
      </c>
      <c r="AD485">
        <v>1.7378743866409962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 t="s">
        <v>462</v>
      </c>
      <c r="AL485" t="s">
        <v>6</v>
      </c>
      <c r="AM485" t="s">
        <v>1145</v>
      </c>
      <c r="AN485" t="s">
        <v>1146</v>
      </c>
      <c r="AO485" s="100">
        <v>46262.040405092594</v>
      </c>
      <c r="AP485" t="s">
        <v>1147</v>
      </c>
      <c r="AQ485" t="s">
        <v>2184</v>
      </c>
      <c r="AR485" t="s">
        <v>1189</v>
      </c>
      <c r="AS485" t="s">
        <v>1150</v>
      </c>
      <c r="AT485" t="s">
        <v>2118</v>
      </c>
      <c r="AU485">
        <v>25</v>
      </c>
      <c r="AV485">
        <v>34.147188000000007</v>
      </c>
      <c r="AW485">
        <v>0.45496265077476394</v>
      </c>
      <c r="AX485">
        <v>1.332357589078093</v>
      </c>
      <c r="AY485">
        <v>0.98520808149391026</v>
      </c>
      <c r="AZ485">
        <v>3.1835981034727636</v>
      </c>
      <c r="BA485">
        <v>0.56491313692136014</v>
      </c>
      <c r="BB485" t="s">
        <v>4619</v>
      </c>
      <c r="BD485" s="98"/>
      <c r="BE485" s="98"/>
      <c r="BF485" t="s">
        <v>1152</v>
      </c>
      <c r="BG485" t="s">
        <v>322</v>
      </c>
      <c r="BH485" t="s">
        <v>1153</v>
      </c>
      <c r="BI485">
        <v>0.98520808149391026</v>
      </c>
      <c r="BJ485" t="s">
        <v>991</v>
      </c>
      <c r="BK485">
        <v>-1.4457237168317674</v>
      </c>
      <c r="BL485">
        <v>-83.189195257437191</v>
      </c>
      <c r="BM485" t="s">
        <v>1021</v>
      </c>
      <c r="BN485" t="s">
        <v>1154</v>
      </c>
      <c r="BO485">
        <v>2025</v>
      </c>
      <c r="BP485" t="s">
        <v>966</v>
      </c>
      <c r="BQ485">
        <v>839085.19678976806</v>
      </c>
      <c r="BR485">
        <v>16.091480321023194</v>
      </c>
      <c r="BS485" t="s">
        <v>992</v>
      </c>
      <c r="BV485" t="s">
        <v>1034</v>
      </c>
      <c r="BW485" t="s">
        <v>943</v>
      </c>
      <c r="BX485" t="s">
        <v>994</v>
      </c>
      <c r="BY485">
        <v>0.50929491306926011</v>
      </c>
      <c r="BZ485" t="s">
        <v>1155</v>
      </c>
      <c r="CA485" t="s">
        <v>991</v>
      </c>
      <c r="CB485" t="b">
        <v>1</v>
      </c>
      <c r="CC485" t="b">
        <v>1</v>
      </c>
      <c r="CD485" t="b">
        <v>1</v>
      </c>
      <c r="CE485" t="b">
        <v>1</v>
      </c>
      <c r="CF485" t="b">
        <v>1</v>
      </c>
    </row>
    <row r="486" spans="1:84" x14ac:dyDescent="0.3">
      <c r="A486" t="s">
        <v>2185</v>
      </c>
      <c r="B486" t="s">
        <v>1191</v>
      </c>
      <c r="C486" s="98">
        <v>45726</v>
      </c>
      <c r="D486">
        <v>2025</v>
      </c>
      <c r="E486">
        <v>3</v>
      </c>
      <c r="F486">
        <v>1</v>
      </c>
      <c r="G486" t="s">
        <v>1187</v>
      </c>
      <c r="H486" t="s">
        <v>131</v>
      </c>
      <c r="I486" t="s">
        <v>131</v>
      </c>
      <c r="J486" t="s">
        <v>6</v>
      </c>
      <c r="L486">
        <v>522611</v>
      </c>
      <c r="M486" s="99" t="s">
        <v>179</v>
      </c>
      <c r="N486">
        <v>2</v>
      </c>
      <c r="O486">
        <v>10</v>
      </c>
      <c r="P486">
        <v>34.997100000000003</v>
      </c>
      <c r="Q486" t="s">
        <v>352</v>
      </c>
      <c r="R486">
        <v>1</v>
      </c>
      <c r="S486">
        <v>34.272399999999998</v>
      </c>
      <c r="T486">
        <v>0.37980000000000003</v>
      </c>
      <c r="U486">
        <v>1.9081095313322949</v>
      </c>
      <c r="V486">
        <v>33.132999999999996</v>
      </c>
      <c r="W486">
        <v>33.512799999999999</v>
      </c>
      <c r="X486">
        <v>33.892599999999995</v>
      </c>
      <c r="Y486">
        <v>34.652200000000001</v>
      </c>
      <c r="Z486">
        <v>35.031999999999996</v>
      </c>
      <c r="AA486">
        <v>35.411799999999999</v>
      </c>
      <c r="AD486">
        <v>1.7378743866409962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t="s">
        <v>462</v>
      </c>
      <c r="AL486" t="s">
        <v>6</v>
      </c>
      <c r="AM486" t="s">
        <v>1145</v>
      </c>
      <c r="AN486" t="s">
        <v>1146</v>
      </c>
      <c r="AO486" s="100">
        <v>46262.040405092594</v>
      </c>
      <c r="AP486" t="s">
        <v>1147</v>
      </c>
      <c r="AQ486" t="s">
        <v>2186</v>
      </c>
      <c r="AR486" t="s">
        <v>1193</v>
      </c>
      <c r="AS486" t="s">
        <v>1150</v>
      </c>
      <c r="AT486" t="s">
        <v>2118</v>
      </c>
      <c r="AU486">
        <v>25</v>
      </c>
      <c r="AV486">
        <v>34.147188000000007</v>
      </c>
      <c r="AW486">
        <v>0.45496265077476394</v>
      </c>
      <c r="AX486">
        <v>1.332357589078093</v>
      </c>
      <c r="AY486">
        <v>0.98520808149391026</v>
      </c>
      <c r="AZ486">
        <v>3.1835981034727636</v>
      </c>
      <c r="BA486">
        <v>0.56491313692136014</v>
      </c>
      <c r="BB486" t="s">
        <v>4619</v>
      </c>
      <c r="BD486" s="98"/>
      <c r="BE486" s="98"/>
      <c r="BF486" t="s">
        <v>1152</v>
      </c>
      <c r="BG486" t="s">
        <v>322</v>
      </c>
      <c r="BH486" t="s">
        <v>1153</v>
      </c>
      <c r="BI486">
        <v>0.98520808149391026</v>
      </c>
      <c r="BJ486" t="s">
        <v>991</v>
      </c>
      <c r="BK486">
        <v>-1.4457237168317674</v>
      </c>
      <c r="BL486">
        <v>-83.189195257437191</v>
      </c>
      <c r="BM486" t="s">
        <v>1021</v>
      </c>
      <c r="BN486" t="s">
        <v>1154</v>
      </c>
      <c r="BO486">
        <v>2025</v>
      </c>
      <c r="BP486" t="s">
        <v>966</v>
      </c>
      <c r="BQ486">
        <v>839085.19678976806</v>
      </c>
      <c r="BR486">
        <v>16.091480321023194</v>
      </c>
      <c r="BS486" t="s">
        <v>992</v>
      </c>
      <c r="BV486" t="s">
        <v>1034</v>
      </c>
      <c r="BW486" t="s">
        <v>943</v>
      </c>
      <c r="BX486" t="s">
        <v>994</v>
      </c>
      <c r="BY486">
        <v>0.50929491306926011</v>
      </c>
      <c r="BZ486" t="s">
        <v>1155</v>
      </c>
      <c r="CA486" t="s">
        <v>991</v>
      </c>
      <c r="CB486" t="b">
        <v>1</v>
      </c>
      <c r="CC486" t="b">
        <v>1</v>
      </c>
      <c r="CD486" t="b">
        <v>1</v>
      </c>
      <c r="CE486" t="b">
        <v>1</v>
      </c>
      <c r="CF486" t="b">
        <v>1</v>
      </c>
    </row>
    <row r="487" spans="1:84" x14ac:dyDescent="0.3">
      <c r="A487" t="s">
        <v>2187</v>
      </c>
      <c r="B487" t="s">
        <v>1195</v>
      </c>
      <c r="C487" s="98">
        <v>45733</v>
      </c>
      <c r="D487">
        <v>2025</v>
      </c>
      <c r="E487">
        <v>3</v>
      </c>
      <c r="F487">
        <v>1</v>
      </c>
      <c r="G487" t="s">
        <v>1187</v>
      </c>
      <c r="H487" t="s">
        <v>131</v>
      </c>
      <c r="I487" t="s">
        <v>131</v>
      </c>
      <c r="J487" t="s">
        <v>6</v>
      </c>
      <c r="L487">
        <v>522611</v>
      </c>
      <c r="M487" s="99" t="s">
        <v>179</v>
      </c>
      <c r="N487">
        <v>2</v>
      </c>
      <c r="O487">
        <v>11</v>
      </c>
      <c r="P487">
        <v>33.877899999999997</v>
      </c>
      <c r="Q487" t="s">
        <v>352</v>
      </c>
      <c r="R487">
        <v>1</v>
      </c>
      <c r="S487">
        <v>34.272399999999998</v>
      </c>
      <c r="T487">
        <v>0.37980000000000003</v>
      </c>
      <c r="U487">
        <v>-1.0387045813586118</v>
      </c>
      <c r="V487">
        <v>33.132999999999996</v>
      </c>
      <c r="W487">
        <v>33.512799999999999</v>
      </c>
      <c r="X487">
        <v>33.892599999999995</v>
      </c>
      <c r="Y487">
        <v>34.652200000000001</v>
      </c>
      <c r="Z487">
        <v>35.031999999999996</v>
      </c>
      <c r="AA487">
        <v>35.411799999999999</v>
      </c>
      <c r="AD487">
        <v>1.7378743866409962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t="s">
        <v>462</v>
      </c>
      <c r="AL487" t="s">
        <v>6</v>
      </c>
      <c r="AM487" t="s">
        <v>1145</v>
      </c>
      <c r="AN487" t="s">
        <v>1146</v>
      </c>
      <c r="AO487" s="100">
        <v>46262.040405092594</v>
      </c>
      <c r="AP487" t="s">
        <v>1147</v>
      </c>
      <c r="AQ487" t="s">
        <v>2188</v>
      </c>
      <c r="AR487" t="s">
        <v>1197</v>
      </c>
      <c r="AS487" t="s">
        <v>1150</v>
      </c>
      <c r="AT487" t="s">
        <v>2118</v>
      </c>
      <c r="AU487">
        <v>25</v>
      </c>
      <c r="AV487">
        <v>34.147188000000007</v>
      </c>
      <c r="AW487">
        <v>0.45496265077476394</v>
      </c>
      <c r="AX487">
        <v>1.332357589078093</v>
      </c>
      <c r="AY487">
        <v>0.98520808149391026</v>
      </c>
      <c r="AZ487">
        <v>3.1835981034727636</v>
      </c>
      <c r="BA487">
        <v>0.56491313692136014</v>
      </c>
      <c r="BB487" t="s">
        <v>4619</v>
      </c>
      <c r="BD487" s="98"/>
      <c r="BE487" s="98"/>
      <c r="BF487" t="s">
        <v>1152</v>
      </c>
      <c r="BG487" t="s">
        <v>322</v>
      </c>
      <c r="BH487" t="s">
        <v>1153</v>
      </c>
      <c r="BI487">
        <v>0.98520808149391026</v>
      </c>
      <c r="BJ487" t="s">
        <v>991</v>
      </c>
      <c r="BK487">
        <v>-1.4457237168317674</v>
      </c>
      <c r="BL487">
        <v>-83.189195257437191</v>
      </c>
      <c r="BM487" t="s">
        <v>1021</v>
      </c>
      <c r="BN487" t="s">
        <v>1154</v>
      </c>
      <c r="BO487">
        <v>2025</v>
      </c>
      <c r="BP487" t="s">
        <v>966</v>
      </c>
      <c r="BQ487">
        <v>839085.19678976806</v>
      </c>
      <c r="BR487">
        <v>16.091480321023194</v>
      </c>
      <c r="BS487" t="s">
        <v>992</v>
      </c>
      <c r="BV487" t="s">
        <v>1034</v>
      </c>
      <c r="BW487" t="s">
        <v>943</v>
      </c>
      <c r="BX487" t="s">
        <v>994</v>
      </c>
      <c r="BY487">
        <v>0.50929491306926011</v>
      </c>
      <c r="BZ487" t="s">
        <v>1155</v>
      </c>
      <c r="CA487" t="s">
        <v>991</v>
      </c>
      <c r="CB487" t="b">
        <v>1</v>
      </c>
      <c r="CC487" t="b">
        <v>1</v>
      </c>
      <c r="CD487" t="b">
        <v>1</v>
      </c>
      <c r="CE487" t="b">
        <v>1</v>
      </c>
      <c r="CF487" t="b">
        <v>1</v>
      </c>
    </row>
    <row r="488" spans="1:84" x14ac:dyDescent="0.3">
      <c r="A488" t="s">
        <v>2189</v>
      </c>
      <c r="B488" t="s">
        <v>1199</v>
      </c>
      <c r="C488" s="98">
        <v>45740</v>
      </c>
      <c r="D488">
        <v>2025</v>
      </c>
      <c r="E488">
        <v>3</v>
      </c>
      <c r="F488">
        <v>1</v>
      </c>
      <c r="G488" t="s">
        <v>1187</v>
      </c>
      <c r="H488" t="s">
        <v>131</v>
      </c>
      <c r="I488" t="s">
        <v>131</v>
      </c>
      <c r="J488" t="s">
        <v>6</v>
      </c>
      <c r="L488">
        <v>522611</v>
      </c>
      <c r="M488" s="99" t="s">
        <v>179</v>
      </c>
      <c r="N488">
        <v>2</v>
      </c>
      <c r="O488">
        <v>12</v>
      </c>
      <c r="P488">
        <v>33.680999999999997</v>
      </c>
      <c r="Q488" t="s">
        <v>352</v>
      </c>
      <c r="R488">
        <v>1</v>
      </c>
      <c r="S488">
        <v>34.272399999999998</v>
      </c>
      <c r="T488">
        <v>0.37980000000000003</v>
      </c>
      <c r="U488">
        <v>-1.5571353343865195</v>
      </c>
      <c r="V488">
        <v>33.132999999999996</v>
      </c>
      <c r="W488">
        <v>33.512799999999999</v>
      </c>
      <c r="X488">
        <v>33.892599999999995</v>
      </c>
      <c r="Y488">
        <v>34.652200000000001</v>
      </c>
      <c r="Z488">
        <v>35.031999999999996</v>
      </c>
      <c r="AA488">
        <v>35.411799999999999</v>
      </c>
      <c r="AD488">
        <v>1.7378743866409962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t="s">
        <v>462</v>
      </c>
      <c r="AL488" t="s">
        <v>6</v>
      </c>
      <c r="AM488" t="s">
        <v>1145</v>
      </c>
      <c r="AN488" t="s">
        <v>1146</v>
      </c>
      <c r="AO488" s="100">
        <v>46262.040405092594</v>
      </c>
      <c r="AP488" t="s">
        <v>1147</v>
      </c>
      <c r="AQ488" t="s">
        <v>2190</v>
      </c>
      <c r="AR488" t="s">
        <v>1201</v>
      </c>
      <c r="AS488" t="s">
        <v>1150</v>
      </c>
      <c r="AT488" t="s">
        <v>2118</v>
      </c>
      <c r="AU488">
        <v>25</v>
      </c>
      <c r="AV488">
        <v>34.147188000000007</v>
      </c>
      <c r="AW488">
        <v>0.45496265077476394</v>
      </c>
      <c r="AX488">
        <v>1.332357589078093</v>
      </c>
      <c r="AY488">
        <v>0.98520808149391026</v>
      </c>
      <c r="AZ488">
        <v>3.1835981034727636</v>
      </c>
      <c r="BA488">
        <v>0.56491313692136014</v>
      </c>
      <c r="BB488" t="s">
        <v>4619</v>
      </c>
      <c r="BD488" s="98"/>
      <c r="BE488" s="98"/>
      <c r="BF488" t="s">
        <v>1152</v>
      </c>
      <c r="BG488" t="s">
        <v>322</v>
      </c>
      <c r="BH488" t="s">
        <v>1153</v>
      </c>
      <c r="BI488">
        <v>0.98520808149391026</v>
      </c>
      <c r="BJ488" t="s">
        <v>991</v>
      </c>
      <c r="BK488">
        <v>-1.4457237168317674</v>
      </c>
      <c r="BL488">
        <v>-83.189195257437191</v>
      </c>
      <c r="BM488" t="s">
        <v>1021</v>
      </c>
      <c r="BN488" t="s">
        <v>1154</v>
      </c>
      <c r="BO488">
        <v>2025</v>
      </c>
      <c r="BP488" t="s">
        <v>966</v>
      </c>
      <c r="BQ488">
        <v>839085.19678976806</v>
      </c>
      <c r="BR488">
        <v>16.091480321023194</v>
      </c>
      <c r="BS488" t="s">
        <v>992</v>
      </c>
      <c r="BV488" t="s">
        <v>1034</v>
      </c>
      <c r="BW488" t="s">
        <v>943</v>
      </c>
      <c r="BX488" t="s">
        <v>994</v>
      </c>
      <c r="BY488">
        <v>0.50929491306926011</v>
      </c>
      <c r="BZ488" t="s">
        <v>1155</v>
      </c>
      <c r="CA488" t="s">
        <v>991</v>
      </c>
      <c r="CB488" t="b">
        <v>1</v>
      </c>
      <c r="CC488" t="b">
        <v>1</v>
      </c>
      <c r="CD488" t="b">
        <v>1</v>
      </c>
      <c r="CE488" t="b">
        <v>1</v>
      </c>
      <c r="CF488" t="b">
        <v>1</v>
      </c>
    </row>
    <row r="489" spans="1:84" x14ac:dyDescent="0.3">
      <c r="A489" t="s">
        <v>2191</v>
      </c>
      <c r="B489" t="s">
        <v>1203</v>
      </c>
      <c r="C489" s="98">
        <v>45747</v>
      </c>
      <c r="D489">
        <v>2025</v>
      </c>
      <c r="E489">
        <v>3</v>
      </c>
      <c r="F489">
        <v>1</v>
      </c>
      <c r="G489" t="s">
        <v>1187</v>
      </c>
      <c r="H489" t="s">
        <v>131</v>
      </c>
      <c r="I489" t="s">
        <v>131</v>
      </c>
      <c r="J489" t="s">
        <v>6</v>
      </c>
      <c r="L489">
        <v>522611</v>
      </c>
      <c r="M489" s="99" t="s">
        <v>179</v>
      </c>
      <c r="N489">
        <v>2</v>
      </c>
      <c r="O489">
        <v>13</v>
      </c>
      <c r="P489">
        <v>33.888100000000001</v>
      </c>
      <c r="Q489" t="s">
        <v>352</v>
      </c>
      <c r="R489">
        <v>1</v>
      </c>
      <c r="S489">
        <v>34.272399999999998</v>
      </c>
      <c r="T489">
        <v>0.37980000000000003</v>
      </c>
      <c r="U489">
        <v>-1.0118483412322172</v>
      </c>
      <c r="V489">
        <v>33.132999999999996</v>
      </c>
      <c r="W489">
        <v>33.512799999999999</v>
      </c>
      <c r="X489">
        <v>33.892599999999995</v>
      </c>
      <c r="Y489">
        <v>34.652200000000001</v>
      </c>
      <c r="Z489">
        <v>35.031999999999996</v>
      </c>
      <c r="AA489">
        <v>35.411799999999999</v>
      </c>
      <c r="AD489">
        <v>1.7378743866409962</v>
      </c>
      <c r="AE489">
        <v>0</v>
      </c>
      <c r="AF489">
        <v>0</v>
      </c>
      <c r="AG489">
        <v>0</v>
      </c>
      <c r="AH489">
        <v>1</v>
      </c>
      <c r="AI489">
        <v>1</v>
      </c>
      <c r="AJ489">
        <v>0</v>
      </c>
      <c r="AK489" t="s">
        <v>1213</v>
      </c>
      <c r="AL489" t="s">
        <v>6</v>
      </c>
      <c r="AM489" t="s">
        <v>1145</v>
      </c>
      <c r="AN489" t="s">
        <v>1146</v>
      </c>
      <c r="AO489" s="100">
        <v>46262.040405092594</v>
      </c>
      <c r="AP489" t="s">
        <v>1147</v>
      </c>
      <c r="AQ489" t="s">
        <v>2192</v>
      </c>
      <c r="AR489" t="s">
        <v>1205</v>
      </c>
      <c r="AS489" t="s">
        <v>1150</v>
      </c>
      <c r="AT489" t="s">
        <v>2118</v>
      </c>
      <c r="AU489">
        <v>25</v>
      </c>
      <c r="AV489">
        <v>34.147188000000007</v>
      </c>
      <c r="AW489">
        <v>0.45496265077476394</v>
      </c>
      <c r="AX489">
        <v>1.332357589078093</v>
      </c>
      <c r="AY489">
        <v>0.98520808149391026</v>
      </c>
      <c r="AZ489">
        <v>3.1835981034727636</v>
      </c>
      <c r="BA489">
        <v>0.56491313692136014</v>
      </c>
      <c r="BB489" t="s">
        <v>4619</v>
      </c>
      <c r="BD489" s="98"/>
      <c r="BE489" s="98"/>
      <c r="BF489" t="s">
        <v>1152</v>
      </c>
      <c r="BG489" t="s">
        <v>322</v>
      </c>
      <c r="BH489" t="s">
        <v>1153</v>
      </c>
      <c r="BI489">
        <v>0.98520808149391026</v>
      </c>
      <c r="BJ489" t="s">
        <v>991</v>
      </c>
      <c r="BK489">
        <v>-1.4457237168317674</v>
      </c>
      <c r="BL489">
        <v>-83.189195257437191</v>
      </c>
      <c r="BM489" t="s">
        <v>1021</v>
      </c>
      <c r="BN489" t="s">
        <v>1154</v>
      </c>
      <c r="BO489">
        <v>2025</v>
      </c>
      <c r="BP489" t="s">
        <v>966</v>
      </c>
      <c r="BQ489">
        <v>839085.19678976806</v>
      </c>
      <c r="BR489">
        <v>16.091480321023194</v>
      </c>
      <c r="BS489" t="s">
        <v>992</v>
      </c>
      <c r="BV489" t="s">
        <v>1034</v>
      </c>
      <c r="BW489" t="s">
        <v>943</v>
      </c>
      <c r="BX489" t="s">
        <v>994</v>
      </c>
      <c r="BY489">
        <v>0.50929491306926011</v>
      </c>
      <c r="BZ489" t="s">
        <v>1155</v>
      </c>
      <c r="CA489" t="s">
        <v>991</v>
      </c>
      <c r="CB489" t="b">
        <v>1</v>
      </c>
      <c r="CC489" t="b">
        <v>1</v>
      </c>
      <c r="CD489" t="b">
        <v>1</v>
      </c>
      <c r="CE489" t="b">
        <v>1</v>
      </c>
      <c r="CF489" t="b">
        <v>1</v>
      </c>
    </row>
    <row r="490" spans="1:84" x14ac:dyDescent="0.3">
      <c r="A490" t="s">
        <v>2193</v>
      </c>
      <c r="B490" t="s">
        <v>1207</v>
      </c>
      <c r="C490" s="98">
        <v>45754</v>
      </c>
      <c r="D490">
        <v>2025</v>
      </c>
      <c r="E490">
        <v>4</v>
      </c>
      <c r="F490">
        <v>2</v>
      </c>
      <c r="G490" t="s">
        <v>1208</v>
      </c>
      <c r="H490" t="s">
        <v>131</v>
      </c>
      <c r="I490" t="s">
        <v>131</v>
      </c>
      <c r="J490" t="s">
        <v>6</v>
      </c>
      <c r="L490">
        <v>522611</v>
      </c>
      <c r="M490" s="99" t="s">
        <v>179</v>
      </c>
      <c r="N490">
        <v>2</v>
      </c>
      <c r="O490">
        <v>14</v>
      </c>
      <c r="P490">
        <v>33.765599999999999</v>
      </c>
      <c r="Q490" t="s">
        <v>352</v>
      </c>
      <c r="R490">
        <v>1</v>
      </c>
      <c r="S490">
        <v>34.272399999999998</v>
      </c>
      <c r="T490">
        <v>0.37980000000000003</v>
      </c>
      <c r="U490">
        <v>-1.3343865192206381</v>
      </c>
      <c r="V490">
        <v>33.132999999999996</v>
      </c>
      <c r="W490">
        <v>33.512799999999999</v>
      </c>
      <c r="X490">
        <v>33.892599999999995</v>
      </c>
      <c r="Y490">
        <v>34.652200000000001</v>
      </c>
      <c r="Z490">
        <v>35.031999999999996</v>
      </c>
      <c r="AA490">
        <v>35.411799999999999</v>
      </c>
      <c r="AD490">
        <v>1.7378743866409962</v>
      </c>
      <c r="AE490">
        <v>0</v>
      </c>
      <c r="AF490">
        <v>0</v>
      </c>
      <c r="AG490">
        <v>0</v>
      </c>
      <c r="AH490">
        <v>0</v>
      </c>
      <c r="AI490">
        <v>1</v>
      </c>
      <c r="AJ490">
        <v>0</v>
      </c>
      <c r="AK490" t="s">
        <v>1213</v>
      </c>
      <c r="AL490" t="s">
        <v>6</v>
      </c>
      <c r="AM490" t="s">
        <v>1145</v>
      </c>
      <c r="AN490" t="s">
        <v>1146</v>
      </c>
      <c r="AO490" s="100">
        <v>46262.040405092594</v>
      </c>
      <c r="AP490" t="s">
        <v>1147</v>
      </c>
      <c r="AQ490" t="s">
        <v>2194</v>
      </c>
      <c r="AR490" t="s">
        <v>1210</v>
      </c>
      <c r="AS490" t="s">
        <v>1150</v>
      </c>
      <c r="AT490" t="s">
        <v>2118</v>
      </c>
      <c r="AU490">
        <v>25</v>
      </c>
      <c r="AV490">
        <v>34.147188000000007</v>
      </c>
      <c r="AW490">
        <v>0.45496265077476394</v>
      </c>
      <c r="AX490">
        <v>1.332357589078093</v>
      </c>
      <c r="AY490">
        <v>0.98520808149391026</v>
      </c>
      <c r="AZ490">
        <v>3.1835981034727636</v>
      </c>
      <c r="BA490">
        <v>0.56491313692136014</v>
      </c>
      <c r="BB490" t="s">
        <v>4619</v>
      </c>
      <c r="BD490" s="98"/>
      <c r="BE490" s="98"/>
      <c r="BF490" t="s">
        <v>1152</v>
      </c>
      <c r="BG490" t="s">
        <v>322</v>
      </c>
      <c r="BH490" t="s">
        <v>1153</v>
      </c>
      <c r="BI490">
        <v>0.98520808149391026</v>
      </c>
      <c r="BJ490" t="s">
        <v>991</v>
      </c>
      <c r="BK490">
        <v>-1.4457237168317674</v>
      </c>
      <c r="BL490">
        <v>-83.189195257437191</v>
      </c>
      <c r="BM490" t="s">
        <v>1021</v>
      </c>
      <c r="BN490" t="s">
        <v>1154</v>
      </c>
      <c r="BO490">
        <v>2025</v>
      </c>
      <c r="BP490" t="s">
        <v>966</v>
      </c>
      <c r="BQ490">
        <v>839085.19678976806</v>
      </c>
      <c r="BR490">
        <v>16.091480321023194</v>
      </c>
      <c r="BS490" t="s">
        <v>992</v>
      </c>
      <c r="BV490" t="s">
        <v>1034</v>
      </c>
      <c r="BW490" t="s">
        <v>943</v>
      </c>
      <c r="BX490" t="s">
        <v>994</v>
      </c>
      <c r="BY490">
        <v>0.50929491306926011</v>
      </c>
      <c r="BZ490" t="s">
        <v>1155</v>
      </c>
      <c r="CA490" t="s">
        <v>991</v>
      </c>
      <c r="CB490" t="b">
        <v>1</v>
      </c>
      <c r="CC490" t="b">
        <v>1</v>
      </c>
      <c r="CD490" t="b">
        <v>1</v>
      </c>
      <c r="CE490" t="b">
        <v>1</v>
      </c>
      <c r="CF490" t="b">
        <v>1</v>
      </c>
    </row>
    <row r="491" spans="1:84" x14ac:dyDescent="0.3">
      <c r="A491" t="s">
        <v>2195</v>
      </c>
      <c r="B491" t="s">
        <v>1212</v>
      </c>
      <c r="C491" s="98">
        <v>45761</v>
      </c>
      <c r="D491">
        <v>2025</v>
      </c>
      <c r="E491">
        <v>4</v>
      </c>
      <c r="F491">
        <v>2</v>
      </c>
      <c r="G491" t="s">
        <v>1208</v>
      </c>
      <c r="H491" t="s">
        <v>131</v>
      </c>
      <c r="I491" t="s">
        <v>131</v>
      </c>
      <c r="J491" t="s">
        <v>6</v>
      </c>
      <c r="L491">
        <v>522611</v>
      </c>
      <c r="M491" s="99" t="s">
        <v>179</v>
      </c>
      <c r="N491">
        <v>2</v>
      </c>
      <c r="O491">
        <v>15</v>
      </c>
      <c r="P491">
        <v>34.556100000000001</v>
      </c>
      <c r="Q491" t="s">
        <v>352</v>
      </c>
      <c r="R491">
        <v>1</v>
      </c>
      <c r="S491">
        <v>34.272399999999998</v>
      </c>
      <c r="T491">
        <v>0.37980000000000003</v>
      </c>
      <c r="U491">
        <v>0.74697209057399461</v>
      </c>
      <c r="V491">
        <v>33.132999999999996</v>
      </c>
      <c r="W491">
        <v>33.512799999999999</v>
      </c>
      <c r="X491">
        <v>33.892599999999995</v>
      </c>
      <c r="Y491">
        <v>34.652200000000001</v>
      </c>
      <c r="Z491">
        <v>35.031999999999996</v>
      </c>
      <c r="AA491">
        <v>35.411799999999999</v>
      </c>
      <c r="AD491">
        <v>1.7378743866409962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t="s">
        <v>462</v>
      </c>
      <c r="AL491" t="s">
        <v>6</v>
      </c>
      <c r="AM491" t="s">
        <v>1145</v>
      </c>
      <c r="AN491" t="s">
        <v>1146</v>
      </c>
      <c r="AO491" s="100">
        <v>46262.040405092594</v>
      </c>
      <c r="AP491" t="s">
        <v>1147</v>
      </c>
      <c r="AQ491" t="s">
        <v>2196</v>
      </c>
      <c r="AR491" t="s">
        <v>1215</v>
      </c>
      <c r="AS491" t="s">
        <v>1150</v>
      </c>
      <c r="AT491" t="s">
        <v>2118</v>
      </c>
      <c r="AU491">
        <v>25</v>
      </c>
      <c r="AV491">
        <v>34.147188000000007</v>
      </c>
      <c r="AW491">
        <v>0.45496265077476394</v>
      </c>
      <c r="AX491">
        <v>1.332357589078093</v>
      </c>
      <c r="AY491">
        <v>0.98520808149391026</v>
      </c>
      <c r="AZ491">
        <v>3.1835981034727636</v>
      </c>
      <c r="BA491">
        <v>0.56491313692136014</v>
      </c>
      <c r="BB491" t="s">
        <v>4619</v>
      </c>
      <c r="BD491" s="98"/>
      <c r="BE491" s="98"/>
      <c r="BF491" t="s">
        <v>1152</v>
      </c>
      <c r="BG491" t="s">
        <v>322</v>
      </c>
      <c r="BH491" t="s">
        <v>1153</v>
      </c>
      <c r="BI491">
        <v>0.98520808149391026</v>
      </c>
      <c r="BJ491" t="s">
        <v>991</v>
      </c>
      <c r="BK491">
        <v>-1.4457237168317674</v>
      </c>
      <c r="BL491">
        <v>-83.189195257437191</v>
      </c>
      <c r="BM491" t="s">
        <v>1021</v>
      </c>
      <c r="BN491" t="s">
        <v>1154</v>
      </c>
      <c r="BO491">
        <v>2025</v>
      </c>
      <c r="BP491" t="s">
        <v>966</v>
      </c>
      <c r="BQ491">
        <v>839085.19678976806</v>
      </c>
      <c r="BR491">
        <v>16.091480321023194</v>
      </c>
      <c r="BS491" t="s">
        <v>992</v>
      </c>
      <c r="BV491" t="s">
        <v>1034</v>
      </c>
      <c r="BW491" t="s">
        <v>943</v>
      </c>
      <c r="BX491" t="s">
        <v>994</v>
      </c>
      <c r="BY491">
        <v>0.50929491306926011</v>
      </c>
      <c r="BZ491" t="s">
        <v>1155</v>
      </c>
      <c r="CA491" t="s">
        <v>991</v>
      </c>
      <c r="CB491" t="b">
        <v>1</v>
      </c>
      <c r="CC491" t="b">
        <v>1</v>
      </c>
      <c r="CD491" t="b">
        <v>1</v>
      </c>
      <c r="CE491" t="b">
        <v>1</v>
      </c>
      <c r="CF491" t="b">
        <v>1</v>
      </c>
    </row>
    <row r="492" spans="1:84" x14ac:dyDescent="0.3">
      <c r="A492" t="s">
        <v>2197</v>
      </c>
      <c r="B492" t="s">
        <v>1217</v>
      </c>
      <c r="C492" s="98">
        <v>45768</v>
      </c>
      <c r="D492">
        <v>2025</v>
      </c>
      <c r="E492">
        <v>4</v>
      </c>
      <c r="F492">
        <v>2</v>
      </c>
      <c r="G492" t="s">
        <v>1208</v>
      </c>
      <c r="H492" t="s">
        <v>131</v>
      </c>
      <c r="I492" t="s">
        <v>131</v>
      </c>
      <c r="J492" t="s">
        <v>6</v>
      </c>
      <c r="L492">
        <v>522611</v>
      </c>
      <c r="M492" s="99" t="s">
        <v>179</v>
      </c>
      <c r="N492">
        <v>2</v>
      </c>
      <c r="O492">
        <v>16</v>
      </c>
      <c r="P492">
        <v>34.584000000000003</v>
      </c>
      <c r="Q492" t="s">
        <v>352</v>
      </c>
      <c r="R492">
        <v>1</v>
      </c>
      <c r="S492">
        <v>34.272399999999998</v>
      </c>
      <c r="T492">
        <v>0.37980000000000003</v>
      </c>
      <c r="U492">
        <v>0.82043180621381151</v>
      </c>
      <c r="V492">
        <v>33.132999999999996</v>
      </c>
      <c r="W492">
        <v>33.512799999999999</v>
      </c>
      <c r="X492">
        <v>33.892599999999995</v>
      </c>
      <c r="Y492">
        <v>34.652200000000001</v>
      </c>
      <c r="Z492">
        <v>35.031999999999996</v>
      </c>
      <c r="AA492">
        <v>35.411799999999999</v>
      </c>
      <c r="AD492">
        <v>1.7378743866409962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t="s">
        <v>462</v>
      </c>
      <c r="AL492" t="s">
        <v>6</v>
      </c>
      <c r="AM492" t="s">
        <v>1145</v>
      </c>
      <c r="AN492" t="s">
        <v>1146</v>
      </c>
      <c r="AO492" s="100">
        <v>46262.040405092594</v>
      </c>
      <c r="AP492" t="s">
        <v>1147</v>
      </c>
      <c r="AQ492" t="s">
        <v>2198</v>
      </c>
      <c r="AR492" t="s">
        <v>1219</v>
      </c>
      <c r="AS492" t="s">
        <v>1150</v>
      </c>
      <c r="AT492" t="s">
        <v>2118</v>
      </c>
      <c r="AU492">
        <v>25</v>
      </c>
      <c r="AV492">
        <v>34.147188000000007</v>
      </c>
      <c r="AW492">
        <v>0.45496265077476394</v>
      </c>
      <c r="AX492">
        <v>1.332357589078093</v>
      </c>
      <c r="AY492">
        <v>0.98520808149391026</v>
      </c>
      <c r="AZ492">
        <v>3.1835981034727636</v>
      </c>
      <c r="BA492">
        <v>0.56491313692136014</v>
      </c>
      <c r="BB492" t="s">
        <v>4619</v>
      </c>
      <c r="BD492" s="98"/>
      <c r="BE492" s="98"/>
      <c r="BF492" t="s">
        <v>1152</v>
      </c>
      <c r="BG492" t="s">
        <v>322</v>
      </c>
      <c r="BH492" t="s">
        <v>1153</v>
      </c>
      <c r="BI492">
        <v>0.98520808149391026</v>
      </c>
      <c r="BJ492" t="s">
        <v>991</v>
      </c>
      <c r="BK492">
        <v>-1.4457237168317674</v>
      </c>
      <c r="BL492">
        <v>-83.189195257437191</v>
      </c>
      <c r="BM492" t="s">
        <v>1021</v>
      </c>
      <c r="BN492" t="s">
        <v>1154</v>
      </c>
      <c r="BO492">
        <v>2025</v>
      </c>
      <c r="BP492" t="s">
        <v>966</v>
      </c>
      <c r="BQ492">
        <v>839085.19678976806</v>
      </c>
      <c r="BR492">
        <v>16.091480321023194</v>
      </c>
      <c r="BS492" t="s">
        <v>992</v>
      </c>
      <c r="BV492" t="s">
        <v>1034</v>
      </c>
      <c r="BW492" t="s">
        <v>943</v>
      </c>
      <c r="BX492" t="s">
        <v>994</v>
      </c>
      <c r="BY492">
        <v>0.50929491306926011</v>
      </c>
      <c r="BZ492" t="s">
        <v>1155</v>
      </c>
      <c r="CA492" t="s">
        <v>991</v>
      </c>
      <c r="CB492" t="b">
        <v>1</v>
      </c>
      <c r="CC492" t="b">
        <v>1</v>
      </c>
      <c r="CD492" t="b">
        <v>1</v>
      </c>
      <c r="CE492" t="b">
        <v>1</v>
      </c>
      <c r="CF492" t="b">
        <v>1</v>
      </c>
    </row>
    <row r="493" spans="1:84" x14ac:dyDescent="0.3">
      <c r="A493" t="s">
        <v>2199</v>
      </c>
      <c r="B493" t="s">
        <v>1221</v>
      </c>
      <c r="C493" s="98">
        <v>45775</v>
      </c>
      <c r="D493">
        <v>2025</v>
      </c>
      <c r="E493">
        <v>4</v>
      </c>
      <c r="F493">
        <v>2</v>
      </c>
      <c r="G493" t="s">
        <v>1208</v>
      </c>
      <c r="H493" t="s">
        <v>131</v>
      </c>
      <c r="I493" t="s">
        <v>131</v>
      </c>
      <c r="J493" t="s">
        <v>6</v>
      </c>
      <c r="L493">
        <v>522611</v>
      </c>
      <c r="M493" s="99" t="s">
        <v>179</v>
      </c>
      <c r="N493">
        <v>2</v>
      </c>
      <c r="O493">
        <v>17</v>
      </c>
      <c r="P493">
        <v>33.907400000000003</v>
      </c>
      <c r="Q493" t="s">
        <v>352</v>
      </c>
      <c r="R493">
        <v>1</v>
      </c>
      <c r="S493">
        <v>34.272399999999998</v>
      </c>
      <c r="T493">
        <v>0.37980000000000003</v>
      </c>
      <c r="U493">
        <v>-0.96103212216954936</v>
      </c>
      <c r="V493">
        <v>33.132999999999996</v>
      </c>
      <c r="W493">
        <v>33.512799999999999</v>
      </c>
      <c r="X493">
        <v>33.892599999999995</v>
      </c>
      <c r="Y493">
        <v>34.652200000000001</v>
      </c>
      <c r="Z493">
        <v>35.031999999999996</v>
      </c>
      <c r="AA493">
        <v>35.411799999999999</v>
      </c>
      <c r="AD493">
        <v>1.7378743866409962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t="s">
        <v>462</v>
      </c>
      <c r="AL493" t="s">
        <v>6</v>
      </c>
      <c r="AM493" t="s">
        <v>1145</v>
      </c>
      <c r="AN493" t="s">
        <v>1146</v>
      </c>
      <c r="AO493" s="100">
        <v>46262.040405092594</v>
      </c>
      <c r="AP493" t="s">
        <v>1147</v>
      </c>
      <c r="AQ493" t="s">
        <v>2200</v>
      </c>
      <c r="AR493" t="s">
        <v>1223</v>
      </c>
      <c r="AS493" t="s">
        <v>1150</v>
      </c>
      <c r="AT493" t="s">
        <v>2118</v>
      </c>
      <c r="AU493">
        <v>25</v>
      </c>
      <c r="AV493">
        <v>34.147188000000007</v>
      </c>
      <c r="AW493">
        <v>0.45496265077476394</v>
      </c>
      <c r="AX493">
        <v>1.332357589078093</v>
      </c>
      <c r="AY493">
        <v>0.98520808149391026</v>
      </c>
      <c r="AZ493">
        <v>3.1835981034727636</v>
      </c>
      <c r="BA493">
        <v>0.56491313692136014</v>
      </c>
      <c r="BB493" t="s">
        <v>4619</v>
      </c>
      <c r="BD493" s="98"/>
      <c r="BE493" s="98"/>
      <c r="BF493" t="s">
        <v>1152</v>
      </c>
      <c r="BG493" t="s">
        <v>322</v>
      </c>
      <c r="BH493" t="s">
        <v>1153</v>
      </c>
      <c r="BI493">
        <v>0.98520808149391026</v>
      </c>
      <c r="BJ493" t="s">
        <v>991</v>
      </c>
      <c r="BK493">
        <v>-1.4457237168317674</v>
      </c>
      <c r="BL493">
        <v>-83.189195257437191</v>
      </c>
      <c r="BM493" t="s">
        <v>1021</v>
      </c>
      <c r="BN493" t="s">
        <v>1154</v>
      </c>
      <c r="BO493">
        <v>2025</v>
      </c>
      <c r="BP493" t="s">
        <v>966</v>
      </c>
      <c r="BQ493">
        <v>839085.19678976806</v>
      </c>
      <c r="BR493">
        <v>16.091480321023194</v>
      </c>
      <c r="BS493" t="s">
        <v>992</v>
      </c>
      <c r="BV493" t="s">
        <v>1034</v>
      </c>
      <c r="BW493" t="s">
        <v>943</v>
      </c>
      <c r="BX493" t="s">
        <v>994</v>
      </c>
      <c r="BY493">
        <v>0.50929491306926011</v>
      </c>
      <c r="BZ493" t="s">
        <v>1155</v>
      </c>
      <c r="CA493" t="s">
        <v>991</v>
      </c>
      <c r="CB493" t="b">
        <v>1</v>
      </c>
      <c r="CC493" t="b">
        <v>1</v>
      </c>
      <c r="CD493" t="b">
        <v>1</v>
      </c>
      <c r="CE493" t="b">
        <v>1</v>
      </c>
      <c r="CF493" t="b">
        <v>1</v>
      </c>
    </row>
    <row r="494" spans="1:84" x14ac:dyDescent="0.3">
      <c r="A494" t="s">
        <v>2201</v>
      </c>
      <c r="B494" t="s">
        <v>1225</v>
      </c>
      <c r="C494" s="98">
        <v>45782</v>
      </c>
      <c r="D494">
        <v>2025</v>
      </c>
      <c r="E494">
        <v>5</v>
      </c>
      <c r="F494">
        <v>2</v>
      </c>
      <c r="G494" t="s">
        <v>1226</v>
      </c>
      <c r="H494" t="s">
        <v>131</v>
      </c>
      <c r="I494" t="s">
        <v>131</v>
      </c>
      <c r="J494" t="s">
        <v>6</v>
      </c>
      <c r="L494">
        <v>522611</v>
      </c>
      <c r="M494" s="99" t="s">
        <v>179</v>
      </c>
      <c r="N494">
        <v>2</v>
      </c>
      <c r="O494">
        <v>18</v>
      </c>
      <c r="P494">
        <v>33.744399999999999</v>
      </c>
      <c r="Q494" t="s">
        <v>352</v>
      </c>
      <c r="R494">
        <v>1</v>
      </c>
      <c r="S494">
        <v>34.272399999999998</v>
      </c>
      <c r="T494">
        <v>0.37980000000000003</v>
      </c>
      <c r="U494">
        <v>-1.3902053712480218</v>
      </c>
      <c r="V494">
        <v>33.132999999999996</v>
      </c>
      <c r="W494">
        <v>33.512799999999999</v>
      </c>
      <c r="X494">
        <v>33.892599999999995</v>
      </c>
      <c r="Y494">
        <v>34.652200000000001</v>
      </c>
      <c r="Z494">
        <v>35.031999999999996</v>
      </c>
      <c r="AA494">
        <v>35.411799999999999</v>
      </c>
      <c r="AD494">
        <v>1.7378743866409962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 t="s">
        <v>462</v>
      </c>
      <c r="AL494" t="s">
        <v>6</v>
      </c>
      <c r="AM494" t="s">
        <v>1145</v>
      </c>
      <c r="AN494" t="s">
        <v>1146</v>
      </c>
      <c r="AO494" s="100">
        <v>46262.040405092594</v>
      </c>
      <c r="AP494" t="s">
        <v>1147</v>
      </c>
      <c r="AQ494" t="s">
        <v>2202</v>
      </c>
      <c r="AR494" t="s">
        <v>1228</v>
      </c>
      <c r="AS494" t="s">
        <v>1150</v>
      </c>
      <c r="AT494" t="s">
        <v>2118</v>
      </c>
      <c r="AU494">
        <v>25</v>
      </c>
      <c r="AV494">
        <v>34.147188000000007</v>
      </c>
      <c r="AW494">
        <v>0.45496265077476394</v>
      </c>
      <c r="AX494">
        <v>1.332357589078093</v>
      </c>
      <c r="AY494">
        <v>0.98520808149391026</v>
      </c>
      <c r="AZ494">
        <v>3.1835981034727636</v>
      </c>
      <c r="BA494">
        <v>0.56491313692136014</v>
      </c>
      <c r="BB494" t="s">
        <v>4619</v>
      </c>
      <c r="BD494" s="98"/>
      <c r="BE494" s="98"/>
      <c r="BF494" t="s">
        <v>1152</v>
      </c>
      <c r="BG494" t="s">
        <v>322</v>
      </c>
      <c r="BH494" t="s">
        <v>1153</v>
      </c>
      <c r="BI494">
        <v>0.98520808149391026</v>
      </c>
      <c r="BJ494" t="s">
        <v>991</v>
      </c>
      <c r="BK494">
        <v>-1.4457237168317674</v>
      </c>
      <c r="BL494">
        <v>-83.189195257437191</v>
      </c>
      <c r="BM494" t="s">
        <v>1021</v>
      </c>
      <c r="BN494" t="s">
        <v>1154</v>
      </c>
      <c r="BO494">
        <v>2025</v>
      </c>
      <c r="BP494" t="s">
        <v>966</v>
      </c>
      <c r="BQ494">
        <v>839085.19678976806</v>
      </c>
      <c r="BR494">
        <v>16.091480321023194</v>
      </c>
      <c r="BS494" t="s">
        <v>992</v>
      </c>
      <c r="BV494" t="s">
        <v>1034</v>
      </c>
      <c r="BW494" t="s">
        <v>943</v>
      </c>
      <c r="BX494" t="s">
        <v>994</v>
      </c>
      <c r="BY494">
        <v>0.50929491306926011</v>
      </c>
      <c r="BZ494" t="s">
        <v>1155</v>
      </c>
      <c r="CA494" t="s">
        <v>991</v>
      </c>
      <c r="CB494" t="b">
        <v>1</v>
      </c>
      <c r="CC494" t="b">
        <v>1</v>
      </c>
      <c r="CD494" t="b">
        <v>1</v>
      </c>
      <c r="CE494" t="b">
        <v>1</v>
      </c>
      <c r="CF494" t="b">
        <v>1</v>
      </c>
    </row>
    <row r="495" spans="1:84" x14ac:dyDescent="0.3">
      <c r="A495" t="s">
        <v>2203</v>
      </c>
      <c r="B495" t="s">
        <v>1230</v>
      </c>
      <c r="C495" s="98">
        <v>45789</v>
      </c>
      <c r="D495">
        <v>2025</v>
      </c>
      <c r="E495">
        <v>5</v>
      </c>
      <c r="F495">
        <v>2</v>
      </c>
      <c r="G495" t="s">
        <v>1226</v>
      </c>
      <c r="H495" t="s">
        <v>131</v>
      </c>
      <c r="I495" t="s">
        <v>131</v>
      </c>
      <c r="J495" t="s">
        <v>6</v>
      </c>
      <c r="L495">
        <v>522611</v>
      </c>
      <c r="M495" s="99" t="s">
        <v>179</v>
      </c>
      <c r="N495">
        <v>2</v>
      </c>
      <c r="O495">
        <v>19</v>
      </c>
      <c r="P495">
        <v>34.137700000000002</v>
      </c>
      <c r="Q495" t="s">
        <v>352</v>
      </c>
      <c r="R495">
        <v>1</v>
      </c>
      <c r="S495">
        <v>34.272399999999998</v>
      </c>
      <c r="T495">
        <v>0.37980000000000003</v>
      </c>
      <c r="U495">
        <v>-0.35466034755133002</v>
      </c>
      <c r="V495">
        <v>33.132999999999996</v>
      </c>
      <c r="W495">
        <v>33.512799999999999</v>
      </c>
      <c r="X495">
        <v>33.892599999999995</v>
      </c>
      <c r="Y495">
        <v>34.652200000000001</v>
      </c>
      <c r="Z495">
        <v>35.031999999999996</v>
      </c>
      <c r="AA495">
        <v>35.411799999999999</v>
      </c>
      <c r="AD495">
        <v>1.7378743866409962</v>
      </c>
      <c r="AE495">
        <v>0</v>
      </c>
      <c r="AF495">
        <v>0</v>
      </c>
      <c r="AG495">
        <v>0</v>
      </c>
      <c r="AH495">
        <v>0</v>
      </c>
      <c r="AI495">
        <v>1</v>
      </c>
      <c r="AJ495">
        <v>0</v>
      </c>
      <c r="AK495" t="s">
        <v>1213</v>
      </c>
      <c r="AL495" t="s">
        <v>6</v>
      </c>
      <c r="AM495" t="s">
        <v>1145</v>
      </c>
      <c r="AN495" t="s">
        <v>1146</v>
      </c>
      <c r="AO495" s="100">
        <v>46262.040405092594</v>
      </c>
      <c r="AP495" t="s">
        <v>1147</v>
      </c>
      <c r="AQ495" t="s">
        <v>2204</v>
      </c>
      <c r="AR495" t="s">
        <v>1232</v>
      </c>
      <c r="AS495" t="s">
        <v>1150</v>
      </c>
      <c r="AT495" t="s">
        <v>2118</v>
      </c>
      <c r="AU495">
        <v>25</v>
      </c>
      <c r="AV495">
        <v>34.147188000000007</v>
      </c>
      <c r="AW495">
        <v>0.45496265077476394</v>
      </c>
      <c r="AX495">
        <v>1.332357589078093</v>
      </c>
      <c r="AY495">
        <v>0.98520808149391026</v>
      </c>
      <c r="AZ495">
        <v>3.1835981034727636</v>
      </c>
      <c r="BA495">
        <v>0.56491313692136014</v>
      </c>
      <c r="BB495" t="s">
        <v>4619</v>
      </c>
      <c r="BD495" s="98"/>
      <c r="BE495" s="98"/>
      <c r="BF495" t="s">
        <v>1152</v>
      </c>
      <c r="BG495" t="s">
        <v>322</v>
      </c>
      <c r="BH495" t="s">
        <v>1153</v>
      </c>
      <c r="BI495">
        <v>0.98520808149391026</v>
      </c>
      <c r="BJ495" t="s">
        <v>991</v>
      </c>
      <c r="BK495">
        <v>-1.4457237168317674</v>
      </c>
      <c r="BL495">
        <v>-83.189195257437191</v>
      </c>
      <c r="BM495" t="s">
        <v>1021</v>
      </c>
      <c r="BN495" t="s">
        <v>1154</v>
      </c>
      <c r="BO495">
        <v>2025</v>
      </c>
      <c r="BP495" t="s">
        <v>966</v>
      </c>
      <c r="BQ495">
        <v>839085.19678976806</v>
      </c>
      <c r="BR495">
        <v>16.091480321023194</v>
      </c>
      <c r="BS495" t="s">
        <v>992</v>
      </c>
      <c r="BV495" t="s">
        <v>1034</v>
      </c>
      <c r="BW495" t="s">
        <v>943</v>
      </c>
      <c r="BX495" t="s">
        <v>994</v>
      </c>
      <c r="BY495">
        <v>0.50929491306926011</v>
      </c>
      <c r="BZ495" t="s">
        <v>1155</v>
      </c>
      <c r="CA495" t="s">
        <v>991</v>
      </c>
      <c r="CB495" t="b">
        <v>1</v>
      </c>
      <c r="CC495" t="b">
        <v>1</v>
      </c>
      <c r="CD495" t="b">
        <v>1</v>
      </c>
      <c r="CE495" t="b">
        <v>1</v>
      </c>
      <c r="CF495" t="b">
        <v>1</v>
      </c>
    </row>
    <row r="496" spans="1:84" x14ac:dyDescent="0.3">
      <c r="A496" t="s">
        <v>2205</v>
      </c>
      <c r="B496" t="s">
        <v>1234</v>
      </c>
      <c r="C496" s="98">
        <v>45796</v>
      </c>
      <c r="D496">
        <v>2025</v>
      </c>
      <c r="E496">
        <v>5</v>
      </c>
      <c r="F496">
        <v>2</v>
      </c>
      <c r="G496" t="s">
        <v>1226</v>
      </c>
      <c r="H496" t="s">
        <v>131</v>
      </c>
      <c r="I496" t="s">
        <v>131</v>
      </c>
      <c r="J496" t="s">
        <v>6</v>
      </c>
      <c r="L496">
        <v>522611</v>
      </c>
      <c r="M496" s="99" t="s">
        <v>179</v>
      </c>
      <c r="N496">
        <v>2</v>
      </c>
      <c r="O496">
        <v>20</v>
      </c>
      <c r="P496">
        <v>34.800699999999999</v>
      </c>
      <c r="Q496" t="s">
        <v>352</v>
      </c>
      <c r="R496">
        <v>1</v>
      </c>
      <c r="S496">
        <v>34.272399999999998</v>
      </c>
      <c r="T496">
        <v>0.37980000000000003</v>
      </c>
      <c r="U496">
        <v>1.390995260663511</v>
      </c>
      <c r="V496">
        <v>33.132999999999996</v>
      </c>
      <c r="W496">
        <v>33.512799999999999</v>
      </c>
      <c r="X496">
        <v>33.892599999999995</v>
      </c>
      <c r="Y496">
        <v>34.652200000000001</v>
      </c>
      <c r="Z496">
        <v>35.031999999999996</v>
      </c>
      <c r="AA496">
        <v>35.411799999999999</v>
      </c>
      <c r="AD496">
        <v>1.7378743866409962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 t="s">
        <v>462</v>
      </c>
      <c r="AL496" t="s">
        <v>6</v>
      </c>
      <c r="AM496" t="s">
        <v>1145</v>
      </c>
      <c r="AN496" t="s">
        <v>1146</v>
      </c>
      <c r="AO496" s="100">
        <v>46262.040405092594</v>
      </c>
      <c r="AP496" t="s">
        <v>1147</v>
      </c>
      <c r="AQ496" t="s">
        <v>2206</v>
      </c>
      <c r="AR496" t="s">
        <v>1236</v>
      </c>
      <c r="AS496" t="s">
        <v>1150</v>
      </c>
      <c r="AT496" t="s">
        <v>2118</v>
      </c>
      <c r="AU496">
        <v>25</v>
      </c>
      <c r="AV496">
        <v>34.147188000000007</v>
      </c>
      <c r="AW496">
        <v>0.45496265077476394</v>
      </c>
      <c r="AX496">
        <v>1.332357589078093</v>
      </c>
      <c r="AY496">
        <v>0.98520808149391026</v>
      </c>
      <c r="AZ496">
        <v>3.1835981034727636</v>
      </c>
      <c r="BA496">
        <v>0.56491313692136014</v>
      </c>
      <c r="BB496" t="s">
        <v>4619</v>
      </c>
      <c r="BD496" s="98"/>
      <c r="BE496" s="98"/>
      <c r="BF496" t="s">
        <v>1152</v>
      </c>
      <c r="BG496" t="s">
        <v>322</v>
      </c>
      <c r="BH496" t="s">
        <v>1153</v>
      </c>
      <c r="BI496">
        <v>0.98520808149391026</v>
      </c>
      <c r="BJ496" t="s">
        <v>991</v>
      </c>
      <c r="BK496">
        <v>-1.4457237168317674</v>
      </c>
      <c r="BL496">
        <v>-83.189195257437191</v>
      </c>
      <c r="BM496" t="s">
        <v>1021</v>
      </c>
      <c r="BN496" t="s">
        <v>1154</v>
      </c>
      <c r="BO496">
        <v>2025</v>
      </c>
      <c r="BP496" t="s">
        <v>966</v>
      </c>
      <c r="BQ496">
        <v>839085.19678976806</v>
      </c>
      <c r="BR496">
        <v>16.091480321023194</v>
      </c>
      <c r="BS496" t="s">
        <v>992</v>
      </c>
      <c r="BV496" t="s">
        <v>1034</v>
      </c>
      <c r="BW496" t="s">
        <v>943</v>
      </c>
      <c r="BX496" t="s">
        <v>994</v>
      </c>
      <c r="BY496">
        <v>0.50929491306926011</v>
      </c>
      <c r="BZ496" t="s">
        <v>1155</v>
      </c>
      <c r="CA496" t="s">
        <v>991</v>
      </c>
      <c r="CB496" t="b">
        <v>1</v>
      </c>
      <c r="CC496" t="b">
        <v>1</v>
      </c>
      <c r="CD496" t="b">
        <v>1</v>
      </c>
      <c r="CE496" t="b">
        <v>1</v>
      </c>
      <c r="CF496" t="b">
        <v>1</v>
      </c>
    </row>
    <row r="497" spans="1:84" x14ac:dyDescent="0.3">
      <c r="A497" t="s">
        <v>2207</v>
      </c>
      <c r="B497" t="s">
        <v>1238</v>
      </c>
      <c r="C497" s="98">
        <v>45803</v>
      </c>
      <c r="D497">
        <v>2025</v>
      </c>
      <c r="E497">
        <v>5</v>
      </c>
      <c r="F497">
        <v>2</v>
      </c>
      <c r="G497" t="s">
        <v>1226</v>
      </c>
      <c r="H497" t="s">
        <v>131</v>
      </c>
      <c r="I497" t="s">
        <v>131</v>
      </c>
      <c r="J497" t="s">
        <v>6</v>
      </c>
      <c r="L497">
        <v>522611</v>
      </c>
      <c r="M497" s="99" t="s">
        <v>179</v>
      </c>
      <c r="N497">
        <v>2</v>
      </c>
      <c r="O497">
        <v>21</v>
      </c>
      <c r="P497">
        <v>33.201700000000002</v>
      </c>
      <c r="Q497" t="s">
        <v>352</v>
      </c>
      <c r="R497">
        <v>1</v>
      </c>
      <c r="S497">
        <v>34.272399999999998</v>
      </c>
      <c r="T497">
        <v>0.37980000000000003</v>
      </c>
      <c r="U497">
        <v>-2.8191153238546471</v>
      </c>
      <c r="V497">
        <v>33.132999999999996</v>
      </c>
      <c r="W497">
        <v>33.512799999999999</v>
      </c>
      <c r="X497">
        <v>33.892599999999995</v>
      </c>
      <c r="Y497">
        <v>34.652200000000001</v>
      </c>
      <c r="Z497">
        <v>35.031999999999996</v>
      </c>
      <c r="AA497">
        <v>35.411799999999999</v>
      </c>
      <c r="AD497">
        <v>1.7378743866409962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1</v>
      </c>
      <c r="AK497" t="s">
        <v>462</v>
      </c>
      <c r="AL497" t="s">
        <v>6</v>
      </c>
      <c r="AM497" t="s">
        <v>1145</v>
      </c>
      <c r="AN497" t="s">
        <v>1146</v>
      </c>
      <c r="AO497" s="100">
        <v>46262.040405092594</v>
      </c>
      <c r="AP497" t="s">
        <v>1147</v>
      </c>
      <c r="AQ497" t="s">
        <v>2208</v>
      </c>
      <c r="AR497" t="s">
        <v>1240</v>
      </c>
      <c r="AS497" t="s">
        <v>1150</v>
      </c>
      <c r="AT497" t="s">
        <v>2118</v>
      </c>
      <c r="AU497">
        <v>25</v>
      </c>
      <c r="AV497">
        <v>34.147188000000007</v>
      </c>
      <c r="AW497">
        <v>0.45496265077476394</v>
      </c>
      <c r="AX497">
        <v>1.332357589078093</v>
      </c>
      <c r="AY497">
        <v>0.98520808149391026</v>
      </c>
      <c r="AZ497">
        <v>3.1835981034727636</v>
      </c>
      <c r="BA497">
        <v>0.56491313692136014</v>
      </c>
      <c r="BB497" t="s">
        <v>4619</v>
      </c>
      <c r="BD497" s="98"/>
      <c r="BE497" s="98"/>
      <c r="BF497" t="s">
        <v>1152</v>
      </c>
      <c r="BG497" t="s">
        <v>322</v>
      </c>
      <c r="BH497" t="s">
        <v>1153</v>
      </c>
      <c r="BI497">
        <v>0.98520808149391026</v>
      </c>
      <c r="BJ497" t="s">
        <v>991</v>
      </c>
      <c r="BK497">
        <v>-1.4457237168317674</v>
      </c>
      <c r="BL497">
        <v>-83.189195257437191</v>
      </c>
      <c r="BM497" t="s">
        <v>1021</v>
      </c>
      <c r="BN497" t="s">
        <v>1154</v>
      </c>
      <c r="BO497">
        <v>2025</v>
      </c>
      <c r="BP497" t="s">
        <v>966</v>
      </c>
      <c r="BQ497">
        <v>839085.19678976806</v>
      </c>
      <c r="BR497">
        <v>16.091480321023194</v>
      </c>
      <c r="BS497" t="s">
        <v>992</v>
      </c>
      <c r="BV497" t="s">
        <v>1034</v>
      </c>
      <c r="BW497" t="s">
        <v>943</v>
      </c>
      <c r="BX497" t="s">
        <v>994</v>
      </c>
      <c r="BY497">
        <v>0.50929491306926011</v>
      </c>
      <c r="BZ497" t="s">
        <v>1155</v>
      </c>
      <c r="CA497" t="s">
        <v>991</v>
      </c>
      <c r="CB497" t="b">
        <v>1</v>
      </c>
      <c r="CC497" t="b">
        <v>1</v>
      </c>
      <c r="CD497" t="b">
        <v>1</v>
      </c>
      <c r="CE497" t="b">
        <v>1</v>
      </c>
      <c r="CF497" t="b">
        <v>1</v>
      </c>
    </row>
    <row r="498" spans="1:84" x14ac:dyDescent="0.3">
      <c r="A498" t="s">
        <v>2209</v>
      </c>
      <c r="B498" t="s">
        <v>1242</v>
      </c>
      <c r="C498" s="98">
        <v>45810</v>
      </c>
      <c r="D498">
        <v>2025</v>
      </c>
      <c r="E498">
        <v>6</v>
      </c>
      <c r="F498">
        <v>2</v>
      </c>
      <c r="G498" t="s">
        <v>1243</v>
      </c>
      <c r="H498" t="s">
        <v>131</v>
      </c>
      <c r="I498" t="s">
        <v>131</v>
      </c>
      <c r="J498" t="s">
        <v>6</v>
      </c>
      <c r="L498">
        <v>522611</v>
      </c>
      <c r="M498" s="99" t="s">
        <v>179</v>
      </c>
      <c r="N498">
        <v>2</v>
      </c>
      <c r="O498">
        <v>22</v>
      </c>
      <c r="P498">
        <v>34.4724</v>
      </c>
      <c r="Q498" t="s">
        <v>352</v>
      </c>
      <c r="R498">
        <v>1</v>
      </c>
      <c r="S498">
        <v>34.272399999999998</v>
      </c>
      <c r="T498">
        <v>0.37980000000000003</v>
      </c>
      <c r="U498">
        <v>0.52659294365456244</v>
      </c>
      <c r="V498">
        <v>33.132999999999996</v>
      </c>
      <c r="W498">
        <v>33.512799999999999</v>
      </c>
      <c r="X498">
        <v>33.892599999999995</v>
      </c>
      <c r="Y498">
        <v>34.652200000000001</v>
      </c>
      <c r="Z498">
        <v>35.031999999999996</v>
      </c>
      <c r="AA498">
        <v>35.411799999999999</v>
      </c>
      <c r="AD498">
        <v>1.7378743866409962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 t="s">
        <v>462</v>
      </c>
      <c r="AL498" t="s">
        <v>6</v>
      </c>
      <c r="AM498" t="s">
        <v>1145</v>
      </c>
      <c r="AN498" t="s">
        <v>1146</v>
      </c>
      <c r="AO498" s="100">
        <v>46262.040405092594</v>
      </c>
      <c r="AP498" t="s">
        <v>1147</v>
      </c>
      <c r="AQ498" t="s">
        <v>2210</v>
      </c>
      <c r="AR498" t="s">
        <v>1245</v>
      </c>
      <c r="AS498" t="s">
        <v>1150</v>
      </c>
      <c r="AT498" t="s">
        <v>2118</v>
      </c>
      <c r="AU498">
        <v>25</v>
      </c>
      <c r="AV498">
        <v>34.147188000000007</v>
      </c>
      <c r="AW498">
        <v>0.45496265077476394</v>
      </c>
      <c r="AX498">
        <v>1.332357589078093</v>
      </c>
      <c r="AY498">
        <v>0.98520808149391026</v>
      </c>
      <c r="AZ498">
        <v>3.1835981034727636</v>
      </c>
      <c r="BA498">
        <v>0.56491313692136014</v>
      </c>
      <c r="BB498" t="s">
        <v>4619</v>
      </c>
      <c r="BD498" s="98"/>
      <c r="BE498" s="98"/>
      <c r="BF498" t="s">
        <v>1152</v>
      </c>
      <c r="BG498" t="s">
        <v>322</v>
      </c>
      <c r="BH498" t="s">
        <v>1153</v>
      </c>
      <c r="BI498">
        <v>0.98520808149391026</v>
      </c>
      <c r="BJ498" t="s">
        <v>991</v>
      </c>
      <c r="BK498">
        <v>-1.4457237168317674</v>
      </c>
      <c r="BL498">
        <v>-83.189195257437191</v>
      </c>
      <c r="BM498" t="s">
        <v>1021</v>
      </c>
      <c r="BN498" t="s">
        <v>1154</v>
      </c>
      <c r="BO498">
        <v>2025</v>
      </c>
      <c r="BP498" t="s">
        <v>966</v>
      </c>
      <c r="BQ498">
        <v>839085.19678976806</v>
      </c>
      <c r="BR498">
        <v>16.091480321023194</v>
      </c>
      <c r="BS498" t="s">
        <v>992</v>
      </c>
      <c r="BV498" t="s">
        <v>1034</v>
      </c>
      <c r="BW498" t="s">
        <v>943</v>
      </c>
      <c r="BX498" t="s">
        <v>994</v>
      </c>
      <c r="BY498">
        <v>0.50929491306926011</v>
      </c>
      <c r="BZ498" t="s">
        <v>1155</v>
      </c>
      <c r="CA498" t="s">
        <v>991</v>
      </c>
      <c r="CB498" t="b">
        <v>1</v>
      </c>
      <c r="CC498" t="b">
        <v>1</v>
      </c>
      <c r="CD498" t="b">
        <v>1</v>
      </c>
      <c r="CE498" t="b">
        <v>1</v>
      </c>
      <c r="CF498" t="b">
        <v>1</v>
      </c>
    </row>
    <row r="499" spans="1:84" x14ac:dyDescent="0.3">
      <c r="A499" t="s">
        <v>2211</v>
      </c>
      <c r="B499" t="s">
        <v>1247</v>
      </c>
      <c r="C499" s="98">
        <v>45817</v>
      </c>
      <c r="D499">
        <v>2025</v>
      </c>
      <c r="E499">
        <v>6</v>
      </c>
      <c r="F499">
        <v>2</v>
      </c>
      <c r="G499" t="s">
        <v>1243</v>
      </c>
      <c r="H499" t="s">
        <v>131</v>
      </c>
      <c r="I499" t="s">
        <v>131</v>
      </c>
      <c r="J499" t="s">
        <v>6</v>
      </c>
      <c r="L499">
        <v>522611</v>
      </c>
      <c r="M499" s="99" t="s">
        <v>179</v>
      </c>
      <c r="N499">
        <v>2</v>
      </c>
      <c r="O499">
        <v>23</v>
      </c>
      <c r="P499">
        <v>33.863900000000001</v>
      </c>
      <c r="Q499" t="s">
        <v>352</v>
      </c>
      <c r="R499">
        <v>1</v>
      </c>
      <c r="S499">
        <v>34.272399999999998</v>
      </c>
      <c r="T499">
        <v>0.37980000000000003</v>
      </c>
      <c r="U499">
        <v>-1.0755660874144195</v>
      </c>
      <c r="V499">
        <v>33.132999999999996</v>
      </c>
      <c r="W499">
        <v>33.512799999999999</v>
      </c>
      <c r="X499">
        <v>33.892599999999995</v>
      </c>
      <c r="Y499">
        <v>34.652200000000001</v>
      </c>
      <c r="Z499">
        <v>35.031999999999996</v>
      </c>
      <c r="AA499">
        <v>35.411799999999999</v>
      </c>
      <c r="AD499">
        <v>1.7378743866409962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 t="s">
        <v>462</v>
      </c>
      <c r="AL499" t="s">
        <v>6</v>
      </c>
      <c r="AM499" t="s">
        <v>1145</v>
      </c>
      <c r="AN499" t="s">
        <v>1146</v>
      </c>
      <c r="AO499" s="100">
        <v>46262.040405092594</v>
      </c>
      <c r="AP499" t="s">
        <v>1147</v>
      </c>
      <c r="AQ499" t="s">
        <v>2212</v>
      </c>
      <c r="AR499" t="s">
        <v>1249</v>
      </c>
      <c r="AS499" t="s">
        <v>1150</v>
      </c>
      <c r="AT499" t="s">
        <v>2118</v>
      </c>
      <c r="AU499">
        <v>25</v>
      </c>
      <c r="AV499">
        <v>34.147188000000007</v>
      </c>
      <c r="AW499">
        <v>0.45496265077476394</v>
      </c>
      <c r="AX499">
        <v>1.332357589078093</v>
      </c>
      <c r="AY499">
        <v>0.98520808149391026</v>
      </c>
      <c r="AZ499">
        <v>3.1835981034727636</v>
      </c>
      <c r="BA499">
        <v>0.56491313692136014</v>
      </c>
      <c r="BB499" t="s">
        <v>4619</v>
      </c>
      <c r="BD499" s="98"/>
      <c r="BE499" s="98"/>
      <c r="BF499" t="s">
        <v>1152</v>
      </c>
      <c r="BG499" t="s">
        <v>322</v>
      </c>
      <c r="BH499" t="s">
        <v>1153</v>
      </c>
      <c r="BI499">
        <v>0.98520808149391026</v>
      </c>
      <c r="BJ499" t="s">
        <v>991</v>
      </c>
      <c r="BK499">
        <v>-1.4457237168317674</v>
      </c>
      <c r="BL499">
        <v>-83.189195257437191</v>
      </c>
      <c r="BM499" t="s">
        <v>1021</v>
      </c>
      <c r="BN499" t="s">
        <v>1154</v>
      </c>
      <c r="BO499">
        <v>2025</v>
      </c>
      <c r="BP499" t="s">
        <v>966</v>
      </c>
      <c r="BQ499">
        <v>839085.19678976806</v>
      </c>
      <c r="BR499">
        <v>16.091480321023194</v>
      </c>
      <c r="BS499" t="s">
        <v>992</v>
      </c>
      <c r="BV499" t="s">
        <v>1034</v>
      </c>
      <c r="BW499" t="s">
        <v>943</v>
      </c>
      <c r="BX499" t="s">
        <v>994</v>
      </c>
      <c r="BY499">
        <v>0.50929491306926011</v>
      </c>
      <c r="BZ499" t="s">
        <v>1155</v>
      </c>
      <c r="CA499" t="s">
        <v>991</v>
      </c>
      <c r="CB499" t="b">
        <v>1</v>
      </c>
      <c r="CC499" t="b">
        <v>1</v>
      </c>
      <c r="CD499" t="b">
        <v>1</v>
      </c>
      <c r="CE499" t="b">
        <v>1</v>
      </c>
      <c r="CF499" t="b">
        <v>1</v>
      </c>
    </row>
    <row r="500" spans="1:84" x14ac:dyDescent="0.3">
      <c r="A500" t="s">
        <v>2213</v>
      </c>
      <c r="B500" t="s">
        <v>1251</v>
      </c>
      <c r="C500" s="98">
        <v>45824</v>
      </c>
      <c r="D500">
        <v>2025</v>
      </c>
      <c r="E500">
        <v>6</v>
      </c>
      <c r="F500">
        <v>2</v>
      </c>
      <c r="G500" t="s">
        <v>1243</v>
      </c>
      <c r="H500" t="s">
        <v>131</v>
      </c>
      <c r="I500" t="s">
        <v>131</v>
      </c>
      <c r="J500" t="s">
        <v>6</v>
      </c>
      <c r="L500">
        <v>522611</v>
      </c>
      <c r="M500" s="99" t="s">
        <v>179</v>
      </c>
      <c r="N500">
        <v>2</v>
      </c>
      <c r="O500">
        <v>24</v>
      </c>
      <c r="P500">
        <v>34.667499999999997</v>
      </c>
      <c r="Q500" t="s">
        <v>352</v>
      </c>
      <c r="R500">
        <v>1</v>
      </c>
      <c r="S500">
        <v>34.272399999999998</v>
      </c>
      <c r="T500">
        <v>0.37980000000000003</v>
      </c>
      <c r="U500">
        <v>1.0402843601895717</v>
      </c>
      <c r="V500">
        <v>33.132999999999996</v>
      </c>
      <c r="W500">
        <v>33.512799999999999</v>
      </c>
      <c r="X500">
        <v>33.892599999999995</v>
      </c>
      <c r="Y500">
        <v>34.652200000000001</v>
      </c>
      <c r="Z500">
        <v>35.031999999999996</v>
      </c>
      <c r="AA500">
        <v>35.411799999999999</v>
      </c>
      <c r="AD500">
        <v>1.7378743866409962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 t="s">
        <v>462</v>
      </c>
      <c r="AL500" t="s">
        <v>6</v>
      </c>
      <c r="AM500" t="s">
        <v>1145</v>
      </c>
      <c r="AN500" t="s">
        <v>1146</v>
      </c>
      <c r="AO500" s="100">
        <v>46262.040405092594</v>
      </c>
      <c r="AP500" t="s">
        <v>1147</v>
      </c>
      <c r="AQ500" t="s">
        <v>2214</v>
      </c>
      <c r="AR500" t="s">
        <v>1253</v>
      </c>
      <c r="AS500" t="s">
        <v>1150</v>
      </c>
      <c r="AT500" t="s">
        <v>2118</v>
      </c>
      <c r="AU500">
        <v>25</v>
      </c>
      <c r="AV500">
        <v>34.147188000000007</v>
      </c>
      <c r="AW500">
        <v>0.45496265077476394</v>
      </c>
      <c r="AX500">
        <v>1.332357589078093</v>
      </c>
      <c r="AY500">
        <v>0.98520808149391026</v>
      </c>
      <c r="AZ500">
        <v>3.1835981034727636</v>
      </c>
      <c r="BA500">
        <v>0.56491313692136014</v>
      </c>
      <c r="BB500" t="s">
        <v>4619</v>
      </c>
      <c r="BD500" s="98"/>
      <c r="BE500" s="98"/>
      <c r="BF500" t="s">
        <v>1152</v>
      </c>
      <c r="BG500" t="s">
        <v>322</v>
      </c>
      <c r="BH500" t="s">
        <v>1153</v>
      </c>
      <c r="BI500">
        <v>0.98520808149391026</v>
      </c>
      <c r="BJ500" t="s">
        <v>991</v>
      </c>
      <c r="BK500">
        <v>-1.4457237168317674</v>
      </c>
      <c r="BL500">
        <v>-83.189195257437191</v>
      </c>
      <c r="BM500" t="s">
        <v>1021</v>
      </c>
      <c r="BN500" t="s">
        <v>1154</v>
      </c>
      <c r="BO500">
        <v>2025</v>
      </c>
      <c r="BP500" t="s">
        <v>966</v>
      </c>
      <c r="BQ500">
        <v>839085.19678976806</v>
      </c>
      <c r="BR500">
        <v>16.091480321023194</v>
      </c>
      <c r="BS500" t="s">
        <v>992</v>
      </c>
      <c r="BV500" t="s">
        <v>1034</v>
      </c>
      <c r="BW500" t="s">
        <v>943</v>
      </c>
      <c r="BX500" t="s">
        <v>994</v>
      </c>
      <c r="BY500">
        <v>0.50929491306926011</v>
      </c>
      <c r="BZ500" t="s">
        <v>1155</v>
      </c>
      <c r="CA500" t="s">
        <v>991</v>
      </c>
      <c r="CB500" t="b">
        <v>1</v>
      </c>
      <c r="CC500" t="b">
        <v>1</v>
      </c>
      <c r="CD500" t="b">
        <v>1</v>
      </c>
      <c r="CE500" t="b">
        <v>1</v>
      </c>
      <c r="CF500" t="b">
        <v>1</v>
      </c>
    </row>
    <row r="501" spans="1:84" x14ac:dyDescent="0.3">
      <c r="A501" t="s">
        <v>2215</v>
      </c>
      <c r="B501" t="s">
        <v>1255</v>
      </c>
      <c r="C501" s="98">
        <v>45831</v>
      </c>
      <c r="D501">
        <v>2025</v>
      </c>
      <c r="E501">
        <v>6</v>
      </c>
      <c r="F501">
        <v>2</v>
      </c>
      <c r="G501" t="s">
        <v>1243</v>
      </c>
      <c r="H501" t="s">
        <v>131</v>
      </c>
      <c r="I501" t="s">
        <v>131</v>
      </c>
      <c r="J501" t="s">
        <v>6</v>
      </c>
      <c r="L501">
        <v>522611</v>
      </c>
      <c r="M501" s="99" t="s">
        <v>179</v>
      </c>
      <c r="N501">
        <v>2</v>
      </c>
      <c r="O501">
        <v>25</v>
      </c>
      <c r="P501">
        <v>33.863100000000003</v>
      </c>
      <c r="Q501" t="s">
        <v>352</v>
      </c>
      <c r="R501">
        <v>1</v>
      </c>
      <c r="S501">
        <v>34.272399999999998</v>
      </c>
      <c r="T501">
        <v>0.37980000000000003</v>
      </c>
      <c r="U501">
        <v>-1.0776724591890328</v>
      </c>
      <c r="V501">
        <v>33.132999999999996</v>
      </c>
      <c r="W501">
        <v>33.512799999999999</v>
      </c>
      <c r="X501">
        <v>33.892599999999995</v>
      </c>
      <c r="Y501">
        <v>34.652200000000001</v>
      </c>
      <c r="Z501">
        <v>35.031999999999996</v>
      </c>
      <c r="AA501">
        <v>35.411799999999999</v>
      </c>
      <c r="AD501">
        <v>1.7378743866409962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 t="s">
        <v>462</v>
      </c>
      <c r="AL501" t="s">
        <v>6</v>
      </c>
      <c r="AM501" t="s">
        <v>1145</v>
      </c>
      <c r="AN501" t="s">
        <v>1146</v>
      </c>
      <c r="AO501" s="100">
        <v>46262.040405092594</v>
      </c>
      <c r="AP501" t="s">
        <v>1147</v>
      </c>
      <c r="AQ501" t="s">
        <v>2216</v>
      </c>
      <c r="AR501" t="s">
        <v>1257</v>
      </c>
      <c r="AS501" t="s">
        <v>1150</v>
      </c>
      <c r="AT501" t="s">
        <v>2118</v>
      </c>
      <c r="AU501">
        <v>25</v>
      </c>
      <c r="AV501">
        <v>34.147188000000007</v>
      </c>
      <c r="AW501">
        <v>0.45496265077476394</v>
      </c>
      <c r="AX501">
        <v>1.332357589078093</v>
      </c>
      <c r="AY501">
        <v>0.98520808149391026</v>
      </c>
      <c r="AZ501">
        <v>3.1835981034727636</v>
      </c>
      <c r="BA501">
        <v>0.56491313692136014</v>
      </c>
      <c r="BB501" t="s">
        <v>4619</v>
      </c>
      <c r="BD501" s="98"/>
      <c r="BE501" s="98"/>
      <c r="BF501" t="s">
        <v>1152</v>
      </c>
      <c r="BG501" t="s">
        <v>322</v>
      </c>
      <c r="BH501" t="s">
        <v>1153</v>
      </c>
      <c r="BI501">
        <v>0.98520808149391026</v>
      </c>
      <c r="BJ501" t="s">
        <v>991</v>
      </c>
      <c r="BK501">
        <v>-1.4457237168317674</v>
      </c>
      <c r="BL501">
        <v>-83.189195257437191</v>
      </c>
      <c r="BM501" t="s">
        <v>1021</v>
      </c>
      <c r="BN501" t="s">
        <v>1154</v>
      </c>
      <c r="BO501">
        <v>2025</v>
      </c>
      <c r="BP501" t="s">
        <v>966</v>
      </c>
      <c r="BQ501">
        <v>839085.19678976806</v>
      </c>
      <c r="BR501">
        <v>16.091480321023194</v>
      </c>
      <c r="BS501" t="s">
        <v>992</v>
      </c>
      <c r="BV501" t="s">
        <v>1034</v>
      </c>
      <c r="BW501" t="s">
        <v>943</v>
      </c>
      <c r="BX501" t="s">
        <v>994</v>
      </c>
      <c r="BY501">
        <v>0.50929491306926011</v>
      </c>
      <c r="BZ501" t="s">
        <v>1155</v>
      </c>
      <c r="CA501" t="s">
        <v>991</v>
      </c>
      <c r="CB501" t="b">
        <v>1</v>
      </c>
      <c r="CC501" t="b">
        <v>1</v>
      </c>
      <c r="CD501" t="b">
        <v>1</v>
      </c>
      <c r="CE501" t="b">
        <v>1</v>
      </c>
      <c r="CF501" t="b">
        <v>1</v>
      </c>
    </row>
    <row r="502" spans="1:84" x14ac:dyDescent="0.3">
      <c r="A502" t="s">
        <v>2217</v>
      </c>
      <c r="B502" t="s">
        <v>1143</v>
      </c>
      <c r="C502" s="98">
        <v>45663</v>
      </c>
      <c r="D502">
        <v>2025</v>
      </c>
      <c r="E502">
        <v>1</v>
      </c>
      <c r="F502">
        <v>1</v>
      </c>
      <c r="G502" t="s">
        <v>1144</v>
      </c>
      <c r="H502" t="s">
        <v>131</v>
      </c>
      <c r="I502" t="s">
        <v>131</v>
      </c>
      <c r="J502" t="s">
        <v>6</v>
      </c>
      <c r="L502">
        <v>522611</v>
      </c>
      <c r="M502" s="99" t="s">
        <v>180</v>
      </c>
      <c r="N502">
        <v>3</v>
      </c>
      <c r="O502">
        <v>1</v>
      </c>
      <c r="P502">
        <v>34.553100000000001</v>
      </c>
      <c r="Q502" t="s">
        <v>352</v>
      </c>
      <c r="R502">
        <v>1</v>
      </c>
      <c r="S502">
        <v>34.6586</v>
      </c>
      <c r="T502">
        <v>0.36990000000000001</v>
      </c>
      <c r="U502">
        <v>-0.28521221951878684</v>
      </c>
      <c r="V502">
        <v>33.548900000000003</v>
      </c>
      <c r="W502">
        <v>33.918799999999997</v>
      </c>
      <c r="X502">
        <v>34.288699999999999</v>
      </c>
      <c r="Y502">
        <v>35.028500000000001</v>
      </c>
      <c r="Z502">
        <v>35.398400000000002</v>
      </c>
      <c r="AA502">
        <v>35.768299999999996</v>
      </c>
      <c r="AD502">
        <v>1.7378743866409962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 t="s">
        <v>462</v>
      </c>
      <c r="AL502" t="s">
        <v>6</v>
      </c>
      <c r="AM502" t="s">
        <v>1145</v>
      </c>
      <c r="AN502" t="s">
        <v>1146</v>
      </c>
      <c r="AO502" s="100">
        <v>46262.040405092594</v>
      </c>
      <c r="AP502" t="s">
        <v>1147</v>
      </c>
      <c r="AQ502" t="s">
        <v>2218</v>
      </c>
      <c r="AR502" t="s">
        <v>1149</v>
      </c>
      <c r="AS502" t="s">
        <v>1150</v>
      </c>
      <c r="AT502" t="s">
        <v>2118</v>
      </c>
      <c r="AU502">
        <v>25</v>
      </c>
      <c r="AV502">
        <v>34.581483999999989</v>
      </c>
      <c r="AW502">
        <v>0.32816524252272722</v>
      </c>
      <c r="AX502">
        <v>0.94896229011666278</v>
      </c>
      <c r="AY502">
        <v>0.98520808149391026</v>
      </c>
      <c r="AZ502">
        <v>2.5509958601864038</v>
      </c>
      <c r="BA502">
        <v>0.79314669611850996</v>
      </c>
      <c r="BB502" t="s">
        <v>4619</v>
      </c>
      <c r="BD502" s="98"/>
      <c r="BE502" s="98"/>
      <c r="BF502" t="s">
        <v>1152</v>
      </c>
      <c r="BG502" t="s">
        <v>322</v>
      </c>
      <c r="BH502" t="s">
        <v>1153</v>
      </c>
      <c r="BI502">
        <v>0.98520808149391026</v>
      </c>
      <c r="BJ502" t="s">
        <v>991</v>
      </c>
      <c r="BK502">
        <v>-0.81312147354540754</v>
      </c>
      <c r="BL502">
        <v>-46.788276517328015</v>
      </c>
      <c r="BM502" t="s">
        <v>1021</v>
      </c>
      <c r="BN502" t="s">
        <v>1154</v>
      </c>
      <c r="BO502">
        <v>2025</v>
      </c>
      <c r="BP502" t="s">
        <v>966</v>
      </c>
      <c r="BQ502">
        <v>839085.19678976806</v>
      </c>
      <c r="BR502">
        <v>16.091480321023194</v>
      </c>
      <c r="BS502" t="s">
        <v>992</v>
      </c>
      <c r="BV502" t="s">
        <v>1034</v>
      </c>
      <c r="BW502" t="s">
        <v>943</v>
      </c>
      <c r="BX502" t="s">
        <v>994</v>
      </c>
      <c r="BY502">
        <v>0.50929491306926011</v>
      </c>
      <c r="BZ502" t="s">
        <v>1155</v>
      </c>
      <c r="CA502" t="s">
        <v>991</v>
      </c>
      <c r="CB502" t="b">
        <v>1</v>
      </c>
      <c r="CC502" t="b">
        <v>1</v>
      </c>
      <c r="CD502" t="b">
        <v>1</v>
      </c>
      <c r="CE502" t="b">
        <v>1</v>
      </c>
      <c r="CF502" t="b">
        <v>1</v>
      </c>
    </row>
    <row r="503" spans="1:84" x14ac:dyDescent="0.3">
      <c r="A503" t="s">
        <v>2219</v>
      </c>
      <c r="B503" t="s">
        <v>1157</v>
      </c>
      <c r="C503" s="98">
        <v>45670</v>
      </c>
      <c r="D503">
        <v>2025</v>
      </c>
      <c r="E503">
        <v>1</v>
      </c>
      <c r="F503">
        <v>1</v>
      </c>
      <c r="G503" t="s">
        <v>1144</v>
      </c>
      <c r="H503" t="s">
        <v>131</v>
      </c>
      <c r="I503" t="s">
        <v>131</v>
      </c>
      <c r="J503" t="s">
        <v>6</v>
      </c>
      <c r="L503">
        <v>522611</v>
      </c>
      <c r="M503" s="99" t="s">
        <v>180</v>
      </c>
      <c r="N503">
        <v>3</v>
      </c>
      <c r="O503">
        <v>2</v>
      </c>
      <c r="P503">
        <v>34.101500000000001</v>
      </c>
      <c r="Q503" t="s">
        <v>352</v>
      </c>
      <c r="R503">
        <v>1</v>
      </c>
      <c r="S503">
        <v>34.6586</v>
      </c>
      <c r="T503">
        <v>0.36990000000000001</v>
      </c>
      <c r="U503">
        <v>-1.5060827250608229</v>
      </c>
      <c r="V503">
        <v>33.548900000000003</v>
      </c>
      <c r="W503">
        <v>33.918799999999997</v>
      </c>
      <c r="X503">
        <v>34.288699999999999</v>
      </c>
      <c r="Y503">
        <v>35.028500000000001</v>
      </c>
      <c r="Z503">
        <v>35.398400000000002</v>
      </c>
      <c r="AA503">
        <v>35.768299999999996</v>
      </c>
      <c r="AD503">
        <v>1.7378743866409962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 t="s">
        <v>462</v>
      </c>
      <c r="AL503" t="s">
        <v>6</v>
      </c>
      <c r="AM503" t="s">
        <v>1145</v>
      </c>
      <c r="AN503" t="s">
        <v>1146</v>
      </c>
      <c r="AO503" s="100">
        <v>46262.040405092594</v>
      </c>
      <c r="AP503" t="s">
        <v>1147</v>
      </c>
      <c r="AQ503" t="s">
        <v>2220</v>
      </c>
      <c r="AR503" t="s">
        <v>1159</v>
      </c>
      <c r="AS503" t="s">
        <v>1150</v>
      </c>
      <c r="AT503" t="s">
        <v>2118</v>
      </c>
      <c r="AU503">
        <v>25</v>
      </c>
      <c r="AV503">
        <v>34.581483999999989</v>
      </c>
      <c r="AW503">
        <v>0.32816524252272722</v>
      </c>
      <c r="AX503">
        <v>0.94896229011666278</v>
      </c>
      <c r="AY503">
        <v>0.98520808149391026</v>
      </c>
      <c r="AZ503">
        <v>2.5509958601864038</v>
      </c>
      <c r="BA503">
        <v>0.79314669611850996</v>
      </c>
      <c r="BB503" t="s">
        <v>4619</v>
      </c>
      <c r="BD503" s="98"/>
      <c r="BE503" s="98"/>
      <c r="BF503" t="s">
        <v>1152</v>
      </c>
      <c r="BG503" t="s">
        <v>322</v>
      </c>
      <c r="BH503" t="s">
        <v>1153</v>
      </c>
      <c r="BI503">
        <v>0.98520808149391026</v>
      </c>
      <c r="BJ503" t="s">
        <v>991</v>
      </c>
      <c r="BK503">
        <v>-0.81312147354540754</v>
      </c>
      <c r="BL503">
        <v>-46.788276517328015</v>
      </c>
      <c r="BM503" t="s">
        <v>1021</v>
      </c>
      <c r="BN503" t="s">
        <v>1154</v>
      </c>
      <c r="BO503">
        <v>2025</v>
      </c>
      <c r="BP503" t="s">
        <v>966</v>
      </c>
      <c r="BQ503">
        <v>839085.19678976806</v>
      </c>
      <c r="BR503">
        <v>16.091480321023194</v>
      </c>
      <c r="BS503" t="s">
        <v>992</v>
      </c>
      <c r="BV503" t="s">
        <v>1034</v>
      </c>
      <c r="BW503" t="s">
        <v>943</v>
      </c>
      <c r="BX503" t="s">
        <v>994</v>
      </c>
      <c r="BY503">
        <v>0.50929491306926011</v>
      </c>
      <c r="BZ503" t="s">
        <v>1155</v>
      </c>
      <c r="CA503" t="s">
        <v>991</v>
      </c>
      <c r="CB503" t="b">
        <v>1</v>
      </c>
      <c r="CC503" t="b">
        <v>1</v>
      </c>
      <c r="CD503" t="b">
        <v>1</v>
      </c>
      <c r="CE503" t="b">
        <v>1</v>
      </c>
      <c r="CF503" t="b">
        <v>1</v>
      </c>
    </row>
    <row r="504" spans="1:84" x14ac:dyDescent="0.3">
      <c r="A504" t="s">
        <v>2221</v>
      </c>
      <c r="B504" t="s">
        <v>1161</v>
      </c>
      <c r="C504" s="98">
        <v>45677</v>
      </c>
      <c r="D504">
        <v>2025</v>
      </c>
      <c r="E504">
        <v>1</v>
      </c>
      <c r="F504">
        <v>1</v>
      </c>
      <c r="G504" t="s">
        <v>1144</v>
      </c>
      <c r="H504" t="s">
        <v>131</v>
      </c>
      <c r="I504" t="s">
        <v>131</v>
      </c>
      <c r="J504" t="s">
        <v>6</v>
      </c>
      <c r="L504">
        <v>522611</v>
      </c>
      <c r="M504" s="99" t="s">
        <v>180</v>
      </c>
      <c r="N504">
        <v>3</v>
      </c>
      <c r="O504">
        <v>3</v>
      </c>
      <c r="P504">
        <v>34.297199999999997</v>
      </c>
      <c r="Q504" t="s">
        <v>352</v>
      </c>
      <c r="R504">
        <v>1</v>
      </c>
      <c r="S504">
        <v>34.6586</v>
      </c>
      <c r="T504">
        <v>0.36990000000000001</v>
      </c>
      <c r="U504">
        <v>-0.97702081643688365</v>
      </c>
      <c r="V504">
        <v>33.548900000000003</v>
      </c>
      <c r="W504">
        <v>33.918799999999997</v>
      </c>
      <c r="X504">
        <v>34.288699999999999</v>
      </c>
      <c r="Y504">
        <v>35.028500000000001</v>
      </c>
      <c r="Z504">
        <v>35.398400000000002</v>
      </c>
      <c r="AA504">
        <v>35.768299999999996</v>
      </c>
      <c r="AD504">
        <v>1.7378743866409962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 t="s">
        <v>462</v>
      </c>
      <c r="AL504" t="s">
        <v>6</v>
      </c>
      <c r="AM504" t="s">
        <v>1145</v>
      </c>
      <c r="AN504" t="s">
        <v>1146</v>
      </c>
      <c r="AO504" s="100">
        <v>46262.040405092594</v>
      </c>
      <c r="AP504" t="s">
        <v>1147</v>
      </c>
      <c r="AQ504" t="s">
        <v>2222</v>
      </c>
      <c r="AR504" t="s">
        <v>1163</v>
      </c>
      <c r="AS504" t="s">
        <v>1150</v>
      </c>
      <c r="AT504" t="s">
        <v>2118</v>
      </c>
      <c r="AU504">
        <v>25</v>
      </c>
      <c r="AV504">
        <v>34.581483999999989</v>
      </c>
      <c r="AW504">
        <v>0.32816524252272722</v>
      </c>
      <c r="AX504">
        <v>0.94896229011666278</v>
      </c>
      <c r="AY504">
        <v>0.98520808149391026</v>
      </c>
      <c r="AZ504">
        <v>2.5509958601864038</v>
      </c>
      <c r="BA504">
        <v>0.79314669611850996</v>
      </c>
      <c r="BB504" t="s">
        <v>4619</v>
      </c>
      <c r="BD504" s="98"/>
      <c r="BE504" s="98"/>
      <c r="BF504" t="s">
        <v>1152</v>
      </c>
      <c r="BG504" t="s">
        <v>322</v>
      </c>
      <c r="BH504" t="s">
        <v>1153</v>
      </c>
      <c r="BI504">
        <v>0.98520808149391026</v>
      </c>
      <c r="BJ504" t="s">
        <v>991</v>
      </c>
      <c r="BK504">
        <v>-0.81312147354540754</v>
      </c>
      <c r="BL504">
        <v>-46.788276517328015</v>
      </c>
      <c r="BM504" t="s">
        <v>1021</v>
      </c>
      <c r="BN504" t="s">
        <v>1154</v>
      </c>
      <c r="BO504">
        <v>2025</v>
      </c>
      <c r="BP504" t="s">
        <v>966</v>
      </c>
      <c r="BQ504">
        <v>839085.19678976806</v>
      </c>
      <c r="BR504">
        <v>16.091480321023194</v>
      </c>
      <c r="BS504" t="s">
        <v>992</v>
      </c>
      <c r="BV504" t="s">
        <v>1034</v>
      </c>
      <c r="BW504" t="s">
        <v>943</v>
      </c>
      <c r="BX504" t="s">
        <v>994</v>
      </c>
      <c r="BY504">
        <v>0.50929491306926011</v>
      </c>
      <c r="BZ504" t="s">
        <v>1155</v>
      </c>
      <c r="CA504" t="s">
        <v>991</v>
      </c>
      <c r="CB504" t="b">
        <v>1</v>
      </c>
      <c r="CC504" t="b">
        <v>1</v>
      </c>
      <c r="CD504" t="b">
        <v>1</v>
      </c>
      <c r="CE504" t="b">
        <v>1</v>
      </c>
      <c r="CF504" t="b">
        <v>1</v>
      </c>
    </row>
    <row r="505" spans="1:84" x14ac:dyDescent="0.3">
      <c r="A505" t="s">
        <v>2223</v>
      </c>
      <c r="B505" t="s">
        <v>1165</v>
      </c>
      <c r="C505" s="98">
        <v>45684</v>
      </c>
      <c r="D505">
        <v>2025</v>
      </c>
      <c r="E505">
        <v>1</v>
      </c>
      <c r="F505">
        <v>1</v>
      </c>
      <c r="G505" t="s">
        <v>1144</v>
      </c>
      <c r="H505" t="s">
        <v>131</v>
      </c>
      <c r="I505" t="s">
        <v>131</v>
      </c>
      <c r="J505" t="s">
        <v>6</v>
      </c>
      <c r="L505">
        <v>522611</v>
      </c>
      <c r="M505" s="99" t="s">
        <v>180</v>
      </c>
      <c r="N505">
        <v>3</v>
      </c>
      <c r="O505">
        <v>4</v>
      </c>
      <c r="P505">
        <v>35.171199999999999</v>
      </c>
      <c r="Q505" t="s">
        <v>352</v>
      </c>
      <c r="R505">
        <v>1</v>
      </c>
      <c r="S505">
        <v>34.6586</v>
      </c>
      <c r="T505">
        <v>0.36990000000000001</v>
      </c>
      <c r="U505">
        <v>1.3857799405244635</v>
      </c>
      <c r="V505">
        <v>33.548900000000003</v>
      </c>
      <c r="W505">
        <v>33.918799999999997</v>
      </c>
      <c r="X505">
        <v>34.288699999999999</v>
      </c>
      <c r="Y505">
        <v>35.028500000000001</v>
      </c>
      <c r="Z505">
        <v>35.398400000000002</v>
      </c>
      <c r="AA505">
        <v>35.768299999999996</v>
      </c>
      <c r="AD505">
        <v>1.7378743866409962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462</v>
      </c>
      <c r="AL505" t="s">
        <v>6</v>
      </c>
      <c r="AM505" t="s">
        <v>1145</v>
      </c>
      <c r="AN505" t="s">
        <v>1146</v>
      </c>
      <c r="AO505" s="100">
        <v>46262.040405092594</v>
      </c>
      <c r="AP505" t="s">
        <v>1147</v>
      </c>
      <c r="AQ505" t="s">
        <v>2224</v>
      </c>
      <c r="AR505" t="s">
        <v>1167</v>
      </c>
      <c r="AS505" t="s">
        <v>1150</v>
      </c>
      <c r="AT505" t="s">
        <v>2118</v>
      </c>
      <c r="AU505">
        <v>25</v>
      </c>
      <c r="AV505">
        <v>34.581483999999989</v>
      </c>
      <c r="AW505">
        <v>0.32816524252272722</v>
      </c>
      <c r="AX505">
        <v>0.94896229011666278</v>
      </c>
      <c r="AY505">
        <v>0.98520808149391026</v>
      </c>
      <c r="AZ505">
        <v>2.5509958601864038</v>
      </c>
      <c r="BA505">
        <v>0.79314669611850996</v>
      </c>
      <c r="BB505" t="s">
        <v>4619</v>
      </c>
      <c r="BD505" s="98"/>
      <c r="BE505" s="98"/>
      <c r="BF505" t="s">
        <v>1152</v>
      </c>
      <c r="BG505" t="s">
        <v>322</v>
      </c>
      <c r="BH505" t="s">
        <v>1153</v>
      </c>
      <c r="BI505">
        <v>0.98520808149391026</v>
      </c>
      <c r="BJ505" t="s">
        <v>991</v>
      </c>
      <c r="BK505">
        <v>-0.81312147354540754</v>
      </c>
      <c r="BL505">
        <v>-46.788276517328015</v>
      </c>
      <c r="BM505" t="s">
        <v>1021</v>
      </c>
      <c r="BN505" t="s">
        <v>1154</v>
      </c>
      <c r="BO505">
        <v>2025</v>
      </c>
      <c r="BP505" t="s">
        <v>966</v>
      </c>
      <c r="BQ505">
        <v>839085.19678976806</v>
      </c>
      <c r="BR505">
        <v>16.091480321023194</v>
      </c>
      <c r="BS505" t="s">
        <v>992</v>
      </c>
      <c r="BV505" t="s">
        <v>1034</v>
      </c>
      <c r="BW505" t="s">
        <v>943</v>
      </c>
      <c r="BX505" t="s">
        <v>994</v>
      </c>
      <c r="BY505">
        <v>0.50929491306926011</v>
      </c>
      <c r="BZ505" t="s">
        <v>1155</v>
      </c>
      <c r="CA505" t="s">
        <v>991</v>
      </c>
      <c r="CB505" t="b">
        <v>1</v>
      </c>
      <c r="CC505" t="b">
        <v>1</v>
      </c>
      <c r="CD505" t="b">
        <v>1</v>
      </c>
      <c r="CE505" t="b">
        <v>1</v>
      </c>
      <c r="CF505" t="b">
        <v>1</v>
      </c>
    </row>
    <row r="506" spans="1:84" x14ac:dyDescent="0.3">
      <c r="A506" t="s">
        <v>2225</v>
      </c>
      <c r="B506" t="s">
        <v>1169</v>
      </c>
      <c r="C506" s="98">
        <v>45691</v>
      </c>
      <c r="D506">
        <v>2025</v>
      </c>
      <c r="E506">
        <v>2</v>
      </c>
      <c r="F506">
        <v>1</v>
      </c>
      <c r="G506" t="s">
        <v>1170</v>
      </c>
      <c r="H506" t="s">
        <v>131</v>
      </c>
      <c r="I506" t="s">
        <v>131</v>
      </c>
      <c r="J506" t="s">
        <v>6</v>
      </c>
      <c r="L506">
        <v>522611</v>
      </c>
      <c r="M506" s="99" t="s">
        <v>180</v>
      </c>
      <c r="N506">
        <v>3</v>
      </c>
      <c r="O506">
        <v>5</v>
      </c>
      <c r="P506">
        <v>34.9621</v>
      </c>
      <c r="Q506" t="s">
        <v>352</v>
      </c>
      <c r="R506">
        <v>1</v>
      </c>
      <c r="S506">
        <v>34.6586</v>
      </c>
      <c r="T506">
        <v>0.36990000000000001</v>
      </c>
      <c r="U506">
        <v>0.82049202487158601</v>
      </c>
      <c r="V506">
        <v>33.548900000000003</v>
      </c>
      <c r="W506">
        <v>33.918799999999997</v>
      </c>
      <c r="X506">
        <v>34.288699999999999</v>
      </c>
      <c r="Y506">
        <v>35.028500000000001</v>
      </c>
      <c r="Z506">
        <v>35.398400000000002</v>
      </c>
      <c r="AA506">
        <v>35.768299999999996</v>
      </c>
      <c r="AD506">
        <v>1.7378743866409962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 t="s">
        <v>462</v>
      </c>
      <c r="AL506" t="s">
        <v>6</v>
      </c>
      <c r="AM506" t="s">
        <v>1145</v>
      </c>
      <c r="AN506" t="s">
        <v>1146</v>
      </c>
      <c r="AO506" s="100">
        <v>46262.040405092594</v>
      </c>
      <c r="AP506" t="s">
        <v>1147</v>
      </c>
      <c r="AQ506" t="s">
        <v>2226</v>
      </c>
      <c r="AR506" t="s">
        <v>1172</v>
      </c>
      <c r="AS506" t="s">
        <v>1150</v>
      </c>
      <c r="AT506" t="s">
        <v>2118</v>
      </c>
      <c r="AU506">
        <v>25</v>
      </c>
      <c r="AV506">
        <v>34.581483999999989</v>
      </c>
      <c r="AW506">
        <v>0.32816524252272722</v>
      </c>
      <c r="AX506">
        <v>0.94896229011666278</v>
      </c>
      <c r="AY506">
        <v>0.98520808149391026</v>
      </c>
      <c r="AZ506">
        <v>2.5509958601864038</v>
      </c>
      <c r="BA506">
        <v>0.79314669611850996</v>
      </c>
      <c r="BB506" t="s">
        <v>4619</v>
      </c>
      <c r="BD506" s="98"/>
      <c r="BE506" s="98"/>
      <c r="BF506" t="s">
        <v>1152</v>
      </c>
      <c r="BG506" t="s">
        <v>322</v>
      </c>
      <c r="BH506" t="s">
        <v>1153</v>
      </c>
      <c r="BI506">
        <v>0.98520808149391026</v>
      </c>
      <c r="BJ506" t="s">
        <v>991</v>
      </c>
      <c r="BK506">
        <v>-0.81312147354540754</v>
      </c>
      <c r="BL506">
        <v>-46.788276517328015</v>
      </c>
      <c r="BM506" t="s">
        <v>1021</v>
      </c>
      <c r="BN506" t="s">
        <v>1154</v>
      </c>
      <c r="BO506">
        <v>2025</v>
      </c>
      <c r="BP506" t="s">
        <v>966</v>
      </c>
      <c r="BQ506">
        <v>839085.19678976806</v>
      </c>
      <c r="BR506">
        <v>16.091480321023194</v>
      </c>
      <c r="BS506" t="s">
        <v>992</v>
      </c>
      <c r="BV506" t="s">
        <v>1034</v>
      </c>
      <c r="BW506" t="s">
        <v>943</v>
      </c>
      <c r="BX506" t="s">
        <v>994</v>
      </c>
      <c r="BY506">
        <v>0.50929491306926011</v>
      </c>
      <c r="BZ506" t="s">
        <v>1155</v>
      </c>
      <c r="CA506" t="s">
        <v>991</v>
      </c>
      <c r="CB506" t="b">
        <v>1</v>
      </c>
      <c r="CC506" t="b">
        <v>1</v>
      </c>
      <c r="CD506" t="b">
        <v>1</v>
      </c>
      <c r="CE506" t="b">
        <v>1</v>
      </c>
      <c r="CF506" t="b">
        <v>1</v>
      </c>
    </row>
    <row r="507" spans="1:84" x14ac:dyDescent="0.3">
      <c r="A507" t="s">
        <v>2227</v>
      </c>
      <c r="B507" t="s">
        <v>1174</v>
      </c>
      <c r="C507" s="98">
        <v>45698</v>
      </c>
      <c r="D507">
        <v>2025</v>
      </c>
      <c r="E507">
        <v>2</v>
      </c>
      <c r="F507">
        <v>1</v>
      </c>
      <c r="G507" t="s">
        <v>1170</v>
      </c>
      <c r="H507" t="s">
        <v>131</v>
      </c>
      <c r="I507" t="s">
        <v>131</v>
      </c>
      <c r="J507" t="s">
        <v>6</v>
      </c>
      <c r="L507">
        <v>522611</v>
      </c>
      <c r="M507" s="99" t="s">
        <v>180</v>
      </c>
      <c r="N507">
        <v>3</v>
      </c>
      <c r="O507">
        <v>6</v>
      </c>
      <c r="P507">
        <v>34.510100000000001</v>
      </c>
      <c r="Q507" t="s">
        <v>352</v>
      </c>
      <c r="R507">
        <v>1</v>
      </c>
      <c r="S507">
        <v>34.6586</v>
      </c>
      <c r="T507">
        <v>0.36990000000000001</v>
      </c>
      <c r="U507">
        <v>-0.40145985401459455</v>
      </c>
      <c r="V507">
        <v>33.548900000000003</v>
      </c>
      <c r="W507">
        <v>33.918799999999997</v>
      </c>
      <c r="X507">
        <v>34.288699999999999</v>
      </c>
      <c r="Y507">
        <v>35.028500000000001</v>
      </c>
      <c r="Z507">
        <v>35.398400000000002</v>
      </c>
      <c r="AA507">
        <v>35.768299999999996</v>
      </c>
      <c r="AD507">
        <v>1.7378743866409962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 t="s">
        <v>462</v>
      </c>
      <c r="AL507" t="s">
        <v>6</v>
      </c>
      <c r="AM507" t="s">
        <v>1145</v>
      </c>
      <c r="AN507" t="s">
        <v>1146</v>
      </c>
      <c r="AO507" s="100">
        <v>46262.040405092594</v>
      </c>
      <c r="AP507" t="s">
        <v>1147</v>
      </c>
      <c r="AQ507" t="s">
        <v>2228</v>
      </c>
      <c r="AR507" t="s">
        <v>1176</v>
      </c>
      <c r="AS507" t="s">
        <v>1150</v>
      </c>
      <c r="AT507" t="s">
        <v>2118</v>
      </c>
      <c r="AU507">
        <v>25</v>
      </c>
      <c r="AV507">
        <v>34.581483999999989</v>
      </c>
      <c r="AW507">
        <v>0.32816524252272722</v>
      </c>
      <c r="AX507">
        <v>0.94896229011666278</v>
      </c>
      <c r="AY507">
        <v>0.98520808149391026</v>
      </c>
      <c r="AZ507">
        <v>2.5509958601864038</v>
      </c>
      <c r="BA507">
        <v>0.79314669611850996</v>
      </c>
      <c r="BB507" t="s">
        <v>4619</v>
      </c>
      <c r="BD507" s="98"/>
      <c r="BE507" s="98"/>
      <c r="BF507" t="s">
        <v>1152</v>
      </c>
      <c r="BG507" t="s">
        <v>322</v>
      </c>
      <c r="BH507" t="s">
        <v>1153</v>
      </c>
      <c r="BI507">
        <v>0.98520808149391026</v>
      </c>
      <c r="BJ507" t="s">
        <v>991</v>
      </c>
      <c r="BK507">
        <v>-0.81312147354540754</v>
      </c>
      <c r="BL507">
        <v>-46.788276517328015</v>
      </c>
      <c r="BM507" t="s">
        <v>1021</v>
      </c>
      <c r="BN507" t="s">
        <v>1154</v>
      </c>
      <c r="BO507">
        <v>2025</v>
      </c>
      <c r="BP507" t="s">
        <v>966</v>
      </c>
      <c r="BQ507">
        <v>839085.19678976806</v>
      </c>
      <c r="BR507">
        <v>16.091480321023194</v>
      </c>
      <c r="BS507" t="s">
        <v>992</v>
      </c>
      <c r="BV507" t="s">
        <v>1034</v>
      </c>
      <c r="BW507" t="s">
        <v>943</v>
      </c>
      <c r="BX507" t="s">
        <v>994</v>
      </c>
      <c r="BY507">
        <v>0.50929491306926011</v>
      </c>
      <c r="BZ507" t="s">
        <v>1155</v>
      </c>
      <c r="CA507" t="s">
        <v>991</v>
      </c>
      <c r="CB507" t="b">
        <v>1</v>
      </c>
      <c r="CC507" t="b">
        <v>1</v>
      </c>
      <c r="CD507" t="b">
        <v>1</v>
      </c>
      <c r="CE507" t="b">
        <v>1</v>
      </c>
      <c r="CF507" t="b">
        <v>1</v>
      </c>
    </row>
    <row r="508" spans="1:84" x14ac:dyDescent="0.3">
      <c r="A508" t="s">
        <v>2229</v>
      </c>
      <c r="B508" t="s">
        <v>1178</v>
      </c>
      <c r="C508" s="98">
        <v>45705</v>
      </c>
      <c r="D508">
        <v>2025</v>
      </c>
      <c r="E508">
        <v>2</v>
      </c>
      <c r="F508">
        <v>1</v>
      </c>
      <c r="G508" t="s">
        <v>1170</v>
      </c>
      <c r="H508" t="s">
        <v>131</v>
      </c>
      <c r="I508" t="s">
        <v>131</v>
      </c>
      <c r="J508" t="s">
        <v>6</v>
      </c>
      <c r="L508">
        <v>522611</v>
      </c>
      <c r="M508" s="99" t="s">
        <v>180</v>
      </c>
      <c r="N508">
        <v>3</v>
      </c>
      <c r="O508">
        <v>7</v>
      </c>
      <c r="P508">
        <v>34.336799999999997</v>
      </c>
      <c r="Q508" t="s">
        <v>352</v>
      </c>
      <c r="R508">
        <v>1</v>
      </c>
      <c r="S508">
        <v>34.6586</v>
      </c>
      <c r="T508">
        <v>0.36990000000000001</v>
      </c>
      <c r="U508">
        <v>-0.86996485536632384</v>
      </c>
      <c r="V508">
        <v>33.548900000000003</v>
      </c>
      <c r="W508">
        <v>33.918799999999997</v>
      </c>
      <c r="X508">
        <v>34.288699999999999</v>
      </c>
      <c r="Y508">
        <v>35.028500000000001</v>
      </c>
      <c r="Z508">
        <v>35.398400000000002</v>
      </c>
      <c r="AA508">
        <v>35.768299999999996</v>
      </c>
      <c r="AD508">
        <v>1.7378743866409962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 t="s">
        <v>462</v>
      </c>
      <c r="AL508" t="s">
        <v>6</v>
      </c>
      <c r="AM508" t="s">
        <v>1145</v>
      </c>
      <c r="AN508" t="s">
        <v>1146</v>
      </c>
      <c r="AO508" s="100">
        <v>46262.040405092594</v>
      </c>
      <c r="AP508" t="s">
        <v>1147</v>
      </c>
      <c r="AQ508" t="s">
        <v>2230</v>
      </c>
      <c r="AR508" t="s">
        <v>1180</v>
      </c>
      <c r="AS508" t="s">
        <v>1150</v>
      </c>
      <c r="AT508" t="s">
        <v>2118</v>
      </c>
      <c r="AU508">
        <v>25</v>
      </c>
      <c r="AV508">
        <v>34.581483999999989</v>
      </c>
      <c r="AW508">
        <v>0.32816524252272722</v>
      </c>
      <c r="AX508">
        <v>0.94896229011666278</v>
      </c>
      <c r="AY508">
        <v>0.98520808149391026</v>
      </c>
      <c r="AZ508">
        <v>2.5509958601864038</v>
      </c>
      <c r="BA508">
        <v>0.79314669611850996</v>
      </c>
      <c r="BB508" t="s">
        <v>4619</v>
      </c>
      <c r="BD508" s="98"/>
      <c r="BE508" s="98"/>
      <c r="BF508" t="s">
        <v>1152</v>
      </c>
      <c r="BG508" t="s">
        <v>322</v>
      </c>
      <c r="BH508" t="s">
        <v>1153</v>
      </c>
      <c r="BI508">
        <v>0.98520808149391026</v>
      </c>
      <c r="BJ508" t="s">
        <v>991</v>
      </c>
      <c r="BK508">
        <v>-0.81312147354540754</v>
      </c>
      <c r="BL508">
        <v>-46.788276517328015</v>
      </c>
      <c r="BM508" t="s">
        <v>1021</v>
      </c>
      <c r="BN508" t="s">
        <v>1154</v>
      </c>
      <c r="BO508">
        <v>2025</v>
      </c>
      <c r="BP508" t="s">
        <v>966</v>
      </c>
      <c r="BQ508">
        <v>839085.19678976806</v>
      </c>
      <c r="BR508">
        <v>16.091480321023194</v>
      </c>
      <c r="BS508" t="s">
        <v>992</v>
      </c>
      <c r="BV508" t="s">
        <v>1034</v>
      </c>
      <c r="BW508" t="s">
        <v>943</v>
      </c>
      <c r="BX508" t="s">
        <v>994</v>
      </c>
      <c r="BY508">
        <v>0.50929491306926011</v>
      </c>
      <c r="BZ508" t="s">
        <v>1155</v>
      </c>
      <c r="CA508" t="s">
        <v>991</v>
      </c>
      <c r="CB508" t="b">
        <v>1</v>
      </c>
      <c r="CC508" t="b">
        <v>1</v>
      </c>
      <c r="CD508" t="b">
        <v>1</v>
      </c>
      <c r="CE508" t="b">
        <v>1</v>
      </c>
      <c r="CF508" t="b">
        <v>1</v>
      </c>
    </row>
    <row r="509" spans="1:84" x14ac:dyDescent="0.3">
      <c r="A509" t="s">
        <v>2231</v>
      </c>
      <c r="B509" t="s">
        <v>1182</v>
      </c>
      <c r="C509" s="98">
        <v>45712</v>
      </c>
      <c r="D509">
        <v>2025</v>
      </c>
      <c r="E509">
        <v>2</v>
      </c>
      <c r="F509">
        <v>1</v>
      </c>
      <c r="G509" t="s">
        <v>1170</v>
      </c>
      <c r="H509" t="s">
        <v>131</v>
      </c>
      <c r="I509" t="s">
        <v>131</v>
      </c>
      <c r="J509" t="s">
        <v>6</v>
      </c>
      <c r="L509">
        <v>522611</v>
      </c>
      <c r="M509" s="99" t="s">
        <v>180</v>
      </c>
      <c r="N509">
        <v>3</v>
      </c>
      <c r="O509">
        <v>8</v>
      </c>
      <c r="P509">
        <v>33.958199999999998</v>
      </c>
      <c r="Q509" t="s">
        <v>352</v>
      </c>
      <c r="R509">
        <v>1</v>
      </c>
      <c r="S509">
        <v>34.6586</v>
      </c>
      <c r="T509">
        <v>0.36990000000000001</v>
      </c>
      <c r="U509">
        <v>-1.893484725601519</v>
      </c>
      <c r="V509">
        <v>33.548900000000003</v>
      </c>
      <c r="W509">
        <v>33.918799999999997</v>
      </c>
      <c r="X509">
        <v>34.288699999999999</v>
      </c>
      <c r="Y509">
        <v>35.028500000000001</v>
      </c>
      <c r="Z509">
        <v>35.398400000000002</v>
      </c>
      <c r="AA509">
        <v>35.768299999999996</v>
      </c>
      <c r="AD509">
        <v>1.7378743866409962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 t="s">
        <v>462</v>
      </c>
      <c r="AL509" t="s">
        <v>6</v>
      </c>
      <c r="AM509" t="s">
        <v>1145</v>
      </c>
      <c r="AN509" t="s">
        <v>1146</v>
      </c>
      <c r="AO509" s="100">
        <v>46262.040405092594</v>
      </c>
      <c r="AP509" t="s">
        <v>1147</v>
      </c>
      <c r="AQ509" t="s">
        <v>2232</v>
      </c>
      <c r="AR509" t="s">
        <v>1184</v>
      </c>
      <c r="AS509" t="s">
        <v>1150</v>
      </c>
      <c r="AT509" t="s">
        <v>2118</v>
      </c>
      <c r="AU509">
        <v>25</v>
      </c>
      <c r="AV509">
        <v>34.581483999999989</v>
      </c>
      <c r="AW509">
        <v>0.32816524252272722</v>
      </c>
      <c r="AX509">
        <v>0.94896229011666278</v>
      </c>
      <c r="AY509">
        <v>0.98520808149391026</v>
      </c>
      <c r="AZ509">
        <v>2.5509958601864038</v>
      </c>
      <c r="BA509">
        <v>0.79314669611850996</v>
      </c>
      <c r="BB509" t="s">
        <v>4619</v>
      </c>
      <c r="BD509" s="98"/>
      <c r="BE509" s="98"/>
      <c r="BF509" t="s">
        <v>1152</v>
      </c>
      <c r="BG509" t="s">
        <v>322</v>
      </c>
      <c r="BH509" t="s">
        <v>1153</v>
      </c>
      <c r="BI509">
        <v>0.98520808149391026</v>
      </c>
      <c r="BJ509" t="s">
        <v>991</v>
      </c>
      <c r="BK509">
        <v>-0.81312147354540754</v>
      </c>
      <c r="BL509">
        <v>-46.788276517328015</v>
      </c>
      <c r="BM509" t="s">
        <v>1021</v>
      </c>
      <c r="BN509" t="s">
        <v>1154</v>
      </c>
      <c r="BO509">
        <v>2025</v>
      </c>
      <c r="BP509" t="s">
        <v>966</v>
      </c>
      <c r="BQ509">
        <v>839085.19678976806</v>
      </c>
      <c r="BR509">
        <v>16.091480321023194</v>
      </c>
      <c r="BS509" t="s">
        <v>992</v>
      </c>
      <c r="BV509" t="s">
        <v>1034</v>
      </c>
      <c r="BW509" t="s">
        <v>943</v>
      </c>
      <c r="BX509" t="s">
        <v>994</v>
      </c>
      <c r="BY509">
        <v>0.50929491306926011</v>
      </c>
      <c r="BZ509" t="s">
        <v>1155</v>
      </c>
      <c r="CA509" t="s">
        <v>991</v>
      </c>
      <c r="CB509" t="b">
        <v>1</v>
      </c>
      <c r="CC509" t="b">
        <v>1</v>
      </c>
      <c r="CD509" t="b">
        <v>1</v>
      </c>
      <c r="CE509" t="b">
        <v>1</v>
      </c>
      <c r="CF509" t="b">
        <v>1</v>
      </c>
    </row>
    <row r="510" spans="1:84" x14ac:dyDescent="0.3">
      <c r="A510" t="s">
        <v>2233</v>
      </c>
      <c r="B510" t="s">
        <v>1186</v>
      </c>
      <c r="C510" s="98">
        <v>45719</v>
      </c>
      <c r="D510">
        <v>2025</v>
      </c>
      <c r="E510">
        <v>3</v>
      </c>
      <c r="F510">
        <v>1</v>
      </c>
      <c r="G510" t="s">
        <v>1187</v>
      </c>
      <c r="H510" t="s">
        <v>131</v>
      </c>
      <c r="I510" t="s">
        <v>131</v>
      </c>
      <c r="J510" t="s">
        <v>6</v>
      </c>
      <c r="L510">
        <v>522611</v>
      </c>
      <c r="M510" s="99" t="s">
        <v>180</v>
      </c>
      <c r="N510">
        <v>3</v>
      </c>
      <c r="O510">
        <v>9</v>
      </c>
      <c r="P510">
        <v>34.512999999999998</v>
      </c>
      <c r="Q510" t="s">
        <v>352</v>
      </c>
      <c r="R510">
        <v>1</v>
      </c>
      <c r="S510">
        <v>34.6586</v>
      </c>
      <c r="T510">
        <v>0.36990000000000001</v>
      </c>
      <c r="U510">
        <v>-0.39361989726953694</v>
      </c>
      <c r="V510">
        <v>33.548900000000003</v>
      </c>
      <c r="W510">
        <v>33.918799999999997</v>
      </c>
      <c r="X510">
        <v>34.288699999999999</v>
      </c>
      <c r="Y510">
        <v>35.028500000000001</v>
      </c>
      <c r="Z510">
        <v>35.398400000000002</v>
      </c>
      <c r="AA510">
        <v>35.768299999999996</v>
      </c>
      <c r="AD510">
        <v>1.7378743866409962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 t="s">
        <v>462</v>
      </c>
      <c r="AL510" t="s">
        <v>6</v>
      </c>
      <c r="AM510" t="s">
        <v>1145</v>
      </c>
      <c r="AN510" t="s">
        <v>1146</v>
      </c>
      <c r="AO510" s="100">
        <v>46262.040405092594</v>
      </c>
      <c r="AP510" t="s">
        <v>1147</v>
      </c>
      <c r="AQ510" t="s">
        <v>2234</v>
      </c>
      <c r="AR510" t="s">
        <v>1189</v>
      </c>
      <c r="AS510" t="s">
        <v>1150</v>
      </c>
      <c r="AT510" t="s">
        <v>2118</v>
      </c>
      <c r="AU510">
        <v>25</v>
      </c>
      <c r="AV510">
        <v>34.581483999999989</v>
      </c>
      <c r="AW510">
        <v>0.32816524252272722</v>
      </c>
      <c r="AX510">
        <v>0.94896229011666278</v>
      </c>
      <c r="AY510">
        <v>0.98520808149391026</v>
      </c>
      <c r="AZ510">
        <v>2.5509958601864038</v>
      </c>
      <c r="BA510">
        <v>0.79314669611850996</v>
      </c>
      <c r="BB510" t="s">
        <v>4619</v>
      </c>
      <c r="BD510" s="98"/>
      <c r="BE510" s="98"/>
      <c r="BF510" t="s">
        <v>1152</v>
      </c>
      <c r="BG510" t="s">
        <v>322</v>
      </c>
      <c r="BH510" t="s">
        <v>1153</v>
      </c>
      <c r="BI510">
        <v>0.98520808149391026</v>
      </c>
      <c r="BJ510" t="s">
        <v>991</v>
      </c>
      <c r="BK510">
        <v>-0.81312147354540754</v>
      </c>
      <c r="BL510">
        <v>-46.788276517328015</v>
      </c>
      <c r="BM510" t="s">
        <v>1021</v>
      </c>
      <c r="BN510" t="s">
        <v>1154</v>
      </c>
      <c r="BO510">
        <v>2025</v>
      </c>
      <c r="BP510" t="s">
        <v>966</v>
      </c>
      <c r="BQ510">
        <v>839085.19678976806</v>
      </c>
      <c r="BR510">
        <v>16.091480321023194</v>
      </c>
      <c r="BS510" t="s">
        <v>992</v>
      </c>
      <c r="BV510" t="s">
        <v>1034</v>
      </c>
      <c r="BW510" t="s">
        <v>943</v>
      </c>
      <c r="BX510" t="s">
        <v>994</v>
      </c>
      <c r="BY510">
        <v>0.50929491306926011</v>
      </c>
      <c r="BZ510" t="s">
        <v>1155</v>
      </c>
      <c r="CA510" t="s">
        <v>991</v>
      </c>
      <c r="CB510" t="b">
        <v>1</v>
      </c>
      <c r="CC510" t="b">
        <v>1</v>
      </c>
      <c r="CD510" t="b">
        <v>1</v>
      </c>
      <c r="CE510" t="b">
        <v>1</v>
      </c>
      <c r="CF510" t="b">
        <v>1</v>
      </c>
    </row>
    <row r="511" spans="1:84" x14ac:dyDescent="0.3">
      <c r="A511" t="s">
        <v>2235</v>
      </c>
      <c r="B511" t="s">
        <v>1191</v>
      </c>
      <c r="C511" s="98">
        <v>45726</v>
      </c>
      <c r="D511">
        <v>2025</v>
      </c>
      <c r="E511">
        <v>3</v>
      </c>
      <c r="F511">
        <v>1</v>
      </c>
      <c r="G511" t="s">
        <v>1187</v>
      </c>
      <c r="H511" t="s">
        <v>131</v>
      </c>
      <c r="I511" t="s">
        <v>131</v>
      </c>
      <c r="J511" t="s">
        <v>6</v>
      </c>
      <c r="L511">
        <v>522611</v>
      </c>
      <c r="M511" s="99" t="s">
        <v>180</v>
      </c>
      <c r="N511">
        <v>3</v>
      </c>
      <c r="O511">
        <v>10</v>
      </c>
      <c r="P511">
        <v>34.647199999999998</v>
      </c>
      <c r="Q511" t="s">
        <v>352</v>
      </c>
      <c r="R511">
        <v>1</v>
      </c>
      <c r="S511">
        <v>34.6586</v>
      </c>
      <c r="T511">
        <v>0.36990000000000001</v>
      </c>
      <c r="U511">
        <v>-3.0819140308196411E-2</v>
      </c>
      <c r="V511">
        <v>33.548900000000003</v>
      </c>
      <c r="W511">
        <v>33.918799999999997</v>
      </c>
      <c r="X511">
        <v>34.288699999999999</v>
      </c>
      <c r="Y511">
        <v>35.028500000000001</v>
      </c>
      <c r="Z511">
        <v>35.398400000000002</v>
      </c>
      <c r="AA511">
        <v>35.768299999999996</v>
      </c>
      <c r="AD511">
        <v>1.7378743866409962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 t="s">
        <v>462</v>
      </c>
      <c r="AL511" t="s">
        <v>6</v>
      </c>
      <c r="AM511" t="s">
        <v>1145</v>
      </c>
      <c r="AN511" t="s">
        <v>1146</v>
      </c>
      <c r="AO511" s="100">
        <v>46262.040405092594</v>
      </c>
      <c r="AP511" t="s">
        <v>1147</v>
      </c>
      <c r="AQ511" t="s">
        <v>2236</v>
      </c>
      <c r="AR511" t="s">
        <v>1193</v>
      </c>
      <c r="AS511" t="s">
        <v>1150</v>
      </c>
      <c r="AT511" t="s">
        <v>2118</v>
      </c>
      <c r="AU511">
        <v>25</v>
      </c>
      <c r="AV511">
        <v>34.581483999999989</v>
      </c>
      <c r="AW511">
        <v>0.32816524252272722</v>
      </c>
      <c r="AX511">
        <v>0.94896229011666278</v>
      </c>
      <c r="AY511">
        <v>0.98520808149391026</v>
      </c>
      <c r="AZ511">
        <v>2.5509958601864038</v>
      </c>
      <c r="BA511">
        <v>0.79314669611850996</v>
      </c>
      <c r="BB511" t="s">
        <v>4619</v>
      </c>
      <c r="BD511" s="98"/>
      <c r="BE511" s="98"/>
      <c r="BF511" t="s">
        <v>1152</v>
      </c>
      <c r="BG511" t="s">
        <v>322</v>
      </c>
      <c r="BH511" t="s">
        <v>1153</v>
      </c>
      <c r="BI511">
        <v>0.98520808149391026</v>
      </c>
      <c r="BJ511" t="s">
        <v>991</v>
      </c>
      <c r="BK511">
        <v>-0.81312147354540754</v>
      </c>
      <c r="BL511">
        <v>-46.788276517328015</v>
      </c>
      <c r="BM511" t="s">
        <v>1021</v>
      </c>
      <c r="BN511" t="s">
        <v>1154</v>
      </c>
      <c r="BO511">
        <v>2025</v>
      </c>
      <c r="BP511" t="s">
        <v>966</v>
      </c>
      <c r="BQ511">
        <v>839085.19678976806</v>
      </c>
      <c r="BR511">
        <v>16.091480321023194</v>
      </c>
      <c r="BS511" t="s">
        <v>992</v>
      </c>
      <c r="BV511" t="s">
        <v>1034</v>
      </c>
      <c r="BW511" t="s">
        <v>943</v>
      </c>
      <c r="BX511" t="s">
        <v>994</v>
      </c>
      <c r="BY511">
        <v>0.50929491306926011</v>
      </c>
      <c r="BZ511" t="s">
        <v>1155</v>
      </c>
      <c r="CA511" t="s">
        <v>991</v>
      </c>
      <c r="CB511" t="b">
        <v>1</v>
      </c>
      <c r="CC511" t="b">
        <v>1</v>
      </c>
      <c r="CD511" t="b">
        <v>1</v>
      </c>
      <c r="CE511" t="b">
        <v>1</v>
      </c>
      <c r="CF511" t="b">
        <v>1</v>
      </c>
    </row>
    <row r="512" spans="1:84" x14ac:dyDescent="0.3">
      <c r="A512" t="s">
        <v>2237</v>
      </c>
      <c r="B512" t="s">
        <v>1195</v>
      </c>
      <c r="C512" s="98">
        <v>45733</v>
      </c>
      <c r="D512">
        <v>2025</v>
      </c>
      <c r="E512">
        <v>3</v>
      </c>
      <c r="F512">
        <v>1</v>
      </c>
      <c r="G512" t="s">
        <v>1187</v>
      </c>
      <c r="H512" t="s">
        <v>131</v>
      </c>
      <c r="I512" t="s">
        <v>131</v>
      </c>
      <c r="J512" t="s">
        <v>6</v>
      </c>
      <c r="L512">
        <v>522611</v>
      </c>
      <c r="M512" s="99" t="s">
        <v>180</v>
      </c>
      <c r="N512">
        <v>3</v>
      </c>
      <c r="O512">
        <v>11</v>
      </c>
      <c r="P512">
        <v>34.627499999999998</v>
      </c>
      <c r="Q512" t="s">
        <v>352</v>
      </c>
      <c r="R512">
        <v>1</v>
      </c>
      <c r="S512">
        <v>34.6586</v>
      </c>
      <c r="T512">
        <v>0.36990000000000001</v>
      </c>
      <c r="U512">
        <v>-8.4076777507440192E-2</v>
      </c>
      <c r="V512">
        <v>33.548900000000003</v>
      </c>
      <c r="W512">
        <v>33.918799999999997</v>
      </c>
      <c r="X512">
        <v>34.288699999999999</v>
      </c>
      <c r="Y512">
        <v>35.028500000000001</v>
      </c>
      <c r="Z512">
        <v>35.398400000000002</v>
      </c>
      <c r="AA512">
        <v>35.768299999999996</v>
      </c>
      <c r="AD512">
        <v>1.7378743866409962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 t="s">
        <v>462</v>
      </c>
      <c r="AL512" t="s">
        <v>6</v>
      </c>
      <c r="AM512" t="s">
        <v>1145</v>
      </c>
      <c r="AN512" t="s">
        <v>1146</v>
      </c>
      <c r="AO512" s="100">
        <v>46262.040405092594</v>
      </c>
      <c r="AP512" t="s">
        <v>1147</v>
      </c>
      <c r="AQ512" t="s">
        <v>2238</v>
      </c>
      <c r="AR512" t="s">
        <v>1197</v>
      </c>
      <c r="AS512" t="s">
        <v>1150</v>
      </c>
      <c r="AT512" t="s">
        <v>2118</v>
      </c>
      <c r="AU512">
        <v>25</v>
      </c>
      <c r="AV512">
        <v>34.581483999999989</v>
      </c>
      <c r="AW512">
        <v>0.32816524252272722</v>
      </c>
      <c r="AX512">
        <v>0.94896229011666278</v>
      </c>
      <c r="AY512">
        <v>0.98520808149391026</v>
      </c>
      <c r="AZ512">
        <v>2.5509958601864038</v>
      </c>
      <c r="BA512">
        <v>0.79314669611850996</v>
      </c>
      <c r="BB512" t="s">
        <v>4619</v>
      </c>
      <c r="BD512" s="98"/>
      <c r="BE512" s="98"/>
      <c r="BF512" t="s">
        <v>1152</v>
      </c>
      <c r="BG512" t="s">
        <v>322</v>
      </c>
      <c r="BH512" t="s">
        <v>1153</v>
      </c>
      <c r="BI512">
        <v>0.98520808149391026</v>
      </c>
      <c r="BJ512" t="s">
        <v>991</v>
      </c>
      <c r="BK512">
        <v>-0.81312147354540754</v>
      </c>
      <c r="BL512">
        <v>-46.788276517328015</v>
      </c>
      <c r="BM512" t="s">
        <v>1021</v>
      </c>
      <c r="BN512" t="s">
        <v>1154</v>
      </c>
      <c r="BO512">
        <v>2025</v>
      </c>
      <c r="BP512" t="s">
        <v>966</v>
      </c>
      <c r="BQ512">
        <v>839085.19678976806</v>
      </c>
      <c r="BR512">
        <v>16.091480321023194</v>
      </c>
      <c r="BS512" t="s">
        <v>992</v>
      </c>
      <c r="BV512" t="s">
        <v>1034</v>
      </c>
      <c r="BW512" t="s">
        <v>943</v>
      </c>
      <c r="BX512" t="s">
        <v>994</v>
      </c>
      <c r="BY512">
        <v>0.50929491306926011</v>
      </c>
      <c r="BZ512" t="s">
        <v>1155</v>
      </c>
      <c r="CA512" t="s">
        <v>991</v>
      </c>
      <c r="CB512" t="b">
        <v>1</v>
      </c>
      <c r="CC512" t="b">
        <v>1</v>
      </c>
      <c r="CD512" t="b">
        <v>1</v>
      </c>
      <c r="CE512" t="b">
        <v>1</v>
      </c>
      <c r="CF512" t="b">
        <v>1</v>
      </c>
    </row>
    <row r="513" spans="1:84" x14ac:dyDescent="0.3">
      <c r="A513" t="s">
        <v>2239</v>
      </c>
      <c r="B513" t="s">
        <v>1199</v>
      </c>
      <c r="C513" s="98">
        <v>45740</v>
      </c>
      <c r="D513">
        <v>2025</v>
      </c>
      <c r="E513">
        <v>3</v>
      </c>
      <c r="F513">
        <v>1</v>
      </c>
      <c r="G513" t="s">
        <v>1187</v>
      </c>
      <c r="H513" t="s">
        <v>131</v>
      </c>
      <c r="I513" t="s">
        <v>131</v>
      </c>
      <c r="J513" t="s">
        <v>6</v>
      </c>
      <c r="L513">
        <v>522611</v>
      </c>
      <c r="M513" s="99" t="s">
        <v>180</v>
      </c>
      <c r="N513">
        <v>3</v>
      </c>
      <c r="O513">
        <v>12</v>
      </c>
      <c r="P513">
        <v>34.623899999999999</v>
      </c>
      <c r="Q513" t="s">
        <v>352</v>
      </c>
      <c r="R513">
        <v>1</v>
      </c>
      <c r="S513">
        <v>34.6586</v>
      </c>
      <c r="T513">
        <v>0.36990000000000001</v>
      </c>
      <c r="U513">
        <v>-9.3809137604760312E-2</v>
      </c>
      <c r="V513">
        <v>33.548900000000003</v>
      </c>
      <c r="W513">
        <v>33.918799999999997</v>
      </c>
      <c r="X513">
        <v>34.288699999999999</v>
      </c>
      <c r="Y513">
        <v>35.028500000000001</v>
      </c>
      <c r="Z513">
        <v>35.398400000000002</v>
      </c>
      <c r="AA513">
        <v>35.768299999999996</v>
      </c>
      <c r="AD513">
        <v>1.7378743866409962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 t="s">
        <v>462</v>
      </c>
      <c r="AL513" t="s">
        <v>6</v>
      </c>
      <c r="AM513" t="s">
        <v>1145</v>
      </c>
      <c r="AN513" t="s">
        <v>1146</v>
      </c>
      <c r="AO513" s="100">
        <v>46262.040405092594</v>
      </c>
      <c r="AP513" t="s">
        <v>1147</v>
      </c>
      <c r="AQ513" t="s">
        <v>2240</v>
      </c>
      <c r="AR513" t="s">
        <v>1201</v>
      </c>
      <c r="AS513" t="s">
        <v>1150</v>
      </c>
      <c r="AT513" t="s">
        <v>2118</v>
      </c>
      <c r="AU513">
        <v>25</v>
      </c>
      <c r="AV513">
        <v>34.581483999999989</v>
      </c>
      <c r="AW513">
        <v>0.32816524252272722</v>
      </c>
      <c r="AX513">
        <v>0.94896229011666278</v>
      </c>
      <c r="AY513">
        <v>0.98520808149391026</v>
      </c>
      <c r="AZ513">
        <v>2.5509958601864038</v>
      </c>
      <c r="BA513">
        <v>0.79314669611850996</v>
      </c>
      <c r="BB513" t="s">
        <v>4619</v>
      </c>
      <c r="BD513" s="98"/>
      <c r="BE513" s="98"/>
      <c r="BF513" t="s">
        <v>1152</v>
      </c>
      <c r="BG513" t="s">
        <v>322</v>
      </c>
      <c r="BH513" t="s">
        <v>1153</v>
      </c>
      <c r="BI513">
        <v>0.98520808149391026</v>
      </c>
      <c r="BJ513" t="s">
        <v>991</v>
      </c>
      <c r="BK513">
        <v>-0.81312147354540754</v>
      </c>
      <c r="BL513">
        <v>-46.788276517328015</v>
      </c>
      <c r="BM513" t="s">
        <v>1021</v>
      </c>
      <c r="BN513" t="s">
        <v>1154</v>
      </c>
      <c r="BO513">
        <v>2025</v>
      </c>
      <c r="BP513" t="s">
        <v>966</v>
      </c>
      <c r="BQ513">
        <v>839085.19678976806</v>
      </c>
      <c r="BR513">
        <v>16.091480321023194</v>
      </c>
      <c r="BS513" t="s">
        <v>992</v>
      </c>
      <c r="BV513" t="s">
        <v>1034</v>
      </c>
      <c r="BW513" t="s">
        <v>943</v>
      </c>
      <c r="BX513" t="s">
        <v>994</v>
      </c>
      <c r="BY513">
        <v>0.50929491306926011</v>
      </c>
      <c r="BZ513" t="s">
        <v>1155</v>
      </c>
      <c r="CA513" t="s">
        <v>991</v>
      </c>
      <c r="CB513" t="b">
        <v>1</v>
      </c>
      <c r="CC513" t="b">
        <v>1</v>
      </c>
      <c r="CD513" t="b">
        <v>1</v>
      </c>
      <c r="CE513" t="b">
        <v>1</v>
      </c>
      <c r="CF513" t="b">
        <v>1</v>
      </c>
    </row>
    <row r="514" spans="1:84" x14ac:dyDescent="0.3">
      <c r="A514" t="s">
        <v>2241</v>
      </c>
      <c r="B514" t="s">
        <v>1203</v>
      </c>
      <c r="C514" s="98">
        <v>45747</v>
      </c>
      <c r="D514">
        <v>2025</v>
      </c>
      <c r="E514">
        <v>3</v>
      </c>
      <c r="F514">
        <v>1</v>
      </c>
      <c r="G514" t="s">
        <v>1187</v>
      </c>
      <c r="H514" t="s">
        <v>131</v>
      </c>
      <c r="I514" t="s">
        <v>131</v>
      </c>
      <c r="J514" t="s">
        <v>6</v>
      </c>
      <c r="L514">
        <v>522611</v>
      </c>
      <c r="M514" s="99" t="s">
        <v>180</v>
      </c>
      <c r="N514">
        <v>3</v>
      </c>
      <c r="O514">
        <v>13</v>
      </c>
      <c r="P514">
        <v>34.243699999999997</v>
      </c>
      <c r="Q514" t="s">
        <v>352</v>
      </c>
      <c r="R514">
        <v>1</v>
      </c>
      <c r="S514">
        <v>34.6586</v>
      </c>
      <c r="T514">
        <v>0.36990000000000001</v>
      </c>
      <c r="U514">
        <v>-1.1216545012165529</v>
      </c>
      <c r="V514">
        <v>33.548900000000003</v>
      </c>
      <c r="W514">
        <v>33.918799999999997</v>
      </c>
      <c r="X514">
        <v>34.288699999999999</v>
      </c>
      <c r="Y514">
        <v>35.028500000000001</v>
      </c>
      <c r="Z514">
        <v>35.398400000000002</v>
      </c>
      <c r="AA514">
        <v>35.768299999999996</v>
      </c>
      <c r="AD514">
        <v>1.7378743866409962</v>
      </c>
      <c r="AE514">
        <v>0</v>
      </c>
      <c r="AF514">
        <v>0</v>
      </c>
      <c r="AG514">
        <v>0</v>
      </c>
      <c r="AH514">
        <v>1</v>
      </c>
      <c r="AI514">
        <v>1</v>
      </c>
      <c r="AJ514">
        <v>0</v>
      </c>
      <c r="AK514" t="s">
        <v>1213</v>
      </c>
      <c r="AL514" t="s">
        <v>6</v>
      </c>
      <c r="AM514" t="s">
        <v>1145</v>
      </c>
      <c r="AN514" t="s">
        <v>1146</v>
      </c>
      <c r="AO514" s="100">
        <v>46262.040405092594</v>
      </c>
      <c r="AP514" t="s">
        <v>1147</v>
      </c>
      <c r="AQ514" t="s">
        <v>2242</v>
      </c>
      <c r="AR514" t="s">
        <v>1205</v>
      </c>
      <c r="AS514" t="s">
        <v>1150</v>
      </c>
      <c r="AT514" t="s">
        <v>2118</v>
      </c>
      <c r="AU514">
        <v>25</v>
      </c>
      <c r="AV514">
        <v>34.581483999999989</v>
      </c>
      <c r="AW514">
        <v>0.32816524252272722</v>
      </c>
      <c r="AX514">
        <v>0.94896229011666278</v>
      </c>
      <c r="AY514">
        <v>0.98520808149391026</v>
      </c>
      <c r="AZ514">
        <v>2.5509958601864038</v>
      </c>
      <c r="BA514">
        <v>0.79314669611850996</v>
      </c>
      <c r="BB514" t="s">
        <v>4619</v>
      </c>
      <c r="BD514" s="98"/>
      <c r="BE514" s="98"/>
      <c r="BF514" t="s">
        <v>1152</v>
      </c>
      <c r="BG514" t="s">
        <v>322</v>
      </c>
      <c r="BH514" t="s">
        <v>1153</v>
      </c>
      <c r="BI514">
        <v>0.98520808149391026</v>
      </c>
      <c r="BJ514" t="s">
        <v>991</v>
      </c>
      <c r="BK514">
        <v>-0.81312147354540754</v>
      </c>
      <c r="BL514">
        <v>-46.788276517328015</v>
      </c>
      <c r="BM514" t="s">
        <v>1021</v>
      </c>
      <c r="BN514" t="s">
        <v>1154</v>
      </c>
      <c r="BO514">
        <v>2025</v>
      </c>
      <c r="BP514" t="s">
        <v>966</v>
      </c>
      <c r="BQ514">
        <v>839085.19678976806</v>
      </c>
      <c r="BR514">
        <v>16.091480321023194</v>
      </c>
      <c r="BS514" t="s">
        <v>992</v>
      </c>
      <c r="BV514" t="s">
        <v>1034</v>
      </c>
      <c r="BW514" t="s">
        <v>943</v>
      </c>
      <c r="BX514" t="s">
        <v>994</v>
      </c>
      <c r="BY514">
        <v>0.50929491306926011</v>
      </c>
      <c r="BZ514" t="s">
        <v>1155</v>
      </c>
      <c r="CA514" t="s">
        <v>991</v>
      </c>
      <c r="CB514" t="b">
        <v>1</v>
      </c>
      <c r="CC514" t="b">
        <v>1</v>
      </c>
      <c r="CD514" t="b">
        <v>1</v>
      </c>
      <c r="CE514" t="b">
        <v>1</v>
      </c>
      <c r="CF514" t="b">
        <v>1</v>
      </c>
    </row>
    <row r="515" spans="1:84" x14ac:dyDescent="0.3">
      <c r="A515" t="s">
        <v>2243</v>
      </c>
      <c r="B515" t="s">
        <v>1207</v>
      </c>
      <c r="C515" s="98">
        <v>45754</v>
      </c>
      <c r="D515">
        <v>2025</v>
      </c>
      <c r="E515">
        <v>4</v>
      </c>
      <c r="F515">
        <v>2</v>
      </c>
      <c r="G515" t="s">
        <v>1208</v>
      </c>
      <c r="H515" t="s">
        <v>131</v>
      </c>
      <c r="I515" t="s">
        <v>131</v>
      </c>
      <c r="J515" t="s">
        <v>6</v>
      </c>
      <c r="L515">
        <v>522611</v>
      </c>
      <c r="M515" s="99" t="s">
        <v>180</v>
      </c>
      <c r="N515">
        <v>3</v>
      </c>
      <c r="O515">
        <v>14</v>
      </c>
      <c r="P515">
        <v>34.634099999999997</v>
      </c>
      <c r="Q515" t="s">
        <v>352</v>
      </c>
      <c r="R515">
        <v>1</v>
      </c>
      <c r="S515">
        <v>34.6586</v>
      </c>
      <c r="T515">
        <v>0.36990000000000001</v>
      </c>
      <c r="U515">
        <v>-6.6234117329016753E-2</v>
      </c>
      <c r="V515">
        <v>33.548900000000003</v>
      </c>
      <c r="W515">
        <v>33.918799999999997</v>
      </c>
      <c r="X515">
        <v>34.288699999999999</v>
      </c>
      <c r="Y515">
        <v>35.028500000000001</v>
      </c>
      <c r="Z515">
        <v>35.398400000000002</v>
      </c>
      <c r="AA515">
        <v>35.768299999999996</v>
      </c>
      <c r="AD515">
        <v>1.7378743866409962</v>
      </c>
      <c r="AE515">
        <v>0</v>
      </c>
      <c r="AF515">
        <v>0</v>
      </c>
      <c r="AG515">
        <v>0</v>
      </c>
      <c r="AH515">
        <v>0</v>
      </c>
      <c r="AI515">
        <v>1</v>
      </c>
      <c r="AJ515">
        <v>0</v>
      </c>
      <c r="AK515" t="s">
        <v>1213</v>
      </c>
      <c r="AL515" t="s">
        <v>6</v>
      </c>
      <c r="AM515" t="s">
        <v>1145</v>
      </c>
      <c r="AN515" t="s">
        <v>1146</v>
      </c>
      <c r="AO515" s="100">
        <v>46262.040405092594</v>
      </c>
      <c r="AP515" t="s">
        <v>1147</v>
      </c>
      <c r="AQ515" t="s">
        <v>2244</v>
      </c>
      <c r="AR515" t="s">
        <v>1210</v>
      </c>
      <c r="AS515" t="s">
        <v>1150</v>
      </c>
      <c r="AT515" t="s">
        <v>2118</v>
      </c>
      <c r="AU515">
        <v>25</v>
      </c>
      <c r="AV515">
        <v>34.581483999999989</v>
      </c>
      <c r="AW515">
        <v>0.32816524252272722</v>
      </c>
      <c r="AX515">
        <v>0.94896229011666278</v>
      </c>
      <c r="AY515">
        <v>0.98520808149391026</v>
      </c>
      <c r="AZ515">
        <v>2.5509958601864038</v>
      </c>
      <c r="BA515">
        <v>0.79314669611850996</v>
      </c>
      <c r="BB515" t="s">
        <v>4619</v>
      </c>
      <c r="BD515" s="98"/>
      <c r="BE515" s="98"/>
      <c r="BF515" t="s">
        <v>1152</v>
      </c>
      <c r="BG515" t="s">
        <v>322</v>
      </c>
      <c r="BH515" t="s">
        <v>1153</v>
      </c>
      <c r="BI515">
        <v>0.98520808149391026</v>
      </c>
      <c r="BJ515" t="s">
        <v>991</v>
      </c>
      <c r="BK515">
        <v>-0.81312147354540754</v>
      </c>
      <c r="BL515">
        <v>-46.788276517328015</v>
      </c>
      <c r="BM515" t="s">
        <v>1021</v>
      </c>
      <c r="BN515" t="s">
        <v>1154</v>
      </c>
      <c r="BO515">
        <v>2025</v>
      </c>
      <c r="BP515" t="s">
        <v>966</v>
      </c>
      <c r="BQ515">
        <v>839085.19678976806</v>
      </c>
      <c r="BR515">
        <v>16.091480321023194</v>
      </c>
      <c r="BS515" t="s">
        <v>992</v>
      </c>
      <c r="BV515" t="s">
        <v>1034</v>
      </c>
      <c r="BW515" t="s">
        <v>943</v>
      </c>
      <c r="BX515" t="s">
        <v>994</v>
      </c>
      <c r="BY515">
        <v>0.50929491306926011</v>
      </c>
      <c r="BZ515" t="s">
        <v>1155</v>
      </c>
      <c r="CA515" t="s">
        <v>991</v>
      </c>
      <c r="CB515" t="b">
        <v>1</v>
      </c>
      <c r="CC515" t="b">
        <v>1</v>
      </c>
      <c r="CD515" t="b">
        <v>1</v>
      </c>
      <c r="CE515" t="b">
        <v>1</v>
      </c>
      <c r="CF515" t="b">
        <v>1</v>
      </c>
    </row>
    <row r="516" spans="1:84" x14ac:dyDescent="0.3">
      <c r="A516" t="s">
        <v>2245</v>
      </c>
      <c r="B516" t="s">
        <v>1212</v>
      </c>
      <c r="C516" s="98">
        <v>45761</v>
      </c>
      <c r="D516">
        <v>2025</v>
      </c>
      <c r="E516">
        <v>4</v>
      </c>
      <c r="F516">
        <v>2</v>
      </c>
      <c r="G516" t="s">
        <v>1208</v>
      </c>
      <c r="H516" t="s">
        <v>131</v>
      </c>
      <c r="I516" t="s">
        <v>131</v>
      </c>
      <c r="J516" t="s">
        <v>6</v>
      </c>
      <c r="L516">
        <v>522611</v>
      </c>
      <c r="M516" s="99" t="s">
        <v>180</v>
      </c>
      <c r="N516">
        <v>3</v>
      </c>
      <c r="O516">
        <v>15</v>
      </c>
      <c r="P516">
        <v>34.644300000000001</v>
      </c>
      <c r="Q516" t="s">
        <v>352</v>
      </c>
      <c r="R516">
        <v>1</v>
      </c>
      <c r="S516">
        <v>34.6586</v>
      </c>
      <c r="T516">
        <v>0.36990000000000001</v>
      </c>
      <c r="U516">
        <v>-3.8659097053253981E-2</v>
      </c>
      <c r="V516">
        <v>33.548900000000003</v>
      </c>
      <c r="W516">
        <v>33.918799999999997</v>
      </c>
      <c r="X516">
        <v>34.288699999999999</v>
      </c>
      <c r="Y516">
        <v>35.028500000000001</v>
      </c>
      <c r="Z516">
        <v>35.398400000000002</v>
      </c>
      <c r="AA516">
        <v>35.768299999999996</v>
      </c>
      <c r="AD516">
        <v>1.7378743866409962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 t="s">
        <v>462</v>
      </c>
      <c r="AL516" t="s">
        <v>6</v>
      </c>
      <c r="AM516" t="s">
        <v>1145</v>
      </c>
      <c r="AN516" t="s">
        <v>1146</v>
      </c>
      <c r="AO516" s="100">
        <v>46262.040405092594</v>
      </c>
      <c r="AP516" t="s">
        <v>1147</v>
      </c>
      <c r="AQ516" t="s">
        <v>2246</v>
      </c>
      <c r="AR516" t="s">
        <v>1215</v>
      </c>
      <c r="AS516" t="s">
        <v>1150</v>
      </c>
      <c r="AT516" t="s">
        <v>2118</v>
      </c>
      <c r="AU516">
        <v>25</v>
      </c>
      <c r="AV516">
        <v>34.581483999999989</v>
      </c>
      <c r="AW516">
        <v>0.32816524252272722</v>
      </c>
      <c r="AX516">
        <v>0.94896229011666278</v>
      </c>
      <c r="AY516">
        <v>0.98520808149391026</v>
      </c>
      <c r="AZ516">
        <v>2.5509958601864038</v>
      </c>
      <c r="BA516">
        <v>0.79314669611850996</v>
      </c>
      <c r="BB516" t="s">
        <v>4619</v>
      </c>
      <c r="BD516" s="98"/>
      <c r="BE516" s="98"/>
      <c r="BF516" t="s">
        <v>1152</v>
      </c>
      <c r="BG516" t="s">
        <v>322</v>
      </c>
      <c r="BH516" t="s">
        <v>1153</v>
      </c>
      <c r="BI516">
        <v>0.98520808149391026</v>
      </c>
      <c r="BJ516" t="s">
        <v>991</v>
      </c>
      <c r="BK516">
        <v>-0.81312147354540754</v>
      </c>
      <c r="BL516">
        <v>-46.788276517328015</v>
      </c>
      <c r="BM516" t="s">
        <v>1021</v>
      </c>
      <c r="BN516" t="s">
        <v>1154</v>
      </c>
      <c r="BO516">
        <v>2025</v>
      </c>
      <c r="BP516" t="s">
        <v>966</v>
      </c>
      <c r="BQ516">
        <v>839085.19678976806</v>
      </c>
      <c r="BR516">
        <v>16.091480321023194</v>
      </c>
      <c r="BS516" t="s">
        <v>992</v>
      </c>
      <c r="BV516" t="s">
        <v>1034</v>
      </c>
      <c r="BW516" t="s">
        <v>943</v>
      </c>
      <c r="BX516" t="s">
        <v>994</v>
      </c>
      <c r="BY516">
        <v>0.50929491306926011</v>
      </c>
      <c r="BZ516" t="s">
        <v>1155</v>
      </c>
      <c r="CA516" t="s">
        <v>991</v>
      </c>
      <c r="CB516" t="b">
        <v>1</v>
      </c>
      <c r="CC516" t="b">
        <v>1</v>
      </c>
      <c r="CD516" t="b">
        <v>1</v>
      </c>
      <c r="CE516" t="b">
        <v>1</v>
      </c>
      <c r="CF516" t="b">
        <v>1</v>
      </c>
    </row>
    <row r="517" spans="1:84" x14ac:dyDescent="0.3">
      <c r="A517" t="s">
        <v>2247</v>
      </c>
      <c r="B517" t="s">
        <v>1217</v>
      </c>
      <c r="C517" s="98">
        <v>45768</v>
      </c>
      <c r="D517">
        <v>2025</v>
      </c>
      <c r="E517">
        <v>4</v>
      </c>
      <c r="F517">
        <v>2</v>
      </c>
      <c r="G517" t="s">
        <v>1208</v>
      </c>
      <c r="H517" t="s">
        <v>131</v>
      </c>
      <c r="I517" t="s">
        <v>131</v>
      </c>
      <c r="J517" t="s">
        <v>6</v>
      </c>
      <c r="L517">
        <v>522611</v>
      </c>
      <c r="M517" s="99" t="s">
        <v>180</v>
      </c>
      <c r="N517">
        <v>3</v>
      </c>
      <c r="O517">
        <v>16</v>
      </c>
      <c r="P517">
        <v>35.136000000000003</v>
      </c>
      <c r="Q517" t="s">
        <v>352</v>
      </c>
      <c r="R517">
        <v>1</v>
      </c>
      <c r="S517">
        <v>34.6586</v>
      </c>
      <c r="T517">
        <v>0.36990000000000001</v>
      </c>
      <c r="U517">
        <v>1.2906190862395321</v>
      </c>
      <c r="V517">
        <v>33.548900000000003</v>
      </c>
      <c r="W517">
        <v>33.918799999999997</v>
      </c>
      <c r="X517">
        <v>34.288699999999999</v>
      </c>
      <c r="Y517">
        <v>35.028500000000001</v>
      </c>
      <c r="Z517">
        <v>35.398400000000002</v>
      </c>
      <c r="AA517">
        <v>35.768299999999996</v>
      </c>
      <c r="AD517">
        <v>1.7378743866409962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 t="s">
        <v>462</v>
      </c>
      <c r="AL517" t="s">
        <v>6</v>
      </c>
      <c r="AM517" t="s">
        <v>1145</v>
      </c>
      <c r="AN517" t="s">
        <v>1146</v>
      </c>
      <c r="AO517" s="100">
        <v>46262.040405092594</v>
      </c>
      <c r="AP517" t="s">
        <v>1147</v>
      </c>
      <c r="AQ517" t="s">
        <v>2248</v>
      </c>
      <c r="AR517" t="s">
        <v>1219</v>
      </c>
      <c r="AS517" t="s">
        <v>1150</v>
      </c>
      <c r="AT517" t="s">
        <v>2118</v>
      </c>
      <c r="AU517">
        <v>25</v>
      </c>
      <c r="AV517">
        <v>34.581483999999989</v>
      </c>
      <c r="AW517">
        <v>0.32816524252272722</v>
      </c>
      <c r="AX517">
        <v>0.94896229011666278</v>
      </c>
      <c r="AY517">
        <v>0.98520808149391026</v>
      </c>
      <c r="AZ517">
        <v>2.5509958601864038</v>
      </c>
      <c r="BA517">
        <v>0.79314669611850996</v>
      </c>
      <c r="BB517" t="s">
        <v>4619</v>
      </c>
      <c r="BD517" s="98"/>
      <c r="BE517" s="98"/>
      <c r="BF517" t="s">
        <v>1152</v>
      </c>
      <c r="BG517" t="s">
        <v>322</v>
      </c>
      <c r="BH517" t="s">
        <v>1153</v>
      </c>
      <c r="BI517">
        <v>0.98520808149391026</v>
      </c>
      <c r="BJ517" t="s">
        <v>991</v>
      </c>
      <c r="BK517">
        <v>-0.81312147354540754</v>
      </c>
      <c r="BL517">
        <v>-46.788276517328015</v>
      </c>
      <c r="BM517" t="s">
        <v>1021</v>
      </c>
      <c r="BN517" t="s">
        <v>1154</v>
      </c>
      <c r="BO517">
        <v>2025</v>
      </c>
      <c r="BP517" t="s">
        <v>966</v>
      </c>
      <c r="BQ517">
        <v>839085.19678976806</v>
      </c>
      <c r="BR517">
        <v>16.091480321023194</v>
      </c>
      <c r="BS517" t="s">
        <v>992</v>
      </c>
      <c r="BV517" t="s">
        <v>1034</v>
      </c>
      <c r="BW517" t="s">
        <v>943</v>
      </c>
      <c r="BX517" t="s">
        <v>994</v>
      </c>
      <c r="BY517">
        <v>0.50929491306926011</v>
      </c>
      <c r="BZ517" t="s">
        <v>1155</v>
      </c>
      <c r="CA517" t="s">
        <v>991</v>
      </c>
      <c r="CB517" t="b">
        <v>1</v>
      </c>
      <c r="CC517" t="b">
        <v>1</v>
      </c>
      <c r="CD517" t="b">
        <v>1</v>
      </c>
      <c r="CE517" t="b">
        <v>1</v>
      </c>
      <c r="CF517" t="b">
        <v>1</v>
      </c>
    </row>
    <row r="518" spans="1:84" x14ac:dyDescent="0.3">
      <c r="A518" t="s">
        <v>2249</v>
      </c>
      <c r="B518" t="s">
        <v>1221</v>
      </c>
      <c r="C518" s="98">
        <v>45775</v>
      </c>
      <c r="D518">
        <v>2025</v>
      </c>
      <c r="E518">
        <v>4</v>
      </c>
      <c r="F518">
        <v>2</v>
      </c>
      <c r="G518" t="s">
        <v>1208</v>
      </c>
      <c r="H518" t="s">
        <v>131</v>
      </c>
      <c r="I518" t="s">
        <v>131</v>
      </c>
      <c r="J518" t="s">
        <v>6</v>
      </c>
      <c r="L518">
        <v>522611</v>
      </c>
      <c r="M518" s="99" t="s">
        <v>180</v>
      </c>
      <c r="N518">
        <v>3</v>
      </c>
      <c r="O518">
        <v>17</v>
      </c>
      <c r="P518">
        <v>35.3491</v>
      </c>
      <c r="Q518" t="s">
        <v>352</v>
      </c>
      <c r="R518">
        <v>1</v>
      </c>
      <c r="S518">
        <v>34.6586</v>
      </c>
      <c r="T518">
        <v>0.36990000000000001</v>
      </c>
      <c r="U518">
        <v>1.8667207353338744</v>
      </c>
      <c r="V518">
        <v>33.548900000000003</v>
      </c>
      <c r="W518">
        <v>33.918799999999997</v>
      </c>
      <c r="X518">
        <v>34.288699999999999</v>
      </c>
      <c r="Y518">
        <v>35.028500000000001</v>
      </c>
      <c r="Z518">
        <v>35.398400000000002</v>
      </c>
      <c r="AA518">
        <v>35.768299999999996</v>
      </c>
      <c r="AD518">
        <v>1.7378743866409962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 t="s">
        <v>462</v>
      </c>
      <c r="AL518" t="s">
        <v>6</v>
      </c>
      <c r="AM518" t="s">
        <v>1145</v>
      </c>
      <c r="AN518" t="s">
        <v>1146</v>
      </c>
      <c r="AO518" s="100">
        <v>46262.040405092594</v>
      </c>
      <c r="AP518" t="s">
        <v>1147</v>
      </c>
      <c r="AQ518" t="s">
        <v>2250</v>
      </c>
      <c r="AR518" t="s">
        <v>1223</v>
      </c>
      <c r="AS518" t="s">
        <v>1150</v>
      </c>
      <c r="AT518" t="s">
        <v>2118</v>
      </c>
      <c r="AU518">
        <v>25</v>
      </c>
      <c r="AV518">
        <v>34.581483999999989</v>
      </c>
      <c r="AW518">
        <v>0.32816524252272722</v>
      </c>
      <c r="AX518">
        <v>0.94896229011666278</v>
      </c>
      <c r="AY518">
        <v>0.98520808149391026</v>
      </c>
      <c r="AZ518">
        <v>2.5509958601864038</v>
      </c>
      <c r="BA518">
        <v>0.79314669611850996</v>
      </c>
      <c r="BB518" t="s">
        <v>4619</v>
      </c>
      <c r="BD518" s="98"/>
      <c r="BE518" s="98"/>
      <c r="BF518" t="s">
        <v>1152</v>
      </c>
      <c r="BG518" t="s">
        <v>322</v>
      </c>
      <c r="BH518" t="s">
        <v>1153</v>
      </c>
      <c r="BI518">
        <v>0.98520808149391026</v>
      </c>
      <c r="BJ518" t="s">
        <v>991</v>
      </c>
      <c r="BK518">
        <v>-0.81312147354540754</v>
      </c>
      <c r="BL518">
        <v>-46.788276517328015</v>
      </c>
      <c r="BM518" t="s">
        <v>1021</v>
      </c>
      <c r="BN518" t="s">
        <v>1154</v>
      </c>
      <c r="BO518">
        <v>2025</v>
      </c>
      <c r="BP518" t="s">
        <v>966</v>
      </c>
      <c r="BQ518">
        <v>839085.19678976806</v>
      </c>
      <c r="BR518">
        <v>16.091480321023194</v>
      </c>
      <c r="BS518" t="s">
        <v>992</v>
      </c>
      <c r="BV518" t="s">
        <v>1034</v>
      </c>
      <c r="BW518" t="s">
        <v>943</v>
      </c>
      <c r="BX518" t="s">
        <v>994</v>
      </c>
      <c r="BY518">
        <v>0.50929491306926011</v>
      </c>
      <c r="BZ518" t="s">
        <v>1155</v>
      </c>
      <c r="CA518" t="s">
        <v>991</v>
      </c>
      <c r="CB518" t="b">
        <v>1</v>
      </c>
      <c r="CC518" t="b">
        <v>1</v>
      </c>
      <c r="CD518" t="b">
        <v>1</v>
      </c>
      <c r="CE518" t="b">
        <v>1</v>
      </c>
      <c r="CF518" t="b">
        <v>1</v>
      </c>
    </row>
    <row r="519" spans="1:84" x14ac:dyDescent="0.3">
      <c r="A519" t="s">
        <v>2251</v>
      </c>
      <c r="B519" t="s">
        <v>1225</v>
      </c>
      <c r="C519" s="98">
        <v>45782</v>
      </c>
      <c r="D519">
        <v>2025</v>
      </c>
      <c r="E519">
        <v>5</v>
      </c>
      <c r="F519">
        <v>2</v>
      </c>
      <c r="G519" t="s">
        <v>1226</v>
      </c>
      <c r="H519" t="s">
        <v>131</v>
      </c>
      <c r="I519" t="s">
        <v>131</v>
      </c>
      <c r="J519" t="s">
        <v>6</v>
      </c>
      <c r="L519">
        <v>522611</v>
      </c>
      <c r="M519" s="99" t="s">
        <v>180</v>
      </c>
      <c r="N519">
        <v>3</v>
      </c>
      <c r="O519">
        <v>18</v>
      </c>
      <c r="P519">
        <v>34.607999999999997</v>
      </c>
      <c r="Q519" t="s">
        <v>352</v>
      </c>
      <c r="R519">
        <v>1</v>
      </c>
      <c r="S519">
        <v>34.6586</v>
      </c>
      <c r="T519">
        <v>0.36990000000000001</v>
      </c>
      <c r="U519">
        <v>-0.13679372803461168</v>
      </c>
      <c r="V519">
        <v>33.548900000000003</v>
      </c>
      <c r="W519">
        <v>33.918799999999997</v>
      </c>
      <c r="X519">
        <v>34.288699999999999</v>
      </c>
      <c r="Y519">
        <v>35.028500000000001</v>
      </c>
      <c r="Z519">
        <v>35.398400000000002</v>
      </c>
      <c r="AA519">
        <v>35.768299999999996</v>
      </c>
      <c r="AD519">
        <v>1.7378743866409962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 t="s">
        <v>462</v>
      </c>
      <c r="AL519" t="s">
        <v>6</v>
      </c>
      <c r="AM519" t="s">
        <v>1145</v>
      </c>
      <c r="AN519" t="s">
        <v>1146</v>
      </c>
      <c r="AO519" s="100">
        <v>46262.040405092594</v>
      </c>
      <c r="AP519" t="s">
        <v>1147</v>
      </c>
      <c r="AQ519" t="s">
        <v>2252</v>
      </c>
      <c r="AR519" t="s">
        <v>1228</v>
      </c>
      <c r="AS519" t="s">
        <v>1150</v>
      </c>
      <c r="AT519" t="s">
        <v>2118</v>
      </c>
      <c r="AU519">
        <v>25</v>
      </c>
      <c r="AV519">
        <v>34.581483999999989</v>
      </c>
      <c r="AW519">
        <v>0.32816524252272722</v>
      </c>
      <c r="AX519">
        <v>0.94896229011666278</v>
      </c>
      <c r="AY519">
        <v>0.98520808149391026</v>
      </c>
      <c r="AZ519">
        <v>2.5509958601864038</v>
      </c>
      <c r="BA519">
        <v>0.79314669611850996</v>
      </c>
      <c r="BB519" t="s">
        <v>4619</v>
      </c>
      <c r="BD519" s="98"/>
      <c r="BE519" s="98"/>
      <c r="BF519" t="s">
        <v>1152</v>
      </c>
      <c r="BG519" t="s">
        <v>322</v>
      </c>
      <c r="BH519" t="s">
        <v>1153</v>
      </c>
      <c r="BI519">
        <v>0.98520808149391026</v>
      </c>
      <c r="BJ519" t="s">
        <v>991</v>
      </c>
      <c r="BK519">
        <v>-0.81312147354540754</v>
      </c>
      <c r="BL519">
        <v>-46.788276517328015</v>
      </c>
      <c r="BM519" t="s">
        <v>1021</v>
      </c>
      <c r="BN519" t="s">
        <v>1154</v>
      </c>
      <c r="BO519">
        <v>2025</v>
      </c>
      <c r="BP519" t="s">
        <v>966</v>
      </c>
      <c r="BQ519">
        <v>839085.19678976806</v>
      </c>
      <c r="BR519">
        <v>16.091480321023194</v>
      </c>
      <c r="BS519" t="s">
        <v>992</v>
      </c>
      <c r="BV519" t="s">
        <v>1034</v>
      </c>
      <c r="BW519" t="s">
        <v>943</v>
      </c>
      <c r="BX519" t="s">
        <v>994</v>
      </c>
      <c r="BY519">
        <v>0.50929491306926011</v>
      </c>
      <c r="BZ519" t="s">
        <v>1155</v>
      </c>
      <c r="CA519" t="s">
        <v>991</v>
      </c>
      <c r="CB519" t="b">
        <v>1</v>
      </c>
      <c r="CC519" t="b">
        <v>1</v>
      </c>
      <c r="CD519" t="b">
        <v>1</v>
      </c>
      <c r="CE519" t="b">
        <v>1</v>
      </c>
      <c r="CF519" t="b">
        <v>1</v>
      </c>
    </row>
    <row r="520" spans="1:84" x14ac:dyDescent="0.3">
      <c r="A520" t="s">
        <v>2253</v>
      </c>
      <c r="B520" t="s">
        <v>1230</v>
      </c>
      <c r="C520" s="98">
        <v>45789</v>
      </c>
      <c r="D520">
        <v>2025</v>
      </c>
      <c r="E520">
        <v>5</v>
      </c>
      <c r="F520">
        <v>2</v>
      </c>
      <c r="G520" t="s">
        <v>1226</v>
      </c>
      <c r="H520" t="s">
        <v>131</v>
      </c>
      <c r="I520" t="s">
        <v>131</v>
      </c>
      <c r="J520" t="s">
        <v>6</v>
      </c>
      <c r="L520">
        <v>522611</v>
      </c>
      <c r="M520" s="99" t="s">
        <v>180</v>
      </c>
      <c r="N520">
        <v>3</v>
      </c>
      <c r="O520">
        <v>19</v>
      </c>
      <c r="P520">
        <v>34.3752</v>
      </c>
      <c r="Q520" t="s">
        <v>352</v>
      </c>
      <c r="R520">
        <v>1</v>
      </c>
      <c r="S520">
        <v>34.6586</v>
      </c>
      <c r="T520">
        <v>0.36990000000000001</v>
      </c>
      <c r="U520">
        <v>-0.76615301432819771</v>
      </c>
      <c r="V520">
        <v>33.548900000000003</v>
      </c>
      <c r="W520">
        <v>33.918799999999997</v>
      </c>
      <c r="X520">
        <v>34.288699999999999</v>
      </c>
      <c r="Y520">
        <v>35.028500000000001</v>
      </c>
      <c r="Z520">
        <v>35.398400000000002</v>
      </c>
      <c r="AA520">
        <v>35.768299999999996</v>
      </c>
      <c r="AD520">
        <v>1.7378743866409962</v>
      </c>
      <c r="AE520">
        <v>0</v>
      </c>
      <c r="AF520">
        <v>0</v>
      </c>
      <c r="AG520">
        <v>0</v>
      </c>
      <c r="AH520">
        <v>0</v>
      </c>
      <c r="AI520">
        <v>1</v>
      </c>
      <c r="AJ520">
        <v>0</v>
      </c>
      <c r="AK520" t="s">
        <v>1213</v>
      </c>
      <c r="AL520" t="s">
        <v>6</v>
      </c>
      <c r="AM520" t="s">
        <v>1145</v>
      </c>
      <c r="AN520" t="s">
        <v>1146</v>
      </c>
      <c r="AO520" s="100">
        <v>46262.040405092594</v>
      </c>
      <c r="AP520" t="s">
        <v>1147</v>
      </c>
      <c r="AQ520" t="s">
        <v>2254</v>
      </c>
      <c r="AR520" t="s">
        <v>1232</v>
      </c>
      <c r="AS520" t="s">
        <v>1150</v>
      </c>
      <c r="AT520" t="s">
        <v>2118</v>
      </c>
      <c r="AU520">
        <v>25</v>
      </c>
      <c r="AV520">
        <v>34.581483999999989</v>
      </c>
      <c r="AW520">
        <v>0.32816524252272722</v>
      </c>
      <c r="AX520">
        <v>0.94896229011666278</v>
      </c>
      <c r="AY520">
        <v>0.98520808149391026</v>
      </c>
      <c r="AZ520">
        <v>2.5509958601864038</v>
      </c>
      <c r="BA520">
        <v>0.79314669611850996</v>
      </c>
      <c r="BB520" t="s">
        <v>4619</v>
      </c>
      <c r="BD520" s="98"/>
      <c r="BE520" s="98"/>
      <c r="BF520" t="s">
        <v>1152</v>
      </c>
      <c r="BG520" t="s">
        <v>322</v>
      </c>
      <c r="BH520" t="s">
        <v>1153</v>
      </c>
      <c r="BI520">
        <v>0.98520808149391026</v>
      </c>
      <c r="BJ520" t="s">
        <v>991</v>
      </c>
      <c r="BK520">
        <v>-0.81312147354540754</v>
      </c>
      <c r="BL520">
        <v>-46.788276517328015</v>
      </c>
      <c r="BM520" t="s">
        <v>1021</v>
      </c>
      <c r="BN520" t="s">
        <v>1154</v>
      </c>
      <c r="BO520">
        <v>2025</v>
      </c>
      <c r="BP520" t="s">
        <v>966</v>
      </c>
      <c r="BQ520">
        <v>839085.19678976806</v>
      </c>
      <c r="BR520">
        <v>16.091480321023194</v>
      </c>
      <c r="BS520" t="s">
        <v>992</v>
      </c>
      <c r="BV520" t="s">
        <v>1034</v>
      </c>
      <c r="BW520" t="s">
        <v>943</v>
      </c>
      <c r="BX520" t="s">
        <v>994</v>
      </c>
      <c r="BY520">
        <v>0.50929491306926011</v>
      </c>
      <c r="BZ520" t="s">
        <v>1155</v>
      </c>
      <c r="CA520" t="s">
        <v>991</v>
      </c>
      <c r="CB520" t="b">
        <v>1</v>
      </c>
      <c r="CC520" t="b">
        <v>1</v>
      </c>
      <c r="CD520" t="b">
        <v>1</v>
      </c>
      <c r="CE520" t="b">
        <v>1</v>
      </c>
      <c r="CF520" t="b">
        <v>1</v>
      </c>
    </row>
    <row r="521" spans="1:84" x14ac:dyDescent="0.3">
      <c r="A521" t="s">
        <v>2255</v>
      </c>
      <c r="B521" t="s">
        <v>1234</v>
      </c>
      <c r="C521" s="98">
        <v>45796</v>
      </c>
      <c r="D521">
        <v>2025</v>
      </c>
      <c r="E521">
        <v>5</v>
      </c>
      <c r="F521">
        <v>2</v>
      </c>
      <c r="G521" t="s">
        <v>1226</v>
      </c>
      <c r="H521" t="s">
        <v>131</v>
      </c>
      <c r="I521" t="s">
        <v>131</v>
      </c>
      <c r="J521" t="s">
        <v>6</v>
      </c>
      <c r="L521">
        <v>522611</v>
      </c>
      <c r="M521" s="99" t="s">
        <v>180</v>
      </c>
      <c r="N521">
        <v>3</v>
      </c>
      <c r="O521">
        <v>20</v>
      </c>
      <c r="P521">
        <v>34.634599999999999</v>
      </c>
      <c r="Q521" t="s">
        <v>352</v>
      </c>
      <c r="R521">
        <v>1</v>
      </c>
      <c r="S521">
        <v>34.6586</v>
      </c>
      <c r="T521">
        <v>0.36990000000000001</v>
      </c>
      <c r="U521">
        <v>-6.4882400648826458E-2</v>
      </c>
      <c r="V521">
        <v>33.548900000000003</v>
      </c>
      <c r="W521">
        <v>33.918799999999997</v>
      </c>
      <c r="X521">
        <v>34.288699999999999</v>
      </c>
      <c r="Y521">
        <v>35.028500000000001</v>
      </c>
      <c r="Z521">
        <v>35.398400000000002</v>
      </c>
      <c r="AA521">
        <v>35.768299999999996</v>
      </c>
      <c r="AD521">
        <v>1.7378743866409962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 t="s">
        <v>462</v>
      </c>
      <c r="AL521" t="s">
        <v>6</v>
      </c>
      <c r="AM521" t="s">
        <v>1145</v>
      </c>
      <c r="AN521" t="s">
        <v>1146</v>
      </c>
      <c r="AO521" s="100">
        <v>46262.040405092594</v>
      </c>
      <c r="AP521" t="s">
        <v>1147</v>
      </c>
      <c r="AQ521" t="s">
        <v>2256</v>
      </c>
      <c r="AR521" t="s">
        <v>1236</v>
      </c>
      <c r="AS521" t="s">
        <v>1150</v>
      </c>
      <c r="AT521" t="s">
        <v>2118</v>
      </c>
      <c r="AU521">
        <v>25</v>
      </c>
      <c r="AV521">
        <v>34.581483999999989</v>
      </c>
      <c r="AW521">
        <v>0.32816524252272722</v>
      </c>
      <c r="AX521">
        <v>0.94896229011666278</v>
      </c>
      <c r="AY521">
        <v>0.98520808149391026</v>
      </c>
      <c r="AZ521">
        <v>2.5509958601864038</v>
      </c>
      <c r="BA521">
        <v>0.79314669611850996</v>
      </c>
      <c r="BB521" t="s">
        <v>4619</v>
      </c>
      <c r="BD521" s="98"/>
      <c r="BE521" s="98"/>
      <c r="BF521" t="s">
        <v>1152</v>
      </c>
      <c r="BG521" t="s">
        <v>322</v>
      </c>
      <c r="BH521" t="s">
        <v>1153</v>
      </c>
      <c r="BI521">
        <v>0.98520808149391026</v>
      </c>
      <c r="BJ521" t="s">
        <v>991</v>
      </c>
      <c r="BK521">
        <v>-0.81312147354540754</v>
      </c>
      <c r="BL521">
        <v>-46.788276517328015</v>
      </c>
      <c r="BM521" t="s">
        <v>1021</v>
      </c>
      <c r="BN521" t="s">
        <v>1154</v>
      </c>
      <c r="BO521">
        <v>2025</v>
      </c>
      <c r="BP521" t="s">
        <v>966</v>
      </c>
      <c r="BQ521">
        <v>839085.19678976806</v>
      </c>
      <c r="BR521">
        <v>16.091480321023194</v>
      </c>
      <c r="BS521" t="s">
        <v>992</v>
      </c>
      <c r="BV521" t="s">
        <v>1034</v>
      </c>
      <c r="BW521" t="s">
        <v>943</v>
      </c>
      <c r="BX521" t="s">
        <v>994</v>
      </c>
      <c r="BY521">
        <v>0.50929491306926011</v>
      </c>
      <c r="BZ521" t="s">
        <v>1155</v>
      </c>
      <c r="CA521" t="s">
        <v>991</v>
      </c>
      <c r="CB521" t="b">
        <v>1</v>
      </c>
      <c r="CC521" t="b">
        <v>1</v>
      </c>
      <c r="CD521" t="b">
        <v>1</v>
      </c>
      <c r="CE521" t="b">
        <v>1</v>
      </c>
      <c r="CF521" t="b">
        <v>1</v>
      </c>
    </row>
    <row r="522" spans="1:84" x14ac:dyDescent="0.3">
      <c r="A522" t="s">
        <v>2257</v>
      </c>
      <c r="B522" t="s">
        <v>1238</v>
      </c>
      <c r="C522" s="98">
        <v>45803</v>
      </c>
      <c r="D522">
        <v>2025</v>
      </c>
      <c r="E522">
        <v>5</v>
      </c>
      <c r="F522">
        <v>2</v>
      </c>
      <c r="G522" t="s">
        <v>1226</v>
      </c>
      <c r="H522" t="s">
        <v>131</v>
      </c>
      <c r="I522" t="s">
        <v>131</v>
      </c>
      <c r="J522" t="s">
        <v>6</v>
      </c>
      <c r="L522">
        <v>522611</v>
      </c>
      <c r="M522" s="99" t="s">
        <v>180</v>
      </c>
      <c r="N522">
        <v>3</v>
      </c>
      <c r="O522">
        <v>21</v>
      </c>
      <c r="P522">
        <v>34.433900000000001</v>
      </c>
      <c r="Q522" t="s">
        <v>352</v>
      </c>
      <c r="R522">
        <v>1</v>
      </c>
      <c r="S522">
        <v>34.6586</v>
      </c>
      <c r="T522">
        <v>0.36990000000000001</v>
      </c>
      <c r="U522">
        <v>-0.60746147607461087</v>
      </c>
      <c r="V522">
        <v>33.548900000000003</v>
      </c>
      <c r="W522">
        <v>33.918799999999997</v>
      </c>
      <c r="X522">
        <v>34.288699999999999</v>
      </c>
      <c r="Y522">
        <v>35.028500000000001</v>
      </c>
      <c r="Z522">
        <v>35.398400000000002</v>
      </c>
      <c r="AA522">
        <v>35.768299999999996</v>
      </c>
      <c r="AD522">
        <v>1.7378743866409962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 t="s">
        <v>462</v>
      </c>
      <c r="AL522" t="s">
        <v>6</v>
      </c>
      <c r="AM522" t="s">
        <v>1145</v>
      </c>
      <c r="AN522" t="s">
        <v>1146</v>
      </c>
      <c r="AO522" s="100">
        <v>46262.040405092594</v>
      </c>
      <c r="AP522" t="s">
        <v>1147</v>
      </c>
      <c r="AQ522" t="s">
        <v>2258</v>
      </c>
      <c r="AR522" t="s">
        <v>1240</v>
      </c>
      <c r="AS522" t="s">
        <v>1150</v>
      </c>
      <c r="AT522" t="s">
        <v>2118</v>
      </c>
      <c r="AU522">
        <v>25</v>
      </c>
      <c r="AV522">
        <v>34.581483999999989</v>
      </c>
      <c r="AW522">
        <v>0.32816524252272722</v>
      </c>
      <c r="AX522">
        <v>0.94896229011666278</v>
      </c>
      <c r="AY522">
        <v>0.98520808149391026</v>
      </c>
      <c r="AZ522">
        <v>2.5509958601864038</v>
      </c>
      <c r="BA522">
        <v>0.79314669611850996</v>
      </c>
      <c r="BB522" t="s">
        <v>4619</v>
      </c>
      <c r="BD522" s="98"/>
      <c r="BE522" s="98"/>
      <c r="BF522" t="s">
        <v>1152</v>
      </c>
      <c r="BG522" t="s">
        <v>322</v>
      </c>
      <c r="BH522" t="s">
        <v>1153</v>
      </c>
      <c r="BI522">
        <v>0.98520808149391026</v>
      </c>
      <c r="BJ522" t="s">
        <v>991</v>
      </c>
      <c r="BK522">
        <v>-0.81312147354540754</v>
      </c>
      <c r="BL522">
        <v>-46.788276517328015</v>
      </c>
      <c r="BM522" t="s">
        <v>1021</v>
      </c>
      <c r="BN522" t="s">
        <v>1154</v>
      </c>
      <c r="BO522">
        <v>2025</v>
      </c>
      <c r="BP522" t="s">
        <v>966</v>
      </c>
      <c r="BQ522">
        <v>839085.19678976806</v>
      </c>
      <c r="BR522">
        <v>16.091480321023194</v>
      </c>
      <c r="BS522" t="s">
        <v>992</v>
      </c>
      <c r="BV522" t="s">
        <v>1034</v>
      </c>
      <c r="BW522" t="s">
        <v>943</v>
      </c>
      <c r="BX522" t="s">
        <v>994</v>
      </c>
      <c r="BY522">
        <v>0.50929491306926011</v>
      </c>
      <c r="BZ522" t="s">
        <v>1155</v>
      </c>
      <c r="CA522" t="s">
        <v>991</v>
      </c>
      <c r="CB522" t="b">
        <v>1</v>
      </c>
      <c r="CC522" t="b">
        <v>1</v>
      </c>
      <c r="CD522" t="b">
        <v>1</v>
      </c>
      <c r="CE522" t="b">
        <v>1</v>
      </c>
      <c r="CF522" t="b">
        <v>1</v>
      </c>
    </row>
    <row r="523" spans="1:84" x14ac:dyDescent="0.3">
      <c r="A523" t="s">
        <v>2259</v>
      </c>
      <c r="B523" t="s">
        <v>1242</v>
      </c>
      <c r="C523" s="98">
        <v>45810</v>
      </c>
      <c r="D523">
        <v>2025</v>
      </c>
      <c r="E523">
        <v>6</v>
      </c>
      <c r="F523">
        <v>2</v>
      </c>
      <c r="G523" t="s">
        <v>1243</v>
      </c>
      <c r="H523" t="s">
        <v>131</v>
      </c>
      <c r="I523" t="s">
        <v>131</v>
      </c>
      <c r="J523" t="s">
        <v>6</v>
      </c>
      <c r="L523">
        <v>522611</v>
      </c>
      <c r="M523" s="99" t="s">
        <v>180</v>
      </c>
      <c r="N523">
        <v>3</v>
      </c>
      <c r="O523">
        <v>22</v>
      </c>
      <c r="P523">
        <v>34.384</v>
      </c>
      <c r="Q523" t="s">
        <v>352</v>
      </c>
      <c r="R523">
        <v>1</v>
      </c>
      <c r="S523">
        <v>34.6586</v>
      </c>
      <c r="T523">
        <v>0.36990000000000001</v>
      </c>
      <c r="U523">
        <v>-0.74236280075696004</v>
      </c>
      <c r="V523">
        <v>33.548900000000003</v>
      </c>
      <c r="W523">
        <v>33.918799999999997</v>
      </c>
      <c r="X523">
        <v>34.288699999999999</v>
      </c>
      <c r="Y523">
        <v>35.028500000000001</v>
      </c>
      <c r="Z523">
        <v>35.398400000000002</v>
      </c>
      <c r="AA523">
        <v>35.768299999999996</v>
      </c>
      <c r="AD523">
        <v>1.7378743866409962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 t="s">
        <v>462</v>
      </c>
      <c r="AL523" t="s">
        <v>6</v>
      </c>
      <c r="AM523" t="s">
        <v>1145</v>
      </c>
      <c r="AN523" t="s">
        <v>1146</v>
      </c>
      <c r="AO523" s="100">
        <v>46262.040405092594</v>
      </c>
      <c r="AP523" t="s">
        <v>1147</v>
      </c>
      <c r="AQ523" t="s">
        <v>2260</v>
      </c>
      <c r="AR523" t="s">
        <v>1245</v>
      </c>
      <c r="AS523" t="s">
        <v>1150</v>
      </c>
      <c r="AT523" t="s">
        <v>2118</v>
      </c>
      <c r="AU523">
        <v>25</v>
      </c>
      <c r="AV523">
        <v>34.581483999999989</v>
      </c>
      <c r="AW523">
        <v>0.32816524252272722</v>
      </c>
      <c r="AX523">
        <v>0.94896229011666278</v>
      </c>
      <c r="AY523">
        <v>0.98520808149391026</v>
      </c>
      <c r="AZ523">
        <v>2.5509958601864038</v>
      </c>
      <c r="BA523">
        <v>0.79314669611850996</v>
      </c>
      <c r="BB523" t="s">
        <v>4619</v>
      </c>
      <c r="BD523" s="98"/>
      <c r="BE523" s="98"/>
      <c r="BF523" t="s">
        <v>1152</v>
      </c>
      <c r="BG523" t="s">
        <v>322</v>
      </c>
      <c r="BH523" t="s">
        <v>1153</v>
      </c>
      <c r="BI523">
        <v>0.98520808149391026</v>
      </c>
      <c r="BJ523" t="s">
        <v>991</v>
      </c>
      <c r="BK523">
        <v>-0.81312147354540754</v>
      </c>
      <c r="BL523">
        <v>-46.788276517328015</v>
      </c>
      <c r="BM523" t="s">
        <v>1021</v>
      </c>
      <c r="BN523" t="s">
        <v>1154</v>
      </c>
      <c r="BO523">
        <v>2025</v>
      </c>
      <c r="BP523" t="s">
        <v>966</v>
      </c>
      <c r="BQ523">
        <v>839085.19678976806</v>
      </c>
      <c r="BR523">
        <v>16.091480321023194</v>
      </c>
      <c r="BS523" t="s">
        <v>992</v>
      </c>
      <c r="BV523" t="s">
        <v>1034</v>
      </c>
      <c r="BW523" t="s">
        <v>943</v>
      </c>
      <c r="BX523" t="s">
        <v>994</v>
      </c>
      <c r="BY523">
        <v>0.50929491306926011</v>
      </c>
      <c r="BZ523" t="s">
        <v>1155</v>
      </c>
      <c r="CA523" t="s">
        <v>991</v>
      </c>
      <c r="CB523" t="b">
        <v>1</v>
      </c>
      <c r="CC523" t="b">
        <v>1</v>
      </c>
      <c r="CD523" t="b">
        <v>1</v>
      </c>
      <c r="CE523" t="b">
        <v>1</v>
      </c>
      <c r="CF523" t="b">
        <v>1</v>
      </c>
    </row>
    <row r="524" spans="1:84" x14ac:dyDescent="0.3">
      <c r="A524" t="s">
        <v>2261</v>
      </c>
      <c r="B524" t="s">
        <v>1247</v>
      </c>
      <c r="C524" s="98">
        <v>45817</v>
      </c>
      <c r="D524">
        <v>2025</v>
      </c>
      <c r="E524">
        <v>6</v>
      </c>
      <c r="F524">
        <v>2</v>
      </c>
      <c r="G524" t="s">
        <v>1243</v>
      </c>
      <c r="H524" t="s">
        <v>131</v>
      </c>
      <c r="I524" t="s">
        <v>131</v>
      </c>
      <c r="J524" t="s">
        <v>6</v>
      </c>
      <c r="L524">
        <v>522611</v>
      </c>
      <c r="M524" s="99" t="s">
        <v>180</v>
      </c>
      <c r="N524">
        <v>3</v>
      </c>
      <c r="O524">
        <v>23</v>
      </c>
      <c r="P524">
        <v>34.636899999999997</v>
      </c>
      <c r="Q524" t="s">
        <v>352</v>
      </c>
      <c r="R524">
        <v>1</v>
      </c>
      <c r="S524">
        <v>34.6586</v>
      </c>
      <c r="T524">
        <v>0.36990000000000001</v>
      </c>
      <c r="U524">
        <v>-5.8664503919985719E-2</v>
      </c>
      <c r="V524">
        <v>33.548900000000003</v>
      </c>
      <c r="W524">
        <v>33.918799999999997</v>
      </c>
      <c r="X524">
        <v>34.288699999999999</v>
      </c>
      <c r="Y524">
        <v>35.028500000000001</v>
      </c>
      <c r="Z524">
        <v>35.398400000000002</v>
      </c>
      <c r="AA524">
        <v>35.768299999999996</v>
      </c>
      <c r="AD524">
        <v>1.7378743866409962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 t="s">
        <v>462</v>
      </c>
      <c r="AL524" t="s">
        <v>6</v>
      </c>
      <c r="AM524" t="s">
        <v>1145</v>
      </c>
      <c r="AN524" t="s">
        <v>1146</v>
      </c>
      <c r="AO524" s="100">
        <v>46262.040405092594</v>
      </c>
      <c r="AP524" t="s">
        <v>1147</v>
      </c>
      <c r="AQ524" t="s">
        <v>2262</v>
      </c>
      <c r="AR524" t="s">
        <v>1249</v>
      </c>
      <c r="AS524" t="s">
        <v>1150</v>
      </c>
      <c r="AT524" t="s">
        <v>2118</v>
      </c>
      <c r="AU524">
        <v>25</v>
      </c>
      <c r="AV524">
        <v>34.581483999999989</v>
      </c>
      <c r="AW524">
        <v>0.32816524252272722</v>
      </c>
      <c r="AX524">
        <v>0.94896229011666278</v>
      </c>
      <c r="AY524">
        <v>0.98520808149391026</v>
      </c>
      <c r="AZ524">
        <v>2.5509958601864038</v>
      </c>
      <c r="BA524">
        <v>0.79314669611850996</v>
      </c>
      <c r="BB524" t="s">
        <v>4619</v>
      </c>
      <c r="BD524" s="98"/>
      <c r="BE524" s="98"/>
      <c r="BF524" t="s">
        <v>1152</v>
      </c>
      <c r="BG524" t="s">
        <v>322</v>
      </c>
      <c r="BH524" t="s">
        <v>1153</v>
      </c>
      <c r="BI524">
        <v>0.98520808149391026</v>
      </c>
      <c r="BJ524" t="s">
        <v>991</v>
      </c>
      <c r="BK524">
        <v>-0.81312147354540754</v>
      </c>
      <c r="BL524">
        <v>-46.788276517328015</v>
      </c>
      <c r="BM524" t="s">
        <v>1021</v>
      </c>
      <c r="BN524" t="s">
        <v>1154</v>
      </c>
      <c r="BO524">
        <v>2025</v>
      </c>
      <c r="BP524" t="s">
        <v>966</v>
      </c>
      <c r="BQ524">
        <v>839085.19678976806</v>
      </c>
      <c r="BR524">
        <v>16.091480321023194</v>
      </c>
      <c r="BS524" t="s">
        <v>992</v>
      </c>
      <c r="BV524" t="s">
        <v>1034</v>
      </c>
      <c r="BW524" t="s">
        <v>943</v>
      </c>
      <c r="BX524" t="s">
        <v>994</v>
      </c>
      <c r="BY524">
        <v>0.50929491306926011</v>
      </c>
      <c r="BZ524" t="s">
        <v>1155</v>
      </c>
      <c r="CA524" t="s">
        <v>991</v>
      </c>
      <c r="CB524" t="b">
        <v>1</v>
      </c>
      <c r="CC524" t="b">
        <v>1</v>
      </c>
      <c r="CD524" t="b">
        <v>1</v>
      </c>
      <c r="CE524" t="b">
        <v>1</v>
      </c>
      <c r="CF524" t="b">
        <v>1</v>
      </c>
    </row>
    <row r="525" spans="1:84" x14ac:dyDescent="0.3">
      <c r="A525" t="s">
        <v>2263</v>
      </c>
      <c r="B525" t="s">
        <v>1251</v>
      </c>
      <c r="C525" s="98">
        <v>45824</v>
      </c>
      <c r="D525">
        <v>2025</v>
      </c>
      <c r="E525">
        <v>6</v>
      </c>
      <c r="F525">
        <v>2</v>
      </c>
      <c r="G525" t="s">
        <v>1243</v>
      </c>
      <c r="H525" t="s">
        <v>131</v>
      </c>
      <c r="I525" t="s">
        <v>131</v>
      </c>
      <c r="J525" t="s">
        <v>6</v>
      </c>
      <c r="L525">
        <v>522611</v>
      </c>
      <c r="M525" s="99" t="s">
        <v>180</v>
      </c>
      <c r="N525">
        <v>3</v>
      </c>
      <c r="O525">
        <v>24</v>
      </c>
      <c r="P525">
        <v>34.2727</v>
      </c>
      <c r="Q525" t="s">
        <v>352</v>
      </c>
      <c r="R525">
        <v>1</v>
      </c>
      <c r="S525">
        <v>34.6586</v>
      </c>
      <c r="T525">
        <v>0.36990000000000001</v>
      </c>
      <c r="U525">
        <v>-1.0432549337658812</v>
      </c>
      <c r="V525">
        <v>33.548900000000003</v>
      </c>
      <c r="W525">
        <v>33.918799999999997</v>
      </c>
      <c r="X525">
        <v>34.288699999999999</v>
      </c>
      <c r="Y525">
        <v>35.028500000000001</v>
      </c>
      <c r="Z525">
        <v>35.398400000000002</v>
      </c>
      <c r="AA525">
        <v>35.768299999999996</v>
      </c>
      <c r="AD525">
        <v>1.7378743866409962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 t="s">
        <v>462</v>
      </c>
      <c r="AL525" t="s">
        <v>6</v>
      </c>
      <c r="AM525" t="s">
        <v>1145</v>
      </c>
      <c r="AN525" t="s">
        <v>1146</v>
      </c>
      <c r="AO525" s="100">
        <v>46262.040405092594</v>
      </c>
      <c r="AP525" t="s">
        <v>1147</v>
      </c>
      <c r="AQ525" t="s">
        <v>2264</v>
      </c>
      <c r="AR525" t="s">
        <v>1253</v>
      </c>
      <c r="AS525" t="s">
        <v>1150</v>
      </c>
      <c r="AT525" t="s">
        <v>2118</v>
      </c>
      <c r="AU525">
        <v>25</v>
      </c>
      <c r="AV525">
        <v>34.581483999999989</v>
      </c>
      <c r="AW525">
        <v>0.32816524252272722</v>
      </c>
      <c r="AX525">
        <v>0.94896229011666278</v>
      </c>
      <c r="AY525">
        <v>0.98520808149391026</v>
      </c>
      <c r="AZ525">
        <v>2.5509958601864038</v>
      </c>
      <c r="BA525">
        <v>0.79314669611850996</v>
      </c>
      <c r="BB525" t="s">
        <v>4619</v>
      </c>
      <c r="BD525" s="98"/>
      <c r="BE525" s="98"/>
      <c r="BF525" t="s">
        <v>1152</v>
      </c>
      <c r="BG525" t="s">
        <v>322</v>
      </c>
      <c r="BH525" t="s">
        <v>1153</v>
      </c>
      <c r="BI525">
        <v>0.98520808149391026</v>
      </c>
      <c r="BJ525" t="s">
        <v>991</v>
      </c>
      <c r="BK525">
        <v>-0.81312147354540754</v>
      </c>
      <c r="BL525">
        <v>-46.788276517328015</v>
      </c>
      <c r="BM525" t="s">
        <v>1021</v>
      </c>
      <c r="BN525" t="s">
        <v>1154</v>
      </c>
      <c r="BO525">
        <v>2025</v>
      </c>
      <c r="BP525" t="s">
        <v>966</v>
      </c>
      <c r="BQ525">
        <v>839085.19678976806</v>
      </c>
      <c r="BR525">
        <v>16.091480321023194</v>
      </c>
      <c r="BS525" t="s">
        <v>992</v>
      </c>
      <c r="BV525" t="s">
        <v>1034</v>
      </c>
      <c r="BW525" t="s">
        <v>943</v>
      </c>
      <c r="BX525" t="s">
        <v>994</v>
      </c>
      <c r="BY525">
        <v>0.50929491306926011</v>
      </c>
      <c r="BZ525" t="s">
        <v>1155</v>
      </c>
      <c r="CA525" t="s">
        <v>991</v>
      </c>
      <c r="CB525" t="b">
        <v>1</v>
      </c>
      <c r="CC525" t="b">
        <v>1</v>
      </c>
      <c r="CD525" t="b">
        <v>1</v>
      </c>
      <c r="CE525" t="b">
        <v>1</v>
      </c>
      <c r="CF525" t="b">
        <v>1</v>
      </c>
    </row>
    <row r="526" spans="1:84" x14ac:dyDescent="0.3">
      <c r="A526" t="s">
        <v>2265</v>
      </c>
      <c r="B526" t="s">
        <v>1255</v>
      </c>
      <c r="C526" s="98">
        <v>45831</v>
      </c>
      <c r="D526">
        <v>2025</v>
      </c>
      <c r="E526">
        <v>6</v>
      </c>
      <c r="F526">
        <v>2</v>
      </c>
      <c r="G526" t="s">
        <v>1243</v>
      </c>
      <c r="H526" t="s">
        <v>131</v>
      </c>
      <c r="I526" t="s">
        <v>131</v>
      </c>
      <c r="J526" t="s">
        <v>6</v>
      </c>
      <c r="L526">
        <v>522611</v>
      </c>
      <c r="M526" s="99" t="s">
        <v>180</v>
      </c>
      <c r="N526">
        <v>3</v>
      </c>
      <c r="O526">
        <v>25</v>
      </c>
      <c r="P526">
        <v>34.882800000000003</v>
      </c>
      <c r="Q526" t="s">
        <v>352</v>
      </c>
      <c r="R526">
        <v>1</v>
      </c>
      <c r="S526">
        <v>34.6586</v>
      </c>
      <c r="T526">
        <v>0.36990000000000001</v>
      </c>
      <c r="U526">
        <v>0.60610975939443978</v>
      </c>
      <c r="V526">
        <v>33.548900000000003</v>
      </c>
      <c r="W526">
        <v>33.918799999999997</v>
      </c>
      <c r="X526">
        <v>34.288699999999999</v>
      </c>
      <c r="Y526">
        <v>35.028500000000001</v>
      </c>
      <c r="Z526">
        <v>35.398400000000002</v>
      </c>
      <c r="AA526">
        <v>35.768299999999996</v>
      </c>
      <c r="AD526">
        <v>1.7378743866409962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 t="s">
        <v>462</v>
      </c>
      <c r="AL526" t="s">
        <v>6</v>
      </c>
      <c r="AM526" t="s">
        <v>1145</v>
      </c>
      <c r="AN526" t="s">
        <v>1146</v>
      </c>
      <c r="AO526" s="100">
        <v>46262.040405092594</v>
      </c>
      <c r="AP526" t="s">
        <v>1147</v>
      </c>
      <c r="AQ526" t="s">
        <v>2266</v>
      </c>
      <c r="AR526" t="s">
        <v>1257</v>
      </c>
      <c r="AS526" t="s">
        <v>1150</v>
      </c>
      <c r="AT526" t="s">
        <v>2118</v>
      </c>
      <c r="AU526">
        <v>25</v>
      </c>
      <c r="AV526">
        <v>34.581483999999989</v>
      </c>
      <c r="AW526">
        <v>0.32816524252272722</v>
      </c>
      <c r="AX526">
        <v>0.94896229011666278</v>
      </c>
      <c r="AY526">
        <v>0.98520808149391026</v>
      </c>
      <c r="AZ526">
        <v>2.5509958601864038</v>
      </c>
      <c r="BA526">
        <v>0.79314669611850996</v>
      </c>
      <c r="BB526" t="s">
        <v>4619</v>
      </c>
      <c r="BD526" s="98"/>
      <c r="BE526" s="98"/>
      <c r="BF526" t="s">
        <v>1152</v>
      </c>
      <c r="BG526" t="s">
        <v>322</v>
      </c>
      <c r="BH526" t="s">
        <v>1153</v>
      </c>
      <c r="BI526">
        <v>0.98520808149391026</v>
      </c>
      <c r="BJ526" t="s">
        <v>991</v>
      </c>
      <c r="BK526">
        <v>-0.81312147354540754</v>
      </c>
      <c r="BL526">
        <v>-46.788276517328015</v>
      </c>
      <c r="BM526" t="s">
        <v>1021</v>
      </c>
      <c r="BN526" t="s">
        <v>1154</v>
      </c>
      <c r="BO526">
        <v>2025</v>
      </c>
      <c r="BP526" t="s">
        <v>966</v>
      </c>
      <c r="BQ526">
        <v>839085.19678976806</v>
      </c>
      <c r="BR526">
        <v>16.091480321023194</v>
      </c>
      <c r="BS526" t="s">
        <v>992</v>
      </c>
      <c r="BV526" t="s">
        <v>1034</v>
      </c>
      <c r="BW526" t="s">
        <v>943</v>
      </c>
      <c r="BX526" t="s">
        <v>994</v>
      </c>
      <c r="BY526">
        <v>0.50929491306926011</v>
      </c>
      <c r="BZ526" t="s">
        <v>1155</v>
      </c>
      <c r="CA526" t="s">
        <v>991</v>
      </c>
      <c r="CB526" t="b">
        <v>1</v>
      </c>
      <c r="CC526" t="b">
        <v>1</v>
      </c>
      <c r="CD526" t="b">
        <v>1</v>
      </c>
      <c r="CE526" t="b">
        <v>1</v>
      </c>
      <c r="CF526" t="b">
        <v>1</v>
      </c>
    </row>
    <row r="527" spans="1:84" x14ac:dyDescent="0.3">
      <c r="A527" t="s">
        <v>2267</v>
      </c>
      <c r="B527" t="s">
        <v>1143</v>
      </c>
      <c r="C527" s="98">
        <v>45663</v>
      </c>
      <c r="D527">
        <v>2025</v>
      </c>
      <c r="E527">
        <v>1</v>
      </c>
      <c r="F527">
        <v>1</v>
      </c>
      <c r="G527" t="s">
        <v>1144</v>
      </c>
      <c r="H527" t="s">
        <v>132</v>
      </c>
      <c r="I527" t="s">
        <v>132</v>
      </c>
      <c r="J527" t="s">
        <v>6</v>
      </c>
      <c r="L527">
        <v>522611</v>
      </c>
      <c r="M527" s="99" t="s">
        <v>178</v>
      </c>
      <c r="N527">
        <v>1</v>
      </c>
      <c r="O527">
        <v>1</v>
      </c>
      <c r="P527">
        <v>70.133700000000005</v>
      </c>
      <c r="Q527" t="s">
        <v>352</v>
      </c>
      <c r="R527">
        <v>1</v>
      </c>
      <c r="S527">
        <v>70.620699999999999</v>
      </c>
      <c r="T527">
        <v>4.6859999999999999</v>
      </c>
      <c r="U527">
        <v>-0.10392658984208168</v>
      </c>
      <c r="V527">
        <v>56.5627</v>
      </c>
      <c r="W527">
        <v>61.248699999999999</v>
      </c>
      <c r="X527">
        <v>65.934699999999992</v>
      </c>
      <c r="Y527">
        <v>75.306700000000006</v>
      </c>
      <c r="Z527">
        <v>79.992699999999999</v>
      </c>
      <c r="AA527">
        <v>84.678699999999992</v>
      </c>
      <c r="AD527">
        <v>15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 t="s">
        <v>462</v>
      </c>
      <c r="AL527" t="s">
        <v>6</v>
      </c>
      <c r="AM527" t="s">
        <v>1145</v>
      </c>
      <c r="AN527" t="s">
        <v>1146</v>
      </c>
      <c r="AO527" s="100">
        <v>46262.040405092594</v>
      </c>
      <c r="AP527" t="s">
        <v>1147</v>
      </c>
      <c r="AQ527" t="s">
        <v>2268</v>
      </c>
      <c r="AR527" t="s">
        <v>1149</v>
      </c>
      <c r="AS527" t="s">
        <v>1150</v>
      </c>
      <c r="AT527" t="s">
        <v>2269</v>
      </c>
      <c r="AU527">
        <v>25</v>
      </c>
      <c r="AV527">
        <v>68.461864000000006</v>
      </c>
      <c r="AW527">
        <v>2.7462517045784414</v>
      </c>
      <c r="AX527">
        <v>4.0113598200867582</v>
      </c>
      <c r="AY527">
        <v>4.5203109834689039</v>
      </c>
      <c r="AZ527">
        <v>11.139054686612054</v>
      </c>
      <c r="BA527">
        <v>2.6125028635063807</v>
      </c>
      <c r="BB527" t="s">
        <v>161</v>
      </c>
      <c r="BD527" s="98"/>
      <c r="BE527" s="98"/>
      <c r="BF527" t="s">
        <v>1152</v>
      </c>
      <c r="BG527" t="s">
        <v>322</v>
      </c>
      <c r="BH527" t="s">
        <v>1153</v>
      </c>
      <c r="BI527">
        <v>4.5203109834689039</v>
      </c>
      <c r="BJ527" t="s">
        <v>991</v>
      </c>
      <c r="BK527">
        <v>3.8609453133879459</v>
      </c>
      <c r="BL527">
        <v>25.739635422586307</v>
      </c>
      <c r="BM527" t="s">
        <v>1260</v>
      </c>
      <c r="BN527" t="s">
        <v>1154</v>
      </c>
      <c r="BO527">
        <v>2025</v>
      </c>
      <c r="BP527" t="s">
        <v>966</v>
      </c>
      <c r="BQ527">
        <v>181593.39554012532</v>
      </c>
      <c r="BR527">
        <v>81.840660445987467</v>
      </c>
      <c r="BS527" t="s">
        <v>992</v>
      </c>
      <c r="BV527" t="s">
        <v>1034</v>
      </c>
      <c r="BW527" t="s">
        <v>943</v>
      </c>
      <c r="BX527" t="s">
        <v>994</v>
      </c>
      <c r="BY527">
        <v>2.4093094740258669</v>
      </c>
      <c r="BZ527" t="s">
        <v>2270</v>
      </c>
      <c r="CA527" t="s">
        <v>991</v>
      </c>
      <c r="CB527" t="b">
        <v>1</v>
      </c>
      <c r="CC527" t="b">
        <v>1</v>
      </c>
      <c r="CD527" t="b">
        <v>1</v>
      </c>
      <c r="CE527" t="b">
        <v>1</v>
      </c>
      <c r="CF527" t="b">
        <v>1</v>
      </c>
    </row>
    <row r="528" spans="1:84" x14ac:dyDescent="0.3">
      <c r="A528" t="s">
        <v>2271</v>
      </c>
      <c r="B528" t="s">
        <v>1157</v>
      </c>
      <c r="C528" s="98">
        <v>45670</v>
      </c>
      <c r="D528">
        <v>2025</v>
      </c>
      <c r="E528">
        <v>1</v>
      </c>
      <c r="F528">
        <v>1</v>
      </c>
      <c r="G528" t="s">
        <v>1144</v>
      </c>
      <c r="H528" t="s">
        <v>132</v>
      </c>
      <c r="I528" t="s">
        <v>132</v>
      </c>
      <c r="J528" t="s">
        <v>6</v>
      </c>
      <c r="L528">
        <v>522611</v>
      </c>
      <c r="M528" s="99" t="s">
        <v>178</v>
      </c>
      <c r="N528">
        <v>1</v>
      </c>
      <c r="O528">
        <v>2</v>
      </c>
      <c r="P528">
        <v>71.792199999999994</v>
      </c>
      <c r="Q528" t="s">
        <v>352</v>
      </c>
      <c r="R528">
        <v>1</v>
      </c>
      <c r="S528">
        <v>70.620699999999999</v>
      </c>
      <c r="T528">
        <v>4.6859999999999999</v>
      </c>
      <c r="U528">
        <v>0.24999999999999886</v>
      </c>
      <c r="V528">
        <v>56.5627</v>
      </c>
      <c r="W528">
        <v>61.248699999999999</v>
      </c>
      <c r="X528">
        <v>65.934699999999992</v>
      </c>
      <c r="Y528">
        <v>75.306700000000006</v>
      </c>
      <c r="Z528">
        <v>79.992699999999999</v>
      </c>
      <c r="AA528">
        <v>84.678699999999992</v>
      </c>
      <c r="AD528">
        <v>15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 t="s">
        <v>462</v>
      </c>
      <c r="AL528" t="s">
        <v>6</v>
      </c>
      <c r="AM528" t="s">
        <v>1145</v>
      </c>
      <c r="AN528" t="s">
        <v>1146</v>
      </c>
      <c r="AO528" s="100">
        <v>46262.040405092594</v>
      </c>
      <c r="AP528" t="s">
        <v>1147</v>
      </c>
      <c r="AQ528" t="s">
        <v>2272</v>
      </c>
      <c r="AR528" t="s">
        <v>1159</v>
      </c>
      <c r="AS528" t="s">
        <v>1150</v>
      </c>
      <c r="AT528" t="s">
        <v>2269</v>
      </c>
      <c r="AU528">
        <v>25</v>
      </c>
      <c r="AV528">
        <v>68.461864000000006</v>
      </c>
      <c r="AW528">
        <v>2.7462517045784414</v>
      </c>
      <c r="AX528">
        <v>4.0113598200867582</v>
      </c>
      <c r="AY528">
        <v>4.5203109834689039</v>
      </c>
      <c r="AZ528">
        <v>11.139054686612054</v>
      </c>
      <c r="BA528">
        <v>2.6125028635063807</v>
      </c>
      <c r="BB528" t="s">
        <v>161</v>
      </c>
      <c r="BD528" s="98"/>
      <c r="BE528" s="98"/>
      <c r="BF528" t="s">
        <v>1152</v>
      </c>
      <c r="BG528" t="s">
        <v>322</v>
      </c>
      <c r="BH528" t="s">
        <v>1153</v>
      </c>
      <c r="BI528">
        <v>4.5203109834689039</v>
      </c>
      <c r="BJ528" t="s">
        <v>991</v>
      </c>
      <c r="BK528">
        <v>3.8609453133879459</v>
      </c>
      <c r="BL528">
        <v>25.739635422586307</v>
      </c>
      <c r="BM528" t="s">
        <v>1260</v>
      </c>
      <c r="BN528" t="s">
        <v>1154</v>
      </c>
      <c r="BO528">
        <v>2025</v>
      </c>
      <c r="BP528" t="s">
        <v>966</v>
      </c>
      <c r="BQ528">
        <v>181593.39554012532</v>
      </c>
      <c r="BR528">
        <v>81.840660445987467</v>
      </c>
      <c r="BS528" t="s">
        <v>992</v>
      </c>
      <c r="BV528" t="s">
        <v>1034</v>
      </c>
      <c r="BW528" t="s">
        <v>943</v>
      </c>
      <c r="BX528" t="s">
        <v>994</v>
      </c>
      <c r="BY528">
        <v>2.4093094740258669</v>
      </c>
      <c r="BZ528" t="s">
        <v>2270</v>
      </c>
      <c r="CA528" t="s">
        <v>991</v>
      </c>
      <c r="CB528" t="b">
        <v>1</v>
      </c>
      <c r="CC528" t="b">
        <v>1</v>
      </c>
      <c r="CD528" t="b">
        <v>1</v>
      </c>
      <c r="CE528" t="b">
        <v>1</v>
      </c>
      <c r="CF528" t="b">
        <v>1</v>
      </c>
    </row>
    <row r="529" spans="1:84" x14ac:dyDescent="0.3">
      <c r="A529" t="s">
        <v>2273</v>
      </c>
      <c r="B529" t="s">
        <v>1161</v>
      </c>
      <c r="C529" s="98">
        <v>45677</v>
      </c>
      <c r="D529">
        <v>2025</v>
      </c>
      <c r="E529">
        <v>1</v>
      </c>
      <c r="F529">
        <v>1</v>
      </c>
      <c r="G529" t="s">
        <v>1144</v>
      </c>
      <c r="H529" t="s">
        <v>132</v>
      </c>
      <c r="I529" t="s">
        <v>132</v>
      </c>
      <c r="J529" t="s">
        <v>6</v>
      </c>
      <c r="L529">
        <v>522611</v>
      </c>
      <c r="M529" s="99" t="s">
        <v>178</v>
      </c>
      <c r="N529">
        <v>1</v>
      </c>
      <c r="O529">
        <v>3</v>
      </c>
      <c r="P529">
        <v>69.763400000000004</v>
      </c>
      <c r="Q529" t="s">
        <v>352</v>
      </c>
      <c r="R529">
        <v>1</v>
      </c>
      <c r="S529">
        <v>70.620699999999999</v>
      </c>
      <c r="T529">
        <v>4.6859999999999999</v>
      </c>
      <c r="U529">
        <v>-0.18294921041399809</v>
      </c>
      <c r="V529">
        <v>56.5627</v>
      </c>
      <c r="W529">
        <v>61.248699999999999</v>
      </c>
      <c r="X529">
        <v>65.934699999999992</v>
      </c>
      <c r="Y529">
        <v>75.306700000000006</v>
      </c>
      <c r="Z529">
        <v>79.992699999999999</v>
      </c>
      <c r="AA529">
        <v>84.678699999999992</v>
      </c>
      <c r="AD529">
        <v>15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 t="s">
        <v>462</v>
      </c>
      <c r="AL529" t="s">
        <v>6</v>
      </c>
      <c r="AM529" t="s">
        <v>1145</v>
      </c>
      <c r="AN529" t="s">
        <v>1146</v>
      </c>
      <c r="AO529" s="100">
        <v>46262.040405092594</v>
      </c>
      <c r="AP529" t="s">
        <v>1147</v>
      </c>
      <c r="AQ529" t="s">
        <v>2274</v>
      </c>
      <c r="AR529" t="s">
        <v>1163</v>
      </c>
      <c r="AS529" t="s">
        <v>1150</v>
      </c>
      <c r="AT529" t="s">
        <v>2269</v>
      </c>
      <c r="AU529">
        <v>25</v>
      </c>
      <c r="AV529">
        <v>68.461864000000006</v>
      </c>
      <c r="AW529">
        <v>2.7462517045784414</v>
      </c>
      <c r="AX529">
        <v>4.0113598200867582</v>
      </c>
      <c r="AY529">
        <v>4.5203109834689039</v>
      </c>
      <c r="AZ529">
        <v>11.139054686612054</v>
      </c>
      <c r="BA529">
        <v>2.6125028635063807</v>
      </c>
      <c r="BB529" t="s">
        <v>161</v>
      </c>
      <c r="BD529" s="98"/>
      <c r="BE529" s="98"/>
      <c r="BF529" t="s">
        <v>1152</v>
      </c>
      <c r="BG529" t="s">
        <v>322</v>
      </c>
      <c r="BH529" t="s">
        <v>1153</v>
      </c>
      <c r="BI529">
        <v>4.5203109834689039</v>
      </c>
      <c r="BJ529" t="s">
        <v>991</v>
      </c>
      <c r="BK529">
        <v>3.8609453133879459</v>
      </c>
      <c r="BL529">
        <v>25.739635422586307</v>
      </c>
      <c r="BM529" t="s">
        <v>1260</v>
      </c>
      <c r="BN529" t="s">
        <v>1154</v>
      </c>
      <c r="BO529">
        <v>2025</v>
      </c>
      <c r="BP529" t="s">
        <v>966</v>
      </c>
      <c r="BQ529">
        <v>181593.39554012532</v>
      </c>
      <c r="BR529">
        <v>81.840660445987467</v>
      </c>
      <c r="BS529" t="s">
        <v>992</v>
      </c>
      <c r="BV529" t="s">
        <v>1034</v>
      </c>
      <c r="BW529" t="s">
        <v>943</v>
      </c>
      <c r="BX529" t="s">
        <v>994</v>
      </c>
      <c r="BY529">
        <v>2.4093094740258669</v>
      </c>
      <c r="BZ529" t="s">
        <v>2270</v>
      </c>
      <c r="CA529" t="s">
        <v>991</v>
      </c>
      <c r="CB529" t="b">
        <v>1</v>
      </c>
      <c r="CC529" t="b">
        <v>1</v>
      </c>
      <c r="CD529" t="b">
        <v>1</v>
      </c>
      <c r="CE529" t="b">
        <v>1</v>
      </c>
      <c r="CF529" t="b">
        <v>1</v>
      </c>
    </row>
    <row r="530" spans="1:84" x14ac:dyDescent="0.3">
      <c r="A530" t="s">
        <v>2275</v>
      </c>
      <c r="B530" t="s">
        <v>1165</v>
      </c>
      <c r="C530" s="98">
        <v>45684</v>
      </c>
      <c r="D530">
        <v>2025</v>
      </c>
      <c r="E530">
        <v>1</v>
      </c>
      <c r="F530">
        <v>1</v>
      </c>
      <c r="G530" t="s">
        <v>1144</v>
      </c>
      <c r="H530" t="s">
        <v>132</v>
      </c>
      <c r="I530" t="s">
        <v>132</v>
      </c>
      <c r="J530" t="s">
        <v>6</v>
      </c>
      <c r="L530">
        <v>522611</v>
      </c>
      <c r="M530" s="99" t="s">
        <v>178</v>
      </c>
      <c r="N530">
        <v>1</v>
      </c>
      <c r="O530">
        <v>4</v>
      </c>
      <c r="P530">
        <v>67.212800000000001</v>
      </c>
      <c r="Q530" t="s">
        <v>352</v>
      </c>
      <c r="R530">
        <v>1</v>
      </c>
      <c r="S530">
        <v>70.620699999999999</v>
      </c>
      <c r="T530">
        <v>4.6859999999999999</v>
      </c>
      <c r="U530">
        <v>-0.7272513871105416</v>
      </c>
      <c r="V530">
        <v>56.5627</v>
      </c>
      <c r="W530">
        <v>61.248699999999999</v>
      </c>
      <c r="X530">
        <v>65.934699999999992</v>
      </c>
      <c r="Y530">
        <v>75.306700000000006</v>
      </c>
      <c r="Z530">
        <v>79.992699999999999</v>
      </c>
      <c r="AA530">
        <v>84.678699999999992</v>
      </c>
      <c r="AD530">
        <v>15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 t="s">
        <v>462</v>
      </c>
      <c r="AL530" t="s">
        <v>6</v>
      </c>
      <c r="AM530" t="s">
        <v>1145</v>
      </c>
      <c r="AN530" t="s">
        <v>1146</v>
      </c>
      <c r="AO530" s="100">
        <v>46262.040405092594</v>
      </c>
      <c r="AP530" t="s">
        <v>1147</v>
      </c>
      <c r="AQ530" t="s">
        <v>2276</v>
      </c>
      <c r="AR530" t="s">
        <v>1167</v>
      </c>
      <c r="AS530" t="s">
        <v>1150</v>
      </c>
      <c r="AT530" t="s">
        <v>2269</v>
      </c>
      <c r="AU530">
        <v>25</v>
      </c>
      <c r="AV530">
        <v>68.461864000000006</v>
      </c>
      <c r="AW530">
        <v>2.7462517045784414</v>
      </c>
      <c r="AX530">
        <v>4.0113598200867582</v>
      </c>
      <c r="AY530">
        <v>4.5203109834689039</v>
      </c>
      <c r="AZ530">
        <v>11.139054686612054</v>
      </c>
      <c r="BA530">
        <v>2.6125028635063807</v>
      </c>
      <c r="BB530" t="s">
        <v>161</v>
      </c>
      <c r="BD530" s="98"/>
      <c r="BE530" s="98"/>
      <c r="BF530" t="s">
        <v>1152</v>
      </c>
      <c r="BG530" t="s">
        <v>322</v>
      </c>
      <c r="BH530" t="s">
        <v>1153</v>
      </c>
      <c r="BI530">
        <v>4.5203109834689039</v>
      </c>
      <c r="BJ530" t="s">
        <v>991</v>
      </c>
      <c r="BK530">
        <v>3.8609453133879459</v>
      </c>
      <c r="BL530">
        <v>25.739635422586307</v>
      </c>
      <c r="BM530" t="s">
        <v>1260</v>
      </c>
      <c r="BN530" t="s">
        <v>1154</v>
      </c>
      <c r="BO530">
        <v>2025</v>
      </c>
      <c r="BP530" t="s">
        <v>966</v>
      </c>
      <c r="BQ530">
        <v>181593.39554012532</v>
      </c>
      <c r="BR530">
        <v>81.840660445987467</v>
      </c>
      <c r="BS530" t="s">
        <v>992</v>
      </c>
      <c r="BV530" t="s">
        <v>1034</v>
      </c>
      <c r="BW530" t="s">
        <v>943</v>
      </c>
      <c r="BX530" t="s">
        <v>994</v>
      </c>
      <c r="BY530">
        <v>2.4093094740258669</v>
      </c>
      <c r="BZ530" t="s">
        <v>2270</v>
      </c>
      <c r="CA530" t="s">
        <v>991</v>
      </c>
      <c r="CB530" t="b">
        <v>1</v>
      </c>
      <c r="CC530" t="b">
        <v>1</v>
      </c>
      <c r="CD530" t="b">
        <v>1</v>
      </c>
      <c r="CE530" t="b">
        <v>1</v>
      </c>
      <c r="CF530" t="b">
        <v>1</v>
      </c>
    </row>
    <row r="531" spans="1:84" x14ac:dyDescent="0.3">
      <c r="A531" t="s">
        <v>2277</v>
      </c>
      <c r="B531" t="s">
        <v>1169</v>
      </c>
      <c r="C531" s="98">
        <v>45691</v>
      </c>
      <c r="D531">
        <v>2025</v>
      </c>
      <c r="E531">
        <v>2</v>
      </c>
      <c r="F531">
        <v>1</v>
      </c>
      <c r="G531" t="s">
        <v>1170</v>
      </c>
      <c r="H531" t="s">
        <v>132</v>
      </c>
      <c r="I531" t="s">
        <v>132</v>
      </c>
      <c r="J531" t="s">
        <v>6</v>
      </c>
      <c r="L531">
        <v>522611</v>
      </c>
      <c r="M531" s="99" t="s">
        <v>178</v>
      </c>
      <c r="N531">
        <v>1</v>
      </c>
      <c r="O531">
        <v>5</v>
      </c>
      <c r="P531">
        <v>66.178600000000003</v>
      </c>
      <c r="Q531" t="s">
        <v>352</v>
      </c>
      <c r="R531">
        <v>1</v>
      </c>
      <c r="S531">
        <v>70.620699999999999</v>
      </c>
      <c r="T531">
        <v>4.6859999999999999</v>
      </c>
      <c r="U531">
        <v>-0.94795134443021689</v>
      </c>
      <c r="V531">
        <v>56.5627</v>
      </c>
      <c r="W531">
        <v>61.248699999999999</v>
      </c>
      <c r="X531">
        <v>65.934699999999992</v>
      </c>
      <c r="Y531">
        <v>75.306700000000006</v>
      </c>
      <c r="Z531">
        <v>79.992699999999999</v>
      </c>
      <c r="AA531">
        <v>84.678699999999992</v>
      </c>
      <c r="AD531">
        <v>15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 t="s">
        <v>462</v>
      </c>
      <c r="AL531" t="s">
        <v>6</v>
      </c>
      <c r="AM531" t="s">
        <v>1145</v>
      </c>
      <c r="AN531" t="s">
        <v>1146</v>
      </c>
      <c r="AO531" s="100">
        <v>46262.040405092594</v>
      </c>
      <c r="AP531" t="s">
        <v>1147</v>
      </c>
      <c r="AQ531" t="s">
        <v>2278</v>
      </c>
      <c r="AR531" t="s">
        <v>1172</v>
      </c>
      <c r="AS531" t="s">
        <v>1150</v>
      </c>
      <c r="AT531" t="s">
        <v>2269</v>
      </c>
      <c r="AU531">
        <v>25</v>
      </c>
      <c r="AV531">
        <v>68.461864000000006</v>
      </c>
      <c r="AW531">
        <v>2.7462517045784414</v>
      </c>
      <c r="AX531">
        <v>4.0113598200867582</v>
      </c>
      <c r="AY531">
        <v>4.5203109834689039</v>
      </c>
      <c r="AZ531">
        <v>11.139054686612054</v>
      </c>
      <c r="BA531">
        <v>2.6125028635063807</v>
      </c>
      <c r="BB531" t="s">
        <v>161</v>
      </c>
      <c r="BD531" s="98"/>
      <c r="BE531" s="98"/>
      <c r="BF531" t="s">
        <v>1152</v>
      </c>
      <c r="BG531" t="s">
        <v>322</v>
      </c>
      <c r="BH531" t="s">
        <v>1153</v>
      </c>
      <c r="BI531">
        <v>4.5203109834689039</v>
      </c>
      <c r="BJ531" t="s">
        <v>991</v>
      </c>
      <c r="BK531">
        <v>3.8609453133879459</v>
      </c>
      <c r="BL531">
        <v>25.739635422586307</v>
      </c>
      <c r="BM531" t="s">
        <v>1260</v>
      </c>
      <c r="BN531" t="s">
        <v>1154</v>
      </c>
      <c r="BO531">
        <v>2025</v>
      </c>
      <c r="BP531" t="s">
        <v>966</v>
      </c>
      <c r="BQ531">
        <v>181593.39554012532</v>
      </c>
      <c r="BR531">
        <v>81.840660445987467</v>
      </c>
      <c r="BS531" t="s">
        <v>992</v>
      </c>
      <c r="BV531" t="s">
        <v>1034</v>
      </c>
      <c r="BW531" t="s">
        <v>943</v>
      </c>
      <c r="BX531" t="s">
        <v>994</v>
      </c>
      <c r="BY531">
        <v>2.4093094740258669</v>
      </c>
      <c r="BZ531" t="s">
        <v>2270</v>
      </c>
      <c r="CA531" t="s">
        <v>991</v>
      </c>
      <c r="CB531" t="b">
        <v>1</v>
      </c>
      <c r="CC531" t="b">
        <v>1</v>
      </c>
      <c r="CD531" t="b">
        <v>1</v>
      </c>
      <c r="CE531" t="b">
        <v>1</v>
      </c>
      <c r="CF531" t="b">
        <v>1</v>
      </c>
    </row>
    <row r="532" spans="1:84" x14ac:dyDescent="0.3">
      <c r="A532" t="s">
        <v>2279</v>
      </c>
      <c r="B532" t="s">
        <v>1174</v>
      </c>
      <c r="C532" s="98">
        <v>45698</v>
      </c>
      <c r="D532">
        <v>2025</v>
      </c>
      <c r="E532">
        <v>2</v>
      </c>
      <c r="F532">
        <v>1</v>
      </c>
      <c r="G532" t="s">
        <v>1170</v>
      </c>
      <c r="H532" t="s">
        <v>132</v>
      </c>
      <c r="I532" t="s">
        <v>132</v>
      </c>
      <c r="J532" t="s">
        <v>6</v>
      </c>
      <c r="L532">
        <v>522611</v>
      </c>
      <c r="M532" s="99" t="s">
        <v>178</v>
      </c>
      <c r="N532">
        <v>1</v>
      </c>
      <c r="O532">
        <v>6</v>
      </c>
      <c r="P532">
        <v>69.508799999999994</v>
      </c>
      <c r="Q532" t="s">
        <v>352</v>
      </c>
      <c r="R532">
        <v>1</v>
      </c>
      <c r="S532">
        <v>70.620699999999999</v>
      </c>
      <c r="T532">
        <v>4.6859999999999999</v>
      </c>
      <c r="U532">
        <v>-0.23728126333760258</v>
      </c>
      <c r="V532">
        <v>56.5627</v>
      </c>
      <c r="W532">
        <v>61.248699999999999</v>
      </c>
      <c r="X532">
        <v>65.934699999999992</v>
      </c>
      <c r="Y532">
        <v>75.306700000000006</v>
      </c>
      <c r="Z532">
        <v>79.992699999999999</v>
      </c>
      <c r="AA532">
        <v>84.678699999999992</v>
      </c>
      <c r="AD532">
        <v>15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 t="s">
        <v>462</v>
      </c>
      <c r="AL532" t="s">
        <v>6</v>
      </c>
      <c r="AM532" t="s">
        <v>1145</v>
      </c>
      <c r="AN532" t="s">
        <v>1146</v>
      </c>
      <c r="AO532" s="100">
        <v>46262.040405092594</v>
      </c>
      <c r="AP532" t="s">
        <v>1147</v>
      </c>
      <c r="AQ532" t="s">
        <v>2280</v>
      </c>
      <c r="AR532" t="s">
        <v>1176</v>
      </c>
      <c r="AS532" t="s">
        <v>1150</v>
      </c>
      <c r="AT532" t="s">
        <v>2269</v>
      </c>
      <c r="AU532">
        <v>25</v>
      </c>
      <c r="AV532">
        <v>68.461864000000006</v>
      </c>
      <c r="AW532">
        <v>2.7462517045784414</v>
      </c>
      <c r="AX532">
        <v>4.0113598200867582</v>
      </c>
      <c r="AY532">
        <v>4.5203109834689039</v>
      </c>
      <c r="AZ532">
        <v>11.139054686612054</v>
      </c>
      <c r="BA532">
        <v>2.6125028635063807</v>
      </c>
      <c r="BB532" t="s">
        <v>161</v>
      </c>
      <c r="BD532" s="98"/>
      <c r="BE532" s="98"/>
      <c r="BF532" t="s">
        <v>1152</v>
      </c>
      <c r="BG532" t="s">
        <v>322</v>
      </c>
      <c r="BH532" t="s">
        <v>1153</v>
      </c>
      <c r="BI532">
        <v>4.5203109834689039</v>
      </c>
      <c r="BJ532" t="s">
        <v>991</v>
      </c>
      <c r="BK532">
        <v>3.8609453133879459</v>
      </c>
      <c r="BL532">
        <v>25.739635422586307</v>
      </c>
      <c r="BM532" t="s">
        <v>1260</v>
      </c>
      <c r="BN532" t="s">
        <v>1154</v>
      </c>
      <c r="BO532">
        <v>2025</v>
      </c>
      <c r="BP532" t="s">
        <v>966</v>
      </c>
      <c r="BQ532">
        <v>181593.39554012532</v>
      </c>
      <c r="BR532">
        <v>81.840660445987467</v>
      </c>
      <c r="BS532" t="s">
        <v>992</v>
      </c>
      <c r="BV532" t="s">
        <v>1034</v>
      </c>
      <c r="BW532" t="s">
        <v>943</v>
      </c>
      <c r="BX532" t="s">
        <v>994</v>
      </c>
      <c r="BY532">
        <v>2.4093094740258669</v>
      </c>
      <c r="BZ532" t="s">
        <v>2270</v>
      </c>
      <c r="CA532" t="s">
        <v>991</v>
      </c>
      <c r="CB532" t="b">
        <v>1</v>
      </c>
      <c r="CC532" t="b">
        <v>1</v>
      </c>
      <c r="CD532" t="b">
        <v>1</v>
      </c>
      <c r="CE532" t="b">
        <v>1</v>
      </c>
      <c r="CF532" t="b">
        <v>1</v>
      </c>
    </row>
    <row r="533" spans="1:84" x14ac:dyDescent="0.3">
      <c r="A533" t="s">
        <v>2281</v>
      </c>
      <c r="B533" t="s">
        <v>1178</v>
      </c>
      <c r="C533" s="98">
        <v>45705</v>
      </c>
      <c r="D533">
        <v>2025</v>
      </c>
      <c r="E533">
        <v>2</v>
      </c>
      <c r="F533">
        <v>1</v>
      </c>
      <c r="G533" t="s">
        <v>1170</v>
      </c>
      <c r="H533" t="s">
        <v>132</v>
      </c>
      <c r="I533" t="s">
        <v>132</v>
      </c>
      <c r="J533" t="s">
        <v>6</v>
      </c>
      <c r="L533">
        <v>522611</v>
      </c>
      <c r="M533" s="99" t="s">
        <v>178</v>
      </c>
      <c r="N533">
        <v>1</v>
      </c>
      <c r="O533">
        <v>7</v>
      </c>
      <c r="P533">
        <v>68.049199999999999</v>
      </c>
      <c r="Q533" t="s">
        <v>352</v>
      </c>
      <c r="R533">
        <v>1</v>
      </c>
      <c r="S533">
        <v>70.620699999999999</v>
      </c>
      <c r="T533">
        <v>4.6859999999999999</v>
      </c>
      <c r="U533">
        <v>-0.54876227059325655</v>
      </c>
      <c r="V533">
        <v>56.5627</v>
      </c>
      <c r="W533">
        <v>61.248699999999999</v>
      </c>
      <c r="X533">
        <v>65.934699999999992</v>
      </c>
      <c r="Y533">
        <v>75.306700000000006</v>
      </c>
      <c r="Z533">
        <v>79.992699999999999</v>
      </c>
      <c r="AA533">
        <v>84.678699999999992</v>
      </c>
      <c r="AD533">
        <v>15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 t="s">
        <v>462</v>
      </c>
      <c r="AL533" t="s">
        <v>6</v>
      </c>
      <c r="AM533" t="s">
        <v>1145</v>
      </c>
      <c r="AN533" t="s">
        <v>1146</v>
      </c>
      <c r="AO533" s="100">
        <v>46262.040405092594</v>
      </c>
      <c r="AP533" t="s">
        <v>1147</v>
      </c>
      <c r="AQ533" t="s">
        <v>2282</v>
      </c>
      <c r="AR533" t="s">
        <v>1180</v>
      </c>
      <c r="AS533" t="s">
        <v>1150</v>
      </c>
      <c r="AT533" t="s">
        <v>2269</v>
      </c>
      <c r="AU533">
        <v>25</v>
      </c>
      <c r="AV533">
        <v>68.461864000000006</v>
      </c>
      <c r="AW533">
        <v>2.7462517045784414</v>
      </c>
      <c r="AX533">
        <v>4.0113598200867582</v>
      </c>
      <c r="AY533">
        <v>4.5203109834689039</v>
      </c>
      <c r="AZ533">
        <v>11.139054686612054</v>
      </c>
      <c r="BA533">
        <v>2.6125028635063807</v>
      </c>
      <c r="BB533" t="s">
        <v>161</v>
      </c>
      <c r="BD533" s="98"/>
      <c r="BE533" s="98"/>
      <c r="BF533" t="s">
        <v>1152</v>
      </c>
      <c r="BG533" t="s">
        <v>322</v>
      </c>
      <c r="BH533" t="s">
        <v>1153</v>
      </c>
      <c r="BI533">
        <v>4.5203109834689039</v>
      </c>
      <c r="BJ533" t="s">
        <v>991</v>
      </c>
      <c r="BK533">
        <v>3.8609453133879459</v>
      </c>
      <c r="BL533">
        <v>25.739635422586307</v>
      </c>
      <c r="BM533" t="s">
        <v>1260</v>
      </c>
      <c r="BN533" t="s">
        <v>1154</v>
      </c>
      <c r="BO533">
        <v>2025</v>
      </c>
      <c r="BP533" t="s">
        <v>966</v>
      </c>
      <c r="BQ533">
        <v>181593.39554012532</v>
      </c>
      <c r="BR533">
        <v>81.840660445987467</v>
      </c>
      <c r="BS533" t="s">
        <v>992</v>
      </c>
      <c r="BV533" t="s">
        <v>1034</v>
      </c>
      <c r="BW533" t="s">
        <v>943</v>
      </c>
      <c r="BX533" t="s">
        <v>994</v>
      </c>
      <c r="BY533">
        <v>2.4093094740258669</v>
      </c>
      <c r="BZ533" t="s">
        <v>2270</v>
      </c>
      <c r="CA533" t="s">
        <v>991</v>
      </c>
      <c r="CB533" t="b">
        <v>1</v>
      </c>
      <c r="CC533" t="b">
        <v>1</v>
      </c>
      <c r="CD533" t="b">
        <v>1</v>
      </c>
      <c r="CE533" t="b">
        <v>1</v>
      </c>
      <c r="CF533" t="b">
        <v>1</v>
      </c>
    </row>
    <row r="534" spans="1:84" x14ac:dyDescent="0.3">
      <c r="A534" t="s">
        <v>2283</v>
      </c>
      <c r="B534" t="s">
        <v>1182</v>
      </c>
      <c r="C534" s="98">
        <v>45712</v>
      </c>
      <c r="D534">
        <v>2025</v>
      </c>
      <c r="E534">
        <v>2</v>
      </c>
      <c r="F534">
        <v>1</v>
      </c>
      <c r="G534" t="s">
        <v>1170</v>
      </c>
      <c r="H534" t="s">
        <v>132</v>
      </c>
      <c r="I534" t="s">
        <v>132</v>
      </c>
      <c r="J534" t="s">
        <v>6</v>
      </c>
      <c r="L534">
        <v>522611</v>
      </c>
      <c r="M534" s="99" t="s">
        <v>178</v>
      </c>
      <c r="N534">
        <v>1</v>
      </c>
      <c r="O534">
        <v>8</v>
      </c>
      <c r="P534">
        <v>71.716700000000003</v>
      </c>
      <c r="Q534" t="s">
        <v>352</v>
      </c>
      <c r="R534">
        <v>1</v>
      </c>
      <c r="S534">
        <v>70.620699999999999</v>
      </c>
      <c r="T534">
        <v>4.6859999999999999</v>
      </c>
      <c r="U534">
        <v>0.23388817755015015</v>
      </c>
      <c r="V534">
        <v>56.5627</v>
      </c>
      <c r="W534">
        <v>61.248699999999999</v>
      </c>
      <c r="X534">
        <v>65.934699999999992</v>
      </c>
      <c r="Y534">
        <v>75.306700000000006</v>
      </c>
      <c r="Z534">
        <v>79.992699999999999</v>
      </c>
      <c r="AA534">
        <v>84.678699999999992</v>
      </c>
      <c r="AD534">
        <v>15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 t="s">
        <v>462</v>
      </c>
      <c r="AL534" t="s">
        <v>6</v>
      </c>
      <c r="AM534" t="s">
        <v>1145</v>
      </c>
      <c r="AN534" t="s">
        <v>1146</v>
      </c>
      <c r="AO534" s="100">
        <v>46262.040405092594</v>
      </c>
      <c r="AP534" t="s">
        <v>1147</v>
      </c>
      <c r="AQ534" t="s">
        <v>2284</v>
      </c>
      <c r="AR534" t="s">
        <v>1184</v>
      </c>
      <c r="AS534" t="s">
        <v>1150</v>
      </c>
      <c r="AT534" t="s">
        <v>2269</v>
      </c>
      <c r="AU534">
        <v>25</v>
      </c>
      <c r="AV534">
        <v>68.461864000000006</v>
      </c>
      <c r="AW534">
        <v>2.7462517045784414</v>
      </c>
      <c r="AX534">
        <v>4.0113598200867582</v>
      </c>
      <c r="AY534">
        <v>4.5203109834689039</v>
      </c>
      <c r="AZ534">
        <v>11.139054686612054</v>
      </c>
      <c r="BA534">
        <v>2.6125028635063807</v>
      </c>
      <c r="BB534" t="s">
        <v>161</v>
      </c>
      <c r="BD534" s="98"/>
      <c r="BE534" s="98"/>
      <c r="BF534" t="s">
        <v>1152</v>
      </c>
      <c r="BG534" t="s">
        <v>322</v>
      </c>
      <c r="BH534" t="s">
        <v>1153</v>
      </c>
      <c r="BI534">
        <v>4.5203109834689039</v>
      </c>
      <c r="BJ534" t="s">
        <v>991</v>
      </c>
      <c r="BK534">
        <v>3.8609453133879459</v>
      </c>
      <c r="BL534">
        <v>25.739635422586307</v>
      </c>
      <c r="BM534" t="s">
        <v>1260</v>
      </c>
      <c r="BN534" t="s">
        <v>1154</v>
      </c>
      <c r="BO534">
        <v>2025</v>
      </c>
      <c r="BP534" t="s">
        <v>966</v>
      </c>
      <c r="BQ534">
        <v>181593.39554012532</v>
      </c>
      <c r="BR534">
        <v>81.840660445987467</v>
      </c>
      <c r="BS534" t="s">
        <v>992</v>
      </c>
      <c r="BV534" t="s">
        <v>1034</v>
      </c>
      <c r="BW534" t="s">
        <v>943</v>
      </c>
      <c r="BX534" t="s">
        <v>994</v>
      </c>
      <c r="BY534">
        <v>2.4093094740258669</v>
      </c>
      <c r="BZ534" t="s">
        <v>2270</v>
      </c>
      <c r="CA534" t="s">
        <v>991</v>
      </c>
      <c r="CB534" t="b">
        <v>1</v>
      </c>
      <c r="CC534" t="b">
        <v>1</v>
      </c>
      <c r="CD534" t="b">
        <v>1</v>
      </c>
      <c r="CE534" t="b">
        <v>1</v>
      </c>
      <c r="CF534" t="b">
        <v>1</v>
      </c>
    </row>
    <row r="535" spans="1:84" x14ac:dyDescent="0.3">
      <c r="A535" t="s">
        <v>2285</v>
      </c>
      <c r="B535" t="s">
        <v>1186</v>
      </c>
      <c r="C535" s="98">
        <v>45719</v>
      </c>
      <c r="D535">
        <v>2025</v>
      </c>
      <c r="E535">
        <v>3</v>
      </c>
      <c r="F535">
        <v>1</v>
      </c>
      <c r="G535" t="s">
        <v>1187</v>
      </c>
      <c r="H535" t="s">
        <v>132</v>
      </c>
      <c r="I535" t="s">
        <v>132</v>
      </c>
      <c r="J535" t="s">
        <v>6</v>
      </c>
      <c r="L535">
        <v>522611</v>
      </c>
      <c r="M535" s="99" t="s">
        <v>178</v>
      </c>
      <c r="N535">
        <v>1</v>
      </c>
      <c r="O535">
        <v>9</v>
      </c>
      <c r="P535">
        <v>70.599900000000005</v>
      </c>
      <c r="Q535" t="s">
        <v>352</v>
      </c>
      <c r="R535">
        <v>1</v>
      </c>
      <c r="S535">
        <v>70.620699999999999</v>
      </c>
      <c r="T535">
        <v>4.6859999999999999</v>
      </c>
      <c r="U535">
        <v>-4.4387537345271354E-3</v>
      </c>
      <c r="V535">
        <v>56.5627</v>
      </c>
      <c r="W535">
        <v>61.248699999999999</v>
      </c>
      <c r="X535">
        <v>65.934699999999992</v>
      </c>
      <c r="Y535">
        <v>75.306700000000006</v>
      </c>
      <c r="Z535">
        <v>79.992699999999999</v>
      </c>
      <c r="AA535">
        <v>84.678699999999992</v>
      </c>
      <c r="AD535">
        <v>15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 t="s">
        <v>462</v>
      </c>
      <c r="AL535" t="s">
        <v>6</v>
      </c>
      <c r="AM535" t="s">
        <v>1145</v>
      </c>
      <c r="AN535" t="s">
        <v>1146</v>
      </c>
      <c r="AO535" s="100">
        <v>46262.040405092594</v>
      </c>
      <c r="AP535" t="s">
        <v>1147</v>
      </c>
      <c r="AQ535" t="s">
        <v>2286</v>
      </c>
      <c r="AR535" t="s">
        <v>1189</v>
      </c>
      <c r="AS535" t="s">
        <v>1150</v>
      </c>
      <c r="AT535" t="s">
        <v>2269</v>
      </c>
      <c r="AU535">
        <v>25</v>
      </c>
      <c r="AV535">
        <v>68.461864000000006</v>
      </c>
      <c r="AW535">
        <v>2.7462517045784414</v>
      </c>
      <c r="AX535">
        <v>4.0113598200867582</v>
      </c>
      <c r="AY535">
        <v>4.5203109834689039</v>
      </c>
      <c r="AZ535">
        <v>11.139054686612054</v>
      </c>
      <c r="BA535">
        <v>2.6125028635063807</v>
      </c>
      <c r="BB535" t="s">
        <v>161</v>
      </c>
      <c r="BD535" s="98"/>
      <c r="BE535" s="98"/>
      <c r="BF535" t="s">
        <v>1152</v>
      </c>
      <c r="BG535" t="s">
        <v>322</v>
      </c>
      <c r="BH535" t="s">
        <v>1153</v>
      </c>
      <c r="BI535">
        <v>4.5203109834689039</v>
      </c>
      <c r="BJ535" t="s">
        <v>991</v>
      </c>
      <c r="BK535">
        <v>3.8609453133879459</v>
      </c>
      <c r="BL535">
        <v>25.739635422586307</v>
      </c>
      <c r="BM535" t="s">
        <v>1260</v>
      </c>
      <c r="BN535" t="s">
        <v>1154</v>
      </c>
      <c r="BO535">
        <v>2025</v>
      </c>
      <c r="BP535" t="s">
        <v>966</v>
      </c>
      <c r="BQ535">
        <v>181593.39554012532</v>
      </c>
      <c r="BR535">
        <v>81.840660445987467</v>
      </c>
      <c r="BS535" t="s">
        <v>992</v>
      </c>
      <c r="BV535" t="s">
        <v>1034</v>
      </c>
      <c r="BW535" t="s">
        <v>943</v>
      </c>
      <c r="BX535" t="s">
        <v>994</v>
      </c>
      <c r="BY535">
        <v>2.4093094740258669</v>
      </c>
      <c r="BZ535" t="s">
        <v>2270</v>
      </c>
      <c r="CA535" t="s">
        <v>991</v>
      </c>
      <c r="CB535" t="b">
        <v>1</v>
      </c>
      <c r="CC535" t="b">
        <v>1</v>
      </c>
      <c r="CD535" t="b">
        <v>1</v>
      </c>
      <c r="CE535" t="b">
        <v>1</v>
      </c>
      <c r="CF535" t="b">
        <v>1</v>
      </c>
    </row>
    <row r="536" spans="1:84" x14ac:dyDescent="0.3">
      <c r="A536" t="s">
        <v>2287</v>
      </c>
      <c r="B536" t="s">
        <v>1191</v>
      </c>
      <c r="C536" s="98">
        <v>45726</v>
      </c>
      <c r="D536">
        <v>2025</v>
      </c>
      <c r="E536">
        <v>3</v>
      </c>
      <c r="F536">
        <v>1</v>
      </c>
      <c r="G536" t="s">
        <v>1187</v>
      </c>
      <c r="H536" t="s">
        <v>132</v>
      </c>
      <c r="I536" t="s">
        <v>132</v>
      </c>
      <c r="J536" t="s">
        <v>6</v>
      </c>
      <c r="L536">
        <v>522611</v>
      </c>
      <c r="M536" s="99" t="s">
        <v>178</v>
      </c>
      <c r="N536">
        <v>1</v>
      </c>
      <c r="O536">
        <v>10</v>
      </c>
      <c r="P536">
        <v>64.236999999999995</v>
      </c>
      <c r="Q536" t="s">
        <v>352</v>
      </c>
      <c r="R536">
        <v>1</v>
      </c>
      <c r="S536">
        <v>70.620699999999999</v>
      </c>
      <c r="T536">
        <v>4.6859999999999999</v>
      </c>
      <c r="U536">
        <v>-1.3622919334186949</v>
      </c>
      <c r="V536">
        <v>56.5627</v>
      </c>
      <c r="W536">
        <v>61.248699999999999</v>
      </c>
      <c r="X536">
        <v>65.934699999999992</v>
      </c>
      <c r="Y536">
        <v>75.306700000000006</v>
      </c>
      <c r="Z536">
        <v>79.992699999999999</v>
      </c>
      <c r="AA536">
        <v>84.678699999999992</v>
      </c>
      <c r="AD536">
        <v>15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 t="s">
        <v>462</v>
      </c>
      <c r="AL536" t="s">
        <v>6</v>
      </c>
      <c r="AM536" t="s">
        <v>1145</v>
      </c>
      <c r="AN536" t="s">
        <v>1146</v>
      </c>
      <c r="AO536" s="100">
        <v>46262.040405092594</v>
      </c>
      <c r="AP536" t="s">
        <v>1147</v>
      </c>
      <c r="AQ536" t="s">
        <v>2288</v>
      </c>
      <c r="AR536" t="s">
        <v>1193</v>
      </c>
      <c r="AS536" t="s">
        <v>1150</v>
      </c>
      <c r="AT536" t="s">
        <v>2269</v>
      </c>
      <c r="AU536">
        <v>25</v>
      </c>
      <c r="AV536">
        <v>68.461864000000006</v>
      </c>
      <c r="AW536">
        <v>2.7462517045784414</v>
      </c>
      <c r="AX536">
        <v>4.0113598200867582</v>
      </c>
      <c r="AY536">
        <v>4.5203109834689039</v>
      </c>
      <c r="AZ536">
        <v>11.139054686612054</v>
      </c>
      <c r="BA536">
        <v>2.6125028635063807</v>
      </c>
      <c r="BB536" t="s">
        <v>161</v>
      </c>
      <c r="BD536" s="98"/>
      <c r="BE536" s="98"/>
      <c r="BF536" t="s">
        <v>1152</v>
      </c>
      <c r="BG536" t="s">
        <v>322</v>
      </c>
      <c r="BH536" t="s">
        <v>1153</v>
      </c>
      <c r="BI536">
        <v>4.5203109834689039</v>
      </c>
      <c r="BJ536" t="s">
        <v>991</v>
      </c>
      <c r="BK536">
        <v>3.8609453133879459</v>
      </c>
      <c r="BL536">
        <v>25.739635422586307</v>
      </c>
      <c r="BM536" t="s">
        <v>1260</v>
      </c>
      <c r="BN536" t="s">
        <v>1154</v>
      </c>
      <c r="BO536">
        <v>2025</v>
      </c>
      <c r="BP536" t="s">
        <v>966</v>
      </c>
      <c r="BQ536">
        <v>181593.39554012532</v>
      </c>
      <c r="BR536">
        <v>81.840660445987467</v>
      </c>
      <c r="BS536" t="s">
        <v>992</v>
      </c>
      <c r="BV536" t="s">
        <v>1034</v>
      </c>
      <c r="BW536" t="s">
        <v>943</v>
      </c>
      <c r="BX536" t="s">
        <v>994</v>
      </c>
      <c r="BY536">
        <v>2.4093094740258669</v>
      </c>
      <c r="BZ536" t="s">
        <v>2270</v>
      </c>
      <c r="CA536" t="s">
        <v>991</v>
      </c>
      <c r="CB536" t="b">
        <v>1</v>
      </c>
      <c r="CC536" t="b">
        <v>1</v>
      </c>
      <c r="CD536" t="b">
        <v>1</v>
      </c>
      <c r="CE536" t="b">
        <v>1</v>
      </c>
      <c r="CF536" t="b">
        <v>1</v>
      </c>
    </row>
    <row r="537" spans="1:84" x14ac:dyDescent="0.3">
      <c r="A537" t="s">
        <v>2289</v>
      </c>
      <c r="B537" t="s">
        <v>1195</v>
      </c>
      <c r="C537" s="98">
        <v>45733</v>
      </c>
      <c r="D537">
        <v>2025</v>
      </c>
      <c r="E537">
        <v>3</v>
      </c>
      <c r="F537">
        <v>1</v>
      </c>
      <c r="G537" t="s">
        <v>1187</v>
      </c>
      <c r="H537" t="s">
        <v>132</v>
      </c>
      <c r="I537" t="s">
        <v>132</v>
      </c>
      <c r="J537" t="s">
        <v>6</v>
      </c>
      <c r="L537">
        <v>522611</v>
      </c>
      <c r="M537" s="99" t="s">
        <v>178</v>
      </c>
      <c r="N537">
        <v>1</v>
      </c>
      <c r="O537">
        <v>11</v>
      </c>
      <c r="P537">
        <v>70.935199999999995</v>
      </c>
      <c r="Q537" t="s">
        <v>352</v>
      </c>
      <c r="R537">
        <v>1</v>
      </c>
      <c r="S537">
        <v>70.620699999999999</v>
      </c>
      <c r="T537">
        <v>4.6859999999999999</v>
      </c>
      <c r="U537">
        <v>6.7114810072555556E-2</v>
      </c>
      <c r="V537">
        <v>56.5627</v>
      </c>
      <c r="W537">
        <v>61.248699999999999</v>
      </c>
      <c r="X537">
        <v>65.934699999999992</v>
      </c>
      <c r="Y537">
        <v>75.306700000000006</v>
      </c>
      <c r="Z537">
        <v>79.992699999999999</v>
      </c>
      <c r="AA537">
        <v>84.678699999999992</v>
      </c>
      <c r="AD537">
        <v>15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 t="s">
        <v>462</v>
      </c>
      <c r="AL537" t="s">
        <v>6</v>
      </c>
      <c r="AM537" t="s">
        <v>1145</v>
      </c>
      <c r="AN537" t="s">
        <v>1146</v>
      </c>
      <c r="AO537" s="100">
        <v>46262.040405092594</v>
      </c>
      <c r="AP537" t="s">
        <v>1147</v>
      </c>
      <c r="AQ537" t="s">
        <v>2290</v>
      </c>
      <c r="AR537" t="s">
        <v>1197</v>
      </c>
      <c r="AS537" t="s">
        <v>1150</v>
      </c>
      <c r="AT537" t="s">
        <v>2269</v>
      </c>
      <c r="AU537">
        <v>25</v>
      </c>
      <c r="AV537">
        <v>68.461864000000006</v>
      </c>
      <c r="AW537">
        <v>2.7462517045784414</v>
      </c>
      <c r="AX537">
        <v>4.0113598200867582</v>
      </c>
      <c r="AY537">
        <v>4.5203109834689039</v>
      </c>
      <c r="AZ537">
        <v>11.139054686612054</v>
      </c>
      <c r="BA537">
        <v>2.6125028635063807</v>
      </c>
      <c r="BB537" t="s">
        <v>161</v>
      </c>
      <c r="BD537" s="98"/>
      <c r="BE537" s="98"/>
      <c r="BF537" t="s">
        <v>1152</v>
      </c>
      <c r="BG537" t="s">
        <v>322</v>
      </c>
      <c r="BH537" t="s">
        <v>1153</v>
      </c>
      <c r="BI537">
        <v>4.5203109834689039</v>
      </c>
      <c r="BJ537" t="s">
        <v>991</v>
      </c>
      <c r="BK537">
        <v>3.8609453133879459</v>
      </c>
      <c r="BL537">
        <v>25.739635422586307</v>
      </c>
      <c r="BM537" t="s">
        <v>1260</v>
      </c>
      <c r="BN537" t="s">
        <v>1154</v>
      </c>
      <c r="BO537">
        <v>2025</v>
      </c>
      <c r="BP537" t="s">
        <v>966</v>
      </c>
      <c r="BQ537">
        <v>181593.39554012532</v>
      </c>
      <c r="BR537">
        <v>81.840660445987467</v>
      </c>
      <c r="BS537" t="s">
        <v>992</v>
      </c>
      <c r="BV537" t="s">
        <v>1034</v>
      </c>
      <c r="BW537" t="s">
        <v>943</v>
      </c>
      <c r="BX537" t="s">
        <v>994</v>
      </c>
      <c r="BY537">
        <v>2.4093094740258669</v>
      </c>
      <c r="BZ537" t="s">
        <v>2270</v>
      </c>
      <c r="CA537" t="s">
        <v>991</v>
      </c>
      <c r="CB537" t="b">
        <v>1</v>
      </c>
      <c r="CC537" t="b">
        <v>1</v>
      </c>
      <c r="CD537" t="b">
        <v>1</v>
      </c>
      <c r="CE537" t="b">
        <v>1</v>
      </c>
      <c r="CF537" t="b">
        <v>1</v>
      </c>
    </row>
    <row r="538" spans="1:84" x14ac:dyDescent="0.3">
      <c r="A538" t="s">
        <v>2291</v>
      </c>
      <c r="B538" t="s">
        <v>1199</v>
      </c>
      <c r="C538" s="98">
        <v>45740</v>
      </c>
      <c r="D538">
        <v>2025</v>
      </c>
      <c r="E538">
        <v>3</v>
      </c>
      <c r="F538">
        <v>1</v>
      </c>
      <c r="G538" t="s">
        <v>1187</v>
      </c>
      <c r="H538" t="s">
        <v>132</v>
      </c>
      <c r="I538" t="s">
        <v>132</v>
      </c>
      <c r="J538" t="s">
        <v>6</v>
      </c>
      <c r="L538">
        <v>522611</v>
      </c>
      <c r="M538" s="99" t="s">
        <v>178</v>
      </c>
      <c r="N538">
        <v>1</v>
      </c>
      <c r="O538">
        <v>12</v>
      </c>
      <c r="P538">
        <v>64.328100000000006</v>
      </c>
      <c r="Q538" t="s">
        <v>352</v>
      </c>
      <c r="R538">
        <v>1</v>
      </c>
      <c r="S538">
        <v>70.620699999999999</v>
      </c>
      <c r="T538">
        <v>4.6859999999999999</v>
      </c>
      <c r="U538">
        <v>-1.3428510456679457</v>
      </c>
      <c r="V538">
        <v>56.5627</v>
      </c>
      <c r="W538">
        <v>61.248699999999999</v>
      </c>
      <c r="X538">
        <v>65.934699999999992</v>
      </c>
      <c r="Y538">
        <v>75.306700000000006</v>
      </c>
      <c r="Z538">
        <v>79.992699999999999</v>
      </c>
      <c r="AA538">
        <v>84.678699999999992</v>
      </c>
      <c r="AD538">
        <v>15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 t="s">
        <v>462</v>
      </c>
      <c r="AL538" t="s">
        <v>6</v>
      </c>
      <c r="AM538" t="s">
        <v>1145</v>
      </c>
      <c r="AN538" t="s">
        <v>1146</v>
      </c>
      <c r="AO538" s="100">
        <v>46262.040405092594</v>
      </c>
      <c r="AP538" t="s">
        <v>1147</v>
      </c>
      <c r="AQ538" t="s">
        <v>2292</v>
      </c>
      <c r="AR538" t="s">
        <v>1201</v>
      </c>
      <c r="AS538" t="s">
        <v>1150</v>
      </c>
      <c r="AT538" t="s">
        <v>2269</v>
      </c>
      <c r="AU538">
        <v>25</v>
      </c>
      <c r="AV538">
        <v>68.461864000000006</v>
      </c>
      <c r="AW538">
        <v>2.7462517045784414</v>
      </c>
      <c r="AX538">
        <v>4.0113598200867582</v>
      </c>
      <c r="AY538">
        <v>4.5203109834689039</v>
      </c>
      <c r="AZ538">
        <v>11.139054686612054</v>
      </c>
      <c r="BA538">
        <v>2.6125028635063807</v>
      </c>
      <c r="BB538" t="s">
        <v>161</v>
      </c>
      <c r="BD538" s="98"/>
      <c r="BE538" s="98"/>
      <c r="BF538" t="s">
        <v>1152</v>
      </c>
      <c r="BG538" t="s">
        <v>322</v>
      </c>
      <c r="BH538" t="s">
        <v>1153</v>
      </c>
      <c r="BI538">
        <v>4.5203109834689039</v>
      </c>
      <c r="BJ538" t="s">
        <v>991</v>
      </c>
      <c r="BK538">
        <v>3.8609453133879459</v>
      </c>
      <c r="BL538">
        <v>25.739635422586307</v>
      </c>
      <c r="BM538" t="s">
        <v>1260</v>
      </c>
      <c r="BN538" t="s">
        <v>1154</v>
      </c>
      <c r="BO538">
        <v>2025</v>
      </c>
      <c r="BP538" t="s">
        <v>966</v>
      </c>
      <c r="BQ538">
        <v>181593.39554012532</v>
      </c>
      <c r="BR538">
        <v>81.840660445987467</v>
      </c>
      <c r="BS538" t="s">
        <v>992</v>
      </c>
      <c r="BV538" t="s">
        <v>1034</v>
      </c>
      <c r="BW538" t="s">
        <v>943</v>
      </c>
      <c r="BX538" t="s">
        <v>994</v>
      </c>
      <c r="BY538">
        <v>2.4093094740258669</v>
      </c>
      <c r="BZ538" t="s">
        <v>2270</v>
      </c>
      <c r="CA538" t="s">
        <v>991</v>
      </c>
      <c r="CB538" t="b">
        <v>1</v>
      </c>
      <c r="CC538" t="b">
        <v>1</v>
      </c>
      <c r="CD538" t="b">
        <v>1</v>
      </c>
      <c r="CE538" t="b">
        <v>1</v>
      </c>
      <c r="CF538" t="b">
        <v>1</v>
      </c>
    </row>
    <row r="539" spans="1:84" x14ac:dyDescent="0.3">
      <c r="A539" t="s">
        <v>2293</v>
      </c>
      <c r="B539" t="s">
        <v>1203</v>
      </c>
      <c r="C539" s="98">
        <v>45747</v>
      </c>
      <c r="D539">
        <v>2025</v>
      </c>
      <c r="E539">
        <v>3</v>
      </c>
      <c r="F539">
        <v>1</v>
      </c>
      <c r="G539" t="s">
        <v>1187</v>
      </c>
      <c r="H539" t="s">
        <v>132</v>
      </c>
      <c r="I539" t="s">
        <v>132</v>
      </c>
      <c r="J539" t="s">
        <v>6</v>
      </c>
      <c r="L539">
        <v>522611</v>
      </c>
      <c r="M539" s="99" t="s">
        <v>178</v>
      </c>
      <c r="N539">
        <v>1</v>
      </c>
      <c r="O539">
        <v>13</v>
      </c>
      <c r="P539">
        <v>67.731899999999996</v>
      </c>
      <c r="Q539" t="s">
        <v>352</v>
      </c>
      <c r="R539">
        <v>1</v>
      </c>
      <c r="S539">
        <v>70.620699999999999</v>
      </c>
      <c r="T539">
        <v>4.6859999999999999</v>
      </c>
      <c r="U539">
        <v>-0.61647460520700026</v>
      </c>
      <c r="V539">
        <v>56.5627</v>
      </c>
      <c r="W539">
        <v>61.248699999999999</v>
      </c>
      <c r="X539">
        <v>65.934699999999992</v>
      </c>
      <c r="Y539">
        <v>75.306700000000006</v>
      </c>
      <c r="Z539">
        <v>79.992699999999999</v>
      </c>
      <c r="AA539">
        <v>84.678699999999992</v>
      </c>
      <c r="AD539">
        <v>15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 t="s">
        <v>462</v>
      </c>
      <c r="AL539" t="s">
        <v>6</v>
      </c>
      <c r="AM539" t="s">
        <v>1145</v>
      </c>
      <c r="AN539" t="s">
        <v>1146</v>
      </c>
      <c r="AO539" s="100">
        <v>46262.040405092594</v>
      </c>
      <c r="AP539" t="s">
        <v>1147</v>
      </c>
      <c r="AQ539" t="s">
        <v>2294</v>
      </c>
      <c r="AR539" t="s">
        <v>1205</v>
      </c>
      <c r="AS539" t="s">
        <v>1150</v>
      </c>
      <c r="AT539" t="s">
        <v>2269</v>
      </c>
      <c r="AU539">
        <v>25</v>
      </c>
      <c r="AV539">
        <v>68.461864000000006</v>
      </c>
      <c r="AW539">
        <v>2.7462517045784414</v>
      </c>
      <c r="AX539">
        <v>4.0113598200867582</v>
      </c>
      <c r="AY539">
        <v>4.5203109834689039</v>
      </c>
      <c r="AZ539">
        <v>11.139054686612054</v>
      </c>
      <c r="BA539">
        <v>2.6125028635063807</v>
      </c>
      <c r="BB539" t="s">
        <v>161</v>
      </c>
      <c r="BD539" s="98"/>
      <c r="BE539" s="98"/>
      <c r="BF539" t="s">
        <v>1152</v>
      </c>
      <c r="BG539" t="s">
        <v>322</v>
      </c>
      <c r="BH539" t="s">
        <v>1153</v>
      </c>
      <c r="BI539">
        <v>4.5203109834689039</v>
      </c>
      <c r="BJ539" t="s">
        <v>991</v>
      </c>
      <c r="BK539">
        <v>3.8609453133879459</v>
      </c>
      <c r="BL539">
        <v>25.739635422586307</v>
      </c>
      <c r="BM539" t="s">
        <v>1260</v>
      </c>
      <c r="BN539" t="s">
        <v>1154</v>
      </c>
      <c r="BO539">
        <v>2025</v>
      </c>
      <c r="BP539" t="s">
        <v>966</v>
      </c>
      <c r="BQ539">
        <v>181593.39554012532</v>
      </c>
      <c r="BR539">
        <v>81.840660445987467</v>
      </c>
      <c r="BS539" t="s">
        <v>992</v>
      </c>
      <c r="BV539" t="s">
        <v>1034</v>
      </c>
      <c r="BW539" t="s">
        <v>943</v>
      </c>
      <c r="BX539" t="s">
        <v>994</v>
      </c>
      <c r="BY539">
        <v>2.4093094740258669</v>
      </c>
      <c r="BZ539" t="s">
        <v>2270</v>
      </c>
      <c r="CA539" t="s">
        <v>991</v>
      </c>
      <c r="CB539" t="b">
        <v>1</v>
      </c>
      <c r="CC539" t="b">
        <v>1</v>
      </c>
      <c r="CD539" t="b">
        <v>1</v>
      </c>
      <c r="CE539" t="b">
        <v>1</v>
      </c>
      <c r="CF539" t="b">
        <v>1</v>
      </c>
    </row>
    <row r="540" spans="1:84" x14ac:dyDescent="0.3">
      <c r="A540" t="s">
        <v>2295</v>
      </c>
      <c r="B540" t="s">
        <v>1207</v>
      </c>
      <c r="C540" s="98">
        <v>45754</v>
      </c>
      <c r="D540">
        <v>2025</v>
      </c>
      <c r="E540">
        <v>4</v>
      </c>
      <c r="F540">
        <v>2</v>
      </c>
      <c r="G540" t="s">
        <v>1208</v>
      </c>
      <c r="H540" t="s">
        <v>132</v>
      </c>
      <c r="I540" t="s">
        <v>132</v>
      </c>
      <c r="J540" t="s">
        <v>6</v>
      </c>
      <c r="L540">
        <v>522611</v>
      </c>
      <c r="M540" s="99" t="s">
        <v>178</v>
      </c>
      <c r="N540">
        <v>1</v>
      </c>
      <c r="O540">
        <v>14</v>
      </c>
      <c r="P540">
        <v>69.241399999999999</v>
      </c>
      <c r="Q540" t="s">
        <v>352</v>
      </c>
      <c r="R540">
        <v>1</v>
      </c>
      <c r="S540">
        <v>70.620699999999999</v>
      </c>
      <c r="T540">
        <v>4.6859999999999999</v>
      </c>
      <c r="U540">
        <v>-0.29434485702091351</v>
      </c>
      <c r="V540">
        <v>56.5627</v>
      </c>
      <c r="W540">
        <v>61.248699999999999</v>
      </c>
      <c r="X540">
        <v>65.934699999999992</v>
      </c>
      <c r="Y540">
        <v>75.306700000000006</v>
      </c>
      <c r="Z540">
        <v>79.992699999999999</v>
      </c>
      <c r="AA540">
        <v>84.678699999999992</v>
      </c>
      <c r="AD540">
        <v>15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 t="s">
        <v>462</v>
      </c>
      <c r="AL540" t="s">
        <v>6</v>
      </c>
      <c r="AM540" t="s">
        <v>1145</v>
      </c>
      <c r="AN540" t="s">
        <v>1146</v>
      </c>
      <c r="AO540" s="100">
        <v>46262.040405092594</v>
      </c>
      <c r="AP540" t="s">
        <v>1147</v>
      </c>
      <c r="AQ540" t="s">
        <v>2296</v>
      </c>
      <c r="AR540" t="s">
        <v>1210</v>
      </c>
      <c r="AS540" t="s">
        <v>1150</v>
      </c>
      <c r="AT540" t="s">
        <v>2269</v>
      </c>
      <c r="AU540">
        <v>25</v>
      </c>
      <c r="AV540">
        <v>68.461864000000006</v>
      </c>
      <c r="AW540">
        <v>2.7462517045784414</v>
      </c>
      <c r="AX540">
        <v>4.0113598200867582</v>
      </c>
      <c r="AY540">
        <v>4.5203109834689039</v>
      </c>
      <c r="AZ540">
        <v>11.139054686612054</v>
      </c>
      <c r="BA540">
        <v>2.6125028635063807</v>
      </c>
      <c r="BB540" t="s">
        <v>161</v>
      </c>
      <c r="BD540" s="98"/>
      <c r="BE540" s="98"/>
      <c r="BF540" t="s">
        <v>1152</v>
      </c>
      <c r="BG540" t="s">
        <v>322</v>
      </c>
      <c r="BH540" t="s">
        <v>1153</v>
      </c>
      <c r="BI540">
        <v>4.5203109834689039</v>
      </c>
      <c r="BJ540" t="s">
        <v>991</v>
      </c>
      <c r="BK540">
        <v>3.8609453133879459</v>
      </c>
      <c r="BL540">
        <v>25.739635422586307</v>
      </c>
      <c r="BM540" t="s">
        <v>1260</v>
      </c>
      <c r="BN540" t="s">
        <v>1154</v>
      </c>
      <c r="BO540">
        <v>2025</v>
      </c>
      <c r="BP540" t="s">
        <v>966</v>
      </c>
      <c r="BQ540">
        <v>181593.39554012532</v>
      </c>
      <c r="BR540">
        <v>81.840660445987467</v>
      </c>
      <c r="BS540" t="s">
        <v>992</v>
      </c>
      <c r="BV540" t="s">
        <v>1034</v>
      </c>
      <c r="BW540" t="s">
        <v>943</v>
      </c>
      <c r="BX540" t="s">
        <v>994</v>
      </c>
      <c r="BY540">
        <v>2.4093094740258669</v>
      </c>
      <c r="BZ540" t="s">
        <v>2270</v>
      </c>
      <c r="CA540" t="s">
        <v>991</v>
      </c>
      <c r="CB540" t="b">
        <v>1</v>
      </c>
      <c r="CC540" t="b">
        <v>1</v>
      </c>
      <c r="CD540" t="b">
        <v>1</v>
      </c>
      <c r="CE540" t="b">
        <v>1</v>
      </c>
      <c r="CF540" t="b">
        <v>1</v>
      </c>
    </row>
    <row r="541" spans="1:84" x14ac:dyDescent="0.3">
      <c r="A541" t="s">
        <v>2297</v>
      </c>
      <c r="B541" t="s">
        <v>1212</v>
      </c>
      <c r="C541" s="98">
        <v>45761</v>
      </c>
      <c r="D541">
        <v>2025</v>
      </c>
      <c r="E541">
        <v>4</v>
      </c>
      <c r="F541">
        <v>2</v>
      </c>
      <c r="G541" t="s">
        <v>1208</v>
      </c>
      <c r="H541" t="s">
        <v>132</v>
      </c>
      <c r="I541" t="s">
        <v>132</v>
      </c>
      <c r="J541" t="s">
        <v>6</v>
      </c>
      <c r="L541">
        <v>522611</v>
      </c>
      <c r="M541" s="99" t="s">
        <v>178</v>
      </c>
      <c r="N541">
        <v>1</v>
      </c>
      <c r="O541">
        <v>15</v>
      </c>
      <c r="P541">
        <v>60.896099999999997</v>
      </c>
      <c r="Q541" t="s">
        <v>352</v>
      </c>
      <c r="R541">
        <v>1</v>
      </c>
      <c r="S541">
        <v>70.620699999999999</v>
      </c>
      <c r="T541">
        <v>4.6859999999999999</v>
      </c>
      <c r="U541">
        <v>-2.0752454118651307</v>
      </c>
      <c r="V541">
        <v>56.5627</v>
      </c>
      <c r="W541">
        <v>61.248699999999999</v>
      </c>
      <c r="X541">
        <v>65.934699999999992</v>
      </c>
      <c r="Y541">
        <v>75.306700000000006</v>
      </c>
      <c r="Z541">
        <v>79.992699999999999</v>
      </c>
      <c r="AA541">
        <v>84.678699999999992</v>
      </c>
      <c r="AD541">
        <v>15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1</v>
      </c>
      <c r="AK541" t="s">
        <v>462</v>
      </c>
      <c r="AL541" t="s">
        <v>6</v>
      </c>
      <c r="AM541" t="s">
        <v>1145</v>
      </c>
      <c r="AN541" t="s">
        <v>1146</v>
      </c>
      <c r="AO541" s="100">
        <v>46262.040405092594</v>
      </c>
      <c r="AP541" t="s">
        <v>1147</v>
      </c>
      <c r="AQ541" t="s">
        <v>2298</v>
      </c>
      <c r="AR541" t="s">
        <v>1215</v>
      </c>
      <c r="AS541" t="s">
        <v>1150</v>
      </c>
      <c r="AT541" t="s">
        <v>2269</v>
      </c>
      <c r="AU541">
        <v>25</v>
      </c>
      <c r="AV541">
        <v>68.461864000000006</v>
      </c>
      <c r="AW541">
        <v>2.7462517045784414</v>
      </c>
      <c r="AX541">
        <v>4.0113598200867582</v>
      </c>
      <c r="AY541">
        <v>4.5203109834689039</v>
      </c>
      <c r="AZ541">
        <v>11.139054686612054</v>
      </c>
      <c r="BA541">
        <v>2.6125028635063807</v>
      </c>
      <c r="BB541" t="s">
        <v>161</v>
      </c>
      <c r="BD541" s="98"/>
      <c r="BE541" s="98"/>
      <c r="BF541" t="s">
        <v>1152</v>
      </c>
      <c r="BG541" t="s">
        <v>322</v>
      </c>
      <c r="BH541" t="s">
        <v>1153</v>
      </c>
      <c r="BI541">
        <v>4.5203109834689039</v>
      </c>
      <c r="BJ541" t="s">
        <v>991</v>
      </c>
      <c r="BK541">
        <v>3.8609453133879459</v>
      </c>
      <c r="BL541">
        <v>25.739635422586307</v>
      </c>
      <c r="BM541" t="s">
        <v>1260</v>
      </c>
      <c r="BN541" t="s">
        <v>1154</v>
      </c>
      <c r="BO541">
        <v>2025</v>
      </c>
      <c r="BP541" t="s">
        <v>966</v>
      </c>
      <c r="BQ541">
        <v>181593.39554012532</v>
      </c>
      <c r="BR541">
        <v>81.840660445987467</v>
      </c>
      <c r="BS541" t="s">
        <v>992</v>
      </c>
      <c r="BV541" t="s">
        <v>1034</v>
      </c>
      <c r="BW541" t="s">
        <v>943</v>
      </c>
      <c r="BX541" t="s">
        <v>994</v>
      </c>
      <c r="BY541">
        <v>2.4093094740258669</v>
      </c>
      <c r="BZ541" t="s">
        <v>2270</v>
      </c>
      <c r="CA541" t="s">
        <v>991</v>
      </c>
      <c r="CB541" t="b">
        <v>1</v>
      </c>
      <c r="CC541" t="b">
        <v>1</v>
      </c>
      <c r="CD541" t="b">
        <v>1</v>
      </c>
      <c r="CE541" t="b">
        <v>1</v>
      </c>
      <c r="CF541" t="b">
        <v>1</v>
      </c>
    </row>
    <row r="542" spans="1:84" x14ac:dyDescent="0.3">
      <c r="A542" t="s">
        <v>2299</v>
      </c>
      <c r="B542" t="s">
        <v>1217</v>
      </c>
      <c r="C542" s="98">
        <v>45768</v>
      </c>
      <c r="D542">
        <v>2025</v>
      </c>
      <c r="E542">
        <v>4</v>
      </c>
      <c r="F542">
        <v>2</v>
      </c>
      <c r="G542" t="s">
        <v>1208</v>
      </c>
      <c r="H542" t="s">
        <v>132</v>
      </c>
      <c r="I542" t="s">
        <v>132</v>
      </c>
      <c r="J542" t="s">
        <v>6</v>
      </c>
      <c r="L542">
        <v>522611</v>
      </c>
      <c r="M542" s="99" t="s">
        <v>178</v>
      </c>
      <c r="N542">
        <v>1</v>
      </c>
      <c r="O542">
        <v>16</v>
      </c>
      <c r="P542">
        <v>71.049499999999995</v>
      </c>
      <c r="Q542" t="s">
        <v>352</v>
      </c>
      <c r="R542">
        <v>1</v>
      </c>
      <c r="S542">
        <v>70.620699999999999</v>
      </c>
      <c r="T542">
        <v>4.6859999999999999</v>
      </c>
      <c r="U542">
        <v>9.1506615450276441E-2</v>
      </c>
      <c r="V542">
        <v>56.5627</v>
      </c>
      <c r="W542">
        <v>61.248699999999999</v>
      </c>
      <c r="X542">
        <v>65.934699999999992</v>
      </c>
      <c r="Y542">
        <v>75.306700000000006</v>
      </c>
      <c r="Z542">
        <v>79.992699999999999</v>
      </c>
      <c r="AA542">
        <v>84.678699999999992</v>
      </c>
      <c r="AD542">
        <v>15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 t="s">
        <v>462</v>
      </c>
      <c r="AL542" t="s">
        <v>6</v>
      </c>
      <c r="AM542" t="s">
        <v>1145</v>
      </c>
      <c r="AN542" t="s">
        <v>1146</v>
      </c>
      <c r="AO542" s="100">
        <v>46262.040405092594</v>
      </c>
      <c r="AP542" t="s">
        <v>1147</v>
      </c>
      <c r="AQ542" t="s">
        <v>2300</v>
      </c>
      <c r="AR542" t="s">
        <v>1219</v>
      </c>
      <c r="AS542" t="s">
        <v>1150</v>
      </c>
      <c r="AT542" t="s">
        <v>2269</v>
      </c>
      <c r="AU542">
        <v>25</v>
      </c>
      <c r="AV542">
        <v>68.461864000000006</v>
      </c>
      <c r="AW542">
        <v>2.7462517045784414</v>
      </c>
      <c r="AX542">
        <v>4.0113598200867582</v>
      </c>
      <c r="AY542">
        <v>4.5203109834689039</v>
      </c>
      <c r="AZ542">
        <v>11.139054686612054</v>
      </c>
      <c r="BA542">
        <v>2.6125028635063807</v>
      </c>
      <c r="BB542" t="s">
        <v>161</v>
      </c>
      <c r="BD542" s="98"/>
      <c r="BE542" s="98"/>
      <c r="BF542" t="s">
        <v>1152</v>
      </c>
      <c r="BG542" t="s">
        <v>322</v>
      </c>
      <c r="BH542" t="s">
        <v>1153</v>
      </c>
      <c r="BI542">
        <v>4.5203109834689039</v>
      </c>
      <c r="BJ542" t="s">
        <v>991</v>
      </c>
      <c r="BK542">
        <v>3.8609453133879459</v>
      </c>
      <c r="BL542">
        <v>25.739635422586307</v>
      </c>
      <c r="BM542" t="s">
        <v>1260</v>
      </c>
      <c r="BN542" t="s">
        <v>1154</v>
      </c>
      <c r="BO542">
        <v>2025</v>
      </c>
      <c r="BP542" t="s">
        <v>966</v>
      </c>
      <c r="BQ542">
        <v>181593.39554012532</v>
      </c>
      <c r="BR542">
        <v>81.840660445987467</v>
      </c>
      <c r="BS542" t="s">
        <v>992</v>
      </c>
      <c r="BV542" t="s">
        <v>1034</v>
      </c>
      <c r="BW542" t="s">
        <v>943</v>
      </c>
      <c r="BX542" t="s">
        <v>994</v>
      </c>
      <c r="BY542">
        <v>2.4093094740258669</v>
      </c>
      <c r="BZ542" t="s">
        <v>2270</v>
      </c>
      <c r="CA542" t="s">
        <v>991</v>
      </c>
      <c r="CB542" t="b">
        <v>1</v>
      </c>
      <c r="CC542" t="b">
        <v>1</v>
      </c>
      <c r="CD542" t="b">
        <v>1</v>
      </c>
      <c r="CE542" t="b">
        <v>1</v>
      </c>
      <c r="CF542" t="b">
        <v>1</v>
      </c>
    </row>
    <row r="543" spans="1:84" x14ac:dyDescent="0.3">
      <c r="A543" t="s">
        <v>2301</v>
      </c>
      <c r="B543" t="s">
        <v>1221</v>
      </c>
      <c r="C543" s="98">
        <v>45775</v>
      </c>
      <c r="D543">
        <v>2025</v>
      </c>
      <c r="E543">
        <v>4</v>
      </c>
      <c r="F543">
        <v>2</v>
      </c>
      <c r="G543" t="s">
        <v>1208</v>
      </c>
      <c r="H543" t="s">
        <v>132</v>
      </c>
      <c r="I543" t="s">
        <v>132</v>
      </c>
      <c r="J543" t="s">
        <v>6</v>
      </c>
      <c r="L543">
        <v>522611</v>
      </c>
      <c r="M543" s="99" t="s">
        <v>178</v>
      </c>
      <c r="N543">
        <v>1</v>
      </c>
      <c r="O543">
        <v>17</v>
      </c>
      <c r="P543">
        <v>71.328199999999995</v>
      </c>
      <c r="Q543" t="s">
        <v>352</v>
      </c>
      <c r="R543">
        <v>1</v>
      </c>
      <c r="S543">
        <v>70.620699999999999</v>
      </c>
      <c r="T543">
        <v>4.6859999999999999</v>
      </c>
      <c r="U543">
        <v>0.15098164746051984</v>
      </c>
      <c r="V543">
        <v>56.5627</v>
      </c>
      <c r="W543">
        <v>61.248699999999999</v>
      </c>
      <c r="X543">
        <v>65.934699999999992</v>
      </c>
      <c r="Y543">
        <v>75.306700000000006</v>
      </c>
      <c r="Z543">
        <v>79.992699999999999</v>
      </c>
      <c r="AA543">
        <v>84.678699999999992</v>
      </c>
      <c r="AD543">
        <v>15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 t="s">
        <v>462</v>
      </c>
      <c r="AL543" t="s">
        <v>6</v>
      </c>
      <c r="AM543" t="s">
        <v>1145</v>
      </c>
      <c r="AN543" t="s">
        <v>1146</v>
      </c>
      <c r="AO543" s="100">
        <v>46262.040405092594</v>
      </c>
      <c r="AP543" t="s">
        <v>1147</v>
      </c>
      <c r="AQ543" t="s">
        <v>2302</v>
      </c>
      <c r="AR543" t="s">
        <v>1223</v>
      </c>
      <c r="AS543" t="s">
        <v>1150</v>
      </c>
      <c r="AT543" t="s">
        <v>2269</v>
      </c>
      <c r="AU543">
        <v>25</v>
      </c>
      <c r="AV543">
        <v>68.461864000000006</v>
      </c>
      <c r="AW543">
        <v>2.7462517045784414</v>
      </c>
      <c r="AX543">
        <v>4.0113598200867582</v>
      </c>
      <c r="AY543">
        <v>4.5203109834689039</v>
      </c>
      <c r="AZ543">
        <v>11.139054686612054</v>
      </c>
      <c r="BA543">
        <v>2.6125028635063807</v>
      </c>
      <c r="BB543" t="s">
        <v>161</v>
      </c>
      <c r="BD543" s="98"/>
      <c r="BE543" s="98"/>
      <c r="BF543" t="s">
        <v>1152</v>
      </c>
      <c r="BG543" t="s">
        <v>322</v>
      </c>
      <c r="BH543" t="s">
        <v>1153</v>
      </c>
      <c r="BI543">
        <v>4.5203109834689039</v>
      </c>
      <c r="BJ543" t="s">
        <v>991</v>
      </c>
      <c r="BK543">
        <v>3.8609453133879459</v>
      </c>
      <c r="BL543">
        <v>25.739635422586307</v>
      </c>
      <c r="BM543" t="s">
        <v>1260</v>
      </c>
      <c r="BN543" t="s">
        <v>1154</v>
      </c>
      <c r="BO543">
        <v>2025</v>
      </c>
      <c r="BP543" t="s">
        <v>966</v>
      </c>
      <c r="BQ543">
        <v>181593.39554012532</v>
      </c>
      <c r="BR543">
        <v>81.840660445987467</v>
      </c>
      <c r="BS543" t="s">
        <v>992</v>
      </c>
      <c r="BV543" t="s">
        <v>1034</v>
      </c>
      <c r="BW543" t="s">
        <v>943</v>
      </c>
      <c r="BX543" t="s">
        <v>994</v>
      </c>
      <c r="BY543">
        <v>2.4093094740258669</v>
      </c>
      <c r="BZ543" t="s">
        <v>2270</v>
      </c>
      <c r="CA543" t="s">
        <v>991</v>
      </c>
      <c r="CB543" t="b">
        <v>1</v>
      </c>
      <c r="CC543" t="b">
        <v>1</v>
      </c>
      <c r="CD543" t="b">
        <v>1</v>
      </c>
      <c r="CE543" t="b">
        <v>1</v>
      </c>
      <c r="CF543" t="b">
        <v>1</v>
      </c>
    </row>
    <row r="544" spans="1:84" x14ac:dyDescent="0.3">
      <c r="A544" t="s">
        <v>2303</v>
      </c>
      <c r="B544" t="s">
        <v>1225</v>
      </c>
      <c r="C544" s="98">
        <v>45782</v>
      </c>
      <c r="D544">
        <v>2025</v>
      </c>
      <c r="E544">
        <v>5</v>
      </c>
      <c r="F544">
        <v>2</v>
      </c>
      <c r="G544" t="s">
        <v>1226</v>
      </c>
      <c r="H544" t="s">
        <v>132</v>
      </c>
      <c r="I544" t="s">
        <v>132</v>
      </c>
      <c r="J544" t="s">
        <v>6</v>
      </c>
      <c r="L544">
        <v>522611</v>
      </c>
      <c r="M544" s="99" t="s">
        <v>178</v>
      </c>
      <c r="N544">
        <v>1</v>
      </c>
      <c r="O544">
        <v>18</v>
      </c>
      <c r="P544">
        <v>69.880200000000002</v>
      </c>
      <c r="Q544" t="s">
        <v>352</v>
      </c>
      <c r="R544">
        <v>1</v>
      </c>
      <c r="S544">
        <v>70.620699999999999</v>
      </c>
      <c r="T544">
        <v>4.6859999999999999</v>
      </c>
      <c r="U544">
        <v>-0.15802390098164687</v>
      </c>
      <c r="V544">
        <v>56.5627</v>
      </c>
      <c r="W544">
        <v>61.248699999999999</v>
      </c>
      <c r="X544">
        <v>65.934699999999992</v>
      </c>
      <c r="Y544">
        <v>75.306700000000006</v>
      </c>
      <c r="Z544">
        <v>79.992699999999999</v>
      </c>
      <c r="AA544">
        <v>84.678699999999992</v>
      </c>
      <c r="AD544">
        <v>15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 t="s">
        <v>462</v>
      </c>
      <c r="AL544" t="s">
        <v>6</v>
      </c>
      <c r="AM544" t="s">
        <v>1145</v>
      </c>
      <c r="AN544" t="s">
        <v>1146</v>
      </c>
      <c r="AO544" s="100">
        <v>46262.040405092594</v>
      </c>
      <c r="AP544" t="s">
        <v>1147</v>
      </c>
      <c r="AQ544" t="s">
        <v>2304</v>
      </c>
      <c r="AR544" t="s">
        <v>1228</v>
      </c>
      <c r="AS544" t="s">
        <v>1150</v>
      </c>
      <c r="AT544" t="s">
        <v>2269</v>
      </c>
      <c r="AU544">
        <v>25</v>
      </c>
      <c r="AV544">
        <v>68.461864000000006</v>
      </c>
      <c r="AW544">
        <v>2.7462517045784414</v>
      </c>
      <c r="AX544">
        <v>4.0113598200867582</v>
      </c>
      <c r="AY544">
        <v>4.5203109834689039</v>
      </c>
      <c r="AZ544">
        <v>11.139054686612054</v>
      </c>
      <c r="BA544">
        <v>2.6125028635063807</v>
      </c>
      <c r="BB544" t="s">
        <v>161</v>
      </c>
      <c r="BD544" s="98"/>
      <c r="BE544" s="98"/>
      <c r="BF544" t="s">
        <v>1152</v>
      </c>
      <c r="BG544" t="s">
        <v>322</v>
      </c>
      <c r="BH544" t="s">
        <v>1153</v>
      </c>
      <c r="BI544">
        <v>4.5203109834689039</v>
      </c>
      <c r="BJ544" t="s">
        <v>991</v>
      </c>
      <c r="BK544">
        <v>3.8609453133879459</v>
      </c>
      <c r="BL544">
        <v>25.739635422586307</v>
      </c>
      <c r="BM544" t="s">
        <v>1260</v>
      </c>
      <c r="BN544" t="s">
        <v>1154</v>
      </c>
      <c r="BO544">
        <v>2025</v>
      </c>
      <c r="BP544" t="s">
        <v>966</v>
      </c>
      <c r="BQ544">
        <v>181593.39554012532</v>
      </c>
      <c r="BR544">
        <v>81.840660445987467</v>
      </c>
      <c r="BS544" t="s">
        <v>992</v>
      </c>
      <c r="BV544" t="s">
        <v>1034</v>
      </c>
      <c r="BW544" t="s">
        <v>943</v>
      </c>
      <c r="BX544" t="s">
        <v>994</v>
      </c>
      <c r="BY544">
        <v>2.4093094740258669</v>
      </c>
      <c r="BZ544" t="s">
        <v>2270</v>
      </c>
      <c r="CA544" t="s">
        <v>991</v>
      </c>
      <c r="CB544" t="b">
        <v>1</v>
      </c>
      <c r="CC544" t="b">
        <v>1</v>
      </c>
      <c r="CD544" t="b">
        <v>1</v>
      </c>
      <c r="CE544" t="b">
        <v>1</v>
      </c>
      <c r="CF544" t="b">
        <v>1</v>
      </c>
    </row>
    <row r="545" spans="1:84" x14ac:dyDescent="0.3">
      <c r="A545" t="s">
        <v>2305</v>
      </c>
      <c r="B545" t="s">
        <v>1230</v>
      </c>
      <c r="C545" s="98">
        <v>45789</v>
      </c>
      <c r="D545">
        <v>2025</v>
      </c>
      <c r="E545">
        <v>5</v>
      </c>
      <c r="F545">
        <v>2</v>
      </c>
      <c r="G545" t="s">
        <v>1226</v>
      </c>
      <c r="H545" t="s">
        <v>132</v>
      </c>
      <c r="I545" t="s">
        <v>132</v>
      </c>
      <c r="J545" t="s">
        <v>6</v>
      </c>
      <c r="L545">
        <v>522611</v>
      </c>
      <c r="M545" s="99" t="s">
        <v>178</v>
      </c>
      <c r="N545">
        <v>1</v>
      </c>
      <c r="O545">
        <v>19</v>
      </c>
      <c r="P545">
        <v>68.632400000000004</v>
      </c>
      <c r="Q545" t="s">
        <v>352</v>
      </c>
      <c r="R545">
        <v>1</v>
      </c>
      <c r="S545">
        <v>70.620699999999999</v>
      </c>
      <c r="T545">
        <v>4.6859999999999999</v>
      </c>
      <c r="U545">
        <v>-0.42430644472897894</v>
      </c>
      <c r="V545">
        <v>56.5627</v>
      </c>
      <c r="W545">
        <v>61.248699999999999</v>
      </c>
      <c r="X545">
        <v>65.934699999999992</v>
      </c>
      <c r="Y545">
        <v>75.306700000000006</v>
      </c>
      <c r="Z545">
        <v>79.992699999999999</v>
      </c>
      <c r="AA545">
        <v>84.678699999999992</v>
      </c>
      <c r="AD545">
        <v>15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 t="s">
        <v>462</v>
      </c>
      <c r="AL545" t="s">
        <v>6</v>
      </c>
      <c r="AM545" t="s">
        <v>1145</v>
      </c>
      <c r="AN545" t="s">
        <v>1146</v>
      </c>
      <c r="AO545" s="100">
        <v>46262.040405092594</v>
      </c>
      <c r="AP545" t="s">
        <v>1147</v>
      </c>
      <c r="AQ545" t="s">
        <v>2306</v>
      </c>
      <c r="AR545" t="s">
        <v>1232</v>
      </c>
      <c r="AS545" t="s">
        <v>1150</v>
      </c>
      <c r="AT545" t="s">
        <v>2269</v>
      </c>
      <c r="AU545">
        <v>25</v>
      </c>
      <c r="AV545">
        <v>68.461864000000006</v>
      </c>
      <c r="AW545">
        <v>2.7462517045784414</v>
      </c>
      <c r="AX545">
        <v>4.0113598200867582</v>
      </c>
      <c r="AY545">
        <v>4.5203109834689039</v>
      </c>
      <c r="AZ545">
        <v>11.139054686612054</v>
      </c>
      <c r="BA545">
        <v>2.6125028635063807</v>
      </c>
      <c r="BB545" t="s">
        <v>161</v>
      </c>
      <c r="BD545" s="98"/>
      <c r="BE545" s="98"/>
      <c r="BF545" t="s">
        <v>1152</v>
      </c>
      <c r="BG545" t="s">
        <v>322</v>
      </c>
      <c r="BH545" t="s">
        <v>1153</v>
      </c>
      <c r="BI545">
        <v>4.5203109834689039</v>
      </c>
      <c r="BJ545" t="s">
        <v>991</v>
      </c>
      <c r="BK545">
        <v>3.8609453133879459</v>
      </c>
      <c r="BL545">
        <v>25.739635422586307</v>
      </c>
      <c r="BM545" t="s">
        <v>1260</v>
      </c>
      <c r="BN545" t="s">
        <v>1154</v>
      </c>
      <c r="BO545">
        <v>2025</v>
      </c>
      <c r="BP545" t="s">
        <v>966</v>
      </c>
      <c r="BQ545">
        <v>181593.39554012532</v>
      </c>
      <c r="BR545">
        <v>81.840660445987467</v>
      </c>
      <c r="BS545" t="s">
        <v>992</v>
      </c>
      <c r="BV545" t="s">
        <v>1034</v>
      </c>
      <c r="BW545" t="s">
        <v>943</v>
      </c>
      <c r="BX545" t="s">
        <v>994</v>
      </c>
      <c r="BY545">
        <v>2.4093094740258669</v>
      </c>
      <c r="BZ545" t="s">
        <v>2270</v>
      </c>
      <c r="CA545" t="s">
        <v>991</v>
      </c>
      <c r="CB545" t="b">
        <v>1</v>
      </c>
      <c r="CC545" t="b">
        <v>1</v>
      </c>
      <c r="CD545" t="b">
        <v>1</v>
      </c>
      <c r="CE545" t="b">
        <v>1</v>
      </c>
      <c r="CF545" t="b">
        <v>1</v>
      </c>
    </row>
    <row r="546" spans="1:84" x14ac:dyDescent="0.3">
      <c r="A546" t="s">
        <v>2307</v>
      </c>
      <c r="B546" t="s">
        <v>1234</v>
      </c>
      <c r="C546" s="98">
        <v>45796</v>
      </c>
      <c r="D546">
        <v>2025</v>
      </c>
      <c r="E546">
        <v>5</v>
      </c>
      <c r="F546">
        <v>2</v>
      </c>
      <c r="G546" t="s">
        <v>1226</v>
      </c>
      <c r="H546" t="s">
        <v>132</v>
      </c>
      <c r="I546" t="s">
        <v>132</v>
      </c>
      <c r="J546" t="s">
        <v>6</v>
      </c>
      <c r="L546">
        <v>522611</v>
      </c>
      <c r="M546" s="99" t="s">
        <v>178</v>
      </c>
      <c r="N546">
        <v>1</v>
      </c>
      <c r="O546">
        <v>20</v>
      </c>
      <c r="P546">
        <v>68.87</v>
      </c>
      <c r="Q546" t="s">
        <v>352</v>
      </c>
      <c r="R546">
        <v>1</v>
      </c>
      <c r="S546">
        <v>70.620699999999999</v>
      </c>
      <c r="T546">
        <v>4.6859999999999999</v>
      </c>
      <c r="U546">
        <v>-0.37360221937686616</v>
      </c>
      <c r="V546">
        <v>56.5627</v>
      </c>
      <c r="W546">
        <v>61.248699999999999</v>
      </c>
      <c r="X546">
        <v>65.934699999999992</v>
      </c>
      <c r="Y546">
        <v>75.306700000000006</v>
      </c>
      <c r="Z546">
        <v>79.992699999999999</v>
      </c>
      <c r="AA546">
        <v>84.678699999999992</v>
      </c>
      <c r="AD546">
        <v>15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 t="s">
        <v>462</v>
      </c>
      <c r="AL546" t="s">
        <v>6</v>
      </c>
      <c r="AM546" t="s">
        <v>1145</v>
      </c>
      <c r="AN546" t="s">
        <v>1146</v>
      </c>
      <c r="AO546" s="100">
        <v>46262.040405092594</v>
      </c>
      <c r="AP546" t="s">
        <v>1147</v>
      </c>
      <c r="AQ546" t="s">
        <v>2308</v>
      </c>
      <c r="AR546" t="s">
        <v>1236</v>
      </c>
      <c r="AS546" t="s">
        <v>1150</v>
      </c>
      <c r="AT546" t="s">
        <v>2269</v>
      </c>
      <c r="AU546">
        <v>25</v>
      </c>
      <c r="AV546">
        <v>68.461864000000006</v>
      </c>
      <c r="AW546">
        <v>2.7462517045784414</v>
      </c>
      <c r="AX546">
        <v>4.0113598200867582</v>
      </c>
      <c r="AY546">
        <v>4.5203109834689039</v>
      </c>
      <c r="AZ546">
        <v>11.139054686612054</v>
      </c>
      <c r="BA546">
        <v>2.6125028635063807</v>
      </c>
      <c r="BB546" t="s">
        <v>161</v>
      </c>
      <c r="BD546" s="98"/>
      <c r="BE546" s="98"/>
      <c r="BF546" t="s">
        <v>1152</v>
      </c>
      <c r="BG546" t="s">
        <v>322</v>
      </c>
      <c r="BH546" t="s">
        <v>1153</v>
      </c>
      <c r="BI546">
        <v>4.5203109834689039</v>
      </c>
      <c r="BJ546" t="s">
        <v>991</v>
      </c>
      <c r="BK546">
        <v>3.8609453133879459</v>
      </c>
      <c r="BL546">
        <v>25.739635422586307</v>
      </c>
      <c r="BM546" t="s">
        <v>1260</v>
      </c>
      <c r="BN546" t="s">
        <v>1154</v>
      </c>
      <c r="BO546">
        <v>2025</v>
      </c>
      <c r="BP546" t="s">
        <v>966</v>
      </c>
      <c r="BQ546">
        <v>181593.39554012532</v>
      </c>
      <c r="BR546">
        <v>81.840660445987467</v>
      </c>
      <c r="BS546" t="s">
        <v>992</v>
      </c>
      <c r="BV546" t="s">
        <v>1034</v>
      </c>
      <c r="BW546" t="s">
        <v>943</v>
      </c>
      <c r="BX546" t="s">
        <v>994</v>
      </c>
      <c r="BY546">
        <v>2.4093094740258669</v>
      </c>
      <c r="BZ546" t="s">
        <v>2270</v>
      </c>
      <c r="CA546" t="s">
        <v>991</v>
      </c>
      <c r="CB546" t="b">
        <v>1</v>
      </c>
      <c r="CC546" t="b">
        <v>1</v>
      </c>
      <c r="CD546" t="b">
        <v>1</v>
      </c>
      <c r="CE546" t="b">
        <v>1</v>
      </c>
      <c r="CF546" t="b">
        <v>1</v>
      </c>
    </row>
    <row r="547" spans="1:84" x14ac:dyDescent="0.3">
      <c r="A547" t="s">
        <v>2309</v>
      </c>
      <c r="B547" t="s">
        <v>1238</v>
      </c>
      <c r="C547" s="98">
        <v>45803</v>
      </c>
      <c r="D547">
        <v>2025</v>
      </c>
      <c r="E547">
        <v>5</v>
      </c>
      <c r="F547">
        <v>2</v>
      </c>
      <c r="G547" t="s">
        <v>1226</v>
      </c>
      <c r="H547" t="s">
        <v>132</v>
      </c>
      <c r="I547" t="s">
        <v>132</v>
      </c>
      <c r="J547" t="s">
        <v>6</v>
      </c>
      <c r="L547">
        <v>522611</v>
      </c>
      <c r="M547" s="99" t="s">
        <v>178</v>
      </c>
      <c r="N547">
        <v>1</v>
      </c>
      <c r="O547">
        <v>21</v>
      </c>
      <c r="P547">
        <v>66.044700000000006</v>
      </c>
      <c r="Q547" t="s">
        <v>352</v>
      </c>
      <c r="R547">
        <v>1</v>
      </c>
      <c r="S547">
        <v>70.620699999999999</v>
      </c>
      <c r="T547">
        <v>4.6859999999999999</v>
      </c>
      <c r="U547">
        <v>-0.97652582159624268</v>
      </c>
      <c r="V547">
        <v>56.5627</v>
      </c>
      <c r="W547">
        <v>61.248699999999999</v>
      </c>
      <c r="X547">
        <v>65.934699999999992</v>
      </c>
      <c r="Y547">
        <v>75.306700000000006</v>
      </c>
      <c r="Z547">
        <v>79.992699999999999</v>
      </c>
      <c r="AA547">
        <v>84.678699999999992</v>
      </c>
      <c r="AD547">
        <v>15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 t="s">
        <v>462</v>
      </c>
      <c r="AL547" t="s">
        <v>6</v>
      </c>
      <c r="AM547" t="s">
        <v>1145</v>
      </c>
      <c r="AN547" t="s">
        <v>1146</v>
      </c>
      <c r="AO547" s="100">
        <v>46262.040405092594</v>
      </c>
      <c r="AP547" t="s">
        <v>1147</v>
      </c>
      <c r="AQ547" t="s">
        <v>2310</v>
      </c>
      <c r="AR547" t="s">
        <v>1240</v>
      </c>
      <c r="AS547" t="s">
        <v>1150</v>
      </c>
      <c r="AT547" t="s">
        <v>2269</v>
      </c>
      <c r="AU547">
        <v>25</v>
      </c>
      <c r="AV547">
        <v>68.461864000000006</v>
      </c>
      <c r="AW547">
        <v>2.7462517045784414</v>
      </c>
      <c r="AX547">
        <v>4.0113598200867582</v>
      </c>
      <c r="AY547">
        <v>4.5203109834689039</v>
      </c>
      <c r="AZ547">
        <v>11.139054686612054</v>
      </c>
      <c r="BA547">
        <v>2.6125028635063807</v>
      </c>
      <c r="BB547" t="s">
        <v>161</v>
      </c>
      <c r="BD547" s="98"/>
      <c r="BE547" s="98"/>
      <c r="BF547" t="s">
        <v>1152</v>
      </c>
      <c r="BG547" t="s">
        <v>322</v>
      </c>
      <c r="BH547" t="s">
        <v>1153</v>
      </c>
      <c r="BI547">
        <v>4.5203109834689039</v>
      </c>
      <c r="BJ547" t="s">
        <v>991</v>
      </c>
      <c r="BK547">
        <v>3.8609453133879459</v>
      </c>
      <c r="BL547">
        <v>25.739635422586307</v>
      </c>
      <c r="BM547" t="s">
        <v>1260</v>
      </c>
      <c r="BN547" t="s">
        <v>1154</v>
      </c>
      <c r="BO547">
        <v>2025</v>
      </c>
      <c r="BP547" t="s">
        <v>966</v>
      </c>
      <c r="BQ547">
        <v>181593.39554012532</v>
      </c>
      <c r="BR547">
        <v>81.840660445987467</v>
      </c>
      <c r="BS547" t="s">
        <v>992</v>
      </c>
      <c r="BV547" t="s">
        <v>1034</v>
      </c>
      <c r="BW547" t="s">
        <v>943</v>
      </c>
      <c r="BX547" t="s">
        <v>994</v>
      </c>
      <c r="BY547">
        <v>2.4093094740258669</v>
      </c>
      <c r="BZ547" t="s">
        <v>2270</v>
      </c>
      <c r="CA547" t="s">
        <v>991</v>
      </c>
      <c r="CB547" t="b">
        <v>1</v>
      </c>
      <c r="CC547" t="b">
        <v>1</v>
      </c>
      <c r="CD547" t="b">
        <v>1</v>
      </c>
      <c r="CE547" t="b">
        <v>1</v>
      </c>
      <c r="CF547" t="b">
        <v>1</v>
      </c>
    </row>
    <row r="548" spans="1:84" x14ac:dyDescent="0.3">
      <c r="A548" t="s">
        <v>2311</v>
      </c>
      <c r="B548" t="s">
        <v>1242</v>
      </c>
      <c r="C548" s="98">
        <v>45810</v>
      </c>
      <c r="D548">
        <v>2025</v>
      </c>
      <c r="E548">
        <v>6</v>
      </c>
      <c r="F548">
        <v>2</v>
      </c>
      <c r="G548" t="s">
        <v>1243</v>
      </c>
      <c r="H548" t="s">
        <v>132</v>
      </c>
      <c r="I548" t="s">
        <v>132</v>
      </c>
      <c r="J548" t="s">
        <v>6</v>
      </c>
      <c r="L548">
        <v>522611</v>
      </c>
      <c r="M548" s="99" t="s">
        <v>178</v>
      </c>
      <c r="N548">
        <v>1</v>
      </c>
      <c r="O548">
        <v>22</v>
      </c>
      <c r="P548">
        <v>69.356899999999996</v>
      </c>
      <c r="Q548" t="s">
        <v>352</v>
      </c>
      <c r="R548">
        <v>1</v>
      </c>
      <c r="S548">
        <v>70.620699999999999</v>
      </c>
      <c r="T548">
        <v>4.6859999999999999</v>
      </c>
      <c r="U548">
        <v>-0.26969696969697043</v>
      </c>
      <c r="V548">
        <v>56.5627</v>
      </c>
      <c r="W548">
        <v>61.248699999999999</v>
      </c>
      <c r="X548">
        <v>65.934699999999992</v>
      </c>
      <c r="Y548">
        <v>75.306700000000006</v>
      </c>
      <c r="Z548">
        <v>79.992699999999999</v>
      </c>
      <c r="AA548">
        <v>84.678699999999992</v>
      </c>
      <c r="AD548">
        <v>15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 t="s">
        <v>462</v>
      </c>
      <c r="AL548" t="s">
        <v>6</v>
      </c>
      <c r="AM548" t="s">
        <v>1145</v>
      </c>
      <c r="AN548" t="s">
        <v>1146</v>
      </c>
      <c r="AO548" s="100">
        <v>46262.040405092594</v>
      </c>
      <c r="AP548" t="s">
        <v>1147</v>
      </c>
      <c r="AQ548" t="s">
        <v>2312</v>
      </c>
      <c r="AR548" t="s">
        <v>1245</v>
      </c>
      <c r="AS548" t="s">
        <v>1150</v>
      </c>
      <c r="AT548" t="s">
        <v>2269</v>
      </c>
      <c r="AU548">
        <v>25</v>
      </c>
      <c r="AV548">
        <v>68.461864000000006</v>
      </c>
      <c r="AW548">
        <v>2.7462517045784414</v>
      </c>
      <c r="AX548">
        <v>4.0113598200867582</v>
      </c>
      <c r="AY548">
        <v>4.5203109834689039</v>
      </c>
      <c r="AZ548">
        <v>11.139054686612054</v>
      </c>
      <c r="BA548">
        <v>2.6125028635063807</v>
      </c>
      <c r="BB548" t="s">
        <v>161</v>
      </c>
      <c r="BD548" s="98"/>
      <c r="BE548" s="98"/>
      <c r="BF548" t="s">
        <v>1152</v>
      </c>
      <c r="BG548" t="s">
        <v>322</v>
      </c>
      <c r="BH548" t="s">
        <v>1153</v>
      </c>
      <c r="BI548">
        <v>4.5203109834689039</v>
      </c>
      <c r="BJ548" t="s">
        <v>991</v>
      </c>
      <c r="BK548">
        <v>3.8609453133879459</v>
      </c>
      <c r="BL548">
        <v>25.739635422586307</v>
      </c>
      <c r="BM548" t="s">
        <v>1260</v>
      </c>
      <c r="BN548" t="s">
        <v>1154</v>
      </c>
      <c r="BO548">
        <v>2025</v>
      </c>
      <c r="BP548" t="s">
        <v>966</v>
      </c>
      <c r="BQ548">
        <v>181593.39554012532</v>
      </c>
      <c r="BR548">
        <v>81.840660445987467</v>
      </c>
      <c r="BS548" t="s">
        <v>992</v>
      </c>
      <c r="BV548" t="s">
        <v>1034</v>
      </c>
      <c r="BW548" t="s">
        <v>943</v>
      </c>
      <c r="BX548" t="s">
        <v>994</v>
      </c>
      <c r="BY548">
        <v>2.4093094740258669</v>
      </c>
      <c r="BZ548" t="s">
        <v>2270</v>
      </c>
      <c r="CA548" t="s">
        <v>991</v>
      </c>
      <c r="CB548" t="b">
        <v>1</v>
      </c>
      <c r="CC548" t="b">
        <v>1</v>
      </c>
      <c r="CD548" t="b">
        <v>1</v>
      </c>
      <c r="CE548" t="b">
        <v>1</v>
      </c>
      <c r="CF548" t="b">
        <v>1</v>
      </c>
    </row>
    <row r="549" spans="1:84" x14ac:dyDescent="0.3">
      <c r="A549" t="s">
        <v>2313</v>
      </c>
      <c r="B549" t="s">
        <v>1247</v>
      </c>
      <c r="C549" s="98">
        <v>45817</v>
      </c>
      <c r="D549">
        <v>2025</v>
      </c>
      <c r="E549">
        <v>6</v>
      </c>
      <c r="F549">
        <v>2</v>
      </c>
      <c r="G549" t="s">
        <v>1243</v>
      </c>
      <c r="H549" t="s">
        <v>132</v>
      </c>
      <c r="I549" t="s">
        <v>132</v>
      </c>
      <c r="J549" t="s">
        <v>6</v>
      </c>
      <c r="L549">
        <v>522611</v>
      </c>
      <c r="M549" s="99" t="s">
        <v>178</v>
      </c>
      <c r="N549">
        <v>1</v>
      </c>
      <c r="O549">
        <v>23</v>
      </c>
      <c r="P549">
        <v>68.031199999999998</v>
      </c>
      <c r="Q549" t="s">
        <v>352</v>
      </c>
      <c r="R549">
        <v>1</v>
      </c>
      <c r="S549">
        <v>70.620699999999999</v>
      </c>
      <c r="T549">
        <v>4.6859999999999999</v>
      </c>
      <c r="U549">
        <v>-0.55260349978659862</v>
      </c>
      <c r="V549">
        <v>56.5627</v>
      </c>
      <c r="W549">
        <v>61.248699999999999</v>
      </c>
      <c r="X549">
        <v>65.934699999999992</v>
      </c>
      <c r="Y549">
        <v>75.306700000000006</v>
      </c>
      <c r="Z549">
        <v>79.992699999999999</v>
      </c>
      <c r="AA549">
        <v>84.678699999999992</v>
      </c>
      <c r="AD549">
        <v>15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 t="s">
        <v>462</v>
      </c>
      <c r="AL549" t="s">
        <v>6</v>
      </c>
      <c r="AM549" t="s">
        <v>1145</v>
      </c>
      <c r="AN549" t="s">
        <v>1146</v>
      </c>
      <c r="AO549" s="100">
        <v>46262.040405092594</v>
      </c>
      <c r="AP549" t="s">
        <v>1147</v>
      </c>
      <c r="AQ549" t="s">
        <v>2314</v>
      </c>
      <c r="AR549" t="s">
        <v>1249</v>
      </c>
      <c r="AS549" t="s">
        <v>1150</v>
      </c>
      <c r="AT549" t="s">
        <v>2269</v>
      </c>
      <c r="AU549">
        <v>25</v>
      </c>
      <c r="AV549">
        <v>68.461864000000006</v>
      </c>
      <c r="AW549">
        <v>2.7462517045784414</v>
      </c>
      <c r="AX549">
        <v>4.0113598200867582</v>
      </c>
      <c r="AY549">
        <v>4.5203109834689039</v>
      </c>
      <c r="AZ549">
        <v>11.139054686612054</v>
      </c>
      <c r="BA549">
        <v>2.6125028635063807</v>
      </c>
      <c r="BB549" t="s">
        <v>161</v>
      </c>
      <c r="BD549" s="98"/>
      <c r="BE549" s="98"/>
      <c r="BF549" t="s">
        <v>1152</v>
      </c>
      <c r="BG549" t="s">
        <v>322</v>
      </c>
      <c r="BH549" t="s">
        <v>1153</v>
      </c>
      <c r="BI549">
        <v>4.5203109834689039</v>
      </c>
      <c r="BJ549" t="s">
        <v>991</v>
      </c>
      <c r="BK549">
        <v>3.8609453133879459</v>
      </c>
      <c r="BL549">
        <v>25.739635422586307</v>
      </c>
      <c r="BM549" t="s">
        <v>1260</v>
      </c>
      <c r="BN549" t="s">
        <v>1154</v>
      </c>
      <c r="BO549">
        <v>2025</v>
      </c>
      <c r="BP549" t="s">
        <v>966</v>
      </c>
      <c r="BQ549">
        <v>181593.39554012532</v>
      </c>
      <c r="BR549">
        <v>81.840660445987467</v>
      </c>
      <c r="BS549" t="s">
        <v>992</v>
      </c>
      <c r="BV549" t="s">
        <v>1034</v>
      </c>
      <c r="BW549" t="s">
        <v>943</v>
      </c>
      <c r="BX549" t="s">
        <v>994</v>
      </c>
      <c r="BY549">
        <v>2.4093094740258669</v>
      </c>
      <c r="BZ549" t="s">
        <v>2270</v>
      </c>
      <c r="CA549" t="s">
        <v>991</v>
      </c>
      <c r="CB549" t="b">
        <v>1</v>
      </c>
      <c r="CC549" t="b">
        <v>1</v>
      </c>
      <c r="CD549" t="b">
        <v>1</v>
      </c>
      <c r="CE549" t="b">
        <v>1</v>
      </c>
      <c r="CF549" t="b">
        <v>1</v>
      </c>
    </row>
    <row r="550" spans="1:84" x14ac:dyDescent="0.3">
      <c r="A550" t="s">
        <v>2315</v>
      </c>
      <c r="B550" t="s">
        <v>1251</v>
      </c>
      <c r="C550" s="98">
        <v>45824</v>
      </c>
      <c r="D550">
        <v>2025</v>
      </c>
      <c r="E550">
        <v>6</v>
      </c>
      <c r="F550">
        <v>2</v>
      </c>
      <c r="G550" t="s">
        <v>1243</v>
      </c>
      <c r="H550" t="s">
        <v>132</v>
      </c>
      <c r="I550" t="s">
        <v>132</v>
      </c>
      <c r="J550" t="s">
        <v>6</v>
      </c>
      <c r="L550">
        <v>522611</v>
      </c>
      <c r="M550" s="99" t="s">
        <v>178</v>
      </c>
      <c r="N550">
        <v>1</v>
      </c>
      <c r="O550">
        <v>24</v>
      </c>
      <c r="P550">
        <v>71.050299999999993</v>
      </c>
      <c r="Q550" t="s">
        <v>352</v>
      </c>
      <c r="R550">
        <v>1</v>
      </c>
      <c r="S550">
        <v>70.620699999999999</v>
      </c>
      <c r="T550">
        <v>4.6859999999999999</v>
      </c>
      <c r="U550">
        <v>9.1677336747757909E-2</v>
      </c>
      <c r="V550">
        <v>56.5627</v>
      </c>
      <c r="W550">
        <v>61.248699999999999</v>
      </c>
      <c r="X550">
        <v>65.934699999999992</v>
      </c>
      <c r="Y550">
        <v>75.306700000000006</v>
      </c>
      <c r="Z550">
        <v>79.992699999999999</v>
      </c>
      <c r="AA550">
        <v>84.678699999999992</v>
      </c>
      <c r="AD550">
        <v>15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 t="s">
        <v>462</v>
      </c>
      <c r="AL550" t="s">
        <v>6</v>
      </c>
      <c r="AM550" t="s">
        <v>1145</v>
      </c>
      <c r="AN550" t="s">
        <v>1146</v>
      </c>
      <c r="AO550" s="100">
        <v>46262.040405092594</v>
      </c>
      <c r="AP550" t="s">
        <v>1147</v>
      </c>
      <c r="AQ550" t="s">
        <v>2316</v>
      </c>
      <c r="AR550" t="s">
        <v>1253</v>
      </c>
      <c r="AS550" t="s">
        <v>1150</v>
      </c>
      <c r="AT550" t="s">
        <v>2269</v>
      </c>
      <c r="AU550">
        <v>25</v>
      </c>
      <c r="AV550">
        <v>68.461864000000006</v>
      </c>
      <c r="AW550">
        <v>2.7462517045784414</v>
      </c>
      <c r="AX550">
        <v>4.0113598200867582</v>
      </c>
      <c r="AY550">
        <v>4.5203109834689039</v>
      </c>
      <c r="AZ550">
        <v>11.139054686612054</v>
      </c>
      <c r="BA550">
        <v>2.6125028635063807</v>
      </c>
      <c r="BB550" t="s">
        <v>161</v>
      </c>
      <c r="BD550" s="98"/>
      <c r="BE550" s="98"/>
      <c r="BF550" t="s">
        <v>1152</v>
      </c>
      <c r="BG550" t="s">
        <v>322</v>
      </c>
      <c r="BH550" t="s">
        <v>1153</v>
      </c>
      <c r="BI550">
        <v>4.5203109834689039</v>
      </c>
      <c r="BJ550" t="s">
        <v>991</v>
      </c>
      <c r="BK550">
        <v>3.8609453133879459</v>
      </c>
      <c r="BL550">
        <v>25.739635422586307</v>
      </c>
      <c r="BM550" t="s">
        <v>1260</v>
      </c>
      <c r="BN550" t="s">
        <v>1154</v>
      </c>
      <c r="BO550">
        <v>2025</v>
      </c>
      <c r="BP550" t="s">
        <v>966</v>
      </c>
      <c r="BQ550">
        <v>181593.39554012532</v>
      </c>
      <c r="BR550">
        <v>81.840660445987467</v>
      </c>
      <c r="BS550" t="s">
        <v>992</v>
      </c>
      <c r="BV550" t="s">
        <v>1034</v>
      </c>
      <c r="BW550" t="s">
        <v>943</v>
      </c>
      <c r="BX550" t="s">
        <v>994</v>
      </c>
      <c r="BY550">
        <v>2.4093094740258669</v>
      </c>
      <c r="BZ550" t="s">
        <v>2270</v>
      </c>
      <c r="CA550" t="s">
        <v>991</v>
      </c>
      <c r="CB550" t="b">
        <v>1</v>
      </c>
      <c r="CC550" t="b">
        <v>1</v>
      </c>
      <c r="CD550" t="b">
        <v>1</v>
      </c>
      <c r="CE550" t="b">
        <v>1</v>
      </c>
      <c r="CF550" t="b">
        <v>1</v>
      </c>
    </row>
    <row r="551" spans="1:84" x14ac:dyDescent="0.3">
      <c r="A551" t="s">
        <v>2317</v>
      </c>
      <c r="B551" t="s">
        <v>1255</v>
      </c>
      <c r="C551" s="98">
        <v>45831</v>
      </c>
      <c r="D551">
        <v>2025</v>
      </c>
      <c r="E551">
        <v>6</v>
      </c>
      <c r="F551">
        <v>2</v>
      </c>
      <c r="G551" t="s">
        <v>1243</v>
      </c>
      <c r="H551" t="s">
        <v>132</v>
      </c>
      <c r="I551" t="s">
        <v>132</v>
      </c>
      <c r="J551" t="s">
        <v>6</v>
      </c>
      <c r="L551">
        <v>522611</v>
      </c>
      <c r="M551" s="99" t="s">
        <v>178</v>
      </c>
      <c r="N551">
        <v>1</v>
      </c>
      <c r="O551">
        <v>25</v>
      </c>
      <c r="P551">
        <v>64.978200000000001</v>
      </c>
      <c r="Q551" t="s">
        <v>352</v>
      </c>
      <c r="R551">
        <v>1</v>
      </c>
      <c r="S551">
        <v>70.620699999999999</v>
      </c>
      <c r="T551">
        <v>4.6859999999999999</v>
      </c>
      <c r="U551">
        <v>-1.2041186513017494</v>
      </c>
      <c r="V551">
        <v>56.5627</v>
      </c>
      <c r="W551">
        <v>61.248699999999999</v>
      </c>
      <c r="X551">
        <v>65.934699999999992</v>
      </c>
      <c r="Y551">
        <v>75.306700000000006</v>
      </c>
      <c r="Z551">
        <v>79.992699999999999</v>
      </c>
      <c r="AA551">
        <v>84.678699999999992</v>
      </c>
      <c r="AD551">
        <v>15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 t="s">
        <v>462</v>
      </c>
      <c r="AL551" t="s">
        <v>6</v>
      </c>
      <c r="AM551" t="s">
        <v>1145</v>
      </c>
      <c r="AN551" t="s">
        <v>1146</v>
      </c>
      <c r="AO551" s="100">
        <v>46262.040405092594</v>
      </c>
      <c r="AP551" t="s">
        <v>1147</v>
      </c>
      <c r="AQ551" t="s">
        <v>2318</v>
      </c>
      <c r="AR551" t="s">
        <v>1257</v>
      </c>
      <c r="AS551" t="s">
        <v>1150</v>
      </c>
      <c r="AT551" t="s">
        <v>2269</v>
      </c>
      <c r="AU551">
        <v>25</v>
      </c>
      <c r="AV551">
        <v>68.461864000000006</v>
      </c>
      <c r="AW551">
        <v>2.7462517045784414</v>
      </c>
      <c r="AX551">
        <v>4.0113598200867582</v>
      </c>
      <c r="AY551">
        <v>4.5203109834689039</v>
      </c>
      <c r="AZ551">
        <v>11.139054686612054</v>
      </c>
      <c r="BA551">
        <v>2.6125028635063807</v>
      </c>
      <c r="BB551" t="s">
        <v>161</v>
      </c>
      <c r="BD551" s="98"/>
      <c r="BE551" s="98"/>
      <c r="BF551" t="s">
        <v>1152</v>
      </c>
      <c r="BG551" t="s">
        <v>322</v>
      </c>
      <c r="BH551" t="s">
        <v>1153</v>
      </c>
      <c r="BI551">
        <v>4.5203109834689039</v>
      </c>
      <c r="BJ551" t="s">
        <v>991</v>
      </c>
      <c r="BK551">
        <v>3.8609453133879459</v>
      </c>
      <c r="BL551">
        <v>25.739635422586307</v>
      </c>
      <c r="BM551" t="s">
        <v>1260</v>
      </c>
      <c r="BN551" t="s">
        <v>1154</v>
      </c>
      <c r="BO551">
        <v>2025</v>
      </c>
      <c r="BP551" t="s">
        <v>966</v>
      </c>
      <c r="BQ551">
        <v>181593.39554012532</v>
      </c>
      <c r="BR551">
        <v>81.840660445987467</v>
      </c>
      <c r="BS551" t="s">
        <v>992</v>
      </c>
      <c r="BV551" t="s">
        <v>1034</v>
      </c>
      <c r="BW551" t="s">
        <v>943</v>
      </c>
      <c r="BX551" t="s">
        <v>994</v>
      </c>
      <c r="BY551">
        <v>2.4093094740258669</v>
      </c>
      <c r="BZ551" t="s">
        <v>2270</v>
      </c>
      <c r="CA551" t="s">
        <v>991</v>
      </c>
      <c r="CB551" t="b">
        <v>1</v>
      </c>
      <c r="CC551" t="b">
        <v>1</v>
      </c>
      <c r="CD551" t="b">
        <v>1</v>
      </c>
      <c r="CE551" t="b">
        <v>1</v>
      </c>
      <c r="CF551" t="b">
        <v>1</v>
      </c>
    </row>
    <row r="552" spans="1:84" x14ac:dyDescent="0.3">
      <c r="A552" t="s">
        <v>2319</v>
      </c>
      <c r="B552" t="s">
        <v>1143</v>
      </c>
      <c r="C552" s="98">
        <v>45663</v>
      </c>
      <c r="D552">
        <v>2025</v>
      </c>
      <c r="E552">
        <v>1</v>
      </c>
      <c r="F552">
        <v>1</v>
      </c>
      <c r="G552" t="s">
        <v>1144</v>
      </c>
      <c r="H552" t="s">
        <v>132</v>
      </c>
      <c r="I552" t="s">
        <v>132</v>
      </c>
      <c r="J552" t="s">
        <v>6</v>
      </c>
      <c r="L552">
        <v>522611</v>
      </c>
      <c r="M552" s="99" t="s">
        <v>179</v>
      </c>
      <c r="N552">
        <v>2</v>
      </c>
      <c r="O552">
        <v>1</v>
      </c>
      <c r="P552">
        <v>230.4932</v>
      </c>
      <c r="Q552" t="s">
        <v>352</v>
      </c>
      <c r="R552">
        <v>1</v>
      </c>
      <c r="S552">
        <v>227.93100000000001</v>
      </c>
      <c r="T552">
        <v>10.8757</v>
      </c>
      <c r="U552">
        <v>0.23558943332383112</v>
      </c>
      <c r="V552">
        <v>195.3039</v>
      </c>
      <c r="W552">
        <v>206.17960000000002</v>
      </c>
      <c r="X552">
        <v>217.05530000000002</v>
      </c>
      <c r="Y552">
        <v>238.80670000000001</v>
      </c>
      <c r="Z552">
        <v>249.6824</v>
      </c>
      <c r="AA552">
        <v>260.55810000000002</v>
      </c>
      <c r="AD552">
        <v>15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 t="s">
        <v>462</v>
      </c>
      <c r="AL552" t="s">
        <v>6</v>
      </c>
      <c r="AM552" t="s">
        <v>1145</v>
      </c>
      <c r="AN552" t="s">
        <v>1146</v>
      </c>
      <c r="AO552" s="100">
        <v>46262.040405092594</v>
      </c>
      <c r="AP552" t="s">
        <v>1147</v>
      </c>
      <c r="AQ552" t="s">
        <v>2320</v>
      </c>
      <c r="AR552" t="s">
        <v>1149</v>
      </c>
      <c r="AS552" t="s">
        <v>1150</v>
      </c>
      <c r="AT552" t="s">
        <v>2269</v>
      </c>
      <c r="AU552">
        <v>25</v>
      </c>
      <c r="AV552">
        <v>227.46821199999999</v>
      </c>
      <c r="AW552">
        <v>9.8941051309740295</v>
      </c>
      <c r="AX552">
        <v>4.3496649681204813</v>
      </c>
      <c r="AY552">
        <v>4.5203109834689039</v>
      </c>
      <c r="AZ552">
        <v>11.697258180867697</v>
      </c>
      <c r="BA552">
        <v>2.4093094740258669</v>
      </c>
      <c r="BB552" t="s">
        <v>161</v>
      </c>
      <c r="BD552" s="98"/>
      <c r="BE552" s="98"/>
      <c r="BF552" t="s">
        <v>1152</v>
      </c>
      <c r="BG552" t="s">
        <v>322</v>
      </c>
      <c r="BH552" t="s">
        <v>1153</v>
      </c>
      <c r="BI552">
        <v>4.5203109834689039</v>
      </c>
      <c r="BJ552" t="s">
        <v>991</v>
      </c>
      <c r="BK552">
        <v>3.3027418191323026</v>
      </c>
      <c r="BL552">
        <v>22.018278794215352</v>
      </c>
      <c r="BM552" t="s">
        <v>1260</v>
      </c>
      <c r="BN552" t="s">
        <v>1154</v>
      </c>
      <c r="BO552">
        <v>2025</v>
      </c>
      <c r="BP552" t="s">
        <v>966</v>
      </c>
      <c r="BQ552">
        <v>181593.39554012532</v>
      </c>
      <c r="BR552">
        <v>81.840660445987467</v>
      </c>
      <c r="BS552" t="s">
        <v>992</v>
      </c>
      <c r="BV552" t="s">
        <v>1034</v>
      </c>
      <c r="BW552" t="s">
        <v>943</v>
      </c>
      <c r="BX552" t="s">
        <v>994</v>
      </c>
      <c r="BY552">
        <v>2.4093094740258669</v>
      </c>
      <c r="BZ552" t="s">
        <v>2270</v>
      </c>
      <c r="CA552" t="s">
        <v>991</v>
      </c>
      <c r="CB552" t="b">
        <v>1</v>
      </c>
      <c r="CC552" t="b">
        <v>1</v>
      </c>
      <c r="CD552" t="b">
        <v>1</v>
      </c>
      <c r="CE552" t="b">
        <v>1</v>
      </c>
      <c r="CF552" t="b">
        <v>1</v>
      </c>
    </row>
    <row r="553" spans="1:84" x14ac:dyDescent="0.3">
      <c r="A553" t="s">
        <v>2321</v>
      </c>
      <c r="B553" t="s">
        <v>1157</v>
      </c>
      <c r="C553" s="98">
        <v>45670</v>
      </c>
      <c r="D553">
        <v>2025</v>
      </c>
      <c r="E553">
        <v>1</v>
      </c>
      <c r="F553">
        <v>1</v>
      </c>
      <c r="G553" t="s">
        <v>1144</v>
      </c>
      <c r="H553" t="s">
        <v>132</v>
      </c>
      <c r="I553" t="s">
        <v>132</v>
      </c>
      <c r="J553" t="s">
        <v>6</v>
      </c>
      <c r="L553">
        <v>522611</v>
      </c>
      <c r="M553" s="99" t="s">
        <v>179</v>
      </c>
      <c r="N553">
        <v>2</v>
      </c>
      <c r="O553">
        <v>2</v>
      </c>
      <c r="P553">
        <v>229.48859999999999</v>
      </c>
      <c r="Q553" t="s">
        <v>352</v>
      </c>
      <c r="R553">
        <v>1</v>
      </c>
      <c r="S553">
        <v>227.93100000000001</v>
      </c>
      <c r="T553">
        <v>10.8757</v>
      </c>
      <c r="U553">
        <v>0.14321836755335099</v>
      </c>
      <c r="V553">
        <v>195.3039</v>
      </c>
      <c r="W553">
        <v>206.17960000000002</v>
      </c>
      <c r="X553">
        <v>217.05530000000002</v>
      </c>
      <c r="Y553">
        <v>238.80670000000001</v>
      </c>
      <c r="Z553">
        <v>249.6824</v>
      </c>
      <c r="AA553">
        <v>260.55810000000002</v>
      </c>
      <c r="AD553">
        <v>15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 t="s">
        <v>462</v>
      </c>
      <c r="AL553" t="s">
        <v>6</v>
      </c>
      <c r="AM553" t="s">
        <v>1145</v>
      </c>
      <c r="AN553" t="s">
        <v>1146</v>
      </c>
      <c r="AO553" s="100">
        <v>46262.040405092594</v>
      </c>
      <c r="AP553" t="s">
        <v>1147</v>
      </c>
      <c r="AQ553" t="s">
        <v>2322</v>
      </c>
      <c r="AR553" t="s">
        <v>1159</v>
      </c>
      <c r="AS553" t="s">
        <v>1150</v>
      </c>
      <c r="AT553" t="s">
        <v>2269</v>
      </c>
      <c r="AU553">
        <v>25</v>
      </c>
      <c r="AV553">
        <v>227.46821199999999</v>
      </c>
      <c r="AW553">
        <v>9.8941051309740295</v>
      </c>
      <c r="AX553">
        <v>4.3496649681204813</v>
      </c>
      <c r="AY553">
        <v>4.5203109834689039</v>
      </c>
      <c r="AZ553">
        <v>11.697258180867697</v>
      </c>
      <c r="BA553">
        <v>2.4093094740258669</v>
      </c>
      <c r="BB553" t="s">
        <v>161</v>
      </c>
      <c r="BD553" s="98"/>
      <c r="BE553" s="98"/>
      <c r="BF553" t="s">
        <v>1152</v>
      </c>
      <c r="BG553" t="s">
        <v>322</v>
      </c>
      <c r="BH553" t="s">
        <v>1153</v>
      </c>
      <c r="BI553">
        <v>4.5203109834689039</v>
      </c>
      <c r="BJ553" t="s">
        <v>991</v>
      </c>
      <c r="BK553">
        <v>3.3027418191323026</v>
      </c>
      <c r="BL553">
        <v>22.018278794215352</v>
      </c>
      <c r="BM553" t="s">
        <v>1260</v>
      </c>
      <c r="BN553" t="s">
        <v>1154</v>
      </c>
      <c r="BO553">
        <v>2025</v>
      </c>
      <c r="BP553" t="s">
        <v>966</v>
      </c>
      <c r="BQ553">
        <v>181593.39554012532</v>
      </c>
      <c r="BR553">
        <v>81.840660445987467</v>
      </c>
      <c r="BS553" t="s">
        <v>992</v>
      </c>
      <c r="BV553" t="s">
        <v>1034</v>
      </c>
      <c r="BW553" t="s">
        <v>943</v>
      </c>
      <c r="BX553" t="s">
        <v>994</v>
      </c>
      <c r="BY553">
        <v>2.4093094740258669</v>
      </c>
      <c r="BZ553" t="s">
        <v>2270</v>
      </c>
      <c r="CA553" t="s">
        <v>991</v>
      </c>
      <c r="CB553" t="b">
        <v>1</v>
      </c>
      <c r="CC553" t="b">
        <v>1</v>
      </c>
      <c r="CD553" t="b">
        <v>1</v>
      </c>
      <c r="CE553" t="b">
        <v>1</v>
      </c>
      <c r="CF553" t="b">
        <v>1</v>
      </c>
    </row>
    <row r="554" spans="1:84" x14ac:dyDescent="0.3">
      <c r="A554" t="s">
        <v>2323</v>
      </c>
      <c r="B554" t="s">
        <v>1161</v>
      </c>
      <c r="C554" s="98">
        <v>45677</v>
      </c>
      <c r="D554">
        <v>2025</v>
      </c>
      <c r="E554">
        <v>1</v>
      </c>
      <c r="F554">
        <v>1</v>
      </c>
      <c r="G554" t="s">
        <v>1144</v>
      </c>
      <c r="H554" t="s">
        <v>132</v>
      </c>
      <c r="I554" t="s">
        <v>132</v>
      </c>
      <c r="J554" t="s">
        <v>6</v>
      </c>
      <c r="L554">
        <v>522611</v>
      </c>
      <c r="M554" s="99" t="s">
        <v>179</v>
      </c>
      <c r="N554">
        <v>2</v>
      </c>
      <c r="O554">
        <v>3</v>
      </c>
      <c r="P554">
        <v>226.3914</v>
      </c>
      <c r="Q554" t="s">
        <v>352</v>
      </c>
      <c r="R554">
        <v>1</v>
      </c>
      <c r="S554">
        <v>227.93100000000001</v>
      </c>
      <c r="T554">
        <v>10.8757</v>
      </c>
      <c r="U554">
        <v>-0.14156330167253667</v>
      </c>
      <c r="V554">
        <v>195.3039</v>
      </c>
      <c r="W554">
        <v>206.17960000000002</v>
      </c>
      <c r="X554">
        <v>217.05530000000002</v>
      </c>
      <c r="Y554">
        <v>238.80670000000001</v>
      </c>
      <c r="Z554">
        <v>249.6824</v>
      </c>
      <c r="AA554">
        <v>260.55810000000002</v>
      </c>
      <c r="AD554">
        <v>15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 t="s">
        <v>462</v>
      </c>
      <c r="AL554" t="s">
        <v>6</v>
      </c>
      <c r="AM554" t="s">
        <v>1145</v>
      </c>
      <c r="AN554" t="s">
        <v>1146</v>
      </c>
      <c r="AO554" s="100">
        <v>46262.040405092594</v>
      </c>
      <c r="AP554" t="s">
        <v>1147</v>
      </c>
      <c r="AQ554" t="s">
        <v>2324</v>
      </c>
      <c r="AR554" t="s">
        <v>1163</v>
      </c>
      <c r="AS554" t="s">
        <v>1150</v>
      </c>
      <c r="AT554" t="s">
        <v>2269</v>
      </c>
      <c r="AU554">
        <v>25</v>
      </c>
      <c r="AV554">
        <v>227.46821199999999</v>
      </c>
      <c r="AW554">
        <v>9.8941051309740295</v>
      </c>
      <c r="AX554">
        <v>4.3496649681204813</v>
      </c>
      <c r="AY554">
        <v>4.5203109834689039</v>
      </c>
      <c r="AZ554">
        <v>11.697258180867697</v>
      </c>
      <c r="BA554">
        <v>2.4093094740258669</v>
      </c>
      <c r="BB554" t="s">
        <v>161</v>
      </c>
      <c r="BD554" s="98"/>
      <c r="BE554" s="98"/>
      <c r="BF554" t="s">
        <v>1152</v>
      </c>
      <c r="BG554" t="s">
        <v>322</v>
      </c>
      <c r="BH554" t="s">
        <v>1153</v>
      </c>
      <c r="BI554">
        <v>4.5203109834689039</v>
      </c>
      <c r="BJ554" t="s">
        <v>991</v>
      </c>
      <c r="BK554">
        <v>3.3027418191323026</v>
      </c>
      <c r="BL554">
        <v>22.018278794215352</v>
      </c>
      <c r="BM554" t="s">
        <v>1260</v>
      </c>
      <c r="BN554" t="s">
        <v>1154</v>
      </c>
      <c r="BO554">
        <v>2025</v>
      </c>
      <c r="BP554" t="s">
        <v>966</v>
      </c>
      <c r="BQ554">
        <v>181593.39554012532</v>
      </c>
      <c r="BR554">
        <v>81.840660445987467</v>
      </c>
      <c r="BS554" t="s">
        <v>992</v>
      </c>
      <c r="BV554" t="s">
        <v>1034</v>
      </c>
      <c r="BW554" t="s">
        <v>943</v>
      </c>
      <c r="BX554" t="s">
        <v>994</v>
      </c>
      <c r="BY554">
        <v>2.4093094740258669</v>
      </c>
      <c r="BZ554" t="s">
        <v>2270</v>
      </c>
      <c r="CA554" t="s">
        <v>991</v>
      </c>
      <c r="CB554" t="b">
        <v>1</v>
      </c>
      <c r="CC554" t="b">
        <v>1</v>
      </c>
      <c r="CD554" t="b">
        <v>1</v>
      </c>
      <c r="CE554" t="b">
        <v>1</v>
      </c>
      <c r="CF554" t="b">
        <v>1</v>
      </c>
    </row>
    <row r="555" spans="1:84" x14ac:dyDescent="0.3">
      <c r="A555" t="s">
        <v>2325</v>
      </c>
      <c r="B555" t="s">
        <v>1165</v>
      </c>
      <c r="C555" s="98">
        <v>45684</v>
      </c>
      <c r="D555">
        <v>2025</v>
      </c>
      <c r="E555">
        <v>1</v>
      </c>
      <c r="F555">
        <v>1</v>
      </c>
      <c r="G555" t="s">
        <v>1144</v>
      </c>
      <c r="H555" t="s">
        <v>132</v>
      </c>
      <c r="I555" t="s">
        <v>132</v>
      </c>
      <c r="J555" t="s">
        <v>6</v>
      </c>
      <c r="L555">
        <v>522611</v>
      </c>
      <c r="M555" s="99" t="s">
        <v>179</v>
      </c>
      <c r="N555">
        <v>2</v>
      </c>
      <c r="O555">
        <v>4</v>
      </c>
      <c r="P555">
        <v>223.15440000000001</v>
      </c>
      <c r="Q555" t="s">
        <v>352</v>
      </c>
      <c r="R555">
        <v>1</v>
      </c>
      <c r="S555">
        <v>227.93100000000001</v>
      </c>
      <c r="T555">
        <v>10.8757</v>
      </c>
      <c r="U555">
        <v>-0.43919931590610278</v>
      </c>
      <c r="V555">
        <v>195.3039</v>
      </c>
      <c r="W555">
        <v>206.17960000000002</v>
      </c>
      <c r="X555">
        <v>217.05530000000002</v>
      </c>
      <c r="Y555">
        <v>238.80670000000001</v>
      </c>
      <c r="Z555">
        <v>249.6824</v>
      </c>
      <c r="AA555">
        <v>260.55810000000002</v>
      </c>
      <c r="AD555">
        <v>15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 t="s">
        <v>462</v>
      </c>
      <c r="AL555" t="s">
        <v>6</v>
      </c>
      <c r="AM555" t="s">
        <v>1145</v>
      </c>
      <c r="AN555" t="s">
        <v>1146</v>
      </c>
      <c r="AO555" s="100">
        <v>46262.040405092594</v>
      </c>
      <c r="AP555" t="s">
        <v>1147</v>
      </c>
      <c r="AQ555" t="s">
        <v>2326</v>
      </c>
      <c r="AR555" t="s">
        <v>1167</v>
      </c>
      <c r="AS555" t="s">
        <v>1150</v>
      </c>
      <c r="AT555" t="s">
        <v>2269</v>
      </c>
      <c r="AU555">
        <v>25</v>
      </c>
      <c r="AV555">
        <v>227.46821199999999</v>
      </c>
      <c r="AW555">
        <v>9.8941051309740295</v>
      </c>
      <c r="AX555">
        <v>4.3496649681204813</v>
      </c>
      <c r="AY555">
        <v>4.5203109834689039</v>
      </c>
      <c r="AZ555">
        <v>11.697258180867697</v>
      </c>
      <c r="BA555">
        <v>2.4093094740258669</v>
      </c>
      <c r="BB555" t="s">
        <v>161</v>
      </c>
      <c r="BD555" s="98"/>
      <c r="BE555" s="98"/>
      <c r="BF555" t="s">
        <v>1152</v>
      </c>
      <c r="BG555" t="s">
        <v>322</v>
      </c>
      <c r="BH555" t="s">
        <v>1153</v>
      </c>
      <c r="BI555">
        <v>4.5203109834689039</v>
      </c>
      <c r="BJ555" t="s">
        <v>991</v>
      </c>
      <c r="BK555">
        <v>3.3027418191323026</v>
      </c>
      <c r="BL555">
        <v>22.018278794215352</v>
      </c>
      <c r="BM555" t="s">
        <v>1260</v>
      </c>
      <c r="BN555" t="s">
        <v>1154</v>
      </c>
      <c r="BO555">
        <v>2025</v>
      </c>
      <c r="BP555" t="s">
        <v>966</v>
      </c>
      <c r="BQ555">
        <v>181593.39554012532</v>
      </c>
      <c r="BR555">
        <v>81.840660445987467</v>
      </c>
      <c r="BS555" t="s">
        <v>992</v>
      </c>
      <c r="BV555" t="s">
        <v>1034</v>
      </c>
      <c r="BW555" t="s">
        <v>943</v>
      </c>
      <c r="BX555" t="s">
        <v>994</v>
      </c>
      <c r="BY555">
        <v>2.4093094740258669</v>
      </c>
      <c r="BZ555" t="s">
        <v>2270</v>
      </c>
      <c r="CA555" t="s">
        <v>991</v>
      </c>
      <c r="CB555" t="b">
        <v>1</v>
      </c>
      <c r="CC555" t="b">
        <v>1</v>
      </c>
      <c r="CD555" t="b">
        <v>1</v>
      </c>
      <c r="CE555" t="b">
        <v>1</v>
      </c>
      <c r="CF555" t="b">
        <v>1</v>
      </c>
    </row>
    <row r="556" spans="1:84" x14ac:dyDescent="0.3">
      <c r="A556" t="s">
        <v>2327</v>
      </c>
      <c r="B556" t="s">
        <v>1169</v>
      </c>
      <c r="C556" s="98">
        <v>45691</v>
      </c>
      <c r="D556">
        <v>2025</v>
      </c>
      <c r="E556">
        <v>2</v>
      </c>
      <c r="F556">
        <v>1</v>
      </c>
      <c r="G556" t="s">
        <v>1170</v>
      </c>
      <c r="H556" t="s">
        <v>132</v>
      </c>
      <c r="I556" t="s">
        <v>132</v>
      </c>
      <c r="J556" t="s">
        <v>6</v>
      </c>
      <c r="L556">
        <v>522611</v>
      </c>
      <c r="M556" s="99" t="s">
        <v>179</v>
      </c>
      <c r="N556">
        <v>2</v>
      </c>
      <c r="O556">
        <v>5</v>
      </c>
      <c r="P556">
        <v>233.93809999999999</v>
      </c>
      <c r="Q556" t="s">
        <v>352</v>
      </c>
      <c r="R556">
        <v>1</v>
      </c>
      <c r="S556">
        <v>227.93100000000001</v>
      </c>
      <c r="T556">
        <v>10.8757</v>
      </c>
      <c r="U556">
        <v>0.5523414584808316</v>
      </c>
      <c r="V556">
        <v>195.3039</v>
      </c>
      <c r="W556">
        <v>206.17960000000002</v>
      </c>
      <c r="X556">
        <v>217.05530000000002</v>
      </c>
      <c r="Y556">
        <v>238.80670000000001</v>
      </c>
      <c r="Z556">
        <v>249.6824</v>
      </c>
      <c r="AA556">
        <v>260.55810000000002</v>
      </c>
      <c r="AD556">
        <v>15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 t="s">
        <v>462</v>
      </c>
      <c r="AL556" t="s">
        <v>6</v>
      </c>
      <c r="AM556" t="s">
        <v>1145</v>
      </c>
      <c r="AN556" t="s">
        <v>1146</v>
      </c>
      <c r="AO556" s="100">
        <v>46262.040405092594</v>
      </c>
      <c r="AP556" t="s">
        <v>1147</v>
      </c>
      <c r="AQ556" t="s">
        <v>2328</v>
      </c>
      <c r="AR556" t="s">
        <v>1172</v>
      </c>
      <c r="AS556" t="s">
        <v>1150</v>
      </c>
      <c r="AT556" t="s">
        <v>2269</v>
      </c>
      <c r="AU556">
        <v>25</v>
      </c>
      <c r="AV556">
        <v>227.46821199999999</v>
      </c>
      <c r="AW556">
        <v>9.8941051309740295</v>
      </c>
      <c r="AX556">
        <v>4.3496649681204813</v>
      </c>
      <c r="AY556">
        <v>4.5203109834689039</v>
      </c>
      <c r="AZ556">
        <v>11.697258180867697</v>
      </c>
      <c r="BA556">
        <v>2.4093094740258669</v>
      </c>
      <c r="BB556" t="s">
        <v>161</v>
      </c>
      <c r="BD556" s="98"/>
      <c r="BE556" s="98"/>
      <c r="BF556" t="s">
        <v>1152</v>
      </c>
      <c r="BG556" t="s">
        <v>322</v>
      </c>
      <c r="BH556" t="s">
        <v>1153</v>
      </c>
      <c r="BI556">
        <v>4.5203109834689039</v>
      </c>
      <c r="BJ556" t="s">
        <v>991</v>
      </c>
      <c r="BK556">
        <v>3.3027418191323026</v>
      </c>
      <c r="BL556">
        <v>22.018278794215352</v>
      </c>
      <c r="BM556" t="s">
        <v>1260</v>
      </c>
      <c r="BN556" t="s">
        <v>1154</v>
      </c>
      <c r="BO556">
        <v>2025</v>
      </c>
      <c r="BP556" t="s">
        <v>966</v>
      </c>
      <c r="BQ556">
        <v>181593.39554012532</v>
      </c>
      <c r="BR556">
        <v>81.840660445987467</v>
      </c>
      <c r="BS556" t="s">
        <v>992</v>
      </c>
      <c r="BV556" t="s">
        <v>1034</v>
      </c>
      <c r="BW556" t="s">
        <v>943</v>
      </c>
      <c r="BX556" t="s">
        <v>994</v>
      </c>
      <c r="BY556">
        <v>2.4093094740258669</v>
      </c>
      <c r="BZ556" t="s">
        <v>2270</v>
      </c>
      <c r="CA556" t="s">
        <v>991</v>
      </c>
      <c r="CB556" t="b">
        <v>1</v>
      </c>
      <c r="CC556" t="b">
        <v>1</v>
      </c>
      <c r="CD556" t="b">
        <v>1</v>
      </c>
      <c r="CE556" t="b">
        <v>1</v>
      </c>
      <c r="CF556" t="b">
        <v>1</v>
      </c>
    </row>
    <row r="557" spans="1:84" x14ac:dyDescent="0.3">
      <c r="A557" t="s">
        <v>2329</v>
      </c>
      <c r="B557" t="s">
        <v>1174</v>
      </c>
      <c r="C557" s="98">
        <v>45698</v>
      </c>
      <c r="D557">
        <v>2025</v>
      </c>
      <c r="E557">
        <v>2</v>
      </c>
      <c r="F557">
        <v>1</v>
      </c>
      <c r="G557" t="s">
        <v>1170</v>
      </c>
      <c r="H557" t="s">
        <v>132</v>
      </c>
      <c r="I557" t="s">
        <v>132</v>
      </c>
      <c r="J557" t="s">
        <v>6</v>
      </c>
      <c r="L557">
        <v>522611</v>
      </c>
      <c r="M557" s="99" t="s">
        <v>179</v>
      </c>
      <c r="N557">
        <v>2</v>
      </c>
      <c r="O557">
        <v>6</v>
      </c>
      <c r="P557">
        <v>209.82730000000001</v>
      </c>
      <c r="Q557" t="s">
        <v>352</v>
      </c>
      <c r="R557">
        <v>1</v>
      </c>
      <c r="S557">
        <v>227.93100000000001</v>
      </c>
      <c r="T557">
        <v>10.8757</v>
      </c>
      <c r="U557">
        <v>-1.6646008992524621</v>
      </c>
      <c r="V557">
        <v>195.3039</v>
      </c>
      <c r="W557">
        <v>206.17960000000002</v>
      </c>
      <c r="X557">
        <v>217.05530000000002</v>
      </c>
      <c r="Y557">
        <v>238.80670000000001</v>
      </c>
      <c r="Z557">
        <v>249.6824</v>
      </c>
      <c r="AA557">
        <v>260.55810000000002</v>
      </c>
      <c r="AD557">
        <v>15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 t="s">
        <v>462</v>
      </c>
      <c r="AL557" t="s">
        <v>6</v>
      </c>
      <c r="AM557" t="s">
        <v>1145</v>
      </c>
      <c r="AN557" t="s">
        <v>1146</v>
      </c>
      <c r="AO557" s="100">
        <v>46262.040405092594</v>
      </c>
      <c r="AP557" t="s">
        <v>1147</v>
      </c>
      <c r="AQ557" t="s">
        <v>2330</v>
      </c>
      <c r="AR557" t="s">
        <v>1176</v>
      </c>
      <c r="AS557" t="s">
        <v>1150</v>
      </c>
      <c r="AT557" t="s">
        <v>2269</v>
      </c>
      <c r="AU557">
        <v>25</v>
      </c>
      <c r="AV557">
        <v>227.46821199999999</v>
      </c>
      <c r="AW557">
        <v>9.8941051309740295</v>
      </c>
      <c r="AX557">
        <v>4.3496649681204813</v>
      </c>
      <c r="AY557">
        <v>4.5203109834689039</v>
      </c>
      <c r="AZ557">
        <v>11.697258180867697</v>
      </c>
      <c r="BA557">
        <v>2.4093094740258669</v>
      </c>
      <c r="BB557" t="s">
        <v>161</v>
      </c>
      <c r="BD557" s="98"/>
      <c r="BE557" s="98"/>
      <c r="BF557" t="s">
        <v>1152</v>
      </c>
      <c r="BG557" t="s">
        <v>322</v>
      </c>
      <c r="BH557" t="s">
        <v>1153</v>
      </c>
      <c r="BI557">
        <v>4.5203109834689039</v>
      </c>
      <c r="BJ557" t="s">
        <v>991</v>
      </c>
      <c r="BK557">
        <v>3.3027418191323026</v>
      </c>
      <c r="BL557">
        <v>22.018278794215352</v>
      </c>
      <c r="BM557" t="s">
        <v>1260</v>
      </c>
      <c r="BN557" t="s">
        <v>1154</v>
      </c>
      <c r="BO557">
        <v>2025</v>
      </c>
      <c r="BP557" t="s">
        <v>966</v>
      </c>
      <c r="BQ557">
        <v>181593.39554012532</v>
      </c>
      <c r="BR557">
        <v>81.840660445987467</v>
      </c>
      <c r="BS557" t="s">
        <v>992</v>
      </c>
      <c r="BV557" t="s">
        <v>1034</v>
      </c>
      <c r="BW557" t="s">
        <v>943</v>
      </c>
      <c r="BX557" t="s">
        <v>994</v>
      </c>
      <c r="BY557">
        <v>2.4093094740258669</v>
      </c>
      <c r="BZ557" t="s">
        <v>2270</v>
      </c>
      <c r="CA557" t="s">
        <v>991</v>
      </c>
      <c r="CB557" t="b">
        <v>1</v>
      </c>
      <c r="CC557" t="b">
        <v>1</v>
      </c>
      <c r="CD557" t="b">
        <v>1</v>
      </c>
      <c r="CE557" t="b">
        <v>1</v>
      </c>
      <c r="CF557" t="b">
        <v>1</v>
      </c>
    </row>
    <row r="558" spans="1:84" x14ac:dyDescent="0.3">
      <c r="A558" t="s">
        <v>2331</v>
      </c>
      <c r="B558" t="s">
        <v>1178</v>
      </c>
      <c r="C558" s="98">
        <v>45705</v>
      </c>
      <c r="D558">
        <v>2025</v>
      </c>
      <c r="E558">
        <v>2</v>
      </c>
      <c r="F558">
        <v>1</v>
      </c>
      <c r="G558" t="s">
        <v>1170</v>
      </c>
      <c r="H558" t="s">
        <v>132</v>
      </c>
      <c r="I558" t="s">
        <v>132</v>
      </c>
      <c r="J558" t="s">
        <v>6</v>
      </c>
      <c r="L558">
        <v>522611</v>
      </c>
      <c r="M558" s="99" t="s">
        <v>179</v>
      </c>
      <c r="N558">
        <v>2</v>
      </c>
      <c r="O558">
        <v>7</v>
      </c>
      <c r="P558">
        <v>232.93879999999999</v>
      </c>
      <c r="Q558" t="s">
        <v>352</v>
      </c>
      <c r="R558">
        <v>1</v>
      </c>
      <c r="S558">
        <v>227.93100000000001</v>
      </c>
      <c r="T558">
        <v>10.8757</v>
      </c>
      <c r="U558">
        <v>0.460457717664148</v>
      </c>
      <c r="V558">
        <v>195.3039</v>
      </c>
      <c r="W558">
        <v>206.17960000000002</v>
      </c>
      <c r="X558">
        <v>217.05530000000002</v>
      </c>
      <c r="Y558">
        <v>238.80670000000001</v>
      </c>
      <c r="Z558">
        <v>249.6824</v>
      </c>
      <c r="AA558">
        <v>260.55810000000002</v>
      </c>
      <c r="AD558">
        <v>15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 t="s">
        <v>462</v>
      </c>
      <c r="AL558" t="s">
        <v>6</v>
      </c>
      <c r="AM558" t="s">
        <v>1145</v>
      </c>
      <c r="AN558" t="s">
        <v>1146</v>
      </c>
      <c r="AO558" s="100">
        <v>46262.040405092594</v>
      </c>
      <c r="AP558" t="s">
        <v>1147</v>
      </c>
      <c r="AQ558" t="s">
        <v>2332</v>
      </c>
      <c r="AR558" t="s">
        <v>1180</v>
      </c>
      <c r="AS558" t="s">
        <v>1150</v>
      </c>
      <c r="AT558" t="s">
        <v>2269</v>
      </c>
      <c r="AU558">
        <v>25</v>
      </c>
      <c r="AV558">
        <v>227.46821199999999</v>
      </c>
      <c r="AW558">
        <v>9.8941051309740295</v>
      </c>
      <c r="AX558">
        <v>4.3496649681204813</v>
      </c>
      <c r="AY558">
        <v>4.5203109834689039</v>
      </c>
      <c r="AZ558">
        <v>11.697258180867697</v>
      </c>
      <c r="BA558">
        <v>2.4093094740258669</v>
      </c>
      <c r="BB558" t="s">
        <v>161</v>
      </c>
      <c r="BD558" s="98"/>
      <c r="BE558" s="98"/>
      <c r="BF558" t="s">
        <v>1152</v>
      </c>
      <c r="BG558" t="s">
        <v>322</v>
      </c>
      <c r="BH558" t="s">
        <v>1153</v>
      </c>
      <c r="BI558">
        <v>4.5203109834689039</v>
      </c>
      <c r="BJ558" t="s">
        <v>991</v>
      </c>
      <c r="BK558">
        <v>3.3027418191323026</v>
      </c>
      <c r="BL558">
        <v>22.018278794215352</v>
      </c>
      <c r="BM558" t="s">
        <v>1260</v>
      </c>
      <c r="BN558" t="s">
        <v>1154</v>
      </c>
      <c r="BO558">
        <v>2025</v>
      </c>
      <c r="BP558" t="s">
        <v>966</v>
      </c>
      <c r="BQ558">
        <v>181593.39554012532</v>
      </c>
      <c r="BR558">
        <v>81.840660445987467</v>
      </c>
      <c r="BS558" t="s">
        <v>992</v>
      </c>
      <c r="BV558" t="s">
        <v>1034</v>
      </c>
      <c r="BW558" t="s">
        <v>943</v>
      </c>
      <c r="BX558" t="s">
        <v>994</v>
      </c>
      <c r="BY558">
        <v>2.4093094740258669</v>
      </c>
      <c r="BZ558" t="s">
        <v>2270</v>
      </c>
      <c r="CA558" t="s">
        <v>991</v>
      </c>
      <c r="CB558" t="b">
        <v>1</v>
      </c>
      <c r="CC558" t="b">
        <v>1</v>
      </c>
      <c r="CD558" t="b">
        <v>1</v>
      </c>
      <c r="CE558" t="b">
        <v>1</v>
      </c>
      <c r="CF558" t="b">
        <v>1</v>
      </c>
    </row>
    <row r="559" spans="1:84" x14ac:dyDescent="0.3">
      <c r="A559" t="s">
        <v>2333</v>
      </c>
      <c r="B559" t="s">
        <v>1182</v>
      </c>
      <c r="C559" s="98">
        <v>45712</v>
      </c>
      <c r="D559">
        <v>2025</v>
      </c>
      <c r="E559">
        <v>2</v>
      </c>
      <c r="F559">
        <v>1</v>
      </c>
      <c r="G559" t="s">
        <v>1170</v>
      </c>
      <c r="H559" t="s">
        <v>132</v>
      </c>
      <c r="I559" t="s">
        <v>132</v>
      </c>
      <c r="J559" t="s">
        <v>6</v>
      </c>
      <c r="L559">
        <v>522611</v>
      </c>
      <c r="M559" s="99" t="s">
        <v>179</v>
      </c>
      <c r="N559">
        <v>2</v>
      </c>
      <c r="O559">
        <v>8</v>
      </c>
      <c r="P559">
        <v>230.57419999999999</v>
      </c>
      <c r="Q559" t="s">
        <v>352</v>
      </c>
      <c r="R559">
        <v>1</v>
      </c>
      <c r="S559">
        <v>227.93100000000001</v>
      </c>
      <c r="T559">
        <v>10.8757</v>
      </c>
      <c r="U559">
        <v>0.243037229787506</v>
      </c>
      <c r="V559">
        <v>195.3039</v>
      </c>
      <c r="W559">
        <v>206.17960000000002</v>
      </c>
      <c r="X559">
        <v>217.05530000000002</v>
      </c>
      <c r="Y559">
        <v>238.80670000000001</v>
      </c>
      <c r="Z559">
        <v>249.6824</v>
      </c>
      <c r="AA559">
        <v>260.55810000000002</v>
      </c>
      <c r="AD559">
        <v>15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 t="s">
        <v>462</v>
      </c>
      <c r="AL559" t="s">
        <v>6</v>
      </c>
      <c r="AM559" t="s">
        <v>1145</v>
      </c>
      <c r="AN559" t="s">
        <v>1146</v>
      </c>
      <c r="AO559" s="100">
        <v>46262.040405092594</v>
      </c>
      <c r="AP559" t="s">
        <v>1147</v>
      </c>
      <c r="AQ559" t="s">
        <v>2334</v>
      </c>
      <c r="AR559" t="s">
        <v>1184</v>
      </c>
      <c r="AS559" t="s">
        <v>1150</v>
      </c>
      <c r="AT559" t="s">
        <v>2269</v>
      </c>
      <c r="AU559">
        <v>25</v>
      </c>
      <c r="AV559">
        <v>227.46821199999999</v>
      </c>
      <c r="AW559">
        <v>9.8941051309740295</v>
      </c>
      <c r="AX559">
        <v>4.3496649681204813</v>
      </c>
      <c r="AY559">
        <v>4.5203109834689039</v>
      </c>
      <c r="AZ559">
        <v>11.697258180867697</v>
      </c>
      <c r="BA559">
        <v>2.4093094740258669</v>
      </c>
      <c r="BB559" t="s">
        <v>161</v>
      </c>
      <c r="BD559" s="98"/>
      <c r="BE559" s="98"/>
      <c r="BF559" t="s">
        <v>1152</v>
      </c>
      <c r="BG559" t="s">
        <v>322</v>
      </c>
      <c r="BH559" t="s">
        <v>1153</v>
      </c>
      <c r="BI559">
        <v>4.5203109834689039</v>
      </c>
      <c r="BJ559" t="s">
        <v>991</v>
      </c>
      <c r="BK559">
        <v>3.3027418191323026</v>
      </c>
      <c r="BL559">
        <v>22.018278794215352</v>
      </c>
      <c r="BM559" t="s">
        <v>1260</v>
      </c>
      <c r="BN559" t="s">
        <v>1154</v>
      </c>
      <c r="BO559">
        <v>2025</v>
      </c>
      <c r="BP559" t="s">
        <v>966</v>
      </c>
      <c r="BQ559">
        <v>181593.39554012532</v>
      </c>
      <c r="BR559">
        <v>81.840660445987467</v>
      </c>
      <c r="BS559" t="s">
        <v>992</v>
      </c>
      <c r="BV559" t="s">
        <v>1034</v>
      </c>
      <c r="BW559" t="s">
        <v>943</v>
      </c>
      <c r="BX559" t="s">
        <v>994</v>
      </c>
      <c r="BY559">
        <v>2.4093094740258669</v>
      </c>
      <c r="BZ559" t="s">
        <v>2270</v>
      </c>
      <c r="CA559" t="s">
        <v>991</v>
      </c>
      <c r="CB559" t="b">
        <v>1</v>
      </c>
      <c r="CC559" t="b">
        <v>1</v>
      </c>
      <c r="CD559" t="b">
        <v>1</v>
      </c>
      <c r="CE559" t="b">
        <v>1</v>
      </c>
      <c r="CF559" t="b">
        <v>1</v>
      </c>
    </row>
    <row r="560" spans="1:84" x14ac:dyDescent="0.3">
      <c r="A560" t="s">
        <v>2335</v>
      </c>
      <c r="B560" t="s">
        <v>1186</v>
      </c>
      <c r="C560" s="98">
        <v>45719</v>
      </c>
      <c r="D560">
        <v>2025</v>
      </c>
      <c r="E560">
        <v>3</v>
      </c>
      <c r="F560">
        <v>1</v>
      </c>
      <c r="G560" t="s">
        <v>1187</v>
      </c>
      <c r="H560" t="s">
        <v>132</v>
      </c>
      <c r="I560" t="s">
        <v>132</v>
      </c>
      <c r="J560" t="s">
        <v>6</v>
      </c>
      <c r="L560">
        <v>522611</v>
      </c>
      <c r="M560" s="99" t="s">
        <v>179</v>
      </c>
      <c r="N560">
        <v>2</v>
      </c>
      <c r="O560">
        <v>9</v>
      </c>
      <c r="P560">
        <v>231.0129</v>
      </c>
      <c r="Q560" t="s">
        <v>352</v>
      </c>
      <c r="R560">
        <v>1</v>
      </c>
      <c r="S560">
        <v>227.93100000000001</v>
      </c>
      <c r="T560">
        <v>10.8757</v>
      </c>
      <c r="U560">
        <v>0.28337486322719369</v>
      </c>
      <c r="V560">
        <v>195.3039</v>
      </c>
      <c r="W560">
        <v>206.17960000000002</v>
      </c>
      <c r="X560">
        <v>217.05530000000002</v>
      </c>
      <c r="Y560">
        <v>238.80670000000001</v>
      </c>
      <c r="Z560">
        <v>249.6824</v>
      </c>
      <c r="AA560">
        <v>260.55810000000002</v>
      </c>
      <c r="AD560">
        <v>15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 t="s">
        <v>462</v>
      </c>
      <c r="AL560" t="s">
        <v>6</v>
      </c>
      <c r="AM560" t="s">
        <v>1145</v>
      </c>
      <c r="AN560" t="s">
        <v>1146</v>
      </c>
      <c r="AO560" s="100">
        <v>46262.040405092594</v>
      </c>
      <c r="AP560" t="s">
        <v>1147</v>
      </c>
      <c r="AQ560" t="s">
        <v>2336</v>
      </c>
      <c r="AR560" t="s">
        <v>1189</v>
      </c>
      <c r="AS560" t="s">
        <v>1150</v>
      </c>
      <c r="AT560" t="s">
        <v>2269</v>
      </c>
      <c r="AU560">
        <v>25</v>
      </c>
      <c r="AV560">
        <v>227.46821199999999</v>
      </c>
      <c r="AW560">
        <v>9.8941051309740295</v>
      </c>
      <c r="AX560">
        <v>4.3496649681204813</v>
      </c>
      <c r="AY560">
        <v>4.5203109834689039</v>
      </c>
      <c r="AZ560">
        <v>11.697258180867697</v>
      </c>
      <c r="BA560">
        <v>2.4093094740258669</v>
      </c>
      <c r="BB560" t="s">
        <v>161</v>
      </c>
      <c r="BD560" s="98"/>
      <c r="BE560" s="98"/>
      <c r="BF560" t="s">
        <v>1152</v>
      </c>
      <c r="BG560" t="s">
        <v>322</v>
      </c>
      <c r="BH560" t="s">
        <v>1153</v>
      </c>
      <c r="BI560">
        <v>4.5203109834689039</v>
      </c>
      <c r="BJ560" t="s">
        <v>991</v>
      </c>
      <c r="BK560">
        <v>3.3027418191323026</v>
      </c>
      <c r="BL560">
        <v>22.018278794215352</v>
      </c>
      <c r="BM560" t="s">
        <v>1260</v>
      </c>
      <c r="BN560" t="s">
        <v>1154</v>
      </c>
      <c r="BO560">
        <v>2025</v>
      </c>
      <c r="BP560" t="s">
        <v>966</v>
      </c>
      <c r="BQ560">
        <v>181593.39554012532</v>
      </c>
      <c r="BR560">
        <v>81.840660445987467</v>
      </c>
      <c r="BS560" t="s">
        <v>992</v>
      </c>
      <c r="BV560" t="s">
        <v>1034</v>
      </c>
      <c r="BW560" t="s">
        <v>943</v>
      </c>
      <c r="BX560" t="s">
        <v>994</v>
      </c>
      <c r="BY560">
        <v>2.4093094740258669</v>
      </c>
      <c r="BZ560" t="s">
        <v>2270</v>
      </c>
      <c r="CA560" t="s">
        <v>991</v>
      </c>
      <c r="CB560" t="b">
        <v>1</v>
      </c>
      <c r="CC560" t="b">
        <v>1</v>
      </c>
      <c r="CD560" t="b">
        <v>1</v>
      </c>
      <c r="CE560" t="b">
        <v>1</v>
      </c>
      <c r="CF560" t="b">
        <v>1</v>
      </c>
    </row>
    <row r="561" spans="1:84" x14ac:dyDescent="0.3">
      <c r="A561" t="s">
        <v>2337</v>
      </c>
      <c r="B561" t="s">
        <v>1191</v>
      </c>
      <c r="C561" s="98">
        <v>45726</v>
      </c>
      <c r="D561">
        <v>2025</v>
      </c>
      <c r="E561">
        <v>3</v>
      </c>
      <c r="F561">
        <v>1</v>
      </c>
      <c r="G561" t="s">
        <v>1187</v>
      </c>
      <c r="H561" t="s">
        <v>132</v>
      </c>
      <c r="I561" t="s">
        <v>132</v>
      </c>
      <c r="J561" t="s">
        <v>6</v>
      </c>
      <c r="L561">
        <v>522611</v>
      </c>
      <c r="M561" s="99" t="s">
        <v>179</v>
      </c>
      <c r="N561">
        <v>2</v>
      </c>
      <c r="O561">
        <v>10</v>
      </c>
      <c r="P561">
        <v>232.09979999999999</v>
      </c>
      <c r="Q561" t="s">
        <v>352</v>
      </c>
      <c r="R561">
        <v>1</v>
      </c>
      <c r="S561">
        <v>227.93100000000001</v>
      </c>
      <c r="T561">
        <v>10.8757</v>
      </c>
      <c r="U561">
        <v>0.38331325799718419</v>
      </c>
      <c r="V561">
        <v>195.3039</v>
      </c>
      <c r="W561">
        <v>206.17960000000002</v>
      </c>
      <c r="X561">
        <v>217.05530000000002</v>
      </c>
      <c r="Y561">
        <v>238.80670000000001</v>
      </c>
      <c r="Z561">
        <v>249.6824</v>
      </c>
      <c r="AA561">
        <v>260.55810000000002</v>
      </c>
      <c r="AD561">
        <v>15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 t="s">
        <v>462</v>
      </c>
      <c r="AL561" t="s">
        <v>6</v>
      </c>
      <c r="AM561" t="s">
        <v>1145</v>
      </c>
      <c r="AN561" t="s">
        <v>1146</v>
      </c>
      <c r="AO561" s="100">
        <v>46262.040405092594</v>
      </c>
      <c r="AP561" t="s">
        <v>1147</v>
      </c>
      <c r="AQ561" t="s">
        <v>2338</v>
      </c>
      <c r="AR561" t="s">
        <v>1193</v>
      </c>
      <c r="AS561" t="s">
        <v>1150</v>
      </c>
      <c r="AT561" t="s">
        <v>2269</v>
      </c>
      <c r="AU561">
        <v>25</v>
      </c>
      <c r="AV561">
        <v>227.46821199999999</v>
      </c>
      <c r="AW561">
        <v>9.8941051309740295</v>
      </c>
      <c r="AX561">
        <v>4.3496649681204813</v>
      </c>
      <c r="AY561">
        <v>4.5203109834689039</v>
      </c>
      <c r="AZ561">
        <v>11.697258180867697</v>
      </c>
      <c r="BA561">
        <v>2.4093094740258669</v>
      </c>
      <c r="BB561" t="s">
        <v>161</v>
      </c>
      <c r="BD561" s="98"/>
      <c r="BE561" s="98"/>
      <c r="BF561" t="s">
        <v>1152</v>
      </c>
      <c r="BG561" t="s">
        <v>322</v>
      </c>
      <c r="BH561" t="s">
        <v>1153</v>
      </c>
      <c r="BI561">
        <v>4.5203109834689039</v>
      </c>
      <c r="BJ561" t="s">
        <v>991</v>
      </c>
      <c r="BK561">
        <v>3.3027418191323026</v>
      </c>
      <c r="BL561">
        <v>22.018278794215352</v>
      </c>
      <c r="BM561" t="s">
        <v>1260</v>
      </c>
      <c r="BN561" t="s">
        <v>1154</v>
      </c>
      <c r="BO561">
        <v>2025</v>
      </c>
      <c r="BP561" t="s">
        <v>966</v>
      </c>
      <c r="BQ561">
        <v>181593.39554012532</v>
      </c>
      <c r="BR561">
        <v>81.840660445987467</v>
      </c>
      <c r="BS561" t="s">
        <v>992</v>
      </c>
      <c r="BV561" t="s">
        <v>1034</v>
      </c>
      <c r="BW561" t="s">
        <v>943</v>
      </c>
      <c r="BX561" t="s">
        <v>994</v>
      </c>
      <c r="BY561">
        <v>2.4093094740258669</v>
      </c>
      <c r="BZ561" t="s">
        <v>2270</v>
      </c>
      <c r="CA561" t="s">
        <v>991</v>
      </c>
      <c r="CB561" t="b">
        <v>1</v>
      </c>
      <c r="CC561" t="b">
        <v>1</v>
      </c>
      <c r="CD561" t="b">
        <v>1</v>
      </c>
      <c r="CE561" t="b">
        <v>1</v>
      </c>
      <c r="CF561" t="b">
        <v>1</v>
      </c>
    </row>
    <row r="562" spans="1:84" x14ac:dyDescent="0.3">
      <c r="A562" t="s">
        <v>2339</v>
      </c>
      <c r="B562" t="s">
        <v>1195</v>
      </c>
      <c r="C562" s="98">
        <v>45733</v>
      </c>
      <c r="D562">
        <v>2025</v>
      </c>
      <c r="E562">
        <v>3</v>
      </c>
      <c r="F562">
        <v>1</v>
      </c>
      <c r="G562" t="s">
        <v>1187</v>
      </c>
      <c r="H562" t="s">
        <v>132</v>
      </c>
      <c r="I562" t="s">
        <v>132</v>
      </c>
      <c r="J562" t="s">
        <v>6</v>
      </c>
      <c r="L562">
        <v>522611</v>
      </c>
      <c r="M562" s="99" t="s">
        <v>179</v>
      </c>
      <c r="N562">
        <v>2</v>
      </c>
      <c r="O562">
        <v>11</v>
      </c>
      <c r="P562">
        <v>220.82220000000001</v>
      </c>
      <c r="Q562" t="s">
        <v>352</v>
      </c>
      <c r="R562">
        <v>1</v>
      </c>
      <c r="S562">
        <v>227.93100000000001</v>
      </c>
      <c r="T562">
        <v>10.8757</v>
      </c>
      <c r="U562">
        <v>-0.65364068519727481</v>
      </c>
      <c r="V562">
        <v>195.3039</v>
      </c>
      <c r="W562">
        <v>206.17960000000002</v>
      </c>
      <c r="X562">
        <v>217.05530000000002</v>
      </c>
      <c r="Y562">
        <v>238.80670000000001</v>
      </c>
      <c r="Z562">
        <v>249.6824</v>
      </c>
      <c r="AA562">
        <v>260.55810000000002</v>
      </c>
      <c r="AD562">
        <v>15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 t="s">
        <v>462</v>
      </c>
      <c r="AL562" t="s">
        <v>6</v>
      </c>
      <c r="AM562" t="s">
        <v>1145</v>
      </c>
      <c r="AN562" t="s">
        <v>1146</v>
      </c>
      <c r="AO562" s="100">
        <v>46262.040405092594</v>
      </c>
      <c r="AP562" t="s">
        <v>1147</v>
      </c>
      <c r="AQ562" t="s">
        <v>2340</v>
      </c>
      <c r="AR562" t="s">
        <v>1197</v>
      </c>
      <c r="AS562" t="s">
        <v>1150</v>
      </c>
      <c r="AT562" t="s">
        <v>2269</v>
      </c>
      <c r="AU562">
        <v>25</v>
      </c>
      <c r="AV562">
        <v>227.46821199999999</v>
      </c>
      <c r="AW562">
        <v>9.8941051309740295</v>
      </c>
      <c r="AX562">
        <v>4.3496649681204813</v>
      </c>
      <c r="AY562">
        <v>4.5203109834689039</v>
      </c>
      <c r="AZ562">
        <v>11.697258180867697</v>
      </c>
      <c r="BA562">
        <v>2.4093094740258669</v>
      </c>
      <c r="BB562" t="s">
        <v>161</v>
      </c>
      <c r="BD562" s="98"/>
      <c r="BE562" s="98"/>
      <c r="BF562" t="s">
        <v>1152</v>
      </c>
      <c r="BG562" t="s">
        <v>322</v>
      </c>
      <c r="BH562" t="s">
        <v>1153</v>
      </c>
      <c r="BI562">
        <v>4.5203109834689039</v>
      </c>
      <c r="BJ562" t="s">
        <v>991</v>
      </c>
      <c r="BK562">
        <v>3.3027418191323026</v>
      </c>
      <c r="BL562">
        <v>22.018278794215352</v>
      </c>
      <c r="BM562" t="s">
        <v>1260</v>
      </c>
      <c r="BN562" t="s">
        <v>1154</v>
      </c>
      <c r="BO562">
        <v>2025</v>
      </c>
      <c r="BP562" t="s">
        <v>966</v>
      </c>
      <c r="BQ562">
        <v>181593.39554012532</v>
      </c>
      <c r="BR562">
        <v>81.840660445987467</v>
      </c>
      <c r="BS562" t="s">
        <v>992</v>
      </c>
      <c r="BV562" t="s">
        <v>1034</v>
      </c>
      <c r="BW562" t="s">
        <v>943</v>
      </c>
      <c r="BX562" t="s">
        <v>994</v>
      </c>
      <c r="BY562">
        <v>2.4093094740258669</v>
      </c>
      <c r="BZ562" t="s">
        <v>2270</v>
      </c>
      <c r="CA562" t="s">
        <v>991</v>
      </c>
      <c r="CB562" t="b">
        <v>1</v>
      </c>
      <c r="CC562" t="b">
        <v>1</v>
      </c>
      <c r="CD562" t="b">
        <v>1</v>
      </c>
      <c r="CE562" t="b">
        <v>1</v>
      </c>
      <c r="CF562" t="b">
        <v>1</v>
      </c>
    </row>
    <row r="563" spans="1:84" x14ac:dyDescent="0.3">
      <c r="A563" t="s">
        <v>2341</v>
      </c>
      <c r="B563" t="s">
        <v>1199</v>
      </c>
      <c r="C563" s="98">
        <v>45740</v>
      </c>
      <c r="D563">
        <v>2025</v>
      </c>
      <c r="E563">
        <v>3</v>
      </c>
      <c r="F563">
        <v>1</v>
      </c>
      <c r="G563" t="s">
        <v>1187</v>
      </c>
      <c r="H563" t="s">
        <v>132</v>
      </c>
      <c r="I563" t="s">
        <v>132</v>
      </c>
      <c r="J563" t="s">
        <v>6</v>
      </c>
      <c r="L563">
        <v>522611</v>
      </c>
      <c r="M563" s="99" t="s">
        <v>179</v>
      </c>
      <c r="N563">
        <v>2</v>
      </c>
      <c r="O563">
        <v>12</v>
      </c>
      <c r="P563">
        <v>225.10919999999999</v>
      </c>
      <c r="Q563" t="s">
        <v>352</v>
      </c>
      <c r="R563">
        <v>1</v>
      </c>
      <c r="S563">
        <v>227.93100000000001</v>
      </c>
      <c r="T563">
        <v>10.8757</v>
      </c>
      <c r="U563">
        <v>-0.25945916124939311</v>
      </c>
      <c r="V563">
        <v>195.3039</v>
      </c>
      <c r="W563">
        <v>206.17960000000002</v>
      </c>
      <c r="X563">
        <v>217.05530000000002</v>
      </c>
      <c r="Y563">
        <v>238.80670000000001</v>
      </c>
      <c r="Z563">
        <v>249.6824</v>
      </c>
      <c r="AA563">
        <v>260.55810000000002</v>
      </c>
      <c r="AD563">
        <v>15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 t="s">
        <v>462</v>
      </c>
      <c r="AL563" t="s">
        <v>6</v>
      </c>
      <c r="AM563" t="s">
        <v>1145</v>
      </c>
      <c r="AN563" t="s">
        <v>1146</v>
      </c>
      <c r="AO563" s="100">
        <v>46262.040405092594</v>
      </c>
      <c r="AP563" t="s">
        <v>1147</v>
      </c>
      <c r="AQ563" t="s">
        <v>2342</v>
      </c>
      <c r="AR563" t="s">
        <v>1201</v>
      </c>
      <c r="AS563" t="s">
        <v>1150</v>
      </c>
      <c r="AT563" t="s">
        <v>2269</v>
      </c>
      <c r="AU563">
        <v>25</v>
      </c>
      <c r="AV563">
        <v>227.46821199999999</v>
      </c>
      <c r="AW563">
        <v>9.8941051309740295</v>
      </c>
      <c r="AX563">
        <v>4.3496649681204813</v>
      </c>
      <c r="AY563">
        <v>4.5203109834689039</v>
      </c>
      <c r="AZ563">
        <v>11.697258180867697</v>
      </c>
      <c r="BA563">
        <v>2.4093094740258669</v>
      </c>
      <c r="BB563" t="s">
        <v>161</v>
      </c>
      <c r="BD563" s="98"/>
      <c r="BE563" s="98"/>
      <c r="BF563" t="s">
        <v>1152</v>
      </c>
      <c r="BG563" t="s">
        <v>322</v>
      </c>
      <c r="BH563" t="s">
        <v>1153</v>
      </c>
      <c r="BI563">
        <v>4.5203109834689039</v>
      </c>
      <c r="BJ563" t="s">
        <v>991</v>
      </c>
      <c r="BK563">
        <v>3.3027418191323026</v>
      </c>
      <c r="BL563">
        <v>22.018278794215352</v>
      </c>
      <c r="BM563" t="s">
        <v>1260</v>
      </c>
      <c r="BN563" t="s">
        <v>1154</v>
      </c>
      <c r="BO563">
        <v>2025</v>
      </c>
      <c r="BP563" t="s">
        <v>966</v>
      </c>
      <c r="BQ563">
        <v>181593.39554012532</v>
      </c>
      <c r="BR563">
        <v>81.840660445987467</v>
      </c>
      <c r="BS563" t="s">
        <v>992</v>
      </c>
      <c r="BV563" t="s">
        <v>1034</v>
      </c>
      <c r="BW563" t="s">
        <v>943</v>
      </c>
      <c r="BX563" t="s">
        <v>994</v>
      </c>
      <c r="BY563">
        <v>2.4093094740258669</v>
      </c>
      <c r="BZ563" t="s">
        <v>2270</v>
      </c>
      <c r="CA563" t="s">
        <v>991</v>
      </c>
      <c r="CB563" t="b">
        <v>1</v>
      </c>
      <c r="CC563" t="b">
        <v>1</v>
      </c>
      <c r="CD563" t="b">
        <v>1</v>
      </c>
      <c r="CE563" t="b">
        <v>1</v>
      </c>
      <c r="CF563" t="b">
        <v>1</v>
      </c>
    </row>
    <row r="564" spans="1:84" x14ac:dyDescent="0.3">
      <c r="A564" t="s">
        <v>2343</v>
      </c>
      <c r="B564" t="s">
        <v>1203</v>
      </c>
      <c r="C564" s="98">
        <v>45747</v>
      </c>
      <c r="D564">
        <v>2025</v>
      </c>
      <c r="E564">
        <v>3</v>
      </c>
      <c r="F564">
        <v>1</v>
      </c>
      <c r="G564" t="s">
        <v>1187</v>
      </c>
      <c r="H564" t="s">
        <v>132</v>
      </c>
      <c r="I564" t="s">
        <v>132</v>
      </c>
      <c r="J564" t="s">
        <v>6</v>
      </c>
      <c r="L564">
        <v>522611</v>
      </c>
      <c r="M564" s="99" t="s">
        <v>179</v>
      </c>
      <c r="N564">
        <v>2</v>
      </c>
      <c r="O564">
        <v>13</v>
      </c>
      <c r="P564">
        <v>234.8595</v>
      </c>
      <c r="Q564" t="s">
        <v>352</v>
      </c>
      <c r="R564">
        <v>1</v>
      </c>
      <c r="S564">
        <v>227.93100000000001</v>
      </c>
      <c r="T564">
        <v>10.8757</v>
      </c>
      <c r="U564">
        <v>0.63706244195775774</v>
      </c>
      <c r="V564">
        <v>195.3039</v>
      </c>
      <c r="W564">
        <v>206.17960000000002</v>
      </c>
      <c r="X564">
        <v>217.05530000000002</v>
      </c>
      <c r="Y564">
        <v>238.80670000000001</v>
      </c>
      <c r="Z564">
        <v>249.6824</v>
      </c>
      <c r="AA564">
        <v>260.55810000000002</v>
      </c>
      <c r="AD564">
        <v>15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 t="s">
        <v>462</v>
      </c>
      <c r="AL564" t="s">
        <v>6</v>
      </c>
      <c r="AM564" t="s">
        <v>1145</v>
      </c>
      <c r="AN564" t="s">
        <v>1146</v>
      </c>
      <c r="AO564" s="100">
        <v>46262.040405092594</v>
      </c>
      <c r="AP564" t="s">
        <v>1147</v>
      </c>
      <c r="AQ564" t="s">
        <v>2344</v>
      </c>
      <c r="AR564" t="s">
        <v>1205</v>
      </c>
      <c r="AS564" t="s">
        <v>1150</v>
      </c>
      <c r="AT564" t="s">
        <v>2269</v>
      </c>
      <c r="AU564">
        <v>25</v>
      </c>
      <c r="AV564">
        <v>227.46821199999999</v>
      </c>
      <c r="AW564">
        <v>9.8941051309740295</v>
      </c>
      <c r="AX564">
        <v>4.3496649681204813</v>
      </c>
      <c r="AY564">
        <v>4.5203109834689039</v>
      </c>
      <c r="AZ564">
        <v>11.697258180867697</v>
      </c>
      <c r="BA564">
        <v>2.4093094740258669</v>
      </c>
      <c r="BB564" t="s">
        <v>161</v>
      </c>
      <c r="BD564" s="98"/>
      <c r="BE564" s="98"/>
      <c r="BF564" t="s">
        <v>1152</v>
      </c>
      <c r="BG564" t="s">
        <v>322</v>
      </c>
      <c r="BH564" t="s">
        <v>1153</v>
      </c>
      <c r="BI564">
        <v>4.5203109834689039</v>
      </c>
      <c r="BJ564" t="s">
        <v>991</v>
      </c>
      <c r="BK564">
        <v>3.3027418191323026</v>
      </c>
      <c r="BL564">
        <v>22.018278794215352</v>
      </c>
      <c r="BM564" t="s">
        <v>1260</v>
      </c>
      <c r="BN564" t="s">
        <v>1154</v>
      </c>
      <c r="BO564">
        <v>2025</v>
      </c>
      <c r="BP564" t="s">
        <v>966</v>
      </c>
      <c r="BQ564">
        <v>181593.39554012532</v>
      </c>
      <c r="BR564">
        <v>81.840660445987467</v>
      </c>
      <c r="BS564" t="s">
        <v>992</v>
      </c>
      <c r="BV564" t="s">
        <v>1034</v>
      </c>
      <c r="BW564" t="s">
        <v>943</v>
      </c>
      <c r="BX564" t="s">
        <v>994</v>
      </c>
      <c r="BY564">
        <v>2.4093094740258669</v>
      </c>
      <c r="BZ564" t="s">
        <v>2270</v>
      </c>
      <c r="CA564" t="s">
        <v>991</v>
      </c>
      <c r="CB564" t="b">
        <v>1</v>
      </c>
      <c r="CC564" t="b">
        <v>1</v>
      </c>
      <c r="CD564" t="b">
        <v>1</v>
      </c>
      <c r="CE564" t="b">
        <v>1</v>
      </c>
      <c r="CF564" t="b">
        <v>1</v>
      </c>
    </row>
    <row r="565" spans="1:84" x14ac:dyDescent="0.3">
      <c r="A565" t="s">
        <v>2345</v>
      </c>
      <c r="B565" t="s">
        <v>1207</v>
      </c>
      <c r="C565" s="98">
        <v>45754</v>
      </c>
      <c r="D565">
        <v>2025</v>
      </c>
      <c r="E565">
        <v>4</v>
      </c>
      <c r="F565">
        <v>2</v>
      </c>
      <c r="G565" t="s">
        <v>1208</v>
      </c>
      <c r="H565" t="s">
        <v>132</v>
      </c>
      <c r="I565" t="s">
        <v>132</v>
      </c>
      <c r="J565" t="s">
        <v>6</v>
      </c>
      <c r="L565">
        <v>522611</v>
      </c>
      <c r="M565" s="99" t="s">
        <v>179</v>
      </c>
      <c r="N565">
        <v>2</v>
      </c>
      <c r="O565">
        <v>14</v>
      </c>
      <c r="P565">
        <v>232.61449999999999</v>
      </c>
      <c r="Q565" t="s">
        <v>352</v>
      </c>
      <c r="R565">
        <v>1</v>
      </c>
      <c r="S565">
        <v>227.93100000000001</v>
      </c>
      <c r="T565">
        <v>10.8757</v>
      </c>
      <c r="U565">
        <v>0.43063894737809805</v>
      </c>
      <c r="V565">
        <v>195.3039</v>
      </c>
      <c r="W565">
        <v>206.17960000000002</v>
      </c>
      <c r="X565">
        <v>217.05530000000002</v>
      </c>
      <c r="Y565">
        <v>238.80670000000001</v>
      </c>
      <c r="Z565">
        <v>249.6824</v>
      </c>
      <c r="AA565">
        <v>260.55810000000002</v>
      </c>
      <c r="AD565">
        <v>15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 t="s">
        <v>462</v>
      </c>
      <c r="AL565" t="s">
        <v>6</v>
      </c>
      <c r="AM565" t="s">
        <v>1145</v>
      </c>
      <c r="AN565" t="s">
        <v>1146</v>
      </c>
      <c r="AO565" s="100">
        <v>46262.040405092594</v>
      </c>
      <c r="AP565" t="s">
        <v>1147</v>
      </c>
      <c r="AQ565" t="s">
        <v>2346</v>
      </c>
      <c r="AR565" t="s">
        <v>1210</v>
      </c>
      <c r="AS565" t="s">
        <v>1150</v>
      </c>
      <c r="AT565" t="s">
        <v>2269</v>
      </c>
      <c r="AU565">
        <v>25</v>
      </c>
      <c r="AV565">
        <v>227.46821199999999</v>
      </c>
      <c r="AW565">
        <v>9.8941051309740295</v>
      </c>
      <c r="AX565">
        <v>4.3496649681204813</v>
      </c>
      <c r="AY565">
        <v>4.5203109834689039</v>
      </c>
      <c r="AZ565">
        <v>11.697258180867697</v>
      </c>
      <c r="BA565">
        <v>2.4093094740258669</v>
      </c>
      <c r="BB565" t="s">
        <v>161</v>
      </c>
      <c r="BD565" s="98"/>
      <c r="BE565" s="98"/>
      <c r="BF565" t="s">
        <v>1152</v>
      </c>
      <c r="BG565" t="s">
        <v>322</v>
      </c>
      <c r="BH565" t="s">
        <v>1153</v>
      </c>
      <c r="BI565">
        <v>4.5203109834689039</v>
      </c>
      <c r="BJ565" t="s">
        <v>991</v>
      </c>
      <c r="BK565">
        <v>3.3027418191323026</v>
      </c>
      <c r="BL565">
        <v>22.018278794215352</v>
      </c>
      <c r="BM565" t="s">
        <v>1260</v>
      </c>
      <c r="BN565" t="s">
        <v>1154</v>
      </c>
      <c r="BO565">
        <v>2025</v>
      </c>
      <c r="BP565" t="s">
        <v>966</v>
      </c>
      <c r="BQ565">
        <v>181593.39554012532</v>
      </c>
      <c r="BR565">
        <v>81.840660445987467</v>
      </c>
      <c r="BS565" t="s">
        <v>992</v>
      </c>
      <c r="BV565" t="s">
        <v>1034</v>
      </c>
      <c r="BW565" t="s">
        <v>943</v>
      </c>
      <c r="BX565" t="s">
        <v>994</v>
      </c>
      <c r="BY565">
        <v>2.4093094740258669</v>
      </c>
      <c r="BZ565" t="s">
        <v>2270</v>
      </c>
      <c r="CA565" t="s">
        <v>991</v>
      </c>
      <c r="CB565" t="b">
        <v>1</v>
      </c>
      <c r="CC565" t="b">
        <v>1</v>
      </c>
      <c r="CD565" t="b">
        <v>1</v>
      </c>
      <c r="CE565" t="b">
        <v>1</v>
      </c>
      <c r="CF565" t="b">
        <v>1</v>
      </c>
    </row>
    <row r="566" spans="1:84" x14ac:dyDescent="0.3">
      <c r="A566" t="s">
        <v>2347</v>
      </c>
      <c r="B566" t="s">
        <v>1212</v>
      </c>
      <c r="C566" s="98">
        <v>45761</v>
      </c>
      <c r="D566">
        <v>2025</v>
      </c>
      <c r="E566">
        <v>4</v>
      </c>
      <c r="F566">
        <v>2</v>
      </c>
      <c r="G566" t="s">
        <v>1208</v>
      </c>
      <c r="H566" t="s">
        <v>132</v>
      </c>
      <c r="I566" t="s">
        <v>132</v>
      </c>
      <c r="J566" t="s">
        <v>6</v>
      </c>
      <c r="L566">
        <v>522611</v>
      </c>
      <c r="M566" s="99" t="s">
        <v>179</v>
      </c>
      <c r="N566">
        <v>2</v>
      </c>
      <c r="O566">
        <v>15</v>
      </c>
      <c r="P566">
        <v>230.17920000000001</v>
      </c>
      <c r="Q566" t="s">
        <v>352</v>
      </c>
      <c r="R566">
        <v>1</v>
      </c>
      <c r="S566">
        <v>227.93100000000001</v>
      </c>
      <c r="T566">
        <v>10.8757</v>
      </c>
      <c r="U566">
        <v>0.20671772851402642</v>
      </c>
      <c r="V566">
        <v>195.3039</v>
      </c>
      <c r="W566">
        <v>206.17960000000002</v>
      </c>
      <c r="X566">
        <v>217.05530000000002</v>
      </c>
      <c r="Y566">
        <v>238.80670000000001</v>
      </c>
      <c r="Z566">
        <v>249.6824</v>
      </c>
      <c r="AA566">
        <v>260.55810000000002</v>
      </c>
      <c r="AD566">
        <v>15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 t="s">
        <v>462</v>
      </c>
      <c r="AL566" t="s">
        <v>6</v>
      </c>
      <c r="AM566" t="s">
        <v>1145</v>
      </c>
      <c r="AN566" t="s">
        <v>1146</v>
      </c>
      <c r="AO566" s="100">
        <v>46262.040405092594</v>
      </c>
      <c r="AP566" t="s">
        <v>1147</v>
      </c>
      <c r="AQ566" t="s">
        <v>2348</v>
      </c>
      <c r="AR566" t="s">
        <v>1215</v>
      </c>
      <c r="AS566" t="s">
        <v>1150</v>
      </c>
      <c r="AT566" t="s">
        <v>2269</v>
      </c>
      <c r="AU566">
        <v>25</v>
      </c>
      <c r="AV566">
        <v>227.46821199999999</v>
      </c>
      <c r="AW566">
        <v>9.8941051309740295</v>
      </c>
      <c r="AX566">
        <v>4.3496649681204813</v>
      </c>
      <c r="AY566">
        <v>4.5203109834689039</v>
      </c>
      <c r="AZ566">
        <v>11.697258180867697</v>
      </c>
      <c r="BA566">
        <v>2.4093094740258669</v>
      </c>
      <c r="BB566" t="s">
        <v>161</v>
      </c>
      <c r="BD566" s="98"/>
      <c r="BE566" s="98"/>
      <c r="BF566" t="s">
        <v>1152</v>
      </c>
      <c r="BG566" t="s">
        <v>322</v>
      </c>
      <c r="BH566" t="s">
        <v>1153</v>
      </c>
      <c r="BI566">
        <v>4.5203109834689039</v>
      </c>
      <c r="BJ566" t="s">
        <v>991</v>
      </c>
      <c r="BK566">
        <v>3.3027418191323026</v>
      </c>
      <c r="BL566">
        <v>22.018278794215352</v>
      </c>
      <c r="BM566" t="s">
        <v>1260</v>
      </c>
      <c r="BN566" t="s">
        <v>1154</v>
      </c>
      <c r="BO566">
        <v>2025</v>
      </c>
      <c r="BP566" t="s">
        <v>966</v>
      </c>
      <c r="BQ566">
        <v>181593.39554012532</v>
      </c>
      <c r="BR566">
        <v>81.840660445987467</v>
      </c>
      <c r="BS566" t="s">
        <v>992</v>
      </c>
      <c r="BV566" t="s">
        <v>1034</v>
      </c>
      <c r="BW566" t="s">
        <v>943</v>
      </c>
      <c r="BX566" t="s">
        <v>994</v>
      </c>
      <c r="BY566">
        <v>2.4093094740258669</v>
      </c>
      <c r="BZ566" t="s">
        <v>2270</v>
      </c>
      <c r="CA566" t="s">
        <v>991</v>
      </c>
      <c r="CB566" t="b">
        <v>1</v>
      </c>
      <c r="CC566" t="b">
        <v>1</v>
      </c>
      <c r="CD566" t="b">
        <v>1</v>
      </c>
      <c r="CE566" t="b">
        <v>1</v>
      </c>
      <c r="CF566" t="b">
        <v>1</v>
      </c>
    </row>
    <row r="567" spans="1:84" x14ac:dyDescent="0.3">
      <c r="A567" t="s">
        <v>2349</v>
      </c>
      <c r="B567" t="s">
        <v>1217</v>
      </c>
      <c r="C567" s="98">
        <v>45768</v>
      </c>
      <c r="D567">
        <v>2025</v>
      </c>
      <c r="E567">
        <v>4</v>
      </c>
      <c r="F567">
        <v>2</v>
      </c>
      <c r="G567" t="s">
        <v>1208</v>
      </c>
      <c r="H567" t="s">
        <v>132</v>
      </c>
      <c r="I567" t="s">
        <v>132</v>
      </c>
      <c r="J567" t="s">
        <v>6</v>
      </c>
      <c r="L567">
        <v>522611</v>
      </c>
      <c r="M567" s="99" t="s">
        <v>179</v>
      </c>
      <c r="N567">
        <v>2</v>
      </c>
      <c r="O567">
        <v>16</v>
      </c>
      <c r="P567">
        <v>211.46170000000001</v>
      </c>
      <c r="Q567" t="s">
        <v>352</v>
      </c>
      <c r="R567">
        <v>1</v>
      </c>
      <c r="S567">
        <v>227.93100000000001</v>
      </c>
      <c r="T567">
        <v>10.8757</v>
      </c>
      <c r="U567">
        <v>-1.5143209172742906</v>
      </c>
      <c r="V567">
        <v>195.3039</v>
      </c>
      <c r="W567">
        <v>206.17960000000002</v>
      </c>
      <c r="X567">
        <v>217.05530000000002</v>
      </c>
      <c r="Y567">
        <v>238.80670000000001</v>
      </c>
      <c r="Z567">
        <v>249.6824</v>
      </c>
      <c r="AA567">
        <v>260.55810000000002</v>
      </c>
      <c r="AD567">
        <v>15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 t="s">
        <v>462</v>
      </c>
      <c r="AL567" t="s">
        <v>6</v>
      </c>
      <c r="AM567" t="s">
        <v>1145</v>
      </c>
      <c r="AN567" t="s">
        <v>1146</v>
      </c>
      <c r="AO567" s="100">
        <v>46262.040405092594</v>
      </c>
      <c r="AP567" t="s">
        <v>1147</v>
      </c>
      <c r="AQ567" t="s">
        <v>2350</v>
      </c>
      <c r="AR567" t="s">
        <v>1219</v>
      </c>
      <c r="AS567" t="s">
        <v>1150</v>
      </c>
      <c r="AT567" t="s">
        <v>2269</v>
      </c>
      <c r="AU567">
        <v>25</v>
      </c>
      <c r="AV567">
        <v>227.46821199999999</v>
      </c>
      <c r="AW567">
        <v>9.8941051309740295</v>
      </c>
      <c r="AX567">
        <v>4.3496649681204813</v>
      </c>
      <c r="AY567">
        <v>4.5203109834689039</v>
      </c>
      <c r="AZ567">
        <v>11.697258180867697</v>
      </c>
      <c r="BA567">
        <v>2.4093094740258669</v>
      </c>
      <c r="BB567" t="s">
        <v>161</v>
      </c>
      <c r="BD567" s="98"/>
      <c r="BE567" s="98"/>
      <c r="BF567" t="s">
        <v>1152</v>
      </c>
      <c r="BG567" t="s">
        <v>322</v>
      </c>
      <c r="BH567" t="s">
        <v>1153</v>
      </c>
      <c r="BI567">
        <v>4.5203109834689039</v>
      </c>
      <c r="BJ567" t="s">
        <v>991</v>
      </c>
      <c r="BK567">
        <v>3.3027418191323026</v>
      </c>
      <c r="BL567">
        <v>22.018278794215352</v>
      </c>
      <c r="BM567" t="s">
        <v>1260</v>
      </c>
      <c r="BN567" t="s">
        <v>1154</v>
      </c>
      <c r="BO567">
        <v>2025</v>
      </c>
      <c r="BP567" t="s">
        <v>966</v>
      </c>
      <c r="BQ567">
        <v>181593.39554012532</v>
      </c>
      <c r="BR567">
        <v>81.840660445987467</v>
      </c>
      <c r="BS567" t="s">
        <v>992</v>
      </c>
      <c r="BV567" t="s">
        <v>1034</v>
      </c>
      <c r="BW567" t="s">
        <v>943</v>
      </c>
      <c r="BX567" t="s">
        <v>994</v>
      </c>
      <c r="BY567">
        <v>2.4093094740258669</v>
      </c>
      <c r="BZ567" t="s">
        <v>2270</v>
      </c>
      <c r="CA567" t="s">
        <v>991</v>
      </c>
      <c r="CB567" t="b">
        <v>1</v>
      </c>
      <c r="CC567" t="b">
        <v>1</v>
      </c>
      <c r="CD567" t="b">
        <v>1</v>
      </c>
      <c r="CE567" t="b">
        <v>1</v>
      </c>
      <c r="CF567" t="b">
        <v>1</v>
      </c>
    </row>
    <row r="568" spans="1:84" x14ac:dyDescent="0.3">
      <c r="A568" t="s">
        <v>2351</v>
      </c>
      <c r="B568" t="s">
        <v>1221</v>
      </c>
      <c r="C568" s="98">
        <v>45775</v>
      </c>
      <c r="D568">
        <v>2025</v>
      </c>
      <c r="E568">
        <v>4</v>
      </c>
      <c r="F568">
        <v>2</v>
      </c>
      <c r="G568" t="s">
        <v>1208</v>
      </c>
      <c r="H568" t="s">
        <v>132</v>
      </c>
      <c r="I568" t="s">
        <v>132</v>
      </c>
      <c r="J568" t="s">
        <v>6</v>
      </c>
      <c r="L568">
        <v>522611</v>
      </c>
      <c r="M568" s="99" t="s">
        <v>179</v>
      </c>
      <c r="N568">
        <v>2</v>
      </c>
      <c r="O568">
        <v>17</v>
      </c>
      <c r="P568">
        <v>233.7809</v>
      </c>
      <c r="Q568" t="s">
        <v>352</v>
      </c>
      <c r="R568">
        <v>1</v>
      </c>
      <c r="S568">
        <v>227.93100000000001</v>
      </c>
      <c r="T568">
        <v>10.8757</v>
      </c>
      <c r="U568">
        <v>0.5378872164550319</v>
      </c>
      <c r="V568">
        <v>195.3039</v>
      </c>
      <c r="W568">
        <v>206.17960000000002</v>
      </c>
      <c r="X568">
        <v>217.05530000000002</v>
      </c>
      <c r="Y568">
        <v>238.80670000000001</v>
      </c>
      <c r="Z568">
        <v>249.6824</v>
      </c>
      <c r="AA568">
        <v>260.55810000000002</v>
      </c>
      <c r="AD568">
        <v>15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 t="s">
        <v>462</v>
      </c>
      <c r="AL568" t="s">
        <v>6</v>
      </c>
      <c r="AM568" t="s">
        <v>1145</v>
      </c>
      <c r="AN568" t="s">
        <v>1146</v>
      </c>
      <c r="AO568" s="100">
        <v>46262.040405092594</v>
      </c>
      <c r="AP568" t="s">
        <v>1147</v>
      </c>
      <c r="AQ568" t="s">
        <v>2352</v>
      </c>
      <c r="AR568" t="s">
        <v>1223</v>
      </c>
      <c r="AS568" t="s">
        <v>1150</v>
      </c>
      <c r="AT568" t="s">
        <v>2269</v>
      </c>
      <c r="AU568">
        <v>25</v>
      </c>
      <c r="AV568">
        <v>227.46821199999999</v>
      </c>
      <c r="AW568">
        <v>9.8941051309740295</v>
      </c>
      <c r="AX568">
        <v>4.3496649681204813</v>
      </c>
      <c r="AY568">
        <v>4.5203109834689039</v>
      </c>
      <c r="AZ568">
        <v>11.697258180867697</v>
      </c>
      <c r="BA568">
        <v>2.4093094740258669</v>
      </c>
      <c r="BB568" t="s">
        <v>161</v>
      </c>
      <c r="BD568" s="98"/>
      <c r="BE568" s="98"/>
      <c r="BF568" t="s">
        <v>1152</v>
      </c>
      <c r="BG568" t="s">
        <v>322</v>
      </c>
      <c r="BH568" t="s">
        <v>1153</v>
      </c>
      <c r="BI568">
        <v>4.5203109834689039</v>
      </c>
      <c r="BJ568" t="s">
        <v>991</v>
      </c>
      <c r="BK568">
        <v>3.3027418191323026</v>
      </c>
      <c r="BL568">
        <v>22.018278794215352</v>
      </c>
      <c r="BM568" t="s">
        <v>1260</v>
      </c>
      <c r="BN568" t="s">
        <v>1154</v>
      </c>
      <c r="BO568">
        <v>2025</v>
      </c>
      <c r="BP568" t="s">
        <v>966</v>
      </c>
      <c r="BQ568">
        <v>181593.39554012532</v>
      </c>
      <c r="BR568">
        <v>81.840660445987467</v>
      </c>
      <c r="BS568" t="s">
        <v>992</v>
      </c>
      <c r="BV568" t="s">
        <v>1034</v>
      </c>
      <c r="BW568" t="s">
        <v>943</v>
      </c>
      <c r="BX568" t="s">
        <v>994</v>
      </c>
      <c r="BY568">
        <v>2.4093094740258669</v>
      </c>
      <c r="BZ568" t="s">
        <v>2270</v>
      </c>
      <c r="CA568" t="s">
        <v>991</v>
      </c>
      <c r="CB568" t="b">
        <v>1</v>
      </c>
      <c r="CC568" t="b">
        <v>1</v>
      </c>
      <c r="CD568" t="b">
        <v>1</v>
      </c>
      <c r="CE568" t="b">
        <v>1</v>
      </c>
      <c r="CF568" t="b">
        <v>1</v>
      </c>
    </row>
    <row r="569" spans="1:84" x14ac:dyDescent="0.3">
      <c r="A569" t="s">
        <v>2353</v>
      </c>
      <c r="B569" t="s">
        <v>1225</v>
      </c>
      <c r="C569" s="98">
        <v>45782</v>
      </c>
      <c r="D569">
        <v>2025</v>
      </c>
      <c r="E569">
        <v>5</v>
      </c>
      <c r="F569">
        <v>2</v>
      </c>
      <c r="G569" t="s">
        <v>1226</v>
      </c>
      <c r="H569" t="s">
        <v>132</v>
      </c>
      <c r="I569" t="s">
        <v>132</v>
      </c>
      <c r="J569" t="s">
        <v>6</v>
      </c>
      <c r="L569">
        <v>522611</v>
      </c>
      <c r="M569" s="99" t="s">
        <v>179</v>
      </c>
      <c r="N569">
        <v>2</v>
      </c>
      <c r="O569">
        <v>18</v>
      </c>
      <c r="P569">
        <v>240.6498</v>
      </c>
      <c r="Q569" t="s">
        <v>352</v>
      </c>
      <c r="R569">
        <v>1</v>
      </c>
      <c r="S569">
        <v>227.93100000000001</v>
      </c>
      <c r="T569">
        <v>10.8757</v>
      </c>
      <c r="U569">
        <v>1.1694695513851969</v>
      </c>
      <c r="V569">
        <v>195.3039</v>
      </c>
      <c r="W569">
        <v>206.17960000000002</v>
      </c>
      <c r="X569">
        <v>217.05530000000002</v>
      </c>
      <c r="Y569">
        <v>238.80670000000001</v>
      </c>
      <c r="Z569">
        <v>249.6824</v>
      </c>
      <c r="AA569">
        <v>260.55810000000002</v>
      </c>
      <c r="AD569">
        <v>15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 t="s">
        <v>462</v>
      </c>
      <c r="AL569" t="s">
        <v>6</v>
      </c>
      <c r="AM569" t="s">
        <v>1145</v>
      </c>
      <c r="AN569" t="s">
        <v>1146</v>
      </c>
      <c r="AO569" s="100">
        <v>46262.040405092594</v>
      </c>
      <c r="AP569" t="s">
        <v>1147</v>
      </c>
      <c r="AQ569" t="s">
        <v>2354</v>
      </c>
      <c r="AR569" t="s">
        <v>1228</v>
      </c>
      <c r="AS569" t="s">
        <v>1150</v>
      </c>
      <c r="AT569" t="s">
        <v>2269</v>
      </c>
      <c r="AU569">
        <v>25</v>
      </c>
      <c r="AV569">
        <v>227.46821199999999</v>
      </c>
      <c r="AW569">
        <v>9.8941051309740295</v>
      </c>
      <c r="AX569">
        <v>4.3496649681204813</v>
      </c>
      <c r="AY569">
        <v>4.5203109834689039</v>
      </c>
      <c r="AZ569">
        <v>11.697258180867697</v>
      </c>
      <c r="BA569">
        <v>2.4093094740258669</v>
      </c>
      <c r="BB569" t="s">
        <v>161</v>
      </c>
      <c r="BD569" s="98"/>
      <c r="BE569" s="98"/>
      <c r="BF569" t="s">
        <v>1152</v>
      </c>
      <c r="BG569" t="s">
        <v>322</v>
      </c>
      <c r="BH569" t="s">
        <v>1153</v>
      </c>
      <c r="BI569">
        <v>4.5203109834689039</v>
      </c>
      <c r="BJ569" t="s">
        <v>991</v>
      </c>
      <c r="BK569">
        <v>3.3027418191323026</v>
      </c>
      <c r="BL569">
        <v>22.018278794215352</v>
      </c>
      <c r="BM569" t="s">
        <v>1260</v>
      </c>
      <c r="BN569" t="s">
        <v>1154</v>
      </c>
      <c r="BO569">
        <v>2025</v>
      </c>
      <c r="BP569" t="s">
        <v>966</v>
      </c>
      <c r="BQ569">
        <v>181593.39554012532</v>
      </c>
      <c r="BR569">
        <v>81.840660445987467</v>
      </c>
      <c r="BS569" t="s">
        <v>992</v>
      </c>
      <c r="BV569" t="s">
        <v>1034</v>
      </c>
      <c r="BW569" t="s">
        <v>943</v>
      </c>
      <c r="BX569" t="s">
        <v>994</v>
      </c>
      <c r="BY569">
        <v>2.4093094740258669</v>
      </c>
      <c r="BZ569" t="s">
        <v>2270</v>
      </c>
      <c r="CA569" t="s">
        <v>991</v>
      </c>
      <c r="CB569" t="b">
        <v>1</v>
      </c>
      <c r="CC569" t="b">
        <v>1</v>
      </c>
      <c r="CD569" t="b">
        <v>1</v>
      </c>
      <c r="CE569" t="b">
        <v>1</v>
      </c>
      <c r="CF569" t="b">
        <v>1</v>
      </c>
    </row>
    <row r="570" spans="1:84" x14ac:dyDescent="0.3">
      <c r="A570" t="s">
        <v>2355</v>
      </c>
      <c r="B570" t="s">
        <v>1230</v>
      </c>
      <c r="C570" s="98">
        <v>45789</v>
      </c>
      <c r="D570">
        <v>2025</v>
      </c>
      <c r="E570">
        <v>5</v>
      </c>
      <c r="F570">
        <v>2</v>
      </c>
      <c r="G570" t="s">
        <v>1226</v>
      </c>
      <c r="H570" t="s">
        <v>132</v>
      </c>
      <c r="I570" t="s">
        <v>132</v>
      </c>
      <c r="J570" t="s">
        <v>6</v>
      </c>
      <c r="L570">
        <v>522611</v>
      </c>
      <c r="M570" s="99" t="s">
        <v>179</v>
      </c>
      <c r="N570">
        <v>2</v>
      </c>
      <c r="O570">
        <v>19</v>
      </c>
      <c r="P570">
        <v>238.9119</v>
      </c>
      <c r="Q570" t="s">
        <v>352</v>
      </c>
      <c r="R570">
        <v>1</v>
      </c>
      <c r="S570">
        <v>227.93100000000001</v>
      </c>
      <c r="T570">
        <v>10.8757</v>
      </c>
      <c r="U570">
        <v>1.0096729405923288</v>
      </c>
      <c r="V570">
        <v>195.3039</v>
      </c>
      <c r="W570">
        <v>206.17960000000002</v>
      </c>
      <c r="X570">
        <v>217.05530000000002</v>
      </c>
      <c r="Y570">
        <v>238.80670000000001</v>
      </c>
      <c r="Z570">
        <v>249.6824</v>
      </c>
      <c r="AA570">
        <v>260.55810000000002</v>
      </c>
      <c r="AD570">
        <v>15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 t="s">
        <v>462</v>
      </c>
      <c r="AL570" t="s">
        <v>6</v>
      </c>
      <c r="AM570" t="s">
        <v>1145</v>
      </c>
      <c r="AN570" t="s">
        <v>1146</v>
      </c>
      <c r="AO570" s="100">
        <v>46262.040405092594</v>
      </c>
      <c r="AP570" t="s">
        <v>1147</v>
      </c>
      <c r="AQ570" t="s">
        <v>2356</v>
      </c>
      <c r="AR570" t="s">
        <v>1232</v>
      </c>
      <c r="AS570" t="s">
        <v>1150</v>
      </c>
      <c r="AT570" t="s">
        <v>2269</v>
      </c>
      <c r="AU570">
        <v>25</v>
      </c>
      <c r="AV570">
        <v>227.46821199999999</v>
      </c>
      <c r="AW570">
        <v>9.8941051309740295</v>
      </c>
      <c r="AX570">
        <v>4.3496649681204813</v>
      </c>
      <c r="AY570">
        <v>4.5203109834689039</v>
      </c>
      <c r="AZ570">
        <v>11.697258180867697</v>
      </c>
      <c r="BA570">
        <v>2.4093094740258669</v>
      </c>
      <c r="BB570" t="s">
        <v>161</v>
      </c>
      <c r="BD570" s="98"/>
      <c r="BE570" s="98"/>
      <c r="BF570" t="s">
        <v>1152</v>
      </c>
      <c r="BG570" t="s">
        <v>322</v>
      </c>
      <c r="BH570" t="s">
        <v>1153</v>
      </c>
      <c r="BI570">
        <v>4.5203109834689039</v>
      </c>
      <c r="BJ570" t="s">
        <v>991</v>
      </c>
      <c r="BK570">
        <v>3.3027418191323026</v>
      </c>
      <c r="BL570">
        <v>22.018278794215352</v>
      </c>
      <c r="BM570" t="s">
        <v>1260</v>
      </c>
      <c r="BN570" t="s">
        <v>1154</v>
      </c>
      <c r="BO570">
        <v>2025</v>
      </c>
      <c r="BP570" t="s">
        <v>966</v>
      </c>
      <c r="BQ570">
        <v>181593.39554012532</v>
      </c>
      <c r="BR570">
        <v>81.840660445987467</v>
      </c>
      <c r="BS570" t="s">
        <v>992</v>
      </c>
      <c r="BV570" t="s">
        <v>1034</v>
      </c>
      <c r="BW570" t="s">
        <v>943</v>
      </c>
      <c r="BX570" t="s">
        <v>994</v>
      </c>
      <c r="BY570">
        <v>2.4093094740258669</v>
      </c>
      <c r="BZ570" t="s">
        <v>2270</v>
      </c>
      <c r="CA570" t="s">
        <v>991</v>
      </c>
      <c r="CB570" t="b">
        <v>1</v>
      </c>
      <c r="CC570" t="b">
        <v>1</v>
      </c>
      <c r="CD570" t="b">
        <v>1</v>
      </c>
      <c r="CE570" t="b">
        <v>1</v>
      </c>
      <c r="CF570" t="b">
        <v>1</v>
      </c>
    </row>
    <row r="571" spans="1:84" x14ac:dyDescent="0.3">
      <c r="A571" t="s">
        <v>2357</v>
      </c>
      <c r="B571" t="s">
        <v>1234</v>
      </c>
      <c r="C571" s="98">
        <v>45796</v>
      </c>
      <c r="D571">
        <v>2025</v>
      </c>
      <c r="E571">
        <v>5</v>
      </c>
      <c r="F571">
        <v>2</v>
      </c>
      <c r="G571" t="s">
        <v>1226</v>
      </c>
      <c r="H571" t="s">
        <v>132</v>
      </c>
      <c r="I571" t="s">
        <v>132</v>
      </c>
      <c r="J571" t="s">
        <v>6</v>
      </c>
      <c r="L571">
        <v>522611</v>
      </c>
      <c r="M571" s="99" t="s">
        <v>179</v>
      </c>
      <c r="N571">
        <v>2</v>
      </c>
      <c r="O571">
        <v>20</v>
      </c>
      <c r="P571">
        <v>230.47460000000001</v>
      </c>
      <c r="Q571" t="s">
        <v>352</v>
      </c>
      <c r="R571">
        <v>1</v>
      </c>
      <c r="S571">
        <v>227.93100000000001</v>
      </c>
      <c r="T571">
        <v>10.8757</v>
      </c>
      <c r="U571">
        <v>0.23387919858032108</v>
      </c>
      <c r="V571">
        <v>195.3039</v>
      </c>
      <c r="W571">
        <v>206.17960000000002</v>
      </c>
      <c r="X571">
        <v>217.05530000000002</v>
      </c>
      <c r="Y571">
        <v>238.80670000000001</v>
      </c>
      <c r="Z571">
        <v>249.6824</v>
      </c>
      <c r="AA571">
        <v>260.55810000000002</v>
      </c>
      <c r="AD571">
        <v>15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 t="s">
        <v>462</v>
      </c>
      <c r="AL571" t="s">
        <v>6</v>
      </c>
      <c r="AM571" t="s">
        <v>1145</v>
      </c>
      <c r="AN571" t="s">
        <v>1146</v>
      </c>
      <c r="AO571" s="100">
        <v>46262.040405092594</v>
      </c>
      <c r="AP571" t="s">
        <v>1147</v>
      </c>
      <c r="AQ571" t="s">
        <v>2358</v>
      </c>
      <c r="AR571" t="s">
        <v>1236</v>
      </c>
      <c r="AS571" t="s">
        <v>1150</v>
      </c>
      <c r="AT571" t="s">
        <v>2269</v>
      </c>
      <c r="AU571">
        <v>25</v>
      </c>
      <c r="AV571">
        <v>227.46821199999999</v>
      </c>
      <c r="AW571">
        <v>9.8941051309740295</v>
      </c>
      <c r="AX571">
        <v>4.3496649681204813</v>
      </c>
      <c r="AY571">
        <v>4.5203109834689039</v>
      </c>
      <c r="AZ571">
        <v>11.697258180867697</v>
      </c>
      <c r="BA571">
        <v>2.4093094740258669</v>
      </c>
      <c r="BB571" t="s">
        <v>161</v>
      </c>
      <c r="BD571" s="98"/>
      <c r="BE571" s="98"/>
      <c r="BF571" t="s">
        <v>1152</v>
      </c>
      <c r="BG571" t="s">
        <v>322</v>
      </c>
      <c r="BH571" t="s">
        <v>1153</v>
      </c>
      <c r="BI571">
        <v>4.5203109834689039</v>
      </c>
      <c r="BJ571" t="s">
        <v>991</v>
      </c>
      <c r="BK571">
        <v>3.3027418191323026</v>
      </c>
      <c r="BL571">
        <v>22.018278794215352</v>
      </c>
      <c r="BM571" t="s">
        <v>1260</v>
      </c>
      <c r="BN571" t="s">
        <v>1154</v>
      </c>
      <c r="BO571">
        <v>2025</v>
      </c>
      <c r="BP571" t="s">
        <v>966</v>
      </c>
      <c r="BQ571">
        <v>181593.39554012532</v>
      </c>
      <c r="BR571">
        <v>81.840660445987467</v>
      </c>
      <c r="BS571" t="s">
        <v>992</v>
      </c>
      <c r="BV571" t="s">
        <v>1034</v>
      </c>
      <c r="BW571" t="s">
        <v>943</v>
      </c>
      <c r="BX571" t="s">
        <v>994</v>
      </c>
      <c r="BY571">
        <v>2.4093094740258669</v>
      </c>
      <c r="BZ571" t="s">
        <v>2270</v>
      </c>
      <c r="CA571" t="s">
        <v>991</v>
      </c>
      <c r="CB571" t="b">
        <v>1</v>
      </c>
      <c r="CC571" t="b">
        <v>1</v>
      </c>
      <c r="CD571" t="b">
        <v>1</v>
      </c>
      <c r="CE571" t="b">
        <v>1</v>
      </c>
      <c r="CF571" t="b">
        <v>1</v>
      </c>
    </row>
    <row r="572" spans="1:84" x14ac:dyDescent="0.3">
      <c r="A572" t="s">
        <v>2359</v>
      </c>
      <c r="B572" t="s">
        <v>1238</v>
      </c>
      <c r="C572" s="98">
        <v>45803</v>
      </c>
      <c r="D572">
        <v>2025</v>
      </c>
      <c r="E572">
        <v>5</v>
      </c>
      <c r="F572">
        <v>2</v>
      </c>
      <c r="G572" t="s">
        <v>1226</v>
      </c>
      <c r="H572" t="s">
        <v>132</v>
      </c>
      <c r="I572" t="s">
        <v>132</v>
      </c>
      <c r="J572" t="s">
        <v>6</v>
      </c>
      <c r="L572">
        <v>522611</v>
      </c>
      <c r="M572" s="99" t="s">
        <v>179</v>
      </c>
      <c r="N572">
        <v>2</v>
      </c>
      <c r="O572">
        <v>21</v>
      </c>
      <c r="P572">
        <v>210.99019999999999</v>
      </c>
      <c r="Q572" t="s">
        <v>352</v>
      </c>
      <c r="R572">
        <v>1</v>
      </c>
      <c r="S572">
        <v>227.93100000000001</v>
      </c>
      <c r="T572">
        <v>10.8757</v>
      </c>
      <c r="U572">
        <v>-1.5576744485412455</v>
      </c>
      <c r="V572">
        <v>195.3039</v>
      </c>
      <c r="W572">
        <v>206.17960000000002</v>
      </c>
      <c r="X572">
        <v>217.05530000000002</v>
      </c>
      <c r="Y572">
        <v>238.80670000000001</v>
      </c>
      <c r="Z572">
        <v>249.6824</v>
      </c>
      <c r="AA572">
        <v>260.55810000000002</v>
      </c>
      <c r="AD572">
        <v>15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 t="s">
        <v>462</v>
      </c>
      <c r="AL572" t="s">
        <v>6</v>
      </c>
      <c r="AM572" t="s">
        <v>1145</v>
      </c>
      <c r="AN572" t="s">
        <v>1146</v>
      </c>
      <c r="AO572" s="100">
        <v>46262.040405092594</v>
      </c>
      <c r="AP572" t="s">
        <v>1147</v>
      </c>
      <c r="AQ572" t="s">
        <v>2360</v>
      </c>
      <c r="AR572" t="s">
        <v>1240</v>
      </c>
      <c r="AS572" t="s">
        <v>1150</v>
      </c>
      <c r="AT572" t="s">
        <v>2269</v>
      </c>
      <c r="AU572">
        <v>25</v>
      </c>
      <c r="AV572">
        <v>227.46821199999999</v>
      </c>
      <c r="AW572">
        <v>9.8941051309740295</v>
      </c>
      <c r="AX572">
        <v>4.3496649681204813</v>
      </c>
      <c r="AY572">
        <v>4.5203109834689039</v>
      </c>
      <c r="AZ572">
        <v>11.697258180867697</v>
      </c>
      <c r="BA572">
        <v>2.4093094740258669</v>
      </c>
      <c r="BB572" t="s">
        <v>161</v>
      </c>
      <c r="BD572" s="98"/>
      <c r="BE572" s="98"/>
      <c r="BF572" t="s">
        <v>1152</v>
      </c>
      <c r="BG572" t="s">
        <v>322</v>
      </c>
      <c r="BH572" t="s">
        <v>1153</v>
      </c>
      <c r="BI572">
        <v>4.5203109834689039</v>
      </c>
      <c r="BJ572" t="s">
        <v>991</v>
      </c>
      <c r="BK572">
        <v>3.3027418191323026</v>
      </c>
      <c r="BL572">
        <v>22.018278794215352</v>
      </c>
      <c r="BM572" t="s">
        <v>1260</v>
      </c>
      <c r="BN572" t="s">
        <v>1154</v>
      </c>
      <c r="BO572">
        <v>2025</v>
      </c>
      <c r="BP572" t="s">
        <v>966</v>
      </c>
      <c r="BQ572">
        <v>181593.39554012532</v>
      </c>
      <c r="BR572">
        <v>81.840660445987467</v>
      </c>
      <c r="BS572" t="s">
        <v>992</v>
      </c>
      <c r="BV572" t="s">
        <v>1034</v>
      </c>
      <c r="BW572" t="s">
        <v>943</v>
      </c>
      <c r="BX572" t="s">
        <v>994</v>
      </c>
      <c r="BY572">
        <v>2.4093094740258669</v>
      </c>
      <c r="BZ572" t="s">
        <v>2270</v>
      </c>
      <c r="CA572" t="s">
        <v>991</v>
      </c>
      <c r="CB572" t="b">
        <v>1</v>
      </c>
      <c r="CC572" t="b">
        <v>1</v>
      </c>
      <c r="CD572" t="b">
        <v>1</v>
      </c>
      <c r="CE572" t="b">
        <v>1</v>
      </c>
      <c r="CF572" t="b">
        <v>1</v>
      </c>
    </row>
    <row r="573" spans="1:84" x14ac:dyDescent="0.3">
      <c r="A573" t="s">
        <v>2361</v>
      </c>
      <c r="B573" t="s">
        <v>1242</v>
      </c>
      <c r="C573" s="98">
        <v>45810</v>
      </c>
      <c r="D573">
        <v>2025</v>
      </c>
      <c r="E573">
        <v>6</v>
      </c>
      <c r="F573">
        <v>2</v>
      </c>
      <c r="G573" t="s">
        <v>1243</v>
      </c>
      <c r="H573" t="s">
        <v>132</v>
      </c>
      <c r="I573" t="s">
        <v>132</v>
      </c>
      <c r="J573" t="s">
        <v>6</v>
      </c>
      <c r="L573">
        <v>522611</v>
      </c>
      <c r="M573" s="99" t="s">
        <v>179</v>
      </c>
      <c r="N573">
        <v>2</v>
      </c>
      <c r="O573">
        <v>22</v>
      </c>
      <c r="P573">
        <v>238.18190000000001</v>
      </c>
      <c r="Q573" t="s">
        <v>352</v>
      </c>
      <c r="R573">
        <v>1</v>
      </c>
      <c r="S573">
        <v>227.93100000000001</v>
      </c>
      <c r="T573">
        <v>10.8757</v>
      </c>
      <c r="U573">
        <v>0.9425508243147569</v>
      </c>
      <c r="V573">
        <v>195.3039</v>
      </c>
      <c r="W573">
        <v>206.17960000000002</v>
      </c>
      <c r="X573">
        <v>217.05530000000002</v>
      </c>
      <c r="Y573">
        <v>238.80670000000001</v>
      </c>
      <c r="Z573">
        <v>249.6824</v>
      </c>
      <c r="AA573">
        <v>260.55810000000002</v>
      </c>
      <c r="AD573">
        <v>15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 t="s">
        <v>462</v>
      </c>
      <c r="AL573" t="s">
        <v>6</v>
      </c>
      <c r="AM573" t="s">
        <v>1145</v>
      </c>
      <c r="AN573" t="s">
        <v>1146</v>
      </c>
      <c r="AO573" s="100">
        <v>46262.040405092594</v>
      </c>
      <c r="AP573" t="s">
        <v>1147</v>
      </c>
      <c r="AQ573" t="s">
        <v>2362</v>
      </c>
      <c r="AR573" t="s">
        <v>1245</v>
      </c>
      <c r="AS573" t="s">
        <v>1150</v>
      </c>
      <c r="AT573" t="s">
        <v>2269</v>
      </c>
      <c r="AU573">
        <v>25</v>
      </c>
      <c r="AV573">
        <v>227.46821199999999</v>
      </c>
      <c r="AW573">
        <v>9.8941051309740295</v>
      </c>
      <c r="AX573">
        <v>4.3496649681204813</v>
      </c>
      <c r="AY573">
        <v>4.5203109834689039</v>
      </c>
      <c r="AZ573">
        <v>11.697258180867697</v>
      </c>
      <c r="BA573">
        <v>2.4093094740258669</v>
      </c>
      <c r="BB573" t="s">
        <v>161</v>
      </c>
      <c r="BD573" s="98"/>
      <c r="BE573" s="98"/>
      <c r="BF573" t="s">
        <v>1152</v>
      </c>
      <c r="BG573" t="s">
        <v>322</v>
      </c>
      <c r="BH573" t="s">
        <v>1153</v>
      </c>
      <c r="BI573">
        <v>4.5203109834689039</v>
      </c>
      <c r="BJ573" t="s">
        <v>991</v>
      </c>
      <c r="BK573">
        <v>3.3027418191323026</v>
      </c>
      <c r="BL573">
        <v>22.018278794215352</v>
      </c>
      <c r="BM573" t="s">
        <v>1260</v>
      </c>
      <c r="BN573" t="s">
        <v>1154</v>
      </c>
      <c r="BO573">
        <v>2025</v>
      </c>
      <c r="BP573" t="s">
        <v>966</v>
      </c>
      <c r="BQ573">
        <v>181593.39554012532</v>
      </c>
      <c r="BR573">
        <v>81.840660445987467</v>
      </c>
      <c r="BS573" t="s">
        <v>992</v>
      </c>
      <c r="BV573" t="s">
        <v>1034</v>
      </c>
      <c r="BW573" t="s">
        <v>943</v>
      </c>
      <c r="BX573" t="s">
        <v>994</v>
      </c>
      <c r="BY573">
        <v>2.4093094740258669</v>
      </c>
      <c r="BZ573" t="s">
        <v>2270</v>
      </c>
      <c r="CA573" t="s">
        <v>991</v>
      </c>
      <c r="CB573" t="b">
        <v>1</v>
      </c>
      <c r="CC573" t="b">
        <v>1</v>
      </c>
      <c r="CD573" t="b">
        <v>1</v>
      </c>
      <c r="CE573" t="b">
        <v>1</v>
      </c>
      <c r="CF573" t="b">
        <v>1</v>
      </c>
    </row>
    <row r="574" spans="1:84" x14ac:dyDescent="0.3">
      <c r="A574" t="s">
        <v>2363</v>
      </c>
      <c r="B574" t="s">
        <v>1247</v>
      </c>
      <c r="C574" s="98">
        <v>45817</v>
      </c>
      <c r="D574">
        <v>2025</v>
      </c>
      <c r="E574">
        <v>6</v>
      </c>
      <c r="F574">
        <v>2</v>
      </c>
      <c r="G574" t="s">
        <v>1243</v>
      </c>
      <c r="H574" t="s">
        <v>132</v>
      </c>
      <c r="I574" t="s">
        <v>132</v>
      </c>
      <c r="J574" t="s">
        <v>6</v>
      </c>
      <c r="L574">
        <v>522611</v>
      </c>
      <c r="M574" s="99" t="s">
        <v>179</v>
      </c>
      <c r="N574">
        <v>2</v>
      </c>
      <c r="O574">
        <v>23</v>
      </c>
      <c r="P574">
        <v>226.3295</v>
      </c>
      <c r="Q574" t="s">
        <v>352</v>
      </c>
      <c r="R574">
        <v>1</v>
      </c>
      <c r="S574">
        <v>227.93100000000001</v>
      </c>
      <c r="T574">
        <v>10.8757</v>
      </c>
      <c r="U574">
        <v>-0.14725488934045769</v>
      </c>
      <c r="V574">
        <v>195.3039</v>
      </c>
      <c r="W574">
        <v>206.17960000000002</v>
      </c>
      <c r="X574">
        <v>217.05530000000002</v>
      </c>
      <c r="Y574">
        <v>238.80670000000001</v>
      </c>
      <c r="Z574">
        <v>249.6824</v>
      </c>
      <c r="AA574">
        <v>260.55810000000002</v>
      </c>
      <c r="AD574">
        <v>15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 t="s">
        <v>462</v>
      </c>
      <c r="AL574" t="s">
        <v>6</v>
      </c>
      <c r="AM574" t="s">
        <v>1145</v>
      </c>
      <c r="AN574" t="s">
        <v>1146</v>
      </c>
      <c r="AO574" s="100">
        <v>46262.040405092594</v>
      </c>
      <c r="AP574" t="s">
        <v>1147</v>
      </c>
      <c r="AQ574" t="s">
        <v>2364</v>
      </c>
      <c r="AR574" t="s">
        <v>1249</v>
      </c>
      <c r="AS574" t="s">
        <v>1150</v>
      </c>
      <c r="AT574" t="s">
        <v>2269</v>
      </c>
      <c r="AU574">
        <v>25</v>
      </c>
      <c r="AV574">
        <v>227.46821199999999</v>
      </c>
      <c r="AW574">
        <v>9.8941051309740295</v>
      </c>
      <c r="AX574">
        <v>4.3496649681204813</v>
      </c>
      <c r="AY574">
        <v>4.5203109834689039</v>
      </c>
      <c r="AZ574">
        <v>11.697258180867697</v>
      </c>
      <c r="BA574">
        <v>2.4093094740258669</v>
      </c>
      <c r="BB574" t="s">
        <v>161</v>
      </c>
      <c r="BD574" s="98"/>
      <c r="BE574" s="98"/>
      <c r="BF574" t="s">
        <v>1152</v>
      </c>
      <c r="BG574" t="s">
        <v>322</v>
      </c>
      <c r="BH574" t="s">
        <v>1153</v>
      </c>
      <c r="BI574">
        <v>4.5203109834689039</v>
      </c>
      <c r="BJ574" t="s">
        <v>991</v>
      </c>
      <c r="BK574">
        <v>3.3027418191323026</v>
      </c>
      <c r="BL574">
        <v>22.018278794215352</v>
      </c>
      <c r="BM574" t="s">
        <v>1260</v>
      </c>
      <c r="BN574" t="s">
        <v>1154</v>
      </c>
      <c r="BO574">
        <v>2025</v>
      </c>
      <c r="BP574" t="s">
        <v>966</v>
      </c>
      <c r="BQ574">
        <v>181593.39554012532</v>
      </c>
      <c r="BR574">
        <v>81.840660445987467</v>
      </c>
      <c r="BS574" t="s">
        <v>992</v>
      </c>
      <c r="BV574" t="s">
        <v>1034</v>
      </c>
      <c r="BW574" t="s">
        <v>943</v>
      </c>
      <c r="BX574" t="s">
        <v>994</v>
      </c>
      <c r="BY574">
        <v>2.4093094740258669</v>
      </c>
      <c r="BZ574" t="s">
        <v>2270</v>
      </c>
      <c r="CA574" t="s">
        <v>991</v>
      </c>
      <c r="CB574" t="b">
        <v>1</v>
      </c>
      <c r="CC574" t="b">
        <v>1</v>
      </c>
      <c r="CD574" t="b">
        <v>1</v>
      </c>
      <c r="CE574" t="b">
        <v>1</v>
      </c>
      <c r="CF574" t="b">
        <v>1</v>
      </c>
    </row>
    <row r="575" spans="1:84" x14ac:dyDescent="0.3">
      <c r="A575" t="s">
        <v>2365</v>
      </c>
      <c r="B575" t="s">
        <v>1251</v>
      </c>
      <c r="C575" s="98">
        <v>45824</v>
      </c>
      <c r="D575">
        <v>2025</v>
      </c>
      <c r="E575">
        <v>6</v>
      </c>
      <c r="F575">
        <v>2</v>
      </c>
      <c r="G575" t="s">
        <v>1243</v>
      </c>
      <c r="H575" t="s">
        <v>132</v>
      </c>
      <c r="I575" t="s">
        <v>132</v>
      </c>
      <c r="J575" t="s">
        <v>6</v>
      </c>
      <c r="L575">
        <v>522611</v>
      </c>
      <c r="M575" s="99" t="s">
        <v>179</v>
      </c>
      <c r="N575">
        <v>2</v>
      </c>
      <c r="O575">
        <v>24</v>
      </c>
      <c r="P575">
        <v>200.38810000000001</v>
      </c>
      <c r="Q575" t="s">
        <v>352</v>
      </c>
      <c r="R575">
        <v>1</v>
      </c>
      <c r="S575">
        <v>227.93100000000001</v>
      </c>
      <c r="T575">
        <v>10.8757</v>
      </c>
      <c r="U575">
        <v>-2.5325174471528271</v>
      </c>
      <c r="V575">
        <v>195.3039</v>
      </c>
      <c r="W575">
        <v>206.17960000000002</v>
      </c>
      <c r="X575">
        <v>217.05530000000002</v>
      </c>
      <c r="Y575">
        <v>238.80670000000001</v>
      </c>
      <c r="Z575">
        <v>249.6824</v>
      </c>
      <c r="AA575">
        <v>260.55810000000002</v>
      </c>
      <c r="AD575">
        <v>15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1</v>
      </c>
      <c r="AK575" t="s">
        <v>462</v>
      </c>
      <c r="AL575" t="s">
        <v>6</v>
      </c>
      <c r="AM575" t="s">
        <v>1145</v>
      </c>
      <c r="AN575" t="s">
        <v>1146</v>
      </c>
      <c r="AO575" s="100">
        <v>46262.040405092594</v>
      </c>
      <c r="AP575" t="s">
        <v>1147</v>
      </c>
      <c r="AQ575" t="s">
        <v>2366</v>
      </c>
      <c r="AR575" t="s">
        <v>1253</v>
      </c>
      <c r="AS575" t="s">
        <v>1150</v>
      </c>
      <c r="AT575" t="s">
        <v>2269</v>
      </c>
      <c r="AU575">
        <v>25</v>
      </c>
      <c r="AV575">
        <v>227.46821199999999</v>
      </c>
      <c r="AW575">
        <v>9.8941051309740295</v>
      </c>
      <c r="AX575">
        <v>4.3496649681204813</v>
      </c>
      <c r="AY575">
        <v>4.5203109834689039</v>
      </c>
      <c r="AZ575">
        <v>11.697258180867697</v>
      </c>
      <c r="BA575">
        <v>2.4093094740258669</v>
      </c>
      <c r="BB575" t="s">
        <v>161</v>
      </c>
      <c r="BD575" s="98"/>
      <c r="BE575" s="98"/>
      <c r="BF575" t="s">
        <v>1152</v>
      </c>
      <c r="BG575" t="s">
        <v>322</v>
      </c>
      <c r="BH575" t="s">
        <v>1153</v>
      </c>
      <c r="BI575">
        <v>4.5203109834689039</v>
      </c>
      <c r="BJ575" t="s">
        <v>991</v>
      </c>
      <c r="BK575">
        <v>3.3027418191323026</v>
      </c>
      <c r="BL575">
        <v>22.018278794215352</v>
      </c>
      <c r="BM575" t="s">
        <v>1260</v>
      </c>
      <c r="BN575" t="s">
        <v>1154</v>
      </c>
      <c r="BO575">
        <v>2025</v>
      </c>
      <c r="BP575" t="s">
        <v>966</v>
      </c>
      <c r="BQ575">
        <v>181593.39554012532</v>
      </c>
      <c r="BR575">
        <v>81.840660445987467</v>
      </c>
      <c r="BS575" t="s">
        <v>992</v>
      </c>
      <c r="BV575" t="s">
        <v>1034</v>
      </c>
      <c r="BW575" t="s">
        <v>943</v>
      </c>
      <c r="BX575" t="s">
        <v>994</v>
      </c>
      <c r="BY575">
        <v>2.4093094740258669</v>
      </c>
      <c r="BZ575" t="s">
        <v>2270</v>
      </c>
      <c r="CA575" t="s">
        <v>991</v>
      </c>
      <c r="CB575" t="b">
        <v>1</v>
      </c>
      <c r="CC575" t="b">
        <v>1</v>
      </c>
      <c r="CD575" t="b">
        <v>1</v>
      </c>
      <c r="CE575" t="b">
        <v>1</v>
      </c>
      <c r="CF575" t="b">
        <v>1</v>
      </c>
    </row>
    <row r="576" spans="1:84" x14ac:dyDescent="0.3">
      <c r="A576" t="s">
        <v>2367</v>
      </c>
      <c r="B576" t="s">
        <v>1255</v>
      </c>
      <c r="C576" s="98">
        <v>45831</v>
      </c>
      <c r="D576">
        <v>2025</v>
      </c>
      <c r="E576">
        <v>6</v>
      </c>
      <c r="F576">
        <v>2</v>
      </c>
      <c r="G576" t="s">
        <v>1243</v>
      </c>
      <c r="H576" t="s">
        <v>132</v>
      </c>
      <c r="I576" t="s">
        <v>132</v>
      </c>
      <c r="J576" t="s">
        <v>6</v>
      </c>
      <c r="L576">
        <v>522611</v>
      </c>
      <c r="M576" s="99" t="s">
        <v>179</v>
      </c>
      <c r="N576">
        <v>2</v>
      </c>
      <c r="O576">
        <v>25</v>
      </c>
      <c r="P576">
        <v>232.0334</v>
      </c>
      <c r="Q576" t="s">
        <v>352</v>
      </c>
      <c r="R576">
        <v>1</v>
      </c>
      <c r="S576">
        <v>227.93100000000001</v>
      </c>
      <c r="T576">
        <v>10.8757</v>
      </c>
      <c r="U576">
        <v>0.37720790385906089</v>
      </c>
      <c r="V576">
        <v>195.3039</v>
      </c>
      <c r="W576">
        <v>206.17960000000002</v>
      </c>
      <c r="X576">
        <v>217.05530000000002</v>
      </c>
      <c r="Y576">
        <v>238.80670000000001</v>
      </c>
      <c r="Z576">
        <v>249.6824</v>
      </c>
      <c r="AA576">
        <v>260.55810000000002</v>
      </c>
      <c r="AD576">
        <v>15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 t="s">
        <v>462</v>
      </c>
      <c r="AL576" t="s">
        <v>6</v>
      </c>
      <c r="AM576" t="s">
        <v>1145</v>
      </c>
      <c r="AN576" t="s">
        <v>1146</v>
      </c>
      <c r="AO576" s="100">
        <v>46262.040405092594</v>
      </c>
      <c r="AP576" t="s">
        <v>1147</v>
      </c>
      <c r="AQ576" t="s">
        <v>2368</v>
      </c>
      <c r="AR576" t="s">
        <v>1257</v>
      </c>
      <c r="AS576" t="s">
        <v>1150</v>
      </c>
      <c r="AT576" t="s">
        <v>2269</v>
      </c>
      <c r="AU576">
        <v>25</v>
      </c>
      <c r="AV576">
        <v>227.46821199999999</v>
      </c>
      <c r="AW576">
        <v>9.8941051309740295</v>
      </c>
      <c r="AX576">
        <v>4.3496649681204813</v>
      </c>
      <c r="AY576">
        <v>4.5203109834689039</v>
      </c>
      <c r="AZ576">
        <v>11.697258180867697</v>
      </c>
      <c r="BA576">
        <v>2.4093094740258669</v>
      </c>
      <c r="BB576" t="s">
        <v>161</v>
      </c>
      <c r="BD576" s="98"/>
      <c r="BE576" s="98"/>
      <c r="BF576" t="s">
        <v>1152</v>
      </c>
      <c r="BG576" t="s">
        <v>322</v>
      </c>
      <c r="BH576" t="s">
        <v>1153</v>
      </c>
      <c r="BI576">
        <v>4.5203109834689039</v>
      </c>
      <c r="BJ576" t="s">
        <v>991</v>
      </c>
      <c r="BK576">
        <v>3.3027418191323026</v>
      </c>
      <c r="BL576">
        <v>22.018278794215352</v>
      </c>
      <c r="BM576" t="s">
        <v>1260</v>
      </c>
      <c r="BN576" t="s">
        <v>1154</v>
      </c>
      <c r="BO576">
        <v>2025</v>
      </c>
      <c r="BP576" t="s">
        <v>966</v>
      </c>
      <c r="BQ576">
        <v>181593.39554012532</v>
      </c>
      <c r="BR576">
        <v>81.840660445987467</v>
      </c>
      <c r="BS576" t="s">
        <v>992</v>
      </c>
      <c r="BV576" t="s">
        <v>1034</v>
      </c>
      <c r="BW576" t="s">
        <v>943</v>
      </c>
      <c r="BX576" t="s">
        <v>994</v>
      </c>
      <c r="BY576">
        <v>2.4093094740258669</v>
      </c>
      <c r="BZ576" t="s">
        <v>2270</v>
      </c>
      <c r="CA576" t="s">
        <v>991</v>
      </c>
      <c r="CB576" t="b">
        <v>1</v>
      </c>
      <c r="CC576" t="b">
        <v>1</v>
      </c>
      <c r="CD576" t="b">
        <v>1</v>
      </c>
      <c r="CE576" t="b">
        <v>1</v>
      </c>
      <c r="CF576" t="b">
        <v>1</v>
      </c>
    </row>
    <row r="577" spans="1:84" x14ac:dyDescent="0.3">
      <c r="A577" t="s">
        <v>2369</v>
      </c>
      <c r="B577" t="s">
        <v>1143</v>
      </c>
      <c r="C577" s="98">
        <v>45663</v>
      </c>
      <c r="D577">
        <v>2025</v>
      </c>
      <c r="E577">
        <v>1</v>
      </c>
      <c r="F577">
        <v>1</v>
      </c>
      <c r="G577" t="s">
        <v>1144</v>
      </c>
      <c r="H577" t="s">
        <v>132</v>
      </c>
      <c r="I577" t="s">
        <v>132</v>
      </c>
      <c r="J577" t="s">
        <v>6</v>
      </c>
      <c r="L577">
        <v>522611</v>
      </c>
      <c r="M577" s="99" t="s">
        <v>180</v>
      </c>
      <c r="N577">
        <v>3</v>
      </c>
      <c r="O577">
        <v>1</v>
      </c>
      <c r="P577">
        <v>494.11500000000001</v>
      </c>
      <c r="Q577" t="s">
        <v>352</v>
      </c>
      <c r="R577">
        <v>1</v>
      </c>
      <c r="S577">
        <v>516.27589999999998</v>
      </c>
      <c r="T577">
        <v>14.8514</v>
      </c>
      <c r="U577">
        <v>-1.492175821808043</v>
      </c>
      <c r="V577">
        <v>471.7217</v>
      </c>
      <c r="W577">
        <v>486.57309999999995</v>
      </c>
      <c r="X577">
        <v>501.42449999999997</v>
      </c>
      <c r="Y577">
        <v>531.12729999999999</v>
      </c>
      <c r="Z577">
        <v>545.9787</v>
      </c>
      <c r="AA577">
        <v>560.83010000000002</v>
      </c>
      <c r="AD577">
        <v>15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 t="s">
        <v>462</v>
      </c>
      <c r="AL577" t="s">
        <v>6</v>
      </c>
      <c r="AM577" t="s">
        <v>1145</v>
      </c>
      <c r="AN577" t="s">
        <v>1146</v>
      </c>
      <c r="AO577" s="100">
        <v>46262.040405092594</v>
      </c>
      <c r="AP577" t="s">
        <v>1147</v>
      </c>
      <c r="AQ577" t="s">
        <v>2370</v>
      </c>
      <c r="AR577" t="s">
        <v>1149</v>
      </c>
      <c r="AS577" t="s">
        <v>1150</v>
      </c>
      <c r="AT577" t="s">
        <v>2269</v>
      </c>
      <c r="AU577">
        <v>25</v>
      </c>
      <c r="AV577">
        <v>517.29893199999981</v>
      </c>
      <c r="AW577">
        <v>13.25278600218711</v>
      </c>
      <c r="AX577">
        <v>2.5619202326493715</v>
      </c>
      <c r="AY577">
        <v>4.5203109834689039</v>
      </c>
      <c r="AZ577">
        <v>8.7474793673403664</v>
      </c>
      <c r="BA577">
        <v>4.0905602301651998</v>
      </c>
      <c r="BB577" t="s">
        <v>161</v>
      </c>
      <c r="BD577" s="98"/>
      <c r="BE577" s="98"/>
      <c r="BF577" t="s">
        <v>1152</v>
      </c>
      <c r="BG577" t="s">
        <v>322</v>
      </c>
      <c r="BH577" t="s">
        <v>1153</v>
      </c>
      <c r="BI577">
        <v>4.5203109834689039</v>
      </c>
      <c r="BJ577" t="s">
        <v>989</v>
      </c>
      <c r="BK577">
        <v>6.2525206326596336</v>
      </c>
      <c r="BL577">
        <v>41.683470884397558</v>
      </c>
      <c r="BM577" t="s">
        <v>1260</v>
      </c>
      <c r="BN577" t="s">
        <v>1154</v>
      </c>
      <c r="BO577">
        <v>2025</v>
      </c>
      <c r="BP577" t="s">
        <v>966</v>
      </c>
      <c r="BQ577">
        <v>181593.39554012532</v>
      </c>
      <c r="BR577">
        <v>81.840660445987467</v>
      </c>
      <c r="BS577" t="s">
        <v>992</v>
      </c>
      <c r="BV577" t="s">
        <v>1034</v>
      </c>
      <c r="BW577" t="s">
        <v>943</v>
      </c>
      <c r="BX577" t="s">
        <v>994</v>
      </c>
      <c r="BY577">
        <v>2.4093094740258669</v>
      </c>
      <c r="BZ577" t="s">
        <v>2270</v>
      </c>
      <c r="CA577" t="s">
        <v>991</v>
      </c>
      <c r="CB577" t="b">
        <v>1</v>
      </c>
      <c r="CC577" t="b">
        <v>1</v>
      </c>
      <c r="CD577" t="b">
        <v>1</v>
      </c>
      <c r="CE577" t="b">
        <v>1</v>
      </c>
      <c r="CF577" t="b">
        <v>1</v>
      </c>
    </row>
    <row r="578" spans="1:84" x14ac:dyDescent="0.3">
      <c r="A578" t="s">
        <v>2371</v>
      </c>
      <c r="B578" t="s">
        <v>1157</v>
      </c>
      <c r="C578" s="98">
        <v>45670</v>
      </c>
      <c r="D578">
        <v>2025</v>
      </c>
      <c r="E578">
        <v>1</v>
      </c>
      <c r="F578">
        <v>1</v>
      </c>
      <c r="G578" t="s">
        <v>1144</v>
      </c>
      <c r="H578" t="s">
        <v>132</v>
      </c>
      <c r="I578" t="s">
        <v>132</v>
      </c>
      <c r="J578" t="s">
        <v>6</v>
      </c>
      <c r="L578">
        <v>522611</v>
      </c>
      <c r="M578" s="99" t="s">
        <v>180</v>
      </c>
      <c r="N578">
        <v>3</v>
      </c>
      <c r="O578">
        <v>2</v>
      </c>
      <c r="P578">
        <v>497.02190000000002</v>
      </c>
      <c r="Q578" t="s">
        <v>352</v>
      </c>
      <c r="R578">
        <v>1</v>
      </c>
      <c r="S578">
        <v>516.27589999999998</v>
      </c>
      <c r="T578">
        <v>14.8514</v>
      </c>
      <c r="U578">
        <v>-1.2964434329423464</v>
      </c>
      <c r="V578">
        <v>471.7217</v>
      </c>
      <c r="W578">
        <v>486.57309999999995</v>
      </c>
      <c r="X578">
        <v>501.42449999999997</v>
      </c>
      <c r="Y578">
        <v>531.12729999999999</v>
      </c>
      <c r="Z578">
        <v>545.9787</v>
      </c>
      <c r="AA578">
        <v>560.83010000000002</v>
      </c>
      <c r="AD578">
        <v>15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 t="s">
        <v>462</v>
      </c>
      <c r="AL578" t="s">
        <v>6</v>
      </c>
      <c r="AM578" t="s">
        <v>1145</v>
      </c>
      <c r="AN578" t="s">
        <v>1146</v>
      </c>
      <c r="AO578" s="100">
        <v>46262.040405092594</v>
      </c>
      <c r="AP578" t="s">
        <v>1147</v>
      </c>
      <c r="AQ578" t="s">
        <v>2372</v>
      </c>
      <c r="AR578" t="s">
        <v>1159</v>
      </c>
      <c r="AS578" t="s">
        <v>1150</v>
      </c>
      <c r="AT578" t="s">
        <v>2269</v>
      </c>
      <c r="AU578">
        <v>25</v>
      </c>
      <c r="AV578">
        <v>517.29893199999981</v>
      </c>
      <c r="AW578">
        <v>13.25278600218711</v>
      </c>
      <c r="AX578">
        <v>2.5619202326493715</v>
      </c>
      <c r="AY578">
        <v>4.5203109834689039</v>
      </c>
      <c r="AZ578">
        <v>8.7474793673403664</v>
      </c>
      <c r="BA578">
        <v>4.0905602301651998</v>
      </c>
      <c r="BB578" t="s">
        <v>161</v>
      </c>
      <c r="BD578" s="98"/>
      <c r="BE578" s="98"/>
      <c r="BF578" t="s">
        <v>1152</v>
      </c>
      <c r="BG578" t="s">
        <v>322</v>
      </c>
      <c r="BH578" t="s">
        <v>1153</v>
      </c>
      <c r="BI578">
        <v>4.5203109834689039</v>
      </c>
      <c r="BJ578" t="s">
        <v>989</v>
      </c>
      <c r="BK578">
        <v>6.2525206326596336</v>
      </c>
      <c r="BL578">
        <v>41.683470884397558</v>
      </c>
      <c r="BM578" t="s">
        <v>1260</v>
      </c>
      <c r="BN578" t="s">
        <v>1154</v>
      </c>
      <c r="BO578">
        <v>2025</v>
      </c>
      <c r="BP578" t="s">
        <v>966</v>
      </c>
      <c r="BQ578">
        <v>181593.39554012532</v>
      </c>
      <c r="BR578">
        <v>81.840660445987467</v>
      </c>
      <c r="BS578" t="s">
        <v>992</v>
      </c>
      <c r="BV578" t="s">
        <v>1034</v>
      </c>
      <c r="BW578" t="s">
        <v>943</v>
      </c>
      <c r="BX578" t="s">
        <v>994</v>
      </c>
      <c r="BY578">
        <v>2.4093094740258669</v>
      </c>
      <c r="BZ578" t="s">
        <v>2270</v>
      </c>
      <c r="CA578" t="s">
        <v>991</v>
      </c>
      <c r="CB578" t="b">
        <v>1</v>
      </c>
      <c r="CC578" t="b">
        <v>1</v>
      </c>
      <c r="CD578" t="b">
        <v>1</v>
      </c>
      <c r="CE578" t="b">
        <v>1</v>
      </c>
      <c r="CF578" t="b">
        <v>1</v>
      </c>
    </row>
    <row r="579" spans="1:84" x14ac:dyDescent="0.3">
      <c r="A579" t="s">
        <v>2373</v>
      </c>
      <c r="B579" t="s">
        <v>1161</v>
      </c>
      <c r="C579" s="98">
        <v>45677</v>
      </c>
      <c r="D579">
        <v>2025</v>
      </c>
      <c r="E579">
        <v>1</v>
      </c>
      <c r="F579">
        <v>1</v>
      </c>
      <c r="G579" t="s">
        <v>1144</v>
      </c>
      <c r="H579" t="s">
        <v>132</v>
      </c>
      <c r="I579" t="s">
        <v>132</v>
      </c>
      <c r="J579" t="s">
        <v>6</v>
      </c>
      <c r="L579">
        <v>522611</v>
      </c>
      <c r="M579" s="99" t="s">
        <v>180</v>
      </c>
      <c r="N579">
        <v>3</v>
      </c>
      <c r="O579">
        <v>3</v>
      </c>
      <c r="P579">
        <v>506.8458</v>
      </c>
      <c r="Q579" t="s">
        <v>352</v>
      </c>
      <c r="R579">
        <v>1</v>
      </c>
      <c r="S579">
        <v>516.27589999999998</v>
      </c>
      <c r="T579">
        <v>14.8514</v>
      </c>
      <c r="U579">
        <v>-0.63496370712525296</v>
      </c>
      <c r="V579">
        <v>471.7217</v>
      </c>
      <c r="W579">
        <v>486.57309999999995</v>
      </c>
      <c r="X579">
        <v>501.42449999999997</v>
      </c>
      <c r="Y579">
        <v>531.12729999999999</v>
      </c>
      <c r="Z579">
        <v>545.9787</v>
      </c>
      <c r="AA579">
        <v>560.83010000000002</v>
      </c>
      <c r="AD579">
        <v>15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 t="s">
        <v>462</v>
      </c>
      <c r="AL579" t="s">
        <v>6</v>
      </c>
      <c r="AM579" t="s">
        <v>1145</v>
      </c>
      <c r="AN579" t="s">
        <v>1146</v>
      </c>
      <c r="AO579" s="100">
        <v>46262.040405092594</v>
      </c>
      <c r="AP579" t="s">
        <v>1147</v>
      </c>
      <c r="AQ579" t="s">
        <v>2374</v>
      </c>
      <c r="AR579" t="s">
        <v>1163</v>
      </c>
      <c r="AS579" t="s">
        <v>1150</v>
      </c>
      <c r="AT579" t="s">
        <v>2269</v>
      </c>
      <c r="AU579">
        <v>25</v>
      </c>
      <c r="AV579">
        <v>517.29893199999981</v>
      </c>
      <c r="AW579">
        <v>13.25278600218711</v>
      </c>
      <c r="AX579">
        <v>2.5619202326493715</v>
      </c>
      <c r="AY579">
        <v>4.5203109834689039</v>
      </c>
      <c r="AZ579">
        <v>8.7474793673403664</v>
      </c>
      <c r="BA579">
        <v>4.0905602301651998</v>
      </c>
      <c r="BB579" t="s">
        <v>161</v>
      </c>
      <c r="BD579" s="98"/>
      <c r="BE579" s="98"/>
      <c r="BF579" t="s">
        <v>1152</v>
      </c>
      <c r="BG579" t="s">
        <v>322</v>
      </c>
      <c r="BH579" t="s">
        <v>1153</v>
      </c>
      <c r="BI579">
        <v>4.5203109834689039</v>
      </c>
      <c r="BJ579" t="s">
        <v>989</v>
      </c>
      <c r="BK579">
        <v>6.2525206326596336</v>
      </c>
      <c r="BL579">
        <v>41.683470884397558</v>
      </c>
      <c r="BM579" t="s">
        <v>1260</v>
      </c>
      <c r="BN579" t="s">
        <v>1154</v>
      </c>
      <c r="BO579">
        <v>2025</v>
      </c>
      <c r="BP579" t="s">
        <v>966</v>
      </c>
      <c r="BQ579">
        <v>181593.39554012532</v>
      </c>
      <c r="BR579">
        <v>81.840660445987467</v>
      </c>
      <c r="BS579" t="s">
        <v>992</v>
      </c>
      <c r="BV579" t="s">
        <v>1034</v>
      </c>
      <c r="BW579" t="s">
        <v>943</v>
      </c>
      <c r="BX579" t="s">
        <v>994</v>
      </c>
      <c r="BY579">
        <v>2.4093094740258669</v>
      </c>
      <c r="BZ579" t="s">
        <v>2270</v>
      </c>
      <c r="CA579" t="s">
        <v>991</v>
      </c>
      <c r="CB579" t="b">
        <v>1</v>
      </c>
      <c r="CC579" t="b">
        <v>1</v>
      </c>
      <c r="CD579" t="b">
        <v>1</v>
      </c>
      <c r="CE579" t="b">
        <v>1</v>
      </c>
      <c r="CF579" t="b">
        <v>1</v>
      </c>
    </row>
    <row r="580" spans="1:84" x14ac:dyDescent="0.3">
      <c r="A580" t="s">
        <v>2375</v>
      </c>
      <c r="B580" t="s">
        <v>1165</v>
      </c>
      <c r="C580" s="98">
        <v>45684</v>
      </c>
      <c r="D580">
        <v>2025</v>
      </c>
      <c r="E580">
        <v>1</v>
      </c>
      <c r="F580">
        <v>1</v>
      </c>
      <c r="G580" t="s">
        <v>1144</v>
      </c>
      <c r="H580" t="s">
        <v>132</v>
      </c>
      <c r="I580" t="s">
        <v>132</v>
      </c>
      <c r="J580" t="s">
        <v>6</v>
      </c>
      <c r="L580">
        <v>522611</v>
      </c>
      <c r="M580" s="99" t="s">
        <v>180</v>
      </c>
      <c r="N580">
        <v>3</v>
      </c>
      <c r="O580">
        <v>4</v>
      </c>
      <c r="P580">
        <v>535.17560000000003</v>
      </c>
      <c r="Q580" t="s">
        <v>352</v>
      </c>
      <c r="R580">
        <v>1</v>
      </c>
      <c r="S580">
        <v>516.27589999999998</v>
      </c>
      <c r="T580">
        <v>14.8514</v>
      </c>
      <c r="U580">
        <v>1.2725870961660215</v>
      </c>
      <c r="V580">
        <v>471.7217</v>
      </c>
      <c r="W580">
        <v>486.57309999999995</v>
      </c>
      <c r="X580">
        <v>501.42449999999997</v>
      </c>
      <c r="Y580">
        <v>531.12729999999999</v>
      </c>
      <c r="Z580">
        <v>545.9787</v>
      </c>
      <c r="AA580">
        <v>560.83010000000002</v>
      </c>
      <c r="AD580">
        <v>15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 t="s">
        <v>462</v>
      </c>
      <c r="AL580" t="s">
        <v>6</v>
      </c>
      <c r="AM580" t="s">
        <v>1145</v>
      </c>
      <c r="AN580" t="s">
        <v>1146</v>
      </c>
      <c r="AO580" s="100">
        <v>46262.040405092594</v>
      </c>
      <c r="AP580" t="s">
        <v>1147</v>
      </c>
      <c r="AQ580" t="s">
        <v>2376</v>
      </c>
      <c r="AR580" t="s">
        <v>1167</v>
      </c>
      <c r="AS580" t="s">
        <v>1150</v>
      </c>
      <c r="AT580" t="s">
        <v>2269</v>
      </c>
      <c r="AU580">
        <v>25</v>
      </c>
      <c r="AV580">
        <v>517.29893199999981</v>
      </c>
      <c r="AW580">
        <v>13.25278600218711</v>
      </c>
      <c r="AX580">
        <v>2.5619202326493715</v>
      </c>
      <c r="AY580">
        <v>4.5203109834689039</v>
      </c>
      <c r="AZ580">
        <v>8.7474793673403664</v>
      </c>
      <c r="BA580">
        <v>4.0905602301651998</v>
      </c>
      <c r="BB580" t="s">
        <v>161</v>
      </c>
      <c r="BD580" s="98"/>
      <c r="BE580" s="98"/>
      <c r="BF580" t="s">
        <v>1152</v>
      </c>
      <c r="BG580" t="s">
        <v>322</v>
      </c>
      <c r="BH580" t="s">
        <v>1153</v>
      </c>
      <c r="BI580">
        <v>4.5203109834689039</v>
      </c>
      <c r="BJ580" t="s">
        <v>989</v>
      </c>
      <c r="BK580">
        <v>6.2525206326596336</v>
      </c>
      <c r="BL580">
        <v>41.683470884397558</v>
      </c>
      <c r="BM580" t="s">
        <v>1260</v>
      </c>
      <c r="BN580" t="s">
        <v>1154</v>
      </c>
      <c r="BO580">
        <v>2025</v>
      </c>
      <c r="BP580" t="s">
        <v>966</v>
      </c>
      <c r="BQ580">
        <v>181593.39554012532</v>
      </c>
      <c r="BR580">
        <v>81.840660445987467</v>
      </c>
      <c r="BS580" t="s">
        <v>992</v>
      </c>
      <c r="BV580" t="s">
        <v>1034</v>
      </c>
      <c r="BW580" t="s">
        <v>943</v>
      </c>
      <c r="BX580" t="s">
        <v>994</v>
      </c>
      <c r="BY580">
        <v>2.4093094740258669</v>
      </c>
      <c r="BZ580" t="s">
        <v>2270</v>
      </c>
      <c r="CA580" t="s">
        <v>991</v>
      </c>
      <c r="CB580" t="b">
        <v>1</v>
      </c>
      <c r="CC580" t="b">
        <v>1</v>
      </c>
      <c r="CD580" t="b">
        <v>1</v>
      </c>
      <c r="CE580" t="b">
        <v>1</v>
      </c>
      <c r="CF580" t="b">
        <v>1</v>
      </c>
    </row>
    <row r="581" spans="1:84" x14ac:dyDescent="0.3">
      <c r="A581" t="s">
        <v>2377</v>
      </c>
      <c r="B581" t="s">
        <v>1169</v>
      </c>
      <c r="C581" s="98">
        <v>45691</v>
      </c>
      <c r="D581">
        <v>2025</v>
      </c>
      <c r="E581">
        <v>2</v>
      </c>
      <c r="F581">
        <v>1</v>
      </c>
      <c r="G581" t="s">
        <v>1170</v>
      </c>
      <c r="H581" t="s">
        <v>132</v>
      </c>
      <c r="I581" t="s">
        <v>132</v>
      </c>
      <c r="J581" t="s">
        <v>6</v>
      </c>
      <c r="L581">
        <v>522611</v>
      </c>
      <c r="M581" s="99" t="s">
        <v>180</v>
      </c>
      <c r="N581">
        <v>3</v>
      </c>
      <c r="O581">
        <v>5</v>
      </c>
      <c r="P581">
        <v>510.76830000000001</v>
      </c>
      <c r="Q581" t="s">
        <v>352</v>
      </c>
      <c r="R581">
        <v>1</v>
      </c>
      <c r="S581">
        <v>516.27589999999998</v>
      </c>
      <c r="T581">
        <v>14.8514</v>
      </c>
      <c r="U581">
        <v>-0.37084719285723688</v>
      </c>
      <c r="V581">
        <v>471.7217</v>
      </c>
      <c r="W581">
        <v>486.57309999999995</v>
      </c>
      <c r="X581">
        <v>501.42449999999997</v>
      </c>
      <c r="Y581">
        <v>531.12729999999999</v>
      </c>
      <c r="Z581">
        <v>545.9787</v>
      </c>
      <c r="AA581">
        <v>560.83010000000002</v>
      </c>
      <c r="AD581">
        <v>15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 t="s">
        <v>462</v>
      </c>
      <c r="AL581" t="s">
        <v>6</v>
      </c>
      <c r="AM581" t="s">
        <v>1145</v>
      </c>
      <c r="AN581" t="s">
        <v>1146</v>
      </c>
      <c r="AO581" s="100">
        <v>46262.040405092594</v>
      </c>
      <c r="AP581" t="s">
        <v>1147</v>
      </c>
      <c r="AQ581" t="s">
        <v>2378</v>
      </c>
      <c r="AR581" t="s">
        <v>1172</v>
      </c>
      <c r="AS581" t="s">
        <v>1150</v>
      </c>
      <c r="AT581" t="s">
        <v>2269</v>
      </c>
      <c r="AU581">
        <v>25</v>
      </c>
      <c r="AV581">
        <v>517.29893199999981</v>
      </c>
      <c r="AW581">
        <v>13.25278600218711</v>
      </c>
      <c r="AX581">
        <v>2.5619202326493715</v>
      </c>
      <c r="AY581">
        <v>4.5203109834689039</v>
      </c>
      <c r="AZ581">
        <v>8.7474793673403664</v>
      </c>
      <c r="BA581">
        <v>4.0905602301651998</v>
      </c>
      <c r="BB581" t="s">
        <v>161</v>
      </c>
      <c r="BD581" s="98"/>
      <c r="BE581" s="98"/>
      <c r="BF581" t="s">
        <v>1152</v>
      </c>
      <c r="BG581" t="s">
        <v>322</v>
      </c>
      <c r="BH581" t="s">
        <v>1153</v>
      </c>
      <c r="BI581">
        <v>4.5203109834689039</v>
      </c>
      <c r="BJ581" t="s">
        <v>989</v>
      </c>
      <c r="BK581">
        <v>6.2525206326596336</v>
      </c>
      <c r="BL581">
        <v>41.683470884397558</v>
      </c>
      <c r="BM581" t="s">
        <v>1260</v>
      </c>
      <c r="BN581" t="s">
        <v>1154</v>
      </c>
      <c r="BO581">
        <v>2025</v>
      </c>
      <c r="BP581" t="s">
        <v>966</v>
      </c>
      <c r="BQ581">
        <v>181593.39554012532</v>
      </c>
      <c r="BR581">
        <v>81.840660445987467</v>
      </c>
      <c r="BS581" t="s">
        <v>992</v>
      </c>
      <c r="BV581" t="s">
        <v>1034</v>
      </c>
      <c r="BW581" t="s">
        <v>943</v>
      </c>
      <c r="BX581" t="s">
        <v>994</v>
      </c>
      <c r="BY581">
        <v>2.4093094740258669</v>
      </c>
      <c r="BZ581" t="s">
        <v>2270</v>
      </c>
      <c r="CA581" t="s">
        <v>991</v>
      </c>
      <c r="CB581" t="b">
        <v>1</v>
      </c>
      <c r="CC581" t="b">
        <v>1</v>
      </c>
      <c r="CD581" t="b">
        <v>1</v>
      </c>
      <c r="CE581" t="b">
        <v>1</v>
      </c>
      <c r="CF581" t="b">
        <v>1</v>
      </c>
    </row>
    <row r="582" spans="1:84" x14ac:dyDescent="0.3">
      <c r="A582" t="s">
        <v>2379</v>
      </c>
      <c r="B582" t="s">
        <v>1174</v>
      </c>
      <c r="C582" s="98">
        <v>45698</v>
      </c>
      <c r="D582">
        <v>2025</v>
      </c>
      <c r="E582">
        <v>2</v>
      </c>
      <c r="F582">
        <v>1</v>
      </c>
      <c r="G582" t="s">
        <v>1170</v>
      </c>
      <c r="H582" t="s">
        <v>132</v>
      </c>
      <c r="I582" t="s">
        <v>132</v>
      </c>
      <c r="J582" t="s">
        <v>6</v>
      </c>
      <c r="L582">
        <v>522611</v>
      </c>
      <c r="M582" s="99" t="s">
        <v>180</v>
      </c>
      <c r="N582">
        <v>3</v>
      </c>
      <c r="O582">
        <v>6</v>
      </c>
      <c r="P582">
        <v>520.30050000000006</v>
      </c>
      <c r="Q582" t="s">
        <v>352</v>
      </c>
      <c r="R582">
        <v>1</v>
      </c>
      <c r="S582">
        <v>516.27589999999998</v>
      </c>
      <c r="T582">
        <v>14.8514</v>
      </c>
      <c r="U582">
        <v>0.27099128701671749</v>
      </c>
      <c r="V582">
        <v>471.7217</v>
      </c>
      <c r="W582">
        <v>486.57309999999995</v>
      </c>
      <c r="X582">
        <v>501.42449999999997</v>
      </c>
      <c r="Y582">
        <v>531.12729999999999</v>
      </c>
      <c r="Z582">
        <v>545.9787</v>
      </c>
      <c r="AA582">
        <v>560.83010000000002</v>
      </c>
      <c r="AD582">
        <v>15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 t="s">
        <v>462</v>
      </c>
      <c r="AL582" t="s">
        <v>6</v>
      </c>
      <c r="AM582" t="s">
        <v>1145</v>
      </c>
      <c r="AN582" t="s">
        <v>1146</v>
      </c>
      <c r="AO582" s="100">
        <v>46262.040405092594</v>
      </c>
      <c r="AP582" t="s">
        <v>1147</v>
      </c>
      <c r="AQ582" t="s">
        <v>2380</v>
      </c>
      <c r="AR582" t="s">
        <v>1176</v>
      </c>
      <c r="AS582" t="s">
        <v>1150</v>
      </c>
      <c r="AT582" t="s">
        <v>2269</v>
      </c>
      <c r="AU582">
        <v>25</v>
      </c>
      <c r="AV582">
        <v>517.29893199999981</v>
      </c>
      <c r="AW582">
        <v>13.25278600218711</v>
      </c>
      <c r="AX582">
        <v>2.5619202326493715</v>
      </c>
      <c r="AY582">
        <v>4.5203109834689039</v>
      </c>
      <c r="AZ582">
        <v>8.7474793673403664</v>
      </c>
      <c r="BA582">
        <v>4.0905602301651998</v>
      </c>
      <c r="BB582" t="s">
        <v>161</v>
      </c>
      <c r="BD582" s="98"/>
      <c r="BE582" s="98"/>
      <c r="BF582" t="s">
        <v>1152</v>
      </c>
      <c r="BG582" t="s">
        <v>322</v>
      </c>
      <c r="BH582" t="s">
        <v>1153</v>
      </c>
      <c r="BI582">
        <v>4.5203109834689039</v>
      </c>
      <c r="BJ582" t="s">
        <v>989</v>
      </c>
      <c r="BK582">
        <v>6.2525206326596336</v>
      </c>
      <c r="BL582">
        <v>41.683470884397558</v>
      </c>
      <c r="BM582" t="s">
        <v>1260</v>
      </c>
      <c r="BN582" t="s">
        <v>1154</v>
      </c>
      <c r="BO582">
        <v>2025</v>
      </c>
      <c r="BP582" t="s">
        <v>966</v>
      </c>
      <c r="BQ582">
        <v>181593.39554012532</v>
      </c>
      <c r="BR582">
        <v>81.840660445987467</v>
      </c>
      <c r="BS582" t="s">
        <v>992</v>
      </c>
      <c r="BV582" t="s">
        <v>1034</v>
      </c>
      <c r="BW582" t="s">
        <v>943</v>
      </c>
      <c r="BX582" t="s">
        <v>994</v>
      </c>
      <c r="BY582">
        <v>2.4093094740258669</v>
      </c>
      <c r="BZ582" t="s">
        <v>2270</v>
      </c>
      <c r="CA582" t="s">
        <v>991</v>
      </c>
      <c r="CB582" t="b">
        <v>1</v>
      </c>
      <c r="CC582" t="b">
        <v>1</v>
      </c>
      <c r="CD582" t="b">
        <v>1</v>
      </c>
      <c r="CE582" t="b">
        <v>1</v>
      </c>
      <c r="CF582" t="b">
        <v>1</v>
      </c>
    </row>
    <row r="583" spans="1:84" x14ac:dyDescent="0.3">
      <c r="A583" t="s">
        <v>2381</v>
      </c>
      <c r="B583" t="s">
        <v>1178</v>
      </c>
      <c r="C583" s="98">
        <v>45705</v>
      </c>
      <c r="D583">
        <v>2025</v>
      </c>
      <c r="E583">
        <v>2</v>
      </c>
      <c r="F583">
        <v>1</v>
      </c>
      <c r="G583" t="s">
        <v>1170</v>
      </c>
      <c r="H583" t="s">
        <v>132</v>
      </c>
      <c r="I583" t="s">
        <v>132</v>
      </c>
      <c r="J583" t="s">
        <v>6</v>
      </c>
      <c r="L583">
        <v>522611</v>
      </c>
      <c r="M583" s="99" t="s">
        <v>180</v>
      </c>
      <c r="N583">
        <v>3</v>
      </c>
      <c r="O583">
        <v>7</v>
      </c>
      <c r="P583">
        <v>542.23559999999998</v>
      </c>
      <c r="Q583" t="s">
        <v>352</v>
      </c>
      <c r="R583">
        <v>1</v>
      </c>
      <c r="S583">
        <v>516.27589999999998</v>
      </c>
      <c r="T583">
        <v>14.8514</v>
      </c>
      <c r="U583">
        <v>1.7479631549887551</v>
      </c>
      <c r="V583">
        <v>471.7217</v>
      </c>
      <c r="W583">
        <v>486.57309999999995</v>
      </c>
      <c r="X583">
        <v>501.42449999999997</v>
      </c>
      <c r="Y583">
        <v>531.12729999999999</v>
      </c>
      <c r="Z583">
        <v>545.9787</v>
      </c>
      <c r="AA583">
        <v>560.83010000000002</v>
      </c>
      <c r="AD583">
        <v>15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 t="s">
        <v>462</v>
      </c>
      <c r="AL583" t="s">
        <v>6</v>
      </c>
      <c r="AM583" t="s">
        <v>1145</v>
      </c>
      <c r="AN583" t="s">
        <v>1146</v>
      </c>
      <c r="AO583" s="100">
        <v>46262.040405092594</v>
      </c>
      <c r="AP583" t="s">
        <v>1147</v>
      </c>
      <c r="AQ583" t="s">
        <v>2382</v>
      </c>
      <c r="AR583" t="s">
        <v>1180</v>
      </c>
      <c r="AS583" t="s">
        <v>1150</v>
      </c>
      <c r="AT583" t="s">
        <v>2269</v>
      </c>
      <c r="AU583">
        <v>25</v>
      </c>
      <c r="AV583">
        <v>517.29893199999981</v>
      </c>
      <c r="AW583">
        <v>13.25278600218711</v>
      </c>
      <c r="AX583">
        <v>2.5619202326493715</v>
      </c>
      <c r="AY583">
        <v>4.5203109834689039</v>
      </c>
      <c r="AZ583">
        <v>8.7474793673403664</v>
      </c>
      <c r="BA583">
        <v>4.0905602301651998</v>
      </c>
      <c r="BB583" t="s">
        <v>161</v>
      </c>
      <c r="BD583" s="98"/>
      <c r="BE583" s="98"/>
      <c r="BF583" t="s">
        <v>1152</v>
      </c>
      <c r="BG583" t="s">
        <v>322</v>
      </c>
      <c r="BH583" t="s">
        <v>1153</v>
      </c>
      <c r="BI583">
        <v>4.5203109834689039</v>
      </c>
      <c r="BJ583" t="s">
        <v>989</v>
      </c>
      <c r="BK583">
        <v>6.2525206326596336</v>
      </c>
      <c r="BL583">
        <v>41.683470884397558</v>
      </c>
      <c r="BM583" t="s">
        <v>1260</v>
      </c>
      <c r="BN583" t="s">
        <v>1154</v>
      </c>
      <c r="BO583">
        <v>2025</v>
      </c>
      <c r="BP583" t="s">
        <v>966</v>
      </c>
      <c r="BQ583">
        <v>181593.39554012532</v>
      </c>
      <c r="BR583">
        <v>81.840660445987467</v>
      </c>
      <c r="BS583" t="s">
        <v>992</v>
      </c>
      <c r="BV583" t="s">
        <v>1034</v>
      </c>
      <c r="BW583" t="s">
        <v>943</v>
      </c>
      <c r="BX583" t="s">
        <v>994</v>
      </c>
      <c r="BY583">
        <v>2.4093094740258669</v>
      </c>
      <c r="BZ583" t="s">
        <v>2270</v>
      </c>
      <c r="CA583" t="s">
        <v>991</v>
      </c>
      <c r="CB583" t="b">
        <v>1</v>
      </c>
      <c r="CC583" t="b">
        <v>1</v>
      </c>
      <c r="CD583" t="b">
        <v>1</v>
      </c>
      <c r="CE583" t="b">
        <v>1</v>
      </c>
      <c r="CF583" t="b">
        <v>1</v>
      </c>
    </row>
    <row r="584" spans="1:84" x14ac:dyDescent="0.3">
      <c r="A584" t="s">
        <v>2383</v>
      </c>
      <c r="B584" t="s">
        <v>1182</v>
      </c>
      <c r="C584" s="98">
        <v>45712</v>
      </c>
      <c r="D584">
        <v>2025</v>
      </c>
      <c r="E584">
        <v>2</v>
      </c>
      <c r="F584">
        <v>1</v>
      </c>
      <c r="G584" t="s">
        <v>1170</v>
      </c>
      <c r="H584" t="s">
        <v>132</v>
      </c>
      <c r="I584" t="s">
        <v>132</v>
      </c>
      <c r="J584" t="s">
        <v>6</v>
      </c>
      <c r="L584">
        <v>522611</v>
      </c>
      <c r="M584" s="99" t="s">
        <v>180</v>
      </c>
      <c r="N584">
        <v>3</v>
      </c>
      <c r="O584">
        <v>8</v>
      </c>
      <c r="P584">
        <v>539.94939999999997</v>
      </c>
      <c r="Q584" t="s">
        <v>352</v>
      </c>
      <c r="R584">
        <v>1</v>
      </c>
      <c r="S584">
        <v>516.27589999999998</v>
      </c>
      <c r="T584">
        <v>14.8514</v>
      </c>
      <c r="U584">
        <v>1.5940248057422188</v>
      </c>
      <c r="V584">
        <v>471.7217</v>
      </c>
      <c r="W584">
        <v>486.57309999999995</v>
      </c>
      <c r="X584">
        <v>501.42449999999997</v>
      </c>
      <c r="Y584">
        <v>531.12729999999999</v>
      </c>
      <c r="Z584">
        <v>545.9787</v>
      </c>
      <c r="AA584">
        <v>560.83010000000002</v>
      </c>
      <c r="AD584">
        <v>15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 t="s">
        <v>462</v>
      </c>
      <c r="AL584" t="s">
        <v>6</v>
      </c>
      <c r="AM584" t="s">
        <v>1145</v>
      </c>
      <c r="AN584" t="s">
        <v>1146</v>
      </c>
      <c r="AO584" s="100">
        <v>46262.040405092594</v>
      </c>
      <c r="AP584" t="s">
        <v>1147</v>
      </c>
      <c r="AQ584" t="s">
        <v>2384</v>
      </c>
      <c r="AR584" t="s">
        <v>1184</v>
      </c>
      <c r="AS584" t="s">
        <v>1150</v>
      </c>
      <c r="AT584" t="s">
        <v>2269</v>
      </c>
      <c r="AU584">
        <v>25</v>
      </c>
      <c r="AV584">
        <v>517.29893199999981</v>
      </c>
      <c r="AW584">
        <v>13.25278600218711</v>
      </c>
      <c r="AX584">
        <v>2.5619202326493715</v>
      </c>
      <c r="AY584">
        <v>4.5203109834689039</v>
      </c>
      <c r="AZ584">
        <v>8.7474793673403664</v>
      </c>
      <c r="BA584">
        <v>4.0905602301651998</v>
      </c>
      <c r="BB584" t="s">
        <v>161</v>
      </c>
      <c r="BD584" s="98"/>
      <c r="BE584" s="98"/>
      <c r="BF584" t="s">
        <v>1152</v>
      </c>
      <c r="BG584" t="s">
        <v>322</v>
      </c>
      <c r="BH584" t="s">
        <v>1153</v>
      </c>
      <c r="BI584">
        <v>4.5203109834689039</v>
      </c>
      <c r="BJ584" t="s">
        <v>989</v>
      </c>
      <c r="BK584">
        <v>6.2525206326596336</v>
      </c>
      <c r="BL584">
        <v>41.683470884397558</v>
      </c>
      <c r="BM584" t="s">
        <v>1260</v>
      </c>
      <c r="BN584" t="s">
        <v>1154</v>
      </c>
      <c r="BO584">
        <v>2025</v>
      </c>
      <c r="BP584" t="s">
        <v>966</v>
      </c>
      <c r="BQ584">
        <v>181593.39554012532</v>
      </c>
      <c r="BR584">
        <v>81.840660445987467</v>
      </c>
      <c r="BS584" t="s">
        <v>992</v>
      </c>
      <c r="BV584" t="s">
        <v>1034</v>
      </c>
      <c r="BW584" t="s">
        <v>943</v>
      </c>
      <c r="BX584" t="s">
        <v>994</v>
      </c>
      <c r="BY584">
        <v>2.4093094740258669</v>
      </c>
      <c r="BZ584" t="s">
        <v>2270</v>
      </c>
      <c r="CA584" t="s">
        <v>991</v>
      </c>
      <c r="CB584" t="b">
        <v>1</v>
      </c>
      <c r="CC584" t="b">
        <v>1</v>
      </c>
      <c r="CD584" t="b">
        <v>1</v>
      </c>
      <c r="CE584" t="b">
        <v>1</v>
      </c>
      <c r="CF584" t="b">
        <v>1</v>
      </c>
    </row>
    <row r="585" spans="1:84" x14ac:dyDescent="0.3">
      <c r="A585" t="s">
        <v>2385</v>
      </c>
      <c r="B585" t="s">
        <v>1186</v>
      </c>
      <c r="C585" s="98">
        <v>45719</v>
      </c>
      <c r="D585">
        <v>2025</v>
      </c>
      <c r="E585">
        <v>3</v>
      </c>
      <c r="F585">
        <v>1</v>
      </c>
      <c r="G585" t="s">
        <v>1187</v>
      </c>
      <c r="H585" t="s">
        <v>132</v>
      </c>
      <c r="I585" t="s">
        <v>132</v>
      </c>
      <c r="J585" t="s">
        <v>6</v>
      </c>
      <c r="L585">
        <v>522611</v>
      </c>
      <c r="M585" s="99" t="s">
        <v>180</v>
      </c>
      <c r="N585">
        <v>3</v>
      </c>
      <c r="O585">
        <v>9</v>
      </c>
      <c r="P585">
        <v>514.74090000000001</v>
      </c>
      <c r="Q585" t="s">
        <v>352</v>
      </c>
      <c r="R585">
        <v>1</v>
      </c>
      <c r="S585">
        <v>516.27589999999998</v>
      </c>
      <c r="T585">
        <v>14.8514</v>
      </c>
      <c r="U585">
        <v>-0.10335725924828422</v>
      </c>
      <c r="V585">
        <v>471.7217</v>
      </c>
      <c r="W585">
        <v>486.57309999999995</v>
      </c>
      <c r="X585">
        <v>501.42449999999997</v>
      </c>
      <c r="Y585">
        <v>531.12729999999999</v>
      </c>
      <c r="Z585">
        <v>545.9787</v>
      </c>
      <c r="AA585">
        <v>560.83010000000002</v>
      </c>
      <c r="AD585">
        <v>15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 t="s">
        <v>462</v>
      </c>
      <c r="AL585" t="s">
        <v>6</v>
      </c>
      <c r="AM585" t="s">
        <v>1145</v>
      </c>
      <c r="AN585" t="s">
        <v>1146</v>
      </c>
      <c r="AO585" s="100">
        <v>46262.040405092594</v>
      </c>
      <c r="AP585" t="s">
        <v>1147</v>
      </c>
      <c r="AQ585" t="s">
        <v>2386</v>
      </c>
      <c r="AR585" t="s">
        <v>1189</v>
      </c>
      <c r="AS585" t="s">
        <v>1150</v>
      </c>
      <c r="AT585" t="s">
        <v>2269</v>
      </c>
      <c r="AU585">
        <v>25</v>
      </c>
      <c r="AV585">
        <v>517.29893199999981</v>
      </c>
      <c r="AW585">
        <v>13.25278600218711</v>
      </c>
      <c r="AX585">
        <v>2.5619202326493715</v>
      </c>
      <c r="AY585">
        <v>4.5203109834689039</v>
      </c>
      <c r="AZ585">
        <v>8.7474793673403664</v>
      </c>
      <c r="BA585">
        <v>4.0905602301651998</v>
      </c>
      <c r="BB585" t="s">
        <v>161</v>
      </c>
      <c r="BD585" s="98"/>
      <c r="BE585" s="98"/>
      <c r="BF585" t="s">
        <v>1152</v>
      </c>
      <c r="BG585" t="s">
        <v>322</v>
      </c>
      <c r="BH585" t="s">
        <v>1153</v>
      </c>
      <c r="BI585">
        <v>4.5203109834689039</v>
      </c>
      <c r="BJ585" t="s">
        <v>989</v>
      </c>
      <c r="BK585">
        <v>6.2525206326596336</v>
      </c>
      <c r="BL585">
        <v>41.683470884397558</v>
      </c>
      <c r="BM585" t="s">
        <v>1260</v>
      </c>
      <c r="BN585" t="s">
        <v>1154</v>
      </c>
      <c r="BO585">
        <v>2025</v>
      </c>
      <c r="BP585" t="s">
        <v>966</v>
      </c>
      <c r="BQ585">
        <v>181593.39554012532</v>
      </c>
      <c r="BR585">
        <v>81.840660445987467</v>
      </c>
      <c r="BS585" t="s">
        <v>992</v>
      </c>
      <c r="BV585" t="s">
        <v>1034</v>
      </c>
      <c r="BW585" t="s">
        <v>943</v>
      </c>
      <c r="BX585" t="s">
        <v>994</v>
      </c>
      <c r="BY585">
        <v>2.4093094740258669</v>
      </c>
      <c r="BZ585" t="s">
        <v>2270</v>
      </c>
      <c r="CA585" t="s">
        <v>991</v>
      </c>
      <c r="CB585" t="b">
        <v>1</v>
      </c>
      <c r="CC585" t="b">
        <v>1</v>
      </c>
      <c r="CD585" t="b">
        <v>1</v>
      </c>
      <c r="CE585" t="b">
        <v>1</v>
      </c>
      <c r="CF585" t="b">
        <v>1</v>
      </c>
    </row>
    <row r="586" spans="1:84" x14ac:dyDescent="0.3">
      <c r="A586" t="s">
        <v>2387</v>
      </c>
      <c r="B586" t="s">
        <v>1191</v>
      </c>
      <c r="C586" s="98">
        <v>45726</v>
      </c>
      <c r="D586">
        <v>2025</v>
      </c>
      <c r="E586">
        <v>3</v>
      </c>
      <c r="F586">
        <v>1</v>
      </c>
      <c r="G586" t="s">
        <v>1187</v>
      </c>
      <c r="H586" t="s">
        <v>132</v>
      </c>
      <c r="I586" t="s">
        <v>132</v>
      </c>
      <c r="J586" t="s">
        <v>6</v>
      </c>
      <c r="L586">
        <v>522611</v>
      </c>
      <c r="M586" s="99" t="s">
        <v>180</v>
      </c>
      <c r="N586">
        <v>3</v>
      </c>
      <c r="O586">
        <v>10</v>
      </c>
      <c r="P586">
        <v>512.68889999999999</v>
      </c>
      <c r="Q586" t="s">
        <v>352</v>
      </c>
      <c r="R586">
        <v>1</v>
      </c>
      <c r="S586">
        <v>516.27589999999998</v>
      </c>
      <c r="T586">
        <v>14.8514</v>
      </c>
      <c r="U586">
        <v>-0.2415260514160274</v>
      </c>
      <c r="V586">
        <v>471.7217</v>
      </c>
      <c r="W586">
        <v>486.57309999999995</v>
      </c>
      <c r="X586">
        <v>501.42449999999997</v>
      </c>
      <c r="Y586">
        <v>531.12729999999999</v>
      </c>
      <c r="Z586">
        <v>545.9787</v>
      </c>
      <c r="AA586">
        <v>560.83010000000002</v>
      </c>
      <c r="AD586">
        <v>15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 t="s">
        <v>462</v>
      </c>
      <c r="AL586" t="s">
        <v>6</v>
      </c>
      <c r="AM586" t="s">
        <v>1145</v>
      </c>
      <c r="AN586" t="s">
        <v>1146</v>
      </c>
      <c r="AO586" s="100">
        <v>46262.040405092594</v>
      </c>
      <c r="AP586" t="s">
        <v>1147</v>
      </c>
      <c r="AQ586" t="s">
        <v>2388</v>
      </c>
      <c r="AR586" t="s">
        <v>1193</v>
      </c>
      <c r="AS586" t="s">
        <v>1150</v>
      </c>
      <c r="AT586" t="s">
        <v>2269</v>
      </c>
      <c r="AU586">
        <v>25</v>
      </c>
      <c r="AV586">
        <v>517.29893199999981</v>
      </c>
      <c r="AW586">
        <v>13.25278600218711</v>
      </c>
      <c r="AX586">
        <v>2.5619202326493715</v>
      </c>
      <c r="AY586">
        <v>4.5203109834689039</v>
      </c>
      <c r="AZ586">
        <v>8.7474793673403664</v>
      </c>
      <c r="BA586">
        <v>4.0905602301651998</v>
      </c>
      <c r="BB586" t="s">
        <v>161</v>
      </c>
      <c r="BD586" s="98"/>
      <c r="BE586" s="98"/>
      <c r="BF586" t="s">
        <v>1152</v>
      </c>
      <c r="BG586" t="s">
        <v>322</v>
      </c>
      <c r="BH586" t="s">
        <v>1153</v>
      </c>
      <c r="BI586">
        <v>4.5203109834689039</v>
      </c>
      <c r="BJ586" t="s">
        <v>989</v>
      </c>
      <c r="BK586">
        <v>6.2525206326596336</v>
      </c>
      <c r="BL586">
        <v>41.683470884397558</v>
      </c>
      <c r="BM586" t="s">
        <v>1260</v>
      </c>
      <c r="BN586" t="s">
        <v>1154</v>
      </c>
      <c r="BO586">
        <v>2025</v>
      </c>
      <c r="BP586" t="s">
        <v>966</v>
      </c>
      <c r="BQ586">
        <v>181593.39554012532</v>
      </c>
      <c r="BR586">
        <v>81.840660445987467</v>
      </c>
      <c r="BS586" t="s">
        <v>992</v>
      </c>
      <c r="BV586" t="s">
        <v>1034</v>
      </c>
      <c r="BW586" t="s">
        <v>943</v>
      </c>
      <c r="BX586" t="s">
        <v>994</v>
      </c>
      <c r="BY586">
        <v>2.4093094740258669</v>
      </c>
      <c r="BZ586" t="s">
        <v>2270</v>
      </c>
      <c r="CA586" t="s">
        <v>991</v>
      </c>
      <c r="CB586" t="b">
        <v>1</v>
      </c>
      <c r="CC586" t="b">
        <v>1</v>
      </c>
      <c r="CD586" t="b">
        <v>1</v>
      </c>
      <c r="CE586" t="b">
        <v>1</v>
      </c>
      <c r="CF586" t="b">
        <v>1</v>
      </c>
    </row>
    <row r="587" spans="1:84" x14ac:dyDescent="0.3">
      <c r="A587" t="s">
        <v>2389</v>
      </c>
      <c r="B587" t="s">
        <v>1195</v>
      </c>
      <c r="C587" s="98">
        <v>45733</v>
      </c>
      <c r="D587">
        <v>2025</v>
      </c>
      <c r="E587">
        <v>3</v>
      </c>
      <c r="F587">
        <v>1</v>
      </c>
      <c r="G587" t="s">
        <v>1187</v>
      </c>
      <c r="H587" t="s">
        <v>132</v>
      </c>
      <c r="I587" t="s">
        <v>132</v>
      </c>
      <c r="J587" t="s">
        <v>6</v>
      </c>
      <c r="L587">
        <v>522611</v>
      </c>
      <c r="M587" s="99" t="s">
        <v>180</v>
      </c>
      <c r="N587">
        <v>3</v>
      </c>
      <c r="O587">
        <v>11</v>
      </c>
      <c r="P587">
        <v>497.55020000000002</v>
      </c>
      <c r="Q587" t="s">
        <v>352</v>
      </c>
      <c r="R587">
        <v>1</v>
      </c>
      <c r="S587">
        <v>516.27589999999998</v>
      </c>
      <c r="T587">
        <v>14.8514</v>
      </c>
      <c r="U587">
        <v>-1.2608710289938969</v>
      </c>
      <c r="V587">
        <v>471.7217</v>
      </c>
      <c r="W587">
        <v>486.57309999999995</v>
      </c>
      <c r="X587">
        <v>501.42449999999997</v>
      </c>
      <c r="Y587">
        <v>531.12729999999999</v>
      </c>
      <c r="Z587">
        <v>545.9787</v>
      </c>
      <c r="AA587">
        <v>560.83010000000002</v>
      </c>
      <c r="AD587">
        <v>15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 t="s">
        <v>462</v>
      </c>
      <c r="AL587" t="s">
        <v>6</v>
      </c>
      <c r="AM587" t="s">
        <v>1145</v>
      </c>
      <c r="AN587" t="s">
        <v>1146</v>
      </c>
      <c r="AO587" s="100">
        <v>46262.040405092594</v>
      </c>
      <c r="AP587" t="s">
        <v>1147</v>
      </c>
      <c r="AQ587" t="s">
        <v>2390</v>
      </c>
      <c r="AR587" t="s">
        <v>1197</v>
      </c>
      <c r="AS587" t="s">
        <v>1150</v>
      </c>
      <c r="AT587" t="s">
        <v>2269</v>
      </c>
      <c r="AU587">
        <v>25</v>
      </c>
      <c r="AV587">
        <v>517.29893199999981</v>
      </c>
      <c r="AW587">
        <v>13.25278600218711</v>
      </c>
      <c r="AX587">
        <v>2.5619202326493715</v>
      </c>
      <c r="AY587">
        <v>4.5203109834689039</v>
      </c>
      <c r="AZ587">
        <v>8.7474793673403664</v>
      </c>
      <c r="BA587">
        <v>4.0905602301651998</v>
      </c>
      <c r="BB587" t="s">
        <v>161</v>
      </c>
      <c r="BD587" s="98"/>
      <c r="BE587" s="98"/>
      <c r="BF587" t="s">
        <v>1152</v>
      </c>
      <c r="BG587" t="s">
        <v>322</v>
      </c>
      <c r="BH587" t="s">
        <v>1153</v>
      </c>
      <c r="BI587">
        <v>4.5203109834689039</v>
      </c>
      <c r="BJ587" t="s">
        <v>989</v>
      </c>
      <c r="BK587">
        <v>6.2525206326596336</v>
      </c>
      <c r="BL587">
        <v>41.683470884397558</v>
      </c>
      <c r="BM587" t="s">
        <v>1260</v>
      </c>
      <c r="BN587" t="s">
        <v>1154</v>
      </c>
      <c r="BO587">
        <v>2025</v>
      </c>
      <c r="BP587" t="s">
        <v>966</v>
      </c>
      <c r="BQ587">
        <v>181593.39554012532</v>
      </c>
      <c r="BR587">
        <v>81.840660445987467</v>
      </c>
      <c r="BS587" t="s">
        <v>992</v>
      </c>
      <c r="BV587" t="s">
        <v>1034</v>
      </c>
      <c r="BW587" t="s">
        <v>943</v>
      </c>
      <c r="BX587" t="s">
        <v>994</v>
      </c>
      <c r="BY587">
        <v>2.4093094740258669</v>
      </c>
      <c r="BZ587" t="s">
        <v>2270</v>
      </c>
      <c r="CA587" t="s">
        <v>991</v>
      </c>
      <c r="CB587" t="b">
        <v>1</v>
      </c>
      <c r="CC587" t="b">
        <v>1</v>
      </c>
      <c r="CD587" t="b">
        <v>1</v>
      </c>
      <c r="CE587" t="b">
        <v>1</v>
      </c>
      <c r="CF587" t="b">
        <v>1</v>
      </c>
    </row>
    <row r="588" spans="1:84" x14ac:dyDescent="0.3">
      <c r="A588" t="s">
        <v>2391</v>
      </c>
      <c r="B588" t="s">
        <v>1199</v>
      </c>
      <c r="C588" s="98">
        <v>45740</v>
      </c>
      <c r="D588">
        <v>2025</v>
      </c>
      <c r="E588">
        <v>3</v>
      </c>
      <c r="F588">
        <v>1</v>
      </c>
      <c r="G588" t="s">
        <v>1187</v>
      </c>
      <c r="H588" t="s">
        <v>132</v>
      </c>
      <c r="I588" t="s">
        <v>132</v>
      </c>
      <c r="J588" t="s">
        <v>6</v>
      </c>
      <c r="L588">
        <v>522611</v>
      </c>
      <c r="M588" s="99" t="s">
        <v>180</v>
      </c>
      <c r="N588">
        <v>3</v>
      </c>
      <c r="O588">
        <v>12</v>
      </c>
      <c r="P588">
        <v>505.9622</v>
      </c>
      <c r="Q588" t="s">
        <v>352</v>
      </c>
      <c r="R588">
        <v>1</v>
      </c>
      <c r="S588">
        <v>516.27589999999998</v>
      </c>
      <c r="T588">
        <v>14.8514</v>
      </c>
      <c r="U588">
        <v>-0.69445978156941324</v>
      </c>
      <c r="V588">
        <v>471.7217</v>
      </c>
      <c r="W588">
        <v>486.57309999999995</v>
      </c>
      <c r="X588">
        <v>501.42449999999997</v>
      </c>
      <c r="Y588">
        <v>531.12729999999999</v>
      </c>
      <c r="Z588">
        <v>545.9787</v>
      </c>
      <c r="AA588">
        <v>560.83010000000002</v>
      </c>
      <c r="AD588">
        <v>15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 t="s">
        <v>462</v>
      </c>
      <c r="AL588" t="s">
        <v>6</v>
      </c>
      <c r="AM588" t="s">
        <v>1145</v>
      </c>
      <c r="AN588" t="s">
        <v>1146</v>
      </c>
      <c r="AO588" s="100">
        <v>46262.040405092594</v>
      </c>
      <c r="AP588" t="s">
        <v>1147</v>
      </c>
      <c r="AQ588" t="s">
        <v>2392</v>
      </c>
      <c r="AR588" t="s">
        <v>1201</v>
      </c>
      <c r="AS588" t="s">
        <v>1150</v>
      </c>
      <c r="AT588" t="s">
        <v>2269</v>
      </c>
      <c r="AU588">
        <v>25</v>
      </c>
      <c r="AV588">
        <v>517.29893199999981</v>
      </c>
      <c r="AW588">
        <v>13.25278600218711</v>
      </c>
      <c r="AX588">
        <v>2.5619202326493715</v>
      </c>
      <c r="AY588">
        <v>4.5203109834689039</v>
      </c>
      <c r="AZ588">
        <v>8.7474793673403664</v>
      </c>
      <c r="BA588">
        <v>4.0905602301651998</v>
      </c>
      <c r="BB588" t="s">
        <v>161</v>
      </c>
      <c r="BD588" s="98"/>
      <c r="BE588" s="98"/>
      <c r="BF588" t="s">
        <v>1152</v>
      </c>
      <c r="BG588" t="s">
        <v>322</v>
      </c>
      <c r="BH588" t="s">
        <v>1153</v>
      </c>
      <c r="BI588">
        <v>4.5203109834689039</v>
      </c>
      <c r="BJ588" t="s">
        <v>989</v>
      </c>
      <c r="BK588">
        <v>6.2525206326596336</v>
      </c>
      <c r="BL588">
        <v>41.683470884397558</v>
      </c>
      <c r="BM588" t="s">
        <v>1260</v>
      </c>
      <c r="BN588" t="s">
        <v>1154</v>
      </c>
      <c r="BO588">
        <v>2025</v>
      </c>
      <c r="BP588" t="s">
        <v>966</v>
      </c>
      <c r="BQ588">
        <v>181593.39554012532</v>
      </c>
      <c r="BR588">
        <v>81.840660445987467</v>
      </c>
      <c r="BS588" t="s">
        <v>992</v>
      </c>
      <c r="BV588" t="s">
        <v>1034</v>
      </c>
      <c r="BW588" t="s">
        <v>943</v>
      </c>
      <c r="BX588" t="s">
        <v>994</v>
      </c>
      <c r="BY588">
        <v>2.4093094740258669</v>
      </c>
      <c r="BZ588" t="s">
        <v>2270</v>
      </c>
      <c r="CA588" t="s">
        <v>991</v>
      </c>
      <c r="CB588" t="b">
        <v>1</v>
      </c>
      <c r="CC588" t="b">
        <v>1</v>
      </c>
      <c r="CD588" t="b">
        <v>1</v>
      </c>
      <c r="CE588" t="b">
        <v>1</v>
      </c>
      <c r="CF588" t="b">
        <v>1</v>
      </c>
    </row>
    <row r="589" spans="1:84" x14ac:dyDescent="0.3">
      <c r="A589" t="s">
        <v>2393</v>
      </c>
      <c r="B589" t="s">
        <v>1203</v>
      </c>
      <c r="C589" s="98">
        <v>45747</v>
      </c>
      <c r="D589">
        <v>2025</v>
      </c>
      <c r="E589">
        <v>3</v>
      </c>
      <c r="F589">
        <v>1</v>
      </c>
      <c r="G589" t="s">
        <v>1187</v>
      </c>
      <c r="H589" t="s">
        <v>132</v>
      </c>
      <c r="I589" t="s">
        <v>132</v>
      </c>
      <c r="J589" t="s">
        <v>6</v>
      </c>
      <c r="L589">
        <v>522611</v>
      </c>
      <c r="M589" s="99" t="s">
        <v>180</v>
      </c>
      <c r="N589">
        <v>3</v>
      </c>
      <c r="O589">
        <v>13</v>
      </c>
      <c r="P589">
        <v>522.59299999999996</v>
      </c>
      <c r="Q589" t="s">
        <v>352</v>
      </c>
      <c r="R589">
        <v>1</v>
      </c>
      <c r="S589">
        <v>516.27589999999998</v>
      </c>
      <c r="T589">
        <v>14.8514</v>
      </c>
      <c r="U589">
        <v>0.42535383869534066</v>
      </c>
      <c r="V589">
        <v>471.7217</v>
      </c>
      <c r="W589">
        <v>486.57309999999995</v>
      </c>
      <c r="X589">
        <v>501.42449999999997</v>
      </c>
      <c r="Y589">
        <v>531.12729999999999</v>
      </c>
      <c r="Z589">
        <v>545.9787</v>
      </c>
      <c r="AA589">
        <v>560.83010000000002</v>
      </c>
      <c r="AD589">
        <v>15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 t="s">
        <v>462</v>
      </c>
      <c r="AL589" t="s">
        <v>6</v>
      </c>
      <c r="AM589" t="s">
        <v>1145</v>
      </c>
      <c r="AN589" t="s">
        <v>1146</v>
      </c>
      <c r="AO589" s="100">
        <v>46262.040405092594</v>
      </c>
      <c r="AP589" t="s">
        <v>1147</v>
      </c>
      <c r="AQ589" t="s">
        <v>2394</v>
      </c>
      <c r="AR589" t="s">
        <v>1205</v>
      </c>
      <c r="AS589" t="s">
        <v>1150</v>
      </c>
      <c r="AT589" t="s">
        <v>2269</v>
      </c>
      <c r="AU589">
        <v>25</v>
      </c>
      <c r="AV589">
        <v>517.29893199999981</v>
      </c>
      <c r="AW589">
        <v>13.25278600218711</v>
      </c>
      <c r="AX589">
        <v>2.5619202326493715</v>
      </c>
      <c r="AY589">
        <v>4.5203109834689039</v>
      </c>
      <c r="AZ589">
        <v>8.7474793673403664</v>
      </c>
      <c r="BA589">
        <v>4.0905602301651998</v>
      </c>
      <c r="BB589" t="s">
        <v>161</v>
      </c>
      <c r="BD589" s="98"/>
      <c r="BE589" s="98"/>
      <c r="BF589" t="s">
        <v>1152</v>
      </c>
      <c r="BG589" t="s">
        <v>322</v>
      </c>
      <c r="BH589" t="s">
        <v>1153</v>
      </c>
      <c r="BI589">
        <v>4.5203109834689039</v>
      </c>
      <c r="BJ589" t="s">
        <v>989</v>
      </c>
      <c r="BK589">
        <v>6.2525206326596336</v>
      </c>
      <c r="BL589">
        <v>41.683470884397558</v>
      </c>
      <c r="BM589" t="s">
        <v>1260</v>
      </c>
      <c r="BN589" t="s">
        <v>1154</v>
      </c>
      <c r="BO589">
        <v>2025</v>
      </c>
      <c r="BP589" t="s">
        <v>966</v>
      </c>
      <c r="BQ589">
        <v>181593.39554012532</v>
      </c>
      <c r="BR589">
        <v>81.840660445987467</v>
      </c>
      <c r="BS589" t="s">
        <v>992</v>
      </c>
      <c r="BV589" t="s">
        <v>1034</v>
      </c>
      <c r="BW589" t="s">
        <v>943</v>
      </c>
      <c r="BX589" t="s">
        <v>994</v>
      </c>
      <c r="BY589">
        <v>2.4093094740258669</v>
      </c>
      <c r="BZ589" t="s">
        <v>2270</v>
      </c>
      <c r="CA589" t="s">
        <v>991</v>
      </c>
      <c r="CB589" t="b">
        <v>1</v>
      </c>
      <c r="CC589" t="b">
        <v>1</v>
      </c>
      <c r="CD589" t="b">
        <v>1</v>
      </c>
      <c r="CE589" t="b">
        <v>1</v>
      </c>
      <c r="CF589" t="b">
        <v>1</v>
      </c>
    </row>
    <row r="590" spans="1:84" x14ac:dyDescent="0.3">
      <c r="A590" t="s">
        <v>2395</v>
      </c>
      <c r="B590" t="s">
        <v>1207</v>
      </c>
      <c r="C590" s="98">
        <v>45754</v>
      </c>
      <c r="D590">
        <v>2025</v>
      </c>
      <c r="E590">
        <v>4</v>
      </c>
      <c r="F590">
        <v>2</v>
      </c>
      <c r="G590" t="s">
        <v>1208</v>
      </c>
      <c r="H590" t="s">
        <v>132</v>
      </c>
      <c r="I590" t="s">
        <v>132</v>
      </c>
      <c r="J590" t="s">
        <v>6</v>
      </c>
      <c r="L590">
        <v>522611</v>
      </c>
      <c r="M590" s="99" t="s">
        <v>180</v>
      </c>
      <c r="N590">
        <v>3</v>
      </c>
      <c r="O590">
        <v>14</v>
      </c>
      <c r="P590">
        <v>522.15300000000002</v>
      </c>
      <c r="Q590" t="s">
        <v>352</v>
      </c>
      <c r="R590">
        <v>1</v>
      </c>
      <c r="S590">
        <v>516.27589999999998</v>
      </c>
      <c r="T590">
        <v>14.8514</v>
      </c>
      <c r="U590">
        <v>0.39572700216814855</v>
      </c>
      <c r="V590">
        <v>471.7217</v>
      </c>
      <c r="W590">
        <v>486.57309999999995</v>
      </c>
      <c r="X590">
        <v>501.42449999999997</v>
      </c>
      <c r="Y590">
        <v>531.12729999999999</v>
      </c>
      <c r="Z590">
        <v>545.9787</v>
      </c>
      <c r="AA590">
        <v>560.83010000000002</v>
      </c>
      <c r="AD590">
        <v>15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 t="s">
        <v>462</v>
      </c>
      <c r="AL590" t="s">
        <v>6</v>
      </c>
      <c r="AM590" t="s">
        <v>1145</v>
      </c>
      <c r="AN590" t="s">
        <v>1146</v>
      </c>
      <c r="AO590" s="100">
        <v>46262.040405092594</v>
      </c>
      <c r="AP590" t="s">
        <v>1147</v>
      </c>
      <c r="AQ590" t="s">
        <v>2396</v>
      </c>
      <c r="AR590" t="s">
        <v>1210</v>
      </c>
      <c r="AS590" t="s">
        <v>1150</v>
      </c>
      <c r="AT590" t="s">
        <v>2269</v>
      </c>
      <c r="AU590">
        <v>25</v>
      </c>
      <c r="AV590">
        <v>517.29893199999981</v>
      </c>
      <c r="AW590">
        <v>13.25278600218711</v>
      </c>
      <c r="AX590">
        <v>2.5619202326493715</v>
      </c>
      <c r="AY590">
        <v>4.5203109834689039</v>
      </c>
      <c r="AZ590">
        <v>8.7474793673403664</v>
      </c>
      <c r="BA590">
        <v>4.0905602301651998</v>
      </c>
      <c r="BB590" t="s">
        <v>161</v>
      </c>
      <c r="BD590" s="98"/>
      <c r="BE590" s="98"/>
      <c r="BF590" t="s">
        <v>1152</v>
      </c>
      <c r="BG590" t="s">
        <v>322</v>
      </c>
      <c r="BH590" t="s">
        <v>1153</v>
      </c>
      <c r="BI590">
        <v>4.5203109834689039</v>
      </c>
      <c r="BJ590" t="s">
        <v>989</v>
      </c>
      <c r="BK590">
        <v>6.2525206326596336</v>
      </c>
      <c r="BL590">
        <v>41.683470884397558</v>
      </c>
      <c r="BM590" t="s">
        <v>1260</v>
      </c>
      <c r="BN590" t="s">
        <v>1154</v>
      </c>
      <c r="BO590">
        <v>2025</v>
      </c>
      <c r="BP590" t="s">
        <v>966</v>
      </c>
      <c r="BQ590">
        <v>181593.39554012532</v>
      </c>
      <c r="BR590">
        <v>81.840660445987467</v>
      </c>
      <c r="BS590" t="s">
        <v>992</v>
      </c>
      <c r="BV590" t="s">
        <v>1034</v>
      </c>
      <c r="BW590" t="s">
        <v>943</v>
      </c>
      <c r="BX590" t="s">
        <v>994</v>
      </c>
      <c r="BY590">
        <v>2.4093094740258669</v>
      </c>
      <c r="BZ590" t="s">
        <v>2270</v>
      </c>
      <c r="CA590" t="s">
        <v>991</v>
      </c>
      <c r="CB590" t="b">
        <v>1</v>
      </c>
      <c r="CC590" t="b">
        <v>1</v>
      </c>
      <c r="CD590" t="b">
        <v>1</v>
      </c>
      <c r="CE590" t="b">
        <v>1</v>
      </c>
      <c r="CF590" t="b">
        <v>1</v>
      </c>
    </row>
    <row r="591" spans="1:84" x14ac:dyDescent="0.3">
      <c r="A591" t="s">
        <v>2397</v>
      </c>
      <c r="B591" t="s">
        <v>1212</v>
      </c>
      <c r="C591" s="98">
        <v>45761</v>
      </c>
      <c r="D591">
        <v>2025</v>
      </c>
      <c r="E591">
        <v>4</v>
      </c>
      <c r="F591">
        <v>2</v>
      </c>
      <c r="G591" t="s">
        <v>1208</v>
      </c>
      <c r="H591" t="s">
        <v>132</v>
      </c>
      <c r="I591" t="s">
        <v>132</v>
      </c>
      <c r="J591" t="s">
        <v>6</v>
      </c>
      <c r="L591">
        <v>522611</v>
      </c>
      <c r="M591" s="99" t="s">
        <v>180</v>
      </c>
      <c r="N591">
        <v>3</v>
      </c>
      <c r="O591">
        <v>15</v>
      </c>
      <c r="P591">
        <v>517.91309999999999</v>
      </c>
      <c r="Q591" t="s">
        <v>352</v>
      </c>
      <c r="R591">
        <v>1</v>
      </c>
      <c r="S591">
        <v>516.27589999999998</v>
      </c>
      <c r="T591">
        <v>14.8514</v>
      </c>
      <c r="U591">
        <v>0.11023876536892192</v>
      </c>
      <c r="V591">
        <v>471.7217</v>
      </c>
      <c r="W591">
        <v>486.57309999999995</v>
      </c>
      <c r="X591">
        <v>501.42449999999997</v>
      </c>
      <c r="Y591">
        <v>531.12729999999999</v>
      </c>
      <c r="Z591">
        <v>545.9787</v>
      </c>
      <c r="AA591">
        <v>560.83010000000002</v>
      </c>
      <c r="AD591">
        <v>15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 t="s">
        <v>462</v>
      </c>
      <c r="AL591" t="s">
        <v>6</v>
      </c>
      <c r="AM591" t="s">
        <v>1145</v>
      </c>
      <c r="AN591" t="s">
        <v>1146</v>
      </c>
      <c r="AO591" s="100">
        <v>46262.040405092594</v>
      </c>
      <c r="AP591" t="s">
        <v>1147</v>
      </c>
      <c r="AQ591" t="s">
        <v>2398</v>
      </c>
      <c r="AR591" t="s">
        <v>1215</v>
      </c>
      <c r="AS591" t="s">
        <v>1150</v>
      </c>
      <c r="AT591" t="s">
        <v>2269</v>
      </c>
      <c r="AU591">
        <v>25</v>
      </c>
      <c r="AV591">
        <v>517.29893199999981</v>
      </c>
      <c r="AW591">
        <v>13.25278600218711</v>
      </c>
      <c r="AX591">
        <v>2.5619202326493715</v>
      </c>
      <c r="AY591">
        <v>4.5203109834689039</v>
      </c>
      <c r="AZ591">
        <v>8.7474793673403664</v>
      </c>
      <c r="BA591">
        <v>4.0905602301651998</v>
      </c>
      <c r="BB591" t="s">
        <v>161</v>
      </c>
      <c r="BD591" s="98"/>
      <c r="BE591" s="98"/>
      <c r="BF591" t="s">
        <v>1152</v>
      </c>
      <c r="BG591" t="s">
        <v>322</v>
      </c>
      <c r="BH591" t="s">
        <v>1153</v>
      </c>
      <c r="BI591">
        <v>4.5203109834689039</v>
      </c>
      <c r="BJ591" t="s">
        <v>989</v>
      </c>
      <c r="BK591">
        <v>6.2525206326596336</v>
      </c>
      <c r="BL591">
        <v>41.683470884397558</v>
      </c>
      <c r="BM591" t="s">
        <v>1260</v>
      </c>
      <c r="BN591" t="s">
        <v>1154</v>
      </c>
      <c r="BO591">
        <v>2025</v>
      </c>
      <c r="BP591" t="s">
        <v>966</v>
      </c>
      <c r="BQ591">
        <v>181593.39554012532</v>
      </c>
      <c r="BR591">
        <v>81.840660445987467</v>
      </c>
      <c r="BS591" t="s">
        <v>992</v>
      </c>
      <c r="BV591" t="s">
        <v>1034</v>
      </c>
      <c r="BW591" t="s">
        <v>943</v>
      </c>
      <c r="BX591" t="s">
        <v>994</v>
      </c>
      <c r="BY591">
        <v>2.4093094740258669</v>
      </c>
      <c r="BZ591" t="s">
        <v>2270</v>
      </c>
      <c r="CA591" t="s">
        <v>991</v>
      </c>
      <c r="CB591" t="b">
        <v>1</v>
      </c>
      <c r="CC591" t="b">
        <v>1</v>
      </c>
      <c r="CD591" t="b">
        <v>1</v>
      </c>
      <c r="CE591" t="b">
        <v>1</v>
      </c>
      <c r="CF591" t="b">
        <v>1</v>
      </c>
    </row>
    <row r="592" spans="1:84" x14ac:dyDescent="0.3">
      <c r="A592" t="s">
        <v>2399</v>
      </c>
      <c r="B592" t="s">
        <v>1217</v>
      </c>
      <c r="C592" s="98">
        <v>45768</v>
      </c>
      <c r="D592">
        <v>2025</v>
      </c>
      <c r="E592">
        <v>4</v>
      </c>
      <c r="F592">
        <v>2</v>
      </c>
      <c r="G592" t="s">
        <v>1208</v>
      </c>
      <c r="H592" t="s">
        <v>132</v>
      </c>
      <c r="I592" t="s">
        <v>132</v>
      </c>
      <c r="J592" t="s">
        <v>6</v>
      </c>
      <c r="L592">
        <v>522611</v>
      </c>
      <c r="M592" s="99" t="s">
        <v>180</v>
      </c>
      <c r="N592">
        <v>3</v>
      </c>
      <c r="O592">
        <v>16</v>
      </c>
      <c r="P592">
        <v>531.05010000000004</v>
      </c>
      <c r="Q592" t="s">
        <v>352</v>
      </c>
      <c r="R592">
        <v>1</v>
      </c>
      <c r="S592">
        <v>516.27589999999998</v>
      </c>
      <c r="T592">
        <v>14.8514</v>
      </c>
      <c r="U592">
        <v>0.99480183686386903</v>
      </c>
      <c r="V592">
        <v>471.7217</v>
      </c>
      <c r="W592">
        <v>486.57309999999995</v>
      </c>
      <c r="X592">
        <v>501.42449999999997</v>
      </c>
      <c r="Y592">
        <v>531.12729999999999</v>
      </c>
      <c r="Z592">
        <v>545.9787</v>
      </c>
      <c r="AA592">
        <v>560.83010000000002</v>
      </c>
      <c r="AD592">
        <v>15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 t="s">
        <v>462</v>
      </c>
      <c r="AL592" t="s">
        <v>6</v>
      </c>
      <c r="AM592" t="s">
        <v>1145</v>
      </c>
      <c r="AN592" t="s">
        <v>1146</v>
      </c>
      <c r="AO592" s="100">
        <v>46262.040405092594</v>
      </c>
      <c r="AP592" t="s">
        <v>1147</v>
      </c>
      <c r="AQ592" t="s">
        <v>2400</v>
      </c>
      <c r="AR592" t="s">
        <v>1219</v>
      </c>
      <c r="AS592" t="s">
        <v>1150</v>
      </c>
      <c r="AT592" t="s">
        <v>2269</v>
      </c>
      <c r="AU592">
        <v>25</v>
      </c>
      <c r="AV592">
        <v>517.29893199999981</v>
      </c>
      <c r="AW592">
        <v>13.25278600218711</v>
      </c>
      <c r="AX592">
        <v>2.5619202326493715</v>
      </c>
      <c r="AY592">
        <v>4.5203109834689039</v>
      </c>
      <c r="AZ592">
        <v>8.7474793673403664</v>
      </c>
      <c r="BA592">
        <v>4.0905602301651998</v>
      </c>
      <c r="BB592" t="s">
        <v>161</v>
      </c>
      <c r="BD592" s="98"/>
      <c r="BE592" s="98"/>
      <c r="BF592" t="s">
        <v>1152</v>
      </c>
      <c r="BG592" t="s">
        <v>322</v>
      </c>
      <c r="BH592" t="s">
        <v>1153</v>
      </c>
      <c r="BI592">
        <v>4.5203109834689039</v>
      </c>
      <c r="BJ592" t="s">
        <v>989</v>
      </c>
      <c r="BK592">
        <v>6.2525206326596336</v>
      </c>
      <c r="BL592">
        <v>41.683470884397558</v>
      </c>
      <c r="BM592" t="s">
        <v>1260</v>
      </c>
      <c r="BN592" t="s">
        <v>1154</v>
      </c>
      <c r="BO592">
        <v>2025</v>
      </c>
      <c r="BP592" t="s">
        <v>966</v>
      </c>
      <c r="BQ592">
        <v>181593.39554012532</v>
      </c>
      <c r="BR592">
        <v>81.840660445987467</v>
      </c>
      <c r="BS592" t="s">
        <v>992</v>
      </c>
      <c r="BV592" t="s">
        <v>1034</v>
      </c>
      <c r="BW592" t="s">
        <v>943</v>
      </c>
      <c r="BX592" t="s">
        <v>994</v>
      </c>
      <c r="BY592">
        <v>2.4093094740258669</v>
      </c>
      <c r="BZ592" t="s">
        <v>2270</v>
      </c>
      <c r="CA592" t="s">
        <v>991</v>
      </c>
      <c r="CB592" t="b">
        <v>1</v>
      </c>
      <c r="CC592" t="b">
        <v>1</v>
      </c>
      <c r="CD592" t="b">
        <v>1</v>
      </c>
      <c r="CE592" t="b">
        <v>1</v>
      </c>
      <c r="CF592" t="b">
        <v>1</v>
      </c>
    </row>
    <row r="593" spans="1:84" x14ac:dyDescent="0.3">
      <c r="A593" t="s">
        <v>2401</v>
      </c>
      <c r="B593" t="s">
        <v>1221</v>
      </c>
      <c r="C593" s="98">
        <v>45775</v>
      </c>
      <c r="D593">
        <v>2025</v>
      </c>
      <c r="E593">
        <v>4</v>
      </c>
      <c r="F593">
        <v>2</v>
      </c>
      <c r="G593" t="s">
        <v>1208</v>
      </c>
      <c r="H593" t="s">
        <v>132</v>
      </c>
      <c r="I593" t="s">
        <v>132</v>
      </c>
      <c r="J593" t="s">
        <v>6</v>
      </c>
      <c r="L593">
        <v>522611</v>
      </c>
      <c r="M593" s="99" t="s">
        <v>180</v>
      </c>
      <c r="N593">
        <v>3</v>
      </c>
      <c r="O593">
        <v>17</v>
      </c>
      <c r="P593">
        <v>504.80509999999998</v>
      </c>
      <c r="Q593" t="s">
        <v>352</v>
      </c>
      <c r="R593">
        <v>1</v>
      </c>
      <c r="S593">
        <v>516.27589999999998</v>
      </c>
      <c r="T593">
        <v>14.8514</v>
      </c>
      <c r="U593">
        <v>-0.77237162826400185</v>
      </c>
      <c r="V593">
        <v>471.7217</v>
      </c>
      <c r="W593">
        <v>486.57309999999995</v>
      </c>
      <c r="X593">
        <v>501.42449999999997</v>
      </c>
      <c r="Y593">
        <v>531.12729999999999</v>
      </c>
      <c r="Z593">
        <v>545.9787</v>
      </c>
      <c r="AA593">
        <v>560.83010000000002</v>
      </c>
      <c r="AD593">
        <v>15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 t="s">
        <v>462</v>
      </c>
      <c r="AL593" t="s">
        <v>6</v>
      </c>
      <c r="AM593" t="s">
        <v>1145</v>
      </c>
      <c r="AN593" t="s">
        <v>1146</v>
      </c>
      <c r="AO593" s="100">
        <v>46262.040405092594</v>
      </c>
      <c r="AP593" t="s">
        <v>1147</v>
      </c>
      <c r="AQ593" t="s">
        <v>2402</v>
      </c>
      <c r="AR593" t="s">
        <v>1223</v>
      </c>
      <c r="AS593" t="s">
        <v>1150</v>
      </c>
      <c r="AT593" t="s">
        <v>2269</v>
      </c>
      <c r="AU593">
        <v>25</v>
      </c>
      <c r="AV593">
        <v>517.29893199999981</v>
      </c>
      <c r="AW593">
        <v>13.25278600218711</v>
      </c>
      <c r="AX593">
        <v>2.5619202326493715</v>
      </c>
      <c r="AY593">
        <v>4.5203109834689039</v>
      </c>
      <c r="AZ593">
        <v>8.7474793673403664</v>
      </c>
      <c r="BA593">
        <v>4.0905602301651998</v>
      </c>
      <c r="BB593" t="s">
        <v>161</v>
      </c>
      <c r="BD593" s="98"/>
      <c r="BE593" s="98"/>
      <c r="BF593" t="s">
        <v>1152</v>
      </c>
      <c r="BG593" t="s">
        <v>322</v>
      </c>
      <c r="BH593" t="s">
        <v>1153</v>
      </c>
      <c r="BI593">
        <v>4.5203109834689039</v>
      </c>
      <c r="BJ593" t="s">
        <v>989</v>
      </c>
      <c r="BK593">
        <v>6.2525206326596336</v>
      </c>
      <c r="BL593">
        <v>41.683470884397558</v>
      </c>
      <c r="BM593" t="s">
        <v>1260</v>
      </c>
      <c r="BN593" t="s">
        <v>1154</v>
      </c>
      <c r="BO593">
        <v>2025</v>
      </c>
      <c r="BP593" t="s">
        <v>966</v>
      </c>
      <c r="BQ593">
        <v>181593.39554012532</v>
      </c>
      <c r="BR593">
        <v>81.840660445987467</v>
      </c>
      <c r="BS593" t="s">
        <v>992</v>
      </c>
      <c r="BV593" t="s">
        <v>1034</v>
      </c>
      <c r="BW593" t="s">
        <v>943</v>
      </c>
      <c r="BX593" t="s">
        <v>994</v>
      </c>
      <c r="BY593">
        <v>2.4093094740258669</v>
      </c>
      <c r="BZ593" t="s">
        <v>2270</v>
      </c>
      <c r="CA593" t="s">
        <v>991</v>
      </c>
      <c r="CB593" t="b">
        <v>1</v>
      </c>
      <c r="CC593" t="b">
        <v>1</v>
      </c>
      <c r="CD593" t="b">
        <v>1</v>
      </c>
      <c r="CE593" t="b">
        <v>1</v>
      </c>
      <c r="CF593" t="b">
        <v>1</v>
      </c>
    </row>
    <row r="594" spans="1:84" x14ac:dyDescent="0.3">
      <c r="A594" t="s">
        <v>2403</v>
      </c>
      <c r="B594" t="s">
        <v>1225</v>
      </c>
      <c r="C594" s="98">
        <v>45782</v>
      </c>
      <c r="D594">
        <v>2025</v>
      </c>
      <c r="E594">
        <v>5</v>
      </c>
      <c r="F594">
        <v>2</v>
      </c>
      <c r="G594" t="s">
        <v>1226</v>
      </c>
      <c r="H594" t="s">
        <v>132</v>
      </c>
      <c r="I594" t="s">
        <v>132</v>
      </c>
      <c r="J594" t="s">
        <v>6</v>
      </c>
      <c r="L594">
        <v>522611</v>
      </c>
      <c r="M594" s="99" t="s">
        <v>180</v>
      </c>
      <c r="N594">
        <v>3</v>
      </c>
      <c r="O594">
        <v>18</v>
      </c>
      <c r="P594">
        <v>515.44299999999998</v>
      </c>
      <c r="Q594" t="s">
        <v>352</v>
      </c>
      <c r="R594">
        <v>1</v>
      </c>
      <c r="S594">
        <v>516.27589999999998</v>
      </c>
      <c r="T594">
        <v>14.8514</v>
      </c>
      <c r="U594">
        <v>-5.6082254871594267E-2</v>
      </c>
      <c r="V594">
        <v>471.7217</v>
      </c>
      <c r="W594">
        <v>486.57309999999995</v>
      </c>
      <c r="X594">
        <v>501.42449999999997</v>
      </c>
      <c r="Y594">
        <v>531.12729999999999</v>
      </c>
      <c r="Z594">
        <v>545.9787</v>
      </c>
      <c r="AA594">
        <v>560.83010000000002</v>
      </c>
      <c r="AD594">
        <v>15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 t="s">
        <v>462</v>
      </c>
      <c r="AL594" t="s">
        <v>6</v>
      </c>
      <c r="AM594" t="s">
        <v>1145</v>
      </c>
      <c r="AN594" t="s">
        <v>1146</v>
      </c>
      <c r="AO594" s="100">
        <v>46262.040405092594</v>
      </c>
      <c r="AP594" t="s">
        <v>1147</v>
      </c>
      <c r="AQ594" t="s">
        <v>2404</v>
      </c>
      <c r="AR594" t="s">
        <v>1228</v>
      </c>
      <c r="AS594" t="s">
        <v>1150</v>
      </c>
      <c r="AT594" t="s">
        <v>2269</v>
      </c>
      <c r="AU594">
        <v>25</v>
      </c>
      <c r="AV594">
        <v>517.29893199999981</v>
      </c>
      <c r="AW594">
        <v>13.25278600218711</v>
      </c>
      <c r="AX594">
        <v>2.5619202326493715</v>
      </c>
      <c r="AY594">
        <v>4.5203109834689039</v>
      </c>
      <c r="AZ594">
        <v>8.7474793673403664</v>
      </c>
      <c r="BA594">
        <v>4.0905602301651998</v>
      </c>
      <c r="BB594" t="s">
        <v>161</v>
      </c>
      <c r="BD594" s="98"/>
      <c r="BE594" s="98"/>
      <c r="BF594" t="s">
        <v>1152</v>
      </c>
      <c r="BG594" t="s">
        <v>322</v>
      </c>
      <c r="BH594" t="s">
        <v>1153</v>
      </c>
      <c r="BI594">
        <v>4.5203109834689039</v>
      </c>
      <c r="BJ594" t="s">
        <v>989</v>
      </c>
      <c r="BK594">
        <v>6.2525206326596336</v>
      </c>
      <c r="BL594">
        <v>41.683470884397558</v>
      </c>
      <c r="BM594" t="s">
        <v>1260</v>
      </c>
      <c r="BN594" t="s">
        <v>1154</v>
      </c>
      <c r="BO594">
        <v>2025</v>
      </c>
      <c r="BP594" t="s">
        <v>966</v>
      </c>
      <c r="BQ594">
        <v>181593.39554012532</v>
      </c>
      <c r="BR594">
        <v>81.840660445987467</v>
      </c>
      <c r="BS594" t="s">
        <v>992</v>
      </c>
      <c r="BV594" t="s">
        <v>1034</v>
      </c>
      <c r="BW594" t="s">
        <v>943</v>
      </c>
      <c r="BX594" t="s">
        <v>994</v>
      </c>
      <c r="BY594">
        <v>2.4093094740258669</v>
      </c>
      <c r="BZ594" t="s">
        <v>2270</v>
      </c>
      <c r="CA594" t="s">
        <v>991</v>
      </c>
      <c r="CB594" t="b">
        <v>1</v>
      </c>
      <c r="CC594" t="b">
        <v>1</v>
      </c>
      <c r="CD594" t="b">
        <v>1</v>
      </c>
      <c r="CE594" t="b">
        <v>1</v>
      </c>
      <c r="CF594" t="b">
        <v>1</v>
      </c>
    </row>
    <row r="595" spans="1:84" x14ac:dyDescent="0.3">
      <c r="A595" t="s">
        <v>2405</v>
      </c>
      <c r="B595" t="s">
        <v>1230</v>
      </c>
      <c r="C595" s="98">
        <v>45789</v>
      </c>
      <c r="D595">
        <v>2025</v>
      </c>
      <c r="E595">
        <v>5</v>
      </c>
      <c r="F595">
        <v>2</v>
      </c>
      <c r="G595" t="s">
        <v>1226</v>
      </c>
      <c r="H595" t="s">
        <v>132</v>
      </c>
      <c r="I595" t="s">
        <v>132</v>
      </c>
      <c r="J595" t="s">
        <v>6</v>
      </c>
      <c r="L595">
        <v>522611</v>
      </c>
      <c r="M595" s="99" t="s">
        <v>180</v>
      </c>
      <c r="N595">
        <v>3</v>
      </c>
      <c r="O595">
        <v>19</v>
      </c>
      <c r="P595">
        <v>527.13580000000002</v>
      </c>
      <c r="Q595" t="s">
        <v>352</v>
      </c>
      <c r="R595">
        <v>1</v>
      </c>
      <c r="S595">
        <v>516.27589999999998</v>
      </c>
      <c r="T595">
        <v>14.8514</v>
      </c>
      <c r="U595">
        <v>0.73123745909476812</v>
      </c>
      <c r="V595">
        <v>471.7217</v>
      </c>
      <c r="W595">
        <v>486.57309999999995</v>
      </c>
      <c r="X595">
        <v>501.42449999999997</v>
      </c>
      <c r="Y595">
        <v>531.12729999999999</v>
      </c>
      <c r="Z595">
        <v>545.9787</v>
      </c>
      <c r="AA595">
        <v>560.83010000000002</v>
      </c>
      <c r="AD595">
        <v>15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 t="s">
        <v>462</v>
      </c>
      <c r="AL595" t="s">
        <v>6</v>
      </c>
      <c r="AM595" t="s">
        <v>1145</v>
      </c>
      <c r="AN595" t="s">
        <v>1146</v>
      </c>
      <c r="AO595" s="100">
        <v>46262.040405092594</v>
      </c>
      <c r="AP595" t="s">
        <v>1147</v>
      </c>
      <c r="AQ595" t="s">
        <v>2406</v>
      </c>
      <c r="AR595" t="s">
        <v>1232</v>
      </c>
      <c r="AS595" t="s">
        <v>1150</v>
      </c>
      <c r="AT595" t="s">
        <v>2269</v>
      </c>
      <c r="AU595">
        <v>25</v>
      </c>
      <c r="AV595">
        <v>517.29893199999981</v>
      </c>
      <c r="AW595">
        <v>13.25278600218711</v>
      </c>
      <c r="AX595">
        <v>2.5619202326493715</v>
      </c>
      <c r="AY595">
        <v>4.5203109834689039</v>
      </c>
      <c r="AZ595">
        <v>8.7474793673403664</v>
      </c>
      <c r="BA595">
        <v>4.0905602301651998</v>
      </c>
      <c r="BB595" t="s">
        <v>161</v>
      </c>
      <c r="BD595" s="98"/>
      <c r="BE595" s="98"/>
      <c r="BF595" t="s">
        <v>1152</v>
      </c>
      <c r="BG595" t="s">
        <v>322</v>
      </c>
      <c r="BH595" t="s">
        <v>1153</v>
      </c>
      <c r="BI595">
        <v>4.5203109834689039</v>
      </c>
      <c r="BJ595" t="s">
        <v>989</v>
      </c>
      <c r="BK595">
        <v>6.2525206326596336</v>
      </c>
      <c r="BL595">
        <v>41.683470884397558</v>
      </c>
      <c r="BM595" t="s">
        <v>1260</v>
      </c>
      <c r="BN595" t="s">
        <v>1154</v>
      </c>
      <c r="BO595">
        <v>2025</v>
      </c>
      <c r="BP595" t="s">
        <v>966</v>
      </c>
      <c r="BQ595">
        <v>181593.39554012532</v>
      </c>
      <c r="BR595">
        <v>81.840660445987467</v>
      </c>
      <c r="BS595" t="s">
        <v>992</v>
      </c>
      <c r="BV595" t="s">
        <v>1034</v>
      </c>
      <c r="BW595" t="s">
        <v>943</v>
      </c>
      <c r="BX595" t="s">
        <v>994</v>
      </c>
      <c r="BY595">
        <v>2.4093094740258669</v>
      </c>
      <c r="BZ595" t="s">
        <v>2270</v>
      </c>
      <c r="CA595" t="s">
        <v>991</v>
      </c>
      <c r="CB595" t="b">
        <v>1</v>
      </c>
      <c r="CC595" t="b">
        <v>1</v>
      </c>
      <c r="CD595" t="b">
        <v>1</v>
      </c>
      <c r="CE595" t="b">
        <v>1</v>
      </c>
      <c r="CF595" t="b">
        <v>1</v>
      </c>
    </row>
    <row r="596" spans="1:84" x14ac:dyDescent="0.3">
      <c r="A596" t="s">
        <v>2407</v>
      </c>
      <c r="B596" t="s">
        <v>1234</v>
      </c>
      <c r="C596" s="98">
        <v>45796</v>
      </c>
      <c r="D596">
        <v>2025</v>
      </c>
      <c r="E596">
        <v>5</v>
      </c>
      <c r="F596">
        <v>2</v>
      </c>
      <c r="G596" t="s">
        <v>1226</v>
      </c>
      <c r="H596" t="s">
        <v>132</v>
      </c>
      <c r="I596" t="s">
        <v>132</v>
      </c>
      <c r="J596" t="s">
        <v>6</v>
      </c>
      <c r="L596">
        <v>522611</v>
      </c>
      <c r="M596" s="99" t="s">
        <v>180</v>
      </c>
      <c r="N596">
        <v>3</v>
      </c>
      <c r="O596">
        <v>20</v>
      </c>
      <c r="P596">
        <v>524.95119999999997</v>
      </c>
      <c r="Q596" t="s">
        <v>352</v>
      </c>
      <c r="R596">
        <v>1</v>
      </c>
      <c r="S596">
        <v>516.27589999999998</v>
      </c>
      <c r="T596">
        <v>14.8514</v>
      </c>
      <c r="U596">
        <v>0.5841402157372364</v>
      </c>
      <c r="V596">
        <v>471.7217</v>
      </c>
      <c r="W596">
        <v>486.57309999999995</v>
      </c>
      <c r="X596">
        <v>501.42449999999997</v>
      </c>
      <c r="Y596">
        <v>531.12729999999999</v>
      </c>
      <c r="Z596">
        <v>545.9787</v>
      </c>
      <c r="AA596">
        <v>560.83010000000002</v>
      </c>
      <c r="AD596">
        <v>15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 t="s">
        <v>462</v>
      </c>
      <c r="AL596" t="s">
        <v>6</v>
      </c>
      <c r="AM596" t="s">
        <v>1145</v>
      </c>
      <c r="AN596" t="s">
        <v>1146</v>
      </c>
      <c r="AO596" s="100">
        <v>46262.040405092594</v>
      </c>
      <c r="AP596" t="s">
        <v>1147</v>
      </c>
      <c r="AQ596" t="s">
        <v>2408</v>
      </c>
      <c r="AR596" t="s">
        <v>1236</v>
      </c>
      <c r="AS596" t="s">
        <v>1150</v>
      </c>
      <c r="AT596" t="s">
        <v>2269</v>
      </c>
      <c r="AU596">
        <v>25</v>
      </c>
      <c r="AV596">
        <v>517.29893199999981</v>
      </c>
      <c r="AW596">
        <v>13.25278600218711</v>
      </c>
      <c r="AX596">
        <v>2.5619202326493715</v>
      </c>
      <c r="AY596">
        <v>4.5203109834689039</v>
      </c>
      <c r="AZ596">
        <v>8.7474793673403664</v>
      </c>
      <c r="BA596">
        <v>4.0905602301651998</v>
      </c>
      <c r="BB596" t="s">
        <v>161</v>
      </c>
      <c r="BD596" s="98"/>
      <c r="BE596" s="98"/>
      <c r="BF596" t="s">
        <v>1152</v>
      </c>
      <c r="BG596" t="s">
        <v>322</v>
      </c>
      <c r="BH596" t="s">
        <v>1153</v>
      </c>
      <c r="BI596">
        <v>4.5203109834689039</v>
      </c>
      <c r="BJ596" t="s">
        <v>989</v>
      </c>
      <c r="BK596">
        <v>6.2525206326596336</v>
      </c>
      <c r="BL596">
        <v>41.683470884397558</v>
      </c>
      <c r="BM596" t="s">
        <v>1260</v>
      </c>
      <c r="BN596" t="s">
        <v>1154</v>
      </c>
      <c r="BO596">
        <v>2025</v>
      </c>
      <c r="BP596" t="s">
        <v>966</v>
      </c>
      <c r="BQ596">
        <v>181593.39554012532</v>
      </c>
      <c r="BR596">
        <v>81.840660445987467</v>
      </c>
      <c r="BS596" t="s">
        <v>992</v>
      </c>
      <c r="BV596" t="s">
        <v>1034</v>
      </c>
      <c r="BW596" t="s">
        <v>943</v>
      </c>
      <c r="BX596" t="s">
        <v>994</v>
      </c>
      <c r="BY596">
        <v>2.4093094740258669</v>
      </c>
      <c r="BZ596" t="s">
        <v>2270</v>
      </c>
      <c r="CA596" t="s">
        <v>991</v>
      </c>
      <c r="CB596" t="b">
        <v>1</v>
      </c>
      <c r="CC596" t="b">
        <v>1</v>
      </c>
      <c r="CD596" t="b">
        <v>1</v>
      </c>
      <c r="CE596" t="b">
        <v>1</v>
      </c>
      <c r="CF596" t="b">
        <v>1</v>
      </c>
    </row>
    <row r="597" spans="1:84" x14ac:dyDescent="0.3">
      <c r="A597" t="s">
        <v>2409</v>
      </c>
      <c r="B597" t="s">
        <v>1238</v>
      </c>
      <c r="C597" s="98">
        <v>45803</v>
      </c>
      <c r="D597">
        <v>2025</v>
      </c>
      <c r="E597">
        <v>5</v>
      </c>
      <c r="F597">
        <v>2</v>
      </c>
      <c r="G597" t="s">
        <v>1226</v>
      </c>
      <c r="H597" t="s">
        <v>132</v>
      </c>
      <c r="I597" t="s">
        <v>132</v>
      </c>
      <c r="J597" t="s">
        <v>6</v>
      </c>
      <c r="L597">
        <v>522611</v>
      </c>
      <c r="M597" s="99" t="s">
        <v>180</v>
      </c>
      <c r="N597">
        <v>3</v>
      </c>
      <c r="O597">
        <v>21</v>
      </c>
      <c r="P597">
        <v>532.18089999999995</v>
      </c>
      <c r="Q597" t="s">
        <v>352</v>
      </c>
      <c r="R597">
        <v>1</v>
      </c>
      <c r="S597">
        <v>516.27589999999998</v>
      </c>
      <c r="T597">
        <v>14.8514</v>
      </c>
      <c r="U597">
        <v>1.0709428067387567</v>
      </c>
      <c r="V597">
        <v>471.7217</v>
      </c>
      <c r="W597">
        <v>486.57309999999995</v>
      </c>
      <c r="X597">
        <v>501.42449999999997</v>
      </c>
      <c r="Y597">
        <v>531.12729999999999</v>
      </c>
      <c r="Z597">
        <v>545.9787</v>
      </c>
      <c r="AA597">
        <v>560.83010000000002</v>
      </c>
      <c r="AD597">
        <v>15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 t="s">
        <v>462</v>
      </c>
      <c r="AL597" t="s">
        <v>6</v>
      </c>
      <c r="AM597" t="s">
        <v>1145</v>
      </c>
      <c r="AN597" t="s">
        <v>1146</v>
      </c>
      <c r="AO597" s="100">
        <v>46262.040405092594</v>
      </c>
      <c r="AP597" t="s">
        <v>1147</v>
      </c>
      <c r="AQ597" t="s">
        <v>2410</v>
      </c>
      <c r="AR597" t="s">
        <v>1240</v>
      </c>
      <c r="AS597" t="s">
        <v>1150</v>
      </c>
      <c r="AT597" t="s">
        <v>2269</v>
      </c>
      <c r="AU597">
        <v>25</v>
      </c>
      <c r="AV597">
        <v>517.29893199999981</v>
      </c>
      <c r="AW597">
        <v>13.25278600218711</v>
      </c>
      <c r="AX597">
        <v>2.5619202326493715</v>
      </c>
      <c r="AY597">
        <v>4.5203109834689039</v>
      </c>
      <c r="AZ597">
        <v>8.7474793673403664</v>
      </c>
      <c r="BA597">
        <v>4.0905602301651998</v>
      </c>
      <c r="BB597" t="s">
        <v>161</v>
      </c>
      <c r="BD597" s="98"/>
      <c r="BE597" s="98"/>
      <c r="BF597" t="s">
        <v>1152</v>
      </c>
      <c r="BG597" t="s">
        <v>322</v>
      </c>
      <c r="BH597" t="s">
        <v>1153</v>
      </c>
      <c r="BI597">
        <v>4.5203109834689039</v>
      </c>
      <c r="BJ597" t="s">
        <v>989</v>
      </c>
      <c r="BK597">
        <v>6.2525206326596336</v>
      </c>
      <c r="BL597">
        <v>41.683470884397558</v>
      </c>
      <c r="BM597" t="s">
        <v>1260</v>
      </c>
      <c r="BN597" t="s">
        <v>1154</v>
      </c>
      <c r="BO597">
        <v>2025</v>
      </c>
      <c r="BP597" t="s">
        <v>966</v>
      </c>
      <c r="BQ597">
        <v>181593.39554012532</v>
      </c>
      <c r="BR597">
        <v>81.840660445987467</v>
      </c>
      <c r="BS597" t="s">
        <v>992</v>
      </c>
      <c r="BV597" t="s">
        <v>1034</v>
      </c>
      <c r="BW597" t="s">
        <v>943</v>
      </c>
      <c r="BX597" t="s">
        <v>994</v>
      </c>
      <c r="BY597">
        <v>2.4093094740258669</v>
      </c>
      <c r="BZ597" t="s">
        <v>2270</v>
      </c>
      <c r="CA597" t="s">
        <v>991</v>
      </c>
      <c r="CB597" t="b">
        <v>1</v>
      </c>
      <c r="CC597" t="b">
        <v>1</v>
      </c>
      <c r="CD597" t="b">
        <v>1</v>
      </c>
      <c r="CE597" t="b">
        <v>1</v>
      </c>
      <c r="CF597" t="b">
        <v>1</v>
      </c>
    </row>
    <row r="598" spans="1:84" x14ac:dyDescent="0.3">
      <c r="A598" t="s">
        <v>2411</v>
      </c>
      <c r="B598" t="s">
        <v>1242</v>
      </c>
      <c r="C598" s="98">
        <v>45810</v>
      </c>
      <c r="D598">
        <v>2025</v>
      </c>
      <c r="E598">
        <v>6</v>
      </c>
      <c r="F598">
        <v>2</v>
      </c>
      <c r="G598" t="s">
        <v>1243</v>
      </c>
      <c r="H598" t="s">
        <v>132</v>
      </c>
      <c r="I598" t="s">
        <v>132</v>
      </c>
      <c r="J598" t="s">
        <v>6</v>
      </c>
      <c r="L598">
        <v>522611</v>
      </c>
      <c r="M598" s="99" t="s">
        <v>180</v>
      </c>
      <c r="N598">
        <v>3</v>
      </c>
      <c r="O598">
        <v>22</v>
      </c>
      <c r="P598">
        <v>522.17219999999998</v>
      </c>
      <c r="Q598" t="s">
        <v>352</v>
      </c>
      <c r="R598">
        <v>1</v>
      </c>
      <c r="S598">
        <v>516.27589999999998</v>
      </c>
      <c r="T598">
        <v>14.8514</v>
      </c>
      <c r="U598">
        <v>0.39701980958024136</v>
      </c>
      <c r="V598">
        <v>471.7217</v>
      </c>
      <c r="W598">
        <v>486.57309999999995</v>
      </c>
      <c r="X598">
        <v>501.42449999999997</v>
      </c>
      <c r="Y598">
        <v>531.12729999999999</v>
      </c>
      <c r="Z598">
        <v>545.9787</v>
      </c>
      <c r="AA598">
        <v>560.83010000000002</v>
      </c>
      <c r="AD598">
        <v>15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 t="s">
        <v>462</v>
      </c>
      <c r="AL598" t="s">
        <v>6</v>
      </c>
      <c r="AM598" t="s">
        <v>1145</v>
      </c>
      <c r="AN598" t="s">
        <v>1146</v>
      </c>
      <c r="AO598" s="100">
        <v>46262.040405092594</v>
      </c>
      <c r="AP598" t="s">
        <v>1147</v>
      </c>
      <c r="AQ598" t="s">
        <v>2412</v>
      </c>
      <c r="AR598" t="s">
        <v>1245</v>
      </c>
      <c r="AS598" t="s">
        <v>1150</v>
      </c>
      <c r="AT598" t="s">
        <v>2269</v>
      </c>
      <c r="AU598">
        <v>25</v>
      </c>
      <c r="AV598">
        <v>517.29893199999981</v>
      </c>
      <c r="AW598">
        <v>13.25278600218711</v>
      </c>
      <c r="AX598">
        <v>2.5619202326493715</v>
      </c>
      <c r="AY598">
        <v>4.5203109834689039</v>
      </c>
      <c r="AZ598">
        <v>8.7474793673403664</v>
      </c>
      <c r="BA598">
        <v>4.0905602301651998</v>
      </c>
      <c r="BB598" t="s">
        <v>161</v>
      </c>
      <c r="BD598" s="98"/>
      <c r="BE598" s="98"/>
      <c r="BF598" t="s">
        <v>1152</v>
      </c>
      <c r="BG598" t="s">
        <v>322</v>
      </c>
      <c r="BH598" t="s">
        <v>1153</v>
      </c>
      <c r="BI598">
        <v>4.5203109834689039</v>
      </c>
      <c r="BJ598" t="s">
        <v>989</v>
      </c>
      <c r="BK598">
        <v>6.2525206326596336</v>
      </c>
      <c r="BL598">
        <v>41.683470884397558</v>
      </c>
      <c r="BM598" t="s">
        <v>1260</v>
      </c>
      <c r="BN598" t="s">
        <v>1154</v>
      </c>
      <c r="BO598">
        <v>2025</v>
      </c>
      <c r="BP598" t="s">
        <v>966</v>
      </c>
      <c r="BQ598">
        <v>181593.39554012532</v>
      </c>
      <c r="BR598">
        <v>81.840660445987467</v>
      </c>
      <c r="BS598" t="s">
        <v>992</v>
      </c>
      <c r="BV598" t="s">
        <v>1034</v>
      </c>
      <c r="BW598" t="s">
        <v>943</v>
      </c>
      <c r="BX598" t="s">
        <v>994</v>
      </c>
      <c r="BY598">
        <v>2.4093094740258669</v>
      </c>
      <c r="BZ598" t="s">
        <v>2270</v>
      </c>
      <c r="CA598" t="s">
        <v>991</v>
      </c>
      <c r="CB598" t="b">
        <v>1</v>
      </c>
      <c r="CC598" t="b">
        <v>1</v>
      </c>
      <c r="CD598" t="b">
        <v>1</v>
      </c>
      <c r="CE598" t="b">
        <v>1</v>
      </c>
      <c r="CF598" t="b">
        <v>1</v>
      </c>
    </row>
    <row r="599" spans="1:84" x14ac:dyDescent="0.3">
      <c r="A599" t="s">
        <v>2413</v>
      </c>
      <c r="B599" t="s">
        <v>1247</v>
      </c>
      <c r="C599" s="98">
        <v>45817</v>
      </c>
      <c r="D599">
        <v>2025</v>
      </c>
      <c r="E599">
        <v>6</v>
      </c>
      <c r="F599">
        <v>2</v>
      </c>
      <c r="G599" t="s">
        <v>1243</v>
      </c>
      <c r="H599" t="s">
        <v>132</v>
      </c>
      <c r="I599" t="s">
        <v>132</v>
      </c>
      <c r="J599" t="s">
        <v>6</v>
      </c>
      <c r="L599">
        <v>522611</v>
      </c>
      <c r="M599" s="99" t="s">
        <v>180</v>
      </c>
      <c r="N599">
        <v>3</v>
      </c>
      <c r="O599">
        <v>23</v>
      </c>
      <c r="P599">
        <v>511.68079999999998</v>
      </c>
      <c r="Q599" t="s">
        <v>352</v>
      </c>
      <c r="R599">
        <v>1</v>
      </c>
      <c r="S599">
        <v>516.27589999999998</v>
      </c>
      <c r="T599">
        <v>14.8514</v>
      </c>
      <c r="U599">
        <v>-0.30940517392299732</v>
      </c>
      <c r="V599">
        <v>471.7217</v>
      </c>
      <c r="W599">
        <v>486.57309999999995</v>
      </c>
      <c r="X599">
        <v>501.42449999999997</v>
      </c>
      <c r="Y599">
        <v>531.12729999999999</v>
      </c>
      <c r="Z599">
        <v>545.9787</v>
      </c>
      <c r="AA599">
        <v>560.83010000000002</v>
      </c>
      <c r="AD599">
        <v>15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 t="s">
        <v>462</v>
      </c>
      <c r="AL599" t="s">
        <v>6</v>
      </c>
      <c r="AM599" t="s">
        <v>1145</v>
      </c>
      <c r="AN599" t="s">
        <v>1146</v>
      </c>
      <c r="AO599" s="100">
        <v>46262.040405092594</v>
      </c>
      <c r="AP599" t="s">
        <v>1147</v>
      </c>
      <c r="AQ599" t="s">
        <v>2414</v>
      </c>
      <c r="AR599" t="s">
        <v>1249</v>
      </c>
      <c r="AS599" t="s">
        <v>1150</v>
      </c>
      <c r="AT599" t="s">
        <v>2269</v>
      </c>
      <c r="AU599">
        <v>25</v>
      </c>
      <c r="AV599">
        <v>517.29893199999981</v>
      </c>
      <c r="AW599">
        <v>13.25278600218711</v>
      </c>
      <c r="AX599">
        <v>2.5619202326493715</v>
      </c>
      <c r="AY599">
        <v>4.5203109834689039</v>
      </c>
      <c r="AZ599">
        <v>8.7474793673403664</v>
      </c>
      <c r="BA599">
        <v>4.0905602301651998</v>
      </c>
      <c r="BB599" t="s">
        <v>161</v>
      </c>
      <c r="BD599" s="98"/>
      <c r="BE599" s="98"/>
      <c r="BF599" t="s">
        <v>1152</v>
      </c>
      <c r="BG599" t="s">
        <v>322</v>
      </c>
      <c r="BH599" t="s">
        <v>1153</v>
      </c>
      <c r="BI599">
        <v>4.5203109834689039</v>
      </c>
      <c r="BJ599" t="s">
        <v>989</v>
      </c>
      <c r="BK599">
        <v>6.2525206326596336</v>
      </c>
      <c r="BL599">
        <v>41.683470884397558</v>
      </c>
      <c r="BM599" t="s">
        <v>1260</v>
      </c>
      <c r="BN599" t="s">
        <v>1154</v>
      </c>
      <c r="BO599">
        <v>2025</v>
      </c>
      <c r="BP599" t="s">
        <v>966</v>
      </c>
      <c r="BQ599">
        <v>181593.39554012532</v>
      </c>
      <c r="BR599">
        <v>81.840660445987467</v>
      </c>
      <c r="BS599" t="s">
        <v>992</v>
      </c>
      <c r="BV599" t="s">
        <v>1034</v>
      </c>
      <c r="BW599" t="s">
        <v>943</v>
      </c>
      <c r="BX599" t="s">
        <v>994</v>
      </c>
      <c r="BY599">
        <v>2.4093094740258669</v>
      </c>
      <c r="BZ599" t="s">
        <v>2270</v>
      </c>
      <c r="CA599" t="s">
        <v>991</v>
      </c>
      <c r="CB599" t="b">
        <v>1</v>
      </c>
      <c r="CC599" t="b">
        <v>1</v>
      </c>
      <c r="CD599" t="b">
        <v>1</v>
      </c>
      <c r="CE599" t="b">
        <v>1</v>
      </c>
      <c r="CF599" t="b">
        <v>1</v>
      </c>
    </row>
    <row r="600" spans="1:84" x14ac:dyDescent="0.3">
      <c r="A600" t="s">
        <v>2415</v>
      </c>
      <c r="B600" t="s">
        <v>1251</v>
      </c>
      <c r="C600" s="98">
        <v>45824</v>
      </c>
      <c r="D600">
        <v>2025</v>
      </c>
      <c r="E600">
        <v>6</v>
      </c>
      <c r="F600">
        <v>2</v>
      </c>
      <c r="G600" t="s">
        <v>1243</v>
      </c>
      <c r="H600" t="s">
        <v>132</v>
      </c>
      <c r="I600" t="s">
        <v>132</v>
      </c>
      <c r="J600" t="s">
        <v>6</v>
      </c>
      <c r="L600">
        <v>522611</v>
      </c>
      <c r="M600" s="99" t="s">
        <v>180</v>
      </c>
      <c r="N600">
        <v>3</v>
      </c>
      <c r="O600">
        <v>24</v>
      </c>
      <c r="P600">
        <v>521.6549</v>
      </c>
      <c r="Q600" t="s">
        <v>352</v>
      </c>
      <c r="R600">
        <v>1</v>
      </c>
      <c r="S600">
        <v>516.27589999999998</v>
      </c>
      <c r="T600">
        <v>14.8514</v>
      </c>
      <c r="U600">
        <v>0.36218807654497348</v>
      </c>
      <c r="V600">
        <v>471.7217</v>
      </c>
      <c r="W600">
        <v>486.57309999999995</v>
      </c>
      <c r="X600">
        <v>501.42449999999997</v>
      </c>
      <c r="Y600">
        <v>531.12729999999999</v>
      </c>
      <c r="Z600">
        <v>545.9787</v>
      </c>
      <c r="AA600">
        <v>560.83010000000002</v>
      </c>
      <c r="AD600">
        <v>15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 t="s">
        <v>462</v>
      </c>
      <c r="AL600" t="s">
        <v>6</v>
      </c>
      <c r="AM600" t="s">
        <v>1145</v>
      </c>
      <c r="AN600" t="s">
        <v>1146</v>
      </c>
      <c r="AO600" s="100">
        <v>46262.040405092594</v>
      </c>
      <c r="AP600" t="s">
        <v>1147</v>
      </c>
      <c r="AQ600" t="s">
        <v>2416</v>
      </c>
      <c r="AR600" t="s">
        <v>1253</v>
      </c>
      <c r="AS600" t="s">
        <v>1150</v>
      </c>
      <c r="AT600" t="s">
        <v>2269</v>
      </c>
      <c r="AU600">
        <v>25</v>
      </c>
      <c r="AV600">
        <v>517.29893199999981</v>
      </c>
      <c r="AW600">
        <v>13.25278600218711</v>
      </c>
      <c r="AX600">
        <v>2.5619202326493715</v>
      </c>
      <c r="AY600">
        <v>4.5203109834689039</v>
      </c>
      <c r="AZ600">
        <v>8.7474793673403664</v>
      </c>
      <c r="BA600">
        <v>4.0905602301651998</v>
      </c>
      <c r="BB600" t="s">
        <v>161</v>
      </c>
      <c r="BD600" s="98"/>
      <c r="BE600" s="98"/>
      <c r="BF600" t="s">
        <v>1152</v>
      </c>
      <c r="BG600" t="s">
        <v>322</v>
      </c>
      <c r="BH600" t="s">
        <v>1153</v>
      </c>
      <c r="BI600">
        <v>4.5203109834689039</v>
      </c>
      <c r="BJ600" t="s">
        <v>989</v>
      </c>
      <c r="BK600">
        <v>6.2525206326596336</v>
      </c>
      <c r="BL600">
        <v>41.683470884397558</v>
      </c>
      <c r="BM600" t="s">
        <v>1260</v>
      </c>
      <c r="BN600" t="s">
        <v>1154</v>
      </c>
      <c r="BO600">
        <v>2025</v>
      </c>
      <c r="BP600" t="s">
        <v>966</v>
      </c>
      <c r="BQ600">
        <v>181593.39554012532</v>
      </c>
      <c r="BR600">
        <v>81.840660445987467</v>
      </c>
      <c r="BS600" t="s">
        <v>992</v>
      </c>
      <c r="BV600" t="s">
        <v>1034</v>
      </c>
      <c r="BW600" t="s">
        <v>943</v>
      </c>
      <c r="BX600" t="s">
        <v>994</v>
      </c>
      <c r="BY600">
        <v>2.4093094740258669</v>
      </c>
      <c r="BZ600" t="s">
        <v>2270</v>
      </c>
      <c r="CA600" t="s">
        <v>991</v>
      </c>
      <c r="CB600" t="b">
        <v>1</v>
      </c>
      <c r="CC600" t="b">
        <v>1</v>
      </c>
      <c r="CD600" t="b">
        <v>1</v>
      </c>
      <c r="CE600" t="b">
        <v>1</v>
      </c>
      <c r="CF600" t="b">
        <v>1</v>
      </c>
    </row>
    <row r="601" spans="1:84" x14ac:dyDescent="0.3">
      <c r="A601" t="s">
        <v>2417</v>
      </c>
      <c r="B601" t="s">
        <v>1255</v>
      </c>
      <c r="C601" s="98">
        <v>45831</v>
      </c>
      <c r="D601">
        <v>2025</v>
      </c>
      <c r="E601">
        <v>6</v>
      </c>
      <c r="F601">
        <v>2</v>
      </c>
      <c r="G601" t="s">
        <v>1243</v>
      </c>
      <c r="H601" t="s">
        <v>132</v>
      </c>
      <c r="I601" t="s">
        <v>132</v>
      </c>
      <c r="J601" t="s">
        <v>6</v>
      </c>
      <c r="L601">
        <v>522611</v>
      </c>
      <c r="M601" s="99" t="s">
        <v>180</v>
      </c>
      <c r="N601">
        <v>3</v>
      </c>
      <c r="O601">
        <v>25</v>
      </c>
      <c r="P601">
        <v>501.38589999999999</v>
      </c>
      <c r="Q601" t="s">
        <v>352</v>
      </c>
      <c r="R601">
        <v>1</v>
      </c>
      <c r="S601">
        <v>516.27589999999998</v>
      </c>
      <c r="T601">
        <v>14.8514</v>
      </c>
      <c r="U601">
        <v>-1.0025990815680668</v>
      </c>
      <c r="V601">
        <v>471.7217</v>
      </c>
      <c r="W601">
        <v>486.57309999999995</v>
      </c>
      <c r="X601">
        <v>501.42449999999997</v>
      </c>
      <c r="Y601">
        <v>531.12729999999999</v>
      </c>
      <c r="Z601">
        <v>545.9787</v>
      </c>
      <c r="AA601">
        <v>560.83010000000002</v>
      </c>
      <c r="AD601">
        <v>15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 t="s">
        <v>462</v>
      </c>
      <c r="AL601" t="s">
        <v>6</v>
      </c>
      <c r="AM601" t="s">
        <v>1145</v>
      </c>
      <c r="AN601" t="s">
        <v>1146</v>
      </c>
      <c r="AO601" s="100">
        <v>46262.040405092594</v>
      </c>
      <c r="AP601" t="s">
        <v>1147</v>
      </c>
      <c r="AQ601" t="s">
        <v>2418</v>
      </c>
      <c r="AR601" t="s">
        <v>1257</v>
      </c>
      <c r="AS601" t="s">
        <v>1150</v>
      </c>
      <c r="AT601" t="s">
        <v>2269</v>
      </c>
      <c r="AU601">
        <v>25</v>
      </c>
      <c r="AV601">
        <v>517.29893199999981</v>
      </c>
      <c r="AW601">
        <v>13.25278600218711</v>
      </c>
      <c r="AX601">
        <v>2.5619202326493715</v>
      </c>
      <c r="AY601">
        <v>4.5203109834689039</v>
      </c>
      <c r="AZ601">
        <v>8.7474793673403664</v>
      </c>
      <c r="BA601">
        <v>4.0905602301651998</v>
      </c>
      <c r="BB601" t="s">
        <v>161</v>
      </c>
      <c r="BD601" s="98"/>
      <c r="BE601" s="98"/>
      <c r="BF601" t="s">
        <v>1152</v>
      </c>
      <c r="BG601" t="s">
        <v>322</v>
      </c>
      <c r="BH601" t="s">
        <v>1153</v>
      </c>
      <c r="BI601">
        <v>4.5203109834689039</v>
      </c>
      <c r="BJ601" t="s">
        <v>989</v>
      </c>
      <c r="BK601">
        <v>6.2525206326596336</v>
      </c>
      <c r="BL601">
        <v>41.683470884397558</v>
      </c>
      <c r="BM601" t="s">
        <v>1260</v>
      </c>
      <c r="BN601" t="s">
        <v>1154</v>
      </c>
      <c r="BO601">
        <v>2025</v>
      </c>
      <c r="BP601" t="s">
        <v>966</v>
      </c>
      <c r="BQ601">
        <v>181593.39554012532</v>
      </c>
      <c r="BR601">
        <v>81.840660445987467</v>
      </c>
      <c r="BS601" t="s">
        <v>992</v>
      </c>
      <c r="BV601" t="s">
        <v>1034</v>
      </c>
      <c r="BW601" t="s">
        <v>943</v>
      </c>
      <c r="BX601" t="s">
        <v>994</v>
      </c>
      <c r="BY601">
        <v>2.4093094740258669</v>
      </c>
      <c r="BZ601" t="s">
        <v>2270</v>
      </c>
      <c r="CA601" t="s">
        <v>991</v>
      </c>
      <c r="CB601" t="b">
        <v>1</v>
      </c>
      <c r="CC601" t="b">
        <v>1</v>
      </c>
      <c r="CD601" t="b">
        <v>1</v>
      </c>
      <c r="CE601" t="b">
        <v>1</v>
      </c>
      <c r="CF601" t="b">
        <v>1</v>
      </c>
    </row>
    <row r="602" spans="1:84" x14ac:dyDescent="0.3">
      <c r="A602" t="s">
        <v>2419</v>
      </c>
      <c r="B602" t="s">
        <v>1143</v>
      </c>
      <c r="C602" s="98">
        <v>45663</v>
      </c>
      <c r="D602">
        <v>2025</v>
      </c>
      <c r="E602">
        <v>1</v>
      </c>
      <c r="F602">
        <v>1</v>
      </c>
      <c r="G602" t="s">
        <v>1144</v>
      </c>
      <c r="H602" t="s">
        <v>138</v>
      </c>
      <c r="I602" t="s">
        <v>138</v>
      </c>
      <c r="J602" t="s">
        <v>6</v>
      </c>
      <c r="L602">
        <v>522611</v>
      </c>
      <c r="M602" s="99" t="s">
        <v>178</v>
      </c>
      <c r="N602">
        <v>1</v>
      </c>
      <c r="O602">
        <v>1</v>
      </c>
      <c r="P602">
        <v>1.1572</v>
      </c>
      <c r="Q602" t="s">
        <v>352</v>
      </c>
      <c r="R602">
        <v>1</v>
      </c>
      <c r="S602">
        <v>1.2193000000000001</v>
      </c>
      <c r="T602">
        <v>3.7900000000000003E-2</v>
      </c>
      <c r="U602">
        <v>-1.6385224274406343</v>
      </c>
      <c r="V602">
        <v>1.1056000000000001</v>
      </c>
      <c r="W602">
        <v>1.1435</v>
      </c>
      <c r="X602">
        <v>1.1814</v>
      </c>
      <c r="Y602">
        <v>1.2572000000000001</v>
      </c>
      <c r="Z602">
        <v>1.2951000000000001</v>
      </c>
      <c r="AA602">
        <v>1.333</v>
      </c>
      <c r="AD602">
        <v>27.582809524942444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 t="s">
        <v>462</v>
      </c>
      <c r="AL602" t="s">
        <v>6</v>
      </c>
      <c r="AM602" t="s">
        <v>1145</v>
      </c>
      <c r="AN602" t="s">
        <v>1146</v>
      </c>
      <c r="AO602" s="100">
        <v>46262.040405092594</v>
      </c>
      <c r="AP602" t="s">
        <v>1147</v>
      </c>
      <c r="AQ602" t="s">
        <v>2420</v>
      </c>
      <c r="AR602" t="s">
        <v>1149</v>
      </c>
      <c r="AS602" t="s">
        <v>1150</v>
      </c>
      <c r="AT602" t="s">
        <v>2421</v>
      </c>
      <c r="AU602">
        <v>25</v>
      </c>
      <c r="AV602">
        <v>1.2140600000000001</v>
      </c>
      <c r="AW602">
        <v>4.0568522280211308E-2</v>
      </c>
      <c r="AX602">
        <v>3.3415582656714911</v>
      </c>
      <c r="AY602">
        <v>-3.8619019437726307</v>
      </c>
      <c r="AZ602">
        <v>9.3754730821305898</v>
      </c>
      <c r="BA602">
        <v>7.0987562374295639</v>
      </c>
      <c r="BB602" t="s">
        <v>4619</v>
      </c>
      <c r="BD602" s="98"/>
      <c r="BE602" s="98"/>
      <c r="BF602" t="s">
        <v>1152</v>
      </c>
      <c r="BG602" t="s">
        <v>322</v>
      </c>
      <c r="BH602" t="s">
        <v>1153</v>
      </c>
      <c r="BI602">
        <v>3.8619019437726307</v>
      </c>
      <c r="BJ602" t="s">
        <v>983</v>
      </c>
      <c r="BK602">
        <v>18.207336442811854</v>
      </c>
      <c r="BL602">
        <v>66.009724014326437</v>
      </c>
      <c r="BM602" t="s">
        <v>1260</v>
      </c>
      <c r="BN602" t="s">
        <v>1154</v>
      </c>
      <c r="BO602">
        <v>2025</v>
      </c>
      <c r="BP602" t="s">
        <v>966</v>
      </c>
      <c r="BQ602">
        <v>1.0794755755938468E-2</v>
      </c>
      <c r="BR602">
        <v>99.999998920524419</v>
      </c>
      <c r="BS602" t="s">
        <v>984</v>
      </c>
      <c r="BT602">
        <v>3</v>
      </c>
      <c r="BU602">
        <v>1</v>
      </c>
      <c r="BV602" t="s">
        <v>985</v>
      </c>
      <c r="BW602" t="s">
        <v>943</v>
      </c>
      <c r="BX602" t="s">
        <v>986</v>
      </c>
      <c r="BY602">
        <v>7.0987562374295639</v>
      </c>
      <c r="BZ602" t="s">
        <v>1155</v>
      </c>
      <c r="CA602" t="s">
        <v>983</v>
      </c>
      <c r="CB602" t="b">
        <v>1</v>
      </c>
      <c r="CC602" t="b">
        <v>0</v>
      </c>
      <c r="CD602" t="b">
        <v>0</v>
      </c>
      <c r="CE602" t="b">
        <v>0</v>
      </c>
      <c r="CF602" t="b">
        <v>0</v>
      </c>
    </row>
    <row r="603" spans="1:84" x14ac:dyDescent="0.3">
      <c r="A603" t="s">
        <v>2422</v>
      </c>
      <c r="B603" t="s">
        <v>1157</v>
      </c>
      <c r="C603" s="98">
        <v>45670</v>
      </c>
      <c r="D603">
        <v>2025</v>
      </c>
      <c r="E603">
        <v>1</v>
      </c>
      <c r="F603">
        <v>1</v>
      </c>
      <c r="G603" t="s">
        <v>1144</v>
      </c>
      <c r="H603" t="s">
        <v>138</v>
      </c>
      <c r="I603" t="s">
        <v>138</v>
      </c>
      <c r="J603" t="s">
        <v>6</v>
      </c>
      <c r="L603">
        <v>522611</v>
      </c>
      <c r="M603" s="99" t="s">
        <v>178</v>
      </c>
      <c r="N603">
        <v>1</v>
      </c>
      <c r="O603">
        <v>2</v>
      </c>
      <c r="P603">
        <v>1.2413000000000001</v>
      </c>
      <c r="Q603" t="s">
        <v>352</v>
      </c>
      <c r="R603">
        <v>1</v>
      </c>
      <c r="S603">
        <v>1.2193000000000001</v>
      </c>
      <c r="T603">
        <v>3.7900000000000003E-2</v>
      </c>
      <c r="U603">
        <v>0.58047493403693973</v>
      </c>
      <c r="V603">
        <v>1.1056000000000001</v>
      </c>
      <c r="W603">
        <v>1.1435</v>
      </c>
      <c r="X603">
        <v>1.1814</v>
      </c>
      <c r="Y603">
        <v>1.2572000000000001</v>
      </c>
      <c r="Z603">
        <v>1.2951000000000001</v>
      </c>
      <c r="AA603">
        <v>1.333</v>
      </c>
      <c r="AD603">
        <v>27.582809524942444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 t="s">
        <v>462</v>
      </c>
      <c r="AL603" t="s">
        <v>6</v>
      </c>
      <c r="AM603" t="s">
        <v>1145</v>
      </c>
      <c r="AN603" t="s">
        <v>1146</v>
      </c>
      <c r="AO603" s="100">
        <v>46262.040405092594</v>
      </c>
      <c r="AP603" t="s">
        <v>1147</v>
      </c>
      <c r="AQ603" t="s">
        <v>2423</v>
      </c>
      <c r="AR603" t="s">
        <v>1159</v>
      </c>
      <c r="AS603" t="s">
        <v>1150</v>
      </c>
      <c r="AT603" t="s">
        <v>2421</v>
      </c>
      <c r="AU603">
        <v>25</v>
      </c>
      <c r="AV603">
        <v>1.2140600000000001</v>
      </c>
      <c r="AW603">
        <v>4.0568522280211308E-2</v>
      </c>
      <c r="AX603">
        <v>3.3415582656714911</v>
      </c>
      <c r="AY603">
        <v>-3.8619019437726307</v>
      </c>
      <c r="AZ603">
        <v>9.3754730821305898</v>
      </c>
      <c r="BA603">
        <v>7.0987562374295639</v>
      </c>
      <c r="BB603" t="s">
        <v>4619</v>
      </c>
      <c r="BD603" s="98"/>
      <c r="BE603" s="98"/>
      <c r="BF603" t="s">
        <v>1152</v>
      </c>
      <c r="BG603" t="s">
        <v>322</v>
      </c>
      <c r="BH603" t="s">
        <v>1153</v>
      </c>
      <c r="BI603">
        <v>3.8619019437726307</v>
      </c>
      <c r="BJ603" t="s">
        <v>983</v>
      </c>
      <c r="BK603">
        <v>18.207336442811854</v>
      </c>
      <c r="BL603">
        <v>66.009724014326437</v>
      </c>
      <c r="BM603" t="s">
        <v>1260</v>
      </c>
      <c r="BN603" t="s">
        <v>1154</v>
      </c>
      <c r="BO603">
        <v>2025</v>
      </c>
      <c r="BP603" t="s">
        <v>966</v>
      </c>
      <c r="BQ603">
        <v>1.0794755755938468E-2</v>
      </c>
      <c r="BR603">
        <v>99.999998920524419</v>
      </c>
      <c r="BS603" t="s">
        <v>984</v>
      </c>
      <c r="BT603">
        <v>3</v>
      </c>
      <c r="BU603">
        <v>1</v>
      </c>
      <c r="BV603" t="s">
        <v>985</v>
      </c>
      <c r="BW603" t="s">
        <v>943</v>
      </c>
      <c r="BX603" t="s">
        <v>986</v>
      </c>
      <c r="BY603">
        <v>7.0987562374295639</v>
      </c>
      <c r="BZ603" t="s">
        <v>1155</v>
      </c>
      <c r="CA603" t="s">
        <v>983</v>
      </c>
      <c r="CB603" t="b">
        <v>1</v>
      </c>
      <c r="CC603" t="b">
        <v>0</v>
      </c>
      <c r="CD603" t="b">
        <v>0</v>
      </c>
      <c r="CE603" t="b">
        <v>0</v>
      </c>
      <c r="CF603" t="b">
        <v>0</v>
      </c>
    </row>
    <row r="604" spans="1:84" x14ac:dyDescent="0.3">
      <c r="A604" t="s">
        <v>2424</v>
      </c>
      <c r="B604" t="s">
        <v>1161</v>
      </c>
      <c r="C604" s="98">
        <v>45677</v>
      </c>
      <c r="D604">
        <v>2025</v>
      </c>
      <c r="E604">
        <v>1</v>
      </c>
      <c r="F604">
        <v>1</v>
      </c>
      <c r="G604" t="s">
        <v>1144</v>
      </c>
      <c r="H604" t="s">
        <v>138</v>
      </c>
      <c r="I604" t="s">
        <v>138</v>
      </c>
      <c r="J604" t="s">
        <v>6</v>
      </c>
      <c r="L604">
        <v>522611</v>
      </c>
      <c r="M604" s="99" t="s">
        <v>178</v>
      </c>
      <c r="N604">
        <v>1</v>
      </c>
      <c r="O604">
        <v>3</v>
      </c>
      <c r="P604">
        <v>1.2172000000000001</v>
      </c>
      <c r="Q604" t="s">
        <v>352</v>
      </c>
      <c r="R604">
        <v>1</v>
      </c>
      <c r="S604">
        <v>1.2193000000000001</v>
      </c>
      <c r="T604">
        <v>3.7900000000000003E-2</v>
      </c>
      <c r="U604">
        <v>-5.5408970976253052E-2</v>
      </c>
      <c r="V604">
        <v>1.1056000000000001</v>
      </c>
      <c r="W604">
        <v>1.1435</v>
      </c>
      <c r="X604">
        <v>1.1814</v>
      </c>
      <c r="Y604">
        <v>1.2572000000000001</v>
      </c>
      <c r="Z604">
        <v>1.2951000000000001</v>
      </c>
      <c r="AA604">
        <v>1.333</v>
      </c>
      <c r="AD604">
        <v>27.582809524942444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 t="s">
        <v>462</v>
      </c>
      <c r="AL604" t="s">
        <v>6</v>
      </c>
      <c r="AM604" t="s">
        <v>1145</v>
      </c>
      <c r="AN604" t="s">
        <v>1146</v>
      </c>
      <c r="AO604" s="100">
        <v>46262.040405092594</v>
      </c>
      <c r="AP604" t="s">
        <v>1147</v>
      </c>
      <c r="AQ604" t="s">
        <v>2425</v>
      </c>
      <c r="AR604" t="s">
        <v>1163</v>
      </c>
      <c r="AS604" t="s">
        <v>1150</v>
      </c>
      <c r="AT604" t="s">
        <v>2421</v>
      </c>
      <c r="AU604">
        <v>25</v>
      </c>
      <c r="AV604">
        <v>1.2140600000000001</v>
      </c>
      <c r="AW604">
        <v>4.0568522280211308E-2</v>
      </c>
      <c r="AX604">
        <v>3.3415582656714911</v>
      </c>
      <c r="AY604">
        <v>-3.8619019437726307</v>
      </c>
      <c r="AZ604">
        <v>9.3754730821305898</v>
      </c>
      <c r="BA604">
        <v>7.0987562374295639</v>
      </c>
      <c r="BB604" t="s">
        <v>4619</v>
      </c>
      <c r="BD604" s="98"/>
      <c r="BE604" s="98"/>
      <c r="BF604" t="s">
        <v>1152</v>
      </c>
      <c r="BG604" t="s">
        <v>322</v>
      </c>
      <c r="BH604" t="s">
        <v>1153</v>
      </c>
      <c r="BI604">
        <v>3.8619019437726307</v>
      </c>
      <c r="BJ604" t="s">
        <v>983</v>
      </c>
      <c r="BK604">
        <v>18.207336442811854</v>
      </c>
      <c r="BL604">
        <v>66.009724014326437</v>
      </c>
      <c r="BM604" t="s">
        <v>1260</v>
      </c>
      <c r="BN604" t="s">
        <v>1154</v>
      </c>
      <c r="BO604">
        <v>2025</v>
      </c>
      <c r="BP604" t="s">
        <v>966</v>
      </c>
      <c r="BQ604">
        <v>1.0794755755938468E-2</v>
      </c>
      <c r="BR604">
        <v>99.999998920524419</v>
      </c>
      <c r="BS604" t="s">
        <v>984</v>
      </c>
      <c r="BT604">
        <v>3</v>
      </c>
      <c r="BU604">
        <v>1</v>
      </c>
      <c r="BV604" t="s">
        <v>985</v>
      </c>
      <c r="BW604" t="s">
        <v>943</v>
      </c>
      <c r="BX604" t="s">
        <v>986</v>
      </c>
      <c r="BY604">
        <v>7.0987562374295639</v>
      </c>
      <c r="BZ604" t="s">
        <v>1155</v>
      </c>
      <c r="CA604" t="s">
        <v>983</v>
      </c>
      <c r="CB604" t="b">
        <v>1</v>
      </c>
      <c r="CC604" t="b">
        <v>0</v>
      </c>
      <c r="CD604" t="b">
        <v>0</v>
      </c>
      <c r="CE604" t="b">
        <v>0</v>
      </c>
      <c r="CF604" t="b">
        <v>0</v>
      </c>
    </row>
    <row r="605" spans="1:84" x14ac:dyDescent="0.3">
      <c r="A605" t="s">
        <v>2426</v>
      </c>
      <c r="B605" t="s">
        <v>1165</v>
      </c>
      <c r="C605" s="98">
        <v>45684</v>
      </c>
      <c r="D605">
        <v>2025</v>
      </c>
      <c r="E605">
        <v>1</v>
      </c>
      <c r="F605">
        <v>1</v>
      </c>
      <c r="G605" t="s">
        <v>1144</v>
      </c>
      <c r="H605" t="s">
        <v>138</v>
      </c>
      <c r="I605" t="s">
        <v>138</v>
      </c>
      <c r="J605" t="s">
        <v>6</v>
      </c>
      <c r="L605">
        <v>522611</v>
      </c>
      <c r="M605" s="99" t="s">
        <v>178</v>
      </c>
      <c r="N605">
        <v>1</v>
      </c>
      <c r="O605">
        <v>4</v>
      </c>
      <c r="P605">
        <v>1.2310000000000001</v>
      </c>
      <c r="Q605" t="s">
        <v>352</v>
      </c>
      <c r="R605">
        <v>1</v>
      </c>
      <c r="S605">
        <v>1.2193000000000001</v>
      </c>
      <c r="T605">
        <v>3.7900000000000003E-2</v>
      </c>
      <c r="U605">
        <v>0.30870712401055522</v>
      </c>
      <c r="V605">
        <v>1.1056000000000001</v>
      </c>
      <c r="W605">
        <v>1.1435</v>
      </c>
      <c r="X605">
        <v>1.1814</v>
      </c>
      <c r="Y605">
        <v>1.2572000000000001</v>
      </c>
      <c r="Z605">
        <v>1.2951000000000001</v>
      </c>
      <c r="AA605">
        <v>1.333</v>
      </c>
      <c r="AD605">
        <v>27.582809524942444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 t="s">
        <v>462</v>
      </c>
      <c r="AL605" t="s">
        <v>6</v>
      </c>
      <c r="AM605" t="s">
        <v>1145</v>
      </c>
      <c r="AN605" t="s">
        <v>1146</v>
      </c>
      <c r="AO605" s="100">
        <v>46262.040405092594</v>
      </c>
      <c r="AP605" t="s">
        <v>1147</v>
      </c>
      <c r="AQ605" t="s">
        <v>2427</v>
      </c>
      <c r="AR605" t="s">
        <v>1167</v>
      </c>
      <c r="AS605" t="s">
        <v>1150</v>
      </c>
      <c r="AT605" t="s">
        <v>2421</v>
      </c>
      <c r="AU605">
        <v>25</v>
      </c>
      <c r="AV605">
        <v>1.2140600000000001</v>
      </c>
      <c r="AW605">
        <v>4.0568522280211308E-2</v>
      </c>
      <c r="AX605">
        <v>3.3415582656714911</v>
      </c>
      <c r="AY605">
        <v>-3.8619019437726307</v>
      </c>
      <c r="AZ605">
        <v>9.3754730821305898</v>
      </c>
      <c r="BA605">
        <v>7.0987562374295639</v>
      </c>
      <c r="BB605" t="s">
        <v>4619</v>
      </c>
      <c r="BD605" s="98"/>
      <c r="BE605" s="98"/>
      <c r="BF605" t="s">
        <v>1152</v>
      </c>
      <c r="BG605" t="s">
        <v>322</v>
      </c>
      <c r="BH605" t="s">
        <v>1153</v>
      </c>
      <c r="BI605">
        <v>3.8619019437726307</v>
      </c>
      <c r="BJ605" t="s">
        <v>983</v>
      </c>
      <c r="BK605">
        <v>18.207336442811854</v>
      </c>
      <c r="BL605">
        <v>66.009724014326437</v>
      </c>
      <c r="BM605" t="s">
        <v>1260</v>
      </c>
      <c r="BN605" t="s">
        <v>1154</v>
      </c>
      <c r="BO605">
        <v>2025</v>
      </c>
      <c r="BP605" t="s">
        <v>966</v>
      </c>
      <c r="BQ605">
        <v>1.0794755755938468E-2</v>
      </c>
      <c r="BR605">
        <v>99.999998920524419</v>
      </c>
      <c r="BS605" t="s">
        <v>984</v>
      </c>
      <c r="BT605">
        <v>3</v>
      </c>
      <c r="BU605">
        <v>1</v>
      </c>
      <c r="BV605" t="s">
        <v>985</v>
      </c>
      <c r="BW605" t="s">
        <v>943</v>
      </c>
      <c r="BX605" t="s">
        <v>986</v>
      </c>
      <c r="BY605">
        <v>7.0987562374295639</v>
      </c>
      <c r="BZ605" t="s">
        <v>1155</v>
      </c>
      <c r="CA605" t="s">
        <v>983</v>
      </c>
      <c r="CB605" t="b">
        <v>1</v>
      </c>
      <c r="CC605" t="b">
        <v>0</v>
      </c>
      <c r="CD605" t="b">
        <v>0</v>
      </c>
      <c r="CE605" t="b">
        <v>0</v>
      </c>
      <c r="CF605" t="b">
        <v>0</v>
      </c>
    </row>
    <row r="606" spans="1:84" x14ac:dyDescent="0.3">
      <c r="A606" t="s">
        <v>2428</v>
      </c>
      <c r="B606" t="s">
        <v>1169</v>
      </c>
      <c r="C606" s="98">
        <v>45691</v>
      </c>
      <c r="D606">
        <v>2025</v>
      </c>
      <c r="E606">
        <v>2</v>
      </c>
      <c r="F606">
        <v>1</v>
      </c>
      <c r="G606" t="s">
        <v>1170</v>
      </c>
      <c r="H606" t="s">
        <v>138</v>
      </c>
      <c r="I606" t="s">
        <v>138</v>
      </c>
      <c r="J606" t="s">
        <v>6</v>
      </c>
      <c r="L606">
        <v>522611</v>
      </c>
      <c r="M606" s="99" t="s">
        <v>178</v>
      </c>
      <c r="N606">
        <v>1</v>
      </c>
      <c r="O606">
        <v>5</v>
      </c>
      <c r="P606">
        <v>1.155</v>
      </c>
      <c r="Q606" t="s">
        <v>352</v>
      </c>
      <c r="R606">
        <v>1</v>
      </c>
      <c r="S606">
        <v>1.2193000000000001</v>
      </c>
      <c r="T606">
        <v>3.7900000000000003E-2</v>
      </c>
      <c r="U606">
        <v>-1.6965699208443277</v>
      </c>
      <c r="V606">
        <v>1.1056000000000001</v>
      </c>
      <c r="W606">
        <v>1.1435</v>
      </c>
      <c r="X606">
        <v>1.1814</v>
      </c>
      <c r="Y606">
        <v>1.2572000000000001</v>
      </c>
      <c r="Z606">
        <v>1.2951000000000001</v>
      </c>
      <c r="AA606">
        <v>1.333</v>
      </c>
      <c r="AD606">
        <v>27.582809524942444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 t="s">
        <v>462</v>
      </c>
      <c r="AL606" t="s">
        <v>6</v>
      </c>
      <c r="AM606" t="s">
        <v>1145</v>
      </c>
      <c r="AN606" t="s">
        <v>1146</v>
      </c>
      <c r="AO606" s="100">
        <v>46262.040405092594</v>
      </c>
      <c r="AP606" t="s">
        <v>1147</v>
      </c>
      <c r="AQ606" t="s">
        <v>2429</v>
      </c>
      <c r="AR606" t="s">
        <v>1172</v>
      </c>
      <c r="AS606" t="s">
        <v>1150</v>
      </c>
      <c r="AT606" t="s">
        <v>2421</v>
      </c>
      <c r="AU606">
        <v>25</v>
      </c>
      <c r="AV606">
        <v>1.2140600000000001</v>
      </c>
      <c r="AW606">
        <v>4.0568522280211308E-2</v>
      </c>
      <c r="AX606">
        <v>3.3415582656714911</v>
      </c>
      <c r="AY606">
        <v>-3.8619019437726307</v>
      </c>
      <c r="AZ606">
        <v>9.3754730821305898</v>
      </c>
      <c r="BA606">
        <v>7.0987562374295639</v>
      </c>
      <c r="BB606" t="s">
        <v>4619</v>
      </c>
      <c r="BD606" s="98"/>
      <c r="BE606" s="98"/>
      <c r="BF606" t="s">
        <v>1152</v>
      </c>
      <c r="BG606" t="s">
        <v>322</v>
      </c>
      <c r="BH606" t="s">
        <v>1153</v>
      </c>
      <c r="BI606">
        <v>3.8619019437726307</v>
      </c>
      <c r="BJ606" t="s">
        <v>983</v>
      </c>
      <c r="BK606">
        <v>18.207336442811854</v>
      </c>
      <c r="BL606">
        <v>66.009724014326437</v>
      </c>
      <c r="BM606" t="s">
        <v>1260</v>
      </c>
      <c r="BN606" t="s">
        <v>1154</v>
      </c>
      <c r="BO606">
        <v>2025</v>
      </c>
      <c r="BP606" t="s">
        <v>966</v>
      </c>
      <c r="BQ606">
        <v>1.0794755755938468E-2</v>
      </c>
      <c r="BR606">
        <v>99.999998920524419</v>
      </c>
      <c r="BS606" t="s">
        <v>984</v>
      </c>
      <c r="BT606">
        <v>3</v>
      </c>
      <c r="BU606">
        <v>1</v>
      </c>
      <c r="BV606" t="s">
        <v>985</v>
      </c>
      <c r="BW606" t="s">
        <v>943</v>
      </c>
      <c r="BX606" t="s">
        <v>986</v>
      </c>
      <c r="BY606">
        <v>7.0987562374295639</v>
      </c>
      <c r="BZ606" t="s">
        <v>1155</v>
      </c>
      <c r="CA606" t="s">
        <v>983</v>
      </c>
      <c r="CB606" t="b">
        <v>1</v>
      </c>
      <c r="CC606" t="b">
        <v>0</v>
      </c>
      <c r="CD606" t="b">
        <v>0</v>
      </c>
      <c r="CE606" t="b">
        <v>0</v>
      </c>
      <c r="CF606" t="b">
        <v>0</v>
      </c>
    </row>
    <row r="607" spans="1:84" x14ac:dyDescent="0.3">
      <c r="A607" t="s">
        <v>2430</v>
      </c>
      <c r="B607" t="s">
        <v>1174</v>
      </c>
      <c r="C607" s="98">
        <v>45698</v>
      </c>
      <c r="D607">
        <v>2025</v>
      </c>
      <c r="E607">
        <v>2</v>
      </c>
      <c r="F607">
        <v>1</v>
      </c>
      <c r="G607" t="s">
        <v>1170</v>
      </c>
      <c r="H607" t="s">
        <v>138</v>
      </c>
      <c r="I607" t="s">
        <v>138</v>
      </c>
      <c r="J607" t="s">
        <v>6</v>
      </c>
      <c r="L607">
        <v>522611</v>
      </c>
      <c r="M607" s="99" t="s">
        <v>178</v>
      </c>
      <c r="N607">
        <v>1</v>
      </c>
      <c r="O607">
        <v>6</v>
      </c>
      <c r="P607">
        <v>1.2055</v>
      </c>
      <c r="Q607" t="s">
        <v>352</v>
      </c>
      <c r="R607">
        <v>1</v>
      </c>
      <c r="S607">
        <v>1.2193000000000001</v>
      </c>
      <c r="T607">
        <v>3.7900000000000003E-2</v>
      </c>
      <c r="U607">
        <v>-0.36411609498680825</v>
      </c>
      <c r="V607">
        <v>1.1056000000000001</v>
      </c>
      <c r="W607">
        <v>1.1435</v>
      </c>
      <c r="X607">
        <v>1.1814</v>
      </c>
      <c r="Y607">
        <v>1.2572000000000001</v>
      </c>
      <c r="Z607">
        <v>1.2951000000000001</v>
      </c>
      <c r="AA607">
        <v>1.333</v>
      </c>
      <c r="AD607">
        <v>27.582809524942444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 t="s">
        <v>462</v>
      </c>
      <c r="AL607" t="s">
        <v>6</v>
      </c>
      <c r="AM607" t="s">
        <v>1145</v>
      </c>
      <c r="AN607" t="s">
        <v>1146</v>
      </c>
      <c r="AO607" s="100">
        <v>46262.040405092594</v>
      </c>
      <c r="AP607" t="s">
        <v>1147</v>
      </c>
      <c r="AQ607" t="s">
        <v>2431</v>
      </c>
      <c r="AR607" t="s">
        <v>1176</v>
      </c>
      <c r="AS607" t="s">
        <v>1150</v>
      </c>
      <c r="AT607" t="s">
        <v>2421</v>
      </c>
      <c r="AU607">
        <v>25</v>
      </c>
      <c r="AV607">
        <v>1.2140600000000001</v>
      </c>
      <c r="AW607">
        <v>4.0568522280211308E-2</v>
      </c>
      <c r="AX607">
        <v>3.3415582656714911</v>
      </c>
      <c r="AY607">
        <v>-3.8619019437726307</v>
      </c>
      <c r="AZ607">
        <v>9.3754730821305898</v>
      </c>
      <c r="BA607">
        <v>7.0987562374295639</v>
      </c>
      <c r="BB607" t="s">
        <v>4619</v>
      </c>
      <c r="BD607" s="98"/>
      <c r="BE607" s="98"/>
      <c r="BF607" t="s">
        <v>1152</v>
      </c>
      <c r="BG607" t="s">
        <v>322</v>
      </c>
      <c r="BH607" t="s">
        <v>1153</v>
      </c>
      <c r="BI607">
        <v>3.8619019437726307</v>
      </c>
      <c r="BJ607" t="s">
        <v>983</v>
      </c>
      <c r="BK607">
        <v>18.207336442811854</v>
      </c>
      <c r="BL607">
        <v>66.009724014326437</v>
      </c>
      <c r="BM607" t="s">
        <v>1260</v>
      </c>
      <c r="BN607" t="s">
        <v>1154</v>
      </c>
      <c r="BO607">
        <v>2025</v>
      </c>
      <c r="BP607" t="s">
        <v>966</v>
      </c>
      <c r="BQ607">
        <v>1.0794755755938468E-2</v>
      </c>
      <c r="BR607">
        <v>99.999998920524419</v>
      </c>
      <c r="BS607" t="s">
        <v>984</v>
      </c>
      <c r="BT607">
        <v>3</v>
      </c>
      <c r="BU607">
        <v>1</v>
      </c>
      <c r="BV607" t="s">
        <v>985</v>
      </c>
      <c r="BW607" t="s">
        <v>943</v>
      </c>
      <c r="BX607" t="s">
        <v>986</v>
      </c>
      <c r="BY607">
        <v>7.0987562374295639</v>
      </c>
      <c r="BZ607" t="s">
        <v>1155</v>
      </c>
      <c r="CA607" t="s">
        <v>983</v>
      </c>
      <c r="CB607" t="b">
        <v>1</v>
      </c>
      <c r="CC607" t="b">
        <v>0</v>
      </c>
      <c r="CD607" t="b">
        <v>0</v>
      </c>
      <c r="CE607" t="b">
        <v>0</v>
      </c>
      <c r="CF607" t="b">
        <v>0</v>
      </c>
    </row>
    <row r="608" spans="1:84" x14ac:dyDescent="0.3">
      <c r="A608" t="s">
        <v>2432</v>
      </c>
      <c r="B608" t="s">
        <v>1178</v>
      </c>
      <c r="C608" s="98">
        <v>45705</v>
      </c>
      <c r="D608">
        <v>2025</v>
      </c>
      <c r="E608">
        <v>2</v>
      </c>
      <c r="F608">
        <v>1</v>
      </c>
      <c r="G608" t="s">
        <v>1170</v>
      </c>
      <c r="H608" t="s">
        <v>138</v>
      </c>
      <c r="I608" t="s">
        <v>138</v>
      </c>
      <c r="J608" t="s">
        <v>6</v>
      </c>
      <c r="L608">
        <v>522611</v>
      </c>
      <c r="M608" s="99" t="s">
        <v>178</v>
      </c>
      <c r="N608">
        <v>1</v>
      </c>
      <c r="O608">
        <v>7</v>
      </c>
      <c r="P608">
        <v>1.1966000000000001</v>
      </c>
      <c r="Q608" t="s">
        <v>352</v>
      </c>
      <c r="R608">
        <v>1</v>
      </c>
      <c r="S608">
        <v>1.2193000000000001</v>
      </c>
      <c r="T608">
        <v>3.7900000000000003E-2</v>
      </c>
      <c r="U608">
        <v>-0.5989445910290222</v>
      </c>
      <c r="V608">
        <v>1.1056000000000001</v>
      </c>
      <c r="W608">
        <v>1.1435</v>
      </c>
      <c r="X608">
        <v>1.1814</v>
      </c>
      <c r="Y608">
        <v>1.2572000000000001</v>
      </c>
      <c r="Z608">
        <v>1.2951000000000001</v>
      </c>
      <c r="AA608">
        <v>1.333</v>
      </c>
      <c r="AD608">
        <v>27.582809524942444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 t="s">
        <v>462</v>
      </c>
      <c r="AL608" t="s">
        <v>6</v>
      </c>
      <c r="AM608" t="s">
        <v>1145</v>
      </c>
      <c r="AN608" t="s">
        <v>1146</v>
      </c>
      <c r="AO608" s="100">
        <v>46262.040405092594</v>
      </c>
      <c r="AP608" t="s">
        <v>1147</v>
      </c>
      <c r="AQ608" t="s">
        <v>2433</v>
      </c>
      <c r="AR608" t="s">
        <v>1180</v>
      </c>
      <c r="AS608" t="s">
        <v>1150</v>
      </c>
      <c r="AT608" t="s">
        <v>2421</v>
      </c>
      <c r="AU608">
        <v>25</v>
      </c>
      <c r="AV608">
        <v>1.2140600000000001</v>
      </c>
      <c r="AW608">
        <v>4.0568522280211308E-2</v>
      </c>
      <c r="AX608">
        <v>3.3415582656714911</v>
      </c>
      <c r="AY608">
        <v>-3.8619019437726307</v>
      </c>
      <c r="AZ608">
        <v>9.3754730821305898</v>
      </c>
      <c r="BA608">
        <v>7.0987562374295639</v>
      </c>
      <c r="BB608" t="s">
        <v>4619</v>
      </c>
      <c r="BD608" s="98"/>
      <c r="BE608" s="98"/>
      <c r="BF608" t="s">
        <v>1152</v>
      </c>
      <c r="BG608" t="s">
        <v>322</v>
      </c>
      <c r="BH608" t="s">
        <v>1153</v>
      </c>
      <c r="BI608">
        <v>3.8619019437726307</v>
      </c>
      <c r="BJ608" t="s">
        <v>983</v>
      </c>
      <c r="BK608">
        <v>18.207336442811854</v>
      </c>
      <c r="BL608">
        <v>66.009724014326437</v>
      </c>
      <c r="BM608" t="s">
        <v>1260</v>
      </c>
      <c r="BN608" t="s">
        <v>1154</v>
      </c>
      <c r="BO608">
        <v>2025</v>
      </c>
      <c r="BP608" t="s">
        <v>966</v>
      </c>
      <c r="BQ608">
        <v>1.0794755755938468E-2</v>
      </c>
      <c r="BR608">
        <v>99.999998920524419</v>
      </c>
      <c r="BS608" t="s">
        <v>984</v>
      </c>
      <c r="BT608">
        <v>3</v>
      </c>
      <c r="BU608">
        <v>1</v>
      </c>
      <c r="BV608" t="s">
        <v>985</v>
      </c>
      <c r="BW608" t="s">
        <v>943</v>
      </c>
      <c r="BX608" t="s">
        <v>986</v>
      </c>
      <c r="BY608">
        <v>7.0987562374295639</v>
      </c>
      <c r="BZ608" t="s">
        <v>1155</v>
      </c>
      <c r="CA608" t="s">
        <v>983</v>
      </c>
      <c r="CB608" t="b">
        <v>1</v>
      </c>
      <c r="CC608" t="b">
        <v>0</v>
      </c>
      <c r="CD608" t="b">
        <v>0</v>
      </c>
      <c r="CE608" t="b">
        <v>0</v>
      </c>
      <c r="CF608" t="b">
        <v>0</v>
      </c>
    </row>
    <row r="609" spans="1:84" x14ac:dyDescent="0.3">
      <c r="A609" t="s">
        <v>2434</v>
      </c>
      <c r="B609" t="s">
        <v>1182</v>
      </c>
      <c r="C609" s="98">
        <v>45712</v>
      </c>
      <c r="D609">
        <v>2025</v>
      </c>
      <c r="E609">
        <v>2</v>
      </c>
      <c r="F609">
        <v>1</v>
      </c>
      <c r="G609" t="s">
        <v>1170</v>
      </c>
      <c r="H609" t="s">
        <v>138</v>
      </c>
      <c r="I609" t="s">
        <v>138</v>
      </c>
      <c r="J609" t="s">
        <v>6</v>
      </c>
      <c r="L609">
        <v>522611</v>
      </c>
      <c r="M609" s="99" t="s">
        <v>178</v>
      </c>
      <c r="N609">
        <v>1</v>
      </c>
      <c r="O609">
        <v>8</v>
      </c>
      <c r="P609">
        <v>1.1866000000000001</v>
      </c>
      <c r="Q609" t="s">
        <v>352</v>
      </c>
      <c r="R609">
        <v>1</v>
      </c>
      <c r="S609">
        <v>1.2193000000000001</v>
      </c>
      <c r="T609">
        <v>3.7900000000000003E-2</v>
      </c>
      <c r="U609">
        <v>-0.86279683377308569</v>
      </c>
      <c r="V609">
        <v>1.1056000000000001</v>
      </c>
      <c r="W609">
        <v>1.1435</v>
      </c>
      <c r="X609">
        <v>1.1814</v>
      </c>
      <c r="Y609">
        <v>1.2572000000000001</v>
      </c>
      <c r="Z609">
        <v>1.2951000000000001</v>
      </c>
      <c r="AA609">
        <v>1.333</v>
      </c>
      <c r="AD609">
        <v>27.582809524942444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 t="s">
        <v>462</v>
      </c>
      <c r="AL609" t="s">
        <v>6</v>
      </c>
      <c r="AM609" t="s">
        <v>1145</v>
      </c>
      <c r="AN609" t="s">
        <v>1146</v>
      </c>
      <c r="AO609" s="100">
        <v>46262.040405092594</v>
      </c>
      <c r="AP609" t="s">
        <v>1147</v>
      </c>
      <c r="AQ609" t="s">
        <v>2435</v>
      </c>
      <c r="AR609" t="s">
        <v>1184</v>
      </c>
      <c r="AS609" t="s">
        <v>1150</v>
      </c>
      <c r="AT609" t="s">
        <v>2421</v>
      </c>
      <c r="AU609">
        <v>25</v>
      </c>
      <c r="AV609">
        <v>1.2140600000000001</v>
      </c>
      <c r="AW609">
        <v>4.0568522280211308E-2</v>
      </c>
      <c r="AX609">
        <v>3.3415582656714911</v>
      </c>
      <c r="AY609">
        <v>-3.8619019437726307</v>
      </c>
      <c r="AZ609">
        <v>9.3754730821305898</v>
      </c>
      <c r="BA609">
        <v>7.0987562374295639</v>
      </c>
      <c r="BB609" t="s">
        <v>4619</v>
      </c>
      <c r="BD609" s="98"/>
      <c r="BE609" s="98"/>
      <c r="BF609" t="s">
        <v>1152</v>
      </c>
      <c r="BG609" t="s">
        <v>322</v>
      </c>
      <c r="BH609" t="s">
        <v>1153</v>
      </c>
      <c r="BI609">
        <v>3.8619019437726307</v>
      </c>
      <c r="BJ609" t="s">
        <v>983</v>
      </c>
      <c r="BK609">
        <v>18.207336442811854</v>
      </c>
      <c r="BL609">
        <v>66.009724014326437</v>
      </c>
      <c r="BM609" t="s">
        <v>1260</v>
      </c>
      <c r="BN609" t="s">
        <v>1154</v>
      </c>
      <c r="BO609">
        <v>2025</v>
      </c>
      <c r="BP609" t="s">
        <v>966</v>
      </c>
      <c r="BQ609">
        <v>1.0794755755938468E-2</v>
      </c>
      <c r="BR609">
        <v>99.999998920524419</v>
      </c>
      <c r="BS609" t="s">
        <v>984</v>
      </c>
      <c r="BT609">
        <v>3</v>
      </c>
      <c r="BU609">
        <v>1</v>
      </c>
      <c r="BV609" t="s">
        <v>985</v>
      </c>
      <c r="BW609" t="s">
        <v>943</v>
      </c>
      <c r="BX609" t="s">
        <v>986</v>
      </c>
      <c r="BY609">
        <v>7.0987562374295639</v>
      </c>
      <c r="BZ609" t="s">
        <v>1155</v>
      </c>
      <c r="CA609" t="s">
        <v>983</v>
      </c>
      <c r="CB609" t="b">
        <v>1</v>
      </c>
      <c r="CC609" t="b">
        <v>0</v>
      </c>
      <c r="CD609" t="b">
        <v>0</v>
      </c>
      <c r="CE609" t="b">
        <v>0</v>
      </c>
      <c r="CF609" t="b">
        <v>0</v>
      </c>
    </row>
    <row r="610" spans="1:84" x14ac:dyDescent="0.3">
      <c r="A610" t="s">
        <v>2436</v>
      </c>
      <c r="B610" t="s">
        <v>1186</v>
      </c>
      <c r="C610" s="98">
        <v>45719</v>
      </c>
      <c r="D610">
        <v>2025</v>
      </c>
      <c r="E610">
        <v>3</v>
      </c>
      <c r="F610">
        <v>1</v>
      </c>
      <c r="G610" t="s">
        <v>1187</v>
      </c>
      <c r="H610" t="s">
        <v>138</v>
      </c>
      <c r="I610" t="s">
        <v>138</v>
      </c>
      <c r="J610" t="s">
        <v>6</v>
      </c>
      <c r="L610">
        <v>522611</v>
      </c>
      <c r="M610" s="99" t="s">
        <v>178</v>
      </c>
      <c r="N610">
        <v>1</v>
      </c>
      <c r="O610">
        <v>9</v>
      </c>
      <c r="P610">
        <v>1.1338999999999999</v>
      </c>
      <c r="Q610" t="s">
        <v>352</v>
      </c>
      <c r="R610">
        <v>1</v>
      </c>
      <c r="S610">
        <v>1.2193000000000001</v>
      </c>
      <c r="T610">
        <v>3.7900000000000003E-2</v>
      </c>
      <c r="U610">
        <v>-2.2532981530343044</v>
      </c>
      <c r="V610">
        <v>1.1056000000000001</v>
      </c>
      <c r="W610">
        <v>1.1435</v>
      </c>
      <c r="X610">
        <v>1.1814</v>
      </c>
      <c r="Y610">
        <v>1.2572000000000001</v>
      </c>
      <c r="Z610">
        <v>1.2951000000000001</v>
      </c>
      <c r="AA610">
        <v>1.333</v>
      </c>
      <c r="AD610">
        <v>27.582809524942444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1</v>
      </c>
      <c r="AK610" t="s">
        <v>462</v>
      </c>
      <c r="AL610" t="s">
        <v>6</v>
      </c>
      <c r="AM610" t="s">
        <v>1145</v>
      </c>
      <c r="AN610" t="s">
        <v>1146</v>
      </c>
      <c r="AO610" s="100">
        <v>46262.040405092594</v>
      </c>
      <c r="AP610" t="s">
        <v>1147</v>
      </c>
      <c r="AQ610" t="s">
        <v>2437</v>
      </c>
      <c r="AR610" t="s">
        <v>1189</v>
      </c>
      <c r="AS610" t="s">
        <v>1150</v>
      </c>
      <c r="AT610" t="s">
        <v>2421</v>
      </c>
      <c r="AU610">
        <v>25</v>
      </c>
      <c r="AV610">
        <v>1.2140600000000001</v>
      </c>
      <c r="AW610">
        <v>4.0568522280211308E-2</v>
      </c>
      <c r="AX610">
        <v>3.3415582656714911</v>
      </c>
      <c r="AY610">
        <v>-3.8619019437726307</v>
      </c>
      <c r="AZ610">
        <v>9.3754730821305898</v>
      </c>
      <c r="BA610">
        <v>7.0987562374295639</v>
      </c>
      <c r="BB610" t="s">
        <v>4619</v>
      </c>
      <c r="BD610" s="98"/>
      <c r="BE610" s="98"/>
      <c r="BF610" t="s">
        <v>1152</v>
      </c>
      <c r="BG610" t="s">
        <v>322</v>
      </c>
      <c r="BH610" t="s">
        <v>1153</v>
      </c>
      <c r="BI610">
        <v>3.8619019437726307</v>
      </c>
      <c r="BJ610" t="s">
        <v>983</v>
      </c>
      <c r="BK610">
        <v>18.207336442811854</v>
      </c>
      <c r="BL610">
        <v>66.009724014326437</v>
      </c>
      <c r="BM610" t="s">
        <v>1260</v>
      </c>
      <c r="BN610" t="s">
        <v>1154</v>
      </c>
      <c r="BO610">
        <v>2025</v>
      </c>
      <c r="BP610" t="s">
        <v>966</v>
      </c>
      <c r="BQ610">
        <v>1.0794755755938468E-2</v>
      </c>
      <c r="BR610">
        <v>99.999998920524419</v>
      </c>
      <c r="BS610" t="s">
        <v>984</v>
      </c>
      <c r="BT610">
        <v>3</v>
      </c>
      <c r="BU610">
        <v>1</v>
      </c>
      <c r="BV610" t="s">
        <v>985</v>
      </c>
      <c r="BW610" t="s">
        <v>943</v>
      </c>
      <c r="BX610" t="s">
        <v>986</v>
      </c>
      <c r="BY610">
        <v>7.0987562374295639</v>
      </c>
      <c r="BZ610" t="s">
        <v>1155</v>
      </c>
      <c r="CA610" t="s">
        <v>983</v>
      </c>
      <c r="CB610" t="b">
        <v>1</v>
      </c>
      <c r="CC610" t="b">
        <v>0</v>
      </c>
      <c r="CD610" t="b">
        <v>0</v>
      </c>
      <c r="CE610" t="b">
        <v>0</v>
      </c>
      <c r="CF610" t="b">
        <v>0</v>
      </c>
    </row>
    <row r="611" spans="1:84" x14ac:dyDescent="0.3">
      <c r="A611" t="s">
        <v>2438</v>
      </c>
      <c r="B611" t="s">
        <v>1191</v>
      </c>
      <c r="C611" s="98">
        <v>45726</v>
      </c>
      <c r="D611">
        <v>2025</v>
      </c>
      <c r="E611">
        <v>3</v>
      </c>
      <c r="F611">
        <v>1</v>
      </c>
      <c r="G611" t="s">
        <v>1187</v>
      </c>
      <c r="H611" t="s">
        <v>138</v>
      </c>
      <c r="I611" t="s">
        <v>138</v>
      </c>
      <c r="J611" t="s">
        <v>6</v>
      </c>
      <c r="L611">
        <v>522611</v>
      </c>
      <c r="M611" s="99" t="s">
        <v>178</v>
      </c>
      <c r="N611">
        <v>1</v>
      </c>
      <c r="O611">
        <v>10</v>
      </c>
      <c r="P611">
        <v>1.2065999999999999</v>
      </c>
      <c r="Q611" t="s">
        <v>352</v>
      </c>
      <c r="R611">
        <v>1</v>
      </c>
      <c r="S611">
        <v>1.2193000000000001</v>
      </c>
      <c r="T611">
        <v>3.7900000000000003E-2</v>
      </c>
      <c r="U611">
        <v>-0.33509234828496448</v>
      </c>
      <c r="V611">
        <v>1.1056000000000001</v>
      </c>
      <c r="W611">
        <v>1.1435</v>
      </c>
      <c r="X611">
        <v>1.1814</v>
      </c>
      <c r="Y611">
        <v>1.2572000000000001</v>
      </c>
      <c r="Z611">
        <v>1.2951000000000001</v>
      </c>
      <c r="AA611">
        <v>1.333</v>
      </c>
      <c r="AD611">
        <v>27.582809524942444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 t="s">
        <v>462</v>
      </c>
      <c r="AL611" t="s">
        <v>6</v>
      </c>
      <c r="AM611" t="s">
        <v>1145</v>
      </c>
      <c r="AN611" t="s">
        <v>1146</v>
      </c>
      <c r="AO611" s="100">
        <v>46262.040405092594</v>
      </c>
      <c r="AP611" t="s">
        <v>1147</v>
      </c>
      <c r="AQ611" t="s">
        <v>2439</v>
      </c>
      <c r="AR611" t="s">
        <v>1193</v>
      </c>
      <c r="AS611" t="s">
        <v>1150</v>
      </c>
      <c r="AT611" t="s">
        <v>2421</v>
      </c>
      <c r="AU611">
        <v>25</v>
      </c>
      <c r="AV611">
        <v>1.2140600000000001</v>
      </c>
      <c r="AW611">
        <v>4.0568522280211308E-2</v>
      </c>
      <c r="AX611">
        <v>3.3415582656714911</v>
      </c>
      <c r="AY611">
        <v>-3.8619019437726307</v>
      </c>
      <c r="AZ611">
        <v>9.3754730821305898</v>
      </c>
      <c r="BA611">
        <v>7.0987562374295639</v>
      </c>
      <c r="BB611" t="s">
        <v>4619</v>
      </c>
      <c r="BD611" s="98"/>
      <c r="BE611" s="98"/>
      <c r="BF611" t="s">
        <v>1152</v>
      </c>
      <c r="BG611" t="s">
        <v>322</v>
      </c>
      <c r="BH611" t="s">
        <v>1153</v>
      </c>
      <c r="BI611">
        <v>3.8619019437726307</v>
      </c>
      <c r="BJ611" t="s">
        <v>983</v>
      </c>
      <c r="BK611">
        <v>18.207336442811854</v>
      </c>
      <c r="BL611">
        <v>66.009724014326437</v>
      </c>
      <c r="BM611" t="s">
        <v>1260</v>
      </c>
      <c r="BN611" t="s">
        <v>1154</v>
      </c>
      <c r="BO611">
        <v>2025</v>
      </c>
      <c r="BP611" t="s">
        <v>966</v>
      </c>
      <c r="BQ611">
        <v>1.0794755755938468E-2</v>
      </c>
      <c r="BR611">
        <v>99.999998920524419</v>
      </c>
      <c r="BS611" t="s">
        <v>984</v>
      </c>
      <c r="BT611">
        <v>3</v>
      </c>
      <c r="BU611">
        <v>1</v>
      </c>
      <c r="BV611" t="s">
        <v>985</v>
      </c>
      <c r="BW611" t="s">
        <v>943</v>
      </c>
      <c r="BX611" t="s">
        <v>986</v>
      </c>
      <c r="BY611">
        <v>7.0987562374295639</v>
      </c>
      <c r="BZ611" t="s">
        <v>1155</v>
      </c>
      <c r="CA611" t="s">
        <v>983</v>
      </c>
      <c r="CB611" t="b">
        <v>1</v>
      </c>
      <c r="CC611" t="b">
        <v>0</v>
      </c>
      <c r="CD611" t="b">
        <v>0</v>
      </c>
      <c r="CE611" t="b">
        <v>0</v>
      </c>
      <c r="CF611" t="b">
        <v>0</v>
      </c>
    </row>
    <row r="612" spans="1:84" x14ac:dyDescent="0.3">
      <c r="A612" t="s">
        <v>2440</v>
      </c>
      <c r="B612" t="s">
        <v>1195</v>
      </c>
      <c r="C612" s="98">
        <v>45733</v>
      </c>
      <c r="D612">
        <v>2025</v>
      </c>
      <c r="E612">
        <v>3</v>
      </c>
      <c r="F612">
        <v>1</v>
      </c>
      <c r="G612" t="s">
        <v>1187</v>
      </c>
      <c r="H612" t="s">
        <v>138</v>
      </c>
      <c r="I612" t="s">
        <v>138</v>
      </c>
      <c r="J612" t="s">
        <v>6</v>
      </c>
      <c r="L612">
        <v>522611</v>
      </c>
      <c r="M612" s="99" t="s">
        <v>178</v>
      </c>
      <c r="N612">
        <v>1</v>
      </c>
      <c r="O612">
        <v>11</v>
      </c>
      <c r="P612">
        <v>1.2533000000000001</v>
      </c>
      <c r="Q612" t="s">
        <v>352</v>
      </c>
      <c r="R612">
        <v>1</v>
      </c>
      <c r="S612">
        <v>1.2193000000000001</v>
      </c>
      <c r="T612">
        <v>3.7900000000000003E-2</v>
      </c>
      <c r="U612">
        <v>0.89709762532981607</v>
      </c>
      <c r="V612">
        <v>1.1056000000000001</v>
      </c>
      <c r="W612">
        <v>1.1435</v>
      </c>
      <c r="X612">
        <v>1.1814</v>
      </c>
      <c r="Y612">
        <v>1.2572000000000001</v>
      </c>
      <c r="Z612">
        <v>1.2951000000000001</v>
      </c>
      <c r="AA612">
        <v>1.333</v>
      </c>
      <c r="AD612">
        <v>27.582809524942444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 t="s">
        <v>462</v>
      </c>
      <c r="AL612" t="s">
        <v>6</v>
      </c>
      <c r="AM612" t="s">
        <v>1145</v>
      </c>
      <c r="AN612" t="s">
        <v>1146</v>
      </c>
      <c r="AO612" s="100">
        <v>46262.040405092594</v>
      </c>
      <c r="AP612" t="s">
        <v>1147</v>
      </c>
      <c r="AQ612" t="s">
        <v>2441</v>
      </c>
      <c r="AR612" t="s">
        <v>1197</v>
      </c>
      <c r="AS612" t="s">
        <v>1150</v>
      </c>
      <c r="AT612" t="s">
        <v>2421</v>
      </c>
      <c r="AU612">
        <v>25</v>
      </c>
      <c r="AV612">
        <v>1.2140600000000001</v>
      </c>
      <c r="AW612">
        <v>4.0568522280211308E-2</v>
      </c>
      <c r="AX612">
        <v>3.3415582656714911</v>
      </c>
      <c r="AY612">
        <v>-3.8619019437726307</v>
      </c>
      <c r="AZ612">
        <v>9.3754730821305898</v>
      </c>
      <c r="BA612">
        <v>7.0987562374295639</v>
      </c>
      <c r="BB612" t="s">
        <v>4619</v>
      </c>
      <c r="BD612" s="98"/>
      <c r="BE612" s="98"/>
      <c r="BF612" t="s">
        <v>1152</v>
      </c>
      <c r="BG612" t="s">
        <v>322</v>
      </c>
      <c r="BH612" t="s">
        <v>1153</v>
      </c>
      <c r="BI612">
        <v>3.8619019437726307</v>
      </c>
      <c r="BJ612" t="s">
        <v>983</v>
      </c>
      <c r="BK612">
        <v>18.207336442811854</v>
      </c>
      <c r="BL612">
        <v>66.009724014326437</v>
      </c>
      <c r="BM612" t="s">
        <v>1260</v>
      </c>
      <c r="BN612" t="s">
        <v>1154</v>
      </c>
      <c r="BO612">
        <v>2025</v>
      </c>
      <c r="BP612" t="s">
        <v>966</v>
      </c>
      <c r="BQ612">
        <v>1.0794755755938468E-2</v>
      </c>
      <c r="BR612">
        <v>99.999998920524419</v>
      </c>
      <c r="BS612" t="s">
        <v>984</v>
      </c>
      <c r="BT612">
        <v>3</v>
      </c>
      <c r="BU612">
        <v>1</v>
      </c>
      <c r="BV612" t="s">
        <v>985</v>
      </c>
      <c r="BW612" t="s">
        <v>943</v>
      </c>
      <c r="BX612" t="s">
        <v>986</v>
      </c>
      <c r="BY612">
        <v>7.0987562374295639</v>
      </c>
      <c r="BZ612" t="s">
        <v>1155</v>
      </c>
      <c r="CA612" t="s">
        <v>983</v>
      </c>
      <c r="CB612" t="b">
        <v>1</v>
      </c>
      <c r="CC612" t="b">
        <v>0</v>
      </c>
      <c r="CD612" t="b">
        <v>0</v>
      </c>
      <c r="CE612" t="b">
        <v>0</v>
      </c>
      <c r="CF612" t="b">
        <v>0</v>
      </c>
    </row>
    <row r="613" spans="1:84" x14ac:dyDescent="0.3">
      <c r="A613" t="s">
        <v>2442</v>
      </c>
      <c r="B613" t="s">
        <v>1199</v>
      </c>
      <c r="C613" s="98">
        <v>45740</v>
      </c>
      <c r="D613">
        <v>2025</v>
      </c>
      <c r="E613">
        <v>3</v>
      </c>
      <c r="F613">
        <v>1</v>
      </c>
      <c r="G613" t="s">
        <v>1187</v>
      </c>
      <c r="H613" t="s">
        <v>138</v>
      </c>
      <c r="I613" t="s">
        <v>138</v>
      </c>
      <c r="J613" t="s">
        <v>6</v>
      </c>
      <c r="L613">
        <v>522611</v>
      </c>
      <c r="M613" s="99" t="s">
        <v>178</v>
      </c>
      <c r="N613">
        <v>1</v>
      </c>
      <c r="O613">
        <v>12</v>
      </c>
      <c r="P613">
        <v>1.2337</v>
      </c>
      <c r="Q613" t="s">
        <v>352</v>
      </c>
      <c r="R613">
        <v>1</v>
      </c>
      <c r="S613">
        <v>1.2193000000000001</v>
      </c>
      <c r="T613">
        <v>3.7900000000000003E-2</v>
      </c>
      <c r="U613">
        <v>0.37994722955145033</v>
      </c>
      <c r="V613">
        <v>1.1056000000000001</v>
      </c>
      <c r="W613">
        <v>1.1435</v>
      </c>
      <c r="X613">
        <v>1.1814</v>
      </c>
      <c r="Y613">
        <v>1.2572000000000001</v>
      </c>
      <c r="Z613">
        <v>1.2951000000000001</v>
      </c>
      <c r="AA613">
        <v>1.333</v>
      </c>
      <c r="AD613">
        <v>27.582809524942444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 t="s">
        <v>462</v>
      </c>
      <c r="AL613" t="s">
        <v>6</v>
      </c>
      <c r="AM613" t="s">
        <v>1145</v>
      </c>
      <c r="AN613" t="s">
        <v>1146</v>
      </c>
      <c r="AO613" s="100">
        <v>46262.040405092594</v>
      </c>
      <c r="AP613" t="s">
        <v>1147</v>
      </c>
      <c r="AQ613" t="s">
        <v>2443</v>
      </c>
      <c r="AR613" t="s">
        <v>1201</v>
      </c>
      <c r="AS613" t="s">
        <v>1150</v>
      </c>
      <c r="AT613" t="s">
        <v>2421</v>
      </c>
      <c r="AU613">
        <v>25</v>
      </c>
      <c r="AV613">
        <v>1.2140600000000001</v>
      </c>
      <c r="AW613">
        <v>4.0568522280211308E-2</v>
      </c>
      <c r="AX613">
        <v>3.3415582656714911</v>
      </c>
      <c r="AY613">
        <v>-3.8619019437726307</v>
      </c>
      <c r="AZ613">
        <v>9.3754730821305898</v>
      </c>
      <c r="BA613">
        <v>7.0987562374295639</v>
      </c>
      <c r="BB613" t="s">
        <v>4619</v>
      </c>
      <c r="BD613" s="98"/>
      <c r="BE613" s="98"/>
      <c r="BF613" t="s">
        <v>1152</v>
      </c>
      <c r="BG613" t="s">
        <v>322</v>
      </c>
      <c r="BH613" t="s">
        <v>1153</v>
      </c>
      <c r="BI613">
        <v>3.8619019437726307</v>
      </c>
      <c r="BJ613" t="s">
        <v>983</v>
      </c>
      <c r="BK613">
        <v>18.207336442811854</v>
      </c>
      <c r="BL613">
        <v>66.009724014326437</v>
      </c>
      <c r="BM613" t="s">
        <v>1260</v>
      </c>
      <c r="BN613" t="s">
        <v>1154</v>
      </c>
      <c r="BO613">
        <v>2025</v>
      </c>
      <c r="BP613" t="s">
        <v>966</v>
      </c>
      <c r="BQ613">
        <v>1.0794755755938468E-2</v>
      </c>
      <c r="BR613">
        <v>99.999998920524419</v>
      </c>
      <c r="BS613" t="s">
        <v>984</v>
      </c>
      <c r="BT613">
        <v>3</v>
      </c>
      <c r="BU613">
        <v>1</v>
      </c>
      <c r="BV613" t="s">
        <v>985</v>
      </c>
      <c r="BW613" t="s">
        <v>943</v>
      </c>
      <c r="BX613" t="s">
        <v>986</v>
      </c>
      <c r="BY613">
        <v>7.0987562374295639</v>
      </c>
      <c r="BZ613" t="s">
        <v>1155</v>
      </c>
      <c r="CA613" t="s">
        <v>983</v>
      </c>
      <c r="CB613" t="b">
        <v>1</v>
      </c>
      <c r="CC613" t="b">
        <v>0</v>
      </c>
      <c r="CD613" t="b">
        <v>0</v>
      </c>
      <c r="CE613" t="b">
        <v>0</v>
      </c>
      <c r="CF613" t="b">
        <v>0</v>
      </c>
    </row>
    <row r="614" spans="1:84" x14ac:dyDescent="0.3">
      <c r="A614" t="s">
        <v>2444</v>
      </c>
      <c r="B614" t="s">
        <v>1203</v>
      </c>
      <c r="C614" s="98">
        <v>45747</v>
      </c>
      <c r="D614">
        <v>2025</v>
      </c>
      <c r="E614">
        <v>3</v>
      </c>
      <c r="F614">
        <v>1</v>
      </c>
      <c r="G614" t="s">
        <v>1187</v>
      </c>
      <c r="H614" t="s">
        <v>138</v>
      </c>
      <c r="I614" t="s">
        <v>138</v>
      </c>
      <c r="J614" t="s">
        <v>6</v>
      </c>
      <c r="L614">
        <v>522611</v>
      </c>
      <c r="M614" s="99" t="s">
        <v>178</v>
      </c>
      <c r="N614">
        <v>1</v>
      </c>
      <c r="O614">
        <v>13</v>
      </c>
      <c r="P614">
        <v>1.1964999999999999</v>
      </c>
      <c r="Q614" t="s">
        <v>352</v>
      </c>
      <c r="R614">
        <v>1</v>
      </c>
      <c r="S614">
        <v>1.2193000000000001</v>
      </c>
      <c r="T614">
        <v>3.7900000000000003E-2</v>
      </c>
      <c r="U614">
        <v>-0.60158311345646842</v>
      </c>
      <c r="V614">
        <v>1.1056000000000001</v>
      </c>
      <c r="W614">
        <v>1.1435</v>
      </c>
      <c r="X614">
        <v>1.1814</v>
      </c>
      <c r="Y614">
        <v>1.2572000000000001</v>
      </c>
      <c r="Z614">
        <v>1.2951000000000001</v>
      </c>
      <c r="AA614">
        <v>1.333</v>
      </c>
      <c r="AD614">
        <v>27.582809524942444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 t="s">
        <v>462</v>
      </c>
      <c r="AL614" t="s">
        <v>6</v>
      </c>
      <c r="AM614" t="s">
        <v>1145</v>
      </c>
      <c r="AN614" t="s">
        <v>1146</v>
      </c>
      <c r="AO614" s="100">
        <v>46262.040405092594</v>
      </c>
      <c r="AP614" t="s">
        <v>1147</v>
      </c>
      <c r="AQ614" t="s">
        <v>2445</v>
      </c>
      <c r="AR614" t="s">
        <v>1205</v>
      </c>
      <c r="AS614" t="s">
        <v>1150</v>
      </c>
      <c r="AT614" t="s">
        <v>2421</v>
      </c>
      <c r="AU614">
        <v>25</v>
      </c>
      <c r="AV614">
        <v>1.2140600000000001</v>
      </c>
      <c r="AW614">
        <v>4.0568522280211308E-2</v>
      </c>
      <c r="AX614">
        <v>3.3415582656714911</v>
      </c>
      <c r="AY614">
        <v>-3.8619019437726307</v>
      </c>
      <c r="AZ614">
        <v>9.3754730821305898</v>
      </c>
      <c r="BA614">
        <v>7.0987562374295639</v>
      </c>
      <c r="BB614" t="s">
        <v>4619</v>
      </c>
      <c r="BD614" s="98"/>
      <c r="BE614" s="98"/>
      <c r="BF614" t="s">
        <v>1152</v>
      </c>
      <c r="BG614" t="s">
        <v>322</v>
      </c>
      <c r="BH614" t="s">
        <v>1153</v>
      </c>
      <c r="BI614">
        <v>3.8619019437726307</v>
      </c>
      <c r="BJ614" t="s">
        <v>983</v>
      </c>
      <c r="BK614">
        <v>18.207336442811854</v>
      </c>
      <c r="BL614">
        <v>66.009724014326437</v>
      </c>
      <c r="BM614" t="s">
        <v>1260</v>
      </c>
      <c r="BN614" t="s">
        <v>1154</v>
      </c>
      <c r="BO614">
        <v>2025</v>
      </c>
      <c r="BP614" t="s">
        <v>966</v>
      </c>
      <c r="BQ614">
        <v>1.0794755755938468E-2</v>
      </c>
      <c r="BR614">
        <v>99.999998920524419</v>
      </c>
      <c r="BS614" t="s">
        <v>984</v>
      </c>
      <c r="BT614">
        <v>3</v>
      </c>
      <c r="BU614">
        <v>1</v>
      </c>
      <c r="BV614" t="s">
        <v>985</v>
      </c>
      <c r="BW614" t="s">
        <v>943</v>
      </c>
      <c r="BX614" t="s">
        <v>986</v>
      </c>
      <c r="BY614">
        <v>7.0987562374295639</v>
      </c>
      <c r="BZ614" t="s">
        <v>1155</v>
      </c>
      <c r="CA614" t="s">
        <v>983</v>
      </c>
      <c r="CB614" t="b">
        <v>1</v>
      </c>
      <c r="CC614" t="b">
        <v>0</v>
      </c>
      <c r="CD614" t="b">
        <v>0</v>
      </c>
      <c r="CE614" t="b">
        <v>0</v>
      </c>
      <c r="CF614" t="b">
        <v>0</v>
      </c>
    </row>
    <row r="615" spans="1:84" x14ac:dyDescent="0.3">
      <c r="A615" t="s">
        <v>2446</v>
      </c>
      <c r="B615" t="s">
        <v>1207</v>
      </c>
      <c r="C615" s="98">
        <v>45754</v>
      </c>
      <c r="D615">
        <v>2025</v>
      </c>
      <c r="E615">
        <v>4</v>
      </c>
      <c r="F615">
        <v>2</v>
      </c>
      <c r="G615" t="s">
        <v>1208</v>
      </c>
      <c r="H615" t="s">
        <v>138</v>
      </c>
      <c r="I615" t="s">
        <v>138</v>
      </c>
      <c r="J615" t="s">
        <v>6</v>
      </c>
      <c r="L615">
        <v>522611</v>
      </c>
      <c r="M615" s="99" t="s">
        <v>178</v>
      </c>
      <c r="N615">
        <v>1</v>
      </c>
      <c r="O615">
        <v>14</v>
      </c>
      <c r="P615">
        <v>1.2186999999999999</v>
      </c>
      <c r="Q615" t="s">
        <v>352</v>
      </c>
      <c r="R615">
        <v>1</v>
      </c>
      <c r="S615">
        <v>1.2193000000000001</v>
      </c>
      <c r="T615">
        <v>3.7900000000000003E-2</v>
      </c>
      <c r="U615">
        <v>-1.5831134564647912E-2</v>
      </c>
      <c r="V615">
        <v>1.1056000000000001</v>
      </c>
      <c r="W615">
        <v>1.1435</v>
      </c>
      <c r="X615">
        <v>1.1814</v>
      </c>
      <c r="Y615">
        <v>1.2572000000000001</v>
      </c>
      <c r="Z615">
        <v>1.2951000000000001</v>
      </c>
      <c r="AA615">
        <v>1.333</v>
      </c>
      <c r="AD615">
        <v>27.582809524942444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 t="s">
        <v>462</v>
      </c>
      <c r="AL615" t="s">
        <v>6</v>
      </c>
      <c r="AM615" t="s">
        <v>1145</v>
      </c>
      <c r="AN615" t="s">
        <v>1146</v>
      </c>
      <c r="AO615" s="100">
        <v>46262.040405092594</v>
      </c>
      <c r="AP615" t="s">
        <v>1147</v>
      </c>
      <c r="AQ615" t="s">
        <v>2447</v>
      </c>
      <c r="AR615" t="s">
        <v>1210</v>
      </c>
      <c r="AS615" t="s">
        <v>1150</v>
      </c>
      <c r="AT615" t="s">
        <v>2421</v>
      </c>
      <c r="AU615">
        <v>25</v>
      </c>
      <c r="AV615">
        <v>1.2140600000000001</v>
      </c>
      <c r="AW615">
        <v>4.0568522280211308E-2</v>
      </c>
      <c r="AX615">
        <v>3.3415582656714911</v>
      </c>
      <c r="AY615">
        <v>-3.8619019437726307</v>
      </c>
      <c r="AZ615">
        <v>9.3754730821305898</v>
      </c>
      <c r="BA615">
        <v>7.0987562374295639</v>
      </c>
      <c r="BB615" t="s">
        <v>4619</v>
      </c>
      <c r="BD615" s="98"/>
      <c r="BE615" s="98"/>
      <c r="BF615" t="s">
        <v>1152</v>
      </c>
      <c r="BG615" t="s">
        <v>322</v>
      </c>
      <c r="BH615" t="s">
        <v>1153</v>
      </c>
      <c r="BI615">
        <v>3.8619019437726307</v>
      </c>
      <c r="BJ615" t="s">
        <v>983</v>
      </c>
      <c r="BK615">
        <v>18.207336442811854</v>
      </c>
      <c r="BL615">
        <v>66.009724014326437</v>
      </c>
      <c r="BM615" t="s">
        <v>1260</v>
      </c>
      <c r="BN615" t="s">
        <v>1154</v>
      </c>
      <c r="BO615">
        <v>2025</v>
      </c>
      <c r="BP615" t="s">
        <v>966</v>
      </c>
      <c r="BQ615">
        <v>1.0794755755938468E-2</v>
      </c>
      <c r="BR615">
        <v>99.999998920524419</v>
      </c>
      <c r="BS615" t="s">
        <v>984</v>
      </c>
      <c r="BT615">
        <v>3</v>
      </c>
      <c r="BU615">
        <v>1</v>
      </c>
      <c r="BV615" t="s">
        <v>985</v>
      </c>
      <c r="BW615" t="s">
        <v>943</v>
      </c>
      <c r="BX615" t="s">
        <v>986</v>
      </c>
      <c r="BY615">
        <v>7.0987562374295639</v>
      </c>
      <c r="BZ615" t="s">
        <v>1155</v>
      </c>
      <c r="CA615" t="s">
        <v>983</v>
      </c>
      <c r="CB615" t="b">
        <v>1</v>
      </c>
      <c r="CC615" t="b">
        <v>0</v>
      </c>
      <c r="CD615" t="b">
        <v>0</v>
      </c>
      <c r="CE615" t="b">
        <v>0</v>
      </c>
      <c r="CF615" t="b">
        <v>0</v>
      </c>
    </row>
    <row r="616" spans="1:84" x14ac:dyDescent="0.3">
      <c r="A616" t="s">
        <v>2448</v>
      </c>
      <c r="B616" t="s">
        <v>1212</v>
      </c>
      <c r="C616" s="98">
        <v>45761</v>
      </c>
      <c r="D616">
        <v>2025</v>
      </c>
      <c r="E616">
        <v>4</v>
      </c>
      <c r="F616">
        <v>2</v>
      </c>
      <c r="G616" t="s">
        <v>1208</v>
      </c>
      <c r="H616" t="s">
        <v>138</v>
      </c>
      <c r="I616" t="s">
        <v>138</v>
      </c>
      <c r="J616" t="s">
        <v>6</v>
      </c>
      <c r="L616">
        <v>522611</v>
      </c>
      <c r="M616" s="99" t="s">
        <v>178</v>
      </c>
      <c r="N616">
        <v>1</v>
      </c>
      <c r="O616">
        <v>15</v>
      </c>
      <c r="P616">
        <v>1.248</v>
      </c>
      <c r="Q616" t="s">
        <v>352</v>
      </c>
      <c r="R616">
        <v>1</v>
      </c>
      <c r="S616">
        <v>1.2193000000000001</v>
      </c>
      <c r="T616">
        <v>3.7900000000000003E-2</v>
      </c>
      <c r="U616">
        <v>0.75725593667546032</v>
      </c>
      <c r="V616">
        <v>1.1056000000000001</v>
      </c>
      <c r="W616">
        <v>1.1435</v>
      </c>
      <c r="X616">
        <v>1.1814</v>
      </c>
      <c r="Y616">
        <v>1.2572000000000001</v>
      </c>
      <c r="Z616">
        <v>1.2951000000000001</v>
      </c>
      <c r="AA616">
        <v>1.333</v>
      </c>
      <c r="AD616">
        <v>27.582809524942444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 t="s">
        <v>462</v>
      </c>
      <c r="AL616" t="s">
        <v>6</v>
      </c>
      <c r="AM616" t="s">
        <v>1145</v>
      </c>
      <c r="AN616" t="s">
        <v>1146</v>
      </c>
      <c r="AO616" s="100">
        <v>46262.040405092594</v>
      </c>
      <c r="AP616" t="s">
        <v>1147</v>
      </c>
      <c r="AQ616" t="s">
        <v>2449</v>
      </c>
      <c r="AR616" t="s">
        <v>1215</v>
      </c>
      <c r="AS616" t="s">
        <v>1150</v>
      </c>
      <c r="AT616" t="s">
        <v>2421</v>
      </c>
      <c r="AU616">
        <v>25</v>
      </c>
      <c r="AV616">
        <v>1.2140600000000001</v>
      </c>
      <c r="AW616">
        <v>4.0568522280211308E-2</v>
      </c>
      <c r="AX616">
        <v>3.3415582656714911</v>
      </c>
      <c r="AY616">
        <v>-3.8619019437726307</v>
      </c>
      <c r="AZ616">
        <v>9.3754730821305898</v>
      </c>
      <c r="BA616">
        <v>7.0987562374295639</v>
      </c>
      <c r="BB616" t="s">
        <v>4619</v>
      </c>
      <c r="BD616" s="98"/>
      <c r="BE616" s="98"/>
      <c r="BF616" t="s">
        <v>1152</v>
      </c>
      <c r="BG616" t="s">
        <v>322</v>
      </c>
      <c r="BH616" t="s">
        <v>1153</v>
      </c>
      <c r="BI616">
        <v>3.8619019437726307</v>
      </c>
      <c r="BJ616" t="s">
        <v>983</v>
      </c>
      <c r="BK616">
        <v>18.207336442811854</v>
      </c>
      <c r="BL616">
        <v>66.009724014326437</v>
      </c>
      <c r="BM616" t="s">
        <v>1260</v>
      </c>
      <c r="BN616" t="s">
        <v>1154</v>
      </c>
      <c r="BO616">
        <v>2025</v>
      </c>
      <c r="BP616" t="s">
        <v>966</v>
      </c>
      <c r="BQ616">
        <v>1.0794755755938468E-2</v>
      </c>
      <c r="BR616">
        <v>99.999998920524419</v>
      </c>
      <c r="BS616" t="s">
        <v>984</v>
      </c>
      <c r="BT616">
        <v>3</v>
      </c>
      <c r="BU616">
        <v>1</v>
      </c>
      <c r="BV616" t="s">
        <v>985</v>
      </c>
      <c r="BW616" t="s">
        <v>943</v>
      </c>
      <c r="BX616" t="s">
        <v>986</v>
      </c>
      <c r="BY616">
        <v>7.0987562374295639</v>
      </c>
      <c r="BZ616" t="s">
        <v>1155</v>
      </c>
      <c r="CA616" t="s">
        <v>983</v>
      </c>
      <c r="CB616" t="b">
        <v>1</v>
      </c>
      <c r="CC616" t="b">
        <v>0</v>
      </c>
      <c r="CD616" t="b">
        <v>0</v>
      </c>
      <c r="CE616" t="b">
        <v>0</v>
      </c>
      <c r="CF616" t="b">
        <v>0</v>
      </c>
    </row>
    <row r="617" spans="1:84" x14ac:dyDescent="0.3">
      <c r="A617" t="s">
        <v>2450</v>
      </c>
      <c r="B617" t="s">
        <v>1217</v>
      </c>
      <c r="C617" s="98">
        <v>45768</v>
      </c>
      <c r="D617">
        <v>2025</v>
      </c>
      <c r="E617">
        <v>4</v>
      </c>
      <c r="F617">
        <v>2</v>
      </c>
      <c r="G617" t="s">
        <v>1208</v>
      </c>
      <c r="H617" t="s">
        <v>138</v>
      </c>
      <c r="I617" t="s">
        <v>138</v>
      </c>
      <c r="J617" t="s">
        <v>6</v>
      </c>
      <c r="L617">
        <v>522611</v>
      </c>
      <c r="M617" s="99" t="s">
        <v>178</v>
      </c>
      <c r="N617">
        <v>1</v>
      </c>
      <c r="O617">
        <v>16</v>
      </c>
      <c r="P617">
        <v>1.1147</v>
      </c>
      <c r="Q617" t="s">
        <v>352</v>
      </c>
      <c r="R617">
        <v>1</v>
      </c>
      <c r="S617">
        <v>1.2193000000000001</v>
      </c>
      <c r="T617">
        <v>3.7900000000000003E-2</v>
      </c>
      <c r="U617">
        <v>-2.7598944591029029</v>
      </c>
      <c r="V617">
        <v>1.1056000000000001</v>
      </c>
      <c r="W617">
        <v>1.1435</v>
      </c>
      <c r="X617">
        <v>1.1814</v>
      </c>
      <c r="Y617">
        <v>1.2572000000000001</v>
      </c>
      <c r="Z617">
        <v>1.2951000000000001</v>
      </c>
      <c r="AA617">
        <v>1.333</v>
      </c>
      <c r="AD617">
        <v>27.582809524942444</v>
      </c>
      <c r="AE617">
        <v>0</v>
      </c>
      <c r="AF617">
        <v>0</v>
      </c>
      <c r="AG617">
        <v>1</v>
      </c>
      <c r="AH617">
        <v>0</v>
      </c>
      <c r="AI617">
        <v>0</v>
      </c>
      <c r="AJ617">
        <v>1</v>
      </c>
      <c r="AK617" t="s">
        <v>1213</v>
      </c>
      <c r="AL617" t="s">
        <v>6</v>
      </c>
      <c r="AM617" t="s">
        <v>1145</v>
      </c>
      <c r="AN617" t="s">
        <v>1146</v>
      </c>
      <c r="AO617" s="100">
        <v>46262.040405092594</v>
      </c>
      <c r="AP617" t="s">
        <v>1147</v>
      </c>
      <c r="AQ617" t="s">
        <v>2451</v>
      </c>
      <c r="AR617" t="s">
        <v>1219</v>
      </c>
      <c r="AS617" t="s">
        <v>1150</v>
      </c>
      <c r="AT617" t="s">
        <v>2421</v>
      </c>
      <c r="AU617">
        <v>25</v>
      </c>
      <c r="AV617">
        <v>1.2140600000000001</v>
      </c>
      <c r="AW617">
        <v>4.0568522280211308E-2</v>
      </c>
      <c r="AX617">
        <v>3.3415582656714911</v>
      </c>
      <c r="AY617">
        <v>-3.8619019437726307</v>
      </c>
      <c r="AZ617">
        <v>9.3754730821305898</v>
      </c>
      <c r="BA617">
        <v>7.0987562374295639</v>
      </c>
      <c r="BB617" t="s">
        <v>4619</v>
      </c>
      <c r="BD617" s="98"/>
      <c r="BE617" s="98"/>
      <c r="BF617" t="s">
        <v>1152</v>
      </c>
      <c r="BG617" t="s">
        <v>322</v>
      </c>
      <c r="BH617" t="s">
        <v>1153</v>
      </c>
      <c r="BI617">
        <v>3.8619019437726307</v>
      </c>
      <c r="BJ617" t="s">
        <v>983</v>
      </c>
      <c r="BK617">
        <v>18.207336442811854</v>
      </c>
      <c r="BL617">
        <v>66.009724014326437</v>
      </c>
      <c r="BM617" t="s">
        <v>1260</v>
      </c>
      <c r="BN617" t="s">
        <v>1154</v>
      </c>
      <c r="BO617">
        <v>2025</v>
      </c>
      <c r="BP617" t="s">
        <v>966</v>
      </c>
      <c r="BQ617">
        <v>1.0794755755938468E-2</v>
      </c>
      <c r="BR617">
        <v>99.999998920524419</v>
      </c>
      <c r="BS617" t="s">
        <v>984</v>
      </c>
      <c r="BT617">
        <v>3</v>
      </c>
      <c r="BU617">
        <v>1</v>
      </c>
      <c r="BV617" t="s">
        <v>985</v>
      </c>
      <c r="BW617" t="s">
        <v>943</v>
      </c>
      <c r="BX617" t="s">
        <v>986</v>
      </c>
      <c r="BY617">
        <v>7.0987562374295639</v>
      </c>
      <c r="BZ617" t="s">
        <v>1155</v>
      </c>
      <c r="CA617" t="s">
        <v>983</v>
      </c>
      <c r="CB617" t="b">
        <v>1</v>
      </c>
      <c r="CC617" t="b">
        <v>0</v>
      </c>
      <c r="CD617" t="b">
        <v>0</v>
      </c>
      <c r="CE617" t="b">
        <v>0</v>
      </c>
      <c r="CF617" t="b">
        <v>0</v>
      </c>
    </row>
    <row r="618" spans="1:84" x14ac:dyDescent="0.3">
      <c r="A618" t="s">
        <v>2452</v>
      </c>
      <c r="B618" t="s">
        <v>1221</v>
      </c>
      <c r="C618" s="98">
        <v>45775</v>
      </c>
      <c r="D618">
        <v>2025</v>
      </c>
      <c r="E618">
        <v>4</v>
      </c>
      <c r="F618">
        <v>2</v>
      </c>
      <c r="G618" t="s">
        <v>1208</v>
      </c>
      <c r="H618" t="s">
        <v>138</v>
      </c>
      <c r="I618" t="s">
        <v>138</v>
      </c>
      <c r="J618" t="s">
        <v>6</v>
      </c>
      <c r="L618">
        <v>522611</v>
      </c>
      <c r="M618" s="99" t="s">
        <v>178</v>
      </c>
      <c r="N618">
        <v>1</v>
      </c>
      <c r="O618">
        <v>17</v>
      </c>
      <c r="P618">
        <v>1.2145999999999999</v>
      </c>
      <c r="Q618" t="s">
        <v>352</v>
      </c>
      <c r="R618">
        <v>1</v>
      </c>
      <c r="S618">
        <v>1.2193000000000001</v>
      </c>
      <c r="T618">
        <v>3.7900000000000003E-2</v>
      </c>
      <c r="U618">
        <v>-0.12401055408971368</v>
      </c>
      <c r="V618">
        <v>1.1056000000000001</v>
      </c>
      <c r="W618">
        <v>1.1435</v>
      </c>
      <c r="X618">
        <v>1.1814</v>
      </c>
      <c r="Y618">
        <v>1.2572000000000001</v>
      </c>
      <c r="Z618">
        <v>1.2951000000000001</v>
      </c>
      <c r="AA618">
        <v>1.333</v>
      </c>
      <c r="AD618">
        <v>27.582809524942444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 t="s">
        <v>462</v>
      </c>
      <c r="AL618" t="s">
        <v>6</v>
      </c>
      <c r="AM618" t="s">
        <v>1145</v>
      </c>
      <c r="AN618" t="s">
        <v>1146</v>
      </c>
      <c r="AO618" s="100">
        <v>46262.040405092594</v>
      </c>
      <c r="AP618" t="s">
        <v>1147</v>
      </c>
      <c r="AQ618" t="s">
        <v>2453</v>
      </c>
      <c r="AR618" t="s">
        <v>1223</v>
      </c>
      <c r="AS618" t="s">
        <v>1150</v>
      </c>
      <c r="AT618" t="s">
        <v>2421</v>
      </c>
      <c r="AU618">
        <v>25</v>
      </c>
      <c r="AV618">
        <v>1.2140600000000001</v>
      </c>
      <c r="AW618">
        <v>4.0568522280211308E-2</v>
      </c>
      <c r="AX618">
        <v>3.3415582656714911</v>
      </c>
      <c r="AY618">
        <v>-3.8619019437726307</v>
      </c>
      <c r="AZ618">
        <v>9.3754730821305898</v>
      </c>
      <c r="BA618">
        <v>7.0987562374295639</v>
      </c>
      <c r="BB618" t="s">
        <v>4619</v>
      </c>
      <c r="BD618" s="98"/>
      <c r="BE618" s="98"/>
      <c r="BF618" t="s">
        <v>1152</v>
      </c>
      <c r="BG618" t="s">
        <v>322</v>
      </c>
      <c r="BH618" t="s">
        <v>1153</v>
      </c>
      <c r="BI618">
        <v>3.8619019437726307</v>
      </c>
      <c r="BJ618" t="s">
        <v>983</v>
      </c>
      <c r="BK618">
        <v>18.207336442811854</v>
      </c>
      <c r="BL618">
        <v>66.009724014326437</v>
      </c>
      <c r="BM618" t="s">
        <v>1260</v>
      </c>
      <c r="BN618" t="s">
        <v>1154</v>
      </c>
      <c r="BO618">
        <v>2025</v>
      </c>
      <c r="BP618" t="s">
        <v>966</v>
      </c>
      <c r="BQ618">
        <v>1.0794755755938468E-2</v>
      </c>
      <c r="BR618">
        <v>99.999998920524419</v>
      </c>
      <c r="BS618" t="s">
        <v>984</v>
      </c>
      <c r="BT618">
        <v>3</v>
      </c>
      <c r="BU618">
        <v>1</v>
      </c>
      <c r="BV618" t="s">
        <v>985</v>
      </c>
      <c r="BW618" t="s">
        <v>943</v>
      </c>
      <c r="BX618" t="s">
        <v>986</v>
      </c>
      <c r="BY618">
        <v>7.0987562374295639</v>
      </c>
      <c r="BZ618" t="s">
        <v>1155</v>
      </c>
      <c r="CA618" t="s">
        <v>983</v>
      </c>
      <c r="CB618" t="b">
        <v>1</v>
      </c>
      <c r="CC618" t="b">
        <v>0</v>
      </c>
      <c r="CD618" t="b">
        <v>0</v>
      </c>
      <c r="CE618" t="b">
        <v>0</v>
      </c>
      <c r="CF618" t="b">
        <v>0</v>
      </c>
    </row>
    <row r="619" spans="1:84" x14ac:dyDescent="0.3">
      <c r="A619" t="s">
        <v>2454</v>
      </c>
      <c r="B619" t="s">
        <v>1225</v>
      </c>
      <c r="C619" s="98">
        <v>45782</v>
      </c>
      <c r="D619">
        <v>2025</v>
      </c>
      <c r="E619">
        <v>5</v>
      </c>
      <c r="F619">
        <v>2</v>
      </c>
      <c r="G619" t="s">
        <v>1226</v>
      </c>
      <c r="H619" t="s">
        <v>138</v>
      </c>
      <c r="I619" t="s">
        <v>138</v>
      </c>
      <c r="J619" t="s">
        <v>6</v>
      </c>
      <c r="L619">
        <v>522611</v>
      </c>
      <c r="M619" s="99" t="s">
        <v>178</v>
      </c>
      <c r="N619">
        <v>1</v>
      </c>
      <c r="O619">
        <v>18</v>
      </c>
      <c r="P619">
        <v>1.2399</v>
      </c>
      <c r="Q619" t="s">
        <v>352</v>
      </c>
      <c r="R619">
        <v>1</v>
      </c>
      <c r="S619">
        <v>1.2193000000000001</v>
      </c>
      <c r="T619">
        <v>3.7900000000000003E-2</v>
      </c>
      <c r="U619">
        <v>0.54353562005276912</v>
      </c>
      <c r="V619">
        <v>1.1056000000000001</v>
      </c>
      <c r="W619">
        <v>1.1435</v>
      </c>
      <c r="X619">
        <v>1.1814</v>
      </c>
      <c r="Y619">
        <v>1.2572000000000001</v>
      </c>
      <c r="Z619">
        <v>1.2951000000000001</v>
      </c>
      <c r="AA619">
        <v>1.333</v>
      </c>
      <c r="AD619">
        <v>27.582809524942444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 t="s">
        <v>462</v>
      </c>
      <c r="AL619" t="s">
        <v>6</v>
      </c>
      <c r="AM619" t="s">
        <v>1145</v>
      </c>
      <c r="AN619" t="s">
        <v>1146</v>
      </c>
      <c r="AO619" s="100">
        <v>46262.040405092594</v>
      </c>
      <c r="AP619" t="s">
        <v>1147</v>
      </c>
      <c r="AQ619" t="s">
        <v>2455</v>
      </c>
      <c r="AR619" t="s">
        <v>1228</v>
      </c>
      <c r="AS619" t="s">
        <v>1150</v>
      </c>
      <c r="AT619" t="s">
        <v>2421</v>
      </c>
      <c r="AU619">
        <v>25</v>
      </c>
      <c r="AV619">
        <v>1.2140600000000001</v>
      </c>
      <c r="AW619">
        <v>4.0568522280211308E-2</v>
      </c>
      <c r="AX619">
        <v>3.3415582656714911</v>
      </c>
      <c r="AY619">
        <v>-3.8619019437726307</v>
      </c>
      <c r="AZ619">
        <v>9.3754730821305898</v>
      </c>
      <c r="BA619">
        <v>7.0987562374295639</v>
      </c>
      <c r="BB619" t="s">
        <v>4619</v>
      </c>
      <c r="BD619" s="98"/>
      <c r="BE619" s="98"/>
      <c r="BF619" t="s">
        <v>1152</v>
      </c>
      <c r="BG619" t="s">
        <v>322</v>
      </c>
      <c r="BH619" t="s">
        <v>1153</v>
      </c>
      <c r="BI619">
        <v>3.8619019437726307</v>
      </c>
      <c r="BJ619" t="s">
        <v>983</v>
      </c>
      <c r="BK619">
        <v>18.207336442811854</v>
      </c>
      <c r="BL619">
        <v>66.009724014326437</v>
      </c>
      <c r="BM619" t="s">
        <v>1260</v>
      </c>
      <c r="BN619" t="s">
        <v>1154</v>
      </c>
      <c r="BO619">
        <v>2025</v>
      </c>
      <c r="BP619" t="s">
        <v>966</v>
      </c>
      <c r="BQ619">
        <v>1.0794755755938468E-2</v>
      </c>
      <c r="BR619">
        <v>99.999998920524419</v>
      </c>
      <c r="BS619" t="s">
        <v>984</v>
      </c>
      <c r="BT619">
        <v>3</v>
      </c>
      <c r="BU619">
        <v>1</v>
      </c>
      <c r="BV619" t="s">
        <v>985</v>
      </c>
      <c r="BW619" t="s">
        <v>943</v>
      </c>
      <c r="BX619" t="s">
        <v>986</v>
      </c>
      <c r="BY619">
        <v>7.0987562374295639</v>
      </c>
      <c r="BZ619" t="s">
        <v>1155</v>
      </c>
      <c r="CA619" t="s">
        <v>983</v>
      </c>
      <c r="CB619" t="b">
        <v>1</v>
      </c>
      <c r="CC619" t="b">
        <v>0</v>
      </c>
      <c r="CD619" t="b">
        <v>0</v>
      </c>
      <c r="CE619" t="b">
        <v>0</v>
      </c>
      <c r="CF619" t="b">
        <v>0</v>
      </c>
    </row>
    <row r="620" spans="1:84" x14ac:dyDescent="0.3">
      <c r="A620" t="s">
        <v>2456</v>
      </c>
      <c r="B620" t="s">
        <v>1230</v>
      </c>
      <c r="C620" s="98">
        <v>45789</v>
      </c>
      <c r="D620">
        <v>2025</v>
      </c>
      <c r="E620">
        <v>5</v>
      </c>
      <c r="F620">
        <v>2</v>
      </c>
      <c r="G620" t="s">
        <v>1226</v>
      </c>
      <c r="H620" t="s">
        <v>138</v>
      </c>
      <c r="I620" t="s">
        <v>138</v>
      </c>
      <c r="J620" t="s">
        <v>6</v>
      </c>
      <c r="L620">
        <v>522611</v>
      </c>
      <c r="M620" s="99" t="s">
        <v>178</v>
      </c>
      <c r="N620">
        <v>1</v>
      </c>
      <c r="O620">
        <v>19</v>
      </c>
      <c r="P620">
        <v>1.2452000000000001</v>
      </c>
      <c r="Q620" t="s">
        <v>352</v>
      </c>
      <c r="R620">
        <v>1</v>
      </c>
      <c r="S620">
        <v>1.2193000000000001</v>
      </c>
      <c r="T620">
        <v>3.7900000000000003E-2</v>
      </c>
      <c r="U620">
        <v>0.68337730870712488</v>
      </c>
      <c r="V620">
        <v>1.1056000000000001</v>
      </c>
      <c r="W620">
        <v>1.1435</v>
      </c>
      <c r="X620">
        <v>1.1814</v>
      </c>
      <c r="Y620">
        <v>1.2572000000000001</v>
      </c>
      <c r="Z620">
        <v>1.2951000000000001</v>
      </c>
      <c r="AA620">
        <v>1.333</v>
      </c>
      <c r="AD620">
        <v>27.582809524942444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 t="s">
        <v>462</v>
      </c>
      <c r="AL620" t="s">
        <v>6</v>
      </c>
      <c r="AM620" t="s">
        <v>1145</v>
      </c>
      <c r="AN620" t="s">
        <v>1146</v>
      </c>
      <c r="AO620" s="100">
        <v>46262.040405092594</v>
      </c>
      <c r="AP620" t="s">
        <v>1147</v>
      </c>
      <c r="AQ620" t="s">
        <v>2457</v>
      </c>
      <c r="AR620" t="s">
        <v>1232</v>
      </c>
      <c r="AS620" t="s">
        <v>1150</v>
      </c>
      <c r="AT620" t="s">
        <v>2421</v>
      </c>
      <c r="AU620">
        <v>25</v>
      </c>
      <c r="AV620">
        <v>1.2140600000000001</v>
      </c>
      <c r="AW620">
        <v>4.0568522280211308E-2</v>
      </c>
      <c r="AX620">
        <v>3.3415582656714911</v>
      </c>
      <c r="AY620">
        <v>-3.8619019437726307</v>
      </c>
      <c r="AZ620">
        <v>9.3754730821305898</v>
      </c>
      <c r="BA620">
        <v>7.0987562374295639</v>
      </c>
      <c r="BB620" t="s">
        <v>4619</v>
      </c>
      <c r="BD620" s="98"/>
      <c r="BE620" s="98"/>
      <c r="BF620" t="s">
        <v>1152</v>
      </c>
      <c r="BG620" t="s">
        <v>322</v>
      </c>
      <c r="BH620" t="s">
        <v>1153</v>
      </c>
      <c r="BI620">
        <v>3.8619019437726307</v>
      </c>
      <c r="BJ620" t="s">
        <v>983</v>
      </c>
      <c r="BK620">
        <v>18.207336442811854</v>
      </c>
      <c r="BL620">
        <v>66.009724014326437</v>
      </c>
      <c r="BM620" t="s">
        <v>1260</v>
      </c>
      <c r="BN620" t="s">
        <v>1154</v>
      </c>
      <c r="BO620">
        <v>2025</v>
      </c>
      <c r="BP620" t="s">
        <v>966</v>
      </c>
      <c r="BQ620">
        <v>1.0794755755938468E-2</v>
      </c>
      <c r="BR620">
        <v>99.999998920524419</v>
      </c>
      <c r="BS620" t="s">
        <v>984</v>
      </c>
      <c r="BT620">
        <v>3</v>
      </c>
      <c r="BU620">
        <v>1</v>
      </c>
      <c r="BV620" t="s">
        <v>985</v>
      </c>
      <c r="BW620" t="s">
        <v>943</v>
      </c>
      <c r="BX620" t="s">
        <v>986</v>
      </c>
      <c r="BY620">
        <v>7.0987562374295639</v>
      </c>
      <c r="BZ620" t="s">
        <v>1155</v>
      </c>
      <c r="CA620" t="s">
        <v>983</v>
      </c>
      <c r="CB620" t="b">
        <v>1</v>
      </c>
      <c r="CC620" t="b">
        <v>0</v>
      </c>
      <c r="CD620" t="b">
        <v>0</v>
      </c>
      <c r="CE620" t="b">
        <v>0</v>
      </c>
      <c r="CF620" t="b">
        <v>0</v>
      </c>
    </row>
    <row r="621" spans="1:84" x14ac:dyDescent="0.3">
      <c r="A621" t="s">
        <v>2458</v>
      </c>
      <c r="B621" t="s">
        <v>1234</v>
      </c>
      <c r="C621" s="98">
        <v>45796</v>
      </c>
      <c r="D621">
        <v>2025</v>
      </c>
      <c r="E621">
        <v>5</v>
      </c>
      <c r="F621">
        <v>2</v>
      </c>
      <c r="G621" t="s">
        <v>1226</v>
      </c>
      <c r="H621" t="s">
        <v>138</v>
      </c>
      <c r="I621" t="s">
        <v>138</v>
      </c>
      <c r="J621" t="s">
        <v>6</v>
      </c>
      <c r="L621">
        <v>522611</v>
      </c>
      <c r="M621" s="99" t="s">
        <v>178</v>
      </c>
      <c r="N621">
        <v>1</v>
      </c>
      <c r="O621">
        <v>20</v>
      </c>
      <c r="P621">
        <v>1.2837000000000001</v>
      </c>
      <c r="Q621" t="s">
        <v>352</v>
      </c>
      <c r="R621">
        <v>1</v>
      </c>
      <c r="S621">
        <v>1.2193000000000001</v>
      </c>
      <c r="T621">
        <v>3.7900000000000003E-2</v>
      </c>
      <c r="U621">
        <v>1.699208443271768</v>
      </c>
      <c r="V621">
        <v>1.1056000000000001</v>
      </c>
      <c r="W621">
        <v>1.1435</v>
      </c>
      <c r="X621">
        <v>1.1814</v>
      </c>
      <c r="Y621">
        <v>1.2572000000000001</v>
      </c>
      <c r="Z621">
        <v>1.2951000000000001</v>
      </c>
      <c r="AA621">
        <v>1.333</v>
      </c>
      <c r="AD621">
        <v>27.582809524942444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 t="s">
        <v>462</v>
      </c>
      <c r="AL621" t="s">
        <v>6</v>
      </c>
      <c r="AM621" t="s">
        <v>1145</v>
      </c>
      <c r="AN621" t="s">
        <v>1146</v>
      </c>
      <c r="AO621" s="100">
        <v>46262.040405092594</v>
      </c>
      <c r="AP621" t="s">
        <v>1147</v>
      </c>
      <c r="AQ621" t="s">
        <v>2459</v>
      </c>
      <c r="AR621" t="s">
        <v>1236</v>
      </c>
      <c r="AS621" t="s">
        <v>1150</v>
      </c>
      <c r="AT621" t="s">
        <v>2421</v>
      </c>
      <c r="AU621">
        <v>25</v>
      </c>
      <c r="AV621">
        <v>1.2140600000000001</v>
      </c>
      <c r="AW621">
        <v>4.0568522280211308E-2</v>
      </c>
      <c r="AX621">
        <v>3.3415582656714911</v>
      </c>
      <c r="AY621">
        <v>-3.8619019437726307</v>
      </c>
      <c r="AZ621">
        <v>9.3754730821305898</v>
      </c>
      <c r="BA621">
        <v>7.0987562374295639</v>
      </c>
      <c r="BB621" t="s">
        <v>4619</v>
      </c>
      <c r="BD621" s="98"/>
      <c r="BE621" s="98"/>
      <c r="BF621" t="s">
        <v>1152</v>
      </c>
      <c r="BG621" t="s">
        <v>322</v>
      </c>
      <c r="BH621" t="s">
        <v>1153</v>
      </c>
      <c r="BI621">
        <v>3.8619019437726307</v>
      </c>
      <c r="BJ621" t="s">
        <v>983</v>
      </c>
      <c r="BK621">
        <v>18.207336442811854</v>
      </c>
      <c r="BL621">
        <v>66.009724014326437</v>
      </c>
      <c r="BM621" t="s">
        <v>1260</v>
      </c>
      <c r="BN621" t="s">
        <v>1154</v>
      </c>
      <c r="BO621">
        <v>2025</v>
      </c>
      <c r="BP621" t="s">
        <v>966</v>
      </c>
      <c r="BQ621">
        <v>1.0794755755938468E-2</v>
      </c>
      <c r="BR621">
        <v>99.999998920524419</v>
      </c>
      <c r="BS621" t="s">
        <v>984</v>
      </c>
      <c r="BT621">
        <v>3</v>
      </c>
      <c r="BU621">
        <v>1</v>
      </c>
      <c r="BV621" t="s">
        <v>985</v>
      </c>
      <c r="BW621" t="s">
        <v>943</v>
      </c>
      <c r="BX621" t="s">
        <v>986</v>
      </c>
      <c r="BY621">
        <v>7.0987562374295639</v>
      </c>
      <c r="BZ621" t="s">
        <v>1155</v>
      </c>
      <c r="CA621" t="s">
        <v>983</v>
      </c>
      <c r="CB621" t="b">
        <v>1</v>
      </c>
      <c r="CC621" t="b">
        <v>0</v>
      </c>
      <c r="CD621" t="b">
        <v>0</v>
      </c>
      <c r="CE621" t="b">
        <v>0</v>
      </c>
      <c r="CF621" t="b">
        <v>0</v>
      </c>
    </row>
    <row r="622" spans="1:84" x14ac:dyDescent="0.3">
      <c r="A622" t="s">
        <v>2460</v>
      </c>
      <c r="B622" t="s">
        <v>1238</v>
      </c>
      <c r="C622" s="98">
        <v>45803</v>
      </c>
      <c r="D622">
        <v>2025</v>
      </c>
      <c r="E622">
        <v>5</v>
      </c>
      <c r="F622">
        <v>2</v>
      </c>
      <c r="G622" t="s">
        <v>1226</v>
      </c>
      <c r="H622" t="s">
        <v>138</v>
      </c>
      <c r="I622" t="s">
        <v>138</v>
      </c>
      <c r="J622" t="s">
        <v>6</v>
      </c>
      <c r="L622">
        <v>522611</v>
      </c>
      <c r="M622" s="99" t="s">
        <v>178</v>
      </c>
      <c r="N622">
        <v>1</v>
      </c>
      <c r="O622">
        <v>21</v>
      </c>
      <c r="P622">
        <v>1.2623</v>
      </c>
      <c r="Q622" t="s">
        <v>352</v>
      </c>
      <c r="R622">
        <v>1</v>
      </c>
      <c r="S622">
        <v>1.2193000000000001</v>
      </c>
      <c r="T622">
        <v>3.7900000000000003E-2</v>
      </c>
      <c r="U622">
        <v>1.1345646437994703</v>
      </c>
      <c r="V622">
        <v>1.1056000000000001</v>
      </c>
      <c r="W622">
        <v>1.1435</v>
      </c>
      <c r="X622">
        <v>1.1814</v>
      </c>
      <c r="Y622">
        <v>1.2572000000000001</v>
      </c>
      <c r="Z622">
        <v>1.2951000000000001</v>
      </c>
      <c r="AA622">
        <v>1.333</v>
      </c>
      <c r="AD622">
        <v>27.582809524942444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 t="s">
        <v>462</v>
      </c>
      <c r="AL622" t="s">
        <v>6</v>
      </c>
      <c r="AM622" t="s">
        <v>1145</v>
      </c>
      <c r="AN622" t="s">
        <v>1146</v>
      </c>
      <c r="AO622" s="100">
        <v>46262.040405092594</v>
      </c>
      <c r="AP622" t="s">
        <v>1147</v>
      </c>
      <c r="AQ622" t="s">
        <v>2461</v>
      </c>
      <c r="AR622" t="s">
        <v>1240</v>
      </c>
      <c r="AS622" t="s">
        <v>1150</v>
      </c>
      <c r="AT622" t="s">
        <v>2421</v>
      </c>
      <c r="AU622">
        <v>25</v>
      </c>
      <c r="AV622">
        <v>1.2140600000000001</v>
      </c>
      <c r="AW622">
        <v>4.0568522280211308E-2</v>
      </c>
      <c r="AX622">
        <v>3.3415582656714911</v>
      </c>
      <c r="AY622">
        <v>-3.8619019437726307</v>
      </c>
      <c r="AZ622">
        <v>9.3754730821305898</v>
      </c>
      <c r="BA622">
        <v>7.0987562374295639</v>
      </c>
      <c r="BB622" t="s">
        <v>4619</v>
      </c>
      <c r="BD622" s="98"/>
      <c r="BE622" s="98"/>
      <c r="BF622" t="s">
        <v>1152</v>
      </c>
      <c r="BG622" t="s">
        <v>322</v>
      </c>
      <c r="BH622" t="s">
        <v>1153</v>
      </c>
      <c r="BI622">
        <v>3.8619019437726307</v>
      </c>
      <c r="BJ622" t="s">
        <v>983</v>
      </c>
      <c r="BK622">
        <v>18.207336442811854</v>
      </c>
      <c r="BL622">
        <v>66.009724014326437</v>
      </c>
      <c r="BM622" t="s">
        <v>1260</v>
      </c>
      <c r="BN622" t="s">
        <v>1154</v>
      </c>
      <c r="BO622">
        <v>2025</v>
      </c>
      <c r="BP622" t="s">
        <v>966</v>
      </c>
      <c r="BQ622">
        <v>1.0794755755938468E-2</v>
      </c>
      <c r="BR622">
        <v>99.999998920524419</v>
      </c>
      <c r="BS622" t="s">
        <v>984</v>
      </c>
      <c r="BT622">
        <v>3</v>
      </c>
      <c r="BU622">
        <v>1</v>
      </c>
      <c r="BV622" t="s">
        <v>985</v>
      </c>
      <c r="BW622" t="s">
        <v>943</v>
      </c>
      <c r="BX622" t="s">
        <v>986</v>
      </c>
      <c r="BY622">
        <v>7.0987562374295639</v>
      </c>
      <c r="BZ622" t="s">
        <v>1155</v>
      </c>
      <c r="CA622" t="s">
        <v>983</v>
      </c>
      <c r="CB622" t="b">
        <v>1</v>
      </c>
      <c r="CC622" t="b">
        <v>0</v>
      </c>
      <c r="CD622" t="b">
        <v>0</v>
      </c>
      <c r="CE622" t="b">
        <v>0</v>
      </c>
      <c r="CF622" t="b">
        <v>0</v>
      </c>
    </row>
    <row r="623" spans="1:84" x14ac:dyDescent="0.3">
      <c r="A623" t="s">
        <v>2462</v>
      </c>
      <c r="B623" t="s">
        <v>1242</v>
      </c>
      <c r="C623" s="98">
        <v>45810</v>
      </c>
      <c r="D623">
        <v>2025</v>
      </c>
      <c r="E623">
        <v>6</v>
      </c>
      <c r="F623">
        <v>2</v>
      </c>
      <c r="G623" t="s">
        <v>1243</v>
      </c>
      <c r="H623" t="s">
        <v>138</v>
      </c>
      <c r="I623" t="s">
        <v>138</v>
      </c>
      <c r="J623" t="s">
        <v>6</v>
      </c>
      <c r="L623">
        <v>522611</v>
      </c>
      <c r="M623" s="99" t="s">
        <v>178</v>
      </c>
      <c r="N623">
        <v>1</v>
      </c>
      <c r="O623">
        <v>22</v>
      </c>
      <c r="P623">
        <v>1.2312000000000001</v>
      </c>
      <c r="Q623" t="s">
        <v>352</v>
      </c>
      <c r="R623">
        <v>1</v>
      </c>
      <c r="S623">
        <v>1.2193000000000001</v>
      </c>
      <c r="T623">
        <v>3.7900000000000003E-2</v>
      </c>
      <c r="U623">
        <v>0.3139841688654359</v>
      </c>
      <c r="V623">
        <v>1.1056000000000001</v>
      </c>
      <c r="W623">
        <v>1.1435</v>
      </c>
      <c r="X623">
        <v>1.1814</v>
      </c>
      <c r="Y623">
        <v>1.2572000000000001</v>
      </c>
      <c r="Z623">
        <v>1.2951000000000001</v>
      </c>
      <c r="AA623">
        <v>1.333</v>
      </c>
      <c r="AD623">
        <v>27.582809524942444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 t="s">
        <v>462</v>
      </c>
      <c r="AL623" t="s">
        <v>6</v>
      </c>
      <c r="AM623" t="s">
        <v>1145</v>
      </c>
      <c r="AN623" t="s">
        <v>1146</v>
      </c>
      <c r="AO623" s="100">
        <v>46262.040405092594</v>
      </c>
      <c r="AP623" t="s">
        <v>1147</v>
      </c>
      <c r="AQ623" t="s">
        <v>2463</v>
      </c>
      <c r="AR623" t="s">
        <v>1245</v>
      </c>
      <c r="AS623" t="s">
        <v>1150</v>
      </c>
      <c r="AT623" t="s">
        <v>2421</v>
      </c>
      <c r="AU623">
        <v>25</v>
      </c>
      <c r="AV623">
        <v>1.2140600000000001</v>
      </c>
      <c r="AW623">
        <v>4.0568522280211308E-2</v>
      </c>
      <c r="AX623">
        <v>3.3415582656714911</v>
      </c>
      <c r="AY623">
        <v>-3.8619019437726307</v>
      </c>
      <c r="AZ623">
        <v>9.3754730821305898</v>
      </c>
      <c r="BA623">
        <v>7.0987562374295639</v>
      </c>
      <c r="BB623" t="s">
        <v>4619</v>
      </c>
      <c r="BD623" s="98"/>
      <c r="BE623" s="98"/>
      <c r="BF623" t="s">
        <v>1152</v>
      </c>
      <c r="BG623" t="s">
        <v>322</v>
      </c>
      <c r="BH623" t="s">
        <v>1153</v>
      </c>
      <c r="BI623">
        <v>3.8619019437726307</v>
      </c>
      <c r="BJ623" t="s">
        <v>983</v>
      </c>
      <c r="BK623">
        <v>18.207336442811854</v>
      </c>
      <c r="BL623">
        <v>66.009724014326437</v>
      </c>
      <c r="BM623" t="s">
        <v>1260</v>
      </c>
      <c r="BN623" t="s">
        <v>1154</v>
      </c>
      <c r="BO623">
        <v>2025</v>
      </c>
      <c r="BP623" t="s">
        <v>966</v>
      </c>
      <c r="BQ623">
        <v>1.0794755755938468E-2</v>
      </c>
      <c r="BR623">
        <v>99.999998920524419</v>
      </c>
      <c r="BS623" t="s">
        <v>984</v>
      </c>
      <c r="BT623">
        <v>3</v>
      </c>
      <c r="BU623">
        <v>1</v>
      </c>
      <c r="BV623" t="s">
        <v>985</v>
      </c>
      <c r="BW623" t="s">
        <v>943</v>
      </c>
      <c r="BX623" t="s">
        <v>986</v>
      </c>
      <c r="BY623">
        <v>7.0987562374295639</v>
      </c>
      <c r="BZ623" t="s">
        <v>1155</v>
      </c>
      <c r="CA623" t="s">
        <v>983</v>
      </c>
      <c r="CB623" t="b">
        <v>1</v>
      </c>
      <c r="CC623" t="b">
        <v>0</v>
      </c>
      <c r="CD623" t="b">
        <v>0</v>
      </c>
      <c r="CE623" t="b">
        <v>0</v>
      </c>
      <c r="CF623" t="b">
        <v>0</v>
      </c>
    </row>
    <row r="624" spans="1:84" x14ac:dyDescent="0.3">
      <c r="A624" t="s">
        <v>2464</v>
      </c>
      <c r="B624" t="s">
        <v>1247</v>
      </c>
      <c r="C624" s="98">
        <v>45817</v>
      </c>
      <c r="D624">
        <v>2025</v>
      </c>
      <c r="E624">
        <v>6</v>
      </c>
      <c r="F624">
        <v>2</v>
      </c>
      <c r="G624" t="s">
        <v>1243</v>
      </c>
      <c r="H624" t="s">
        <v>138</v>
      </c>
      <c r="I624" t="s">
        <v>138</v>
      </c>
      <c r="J624" t="s">
        <v>6</v>
      </c>
      <c r="L624">
        <v>522611</v>
      </c>
      <c r="M624" s="99" t="s">
        <v>178</v>
      </c>
      <c r="N624">
        <v>1</v>
      </c>
      <c r="O624">
        <v>23</v>
      </c>
      <c r="P624">
        <v>1.2307999999999999</v>
      </c>
      <c r="Q624" t="s">
        <v>352</v>
      </c>
      <c r="R624">
        <v>1</v>
      </c>
      <c r="S624">
        <v>1.2193000000000001</v>
      </c>
      <c r="T624">
        <v>3.7900000000000003E-2</v>
      </c>
      <c r="U624">
        <v>0.30343007915566866</v>
      </c>
      <c r="V624">
        <v>1.1056000000000001</v>
      </c>
      <c r="W624">
        <v>1.1435</v>
      </c>
      <c r="X624">
        <v>1.1814</v>
      </c>
      <c r="Y624">
        <v>1.2572000000000001</v>
      </c>
      <c r="Z624">
        <v>1.2951000000000001</v>
      </c>
      <c r="AA624">
        <v>1.333</v>
      </c>
      <c r="AD624">
        <v>27.582809524942444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 t="s">
        <v>462</v>
      </c>
      <c r="AL624" t="s">
        <v>6</v>
      </c>
      <c r="AM624" t="s">
        <v>1145</v>
      </c>
      <c r="AN624" t="s">
        <v>1146</v>
      </c>
      <c r="AO624" s="100">
        <v>46262.040405092594</v>
      </c>
      <c r="AP624" t="s">
        <v>1147</v>
      </c>
      <c r="AQ624" t="s">
        <v>2465</v>
      </c>
      <c r="AR624" t="s">
        <v>1249</v>
      </c>
      <c r="AS624" t="s">
        <v>1150</v>
      </c>
      <c r="AT624" t="s">
        <v>2421</v>
      </c>
      <c r="AU624">
        <v>25</v>
      </c>
      <c r="AV624">
        <v>1.2140600000000001</v>
      </c>
      <c r="AW624">
        <v>4.0568522280211308E-2</v>
      </c>
      <c r="AX624">
        <v>3.3415582656714911</v>
      </c>
      <c r="AY624">
        <v>-3.8619019437726307</v>
      </c>
      <c r="AZ624">
        <v>9.3754730821305898</v>
      </c>
      <c r="BA624">
        <v>7.0987562374295639</v>
      </c>
      <c r="BB624" t="s">
        <v>4619</v>
      </c>
      <c r="BD624" s="98"/>
      <c r="BE624" s="98"/>
      <c r="BF624" t="s">
        <v>1152</v>
      </c>
      <c r="BG624" t="s">
        <v>322</v>
      </c>
      <c r="BH624" t="s">
        <v>1153</v>
      </c>
      <c r="BI624">
        <v>3.8619019437726307</v>
      </c>
      <c r="BJ624" t="s">
        <v>983</v>
      </c>
      <c r="BK624">
        <v>18.207336442811854</v>
      </c>
      <c r="BL624">
        <v>66.009724014326437</v>
      </c>
      <c r="BM624" t="s">
        <v>1260</v>
      </c>
      <c r="BN624" t="s">
        <v>1154</v>
      </c>
      <c r="BO624">
        <v>2025</v>
      </c>
      <c r="BP624" t="s">
        <v>966</v>
      </c>
      <c r="BQ624">
        <v>1.0794755755938468E-2</v>
      </c>
      <c r="BR624">
        <v>99.999998920524419</v>
      </c>
      <c r="BS624" t="s">
        <v>984</v>
      </c>
      <c r="BT624">
        <v>3</v>
      </c>
      <c r="BU624">
        <v>1</v>
      </c>
      <c r="BV624" t="s">
        <v>985</v>
      </c>
      <c r="BW624" t="s">
        <v>943</v>
      </c>
      <c r="BX624" t="s">
        <v>986</v>
      </c>
      <c r="BY624">
        <v>7.0987562374295639</v>
      </c>
      <c r="BZ624" t="s">
        <v>1155</v>
      </c>
      <c r="CA624" t="s">
        <v>983</v>
      </c>
      <c r="CB624" t="b">
        <v>1</v>
      </c>
      <c r="CC624" t="b">
        <v>0</v>
      </c>
      <c r="CD624" t="b">
        <v>0</v>
      </c>
      <c r="CE624" t="b">
        <v>0</v>
      </c>
      <c r="CF624" t="b">
        <v>0</v>
      </c>
    </row>
    <row r="625" spans="1:84" x14ac:dyDescent="0.3">
      <c r="A625" t="s">
        <v>2466</v>
      </c>
      <c r="B625" t="s">
        <v>1251</v>
      </c>
      <c r="C625" s="98">
        <v>45824</v>
      </c>
      <c r="D625">
        <v>2025</v>
      </c>
      <c r="E625">
        <v>6</v>
      </c>
      <c r="F625">
        <v>2</v>
      </c>
      <c r="G625" t="s">
        <v>1243</v>
      </c>
      <c r="H625" t="s">
        <v>138</v>
      </c>
      <c r="I625" t="s">
        <v>138</v>
      </c>
      <c r="J625" t="s">
        <v>6</v>
      </c>
      <c r="L625">
        <v>522611</v>
      </c>
      <c r="M625" s="99" t="s">
        <v>178</v>
      </c>
      <c r="N625">
        <v>1</v>
      </c>
      <c r="O625">
        <v>24</v>
      </c>
      <c r="P625">
        <v>1.2491000000000001</v>
      </c>
      <c r="Q625" t="s">
        <v>352</v>
      </c>
      <c r="R625">
        <v>1</v>
      </c>
      <c r="S625">
        <v>1.2193000000000001</v>
      </c>
      <c r="T625">
        <v>3.7900000000000003E-2</v>
      </c>
      <c r="U625">
        <v>0.78627968337730991</v>
      </c>
      <c r="V625">
        <v>1.1056000000000001</v>
      </c>
      <c r="W625">
        <v>1.1435</v>
      </c>
      <c r="X625">
        <v>1.1814</v>
      </c>
      <c r="Y625">
        <v>1.2572000000000001</v>
      </c>
      <c r="Z625">
        <v>1.2951000000000001</v>
      </c>
      <c r="AA625">
        <v>1.333</v>
      </c>
      <c r="AD625">
        <v>27.582809524942444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 t="s">
        <v>462</v>
      </c>
      <c r="AL625" t="s">
        <v>6</v>
      </c>
      <c r="AM625" t="s">
        <v>1145</v>
      </c>
      <c r="AN625" t="s">
        <v>1146</v>
      </c>
      <c r="AO625" s="100">
        <v>46262.040405092594</v>
      </c>
      <c r="AP625" t="s">
        <v>1147</v>
      </c>
      <c r="AQ625" t="s">
        <v>2467</v>
      </c>
      <c r="AR625" t="s">
        <v>1253</v>
      </c>
      <c r="AS625" t="s">
        <v>1150</v>
      </c>
      <c r="AT625" t="s">
        <v>2421</v>
      </c>
      <c r="AU625">
        <v>25</v>
      </c>
      <c r="AV625">
        <v>1.2140600000000001</v>
      </c>
      <c r="AW625">
        <v>4.0568522280211308E-2</v>
      </c>
      <c r="AX625">
        <v>3.3415582656714911</v>
      </c>
      <c r="AY625">
        <v>-3.8619019437726307</v>
      </c>
      <c r="AZ625">
        <v>9.3754730821305898</v>
      </c>
      <c r="BA625">
        <v>7.0987562374295639</v>
      </c>
      <c r="BB625" t="s">
        <v>4619</v>
      </c>
      <c r="BD625" s="98"/>
      <c r="BE625" s="98"/>
      <c r="BF625" t="s">
        <v>1152</v>
      </c>
      <c r="BG625" t="s">
        <v>322</v>
      </c>
      <c r="BH625" t="s">
        <v>1153</v>
      </c>
      <c r="BI625">
        <v>3.8619019437726307</v>
      </c>
      <c r="BJ625" t="s">
        <v>983</v>
      </c>
      <c r="BK625">
        <v>18.207336442811854</v>
      </c>
      <c r="BL625">
        <v>66.009724014326437</v>
      </c>
      <c r="BM625" t="s">
        <v>1260</v>
      </c>
      <c r="BN625" t="s">
        <v>1154</v>
      </c>
      <c r="BO625">
        <v>2025</v>
      </c>
      <c r="BP625" t="s">
        <v>966</v>
      </c>
      <c r="BQ625">
        <v>1.0794755755938468E-2</v>
      </c>
      <c r="BR625">
        <v>99.999998920524419</v>
      </c>
      <c r="BS625" t="s">
        <v>984</v>
      </c>
      <c r="BT625">
        <v>3</v>
      </c>
      <c r="BU625">
        <v>1</v>
      </c>
      <c r="BV625" t="s">
        <v>985</v>
      </c>
      <c r="BW625" t="s">
        <v>943</v>
      </c>
      <c r="BX625" t="s">
        <v>986</v>
      </c>
      <c r="BY625">
        <v>7.0987562374295639</v>
      </c>
      <c r="BZ625" t="s">
        <v>1155</v>
      </c>
      <c r="CA625" t="s">
        <v>983</v>
      </c>
      <c r="CB625" t="b">
        <v>1</v>
      </c>
      <c r="CC625" t="b">
        <v>0</v>
      </c>
      <c r="CD625" t="b">
        <v>0</v>
      </c>
      <c r="CE625" t="b">
        <v>0</v>
      </c>
      <c r="CF625" t="b">
        <v>0</v>
      </c>
    </row>
    <row r="626" spans="1:84" x14ac:dyDescent="0.3">
      <c r="A626" t="s">
        <v>2468</v>
      </c>
      <c r="B626" t="s">
        <v>1255</v>
      </c>
      <c r="C626" s="98">
        <v>45831</v>
      </c>
      <c r="D626">
        <v>2025</v>
      </c>
      <c r="E626">
        <v>6</v>
      </c>
      <c r="F626">
        <v>2</v>
      </c>
      <c r="G626" t="s">
        <v>1243</v>
      </c>
      <c r="H626" t="s">
        <v>138</v>
      </c>
      <c r="I626" t="s">
        <v>138</v>
      </c>
      <c r="J626" t="s">
        <v>6</v>
      </c>
      <c r="L626">
        <v>522611</v>
      </c>
      <c r="M626" s="99" t="s">
        <v>178</v>
      </c>
      <c r="N626">
        <v>1</v>
      </c>
      <c r="O626">
        <v>25</v>
      </c>
      <c r="P626">
        <v>1.1989000000000001</v>
      </c>
      <c r="Q626" t="s">
        <v>352</v>
      </c>
      <c r="R626">
        <v>1</v>
      </c>
      <c r="S626">
        <v>1.2193000000000001</v>
      </c>
      <c r="T626">
        <v>3.7900000000000003E-2</v>
      </c>
      <c r="U626">
        <v>-0.53825857519788844</v>
      </c>
      <c r="V626">
        <v>1.1056000000000001</v>
      </c>
      <c r="W626">
        <v>1.1435</v>
      </c>
      <c r="X626">
        <v>1.1814</v>
      </c>
      <c r="Y626">
        <v>1.2572000000000001</v>
      </c>
      <c r="Z626">
        <v>1.2951000000000001</v>
      </c>
      <c r="AA626">
        <v>1.333</v>
      </c>
      <c r="AD626">
        <v>27.582809524942444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 t="s">
        <v>462</v>
      </c>
      <c r="AL626" t="s">
        <v>6</v>
      </c>
      <c r="AM626" t="s">
        <v>1145</v>
      </c>
      <c r="AN626" t="s">
        <v>1146</v>
      </c>
      <c r="AO626" s="100">
        <v>46262.040405092594</v>
      </c>
      <c r="AP626" t="s">
        <v>1147</v>
      </c>
      <c r="AQ626" t="s">
        <v>2469</v>
      </c>
      <c r="AR626" t="s">
        <v>1257</v>
      </c>
      <c r="AS626" t="s">
        <v>1150</v>
      </c>
      <c r="AT626" t="s">
        <v>2421</v>
      </c>
      <c r="AU626">
        <v>25</v>
      </c>
      <c r="AV626">
        <v>1.2140600000000001</v>
      </c>
      <c r="AW626">
        <v>4.0568522280211308E-2</v>
      </c>
      <c r="AX626">
        <v>3.3415582656714911</v>
      </c>
      <c r="AY626">
        <v>-3.8619019437726307</v>
      </c>
      <c r="AZ626">
        <v>9.3754730821305898</v>
      </c>
      <c r="BA626">
        <v>7.0987562374295639</v>
      </c>
      <c r="BB626" t="s">
        <v>4619</v>
      </c>
      <c r="BD626" s="98"/>
      <c r="BE626" s="98"/>
      <c r="BF626" t="s">
        <v>1152</v>
      </c>
      <c r="BG626" t="s">
        <v>322</v>
      </c>
      <c r="BH626" t="s">
        <v>1153</v>
      </c>
      <c r="BI626">
        <v>3.8619019437726307</v>
      </c>
      <c r="BJ626" t="s">
        <v>983</v>
      </c>
      <c r="BK626">
        <v>18.207336442811854</v>
      </c>
      <c r="BL626">
        <v>66.009724014326437</v>
      </c>
      <c r="BM626" t="s">
        <v>1260</v>
      </c>
      <c r="BN626" t="s">
        <v>1154</v>
      </c>
      <c r="BO626">
        <v>2025</v>
      </c>
      <c r="BP626" t="s">
        <v>966</v>
      </c>
      <c r="BQ626">
        <v>1.0794755755938468E-2</v>
      </c>
      <c r="BR626">
        <v>99.999998920524419</v>
      </c>
      <c r="BS626" t="s">
        <v>984</v>
      </c>
      <c r="BT626">
        <v>3</v>
      </c>
      <c r="BU626">
        <v>1</v>
      </c>
      <c r="BV626" t="s">
        <v>985</v>
      </c>
      <c r="BW626" t="s">
        <v>943</v>
      </c>
      <c r="BX626" t="s">
        <v>986</v>
      </c>
      <c r="BY626">
        <v>7.0987562374295639</v>
      </c>
      <c r="BZ626" t="s">
        <v>1155</v>
      </c>
      <c r="CA626" t="s">
        <v>983</v>
      </c>
      <c r="CB626" t="b">
        <v>1</v>
      </c>
      <c r="CC626" t="b">
        <v>0</v>
      </c>
      <c r="CD626" t="b">
        <v>0</v>
      </c>
      <c r="CE626" t="b">
        <v>0</v>
      </c>
      <c r="CF626" t="b">
        <v>0</v>
      </c>
    </row>
    <row r="627" spans="1:84" x14ac:dyDescent="0.3">
      <c r="A627" t="s">
        <v>2470</v>
      </c>
      <c r="B627" t="s">
        <v>1143</v>
      </c>
      <c r="C627" s="98">
        <v>45663</v>
      </c>
      <c r="D627">
        <v>2025</v>
      </c>
      <c r="E627">
        <v>1</v>
      </c>
      <c r="F627">
        <v>1</v>
      </c>
      <c r="G627" t="s">
        <v>1144</v>
      </c>
      <c r="H627" t="s">
        <v>138</v>
      </c>
      <c r="I627" t="s">
        <v>138</v>
      </c>
      <c r="J627" t="s">
        <v>6</v>
      </c>
      <c r="L627">
        <v>522611</v>
      </c>
      <c r="M627" s="99" t="s">
        <v>179</v>
      </c>
      <c r="N627">
        <v>2</v>
      </c>
      <c r="O627">
        <v>1</v>
      </c>
      <c r="P627">
        <v>2.9714</v>
      </c>
      <c r="Q627" t="s">
        <v>352</v>
      </c>
      <c r="R627">
        <v>1</v>
      </c>
      <c r="S627">
        <v>2.9738000000000002</v>
      </c>
      <c r="T627">
        <v>6.0400000000000002E-2</v>
      </c>
      <c r="U627">
        <v>-3.9735099337751316E-2</v>
      </c>
      <c r="V627">
        <v>2.7926000000000002</v>
      </c>
      <c r="W627">
        <v>2.8530000000000002</v>
      </c>
      <c r="X627">
        <v>2.9134000000000002</v>
      </c>
      <c r="Y627">
        <v>3.0342000000000002</v>
      </c>
      <c r="Z627">
        <v>3.0946000000000002</v>
      </c>
      <c r="AA627">
        <v>3.1550000000000002</v>
      </c>
      <c r="AD627">
        <v>27.582809524942444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 t="s">
        <v>462</v>
      </c>
      <c r="AL627" t="s">
        <v>6</v>
      </c>
      <c r="AM627" t="s">
        <v>1145</v>
      </c>
      <c r="AN627" t="s">
        <v>1146</v>
      </c>
      <c r="AO627" s="100">
        <v>46262.040405092594</v>
      </c>
      <c r="AP627" t="s">
        <v>1147</v>
      </c>
      <c r="AQ627" t="s">
        <v>2471</v>
      </c>
      <c r="AR627" t="s">
        <v>1149</v>
      </c>
      <c r="AS627" t="s">
        <v>1150</v>
      </c>
      <c r="AT627" t="s">
        <v>2421</v>
      </c>
      <c r="AU627">
        <v>25</v>
      </c>
      <c r="AV627">
        <v>2.983816</v>
      </c>
      <c r="AW627">
        <v>5.4569685418432386E-2</v>
      </c>
      <c r="AX627">
        <v>1.8288555801843138</v>
      </c>
      <c r="AY627">
        <v>-3.8619019437726307</v>
      </c>
      <c r="AZ627">
        <v>6.8795136510767483</v>
      </c>
      <c r="BA627">
        <v>12.97035579965215</v>
      </c>
      <c r="BB627" t="s">
        <v>4619</v>
      </c>
      <c r="BD627" s="98"/>
      <c r="BE627" s="98"/>
      <c r="BF627" t="s">
        <v>1152</v>
      </c>
      <c r="BG627" t="s">
        <v>322</v>
      </c>
      <c r="BH627" t="s">
        <v>1153</v>
      </c>
      <c r="BI627">
        <v>3.8619019437726307</v>
      </c>
      <c r="BJ627" t="s">
        <v>983</v>
      </c>
      <c r="BK627">
        <v>20.703295873865695</v>
      </c>
      <c r="BL627">
        <v>75.058691374945781</v>
      </c>
      <c r="BM627" t="s">
        <v>1260</v>
      </c>
      <c r="BN627" t="s">
        <v>1154</v>
      </c>
      <c r="BO627">
        <v>2025</v>
      </c>
      <c r="BP627" t="s">
        <v>966</v>
      </c>
      <c r="BQ627">
        <v>1.0794755755938468E-2</v>
      </c>
      <c r="BR627">
        <v>99.999998920524419</v>
      </c>
      <c r="BS627" t="s">
        <v>984</v>
      </c>
      <c r="BT627">
        <v>3</v>
      </c>
      <c r="BU627">
        <v>1</v>
      </c>
      <c r="BV627" t="s">
        <v>985</v>
      </c>
      <c r="BW627" t="s">
        <v>943</v>
      </c>
      <c r="BX627" t="s">
        <v>986</v>
      </c>
      <c r="BY627">
        <v>7.0987562374295639</v>
      </c>
      <c r="BZ627" t="s">
        <v>1155</v>
      </c>
      <c r="CA627" t="s">
        <v>983</v>
      </c>
      <c r="CB627" t="b">
        <v>1</v>
      </c>
      <c r="CC627" t="b">
        <v>0</v>
      </c>
      <c r="CD627" t="b">
        <v>0</v>
      </c>
      <c r="CE627" t="b">
        <v>0</v>
      </c>
      <c r="CF627" t="b">
        <v>0</v>
      </c>
    </row>
    <row r="628" spans="1:84" x14ac:dyDescent="0.3">
      <c r="A628" t="s">
        <v>2472</v>
      </c>
      <c r="B628" t="s">
        <v>1157</v>
      </c>
      <c r="C628" s="98">
        <v>45670</v>
      </c>
      <c r="D628">
        <v>2025</v>
      </c>
      <c r="E628">
        <v>1</v>
      </c>
      <c r="F628">
        <v>1</v>
      </c>
      <c r="G628" t="s">
        <v>1144</v>
      </c>
      <c r="H628" t="s">
        <v>138</v>
      </c>
      <c r="I628" t="s">
        <v>138</v>
      </c>
      <c r="J628" t="s">
        <v>6</v>
      </c>
      <c r="L628">
        <v>522611</v>
      </c>
      <c r="M628" s="99" t="s">
        <v>179</v>
      </c>
      <c r="N628">
        <v>2</v>
      </c>
      <c r="O628">
        <v>2</v>
      </c>
      <c r="P628">
        <v>3.0285000000000002</v>
      </c>
      <c r="Q628" t="s">
        <v>352</v>
      </c>
      <c r="R628">
        <v>1</v>
      </c>
      <c r="S628">
        <v>2.9738000000000002</v>
      </c>
      <c r="T628">
        <v>6.0400000000000002E-2</v>
      </c>
      <c r="U628">
        <v>0.90562913907284714</v>
      </c>
      <c r="V628">
        <v>2.7926000000000002</v>
      </c>
      <c r="W628">
        <v>2.8530000000000002</v>
      </c>
      <c r="X628">
        <v>2.9134000000000002</v>
      </c>
      <c r="Y628">
        <v>3.0342000000000002</v>
      </c>
      <c r="Z628">
        <v>3.0946000000000002</v>
      </c>
      <c r="AA628">
        <v>3.1550000000000002</v>
      </c>
      <c r="AD628">
        <v>27.582809524942444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 t="s">
        <v>462</v>
      </c>
      <c r="AL628" t="s">
        <v>6</v>
      </c>
      <c r="AM628" t="s">
        <v>1145</v>
      </c>
      <c r="AN628" t="s">
        <v>1146</v>
      </c>
      <c r="AO628" s="100">
        <v>46262.040405092594</v>
      </c>
      <c r="AP628" t="s">
        <v>1147</v>
      </c>
      <c r="AQ628" t="s">
        <v>2473</v>
      </c>
      <c r="AR628" t="s">
        <v>1159</v>
      </c>
      <c r="AS628" t="s">
        <v>1150</v>
      </c>
      <c r="AT628" t="s">
        <v>2421</v>
      </c>
      <c r="AU628">
        <v>25</v>
      </c>
      <c r="AV628">
        <v>2.983816</v>
      </c>
      <c r="AW628">
        <v>5.4569685418432386E-2</v>
      </c>
      <c r="AX628">
        <v>1.8288555801843138</v>
      </c>
      <c r="AY628">
        <v>-3.8619019437726307</v>
      </c>
      <c r="AZ628">
        <v>6.8795136510767483</v>
      </c>
      <c r="BA628">
        <v>12.97035579965215</v>
      </c>
      <c r="BB628" t="s">
        <v>4619</v>
      </c>
      <c r="BD628" s="98"/>
      <c r="BE628" s="98"/>
      <c r="BF628" t="s">
        <v>1152</v>
      </c>
      <c r="BG628" t="s">
        <v>322</v>
      </c>
      <c r="BH628" t="s">
        <v>1153</v>
      </c>
      <c r="BI628">
        <v>3.8619019437726307</v>
      </c>
      <c r="BJ628" t="s">
        <v>983</v>
      </c>
      <c r="BK628">
        <v>20.703295873865695</v>
      </c>
      <c r="BL628">
        <v>75.058691374945781</v>
      </c>
      <c r="BM628" t="s">
        <v>1260</v>
      </c>
      <c r="BN628" t="s">
        <v>1154</v>
      </c>
      <c r="BO628">
        <v>2025</v>
      </c>
      <c r="BP628" t="s">
        <v>966</v>
      </c>
      <c r="BQ628">
        <v>1.0794755755938468E-2</v>
      </c>
      <c r="BR628">
        <v>99.999998920524419</v>
      </c>
      <c r="BS628" t="s">
        <v>984</v>
      </c>
      <c r="BT628">
        <v>3</v>
      </c>
      <c r="BU628">
        <v>1</v>
      </c>
      <c r="BV628" t="s">
        <v>985</v>
      </c>
      <c r="BW628" t="s">
        <v>943</v>
      </c>
      <c r="BX628" t="s">
        <v>986</v>
      </c>
      <c r="BY628">
        <v>7.0987562374295639</v>
      </c>
      <c r="BZ628" t="s">
        <v>1155</v>
      </c>
      <c r="CA628" t="s">
        <v>983</v>
      </c>
      <c r="CB628" t="b">
        <v>1</v>
      </c>
      <c r="CC628" t="b">
        <v>0</v>
      </c>
      <c r="CD628" t="b">
        <v>0</v>
      </c>
      <c r="CE628" t="b">
        <v>0</v>
      </c>
      <c r="CF628" t="b">
        <v>0</v>
      </c>
    </row>
    <row r="629" spans="1:84" x14ac:dyDescent="0.3">
      <c r="A629" t="s">
        <v>2474</v>
      </c>
      <c r="B629" t="s">
        <v>1161</v>
      </c>
      <c r="C629" s="98">
        <v>45677</v>
      </c>
      <c r="D629">
        <v>2025</v>
      </c>
      <c r="E629">
        <v>1</v>
      </c>
      <c r="F629">
        <v>1</v>
      </c>
      <c r="G629" t="s">
        <v>1144</v>
      </c>
      <c r="H629" t="s">
        <v>138</v>
      </c>
      <c r="I629" t="s">
        <v>138</v>
      </c>
      <c r="J629" t="s">
        <v>6</v>
      </c>
      <c r="L629">
        <v>522611</v>
      </c>
      <c r="M629" s="99" t="s">
        <v>179</v>
      </c>
      <c r="N629">
        <v>2</v>
      </c>
      <c r="O629">
        <v>3</v>
      </c>
      <c r="P629">
        <v>3.0920000000000001</v>
      </c>
      <c r="Q629" t="s">
        <v>352</v>
      </c>
      <c r="R629">
        <v>1</v>
      </c>
      <c r="S629">
        <v>2.9738000000000002</v>
      </c>
      <c r="T629">
        <v>6.0400000000000002E-2</v>
      </c>
      <c r="U629">
        <v>1.9569536423841036</v>
      </c>
      <c r="V629">
        <v>2.7926000000000002</v>
      </c>
      <c r="W629">
        <v>2.8530000000000002</v>
      </c>
      <c r="X629">
        <v>2.9134000000000002</v>
      </c>
      <c r="Y629">
        <v>3.0342000000000002</v>
      </c>
      <c r="Z629">
        <v>3.0946000000000002</v>
      </c>
      <c r="AA629">
        <v>3.1550000000000002</v>
      </c>
      <c r="AD629">
        <v>27.582809524942444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 t="s">
        <v>462</v>
      </c>
      <c r="AL629" t="s">
        <v>6</v>
      </c>
      <c r="AM629" t="s">
        <v>1145</v>
      </c>
      <c r="AN629" t="s">
        <v>1146</v>
      </c>
      <c r="AO629" s="100">
        <v>46262.040405092594</v>
      </c>
      <c r="AP629" t="s">
        <v>1147</v>
      </c>
      <c r="AQ629" t="s">
        <v>2475</v>
      </c>
      <c r="AR629" t="s">
        <v>1163</v>
      </c>
      <c r="AS629" t="s">
        <v>1150</v>
      </c>
      <c r="AT629" t="s">
        <v>2421</v>
      </c>
      <c r="AU629">
        <v>25</v>
      </c>
      <c r="AV629">
        <v>2.983816</v>
      </c>
      <c r="AW629">
        <v>5.4569685418432386E-2</v>
      </c>
      <c r="AX629">
        <v>1.8288555801843138</v>
      </c>
      <c r="AY629">
        <v>-3.8619019437726307</v>
      </c>
      <c r="AZ629">
        <v>6.8795136510767483</v>
      </c>
      <c r="BA629">
        <v>12.97035579965215</v>
      </c>
      <c r="BB629" t="s">
        <v>4619</v>
      </c>
      <c r="BD629" s="98"/>
      <c r="BE629" s="98"/>
      <c r="BF629" t="s">
        <v>1152</v>
      </c>
      <c r="BG629" t="s">
        <v>322</v>
      </c>
      <c r="BH629" t="s">
        <v>1153</v>
      </c>
      <c r="BI629">
        <v>3.8619019437726307</v>
      </c>
      <c r="BJ629" t="s">
        <v>983</v>
      </c>
      <c r="BK629">
        <v>20.703295873865695</v>
      </c>
      <c r="BL629">
        <v>75.058691374945781</v>
      </c>
      <c r="BM629" t="s">
        <v>1260</v>
      </c>
      <c r="BN629" t="s">
        <v>1154</v>
      </c>
      <c r="BO629">
        <v>2025</v>
      </c>
      <c r="BP629" t="s">
        <v>966</v>
      </c>
      <c r="BQ629">
        <v>1.0794755755938468E-2</v>
      </c>
      <c r="BR629">
        <v>99.999998920524419</v>
      </c>
      <c r="BS629" t="s">
        <v>984</v>
      </c>
      <c r="BT629">
        <v>3</v>
      </c>
      <c r="BU629">
        <v>1</v>
      </c>
      <c r="BV629" t="s">
        <v>985</v>
      </c>
      <c r="BW629" t="s">
        <v>943</v>
      </c>
      <c r="BX629" t="s">
        <v>986</v>
      </c>
      <c r="BY629">
        <v>7.0987562374295639</v>
      </c>
      <c r="BZ629" t="s">
        <v>1155</v>
      </c>
      <c r="CA629" t="s">
        <v>983</v>
      </c>
      <c r="CB629" t="b">
        <v>1</v>
      </c>
      <c r="CC629" t="b">
        <v>0</v>
      </c>
      <c r="CD629" t="b">
        <v>0</v>
      </c>
      <c r="CE629" t="b">
        <v>0</v>
      </c>
      <c r="CF629" t="b">
        <v>0</v>
      </c>
    </row>
    <row r="630" spans="1:84" x14ac:dyDescent="0.3">
      <c r="A630" t="s">
        <v>2476</v>
      </c>
      <c r="B630" t="s">
        <v>1165</v>
      </c>
      <c r="C630" s="98">
        <v>45684</v>
      </c>
      <c r="D630">
        <v>2025</v>
      </c>
      <c r="E630">
        <v>1</v>
      </c>
      <c r="F630">
        <v>1</v>
      </c>
      <c r="G630" t="s">
        <v>1144</v>
      </c>
      <c r="H630" t="s">
        <v>138</v>
      </c>
      <c r="I630" t="s">
        <v>138</v>
      </c>
      <c r="J630" t="s">
        <v>6</v>
      </c>
      <c r="L630">
        <v>522611</v>
      </c>
      <c r="M630" s="99" t="s">
        <v>179</v>
      </c>
      <c r="N630">
        <v>2</v>
      </c>
      <c r="O630">
        <v>4</v>
      </c>
      <c r="P630">
        <v>2.9641999999999999</v>
      </c>
      <c r="Q630" t="s">
        <v>352</v>
      </c>
      <c r="R630">
        <v>1</v>
      </c>
      <c r="S630">
        <v>2.9738000000000002</v>
      </c>
      <c r="T630">
        <v>6.0400000000000002E-2</v>
      </c>
      <c r="U630">
        <v>-0.15894039735099794</v>
      </c>
      <c r="V630">
        <v>2.7926000000000002</v>
      </c>
      <c r="W630">
        <v>2.8530000000000002</v>
      </c>
      <c r="X630">
        <v>2.9134000000000002</v>
      </c>
      <c r="Y630">
        <v>3.0342000000000002</v>
      </c>
      <c r="Z630">
        <v>3.0946000000000002</v>
      </c>
      <c r="AA630">
        <v>3.1550000000000002</v>
      </c>
      <c r="AD630">
        <v>27.582809524942444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 t="s">
        <v>462</v>
      </c>
      <c r="AL630" t="s">
        <v>6</v>
      </c>
      <c r="AM630" t="s">
        <v>1145</v>
      </c>
      <c r="AN630" t="s">
        <v>1146</v>
      </c>
      <c r="AO630" s="100">
        <v>46262.040405092594</v>
      </c>
      <c r="AP630" t="s">
        <v>1147</v>
      </c>
      <c r="AQ630" t="s">
        <v>2477</v>
      </c>
      <c r="AR630" t="s">
        <v>1167</v>
      </c>
      <c r="AS630" t="s">
        <v>1150</v>
      </c>
      <c r="AT630" t="s">
        <v>2421</v>
      </c>
      <c r="AU630">
        <v>25</v>
      </c>
      <c r="AV630">
        <v>2.983816</v>
      </c>
      <c r="AW630">
        <v>5.4569685418432386E-2</v>
      </c>
      <c r="AX630">
        <v>1.8288555801843138</v>
      </c>
      <c r="AY630">
        <v>-3.8619019437726307</v>
      </c>
      <c r="AZ630">
        <v>6.8795136510767483</v>
      </c>
      <c r="BA630">
        <v>12.97035579965215</v>
      </c>
      <c r="BB630" t="s">
        <v>4619</v>
      </c>
      <c r="BD630" s="98"/>
      <c r="BE630" s="98"/>
      <c r="BF630" t="s">
        <v>1152</v>
      </c>
      <c r="BG630" t="s">
        <v>322</v>
      </c>
      <c r="BH630" t="s">
        <v>1153</v>
      </c>
      <c r="BI630">
        <v>3.8619019437726307</v>
      </c>
      <c r="BJ630" t="s">
        <v>983</v>
      </c>
      <c r="BK630">
        <v>20.703295873865695</v>
      </c>
      <c r="BL630">
        <v>75.058691374945781</v>
      </c>
      <c r="BM630" t="s">
        <v>1260</v>
      </c>
      <c r="BN630" t="s">
        <v>1154</v>
      </c>
      <c r="BO630">
        <v>2025</v>
      </c>
      <c r="BP630" t="s">
        <v>966</v>
      </c>
      <c r="BQ630">
        <v>1.0794755755938468E-2</v>
      </c>
      <c r="BR630">
        <v>99.999998920524419</v>
      </c>
      <c r="BS630" t="s">
        <v>984</v>
      </c>
      <c r="BT630">
        <v>3</v>
      </c>
      <c r="BU630">
        <v>1</v>
      </c>
      <c r="BV630" t="s">
        <v>985</v>
      </c>
      <c r="BW630" t="s">
        <v>943</v>
      </c>
      <c r="BX630" t="s">
        <v>986</v>
      </c>
      <c r="BY630">
        <v>7.0987562374295639</v>
      </c>
      <c r="BZ630" t="s">
        <v>1155</v>
      </c>
      <c r="CA630" t="s">
        <v>983</v>
      </c>
      <c r="CB630" t="b">
        <v>1</v>
      </c>
      <c r="CC630" t="b">
        <v>0</v>
      </c>
      <c r="CD630" t="b">
        <v>0</v>
      </c>
      <c r="CE630" t="b">
        <v>0</v>
      </c>
      <c r="CF630" t="b">
        <v>0</v>
      </c>
    </row>
    <row r="631" spans="1:84" x14ac:dyDescent="0.3">
      <c r="A631" t="s">
        <v>2478</v>
      </c>
      <c r="B631" t="s">
        <v>1169</v>
      </c>
      <c r="C631" s="98">
        <v>45691</v>
      </c>
      <c r="D631">
        <v>2025</v>
      </c>
      <c r="E631">
        <v>2</v>
      </c>
      <c r="F631">
        <v>1</v>
      </c>
      <c r="G631" t="s">
        <v>1170</v>
      </c>
      <c r="H631" t="s">
        <v>138</v>
      </c>
      <c r="I631" t="s">
        <v>138</v>
      </c>
      <c r="J631" t="s">
        <v>6</v>
      </c>
      <c r="L631">
        <v>522611</v>
      </c>
      <c r="M631" s="99" t="s">
        <v>179</v>
      </c>
      <c r="N631">
        <v>2</v>
      </c>
      <c r="O631">
        <v>5</v>
      </c>
      <c r="P631">
        <v>2.9708999999999999</v>
      </c>
      <c r="Q631" t="s">
        <v>352</v>
      </c>
      <c r="R631">
        <v>1</v>
      </c>
      <c r="S631">
        <v>2.9738000000000002</v>
      </c>
      <c r="T631">
        <v>6.0400000000000002E-2</v>
      </c>
      <c r="U631">
        <v>-4.8013245033118324E-2</v>
      </c>
      <c r="V631">
        <v>2.7926000000000002</v>
      </c>
      <c r="W631">
        <v>2.8530000000000002</v>
      </c>
      <c r="X631">
        <v>2.9134000000000002</v>
      </c>
      <c r="Y631">
        <v>3.0342000000000002</v>
      </c>
      <c r="Z631">
        <v>3.0946000000000002</v>
      </c>
      <c r="AA631">
        <v>3.1550000000000002</v>
      </c>
      <c r="AD631">
        <v>27.582809524942444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 t="s">
        <v>462</v>
      </c>
      <c r="AL631" t="s">
        <v>6</v>
      </c>
      <c r="AM631" t="s">
        <v>1145</v>
      </c>
      <c r="AN631" t="s">
        <v>1146</v>
      </c>
      <c r="AO631" s="100">
        <v>46262.040405092594</v>
      </c>
      <c r="AP631" t="s">
        <v>1147</v>
      </c>
      <c r="AQ631" t="s">
        <v>2479</v>
      </c>
      <c r="AR631" t="s">
        <v>1172</v>
      </c>
      <c r="AS631" t="s">
        <v>1150</v>
      </c>
      <c r="AT631" t="s">
        <v>2421</v>
      </c>
      <c r="AU631">
        <v>25</v>
      </c>
      <c r="AV631">
        <v>2.983816</v>
      </c>
      <c r="AW631">
        <v>5.4569685418432386E-2</v>
      </c>
      <c r="AX631">
        <v>1.8288555801843138</v>
      </c>
      <c r="AY631">
        <v>-3.8619019437726307</v>
      </c>
      <c r="AZ631">
        <v>6.8795136510767483</v>
      </c>
      <c r="BA631">
        <v>12.97035579965215</v>
      </c>
      <c r="BB631" t="s">
        <v>4619</v>
      </c>
      <c r="BD631" s="98"/>
      <c r="BE631" s="98"/>
      <c r="BF631" t="s">
        <v>1152</v>
      </c>
      <c r="BG631" t="s">
        <v>322</v>
      </c>
      <c r="BH631" t="s">
        <v>1153</v>
      </c>
      <c r="BI631">
        <v>3.8619019437726307</v>
      </c>
      <c r="BJ631" t="s">
        <v>983</v>
      </c>
      <c r="BK631">
        <v>20.703295873865695</v>
      </c>
      <c r="BL631">
        <v>75.058691374945781</v>
      </c>
      <c r="BM631" t="s">
        <v>1260</v>
      </c>
      <c r="BN631" t="s">
        <v>1154</v>
      </c>
      <c r="BO631">
        <v>2025</v>
      </c>
      <c r="BP631" t="s">
        <v>966</v>
      </c>
      <c r="BQ631">
        <v>1.0794755755938468E-2</v>
      </c>
      <c r="BR631">
        <v>99.999998920524419</v>
      </c>
      <c r="BS631" t="s">
        <v>984</v>
      </c>
      <c r="BT631">
        <v>3</v>
      </c>
      <c r="BU631">
        <v>1</v>
      </c>
      <c r="BV631" t="s">
        <v>985</v>
      </c>
      <c r="BW631" t="s">
        <v>943</v>
      </c>
      <c r="BX631" t="s">
        <v>986</v>
      </c>
      <c r="BY631">
        <v>7.0987562374295639</v>
      </c>
      <c r="BZ631" t="s">
        <v>1155</v>
      </c>
      <c r="CA631" t="s">
        <v>983</v>
      </c>
      <c r="CB631" t="b">
        <v>1</v>
      </c>
      <c r="CC631" t="b">
        <v>0</v>
      </c>
      <c r="CD631" t="b">
        <v>0</v>
      </c>
      <c r="CE631" t="b">
        <v>0</v>
      </c>
      <c r="CF631" t="b">
        <v>0</v>
      </c>
    </row>
    <row r="632" spans="1:84" x14ac:dyDescent="0.3">
      <c r="A632" t="s">
        <v>2480</v>
      </c>
      <c r="B632" t="s">
        <v>1174</v>
      </c>
      <c r="C632" s="98">
        <v>45698</v>
      </c>
      <c r="D632">
        <v>2025</v>
      </c>
      <c r="E632">
        <v>2</v>
      </c>
      <c r="F632">
        <v>1</v>
      </c>
      <c r="G632" t="s">
        <v>1170</v>
      </c>
      <c r="H632" t="s">
        <v>138</v>
      </c>
      <c r="I632" t="s">
        <v>138</v>
      </c>
      <c r="J632" t="s">
        <v>6</v>
      </c>
      <c r="L632">
        <v>522611</v>
      </c>
      <c r="M632" s="99" t="s">
        <v>179</v>
      </c>
      <c r="N632">
        <v>2</v>
      </c>
      <c r="O632">
        <v>6</v>
      </c>
      <c r="P632">
        <v>2.9857999999999998</v>
      </c>
      <c r="Q632" t="s">
        <v>352</v>
      </c>
      <c r="R632">
        <v>1</v>
      </c>
      <c r="S632">
        <v>2.9738000000000002</v>
      </c>
      <c r="T632">
        <v>6.0400000000000002E-2</v>
      </c>
      <c r="U632">
        <v>0.19867549668873455</v>
      </c>
      <c r="V632">
        <v>2.7926000000000002</v>
      </c>
      <c r="W632">
        <v>2.8530000000000002</v>
      </c>
      <c r="X632">
        <v>2.9134000000000002</v>
      </c>
      <c r="Y632">
        <v>3.0342000000000002</v>
      </c>
      <c r="Z632">
        <v>3.0946000000000002</v>
      </c>
      <c r="AA632">
        <v>3.1550000000000002</v>
      </c>
      <c r="AD632">
        <v>27.582809524942444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 t="s">
        <v>462</v>
      </c>
      <c r="AL632" t="s">
        <v>6</v>
      </c>
      <c r="AM632" t="s">
        <v>1145</v>
      </c>
      <c r="AN632" t="s">
        <v>1146</v>
      </c>
      <c r="AO632" s="100">
        <v>46262.040405092594</v>
      </c>
      <c r="AP632" t="s">
        <v>1147</v>
      </c>
      <c r="AQ632" t="s">
        <v>2481</v>
      </c>
      <c r="AR632" t="s">
        <v>1176</v>
      </c>
      <c r="AS632" t="s">
        <v>1150</v>
      </c>
      <c r="AT632" t="s">
        <v>2421</v>
      </c>
      <c r="AU632">
        <v>25</v>
      </c>
      <c r="AV632">
        <v>2.983816</v>
      </c>
      <c r="AW632">
        <v>5.4569685418432386E-2</v>
      </c>
      <c r="AX632">
        <v>1.8288555801843138</v>
      </c>
      <c r="AY632">
        <v>-3.8619019437726307</v>
      </c>
      <c r="AZ632">
        <v>6.8795136510767483</v>
      </c>
      <c r="BA632">
        <v>12.97035579965215</v>
      </c>
      <c r="BB632" t="s">
        <v>4619</v>
      </c>
      <c r="BD632" s="98"/>
      <c r="BE632" s="98"/>
      <c r="BF632" t="s">
        <v>1152</v>
      </c>
      <c r="BG632" t="s">
        <v>322</v>
      </c>
      <c r="BH632" t="s">
        <v>1153</v>
      </c>
      <c r="BI632">
        <v>3.8619019437726307</v>
      </c>
      <c r="BJ632" t="s">
        <v>983</v>
      </c>
      <c r="BK632">
        <v>20.703295873865695</v>
      </c>
      <c r="BL632">
        <v>75.058691374945781</v>
      </c>
      <c r="BM632" t="s">
        <v>1260</v>
      </c>
      <c r="BN632" t="s">
        <v>1154</v>
      </c>
      <c r="BO632">
        <v>2025</v>
      </c>
      <c r="BP632" t="s">
        <v>966</v>
      </c>
      <c r="BQ632">
        <v>1.0794755755938468E-2</v>
      </c>
      <c r="BR632">
        <v>99.999998920524419</v>
      </c>
      <c r="BS632" t="s">
        <v>984</v>
      </c>
      <c r="BT632">
        <v>3</v>
      </c>
      <c r="BU632">
        <v>1</v>
      </c>
      <c r="BV632" t="s">
        <v>985</v>
      </c>
      <c r="BW632" t="s">
        <v>943</v>
      </c>
      <c r="BX632" t="s">
        <v>986</v>
      </c>
      <c r="BY632">
        <v>7.0987562374295639</v>
      </c>
      <c r="BZ632" t="s">
        <v>1155</v>
      </c>
      <c r="CA632" t="s">
        <v>983</v>
      </c>
      <c r="CB632" t="b">
        <v>1</v>
      </c>
      <c r="CC632" t="b">
        <v>0</v>
      </c>
      <c r="CD632" t="b">
        <v>0</v>
      </c>
      <c r="CE632" t="b">
        <v>0</v>
      </c>
      <c r="CF632" t="b">
        <v>0</v>
      </c>
    </row>
    <row r="633" spans="1:84" x14ac:dyDescent="0.3">
      <c r="A633" t="s">
        <v>2482</v>
      </c>
      <c r="B633" t="s">
        <v>1178</v>
      </c>
      <c r="C633" s="98">
        <v>45705</v>
      </c>
      <c r="D633">
        <v>2025</v>
      </c>
      <c r="E633">
        <v>2</v>
      </c>
      <c r="F633">
        <v>1</v>
      </c>
      <c r="G633" t="s">
        <v>1170</v>
      </c>
      <c r="H633" t="s">
        <v>138</v>
      </c>
      <c r="I633" t="s">
        <v>138</v>
      </c>
      <c r="J633" t="s">
        <v>6</v>
      </c>
      <c r="L633">
        <v>522611</v>
      </c>
      <c r="M633" s="99" t="s">
        <v>179</v>
      </c>
      <c r="N633">
        <v>2</v>
      </c>
      <c r="O633">
        <v>7</v>
      </c>
      <c r="P633">
        <v>3.0548999999999999</v>
      </c>
      <c r="Q633" t="s">
        <v>352</v>
      </c>
      <c r="R633">
        <v>1</v>
      </c>
      <c r="S633">
        <v>2.9738000000000002</v>
      </c>
      <c r="T633">
        <v>6.0400000000000002E-2</v>
      </c>
      <c r="U633">
        <v>1.3427152317880748</v>
      </c>
      <c r="V633">
        <v>2.7926000000000002</v>
      </c>
      <c r="W633">
        <v>2.8530000000000002</v>
      </c>
      <c r="X633">
        <v>2.9134000000000002</v>
      </c>
      <c r="Y633">
        <v>3.0342000000000002</v>
      </c>
      <c r="Z633">
        <v>3.0946000000000002</v>
      </c>
      <c r="AA633">
        <v>3.1550000000000002</v>
      </c>
      <c r="AD633">
        <v>27.582809524942444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 t="s">
        <v>462</v>
      </c>
      <c r="AL633" t="s">
        <v>6</v>
      </c>
      <c r="AM633" t="s">
        <v>1145</v>
      </c>
      <c r="AN633" t="s">
        <v>1146</v>
      </c>
      <c r="AO633" s="100">
        <v>46262.040405092594</v>
      </c>
      <c r="AP633" t="s">
        <v>1147</v>
      </c>
      <c r="AQ633" t="s">
        <v>2483</v>
      </c>
      <c r="AR633" t="s">
        <v>1180</v>
      </c>
      <c r="AS633" t="s">
        <v>1150</v>
      </c>
      <c r="AT633" t="s">
        <v>2421</v>
      </c>
      <c r="AU633">
        <v>25</v>
      </c>
      <c r="AV633">
        <v>2.983816</v>
      </c>
      <c r="AW633">
        <v>5.4569685418432386E-2</v>
      </c>
      <c r="AX633">
        <v>1.8288555801843138</v>
      </c>
      <c r="AY633">
        <v>-3.8619019437726307</v>
      </c>
      <c r="AZ633">
        <v>6.8795136510767483</v>
      </c>
      <c r="BA633">
        <v>12.97035579965215</v>
      </c>
      <c r="BB633" t="s">
        <v>4619</v>
      </c>
      <c r="BD633" s="98"/>
      <c r="BE633" s="98"/>
      <c r="BF633" t="s">
        <v>1152</v>
      </c>
      <c r="BG633" t="s">
        <v>322</v>
      </c>
      <c r="BH633" t="s">
        <v>1153</v>
      </c>
      <c r="BI633">
        <v>3.8619019437726307</v>
      </c>
      <c r="BJ633" t="s">
        <v>983</v>
      </c>
      <c r="BK633">
        <v>20.703295873865695</v>
      </c>
      <c r="BL633">
        <v>75.058691374945781</v>
      </c>
      <c r="BM633" t="s">
        <v>1260</v>
      </c>
      <c r="BN633" t="s">
        <v>1154</v>
      </c>
      <c r="BO633">
        <v>2025</v>
      </c>
      <c r="BP633" t="s">
        <v>966</v>
      </c>
      <c r="BQ633">
        <v>1.0794755755938468E-2</v>
      </c>
      <c r="BR633">
        <v>99.999998920524419</v>
      </c>
      <c r="BS633" t="s">
        <v>984</v>
      </c>
      <c r="BT633">
        <v>3</v>
      </c>
      <c r="BU633">
        <v>1</v>
      </c>
      <c r="BV633" t="s">
        <v>985</v>
      </c>
      <c r="BW633" t="s">
        <v>943</v>
      </c>
      <c r="BX633" t="s">
        <v>986</v>
      </c>
      <c r="BY633">
        <v>7.0987562374295639</v>
      </c>
      <c r="BZ633" t="s">
        <v>1155</v>
      </c>
      <c r="CA633" t="s">
        <v>983</v>
      </c>
      <c r="CB633" t="b">
        <v>1</v>
      </c>
      <c r="CC633" t="b">
        <v>0</v>
      </c>
      <c r="CD633" t="b">
        <v>0</v>
      </c>
      <c r="CE633" t="b">
        <v>0</v>
      </c>
      <c r="CF633" t="b">
        <v>0</v>
      </c>
    </row>
    <row r="634" spans="1:84" x14ac:dyDescent="0.3">
      <c r="A634" t="s">
        <v>2484</v>
      </c>
      <c r="B634" t="s">
        <v>1182</v>
      </c>
      <c r="C634" s="98">
        <v>45712</v>
      </c>
      <c r="D634">
        <v>2025</v>
      </c>
      <c r="E634">
        <v>2</v>
      </c>
      <c r="F634">
        <v>1</v>
      </c>
      <c r="G634" t="s">
        <v>1170</v>
      </c>
      <c r="H634" t="s">
        <v>138</v>
      </c>
      <c r="I634" t="s">
        <v>138</v>
      </c>
      <c r="J634" t="s">
        <v>6</v>
      </c>
      <c r="L634">
        <v>522611</v>
      </c>
      <c r="M634" s="99" t="s">
        <v>179</v>
      </c>
      <c r="N634">
        <v>2</v>
      </c>
      <c r="O634">
        <v>8</v>
      </c>
      <c r="P634">
        <v>2.972</v>
      </c>
      <c r="Q634" t="s">
        <v>352</v>
      </c>
      <c r="R634">
        <v>1</v>
      </c>
      <c r="S634">
        <v>2.9738000000000002</v>
      </c>
      <c r="T634">
        <v>6.0400000000000002E-2</v>
      </c>
      <c r="U634">
        <v>-2.9801324503315327E-2</v>
      </c>
      <c r="V634">
        <v>2.7926000000000002</v>
      </c>
      <c r="W634">
        <v>2.8530000000000002</v>
      </c>
      <c r="X634">
        <v>2.9134000000000002</v>
      </c>
      <c r="Y634">
        <v>3.0342000000000002</v>
      </c>
      <c r="Z634">
        <v>3.0946000000000002</v>
      </c>
      <c r="AA634">
        <v>3.1550000000000002</v>
      </c>
      <c r="AD634">
        <v>27.582809524942444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 t="s">
        <v>462</v>
      </c>
      <c r="AL634" t="s">
        <v>6</v>
      </c>
      <c r="AM634" t="s">
        <v>1145</v>
      </c>
      <c r="AN634" t="s">
        <v>1146</v>
      </c>
      <c r="AO634" s="100">
        <v>46262.040405092594</v>
      </c>
      <c r="AP634" t="s">
        <v>1147</v>
      </c>
      <c r="AQ634" t="s">
        <v>2485</v>
      </c>
      <c r="AR634" t="s">
        <v>1184</v>
      </c>
      <c r="AS634" t="s">
        <v>1150</v>
      </c>
      <c r="AT634" t="s">
        <v>2421</v>
      </c>
      <c r="AU634">
        <v>25</v>
      </c>
      <c r="AV634">
        <v>2.983816</v>
      </c>
      <c r="AW634">
        <v>5.4569685418432386E-2</v>
      </c>
      <c r="AX634">
        <v>1.8288555801843138</v>
      </c>
      <c r="AY634">
        <v>-3.8619019437726307</v>
      </c>
      <c r="AZ634">
        <v>6.8795136510767483</v>
      </c>
      <c r="BA634">
        <v>12.97035579965215</v>
      </c>
      <c r="BB634" t="s">
        <v>4619</v>
      </c>
      <c r="BD634" s="98"/>
      <c r="BE634" s="98"/>
      <c r="BF634" t="s">
        <v>1152</v>
      </c>
      <c r="BG634" t="s">
        <v>322</v>
      </c>
      <c r="BH634" t="s">
        <v>1153</v>
      </c>
      <c r="BI634">
        <v>3.8619019437726307</v>
      </c>
      <c r="BJ634" t="s">
        <v>983</v>
      </c>
      <c r="BK634">
        <v>20.703295873865695</v>
      </c>
      <c r="BL634">
        <v>75.058691374945781</v>
      </c>
      <c r="BM634" t="s">
        <v>1260</v>
      </c>
      <c r="BN634" t="s">
        <v>1154</v>
      </c>
      <c r="BO634">
        <v>2025</v>
      </c>
      <c r="BP634" t="s">
        <v>966</v>
      </c>
      <c r="BQ634">
        <v>1.0794755755938468E-2</v>
      </c>
      <c r="BR634">
        <v>99.999998920524419</v>
      </c>
      <c r="BS634" t="s">
        <v>984</v>
      </c>
      <c r="BT634">
        <v>3</v>
      </c>
      <c r="BU634">
        <v>1</v>
      </c>
      <c r="BV634" t="s">
        <v>985</v>
      </c>
      <c r="BW634" t="s">
        <v>943</v>
      </c>
      <c r="BX634" t="s">
        <v>986</v>
      </c>
      <c r="BY634">
        <v>7.0987562374295639</v>
      </c>
      <c r="BZ634" t="s">
        <v>1155</v>
      </c>
      <c r="CA634" t="s">
        <v>983</v>
      </c>
      <c r="CB634" t="b">
        <v>1</v>
      </c>
      <c r="CC634" t="b">
        <v>0</v>
      </c>
      <c r="CD634" t="b">
        <v>0</v>
      </c>
      <c r="CE634" t="b">
        <v>0</v>
      </c>
      <c r="CF634" t="b">
        <v>0</v>
      </c>
    </row>
    <row r="635" spans="1:84" x14ac:dyDescent="0.3">
      <c r="A635" t="s">
        <v>2486</v>
      </c>
      <c r="B635" t="s">
        <v>1186</v>
      </c>
      <c r="C635" s="98">
        <v>45719</v>
      </c>
      <c r="D635">
        <v>2025</v>
      </c>
      <c r="E635">
        <v>3</v>
      </c>
      <c r="F635">
        <v>1</v>
      </c>
      <c r="G635" t="s">
        <v>1187</v>
      </c>
      <c r="H635" t="s">
        <v>138</v>
      </c>
      <c r="I635" t="s">
        <v>138</v>
      </c>
      <c r="J635" t="s">
        <v>6</v>
      </c>
      <c r="L635">
        <v>522611</v>
      </c>
      <c r="M635" s="99" t="s">
        <v>179</v>
      </c>
      <c r="N635">
        <v>2</v>
      </c>
      <c r="O635">
        <v>9</v>
      </c>
      <c r="P635">
        <v>3.0625</v>
      </c>
      <c r="Q635" t="s">
        <v>352</v>
      </c>
      <c r="R635">
        <v>1</v>
      </c>
      <c r="S635">
        <v>2.9738000000000002</v>
      </c>
      <c r="T635">
        <v>6.0400000000000002E-2</v>
      </c>
      <c r="U635">
        <v>1.4685430463576121</v>
      </c>
      <c r="V635">
        <v>2.7926000000000002</v>
      </c>
      <c r="W635">
        <v>2.8530000000000002</v>
      </c>
      <c r="X635">
        <v>2.9134000000000002</v>
      </c>
      <c r="Y635">
        <v>3.0342000000000002</v>
      </c>
      <c r="Z635">
        <v>3.0946000000000002</v>
      </c>
      <c r="AA635">
        <v>3.1550000000000002</v>
      </c>
      <c r="AD635">
        <v>27.582809524942444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 t="s">
        <v>462</v>
      </c>
      <c r="AL635" t="s">
        <v>6</v>
      </c>
      <c r="AM635" t="s">
        <v>1145</v>
      </c>
      <c r="AN635" t="s">
        <v>1146</v>
      </c>
      <c r="AO635" s="100">
        <v>46262.040405092594</v>
      </c>
      <c r="AP635" t="s">
        <v>1147</v>
      </c>
      <c r="AQ635" t="s">
        <v>2487</v>
      </c>
      <c r="AR635" t="s">
        <v>1189</v>
      </c>
      <c r="AS635" t="s">
        <v>1150</v>
      </c>
      <c r="AT635" t="s">
        <v>2421</v>
      </c>
      <c r="AU635">
        <v>25</v>
      </c>
      <c r="AV635">
        <v>2.983816</v>
      </c>
      <c r="AW635">
        <v>5.4569685418432386E-2</v>
      </c>
      <c r="AX635">
        <v>1.8288555801843138</v>
      </c>
      <c r="AY635">
        <v>-3.8619019437726307</v>
      </c>
      <c r="AZ635">
        <v>6.8795136510767483</v>
      </c>
      <c r="BA635">
        <v>12.97035579965215</v>
      </c>
      <c r="BB635" t="s">
        <v>4619</v>
      </c>
      <c r="BD635" s="98"/>
      <c r="BE635" s="98"/>
      <c r="BF635" t="s">
        <v>1152</v>
      </c>
      <c r="BG635" t="s">
        <v>322</v>
      </c>
      <c r="BH635" t="s">
        <v>1153</v>
      </c>
      <c r="BI635">
        <v>3.8619019437726307</v>
      </c>
      <c r="BJ635" t="s">
        <v>983</v>
      </c>
      <c r="BK635">
        <v>20.703295873865695</v>
      </c>
      <c r="BL635">
        <v>75.058691374945781</v>
      </c>
      <c r="BM635" t="s">
        <v>1260</v>
      </c>
      <c r="BN635" t="s">
        <v>1154</v>
      </c>
      <c r="BO635">
        <v>2025</v>
      </c>
      <c r="BP635" t="s">
        <v>966</v>
      </c>
      <c r="BQ635">
        <v>1.0794755755938468E-2</v>
      </c>
      <c r="BR635">
        <v>99.999998920524419</v>
      </c>
      <c r="BS635" t="s">
        <v>984</v>
      </c>
      <c r="BT635">
        <v>3</v>
      </c>
      <c r="BU635">
        <v>1</v>
      </c>
      <c r="BV635" t="s">
        <v>985</v>
      </c>
      <c r="BW635" t="s">
        <v>943</v>
      </c>
      <c r="BX635" t="s">
        <v>986</v>
      </c>
      <c r="BY635">
        <v>7.0987562374295639</v>
      </c>
      <c r="BZ635" t="s">
        <v>1155</v>
      </c>
      <c r="CA635" t="s">
        <v>983</v>
      </c>
      <c r="CB635" t="b">
        <v>1</v>
      </c>
      <c r="CC635" t="b">
        <v>0</v>
      </c>
      <c r="CD635" t="b">
        <v>0</v>
      </c>
      <c r="CE635" t="b">
        <v>0</v>
      </c>
      <c r="CF635" t="b">
        <v>0</v>
      </c>
    </row>
    <row r="636" spans="1:84" x14ac:dyDescent="0.3">
      <c r="A636" t="s">
        <v>2488</v>
      </c>
      <c r="B636" t="s">
        <v>1191</v>
      </c>
      <c r="C636" s="98">
        <v>45726</v>
      </c>
      <c r="D636">
        <v>2025</v>
      </c>
      <c r="E636">
        <v>3</v>
      </c>
      <c r="F636">
        <v>1</v>
      </c>
      <c r="G636" t="s">
        <v>1187</v>
      </c>
      <c r="H636" t="s">
        <v>138</v>
      </c>
      <c r="I636" t="s">
        <v>138</v>
      </c>
      <c r="J636" t="s">
        <v>6</v>
      </c>
      <c r="L636">
        <v>522611</v>
      </c>
      <c r="M636" s="99" t="s">
        <v>179</v>
      </c>
      <c r="N636">
        <v>2</v>
      </c>
      <c r="O636">
        <v>10</v>
      </c>
      <c r="P636">
        <v>2.9154</v>
      </c>
      <c r="Q636" t="s">
        <v>352</v>
      </c>
      <c r="R636">
        <v>1</v>
      </c>
      <c r="S636">
        <v>2.9738000000000002</v>
      </c>
      <c r="T636">
        <v>6.0400000000000002E-2</v>
      </c>
      <c r="U636">
        <v>-0.96688741721854676</v>
      </c>
      <c r="V636">
        <v>2.7926000000000002</v>
      </c>
      <c r="W636">
        <v>2.8530000000000002</v>
      </c>
      <c r="X636">
        <v>2.9134000000000002</v>
      </c>
      <c r="Y636">
        <v>3.0342000000000002</v>
      </c>
      <c r="Z636">
        <v>3.0946000000000002</v>
      </c>
      <c r="AA636">
        <v>3.1550000000000002</v>
      </c>
      <c r="AD636">
        <v>27.582809524942444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 t="s">
        <v>462</v>
      </c>
      <c r="AL636" t="s">
        <v>6</v>
      </c>
      <c r="AM636" t="s">
        <v>1145</v>
      </c>
      <c r="AN636" t="s">
        <v>1146</v>
      </c>
      <c r="AO636" s="100">
        <v>46262.040405092594</v>
      </c>
      <c r="AP636" t="s">
        <v>1147</v>
      </c>
      <c r="AQ636" t="s">
        <v>2489</v>
      </c>
      <c r="AR636" t="s">
        <v>1193</v>
      </c>
      <c r="AS636" t="s">
        <v>1150</v>
      </c>
      <c r="AT636" t="s">
        <v>2421</v>
      </c>
      <c r="AU636">
        <v>25</v>
      </c>
      <c r="AV636">
        <v>2.983816</v>
      </c>
      <c r="AW636">
        <v>5.4569685418432386E-2</v>
      </c>
      <c r="AX636">
        <v>1.8288555801843138</v>
      </c>
      <c r="AY636">
        <v>-3.8619019437726307</v>
      </c>
      <c r="AZ636">
        <v>6.8795136510767483</v>
      </c>
      <c r="BA636">
        <v>12.97035579965215</v>
      </c>
      <c r="BB636" t="s">
        <v>4619</v>
      </c>
      <c r="BD636" s="98"/>
      <c r="BE636" s="98"/>
      <c r="BF636" t="s">
        <v>1152</v>
      </c>
      <c r="BG636" t="s">
        <v>322</v>
      </c>
      <c r="BH636" t="s">
        <v>1153</v>
      </c>
      <c r="BI636">
        <v>3.8619019437726307</v>
      </c>
      <c r="BJ636" t="s">
        <v>983</v>
      </c>
      <c r="BK636">
        <v>20.703295873865695</v>
      </c>
      <c r="BL636">
        <v>75.058691374945781</v>
      </c>
      <c r="BM636" t="s">
        <v>1260</v>
      </c>
      <c r="BN636" t="s">
        <v>1154</v>
      </c>
      <c r="BO636">
        <v>2025</v>
      </c>
      <c r="BP636" t="s">
        <v>966</v>
      </c>
      <c r="BQ636">
        <v>1.0794755755938468E-2</v>
      </c>
      <c r="BR636">
        <v>99.999998920524419</v>
      </c>
      <c r="BS636" t="s">
        <v>984</v>
      </c>
      <c r="BT636">
        <v>3</v>
      </c>
      <c r="BU636">
        <v>1</v>
      </c>
      <c r="BV636" t="s">
        <v>985</v>
      </c>
      <c r="BW636" t="s">
        <v>943</v>
      </c>
      <c r="BX636" t="s">
        <v>986</v>
      </c>
      <c r="BY636">
        <v>7.0987562374295639</v>
      </c>
      <c r="BZ636" t="s">
        <v>1155</v>
      </c>
      <c r="CA636" t="s">
        <v>983</v>
      </c>
      <c r="CB636" t="b">
        <v>1</v>
      </c>
      <c r="CC636" t="b">
        <v>0</v>
      </c>
      <c r="CD636" t="b">
        <v>0</v>
      </c>
      <c r="CE636" t="b">
        <v>0</v>
      </c>
      <c r="CF636" t="b">
        <v>0</v>
      </c>
    </row>
    <row r="637" spans="1:84" x14ac:dyDescent="0.3">
      <c r="A637" t="s">
        <v>2490</v>
      </c>
      <c r="B637" t="s">
        <v>1195</v>
      </c>
      <c r="C637" s="98">
        <v>45733</v>
      </c>
      <c r="D637">
        <v>2025</v>
      </c>
      <c r="E637">
        <v>3</v>
      </c>
      <c r="F637">
        <v>1</v>
      </c>
      <c r="G637" t="s">
        <v>1187</v>
      </c>
      <c r="H637" t="s">
        <v>138</v>
      </c>
      <c r="I637" t="s">
        <v>138</v>
      </c>
      <c r="J637" t="s">
        <v>6</v>
      </c>
      <c r="L637">
        <v>522611</v>
      </c>
      <c r="M637" s="99" t="s">
        <v>179</v>
      </c>
      <c r="N637">
        <v>2</v>
      </c>
      <c r="O637">
        <v>11</v>
      </c>
      <c r="P637">
        <v>2.9626000000000001</v>
      </c>
      <c r="Q637" t="s">
        <v>352</v>
      </c>
      <c r="R637">
        <v>1</v>
      </c>
      <c r="S637">
        <v>2.9738000000000002</v>
      </c>
      <c r="T637">
        <v>6.0400000000000002E-2</v>
      </c>
      <c r="U637">
        <v>-0.18543046357616058</v>
      </c>
      <c r="V637">
        <v>2.7926000000000002</v>
      </c>
      <c r="W637">
        <v>2.8530000000000002</v>
      </c>
      <c r="X637">
        <v>2.9134000000000002</v>
      </c>
      <c r="Y637">
        <v>3.0342000000000002</v>
      </c>
      <c r="Z637">
        <v>3.0946000000000002</v>
      </c>
      <c r="AA637">
        <v>3.1550000000000002</v>
      </c>
      <c r="AD637">
        <v>27.582809524942444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 t="s">
        <v>462</v>
      </c>
      <c r="AL637" t="s">
        <v>6</v>
      </c>
      <c r="AM637" t="s">
        <v>1145</v>
      </c>
      <c r="AN637" t="s">
        <v>1146</v>
      </c>
      <c r="AO637" s="100">
        <v>46262.040405092594</v>
      </c>
      <c r="AP637" t="s">
        <v>1147</v>
      </c>
      <c r="AQ637" t="s">
        <v>2491</v>
      </c>
      <c r="AR637" t="s">
        <v>1197</v>
      </c>
      <c r="AS637" t="s">
        <v>1150</v>
      </c>
      <c r="AT637" t="s">
        <v>2421</v>
      </c>
      <c r="AU637">
        <v>25</v>
      </c>
      <c r="AV637">
        <v>2.983816</v>
      </c>
      <c r="AW637">
        <v>5.4569685418432386E-2</v>
      </c>
      <c r="AX637">
        <v>1.8288555801843138</v>
      </c>
      <c r="AY637">
        <v>-3.8619019437726307</v>
      </c>
      <c r="AZ637">
        <v>6.8795136510767483</v>
      </c>
      <c r="BA637">
        <v>12.97035579965215</v>
      </c>
      <c r="BB637" t="s">
        <v>4619</v>
      </c>
      <c r="BD637" s="98"/>
      <c r="BE637" s="98"/>
      <c r="BF637" t="s">
        <v>1152</v>
      </c>
      <c r="BG637" t="s">
        <v>322</v>
      </c>
      <c r="BH637" t="s">
        <v>1153</v>
      </c>
      <c r="BI637">
        <v>3.8619019437726307</v>
      </c>
      <c r="BJ637" t="s">
        <v>983</v>
      </c>
      <c r="BK637">
        <v>20.703295873865695</v>
      </c>
      <c r="BL637">
        <v>75.058691374945781</v>
      </c>
      <c r="BM637" t="s">
        <v>1260</v>
      </c>
      <c r="BN637" t="s">
        <v>1154</v>
      </c>
      <c r="BO637">
        <v>2025</v>
      </c>
      <c r="BP637" t="s">
        <v>966</v>
      </c>
      <c r="BQ637">
        <v>1.0794755755938468E-2</v>
      </c>
      <c r="BR637">
        <v>99.999998920524419</v>
      </c>
      <c r="BS637" t="s">
        <v>984</v>
      </c>
      <c r="BT637">
        <v>3</v>
      </c>
      <c r="BU637">
        <v>1</v>
      </c>
      <c r="BV637" t="s">
        <v>985</v>
      </c>
      <c r="BW637" t="s">
        <v>943</v>
      </c>
      <c r="BX637" t="s">
        <v>986</v>
      </c>
      <c r="BY637">
        <v>7.0987562374295639</v>
      </c>
      <c r="BZ637" t="s">
        <v>1155</v>
      </c>
      <c r="CA637" t="s">
        <v>983</v>
      </c>
      <c r="CB637" t="b">
        <v>1</v>
      </c>
      <c r="CC637" t="b">
        <v>0</v>
      </c>
      <c r="CD637" t="b">
        <v>0</v>
      </c>
      <c r="CE637" t="b">
        <v>0</v>
      </c>
      <c r="CF637" t="b">
        <v>0</v>
      </c>
    </row>
    <row r="638" spans="1:84" x14ac:dyDescent="0.3">
      <c r="A638" t="s">
        <v>2492</v>
      </c>
      <c r="B638" t="s">
        <v>1199</v>
      </c>
      <c r="C638" s="98">
        <v>45740</v>
      </c>
      <c r="D638">
        <v>2025</v>
      </c>
      <c r="E638">
        <v>3</v>
      </c>
      <c r="F638">
        <v>1</v>
      </c>
      <c r="G638" t="s">
        <v>1187</v>
      </c>
      <c r="H638" t="s">
        <v>138</v>
      </c>
      <c r="I638" t="s">
        <v>138</v>
      </c>
      <c r="J638" t="s">
        <v>6</v>
      </c>
      <c r="L638">
        <v>522611</v>
      </c>
      <c r="M638" s="99" t="s">
        <v>179</v>
      </c>
      <c r="N638">
        <v>2</v>
      </c>
      <c r="O638">
        <v>12</v>
      </c>
      <c r="P638">
        <v>2.9618000000000002</v>
      </c>
      <c r="Q638" t="s">
        <v>352</v>
      </c>
      <c r="R638">
        <v>1</v>
      </c>
      <c r="S638">
        <v>2.9738000000000002</v>
      </c>
      <c r="T638">
        <v>6.0400000000000002E-2</v>
      </c>
      <c r="U638">
        <v>-0.1986754966887419</v>
      </c>
      <c r="V638">
        <v>2.7926000000000002</v>
      </c>
      <c r="W638">
        <v>2.8530000000000002</v>
      </c>
      <c r="X638">
        <v>2.9134000000000002</v>
      </c>
      <c r="Y638">
        <v>3.0342000000000002</v>
      </c>
      <c r="Z638">
        <v>3.0946000000000002</v>
      </c>
      <c r="AA638">
        <v>3.1550000000000002</v>
      </c>
      <c r="AD638">
        <v>27.582809524942444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 t="s">
        <v>462</v>
      </c>
      <c r="AL638" t="s">
        <v>6</v>
      </c>
      <c r="AM638" t="s">
        <v>1145</v>
      </c>
      <c r="AN638" t="s">
        <v>1146</v>
      </c>
      <c r="AO638" s="100">
        <v>46262.040405092594</v>
      </c>
      <c r="AP638" t="s">
        <v>1147</v>
      </c>
      <c r="AQ638" t="s">
        <v>2493</v>
      </c>
      <c r="AR638" t="s">
        <v>1201</v>
      </c>
      <c r="AS638" t="s">
        <v>1150</v>
      </c>
      <c r="AT638" t="s">
        <v>2421</v>
      </c>
      <c r="AU638">
        <v>25</v>
      </c>
      <c r="AV638">
        <v>2.983816</v>
      </c>
      <c r="AW638">
        <v>5.4569685418432386E-2</v>
      </c>
      <c r="AX638">
        <v>1.8288555801843138</v>
      </c>
      <c r="AY638">
        <v>-3.8619019437726307</v>
      </c>
      <c r="AZ638">
        <v>6.8795136510767483</v>
      </c>
      <c r="BA638">
        <v>12.97035579965215</v>
      </c>
      <c r="BB638" t="s">
        <v>4619</v>
      </c>
      <c r="BD638" s="98"/>
      <c r="BE638" s="98"/>
      <c r="BF638" t="s">
        <v>1152</v>
      </c>
      <c r="BG638" t="s">
        <v>322</v>
      </c>
      <c r="BH638" t="s">
        <v>1153</v>
      </c>
      <c r="BI638">
        <v>3.8619019437726307</v>
      </c>
      <c r="BJ638" t="s">
        <v>983</v>
      </c>
      <c r="BK638">
        <v>20.703295873865695</v>
      </c>
      <c r="BL638">
        <v>75.058691374945781</v>
      </c>
      <c r="BM638" t="s">
        <v>1260</v>
      </c>
      <c r="BN638" t="s">
        <v>1154</v>
      </c>
      <c r="BO638">
        <v>2025</v>
      </c>
      <c r="BP638" t="s">
        <v>966</v>
      </c>
      <c r="BQ638">
        <v>1.0794755755938468E-2</v>
      </c>
      <c r="BR638">
        <v>99.999998920524419</v>
      </c>
      <c r="BS638" t="s">
        <v>984</v>
      </c>
      <c r="BT638">
        <v>3</v>
      </c>
      <c r="BU638">
        <v>1</v>
      </c>
      <c r="BV638" t="s">
        <v>985</v>
      </c>
      <c r="BW638" t="s">
        <v>943</v>
      </c>
      <c r="BX638" t="s">
        <v>986</v>
      </c>
      <c r="BY638">
        <v>7.0987562374295639</v>
      </c>
      <c r="BZ638" t="s">
        <v>1155</v>
      </c>
      <c r="CA638" t="s">
        <v>983</v>
      </c>
      <c r="CB638" t="b">
        <v>1</v>
      </c>
      <c r="CC638" t="b">
        <v>0</v>
      </c>
      <c r="CD638" t="b">
        <v>0</v>
      </c>
      <c r="CE638" t="b">
        <v>0</v>
      </c>
      <c r="CF638" t="b">
        <v>0</v>
      </c>
    </row>
    <row r="639" spans="1:84" x14ac:dyDescent="0.3">
      <c r="A639" t="s">
        <v>2494</v>
      </c>
      <c r="B639" t="s">
        <v>1203</v>
      </c>
      <c r="C639" s="98">
        <v>45747</v>
      </c>
      <c r="D639">
        <v>2025</v>
      </c>
      <c r="E639">
        <v>3</v>
      </c>
      <c r="F639">
        <v>1</v>
      </c>
      <c r="G639" t="s">
        <v>1187</v>
      </c>
      <c r="H639" t="s">
        <v>138</v>
      </c>
      <c r="I639" t="s">
        <v>138</v>
      </c>
      <c r="J639" t="s">
        <v>6</v>
      </c>
      <c r="L639">
        <v>522611</v>
      </c>
      <c r="M639" s="99" t="s">
        <v>179</v>
      </c>
      <c r="N639">
        <v>2</v>
      </c>
      <c r="O639">
        <v>13</v>
      </c>
      <c r="P639">
        <v>3.0213000000000001</v>
      </c>
      <c r="Q639" t="s">
        <v>352</v>
      </c>
      <c r="R639">
        <v>1</v>
      </c>
      <c r="S639">
        <v>2.9738000000000002</v>
      </c>
      <c r="T639">
        <v>6.0400000000000002E-2</v>
      </c>
      <c r="U639">
        <v>0.78642384105960061</v>
      </c>
      <c r="V639">
        <v>2.7926000000000002</v>
      </c>
      <c r="W639">
        <v>2.8530000000000002</v>
      </c>
      <c r="X639">
        <v>2.9134000000000002</v>
      </c>
      <c r="Y639">
        <v>3.0342000000000002</v>
      </c>
      <c r="Z639">
        <v>3.0946000000000002</v>
      </c>
      <c r="AA639">
        <v>3.1550000000000002</v>
      </c>
      <c r="AD639">
        <v>27.582809524942444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 t="s">
        <v>462</v>
      </c>
      <c r="AL639" t="s">
        <v>6</v>
      </c>
      <c r="AM639" t="s">
        <v>1145</v>
      </c>
      <c r="AN639" t="s">
        <v>1146</v>
      </c>
      <c r="AO639" s="100">
        <v>46262.040405092594</v>
      </c>
      <c r="AP639" t="s">
        <v>1147</v>
      </c>
      <c r="AQ639" t="s">
        <v>2495</v>
      </c>
      <c r="AR639" t="s">
        <v>1205</v>
      </c>
      <c r="AS639" t="s">
        <v>1150</v>
      </c>
      <c r="AT639" t="s">
        <v>2421</v>
      </c>
      <c r="AU639">
        <v>25</v>
      </c>
      <c r="AV639">
        <v>2.983816</v>
      </c>
      <c r="AW639">
        <v>5.4569685418432386E-2</v>
      </c>
      <c r="AX639">
        <v>1.8288555801843138</v>
      </c>
      <c r="AY639">
        <v>-3.8619019437726307</v>
      </c>
      <c r="AZ639">
        <v>6.8795136510767483</v>
      </c>
      <c r="BA639">
        <v>12.97035579965215</v>
      </c>
      <c r="BB639" t="s">
        <v>4619</v>
      </c>
      <c r="BD639" s="98"/>
      <c r="BE639" s="98"/>
      <c r="BF639" t="s">
        <v>1152</v>
      </c>
      <c r="BG639" t="s">
        <v>322</v>
      </c>
      <c r="BH639" t="s">
        <v>1153</v>
      </c>
      <c r="BI639">
        <v>3.8619019437726307</v>
      </c>
      <c r="BJ639" t="s">
        <v>983</v>
      </c>
      <c r="BK639">
        <v>20.703295873865695</v>
      </c>
      <c r="BL639">
        <v>75.058691374945781</v>
      </c>
      <c r="BM639" t="s">
        <v>1260</v>
      </c>
      <c r="BN639" t="s">
        <v>1154</v>
      </c>
      <c r="BO639">
        <v>2025</v>
      </c>
      <c r="BP639" t="s">
        <v>966</v>
      </c>
      <c r="BQ639">
        <v>1.0794755755938468E-2</v>
      </c>
      <c r="BR639">
        <v>99.999998920524419</v>
      </c>
      <c r="BS639" t="s">
        <v>984</v>
      </c>
      <c r="BT639">
        <v>3</v>
      </c>
      <c r="BU639">
        <v>1</v>
      </c>
      <c r="BV639" t="s">
        <v>985</v>
      </c>
      <c r="BW639" t="s">
        <v>943</v>
      </c>
      <c r="BX639" t="s">
        <v>986</v>
      </c>
      <c r="BY639">
        <v>7.0987562374295639</v>
      </c>
      <c r="BZ639" t="s">
        <v>1155</v>
      </c>
      <c r="CA639" t="s">
        <v>983</v>
      </c>
      <c r="CB639" t="b">
        <v>1</v>
      </c>
      <c r="CC639" t="b">
        <v>0</v>
      </c>
      <c r="CD639" t="b">
        <v>0</v>
      </c>
      <c r="CE639" t="b">
        <v>0</v>
      </c>
      <c r="CF639" t="b">
        <v>0</v>
      </c>
    </row>
    <row r="640" spans="1:84" x14ac:dyDescent="0.3">
      <c r="A640" t="s">
        <v>2496</v>
      </c>
      <c r="B640" t="s">
        <v>1207</v>
      </c>
      <c r="C640" s="98">
        <v>45754</v>
      </c>
      <c r="D640">
        <v>2025</v>
      </c>
      <c r="E640">
        <v>4</v>
      </c>
      <c r="F640">
        <v>2</v>
      </c>
      <c r="G640" t="s">
        <v>1208</v>
      </c>
      <c r="H640" t="s">
        <v>138</v>
      </c>
      <c r="I640" t="s">
        <v>138</v>
      </c>
      <c r="J640" t="s">
        <v>6</v>
      </c>
      <c r="L640">
        <v>522611</v>
      </c>
      <c r="M640" s="99" t="s">
        <v>179</v>
      </c>
      <c r="N640">
        <v>2</v>
      </c>
      <c r="O640">
        <v>14</v>
      </c>
      <c r="P640">
        <v>3.0369000000000002</v>
      </c>
      <c r="Q640" t="s">
        <v>352</v>
      </c>
      <c r="R640">
        <v>1</v>
      </c>
      <c r="S640">
        <v>2.9738000000000002</v>
      </c>
      <c r="T640">
        <v>6.0400000000000002E-2</v>
      </c>
      <c r="U640">
        <v>1.0447019867549658</v>
      </c>
      <c r="V640">
        <v>2.7926000000000002</v>
      </c>
      <c r="W640">
        <v>2.8530000000000002</v>
      </c>
      <c r="X640">
        <v>2.9134000000000002</v>
      </c>
      <c r="Y640">
        <v>3.0342000000000002</v>
      </c>
      <c r="Z640">
        <v>3.0946000000000002</v>
      </c>
      <c r="AA640">
        <v>3.1550000000000002</v>
      </c>
      <c r="AD640">
        <v>27.582809524942444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 t="s">
        <v>462</v>
      </c>
      <c r="AL640" t="s">
        <v>6</v>
      </c>
      <c r="AM640" t="s">
        <v>1145</v>
      </c>
      <c r="AN640" t="s">
        <v>1146</v>
      </c>
      <c r="AO640" s="100">
        <v>46262.040405092594</v>
      </c>
      <c r="AP640" t="s">
        <v>1147</v>
      </c>
      <c r="AQ640" t="s">
        <v>2497</v>
      </c>
      <c r="AR640" t="s">
        <v>1210</v>
      </c>
      <c r="AS640" t="s">
        <v>1150</v>
      </c>
      <c r="AT640" t="s">
        <v>2421</v>
      </c>
      <c r="AU640">
        <v>25</v>
      </c>
      <c r="AV640">
        <v>2.983816</v>
      </c>
      <c r="AW640">
        <v>5.4569685418432386E-2</v>
      </c>
      <c r="AX640">
        <v>1.8288555801843138</v>
      </c>
      <c r="AY640">
        <v>-3.8619019437726307</v>
      </c>
      <c r="AZ640">
        <v>6.8795136510767483</v>
      </c>
      <c r="BA640">
        <v>12.97035579965215</v>
      </c>
      <c r="BB640" t="s">
        <v>4619</v>
      </c>
      <c r="BD640" s="98"/>
      <c r="BE640" s="98"/>
      <c r="BF640" t="s">
        <v>1152</v>
      </c>
      <c r="BG640" t="s">
        <v>322</v>
      </c>
      <c r="BH640" t="s">
        <v>1153</v>
      </c>
      <c r="BI640">
        <v>3.8619019437726307</v>
      </c>
      <c r="BJ640" t="s">
        <v>983</v>
      </c>
      <c r="BK640">
        <v>20.703295873865695</v>
      </c>
      <c r="BL640">
        <v>75.058691374945781</v>
      </c>
      <c r="BM640" t="s">
        <v>1260</v>
      </c>
      <c r="BN640" t="s">
        <v>1154</v>
      </c>
      <c r="BO640">
        <v>2025</v>
      </c>
      <c r="BP640" t="s">
        <v>966</v>
      </c>
      <c r="BQ640">
        <v>1.0794755755938468E-2</v>
      </c>
      <c r="BR640">
        <v>99.999998920524419</v>
      </c>
      <c r="BS640" t="s">
        <v>984</v>
      </c>
      <c r="BT640">
        <v>3</v>
      </c>
      <c r="BU640">
        <v>1</v>
      </c>
      <c r="BV640" t="s">
        <v>985</v>
      </c>
      <c r="BW640" t="s">
        <v>943</v>
      </c>
      <c r="BX640" t="s">
        <v>986</v>
      </c>
      <c r="BY640">
        <v>7.0987562374295639</v>
      </c>
      <c r="BZ640" t="s">
        <v>1155</v>
      </c>
      <c r="CA640" t="s">
        <v>983</v>
      </c>
      <c r="CB640" t="b">
        <v>1</v>
      </c>
      <c r="CC640" t="b">
        <v>0</v>
      </c>
      <c r="CD640" t="b">
        <v>0</v>
      </c>
      <c r="CE640" t="b">
        <v>0</v>
      </c>
      <c r="CF640" t="b">
        <v>0</v>
      </c>
    </row>
    <row r="641" spans="1:84" x14ac:dyDescent="0.3">
      <c r="A641" t="s">
        <v>2498</v>
      </c>
      <c r="B641" t="s">
        <v>1212</v>
      </c>
      <c r="C641" s="98">
        <v>45761</v>
      </c>
      <c r="D641">
        <v>2025</v>
      </c>
      <c r="E641">
        <v>4</v>
      </c>
      <c r="F641">
        <v>2</v>
      </c>
      <c r="G641" t="s">
        <v>1208</v>
      </c>
      <c r="H641" t="s">
        <v>138</v>
      </c>
      <c r="I641" t="s">
        <v>138</v>
      </c>
      <c r="J641" t="s">
        <v>6</v>
      </c>
      <c r="L641">
        <v>522611</v>
      </c>
      <c r="M641" s="99" t="s">
        <v>179</v>
      </c>
      <c r="N641">
        <v>2</v>
      </c>
      <c r="O641">
        <v>15</v>
      </c>
      <c r="P641">
        <v>2.8826999999999998</v>
      </c>
      <c r="Q641" t="s">
        <v>352</v>
      </c>
      <c r="R641">
        <v>1</v>
      </c>
      <c r="S641">
        <v>2.9738000000000002</v>
      </c>
      <c r="T641">
        <v>6.0400000000000002E-2</v>
      </c>
      <c r="U641">
        <v>-1.5082781456953709</v>
      </c>
      <c r="V641">
        <v>2.7926000000000002</v>
      </c>
      <c r="W641">
        <v>2.8530000000000002</v>
      </c>
      <c r="X641">
        <v>2.9134000000000002</v>
      </c>
      <c r="Y641">
        <v>3.0342000000000002</v>
      </c>
      <c r="Z641">
        <v>3.0946000000000002</v>
      </c>
      <c r="AA641">
        <v>3.1550000000000002</v>
      </c>
      <c r="AD641">
        <v>27.582809524942444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 t="s">
        <v>462</v>
      </c>
      <c r="AL641" t="s">
        <v>6</v>
      </c>
      <c r="AM641" t="s">
        <v>1145</v>
      </c>
      <c r="AN641" t="s">
        <v>1146</v>
      </c>
      <c r="AO641" s="100">
        <v>46262.040405092594</v>
      </c>
      <c r="AP641" t="s">
        <v>1147</v>
      </c>
      <c r="AQ641" t="s">
        <v>2499</v>
      </c>
      <c r="AR641" t="s">
        <v>1215</v>
      </c>
      <c r="AS641" t="s">
        <v>1150</v>
      </c>
      <c r="AT641" t="s">
        <v>2421</v>
      </c>
      <c r="AU641">
        <v>25</v>
      </c>
      <c r="AV641">
        <v>2.983816</v>
      </c>
      <c r="AW641">
        <v>5.4569685418432386E-2</v>
      </c>
      <c r="AX641">
        <v>1.8288555801843138</v>
      </c>
      <c r="AY641">
        <v>-3.8619019437726307</v>
      </c>
      <c r="AZ641">
        <v>6.8795136510767483</v>
      </c>
      <c r="BA641">
        <v>12.97035579965215</v>
      </c>
      <c r="BB641" t="s">
        <v>4619</v>
      </c>
      <c r="BD641" s="98"/>
      <c r="BE641" s="98"/>
      <c r="BF641" t="s">
        <v>1152</v>
      </c>
      <c r="BG641" t="s">
        <v>322</v>
      </c>
      <c r="BH641" t="s">
        <v>1153</v>
      </c>
      <c r="BI641">
        <v>3.8619019437726307</v>
      </c>
      <c r="BJ641" t="s">
        <v>983</v>
      </c>
      <c r="BK641">
        <v>20.703295873865695</v>
      </c>
      <c r="BL641">
        <v>75.058691374945781</v>
      </c>
      <c r="BM641" t="s">
        <v>1260</v>
      </c>
      <c r="BN641" t="s">
        <v>1154</v>
      </c>
      <c r="BO641">
        <v>2025</v>
      </c>
      <c r="BP641" t="s">
        <v>966</v>
      </c>
      <c r="BQ641">
        <v>1.0794755755938468E-2</v>
      </c>
      <c r="BR641">
        <v>99.999998920524419</v>
      </c>
      <c r="BS641" t="s">
        <v>984</v>
      </c>
      <c r="BT641">
        <v>3</v>
      </c>
      <c r="BU641">
        <v>1</v>
      </c>
      <c r="BV641" t="s">
        <v>985</v>
      </c>
      <c r="BW641" t="s">
        <v>943</v>
      </c>
      <c r="BX641" t="s">
        <v>986</v>
      </c>
      <c r="BY641">
        <v>7.0987562374295639</v>
      </c>
      <c r="BZ641" t="s">
        <v>1155</v>
      </c>
      <c r="CA641" t="s">
        <v>983</v>
      </c>
      <c r="CB641" t="b">
        <v>1</v>
      </c>
      <c r="CC641" t="b">
        <v>0</v>
      </c>
      <c r="CD641" t="b">
        <v>0</v>
      </c>
      <c r="CE641" t="b">
        <v>0</v>
      </c>
      <c r="CF641" t="b">
        <v>0</v>
      </c>
    </row>
    <row r="642" spans="1:84" x14ac:dyDescent="0.3">
      <c r="A642" t="s">
        <v>2500</v>
      </c>
      <c r="B642" t="s">
        <v>1217</v>
      </c>
      <c r="C642" s="98">
        <v>45768</v>
      </c>
      <c r="D642">
        <v>2025</v>
      </c>
      <c r="E642">
        <v>4</v>
      </c>
      <c r="F642">
        <v>2</v>
      </c>
      <c r="G642" t="s">
        <v>1208</v>
      </c>
      <c r="H642" t="s">
        <v>138</v>
      </c>
      <c r="I642" t="s">
        <v>138</v>
      </c>
      <c r="J642" t="s">
        <v>6</v>
      </c>
      <c r="L642">
        <v>522611</v>
      </c>
      <c r="M642" s="99" t="s">
        <v>179</v>
      </c>
      <c r="N642">
        <v>2</v>
      </c>
      <c r="O642">
        <v>16</v>
      </c>
      <c r="P642">
        <v>2.9184999999999999</v>
      </c>
      <c r="Q642" t="s">
        <v>352</v>
      </c>
      <c r="R642">
        <v>1</v>
      </c>
      <c r="S642">
        <v>2.9738000000000002</v>
      </c>
      <c r="T642">
        <v>6.0400000000000002E-2</v>
      </c>
      <c r="U642">
        <v>-0.9155629139072905</v>
      </c>
      <c r="V642">
        <v>2.7926000000000002</v>
      </c>
      <c r="W642">
        <v>2.8530000000000002</v>
      </c>
      <c r="X642">
        <v>2.9134000000000002</v>
      </c>
      <c r="Y642">
        <v>3.0342000000000002</v>
      </c>
      <c r="Z642">
        <v>3.0946000000000002</v>
      </c>
      <c r="AA642">
        <v>3.1550000000000002</v>
      </c>
      <c r="AD642">
        <v>27.582809524942444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 t="s">
        <v>462</v>
      </c>
      <c r="AL642" t="s">
        <v>6</v>
      </c>
      <c r="AM642" t="s">
        <v>1145</v>
      </c>
      <c r="AN642" t="s">
        <v>1146</v>
      </c>
      <c r="AO642" s="100">
        <v>46262.040405092594</v>
      </c>
      <c r="AP642" t="s">
        <v>1147</v>
      </c>
      <c r="AQ642" t="s">
        <v>2501</v>
      </c>
      <c r="AR642" t="s">
        <v>1219</v>
      </c>
      <c r="AS642" t="s">
        <v>1150</v>
      </c>
      <c r="AT642" t="s">
        <v>2421</v>
      </c>
      <c r="AU642">
        <v>25</v>
      </c>
      <c r="AV642">
        <v>2.983816</v>
      </c>
      <c r="AW642">
        <v>5.4569685418432386E-2</v>
      </c>
      <c r="AX642">
        <v>1.8288555801843138</v>
      </c>
      <c r="AY642">
        <v>-3.8619019437726307</v>
      </c>
      <c r="AZ642">
        <v>6.8795136510767483</v>
      </c>
      <c r="BA642">
        <v>12.97035579965215</v>
      </c>
      <c r="BB642" t="s">
        <v>4619</v>
      </c>
      <c r="BD642" s="98"/>
      <c r="BE642" s="98"/>
      <c r="BF642" t="s">
        <v>1152</v>
      </c>
      <c r="BG642" t="s">
        <v>322</v>
      </c>
      <c r="BH642" t="s">
        <v>1153</v>
      </c>
      <c r="BI642">
        <v>3.8619019437726307</v>
      </c>
      <c r="BJ642" t="s">
        <v>983</v>
      </c>
      <c r="BK642">
        <v>20.703295873865695</v>
      </c>
      <c r="BL642">
        <v>75.058691374945781</v>
      </c>
      <c r="BM642" t="s">
        <v>1260</v>
      </c>
      <c r="BN642" t="s">
        <v>1154</v>
      </c>
      <c r="BO642">
        <v>2025</v>
      </c>
      <c r="BP642" t="s">
        <v>966</v>
      </c>
      <c r="BQ642">
        <v>1.0794755755938468E-2</v>
      </c>
      <c r="BR642">
        <v>99.999998920524419</v>
      </c>
      <c r="BS642" t="s">
        <v>984</v>
      </c>
      <c r="BT642">
        <v>3</v>
      </c>
      <c r="BU642">
        <v>1</v>
      </c>
      <c r="BV642" t="s">
        <v>985</v>
      </c>
      <c r="BW642" t="s">
        <v>943</v>
      </c>
      <c r="BX642" t="s">
        <v>986</v>
      </c>
      <c r="BY642">
        <v>7.0987562374295639</v>
      </c>
      <c r="BZ642" t="s">
        <v>1155</v>
      </c>
      <c r="CA642" t="s">
        <v>983</v>
      </c>
      <c r="CB642" t="b">
        <v>1</v>
      </c>
      <c r="CC642" t="b">
        <v>0</v>
      </c>
      <c r="CD642" t="b">
        <v>0</v>
      </c>
      <c r="CE642" t="b">
        <v>0</v>
      </c>
      <c r="CF642" t="b">
        <v>0</v>
      </c>
    </row>
    <row r="643" spans="1:84" x14ac:dyDescent="0.3">
      <c r="A643" t="s">
        <v>2502</v>
      </c>
      <c r="B643" t="s">
        <v>1221</v>
      </c>
      <c r="C643" s="98">
        <v>45775</v>
      </c>
      <c r="D643">
        <v>2025</v>
      </c>
      <c r="E643">
        <v>4</v>
      </c>
      <c r="F643">
        <v>2</v>
      </c>
      <c r="G643" t="s">
        <v>1208</v>
      </c>
      <c r="H643" t="s">
        <v>138</v>
      </c>
      <c r="I643" t="s">
        <v>138</v>
      </c>
      <c r="J643" t="s">
        <v>6</v>
      </c>
      <c r="L643">
        <v>522611</v>
      </c>
      <c r="M643" s="99" t="s">
        <v>179</v>
      </c>
      <c r="N643">
        <v>2</v>
      </c>
      <c r="O643">
        <v>17</v>
      </c>
      <c r="P643">
        <v>2.9941</v>
      </c>
      <c r="Q643" t="s">
        <v>352</v>
      </c>
      <c r="R643">
        <v>1</v>
      </c>
      <c r="S643">
        <v>2.9738000000000002</v>
      </c>
      <c r="T643">
        <v>6.0400000000000002E-2</v>
      </c>
      <c r="U643">
        <v>0.33609271523178413</v>
      </c>
      <c r="V643">
        <v>2.7926000000000002</v>
      </c>
      <c r="W643">
        <v>2.8530000000000002</v>
      </c>
      <c r="X643">
        <v>2.9134000000000002</v>
      </c>
      <c r="Y643">
        <v>3.0342000000000002</v>
      </c>
      <c r="Z643">
        <v>3.0946000000000002</v>
      </c>
      <c r="AA643">
        <v>3.1550000000000002</v>
      </c>
      <c r="AD643">
        <v>27.582809524942444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 t="s">
        <v>462</v>
      </c>
      <c r="AL643" t="s">
        <v>6</v>
      </c>
      <c r="AM643" t="s">
        <v>1145</v>
      </c>
      <c r="AN643" t="s">
        <v>1146</v>
      </c>
      <c r="AO643" s="100">
        <v>46262.040405092594</v>
      </c>
      <c r="AP643" t="s">
        <v>1147</v>
      </c>
      <c r="AQ643" t="s">
        <v>2503</v>
      </c>
      <c r="AR643" t="s">
        <v>1223</v>
      </c>
      <c r="AS643" t="s">
        <v>1150</v>
      </c>
      <c r="AT643" t="s">
        <v>2421</v>
      </c>
      <c r="AU643">
        <v>25</v>
      </c>
      <c r="AV643">
        <v>2.983816</v>
      </c>
      <c r="AW643">
        <v>5.4569685418432386E-2</v>
      </c>
      <c r="AX643">
        <v>1.8288555801843138</v>
      </c>
      <c r="AY643">
        <v>-3.8619019437726307</v>
      </c>
      <c r="AZ643">
        <v>6.8795136510767483</v>
      </c>
      <c r="BA643">
        <v>12.97035579965215</v>
      </c>
      <c r="BB643" t="s">
        <v>4619</v>
      </c>
      <c r="BD643" s="98"/>
      <c r="BE643" s="98"/>
      <c r="BF643" t="s">
        <v>1152</v>
      </c>
      <c r="BG643" t="s">
        <v>322</v>
      </c>
      <c r="BH643" t="s">
        <v>1153</v>
      </c>
      <c r="BI643">
        <v>3.8619019437726307</v>
      </c>
      <c r="BJ643" t="s">
        <v>983</v>
      </c>
      <c r="BK643">
        <v>20.703295873865695</v>
      </c>
      <c r="BL643">
        <v>75.058691374945781</v>
      </c>
      <c r="BM643" t="s">
        <v>1260</v>
      </c>
      <c r="BN643" t="s">
        <v>1154</v>
      </c>
      <c r="BO643">
        <v>2025</v>
      </c>
      <c r="BP643" t="s">
        <v>966</v>
      </c>
      <c r="BQ643">
        <v>1.0794755755938468E-2</v>
      </c>
      <c r="BR643">
        <v>99.999998920524419</v>
      </c>
      <c r="BS643" t="s">
        <v>984</v>
      </c>
      <c r="BT643">
        <v>3</v>
      </c>
      <c r="BU643">
        <v>1</v>
      </c>
      <c r="BV643" t="s">
        <v>985</v>
      </c>
      <c r="BW643" t="s">
        <v>943</v>
      </c>
      <c r="BX643" t="s">
        <v>986</v>
      </c>
      <c r="BY643">
        <v>7.0987562374295639</v>
      </c>
      <c r="BZ643" t="s">
        <v>1155</v>
      </c>
      <c r="CA643" t="s">
        <v>983</v>
      </c>
      <c r="CB643" t="b">
        <v>1</v>
      </c>
      <c r="CC643" t="b">
        <v>0</v>
      </c>
      <c r="CD643" t="b">
        <v>0</v>
      </c>
      <c r="CE643" t="b">
        <v>0</v>
      </c>
      <c r="CF643" t="b">
        <v>0</v>
      </c>
    </row>
    <row r="644" spans="1:84" x14ac:dyDescent="0.3">
      <c r="A644" t="s">
        <v>2504</v>
      </c>
      <c r="B644" t="s">
        <v>1225</v>
      </c>
      <c r="C644" s="98">
        <v>45782</v>
      </c>
      <c r="D644">
        <v>2025</v>
      </c>
      <c r="E644">
        <v>5</v>
      </c>
      <c r="F644">
        <v>2</v>
      </c>
      <c r="G644" t="s">
        <v>1226</v>
      </c>
      <c r="H644" t="s">
        <v>138</v>
      </c>
      <c r="I644" t="s">
        <v>138</v>
      </c>
      <c r="J644" t="s">
        <v>6</v>
      </c>
      <c r="L644">
        <v>522611</v>
      </c>
      <c r="M644" s="99" t="s">
        <v>179</v>
      </c>
      <c r="N644">
        <v>2</v>
      </c>
      <c r="O644">
        <v>18</v>
      </c>
      <c r="P644">
        <v>2.9340000000000002</v>
      </c>
      <c r="Q644" t="s">
        <v>352</v>
      </c>
      <c r="R644">
        <v>1</v>
      </c>
      <c r="S644">
        <v>2.9738000000000002</v>
      </c>
      <c r="T644">
        <v>6.0400000000000002E-2</v>
      </c>
      <c r="U644">
        <v>-0.6589403973509943</v>
      </c>
      <c r="V644">
        <v>2.7926000000000002</v>
      </c>
      <c r="W644">
        <v>2.8530000000000002</v>
      </c>
      <c r="X644">
        <v>2.9134000000000002</v>
      </c>
      <c r="Y644">
        <v>3.0342000000000002</v>
      </c>
      <c r="Z644">
        <v>3.0946000000000002</v>
      </c>
      <c r="AA644">
        <v>3.1550000000000002</v>
      </c>
      <c r="AD644">
        <v>27.582809524942444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 t="s">
        <v>462</v>
      </c>
      <c r="AL644" t="s">
        <v>6</v>
      </c>
      <c r="AM644" t="s">
        <v>1145</v>
      </c>
      <c r="AN644" t="s">
        <v>1146</v>
      </c>
      <c r="AO644" s="100">
        <v>46262.040405092594</v>
      </c>
      <c r="AP644" t="s">
        <v>1147</v>
      </c>
      <c r="AQ644" t="s">
        <v>2505</v>
      </c>
      <c r="AR644" t="s">
        <v>1228</v>
      </c>
      <c r="AS644" t="s">
        <v>1150</v>
      </c>
      <c r="AT644" t="s">
        <v>2421</v>
      </c>
      <c r="AU644">
        <v>25</v>
      </c>
      <c r="AV644">
        <v>2.983816</v>
      </c>
      <c r="AW644">
        <v>5.4569685418432386E-2</v>
      </c>
      <c r="AX644">
        <v>1.8288555801843138</v>
      </c>
      <c r="AY644">
        <v>-3.8619019437726307</v>
      </c>
      <c r="AZ644">
        <v>6.8795136510767483</v>
      </c>
      <c r="BA644">
        <v>12.97035579965215</v>
      </c>
      <c r="BB644" t="s">
        <v>4619</v>
      </c>
      <c r="BD644" s="98"/>
      <c r="BE644" s="98"/>
      <c r="BF644" t="s">
        <v>1152</v>
      </c>
      <c r="BG644" t="s">
        <v>322</v>
      </c>
      <c r="BH644" t="s">
        <v>1153</v>
      </c>
      <c r="BI644">
        <v>3.8619019437726307</v>
      </c>
      <c r="BJ644" t="s">
        <v>983</v>
      </c>
      <c r="BK644">
        <v>20.703295873865695</v>
      </c>
      <c r="BL644">
        <v>75.058691374945781</v>
      </c>
      <c r="BM644" t="s">
        <v>1260</v>
      </c>
      <c r="BN644" t="s">
        <v>1154</v>
      </c>
      <c r="BO644">
        <v>2025</v>
      </c>
      <c r="BP644" t="s">
        <v>966</v>
      </c>
      <c r="BQ644">
        <v>1.0794755755938468E-2</v>
      </c>
      <c r="BR644">
        <v>99.999998920524419</v>
      </c>
      <c r="BS644" t="s">
        <v>984</v>
      </c>
      <c r="BT644">
        <v>3</v>
      </c>
      <c r="BU644">
        <v>1</v>
      </c>
      <c r="BV644" t="s">
        <v>985</v>
      </c>
      <c r="BW644" t="s">
        <v>943</v>
      </c>
      <c r="BX644" t="s">
        <v>986</v>
      </c>
      <c r="BY644">
        <v>7.0987562374295639</v>
      </c>
      <c r="BZ644" t="s">
        <v>1155</v>
      </c>
      <c r="CA644" t="s">
        <v>983</v>
      </c>
      <c r="CB644" t="b">
        <v>1</v>
      </c>
      <c r="CC644" t="b">
        <v>0</v>
      </c>
      <c r="CD644" t="b">
        <v>0</v>
      </c>
      <c r="CE644" t="b">
        <v>0</v>
      </c>
      <c r="CF644" t="b">
        <v>0</v>
      </c>
    </row>
    <row r="645" spans="1:84" x14ac:dyDescent="0.3">
      <c r="A645" t="s">
        <v>2506</v>
      </c>
      <c r="B645" t="s">
        <v>1230</v>
      </c>
      <c r="C645" s="98">
        <v>45789</v>
      </c>
      <c r="D645">
        <v>2025</v>
      </c>
      <c r="E645">
        <v>5</v>
      </c>
      <c r="F645">
        <v>2</v>
      </c>
      <c r="G645" t="s">
        <v>1226</v>
      </c>
      <c r="H645" t="s">
        <v>138</v>
      </c>
      <c r="I645" t="s">
        <v>138</v>
      </c>
      <c r="J645" t="s">
        <v>6</v>
      </c>
      <c r="L645">
        <v>522611</v>
      </c>
      <c r="M645" s="99" t="s">
        <v>179</v>
      </c>
      <c r="N645">
        <v>2</v>
      </c>
      <c r="O645">
        <v>19</v>
      </c>
      <c r="P645">
        <v>2.8818999999999999</v>
      </c>
      <c r="Q645" t="s">
        <v>352</v>
      </c>
      <c r="R645">
        <v>1</v>
      </c>
      <c r="S645">
        <v>2.9738000000000002</v>
      </c>
      <c r="T645">
        <v>6.0400000000000002E-2</v>
      </c>
      <c r="U645">
        <v>-1.5215231788079522</v>
      </c>
      <c r="V645">
        <v>2.7926000000000002</v>
      </c>
      <c r="W645">
        <v>2.8530000000000002</v>
      </c>
      <c r="X645">
        <v>2.9134000000000002</v>
      </c>
      <c r="Y645">
        <v>3.0342000000000002</v>
      </c>
      <c r="Z645">
        <v>3.0946000000000002</v>
      </c>
      <c r="AA645">
        <v>3.1550000000000002</v>
      </c>
      <c r="AD645">
        <v>27.582809524942444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 t="s">
        <v>462</v>
      </c>
      <c r="AL645" t="s">
        <v>6</v>
      </c>
      <c r="AM645" t="s">
        <v>1145</v>
      </c>
      <c r="AN645" t="s">
        <v>1146</v>
      </c>
      <c r="AO645" s="100">
        <v>46262.040405092594</v>
      </c>
      <c r="AP645" t="s">
        <v>1147</v>
      </c>
      <c r="AQ645" t="s">
        <v>2507</v>
      </c>
      <c r="AR645" t="s">
        <v>1232</v>
      </c>
      <c r="AS645" t="s">
        <v>1150</v>
      </c>
      <c r="AT645" t="s">
        <v>2421</v>
      </c>
      <c r="AU645">
        <v>25</v>
      </c>
      <c r="AV645">
        <v>2.983816</v>
      </c>
      <c r="AW645">
        <v>5.4569685418432386E-2</v>
      </c>
      <c r="AX645">
        <v>1.8288555801843138</v>
      </c>
      <c r="AY645">
        <v>-3.8619019437726307</v>
      </c>
      <c r="AZ645">
        <v>6.8795136510767483</v>
      </c>
      <c r="BA645">
        <v>12.97035579965215</v>
      </c>
      <c r="BB645" t="s">
        <v>4619</v>
      </c>
      <c r="BD645" s="98"/>
      <c r="BE645" s="98"/>
      <c r="BF645" t="s">
        <v>1152</v>
      </c>
      <c r="BG645" t="s">
        <v>322</v>
      </c>
      <c r="BH645" t="s">
        <v>1153</v>
      </c>
      <c r="BI645">
        <v>3.8619019437726307</v>
      </c>
      <c r="BJ645" t="s">
        <v>983</v>
      </c>
      <c r="BK645">
        <v>20.703295873865695</v>
      </c>
      <c r="BL645">
        <v>75.058691374945781</v>
      </c>
      <c r="BM645" t="s">
        <v>1260</v>
      </c>
      <c r="BN645" t="s">
        <v>1154</v>
      </c>
      <c r="BO645">
        <v>2025</v>
      </c>
      <c r="BP645" t="s">
        <v>966</v>
      </c>
      <c r="BQ645">
        <v>1.0794755755938468E-2</v>
      </c>
      <c r="BR645">
        <v>99.999998920524419</v>
      </c>
      <c r="BS645" t="s">
        <v>984</v>
      </c>
      <c r="BT645">
        <v>3</v>
      </c>
      <c r="BU645">
        <v>1</v>
      </c>
      <c r="BV645" t="s">
        <v>985</v>
      </c>
      <c r="BW645" t="s">
        <v>943</v>
      </c>
      <c r="BX645" t="s">
        <v>986</v>
      </c>
      <c r="BY645">
        <v>7.0987562374295639</v>
      </c>
      <c r="BZ645" t="s">
        <v>1155</v>
      </c>
      <c r="CA645" t="s">
        <v>983</v>
      </c>
      <c r="CB645" t="b">
        <v>1</v>
      </c>
      <c r="CC645" t="b">
        <v>0</v>
      </c>
      <c r="CD645" t="b">
        <v>0</v>
      </c>
      <c r="CE645" t="b">
        <v>0</v>
      </c>
      <c r="CF645" t="b">
        <v>0</v>
      </c>
    </row>
    <row r="646" spans="1:84" x14ac:dyDescent="0.3">
      <c r="A646" t="s">
        <v>2508</v>
      </c>
      <c r="B646" t="s">
        <v>1234</v>
      </c>
      <c r="C646" s="98">
        <v>45796</v>
      </c>
      <c r="D646">
        <v>2025</v>
      </c>
      <c r="E646">
        <v>5</v>
      </c>
      <c r="F646">
        <v>2</v>
      </c>
      <c r="G646" t="s">
        <v>1226</v>
      </c>
      <c r="H646" t="s">
        <v>138</v>
      </c>
      <c r="I646" t="s">
        <v>138</v>
      </c>
      <c r="J646" t="s">
        <v>6</v>
      </c>
      <c r="L646">
        <v>522611</v>
      </c>
      <c r="M646" s="99" t="s">
        <v>179</v>
      </c>
      <c r="N646">
        <v>2</v>
      </c>
      <c r="O646">
        <v>20</v>
      </c>
      <c r="P646">
        <v>3.0365000000000002</v>
      </c>
      <c r="Q646" t="s">
        <v>352</v>
      </c>
      <c r="R646">
        <v>1</v>
      </c>
      <c r="S646">
        <v>2.9738000000000002</v>
      </c>
      <c r="T646">
        <v>6.0400000000000002E-2</v>
      </c>
      <c r="U646">
        <v>1.0380794701986751</v>
      </c>
      <c r="V646">
        <v>2.7926000000000002</v>
      </c>
      <c r="W646">
        <v>2.8530000000000002</v>
      </c>
      <c r="X646">
        <v>2.9134000000000002</v>
      </c>
      <c r="Y646">
        <v>3.0342000000000002</v>
      </c>
      <c r="Z646">
        <v>3.0946000000000002</v>
      </c>
      <c r="AA646">
        <v>3.1550000000000002</v>
      </c>
      <c r="AD646">
        <v>27.582809524942444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 t="s">
        <v>462</v>
      </c>
      <c r="AL646" t="s">
        <v>6</v>
      </c>
      <c r="AM646" t="s">
        <v>1145</v>
      </c>
      <c r="AN646" t="s">
        <v>1146</v>
      </c>
      <c r="AO646" s="100">
        <v>46262.040405092594</v>
      </c>
      <c r="AP646" t="s">
        <v>1147</v>
      </c>
      <c r="AQ646" t="s">
        <v>2509</v>
      </c>
      <c r="AR646" t="s">
        <v>1236</v>
      </c>
      <c r="AS646" t="s">
        <v>1150</v>
      </c>
      <c r="AT646" t="s">
        <v>2421</v>
      </c>
      <c r="AU646">
        <v>25</v>
      </c>
      <c r="AV646">
        <v>2.983816</v>
      </c>
      <c r="AW646">
        <v>5.4569685418432386E-2</v>
      </c>
      <c r="AX646">
        <v>1.8288555801843138</v>
      </c>
      <c r="AY646">
        <v>-3.8619019437726307</v>
      </c>
      <c r="AZ646">
        <v>6.8795136510767483</v>
      </c>
      <c r="BA646">
        <v>12.97035579965215</v>
      </c>
      <c r="BB646" t="s">
        <v>4619</v>
      </c>
      <c r="BD646" s="98"/>
      <c r="BE646" s="98"/>
      <c r="BF646" t="s">
        <v>1152</v>
      </c>
      <c r="BG646" t="s">
        <v>322</v>
      </c>
      <c r="BH646" t="s">
        <v>1153</v>
      </c>
      <c r="BI646">
        <v>3.8619019437726307</v>
      </c>
      <c r="BJ646" t="s">
        <v>983</v>
      </c>
      <c r="BK646">
        <v>20.703295873865695</v>
      </c>
      <c r="BL646">
        <v>75.058691374945781</v>
      </c>
      <c r="BM646" t="s">
        <v>1260</v>
      </c>
      <c r="BN646" t="s">
        <v>1154</v>
      </c>
      <c r="BO646">
        <v>2025</v>
      </c>
      <c r="BP646" t="s">
        <v>966</v>
      </c>
      <c r="BQ646">
        <v>1.0794755755938468E-2</v>
      </c>
      <c r="BR646">
        <v>99.999998920524419</v>
      </c>
      <c r="BS646" t="s">
        <v>984</v>
      </c>
      <c r="BT646">
        <v>3</v>
      </c>
      <c r="BU646">
        <v>1</v>
      </c>
      <c r="BV646" t="s">
        <v>985</v>
      </c>
      <c r="BW646" t="s">
        <v>943</v>
      </c>
      <c r="BX646" t="s">
        <v>986</v>
      </c>
      <c r="BY646">
        <v>7.0987562374295639</v>
      </c>
      <c r="BZ646" t="s">
        <v>1155</v>
      </c>
      <c r="CA646" t="s">
        <v>983</v>
      </c>
      <c r="CB646" t="b">
        <v>1</v>
      </c>
      <c r="CC646" t="b">
        <v>0</v>
      </c>
      <c r="CD646" t="b">
        <v>0</v>
      </c>
      <c r="CE646" t="b">
        <v>0</v>
      </c>
      <c r="CF646" t="b">
        <v>0</v>
      </c>
    </row>
    <row r="647" spans="1:84" x14ac:dyDescent="0.3">
      <c r="A647" t="s">
        <v>2510</v>
      </c>
      <c r="B647" t="s">
        <v>1238</v>
      </c>
      <c r="C647" s="98">
        <v>45803</v>
      </c>
      <c r="D647">
        <v>2025</v>
      </c>
      <c r="E647">
        <v>5</v>
      </c>
      <c r="F647">
        <v>2</v>
      </c>
      <c r="G647" t="s">
        <v>1226</v>
      </c>
      <c r="H647" t="s">
        <v>138</v>
      </c>
      <c r="I647" t="s">
        <v>138</v>
      </c>
      <c r="J647" t="s">
        <v>6</v>
      </c>
      <c r="L647">
        <v>522611</v>
      </c>
      <c r="M647" s="99" t="s">
        <v>179</v>
      </c>
      <c r="N647">
        <v>2</v>
      </c>
      <c r="O647">
        <v>21</v>
      </c>
      <c r="P647">
        <v>3.0036</v>
      </c>
      <c r="Q647" t="s">
        <v>352</v>
      </c>
      <c r="R647">
        <v>1</v>
      </c>
      <c r="S647">
        <v>2.9738000000000002</v>
      </c>
      <c r="T647">
        <v>6.0400000000000002E-2</v>
      </c>
      <c r="U647">
        <v>0.49337748344370574</v>
      </c>
      <c r="V647">
        <v>2.7926000000000002</v>
      </c>
      <c r="W647">
        <v>2.8530000000000002</v>
      </c>
      <c r="X647">
        <v>2.9134000000000002</v>
      </c>
      <c r="Y647">
        <v>3.0342000000000002</v>
      </c>
      <c r="Z647">
        <v>3.0946000000000002</v>
      </c>
      <c r="AA647">
        <v>3.1550000000000002</v>
      </c>
      <c r="AD647">
        <v>27.582809524942444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 t="s">
        <v>462</v>
      </c>
      <c r="AL647" t="s">
        <v>6</v>
      </c>
      <c r="AM647" t="s">
        <v>1145</v>
      </c>
      <c r="AN647" t="s">
        <v>1146</v>
      </c>
      <c r="AO647" s="100">
        <v>46262.040405092594</v>
      </c>
      <c r="AP647" t="s">
        <v>1147</v>
      </c>
      <c r="AQ647" t="s">
        <v>2511</v>
      </c>
      <c r="AR647" t="s">
        <v>1240</v>
      </c>
      <c r="AS647" t="s">
        <v>1150</v>
      </c>
      <c r="AT647" t="s">
        <v>2421</v>
      </c>
      <c r="AU647">
        <v>25</v>
      </c>
      <c r="AV647">
        <v>2.983816</v>
      </c>
      <c r="AW647">
        <v>5.4569685418432386E-2</v>
      </c>
      <c r="AX647">
        <v>1.8288555801843138</v>
      </c>
      <c r="AY647">
        <v>-3.8619019437726307</v>
      </c>
      <c r="AZ647">
        <v>6.8795136510767483</v>
      </c>
      <c r="BA647">
        <v>12.97035579965215</v>
      </c>
      <c r="BB647" t="s">
        <v>4619</v>
      </c>
      <c r="BD647" s="98"/>
      <c r="BE647" s="98"/>
      <c r="BF647" t="s">
        <v>1152</v>
      </c>
      <c r="BG647" t="s">
        <v>322</v>
      </c>
      <c r="BH647" t="s">
        <v>1153</v>
      </c>
      <c r="BI647">
        <v>3.8619019437726307</v>
      </c>
      <c r="BJ647" t="s">
        <v>983</v>
      </c>
      <c r="BK647">
        <v>20.703295873865695</v>
      </c>
      <c r="BL647">
        <v>75.058691374945781</v>
      </c>
      <c r="BM647" t="s">
        <v>1260</v>
      </c>
      <c r="BN647" t="s">
        <v>1154</v>
      </c>
      <c r="BO647">
        <v>2025</v>
      </c>
      <c r="BP647" t="s">
        <v>966</v>
      </c>
      <c r="BQ647">
        <v>1.0794755755938468E-2</v>
      </c>
      <c r="BR647">
        <v>99.999998920524419</v>
      </c>
      <c r="BS647" t="s">
        <v>984</v>
      </c>
      <c r="BT647">
        <v>3</v>
      </c>
      <c r="BU647">
        <v>1</v>
      </c>
      <c r="BV647" t="s">
        <v>985</v>
      </c>
      <c r="BW647" t="s">
        <v>943</v>
      </c>
      <c r="BX647" t="s">
        <v>986</v>
      </c>
      <c r="BY647">
        <v>7.0987562374295639</v>
      </c>
      <c r="BZ647" t="s">
        <v>1155</v>
      </c>
      <c r="CA647" t="s">
        <v>983</v>
      </c>
      <c r="CB647" t="b">
        <v>1</v>
      </c>
      <c r="CC647" t="b">
        <v>0</v>
      </c>
      <c r="CD647" t="b">
        <v>0</v>
      </c>
      <c r="CE647" t="b">
        <v>0</v>
      </c>
      <c r="CF647" t="b">
        <v>0</v>
      </c>
    </row>
    <row r="648" spans="1:84" x14ac:dyDescent="0.3">
      <c r="A648" t="s">
        <v>2512</v>
      </c>
      <c r="B648" t="s">
        <v>1242</v>
      </c>
      <c r="C648" s="98">
        <v>45810</v>
      </c>
      <c r="D648">
        <v>2025</v>
      </c>
      <c r="E648">
        <v>6</v>
      </c>
      <c r="F648">
        <v>2</v>
      </c>
      <c r="G648" t="s">
        <v>1243</v>
      </c>
      <c r="H648" t="s">
        <v>138</v>
      </c>
      <c r="I648" t="s">
        <v>138</v>
      </c>
      <c r="J648" t="s">
        <v>6</v>
      </c>
      <c r="L648">
        <v>522611</v>
      </c>
      <c r="M648" s="99" t="s">
        <v>179</v>
      </c>
      <c r="N648">
        <v>2</v>
      </c>
      <c r="O648">
        <v>22</v>
      </c>
      <c r="P648">
        <v>3.0036</v>
      </c>
      <c r="Q648" t="s">
        <v>352</v>
      </c>
      <c r="R648">
        <v>1</v>
      </c>
      <c r="S648">
        <v>2.9738000000000002</v>
      </c>
      <c r="T648">
        <v>6.0400000000000002E-2</v>
      </c>
      <c r="U648">
        <v>0.49337748344370574</v>
      </c>
      <c r="V648">
        <v>2.7926000000000002</v>
      </c>
      <c r="W648">
        <v>2.8530000000000002</v>
      </c>
      <c r="X648">
        <v>2.9134000000000002</v>
      </c>
      <c r="Y648">
        <v>3.0342000000000002</v>
      </c>
      <c r="Z648">
        <v>3.0946000000000002</v>
      </c>
      <c r="AA648">
        <v>3.1550000000000002</v>
      </c>
      <c r="AD648">
        <v>27.582809524942444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 t="s">
        <v>462</v>
      </c>
      <c r="AL648" t="s">
        <v>6</v>
      </c>
      <c r="AM648" t="s">
        <v>1145</v>
      </c>
      <c r="AN648" t="s">
        <v>1146</v>
      </c>
      <c r="AO648" s="100">
        <v>46262.040405092594</v>
      </c>
      <c r="AP648" t="s">
        <v>1147</v>
      </c>
      <c r="AQ648" t="s">
        <v>2513</v>
      </c>
      <c r="AR648" t="s">
        <v>1245</v>
      </c>
      <c r="AS648" t="s">
        <v>1150</v>
      </c>
      <c r="AT648" t="s">
        <v>2421</v>
      </c>
      <c r="AU648">
        <v>25</v>
      </c>
      <c r="AV648">
        <v>2.983816</v>
      </c>
      <c r="AW648">
        <v>5.4569685418432386E-2</v>
      </c>
      <c r="AX648">
        <v>1.8288555801843138</v>
      </c>
      <c r="AY648">
        <v>-3.8619019437726307</v>
      </c>
      <c r="AZ648">
        <v>6.8795136510767483</v>
      </c>
      <c r="BA648">
        <v>12.97035579965215</v>
      </c>
      <c r="BB648" t="s">
        <v>4619</v>
      </c>
      <c r="BD648" s="98"/>
      <c r="BE648" s="98"/>
      <c r="BF648" t="s">
        <v>1152</v>
      </c>
      <c r="BG648" t="s">
        <v>322</v>
      </c>
      <c r="BH648" t="s">
        <v>1153</v>
      </c>
      <c r="BI648">
        <v>3.8619019437726307</v>
      </c>
      <c r="BJ648" t="s">
        <v>983</v>
      </c>
      <c r="BK648">
        <v>20.703295873865695</v>
      </c>
      <c r="BL648">
        <v>75.058691374945781</v>
      </c>
      <c r="BM648" t="s">
        <v>1260</v>
      </c>
      <c r="BN648" t="s">
        <v>1154</v>
      </c>
      <c r="BO648">
        <v>2025</v>
      </c>
      <c r="BP648" t="s">
        <v>966</v>
      </c>
      <c r="BQ648">
        <v>1.0794755755938468E-2</v>
      </c>
      <c r="BR648">
        <v>99.999998920524419</v>
      </c>
      <c r="BS648" t="s">
        <v>984</v>
      </c>
      <c r="BT648">
        <v>3</v>
      </c>
      <c r="BU648">
        <v>1</v>
      </c>
      <c r="BV648" t="s">
        <v>985</v>
      </c>
      <c r="BW648" t="s">
        <v>943</v>
      </c>
      <c r="BX648" t="s">
        <v>986</v>
      </c>
      <c r="BY648">
        <v>7.0987562374295639</v>
      </c>
      <c r="BZ648" t="s">
        <v>1155</v>
      </c>
      <c r="CA648" t="s">
        <v>983</v>
      </c>
      <c r="CB648" t="b">
        <v>1</v>
      </c>
      <c r="CC648" t="b">
        <v>0</v>
      </c>
      <c r="CD648" t="b">
        <v>0</v>
      </c>
      <c r="CE648" t="b">
        <v>0</v>
      </c>
      <c r="CF648" t="b">
        <v>0</v>
      </c>
    </row>
    <row r="649" spans="1:84" x14ac:dyDescent="0.3">
      <c r="A649" t="s">
        <v>2514</v>
      </c>
      <c r="B649" t="s">
        <v>1247</v>
      </c>
      <c r="C649" s="98">
        <v>45817</v>
      </c>
      <c r="D649">
        <v>2025</v>
      </c>
      <c r="E649">
        <v>6</v>
      </c>
      <c r="F649">
        <v>2</v>
      </c>
      <c r="G649" t="s">
        <v>1243</v>
      </c>
      <c r="H649" t="s">
        <v>138</v>
      </c>
      <c r="I649" t="s">
        <v>138</v>
      </c>
      <c r="J649" t="s">
        <v>6</v>
      </c>
      <c r="L649">
        <v>522611</v>
      </c>
      <c r="M649" s="99" t="s">
        <v>179</v>
      </c>
      <c r="N649">
        <v>2</v>
      </c>
      <c r="O649">
        <v>23</v>
      </c>
      <c r="P649">
        <v>2.9451000000000001</v>
      </c>
      <c r="Q649" t="s">
        <v>352</v>
      </c>
      <c r="R649">
        <v>1</v>
      </c>
      <c r="S649">
        <v>2.9738000000000002</v>
      </c>
      <c r="T649">
        <v>6.0400000000000002E-2</v>
      </c>
      <c r="U649">
        <v>-0.4751655629139101</v>
      </c>
      <c r="V649">
        <v>2.7926000000000002</v>
      </c>
      <c r="W649">
        <v>2.8530000000000002</v>
      </c>
      <c r="X649">
        <v>2.9134000000000002</v>
      </c>
      <c r="Y649">
        <v>3.0342000000000002</v>
      </c>
      <c r="Z649">
        <v>3.0946000000000002</v>
      </c>
      <c r="AA649">
        <v>3.1550000000000002</v>
      </c>
      <c r="AD649">
        <v>27.582809524942444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 t="s">
        <v>462</v>
      </c>
      <c r="AL649" t="s">
        <v>6</v>
      </c>
      <c r="AM649" t="s">
        <v>1145</v>
      </c>
      <c r="AN649" t="s">
        <v>1146</v>
      </c>
      <c r="AO649" s="100">
        <v>46262.040405092594</v>
      </c>
      <c r="AP649" t="s">
        <v>1147</v>
      </c>
      <c r="AQ649" t="s">
        <v>2515</v>
      </c>
      <c r="AR649" t="s">
        <v>1249</v>
      </c>
      <c r="AS649" t="s">
        <v>1150</v>
      </c>
      <c r="AT649" t="s">
        <v>2421</v>
      </c>
      <c r="AU649">
        <v>25</v>
      </c>
      <c r="AV649">
        <v>2.983816</v>
      </c>
      <c r="AW649">
        <v>5.4569685418432386E-2</v>
      </c>
      <c r="AX649">
        <v>1.8288555801843138</v>
      </c>
      <c r="AY649">
        <v>-3.8619019437726307</v>
      </c>
      <c r="AZ649">
        <v>6.8795136510767483</v>
      </c>
      <c r="BA649">
        <v>12.97035579965215</v>
      </c>
      <c r="BB649" t="s">
        <v>4619</v>
      </c>
      <c r="BD649" s="98"/>
      <c r="BE649" s="98"/>
      <c r="BF649" t="s">
        <v>1152</v>
      </c>
      <c r="BG649" t="s">
        <v>322</v>
      </c>
      <c r="BH649" t="s">
        <v>1153</v>
      </c>
      <c r="BI649">
        <v>3.8619019437726307</v>
      </c>
      <c r="BJ649" t="s">
        <v>983</v>
      </c>
      <c r="BK649">
        <v>20.703295873865695</v>
      </c>
      <c r="BL649">
        <v>75.058691374945781</v>
      </c>
      <c r="BM649" t="s">
        <v>1260</v>
      </c>
      <c r="BN649" t="s">
        <v>1154</v>
      </c>
      <c r="BO649">
        <v>2025</v>
      </c>
      <c r="BP649" t="s">
        <v>966</v>
      </c>
      <c r="BQ649">
        <v>1.0794755755938468E-2</v>
      </c>
      <c r="BR649">
        <v>99.999998920524419</v>
      </c>
      <c r="BS649" t="s">
        <v>984</v>
      </c>
      <c r="BT649">
        <v>3</v>
      </c>
      <c r="BU649">
        <v>1</v>
      </c>
      <c r="BV649" t="s">
        <v>985</v>
      </c>
      <c r="BW649" t="s">
        <v>943</v>
      </c>
      <c r="BX649" t="s">
        <v>986</v>
      </c>
      <c r="BY649">
        <v>7.0987562374295639</v>
      </c>
      <c r="BZ649" t="s">
        <v>1155</v>
      </c>
      <c r="CA649" t="s">
        <v>983</v>
      </c>
      <c r="CB649" t="b">
        <v>1</v>
      </c>
      <c r="CC649" t="b">
        <v>0</v>
      </c>
      <c r="CD649" t="b">
        <v>0</v>
      </c>
      <c r="CE649" t="b">
        <v>0</v>
      </c>
      <c r="CF649" t="b">
        <v>0</v>
      </c>
    </row>
    <row r="650" spans="1:84" x14ac:dyDescent="0.3">
      <c r="A650" t="s">
        <v>2516</v>
      </c>
      <c r="B650" t="s">
        <v>1251</v>
      </c>
      <c r="C650" s="98">
        <v>45824</v>
      </c>
      <c r="D650">
        <v>2025</v>
      </c>
      <c r="E650">
        <v>6</v>
      </c>
      <c r="F650">
        <v>2</v>
      </c>
      <c r="G650" t="s">
        <v>1243</v>
      </c>
      <c r="H650" t="s">
        <v>138</v>
      </c>
      <c r="I650" t="s">
        <v>138</v>
      </c>
      <c r="J650" t="s">
        <v>6</v>
      </c>
      <c r="L650">
        <v>522611</v>
      </c>
      <c r="M650" s="99" t="s">
        <v>179</v>
      </c>
      <c r="N650">
        <v>2</v>
      </c>
      <c r="O650">
        <v>24</v>
      </c>
      <c r="P650">
        <v>3.0358999999999998</v>
      </c>
      <c r="Q650" t="s">
        <v>352</v>
      </c>
      <c r="R650">
        <v>1</v>
      </c>
      <c r="S650">
        <v>2.9738000000000002</v>
      </c>
      <c r="T650">
        <v>6.0400000000000002E-2</v>
      </c>
      <c r="U650">
        <v>1.0281456953642318</v>
      </c>
      <c r="V650">
        <v>2.7926000000000002</v>
      </c>
      <c r="W650">
        <v>2.8530000000000002</v>
      </c>
      <c r="X650">
        <v>2.9134000000000002</v>
      </c>
      <c r="Y650">
        <v>3.0342000000000002</v>
      </c>
      <c r="Z650">
        <v>3.0946000000000002</v>
      </c>
      <c r="AA650">
        <v>3.1550000000000002</v>
      </c>
      <c r="AD650">
        <v>27.582809524942444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 t="s">
        <v>462</v>
      </c>
      <c r="AL650" t="s">
        <v>6</v>
      </c>
      <c r="AM650" t="s">
        <v>1145</v>
      </c>
      <c r="AN650" t="s">
        <v>1146</v>
      </c>
      <c r="AO650" s="100">
        <v>46262.040405092594</v>
      </c>
      <c r="AP650" t="s">
        <v>1147</v>
      </c>
      <c r="AQ650" t="s">
        <v>2517</v>
      </c>
      <c r="AR650" t="s">
        <v>1253</v>
      </c>
      <c r="AS650" t="s">
        <v>1150</v>
      </c>
      <c r="AT650" t="s">
        <v>2421</v>
      </c>
      <c r="AU650">
        <v>25</v>
      </c>
      <c r="AV650">
        <v>2.983816</v>
      </c>
      <c r="AW650">
        <v>5.4569685418432386E-2</v>
      </c>
      <c r="AX650">
        <v>1.8288555801843138</v>
      </c>
      <c r="AY650">
        <v>-3.8619019437726307</v>
      </c>
      <c r="AZ650">
        <v>6.8795136510767483</v>
      </c>
      <c r="BA650">
        <v>12.97035579965215</v>
      </c>
      <c r="BB650" t="s">
        <v>4619</v>
      </c>
      <c r="BD650" s="98"/>
      <c r="BE650" s="98"/>
      <c r="BF650" t="s">
        <v>1152</v>
      </c>
      <c r="BG650" t="s">
        <v>322</v>
      </c>
      <c r="BH650" t="s">
        <v>1153</v>
      </c>
      <c r="BI650">
        <v>3.8619019437726307</v>
      </c>
      <c r="BJ650" t="s">
        <v>983</v>
      </c>
      <c r="BK650">
        <v>20.703295873865695</v>
      </c>
      <c r="BL650">
        <v>75.058691374945781</v>
      </c>
      <c r="BM650" t="s">
        <v>1260</v>
      </c>
      <c r="BN650" t="s">
        <v>1154</v>
      </c>
      <c r="BO650">
        <v>2025</v>
      </c>
      <c r="BP650" t="s">
        <v>966</v>
      </c>
      <c r="BQ650">
        <v>1.0794755755938468E-2</v>
      </c>
      <c r="BR650">
        <v>99.999998920524419</v>
      </c>
      <c r="BS650" t="s">
        <v>984</v>
      </c>
      <c r="BT650">
        <v>3</v>
      </c>
      <c r="BU650">
        <v>1</v>
      </c>
      <c r="BV650" t="s">
        <v>985</v>
      </c>
      <c r="BW650" t="s">
        <v>943</v>
      </c>
      <c r="BX650" t="s">
        <v>986</v>
      </c>
      <c r="BY650">
        <v>7.0987562374295639</v>
      </c>
      <c r="BZ650" t="s">
        <v>1155</v>
      </c>
      <c r="CA650" t="s">
        <v>983</v>
      </c>
      <c r="CB650" t="b">
        <v>1</v>
      </c>
      <c r="CC650" t="b">
        <v>0</v>
      </c>
      <c r="CD650" t="b">
        <v>0</v>
      </c>
      <c r="CE650" t="b">
        <v>0</v>
      </c>
      <c r="CF650" t="b">
        <v>0</v>
      </c>
    </row>
    <row r="651" spans="1:84" x14ac:dyDescent="0.3">
      <c r="A651" t="s">
        <v>2518</v>
      </c>
      <c r="B651" t="s">
        <v>1255</v>
      </c>
      <c r="C651" s="98">
        <v>45831</v>
      </c>
      <c r="D651">
        <v>2025</v>
      </c>
      <c r="E651">
        <v>6</v>
      </c>
      <c r="F651">
        <v>2</v>
      </c>
      <c r="G651" t="s">
        <v>1243</v>
      </c>
      <c r="H651" t="s">
        <v>138</v>
      </c>
      <c r="I651" t="s">
        <v>138</v>
      </c>
      <c r="J651" t="s">
        <v>6</v>
      </c>
      <c r="L651">
        <v>522611</v>
      </c>
      <c r="M651" s="99" t="s">
        <v>179</v>
      </c>
      <c r="N651">
        <v>2</v>
      </c>
      <c r="O651">
        <v>25</v>
      </c>
      <c r="P651">
        <v>2.9592999999999998</v>
      </c>
      <c r="Q651" t="s">
        <v>352</v>
      </c>
      <c r="R651">
        <v>1</v>
      </c>
      <c r="S651">
        <v>2.9738000000000002</v>
      </c>
      <c r="T651">
        <v>6.0400000000000002E-2</v>
      </c>
      <c r="U651">
        <v>-0.24006622516556955</v>
      </c>
      <c r="V651">
        <v>2.7926000000000002</v>
      </c>
      <c r="W651">
        <v>2.8530000000000002</v>
      </c>
      <c r="X651">
        <v>2.9134000000000002</v>
      </c>
      <c r="Y651">
        <v>3.0342000000000002</v>
      </c>
      <c r="Z651">
        <v>3.0946000000000002</v>
      </c>
      <c r="AA651">
        <v>3.1550000000000002</v>
      </c>
      <c r="AD651">
        <v>27.582809524942444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 t="s">
        <v>462</v>
      </c>
      <c r="AL651" t="s">
        <v>6</v>
      </c>
      <c r="AM651" t="s">
        <v>1145</v>
      </c>
      <c r="AN651" t="s">
        <v>1146</v>
      </c>
      <c r="AO651" s="100">
        <v>46262.040405092594</v>
      </c>
      <c r="AP651" t="s">
        <v>1147</v>
      </c>
      <c r="AQ651" t="s">
        <v>2519</v>
      </c>
      <c r="AR651" t="s">
        <v>1257</v>
      </c>
      <c r="AS651" t="s">
        <v>1150</v>
      </c>
      <c r="AT651" t="s">
        <v>2421</v>
      </c>
      <c r="AU651">
        <v>25</v>
      </c>
      <c r="AV651">
        <v>2.983816</v>
      </c>
      <c r="AW651">
        <v>5.4569685418432386E-2</v>
      </c>
      <c r="AX651">
        <v>1.8288555801843138</v>
      </c>
      <c r="AY651">
        <v>-3.8619019437726307</v>
      </c>
      <c r="AZ651">
        <v>6.8795136510767483</v>
      </c>
      <c r="BA651">
        <v>12.97035579965215</v>
      </c>
      <c r="BB651" t="s">
        <v>4619</v>
      </c>
      <c r="BD651" s="98"/>
      <c r="BE651" s="98"/>
      <c r="BF651" t="s">
        <v>1152</v>
      </c>
      <c r="BG651" t="s">
        <v>322</v>
      </c>
      <c r="BH651" t="s">
        <v>1153</v>
      </c>
      <c r="BI651">
        <v>3.8619019437726307</v>
      </c>
      <c r="BJ651" t="s">
        <v>983</v>
      </c>
      <c r="BK651">
        <v>20.703295873865695</v>
      </c>
      <c r="BL651">
        <v>75.058691374945781</v>
      </c>
      <c r="BM651" t="s">
        <v>1260</v>
      </c>
      <c r="BN651" t="s">
        <v>1154</v>
      </c>
      <c r="BO651">
        <v>2025</v>
      </c>
      <c r="BP651" t="s">
        <v>966</v>
      </c>
      <c r="BQ651">
        <v>1.0794755755938468E-2</v>
      </c>
      <c r="BR651">
        <v>99.999998920524419</v>
      </c>
      <c r="BS651" t="s">
        <v>984</v>
      </c>
      <c r="BT651">
        <v>3</v>
      </c>
      <c r="BU651">
        <v>1</v>
      </c>
      <c r="BV651" t="s">
        <v>985</v>
      </c>
      <c r="BW651" t="s">
        <v>943</v>
      </c>
      <c r="BX651" t="s">
        <v>986</v>
      </c>
      <c r="BY651">
        <v>7.0987562374295639</v>
      </c>
      <c r="BZ651" t="s">
        <v>1155</v>
      </c>
      <c r="CA651" t="s">
        <v>983</v>
      </c>
      <c r="CB651" t="b">
        <v>1</v>
      </c>
      <c r="CC651" t="b">
        <v>0</v>
      </c>
      <c r="CD651" t="b">
        <v>0</v>
      </c>
      <c r="CE651" t="b">
        <v>0</v>
      </c>
      <c r="CF651" t="b">
        <v>0</v>
      </c>
    </row>
    <row r="652" spans="1:84" x14ac:dyDescent="0.3">
      <c r="A652" t="s">
        <v>2520</v>
      </c>
      <c r="B652" t="s">
        <v>1143</v>
      </c>
      <c r="C652" s="98">
        <v>45663</v>
      </c>
      <c r="D652">
        <v>2025</v>
      </c>
      <c r="E652">
        <v>1</v>
      </c>
      <c r="F652">
        <v>1</v>
      </c>
      <c r="G652" t="s">
        <v>1144</v>
      </c>
      <c r="H652" t="s">
        <v>138</v>
      </c>
      <c r="I652" t="s">
        <v>138</v>
      </c>
      <c r="J652" t="s">
        <v>6</v>
      </c>
      <c r="L652">
        <v>522611</v>
      </c>
      <c r="M652" s="99" t="s">
        <v>180</v>
      </c>
      <c r="N652">
        <v>3</v>
      </c>
      <c r="O652">
        <v>1</v>
      </c>
      <c r="P652">
        <v>8.0402000000000005</v>
      </c>
      <c r="Q652" t="s">
        <v>352</v>
      </c>
      <c r="R652">
        <v>1</v>
      </c>
      <c r="S652">
        <v>7.8455000000000004</v>
      </c>
      <c r="T652">
        <v>0.17760000000000001</v>
      </c>
      <c r="U652">
        <v>1.0962837837837842</v>
      </c>
      <c r="V652">
        <v>7.3127000000000004</v>
      </c>
      <c r="W652">
        <v>7.4903000000000004</v>
      </c>
      <c r="X652">
        <v>7.6679000000000004</v>
      </c>
      <c r="Y652">
        <v>8.0231000000000012</v>
      </c>
      <c r="Z652">
        <v>8.2007000000000012</v>
      </c>
      <c r="AA652">
        <v>8.3783000000000012</v>
      </c>
      <c r="AD652">
        <v>27.582809524942444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 t="s">
        <v>462</v>
      </c>
      <c r="AL652" t="s">
        <v>6</v>
      </c>
      <c r="AM652" t="s">
        <v>1145</v>
      </c>
      <c r="AN652" t="s">
        <v>1146</v>
      </c>
      <c r="AO652" s="100">
        <v>46262.040405092594</v>
      </c>
      <c r="AP652" t="s">
        <v>1147</v>
      </c>
      <c r="AQ652" t="s">
        <v>2521</v>
      </c>
      <c r="AR652" t="s">
        <v>1149</v>
      </c>
      <c r="AS652" t="s">
        <v>1150</v>
      </c>
      <c r="AT652" t="s">
        <v>2421</v>
      </c>
      <c r="AU652">
        <v>25</v>
      </c>
      <c r="AV652">
        <v>7.8644599999999993</v>
      </c>
      <c r="AW652">
        <v>0.17538386945972737</v>
      </c>
      <c r="AX652">
        <v>2.2300815244750103</v>
      </c>
      <c r="AY652">
        <v>-3.8619019437726307</v>
      </c>
      <c r="AZ652">
        <v>7.5415364591563971</v>
      </c>
      <c r="BA652">
        <v>10.636789427128239</v>
      </c>
      <c r="BB652" t="s">
        <v>4619</v>
      </c>
      <c r="BD652" s="98"/>
      <c r="BE652" s="98"/>
      <c r="BF652" t="s">
        <v>1152</v>
      </c>
      <c r="BG652" t="s">
        <v>322</v>
      </c>
      <c r="BH652" t="s">
        <v>1153</v>
      </c>
      <c r="BI652">
        <v>3.8619019437726307</v>
      </c>
      <c r="BJ652" t="s">
        <v>983</v>
      </c>
      <c r="BK652">
        <v>20.041273065786047</v>
      </c>
      <c r="BL652">
        <v>72.65856310853043</v>
      </c>
      <c r="BM652" t="s">
        <v>1260</v>
      </c>
      <c r="BN652" t="s">
        <v>1154</v>
      </c>
      <c r="BO652">
        <v>2025</v>
      </c>
      <c r="BP652" t="s">
        <v>966</v>
      </c>
      <c r="BQ652">
        <v>1.0794755755938468E-2</v>
      </c>
      <c r="BR652">
        <v>99.999998920524419</v>
      </c>
      <c r="BS652" t="s">
        <v>984</v>
      </c>
      <c r="BT652">
        <v>3</v>
      </c>
      <c r="BU652">
        <v>1</v>
      </c>
      <c r="BV652" t="s">
        <v>985</v>
      </c>
      <c r="BW652" t="s">
        <v>943</v>
      </c>
      <c r="BX652" t="s">
        <v>986</v>
      </c>
      <c r="BY652">
        <v>7.0987562374295639</v>
      </c>
      <c r="BZ652" t="s">
        <v>1155</v>
      </c>
      <c r="CA652" t="s">
        <v>983</v>
      </c>
      <c r="CB652" t="b">
        <v>1</v>
      </c>
      <c r="CC652" t="b">
        <v>0</v>
      </c>
      <c r="CD652" t="b">
        <v>0</v>
      </c>
      <c r="CE652" t="b">
        <v>0</v>
      </c>
      <c r="CF652" t="b">
        <v>0</v>
      </c>
    </row>
    <row r="653" spans="1:84" x14ac:dyDescent="0.3">
      <c r="A653" t="s">
        <v>2522</v>
      </c>
      <c r="B653" t="s">
        <v>1157</v>
      </c>
      <c r="C653" s="98">
        <v>45670</v>
      </c>
      <c r="D653">
        <v>2025</v>
      </c>
      <c r="E653">
        <v>1</v>
      </c>
      <c r="F653">
        <v>1</v>
      </c>
      <c r="G653" t="s">
        <v>1144</v>
      </c>
      <c r="H653" t="s">
        <v>138</v>
      </c>
      <c r="I653" t="s">
        <v>138</v>
      </c>
      <c r="J653" t="s">
        <v>6</v>
      </c>
      <c r="L653">
        <v>522611</v>
      </c>
      <c r="M653" s="99" t="s">
        <v>180</v>
      </c>
      <c r="N653">
        <v>3</v>
      </c>
      <c r="O653">
        <v>2</v>
      </c>
      <c r="P653">
        <v>7.6836000000000002</v>
      </c>
      <c r="Q653" t="s">
        <v>352</v>
      </c>
      <c r="R653">
        <v>1</v>
      </c>
      <c r="S653">
        <v>7.8455000000000004</v>
      </c>
      <c r="T653">
        <v>0.17760000000000001</v>
      </c>
      <c r="U653">
        <v>-0.91159909909909997</v>
      </c>
      <c r="V653">
        <v>7.3127000000000004</v>
      </c>
      <c r="W653">
        <v>7.4903000000000004</v>
      </c>
      <c r="X653">
        <v>7.6679000000000004</v>
      </c>
      <c r="Y653">
        <v>8.0231000000000012</v>
      </c>
      <c r="Z653">
        <v>8.2007000000000012</v>
      </c>
      <c r="AA653">
        <v>8.3783000000000012</v>
      </c>
      <c r="AD653">
        <v>27.582809524942444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 t="s">
        <v>462</v>
      </c>
      <c r="AL653" t="s">
        <v>6</v>
      </c>
      <c r="AM653" t="s">
        <v>1145</v>
      </c>
      <c r="AN653" t="s">
        <v>1146</v>
      </c>
      <c r="AO653" s="100">
        <v>46262.040405092594</v>
      </c>
      <c r="AP653" t="s">
        <v>1147</v>
      </c>
      <c r="AQ653" t="s">
        <v>2523</v>
      </c>
      <c r="AR653" t="s">
        <v>1159</v>
      </c>
      <c r="AS653" t="s">
        <v>1150</v>
      </c>
      <c r="AT653" t="s">
        <v>2421</v>
      </c>
      <c r="AU653">
        <v>25</v>
      </c>
      <c r="AV653">
        <v>7.8644599999999993</v>
      </c>
      <c r="AW653">
        <v>0.17538386945972737</v>
      </c>
      <c r="AX653">
        <v>2.2300815244750103</v>
      </c>
      <c r="AY653">
        <v>-3.8619019437726307</v>
      </c>
      <c r="AZ653">
        <v>7.5415364591563971</v>
      </c>
      <c r="BA653">
        <v>10.636789427128239</v>
      </c>
      <c r="BB653" t="s">
        <v>4619</v>
      </c>
      <c r="BD653" s="98"/>
      <c r="BE653" s="98"/>
      <c r="BF653" t="s">
        <v>1152</v>
      </c>
      <c r="BG653" t="s">
        <v>322</v>
      </c>
      <c r="BH653" t="s">
        <v>1153</v>
      </c>
      <c r="BI653">
        <v>3.8619019437726307</v>
      </c>
      <c r="BJ653" t="s">
        <v>983</v>
      </c>
      <c r="BK653">
        <v>20.041273065786047</v>
      </c>
      <c r="BL653">
        <v>72.65856310853043</v>
      </c>
      <c r="BM653" t="s">
        <v>1260</v>
      </c>
      <c r="BN653" t="s">
        <v>1154</v>
      </c>
      <c r="BO653">
        <v>2025</v>
      </c>
      <c r="BP653" t="s">
        <v>966</v>
      </c>
      <c r="BQ653">
        <v>1.0794755755938468E-2</v>
      </c>
      <c r="BR653">
        <v>99.999998920524419</v>
      </c>
      <c r="BS653" t="s">
        <v>984</v>
      </c>
      <c r="BT653">
        <v>3</v>
      </c>
      <c r="BU653">
        <v>1</v>
      </c>
      <c r="BV653" t="s">
        <v>985</v>
      </c>
      <c r="BW653" t="s">
        <v>943</v>
      </c>
      <c r="BX653" t="s">
        <v>986</v>
      </c>
      <c r="BY653">
        <v>7.0987562374295639</v>
      </c>
      <c r="BZ653" t="s">
        <v>1155</v>
      </c>
      <c r="CA653" t="s">
        <v>983</v>
      </c>
      <c r="CB653" t="b">
        <v>1</v>
      </c>
      <c r="CC653" t="b">
        <v>0</v>
      </c>
      <c r="CD653" t="b">
        <v>0</v>
      </c>
      <c r="CE653" t="b">
        <v>0</v>
      </c>
      <c r="CF653" t="b">
        <v>0</v>
      </c>
    </row>
    <row r="654" spans="1:84" x14ac:dyDescent="0.3">
      <c r="A654" t="s">
        <v>2524</v>
      </c>
      <c r="B654" t="s">
        <v>1161</v>
      </c>
      <c r="C654" s="98">
        <v>45677</v>
      </c>
      <c r="D654">
        <v>2025</v>
      </c>
      <c r="E654">
        <v>1</v>
      </c>
      <c r="F654">
        <v>1</v>
      </c>
      <c r="G654" t="s">
        <v>1144</v>
      </c>
      <c r="H654" t="s">
        <v>138</v>
      </c>
      <c r="I654" t="s">
        <v>138</v>
      </c>
      <c r="J654" t="s">
        <v>6</v>
      </c>
      <c r="L654">
        <v>522611</v>
      </c>
      <c r="M654" s="99" t="s">
        <v>180</v>
      </c>
      <c r="N654">
        <v>3</v>
      </c>
      <c r="O654">
        <v>3</v>
      </c>
      <c r="P654">
        <v>7.6938000000000004</v>
      </c>
      <c r="Q654" t="s">
        <v>352</v>
      </c>
      <c r="R654">
        <v>1</v>
      </c>
      <c r="S654">
        <v>7.8455000000000004</v>
      </c>
      <c r="T654">
        <v>0.17760000000000001</v>
      </c>
      <c r="U654">
        <v>-0.8541666666666663</v>
      </c>
      <c r="V654">
        <v>7.3127000000000004</v>
      </c>
      <c r="W654">
        <v>7.4903000000000004</v>
      </c>
      <c r="X654">
        <v>7.6679000000000004</v>
      </c>
      <c r="Y654">
        <v>8.0231000000000012</v>
      </c>
      <c r="Z654">
        <v>8.2007000000000012</v>
      </c>
      <c r="AA654">
        <v>8.3783000000000012</v>
      </c>
      <c r="AD654">
        <v>27.582809524942444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 t="s">
        <v>462</v>
      </c>
      <c r="AL654" t="s">
        <v>6</v>
      </c>
      <c r="AM654" t="s">
        <v>1145</v>
      </c>
      <c r="AN654" t="s">
        <v>1146</v>
      </c>
      <c r="AO654" s="100">
        <v>46262.040405092594</v>
      </c>
      <c r="AP654" t="s">
        <v>1147</v>
      </c>
      <c r="AQ654" t="s">
        <v>2525</v>
      </c>
      <c r="AR654" t="s">
        <v>1163</v>
      </c>
      <c r="AS654" t="s">
        <v>1150</v>
      </c>
      <c r="AT654" t="s">
        <v>2421</v>
      </c>
      <c r="AU654">
        <v>25</v>
      </c>
      <c r="AV654">
        <v>7.8644599999999993</v>
      </c>
      <c r="AW654">
        <v>0.17538386945972737</v>
      </c>
      <c r="AX654">
        <v>2.2300815244750103</v>
      </c>
      <c r="AY654">
        <v>-3.8619019437726307</v>
      </c>
      <c r="AZ654">
        <v>7.5415364591563971</v>
      </c>
      <c r="BA654">
        <v>10.636789427128239</v>
      </c>
      <c r="BB654" t="s">
        <v>4619</v>
      </c>
      <c r="BD654" s="98"/>
      <c r="BE654" s="98"/>
      <c r="BF654" t="s">
        <v>1152</v>
      </c>
      <c r="BG654" t="s">
        <v>322</v>
      </c>
      <c r="BH654" t="s">
        <v>1153</v>
      </c>
      <c r="BI654">
        <v>3.8619019437726307</v>
      </c>
      <c r="BJ654" t="s">
        <v>983</v>
      </c>
      <c r="BK654">
        <v>20.041273065786047</v>
      </c>
      <c r="BL654">
        <v>72.65856310853043</v>
      </c>
      <c r="BM654" t="s">
        <v>1260</v>
      </c>
      <c r="BN654" t="s">
        <v>1154</v>
      </c>
      <c r="BO654">
        <v>2025</v>
      </c>
      <c r="BP654" t="s">
        <v>966</v>
      </c>
      <c r="BQ654">
        <v>1.0794755755938468E-2</v>
      </c>
      <c r="BR654">
        <v>99.999998920524419</v>
      </c>
      <c r="BS654" t="s">
        <v>984</v>
      </c>
      <c r="BT654">
        <v>3</v>
      </c>
      <c r="BU654">
        <v>1</v>
      </c>
      <c r="BV654" t="s">
        <v>985</v>
      </c>
      <c r="BW654" t="s">
        <v>943</v>
      </c>
      <c r="BX654" t="s">
        <v>986</v>
      </c>
      <c r="BY654">
        <v>7.0987562374295639</v>
      </c>
      <c r="BZ654" t="s">
        <v>1155</v>
      </c>
      <c r="CA654" t="s">
        <v>983</v>
      </c>
      <c r="CB654" t="b">
        <v>1</v>
      </c>
      <c r="CC654" t="b">
        <v>0</v>
      </c>
      <c r="CD654" t="b">
        <v>0</v>
      </c>
      <c r="CE654" t="b">
        <v>0</v>
      </c>
      <c r="CF654" t="b">
        <v>0</v>
      </c>
    </row>
    <row r="655" spans="1:84" x14ac:dyDescent="0.3">
      <c r="A655" t="s">
        <v>2526</v>
      </c>
      <c r="B655" t="s">
        <v>1165</v>
      </c>
      <c r="C655" s="98">
        <v>45684</v>
      </c>
      <c r="D655">
        <v>2025</v>
      </c>
      <c r="E655">
        <v>1</v>
      </c>
      <c r="F655">
        <v>1</v>
      </c>
      <c r="G655" t="s">
        <v>1144</v>
      </c>
      <c r="H655" t="s">
        <v>138</v>
      </c>
      <c r="I655" t="s">
        <v>138</v>
      </c>
      <c r="J655" t="s">
        <v>6</v>
      </c>
      <c r="L655">
        <v>522611</v>
      </c>
      <c r="M655" s="99" t="s">
        <v>180</v>
      </c>
      <c r="N655">
        <v>3</v>
      </c>
      <c r="O655">
        <v>4</v>
      </c>
      <c r="P655">
        <v>7.8818999999999999</v>
      </c>
      <c r="Q655" t="s">
        <v>352</v>
      </c>
      <c r="R655">
        <v>1</v>
      </c>
      <c r="S655">
        <v>7.8455000000000004</v>
      </c>
      <c r="T655">
        <v>0.17760000000000001</v>
      </c>
      <c r="U655">
        <v>0.20495495495495239</v>
      </c>
      <c r="V655">
        <v>7.3127000000000004</v>
      </c>
      <c r="W655">
        <v>7.4903000000000004</v>
      </c>
      <c r="X655">
        <v>7.6679000000000004</v>
      </c>
      <c r="Y655">
        <v>8.0231000000000012</v>
      </c>
      <c r="Z655">
        <v>8.2007000000000012</v>
      </c>
      <c r="AA655">
        <v>8.3783000000000012</v>
      </c>
      <c r="AD655">
        <v>27.582809524942444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 t="s">
        <v>462</v>
      </c>
      <c r="AL655" t="s">
        <v>6</v>
      </c>
      <c r="AM655" t="s">
        <v>1145</v>
      </c>
      <c r="AN655" t="s">
        <v>1146</v>
      </c>
      <c r="AO655" s="100">
        <v>46262.040405092594</v>
      </c>
      <c r="AP655" t="s">
        <v>1147</v>
      </c>
      <c r="AQ655" t="s">
        <v>2527</v>
      </c>
      <c r="AR655" t="s">
        <v>1167</v>
      </c>
      <c r="AS655" t="s">
        <v>1150</v>
      </c>
      <c r="AT655" t="s">
        <v>2421</v>
      </c>
      <c r="AU655">
        <v>25</v>
      </c>
      <c r="AV655">
        <v>7.8644599999999993</v>
      </c>
      <c r="AW655">
        <v>0.17538386945972737</v>
      </c>
      <c r="AX655">
        <v>2.2300815244750103</v>
      </c>
      <c r="AY655">
        <v>-3.8619019437726307</v>
      </c>
      <c r="AZ655">
        <v>7.5415364591563971</v>
      </c>
      <c r="BA655">
        <v>10.636789427128239</v>
      </c>
      <c r="BB655" t="s">
        <v>4619</v>
      </c>
      <c r="BD655" s="98"/>
      <c r="BE655" s="98"/>
      <c r="BF655" t="s">
        <v>1152</v>
      </c>
      <c r="BG655" t="s">
        <v>322</v>
      </c>
      <c r="BH655" t="s">
        <v>1153</v>
      </c>
      <c r="BI655">
        <v>3.8619019437726307</v>
      </c>
      <c r="BJ655" t="s">
        <v>983</v>
      </c>
      <c r="BK655">
        <v>20.041273065786047</v>
      </c>
      <c r="BL655">
        <v>72.65856310853043</v>
      </c>
      <c r="BM655" t="s">
        <v>1260</v>
      </c>
      <c r="BN655" t="s">
        <v>1154</v>
      </c>
      <c r="BO655">
        <v>2025</v>
      </c>
      <c r="BP655" t="s">
        <v>966</v>
      </c>
      <c r="BQ655">
        <v>1.0794755755938468E-2</v>
      </c>
      <c r="BR655">
        <v>99.999998920524419</v>
      </c>
      <c r="BS655" t="s">
        <v>984</v>
      </c>
      <c r="BT655">
        <v>3</v>
      </c>
      <c r="BU655">
        <v>1</v>
      </c>
      <c r="BV655" t="s">
        <v>985</v>
      </c>
      <c r="BW655" t="s">
        <v>943</v>
      </c>
      <c r="BX655" t="s">
        <v>986</v>
      </c>
      <c r="BY655">
        <v>7.0987562374295639</v>
      </c>
      <c r="BZ655" t="s">
        <v>1155</v>
      </c>
      <c r="CA655" t="s">
        <v>983</v>
      </c>
      <c r="CB655" t="b">
        <v>1</v>
      </c>
      <c r="CC655" t="b">
        <v>0</v>
      </c>
      <c r="CD655" t="b">
        <v>0</v>
      </c>
      <c r="CE655" t="b">
        <v>0</v>
      </c>
      <c r="CF655" t="b">
        <v>0</v>
      </c>
    </row>
    <row r="656" spans="1:84" x14ac:dyDescent="0.3">
      <c r="A656" t="s">
        <v>2528</v>
      </c>
      <c r="B656" t="s">
        <v>1169</v>
      </c>
      <c r="C656" s="98">
        <v>45691</v>
      </c>
      <c r="D656">
        <v>2025</v>
      </c>
      <c r="E656">
        <v>2</v>
      </c>
      <c r="F656">
        <v>1</v>
      </c>
      <c r="G656" t="s">
        <v>1170</v>
      </c>
      <c r="H656" t="s">
        <v>138</v>
      </c>
      <c r="I656" t="s">
        <v>138</v>
      </c>
      <c r="J656" t="s">
        <v>6</v>
      </c>
      <c r="L656">
        <v>522611</v>
      </c>
      <c r="M656" s="99" t="s">
        <v>180</v>
      </c>
      <c r="N656">
        <v>3</v>
      </c>
      <c r="O656">
        <v>5</v>
      </c>
      <c r="P656">
        <v>7.7207999999999997</v>
      </c>
      <c r="Q656" t="s">
        <v>352</v>
      </c>
      <c r="R656">
        <v>1</v>
      </c>
      <c r="S656">
        <v>7.8455000000000004</v>
      </c>
      <c r="T656">
        <v>0.17760000000000001</v>
      </c>
      <c r="U656">
        <v>-0.70213963963964354</v>
      </c>
      <c r="V656">
        <v>7.3127000000000004</v>
      </c>
      <c r="W656">
        <v>7.4903000000000004</v>
      </c>
      <c r="X656">
        <v>7.6679000000000004</v>
      </c>
      <c r="Y656">
        <v>8.0231000000000012</v>
      </c>
      <c r="Z656">
        <v>8.2007000000000012</v>
      </c>
      <c r="AA656">
        <v>8.3783000000000012</v>
      </c>
      <c r="AD656">
        <v>27.582809524942444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 t="s">
        <v>462</v>
      </c>
      <c r="AL656" t="s">
        <v>6</v>
      </c>
      <c r="AM656" t="s">
        <v>1145</v>
      </c>
      <c r="AN656" t="s">
        <v>1146</v>
      </c>
      <c r="AO656" s="100">
        <v>46262.040405092594</v>
      </c>
      <c r="AP656" t="s">
        <v>1147</v>
      </c>
      <c r="AQ656" t="s">
        <v>2529</v>
      </c>
      <c r="AR656" t="s">
        <v>1172</v>
      </c>
      <c r="AS656" t="s">
        <v>1150</v>
      </c>
      <c r="AT656" t="s">
        <v>2421</v>
      </c>
      <c r="AU656">
        <v>25</v>
      </c>
      <c r="AV656">
        <v>7.8644599999999993</v>
      </c>
      <c r="AW656">
        <v>0.17538386945972737</v>
      </c>
      <c r="AX656">
        <v>2.2300815244750103</v>
      </c>
      <c r="AY656">
        <v>-3.8619019437726307</v>
      </c>
      <c r="AZ656">
        <v>7.5415364591563971</v>
      </c>
      <c r="BA656">
        <v>10.636789427128239</v>
      </c>
      <c r="BB656" t="s">
        <v>4619</v>
      </c>
      <c r="BD656" s="98"/>
      <c r="BE656" s="98"/>
      <c r="BF656" t="s">
        <v>1152</v>
      </c>
      <c r="BG656" t="s">
        <v>322</v>
      </c>
      <c r="BH656" t="s">
        <v>1153</v>
      </c>
      <c r="BI656">
        <v>3.8619019437726307</v>
      </c>
      <c r="BJ656" t="s">
        <v>983</v>
      </c>
      <c r="BK656">
        <v>20.041273065786047</v>
      </c>
      <c r="BL656">
        <v>72.65856310853043</v>
      </c>
      <c r="BM656" t="s">
        <v>1260</v>
      </c>
      <c r="BN656" t="s">
        <v>1154</v>
      </c>
      <c r="BO656">
        <v>2025</v>
      </c>
      <c r="BP656" t="s">
        <v>966</v>
      </c>
      <c r="BQ656">
        <v>1.0794755755938468E-2</v>
      </c>
      <c r="BR656">
        <v>99.999998920524419</v>
      </c>
      <c r="BS656" t="s">
        <v>984</v>
      </c>
      <c r="BT656">
        <v>3</v>
      </c>
      <c r="BU656">
        <v>1</v>
      </c>
      <c r="BV656" t="s">
        <v>985</v>
      </c>
      <c r="BW656" t="s">
        <v>943</v>
      </c>
      <c r="BX656" t="s">
        <v>986</v>
      </c>
      <c r="BY656">
        <v>7.0987562374295639</v>
      </c>
      <c r="BZ656" t="s">
        <v>1155</v>
      </c>
      <c r="CA656" t="s">
        <v>983</v>
      </c>
      <c r="CB656" t="b">
        <v>1</v>
      </c>
      <c r="CC656" t="b">
        <v>0</v>
      </c>
      <c r="CD656" t="b">
        <v>0</v>
      </c>
      <c r="CE656" t="b">
        <v>0</v>
      </c>
      <c r="CF656" t="b">
        <v>0</v>
      </c>
    </row>
    <row r="657" spans="1:84" x14ac:dyDescent="0.3">
      <c r="A657" t="s">
        <v>2530</v>
      </c>
      <c r="B657" t="s">
        <v>1174</v>
      </c>
      <c r="C657" s="98">
        <v>45698</v>
      </c>
      <c r="D657">
        <v>2025</v>
      </c>
      <c r="E657">
        <v>2</v>
      </c>
      <c r="F657">
        <v>1</v>
      </c>
      <c r="G657" t="s">
        <v>1170</v>
      </c>
      <c r="H657" t="s">
        <v>138</v>
      </c>
      <c r="I657" t="s">
        <v>138</v>
      </c>
      <c r="J657" t="s">
        <v>6</v>
      </c>
      <c r="L657">
        <v>522611</v>
      </c>
      <c r="M657" s="99" t="s">
        <v>180</v>
      </c>
      <c r="N657">
        <v>3</v>
      </c>
      <c r="O657">
        <v>6</v>
      </c>
      <c r="P657">
        <v>7.9654999999999996</v>
      </c>
      <c r="Q657" t="s">
        <v>352</v>
      </c>
      <c r="R657">
        <v>1</v>
      </c>
      <c r="S657">
        <v>7.8455000000000004</v>
      </c>
      <c r="T657">
        <v>0.17760000000000001</v>
      </c>
      <c r="U657">
        <v>0.67567567567567122</v>
      </c>
      <c r="V657">
        <v>7.3127000000000004</v>
      </c>
      <c r="W657">
        <v>7.4903000000000004</v>
      </c>
      <c r="X657">
        <v>7.6679000000000004</v>
      </c>
      <c r="Y657">
        <v>8.0231000000000012</v>
      </c>
      <c r="Z657">
        <v>8.2007000000000012</v>
      </c>
      <c r="AA657">
        <v>8.3783000000000012</v>
      </c>
      <c r="AD657">
        <v>27.582809524942444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 t="s">
        <v>462</v>
      </c>
      <c r="AL657" t="s">
        <v>6</v>
      </c>
      <c r="AM657" t="s">
        <v>1145</v>
      </c>
      <c r="AN657" t="s">
        <v>1146</v>
      </c>
      <c r="AO657" s="100">
        <v>46262.040405092594</v>
      </c>
      <c r="AP657" t="s">
        <v>1147</v>
      </c>
      <c r="AQ657" t="s">
        <v>2531</v>
      </c>
      <c r="AR657" t="s">
        <v>1176</v>
      </c>
      <c r="AS657" t="s">
        <v>1150</v>
      </c>
      <c r="AT657" t="s">
        <v>2421</v>
      </c>
      <c r="AU657">
        <v>25</v>
      </c>
      <c r="AV657">
        <v>7.8644599999999993</v>
      </c>
      <c r="AW657">
        <v>0.17538386945972737</v>
      </c>
      <c r="AX657">
        <v>2.2300815244750103</v>
      </c>
      <c r="AY657">
        <v>-3.8619019437726307</v>
      </c>
      <c r="AZ657">
        <v>7.5415364591563971</v>
      </c>
      <c r="BA657">
        <v>10.636789427128239</v>
      </c>
      <c r="BB657" t="s">
        <v>4619</v>
      </c>
      <c r="BD657" s="98"/>
      <c r="BE657" s="98"/>
      <c r="BF657" t="s">
        <v>1152</v>
      </c>
      <c r="BG657" t="s">
        <v>322</v>
      </c>
      <c r="BH657" t="s">
        <v>1153</v>
      </c>
      <c r="BI657">
        <v>3.8619019437726307</v>
      </c>
      <c r="BJ657" t="s">
        <v>983</v>
      </c>
      <c r="BK657">
        <v>20.041273065786047</v>
      </c>
      <c r="BL657">
        <v>72.65856310853043</v>
      </c>
      <c r="BM657" t="s">
        <v>1260</v>
      </c>
      <c r="BN657" t="s">
        <v>1154</v>
      </c>
      <c r="BO657">
        <v>2025</v>
      </c>
      <c r="BP657" t="s">
        <v>966</v>
      </c>
      <c r="BQ657">
        <v>1.0794755755938468E-2</v>
      </c>
      <c r="BR657">
        <v>99.999998920524419</v>
      </c>
      <c r="BS657" t="s">
        <v>984</v>
      </c>
      <c r="BT657">
        <v>3</v>
      </c>
      <c r="BU657">
        <v>1</v>
      </c>
      <c r="BV657" t="s">
        <v>985</v>
      </c>
      <c r="BW657" t="s">
        <v>943</v>
      </c>
      <c r="BX657" t="s">
        <v>986</v>
      </c>
      <c r="BY657">
        <v>7.0987562374295639</v>
      </c>
      <c r="BZ657" t="s">
        <v>1155</v>
      </c>
      <c r="CA657" t="s">
        <v>983</v>
      </c>
      <c r="CB657" t="b">
        <v>1</v>
      </c>
      <c r="CC657" t="b">
        <v>0</v>
      </c>
      <c r="CD657" t="b">
        <v>0</v>
      </c>
      <c r="CE657" t="b">
        <v>0</v>
      </c>
      <c r="CF657" t="b">
        <v>0</v>
      </c>
    </row>
    <row r="658" spans="1:84" x14ac:dyDescent="0.3">
      <c r="A658" t="s">
        <v>2532</v>
      </c>
      <c r="B658" t="s">
        <v>1178</v>
      </c>
      <c r="C658" s="98">
        <v>45705</v>
      </c>
      <c r="D658">
        <v>2025</v>
      </c>
      <c r="E658">
        <v>2</v>
      </c>
      <c r="F658">
        <v>1</v>
      </c>
      <c r="G658" t="s">
        <v>1170</v>
      </c>
      <c r="H658" t="s">
        <v>138</v>
      </c>
      <c r="I658" t="s">
        <v>138</v>
      </c>
      <c r="J658" t="s">
        <v>6</v>
      </c>
      <c r="L658">
        <v>522611</v>
      </c>
      <c r="M658" s="99" t="s">
        <v>180</v>
      </c>
      <c r="N658">
        <v>3</v>
      </c>
      <c r="O658">
        <v>7</v>
      </c>
      <c r="P658">
        <v>7.8917000000000002</v>
      </c>
      <c r="Q658" t="s">
        <v>352</v>
      </c>
      <c r="R658">
        <v>1</v>
      </c>
      <c r="S658">
        <v>7.8455000000000004</v>
      </c>
      <c r="T658">
        <v>0.17760000000000001</v>
      </c>
      <c r="U658">
        <v>0.26013513513513398</v>
      </c>
      <c r="V658">
        <v>7.3127000000000004</v>
      </c>
      <c r="W658">
        <v>7.4903000000000004</v>
      </c>
      <c r="X658">
        <v>7.6679000000000004</v>
      </c>
      <c r="Y658">
        <v>8.0231000000000012</v>
      </c>
      <c r="Z658">
        <v>8.2007000000000012</v>
      </c>
      <c r="AA658">
        <v>8.3783000000000012</v>
      </c>
      <c r="AD658">
        <v>27.582809524942444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 t="s">
        <v>462</v>
      </c>
      <c r="AL658" t="s">
        <v>6</v>
      </c>
      <c r="AM658" t="s">
        <v>1145</v>
      </c>
      <c r="AN658" t="s">
        <v>1146</v>
      </c>
      <c r="AO658" s="100">
        <v>46262.040405092594</v>
      </c>
      <c r="AP658" t="s">
        <v>1147</v>
      </c>
      <c r="AQ658" t="s">
        <v>2533</v>
      </c>
      <c r="AR658" t="s">
        <v>1180</v>
      </c>
      <c r="AS658" t="s">
        <v>1150</v>
      </c>
      <c r="AT658" t="s">
        <v>2421</v>
      </c>
      <c r="AU658">
        <v>25</v>
      </c>
      <c r="AV658">
        <v>7.8644599999999993</v>
      </c>
      <c r="AW658">
        <v>0.17538386945972737</v>
      </c>
      <c r="AX658">
        <v>2.2300815244750103</v>
      </c>
      <c r="AY658">
        <v>-3.8619019437726307</v>
      </c>
      <c r="AZ658">
        <v>7.5415364591563971</v>
      </c>
      <c r="BA658">
        <v>10.636789427128239</v>
      </c>
      <c r="BB658" t="s">
        <v>4619</v>
      </c>
      <c r="BD658" s="98"/>
      <c r="BE658" s="98"/>
      <c r="BF658" t="s">
        <v>1152</v>
      </c>
      <c r="BG658" t="s">
        <v>322</v>
      </c>
      <c r="BH658" t="s">
        <v>1153</v>
      </c>
      <c r="BI658">
        <v>3.8619019437726307</v>
      </c>
      <c r="BJ658" t="s">
        <v>983</v>
      </c>
      <c r="BK658">
        <v>20.041273065786047</v>
      </c>
      <c r="BL658">
        <v>72.65856310853043</v>
      </c>
      <c r="BM658" t="s">
        <v>1260</v>
      </c>
      <c r="BN658" t="s">
        <v>1154</v>
      </c>
      <c r="BO658">
        <v>2025</v>
      </c>
      <c r="BP658" t="s">
        <v>966</v>
      </c>
      <c r="BQ658">
        <v>1.0794755755938468E-2</v>
      </c>
      <c r="BR658">
        <v>99.999998920524419</v>
      </c>
      <c r="BS658" t="s">
        <v>984</v>
      </c>
      <c r="BT658">
        <v>3</v>
      </c>
      <c r="BU658">
        <v>1</v>
      </c>
      <c r="BV658" t="s">
        <v>985</v>
      </c>
      <c r="BW658" t="s">
        <v>943</v>
      </c>
      <c r="BX658" t="s">
        <v>986</v>
      </c>
      <c r="BY658">
        <v>7.0987562374295639</v>
      </c>
      <c r="BZ658" t="s">
        <v>1155</v>
      </c>
      <c r="CA658" t="s">
        <v>983</v>
      </c>
      <c r="CB658" t="b">
        <v>1</v>
      </c>
      <c r="CC658" t="b">
        <v>0</v>
      </c>
      <c r="CD658" t="b">
        <v>0</v>
      </c>
      <c r="CE658" t="b">
        <v>0</v>
      </c>
      <c r="CF658" t="b">
        <v>0</v>
      </c>
    </row>
    <row r="659" spans="1:84" x14ac:dyDescent="0.3">
      <c r="A659" t="s">
        <v>2534</v>
      </c>
      <c r="B659" t="s">
        <v>1182</v>
      </c>
      <c r="C659" s="98">
        <v>45712</v>
      </c>
      <c r="D659">
        <v>2025</v>
      </c>
      <c r="E659">
        <v>2</v>
      </c>
      <c r="F659">
        <v>1</v>
      </c>
      <c r="G659" t="s">
        <v>1170</v>
      </c>
      <c r="H659" t="s">
        <v>138</v>
      </c>
      <c r="I659" t="s">
        <v>138</v>
      </c>
      <c r="J659" t="s">
        <v>6</v>
      </c>
      <c r="L659">
        <v>522611</v>
      </c>
      <c r="M659" s="99" t="s">
        <v>180</v>
      </c>
      <c r="N659">
        <v>3</v>
      </c>
      <c r="O659">
        <v>8</v>
      </c>
      <c r="P659">
        <v>7.6816000000000004</v>
      </c>
      <c r="Q659" t="s">
        <v>352</v>
      </c>
      <c r="R659">
        <v>1</v>
      </c>
      <c r="S659">
        <v>7.8455000000000004</v>
      </c>
      <c r="T659">
        <v>0.17760000000000001</v>
      </c>
      <c r="U659">
        <v>-0.9228603603603599</v>
      </c>
      <c r="V659">
        <v>7.3127000000000004</v>
      </c>
      <c r="W659">
        <v>7.4903000000000004</v>
      </c>
      <c r="X659">
        <v>7.6679000000000004</v>
      </c>
      <c r="Y659">
        <v>8.0231000000000012</v>
      </c>
      <c r="Z659">
        <v>8.2007000000000012</v>
      </c>
      <c r="AA659">
        <v>8.3783000000000012</v>
      </c>
      <c r="AD659">
        <v>27.582809524942444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 t="s">
        <v>462</v>
      </c>
      <c r="AL659" t="s">
        <v>6</v>
      </c>
      <c r="AM659" t="s">
        <v>1145</v>
      </c>
      <c r="AN659" t="s">
        <v>1146</v>
      </c>
      <c r="AO659" s="100">
        <v>46262.040405092594</v>
      </c>
      <c r="AP659" t="s">
        <v>1147</v>
      </c>
      <c r="AQ659" t="s">
        <v>2535</v>
      </c>
      <c r="AR659" t="s">
        <v>1184</v>
      </c>
      <c r="AS659" t="s">
        <v>1150</v>
      </c>
      <c r="AT659" t="s">
        <v>2421</v>
      </c>
      <c r="AU659">
        <v>25</v>
      </c>
      <c r="AV659">
        <v>7.8644599999999993</v>
      </c>
      <c r="AW659">
        <v>0.17538386945972737</v>
      </c>
      <c r="AX659">
        <v>2.2300815244750103</v>
      </c>
      <c r="AY659">
        <v>-3.8619019437726307</v>
      </c>
      <c r="AZ659">
        <v>7.5415364591563971</v>
      </c>
      <c r="BA659">
        <v>10.636789427128239</v>
      </c>
      <c r="BB659" t="s">
        <v>4619</v>
      </c>
      <c r="BD659" s="98"/>
      <c r="BE659" s="98"/>
      <c r="BF659" t="s">
        <v>1152</v>
      </c>
      <c r="BG659" t="s">
        <v>322</v>
      </c>
      <c r="BH659" t="s">
        <v>1153</v>
      </c>
      <c r="BI659">
        <v>3.8619019437726307</v>
      </c>
      <c r="BJ659" t="s">
        <v>983</v>
      </c>
      <c r="BK659">
        <v>20.041273065786047</v>
      </c>
      <c r="BL659">
        <v>72.65856310853043</v>
      </c>
      <c r="BM659" t="s">
        <v>1260</v>
      </c>
      <c r="BN659" t="s">
        <v>1154</v>
      </c>
      <c r="BO659">
        <v>2025</v>
      </c>
      <c r="BP659" t="s">
        <v>966</v>
      </c>
      <c r="BQ659">
        <v>1.0794755755938468E-2</v>
      </c>
      <c r="BR659">
        <v>99.999998920524419</v>
      </c>
      <c r="BS659" t="s">
        <v>984</v>
      </c>
      <c r="BT659">
        <v>3</v>
      </c>
      <c r="BU659">
        <v>1</v>
      </c>
      <c r="BV659" t="s">
        <v>985</v>
      </c>
      <c r="BW659" t="s">
        <v>943</v>
      </c>
      <c r="BX659" t="s">
        <v>986</v>
      </c>
      <c r="BY659">
        <v>7.0987562374295639</v>
      </c>
      <c r="BZ659" t="s">
        <v>1155</v>
      </c>
      <c r="CA659" t="s">
        <v>983</v>
      </c>
      <c r="CB659" t="b">
        <v>1</v>
      </c>
      <c r="CC659" t="b">
        <v>0</v>
      </c>
      <c r="CD659" t="b">
        <v>0</v>
      </c>
      <c r="CE659" t="b">
        <v>0</v>
      </c>
      <c r="CF659" t="b">
        <v>0</v>
      </c>
    </row>
    <row r="660" spans="1:84" x14ac:dyDescent="0.3">
      <c r="A660" t="s">
        <v>2536</v>
      </c>
      <c r="B660" t="s">
        <v>1186</v>
      </c>
      <c r="C660" s="98">
        <v>45719</v>
      </c>
      <c r="D660">
        <v>2025</v>
      </c>
      <c r="E660">
        <v>3</v>
      </c>
      <c r="F660">
        <v>1</v>
      </c>
      <c r="G660" t="s">
        <v>1187</v>
      </c>
      <c r="H660" t="s">
        <v>138</v>
      </c>
      <c r="I660" t="s">
        <v>138</v>
      </c>
      <c r="J660" t="s">
        <v>6</v>
      </c>
      <c r="L660">
        <v>522611</v>
      </c>
      <c r="M660" s="99" t="s">
        <v>180</v>
      </c>
      <c r="N660">
        <v>3</v>
      </c>
      <c r="O660">
        <v>9</v>
      </c>
      <c r="P660">
        <v>7.8585000000000003</v>
      </c>
      <c r="Q660" t="s">
        <v>352</v>
      </c>
      <c r="R660">
        <v>1</v>
      </c>
      <c r="S660">
        <v>7.8455000000000004</v>
      </c>
      <c r="T660">
        <v>0.17760000000000001</v>
      </c>
      <c r="U660">
        <v>7.3198198198197631E-2</v>
      </c>
      <c r="V660">
        <v>7.3127000000000004</v>
      </c>
      <c r="W660">
        <v>7.4903000000000004</v>
      </c>
      <c r="X660">
        <v>7.6679000000000004</v>
      </c>
      <c r="Y660">
        <v>8.0231000000000012</v>
      </c>
      <c r="Z660">
        <v>8.2007000000000012</v>
      </c>
      <c r="AA660">
        <v>8.3783000000000012</v>
      </c>
      <c r="AD660">
        <v>27.582809524942444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 t="s">
        <v>462</v>
      </c>
      <c r="AL660" t="s">
        <v>6</v>
      </c>
      <c r="AM660" t="s">
        <v>1145</v>
      </c>
      <c r="AN660" t="s">
        <v>1146</v>
      </c>
      <c r="AO660" s="100">
        <v>46262.040405092594</v>
      </c>
      <c r="AP660" t="s">
        <v>1147</v>
      </c>
      <c r="AQ660" t="s">
        <v>2537</v>
      </c>
      <c r="AR660" t="s">
        <v>1189</v>
      </c>
      <c r="AS660" t="s">
        <v>1150</v>
      </c>
      <c r="AT660" t="s">
        <v>2421</v>
      </c>
      <c r="AU660">
        <v>25</v>
      </c>
      <c r="AV660">
        <v>7.8644599999999993</v>
      </c>
      <c r="AW660">
        <v>0.17538386945972737</v>
      </c>
      <c r="AX660">
        <v>2.2300815244750103</v>
      </c>
      <c r="AY660">
        <v>-3.8619019437726307</v>
      </c>
      <c r="AZ660">
        <v>7.5415364591563971</v>
      </c>
      <c r="BA660">
        <v>10.636789427128239</v>
      </c>
      <c r="BB660" t="s">
        <v>4619</v>
      </c>
      <c r="BD660" s="98"/>
      <c r="BE660" s="98"/>
      <c r="BF660" t="s">
        <v>1152</v>
      </c>
      <c r="BG660" t="s">
        <v>322</v>
      </c>
      <c r="BH660" t="s">
        <v>1153</v>
      </c>
      <c r="BI660">
        <v>3.8619019437726307</v>
      </c>
      <c r="BJ660" t="s">
        <v>983</v>
      </c>
      <c r="BK660">
        <v>20.041273065786047</v>
      </c>
      <c r="BL660">
        <v>72.65856310853043</v>
      </c>
      <c r="BM660" t="s">
        <v>1260</v>
      </c>
      <c r="BN660" t="s">
        <v>1154</v>
      </c>
      <c r="BO660">
        <v>2025</v>
      </c>
      <c r="BP660" t="s">
        <v>966</v>
      </c>
      <c r="BQ660">
        <v>1.0794755755938468E-2</v>
      </c>
      <c r="BR660">
        <v>99.999998920524419</v>
      </c>
      <c r="BS660" t="s">
        <v>984</v>
      </c>
      <c r="BT660">
        <v>3</v>
      </c>
      <c r="BU660">
        <v>1</v>
      </c>
      <c r="BV660" t="s">
        <v>985</v>
      </c>
      <c r="BW660" t="s">
        <v>943</v>
      </c>
      <c r="BX660" t="s">
        <v>986</v>
      </c>
      <c r="BY660">
        <v>7.0987562374295639</v>
      </c>
      <c r="BZ660" t="s">
        <v>1155</v>
      </c>
      <c r="CA660" t="s">
        <v>983</v>
      </c>
      <c r="CB660" t="b">
        <v>1</v>
      </c>
      <c r="CC660" t="b">
        <v>0</v>
      </c>
      <c r="CD660" t="b">
        <v>0</v>
      </c>
      <c r="CE660" t="b">
        <v>0</v>
      </c>
      <c r="CF660" t="b">
        <v>0</v>
      </c>
    </row>
    <row r="661" spans="1:84" x14ac:dyDescent="0.3">
      <c r="A661" t="s">
        <v>2538</v>
      </c>
      <c r="B661" t="s">
        <v>1191</v>
      </c>
      <c r="C661" s="98">
        <v>45726</v>
      </c>
      <c r="D661">
        <v>2025</v>
      </c>
      <c r="E661">
        <v>3</v>
      </c>
      <c r="F661">
        <v>1</v>
      </c>
      <c r="G661" t="s">
        <v>1187</v>
      </c>
      <c r="H661" t="s">
        <v>138</v>
      </c>
      <c r="I661" t="s">
        <v>138</v>
      </c>
      <c r="J661" t="s">
        <v>6</v>
      </c>
      <c r="L661">
        <v>522611</v>
      </c>
      <c r="M661" s="99" t="s">
        <v>180</v>
      </c>
      <c r="N661">
        <v>3</v>
      </c>
      <c r="O661">
        <v>10</v>
      </c>
      <c r="P661">
        <v>7.7831000000000001</v>
      </c>
      <c r="Q661" t="s">
        <v>352</v>
      </c>
      <c r="R661">
        <v>1</v>
      </c>
      <c r="S661">
        <v>7.8455000000000004</v>
      </c>
      <c r="T661">
        <v>0.17760000000000001</v>
      </c>
      <c r="U661">
        <v>-0.35135135135135265</v>
      </c>
      <c r="V661">
        <v>7.3127000000000004</v>
      </c>
      <c r="W661">
        <v>7.4903000000000004</v>
      </c>
      <c r="X661">
        <v>7.6679000000000004</v>
      </c>
      <c r="Y661">
        <v>8.0231000000000012</v>
      </c>
      <c r="Z661">
        <v>8.2007000000000012</v>
      </c>
      <c r="AA661">
        <v>8.3783000000000012</v>
      </c>
      <c r="AD661">
        <v>27.582809524942444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 t="s">
        <v>462</v>
      </c>
      <c r="AL661" t="s">
        <v>6</v>
      </c>
      <c r="AM661" t="s">
        <v>1145</v>
      </c>
      <c r="AN661" t="s">
        <v>1146</v>
      </c>
      <c r="AO661" s="100">
        <v>46262.040405092594</v>
      </c>
      <c r="AP661" t="s">
        <v>1147</v>
      </c>
      <c r="AQ661" t="s">
        <v>2539</v>
      </c>
      <c r="AR661" t="s">
        <v>1193</v>
      </c>
      <c r="AS661" t="s">
        <v>1150</v>
      </c>
      <c r="AT661" t="s">
        <v>2421</v>
      </c>
      <c r="AU661">
        <v>25</v>
      </c>
      <c r="AV661">
        <v>7.8644599999999993</v>
      </c>
      <c r="AW661">
        <v>0.17538386945972737</v>
      </c>
      <c r="AX661">
        <v>2.2300815244750103</v>
      </c>
      <c r="AY661">
        <v>-3.8619019437726307</v>
      </c>
      <c r="AZ661">
        <v>7.5415364591563971</v>
      </c>
      <c r="BA661">
        <v>10.636789427128239</v>
      </c>
      <c r="BB661" t="s">
        <v>4619</v>
      </c>
      <c r="BD661" s="98"/>
      <c r="BE661" s="98"/>
      <c r="BF661" t="s">
        <v>1152</v>
      </c>
      <c r="BG661" t="s">
        <v>322</v>
      </c>
      <c r="BH661" t="s">
        <v>1153</v>
      </c>
      <c r="BI661">
        <v>3.8619019437726307</v>
      </c>
      <c r="BJ661" t="s">
        <v>983</v>
      </c>
      <c r="BK661">
        <v>20.041273065786047</v>
      </c>
      <c r="BL661">
        <v>72.65856310853043</v>
      </c>
      <c r="BM661" t="s">
        <v>1260</v>
      </c>
      <c r="BN661" t="s">
        <v>1154</v>
      </c>
      <c r="BO661">
        <v>2025</v>
      </c>
      <c r="BP661" t="s">
        <v>966</v>
      </c>
      <c r="BQ661">
        <v>1.0794755755938468E-2</v>
      </c>
      <c r="BR661">
        <v>99.999998920524419</v>
      </c>
      <c r="BS661" t="s">
        <v>984</v>
      </c>
      <c r="BT661">
        <v>3</v>
      </c>
      <c r="BU661">
        <v>1</v>
      </c>
      <c r="BV661" t="s">
        <v>985</v>
      </c>
      <c r="BW661" t="s">
        <v>943</v>
      </c>
      <c r="BX661" t="s">
        <v>986</v>
      </c>
      <c r="BY661">
        <v>7.0987562374295639</v>
      </c>
      <c r="BZ661" t="s">
        <v>1155</v>
      </c>
      <c r="CA661" t="s">
        <v>983</v>
      </c>
      <c r="CB661" t="b">
        <v>1</v>
      </c>
      <c r="CC661" t="b">
        <v>0</v>
      </c>
      <c r="CD661" t="b">
        <v>0</v>
      </c>
      <c r="CE661" t="b">
        <v>0</v>
      </c>
      <c r="CF661" t="b">
        <v>0</v>
      </c>
    </row>
    <row r="662" spans="1:84" x14ac:dyDescent="0.3">
      <c r="A662" t="s">
        <v>2540</v>
      </c>
      <c r="B662" t="s">
        <v>1195</v>
      </c>
      <c r="C662" s="98">
        <v>45733</v>
      </c>
      <c r="D662">
        <v>2025</v>
      </c>
      <c r="E662">
        <v>3</v>
      </c>
      <c r="F662">
        <v>1</v>
      </c>
      <c r="G662" t="s">
        <v>1187</v>
      </c>
      <c r="H662" t="s">
        <v>138</v>
      </c>
      <c r="I662" t="s">
        <v>138</v>
      </c>
      <c r="J662" t="s">
        <v>6</v>
      </c>
      <c r="L662">
        <v>522611</v>
      </c>
      <c r="M662" s="99" t="s">
        <v>180</v>
      </c>
      <c r="N662">
        <v>3</v>
      </c>
      <c r="O662">
        <v>11</v>
      </c>
      <c r="P662">
        <v>8.0081000000000007</v>
      </c>
      <c r="Q662" t="s">
        <v>352</v>
      </c>
      <c r="R662">
        <v>1</v>
      </c>
      <c r="S662">
        <v>7.8455000000000004</v>
      </c>
      <c r="T662">
        <v>0.17760000000000001</v>
      </c>
      <c r="U662">
        <v>0.91554054054054224</v>
      </c>
      <c r="V662">
        <v>7.3127000000000004</v>
      </c>
      <c r="W662">
        <v>7.4903000000000004</v>
      </c>
      <c r="X662">
        <v>7.6679000000000004</v>
      </c>
      <c r="Y662">
        <v>8.0231000000000012</v>
      </c>
      <c r="Z662">
        <v>8.2007000000000012</v>
      </c>
      <c r="AA662">
        <v>8.3783000000000012</v>
      </c>
      <c r="AD662">
        <v>27.582809524942444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 t="s">
        <v>462</v>
      </c>
      <c r="AL662" t="s">
        <v>6</v>
      </c>
      <c r="AM662" t="s">
        <v>1145</v>
      </c>
      <c r="AN662" t="s">
        <v>1146</v>
      </c>
      <c r="AO662" s="100">
        <v>46262.040405092594</v>
      </c>
      <c r="AP662" t="s">
        <v>1147</v>
      </c>
      <c r="AQ662" t="s">
        <v>2541</v>
      </c>
      <c r="AR662" t="s">
        <v>1197</v>
      </c>
      <c r="AS662" t="s">
        <v>1150</v>
      </c>
      <c r="AT662" t="s">
        <v>2421</v>
      </c>
      <c r="AU662">
        <v>25</v>
      </c>
      <c r="AV662">
        <v>7.8644599999999993</v>
      </c>
      <c r="AW662">
        <v>0.17538386945972737</v>
      </c>
      <c r="AX662">
        <v>2.2300815244750103</v>
      </c>
      <c r="AY662">
        <v>-3.8619019437726307</v>
      </c>
      <c r="AZ662">
        <v>7.5415364591563971</v>
      </c>
      <c r="BA662">
        <v>10.636789427128239</v>
      </c>
      <c r="BB662" t="s">
        <v>4619</v>
      </c>
      <c r="BD662" s="98"/>
      <c r="BE662" s="98"/>
      <c r="BF662" t="s">
        <v>1152</v>
      </c>
      <c r="BG662" t="s">
        <v>322</v>
      </c>
      <c r="BH662" t="s">
        <v>1153</v>
      </c>
      <c r="BI662">
        <v>3.8619019437726307</v>
      </c>
      <c r="BJ662" t="s">
        <v>983</v>
      </c>
      <c r="BK662">
        <v>20.041273065786047</v>
      </c>
      <c r="BL662">
        <v>72.65856310853043</v>
      </c>
      <c r="BM662" t="s">
        <v>1260</v>
      </c>
      <c r="BN662" t="s">
        <v>1154</v>
      </c>
      <c r="BO662">
        <v>2025</v>
      </c>
      <c r="BP662" t="s">
        <v>966</v>
      </c>
      <c r="BQ662">
        <v>1.0794755755938468E-2</v>
      </c>
      <c r="BR662">
        <v>99.999998920524419</v>
      </c>
      <c r="BS662" t="s">
        <v>984</v>
      </c>
      <c r="BT662">
        <v>3</v>
      </c>
      <c r="BU662">
        <v>1</v>
      </c>
      <c r="BV662" t="s">
        <v>985</v>
      </c>
      <c r="BW662" t="s">
        <v>943</v>
      </c>
      <c r="BX662" t="s">
        <v>986</v>
      </c>
      <c r="BY662">
        <v>7.0987562374295639</v>
      </c>
      <c r="BZ662" t="s">
        <v>1155</v>
      </c>
      <c r="CA662" t="s">
        <v>983</v>
      </c>
      <c r="CB662" t="b">
        <v>1</v>
      </c>
      <c r="CC662" t="b">
        <v>0</v>
      </c>
      <c r="CD662" t="b">
        <v>0</v>
      </c>
      <c r="CE662" t="b">
        <v>0</v>
      </c>
      <c r="CF662" t="b">
        <v>0</v>
      </c>
    </row>
    <row r="663" spans="1:84" x14ac:dyDescent="0.3">
      <c r="A663" t="s">
        <v>2542</v>
      </c>
      <c r="B663" t="s">
        <v>1199</v>
      </c>
      <c r="C663" s="98">
        <v>45740</v>
      </c>
      <c r="D663">
        <v>2025</v>
      </c>
      <c r="E663">
        <v>3</v>
      </c>
      <c r="F663">
        <v>1</v>
      </c>
      <c r="G663" t="s">
        <v>1187</v>
      </c>
      <c r="H663" t="s">
        <v>138</v>
      </c>
      <c r="I663" t="s">
        <v>138</v>
      </c>
      <c r="J663" t="s">
        <v>6</v>
      </c>
      <c r="L663">
        <v>522611</v>
      </c>
      <c r="M663" s="99" t="s">
        <v>180</v>
      </c>
      <c r="N663">
        <v>3</v>
      </c>
      <c r="O663">
        <v>12</v>
      </c>
      <c r="P663">
        <v>7.7332000000000001</v>
      </c>
      <c r="Q663" t="s">
        <v>352</v>
      </c>
      <c r="R663">
        <v>1</v>
      </c>
      <c r="S663">
        <v>7.8455000000000004</v>
      </c>
      <c r="T663">
        <v>0.17760000000000001</v>
      </c>
      <c r="U663">
        <v>-0.63231981981982144</v>
      </c>
      <c r="V663">
        <v>7.3127000000000004</v>
      </c>
      <c r="W663">
        <v>7.4903000000000004</v>
      </c>
      <c r="X663">
        <v>7.6679000000000004</v>
      </c>
      <c r="Y663">
        <v>8.0231000000000012</v>
      </c>
      <c r="Z663">
        <v>8.2007000000000012</v>
      </c>
      <c r="AA663">
        <v>8.3783000000000012</v>
      </c>
      <c r="AD663">
        <v>27.582809524942444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 t="s">
        <v>462</v>
      </c>
      <c r="AL663" t="s">
        <v>6</v>
      </c>
      <c r="AM663" t="s">
        <v>1145</v>
      </c>
      <c r="AN663" t="s">
        <v>1146</v>
      </c>
      <c r="AO663" s="100">
        <v>46262.040405092594</v>
      </c>
      <c r="AP663" t="s">
        <v>1147</v>
      </c>
      <c r="AQ663" t="s">
        <v>2543</v>
      </c>
      <c r="AR663" t="s">
        <v>1201</v>
      </c>
      <c r="AS663" t="s">
        <v>1150</v>
      </c>
      <c r="AT663" t="s">
        <v>2421</v>
      </c>
      <c r="AU663">
        <v>25</v>
      </c>
      <c r="AV663">
        <v>7.8644599999999993</v>
      </c>
      <c r="AW663">
        <v>0.17538386945972737</v>
      </c>
      <c r="AX663">
        <v>2.2300815244750103</v>
      </c>
      <c r="AY663">
        <v>-3.8619019437726307</v>
      </c>
      <c r="AZ663">
        <v>7.5415364591563971</v>
      </c>
      <c r="BA663">
        <v>10.636789427128239</v>
      </c>
      <c r="BB663" t="s">
        <v>4619</v>
      </c>
      <c r="BD663" s="98"/>
      <c r="BE663" s="98"/>
      <c r="BF663" t="s">
        <v>1152</v>
      </c>
      <c r="BG663" t="s">
        <v>322</v>
      </c>
      <c r="BH663" t="s">
        <v>1153</v>
      </c>
      <c r="BI663">
        <v>3.8619019437726307</v>
      </c>
      <c r="BJ663" t="s">
        <v>983</v>
      </c>
      <c r="BK663">
        <v>20.041273065786047</v>
      </c>
      <c r="BL663">
        <v>72.65856310853043</v>
      </c>
      <c r="BM663" t="s">
        <v>1260</v>
      </c>
      <c r="BN663" t="s">
        <v>1154</v>
      </c>
      <c r="BO663">
        <v>2025</v>
      </c>
      <c r="BP663" t="s">
        <v>966</v>
      </c>
      <c r="BQ663">
        <v>1.0794755755938468E-2</v>
      </c>
      <c r="BR663">
        <v>99.999998920524419</v>
      </c>
      <c r="BS663" t="s">
        <v>984</v>
      </c>
      <c r="BT663">
        <v>3</v>
      </c>
      <c r="BU663">
        <v>1</v>
      </c>
      <c r="BV663" t="s">
        <v>985</v>
      </c>
      <c r="BW663" t="s">
        <v>943</v>
      </c>
      <c r="BX663" t="s">
        <v>986</v>
      </c>
      <c r="BY663">
        <v>7.0987562374295639</v>
      </c>
      <c r="BZ663" t="s">
        <v>1155</v>
      </c>
      <c r="CA663" t="s">
        <v>983</v>
      </c>
      <c r="CB663" t="b">
        <v>1</v>
      </c>
      <c r="CC663" t="b">
        <v>0</v>
      </c>
      <c r="CD663" t="b">
        <v>0</v>
      </c>
      <c r="CE663" t="b">
        <v>0</v>
      </c>
      <c r="CF663" t="b">
        <v>0</v>
      </c>
    </row>
    <row r="664" spans="1:84" x14ac:dyDescent="0.3">
      <c r="A664" t="s">
        <v>2544</v>
      </c>
      <c r="B664" t="s">
        <v>1203</v>
      </c>
      <c r="C664" s="98">
        <v>45747</v>
      </c>
      <c r="D664">
        <v>2025</v>
      </c>
      <c r="E664">
        <v>3</v>
      </c>
      <c r="F664">
        <v>1</v>
      </c>
      <c r="G664" t="s">
        <v>1187</v>
      </c>
      <c r="H664" t="s">
        <v>138</v>
      </c>
      <c r="I664" t="s">
        <v>138</v>
      </c>
      <c r="J664" t="s">
        <v>6</v>
      </c>
      <c r="L664">
        <v>522611</v>
      </c>
      <c r="M664" s="99" t="s">
        <v>180</v>
      </c>
      <c r="N664">
        <v>3</v>
      </c>
      <c r="O664">
        <v>13</v>
      </c>
      <c r="P664">
        <v>7.7675000000000001</v>
      </c>
      <c r="Q664" t="s">
        <v>352</v>
      </c>
      <c r="R664">
        <v>1</v>
      </c>
      <c r="S664">
        <v>7.8455000000000004</v>
      </c>
      <c r="T664">
        <v>0.17760000000000001</v>
      </c>
      <c r="U664">
        <v>-0.43918918918919081</v>
      </c>
      <c r="V664">
        <v>7.3127000000000004</v>
      </c>
      <c r="W664">
        <v>7.4903000000000004</v>
      </c>
      <c r="X664">
        <v>7.6679000000000004</v>
      </c>
      <c r="Y664">
        <v>8.0231000000000012</v>
      </c>
      <c r="Z664">
        <v>8.2007000000000012</v>
      </c>
      <c r="AA664">
        <v>8.3783000000000012</v>
      </c>
      <c r="AD664">
        <v>27.582809524942444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 t="s">
        <v>462</v>
      </c>
      <c r="AL664" t="s">
        <v>6</v>
      </c>
      <c r="AM664" t="s">
        <v>1145</v>
      </c>
      <c r="AN664" t="s">
        <v>1146</v>
      </c>
      <c r="AO664" s="100">
        <v>46262.040405092594</v>
      </c>
      <c r="AP664" t="s">
        <v>1147</v>
      </c>
      <c r="AQ664" t="s">
        <v>2545</v>
      </c>
      <c r="AR664" t="s">
        <v>1205</v>
      </c>
      <c r="AS664" t="s">
        <v>1150</v>
      </c>
      <c r="AT664" t="s">
        <v>2421</v>
      </c>
      <c r="AU664">
        <v>25</v>
      </c>
      <c r="AV664">
        <v>7.8644599999999993</v>
      </c>
      <c r="AW664">
        <v>0.17538386945972737</v>
      </c>
      <c r="AX664">
        <v>2.2300815244750103</v>
      </c>
      <c r="AY664">
        <v>-3.8619019437726307</v>
      </c>
      <c r="AZ664">
        <v>7.5415364591563971</v>
      </c>
      <c r="BA664">
        <v>10.636789427128239</v>
      </c>
      <c r="BB664" t="s">
        <v>4619</v>
      </c>
      <c r="BD664" s="98"/>
      <c r="BE664" s="98"/>
      <c r="BF664" t="s">
        <v>1152</v>
      </c>
      <c r="BG664" t="s">
        <v>322</v>
      </c>
      <c r="BH664" t="s">
        <v>1153</v>
      </c>
      <c r="BI664">
        <v>3.8619019437726307</v>
      </c>
      <c r="BJ664" t="s">
        <v>983</v>
      </c>
      <c r="BK664">
        <v>20.041273065786047</v>
      </c>
      <c r="BL664">
        <v>72.65856310853043</v>
      </c>
      <c r="BM664" t="s">
        <v>1260</v>
      </c>
      <c r="BN664" t="s">
        <v>1154</v>
      </c>
      <c r="BO664">
        <v>2025</v>
      </c>
      <c r="BP664" t="s">
        <v>966</v>
      </c>
      <c r="BQ664">
        <v>1.0794755755938468E-2</v>
      </c>
      <c r="BR664">
        <v>99.999998920524419</v>
      </c>
      <c r="BS664" t="s">
        <v>984</v>
      </c>
      <c r="BT664">
        <v>3</v>
      </c>
      <c r="BU664">
        <v>1</v>
      </c>
      <c r="BV664" t="s">
        <v>985</v>
      </c>
      <c r="BW664" t="s">
        <v>943</v>
      </c>
      <c r="BX664" t="s">
        <v>986</v>
      </c>
      <c r="BY664">
        <v>7.0987562374295639</v>
      </c>
      <c r="BZ664" t="s">
        <v>1155</v>
      </c>
      <c r="CA664" t="s">
        <v>983</v>
      </c>
      <c r="CB664" t="b">
        <v>1</v>
      </c>
      <c r="CC664" t="b">
        <v>0</v>
      </c>
      <c r="CD664" t="b">
        <v>0</v>
      </c>
      <c r="CE664" t="b">
        <v>0</v>
      </c>
      <c r="CF664" t="b">
        <v>0</v>
      </c>
    </row>
    <row r="665" spans="1:84" x14ac:dyDescent="0.3">
      <c r="A665" t="s">
        <v>2546</v>
      </c>
      <c r="B665" t="s">
        <v>1207</v>
      </c>
      <c r="C665" s="98">
        <v>45754</v>
      </c>
      <c r="D665">
        <v>2025</v>
      </c>
      <c r="E665">
        <v>4</v>
      </c>
      <c r="F665">
        <v>2</v>
      </c>
      <c r="G665" t="s">
        <v>1208</v>
      </c>
      <c r="H665" t="s">
        <v>138</v>
      </c>
      <c r="I665" t="s">
        <v>138</v>
      </c>
      <c r="J665" t="s">
        <v>6</v>
      </c>
      <c r="L665">
        <v>522611</v>
      </c>
      <c r="M665" s="99" t="s">
        <v>180</v>
      </c>
      <c r="N665">
        <v>3</v>
      </c>
      <c r="O665">
        <v>14</v>
      </c>
      <c r="P665">
        <v>8.0606000000000009</v>
      </c>
      <c r="Q665" t="s">
        <v>352</v>
      </c>
      <c r="R665">
        <v>1</v>
      </c>
      <c r="S665">
        <v>7.8455000000000004</v>
      </c>
      <c r="T665">
        <v>0.17760000000000001</v>
      </c>
      <c r="U665">
        <v>1.2111486486486516</v>
      </c>
      <c r="V665">
        <v>7.3127000000000004</v>
      </c>
      <c r="W665">
        <v>7.4903000000000004</v>
      </c>
      <c r="X665">
        <v>7.6679000000000004</v>
      </c>
      <c r="Y665">
        <v>8.0231000000000012</v>
      </c>
      <c r="Z665">
        <v>8.2007000000000012</v>
      </c>
      <c r="AA665">
        <v>8.3783000000000012</v>
      </c>
      <c r="AD665">
        <v>27.582809524942444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 t="s">
        <v>462</v>
      </c>
      <c r="AL665" t="s">
        <v>6</v>
      </c>
      <c r="AM665" t="s">
        <v>1145</v>
      </c>
      <c r="AN665" t="s">
        <v>1146</v>
      </c>
      <c r="AO665" s="100">
        <v>46262.040405092594</v>
      </c>
      <c r="AP665" t="s">
        <v>1147</v>
      </c>
      <c r="AQ665" t="s">
        <v>2547</v>
      </c>
      <c r="AR665" t="s">
        <v>1210</v>
      </c>
      <c r="AS665" t="s">
        <v>1150</v>
      </c>
      <c r="AT665" t="s">
        <v>2421</v>
      </c>
      <c r="AU665">
        <v>25</v>
      </c>
      <c r="AV665">
        <v>7.8644599999999993</v>
      </c>
      <c r="AW665">
        <v>0.17538386945972737</v>
      </c>
      <c r="AX665">
        <v>2.2300815244750103</v>
      </c>
      <c r="AY665">
        <v>-3.8619019437726307</v>
      </c>
      <c r="AZ665">
        <v>7.5415364591563971</v>
      </c>
      <c r="BA665">
        <v>10.636789427128239</v>
      </c>
      <c r="BB665" t="s">
        <v>4619</v>
      </c>
      <c r="BD665" s="98"/>
      <c r="BE665" s="98"/>
      <c r="BF665" t="s">
        <v>1152</v>
      </c>
      <c r="BG665" t="s">
        <v>322</v>
      </c>
      <c r="BH665" t="s">
        <v>1153</v>
      </c>
      <c r="BI665">
        <v>3.8619019437726307</v>
      </c>
      <c r="BJ665" t="s">
        <v>983</v>
      </c>
      <c r="BK665">
        <v>20.041273065786047</v>
      </c>
      <c r="BL665">
        <v>72.65856310853043</v>
      </c>
      <c r="BM665" t="s">
        <v>1260</v>
      </c>
      <c r="BN665" t="s">
        <v>1154</v>
      </c>
      <c r="BO665">
        <v>2025</v>
      </c>
      <c r="BP665" t="s">
        <v>966</v>
      </c>
      <c r="BQ665">
        <v>1.0794755755938468E-2</v>
      </c>
      <c r="BR665">
        <v>99.999998920524419</v>
      </c>
      <c r="BS665" t="s">
        <v>984</v>
      </c>
      <c r="BT665">
        <v>3</v>
      </c>
      <c r="BU665">
        <v>1</v>
      </c>
      <c r="BV665" t="s">
        <v>985</v>
      </c>
      <c r="BW665" t="s">
        <v>943</v>
      </c>
      <c r="BX665" t="s">
        <v>986</v>
      </c>
      <c r="BY665">
        <v>7.0987562374295639</v>
      </c>
      <c r="BZ665" t="s">
        <v>1155</v>
      </c>
      <c r="CA665" t="s">
        <v>983</v>
      </c>
      <c r="CB665" t="b">
        <v>1</v>
      </c>
      <c r="CC665" t="b">
        <v>0</v>
      </c>
      <c r="CD665" t="b">
        <v>0</v>
      </c>
      <c r="CE665" t="b">
        <v>0</v>
      </c>
      <c r="CF665" t="b">
        <v>0</v>
      </c>
    </row>
    <row r="666" spans="1:84" x14ac:dyDescent="0.3">
      <c r="A666" t="s">
        <v>2548</v>
      </c>
      <c r="B666" t="s">
        <v>1212</v>
      </c>
      <c r="C666" s="98">
        <v>45761</v>
      </c>
      <c r="D666">
        <v>2025</v>
      </c>
      <c r="E666">
        <v>4</v>
      </c>
      <c r="F666">
        <v>2</v>
      </c>
      <c r="G666" t="s">
        <v>1208</v>
      </c>
      <c r="H666" t="s">
        <v>138</v>
      </c>
      <c r="I666" t="s">
        <v>138</v>
      </c>
      <c r="J666" t="s">
        <v>6</v>
      </c>
      <c r="L666">
        <v>522611</v>
      </c>
      <c r="M666" s="99" t="s">
        <v>180</v>
      </c>
      <c r="N666">
        <v>3</v>
      </c>
      <c r="O666">
        <v>15</v>
      </c>
      <c r="P666">
        <v>8.2430000000000003</v>
      </c>
      <c r="Q666" t="s">
        <v>352</v>
      </c>
      <c r="R666">
        <v>1</v>
      </c>
      <c r="S666">
        <v>7.8455000000000004</v>
      </c>
      <c r="T666">
        <v>0.17760000000000001</v>
      </c>
      <c r="U666">
        <v>2.2381756756756754</v>
      </c>
      <c r="V666">
        <v>7.3127000000000004</v>
      </c>
      <c r="W666">
        <v>7.4903000000000004</v>
      </c>
      <c r="X666">
        <v>7.6679000000000004</v>
      </c>
      <c r="Y666">
        <v>8.0231000000000012</v>
      </c>
      <c r="Z666">
        <v>8.2007000000000012</v>
      </c>
      <c r="AA666">
        <v>8.3783000000000012</v>
      </c>
      <c r="AD666">
        <v>27.582809524942444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1</v>
      </c>
      <c r="AK666" t="s">
        <v>462</v>
      </c>
      <c r="AL666" t="s">
        <v>6</v>
      </c>
      <c r="AM666" t="s">
        <v>1145</v>
      </c>
      <c r="AN666" t="s">
        <v>1146</v>
      </c>
      <c r="AO666" s="100">
        <v>46262.040405092594</v>
      </c>
      <c r="AP666" t="s">
        <v>1147</v>
      </c>
      <c r="AQ666" t="s">
        <v>2549</v>
      </c>
      <c r="AR666" t="s">
        <v>1215</v>
      </c>
      <c r="AS666" t="s">
        <v>1150</v>
      </c>
      <c r="AT666" t="s">
        <v>2421</v>
      </c>
      <c r="AU666">
        <v>25</v>
      </c>
      <c r="AV666">
        <v>7.8644599999999993</v>
      </c>
      <c r="AW666">
        <v>0.17538386945972737</v>
      </c>
      <c r="AX666">
        <v>2.2300815244750103</v>
      </c>
      <c r="AY666">
        <v>-3.8619019437726307</v>
      </c>
      <c r="AZ666">
        <v>7.5415364591563971</v>
      </c>
      <c r="BA666">
        <v>10.636789427128239</v>
      </c>
      <c r="BB666" t="s">
        <v>4619</v>
      </c>
      <c r="BD666" s="98"/>
      <c r="BE666" s="98"/>
      <c r="BF666" t="s">
        <v>1152</v>
      </c>
      <c r="BG666" t="s">
        <v>322</v>
      </c>
      <c r="BH666" t="s">
        <v>1153</v>
      </c>
      <c r="BI666">
        <v>3.8619019437726307</v>
      </c>
      <c r="BJ666" t="s">
        <v>983</v>
      </c>
      <c r="BK666">
        <v>20.041273065786047</v>
      </c>
      <c r="BL666">
        <v>72.65856310853043</v>
      </c>
      <c r="BM666" t="s">
        <v>1260</v>
      </c>
      <c r="BN666" t="s">
        <v>1154</v>
      </c>
      <c r="BO666">
        <v>2025</v>
      </c>
      <c r="BP666" t="s">
        <v>966</v>
      </c>
      <c r="BQ666">
        <v>1.0794755755938468E-2</v>
      </c>
      <c r="BR666">
        <v>99.999998920524419</v>
      </c>
      <c r="BS666" t="s">
        <v>984</v>
      </c>
      <c r="BT666">
        <v>3</v>
      </c>
      <c r="BU666">
        <v>1</v>
      </c>
      <c r="BV666" t="s">
        <v>985</v>
      </c>
      <c r="BW666" t="s">
        <v>943</v>
      </c>
      <c r="BX666" t="s">
        <v>986</v>
      </c>
      <c r="BY666">
        <v>7.0987562374295639</v>
      </c>
      <c r="BZ666" t="s">
        <v>1155</v>
      </c>
      <c r="CA666" t="s">
        <v>983</v>
      </c>
      <c r="CB666" t="b">
        <v>1</v>
      </c>
      <c r="CC666" t="b">
        <v>0</v>
      </c>
      <c r="CD666" t="b">
        <v>0</v>
      </c>
      <c r="CE666" t="b">
        <v>0</v>
      </c>
      <c r="CF666" t="b">
        <v>0</v>
      </c>
    </row>
    <row r="667" spans="1:84" x14ac:dyDescent="0.3">
      <c r="A667" t="s">
        <v>2550</v>
      </c>
      <c r="B667" t="s">
        <v>1217</v>
      </c>
      <c r="C667" s="98">
        <v>45768</v>
      </c>
      <c r="D667">
        <v>2025</v>
      </c>
      <c r="E667">
        <v>4</v>
      </c>
      <c r="F667">
        <v>2</v>
      </c>
      <c r="G667" t="s">
        <v>1208</v>
      </c>
      <c r="H667" t="s">
        <v>138</v>
      </c>
      <c r="I667" t="s">
        <v>138</v>
      </c>
      <c r="J667" t="s">
        <v>6</v>
      </c>
      <c r="L667">
        <v>522611</v>
      </c>
      <c r="M667" s="99" t="s">
        <v>180</v>
      </c>
      <c r="N667">
        <v>3</v>
      </c>
      <c r="O667">
        <v>16</v>
      </c>
      <c r="P667">
        <v>8.2004999999999999</v>
      </c>
      <c r="Q667" t="s">
        <v>352</v>
      </c>
      <c r="R667">
        <v>1</v>
      </c>
      <c r="S667">
        <v>7.8455000000000004</v>
      </c>
      <c r="T667">
        <v>0.17760000000000001</v>
      </c>
      <c r="U667">
        <v>1.9988738738738712</v>
      </c>
      <c r="V667">
        <v>7.3127000000000004</v>
      </c>
      <c r="W667">
        <v>7.4903000000000004</v>
      </c>
      <c r="X667">
        <v>7.6679000000000004</v>
      </c>
      <c r="Y667">
        <v>8.0231000000000012</v>
      </c>
      <c r="Z667">
        <v>8.2007000000000012</v>
      </c>
      <c r="AA667">
        <v>8.3783000000000012</v>
      </c>
      <c r="AD667">
        <v>27.582809524942444</v>
      </c>
      <c r="AE667">
        <v>0</v>
      </c>
      <c r="AF667">
        <v>0</v>
      </c>
      <c r="AG667">
        <v>1</v>
      </c>
      <c r="AH667">
        <v>0</v>
      </c>
      <c r="AI667">
        <v>0</v>
      </c>
      <c r="AJ667">
        <v>0</v>
      </c>
      <c r="AK667" t="s">
        <v>1213</v>
      </c>
      <c r="AL667" t="s">
        <v>6</v>
      </c>
      <c r="AM667" t="s">
        <v>1145</v>
      </c>
      <c r="AN667" t="s">
        <v>1146</v>
      </c>
      <c r="AO667" s="100">
        <v>46262.040405092594</v>
      </c>
      <c r="AP667" t="s">
        <v>1147</v>
      </c>
      <c r="AQ667" t="s">
        <v>2551</v>
      </c>
      <c r="AR667" t="s">
        <v>1219</v>
      </c>
      <c r="AS667" t="s">
        <v>1150</v>
      </c>
      <c r="AT667" t="s">
        <v>2421</v>
      </c>
      <c r="AU667">
        <v>25</v>
      </c>
      <c r="AV667">
        <v>7.8644599999999993</v>
      </c>
      <c r="AW667">
        <v>0.17538386945972737</v>
      </c>
      <c r="AX667">
        <v>2.2300815244750103</v>
      </c>
      <c r="AY667">
        <v>-3.8619019437726307</v>
      </c>
      <c r="AZ667">
        <v>7.5415364591563971</v>
      </c>
      <c r="BA667">
        <v>10.636789427128239</v>
      </c>
      <c r="BB667" t="s">
        <v>4619</v>
      </c>
      <c r="BD667" s="98"/>
      <c r="BE667" s="98"/>
      <c r="BF667" t="s">
        <v>1152</v>
      </c>
      <c r="BG667" t="s">
        <v>322</v>
      </c>
      <c r="BH667" t="s">
        <v>1153</v>
      </c>
      <c r="BI667">
        <v>3.8619019437726307</v>
      </c>
      <c r="BJ667" t="s">
        <v>983</v>
      </c>
      <c r="BK667">
        <v>20.041273065786047</v>
      </c>
      <c r="BL667">
        <v>72.65856310853043</v>
      </c>
      <c r="BM667" t="s">
        <v>1260</v>
      </c>
      <c r="BN667" t="s">
        <v>1154</v>
      </c>
      <c r="BO667">
        <v>2025</v>
      </c>
      <c r="BP667" t="s">
        <v>966</v>
      </c>
      <c r="BQ667">
        <v>1.0794755755938468E-2</v>
      </c>
      <c r="BR667">
        <v>99.999998920524419</v>
      </c>
      <c r="BS667" t="s">
        <v>984</v>
      </c>
      <c r="BT667">
        <v>3</v>
      </c>
      <c r="BU667">
        <v>1</v>
      </c>
      <c r="BV667" t="s">
        <v>985</v>
      </c>
      <c r="BW667" t="s">
        <v>943</v>
      </c>
      <c r="BX667" t="s">
        <v>986</v>
      </c>
      <c r="BY667">
        <v>7.0987562374295639</v>
      </c>
      <c r="BZ667" t="s">
        <v>1155</v>
      </c>
      <c r="CA667" t="s">
        <v>983</v>
      </c>
      <c r="CB667" t="b">
        <v>1</v>
      </c>
      <c r="CC667" t="b">
        <v>0</v>
      </c>
      <c r="CD667" t="b">
        <v>0</v>
      </c>
      <c r="CE667" t="b">
        <v>0</v>
      </c>
      <c r="CF667" t="b">
        <v>0</v>
      </c>
    </row>
    <row r="668" spans="1:84" x14ac:dyDescent="0.3">
      <c r="A668" t="s">
        <v>2552</v>
      </c>
      <c r="B668" t="s">
        <v>1221</v>
      </c>
      <c r="C668" s="98">
        <v>45775</v>
      </c>
      <c r="D668">
        <v>2025</v>
      </c>
      <c r="E668">
        <v>4</v>
      </c>
      <c r="F668">
        <v>2</v>
      </c>
      <c r="G668" t="s">
        <v>1208</v>
      </c>
      <c r="H668" t="s">
        <v>138</v>
      </c>
      <c r="I668" t="s">
        <v>138</v>
      </c>
      <c r="J668" t="s">
        <v>6</v>
      </c>
      <c r="L668">
        <v>522611</v>
      </c>
      <c r="M668" s="99" t="s">
        <v>180</v>
      </c>
      <c r="N668">
        <v>3</v>
      </c>
      <c r="O668">
        <v>17</v>
      </c>
      <c r="P668">
        <v>7.8567</v>
      </c>
      <c r="Q668" t="s">
        <v>352</v>
      </c>
      <c r="R668">
        <v>1</v>
      </c>
      <c r="S668">
        <v>7.8455000000000004</v>
      </c>
      <c r="T668">
        <v>0.17760000000000001</v>
      </c>
      <c r="U668">
        <v>6.3063063063061114E-2</v>
      </c>
      <c r="V668">
        <v>7.3127000000000004</v>
      </c>
      <c r="W668">
        <v>7.4903000000000004</v>
      </c>
      <c r="X668">
        <v>7.6679000000000004</v>
      </c>
      <c r="Y668">
        <v>8.0231000000000012</v>
      </c>
      <c r="Z668">
        <v>8.2007000000000012</v>
      </c>
      <c r="AA668">
        <v>8.3783000000000012</v>
      </c>
      <c r="AD668">
        <v>27.582809524942444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 t="s">
        <v>462</v>
      </c>
      <c r="AL668" t="s">
        <v>6</v>
      </c>
      <c r="AM668" t="s">
        <v>1145</v>
      </c>
      <c r="AN668" t="s">
        <v>1146</v>
      </c>
      <c r="AO668" s="100">
        <v>46262.040405092594</v>
      </c>
      <c r="AP668" t="s">
        <v>1147</v>
      </c>
      <c r="AQ668" t="s">
        <v>2553</v>
      </c>
      <c r="AR668" t="s">
        <v>1223</v>
      </c>
      <c r="AS668" t="s">
        <v>1150</v>
      </c>
      <c r="AT668" t="s">
        <v>2421</v>
      </c>
      <c r="AU668">
        <v>25</v>
      </c>
      <c r="AV668">
        <v>7.8644599999999993</v>
      </c>
      <c r="AW668">
        <v>0.17538386945972737</v>
      </c>
      <c r="AX668">
        <v>2.2300815244750103</v>
      </c>
      <c r="AY668">
        <v>-3.8619019437726307</v>
      </c>
      <c r="AZ668">
        <v>7.5415364591563971</v>
      </c>
      <c r="BA668">
        <v>10.636789427128239</v>
      </c>
      <c r="BB668" t="s">
        <v>4619</v>
      </c>
      <c r="BD668" s="98"/>
      <c r="BE668" s="98"/>
      <c r="BF668" t="s">
        <v>1152</v>
      </c>
      <c r="BG668" t="s">
        <v>322</v>
      </c>
      <c r="BH668" t="s">
        <v>1153</v>
      </c>
      <c r="BI668">
        <v>3.8619019437726307</v>
      </c>
      <c r="BJ668" t="s">
        <v>983</v>
      </c>
      <c r="BK668">
        <v>20.041273065786047</v>
      </c>
      <c r="BL668">
        <v>72.65856310853043</v>
      </c>
      <c r="BM668" t="s">
        <v>1260</v>
      </c>
      <c r="BN668" t="s">
        <v>1154</v>
      </c>
      <c r="BO668">
        <v>2025</v>
      </c>
      <c r="BP668" t="s">
        <v>966</v>
      </c>
      <c r="BQ668">
        <v>1.0794755755938468E-2</v>
      </c>
      <c r="BR668">
        <v>99.999998920524419</v>
      </c>
      <c r="BS668" t="s">
        <v>984</v>
      </c>
      <c r="BT668">
        <v>3</v>
      </c>
      <c r="BU668">
        <v>1</v>
      </c>
      <c r="BV668" t="s">
        <v>985</v>
      </c>
      <c r="BW668" t="s">
        <v>943</v>
      </c>
      <c r="BX668" t="s">
        <v>986</v>
      </c>
      <c r="BY668">
        <v>7.0987562374295639</v>
      </c>
      <c r="BZ668" t="s">
        <v>1155</v>
      </c>
      <c r="CA668" t="s">
        <v>983</v>
      </c>
      <c r="CB668" t="b">
        <v>1</v>
      </c>
      <c r="CC668" t="b">
        <v>0</v>
      </c>
      <c r="CD668" t="b">
        <v>0</v>
      </c>
      <c r="CE668" t="b">
        <v>0</v>
      </c>
      <c r="CF668" t="b">
        <v>0</v>
      </c>
    </row>
    <row r="669" spans="1:84" x14ac:dyDescent="0.3">
      <c r="A669" t="s">
        <v>2554</v>
      </c>
      <c r="B669" t="s">
        <v>1225</v>
      </c>
      <c r="C669" s="98">
        <v>45782</v>
      </c>
      <c r="D669">
        <v>2025</v>
      </c>
      <c r="E669">
        <v>5</v>
      </c>
      <c r="F669">
        <v>2</v>
      </c>
      <c r="G669" t="s">
        <v>1226</v>
      </c>
      <c r="H669" t="s">
        <v>138</v>
      </c>
      <c r="I669" t="s">
        <v>138</v>
      </c>
      <c r="J669" t="s">
        <v>6</v>
      </c>
      <c r="L669">
        <v>522611</v>
      </c>
      <c r="M669" s="99" t="s">
        <v>180</v>
      </c>
      <c r="N669">
        <v>3</v>
      </c>
      <c r="O669">
        <v>18</v>
      </c>
      <c r="P669">
        <v>7.8844000000000003</v>
      </c>
      <c r="Q669" t="s">
        <v>352</v>
      </c>
      <c r="R669">
        <v>1</v>
      </c>
      <c r="S669">
        <v>7.8455000000000004</v>
      </c>
      <c r="T669">
        <v>0.17760000000000001</v>
      </c>
      <c r="U669">
        <v>0.21903153153153115</v>
      </c>
      <c r="V669">
        <v>7.3127000000000004</v>
      </c>
      <c r="W669">
        <v>7.4903000000000004</v>
      </c>
      <c r="X669">
        <v>7.6679000000000004</v>
      </c>
      <c r="Y669">
        <v>8.0231000000000012</v>
      </c>
      <c r="Z669">
        <v>8.2007000000000012</v>
      </c>
      <c r="AA669">
        <v>8.3783000000000012</v>
      </c>
      <c r="AD669">
        <v>27.582809524942444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 t="s">
        <v>462</v>
      </c>
      <c r="AL669" t="s">
        <v>6</v>
      </c>
      <c r="AM669" t="s">
        <v>1145</v>
      </c>
      <c r="AN669" t="s">
        <v>1146</v>
      </c>
      <c r="AO669" s="100">
        <v>46262.040405092594</v>
      </c>
      <c r="AP669" t="s">
        <v>1147</v>
      </c>
      <c r="AQ669" t="s">
        <v>2555</v>
      </c>
      <c r="AR669" t="s">
        <v>1228</v>
      </c>
      <c r="AS669" t="s">
        <v>1150</v>
      </c>
      <c r="AT669" t="s">
        <v>2421</v>
      </c>
      <c r="AU669">
        <v>25</v>
      </c>
      <c r="AV669">
        <v>7.8644599999999993</v>
      </c>
      <c r="AW669">
        <v>0.17538386945972737</v>
      </c>
      <c r="AX669">
        <v>2.2300815244750103</v>
      </c>
      <c r="AY669">
        <v>-3.8619019437726307</v>
      </c>
      <c r="AZ669">
        <v>7.5415364591563971</v>
      </c>
      <c r="BA669">
        <v>10.636789427128239</v>
      </c>
      <c r="BB669" t="s">
        <v>4619</v>
      </c>
      <c r="BD669" s="98"/>
      <c r="BE669" s="98"/>
      <c r="BF669" t="s">
        <v>1152</v>
      </c>
      <c r="BG669" t="s">
        <v>322</v>
      </c>
      <c r="BH669" t="s">
        <v>1153</v>
      </c>
      <c r="BI669">
        <v>3.8619019437726307</v>
      </c>
      <c r="BJ669" t="s">
        <v>983</v>
      </c>
      <c r="BK669">
        <v>20.041273065786047</v>
      </c>
      <c r="BL669">
        <v>72.65856310853043</v>
      </c>
      <c r="BM669" t="s">
        <v>1260</v>
      </c>
      <c r="BN669" t="s">
        <v>1154</v>
      </c>
      <c r="BO669">
        <v>2025</v>
      </c>
      <c r="BP669" t="s">
        <v>966</v>
      </c>
      <c r="BQ669">
        <v>1.0794755755938468E-2</v>
      </c>
      <c r="BR669">
        <v>99.999998920524419</v>
      </c>
      <c r="BS669" t="s">
        <v>984</v>
      </c>
      <c r="BT669">
        <v>3</v>
      </c>
      <c r="BU669">
        <v>1</v>
      </c>
      <c r="BV669" t="s">
        <v>985</v>
      </c>
      <c r="BW669" t="s">
        <v>943</v>
      </c>
      <c r="BX669" t="s">
        <v>986</v>
      </c>
      <c r="BY669">
        <v>7.0987562374295639</v>
      </c>
      <c r="BZ669" t="s">
        <v>1155</v>
      </c>
      <c r="CA669" t="s">
        <v>983</v>
      </c>
      <c r="CB669" t="b">
        <v>1</v>
      </c>
      <c r="CC669" t="b">
        <v>0</v>
      </c>
      <c r="CD669" t="b">
        <v>0</v>
      </c>
      <c r="CE669" t="b">
        <v>0</v>
      </c>
      <c r="CF669" t="b">
        <v>0</v>
      </c>
    </row>
    <row r="670" spans="1:84" x14ac:dyDescent="0.3">
      <c r="A670" t="s">
        <v>2556</v>
      </c>
      <c r="B670" t="s">
        <v>1230</v>
      </c>
      <c r="C670" s="98">
        <v>45789</v>
      </c>
      <c r="D670">
        <v>2025</v>
      </c>
      <c r="E670">
        <v>5</v>
      </c>
      <c r="F670">
        <v>2</v>
      </c>
      <c r="G670" t="s">
        <v>1226</v>
      </c>
      <c r="H670" t="s">
        <v>138</v>
      </c>
      <c r="I670" t="s">
        <v>138</v>
      </c>
      <c r="J670" t="s">
        <v>6</v>
      </c>
      <c r="L670">
        <v>522611</v>
      </c>
      <c r="M670" s="99" t="s">
        <v>180</v>
      </c>
      <c r="N670">
        <v>3</v>
      </c>
      <c r="O670">
        <v>19</v>
      </c>
      <c r="P670">
        <v>8.1178000000000008</v>
      </c>
      <c r="Q670" t="s">
        <v>352</v>
      </c>
      <c r="R670">
        <v>1</v>
      </c>
      <c r="S670">
        <v>7.8455000000000004</v>
      </c>
      <c r="T670">
        <v>0.17760000000000001</v>
      </c>
      <c r="U670">
        <v>1.5332207207207231</v>
      </c>
      <c r="V670">
        <v>7.3127000000000004</v>
      </c>
      <c r="W670">
        <v>7.4903000000000004</v>
      </c>
      <c r="X670">
        <v>7.6679000000000004</v>
      </c>
      <c r="Y670">
        <v>8.0231000000000012</v>
      </c>
      <c r="Z670">
        <v>8.2007000000000012</v>
      </c>
      <c r="AA670">
        <v>8.3783000000000012</v>
      </c>
      <c r="AD670">
        <v>27.582809524942444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 t="s">
        <v>462</v>
      </c>
      <c r="AL670" t="s">
        <v>6</v>
      </c>
      <c r="AM670" t="s">
        <v>1145</v>
      </c>
      <c r="AN670" t="s">
        <v>1146</v>
      </c>
      <c r="AO670" s="100">
        <v>46262.040405092594</v>
      </c>
      <c r="AP670" t="s">
        <v>1147</v>
      </c>
      <c r="AQ670" t="s">
        <v>2557</v>
      </c>
      <c r="AR670" t="s">
        <v>1232</v>
      </c>
      <c r="AS670" t="s">
        <v>1150</v>
      </c>
      <c r="AT670" t="s">
        <v>2421</v>
      </c>
      <c r="AU670">
        <v>25</v>
      </c>
      <c r="AV670">
        <v>7.8644599999999993</v>
      </c>
      <c r="AW670">
        <v>0.17538386945972737</v>
      </c>
      <c r="AX670">
        <v>2.2300815244750103</v>
      </c>
      <c r="AY670">
        <v>-3.8619019437726307</v>
      </c>
      <c r="AZ670">
        <v>7.5415364591563971</v>
      </c>
      <c r="BA670">
        <v>10.636789427128239</v>
      </c>
      <c r="BB670" t="s">
        <v>4619</v>
      </c>
      <c r="BD670" s="98"/>
      <c r="BE670" s="98"/>
      <c r="BF670" t="s">
        <v>1152</v>
      </c>
      <c r="BG670" t="s">
        <v>322</v>
      </c>
      <c r="BH670" t="s">
        <v>1153</v>
      </c>
      <c r="BI670">
        <v>3.8619019437726307</v>
      </c>
      <c r="BJ670" t="s">
        <v>983</v>
      </c>
      <c r="BK670">
        <v>20.041273065786047</v>
      </c>
      <c r="BL670">
        <v>72.65856310853043</v>
      </c>
      <c r="BM670" t="s">
        <v>1260</v>
      </c>
      <c r="BN670" t="s">
        <v>1154</v>
      </c>
      <c r="BO670">
        <v>2025</v>
      </c>
      <c r="BP670" t="s">
        <v>966</v>
      </c>
      <c r="BQ670">
        <v>1.0794755755938468E-2</v>
      </c>
      <c r="BR670">
        <v>99.999998920524419</v>
      </c>
      <c r="BS670" t="s">
        <v>984</v>
      </c>
      <c r="BT670">
        <v>3</v>
      </c>
      <c r="BU670">
        <v>1</v>
      </c>
      <c r="BV670" t="s">
        <v>985</v>
      </c>
      <c r="BW670" t="s">
        <v>943</v>
      </c>
      <c r="BX670" t="s">
        <v>986</v>
      </c>
      <c r="BY670">
        <v>7.0987562374295639</v>
      </c>
      <c r="BZ670" t="s">
        <v>1155</v>
      </c>
      <c r="CA670" t="s">
        <v>983</v>
      </c>
      <c r="CB670" t="b">
        <v>1</v>
      </c>
      <c r="CC670" t="b">
        <v>0</v>
      </c>
      <c r="CD670" t="b">
        <v>0</v>
      </c>
      <c r="CE670" t="b">
        <v>0</v>
      </c>
      <c r="CF670" t="b">
        <v>0</v>
      </c>
    </row>
    <row r="671" spans="1:84" x14ac:dyDescent="0.3">
      <c r="A671" t="s">
        <v>2558</v>
      </c>
      <c r="B671" t="s">
        <v>1234</v>
      </c>
      <c r="C671" s="98">
        <v>45796</v>
      </c>
      <c r="D671">
        <v>2025</v>
      </c>
      <c r="E671">
        <v>5</v>
      </c>
      <c r="F671">
        <v>2</v>
      </c>
      <c r="G671" t="s">
        <v>1226</v>
      </c>
      <c r="H671" t="s">
        <v>138</v>
      </c>
      <c r="I671" t="s">
        <v>138</v>
      </c>
      <c r="J671" t="s">
        <v>6</v>
      </c>
      <c r="L671">
        <v>522611</v>
      </c>
      <c r="M671" s="99" t="s">
        <v>180</v>
      </c>
      <c r="N671">
        <v>3</v>
      </c>
      <c r="O671">
        <v>20</v>
      </c>
      <c r="P671">
        <v>7.8234000000000004</v>
      </c>
      <c r="Q671" t="s">
        <v>352</v>
      </c>
      <c r="R671">
        <v>1</v>
      </c>
      <c r="S671">
        <v>7.8455000000000004</v>
      </c>
      <c r="T671">
        <v>0.17760000000000001</v>
      </c>
      <c r="U671">
        <v>-0.12443693693693698</v>
      </c>
      <c r="V671">
        <v>7.3127000000000004</v>
      </c>
      <c r="W671">
        <v>7.4903000000000004</v>
      </c>
      <c r="X671">
        <v>7.6679000000000004</v>
      </c>
      <c r="Y671">
        <v>8.0231000000000012</v>
      </c>
      <c r="Z671">
        <v>8.2007000000000012</v>
      </c>
      <c r="AA671">
        <v>8.3783000000000012</v>
      </c>
      <c r="AD671">
        <v>27.582809524942444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 t="s">
        <v>462</v>
      </c>
      <c r="AL671" t="s">
        <v>6</v>
      </c>
      <c r="AM671" t="s">
        <v>1145</v>
      </c>
      <c r="AN671" t="s">
        <v>1146</v>
      </c>
      <c r="AO671" s="100">
        <v>46262.040405092594</v>
      </c>
      <c r="AP671" t="s">
        <v>1147</v>
      </c>
      <c r="AQ671" t="s">
        <v>2559</v>
      </c>
      <c r="AR671" t="s">
        <v>1236</v>
      </c>
      <c r="AS671" t="s">
        <v>1150</v>
      </c>
      <c r="AT671" t="s">
        <v>2421</v>
      </c>
      <c r="AU671">
        <v>25</v>
      </c>
      <c r="AV671">
        <v>7.8644599999999993</v>
      </c>
      <c r="AW671">
        <v>0.17538386945972737</v>
      </c>
      <c r="AX671">
        <v>2.2300815244750103</v>
      </c>
      <c r="AY671">
        <v>-3.8619019437726307</v>
      </c>
      <c r="AZ671">
        <v>7.5415364591563971</v>
      </c>
      <c r="BA671">
        <v>10.636789427128239</v>
      </c>
      <c r="BB671" t="s">
        <v>4619</v>
      </c>
      <c r="BD671" s="98"/>
      <c r="BE671" s="98"/>
      <c r="BF671" t="s">
        <v>1152</v>
      </c>
      <c r="BG671" t="s">
        <v>322</v>
      </c>
      <c r="BH671" t="s">
        <v>1153</v>
      </c>
      <c r="BI671">
        <v>3.8619019437726307</v>
      </c>
      <c r="BJ671" t="s">
        <v>983</v>
      </c>
      <c r="BK671">
        <v>20.041273065786047</v>
      </c>
      <c r="BL671">
        <v>72.65856310853043</v>
      </c>
      <c r="BM671" t="s">
        <v>1260</v>
      </c>
      <c r="BN671" t="s">
        <v>1154</v>
      </c>
      <c r="BO671">
        <v>2025</v>
      </c>
      <c r="BP671" t="s">
        <v>966</v>
      </c>
      <c r="BQ671">
        <v>1.0794755755938468E-2</v>
      </c>
      <c r="BR671">
        <v>99.999998920524419</v>
      </c>
      <c r="BS671" t="s">
        <v>984</v>
      </c>
      <c r="BT671">
        <v>3</v>
      </c>
      <c r="BU671">
        <v>1</v>
      </c>
      <c r="BV671" t="s">
        <v>985</v>
      </c>
      <c r="BW671" t="s">
        <v>943</v>
      </c>
      <c r="BX671" t="s">
        <v>986</v>
      </c>
      <c r="BY671">
        <v>7.0987562374295639</v>
      </c>
      <c r="BZ671" t="s">
        <v>1155</v>
      </c>
      <c r="CA671" t="s">
        <v>983</v>
      </c>
      <c r="CB671" t="b">
        <v>1</v>
      </c>
      <c r="CC671" t="b">
        <v>0</v>
      </c>
      <c r="CD671" t="b">
        <v>0</v>
      </c>
      <c r="CE671" t="b">
        <v>0</v>
      </c>
      <c r="CF671" t="b">
        <v>0</v>
      </c>
    </row>
    <row r="672" spans="1:84" x14ac:dyDescent="0.3">
      <c r="A672" t="s">
        <v>2560</v>
      </c>
      <c r="B672" t="s">
        <v>1238</v>
      </c>
      <c r="C672" s="98">
        <v>45803</v>
      </c>
      <c r="D672">
        <v>2025</v>
      </c>
      <c r="E672">
        <v>5</v>
      </c>
      <c r="F672">
        <v>2</v>
      </c>
      <c r="G672" t="s">
        <v>1226</v>
      </c>
      <c r="H672" t="s">
        <v>138</v>
      </c>
      <c r="I672" t="s">
        <v>138</v>
      </c>
      <c r="J672" t="s">
        <v>6</v>
      </c>
      <c r="L672">
        <v>522611</v>
      </c>
      <c r="M672" s="99" t="s">
        <v>180</v>
      </c>
      <c r="N672">
        <v>3</v>
      </c>
      <c r="O672">
        <v>21</v>
      </c>
      <c r="P672">
        <v>7.6721000000000004</v>
      </c>
      <c r="Q672" t="s">
        <v>352</v>
      </c>
      <c r="R672">
        <v>1</v>
      </c>
      <c r="S672">
        <v>7.8455000000000004</v>
      </c>
      <c r="T672">
        <v>0.17760000000000001</v>
      </c>
      <c r="U672">
        <v>-0.97635135135135132</v>
      </c>
      <c r="V672">
        <v>7.3127000000000004</v>
      </c>
      <c r="W672">
        <v>7.4903000000000004</v>
      </c>
      <c r="X672">
        <v>7.6679000000000004</v>
      </c>
      <c r="Y672">
        <v>8.0231000000000012</v>
      </c>
      <c r="Z672">
        <v>8.2007000000000012</v>
      </c>
      <c r="AA672">
        <v>8.3783000000000012</v>
      </c>
      <c r="AD672">
        <v>27.582809524942444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 t="s">
        <v>462</v>
      </c>
      <c r="AL672" t="s">
        <v>6</v>
      </c>
      <c r="AM672" t="s">
        <v>1145</v>
      </c>
      <c r="AN672" t="s">
        <v>1146</v>
      </c>
      <c r="AO672" s="100">
        <v>46262.040405092594</v>
      </c>
      <c r="AP672" t="s">
        <v>1147</v>
      </c>
      <c r="AQ672" t="s">
        <v>2561</v>
      </c>
      <c r="AR672" t="s">
        <v>1240</v>
      </c>
      <c r="AS672" t="s">
        <v>1150</v>
      </c>
      <c r="AT672" t="s">
        <v>2421</v>
      </c>
      <c r="AU672">
        <v>25</v>
      </c>
      <c r="AV672">
        <v>7.8644599999999993</v>
      </c>
      <c r="AW672">
        <v>0.17538386945972737</v>
      </c>
      <c r="AX672">
        <v>2.2300815244750103</v>
      </c>
      <c r="AY672">
        <v>-3.8619019437726307</v>
      </c>
      <c r="AZ672">
        <v>7.5415364591563971</v>
      </c>
      <c r="BA672">
        <v>10.636789427128239</v>
      </c>
      <c r="BB672" t="s">
        <v>4619</v>
      </c>
      <c r="BD672" s="98"/>
      <c r="BE672" s="98"/>
      <c r="BF672" t="s">
        <v>1152</v>
      </c>
      <c r="BG672" t="s">
        <v>322</v>
      </c>
      <c r="BH672" t="s">
        <v>1153</v>
      </c>
      <c r="BI672">
        <v>3.8619019437726307</v>
      </c>
      <c r="BJ672" t="s">
        <v>983</v>
      </c>
      <c r="BK672">
        <v>20.041273065786047</v>
      </c>
      <c r="BL672">
        <v>72.65856310853043</v>
      </c>
      <c r="BM672" t="s">
        <v>1260</v>
      </c>
      <c r="BN672" t="s">
        <v>1154</v>
      </c>
      <c r="BO672">
        <v>2025</v>
      </c>
      <c r="BP672" t="s">
        <v>966</v>
      </c>
      <c r="BQ672">
        <v>1.0794755755938468E-2</v>
      </c>
      <c r="BR672">
        <v>99.999998920524419</v>
      </c>
      <c r="BS672" t="s">
        <v>984</v>
      </c>
      <c r="BT672">
        <v>3</v>
      </c>
      <c r="BU672">
        <v>1</v>
      </c>
      <c r="BV672" t="s">
        <v>985</v>
      </c>
      <c r="BW672" t="s">
        <v>943</v>
      </c>
      <c r="BX672" t="s">
        <v>986</v>
      </c>
      <c r="BY672">
        <v>7.0987562374295639</v>
      </c>
      <c r="BZ672" t="s">
        <v>1155</v>
      </c>
      <c r="CA672" t="s">
        <v>983</v>
      </c>
      <c r="CB672" t="b">
        <v>1</v>
      </c>
      <c r="CC672" t="b">
        <v>0</v>
      </c>
      <c r="CD672" t="b">
        <v>0</v>
      </c>
      <c r="CE672" t="b">
        <v>0</v>
      </c>
      <c r="CF672" t="b">
        <v>0</v>
      </c>
    </row>
    <row r="673" spans="1:84" x14ac:dyDescent="0.3">
      <c r="A673" t="s">
        <v>2562</v>
      </c>
      <c r="B673" t="s">
        <v>1242</v>
      </c>
      <c r="C673" s="98">
        <v>45810</v>
      </c>
      <c r="D673">
        <v>2025</v>
      </c>
      <c r="E673">
        <v>6</v>
      </c>
      <c r="F673">
        <v>2</v>
      </c>
      <c r="G673" t="s">
        <v>1243</v>
      </c>
      <c r="H673" t="s">
        <v>138</v>
      </c>
      <c r="I673" t="s">
        <v>138</v>
      </c>
      <c r="J673" t="s">
        <v>6</v>
      </c>
      <c r="L673">
        <v>522611</v>
      </c>
      <c r="M673" s="99" t="s">
        <v>180</v>
      </c>
      <c r="N673">
        <v>3</v>
      </c>
      <c r="O673">
        <v>22</v>
      </c>
      <c r="P673">
        <v>7.8662999999999998</v>
      </c>
      <c r="Q673" t="s">
        <v>352</v>
      </c>
      <c r="R673">
        <v>1</v>
      </c>
      <c r="S673">
        <v>7.8455000000000004</v>
      </c>
      <c r="T673">
        <v>0.17760000000000001</v>
      </c>
      <c r="U673">
        <v>0.11711711711711421</v>
      </c>
      <c r="V673">
        <v>7.3127000000000004</v>
      </c>
      <c r="W673">
        <v>7.4903000000000004</v>
      </c>
      <c r="X673">
        <v>7.6679000000000004</v>
      </c>
      <c r="Y673">
        <v>8.0231000000000012</v>
      </c>
      <c r="Z673">
        <v>8.2007000000000012</v>
      </c>
      <c r="AA673">
        <v>8.3783000000000012</v>
      </c>
      <c r="AD673">
        <v>27.582809524942444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 t="s">
        <v>462</v>
      </c>
      <c r="AL673" t="s">
        <v>6</v>
      </c>
      <c r="AM673" t="s">
        <v>1145</v>
      </c>
      <c r="AN673" t="s">
        <v>1146</v>
      </c>
      <c r="AO673" s="100">
        <v>46262.040405092594</v>
      </c>
      <c r="AP673" t="s">
        <v>1147</v>
      </c>
      <c r="AQ673" t="s">
        <v>2563</v>
      </c>
      <c r="AR673" t="s">
        <v>1245</v>
      </c>
      <c r="AS673" t="s">
        <v>1150</v>
      </c>
      <c r="AT673" t="s">
        <v>2421</v>
      </c>
      <c r="AU673">
        <v>25</v>
      </c>
      <c r="AV673">
        <v>7.8644599999999993</v>
      </c>
      <c r="AW673">
        <v>0.17538386945972737</v>
      </c>
      <c r="AX673">
        <v>2.2300815244750103</v>
      </c>
      <c r="AY673">
        <v>-3.8619019437726307</v>
      </c>
      <c r="AZ673">
        <v>7.5415364591563971</v>
      </c>
      <c r="BA673">
        <v>10.636789427128239</v>
      </c>
      <c r="BB673" t="s">
        <v>4619</v>
      </c>
      <c r="BD673" s="98"/>
      <c r="BE673" s="98"/>
      <c r="BF673" t="s">
        <v>1152</v>
      </c>
      <c r="BG673" t="s">
        <v>322</v>
      </c>
      <c r="BH673" t="s">
        <v>1153</v>
      </c>
      <c r="BI673">
        <v>3.8619019437726307</v>
      </c>
      <c r="BJ673" t="s">
        <v>983</v>
      </c>
      <c r="BK673">
        <v>20.041273065786047</v>
      </c>
      <c r="BL673">
        <v>72.65856310853043</v>
      </c>
      <c r="BM673" t="s">
        <v>1260</v>
      </c>
      <c r="BN673" t="s">
        <v>1154</v>
      </c>
      <c r="BO673">
        <v>2025</v>
      </c>
      <c r="BP673" t="s">
        <v>966</v>
      </c>
      <c r="BQ673">
        <v>1.0794755755938468E-2</v>
      </c>
      <c r="BR673">
        <v>99.999998920524419</v>
      </c>
      <c r="BS673" t="s">
        <v>984</v>
      </c>
      <c r="BT673">
        <v>3</v>
      </c>
      <c r="BU673">
        <v>1</v>
      </c>
      <c r="BV673" t="s">
        <v>985</v>
      </c>
      <c r="BW673" t="s">
        <v>943</v>
      </c>
      <c r="BX673" t="s">
        <v>986</v>
      </c>
      <c r="BY673">
        <v>7.0987562374295639</v>
      </c>
      <c r="BZ673" t="s">
        <v>1155</v>
      </c>
      <c r="CA673" t="s">
        <v>983</v>
      </c>
      <c r="CB673" t="b">
        <v>1</v>
      </c>
      <c r="CC673" t="b">
        <v>0</v>
      </c>
      <c r="CD673" t="b">
        <v>0</v>
      </c>
      <c r="CE673" t="b">
        <v>0</v>
      </c>
      <c r="CF673" t="b">
        <v>0</v>
      </c>
    </row>
    <row r="674" spans="1:84" x14ac:dyDescent="0.3">
      <c r="A674" t="s">
        <v>2564</v>
      </c>
      <c r="B674" t="s">
        <v>1247</v>
      </c>
      <c r="C674" s="98">
        <v>45817</v>
      </c>
      <c r="D674">
        <v>2025</v>
      </c>
      <c r="E674">
        <v>6</v>
      </c>
      <c r="F674">
        <v>2</v>
      </c>
      <c r="G674" t="s">
        <v>1243</v>
      </c>
      <c r="H674" t="s">
        <v>138</v>
      </c>
      <c r="I674" t="s">
        <v>138</v>
      </c>
      <c r="J674" t="s">
        <v>6</v>
      </c>
      <c r="L674">
        <v>522611</v>
      </c>
      <c r="M674" s="99" t="s">
        <v>180</v>
      </c>
      <c r="N674">
        <v>3</v>
      </c>
      <c r="O674">
        <v>23</v>
      </c>
      <c r="P674">
        <v>7.9257</v>
      </c>
      <c r="Q674" t="s">
        <v>352</v>
      </c>
      <c r="R674">
        <v>1</v>
      </c>
      <c r="S674">
        <v>7.8455000000000004</v>
      </c>
      <c r="T674">
        <v>0.17760000000000001</v>
      </c>
      <c r="U674">
        <v>0.45157657657657435</v>
      </c>
      <c r="V674">
        <v>7.3127000000000004</v>
      </c>
      <c r="W674">
        <v>7.4903000000000004</v>
      </c>
      <c r="X674">
        <v>7.6679000000000004</v>
      </c>
      <c r="Y674">
        <v>8.0231000000000012</v>
      </c>
      <c r="Z674">
        <v>8.2007000000000012</v>
      </c>
      <c r="AA674">
        <v>8.3783000000000012</v>
      </c>
      <c r="AD674">
        <v>27.582809524942444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 t="s">
        <v>462</v>
      </c>
      <c r="AL674" t="s">
        <v>6</v>
      </c>
      <c r="AM674" t="s">
        <v>1145</v>
      </c>
      <c r="AN674" t="s">
        <v>1146</v>
      </c>
      <c r="AO674" s="100">
        <v>46262.040405092594</v>
      </c>
      <c r="AP674" t="s">
        <v>1147</v>
      </c>
      <c r="AQ674" t="s">
        <v>2565</v>
      </c>
      <c r="AR674" t="s">
        <v>1249</v>
      </c>
      <c r="AS674" t="s">
        <v>1150</v>
      </c>
      <c r="AT674" t="s">
        <v>2421</v>
      </c>
      <c r="AU674">
        <v>25</v>
      </c>
      <c r="AV674">
        <v>7.8644599999999993</v>
      </c>
      <c r="AW674">
        <v>0.17538386945972737</v>
      </c>
      <c r="AX674">
        <v>2.2300815244750103</v>
      </c>
      <c r="AY674">
        <v>-3.8619019437726307</v>
      </c>
      <c r="AZ674">
        <v>7.5415364591563971</v>
      </c>
      <c r="BA674">
        <v>10.636789427128239</v>
      </c>
      <c r="BB674" t="s">
        <v>4619</v>
      </c>
      <c r="BD674" s="98"/>
      <c r="BE674" s="98"/>
      <c r="BF674" t="s">
        <v>1152</v>
      </c>
      <c r="BG674" t="s">
        <v>322</v>
      </c>
      <c r="BH674" t="s">
        <v>1153</v>
      </c>
      <c r="BI674">
        <v>3.8619019437726307</v>
      </c>
      <c r="BJ674" t="s">
        <v>983</v>
      </c>
      <c r="BK674">
        <v>20.041273065786047</v>
      </c>
      <c r="BL674">
        <v>72.65856310853043</v>
      </c>
      <c r="BM674" t="s">
        <v>1260</v>
      </c>
      <c r="BN674" t="s">
        <v>1154</v>
      </c>
      <c r="BO674">
        <v>2025</v>
      </c>
      <c r="BP674" t="s">
        <v>966</v>
      </c>
      <c r="BQ674">
        <v>1.0794755755938468E-2</v>
      </c>
      <c r="BR674">
        <v>99.999998920524419</v>
      </c>
      <c r="BS674" t="s">
        <v>984</v>
      </c>
      <c r="BT674">
        <v>3</v>
      </c>
      <c r="BU674">
        <v>1</v>
      </c>
      <c r="BV674" t="s">
        <v>985</v>
      </c>
      <c r="BW674" t="s">
        <v>943</v>
      </c>
      <c r="BX674" t="s">
        <v>986</v>
      </c>
      <c r="BY674">
        <v>7.0987562374295639</v>
      </c>
      <c r="BZ674" t="s">
        <v>1155</v>
      </c>
      <c r="CA674" t="s">
        <v>983</v>
      </c>
      <c r="CB674" t="b">
        <v>1</v>
      </c>
      <c r="CC674" t="b">
        <v>0</v>
      </c>
      <c r="CD674" t="b">
        <v>0</v>
      </c>
      <c r="CE674" t="b">
        <v>0</v>
      </c>
      <c r="CF674" t="b">
        <v>0</v>
      </c>
    </row>
    <row r="675" spans="1:84" x14ac:dyDescent="0.3">
      <c r="A675" t="s">
        <v>2566</v>
      </c>
      <c r="B675" t="s">
        <v>1251</v>
      </c>
      <c r="C675" s="98">
        <v>45824</v>
      </c>
      <c r="D675">
        <v>2025</v>
      </c>
      <c r="E675">
        <v>6</v>
      </c>
      <c r="F675">
        <v>2</v>
      </c>
      <c r="G675" t="s">
        <v>1243</v>
      </c>
      <c r="H675" t="s">
        <v>138</v>
      </c>
      <c r="I675" t="s">
        <v>138</v>
      </c>
      <c r="J675" t="s">
        <v>6</v>
      </c>
      <c r="L675">
        <v>522611</v>
      </c>
      <c r="M675" s="99" t="s">
        <v>180</v>
      </c>
      <c r="N675">
        <v>3</v>
      </c>
      <c r="O675">
        <v>24</v>
      </c>
      <c r="P675">
        <v>7.6982999999999997</v>
      </c>
      <c r="Q675" t="s">
        <v>352</v>
      </c>
      <c r="R675">
        <v>1</v>
      </c>
      <c r="S675">
        <v>7.8455000000000004</v>
      </c>
      <c r="T675">
        <v>0.17760000000000001</v>
      </c>
      <c r="U675">
        <v>-0.82882882882883258</v>
      </c>
      <c r="V675">
        <v>7.3127000000000004</v>
      </c>
      <c r="W675">
        <v>7.4903000000000004</v>
      </c>
      <c r="X675">
        <v>7.6679000000000004</v>
      </c>
      <c r="Y675">
        <v>8.0231000000000012</v>
      </c>
      <c r="Z675">
        <v>8.2007000000000012</v>
      </c>
      <c r="AA675">
        <v>8.3783000000000012</v>
      </c>
      <c r="AD675">
        <v>27.582809524942444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 t="s">
        <v>462</v>
      </c>
      <c r="AL675" t="s">
        <v>6</v>
      </c>
      <c r="AM675" t="s">
        <v>1145</v>
      </c>
      <c r="AN675" t="s">
        <v>1146</v>
      </c>
      <c r="AO675" s="100">
        <v>46262.040405092594</v>
      </c>
      <c r="AP675" t="s">
        <v>1147</v>
      </c>
      <c r="AQ675" t="s">
        <v>2567</v>
      </c>
      <c r="AR675" t="s">
        <v>1253</v>
      </c>
      <c r="AS675" t="s">
        <v>1150</v>
      </c>
      <c r="AT675" t="s">
        <v>2421</v>
      </c>
      <c r="AU675">
        <v>25</v>
      </c>
      <c r="AV675">
        <v>7.8644599999999993</v>
      </c>
      <c r="AW675">
        <v>0.17538386945972737</v>
      </c>
      <c r="AX675">
        <v>2.2300815244750103</v>
      </c>
      <c r="AY675">
        <v>-3.8619019437726307</v>
      </c>
      <c r="AZ675">
        <v>7.5415364591563971</v>
      </c>
      <c r="BA675">
        <v>10.636789427128239</v>
      </c>
      <c r="BB675" t="s">
        <v>4619</v>
      </c>
      <c r="BD675" s="98"/>
      <c r="BE675" s="98"/>
      <c r="BF675" t="s">
        <v>1152</v>
      </c>
      <c r="BG675" t="s">
        <v>322</v>
      </c>
      <c r="BH675" t="s">
        <v>1153</v>
      </c>
      <c r="BI675">
        <v>3.8619019437726307</v>
      </c>
      <c r="BJ675" t="s">
        <v>983</v>
      </c>
      <c r="BK675">
        <v>20.041273065786047</v>
      </c>
      <c r="BL675">
        <v>72.65856310853043</v>
      </c>
      <c r="BM675" t="s">
        <v>1260</v>
      </c>
      <c r="BN675" t="s">
        <v>1154</v>
      </c>
      <c r="BO675">
        <v>2025</v>
      </c>
      <c r="BP675" t="s">
        <v>966</v>
      </c>
      <c r="BQ675">
        <v>1.0794755755938468E-2</v>
      </c>
      <c r="BR675">
        <v>99.999998920524419</v>
      </c>
      <c r="BS675" t="s">
        <v>984</v>
      </c>
      <c r="BT675">
        <v>3</v>
      </c>
      <c r="BU675">
        <v>1</v>
      </c>
      <c r="BV675" t="s">
        <v>985</v>
      </c>
      <c r="BW675" t="s">
        <v>943</v>
      </c>
      <c r="BX675" t="s">
        <v>986</v>
      </c>
      <c r="BY675">
        <v>7.0987562374295639</v>
      </c>
      <c r="BZ675" t="s">
        <v>1155</v>
      </c>
      <c r="CA675" t="s">
        <v>983</v>
      </c>
      <c r="CB675" t="b">
        <v>1</v>
      </c>
      <c r="CC675" t="b">
        <v>0</v>
      </c>
      <c r="CD675" t="b">
        <v>0</v>
      </c>
      <c r="CE675" t="b">
        <v>0</v>
      </c>
      <c r="CF675" t="b">
        <v>0</v>
      </c>
    </row>
    <row r="676" spans="1:84" x14ac:dyDescent="0.3">
      <c r="A676" t="s">
        <v>2568</v>
      </c>
      <c r="B676" t="s">
        <v>1255</v>
      </c>
      <c r="C676" s="98">
        <v>45831</v>
      </c>
      <c r="D676">
        <v>2025</v>
      </c>
      <c r="E676">
        <v>6</v>
      </c>
      <c r="F676">
        <v>2</v>
      </c>
      <c r="G676" t="s">
        <v>1243</v>
      </c>
      <c r="H676" t="s">
        <v>138</v>
      </c>
      <c r="I676" t="s">
        <v>138</v>
      </c>
      <c r="J676" t="s">
        <v>6</v>
      </c>
      <c r="L676">
        <v>522611</v>
      </c>
      <c r="M676" s="99" t="s">
        <v>180</v>
      </c>
      <c r="N676">
        <v>3</v>
      </c>
      <c r="O676">
        <v>25</v>
      </c>
      <c r="P676">
        <v>7.5532000000000004</v>
      </c>
      <c r="Q676" t="s">
        <v>352</v>
      </c>
      <c r="R676">
        <v>1</v>
      </c>
      <c r="S676">
        <v>7.8455000000000004</v>
      </c>
      <c r="T676">
        <v>0.17760000000000001</v>
      </c>
      <c r="U676">
        <v>-1.6458333333333333</v>
      </c>
      <c r="V676">
        <v>7.3127000000000004</v>
      </c>
      <c r="W676">
        <v>7.4903000000000004</v>
      </c>
      <c r="X676">
        <v>7.6679000000000004</v>
      </c>
      <c r="Y676">
        <v>8.0231000000000012</v>
      </c>
      <c r="Z676">
        <v>8.2007000000000012</v>
      </c>
      <c r="AA676">
        <v>8.3783000000000012</v>
      </c>
      <c r="AD676">
        <v>27.582809524942444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 t="s">
        <v>462</v>
      </c>
      <c r="AL676" t="s">
        <v>6</v>
      </c>
      <c r="AM676" t="s">
        <v>1145</v>
      </c>
      <c r="AN676" t="s">
        <v>1146</v>
      </c>
      <c r="AO676" s="100">
        <v>46262.040405092594</v>
      </c>
      <c r="AP676" t="s">
        <v>1147</v>
      </c>
      <c r="AQ676" t="s">
        <v>2569</v>
      </c>
      <c r="AR676" t="s">
        <v>1257</v>
      </c>
      <c r="AS676" t="s">
        <v>1150</v>
      </c>
      <c r="AT676" t="s">
        <v>2421</v>
      </c>
      <c r="AU676">
        <v>25</v>
      </c>
      <c r="AV676">
        <v>7.8644599999999993</v>
      </c>
      <c r="AW676">
        <v>0.17538386945972737</v>
      </c>
      <c r="AX676">
        <v>2.2300815244750103</v>
      </c>
      <c r="AY676">
        <v>-3.8619019437726307</v>
      </c>
      <c r="AZ676">
        <v>7.5415364591563971</v>
      </c>
      <c r="BA676">
        <v>10.636789427128239</v>
      </c>
      <c r="BB676" t="s">
        <v>4619</v>
      </c>
      <c r="BD676" s="98"/>
      <c r="BE676" s="98"/>
      <c r="BF676" t="s">
        <v>1152</v>
      </c>
      <c r="BG676" t="s">
        <v>322</v>
      </c>
      <c r="BH676" t="s">
        <v>1153</v>
      </c>
      <c r="BI676">
        <v>3.8619019437726307</v>
      </c>
      <c r="BJ676" t="s">
        <v>983</v>
      </c>
      <c r="BK676">
        <v>20.041273065786047</v>
      </c>
      <c r="BL676">
        <v>72.65856310853043</v>
      </c>
      <c r="BM676" t="s">
        <v>1260</v>
      </c>
      <c r="BN676" t="s">
        <v>1154</v>
      </c>
      <c r="BO676">
        <v>2025</v>
      </c>
      <c r="BP676" t="s">
        <v>966</v>
      </c>
      <c r="BQ676">
        <v>1.0794755755938468E-2</v>
      </c>
      <c r="BR676">
        <v>99.999998920524419</v>
      </c>
      <c r="BS676" t="s">
        <v>984</v>
      </c>
      <c r="BT676">
        <v>3</v>
      </c>
      <c r="BU676">
        <v>1</v>
      </c>
      <c r="BV676" t="s">
        <v>985</v>
      </c>
      <c r="BW676" t="s">
        <v>943</v>
      </c>
      <c r="BX676" t="s">
        <v>986</v>
      </c>
      <c r="BY676">
        <v>7.0987562374295639</v>
      </c>
      <c r="BZ676" t="s">
        <v>1155</v>
      </c>
      <c r="CA676" t="s">
        <v>983</v>
      </c>
      <c r="CB676" t="b">
        <v>1</v>
      </c>
      <c r="CC676" t="b">
        <v>0</v>
      </c>
      <c r="CD676" t="b">
        <v>0</v>
      </c>
      <c r="CE676" t="b">
        <v>0</v>
      </c>
      <c r="CF676" t="b">
        <v>0</v>
      </c>
    </row>
    <row r="677" spans="1:84" x14ac:dyDescent="0.3">
      <c r="A677" t="s">
        <v>2570</v>
      </c>
      <c r="B677" t="s">
        <v>1143</v>
      </c>
      <c r="C677" s="98">
        <v>45663</v>
      </c>
      <c r="D677">
        <v>2025</v>
      </c>
      <c r="E677">
        <v>1</v>
      </c>
      <c r="F677">
        <v>1</v>
      </c>
      <c r="G677" t="s">
        <v>1144</v>
      </c>
      <c r="H677" t="s">
        <v>139</v>
      </c>
      <c r="I677" t="s">
        <v>139</v>
      </c>
      <c r="J677" t="s">
        <v>6</v>
      </c>
      <c r="L677">
        <v>522611</v>
      </c>
      <c r="M677" s="99" t="s">
        <v>178</v>
      </c>
      <c r="N677">
        <v>1</v>
      </c>
      <c r="O677">
        <v>1</v>
      </c>
      <c r="P677">
        <v>0.93730000000000002</v>
      </c>
      <c r="Q677" t="s">
        <v>352</v>
      </c>
      <c r="R677">
        <v>1</v>
      </c>
      <c r="S677">
        <v>1.0047999999999999</v>
      </c>
      <c r="T677">
        <v>4.7E-2</v>
      </c>
      <c r="U677">
        <v>-1.4361702127659552</v>
      </c>
      <c r="V677">
        <v>0.8637999999999999</v>
      </c>
      <c r="W677">
        <v>0.91079999999999994</v>
      </c>
      <c r="X677">
        <v>0.95779999999999987</v>
      </c>
      <c r="Y677">
        <v>1.0517999999999998</v>
      </c>
      <c r="Z677">
        <v>1.0988</v>
      </c>
      <c r="AA677">
        <v>1.1457999999999999</v>
      </c>
      <c r="AD677">
        <v>22.757982753098187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 t="s">
        <v>462</v>
      </c>
      <c r="AL677" t="s">
        <v>6</v>
      </c>
      <c r="AM677" t="s">
        <v>1145</v>
      </c>
      <c r="AN677" t="s">
        <v>1146</v>
      </c>
      <c r="AO677" s="100">
        <v>46262.040405092594</v>
      </c>
      <c r="AP677" t="s">
        <v>1147</v>
      </c>
      <c r="AQ677" t="s">
        <v>2571</v>
      </c>
      <c r="AR677" t="s">
        <v>1149</v>
      </c>
      <c r="AS677" t="s">
        <v>1150</v>
      </c>
      <c r="AT677" t="s">
        <v>2572</v>
      </c>
      <c r="AU677">
        <v>25</v>
      </c>
      <c r="AV677">
        <v>1.0061119999999999</v>
      </c>
      <c r="AW677">
        <v>4.7195482834695102E-2</v>
      </c>
      <c r="AX677">
        <v>4.6908776393378773</v>
      </c>
      <c r="AY677">
        <v>0.33389150767967662</v>
      </c>
      <c r="AZ677">
        <v>8.0738396125871734</v>
      </c>
      <c r="BA677">
        <v>4.780361580393663</v>
      </c>
      <c r="BB677" t="s">
        <v>4619</v>
      </c>
      <c r="BD677" s="98"/>
      <c r="BE677" s="98"/>
      <c r="BF677" t="s">
        <v>1152</v>
      </c>
      <c r="BG677" t="s">
        <v>322</v>
      </c>
      <c r="BH677" t="s">
        <v>1153</v>
      </c>
      <c r="BI677">
        <v>0.33389150767967662</v>
      </c>
      <c r="BJ677" t="s">
        <v>989</v>
      </c>
      <c r="BK677">
        <v>14.684143140511013</v>
      </c>
      <c r="BL677">
        <v>64.523043627458449</v>
      </c>
      <c r="BM677" t="s">
        <v>1260</v>
      </c>
      <c r="BN677" t="s">
        <v>1154</v>
      </c>
      <c r="BO677">
        <v>2025</v>
      </c>
      <c r="BP677" t="s">
        <v>966</v>
      </c>
      <c r="BQ677">
        <v>2361.1498745371719</v>
      </c>
      <c r="BR677">
        <v>99.763885012546282</v>
      </c>
      <c r="BS677" t="s">
        <v>990</v>
      </c>
      <c r="BT677">
        <v>3</v>
      </c>
      <c r="BU677">
        <v>1</v>
      </c>
      <c r="BV677" t="s">
        <v>985</v>
      </c>
      <c r="BW677" t="s">
        <v>943</v>
      </c>
      <c r="BX677" t="s">
        <v>986</v>
      </c>
      <c r="BY677">
        <v>4.3253906902446211</v>
      </c>
      <c r="BZ677" t="s">
        <v>2573</v>
      </c>
      <c r="CA677" t="s">
        <v>989</v>
      </c>
      <c r="CB677" t="b">
        <v>1</v>
      </c>
      <c r="CC677" t="b">
        <v>1</v>
      </c>
      <c r="CD677" t="b">
        <v>1</v>
      </c>
      <c r="CE677" t="b">
        <v>1</v>
      </c>
      <c r="CF677" t="b">
        <v>0</v>
      </c>
    </row>
    <row r="678" spans="1:84" x14ac:dyDescent="0.3">
      <c r="A678" t="s">
        <v>2574</v>
      </c>
      <c r="B678" t="s">
        <v>1157</v>
      </c>
      <c r="C678" s="98">
        <v>45670</v>
      </c>
      <c r="D678">
        <v>2025</v>
      </c>
      <c r="E678">
        <v>1</v>
      </c>
      <c r="F678">
        <v>1</v>
      </c>
      <c r="G678" t="s">
        <v>1144</v>
      </c>
      <c r="H678" t="s">
        <v>139</v>
      </c>
      <c r="I678" t="s">
        <v>139</v>
      </c>
      <c r="J678" t="s">
        <v>6</v>
      </c>
      <c r="L678">
        <v>522611</v>
      </c>
      <c r="M678" s="99" t="s">
        <v>178</v>
      </c>
      <c r="N678">
        <v>1</v>
      </c>
      <c r="O678">
        <v>2</v>
      </c>
      <c r="P678">
        <v>1.0361</v>
      </c>
      <c r="Q678" t="s">
        <v>352</v>
      </c>
      <c r="R678">
        <v>1</v>
      </c>
      <c r="S678">
        <v>1.0047999999999999</v>
      </c>
      <c r="T678">
        <v>4.7E-2</v>
      </c>
      <c r="U678">
        <v>0.66595744680851288</v>
      </c>
      <c r="V678">
        <v>0.8637999999999999</v>
      </c>
      <c r="W678">
        <v>0.91079999999999994</v>
      </c>
      <c r="X678">
        <v>0.95779999999999987</v>
      </c>
      <c r="Y678">
        <v>1.0517999999999998</v>
      </c>
      <c r="Z678">
        <v>1.0988</v>
      </c>
      <c r="AA678">
        <v>1.1457999999999999</v>
      </c>
      <c r="AD678">
        <v>22.757982753098187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 t="s">
        <v>462</v>
      </c>
      <c r="AL678" t="s">
        <v>6</v>
      </c>
      <c r="AM678" t="s">
        <v>1145</v>
      </c>
      <c r="AN678" t="s">
        <v>1146</v>
      </c>
      <c r="AO678" s="100">
        <v>46262.040405092594</v>
      </c>
      <c r="AP678" t="s">
        <v>1147</v>
      </c>
      <c r="AQ678" t="s">
        <v>2575</v>
      </c>
      <c r="AR678" t="s">
        <v>1159</v>
      </c>
      <c r="AS678" t="s">
        <v>1150</v>
      </c>
      <c r="AT678" t="s">
        <v>2572</v>
      </c>
      <c r="AU678">
        <v>25</v>
      </c>
      <c r="AV678">
        <v>1.0061119999999999</v>
      </c>
      <c r="AW678">
        <v>4.7195482834695102E-2</v>
      </c>
      <c r="AX678">
        <v>4.6908776393378773</v>
      </c>
      <c r="AY678">
        <v>0.33389150767967662</v>
      </c>
      <c r="AZ678">
        <v>8.0738396125871734</v>
      </c>
      <c r="BA678">
        <v>4.780361580393663</v>
      </c>
      <c r="BB678" t="s">
        <v>4619</v>
      </c>
      <c r="BD678" s="98"/>
      <c r="BE678" s="98"/>
      <c r="BF678" t="s">
        <v>1152</v>
      </c>
      <c r="BG678" t="s">
        <v>322</v>
      </c>
      <c r="BH678" t="s">
        <v>1153</v>
      </c>
      <c r="BI678">
        <v>0.33389150767967662</v>
      </c>
      <c r="BJ678" t="s">
        <v>989</v>
      </c>
      <c r="BK678">
        <v>14.684143140511013</v>
      </c>
      <c r="BL678">
        <v>64.523043627458449</v>
      </c>
      <c r="BM678" t="s">
        <v>1260</v>
      </c>
      <c r="BN678" t="s">
        <v>1154</v>
      </c>
      <c r="BO678">
        <v>2025</v>
      </c>
      <c r="BP678" t="s">
        <v>966</v>
      </c>
      <c r="BQ678">
        <v>2361.1498745371719</v>
      </c>
      <c r="BR678">
        <v>99.763885012546282</v>
      </c>
      <c r="BS678" t="s">
        <v>990</v>
      </c>
      <c r="BT678">
        <v>3</v>
      </c>
      <c r="BU678">
        <v>1</v>
      </c>
      <c r="BV678" t="s">
        <v>985</v>
      </c>
      <c r="BW678" t="s">
        <v>943</v>
      </c>
      <c r="BX678" t="s">
        <v>986</v>
      </c>
      <c r="BY678">
        <v>4.3253906902446211</v>
      </c>
      <c r="BZ678" t="s">
        <v>2573</v>
      </c>
      <c r="CA678" t="s">
        <v>989</v>
      </c>
      <c r="CB678" t="b">
        <v>1</v>
      </c>
      <c r="CC678" t="b">
        <v>1</v>
      </c>
      <c r="CD678" t="b">
        <v>1</v>
      </c>
      <c r="CE678" t="b">
        <v>1</v>
      </c>
      <c r="CF678" t="b">
        <v>0</v>
      </c>
    </row>
    <row r="679" spans="1:84" x14ac:dyDescent="0.3">
      <c r="A679" t="s">
        <v>2576</v>
      </c>
      <c r="B679" t="s">
        <v>1161</v>
      </c>
      <c r="C679" s="98">
        <v>45677</v>
      </c>
      <c r="D679">
        <v>2025</v>
      </c>
      <c r="E679">
        <v>1</v>
      </c>
      <c r="F679">
        <v>1</v>
      </c>
      <c r="G679" t="s">
        <v>1144</v>
      </c>
      <c r="H679" t="s">
        <v>139</v>
      </c>
      <c r="I679" t="s">
        <v>139</v>
      </c>
      <c r="J679" t="s">
        <v>6</v>
      </c>
      <c r="L679">
        <v>522611</v>
      </c>
      <c r="M679" s="99" t="s">
        <v>178</v>
      </c>
      <c r="N679">
        <v>1</v>
      </c>
      <c r="O679">
        <v>3</v>
      </c>
      <c r="P679">
        <v>0.96919999999999995</v>
      </c>
      <c r="Q679" t="s">
        <v>352</v>
      </c>
      <c r="R679">
        <v>1</v>
      </c>
      <c r="S679">
        <v>1.0047999999999999</v>
      </c>
      <c r="T679">
        <v>4.7E-2</v>
      </c>
      <c r="U679">
        <v>-0.7574468085106375</v>
      </c>
      <c r="V679">
        <v>0.8637999999999999</v>
      </c>
      <c r="W679">
        <v>0.91079999999999994</v>
      </c>
      <c r="X679">
        <v>0.95779999999999987</v>
      </c>
      <c r="Y679">
        <v>1.0517999999999998</v>
      </c>
      <c r="Z679">
        <v>1.0988</v>
      </c>
      <c r="AA679">
        <v>1.1457999999999999</v>
      </c>
      <c r="AD679">
        <v>22.757982753098187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 t="s">
        <v>462</v>
      </c>
      <c r="AL679" t="s">
        <v>6</v>
      </c>
      <c r="AM679" t="s">
        <v>1145</v>
      </c>
      <c r="AN679" t="s">
        <v>1146</v>
      </c>
      <c r="AO679" s="100">
        <v>46262.040405092594</v>
      </c>
      <c r="AP679" t="s">
        <v>1147</v>
      </c>
      <c r="AQ679" t="s">
        <v>2577</v>
      </c>
      <c r="AR679" t="s">
        <v>1163</v>
      </c>
      <c r="AS679" t="s">
        <v>1150</v>
      </c>
      <c r="AT679" t="s">
        <v>2572</v>
      </c>
      <c r="AU679">
        <v>25</v>
      </c>
      <c r="AV679">
        <v>1.0061119999999999</v>
      </c>
      <c r="AW679">
        <v>4.7195482834695102E-2</v>
      </c>
      <c r="AX679">
        <v>4.6908776393378773</v>
      </c>
      <c r="AY679">
        <v>0.33389150767967662</v>
      </c>
      <c r="AZ679">
        <v>8.0738396125871734</v>
      </c>
      <c r="BA679">
        <v>4.780361580393663</v>
      </c>
      <c r="BB679" t="s">
        <v>4619</v>
      </c>
      <c r="BD679" s="98"/>
      <c r="BE679" s="98"/>
      <c r="BF679" t="s">
        <v>1152</v>
      </c>
      <c r="BG679" t="s">
        <v>322</v>
      </c>
      <c r="BH679" t="s">
        <v>1153</v>
      </c>
      <c r="BI679">
        <v>0.33389150767967662</v>
      </c>
      <c r="BJ679" t="s">
        <v>989</v>
      </c>
      <c r="BK679">
        <v>14.684143140511013</v>
      </c>
      <c r="BL679">
        <v>64.523043627458449</v>
      </c>
      <c r="BM679" t="s">
        <v>1260</v>
      </c>
      <c r="BN679" t="s">
        <v>1154</v>
      </c>
      <c r="BO679">
        <v>2025</v>
      </c>
      <c r="BP679" t="s">
        <v>966</v>
      </c>
      <c r="BQ679">
        <v>2361.1498745371719</v>
      </c>
      <c r="BR679">
        <v>99.763885012546282</v>
      </c>
      <c r="BS679" t="s">
        <v>990</v>
      </c>
      <c r="BT679">
        <v>3</v>
      </c>
      <c r="BU679">
        <v>1</v>
      </c>
      <c r="BV679" t="s">
        <v>985</v>
      </c>
      <c r="BW679" t="s">
        <v>943</v>
      </c>
      <c r="BX679" t="s">
        <v>986</v>
      </c>
      <c r="BY679">
        <v>4.3253906902446211</v>
      </c>
      <c r="BZ679" t="s">
        <v>2573</v>
      </c>
      <c r="CA679" t="s">
        <v>989</v>
      </c>
      <c r="CB679" t="b">
        <v>1</v>
      </c>
      <c r="CC679" t="b">
        <v>1</v>
      </c>
      <c r="CD679" t="b">
        <v>1</v>
      </c>
      <c r="CE679" t="b">
        <v>1</v>
      </c>
      <c r="CF679" t="b">
        <v>0</v>
      </c>
    </row>
    <row r="680" spans="1:84" x14ac:dyDescent="0.3">
      <c r="A680" t="s">
        <v>2578</v>
      </c>
      <c r="B680" t="s">
        <v>1165</v>
      </c>
      <c r="C680" s="98">
        <v>45684</v>
      </c>
      <c r="D680">
        <v>2025</v>
      </c>
      <c r="E680">
        <v>1</v>
      </c>
      <c r="F680">
        <v>1</v>
      </c>
      <c r="G680" t="s">
        <v>1144</v>
      </c>
      <c r="H680" t="s">
        <v>139</v>
      </c>
      <c r="I680" t="s">
        <v>139</v>
      </c>
      <c r="J680" t="s">
        <v>6</v>
      </c>
      <c r="L680">
        <v>522611</v>
      </c>
      <c r="M680" s="99" t="s">
        <v>178</v>
      </c>
      <c r="N680">
        <v>1</v>
      </c>
      <c r="O680">
        <v>4</v>
      </c>
      <c r="P680">
        <v>0.99819999999999998</v>
      </c>
      <c r="Q680" t="s">
        <v>352</v>
      </c>
      <c r="R680">
        <v>1</v>
      </c>
      <c r="S680">
        <v>1.0047999999999999</v>
      </c>
      <c r="T680">
        <v>4.7E-2</v>
      </c>
      <c r="U680">
        <v>-0.14042553191489232</v>
      </c>
      <c r="V680">
        <v>0.8637999999999999</v>
      </c>
      <c r="W680">
        <v>0.91079999999999994</v>
      </c>
      <c r="X680">
        <v>0.95779999999999987</v>
      </c>
      <c r="Y680">
        <v>1.0517999999999998</v>
      </c>
      <c r="Z680">
        <v>1.0988</v>
      </c>
      <c r="AA680">
        <v>1.1457999999999999</v>
      </c>
      <c r="AD680">
        <v>22.757982753098187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 t="s">
        <v>462</v>
      </c>
      <c r="AL680" t="s">
        <v>6</v>
      </c>
      <c r="AM680" t="s">
        <v>1145</v>
      </c>
      <c r="AN680" t="s">
        <v>1146</v>
      </c>
      <c r="AO680" s="100">
        <v>46262.040405092594</v>
      </c>
      <c r="AP680" t="s">
        <v>1147</v>
      </c>
      <c r="AQ680" t="s">
        <v>2579</v>
      </c>
      <c r="AR680" t="s">
        <v>1167</v>
      </c>
      <c r="AS680" t="s">
        <v>1150</v>
      </c>
      <c r="AT680" t="s">
        <v>2572</v>
      </c>
      <c r="AU680">
        <v>25</v>
      </c>
      <c r="AV680">
        <v>1.0061119999999999</v>
      </c>
      <c r="AW680">
        <v>4.7195482834695102E-2</v>
      </c>
      <c r="AX680">
        <v>4.6908776393378773</v>
      </c>
      <c r="AY680">
        <v>0.33389150767967662</v>
      </c>
      <c r="AZ680">
        <v>8.0738396125871734</v>
      </c>
      <c r="BA680">
        <v>4.780361580393663</v>
      </c>
      <c r="BB680" t="s">
        <v>4619</v>
      </c>
      <c r="BD680" s="98"/>
      <c r="BE680" s="98"/>
      <c r="BF680" t="s">
        <v>1152</v>
      </c>
      <c r="BG680" t="s">
        <v>322</v>
      </c>
      <c r="BH680" t="s">
        <v>1153</v>
      </c>
      <c r="BI680">
        <v>0.33389150767967662</v>
      </c>
      <c r="BJ680" t="s">
        <v>989</v>
      </c>
      <c r="BK680">
        <v>14.684143140511013</v>
      </c>
      <c r="BL680">
        <v>64.523043627458449</v>
      </c>
      <c r="BM680" t="s">
        <v>1260</v>
      </c>
      <c r="BN680" t="s">
        <v>1154</v>
      </c>
      <c r="BO680">
        <v>2025</v>
      </c>
      <c r="BP680" t="s">
        <v>966</v>
      </c>
      <c r="BQ680">
        <v>2361.1498745371719</v>
      </c>
      <c r="BR680">
        <v>99.763885012546282</v>
      </c>
      <c r="BS680" t="s">
        <v>990</v>
      </c>
      <c r="BT680">
        <v>3</v>
      </c>
      <c r="BU680">
        <v>1</v>
      </c>
      <c r="BV680" t="s">
        <v>985</v>
      </c>
      <c r="BW680" t="s">
        <v>943</v>
      </c>
      <c r="BX680" t="s">
        <v>986</v>
      </c>
      <c r="BY680">
        <v>4.3253906902446211</v>
      </c>
      <c r="BZ680" t="s">
        <v>2573</v>
      </c>
      <c r="CA680" t="s">
        <v>989</v>
      </c>
      <c r="CB680" t="b">
        <v>1</v>
      </c>
      <c r="CC680" t="b">
        <v>1</v>
      </c>
      <c r="CD680" t="b">
        <v>1</v>
      </c>
      <c r="CE680" t="b">
        <v>1</v>
      </c>
      <c r="CF680" t="b">
        <v>0</v>
      </c>
    </row>
    <row r="681" spans="1:84" x14ac:dyDescent="0.3">
      <c r="A681" t="s">
        <v>2580</v>
      </c>
      <c r="B681" t="s">
        <v>1169</v>
      </c>
      <c r="C681" s="98">
        <v>45691</v>
      </c>
      <c r="D681">
        <v>2025</v>
      </c>
      <c r="E681">
        <v>2</v>
      </c>
      <c r="F681">
        <v>1</v>
      </c>
      <c r="G681" t="s">
        <v>1170</v>
      </c>
      <c r="H681" t="s">
        <v>139</v>
      </c>
      <c r="I681" t="s">
        <v>139</v>
      </c>
      <c r="J681" t="s">
        <v>6</v>
      </c>
      <c r="L681">
        <v>522611</v>
      </c>
      <c r="M681" s="99" t="s">
        <v>178</v>
      </c>
      <c r="N681">
        <v>1</v>
      </c>
      <c r="O681">
        <v>5</v>
      </c>
      <c r="P681">
        <v>1.0147999999999999</v>
      </c>
      <c r="Q681" t="s">
        <v>352</v>
      </c>
      <c r="R681">
        <v>1</v>
      </c>
      <c r="S681">
        <v>1.0047999999999999</v>
      </c>
      <c r="T681">
        <v>4.7E-2</v>
      </c>
      <c r="U681">
        <v>0.21276595744680871</v>
      </c>
      <c r="V681">
        <v>0.8637999999999999</v>
      </c>
      <c r="W681">
        <v>0.91079999999999994</v>
      </c>
      <c r="X681">
        <v>0.95779999999999987</v>
      </c>
      <c r="Y681">
        <v>1.0517999999999998</v>
      </c>
      <c r="Z681">
        <v>1.0988</v>
      </c>
      <c r="AA681">
        <v>1.1457999999999999</v>
      </c>
      <c r="AD681">
        <v>22.757982753098187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 t="s">
        <v>462</v>
      </c>
      <c r="AL681" t="s">
        <v>6</v>
      </c>
      <c r="AM681" t="s">
        <v>1145</v>
      </c>
      <c r="AN681" t="s">
        <v>1146</v>
      </c>
      <c r="AO681" s="100">
        <v>46262.040405092594</v>
      </c>
      <c r="AP681" t="s">
        <v>1147</v>
      </c>
      <c r="AQ681" t="s">
        <v>2581</v>
      </c>
      <c r="AR681" t="s">
        <v>1172</v>
      </c>
      <c r="AS681" t="s">
        <v>1150</v>
      </c>
      <c r="AT681" t="s">
        <v>2572</v>
      </c>
      <c r="AU681">
        <v>25</v>
      </c>
      <c r="AV681">
        <v>1.0061119999999999</v>
      </c>
      <c r="AW681">
        <v>4.7195482834695102E-2</v>
      </c>
      <c r="AX681">
        <v>4.6908776393378773</v>
      </c>
      <c r="AY681">
        <v>0.33389150767967662</v>
      </c>
      <c r="AZ681">
        <v>8.0738396125871734</v>
      </c>
      <c r="BA681">
        <v>4.780361580393663</v>
      </c>
      <c r="BB681" t="s">
        <v>4619</v>
      </c>
      <c r="BD681" s="98"/>
      <c r="BE681" s="98"/>
      <c r="BF681" t="s">
        <v>1152</v>
      </c>
      <c r="BG681" t="s">
        <v>322</v>
      </c>
      <c r="BH681" t="s">
        <v>1153</v>
      </c>
      <c r="BI681">
        <v>0.33389150767967662</v>
      </c>
      <c r="BJ681" t="s">
        <v>989</v>
      </c>
      <c r="BK681">
        <v>14.684143140511013</v>
      </c>
      <c r="BL681">
        <v>64.523043627458449</v>
      </c>
      <c r="BM681" t="s">
        <v>1260</v>
      </c>
      <c r="BN681" t="s">
        <v>1154</v>
      </c>
      <c r="BO681">
        <v>2025</v>
      </c>
      <c r="BP681" t="s">
        <v>966</v>
      </c>
      <c r="BQ681">
        <v>2361.1498745371719</v>
      </c>
      <c r="BR681">
        <v>99.763885012546282</v>
      </c>
      <c r="BS681" t="s">
        <v>990</v>
      </c>
      <c r="BT681">
        <v>3</v>
      </c>
      <c r="BU681">
        <v>1</v>
      </c>
      <c r="BV681" t="s">
        <v>985</v>
      </c>
      <c r="BW681" t="s">
        <v>943</v>
      </c>
      <c r="BX681" t="s">
        <v>986</v>
      </c>
      <c r="BY681">
        <v>4.3253906902446211</v>
      </c>
      <c r="BZ681" t="s">
        <v>2573</v>
      </c>
      <c r="CA681" t="s">
        <v>989</v>
      </c>
      <c r="CB681" t="b">
        <v>1</v>
      </c>
      <c r="CC681" t="b">
        <v>1</v>
      </c>
      <c r="CD681" t="b">
        <v>1</v>
      </c>
      <c r="CE681" t="b">
        <v>1</v>
      </c>
      <c r="CF681" t="b">
        <v>0</v>
      </c>
    </row>
    <row r="682" spans="1:84" x14ac:dyDescent="0.3">
      <c r="A682" t="s">
        <v>2582</v>
      </c>
      <c r="B682" t="s">
        <v>1174</v>
      </c>
      <c r="C682" s="98">
        <v>45698</v>
      </c>
      <c r="D682">
        <v>2025</v>
      </c>
      <c r="E682">
        <v>2</v>
      </c>
      <c r="F682">
        <v>1</v>
      </c>
      <c r="G682" t="s">
        <v>1170</v>
      </c>
      <c r="H682" t="s">
        <v>139</v>
      </c>
      <c r="I682" t="s">
        <v>139</v>
      </c>
      <c r="J682" t="s">
        <v>6</v>
      </c>
      <c r="L682">
        <v>522611</v>
      </c>
      <c r="M682" s="99" t="s">
        <v>178</v>
      </c>
      <c r="N682">
        <v>1</v>
      </c>
      <c r="O682">
        <v>6</v>
      </c>
      <c r="P682">
        <v>1.0339</v>
      </c>
      <c r="Q682" t="s">
        <v>352</v>
      </c>
      <c r="R682">
        <v>1</v>
      </c>
      <c r="S682">
        <v>1.0047999999999999</v>
      </c>
      <c r="T682">
        <v>4.7E-2</v>
      </c>
      <c r="U682">
        <v>0.61914893617021549</v>
      </c>
      <c r="V682">
        <v>0.8637999999999999</v>
      </c>
      <c r="W682">
        <v>0.91079999999999994</v>
      </c>
      <c r="X682">
        <v>0.95779999999999987</v>
      </c>
      <c r="Y682">
        <v>1.0517999999999998</v>
      </c>
      <c r="Z682">
        <v>1.0988</v>
      </c>
      <c r="AA682">
        <v>1.1457999999999999</v>
      </c>
      <c r="AD682">
        <v>22.757982753098187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 t="s">
        <v>462</v>
      </c>
      <c r="AL682" t="s">
        <v>6</v>
      </c>
      <c r="AM682" t="s">
        <v>1145</v>
      </c>
      <c r="AN682" t="s">
        <v>1146</v>
      </c>
      <c r="AO682" s="100">
        <v>46262.040405092594</v>
      </c>
      <c r="AP682" t="s">
        <v>1147</v>
      </c>
      <c r="AQ682" t="s">
        <v>2583</v>
      </c>
      <c r="AR682" t="s">
        <v>1176</v>
      </c>
      <c r="AS682" t="s">
        <v>1150</v>
      </c>
      <c r="AT682" t="s">
        <v>2572</v>
      </c>
      <c r="AU682">
        <v>25</v>
      </c>
      <c r="AV682">
        <v>1.0061119999999999</v>
      </c>
      <c r="AW682">
        <v>4.7195482834695102E-2</v>
      </c>
      <c r="AX682">
        <v>4.6908776393378773</v>
      </c>
      <c r="AY682">
        <v>0.33389150767967662</v>
      </c>
      <c r="AZ682">
        <v>8.0738396125871734</v>
      </c>
      <c r="BA682">
        <v>4.780361580393663</v>
      </c>
      <c r="BB682" t="s">
        <v>4619</v>
      </c>
      <c r="BD682" s="98"/>
      <c r="BE682" s="98"/>
      <c r="BF682" t="s">
        <v>1152</v>
      </c>
      <c r="BG682" t="s">
        <v>322</v>
      </c>
      <c r="BH682" t="s">
        <v>1153</v>
      </c>
      <c r="BI682">
        <v>0.33389150767967662</v>
      </c>
      <c r="BJ682" t="s">
        <v>989</v>
      </c>
      <c r="BK682">
        <v>14.684143140511013</v>
      </c>
      <c r="BL682">
        <v>64.523043627458449</v>
      </c>
      <c r="BM682" t="s">
        <v>1260</v>
      </c>
      <c r="BN682" t="s">
        <v>1154</v>
      </c>
      <c r="BO682">
        <v>2025</v>
      </c>
      <c r="BP682" t="s">
        <v>966</v>
      </c>
      <c r="BQ682">
        <v>2361.1498745371719</v>
      </c>
      <c r="BR682">
        <v>99.763885012546282</v>
      </c>
      <c r="BS682" t="s">
        <v>990</v>
      </c>
      <c r="BT682">
        <v>3</v>
      </c>
      <c r="BU682">
        <v>1</v>
      </c>
      <c r="BV682" t="s">
        <v>985</v>
      </c>
      <c r="BW682" t="s">
        <v>943</v>
      </c>
      <c r="BX682" t="s">
        <v>986</v>
      </c>
      <c r="BY682">
        <v>4.3253906902446211</v>
      </c>
      <c r="BZ682" t="s">
        <v>2573</v>
      </c>
      <c r="CA682" t="s">
        <v>989</v>
      </c>
      <c r="CB682" t="b">
        <v>1</v>
      </c>
      <c r="CC682" t="b">
        <v>1</v>
      </c>
      <c r="CD682" t="b">
        <v>1</v>
      </c>
      <c r="CE682" t="b">
        <v>1</v>
      </c>
      <c r="CF682" t="b">
        <v>0</v>
      </c>
    </row>
    <row r="683" spans="1:84" x14ac:dyDescent="0.3">
      <c r="A683" t="s">
        <v>2584</v>
      </c>
      <c r="B683" t="s">
        <v>1178</v>
      </c>
      <c r="C683" s="98">
        <v>45705</v>
      </c>
      <c r="D683">
        <v>2025</v>
      </c>
      <c r="E683">
        <v>2</v>
      </c>
      <c r="F683">
        <v>1</v>
      </c>
      <c r="G683" t="s">
        <v>1170</v>
      </c>
      <c r="H683" t="s">
        <v>139</v>
      </c>
      <c r="I683" t="s">
        <v>139</v>
      </c>
      <c r="J683" t="s">
        <v>6</v>
      </c>
      <c r="L683">
        <v>522611</v>
      </c>
      <c r="M683" s="99" t="s">
        <v>178</v>
      </c>
      <c r="N683">
        <v>1</v>
      </c>
      <c r="O683">
        <v>7</v>
      </c>
      <c r="P683">
        <v>0.98909999999999998</v>
      </c>
      <c r="Q683" t="s">
        <v>352</v>
      </c>
      <c r="R683">
        <v>1</v>
      </c>
      <c r="S683">
        <v>1.0047999999999999</v>
      </c>
      <c r="T683">
        <v>4.7E-2</v>
      </c>
      <c r="U683">
        <v>-0.33404255319148801</v>
      </c>
      <c r="V683">
        <v>0.8637999999999999</v>
      </c>
      <c r="W683">
        <v>0.91079999999999994</v>
      </c>
      <c r="X683">
        <v>0.95779999999999987</v>
      </c>
      <c r="Y683">
        <v>1.0517999999999998</v>
      </c>
      <c r="Z683">
        <v>1.0988</v>
      </c>
      <c r="AA683">
        <v>1.1457999999999999</v>
      </c>
      <c r="AD683">
        <v>22.757982753098187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 t="s">
        <v>462</v>
      </c>
      <c r="AL683" t="s">
        <v>6</v>
      </c>
      <c r="AM683" t="s">
        <v>1145</v>
      </c>
      <c r="AN683" t="s">
        <v>1146</v>
      </c>
      <c r="AO683" s="100">
        <v>46262.040405092594</v>
      </c>
      <c r="AP683" t="s">
        <v>1147</v>
      </c>
      <c r="AQ683" t="s">
        <v>2585</v>
      </c>
      <c r="AR683" t="s">
        <v>1180</v>
      </c>
      <c r="AS683" t="s">
        <v>1150</v>
      </c>
      <c r="AT683" t="s">
        <v>2572</v>
      </c>
      <c r="AU683">
        <v>25</v>
      </c>
      <c r="AV683">
        <v>1.0061119999999999</v>
      </c>
      <c r="AW683">
        <v>4.7195482834695102E-2</v>
      </c>
      <c r="AX683">
        <v>4.6908776393378773</v>
      </c>
      <c r="AY683">
        <v>0.33389150767967662</v>
      </c>
      <c r="AZ683">
        <v>8.0738396125871734</v>
      </c>
      <c r="BA683">
        <v>4.780361580393663</v>
      </c>
      <c r="BB683" t="s">
        <v>4619</v>
      </c>
      <c r="BD683" s="98"/>
      <c r="BE683" s="98"/>
      <c r="BF683" t="s">
        <v>1152</v>
      </c>
      <c r="BG683" t="s">
        <v>322</v>
      </c>
      <c r="BH683" t="s">
        <v>1153</v>
      </c>
      <c r="BI683">
        <v>0.33389150767967662</v>
      </c>
      <c r="BJ683" t="s">
        <v>989</v>
      </c>
      <c r="BK683">
        <v>14.684143140511013</v>
      </c>
      <c r="BL683">
        <v>64.523043627458449</v>
      </c>
      <c r="BM683" t="s">
        <v>1260</v>
      </c>
      <c r="BN683" t="s">
        <v>1154</v>
      </c>
      <c r="BO683">
        <v>2025</v>
      </c>
      <c r="BP683" t="s">
        <v>966</v>
      </c>
      <c r="BQ683">
        <v>2361.1498745371719</v>
      </c>
      <c r="BR683">
        <v>99.763885012546282</v>
      </c>
      <c r="BS683" t="s">
        <v>990</v>
      </c>
      <c r="BT683">
        <v>3</v>
      </c>
      <c r="BU683">
        <v>1</v>
      </c>
      <c r="BV683" t="s">
        <v>985</v>
      </c>
      <c r="BW683" t="s">
        <v>943</v>
      </c>
      <c r="BX683" t="s">
        <v>986</v>
      </c>
      <c r="BY683">
        <v>4.3253906902446211</v>
      </c>
      <c r="BZ683" t="s">
        <v>2573</v>
      </c>
      <c r="CA683" t="s">
        <v>989</v>
      </c>
      <c r="CB683" t="b">
        <v>1</v>
      </c>
      <c r="CC683" t="b">
        <v>1</v>
      </c>
      <c r="CD683" t="b">
        <v>1</v>
      </c>
      <c r="CE683" t="b">
        <v>1</v>
      </c>
      <c r="CF683" t="b">
        <v>0</v>
      </c>
    </row>
    <row r="684" spans="1:84" x14ac:dyDescent="0.3">
      <c r="A684" t="s">
        <v>2586</v>
      </c>
      <c r="B684" t="s">
        <v>1182</v>
      </c>
      <c r="C684" s="98">
        <v>45712</v>
      </c>
      <c r="D684">
        <v>2025</v>
      </c>
      <c r="E684">
        <v>2</v>
      </c>
      <c r="F684">
        <v>1</v>
      </c>
      <c r="G684" t="s">
        <v>1170</v>
      </c>
      <c r="H684" t="s">
        <v>139</v>
      </c>
      <c r="I684" t="s">
        <v>139</v>
      </c>
      <c r="J684" t="s">
        <v>6</v>
      </c>
      <c r="L684">
        <v>522611</v>
      </c>
      <c r="M684" s="99" t="s">
        <v>178</v>
      </c>
      <c r="N684">
        <v>1</v>
      </c>
      <c r="O684">
        <v>8</v>
      </c>
      <c r="P684">
        <v>1.0283</v>
      </c>
      <c r="Q684" t="s">
        <v>352</v>
      </c>
      <c r="R684">
        <v>1</v>
      </c>
      <c r="S684">
        <v>1.0047999999999999</v>
      </c>
      <c r="T684">
        <v>4.7E-2</v>
      </c>
      <c r="U684">
        <v>0.50000000000000167</v>
      </c>
      <c r="V684">
        <v>0.8637999999999999</v>
      </c>
      <c r="W684">
        <v>0.91079999999999994</v>
      </c>
      <c r="X684">
        <v>0.95779999999999987</v>
      </c>
      <c r="Y684">
        <v>1.0517999999999998</v>
      </c>
      <c r="Z684">
        <v>1.0988</v>
      </c>
      <c r="AA684">
        <v>1.1457999999999999</v>
      </c>
      <c r="AD684">
        <v>22.757982753098187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 t="s">
        <v>462</v>
      </c>
      <c r="AL684" t="s">
        <v>6</v>
      </c>
      <c r="AM684" t="s">
        <v>1145</v>
      </c>
      <c r="AN684" t="s">
        <v>1146</v>
      </c>
      <c r="AO684" s="100">
        <v>46262.040405092594</v>
      </c>
      <c r="AP684" t="s">
        <v>1147</v>
      </c>
      <c r="AQ684" t="s">
        <v>2587</v>
      </c>
      <c r="AR684" t="s">
        <v>1184</v>
      </c>
      <c r="AS684" t="s">
        <v>1150</v>
      </c>
      <c r="AT684" t="s">
        <v>2572</v>
      </c>
      <c r="AU684">
        <v>25</v>
      </c>
      <c r="AV684">
        <v>1.0061119999999999</v>
      </c>
      <c r="AW684">
        <v>4.7195482834695102E-2</v>
      </c>
      <c r="AX684">
        <v>4.6908776393378773</v>
      </c>
      <c r="AY684">
        <v>0.33389150767967662</v>
      </c>
      <c r="AZ684">
        <v>8.0738396125871734</v>
      </c>
      <c r="BA684">
        <v>4.780361580393663</v>
      </c>
      <c r="BB684" t="s">
        <v>4619</v>
      </c>
      <c r="BD684" s="98"/>
      <c r="BE684" s="98"/>
      <c r="BF684" t="s">
        <v>1152</v>
      </c>
      <c r="BG684" t="s">
        <v>322</v>
      </c>
      <c r="BH684" t="s">
        <v>1153</v>
      </c>
      <c r="BI684">
        <v>0.33389150767967662</v>
      </c>
      <c r="BJ684" t="s">
        <v>989</v>
      </c>
      <c r="BK684">
        <v>14.684143140511013</v>
      </c>
      <c r="BL684">
        <v>64.523043627458449</v>
      </c>
      <c r="BM684" t="s">
        <v>1260</v>
      </c>
      <c r="BN684" t="s">
        <v>1154</v>
      </c>
      <c r="BO684">
        <v>2025</v>
      </c>
      <c r="BP684" t="s">
        <v>966</v>
      </c>
      <c r="BQ684">
        <v>2361.1498745371719</v>
      </c>
      <c r="BR684">
        <v>99.763885012546282</v>
      </c>
      <c r="BS684" t="s">
        <v>990</v>
      </c>
      <c r="BT684">
        <v>3</v>
      </c>
      <c r="BU684">
        <v>1</v>
      </c>
      <c r="BV684" t="s">
        <v>985</v>
      </c>
      <c r="BW684" t="s">
        <v>943</v>
      </c>
      <c r="BX684" t="s">
        <v>986</v>
      </c>
      <c r="BY684">
        <v>4.3253906902446211</v>
      </c>
      <c r="BZ684" t="s">
        <v>2573</v>
      </c>
      <c r="CA684" t="s">
        <v>989</v>
      </c>
      <c r="CB684" t="b">
        <v>1</v>
      </c>
      <c r="CC684" t="b">
        <v>1</v>
      </c>
      <c r="CD684" t="b">
        <v>1</v>
      </c>
      <c r="CE684" t="b">
        <v>1</v>
      </c>
      <c r="CF684" t="b">
        <v>0</v>
      </c>
    </row>
    <row r="685" spans="1:84" x14ac:dyDescent="0.3">
      <c r="A685" t="s">
        <v>2588</v>
      </c>
      <c r="B685" t="s">
        <v>1186</v>
      </c>
      <c r="C685" s="98">
        <v>45719</v>
      </c>
      <c r="D685">
        <v>2025</v>
      </c>
      <c r="E685">
        <v>3</v>
      </c>
      <c r="F685">
        <v>1</v>
      </c>
      <c r="G685" t="s">
        <v>1187</v>
      </c>
      <c r="H685" t="s">
        <v>139</v>
      </c>
      <c r="I685" t="s">
        <v>139</v>
      </c>
      <c r="J685" t="s">
        <v>6</v>
      </c>
      <c r="L685">
        <v>522611</v>
      </c>
      <c r="M685" s="99" t="s">
        <v>178</v>
      </c>
      <c r="N685">
        <v>1</v>
      </c>
      <c r="O685">
        <v>9</v>
      </c>
      <c r="P685">
        <v>0.96299999999999997</v>
      </c>
      <c r="Q685" t="s">
        <v>352</v>
      </c>
      <c r="R685">
        <v>1</v>
      </c>
      <c r="S685">
        <v>1.0047999999999999</v>
      </c>
      <c r="T685">
        <v>4.7E-2</v>
      </c>
      <c r="U685">
        <v>-0.88936170212765853</v>
      </c>
      <c r="V685">
        <v>0.8637999999999999</v>
      </c>
      <c r="W685">
        <v>0.91079999999999994</v>
      </c>
      <c r="X685">
        <v>0.95779999999999987</v>
      </c>
      <c r="Y685">
        <v>1.0517999999999998</v>
      </c>
      <c r="Z685">
        <v>1.0988</v>
      </c>
      <c r="AA685">
        <v>1.1457999999999999</v>
      </c>
      <c r="AD685">
        <v>22.757982753098187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 t="s">
        <v>462</v>
      </c>
      <c r="AL685" t="s">
        <v>6</v>
      </c>
      <c r="AM685" t="s">
        <v>1145</v>
      </c>
      <c r="AN685" t="s">
        <v>1146</v>
      </c>
      <c r="AO685" s="100">
        <v>46262.040405092594</v>
      </c>
      <c r="AP685" t="s">
        <v>1147</v>
      </c>
      <c r="AQ685" t="s">
        <v>2589</v>
      </c>
      <c r="AR685" t="s">
        <v>1189</v>
      </c>
      <c r="AS685" t="s">
        <v>1150</v>
      </c>
      <c r="AT685" t="s">
        <v>2572</v>
      </c>
      <c r="AU685">
        <v>25</v>
      </c>
      <c r="AV685">
        <v>1.0061119999999999</v>
      </c>
      <c r="AW685">
        <v>4.7195482834695102E-2</v>
      </c>
      <c r="AX685">
        <v>4.6908776393378773</v>
      </c>
      <c r="AY685">
        <v>0.33389150767967662</v>
      </c>
      <c r="AZ685">
        <v>8.0738396125871734</v>
      </c>
      <c r="BA685">
        <v>4.780361580393663</v>
      </c>
      <c r="BB685" t="s">
        <v>4619</v>
      </c>
      <c r="BD685" s="98"/>
      <c r="BE685" s="98"/>
      <c r="BF685" t="s">
        <v>1152</v>
      </c>
      <c r="BG685" t="s">
        <v>322</v>
      </c>
      <c r="BH685" t="s">
        <v>1153</v>
      </c>
      <c r="BI685">
        <v>0.33389150767967662</v>
      </c>
      <c r="BJ685" t="s">
        <v>989</v>
      </c>
      <c r="BK685">
        <v>14.684143140511013</v>
      </c>
      <c r="BL685">
        <v>64.523043627458449</v>
      </c>
      <c r="BM685" t="s">
        <v>1260</v>
      </c>
      <c r="BN685" t="s">
        <v>1154</v>
      </c>
      <c r="BO685">
        <v>2025</v>
      </c>
      <c r="BP685" t="s">
        <v>966</v>
      </c>
      <c r="BQ685">
        <v>2361.1498745371719</v>
      </c>
      <c r="BR685">
        <v>99.763885012546282</v>
      </c>
      <c r="BS685" t="s">
        <v>990</v>
      </c>
      <c r="BT685">
        <v>3</v>
      </c>
      <c r="BU685">
        <v>1</v>
      </c>
      <c r="BV685" t="s">
        <v>985</v>
      </c>
      <c r="BW685" t="s">
        <v>943</v>
      </c>
      <c r="BX685" t="s">
        <v>986</v>
      </c>
      <c r="BY685">
        <v>4.3253906902446211</v>
      </c>
      <c r="BZ685" t="s">
        <v>2573</v>
      </c>
      <c r="CA685" t="s">
        <v>989</v>
      </c>
      <c r="CB685" t="b">
        <v>1</v>
      </c>
      <c r="CC685" t="b">
        <v>1</v>
      </c>
      <c r="CD685" t="b">
        <v>1</v>
      </c>
      <c r="CE685" t="b">
        <v>1</v>
      </c>
      <c r="CF685" t="b">
        <v>0</v>
      </c>
    </row>
    <row r="686" spans="1:84" x14ac:dyDescent="0.3">
      <c r="A686" t="s">
        <v>2590</v>
      </c>
      <c r="B686" t="s">
        <v>1191</v>
      </c>
      <c r="C686" s="98">
        <v>45726</v>
      </c>
      <c r="D686">
        <v>2025</v>
      </c>
      <c r="E686">
        <v>3</v>
      </c>
      <c r="F686">
        <v>1</v>
      </c>
      <c r="G686" t="s">
        <v>1187</v>
      </c>
      <c r="H686" t="s">
        <v>139</v>
      </c>
      <c r="I686" t="s">
        <v>139</v>
      </c>
      <c r="J686" t="s">
        <v>6</v>
      </c>
      <c r="L686">
        <v>522611</v>
      </c>
      <c r="M686" s="99" t="s">
        <v>178</v>
      </c>
      <c r="N686">
        <v>1</v>
      </c>
      <c r="O686">
        <v>10</v>
      </c>
      <c r="P686">
        <v>0.98780000000000001</v>
      </c>
      <c r="Q686" t="s">
        <v>352</v>
      </c>
      <c r="R686">
        <v>1</v>
      </c>
      <c r="S686">
        <v>1.0047999999999999</v>
      </c>
      <c r="T686">
        <v>4.7E-2</v>
      </c>
      <c r="U686">
        <v>-0.36170212765957244</v>
      </c>
      <c r="V686">
        <v>0.8637999999999999</v>
      </c>
      <c r="W686">
        <v>0.91079999999999994</v>
      </c>
      <c r="X686">
        <v>0.95779999999999987</v>
      </c>
      <c r="Y686">
        <v>1.0517999999999998</v>
      </c>
      <c r="Z686">
        <v>1.0988</v>
      </c>
      <c r="AA686">
        <v>1.1457999999999999</v>
      </c>
      <c r="AD686">
        <v>22.757982753098187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 t="s">
        <v>462</v>
      </c>
      <c r="AL686" t="s">
        <v>6</v>
      </c>
      <c r="AM686" t="s">
        <v>1145</v>
      </c>
      <c r="AN686" t="s">
        <v>1146</v>
      </c>
      <c r="AO686" s="100">
        <v>46262.040405092594</v>
      </c>
      <c r="AP686" t="s">
        <v>1147</v>
      </c>
      <c r="AQ686" t="s">
        <v>2591</v>
      </c>
      <c r="AR686" t="s">
        <v>1193</v>
      </c>
      <c r="AS686" t="s">
        <v>1150</v>
      </c>
      <c r="AT686" t="s">
        <v>2572</v>
      </c>
      <c r="AU686">
        <v>25</v>
      </c>
      <c r="AV686">
        <v>1.0061119999999999</v>
      </c>
      <c r="AW686">
        <v>4.7195482834695102E-2</v>
      </c>
      <c r="AX686">
        <v>4.6908776393378773</v>
      </c>
      <c r="AY686">
        <v>0.33389150767967662</v>
      </c>
      <c r="AZ686">
        <v>8.0738396125871734</v>
      </c>
      <c r="BA686">
        <v>4.780361580393663</v>
      </c>
      <c r="BB686" t="s">
        <v>4619</v>
      </c>
      <c r="BD686" s="98"/>
      <c r="BE686" s="98"/>
      <c r="BF686" t="s">
        <v>1152</v>
      </c>
      <c r="BG686" t="s">
        <v>322</v>
      </c>
      <c r="BH686" t="s">
        <v>1153</v>
      </c>
      <c r="BI686">
        <v>0.33389150767967662</v>
      </c>
      <c r="BJ686" t="s">
        <v>989</v>
      </c>
      <c r="BK686">
        <v>14.684143140511013</v>
      </c>
      <c r="BL686">
        <v>64.523043627458449</v>
      </c>
      <c r="BM686" t="s">
        <v>1260</v>
      </c>
      <c r="BN686" t="s">
        <v>1154</v>
      </c>
      <c r="BO686">
        <v>2025</v>
      </c>
      <c r="BP686" t="s">
        <v>966</v>
      </c>
      <c r="BQ686">
        <v>2361.1498745371719</v>
      </c>
      <c r="BR686">
        <v>99.763885012546282</v>
      </c>
      <c r="BS686" t="s">
        <v>990</v>
      </c>
      <c r="BT686">
        <v>3</v>
      </c>
      <c r="BU686">
        <v>1</v>
      </c>
      <c r="BV686" t="s">
        <v>985</v>
      </c>
      <c r="BW686" t="s">
        <v>943</v>
      </c>
      <c r="BX686" t="s">
        <v>986</v>
      </c>
      <c r="BY686">
        <v>4.3253906902446211</v>
      </c>
      <c r="BZ686" t="s">
        <v>2573</v>
      </c>
      <c r="CA686" t="s">
        <v>989</v>
      </c>
      <c r="CB686" t="b">
        <v>1</v>
      </c>
      <c r="CC686" t="b">
        <v>1</v>
      </c>
      <c r="CD686" t="b">
        <v>1</v>
      </c>
      <c r="CE686" t="b">
        <v>1</v>
      </c>
      <c r="CF686" t="b">
        <v>0</v>
      </c>
    </row>
    <row r="687" spans="1:84" x14ac:dyDescent="0.3">
      <c r="A687" t="s">
        <v>2592</v>
      </c>
      <c r="B687" t="s">
        <v>1195</v>
      </c>
      <c r="C687" s="98">
        <v>45733</v>
      </c>
      <c r="D687">
        <v>2025</v>
      </c>
      <c r="E687">
        <v>3</v>
      </c>
      <c r="F687">
        <v>1</v>
      </c>
      <c r="G687" t="s">
        <v>1187</v>
      </c>
      <c r="H687" t="s">
        <v>139</v>
      </c>
      <c r="I687" t="s">
        <v>139</v>
      </c>
      <c r="J687" t="s">
        <v>6</v>
      </c>
      <c r="L687">
        <v>522611</v>
      </c>
      <c r="M687" s="99" t="s">
        <v>178</v>
      </c>
      <c r="N687">
        <v>1</v>
      </c>
      <c r="O687">
        <v>11</v>
      </c>
      <c r="P687">
        <v>0.95669999999999999</v>
      </c>
      <c r="Q687" t="s">
        <v>352</v>
      </c>
      <c r="R687">
        <v>1</v>
      </c>
      <c r="S687">
        <v>1.0047999999999999</v>
      </c>
      <c r="T687">
        <v>4.7E-2</v>
      </c>
      <c r="U687">
        <v>-1.0234042553191471</v>
      </c>
      <c r="V687">
        <v>0.8637999999999999</v>
      </c>
      <c r="W687">
        <v>0.91079999999999994</v>
      </c>
      <c r="X687">
        <v>0.95779999999999987</v>
      </c>
      <c r="Y687">
        <v>1.0517999999999998</v>
      </c>
      <c r="Z687">
        <v>1.0988</v>
      </c>
      <c r="AA687">
        <v>1.1457999999999999</v>
      </c>
      <c r="AD687">
        <v>22.757982753098187</v>
      </c>
      <c r="AE687">
        <v>0</v>
      </c>
      <c r="AF687">
        <v>0</v>
      </c>
      <c r="AG687">
        <v>0</v>
      </c>
      <c r="AH687">
        <v>1</v>
      </c>
      <c r="AI687">
        <v>0</v>
      </c>
      <c r="AJ687">
        <v>0</v>
      </c>
      <c r="AK687" t="s">
        <v>1213</v>
      </c>
      <c r="AL687" t="s">
        <v>6</v>
      </c>
      <c r="AM687" t="s">
        <v>1145</v>
      </c>
      <c r="AN687" t="s">
        <v>1146</v>
      </c>
      <c r="AO687" s="100">
        <v>46262.040405092594</v>
      </c>
      <c r="AP687" t="s">
        <v>1147</v>
      </c>
      <c r="AQ687" t="s">
        <v>2593</v>
      </c>
      <c r="AR687" t="s">
        <v>1197</v>
      </c>
      <c r="AS687" t="s">
        <v>1150</v>
      </c>
      <c r="AT687" t="s">
        <v>2572</v>
      </c>
      <c r="AU687">
        <v>25</v>
      </c>
      <c r="AV687">
        <v>1.0061119999999999</v>
      </c>
      <c r="AW687">
        <v>4.7195482834695102E-2</v>
      </c>
      <c r="AX687">
        <v>4.6908776393378773</v>
      </c>
      <c r="AY687">
        <v>0.33389150767967662</v>
      </c>
      <c r="AZ687">
        <v>8.0738396125871734</v>
      </c>
      <c r="BA687">
        <v>4.780361580393663</v>
      </c>
      <c r="BB687" t="s">
        <v>4619</v>
      </c>
      <c r="BD687" s="98"/>
      <c r="BE687" s="98"/>
      <c r="BF687" t="s">
        <v>1152</v>
      </c>
      <c r="BG687" t="s">
        <v>322</v>
      </c>
      <c r="BH687" t="s">
        <v>1153</v>
      </c>
      <c r="BI687">
        <v>0.33389150767967662</v>
      </c>
      <c r="BJ687" t="s">
        <v>989</v>
      </c>
      <c r="BK687">
        <v>14.684143140511013</v>
      </c>
      <c r="BL687">
        <v>64.523043627458449</v>
      </c>
      <c r="BM687" t="s">
        <v>1260</v>
      </c>
      <c r="BN687" t="s">
        <v>1154</v>
      </c>
      <c r="BO687">
        <v>2025</v>
      </c>
      <c r="BP687" t="s">
        <v>966</v>
      </c>
      <c r="BQ687">
        <v>2361.1498745371719</v>
      </c>
      <c r="BR687">
        <v>99.763885012546282</v>
      </c>
      <c r="BS687" t="s">
        <v>990</v>
      </c>
      <c r="BT687">
        <v>3</v>
      </c>
      <c r="BU687">
        <v>1</v>
      </c>
      <c r="BV687" t="s">
        <v>985</v>
      </c>
      <c r="BW687" t="s">
        <v>943</v>
      </c>
      <c r="BX687" t="s">
        <v>986</v>
      </c>
      <c r="BY687">
        <v>4.3253906902446211</v>
      </c>
      <c r="BZ687" t="s">
        <v>2573</v>
      </c>
      <c r="CA687" t="s">
        <v>989</v>
      </c>
      <c r="CB687" t="b">
        <v>1</v>
      </c>
      <c r="CC687" t="b">
        <v>1</v>
      </c>
      <c r="CD687" t="b">
        <v>1</v>
      </c>
      <c r="CE687" t="b">
        <v>1</v>
      </c>
      <c r="CF687" t="b">
        <v>0</v>
      </c>
    </row>
    <row r="688" spans="1:84" x14ac:dyDescent="0.3">
      <c r="A688" t="s">
        <v>2594</v>
      </c>
      <c r="B688" t="s">
        <v>1199</v>
      </c>
      <c r="C688" s="98">
        <v>45740</v>
      </c>
      <c r="D688">
        <v>2025</v>
      </c>
      <c r="E688">
        <v>3</v>
      </c>
      <c r="F688">
        <v>1</v>
      </c>
      <c r="G688" t="s">
        <v>1187</v>
      </c>
      <c r="H688" t="s">
        <v>139</v>
      </c>
      <c r="I688" t="s">
        <v>139</v>
      </c>
      <c r="J688" t="s">
        <v>6</v>
      </c>
      <c r="L688">
        <v>522611</v>
      </c>
      <c r="M688" s="99" t="s">
        <v>178</v>
      </c>
      <c r="N688">
        <v>1</v>
      </c>
      <c r="O688">
        <v>12</v>
      </c>
      <c r="P688">
        <v>1.0581</v>
      </c>
      <c r="Q688" t="s">
        <v>352</v>
      </c>
      <c r="R688">
        <v>1</v>
      </c>
      <c r="S688">
        <v>1.0047999999999999</v>
      </c>
      <c r="T688">
        <v>4.7E-2</v>
      </c>
      <c r="U688">
        <v>1.1340425531914919</v>
      </c>
      <c r="V688">
        <v>0.8637999999999999</v>
      </c>
      <c r="W688">
        <v>0.91079999999999994</v>
      </c>
      <c r="X688">
        <v>0.95779999999999987</v>
      </c>
      <c r="Y688">
        <v>1.0517999999999998</v>
      </c>
      <c r="Z688">
        <v>1.0988</v>
      </c>
      <c r="AA688">
        <v>1.1457999999999999</v>
      </c>
      <c r="AD688">
        <v>22.757982753098187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 t="s">
        <v>462</v>
      </c>
      <c r="AL688" t="s">
        <v>6</v>
      </c>
      <c r="AM688" t="s">
        <v>1145</v>
      </c>
      <c r="AN688" t="s">
        <v>1146</v>
      </c>
      <c r="AO688" s="100">
        <v>46262.040405092594</v>
      </c>
      <c r="AP688" t="s">
        <v>1147</v>
      </c>
      <c r="AQ688" t="s">
        <v>2595</v>
      </c>
      <c r="AR688" t="s">
        <v>1201</v>
      </c>
      <c r="AS688" t="s">
        <v>1150</v>
      </c>
      <c r="AT688" t="s">
        <v>2572</v>
      </c>
      <c r="AU688">
        <v>25</v>
      </c>
      <c r="AV688">
        <v>1.0061119999999999</v>
      </c>
      <c r="AW688">
        <v>4.7195482834695102E-2</v>
      </c>
      <c r="AX688">
        <v>4.6908776393378773</v>
      </c>
      <c r="AY688">
        <v>0.33389150767967662</v>
      </c>
      <c r="AZ688">
        <v>8.0738396125871734</v>
      </c>
      <c r="BA688">
        <v>4.780361580393663</v>
      </c>
      <c r="BB688" t="s">
        <v>4619</v>
      </c>
      <c r="BD688" s="98"/>
      <c r="BE688" s="98"/>
      <c r="BF688" t="s">
        <v>1152</v>
      </c>
      <c r="BG688" t="s">
        <v>322</v>
      </c>
      <c r="BH688" t="s">
        <v>1153</v>
      </c>
      <c r="BI688">
        <v>0.33389150767967662</v>
      </c>
      <c r="BJ688" t="s">
        <v>989</v>
      </c>
      <c r="BK688">
        <v>14.684143140511013</v>
      </c>
      <c r="BL688">
        <v>64.523043627458449</v>
      </c>
      <c r="BM688" t="s">
        <v>1260</v>
      </c>
      <c r="BN688" t="s">
        <v>1154</v>
      </c>
      <c r="BO688">
        <v>2025</v>
      </c>
      <c r="BP688" t="s">
        <v>966</v>
      </c>
      <c r="BQ688">
        <v>2361.1498745371719</v>
      </c>
      <c r="BR688">
        <v>99.763885012546282</v>
      </c>
      <c r="BS688" t="s">
        <v>990</v>
      </c>
      <c r="BT688">
        <v>3</v>
      </c>
      <c r="BU688">
        <v>1</v>
      </c>
      <c r="BV688" t="s">
        <v>985</v>
      </c>
      <c r="BW688" t="s">
        <v>943</v>
      </c>
      <c r="BX688" t="s">
        <v>986</v>
      </c>
      <c r="BY688">
        <v>4.3253906902446211</v>
      </c>
      <c r="BZ688" t="s">
        <v>2573</v>
      </c>
      <c r="CA688" t="s">
        <v>989</v>
      </c>
      <c r="CB688" t="b">
        <v>1</v>
      </c>
      <c r="CC688" t="b">
        <v>1</v>
      </c>
      <c r="CD688" t="b">
        <v>1</v>
      </c>
      <c r="CE688" t="b">
        <v>1</v>
      </c>
      <c r="CF688" t="b">
        <v>0</v>
      </c>
    </row>
    <row r="689" spans="1:84" x14ac:dyDescent="0.3">
      <c r="A689" t="s">
        <v>2596</v>
      </c>
      <c r="B689" t="s">
        <v>1203</v>
      </c>
      <c r="C689" s="98">
        <v>45747</v>
      </c>
      <c r="D689">
        <v>2025</v>
      </c>
      <c r="E689">
        <v>3</v>
      </c>
      <c r="F689">
        <v>1</v>
      </c>
      <c r="G689" t="s">
        <v>1187</v>
      </c>
      <c r="H689" t="s">
        <v>139</v>
      </c>
      <c r="I689" t="s">
        <v>139</v>
      </c>
      <c r="J689" t="s">
        <v>6</v>
      </c>
      <c r="L689">
        <v>522611</v>
      </c>
      <c r="M689" s="99" t="s">
        <v>178</v>
      </c>
      <c r="N689">
        <v>1</v>
      </c>
      <c r="O689">
        <v>13</v>
      </c>
      <c r="P689">
        <v>1.0036</v>
      </c>
      <c r="Q689" t="s">
        <v>352</v>
      </c>
      <c r="R689">
        <v>1</v>
      </c>
      <c r="S689">
        <v>1.0047999999999999</v>
      </c>
      <c r="T689">
        <v>4.7E-2</v>
      </c>
      <c r="U689">
        <v>-2.553191489361421E-2</v>
      </c>
      <c r="V689">
        <v>0.8637999999999999</v>
      </c>
      <c r="W689">
        <v>0.91079999999999994</v>
      </c>
      <c r="X689">
        <v>0.95779999999999987</v>
      </c>
      <c r="Y689">
        <v>1.0517999999999998</v>
      </c>
      <c r="Z689">
        <v>1.0988</v>
      </c>
      <c r="AA689">
        <v>1.1457999999999999</v>
      </c>
      <c r="AD689">
        <v>22.757982753098187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 t="s">
        <v>462</v>
      </c>
      <c r="AL689" t="s">
        <v>6</v>
      </c>
      <c r="AM689" t="s">
        <v>1145</v>
      </c>
      <c r="AN689" t="s">
        <v>1146</v>
      </c>
      <c r="AO689" s="100">
        <v>46262.040405092594</v>
      </c>
      <c r="AP689" t="s">
        <v>1147</v>
      </c>
      <c r="AQ689" t="s">
        <v>2597</v>
      </c>
      <c r="AR689" t="s">
        <v>1205</v>
      </c>
      <c r="AS689" t="s">
        <v>1150</v>
      </c>
      <c r="AT689" t="s">
        <v>2572</v>
      </c>
      <c r="AU689">
        <v>25</v>
      </c>
      <c r="AV689">
        <v>1.0061119999999999</v>
      </c>
      <c r="AW689">
        <v>4.7195482834695102E-2</v>
      </c>
      <c r="AX689">
        <v>4.6908776393378773</v>
      </c>
      <c r="AY689">
        <v>0.33389150767967662</v>
      </c>
      <c r="AZ689">
        <v>8.0738396125871734</v>
      </c>
      <c r="BA689">
        <v>4.780361580393663</v>
      </c>
      <c r="BB689" t="s">
        <v>4619</v>
      </c>
      <c r="BD689" s="98"/>
      <c r="BE689" s="98"/>
      <c r="BF689" t="s">
        <v>1152</v>
      </c>
      <c r="BG689" t="s">
        <v>322</v>
      </c>
      <c r="BH689" t="s">
        <v>1153</v>
      </c>
      <c r="BI689">
        <v>0.33389150767967662</v>
      </c>
      <c r="BJ689" t="s">
        <v>989</v>
      </c>
      <c r="BK689">
        <v>14.684143140511013</v>
      </c>
      <c r="BL689">
        <v>64.523043627458449</v>
      </c>
      <c r="BM689" t="s">
        <v>1260</v>
      </c>
      <c r="BN689" t="s">
        <v>1154</v>
      </c>
      <c r="BO689">
        <v>2025</v>
      </c>
      <c r="BP689" t="s">
        <v>966</v>
      </c>
      <c r="BQ689">
        <v>2361.1498745371719</v>
      </c>
      <c r="BR689">
        <v>99.763885012546282</v>
      </c>
      <c r="BS689" t="s">
        <v>990</v>
      </c>
      <c r="BT689">
        <v>3</v>
      </c>
      <c r="BU689">
        <v>1</v>
      </c>
      <c r="BV689" t="s">
        <v>985</v>
      </c>
      <c r="BW689" t="s">
        <v>943</v>
      </c>
      <c r="BX689" t="s">
        <v>986</v>
      </c>
      <c r="BY689">
        <v>4.3253906902446211</v>
      </c>
      <c r="BZ689" t="s">
        <v>2573</v>
      </c>
      <c r="CA689" t="s">
        <v>989</v>
      </c>
      <c r="CB689" t="b">
        <v>1</v>
      </c>
      <c r="CC689" t="b">
        <v>1</v>
      </c>
      <c r="CD689" t="b">
        <v>1</v>
      </c>
      <c r="CE689" t="b">
        <v>1</v>
      </c>
      <c r="CF689" t="b">
        <v>0</v>
      </c>
    </row>
    <row r="690" spans="1:84" x14ac:dyDescent="0.3">
      <c r="A690" t="s">
        <v>2598</v>
      </c>
      <c r="B690" t="s">
        <v>1207</v>
      </c>
      <c r="C690" s="98">
        <v>45754</v>
      </c>
      <c r="D690">
        <v>2025</v>
      </c>
      <c r="E690">
        <v>4</v>
      </c>
      <c r="F690">
        <v>2</v>
      </c>
      <c r="G690" t="s">
        <v>1208</v>
      </c>
      <c r="H690" t="s">
        <v>139</v>
      </c>
      <c r="I690" t="s">
        <v>139</v>
      </c>
      <c r="J690" t="s">
        <v>6</v>
      </c>
      <c r="L690">
        <v>522611</v>
      </c>
      <c r="M690" s="99" t="s">
        <v>178</v>
      </c>
      <c r="N690">
        <v>1</v>
      </c>
      <c r="O690">
        <v>14</v>
      </c>
      <c r="P690">
        <v>0.97009999999999996</v>
      </c>
      <c r="Q690" t="s">
        <v>352</v>
      </c>
      <c r="R690">
        <v>1</v>
      </c>
      <c r="S690">
        <v>1.0047999999999999</v>
      </c>
      <c r="T690">
        <v>4.7E-2</v>
      </c>
      <c r="U690">
        <v>-0.73829787234042454</v>
      </c>
      <c r="V690">
        <v>0.8637999999999999</v>
      </c>
      <c r="W690">
        <v>0.91079999999999994</v>
      </c>
      <c r="X690">
        <v>0.95779999999999987</v>
      </c>
      <c r="Y690">
        <v>1.0517999999999998</v>
      </c>
      <c r="Z690">
        <v>1.0988</v>
      </c>
      <c r="AA690">
        <v>1.1457999999999999</v>
      </c>
      <c r="AD690">
        <v>22.757982753098187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 t="s">
        <v>462</v>
      </c>
      <c r="AL690" t="s">
        <v>6</v>
      </c>
      <c r="AM690" t="s">
        <v>1145</v>
      </c>
      <c r="AN690" t="s">
        <v>1146</v>
      </c>
      <c r="AO690" s="100">
        <v>46262.040405092594</v>
      </c>
      <c r="AP690" t="s">
        <v>1147</v>
      </c>
      <c r="AQ690" t="s">
        <v>2599</v>
      </c>
      <c r="AR690" t="s">
        <v>1210</v>
      </c>
      <c r="AS690" t="s">
        <v>1150</v>
      </c>
      <c r="AT690" t="s">
        <v>2572</v>
      </c>
      <c r="AU690">
        <v>25</v>
      </c>
      <c r="AV690">
        <v>1.0061119999999999</v>
      </c>
      <c r="AW690">
        <v>4.7195482834695102E-2</v>
      </c>
      <c r="AX690">
        <v>4.6908776393378773</v>
      </c>
      <c r="AY690">
        <v>0.33389150767967662</v>
      </c>
      <c r="AZ690">
        <v>8.0738396125871734</v>
      </c>
      <c r="BA690">
        <v>4.780361580393663</v>
      </c>
      <c r="BB690" t="s">
        <v>4619</v>
      </c>
      <c r="BD690" s="98"/>
      <c r="BE690" s="98"/>
      <c r="BF690" t="s">
        <v>1152</v>
      </c>
      <c r="BG690" t="s">
        <v>322</v>
      </c>
      <c r="BH690" t="s">
        <v>1153</v>
      </c>
      <c r="BI690">
        <v>0.33389150767967662</v>
      </c>
      <c r="BJ690" t="s">
        <v>989</v>
      </c>
      <c r="BK690">
        <v>14.684143140511013</v>
      </c>
      <c r="BL690">
        <v>64.523043627458449</v>
      </c>
      <c r="BM690" t="s">
        <v>1260</v>
      </c>
      <c r="BN690" t="s">
        <v>1154</v>
      </c>
      <c r="BO690">
        <v>2025</v>
      </c>
      <c r="BP690" t="s">
        <v>966</v>
      </c>
      <c r="BQ690">
        <v>2361.1498745371719</v>
      </c>
      <c r="BR690">
        <v>99.763885012546282</v>
      </c>
      <c r="BS690" t="s">
        <v>990</v>
      </c>
      <c r="BT690">
        <v>3</v>
      </c>
      <c r="BU690">
        <v>1</v>
      </c>
      <c r="BV690" t="s">
        <v>985</v>
      </c>
      <c r="BW690" t="s">
        <v>943</v>
      </c>
      <c r="BX690" t="s">
        <v>986</v>
      </c>
      <c r="BY690">
        <v>4.3253906902446211</v>
      </c>
      <c r="BZ690" t="s">
        <v>2573</v>
      </c>
      <c r="CA690" t="s">
        <v>989</v>
      </c>
      <c r="CB690" t="b">
        <v>1</v>
      </c>
      <c r="CC690" t="b">
        <v>1</v>
      </c>
      <c r="CD690" t="b">
        <v>1</v>
      </c>
      <c r="CE690" t="b">
        <v>1</v>
      </c>
      <c r="CF690" t="b">
        <v>0</v>
      </c>
    </row>
    <row r="691" spans="1:84" x14ac:dyDescent="0.3">
      <c r="A691" t="s">
        <v>2600</v>
      </c>
      <c r="B691" t="s">
        <v>1212</v>
      </c>
      <c r="C691" s="98">
        <v>45761</v>
      </c>
      <c r="D691">
        <v>2025</v>
      </c>
      <c r="E691">
        <v>4</v>
      </c>
      <c r="F691">
        <v>2</v>
      </c>
      <c r="G691" t="s">
        <v>1208</v>
      </c>
      <c r="H691" t="s">
        <v>139</v>
      </c>
      <c r="I691" t="s">
        <v>139</v>
      </c>
      <c r="J691" t="s">
        <v>6</v>
      </c>
      <c r="L691">
        <v>522611</v>
      </c>
      <c r="M691" s="99" t="s">
        <v>178</v>
      </c>
      <c r="N691">
        <v>1</v>
      </c>
      <c r="O691">
        <v>15</v>
      </c>
      <c r="P691">
        <v>0.98829999999999996</v>
      </c>
      <c r="Q691" t="s">
        <v>352</v>
      </c>
      <c r="R691">
        <v>1</v>
      </c>
      <c r="S691">
        <v>1.0047999999999999</v>
      </c>
      <c r="T691">
        <v>4.7E-2</v>
      </c>
      <c r="U691">
        <v>-0.35106382978723316</v>
      </c>
      <c r="V691">
        <v>0.8637999999999999</v>
      </c>
      <c r="W691">
        <v>0.91079999999999994</v>
      </c>
      <c r="X691">
        <v>0.95779999999999987</v>
      </c>
      <c r="Y691">
        <v>1.0517999999999998</v>
      </c>
      <c r="Z691">
        <v>1.0988</v>
      </c>
      <c r="AA691">
        <v>1.1457999999999999</v>
      </c>
      <c r="AD691">
        <v>22.757982753098187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 t="s">
        <v>462</v>
      </c>
      <c r="AL691" t="s">
        <v>6</v>
      </c>
      <c r="AM691" t="s">
        <v>1145</v>
      </c>
      <c r="AN691" t="s">
        <v>1146</v>
      </c>
      <c r="AO691" s="100">
        <v>46262.040405092594</v>
      </c>
      <c r="AP691" t="s">
        <v>1147</v>
      </c>
      <c r="AQ691" t="s">
        <v>2601</v>
      </c>
      <c r="AR691" t="s">
        <v>1215</v>
      </c>
      <c r="AS691" t="s">
        <v>1150</v>
      </c>
      <c r="AT691" t="s">
        <v>2572</v>
      </c>
      <c r="AU691">
        <v>25</v>
      </c>
      <c r="AV691">
        <v>1.0061119999999999</v>
      </c>
      <c r="AW691">
        <v>4.7195482834695102E-2</v>
      </c>
      <c r="AX691">
        <v>4.6908776393378773</v>
      </c>
      <c r="AY691">
        <v>0.33389150767967662</v>
      </c>
      <c r="AZ691">
        <v>8.0738396125871734</v>
      </c>
      <c r="BA691">
        <v>4.780361580393663</v>
      </c>
      <c r="BB691" t="s">
        <v>4619</v>
      </c>
      <c r="BD691" s="98"/>
      <c r="BE691" s="98"/>
      <c r="BF691" t="s">
        <v>1152</v>
      </c>
      <c r="BG691" t="s">
        <v>322</v>
      </c>
      <c r="BH691" t="s">
        <v>1153</v>
      </c>
      <c r="BI691">
        <v>0.33389150767967662</v>
      </c>
      <c r="BJ691" t="s">
        <v>989</v>
      </c>
      <c r="BK691">
        <v>14.684143140511013</v>
      </c>
      <c r="BL691">
        <v>64.523043627458449</v>
      </c>
      <c r="BM691" t="s">
        <v>1260</v>
      </c>
      <c r="BN691" t="s">
        <v>1154</v>
      </c>
      <c r="BO691">
        <v>2025</v>
      </c>
      <c r="BP691" t="s">
        <v>966</v>
      </c>
      <c r="BQ691">
        <v>2361.1498745371719</v>
      </c>
      <c r="BR691">
        <v>99.763885012546282</v>
      </c>
      <c r="BS691" t="s">
        <v>990</v>
      </c>
      <c r="BT691">
        <v>3</v>
      </c>
      <c r="BU691">
        <v>1</v>
      </c>
      <c r="BV691" t="s">
        <v>985</v>
      </c>
      <c r="BW691" t="s">
        <v>943</v>
      </c>
      <c r="BX691" t="s">
        <v>986</v>
      </c>
      <c r="BY691">
        <v>4.3253906902446211</v>
      </c>
      <c r="BZ691" t="s">
        <v>2573</v>
      </c>
      <c r="CA691" t="s">
        <v>989</v>
      </c>
      <c r="CB691" t="b">
        <v>1</v>
      </c>
      <c r="CC691" t="b">
        <v>1</v>
      </c>
      <c r="CD691" t="b">
        <v>1</v>
      </c>
      <c r="CE691" t="b">
        <v>1</v>
      </c>
      <c r="CF691" t="b">
        <v>0</v>
      </c>
    </row>
    <row r="692" spans="1:84" x14ac:dyDescent="0.3">
      <c r="A692" t="s">
        <v>2602</v>
      </c>
      <c r="B692" t="s">
        <v>1217</v>
      </c>
      <c r="C692" s="98">
        <v>45768</v>
      </c>
      <c r="D692">
        <v>2025</v>
      </c>
      <c r="E692">
        <v>4</v>
      </c>
      <c r="F692">
        <v>2</v>
      </c>
      <c r="G692" t="s">
        <v>1208</v>
      </c>
      <c r="H692" t="s">
        <v>139</v>
      </c>
      <c r="I692" t="s">
        <v>139</v>
      </c>
      <c r="J692" t="s">
        <v>6</v>
      </c>
      <c r="L692">
        <v>522611</v>
      </c>
      <c r="M692" s="99" t="s">
        <v>178</v>
      </c>
      <c r="N692">
        <v>1</v>
      </c>
      <c r="O692">
        <v>16</v>
      </c>
      <c r="P692">
        <v>0.99439999999999995</v>
      </c>
      <c r="Q692" t="s">
        <v>352</v>
      </c>
      <c r="R692">
        <v>1</v>
      </c>
      <c r="S692">
        <v>1.0047999999999999</v>
      </c>
      <c r="T692">
        <v>4.7E-2</v>
      </c>
      <c r="U692">
        <v>-0.22127659574468012</v>
      </c>
      <c r="V692">
        <v>0.8637999999999999</v>
      </c>
      <c r="W692">
        <v>0.91079999999999994</v>
      </c>
      <c r="X692">
        <v>0.95779999999999987</v>
      </c>
      <c r="Y692">
        <v>1.0517999999999998</v>
      </c>
      <c r="Z692">
        <v>1.0988</v>
      </c>
      <c r="AA692">
        <v>1.1457999999999999</v>
      </c>
      <c r="AD692">
        <v>22.757982753098187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 t="s">
        <v>462</v>
      </c>
      <c r="AL692" t="s">
        <v>6</v>
      </c>
      <c r="AM692" t="s">
        <v>1145</v>
      </c>
      <c r="AN692" t="s">
        <v>1146</v>
      </c>
      <c r="AO692" s="100">
        <v>46262.040405092594</v>
      </c>
      <c r="AP692" t="s">
        <v>1147</v>
      </c>
      <c r="AQ692" t="s">
        <v>2603</v>
      </c>
      <c r="AR692" t="s">
        <v>1219</v>
      </c>
      <c r="AS692" t="s">
        <v>1150</v>
      </c>
      <c r="AT692" t="s">
        <v>2572</v>
      </c>
      <c r="AU692">
        <v>25</v>
      </c>
      <c r="AV692">
        <v>1.0061119999999999</v>
      </c>
      <c r="AW692">
        <v>4.7195482834695102E-2</v>
      </c>
      <c r="AX692">
        <v>4.6908776393378773</v>
      </c>
      <c r="AY692">
        <v>0.33389150767967662</v>
      </c>
      <c r="AZ692">
        <v>8.0738396125871734</v>
      </c>
      <c r="BA692">
        <v>4.780361580393663</v>
      </c>
      <c r="BB692" t="s">
        <v>4619</v>
      </c>
      <c r="BD692" s="98"/>
      <c r="BE692" s="98"/>
      <c r="BF692" t="s">
        <v>1152</v>
      </c>
      <c r="BG692" t="s">
        <v>322</v>
      </c>
      <c r="BH692" t="s">
        <v>1153</v>
      </c>
      <c r="BI692">
        <v>0.33389150767967662</v>
      </c>
      <c r="BJ692" t="s">
        <v>989</v>
      </c>
      <c r="BK692">
        <v>14.684143140511013</v>
      </c>
      <c r="BL692">
        <v>64.523043627458449</v>
      </c>
      <c r="BM692" t="s">
        <v>1260</v>
      </c>
      <c r="BN692" t="s">
        <v>1154</v>
      </c>
      <c r="BO692">
        <v>2025</v>
      </c>
      <c r="BP692" t="s">
        <v>966</v>
      </c>
      <c r="BQ692">
        <v>2361.1498745371719</v>
      </c>
      <c r="BR692">
        <v>99.763885012546282</v>
      </c>
      <c r="BS692" t="s">
        <v>990</v>
      </c>
      <c r="BT692">
        <v>3</v>
      </c>
      <c r="BU692">
        <v>1</v>
      </c>
      <c r="BV692" t="s">
        <v>985</v>
      </c>
      <c r="BW692" t="s">
        <v>943</v>
      </c>
      <c r="BX692" t="s">
        <v>986</v>
      </c>
      <c r="BY692">
        <v>4.3253906902446211</v>
      </c>
      <c r="BZ692" t="s">
        <v>2573</v>
      </c>
      <c r="CA692" t="s">
        <v>989</v>
      </c>
      <c r="CB692" t="b">
        <v>1</v>
      </c>
      <c r="CC692" t="b">
        <v>1</v>
      </c>
      <c r="CD692" t="b">
        <v>1</v>
      </c>
      <c r="CE692" t="b">
        <v>1</v>
      </c>
      <c r="CF692" t="b">
        <v>0</v>
      </c>
    </row>
    <row r="693" spans="1:84" x14ac:dyDescent="0.3">
      <c r="A693" t="s">
        <v>2604</v>
      </c>
      <c r="B693" t="s">
        <v>1221</v>
      </c>
      <c r="C693" s="98">
        <v>45775</v>
      </c>
      <c r="D693">
        <v>2025</v>
      </c>
      <c r="E693">
        <v>4</v>
      </c>
      <c r="F693">
        <v>2</v>
      </c>
      <c r="G693" t="s">
        <v>1208</v>
      </c>
      <c r="H693" t="s">
        <v>139</v>
      </c>
      <c r="I693" t="s">
        <v>139</v>
      </c>
      <c r="J693" t="s">
        <v>6</v>
      </c>
      <c r="L693">
        <v>522611</v>
      </c>
      <c r="M693" s="99" t="s">
        <v>178</v>
      </c>
      <c r="N693">
        <v>1</v>
      </c>
      <c r="O693">
        <v>17</v>
      </c>
      <c r="P693">
        <v>1.0378000000000001</v>
      </c>
      <c r="Q693" t="s">
        <v>352</v>
      </c>
      <c r="R693">
        <v>1</v>
      </c>
      <c r="S693">
        <v>1.0047999999999999</v>
      </c>
      <c r="T693">
        <v>4.7E-2</v>
      </c>
      <c r="U693">
        <v>0.7021276595744711</v>
      </c>
      <c r="V693">
        <v>0.8637999999999999</v>
      </c>
      <c r="W693">
        <v>0.91079999999999994</v>
      </c>
      <c r="X693">
        <v>0.95779999999999987</v>
      </c>
      <c r="Y693">
        <v>1.0517999999999998</v>
      </c>
      <c r="Z693">
        <v>1.0988</v>
      </c>
      <c r="AA693">
        <v>1.1457999999999999</v>
      </c>
      <c r="AD693">
        <v>22.757982753098187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 t="s">
        <v>462</v>
      </c>
      <c r="AL693" t="s">
        <v>6</v>
      </c>
      <c r="AM693" t="s">
        <v>1145</v>
      </c>
      <c r="AN693" t="s">
        <v>1146</v>
      </c>
      <c r="AO693" s="100">
        <v>46262.040405092594</v>
      </c>
      <c r="AP693" t="s">
        <v>1147</v>
      </c>
      <c r="AQ693" t="s">
        <v>2605</v>
      </c>
      <c r="AR693" t="s">
        <v>1223</v>
      </c>
      <c r="AS693" t="s">
        <v>1150</v>
      </c>
      <c r="AT693" t="s">
        <v>2572</v>
      </c>
      <c r="AU693">
        <v>25</v>
      </c>
      <c r="AV693">
        <v>1.0061119999999999</v>
      </c>
      <c r="AW693">
        <v>4.7195482834695102E-2</v>
      </c>
      <c r="AX693">
        <v>4.6908776393378773</v>
      </c>
      <c r="AY693">
        <v>0.33389150767967662</v>
      </c>
      <c r="AZ693">
        <v>8.0738396125871734</v>
      </c>
      <c r="BA693">
        <v>4.780361580393663</v>
      </c>
      <c r="BB693" t="s">
        <v>4619</v>
      </c>
      <c r="BD693" s="98"/>
      <c r="BE693" s="98"/>
      <c r="BF693" t="s">
        <v>1152</v>
      </c>
      <c r="BG693" t="s">
        <v>322</v>
      </c>
      <c r="BH693" t="s">
        <v>1153</v>
      </c>
      <c r="BI693">
        <v>0.33389150767967662</v>
      </c>
      <c r="BJ693" t="s">
        <v>989</v>
      </c>
      <c r="BK693">
        <v>14.684143140511013</v>
      </c>
      <c r="BL693">
        <v>64.523043627458449</v>
      </c>
      <c r="BM693" t="s">
        <v>1260</v>
      </c>
      <c r="BN693" t="s">
        <v>1154</v>
      </c>
      <c r="BO693">
        <v>2025</v>
      </c>
      <c r="BP693" t="s">
        <v>966</v>
      </c>
      <c r="BQ693">
        <v>2361.1498745371719</v>
      </c>
      <c r="BR693">
        <v>99.763885012546282</v>
      </c>
      <c r="BS693" t="s">
        <v>990</v>
      </c>
      <c r="BT693">
        <v>3</v>
      </c>
      <c r="BU693">
        <v>1</v>
      </c>
      <c r="BV693" t="s">
        <v>985</v>
      </c>
      <c r="BW693" t="s">
        <v>943</v>
      </c>
      <c r="BX693" t="s">
        <v>986</v>
      </c>
      <c r="BY693">
        <v>4.3253906902446211</v>
      </c>
      <c r="BZ693" t="s">
        <v>2573</v>
      </c>
      <c r="CA693" t="s">
        <v>989</v>
      </c>
      <c r="CB693" t="b">
        <v>1</v>
      </c>
      <c r="CC693" t="b">
        <v>1</v>
      </c>
      <c r="CD693" t="b">
        <v>1</v>
      </c>
      <c r="CE693" t="b">
        <v>1</v>
      </c>
      <c r="CF693" t="b">
        <v>0</v>
      </c>
    </row>
    <row r="694" spans="1:84" x14ac:dyDescent="0.3">
      <c r="A694" t="s">
        <v>2606</v>
      </c>
      <c r="B694" t="s">
        <v>1225</v>
      </c>
      <c r="C694" s="98">
        <v>45782</v>
      </c>
      <c r="D694">
        <v>2025</v>
      </c>
      <c r="E694">
        <v>5</v>
      </c>
      <c r="F694">
        <v>2</v>
      </c>
      <c r="G694" t="s">
        <v>1226</v>
      </c>
      <c r="H694" t="s">
        <v>139</v>
      </c>
      <c r="I694" t="s">
        <v>139</v>
      </c>
      <c r="J694" t="s">
        <v>6</v>
      </c>
      <c r="L694">
        <v>522611</v>
      </c>
      <c r="M694" s="99" t="s">
        <v>178</v>
      </c>
      <c r="N694">
        <v>1</v>
      </c>
      <c r="O694">
        <v>18</v>
      </c>
      <c r="P694">
        <v>0.92979999999999996</v>
      </c>
      <c r="Q694" t="s">
        <v>352</v>
      </c>
      <c r="R694">
        <v>1</v>
      </c>
      <c r="S694">
        <v>1.0047999999999999</v>
      </c>
      <c r="T694">
        <v>4.7E-2</v>
      </c>
      <c r="U694">
        <v>-1.5957446808510629</v>
      </c>
      <c r="V694">
        <v>0.8637999999999999</v>
      </c>
      <c r="W694">
        <v>0.91079999999999994</v>
      </c>
      <c r="X694">
        <v>0.95779999999999987</v>
      </c>
      <c r="Y694">
        <v>1.0517999999999998</v>
      </c>
      <c r="Z694">
        <v>1.0988</v>
      </c>
      <c r="AA694">
        <v>1.1457999999999999</v>
      </c>
      <c r="AD694">
        <v>22.757982753098187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 t="s">
        <v>462</v>
      </c>
      <c r="AL694" t="s">
        <v>6</v>
      </c>
      <c r="AM694" t="s">
        <v>1145</v>
      </c>
      <c r="AN694" t="s">
        <v>1146</v>
      </c>
      <c r="AO694" s="100">
        <v>46262.040405092594</v>
      </c>
      <c r="AP694" t="s">
        <v>1147</v>
      </c>
      <c r="AQ694" t="s">
        <v>2607</v>
      </c>
      <c r="AR694" t="s">
        <v>1228</v>
      </c>
      <c r="AS694" t="s">
        <v>1150</v>
      </c>
      <c r="AT694" t="s">
        <v>2572</v>
      </c>
      <c r="AU694">
        <v>25</v>
      </c>
      <c r="AV694">
        <v>1.0061119999999999</v>
      </c>
      <c r="AW694">
        <v>4.7195482834695102E-2</v>
      </c>
      <c r="AX694">
        <v>4.6908776393378773</v>
      </c>
      <c r="AY694">
        <v>0.33389150767967662</v>
      </c>
      <c r="AZ694">
        <v>8.0738396125871734</v>
      </c>
      <c r="BA694">
        <v>4.780361580393663</v>
      </c>
      <c r="BB694" t="s">
        <v>4619</v>
      </c>
      <c r="BD694" s="98"/>
      <c r="BE694" s="98"/>
      <c r="BF694" t="s">
        <v>1152</v>
      </c>
      <c r="BG694" t="s">
        <v>322</v>
      </c>
      <c r="BH694" t="s">
        <v>1153</v>
      </c>
      <c r="BI694">
        <v>0.33389150767967662</v>
      </c>
      <c r="BJ694" t="s">
        <v>989</v>
      </c>
      <c r="BK694">
        <v>14.684143140511013</v>
      </c>
      <c r="BL694">
        <v>64.523043627458449</v>
      </c>
      <c r="BM694" t="s">
        <v>1260</v>
      </c>
      <c r="BN694" t="s">
        <v>1154</v>
      </c>
      <c r="BO694">
        <v>2025</v>
      </c>
      <c r="BP694" t="s">
        <v>966</v>
      </c>
      <c r="BQ694">
        <v>2361.1498745371719</v>
      </c>
      <c r="BR694">
        <v>99.763885012546282</v>
      </c>
      <c r="BS694" t="s">
        <v>990</v>
      </c>
      <c r="BT694">
        <v>3</v>
      </c>
      <c r="BU694">
        <v>1</v>
      </c>
      <c r="BV694" t="s">
        <v>985</v>
      </c>
      <c r="BW694" t="s">
        <v>943</v>
      </c>
      <c r="BX694" t="s">
        <v>986</v>
      </c>
      <c r="BY694">
        <v>4.3253906902446211</v>
      </c>
      <c r="BZ694" t="s">
        <v>2573</v>
      </c>
      <c r="CA694" t="s">
        <v>989</v>
      </c>
      <c r="CB694" t="b">
        <v>1</v>
      </c>
      <c r="CC694" t="b">
        <v>1</v>
      </c>
      <c r="CD694" t="b">
        <v>1</v>
      </c>
      <c r="CE694" t="b">
        <v>1</v>
      </c>
      <c r="CF694" t="b">
        <v>0</v>
      </c>
    </row>
    <row r="695" spans="1:84" x14ac:dyDescent="0.3">
      <c r="A695" t="s">
        <v>2608</v>
      </c>
      <c r="B695" t="s">
        <v>1230</v>
      </c>
      <c r="C695" s="98">
        <v>45789</v>
      </c>
      <c r="D695">
        <v>2025</v>
      </c>
      <c r="E695">
        <v>5</v>
      </c>
      <c r="F695">
        <v>2</v>
      </c>
      <c r="G695" t="s">
        <v>1226</v>
      </c>
      <c r="H695" t="s">
        <v>139</v>
      </c>
      <c r="I695" t="s">
        <v>139</v>
      </c>
      <c r="J695" t="s">
        <v>6</v>
      </c>
      <c r="L695">
        <v>522611</v>
      </c>
      <c r="M695" s="99" t="s">
        <v>178</v>
      </c>
      <c r="N695">
        <v>1</v>
      </c>
      <c r="O695">
        <v>19</v>
      </c>
      <c r="P695">
        <v>0.95609999999999995</v>
      </c>
      <c r="Q695" t="s">
        <v>352</v>
      </c>
      <c r="R695">
        <v>1</v>
      </c>
      <c r="S695">
        <v>1.0047999999999999</v>
      </c>
      <c r="T695">
        <v>4.7E-2</v>
      </c>
      <c r="U695">
        <v>-1.0361702127659567</v>
      </c>
      <c r="V695">
        <v>0.8637999999999999</v>
      </c>
      <c r="W695">
        <v>0.91079999999999994</v>
      </c>
      <c r="X695">
        <v>0.95779999999999987</v>
      </c>
      <c r="Y695">
        <v>1.0517999999999998</v>
      </c>
      <c r="Z695">
        <v>1.0988</v>
      </c>
      <c r="AA695">
        <v>1.1457999999999999</v>
      </c>
      <c r="AD695">
        <v>22.757982753098187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 t="s">
        <v>462</v>
      </c>
      <c r="AL695" t="s">
        <v>6</v>
      </c>
      <c r="AM695" t="s">
        <v>1145</v>
      </c>
      <c r="AN695" t="s">
        <v>1146</v>
      </c>
      <c r="AO695" s="100">
        <v>46262.040405092594</v>
      </c>
      <c r="AP695" t="s">
        <v>1147</v>
      </c>
      <c r="AQ695" t="s">
        <v>2609</v>
      </c>
      <c r="AR695" t="s">
        <v>1232</v>
      </c>
      <c r="AS695" t="s">
        <v>1150</v>
      </c>
      <c r="AT695" t="s">
        <v>2572</v>
      </c>
      <c r="AU695">
        <v>25</v>
      </c>
      <c r="AV695">
        <v>1.0061119999999999</v>
      </c>
      <c r="AW695">
        <v>4.7195482834695102E-2</v>
      </c>
      <c r="AX695">
        <v>4.6908776393378773</v>
      </c>
      <c r="AY695">
        <v>0.33389150767967662</v>
      </c>
      <c r="AZ695">
        <v>8.0738396125871734</v>
      </c>
      <c r="BA695">
        <v>4.780361580393663</v>
      </c>
      <c r="BB695" t="s">
        <v>4619</v>
      </c>
      <c r="BD695" s="98"/>
      <c r="BE695" s="98"/>
      <c r="BF695" t="s">
        <v>1152</v>
      </c>
      <c r="BG695" t="s">
        <v>322</v>
      </c>
      <c r="BH695" t="s">
        <v>1153</v>
      </c>
      <c r="BI695">
        <v>0.33389150767967662</v>
      </c>
      <c r="BJ695" t="s">
        <v>989</v>
      </c>
      <c r="BK695">
        <v>14.684143140511013</v>
      </c>
      <c r="BL695">
        <v>64.523043627458449</v>
      </c>
      <c r="BM695" t="s">
        <v>1260</v>
      </c>
      <c r="BN695" t="s">
        <v>1154</v>
      </c>
      <c r="BO695">
        <v>2025</v>
      </c>
      <c r="BP695" t="s">
        <v>966</v>
      </c>
      <c r="BQ695">
        <v>2361.1498745371719</v>
      </c>
      <c r="BR695">
        <v>99.763885012546282</v>
      </c>
      <c r="BS695" t="s">
        <v>990</v>
      </c>
      <c r="BT695">
        <v>3</v>
      </c>
      <c r="BU695">
        <v>1</v>
      </c>
      <c r="BV695" t="s">
        <v>985</v>
      </c>
      <c r="BW695" t="s">
        <v>943</v>
      </c>
      <c r="BX695" t="s">
        <v>986</v>
      </c>
      <c r="BY695">
        <v>4.3253906902446211</v>
      </c>
      <c r="BZ695" t="s">
        <v>2573</v>
      </c>
      <c r="CA695" t="s">
        <v>989</v>
      </c>
      <c r="CB695" t="b">
        <v>1</v>
      </c>
      <c r="CC695" t="b">
        <v>1</v>
      </c>
      <c r="CD695" t="b">
        <v>1</v>
      </c>
      <c r="CE695" t="b">
        <v>1</v>
      </c>
      <c r="CF695" t="b">
        <v>0</v>
      </c>
    </row>
    <row r="696" spans="1:84" x14ac:dyDescent="0.3">
      <c r="A696" t="s">
        <v>2610</v>
      </c>
      <c r="B696" t="s">
        <v>1234</v>
      </c>
      <c r="C696" s="98">
        <v>45796</v>
      </c>
      <c r="D696">
        <v>2025</v>
      </c>
      <c r="E696">
        <v>5</v>
      </c>
      <c r="F696">
        <v>2</v>
      </c>
      <c r="G696" t="s">
        <v>1226</v>
      </c>
      <c r="H696" t="s">
        <v>139</v>
      </c>
      <c r="I696" t="s">
        <v>139</v>
      </c>
      <c r="J696" t="s">
        <v>6</v>
      </c>
      <c r="L696">
        <v>522611</v>
      </c>
      <c r="M696" s="99" t="s">
        <v>178</v>
      </c>
      <c r="N696">
        <v>1</v>
      </c>
      <c r="O696">
        <v>20</v>
      </c>
      <c r="P696">
        <v>0.98699999999999999</v>
      </c>
      <c r="Q696" t="s">
        <v>352</v>
      </c>
      <c r="R696">
        <v>1</v>
      </c>
      <c r="S696">
        <v>1.0047999999999999</v>
      </c>
      <c r="T696">
        <v>4.7E-2</v>
      </c>
      <c r="U696">
        <v>-0.37872340425531759</v>
      </c>
      <c r="V696">
        <v>0.8637999999999999</v>
      </c>
      <c r="W696">
        <v>0.91079999999999994</v>
      </c>
      <c r="X696">
        <v>0.95779999999999987</v>
      </c>
      <c r="Y696">
        <v>1.0517999999999998</v>
      </c>
      <c r="Z696">
        <v>1.0988</v>
      </c>
      <c r="AA696">
        <v>1.1457999999999999</v>
      </c>
      <c r="AD696">
        <v>22.757982753098187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 t="s">
        <v>462</v>
      </c>
      <c r="AL696" t="s">
        <v>6</v>
      </c>
      <c r="AM696" t="s">
        <v>1145</v>
      </c>
      <c r="AN696" t="s">
        <v>1146</v>
      </c>
      <c r="AO696" s="100">
        <v>46262.040405092594</v>
      </c>
      <c r="AP696" t="s">
        <v>1147</v>
      </c>
      <c r="AQ696" t="s">
        <v>2611</v>
      </c>
      <c r="AR696" t="s">
        <v>1236</v>
      </c>
      <c r="AS696" t="s">
        <v>1150</v>
      </c>
      <c r="AT696" t="s">
        <v>2572</v>
      </c>
      <c r="AU696">
        <v>25</v>
      </c>
      <c r="AV696">
        <v>1.0061119999999999</v>
      </c>
      <c r="AW696">
        <v>4.7195482834695102E-2</v>
      </c>
      <c r="AX696">
        <v>4.6908776393378773</v>
      </c>
      <c r="AY696">
        <v>0.33389150767967662</v>
      </c>
      <c r="AZ696">
        <v>8.0738396125871734</v>
      </c>
      <c r="BA696">
        <v>4.780361580393663</v>
      </c>
      <c r="BB696" t="s">
        <v>4619</v>
      </c>
      <c r="BD696" s="98"/>
      <c r="BE696" s="98"/>
      <c r="BF696" t="s">
        <v>1152</v>
      </c>
      <c r="BG696" t="s">
        <v>322</v>
      </c>
      <c r="BH696" t="s">
        <v>1153</v>
      </c>
      <c r="BI696">
        <v>0.33389150767967662</v>
      </c>
      <c r="BJ696" t="s">
        <v>989</v>
      </c>
      <c r="BK696">
        <v>14.684143140511013</v>
      </c>
      <c r="BL696">
        <v>64.523043627458449</v>
      </c>
      <c r="BM696" t="s">
        <v>1260</v>
      </c>
      <c r="BN696" t="s">
        <v>1154</v>
      </c>
      <c r="BO696">
        <v>2025</v>
      </c>
      <c r="BP696" t="s">
        <v>966</v>
      </c>
      <c r="BQ696">
        <v>2361.1498745371719</v>
      </c>
      <c r="BR696">
        <v>99.763885012546282</v>
      </c>
      <c r="BS696" t="s">
        <v>990</v>
      </c>
      <c r="BT696">
        <v>3</v>
      </c>
      <c r="BU696">
        <v>1</v>
      </c>
      <c r="BV696" t="s">
        <v>985</v>
      </c>
      <c r="BW696" t="s">
        <v>943</v>
      </c>
      <c r="BX696" t="s">
        <v>986</v>
      </c>
      <c r="BY696">
        <v>4.3253906902446211</v>
      </c>
      <c r="BZ696" t="s">
        <v>2573</v>
      </c>
      <c r="CA696" t="s">
        <v>989</v>
      </c>
      <c r="CB696" t="b">
        <v>1</v>
      </c>
      <c r="CC696" t="b">
        <v>1</v>
      </c>
      <c r="CD696" t="b">
        <v>1</v>
      </c>
      <c r="CE696" t="b">
        <v>1</v>
      </c>
      <c r="CF696" t="b">
        <v>0</v>
      </c>
    </row>
    <row r="697" spans="1:84" x14ac:dyDescent="0.3">
      <c r="A697" t="s">
        <v>2612</v>
      </c>
      <c r="B697" t="s">
        <v>1238</v>
      </c>
      <c r="C697" s="98">
        <v>45803</v>
      </c>
      <c r="D697">
        <v>2025</v>
      </c>
      <c r="E697">
        <v>5</v>
      </c>
      <c r="F697">
        <v>2</v>
      </c>
      <c r="G697" t="s">
        <v>1226</v>
      </c>
      <c r="H697" t="s">
        <v>139</v>
      </c>
      <c r="I697" t="s">
        <v>139</v>
      </c>
      <c r="J697" t="s">
        <v>6</v>
      </c>
      <c r="L697">
        <v>522611</v>
      </c>
      <c r="M697" s="99" t="s">
        <v>178</v>
      </c>
      <c r="N697">
        <v>1</v>
      </c>
      <c r="O697">
        <v>21</v>
      </c>
      <c r="P697">
        <v>1.1238999999999999</v>
      </c>
      <c r="Q697" t="s">
        <v>352</v>
      </c>
      <c r="R697">
        <v>1</v>
      </c>
      <c r="S697">
        <v>1.0047999999999999</v>
      </c>
      <c r="T697">
        <v>4.7E-2</v>
      </c>
      <c r="U697">
        <v>2.534042553191489</v>
      </c>
      <c r="V697">
        <v>0.8637999999999999</v>
      </c>
      <c r="W697">
        <v>0.91079999999999994</v>
      </c>
      <c r="X697">
        <v>0.95779999999999987</v>
      </c>
      <c r="Y697">
        <v>1.0517999999999998</v>
      </c>
      <c r="Z697">
        <v>1.0988</v>
      </c>
      <c r="AA697">
        <v>1.1457999999999999</v>
      </c>
      <c r="AD697">
        <v>22.757982753098187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1</v>
      </c>
      <c r="AK697" t="s">
        <v>462</v>
      </c>
      <c r="AL697" t="s">
        <v>6</v>
      </c>
      <c r="AM697" t="s">
        <v>1145</v>
      </c>
      <c r="AN697" t="s">
        <v>1146</v>
      </c>
      <c r="AO697" s="100">
        <v>46262.040405092594</v>
      </c>
      <c r="AP697" t="s">
        <v>1147</v>
      </c>
      <c r="AQ697" t="s">
        <v>2613</v>
      </c>
      <c r="AR697" t="s">
        <v>1240</v>
      </c>
      <c r="AS697" t="s">
        <v>1150</v>
      </c>
      <c r="AT697" t="s">
        <v>2572</v>
      </c>
      <c r="AU697">
        <v>25</v>
      </c>
      <c r="AV697">
        <v>1.0061119999999999</v>
      </c>
      <c r="AW697">
        <v>4.7195482834695102E-2</v>
      </c>
      <c r="AX697">
        <v>4.6908776393378773</v>
      </c>
      <c r="AY697">
        <v>0.33389150767967662</v>
      </c>
      <c r="AZ697">
        <v>8.0738396125871734</v>
      </c>
      <c r="BA697">
        <v>4.780361580393663</v>
      </c>
      <c r="BB697" t="s">
        <v>4619</v>
      </c>
      <c r="BD697" s="98"/>
      <c r="BE697" s="98"/>
      <c r="BF697" t="s">
        <v>1152</v>
      </c>
      <c r="BG697" t="s">
        <v>322</v>
      </c>
      <c r="BH697" t="s">
        <v>1153</v>
      </c>
      <c r="BI697">
        <v>0.33389150767967662</v>
      </c>
      <c r="BJ697" t="s">
        <v>989</v>
      </c>
      <c r="BK697">
        <v>14.684143140511013</v>
      </c>
      <c r="BL697">
        <v>64.523043627458449</v>
      </c>
      <c r="BM697" t="s">
        <v>1260</v>
      </c>
      <c r="BN697" t="s">
        <v>1154</v>
      </c>
      <c r="BO697">
        <v>2025</v>
      </c>
      <c r="BP697" t="s">
        <v>966</v>
      </c>
      <c r="BQ697">
        <v>2361.1498745371719</v>
      </c>
      <c r="BR697">
        <v>99.763885012546282</v>
      </c>
      <c r="BS697" t="s">
        <v>990</v>
      </c>
      <c r="BT697">
        <v>3</v>
      </c>
      <c r="BU697">
        <v>1</v>
      </c>
      <c r="BV697" t="s">
        <v>985</v>
      </c>
      <c r="BW697" t="s">
        <v>943</v>
      </c>
      <c r="BX697" t="s">
        <v>986</v>
      </c>
      <c r="BY697">
        <v>4.3253906902446211</v>
      </c>
      <c r="BZ697" t="s">
        <v>2573</v>
      </c>
      <c r="CA697" t="s">
        <v>989</v>
      </c>
      <c r="CB697" t="b">
        <v>1</v>
      </c>
      <c r="CC697" t="b">
        <v>1</v>
      </c>
      <c r="CD697" t="b">
        <v>1</v>
      </c>
      <c r="CE697" t="b">
        <v>1</v>
      </c>
      <c r="CF697" t="b">
        <v>0</v>
      </c>
    </row>
    <row r="698" spans="1:84" x14ac:dyDescent="0.3">
      <c r="A698" t="s">
        <v>2614</v>
      </c>
      <c r="B698" t="s">
        <v>1242</v>
      </c>
      <c r="C698" s="98">
        <v>45810</v>
      </c>
      <c r="D698">
        <v>2025</v>
      </c>
      <c r="E698">
        <v>6</v>
      </c>
      <c r="F698">
        <v>2</v>
      </c>
      <c r="G698" t="s">
        <v>1243</v>
      </c>
      <c r="H698" t="s">
        <v>139</v>
      </c>
      <c r="I698" t="s">
        <v>139</v>
      </c>
      <c r="J698" t="s">
        <v>6</v>
      </c>
      <c r="L698">
        <v>522611</v>
      </c>
      <c r="M698" s="99" t="s">
        <v>178</v>
      </c>
      <c r="N698">
        <v>1</v>
      </c>
      <c r="O698">
        <v>22</v>
      </c>
      <c r="P698">
        <v>1.0498000000000001</v>
      </c>
      <c r="Q698" t="s">
        <v>352</v>
      </c>
      <c r="R698">
        <v>1</v>
      </c>
      <c r="S698">
        <v>1.0047999999999999</v>
      </c>
      <c r="T698">
        <v>4.7E-2</v>
      </c>
      <c r="U698">
        <v>0.95744680851064146</v>
      </c>
      <c r="V698">
        <v>0.8637999999999999</v>
      </c>
      <c r="W698">
        <v>0.91079999999999994</v>
      </c>
      <c r="X698">
        <v>0.95779999999999987</v>
      </c>
      <c r="Y698">
        <v>1.0517999999999998</v>
      </c>
      <c r="Z698">
        <v>1.0988</v>
      </c>
      <c r="AA698">
        <v>1.1457999999999999</v>
      </c>
      <c r="AD698">
        <v>22.757982753098187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 t="s">
        <v>462</v>
      </c>
      <c r="AL698" t="s">
        <v>6</v>
      </c>
      <c r="AM698" t="s">
        <v>1145</v>
      </c>
      <c r="AN698" t="s">
        <v>1146</v>
      </c>
      <c r="AO698" s="100">
        <v>46262.040405092594</v>
      </c>
      <c r="AP698" t="s">
        <v>1147</v>
      </c>
      <c r="AQ698" t="s">
        <v>2615</v>
      </c>
      <c r="AR698" t="s">
        <v>1245</v>
      </c>
      <c r="AS698" t="s">
        <v>1150</v>
      </c>
      <c r="AT698" t="s">
        <v>2572</v>
      </c>
      <c r="AU698">
        <v>25</v>
      </c>
      <c r="AV698">
        <v>1.0061119999999999</v>
      </c>
      <c r="AW698">
        <v>4.7195482834695102E-2</v>
      </c>
      <c r="AX698">
        <v>4.6908776393378773</v>
      </c>
      <c r="AY698">
        <v>0.33389150767967662</v>
      </c>
      <c r="AZ698">
        <v>8.0738396125871734</v>
      </c>
      <c r="BA698">
        <v>4.780361580393663</v>
      </c>
      <c r="BB698" t="s">
        <v>4619</v>
      </c>
      <c r="BD698" s="98"/>
      <c r="BE698" s="98"/>
      <c r="BF698" t="s">
        <v>1152</v>
      </c>
      <c r="BG698" t="s">
        <v>322</v>
      </c>
      <c r="BH698" t="s">
        <v>1153</v>
      </c>
      <c r="BI698">
        <v>0.33389150767967662</v>
      </c>
      <c r="BJ698" t="s">
        <v>989</v>
      </c>
      <c r="BK698">
        <v>14.684143140511013</v>
      </c>
      <c r="BL698">
        <v>64.523043627458449</v>
      </c>
      <c r="BM698" t="s">
        <v>1260</v>
      </c>
      <c r="BN698" t="s">
        <v>1154</v>
      </c>
      <c r="BO698">
        <v>2025</v>
      </c>
      <c r="BP698" t="s">
        <v>966</v>
      </c>
      <c r="BQ698">
        <v>2361.1498745371719</v>
      </c>
      <c r="BR698">
        <v>99.763885012546282</v>
      </c>
      <c r="BS698" t="s">
        <v>990</v>
      </c>
      <c r="BT698">
        <v>3</v>
      </c>
      <c r="BU698">
        <v>1</v>
      </c>
      <c r="BV698" t="s">
        <v>985</v>
      </c>
      <c r="BW698" t="s">
        <v>943</v>
      </c>
      <c r="BX698" t="s">
        <v>986</v>
      </c>
      <c r="BY698">
        <v>4.3253906902446211</v>
      </c>
      <c r="BZ698" t="s">
        <v>2573</v>
      </c>
      <c r="CA698" t="s">
        <v>989</v>
      </c>
      <c r="CB698" t="b">
        <v>1</v>
      </c>
      <c r="CC698" t="b">
        <v>1</v>
      </c>
      <c r="CD698" t="b">
        <v>1</v>
      </c>
      <c r="CE698" t="b">
        <v>1</v>
      </c>
      <c r="CF698" t="b">
        <v>0</v>
      </c>
    </row>
    <row r="699" spans="1:84" x14ac:dyDescent="0.3">
      <c r="A699" t="s">
        <v>2616</v>
      </c>
      <c r="B699" t="s">
        <v>1247</v>
      </c>
      <c r="C699" s="98">
        <v>45817</v>
      </c>
      <c r="D699">
        <v>2025</v>
      </c>
      <c r="E699">
        <v>6</v>
      </c>
      <c r="F699">
        <v>2</v>
      </c>
      <c r="G699" t="s">
        <v>1243</v>
      </c>
      <c r="H699" t="s">
        <v>139</v>
      </c>
      <c r="I699" t="s">
        <v>139</v>
      </c>
      <c r="J699" t="s">
        <v>6</v>
      </c>
      <c r="L699">
        <v>522611</v>
      </c>
      <c r="M699" s="99" t="s">
        <v>178</v>
      </c>
      <c r="N699">
        <v>1</v>
      </c>
      <c r="O699">
        <v>23</v>
      </c>
      <c r="P699">
        <v>0.99960000000000004</v>
      </c>
      <c r="Q699" t="s">
        <v>352</v>
      </c>
      <c r="R699">
        <v>1</v>
      </c>
      <c r="S699">
        <v>1.0047999999999999</v>
      </c>
      <c r="T699">
        <v>4.7E-2</v>
      </c>
      <c r="U699">
        <v>-0.11063829787233768</v>
      </c>
      <c r="V699">
        <v>0.8637999999999999</v>
      </c>
      <c r="W699">
        <v>0.91079999999999994</v>
      </c>
      <c r="X699">
        <v>0.95779999999999987</v>
      </c>
      <c r="Y699">
        <v>1.0517999999999998</v>
      </c>
      <c r="Z699">
        <v>1.0988</v>
      </c>
      <c r="AA699">
        <v>1.1457999999999999</v>
      </c>
      <c r="AD699">
        <v>22.757982753098187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 t="s">
        <v>462</v>
      </c>
      <c r="AL699" t="s">
        <v>6</v>
      </c>
      <c r="AM699" t="s">
        <v>1145</v>
      </c>
      <c r="AN699" t="s">
        <v>1146</v>
      </c>
      <c r="AO699" s="100">
        <v>46262.040405092594</v>
      </c>
      <c r="AP699" t="s">
        <v>1147</v>
      </c>
      <c r="AQ699" t="s">
        <v>2617</v>
      </c>
      <c r="AR699" t="s">
        <v>1249</v>
      </c>
      <c r="AS699" t="s">
        <v>1150</v>
      </c>
      <c r="AT699" t="s">
        <v>2572</v>
      </c>
      <c r="AU699">
        <v>25</v>
      </c>
      <c r="AV699">
        <v>1.0061119999999999</v>
      </c>
      <c r="AW699">
        <v>4.7195482834695102E-2</v>
      </c>
      <c r="AX699">
        <v>4.6908776393378773</v>
      </c>
      <c r="AY699">
        <v>0.33389150767967662</v>
      </c>
      <c r="AZ699">
        <v>8.0738396125871734</v>
      </c>
      <c r="BA699">
        <v>4.780361580393663</v>
      </c>
      <c r="BB699" t="s">
        <v>4619</v>
      </c>
      <c r="BD699" s="98"/>
      <c r="BE699" s="98"/>
      <c r="BF699" t="s">
        <v>1152</v>
      </c>
      <c r="BG699" t="s">
        <v>322</v>
      </c>
      <c r="BH699" t="s">
        <v>1153</v>
      </c>
      <c r="BI699">
        <v>0.33389150767967662</v>
      </c>
      <c r="BJ699" t="s">
        <v>989</v>
      </c>
      <c r="BK699">
        <v>14.684143140511013</v>
      </c>
      <c r="BL699">
        <v>64.523043627458449</v>
      </c>
      <c r="BM699" t="s">
        <v>1260</v>
      </c>
      <c r="BN699" t="s">
        <v>1154</v>
      </c>
      <c r="BO699">
        <v>2025</v>
      </c>
      <c r="BP699" t="s">
        <v>966</v>
      </c>
      <c r="BQ699">
        <v>2361.1498745371719</v>
      </c>
      <c r="BR699">
        <v>99.763885012546282</v>
      </c>
      <c r="BS699" t="s">
        <v>990</v>
      </c>
      <c r="BT699">
        <v>3</v>
      </c>
      <c r="BU699">
        <v>1</v>
      </c>
      <c r="BV699" t="s">
        <v>985</v>
      </c>
      <c r="BW699" t="s">
        <v>943</v>
      </c>
      <c r="BX699" t="s">
        <v>986</v>
      </c>
      <c r="BY699">
        <v>4.3253906902446211</v>
      </c>
      <c r="BZ699" t="s">
        <v>2573</v>
      </c>
      <c r="CA699" t="s">
        <v>989</v>
      </c>
      <c r="CB699" t="b">
        <v>1</v>
      </c>
      <c r="CC699" t="b">
        <v>1</v>
      </c>
      <c r="CD699" t="b">
        <v>1</v>
      </c>
      <c r="CE699" t="b">
        <v>1</v>
      </c>
      <c r="CF699" t="b">
        <v>0</v>
      </c>
    </row>
    <row r="700" spans="1:84" x14ac:dyDescent="0.3">
      <c r="A700" t="s">
        <v>2618</v>
      </c>
      <c r="B700" t="s">
        <v>1251</v>
      </c>
      <c r="C700" s="98">
        <v>45824</v>
      </c>
      <c r="D700">
        <v>2025</v>
      </c>
      <c r="E700">
        <v>6</v>
      </c>
      <c r="F700">
        <v>2</v>
      </c>
      <c r="G700" t="s">
        <v>1243</v>
      </c>
      <c r="H700" t="s">
        <v>139</v>
      </c>
      <c r="I700" t="s">
        <v>139</v>
      </c>
      <c r="J700" t="s">
        <v>6</v>
      </c>
      <c r="L700">
        <v>522611</v>
      </c>
      <c r="M700" s="99" t="s">
        <v>178</v>
      </c>
      <c r="N700">
        <v>1</v>
      </c>
      <c r="O700">
        <v>24</v>
      </c>
      <c r="P700">
        <v>1.0383</v>
      </c>
      <c r="Q700" t="s">
        <v>352</v>
      </c>
      <c r="R700">
        <v>1</v>
      </c>
      <c r="S700">
        <v>1.0047999999999999</v>
      </c>
      <c r="T700">
        <v>4.7E-2</v>
      </c>
      <c r="U700">
        <v>0.71276595744681037</v>
      </c>
      <c r="V700">
        <v>0.8637999999999999</v>
      </c>
      <c r="W700">
        <v>0.91079999999999994</v>
      </c>
      <c r="X700">
        <v>0.95779999999999987</v>
      </c>
      <c r="Y700">
        <v>1.0517999999999998</v>
      </c>
      <c r="Z700">
        <v>1.0988</v>
      </c>
      <c r="AA700">
        <v>1.1457999999999999</v>
      </c>
      <c r="AD700">
        <v>22.757982753098187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 t="s">
        <v>462</v>
      </c>
      <c r="AL700" t="s">
        <v>6</v>
      </c>
      <c r="AM700" t="s">
        <v>1145</v>
      </c>
      <c r="AN700" t="s">
        <v>1146</v>
      </c>
      <c r="AO700" s="100">
        <v>46262.040405092594</v>
      </c>
      <c r="AP700" t="s">
        <v>1147</v>
      </c>
      <c r="AQ700" t="s">
        <v>2619</v>
      </c>
      <c r="AR700" t="s">
        <v>1253</v>
      </c>
      <c r="AS700" t="s">
        <v>1150</v>
      </c>
      <c r="AT700" t="s">
        <v>2572</v>
      </c>
      <c r="AU700">
        <v>25</v>
      </c>
      <c r="AV700">
        <v>1.0061119999999999</v>
      </c>
      <c r="AW700">
        <v>4.7195482834695102E-2</v>
      </c>
      <c r="AX700">
        <v>4.6908776393378773</v>
      </c>
      <c r="AY700">
        <v>0.33389150767967662</v>
      </c>
      <c r="AZ700">
        <v>8.0738396125871734</v>
      </c>
      <c r="BA700">
        <v>4.780361580393663</v>
      </c>
      <c r="BB700" t="s">
        <v>4619</v>
      </c>
      <c r="BD700" s="98"/>
      <c r="BE700" s="98"/>
      <c r="BF700" t="s">
        <v>1152</v>
      </c>
      <c r="BG700" t="s">
        <v>322</v>
      </c>
      <c r="BH700" t="s">
        <v>1153</v>
      </c>
      <c r="BI700">
        <v>0.33389150767967662</v>
      </c>
      <c r="BJ700" t="s">
        <v>989</v>
      </c>
      <c r="BK700">
        <v>14.684143140511013</v>
      </c>
      <c r="BL700">
        <v>64.523043627458449</v>
      </c>
      <c r="BM700" t="s">
        <v>1260</v>
      </c>
      <c r="BN700" t="s">
        <v>1154</v>
      </c>
      <c r="BO700">
        <v>2025</v>
      </c>
      <c r="BP700" t="s">
        <v>966</v>
      </c>
      <c r="BQ700">
        <v>2361.1498745371719</v>
      </c>
      <c r="BR700">
        <v>99.763885012546282</v>
      </c>
      <c r="BS700" t="s">
        <v>990</v>
      </c>
      <c r="BT700">
        <v>3</v>
      </c>
      <c r="BU700">
        <v>1</v>
      </c>
      <c r="BV700" t="s">
        <v>985</v>
      </c>
      <c r="BW700" t="s">
        <v>943</v>
      </c>
      <c r="BX700" t="s">
        <v>986</v>
      </c>
      <c r="BY700">
        <v>4.3253906902446211</v>
      </c>
      <c r="BZ700" t="s">
        <v>2573</v>
      </c>
      <c r="CA700" t="s">
        <v>989</v>
      </c>
      <c r="CB700" t="b">
        <v>1</v>
      </c>
      <c r="CC700" t="b">
        <v>1</v>
      </c>
      <c r="CD700" t="b">
        <v>1</v>
      </c>
      <c r="CE700" t="b">
        <v>1</v>
      </c>
      <c r="CF700" t="b">
        <v>0</v>
      </c>
    </row>
    <row r="701" spans="1:84" x14ac:dyDescent="0.3">
      <c r="A701" t="s">
        <v>2620</v>
      </c>
      <c r="B701" t="s">
        <v>1255</v>
      </c>
      <c r="C701" s="98">
        <v>45831</v>
      </c>
      <c r="D701">
        <v>2025</v>
      </c>
      <c r="E701">
        <v>6</v>
      </c>
      <c r="F701">
        <v>2</v>
      </c>
      <c r="G701" t="s">
        <v>1243</v>
      </c>
      <c r="H701" t="s">
        <v>139</v>
      </c>
      <c r="I701" t="s">
        <v>139</v>
      </c>
      <c r="J701" t="s">
        <v>6</v>
      </c>
      <c r="L701">
        <v>522611</v>
      </c>
      <c r="M701" s="99" t="s">
        <v>178</v>
      </c>
      <c r="N701">
        <v>1</v>
      </c>
      <c r="O701">
        <v>25</v>
      </c>
      <c r="P701">
        <v>1.1015999999999999</v>
      </c>
      <c r="Q701" t="s">
        <v>352</v>
      </c>
      <c r="R701">
        <v>1</v>
      </c>
      <c r="S701">
        <v>1.0047999999999999</v>
      </c>
      <c r="T701">
        <v>4.7E-2</v>
      </c>
      <c r="U701">
        <v>2.0595744680851062</v>
      </c>
      <c r="V701">
        <v>0.8637999999999999</v>
      </c>
      <c r="W701">
        <v>0.91079999999999994</v>
      </c>
      <c r="X701">
        <v>0.95779999999999987</v>
      </c>
      <c r="Y701">
        <v>1.0517999999999998</v>
      </c>
      <c r="Z701">
        <v>1.0988</v>
      </c>
      <c r="AA701">
        <v>1.1457999999999999</v>
      </c>
      <c r="AD701">
        <v>22.757982753098187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1</v>
      </c>
      <c r="AK701" t="s">
        <v>462</v>
      </c>
      <c r="AL701" t="s">
        <v>6</v>
      </c>
      <c r="AM701" t="s">
        <v>1145</v>
      </c>
      <c r="AN701" t="s">
        <v>1146</v>
      </c>
      <c r="AO701" s="100">
        <v>46262.040405092594</v>
      </c>
      <c r="AP701" t="s">
        <v>1147</v>
      </c>
      <c r="AQ701" t="s">
        <v>2621</v>
      </c>
      <c r="AR701" t="s">
        <v>1257</v>
      </c>
      <c r="AS701" t="s">
        <v>1150</v>
      </c>
      <c r="AT701" t="s">
        <v>2572</v>
      </c>
      <c r="AU701">
        <v>25</v>
      </c>
      <c r="AV701">
        <v>1.0061119999999999</v>
      </c>
      <c r="AW701">
        <v>4.7195482834695102E-2</v>
      </c>
      <c r="AX701">
        <v>4.6908776393378773</v>
      </c>
      <c r="AY701">
        <v>0.33389150767967662</v>
      </c>
      <c r="AZ701">
        <v>8.0738396125871734</v>
      </c>
      <c r="BA701">
        <v>4.780361580393663</v>
      </c>
      <c r="BB701" t="s">
        <v>4619</v>
      </c>
      <c r="BD701" s="98"/>
      <c r="BE701" s="98"/>
      <c r="BF701" t="s">
        <v>1152</v>
      </c>
      <c r="BG701" t="s">
        <v>322</v>
      </c>
      <c r="BH701" t="s">
        <v>1153</v>
      </c>
      <c r="BI701">
        <v>0.33389150767967662</v>
      </c>
      <c r="BJ701" t="s">
        <v>989</v>
      </c>
      <c r="BK701">
        <v>14.684143140511013</v>
      </c>
      <c r="BL701">
        <v>64.523043627458449</v>
      </c>
      <c r="BM701" t="s">
        <v>1260</v>
      </c>
      <c r="BN701" t="s">
        <v>1154</v>
      </c>
      <c r="BO701">
        <v>2025</v>
      </c>
      <c r="BP701" t="s">
        <v>966</v>
      </c>
      <c r="BQ701">
        <v>2361.1498745371719</v>
      </c>
      <c r="BR701">
        <v>99.763885012546282</v>
      </c>
      <c r="BS701" t="s">
        <v>990</v>
      </c>
      <c r="BT701">
        <v>3</v>
      </c>
      <c r="BU701">
        <v>1</v>
      </c>
      <c r="BV701" t="s">
        <v>985</v>
      </c>
      <c r="BW701" t="s">
        <v>943</v>
      </c>
      <c r="BX701" t="s">
        <v>986</v>
      </c>
      <c r="BY701">
        <v>4.3253906902446211</v>
      </c>
      <c r="BZ701" t="s">
        <v>2573</v>
      </c>
      <c r="CA701" t="s">
        <v>989</v>
      </c>
      <c r="CB701" t="b">
        <v>1</v>
      </c>
      <c r="CC701" t="b">
        <v>1</v>
      </c>
      <c r="CD701" t="b">
        <v>1</v>
      </c>
      <c r="CE701" t="b">
        <v>1</v>
      </c>
      <c r="CF701" t="b">
        <v>0</v>
      </c>
    </row>
    <row r="702" spans="1:84" x14ac:dyDescent="0.3">
      <c r="A702" t="s">
        <v>2622</v>
      </c>
      <c r="B702" t="s">
        <v>1143</v>
      </c>
      <c r="C702" s="98">
        <v>45663</v>
      </c>
      <c r="D702">
        <v>2025</v>
      </c>
      <c r="E702">
        <v>1</v>
      </c>
      <c r="F702">
        <v>1</v>
      </c>
      <c r="G702" t="s">
        <v>1144</v>
      </c>
      <c r="H702" t="s">
        <v>139</v>
      </c>
      <c r="I702" t="s">
        <v>139</v>
      </c>
      <c r="J702" t="s">
        <v>6</v>
      </c>
      <c r="L702">
        <v>522611</v>
      </c>
      <c r="M702" s="99" t="s">
        <v>179</v>
      </c>
      <c r="N702">
        <v>2</v>
      </c>
      <c r="O702">
        <v>1</v>
      </c>
      <c r="P702">
        <v>1.9769000000000001</v>
      </c>
      <c r="Q702" t="s">
        <v>352</v>
      </c>
      <c r="R702">
        <v>1</v>
      </c>
      <c r="S702">
        <v>1.9883</v>
      </c>
      <c r="T702">
        <v>4.8599999999999997E-2</v>
      </c>
      <c r="U702">
        <v>-0.23456790123456492</v>
      </c>
      <c r="V702">
        <v>1.8425</v>
      </c>
      <c r="W702">
        <v>1.8911</v>
      </c>
      <c r="X702">
        <v>1.9397</v>
      </c>
      <c r="Y702">
        <v>2.0369000000000002</v>
      </c>
      <c r="Z702">
        <v>2.0855000000000001</v>
      </c>
      <c r="AA702">
        <v>2.1341000000000001</v>
      </c>
      <c r="AD702">
        <v>22.757982753098187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 t="s">
        <v>462</v>
      </c>
      <c r="AL702" t="s">
        <v>6</v>
      </c>
      <c r="AM702" t="s">
        <v>1145</v>
      </c>
      <c r="AN702" t="s">
        <v>1146</v>
      </c>
      <c r="AO702" s="100">
        <v>46262.040405092594</v>
      </c>
      <c r="AP702" t="s">
        <v>1147</v>
      </c>
      <c r="AQ702" t="s">
        <v>2623</v>
      </c>
      <c r="AR702" t="s">
        <v>1149</v>
      </c>
      <c r="AS702" t="s">
        <v>1150</v>
      </c>
      <c r="AT702" t="s">
        <v>2572</v>
      </c>
      <c r="AU702">
        <v>25</v>
      </c>
      <c r="AV702">
        <v>1.9905360000000001</v>
      </c>
      <c r="AW702">
        <v>5.0843738388648564E-2</v>
      </c>
      <c r="AX702">
        <v>2.5542737427832787</v>
      </c>
      <c r="AY702">
        <v>0.33389150767967662</v>
      </c>
      <c r="AZ702">
        <v>4.5484431832720862</v>
      </c>
      <c r="BA702">
        <v>8.779047785608121</v>
      </c>
      <c r="BB702" t="s">
        <v>4619</v>
      </c>
      <c r="BD702" s="98"/>
      <c r="BE702" s="98"/>
      <c r="BF702" t="s">
        <v>1152</v>
      </c>
      <c r="BG702" t="s">
        <v>322</v>
      </c>
      <c r="BH702" t="s">
        <v>1153</v>
      </c>
      <c r="BI702">
        <v>0.33389150767967662</v>
      </c>
      <c r="BJ702" t="s">
        <v>983</v>
      </c>
      <c r="BK702">
        <v>18.209539569826099</v>
      </c>
      <c r="BL702">
        <v>80.013856093405821</v>
      </c>
      <c r="BM702" t="s">
        <v>1260</v>
      </c>
      <c r="BN702" t="s">
        <v>1154</v>
      </c>
      <c r="BO702">
        <v>2025</v>
      </c>
      <c r="BP702" t="s">
        <v>966</v>
      </c>
      <c r="BQ702">
        <v>2361.1498745371719</v>
      </c>
      <c r="BR702">
        <v>99.763885012546282</v>
      </c>
      <c r="BS702" t="s">
        <v>990</v>
      </c>
      <c r="BT702">
        <v>3</v>
      </c>
      <c r="BU702">
        <v>1</v>
      </c>
      <c r="BV702" t="s">
        <v>985</v>
      </c>
      <c r="BW702" t="s">
        <v>943</v>
      </c>
      <c r="BX702" t="s">
        <v>986</v>
      </c>
      <c r="BY702">
        <v>4.3253906902446211</v>
      </c>
      <c r="BZ702" t="s">
        <v>2573</v>
      </c>
      <c r="CA702" t="s">
        <v>989</v>
      </c>
      <c r="CB702" t="b">
        <v>1</v>
      </c>
      <c r="CC702" t="b">
        <v>1</v>
      </c>
      <c r="CD702" t="b">
        <v>1</v>
      </c>
      <c r="CE702" t="b">
        <v>1</v>
      </c>
      <c r="CF702" t="b">
        <v>0</v>
      </c>
    </row>
    <row r="703" spans="1:84" x14ac:dyDescent="0.3">
      <c r="A703" t="s">
        <v>2624</v>
      </c>
      <c r="B703" t="s">
        <v>1157</v>
      </c>
      <c r="C703" s="98">
        <v>45670</v>
      </c>
      <c r="D703">
        <v>2025</v>
      </c>
      <c r="E703">
        <v>1</v>
      </c>
      <c r="F703">
        <v>1</v>
      </c>
      <c r="G703" t="s">
        <v>1144</v>
      </c>
      <c r="H703" t="s">
        <v>139</v>
      </c>
      <c r="I703" t="s">
        <v>139</v>
      </c>
      <c r="J703" t="s">
        <v>6</v>
      </c>
      <c r="L703">
        <v>522611</v>
      </c>
      <c r="M703" s="99" t="s">
        <v>179</v>
      </c>
      <c r="N703">
        <v>2</v>
      </c>
      <c r="O703">
        <v>2</v>
      </c>
      <c r="P703">
        <v>1.9704999999999999</v>
      </c>
      <c r="Q703" t="s">
        <v>352</v>
      </c>
      <c r="R703">
        <v>1</v>
      </c>
      <c r="S703">
        <v>1.9883</v>
      </c>
      <c r="T703">
        <v>4.8599999999999997E-2</v>
      </c>
      <c r="U703">
        <v>-0.36625514403292259</v>
      </c>
      <c r="V703">
        <v>1.8425</v>
      </c>
      <c r="W703">
        <v>1.8911</v>
      </c>
      <c r="X703">
        <v>1.9397</v>
      </c>
      <c r="Y703">
        <v>2.0369000000000002</v>
      </c>
      <c r="Z703">
        <v>2.0855000000000001</v>
      </c>
      <c r="AA703">
        <v>2.1341000000000001</v>
      </c>
      <c r="AD703">
        <v>22.757982753098187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 t="s">
        <v>462</v>
      </c>
      <c r="AL703" t="s">
        <v>6</v>
      </c>
      <c r="AM703" t="s">
        <v>1145</v>
      </c>
      <c r="AN703" t="s">
        <v>1146</v>
      </c>
      <c r="AO703" s="100">
        <v>46262.040405092594</v>
      </c>
      <c r="AP703" t="s">
        <v>1147</v>
      </c>
      <c r="AQ703" t="s">
        <v>2625</v>
      </c>
      <c r="AR703" t="s">
        <v>1159</v>
      </c>
      <c r="AS703" t="s">
        <v>1150</v>
      </c>
      <c r="AT703" t="s">
        <v>2572</v>
      </c>
      <c r="AU703">
        <v>25</v>
      </c>
      <c r="AV703">
        <v>1.9905360000000001</v>
      </c>
      <c r="AW703">
        <v>5.0843738388648564E-2</v>
      </c>
      <c r="AX703">
        <v>2.5542737427832787</v>
      </c>
      <c r="AY703">
        <v>0.33389150767967662</v>
      </c>
      <c r="AZ703">
        <v>4.5484431832720862</v>
      </c>
      <c r="BA703">
        <v>8.779047785608121</v>
      </c>
      <c r="BB703" t="s">
        <v>4619</v>
      </c>
      <c r="BD703" s="98"/>
      <c r="BE703" s="98"/>
      <c r="BF703" t="s">
        <v>1152</v>
      </c>
      <c r="BG703" t="s">
        <v>322</v>
      </c>
      <c r="BH703" t="s">
        <v>1153</v>
      </c>
      <c r="BI703">
        <v>0.33389150767967662</v>
      </c>
      <c r="BJ703" t="s">
        <v>983</v>
      </c>
      <c r="BK703">
        <v>18.209539569826099</v>
      </c>
      <c r="BL703">
        <v>80.013856093405821</v>
      </c>
      <c r="BM703" t="s">
        <v>1260</v>
      </c>
      <c r="BN703" t="s">
        <v>1154</v>
      </c>
      <c r="BO703">
        <v>2025</v>
      </c>
      <c r="BP703" t="s">
        <v>966</v>
      </c>
      <c r="BQ703">
        <v>2361.1498745371719</v>
      </c>
      <c r="BR703">
        <v>99.763885012546282</v>
      </c>
      <c r="BS703" t="s">
        <v>990</v>
      </c>
      <c r="BT703">
        <v>3</v>
      </c>
      <c r="BU703">
        <v>1</v>
      </c>
      <c r="BV703" t="s">
        <v>985</v>
      </c>
      <c r="BW703" t="s">
        <v>943</v>
      </c>
      <c r="BX703" t="s">
        <v>986</v>
      </c>
      <c r="BY703">
        <v>4.3253906902446211</v>
      </c>
      <c r="BZ703" t="s">
        <v>2573</v>
      </c>
      <c r="CA703" t="s">
        <v>989</v>
      </c>
      <c r="CB703" t="b">
        <v>1</v>
      </c>
      <c r="CC703" t="b">
        <v>1</v>
      </c>
      <c r="CD703" t="b">
        <v>1</v>
      </c>
      <c r="CE703" t="b">
        <v>1</v>
      </c>
      <c r="CF703" t="b">
        <v>0</v>
      </c>
    </row>
    <row r="704" spans="1:84" x14ac:dyDescent="0.3">
      <c r="A704" t="s">
        <v>2626</v>
      </c>
      <c r="B704" t="s">
        <v>1161</v>
      </c>
      <c r="C704" s="98">
        <v>45677</v>
      </c>
      <c r="D704">
        <v>2025</v>
      </c>
      <c r="E704">
        <v>1</v>
      </c>
      <c r="F704">
        <v>1</v>
      </c>
      <c r="G704" t="s">
        <v>1144</v>
      </c>
      <c r="H704" t="s">
        <v>139</v>
      </c>
      <c r="I704" t="s">
        <v>139</v>
      </c>
      <c r="J704" t="s">
        <v>6</v>
      </c>
      <c r="L704">
        <v>522611</v>
      </c>
      <c r="M704" s="99" t="s">
        <v>179</v>
      </c>
      <c r="N704">
        <v>2</v>
      </c>
      <c r="O704">
        <v>3</v>
      </c>
      <c r="P704">
        <v>2.0470999999999999</v>
      </c>
      <c r="Q704" t="s">
        <v>352</v>
      </c>
      <c r="R704">
        <v>1</v>
      </c>
      <c r="S704">
        <v>1.9883</v>
      </c>
      <c r="T704">
        <v>4.8599999999999997E-2</v>
      </c>
      <c r="U704">
        <v>1.2098765432098759</v>
      </c>
      <c r="V704">
        <v>1.8425</v>
      </c>
      <c r="W704">
        <v>1.8911</v>
      </c>
      <c r="X704">
        <v>1.9397</v>
      </c>
      <c r="Y704">
        <v>2.0369000000000002</v>
      </c>
      <c r="Z704">
        <v>2.0855000000000001</v>
      </c>
      <c r="AA704">
        <v>2.1341000000000001</v>
      </c>
      <c r="AD704">
        <v>22.757982753098187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 t="s">
        <v>462</v>
      </c>
      <c r="AL704" t="s">
        <v>6</v>
      </c>
      <c r="AM704" t="s">
        <v>1145</v>
      </c>
      <c r="AN704" t="s">
        <v>1146</v>
      </c>
      <c r="AO704" s="100">
        <v>46262.040405092594</v>
      </c>
      <c r="AP704" t="s">
        <v>1147</v>
      </c>
      <c r="AQ704" t="s">
        <v>2627</v>
      </c>
      <c r="AR704" t="s">
        <v>1163</v>
      </c>
      <c r="AS704" t="s">
        <v>1150</v>
      </c>
      <c r="AT704" t="s">
        <v>2572</v>
      </c>
      <c r="AU704">
        <v>25</v>
      </c>
      <c r="AV704">
        <v>1.9905360000000001</v>
      </c>
      <c r="AW704">
        <v>5.0843738388648564E-2</v>
      </c>
      <c r="AX704">
        <v>2.5542737427832787</v>
      </c>
      <c r="AY704">
        <v>0.33389150767967662</v>
      </c>
      <c r="AZ704">
        <v>4.5484431832720862</v>
      </c>
      <c r="BA704">
        <v>8.779047785608121</v>
      </c>
      <c r="BB704" t="s">
        <v>4619</v>
      </c>
      <c r="BD704" s="98"/>
      <c r="BE704" s="98"/>
      <c r="BF704" t="s">
        <v>1152</v>
      </c>
      <c r="BG704" t="s">
        <v>322</v>
      </c>
      <c r="BH704" t="s">
        <v>1153</v>
      </c>
      <c r="BI704">
        <v>0.33389150767967662</v>
      </c>
      <c r="BJ704" t="s">
        <v>983</v>
      </c>
      <c r="BK704">
        <v>18.209539569826099</v>
      </c>
      <c r="BL704">
        <v>80.013856093405821</v>
      </c>
      <c r="BM704" t="s">
        <v>1260</v>
      </c>
      <c r="BN704" t="s">
        <v>1154</v>
      </c>
      <c r="BO704">
        <v>2025</v>
      </c>
      <c r="BP704" t="s">
        <v>966</v>
      </c>
      <c r="BQ704">
        <v>2361.1498745371719</v>
      </c>
      <c r="BR704">
        <v>99.763885012546282</v>
      </c>
      <c r="BS704" t="s">
        <v>990</v>
      </c>
      <c r="BT704">
        <v>3</v>
      </c>
      <c r="BU704">
        <v>1</v>
      </c>
      <c r="BV704" t="s">
        <v>985</v>
      </c>
      <c r="BW704" t="s">
        <v>943</v>
      </c>
      <c r="BX704" t="s">
        <v>986</v>
      </c>
      <c r="BY704">
        <v>4.3253906902446211</v>
      </c>
      <c r="BZ704" t="s">
        <v>2573</v>
      </c>
      <c r="CA704" t="s">
        <v>989</v>
      </c>
      <c r="CB704" t="b">
        <v>1</v>
      </c>
      <c r="CC704" t="b">
        <v>1</v>
      </c>
      <c r="CD704" t="b">
        <v>1</v>
      </c>
      <c r="CE704" t="b">
        <v>1</v>
      </c>
      <c r="CF704" t="b">
        <v>0</v>
      </c>
    </row>
    <row r="705" spans="1:84" x14ac:dyDescent="0.3">
      <c r="A705" t="s">
        <v>2628</v>
      </c>
      <c r="B705" t="s">
        <v>1165</v>
      </c>
      <c r="C705" s="98">
        <v>45684</v>
      </c>
      <c r="D705">
        <v>2025</v>
      </c>
      <c r="E705">
        <v>1</v>
      </c>
      <c r="F705">
        <v>1</v>
      </c>
      <c r="G705" t="s">
        <v>1144</v>
      </c>
      <c r="H705" t="s">
        <v>139</v>
      </c>
      <c r="I705" t="s">
        <v>139</v>
      </c>
      <c r="J705" t="s">
        <v>6</v>
      </c>
      <c r="L705">
        <v>522611</v>
      </c>
      <c r="M705" s="99" t="s">
        <v>179</v>
      </c>
      <c r="N705">
        <v>2</v>
      </c>
      <c r="O705">
        <v>4</v>
      </c>
      <c r="P705">
        <v>2.0123000000000002</v>
      </c>
      <c r="Q705" t="s">
        <v>352</v>
      </c>
      <c r="R705">
        <v>1</v>
      </c>
      <c r="S705">
        <v>1.9883</v>
      </c>
      <c r="T705">
        <v>4.8599999999999997E-2</v>
      </c>
      <c r="U705">
        <v>0.49382716049383218</v>
      </c>
      <c r="V705">
        <v>1.8425</v>
      </c>
      <c r="W705">
        <v>1.8911</v>
      </c>
      <c r="X705">
        <v>1.9397</v>
      </c>
      <c r="Y705">
        <v>2.0369000000000002</v>
      </c>
      <c r="Z705">
        <v>2.0855000000000001</v>
      </c>
      <c r="AA705">
        <v>2.1341000000000001</v>
      </c>
      <c r="AD705">
        <v>22.757982753098187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 t="s">
        <v>462</v>
      </c>
      <c r="AL705" t="s">
        <v>6</v>
      </c>
      <c r="AM705" t="s">
        <v>1145</v>
      </c>
      <c r="AN705" t="s">
        <v>1146</v>
      </c>
      <c r="AO705" s="100">
        <v>46262.040405092594</v>
      </c>
      <c r="AP705" t="s">
        <v>1147</v>
      </c>
      <c r="AQ705" t="s">
        <v>2629</v>
      </c>
      <c r="AR705" t="s">
        <v>1167</v>
      </c>
      <c r="AS705" t="s">
        <v>1150</v>
      </c>
      <c r="AT705" t="s">
        <v>2572</v>
      </c>
      <c r="AU705">
        <v>25</v>
      </c>
      <c r="AV705">
        <v>1.9905360000000001</v>
      </c>
      <c r="AW705">
        <v>5.0843738388648564E-2</v>
      </c>
      <c r="AX705">
        <v>2.5542737427832787</v>
      </c>
      <c r="AY705">
        <v>0.33389150767967662</v>
      </c>
      <c r="AZ705">
        <v>4.5484431832720862</v>
      </c>
      <c r="BA705">
        <v>8.779047785608121</v>
      </c>
      <c r="BB705" t="s">
        <v>4619</v>
      </c>
      <c r="BD705" s="98"/>
      <c r="BE705" s="98"/>
      <c r="BF705" t="s">
        <v>1152</v>
      </c>
      <c r="BG705" t="s">
        <v>322</v>
      </c>
      <c r="BH705" t="s">
        <v>1153</v>
      </c>
      <c r="BI705">
        <v>0.33389150767967662</v>
      </c>
      <c r="BJ705" t="s">
        <v>983</v>
      </c>
      <c r="BK705">
        <v>18.209539569826099</v>
      </c>
      <c r="BL705">
        <v>80.013856093405821</v>
      </c>
      <c r="BM705" t="s">
        <v>1260</v>
      </c>
      <c r="BN705" t="s">
        <v>1154</v>
      </c>
      <c r="BO705">
        <v>2025</v>
      </c>
      <c r="BP705" t="s">
        <v>966</v>
      </c>
      <c r="BQ705">
        <v>2361.1498745371719</v>
      </c>
      <c r="BR705">
        <v>99.763885012546282</v>
      </c>
      <c r="BS705" t="s">
        <v>990</v>
      </c>
      <c r="BT705">
        <v>3</v>
      </c>
      <c r="BU705">
        <v>1</v>
      </c>
      <c r="BV705" t="s">
        <v>985</v>
      </c>
      <c r="BW705" t="s">
        <v>943</v>
      </c>
      <c r="BX705" t="s">
        <v>986</v>
      </c>
      <c r="BY705">
        <v>4.3253906902446211</v>
      </c>
      <c r="BZ705" t="s">
        <v>2573</v>
      </c>
      <c r="CA705" t="s">
        <v>989</v>
      </c>
      <c r="CB705" t="b">
        <v>1</v>
      </c>
      <c r="CC705" t="b">
        <v>1</v>
      </c>
      <c r="CD705" t="b">
        <v>1</v>
      </c>
      <c r="CE705" t="b">
        <v>1</v>
      </c>
      <c r="CF705" t="b">
        <v>0</v>
      </c>
    </row>
    <row r="706" spans="1:84" x14ac:dyDescent="0.3">
      <c r="A706" t="s">
        <v>2630</v>
      </c>
      <c r="B706" t="s">
        <v>1169</v>
      </c>
      <c r="C706" s="98">
        <v>45691</v>
      </c>
      <c r="D706">
        <v>2025</v>
      </c>
      <c r="E706">
        <v>2</v>
      </c>
      <c r="F706">
        <v>1</v>
      </c>
      <c r="G706" t="s">
        <v>1170</v>
      </c>
      <c r="H706" t="s">
        <v>139</v>
      </c>
      <c r="I706" t="s">
        <v>139</v>
      </c>
      <c r="J706" t="s">
        <v>6</v>
      </c>
      <c r="L706">
        <v>522611</v>
      </c>
      <c r="M706" s="99" t="s">
        <v>179</v>
      </c>
      <c r="N706">
        <v>2</v>
      </c>
      <c r="O706">
        <v>5</v>
      </c>
      <c r="P706">
        <v>2.0209000000000001</v>
      </c>
      <c r="Q706" t="s">
        <v>352</v>
      </c>
      <c r="R706">
        <v>1</v>
      </c>
      <c r="S706">
        <v>1.9883</v>
      </c>
      <c r="T706">
        <v>4.8599999999999997E-2</v>
      </c>
      <c r="U706">
        <v>0.67078189300411906</v>
      </c>
      <c r="V706">
        <v>1.8425</v>
      </c>
      <c r="W706">
        <v>1.8911</v>
      </c>
      <c r="X706">
        <v>1.9397</v>
      </c>
      <c r="Y706">
        <v>2.0369000000000002</v>
      </c>
      <c r="Z706">
        <v>2.0855000000000001</v>
      </c>
      <c r="AA706">
        <v>2.1341000000000001</v>
      </c>
      <c r="AD706">
        <v>22.757982753098187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 t="s">
        <v>462</v>
      </c>
      <c r="AL706" t="s">
        <v>6</v>
      </c>
      <c r="AM706" t="s">
        <v>1145</v>
      </c>
      <c r="AN706" t="s">
        <v>1146</v>
      </c>
      <c r="AO706" s="100">
        <v>46262.040405092594</v>
      </c>
      <c r="AP706" t="s">
        <v>1147</v>
      </c>
      <c r="AQ706" t="s">
        <v>2631</v>
      </c>
      <c r="AR706" t="s">
        <v>1172</v>
      </c>
      <c r="AS706" t="s">
        <v>1150</v>
      </c>
      <c r="AT706" t="s">
        <v>2572</v>
      </c>
      <c r="AU706">
        <v>25</v>
      </c>
      <c r="AV706">
        <v>1.9905360000000001</v>
      </c>
      <c r="AW706">
        <v>5.0843738388648564E-2</v>
      </c>
      <c r="AX706">
        <v>2.5542737427832787</v>
      </c>
      <c r="AY706">
        <v>0.33389150767967662</v>
      </c>
      <c r="AZ706">
        <v>4.5484431832720862</v>
      </c>
      <c r="BA706">
        <v>8.779047785608121</v>
      </c>
      <c r="BB706" t="s">
        <v>4619</v>
      </c>
      <c r="BD706" s="98"/>
      <c r="BE706" s="98"/>
      <c r="BF706" t="s">
        <v>1152</v>
      </c>
      <c r="BG706" t="s">
        <v>322</v>
      </c>
      <c r="BH706" t="s">
        <v>1153</v>
      </c>
      <c r="BI706">
        <v>0.33389150767967662</v>
      </c>
      <c r="BJ706" t="s">
        <v>983</v>
      </c>
      <c r="BK706">
        <v>18.209539569826099</v>
      </c>
      <c r="BL706">
        <v>80.013856093405821</v>
      </c>
      <c r="BM706" t="s">
        <v>1260</v>
      </c>
      <c r="BN706" t="s">
        <v>1154</v>
      </c>
      <c r="BO706">
        <v>2025</v>
      </c>
      <c r="BP706" t="s">
        <v>966</v>
      </c>
      <c r="BQ706">
        <v>2361.1498745371719</v>
      </c>
      <c r="BR706">
        <v>99.763885012546282</v>
      </c>
      <c r="BS706" t="s">
        <v>990</v>
      </c>
      <c r="BT706">
        <v>3</v>
      </c>
      <c r="BU706">
        <v>1</v>
      </c>
      <c r="BV706" t="s">
        <v>985</v>
      </c>
      <c r="BW706" t="s">
        <v>943</v>
      </c>
      <c r="BX706" t="s">
        <v>986</v>
      </c>
      <c r="BY706">
        <v>4.3253906902446211</v>
      </c>
      <c r="BZ706" t="s">
        <v>2573</v>
      </c>
      <c r="CA706" t="s">
        <v>989</v>
      </c>
      <c r="CB706" t="b">
        <v>1</v>
      </c>
      <c r="CC706" t="b">
        <v>1</v>
      </c>
      <c r="CD706" t="b">
        <v>1</v>
      </c>
      <c r="CE706" t="b">
        <v>1</v>
      </c>
      <c r="CF706" t="b">
        <v>0</v>
      </c>
    </row>
    <row r="707" spans="1:84" x14ac:dyDescent="0.3">
      <c r="A707" t="s">
        <v>2632</v>
      </c>
      <c r="B707" t="s">
        <v>1174</v>
      </c>
      <c r="C707" s="98">
        <v>45698</v>
      </c>
      <c r="D707">
        <v>2025</v>
      </c>
      <c r="E707">
        <v>2</v>
      </c>
      <c r="F707">
        <v>1</v>
      </c>
      <c r="G707" t="s">
        <v>1170</v>
      </c>
      <c r="H707" t="s">
        <v>139</v>
      </c>
      <c r="I707" t="s">
        <v>139</v>
      </c>
      <c r="J707" t="s">
        <v>6</v>
      </c>
      <c r="L707">
        <v>522611</v>
      </c>
      <c r="M707" s="99" t="s">
        <v>179</v>
      </c>
      <c r="N707">
        <v>2</v>
      </c>
      <c r="O707">
        <v>6</v>
      </c>
      <c r="P707">
        <v>1.9636</v>
      </c>
      <c r="Q707" t="s">
        <v>352</v>
      </c>
      <c r="R707">
        <v>1</v>
      </c>
      <c r="S707">
        <v>1.9883</v>
      </c>
      <c r="T707">
        <v>4.8599999999999997E-2</v>
      </c>
      <c r="U707">
        <v>-0.50823045267489597</v>
      </c>
      <c r="V707">
        <v>1.8425</v>
      </c>
      <c r="W707">
        <v>1.8911</v>
      </c>
      <c r="X707">
        <v>1.9397</v>
      </c>
      <c r="Y707">
        <v>2.0369000000000002</v>
      </c>
      <c r="Z707">
        <v>2.0855000000000001</v>
      </c>
      <c r="AA707">
        <v>2.1341000000000001</v>
      </c>
      <c r="AD707">
        <v>22.757982753098187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 t="s">
        <v>462</v>
      </c>
      <c r="AL707" t="s">
        <v>6</v>
      </c>
      <c r="AM707" t="s">
        <v>1145</v>
      </c>
      <c r="AN707" t="s">
        <v>1146</v>
      </c>
      <c r="AO707" s="100">
        <v>46262.040405092594</v>
      </c>
      <c r="AP707" t="s">
        <v>1147</v>
      </c>
      <c r="AQ707" t="s">
        <v>2633</v>
      </c>
      <c r="AR707" t="s">
        <v>1176</v>
      </c>
      <c r="AS707" t="s">
        <v>1150</v>
      </c>
      <c r="AT707" t="s">
        <v>2572</v>
      </c>
      <c r="AU707">
        <v>25</v>
      </c>
      <c r="AV707">
        <v>1.9905360000000001</v>
      </c>
      <c r="AW707">
        <v>5.0843738388648564E-2</v>
      </c>
      <c r="AX707">
        <v>2.5542737427832787</v>
      </c>
      <c r="AY707">
        <v>0.33389150767967662</v>
      </c>
      <c r="AZ707">
        <v>4.5484431832720862</v>
      </c>
      <c r="BA707">
        <v>8.779047785608121</v>
      </c>
      <c r="BB707" t="s">
        <v>4619</v>
      </c>
      <c r="BD707" s="98"/>
      <c r="BE707" s="98"/>
      <c r="BF707" t="s">
        <v>1152</v>
      </c>
      <c r="BG707" t="s">
        <v>322</v>
      </c>
      <c r="BH707" t="s">
        <v>1153</v>
      </c>
      <c r="BI707">
        <v>0.33389150767967662</v>
      </c>
      <c r="BJ707" t="s">
        <v>983</v>
      </c>
      <c r="BK707">
        <v>18.209539569826099</v>
      </c>
      <c r="BL707">
        <v>80.013856093405821</v>
      </c>
      <c r="BM707" t="s">
        <v>1260</v>
      </c>
      <c r="BN707" t="s">
        <v>1154</v>
      </c>
      <c r="BO707">
        <v>2025</v>
      </c>
      <c r="BP707" t="s">
        <v>966</v>
      </c>
      <c r="BQ707">
        <v>2361.1498745371719</v>
      </c>
      <c r="BR707">
        <v>99.763885012546282</v>
      </c>
      <c r="BS707" t="s">
        <v>990</v>
      </c>
      <c r="BT707">
        <v>3</v>
      </c>
      <c r="BU707">
        <v>1</v>
      </c>
      <c r="BV707" t="s">
        <v>985</v>
      </c>
      <c r="BW707" t="s">
        <v>943</v>
      </c>
      <c r="BX707" t="s">
        <v>986</v>
      </c>
      <c r="BY707">
        <v>4.3253906902446211</v>
      </c>
      <c r="BZ707" t="s">
        <v>2573</v>
      </c>
      <c r="CA707" t="s">
        <v>989</v>
      </c>
      <c r="CB707" t="b">
        <v>1</v>
      </c>
      <c r="CC707" t="b">
        <v>1</v>
      </c>
      <c r="CD707" t="b">
        <v>1</v>
      </c>
      <c r="CE707" t="b">
        <v>1</v>
      </c>
      <c r="CF707" t="b">
        <v>0</v>
      </c>
    </row>
    <row r="708" spans="1:84" x14ac:dyDescent="0.3">
      <c r="A708" t="s">
        <v>2634</v>
      </c>
      <c r="B708" t="s">
        <v>1178</v>
      </c>
      <c r="C708" s="98">
        <v>45705</v>
      </c>
      <c r="D708">
        <v>2025</v>
      </c>
      <c r="E708">
        <v>2</v>
      </c>
      <c r="F708">
        <v>1</v>
      </c>
      <c r="G708" t="s">
        <v>1170</v>
      </c>
      <c r="H708" t="s">
        <v>139</v>
      </c>
      <c r="I708" t="s">
        <v>139</v>
      </c>
      <c r="J708" t="s">
        <v>6</v>
      </c>
      <c r="L708">
        <v>522611</v>
      </c>
      <c r="M708" s="99" t="s">
        <v>179</v>
      </c>
      <c r="N708">
        <v>2</v>
      </c>
      <c r="O708">
        <v>7</v>
      </c>
      <c r="P708">
        <v>2.0817000000000001</v>
      </c>
      <c r="Q708" t="s">
        <v>352</v>
      </c>
      <c r="R708">
        <v>1</v>
      </c>
      <c r="S708">
        <v>1.9883</v>
      </c>
      <c r="T708">
        <v>4.8599999999999997E-2</v>
      </c>
      <c r="U708">
        <v>1.9218106995884805</v>
      </c>
      <c r="V708">
        <v>1.8425</v>
      </c>
      <c r="W708">
        <v>1.8911</v>
      </c>
      <c r="X708">
        <v>1.9397</v>
      </c>
      <c r="Y708">
        <v>2.0369000000000002</v>
      </c>
      <c r="Z708">
        <v>2.0855000000000001</v>
      </c>
      <c r="AA708">
        <v>2.1341000000000001</v>
      </c>
      <c r="AD708">
        <v>22.757982753098187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 t="s">
        <v>462</v>
      </c>
      <c r="AL708" t="s">
        <v>6</v>
      </c>
      <c r="AM708" t="s">
        <v>1145</v>
      </c>
      <c r="AN708" t="s">
        <v>1146</v>
      </c>
      <c r="AO708" s="100">
        <v>46262.040405092594</v>
      </c>
      <c r="AP708" t="s">
        <v>1147</v>
      </c>
      <c r="AQ708" t="s">
        <v>2635</v>
      </c>
      <c r="AR708" t="s">
        <v>1180</v>
      </c>
      <c r="AS708" t="s">
        <v>1150</v>
      </c>
      <c r="AT708" t="s">
        <v>2572</v>
      </c>
      <c r="AU708">
        <v>25</v>
      </c>
      <c r="AV708">
        <v>1.9905360000000001</v>
      </c>
      <c r="AW708">
        <v>5.0843738388648564E-2</v>
      </c>
      <c r="AX708">
        <v>2.5542737427832787</v>
      </c>
      <c r="AY708">
        <v>0.33389150767967662</v>
      </c>
      <c r="AZ708">
        <v>4.5484431832720862</v>
      </c>
      <c r="BA708">
        <v>8.779047785608121</v>
      </c>
      <c r="BB708" t="s">
        <v>4619</v>
      </c>
      <c r="BD708" s="98"/>
      <c r="BE708" s="98"/>
      <c r="BF708" t="s">
        <v>1152</v>
      </c>
      <c r="BG708" t="s">
        <v>322</v>
      </c>
      <c r="BH708" t="s">
        <v>1153</v>
      </c>
      <c r="BI708">
        <v>0.33389150767967662</v>
      </c>
      <c r="BJ708" t="s">
        <v>983</v>
      </c>
      <c r="BK708">
        <v>18.209539569826099</v>
      </c>
      <c r="BL708">
        <v>80.013856093405821</v>
      </c>
      <c r="BM708" t="s">
        <v>1260</v>
      </c>
      <c r="BN708" t="s">
        <v>1154</v>
      </c>
      <c r="BO708">
        <v>2025</v>
      </c>
      <c r="BP708" t="s">
        <v>966</v>
      </c>
      <c r="BQ708">
        <v>2361.1498745371719</v>
      </c>
      <c r="BR708">
        <v>99.763885012546282</v>
      </c>
      <c r="BS708" t="s">
        <v>990</v>
      </c>
      <c r="BT708">
        <v>3</v>
      </c>
      <c r="BU708">
        <v>1</v>
      </c>
      <c r="BV708" t="s">
        <v>985</v>
      </c>
      <c r="BW708" t="s">
        <v>943</v>
      </c>
      <c r="BX708" t="s">
        <v>986</v>
      </c>
      <c r="BY708">
        <v>4.3253906902446211</v>
      </c>
      <c r="BZ708" t="s">
        <v>2573</v>
      </c>
      <c r="CA708" t="s">
        <v>989</v>
      </c>
      <c r="CB708" t="b">
        <v>1</v>
      </c>
      <c r="CC708" t="b">
        <v>1</v>
      </c>
      <c r="CD708" t="b">
        <v>1</v>
      </c>
      <c r="CE708" t="b">
        <v>1</v>
      </c>
      <c r="CF708" t="b">
        <v>0</v>
      </c>
    </row>
    <row r="709" spans="1:84" x14ac:dyDescent="0.3">
      <c r="A709" t="s">
        <v>2636</v>
      </c>
      <c r="B709" t="s">
        <v>1182</v>
      </c>
      <c r="C709" s="98">
        <v>45712</v>
      </c>
      <c r="D709">
        <v>2025</v>
      </c>
      <c r="E709">
        <v>2</v>
      </c>
      <c r="F709">
        <v>1</v>
      </c>
      <c r="G709" t="s">
        <v>1170</v>
      </c>
      <c r="H709" t="s">
        <v>139</v>
      </c>
      <c r="I709" t="s">
        <v>139</v>
      </c>
      <c r="J709" t="s">
        <v>6</v>
      </c>
      <c r="L709">
        <v>522611</v>
      </c>
      <c r="M709" s="99" t="s">
        <v>179</v>
      </c>
      <c r="N709">
        <v>2</v>
      </c>
      <c r="O709">
        <v>8</v>
      </c>
      <c r="P709">
        <v>2.0712999999999999</v>
      </c>
      <c r="Q709" t="s">
        <v>352</v>
      </c>
      <c r="R709">
        <v>1</v>
      </c>
      <c r="S709">
        <v>1.9883</v>
      </c>
      <c r="T709">
        <v>4.8599999999999997E-2</v>
      </c>
      <c r="U709">
        <v>1.7078189300411515</v>
      </c>
      <c r="V709">
        <v>1.8425</v>
      </c>
      <c r="W709">
        <v>1.8911</v>
      </c>
      <c r="X709">
        <v>1.9397</v>
      </c>
      <c r="Y709">
        <v>2.0369000000000002</v>
      </c>
      <c r="Z709">
        <v>2.0855000000000001</v>
      </c>
      <c r="AA709">
        <v>2.1341000000000001</v>
      </c>
      <c r="AD709">
        <v>22.757982753098187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 t="s">
        <v>462</v>
      </c>
      <c r="AL709" t="s">
        <v>6</v>
      </c>
      <c r="AM709" t="s">
        <v>1145</v>
      </c>
      <c r="AN709" t="s">
        <v>1146</v>
      </c>
      <c r="AO709" s="100">
        <v>46262.040405092594</v>
      </c>
      <c r="AP709" t="s">
        <v>1147</v>
      </c>
      <c r="AQ709" t="s">
        <v>2637</v>
      </c>
      <c r="AR709" t="s">
        <v>1184</v>
      </c>
      <c r="AS709" t="s">
        <v>1150</v>
      </c>
      <c r="AT709" t="s">
        <v>2572</v>
      </c>
      <c r="AU709">
        <v>25</v>
      </c>
      <c r="AV709">
        <v>1.9905360000000001</v>
      </c>
      <c r="AW709">
        <v>5.0843738388648564E-2</v>
      </c>
      <c r="AX709">
        <v>2.5542737427832787</v>
      </c>
      <c r="AY709">
        <v>0.33389150767967662</v>
      </c>
      <c r="AZ709">
        <v>4.5484431832720862</v>
      </c>
      <c r="BA709">
        <v>8.779047785608121</v>
      </c>
      <c r="BB709" t="s">
        <v>4619</v>
      </c>
      <c r="BD709" s="98"/>
      <c r="BE709" s="98"/>
      <c r="BF709" t="s">
        <v>1152</v>
      </c>
      <c r="BG709" t="s">
        <v>322</v>
      </c>
      <c r="BH709" t="s">
        <v>1153</v>
      </c>
      <c r="BI709">
        <v>0.33389150767967662</v>
      </c>
      <c r="BJ709" t="s">
        <v>983</v>
      </c>
      <c r="BK709">
        <v>18.209539569826099</v>
      </c>
      <c r="BL709">
        <v>80.013856093405821</v>
      </c>
      <c r="BM709" t="s">
        <v>1260</v>
      </c>
      <c r="BN709" t="s">
        <v>1154</v>
      </c>
      <c r="BO709">
        <v>2025</v>
      </c>
      <c r="BP709" t="s">
        <v>966</v>
      </c>
      <c r="BQ709">
        <v>2361.1498745371719</v>
      </c>
      <c r="BR709">
        <v>99.763885012546282</v>
      </c>
      <c r="BS709" t="s">
        <v>990</v>
      </c>
      <c r="BT709">
        <v>3</v>
      </c>
      <c r="BU709">
        <v>1</v>
      </c>
      <c r="BV709" t="s">
        <v>985</v>
      </c>
      <c r="BW709" t="s">
        <v>943</v>
      </c>
      <c r="BX709" t="s">
        <v>986</v>
      </c>
      <c r="BY709">
        <v>4.3253906902446211</v>
      </c>
      <c r="BZ709" t="s">
        <v>2573</v>
      </c>
      <c r="CA709" t="s">
        <v>989</v>
      </c>
      <c r="CB709" t="b">
        <v>1</v>
      </c>
      <c r="CC709" t="b">
        <v>1</v>
      </c>
      <c r="CD709" t="b">
        <v>1</v>
      </c>
      <c r="CE709" t="b">
        <v>1</v>
      </c>
      <c r="CF709" t="b">
        <v>0</v>
      </c>
    </row>
    <row r="710" spans="1:84" x14ac:dyDescent="0.3">
      <c r="A710" t="s">
        <v>2638</v>
      </c>
      <c r="B710" t="s">
        <v>1186</v>
      </c>
      <c r="C710" s="98">
        <v>45719</v>
      </c>
      <c r="D710">
        <v>2025</v>
      </c>
      <c r="E710">
        <v>3</v>
      </c>
      <c r="F710">
        <v>1</v>
      </c>
      <c r="G710" t="s">
        <v>1187</v>
      </c>
      <c r="H710" t="s">
        <v>139</v>
      </c>
      <c r="I710" t="s">
        <v>139</v>
      </c>
      <c r="J710" t="s">
        <v>6</v>
      </c>
      <c r="L710">
        <v>522611</v>
      </c>
      <c r="M710" s="99" t="s">
        <v>179</v>
      </c>
      <c r="N710">
        <v>2</v>
      </c>
      <c r="O710">
        <v>9</v>
      </c>
      <c r="P710">
        <v>2.0158</v>
      </c>
      <c r="Q710" t="s">
        <v>352</v>
      </c>
      <c r="R710">
        <v>1</v>
      </c>
      <c r="S710">
        <v>1.9883</v>
      </c>
      <c r="T710">
        <v>4.8599999999999997E-2</v>
      </c>
      <c r="U710">
        <v>0.56584362139917865</v>
      </c>
      <c r="V710">
        <v>1.8425</v>
      </c>
      <c r="W710">
        <v>1.8911</v>
      </c>
      <c r="X710">
        <v>1.9397</v>
      </c>
      <c r="Y710">
        <v>2.0369000000000002</v>
      </c>
      <c r="Z710">
        <v>2.0855000000000001</v>
      </c>
      <c r="AA710">
        <v>2.1341000000000001</v>
      </c>
      <c r="AD710">
        <v>22.757982753098187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 t="s">
        <v>462</v>
      </c>
      <c r="AL710" t="s">
        <v>6</v>
      </c>
      <c r="AM710" t="s">
        <v>1145</v>
      </c>
      <c r="AN710" t="s">
        <v>1146</v>
      </c>
      <c r="AO710" s="100">
        <v>46262.040405092594</v>
      </c>
      <c r="AP710" t="s">
        <v>1147</v>
      </c>
      <c r="AQ710" t="s">
        <v>2639</v>
      </c>
      <c r="AR710" t="s">
        <v>1189</v>
      </c>
      <c r="AS710" t="s">
        <v>1150</v>
      </c>
      <c r="AT710" t="s">
        <v>2572</v>
      </c>
      <c r="AU710">
        <v>25</v>
      </c>
      <c r="AV710">
        <v>1.9905360000000001</v>
      </c>
      <c r="AW710">
        <v>5.0843738388648564E-2</v>
      </c>
      <c r="AX710">
        <v>2.5542737427832787</v>
      </c>
      <c r="AY710">
        <v>0.33389150767967662</v>
      </c>
      <c r="AZ710">
        <v>4.5484431832720862</v>
      </c>
      <c r="BA710">
        <v>8.779047785608121</v>
      </c>
      <c r="BB710" t="s">
        <v>4619</v>
      </c>
      <c r="BD710" s="98"/>
      <c r="BE710" s="98"/>
      <c r="BF710" t="s">
        <v>1152</v>
      </c>
      <c r="BG710" t="s">
        <v>322</v>
      </c>
      <c r="BH710" t="s">
        <v>1153</v>
      </c>
      <c r="BI710">
        <v>0.33389150767967662</v>
      </c>
      <c r="BJ710" t="s">
        <v>983</v>
      </c>
      <c r="BK710">
        <v>18.209539569826099</v>
      </c>
      <c r="BL710">
        <v>80.013856093405821</v>
      </c>
      <c r="BM710" t="s">
        <v>1260</v>
      </c>
      <c r="BN710" t="s">
        <v>1154</v>
      </c>
      <c r="BO710">
        <v>2025</v>
      </c>
      <c r="BP710" t="s">
        <v>966</v>
      </c>
      <c r="BQ710">
        <v>2361.1498745371719</v>
      </c>
      <c r="BR710">
        <v>99.763885012546282</v>
      </c>
      <c r="BS710" t="s">
        <v>990</v>
      </c>
      <c r="BT710">
        <v>3</v>
      </c>
      <c r="BU710">
        <v>1</v>
      </c>
      <c r="BV710" t="s">
        <v>985</v>
      </c>
      <c r="BW710" t="s">
        <v>943</v>
      </c>
      <c r="BX710" t="s">
        <v>986</v>
      </c>
      <c r="BY710">
        <v>4.3253906902446211</v>
      </c>
      <c r="BZ710" t="s">
        <v>2573</v>
      </c>
      <c r="CA710" t="s">
        <v>989</v>
      </c>
      <c r="CB710" t="b">
        <v>1</v>
      </c>
      <c r="CC710" t="b">
        <v>1</v>
      </c>
      <c r="CD710" t="b">
        <v>1</v>
      </c>
      <c r="CE710" t="b">
        <v>1</v>
      </c>
      <c r="CF710" t="b">
        <v>0</v>
      </c>
    </row>
    <row r="711" spans="1:84" x14ac:dyDescent="0.3">
      <c r="A711" t="s">
        <v>2640</v>
      </c>
      <c r="B711" t="s">
        <v>1191</v>
      </c>
      <c r="C711" s="98">
        <v>45726</v>
      </c>
      <c r="D711">
        <v>2025</v>
      </c>
      <c r="E711">
        <v>3</v>
      </c>
      <c r="F711">
        <v>1</v>
      </c>
      <c r="G711" t="s">
        <v>1187</v>
      </c>
      <c r="H711" t="s">
        <v>139</v>
      </c>
      <c r="I711" t="s">
        <v>139</v>
      </c>
      <c r="J711" t="s">
        <v>6</v>
      </c>
      <c r="L711">
        <v>522611</v>
      </c>
      <c r="M711" s="99" t="s">
        <v>179</v>
      </c>
      <c r="N711">
        <v>2</v>
      </c>
      <c r="O711">
        <v>10</v>
      </c>
      <c r="P711">
        <v>2.0215000000000001</v>
      </c>
      <c r="Q711" t="s">
        <v>352</v>
      </c>
      <c r="R711">
        <v>1</v>
      </c>
      <c r="S711">
        <v>1.9883</v>
      </c>
      <c r="T711">
        <v>4.8599999999999997E-2</v>
      </c>
      <c r="U711">
        <v>0.68312757201646335</v>
      </c>
      <c r="V711">
        <v>1.8425</v>
      </c>
      <c r="W711">
        <v>1.8911</v>
      </c>
      <c r="X711">
        <v>1.9397</v>
      </c>
      <c r="Y711">
        <v>2.0369000000000002</v>
      </c>
      <c r="Z711">
        <v>2.0855000000000001</v>
      </c>
      <c r="AA711">
        <v>2.1341000000000001</v>
      </c>
      <c r="AD711">
        <v>22.757982753098187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 t="s">
        <v>462</v>
      </c>
      <c r="AL711" t="s">
        <v>6</v>
      </c>
      <c r="AM711" t="s">
        <v>1145</v>
      </c>
      <c r="AN711" t="s">
        <v>1146</v>
      </c>
      <c r="AO711" s="100">
        <v>46262.040405092594</v>
      </c>
      <c r="AP711" t="s">
        <v>1147</v>
      </c>
      <c r="AQ711" t="s">
        <v>2641</v>
      </c>
      <c r="AR711" t="s">
        <v>1193</v>
      </c>
      <c r="AS711" t="s">
        <v>1150</v>
      </c>
      <c r="AT711" t="s">
        <v>2572</v>
      </c>
      <c r="AU711">
        <v>25</v>
      </c>
      <c r="AV711">
        <v>1.9905360000000001</v>
      </c>
      <c r="AW711">
        <v>5.0843738388648564E-2</v>
      </c>
      <c r="AX711">
        <v>2.5542737427832787</v>
      </c>
      <c r="AY711">
        <v>0.33389150767967662</v>
      </c>
      <c r="AZ711">
        <v>4.5484431832720862</v>
      </c>
      <c r="BA711">
        <v>8.779047785608121</v>
      </c>
      <c r="BB711" t="s">
        <v>4619</v>
      </c>
      <c r="BD711" s="98"/>
      <c r="BE711" s="98"/>
      <c r="BF711" t="s">
        <v>1152</v>
      </c>
      <c r="BG711" t="s">
        <v>322</v>
      </c>
      <c r="BH711" t="s">
        <v>1153</v>
      </c>
      <c r="BI711">
        <v>0.33389150767967662</v>
      </c>
      <c r="BJ711" t="s">
        <v>983</v>
      </c>
      <c r="BK711">
        <v>18.209539569826099</v>
      </c>
      <c r="BL711">
        <v>80.013856093405821</v>
      </c>
      <c r="BM711" t="s">
        <v>1260</v>
      </c>
      <c r="BN711" t="s">
        <v>1154</v>
      </c>
      <c r="BO711">
        <v>2025</v>
      </c>
      <c r="BP711" t="s">
        <v>966</v>
      </c>
      <c r="BQ711">
        <v>2361.1498745371719</v>
      </c>
      <c r="BR711">
        <v>99.763885012546282</v>
      </c>
      <c r="BS711" t="s">
        <v>990</v>
      </c>
      <c r="BT711">
        <v>3</v>
      </c>
      <c r="BU711">
        <v>1</v>
      </c>
      <c r="BV711" t="s">
        <v>985</v>
      </c>
      <c r="BW711" t="s">
        <v>943</v>
      </c>
      <c r="BX711" t="s">
        <v>986</v>
      </c>
      <c r="BY711">
        <v>4.3253906902446211</v>
      </c>
      <c r="BZ711" t="s">
        <v>2573</v>
      </c>
      <c r="CA711" t="s">
        <v>989</v>
      </c>
      <c r="CB711" t="b">
        <v>1</v>
      </c>
      <c r="CC711" t="b">
        <v>1</v>
      </c>
      <c r="CD711" t="b">
        <v>1</v>
      </c>
      <c r="CE711" t="b">
        <v>1</v>
      </c>
      <c r="CF711" t="b">
        <v>0</v>
      </c>
    </row>
    <row r="712" spans="1:84" x14ac:dyDescent="0.3">
      <c r="A712" t="s">
        <v>2642</v>
      </c>
      <c r="B712" t="s">
        <v>1195</v>
      </c>
      <c r="C712" s="98">
        <v>45733</v>
      </c>
      <c r="D712">
        <v>2025</v>
      </c>
      <c r="E712">
        <v>3</v>
      </c>
      <c r="F712">
        <v>1</v>
      </c>
      <c r="G712" t="s">
        <v>1187</v>
      </c>
      <c r="H712" t="s">
        <v>139</v>
      </c>
      <c r="I712" t="s">
        <v>139</v>
      </c>
      <c r="J712" t="s">
        <v>6</v>
      </c>
      <c r="L712">
        <v>522611</v>
      </c>
      <c r="M712" s="99" t="s">
        <v>179</v>
      </c>
      <c r="N712">
        <v>2</v>
      </c>
      <c r="O712">
        <v>11</v>
      </c>
      <c r="P712">
        <v>1.8897999999999999</v>
      </c>
      <c r="Q712" t="s">
        <v>352</v>
      </c>
      <c r="R712">
        <v>1</v>
      </c>
      <c r="S712">
        <v>1.9883</v>
      </c>
      <c r="T712">
        <v>4.8599999999999997E-2</v>
      </c>
      <c r="U712">
        <v>-2.0267489711934163</v>
      </c>
      <c r="V712">
        <v>1.8425</v>
      </c>
      <c r="W712">
        <v>1.8911</v>
      </c>
      <c r="X712">
        <v>1.9397</v>
      </c>
      <c r="Y712">
        <v>2.0369000000000002</v>
      </c>
      <c r="Z712">
        <v>2.0855000000000001</v>
      </c>
      <c r="AA712">
        <v>2.1341000000000001</v>
      </c>
      <c r="AD712">
        <v>22.757982753098187</v>
      </c>
      <c r="AE712">
        <v>0</v>
      </c>
      <c r="AF712">
        <v>0</v>
      </c>
      <c r="AG712">
        <v>0</v>
      </c>
      <c r="AH712">
        <v>1</v>
      </c>
      <c r="AI712">
        <v>0</v>
      </c>
      <c r="AJ712">
        <v>1</v>
      </c>
      <c r="AK712" t="s">
        <v>1213</v>
      </c>
      <c r="AL712" t="s">
        <v>6</v>
      </c>
      <c r="AM712" t="s">
        <v>1145</v>
      </c>
      <c r="AN712" t="s">
        <v>1146</v>
      </c>
      <c r="AO712" s="100">
        <v>46262.040405092594</v>
      </c>
      <c r="AP712" t="s">
        <v>1147</v>
      </c>
      <c r="AQ712" t="s">
        <v>2643</v>
      </c>
      <c r="AR712" t="s">
        <v>1197</v>
      </c>
      <c r="AS712" t="s">
        <v>1150</v>
      </c>
      <c r="AT712" t="s">
        <v>2572</v>
      </c>
      <c r="AU712">
        <v>25</v>
      </c>
      <c r="AV712">
        <v>1.9905360000000001</v>
      </c>
      <c r="AW712">
        <v>5.0843738388648564E-2</v>
      </c>
      <c r="AX712">
        <v>2.5542737427832787</v>
      </c>
      <c r="AY712">
        <v>0.33389150767967662</v>
      </c>
      <c r="AZ712">
        <v>4.5484431832720862</v>
      </c>
      <c r="BA712">
        <v>8.779047785608121</v>
      </c>
      <c r="BB712" t="s">
        <v>4619</v>
      </c>
      <c r="BD712" s="98"/>
      <c r="BE712" s="98"/>
      <c r="BF712" t="s">
        <v>1152</v>
      </c>
      <c r="BG712" t="s">
        <v>322</v>
      </c>
      <c r="BH712" t="s">
        <v>1153</v>
      </c>
      <c r="BI712">
        <v>0.33389150767967662</v>
      </c>
      <c r="BJ712" t="s">
        <v>983</v>
      </c>
      <c r="BK712">
        <v>18.209539569826099</v>
      </c>
      <c r="BL712">
        <v>80.013856093405821</v>
      </c>
      <c r="BM712" t="s">
        <v>1260</v>
      </c>
      <c r="BN712" t="s">
        <v>1154</v>
      </c>
      <c r="BO712">
        <v>2025</v>
      </c>
      <c r="BP712" t="s">
        <v>966</v>
      </c>
      <c r="BQ712">
        <v>2361.1498745371719</v>
      </c>
      <c r="BR712">
        <v>99.763885012546282</v>
      </c>
      <c r="BS712" t="s">
        <v>990</v>
      </c>
      <c r="BT712">
        <v>3</v>
      </c>
      <c r="BU712">
        <v>1</v>
      </c>
      <c r="BV712" t="s">
        <v>985</v>
      </c>
      <c r="BW712" t="s">
        <v>943</v>
      </c>
      <c r="BX712" t="s">
        <v>986</v>
      </c>
      <c r="BY712">
        <v>4.3253906902446211</v>
      </c>
      <c r="BZ712" t="s">
        <v>2573</v>
      </c>
      <c r="CA712" t="s">
        <v>989</v>
      </c>
      <c r="CB712" t="b">
        <v>1</v>
      </c>
      <c r="CC712" t="b">
        <v>1</v>
      </c>
      <c r="CD712" t="b">
        <v>1</v>
      </c>
      <c r="CE712" t="b">
        <v>1</v>
      </c>
      <c r="CF712" t="b">
        <v>0</v>
      </c>
    </row>
    <row r="713" spans="1:84" x14ac:dyDescent="0.3">
      <c r="A713" t="s">
        <v>2644</v>
      </c>
      <c r="B713" t="s">
        <v>1199</v>
      </c>
      <c r="C713" s="98">
        <v>45740</v>
      </c>
      <c r="D713">
        <v>2025</v>
      </c>
      <c r="E713">
        <v>3</v>
      </c>
      <c r="F713">
        <v>1</v>
      </c>
      <c r="G713" t="s">
        <v>1187</v>
      </c>
      <c r="H713" t="s">
        <v>139</v>
      </c>
      <c r="I713" t="s">
        <v>139</v>
      </c>
      <c r="J713" t="s">
        <v>6</v>
      </c>
      <c r="L713">
        <v>522611</v>
      </c>
      <c r="M713" s="99" t="s">
        <v>179</v>
      </c>
      <c r="N713">
        <v>2</v>
      </c>
      <c r="O713">
        <v>12</v>
      </c>
      <c r="P713">
        <v>2.0192000000000001</v>
      </c>
      <c r="Q713" t="s">
        <v>352</v>
      </c>
      <c r="R713">
        <v>1</v>
      </c>
      <c r="S713">
        <v>1.9883</v>
      </c>
      <c r="T713">
        <v>4.8599999999999997E-2</v>
      </c>
      <c r="U713">
        <v>0.63580246913580563</v>
      </c>
      <c r="V713">
        <v>1.8425</v>
      </c>
      <c r="W713">
        <v>1.8911</v>
      </c>
      <c r="X713">
        <v>1.9397</v>
      </c>
      <c r="Y713">
        <v>2.0369000000000002</v>
      </c>
      <c r="Z713">
        <v>2.0855000000000001</v>
      </c>
      <c r="AA713">
        <v>2.1341000000000001</v>
      </c>
      <c r="AD713">
        <v>22.757982753098187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 t="s">
        <v>462</v>
      </c>
      <c r="AL713" t="s">
        <v>6</v>
      </c>
      <c r="AM713" t="s">
        <v>1145</v>
      </c>
      <c r="AN713" t="s">
        <v>1146</v>
      </c>
      <c r="AO713" s="100">
        <v>46262.040405092594</v>
      </c>
      <c r="AP713" t="s">
        <v>1147</v>
      </c>
      <c r="AQ713" t="s">
        <v>2645</v>
      </c>
      <c r="AR713" t="s">
        <v>1201</v>
      </c>
      <c r="AS713" t="s">
        <v>1150</v>
      </c>
      <c r="AT713" t="s">
        <v>2572</v>
      </c>
      <c r="AU713">
        <v>25</v>
      </c>
      <c r="AV713">
        <v>1.9905360000000001</v>
      </c>
      <c r="AW713">
        <v>5.0843738388648564E-2</v>
      </c>
      <c r="AX713">
        <v>2.5542737427832787</v>
      </c>
      <c r="AY713">
        <v>0.33389150767967662</v>
      </c>
      <c r="AZ713">
        <v>4.5484431832720862</v>
      </c>
      <c r="BA713">
        <v>8.779047785608121</v>
      </c>
      <c r="BB713" t="s">
        <v>4619</v>
      </c>
      <c r="BD713" s="98"/>
      <c r="BE713" s="98"/>
      <c r="BF713" t="s">
        <v>1152</v>
      </c>
      <c r="BG713" t="s">
        <v>322</v>
      </c>
      <c r="BH713" t="s">
        <v>1153</v>
      </c>
      <c r="BI713">
        <v>0.33389150767967662</v>
      </c>
      <c r="BJ713" t="s">
        <v>983</v>
      </c>
      <c r="BK713">
        <v>18.209539569826099</v>
      </c>
      <c r="BL713">
        <v>80.013856093405821</v>
      </c>
      <c r="BM713" t="s">
        <v>1260</v>
      </c>
      <c r="BN713" t="s">
        <v>1154</v>
      </c>
      <c r="BO713">
        <v>2025</v>
      </c>
      <c r="BP713" t="s">
        <v>966</v>
      </c>
      <c r="BQ713">
        <v>2361.1498745371719</v>
      </c>
      <c r="BR713">
        <v>99.763885012546282</v>
      </c>
      <c r="BS713" t="s">
        <v>990</v>
      </c>
      <c r="BT713">
        <v>3</v>
      </c>
      <c r="BU713">
        <v>1</v>
      </c>
      <c r="BV713" t="s">
        <v>985</v>
      </c>
      <c r="BW713" t="s">
        <v>943</v>
      </c>
      <c r="BX713" t="s">
        <v>986</v>
      </c>
      <c r="BY713">
        <v>4.3253906902446211</v>
      </c>
      <c r="BZ713" t="s">
        <v>2573</v>
      </c>
      <c r="CA713" t="s">
        <v>989</v>
      </c>
      <c r="CB713" t="b">
        <v>1</v>
      </c>
      <c r="CC713" t="b">
        <v>1</v>
      </c>
      <c r="CD713" t="b">
        <v>1</v>
      </c>
      <c r="CE713" t="b">
        <v>1</v>
      </c>
      <c r="CF713" t="b">
        <v>0</v>
      </c>
    </row>
    <row r="714" spans="1:84" x14ac:dyDescent="0.3">
      <c r="A714" t="s">
        <v>2646</v>
      </c>
      <c r="B714" t="s">
        <v>1203</v>
      </c>
      <c r="C714" s="98">
        <v>45747</v>
      </c>
      <c r="D714">
        <v>2025</v>
      </c>
      <c r="E714">
        <v>3</v>
      </c>
      <c r="F714">
        <v>1</v>
      </c>
      <c r="G714" t="s">
        <v>1187</v>
      </c>
      <c r="H714" t="s">
        <v>139</v>
      </c>
      <c r="I714" t="s">
        <v>139</v>
      </c>
      <c r="J714" t="s">
        <v>6</v>
      </c>
      <c r="L714">
        <v>522611</v>
      </c>
      <c r="M714" s="99" t="s">
        <v>179</v>
      </c>
      <c r="N714">
        <v>2</v>
      </c>
      <c r="O714">
        <v>13</v>
      </c>
      <c r="P714">
        <v>1.9789000000000001</v>
      </c>
      <c r="Q714" t="s">
        <v>352</v>
      </c>
      <c r="R714">
        <v>1</v>
      </c>
      <c r="S714">
        <v>1.9883</v>
      </c>
      <c r="T714">
        <v>4.8599999999999997E-2</v>
      </c>
      <c r="U714">
        <v>-0.19341563786007929</v>
      </c>
      <c r="V714">
        <v>1.8425</v>
      </c>
      <c r="W714">
        <v>1.8911</v>
      </c>
      <c r="X714">
        <v>1.9397</v>
      </c>
      <c r="Y714">
        <v>2.0369000000000002</v>
      </c>
      <c r="Z714">
        <v>2.0855000000000001</v>
      </c>
      <c r="AA714">
        <v>2.1341000000000001</v>
      </c>
      <c r="AD714">
        <v>22.757982753098187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 t="s">
        <v>462</v>
      </c>
      <c r="AL714" t="s">
        <v>6</v>
      </c>
      <c r="AM714" t="s">
        <v>1145</v>
      </c>
      <c r="AN714" t="s">
        <v>1146</v>
      </c>
      <c r="AO714" s="100">
        <v>46262.040405092594</v>
      </c>
      <c r="AP714" t="s">
        <v>1147</v>
      </c>
      <c r="AQ714" t="s">
        <v>2647</v>
      </c>
      <c r="AR714" t="s">
        <v>1205</v>
      </c>
      <c r="AS714" t="s">
        <v>1150</v>
      </c>
      <c r="AT714" t="s">
        <v>2572</v>
      </c>
      <c r="AU714">
        <v>25</v>
      </c>
      <c r="AV714">
        <v>1.9905360000000001</v>
      </c>
      <c r="AW714">
        <v>5.0843738388648564E-2</v>
      </c>
      <c r="AX714">
        <v>2.5542737427832787</v>
      </c>
      <c r="AY714">
        <v>0.33389150767967662</v>
      </c>
      <c r="AZ714">
        <v>4.5484431832720862</v>
      </c>
      <c r="BA714">
        <v>8.779047785608121</v>
      </c>
      <c r="BB714" t="s">
        <v>4619</v>
      </c>
      <c r="BD714" s="98"/>
      <c r="BE714" s="98"/>
      <c r="BF714" t="s">
        <v>1152</v>
      </c>
      <c r="BG714" t="s">
        <v>322</v>
      </c>
      <c r="BH714" t="s">
        <v>1153</v>
      </c>
      <c r="BI714">
        <v>0.33389150767967662</v>
      </c>
      <c r="BJ714" t="s">
        <v>983</v>
      </c>
      <c r="BK714">
        <v>18.209539569826099</v>
      </c>
      <c r="BL714">
        <v>80.013856093405821</v>
      </c>
      <c r="BM714" t="s">
        <v>1260</v>
      </c>
      <c r="BN714" t="s">
        <v>1154</v>
      </c>
      <c r="BO714">
        <v>2025</v>
      </c>
      <c r="BP714" t="s">
        <v>966</v>
      </c>
      <c r="BQ714">
        <v>2361.1498745371719</v>
      </c>
      <c r="BR714">
        <v>99.763885012546282</v>
      </c>
      <c r="BS714" t="s">
        <v>990</v>
      </c>
      <c r="BT714">
        <v>3</v>
      </c>
      <c r="BU714">
        <v>1</v>
      </c>
      <c r="BV714" t="s">
        <v>985</v>
      </c>
      <c r="BW714" t="s">
        <v>943</v>
      </c>
      <c r="BX714" t="s">
        <v>986</v>
      </c>
      <c r="BY714">
        <v>4.3253906902446211</v>
      </c>
      <c r="BZ714" t="s">
        <v>2573</v>
      </c>
      <c r="CA714" t="s">
        <v>989</v>
      </c>
      <c r="CB714" t="b">
        <v>1</v>
      </c>
      <c r="CC714" t="b">
        <v>1</v>
      </c>
      <c r="CD714" t="b">
        <v>1</v>
      </c>
      <c r="CE714" t="b">
        <v>1</v>
      </c>
      <c r="CF714" t="b">
        <v>0</v>
      </c>
    </row>
    <row r="715" spans="1:84" x14ac:dyDescent="0.3">
      <c r="A715" t="s">
        <v>2648</v>
      </c>
      <c r="B715" t="s">
        <v>1207</v>
      </c>
      <c r="C715" s="98">
        <v>45754</v>
      </c>
      <c r="D715">
        <v>2025</v>
      </c>
      <c r="E715">
        <v>4</v>
      </c>
      <c r="F715">
        <v>2</v>
      </c>
      <c r="G715" t="s">
        <v>1208</v>
      </c>
      <c r="H715" t="s">
        <v>139</v>
      </c>
      <c r="I715" t="s">
        <v>139</v>
      </c>
      <c r="J715" t="s">
        <v>6</v>
      </c>
      <c r="L715">
        <v>522611</v>
      </c>
      <c r="M715" s="99" t="s">
        <v>179</v>
      </c>
      <c r="N715">
        <v>2</v>
      </c>
      <c r="O715">
        <v>14</v>
      </c>
      <c r="P715">
        <v>2.0093000000000001</v>
      </c>
      <c r="Q715" t="s">
        <v>352</v>
      </c>
      <c r="R715">
        <v>1</v>
      </c>
      <c r="S715">
        <v>1.9883</v>
      </c>
      <c r="T715">
        <v>4.8599999999999997E-2</v>
      </c>
      <c r="U715">
        <v>0.43209876543210146</v>
      </c>
      <c r="V715">
        <v>1.8425</v>
      </c>
      <c r="W715">
        <v>1.8911</v>
      </c>
      <c r="X715">
        <v>1.9397</v>
      </c>
      <c r="Y715">
        <v>2.0369000000000002</v>
      </c>
      <c r="Z715">
        <v>2.0855000000000001</v>
      </c>
      <c r="AA715">
        <v>2.1341000000000001</v>
      </c>
      <c r="AD715">
        <v>22.757982753098187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 t="s">
        <v>462</v>
      </c>
      <c r="AL715" t="s">
        <v>6</v>
      </c>
      <c r="AM715" t="s">
        <v>1145</v>
      </c>
      <c r="AN715" t="s">
        <v>1146</v>
      </c>
      <c r="AO715" s="100">
        <v>46262.040405092594</v>
      </c>
      <c r="AP715" t="s">
        <v>1147</v>
      </c>
      <c r="AQ715" t="s">
        <v>2649</v>
      </c>
      <c r="AR715" t="s">
        <v>1210</v>
      </c>
      <c r="AS715" t="s">
        <v>1150</v>
      </c>
      <c r="AT715" t="s">
        <v>2572</v>
      </c>
      <c r="AU715">
        <v>25</v>
      </c>
      <c r="AV715">
        <v>1.9905360000000001</v>
      </c>
      <c r="AW715">
        <v>5.0843738388648564E-2</v>
      </c>
      <c r="AX715">
        <v>2.5542737427832787</v>
      </c>
      <c r="AY715">
        <v>0.33389150767967662</v>
      </c>
      <c r="AZ715">
        <v>4.5484431832720862</v>
      </c>
      <c r="BA715">
        <v>8.779047785608121</v>
      </c>
      <c r="BB715" t="s">
        <v>4619</v>
      </c>
      <c r="BD715" s="98"/>
      <c r="BE715" s="98"/>
      <c r="BF715" t="s">
        <v>1152</v>
      </c>
      <c r="BG715" t="s">
        <v>322</v>
      </c>
      <c r="BH715" t="s">
        <v>1153</v>
      </c>
      <c r="BI715">
        <v>0.33389150767967662</v>
      </c>
      <c r="BJ715" t="s">
        <v>983</v>
      </c>
      <c r="BK715">
        <v>18.209539569826099</v>
      </c>
      <c r="BL715">
        <v>80.013856093405821</v>
      </c>
      <c r="BM715" t="s">
        <v>1260</v>
      </c>
      <c r="BN715" t="s">
        <v>1154</v>
      </c>
      <c r="BO715">
        <v>2025</v>
      </c>
      <c r="BP715" t="s">
        <v>966</v>
      </c>
      <c r="BQ715">
        <v>2361.1498745371719</v>
      </c>
      <c r="BR715">
        <v>99.763885012546282</v>
      </c>
      <c r="BS715" t="s">
        <v>990</v>
      </c>
      <c r="BT715">
        <v>3</v>
      </c>
      <c r="BU715">
        <v>1</v>
      </c>
      <c r="BV715" t="s">
        <v>985</v>
      </c>
      <c r="BW715" t="s">
        <v>943</v>
      </c>
      <c r="BX715" t="s">
        <v>986</v>
      </c>
      <c r="BY715">
        <v>4.3253906902446211</v>
      </c>
      <c r="BZ715" t="s">
        <v>2573</v>
      </c>
      <c r="CA715" t="s">
        <v>989</v>
      </c>
      <c r="CB715" t="b">
        <v>1</v>
      </c>
      <c r="CC715" t="b">
        <v>1</v>
      </c>
      <c r="CD715" t="b">
        <v>1</v>
      </c>
      <c r="CE715" t="b">
        <v>1</v>
      </c>
      <c r="CF715" t="b">
        <v>0</v>
      </c>
    </row>
    <row r="716" spans="1:84" x14ac:dyDescent="0.3">
      <c r="A716" t="s">
        <v>2650</v>
      </c>
      <c r="B716" t="s">
        <v>1212</v>
      </c>
      <c r="C716" s="98">
        <v>45761</v>
      </c>
      <c r="D716">
        <v>2025</v>
      </c>
      <c r="E716">
        <v>4</v>
      </c>
      <c r="F716">
        <v>2</v>
      </c>
      <c r="G716" t="s">
        <v>1208</v>
      </c>
      <c r="H716" t="s">
        <v>139</v>
      </c>
      <c r="I716" t="s">
        <v>139</v>
      </c>
      <c r="J716" t="s">
        <v>6</v>
      </c>
      <c r="L716">
        <v>522611</v>
      </c>
      <c r="M716" s="99" t="s">
        <v>179</v>
      </c>
      <c r="N716">
        <v>2</v>
      </c>
      <c r="O716">
        <v>15</v>
      </c>
      <c r="P716">
        <v>2.0213999999999999</v>
      </c>
      <c r="Q716" t="s">
        <v>352</v>
      </c>
      <c r="R716">
        <v>1</v>
      </c>
      <c r="S716">
        <v>1.9883</v>
      </c>
      <c r="T716">
        <v>4.8599999999999997E-2</v>
      </c>
      <c r="U716">
        <v>0.6810699588477348</v>
      </c>
      <c r="V716">
        <v>1.8425</v>
      </c>
      <c r="W716">
        <v>1.8911</v>
      </c>
      <c r="X716">
        <v>1.9397</v>
      </c>
      <c r="Y716">
        <v>2.0369000000000002</v>
      </c>
      <c r="Z716">
        <v>2.0855000000000001</v>
      </c>
      <c r="AA716">
        <v>2.1341000000000001</v>
      </c>
      <c r="AD716">
        <v>22.757982753098187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 t="s">
        <v>462</v>
      </c>
      <c r="AL716" t="s">
        <v>6</v>
      </c>
      <c r="AM716" t="s">
        <v>1145</v>
      </c>
      <c r="AN716" t="s">
        <v>1146</v>
      </c>
      <c r="AO716" s="100">
        <v>46262.040405092594</v>
      </c>
      <c r="AP716" t="s">
        <v>1147</v>
      </c>
      <c r="AQ716" t="s">
        <v>2651</v>
      </c>
      <c r="AR716" t="s">
        <v>1215</v>
      </c>
      <c r="AS716" t="s">
        <v>1150</v>
      </c>
      <c r="AT716" t="s">
        <v>2572</v>
      </c>
      <c r="AU716">
        <v>25</v>
      </c>
      <c r="AV716">
        <v>1.9905360000000001</v>
      </c>
      <c r="AW716">
        <v>5.0843738388648564E-2</v>
      </c>
      <c r="AX716">
        <v>2.5542737427832787</v>
      </c>
      <c r="AY716">
        <v>0.33389150767967662</v>
      </c>
      <c r="AZ716">
        <v>4.5484431832720862</v>
      </c>
      <c r="BA716">
        <v>8.779047785608121</v>
      </c>
      <c r="BB716" t="s">
        <v>4619</v>
      </c>
      <c r="BD716" s="98"/>
      <c r="BE716" s="98"/>
      <c r="BF716" t="s">
        <v>1152</v>
      </c>
      <c r="BG716" t="s">
        <v>322</v>
      </c>
      <c r="BH716" t="s">
        <v>1153</v>
      </c>
      <c r="BI716">
        <v>0.33389150767967662</v>
      </c>
      <c r="BJ716" t="s">
        <v>983</v>
      </c>
      <c r="BK716">
        <v>18.209539569826099</v>
      </c>
      <c r="BL716">
        <v>80.013856093405821</v>
      </c>
      <c r="BM716" t="s">
        <v>1260</v>
      </c>
      <c r="BN716" t="s">
        <v>1154</v>
      </c>
      <c r="BO716">
        <v>2025</v>
      </c>
      <c r="BP716" t="s">
        <v>966</v>
      </c>
      <c r="BQ716">
        <v>2361.1498745371719</v>
      </c>
      <c r="BR716">
        <v>99.763885012546282</v>
      </c>
      <c r="BS716" t="s">
        <v>990</v>
      </c>
      <c r="BT716">
        <v>3</v>
      </c>
      <c r="BU716">
        <v>1</v>
      </c>
      <c r="BV716" t="s">
        <v>985</v>
      </c>
      <c r="BW716" t="s">
        <v>943</v>
      </c>
      <c r="BX716" t="s">
        <v>986</v>
      </c>
      <c r="BY716">
        <v>4.3253906902446211</v>
      </c>
      <c r="BZ716" t="s">
        <v>2573</v>
      </c>
      <c r="CA716" t="s">
        <v>989</v>
      </c>
      <c r="CB716" t="b">
        <v>1</v>
      </c>
      <c r="CC716" t="b">
        <v>1</v>
      </c>
      <c r="CD716" t="b">
        <v>1</v>
      </c>
      <c r="CE716" t="b">
        <v>1</v>
      </c>
      <c r="CF716" t="b">
        <v>0</v>
      </c>
    </row>
    <row r="717" spans="1:84" x14ac:dyDescent="0.3">
      <c r="A717" t="s">
        <v>2652</v>
      </c>
      <c r="B717" t="s">
        <v>1217</v>
      </c>
      <c r="C717" s="98">
        <v>45768</v>
      </c>
      <c r="D717">
        <v>2025</v>
      </c>
      <c r="E717">
        <v>4</v>
      </c>
      <c r="F717">
        <v>2</v>
      </c>
      <c r="G717" t="s">
        <v>1208</v>
      </c>
      <c r="H717" t="s">
        <v>139</v>
      </c>
      <c r="I717" t="s">
        <v>139</v>
      </c>
      <c r="J717" t="s">
        <v>6</v>
      </c>
      <c r="L717">
        <v>522611</v>
      </c>
      <c r="M717" s="99" t="s">
        <v>179</v>
      </c>
      <c r="N717">
        <v>2</v>
      </c>
      <c r="O717">
        <v>16</v>
      </c>
      <c r="P717">
        <v>1.9717</v>
      </c>
      <c r="Q717" t="s">
        <v>352</v>
      </c>
      <c r="R717">
        <v>1</v>
      </c>
      <c r="S717">
        <v>1.9883</v>
      </c>
      <c r="T717">
        <v>4.8599999999999997E-2</v>
      </c>
      <c r="U717">
        <v>-0.3415637860082294</v>
      </c>
      <c r="V717">
        <v>1.8425</v>
      </c>
      <c r="W717">
        <v>1.8911</v>
      </c>
      <c r="X717">
        <v>1.9397</v>
      </c>
      <c r="Y717">
        <v>2.0369000000000002</v>
      </c>
      <c r="Z717">
        <v>2.0855000000000001</v>
      </c>
      <c r="AA717">
        <v>2.1341000000000001</v>
      </c>
      <c r="AD717">
        <v>22.757982753098187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 t="s">
        <v>462</v>
      </c>
      <c r="AL717" t="s">
        <v>6</v>
      </c>
      <c r="AM717" t="s">
        <v>1145</v>
      </c>
      <c r="AN717" t="s">
        <v>1146</v>
      </c>
      <c r="AO717" s="100">
        <v>46262.040405092594</v>
      </c>
      <c r="AP717" t="s">
        <v>1147</v>
      </c>
      <c r="AQ717" t="s">
        <v>2653</v>
      </c>
      <c r="AR717" t="s">
        <v>1219</v>
      </c>
      <c r="AS717" t="s">
        <v>1150</v>
      </c>
      <c r="AT717" t="s">
        <v>2572</v>
      </c>
      <c r="AU717">
        <v>25</v>
      </c>
      <c r="AV717">
        <v>1.9905360000000001</v>
      </c>
      <c r="AW717">
        <v>5.0843738388648564E-2</v>
      </c>
      <c r="AX717">
        <v>2.5542737427832787</v>
      </c>
      <c r="AY717">
        <v>0.33389150767967662</v>
      </c>
      <c r="AZ717">
        <v>4.5484431832720862</v>
      </c>
      <c r="BA717">
        <v>8.779047785608121</v>
      </c>
      <c r="BB717" t="s">
        <v>4619</v>
      </c>
      <c r="BD717" s="98"/>
      <c r="BE717" s="98"/>
      <c r="BF717" t="s">
        <v>1152</v>
      </c>
      <c r="BG717" t="s">
        <v>322</v>
      </c>
      <c r="BH717" t="s">
        <v>1153</v>
      </c>
      <c r="BI717">
        <v>0.33389150767967662</v>
      </c>
      <c r="BJ717" t="s">
        <v>983</v>
      </c>
      <c r="BK717">
        <v>18.209539569826099</v>
      </c>
      <c r="BL717">
        <v>80.013856093405821</v>
      </c>
      <c r="BM717" t="s">
        <v>1260</v>
      </c>
      <c r="BN717" t="s">
        <v>1154</v>
      </c>
      <c r="BO717">
        <v>2025</v>
      </c>
      <c r="BP717" t="s">
        <v>966</v>
      </c>
      <c r="BQ717">
        <v>2361.1498745371719</v>
      </c>
      <c r="BR717">
        <v>99.763885012546282</v>
      </c>
      <c r="BS717" t="s">
        <v>990</v>
      </c>
      <c r="BT717">
        <v>3</v>
      </c>
      <c r="BU717">
        <v>1</v>
      </c>
      <c r="BV717" t="s">
        <v>985</v>
      </c>
      <c r="BW717" t="s">
        <v>943</v>
      </c>
      <c r="BX717" t="s">
        <v>986</v>
      </c>
      <c r="BY717">
        <v>4.3253906902446211</v>
      </c>
      <c r="BZ717" t="s">
        <v>2573</v>
      </c>
      <c r="CA717" t="s">
        <v>989</v>
      </c>
      <c r="CB717" t="b">
        <v>1</v>
      </c>
      <c r="CC717" t="b">
        <v>1</v>
      </c>
      <c r="CD717" t="b">
        <v>1</v>
      </c>
      <c r="CE717" t="b">
        <v>1</v>
      </c>
      <c r="CF717" t="b">
        <v>0</v>
      </c>
    </row>
    <row r="718" spans="1:84" x14ac:dyDescent="0.3">
      <c r="A718" t="s">
        <v>2654</v>
      </c>
      <c r="B718" t="s">
        <v>1221</v>
      </c>
      <c r="C718" s="98">
        <v>45775</v>
      </c>
      <c r="D718">
        <v>2025</v>
      </c>
      <c r="E718">
        <v>4</v>
      </c>
      <c r="F718">
        <v>2</v>
      </c>
      <c r="G718" t="s">
        <v>1208</v>
      </c>
      <c r="H718" t="s">
        <v>139</v>
      </c>
      <c r="I718" t="s">
        <v>139</v>
      </c>
      <c r="J718" t="s">
        <v>6</v>
      </c>
      <c r="L718">
        <v>522611</v>
      </c>
      <c r="M718" s="99" t="s">
        <v>179</v>
      </c>
      <c r="N718">
        <v>2</v>
      </c>
      <c r="O718">
        <v>17</v>
      </c>
      <c r="P718">
        <v>1.9061999999999999</v>
      </c>
      <c r="Q718" t="s">
        <v>352</v>
      </c>
      <c r="R718">
        <v>1</v>
      </c>
      <c r="S718">
        <v>1.9883</v>
      </c>
      <c r="T718">
        <v>4.8599999999999997E-2</v>
      </c>
      <c r="U718">
        <v>-1.6893004115226351</v>
      </c>
      <c r="V718">
        <v>1.8425</v>
      </c>
      <c r="W718">
        <v>1.8911</v>
      </c>
      <c r="X718">
        <v>1.9397</v>
      </c>
      <c r="Y718">
        <v>2.0369000000000002</v>
      </c>
      <c r="Z718">
        <v>2.0855000000000001</v>
      </c>
      <c r="AA718">
        <v>2.1341000000000001</v>
      </c>
      <c r="AD718">
        <v>22.757982753098187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 t="s">
        <v>462</v>
      </c>
      <c r="AL718" t="s">
        <v>6</v>
      </c>
      <c r="AM718" t="s">
        <v>1145</v>
      </c>
      <c r="AN718" t="s">
        <v>1146</v>
      </c>
      <c r="AO718" s="100">
        <v>46262.040405092594</v>
      </c>
      <c r="AP718" t="s">
        <v>1147</v>
      </c>
      <c r="AQ718" t="s">
        <v>2655</v>
      </c>
      <c r="AR718" t="s">
        <v>1223</v>
      </c>
      <c r="AS718" t="s">
        <v>1150</v>
      </c>
      <c r="AT718" t="s">
        <v>2572</v>
      </c>
      <c r="AU718">
        <v>25</v>
      </c>
      <c r="AV718">
        <v>1.9905360000000001</v>
      </c>
      <c r="AW718">
        <v>5.0843738388648564E-2</v>
      </c>
      <c r="AX718">
        <v>2.5542737427832787</v>
      </c>
      <c r="AY718">
        <v>0.33389150767967662</v>
      </c>
      <c r="AZ718">
        <v>4.5484431832720862</v>
      </c>
      <c r="BA718">
        <v>8.779047785608121</v>
      </c>
      <c r="BB718" t="s">
        <v>4619</v>
      </c>
      <c r="BD718" s="98"/>
      <c r="BE718" s="98"/>
      <c r="BF718" t="s">
        <v>1152</v>
      </c>
      <c r="BG718" t="s">
        <v>322</v>
      </c>
      <c r="BH718" t="s">
        <v>1153</v>
      </c>
      <c r="BI718">
        <v>0.33389150767967662</v>
      </c>
      <c r="BJ718" t="s">
        <v>983</v>
      </c>
      <c r="BK718">
        <v>18.209539569826099</v>
      </c>
      <c r="BL718">
        <v>80.013856093405821</v>
      </c>
      <c r="BM718" t="s">
        <v>1260</v>
      </c>
      <c r="BN718" t="s">
        <v>1154</v>
      </c>
      <c r="BO718">
        <v>2025</v>
      </c>
      <c r="BP718" t="s">
        <v>966</v>
      </c>
      <c r="BQ718">
        <v>2361.1498745371719</v>
      </c>
      <c r="BR718">
        <v>99.763885012546282</v>
      </c>
      <c r="BS718" t="s">
        <v>990</v>
      </c>
      <c r="BT718">
        <v>3</v>
      </c>
      <c r="BU718">
        <v>1</v>
      </c>
      <c r="BV718" t="s">
        <v>985</v>
      </c>
      <c r="BW718" t="s">
        <v>943</v>
      </c>
      <c r="BX718" t="s">
        <v>986</v>
      </c>
      <c r="BY718">
        <v>4.3253906902446211</v>
      </c>
      <c r="BZ718" t="s">
        <v>2573</v>
      </c>
      <c r="CA718" t="s">
        <v>989</v>
      </c>
      <c r="CB718" t="b">
        <v>1</v>
      </c>
      <c r="CC718" t="b">
        <v>1</v>
      </c>
      <c r="CD718" t="b">
        <v>1</v>
      </c>
      <c r="CE718" t="b">
        <v>1</v>
      </c>
      <c r="CF718" t="b">
        <v>0</v>
      </c>
    </row>
    <row r="719" spans="1:84" x14ac:dyDescent="0.3">
      <c r="A719" t="s">
        <v>2656</v>
      </c>
      <c r="B719" t="s">
        <v>1225</v>
      </c>
      <c r="C719" s="98">
        <v>45782</v>
      </c>
      <c r="D719">
        <v>2025</v>
      </c>
      <c r="E719">
        <v>5</v>
      </c>
      <c r="F719">
        <v>2</v>
      </c>
      <c r="G719" t="s">
        <v>1226</v>
      </c>
      <c r="H719" t="s">
        <v>139</v>
      </c>
      <c r="I719" t="s">
        <v>139</v>
      </c>
      <c r="J719" t="s">
        <v>6</v>
      </c>
      <c r="L719">
        <v>522611</v>
      </c>
      <c r="M719" s="99" t="s">
        <v>179</v>
      </c>
      <c r="N719">
        <v>2</v>
      </c>
      <c r="O719">
        <v>18</v>
      </c>
      <c r="P719">
        <v>2.0061</v>
      </c>
      <c r="Q719" t="s">
        <v>352</v>
      </c>
      <c r="R719">
        <v>1</v>
      </c>
      <c r="S719">
        <v>1.9883</v>
      </c>
      <c r="T719">
        <v>4.8599999999999997E-2</v>
      </c>
      <c r="U719">
        <v>0.36625514403292259</v>
      </c>
      <c r="V719">
        <v>1.8425</v>
      </c>
      <c r="W719">
        <v>1.8911</v>
      </c>
      <c r="X719">
        <v>1.9397</v>
      </c>
      <c r="Y719">
        <v>2.0369000000000002</v>
      </c>
      <c r="Z719">
        <v>2.0855000000000001</v>
      </c>
      <c r="AA719">
        <v>2.1341000000000001</v>
      </c>
      <c r="AD719">
        <v>22.757982753098187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 t="s">
        <v>462</v>
      </c>
      <c r="AL719" t="s">
        <v>6</v>
      </c>
      <c r="AM719" t="s">
        <v>1145</v>
      </c>
      <c r="AN719" t="s">
        <v>1146</v>
      </c>
      <c r="AO719" s="100">
        <v>46262.040405092594</v>
      </c>
      <c r="AP719" t="s">
        <v>1147</v>
      </c>
      <c r="AQ719" t="s">
        <v>2657</v>
      </c>
      <c r="AR719" t="s">
        <v>1228</v>
      </c>
      <c r="AS719" t="s">
        <v>1150</v>
      </c>
      <c r="AT719" t="s">
        <v>2572</v>
      </c>
      <c r="AU719">
        <v>25</v>
      </c>
      <c r="AV719">
        <v>1.9905360000000001</v>
      </c>
      <c r="AW719">
        <v>5.0843738388648564E-2</v>
      </c>
      <c r="AX719">
        <v>2.5542737427832787</v>
      </c>
      <c r="AY719">
        <v>0.33389150767967662</v>
      </c>
      <c r="AZ719">
        <v>4.5484431832720862</v>
      </c>
      <c r="BA719">
        <v>8.779047785608121</v>
      </c>
      <c r="BB719" t="s">
        <v>4619</v>
      </c>
      <c r="BD719" s="98"/>
      <c r="BE719" s="98"/>
      <c r="BF719" t="s">
        <v>1152</v>
      </c>
      <c r="BG719" t="s">
        <v>322</v>
      </c>
      <c r="BH719" t="s">
        <v>1153</v>
      </c>
      <c r="BI719">
        <v>0.33389150767967662</v>
      </c>
      <c r="BJ719" t="s">
        <v>983</v>
      </c>
      <c r="BK719">
        <v>18.209539569826099</v>
      </c>
      <c r="BL719">
        <v>80.013856093405821</v>
      </c>
      <c r="BM719" t="s">
        <v>1260</v>
      </c>
      <c r="BN719" t="s">
        <v>1154</v>
      </c>
      <c r="BO719">
        <v>2025</v>
      </c>
      <c r="BP719" t="s">
        <v>966</v>
      </c>
      <c r="BQ719">
        <v>2361.1498745371719</v>
      </c>
      <c r="BR719">
        <v>99.763885012546282</v>
      </c>
      <c r="BS719" t="s">
        <v>990</v>
      </c>
      <c r="BT719">
        <v>3</v>
      </c>
      <c r="BU719">
        <v>1</v>
      </c>
      <c r="BV719" t="s">
        <v>985</v>
      </c>
      <c r="BW719" t="s">
        <v>943</v>
      </c>
      <c r="BX719" t="s">
        <v>986</v>
      </c>
      <c r="BY719">
        <v>4.3253906902446211</v>
      </c>
      <c r="BZ719" t="s">
        <v>2573</v>
      </c>
      <c r="CA719" t="s">
        <v>989</v>
      </c>
      <c r="CB719" t="b">
        <v>1</v>
      </c>
      <c r="CC719" t="b">
        <v>1</v>
      </c>
      <c r="CD719" t="b">
        <v>1</v>
      </c>
      <c r="CE719" t="b">
        <v>1</v>
      </c>
      <c r="CF719" t="b">
        <v>0</v>
      </c>
    </row>
    <row r="720" spans="1:84" x14ac:dyDescent="0.3">
      <c r="A720" t="s">
        <v>2658</v>
      </c>
      <c r="B720" t="s">
        <v>1230</v>
      </c>
      <c r="C720" s="98">
        <v>45789</v>
      </c>
      <c r="D720">
        <v>2025</v>
      </c>
      <c r="E720">
        <v>5</v>
      </c>
      <c r="F720">
        <v>2</v>
      </c>
      <c r="G720" t="s">
        <v>1226</v>
      </c>
      <c r="H720" t="s">
        <v>139</v>
      </c>
      <c r="I720" t="s">
        <v>139</v>
      </c>
      <c r="J720" t="s">
        <v>6</v>
      </c>
      <c r="L720">
        <v>522611</v>
      </c>
      <c r="M720" s="99" t="s">
        <v>179</v>
      </c>
      <c r="N720">
        <v>2</v>
      </c>
      <c r="O720">
        <v>19</v>
      </c>
      <c r="P720">
        <v>1.9522999999999999</v>
      </c>
      <c r="Q720" t="s">
        <v>352</v>
      </c>
      <c r="R720">
        <v>1</v>
      </c>
      <c r="S720">
        <v>1.9883</v>
      </c>
      <c r="T720">
        <v>4.8599999999999997E-2</v>
      </c>
      <c r="U720">
        <v>-0.74074074074074148</v>
      </c>
      <c r="V720">
        <v>1.8425</v>
      </c>
      <c r="W720">
        <v>1.8911</v>
      </c>
      <c r="X720">
        <v>1.9397</v>
      </c>
      <c r="Y720">
        <v>2.0369000000000002</v>
      </c>
      <c r="Z720">
        <v>2.0855000000000001</v>
      </c>
      <c r="AA720">
        <v>2.1341000000000001</v>
      </c>
      <c r="AD720">
        <v>22.757982753098187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 t="s">
        <v>462</v>
      </c>
      <c r="AL720" t="s">
        <v>6</v>
      </c>
      <c r="AM720" t="s">
        <v>1145</v>
      </c>
      <c r="AN720" t="s">
        <v>1146</v>
      </c>
      <c r="AO720" s="100">
        <v>46262.040405092594</v>
      </c>
      <c r="AP720" t="s">
        <v>1147</v>
      </c>
      <c r="AQ720" t="s">
        <v>2659</v>
      </c>
      <c r="AR720" t="s">
        <v>1232</v>
      </c>
      <c r="AS720" t="s">
        <v>1150</v>
      </c>
      <c r="AT720" t="s">
        <v>2572</v>
      </c>
      <c r="AU720">
        <v>25</v>
      </c>
      <c r="AV720">
        <v>1.9905360000000001</v>
      </c>
      <c r="AW720">
        <v>5.0843738388648564E-2</v>
      </c>
      <c r="AX720">
        <v>2.5542737427832787</v>
      </c>
      <c r="AY720">
        <v>0.33389150767967662</v>
      </c>
      <c r="AZ720">
        <v>4.5484431832720862</v>
      </c>
      <c r="BA720">
        <v>8.779047785608121</v>
      </c>
      <c r="BB720" t="s">
        <v>4619</v>
      </c>
      <c r="BD720" s="98"/>
      <c r="BE720" s="98"/>
      <c r="BF720" t="s">
        <v>1152</v>
      </c>
      <c r="BG720" t="s">
        <v>322</v>
      </c>
      <c r="BH720" t="s">
        <v>1153</v>
      </c>
      <c r="BI720">
        <v>0.33389150767967662</v>
      </c>
      <c r="BJ720" t="s">
        <v>983</v>
      </c>
      <c r="BK720">
        <v>18.209539569826099</v>
      </c>
      <c r="BL720">
        <v>80.013856093405821</v>
      </c>
      <c r="BM720" t="s">
        <v>1260</v>
      </c>
      <c r="BN720" t="s">
        <v>1154</v>
      </c>
      <c r="BO720">
        <v>2025</v>
      </c>
      <c r="BP720" t="s">
        <v>966</v>
      </c>
      <c r="BQ720">
        <v>2361.1498745371719</v>
      </c>
      <c r="BR720">
        <v>99.763885012546282</v>
      </c>
      <c r="BS720" t="s">
        <v>990</v>
      </c>
      <c r="BT720">
        <v>3</v>
      </c>
      <c r="BU720">
        <v>1</v>
      </c>
      <c r="BV720" t="s">
        <v>985</v>
      </c>
      <c r="BW720" t="s">
        <v>943</v>
      </c>
      <c r="BX720" t="s">
        <v>986</v>
      </c>
      <c r="BY720">
        <v>4.3253906902446211</v>
      </c>
      <c r="BZ720" t="s">
        <v>2573</v>
      </c>
      <c r="CA720" t="s">
        <v>989</v>
      </c>
      <c r="CB720" t="b">
        <v>1</v>
      </c>
      <c r="CC720" t="b">
        <v>1</v>
      </c>
      <c r="CD720" t="b">
        <v>1</v>
      </c>
      <c r="CE720" t="b">
        <v>1</v>
      </c>
      <c r="CF720" t="b">
        <v>0</v>
      </c>
    </row>
    <row r="721" spans="1:84" x14ac:dyDescent="0.3">
      <c r="A721" t="s">
        <v>2660</v>
      </c>
      <c r="B721" t="s">
        <v>1234</v>
      </c>
      <c r="C721" s="98">
        <v>45796</v>
      </c>
      <c r="D721">
        <v>2025</v>
      </c>
      <c r="E721">
        <v>5</v>
      </c>
      <c r="F721">
        <v>2</v>
      </c>
      <c r="G721" t="s">
        <v>1226</v>
      </c>
      <c r="H721" t="s">
        <v>139</v>
      </c>
      <c r="I721" t="s">
        <v>139</v>
      </c>
      <c r="J721" t="s">
        <v>6</v>
      </c>
      <c r="L721">
        <v>522611</v>
      </c>
      <c r="M721" s="99" t="s">
        <v>179</v>
      </c>
      <c r="N721">
        <v>2</v>
      </c>
      <c r="O721">
        <v>20</v>
      </c>
      <c r="P721">
        <v>1.9722</v>
      </c>
      <c r="Q721" t="s">
        <v>352</v>
      </c>
      <c r="R721">
        <v>1</v>
      </c>
      <c r="S721">
        <v>1.9883</v>
      </c>
      <c r="T721">
        <v>4.8599999999999997E-2</v>
      </c>
      <c r="U721">
        <v>-0.33127572016460916</v>
      </c>
      <c r="V721">
        <v>1.8425</v>
      </c>
      <c r="W721">
        <v>1.8911</v>
      </c>
      <c r="X721">
        <v>1.9397</v>
      </c>
      <c r="Y721">
        <v>2.0369000000000002</v>
      </c>
      <c r="Z721">
        <v>2.0855000000000001</v>
      </c>
      <c r="AA721">
        <v>2.1341000000000001</v>
      </c>
      <c r="AD721">
        <v>22.757982753098187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 t="s">
        <v>462</v>
      </c>
      <c r="AL721" t="s">
        <v>6</v>
      </c>
      <c r="AM721" t="s">
        <v>1145</v>
      </c>
      <c r="AN721" t="s">
        <v>1146</v>
      </c>
      <c r="AO721" s="100">
        <v>46262.040405092594</v>
      </c>
      <c r="AP721" t="s">
        <v>1147</v>
      </c>
      <c r="AQ721" t="s">
        <v>2661</v>
      </c>
      <c r="AR721" t="s">
        <v>1236</v>
      </c>
      <c r="AS721" t="s">
        <v>1150</v>
      </c>
      <c r="AT721" t="s">
        <v>2572</v>
      </c>
      <c r="AU721">
        <v>25</v>
      </c>
      <c r="AV721">
        <v>1.9905360000000001</v>
      </c>
      <c r="AW721">
        <v>5.0843738388648564E-2</v>
      </c>
      <c r="AX721">
        <v>2.5542737427832787</v>
      </c>
      <c r="AY721">
        <v>0.33389150767967662</v>
      </c>
      <c r="AZ721">
        <v>4.5484431832720862</v>
      </c>
      <c r="BA721">
        <v>8.779047785608121</v>
      </c>
      <c r="BB721" t="s">
        <v>4619</v>
      </c>
      <c r="BD721" s="98"/>
      <c r="BE721" s="98"/>
      <c r="BF721" t="s">
        <v>1152</v>
      </c>
      <c r="BG721" t="s">
        <v>322</v>
      </c>
      <c r="BH721" t="s">
        <v>1153</v>
      </c>
      <c r="BI721">
        <v>0.33389150767967662</v>
      </c>
      <c r="BJ721" t="s">
        <v>983</v>
      </c>
      <c r="BK721">
        <v>18.209539569826099</v>
      </c>
      <c r="BL721">
        <v>80.013856093405821</v>
      </c>
      <c r="BM721" t="s">
        <v>1260</v>
      </c>
      <c r="BN721" t="s">
        <v>1154</v>
      </c>
      <c r="BO721">
        <v>2025</v>
      </c>
      <c r="BP721" t="s">
        <v>966</v>
      </c>
      <c r="BQ721">
        <v>2361.1498745371719</v>
      </c>
      <c r="BR721">
        <v>99.763885012546282</v>
      </c>
      <c r="BS721" t="s">
        <v>990</v>
      </c>
      <c r="BT721">
        <v>3</v>
      </c>
      <c r="BU721">
        <v>1</v>
      </c>
      <c r="BV721" t="s">
        <v>985</v>
      </c>
      <c r="BW721" t="s">
        <v>943</v>
      </c>
      <c r="BX721" t="s">
        <v>986</v>
      </c>
      <c r="BY721">
        <v>4.3253906902446211</v>
      </c>
      <c r="BZ721" t="s">
        <v>2573</v>
      </c>
      <c r="CA721" t="s">
        <v>989</v>
      </c>
      <c r="CB721" t="b">
        <v>1</v>
      </c>
      <c r="CC721" t="b">
        <v>1</v>
      </c>
      <c r="CD721" t="b">
        <v>1</v>
      </c>
      <c r="CE721" t="b">
        <v>1</v>
      </c>
      <c r="CF721" t="b">
        <v>0</v>
      </c>
    </row>
    <row r="722" spans="1:84" x14ac:dyDescent="0.3">
      <c r="A722" t="s">
        <v>2662</v>
      </c>
      <c r="B722" t="s">
        <v>1238</v>
      </c>
      <c r="C722" s="98">
        <v>45803</v>
      </c>
      <c r="D722">
        <v>2025</v>
      </c>
      <c r="E722">
        <v>5</v>
      </c>
      <c r="F722">
        <v>2</v>
      </c>
      <c r="G722" t="s">
        <v>1226</v>
      </c>
      <c r="H722" t="s">
        <v>139</v>
      </c>
      <c r="I722" t="s">
        <v>139</v>
      </c>
      <c r="J722" t="s">
        <v>6</v>
      </c>
      <c r="L722">
        <v>522611</v>
      </c>
      <c r="M722" s="99" t="s">
        <v>179</v>
      </c>
      <c r="N722">
        <v>2</v>
      </c>
      <c r="O722">
        <v>21</v>
      </c>
      <c r="P722">
        <v>1.9589000000000001</v>
      </c>
      <c r="Q722" t="s">
        <v>352</v>
      </c>
      <c r="R722">
        <v>1</v>
      </c>
      <c r="S722">
        <v>1.9883</v>
      </c>
      <c r="T722">
        <v>4.8599999999999997E-2</v>
      </c>
      <c r="U722">
        <v>-0.60493827160493563</v>
      </c>
      <c r="V722">
        <v>1.8425</v>
      </c>
      <c r="W722">
        <v>1.8911</v>
      </c>
      <c r="X722">
        <v>1.9397</v>
      </c>
      <c r="Y722">
        <v>2.0369000000000002</v>
      </c>
      <c r="Z722">
        <v>2.0855000000000001</v>
      </c>
      <c r="AA722">
        <v>2.1341000000000001</v>
      </c>
      <c r="AD722">
        <v>22.757982753098187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 t="s">
        <v>462</v>
      </c>
      <c r="AL722" t="s">
        <v>6</v>
      </c>
      <c r="AM722" t="s">
        <v>1145</v>
      </c>
      <c r="AN722" t="s">
        <v>1146</v>
      </c>
      <c r="AO722" s="100">
        <v>46262.040405092594</v>
      </c>
      <c r="AP722" t="s">
        <v>1147</v>
      </c>
      <c r="AQ722" t="s">
        <v>2663</v>
      </c>
      <c r="AR722" t="s">
        <v>1240</v>
      </c>
      <c r="AS722" t="s">
        <v>1150</v>
      </c>
      <c r="AT722" t="s">
        <v>2572</v>
      </c>
      <c r="AU722">
        <v>25</v>
      </c>
      <c r="AV722">
        <v>1.9905360000000001</v>
      </c>
      <c r="AW722">
        <v>5.0843738388648564E-2</v>
      </c>
      <c r="AX722">
        <v>2.5542737427832787</v>
      </c>
      <c r="AY722">
        <v>0.33389150767967662</v>
      </c>
      <c r="AZ722">
        <v>4.5484431832720862</v>
      </c>
      <c r="BA722">
        <v>8.779047785608121</v>
      </c>
      <c r="BB722" t="s">
        <v>4619</v>
      </c>
      <c r="BD722" s="98"/>
      <c r="BE722" s="98"/>
      <c r="BF722" t="s">
        <v>1152</v>
      </c>
      <c r="BG722" t="s">
        <v>322</v>
      </c>
      <c r="BH722" t="s">
        <v>1153</v>
      </c>
      <c r="BI722">
        <v>0.33389150767967662</v>
      </c>
      <c r="BJ722" t="s">
        <v>983</v>
      </c>
      <c r="BK722">
        <v>18.209539569826099</v>
      </c>
      <c r="BL722">
        <v>80.013856093405821</v>
      </c>
      <c r="BM722" t="s">
        <v>1260</v>
      </c>
      <c r="BN722" t="s">
        <v>1154</v>
      </c>
      <c r="BO722">
        <v>2025</v>
      </c>
      <c r="BP722" t="s">
        <v>966</v>
      </c>
      <c r="BQ722">
        <v>2361.1498745371719</v>
      </c>
      <c r="BR722">
        <v>99.763885012546282</v>
      </c>
      <c r="BS722" t="s">
        <v>990</v>
      </c>
      <c r="BT722">
        <v>3</v>
      </c>
      <c r="BU722">
        <v>1</v>
      </c>
      <c r="BV722" t="s">
        <v>985</v>
      </c>
      <c r="BW722" t="s">
        <v>943</v>
      </c>
      <c r="BX722" t="s">
        <v>986</v>
      </c>
      <c r="BY722">
        <v>4.3253906902446211</v>
      </c>
      <c r="BZ722" t="s">
        <v>2573</v>
      </c>
      <c r="CA722" t="s">
        <v>989</v>
      </c>
      <c r="CB722" t="b">
        <v>1</v>
      </c>
      <c r="CC722" t="b">
        <v>1</v>
      </c>
      <c r="CD722" t="b">
        <v>1</v>
      </c>
      <c r="CE722" t="b">
        <v>1</v>
      </c>
      <c r="CF722" t="b">
        <v>0</v>
      </c>
    </row>
    <row r="723" spans="1:84" x14ac:dyDescent="0.3">
      <c r="A723" t="s">
        <v>2664</v>
      </c>
      <c r="B723" t="s">
        <v>1242</v>
      </c>
      <c r="C723" s="98">
        <v>45810</v>
      </c>
      <c r="D723">
        <v>2025</v>
      </c>
      <c r="E723">
        <v>6</v>
      </c>
      <c r="F723">
        <v>2</v>
      </c>
      <c r="G723" t="s">
        <v>1243</v>
      </c>
      <c r="H723" t="s">
        <v>139</v>
      </c>
      <c r="I723" t="s">
        <v>139</v>
      </c>
      <c r="J723" t="s">
        <v>6</v>
      </c>
      <c r="L723">
        <v>522611</v>
      </c>
      <c r="M723" s="99" t="s">
        <v>179</v>
      </c>
      <c r="N723">
        <v>2</v>
      </c>
      <c r="O723">
        <v>22</v>
      </c>
      <c r="P723">
        <v>1.9717</v>
      </c>
      <c r="Q723" t="s">
        <v>352</v>
      </c>
      <c r="R723">
        <v>1</v>
      </c>
      <c r="S723">
        <v>1.9883</v>
      </c>
      <c r="T723">
        <v>4.8599999999999997E-2</v>
      </c>
      <c r="U723">
        <v>-0.3415637860082294</v>
      </c>
      <c r="V723">
        <v>1.8425</v>
      </c>
      <c r="W723">
        <v>1.8911</v>
      </c>
      <c r="X723">
        <v>1.9397</v>
      </c>
      <c r="Y723">
        <v>2.0369000000000002</v>
      </c>
      <c r="Z723">
        <v>2.0855000000000001</v>
      </c>
      <c r="AA723">
        <v>2.1341000000000001</v>
      </c>
      <c r="AD723">
        <v>22.757982753098187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 t="s">
        <v>462</v>
      </c>
      <c r="AL723" t="s">
        <v>6</v>
      </c>
      <c r="AM723" t="s">
        <v>1145</v>
      </c>
      <c r="AN723" t="s">
        <v>1146</v>
      </c>
      <c r="AO723" s="100">
        <v>46262.040405092594</v>
      </c>
      <c r="AP723" t="s">
        <v>1147</v>
      </c>
      <c r="AQ723" t="s">
        <v>2665</v>
      </c>
      <c r="AR723" t="s">
        <v>1245</v>
      </c>
      <c r="AS723" t="s">
        <v>1150</v>
      </c>
      <c r="AT723" t="s">
        <v>2572</v>
      </c>
      <c r="AU723">
        <v>25</v>
      </c>
      <c r="AV723">
        <v>1.9905360000000001</v>
      </c>
      <c r="AW723">
        <v>5.0843738388648564E-2</v>
      </c>
      <c r="AX723">
        <v>2.5542737427832787</v>
      </c>
      <c r="AY723">
        <v>0.33389150767967662</v>
      </c>
      <c r="AZ723">
        <v>4.5484431832720862</v>
      </c>
      <c r="BA723">
        <v>8.779047785608121</v>
      </c>
      <c r="BB723" t="s">
        <v>4619</v>
      </c>
      <c r="BD723" s="98"/>
      <c r="BE723" s="98"/>
      <c r="BF723" t="s">
        <v>1152</v>
      </c>
      <c r="BG723" t="s">
        <v>322</v>
      </c>
      <c r="BH723" t="s">
        <v>1153</v>
      </c>
      <c r="BI723">
        <v>0.33389150767967662</v>
      </c>
      <c r="BJ723" t="s">
        <v>983</v>
      </c>
      <c r="BK723">
        <v>18.209539569826099</v>
      </c>
      <c r="BL723">
        <v>80.013856093405821</v>
      </c>
      <c r="BM723" t="s">
        <v>1260</v>
      </c>
      <c r="BN723" t="s">
        <v>1154</v>
      </c>
      <c r="BO723">
        <v>2025</v>
      </c>
      <c r="BP723" t="s">
        <v>966</v>
      </c>
      <c r="BQ723">
        <v>2361.1498745371719</v>
      </c>
      <c r="BR723">
        <v>99.763885012546282</v>
      </c>
      <c r="BS723" t="s">
        <v>990</v>
      </c>
      <c r="BT723">
        <v>3</v>
      </c>
      <c r="BU723">
        <v>1</v>
      </c>
      <c r="BV723" t="s">
        <v>985</v>
      </c>
      <c r="BW723" t="s">
        <v>943</v>
      </c>
      <c r="BX723" t="s">
        <v>986</v>
      </c>
      <c r="BY723">
        <v>4.3253906902446211</v>
      </c>
      <c r="BZ723" t="s">
        <v>2573</v>
      </c>
      <c r="CA723" t="s">
        <v>989</v>
      </c>
      <c r="CB723" t="b">
        <v>1</v>
      </c>
      <c r="CC723" t="b">
        <v>1</v>
      </c>
      <c r="CD723" t="b">
        <v>1</v>
      </c>
      <c r="CE723" t="b">
        <v>1</v>
      </c>
      <c r="CF723" t="b">
        <v>0</v>
      </c>
    </row>
    <row r="724" spans="1:84" x14ac:dyDescent="0.3">
      <c r="A724" t="s">
        <v>2666</v>
      </c>
      <c r="B724" t="s">
        <v>1247</v>
      </c>
      <c r="C724" s="98">
        <v>45817</v>
      </c>
      <c r="D724">
        <v>2025</v>
      </c>
      <c r="E724">
        <v>6</v>
      </c>
      <c r="F724">
        <v>2</v>
      </c>
      <c r="G724" t="s">
        <v>1243</v>
      </c>
      <c r="H724" t="s">
        <v>139</v>
      </c>
      <c r="I724" t="s">
        <v>139</v>
      </c>
      <c r="J724" t="s">
        <v>6</v>
      </c>
      <c r="L724">
        <v>522611</v>
      </c>
      <c r="M724" s="99" t="s">
        <v>179</v>
      </c>
      <c r="N724">
        <v>2</v>
      </c>
      <c r="O724">
        <v>23</v>
      </c>
      <c r="P724">
        <v>1.8761000000000001</v>
      </c>
      <c r="Q724" t="s">
        <v>352</v>
      </c>
      <c r="R724">
        <v>1</v>
      </c>
      <c r="S724">
        <v>1.9883</v>
      </c>
      <c r="T724">
        <v>4.8599999999999997E-2</v>
      </c>
      <c r="U724">
        <v>-2.3086419753086389</v>
      </c>
      <c r="V724">
        <v>1.8425</v>
      </c>
      <c r="W724">
        <v>1.8911</v>
      </c>
      <c r="X724">
        <v>1.9397</v>
      </c>
      <c r="Y724">
        <v>2.0369000000000002</v>
      </c>
      <c r="Z724">
        <v>2.0855000000000001</v>
      </c>
      <c r="AA724">
        <v>2.1341000000000001</v>
      </c>
      <c r="AD724">
        <v>22.757982753098187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1</v>
      </c>
      <c r="AK724" t="s">
        <v>462</v>
      </c>
      <c r="AL724" t="s">
        <v>6</v>
      </c>
      <c r="AM724" t="s">
        <v>1145</v>
      </c>
      <c r="AN724" t="s">
        <v>1146</v>
      </c>
      <c r="AO724" s="100">
        <v>46262.040405092594</v>
      </c>
      <c r="AP724" t="s">
        <v>1147</v>
      </c>
      <c r="AQ724" t="s">
        <v>2667</v>
      </c>
      <c r="AR724" t="s">
        <v>1249</v>
      </c>
      <c r="AS724" t="s">
        <v>1150</v>
      </c>
      <c r="AT724" t="s">
        <v>2572</v>
      </c>
      <c r="AU724">
        <v>25</v>
      </c>
      <c r="AV724">
        <v>1.9905360000000001</v>
      </c>
      <c r="AW724">
        <v>5.0843738388648564E-2</v>
      </c>
      <c r="AX724">
        <v>2.5542737427832787</v>
      </c>
      <c r="AY724">
        <v>0.33389150767967662</v>
      </c>
      <c r="AZ724">
        <v>4.5484431832720862</v>
      </c>
      <c r="BA724">
        <v>8.779047785608121</v>
      </c>
      <c r="BB724" t="s">
        <v>4619</v>
      </c>
      <c r="BD724" s="98"/>
      <c r="BE724" s="98"/>
      <c r="BF724" t="s">
        <v>1152</v>
      </c>
      <c r="BG724" t="s">
        <v>322</v>
      </c>
      <c r="BH724" t="s">
        <v>1153</v>
      </c>
      <c r="BI724">
        <v>0.33389150767967662</v>
      </c>
      <c r="BJ724" t="s">
        <v>983</v>
      </c>
      <c r="BK724">
        <v>18.209539569826099</v>
      </c>
      <c r="BL724">
        <v>80.013856093405821</v>
      </c>
      <c r="BM724" t="s">
        <v>1260</v>
      </c>
      <c r="BN724" t="s">
        <v>1154</v>
      </c>
      <c r="BO724">
        <v>2025</v>
      </c>
      <c r="BP724" t="s">
        <v>966</v>
      </c>
      <c r="BQ724">
        <v>2361.1498745371719</v>
      </c>
      <c r="BR724">
        <v>99.763885012546282</v>
      </c>
      <c r="BS724" t="s">
        <v>990</v>
      </c>
      <c r="BT724">
        <v>3</v>
      </c>
      <c r="BU724">
        <v>1</v>
      </c>
      <c r="BV724" t="s">
        <v>985</v>
      </c>
      <c r="BW724" t="s">
        <v>943</v>
      </c>
      <c r="BX724" t="s">
        <v>986</v>
      </c>
      <c r="BY724">
        <v>4.3253906902446211</v>
      </c>
      <c r="BZ724" t="s">
        <v>2573</v>
      </c>
      <c r="CA724" t="s">
        <v>989</v>
      </c>
      <c r="CB724" t="b">
        <v>1</v>
      </c>
      <c r="CC724" t="b">
        <v>1</v>
      </c>
      <c r="CD724" t="b">
        <v>1</v>
      </c>
      <c r="CE724" t="b">
        <v>1</v>
      </c>
      <c r="CF724" t="b">
        <v>0</v>
      </c>
    </row>
    <row r="725" spans="1:84" x14ac:dyDescent="0.3">
      <c r="A725" t="s">
        <v>2668</v>
      </c>
      <c r="B725" t="s">
        <v>1251</v>
      </c>
      <c r="C725" s="98">
        <v>45824</v>
      </c>
      <c r="D725">
        <v>2025</v>
      </c>
      <c r="E725">
        <v>6</v>
      </c>
      <c r="F725">
        <v>2</v>
      </c>
      <c r="G725" t="s">
        <v>1243</v>
      </c>
      <c r="H725" t="s">
        <v>139</v>
      </c>
      <c r="I725" t="s">
        <v>139</v>
      </c>
      <c r="J725" t="s">
        <v>6</v>
      </c>
      <c r="L725">
        <v>522611</v>
      </c>
      <c r="M725" s="99" t="s">
        <v>179</v>
      </c>
      <c r="N725">
        <v>2</v>
      </c>
      <c r="O725">
        <v>24</v>
      </c>
      <c r="P725">
        <v>2.0474000000000001</v>
      </c>
      <c r="Q725" t="s">
        <v>352</v>
      </c>
      <c r="R725">
        <v>1</v>
      </c>
      <c r="S725">
        <v>1.9883</v>
      </c>
      <c r="T725">
        <v>4.8599999999999997E-2</v>
      </c>
      <c r="U725">
        <v>1.2160493827160526</v>
      </c>
      <c r="V725">
        <v>1.8425</v>
      </c>
      <c r="W725">
        <v>1.8911</v>
      </c>
      <c r="X725">
        <v>1.9397</v>
      </c>
      <c r="Y725">
        <v>2.0369000000000002</v>
      </c>
      <c r="Z725">
        <v>2.0855000000000001</v>
      </c>
      <c r="AA725">
        <v>2.1341000000000001</v>
      </c>
      <c r="AD725">
        <v>22.757982753098187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 t="s">
        <v>462</v>
      </c>
      <c r="AL725" t="s">
        <v>6</v>
      </c>
      <c r="AM725" t="s">
        <v>1145</v>
      </c>
      <c r="AN725" t="s">
        <v>1146</v>
      </c>
      <c r="AO725" s="100">
        <v>46262.040405092594</v>
      </c>
      <c r="AP725" t="s">
        <v>1147</v>
      </c>
      <c r="AQ725" t="s">
        <v>2669</v>
      </c>
      <c r="AR725" t="s">
        <v>1253</v>
      </c>
      <c r="AS725" t="s">
        <v>1150</v>
      </c>
      <c r="AT725" t="s">
        <v>2572</v>
      </c>
      <c r="AU725">
        <v>25</v>
      </c>
      <c r="AV725">
        <v>1.9905360000000001</v>
      </c>
      <c r="AW725">
        <v>5.0843738388648564E-2</v>
      </c>
      <c r="AX725">
        <v>2.5542737427832787</v>
      </c>
      <c r="AY725">
        <v>0.33389150767967662</v>
      </c>
      <c r="AZ725">
        <v>4.5484431832720862</v>
      </c>
      <c r="BA725">
        <v>8.779047785608121</v>
      </c>
      <c r="BB725" t="s">
        <v>4619</v>
      </c>
      <c r="BD725" s="98"/>
      <c r="BE725" s="98"/>
      <c r="BF725" t="s">
        <v>1152</v>
      </c>
      <c r="BG725" t="s">
        <v>322</v>
      </c>
      <c r="BH725" t="s">
        <v>1153</v>
      </c>
      <c r="BI725">
        <v>0.33389150767967662</v>
      </c>
      <c r="BJ725" t="s">
        <v>983</v>
      </c>
      <c r="BK725">
        <v>18.209539569826099</v>
      </c>
      <c r="BL725">
        <v>80.013856093405821</v>
      </c>
      <c r="BM725" t="s">
        <v>1260</v>
      </c>
      <c r="BN725" t="s">
        <v>1154</v>
      </c>
      <c r="BO725">
        <v>2025</v>
      </c>
      <c r="BP725" t="s">
        <v>966</v>
      </c>
      <c r="BQ725">
        <v>2361.1498745371719</v>
      </c>
      <c r="BR725">
        <v>99.763885012546282</v>
      </c>
      <c r="BS725" t="s">
        <v>990</v>
      </c>
      <c r="BT725">
        <v>3</v>
      </c>
      <c r="BU725">
        <v>1</v>
      </c>
      <c r="BV725" t="s">
        <v>985</v>
      </c>
      <c r="BW725" t="s">
        <v>943</v>
      </c>
      <c r="BX725" t="s">
        <v>986</v>
      </c>
      <c r="BY725">
        <v>4.3253906902446211</v>
      </c>
      <c r="BZ725" t="s">
        <v>2573</v>
      </c>
      <c r="CA725" t="s">
        <v>989</v>
      </c>
      <c r="CB725" t="b">
        <v>1</v>
      </c>
      <c r="CC725" t="b">
        <v>1</v>
      </c>
      <c r="CD725" t="b">
        <v>1</v>
      </c>
      <c r="CE725" t="b">
        <v>1</v>
      </c>
      <c r="CF725" t="b">
        <v>0</v>
      </c>
    </row>
    <row r="726" spans="1:84" x14ac:dyDescent="0.3">
      <c r="A726" t="s">
        <v>2670</v>
      </c>
      <c r="B726" t="s">
        <v>1255</v>
      </c>
      <c r="C726" s="98">
        <v>45831</v>
      </c>
      <c r="D726">
        <v>2025</v>
      </c>
      <c r="E726">
        <v>6</v>
      </c>
      <c r="F726">
        <v>2</v>
      </c>
      <c r="G726" t="s">
        <v>1243</v>
      </c>
      <c r="H726" t="s">
        <v>139</v>
      </c>
      <c r="I726" t="s">
        <v>139</v>
      </c>
      <c r="J726" t="s">
        <v>6</v>
      </c>
      <c r="L726">
        <v>522611</v>
      </c>
      <c r="M726" s="99" t="s">
        <v>179</v>
      </c>
      <c r="N726">
        <v>2</v>
      </c>
      <c r="O726">
        <v>25</v>
      </c>
      <c r="P726">
        <v>2.0005999999999999</v>
      </c>
      <c r="Q726" t="s">
        <v>352</v>
      </c>
      <c r="R726">
        <v>1</v>
      </c>
      <c r="S726">
        <v>1.9883</v>
      </c>
      <c r="T726">
        <v>4.8599999999999997E-2</v>
      </c>
      <c r="U726">
        <v>0.25308641975308599</v>
      </c>
      <c r="V726">
        <v>1.8425</v>
      </c>
      <c r="W726">
        <v>1.8911</v>
      </c>
      <c r="X726">
        <v>1.9397</v>
      </c>
      <c r="Y726">
        <v>2.0369000000000002</v>
      </c>
      <c r="Z726">
        <v>2.0855000000000001</v>
      </c>
      <c r="AA726">
        <v>2.1341000000000001</v>
      </c>
      <c r="AD726">
        <v>22.757982753098187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 t="s">
        <v>462</v>
      </c>
      <c r="AL726" t="s">
        <v>6</v>
      </c>
      <c r="AM726" t="s">
        <v>1145</v>
      </c>
      <c r="AN726" t="s">
        <v>1146</v>
      </c>
      <c r="AO726" s="100">
        <v>46262.040405092594</v>
      </c>
      <c r="AP726" t="s">
        <v>1147</v>
      </c>
      <c r="AQ726" t="s">
        <v>2671</v>
      </c>
      <c r="AR726" t="s">
        <v>1257</v>
      </c>
      <c r="AS726" t="s">
        <v>1150</v>
      </c>
      <c r="AT726" t="s">
        <v>2572</v>
      </c>
      <c r="AU726">
        <v>25</v>
      </c>
      <c r="AV726">
        <v>1.9905360000000001</v>
      </c>
      <c r="AW726">
        <v>5.0843738388648564E-2</v>
      </c>
      <c r="AX726">
        <v>2.5542737427832787</v>
      </c>
      <c r="AY726">
        <v>0.33389150767967662</v>
      </c>
      <c r="AZ726">
        <v>4.5484431832720862</v>
      </c>
      <c r="BA726">
        <v>8.779047785608121</v>
      </c>
      <c r="BB726" t="s">
        <v>4619</v>
      </c>
      <c r="BD726" s="98"/>
      <c r="BE726" s="98"/>
      <c r="BF726" t="s">
        <v>1152</v>
      </c>
      <c r="BG726" t="s">
        <v>322</v>
      </c>
      <c r="BH726" t="s">
        <v>1153</v>
      </c>
      <c r="BI726">
        <v>0.33389150767967662</v>
      </c>
      <c r="BJ726" t="s">
        <v>983</v>
      </c>
      <c r="BK726">
        <v>18.209539569826099</v>
      </c>
      <c r="BL726">
        <v>80.013856093405821</v>
      </c>
      <c r="BM726" t="s">
        <v>1260</v>
      </c>
      <c r="BN726" t="s">
        <v>1154</v>
      </c>
      <c r="BO726">
        <v>2025</v>
      </c>
      <c r="BP726" t="s">
        <v>966</v>
      </c>
      <c r="BQ726">
        <v>2361.1498745371719</v>
      </c>
      <c r="BR726">
        <v>99.763885012546282</v>
      </c>
      <c r="BS726" t="s">
        <v>990</v>
      </c>
      <c r="BT726">
        <v>3</v>
      </c>
      <c r="BU726">
        <v>1</v>
      </c>
      <c r="BV726" t="s">
        <v>985</v>
      </c>
      <c r="BW726" t="s">
        <v>943</v>
      </c>
      <c r="BX726" t="s">
        <v>986</v>
      </c>
      <c r="BY726">
        <v>4.3253906902446211</v>
      </c>
      <c r="BZ726" t="s">
        <v>2573</v>
      </c>
      <c r="CA726" t="s">
        <v>989</v>
      </c>
      <c r="CB726" t="b">
        <v>1</v>
      </c>
      <c r="CC726" t="b">
        <v>1</v>
      </c>
      <c r="CD726" t="b">
        <v>1</v>
      </c>
      <c r="CE726" t="b">
        <v>1</v>
      </c>
      <c r="CF726" t="b">
        <v>0</v>
      </c>
    </row>
    <row r="727" spans="1:84" x14ac:dyDescent="0.3">
      <c r="A727" t="s">
        <v>2672</v>
      </c>
      <c r="B727" t="s">
        <v>1143</v>
      </c>
      <c r="C727" s="98">
        <v>45663</v>
      </c>
      <c r="D727">
        <v>2025</v>
      </c>
      <c r="E727">
        <v>1</v>
      </c>
      <c r="F727">
        <v>1</v>
      </c>
      <c r="G727" t="s">
        <v>1144</v>
      </c>
      <c r="H727" t="s">
        <v>139</v>
      </c>
      <c r="I727" t="s">
        <v>139</v>
      </c>
      <c r="J727" t="s">
        <v>6</v>
      </c>
      <c r="L727">
        <v>522611</v>
      </c>
      <c r="M727" s="99" t="s">
        <v>180</v>
      </c>
      <c r="N727">
        <v>3</v>
      </c>
      <c r="O727">
        <v>1</v>
      </c>
      <c r="P727">
        <v>4.2352999999999996</v>
      </c>
      <c r="Q727" t="s">
        <v>352</v>
      </c>
      <c r="R727">
        <v>1</v>
      </c>
      <c r="S727">
        <v>4.0376000000000003</v>
      </c>
      <c r="T727">
        <v>0.1779</v>
      </c>
      <c r="U727">
        <v>1.1112984822934195</v>
      </c>
      <c r="V727">
        <v>3.5039000000000002</v>
      </c>
      <c r="W727">
        <v>3.6818000000000004</v>
      </c>
      <c r="X727">
        <v>3.8597000000000001</v>
      </c>
      <c r="Y727">
        <v>4.2155000000000005</v>
      </c>
      <c r="Z727">
        <v>4.3934000000000006</v>
      </c>
      <c r="AA727">
        <v>4.5712999999999999</v>
      </c>
      <c r="AD727">
        <v>22.757982753098187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 t="s">
        <v>462</v>
      </c>
      <c r="AL727" t="s">
        <v>6</v>
      </c>
      <c r="AM727" t="s">
        <v>1145</v>
      </c>
      <c r="AN727" t="s">
        <v>1146</v>
      </c>
      <c r="AO727" s="100">
        <v>46262.040405092594</v>
      </c>
      <c r="AP727" t="s">
        <v>1147</v>
      </c>
      <c r="AQ727" t="s">
        <v>2673</v>
      </c>
      <c r="AR727" t="s">
        <v>1149</v>
      </c>
      <c r="AS727" t="s">
        <v>1150</v>
      </c>
      <c r="AT727" t="s">
        <v>2572</v>
      </c>
      <c r="AU727">
        <v>25</v>
      </c>
      <c r="AV727">
        <v>4.0317119999999997</v>
      </c>
      <c r="AW727">
        <v>0.20901574964581013</v>
      </c>
      <c r="AX727">
        <v>5.1842926688664797</v>
      </c>
      <c r="AY727">
        <v>0.33389150767967662</v>
      </c>
      <c r="AZ727">
        <v>8.8879744113093668</v>
      </c>
      <c r="BA727">
        <v>4.3253906902446211</v>
      </c>
      <c r="BB727" t="s">
        <v>4619</v>
      </c>
      <c r="BD727" s="98"/>
      <c r="BE727" s="98"/>
      <c r="BF727" t="s">
        <v>1152</v>
      </c>
      <c r="BG727" t="s">
        <v>322</v>
      </c>
      <c r="BH727" t="s">
        <v>1153</v>
      </c>
      <c r="BI727">
        <v>0.33389150767967662</v>
      </c>
      <c r="BJ727" t="s">
        <v>989</v>
      </c>
      <c r="BK727">
        <v>13.87000834178882</v>
      </c>
      <c r="BL727">
        <v>60.945684388044491</v>
      </c>
      <c r="BM727" t="s">
        <v>1260</v>
      </c>
      <c r="BN727" t="s">
        <v>1154</v>
      </c>
      <c r="BO727">
        <v>2025</v>
      </c>
      <c r="BP727" t="s">
        <v>966</v>
      </c>
      <c r="BQ727">
        <v>2361.1498745371719</v>
      </c>
      <c r="BR727">
        <v>99.763885012546282</v>
      </c>
      <c r="BS727" t="s">
        <v>990</v>
      </c>
      <c r="BT727">
        <v>3</v>
      </c>
      <c r="BU727">
        <v>1</v>
      </c>
      <c r="BV727" t="s">
        <v>985</v>
      </c>
      <c r="BW727" t="s">
        <v>943</v>
      </c>
      <c r="BX727" t="s">
        <v>986</v>
      </c>
      <c r="BY727">
        <v>4.3253906902446211</v>
      </c>
      <c r="BZ727" t="s">
        <v>2573</v>
      </c>
      <c r="CA727" t="s">
        <v>989</v>
      </c>
      <c r="CB727" t="b">
        <v>1</v>
      </c>
      <c r="CC727" t="b">
        <v>1</v>
      </c>
      <c r="CD727" t="b">
        <v>1</v>
      </c>
      <c r="CE727" t="b">
        <v>1</v>
      </c>
      <c r="CF727" t="b">
        <v>0</v>
      </c>
    </row>
    <row r="728" spans="1:84" x14ac:dyDescent="0.3">
      <c r="A728" t="s">
        <v>2674</v>
      </c>
      <c r="B728" t="s">
        <v>1157</v>
      </c>
      <c r="C728" s="98">
        <v>45670</v>
      </c>
      <c r="D728">
        <v>2025</v>
      </c>
      <c r="E728">
        <v>1</v>
      </c>
      <c r="F728">
        <v>1</v>
      </c>
      <c r="G728" t="s">
        <v>1144</v>
      </c>
      <c r="H728" t="s">
        <v>139</v>
      </c>
      <c r="I728" t="s">
        <v>139</v>
      </c>
      <c r="J728" t="s">
        <v>6</v>
      </c>
      <c r="L728">
        <v>522611</v>
      </c>
      <c r="M728" s="99" t="s">
        <v>180</v>
      </c>
      <c r="N728">
        <v>3</v>
      </c>
      <c r="O728">
        <v>2</v>
      </c>
      <c r="P728">
        <v>4.3898999999999999</v>
      </c>
      <c r="Q728" t="s">
        <v>352</v>
      </c>
      <c r="R728">
        <v>1</v>
      </c>
      <c r="S728">
        <v>4.0376000000000003</v>
      </c>
      <c r="T728">
        <v>0.1779</v>
      </c>
      <c r="U728">
        <v>1.9803260258572211</v>
      </c>
      <c r="V728">
        <v>3.5039000000000002</v>
      </c>
      <c r="W728">
        <v>3.6818000000000004</v>
      </c>
      <c r="X728">
        <v>3.8597000000000001</v>
      </c>
      <c r="Y728">
        <v>4.2155000000000005</v>
      </c>
      <c r="Z728">
        <v>4.3934000000000006</v>
      </c>
      <c r="AA728">
        <v>4.5712999999999999</v>
      </c>
      <c r="AD728">
        <v>22.757982753098187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 t="s">
        <v>462</v>
      </c>
      <c r="AL728" t="s">
        <v>6</v>
      </c>
      <c r="AM728" t="s">
        <v>1145</v>
      </c>
      <c r="AN728" t="s">
        <v>1146</v>
      </c>
      <c r="AO728" s="100">
        <v>46262.040405092594</v>
      </c>
      <c r="AP728" t="s">
        <v>1147</v>
      </c>
      <c r="AQ728" t="s">
        <v>2675</v>
      </c>
      <c r="AR728" t="s">
        <v>1159</v>
      </c>
      <c r="AS728" t="s">
        <v>1150</v>
      </c>
      <c r="AT728" t="s">
        <v>2572</v>
      </c>
      <c r="AU728">
        <v>25</v>
      </c>
      <c r="AV728">
        <v>4.0317119999999997</v>
      </c>
      <c r="AW728">
        <v>0.20901574964581013</v>
      </c>
      <c r="AX728">
        <v>5.1842926688664797</v>
      </c>
      <c r="AY728">
        <v>0.33389150767967662</v>
      </c>
      <c r="AZ728">
        <v>8.8879744113093668</v>
      </c>
      <c r="BA728">
        <v>4.3253906902446211</v>
      </c>
      <c r="BB728" t="s">
        <v>4619</v>
      </c>
      <c r="BD728" s="98"/>
      <c r="BE728" s="98"/>
      <c r="BF728" t="s">
        <v>1152</v>
      </c>
      <c r="BG728" t="s">
        <v>322</v>
      </c>
      <c r="BH728" t="s">
        <v>1153</v>
      </c>
      <c r="BI728">
        <v>0.33389150767967662</v>
      </c>
      <c r="BJ728" t="s">
        <v>989</v>
      </c>
      <c r="BK728">
        <v>13.87000834178882</v>
      </c>
      <c r="BL728">
        <v>60.945684388044491</v>
      </c>
      <c r="BM728" t="s">
        <v>1260</v>
      </c>
      <c r="BN728" t="s">
        <v>1154</v>
      </c>
      <c r="BO728">
        <v>2025</v>
      </c>
      <c r="BP728" t="s">
        <v>966</v>
      </c>
      <c r="BQ728">
        <v>2361.1498745371719</v>
      </c>
      <c r="BR728">
        <v>99.763885012546282</v>
      </c>
      <c r="BS728" t="s">
        <v>990</v>
      </c>
      <c r="BT728">
        <v>3</v>
      </c>
      <c r="BU728">
        <v>1</v>
      </c>
      <c r="BV728" t="s">
        <v>985</v>
      </c>
      <c r="BW728" t="s">
        <v>943</v>
      </c>
      <c r="BX728" t="s">
        <v>986</v>
      </c>
      <c r="BY728">
        <v>4.3253906902446211</v>
      </c>
      <c r="BZ728" t="s">
        <v>2573</v>
      </c>
      <c r="CA728" t="s">
        <v>989</v>
      </c>
      <c r="CB728" t="b">
        <v>1</v>
      </c>
      <c r="CC728" t="b">
        <v>1</v>
      </c>
      <c r="CD728" t="b">
        <v>1</v>
      </c>
      <c r="CE728" t="b">
        <v>1</v>
      </c>
      <c r="CF728" t="b">
        <v>0</v>
      </c>
    </row>
    <row r="729" spans="1:84" x14ac:dyDescent="0.3">
      <c r="A729" t="s">
        <v>2676</v>
      </c>
      <c r="B729" t="s">
        <v>1161</v>
      </c>
      <c r="C729" s="98">
        <v>45677</v>
      </c>
      <c r="D729">
        <v>2025</v>
      </c>
      <c r="E729">
        <v>1</v>
      </c>
      <c r="F729">
        <v>1</v>
      </c>
      <c r="G729" t="s">
        <v>1144</v>
      </c>
      <c r="H729" t="s">
        <v>139</v>
      </c>
      <c r="I729" t="s">
        <v>139</v>
      </c>
      <c r="J729" t="s">
        <v>6</v>
      </c>
      <c r="L729">
        <v>522611</v>
      </c>
      <c r="M729" s="99" t="s">
        <v>180</v>
      </c>
      <c r="N729">
        <v>3</v>
      </c>
      <c r="O729">
        <v>3</v>
      </c>
      <c r="P729">
        <v>4.0415999999999999</v>
      </c>
      <c r="Q729" t="s">
        <v>352</v>
      </c>
      <c r="R729">
        <v>1</v>
      </c>
      <c r="S729">
        <v>4.0376000000000003</v>
      </c>
      <c r="T729">
        <v>0.1779</v>
      </c>
      <c r="U729">
        <v>2.2484541877456771E-2</v>
      </c>
      <c r="V729">
        <v>3.5039000000000002</v>
      </c>
      <c r="W729">
        <v>3.6818000000000004</v>
      </c>
      <c r="X729">
        <v>3.8597000000000001</v>
      </c>
      <c r="Y729">
        <v>4.2155000000000005</v>
      </c>
      <c r="Z729">
        <v>4.3934000000000006</v>
      </c>
      <c r="AA729">
        <v>4.5712999999999999</v>
      </c>
      <c r="AD729">
        <v>22.757982753098187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 t="s">
        <v>462</v>
      </c>
      <c r="AL729" t="s">
        <v>6</v>
      </c>
      <c r="AM729" t="s">
        <v>1145</v>
      </c>
      <c r="AN729" t="s">
        <v>1146</v>
      </c>
      <c r="AO729" s="100">
        <v>46262.040405092594</v>
      </c>
      <c r="AP729" t="s">
        <v>1147</v>
      </c>
      <c r="AQ729" t="s">
        <v>2677</v>
      </c>
      <c r="AR729" t="s">
        <v>1163</v>
      </c>
      <c r="AS729" t="s">
        <v>1150</v>
      </c>
      <c r="AT729" t="s">
        <v>2572</v>
      </c>
      <c r="AU729">
        <v>25</v>
      </c>
      <c r="AV729">
        <v>4.0317119999999997</v>
      </c>
      <c r="AW729">
        <v>0.20901574964581013</v>
      </c>
      <c r="AX729">
        <v>5.1842926688664797</v>
      </c>
      <c r="AY729">
        <v>0.33389150767967662</v>
      </c>
      <c r="AZ729">
        <v>8.8879744113093668</v>
      </c>
      <c r="BA729">
        <v>4.3253906902446211</v>
      </c>
      <c r="BB729" t="s">
        <v>4619</v>
      </c>
      <c r="BD729" s="98"/>
      <c r="BE729" s="98"/>
      <c r="BF729" t="s">
        <v>1152</v>
      </c>
      <c r="BG729" t="s">
        <v>322</v>
      </c>
      <c r="BH729" t="s">
        <v>1153</v>
      </c>
      <c r="BI729">
        <v>0.33389150767967662</v>
      </c>
      <c r="BJ729" t="s">
        <v>989</v>
      </c>
      <c r="BK729">
        <v>13.87000834178882</v>
      </c>
      <c r="BL729">
        <v>60.945684388044491</v>
      </c>
      <c r="BM729" t="s">
        <v>1260</v>
      </c>
      <c r="BN729" t="s">
        <v>1154</v>
      </c>
      <c r="BO729">
        <v>2025</v>
      </c>
      <c r="BP729" t="s">
        <v>966</v>
      </c>
      <c r="BQ729">
        <v>2361.1498745371719</v>
      </c>
      <c r="BR729">
        <v>99.763885012546282</v>
      </c>
      <c r="BS729" t="s">
        <v>990</v>
      </c>
      <c r="BT729">
        <v>3</v>
      </c>
      <c r="BU729">
        <v>1</v>
      </c>
      <c r="BV729" t="s">
        <v>985</v>
      </c>
      <c r="BW729" t="s">
        <v>943</v>
      </c>
      <c r="BX729" t="s">
        <v>986</v>
      </c>
      <c r="BY729">
        <v>4.3253906902446211</v>
      </c>
      <c r="BZ729" t="s">
        <v>2573</v>
      </c>
      <c r="CA729" t="s">
        <v>989</v>
      </c>
      <c r="CB729" t="b">
        <v>1</v>
      </c>
      <c r="CC729" t="b">
        <v>1</v>
      </c>
      <c r="CD729" t="b">
        <v>1</v>
      </c>
      <c r="CE729" t="b">
        <v>1</v>
      </c>
      <c r="CF729" t="b">
        <v>0</v>
      </c>
    </row>
    <row r="730" spans="1:84" x14ac:dyDescent="0.3">
      <c r="A730" t="s">
        <v>2678</v>
      </c>
      <c r="B730" t="s">
        <v>1165</v>
      </c>
      <c r="C730" s="98">
        <v>45684</v>
      </c>
      <c r="D730">
        <v>2025</v>
      </c>
      <c r="E730">
        <v>1</v>
      </c>
      <c r="F730">
        <v>1</v>
      </c>
      <c r="G730" t="s">
        <v>1144</v>
      </c>
      <c r="H730" t="s">
        <v>139</v>
      </c>
      <c r="I730" t="s">
        <v>139</v>
      </c>
      <c r="J730" t="s">
        <v>6</v>
      </c>
      <c r="L730">
        <v>522611</v>
      </c>
      <c r="M730" s="99" t="s">
        <v>180</v>
      </c>
      <c r="N730">
        <v>3</v>
      </c>
      <c r="O730">
        <v>4</v>
      </c>
      <c r="P730">
        <v>3.7168999999999999</v>
      </c>
      <c r="Q730" t="s">
        <v>352</v>
      </c>
      <c r="R730">
        <v>1</v>
      </c>
      <c r="S730">
        <v>4.0376000000000003</v>
      </c>
      <c r="T730">
        <v>0.1779</v>
      </c>
      <c r="U730">
        <v>-1.8026981450252975</v>
      </c>
      <c r="V730">
        <v>3.5039000000000002</v>
      </c>
      <c r="W730">
        <v>3.6818000000000004</v>
      </c>
      <c r="X730">
        <v>3.8597000000000001</v>
      </c>
      <c r="Y730">
        <v>4.2155000000000005</v>
      </c>
      <c r="Z730">
        <v>4.3934000000000006</v>
      </c>
      <c r="AA730">
        <v>4.5712999999999999</v>
      </c>
      <c r="AD730">
        <v>22.757982753098187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 t="s">
        <v>462</v>
      </c>
      <c r="AL730" t="s">
        <v>6</v>
      </c>
      <c r="AM730" t="s">
        <v>1145</v>
      </c>
      <c r="AN730" t="s">
        <v>1146</v>
      </c>
      <c r="AO730" s="100">
        <v>46262.040405092594</v>
      </c>
      <c r="AP730" t="s">
        <v>1147</v>
      </c>
      <c r="AQ730" t="s">
        <v>2679</v>
      </c>
      <c r="AR730" t="s">
        <v>1167</v>
      </c>
      <c r="AS730" t="s">
        <v>1150</v>
      </c>
      <c r="AT730" t="s">
        <v>2572</v>
      </c>
      <c r="AU730">
        <v>25</v>
      </c>
      <c r="AV730">
        <v>4.0317119999999997</v>
      </c>
      <c r="AW730">
        <v>0.20901574964581013</v>
      </c>
      <c r="AX730">
        <v>5.1842926688664797</v>
      </c>
      <c r="AY730">
        <v>0.33389150767967662</v>
      </c>
      <c r="AZ730">
        <v>8.8879744113093668</v>
      </c>
      <c r="BA730">
        <v>4.3253906902446211</v>
      </c>
      <c r="BB730" t="s">
        <v>4619</v>
      </c>
      <c r="BD730" s="98"/>
      <c r="BE730" s="98"/>
      <c r="BF730" t="s">
        <v>1152</v>
      </c>
      <c r="BG730" t="s">
        <v>322</v>
      </c>
      <c r="BH730" t="s">
        <v>1153</v>
      </c>
      <c r="BI730">
        <v>0.33389150767967662</v>
      </c>
      <c r="BJ730" t="s">
        <v>989</v>
      </c>
      <c r="BK730">
        <v>13.87000834178882</v>
      </c>
      <c r="BL730">
        <v>60.945684388044491</v>
      </c>
      <c r="BM730" t="s">
        <v>1260</v>
      </c>
      <c r="BN730" t="s">
        <v>1154</v>
      </c>
      <c r="BO730">
        <v>2025</v>
      </c>
      <c r="BP730" t="s">
        <v>966</v>
      </c>
      <c r="BQ730">
        <v>2361.1498745371719</v>
      </c>
      <c r="BR730">
        <v>99.763885012546282</v>
      </c>
      <c r="BS730" t="s">
        <v>990</v>
      </c>
      <c r="BT730">
        <v>3</v>
      </c>
      <c r="BU730">
        <v>1</v>
      </c>
      <c r="BV730" t="s">
        <v>985</v>
      </c>
      <c r="BW730" t="s">
        <v>943</v>
      </c>
      <c r="BX730" t="s">
        <v>986</v>
      </c>
      <c r="BY730">
        <v>4.3253906902446211</v>
      </c>
      <c r="BZ730" t="s">
        <v>2573</v>
      </c>
      <c r="CA730" t="s">
        <v>989</v>
      </c>
      <c r="CB730" t="b">
        <v>1</v>
      </c>
      <c r="CC730" t="b">
        <v>1</v>
      </c>
      <c r="CD730" t="b">
        <v>1</v>
      </c>
      <c r="CE730" t="b">
        <v>1</v>
      </c>
      <c r="CF730" t="b">
        <v>0</v>
      </c>
    </row>
    <row r="731" spans="1:84" x14ac:dyDescent="0.3">
      <c r="A731" t="s">
        <v>2680</v>
      </c>
      <c r="B731" t="s">
        <v>1169</v>
      </c>
      <c r="C731" s="98">
        <v>45691</v>
      </c>
      <c r="D731">
        <v>2025</v>
      </c>
      <c r="E731">
        <v>2</v>
      </c>
      <c r="F731">
        <v>1</v>
      </c>
      <c r="G731" t="s">
        <v>1170</v>
      </c>
      <c r="H731" t="s">
        <v>139</v>
      </c>
      <c r="I731" t="s">
        <v>139</v>
      </c>
      <c r="J731" t="s">
        <v>6</v>
      </c>
      <c r="L731">
        <v>522611</v>
      </c>
      <c r="M731" s="99" t="s">
        <v>180</v>
      </c>
      <c r="N731">
        <v>3</v>
      </c>
      <c r="O731">
        <v>5</v>
      </c>
      <c r="P731">
        <v>3.8784999999999998</v>
      </c>
      <c r="Q731" t="s">
        <v>352</v>
      </c>
      <c r="R731">
        <v>1</v>
      </c>
      <c r="S731">
        <v>4.0376000000000003</v>
      </c>
      <c r="T731">
        <v>0.1779</v>
      </c>
      <c r="U731">
        <v>-0.89432265317594417</v>
      </c>
      <c r="V731">
        <v>3.5039000000000002</v>
      </c>
      <c r="W731">
        <v>3.6818000000000004</v>
      </c>
      <c r="X731">
        <v>3.8597000000000001</v>
      </c>
      <c r="Y731">
        <v>4.2155000000000005</v>
      </c>
      <c r="Z731">
        <v>4.3934000000000006</v>
      </c>
      <c r="AA731">
        <v>4.5712999999999999</v>
      </c>
      <c r="AD731">
        <v>22.757982753098187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 t="s">
        <v>462</v>
      </c>
      <c r="AL731" t="s">
        <v>6</v>
      </c>
      <c r="AM731" t="s">
        <v>1145</v>
      </c>
      <c r="AN731" t="s">
        <v>1146</v>
      </c>
      <c r="AO731" s="100">
        <v>46262.040405092594</v>
      </c>
      <c r="AP731" t="s">
        <v>1147</v>
      </c>
      <c r="AQ731" t="s">
        <v>2681</v>
      </c>
      <c r="AR731" t="s">
        <v>1172</v>
      </c>
      <c r="AS731" t="s">
        <v>1150</v>
      </c>
      <c r="AT731" t="s">
        <v>2572</v>
      </c>
      <c r="AU731">
        <v>25</v>
      </c>
      <c r="AV731">
        <v>4.0317119999999997</v>
      </c>
      <c r="AW731">
        <v>0.20901574964581013</v>
      </c>
      <c r="AX731">
        <v>5.1842926688664797</v>
      </c>
      <c r="AY731">
        <v>0.33389150767967662</v>
      </c>
      <c r="AZ731">
        <v>8.8879744113093668</v>
      </c>
      <c r="BA731">
        <v>4.3253906902446211</v>
      </c>
      <c r="BB731" t="s">
        <v>4619</v>
      </c>
      <c r="BD731" s="98"/>
      <c r="BE731" s="98"/>
      <c r="BF731" t="s">
        <v>1152</v>
      </c>
      <c r="BG731" t="s">
        <v>322</v>
      </c>
      <c r="BH731" t="s">
        <v>1153</v>
      </c>
      <c r="BI731">
        <v>0.33389150767967662</v>
      </c>
      <c r="BJ731" t="s">
        <v>989</v>
      </c>
      <c r="BK731">
        <v>13.87000834178882</v>
      </c>
      <c r="BL731">
        <v>60.945684388044491</v>
      </c>
      <c r="BM731" t="s">
        <v>1260</v>
      </c>
      <c r="BN731" t="s">
        <v>1154</v>
      </c>
      <c r="BO731">
        <v>2025</v>
      </c>
      <c r="BP731" t="s">
        <v>966</v>
      </c>
      <c r="BQ731">
        <v>2361.1498745371719</v>
      </c>
      <c r="BR731">
        <v>99.763885012546282</v>
      </c>
      <c r="BS731" t="s">
        <v>990</v>
      </c>
      <c r="BT731">
        <v>3</v>
      </c>
      <c r="BU731">
        <v>1</v>
      </c>
      <c r="BV731" t="s">
        <v>985</v>
      </c>
      <c r="BW731" t="s">
        <v>943</v>
      </c>
      <c r="BX731" t="s">
        <v>986</v>
      </c>
      <c r="BY731">
        <v>4.3253906902446211</v>
      </c>
      <c r="BZ731" t="s">
        <v>2573</v>
      </c>
      <c r="CA731" t="s">
        <v>989</v>
      </c>
      <c r="CB731" t="b">
        <v>1</v>
      </c>
      <c r="CC731" t="b">
        <v>1</v>
      </c>
      <c r="CD731" t="b">
        <v>1</v>
      </c>
      <c r="CE731" t="b">
        <v>1</v>
      </c>
      <c r="CF731" t="b">
        <v>0</v>
      </c>
    </row>
    <row r="732" spans="1:84" x14ac:dyDescent="0.3">
      <c r="A732" t="s">
        <v>2682</v>
      </c>
      <c r="B732" t="s">
        <v>1174</v>
      </c>
      <c r="C732" s="98">
        <v>45698</v>
      </c>
      <c r="D732">
        <v>2025</v>
      </c>
      <c r="E732">
        <v>2</v>
      </c>
      <c r="F732">
        <v>1</v>
      </c>
      <c r="G732" t="s">
        <v>1170</v>
      </c>
      <c r="H732" t="s">
        <v>139</v>
      </c>
      <c r="I732" t="s">
        <v>139</v>
      </c>
      <c r="J732" t="s">
        <v>6</v>
      </c>
      <c r="L732">
        <v>522611</v>
      </c>
      <c r="M732" s="99" t="s">
        <v>180</v>
      </c>
      <c r="N732">
        <v>3</v>
      </c>
      <c r="O732">
        <v>6</v>
      </c>
      <c r="P732">
        <v>3.8228</v>
      </c>
      <c r="Q732" t="s">
        <v>352</v>
      </c>
      <c r="R732">
        <v>1</v>
      </c>
      <c r="S732">
        <v>4.0376000000000003</v>
      </c>
      <c r="T732">
        <v>0.1779</v>
      </c>
      <c r="U732">
        <v>-1.2074198988195635</v>
      </c>
      <c r="V732">
        <v>3.5039000000000002</v>
      </c>
      <c r="W732">
        <v>3.6818000000000004</v>
      </c>
      <c r="X732">
        <v>3.8597000000000001</v>
      </c>
      <c r="Y732">
        <v>4.2155000000000005</v>
      </c>
      <c r="Z732">
        <v>4.3934000000000006</v>
      </c>
      <c r="AA732">
        <v>4.5712999999999999</v>
      </c>
      <c r="AD732">
        <v>22.757982753098187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 t="s">
        <v>462</v>
      </c>
      <c r="AL732" t="s">
        <v>6</v>
      </c>
      <c r="AM732" t="s">
        <v>1145</v>
      </c>
      <c r="AN732" t="s">
        <v>1146</v>
      </c>
      <c r="AO732" s="100">
        <v>46262.040405092594</v>
      </c>
      <c r="AP732" t="s">
        <v>1147</v>
      </c>
      <c r="AQ732" t="s">
        <v>2683</v>
      </c>
      <c r="AR732" t="s">
        <v>1176</v>
      </c>
      <c r="AS732" t="s">
        <v>1150</v>
      </c>
      <c r="AT732" t="s">
        <v>2572</v>
      </c>
      <c r="AU732">
        <v>25</v>
      </c>
      <c r="AV732">
        <v>4.0317119999999997</v>
      </c>
      <c r="AW732">
        <v>0.20901574964581013</v>
      </c>
      <c r="AX732">
        <v>5.1842926688664797</v>
      </c>
      <c r="AY732">
        <v>0.33389150767967662</v>
      </c>
      <c r="AZ732">
        <v>8.8879744113093668</v>
      </c>
      <c r="BA732">
        <v>4.3253906902446211</v>
      </c>
      <c r="BB732" t="s">
        <v>4619</v>
      </c>
      <c r="BD732" s="98"/>
      <c r="BE732" s="98"/>
      <c r="BF732" t="s">
        <v>1152</v>
      </c>
      <c r="BG732" t="s">
        <v>322</v>
      </c>
      <c r="BH732" t="s">
        <v>1153</v>
      </c>
      <c r="BI732">
        <v>0.33389150767967662</v>
      </c>
      <c r="BJ732" t="s">
        <v>989</v>
      </c>
      <c r="BK732">
        <v>13.87000834178882</v>
      </c>
      <c r="BL732">
        <v>60.945684388044491</v>
      </c>
      <c r="BM732" t="s">
        <v>1260</v>
      </c>
      <c r="BN732" t="s">
        <v>1154</v>
      </c>
      <c r="BO732">
        <v>2025</v>
      </c>
      <c r="BP732" t="s">
        <v>966</v>
      </c>
      <c r="BQ732">
        <v>2361.1498745371719</v>
      </c>
      <c r="BR732">
        <v>99.763885012546282</v>
      </c>
      <c r="BS732" t="s">
        <v>990</v>
      </c>
      <c r="BT732">
        <v>3</v>
      </c>
      <c r="BU732">
        <v>1</v>
      </c>
      <c r="BV732" t="s">
        <v>985</v>
      </c>
      <c r="BW732" t="s">
        <v>943</v>
      </c>
      <c r="BX732" t="s">
        <v>986</v>
      </c>
      <c r="BY732">
        <v>4.3253906902446211</v>
      </c>
      <c r="BZ732" t="s">
        <v>2573</v>
      </c>
      <c r="CA732" t="s">
        <v>989</v>
      </c>
      <c r="CB732" t="b">
        <v>1</v>
      </c>
      <c r="CC732" t="b">
        <v>1</v>
      </c>
      <c r="CD732" t="b">
        <v>1</v>
      </c>
      <c r="CE732" t="b">
        <v>1</v>
      </c>
      <c r="CF732" t="b">
        <v>0</v>
      </c>
    </row>
    <row r="733" spans="1:84" x14ac:dyDescent="0.3">
      <c r="A733" t="s">
        <v>2684</v>
      </c>
      <c r="B733" t="s">
        <v>1178</v>
      </c>
      <c r="C733" s="98">
        <v>45705</v>
      </c>
      <c r="D733">
        <v>2025</v>
      </c>
      <c r="E733">
        <v>2</v>
      </c>
      <c r="F733">
        <v>1</v>
      </c>
      <c r="G733" t="s">
        <v>1170</v>
      </c>
      <c r="H733" t="s">
        <v>139</v>
      </c>
      <c r="I733" t="s">
        <v>139</v>
      </c>
      <c r="J733" t="s">
        <v>6</v>
      </c>
      <c r="L733">
        <v>522611</v>
      </c>
      <c r="M733" s="99" t="s">
        <v>180</v>
      </c>
      <c r="N733">
        <v>3</v>
      </c>
      <c r="O733">
        <v>7</v>
      </c>
      <c r="P733">
        <v>3.9483000000000001</v>
      </c>
      <c r="Q733" t="s">
        <v>352</v>
      </c>
      <c r="R733">
        <v>1</v>
      </c>
      <c r="S733">
        <v>4.0376000000000003</v>
      </c>
      <c r="T733">
        <v>0.1779</v>
      </c>
      <c r="U733">
        <v>-0.50196739741427854</v>
      </c>
      <c r="V733">
        <v>3.5039000000000002</v>
      </c>
      <c r="W733">
        <v>3.6818000000000004</v>
      </c>
      <c r="X733">
        <v>3.8597000000000001</v>
      </c>
      <c r="Y733">
        <v>4.2155000000000005</v>
      </c>
      <c r="Z733">
        <v>4.3934000000000006</v>
      </c>
      <c r="AA733">
        <v>4.5712999999999999</v>
      </c>
      <c r="AD733">
        <v>22.757982753098187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 t="s">
        <v>462</v>
      </c>
      <c r="AL733" t="s">
        <v>6</v>
      </c>
      <c r="AM733" t="s">
        <v>1145</v>
      </c>
      <c r="AN733" t="s">
        <v>1146</v>
      </c>
      <c r="AO733" s="100">
        <v>46262.040405092594</v>
      </c>
      <c r="AP733" t="s">
        <v>1147</v>
      </c>
      <c r="AQ733" t="s">
        <v>2685</v>
      </c>
      <c r="AR733" t="s">
        <v>1180</v>
      </c>
      <c r="AS733" t="s">
        <v>1150</v>
      </c>
      <c r="AT733" t="s">
        <v>2572</v>
      </c>
      <c r="AU733">
        <v>25</v>
      </c>
      <c r="AV733">
        <v>4.0317119999999997</v>
      </c>
      <c r="AW733">
        <v>0.20901574964581013</v>
      </c>
      <c r="AX733">
        <v>5.1842926688664797</v>
      </c>
      <c r="AY733">
        <v>0.33389150767967662</v>
      </c>
      <c r="AZ733">
        <v>8.8879744113093668</v>
      </c>
      <c r="BA733">
        <v>4.3253906902446211</v>
      </c>
      <c r="BB733" t="s">
        <v>4619</v>
      </c>
      <c r="BD733" s="98"/>
      <c r="BE733" s="98"/>
      <c r="BF733" t="s">
        <v>1152</v>
      </c>
      <c r="BG733" t="s">
        <v>322</v>
      </c>
      <c r="BH733" t="s">
        <v>1153</v>
      </c>
      <c r="BI733">
        <v>0.33389150767967662</v>
      </c>
      <c r="BJ733" t="s">
        <v>989</v>
      </c>
      <c r="BK733">
        <v>13.87000834178882</v>
      </c>
      <c r="BL733">
        <v>60.945684388044491</v>
      </c>
      <c r="BM733" t="s">
        <v>1260</v>
      </c>
      <c r="BN733" t="s">
        <v>1154</v>
      </c>
      <c r="BO733">
        <v>2025</v>
      </c>
      <c r="BP733" t="s">
        <v>966</v>
      </c>
      <c r="BQ733">
        <v>2361.1498745371719</v>
      </c>
      <c r="BR733">
        <v>99.763885012546282</v>
      </c>
      <c r="BS733" t="s">
        <v>990</v>
      </c>
      <c r="BT733">
        <v>3</v>
      </c>
      <c r="BU733">
        <v>1</v>
      </c>
      <c r="BV733" t="s">
        <v>985</v>
      </c>
      <c r="BW733" t="s">
        <v>943</v>
      </c>
      <c r="BX733" t="s">
        <v>986</v>
      </c>
      <c r="BY733">
        <v>4.3253906902446211</v>
      </c>
      <c r="BZ733" t="s">
        <v>2573</v>
      </c>
      <c r="CA733" t="s">
        <v>989</v>
      </c>
      <c r="CB733" t="b">
        <v>1</v>
      </c>
      <c r="CC733" t="b">
        <v>1</v>
      </c>
      <c r="CD733" t="b">
        <v>1</v>
      </c>
      <c r="CE733" t="b">
        <v>1</v>
      </c>
      <c r="CF733" t="b">
        <v>0</v>
      </c>
    </row>
    <row r="734" spans="1:84" x14ac:dyDescent="0.3">
      <c r="A734" t="s">
        <v>2686</v>
      </c>
      <c r="B734" t="s">
        <v>1182</v>
      </c>
      <c r="C734" s="98">
        <v>45712</v>
      </c>
      <c r="D734">
        <v>2025</v>
      </c>
      <c r="E734">
        <v>2</v>
      </c>
      <c r="F734">
        <v>1</v>
      </c>
      <c r="G734" t="s">
        <v>1170</v>
      </c>
      <c r="H734" t="s">
        <v>139</v>
      </c>
      <c r="I734" t="s">
        <v>139</v>
      </c>
      <c r="J734" t="s">
        <v>6</v>
      </c>
      <c r="L734">
        <v>522611</v>
      </c>
      <c r="M734" s="99" t="s">
        <v>180</v>
      </c>
      <c r="N734">
        <v>3</v>
      </c>
      <c r="O734">
        <v>8</v>
      </c>
      <c r="P734">
        <v>4.0518000000000001</v>
      </c>
      <c r="Q734" t="s">
        <v>352</v>
      </c>
      <c r="R734">
        <v>1</v>
      </c>
      <c r="S734">
        <v>4.0376000000000003</v>
      </c>
      <c r="T734">
        <v>0.1779</v>
      </c>
      <c r="U734">
        <v>7.9820123664979023E-2</v>
      </c>
      <c r="V734">
        <v>3.5039000000000002</v>
      </c>
      <c r="W734">
        <v>3.6818000000000004</v>
      </c>
      <c r="X734">
        <v>3.8597000000000001</v>
      </c>
      <c r="Y734">
        <v>4.2155000000000005</v>
      </c>
      <c r="Z734">
        <v>4.3934000000000006</v>
      </c>
      <c r="AA734">
        <v>4.5712999999999999</v>
      </c>
      <c r="AD734">
        <v>22.757982753098187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 t="s">
        <v>462</v>
      </c>
      <c r="AL734" t="s">
        <v>6</v>
      </c>
      <c r="AM734" t="s">
        <v>1145</v>
      </c>
      <c r="AN734" t="s">
        <v>1146</v>
      </c>
      <c r="AO734" s="100">
        <v>46262.040405092594</v>
      </c>
      <c r="AP734" t="s">
        <v>1147</v>
      </c>
      <c r="AQ734" t="s">
        <v>2687</v>
      </c>
      <c r="AR734" t="s">
        <v>1184</v>
      </c>
      <c r="AS734" t="s">
        <v>1150</v>
      </c>
      <c r="AT734" t="s">
        <v>2572</v>
      </c>
      <c r="AU734">
        <v>25</v>
      </c>
      <c r="AV734">
        <v>4.0317119999999997</v>
      </c>
      <c r="AW734">
        <v>0.20901574964581013</v>
      </c>
      <c r="AX734">
        <v>5.1842926688664797</v>
      </c>
      <c r="AY734">
        <v>0.33389150767967662</v>
      </c>
      <c r="AZ734">
        <v>8.8879744113093668</v>
      </c>
      <c r="BA734">
        <v>4.3253906902446211</v>
      </c>
      <c r="BB734" t="s">
        <v>4619</v>
      </c>
      <c r="BD734" s="98"/>
      <c r="BE734" s="98"/>
      <c r="BF734" t="s">
        <v>1152</v>
      </c>
      <c r="BG734" t="s">
        <v>322</v>
      </c>
      <c r="BH734" t="s">
        <v>1153</v>
      </c>
      <c r="BI734">
        <v>0.33389150767967662</v>
      </c>
      <c r="BJ734" t="s">
        <v>989</v>
      </c>
      <c r="BK734">
        <v>13.87000834178882</v>
      </c>
      <c r="BL734">
        <v>60.945684388044491</v>
      </c>
      <c r="BM734" t="s">
        <v>1260</v>
      </c>
      <c r="BN734" t="s">
        <v>1154</v>
      </c>
      <c r="BO734">
        <v>2025</v>
      </c>
      <c r="BP734" t="s">
        <v>966</v>
      </c>
      <c r="BQ734">
        <v>2361.1498745371719</v>
      </c>
      <c r="BR734">
        <v>99.763885012546282</v>
      </c>
      <c r="BS734" t="s">
        <v>990</v>
      </c>
      <c r="BT734">
        <v>3</v>
      </c>
      <c r="BU734">
        <v>1</v>
      </c>
      <c r="BV734" t="s">
        <v>985</v>
      </c>
      <c r="BW734" t="s">
        <v>943</v>
      </c>
      <c r="BX734" t="s">
        <v>986</v>
      </c>
      <c r="BY734">
        <v>4.3253906902446211</v>
      </c>
      <c r="BZ734" t="s">
        <v>2573</v>
      </c>
      <c r="CA734" t="s">
        <v>989</v>
      </c>
      <c r="CB734" t="b">
        <v>1</v>
      </c>
      <c r="CC734" t="b">
        <v>1</v>
      </c>
      <c r="CD734" t="b">
        <v>1</v>
      </c>
      <c r="CE734" t="b">
        <v>1</v>
      </c>
      <c r="CF734" t="b">
        <v>0</v>
      </c>
    </row>
    <row r="735" spans="1:84" x14ac:dyDescent="0.3">
      <c r="A735" t="s">
        <v>2688</v>
      </c>
      <c r="B735" t="s">
        <v>1186</v>
      </c>
      <c r="C735" s="98">
        <v>45719</v>
      </c>
      <c r="D735">
        <v>2025</v>
      </c>
      <c r="E735">
        <v>3</v>
      </c>
      <c r="F735">
        <v>1</v>
      </c>
      <c r="G735" t="s">
        <v>1187</v>
      </c>
      <c r="H735" t="s">
        <v>139</v>
      </c>
      <c r="I735" t="s">
        <v>139</v>
      </c>
      <c r="J735" t="s">
        <v>6</v>
      </c>
      <c r="L735">
        <v>522611</v>
      </c>
      <c r="M735" s="99" t="s">
        <v>180</v>
      </c>
      <c r="N735">
        <v>3</v>
      </c>
      <c r="O735">
        <v>9</v>
      </c>
      <c r="P735">
        <v>3.6812999999999998</v>
      </c>
      <c r="Q735" t="s">
        <v>352</v>
      </c>
      <c r="R735">
        <v>1</v>
      </c>
      <c r="S735">
        <v>4.0376000000000003</v>
      </c>
      <c r="T735">
        <v>0.1779</v>
      </c>
      <c r="U735">
        <v>-2.0028105677346852</v>
      </c>
      <c r="V735">
        <v>3.5039000000000002</v>
      </c>
      <c r="W735">
        <v>3.6818000000000004</v>
      </c>
      <c r="X735">
        <v>3.8597000000000001</v>
      </c>
      <c r="Y735">
        <v>4.2155000000000005</v>
      </c>
      <c r="Z735">
        <v>4.3934000000000006</v>
      </c>
      <c r="AA735">
        <v>4.5712999999999999</v>
      </c>
      <c r="AD735">
        <v>22.757982753098187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1</v>
      </c>
      <c r="AK735" t="s">
        <v>462</v>
      </c>
      <c r="AL735" t="s">
        <v>6</v>
      </c>
      <c r="AM735" t="s">
        <v>1145</v>
      </c>
      <c r="AN735" t="s">
        <v>1146</v>
      </c>
      <c r="AO735" s="100">
        <v>46262.040405092594</v>
      </c>
      <c r="AP735" t="s">
        <v>1147</v>
      </c>
      <c r="AQ735" t="s">
        <v>2689</v>
      </c>
      <c r="AR735" t="s">
        <v>1189</v>
      </c>
      <c r="AS735" t="s">
        <v>1150</v>
      </c>
      <c r="AT735" t="s">
        <v>2572</v>
      </c>
      <c r="AU735">
        <v>25</v>
      </c>
      <c r="AV735">
        <v>4.0317119999999997</v>
      </c>
      <c r="AW735">
        <v>0.20901574964581013</v>
      </c>
      <c r="AX735">
        <v>5.1842926688664797</v>
      </c>
      <c r="AY735">
        <v>0.33389150767967662</v>
      </c>
      <c r="AZ735">
        <v>8.8879744113093668</v>
      </c>
      <c r="BA735">
        <v>4.3253906902446211</v>
      </c>
      <c r="BB735" t="s">
        <v>4619</v>
      </c>
      <c r="BD735" s="98"/>
      <c r="BE735" s="98"/>
      <c r="BF735" t="s">
        <v>1152</v>
      </c>
      <c r="BG735" t="s">
        <v>322</v>
      </c>
      <c r="BH735" t="s">
        <v>1153</v>
      </c>
      <c r="BI735">
        <v>0.33389150767967662</v>
      </c>
      <c r="BJ735" t="s">
        <v>989</v>
      </c>
      <c r="BK735">
        <v>13.87000834178882</v>
      </c>
      <c r="BL735">
        <v>60.945684388044491</v>
      </c>
      <c r="BM735" t="s">
        <v>1260</v>
      </c>
      <c r="BN735" t="s">
        <v>1154</v>
      </c>
      <c r="BO735">
        <v>2025</v>
      </c>
      <c r="BP735" t="s">
        <v>966</v>
      </c>
      <c r="BQ735">
        <v>2361.1498745371719</v>
      </c>
      <c r="BR735">
        <v>99.763885012546282</v>
      </c>
      <c r="BS735" t="s">
        <v>990</v>
      </c>
      <c r="BT735">
        <v>3</v>
      </c>
      <c r="BU735">
        <v>1</v>
      </c>
      <c r="BV735" t="s">
        <v>985</v>
      </c>
      <c r="BW735" t="s">
        <v>943</v>
      </c>
      <c r="BX735" t="s">
        <v>986</v>
      </c>
      <c r="BY735">
        <v>4.3253906902446211</v>
      </c>
      <c r="BZ735" t="s">
        <v>2573</v>
      </c>
      <c r="CA735" t="s">
        <v>989</v>
      </c>
      <c r="CB735" t="b">
        <v>1</v>
      </c>
      <c r="CC735" t="b">
        <v>1</v>
      </c>
      <c r="CD735" t="b">
        <v>1</v>
      </c>
      <c r="CE735" t="b">
        <v>1</v>
      </c>
      <c r="CF735" t="b">
        <v>0</v>
      </c>
    </row>
    <row r="736" spans="1:84" x14ac:dyDescent="0.3">
      <c r="A736" t="s">
        <v>2690</v>
      </c>
      <c r="B736" t="s">
        <v>1191</v>
      </c>
      <c r="C736" s="98">
        <v>45726</v>
      </c>
      <c r="D736">
        <v>2025</v>
      </c>
      <c r="E736">
        <v>3</v>
      </c>
      <c r="F736">
        <v>1</v>
      </c>
      <c r="G736" t="s">
        <v>1187</v>
      </c>
      <c r="H736" t="s">
        <v>139</v>
      </c>
      <c r="I736" t="s">
        <v>139</v>
      </c>
      <c r="J736" t="s">
        <v>6</v>
      </c>
      <c r="L736">
        <v>522611</v>
      </c>
      <c r="M736" s="99" t="s">
        <v>180</v>
      </c>
      <c r="N736">
        <v>3</v>
      </c>
      <c r="O736">
        <v>10</v>
      </c>
      <c r="P736">
        <v>4.0984999999999996</v>
      </c>
      <c r="Q736" t="s">
        <v>352</v>
      </c>
      <c r="R736">
        <v>1</v>
      </c>
      <c r="S736">
        <v>4.0376000000000003</v>
      </c>
      <c r="T736">
        <v>0.1779</v>
      </c>
      <c r="U736">
        <v>0.34232715008431303</v>
      </c>
      <c r="V736">
        <v>3.5039000000000002</v>
      </c>
      <c r="W736">
        <v>3.6818000000000004</v>
      </c>
      <c r="X736">
        <v>3.8597000000000001</v>
      </c>
      <c r="Y736">
        <v>4.2155000000000005</v>
      </c>
      <c r="Z736">
        <v>4.3934000000000006</v>
      </c>
      <c r="AA736">
        <v>4.5712999999999999</v>
      </c>
      <c r="AD736">
        <v>22.757982753098187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 t="s">
        <v>462</v>
      </c>
      <c r="AL736" t="s">
        <v>6</v>
      </c>
      <c r="AM736" t="s">
        <v>1145</v>
      </c>
      <c r="AN736" t="s">
        <v>1146</v>
      </c>
      <c r="AO736" s="100">
        <v>46262.040405092594</v>
      </c>
      <c r="AP736" t="s">
        <v>1147</v>
      </c>
      <c r="AQ736" t="s">
        <v>2691</v>
      </c>
      <c r="AR736" t="s">
        <v>1193</v>
      </c>
      <c r="AS736" t="s">
        <v>1150</v>
      </c>
      <c r="AT736" t="s">
        <v>2572</v>
      </c>
      <c r="AU736">
        <v>25</v>
      </c>
      <c r="AV736">
        <v>4.0317119999999997</v>
      </c>
      <c r="AW736">
        <v>0.20901574964581013</v>
      </c>
      <c r="AX736">
        <v>5.1842926688664797</v>
      </c>
      <c r="AY736">
        <v>0.33389150767967662</v>
      </c>
      <c r="AZ736">
        <v>8.8879744113093668</v>
      </c>
      <c r="BA736">
        <v>4.3253906902446211</v>
      </c>
      <c r="BB736" t="s">
        <v>4619</v>
      </c>
      <c r="BD736" s="98"/>
      <c r="BE736" s="98"/>
      <c r="BF736" t="s">
        <v>1152</v>
      </c>
      <c r="BG736" t="s">
        <v>322</v>
      </c>
      <c r="BH736" t="s">
        <v>1153</v>
      </c>
      <c r="BI736">
        <v>0.33389150767967662</v>
      </c>
      <c r="BJ736" t="s">
        <v>989</v>
      </c>
      <c r="BK736">
        <v>13.87000834178882</v>
      </c>
      <c r="BL736">
        <v>60.945684388044491</v>
      </c>
      <c r="BM736" t="s">
        <v>1260</v>
      </c>
      <c r="BN736" t="s">
        <v>1154</v>
      </c>
      <c r="BO736">
        <v>2025</v>
      </c>
      <c r="BP736" t="s">
        <v>966</v>
      </c>
      <c r="BQ736">
        <v>2361.1498745371719</v>
      </c>
      <c r="BR736">
        <v>99.763885012546282</v>
      </c>
      <c r="BS736" t="s">
        <v>990</v>
      </c>
      <c r="BT736">
        <v>3</v>
      </c>
      <c r="BU736">
        <v>1</v>
      </c>
      <c r="BV736" t="s">
        <v>985</v>
      </c>
      <c r="BW736" t="s">
        <v>943</v>
      </c>
      <c r="BX736" t="s">
        <v>986</v>
      </c>
      <c r="BY736">
        <v>4.3253906902446211</v>
      </c>
      <c r="BZ736" t="s">
        <v>2573</v>
      </c>
      <c r="CA736" t="s">
        <v>989</v>
      </c>
      <c r="CB736" t="b">
        <v>1</v>
      </c>
      <c r="CC736" t="b">
        <v>1</v>
      </c>
      <c r="CD736" t="b">
        <v>1</v>
      </c>
      <c r="CE736" t="b">
        <v>1</v>
      </c>
      <c r="CF736" t="b">
        <v>0</v>
      </c>
    </row>
    <row r="737" spans="1:84" x14ac:dyDescent="0.3">
      <c r="A737" t="s">
        <v>2692</v>
      </c>
      <c r="B737" t="s">
        <v>1195</v>
      </c>
      <c r="C737" s="98">
        <v>45733</v>
      </c>
      <c r="D737">
        <v>2025</v>
      </c>
      <c r="E737">
        <v>3</v>
      </c>
      <c r="F737">
        <v>1</v>
      </c>
      <c r="G737" t="s">
        <v>1187</v>
      </c>
      <c r="H737" t="s">
        <v>139</v>
      </c>
      <c r="I737" t="s">
        <v>139</v>
      </c>
      <c r="J737" t="s">
        <v>6</v>
      </c>
      <c r="L737">
        <v>522611</v>
      </c>
      <c r="M737" s="99" t="s">
        <v>180</v>
      </c>
      <c r="N737">
        <v>3</v>
      </c>
      <c r="O737">
        <v>11</v>
      </c>
      <c r="P737">
        <v>3.7688000000000001</v>
      </c>
      <c r="Q737" t="s">
        <v>352</v>
      </c>
      <c r="R737">
        <v>1</v>
      </c>
      <c r="S737">
        <v>4.0376000000000003</v>
      </c>
      <c r="T737">
        <v>0.1779</v>
      </c>
      <c r="U737">
        <v>-1.5109612141652622</v>
      </c>
      <c r="V737">
        <v>3.5039000000000002</v>
      </c>
      <c r="W737">
        <v>3.6818000000000004</v>
      </c>
      <c r="X737">
        <v>3.8597000000000001</v>
      </c>
      <c r="Y737">
        <v>4.2155000000000005</v>
      </c>
      <c r="Z737">
        <v>4.3934000000000006</v>
      </c>
      <c r="AA737">
        <v>4.5712999999999999</v>
      </c>
      <c r="AD737">
        <v>22.757982753098187</v>
      </c>
      <c r="AE737">
        <v>0</v>
      </c>
      <c r="AF737">
        <v>0</v>
      </c>
      <c r="AG737">
        <v>0</v>
      </c>
      <c r="AH737">
        <v>1</v>
      </c>
      <c r="AI737">
        <v>0</v>
      </c>
      <c r="AJ737">
        <v>0</v>
      </c>
      <c r="AK737" t="s">
        <v>1213</v>
      </c>
      <c r="AL737" t="s">
        <v>6</v>
      </c>
      <c r="AM737" t="s">
        <v>1145</v>
      </c>
      <c r="AN737" t="s">
        <v>1146</v>
      </c>
      <c r="AO737" s="100">
        <v>46262.040405092594</v>
      </c>
      <c r="AP737" t="s">
        <v>1147</v>
      </c>
      <c r="AQ737" t="s">
        <v>2693</v>
      </c>
      <c r="AR737" t="s">
        <v>1197</v>
      </c>
      <c r="AS737" t="s">
        <v>1150</v>
      </c>
      <c r="AT737" t="s">
        <v>2572</v>
      </c>
      <c r="AU737">
        <v>25</v>
      </c>
      <c r="AV737">
        <v>4.0317119999999997</v>
      </c>
      <c r="AW737">
        <v>0.20901574964581013</v>
      </c>
      <c r="AX737">
        <v>5.1842926688664797</v>
      </c>
      <c r="AY737">
        <v>0.33389150767967662</v>
      </c>
      <c r="AZ737">
        <v>8.8879744113093668</v>
      </c>
      <c r="BA737">
        <v>4.3253906902446211</v>
      </c>
      <c r="BB737" t="s">
        <v>4619</v>
      </c>
      <c r="BD737" s="98"/>
      <c r="BE737" s="98"/>
      <c r="BF737" t="s">
        <v>1152</v>
      </c>
      <c r="BG737" t="s">
        <v>322</v>
      </c>
      <c r="BH737" t="s">
        <v>1153</v>
      </c>
      <c r="BI737">
        <v>0.33389150767967662</v>
      </c>
      <c r="BJ737" t="s">
        <v>989</v>
      </c>
      <c r="BK737">
        <v>13.87000834178882</v>
      </c>
      <c r="BL737">
        <v>60.945684388044491</v>
      </c>
      <c r="BM737" t="s">
        <v>1260</v>
      </c>
      <c r="BN737" t="s">
        <v>1154</v>
      </c>
      <c r="BO737">
        <v>2025</v>
      </c>
      <c r="BP737" t="s">
        <v>966</v>
      </c>
      <c r="BQ737">
        <v>2361.1498745371719</v>
      </c>
      <c r="BR737">
        <v>99.763885012546282</v>
      </c>
      <c r="BS737" t="s">
        <v>990</v>
      </c>
      <c r="BT737">
        <v>3</v>
      </c>
      <c r="BU737">
        <v>1</v>
      </c>
      <c r="BV737" t="s">
        <v>985</v>
      </c>
      <c r="BW737" t="s">
        <v>943</v>
      </c>
      <c r="BX737" t="s">
        <v>986</v>
      </c>
      <c r="BY737">
        <v>4.3253906902446211</v>
      </c>
      <c r="BZ737" t="s">
        <v>2573</v>
      </c>
      <c r="CA737" t="s">
        <v>989</v>
      </c>
      <c r="CB737" t="b">
        <v>1</v>
      </c>
      <c r="CC737" t="b">
        <v>1</v>
      </c>
      <c r="CD737" t="b">
        <v>1</v>
      </c>
      <c r="CE737" t="b">
        <v>1</v>
      </c>
      <c r="CF737" t="b">
        <v>0</v>
      </c>
    </row>
    <row r="738" spans="1:84" x14ac:dyDescent="0.3">
      <c r="A738" t="s">
        <v>2694</v>
      </c>
      <c r="B738" t="s">
        <v>1199</v>
      </c>
      <c r="C738" s="98">
        <v>45740</v>
      </c>
      <c r="D738">
        <v>2025</v>
      </c>
      <c r="E738">
        <v>3</v>
      </c>
      <c r="F738">
        <v>1</v>
      </c>
      <c r="G738" t="s">
        <v>1187</v>
      </c>
      <c r="H738" t="s">
        <v>139</v>
      </c>
      <c r="I738" t="s">
        <v>139</v>
      </c>
      <c r="J738" t="s">
        <v>6</v>
      </c>
      <c r="L738">
        <v>522611</v>
      </c>
      <c r="M738" s="99" t="s">
        <v>180</v>
      </c>
      <c r="N738">
        <v>3</v>
      </c>
      <c r="O738">
        <v>12</v>
      </c>
      <c r="P738">
        <v>4.0904999999999996</v>
      </c>
      <c r="Q738" t="s">
        <v>352</v>
      </c>
      <c r="R738">
        <v>1</v>
      </c>
      <c r="S738">
        <v>4.0376000000000003</v>
      </c>
      <c r="T738">
        <v>0.1779</v>
      </c>
      <c r="U738">
        <v>0.29735806632939449</v>
      </c>
      <c r="V738">
        <v>3.5039000000000002</v>
      </c>
      <c r="W738">
        <v>3.6818000000000004</v>
      </c>
      <c r="X738">
        <v>3.8597000000000001</v>
      </c>
      <c r="Y738">
        <v>4.2155000000000005</v>
      </c>
      <c r="Z738">
        <v>4.3934000000000006</v>
      </c>
      <c r="AA738">
        <v>4.5712999999999999</v>
      </c>
      <c r="AD738">
        <v>22.757982753098187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 t="s">
        <v>462</v>
      </c>
      <c r="AL738" t="s">
        <v>6</v>
      </c>
      <c r="AM738" t="s">
        <v>1145</v>
      </c>
      <c r="AN738" t="s">
        <v>1146</v>
      </c>
      <c r="AO738" s="100">
        <v>46262.040405092594</v>
      </c>
      <c r="AP738" t="s">
        <v>1147</v>
      </c>
      <c r="AQ738" t="s">
        <v>2695</v>
      </c>
      <c r="AR738" t="s">
        <v>1201</v>
      </c>
      <c r="AS738" t="s">
        <v>1150</v>
      </c>
      <c r="AT738" t="s">
        <v>2572</v>
      </c>
      <c r="AU738">
        <v>25</v>
      </c>
      <c r="AV738">
        <v>4.0317119999999997</v>
      </c>
      <c r="AW738">
        <v>0.20901574964581013</v>
      </c>
      <c r="AX738">
        <v>5.1842926688664797</v>
      </c>
      <c r="AY738">
        <v>0.33389150767967662</v>
      </c>
      <c r="AZ738">
        <v>8.8879744113093668</v>
      </c>
      <c r="BA738">
        <v>4.3253906902446211</v>
      </c>
      <c r="BB738" t="s">
        <v>4619</v>
      </c>
      <c r="BD738" s="98"/>
      <c r="BE738" s="98"/>
      <c r="BF738" t="s">
        <v>1152</v>
      </c>
      <c r="BG738" t="s">
        <v>322</v>
      </c>
      <c r="BH738" t="s">
        <v>1153</v>
      </c>
      <c r="BI738">
        <v>0.33389150767967662</v>
      </c>
      <c r="BJ738" t="s">
        <v>989</v>
      </c>
      <c r="BK738">
        <v>13.87000834178882</v>
      </c>
      <c r="BL738">
        <v>60.945684388044491</v>
      </c>
      <c r="BM738" t="s">
        <v>1260</v>
      </c>
      <c r="BN738" t="s">
        <v>1154</v>
      </c>
      <c r="BO738">
        <v>2025</v>
      </c>
      <c r="BP738" t="s">
        <v>966</v>
      </c>
      <c r="BQ738">
        <v>2361.1498745371719</v>
      </c>
      <c r="BR738">
        <v>99.763885012546282</v>
      </c>
      <c r="BS738" t="s">
        <v>990</v>
      </c>
      <c r="BT738">
        <v>3</v>
      </c>
      <c r="BU738">
        <v>1</v>
      </c>
      <c r="BV738" t="s">
        <v>985</v>
      </c>
      <c r="BW738" t="s">
        <v>943</v>
      </c>
      <c r="BX738" t="s">
        <v>986</v>
      </c>
      <c r="BY738">
        <v>4.3253906902446211</v>
      </c>
      <c r="BZ738" t="s">
        <v>2573</v>
      </c>
      <c r="CA738" t="s">
        <v>989</v>
      </c>
      <c r="CB738" t="b">
        <v>1</v>
      </c>
      <c r="CC738" t="b">
        <v>1</v>
      </c>
      <c r="CD738" t="b">
        <v>1</v>
      </c>
      <c r="CE738" t="b">
        <v>1</v>
      </c>
      <c r="CF738" t="b">
        <v>0</v>
      </c>
    </row>
    <row r="739" spans="1:84" x14ac:dyDescent="0.3">
      <c r="A739" t="s">
        <v>2696</v>
      </c>
      <c r="B739" t="s">
        <v>1203</v>
      </c>
      <c r="C739" s="98">
        <v>45747</v>
      </c>
      <c r="D739">
        <v>2025</v>
      </c>
      <c r="E739">
        <v>3</v>
      </c>
      <c r="F739">
        <v>1</v>
      </c>
      <c r="G739" t="s">
        <v>1187</v>
      </c>
      <c r="H739" t="s">
        <v>139</v>
      </c>
      <c r="I739" t="s">
        <v>139</v>
      </c>
      <c r="J739" t="s">
        <v>6</v>
      </c>
      <c r="L739">
        <v>522611</v>
      </c>
      <c r="M739" s="99" t="s">
        <v>180</v>
      </c>
      <c r="N739">
        <v>3</v>
      </c>
      <c r="O739">
        <v>13</v>
      </c>
      <c r="P739">
        <v>4.0180999999999996</v>
      </c>
      <c r="Q739" t="s">
        <v>352</v>
      </c>
      <c r="R739">
        <v>1</v>
      </c>
      <c r="S739">
        <v>4.0376000000000003</v>
      </c>
      <c r="T739">
        <v>0.1779</v>
      </c>
      <c r="U739">
        <v>-0.10961214165261798</v>
      </c>
      <c r="V739">
        <v>3.5039000000000002</v>
      </c>
      <c r="W739">
        <v>3.6818000000000004</v>
      </c>
      <c r="X739">
        <v>3.8597000000000001</v>
      </c>
      <c r="Y739">
        <v>4.2155000000000005</v>
      </c>
      <c r="Z739">
        <v>4.3934000000000006</v>
      </c>
      <c r="AA739">
        <v>4.5712999999999999</v>
      </c>
      <c r="AD739">
        <v>22.757982753098187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 t="s">
        <v>462</v>
      </c>
      <c r="AL739" t="s">
        <v>6</v>
      </c>
      <c r="AM739" t="s">
        <v>1145</v>
      </c>
      <c r="AN739" t="s">
        <v>1146</v>
      </c>
      <c r="AO739" s="100">
        <v>46262.040405092594</v>
      </c>
      <c r="AP739" t="s">
        <v>1147</v>
      </c>
      <c r="AQ739" t="s">
        <v>2697</v>
      </c>
      <c r="AR739" t="s">
        <v>1205</v>
      </c>
      <c r="AS739" t="s">
        <v>1150</v>
      </c>
      <c r="AT739" t="s">
        <v>2572</v>
      </c>
      <c r="AU739">
        <v>25</v>
      </c>
      <c r="AV739">
        <v>4.0317119999999997</v>
      </c>
      <c r="AW739">
        <v>0.20901574964581013</v>
      </c>
      <c r="AX739">
        <v>5.1842926688664797</v>
      </c>
      <c r="AY739">
        <v>0.33389150767967662</v>
      </c>
      <c r="AZ739">
        <v>8.8879744113093668</v>
      </c>
      <c r="BA739">
        <v>4.3253906902446211</v>
      </c>
      <c r="BB739" t="s">
        <v>4619</v>
      </c>
      <c r="BD739" s="98"/>
      <c r="BE739" s="98"/>
      <c r="BF739" t="s">
        <v>1152</v>
      </c>
      <c r="BG739" t="s">
        <v>322</v>
      </c>
      <c r="BH739" t="s">
        <v>1153</v>
      </c>
      <c r="BI739">
        <v>0.33389150767967662</v>
      </c>
      <c r="BJ739" t="s">
        <v>989</v>
      </c>
      <c r="BK739">
        <v>13.87000834178882</v>
      </c>
      <c r="BL739">
        <v>60.945684388044491</v>
      </c>
      <c r="BM739" t="s">
        <v>1260</v>
      </c>
      <c r="BN739" t="s">
        <v>1154</v>
      </c>
      <c r="BO739">
        <v>2025</v>
      </c>
      <c r="BP739" t="s">
        <v>966</v>
      </c>
      <c r="BQ739">
        <v>2361.1498745371719</v>
      </c>
      <c r="BR739">
        <v>99.763885012546282</v>
      </c>
      <c r="BS739" t="s">
        <v>990</v>
      </c>
      <c r="BT739">
        <v>3</v>
      </c>
      <c r="BU739">
        <v>1</v>
      </c>
      <c r="BV739" t="s">
        <v>985</v>
      </c>
      <c r="BW739" t="s">
        <v>943</v>
      </c>
      <c r="BX739" t="s">
        <v>986</v>
      </c>
      <c r="BY739">
        <v>4.3253906902446211</v>
      </c>
      <c r="BZ739" t="s">
        <v>2573</v>
      </c>
      <c r="CA739" t="s">
        <v>989</v>
      </c>
      <c r="CB739" t="b">
        <v>1</v>
      </c>
      <c r="CC739" t="b">
        <v>1</v>
      </c>
      <c r="CD739" t="b">
        <v>1</v>
      </c>
      <c r="CE739" t="b">
        <v>1</v>
      </c>
      <c r="CF739" t="b">
        <v>0</v>
      </c>
    </row>
    <row r="740" spans="1:84" x14ac:dyDescent="0.3">
      <c r="A740" t="s">
        <v>2698</v>
      </c>
      <c r="B740" t="s">
        <v>1207</v>
      </c>
      <c r="C740" s="98">
        <v>45754</v>
      </c>
      <c r="D740">
        <v>2025</v>
      </c>
      <c r="E740">
        <v>4</v>
      </c>
      <c r="F740">
        <v>2</v>
      </c>
      <c r="G740" t="s">
        <v>1208</v>
      </c>
      <c r="H740" t="s">
        <v>139</v>
      </c>
      <c r="I740" t="s">
        <v>139</v>
      </c>
      <c r="J740" t="s">
        <v>6</v>
      </c>
      <c r="L740">
        <v>522611</v>
      </c>
      <c r="M740" s="99" t="s">
        <v>180</v>
      </c>
      <c r="N740">
        <v>3</v>
      </c>
      <c r="O740">
        <v>14</v>
      </c>
      <c r="P740">
        <v>3.9817999999999998</v>
      </c>
      <c r="Q740" t="s">
        <v>352</v>
      </c>
      <c r="R740">
        <v>1</v>
      </c>
      <c r="S740">
        <v>4.0376000000000003</v>
      </c>
      <c r="T740">
        <v>0.1779</v>
      </c>
      <c r="U740">
        <v>-0.31365935919055937</v>
      </c>
      <c r="V740">
        <v>3.5039000000000002</v>
      </c>
      <c r="W740">
        <v>3.6818000000000004</v>
      </c>
      <c r="X740">
        <v>3.8597000000000001</v>
      </c>
      <c r="Y740">
        <v>4.2155000000000005</v>
      </c>
      <c r="Z740">
        <v>4.3934000000000006</v>
      </c>
      <c r="AA740">
        <v>4.5712999999999999</v>
      </c>
      <c r="AD740">
        <v>22.757982753098187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 t="s">
        <v>462</v>
      </c>
      <c r="AL740" t="s">
        <v>6</v>
      </c>
      <c r="AM740" t="s">
        <v>1145</v>
      </c>
      <c r="AN740" t="s">
        <v>1146</v>
      </c>
      <c r="AO740" s="100">
        <v>46262.040405092594</v>
      </c>
      <c r="AP740" t="s">
        <v>1147</v>
      </c>
      <c r="AQ740" t="s">
        <v>2699</v>
      </c>
      <c r="AR740" t="s">
        <v>1210</v>
      </c>
      <c r="AS740" t="s">
        <v>1150</v>
      </c>
      <c r="AT740" t="s">
        <v>2572</v>
      </c>
      <c r="AU740">
        <v>25</v>
      </c>
      <c r="AV740">
        <v>4.0317119999999997</v>
      </c>
      <c r="AW740">
        <v>0.20901574964581013</v>
      </c>
      <c r="AX740">
        <v>5.1842926688664797</v>
      </c>
      <c r="AY740">
        <v>0.33389150767967662</v>
      </c>
      <c r="AZ740">
        <v>8.8879744113093668</v>
      </c>
      <c r="BA740">
        <v>4.3253906902446211</v>
      </c>
      <c r="BB740" t="s">
        <v>4619</v>
      </c>
      <c r="BD740" s="98"/>
      <c r="BE740" s="98"/>
      <c r="BF740" t="s">
        <v>1152</v>
      </c>
      <c r="BG740" t="s">
        <v>322</v>
      </c>
      <c r="BH740" t="s">
        <v>1153</v>
      </c>
      <c r="BI740">
        <v>0.33389150767967662</v>
      </c>
      <c r="BJ740" t="s">
        <v>989</v>
      </c>
      <c r="BK740">
        <v>13.87000834178882</v>
      </c>
      <c r="BL740">
        <v>60.945684388044491</v>
      </c>
      <c r="BM740" t="s">
        <v>1260</v>
      </c>
      <c r="BN740" t="s">
        <v>1154</v>
      </c>
      <c r="BO740">
        <v>2025</v>
      </c>
      <c r="BP740" t="s">
        <v>966</v>
      </c>
      <c r="BQ740">
        <v>2361.1498745371719</v>
      </c>
      <c r="BR740">
        <v>99.763885012546282</v>
      </c>
      <c r="BS740" t="s">
        <v>990</v>
      </c>
      <c r="BT740">
        <v>3</v>
      </c>
      <c r="BU740">
        <v>1</v>
      </c>
      <c r="BV740" t="s">
        <v>985</v>
      </c>
      <c r="BW740" t="s">
        <v>943</v>
      </c>
      <c r="BX740" t="s">
        <v>986</v>
      </c>
      <c r="BY740">
        <v>4.3253906902446211</v>
      </c>
      <c r="BZ740" t="s">
        <v>2573</v>
      </c>
      <c r="CA740" t="s">
        <v>989</v>
      </c>
      <c r="CB740" t="b">
        <v>1</v>
      </c>
      <c r="CC740" t="b">
        <v>1</v>
      </c>
      <c r="CD740" t="b">
        <v>1</v>
      </c>
      <c r="CE740" t="b">
        <v>1</v>
      </c>
      <c r="CF740" t="b">
        <v>0</v>
      </c>
    </row>
    <row r="741" spans="1:84" x14ac:dyDescent="0.3">
      <c r="A741" t="s">
        <v>2700</v>
      </c>
      <c r="B741" t="s">
        <v>1212</v>
      </c>
      <c r="C741" s="98">
        <v>45761</v>
      </c>
      <c r="D741">
        <v>2025</v>
      </c>
      <c r="E741">
        <v>4</v>
      </c>
      <c r="F741">
        <v>2</v>
      </c>
      <c r="G741" t="s">
        <v>1208</v>
      </c>
      <c r="H741" t="s">
        <v>139</v>
      </c>
      <c r="I741" t="s">
        <v>139</v>
      </c>
      <c r="J741" t="s">
        <v>6</v>
      </c>
      <c r="L741">
        <v>522611</v>
      </c>
      <c r="M741" s="99" t="s">
        <v>180</v>
      </c>
      <c r="N741">
        <v>3</v>
      </c>
      <c r="O741">
        <v>15</v>
      </c>
      <c r="P741">
        <v>4.0246000000000004</v>
      </c>
      <c r="Q741" t="s">
        <v>352</v>
      </c>
      <c r="R741">
        <v>1</v>
      </c>
      <c r="S741">
        <v>4.0376000000000003</v>
      </c>
      <c r="T741">
        <v>0.1779</v>
      </c>
      <c r="U741">
        <v>-7.3074761101741992E-2</v>
      </c>
      <c r="V741">
        <v>3.5039000000000002</v>
      </c>
      <c r="W741">
        <v>3.6818000000000004</v>
      </c>
      <c r="X741">
        <v>3.8597000000000001</v>
      </c>
      <c r="Y741">
        <v>4.2155000000000005</v>
      </c>
      <c r="Z741">
        <v>4.3934000000000006</v>
      </c>
      <c r="AA741">
        <v>4.5712999999999999</v>
      </c>
      <c r="AD741">
        <v>22.757982753098187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 t="s">
        <v>462</v>
      </c>
      <c r="AL741" t="s">
        <v>6</v>
      </c>
      <c r="AM741" t="s">
        <v>1145</v>
      </c>
      <c r="AN741" t="s">
        <v>1146</v>
      </c>
      <c r="AO741" s="100">
        <v>46262.040405092594</v>
      </c>
      <c r="AP741" t="s">
        <v>1147</v>
      </c>
      <c r="AQ741" t="s">
        <v>2701</v>
      </c>
      <c r="AR741" t="s">
        <v>1215</v>
      </c>
      <c r="AS741" t="s">
        <v>1150</v>
      </c>
      <c r="AT741" t="s">
        <v>2572</v>
      </c>
      <c r="AU741">
        <v>25</v>
      </c>
      <c r="AV741">
        <v>4.0317119999999997</v>
      </c>
      <c r="AW741">
        <v>0.20901574964581013</v>
      </c>
      <c r="AX741">
        <v>5.1842926688664797</v>
      </c>
      <c r="AY741">
        <v>0.33389150767967662</v>
      </c>
      <c r="AZ741">
        <v>8.8879744113093668</v>
      </c>
      <c r="BA741">
        <v>4.3253906902446211</v>
      </c>
      <c r="BB741" t="s">
        <v>4619</v>
      </c>
      <c r="BD741" s="98"/>
      <c r="BE741" s="98"/>
      <c r="BF741" t="s">
        <v>1152</v>
      </c>
      <c r="BG741" t="s">
        <v>322</v>
      </c>
      <c r="BH741" t="s">
        <v>1153</v>
      </c>
      <c r="BI741">
        <v>0.33389150767967662</v>
      </c>
      <c r="BJ741" t="s">
        <v>989</v>
      </c>
      <c r="BK741">
        <v>13.87000834178882</v>
      </c>
      <c r="BL741">
        <v>60.945684388044491</v>
      </c>
      <c r="BM741" t="s">
        <v>1260</v>
      </c>
      <c r="BN741" t="s">
        <v>1154</v>
      </c>
      <c r="BO741">
        <v>2025</v>
      </c>
      <c r="BP741" t="s">
        <v>966</v>
      </c>
      <c r="BQ741">
        <v>2361.1498745371719</v>
      </c>
      <c r="BR741">
        <v>99.763885012546282</v>
      </c>
      <c r="BS741" t="s">
        <v>990</v>
      </c>
      <c r="BT741">
        <v>3</v>
      </c>
      <c r="BU741">
        <v>1</v>
      </c>
      <c r="BV741" t="s">
        <v>985</v>
      </c>
      <c r="BW741" t="s">
        <v>943</v>
      </c>
      <c r="BX741" t="s">
        <v>986</v>
      </c>
      <c r="BY741">
        <v>4.3253906902446211</v>
      </c>
      <c r="BZ741" t="s">
        <v>2573</v>
      </c>
      <c r="CA741" t="s">
        <v>989</v>
      </c>
      <c r="CB741" t="b">
        <v>1</v>
      </c>
      <c r="CC741" t="b">
        <v>1</v>
      </c>
      <c r="CD741" t="b">
        <v>1</v>
      </c>
      <c r="CE741" t="b">
        <v>1</v>
      </c>
      <c r="CF741" t="b">
        <v>0</v>
      </c>
    </row>
    <row r="742" spans="1:84" x14ac:dyDescent="0.3">
      <c r="A742" t="s">
        <v>2702</v>
      </c>
      <c r="B742" t="s">
        <v>1217</v>
      </c>
      <c r="C742" s="98">
        <v>45768</v>
      </c>
      <c r="D742">
        <v>2025</v>
      </c>
      <c r="E742">
        <v>4</v>
      </c>
      <c r="F742">
        <v>2</v>
      </c>
      <c r="G742" t="s">
        <v>1208</v>
      </c>
      <c r="H742" t="s">
        <v>139</v>
      </c>
      <c r="I742" t="s">
        <v>139</v>
      </c>
      <c r="J742" t="s">
        <v>6</v>
      </c>
      <c r="L742">
        <v>522611</v>
      </c>
      <c r="M742" s="99" t="s">
        <v>180</v>
      </c>
      <c r="N742">
        <v>3</v>
      </c>
      <c r="O742">
        <v>16</v>
      </c>
      <c r="P742">
        <v>3.9415</v>
      </c>
      <c r="Q742" t="s">
        <v>352</v>
      </c>
      <c r="R742">
        <v>1</v>
      </c>
      <c r="S742">
        <v>4.0376000000000003</v>
      </c>
      <c r="T742">
        <v>0.1779</v>
      </c>
      <c r="U742">
        <v>-0.54019111860596003</v>
      </c>
      <c r="V742">
        <v>3.5039000000000002</v>
      </c>
      <c r="W742">
        <v>3.6818000000000004</v>
      </c>
      <c r="X742">
        <v>3.8597000000000001</v>
      </c>
      <c r="Y742">
        <v>4.2155000000000005</v>
      </c>
      <c r="Z742">
        <v>4.3934000000000006</v>
      </c>
      <c r="AA742">
        <v>4.5712999999999999</v>
      </c>
      <c r="AD742">
        <v>22.757982753098187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 t="s">
        <v>462</v>
      </c>
      <c r="AL742" t="s">
        <v>6</v>
      </c>
      <c r="AM742" t="s">
        <v>1145</v>
      </c>
      <c r="AN742" t="s">
        <v>1146</v>
      </c>
      <c r="AO742" s="100">
        <v>46262.040405092594</v>
      </c>
      <c r="AP742" t="s">
        <v>1147</v>
      </c>
      <c r="AQ742" t="s">
        <v>2703</v>
      </c>
      <c r="AR742" t="s">
        <v>1219</v>
      </c>
      <c r="AS742" t="s">
        <v>1150</v>
      </c>
      <c r="AT742" t="s">
        <v>2572</v>
      </c>
      <c r="AU742">
        <v>25</v>
      </c>
      <c r="AV742">
        <v>4.0317119999999997</v>
      </c>
      <c r="AW742">
        <v>0.20901574964581013</v>
      </c>
      <c r="AX742">
        <v>5.1842926688664797</v>
      </c>
      <c r="AY742">
        <v>0.33389150767967662</v>
      </c>
      <c r="AZ742">
        <v>8.8879744113093668</v>
      </c>
      <c r="BA742">
        <v>4.3253906902446211</v>
      </c>
      <c r="BB742" t="s">
        <v>4619</v>
      </c>
      <c r="BD742" s="98"/>
      <c r="BE742" s="98"/>
      <c r="BF742" t="s">
        <v>1152</v>
      </c>
      <c r="BG742" t="s">
        <v>322</v>
      </c>
      <c r="BH742" t="s">
        <v>1153</v>
      </c>
      <c r="BI742">
        <v>0.33389150767967662</v>
      </c>
      <c r="BJ742" t="s">
        <v>989</v>
      </c>
      <c r="BK742">
        <v>13.87000834178882</v>
      </c>
      <c r="BL742">
        <v>60.945684388044491</v>
      </c>
      <c r="BM742" t="s">
        <v>1260</v>
      </c>
      <c r="BN742" t="s">
        <v>1154</v>
      </c>
      <c r="BO742">
        <v>2025</v>
      </c>
      <c r="BP742" t="s">
        <v>966</v>
      </c>
      <c r="BQ742">
        <v>2361.1498745371719</v>
      </c>
      <c r="BR742">
        <v>99.763885012546282</v>
      </c>
      <c r="BS742" t="s">
        <v>990</v>
      </c>
      <c r="BT742">
        <v>3</v>
      </c>
      <c r="BU742">
        <v>1</v>
      </c>
      <c r="BV742" t="s">
        <v>985</v>
      </c>
      <c r="BW742" t="s">
        <v>943</v>
      </c>
      <c r="BX742" t="s">
        <v>986</v>
      </c>
      <c r="BY742">
        <v>4.3253906902446211</v>
      </c>
      <c r="BZ742" t="s">
        <v>2573</v>
      </c>
      <c r="CA742" t="s">
        <v>989</v>
      </c>
      <c r="CB742" t="b">
        <v>1</v>
      </c>
      <c r="CC742" t="b">
        <v>1</v>
      </c>
      <c r="CD742" t="b">
        <v>1</v>
      </c>
      <c r="CE742" t="b">
        <v>1</v>
      </c>
      <c r="CF742" t="b">
        <v>0</v>
      </c>
    </row>
    <row r="743" spans="1:84" x14ac:dyDescent="0.3">
      <c r="A743" t="s">
        <v>2704</v>
      </c>
      <c r="B743" t="s">
        <v>1221</v>
      </c>
      <c r="C743" s="98">
        <v>45775</v>
      </c>
      <c r="D743">
        <v>2025</v>
      </c>
      <c r="E743">
        <v>4</v>
      </c>
      <c r="F743">
        <v>2</v>
      </c>
      <c r="G743" t="s">
        <v>1208</v>
      </c>
      <c r="H743" t="s">
        <v>139</v>
      </c>
      <c r="I743" t="s">
        <v>139</v>
      </c>
      <c r="J743" t="s">
        <v>6</v>
      </c>
      <c r="L743">
        <v>522611</v>
      </c>
      <c r="M743" s="99" t="s">
        <v>180</v>
      </c>
      <c r="N743">
        <v>3</v>
      </c>
      <c r="O743">
        <v>17</v>
      </c>
      <c r="P743">
        <v>3.9285999999999999</v>
      </c>
      <c r="Q743" t="s">
        <v>352</v>
      </c>
      <c r="R743">
        <v>1</v>
      </c>
      <c r="S743">
        <v>4.0376000000000003</v>
      </c>
      <c r="T743">
        <v>0.1779</v>
      </c>
      <c r="U743">
        <v>-0.61270376616076683</v>
      </c>
      <c r="V743">
        <v>3.5039000000000002</v>
      </c>
      <c r="W743">
        <v>3.6818000000000004</v>
      </c>
      <c r="X743">
        <v>3.8597000000000001</v>
      </c>
      <c r="Y743">
        <v>4.2155000000000005</v>
      </c>
      <c r="Z743">
        <v>4.3934000000000006</v>
      </c>
      <c r="AA743">
        <v>4.5712999999999999</v>
      </c>
      <c r="AD743">
        <v>22.757982753098187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 t="s">
        <v>462</v>
      </c>
      <c r="AL743" t="s">
        <v>6</v>
      </c>
      <c r="AM743" t="s">
        <v>1145</v>
      </c>
      <c r="AN743" t="s">
        <v>1146</v>
      </c>
      <c r="AO743" s="100">
        <v>46262.040405092594</v>
      </c>
      <c r="AP743" t="s">
        <v>1147</v>
      </c>
      <c r="AQ743" t="s">
        <v>2705</v>
      </c>
      <c r="AR743" t="s">
        <v>1223</v>
      </c>
      <c r="AS743" t="s">
        <v>1150</v>
      </c>
      <c r="AT743" t="s">
        <v>2572</v>
      </c>
      <c r="AU743">
        <v>25</v>
      </c>
      <c r="AV743">
        <v>4.0317119999999997</v>
      </c>
      <c r="AW743">
        <v>0.20901574964581013</v>
      </c>
      <c r="AX743">
        <v>5.1842926688664797</v>
      </c>
      <c r="AY743">
        <v>0.33389150767967662</v>
      </c>
      <c r="AZ743">
        <v>8.8879744113093668</v>
      </c>
      <c r="BA743">
        <v>4.3253906902446211</v>
      </c>
      <c r="BB743" t="s">
        <v>4619</v>
      </c>
      <c r="BD743" s="98"/>
      <c r="BE743" s="98"/>
      <c r="BF743" t="s">
        <v>1152</v>
      </c>
      <c r="BG743" t="s">
        <v>322</v>
      </c>
      <c r="BH743" t="s">
        <v>1153</v>
      </c>
      <c r="BI743">
        <v>0.33389150767967662</v>
      </c>
      <c r="BJ743" t="s">
        <v>989</v>
      </c>
      <c r="BK743">
        <v>13.87000834178882</v>
      </c>
      <c r="BL743">
        <v>60.945684388044491</v>
      </c>
      <c r="BM743" t="s">
        <v>1260</v>
      </c>
      <c r="BN743" t="s">
        <v>1154</v>
      </c>
      <c r="BO743">
        <v>2025</v>
      </c>
      <c r="BP743" t="s">
        <v>966</v>
      </c>
      <c r="BQ743">
        <v>2361.1498745371719</v>
      </c>
      <c r="BR743">
        <v>99.763885012546282</v>
      </c>
      <c r="BS743" t="s">
        <v>990</v>
      </c>
      <c r="BT743">
        <v>3</v>
      </c>
      <c r="BU743">
        <v>1</v>
      </c>
      <c r="BV743" t="s">
        <v>985</v>
      </c>
      <c r="BW743" t="s">
        <v>943</v>
      </c>
      <c r="BX743" t="s">
        <v>986</v>
      </c>
      <c r="BY743">
        <v>4.3253906902446211</v>
      </c>
      <c r="BZ743" t="s">
        <v>2573</v>
      </c>
      <c r="CA743" t="s">
        <v>989</v>
      </c>
      <c r="CB743" t="b">
        <v>1</v>
      </c>
      <c r="CC743" t="b">
        <v>1</v>
      </c>
      <c r="CD743" t="b">
        <v>1</v>
      </c>
      <c r="CE743" t="b">
        <v>1</v>
      </c>
      <c r="CF743" t="b">
        <v>0</v>
      </c>
    </row>
    <row r="744" spans="1:84" x14ac:dyDescent="0.3">
      <c r="A744" t="s">
        <v>2706</v>
      </c>
      <c r="B744" t="s">
        <v>1225</v>
      </c>
      <c r="C744" s="98">
        <v>45782</v>
      </c>
      <c r="D744">
        <v>2025</v>
      </c>
      <c r="E744">
        <v>5</v>
      </c>
      <c r="F744">
        <v>2</v>
      </c>
      <c r="G744" t="s">
        <v>1226</v>
      </c>
      <c r="H744" t="s">
        <v>139</v>
      </c>
      <c r="I744" t="s">
        <v>139</v>
      </c>
      <c r="J744" t="s">
        <v>6</v>
      </c>
      <c r="L744">
        <v>522611</v>
      </c>
      <c r="M744" s="99" t="s">
        <v>180</v>
      </c>
      <c r="N744">
        <v>3</v>
      </c>
      <c r="O744">
        <v>18</v>
      </c>
      <c r="P744">
        <v>3.7382</v>
      </c>
      <c r="Q744" t="s">
        <v>352</v>
      </c>
      <c r="R744">
        <v>1</v>
      </c>
      <c r="S744">
        <v>4.0376000000000003</v>
      </c>
      <c r="T744">
        <v>0.1779</v>
      </c>
      <c r="U744">
        <v>-1.6829679595278264</v>
      </c>
      <c r="V744">
        <v>3.5039000000000002</v>
      </c>
      <c r="W744">
        <v>3.6818000000000004</v>
      </c>
      <c r="X744">
        <v>3.8597000000000001</v>
      </c>
      <c r="Y744">
        <v>4.2155000000000005</v>
      </c>
      <c r="Z744">
        <v>4.3934000000000006</v>
      </c>
      <c r="AA744">
        <v>4.5712999999999999</v>
      </c>
      <c r="AD744">
        <v>22.757982753098187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 t="s">
        <v>462</v>
      </c>
      <c r="AL744" t="s">
        <v>6</v>
      </c>
      <c r="AM744" t="s">
        <v>1145</v>
      </c>
      <c r="AN744" t="s">
        <v>1146</v>
      </c>
      <c r="AO744" s="100">
        <v>46262.040405092594</v>
      </c>
      <c r="AP744" t="s">
        <v>1147</v>
      </c>
      <c r="AQ744" t="s">
        <v>2707</v>
      </c>
      <c r="AR744" t="s">
        <v>1228</v>
      </c>
      <c r="AS744" t="s">
        <v>1150</v>
      </c>
      <c r="AT744" t="s">
        <v>2572</v>
      </c>
      <c r="AU744">
        <v>25</v>
      </c>
      <c r="AV744">
        <v>4.0317119999999997</v>
      </c>
      <c r="AW744">
        <v>0.20901574964581013</v>
      </c>
      <c r="AX744">
        <v>5.1842926688664797</v>
      </c>
      <c r="AY744">
        <v>0.33389150767967662</v>
      </c>
      <c r="AZ744">
        <v>8.8879744113093668</v>
      </c>
      <c r="BA744">
        <v>4.3253906902446211</v>
      </c>
      <c r="BB744" t="s">
        <v>4619</v>
      </c>
      <c r="BD744" s="98"/>
      <c r="BE744" s="98"/>
      <c r="BF744" t="s">
        <v>1152</v>
      </c>
      <c r="BG744" t="s">
        <v>322</v>
      </c>
      <c r="BH744" t="s">
        <v>1153</v>
      </c>
      <c r="BI744">
        <v>0.33389150767967662</v>
      </c>
      <c r="BJ744" t="s">
        <v>989</v>
      </c>
      <c r="BK744">
        <v>13.87000834178882</v>
      </c>
      <c r="BL744">
        <v>60.945684388044491</v>
      </c>
      <c r="BM744" t="s">
        <v>1260</v>
      </c>
      <c r="BN744" t="s">
        <v>1154</v>
      </c>
      <c r="BO744">
        <v>2025</v>
      </c>
      <c r="BP744" t="s">
        <v>966</v>
      </c>
      <c r="BQ744">
        <v>2361.1498745371719</v>
      </c>
      <c r="BR744">
        <v>99.763885012546282</v>
      </c>
      <c r="BS744" t="s">
        <v>990</v>
      </c>
      <c r="BT744">
        <v>3</v>
      </c>
      <c r="BU744">
        <v>1</v>
      </c>
      <c r="BV744" t="s">
        <v>985</v>
      </c>
      <c r="BW744" t="s">
        <v>943</v>
      </c>
      <c r="BX744" t="s">
        <v>986</v>
      </c>
      <c r="BY744">
        <v>4.3253906902446211</v>
      </c>
      <c r="BZ744" t="s">
        <v>2573</v>
      </c>
      <c r="CA744" t="s">
        <v>989</v>
      </c>
      <c r="CB744" t="b">
        <v>1</v>
      </c>
      <c r="CC744" t="b">
        <v>1</v>
      </c>
      <c r="CD744" t="b">
        <v>1</v>
      </c>
      <c r="CE744" t="b">
        <v>1</v>
      </c>
      <c r="CF744" t="b">
        <v>0</v>
      </c>
    </row>
    <row r="745" spans="1:84" x14ac:dyDescent="0.3">
      <c r="A745" t="s">
        <v>2708</v>
      </c>
      <c r="B745" t="s">
        <v>1230</v>
      </c>
      <c r="C745" s="98">
        <v>45789</v>
      </c>
      <c r="D745">
        <v>2025</v>
      </c>
      <c r="E745">
        <v>5</v>
      </c>
      <c r="F745">
        <v>2</v>
      </c>
      <c r="G745" t="s">
        <v>1226</v>
      </c>
      <c r="H745" t="s">
        <v>139</v>
      </c>
      <c r="I745" t="s">
        <v>139</v>
      </c>
      <c r="J745" t="s">
        <v>6</v>
      </c>
      <c r="L745">
        <v>522611</v>
      </c>
      <c r="M745" s="99" t="s">
        <v>180</v>
      </c>
      <c r="N745">
        <v>3</v>
      </c>
      <c r="O745">
        <v>19</v>
      </c>
      <c r="P745">
        <v>4.0323000000000002</v>
      </c>
      <c r="Q745" t="s">
        <v>352</v>
      </c>
      <c r="R745">
        <v>1</v>
      </c>
      <c r="S745">
        <v>4.0376000000000003</v>
      </c>
      <c r="T745">
        <v>0.1779</v>
      </c>
      <c r="U745">
        <v>-2.9792017987633965E-2</v>
      </c>
      <c r="V745">
        <v>3.5039000000000002</v>
      </c>
      <c r="W745">
        <v>3.6818000000000004</v>
      </c>
      <c r="X745">
        <v>3.8597000000000001</v>
      </c>
      <c r="Y745">
        <v>4.2155000000000005</v>
      </c>
      <c r="Z745">
        <v>4.3934000000000006</v>
      </c>
      <c r="AA745">
        <v>4.5712999999999999</v>
      </c>
      <c r="AD745">
        <v>22.757982753098187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 t="s">
        <v>462</v>
      </c>
      <c r="AL745" t="s">
        <v>6</v>
      </c>
      <c r="AM745" t="s">
        <v>1145</v>
      </c>
      <c r="AN745" t="s">
        <v>1146</v>
      </c>
      <c r="AO745" s="100">
        <v>46262.040405092594</v>
      </c>
      <c r="AP745" t="s">
        <v>1147</v>
      </c>
      <c r="AQ745" t="s">
        <v>2709</v>
      </c>
      <c r="AR745" t="s">
        <v>1232</v>
      </c>
      <c r="AS745" t="s">
        <v>1150</v>
      </c>
      <c r="AT745" t="s">
        <v>2572</v>
      </c>
      <c r="AU745">
        <v>25</v>
      </c>
      <c r="AV745">
        <v>4.0317119999999997</v>
      </c>
      <c r="AW745">
        <v>0.20901574964581013</v>
      </c>
      <c r="AX745">
        <v>5.1842926688664797</v>
      </c>
      <c r="AY745">
        <v>0.33389150767967662</v>
      </c>
      <c r="AZ745">
        <v>8.8879744113093668</v>
      </c>
      <c r="BA745">
        <v>4.3253906902446211</v>
      </c>
      <c r="BB745" t="s">
        <v>4619</v>
      </c>
      <c r="BD745" s="98"/>
      <c r="BE745" s="98"/>
      <c r="BF745" t="s">
        <v>1152</v>
      </c>
      <c r="BG745" t="s">
        <v>322</v>
      </c>
      <c r="BH745" t="s">
        <v>1153</v>
      </c>
      <c r="BI745">
        <v>0.33389150767967662</v>
      </c>
      <c r="BJ745" t="s">
        <v>989</v>
      </c>
      <c r="BK745">
        <v>13.87000834178882</v>
      </c>
      <c r="BL745">
        <v>60.945684388044491</v>
      </c>
      <c r="BM745" t="s">
        <v>1260</v>
      </c>
      <c r="BN745" t="s">
        <v>1154</v>
      </c>
      <c r="BO745">
        <v>2025</v>
      </c>
      <c r="BP745" t="s">
        <v>966</v>
      </c>
      <c r="BQ745">
        <v>2361.1498745371719</v>
      </c>
      <c r="BR745">
        <v>99.763885012546282</v>
      </c>
      <c r="BS745" t="s">
        <v>990</v>
      </c>
      <c r="BT745">
        <v>3</v>
      </c>
      <c r="BU745">
        <v>1</v>
      </c>
      <c r="BV745" t="s">
        <v>985</v>
      </c>
      <c r="BW745" t="s">
        <v>943</v>
      </c>
      <c r="BX745" t="s">
        <v>986</v>
      </c>
      <c r="BY745">
        <v>4.3253906902446211</v>
      </c>
      <c r="BZ745" t="s">
        <v>2573</v>
      </c>
      <c r="CA745" t="s">
        <v>989</v>
      </c>
      <c r="CB745" t="b">
        <v>1</v>
      </c>
      <c r="CC745" t="b">
        <v>1</v>
      </c>
      <c r="CD745" t="b">
        <v>1</v>
      </c>
      <c r="CE745" t="b">
        <v>1</v>
      </c>
      <c r="CF745" t="b">
        <v>0</v>
      </c>
    </row>
    <row r="746" spans="1:84" x14ac:dyDescent="0.3">
      <c r="A746" t="s">
        <v>2710</v>
      </c>
      <c r="B746" t="s">
        <v>1234</v>
      </c>
      <c r="C746" s="98">
        <v>45796</v>
      </c>
      <c r="D746">
        <v>2025</v>
      </c>
      <c r="E746">
        <v>5</v>
      </c>
      <c r="F746">
        <v>2</v>
      </c>
      <c r="G746" t="s">
        <v>1226</v>
      </c>
      <c r="H746" t="s">
        <v>139</v>
      </c>
      <c r="I746" t="s">
        <v>139</v>
      </c>
      <c r="J746" t="s">
        <v>6</v>
      </c>
      <c r="L746">
        <v>522611</v>
      </c>
      <c r="M746" s="99" t="s">
        <v>180</v>
      </c>
      <c r="N746">
        <v>3</v>
      </c>
      <c r="O746">
        <v>20</v>
      </c>
      <c r="P746">
        <v>4.3659999999999997</v>
      </c>
      <c r="Q746" t="s">
        <v>352</v>
      </c>
      <c r="R746">
        <v>1</v>
      </c>
      <c r="S746">
        <v>4.0376000000000003</v>
      </c>
      <c r="T746">
        <v>0.1779</v>
      </c>
      <c r="U746">
        <v>1.8459808881394004</v>
      </c>
      <c r="V746">
        <v>3.5039000000000002</v>
      </c>
      <c r="W746">
        <v>3.6818000000000004</v>
      </c>
      <c r="X746">
        <v>3.8597000000000001</v>
      </c>
      <c r="Y746">
        <v>4.2155000000000005</v>
      </c>
      <c r="Z746">
        <v>4.3934000000000006</v>
      </c>
      <c r="AA746">
        <v>4.5712999999999999</v>
      </c>
      <c r="AD746">
        <v>22.757982753098187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 t="s">
        <v>462</v>
      </c>
      <c r="AL746" t="s">
        <v>6</v>
      </c>
      <c r="AM746" t="s">
        <v>1145</v>
      </c>
      <c r="AN746" t="s">
        <v>1146</v>
      </c>
      <c r="AO746" s="100">
        <v>46262.040405092594</v>
      </c>
      <c r="AP746" t="s">
        <v>1147</v>
      </c>
      <c r="AQ746" t="s">
        <v>2711</v>
      </c>
      <c r="AR746" t="s">
        <v>1236</v>
      </c>
      <c r="AS746" t="s">
        <v>1150</v>
      </c>
      <c r="AT746" t="s">
        <v>2572</v>
      </c>
      <c r="AU746">
        <v>25</v>
      </c>
      <c r="AV746">
        <v>4.0317119999999997</v>
      </c>
      <c r="AW746">
        <v>0.20901574964581013</v>
      </c>
      <c r="AX746">
        <v>5.1842926688664797</v>
      </c>
      <c r="AY746">
        <v>0.33389150767967662</v>
      </c>
      <c r="AZ746">
        <v>8.8879744113093668</v>
      </c>
      <c r="BA746">
        <v>4.3253906902446211</v>
      </c>
      <c r="BB746" t="s">
        <v>4619</v>
      </c>
      <c r="BD746" s="98"/>
      <c r="BE746" s="98"/>
      <c r="BF746" t="s">
        <v>1152</v>
      </c>
      <c r="BG746" t="s">
        <v>322</v>
      </c>
      <c r="BH746" t="s">
        <v>1153</v>
      </c>
      <c r="BI746">
        <v>0.33389150767967662</v>
      </c>
      <c r="BJ746" t="s">
        <v>989</v>
      </c>
      <c r="BK746">
        <v>13.87000834178882</v>
      </c>
      <c r="BL746">
        <v>60.945684388044491</v>
      </c>
      <c r="BM746" t="s">
        <v>1260</v>
      </c>
      <c r="BN746" t="s">
        <v>1154</v>
      </c>
      <c r="BO746">
        <v>2025</v>
      </c>
      <c r="BP746" t="s">
        <v>966</v>
      </c>
      <c r="BQ746">
        <v>2361.1498745371719</v>
      </c>
      <c r="BR746">
        <v>99.763885012546282</v>
      </c>
      <c r="BS746" t="s">
        <v>990</v>
      </c>
      <c r="BT746">
        <v>3</v>
      </c>
      <c r="BU746">
        <v>1</v>
      </c>
      <c r="BV746" t="s">
        <v>985</v>
      </c>
      <c r="BW746" t="s">
        <v>943</v>
      </c>
      <c r="BX746" t="s">
        <v>986</v>
      </c>
      <c r="BY746">
        <v>4.3253906902446211</v>
      </c>
      <c r="BZ746" t="s">
        <v>2573</v>
      </c>
      <c r="CA746" t="s">
        <v>989</v>
      </c>
      <c r="CB746" t="b">
        <v>1</v>
      </c>
      <c r="CC746" t="b">
        <v>1</v>
      </c>
      <c r="CD746" t="b">
        <v>1</v>
      </c>
      <c r="CE746" t="b">
        <v>1</v>
      </c>
      <c r="CF746" t="b">
        <v>0</v>
      </c>
    </row>
    <row r="747" spans="1:84" x14ac:dyDescent="0.3">
      <c r="A747" t="s">
        <v>2712</v>
      </c>
      <c r="B747" t="s">
        <v>1238</v>
      </c>
      <c r="C747" s="98">
        <v>45803</v>
      </c>
      <c r="D747">
        <v>2025</v>
      </c>
      <c r="E747">
        <v>5</v>
      </c>
      <c r="F747">
        <v>2</v>
      </c>
      <c r="G747" t="s">
        <v>1226</v>
      </c>
      <c r="H747" t="s">
        <v>139</v>
      </c>
      <c r="I747" t="s">
        <v>139</v>
      </c>
      <c r="J747" t="s">
        <v>6</v>
      </c>
      <c r="L747">
        <v>522611</v>
      </c>
      <c r="M747" s="99" t="s">
        <v>180</v>
      </c>
      <c r="N747">
        <v>3</v>
      </c>
      <c r="O747">
        <v>21</v>
      </c>
      <c r="P747">
        <v>4.3899999999999997</v>
      </c>
      <c r="Q747" t="s">
        <v>352</v>
      </c>
      <c r="R747">
        <v>1</v>
      </c>
      <c r="S747">
        <v>4.0376000000000003</v>
      </c>
      <c r="T747">
        <v>0.1779</v>
      </c>
      <c r="U747">
        <v>1.9808881394041562</v>
      </c>
      <c r="V747">
        <v>3.5039000000000002</v>
      </c>
      <c r="W747">
        <v>3.6818000000000004</v>
      </c>
      <c r="X747">
        <v>3.8597000000000001</v>
      </c>
      <c r="Y747">
        <v>4.2155000000000005</v>
      </c>
      <c r="Z747">
        <v>4.3934000000000006</v>
      </c>
      <c r="AA747">
        <v>4.5712999999999999</v>
      </c>
      <c r="AD747">
        <v>22.757982753098187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 t="s">
        <v>462</v>
      </c>
      <c r="AL747" t="s">
        <v>6</v>
      </c>
      <c r="AM747" t="s">
        <v>1145</v>
      </c>
      <c r="AN747" t="s">
        <v>1146</v>
      </c>
      <c r="AO747" s="100">
        <v>46262.040405092594</v>
      </c>
      <c r="AP747" t="s">
        <v>1147</v>
      </c>
      <c r="AQ747" t="s">
        <v>2713</v>
      </c>
      <c r="AR747" t="s">
        <v>1240</v>
      </c>
      <c r="AS747" t="s">
        <v>1150</v>
      </c>
      <c r="AT747" t="s">
        <v>2572</v>
      </c>
      <c r="AU747">
        <v>25</v>
      </c>
      <c r="AV747">
        <v>4.0317119999999997</v>
      </c>
      <c r="AW747">
        <v>0.20901574964581013</v>
      </c>
      <c r="AX747">
        <v>5.1842926688664797</v>
      </c>
      <c r="AY747">
        <v>0.33389150767967662</v>
      </c>
      <c r="AZ747">
        <v>8.8879744113093668</v>
      </c>
      <c r="BA747">
        <v>4.3253906902446211</v>
      </c>
      <c r="BB747" t="s">
        <v>4619</v>
      </c>
      <c r="BD747" s="98"/>
      <c r="BE747" s="98"/>
      <c r="BF747" t="s">
        <v>1152</v>
      </c>
      <c r="BG747" t="s">
        <v>322</v>
      </c>
      <c r="BH747" t="s">
        <v>1153</v>
      </c>
      <c r="BI747">
        <v>0.33389150767967662</v>
      </c>
      <c r="BJ747" t="s">
        <v>989</v>
      </c>
      <c r="BK747">
        <v>13.87000834178882</v>
      </c>
      <c r="BL747">
        <v>60.945684388044491</v>
      </c>
      <c r="BM747" t="s">
        <v>1260</v>
      </c>
      <c r="BN747" t="s">
        <v>1154</v>
      </c>
      <c r="BO747">
        <v>2025</v>
      </c>
      <c r="BP747" t="s">
        <v>966</v>
      </c>
      <c r="BQ747">
        <v>2361.1498745371719</v>
      </c>
      <c r="BR747">
        <v>99.763885012546282</v>
      </c>
      <c r="BS747" t="s">
        <v>990</v>
      </c>
      <c r="BT747">
        <v>3</v>
      </c>
      <c r="BU747">
        <v>1</v>
      </c>
      <c r="BV747" t="s">
        <v>985</v>
      </c>
      <c r="BW747" t="s">
        <v>943</v>
      </c>
      <c r="BX747" t="s">
        <v>986</v>
      </c>
      <c r="BY747">
        <v>4.3253906902446211</v>
      </c>
      <c r="BZ747" t="s">
        <v>2573</v>
      </c>
      <c r="CA747" t="s">
        <v>989</v>
      </c>
      <c r="CB747" t="b">
        <v>1</v>
      </c>
      <c r="CC747" t="b">
        <v>1</v>
      </c>
      <c r="CD747" t="b">
        <v>1</v>
      </c>
      <c r="CE747" t="b">
        <v>1</v>
      </c>
      <c r="CF747" t="b">
        <v>0</v>
      </c>
    </row>
    <row r="748" spans="1:84" x14ac:dyDescent="0.3">
      <c r="A748" t="s">
        <v>2714</v>
      </c>
      <c r="B748" t="s">
        <v>1242</v>
      </c>
      <c r="C748" s="98">
        <v>45810</v>
      </c>
      <c r="D748">
        <v>2025</v>
      </c>
      <c r="E748">
        <v>6</v>
      </c>
      <c r="F748">
        <v>2</v>
      </c>
      <c r="G748" t="s">
        <v>1243</v>
      </c>
      <c r="H748" t="s">
        <v>139</v>
      </c>
      <c r="I748" t="s">
        <v>139</v>
      </c>
      <c r="J748" t="s">
        <v>6</v>
      </c>
      <c r="L748">
        <v>522611</v>
      </c>
      <c r="M748" s="99" t="s">
        <v>180</v>
      </c>
      <c r="N748">
        <v>3</v>
      </c>
      <c r="O748">
        <v>22</v>
      </c>
      <c r="P748">
        <v>4.2728000000000002</v>
      </c>
      <c r="Q748" t="s">
        <v>352</v>
      </c>
      <c r="R748">
        <v>1</v>
      </c>
      <c r="S748">
        <v>4.0376000000000003</v>
      </c>
      <c r="T748">
        <v>0.1779</v>
      </c>
      <c r="U748">
        <v>1.3220910623946029</v>
      </c>
      <c r="V748">
        <v>3.5039000000000002</v>
      </c>
      <c r="W748">
        <v>3.6818000000000004</v>
      </c>
      <c r="X748">
        <v>3.8597000000000001</v>
      </c>
      <c r="Y748">
        <v>4.2155000000000005</v>
      </c>
      <c r="Z748">
        <v>4.3934000000000006</v>
      </c>
      <c r="AA748">
        <v>4.5712999999999999</v>
      </c>
      <c r="AD748">
        <v>22.757982753098187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 t="s">
        <v>462</v>
      </c>
      <c r="AL748" t="s">
        <v>6</v>
      </c>
      <c r="AM748" t="s">
        <v>1145</v>
      </c>
      <c r="AN748" t="s">
        <v>1146</v>
      </c>
      <c r="AO748" s="100">
        <v>46262.040405092594</v>
      </c>
      <c r="AP748" t="s">
        <v>1147</v>
      </c>
      <c r="AQ748" t="s">
        <v>2715</v>
      </c>
      <c r="AR748" t="s">
        <v>1245</v>
      </c>
      <c r="AS748" t="s">
        <v>1150</v>
      </c>
      <c r="AT748" t="s">
        <v>2572</v>
      </c>
      <c r="AU748">
        <v>25</v>
      </c>
      <c r="AV748">
        <v>4.0317119999999997</v>
      </c>
      <c r="AW748">
        <v>0.20901574964581013</v>
      </c>
      <c r="AX748">
        <v>5.1842926688664797</v>
      </c>
      <c r="AY748">
        <v>0.33389150767967662</v>
      </c>
      <c r="AZ748">
        <v>8.8879744113093668</v>
      </c>
      <c r="BA748">
        <v>4.3253906902446211</v>
      </c>
      <c r="BB748" t="s">
        <v>4619</v>
      </c>
      <c r="BD748" s="98"/>
      <c r="BE748" s="98"/>
      <c r="BF748" t="s">
        <v>1152</v>
      </c>
      <c r="BG748" t="s">
        <v>322</v>
      </c>
      <c r="BH748" t="s">
        <v>1153</v>
      </c>
      <c r="BI748">
        <v>0.33389150767967662</v>
      </c>
      <c r="BJ748" t="s">
        <v>989</v>
      </c>
      <c r="BK748">
        <v>13.87000834178882</v>
      </c>
      <c r="BL748">
        <v>60.945684388044491</v>
      </c>
      <c r="BM748" t="s">
        <v>1260</v>
      </c>
      <c r="BN748" t="s">
        <v>1154</v>
      </c>
      <c r="BO748">
        <v>2025</v>
      </c>
      <c r="BP748" t="s">
        <v>966</v>
      </c>
      <c r="BQ748">
        <v>2361.1498745371719</v>
      </c>
      <c r="BR748">
        <v>99.763885012546282</v>
      </c>
      <c r="BS748" t="s">
        <v>990</v>
      </c>
      <c r="BT748">
        <v>3</v>
      </c>
      <c r="BU748">
        <v>1</v>
      </c>
      <c r="BV748" t="s">
        <v>985</v>
      </c>
      <c r="BW748" t="s">
        <v>943</v>
      </c>
      <c r="BX748" t="s">
        <v>986</v>
      </c>
      <c r="BY748">
        <v>4.3253906902446211</v>
      </c>
      <c r="BZ748" t="s">
        <v>2573</v>
      </c>
      <c r="CA748" t="s">
        <v>989</v>
      </c>
      <c r="CB748" t="b">
        <v>1</v>
      </c>
      <c r="CC748" t="b">
        <v>1</v>
      </c>
      <c r="CD748" t="b">
        <v>1</v>
      </c>
      <c r="CE748" t="b">
        <v>1</v>
      </c>
      <c r="CF748" t="b">
        <v>0</v>
      </c>
    </row>
    <row r="749" spans="1:84" x14ac:dyDescent="0.3">
      <c r="A749" t="s">
        <v>2716</v>
      </c>
      <c r="B749" t="s">
        <v>1247</v>
      </c>
      <c r="C749" s="98">
        <v>45817</v>
      </c>
      <c r="D749">
        <v>2025</v>
      </c>
      <c r="E749">
        <v>6</v>
      </c>
      <c r="F749">
        <v>2</v>
      </c>
      <c r="G749" t="s">
        <v>1243</v>
      </c>
      <c r="H749" t="s">
        <v>139</v>
      </c>
      <c r="I749" t="s">
        <v>139</v>
      </c>
      <c r="J749" t="s">
        <v>6</v>
      </c>
      <c r="L749">
        <v>522611</v>
      </c>
      <c r="M749" s="99" t="s">
        <v>180</v>
      </c>
      <c r="N749">
        <v>3</v>
      </c>
      <c r="O749">
        <v>23</v>
      </c>
      <c r="P749">
        <v>4.1631999999999998</v>
      </c>
      <c r="Q749" t="s">
        <v>352</v>
      </c>
      <c r="R749">
        <v>1</v>
      </c>
      <c r="S749">
        <v>4.0376000000000003</v>
      </c>
      <c r="T749">
        <v>0.1779</v>
      </c>
      <c r="U749">
        <v>0.70601461495221751</v>
      </c>
      <c r="V749">
        <v>3.5039000000000002</v>
      </c>
      <c r="W749">
        <v>3.6818000000000004</v>
      </c>
      <c r="X749">
        <v>3.8597000000000001</v>
      </c>
      <c r="Y749">
        <v>4.2155000000000005</v>
      </c>
      <c r="Z749">
        <v>4.3934000000000006</v>
      </c>
      <c r="AA749">
        <v>4.5712999999999999</v>
      </c>
      <c r="AD749">
        <v>22.757982753098187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 t="s">
        <v>462</v>
      </c>
      <c r="AL749" t="s">
        <v>6</v>
      </c>
      <c r="AM749" t="s">
        <v>1145</v>
      </c>
      <c r="AN749" t="s">
        <v>1146</v>
      </c>
      <c r="AO749" s="100">
        <v>46262.040405092594</v>
      </c>
      <c r="AP749" t="s">
        <v>1147</v>
      </c>
      <c r="AQ749" t="s">
        <v>2717</v>
      </c>
      <c r="AR749" t="s">
        <v>1249</v>
      </c>
      <c r="AS749" t="s">
        <v>1150</v>
      </c>
      <c r="AT749" t="s">
        <v>2572</v>
      </c>
      <c r="AU749">
        <v>25</v>
      </c>
      <c r="AV749">
        <v>4.0317119999999997</v>
      </c>
      <c r="AW749">
        <v>0.20901574964581013</v>
      </c>
      <c r="AX749">
        <v>5.1842926688664797</v>
      </c>
      <c r="AY749">
        <v>0.33389150767967662</v>
      </c>
      <c r="AZ749">
        <v>8.8879744113093668</v>
      </c>
      <c r="BA749">
        <v>4.3253906902446211</v>
      </c>
      <c r="BB749" t="s">
        <v>4619</v>
      </c>
      <c r="BD749" s="98"/>
      <c r="BE749" s="98"/>
      <c r="BF749" t="s">
        <v>1152</v>
      </c>
      <c r="BG749" t="s">
        <v>322</v>
      </c>
      <c r="BH749" t="s">
        <v>1153</v>
      </c>
      <c r="BI749">
        <v>0.33389150767967662</v>
      </c>
      <c r="BJ749" t="s">
        <v>989</v>
      </c>
      <c r="BK749">
        <v>13.87000834178882</v>
      </c>
      <c r="BL749">
        <v>60.945684388044491</v>
      </c>
      <c r="BM749" t="s">
        <v>1260</v>
      </c>
      <c r="BN749" t="s">
        <v>1154</v>
      </c>
      <c r="BO749">
        <v>2025</v>
      </c>
      <c r="BP749" t="s">
        <v>966</v>
      </c>
      <c r="BQ749">
        <v>2361.1498745371719</v>
      </c>
      <c r="BR749">
        <v>99.763885012546282</v>
      </c>
      <c r="BS749" t="s">
        <v>990</v>
      </c>
      <c r="BT749">
        <v>3</v>
      </c>
      <c r="BU749">
        <v>1</v>
      </c>
      <c r="BV749" t="s">
        <v>985</v>
      </c>
      <c r="BW749" t="s">
        <v>943</v>
      </c>
      <c r="BX749" t="s">
        <v>986</v>
      </c>
      <c r="BY749">
        <v>4.3253906902446211</v>
      </c>
      <c r="BZ749" t="s">
        <v>2573</v>
      </c>
      <c r="CA749" t="s">
        <v>989</v>
      </c>
      <c r="CB749" t="b">
        <v>1</v>
      </c>
      <c r="CC749" t="b">
        <v>1</v>
      </c>
      <c r="CD749" t="b">
        <v>1</v>
      </c>
      <c r="CE749" t="b">
        <v>1</v>
      </c>
      <c r="CF749" t="b">
        <v>0</v>
      </c>
    </row>
    <row r="750" spans="1:84" x14ac:dyDescent="0.3">
      <c r="A750" t="s">
        <v>2718</v>
      </c>
      <c r="B750" t="s">
        <v>1251</v>
      </c>
      <c r="C750" s="98">
        <v>45824</v>
      </c>
      <c r="D750">
        <v>2025</v>
      </c>
      <c r="E750">
        <v>6</v>
      </c>
      <c r="F750">
        <v>2</v>
      </c>
      <c r="G750" t="s">
        <v>1243</v>
      </c>
      <c r="H750" t="s">
        <v>139</v>
      </c>
      <c r="I750" t="s">
        <v>139</v>
      </c>
      <c r="J750" t="s">
        <v>6</v>
      </c>
      <c r="L750">
        <v>522611</v>
      </c>
      <c r="M750" s="99" t="s">
        <v>180</v>
      </c>
      <c r="N750">
        <v>3</v>
      </c>
      <c r="O750">
        <v>24</v>
      </c>
      <c r="P750">
        <v>3.9171999999999998</v>
      </c>
      <c r="Q750" t="s">
        <v>352</v>
      </c>
      <c r="R750">
        <v>1</v>
      </c>
      <c r="S750">
        <v>4.0376000000000003</v>
      </c>
      <c r="T750">
        <v>0.1779</v>
      </c>
      <c r="U750">
        <v>-0.67678471051152611</v>
      </c>
      <c r="V750">
        <v>3.5039000000000002</v>
      </c>
      <c r="W750">
        <v>3.6818000000000004</v>
      </c>
      <c r="X750">
        <v>3.8597000000000001</v>
      </c>
      <c r="Y750">
        <v>4.2155000000000005</v>
      </c>
      <c r="Z750">
        <v>4.3934000000000006</v>
      </c>
      <c r="AA750">
        <v>4.5712999999999999</v>
      </c>
      <c r="AD750">
        <v>22.757982753098187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 t="s">
        <v>462</v>
      </c>
      <c r="AL750" t="s">
        <v>6</v>
      </c>
      <c r="AM750" t="s">
        <v>1145</v>
      </c>
      <c r="AN750" t="s">
        <v>1146</v>
      </c>
      <c r="AO750" s="100">
        <v>46262.040405092594</v>
      </c>
      <c r="AP750" t="s">
        <v>1147</v>
      </c>
      <c r="AQ750" t="s">
        <v>2719</v>
      </c>
      <c r="AR750" t="s">
        <v>1253</v>
      </c>
      <c r="AS750" t="s">
        <v>1150</v>
      </c>
      <c r="AT750" t="s">
        <v>2572</v>
      </c>
      <c r="AU750">
        <v>25</v>
      </c>
      <c r="AV750">
        <v>4.0317119999999997</v>
      </c>
      <c r="AW750">
        <v>0.20901574964581013</v>
      </c>
      <c r="AX750">
        <v>5.1842926688664797</v>
      </c>
      <c r="AY750">
        <v>0.33389150767967662</v>
      </c>
      <c r="AZ750">
        <v>8.8879744113093668</v>
      </c>
      <c r="BA750">
        <v>4.3253906902446211</v>
      </c>
      <c r="BB750" t="s">
        <v>4619</v>
      </c>
      <c r="BD750" s="98"/>
      <c r="BE750" s="98"/>
      <c r="BF750" t="s">
        <v>1152</v>
      </c>
      <c r="BG750" t="s">
        <v>322</v>
      </c>
      <c r="BH750" t="s">
        <v>1153</v>
      </c>
      <c r="BI750">
        <v>0.33389150767967662</v>
      </c>
      <c r="BJ750" t="s">
        <v>989</v>
      </c>
      <c r="BK750">
        <v>13.87000834178882</v>
      </c>
      <c r="BL750">
        <v>60.945684388044491</v>
      </c>
      <c r="BM750" t="s">
        <v>1260</v>
      </c>
      <c r="BN750" t="s">
        <v>1154</v>
      </c>
      <c r="BO750">
        <v>2025</v>
      </c>
      <c r="BP750" t="s">
        <v>966</v>
      </c>
      <c r="BQ750">
        <v>2361.1498745371719</v>
      </c>
      <c r="BR750">
        <v>99.763885012546282</v>
      </c>
      <c r="BS750" t="s">
        <v>990</v>
      </c>
      <c r="BT750">
        <v>3</v>
      </c>
      <c r="BU750">
        <v>1</v>
      </c>
      <c r="BV750" t="s">
        <v>985</v>
      </c>
      <c r="BW750" t="s">
        <v>943</v>
      </c>
      <c r="BX750" t="s">
        <v>986</v>
      </c>
      <c r="BY750">
        <v>4.3253906902446211</v>
      </c>
      <c r="BZ750" t="s">
        <v>2573</v>
      </c>
      <c r="CA750" t="s">
        <v>989</v>
      </c>
      <c r="CB750" t="b">
        <v>1</v>
      </c>
      <c r="CC750" t="b">
        <v>1</v>
      </c>
      <c r="CD750" t="b">
        <v>1</v>
      </c>
      <c r="CE750" t="b">
        <v>1</v>
      </c>
      <c r="CF750" t="b">
        <v>0</v>
      </c>
    </row>
    <row r="751" spans="1:84" x14ac:dyDescent="0.3">
      <c r="A751" t="s">
        <v>2720</v>
      </c>
      <c r="B751" t="s">
        <v>1255</v>
      </c>
      <c r="C751" s="98">
        <v>45831</v>
      </c>
      <c r="D751">
        <v>2025</v>
      </c>
      <c r="E751">
        <v>6</v>
      </c>
      <c r="F751">
        <v>2</v>
      </c>
      <c r="G751" t="s">
        <v>1243</v>
      </c>
      <c r="H751" t="s">
        <v>139</v>
      </c>
      <c r="I751" t="s">
        <v>139</v>
      </c>
      <c r="J751" t="s">
        <v>6</v>
      </c>
      <c r="L751">
        <v>522611</v>
      </c>
      <c r="M751" s="99" t="s">
        <v>180</v>
      </c>
      <c r="N751">
        <v>3</v>
      </c>
      <c r="O751">
        <v>25</v>
      </c>
      <c r="P751">
        <v>4.2942999999999998</v>
      </c>
      <c r="Q751" t="s">
        <v>352</v>
      </c>
      <c r="R751">
        <v>1</v>
      </c>
      <c r="S751">
        <v>4.0376000000000003</v>
      </c>
      <c r="T751">
        <v>0.1779</v>
      </c>
      <c r="U751">
        <v>1.4429454749859443</v>
      </c>
      <c r="V751">
        <v>3.5039000000000002</v>
      </c>
      <c r="W751">
        <v>3.6818000000000004</v>
      </c>
      <c r="X751">
        <v>3.8597000000000001</v>
      </c>
      <c r="Y751">
        <v>4.2155000000000005</v>
      </c>
      <c r="Z751">
        <v>4.3934000000000006</v>
      </c>
      <c r="AA751">
        <v>4.5712999999999999</v>
      </c>
      <c r="AD751">
        <v>22.757982753098187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 t="s">
        <v>462</v>
      </c>
      <c r="AL751" t="s">
        <v>6</v>
      </c>
      <c r="AM751" t="s">
        <v>1145</v>
      </c>
      <c r="AN751" t="s">
        <v>1146</v>
      </c>
      <c r="AO751" s="100">
        <v>46262.040405092594</v>
      </c>
      <c r="AP751" t="s">
        <v>1147</v>
      </c>
      <c r="AQ751" t="s">
        <v>2721</v>
      </c>
      <c r="AR751" t="s">
        <v>1257</v>
      </c>
      <c r="AS751" t="s">
        <v>1150</v>
      </c>
      <c r="AT751" t="s">
        <v>2572</v>
      </c>
      <c r="AU751">
        <v>25</v>
      </c>
      <c r="AV751">
        <v>4.0317119999999997</v>
      </c>
      <c r="AW751">
        <v>0.20901574964581013</v>
      </c>
      <c r="AX751">
        <v>5.1842926688664797</v>
      </c>
      <c r="AY751">
        <v>0.33389150767967662</v>
      </c>
      <c r="AZ751">
        <v>8.8879744113093668</v>
      </c>
      <c r="BA751">
        <v>4.3253906902446211</v>
      </c>
      <c r="BB751" t="s">
        <v>4619</v>
      </c>
      <c r="BD751" s="98"/>
      <c r="BE751" s="98"/>
      <c r="BF751" t="s">
        <v>1152</v>
      </c>
      <c r="BG751" t="s">
        <v>322</v>
      </c>
      <c r="BH751" t="s">
        <v>1153</v>
      </c>
      <c r="BI751">
        <v>0.33389150767967662</v>
      </c>
      <c r="BJ751" t="s">
        <v>989</v>
      </c>
      <c r="BK751">
        <v>13.87000834178882</v>
      </c>
      <c r="BL751">
        <v>60.945684388044491</v>
      </c>
      <c r="BM751" t="s">
        <v>1260</v>
      </c>
      <c r="BN751" t="s">
        <v>1154</v>
      </c>
      <c r="BO751">
        <v>2025</v>
      </c>
      <c r="BP751" t="s">
        <v>966</v>
      </c>
      <c r="BQ751">
        <v>2361.1498745371719</v>
      </c>
      <c r="BR751">
        <v>99.763885012546282</v>
      </c>
      <c r="BS751" t="s">
        <v>990</v>
      </c>
      <c r="BT751">
        <v>3</v>
      </c>
      <c r="BU751">
        <v>1</v>
      </c>
      <c r="BV751" t="s">
        <v>985</v>
      </c>
      <c r="BW751" t="s">
        <v>943</v>
      </c>
      <c r="BX751" t="s">
        <v>986</v>
      </c>
      <c r="BY751">
        <v>4.3253906902446211</v>
      </c>
      <c r="BZ751" t="s">
        <v>2573</v>
      </c>
      <c r="CA751" t="s">
        <v>989</v>
      </c>
      <c r="CB751" t="b">
        <v>1</v>
      </c>
      <c r="CC751" t="b">
        <v>1</v>
      </c>
      <c r="CD751" t="b">
        <v>1</v>
      </c>
      <c r="CE751" t="b">
        <v>1</v>
      </c>
      <c r="CF751" t="b">
        <v>0</v>
      </c>
    </row>
    <row r="752" spans="1:84" x14ac:dyDescent="0.3">
      <c r="A752" t="s">
        <v>2722</v>
      </c>
      <c r="B752" t="s">
        <v>1143</v>
      </c>
      <c r="C752" s="98">
        <v>45663</v>
      </c>
      <c r="D752">
        <v>2025</v>
      </c>
      <c r="E752">
        <v>1</v>
      </c>
      <c r="F752">
        <v>1</v>
      </c>
      <c r="G752" t="s">
        <v>1144</v>
      </c>
      <c r="H752" t="s">
        <v>140</v>
      </c>
      <c r="I752" t="s">
        <v>140</v>
      </c>
      <c r="J752" t="s">
        <v>6</v>
      </c>
      <c r="L752">
        <v>522611</v>
      </c>
      <c r="M752" s="99" t="s">
        <v>178</v>
      </c>
      <c r="N752">
        <v>1</v>
      </c>
      <c r="O752">
        <v>1</v>
      </c>
      <c r="P752">
        <v>0.34460000000000002</v>
      </c>
      <c r="Q752" t="s">
        <v>352</v>
      </c>
      <c r="R752">
        <v>1</v>
      </c>
      <c r="S752">
        <v>0.34620000000000001</v>
      </c>
      <c r="T752">
        <v>2.92E-2</v>
      </c>
      <c r="U752">
        <v>-5.4794520547944876E-2</v>
      </c>
      <c r="V752">
        <v>0.2586</v>
      </c>
      <c r="W752">
        <v>0.2878</v>
      </c>
      <c r="X752">
        <v>0.317</v>
      </c>
      <c r="Y752">
        <v>0.37540000000000001</v>
      </c>
      <c r="Z752">
        <v>0.40460000000000002</v>
      </c>
      <c r="AA752">
        <v>0.43380000000000002</v>
      </c>
      <c r="AD752">
        <v>26.16342831769812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 t="s">
        <v>462</v>
      </c>
      <c r="AL752" t="s">
        <v>6</v>
      </c>
      <c r="AM752" t="s">
        <v>1145</v>
      </c>
      <c r="AN752" t="s">
        <v>1146</v>
      </c>
      <c r="AO752" s="100">
        <v>46262.040405092594</v>
      </c>
      <c r="AP752" t="s">
        <v>1147</v>
      </c>
      <c r="AQ752" t="s">
        <v>2723</v>
      </c>
      <c r="AR752" t="s">
        <v>1149</v>
      </c>
      <c r="AS752" t="s">
        <v>1150</v>
      </c>
      <c r="AT752" t="s">
        <v>2724</v>
      </c>
      <c r="AU752">
        <v>25</v>
      </c>
      <c r="AV752">
        <v>0.34645200000000004</v>
      </c>
      <c r="AW752">
        <v>2.6328804251870865E-2</v>
      </c>
      <c r="AX752">
        <v>7.5995532575568516</v>
      </c>
      <c r="AY752">
        <v>0.20055466868433902</v>
      </c>
      <c r="AZ752">
        <v>12.739817543653144</v>
      </c>
      <c r="BA752">
        <v>3.4163684060239716</v>
      </c>
      <c r="BB752" t="s">
        <v>4619</v>
      </c>
      <c r="BD752" s="98"/>
      <c r="BE752" s="98"/>
      <c r="BF752" t="s">
        <v>1152</v>
      </c>
      <c r="BG752" t="s">
        <v>322</v>
      </c>
      <c r="BH752" t="s">
        <v>1153</v>
      </c>
      <c r="BI752">
        <v>0.20055466868433902</v>
      </c>
      <c r="BJ752" t="s">
        <v>1032</v>
      </c>
      <c r="BK752">
        <v>13.423610774044976</v>
      </c>
      <c r="BL752">
        <v>51.306772992607556</v>
      </c>
      <c r="BM752" t="s">
        <v>1260</v>
      </c>
      <c r="BN752" t="s">
        <v>1154</v>
      </c>
      <c r="BO752">
        <v>2025</v>
      </c>
      <c r="BP752" t="s">
        <v>966</v>
      </c>
      <c r="BQ752">
        <v>47184.386903149854</v>
      </c>
      <c r="BR752">
        <v>95.281561309685017</v>
      </c>
      <c r="BS752" t="s">
        <v>992</v>
      </c>
      <c r="BT752">
        <v>6</v>
      </c>
      <c r="BU752">
        <v>1</v>
      </c>
      <c r="BV752" t="s">
        <v>993</v>
      </c>
      <c r="BW752" t="s">
        <v>943</v>
      </c>
      <c r="BX752" t="s">
        <v>1033</v>
      </c>
      <c r="BY752">
        <v>3.1727893417376754</v>
      </c>
      <c r="BZ752" t="s">
        <v>2573</v>
      </c>
      <c r="CA752" t="s">
        <v>1032</v>
      </c>
      <c r="CB752" t="b">
        <v>1</v>
      </c>
      <c r="CC752" t="b">
        <v>1</v>
      </c>
      <c r="CD752" t="b">
        <v>1</v>
      </c>
      <c r="CE752" t="b">
        <v>1</v>
      </c>
      <c r="CF752" t="b">
        <v>1</v>
      </c>
    </row>
    <row r="753" spans="1:84" x14ac:dyDescent="0.3">
      <c r="A753" t="s">
        <v>2725</v>
      </c>
      <c r="B753" t="s">
        <v>1157</v>
      </c>
      <c r="C753" s="98">
        <v>45670</v>
      </c>
      <c r="D753">
        <v>2025</v>
      </c>
      <c r="E753">
        <v>1</v>
      </c>
      <c r="F753">
        <v>1</v>
      </c>
      <c r="G753" t="s">
        <v>1144</v>
      </c>
      <c r="H753" t="s">
        <v>140</v>
      </c>
      <c r="I753" t="s">
        <v>140</v>
      </c>
      <c r="J753" t="s">
        <v>6</v>
      </c>
      <c r="L753">
        <v>522611</v>
      </c>
      <c r="M753" s="99" t="s">
        <v>178</v>
      </c>
      <c r="N753">
        <v>1</v>
      </c>
      <c r="O753">
        <v>2</v>
      </c>
      <c r="P753">
        <v>0.34420000000000001</v>
      </c>
      <c r="Q753" t="s">
        <v>352</v>
      </c>
      <c r="R753">
        <v>1</v>
      </c>
      <c r="S753">
        <v>0.34620000000000001</v>
      </c>
      <c r="T753">
        <v>2.92E-2</v>
      </c>
      <c r="U753">
        <v>-6.8493150684931572E-2</v>
      </c>
      <c r="V753">
        <v>0.2586</v>
      </c>
      <c r="W753">
        <v>0.2878</v>
      </c>
      <c r="X753">
        <v>0.317</v>
      </c>
      <c r="Y753">
        <v>0.37540000000000001</v>
      </c>
      <c r="Z753">
        <v>0.40460000000000002</v>
      </c>
      <c r="AA753">
        <v>0.43380000000000002</v>
      </c>
      <c r="AD753">
        <v>26.16342831769812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 t="s">
        <v>462</v>
      </c>
      <c r="AL753" t="s">
        <v>6</v>
      </c>
      <c r="AM753" t="s">
        <v>1145</v>
      </c>
      <c r="AN753" t="s">
        <v>1146</v>
      </c>
      <c r="AO753" s="100">
        <v>46262.040405092594</v>
      </c>
      <c r="AP753" t="s">
        <v>1147</v>
      </c>
      <c r="AQ753" t="s">
        <v>2726</v>
      </c>
      <c r="AR753" t="s">
        <v>1159</v>
      </c>
      <c r="AS753" t="s">
        <v>1150</v>
      </c>
      <c r="AT753" t="s">
        <v>2724</v>
      </c>
      <c r="AU753">
        <v>25</v>
      </c>
      <c r="AV753">
        <v>0.34645200000000004</v>
      </c>
      <c r="AW753">
        <v>2.6328804251870865E-2</v>
      </c>
      <c r="AX753">
        <v>7.5995532575568516</v>
      </c>
      <c r="AY753">
        <v>0.20055466868433902</v>
      </c>
      <c r="AZ753">
        <v>12.739817543653144</v>
      </c>
      <c r="BA753">
        <v>3.4163684060239716</v>
      </c>
      <c r="BB753" t="s">
        <v>4619</v>
      </c>
      <c r="BD753" s="98"/>
      <c r="BE753" s="98"/>
      <c r="BF753" t="s">
        <v>1152</v>
      </c>
      <c r="BG753" t="s">
        <v>322</v>
      </c>
      <c r="BH753" t="s">
        <v>1153</v>
      </c>
      <c r="BI753">
        <v>0.20055466868433902</v>
      </c>
      <c r="BJ753" t="s">
        <v>1032</v>
      </c>
      <c r="BK753">
        <v>13.423610774044976</v>
      </c>
      <c r="BL753">
        <v>51.306772992607556</v>
      </c>
      <c r="BM753" t="s">
        <v>1260</v>
      </c>
      <c r="BN753" t="s">
        <v>1154</v>
      </c>
      <c r="BO753">
        <v>2025</v>
      </c>
      <c r="BP753" t="s">
        <v>966</v>
      </c>
      <c r="BQ753">
        <v>47184.386903149854</v>
      </c>
      <c r="BR753">
        <v>95.281561309685017</v>
      </c>
      <c r="BS753" t="s">
        <v>992</v>
      </c>
      <c r="BT753">
        <v>6</v>
      </c>
      <c r="BU753">
        <v>1</v>
      </c>
      <c r="BV753" t="s">
        <v>993</v>
      </c>
      <c r="BW753" t="s">
        <v>943</v>
      </c>
      <c r="BX753" t="s">
        <v>1033</v>
      </c>
      <c r="BY753">
        <v>3.1727893417376754</v>
      </c>
      <c r="BZ753" t="s">
        <v>2573</v>
      </c>
      <c r="CA753" t="s">
        <v>1032</v>
      </c>
      <c r="CB753" t="b">
        <v>1</v>
      </c>
      <c r="CC753" t="b">
        <v>1</v>
      </c>
      <c r="CD753" t="b">
        <v>1</v>
      </c>
      <c r="CE753" t="b">
        <v>1</v>
      </c>
      <c r="CF753" t="b">
        <v>1</v>
      </c>
    </row>
    <row r="754" spans="1:84" x14ac:dyDescent="0.3">
      <c r="A754" t="s">
        <v>2727</v>
      </c>
      <c r="B754" t="s">
        <v>1161</v>
      </c>
      <c r="C754" s="98">
        <v>45677</v>
      </c>
      <c r="D754">
        <v>2025</v>
      </c>
      <c r="E754">
        <v>1</v>
      </c>
      <c r="F754">
        <v>1</v>
      </c>
      <c r="G754" t="s">
        <v>1144</v>
      </c>
      <c r="H754" t="s">
        <v>140</v>
      </c>
      <c r="I754" t="s">
        <v>140</v>
      </c>
      <c r="J754" t="s">
        <v>6</v>
      </c>
      <c r="L754">
        <v>522611</v>
      </c>
      <c r="M754" s="99" t="s">
        <v>178</v>
      </c>
      <c r="N754">
        <v>1</v>
      </c>
      <c r="O754">
        <v>3</v>
      </c>
      <c r="P754">
        <v>0.3377</v>
      </c>
      <c r="Q754" t="s">
        <v>352</v>
      </c>
      <c r="R754">
        <v>1</v>
      </c>
      <c r="S754">
        <v>0.34620000000000001</v>
      </c>
      <c r="T754">
        <v>2.92E-2</v>
      </c>
      <c r="U754">
        <v>-0.29109589041095918</v>
      </c>
      <c r="V754">
        <v>0.2586</v>
      </c>
      <c r="W754">
        <v>0.2878</v>
      </c>
      <c r="X754">
        <v>0.317</v>
      </c>
      <c r="Y754">
        <v>0.37540000000000001</v>
      </c>
      <c r="Z754">
        <v>0.40460000000000002</v>
      </c>
      <c r="AA754">
        <v>0.43380000000000002</v>
      </c>
      <c r="AD754">
        <v>26.16342831769812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 t="s">
        <v>462</v>
      </c>
      <c r="AL754" t="s">
        <v>6</v>
      </c>
      <c r="AM754" t="s">
        <v>1145</v>
      </c>
      <c r="AN754" t="s">
        <v>1146</v>
      </c>
      <c r="AO754" s="100">
        <v>46262.040405092594</v>
      </c>
      <c r="AP754" t="s">
        <v>1147</v>
      </c>
      <c r="AQ754" t="s">
        <v>2728</v>
      </c>
      <c r="AR754" t="s">
        <v>1163</v>
      </c>
      <c r="AS754" t="s">
        <v>1150</v>
      </c>
      <c r="AT754" t="s">
        <v>2724</v>
      </c>
      <c r="AU754">
        <v>25</v>
      </c>
      <c r="AV754">
        <v>0.34645200000000004</v>
      </c>
      <c r="AW754">
        <v>2.6328804251870865E-2</v>
      </c>
      <c r="AX754">
        <v>7.5995532575568516</v>
      </c>
      <c r="AY754">
        <v>0.20055466868433902</v>
      </c>
      <c r="AZ754">
        <v>12.739817543653144</v>
      </c>
      <c r="BA754">
        <v>3.4163684060239716</v>
      </c>
      <c r="BB754" t="s">
        <v>4619</v>
      </c>
      <c r="BD754" s="98"/>
      <c r="BE754" s="98"/>
      <c r="BF754" t="s">
        <v>1152</v>
      </c>
      <c r="BG754" t="s">
        <v>322</v>
      </c>
      <c r="BH754" t="s">
        <v>1153</v>
      </c>
      <c r="BI754">
        <v>0.20055466868433902</v>
      </c>
      <c r="BJ754" t="s">
        <v>1032</v>
      </c>
      <c r="BK754">
        <v>13.423610774044976</v>
      </c>
      <c r="BL754">
        <v>51.306772992607556</v>
      </c>
      <c r="BM754" t="s">
        <v>1260</v>
      </c>
      <c r="BN754" t="s">
        <v>1154</v>
      </c>
      <c r="BO754">
        <v>2025</v>
      </c>
      <c r="BP754" t="s">
        <v>966</v>
      </c>
      <c r="BQ754">
        <v>47184.386903149854</v>
      </c>
      <c r="BR754">
        <v>95.281561309685017</v>
      </c>
      <c r="BS754" t="s">
        <v>992</v>
      </c>
      <c r="BT754">
        <v>6</v>
      </c>
      <c r="BU754">
        <v>1</v>
      </c>
      <c r="BV754" t="s">
        <v>993</v>
      </c>
      <c r="BW754" t="s">
        <v>943</v>
      </c>
      <c r="BX754" t="s">
        <v>1033</v>
      </c>
      <c r="BY754">
        <v>3.1727893417376754</v>
      </c>
      <c r="BZ754" t="s">
        <v>2573</v>
      </c>
      <c r="CA754" t="s">
        <v>1032</v>
      </c>
      <c r="CB754" t="b">
        <v>1</v>
      </c>
      <c r="CC754" t="b">
        <v>1</v>
      </c>
      <c r="CD754" t="b">
        <v>1</v>
      </c>
      <c r="CE754" t="b">
        <v>1</v>
      </c>
      <c r="CF754" t="b">
        <v>1</v>
      </c>
    </row>
    <row r="755" spans="1:84" x14ac:dyDescent="0.3">
      <c r="A755" t="s">
        <v>2729</v>
      </c>
      <c r="B755" t="s">
        <v>1165</v>
      </c>
      <c r="C755" s="98">
        <v>45684</v>
      </c>
      <c r="D755">
        <v>2025</v>
      </c>
      <c r="E755">
        <v>1</v>
      </c>
      <c r="F755">
        <v>1</v>
      </c>
      <c r="G755" t="s">
        <v>1144</v>
      </c>
      <c r="H755" t="s">
        <v>140</v>
      </c>
      <c r="I755" t="s">
        <v>140</v>
      </c>
      <c r="J755" t="s">
        <v>6</v>
      </c>
      <c r="L755">
        <v>522611</v>
      </c>
      <c r="M755" s="99" t="s">
        <v>178</v>
      </c>
      <c r="N755">
        <v>1</v>
      </c>
      <c r="O755">
        <v>4</v>
      </c>
      <c r="P755">
        <v>0.34889999999999999</v>
      </c>
      <c r="Q755" t="s">
        <v>352</v>
      </c>
      <c r="R755">
        <v>1</v>
      </c>
      <c r="S755">
        <v>0.34620000000000001</v>
      </c>
      <c r="T755">
        <v>2.92E-2</v>
      </c>
      <c r="U755">
        <v>9.2465753424656849E-2</v>
      </c>
      <c r="V755">
        <v>0.2586</v>
      </c>
      <c r="W755">
        <v>0.2878</v>
      </c>
      <c r="X755">
        <v>0.317</v>
      </c>
      <c r="Y755">
        <v>0.37540000000000001</v>
      </c>
      <c r="Z755">
        <v>0.40460000000000002</v>
      </c>
      <c r="AA755">
        <v>0.43380000000000002</v>
      </c>
      <c r="AD755">
        <v>26.16342831769812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 t="s">
        <v>462</v>
      </c>
      <c r="AL755" t="s">
        <v>6</v>
      </c>
      <c r="AM755" t="s">
        <v>1145</v>
      </c>
      <c r="AN755" t="s">
        <v>1146</v>
      </c>
      <c r="AO755" s="100">
        <v>46262.040405092594</v>
      </c>
      <c r="AP755" t="s">
        <v>1147</v>
      </c>
      <c r="AQ755" t="s">
        <v>2730</v>
      </c>
      <c r="AR755" t="s">
        <v>1167</v>
      </c>
      <c r="AS755" t="s">
        <v>1150</v>
      </c>
      <c r="AT755" t="s">
        <v>2724</v>
      </c>
      <c r="AU755">
        <v>25</v>
      </c>
      <c r="AV755">
        <v>0.34645200000000004</v>
      </c>
      <c r="AW755">
        <v>2.6328804251870865E-2</v>
      </c>
      <c r="AX755">
        <v>7.5995532575568516</v>
      </c>
      <c r="AY755">
        <v>0.20055466868433902</v>
      </c>
      <c r="AZ755">
        <v>12.739817543653144</v>
      </c>
      <c r="BA755">
        <v>3.4163684060239716</v>
      </c>
      <c r="BB755" t="s">
        <v>4619</v>
      </c>
      <c r="BD755" s="98"/>
      <c r="BE755" s="98"/>
      <c r="BF755" t="s">
        <v>1152</v>
      </c>
      <c r="BG755" t="s">
        <v>322</v>
      </c>
      <c r="BH755" t="s">
        <v>1153</v>
      </c>
      <c r="BI755">
        <v>0.20055466868433902</v>
      </c>
      <c r="BJ755" t="s">
        <v>1032</v>
      </c>
      <c r="BK755">
        <v>13.423610774044976</v>
      </c>
      <c r="BL755">
        <v>51.306772992607556</v>
      </c>
      <c r="BM755" t="s">
        <v>1260</v>
      </c>
      <c r="BN755" t="s">
        <v>1154</v>
      </c>
      <c r="BO755">
        <v>2025</v>
      </c>
      <c r="BP755" t="s">
        <v>966</v>
      </c>
      <c r="BQ755">
        <v>47184.386903149854</v>
      </c>
      <c r="BR755">
        <v>95.281561309685017</v>
      </c>
      <c r="BS755" t="s">
        <v>992</v>
      </c>
      <c r="BT755">
        <v>6</v>
      </c>
      <c r="BU755">
        <v>1</v>
      </c>
      <c r="BV755" t="s">
        <v>993</v>
      </c>
      <c r="BW755" t="s">
        <v>943</v>
      </c>
      <c r="BX755" t="s">
        <v>1033</v>
      </c>
      <c r="BY755">
        <v>3.1727893417376754</v>
      </c>
      <c r="BZ755" t="s">
        <v>2573</v>
      </c>
      <c r="CA755" t="s">
        <v>1032</v>
      </c>
      <c r="CB755" t="b">
        <v>1</v>
      </c>
      <c r="CC755" t="b">
        <v>1</v>
      </c>
      <c r="CD755" t="b">
        <v>1</v>
      </c>
      <c r="CE755" t="b">
        <v>1</v>
      </c>
      <c r="CF755" t="b">
        <v>1</v>
      </c>
    </row>
    <row r="756" spans="1:84" x14ac:dyDescent="0.3">
      <c r="A756" t="s">
        <v>2731</v>
      </c>
      <c r="B756" t="s">
        <v>1169</v>
      </c>
      <c r="C756" s="98">
        <v>45691</v>
      </c>
      <c r="D756">
        <v>2025</v>
      </c>
      <c r="E756">
        <v>2</v>
      </c>
      <c r="F756">
        <v>1</v>
      </c>
      <c r="G756" t="s">
        <v>1170</v>
      </c>
      <c r="H756" t="s">
        <v>140</v>
      </c>
      <c r="I756" t="s">
        <v>140</v>
      </c>
      <c r="J756" t="s">
        <v>6</v>
      </c>
      <c r="L756">
        <v>522611</v>
      </c>
      <c r="M756" s="99" t="s">
        <v>178</v>
      </c>
      <c r="N756">
        <v>1</v>
      </c>
      <c r="O756">
        <v>5</v>
      </c>
      <c r="P756">
        <v>0.33350000000000002</v>
      </c>
      <c r="Q756" t="s">
        <v>352</v>
      </c>
      <c r="R756">
        <v>1</v>
      </c>
      <c r="S756">
        <v>0.34620000000000001</v>
      </c>
      <c r="T756">
        <v>2.92E-2</v>
      </c>
      <c r="U756">
        <v>-0.4349315068493147</v>
      </c>
      <c r="V756">
        <v>0.2586</v>
      </c>
      <c r="W756">
        <v>0.2878</v>
      </c>
      <c r="X756">
        <v>0.317</v>
      </c>
      <c r="Y756">
        <v>0.37540000000000001</v>
      </c>
      <c r="Z756">
        <v>0.40460000000000002</v>
      </c>
      <c r="AA756">
        <v>0.43380000000000002</v>
      </c>
      <c r="AD756">
        <v>26.16342831769812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 t="s">
        <v>462</v>
      </c>
      <c r="AL756" t="s">
        <v>6</v>
      </c>
      <c r="AM756" t="s">
        <v>1145</v>
      </c>
      <c r="AN756" t="s">
        <v>1146</v>
      </c>
      <c r="AO756" s="100">
        <v>46262.040405092594</v>
      </c>
      <c r="AP756" t="s">
        <v>1147</v>
      </c>
      <c r="AQ756" t="s">
        <v>2732</v>
      </c>
      <c r="AR756" t="s">
        <v>1172</v>
      </c>
      <c r="AS756" t="s">
        <v>1150</v>
      </c>
      <c r="AT756" t="s">
        <v>2724</v>
      </c>
      <c r="AU756">
        <v>25</v>
      </c>
      <c r="AV756">
        <v>0.34645200000000004</v>
      </c>
      <c r="AW756">
        <v>2.6328804251870865E-2</v>
      </c>
      <c r="AX756">
        <v>7.5995532575568516</v>
      </c>
      <c r="AY756">
        <v>0.20055466868433902</v>
      </c>
      <c r="AZ756">
        <v>12.739817543653144</v>
      </c>
      <c r="BA756">
        <v>3.4163684060239716</v>
      </c>
      <c r="BB756" t="s">
        <v>4619</v>
      </c>
      <c r="BD756" s="98"/>
      <c r="BE756" s="98"/>
      <c r="BF756" t="s">
        <v>1152</v>
      </c>
      <c r="BG756" t="s">
        <v>322</v>
      </c>
      <c r="BH756" t="s">
        <v>1153</v>
      </c>
      <c r="BI756">
        <v>0.20055466868433902</v>
      </c>
      <c r="BJ756" t="s">
        <v>1032</v>
      </c>
      <c r="BK756">
        <v>13.423610774044976</v>
      </c>
      <c r="BL756">
        <v>51.306772992607556</v>
      </c>
      <c r="BM756" t="s">
        <v>1260</v>
      </c>
      <c r="BN756" t="s">
        <v>1154</v>
      </c>
      <c r="BO756">
        <v>2025</v>
      </c>
      <c r="BP756" t="s">
        <v>966</v>
      </c>
      <c r="BQ756">
        <v>47184.386903149854</v>
      </c>
      <c r="BR756">
        <v>95.281561309685017</v>
      </c>
      <c r="BS756" t="s">
        <v>992</v>
      </c>
      <c r="BT756">
        <v>6</v>
      </c>
      <c r="BU756">
        <v>1</v>
      </c>
      <c r="BV756" t="s">
        <v>993</v>
      </c>
      <c r="BW756" t="s">
        <v>943</v>
      </c>
      <c r="BX756" t="s">
        <v>1033</v>
      </c>
      <c r="BY756">
        <v>3.1727893417376754</v>
      </c>
      <c r="BZ756" t="s">
        <v>2573</v>
      </c>
      <c r="CA756" t="s">
        <v>1032</v>
      </c>
      <c r="CB756" t="b">
        <v>1</v>
      </c>
      <c r="CC756" t="b">
        <v>1</v>
      </c>
      <c r="CD756" t="b">
        <v>1</v>
      </c>
      <c r="CE756" t="b">
        <v>1</v>
      </c>
      <c r="CF756" t="b">
        <v>1</v>
      </c>
    </row>
    <row r="757" spans="1:84" x14ac:dyDescent="0.3">
      <c r="A757" t="s">
        <v>2733</v>
      </c>
      <c r="B757" t="s">
        <v>1174</v>
      </c>
      <c r="C757" s="98">
        <v>45698</v>
      </c>
      <c r="D757">
        <v>2025</v>
      </c>
      <c r="E757">
        <v>2</v>
      </c>
      <c r="F757">
        <v>1</v>
      </c>
      <c r="G757" t="s">
        <v>1170</v>
      </c>
      <c r="H757" t="s">
        <v>140</v>
      </c>
      <c r="I757" t="s">
        <v>140</v>
      </c>
      <c r="J757" t="s">
        <v>6</v>
      </c>
      <c r="L757">
        <v>522611</v>
      </c>
      <c r="M757" s="99" t="s">
        <v>178</v>
      </c>
      <c r="N757">
        <v>1</v>
      </c>
      <c r="O757">
        <v>6</v>
      </c>
      <c r="P757">
        <v>0.34379999999999999</v>
      </c>
      <c r="Q757" t="s">
        <v>352</v>
      </c>
      <c r="R757">
        <v>1</v>
      </c>
      <c r="S757">
        <v>0.34620000000000001</v>
      </c>
      <c r="T757">
        <v>2.92E-2</v>
      </c>
      <c r="U757">
        <v>-8.2191780821918262E-2</v>
      </c>
      <c r="V757">
        <v>0.2586</v>
      </c>
      <c r="W757">
        <v>0.2878</v>
      </c>
      <c r="X757">
        <v>0.317</v>
      </c>
      <c r="Y757">
        <v>0.37540000000000001</v>
      </c>
      <c r="Z757">
        <v>0.40460000000000002</v>
      </c>
      <c r="AA757">
        <v>0.43380000000000002</v>
      </c>
      <c r="AD757">
        <v>26.16342831769812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 t="s">
        <v>462</v>
      </c>
      <c r="AL757" t="s">
        <v>6</v>
      </c>
      <c r="AM757" t="s">
        <v>1145</v>
      </c>
      <c r="AN757" t="s">
        <v>1146</v>
      </c>
      <c r="AO757" s="100">
        <v>46262.040405092594</v>
      </c>
      <c r="AP757" t="s">
        <v>1147</v>
      </c>
      <c r="AQ757" t="s">
        <v>2734</v>
      </c>
      <c r="AR757" t="s">
        <v>1176</v>
      </c>
      <c r="AS757" t="s">
        <v>1150</v>
      </c>
      <c r="AT757" t="s">
        <v>2724</v>
      </c>
      <c r="AU757">
        <v>25</v>
      </c>
      <c r="AV757">
        <v>0.34645200000000004</v>
      </c>
      <c r="AW757">
        <v>2.6328804251870865E-2</v>
      </c>
      <c r="AX757">
        <v>7.5995532575568516</v>
      </c>
      <c r="AY757">
        <v>0.20055466868433902</v>
      </c>
      <c r="AZ757">
        <v>12.739817543653144</v>
      </c>
      <c r="BA757">
        <v>3.4163684060239716</v>
      </c>
      <c r="BB757" t="s">
        <v>4619</v>
      </c>
      <c r="BD757" s="98"/>
      <c r="BE757" s="98"/>
      <c r="BF757" t="s">
        <v>1152</v>
      </c>
      <c r="BG757" t="s">
        <v>322</v>
      </c>
      <c r="BH757" t="s">
        <v>1153</v>
      </c>
      <c r="BI757">
        <v>0.20055466868433902</v>
      </c>
      <c r="BJ757" t="s">
        <v>1032</v>
      </c>
      <c r="BK757">
        <v>13.423610774044976</v>
      </c>
      <c r="BL757">
        <v>51.306772992607556</v>
      </c>
      <c r="BM757" t="s">
        <v>1260</v>
      </c>
      <c r="BN757" t="s">
        <v>1154</v>
      </c>
      <c r="BO757">
        <v>2025</v>
      </c>
      <c r="BP757" t="s">
        <v>966</v>
      </c>
      <c r="BQ757">
        <v>47184.386903149854</v>
      </c>
      <c r="BR757">
        <v>95.281561309685017</v>
      </c>
      <c r="BS757" t="s">
        <v>992</v>
      </c>
      <c r="BT757">
        <v>6</v>
      </c>
      <c r="BU757">
        <v>1</v>
      </c>
      <c r="BV757" t="s">
        <v>993</v>
      </c>
      <c r="BW757" t="s">
        <v>943</v>
      </c>
      <c r="BX757" t="s">
        <v>1033</v>
      </c>
      <c r="BY757">
        <v>3.1727893417376754</v>
      </c>
      <c r="BZ757" t="s">
        <v>2573</v>
      </c>
      <c r="CA757" t="s">
        <v>1032</v>
      </c>
      <c r="CB757" t="b">
        <v>1</v>
      </c>
      <c r="CC757" t="b">
        <v>1</v>
      </c>
      <c r="CD757" t="b">
        <v>1</v>
      </c>
      <c r="CE757" t="b">
        <v>1</v>
      </c>
      <c r="CF757" t="b">
        <v>1</v>
      </c>
    </row>
    <row r="758" spans="1:84" x14ac:dyDescent="0.3">
      <c r="A758" t="s">
        <v>2735</v>
      </c>
      <c r="B758" t="s">
        <v>1178</v>
      </c>
      <c r="C758" s="98">
        <v>45705</v>
      </c>
      <c r="D758">
        <v>2025</v>
      </c>
      <c r="E758">
        <v>2</v>
      </c>
      <c r="F758">
        <v>1</v>
      </c>
      <c r="G758" t="s">
        <v>1170</v>
      </c>
      <c r="H758" t="s">
        <v>140</v>
      </c>
      <c r="I758" t="s">
        <v>140</v>
      </c>
      <c r="J758" t="s">
        <v>6</v>
      </c>
      <c r="L758">
        <v>522611</v>
      </c>
      <c r="M758" s="99" t="s">
        <v>178</v>
      </c>
      <c r="N758">
        <v>1</v>
      </c>
      <c r="O758">
        <v>7</v>
      </c>
      <c r="P758">
        <v>0.3145</v>
      </c>
      <c r="Q758" t="s">
        <v>352</v>
      </c>
      <c r="R758">
        <v>1</v>
      </c>
      <c r="S758">
        <v>0.34620000000000001</v>
      </c>
      <c r="T758">
        <v>2.92E-2</v>
      </c>
      <c r="U758">
        <v>-1.0856164383561646</v>
      </c>
      <c r="V758">
        <v>0.2586</v>
      </c>
      <c r="W758">
        <v>0.2878</v>
      </c>
      <c r="X758">
        <v>0.317</v>
      </c>
      <c r="Y758">
        <v>0.37540000000000001</v>
      </c>
      <c r="Z758">
        <v>0.40460000000000002</v>
      </c>
      <c r="AA758">
        <v>0.43380000000000002</v>
      </c>
      <c r="AD758">
        <v>26.16342831769812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 t="s">
        <v>462</v>
      </c>
      <c r="AL758" t="s">
        <v>6</v>
      </c>
      <c r="AM758" t="s">
        <v>1145</v>
      </c>
      <c r="AN758" t="s">
        <v>1146</v>
      </c>
      <c r="AO758" s="100">
        <v>46262.040405092594</v>
      </c>
      <c r="AP758" t="s">
        <v>1147</v>
      </c>
      <c r="AQ758" t="s">
        <v>2736</v>
      </c>
      <c r="AR758" t="s">
        <v>1180</v>
      </c>
      <c r="AS758" t="s">
        <v>1150</v>
      </c>
      <c r="AT758" t="s">
        <v>2724</v>
      </c>
      <c r="AU758">
        <v>25</v>
      </c>
      <c r="AV758">
        <v>0.34645200000000004</v>
      </c>
      <c r="AW758">
        <v>2.6328804251870865E-2</v>
      </c>
      <c r="AX758">
        <v>7.5995532575568516</v>
      </c>
      <c r="AY758">
        <v>0.20055466868433902</v>
      </c>
      <c r="AZ758">
        <v>12.739817543653144</v>
      </c>
      <c r="BA758">
        <v>3.4163684060239716</v>
      </c>
      <c r="BB758" t="s">
        <v>4619</v>
      </c>
      <c r="BD758" s="98"/>
      <c r="BE758" s="98"/>
      <c r="BF758" t="s">
        <v>1152</v>
      </c>
      <c r="BG758" t="s">
        <v>322</v>
      </c>
      <c r="BH758" t="s">
        <v>1153</v>
      </c>
      <c r="BI758">
        <v>0.20055466868433902</v>
      </c>
      <c r="BJ758" t="s">
        <v>1032</v>
      </c>
      <c r="BK758">
        <v>13.423610774044976</v>
      </c>
      <c r="BL758">
        <v>51.306772992607556</v>
      </c>
      <c r="BM758" t="s">
        <v>1260</v>
      </c>
      <c r="BN758" t="s">
        <v>1154</v>
      </c>
      <c r="BO758">
        <v>2025</v>
      </c>
      <c r="BP758" t="s">
        <v>966</v>
      </c>
      <c r="BQ758">
        <v>47184.386903149854</v>
      </c>
      <c r="BR758">
        <v>95.281561309685017</v>
      </c>
      <c r="BS758" t="s">
        <v>992</v>
      </c>
      <c r="BT758">
        <v>6</v>
      </c>
      <c r="BU758">
        <v>1</v>
      </c>
      <c r="BV758" t="s">
        <v>993</v>
      </c>
      <c r="BW758" t="s">
        <v>943</v>
      </c>
      <c r="BX758" t="s">
        <v>1033</v>
      </c>
      <c r="BY758">
        <v>3.1727893417376754</v>
      </c>
      <c r="BZ758" t="s">
        <v>2573</v>
      </c>
      <c r="CA758" t="s">
        <v>1032</v>
      </c>
      <c r="CB758" t="b">
        <v>1</v>
      </c>
      <c r="CC758" t="b">
        <v>1</v>
      </c>
      <c r="CD758" t="b">
        <v>1</v>
      </c>
      <c r="CE758" t="b">
        <v>1</v>
      </c>
      <c r="CF758" t="b">
        <v>1</v>
      </c>
    </row>
    <row r="759" spans="1:84" x14ac:dyDescent="0.3">
      <c r="A759" t="s">
        <v>2737</v>
      </c>
      <c r="B759" t="s">
        <v>1182</v>
      </c>
      <c r="C759" s="98">
        <v>45712</v>
      </c>
      <c r="D759">
        <v>2025</v>
      </c>
      <c r="E759">
        <v>2</v>
      </c>
      <c r="F759">
        <v>1</v>
      </c>
      <c r="G759" t="s">
        <v>1170</v>
      </c>
      <c r="H759" t="s">
        <v>140</v>
      </c>
      <c r="I759" t="s">
        <v>140</v>
      </c>
      <c r="J759" t="s">
        <v>6</v>
      </c>
      <c r="L759">
        <v>522611</v>
      </c>
      <c r="M759" s="99" t="s">
        <v>178</v>
      </c>
      <c r="N759">
        <v>1</v>
      </c>
      <c r="O759">
        <v>8</v>
      </c>
      <c r="P759">
        <v>0.33529999999999999</v>
      </c>
      <c r="Q759" t="s">
        <v>352</v>
      </c>
      <c r="R759">
        <v>1</v>
      </c>
      <c r="S759">
        <v>0.34620000000000001</v>
      </c>
      <c r="T759">
        <v>2.92E-2</v>
      </c>
      <c r="U759">
        <v>-0.37328767123287743</v>
      </c>
      <c r="V759">
        <v>0.2586</v>
      </c>
      <c r="W759">
        <v>0.2878</v>
      </c>
      <c r="X759">
        <v>0.317</v>
      </c>
      <c r="Y759">
        <v>0.37540000000000001</v>
      </c>
      <c r="Z759">
        <v>0.40460000000000002</v>
      </c>
      <c r="AA759">
        <v>0.43380000000000002</v>
      </c>
      <c r="AD759">
        <v>26.16342831769812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 t="s">
        <v>462</v>
      </c>
      <c r="AL759" t="s">
        <v>6</v>
      </c>
      <c r="AM759" t="s">
        <v>1145</v>
      </c>
      <c r="AN759" t="s">
        <v>1146</v>
      </c>
      <c r="AO759" s="100">
        <v>46262.040405092594</v>
      </c>
      <c r="AP759" t="s">
        <v>1147</v>
      </c>
      <c r="AQ759" t="s">
        <v>2738</v>
      </c>
      <c r="AR759" t="s">
        <v>1184</v>
      </c>
      <c r="AS759" t="s">
        <v>1150</v>
      </c>
      <c r="AT759" t="s">
        <v>2724</v>
      </c>
      <c r="AU759">
        <v>25</v>
      </c>
      <c r="AV759">
        <v>0.34645200000000004</v>
      </c>
      <c r="AW759">
        <v>2.6328804251870865E-2</v>
      </c>
      <c r="AX759">
        <v>7.5995532575568516</v>
      </c>
      <c r="AY759">
        <v>0.20055466868433902</v>
      </c>
      <c r="AZ759">
        <v>12.739817543653144</v>
      </c>
      <c r="BA759">
        <v>3.4163684060239716</v>
      </c>
      <c r="BB759" t="s">
        <v>4619</v>
      </c>
      <c r="BD759" s="98"/>
      <c r="BE759" s="98"/>
      <c r="BF759" t="s">
        <v>1152</v>
      </c>
      <c r="BG759" t="s">
        <v>322</v>
      </c>
      <c r="BH759" t="s">
        <v>1153</v>
      </c>
      <c r="BI759">
        <v>0.20055466868433902</v>
      </c>
      <c r="BJ759" t="s">
        <v>1032</v>
      </c>
      <c r="BK759">
        <v>13.423610774044976</v>
      </c>
      <c r="BL759">
        <v>51.306772992607556</v>
      </c>
      <c r="BM759" t="s">
        <v>1260</v>
      </c>
      <c r="BN759" t="s">
        <v>1154</v>
      </c>
      <c r="BO759">
        <v>2025</v>
      </c>
      <c r="BP759" t="s">
        <v>966</v>
      </c>
      <c r="BQ759">
        <v>47184.386903149854</v>
      </c>
      <c r="BR759">
        <v>95.281561309685017</v>
      </c>
      <c r="BS759" t="s">
        <v>992</v>
      </c>
      <c r="BT759">
        <v>6</v>
      </c>
      <c r="BU759">
        <v>1</v>
      </c>
      <c r="BV759" t="s">
        <v>993</v>
      </c>
      <c r="BW759" t="s">
        <v>943</v>
      </c>
      <c r="BX759" t="s">
        <v>1033</v>
      </c>
      <c r="BY759">
        <v>3.1727893417376754</v>
      </c>
      <c r="BZ759" t="s">
        <v>2573</v>
      </c>
      <c r="CA759" t="s">
        <v>1032</v>
      </c>
      <c r="CB759" t="b">
        <v>1</v>
      </c>
      <c r="CC759" t="b">
        <v>1</v>
      </c>
      <c r="CD759" t="b">
        <v>1</v>
      </c>
      <c r="CE759" t="b">
        <v>1</v>
      </c>
      <c r="CF759" t="b">
        <v>1</v>
      </c>
    </row>
    <row r="760" spans="1:84" x14ac:dyDescent="0.3">
      <c r="A760" t="s">
        <v>2739</v>
      </c>
      <c r="B760" t="s">
        <v>1186</v>
      </c>
      <c r="C760" s="98">
        <v>45719</v>
      </c>
      <c r="D760">
        <v>2025</v>
      </c>
      <c r="E760">
        <v>3</v>
      </c>
      <c r="F760">
        <v>1</v>
      </c>
      <c r="G760" t="s">
        <v>1187</v>
      </c>
      <c r="H760" t="s">
        <v>140</v>
      </c>
      <c r="I760" t="s">
        <v>140</v>
      </c>
      <c r="J760" t="s">
        <v>6</v>
      </c>
      <c r="L760">
        <v>522611</v>
      </c>
      <c r="M760" s="99" t="s">
        <v>178</v>
      </c>
      <c r="N760">
        <v>1</v>
      </c>
      <c r="O760">
        <v>9</v>
      </c>
      <c r="P760">
        <v>0.4128</v>
      </c>
      <c r="Q760" t="s">
        <v>352</v>
      </c>
      <c r="R760">
        <v>1</v>
      </c>
      <c r="S760">
        <v>0.34620000000000001</v>
      </c>
      <c r="T760">
        <v>2.92E-2</v>
      </c>
      <c r="U760">
        <v>2.2808219178082187</v>
      </c>
      <c r="V760">
        <v>0.2586</v>
      </c>
      <c r="W760">
        <v>0.2878</v>
      </c>
      <c r="X760">
        <v>0.317</v>
      </c>
      <c r="Y760">
        <v>0.37540000000000001</v>
      </c>
      <c r="Z760">
        <v>0.40460000000000002</v>
      </c>
      <c r="AA760">
        <v>0.43380000000000002</v>
      </c>
      <c r="AD760">
        <v>26.16342831769812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1</v>
      </c>
      <c r="AK760" t="s">
        <v>462</v>
      </c>
      <c r="AL760" t="s">
        <v>6</v>
      </c>
      <c r="AM760" t="s">
        <v>1145</v>
      </c>
      <c r="AN760" t="s">
        <v>1146</v>
      </c>
      <c r="AO760" s="100">
        <v>46262.040405092594</v>
      </c>
      <c r="AP760" t="s">
        <v>1147</v>
      </c>
      <c r="AQ760" t="s">
        <v>2740</v>
      </c>
      <c r="AR760" t="s">
        <v>1189</v>
      </c>
      <c r="AS760" t="s">
        <v>1150</v>
      </c>
      <c r="AT760" t="s">
        <v>2724</v>
      </c>
      <c r="AU760">
        <v>25</v>
      </c>
      <c r="AV760">
        <v>0.34645200000000004</v>
      </c>
      <c r="AW760">
        <v>2.6328804251870865E-2</v>
      </c>
      <c r="AX760">
        <v>7.5995532575568516</v>
      </c>
      <c r="AY760">
        <v>0.20055466868433902</v>
      </c>
      <c r="AZ760">
        <v>12.739817543653144</v>
      </c>
      <c r="BA760">
        <v>3.4163684060239716</v>
      </c>
      <c r="BB760" t="s">
        <v>4619</v>
      </c>
      <c r="BD760" s="98"/>
      <c r="BE760" s="98"/>
      <c r="BF760" t="s">
        <v>1152</v>
      </c>
      <c r="BG760" t="s">
        <v>322</v>
      </c>
      <c r="BH760" t="s">
        <v>1153</v>
      </c>
      <c r="BI760">
        <v>0.20055466868433902</v>
      </c>
      <c r="BJ760" t="s">
        <v>1032</v>
      </c>
      <c r="BK760">
        <v>13.423610774044976</v>
      </c>
      <c r="BL760">
        <v>51.306772992607556</v>
      </c>
      <c r="BM760" t="s">
        <v>1260</v>
      </c>
      <c r="BN760" t="s">
        <v>1154</v>
      </c>
      <c r="BO760">
        <v>2025</v>
      </c>
      <c r="BP760" t="s">
        <v>966</v>
      </c>
      <c r="BQ760">
        <v>47184.386903149854</v>
      </c>
      <c r="BR760">
        <v>95.281561309685017</v>
      </c>
      <c r="BS760" t="s">
        <v>992</v>
      </c>
      <c r="BT760">
        <v>6</v>
      </c>
      <c r="BU760">
        <v>1</v>
      </c>
      <c r="BV760" t="s">
        <v>993</v>
      </c>
      <c r="BW760" t="s">
        <v>943</v>
      </c>
      <c r="BX760" t="s">
        <v>1033</v>
      </c>
      <c r="BY760">
        <v>3.1727893417376754</v>
      </c>
      <c r="BZ760" t="s">
        <v>2573</v>
      </c>
      <c r="CA760" t="s">
        <v>1032</v>
      </c>
      <c r="CB760" t="b">
        <v>1</v>
      </c>
      <c r="CC760" t="b">
        <v>1</v>
      </c>
      <c r="CD760" t="b">
        <v>1</v>
      </c>
      <c r="CE760" t="b">
        <v>1</v>
      </c>
      <c r="CF760" t="b">
        <v>1</v>
      </c>
    </row>
    <row r="761" spans="1:84" x14ac:dyDescent="0.3">
      <c r="A761" t="s">
        <v>2741</v>
      </c>
      <c r="B761" t="s">
        <v>1191</v>
      </c>
      <c r="C761" s="98">
        <v>45726</v>
      </c>
      <c r="D761">
        <v>2025</v>
      </c>
      <c r="E761">
        <v>3</v>
      </c>
      <c r="F761">
        <v>1</v>
      </c>
      <c r="G761" t="s">
        <v>1187</v>
      </c>
      <c r="H761" t="s">
        <v>140</v>
      </c>
      <c r="I761" t="s">
        <v>140</v>
      </c>
      <c r="J761" t="s">
        <v>6</v>
      </c>
      <c r="L761">
        <v>522611</v>
      </c>
      <c r="M761" s="99" t="s">
        <v>178</v>
      </c>
      <c r="N761">
        <v>1</v>
      </c>
      <c r="O761">
        <v>10</v>
      </c>
      <c r="P761">
        <v>0.34420000000000001</v>
      </c>
      <c r="Q761" t="s">
        <v>352</v>
      </c>
      <c r="R761">
        <v>1</v>
      </c>
      <c r="S761">
        <v>0.34620000000000001</v>
      </c>
      <c r="T761">
        <v>2.92E-2</v>
      </c>
      <c r="U761">
        <v>-6.8493150684931572E-2</v>
      </c>
      <c r="V761">
        <v>0.2586</v>
      </c>
      <c r="W761">
        <v>0.2878</v>
      </c>
      <c r="X761">
        <v>0.317</v>
      </c>
      <c r="Y761">
        <v>0.37540000000000001</v>
      </c>
      <c r="Z761">
        <v>0.40460000000000002</v>
      </c>
      <c r="AA761">
        <v>0.43380000000000002</v>
      </c>
      <c r="AD761">
        <v>26.16342831769812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 t="s">
        <v>462</v>
      </c>
      <c r="AL761" t="s">
        <v>6</v>
      </c>
      <c r="AM761" t="s">
        <v>1145</v>
      </c>
      <c r="AN761" t="s">
        <v>1146</v>
      </c>
      <c r="AO761" s="100">
        <v>46262.040405092594</v>
      </c>
      <c r="AP761" t="s">
        <v>1147</v>
      </c>
      <c r="AQ761" t="s">
        <v>2742</v>
      </c>
      <c r="AR761" t="s">
        <v>1193</v>
      </c>
      <c r="AS761" t="s">
        <v>1150</v>
      </c>
      <c r="AT761" t="s">
        <v>2724</v>
      </c>
      <c r="AU761">
        <v>25</v>
      </c>
      <c r="AV761">
        <v>0.34645200000000004</v>
      </c>
      <c r="AW761">
        <v>2.6328804251870865E-2</v>
      </c>
      <c r="AX761">
        <v>7.5995532575568516</v>
      </c>
      <c r="AY761">
        <v>0.20055466868433902</v>
      </c>
      <c r="AZ761">
        <v>12.739817543653144</v>
      </c>
      <c r="BA761">
        <v>3.4163684060239716</v>
      </c>
      <c r="BB761" t="s">
        <v>4619</v>
      </c>
      <c r="BD761" s="98"/>
      <c r="BE761" s="98"/>
      <c r="BF761" t="s">
        <v>1152</v>
      </c>
      <c r="BG761" t="s">
        <v>322</v>
      </c>
      <c r="BH761" t="s">
        <v>1153</v>
      </c>
      <c r="BI761">
        <v>0.20055466868433902</v>
      </c>
      <c r="BJ761" t="s">
        <v>1032</v>
      </c>
      <c r="BK761">
        <v>13.423610774044976</v>
      </c>
      <c r="BL761">
        <v>51.306772992607556</v>
      </c>
      <c r="BM761" t="s">
        <v>1260</v>
      </c>
      <c r="BN761" t="s">
        <v>1154</v>
      </c>
      <c r="BO761">
        <v>2025</v>
      </c>
      <c r="BP761" t="s">
        <v>966</v>
      </c>
      <c r="BQ761">
        <v>47184.386903149854</v>
      </c>
      <c r="BR761">
        <v>95.281561309685017</v>
      </c>
      <c r="BS761" t="s">
        <v>992</v>
      </c>
      <c r="BT761">
        <v>6</v>
      </c>
      <c r="BU761">
        <v>1</v>
      </c>
      <c r="BV761" t="s">
        <v>993</v>
      </c>
      <c r="BW761" t="s">
        <v>943</v>
      </c>
      <c r="BX761" t="s">
        <v>1033</v>
      </c>
      <c r="BY761">
        <v>3.1727893417376754</v>
      </c>
      <c r="BZ761" t="s">
        <v>2573</v>
      </c>
      <c r="CA761" t="s">
        <v>1032</v>
      </c>
      <c r="CB761" t="b">
        <v>1</v>
      </c>
      <c r="CC761" t="b">
        <v>1</v>
      </c>
      <c r="CD761" t="b">
        <v>1</v>
      </c>
      <c r="CE761" t="b">
        <v>1</v>
      </c>
      <c r="CF761" t="b">
        <v>1</v>
      </c>
    </row>
    <row r="762" spans="1:84" x14ac:dyDescent="0.3">
      <c r="A762" t="s">
        <v>2743</v>
      </c>
      <c r="B762" t="s">
        <v>1195</v>
      </c>
      <c r="C762" s="98">
        <v>45733</v>
      </c>
      <c r="D762">
        <v>2025</v>
      </c>
      <c r="E762">
        <v>3</v>
      </c>
      <c r="F762">
        <v>1</v>
      </c>
      <c r="G762" t="s">
        <v>1187</v>
      </c>
      <c r="H762" t="s">
        <v>140</v>
      </c>
      <c r="I762" t="s">
        <v>140</v>
      </c>
      <c r="J762" t="s">
        <v>6</v>
      </c>
      <c r="L762">
        <v>522611</v>
      </c>
      <c r="M762" s="99" t="s">
        <v>178</v>
      </c>
      <c r="N762">
        <v>1</v>
      </c>
      <c r="O762">
        <v>11</v>
      </c>
      <c r="P762">
        <v>0.3392</v>
      </c>
      <c r="Q762" t="s">
        <v>352</v>
      </c>
      <c r="R762">
        <v>1</v>
      </c>
      <c r="S762">
        <v>0.34620000000000001</v>
      </c>
      <c r="T762">
        <v>2.92E-2</v>
      </c>
      <c r="U762">
        <v>-0.23972602739726048</v>
      </c>
      <c r="V762">
        <v>0.2586</v>
      </c>
      <c r="W762">
        <v>0.2878</v>
      </c>
      <c r="X762">
        <v>0.317</v>
      </c>
      <c r="Y762">
        <v>0.37540000000000001</v>
      </c>
      <c r="Z762">
        <v>0.40460000000000002</v>
      </c>
      <c r="AA762">
        <v>0.43380000000000002</v>
      </c>
      <c r="AD762">
        <v>26.16342831769812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 t="s">
        <v>462</v>
      </c>
      <c r="AL762" t="s">
        <v>6</v>
      </c>
      <c r="AM762" t="s">
        <v>1145</v>
      </c>
      <c r="AN762" t="s">
        <v>1146</v>
      </c>
      <c r="AO762" s="100">
        <v>46262.040405092594</v>
      </c>
      <c r="AP762" t="s">
        <v>1147</v>
      </c>
      <c r="AQ762" t="s">
        <v>2744</v>
      </c>
      <c r="AR762" t="s">
        <v>1197</v>
      </c>
      <c r="AS762" t="s">
        <v>1150</v>
      </c>
      <c r="AT762" t="s">
        <v>2724</v>
      </c>
      <c r="AU762">
        <v>25</v>
      </c>
      <c r="AV762">
        <v>0.34645200000000004</v>
      </c>
      <c r="AW762">
        <v>2.6328804251870865E-2</v>
      </c>
      <c r="AX762">
        <v>7.5995532575568516</v>
      </c>
      <c r="AY762">
        <v>0.20055466868433902</v>
      </c>
      <c r="AZ762">
        <v>12.739817543653144</v>
      </c>
      <c r="BA762">
        <v>3.4163684060239716</v>
      </c>
      <c r="BB762" t="s">
        <v>4619</v>
      </c>
      <c r="BD762" s="98"/>
      <c r="BE762" s="98"/>
      <c r="BF762" t="s">
        <v>1152</v>
      </c>
      <c r="BG762" t="s">
        <v>322</v>
      </c>
      <c r="BH762" t="s">
        <v>1153</v>
      </c>
      <c r="BI762">
        <v>0.20055466868433902</v>
      </c>
      <c r="BJ762" t="s">
        <v>1032</v>
      </c>
      <c r="BK762">
        <v>13.423610774044976</v>
      </c>
      <c r="BL762">
        <v>51.306772992607556</v>
      </c>
      <c r="BM762" t="s">
        <v>1260</v>
      </c>
      <c r="BN762" t="s">
        <v>1154</v>
      </c>
      <c r="BO762">
        <v>2025</v>
      </c>
      <c r="BP762" t="s">
        <v>966</v>
      </c>
      <c r="BQ762">
        <v>47184.386903149854</v>
      </c>
      <c r="BR762">
        <v>95.281561309685017</v>
      </c>
      <c r="BS762" t="s">
        <v>992</v>
      </c>
      <c r="BT762">
        <v>6</v>
      </c>
      <c r="BU762">
        <v>1</v>
      </c>
      <c r="BV762" t="s">
        <v>993</v>
      </c>
      <c r="BW762" t="s">
        <v>943</v>
      </c>
      <c r="BX762" t="s">
        <v>1033</v>
      </c>
      <c r="BY762">
        <v>3.1727893417376754</v>
      </c>
      <c r="BZ762" t="s">
        <v>2573</v>
      </c>
      <c r="CA762" t="s">
        <v>1032</v>
      </c>
      <c r="CB762" t="b">
        <v>1</v>
      </c>
      <c r="CC762" t="b">
        <v>1</v>
      </c>
      <c r="CD762" t="b">
        <v>1</v>
      </c>
      <c r="CE762" t="b">
        <v>1</v>
      </c>
      <c r="CF762" t="b">
        <v>1</v>
      </c>
    </row>
    <row r="763" spans="1:84" x14ac:dyDescent="0.3">
      <c r="A763" t="s">
        <v>2745</v>
      </c>
      <c r="B763" t="s">
        <v>1199</v>
      </c>
      <c r="C763" s="98">
        <v>45740</v>
      </c>
      <c r="D763">
        <v>2025</v>
      </c>
      <c r="E763">
        <v>3</v>
      </c>
      <c r="F763">
        <v>1</v>
      </c>
      <c r="G763" t="s">
        <v>1187</v>
      </c>
      <c r="H763" t="s">
        <v>140</v>
      </c>
      <c r="I763" t="s">
        <v>140</v>
      </c>
      <c r="J763" t="s">
        <v>6</v>
      </c>
      <c r="L763">
        <v>522611</v>
      </c>
      <c r="M763" s="99" t="s">
        <v>178</v>
      </c>
      <c r="N763">
        <v>1</v>
      </c>
      <c r="O763">
        <v>12</v>
      </c>
      <c r="P763">
        <v>0.36180000000000001</v>
      </c>
      <c r="Q763" t="s">
        <v>352</v>
      </c>
      <c r="R763">
        <v>1</v>
      </c>
      <c r="S763">
        <v>0.34620000000000001</v>
      </c>
      <c r="T763">
        <v>2.92E-2</v>
      </c>
      <c r="U763">
        <v>0.53424657534246589</v>
      </c>
      <c r="V763">
        <v>0.2586</v>
      </c>
      <c r="W763">
        <v>0.2878</v>
      </c>
      <c r="X763">
        <v>0.317</v>
      </c>
      <c r="Y763">
        <v>0.37540000000000001</v>
      </c>
      <c r="Z763">
        <v>0.40460000000000002</v>
      </c>
      <c r="AA763">
        <v>0.43380000000000002</v>
      </c>
      <c r="AD763">
        <v>26.16342831769812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 t="s">
        <v>462</v>
      </c>
      <c r="AL763" t="s">
        <v>6</v>
      </c>
      <c r="AM763" t="s">
        <v>1145</v>
      </c>
      <c r="AN763" t="s">
        <v>1146</v>
      </c>
      <c r="AO763" s="100">
        <v>46262.040405092594</v>
      </c>
      <c r="AP763" t="s">
        <v>1147</v>
      </c>
      <c r="AQ763" t="s">
        <v>2746</v>
      </c>
      <c r="AR763" t="s">
        <v>1201</v>
      </c>
      <c r="AS763" t="s">
        <v>1150</v>
      </c>
      <c r="AT763" t="s">
        <v>2724</v>
      </c>
      <c r="AU763">
        <v>25</v>
      </c>
      <c r="AV763">
        <v>0.34645200000000004</v>
      </c>
      <c r="AW763">
        <v>2.6328804251870865E-2</v>
      </c>
      <c r="AX763">
        <v>7.5995532575568516</v>
      </c>
      <c r="AY763">
        <v>0.20055466868433902</v>
      </c>
      <c r="AZ763">
        <v>12.739817543653144</v>
      </c>
      <c r="BA763">
        <v>3.4163684060239716</v>
      </c>
      <c r="BB763" t="s">
        <v>4619</v>
      </c>
      <c r="BD763" s="98"/>
      <c r="BE763" s="98"/>
      <c r="BF763" t="s">
        <v>1152</v>
      </c>
      <c r="BG763" t="s">
        <v>322</v>
      </c>
      <c r="BH763" t="s">
        <v>1153</v>
      </c>
      <c r="BI763">
        <v>0.20055466868433902</v>
      </c>
      <c r="BJ763" t="s">
        <v>1032</v>
      </c>
      <c r="BK763">
        <v>13.423610774044976</v>
      </c>
      <c r="BL763">
        <v>51.306772992607556</v>
      </c>
      <c r="BM763" t="s">
        <v>1260</v>
      </c>
      <c r="BN763" t="s">
        <v>1154</v>
      </c>
      <c r="BO763">
        <v>2025</v>
      </c>
      <c r="BP763" t="s">
        <v>966</v>
      </c>
      <c r="BQ763">
        <v>47184.386903149854</v>
      </c>
      <c r="BR763">
        <v>95.281561309685017</v>
      </c>
      <c r="BS763" t="s">
        <v>992</v>
      </c>
      <c r="BT763">
        <v>6</v>
      </c>
      <c r="BU763">
        <v>1</v>
      </c>
      <c r="BV763" t="s">
        <v>993</v>
      </c>
      <c r="BW763" t="s">
        <v>943</v>
      </c>
      <c r="BX763" t="s">
        <v>1033</v>
      </c>
      <c r="BY763">
        <v>3.1727893417376754</v>
      </c>
      <c r="BZ763" t="s">
        <v>2573</v>
      </c>
      <c r="CA763" t="s">
        <v>1032</v>
      </c>
      <c r="CB763" t="b">
        <v>1</v>
      </c>
      <c r="CC763" t="b">
        <v>1</v>
      </c>
      <c r="CD763" t="b">
        <v>1</v>
      </c>
      <c r="CE763" t="b">
        <v>1</v>
      </c>
      <c r="CF763" t="b">
        <v>1</v>
      </c>
    </row>
    <row r="764" spans="1:84" x14ac:dyDescent="0.3">
      <c r="A764" t="s">
        <v>2747</v>
      </c>
      <c r="B764" t="s">
        <v>1203</v>
      </c>
      <c r="C764" s="98">
        <v>45747</v>
      </c>
      <c r="D764">
        <v>2025</v>
      </c>
      <c r="E764">
        <v>3</v>
      </c>
      <c r="F764">
        <v>1</v>
      </c>
      <c r="G764" t="s">
        <v>1187</v>
      </c>
      <c r="H764" t="s">
        <v>140</v>
      </c>
      <c r="I764" t="s">
        <v>140</v>
      </c>
      <c r="J764" t="s">
        <v>6</v>
      </c>
      <c r="L764">
        <v>522611</v>
      </c>
      <c r="M764" s="99" t="s">
        <v>178</v>
      </c>
      <c r="N764">
        <v>1</v>
      </c>
      <c r="O764">
        <v>13</v>
      </c>
      <c r="P764">
        <v>0.3669</v>
      </c>
      <c r="Q764" t="s">
        <v>352</v>
      </c>
      <c r="R764">
        <v>1</v>
      </c>
      <c r="S764">
        <v>0.34620000000000001</v>
      </c>
      <c r="T764">
        <v>2.92E-2</v>
      </c>
      <c r="U764">
        <v>0.70890410958904093</v>
      </c>
      <c r="V764">
        <v>0.2586</v>
      </c>
      <c r="W764">
        <v>0.2878</v>
      </c>
      <c r="X764">
        <v>0.317</v>
      </c>
      <c r="Y764">
        <v>0.37540000000000001</v>
      </c>
      <c r="Z764">
        <v>0.40460000000000002</v>
      </c>
      <c r="AA764">
        <v>0.43380000000000002</v>
      </c>
      <c r="AD764">
        <v>26.16342831769812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 t="s">
        <v>462</v>
      </c>
      <c r="AL764" t="s">
        <v>6</v>
      </c>
      <c r="AM764" t="s">
        <v>1145</v>
      </c>
      <c r="AN764" t="s">
        <v>1146</v>
      </c>
      <c r="AO764" s="100">
        <v>46262.040405092594</v>
      </c>
      <c r="AP764" t="s">
        <v>1147</v>
      </c>
      <c r="AQ764" t="s">
        <v>2748</v>
      </c>
      <c r="AR764" t="s">
        <v>1205</v>
      </c>
      <c r="AS764" t="s">
        <v>1150</v>
      </c>
      <c r="AT764" t="s">
        <v>2724</v>
      </c>
      <c r="AU764">
        <v>25</v>
      </c>
      <c r="AV764">
        <v>0.34645200000000004</v>
      </c>
      <c r="AW764">
        <v>2.6328804251870865E-2</v>
      </c>
      <c r="AX764">
        <v>7.5995532575568516</v>
      </c>
      <c r="AY764">
        <v>0.20055466868433902</v>
      </c>
      <c r="AZ764">
        <v>12.739817543653144</v>
      </c>
      <c r="BA764">
        <v>3.4163684060239716</v>
      </c>
      <c r="BB764" t="s">
        <v>4619</v>
      </c>
      <c r="BD764" s="98"/>
      <c r="BE764" s="98"/>
      <c r="BF764" t="s">
        <v>1152</v>
      </c>
      <c r="BG764" t="s">
        <v>322</v>
      </c>
      <c r="BH764" t="s">
        <v>1153</v>
      </c>
      <c r="BI764">
        <v>0.20055466868433902</v>
      </c>
      <c r="BJ764" t="s">
        <v>1032</v>
      </c>
      <c r="BK764">
        <v>13.423610774044976</v>
      </c>
      <c r="BL764">
        <v>51.306772992607556</v>
      </c>
      <c r="BM764" t="s">
        <v>1260</v>
      </c>
      <c r="BN764" t="s">
        <v>1154</v>
      </c>
      <c r="BO764">
        <v>2025</v>
      </c>
      <c r="BP764" t="s">
        <v>966</v>
      </c>
      <c r="BQ764">
        <v>47184.386903149854</v>
      </c>
      <c r="BR764">
        <v>95.281561309685017</v>
      </c>
      <c r="BS764" t="s">
        <v>992</v>
      </c>
      <c r="BT764">
        <v>6</v>
      </c>
      <c r="BU764">
        <v>1</v>
      </c>
      <c r="BV764" t="s">
        <v>993</v>
      </c>
      <c r="BW764" t="s">
        <v>943</v>
      </c>
      <c r="BX764" t="s">
        <v>1033</v>
      </c>
      <c r="BY764">
        <v>3.1727893417376754</v>
      </c>
      <c r="BZ764" t="s">
        <v>2573</v>
      </c>
      <c r="CA764" t="s">
        <v>1032</v>
      </c>
      <c r="CB764" t="b">
        <v>1</v>
      </c>
      <c r="CC764" t="b">
        <v>1</v>
      </c>
      <c r="CD764" t="b">
        <v>1</v>
      </c>
      <c r="CE764" t="b">
        <v>1</v>
      </c>
      <c r="CF764" t="b">
        <v>1</v>
      </c>
    </row>
    <row r="765" spans="1:84" x14ac:dyDescent="0.3">
      <c r="A765" t="s">
        <v>2749</v>
      </c>
      <c r="B765" t="s">
        <v>1207</v>
      </c>
      <c r="C765" s="98">
        <v>45754</v>
      </c>
      <c r="D765">
        <v>2025</v>
      </c>
      <c r="E765">
        <v>4</v>
      </c>
      <c r="F765">
        <v>2</v>
      </c>
      <c r="G765" t="s">
        <v>1208</v>
      </c>
      <c r="H765" t="s">
        <v>140</v>
      </c>
      <c r="I765" t="s">
        <v>140</v>
      </c>
      <c r="J765" t="s">
        <v>6</v>
      </c>
      <c r="L765">
        <v>522611</v>
      </c>
      <c r="M765" s="99" t="s">
        <v>178</v>
      </c>
      <c r="N765">
        <v>1</v>
      </c>
      <c r="O765">
        <v>14</v>
      </c>
      <c r="P765">
        <v>0.31369999999999998</v>
      </c>
      <c r="Q765" t="s">
        <v>352</v>
      </c>
      <c r="R765">
        <v>1</v>
      </c>
      <c r="S765">
        <v>0.34620000000000001</v>
      </c>
      <c r="T765">
        <v>2.92E-2</v>
      </c>
      <c r="U765">
        <v>-1.113013698630138</v>
      </c>
      <c r="V765">
        <v>0.2586</v>
      </c>
      <c r="W765">
        <v>0.2878</v>
      </c>
      <c r="X765">
        <v>0.317</v>
      </c>
      <c r="Y765">
        <v>0.37540000000000001</v>
      </c>
      <c r="Z765">
        <v>0.40460000000000002</v>
      </c>
      <c r="AA765">
        <v>0.43380000000000002</v>
      </c>
      <c r="AD765">
        <v>26.16342831769812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 t="s">
        <v>462</v>
      </c>
      <c r="AL765" t="s">
        <v>6</v>
      </c>
      <c r="AM765" t="s">
        <v>1145</v>
      </c>
      <c r="AN765" t="s">
        <v>1146</v>
      </c>
      <c r="AO765" s="100">
        <v>46262.040405092594</v>
      </c>
      <c r="AP765" t="s">
        <v>1147</v>
      </c>
      <c r="AQ765" t="s">
        <v>2750</v>
      </c>
      <c r="AR765" t="s">
        <v>1210</v>
      </c>
      <c r="AS765" t="s">
        <v>1150</v>
      </c>
      <c r="AT765" t="s">
        <v>2724</v>
      </c>
      <c r="AU765">
        <v>25</v>
      </c>
      <c r="AV765">
        <v>0.34645200000000004</v>
      </c>
      <c r="AW765">
        <v>2.6328804251870865E-2</v>
      </c>
      <c r="AX765">
        <v>7.5995532575568516</v>
      </c>
      <c r="AY765">
        <v>0.20055466868433902</v>
      </c>
      <c r="AZ765">
        <v>12.739817543653144</v>
      </c>
      <c r="BA765">
        <v>3.4163684060239716</v>
      </c>
      <c r="BB765" t="s">
        <v>4619</v>
      </c>
      <c r="BD765" s="98"/>
      <c r="BE765" s="98"/>
      <c r="BF765" t="s">
        <v>1152</v>
      </c>
      <c r="BG765" t="s">
        <v>322</v>
      </c>
      <c r="BH765" t="s">
        <v>1153</v>
      </c>
      <c r="BI765">
        <v>0.20055466868433902</v>
      </c>
      <c r="BJ765" t="s">
        <v>1032</v>
      </c>
      <c r="BK765">
        <v>13.423610774044976</v>
      </c>
      <c r="BL765">
        <v>51.306772992607556</v>
      </c>
      <c r="BM765" t="s">
        <v>1260</v>
      </c>
      <c r="BN765" t="s">
        <v>1154</v>
      </c>
      <c r="BO765">
        <v>2025</v>
      </c>
      <c r="BP765" t="s">
        <v>966</v>
      </c>
      <c r="BQ765">
        <v>47184.386903149854</v>
      </c>
      <c r="BR765">
        <v>95.281561309685017</v>
      </c>
      <c r="BS765" t="s">
        <v>992</v>
      </c>
      <c r="BT765">
        <v>6</v>
      </c>
      <c r="BU765">
        <v>1</v>
      </c>
      <c r="BV765" t="s">
        <v>993</v>
      </c>
      <c r="BW765" t="s">
        <v>943</v>
      </c>
      <c r="BX765" t="s">
        <v>1033</v>
      </c>
      <c r="BY765">
        <v>3.1727893417376754</v>
      </c>
      <c r="BZ765" t="s">
        <v>2573</v>
      </c>
      <c r="CA765" t="s">
        <v>1032</v>
      </c>
      <c r="CB765" t="b">
        <v>1</v>
      </c>
      <c r="CC765" t="b">
        <v>1</v>
      </c>
      <c r="CD765" t="b">
        <v>1</v>
      </c>
      <c r="CE765" t="b">
        <v>1</v>
      </c>
      <c r="CF765" t="b">
        <v>1</v>
      </c>
    </row>
    <row r="766" spans="1:84" x14ac:dyDescent="0.3">
      <c r="A766" t="s">
        <v>2751</v>
      </c>
      <c r="B766" t="s">
        <v>1212</v>
      </c>
      <c r="C766" s="98">
        <v>45761</v>
      </c>
      <c r="D766">
        <v>2025</v>
      </c>
      <c r="E766">
        <v>4</v>
      </c>
      <c r="F766">
        <v>2</v>
      </c>
      <c r="G766" t="s">
        <v>1208</v>
      </c>
      <c r="H766" t="s">
        <v>140</v>
      </c>
      <c r="I766" t="s">
        <v>140</v>
      </c>
      <c r="J766" t="s">
        <v>6</v>
      </c>
      <c r="L766">
        <v>522611</v>
      </c>
      <c r="M766" s="99" t="s">
        <v>178</v>
      </c>
      <c r="N766">
        <v>1</v>
      </c>
      <c r="O766">
        <v>15</v>
      </c>
      <c r="P766">
        <v>0.3402</v>
      </c>
      <c r="Q766" t="s">
        <v>352</v>
      </c>
      <c r="R766">
        <v>1</v>
      </c>
      <c r="S766">
        <v>0.34620000000000001</v>
      </c>
      <c r="T766">
        <v>2.92E-2</v>
      </c>
      <c r="U766">
        <v>-0.2054794520547947</v>
      </c>
      <c r="V766">
        <v>0.2586</v>
      </c>
      <c r="W766">
        <v>0.2878</v>
      </c>
      <c r="X766">
        <v>0.317</v>
      </c>
      <c r="Y766">
        <v>0.37540000000000001</v>
      </c>
      <c r="Z766">
        <v>0.40460000000000002</v>
      </c>
      <c r="AA766">
        <v>0.43380000000000002</v>
      </c>
      <c r="AD766">
        <v>26.16342831769812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 t="s">
        <v>462</v>
      </c>
      <c r="AL766" t="s">
        <v>6</v>
      </c>
      <c r="AM766" t="s">
        <v>1145</v>
      </c>
      <c r="AN766" t="s">
        <v>1146</v>
      </c>
      <c r="AO766" s="100">
        <v>46262.040405092594</v>
      </c>
      <c r="AP766" t="s">
        <v>1147</v>
      </c>
      <c r="AQ766" t="s">
        <v>2752</v>
      </c>
      <c r="AR766" t="s">
        <v>1215</v>
      </c>
      <c r="AS766" t="s">
        <v>1150</v>
      </c>
      <c r="AT766" t="s">
        <v>2724</v>
      </c>
      <c r="AU766">
        <v>25</v>
      </c>
      <c r="AV766">
        <v>0.34645200000000004</v>
      </c>
      <c r="AW766">
        <v>2.6328804251870865E-2</v>
      </c>
      <c r="AX766">
        <v>7.5995532575568516</v>
      </c>
      <c r="AY766">
        <v>0.20055466868433902</v>
      </c>
      <c r="AZ766">
        <v>12.739817543653144</v>
      </c>
      <c r="BA766">
        <v>3.4163684060239716</v>
      </c>
      <c r="BB766" t="s">
        <v>4619</v>
      </c>
      <c r="BD766" s="98"/>
      <c r="BE766" s="98"/>
      <c r="BF766" t="s">
        <v>1152</v>
      </c>
      <c r="BG766" t="s">
        <v>322</v>
      </c>
      <c r="BH766" t="s">
        <v>1153</v>
      </c>
      <c r="BI766">
        <v>0.20055466868433902</v>
      </c>
      <c r="BJ766" t="s">
        <v>1032</v>
      </c>
      <c r="BK766">
        <v>13.423610774044976</v>
      </c>
      <c r="BL766">
        <v>51.306772992607556</v>
      </c>
      <c r="BM766" t="s">
        <v>1260</v>
      </c>
      <c r="BN766" t="s">
        <v>1154</v>
      </c>
      <c r="BO766">
        <v>2025</v>
      </c>
      <c r="BP766" t="s">
        <v>966</v>
      </c>
      <c r="BQ766">
        <v>47184.386903149854</v>
      </c>
      <c r="BR766">
        <v>95.281561309685017</v>
      </c>
      <c r="BS766" t="s">
        <v>992</v>
      </c>
      <c r="BT766">
        <v>6</v>
      </c>
      <c r="BU766">
        <v>1</v>
      </c>
      <c r="BV766" t="s">
        <v>993</v>
      </c>
      <c r="BW766" t="s">
        <v>943</v>
      </c>
      <c r="BX766" t="s">
        <v>1033</v>
      </c>
      <c r="BY766">
        <v>3.1727893417376754</v>
      </c>
      <c r="BZ766" t="s">
        <v>2573</v>
      </c>
      <c r="CA766" t="s">
        <v>1032</v>
      </c>
      <c r="CB766" t="b">
        <v>1</v>
      </c>
      <c r="CC766" t="b">
        <v>1</v>
      </c>
      <c r="CD766" t="b">
        <v>1</v>
      </c>
      <c r="CE766" t="b">
        <v>1</v>
      </c>
      <c r="CF766" t="b">
        <v>1</v>
      </c>
    </row>
    <row r="767" spans="1:84" x14ac:dyDescent="0.3">
      <c r="A767" t="s">
        <v>2753</v>
      </c>
      <c r="B767" t="s">
        <v>1217</v>
      </c>
      <c r="C767" s="98">
        <v>45768</v>
      </c>
      <c r="D767">
        <v>2025</v>
      </c>
      <c r="E767">
        <v>4</v>
      </c>
      <c r="F767">
        <v>2</v>
      </c>
      <c r="G767" t="s">
        <v>1208</v>
      </c>
      <c r="H767" t="s">
        <v>140</v>
      </c>
      <c r="I767" t="s">
        <v>140</v>
      </c>
      <c r="J767" t="s">
        <v>6</v>
      </c>
      <c r="L767">
        <v>522611</v>
      </c>
      <c r="M767" s="99" t="s">
        <v>178</v>
      </c>
      <c r="N767">
        <v>1</v>
      </c>
      <c r="O767">
        <v>16</v>
      </c>
      <c r="P767">
        <v>0.373</v>
      </c>
      <c r="Q767" t="s">
        <v>352</v>
      </c>
      <c r="R767">
        <v>1</v>
      </c>
      <c r="S767">
        <v>0.34620000000000001</v>
      </c>
      <c r="T767">
        <v>2.92E-2</v>
      </c>
      <c r="U767">
        <v>0.91780821917808186</v>
      </c>
      <c r="V767">
        <v>0.2586</v>
      </c>
      <c r="W767">
        <v>0.2878</v>
      </c>
      <c r="X767">
        <v>0.317</v>
      </c>
      <c r="Y767">
        <v>0.37540000000000001</v>
      </c>
      <c r="Z767">
        <v>0.40460000000000002</v>
      </c>
      <c r="AA767">
        <v>0.43380000000000002</v>
      </c>
      <c r="AD767">
        <v>26.16342831769812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 t="s">
        <v>462</v>
      </c>
      <c r="AL767" t="s">
        <v>6</v>
      </c>
      <c r="AM767" t="s">
        <v>1145</v>
      </c>
      <c r="AN767" t="s">
        <v>1146</v>
      </c>
      <c r="AO767" s="100">
        <v>46262.040405092594</v>
      </c>
      <c r="AP767" t="s">
        <v>1147</v>
      </c>
      <c r="AQ767" t="s">
        <v>2754</v>
      </c>
      <c r="AR767" t="s">
        <v>1219</v>
      </c>
      <c r="AS767" t="s">
        <v>1150</v>
      </c>
      <c r="AT767" t="s">
        <v>2724</v>
      </c>
      <c r="AU767">
        <v>25</v>
      </c>
      <c r="AV767">
        <v>0.34645200000000004</v>
      </c>
      <c r="AW767">
        <v>2.6328804251870865E-2</v>
      </c>
      <c r="AX767">
        <v>7.5995532575568516</v>
      </c>
      <c r="AY767">
        <v>0.20055466868433902</v>
      </c>
      <c r="AZ767">
        <v>12.739817543653144</v>
      </c>
      <c r="BA767">
        <v>3.4163684060239716</v>
      </c>
      <c r="BB767" t="s">
        <v>4619</v>
      </c>
      <c r="BD767" s="98"/>
      <c r="BE767" s="98"/>
      <c r="BF767" t="s">
        <v>1152</v>
      </c>
      <c r="BG767" t="s">
        <v>322</v>
      </c>
      <c r="BH767" t="s">
        <v>1153</v>
      </c>
      <c r="BI767">
        <v>0.20055466868433902</v>
      </c>
      <c r="BJ767" t="s">
        <v>1032</v>
      </c>
      <c r="BK767">
        <v>13.423610774044976</v>
      </c>
      <c r="BL767">
        <v>51.306772992607556</v>
      </c>
      <c r="BM767" t="s">
        <v>1260</v>
      </c>
      <c r="BN767" t="s">
        <v>1154</v>
      </c>
      <c r="BO767">
        <v>2025</v>
      </c>
      <c r="BP767" t="s">
        <v>966</v>
      </c>
      <c r="BQ767">
        <v>47184.386903149854</v>
      </c>
      <c r="BR767">
        <v>95.281561309685017</v>
      </c>
      <c r="BS767" t="s">
        <v>992</v>
      </c>
      <c r="BT767">
        <v>6</v>
      </c>
      <c r="BU767">
        <v>1</v>
      </c>
      <c r="BV767" t="s">
        <v>993</v>
      </c>
      <c r="BW767" t="s">
        <v>943</v>
      </c>
      <c r="BX767" t="s">
        <v>1033</v>
      </c>
      <c r="BY767">
        <v>3.1727893417376754</v>
      </c>
      <c r="BZ767" t="s">
        <v>2573</v>
      </c>
      <c r="CA767" t="s">
        <v>1032</v>
      </c>
      <c r="CB767" t="b">
        <v>1</v>
      </c>
      <c r="CC767" t="b">
        <v>1</v>
      </c>
      <c r="CD767" t="b">
        <v>1</v>
      </c>
      <c r="CE767" t="b">
        <v>1</v>
      </c>
      <c r="CF767" t="b">
        <v>1</v>
      </c>
    </row>
    <row r="768" spans="1:84" x14ac:dyDescent="0.3">
      <c r="A768" t="s">
        <v>2755</v>
      </c>
      <c r="B768" t="s">
        <v>1221</v>
      </c>
      <c r="C768" s="98">
        <v>45775</v>
      </c>
      <c r="D768">
        <v>2025</v>
      </c>
      <c r="E768">
        <v>4</v>
      </c>
      <c r="F768">
        <v>2</v>
      </c>
      <c r="G768" t="s">
        <v>1208</v>
      </c>
      <c r="H768" t="s">
        <v>140</v>
      </c>
      <c r="I768" t="s">
        <v>140</v>
      </c>
      <c r="J768" t="s">
        <v>6</v>
      </c>
      <c r="L768">
        <v>522611</v>
      </c>
      <c r="M768" s="99" t="s">
        <v>178</v>
      </c>
      <c r="N768">
        <v>1</v>
      </c>
      <c r="O768">
        <v>17</v>
      </c>
      <c r="P768">
        <v>0.35410000000000003</v>
      </c>
      <c r="Q768" t="s">
        <v>352</v>
      </c>
      <c r="R768">
        <v>1</v>
      </c>
      <c r="S768">
        <v>0.34620000000000001</v>
      </c>
      <c r="T768">
        <v>2.92E-2</v>
      </c>
      <c r="U768">
        <v>0.27054794520548009</v>
      </c>
      <c r="V768">
        <v>0.2586</v>
      </c>
      <c r="W768">
        <v>0.2878</v>
      </c>
      <c r="X768">
        <v>0.317</v>
      </c>
      <c r="Y768">
        <v>0.37540000000000001</v>
      </c>
      <c r="Z768">
        <v>0.40460000000000002</v>
      </c>
      <c r="AA768">
        <v>0.43380000000000002</v>
      </c>
      <c r="AD768">
        <v>26.16342831769812</v>
      </c>
      <c r="AE768">
        <v>0</v>
      </c>
      <c r="AF768">
        <v>0</v>
      </c>
      <c r="AG768">
        <v>0</v>
      </c>
      <c r="AH768">
        <v>0</v>
      </c>
      <c r="AI768">
        <v>1</v>
      </c>
      <c r="AJ768">
        <v>0</v>
      </c>
      <c r="AK768" t="s">
        <v>1213</v>
      </c>
      <c r="AL768" t="s">
        <v>6</v>
      </c>
      <c r="AM768" t="s">
        <v>1145</v>
      </c>
      <c r="AN768" t="s">
        <v>1146</v>
      </c>
      <c r="AO768" s="100">
        <v>46262.040405092594</v>
      </c>
      <c r="AP768" t="s">
        <v>1147</v>
      </c>
      <c r="AQ768" t="s">
        <v>2756</v>
      </c>
      <c r="AR768" t="s">
        <v>1223</v>
      </c>
      <c r="AS768" t="s">
        <v>1150</v>
      </c>
      <c r="AT768" t="s">
        <v>2724</v>
      </c>
      <c r="AU768">
        <v>25</v>
      </c>
      <c r="AV768">
        <v>0.34645200000000004</v>
      </c>
      <c r="AW768">
        <v>2.6328804251870865E-2</v>
      </c>
      <c r="AX768">
        <v>7.5995532575568516</v>
      </c>
      <c r="AY768">
        <v>0.20055466868433902</v>
      </c>
      <c r="AZ768">
        <v>12.739817543653144</v>
      </c>
      <c r="BA768">
        <v>3.4163684060239716</v>
      </c>
      <c r="BB768" t="s">
        <v>4619</v>
      </c>
      <c r="BD768" s="98"/>
      <c r="BE768" s="98"/>
      <c r="BF768" t="s">
        <v>1152</v>
      </c>
      <c r="BG768" t="s">
        <v>322</v>
      </c>
      <c r="BH768" t="s">
        <v>1153</v>
      </c>
      <c r="BI768">
        <v>0.20055466868433902</v>
      </c>
      <c r="BJ768" t="s">
        <v>1032</v>
      </c>
      <c r="BK768">
        <v>13.423610774044976</v>
      </c>
      <c r="BL768">
        <v>51.306772992607556</v>
      </c>
      <c r="BM768" t="s">
        <v>1260</v>
      </c>
      <c r="BN768" t="s">
        <v>1154</v>
      </c>
      <c r="BO768">
        <v>2025</v>
      </c>
      <c r="BP768" t="s">
        <v>966</v>
      </c>
      <c r="BQ768">
        <v>47184.386903149854</v>
      </c>
      <c r="BR768">
        <v>95.281561309685017</v>
      </c>
      <c r="BS768" t="s">
        <v>992</v>
      </c>
      <c r="BT768">
        <v>6</v>
      </c>
      <c r="BU768">
        <v>1</v>
      </c>
      <c r="BV768" t="s">
        <v>993</v>
      </c>
      <c r="BW768" t="s">
        <v>943</v>
      </c>
      <c r="BX768" t="s">
        <v>1033</v>
      </c>
      <c r="BY768">
        <v>3.1727893417376754</v>
      </c>
      <c r="BZ768" t="s">
        <v>2573</v>
      </c>
      <c r="CA768" t="s">
        <v>1032</v>
      </c>
      <c r="CB768" t="b">
        <v>1</v>
      </c>
      <c r="CC768" t="b">
        <v>1</v>
      </c>
      <c r="CD768" t="b">
        <v>1</v>
      </c>
      <c r="CE768" t="b">
        <v>1</v>
      </c>
      <c r="CF768" t="b">
        <v>1</v>
      </c>
    </row>
    <row r="769" spans="1:84" x14ac:dyDescent="0.3">
      <c r="A769" t="s">
        <v>2757</v>
      </c>
      <c r="B769" t="s">
        <v>1225</v>
      </c>
      <c r="C769" s="98">
        <v>45782</v>
      </c>
      <c r="D769">
        <v>2025</v>
      </c>
      <c r="E769">
        <v>5</v>
      </c>
      <c r="F769">
        <v>2</v>
      </c>
      <c r="G769" t="s">
        <v>1226</v>
      </c>
      <c r="H769" t="s">
        <v>140</v>
      </c>
      <c r="I769" t="s">
        <v>140</v>
      </c>
      <c r="J769" t="s">
        <v>6</v>
      </c>
      <c r="L769">
        <v>522611</v>
      </c>
      <c r="M769" s="99" t="s">
        <v>178</v>
      </c>
      <c r="N769">
        <v>1</v>
      </c>
      <c r="O769">
        <v>18</v>
      </c>
      <c r="P769">
        <v>0.3498</v>
      </c>
      <c r="Q769" t="s">
        <v>352</v>
      </c>
      <c r="R769">
        <v>1</v>
      </c>
      <c r="S769">
        <v>0.34620000000000001</v>
      </c>
      <c r="T769">
        <v>2.92E-2</v>
      </c>
      <c r="U769">
        <v>0.12328767123287644</v>
      </c>
      <c r="V769">
        <v>0.2586</v>
      </c>
      <c r="W769">
        <v>0.2878</v>
      </c>
      <c r="X769">
        <v>0.317</v>
      </c>
      <c r="Y769">
        <v>0.37540000000000001</v>
      </c>
      <c r="Z769">
        <v>0.40460000000000002</v>
      </c>
      <c r="AA769">
        <v>0.43380000000000002</v>
      </c>
      <c r="AD769">
        <v>26.16342831769812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 t="s">
        <v>462</v>
      </c>
      <c r="AL769" t="s">
        <v>6</v>
      </c>
      <c r="AM769" t="s">
        <v>1145</v>
      </c>
      <c r="AN769" t="s">
        <v>1146</v>
      </c>
      <c r="AO769" s="100">
        <v>46262.040405092594</v>
      </c>
      <c r="AP769" t="s">
        <v>1147</v>
      </c>
      <c r="AQ769" t="s">
        <v>2758</v>
      </c>
      <c r="AR769" t="s">
        <v>1228</v>
      </c>
      <c r="AS769" t="s">
        <v>1150</v>
      </c>
      <c r="AT769" t="s">
        <v>2724</v>
      </c>
      <c r="AU769">
        <v>25</v>
      </c>
      <c r="AV769">
        <v>0.34645200000000004</v>
      </c>
      <c r="AW769">
        <v>2.6328804251870865E-2</v>
      </c>
      <c r="AX769">
        <v>7.5995532575568516</v>
      </c>
      <c r="AY769">
        <v>0.20055466868433902</v>
      </c>
      <c r="AZ769">
        <v>12.739817543653144</v>
      </c>
      <c r="BA769">
        <v>3.4163684060239716</v>
      </c>
      <c r="BB769" t="s">
        <v>4619</v>
      </c>
      <c r="BD769" s="98"/>
      <c r="BE769" s="98"/>
      <c r="BF769" t="s">
        <v>1152</v>
      </c>
      <c r="BG769" t="s">
        <v>322</v>
      </c>
      <c r="BH769" t="s">
        <v>1153</v>
      </c>
      <c r="BI769">
        <v>0.20055466868433902</v>
      </c>
      <c r="BJ769" t="s">
        <v>1032</v>
      </c>
      <c r="BK769">
        <v>13.423610774044976</v>
      </c>
      <c r="BL769">
        <v>51.306772992607556</v>
      </c>
      <c r="BM769" t="s">
        <v>1260</v>
      </c>
      <c r="BN769" t="s">
        <v>1154</v>
      </c>
      <c r="BO769">
        <v>2025</v>
      </c>
      <c r="BP769" t="s">
        <v>966</v>
      </c>
      <c r="BQ769">
        <v>47184.386903149854</v>
      </c>
      <c r="BR769">
        <v>95.281561309685017</v>
      </c>
      <c r="BS769" t="s">
        <v>992</v>
      </c>
      <c r="BT769">
        <v>6</v>
      </c>
      <c r="BU769">
        <v>1</v>
      </c>
      <c r="BV769" t="s">
        <v>993</v>
      </c>
      <c r="BW769" t="s">
        <v>943</v>
      </c>
      <c r="BX769" t="s">
        <v>1033</v>
      </c>
      <c r="BY769">
        <v>3.1727893417376754</v>
      </c>
      <c r="BZ769" t="s">
        <v>2573</v>
      </c>
      <c r="CA769" t="s">
        <v>1032</v>
      </c>
      <c r="CB769" t="b">
        <v>1</v>
      </c>
      <c r="CC769" t="b">
        <v>1</v>
      </c>
      <c r="CD769" t="b">
        <v>1</v>
      </c>
      <c r="CE769" t="b">
        <v>1</v>
      </c>
      <c r="CF769" t="b">
        <v>1</v>
      </c>
    </row>
    <row r="770" spans="1:84" x14ac:dyDescent="0.3">
      <c r="A770" t="s">
        <v>2759</v>
      </c>
      <c r="B770" t="s">
        <v>1230</v>
      </c>
      <c r="C770" s="98">
        <v>45789</v>
      </c>
      <c r="D770">
        <v>2025</v>
      </c>
      <c r="E770">
        <v>5</v>
      </c>
      <c r="F770">
        <v>2</v>
      </c>
      <c r="G770" t="s">
        <v>1226</v>
      </c>
      <c r="H770" t="s">
        <v>140</v>
      </c>
      <c r="I770" t="s">
        <v>140</v>
      </c>
      <c r="J770" t="s">
        <v>6</v>
      </c>
      <c r="L770">
        <v>522611</v>
      </c>
      <c r="M770" s="99" t="s">
        <v>178</v>
      </c>
      <c r="N770">
        <v>1</v>
      </c>
      <c r="O770">
        <v>19</v>
      </c>
      <c r="P770">
        <v>0.3916</v>
      </c>
      <c r="Q770" t="s">
        <v>352</v>
      </c>
      <c r="R770">
        <v>1</v>
      </c>
      <c r="S770">
        <v>0.34620000000000001</v>
      </c>
      <c r="T770">
        <v>2.92E-2</v>
      </c>
      <c r="U770">
        <v>1.554794520547945</v>
      </c>
      <c r="V770">
        <v>0.2586</v>
      </c>
      <c r="W770">
        <v>0.2878</v>
      </c>
      <c r="X770">
        <v>0.317</v>
      </c>
      <c r="Y770">
        <v>0.37540000000000001</v>
      </c>
      <c r="Z770">
        <v>0.40460000000000002</v>
      </c>
      <c r="AA770">
        <v>0.43380000000000002</v>
      </c>
      <c r="AD770">
        <v>26.16342831769812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 t="s">
        <v>462</v>
      </c>
      <c r="AL770" t="s">
        <v>6</v>
      </c>
      <c r="AM770" t="s">
        <v>1145</v>
      </c>
      <c r="AN770" t="s">
        <v>1146</v>
      </c>
      <c r="AO770" s="100">
        <v>46262.040405092594</v>
      </c>
      <c r="AP770" t="s">
        <v>1147</v>
      </c>
      <c r="AQ770" t="s">
        <v>2760</v>
      </c>
      <c r="AR770" t="s">
        <v>1232</v>
      </c>
      <c r="AS770" t="s">
        <v>1150</v>
      </c>
      <c r="AT770" t="s">
        <v>2724</v>
      </c>
      <c r="AU770">
        <v>25</v>
      </c>
      <c r="AV770">
        <v>0.34645200000000004</v>
      </c>
      <c r="AW770">
        <v>2.6328804251870865E-2</v>
      </c>
      <c r="AX770">
        <v>7.5995532575568516</v>
      </c>
      <c r="AY770">
        <v>0.20055466868433902</v>
      </c>
      <c r="AZ770">
        <v>12.739817543653144</v>
      </c>
      <c r="BA770">
        <v>3.4163684060239716</v>
      </c>
      <c r="BB770" t="s">
        <v>4619</v>
      </c>
      <c r="BD770" s="98"/>
      <c r="BE770" s="98"/>
      <c r="BF770" t="s">
        <v>1152</v>
      </c>
      <c r="BG770" t="s">
        <v>322</v>
      </c>
      <c r="BH770" t="s">
        <v>1153</v>
      </c>
      <c r="BI770">
        <v>0.20055466868433902</v>
      </c>
      <c r="BJ770" t="s">
        <v>1032</v>
      </c>
      <c r="BK770">
        <v>13.423610774044976</v>
      </c>
      <c r="BL770">
        <v>51.306772992607556</v>
      </c>
      <c r="BM770" t="s">
        <v>1260</v>
      </c>
      <c r="BN770" t="s">
        <v>1154</v>
      </c>
      <c r="BO770">
        <v>2025</v>
      </c>
      <c r="BP770" t="s">
        <v>966</v>
      </c>
      <c r="BQ770">
        <v>47184.386903149854</v>
      </c>
      <c r="BR770">
        <v>95.281561309685017</v>
      </c>
      <c r="BS770" t="s">
        <v>992</v>
      </c>
      <c r="BT770">
        <v>6</v>
      </c>
      <c r="BU770">
        <v>1</v>
      </c>
      <c r="BV770" t="s">
        <v>993</v>
      </c>
      <c r="BW770" t="s">
        <v>943</v>
      </c>
      <c r="BX770" t="s">
        <v>1033</v>
      </c>
      <c r="BY770">
        <v>3.1727893417376754</v>
      </c>
      <c r="BZ770" t="s">
        <v>2573</v>
      </c>
      <c r="CA770" t="s">
        <v>1032</v>
      </c>
      <c r="CB770" t="b">
        <v>1</v>
      </c>
      <c r="CC770" t="b">
        <v>1</v>
      </c>
      <c r="CD770" t="b">
        <v>1</v>
      </c>
      <c r="CE770" t="b">
        <v>1</v>
      </c>
      <c r="CF770" t="b">
        <v>1</v>
      </c>
    </row>
    <row r="771" spans="1:84" x14ac:dyDescent="0.3">
      <c r="A771" t="s">
        <v>2761</v>
      </c>
      <c r="B771" t="s">
        <v>1234</v>
      </c>
      <c r="C771" s="98">
        <v>45796</v>
      </c>
      <c r="D771">
        <v>2025</v>
      </c>
      <c r="E771">
        <v>5</v>
      </c>
      <c r="F771">
        <v>2</v>
      </c>
      <c r="G771" t="s">
        <v>1226</v>
      </c>
      <c r="H771" t="s">
        <v>140</v>
      </c>
      <c r="I771" t="s">
        <v>140</v>
      </c>
      <c r="J771" t="s">
        <v>6</v>
      </c>
      <c r="L771">
        <v>522611</v>
      </c>
      <c r="M771" s="99" t="s">
        <v>178</v>
      </c>
      <c r="N771">
        <v>1</v>
      </c>
      <c r="O771">
        <v>20</v>
      </c>
      <c r="P771">
        <v>0.32640000000000002</v>
      </c>
      <c r="Q771" t="s">
        <v>352</v>
      </c>
      <c r="R771">
        <v>1</v>
      </c>
      <c r="S771">
        <v>0.34620000000000001</v>
      </c>
      <c r="T771">
        <v>2.92E-2</v>
      </c>
      <c r="U771">
        <v>-0.67808219178082141</v>
      </c>
      <c r="V771">
        <v>0.2586</v>
      </c>
      <c r="W771">
        <v>0.2878</v>
      </c>
      <c r="X771">
        <v>0.317</v>
      </c>
      <c r="Y771">
        <v>0.37540000000000001</v>
      </c>
      <c r="Z771">
        <v>0.40460000000000002</v>
      </c>
      <c r="AA771">
        <v>0.43380000000000002</v>
      </c>
      <c r="AD771">
        <v>26.16342831769812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 t="s">
        <v>462</v>
      </c>
      <c r="AL771" t="s">
        <v>6</v>
      </c>
      <c r="AM771" t="s">
        <v>1145</v>
      </c>
      <c r="AN771" t="s">
        <v>1146</v>
      </c>
      <c r="AO771" s="100">
        <v>46262.040405092594</v>
      </c>
      <c r="AP771" t="s">
        <v>1147</v>
      </c>
      <c r="AQ771" t="s">
        <v>2762</v>
      </c>
      <c r="AR771" t="s">
        <v>1236</v>
      </c>
      <c r="AS771" t="s">
        <v>1150</v>
      </c>
      <c r="AT771" t="s">
        <v>2724</v>
      </c>
      <c r="AU771">
        <v>25</v>
      </c>
      <c r="AV771">
        <v>0.34645200000000004</v>
      </c>
      <c r="AW771">
        <v>2.6328804251870865E-2</v>
      </c>
      <c r="AX771">
        <v>7.5995532575568516</v>
      </c>
      <c r="AY771">
        <v>0.20055466868433902</v>
      </c>
      <c r="AZ771">
        <v>12.739817543653144</v>
      </c>
      <c r="BA771">
        <v>3.4163684060239716</v>
      </c>
      <c r="BB771" t="s">
        <v>4619</v>
      </c>
      <c r="BD771" s="98"/>
      <c r="BE771" s="98"/>
      <c r="BF771" t="s">
        <v>1152</v>
      </c>
      <c r="BG771" t="s">
        <v>322</v>
      </c>
      <c r="BH771" t="s">
        <v>1153</v>
      </c>
      <c r="BI771">
        <v>0.20055466868433902</v>
      </c>
      <c r="BJ771" t="s">
        <v>1032</v>
      </c>
      <c r="BK771">
        <v>13.423610774044976</v>
      </c>
      <c r="BL771">
        <v>51.306772992607556</v>
      </c>
      <c r="BM771" t="s">
        <v>1260</v>
      </c>
      <c r="BN771" t="s">
        <v>1154</v>
      </c>
      <c r="BO771">
        <v>2025</v>
      </c>
      <c r="BP771" t="s">
        <v>966</v>
      </c>
      <c r="BQ771">
        <v>47184.386903149854</v>
      </c>
      <c r="BR771">
        <v>95.281561309685017</v>
      </c>
      <c r="BS771" t="s">
        <v>992</v>
      </c>
      <c r="BT771">
        <v>6</v>
      </c>
      <c r="BU771">
        <v>1</v>
      </c>
      <c r="BV771" t="s">
        <v>993</v>
      </c>
      <c r="BW771" t="s">
        <v>943</v>
      </c>
      <c r="BX771" t="s">
        <v>1033</v>
      </c>
      <c r="BY771">
        <v>3.1727893417376754</v>
      </c>
      <c r="BZ771" t="s">
        <v>2573</v>
      </c>
      <c r="CA771" t="s">
        <v>1032</v>
      </c>
      <c r="CB771" t="b">
        <v>1</v>
      </c>
      <c r="CC771" t="b">
        <v>1</v>
      </c>
      <c r="CD771" t="b">
        <v>1</v>
      </c>
      <c r="CE771" t="b">
        <v>1</v>
      </c>
      <c r="CF771" t="b">
        <v>1</v>
      </c>
    </row>
    <row r="772" spans="1:84" x14ac:dyDescent="0.3">
      <c r="A772" t="s">
        <v>2763</v>
      </c>
      <c r="B772" t="s">
        <v>1238</v>
      </c>
      <c r="C772" s="98">
        <v>45803</v>
      </c>
      <c r="D772">
        <v>2025</v>
      </c>
      <c r="E772">
        <v>5</v>
      </c>
      <c r="F772">
        <v>2</v>
      </c>
      <c r="G772" t="s">
        <v>1226</v>
      </c>
      <c r="H772" t="s">
        <v>140</v>
      </c>
      <c r="I772" t="s">
        <v>140</v>
      </c>
      <c r="J772" t="s">
        <v>6</v>
      </c>
      <c r="L772">
        <v>522611</v>
      </c>
      <c r="M772" s="99" t="s">
        <v>178</v>
      </c>
      <c r="N772">
        <v>1</v>
      </c>
      <c r="O772">
        <v>21</v>
      </c>
      <c r="P772">
        <v>0.34860000000000002</v>
      </c>
      <c r="Q772" t="s">
        <v>352</v>
      </c>
      <c r="R772">
        <v>1</v>
      </c>
      <c r="S772">
        <v>0.34620000000000001</v>
      </c>
      <c r="T772">
        <v>2.92E-2</v>
      </c>
      <c r="U772">
        <v>8.2191780821918262E-2</v>
      </c>
      <c r="V772">
        <v>0.2586</v>
      </c>
      <c r="W772">
        <v>0.2878</v>
      </c>
      <c r="X772">
        <v>0.317</v>
      </c>
      <c r="Y772">
        <v>0.37540000000000001</v>
      </c>
      <c r="Z772">
        <v>0.40460000000000002</v>
      </c>
      <c r="AA772">
        <v>0.43380000000000002</v>
      </c>
      <c r="AD772">
        <v>26.16342831769812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 t="s">
        <v>462</v>
      </c>
      <c r="AL772" t="s">
        <v>6</v>
      </c>
      <c r="AM772" t="s">
        <v>1145</v>
      </c>
      <c r="AN772" t="s">
        <v>1146</v>
      </c>
      <c r="AO772" s="100">
        <v>46262.040405092594</v>
      </c>
      <c r="AP772" t="s">
        <v>1147</v>
      </c>
      <c r="AQ772" t="s">
        <v>2764</v>
      </c>
      <c r="AR772" t="s">
        <v>1240</v>
      </c>
      <c r="AS772" t="s">
        <v>1150</v>
      </c>
      <c r="AT772" t="s">
        <v>2724</v>
      </c>
      <c r="AU772">
        <v>25</v>
      </c>
      <c r="AV772">
        <v>0.34645200000000004</v>
      </c>
      <c r="AW772">
        <v>2.6328804251870865E-2</v>
      </c>
      <c r="AX772">
        <v>7.5995532575568516</v>
      </c>
      <c r="AY772">
        <v>0.20055466868433902</v>
      </c>
      <c r="AZ772">
        <v>12.739817543653144</v>
      </c>
      <c r="BA772">
        <v>3.4163684060239716</v>
      </c>
      <c r="BB772" t="s">
        <v>4619</v>
      </c>
      <c r="BD772" s="98"/>
      <c r="BE772" s="98"/>
      <c r="BF772" t="s">
        <v>1152</v>
      </c>
      <c r="BG772" t="s">
        <v>322</v>
      </c>
      <c r="BH772" t="s">
        <v>1153</v>
      </c>
      <c r="BI772">
        <v>0.20055466868433902</v>
      </c>
      <c r="BJ772" t="s">
        <v>1032</v>
      </c>
      <c r="BK772">
        <v>13.423610774044976</v>
      </c>
      <c r="BL772">
        <v>51.306772992607556</v>
      </c>
      <c r="BM772" t="s">
        <v>1260</v>
      </c>
      <c r="BN772" t="s">
        <v>1154</v>
      </c>
      <c r="BO772">
        <v>2025</v>
      </c>
      <c r="BP772" t="s">
        <v>966</v>
      </c>
      <c r="BQ772">
        <v>47184.386903149854</v>
      </c>
      <c r="BR772">
        <v>95.281561309685017</v>
      </c>
      <c r="BS772" t="s">
        <v>992</v>
      </c>
      <c r="BT772">
        <v>6</v>
      </c>
      <c r="BU772">
        <v>1</v>
      </c>
      <c r="BV772" t="s">
        <v>993</v>
      </c>
      <c r="BW772" t="s">
        <v>943</v>
      </c>
      <c r="BX772" t="s">
        <v>1033</v>
      </c>
      <c r="BY772">
        <v>3.1727893417376754</v>
      </c>
      <c r="BZ772" t="s">
        <v>2573</v>
      </c>
      <c r="CA772" t="s">
        <v>1032</v>
      </c>
      <c r="CB772" t="b">
        <v>1</v>
      </c>
      <c r="CC772" t="b">
        <v>1</v>
      </c>
      <c r="CD772" t="b">
        <v>1</v>
      </c>
      <c r="CE772" t="b">
        <v>1</v>
      </c>
      <c r="CF772" t="b">
        <v>1</v>
      </c>
    </row>
    <row r="773" spans="1:84" x14ac:dyDescent="0.3">
      <c r="A773" t="s">
        <v>2765</v>
      </c>
      <c r="B773" t="s">
        <v>1242</v>
      </c>
      <c r="C773" s="98">
        <v>45810</v>
      </c>
      <c r="D773">
        <v>2025</v>
      </c>
      <c r="E773">
        <v>6</v>
      </c>
      <c r="F773">
        <v>2</v>
      </c>
      <c r="G773" t="s">
        <v>1243</v>
      </c>
      <c r="H773" t="s">
        <v>140</v>
      </c>
      <c r="I773" t="s">
        <v>140</v>
      </c>
      <c r="J773" t="s">
        <v>6</v>
      </c>
      <c r="L773">
        <v>522611</v>
      </c>
      <c r="M773" s="99" t="s">
        <v>178</v>
      </c>
      <c r="N773">
        <v>1</v>
      </c>
      <c r="O773">
        <v>22</v>
      </c>
      <c r="P773">
        <v>0.33100000000000002</v>
      </c>
      <c r="Q773" t="s">
        <v>352</v>
      </c>
      <c r="R773">
        <v>1</v>
      </c>
      <c r="S773">
        <v>0.34620000000000001</v>
      </c>
      <c r="T773">
        <v>2.92E-2</v>
      </c>
      <c r="U773">
        <v>-0.5205479452054792</v>
      </c>
      <c r="V773">
        <v>0.2586</v>
      </c>
      <c r="W773">
        <v>0.2878</v>
      </c>
      <c r="X773">
        <v>0.317</v>
      </c>
      <c r="Y773">
        <v>0.37540000000000001</v>
      </c>
      <c r="Z773">
        <v>0.40460000000000002</v>
      </c>
      <c r="AA773">
        <v>0.43380000000000002</v>
      </c>
      <c r="AD773">
        <v>26.16342831769812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 t="s">
        <v>462</v>
      </c>
      <c r="AL773" t="s">
        <v>6</v>
      </c>
      <c r="AM773" t="s">
        <v>1145</v>
      </c>
      <c r="AN773" t="s">
        <v>1146</v>
      </c>
      <c r="AO773" s="100">
        <v>46262.040405092594</v>
      </c>
      <c r="AP773" t="s">
        <v>1147</v>
      </c>
      <c r="AQ773" t="s">
        <v>2766</v>
      </c>
      <c r="AR773" t="s">
        <v>1245</v>
      </c>
      <c r="AS773" t="s">
        <v>1150</v>
      </c>
      <c r="AT773" t="s">
        <v>2724</v>
      </c>
      <c r="AU773">
        <v>25</v>
      </c>
      <c r="AV773">
        <v>0.34645200000000004</v>
      </c>
      <c r="AW773">
        <v>2.6328804251870865E-2</v>
      </c>
      <c r="AX773">
        <v>7.5995532575568516</v>
      </c>
      <c r="AY773">
        <v>0.20055466868433902</v>
      </c>
      <c r="AZ773">
        <v>12.739817543653144</v>
      </c>
      <c r="BA773">
        <v>3.4163684060239716</v>
      </c>
      <c r="BB773" t="s">
        <v>4619</v>
      </c>
      <c r="BD773" s="98"/>
      <c r="BE773" s="98"/>
      <c r="BF773" t="s">
        <v>1152</v>
      </c>
      <c r="BG773" t="s">
        <v>322</v>
      </c>
      <c r="BH773" t="s">
        <v>1153</v>
      </c>
      <c r="BI773">
        <v>0.20055466868433902</v>
      </c>
      <c r="BJ773" t="s">
        <v>1032</v>
      </c>
      <c r="BK773">
        <v>13.423610774044976</v>
      </c>
      <c r="BL773">
        <v>51.306772992607556</v>
      </c>
      <c r="BM773" t="s">
        <v>1260</v>
      </c>
      <c r="BN773" t="s">
        <v>1154</v>
      </c>
      <c r="BO773">
        <v>2025</v>
      </c>
      <c r="BP773" t="s">
        <v>966</v>
      </c>
      <c r="BQ773">
        <v>47184.386903149854</v>
      </c>
      <c r="BR773">
        <v>95.281561309685017</v>
      </c>
      <c r="BS773" t="s">
        <v>992</v>
      </c>
      <c r="BT773">
        <v>6</v>
      </c>
      <c r="BU773">
        <v>1</v>
      </c>
      <c r="BV773" t="s">
        <v>993</v>
      </c>
      <c r="BW773" t="s">
        <v>943</v>
      </c>
      <c r="BX773" t="s">
        <v>1033</v>
      </c>
      <c r="BY773">
        <v>3.1727893417376754</v>
      </c>
      <c r="BZ773" t="s">
        <v>2573</v>
      </c>
      <c r="CA773" t="s">
        <v>1032</v>
      </c>
      <c r="CB773" t="b">
        <v>1</v>
      </c>
      <c r="CC773" t="b">
        <v>1</v>
      </c>
      <c r="CD773" t="b">
        <v>1</v>
      </c>
      <c r="CE773" t="b">
        <v>1</v>
      </c>
      <c r="CF773" t="b">
        <v>1</v>
      </c>
    </row>
    <row r="774" spans="1:84" x14ac:dyDescent="0.3">
      <c r="A774" t="s">
        <v>2767</v>
      </c>
      <c r="B774" t="s">
        <v>1247</v>
      </c>
      <c r="C774" s="98">
        <v>45817</v>
      </c>
      <c r="D774">
        <v>2025</v>
      </c>
      <c r="E774">
        <v>6</v>
      </c>
      <c r="F774">
        <v>2</v>
      </c>
      <c r="G774" t="s">
        <v>1243</v>
      </c>
      <c r="H774" t="s">
        <v>140</v>
      </c>
      <c r="I774" t="s">
        <v>140</v>
      </c>
      <c r="J774" t="s">
        <v>6</v>
      </c>
      <c r="L774">
        <v>522611</v>
      </c>
      <c r="M774" s="99" t="s">
        <v>178</v>
      </c>
      <c r="N774">
        <v>1</v>
      </c>
      <c r="O774">
        <v>23</v>
      </c>
      <c r="P774">
        <v>0.38969999999999999</v>
      </c>
      <c r="Q774" t="s">
        <v>352</v>
      </c>
      <c r="R774">
        <v>1</v>
      </c>
      <c r="S774">
        <v>0.34620000000000001</v>
      </c>
      <c r="T774">
        <v>2.92E-2</v>
      </c>
      <c r="U774">
        <v>1.4897260273972597</v>
      </c>
      <c r="V774">
        <v>0.2586</v>
      </c>
      <c r="W774">
        <v>0.2878</v>
      </c>
      <c r="X774">
        <v>0.317</v>
      </c>
      <c r="Y774">
        <v>0.37540000000000001</v>
      </c>
      <c r="Z774">
        <v>0.40460000000000002</v>
      </c>
      <c r="AA774">
        <v>0.43380000000000002</v>
      </c>
      <c r="AD774">
        <v>26.16342831769812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 t="s">
        <v>462</v>
      </c>
      <c r="AL774" t="s">
        <v>6</v>
      </c>
      <c r="AM774" t="s">
        <v>1145</v>
      </c>
      <c r="AN774" t="s">
        <v>1146</v>
      </c>
      <c r="AO774" s="100">
        <v>46262.040405092594</v>
      </c>
      <c r="AP774" t="s">
        <v>1147</v>
      </c>
      <c r="AQ774" t="s">
        <v>2768</v>
      </c>
      <c r="AR774" t="s">
        <v>1249</v>
      </c>
      <c r="AS774" t="s">
        <v>1150</v>
      </c>
      <c r="AT774" t="s">
        <v>2724</v>
      </c>
      <c r="AU774">
        <v>25</v>
      </c>
      <c r="AV774">
        <v>0.34645200000000004</v>
      </c>
      <c r="AW774">
        <v>2.6328804251870865E-2</v>
      </c>
      <c r="AX774">
        <v>7.5995532575568516</v>
      </c>
      <c r="AY774">
        <v>0.20055466868433902</v>
      </c>
      <c r="AZ774">
        <v>12.739817543653144</v>
      </c>
      <c r="BA774">
        <v>3.4163684060239716</v>
      </c>
      <c r="BB774" t="s">
        <v>4619</v>
      </c>
      <c r="BD774" s="98"/>
      <c r="BE774" s="98"/>
      <c r="BF774" t="s">
        <v>1152</v>
      </c>
      <c r="BG774" t="s">
        <v>322</v>
      </c>
      <c r="BH774" t="s">
        <v>1153</v>
      </c>
      <c r="BI774">
        <v>0.20055466868433902</v>
      </c>
      <c r="BJ774" t="s">
        <v>1032</v>
      </c>
      <c r="BK774">
        <v>13.423610774044976</v>
      </c>
      <c r="BL774">
        <v>51.306772992607556</v>
      </c>
      <c r="BM774" t="s">
        <v>1260</v>
      </c>
      <c r="BN774" t="s">
        <v>1154</v>
      </c>
      <c r="BO774">
        <v>2025</v>
      </c>
      <c r="BP774" t="s">
        <v>966</v>
      </c>
      <c r="BQ774">
        <v>47184.386903149854</v>
      </c>
      <c r="BR774">
        <v>95.281561309685017</v>
      </c>
      <c r="BS774" t="s">
        <v>992</v>
      </c>
      <c r="BT774">
        <v>6</v>
      </c>
      <c r="BU774">
        <v>1</v>
      </c>
      <c r="BV774" t="s">
        <v>993</v>
      </c>
      <c r="BW774" t="s">
        <v>943</v>
      </c>
      <c r="BX774" t="s">
        <v>1033</v>
      </c>
      <c r="BY774">
        <v>3.1727893417376754</v>
      </c>
      <c r="BZ774" t="s">
        <v>2573</v>
      </c>
      <c r="CA774" t="s">
        <v>1032</v>
      </c>
      <c r="CB774" t="b">
        <v>1</v>
      </c>
      <c r="CC774" t="b">
        <v>1</v>
      </c>
      <c r="CD774" t="b">
        <v>1</v>
      </c>
      <c r="CE774" t="b">
        <v>1</v>
      </c>
      <c r="CF774" t="b">
        <v>1</v>
      </c>
    </row>
    <row r="775" spans="1:84" x14ac:dyDescent="0.3">
      <c r="A775" t="s">
        <v>2769</v>
      </c>
      <c r="B775" t="s">
        <v>1251</v>
      </c>
      <c r="C775" s="98">
        <v>45824</v>
      </c>
      <c r="D775">
        <v>2025</v>
      </c>
      <c r="E775">
        <v>6</v>
      </c>
      <c r="F775">
        <v>2</v>
      </c>
      <c r="G775" t="s">
        <v>1243</v>
      </c>
      <c r="H775" t="s">
        <v>140</v>
      </c>
      <c r="I775" t="s">
        <v>140</v>
      </c>
      <c r="J775" t="s">
        <v>6</v>
      </c>
      <c r="L775">
        <v>522611</v>
      </c>
      <c r="M775" s="99" t="s">
        <v>178</v>
      </c>
      <c r="N775">
        <v>1</v>
      </c>
      <c r="O775">
        <v>24</v>
      </c>
      <c r="P775">
        <v>0.28920000000000001</v>
      </c>
      <c r="Q775" t="s">
        <v>352</v>
      </c>
      <c r="R775">
        <v>1</v>
      </c>
      <c r="S775">
        <v>0.34620000000000001</v>
      </c>
      <c r="T775">
        <v>2.92E-2</v>
      </c>
      <c r="U775">
        <v>-1.9520547945205478</v>
      </c>
      <c r="V775">
        <v>0.2586</v>
      </c>
      <c r="W775">
        <v>0.2878</v>
      </c>
      <c r="X775">
        <v>0.317</v>
      </c>
      <c r="Y775">
        <v>0.37540000000000001</v>
      </c>
      <c r="Z775">
        <v>0.40460000000000002</v>
      </c>
      <c r="AA775">
        <v>0.43380000000000002</v>
      </c>
      <c r="AD775">
        <v>26.16342831769812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 t="s">
        <v>462</v>
      </c>
      <c r="AL775" t="s">
        <v>6</v>
      </c>
      <c r="AM775" t="s">
        <v>1145</v>
      </c>
      <c r="AN775" t="s">
        <v>1146</v>
      </c>
      <c r="AO775" s="100">
        <v>46262.040405092594</v>
      </c>
      <c r="AP775" t="s">
        <v>1147</v>
      </c>
      <c r="AQ775" t="s">
        <v>2770</v>
      </c>
      <c r="AR775" t="s">
        <v>1253</v>
      </c>
      <c r="AS775" t="s">
        <v>1150</v>
      </c>
      <c r="AT775" t="s">
        <v>2724</v>
      </c>
      <c r="AU775">
        <v>25</v>
      </c>
      <c r="AV775">
        <v>0.34645200000000004</v>
      </c>
      <c r="AW775">
        <v>2.6328804251870865E-2</v>
      </c>
      <c r="AX775">
        <v>7.5995532575568516</v>
      </c>
      <c r="AY775">
        <v>0.20055466868433902</v>
      </c>
      <c r="AZ775">
        <v>12.739817543653144</v>
      </c>
      <c r="BA775">
        <v>3.4163684060239716</v>
      </c>
      <c r="BB775" t="s">
        <v>4619</v>
      </c>
      <c r="BD775" s="98"/>
      <c r="BE775" s="98"/>
      <c r="BF775" t="s">
        <v>1152</v>
      </c>
      <c r="BG775" t="s">
        <v>322</v>
      </c>
      <c r="BH775" t="s">
        <v>1153</v>
      </c>
      <c r="BI775">
        <v>0.20055466868433902</v>
      </c>
      <c r="BJ775" t="s">
        <v>1032</v>
      </c>
      <c r="BK775">
        <v>13.423610774044976</v>
      </c>
      <c r="BL775">
        <v>51.306772992607556</v>
      </c>
      <c r="BM775" t="s">
        <v>1260</v>
      </c>
      <c r="BN775" t="s">
        <v>1154</v>
      </c>
      <c r="BO775">
        <v>2025</v>
      </c>
      <c r="BP775" t="s">
        <v>966</v>
      </c>
      <c r="BQ775">
        <v>47184.386903149854</v>
      </c>
      <c r="BR775">
        <v>95.281561309685017</v>
      </c>
      <c r="BS775" t="s">
        <v>992</v>
      </c>
      <c r="BT775">
        <v>6</v>
      </c>
      <c r="BU775">
        <v>1</v>
      </c>
      <c r="BV775" t="s">
        <v>993</v>
      </c>
      <c r="BW775" t="s">
        <v>943</v>
      </c>
      <c r="BX775" t="s">
        <v>1033</v>
      </c>
      <c r="BY775">
        <v>3.1727893417376754</v>
      </c>
      <c r="BZ775" t="s">
        <v>2573</v>
      </c>
      <c r="CA775" t="s">
        <v>1032</v>
      </c>
      <c r="CB775" t="b">
        <v>1</v>
      </c>
      <c r="CC775" t="b">
        <v>1</v>
      </c>
      <c r="CD775" t="b">
        <v>1</v>
      </c>
      <c r="CE775" t="b">
        <v>1</v>
      </c>
      <c r="CF775" t="b">
        <v>1</v>
      </c>
    </row>
    <row r="776" spans="1:84" x14ac:dyDescent="0.3">
      <c r="A776" t="s">
        <v>2771</v>
      </c>
      <c r="B776" t="s">
        <v>1255</v>
      </c>
      <c r="C776" s="98">
        <v>45831</v>
      </c>
      <c r="D776">
        <v>2025</v>
      </c>
      <c r="E776">
        <v>6</v>
      </c>
      <c r="F776">
        <v>2</v>
      </c>
      <c r="G776" t="s">
        <v>1243</v>
      </c>
      <c r="H776" t="s">
        <v>140</v>
      </c>
      <c r="I776" t="s">
        <v>140</v>
      </c>
      <c r="J776" t="s">
        <v>6</v>
      </c>
      <c r="L776">
        <v>522611</v>
      </c>
      <c r="M776" s="99" t="s">
        <v>178</v>
      </c>
      <c r="N776">
        <v>1</v>
      </c>
      <c r="O776">
        <v>25</v>
      </c>
      <c r="P776">
        <v>0.3266</v>
      </c>
      <c r="Q776" t="s">
        <v>352</v>
      </c>
      <c r="R776">
        <v>1</v>
      </c>
      <c r="S776">
        <v>0.34620000000000001</v>
      </c>
      <c r="T776">
        <v>2.92E-2</v>
      </c>
      <c r="U776">
        <v>-0.67123287671232901</v>
      </c>
      <c r="V776">
        <v>0.2586</v>
      </c>
      <c r="W776">
        <v>0.2878</v>
      </c>
      <c r="X776">
        <v>0.317</v>
      </c>
      <c r="Y776">
        <v>0.37540000000000001</v>
      </c>
      <c r="Z776">
        <v>0.40460000000000002</v>
      </c>
      <c r="AA776">
        <v>0.43380000000000002</v>
      </c>
      <c r="AD776">
        <v>26.16342831769812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 t="s">
        <v>462</v>
      </c>
      <c r="AL776" t="s">
        <v>6</v>
      </c>
      <c r="AM776" t="s">
        <v>1145</v>
      </c>
      <c r="AN776" t="s">
        <v>1146</v>
      </c>
      <c r="AO776" s="100">
        <v>46262.040405092594</v>
      </c>
      <c r="AP776" t="s">
        <v>1147</v>
      </c>
      <c r="AQ776" t="s">
        <v>2772</v>
      </c>
      <c r="AR776" t="s">
        <v>1257</v>
      </c>
      <c r="AS776" t="s">
        <v>1150</v>
      </c>
      <c r="AT776" t="s">
        <v>2724</v>
      </c>
      <c r="AU776">
        <v>25</v>
      </c>
      <c r="AV776">
        <v>0.34645200000000004</v>
      </c>
      <c r="AW776">
        <v>2.6328804251870865E-2</v>
      </c>
      <c r="AX776">
        <v>7.5995532575568516</v>
      </c>
      <c r="AY776">
        <v>0.20055466868433902</v>
      </c>
      <c r="AZ776">
        <v>12.739817543653144</v>
      </c>
      <c r="BA776">
        <v>3.4163684060239716</v>
      </c>
      <c r="BB776" t="s">
        <v>4619</v>
      </c>
      <c r="BD776" s="98"/>
      <c r="BE776" s="98"/>
      <c r="BF776" t="s">
        <v>1152</v>
      </c>
      <c r="BG776" t="s">
        <v>322</v>
      </c>
      <c r="BH776" t="s">
        <v>1153</v>
      </c>
      <c r="BI776">
        <v>0.20055466868433902</v>
      </c>
      <c r="BJ776" t="s">
        <v>1032</v>
      </c>
      <c r="BK776">
        <v>13.423610774044976</v>
      </c>
      <c r="BL776">
        <v>51.306772992607556</v>
      </c>
      <c r="BM776" t="s">
        <v>1260</v>
      </c>
      <c r="BN776" t="s">
        <v>1154</v>
      </c>
      <c r="BO776">
        <v>2025</v>
      </c>
      <c r="BP776" t="s">
        <v>966</v>
      </c>
      <c r="BQ776">
        <v>47184.386903149854</v>
      </c>
      <c r="BR776">
        <v>95.281561309685017</v>
      </c>
      <c r="BS776" t="s">
        <v>992</v>
      </c>
      <c r="BT776">
        <v>6</v>
      </c>
      <c r="BU776">
        <v>1</v>
      </c>
      <c r="BV776" t="s">
        <v>993</v>
      </c>
      <c r="BW776" t="s">
        <v>943</v>
      </c>
      <c r="BX776" t="s">
        <v>1033</v>
      </c>
      <c r="BY776">
        <v>3.1727893417376754</v>
      </c>
      <c r="BZ776" t="s">
        <v>2573</v>
      </c>
      <c r="CA776" t="s">
        <v>1032</v>
      </c>
      <c r="CB776" t="b">
        <v>1</v>
      </c>
      <c r="CC776" t="b">
        <v>1</v>
      </c>
      <c r="CD776" t="b">
        <v>1</v>
      </c>
      <c r="CE776" t="b">
        <v>1</v>
      </c>
      <c r="CF776" t="b">
        <v>1</v>
      </c>
    </row>
    <row r="777" spans="1:84" x14ac:dyDescent="0.3">
      <c r="A777" t="s">
        <v>2773</v>
      </c>
      <c r="B777" t="s">
        <v>1143</v>
      </c>
      <c r="C777" s="98">
        <v>45663</v>
      </c>
      <c r="D777">
        <v>2025</v>
      </c>
      <c r="E777">
        <v>1</v>
      </c>
      <c r="F777">
        <v>1</v>
      </c>
      <c r="G777" t="s">
        <v>1144</v>
      </c>
      <c r="H777" t="s">
        <v>140</v>
      </c>
      <c r="I777" t="s">
        <v>140</v>
      </c>
      <c r="J777" t="s">
        <v>6</v>
      </c>
      <c r="L777">
        <v>522611</v>
      </c>
      <c r="M777" s="99" t="s">
        <v>179</v>
      </c>
      <c r="N777">
        <v>2</v>
      </c>
      <c r="O777">
        <v>1</v>
      </c>
      <c r="P777">
        <v>0.74060000000000004</v>
      </c>
      <c r="Q777" t="s">
        <v>352</v>
      </c>
      <c r="R777">
        <v>1</v>
      </c>
      <c r="S777">
        <v>0.77280000000000004</v>
      </c>
      <c r="T777">
        <v>6.08E-2</v>
      </c>
      <c r="U777">
        <v>-0.5296052631578948</v>
      </c>
      <c r="V777">
        <v>0.59040000000000004</v>
      </c>
      <c r="W777">
        <v>0.6512</v>
      </c>
      <c r="X777">
        <v>0.71200000000000008</v>
      </c>
      <c r="Y777">
        <v>0.83360000000000001</v>
      </c>
      <c r="Z777">
        <v>0.89440000000000008</v>
      </c>
      <c r="AA777">
        <v>0.95520000000000005</v>
      </c>
      <c r="AD777">
        <v>26.16342831769812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 t="s">
        <v>462</v>
      </c>
      <c r="AL777" t="s">
        <v>6</v>
      </c>
      <c r="AM777" t="s">
        <v>1145</v>
      </c>
      <c r="AN777" t="s">
        <v>1146</v>
      </c>
      <c r="AO777" s="100">
        <v>46262.040405092594</v>
      </c>
      <c r="AP777" t="s">
        <v>1147</v>
      </c>
      <c r="AQ777" t="s">
        <v>2774</v>
      </c>
      <c r="AR777" t="s">
        <v>1149</v>
      </c>
      <c r="AS777" t="s">
        <v>1150</v>
      </c>
      <c r="AT777" t="s">
        <v>2724</v>
      </c>
      <c r="AU777">
        <v>25</v>
      </c>
      <c r="AV777">
        <v>0.75047999999999992</v>
      </c>
      <c r="AW777">
        <v>6.0834680350383474E-2</v>
      </c>
      <c r="AX777">
        <v>8.1061028075876074</v>
      </c>
      <c r="AY777">
        <v>0.20055466868433902</v>
      </c>
      <c r="AZ777">
        <v>13.57562430120389</v>
      </c>
      <c r="BA777">
        <v>3.2028798875720632</v>
      </c>
      <c r="BB777" t="s">
        <v>4619</v>
      </c>
      <c r="BD777" s="98"/>
      <c r="BE777" s="98"/>
      <c r="BF777" t="s">
        <v>1152</v>
      </c>
      <c r="BG777" t="s">
        <v>322</v>
      </c>
      <c r="BH777" t="s">
        <v>1153</v>
      </c>
      <c r="BI777">
        <v>0.20055466868433902</v>
      </c>
      <c r="BJ777" t="s">
        <v>1032</v>
      </c>
      <c r="BK777">
        <v>12.58780401649423</v>
      </c>
      <c r="BL777">
        <v>48.11221168587938</v>
      </c>
      <c r="BM777" t="s">
        <v>1260</v>
      </c>
      <c r="BN777" t="s">
        <v>1154</v>
      </c>
      <c r="BO777">
        <v>2025</v>
      </c>
      <c r="BP777" t="s">
        <v>966</v>
      </c>
      <c r="BQ777">
        <v>47184.386903149854</v>
      </c>
      <c r="BR777">
        <v>95.281561309685017</v>
      </c>
      <c r="BS777" t="s">
        <v>992</v>
      </c>
      <c r="BT777">
        <v>6</v>
      </c>
      <c r="BU777">
        <v>1</v>
      </c>
      <c r="BV777" t="s">
        <v>993</v>
      </c>
      <c r="BW777" t="s">
        <v>943</v>
      </c>
      <c r="BX777" t="s">
        <v>1033</v>
      </c>
      <c r="BY777">
        <v>3.1727893417376754</v>
      </c>
      <c r="BZ777" t="s">
        <v>2573</v>
      </c>
      <c r="CA777" t="s">
        <v>1032</v>
      </c>
      <c r="CB777" t="b">
        <v>1</v>
      </c>
      <c r="CC777" t="b">
        <v>1</v>
      </c>
      <c r="CD777" t="b">
        <v>1</v>
      </c>
      <c r="CE777" t="b">
        <v>1</v>
      </c>
      <c r="CF777" t="b">
        <v>1</v>
      </c>
    </row>
    <row r="778" spans="1:84" x14ac:dyDescent="0.3">
      <c r="A778" t="s">
        <v>2775</v>
      </c>
      <c r="B778" t="s">
        <v>1157</v>
      </c>
      <c r="C778" s="98">
        <v>45670</v>
      </c>
      <c r="D778">
        <v>2025</v>
      </c>
      <c r="E778">
        <v>1</v>
      </c>
      <c r="F778">
        <v>1</v>
      </c>
      <c r="G778" t="s">
        <v>1144</v>
      </c>
      <c r="H778" t="s">
        <v>140</v>
      </c>
      <c r="I778" t="s">
        <v>140</v>
      </c>
      <c r="J778" t="s">
        <v>6</v>
      </c>
      <c r="L778">
        <v>522611</v>
      </c>
      <c r="M778" s="99" t="s">
        <v>179</v>
      </c>
      <c r="N778">
        <v>2</v>
      </c>
      <c r="O778">
        <v>2</v>
      </c>
      <c r="P778">
        <v>0.81310000000000004</v>
      </c>
      <c r="Q778" t="s">
        <v>352</v>
      </c>
      <c r="R778">
        <v>1</v>
      </c>
      <c r="S778">
        <v>0.77280000000000004</v>
      </c>
      <c r="T778">
        <v>6.08E-2</v>
      </c>
      <c r="U778">
        <v>0.66282894736842113</v>
      </c>
      <c r="V778">
        <v>0.59040000000000004</v>
      </c>
      <c r="W778">
        <v>0.6512</v>
      </c>
      <c r="X778">
        <v>0.71200000000000008</v>
      </c>
      <c r="Y778">
        <v>0.83360000000000001</v>
      </c>
      <c r="Z778">
        <v>0.89440000000000008</v>
      </c>
      <c r="AA778">
        <v>0.95520000000000005</v>
      </c>
      <c r="AD778">
        <v>26.16342831769812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 t="s">
        <v>462</v>
      </c>
      <c r="AL778" t="s">
        <v>6</v>
      </c>
      <c r="AM778" t="s">
        <v>1145</v>
      </c>
      <c r="AN778" t="s">
        <v>1146</v>
      </c>
      <c r="AO778" s="100">
        <v>46262.040405092594</v>
      </c>
      <c r="AP778" t="s">
        <v>1147</v>
      </c>
      <c r="AQ778" t="s">
        <v>2776</v>
      </c>
      <c r="AR778" t="s">
        <v>1159</v>
      </c>
      <c r="AS778" t="s">
        <v>1150</v>
      </c>
      <c r="AT778" t="s">
        <v>2724</v>
      </c>
      <c r="AU778">
        <v>25</v>
      </c>
      <c r="AV778">
        <v>0.75047999999999992</v>
      </c>
      <c r="AW778">
        <v>6.0834680350383474E-2</v>
      </c>
      <c r="AX778">
        <v>8.1061028075876074</v>
      </c>
      <c r="AY778">
        <v>0.20055466868433902</v>
      </c>
      <c r="AZ778">
        <v>13.57562430120389</v>
      </c>
      <c r="BA778">
        <v>3.2028798875720632</v>
      </c>
      <c r="BB778" t="s">
        <v>4619</v>
      </c>
      <c r="BD778" s="98"/>
      <c r="BE778" s="98"/>
      <c r="BF778" t="s">
        <v>1152</v>
      </c>
      <c r="BG778" t="s">
        <v>322</v>
      </c>
      <c r="BH778" t="s">
        <v>1153</v>
      </c>
      <c r="BI778">
        <v>0.20055466868433902</v>
      </c>
      <c r="BJ778" t="s">
        <v>1032</v>
      </c>
      <c r="BK778">
        <v>12.58780401649423</v>
      </c>
      <c r="BL778">
        <v>48.11221168587938</v>
      </c>
      <c r="BM778" t="s">
        <v>1260</v>
      </c>
      <c r="BN778" t="s">
        <v>1154</v>
      </c>
      <c r="BO778">
        <v>2025</v>
      </c>
      <c r="BP778" t="s">
        <v>966</v>
      </c>
      <c r="BQ778">
        <v>47184.386903149854</v>
      </c>
      <c r="BR778">
        <v>95.281561309685017</v>
      </c>
      <c r="BS778" t="s">
        <v>992</v>
      </c>
      <c r="BT778">
        <v>6</v>
      </c>
      <c r="BU778">
        <v>1</v>
      </c>
      <c r="BV778" t="s">
        <v>993</v>
      </c>
      <c r="BW778" t="s">
        <v>943</v>
      </c>
      <c r="BX778" t="s">
        <v>1033</v>
      </c>
      <c r="BY778">
        <v>3.1727893417376754</v>
      </c>
      <c r="BZ778" t="s">
        <v>2573</v>
      </c>
      <c r="CA778" t="s">
        <v>1032</v>
      </c>
      <c r="CB778" t="b">
        <v>1</v>
      </c>
      <c r="CC778" t="b">
        <v>1</v>
      </c>
      <c r="CD778" t="b">
        <v>1</v>
      </c>
      <c r="CE778" t="b">
        <v>1</v>
      </c>
      <c r="CF778" t="b">
        <v>1</v>
      </c>
    </row>
    <row r="779" spans="1:84" x14ac:dyDescent="0.3">
      <c r="A779" t="s">
        <v>2777</v>
      </c>
      <c r="B779" t="s">
        <v>1161</v>
      </c>
      <c r="C779" s="98">
        <v>45677</v>
      </c>
      <c r="D779">
        <v>2025</v>
      </c>
      <c r="E779">
        <v>1</v>
      </c>
      <c r="F779">
        <v>1</v>
      </c>
      <c r="G779" t="s">
        <v>1144</v>
      </c>
      <c r="H779" t="s">
        <v>140</v>
      </c>
      <c r="I779" t="s">
        <v>140</v>
      </c>
      <c r="J779" t="s">
        <v>6</v>
      </c>
      <c r="L779">
        <v>522611</v>
      </c>
      <c r="M779" s="99" t="s">
        <v>179</v>
      </c>
      <c r="N779">
        <v>2</v>
      </c>
      <c r="O779">
        <v>3</v>
      </c>
      <c r="P779">
        <v>0.80959999999999999</v>
      </c>
      <c r="Q779" t="s">
        <v>352</v>
      </c>
      <c r="R779">
        <v>1</v>
      </c>
      <c r="S779">
        <v>0.77280000000000004</v>
      </c>
      <c r="T779">
        <v>6.08E-2</v>
      </c>
      <c r="U779">
        <v>0.60526315789473595</v>
      </c>
      <c r="V779">
        <v>0.59040000000000004</v>
      </c>
      <c r="W779">
        <v>0.6512</v>
      </c>
      <c r="X779">
        <v>0.71200000000000008</v>
      </c>
      <c r="Y779">
        <v>0.83360000000000001</v>
      </c>
      <c r="Z779">
        <v>0.89440000000000008</v>
      </c>
      <c r="AA779">
        <v>0.95520000000000005</v>
      </c>
      <c r="AD779">
        <v>26.16342831769812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 t="s">
        <v>462</v>
      </c>
      <c r="AL779" t="s">
        <v>6</v>
      </c>
      <c r="AM779" t="s">
        <v>1145</v>
      </c>
      <c r="AN779" t="s">
        <v>1146</v>
      </c>
      <c r="AO779" s="100">
        <v>46262.040405092594</v>
      </c>
      <c r="AP779" t="s">
        <v>1147</v>
      </c>
      <c r="AQ779" t="s">
        <v>2778</v>
      </c>
      <c r="AR779" t="s">
        <v>1163</v>
      </c>
      <c r="AS779" t="s">
        <v>1150</v>
      </c>
      <c r="AT779" t="s">
        <v>2724</v>
      </c>
      <c r="AU779">
        <v>25</v>
      </c>
      <c r="AV779">
        <v>0.75047999999999992</v>
      </c>
      <c r="AW779">
        <v>6.0834680350383474E-2</v>
      </c>
      <c r="AX779">
        <v>8.1061028075876074</v>
      </c>
      <c r="AY779">
        <v>0.20055466868433902</v>
      </c>
      <c r="AZ779">
        <v>13.57562430120389</v>
      </c>
      <c r="BA779">
        <v>3.2028798875720632</v>
      </c>
      <c r="BB779" t="s">
        <v>4619</v>
      </c>
      <c r="BD779" s="98"/>
      <c r="BE779" s="98"/>
      <c r="BF779" t="s">
        <v>1152</v>
      </c>
      <c r="BG779" t="s">
        <v>322</v>
      </c>
      <c r="BH779" t="s">
        <v>1153</v>
      </c>
      <c r="BI779">
        <v>0.20055466868433902</v>
      </c>
      <c r="BJ779" t="s">
        <v>1032</v>
      </c>
      <c r="BK779">
        <v>12.58780401649423</v>
      </c>
      <c r="BL779">
        <v>48.11221168587938</v>
      </c>
      <c r="BM779" t="s">
        <v>1260</v>
      </c>
      <c r="BN779" t="s">
        <v>1154</v>
      </c>
      <c r="BO779">
        <v>2025</v>
      </c>
      <c r="BP779" t="s">
        <v>966</v>
      </c>
      <c r="BQ779">
        <v>47184.386903149854</v>
      </c>
      <c r="BR779">
        <v>95.281561309685017</v>
      </c>
      <c r="BS779" t="s">
        <v>992</v>
      </c>
      <c r="BT779">
        <v>6</v>
      </c>
      <c r="BU779">
        <v>1</v>
      </c>
      <c r="BV779" t="s">
        <v>993</v>
      </c>
      <c r="BW779" t="s">
        <v>943</v>
      </c>
      <c r="BX779" t="s">
        <v>1033</v>
      </c>
      <c r="BY779">
        <v>3.1727893417376754</v>
      </c>
      <c r="BZ779" t="s">
        <v>2573</v>
      </c>
      <c r="CA779" t="s">
        <v>1032</v>
      </c>
      <c r="CB779" t="b">
        <v>1</v>
      </c>
      <c r="CC779" t="b">
        <v>1</v>
      </c>
      <c r="CD779" t="b">
        <v>1</v>
      </c>
      <c r="CE779" t="b">
        <v>1</v>
      </c>
      <c r="CF779" t="b">
        <v>1</v>
      </c>
    </row>
    <row r="780" spans="1:84" x14ac:dyDescent="0.3">
      <c r="A780" t="s">
        <v>2779</v>
      </c>
      <c r="B780" t="s">
        <v>1165</v>
      </c>
      <c r="C780" s="98">
        <v>45684</v>
      </c>
      <c r="D780">
        <v>2025</v>
      </c>
      <c r="E780">
        <v>1</v>
      </c>
      <c r="F780">
        <v>1</v>
      </c>
      <c r="G780" t="s">
        <v>1144</v>
      </c>
      <c r="H780" t="s">
        <v>140</v>
      </c>
      <c r="I780" t="s">
        <v>140</v>
      </c>
      <c r="J780" t="s">
        <v>6</v>
      </c>
      <c r="L780">
        <v>522611</v>
      </c>
      <c r="M780" s="99" t="s">
        <v>179</v>
      </c>
      <c r="N780">
        <v>2</v>
      </c>
      <c r="O780">
        <v>4</v>
      </c>
      <c r="P780">
        <v>0.85750000000000004</v>
      </c>
      <c r="Q780" t="s">
        <v>352</v>
      </c>
      <c r="R780">
        <v>1</v>
      </c>
      <c r="S780">
        <v>0.77280000000000004</v>
      </c>
      <c r="T780">
        <v>6.08E-2</v>
      </c>
      <c r="U780">
        <v>1.393092105263158</v>
      </c>
      <c r="V780">
        <v>0.59040000000000004</v>
      </c>
      <c r="W780">
        <v>0.6512</v>
      </c>
      <c r="X780">
        <v>0.71200000000000008</v>
      </c>
      <c r="Y780">
        <v>0.83360000000000001</v>
      </c>
      <c r="Z780">
        <v>0.89440000000000008</v>
      </c>
      <c r="AA780">
        <v>0.95520000000000005</v>
      </c>
      <c r="AD780">
        <v>26.16342831769812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 t="s">
        <v>462</v>
      </c>
      <c r="AL780" t="s">
        <v>6</v>
      </c>
      <c r="AM780" t="s">
        <v>1145</v>
      </c>
      <c r="AN780" t="s">
        <v>1146</v>
      </c>
      <c r="AO780" s="100">
        <v>46262.040405092594</v>
      </c>
      <c r="AP780" t="s">
        <v>1147</v>
      </c>
      <c r="AQ780" t="s">
        <v>2780</v>
      </c>
      <c r="AR780" t="s">
        <v>1167</v>
      </c>
      <c r="AS780" t="s">
        <v>1150</v>
      </c>
      <c r="AT780" t="s">
        <v>2724</v>
      </c>
      <c r="AU780">
        <v>25</v>
      </c>
      <c r="AV780">
        <v>0.75047999999999992</v>
      </c>
      <c r="AW780">
        <v>6.0834680350383474E-2</v>
      </c>
      <c r="AX780">
        <v>8.1061028075876074</v>
      </c>
      <c r="AY780">
        <v>0.20055466868433902</v>
      </c>
      <c r="AZ780">
        <v>13.57562430120389</v>
      </c>
      <c r="BA780">
        <v>3.2028798875720632</v>
      </c>
      <c r="BB780" t="s">
        <v>4619</v>
      </c>
      <c r="BD780" s="98"/>
      <c r="BE780" s="98"/>
      <c r="BF780" t="s">
        <v>1152</v>
      </c>
      <c r="BG780" t="s">
        <v>322</v>
      </c>
      <c r="BH780" t="s">
        <v>1153</v>
      </c>
      <c r="BI780">
        <v>0.20055466868433902</v>
      </c>
      <c r="BJ780" t="s">
        <v>1032</v>
      </c>
      <c r="BK780">
        <v>12.58780401649423</v>
      </c>
      <c r="BL780">
        <v>48.11221168587938</v>
      </c>
      <c r="BM780" t="s">
        <v>1260</v>
      </c>
      <c r="BN780" t="s">
        <v>1154</v>
      </c>
      <c r="BO780">
        <v>2025</v>
      </c>
      <c r="BP780" t="s">
        <v>966</v>
      </c>
      <c r="BQ780">
        <v>47184.386903149854</v>
      </c>
      <c r="BR780">
        <v>95.281561309685017</v>
      </c>
      <c r="BS780" t="s">
        <v>992</v>
      </c>
      <c r="BT780">
        <v>6</v>
      </c>
      <c r="BU780">
        <v>1</v>
      </c>
      <c r="BV780" t="s">
        <v>993</v>
      </c>
      <c r="BW780" t="s">
        <v>943</v>
      </c>
      <c r="BX780" t="s">
        <v>1033</v>
      </c>
      <c r="BY780">
        <v>3.1727893417376754</v>
      </c>
      <c r="BZ780" t="s">
        <v>2573</v>
      </c>
      <c r="CA780" t="s">
        <v>1032</v>
      </c>
      <c r="CB780" t="b">
        <v>1</v>
      </c>
      <c r="CC780" t="b">
        <v>1</v>
      </c>
      <c r="CD780" t="b">
        <v>1</v>
      </c>
      <c r="CE780" t="b">
        <v>1</v>
      </c>
      <c r="CF780" t="b">
        <v>1</v>
      </c>
    </row>
    <row r="781" spans="1:84" x14ac:dyDescent="0.3">
      <c r="A781" t="s">
        <v>2781</v>
      </c>
      <c r="B781" t="s">
        <v>1169</v>
      </c>
      <c r="C781" s="98">
        <v>45691</v>
      </c>
      <c r="D781">
        <v>2025</v>
      </c>
      <c r="E781">
        <v>2</v>
      </c>
      <c r="F781">
        <v>1</v>
      </c>
      <c r="G781" t="s">
        <v>1170</v>
      </c>
      <c r="H781" t="s">
        <v>140</v>
      </c>
      <c r="I781" t="s">
        <v>140</v>
      </c>
      <c r="J781" t="s">
        <v>6</v>
      </c>
      <c r="L781">
        <v>522611</v>
      </c>
      <c r="M781" s="99" t="s">
        <v>179</v>
      </c>
      <c r="N781">
        <v>2</v>
      </c>
      <c r="O781">
        <v>5</v>
      </c>
      <c r="P781">
        <v>0.67710000000000004</v>
      </c>
      <c r="Q781" t="s">
        <v>352</v>
      </c>
      <c r="R781">
        <v>1</v>
      </c>
      <c r="S781">
        <v>0.77280000000000004</v>
      </c>
      <c r="T781">
        <v>6.08E-2</v>
      </c>
      <c r="U781">
        <v>-1.5740131578947369</v>
      </c>
      <c r="V781">
        <v>0.59040000000000004</v>
      </c>
      <c r="W781">
        <v>0.6512</v>
      </c>
      <c r="X781">
        <v>0.71200000000000008</v>
      </c>
      <c r="Y781">
        <v>0.83360000000000001</v>
      </c>
      <c r="Z781">
        <v>0.89440000000000008</v>
      </c>
      <c r="AA781">
        <v>0.95520000000000005</v>
      </c>
      <c r="AD781">
        <v>26.16342831769812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 t="s">
        <v>462</v>
      </c>
      <c r="AL781" t="s">
        <v>6</v>
      </c>
      <c r="AM781" t="s">
        <v>1145</v>
      </c>
      <c r="AN781" t="s">
        <v>1146</v>
      </c>
      <c r="AO781" s="100">
        <v>46262.040405092594</v>
      </c>
      <c r="AP781" t="s">
        <v>1147</v>
      </c>
      <c r="AQ781" t="s">
        <v>2782</v>
      </c>
      <c r="AR781" t="s">
        <v>1172</v>
      </c>
      <c r="AS781" t="s">
        <v>1150</v>
      </c>
      <c r="AT781" t="s">
        <v>2724</v>
      </c>
      <c r="AU781">
        <v>25</v>
      </c>
      <c r="AV781">
        <v>0.75047999999999992</v>
      </c>
      <c r="AW781">
        <v>6.0834680350383474E-2</v>
      </c>
      <c r="AX781">
        <v>8.1061028075876074</v>
      </c>
      <c r="AY781">
        <v>0.20055466868433902</v>
      </c>
      <c r="AZ781">
        <v>13.57562430120389</v>
      </c>
      <c r="BA781">
        <v>3.2028798875720632</v>
      </c>
      <c r="BB781" t="s">
        <v>4619</v>
      </c>
      <c r="BD781" s="98"/>
      <c r="BE781" s="98"/>
      <c r="BF781" t="s">
        <v>1152</v>
      </c>
      <c r="BG781" t="s">
        <v>322</v>
      </c>
      <c r="BH781" t="s">
        <v>1153</v>
      </c>
      <c r="BI781">
        <v>0.20055466868433902</v>
      </c>
      <c r="BJ781" t="s">
        <v>1032</v>
      </c>
      <c r="BK781">
        <v>12.58780401649423</v>
      </c>
      <c r="BL781">
        <v>48.11221168587938</v>
      </c>
      <c r="BM781" t="s">
        <v>1260</v>
      </c>
      <c r="BN781" t="s">
        <v>1154</v>
      </c>
      <c r="BO781">
        <v>2025</v>
      </c>
      <c r="BP781" t="s">
        <v>966</v>
      </c>
      <c r="BQ781">
        <v>47184.386903149854</v>
      </c>
      <c r="BR781">
        <v>95.281561309685017</v>
      </c>
      <c r="BS781" t="s">
        <v>992</v>
      </c>
      <c r="BT781">
        <v>6</v>
      </c>
      <c r="BU781">
        <v>1</v>
      </c>
      <c r="BV781" t="s">
        <v>993</v>
      </c>
      <c r="BW781" t="s">
        <v>943</v>
      </c>
      <c r="BX781" t="s">
        <v>1033</v>
      </c>
      <c r="BY781">
        <v>3.1727893417376754</v>
      </c>
      <c r="BZ781" t="s">
        <v>2573</v>
      </c>
      <c r="CA781" t="s">
        <v>1032</v>
      </c>
      <c r="CB781" t="b">
        <v>1</v>
      </c>
      <c r="CC781" t="b">
        <v>1</v>
      </c>
      <c r="CD781" t="b">
        <v>1</v>
      </c>
      <c r="CE781" t="b">
        <v>1</v>
      </c>
      <c r="CF781" t="b">
        <v>1</v>
      </c>
    </row>
    <row r="782" spans="1:84" x14ac:dyDescent="0.3">
      <c r="A782" t="s">
        <v>2783</v>
      </c>
      <c r="B782" t="s">
        <v>1174</v>
      </c>
      <c r="C782" s="98">
        <v>45698</v>
      </c>
      <c r="D782">
        <v>2025</v>
      </c>
      <c r="E782">
        <v>2</v>
      </c>
      <c r="F782">
        <v>1</v>
      </c>
      <c r="G782" t="s">
        <v>1170</v>
      </c>
      <c r="H782" t="s">
        <v>140</v>
      </c>
      <c r="I782" t="s">
        <v>140</v>
      </c>
      <c r="J782" t="s">
        <v>6</v>
      </c>
      <c r="L782">
        <v>522611</v>
      </c>
      <c r="M782" s="99" t="s">
        <v>179</v>
      </c>
      <c r="N782">
        <v>2</v>
      </c>
      <c r="O782">
        <v>6</v>
      </c>
      <c r="P782">
        <v>0.81840000000000002</v>
      </c>
      <c r="Q782" t="s">
        <v>352</v>
      </c>
      <c r="R782">
        <v>1</v>
      </c>
      <c r="S782">
        <v>0.77280000000000004</v>
      </c>
      <c r="T782">
        <v>6.08E-2</v>
      </c>
      <c r="U782">
        <v>0.74999999999999956</v>
      </c>
      <c r="V782">
        <v>0.59040000000000004</v>
      </c>
      <c r="W782">
        <v>0.6512</v>
      </c>
      <c r="X782">
        <v>0.71200000000000008</v>
      </c>
      <c r="Y782">
        <v>0.83360000000000001</v>
      </c>
      <c r="Z782">
        <v>0.89440000000000008</v>
      </c>
      <c r="AA782">
        <v>0.95520000000000005</v>
      </c>
      <c r="AD782">
        <v>26.16342831769812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 t="s">
        <v>462</v>
      </c>
      <c r="AL782" t="s">
        <v>6</v>
      </c>
      <c r="AM782" t="s">
        <v>1145</v>
      </c>
      <c r="AN782" t="s">
        <v>1146</v>
      </c>
      <c r="AO782" s="100">
        <v>46262.040405092594</v>
      </c>
      <c r="AP782" t="s">
        <v>1147</v>
      </c>
      <c r="AQ782" t="s">
        <v>2784</v>
      </c>
      <c r="AR782" t="s">
        <v>1176</v>
      </c>
      <c r="AS782" t="s">
        <v>1150</v>
      </c>
      <c r="AT782" t="s">
        <v>2724</v>
      </c>
      <c r="AU782">
        <v>25</v>
      </c>
      <c r="AV782">
        <v>0.75047999999999992</v>
      </c>
      <c r="AW782">
        <v>6.0834680350383474E-2</v>
      </c>
      <c r="AX782">
        <v>8.1061028075876074</v>
      </c>
      <c r="AY782">
        <v>0.20055466868433902</v>
      </c>
      <c r="AZ782">
        <v>13.57562430120389</v>
      </c>
      <c r="BA782">
        <v>3.2028798875720632</v>
      </c>
      <c r="BB782" t="s">
        <v>4619</v>
      </c>
      <c r="BD782" s="98"/>
      <c r="BE782" s="98"/>
      <c r="BF782" t="s">
        <v>1152</v>
      </c>
      <c r="BG782" t="s">
        <v>322</v>
      </c>
      <c r="BH782" t="s">
        <v>1153</v>
      </c>
      <c r="BI782">
        <v>0.20055466868433902</v>
      </c>
      <c r="BJ782" t="s">
        <v>1032</v>
      </c>
      <c r="BK782">
        <v>12.58780401649423</v>
      </c>
      <c r="BL782">
        <v>48.11221168587938</v>
      </c>
      <c r="BM782" t="s">
        <v>1260</v>
      </c>
      <c r="BN782" t="s">
        <v>1154</v>
      </c>
      <c r="BO782">
        <v>2025</v>
      </c>
      <c r="BP782" t="s">
        <v>966</v>
      </c>
      <c r="BQ782">
        <v>47184.386903149854</v>
      </c>
      <c r="BR782">
        <v>95.281561309685017</v>
      </c>
      <c r="BS782" t="s">
        <v>992</v>
      </c>
      <c r="BT782">
        <v>6</v>
      </c>
      <c r="BU782">
        <v>1</v>
      </c>
      <c r="BV782" t="s">
        <v>993</v>
      </c>
      <c r="BW782" t="s">
        <v>943</v>
      </c>
      <c r="BX782" t="s">
        <v>1033</v>
      </c>
      <c r="BY782">
        <v>3.1727893417376754</v>
      </c>
      <c r="BZ782" t="s">
        <v>2573</v>
      </c>
      <c r="CA782" t="s">
        <v>1032</v>
      </c>
      <c r="CB782" t="b">
        <v>1</v>
      </c>
      <c r="CC782" t="b">
        <v>1</v>
      </c>
      <c r="CD782" t="b">
        <v>1</v>
      </c>
      <c r="CE782" t="b">
        <v>1</v>
      </c>
      <c r="CF782" t="b">
        <v>1</v>
      </c>
    </row>
    <row r="783" spans="1:84" x14ac:dyDescent="0.3">
      <c r="A783" t="s">
        <v>2785</v>
      </c>
      <c r="B783" t="s">
        <v>1178</v>
      </c>
      <c r="C783" s="98">
        <v>45705</v>
      </c>
      <c r="D783">
        <v>2025</v>
      </c>
      <c r="E783">
        <v>2</v>
      </c>
      <c r="F783">
        <v>1</v>
      </c>
      <c r="G783" t="s">
        <v>1170</v>
      </c>
      <c r="H783" t="s">
        <v>140</v>
      </c>
      <c r="I783" t="s">
        <v>140</v>
      </c>
      <c r="J783" t="s">
        <v>6</v>
      </c>
      <c r="L783">
        <v>522611</v>
      </c>
      <c r="M783" s="99" t="s">
        <v>179</v>
      </c>
      <c r="N783">
        <v>2</v>
      </c>
      <c r="O783">
        <v>7</v>
      </c>
      <c r="P783">
        <v>0.75490000000000002</v>
      </c>
      <c r="Q783" t="s">
        <v>352</v>
      </c>
      <c r="R783">
        <v>1</v>
      </c>
      <c r="S783">
        <v>0.77280000000000004</v>
      </c>
      <c r="T783">
        <v>6.08E-2</v>
      </c>
      <c r="U783">
        <v>-0.29440789473684253</v>
      </c>
      <c r="V783">
        <v>0.59040000000000004</v>
      </c>
      <c r="W783">
        <v>0.6512</v>
      </c>
      <c r="X783">
        <v>0.71200000000000008</v>
      </c>
      <c r="Y783">
        <v>0.83360000000000001</v>
      </c>
      <c r="Z783">
        <v>0.89440000000000008</v>
      </c>
      <c r="AA783">
        <v>0.95520000000000005</v>
      </c>
      <c r="AD783">
        <v>26.16342831769812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 t="s">
        <v>462</v>
      </c>
      <c r="AL783" t="s">
        <v>6</v>
      </c>
      <c r="AM783" t="s">
        <v>1145</v>
      </c>
      <c r="AN783" t="s">
        <v>1146</v>
      </c>
      <c r="AO783" s="100">
        <v>46262.040405092594</v>
      </c>
      <c r="AP783" t="s">
        <v>1147</v>
      </c>
      <c r="AQ783" t="s">
        <v>2786</v>
      </c>
      <c r="AR783" t="s">
        <v>1180</v>
      </c>
      <c r="AS783" t="s">
        <v>1150</v>
      </c>
      <c r="AT783" t="s">
        <v>2724</v>
      </c>
      <c r="AU783">
        <v>25</v>
      </c>
      <c r="AV783">
        <v>0.75047999999999992</v>
      </c>
      <c r="AW783">
        <v>6.0834680350383474E-2</v>
      </c>
      <c r="AX783">
        <v>8.1061028075876074</v>
      </c>
      <c r="AY783">
        <v>0.20055466868433902</v>
      </c>
      <c r="AZ783">
        <v>13.57562430120389</v>
      </c>
      <c r="BA783">
        <v>3.2028798875720632</v>
      </c>
      <c r="BB783" t="s">
        <v>4619</v>
      </c>
      <c r="BD783" s="98"/>
      <c r="BE783" s="98"/>
      <c r="BF783" t="s">
        <v>1152</v>
      </c>
      <c r="BG783" t="s">
        <v>322</v>
      </c>
      <c r="BH783" t="s">
        <v>1153</v>
      </c>
      <c r="BI783">
        <v>0.20055466868433902</v>
      </c>
      <c r="BJ783" t="s">
        <v>1032</v>
      </c>
      <c r="BK783">
        <v>12.58780401649423</v>
      </c>
      <c r="BL783">
        <v>48.11221168587938</v>
      </c>
      <c r="BM783" t="s">
        <v>1260</v>
      </c>
      <c r="BN783" t="s">
        <v>1154</v>
      </c>
      <c r="BO783">
        <v>2025</v>
      </c>
      <c r="BP783" t="s">
        <v>966</v>
      </c>
      <c r="BQ783">
        <v>47184.386903149854</v>
      </c>
      <c r="BR783">
        <v>95.281561309685017</v>
      </c>
      <c r="BS783" t="s">
        <v>992</v>
      </c>
      <c r="BT783">
        <v>6</v>
      </c>
      <c r="BU783">
        <v>1</v>
      </c>
      <c r="BV783" t="s">
        <v>993</v>
      </c>
      <c r="BW783" t="s">
        <v>943</v>
      </c>
      <c r="BX783" t="s">
        <v>1033</v>
      </c>
      <c r="BY783">
        <v>3.1727893417376754</v>
      </c>
      <c r="BZ783" t="s">
        <v>2573</v>
      </c>
      <c r="CA783" t="s">
        <v>1032</v>
      </c>
      <c r="CB783" t="b">
        <v>1</v>
      </c>
      <c r="CC783" t="b">
        <v>1</v>
      </c>
      <c r="CD783" t="b">
        <v>1</v>
      </c>
      <c r="CE783" t="b">
        <v>1</v>
      </c>
      <c r="CF783" t="b">
        <v>1</v>
      </c>
    </row>
    <row r="784" spans="1:84" x14ac:dyDescent="0.3">
      <c r="A784" t="s">
        <v>2787</v>
      </c>
      <c r="B784" t="s">
        <v>1182</v>
      </c>
      <c r="C784" s="98">
        <v>45712</v>
      </c>
      <c r="D784">
        <v>2025</v>
      </c>
      <c r="E784">
        <v>2</v>
      </c>
      <c r="F784">
        <v>1</v>
      </c>
      <c r="G784" t="s">
        <v>1170</v>
      </c>
      <c r="H784" t="s">
        <v>140</v>
      </c>
      <c r="I784" t="s">
        <v>140</v>
      </c>
      <c r="J784" t="s">
        <v>6</v>
      </c>
      <c r="L784">
        <v>522611</v>
      </c>
      <c r="M784" s="99" t="s">
        <v>179</v>
      </c>
      <c r="N784">
        <v>2</v>
      </c>
      <c r="O784">
        <v>8</v>
      </c>
      <c r="P784">
        <v>0.73229999999999995</v>
      </c>
      <c r="Q784" t="s">
        <v>352</v>
      </c>
      <c r="R784">
        <v>1</v>
      </c>
      <c r="S784">
        <v>0.77280000000000004</v>
      </c>
      <c r="T784">
        <v>6.08E-2</v>
      </c>
      <c r="U784">
        <v>-0.66611842105263308</v>
      </c>
      <c r="V784">
        <v>0.59040000000000004</v>
      </c>
      <c r="W784">
        <v>0.6512</v>
      </c>
      <c r="X784">
        <v>0.71200000000000008</v>
      </c>
      <c r="Y784">
        <v>0.83360000000000001</v>
      </c>
      <c r="Z784">
        <v>0.89440000000000008</v>
      </c>
      <c r="AA784">
        <v>0.95520000000000005</v>
      </c>
      <c r="AD784">
        <v>26.16342831769812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 t="s">
        <v>462</v>
      </c>
      <c r="AL784" t="s">
        <v>6</v>
      </c>
      <c r="AM784" t="s">
        <v>1145</v>
      </c>
      <c r="AN784" t="s">
        <v>1146</v>
      </c>
      <c r="AO784" s="100">
        <v>46262.040405092594</v>
      </c>
      <c r="AP784" t="s">
        <v>1147</v>
      </c>
      <c r="AQ784" t="s">
        <v>2788</v>
      </c>
      <c r="AR784" t="s">
        <v>1184</v>
      </c>
      <c r="AS784" t="s">
        <v>1150</v>
      </c>
      <c r="AT784" t="s">
        <v>2724</v>
      </c>
      <c r="AU784">
        <v>25</v>
      </c>
      <c r="AV784">
        <v>0.75047999999999992</v>
      </c>
      <c r="AW784">
        <v>6.0834680350383474E-2</v>
      </c>
      <c r="AX784">
        <v>8.1061028075876074</v>
      </c>
      <c r="AY784">
        <v>0.20055466868433902</v>
      </c>
      <c r="AZ784">
        <v>13.57562430120389</v>
      </c>
      <c r="BA784">
        <v>3.2028798875720632</v>
      </c>
      <c r="BB784" t="s">
        <v>4619</v>
      </c>
      <c r="BD784" s="98"/>
      <c r="BE784" s="98"/>
      <c r="BF784" t="s">
        <v>1152</v>
      </c>
      <c r="BG784" t="s">
        <v>322</v>
      </c>
      <c r="BH784" t="s">
        <v>1153</v>
      </c>
      <c r="BI784">
        <v>0.20055466868433902</v>
      </c>
      <c r="BJ784" t="s">
        <v>1032</v>
      </c>
      <c r="BK784">
        <v>12.58780401649423</v>
      </c>
      <c r="BL784">
        <v>48.11221168587938</v>
      </c>
      <c r="BM784" t="s">
        <v>1260</v>
      </c>
      <c r="BN784" t="s">
        <v>1154</v>
      </c>
      <c r="BO784">
        <v>2025</v>
      </c>
      <c r="BP784" t="s">
        <v>966</v>
      </c>
      <c r="BQ784">
        <v>47184.386903149854</v>
      </c>
      <c r="BR784">
        <v>95.281561309685017</v>
      </c>
      <c r="BS784" t="s">
        <v>992</v>
      </c>
      <c r="BT784">
        <v>6</v>
      </c>
      <c r="BU784">
        <v>1</v>
      </c>
      <c r="BV784" t="s">
        <v>993</v>
      </c>
      <c r="BW784" t="s">
        <v>943</v>
      </c>
      <c r="BX784" t="s">
        <v>1033</v>
      </c>
      <c r="BY784">
        <v>3.1727893417376754</v>
      </c>
      <c r="BZ784" t="s">
        <v>2573</v>
      </c>
      <c r="CA784" t="s">
        <v>1032</v>
      </c>
      <c r="CB784" t="b">
        <v>1</v>
      </c>
      <c r="CC784" t="b">
        <v>1</v>
      </c>
      <c r="CD784" t="b">
        <v>1</v>
      </c>
      <c r="CE784" t="b">
        <v>1</v>
      </c>
      <c r="CF784" t="b">
        <v>1</v>
      </c>
    </row>
    <row r="785" spans="1:84" x14ac:dyDescent="0.3">
      <c r="A785" t="s">
        <v>2789</v>
      </c>
      <c r="B785" t="s">
        <v>1186</v>
      </c>
      <c r="C785" s="98">
        <v>45719</v>
      </c>
      <c r="D785">
        <v>2025</v>
      </c>
      <c r="E785">
        <v>3</v>
      </c>
      <c r="F785">
        <v>1</v>
      </c>
      <c r="G785" t="s">
        <v>1187</v>
      </c>
      <c r="H785" t="s">
        <v>140</v>
      </c>
      <c r="I785" t="s">
        <v>140</v>
      </c>
      <c r="J785" t="s">
        <v>6</v>
      </c>
      <c r="L785">
        <v>522611</v>
      </c>
      <c r="M785" s="99" t="s">
        <v>179</v>
      </c>
      <c r="N785">
        <v>2</v>
      </c>
      <c r="O785">
        <v>9</v>
      </c>
      <c r="P785">
        <v>0.80549999999999999</v>
      </c>
      <c r="Q785" t="s">
        <v>352</v>
      </c>
      <c r="R785">
        <v>1</v>
      </c>
      <c r="S785">
        <v>0.77280000000000004</v>
      </c>
      <c r="T785">
        <v>6.08E-2</v>
      </c>
      <c r="U785">
        <v>0.53782894736842024</v>
      </c>
      <c r="V785">
        <v>0.59040000000000004</v>
      </c>
      <c r="W785">
        <v>0.6512</v>
      </c>
      <c r="X785">
        <v>0.71200000000000008</v>
      </c>
      <c r="Y785">
        <v>0.83360000000000001</v>
      </c>
      <c r="Z785">
        <v>0.89440000000000008</v>
      </c>
      <c r="AA785">
        <v>0.95520000000000005</v>
      </c>
      <c r="AD785">
        <v>26.16342831769812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 t="s">
        <v>462</v>
      </c>
      <c r="AL785" t="s">
        <v>6</v>
      </c>
      <c r="AM785" t="s">
        <v>1145</v>
      </c>
      <c r="AN785" t="s">
        <v>1146</v>
      </c>
      <c r="AO785" s="100">
        <v>46262.040405092594</v>
      </c>
      <c r="AP785" t="s">
        <v>1147</v>
      </c>
      <c r="AQ785" t="s">
        <v>2790</v>
      </c>
      <c r="AR785" t="s">
        <v>1189</v>
      </c>
      <c r="AS785" t="s">
        <v>1150</v>
      </c>
      <c r="AT785" t="s">
        <v>2724</v>
      </c>
      <c r="AU785">
        <v>25</v>
      </c>
      <c r="AV785">
        <v>0.75047999999999992</v>
      </c>
      <c r="AW785">
        <v>6.0834680350383474E-2</v>
      </c>
      <c r="AX785">
        <v>8.1061028075876074</v>
      </c>
      <c r="AY785">
        <v>0.20055466868433902</v>
      </c>
      <c r="AZ785">
        <v>13.57562430120389</v>
      </c>
      <c r="BA785">
        <v>3.2028798875720632</v>
      </c>
      <c r="BB785" t="s">
        <v>4619</v>
      </c>
      <c r="BD785" s="98"/>
      <c r="BE785" s="98"/>
      <c r="BF785" t="s">
        <v>1152</v>
      </c>
      <c r="BG785" t="s">
        <v>322</v>
      </c>
      <c r="BH785" t="s">
        <v>1153</v>
      </c>
      <c r="BI785">
        <v>0.20055466868433902</v>
      </c>
      <c r="BJ785" t="s">
        <v>1032</v>
      </c>
      <c r="BK785">
        <v>12.58780401649423</v>
      </c>
      <c r="BL785">
        <v>48.11221168587938</v>
      </c>
      <c r="BM785" t="s">
        <v>1260</v>
      </c>
      <c r="BN785" t="s">
        <v>1154</v>
      </c>
      <c r="BO785">
        <v>2025</v>
      </c>
      <c r="BP785" t="s">
        <v>966</v>
      </c>
      <c r="BQ785">
        <v>47184.386903149854</v>
      </c>
      <c r="BR785">
        <v>95.281561309685017</v>
      </c>
      <c r="BS785" t="s">
        <v>992</v>
      </c>
      <c r="BT785">
        <v>6</v>
      </c>
      <c r="BU785">
        <v>1</v>
      </c>
      <c r="BV785" t="s">
        <v>993</v>
      </c>
      <c r="BW785" t="s">
        <v>943</v>
      </c>
      <c r="BX785" t="s">
        <v>1033</v>
      </c>
      <c r="BY785">
        <v>3.1727893417376754</v>
      </c>
      <c r="BZ785" t="s">
        <v>2573</v>
      </c>
      <c r="CA785" t="s">
        <v>1032</v>
      </c>
      <c r="CB785" t="b">
        <v>1</v>
      </c>
      <c r="CC785" t="b">
        <v>1</v>
      </c>
      <c r="CD785" t="b">
        <v>1</v>
      </c>
      <c r="CE785" t="b">
        <v>1</v>
      </c>
      <c r="CF785" t="b">
        <v>1</v>
      </c>
    </row>
    <row r="786" spans="1:84" x14ac:dyDescent="0.3">
      <c r="A786" t="s">
        <v>2791</v>
      </c>
      <c r="B786" t="s">
        <v>1191</v>
      </c>
      <c r="C786" s="98">
        <v>45726</v>
      </c>
      <c r="D786">
        <v>2025</v>
      </c>
      <c r="E786">
        <v>3</v>
      </c>
      <c r="F786">
        <v>1</v>
      </c>
      <c r="G786" t="s">
        <v>1187</v>
      </c>
      <c r="H786" t="s">
        <v>140</v>
      </c>
      <c r="I786" t="s">
        <v>140</v>
      </c>
      <c r="J786" t="s">
        <v>6</v>
      </c>
      <c r="L786">
        <v>522611</v>
      </c>
      <c r="M786" s="99" t="s">
        <v>179</v>
      </c>
      <c r="N786">
        <v>2</v>
      </c>
      <c r="O786">
        <v>10</v>
      </c>
      <c r="P786">
        <v>0.71679999999999999</v>
      </c>
      <c r="Q786" t="s">
        <v>352</v>
      </c>
      <c r="R786">
        <v>1</v>
      </c>
      <c r="S786">
        <v>0.77280000000000004</v>
      </c>
      <c r="T786">
        <v>6.08E-2</v>
      </c>
      <c r="U786">
        <v>-0.92105263157894823</v>
      </c>
      <c r="V786">
        <v>0.59040000000000004</v>
      </c>
      <c r="W786">
        <v>0.6512</v>
      </c>
      <c r="X786">
        <v>0.71200000000000008</v>
      </c>
      <c r="Y786">
        <v>0.83360000000000001</v>
      </c>
      <c r="Z786">
        <v>0.89440000000000008</v>
      </c>
      <c r="AA786">
        <v>0.95520000000000005</v>
      </c>
      <c r="AD786">
        <v>26.16342831769812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 t="s">
        <v>462</v>
      </c>
      <c r="AL786" t="s">
        <v>6</v>
      </c>
      <c r="AM786" t="s">
        <v>1145</v>
      </c>
      <c r="AN786" t="s">
        <v>1146</v>
      </c>
      <c r="AO786" s="100">
        <v>46262.040405092594</v>
      </c>
      <c r="AP786" t="s">
        <v>1147</v>
      </c>
      <c r="AQ786" t="s">
        <v>2792</v>
      </c>
      <c r="AR786" t="s">
        <v>1193</v>
      </c>
      <c r="AS786" t="s">
        <v>1150</v>
      </c>
      <c r="AT786" t="s">
        <v>2724</v>
      </c>
      <c r="AU786">
        <v>25</v>
      </c>
      <c r="AV786">
        <v>0.75047999999999992</v>
      </c>
      <c r="AW786">
        <v>6.0834680350383474E-2</v>
      </c>
      <c r="AX786">
        <v>8.1061028075876074</v>
      </c>
      <c r="AY786">
        <v>0.20055466868433902</v>
      </c>
      <c r="AZ786">
        <v>13.57562430120389</v>
      </c>
      <c r="BA786">
        <v>3.2028798875720632</v>
      </c>
      <c r="BB786" t="s">
        <v>4619</v>
      </c>
      <c r="BD786" s="98"/>
      <c r="BE786" s="98"/>
      <c r="BF786" t="s">
        <v>1152</v>
      </c>
      <c r="BG786" t="s">
        <v>322</v>
      </c>
      <c r="BH786" t="s">
        <v>1153</v>
      </c>
      <c r="BI786">
        <v>0.20055466868433902</v>
      </c>
      <c r="BJ786" t="s">
        <v>1032</v>
      </c>
      <c r="BK786">
        <v>12.58780401649423</v>
      </c>
      <c r="BL786">
        <v>48.11221168587938</v>
      </c>
      <c r="BM786" t="s">
        <v>1260</v>
      </c>
      <c r="BN786" t="s">
        <v>1154</v>
      </c>
      <c r="BO786">
        <v>2025</v>
      </c>
      <c r="BP786" t="s">
        <v>966</v>
      </c>
      <c r="BQ786">
        <v>47184.386903149854</v>
      </c>
      <c r="BR786">
        <v>95.281561309685017</v>
      </c>
      <c r="BS786" t="s">
        <v>992</v>
      </c>
      <c r="BT786">
        <v>6</v>
      </c>
      <c r="BU786">
        <v>1</v>
      </c>
      <c r="BV786" t="s">
        <v>993</v>
      </c>
      <c r="BW786" t="s">
        <v>943</v>
      </c>
      <c r="BX786" t="s">
        <v>1033</v>
      </c>
      <c r="BY786">
        <v>3.1727893417376754</v>
      </c>
      <c r="BZ786" t="s">
        <v>2573</v>
      </c>
      <c r="CA786" t="s">
        <v>1032</v>
      </c>
      <c r="CB786" t="b">
        <v>1</v>
      </c>
      <c r="CC786" t="b">
        <v>1</v>
      </c>
      <c r="CD786" t="b">
        <v>1</v>
      </c>
      <c r="CE786" t="b">
        <v>1</v>
      </c>
      <c r="CF786" t="b">
        <v>1</v>
      </c>
    </row>
    <row r="787" spans="1:84" x14ac:dyDescent="0.3">
      <c r="A787" t="s">
        <v>2793</v>
      </c>
      <c r="B787" t="s">
        <v>1195</v>
      </c>
      <c r="C787" s="98">
        <v>45733</v>
      </c>
      <c r="D787">
        <v>2025</v>
      </c>
      <c r="E787">
        <v>3</v>
      </c>
      <c r="F787">
        <v>1</v>
      </c>
      <c r="G787" t="s">
        <v>1187</v>
      </c>
      <c r="H787" t="s">
        <v>140</v>
      </c>
      <c r="I787" t="s">
        <v>140</v>
      </c>
      <c r="J787" t="s">
        <v>6</v>
      </c>
      <c r="L787">
        <v>522611</v>
      </c>
      <c r="M787" s="99" t="s">
        <v>179</v>
      </c>
      <c r="N787">
        <v>2</v>
      </c>
      <c r="O787">
        <v>11</v>
      </c>
      <c r="P787">
        <v>0.64659999999999995</v>
      </c>
      <c r="Q787" t="s">
        <v>352</v>
      </c>
      <c r="R787">
        <v>1</v>
      </c>
      <c r="S787">
        <v>0.77280000000000004</v>
      </c>
      <c r="T787">
        <v>6.08E-2</v>
      </c>
      <c r="U787">
        <v>-2.0756578947368434</v>
      </c>
      <c r="V787">
        <v>0.59040000000000004</v>
      </c>
      <c r="W787">
        <v>0.6512</v>
      </c>
      <c r="X787">
        <v>0.71200000000000008</v>
      </c>
      <c r="Y787">
        <v>0.83360000000000001</v>
      </c>
      <c r="Z787">
        <v>0.89440000000000008</v>
      </c>
      <c r="AA787">
        <v>0.95520000000000005</v>
      </c>
      <c r="AD787">
        <v>26.16342831769812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1</v>
      </c>
      <c r="AK787" t="s">
        <v>462</v>
      </c>
      <c r="AL787" t="s">
        <v>6</v>
      </c>
      <c r="AM787" t="s">
        <v>1145</v>
      </c>
      <c r="AN787" t="s">
        <v>1146</v>
      </c>
      <c r="AO787" s="100">
        <v>46262.040405092594</v>
      </c>
      <c r="AP787" t="s">
        <v>1147</v>
      </c>
      <c r="AQ787" t="s">
        <v>2794</v>
      </c>
      <c r="AR787" t="s">
        <v>1197</v>
      </c>
      <c r="AS787" t="s">
        <v>1150</v>
      </c>
      <c r="AT787" t="s">
        <v>2724</v>
      </c>
      <c r="AU787">
        <v>25</v>
      </c>
      <c r="AV787">
        <v>0.75047999999999992</v>
      </c>
      <c r="AW787">
        <v>6.0834680350383474E-2</v>
      </c>
      <c r="AX787">
        <v>8.1061028075876074</v>
      </c>
      <c r="AY787">
        <v>0.20055466868433902</v>
      </c>
      <c r="AZ787">
        <v>13.57562430120389</v>
      </c>
      <c r="BA787">
        <v>3.2028798875720632</v>
      </c>
      <c r="BB787" t="s">
        <v>4619</v>
      </c>
      <c r="BD787" s="98"/>
      <c r="BE787" s="98"/>
      <c r="BF787" t="s">
        <v>1152</v>
      </c>
      <c r="BG787" t="s">
        <v>322</v>
      </c>
      <c r="BH787" t="s">
        <v>1153</v>
      </c>
      <c r="BI787">
        <v>0.20055466868433902</v>
      </c>
      <c r="BJ787" t="s">
        <v>1032</v>
      </c>
      <c r="BK787">
        <v>12.58780401649423</v>
      </c>
      <c r="BL787">
        <v>48.11221168587938</v>
      </c>
      <c r="BM787" t="s">
        <v>1260</v>
      </c>
      <c r="BN787" t="s">
        <v>1154</v>
      </c>
      <c r="BO787">
        <v>2025</v>
      </c>
      <c r="BP787" t="s">
        <v>966</v>
      </c>
      <c r="BQ787">
        <v>47184.386903149854</v>
      </c>
      <c r="BR787">
        <v>95.281561309685017</v>
      </c>
      <c r="BS787" t="s">
        <v>992</v>
      </c>
      <c r="BT787">
        <v>6</v>
      </c>
      <c r="BU787">
        <v>1</v>
      </c>
      <c r="BV787" t="s">
        <v>993</v>
      </c>
      <c r="BW787" t="s">
        <v>943</v>
      </c>
      <c r="BX787" t="s">
        <v>1033</v>
      </c>
      <c r="BY787">
        <v>3.1727893417376754</v>
      </c>
      <c r="BZ787" t="s">
        <v>2573</v>
      </c>
      <c r="CA787" t="s">
        <v>1032</v>
      </c>
      <c r="CB787" t="b">
        <v>1</v>
      </c>
      <c r="CC787" t="b">
        <v>1</v>
      </c>
      <c r="CD787" t="b">
        <v>1</v>
      </c>
      <c r="CE787" t="b">
        <v>1</v>
      </c>
      <c r="CF787" t="b">
        <v>1</v>
      </c>
    </row>
    <row r="788" spans="1:84" x14ac:dyDescent="0.3">
      <c r="A788" t="s">
        <v>2795</v>
      </c>
      <c r="B788" t="s">
        <v>1199</v>
      </c>
      <c r="C788" s="98">
        <v>45740</v>
      </c>
      <c r="D788">
        <v>2025</v>
      </c>
      <c r="E788">
        <v>3</v>
      </c>
      <c r="F788">
        <v>1</v>
      </c>
      <c r="G788" t="s">
        <v>1187</v>
      </c>
      <c r="H788" t="s">
        <v>140</v>
      </c>
      <c r="I788" t="s">
        <v>140</v>
      </c>
      <c r="J788" t="s">
        <v>6</v>
      </c>
      <c r="L788">
        <v>522611</v>
      </c>
      <c r="M788" s="99" t="s">
        <v>179</v>
      </c>
      <c r="N788">
        <v>2</v>
      </c>
      <c r="O788">
        <v>12</v>
      </c>
      <c r="P788">
        <v>0.75029999999999997</v>
      </c>
      <c r="Q788" t="s">
        <v>352</v>
      </c>
      <c r="R788">
        <v>1</v>
      </c>
      <c r="S788">
        <v>0.77280000000000004</v>
      </c>
      <c r="T788">
        <v>6.08E-2</v>
      </c>
      <c r="U788">
        <v>-0.37006578947368546</v>
      </c>
      <c r="V788">
        <v>0.59040000000000004</v>
      </c>
      <c r="W788">
        <v>0.6512</v>
      </c>
      <c r="X788">
        <v>0.71200000000000008</v>
      </c>
      <c r="Y788">
        <v>0.83360000000000001</v>
      </c>
      <c r="Z788">
        <v>0.89440000000000008</v>
      </c>
      <c r="AA788">
        <v>0.95520000000000005</v>
      </c>
      <c r="AD788">
        <v>26.16342831769812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 t="s">
        <v>462</v>
      </c>
      <c r="AL788" t="s">
        <v>6</v>
      </c>
      <c r="AM788" t="s">
        <v>1145</v>
      </c>
      <c r="AN788" t="s">
        <v>1146</v>
      </c>
      <c r="AO788" s="100">
        <v>46262.040405092594</v>
      </c>
      <c r="AP788" t="s">
        <v>1147</v>
      </c>
      <c r="AQ788" t="s">
        <v>2796</v>
      </c>
      <c r="AR788" t="s">
        <v>1201</v>
      </c>
      <c r="AS788" t="s">
        <v>1150</v>
      </c>
      <c r="AT788" t="s">
        <v>2724</v>
      </c>
      <c r="AU788">
        <v>25</v>
      </c>
      <c r="AV788">
        <v>0.75047999999999992</v>
      </c>
      <c r="AW788">
        <v>6.0834680350383474E-2</v>
      </c>
      <c r="AX788">
        <v>8.1061028075876074</v>
      </c>
      <c r="AY788">
        <v>0.20055466868433902</v>
      </c>
      <c r="AZ788">
        <v>13.57562430120389</v>
      </c>
      <c r="BA788">
        <v>3.2028798875720632</v>
      </c>
      <c r="BB788" t="s">
        <v>4619</v>
      </c>
      <c r="BD788" s="98"/>
      <c r="BE788" s="98"/>
      <c r="BF788" t="s">
        <v>1152</v>
      </c>
      <c r="BG788" t="s">
        <v>322</v>
      </c>
      <c r="BH788" t="s">
        <v>1153</v>
      </c>
      <c r="BI788">
        <v>0.20055466868433902</v>
      </c>
      <c r="BJ788" t="s">
        <v>1032</v>
      </c>
      <c r="BK788">
        <v>12.58780401649423</v>
      </c>
      <c r="BL788">
        <v>48.11221168587938</v>
      </c>
      <c r="BM788" t="s">
        <v>1260</v>
      </c>
      <c r="BN788" t="s">
        <v>1154</v>
      </c>
      <c r="BO788">
        <v>2025</v>
      </c>
      <c r="BP788" t="s">
        <v>966</v>
      </c>
      <c r="BQ788">
        <v>47184.386903149854</v>
      </c>
      <c r="BR788">
        <v>95.281561309685017</v>
      </c>
      <c r="BS788" t="s">
        <v>992</v>
      </c>
      <c r="BT788">
        <v>6</v>
      </c>
      <c r="BU788">
        <v>1</v>
      </c>
      <c r="BV788" t="s">
        <v>993</v>
      </c>
      <c r="BW788" t="s">
        <v>943</v>
      </c>
      <c r="BX788" t="s">
        <v>1033</v>
      </c>
      <c r="BY788">
        <v>3.1727893417376754</v>
      </c>
      <c r="BZ788" t="s">
        <v>2573</v>
      </c>
      <c r="CA788" t="s">
        <v>1032</v>
      </c>
      <c r="CB788" t="b">
        <v>1</v>
      </c>
      <c r="CC788" t="b">
        <v>1</v>
      </c>
      <c r="CD788" t="b">
        <v>1</v>
      </c>
      <c r="CE788" t="b">
        <v>1</v>
      </c>
      <c r="CF788" t="b">
        <v>1</v>
      </c>
    </row>
    <row r="789" spans="1:84" x14ac:dyDescent="0.3">
      <c r="A789" t="s">
        <v>2797</v>
      </c>
      <c r="B789" t="s">
        <v>1203</v>
      </c>
      <c r="C789" s="98">
        <v>45747</v>
      </c>
      <c r="D789">
        <v>2025</v>
      </c>
      <c r="E789">
        <v>3</v>
      </c>
      <c r="F789">
        <v>1</v>
      </c>
      <c r="G789" t="s">
        <v>1187</v>
      </c>
      <c r="H789" t="s">
        <v>140</v>
      </c>
      <c r="I789" t="s">
        <v>140</v>
      </c>
      <c r="J789" t="s">
        <v>6</v>
      </c>
      <c r="L789">
        <v>522611</v>
      </c>
      <c r="M789" s="99" t="s">
        <v>179</v>
      </c>
      <c r="N789">
        <v>2</v>
      </c>
      <c r="O789">
        <v>13</v>
      </c>
      <c r="P789">
        <v>0.68169999999999997</v>
      </c>
      <c r="Q789" t="s">
        <v>352</v>
      </c>
      <c r="R789">
        <v>1</v>
      </c>
      <c r="S789">
        <v>0.77280000000000004</v>
      </c>
      <c r="T789">
        <v>6.08E-2</v>
      </c>
      <c r="U789">
        <v>-1.4983552631578958</v>
      </c>
      <c r="V789">
        <v>0.59040000000000004</v>
      </c>
      <c r="W789">
        <v>0.6512</v>
      </c>
      <c r="X789">
        <v>0.71200000000000008</v>
      </c>
      <c r="Y789">
        <v>0.83360000000000001</v>
      </c>
      <c r="Z789">
        <v>0.89440000000000008</v>
      </c>
      <c r="AA789">
        <v>0.95520000000000005</v>
      </c>
      <c r="AD789">
        <v>26.16342831769812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 t="s">
        <v>462</v>
      </c>
      <c r="AL789" t="s">
        <v>6</v>
      </c>
      <c r="AM789" t="s">
        <v>1145</v>
      </c>
      <c r="AN789" t="s">
        <v>1146</v>
      </c>
      <c r="AO789" s="100">
        <v>46262.040405092594</v>
      </c>
      <c r="AP789" t="s">
        <v>1147</v>
      </c>
      <c r="AQ789" t="s">
        <v>2798</v>
      </c>
      <c r="AR789" t="s">
        <v>1205</v>
      </c>
      <c r="AS789" t="s">
        <v>1150</v>
      </c>
      <c r="AT789" t="s">
        <v>2724</v>
      </c>
      <c r="AU789">
        <v>25</v>
      </c>
      <c r="AV789">
        <v>0.75047999999999992</v>
      </c>
      <c r="AW789">
        <v>6.0834680350383474E-2</v>
      </c>
      <c r="AX789">
        <v>8.1061028075876074</v>
      </c>
      <c r="AY789">
        <v>0.20055466868433902</v>
      </c>
      <c r="AZ789">
        <v>13.57562430120389</v>
      </c>
      <c r="BA789">
        <v>3.2028798875720632</v>
      </c>
      <c r="BB789" t="s">
        <v>4619</v>
      </c>
      <c r="BD789" s="98"/>
      <c r="BE789" s="98"/>
      <c r="BF789" t="s">
        <v>1152</v>
      </c>
      <c r="BG789" t="s">
        <v>322</v>
      </c>
      <c r="BH789" t="s">
        <v>1153</v>
      </c>
      <c r="BI789">
        <v>0.20055466868433902</v>
      </c>
      <c r="BJ789" t="s">
        <v>1032</v>
      </c>
      <c r="BK789">
        <v>12.58780401649423</v>
      </c>
      <c r="BL789">
        <v>48.11221168587938</v>
      </c>
      <c r="BM789" t="s">
        <v>1260</v>
      </c>
      <c r="BN789" t="s">
        <v>1154</v>
      </c>
      <c r="BO789">
        <v>2025</v>
      </c>
      <c r="BP789" t="s">
        <v>966</v>
      </c>
      <c r="BQ789">
        <v>47184.386903149854</v>
      </c>
      <c r="BR789">
        <v>95.281561309685017</v>
      </c>
      <c r="BS789" t="s">
        <v>992</v>
      </c>
      <c r="BT789">
        <v>6</v>
      </c>
      <c r="BU789">
        <v>1</v>
      </c>
      <c r="BV789" t="s">
        <v>993</v>
      </c>
      <c r="BW789" t="s">
        <v>943</v>
      </c>
      <c r="BX789" t="s">
        <v>1033</v>
      </c>
      <c r="BY789">
        <v>3.1727893417376754</v>
      </c>
      <c r="BZ789" t="s">
        <v>2573</v>
      </c>
      <c r="CA789" t="s">
        <v>1032</v>
      </c>
      <c r="CB789" t="b">
        <v>1</v>
      </c>
      <c r="CC789" t="b">
        <v>1</v>
      </c>
      <c r="CD789" t="b">
        <v>1</v>
      </c>
      <c r="CE789" t="b">
        <v>1</v>
      </c>
      <c r="CF789" t="b">
        <v>1</v>
      </c>
    </row>
    <row r="790" spans="1:84" x14ac:dyDescent="0.3">
      <c r="A790" t="s">
        <v>2799</v>
      </c>
      <c r="B790" t="s">
        <v>1207</v>
      </c>
      <c r="C790" s="98">
        <v>45754</v>
      </c>
      <c r="D790">
        <v>2025</v>
      </c>
      <c r="E790">
        <v>4</v>
      </c>
      <c r="F790">
        <v>2</v>
      </c>
      <c r="G790" t="s">
        <v>1208</v>
      </c>
      <c r="H790" t="s">
        <v>140</v>
      </c>
      <c r="I790" t="s">
        <v>140</v>
      </c>
      <c r="J790" t="s">
        <v>6</v>
      </c>
      <c r="L790">
        <v>522611</v>
      </c>
      <c r="M790" s="99" t="s">
        <v>179</v>
      </c>
      <c r="N790">
        <v>2</v>
      </c>
      <c r="O790">
        <v>14</v>
      </c>
      <c r="P790">
        <v>0.73329999999999995</v>
      </c>
      <c r="Q790" t="s">
        <v>352</v>
      </c>
      <c r="R790">
        <v>1</v>
      </c>
      <c r="S790">
        <v>0.77280000000000004</v>
      </c>
      <c r="T790">
        <v>6.08E-2</v>
      </c>
      <c r="U790">
        <v>-0.64967105263158043</v>
      </c>
      <c r="V790">
        <v>0.59040000000000004</v>
      </c>
      <c r="W790">
        <v>0.6512</v>
      </c>
      <c r="X790">
        <v>0.71200000000000008</v>
      </c>
      <c r="Y790">
        <v>0.83360000000000001</v>
      </c>
      <c r="Z790">
        <v>0.89440000000000008</v>
      </c>
      <c r="AA790">
        <v>0.95520000000000005</v>
      </c>
      <c r="AD790">
        <v>26.16342831769812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 t="s">
        <v>462</v>
      </c>
      <c r="AL790" t="s">
        <v>6</v>
      </c>
      <c r="AM790" t="s">
        <v>1145</v>
      </c>
      <c r="AN790" t="s">
        <v>1146</v>
      </c>
      <c r="AO790" s="100">
        <v>46262.040405092594</v>
      </c>
      <c r="AP790" t="s">
        <v>1147</v>
      </c>
      <c r="AQ790" t="s">
        <v>2800</v>
      </c>
      <c r="AR790" t="s">
        <v>1210</v>
      </c>
      <c r="AS790" t="s">
        <v>1150</v>
      </c>
      <c r="AT790" t="s">
        <v>2724</v>
      </c>
      <c r="AU790">
        <v>25</v>
      </c>
      <c r="AV790">
        <v>0.75047999999999992</v>
      </c>
      <c r="AW790">
        <v>6.0834680350383474E-2</v>
      </c>
      <c r="AX790">
        <v>8.1061028075876074</v>
      </c>
      <c r="AY790">
        <v>0.20055466868433902</v>
      </c>
      <c r="AZ790">
        <v>13.57562430120389</v>
      </c>
      <c r="BA790">
        <v>3.2028798875720632</v>
      </c>
      <c r="BB790" t="s">
        <v>4619</v>
      </c>
      <c r="BD790" s="98"/>
      <c r="BE790" s="98"/>
      <c r="BF790" t="s">
        <v>1152</v>
      </c>
      <c r="BG790" t="s">
        <v>322</v>
      </c>
      <c r="BH790" t="s">
        <v>1153</v>
      </c>
      <c r="BI790">
        <v>0.20055466868433902</v>
      </c>
      <c r="BJ790" t="s">
        <v>1032</v>
      </c>
      <c r="BK790">
        <v>12.58780401649423</v>
      </c>
      <c r="BL790">
        <v>48.11221168587938</v>
      </c>
      <c r="BM790" t="s">
        <v>1260</v>
      </c>
      <c r="BN790" t="s">
        <v>1154</v>
      </c>
      <c r="BO790">
        <v>2025</v>
      </c>
      <c r="BP790" t="s">
        <v>966</v>
      </c>
      <c r="BQ790">
        <v>47184.386903149854</v>
      </c>
      <c r="BR790">
        <v>95.281561309685017</v>
      </c>
      <c r="BS790" t="s">
        <v>992</v>
      </c>
      <c r="BT790">
        <v>6</v>
      </c>
      <c r="BU790">
        <v>1</v>
      </c>
      <c r="BV790" t="s">
        <v>993</v>
      </c>
      <c r="BW790" t="s">
        <v>943</v>
      </c>
      <c r="BX790" t="s">
        <v>1033</v>
      </c>
      <c r="BY790">
        <v>3.1727893417376754</v>
      </c>
      <c r="BZ790" t="s">
        <v>2573</v>
      </c>
      <c r="CA790" t="s">
        <v>1032</v>
      </c>
      <c r="CB790" t="b">
        <v>1</v>
      </c>
      <c r="CC790" t="b">
        <v>1</v>
      </c>
      <c r="CD790" t="b">
        <v>1</v>
      </c>
      <c r="CE790" t="b">
        <v>1</v>
      </c>
      <c r="CF790" t="b">
        <v>1</v>
      </c>
    </row>
    <row r="791" spans="1:84" x14ac:dyDescent="0.3">
      <c r="A791" t="s">
        <v>2801</v>
      </c>
      <c r="B791" t="s">
        <v>1212</v>
      </c>
      <c r="C791" s="98">
        <v>45761</v>
      </c>
      <c r="D791">
        <v>2025</v>
      </c>
      <c r="E791">
        <v>4</v>
      </c>
      <c r="F791">
        <v>2</v>
      </c>
      <c r="G791" t="s">
        <v>1208</v>
      </c>
      <c r="H791" t="s">
        <v>140</v>
      </c>
      <c r="I791" t="s">
        <v>140</v>
      </c>
      <c r="J791" t="s">
        <v>6</v>
      </c>
      <c r="L791">
        <v>522611</v>
      </c>
      <c r="M791" s="99" t="s">
        <v>179</v>
      </c>
      <c r="N791">
        <v>2</v>
      </c>
      <c r="O791">
        <v>15</v>
      </c>
      <c r="P791">
        <v>0.79530000000000001</v>
      </c>
      <c r="Q791" t="s">
        <v>352</v>
      </c>
      <c r="R791">
        <v>1</v>
      </c>
      <c r="S791">
        <v>0.77280000000000004</v>
      </c>
      <c r="T791">
        <v>6.08E-2</v>
      </c>
      <c r="U791">
        <v>0.37006578947368363</v>
      </c>
      <c r="V791">
        <v>0.59040000000000004</v>
      </c>
      <c r="W791">
        <v>0.6512</v>
      </c>
      <c r="X791">
        <v>0.71200000000000008</v>
      </c>
      <c r="Y791">
        <v>0.83360000000000001</v>
      </c>
      <c r="Z791">
        <v>0.89440000000000008</v>
      </c>
      <c r="AA791">
        <v>0.95520000000000005</v>
      </c>
      <c r="AD791">
        <v>26.16342831769812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 t="s">
        <v>462</v>
      </c>
      <c r="AL791" t="s">
        <v>6</v>
      </c>
      <c r="AM791" t="s">
        <v>1145</v>
      </c>
      <c r="AN791" t="s">
        <v>1146</v>
      </c>
      <c r="AO791" s="100">
        <v>46262.040405092594</v>
      </c>
      <c r="AP791" t="s">
        <v>1147</v>
      </c>
      <c r="AQ791" t="s">
        <v>2802</v>
      </c>
      <c r="AR791" t="s">
        <v>1215</v>
      </c>
      <c r="AS791" t="s">
        <v>1150</v>
      </c>
      <c r="AT791" t="s">
        <v>2724</v>
      </c>
      <c r="AU791">
        <v>25</v>
      </c>
      <c r="AV791">
        <v>0.75047999999999992</v>
      </c>
      <c r="AW791">
        <v>6.0834680350383474E-2</v>
      </c>
      <c r="AX791">
        <v>8.1061028075876074</v>
      </c>
      <c r="AY791">
        <v>0.20055466868433902</v>
      </c>
      <c r="AZ791">
        <v>13.57562430120389</v>
      </c>
      <c r="BA791">
        <v>3.2028798875720632</v>
      </c>
      <c r="BB791" t="s">
        <v>4619</v>
      </c>
      <c r="BD791" s="98"/>
      <c r="BE791" s="98"/>
      <c r="BF791" t="s">
        <v>1152</v>
      </c>
      <c r="BG791" t="s">
        <v>322</v>
      </c>
      <c r="BH791" t="s">
        <v>1153</v>
      </c>
      <c r="BI791">
        <v>0.20055466868433902</v>
      </c>
      <c r="BJ791" t="s">
        <v>1032</v>
      </c>
      <c r="BK791">
        <v>12.58780401649423</v>
      </c>
      <c r="BL791">
        <v>48.11221168587938</v>
      </c>
      <c r="BM791" t="s">
        <v>1260</v>
      </c>
      <c r="BN791" t="s">
        <v>1154</v>
      </c>
      <c r="BO791">
        <v>2025</v>
      </c>
      <c r="BP791" t="s">
        <v>966</v>
      </c>
      <c r="BQ791">
        <v>47184.386903149854</v>
      </c>
      <c r="BR791">
        <v>95.281561309685017</v>
      </c>
      <c r="BS791" t="s">
        <v>992</v>
      </c>
      <c r="BT791">
        <v>6</v>
      </c>
      <c r="BU791">
        <v>1</v>
      </c>
      <c r="BV791" t="s">
        <v>993</v>
      </c>
      <c r="BW791" t="s">
        <v>943</v>
      </c>
      <c r="BX791" t="s">
        <v>1033</v>
      </c>
      <c r="BY791">
        <v>3.1727893417376754</v>
      </c>
      <c r="BZ791" t="s">
        <v>2573</v>
      </c>
      <c r="CA791" t="s">
        <v>1032</v>
      </c>
      <c r="CB791" t="b">
        <v>1</v>
      </c>
      <c r="CC791" t="b">
        <v>1</v>
      </c>
      <c r="CD791" t="b">
        <v>1</v>
      </c>
      <c r="CE791" t="b">
        <v>1</v>
      </c>
      <c r="CF791" t="b">
        <v>1</v>
      </c>
    </row>
    <row r="792" spans="1:84" x14ac:dyDescent="0.3">
      <c r="A792" t="s">
        <v>2803</v>
      </c>
      <c r="B792" t="s">
        <v>1217</v>
      </c>
      <c r="C792" s="98">
        <v>45768</v>
      </c>
      <c r="D792">
        <v>2025</v>
      </c>
      <c r="E792">
        <v>4</v>
      </c>
      <c r="F792">
        <v>2</v>
      </c>
      <c r="G792" t="s">
        <v>1208</v>
      </c>
      <c r="H792" t="s">
        <v>140</v>
      </c>
      <c r="I792" t="s">
        <v>140</v>
      </c>
      <c r="J792" t="s">
        <v>6</v>
      </c>
      <c r="L792">
        <v>522611</v>
      </c>
      <c r="M792" s="99" t="s">
        <v>179</v>
      </c>
      <c r="N792">
        <v>2</v>
      </c>
      <c r="O792">
        <v>16</v>
      </c>
      <c r="P792">
        <v>0.79169999999999996</v>
      </c>
      <c r="Q792" t="s">
        <v>352</v>
      </c>
      <c r="R792">
        <v>1</v>
      </c>
      <c r="S792">
        <v>0.77280000000000004</v>
      </c>
      <c r="T792">
        <v>6.08E-2</v>
      </c>
      <c r="U792">
        <v>0.31085526315789336</v>
      </c>
      <c r="V792">
        <v>0.59040000000000004</v>
      </c>
      <c r="W792">
        <v>0.6512</v>
      </c>
      <c r="X792">
        <v>0.71200000000000008</v>
      </c>
      <c r="Y792">
        <v>0.83360000000000001</v>
      </c>
      <c r="Z792">
        <v>0.89440000000000008</v>
      </c>
      <c r="AA792">
        <v>0.95520000000000005</v>
      </c>
      <c r="AD792">
        <v>26.16342831769812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 t="s">
        <v>462</v>
      </c>
      <c r="AL792" t="s">
        <v>6</v>
      </c>
      <c r="AM792" t="s">
        <v>1145</v>
      </c>
      <c r="AN792" t="s">
        <v>1146</v>
      </c>
      <c r="AO792" s="100">
        <v>46262.040405092594</v>
      </c>
      <c r="AP792" t="s">
        <v>1147</v>
      </c>
      <c r="AQ792" t="s">
        <v>2804</v>
      </c>
      <c r="AR792" t="s">
        <v>1219</v>
      </c>
      <c r="AS792" t="s">
        <v>1150</v>
      </c>
      <c r="AT792" t="s">
        <v>2724</v>
      </c>
      <c r="AU792">
        <v>25</v>
      </c>
      <c r="AV792">
        <v>0.75047999999999992</v>
      </c>
      <c r="AW792">
        <v>6.0834680350383474E-2</v>
      </c>
      <c r="AX792">
        <v>8.1061028075876074</v>
      </c>
      <c r="AY792">
        <v>0.20055466868433902</v>
      </c>
      <c r="AZ792">
        <v>13.57562430120389</v>
      </c>
      <c r="BA792">
        <v>3.2028798875720632</v>
      </c>
      <c r="BB792" t="s">
        <v>4619</v>
      </c>
      <c r="BD792" s="98"/>
      <c r="BE792" s="98"/>
      <c r="BF792" t="s">
        <v>1152</v>
      </c>
      <c r="BG792" t="s">
        <v>322</v>
      </c>
      <c r="BH792" t="s">
        <v>1153</v>
      </c>
      <c r="BI792">
        <v>0.20055466868433902</v>
      </c>
      <c r="BJ792" t="s">
        <v>1032</v>
      </c>
      <c r="BK792">
        <v>12.58780401649423</v>
      </c>
      <c r="BL792">
        <v>48.11221168587938</v>
      </c>
      <c r="BM792" t="s">
        <v>1260</v>
      </c>
      <c r="BN792" t="s">
        <v>1154</v>
      </c>
      <c r="BO792">
        <v>2025</v>
      </c>
      <c r="BP792" t="s">
        <v>966</v>
      </c>
      <c r="BQ792">
        <v>47184.386903149854</v>
      </c>
      <c r="BR792">
        <v>95.281561309685017</v>
      </c>
      <c r="BS792" t="s">
        <v>992</v>
      </c>
      <c r="BT792">
        <v>6</v>
      </c>
      <c r="BU792">
        <v>1</v>
      </c>
      <c r="BV792" t="s">
        <v>993</v>
      </c>
      <c r="BW792" t="s">
        <v>943</v>
      </c>
      <c r="BX792" t="s">
        <v>1033</v>
      </c>
      <c r="BY792">
        <v>3.1727893417376754</v>
      </c>
      <c r="BZ792" t="s">
        <v>2573</v>
      </c>
      <c r="CA792" t="s">
        <v>1032</v>
      </c>
      <c r="CB792" t="b">
        <v>1</v>
      </c>
      <c r="CC792" t="b">
        <v>1</v>
      </c>
      <c r="CD792" t="b">
        <v>1</v>
      </c>
      <c r="CE792" t="b">
        <v>1</v>
      </c>
      <c r="CF792" t="b">
        <v>1</v>
      </c>
    </row>
    <row r="793" spans="1:84" x14ac:dyDescent="0.3">
      <c r="A793" t="s">
        <v>2805</v>
      </c>
      <c r="B793" t="s">
        <v>1221</v>
      </c>
      <c r="C793" s="98">
        <v>45775</v>
      </c>
      <c r="D793">
        <v>2025</v>
      </c>
      <c r="E793">
        <v>4</v>
      </c>
      <c r="F793">
        <v>2</v>
      </c>
      <c r="G793" t="s">
        <v>1208</v>
      </c>
      <c r="H793" t="s">
        <v>140</v>
      </c>
      <c r="I793" t="s">
        <v>140</v>
      </c>
      <c r="J793" t="s">
        <v>6</v>
      </c>
      <c r="L793">
        <v>522611</v>
      </c>
      <c r="M793" s="99" t="s">
        <v>179</v>
      </c>
      <c r="N793">
        <v>2</v>
      </c>
      <c r="O793">
        <v>17</v>
      </c>
      <c r="P793">
        <v>0.86919999999999997</v>
      </c>
      <c r="Q793" t="s">
        <v>352</v>
      </c>
      <c r="R793">
        <v>1</v>
      </c>
      <c r="S793">
        <v>0.77280000000000004</v>
      </c>
      <c r="T793">
        <v>6.08E-2</v>
      </c>
      <c r="U793">
        <v>1.5855263157894726</v>
      </c>
      <c r="V793">
        <v>0.59040000000000004</v>
      </c>
      <c r="W793">
        <v>0.6512</v>
      </c>
      <c r="X793">
        <v>0.71200000000000008</v>
      </c>
      <c r="Y793">
        <v>0.83360000000000001</v>
      </c>
      <c r="Z793">
        <v>0.89440000000000008</v>
      </c>
      <c r="AA793">
        <v>0.95520000000000005</v>
      </c>
      <c r="AD793">
        <v>26.16342831769812</v>
      </c>
      <c r="AE793">
        <v>0</v>
      </c>
      <c r="AF793">
        <v>0</v>
      </c>
      <c r="AG793">
        <v>0</v>
      </c>
      <c r="AH793">
        <v>0</v>
      </c>
      <c r="AI793">
        <v>1</v>
      </c>
      <c r="AJ793">
        <v>0</v>
      </c>
      <c r="AK793" t="s">
        <v>1213</v>
      </c>
      <c r="AL793" t="s">
        <v>6</v>
      </c>
      <c r="AM793" t="s">
        <v>1145</v>
      </c>
      <c r="AN793" t="s">
        <v>1146</v>
      </c>
      <c r="AO793" s="100">
        <v>46262.040405092594</v>
      </c>
      <c r="AP793" t="s">
        <v>1147</v>
      </c>
      <c r="AQ793" t="s">
        <v>2806</v>
      </c>
      <c r="AR793" t="s">
        <v>1223</v>
      </c>
      <c r="AS793" t="s">
        <v>1150</v>
      </c>
      <c r="AT793" t="s">
        <v>2724</v>
      </c>
      <c r="AU793">
        <v>25</v>
      </c>
      <c r="AV793">
        <v>0.75047999999999992</v>
      </c>
      <c r="AW793">
        <v>6.0834680350383474E-2</v>
      </c>
      <c r="AX793">
        <v>8.1061028075876074</v>
      </c>
      <c r="AY793">
        <v>0.20055466868433902</v>
      </c>
      <c r="AZ793">
        <v>13.57562430120389</v>
      </c>
      <c r="BA793">
        <v>3.2028798875720632</v>
      </c>
      <c r="BB793" t="s">
        <v>4619</v>
      </c>
      <c r="BD793" s="98"/>
      <c r="BE793" s="98"/>
      <c r="BF793" t="s">
        <v>1152</v>
      </c>
      <c r="BG793" t="s">
        <v>322</v>
      </c>
      <c r="BH793" t="s">
        <v>1153</v>
      </c>
      <c r="BI793">
        <v>0.20055466868433902</v>
      </c>
      <c r="BJ793" t="s">
        <v>1032</v>
      </c>
      <c r="BK793">
        <v>12.58780401649423</v>
      </c>
      <c r="BL793">
        <v>48.11221168587938</v>
      </c>
      <c r="BM793" t="s">
        <v>1260</v>
      </c>
      <c r="BN793" t="s">
        <v>1154</v>
      </c>
      <c r="BO793">
        <v>2025</v>
      </c>
      <c r="BP793" t="s">
        <v>966</v>
      </c>
      <c r="BQ793">
        <v>47184.386903149854</v>
      </c>
      <c r="BR793">
        <v>95.281561309685017</v>
      </c>
      <c r="BS793" t="s">
        <v>992</v>
      </c>
      <c r="BT793">
        <v>6</v>
      </c>
      <c r="BU793">
        <v>1</v>
      </c>
      <c r="BV793" t="s">
        <v>993</v>
      </c>
      <c r="BW793" t="s">
        <v>943</v>
      </c>
      <c r="BX793" t="s">
        <v>1033</v>
      </c>
      <c r="BY793">
        <v>3.1727893417376754</v>
      </c>
      <c r="BZ793" t="s">
        <v>2573</v>
      </c>
      <c r="CA793" t="s">
        <v>1032</v>
      </c>
      <c r="CB793" t="b">
        <v>1</v>
      </c>
      <c r="CC793" t="b">
        <v>1</v>
      </c>
      <c r="CD793" t="b">
        <v>1</v>
      </c>
      <c r="CE793" t="b">
        <v>1</v>
      </c>
      <c r="CF793" t="b">
        <v>1</v>
      </c>
    </row>
    <row r="794" spans="1:84" x14ac:dyDescent="0.3">
      <c r="A794" t="s">
        <v>2807</v>
      </c>
      <c r="B794" t="s">
        <v>1225</v>
      </c>
      <c r="C794" s="98">
        <v>45782</v>
      </c>
      <c r="D794">
        <v>2025</v>
      </c>
      <c r="E794">
        <v>5</v>
      </c>
      <c r="F794">
        <v>2</v>
      </c>
      <c r="G794" t="s">
        <v>1226</v>
      </c>
      <c r="H794" t="s">
        <v>140</v>
      </c>
      <c r="I794" t="s">
        <v>140</v>
      </c>
      <c r="J794" t="s">
        <v>6</v>
      </c>
      <c r="L794">
        <v>522611</v>
      </c>
      <c r="M794" s="99" t="s">
        <v>179</v>
      </c>
      <c r="N794">
        <v>2</v>
      </c>
      <c r="O794">
        <v>18</v>
      </c>
      <c r="P794">
        <v>0.76060000000000005</v>
      </c>
      <c r="Q794" t="s">
        <v>352</v>
      </c>
      <c r="R794">
        <v>1</v>
      </c>
      <c r="S794">
        <v>0.77280000000000004</v>
      </c>
      <c r="T794">
        <v>6.08E-2</v>
      </c>
      <c r="U794">
        <v>-0.20065789473684192</v>
      </c>
      <c r="V794">
        <v>0.59040000000000004</v>
      </c>
      <c r="W794">
        <v>0.6512</v>
      </c>
      <c r="X794">
        <v>0.71200000000000008</v>
      </c>
      <c r="Y794">
        <v>0.83360000000000001</v>
      </c>
      <c r="Z794">
        <v>0.89440000000000008</v>
      </c>
      <c r="AA794">
        <v>0.95520000000000005</v>
      </c>
      <c r="AD794">
        <v>26.16342831769812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 t="s">
        <v>462</v>
      </c>
      <c r="AL794" t="s">
        <v>6</v>
      </c>
      <c r="AM794" t="s">
        <v>1145</v>
      </c>
      <c r="AN794" t="s">
        <v>1146</v>
      </c>
      <c r="AO794" s="100">
        <v>46262.040405092594</v>
      </c>
      <c r="AP794" t="s">
        <v>1147</v>
      </c>
      <c r="AQ794" t="s">
        <v>2808</v>
      </c>
      <c r="AR794" t="s">
        <v>1228</v>
      </c>
      <c r="AS794" t="s">
        <v>1150</v>
      </c>
      <c r="AT794" t="s">
        <v>2724</v>
      </c>
      <c r="AU794">
        <v>25</v>
      </c>
      <c r="AV794">
        <v>0.75047999999999992</v>
      </c>
      <c r="AW794">
        <v>6.0834680350383474E-2</v>
      </c>
      <c r="AX794">
        <v>8.1061028075876074</v>
      </c>
      <c r="AY794">
        <v>0.20055466868433902</v>
      </c>
      <c r="AZ794">
        <v>13.57562430120389</v>
      </c>
      <c r="BA794">
        <v>3.2028798875720632</v>
      </c>
      <c r="BB794" t="s">
        <v>4619</v>
      </c>
      <c r="BD794" s="98"/>
      <c r="BE794" s="98"/>
      <c r="BF794" t="s">
        <v>1152</v>
      </c>
      <c r="BG794" t="s">
        <v>322</v>
      </c>
      <c r="BH794" t="s">
        <v>1153</v>
      </c>
      <c r="BI794">
        <v>0.20055466868433902</v>
      </c>
      <c r="BJ794" t="s">
        <v>1032</v>
      </c>
      <c r="BK794">
        <v>12.58780401649423</v>
      </c>
      <c r="BL794">
        <v>48.11221168587938</v>
      </c>
      <c r="BM794" t="s">
        <v>1260</v>
      </c>
      <c r="BN794" t="s">
        <v>1154</v>
      </c>
      <c r="BO794">
        <v>2025</v>
      </c>
      <c r="BP794" t="s">
        <v>966</v>
      </c>
      <c r="BQ794">
        <v>47184.386903149854</v>
      </c>
      <c r="BR794">
        <v>95.281561309685017</v>
      </c>
      <c r="BS794" t="s">
        <v>992</v>
      </c>
      <c r="BT794">
        <v>6</v>
      </c>
      <c r="BU794">
        <v>1</v>
      </c>
      <c r="BV794" t="s">
        <v>993</v>
      </c>
      <c r="BW794" t="s">
        <v>943</v>
      </c>
      <c r="BX794" t="s">
        <v>1033</v>
      </c>
      <c r="BY794">
        <v>3.1727893417376754</v>
      </c>
      <c r="BZ794" t="s">
        <v>2573</v>
      </c>
      <c r="CA794" t="s">
        <v>1032</v>
      </c>
      <c r="CB794" t="b">
        <v>1</v>
      </c>
      <c r="CC794" t="b">
        <v>1</v>
      </c>
      <c r="CD794" t="b">
        <v>1</v>
      </c>
      <c r="CE794" t="b">
        <v>1</v>
      </c>
      <c r="CF794" t="b">
        <v>1</v>
      </c>
    </row>
    <row r="795" spans="1:84" x14ac:dyDescent="0.3">
      <c r="A795" t="s">
        <v>2809</v>
      </c>
      <c r="B795" t="s">
        <v>1230</v>
      </c>
      <c r="C795" s="98">
        <v>45789</v>
      </c>
      <c r="D795">
        <v>2025</v>
      </c>
      <c r="E795">
        <v>5</v>
      </c>
      <c r="F795">
        <v>2</v>
      </c>
      <c r="G795" t="s">
        <v>1226</v>
      </c>
      <c r="H795" t="s">
        <v>140</v>
      </c>
      <c r="I795" t="s">
        <v>140</v>
      </c>
      <c r="J795" t="s">
        <v>6</v>
      </c>
      <c r="L795">
        <v>522611</v>
      </c>
      <c r="M795" s="99" t="s">
        <v>179</v>
      </c>
      <c r="N795">
        <v>2</v>
      </c>
      <c r="O795">
        <v>19</v>
      </c>
      <c r="P795">
        <v>0.67959999999999998</v>
      </c>
      <c r="Q795" t="s">
        <v>352</v>
      </c>
      <c r="R795">
        <v>1</v>
      </c>
      <c r="S795">
        <v>0.77280000000000004</v>
      </c>
      <c r="T795">
        <v>6.08E-2</v>
      </c>
      <c r="U795">
        <v>-1.5328947368421062</v>
      </c>
      <c r="V795">
        <v>0.59040000000000004</v>
      </c>
      <c r="W795">
        <v>0.6512</v>
      </c>
      <c r="X795">
        <v>0.71200000000000008</v>
      </c>
      <c r="Y795">
        <v>0.83360000000000001</v>
      </c>
      <c r="Z795">
        <v>0.89440000000000008</v>
      </c>
      <c r="AA795">
        <v>0.95520000000000005</v>
      </c>
      <c r="AD795">
        <v>26.16342831769812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 t="s">
        <v>462</v>
      </c>
      <c r="AL795" t="s">
        <v>6</v>
      </c>
      <c r="AM795" t="s">
        <v>1145</v>
      </c>
      <c r="AN795" t="s">
        <v>1146</v>
      </c>
      <c r="AO795" s="100">
        <v>46262.040405092594</v>
      </c>
      <c r="AP795" t="s">
        <v>1147</v>
      </c>
      <c r="AQ795" t="s">
        <v>2810</v>
      </c>
      <c r="AR795" t="s">
        <v>1232</v>
      </c>
      <c r="AS795" t="s">
        <v>1150</v>
      </c>
      <c r="AT795" t="s">
        <v>2724</v>
      </c>
      <c r="AU795">
        <v>25</v>
      </c>
      <c r="AV795">
        <v>0.75047999999999992</v>
      </c>
      <c r="AW795">
        <v>6.0834680350383474E-2</v>
      </c>
      <c r="AX795">
        <v>8.1061028075876074</v>
      </c>
      <c r="AY795">
        <v>0.20055466868433902</v>
      </c>
      <c r="AZ795">
        <v>13.57562430120389</v>
      </c>
      <c r="BA795">
        <v>3.2028798875720632</v>
      </c>
      <c r="BB795" t="s">
        <v>4619</v>
      </c>
      <c r="BD795" s="98"/>
      <c r="BE795" s="98"/>
      <c r="BF795" t="s">
        <v>1152</v>
      </c>
      <c r="BG795" t="s">
        <v>322</v>
      </c>
      <c r="BH795" t="s">
        <v>1153</v>
      </c>
      <c r="BI795">
        <v>0.20055466868433902</v>
      </c>
      <c r="BJ795" t="s">
        <v>1032</v>
      </c>
      <c r="BK795">
        <v>12.58780401649423</v>
      </c>
      <c r="BL795">
        <v>48.11221168587938</v>
      </c>
      <c r="BM795" t="s">
        <v>1260</v>
      </c>
      <c r="BN795" t="s">
        <v>1154</v>
      </c>
      <c r="BO795">
        <v>2025</v>
      </c>
      <c r="BP795" t="s">
        <v>966</v>
      </c>
      <c r="BQ795">
        <v>47184.386903149854</v>
      </c>
      <c r="BR795">
        <v>95.281561309685017</v>
      </c>
      <c r="BS795" t="s">
        <v>992</v>
      </c>
      <c r="BT795">
        <v>6</v>
      </c>
      <c r="BU795">
        <v>1</v>
      </c>
      <c r="BV795" t="s">
        <v>993</v>
      </c>
      <c r="BW795" t="s">
        <v>943</v>
      </c>
      <c r="BX795" t="s">
        <v>1033</v>
      </c>
      <c r="BY795">
        <v>3.1727893417376754</v>
      </c>
      <c r="BZ795" t="s">
        <v>2573</v>
      </c>
      <c r="CA795" t="s">
        <v>1032</v>
      </c>
      <c r="CB795" t="b">
        <v>1</v>
      </c>
      <c r="CC795" t="b">
        <v>1</v>
      </c>
      <c r="CD795" t="b">
        <v>1</v>
      </c>
      <c r="CE795" t="b">
        <v>1</v>
      </c>
      <c r="CF795" t="b">
        <v>1</v>
      </c>
    </row>
    <row r="796" spans="1:84" x14ac:dyDescent="0.3">
      <c r="A796" t="s">
        <v>2811</v>
      </c>
      <c r="B796" t="s">
        <v>1234</v>
      </c>
      <c r="C796" s="98">
        <v>45796</v>
      </c>
      <c r="D796">
        <v>2025</v>
      </c>
      <c r="E796">
        <v>5</v>
      </c>
      <c r="F796">
        <v>2</v>
      </c>
      <c r="G796" t="s">
        <v>1226</v>
      </c>
      <c r="H796" t="s">
        <v>140</v>
      </c>
      <c r="I796" t="s">
        <v>140</v>
      </c>
      <c r="J796" t="s">
        <v>6</v>
      </c>
      <c r="L796">
        <v>522611</v>
      </c>
      <c r="M796" s="99" t="s">
        <v>179</v>
      </c>
      <c r="N796">
        <v>2</v>
      </c>
      <c r="O796">
        <v>20</v>
      </c>
      <c r="P796">
        <v>0.7268</v>
      </c>
      <c r="Q796" t="s">
        <v>352</v>
      </c>
      <c r="R796">
        <v>1</v>
      </c>
      <c r="S796">
        <v>0.77280000000000004</v>
      </c>
      <c r="T796">
        <v>6.08E-2</v>
      </c>
      <c r="U796">
        <v>-0.75657894736842168</v>
      </c>
      <c r="V796">
        <v>0.59040000000000004</v>
      </c>
      <c r="W796">
        <v>0.6512</v>
      </c>
      <c r="X796">
        <v>0.71200000000000008</v>
      </c>
      <c r="Y796">
        <v>0.83360000000000001</v>
      </c>
      <c r="Z796">
        <v>0.89440000000000008</v>
      </c>
      <c r="AA796">
        <v>0.95520000000000005</v>
      </c>
      <c r="AD796">
        <v>26.16342831769812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 t="s">
        <v>462</v>
      </c>
      <c r="AL796" t="s">
        <v>6</v>
      </c>
      <c r="AM796" t="s">
        <v>1145</v>
      </c>
      <c r="AN796" t="s">
        <v>1146</v>
      </c>
      <c r="AO796" s="100">
        <v>46262.040405092594</v>
      </c>
      <c r="AP796" t="s">
        <v>1147</v>
      </c>
      <c r="AQ796" t="s">
        <v>2812</v>
      </c>
      <c r="AR796" t="s">
        <v>1236</v>
      </c>
      <c r="AS796" t="s">
        <v>1150</v>
      </c>
      <c r="AT796" t="s">
        <v>2724</v>
      </c>
      <c r="AU796">
        <v>25</v>
      </c>
      <c r="AV796">
        <v>0.75047999999999992</v>
      </c>
      <c r="AW796">
        <v>6.0834680350383474E-2</v>
      </c>
      <c r="AX796">
        <v>8.1061028075876074</v>
      </c>
      <c r="AY796">
        <v>0.20055466868433902</v>
      </c>
      <c r="AZ796">
        <v>13.57562430120389</v>
      </c>
      <c r="BA796">
        <v>3.2028798875720632</v>
      </c>
      <c r="BB796" t="s">
        <v>4619</v>
      </c>
      <c r="BD796" s="98"/>
      <c r="BE796" s="98"/>
      <c r="BF796" t="s">
        <v>1152</v>
      </c>
      <c r="BG796" t="s">
        <v>322</v>
      </c>
      <c r="BH796" t="s">
        <v>1153</v>
      </c>
      <c r="BI796">
        <v>0.20055466868433902</v>
      </c>
      <c r="BJ796" t="s">
        <v>1032</v>
      </c>
      <c r="BK796">
        <v>12.58780401649423</v>
      </c>
      <c r="BL796">
        <v>48.11221168587938</v>
      </c>
      <c r="BM796" t="s">
        <v>1260</v>
      </c>
      <c r="BN796" t="s">
        <v>1154</v>
      </c>
      <c r="BO796">
        <v>2025</v>
      </c>
      <c r="BP796" t="s">
        <v>966</v>
      </c>
      <c r="BQ796">
        <v>47184.386903149854</v>
      </c>
      <c r="BR796">
        <v>95.281561309685017</v>
      </c>
      <c r="BS796" t="s">
        <v>992</v>
      </c>
      <c r="BT796">
        <v>6</v>
      </c>
      <c r="BU796">
        <v>1</v>
      </c>
      <c r="BV796" t="s">
        <v>993</v>
      </c>
      <c r="BW796" t="s">
        <v>943</v>
      </c>
      <c r="BX796" t="s">
        <v>1033</v>
      </c>
      <c r="BY796">
        <v>3.1727893417376754</v>
      </c>
      <c r="BZ796" t="s">
        <v>2573</v>
      </c>
      <c r="CA796" t="s">
        <v>1032</v>
      </c>
      <c r="CB796" t="b">
        <v>1</v>
      </c>
      <c r="CC796" t="b">
        <v>1</v>
      </c>
      <c r="CD796" t="b">
        <v>1</v>
      </c>
      <c r="CE796" t="b">
        <v>1</v>
      </c>
      <c r="CF796" t="b">
        <v>1</v>
      </c>
    </row>
    <row r="797" spans="1:84" x14ac:dyDescent="0.3">
      <c r="A797" t="s">
        <v>2813</v>
      </c>
      <c r="B797" t="s">
        <v>1238</v>
      </c>
      <c r="C797" s="98">
        <v>45803</v>
      </c>
      <c r="D797">
        <v>2025</v>
      </c>
      <c r="E797">
        <v>5</v>
      </c>
      <c r="F797">
        <v>2</v>
      </c>
      <c r="G797" t="s">
        <v>1226</v>
      </c>
      <c r="H797" t="s">
        <v>140</v>
      </c>
      <c r="I797" t="s">
        <v>140</v>
      </c>
      <c r="J797" t="s">
        <v>6</v>
      </c>
      <c r="L797">
        <v>522611</v>
      </c>
      <c r="M797" s="99" t="s">
        <v>179</v>
      </c>
      <c r="N797">
        <v>2</v>
      </c>
      <c r="O797">
        <v>21</v>
      </c>
      <c r="P797">
        <v>0.71689999999999998</v>
      </c>
      <c r="Q797" t="s">
        <v>352</v>
      </c>
      <c r="R797">
        <v>1</v>
      </c>
      <c r="S797">
        <v>0.77280000000000004</v>
      </c>
      <c r="T797">
        <v>6.08E-2</v>
      </c>
      <c r="U797">
        <v>-0.91940789473684315</v>
      </c>
      <c r="V797">
        <v>0.59040000000000004</v>
      </c>
      <c r="W797">
        <v>0.6512</v>
      </c>
      <c r="X797">
        <v>0.71200000000000008</v>
      </c>
      <c r="Y797">
        <v>0.83360000000000001</v>
      </c>
      <c r="Z797">
        <v>0.89440000000000008</v>
      </c>
      <c r="AA797">
        <v>0.95520000000000005</v>
      </c>
      <c r="AD797">
        <v>26.16342831769812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 t="s">
        <v>462</v>
      </c>
      <c r="AL797" t="s">
        <v>6</v>
      </c>
      <c r="AM797" t="s">
        <v>1145</v>
      </c>
      <c r="AN797" t="s">
        <v>1146</v>
      </c>
      <c r="AO797" s="100">
        <v>46262.040405092594</v>
      </c>
      <c r="AP797" t="s">
        <v>1147</v>
      </c>
      <c r="AQ797" t="s">
        <v>2814</v>
      </c>
      <c r="AR797" t="s">
        <v>1240</v>
      </c>
      <c r="AS797" t="s">
        <v>1150</v>
      </c>
      <c r="AT797" t="s">
        <v>2724</v>
      </c>
      <c r="AU797">
        <v>25</v>
      </c>
      <c r="AV797">
        <v>0.75047999999999992</v>
      </c>
      <c r="AW797">
        <v>6.0834680350383474E-2</v>
      </c>
      <c r="AX797">
        <v>8.1061028075876074</v>
      </c>
      <c r="AY797">
        <v>0.20055466868433902</v>
      </c>
      <c r="AZ797">
        <v>13.57562430120389</v>
      </c>
      <c r="BA797">
        <v>3.2028798875720632</v>
      </c>
      <c r="BB797" t="s">
        <v>4619</v>
      </c>
      <c r="BD797" s="98"/>
      <c r="BE797" s="98"/>
      <c r="BF797" t="s">
        <v>1152</v>
      </c>
      <c r="BG797" t="s">
        <v>322</v>
      </c>
      <c r="BH797" t="s">
        <v>1153</v>
      </c>
      <c r="BI797">
        <v>0.20055466868433902</v>
      </c>
      <c r="BJ797" t="s">
        <v>1032</v>
      </c>
      <c r="BK797">
        <v>12.58780401649423</v>
      </c>
      <c r="BL797">
        <v>48.11221168587938</v>
      </c>
      <c r="BM797" t="s">
        <v>1260</v>
      </c>
      <c r="BN797" t="s">
        <v>1154</v>
      </c>
      <c r="BO797">
        <v>2025</v>
      </c>
      <c r="BP797" t="s">
        <v>966</v>
      </c>
      <c r="BQ797">
        <v>47184.386903149854</v>
      </c>
      <c r="BR797">
        <v>95.281561309685017</v>
      </c>
      <c r="BS797" t="s">
        <v>992</v>
      </c>
      <c r="BT797">
        <v>6</v>
      </c>
      <c r="BU797">
        <v>1</v>
      </c>
      <c r="BV797" t="s">
        <v>993</v>
      </c>
      <c r="BW797" t="s">
        <v>943</v>
      </c>
      <c r="BX797" t="s">
        <v>1033</v>
      </c>
      <c r="BY797">
        <v>3.1727893417376754</v>
      </c>
      <c r="BZ797" t="s">
        <v>2573</v>
      </c>
      <c r="CA797" t="s">
        <v>1032</v>
      </c>
      <c r="CB797" t="b">
        <v>1</v>
      </c>
      <c r="CC797" t="b">
        <v>1</v>
      </c>
      <c r="CD797" t="b">
        <v>1</v>
      </c>
      <c r="CE797" t="b">
        <v>1</v>
      </c>
      <c r="CF797" t="b">
        <v>1</v>
      </c>
    </row>
    <row r="798" spans="1:84" x14ac:dyDescent="0.3">
      <c r="A798" t="s">
        <v>2815</v>
      </c>
      <c r="B798" t="s">
        <v>1242</v>
      </c>
      <c r="C798" s="98">
        <v>45810</v>
      </c>
      <c r="D798">
        <v>2025</v>
      </c>
      <c r="E798">
        <v>6</v>
      </c>
      <c r="F798">
        <v>2</v>
      </c>
      <c r="G798" t="s">
        <v>1243</v>
      </c>
      <c r="H798" t="s">
        <v>140</v>
      </c>
      <c r="I798" t="s">
        <v>140</v>
      </c>
      <c r="J798" t="s">
        <v>6</v>
      </c>
      <c r="L798">
        <v>522611</v>
      </c>
      <c r="M798" s="99" t="s">
        <v>179</v>
      </c>
      <c r="N798">
        <v>2</v>
      </c>
      <c r="O798">
        <v>22</v>
      </c>
      <c r="P798">
        <v>0.69879999999999998</v>
      </c>
      <c r="Q798" t="s">
        <v>352</v>
      </c>
      <c r="R798">
        <v>1</v>
      </c>
      <c r="S798">
        <v>0.77280000000000004</v>
      </c>
      <c r="T798">
        <v>6.08E-2</v>
      </c>
      <c r="U798">
        <v>-1.2171052631578958</v>
      </c>
      <c r="V798">
        <v>0.59040000000000004</v>
      </c>
      <c r="W798">
        <v>0.6512</v>
      </c>
      <c r="X798">
        <v>0.71200000000000008</v>
      </c>
      <c r="Y798">
        <v>0.83360000000000001</v>
      </c>
      <c r="Z798">
        <v>0.89440000000000008</v>
      </c>
      <c r="AA798">
        <v>0.95520000000000005</v>
      </c>
      <c r="AD798">
        <v>26.16342831769812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 t="s">
        <v>462</v>
      </c>
      <c r="AL798" t="s">
        <v>6</v>
      </c>
      <c r="AM798" t="s">
        <v>1145</v>
      </c>
      <c r="AN798" t="s">
        <v>1146</v>
      </c>
      <c r="AO798" s="100">
        <v>46262.040405092594</v>
      </c>
      <c r="AP798" t="s">
        <v>1147</v>
      </c>
      <c r="AQ798" t="s">
        <v>2816</v>
      </c>
      <c r="AR798" t="s">
        <v>1245</v>
      </c>
      <c r="AS798" t="s">
        <v>1150</v>
      </c>
      <c r="AT798" t="s">
        <v>2724</v>
      </c>
      <c r="AU798">
        <v>25</v>
      </c>
      <c r="AV798">
        <v>0.75047999999999992</v>
      </c>
      <c r="AW798">
        <v>6.0834680350383474E-2</v>
      </c>
      <c r="AX798">
        <v>8.1061028075876074</v>
      </c>
      <c r="AY798">
        <v>0.20055466868433902</v>
      </c>
      <c r="AZ798">
        <v>13.57562430120389</v>
      </c>
      <c r="BA798">
        <v>3.2028798875720632</v>
      </c>
      <c r="BB798" t="s">
        <v>4619</v>
      </c>
      <c r="BD798" s="98"/>
      <c r="BE798" s="98"/>
      <c r="BF798" t="s">
        <v>1152</v>
      </c>
      <c r="BG798" t="s">
        <v>322</v>
      </c>
      <c r="BH798" t="s">
        <v>1153</v>
      </c>
      <c r="BI798">
        <v>0.20055466868433902</v>
      </c>
      <c r="BJ798" t="s">
        <v>1032</v>
      </c>
      <c r="BK798">
        <v>12.58780401649423</v>
      </c>
      <c r="BL798">
        <v>48.11221168587938</v>
      </c>
      <c r="BM798" t="s">
        <v>1260</v>
      </c>
      <c r="BN798" t="s">
        <v>1154</v>
      </c>
      <c r="BO798">
        <v>2025</v>
      </c>
      <c r="BP798" t="s">
        <v>966</v>
      </c>
      <c r="BQ798">
        <v>47184.386903149854</v>
      </c>
      <c r="BR798">
        <v>95.281561309685017</v>
      </c>
      <c r="BS798" t="s">
        <v>992</v>
      </c>
      <c r="BT798">
        <v>6</v>
      </c>
      <c r="BU798">
        <v>1</v>
      </c>
      <c r="BV798" t="s">
        <v>993</v>
      </c>
      <c r="BW798" t="s">
        <v>943</v>
      </c>
      <c r="BX798" t="s">
        <v>1033</v>
      </c>
      <c r="BY798">
        <v>3.1727893417376754</v>
      </c>
      <c r="BZ798" t="s">
        <v>2573</v>
      </c>
      <c r="CA798" t="s">
        <v>1032</v>
      </c>
      <c r="CB798" t="b">
        <v>1</v>
      </c>
      <c r="CC798" t="b">
        <v>1</v>
      </c>
      <c r="CD798" t="b">
        <v>1</v>
      </c>
      <c r="CE798" t="b">
        <v>1</v>
      </c>
      <c r="CF798" t="b">
        <v>1</v>
      </c>
    </row>
    <row r="799" spans="1:84" x14ac:dyDescent="0.3">
      <c r="A799" t="s">
        <v>2817</v>
      </c>
      <c r="B799" t="s">
        <v>1247</v>
      </c>
      <c r="C799" s="98">
        <v>45817</v>
      </c>
      <c r="D799">
        <v>2025</v>
      </c>
      <c r="E799">
        <v>6</v>
      </c>
      <c r="F799">
        <v>2</v>
      </c>
      <c r="G799" t="s">
        <v>1243</v>
      </c>
      <c r="H799" t="s">
        <v>140</v>
      </c>
      <c r="I799" t="s">
        <v>140</v>
      </c>
      <c r="J799" t="s">
        <v>6</v>
      </c>
      <c r="L799">
        <v>522611</v>
      </c>
      <c r="M799" s="99" t="s">
        <v>179</v>
      </c>
      <c r="N799">
        <v>2</v>
      </c>
      <c r="O799">
        <v>23</v>
      </c>
      <c r="P799">
        <v>0.79920000000000002</v>
      </c>
      <c r="Q799" t="s">
        <v>352</v>
      </c>
      <c r="R799">
        <v>1</v>
      </c>
      <c r="S799">
        <v>0.77280000000000004</v>
      </c>
      <c r="T799">
        <v>6.08E-2</v>
      </c>
      <c r="U799">
        <v>0.4342105263157891</v>
      </c>
      <c r="V799">
        <v>0.59040000000000004</v>
      </c>
      <c r="W799">
        <v>0.6512</v>
      </c>
      <c r="X799">
        <v>0.71200000000000008</v>
      </c>
      <c r="Y799">
        <v>0.83360000000000001</v>
      </c>
      <c r="Z799">
        <v>0.89440000000000008</v>
      </c>
      <c r="AA799">
        <v>0.95520000000000005</v>
      </c>
      <c r="AD799">
        <v>26.16342831769812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 t="s">
        <v>462</v>
      </c>
      <c r="AL799" t="s">
        <v>6</v>
      </c>
      <c r="AM799" t="s">
        <v>1145</v>
      </c>
      <c r="AN799" t="s">
        <v>1146</v>
      </c>
      <c r="AO799" s="100">
        <v>46262.040405092594</v>
      </c>
      <c r="AP799" t="s">
        <v>1147</v>
      </c>
      <c r="AQ799" t="s">
        <v>2818</v>
      </c>
      <c r="AR799" t="s">
        <v>1249</v>
      </c>
      <c r="AS799" t="s">
        <v>1150</v>
      </c>
      <c r="AT799" t="s">
        <v>2724</v>
      </c>
      <c r="AU799">
        <v>25</v>
      </c>
      <c r="AV799">
        <v>0.75047999999999992</v>
      </c>
      <c r="AW799">
        <v>6.0834680350383474E-2</v>
      </c>
      <c r="AX799">
        <v>8.1061028075876074</v>
      </c>
      <c r="AY799">
        <v>0.20055466868433902</v>
      </c>
      <c r="AZ799">
        <v>13.57562430120389</v>
      </c>
      <c r="BA799">
        <v>3.2028798875720632</v>
      </c>
      <c r="BB799" t="s">
        <v>4619</v>
      </c>
      <c r="BD799" s="98"/>
      <c r="BE799" s="98"/>
      <c r="BF799" t="s">
        <v>1152</v>
      </c>
      <c r="BG799" t="s">
        <v>322</v>
      </c>
      <c r="BH799" t="s">
        <v>1153</v>
      </c>
      <c r="BI799">
        <v>0.20055466868433902</v>
      </c>
      <c r="BJ799" t="s">
        <v>1032</v>
      </c>
      <c r="BK799">
        <v>12.58780401649423</v>
      </c>
      <c r="BL799">
        <v>48.11221168587938</v>
      </c>
      <c r="BM799" t="s">
        <v>1260</v>
      </c>
      <c r="BN799" t="s">
        <v>1154</v>
      </c>
      <c r="BO799">
        <v>2025</v>
      </c>
      <c r="BP799" t="s">
        <v>966</v>
      </c>
      <c r="BQ799">
        <v>47184.386903149854</v>
      </c>
      <c r="BR799">
        <v>95.281561309685017</v>
      </c>
      <c r="BS799" t="s">
        <v>992</v>
      </c>
      <c r="BT799">
        <v>6</v>
      </c>
      <c r="BU799">
        <v>1</v>
      </c>
      <c r="BV799" t="s">
        <v>993</v>
      </c>
      <c r="BW799" t="s">
        <v>943</v>
      </c>
      <c r="BX799" t="s">
        <v>1033</v>
      </c>
      <c r="BY799">
        <v>3.1727893417376754</v>
      </c>
      <c r="BZ799" t="s">
        <v>2573</v>
      </c>
      <c r="CA799" t="s">
        <v>1032</v>
      </c>
      <c r="CB799" t="b">
        <v>1</v>
      </c>
      <c r="CC799" t="b">
        <v>1</v>
      </c>
      <c r="CD799" t="b">
        <v>1</v>
      </c>
      <c r="CE799" t="b">
        <v>1</v>
      </c>
      <c r="CF799" t="b">
        <v>1</v>
      </c>
    </row>
    <row r="800" spans="1:84" x14ac:dyDescent="0.3">
      <c r="A800" t="s">
        <v>2819</v>
      </c>
      <c r="B800" t="s">
        <v>1251</v>
      </c>
      <c r="C800" s="98">
        <v>45824</v>
      </c>
      <c r="D800">
        <v>2025</v>
      </c>
      <c r="E800">
        <v>6</v>
      </c>
      <c r="F800">
        <v>2</v>
      </c>
      <c r="G800" t="s">
        <v>1243</v>
      </c>
      <c r="H800" t="s">
        <v>140</v>
      </c>
      <c r="I800" t="s">
        <v>140</v>
      </c>
      <c r="J800" t="s">
        <v>6</v>
      </c>
      <c r="L800">
        <v>522611</v>
      </c>
      <c r="M800" s="99" t="s">
        <v>179</v>
      </c>
      <c r="N800">
        <v>2</v>
      </c>
      <c r="O800">
        <v>24</v>
      </c>
      <c r="P800">
        <v>0.73360000000000003</v>
      </c>
      <c r="Q800" t="s">
        <v>352</v>
      </c>
      <c r="R800">
        <v>1</v>
      </c>
      <c r="S800">
        <v>0.77280000000000004</v>
      </c>
      <c r="T800">
        <v>6.08E-2</v>
      </c>
      <c r="U800">
        <v>-0.64473684210526339</v>
      </c>
      <c r="V800">
        <v>0.59040000000000004</v>
      </c>
      <c r="W800">
        <v>0.6512</v>
      </c>
      <c r="X800">
        <v>0.71200000000000008</v>
      </c>
      <c r="Y800">
        <v>0.83360000000000001</v>
      </c>
      <c r="Z800">
        <v>0.89440000000000008</v>
      </c>
      <c r="AA800">
        <v>0.95520000000000005</v>
      </c>
      <c r="AD800">
        <v>26.16342831769812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 t="s">
        <v>462</v>
      </c>
      <c r="AL800" t="s">
        <v>6</v>
      </c>
      <c r="AM800" t="s">
        <v>1145</v>
      </c>
      <c r="AN800" t="s">
        <v>1146</v>
      </c>
      <c r="AO800" s="100">
        <v>46262.040405092594</v>
      </c>
      <c r="AP800" t="s">
        <v>1147</v>
      </c>
      <c r="AQ800" t="s">
        <v>2820</v>
      </c>
      <c r="AR800" t="s">
        <v>1253</v>
      </c>
      <c r="AS800" t="s">
        <v>1150</v>
      </c>
      <c r="AT800" t="s">
        <v>2724</v>
      </c>
      <c r="AU800">
        <v>25</v>
      </c>
      <c r="AV800">
        <v>0.75047999999999992</v>
      </c>
      <c r="AW800">
        <v>6.0834680350383474E-2</v>
      </c>
      <c r="AX800">
        <v>8.1061028075876074</v>
      </c>
      <c r="AY800">
        <v>0.20055466868433902</v>
      </c>
      <c r="AZ800">
        <v>13.57562430120389</v>
      </c>
      <c r="BA800">
        <v>3.2028798875720632</v>
      </c>
      <c r="BB800" t="s">
        <v>4619</v>
      </c>
      <c r="BD800" s="98"/>
      <c r="BE800" s="98"/>
      <c r="BF800" t="s">
        <v>1152</v>
      </c>
      <c r="BG800" t="s">
        <v>322</v>
      </c>
      <c r="BH800" t="s">
        <v>1153</v>
      </c>
      <c r="BI800">
        <v>0.20055466868433902</v>
      </c>
      <c r="BJ800" t="s">
        <v>1032</v>
      </c>
      <c r="BK800">
        <v>12.58780401649423</v>
      </c>
      <c r="BL800">
        <v>48.11221168587938</v>
      </c>
      <c r="BM800" t="s">
        <v>1260</v>
      </c>
      <c r="BN800" t="s">
        <v>1154</v>
      </c>
      <c r="BO800">
        <v>2025</v>
      </c>
      <c r="BP800" t="s">
        <v>966</v>
      </c>
      <c r="BQ800">
        <v>47184.386903149854</v>
      </c>
      <c r="BR800">
        <v>95.281561309685017</v>
      </c>
      <c r="BS800" t="s">
        <v>992</v>
      </c>
      <c r="BT800">
        <v>6</v>
      </c>
      <c r="BU800">
        <v>1</v>
      </c>
      <c r="BV800" t="s">
        <v>993</v>
      </c>
      <c r="BW800" t="s">
        <v>943</v>
      </c>
      <c r="BX800" t="s">
        <v>1033</v>
      </c>
      <c r="BY800">
        <v>3.1727893417376754</v>
      </c>
      <c r="BZ800" t="s">
        <v>2573</v>
      </c>
      <c r="CA800" t="s">
        <v>1032</v>
      </c>
      <c r="CB800" t="b">
        <v>1</v>
      </c>
      <c r="CC800" t="b">
        <v>1</v>
      </c>
      <c r="CD800" t="b">
        <v>1</v>
      </c>
      <c r="CE800" t="b">
        <v>1</v>
      </c>
      <c r="CF800" t="b">
        <v>1</v>
      </c>
    </row>
    <row r="801" spans="1:84" x14ac:dyDescent="0.3">
      <c r="A801" t="s">
        <v>2821</v>
      </c>
      <c r="B801" t="s">
        <v>1255</v>
      </c>
      <c r="C801" s="98">
        <v>45831</v>
      </c>
      <c r="D801">
        <v>2025</v>
      </c>
      <c r="E801">
        <v>6</v>
      </c>
      <c r="F801">
        <v>2</v>
      </c>
      <c r="G801" t="s">
        <v>1243</v>
      </c>
      <c r="H801" t="s">
        <v>140</v>
      </c>
      <c r="I801" t="s">
        <v>140</v>
      </c>
      <c r="J801" t="s">
        <v>6</v>
      </c>
      <c r="L801">
        <v>522611</v>
      </c>
      <c r="M801" s="99" t="s">
        <v>179</v>
      </c>
      <c r="N801">
        <v>2</v>
      </c>
      <c r="O801">
        <v>25</v>
      </c>
      <c r="P801">
        <v>0.65259999999999996</v>
      </c>
      <c r="Q801" t="s">
        <v>352</v>
      </c>
      <c r="R801">
        <v>1</v>
      </c>
      <c r="S801">
        <v>0.77280000000000004</v>
      </c>
      <c r="T801">
        <v>6.08E-2</v>
      </c>
      <c r="U801">
        <v>-1.9769736842105277</v>
      </c>
      <c r="V801">
        <v>0.59040000000000004</v>
      </c>
      <c r="W801">
        <v>0.6512</v>
      </c>
      <c r="X801">
        <v>0.71200000000000008</v>
      </c>
      <c r="Y801">
        <v>0.83360000000000001</v>
      </c>
      <c r="Z801">
        <v>0.89440000000000008</v>
      </c>
      <c r="AA801">
        <v>0.95520000000000005</v>
      </c>
      <c r="AD801">
        <v>26.16342831769812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 t="s">
        <v>462</v>
      </c>
      <c r="AL801" t="s">
        <v>6</v>
      </c>
      <c r="AM801" t="s">
        <v>1145</v>
      </c>
      <c r="AN801" t="s">
        <v>1146</v>
      </c>
      <c r="AO801" s="100">
        <v>46262.040405092594</v>
      </c>
      <c r="AP801" t="s">
        <v>1147</v>
      </c>
      <c r="AQ801" t="s">
        <v>2822</v>
      </c>
      <c r="AR801" t="s">
        <v>1257</v>
      </c>
      <c r="AS801" t="s">
        <v>1150</v>
      </c>
      <c r="AT801" t="s">
        <v>2724</v>
      </c>
      <c r="AU801">
        <v>25</v>
      </c>
      <c r="AV801">
        <v>0.75047999999999992</v>
      </c>
      <c r="AW801">
        <v>6.0834680350383474E-2</v>
      </c>
      <c r="AX801">
        <v>8.1061028075876074</v>
      </c>
      <c r="AY801">
        <v>0.20055466868433902</v>
      </c>
      <c r="AZ801">
        <v>13.57562430120389</v>
      </c>
      <c r="BA801">
        <v>3.2028798875720632</v>
      </c>
      <c r="BB801" t="s">
        <v>4619</v>
      </c>
      <c r="BD801" s="98"/>
      <c r="BE801" s="98"/>
      <c r="BF801" t="s">
        <v>1152</v>
      </c>
      <c r="BG801" t="s">
        <v>322</v>
      </c>
      <c r="BH801" t="s">
        <v>1153</v>
      </c>
      <c r="BI801">
        <v>0.20055466868433902</v>
      </c>
      <c r="BJ801" t="s">
        <v>1032</v>
      </c>
      <c r="BK801">
        <v>12.58780401649423</v>
      </c>
      <c r="BL801">
        <v>48.11221168587938</v>
      </c>
      <c r="BM801" t="s">
        <v>1260</v>
      </c>
      <c r="BN801" t="s">
        <v>1154</v>
      </c>
      <c r="BO801">
        <v>2025</v>
      </c>
      <c r="BP801" t="s">
        <v>966</v>
      </c>
      <c r="BQ801">
        <v>47184.386903149854</v>
      </c>
      <c r="BR801">
        <v>95.281561309685017</v>
      </c>
      <c r="BS801" t="s">
        <v>992</v>
      </c>
      <c r="BT801">
        <v>6</v>
      </c>
      <c r="BU801">
        <v>1</v>
      </c>
      <c r="BV801" t="s">
        <v>993</v>
      </c>
      <c r="BW801" t="s">
        <v>943</v>
      </c>
      <c r="BX801" t="s">
        <v>1033</v>
      </c>
      <c r="BY801">
        <v>3.1727893417376754</v>
      </c>
      <c r="BZ801" t="s">
        <v>2573</v>
      </c>
      <c r="CA801" t="s">
        <v>1032</v>
      </c>
      <c r="CB801" t="b">
        <v>1</v>
      </c>
      <c r="CC801" t="b">
        <v>1</v>
      </c>
      <c r="CD801" t="b">
        <v>1</v>
      </c>
      <c r="CE801" t="b">
        <v>1</v>
      </c>
      <c r="CF801" t="b">
        <v>1</v>
      </c>
    </row>
    <row r="802" spans="1:84" x14ac:dyDescent="0.3">
      <c r="A802" t="s">
        <v>2823</v>
      </c>
      <c r="B802" t="s">
        <v>1143</v>
      </c>
      <c r="C802" s="98">
        <v>45663</v>
      </c>
      <c r="D802">
        <v>2025</v>
      </c>
      <c r="E802">
        <v>1</v>
      </c>
      <c r="F802">
        <v>1</v>
      </c>
      <c r="G802" t="s">
        <v>1144</v>
      </c>
      <c r="H802" t="s">
        <v>140</v>
      </c>
      <c r="I802" t="s">
        <v>140</v>
      </c>
      <c r="J802" t="s">
        <v>6</v>
      </c>
      <c r="L802">
        <v>522611</v>
      </c>
      <c r="M802" s="99" t="s">
        <v>180</v>
      </c>
      <c r="N802">
        <v>3</v>
      </c>
      <c r="O802">
        <v>1</v>
      </c>
      <c r="P802">
        <v>2.0958000000000001</v>
      </c>
      <c r="Q802" t="s">
        <v>352</v>
      </c>
      <c r="R802">
        <v>1</v>
      </c>
      <c r="S802">
        <v>1.9576</v>
      </c>
      <c r="T802">
        <v>0.1983</v>
      </c>
      <c r="U802">
        <v>0.69692385274836155</v>
      </c>
      <c r="V802">
        <v>1.3627</v>
      </c>
      <c r="W802">
        <v>1.5609999999999999</v>
      </c>
      <c r="X802">
        <v>1.7593000000000001</v>
      </c>
      <c r="Y802">
        <v>2.1558999999999999</v>
      </c>
      <c r="Z802">
        <v>2.3542000000000001</v>
      </c>
      <c r="AA802">
        <v>2.5525000000000002</v>
      </c>
      <c r="AD802">
        <v>26.16342831769812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 t="s">
        <v>462</v>
      </c>
      <c r="AL802" t="s">
        <v>6</v>
      </c>
      <c r="AM802" t="s">
        <v>1145</v>
      </c>
      <c r="AN802" t="s">
        <v>1146</v>
      </c>
      <c r="AO802" s="100">
        <v>46262.040405092594</v>
      </c>
      <c r="AP802" t="s">
        <v>1147</v>
      </c>
      <c r="AQ802" t="s">
        <v>2824</v>
      </c>
      <c r="AR802" t="s">
        <v>1149</v>
      </c>
      <c r="AS802" t="s">
        <v>1150</v>
      </c>
      <c r="AT802" t="s">
        <v>2724</v>
      </c>
      <c r="AU802">
        <v>25</v>
      </c>
      <c r="AV802">
        <v>1.9486999999999997</v>
      </c>
      <c r="AW802">
        <v>0.15946174306083577</v>
      </c>
      <c r="AX802">
        <v>8.1829806055747838</v>
      </c>
      <c r="AY802">
        <v>0.20055466868433902</v>
      </c>
      <c r="AZ802">
        <v>13.702472667882732</v>
      </c>
      <c r="BA802">
        <v>3.1727893417376754</v>
      </c>
      <c r="BB802" t="s">
        <v>4619</v>
      </c>
      <c r="BD802" s="98"/>
      <c r="BE802" s="98"/>
      <c r="BF802" t="s">
        <v>1152</v>
      </c>
      <c r="BG802" t="s">
        <v>322</v>
      </c>
      <c r="BH802" t="s">
        <v>1153</v>
      </c>
      <c r="BI802">
        <v>0.20055466868433902</v>
      </c>
      <c r="BJ802" t="s">
        <v>1032</v>
      </c>
      <c r="BK802">
        <v>12.460955649815388</v>
      </c>
      <c r="BL802">
        <v>47.62738085584234</v>
      </c>
      <c r="BM802" t="s">
        <v>1260</v>
      </c>
      <c r="BN802" t="s">
        <v>1154</v>
      </c>
      <c r="BO802">
        <v>2025</v>
      </c>
      <c r="BP802" t="s">
        <v>966</v>
      </c>
      <c r="BQ802">
        <v>47184.386903149854</v>
      </c>
      <c r="BR802">
        <v>95.281561309685017</v>
      </c>
      <c r="BS802" t="s">
        <v>992</v>
      </c>
      <c r="BT802">
        <v>6</v>
      </c>
      <c r="BU802">
        <v>1</v>
      </c>
      <c r="BV802" t="s">
        <v>993</v>
      </c>
      <c r="BW802" t="s">
        <v>943</v>
      </c>
      <c r="BX802" t="s">
        <v>1033</v>
      </c>
      <c r="BY802">
        <v>3.1727893417376754</v>
      </c>
      <c r="BZ802" t="s">
        <v>2573</v>
      </c>
      <c r="CA802" t="s">
        <v>1032</v>
      </c>
      <c r="CB802" t="b">
        <v>1</v>
      </c>
      <c r="CC802" t="b">
        <v>1</v>
      </c>
      <c r="CD802" t="b">
        <v>1</v>
      </c>
      <c r="CE802" t="b">
        <v>1</v>
      </c>
      <c r="CF802" t="b">
        <v>1</v>
      </c>
    </row>
    <row r="803" spans="1:84" x14ac:dyDescent="0.3">
      <c r="A803" t="s">
        <v>2825</v>
      </c>
      <c r="B803" t="s">
        <v>1157</v>
      </c>
      <c r="C803" s="98">
        <v>45670</v>
      </c>
      <c r="D803">
        <v>2025</v>
      </c>
      <c r="E803">
        <v>1</v>
      </c>
      <c r="F803">
        <v>1</v>
      </c>
      <c r="G803" t="s">
        <v>1144</v>
      </c>
      <c r="H803" t="s">
        <v>140</v>
      </c>
      <c r="I803" t="s">
        <v>140</v>
      </c>
      <c r="J803" t="s">
        <v>6</v>
      </c>
      <c r="L803">
        <v>522611</v>
      </c>
      <c r="M803" s="99" t="s">
        <v>180</v>
      </c>
      <c r="N803">
        <v>3</v>
      </c>
      <c r="O803">
        <v>2</v>
      </c>
      <c r="P803">
        <v>1.9355</v>
      </c>
      <c r="Q803" t="s">
        <v>352</v>
      </c>
      <c r="R803">
        <v>1</v>
      </c>
      <c r="S803">
        <v>1.9576</v>
      </c>
      <c r="T803">
        <v>0.1983</v>
      </c>
      <c r="U803">
        <v>-0.11144730206757442</v>
      </c>
      <c r="V803">
        <v>1.3627</v>
      </c>
      <c r="W803">
        <v>1.5609999999999999</v>
      </c>
      <c r="X803">
        <v>1.7593000000000001</v>
      </c>
      <c r="Y803">
        <v>2.1558999999999999</v>
      </c>
      <c r="Z803">
        <v>2.3542000000000001</v>
      </c>
      <c r="AA803">
        <v>2.5525000000000002</v>
      </c>
      <c r="AD803">
        <v>26.16342831769812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 t="s">
        <v>462</v>
      </c>
      <c r="AL803" t="s">
        <v>6</v>
      </c>
      <c r="AM803" t="s">
        <v>1145</v>
      </c>
      <c r="AN803" t="s">
        <v>1146</v>
      </c>
      <c r="AO803" s="100">
        <v>46262.040405092594</v>
      </c>
      <c r="AP803" t="s">
        <v>1147</v>
      </c>
      <c r="AQ803" t="s">
        <v>2826</v>
      </c>
      <c r="AR803" t="s">
        <v>1159</v>
      </c>
      <c r="AS803" t="s">
        <v>1150</v>
      </c>
      <c r="AT803" t="s">
        <v>2724</v>
      </c>
      <c r="AU803">
        <v>25</v>
      </c>
      <c r="AV803">
        <v>1.9486999999999997</v>
      </c>
      <c r="AW803">
        <v>0.15946174306083577</v>
      </c>
      <c r="AX803">
        <v>8.1829806055747838</v>
      </c>
      <c r="AY803">
        <v>0.20055466868433902</v>
      </c>
      <c r="AZ803">
        <v>13.702472667882732</v>
      </c>
      <c r="BA803">
        <v>3.1727893417376754</v>
      </c>
      <c r="BB803" t="s">
        <v>4619</v>
      </c>
      <c r="BD803" s="98"/>
      <c r="BE803" s="98"/>
      <c r="BF803" t="s">
        <v>1152</v>
      </c>
      <c r="BG803" t="s">
        <v>322</v>
      </c>
      <c r="BH803" t="s">
        <v>1153</v>
      </c>
      <c r="BI803">
        <v>0.20055466868433902</v>
      </c>
      <c r="BJ803" t="s">
        <v>1032</v>
      </c>
      <c r="BK803">
        <v>12.460955649815388</v>
      </c>
      <c r="BL803">
        <v>47.62738085584234</v>
      </c>
      <c r="BM803" t="s">
        <v>1260</v>
      </c>
      <c r="BN803" t="s">
        <v>1154</v>
      </c>
      <c r="BO803">
        <v>2025</v>
      </c>
      <c r="BP803" t="s">
        <v>966</v>
      </c>
      <c r="BQ803">
        <v>47184.386903149854</v>
      </c>
      <c r="BR803">
        <v>95.281561309685017</v>
      </c>
      <c r="BS803" t="s">
        <v>992</v>
      </c>
      <c r="BT803">
        <v>6</v>
      </c>
      <c r="BU803">
        <v>1</v>
      </c>
      <c r="BV803" t="s">
        <v>993</v>
      </c>
      <c r="BW803" t="s">
        <v>943</v>
      </c>
      <c r="BX803" t="s">
        <v>1033</v>
      </c>
      <c r="BY803">
        <v>3.1727893417376754</v>
      </c>
      <c r="BZ803" t="s">
        <v>2573</v>
      </c>
      <c r="CA803" t="s">
        <v>1032</v>
      </c>
      <c r="CB803" t="b">
        <v>1</v>
      </c>
      <c r="CC803" t="b">
        <v>1</v>
      </c>
      <c r="CD803" t="b">
        <v>1</v>
      </c>
      <c r="CE803" t="b">
        <v>1</v>
      </c>
      <c r="CF803" t="b">
        <v>1</v>
      </c>
    </row>
    <row r="804" spans="1:84" x14ac:dyDescent="0.3">
      <c r="A804" t="s">
        <v>2827</v>
      </c>
      <c r="B804" t="s">
        <v>1161</v>
      </c>
      <c r="C804" s="98">
        <v>45677</v>
      </c>
      <c r="D804">
        <v>2025</v>
      </c>
      <c r="E804">
        <v>1</v>
      </c>
      <c r="F804">
        <v>1</v>
      </c>
      <c r="G804" t="s">
        <v>1144</v>
      </c>
      <c r="H804" t="s">
        <v>140</v>
      </c>
      <c r="I804" t="s">
        <v>140</v>
      </c>
      <c r="J804" t="s">
        <v>6</v>
      </c>
      <c r="L804">
        <v>522611</v>
      </c>
      <c r="M804" s="99" t="s">
        <v>180</v>
      </c>
      <c r="N804">
        <v>3</v>
      </c>
      <c r="O804">
        <v>3</v>
      </c>
      <c r="P804">
        <v>2.0283000000000002</v>
      </c>
      <c r="Q804" t="s">
        <v>352</v>
      </c>
      <c r="R804">
        <v>1</v>
      </c>
      <c r="S804">
        <v>1.9576</v>
      </c>
      <c r="T804">
        <v>0.1983</v>
      </c>
      <c r="U804">
        <v>0.35653050932930008</v>
      </c>
      <c r="V804">
        <v>1.3627</v>
      </c>
      <c r="W804">
        <v>1.5609999999999999</v>
      </c>
      <c r="X804">
        <v>1.7593000000000001</v>
      </c>
      <c r="Y804">
        <v>2.1558999999999999</v>
      </c>
      <c r="Z804">
        <v>2.3542000000000001</v>
      </c>
      <c r="AA804">
        <v>2.5525000000000002</v>
      </c>
      <c r="AD804">
        <v>26.16342831769812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 t="s">
        <v>462</v>
      </c>
      <c r="AL804" t="s">
        <v>6</v>
      </c>
      <c r="AM804" t="s">
        <v>1145</v>
      </c>
      <c r="AN804" t="s">
        <v>1146</v>
      </c>
      <c r="AO804" s="100">
        <v>46262.040405092594</v>
      </c>
      <c r="AP804" t="s">
        <v>1147</v>
      </c>
      <c r="AQ804" t="s">
        <v>2828</v>
      </c>
      <c r="AR804" t="s">
        <v>1163</v>
      </c>
      <c r="AS804" t="s">
        <v>1150</v>
      </c>
      <c r="AT804" t="s">
        <v>2724</v>
      </c>
      <c r="AU804">
        <v>25</v>
      </c>
      <c r="AV804">
        <v>1.9486999999999997</v>
      </c>
      <c r="AW804">
        <v>0.15946174306083577</v>
      </c>
      <c r="AX804">
        <v>8.1829806055747838</v>
      </c>
      <c r="AY804">
        <v>0.20055466868433902</v>
      </c>
      <c r="AZ804">
        <v>13.702472667882732</v>
      </c>
      <c r="BA804">
        <v>3.1727893417376754</v>
      </c>
      <c r="BB804" t="s">
        <v>4619</v>
      </c>
      <c r="BD804" s="98"/>
      <c r="BE804" s="98"/>
      <c r="BF804" t="s">
        <v>1152</v>
      </c>
      <c r="BG804" t="s">
        <v>322</v>
      </c>
      <c r="BH804" t="s">
        <v>1153</v>
      </c>
      <c r="BI804">
        <v>0.20055466868433902</v>
      </c>
      <c r="BJ804" t="s">
        <v>1032</v>
      </c>
      <c r="BK804">
        <v>12.460955649815388</v>
      </c>
      <c r="BL804">
        <v>47.62738085584234</v>
      </c>
      <c r="BM804" t="s">
        <v>1260</v>
      </c>
      <c r="BN804" t="s">
        <v>1154</v>
      </c>
      <c r="BO804">
        <v>2025</v>
      </c>
      <c r="BP804" t="s">
        <v>966</v>
      </c>
      <c r="BQ804">
        <v>47184.386903149854</v>
      </c>
      <c r="BR804">
        <v>95.281561309685017</v>
      </c>
      <c r="BS804" t="s">
        <v>992</v>
      </c>
      <c r="BT804">
        <v>6</v>
      </c>
      <c r="BU804">
        <v>1</v>
      </c>
      <c r="BV804" t="s">
        <v>993</v>
      </c>
      <c r="BW804" t="s">
        <v>943</v>
      </c>
      <c r="BX804" t="s">
        <v>1033</v>
      </c>
      <c r="BY804">
        <v>3.1727893417376754</v>
      </c>
      <c r="BZ804" t="s">
        <v>2573</v>
      </c>
      <c r="CA804" t="s">
        <v>1032</v>
      </c>
      <c r="CB804" t="b">
        <v>1</v>
      </c>
      <c r="CC804" t="b">
        <v>1</v>
      </c>
      <c r="CD804" t="b">
        <v>1</v>
      </c>
      <c r="CE804" t="b">
        <v>1</v>
      </c>
      <c r="CF804" t="b">
        <v>1</v>
      </c>
    </row>
    <row r="805" spans="1:84" x14ac:dyDescent="0.3">
      <c r="A805" t="s">
        <v>2829</v>
      </c>
      <c r="B805" t="s">
        <v>1165</v>
      </c>
      <c r="C805" s="98">
        <v>45684</v>
      </c>
      <c r="D805">
        <v>2025</v>
      </c>
      <c r="E805">
        <v>1</v>
      </c>
      <c r="F805">
        <v>1</v>
      </c>
      <c r="G805" t="s">
        <v>1144</v>
      </c>
      <c r="H805" t="s">
        <v>140</v>
      </c>
      <c r="I805" t="s">
        <v>140</v>
      </c>
      <c r="J805" t="s">
        <v>6</v>
      </c>
      <c r="L805">
        <v>522611</v>
      </c>
      <c r="M805" s="99" t="s">
        <v>180</v>
      </c>
      <c r="N805">
        <v>3</v>
      </c>
      <c r="O805">
        <v>4</v>
      </c>
      <c r="P805">
        <v>1.9785999999999999</v>
      </c>
      <c r="Q805" t="s">
        <v>352</v>
      </c>
      <c r="R805">
        <v>1</v>
      </c>
      <c r="S805">
        <v>1.9576</v>
      </c>
      <c r="T805">
        <v>0.1983</v>
      </c>
      <c r="U805">
        <v>0.10590015128592994</v>
      </c>
      <c r="V805">
        <v>1.3627</v>
      </c>
      <c r="W805">
        <v>1.5609999999999999</v>
      </c>
      <c r="X805">
        <v>1.7593000000000001</v>
      </c>
      <c r="Y805">
        <v>2.1558999999999999</v>
      </c>
      <c r="Z805">
        <v>2.3542000000000001</v>
      </c>
      <c r="AA805">
        <v>2.5525000000000002</v>
      </c>
      <c r="AD805">
        <v>26.16342831769812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 t="s">
        <v>462</v>
      </c>
      <c r="AL805" t="s">
        <v>6</v>
      </c>
      <c r="AM805" t="s">
        <v>1145</v>
      </c>
      <c r="AN805" t="s">
        <v>1146</v>
      </c>
      <c r="AO805" s="100">
        <v>46262.040405092594</v>
      </c>
      <c r="AP805" t="s">
        <v>1147</v>
      </c>
      <c r="AQ805" t="s">
        <v>2830</v>
      </c>
      <c r="AR805" t="s">
        <v>1167</v>
      </c>
      <c r="AS805" t="s">
        <v>1150</v>
      </c>
      <c r="AT805" t="s">
        <v>2724</v>
      </c>
      <c r="AU805">
        <v>25</v>
      </c>
      <c r="AV805">
        <v>1.9486999999999997</v>
      </c>
      <c r="AW805">
        <v>0.15946174306083577</v>
      </c>
      <c r="AX805">
        <v>8.1829806055747838</v>
      </c>
      <c r="AY805">
        <v>0.20055466868433902</v>
      </c>
      <c r="AZ805">
        <v>13.702472667882732</v>
      </c>
      <c r="BA805">
        <v>3.1727893417376754</v>
      </c>
      <c r="BB805" t="s">
        <v>4619</v>
      </c>
      <c r="BD805" s="98"/>
      <c r="BE805" s="98"/>
      <c r="BF805" t="s">
        <v>1152</v>
      </c>
      <c r="BG805" t="s">
        <v>322</v>
      </c>
      <c r="BH805" t="s">
        <v>1153</v>
      </c>
      <c r="BI805">
        <v>0.20055466868433902</v>
      </c>
      <c r="BJ805" t="s">
        <v>1032</v>
      </c>
      <c r="BK805">
        <v>12.460955649815388</v>
      </c>
      <c r="BL805">
        <v>47.62738085584234</v>
      </c>
      <c r="BM805" t="s">
        <v>1260</v>
      </c>
      <c r="BN805" t="s">
        <v>1154</v>
      </c>
      <c r="BO805">
        <v>2025</v>
      </c>
      <c r="BP805" t="s">
        <v>966</v>
      </c>
      <c r="BQ805">
        <v>47184.386903149854</v>
      </c>
      <c r="BR805">
        <v>95.281561309685017</v>
      </c>
      <c r="BS805" t="s">
        <v>992</v>
      </c>
      <c r="BT805">
        <v>6</v>
      </c>
      <c r="BU805">
        <v>1</v>
      </c>
      <c r="BV805" t="s">
        <v>993</v>
      </c>
      <c r="BW805" t="s">
        <v>943</v>
      </c>
      <c r="BX805" t="s">
        <v>1033</v>
      </c>
      <c r="BY805">
        <v>3.1727893417376754</v>
      </c>
      <c r="BZ805" t="s">
        <v>2573</v>
      </c>
      <c r="CA805" t="s">
        <v>1032</v>
      </c>
      <c r="CB805" t="b">
        <v>1</v>
      </c>
      <c r="CC805" t="b">
        <v>1</v>
      </c>
      <c r="CD805" t="b">
        <v>1</v>
      </c>
      <c r="CE805" t="b">
        <v>1</v>
      </c>
      <c r="CF805" t="b">
        <v>1</v>
      </c>
    </row>
    <row r="806" spans="1:84" x14ac:dyDescent="0.3">
      <c r="A806" t="s">
        <v>2831</v>
      </c>
      <c r="B806" t="s">
        <v>1169</v>
      </c>
      <c r="C806" s="98">
        <v>45691</v>
      </c>
      <c r="D806">
        <v>2025</v>
      </c>
      <c r="E806">
        <v>2</v>
      </c>
      <c r="F806">
        <v>1</v>
      </c>
      <c r="G806" t="s">
        <v>1170</v>
      </c>
      <c r="H806" t="s">
        <v>140</v>
      </c>
      <c r="I806" t="s">
        <v>140</v>
      </c>
      <c r="J806" t="s">
        <v>6</v>
      </c>
      <c r="L806">
        <v>522611</v>
      </c>
      <c r="M806" s="99" t="s">
        <v>180</v>
      </c>
      <c r="N806">
        <v>3</v>
      </c>
      <c r="O806">
        <v>5</v>
      </c>
      <c r="P806">
        <v>2.0828000000000002</v>
      </c>
      <c r="Q806" t="s">
        <v>352</v>
      </c>
      <c r="R806">
        <v>1</v>
      </c>
      <c r="S806">
        <v>1.9576</v>
      </c>
      <c r="T806">
        <v>0.1983</v>
      </c>
      <c r="U806">
        <v>0.63136661623802415</v>
      </c>
      <c r="V806">
        <v>1.3627</v>
      </c>
      <c r="W806">
        <v>1.5609999999999999</v>
      </c>
      <c r="X806">
        <v>1.7593000000000001</v>
      </c>
      <c r="Y806">
        <v>2.1558999999999999</v>
      </c>
      <c r="Z806">
        <v>2.3542000000000001</v>
      </c>
      <c r="AA806">
        <v>2.5525000000000002</v>
      </c>
      <c r="AD806">
        <v>26.16342831769812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 t="s">
        <v>462</v>
      </c>
      <c r="AL806" t="s">
        <v>6</v>
      </c>
      <c r="AM806" t="s">
        <v>1145</v>
      </c>
      <c r="AN806" t="s">
        <v>1146</v>
      </c>
      <c r="AO806" s="100">
        <v>46262.040405092594</v>
      </c>
      <c r="AP806" t="s">
        <v>1147</v>
      </c>
      <c r="AQ806" t="s">
        <v>2832</v>
      </c>
      <c r="AR806" t="s">
        <v>1172</v>
      </c>
      <c r="AS806" t="s">
        <v>1150</v>
      </c>
      <c r="AT806" t="s">
        <v>2724</v>
      </c>
      <c r="AU806">
        <v>25</v>
      </c>
      <c r="AV806">
        <v>1.9486999999999997</v>
      </c>
      <c r="AW806">
        <v>0.15946174306083577</v>
      </c>
      <c r="AX806">
        <v>8.1829806055747838</v>
      </c>
      <c r="AY806">
        <v>0.20055466868433902</v>
      </c>
      <c r="AZ806">
        <v>13.702472667882732</v>
      </c>
      <c r="BA806">
        <v>3.1727893417376754</v>
      </c>
      <c r="BB806" t="s">
        <v>4619</v>
      </c>
      <c r="BD806" s="98"/>
      <c r="BE806" s="98"/>
      <c r="BF806" t="s">
        <v>1152</v>
      </c>
      <c r="BG806" t="s">
        <v>322</v>
      </c>
      <c r="BH806" t="s">
        <v>1153</v>
      </c>
      <c r="BI806">
        <v>0.20055466868433902</v>
      </c>
      <c r="BJ806" t="s">
        <v>1032</v>
      </c>
      <c r="BK806">
        <v>12.460955649815388</v>
      </c>
      <c r="BL806">
        <v>47.62738085584234</v>
      </c>
      <c r="BM806" t="s">
        <v>1260</v>
      </c>
      <c r="BN806" t="s">
        <v>1154</v>
      </c>
      <c r="BO806">
        <v>2025</v>
      </c>
      <c r="BP806" t="s">
        <v>966</v>
      </c>
      <c r="BQ806">
        <v>47184.386903149854</v>
      </c>
      <c r="BR806">
        <v>95.281561309685017</v>
      </c>
      <c r="BS806" t="s">
        <v>992</v>
      </c>
      <c r="BT806">
        <v>6</v>
      </c>
      <c r="BU806">
        <v>1</v>
      </c>
      <c r="BV806" t="s">
        <v>993</v>
      </c>
      <c r="BW806" t="s">
        <v>943</v>
      </c>
      <c r="BX806" t="s">
        <v>1033</v>
      </c>
      <c r="BY806">
        <v>3.1727893417376754</v>
      </c>
      <c r="BZ806" t="s">
        <v>2573</v>
      </c>
      <c r="CA806" t="s">
        <v>1032</v>
      </c>
      <c r="CB806" t="b">
        <v>1</v>
      </c>
      <c r="CC806" t="b">
        <v>1</v>
      </c>
      <c r="CD806" t="b">
        <v>1</v>
      </c>
      <c r="CE806" t="b">
        <v>1</v>
      </c>
      <c r="CF806" t="b">
        <v>1</v>
      </c>
    </row>
    <row r="807" spans="1:84" x14ac:dyDescent="0.3">
      <c r="A807" t="s">
        <v>2833</v>
      </c>
      <c r="B807" t="s">
        <v>1174</v>
      </c>
      <c r="C807" s="98">
        <v>45698</v>
      </c>
      <c r="D807">
        <v>2025</v>
      </c>
      <c r="E807">
        <v>2</v>
      </c>
      <c r="F807">
        <v>1</v>
      </c>
      <c r="G807" t="s">
        <v>1170</v>
      </c>
      <c r="H807" t="s">
        <v>140</v>
      </c>
      <c r="I807" t="s">
        <v>140</v>
      </c>
      <c r="J807" t="s">
        <v>6</v>
      </c>
      <c r="L807">
        <v>522611</v>
      </c>
      <c r="M807" s="99" t="s">
        <v>180</v>
      </c>
      <c r="N807">
        <v>3</v>
      </c>
      <c r="O807">
        <v>6</v>
      </c>
      <c r="P807">
        <v>1.9651000000000001</v>
      </c>
      <c r="Q807" t="s">
        <v>352</v>
      </c>
      <c r="R807">
        <v>1</v>
      </c>
      <c r="S807">
        <v>1.9576</v>
      </c>
      <c r="T807">
        <v>0.1983</v>
      </c>
      <c r="U807">
        <v>3.7821482602118317E-2</v>
      </c>
      <c r="V807">
        <v>1.3627</v>
      </c>
      <c r="W807">
        <v>1.5609999999999999</v>
      </c>
      <c r="X807">
        <v>1.7593000000000001</v>
      </c>
      <c r="Y807">
        <v>2.1558999999999999</v>
      </c>
      <c r="Z807">
        <v>2.3542000000000001</v>
      </c>
      <c r="AA807">
        <v>2.5525000000000002</v>
      </c>
      <c r="AD807">
        <v>26.16342831769812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 t="s">
        <v>462</v>
      </c>
      <c r="AL807" t="s">
        <v>6</v>
      </c>
      <c r="AM807" t="s">
        <v>1145</v>
      </c>
      <c r="AN807" t="s">
        <v>1146</v>
      </c>
      <c r="AO807" s="100">
        <v>46262.040405092594</v>
      </c>
      <c r="AP807" t="s">
        <v>1147</v>
      </c>
      <c r="AQ807" t="s">
        <v>2834</v>
      </c>
      <c r="AR807" t="s">
        <v>1176</v>
      </c>
      <c r="AS807" t="s">
        <v>1150</v>
      </c>
      <c r="AT807" t="s">
        <v>2724</v>
      </c>
      <c r="AU807">
        <v>25</v>
      </c>
      <c r="AV807">
        <v>1.9486999999999997</v>
      </c>
      <c r="AW807">
        <v>0.15946174306083577</v>
      </c>
      <c r="AX807">
        <v>8.1829806055747838</v>
      </c>
      <c r="AY807">
        <v>0.20055466868433902</v>
      </c>
      <c r="AZ807">
        <v>13.702472667882732</v>
      </c>
      <c r="BA807">
        <v>3.1727893417376754</v>
      </c>
      <c r="BB807" t="s">
        <v>4619</v>
      </c>
      <c r="BD807" s="98"/>
      <c r="BE807" s="98"/>
      <c r="BF807" t="s">
        <v>1152</v>
      </c>
      <c r="BG807" t="s">
        <v>322</v>
      </c>
      <c r="BH807" t="s">
        <v>1153</v>
      </c>
      <c r="BI807">
        <v>0.20055466868433902</v>
      </c>
      <c r="BJ807" t="s">
        <v>1032</v>
      </c>
      <c r="BK807">
        <v>12.460955649815388</v>
      </c>
      <c r="BL807">
        <v>47.62738085584234</v>
      </c>
      <c r="BM807" t="s">
        <v>1260</v>
      </c>
      <c r="BN807" t="s">
        <v>1154</v>
      </c>
      <c r="BO807">
        <v>2025</v>
      </c>
      <c r="BP807" t="s">
        <v>966</v>
      </c>
      <c r="BQ807">
        <v>47184.386903149854</v>
      </c>
      <c r="BR807">
        <v>95.281561309685017</v>
      </c>
      <c r="BS807" t="s">
        <v>992</v>
      </c>
      <c r="BT807">
        <v>6</v>
      </c>
      <c r="BU807">
        <v>1</v>
      </c>
      <c r="BV807" t="s">
        <v>993</v>
      </c>
      <c r="BW807" t="s">
        <v>943</v>
      </c>
      <c r="BX807" t="s">
        <v>1033</v>
      </c>
      <c r="BY807">
        <v>3.1727893417376754</v>
      </c>
      <c r="BZ807" t="s">
        <v>2573</v>
      </c>
      <c r="CA807" t="s">
        <v>1032</v>
      </c>
      <c r="CB807" t="b">
        <v>1</v>
      </c>
      <c r="CC807" t="b">
        <v>1</v>
      </c>
      <c r="CD807" t="b">
        <v>1</v>
      </c>
      <c r="CE807" t="b">
        <v>1</v>
      </c>
      <c r="CF807" t="b">
        <v>1</v>
      </c>
    </row>
    <row r="808" spans="1:84" x14ac:dyDescent="0.3">
      <c r="A808" t="s">
        <v>2835</v>
      </c>
      <c r="B808" t="s">
        <v>1178</v>
      </c>
      <c r="C808" s="98">
        <v>45705</v>
      </c>
      <c r="D808">
        <v>2025</v>
      </c>
      <c r="E808">
        <v>2</v>
      </c>
      <c r="F808">
        <v>1</v>
      </c>
      <c r="G808" t="s">
        <v>1170</v>
      </c>
      <c r="H808" t="s">
        <v>140</v>
      </c>
      <c r="I808" t="s">
        <v>140</v>
      </c>
      <c r="J808" t="s">
        <v>6</v>
      </c>
      <c r="L808">
        <v>522611</v>
      </c>
      <c r="M808" s="99" t="s">
        <v>180</v>
      </c>
      <c r="N808">
        <v>3</v>
      </c>
      <c r="O808">
        <v>7</v>
      </c>
      <c r="P808">
        <v>2.2027000000000001</v>
      </c>
      <c r="Q808" t="s">
        <v>352</v>
      </c>
      <c r="R808">
        <v>1</v>
      </c>
      <c r="S808">
        <v>1.9576</v>
      </c>
      <c r="T808">
        <v>0.1983</v>
      </c>
      <c r="U808">
        <v>1.2360060514372169</v>
      </c>
      <c r="V808">
        <v>1.3627</v>
      </c>
      <c r="W808">
        <v>1.5609999999999999</v>
      </c>
      <c r="X808">
        <v>1.7593000000000001</v>
      </c>
      <c r="Y808">
        <v>2.1558999999999999</v>
      </c>
      <c r="Z808">
        <v>2.3542000000000001</v>
      </c>
      <c r="AA808">
        <v>2.5525000000000002</v>
      </c>
      <c r="AD808">
        <v>26.16342831769812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 t="s">
        <v>462</v>
      </c>
      <c r="AL808" t="s">
        <v>6</v>
      </c>
      <c r="AM808" t="s">
        <v>1145</v>
      </c>
      <c r="AN808" t="s">
        <v>1146</v>
      </c>
      <c r="AO808" s="100">
        <v>46262.040405092594</v>
      </c>
      <c r="AP808" t="s">
        <v>1147</v>
      </c>
      <c r="AQ808" t="s">
        <v>2836</v>
      </c>
      <c r="AR808" t="s">
        <v>1180</v>
      </c>
      <c r="AS808" t="s">
        <v>1150</v>
      </c>
      <c r="AT808" t="s">
        <v>2724</v>
      </c>
      <c r="AU808">
        <v>25</v>
      </c>
      <c r="AV808">
        <v>1.9486999999999997</v>
      </c>
      <c r="AW808">
        <v>0.15946174306083577</v>
      </c>
      <c r="AX808">
        <v>8.1829806055747838</v>
      </c>
      <c r="AY808">
        <v>0.20055466868433902</v>
      </c>
      <c r="AZ808">
        <v>13.702472667882732</v>
      </c>
      <c r="BA808">
        <v>3.1727893417376754</v>
      </c>
      <c r="BB808" t="s">
        <v>4619</v>
      </c>
      <c r="BD808" s="98"/>
      <c r="BE808" s="98"/>
      <c r="BF808" t="s">
        <v>1152</v>
      </c>
      <c r="BG808" t="s">
        <v>322</v>
      </c>
      <c r="BH808" t="s">
        <v>1153</v>
      </c>
      <c r="BI808">
        <v>0.20055466868433902</v>
      </c>
      <c r="BJ808" t="s">
        <v>1032</v>
      </c>
      <c r="BK808">
        <v>12.460955649815388</v>
      </c>
      <c r="BL808">
        <v>47.62738085584234</v>
      </c>
      <c r="BM808" t="s">
        <v>1260</v>
      </c>
      <c r="BN808" t="s">
        <v>1154</v>
      </c>
      <c r="BO808">
        <v>2025</v>
      </c>
      <c r="BP808" t="s">
        <v>966</v>
      </c>
      <c r="BQ808">
        <v>47184.386903149854</v>
      </c>
      <c r="BR808">
        <v>95.281561309685017</v>
      </c>
      <c r="BS808" t="s">
        <v>992</v>
      </c>
      <c r="BT808">
        <v>6</v>
      </c>
      <c r="BU808">
        <v>1</v>
      </c>
      <c r="BV808" t="s">
        <v>993</v>
      </c>
      <c r="BW808" t="s">
        <v>943</v>
      </c>
      <c r="BX808" t="s">
        <v>1033</v>
      </c>
      <c r="BY808">
        <v>3.1727893417376754</v>
      </c>
      <c r="BZ808" t="s">
        <v>2573</v>
      </c>
      <c r="CA808" t="s">
        <v>1032</v>
      </c>
      <c r="CB808" t="b">
        <v>1</v>
      </c>
      <c r="CC808" t="b">
        <v>1</v>
      </c>
      <c r="CD808" t="b">
        <v>1</v>
      </c>
      <c r="CE808" t="b">
        <v>1</v>
      </c>
      <c r="CF808" t="b">
        <v>1</v>
      </c>
    </row>
    <row r="809" spans="1:84" x14ac:dyDescent="0.3">
      <c r="A809" t="s">
        <v>2837</v>
      </c>
      <c r="B809" t="s">
        <v>1182</v>
      </c>
      <c r="C809" s="98">
        <v>45712</v>
      </c>
      <c r="D809">
        <v>2025</v>
      </c>
      <c r="E809">
        <v>2</v>
      </c>
      <c r="F809">
        <v>1</v>
      </c>
      <c r="G809" t="s">
        <v>1170</v>
      </c>
      <c r="H809" t="s">
        <v>140</v>
      </c>
      <c r="I809" t="s">
        <v>140</v>
      </c>
      <c r="J809" t="s">
        <v>6</v>
      </c>
      <c r="L809">
        <v>522611</v>
      </c>
      <c r="M809" s="99" t="s">
        <v>180</v>
      </c>
      <c r="N809">
        <v>3</v>
      </c>
      <c r="O809">
        <v>8</v>
      </c>
      <c r="P809">
        <v>2.0419</v>
      </c>
      <c r="Q809" t="s">
        <v>352</v>
      </c>
      <c r="R809">
        <v>1</v>
      </c>
      <c r="S809">
        <v>1.9576</v>
      </c>
      <c r="T809">
        <v>0.1983</v>
      </c>
      <c r="U809">
        <v>0.42511346444780657</v>
      </c>
      <c r="V809">
        <v>1.3627</v>
      </c>
      <c r="W809">
        <v>1.5609999999999999</v>
      </c>
      <c r="X809">
        <v>1.7593000000000001</v>
      </c>
      <c r="Y809">
        <v>2.1558999999999999</v>
      </c>
      <c r="Z809">
        <v>2.3542000000000001</v>
      </c>
      <c r="AA809">
        <v>2.5525000000000002</v>
      </c>
      <c r="AD809">
        <v>26.16342831769812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 t="s">
        <v>462</v>
      </c>
      <c r="AL809" t="s">
        <v>6</v>
      </c>
      <c r="AM809" t="s">
        <v>1145</v>
      </c>
      <c r="AN809" t="s">
        <v>1146</v>
      </c>
      <c r="AO809" s="100">
        <v>46262.040405092594</v>
      </c>
      <c r="AP809" t="s">
        <v>1147</v>
      </c>
      <c r="AQ809" t="s">
        <v>2838</v>
      </c>
      <c r="AR809" t="s">
        <v>1184</v>
      </c>
      <c r="AS809" t="s">
        <v>1150</v>
      </c>
      <c r="AT809" t="s">
        <v>2724</v>
      </c>
      <c r="AU809">
        <v>25</v>
      </c>
      <c r="AV809">
        <v>1.9486999999999997</v>
      </c>
      <c r="AW809">
        <v>0.15946174306083577</v>
      </c>
      <c r="AX809">
        <v>8.1829806055747838</v>
      </c>
      <c r="AY809">
        <v>0.20055466868433902</v>
      </c>
      <c r="AZ809">
        <v>13.702472667882732</v>
      </c>
      <c r="BA809">
        <v>3.1727893417376754</v>
      </c>
      <c r="BB809" t="s">
        <v>4619</v>
      </c>
      <c r="BD809" s="98"/>
      <c r="BE809" s="98"/>
      <c r="BF809" t="s">
        <v>1152</v>
      </c>
      <c r="BG809" t="s">
        <v>322</v>
      </c>
      <c r="BH809" t="s">
        <v>1153</v>
      </c>
      <c r="BI809">
        <v>0.20055466868433902</v>
      </c>
      <c r="BJ809" t="s">
        <v>1032</v>
      </c>
      <c r="BK809">
        <v>12.460955649815388</v>
      </c>
      <c r="BL809">
        <v>47.62738085584234</v>
      </c>
      <c r="BM809" t="s">
        <v>1260</v>
      </c>
      <c r="BN809" t="s">
        <v>1154</v>
      </c>
      <c r="BO809">
        <v>2025</v>
      </c>
      <c r="BP809" t="s">
        <v>966</v>
      </c>
      <c r="BQ809">
        <v>47184.386903149854</v>
      </c>
      <c r="BR809">
        <v>95.281561309685017</v>
      </c>
      <c r="BS809" t="s">
        <v>992</v>
      </c>
      <c r="BT809">
        <v>6</v>
      </c>
      <c r="BU809">
        <v>1</v>
      </c>
      <c r="BV809" t="s">
        <v>993</v>
      </c>
      <c r="BW809" t="s">
        <v>943</v>
      </c>
      <c r="BX809" t="s">
        <v>1033</v>
      </c>
      <c r="BY809">
        <v>3.1727893417376754</v>
      </c>
      <c r="BZ809" t="s">
        <v>2573</v>
      </c>
      <c r="CA809" t="s">
        <v>1032</v>
      </c>
      <c r="CB809" t="b">
        <v>1</v>
      </c>
      <c r="CC809" t="b">
        <v>1</v>
      </c>
      <c r="CD809" t="b">
        <v>1</v>
      </c>
      <c r="CE809" t="b">
        <v>1</v>
      </c>
      <c r="CF809" t="b">
        <v>1</v>
      </c>
    </row>
    <row r="810" spans="1:84" x14ac:dyDescent="0.3">
      <c r="A810" t="s">
        <v>2839</v>
      </c>
      <c r="B810" t="s">
        <v>1186</v>
      </c>
      <c r="C810" s="98">
        <v>45719</v>
      </c>
      <c r="D810">
        <v>2025</v>
      </c>
      <c r="E810">
        <v>3</v>
      </c>
      <c r="F810">
        <v>1</v>
      </c>
      <c r="G810" t="s">
        <v>1187</v>
      </c>
      <c r="H810" t="s">
        <v>140</v>
      </c>
      <c r="I810" t="s">
        <v>140</v>
      </c>
      <c r="J810" t="s">
        <v>6</v>
      </c>
      <c r="L810">
        <v>522611</v>
      </c>
      <c r="M810" s="99" t="s">
        <v>180</v>
      </c>
      <c r="N810">
        <v>3</v>
      </c>
      <c r="O810">
        <v>9</v>
      </c>
      <c r="P810">
        <v>2.0352999999999999</v>
      </c>
      <c r="Q810" t="s">
        <v>352</v>
      </c>
      <c r="R810">
        <v>1</v>
      </c>
      <c r="S810">
        <v>1.9576</v>
      </c>
      <c r="T810">
        <v>0.1983</v>
      </c>
      <c r="U810">
        <v>0.3918305597579419</v>
      </c>
      <c r="V810">
        <v>1.3627</v>
      </c>
      <c r="W810">
        <v>1.5609999999999999</v>
      </c>
      <c r="X810">
        <v>1.7593000000000001</v>
      </c>
      <c r="Y810">
        <v>2.1558999999999999</v>
      </c>
      <c r="Z810">
        <v>2.3542000000000001</v>
      </c>
      <c r="AA810">
        <v>2.5525000000000002</v>
      </c>
      <c r="AD810">
        <v>26.16342831769812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 t="s">
        <v>462</v>
      </c>
      <c r="AL810" t="s">
        <v>6</v>
      </c>
      <c r="AM810" t="s">
        <v>1145</v>
      </c>
      <c r="AN810" t="s">
        <v>1146</v>
      </c>
      <c r="AO810" s="100">
        <v>46262.040405092594</v>
      </c>
      <c r="AP810" t="s">
        <v>1147</v>
      </c>
      <c r="AQ810" t="s">
        <v>2840</v>
      </c>
      <c r="AR810" t="s">
        <v>1189</v>
      </c>
      <c r="AS810" t="s">
        <v>1150</v>
      </c>
      <c r="AT810" t="s">
        <v>2724</v>
      </c>
      <c r="AU810">
        <v>25</v>
      </c>
      <c r="AV810">
        <v>1.9486999999999997</v>
      </c>
      <c r="AW810">
        <v>0.15946174306083577</v>
      </c>
      <c r="AX810">
        <v>8.1829806055747838</v>
      </c>
      <c r="AY810">
        <v>0.20055466868433902</v>
      </c>
      <c r="AZ810">
        <v>13.702472667882732</v>
      </c>
      <c r="BA810">
        <v>3.1727893417376754</v>
      </c>
      <c r="BB810" t="s">
        <v>4619</v>
      </c>
      <c r="BD810" s="98"/>
      <c r="BE810" s="98"/>
      <c r="BF810" t="s">
        <v>1152</v>
      </c>
      <c r="BG810" t="s">
        <v>322</v>
      </c>
      <c r="BH810" t="s">
        <v>1153</v>
      </c>
      <c r="BI810">
        <v>0.20055466868433902</v>
      </c>
      <c r="BJ810" t="s">
        <v>1032</v>
      </c>
      <c r="BK810">
        <v>12.460955649815388</v>
      </c>
      <c r="BL810">
        <v>47.62738085584234</v>
      </c>
      <c r="BM810" t="s">
        <v>1260</v>
      </c>
      <c r="BN810" t="s">
        <v>1154</v>
      </c>
      <c r="BO810">
        <v>2025</v>
      </c>
      <c r="BP810" t="s">
        <v>966</v>
      </c>
      <c r="BQ810">
        <v>47184.386903149854</v>
      </c>
      <c r="BR810">
        <v>95.281561309685017</v>
      </c>
      <c r="BS810" t="s">
        <v>992</v>
      </c>
      <c r="BT810">
        <v>6</v>
      </c>
      <c r="BU810">
        <v>1</v>
      </c>
      <c r="BV810" t="s">
        <v>993</v>
      </c>
      <c r="BW810" t="s">
        <v>943</v>
      </c>
      <c r="BX810" t="s">
        <v>1033</v>
      </c>
      <c r="BY810">
        <v>3.1727893417376754</v>
      </c>
      <c r="BZ810" t="s">
        <v>2573</v>
      </c>
      <c r="CA810" t="s">
        <v>1032</v>
      </c>
      <c r="CB810" t="b">
        <v>1</v>
      </c>
      <c r="CC810" t="b">
        <v>1</v>
      </c>
      <c r="CD810" t="b">
        <v>1</v>
      </c>
      <c r="CE810" t="b">
        <v>1</v>
      </c>
      <c r="CF810" t="b">
        <v>1</v>
      </c>
    </row>
    <row r="811" spans="1:84" x14ac:dyDescent="0.3">
      <c r="A811" t="s">
        <v>2841</v>
      </c>
      <c r="B811" t="s">
        <v>1191</v>
      </c>
      <c r="C811" s="98">
        <v>45726</v>
      </c>
      <c r="D811">
        <v>2025</v>
      </c>
      <c r="E811">
        <v>3</v>
      </c>
      <c r="F811">
        <v>1</v>
      </c>
      <c r="G811" t="s">
        <v>1187</v>
      </c>
      <c r="H811" t="s">
        <v>140</v>
      </c>
      <c r="I811" t="s">
        <v>140</v>
      </c>
      <c r="J811" t="s">
        <v>6</v>
      </c>
      <c r="L811">
        <v>522611</v>
      </c>
      <c r="M811" s="99" t="s">
        <v>180</v>
      </c>
      <c r="N811">
        <v>3</v>
      </c>
      <c r="O811">
        <v>10</v>
      </c>
      <c r="P811">
        <v>2.0388999999999999</v>
      </c>
      <c r="Q811" t="s">
        <v>352</v>
      </c>
      <c r="R811">
        <v>1</v>
      </c>
      <c r="S811">
        <v>1.9576</v>
      </c>
      <c r="T811">
        <v>0.1983</v>
      </c>
      <c r="U811">
        <v>0.40998487140695877</v>
      </c>
      <c r="V811">
        <v>1.3627</v>
      </c>
      <c r="W811">
        <v>1.5609999999999999</v>
      </c>
      <c r="X811">
        <v>1.7593000000000001</v>
      </c>
      <c r="Y811">
        <v>2.1558999999999999</v>
      </c>
      <c r="Z811">
        <v>2.3542000000000001</v>
      </c>
      <c r="AA811">
        <v>2.5525000000000002</v>
      </c>
      <c r="AD811">
        <v>26.16342831769812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 t="s">
        <v>462</v>
      </c>
      <c r="AL811" t="s">
        <v>6</v>
      </c>
      <c r="AM811" t="s">
        <v>1145</v>
      </c>
      <c r="AN811" t="s">
        <v>1146</v>
      </c>
      <c r="AO811" s="100">
        <v>46262.040405092594</v>
      </c>
      <c r="AP811" t="s">
        <v>1147</v>
      </c>
      <c r="AQ811" t="s">
        <v>2842</v>
      </c>
      <c r="AR811" t="s">
        <v>1193</v>
      </c>
      <c r="AS811" t="s">
        <v>1150</v>
      </c>
      <c r="AT811" t="s">
        <v>2724</v>
      </c>
      <c r="AU811">
        <v>25</v>
      </c>
      <c r="AV811">
        <v>1.9486999999999997</v>
      </c>
      <c r="AW811">
        <v>0.15946174306083577</v>
      </c>
      <c r="AX811">
        <v>8.1829806055747838</v>
      </c>
      <c r="AY811">
        <v>0.20055466868433902</v>
      </c>
      <c r="AZ811">
        <v>13.702472667882732</v>
      </c>
      <c r="BA811">
        <v>3.1727893417376754</v>
      </c>
      <c r="BB811" t="s">
        <v>4619</v>
      </c>
      <c r="BD811" s="98"/>
      <c r="BE811" s="98"/>
      <c r="BF811" t="s">
        <v>1152</v>
      </c>
      <c r="BG811" t="s">
        <v>322</v>
      </c>
      <c r="BH811" t="s">
        <v>1153</v>
      </c>
      <c r="BI811">
        <v>0.20055466868433902</v>
      </c>
      <c r="BJ811" t="s">
        <v>1032</v>
      </c>
      <c r="BK811">
        <v>12.460955649815388</v>
      </c>
      <c r="BL811">
        <v>47.62738085584234</v>
      </c>
      <c r="BM811" t="s">
        <v>1260</v>
      </c>
      <c r="BN811" t="s">
        <v>1154</v>
      </c>
      <c r="BO811">
        <v>2025</v>
      </c>
      <c r="BP811" t="s">
        <v>966</v>
      </c>
      <c r="BQ811">
        <v>47184.386903149854</v>
      </c>
      <c r="BR811">
        <v>95.281561309685017</v>
      </c>
      <c r="BS811" t="s">
        <v>992</v>
      </c>
      <c r="BT811">
        <v>6</v>
      </c>
      <c r="BU811">
        <v>1</v>
      </c>
      <c r="BV811" t="s">
        <v>993</v>
      </c>
      <c r="BW811" t="s">
        <v>943</v>
      </c>
      <c r="BX811" t="s">
        <v>1033</v>
      </c>
      <c r="BY811">
        <v>3.1727893417376754</v>
      </c>
      <c r="BZ811" t="s">
        <v>2573</v>
      </c>
      <c r="CA811" t="s">
        <v>1032</v>
      </c>
      <c r="CB811" t="b">
        <v>1</v>
      </c>
      <c r="CC811" t="b">
        <v>1</v>
      </c>
      <c r="CD811" t="b">
        <v>1</v>
      </c>
      <c r="CE811" t="b">
        <v>1</v>
      </c>
      <c r="CF811" t="b">
        <v>1</v>
      </c>
    </row>
    <row r="812" spans="1:84" x14ac:dyDescent="0.3">
      <c r="A812" t="s">
        <v>2843</v>
      </c>
      <c r="B812" t="s">
        <v>1195</v>
      </c>
      <c r="C812" s="98">
        <v>45733</v>
      </c>
      <c r="D812">
        <v>2025</v>
      </c>
      <c r="E812">
        <v>3</v>
      </c>
      <c r="F812">
        <v>1</v>
      </c>
      <c r="G812" t="s">
        <v>1187</v>
      </c>
      <c r="H812" t="s">
        <v>140</v>
      </c>
      <c r="I812" t="s">
        <v>140</v>
      </c>
      <c r="J812" t="s">
        <v>6</v>
      </c>
      <c r="L812">
        <v>522611</v>
      </c>
      <c r="M812" s="99" t="s">
        <v>180</v>
      </c>
      <c r="N812">
        <v>3</v>
      </c>
      <c r="O812">
        <v>11</v>
      </c>
      <c r="P812">
        <v>1.6687000000000001</v>
      </c>
      <c r="Q812" t="s">
        <v>352</v>
      </c>
      <c r="R812">
        <v>1</v>
      </c>
      <c r="S812">
        <v>1.9576</v>
      </c>
      <c r="T812">
        <v>0.1983</v>
      </c>
      <c r="U812">
        <v>-1.4568835098335851</v>
      </c>
      <c r="V812">
        <v>1.3627</v>
      </c>
      <c r="W812">
        <v>1.5609999999999999</v>
      </c>
      <c r="X812">
        <v>1.7593000000000001</v>
      </c>
      <c r="Y812">
        <v>2.1558999999999999</v>
      </c>
      <c r="Z812">
        <v>2.3542000000000001</v>
      </c>
      <c r="AA812">
        <v>2.5525000000000002</v>
      </c>
      <c r="AD812">
        <v>26.16342831769812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 t="s">
        <v>462</v>
      </c>
      <c r="AL812" t="s">
        <v>6</v>
      </c>
      <c r="AM812" t="s">
        <v>1145</v>
      </c>
      <c r="AN812" t="s">
        <v>1146</v>
      </c>
      <c r="AO812" s="100">
        <v>46262.040405092594</v>
      </c>
      <c r="AP812" t="s">
        <v>1147</v>
      </c>
      <c r="AQ812" t="s">
        <v>2844</v>
      </c>
      <c r="AR812" t="s">
        <v>1197</v>
      </c>
      <c r="AS812" t="s">
        <v>1150</v>
      </c>
      <c r="AT812" t="s">
        <v>2724</v>
      </c>
      <c r="AU812">
        <v>25</v>
      </c>
      <c r="AV812">
        <v>1.9486999999999997</v>
      </c>
      <c r="AW812">
        <v>0.15946174306083577</v>
      </c>
      <c r="AX812">
        <v>8.1829806055747838</v>
      </c>
      <c r="AY812">
        <v>0.20055466868433902</v>
      </c>
      <c r="AZ812">
        <v>13.702472667882732</v>
      </c>
      <c r="BA812">
        <v>3.1727893417376754</v>
      </c>
      <c r="BB812" t="s">
        <v>4619</v>
      </c>
      <c r="BD812" s="98"/>
      <c r="BE812" s="98"/>
      <c r="BF812" t="s">
        <v>1152</v>
      </c>
      <c r="BG812" t="s">
        <v>322</v>
      </c>
      <c r="BH812" t="s">
        <v>1153</v>
      </c>
      <c r="BI812">
        <v>0.20055466868433902</v>
      </c>
      <c r="BJ812" t="s">
        <v>1032</v>
      </c>
      <c r="BK812">
        <v>12.460955649815388</v>
      </c>
      <c r="BL812">
        <v>47.62738085584234</v>
      </c>
      <c r="BM812" t="s">
        <v>1260</v>
      </c>
      <c r="BN812" t="s">
        <v>1154</v>
      </c>
      <c r="BO812">
        <v>2025</v>
      </c>
      <c r="BP812" t="s">
        <v>966</v>
      </c>
      <c r="BQ812">
        <v>47184.386903149854</v>
      </c>
      <c r="BR812">
        <v>95.281561309685017</v>
      </c>
      <c r="BS812" t="s">
        <v>992</v>
      </c>
      <c r="BT812">
        <v>6</v>
      </c>
      <c r="BU812">
        <v>1</v>
      </c>
      <c r="BV812" t="s">
        <v>993</v>
      </c>
      <c r="BW812" t="s">
        <v>943</v>
      </c>
      <c r="BX812" t="s">
        <v>1033</v>
      </c>
      <c r="BY812">
        <v>3.1727893417376754</v>
      </c>
      <c r="BZ812" t="s">
        <v>2573</v>
      </c>
      <c r="CA812" t="s">
        <v>1032</v>
      </c>
      <c r="CB812" t="b">
        <v>1</v>
      </c>
      <c r="CC812" t="b">
        <v>1</v>
      </c>
      <c r="CD812" t="b">
        <v>1</v>
      </c>
      <c r="CE812" t="b">
        <v>1</v>
      </c>
      <c r="CF812" t="b">
        <v>1</v>
      </c>
    </row>
    <row r="813" spans="1:84" x14ac:dyDescent="0.3">
      <c r="A813" t="s">
        <v>2845</v>
      </c>
      <c r="B813" t="s">
        <v>1199</v>
      </c>
      <c r="C813" s="98">
        <v>45740</v>
      </c>
      <c r="D813">
        <v>2025</v>
      </c>
      <c r="E813">
        <v>3</v>
      </c>
      <c r="F813">
        <v>1</v>
      </c>
      <c r="G813" t="s">
        <v>1187</v>
      </c>
      <c r="H813" t="s">
        <v>140</v>
      </c>
      <c r="I813" t="s">
        <v>140</v>
      </c>
      <c r="J813" t="s">
        <v>6</v>
      </c>
      <c r="L813">
        <v>522611</v>
      </c>
      <c r="M813" s="99" t="s">
        <v>180</v>
      </c>
      <c r="N813">
        <v>3</v>
      </c>
      <c r="O813">
        <v>12</v>
      </c>
      <c r="P813">
        <v>1.9249000000000001</v>
      </c>
      <c r="Q813" t="s">
        <v>352</v>
      </c>
      <c r="R813">
        <v>1</v>
      </c>
      <c r="S813">
        <v>1.9576</v>
      </c>
      <c r="T813">
        <v>0.1983</v>
      </c>
      <c r="U813">
        <v>-0.16490166414523424</v>
      </c>
      <c r="V813">
        <v>1.3627</v>
      </c>
      <c r="W813">
        <v>1.5609999999999999</v>
      </c>
      <c r="X813">
        <v>1.7593000000000001</v>
      </c>
      <c r="Y813">
        <v>2.1558999999999999</v>
      </c>
      <c r="Z813">
        <v>2.3542000000000001</v>
      </c>
      <c r="AA813">
        <v>2.5525000000000002</v>
      </c>
      <c r="AD813">
        <v>26.16342831769812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 t="s">
        <v>462</v>
      </c>
      <c r="AL813" t="s">
        <v>6</v>
      </c>
      <c r="AM813" t="s">
        <v>1145</v>
      </c>
      <c r="AN813" t="s">
        <v>1146</v>
      </c>
      <c r="AO813" s="100">
        <v>46262.040405092594</v>
      </c>
      <c r="AP813" t="s">
        <v>1147</v>
      </c>
      <c r="AQ813" t="s">
        <v>2846</v>
      </c>
      <c r="AR813" t="s">
        <v>1201</v>
      </c>
      <c r="AS813" t="s">
        <v>1150</v>
      </c>
      <c r="AT813" t="s">
        <v>2724</v>
      </c>
      <c r="AU813">
        <v>25</v>
      </c>
      <c r="AV813">
        <v>1.9486999999999997</v>
      </c>
      <c r="AW813">
        <v>0.15946174306083577</v>
      </c>
      <c r="AX813">
        <v>8.1829806055747838</v>
      </c>
      <c r="AY813">
        <v>0.20055466868433902</v>
      </c>
      <c r="AZ813">
        <v>13.702472667882732</v>
      </c>
      <c r="BA813">
        <v>3.1727893417376754</v>
      </c>
      <c r="BB813" t="s">
        <v>4619</v>
      </c>
      <c r="BD813" s="98"/>
      <c r="BE813" s="98"/>
      <c r="BF813" t="s">
        <v>1152</v>
      </c>
      <c r="BG813" t="s">
        <v>322</v>
      </c>
      <c r="BH813" t="s">
        <v>1153</v>
      </c>
      <c r="BI813">
        <v>0.20055466868433902</v>
      </c>
      <c r="BJ813" t="s">
        <v>1032</v>
      </c>
      <c r="BK813">
        <v>12.460955649815388</v>
      </c>
      <c r="BL813">
        <v>47.62738085584234</v>
      </c>
      <c r="BM813" t="s">
        <v>1260</v>
      </c>
      <c r="BN813" t="s">
        <v>1154</v>
      </c>
      <c r="BO813">
        <v>2025</v>
      </c>
      <c r="BP813" t="s">
        <v>966</v>
      </c>
      <c r="BQ813">
        <v>47184.386903149854</v>
      </c>
      <c r="BR813">
        <v>95.281561309685017</v>
      </c>
      <c r="BS813" t="s">
        <v>992</v>
      </c>
      <c r="BT813">
        <v>6</v>
      </c>
      <c r="BU813">
        <v>1</v>
      </c>
      <c r="BV813" t="s">
        <v>993</v>
      </c>
      <c r="BW813" t="s">
        <v>943</v>
      </c>
      <c r="BX813" t="s">
        <v>1033</v>
      </c>
      <c r="BY813">
        <v>3.1727893417376754</v>
      </c>
      <c r="BZ813" t="s">
        <v>2573</v>
      </c>
      <c r="CA813" t="s">
        <v>1032</v>
      </c>
      <c r="CB813" t="b">
        <v>1</v>
      </c>
      <c r="CC813" t="b">
        <v>1</v>
      </c>
      <c r="CD813" t="b">
        <v>1</v>
      </c>
      <c r="CE813" t="b">
        <v>1</v>
      </c>
      <c r="CF813" t="b">
        <v>1</v>
      </c>
    </row>
    <row r="814" spans="1:84" x14ac:dyDescent="0.3">
      <c r="A814" t="s">
        <v>2847</v>
      </c>
      <c r="B814" t="s">
        <v>1203</v>
      </c>
      <c r="C814" s="98">
        <v>45747</v>
      </c>
      <c r="D814">
        <v>2025</v>
      </c>
      <c r="E814">
        <v>3</v>
      </c>
      <c r="F814">
        <v>1</v>
      </c>
      <c r="G814" t="s">
        <v>1187</v>
      </c>
      <c r="H814" t="s">
        <v>140</v>
      </c>
      <c r="I814" t="s">
        <v>140</v>
      </c>
      <c r="J814" t="s">
        <v>6</v>
      </c>
      <c r="L814">
        <v>522611</v>
      </c>
      <c r="M814" s="99" t="s">
        <v>180</v>
      </c>
      <c r="N814">
        <v>3</v>
      </c>
      <c r="O814">
        <v>13</v>
      </c>
      <c r="P814">
        <v>1.9061999999999999</v>
      </c>
      <c r="Q814" t="s">
        <v>352</v>
      </c>
      <c r="R814">
        <v>1</v>
      </c>
      <c r="S814">
        <v>1.9576</v>
      </c>
      <c r="T814">
        <v>0.1983</v>
      </c>
      <c r="U814">
        <v>-0.25920322743318258</v>
      </c>
      <c r="V814">
        <v>1.3627</v>
      </c>
      <c r="W814">
        <v>1.5609999999999999</v>
      </c>
      <c r="X814">
        <v>1.7593000000000001</v>
      </c>
      <c r="Y814">
        <v>2.1558999999999999</v>
      </c>
      <c r="Z814">
        <v>2.3542000000000001</v>
      </c>
      <c r="AA814">
        <v>2.5525000000000002</v>
      </c>
      <c r="AD814">
        <v>26.16342831769812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 t="s">
        <v>462</v>
      </c>
      <c r="AL814" t="s">
        <v>6</v>
      </c>
      <c r="AM814" t="s">
        <v>1145</v>
      </c>
      <c r="AN814" t="s">
        <v>1146</v>
      </c>
      <c r="AO814" s="100">
        <v>46262.040405092594</v>
      </c>
      <c r="AP814" t="s">
        <v>1147</v>
      </c>
      <c r="AQ814" t="s">
        <v>2848</v>
      </c>
      <c r="AR814" t="s">
        <v>1205</v>
      </c>
      <c r="AS814" t="s">
        <v>1150</v>
      </c>
      <c r="AT814" t="s">
        <v>2724</v>
      </c>
      <c r="AU814">
        <v>25</v>
      </c>
      <c r="AV814">
        <v>1.9486999999999997</v>
      </c>
      <c r="AW814">
        <v>0.15946174306083577</v>
      </c>
      <c r="AX814">
        <v>8.1829806055747838</v>
      </c>
      <c r="AY814">
        <v>0.20055466868433902</v>
      </c>
      <c r="AZ814">
        <v>13.702472667882732</v>
      </c>
      <c r="BA814">
        <v>3.1727893417376754</v>
      </c>
      <c r="BB814" t="s">
        <v>4619</v>
      </c>
      <c r="BD814" s="98"/>
      <c r="BE814" s="98"/>
      <c r="BF814" t="s">
        <v>1152</v>
      </c>
      <c r="BG814" t="s">
        <v>322</v>
      </c>
      <c r="BH814" t="s">
        <v>1153</v>
      </c>
      <c r="BI814">
        <v>0.20055466868433902</v>
      </c>
      <c r="BJ814" t="s">
        <v>1032</v>
      </c>
      <c r="BK814">
        <v>12.460955649815388</v>
      </c>
      <c r="BL814">
        <v>47.62738085584234</v>
      </c>
      <c r="BM814" t="s">
        <v>1260</v>
      </c>
      <c r="BN814" t="s">
        <v>1154</v>
      </c>
      <c r="BO814">
        <v>2025</v>
      </c>
      <c r="BP814" t="s">
        <v>966</v>
      </c>
      <c r="BQ814">
        <v>47184.386903149854</v>
      </c>
      <c r="BR814">
        <v>95.281561309685017</v>
      </c>
      <c r="BS814" t="s">
        <v>992</v>
      </c>
      <c r="BT814">
        <v>6</v>
      </c>
      <c r="BU814">
        <v>1</v>
      </c>
      <c r="BV814" t="s">
        <v>993</v>
      </c>
      <c r="BW814" t="s">
        <v>943</v>
      </c>
      <c r="BX814" t="s">
        <v>1033</v>
      </c>
      <c r="BY814">
        <v>3.1727893417376754</v>
      </c>
      <c r="BZ814" t="s">
        <v>2573</v>
      </c>
      <c r="CA814" t="s">
        <v>1032</v>
      </c>
      <c r="CB814" t="b">
        <v>1</v>
      </c>
      <c r="CC814" t="b">
        <v>1</v>
      </c>
      <c r="CD814" t="b">
        <v>1</v>
      </c>
      <c r="CE814" t="b">
        <v>1</v>
      </c>
      <c r="CF814" t="b">
        <v>1</v>
      </c>
    </row>
    <row r="815" spans="1:84" x14ac:dyDescent="0.3">
      <c r="A815" t="s">
        <v>2849</v>
      </c>
      <c r="B815" t="s">
        <v>1207</v>
      </c>
      <c r="C815" s="98">
        <v>45754</v>
      </c>
      <c r="D815">
        <v>2025</v>
      </c>
      <c r="E815">
        <v>4</v>
      </c>
      <c r="F815">
        <v>2</v>
      </c>
      <c r="G815" t="s">
        <v>1208</v>
      </c>
      <c r="H815" t="s">
        <v>140</v>
      </c>
      <c r="I815" t="s">
        <v>140</v>
      </c>
      <c r="J815" t="s">
        <v>6</v>
      </c>
      <c r="L815">
        <v>522611</v>
      </c>
      <c r="M815" s="99" t="s">
        <v>180</v>
      </c>
      <c r="N815">
        <v>3</v>
      </c>
      <c r="O815">
        <v>14</v>
      </c>
      <c r="P815">
        <v>1.9986999999999999</v>
      </c>
      <c r="Q815" t="s">
        <v>352</v>
      </c>
      <c r="R815">
        <v>1</v>
      </c>
      <c r="S815">
        <v>1.9576</v>
      </c>
      <c r="T815">
        <v>0.1983</v>
      </c>
      <c r="U815">
        <v>0.20726172465960621</v>
      </c>
      <c r="V815">
        <v>1.3627</v>
      </c>
      <c r="W815">
        <v>1.5609999999999999</v>
      </c>
      <c r="X815">
        <v>1.7593000000000001</v>
      </c>
      <c r="Y815">
        <v>2.1558999999999999</v>
      </c>
      <c r="Z815">
        <v>2.3542000000000001</v>
      </c>
      <c r="AA815">
        <v>2.5525000000000002</v>
      </c>
      <c r="AD815">
        <v>26.16342831769812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 t="s">
        <v>462</v>
      </c>
      <c r="AL815" t="s">
        <v>6</v>
      </c>
      <c r="AM815" t="s">
        <v>1145</v>
      </c>
      <c r="AN815" t="s">
        <v>1146</v>
      </c>
      <c r="AO815" s="100">
        <v>46262.040405092594</v>
      </c>
      <c r="AP815" t="s">
        <v>1147</v>
      </c>
      <c r="AQ815" t="s">
        <v>2850</v>
      </c>
      <c r="AR815" t="s">
        <v>1210</v>
      </c>
      <c r="AS815" t="s">
        <v>1150</v>
      </c>
      <c r="AT815" t="s">
        <v>2724</v>
      </c>
      <c r="AU815">
        <v>25</v>
      </c>
      <c r="AV815">
        <v>1.9486999999999997</v>
      </c>
      <c r="AW815">
        <v>0.15946174306083577</v>
      </c>
      <c r="AX815">
        <v>8.1829806055747838</v>
      </c>
      <c r="AY815">
        <v>0.20055466868433902</v>
      </c>
      <c r="AZ815">
        <v>13.702472667882732</v>
      </c>
      <c r="BA815">
        <v>3.1727893417376754</v>
      </c>
      <c r="BB815" t="s">
        <v>4619</v>
      </c>
      <c r="BD815" s="98"/>
      <c r="BE815" s="98"/>
      <c r="BF815" t="s">
        <v>1152</v>
      </c>
      <c r="BG815" t="s">
        <v>322</v>
      </c>
      <c r="BH815" t="s">
        <v>1153</v>
      </c>
      <c r="BI815">
        <v>0.20055466868433902</v>
      </c>
      <c r="BJ815" t="s">
        <v>1032</v>
      </c>
      <c r="BK815">
        <v>12.460955649815388</v>
      </c>
      <c r="BL815">
        <v>47.62738085584234</v>
      </c>
      <c r="BM815" t="s">
        <v>1260</v>
      </c>
      <c r="BN815" t="s">
        <v>1154</v>
      </c>
      <c r="BO815">
        <v>2025</v>
      </c>
      <c r="BP815" t="s">
        <v>966</v>
      </c>
      <c r="BQ815">
        <v>47184.386903149854</v>
      </c>
      <c r="BR815">
        <v>95.281561309685017</v>
      </c>
      <c r="BS815" t="s">
        <v>992</v>
      </c>
      <c r="BT815">
        <v>6</v>
      </c>
      <c r="BU815">
        <v>1</v>
      </c>
      <c r="BV815" t="s">
        <v>993</v>
      </c>
      <c r="BW815" t="s">
        <v>943</v>
      </c>
      <c r="BX815" t="s">
        <v>1033</v>
      </c>
      <c r="BY815">
        <v>3.1727893417376754</v>
      </c>
      <c r="BZ815" t="s">
        <v>2573</v>
      </c>
      <c r="CA815" t="s">
        <v>1032</v>
      </c>
      <c r="CB815" t="b">
        <v>1</v>
      </c>
      <c r="CC815" t="b">
        <v>1</v>
      </c>
      <c r="CD815" t="b">
        <v>1</v>
      </c>
      <c r="CE815" t="b">
        <v>1</v>
      </c>
      <c r="CF815" t="b">
        <v>1</v>
      </c>
    </row>
    <row r="816" spans="1:84" x14ac:dyDescent="0.3">
      <c r="A816" t="s">
        <v>2851</v>
      </c>
      <c r="B816" t="s">
        <v>1212</v>
      </c>
      <c r="C816" s="98">
        <v>45761</v>
      </c>
      <c r="D816">
        <v>2025</v>
      </c>
      <c r="E816">
        <v>4</v>
      </c>
      <c r="F816">
        <v>2</v>
      </c>
      <c r="G816" t="s">
        <v>1208</v>
      </c>
      <c r="H816" t="s">
        <v>140</v>
      </c>
      <c r="I816" t="s">
        <v>140</v>
      </c>
      <c r="J816" t="s">
        <v>6</v>
      </c>
      <c r="L816">
        <v>522611</v>
      </c>
      <c r="M816" s="99" t="s">
        <v>180</v>
      </c>
      <c r="N816">
        <v>3</v>
      </c>
      <c r="O816">
        <v>15</v>
      </c>
      <c r="P816">
        <v>1.6880999999999999</v>
      </c>
      <c r="Q816" t="s">
        <v>352</v>
      </c>
      <c r="R816">
        <v>1</v>
      </c>
      <c r="S816">
        <v>1.9576</v>
      </c>
      <c r="T816">
        <v>0.1983</v>
      </c>
      <c r="U816">
        <v>-1.359051941502774</v>
      </c>
      <c r="V816">
        <v>1.3627</v>
      </c>
      <c r="W816">
        <v>1.5609999999999999</v>
      </c>
      <c r="X816">
        <v>1.7593000000000001</v>
      </c>
      <c r="Y816">
        <v>2.1558999999999999</v>
      </c>
      <c r="Z816">
        <v>2.3542000000000001</v>
      </c>
      <c r="AA816">
        <v>2.5525000000000002</v>
      </c>
      <c r="AD816">
        <v>26.16342831769812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 t="s">
        <v>462</v>
      </c>
      <c r="AL816" t="s">
        <v>6</v>
      </c>
      <c r="AM816" t="s">
        <v>1145</v>
      </c>
      <c r="AN816" t="s">
        <v>1146</v>
      </c>
      <c r="AO816" s="100">
        <v>46262.040405092594</v>
      </c>
      <c r="AP816" t="s">
        <v>1147</v>
      </c>
      <c r="AQ816" t="s">
        <v>2852</v>
      </c>
      <c r="AR816" t="s">
        <v>1215</v>
      </c>
      <c r="AS816" t="s">
        <v>1150</v>
      </c>
      <c r="AT816" t="s">
        <v>2724</v>
      </c>
      <c r="AU816">
        <v>25</v>
      </c>
      <c r="AV816">
        <v>1.9486999999999997</v>
      </c>
      <c r="AW816">
        <v>0.15946174306083577</v>
      </c>
      <c r="AX816">
        <v>8.1829806055747838</v>
      </c>
      <c r="AY816">
        <v>0.20055466868433902</v>
      </c>
      <c r="AZ816">
        <v>13.702472667882732</v>
      </c>
      <c r="BA816">
        <v>3.1727893417376754</v>
      </c>
      <c r="BB816" t="s">
        <v>4619</v>
      </c>
      <c r="BD816" s="98"/>
      <c r="BE816" s="98"/>
      <c r="BF816" t="s">
        <v>1152</v>
      </c>
      <c r="BG816" t="s">
        <v>322</v>
      </c>
      <c r="BH816" t="s">
        <v>1153</v>
      </c>
      <c r="BI816">
        <v>0.20055466868433902</v>
      </c>
      <c r="BJ816" t="s">
        <v>1032</v>
      </c>
      <c r="BK816">
        <v>12.460955649815388</v>
      </c>
      <c r="BL816">
        <v>47.62738085584234</v>
      </c>
      <c r="BM816" t="s">
        <v>1260</v>
      </c>
      <c r="BN816" t="s">
        <v>1154</v>
      </c>
      <c r="BO816">
        <v>2025</v>
      </c>
      <c r="BP816" t="s">
        <v>966</v>
      </c>
      <c r="BQ816">
        <v>47184.386903149854</v>
      </c>
      <c r="BR816">
        <v>95.281561309685017</v>
      </c>
      <c r="BS816" t="s">
        <v>992</v>
      </c>
      <c r="BT816">
        <v>6</v>
      </c>
      <c r="BU816">
        <v>1</v>
      </c>
      <c r="BV816" t="s">
        <v>993</v>
      </c>
      <c r="BW816" t="s">
        <v>943</v>
      </c>
      <c r="BX816" t="s">
        <v>1033</v>
      </c>
      <c r="BY816">
        <v>3.1727893417376754</v>
      </c>
      <c r="BZ816" t="s">
        <v>2573</v>
      </c>
      <c r="CA816" t="s">
        <v>1032</v>
      </c>
      <c r="CB816" t="b">
        <v>1</v>
      </c>
      <c r="CC816" t="b">
        <v>1</v>
      </c>
      <c r="CD816" t="b">
        <v>1</v>
      </c>
      <c r="CE816" t="b">
        <v>1</v>
      </c>
      <c r="CF816" t="b">
        <v>1</v>
      </c>
    </row>
    <row r="817" spans="1:84" x14ac:dyDescent="0.3">
      <c r="A817" t="s">
        <v>2853</v>
      </c>
      <c r="B817" t="s">
        <v>1217</v>
      </c>
      <c r="C817" s="98">
        <v>45768</v>
      </c>
      <c r="D817">
        <v>2025</v>
      </c>
      <c r="E817">
        <v>4</v>
      </c>
      <c r="F817">
        <v>2</v>
      </c>
      <c r="G817" t="s">
        <v>1208</v>
      </c>
      <c r="H817" t="s">
        <v>140</v>
      </c>
      <c r="I817" t="s">
        <v>140</v>
      </c>
      <c r="J817" t="s">
        <v>6</v>
      </c>
      <c r="L817">
        <v>522611</v>
      </c>
      <c r="M817" s="99" t="s">
        <v>180</v>
      </c>
      <c r="N817">
        <v>3</v>
      </c>
      <c r="O817">
        <v>16</v>
      </c>
      <c r="P817">
        <v>2.2816000000000001</v>
      </c>
      <c r="Q817" t="s">
        <v>352</v>
      </c>
      <c r="R817">
        <v>1</v>
      </c>
      <c r="S817">
        <v>1.9576</v>
      </c>
      <c r="T817">
        <v>0.1983</v>
      </c>
      <c r="U817">
        <v>1.6338880484114979</v>
      </c>
      <c r="V817">
        <v>1.3627</v>
      </c>
      <c r="W817">
        <v>1.5609999999999999</v>
      </c>
      <c r="X817">
        <v>1.7593000000000001</v>
      </c>
      <c r="Y817">
        <v>2.1558999999999999</v>
      </c>
      <c r="Z817">
        <v>2.3542000000000001</v>
      </c>
      <c r="AA817">
        <v>2.5525000000000002</v>
      </c>
      <c r="AD817">
        <v>26.16342831769812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 t="s">
        <v>462</v>
      </c>
      <c r="AL817" t="s">
        <v>6</v>
      </c>
      <c r="AM817" t="s">
        <v>1145</v>
      </c>
      <c r="AN817" t="s">
        <v>1146</v>
      </c>
      <c r="AO817" s="100">
        <v>46262.040405092594</v>
      </c>
      <c r="AP817" t="s">
        <v>1147</v>
      </c>
      <c r="AQ817" t="s">
        <v>2854</v>
      </c>
      <c r="AR817" t="s">
        <v>1219</v>
      </c>
      <c r="AS817" t="s">
        <v>1150</v>
      </c>
      <c r="AT817" t="s">
        <v>2724</v>
      </c>
      <c r="AU817">
        <v>25</v>
      </c>
      <c r="AV817">
        <v>1.9486999999999997</v>
      </c>
      <c r="AW817">
        <v>0.15946174306083577</v>
      </c>
      <c r="AX817">
        <v>8.1829806055747838</v>
      </c>
      <c r="AY817">
        <v>0.20055466868433902</v>
      </c>
      <c r="AZ817">
        <v>13.702472667882732</v>
      </c>
      <c r="BA817">
        <v>3.1727893417376754</v>
      </c>
      <c r="BB817" t="s">
        <v>4619</v>
      </c>
      <c r="BD817" s="98"/>
      <c r="BE817" s="98"/>
      <c r="BF817" t="s">
        <v>1152</v>
      </c>
      <c r="BG817" t="s">
        <v>322</v>
      </c>
      <c r="BH817" t="s">
        <v>1153</v>
      </c>
      <c r="BI817">
        <v>0.20055466868433902</v>
      </c>
      <c r="BJ817" t="s">
        <v>1032</v>
      </c>
      <c r="BK817">
        <v>12.460955649815388</v>
      </c>
      <c r="BL817">
        <v>47.62738085584234</v>
      </c>
      <c r="BM817" t="s">
        <v>1260</v>
      </c>
      <c r="BN817" t="s">
        <v>1154</v>
      </c>
      <c r="BO817">
        <v>2025</v>
      </c>
      <c r="BP817" t="s">
        <v>966</v>
      </c>
      <c r="BQ817">
        <v>47184.386903149854</v>
      </c>
      <c r="BR817">
        <v>95.281561309685017</v>
      </c>
      <c r="BS817" t="s">
        <v>992</v>
      </c>
      <c r="BT817">
        <v>6</v>
      </c>
      <c r="BU817">
        <v>1</v>
      </c>
      <c r="BV817" t="s">
        <v>993</v>
      </c>
      <c r="BW817" t="s">
        <v>943</v>
      </c>
      <c r="BX817" t="s">
        <v>1033</v>
      </c>
      <c r="BY817">
        <v>3.1727893417376754</v>
      </c>
      <c r="BZ817" t="s">
        <v>2573</v>
      </c>
      <c r="CA817" t="s">
        <v>1032</v>
      </c>
      <c r="CB817" t="b">
        <v>1</v>
      </c>
      <c r="CC817" t="b">
        <v>1</v>
      </c>
      <c r="CD817" t="b">
        <v>1</v>
      </c>
      <c r="CE817" t="b">
        <v>1</v>
      </c>
      <c r="CF817" t="b">
        <v>1</v>
      </c>
    </row>
    <row r="818" spans="1:84" x14ac:dyDescent="0.3">
      <c r="A818" t="s">
        <v>2855</v>
      </c>
      <c r="B818" t="s">
        <v>1221</v>
      </c>
      <c r="C818" s="98">
        <v>45775</v>
      </c>
      <c r="D818">
        <v>2025</v>
      </c>
      <c r="E818">
        <v>4</v>
      </c>
      <c r="F818">
        <v>2</v>
      </c>
      <c r="G818" t="s">
        <v>1208</v>
      </c>
      <c r="H818" t="s">
        <v>140</v>
      </c>
      <c r="I818" t="s">
        <v>140</v>
      </c>
      <c r="J818" t="s">
        <v>6</v>
      </c>
      <c r="L818">
        <v>522611</v>
      </c>
      <c r="M818" s="99" t="s">
        <v>180</v>
      </c>
      <c r="N818">
        <v>3</v>
      </c>
      <c r="O818">
        <v>17</v>
      </c>
      <c r="P818">
        <v>1.9782999999999999</v>
      </c>
      <c r="Q818" t="s">
        <v>352</v>
      </c>
      <c r="R818">
        <v>1</v>
      </c>
      <c r="S818">
        <v>1.9576</v>
      </c>
      <c r="T818">
        <v>0.1983</v>
      </c>
      <c r="U818">
        <v>0.10438729198184539</v>
      </c>
      <c r="V818">
        <v>1.3627</v>
      </c>
      <c r="W818">
        <v>1.5609999999999999</v>
      </c>
      <c r="X818">
        <v>1.7593000000000001</v>
      </c>
      <c r="Y818">
        <v>2.1558999999999999</v>
      </c>
      <c r="Z818">
        <v>2.3542000000000001</v>
      </c>
      <c r="AA818">
        <v>2.5525000000000002</v>
      </c>
      <c r="AD818">
        <v>26.16342831769812</v>
      </c>
      <c r="AE818">
        <v>0</v>
      </c>
      <c r="AF818">
        <v>0</v>
      </c>
      <c r="AG818">
        <v>0</v>
      </c>
      <c r="AH818">
        <v>0</v>
      </c>
      <c r="AI818">
        <v>1</v>
      </c>
      <c r="AJ818">
        <v>0</v>
      </c>
      <c r="AK818" t="s">
        <v>1213</v>
      </c>
      <c r="AL818" t="s">
        <v>6</v>
      </c>
      <c r="AM818" t="s">
        <v>1145</v>
      </c>
      <c r="AN818" t="s">
        <v>1146</v>
      </c>
      <c r="AO818" s="100">
        <v>46262.040405092594</v>
      </c>
      <c r="AP818" t="s">
        <v>1147</v>
      </c>
      <c r="AQ818" t="s">
        <v>2856</v>
      </c>
      <c r="AR818" t="s">
        <v>1223</v>
      </c>
      <c r="AS818" t="s">
        <v>1150</v>
      </c>
      <c r="AT818" t="s">
        <v>2724</v>
      </c>
      <c r="AU818">
        <v>25</v>
      </c>
      <c r="AV818">
        <v>1.9486999999999997</v>
      </c>
      <c r="AW818">
        <v>0.15946174306083577</v>
      </c>
      <c r="AX818">
        <v>8.1829806055747838</v>
      </c>
      <c r="AY818">
        <v>0.20055466868433902</v>
      </c>
      <c r="AZ818">
        <v>13.702472667882732</v>
      </c>
      <c r="BA818">
        <v>3.1727893417376754</v>
      </c>
      <c r="BB818" t="s">
        <v>4619</v>
      </c>
      <c r="BD818" s="98"/>
      <c r="BE818" s="98"/>
      <c r="BF818" t="s">
        <v>1152</v>
      </c>
      <c r="BG818" t="s">
        <v>322</v>
      </c>
      <c r="BH818" t="s">
        <v>1153</v>
      </c>
      <c r="BI818">
        <v>0.20055466868433902</v>
      </c>
      <c r="BJ818" t="s">
        <v>1032</v>
      </c>
      <c r="BK818">
        <v>12.460955649815388</v>
      </c>
      <c r="BL818">
        <v>47.62738085584234</v>
      </c>
      <c r="BM818" t="s">
        <v>1260</v>
      </c>
      <c r="BN818" t="s">
        <v>1154</v>
      </c>
      <c r="BO818">
        <v>2025</v>
      </c>
      <c r="BP818" t="s">
        <v>966</v>
      </c>
      <c r="BQ818">
        <v>47184.386903149854</v>
      </c>
      <c r="BR818">
        <v>95.281561309685017</v>
      </c>
      <c r="BS818" t="s">
        <v>992</v>
      </c>
      <c r="BT818">
        <v>6</v>
      </c>
      <c r="BU818">
        <v>1</v>
      </c>
      <c r="BV818" t="s">
        <v>993</v>
      </c>
      <c r="BW818" t="s">
        <v>943</v>
      </c>
      <c r="BX818" t="s">
        <v>1033</v>
      </c>
      <c r="BY818">
        <v>3.1727893417376754</v>
      </c>
      <c r="BZ818" t="s">
        <v>2573</v>
      </c>
      <c r="CA818" t="s">
        <v>1032</v>
      </c>
      <c r="CB818" t="b">
        <v>1</v>
      </c>
      <c r="CC818" t="b">
        <v>1</v>
      </c>
      <c r="CD818" t="b">
        <v>1</v>
      </c>
      <c r="CE818" t="b">
        <v>1</v>
      </c>
      <c r="CF818" t="b">
        <v>1</v>
      </c>
    </row>
    <row r="819" spans="1:84" x14ac:dyDescent="0.3">
      <c r="A819" t="s">
        <v>2857</v>
      </c>
      <c r="B819" t="s">
        <v>1225</v>
      </c>
      <c r="C819" s="98">
        <v>45782</v>
      </c>
      <c r="D819">
        <v>2025</v>
      </c>
      <c r="E819">
        <v>5</v>
      </c>
      <c r="F819">
        <v>2</v>
      </c>
      <c r="G819" t="s">
        <v>1226</v>
      </c>
      <c r="H819" t="s">
        <v>140</v>
      </c>
      <c r="I819" t="s">
        <v>140</v>
      </c>
      <c r="J819" t="s">
        <v>6</v>
      </c>
      <c r="L819">
        <v>522611</v>
      </c>
      <c r="M819" s="99" t="s">
        <v>180</v>
      </c>
      <c r="N819">
        <v>3</v>
      </c>
      <c r="O819">
        <v>18</v>
      </c>
      <c r="P819">
        <v>1.7174</v>
      </c>
      <c r="Q819" t="s">
        <v>352</v>
      </c>
      <c r="R819">
        <v>1</v>
      </c>
      <c r="S819">
        <v>1.9576</v>
      </c>
      <c r="T819">
        <v>0.1983</v>
      </c>
      <c r="U819">
        <v>-1.2112960161371658</v>
      </c>
      <c r="V819">
        <v>1.3627</v>
      </c>
      <c r="W819">
        <v>1.5609999999999999</v>
      </c>
      <c r="X819">
        <v>1.7593000000000001</v>
      </c>
      <c r="Y819">
        <v>2.1558999999999999</v>
      </c>
      <c r="Z819">
        <v>2.3542000000000001</v>
      </c>
      <c r="AA819">
        <v>2.5525000000000002</v>
      </c>
      <c r="AD819">
        <v>26.16342831769812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 t="s">
        <v>462</v>
      </c>
      <c r="AL819" t="s">
        <v>6</v>
      </c>
      <c r="AM819" t="s">
        <v>1145</v>
      </c>
      <c r="AN819" t="s">
        <v>1146</v>
      </c>
      <c r="AO819" s="100">
        <v>46262.040405092594</v>
      </c>
      <c r="AP819" t="s">
        <v>1147</v>
      </c>
      <c r="AQ819" t="s">
        <v>2858</v>
      </c>
      <c r="AR819" t="s">
        <v>1228</v>
      </c>
      <c r="AS819" t="s">
        <v>1150</v>
      </c>
      <c r="AT819" t="s">
        <v>2724</v>
      </c>
      <c r="AU819">
        <v>25</v>
      </c>
      <c r="AV819">
        <v>1.9486999999999997</v>
      </c>
      <c r="AW819">
        <v>0.15946174306083577</v>
      </c>
      <c r="AX819">
        <v>8.1829806055747838</v>
      </c>
      <c r="AY819">
        <v>0.20055466868433902</v>
      </c>
      <c r="AZ819">
        <v>13.702472667882732</v>
      </c>
      <c r="BA819">
        <v>3.1727893417376754</v>
      </c>
      <c r="BB819" t="s">
        <v>4619</v>
      </c>
      <c r="BD819" s="98"/>
      <c r="BE819" s="98"/>
      <c r="BF819" t="s">
        <v>1152</v>
      </c>
      <c r="BG819" t="s">
        <v>322</v>
      </c>
      <c r="BH819" t="s">
        <v>1153</v>
      </c>
      <c r="BI819">
        <v>0.20055466868433902</v>
      </c>
      <c r="BJ819" t="s">
        <v>1032</v>
      </c>
      <c r="BK819">
        <v>12.460955649815388</v>
      </c>
      <c r="BL819">
        <v>47.62738085584234</v>
      </c>
      <c r="BM819" t="s">
        <v>1260</v>
      </c>
      <c r="BN819" t="s">
        <v>1154</v>
      </c>
      <c r="BO819">
        <v>2025</v>
      </c>
      <c r="BP819" t="s">
        <v>966</v>
      </c>
      <c r="BQ819">
        <v>47184.386903149854</v>
      </c>
      <c r="BR819">
        <v>95.281561309685017</v>
      </c>
      <c r="BS819" t="s">
        <v>992</v>
      </c>
      <c r="BT819">
        <v>6</v>
      </c>
      <c r="BU819">
        <v>1</v>
      </c>
      <c r="BV819" t="s">
        <v>993</v>
      </c>
      <c r="BW819" t="s">
        <v>943</v>
      </c>
      <c r="BX819" t="s">
        <v>1033</v>
      </c>
      <c r="BY819">
        <v>3.1727893417376754</v>
      </c>
      <c r="BZ819" t="s">
        <v>2573</v>
      </c>
      <c r="CA819" t="s">
        <v>1032</v>
      </c>
      <c r="CB819" t="b">
        <v>1</v>
      </c>
      <c r="CC819" t="b">
        <v>1</v>
      </c>
      <c r="CD819" t="b">
        <v>1</v>
      </c>
      <c r="CE819" t="b">
        <v>1</v>
      </c>
      <c r="CF819" t="b">
        <v>1</v>
      </c>
    </row>
    <row r="820" spans="1:84" x14ac:dyDescent="0.3">
      <c r="A820" t="s">
        <v>2859</v>
      </c>
      <c r="B820" t="s">
        <v>1230</v>
      </c>
      <c r="C820" s="98">
        <v>45789</v>
      </c>
      <c r="D820">
        <v>2025</v>
      </c>
      <c r="E820">
        <v>5</v>
      </c>
      <c r="F820">
        <v>2</v>
      </c>
      <c r="G820" t="s">
        <v>1226</v>
      </c>
      <c r="H820" t="s">
        <v>140</v>
      </c>
      <c r="I820" t="s">
        <v>140</v>
      </c>
      <c r="J820" t="s">
        <v>6</v>
      </c>
      <c r="L820">
        <v>522611</v>
      </c>
      <c r="M820" s="99" t="s">
        <v>180</v>
      </c>
      <c r="N820">
        <v>3</v>
      </c>
      <c r="O820">
        <v>19</v>
      </c>
      <c r="P820">
        <v>1.6187</v>
      </c>
      <c r="Q820" t="s">
        <v>352</v>
      </c>
      <c r="R820">
        <v>1</v>
      </c>
      <c r="S820">
        <v>1.9576</v>
      </c>
      <c r="T820">
        <v>0.1983</v>
      </c>
      <c r="U820">
        <v>-1.7090267271810387</v>
      </c>
      <c r="V820">
        <v>1.3627</v>
      </c>
      <c r="W820">
        <v>1.5609999999999999</v>
      </c>
      <c r="X820">
        <v>1.7593000000000001</v>
      </c>
      <c r="Y820">
        <v>2.1558999999999999</v>
      </c>
      <c r="Z820">
        <v>2.3542000000000001</v>
      </c>
      <c r="AA820">
        <v>2.5525000000000002</v>
      </c>
      <c r="AD820">
        <v>26.16342831769812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 t="s">
        <v>462</v>
      </c>
      <c r="AL820" t="s">
        <v>6</v>
      </c>
      <c r="AM820" t="s">
        <v>1145</v>
      </c>
      <c r="AN820" t="s">
        <v>1146</v>
      </c>
      <c r="AO820" s="100">
        <v>46262.040405092594</v>
      </c>
      <c r="AP820" t="s">
        <v>1147</v>
      </c>
      <c r="AQ820" t="s">
        <v>2860</v>
      </c>
      <c r="AR820" t="s">
        <v>1232</v>
      </c>
      <c r="AS820" t="s">
        <v>1150</v>
      </c>
      <c r="AT820" t="s">
        <v>2724</v>
      </c>
      <c r="AU820">
        <v>25</v>
      </c>
      <c r="AV820">
        <v>1.9486999999999997</v>
      </c>
      <c r="AW820">
        <v>0.15946174306083577</v>
      </c>
      <c r="AX820">
        <v>8.1829806055747838</v>
      </c>
      <c r="AY820">
        <v>0.20055466868433902</v>
      </c>
      <c r="AZ820">
        <v>13.702472667882732</v>
      </c>
      <c r="BA820">
        <v>3.1727893417376754</v>
      </c>
      <c r="BB820" t="s">
        <v>4619</v>
      </c>
      <c r="BD820" s="98"/>
      <c r="BE820" s="98"/>
      <c r="BF820" t="s">
        <v>1152</v>
      </c>
      <c r="BG820" t="s">
        <v>322</v>
      </c>
      <c r="BH820" t="s">
        <v>1153</v>
      </c>
      <c r="BI820">
        <v>0.20055466868433902</v>
      </c>
      <c r="BJ820" t="s">
        <v>1032</v>
      </c>
      <c r="BK820">
        <v>12.460955649815388</v>
      </c>
      <c r="BL820">
        <v>47.62738085584234</v>
      </c>
      <c r="BM820" t="s">
        <v>1260</v>
      </c>
      <c r="BN820" t="s">
        <v>1154</v>
      </c>
      <c r="BO820">
        <v>2025</v>
      </c>
      <c r="BP820" t="s">
        <v>966</v>
      </c>
      <c r="BQ820">
        <v>47184.386903149854</v>
      </c>
      <c r="BR820">
        <v>95.281561309685017</v>
      </c>
      <c r="BS820" t="s">
        <v>992</v>
      </c>
      <c r="BT820">
        <v>6</v>
      </c>
      <c r="BU820">
        <v>1</v>
      </c>
      <c r="BV820" t="s">
        <v>993</v>
      </c>
      <c r="BW820" t="s">
        <v>943</v>
      </c>
      <c r="BX820" t="s">
        <v>1033</v>
      </c>
      <c r="BY820">
        <v>3.1727893417376754</v>
      </c>
      <c r="BZ820" t="s">
        <v>2573</v>
      </c>
      <c r="CA820" t="s">
        <v>1032</v>
      </c>
      <c r="CB820" t="b">
        <v>1</v>
      </c>
      <c r="CC820" t="b">
        <v>1</v>
      </c>
      <c r="CD820" t="b">
        <v>1</v>
      </c>
      <c r="CE820" t="b">
        <v>1</v>
      </c>
      <c r="CF820" t="b">
        <v>1</v>
      </c>
    </row>
    <row r="821" spans="1:84" x14ac:dyDescent="0.3">
      <c r="A821" t="s">
        <v>2861</v>
      </c>
      <c r="B821" t="s">
        <v>1234</v>
      </c>
      <c r="C821" s="98">
        <v>45796</v>
      </c>
      <c r="D821">
        <v>2025</v>
      </c>
      <c r="E821">
        <v>5</v>
      </c>
      <c r="F821">
        <v>2</v>
      </c>
      <c r="G821" t="s">
        <v>1226</v>
      </c>
      <c r="H821" t="s">
        <v>140</v>
      </c>
      <c r="I821" t="s">
        <v>140</v>
      </c>
      <c r="J821" t="s">
        <v>6</v>
      </c>
      <c r="L821">
        <v>522611</v>
      </c>
      <c r="M821" s="99" t="s">
        <v>180</v>
      </c>
      <c r="N821">
        <v>3</v>
      </c>
      <c r="O821">
        <v>20</v>
      </c>
      <c r="P821">
        <v>1.9017999999999999</v>
      </c>
      <c r="Q821" t="s">
        <v>352</v>
      </c>
      <c r="R821">
        <v>1</v>
      </c>
      <c r="S821">
        <v>1.9576</v>
      </c>
      <c r="T821">
        <v>0.1983</v>
      </c>
      <c r="U821">
        <v>-0.2813918305597583</v>
      </c>
      <c r="V821">
        <v>1.3627</v>
      </c>
      <c r="W821">
        <v>1.5609999999999999</v>
      </c>
      <c r="X821">
        <v>1.7593000000000001</v>
      </c>
      <c r="Y821">
        <v>2.1558999999999999</v>
      </c>
      <c r="Z821">
        <v>2.3542000000000001</v>
      </c>
      <c r="AA821">
        <v>2.5525000000000002</v>
      </c>
      <c r="AD821">
        <v>26.16342831769812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 t="s">
        <v>462</v>
      </c>
      <c r="AL821" t="s">
        <v>6</v>
      </c>
      <c r="AM821" t="s">
        <v>1145</v>
      </c>
      <c r="AN821" t="s">
        <v>1146</v>
      </c>
      <c r="AO821" s="100">
        <v>46262.040405092594</v>
      </c>
      <c r="AP821" t="s">
        <v>1147</v>
      </c>
      <c r="AQ821" t="s">
        <v>2862</v>
      </c>
      <c r="AR821" t="s">
        <v>1236</v>
      </c>
      <c r="AS821" t="s">
        <v>1150</v>
      </c>
      <c r="AT821" t="s">
        <v>2724</v>
      </c>
      <c r="AU821">
        <v>25</v>
      </c>
      <c r="AV821">
        <v>1.9486999999999997</v>
      </c>
      <c r="AW821">
        <v>0.15946174306083577</v>
      </c>
      <c r="AX821">
        <v>8.1829806055747838</v>
      </c>
      <c r="AY821">
        <v>0.20055466868433902</v>
      </c>
      <c r="AZ821">
        <v>13.702472667882732</v>
      </c>
      <c r="BA821">
        <v>3.1727893417376754</v>
      </c>
      <c r="BB821" t="s">
        <v>4619</v>
      </c>
      <c r="BD821" s="98"/>
      <c r="BE821" s="98"/>
      <c r="BF821" t="s">
        <v>1152</v>
      </c>
      <c r="BG821" t="s">
        <v>322</v>
      </c>
      <c r="BH821" t="s">
        <v>1153</v>
      </c>
      <c r="BI821">
        <v>0.20055466868433902</v>
      </c>
      <c r="BJ821" t="s">
        <v>1032</v>
      </c>
      <c r="BK821">
        <v>12.460955649815388</v>
      </c>
      <c r="BL821">
        <v>47.62738085584234</v>
      </c>
      <c r="BM821" t="s">
        <v>1260</v>
      </c>
      <c r="BN821" t="s">
        <v>1154</v>
      </c>
      <c r="BO821">
        <v>2025</v>
      </c>
      <c r="BP821" t="s">
        <v>966</v>
      </c>
      <c r="BQ821">
        <v>47184.386903149854</v>
      </c>
      <c r="BR821">
        <v>95.281561309685017</v>
      </c>
      <c r="BS821" t="s">
        <v>992</v>
      </c>
      <c r="BT821">
        <v>6</v>
      </c>
      <c r="BU821">
        <v>1</v>
      </c>
      <c r="BV821" t="s">
        <v>993</v>
      </c>
      <c r="BW821" t="s">
        <v>943</v>
      </c>
      <c r="BX821" t="s">
        <v>1033</v>
      </c>
      <c r="BY821">
        <v>3.1727893417376754</v>
      </c>
      <c r="BZ821" t="s">
        <v>2573</v>
      </c>
      <c r="CA821" t="s">
        <v>1032</v>
      </c>
      <c r="CB821" t="b">
        <v>1</v>
      </c>
      <c r="CC821" t="b">
        <v>1</v>
      </c>
      <c r="CD821" t="b">
        <v>1</v>
      </c>
      <c r="CE821" t="b">
        <v>1</v>
      </c>
      <c r="CF821" t="b">
        <v>1</v>
      </c>
    </row>
    <row r="822" spans="1:84" x14ac:dyDescent="0.3">
      <c r="A822" t="s">
        <v>2863</v>
      </c>
      <c r="B822" t="s">
        <v>1238</v>
      </c>
      <c r="C822" s="98">
        <v>45803</v>
      </c>
      <c r="D822">
        <v>2025</v>
      </c>
      <c r="E822">
        <v>5</v>
      </c>
      <c r="F822">
        <v>2</v>
      </c>
      <c r="G822" t="s">
        <v>1226</v>
      </c>
      <c r="H822" t="s">
        <v>140</v>
      </c>
      <c r="I822" t="s">
        <v>140</v>
      </c>
      <c r="J822" t="s">
        <v>6</v>
      </c>
      <c r="L822">
        <v>522611</v>
      </c>
      <c r="M822" s="99" t="s">
        <v>180</v>
      </c>
      <c r="N822">
        <v>3</v>
      </c>
      <c r="O822">
        <v>21</v>
      </c>
      <c r="P822">
        <v>1.9398</v>
      </c>
      <c r="Q822" t="s">
        <v>352</v>
      </c>
      <c r="R822">
        <v>1</v>
      </c>
      <c r="S822">
        <v>1.9576</v>
      </c>
      <c r="T822">
        <v>0.1983</v>
      </c>
      <c r="U822">
        <v>-8.9762985375693577E-2</v>
      </c>
      <c r="V822">
        <v>1.3627</v>
      </c>
      <c r="W822">
        <v>1.5609999999999999</v>
      </c>
      <c r="X822">
        <v>1.7593000000000001</v>
      </c>
      <c r="Y822">
        <v>2.1558999999999999</v>
      </c>
      <c r="Z822">
        <v>2.3542000000000001</v>
      </c>
      <c r="AA822">
        <v>2.5525000000000002</v>
      </c>
      <c r="AD822">
        <v>26.16342831769812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 t="s">
        <v>462</v>
      </c>
      <c r="AL822" t="s">
        <v>6</v>
      </c>
      <c r="AM822" t="s">
        <v>1145</v>
      </c>
      <c r="AN822" t="s">
        <v>1146</v>
      </c>
      <c r="AO822" s="100">
        <v>46262.040405092594</v>
      </c>
      <c r="AP822" t="s">
        <v>1147</v>
      </c>
      <c r="AQ822" t="s">
        <v>2864</v>
      </c>
      <c r="AR822" t="s">
        <v>1240</v>
      </c>
      <c r="AS822" t="s">
        <v>1150</v>
      </c>
      <c r="AT822" t="s">
        <v>2724</v>
      </c>
      <c r="AU822">
        <v>25</v>
      </c>
      <c r="AV822">
        <v>1.9486999999999997</v>
      </c>
      <c r="AW822">
        <v>0.15946174306083577</v>
      </c>
      <c r="AX822">
        <v>8.1829806055747838</v>
      </c>
      <c r="AY822">
        <v>0.20055466868433902</v>
      </c>
      <c r="AZ822">
        <v>13.702472667882732</v>
      </c>
      <c r="BA822">
        <v>3.1727893417376754</v>
      </c>
      <c r="BB822" t="s">
        <v>4619</v>
      </c>
      <c r="BD822" s="98"/>
      <c r="BE822" s="98"/>
      <c r="BF822" t="s">
        <v>1152</v>
      </c>
      <c r="BG822" t="s">
        <v>322</v>
      </c>
      <c r="BH822" t="s">
        <v>1153</v>
      </c>
      <c r="BI822">
        <v>0.20055466868433902</v>
      </c>
      <c r="BJ822" t="s">
        <v>1032</v>
      </c>
      <c r="BK822">
        <v>12.460955649815388</v>
      </c>
      <c r="BL822">
        <v>47.62738085584234</v>
      </c>
      <c r="BM822" t="s">
        <v>1260</v>
      </c>
      <c r="BN822" t="s">
        <v>1154</v>
      </c>
      <c r="BO822">
        <v>2025</v>
      </c>
      <c r="BP822" t="s">
        <v>966</v>
      </c>
      <c r="BQ822">
        <v>47184.386903149854</v>
      </c>
      <c r="BR822">
        <v>95.281561309685017</v>
      </c>
      <c r="BS822" t="s">
        <v>992</v>
      </c>
      <c r="BT822">
        <v>6</v>
      </c>
      <c r="BU822">
        <v>1</v>
      </c>
      <c r="BV822" t="s">
        <v>993</v>
      </c>
      <c r="BW822" t="s">
        <v>943</v>
      </c>
      <c r="BX822" t="s">
        <v>1033</v>
      </c>
      <c r="BY822">
        <v>3.1727893417376754</v>
      </c>
      <c r="BZ822" t="s">
        <v>2573</v>
      </c>
      <c r="CA822" t="s">
        <v>1032</v>
      </c>
      <c r="CB822" t="b">
        <v>1</v>
      </c>
      <c r="CC822" t="b">
        <v>1</v>
      </c>
      <c r="CD822" t="b">
        <v>1</v>
      </c>
      <c r="CE822" t="b">
        <v>1</v>
      </c>
      <c r="CF822" t="b">
        <v>1</v>
      </c>
    </row>
    <row r="823" spans="1:84" x14ac:dyDescent="0.3">
      <c r="A823" t="s">
        <v>2865</v>
      </c>
      <c r="B823" t="s">
        <v>1242</v>
      </c>
      <c r="C823" s="98">
        <v>45810</v>
      </c>
      <c r="D823">
        <v>2025</v>
      </c>
      <c r="E823">
        <v>6</v>
      </c>
      <c r="F823">
        <v>2</v>
      </c>
      <c r="G823" t="s">
        <v>1243</v>
      </c>
      <c r="H823" t="s">
        <v>140</v>
      </c>
      <c r="I823" t="s">
        <v>140</v>
      </c>
      <c r="J823" t="s">
        <v>6</v>
      </c>
      <c r="L823">
        <v>522611</v>
      </c>
      <c r="M823" s="99" t="s">
        <v>180</v>
      </c>
      <c r="N823">
        <v>3</v>
      </c>
      <c r="O823">
        <v>22</v>
      </c>
      <c r="P823">
        <v>1.8150999999999999</v>
      </c>
      <c r="Q823" t="s">
        <v>352</v>
      </c>
      <c r="R823">
        <v>1</v>
      </c>
      <c r="S823">
        <v>1.9576</v>
      </c>
      <c r="T823">
        <v>0.1983</v>
      </c>
      <c r="U823">
        <v>-0.71860816944024242</v>
      </c>
      <c r="V823">
        <v>1.3627</v>
      </c>
      <c r="W823">
        <v>1.5609999999999999</v>
      </c>
      <c r="X823">
        <v>1.7593000000000001</v>
      </c>
      <c r="Y823">
        <v>2.1558999999999999</v>
      </c>
      <c r="Z823">
        <v>2.3542000000000001</v>
      </c>
      <c r="AA823">
        <v>2.5525000000000002</v>
      </c>
      <c r="AD823">
        <v>26.16342831769812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 t="s">
        <v>462</v>
      </c>
      <c r="AL823" t="s">
        <v>6</v>
      </c>
      <c r="AM823" t="s">
        <v>1145</v>
      </c>
      <c r="AN823" t="s">
        <v>1146</v>
      </c>
      <c r="AO823" s="100">
        <v>46262.040405092594</v>
      </c>
      <c r="AP823" t="s">
        <v>1147</v>
      </c>
      <c r="AQ823" t="s">
        <v>2866</v>
      </c>
      <c r="AR823" t="s">
        <v>1245</v>
      </c>
      <c r="AS823" t="s">
        <v>1150</v>
      </c>
      <c r="AT823" t="s">
        <v>2724</v>
      </c>
      <c r="AU823">
        <v>25</v>
      </c>
      <c r="AV823">
        <v>1.9486999999999997</v>
      </c>
      <c r="AW823">
        <v>0.15946174306083577</v>
      </c>
      <c r="AX823">
        <v>8.1829806055747838</v>
      </c>
      <c r="AY823">
        <v>0.20055466868433902</v>
      </c>
      <c r="AZ823">
        <v>13.702472667882732</v>
      </c>
      <c r="BA823">
        <v>3.1727893417376754</v>
      </c>
      <c r="BB823" t="s">
        <v>4619</v>
      </c>
      <c r="BD823" s="98"/>
      <c r="BE823" s="98"/>
      <c r="BF823" t="s">
        <v>1152</v>
      </c>
      <c r="BG823" t="s">
        <v>322</v>
      </c>
      <c r="BH823" t="s">
        <v>1153</v>
      </c>
      <c r="BI823">
        <v>0.20055466868433902</v>
      </c>
      <c r="BJ823" t="s">
        <v>1032</v>
      </c>
      <c r="BK823">
        <v>12.460955649815388</v>
      </c>
      <c r="BL823">
        <v>47.62738085584234</v>
      </c>
      <c r="BM823" t="s">
        <v>1260</v>
      </c>
      <c r="BN823" t="s">
        <v>1154</v>
      </c>
      <c r="BO823">
        <v>2025</v>
      </c>
      <c r="BP823" t="s">
        <v>966</v>
      </c>
      <c r="BQ823">
        <v>47184.386903149854</v>
      </c>
      <c r="BR823">
        <v>95.281561309685017</v>
      </c>
      <c r="BS823" t="s">
        <v>992</v>
      </c>
      <c r="BT823">
        <v>6</v>
      </c>
      <c r="BU823">
        <v>1</v>
      </c>
      <c r="BV823" t="s">
        <v>993</v>
      </c>
      <c r="BW823" t="s">
        <v>943</v>
      </c>
      <c r="BX823" t="s">
        <v>1033</v>
      </c>
      <c r="BY823">
        <v>3.1727893417376754</v>
      </c>
      <c r="BZ823" t="s">
        <v>2573</v>
      </c>
      <c r="CA823" t="s">
        <v>1032</v>
      </c>
      <c r="CB823" t="b">
        <v>1</v>
      </c>
      <c r="CC823" t="b">
        <v>1</v>
      </c>
      <c r="CD823" t="b">
        <v>1</v>
      </c>
      <c r="CE823" t="b">
        <v>1</v>
      </c>
      <c r="CF823" t="b">
        <v>1</v>
      </c>
    </row>
    <row r="824" spans="1:84" x14ac:dyDescent="0.3">
      <c r="A824" t="s">
        <v>2867</v>
      </c>
      <c r="B824" t="s">
        <v>1247</v>
      </c>
      <c r="C824" s="98">
        <v>45817</v>
      </c>
      <c r="D824">
        <v>2025</v>
      </c>
      <c r="E824">
        <v>6</v>
      </c>
      <c r="F824">
        <v>2</v>
      </c>
      <c r="G824" t="s">
        <v>1243</v>
      </c>
      <c r="H824" t="s">
        <v>140</v>
      </c>
      <c r="I824" t="s">
        <v>140</v>
      </c>
      <c r="J824" t="s">
        <v>6</v>
      </c>
      <c r="L824">
        <v>522611</v>
      </c>
      <c r="M824" s="99" t="s">
        <v>180</v>
      </c>
      <c r="N824">
        <v>3</v>
      </c>
      <c r="O824">
        <v>23</v>
      </c>
      <c r="P824">
        <v>1.9759</v>
      </c>
      <c r="Q824" t="s">
        <v>352</v>
      </c>
      <c r="R824">
        <v>1</v>
      </c>
      <c r="S824">
        <v>1.9576</v>
      </c>
      <c r="T824">
        <v>0.1983</v>
      </c>
      <c r="U824">
        <v>9.2284417549167844E-2</v>
      </c>
      <c r="V824">
        <v>1.3627</v>
      </c>
      <c r="W824">
        <v>1.5609999999999999</v>
      </c>
      <c r="X824">
        <v>1.7593000000000001</v>
      </c>
      <c r="Y824">
        <v>2.1558999999999999</v>
      </c>
      <c r="Z824">
        <v>2.3542000000000001</v>
      </c>
      <c r="AA824">
        <v>2.5525000000000002</v>
      </c>
      <c r="AD824">
        <v>26.16342831769812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 t="s">
        <v>462</v>
      </c>
      <c r="AL824" t="s">
        <v>6</v>
      </c>
      <c r="AM824" t="s">
        <v>1145</v>
      </c>
      <c r="AN824" t="s">
        <v>1146</v>
      </c>
      <c r="AO824" s="100">
        <v>46262.040405092594</v>
      </c>
      <c r="AP824" t="s">
        <v>1147</v>
      </c>
      <c r="AQ824" t="s">
        <v>2868</v>
      </c>
      <c r="AR824" t="s">
        <v>1249</v>
      </c>
      <c r="AS824" t="s">
        <v>1150</v>
      </c>
      <c r="AT824" t="s">
        <v>2724</v>
      </c>
      <c r="AU824">
        <v>25</v>
      </c>
      <c r="AV824">
        <v>1.9486999999999997</v>
      </c>
      <c r="AW824">
        <v>0.15946174306083577</v>
      </c>
      <c r="AX824">
        <v>8.1829806055747838</v>
      </c>
      <c r="AY824">
        <v>0.20055466868433902</v>
      </c>
      <c r="AZ824">
        <v>13.702472667882732</v>
      </c>
      <c r="BA824">
        <v>3.1727893417376754</v>
      </c>
      <c r="BB824" t="s">
        <v>4619</v>
      </c>
      <c r="BD824" s="98"/>
      <c r="BE824" s="98"/>
      <c r="BF824" t="s">
        <v>1152</v>
      </c>
      <c r="BG824" t="s">
        <v>322</v>
      </c>
      <c r="BH824" t="s">
        <v>1153</v>
      </c>
      <c r="BI824">
        <v>0.20055466868433902</v>
      </c>
      <c r="BJ824" t="s">
        <v>1032</v>
      </c>
      <c r="BK824">
        <v>12.460955649815388</v>
      </c>
      <c r="BL824">
        <v>47.62738085584234</v>
      </c>
      <c r="BM824" t="s">
        <v>1260</v>
      </c>
      <c r="BN824" t="s">
        <v>1154</v>
      </c>
      <c r="BO824">
        <v>2025</v>
      </c>
      <c r="BP824" t="s">
        <v>966</v>
      </c>
      <c r="BQ824">
        <v>47184.386903149854</v>
      </c>
      <c r="BR824">
        <v>95.281561309685017</v>
      </c>
      <c r="BS824" t="s">
        <v>992</v>
      </c>
      <c r="BT824">
        <v>6</v>
      </c>
      <c r="BU824">
        <v>1</v>
      </c>
      <c r="BV824" t="s">
        <v>993</v>
      </c>
      <c r="BW824" t="s">
        <v>943</v>
      </c>
      <c r="BX824" t="s">
        <v>1033</v>
      </c>
      <c r="BY824">
        <v>3.1727893417376754</v>
      </c>
      <c r="BZ824" t="s">
        <v>2573</v>
      </c>
      <c r="CA824" t="s">
        <v>1032</v>
      </c>
      <c r="CB824" t="b">
        <v>1</v>
      </c>
      <c r="CC824" t="b">
        <v>1</v>
      </c>
      <c r="CD824" t="b">
        <v>1</v>
      </c>
      <c r="CE824" t="b">
        <v>1</v>
      </c>
      <c r="CF824" t="b">
        <v>1</v>
      </c>
    </row>
    <row r="825" spans="1:84" x14ac:dyDescent="0.3">
      <c r="A825" t="s">
        <v>2869</v>
      </c>
      <c r="B825" t="s">
        <v>1251</v>
      </c>
      <c r="C825" s="98">
        <v>45824</v>
      </c>
      <c r="D825">
        <v>2025</v>
      </c>
      <c r="E825">
        <v>6</v>
      </c>
      <c r="F825">
        <v>2</v>
      </c>
      <c r="G825" t="s">
        <v>1243</v>
      </c>
      <c r="H825" t="s">
        <v>140</v>
      </c>
      <c r="I825" t="s">
        <v>140</v>
      </c>
      <c r="J825" t="s">
        <v>6</v>
      </c>
      <c r="L825">
        <v>522611</v>
      </c>
      <c r="M825" s="99" t="s">
        <v>180</v>
      </c>
      <c r="N825">
        <v>3</v>
      </c>
      <c r="O825">
        <v>24</v>
      </c>
      <c r="P825">
        <v>1.8304</v>
      </c>
      <c r="Q825" t="s">
        <v>352</v>
      </c>
      <c r="R825">
        <v>1</v>
      </c>
      <c r="S825">
        <v>1.9576</v>
      </c>
      <c r="T825">
        <v>0.1983</v>
      </c>
      <c r="U825">
        <v>-0.64145234493192127</v>
      </c>
      <c r="V825">
        <v>1.3627</v>
      </c>
      <c r="W825">
        <v>1.5609999999999999</v>
      </c>
      <c r="X825">
        <v>1.7593000000000001</v>
      </c>
      <c r="Y825">
        <v>2.1558999999999999</v>
      </c>
      <c r="Z825">
        <v>2.3542000000000001</v>
      </c>
      <c r="AA825">
        <v>2.5525000000000002</v>
      </c>
      <c r="AD825">
        <v>26.16342831769812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 t="s">
        <v>462</v>
      </c>
      <c r="AL825" t="s">
        <v>6</v>
      </c>
      <c r="AM825" t="s">
        <v>1145</v>
      </c>
      <c r="AN825" t="s">
        <v>1146</v>
      </c>
      <c r="AO825" s="100">
        <v>46262.040405092594</v>
      </c>
      <c r="AP825" t="s">
        <v>1147</v>
      </c>
      <c r="AQ825" t="s">
        <v>2870</v>
      </c>
      <c r="AR825" t="s">
        <v>1253</v>
      </c>
      <c r="AS825" t="s">
        <v>1150</v>
      </c>
      <c r="AT825" t="s">
        <v>2724</v>
      </c>
      <c r="AU825">
        <v>25</v>
      </c>
      <c r="AV825">
        <v>1.9486999999999997</v>
      </c>
      <c r="AW825">
        <v>0.15946174306083577</v>
      </c>
      <c r="AX825">
        <v>8.1829806055747838</v>
      </c>
      <c r="AY825">
        <v>0.20055466868433902</v>
      </c>
      <c r="AZ825">
        <v>13.702472667882732</v>
      </c>
      <c r="BA825">
        <v>3.1727893417376754</v>
      </c>
      <c r="BB825" t="s">
        <v>4619</v>
      </c>
      <c r="BD825" s="98"/>
      <c r="BE825" s="98"/>
      <c r="BF825" t="s">
        <v>1152</v>
      </c>
      <c r="BG825" t="s">
        <v>322</v>
      </c>
      <c r="BH825" t="s">
        <v>1153</v>
      </c>
      <c r="BI825">
        <v>0.20055466868433902</v>
      </c>
      <c r="BJ825" t="s">
        <v>1032</v>
      </c>
      <c r="BK825">
        <v>12.460955649815388</v>
      </c>
      <c r="BL825">
        <v>47.62738085584234</v>
      </c>
      <c r="BM825" t="s">
        <v>1260</v>
      </c>
      <c r="BN825" t="s">
        <v>1154</v>
      </c>
      <c r="BO825">
        <v>2025</v>
      </c>
      <c r="BP825" t="s">
        <v>966</v>
      </c>
      <c r="BQ825">
        <v>47184.386903149854</v>
      </c>
      <c r="BR825">
        <v>95.281561309685017</v>
      </c>
      <c r="BS825" t="s">
        <v>992</v>
      </c>
      <c r="BT825">
        <v>6</v>
      </c>
      <c r="BU825">
        <v>1</v>
      </c>
      <c r="BV825" t="s">
        <v>993</v>
      </c>
      <c r="BW825" t="s">
        <v>943</v>
      </c>
      <c r="BX825" t="s">
        <v>1033</v>
      </c>
      <c r="BY825">
        <v>3.1727893417376754</v>
      </c>
      <c r="BZ825" t="s">
        <v>2573</v>
      </c>
      <c r="CA825" t="s">
        <v>1032</v>
      </c>
      <c r="CB825" t="b">
        <v>1</v>
      </c>
      <c r="CC825" t="b">
        <v>1</v>
      </c>
      <c r="CD825" t="b">
        <v>1</v>
      </c>
      <c r="CE825" t="b">
        <v>1</v>
      </c>
      <c r="CF825" t="b">
        <v>1</v>
      </c>
    </row>
    <row r="826" spans="1:84" x14ac:dyDescent="0.3">
      <c r="A826" t="s">
        <v>2871</v>
      </c>
      <c r="B826" t="s">
        <v>1255</v>
      </c>
      <c r="C826" s="98">
        <v>45831</v>
      </c>
      <c r="D826">
        <v>2025</v>
      </c>
      <c r="E826">
        <v>6</v>
      </c>
      <c r="F826">
        <v>2</v>
      </c>
      <c r="G826" t="s">
        <v>1243</v>
      </c>
      <c r="H826" t="s">
        <v>140</v>
      </c>
      <c r="I826" t="s">
        <v>140</v>
      </c>
      <c r="J826" t="s">
        <v>6</v>
      </c>
      <c r="L826">
        <v>522611</v>
      </c>
      <c r="M826" s="99" t="s">
        <v>180</v>
      </c>
      <c r="N826">
        <v>3</v>
      </c>
      <c r="O826">
        <v>25</v>
      </c>
      <c r="P826">
        <v>2.0670000000000002</v>
      </c>
      <c r="Q826" t="s">
        <v>352</v>
      </c>
      <c r="R826">
        <v>1</v>
      </c>
      <c r="S826">
        <v>1.9576</v>
      </c>
      <c r="T826">
        <v>0.1983</v>
      </c>
      <c r="U826">
        <v>0.55168935955622878</v>
      </c>
      <c r="V826">
        <v>1.3627</v>
      </c>
      <c r="W826">
        <v>1.5609999999999999</v>
      </c>
      <c r="X826">
        <v>1.7593000000000001</v>
      </c>
      <c r="Y826">
        <v>2.1558999999999999</v>
      </c>
      <c r="Z826">
        <v>2.3542000000000001</v>
      </c>
      <c r="AA826">
        <v>2.5525000000000002</v>
      </c>
      <c r="AD826">
        <v>26.16342831769812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 t="s">
        <v>462</v>
      </c>
      <c r="AL826" t="s">
        <v>6</v>
      </c>
      <c r="AM826" t="s">
        <v>1145</v>
      </c>
      <c r="AN826" t="s">
        <v>1146</v>
      </c>
      <c r="AO826" s="100">
        <v>46262.040405092594</v>
      </c>
      <c r="AP826" t="s">
        <v>1147</v>
      </c>
      <c r="AQ826" t="s">
        <v>2872</v>
      </c>
      <c r="AR826" t="s">
        <v>1257</v>
      </c>
      <c r="AS826" t="s">
        <v>1150</v>
      </c>
      <c r="AT826" t="s">
        <v>2724</v>
      </c>
      <c r="AU826">
        <v>25</v>
      </c>
      <c r="AV826">
        <v>1.9486999999999997</v>
      </c>
      <c r="AW826">
        <v>0.15946174306083577</v>
      </c>
      <c r="AX826">
        <v>8.1829806055747838</v>
      </c>
      <c r="AY826">
        <v>0.20055466868433902</v>
      </c>
      <c r="AZ826">
        <v>13.702472667882732</v>
      </c>
      <c r="BA826">
        <v>3.1727893417376754</v>
      </c>
      <c r="BB826" t="s">
        <v>4619</v>
      </c>
      <c r="BD826" s="98"/>
      <c r="BE826" s="98"/>
      <c r="BF826" t="s">
        <v>1152</v>
      </c>
      <c r="BG826" t="s">
        <v>322</v>
      </c>
      <c r="BH826" t="s">
        <v>1153</v>
      </c>
      <c r="BI826">
        <v>0.20055466868433902</v>
      </c>
      <c r="BJ826" t="s">
        <v>1032</v>
      </c>
      <c r="BK826">
        <v>12.460955649815388</v>
      </c>
      <c r="BL826">
        <v>47.62738085584234</v>
      </c>
      <c r="BM826" t="s">
        <v>1260</v>
      </c>
      <c r="BN826" t="s">
        <v>1154</v>
      </c>
      <c r="BO826">
        <v>2025</v>
      </c>
      <c r="BP826" t="s">
        <v>966</v>
      </c>
      <c r="BQ826">
        <v>47184.386903149854</v>
      </c>
      <c r="BR826">
        <v>95.281561309685017</v>
      </c>
      <c r="BS826" t="s">
        <v>992</v>
      </c>
      <c r="BT826">
        <v>6</v>
      </c>
      <c r="BU826">
        <v>1</v>
      </c>
      <c r="BV826" t="s">
        <v>993</v>
      </c>
      <c r="BW826" t="s">
        <v>943</v>
      </c>
      <c r="BX826" t="s">
        <v>1033</v>
      </c>
      <c r="BY826">
        <v>3.1727893417376754</v>
      </c>
      <c r="BZ826" t="s">
        <v>2573</v>
      </c>
      <c r="CA826" t="s">
        <v>1032</v>
      </c>
      <c r="CB826" t="b">
        <v>1</v>
      </c>
      <c r="CC826" t="b">
        <v>1</v>
      </c>
      <c r="CD826" t="b">
        <v>1</v>
      </c>
      <c r="CE826" t="b">
        <v>1</v>
      </c>
      <c r="CF826" t="b">
        <v>1</v>
      </c>
    </row>
    <row r="827" spans="1:84" x14ac:dyDescent="0.3">
      <c r="A827" t="s">
        <v>2873</v>
      </c>
      <c r="B827" t="s">
        <v>1143</v>
      </c>
      <c r="C827" s="98">
        <v>45663</v>
      </c>
      <c r="D827">
        <v>2025</v>
      </c>
      <c r="E827">
        <v>1</v>
      </c>
      <c r="F827">
        <v>1</v>
      </c>
      <c r="G827" t="s">
        <v>1144</v>
      </c>
      <c r="H827" t="s">
        <v>141</v>
      </c>
      <c r="I827" t="s">
        <v>141</v>
      </c>
      <c r="J827" t="s">
        <v>6</v>
      </c>
      <c r="L827">
        <v>522611</v>
      </c>
      <c r="M827" s="99" t="s">
        <v>178</v>
      </c>
      <c r="N827">
        <v>1</v>
      </c>
      <c r="O827">
        <v>1</v>
      </c>
      <c r="P827">
        <v>0.28070000000000001</v>
      </c>
      <c r="Q827" t="s">
        <v>352</v>
      </c>
      <c r="R827">
        <v>1</v>
      </c>
      <c r="S827">
        <v>0.2928</v>
      </c>
      <c r="T827">
        <v>1.67E-2</v>
      </c>
      <c r="U827">
        <v>-0.72455089820359286</v>
      </c>
      <c r="V827">
        <v>0.2427</v>
      </c>
      <c r="W827">
        <v>0.25940000000000002</v>
      </c>
      <c r="X827">
        <v>0.27610000000000001</v>
      </c>
      <c r="Y827">
        <v>0.3095</v>
      </c>
      <c r="Z827">
        <v>0.32619999999999999</v>
      </c>
      <c r="AA827">
        <v>0.34289999999999998</v>
      </c>
      <c r="AD827">
        <v>43.555633017205778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 t="s">
        <v>462</v>
      </c>
      <c r="AL827" t="s">
        <v>6</v>
      </c>
      <c r="AM827" t="s">
        <v>1145</v>
      </c>
      <c r="AN827" t="s">
        <v>1146</v>
      </c>
      <c r="AO827" s="100">
        <v>46262.040405092594</v>
      </c>
      <c r="AP827" t="s">
        <v>1147</v>
      </c>
      <c r="AQ827" t="s">
        <v>2874</v>
      </c>
      <c r="AR827" t="s">
        <v>1149</v>
      </c>
      <c r="AS827" t="s">
        <v>1150</v>
      </c>
      <c r="AT827" t="s">
        <v>2875</v>
      </c>
      <c r="AU827">
        <v>25</v>
      </c>
      <c r="AV827">
        <v>0.28698400000000002</v>
      </c>
      <c r="AW827">
        <v>1.636262713217736E-2</v>
      </c>
      <c r="AX827">
        <v>5.7015816673324506</v>
      </c>
      <c r="AY827">
        <v>-1.6533305261415048</v>
      </c>
      <c r="AZ827">
        <v>11.060940277240048</v>
      </c>
      <c r="BA827">
        <v>7.3492418307618035</v>
      </c>
      <c r="BB827" t="s">
        <v>4619</v>
      </c>
      <c r="BD827" s="98"/>
      <c r="BE827" s="98"/>
      <c r="BF827" t="s">
        <v>1152</v>
      </c>
      <c r="BG827" t="s">
        <v>322</v>
      </c>
      <c r="BH827" t="s">
        <v>1153</v>
      </c>
      <c r="BI827">
        <v>1.6533305261415048</v>
      </c>
      <c r="BJ827" t="s">
        <v>983</v>
      </c>
      <c r="BK827">
        <v>32.494692739965728</v>
      </c>
      <c r="BL827">
        <v>74.605029221201661</v>
      </c>
      <c r="BM827" t="s">
        <v>1260</v>
      </c>
      <c r="BN827" t="s">
        <v>1154</v>
      </c>
      <c r="BO827">
        <v>2025</v>
      </c>
      <c r="BP827" t="s">
        <v>966</v>
      </c>
      <c r="BQ827">
        <v>1.0315291398832471E-2</v>
      </c>
      <c r="BR827">
        <v>99.999998968470862</v>
      </c>
      <c r="BS827" t="s">
        <v>984</v>
      </c>
      <c r="BT827">
        <v>3</v>
      </c>
      <c r="BU827">
        <v>1</v>
      </c>
      <c r="BV827" t="s">
        <v>985</v>
      </c>
      <c r="BW827" t="s">
        <v>943</v>
      </c>
      <c r="BX827" t="s">
        <v>986</v>
      </c>
      <c r="BY827">
        <v>7.1066284944359426</v>
      </c>
      <c r="BZ827" t="s">
        <v>2573</v>
      </c>
      <c r="CA827" t="s">
        <v>983</v>
      </c>
      <c r="CB827" t="b">
        <v>1</v>
      </c>
      <c r="CC827" t="b">
        <v>0</v>
      </c>
      <c r="CD827" t="b">
        <v>0</v>
      </c>
      <c r="CE827" t="b">
        <v>0</v>
      </c>
      <c r="CF827" t="b">
        <v>0</v>
      </c>
    </row>
    <row r="828" spans="1:84" x14ac:dyDescent="0.3">
      <c r="A828" t="s">
        <v>2876</v>
      </c>
      <c r="B828" t="s">
        <v>1157</v>
      </c>
      <c r="C828" s="98">
        <v>45670</v>
      </c>
      <c r="D828">
        <v>2025</v>
      </c>
      <c r="E828">
        <v>1</v>
      </c>
      <c r="F828">
        <v>1</v>
      </c>
      <c r="G828" t="s">
        <v>1144</v>
      </c>
      <c r="H828" t="s">
        <v>141</v>
      </c>
      <c r="I828" t="s">
        <v>141</v>
      </c>
      <c r="J828" t="s">
        <v>6</v>
      </c>
      <c r="L828">
        <v>522611</v>
      </c>
      <c r="M828" s="99" t="s">
        <v>178</v>
      </c>
      <c r="N828">
        <v>1</v>
      </c>
      <c r="O828">
        <v>2</v>
      </c>
      <c r="P828">
        <v>0.29210000000000003</v>
      </c>
      <c r="Q828" t="s">
        <v>352</v>
      </c>
      <c r="R828">
        <v>1</v>
      </c>
      <c r="S828">
        <v>0.2928</v>
      </c>
      <c r="T828">
        <v>1.67E-2</v>
      </c>
      <c r="U828">
        <v>-4.1916167664669365E-2</v>
      </c>
      <c r="V828">
        <v>0.2427</v>
      </c>
      <c r="W828">
        <v>0.25940000000000002</v>
      </c>
      <c r="X828">
        <v>0.27610000000000001</v>
      </c>
      <c r="Y828">
        <v>0.3095</v>
      </c>
      <c r="Z828">
        <v>0.32619999999999999</v>
      </c>
      <c r="AA828">
        <v>0.34289999999999998</v>
      </c>
      <c r="AD828">
        <v>43.555633017205778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 t="s">
        <v>462</v>
      </c>
      <c r="AL828" t="s">
        <v>6</v>
      </c>
      <c r="AM828" t="s">
        <v>1145</v>
      </c>
      <c r="AN828" t="s">
        <v>1146</v>
      </c>
      <c r="AO828" s="100">
        <v>46262.040405092594</v>
      </c>
      <c r="AP828" t="s">
        <v>1147</v>
      </c>
      <c r="AQ828" t="s">
        <v>2877</v>
      </c>
      <c r="AR828" t="s">
        <v>1159</v>
      </c>
      <c r="AS828" t="s">
        <v>1150</v>
      </c>
      <c r="AT828" t="s">
        <v>2875</v>
      </c>
      <c r="AU828">
        <v>25</v>
      </c>
      <c r="AV828">
        <v>0.28698400000000002</v>
      </c>
      <c r="AW828">
        <v>1.636262713217736E-2</v>
      </c>
      <c r="AX828">
        <v>5.7015816673324506</v>
      </c>
      <c r="AY828">
        <v>-1.6533305261415048</v>
      </c>
      <c r="AZ828">
        <v>11.060940277240048</v>
      </c>
      <c r="BA828">
        <v>7.3492418307618035</v>
      </c>
      <c r="BB828" t="s">
        <v>4619</v>
      </c>
      <c r="BD828" s="98"/>
      <c r="BE828" s="98"/>
      <c r="BF828" t="s">
        <v>1152</v>
      </c>
      <c r="BG828" t="s">
        <v>322</v>
      </c>
      <c r="BH828" t="s">
        <v>1153</v>
      </c>
      <c r="BI828">
        <v>1.6533305261415048</v>
      </c>
      <c r="BJ828" t="s">
        <v>983</v>
      </c>
      <c r="BK828">
        <v>32.494692739965728</v>
      </c>
      <c r="BL828">
        <v>74.605029221201661</v>
      </c>
      <c r="BM828" t="s">
        <v>1260</v>
      </c>
      <c r="BN828" t="s">
        <v>1154</v>
      </c>
      <c r="BO828">
        <v>2025</v>
      </c>
      <c r="BP828" t="s">
        <v>966</v>
      </c>
      <c r="BQ828">
        <v>1.0315291398832471E-2</v>
      </c>
      <c r="BR828">
        <v>99.999998968470862</v>
      </c>
      <c r="BS828" t="s">
        <v>984</v>
      </c>
      <c r="BT828">
        <v>3</v>
      </c>
      <c r="BU828">
        <v>1</v>
      </c>
      <c r="BV828" t="s">
        <v>985</v>
      </c>
      <c r="BW828" t="s">
        <v>943</v>
      </c>
      <c r="BX828" t="s">
        <v>986</v>
      </c>
      <c r="BY828">
        <v>7.1066284944359426</v>
      </c>
      <c r="BZ828" t="s">
        <v>2573</v>
      </c>
      <c r="CA828" t="s">
        <v>983</v>
      </c>
      <c r="CB828" t="b">
        <v>1</v>
      </c>
      <c r="CC828" t="b">
        <v>0</v>
      </c>
      <c r="CD828" t="b">
        <v>0</v>
      </c>
      <c r="CE828" t="b">
        <v>0</v>
      </c>
      <c r="CF828" t="b">
        <v>0</v>
      </c>
    </row>
    <row r="829" spans="1:84" x14ac:dyDescent="0.3">
      <c r="A829" t="s">
        <v>2878</v>
      </c>
      <c r="B829" t="s">
        <v>1161</v>
      </c>
      <c r="C829" s="98">
        <v>45677</v>
      </c>
      <c r="D829">
        <v>2025</v>
      </c>
      <c r="E829">
        <v>1</v>
      </c>
      <c r="F829">
        <v>1</v>
      </c>
      <c r="G829" t="s">
        <v>1144</v>
      </c>
      <c r="H829" t="s">
        <v>141</v>
      </c>
      <c r="I829" t="s">
        <v>141</v>
      </c>
      <c r="J829" t="s">
        <v>6</v>
      </c>
      <c r="L829">
        <v>522611</v>
      </c>
      <c r="M829" s="99" t="s">
        <v>178</v>
      </c>
      <c r="N829">
        <v>1</v>
      </c>
      <c r="O829">
        <v>3</v>
      </c>
      <c r="P829">
        <v>0.30909999999999999</v>
      </c>
      <c r="Q829" t="s">
        <v>352</v>
      </c>
      <c r="R829">
        <v>1</v>
      </c>
      <c r="S829">
        <v>0.2928</v>
      </c>
      <c r="T829">
        <v>1.67E-2</v>
      </c>
      <c r="U829">
        <v>0.97604790419161569</v>
      </c>
      <c r="V829">
        <v>0.2427</v>
      </c>
      <c r="W829">
        <v>0.25940000000000002</v>
      </c>
      <c r="X829">
        <v>0.27610000000000001</v>
      </c>
      <c r="Y829">
        <v>0.3095</v>
      </c>
      <c r="Z829">
        <v>0.32619999999999999</v>
      </c>
      <c r="AA829">
        <v>0.34289999999999998</v>
      </c>
      <c r="AD829">
        <v>43.555633017205778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 t="s">
        <v>462</v>
      </c>
      <c r="AL829" t="s">
        <v>6</v>
      </c>
      <c r="AM829" t="s">
        <v>1145</v>
      </c>
      <c r="AN829" t="s">
        <v>1146</v>
      </c>
      <c r="AO829" s="100">
        <v>46262.040405092594</v>
      </c>
      <c r="AP829" t="s">
        <v>1147</v>
      </c>
      <c r="AQ829" t="s">
        <v>2879</v>
      </c>
      <c r="AR829" t="s">
        <v>1163</v>
      </c>
      <c r="AS829" t="s">
        <v>1150</v>
      </c>
      <c r="AT829" t="s">
        <v>2875</v>
      </c>
      <c r="AU829">
        <v>25</v>
      </c>
      <c r="AV829">
        <v>0.28698400000000002</v>
      </c>
      <c r="AW829">
        <v>1.636262713217736E-2</v>
      </c>
      <c r="AX829">
        <v>5.7015816673324506</v>
      </c>
      <c r="AY829">
        <v>-1.6533305261415048</v>
      </c>
      <c r="AZ829">
        <v>11.060940277240048</v>
      </c>
      <c r="BA829">
        <v>7.3492418307618035</v>
      </c>
      <c r="BB829" t="s">
        <v>4619</v>
      </c>
      <c r="BD829" s="98"/>
      <c r="BE829" s="98"/>
      <c r="BF829" t="s">
        <v>1152</v>
      </c>
      <c r="BG829" t="s">
        <v>322</v>
      </c>
      <c r="BH829" t="s">
        <v>1153</v>
      </c>
      <c r="BI829">
        <v>1.6533305261415048</v>
      </c>
      <c r="BJ829" t="s">
        <v>983</v>
      </c>
      <c r="BK829">
        <v>32.494692739965728</v>
      </c>
      <c r="BL829">
        <v>74.605029221201661</v>
      </c>
      <c r="BM829" t="s">
        <v>1260</v>
      </c>
      <c r="BN829" t="s">
        <v>1154</v>
      </c>
      <c r="BO829">
        <v>2025</v>
      </c>
      <c r="BP829" t="s">
        <v>966</v>
      </c>
      <c r="BQ829">
        <v>1.0315291398832471E-2</v>
      </c>
      <c r="BR829">
        <v>99.999998968470862</v>
      </c>
      <c r="BS829" t="s">
        <v>984</v>
      </c>
      <c r="BT829">
        <v>3</v>
      </c>
      <c r="BU829">
        <v>1</v>
      </c>
      <c r="BV829" t="s">
        <v>985</v>
      </c>
      <c r="BW829" t="s">
        <v>943</v>
      </c>
      <c r="BX829" t="s">
        <v>986</v>
      </c>
      <c r="BY829">
        <v>7.1066284944359426</v>
      </c>
      <c r="BZ829" t="s">
        <v>2573</v>
      </c>
      <c r="CA829" t="s">
        <v>983</v>
      </c>
      <c r="CB829" t="b">
        <v>1</v>
      </c>
      <c r="CC829" t="b">
        <v>0</v>
      </c>
      <c r="CD829" t="b">
        <v>0</v>
      </c>
      <c r="CE829" t="b">
        <v>0</v>
      </c>
      <c r="CF829" t="b">
        <v>0</v>
      </c>
    </row>
    <row r="830" spans="1:84" x14ac:dyDescent="0.3">
      <c r="A830" t="s">
        <v>2880</v>
      </c>
      <c r="B830" t="s">
        <v>1165</v>
      </c>
      <c r="C830" s="98">
        <v>45684</v>
      </c>
      <c r="D830">
        <v>2025</v>
      </c>
      <c r="E830">
        <v>1</v>
      </c>
      <c r="F830">
        <v>1</v>
      </c>
      <c r="G830" t="s">
        <v>1144</v>
      </c>
      <c r="H830" t="s">
        <v>141</v>
      </c>
      <c r="I830" t="s">
        <v>141</v>
      </c>
      <c r="J830" t="s">
        <v>6</v>
      </c>
      <c r="L830">
        <v>522611</v>
      </c>
      <c r="M830" s="99" t="s">
        <v>178</v>
      </c>
      <c r="N830">
        <v>1</v>
      </c>
      <c r="O830">
        <v>4</v>
      </c>
      <c r="P830">
        <v>0.33560000000000001</v>
      </c>
      <c r="Q830" t="s">
        <v>352</v>
      </c>
      <c r="R830">
        <v>1</v>
      </c>
      <c r="S830">
        <v>0.2928</v>
      </c>
      <c r="T830">
        <v>1.67E-2</v>
      </c>
      <c r="U830">
        <v>2.5628742514970062</v>
      </c>
      <c r="V830">
        <v>0.2427</v>
      </c>
      <c r="W830">
        <v>0.25940000000000002</v>
      </c>
      <c r="X830">
        <v>0.27610000000000001</v>
      </c>
      <c r="Y830">
        <v>0.3095</v>
      </c>
      <c r="Z830">
        <v>0.32619999999999999</v>
      </c>
      <c r="AA830">
        <v>0.34289999999999998</v>
      </c>
      <c r="AD830">
        <v>43.555633017205778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1</v>
      </c>
      <c r="AK830" t="s">
        <v>462</v>
      </c>
      <c r="AL830" t="s">
        <v>6</v>
      </c>
      <c r="AM830" t="s">
        <v>1145</v>
      </c>
      <c r="AN830" t="s">
        <v>1146</v>
      </c>
      <c r="AO830" s="100">
        <v>46262.040405092594</v>
      </c>
      <c r="AP830" t="s">
        <v>1147</v>
      </c>
      <c r="AQ830" t="s">
        <v>2881</v>
      </c>
      <c r="AR830" t="s">
        <v>1167</v>
      </c>
      <c r="AS830" t="s">
        <v>1150</v>
      </c>
      <c r="AT830" t="s">
        <v>2875</v>
      </c>
      <c r="AU830">
        <v>25</v>
      </c>
      <c r="AV830">
        <v>0.28698400000000002</v>
      </c>
      <c r="AW830">
        <v>1.636262713217736E-2</v>
      </c>
      <c r="AX830">
        <v>5.7015816673324506</v>
      </c>
      <c r="AY830">
        <v>-1.6533305261415048</v>
      </c>
      <c r="AZ830">
        <v>11.060940277240048</v>
      </c>
      <c r="BA830">
        <v>7.3492418307618035</v>
      </c>
      <c r="BB830" t="s">
        <v>4619</v>
      </c>
      <c r="BD830" s="98"/>
      <c r="BE830" s="98"/>
      <c r="BF830" t="s">
        <v>1152</v>
      </c>
      <c r="BG830" t="s">
        <v>322</v>
      </c>
      <c r="BH830" t="s">
        <v>1153</v>
      </c>
      <c r="BI830">
        <v>1.6533305261415048</v>
      </c>
      <c r="BJ830" t="s">
        <v>983</v>
      </c>
      <c r="BK830">
        <v>32.494692739965728</v>
      </c>
      <c r="BL830">
        <v>74.605029221201661</v>
      </c>
      <c r="BM830" t="s">
        <v>1260</v>
      </c>
      <c r="BN830" t="s">
        <v>1154</v>
      </c>
      <c r="BO830">
        <v>2025</v>
      </c>
      <c r="BP830" t="s">
        <v>966</v>
      </c>
      <c r="BQ830">
        <v>1.0315291398832471E-2</v>
      </c>
      <c r="BR830">
        <v>99.999998968470862</v>
      </c>
      <c r="BS830" t="s">
        <v>984</v>
      </c>
      <c r="BT830">
        <v>3</v>
      </c>
      <c r="BU830">
        <v>1</v>
      </c>
      <c r="BV830" t="s">
        <v>985</v>
      </c>
      <c r="BW830" t="s">
        <v>943</v>
      </c>
      <c r="BX830" t="s">
        <v>986</v>
      </c>
      <c r="BY830">
        <v>7.1066284944359426</v>
      </c>
      <c r="BZ830" t="s">
        <v>2573</v>
      </c>
      <c r="CA830" t="s">
        <v>983</v>
      </c>
      <c r="CB830" t="b">
        <v>1</v>
      </c>
      <c r="CC830" t="b">
        <v>0</v>
      </c>
      <c r="CD830" t="b">
        <v>0</v>
      </c>
      <c r="CE830" t="b">
        <v>0</v>
      </c>
      <c r="CF830" t="b">
        <v>0</v>
      </c>
    </row>
    <row r="831" spans="1:84" x14ac:dyDescent="0.3">
      <c r="A831" t="s">
        <v>2882</v>
      </c>
      <c r="B831" t="s">
        <v>1169</v>
      </c>
      <c r="C831" s="98">
        <v>45691</v>
      </c>
      <c r="D831">
        <v>2025</v>
      </c>
      <c r="E831">
        <v>2</v>
      </c>
      <c r="F831">
        <v>1</v>
      </c>
      <c r="G831" t="s">
        <v>1170</v>
      </c>
      <c r="H831" t="s">
        <v>141</v>
      </c>
      <c r="I831" t="s">
        <v>141</v>
      </c>
      <c r="J831" t="s">
        <v>6</v>
      </c>
      <c r="L831">
        <v>522611</v>
      </c>
      <c r="M831" s="99" t="s">
        <v>178</v>
      </c>
      <c r="N831">
        <v>1</v>
      </c>
      <c r="O831">
        <v>5</v>
      </c>
      <c r="P831">
        <v>0.27600000000000002</v>
      </c>
      <c r="Q831" t="s">
        <v>352</v>
      </c>
      <c r="R831">
        <v>1</v>
      </c>
      <c r="S831">
        <v>0.2928</v>
      </c>
      <c r="T831">
        <v>1.67E-2</v>
      </c>
      <c r="U831">
        <v>-1.0059880239520946</v>
      </c>
      <c r="V831">
        <v>0.2427</v>
      </c>
      <c r="W831">
        <v>0.25940000000000002</v>
      </c>
      <c r="X831">
        <v>0.27610000000000001</v>
      </c>
      <c r="Y831">
        <v>0.3095</v>
      </c>
      <c r="Z831">
        <v>0.32619999999999999</v>
      </c>
      <c r="AA831">
        <v>0.34289999999999998</v>
      </c>
      <c r="AD831">
        <v>43.555633017205778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 t="s">
        <v>462</v>
      </c>
      <c r="AL831" t="s">
        <v>6</v>
      </c>
      <c r="AM831" t="s">
        <v>1145</v>
      </c>
      <c r="AN831" t="s">
        <v>1146</v>
      </c>
      <c r="AO831" s="100">
        <v>46262.040405092594</v>
      </c>
      <c r="AP831" t="s">
        <v>1147</v>
      </c>
      <c r="AQ831" t="s">
        <v>2883</v>
      </c>
      <c r="AR831" t="s">
        <v>1172</v>
      </c>
      <c r="AS831" t="s">
        <v>1150</v>
      </c>
      <c r="AT831" t="s">
        <v>2875</v>
      </c>
      <c r="AU831">
        <v>25</v>
      </c>
      <c r="AV831">
        <v>0.28698400000000002</v>
      </c>
      <c r="AW831">
        <v>1.636262713217736E-2</v>
      </c>
      <c r="AX831">
        <v>5.7015816673324506</v>
      </c>
      <c r="AY831">
        <v>-1.6533305261415048</v>
      </c>
      <c r="AZ831">
        <v>11.060940277240048</v>
      </c>
      <c r="BA831">
        <v>7.3492418307618035</v>
      </c>
      <c r="BB831" t="s">
        <v>4619</v>
      </c>
      <c r="BD831" s="98"/>
      <c r="BE831" s="98"/>
      <c r="BF831" t="s">
        <v>1152</v>
      </c>
      <c r="BG831" t="s">
        <v>322</v>
      </c>
      <c r="BH831" t="s">
        <v>1153</v>
      </c>
      <c r="BI831">
        <v>1.6533305261415048</v>
      </c>
      <c r="BJ831" t="s">
        <v>983</v>
      </c>
      <c r="BK831">
        <v>32.494692739965728</v>
      </c>
      <c r="BL831">
        <v>74.605029221201661</v>
      </c>
      <c r="BM831" t="s">
        <v>1260</v>
      </c>
      <c r="BN831" t="s">
        <v>1154</v>
      </c>
      <c r="BO831">
        <v>2025</v>
      </c>
      <c r="BP831" t="s">
        <v>966</v>
      </c>
      <c r="BQ831">
        <v>1.0315291398832471E-2</v>
      </c>
      <c r="BR831">
        <v>99.999998968470862</v>
      </c>
      <c r="BS831" t="s">
        <v>984</v>
      </c>
      <c r="BT831">
        <v>3</v>
      </c>
      <c r="BU831">
        <v>1</v>
      </c>
      <c r="BV831" t="s">
        <v>985</v>
      </c>
      <c r="BW831" t="s">
        <v>943</v>
      </c>
      <c r="BX831" t="s">
        <v>986</v>
      </c>
      <c r="BY831">
        <v>7.1066284944359426</v>
      </c>
      <c r="BZ831" t="s">
        <v>2573</v>
      </c>
      <c r="CA831" t="s">
        <v>983</v>
      </c>
      <c r="CB831" t="b">
        <v>1</v>
      </c>
      <c r="CC831" t="b">
        <v>0</v>
      </c>
      <c r="CD831" t="b">
        <v>0</v>
      </c>
      <c r="CE831" t="b">
        <v>0</v>
      </c>
      <c r="CF831" t="b">
        <v>0</v>
      </c>
    </row>
    <row r="832" spans="1:84" x14ac:dyDescent="0.3">
      <c r="A832" t="s">
        <v>2884</v>
      </c>
      <c r="B832" t="s">
        <v>1174</v>
      </c>
      <c r="C832" s="98">
        <v>45698</v>
      </c>
      <c r="D832">
        <v>2025</v>
      </c>
      <c r="E832">
        <v>2</v>
      </c>
      <c r="F832">
        <v>1</v>
      </c>
      <c r="G832" t="s">
        <v>1170</v>
      </c>
      <c r="H832" t="s">
        <v>141</v>
      </c>
      <c r="I832" t="s">
        <v>141</v>
      </c>
      <c r="J832" t="s">
        <v>6</v>
      </c>
      <c r="L832">
        <v>522611</v>
      </c>
      <c r="M832" s="99" t="s">
        <v>178</v>
      </c>
      <c r="N832">
        <v>1</v>
      </c>
      <c r="O832">
        <v>6</v>
      </c>
      <c r="P832">
        <v>0.28499999999999998</v>
      </c>
      <c r="Q832" t="s">
        <v>352</v>
      </c>
      <c r="R832">
        <v>1</v>
      </c>
      <c r="S832">
        <v>0.2928</v>
      </c>
      <c r="T832">
        <v>1.67E-2</v>
      </c>
      <c r="U832">
        <v>-0.46706586826347479</v>
      </c>
      <c r="V832">
        <v>0.2427</v>
      </c>
      <c r="W832">
        <v>0.25940000000000002</v>
      </c>
      <c r="X832">
        <v>0.27610000000000001</v>
      </c>
      <c r="Y832">
        <v>0.3095</v>
      </c>
      <c r="Z832">
        <v>0.32619999999999999</v>
      </c>
      <c r="AA832">
        <v>0.34289999999999998</v>
      </c>
      <c r="AD832">
        <v>43.555633017205778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 t="s">
        <v>462</v>
      </c>
      <c r="AL832" t="s">
        <v>6</v>
      </c>
      <c r="AM832" t="s">
        <v>1145</v>
      </c>
      <c r="AN832" t="s">
        <v>1146</v>
      </c>
      <c r="AO832" s="100">
        <v>46262.040405092594</v>
      </c>
      <c r="AP832" t="s">
        <v>1147</v>
      </c>
      <c r="AQ832" t="s">
        <v>2885</v>
      </c>
      <c r="AR832" t="s">
        <v>1176</v>
      </c>
      <c r="AS832" t="s">
        <v>1150</v>
      </c>
      <c r="AT832" t="s">
        <v>2875</v>
      </c>
      <c r="AU832">
        <v>25</v>
      </c>
      <c r="AV832">
        <v>0.28698400000000002</v>
      </c>
      <c r="AW832">
        <v>1.636262713217736E-2</v>
      </c>
      <c r="AX832">
        <v>5.7015816673324506</v>
      </c>
      <c r="AY832">
        <v>-1.6533305261415048</v>
      </c>
      <c r="AZ832">
        <v>11.060940277240048</v>
      </c>
      <c r="BA832">
        <v>7.3492418307618035</v>
      </c>
      <c r="BB832" t="s">
        <v>4619</v>
      </c>
      <c r="BD832" s="98"/>
      <c r="BE832" s="98"/>
      <c r="BF832" t="s">
        <v>1152</v>
      </c>
      <c r="BG832" t="s">
        <v>322</v>
      </c>
      <c r="BH832" t="s">
        <v>1153</v>
      </c>
      <c r="BI832">
        <v>1.6533305261415048</v>
      </c>
      <c r="BJ832" t="s">
        <v>983</v>
      </c>
      <c r="BK832">
        <v>32.494692739965728</v>
      </c>
      <c r="BL832">
        <v>74.605029221201661</v>
      </c>
      <c r="BM832" t="s">
        <v>1260</v>
      </c>
      <c r="BN832" t="s">
        <v>1154</v>
      </c>
      <c r="BO832">
        <v>2025</v>
      </c>
      <c r="BP832" t="s">
        <v>966</v>
      </c>
      <c r="BQ832">
        <v>1.0315291398832471E-2</v>
      </c>
      <c r="BR832">
        <v>99.999998968470862</v>
      </c>
      <c r="BS832" t="s">
        <v>984</v>
      </c>
      <c r="BT832">
        <v>3</v>
      </c>
      <c r="BU832">
        <v>1</v>
      </c>
      <c r="BV832" t="s">
        <v>985</v>
      </c>
      <c r="BW832" t="s">
        <v>943</v>
      </c>
      <c r="BX832" t="s">
        <v>986</v>
      </c>
      <c r="BY832">
        <v>7.1066284944359426</v>
      </c>
      <c r="BZ832" t="s">
        <v>2573</v>
      </c>
      <c r="CA832" t="s">
        <v>983</v>
      </c>
      <c r="CB832" t="b">
        <v>1</v>
      </c>
      <c r="CC832" t="b">
        <v>0</v>
      </c>
      <c r="CD832" t="b">
        <v>0</v>
      </c>
      <c r="CE832" t="b">
        <v>0</v>
      </c>
      <c r="CF832" t="b">
        <v>0</v>
      </c>
    </row>
    <row r="833" spans="1:84" x14ac:dyDescent="0.3">
      <c r="A833" t="s">
        <v>2886</v>
      </c>
      <c r="B833" t="s">
        <v>1178</v>
      </c>
      <c r="C833" s="98">
        <v>45705</v>
      </c>
      <c r="D833">
        <v>2025</v>
      </c>
      <c r="E833">
        <v>2</v>
      </c>
      <c r="F833">
        <v>1</v>
      </c>
      <c r="G833" t="s">
        <v>1170</v>
      </c>
      <c r="H833" t="s">
        <v>141</v>
      </c>
      <c r="I833" t="s">
        <v>141</v>
      </c>
      <c r="J833" t="s">
        <v>6</v>
      </c>
      <c r="L833">
        <v>522611</v>
      </c>
      <c r="M833" s="99" t="s">
        <v>178</v>
      </c>
      <c r="N833">
        <v>1</v>
      </c>
      <c r="O833">
        <v>7</v>
      </c>
      <c r="P833">
        <v>0.27879999999999999</v>
      </c>
      <c r="Q833" t="s">
        <v>352</v>
      </c>
      <c r="R833">
        <v>1</v>
      </c>
      <c r="S833">
        <v>0.2928</v>
      </c>
      <c r="T833">
        <v>1.67E-2</v>
      </c>
      <c r="U833">
        <v>-0.8383233532934139</v>
      </c>
      <c r="V833">
        <v>0.2427</v>
      </c>
      <c r="W833">
        <v>0.25940000000000002</v>
      </c>
      <c r="X833">
        <v>0.27610000000000001</v>
      </c>
      <c r="Y833">
        <v>0.3095</v>
      </c>
      <c r="Z833">
        <v>0.32619999999999999</v>
      </c>
      <c r="AA833">
        <v>0.34289999999999998</v>
      </c>
      <c r="AD833">
        <v>43.555633017205778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 t="s">
        <v>462</v>
      </c>
      <c r="AL833" t="s">
        <v>6</v>
      </c>
      <c r="AM833" t="s">
        <v>1145</v>
      </c>
      <c r="AN833" t="s">
        <v>1146</v>
      </c>
      <c r="AO833" s="100">
        <v>46262.040405092594</v>
      </c>
      <c r="AP833" t="s">
        <v>1147</v>
      </c>
      <c r="AQ833" t="s">
        <v>2887</v>
      </c>
      <c r="AR833" t="s">
        <v>1180</v>
      </c>
      <c r="AS833" t="s">
        <v>1150</v>
      </c>
      <c r="AT833" t="s">
        <v>2875</v>
      </c>
      <c r="AU833">
        <v>25</v>
      </c>
      <c r="AV833">
        <v>0.28698400000000002</v>
      </c>
      <c r="AW833">
        <v>1.636262713217736E-2</v>
      </c>
      <c r="AX833">
        <v>5.7015816673324506</v>
      </c>
      <c r="AY833">
        <v>-1.6533305261415048</v>
      </c>
      <c r="AZ833">
        <v>11.060940277240048</v>
      </c>
      <c r="BA833">
        <v>7.3492418307618035</v>
      </c>
      <c r="BB833" t="s">
        <v>4619</v>
      </c>
      <c r="BD833" s="98"/>
      <c r="BE833" s="98"/>
      <c r="BF833" t="s">
        <v>1152</v>
      </c>
      <c r="BG833" t="s">
        <v>322</v>
      </c>
      <c r="BH833" t="s">
        <v>1153</v>
      </c>
      <c r="BI833">
        <v>1.6533305261415048</v>
      </c>
      <c r="BJ833" t="s">
        <v>983</v>
      </c>
      <c r="BK833">
        <v>32.494692739965728</v>
      </c>
      <c r="BL833">
        <v>74.605029221201661</v>
      </c>
      <c r="BM833" t="s">
        <v>1260</v>
      </c>
      <c r="BN833" t="s">
        <v>1154</v>
      </c>
      <c r="BO833">
        <v>2025</v>
      </c>
      <c r="BP833" t="s">
        <v>966</v>
      </c>
      <c r="BQ833">
        <v>1.0315291398832471E-2</v>
      </c>
      <c r="BR833">
        <v>99.999998968470862</v>
      </c>
      <c r="BS833" t="s">
        <v>984</v>
      </c>
      <c r="BT833">
        <v>3</v>
      </c>
      <c r="BU833">
        <v>1</v>
      </c>
      <c r="BV833" t="s">
        <v>985</v>
      </c>
      <c r="BW833" t="s">
        <v>943</v>
      </c>
      <c r="BX833" t="s">
        <v>986</v>
      </c>
      <c r="BY833">
        <v>7.1066284944359426</v>
      </c>
      <c r="BZ833" t="s">
        <v>2573</v>
      </c>
      <c r="CA833" t="s">
        <v>983</v>
      </c>
      <c r="CB833" t="b">
        <v>1</v>
      </c>
      <c r="CC833" t="b">
        <v>0</v>
      </c>
      <c r="CD833" t="b">
        <v>0</v>
      </c>
      <c r="CE833" t="b">
        <v>0</v>
      </c>
      <c r="CF833" t="b">
        <v>0</v>
      </c>
    </row>
    <row r="834" spans="1:84" x14ac:dyDescent="0.3">
      <c r="A834" t="s">
        <v>2888</v>
      </c>
      <c r="B834" t="s">
        <v>1182</v>
      </c>
      <c r="C834" s="98">
        <v>45712</v>
      </c>
      <c r="D834">
        <v>2025</v>
      </c>
      <c r="E834">
        <v>2</v>
      </c>
      <c r="F834">
        <v>1</v>
      </c>
      <c r="G834" t="s">
        <v>1170</v>
      </c>
      <c r="H834" t="s">
        <v>141</v>
      </c>
      <c r="I834" t="s">
        <v>141</v>
      </c>
      <c r="J834" t="s">
        <v>6</v>
      </c>
      <c r="L834">
        <v>522611</v>
      </c>
      <c r="M834" s="99" t="s">
        <v>178</v>
      </c>
      <c r="N834">
        <v>1</v>
      </c>
      <c r="O834">
        <v>8</v>
      </c>
      <c r="P834">
        <v>0.30580000000000002</v>
      </c>
      <c r="Q834" t="s">
        <v>352</v>
      </c>
      <c r="R834">
        <v>1</v>
      </c>
      <c r="S834">
        <v>0.2928</v>
      </c>
      <c r="T834">
        <v>1.67E-2</v>
      </c>
      <c r="U834">
        <v>0.77844311377245579</v>
      </c>
      <c r="V834">
        <v>0.2427</v>
      </c>
      <c r="W834">
        <v>0.25940000000000002</v>
      </c>
      <c r="X834">
        <v>0.27610000000000001</v>
      </c>
      <c r="Y834">
        <v>0.3095</v>
      </c>
      <c r="Z834">
        <v>0.32619999999999999</v>
      </c>
      <c r="AA834">
        <v>0.34289999999999998</v>
      </c>
      <c r="AD834">
        <v>43.555633017205778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 t="s">
        <v>462</v>
      </c>
      <c r="AL834" t="s">
        <v>6</v>
      </c>
      <c r="AM834" t="s">
        <v>1145</v>
      </c>
      <c r="AN834" t="s">
        <v>1146</v>
      </c>
      <c r="AO834" s="100">
        <v>46262.040405092594</v>
      </c>
      <c r="AP834" t="s">
        <v>1147</v>
      </c>
      <c r="AQ834" t="s">
        <v>2889</v>
      </c>
      <c r="AR834" t="s">
        <v>1184</v>
      </c>
      <c r="AS834" t="s">
        <v>1150</v>
      </c>
      <c r="AT834" t="s">
        <v>2875</v>
      </c>
      <c r="AU834">
        <v>25</v>
      </c>
      <c r="AV834">
        <v>0.28698400000000002</v>
      </c>
      <c r="AW834">
        <v>1.636262713217736E-2</v>
      </c>
      <c r="AX834">
        <v>5.7015816673324506</v>
      </c>
      <c r="AY834">
        <v>-1.6533305261415048</v>
      </c>
      <c r="AZ834">
        <v>11.060940277240048</v>
      </c>
      <c r="BA834">
        <v>7.3492418307618035</v>
      </c>
      <c r="BB834" t="s">
        <v>4619</v>
      </c>
      <c r="BD834" s="98"/>
      <c r="BE834" s="98"/>
      <c r="BF834" t="s">
        <v>1152</v>
      </c>
      <c r="BG834" t="s">
        <v>322</v>
      </c>
      <c r="BH834" t="s">
        <v>1153</v>
      </c>
      <c r="BI834">
        <v>1.6533305261415048</v>
      </c>
      <c r="BJ834" t="s">
        <v>983</v>
      </c>
      <c r="BK834">
        <v>32.494692739965728</v>
      </c>
      <c r="BL834">
        <v>74.605029221201661</v>
      </c>
      <c r="BM834" t="s">
        <v>1260</v>
      </c>
      <c r="BN834" t="s">
        <v>1154</v>
      </c>
      <c r="BO834">
        <v>2025</v>
      </c>
      <c r="BP834" t="s">
        <v>966</v>
      </c>
      <c r="BQ834">
        <v>1.0315291398832471E-2</v>
      </c>
      <c r="BR834">
        <v>99.999998968470862</v>
      </c>
      <c r="BS834" t="s">
        <v>984</v>
      </c>
      <c r="BT834">
        <v>3</v>
      </c>
      <c r="BU834">
        <v>1</v>
      </c>
      <c r="BV834" t="s">
        <v>985</v>
      </c>
      <c r="BW834" t="s">
        <v>943</v>
      </c>
      <c r="BX834" t="s">
        <v>986</v>
      </c>
      <c r="BY834">
        <v>7.1066284944359426</v>
      </c>
      <c r="BZ834" t="s">
        <v>2573</v>
      </c>
      <c r="CA834" t="s">
        <v>983</v>
      </c>
      <c r="CB834" t="b">
        <v>1</v>
      </c>
      <c r="CC834" t="b">
        <v>0</v>
      </c>
      <c r="CD834" t="b">
        <v>0</v>
      </c>
      <c r="CE834" t="b">
        <v>0</v>
      </c>
      <c r="CF834" t="b">
        <v>0</v>
      </c>
    </row>
    <row r="835" spans="1:84" x14ac:dyDescent="0.3">
      <c r="A835" t="s">
        <v>2890</v>
      </c>
      <c r="B835" t="s">
        <v>1186</v>
      </c>
      <c r="C835" s="98">
        <v>45719</v>
      </c>
      <c r="D835">
        <v>2025</v>
      </c>
      <c r="E835">
        <v>3</v>
      </c>
      <c r="F835">
        <v>1</v>
      </c>
      <c r="G835" t="s">
        <v>1187</v>
      </c>
      <c r="H835" t="s">
        <v>141</v>
      </c>
      <c r="I835" t="s">
        <v>141</v>
      </c>
      <c r="J835" t="s">
        <v>6</v>
      </c>
      <c r="L835">
        <v>522611</v>
      </c>
      <c r="M835" s="99" t="s">
        <v>178</v>
      </c>
      <c r="N835">
        <v>1</v>
      </c>
      <c r="O835">
        <v>9</v>
      </c>
      <c r="P835">
        <v>0.27360000000000001</v>
      </c>
      <c r="Q835" t="s">
        <v>352</v>
      </c>
      <c r="R835">
        <v>1</v>
      </c>
      <c r="S835">
        <v>0.2928</v>
      </c>
      <c r="T835">
        <v>1.67E-2</v>
      </c>
      <c r="U835">
        <v>-1.1497005988023949</v>
      </c>
      <c r="V835">
        <v>0.2427</v>
      </c>
      <c r="W835">
        <v>0.25940000000000002</v>
      </c>
      <c r="X835">
        <v>0.27610000000000001</v>
      </c>
      <c r="Y835">
        <v>0.3095</v>
      </c>
      <c r="Z835">
        <v>0.32619999999999999</v>
      </c>
      <c r="AA835">
        <v>0.34289999999999998</v>
      </c>
      <c r="AD835">
        <v>43.555633017205778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 t="s">
        <v>462</v>
      </c>
      <c r="AL835" t="s">
        <v>6</v>
      </c>
      <c r="AM835" t="s">
        <v>1145</v>
      </c>
      <c r="AN835" t="s">
        <v>1146</v>
      </c>
      <c r="AO835" s="100">
        <v>46262.040405092594</v>
      </c>
      <c r="AP835" t="s">
        <v>1147</v>
      </c>
      <c r="AQ835" t="s">
        <v>2891</v>
      </c>
      <c r="AR835" t="s">
        <v>1189</v>
      </c>
      <c r="AS835" t="s">
        <v>1150</v>
      </c>
      <c r="AT835" t="s">
        <v>2875</v>
      </c>
      <c r="AU835">
        <v>25</v>
      </c>
      <c r="AV835">
        <v>0.28698400000000002</v>
      </c>
      <c r="AW835">
        <v>1.636262713217736E-2</v>
      </c>
      <c r="AX835">
        <v>5.7015816673324506</v>
      </c>
      <c r="AY835">
        <v>-1.6533305261415048</v>
      </c>
      <c r="AZ835">
        <v>11.060940277240048</v>
      </c>
      <c r="BA835">
        <v>7.3492418307618035</v>
      </c>
      <c r="BB835" t="s">
        <v>4619</v>
      </c>
      <c r="BD835" s="98"/>
      <c r="BE835" s="98"/>
      <c r="BF835" t="s">
        <v>1152</v>
      </c>
      <c r="BG835" t="s">
        <v>322</v>
      </c>
      <c r="BH835" t="s">
        <v>1153</v>
      </c>
      <c r="BI835">
        <v>1.6533305261415048</v>
      </c>
      <c r="BJ835" t="s">
        <v>983</v>
      </c>
      <c r="BK835">
        <v>32.494692739965728</v>
      </c>
      <c r="BL835">
        <v>74.605029221201661</v>
      </c>
      <c r="BM835" t="s">
        <v>1260</v>
      </c>
      <c r="BN835" t="s">
        <v>1154</v>
      </c>
      <c r="BO835">
        <v>2025</v>
      </c>
      <c r="BP835" t="s">
        <v>966</v>
      </c>
      <c r="BQ835">
        <v>1.0315291398832471E-2</v>
      </c>
      <c r="BR835">
        <v>99.999998968470862</v>
      </c>
      <c r="BS835" t="s">
        <v>984</v>
      </c>
      <c r="BT835">
        <v>3</v>
      </c>
      <c r="BU835">
        <v>1</v>
      </c>
      <c r="BV835" t="s">
        <v>985</v>
      </c>
      <c r="BW835" t="s">
        <v>943</v>
      </c>
      <c r="BX835" t="s">
        <v>986</v>
      </c>
      <c r="BY835">
        <v>7.1066284944359426</v>
      </c>
      <c r="BZ835" t="s">
        <v>2573</v>
      </c>
      <c r="CA835" t="s">
        <v>983</v>
      </c>
      <c r="CB835" t="b">
        <v>1</v>
      </c>
      <c r="CC835" t="b">
        <v>0</v>
      </c>
      <c r="CD835" t="b">
        <v>0</v>
      </c>
      <c r="CE835" t="b">
        <v>0</v>
      </c>
      <c r="CF835" t="b">
        <v>0</v>
      </c>
    </row>
    <row r="836" spans="1:84" x14ac:dyDescent="0.3">
      <c r="A836" t="s">
        <v>2892</v>
      </c>
      <c r="B836" t="s">
        <v>1191</v>
      </c>
      <c r="C836" s="98">
        <v>45726</v>
      </c>
      <c r="D836">
        <v>2025</v>
      </c>
      <c r="E836">
        <v>3</v>
      </c>
      <c r="F836">
        <v>1</v>
      </c>
      <c r="G836" t="s">
        <v>1187</v>
      </c>
      <c r="H836" t="s">
        <v>141</v>
      </c>
      <c r="I836" t="s">
        <v>141</v>
      </c>
      <c r="J836" t="s">
        <v>6</v>
      </c>
      <c r="L836">
        <v>522611</v>
      </c>
      <c r="M836" s="99" t="s">
        <v>178</v>
      </c>
      <c r="N836">
        <v>1</v>
      </c>
      <c r="O836">
        <v>10</v>
      </c>
      <c r="P836">
        <v>0.28470000000000001</v>
      </c>
      <c r="Q836" t="s">
        <v>352</v>
      </c>
      <c r="R836">
        <v>1</v>
      </c>
      <c r="S836">
        <v>0.2928</v>
      </c>
      <c r="T836">
        <v>1.67E-2</v>
      </c>
      <c r="U836">
        <v>-0.48502994011976025</v>
      </c>
      <c r="V836">
        <v>0.2427</v>
      </c>
      <c r="W836">
        <v>0.25940000000000002</v>
      </c>
      <c r="X836">
        <v>0.27610000000000001</v>
      </c>
      <c r="Y836">
        <v>0.3095</v>
      </c>
      <c r="Z836">
        <v>0.32619999999999999</v>
      </c>
      <c r="AA836">
        <v>0.34289999999999998</v>
      </c>
      <c r="AD836">
        <v>43.555633017205778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 t="s">
        <v>462</v>
      </c>
      <c r="AL836" t="s">
        <v>6</v>
      </c>
      <c r="AM836" t="s">
        <v>1145</v>
      </c>
      <c r="AN836" t="s">
        <v>1146</v>
      </c>
      <c r="AO836" s="100">
        <v>46262.040405092594</v>
      </c>
      <c r="AP836" t="s">
        <v>1147</v>
      </c>
      <c r="AQ836" t="s">
        <v>2893</v>
      </c>
      <c r="AR836" t="s">
        <v>1193</v>
      </c>
      <c r="AS836" t="s">
        <v>1150</v>
      </c>
      <c r="AT836" t="s">
        <v>2875</v>
      </c>
      <c r="AU836">
        <v>25</v>
      </c>
      <c r="AV836">
        <v>0.28698400000000002</v>
      </c>
      <c r="AW836">
        <v>1.636262713217736E-2</v>
      </c>
      <c r="AX836">
        <v>5.7015816673324506</v>
      </c>
      <c r="AY836">
        <v>-1.6533305261415048</v>
      </c>
      <c r="AZ836">
        <v>11.060940277240048</v>
      </c>
      <c r="BA836">
        <v>7.3492418307618035</v>
      </c>
      <c r="BB836" t="s">
        <v>4619</v>
      </c>
      <c r="BD836" s="98"/>
      <c r="BE836" s="98"/>
      <c r="BF836" t="s">
        <v>1152</v>
      </c>
      <c r="BG836" t="s">
        <v>322</v>
      </c>
      <c r="BH836" t="s">
        <v>1153</v>
      </c>
      <c r="BI836">
        <v>1.6533305261415048</v>
      </c>
      <c r="BJ836" t="s">
        <v>983</v>
      </c>
      <c r="BK836">
        <v>32.494692739965728</v>
      </c>
      <c r="BL836">
        <v>74.605029221201661</v>
      </c>
      <c r="BM836" t="s">
        <v>1260</v>
      </c>
      <c r="BN836" t="s">
        <v>1154</v>
      </c>
      <c r="BO836">
        <v>2025</v>
      </c>
      <c r="BP836" t="s">
        <v>966</v>
      </c>
      <c r="BQ836">
        <v>1.0315291398832471E-2</v>
      </c>
      <c r="BR836">
        <v>99.999998968470862</v>
      </c>
      <c r="BS836" t="s">
        <v>984</v>
      </c>
      <c r="BT836">
        <v>3</v>
      </c>
      <c r="BU836">
        <v>1</v>
      </c>
      <c r="BV836" t="s">
        <v>985</v>
      </c>
      <c r="BW836" t="s">
        <v>943</v>
      </c>
      <c r="BX836" t="s">
        <v>986</v>
      </c>
      <c r="BY836">
        <v>7.1066284944359426</v>
      </c>
      <c r="BZ836" t="s">
        <v>2573</v>
      </c>
      <c r="CA836" t="s">
        <v>983</v>
      </c>
      <c r="CB836" t="b">
        <v>1</v>
      </c>
      <c r="CC836" t="b">
        <v>0</v>
      </c>
      <c r="CD836" t="b">
        <v>0</v>
      </c>
      <c r="CE836" t="b">
        <v>0</v>
      </c>
      <c r="CF836" t="b">
        <v>0</v>
      </c>
    </row>
    <row r="837" spans="1:84" x14ac:dyDescent="0.3">
      <c r="A837" t="s">
        <v>2894</v>
      </c>
      <c r="B837" t="s">
        <v>1195</v>
      </c>
      <c r="C837" s="98">
        <v>45733</v>
      </c>
      <c r="D837">
        <v>2025</v>
      </c>
      <c r="E837">
        <v>3</v>
      </c>
      <c r="F837">
        <v>1</v>
      </c>
      <c r="G837" t="s">
        <v>1187</v>
      </c>
      <c r="H837" t="s">
        <v>141</v>
      </c>
      <c r="I837" t="s">
        <v>141</v>
      </c>
      <c r="J837" t="s">
        <v>6</v>
      </c>
      <c r="L837">
        <v>522611</v>
      </c>
      <c r="M837" s="99" t="s">
        <v>178</v>
      </c>
      <c r="N837">
        <v>1</v>
      </c>
      <c r="O837">
        <v>11</v>
      </c>
      <c r="P837">
        <v>0.2923</v>
      </c>
      <c r="Q837" t="s">
        <v>352</v>
      </c>
      <c r="R837">
        <v>1</v>
      </c>
      <c r="S837">
        <v>0.2928</v>
      </c>
      <c r="T837">
        <v>1.67E-2</v>
      </c>
      <c r="U837">
        <v>-2.994011976047907E-2</v>
      </c>
      <c r="V837">
        <v>0.2427</v>
      </c>
      <c r="W837">
        <v>0.25940000000000002</v>
      </c>
      <c r="X837">
        <v>0.27610000000000001</v>
      </c>
      <c r="Y837">
        <v>0.3095</v>
      </c>
      <c r="Z837">
        <v>0.32619999999999999</v>
      </c>
      <c r="AA837">
        <v>0.34289999999999998</v>
      </c>
      <c r="AD837">
        <v>43.555633017205778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 t="s">
        <v>462</v>
      </c>
      <c r="AL837" t="s">
        <v>6</v>
      </c>
      <c r="AM837" t="s">
        <v>1145</v>
      </c>
      <c r="AN837" t="s">
        <v>1146</v>
      </c>
      <c r="AO837" s="100">
        <v>46262.040405092594</v>
      </c>
      <c r="AP837" t="s">
        <v>1147</v>
      </c>
      <c r="AQ837" t="s">
        <v>2895</v>
      </c>
      <c r="AR837" t="s">
        <v>1197</v>
      </c>
      <c r="AS837" t="s">
        <v>1150</v>
      </c>
      <c r="AT837" t="s">
        <v>2875</v>
      </c>
      <c r="AU837">
        <v>25</v>
      </c>
      <c r="AV837">
        <v>0.28698400000000002</v>
      </c>
      <c r="AW837">
        <v>1.636262713217736E-2</v>
      </c>
      <c r="AX837">
        <v>5.7015816673324506</v>
      </c>
      <c r="AY837">
        <v>-1.6533305261415048</v>
      </c>
      <c r="AZ837">
        <v>11.060940277240048</v>
      </c>
      <c r="BA837">
        <v>7.3492418307618035</v>
      </c>
      <c r="BB837" t="s">
        <v>4619</v>
      </c>
      <c r="BD837" s="98"/>
      <c r="BE837" s="98"/>
      <c r="BF837" t="s">
        <v>1152</v>
      </c>
      <c r="BG837" t="s">
        <v>322</v>
      </c>
      <c r="BH837" t="s">
        <v>1153</v>
      </c>
      <c r="BI837">
        <v>1.6533305261415048</v>
      </c>
      <c r="BJ837" t="s">
        <v>983</v>
      </c>
      <c r="BK837">
        <v>32.494692739965728</v>
      </c>
      <c r="BL837">
        <v>74.605029221201661</v>
      </c>
      <c r="BM837" t="s">
        <v>1260</v>
      </c>
      <c r="BN837" t="s">
        <v>1154</v>
      </c>
      <c r="BO837">
        <v>2025</v>
      </c>
      <c r="BP837" t="s">
        <v>966</v>
      </c>
      <c r="BQ837">
        <v>1.0315291398832471E-2</v>
      </c>
      <c r="BR837">
        <v>99.999998968470862</v>
      </c>
      <c r="BS837" t="s">
        <v>984</v>
      </c>
      <c r="BT837">
        <v>3</v>
      </c>
      <c r="BU837">
        <v>1</v>
      </c>
      <c r="BV837" t="s">
        <v>985</v>
      </c>
      <c r="BW837" t="s">
        <v>943</v>
      </c>
      <c r="BX837" t="s">
        <v>986</v>
      </c>
      <c r="BY837">
        <v>7.1066284944359426</v>
      </c>
      <c r="BZ837" t="s">
        <v>2573</v>
      </c>
      <c r="CA837" t="s">
        <v>983</v>
      </c>
      <c r="CB837" t="b">
        <v>1</v>
      </c>
      <c r="CC837" t="b">
        <v>0</v>
      </c>
      <c r="CD837" t="b">
        <v>0</v>
      </c>
      <c r="CE837" t="b">
        <v>0</v>
      </c>
      <c r="CF837" t="b">
        <v>0</v>
      </c>
    </row>
    <row r="838" spans="1:84" x14ac:dyDescent="0.3">
      <c r="A838" t="s">
        <v>2896</v>
      </c>
      <c r="B838" t="s">
        <v>1199</v>
      </c>
      <c r="C838" s="98">
        <v>45740</v>
      </c>
      <c r="D838">
        <v>2025</v>
      </c>
      <c r="E838">
        <v>3</v>
      </c>
      <c r="F838">
        <v>1</v>
      </c>
      <c r="G838" t="s">
        <v>1187</v>
      </c>
      <c r="H838" t="s">
        <v>141</v>
      </c>
      <c r="I838" t="s">
        <v>141</v>
      </c>
      <c r="J838" t="s">
        <v>6</v>
      </c>
      <c r="L838">
        <v>522611</v>
      </c>
      <c r="M838" s="99" t="s">
        <v>178</v>
      </c>
      <c r="N838">
        <v>1</v>
      </c>
      <c r="O838">
        <v>12</v>
      </c>
      <c r="P838">
        <v>0.27639999999999998</v>
      </c>
      <c r="Q838" t="s">
        <v>352</v>
      </c>
      <c r="R838">
        <v>1</v>
      </c>
      <c r="S838">
        <v>0.2928</v>
      </c>
      <c r="T838">
        <v>1.67E-2</v>
      </c>
      <c r="U838">
        <v>-0.9820359281437141</v>
      </c>
      <c r="V838">
        <v>0.2427</v>
      </c>
      <c r="W838">
        <v>0.25940000000000002</v>
      </c>
      <c r="X838">
        <v>0.27610000000000001</v>
      </c>
      <c r="Y838">
        <v>0.3095</v>
      </c>
      <c r="Z838">
        <v>0.32619999999999999</v>
      </c>
      <c r="AA838">
        <v>0.34289999999999998</v>
      </c>
      <c r="AD838">
        <v>43.555633017205778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 t="s">
        <v>462</v>
      </c>
      <c r="AL838" t="s">
        <v>6</v>
      </c>
      <c r="AM838" t="s">
        <v>1145</v>
      </c>
      <c r="AN838" t="s">
        <v>1146</v>
      </c>
      <c r="AO838" s="100">
        <v>46262.040405092594</v>
      </c>
      <c r="AP838" t="s">
        <v>1147</v>
      </c>
      <c r="AQ838" t="s">
        <v>2897</v>
      </c>
      <c r="AR838" t="s">
        <v>1201</v>
      </c>
      <c r="AS838" t="s">
        <v>1150</v>
      </c>
      <c r="AT838" t="s">
        <v>2875</v>
      </c>
      <c r="AU838">
        <v>25</v>
      </c>
      <c r="AV838">
        <v>0.28698400000000002</v>
      </c>
      <c r="AW838">
        <v>1.636262713217736E-2</v>
      </c>
      <c r="AX838">
        <v>5.7015816673324506</v>
      </c>
      <c r="AY838">
        <v>-1.6533305261415048</v>
      </c>
      <c r="AZ838">
        <v>11.060940277240048</v>
      </c>
      <c r="BA838">
        <v>7.3492418307618035</v>
      </c>
      <c r="BB838" t="s">
        <v>4619</v>
      </c>
      <c r="BD838" s="98"/>
      <c r="BE838" s="98"/>
      <c r="BF838" t="s">
        <v>1152</v>
      </c>
      <c r="BG838" t="s">
        <v>322</v>
      </c>
      <c r="BH838" t="s">
        <v>1153</v>
      </c>
      <c r="BI838">
        <v>1.6533305261415048</v>
      </c>
      <c r="BJ838" t="s">
        <v>983</v>
      </c>
      <c r="BK838">
        <v>32.494692739965728</v>
      </c>
      <c r="BL838">
        <v>74.605029221201661</v>
      </c>
      <c r="BM838" t="s">
        <v>1260</v>
      </c>
      <c r="BN838" t="s">
        <v>1154</v>
      </c>
      <c r="BO838">
        <v>2025</v>
      </c>
      <c r="BP838" t="s">
        <v>966</v>
      </c>
      <c r="BQ838">
        <v>1.0315291398832471E-2</v>
      </c>
      <c r="BR838">
        <v>99.999998968470862</v>
      </c>
      <c r="BS838" t="s">
        <v>984</v>
      </c>
      <c r="BT838">
        <v>3</v>
      </c>
      <c r="BU838">
        <v>1</v>
      </c>
      <c r="BV838" t="s">
        <v>985</v>
      </c>
      <c r="BW838" t="s">
        <v>943</v>
      </c>
      <c r="BX838" t="s">
        <v>986</v>
      </c>
      <c r="BY838">
        <v>7.1066284944359426</v>
      </c>
      <c r="BZ838" t="s">
        <v>2573</v>
      </c>
      <c r="CA838" t="s">
        <v>983</v>
      </c>
      <c r="CB838" t="b">
        <v>1</v>
      </c>
      <c r="CC838" t="b">
        <v>0</v>
      </c>
      <c r="CD838" t="b">
        <v>0</v>
      </c>
      <c r="CE838" t="b">
        <v>0</v>
      </c>
      <c r="CF838" t="b">
        <v>0</v>
      </c>
    </row>
    <row r="839" spans="1:84" x14ac:dyDescent="0.3">
      <c r="A839" t="s">
        <v>2898</v>
      </c>
      <c r="B839" t="s">
        <v>1203</v>
      </c>
      <c r="C839" s="98">
        <v>45747</v>
      </c>
      <c r="D839">
        <v>2025</v>
      </c>
      <c r="E839">
        <v>3</v>
      </c>
      <c r="F839">
        <v>1</v>
      </c>
      <c r="G839" t="s">
        <v>1187</v>
      </c>
      <c r="H839" t="s">
        <v>141</v>
      </c>
      <c r="I839" t="s">
        <v>141</v>
      </c>
      <c r="J839" t="s">
        <v>6</v>
      </c>
      <c r="L839">
        <v>522611</v>
      </c>
      <c r="M839" s="99" t="s">
        <v>178</v>
      </c>
      <c r="N839">
        <v>1</v>
      </c>
      <c r="O839">
        <v>13</v>
      </c>
      <c r="P839">
        <v>0.27679999999999999</v>
      </c>
      <c r="Q839" t="s">
        <v>352</v>
      </c>
      <c r="R839">
        <v>1</v>
      </c>
      <c r="S839">
        <v>0.2928</v>
      </c>
      <c r="T839">
        <v>1.67E-2</v>
      </c>
      <c r="U839">
        <v>-0.95808383233533023</v>
      </c>
      <c r="V839">
        <v>0.2427</v>
      </c>
      <c r="W839">
        <v>0.25940000000000002</v>
      </c>
      <c r="X839">
        <v>0.27610000000000001</v>
      </c>
      <c r="Y839">
        <v>0.3095</v>
      </c>
      <c r="Z839">
        <v>0.32619999999999999</v>
      </c>
      <c r="AA839">
        <v>0.34289999999999998</v>
      </c>
      <c r="AD839">
        <v>43.555633017205778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 t="s">
        <v>462</v>
      </c>
      <c r="AL839" t="s">
        <v>6</v>
      </c>
      <c r="AM839" t="s">
        <v>1145</v>
      </c>
      <c r="AN839" t="s">
        <v>1146</v>
      </c>
      <c r="AO839" s="100">
        <v>46262.040405092594</v>
      </c>
      <c r="AP839" t="s">
        <v>1147</v>
      </c>
      <c r="AQ839" t="s">
        <v>2899</v>
      </c>
      <c r="AR839" t="s">
        <v>1205</v>
      </c>
      <c r="AS839" t="s">
        <v>1150</v>
      </c>
      <c r="AT839" t="s">
        <v>2875</v>
      </c>
      <c r="AU839">
        <v>25</v>
      </c>
      <c r="AV839">
        <v>0.28698400000000002</v>
      </c>
      <c r="AW839">
        <v>1.636262713217736E-2</v>
      </c>
      <c r="AX839">
        <v>5.7015816673324506</v>
      </c>
      <c r="AY839">
        <v>-1.6533305261415048</v>
      </c>
      <c r="AZ839">
        <v>11.060940277240048</v>
      </c>
      <c r="BA839">
        <v>7.3492418307618035</v>
      </c>
      <c r="BB839" t="s">
        <v>4619</v>
      </c>
      <c r="BD839" s="98"/>
      <c r="BE839" s="98"/>
      <c r="BF839" t="s">
        <v>1152</v>
      </c>
      <c r="BG839" t="s">
        <v>322</v>
      </c>
      <c r="BH839" t="s">
        <v>1153</v>
      </c>
      <c r="BI839">
        <v>1.6533305261415048</v>
      </c>
      <c r="BJ839" t="s">
        <v>983</v>
      </c>
      <c r="BK839">
        <v>32.494692739965728</v>
      </c>
      <c r="BL839">
        <v>74.605029221201661</v>
      </c>
      <c r="BM839" t="s">
        <v>1260</v>
      </c>
      <c r="BN839" t="s">
        <v>1154</v>
      </c>
      <c r="BO839">
        <v>2025</v>
      </c>
      <c r="BP839" t="s">
        <v>966</v>
      </c>
      <c r="BQ839">
        <v>1.0315291398832471E-2</v>
      </c>
      <c r="BR839">
        <v>99.999998968470862</v>
      </c>
      <c r="BS839" t="s">
        <v>984</v>
      </c>
      <c r="BT839">
        <v>3</v>
      </c>
      <c r="BU839">
        <v>1</v>
      </c>
      <c r="BV839" t="s">
        <v>985</v>
      </c>
      <c r="BW839" t="s">
        <v>943</v>
      </c>
      <c r="BX839" t="s">
        <v>986</v>
      </c>
      <c r="BY839">
        <v>7.1066284944359426</v>
      </c>
      <c r="BZ839" t="s">
        <v>2573</v>
      </c>
      <c r="CA839" t="s">
        <v>983</v>
      </c>
      <c r="CB839" t="b">
        <v>1</v>
      </c>
      <c r="CC839" t="b">
        <v>0</v>
      </c>
      <c r="CD839" t="b">
        <v>0</v>
      </c>
      <c r="CE839" t="b">
        <v>0</v>
      </c>
      <c r="CF839" t="b">
        <v>0</v>
      </c>
    </row>
    <row r="840" spans="1:84" x14ac:dyDescent="0.3">
      <c r="A840" t="s">
        <v>2900</v>
      </c>
      <c r="B840" t="s">
        <v>1207</v>
      </c>
      <c r="C840" s="98">
        <v>45754</v>
      </c>
      <c r="D840">
        <v>2025</v>
      </c>
      <c r="E840">
        <v>4</v>
      </c>
      <c r="F840">
        <v>2</v>
      </c>
      <c r="G840" t="s">
        <v>1208</v>
      </c>
      <c r="H840" t="s">
        <v>141</v>
      </c>
      <c r="I840" t="s">
        <v>141</v>
      </c>
      <c r="J840" t="s">
        <v>6</v>
      </c>
      <c r="L840">
        <v>522611</v>
      </c>
      <c r="M840" s="99" t="s">
        <v>178</v>
      </c>
      <c r="N840">
        <v>1</v>
      </c>
      <c r="O840">
        <v>14</v>
      </c>
      <c r="P840">
        <v>0.2848</v>
      </c>
      <c r="Q840" t="s">
        <v>352</v>
      </c>
      <c r="R840">
        <v>1</v>
      </c>
      <c r="S840">
        <v>0.2928</v>
      </c>
      <c r="T840">
        <v>1.67E-2</v>
      </c>
      <c r="U840">
        <v>-0.47904191616766512</v>
      </c>
      <c r="V840">
        <v>0.2427</v>
      </c>
      <c r="W840">
        <v>0.25940000000000002</v>
      </c>
      <c r="X840">
        <v>0.27610000000000001</v>
      </c>
      <c r="Y840">
        <v>0.3095</v>
      </c>
      <c r="Z840">
        <v>0.32619999999999999</v>
      </c>
      <c r="AA840">
        <v>0.34289999999999998</v>
      </c>
      <c r="AD840">
        <v>43.555633017205778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 t="s">
        <v>462</v>
      </c>
      <c r="AL840" t="s">
        <v>6</v>
      </c>
      <c r="AM840" t="s">
        <v>1145</v>
      </c>
      <c r="AN840" t="s">
        <v>1146</v>
      </c>
      <c r="AO840" s="100">
        <v>46262.040405092594</v>
      </c>
      <c r="AP840" t="s">
        <v>1147</v>
      </c>
      <c r="AQ840" t="s">
        <v>2901</v>
      </c>
      <c r="AR840" t="s">
        <v>1210</v>
      </c>
      <c r="AS840" t="s">
        <v>1150</v>
      </c>
      <c r="AT840" t="s">
        <v>2875</v>
      </c>
      <c r="AU840">
        <v>25</v>
      </c>
      <c r="AV840">
        <v>0.28698400000000002</v>
      </c>
      <c r="AW840">
        <v>1.636262713217736E-2</v>
      </c>
      <c r="AX840">
        <v>5.7015816673324506</v>
      </c>
      <c r="AY840">
        <v>-1.6533305261415048</v>
      </c>
      <c r="AZ840">
        <v>11.060940277240048</v>
      </c>
      <c r="BA840">
        <v>7.3492418307618035</v>
      </c>
      <c r="BB840" t="s">
        <v>4619</v>
      </c>
      <c r="BD840" s="98"/>
      <c r="BE840" s="98"/>
      <c r="BF840" t="s">
        <v>1152</v>
      </c>
      <c r="BG840" t="s">
        <v>322</v>
      </c>
      <c r="BH840" t="s">
        <v>1153</v>
      </c>
      <c r="BI840">
        <v>1.6533305261415048</v>
      </c>
      <c r="BJ840" t="s">
        <v>983</v>
      </c>
      <c r="BK840">
        <v>32.494692739965728</v>
      </c>
      <c r="BL840">
        <v>74.605029221201661</v>
      </c>
      <c r="BM840" t="s">
        <v>1260</v>
      </c>
      <c r="BN840" t="s">
        <v>1154</v>
      </c>
      <c r="BO840">
        <v>2025</v>
      </c>
      <c r="BP840" t="s">
        <v>966</v>
      </c>
      <c r="BQ840">
        <v>1.0315291398832471E-2</v>
      </c>
      <c r="BR840">
        <v>99.999998968470862</v>
      </c>
      <c r="BS840" t="s">
        <v>984</v>
      </c>
      <c r="BT840">
        <v>3</v>
      </c>
      <c r="BU840">
        <v>1</v>
      </c>
      <c r="BV840" t="s">
        <v>985</v>
      </c>
      <c r="BW840" t="s">
        <v>943</v>
      </c>
      <c r="BX840" t="s">
        <v>986</v>
      </c>
      <c r="BY840">
        <v>7.1066284944359426</v>
      </c>
      <c r="BZ840" t="s">
        <v>2573</v>
      </c>
      <c r="CA840" t="s">
        <v>983</v>
      </c>
      <c r="CB840" t="b">
        <v>1</v>
      </c>
      <c r="CC840" t="b">
        <v>0</v>
      </c>
      <c r="CD840" t="b">
        <v>0</v>
      </c>
      <c r="CE840" t="b">
        <v>0</v>
      </c>
      <c r="CF840" t="b">
        <v>0</v>
      </c>
    </row>
    <row r="841" spans="1:84" x14ac:dyDescent="0.3">
      <c r="A841" t="s">
        <v>2902</v>
      </c>
      <c r="B841" t="s">
        <v>1212</v>
      </c>
      <c r="C841" s="98">
        <v>45761</v>
      </c>
      <c r="D841">
        <v>2025</v>
      </c>
      <c r="E841">
        <v>4</v>
      </c>
      <c r="F841">
        <v>2</v>
      </c>
      <c r="G841" t="s">
        <v>1208</v>
      </c>
      <c r="H841" t="s">
        <v>141</v>
      </c>
      <c r="I841" t="s">
        <v>141</v>
      </c>
      <c r="J841" t="s">
        <v>6</v>
      </c>
      <c r="L841">
        <v>522611</v>
      </c>
      <c r="M841" s="99" t="s">
        <v>178</v>
      </c>
      <c r="N841">
        <v>1</v>
      </c>
      <c r="O841">
        <v>15</v>
      </c>
      <c r="P841">
        <v>0.25769999999999998</v>
      </c>
      <c r="Q841" t="s">
        <v>352</v>
      </c>
      <c r="R841">
        <v>1</v>
      </c>
      <c r="S841">
        <v>0.2928</v>
      </c>
      <c r="T841">
        <v>1.67E-2</v>
      </c>
      <c r="U841">
        <v>-2.1017964071856299</v>
      </c>
      <c r="V841">
        <v>0.2427</v>
      </c>
      <c r="W841">
        <v>0.25940000000000002</v>
      </c>
      <c r="X841">
        <v>0.27610000000000001</v>
      </c>
      <c r="Y841">
        <v>0.3095</v>
      </c>
      <c r="Z841">
        <v>0.32619999999999999</v>
      </c>
      <c r="AA841">
        <v>0.34289999999999998</v>
      </c>
      <c r="AD841">
        <v>43.555633017205778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1</v>
      </c>
      <c r="AK841" t="s">
        <v>462</v>
      </c>
      <c r="AL841" t="s">
        <v>6</v>
      </c>
      <c r="AM841" t="s">
        <v>1145</v>
      </c>
      <c r="AN841" t="s">
        <v>1146</v>
      </c>
      <c r="AO841" s="100">
        <v>46262.040405092594</v>
      </c>
      <c r="AP841" t="s">
        <v>1147</v>
      </c>
      <c r="AQ841" t="s">
        <v>2903</v>
      </c>
      <c r="AR841" t="s">
        <v>1215</v>
      </c>
      <c r="AS841" t="s">
        <v>1150</v>
      </c>
      <c r="AT841" t="s">
        <v>2875</v>
      </c>
      <c r="AU841">
        <v>25</v>
      </c>
      <c r="AV841">
        <v>0.28698400000000002</v>
      </c>
      <c r="AW841">
        <v>1.636262713217736E-2</v>
      </c>
      <c r="AX841">
        <v>5.7015816673324506</v>
      </c>
      <c r="AY841">
        <v>-1.6533305261415048</v>
      </c>
      <c r="AZ841">
        <v>11.060940277240048</v>
      </c>
      <c r="BA841">
        <v>7.3492418307618035</v>
      </c>
      <c r="BB841" t="s">
        <v>4619</v>
      </c>
      <c r="BD841" s="98"/>
      <c r="BE841" s="98"/>
      <c r="BF841" t="s">
        <v>1152</v>
      </c>
      <c r="BG841" t="s">
        <v>322</v>
      </c>
      <c r="BH841" t="s">
        <v>1153</v>
      </c>
      <c r="BI841">
        <v>1.6533305261415048</v>
      </c>
      <c r="BJ841" t="s">
        <v>983</v>
      </c>
      <c r="BK841">
        <v>32.494692739965728</v>
      </c>
      <c r="BL841">
        <v>74.605029221201661</v>
      </c>
      <c r="BM841" t="s">
        <v>1260</v>
      </c>
      <c r="BN841" t="s">
        <v>1154</v>
      </c>
      <c r="BO841">
        <v>2025</v>
      </c>
      <c r="BP841" t="s">
        <v>966</v>
      </c>
      <c r="BQ841">
        <v>1.0315291398832471E-2</v>
      </c>
      <c r="BR841">
        <v>99.999998968470862</v>
      </c>
      <c r="BS841" t="s">
        <v>984</v>
      </c>
      <c r="BT841">
        <v>3</v>
      </c>
      <c r="BU841">
        <v>1</v>
      </c>
      <c r="BV841" t="s">
        <v>985</v>
      </c>
      <c r="BW841" t="s">
        <v>943</v>
      </c>
      <c r="BX841" t="s">
        <v>986</v>
      </c>
      <c r="BY841">
        <v>7.1066284944359426</v>
      </c>
      <c r="BZ841" t="s">
        <v>2573</v>
      </c>
      <c r="CA841" t="s">
        <v>983</v>
      </c>
      <c r="CB841" t="b">
        <v>1</v>
      </c>
      <c r="CC841" t="b">
        <v>0</v>
      </c>
      <c r="CD841" t="b">
        <v>0</v>
      </c>
      <c r="CE841" t="b">
        <v>0</v>
      </c>
      <c r="CF841" t="b">
        <v>0</v>
      </c>
    </row>
    <row r="842" spans="1:84" x14ac:dyDescent="0.3">
      <c r="A842" t="s">
        <v>2904</v>
      </c>
      <c r="B842" t="s">
        <v>1217</v>
      </c>
      <c r="C842" s="98">
        <v>45768</v>
      </c>
      <c r="D842">
        <v>2025</v>
      </c>
      <c r="E842">
        <v>4</v>
      </c>
      <c r="F842">
        <v>2</v>
      </c>
      <c r="G842" t="s">
        <v>1208</v>
      </c>
      <c r="H842" t="s">
        <v>141</v>
      </c>
      <c r="I842" t="s">
        <v>141</v>
      </c>
      <c r="J842" t="s">
        <v>6</v>
      </c>
      <c r="L842">
        <v>522611</v>
      </c>
      <c r="M842" s="99" t="s">
        <v>178</v>
      </c>
      <c r="N842">
        <v>1</v>
      </c>
      <c r="O842">
        <v>16</v>
      </c>
      <c r="P842">
        <v>0.26869999999999999</v>
      </c>
      <c r="Q842" t="s">
        <v>352</v>
      </c>
      <c r="R842">
        <v>1</v>
      </c>
      <c r="S842">
        <v>0.2928</v>
      </c>
      <c r="T842">
        <v>1.67E-2</v>
      </c>
      <c r="U842">
        <v>-1.4431137724550904</v>
      </c>
      <c r="V842">
        <v>0.2427</v>
      </c>
      <c r="W842">
        <v>0.25940000000000002</v>
      </c>
      <c r="X842">
        <v>0.27610000000000001</v>
      </c>
      <c r="Y842">
        <v>0.3095</v>
      </c>
      <c r="Z842">
        <v>0.32619999999999999</v>
      </c>
      <c r="AA842">
        <v>0.34289999999999998</v>
      </c>
      <c r="AD842">
        <v>43.555633017205778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 t="s">
        <v>462</v>
      </c>
      <c r="AL842" t="s">
        <v>6</v>
      </c>
      <c r="AM842" t="s">
        <v>1145</v>
      </c>
      <c r="AN842" t="s">
        <v>1146</v>
      </c>
      <c r="AO842" s="100">
        <v>46262.040405092594</v>
      </c>
      <c r="AP842" t="s">
        <v>1147</v>
      </c>
      <c r="AQ842" t="s">
        <v>2905</v>
      </c>
      <c r="AR842" t="s">
        <v>1219</v>
      </c>
      <c r="AS842" t="s">
        <v>1150</v>
      </c>
      <c r="AT842" t="s">
        <v>2875</v>
      </c>
      <c r="AU842">
        <v>25</v>
      </c>
      <c r="AV842">
        <v>0.28698400000000002</v>
      </c>
      <c r="AW842">
        <v>1.636262713217736E-2</v>
      </c>
      <c r="AX842">
        <v>5.7015816673324506</v>
      </c>
      <c r="AY842">
        <v>-1.6533305261415048</v>
      </c>
      <c r="AZ842">
        <v>11.060940277240048</v>
      </c>
      <c r="BA842">
        <v>7.3492418307618035</v>
      </c>
      <c r="BB842" t="s">
        <v>4619</v>
      </c>
      <c r="BD842" s="98"/>
      <c r="BE842" s="98"/>
      <c r="BF842" t="s">
        <v>1152</v>
      </c>
      <c r="BG842" t="s">
        <v>322</v>
      </c>
      <c r="BH842" t="s">
        <v>1153</v>
      </c>
      <c r="BI842">
        <v>1.6533305261415048</v>
      </c>
      <c r="BJ842" t="s">
        <v>983</v>
      </c>
      <c r="BK842">
        <v>32.494692739965728</v>
      </c>
      <c r="BL842">
        <v>74.605029221201661</v>
      </c>
      <c r="BM842" t="s">
        <v>1260</v>
      </c>
      <c r="BN842" t="s">
        <v>1154</v>
      </c>
      <c r="BO842">
        <v>2025</v>
      </c>
      <c r="BP842" t="s">
        <v>966</v>
      </c>
      <c r="BQ842">
        <v>1.0315291398832471E-2</v>
      </c>
      <c r="BR842">
        <v>99.999998968470862</v>
      </c>
      <c r="BS842" t="s">
        <v>984</v>
      </c>
      <c r="BT842">
        <v>3</v>
      </c>
      <c r="BU842">
        <v>1</v>
      </c>
      <c r="BV842" t="s">
        <v>985</v>
      </c>
      <c r="BW842" t="s">
        <v>943</v>
      </c>
      <c r="BX842" t="s">
        <v>986</v>
      </c>
      <c r="BY842">
        <v>7.1066284944359426</v>
      </c>
      <c r="BZ842" t="s">
        <v>2573</v>
      </c>
      <c r="CA842" t="s">
        <v>983</v>
      </c>
      <c r="CB842" t="b">
        <v>1</v>
      </c>
      <c r="CC842" t="b">
        <v>0</v>
      </c>
      <c r="CD842" t="b">
        <v>0</v>
      </c>
      <c r="CE842" t="b">
        <v>0</v>
      </c>
      <c r="CF842" t="b">
        <v>0</v>
      </c>
    </row>
    <row r="843" spans="1:84" x14ac:dyDescent="0.3">
      <c r="A843" t="s">
        <v>2906</v>
      </c>
      <c r="B843" t="s">
        <v>1221</v>
      </c>
      <c r="C843" s="98">
        <v>45775</v>
      </c>
      <c r="D843">
        <v>2025</v>
      </c>
      <c r="E843">
        <v>4</v>
      </c>
      <c r="F843">
        <v>2</v>
      </c>
      <c r="G843" t="s">
        <v>1208</v>
      </c>
      <c r="H843" t="s">
        <v>141</v>
      </c>
      <c r="I843" t="s">
        <v>141</v>
      </c>
      <c r="J843" t="s">
        <v>6</v>
      </c>
      <c r="L843">
        <v>522611</v>
      </c>
      <c r="M843" s="99" t="s">
        <v>178</v>
      </c>
      <c r="N843">
        <v>1</v>
      </c>
      <c r="O843">
        <v>17</v>
      </c>
      <c r="P843">
        <v>0.28589999999999999</v>
      </c>
      <c r="Q843" t="s">
        <v>352</v>
      </c>
      <c r="R843">
        <v>1</v>
      </c>
      <c r="S843">
        <v>0.2928</v>
      </c>
      <c r="T843">
        <v>1.67E-2</v>
      </c>
      <c r="U843">
        <v>-0.41317365269461181</v>
      </c>
      <c r="V843">
        <v>0.2427</v>
      </c>
      <c r="W843">
        <v>0.25940000000000002</v>
      </c>
      <c r="X843">
        <v>0.27610000000000001</v>
      </c>
      <c r="Y843">
        <v>0.3095</v>
      </c>
      <c r="Z843">
        <v>0.32619999999999999</v>
      </c>
      <c r="AA843">
        <v>0.34289999999999998</v>
      </c>
      <c r="AD843">
        <v>43.555633017205778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 t="s">
        <v>462</v>
      </c>
      <c r="AL843" t="s">
        <v>6</v>
      </c>
      <c r="AM843" t="s">
        <v>1145</v>
      </c>
      <c r="AN843" t="s">
        <v>1146</v>
      </c>
      <c r="AO843" s="100">
        <v>46262.040405092594</v>
      </c>
      <c r="AP843" t="s">
        <v>1147</v>
      </c>
      <c r="AQ843" t="s">
        <v>2907</v>
      </c>
      <c r="AR843" t="s">
        <v>1223</v>
      </c>
      <c r="AS843" t="s">
        <v>1150</v>
      </c>
      <c r="AT843" t="s">
        <v>2875</v>
      </c>
      <c r="AU843">
        <v>25</v>
      </c>
      <c r="AV843">
        <v>0.28698400000000002</v>
      </c>
      <c r="AW843">
        <v>1.636262713217736E-2</v>
      </c>
      <c r="AX843">
        <v>5.7015816673324506</v>
      </c>
      <c r="AY843">
        <v>-1.6533305261415048</v>
      </c>
      <c r="AZ843">
        <v>11.060940277240048</v>
      </c>
      <c r="BA843">
        <v>7.3492418307618035</v>
      </c>
      <c r="BB843" t="s">
        <v>4619</v>
      </c>
      <c r="BD843" s="98"/>
      <c r="BE843" s="98"/>
      <c r="BF843" t="s">
        <v>1152</v>
      </c>
      <c r="BG843" t="s">
        <v>322</v>
      </c>
      <c r="BH843" t="s">
        <v>1153</v>
      </c>
      <c r="BI843">
        <v>1.6533305261415048</v>
      </c>
      <c r="BJ843" t="s">
        <v>983</v>
      </c>
      <c r="BK843">
        <v>32.494692739965728</v>
      </c>
      <c r="BL843">
        <v>74.605029221201661</v>
      </c>
      <c r="BM843" t="s">
        <v>1260</v>
      </c>
      <c r="BN843" t="s">
        <v>1154</v>
      </c>
      <c r="BO843">
        <v>2025</v>
      </c>
      <c r="BP843" t="s">
        <v>966</v>
      </c>
      <c r="BQ843">
        <v>1.0315291398832471E-2</v>
      </c>
      <c r="BR843">
        <v>99.999998968470862</v>
      </c>
      <c r="BS843" t="s">
        <v>984</v>
      </c>
      <c r="BT843">
        <v>3</v>
      </c>
      <c r="BU843">
        <v>1</v>
      </c>
      <c r="BV843" t="s">
        <v>985</v>
      </c>
      <c r="BW843" t="s">
        <v>943</v>
      </c>
      <c r="BX843" t="s">
        <v>986</v>
      </c>
      <c r="BY843">
        <v>7.1066284944359426</v>
      </c>
      <c r="BZ843" t="s">
        <v>2573</v>
      </c>
      <c r="CA843" t="s">
        <v>983</v>
      </c>
      <c r="CB843" t="b">
        <v>1</v>
      </c>
      <c r="CC843" t="b">
        <v>0</v>
      </c>
      <c r="CD843" t="b">
        <v>0</v>
      </c>
      <c r="CE843" t="b">
        <v>0</v>
      </c>
      <c r="CF843" t="b">
        <v>0</v>
      </c>
    </row>
    <row r="844" spans="1:84" x14ac:dyDescent="0.3">
      <c r="A844" t="s">
        <v>2908</v>
      </c>
      <c r="B844" t="s">
        <v>1225</v>
      </c>
      <c r="C844" s="98">
        <v>45782</v>
      </c>
      <c r="D844">
        <v>2025</v>
      </c>
      <c r="E844">
        <v>5</v>
      </c>
      <c r="F844">
        <v>2</v>
      </c>
      <c r="G844" t="s">
        <v>1226</v>
      </c>
      <c r="H844" t="s">
        <v>141</v>
      </c>
      <c r="I844" t="s">
        <v>141</v>
      </c>
      <c r="J844" t="s">
        <v>6</v>
      </c>
      <c r="L844">
        <v>522611</v>
      </c>
      <c r="M844" s="99" t="s">
        <v>178</v>
      </c>
      <c r="N844">
        <v>1</v>
      </c>
      <c r="O844">
        <v>18</v>
      </c>
      <c r="P844">
        <v>0.29520000000000002</v>
      </c>
      <c r="Q844" t="s">
        <v>352</v>
      </c>
      <c r="R844">
        <v>1</v>
      </c>
      <c r="S844">
        <v>0.2928</v>
      </c>
      <c r="T844">
        <v>1.67E-2</v>
      </c>
      <c r="U844">
        <v>0.1437125748503002</v>
      </c>
      <c r="V844">
        <v>0.2427</v>
      </c>
      <c r="W844">
        <v>0.25940000000000002</v>
      </c>
      <c r="X844">
        <v>0.27610000000000001</v>
      </c>
      <c r="Y844">
        <v>0.3095</v>
      </c>
      <c r="Z844">
        <v>0.32619999999999999</v>
      </c>
      <c r="AA844">
        <v>0.34289999999999998</v>
      </c>
      <c r="AD844">
        <v>43.555633017205778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 t="s">
        <v>462</v>
      </c>
      <c r="AL844" t="s">
        <v>6</v>
      </c>
      <c r="AM844" t="s">
        <v>1145</v>
      </c>
      <c r="AN844" t="s">
        <v>1146</v>
      </c>
      <c r="AO844" s="100">
        <v>46262.040405092594</v>
      </c>
      <c r="AP844" t="s">
        <v>1147</v>
      </c>
      <c r="AQ844" t="s">
        <v>2909</v>
      </c>
      <c r="AR844" t="s">
        <v>1228</v>
      </c>
      <c r="AS844" t="s">
        <v>1150</v>
      </c>
      <c r="AT844" t="s">
        <v>2875</v>
      </c>
      <c r="AU844">
        <v>25</v>
      </c>
      <c r="AV844">
        <v>0.28698400000000002</v>
      </c>
      <c r="AW844">
        <v>1.636262713217736E-2</v>
      </c>
      <c r="AX844">
        <v>5.7015816673324506</v>
      </c>
      <c r="AY844">
        <v>-1.6533305261415048</v>
      </c>
      <c r="AZ844">
        <v>11.060940277240048</v>
      </c>
      <c r="BA844">
        <v>7.3492418307618035</v>
      </c>
      <c r="BB844" t="s">
        <v>4619</v>
      </c>
      <c r="BD844" s="98"/>
      <c r="BE844" s="98"/>
      <c r="BF844" t="s">
        <v>1152</v>
      </c>
      <c r="BG844" t="s">
        <v>322</v>
      </c>
      <c r="BH844" t="s">
        <v>1153</v>
      </c>
      <c r="BI844">
        <v>1.6533305261415048</v>
      </c>
      <c r="BJ844" t="s">
        <v>983</v>
      </c>
      <c r="BK844">
        <v>32.494692739965728</v>
      </c>
      <c r="BL844">
        <v>74.605029221201661</v>
      </c>
      <c r="BM844" t="s">
        <v>1260</v>
      </c>
      <c r="BN844" t="s">
        <v>1154</v>
      </c>
      <c r="BO844">
        <v>2025</v>
      </c>
      <c r="BP844" t="s">
        <v>966</v>
      </c>
      <c r="BQ844">
        <v>1.0315291398832471E-2</v>
      </c>
      <c r="BR844">
        <v>99.999998968470862</v>
      </c>
      <c r="BS844" t="s">
        <v>984</v>
      </c>
      <c r="BT844">
        <v>3</v>
      </c>
      <c r="BU844">
        <v>1</v>
      </c>
      <c r="BV844" t="s">
        <v>985</v>
      </c>
      <c r="BW844" t="s">
        <v>943</v>
      </c>
      <c r="BX844" t="s">
        <v>986</v>
      </c>
      <c r="BY844">
        <v>7.1066284944359426</v>
      </c>
      <c r="BZ844" t="s">
        <v>2573</v>
      </c>
      <c r="CA844" t="s">
        <v>983</v>
      </c>
      <c r="CB844" t="b">
        <v>1</v>
      </c>
      <c r="CC844" t="b">
        <v>0</v>
      </c>
      <c r="CD844" t="b">
        <v>0</v>
      </c>
      <c r="CE844" t="b">
        <v>0</v>
      </c>
      <c r="CF844" t="b">
        <v>0</v>
      </c>
    </row>
    <row r="845" spans="1:84" x14ac:dyDescent="0.3">
      <c r="A845" t="s">
        <v>2910</v>
      </c>
      <c r="B845" t="s">
        <v>1230</v>
      </c>
      <c r="C845" s="98">
        <v>45789</v>
      </c>
      <c r="D845">
        <v>2025</v>
      </c>
      <c r="E845">
        <v>5</v>
      </c>
      <c r="F845">
        <v>2</v>
      </c>
      <c r="G845" t="s">
        <v>1226</v>
      </c>
      <c r="H845" t="s">
        <v>141</v>
      </c>
      <c r="I845" t="s">
        <v>141</v>
      </c>
      <c r="J845" t="s">
        <v>6</v>
      </c>
      <c r="L845">
        <v>522611</v>
      </c>
      <c r="M845" s="99" t="s">
        <v>178</v>
      </c>
      <c r="N845">
        <v>1</v>
      </c>
      <c r="O845">
        <v>19</v>
      </c>
      <c r="P845">
        <v>0.28970000000000001</v>
      </c>
      <c r="Q845" t="s">
        <v>352</v>
      </c>
      <c r="R845">
        <v>1</v>
      </c>
      <c r="S845">
        <v>0.2928</v>
      </c>
      <c r="T845">
        <v>1.67E-2</v>
      </c>
      <c r="U845">
        <v>-0.18562874251496955</v>
      </c>
      <c r="V845">
        <v>0.2427</v>
      </c>
      <c r="W845">
        <v>0.25940000000000002</v>
      </c>
      <c r="X845">
        <v>0.27610000000000001</v>
      </c>
      <c r="Y845">
        <v>0.3095</v>
      </c>
      <c r="Z845">
        <v>0.32619999999999999</v>
      </c>
      <c r="AA845">
        <v>0.34289999999999998</v>
      </c>
      <c r="AD845">
        <v>43.555633017205778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 t="s">
        <v>462</v>
      </c>
      <c r="AL845" t="s">
        <v>6</v>
      </c>
      <c r="AM845" t="s">
        <v>1145</v>
      </c>
      <c r="AN845" t="s">
        <v>1146</v>
      </c>
      <c r="AO845" s="100">
        <v>46262.040405092594</v>
      </c>
      <c r="AP845" t="s">
        <v>1147</v>
      </c>
      <c r="AQ845" t="s">
        <v>2911</v>
      </c>
      <c r="AR845" t="s">
        <v>1232</v>
      </c>
      <c r="AS845" t="s">
        <v>1150</v>
      </c>
      <c r="AT845" t="s">
        <v>2875</v>
      </c>
      <c r="AU845">
        <v>25</v>
      </c>
      <c r="AV845">
        <v>0.28698400000000002</v>
      </c>
      <c r="AW845">
        <v>1.636262713217736E-2</v>
      </c>
      <c r="AX845">
        <v>5.7015816673324506</v>
      </c>
      <c r="AY845">
        <v>-1.6533305261415048</v>
      </c>
      <c r="AZ845">
        <v>11.060940277240048</v>
      </c>
      <c r="BA845">
        <v>7.3492418307618035</v>
      </c>
      <c r="BB845" t="s">
        <v>4619</v>
      </c>
      <c r="BD845" s="98"/>
      <c r="BE845" s="98"/>
      <c r="BF845" t="s">
        <v>1152</v>
      </c>
      <c r="BG845" t="s">
        <v>322</v>
      </c>
      <c r="BH845" t="s">
        <v>1153</v>
      </c>
      <c r="BI845">
        <v>1.6533305261415048</v>
      </c>
      <c r="BJ845" t="s">
        <v>983</v>
      </c>
      <c r="BK845">
        <v>32.494692739965728</v>
      </c>
      <c r="BL845">
        <v>74.605029221201661</v>
      </c>
      <c r="BM845" t="s">
        <v>1260</v>
      </c>
      <c r="BN845" t="s">
        <v>1154</v>
      </c>
      <c r="BO845">
        <v>2025</v>
      </c>
      <c r="BP845" t="s">
        <v>966</v>
      </c>
      <c r="BQ845">
        <v>1.0315291398832471E-2</v>
      </c>
      <c r="BR845">
        <v>99.999998968470862</v>
      </c>
      <c r="BS845" t="s">
        <v>984</v>
      </c>
      <c r="BT845">
        <v>3</v>
      </c>
      <c r="BU845">
        <v>1</v>
      </c>
      <c r="BV845" t="s">
        <v>985</v>
      </c>
      <c r="BW845" t="s">
        <v>943</v>
      </c>
      <c r="BX845" t="s">
        <v>986</v>
      </c>
      <c r="BY845">
        <v>7.1066284944359426</v>
      </c>
      <c r="BZ845" t="s">
        <v>2573</v>
      </c>
      <c r="CA845" t="s">
        <v>983</v>
      </c>
      <c r="CB845" t="b">
        <v>1</v>
      </c>
      <c r="CC845" t="b">
        <v>0</v>
      </c>
      <c r="CD845" t="b">
        <v>0</v>
      </c>
      <c r="CE845" t="b">
        <v>0</v>
      </c>
      <c r="CF845" t="b">
        <v>0</v>
      </c>
    </row>
    <row r="846" spans="1:84" x14ac:dyDescent="0.3">
      <c r="A846" t="s">
        <v>2912</v>
      </c>
      <c r="B846" t="s">
        <v>1234</v>
      </c>
      <c r="C846" s="98">
        <v>45796</v>
      </c>
      <c r="D846">
        <v>2025</v>
      </c>
      <c r="E846">
        <v>5</v>
      </c>
      <c r="F846">
        <v>2</v>
      </c>
      <c r="G846" t="s">
        <v>1226</v>
      </c>
      <c r="H846" t="s">
        <v>141</v>
      </c>
      <c r="I846" t="s">
        <v>141</v>
      </c>
      <c r="J846" t="s">
        <v>6</v>
      </c>
      <c r="L846">
        <v>522611</v>
      </c>
      <c r="M846" s="99" t="s">
        <v>178</v>
      </c>
      <c r="N846">
        <v>1</v>
      </c>
      <c r="O846">
        <v>20</v>
      </c>
      <c r="P846">
        <v>0.26319999999999999</v>
      </c>
      <c r="Q846" t="s">
        <v>352</v>
      </c>
      <c r="R846">
        <v>1</v>
      </c>
      <c r="S846">
        <v>0.2928</v>
      </c>
      <c r="T846">
        <v>1.67E-2</v>
      </c>
      <c r="U846">
        <v>-1.7724550898203602</v>
      </c>
      <c r="V846">
        <v>0.2427</v>
      </c>
      <c r="W846">
        <v>0.25940000000000002</v>
      </c>
      <c r="X846">
        <v>0.27610000000000001</v>
      </c>
      <c r="Y846">
        <v>0.3095</v>
      </c>
      <c r="Z846">
        <v>0.32619999999999999</v>
      </c>
      <c r="AA846">
        <v>0.34289999999999998</v>
      </c>
      <c r="AD846">
        <v>43.555633017205778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 t="s">
        <v>462</v>
      </c>
      <c r="AL846" t="s">
        <v>6</v>
      </c>
      <c r="AM846" t="s">
        <v>1145</v>
      </c>
      <c r="AN846" t="s">
        <v>1146</v>
      </c>
      <c r="AO846" s="100">
        <v>46262.040405092594</v>
      </c>
      <c r="AP846" t="s">
        <v>1147</v>
      </c>
      <c r="AQ846" t="s">
        <v>2913</v>
      </c>
      <c r="AR846" t="s">
        <v>1236</v>
      </c>
      <c r="AS846" t="s">
        <v>1150</v>
      </c>
      <c r="AT846" t="s">
        <v>2875</v>
      </c>
      <c r="AU846">
        <v>25</v>
      </c>
      <c r="AV846">
        <v>0.28698400000000002</v>
      </c>
      <c r="AW846">
        <v>1.636262713217736E-2</v>
      </c>
      <c r="AX846">
        <v>5.7015816673324506</v>
      </c>
      <c r="AY846">
        <v>-1.6533305261415048</v>
      </c>
      <c r="AZ846">
        <v>11.060940277240048</v>
      </c>
      <c r="BA846">
        <v>7.3492418307618035</v>
      </c>
      <c r="BB846" t="s">
        <v>4619</v>
      </c>
      <c r="BD846" s="98"/>
      <c r="BE846" s="98"/>
      <c r="BF846" t="s">
        <v>1152</v>
      </c>
      <c r="BG846" t="s">
        <v>322</v>
      </c>
      <c r="BH846" t="s">
        <v>1153</v>
      </c>
      <c r="BI846">
        <v>1.6533305261415048</v>
      </c>
      <c r="BJ846" t="s">
        <v>983</v>
      </c>
      <c r="BK846">
        <v>32.494692739965728</v>
      </c>
      <c r="BL846">
        <v>74.605029221201661</v>
      </c>
      <c r="BM846" t="s">
        <v>1260</v>
      </c>
      <c r="BN846" t="s">
        <v>1154</v>
      </c>
      <c r="BO846">
        <v>2025</v>
      </c>
      <c r="BP846" t="s">
        <v>966</v>
      </c>
      <c r="BQ846">
        <v>1.0315291398832471E-2</v>
      </c>
      <c r="BR846">
        <v>99.999998968470862</v>
      </c>
      <c r="BS846" t="s">
        <v>984</v>
      </c>
      <c r="BT846">
        <v>3</v>
      </c>
      <c r="BU846">
        <v>1</v>
      </c>
      <c r="BV846" t="s">
        <v>985</v>
      </c>
      <c r="BW846" t="s">
        <v>943</v>
      </c>
      <c r="BX846" t="s">
        <v>986</v>
      </c>
      <c r="BY846">
        <v>7.1066284944359426</v>
      </c>
      <c r="BZ846" t="s">
        <v>2573</v>
      </c>
      <c r="CA846" t="s">
        <v>983</v>
      </c>
      <c r="CB846" t="b">
        <v>1</v>
      </c>
      <c r="CC846" t="b">
        <v>0</v>
      </c>
      <c r="CD846" t="b">
        <v>0</v>
      </c>
      <c r="CE846" t="b">
        <v>0</v>
      </c>
      <c r="CF846" t="b">
        <v>0</v>
      </c>
    </row>
    <row r="847" spans="1:84" x14ac:dyDescent="0.3">
      <c r="A847" t="s">
        <v>2914</v>
      </c>
      <c r="B847" t="s">
        <v>1238</v>
      </c>
      <c r="C847" s="98">
        <v>45803</v>
      </c>
      <c r="D847">
        <v>2025</v>
      </c>
      <c r="E847">
        <v>5</v>
      </c>
      <c r="F847">
        <v>2</v>
      </c>
      <c r="G847" t="s">
        <v>1226</v>
      </c>
      <c r="H847" t="s">
        <v>141</v>
      </c>
      <c r="I847" t="s">
        <v>141</v>
      </c>
      <c r="J847" t="s">
        <v>6</v>
      </c>
      <c r="L847">
        <v>522611</v>
      </c>
      <c r="M847" s="99" t="s">
        <v>178</v>
      </c>
      <c r="N847">
        <v>1</v>
      </c>
      <c r="O847">
        <v>21</v>
      </c>
      <c r="P847">
        <v>0.28499999999999998</v>
      </c>
      <c r="Q847" t="s">
        <v>352</v>
      </c>
      <c r="R847">
        <v>1</v>
      </c>
      <c r="S847">
        <v>0.2928</v>
      </c>
      <c r="T847">
        <v>1.67E-2</v>
      </c>
      <c r="U847">
        <v>-0.46706586826347479</v>
      </c>
      <c r="V847">
        <v>0.2427</v>
      </c>
      <c r="W847">
        <v>0.25940000000000002</v>
      </c>
      <c r="X847">
        <v>0.27610000000000001</v>
      </c>
      <c r="Y847">
        <v>0.3095</v>
      </c>
      <c r="Z847">
        <v>0.32619999999999999</v>
      </c>
      <c r="AA847">
        <v>0.34289999999999998</v>
      </c>
      <c r="AD847">
        <v>43.555633017205778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 t="s">
        <v>462</v>
      </c>
      <c r="AL847" t="s">
        <v>6</v>
      </c>
      <c r="AM847" t="s">
        <v>1145</v>
      </c>
      <c r="AN847" t="s">
        <v>1146</v>
      </c>
      <c r="AO847" s="100">
        <v>46262.040405092594</v>
      </c>
      <c r="AP847" t="s">
        <v>1147</v>
      </c>
      <c r="AQ847" t="s">
        <v>2915</v>
      </c>
      <c r="AR847" t="s">
        <v>1240</v>
      </c>
      <c r="AS847" t="s">
        <v>1150</v>
      </c>
      <c r="AT847" t="s">
        <v>2875</v>
      </c>
      <c r="AU847">
        <v>25</v>
      </c>
      <c r="AV847">
        <v>0.28698400000000002</v>
      </c>
      <c r="AW847">
        <v>1.636262713217736E-2</v>
      </c>
      <c r="AX847">
        <v>5.7015816673324506</v>
      </c>
      <c r="AY847">
        <v>-1.6533305261415048</v>
      </c>
      <c r="AZ847">
        <v>11.060940277240048</v>
      </c>
      <c r="BA847">
        <v>7.3492418307618035</v>
      </c>
      <c r="BB847" t="s">
        <v>4619</v>
      </c>
      <c r="BD847" s="98"/>
      <c r="BE847" s="98"/>
      <c r="BF847" t="s">
        <v>1152</v>
      </c>
      <c r="BG847" t="s">
        <v>322</v>
      </c>
      <c r="BH847" t="s">
        <v>1153</v>
      </c>
      <c r="BI847">
        <v>1.6533305261415048</v>
      </c>
      <c r="BJ847" t="s">
        <v>983</v>
      </c>
      <c r="BK847">
        <v>32.494692739965728</v>
      </c>
      <c r="BL847">
        <v>74.605029221201661</v>
      </c>
      <c r="BM847" t="s">
        <v>1260</v>
      </c>
      <c r="BN847" t="s">
        <v>1154</v>
      </c>
      <c r="BO847">
        <v>2025</v>
      </c>
      <c r="BP847" t="s">
        <v>966</v>
      </c>
      <c r="BQ847">
        <v>1.0315291398832471E-2</v>
      </c>
      <c r="BR847">
        <v>99.999998968470862</v>
      </c>
      <c r="BS847" t="s">
        <v>984</v>
      </c>
      <c r="BT847">
        <v>3</v>
      </c>
      <c r="BU847">
        <v>1</v>
      </c>
      <c r="BV847" t="s">
        <v>985</v>
      </c>
      <c r="BW847" t="s">
        <v>943</v>
      </c>
      <c r="BX847" t="s">
        <v>986</v>
      </c>
      <c r="BY847">
        <v>7.1066284944359426</v>
      </c>
      <c r="BZ847" t="s">
        <v>2573</v>
      </c>
      <c r="CA847" t="s">
        <v>983</v>
      </c>
      <c r="CB847" t="b">
        <v>1</v>
      </c>
      <c r="CC847" t="b">
        <v>0</v>
      </c>
      <c r="CD847" t="b">
        <v>0</v>
      </c>
      <c r="CE847" t="b">
        <v>0</v>
      </c>
      <c r="CF847" t="b">
        <v>0</v>
      </c>
    </row>
    <row r="848" spans="1:84" x14ac:dyDescent="0.3">
      <c r="A848" t="s">
        <v>2916</v>
      </c>
      <c r="B848" t="s">
        <v>1242</v>
      </c>
      <c r="C848" s="98">
        <v>45810</v>
      </c>
      <c r="D848">
        <v>2025</v>
      </c>
      <c r="E848">
        <v>6</v>
      </c>
      <c r="F848">
        <v>2</v>
      </c>
      <c r="G848" t="s">
        <v>1243</v>
      </c>
      <c r="H848" t="s">
        <v>141</v>
      </c>
      <c r="I848" t="s">
        <v>141</v>
      </c>
      <c r="J848" t="s">
        <v>6</v>
      </c>
      <c r="L848">
        <v>522611</v>
      </c>
      <c r="M848" s="99" t="s">
        <v>178</v>
      </c>
      <c r="N848">
        <v>1</v>
      </c>
      <c r="O848">
        <v>22</v>
      </c>
      <c r="P848">
        <v>0.30609999999999998</v>
      </c>
      <c r="Q848" t="s">
        <v>352</v>
      </c>
      <c r="R848">
        <v>1</v>
      </c>
      <c r="S848">
        <v>0.2928</v>
      </c>
      <c r="T848">
        <v>1.67E-2</v>
      </c>
      <c r="U848">
        <v>0.79640718562874124</v>
      </c>
      <c r="V848">
        <v>0.2427</v>
      </c>
      <c r="W848">
        <v>0.25940000000000002</v>
      </c>
      <c r="X848">
        <v>0.27610000000000001</v>
      </c>
      <c r="Y848">
        <v>0.3095</v>
      </c>
      <c r="Z848">
        <v>0.32619999999999999</v>
      </c>
      <c r="AA848">
        <v>0.34289999999999998</v>
      </c>
      <c r="AD848">
        <v>43.555633017205778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 t="s">
        <v>462</v>
      </c>
      <c r="AL848" t="s">
        <v>6</v>
      </c>
      <c r="AM848" t="s">
        <v>1145</v>
      </c>
      <c r="AN848" t="s">
        <v>1146</v>
      </c>
      <c r="AO848" s="100">
        <v>46262.040405092594</v>
      </c>
      <c r="AP848" t="s">
        <v>1147</v>
      </c>
      <c r="AQ848" t="s">
        <v>2917</v>
      </c>
      <c r="AR848" t="s">
        <v>1245</v>
      </c>
      <c r="AS848" t="s">
        <v>1150</v>
      </c>
      <c r="AT848" t="s">
        <v>2875</v>
      </c>
      <c r="AU848">
        <v>25</v>
      </c>
      <c r="AV848">
        <v>0.28698400000000002</v>
      </c>
      <c r="AW848">
        <v>1.636262713217736E-2</v>
      </c>
      <c r="AX848">
        <v>5.7015816673324506</v>
      </c>
      <c r="AY848">
        <v>-1.6533305261415048</v>
      </c>
      <c r="AZ848">
        <v>11.060940277240048</v>
      </c>
      <c r="BA848">
        <v>7.3492418307618035</v>
      </c>
      <c r="BB848" t="s">
        <v>4619</v>
      </c>
      <c r="BD848" s="98"/>
      <c r="BE848" s="98"/>
      <c r="BF848" t="s">
        <v>1152</v>
      </c>
      <c r="BG848" t="s">
        <v>322</v>
      </c>
      <c r="BH848" t="s">
        <v>1153</v>
      </c>
      <c r="BI848">
        <v>1.6533305261415048</v>
      </c>
      <c r="BJ848" t="s">
        <v>983</v>
      </c>
      <c r="BK848">
        <v>32.494692739965728</v>
      </c>
      <c r="BL848">
        <v>74.605029221201661</v>
      </c>
      <c r="BM848" t="s">
        <v>1260</v>
      </c>
      <c r="BN848" t="s">
        <v>1154</v>
      </c>
      <c r="BO848">
        <v>2025</v>
      </c>
      <c r="BP848" t="s">
        <v>966</v>
      </c>
      <c r="BQ848">
        <v>1.0315291398832471E-2</v>
      </c>
      <c r="BR848">
        <v>99.999998968470862</v>
      </c>
      <c r="BS848" t="s">
        <v>984</v>
      </c>
      <c r="BT848">
        <v>3</v>
      </c>
      <c r="BU848">
        <v>1</v>
      </c>
      <c r="BV848" t="s">
        <v>985</v>
      </c>
      <c r="BW848" t="s">
        <v>943</v>
      </c>
      <c r="BX848" t="s">
        <v>986</v>
      </c>
      <c r="BY848">
        <v>7.1066284944359426</v>
      </c>
      <c r="BZ848" t="s">
        <v>2573</v>
      </c>
      <c r="CA848" t="s">
        <v>983</v>
      </c>
      <c r="CB848" t="b">
        <v>1</v>
      </c>
      <c r="CC848" t="b">
        <v>0</v>
      </c>
      <c r="CD848" t="b">
        <v>0</v>
      </c>
      <c r="CE848" t="b">
        <v>0</v>
      </c>
      <c r="CF848" t="b">
        <v>0</v>
      </c>
    </row>
    <row r="849" spans="1:84" x14ac:dyDescent="0.3">
      <c r="A849" t="s">
        <v>2918</v>
      </c>
      <c r="B849" t="s">
        <v>1247</v>
      </c>
      <c r="C849" s="98">
        <v>45817</v>
      </c>
      <c r="D849">
        <v>2025</v>
      </c>
      <c r="E849">
        <v>6</v>
      </c>
      <c r="F849">
        <v>2</v>
      </c>
      <c r="G849" t="s">
        <v>1243</v>
      </c>
      <c r="H849" t="s">
        <v>141</v>
      </c>
      <c r="I849" t="s">
        <v>141</v>
      </c>
      <c r="J849" t="s">
        <v>6</v>
      </c>
      <c r="L849">
        <v>522611</v>
      </c>
      <c r="M849" s="99" t="s">
        <v>178</v>
      </c>
      <c r="N849">
        <v>1</v>
      </c>
      <c r="O849">
        <v>23</v>
      </c>
      <c r="P849">
        <v>0.30199999999999999</v>
      </c>
      <c r="Q849" t="s">
        <v>352</v>
      </c>
      <c r="R849">
        <v>1</v>
      </c>
      <c r="S849">
        <v>0.2928</v>
      </c>
      <c r="T849">
        <v>1.67E-2</v>
      </c>
      <c r="U849">
        <v>0.5508982035928135</v>
      </c>
      <c r="V849">
        <v>0.2427</v>
      </c>
      <c r="W849">
        <v>0.25940000000000002</v>
      </c>
      <c r="X849">
        <v>0.27610000000000001</v>
      </c>
      <c r="Y849">
        <v>0.3095</v>
      </c>
      <c r="Z849">
        <v>0.32619999999999999</v>
      </c>
      <c r="AA849">
        <v>0.34289999999999998</v>
      </c>
      <c r="AD849">
        <v>43.555633017205778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 t="s">
        <v>462</v>
      </c>
      <c r="AL849" t="s">
        <v>6</v>
      </c>
      <c r="AM849" t="s">
        <v>1145</v>
      </c>
      <c r="AN849" t="s">
        <v>1146</v>
      </c>
      <c r="AO849" s="100">
        <v>46262.040405092594</v>
      </c>
      <c r="AP849" t="s">
        <v>1147</v>
      </c>
      <c r="AQ849" t="s">
        <v>2919</v>
      </c>
      <c r="AR849" t="s">
        <v>1249</v>
      </c>
      <c r="AS849" t="s">
        <v>1150</v>
      </c>
      <c r="AT849" t="s">
        <v>2875</v>
      </c>
      <c r="AU849">
        <v>25</v>
      </c>
      <c r="AV849">
        <v>0.28698400000000002</v>
      </c>
      <c r="AW849">
        <v>1.636262713217736E-2</v>
      </c>
      <c r="AX849">
        <v>5.7015816673324506</v>
      </c>
      <c r="AY849">
        <v>-1.6533305261415048</v>
      </c>
      <c r="AZ849">
        <v>11.060940277240048</v>
      </c>
      <c r="BA849">
        <v>7.3492418307618035</v>
      </c>
      <c r="BB849" t="s">
        <v>4619</v>
      </c>
      <c r="BD849" s="98"/>
      <c r="BE849" s="98"/>
      <c r="BF849" t="s">
        <v>1152</v>
      </c>
      <c r="BG849" t="s">
        <v>322</v>
      </c>
      <c r="BH849" t="s">
        <v>1153</v>
      </c>
      <c r="BI849">
        <v>1.6533305261415048</v>
      </c>
      <c r="BJ849" t="s">
        <v>983</v>
      </c>
      <c r="BK849">
        <v>32.494692739965728</v>
      </c>
      <c r="BL849">
        <v>74.605029221201661</v>
      </c>
      <c r="BM849" t="s">
        <v>1260</v>
      </c>
      <c r="BN849" t="s">
        <v>1154</v>
      </c>
      <c r="BO849">
        <v>2025</v>
      </c>
      <c r="BP849" t="s">
        <v>966</v>
      </c>
      <c r="BQ849">
        <v>1.0315291398832471E-2</v>
      </c>
      <c r="BR849">
        <v>99.999998968470862</v>
      </c>
      <c r="BS849" t="s">
        <v>984</v>
      </c>
      <c r="BT849">
        <v>3</v>
      </c>
      <c r="BU849">
        <v>1</v>
      </c>
      <c r="BV849" t="s">
        <v>985</v>
      </c>
      <c r="BW849" t="s">
        <v>943</v>
      </c>
      <c r="BX849" t="s">
        <v>986</v>
      </c>
      <c r="BY849">
        <v>7.1066284944359426</v>
      </c>
      <c r="BZ849" t="s">
        <v>2573</v>
      </c>
      <c r="CA849" t="s">
        <v>983</v>
      </c>
      <c r="CB849" t="b">
        <v>1</v>
      </c>
      <c r="CC849" t="b">
        <v>0</v>
      </c>
      <c r="CD849" t="b">
        <v>0</v>
      </c>
      <c r="CE849" t="b">
        <v>0</v>
      </c>
      <c r="CF849" t="b">
        <v>0</v>
      </c>
    </row>
    <row r="850" spans="1:84" x14ac:dyDescent="0.3">
      <c r="A850" t="s">
        <v>2920</v>
      </c>
      <c r="B850" t="s">
        <v>1251</v>
      </c>
      <c r="C850" s="98">
        <v>45824</v>
      </c>
      <c r="D850">
        <v>2025</v>
      </c>
      <c r="E850">
        <v>6</v>
      </c>
      <c r="F850">
        <v>2</v>
      </c>
      <c r="G850" t="s">
        <v>1243</v>
      </c>
      <c r="H850" t="s">
        <v>141</v>
      </c>
      <c r="I850" t="s">
        <v>141</v>
      </c>
      <c r="J850" t="s">
        <v>6</v>
      </c>
      <c r="L850">
        <v>522611</v>
      </c>
      <c r="M850" s="99" t="s">
        <v>178</v>
      </c>
      <c r="N850">
        <v>1</v>
      </c>
      <c r="O850">
        <v>24</v>
      </c>
      <c r="P850">
        <v>0.29139999999999999</v>
      </c>
      <c r="Q850" t="s">
        <v>352</v>
      </c>
      <c r="R850">
        <v>1</v>
      </c>
      <c r="S850">
        <v>0.2928</v>
      </c>
      <c r="T850">
        <v>1.67E-2</v>
      </c>
      <c r="U850">
        <v>-8.3832335329342061E-2</v>
      </c>
      <c r="V850">
        <v>0.2427</v>
      </c>
      <c r="W850">
        <v>0.25940000000000002</v>
      </c>
      <c r="X850">
        <v>0.27610000000000001</v>
      </c>
      <c r="Y850">
        <v>0.3095</v>
      </c>
      <c r="Z850">
        <v>0.32619999999999999</v>
      </c>
      <c r="AA850">
        <v>0.34289999999999998</v>
      </c>
      <c r="AD850">
        <v>43.555633017205778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 t="s">
        <v>462</v>
      </c>
      <c r="AL850" t="s">
        <v>6</v>
      </c>
      <c r="AM850" t="s">
        <v>1145</v>
      </c>
      <c r="AN850" t="s">
        <v>1146</v>
      </c>
      <c r="AO850" s="100">
        <v>46262.040405092594</v>
      </c>
      <c r="AP850" t="s">
        <v>1147</v>
      </c>
      <c r="AQ850" t="s">
        <v>2921</v>
      </c>
      <c r="AR850" t="s">
        <v>1253</v>
      </c>
      <c r="AS850" t="s">
        <v>1150</v>
      </c>
      <c r="AT850" t="s">
        <v>2875</v>
      </c>
      <c r="AU850">
        <v>25</v>
      </c>
      <c r="AV850">
        <v>0.28698400000000002</v>
      </c>
      <c r="AW850">
        <v>1.636262713217736E-2</v>
      </c>
      <c r="AX850">
        <v>5.7015816673324506</v>
      </c>
      <c r="AY850">
        <v>-1.6533305261415048</v>
      </c>
      <c r="AZ850">
        <v>11.060940277240048</v>
      </c>
      <c r="BA850">
        <v>7.3492418307618035</v>
      </c>
      <c r="BB850" t="s">
        <v>4619</v>
      </c>
      <c r="BD850" s="98"/>
      <c r="BE850" s="98"/>
      <c r="BF850" t="s">
        <v>1152</v>
      </c>
      <c r="BG850" t="s">
        <v>322</v>
      </c>
      <c r="BH850" t="s">
        <v>1153</v>
      </c>
      <c r="BI850">
        <v>1.6533305261415048</v>
      </c>
      <c r="BJ850" t="s">
        <v>983</v>
      </c>
      <c r="BK850">
        <v>32.494692739965728</v>
      </c>
      <c r="BL850">
        <v>74.605029221201661</v>
      </c>
      <c r="BM850" t="s">
        <v>1260</v>
      </c>
      <c r="BN850" t="s">
        <v>1154</v>
      </c>
      <c r="BO850">
        <v>2025</v>
      </c>
      <c r="BP850" t="s">
        <v>966</v>
      </c>
      <c r="BQ850">
        <v>1.0315291398832471E-2</v>
      </c>
      <c r="BR850">
        <v>99.999998968470862</v>
      </c>
      <c r="BS850" t="s">
        <v>984</v>
      </c>
      <c r="BT850">
        <v>3</v>
      </c>
      <c r="BU850">
        <v>1</v>
      </c>
      <c r="BV850" t="s">
        <v>985</v>
      </c>
      <c r="BW850" t="s">
        <v>943</v>
      </c>
      <c r="BX850" t="s">
        <v>986</v>
      </c>
      <c r="BY850">
        <v>7.1066284944359426</v>
      </c>
      <c r="BZ850" t="s">
        <v>2573</v>
      </c>
      <c r="CA850" t="s">
        <v>983</v>
      </c>
      <c r="CB850" t="b">
        <v>1</v>
      </c>
      <c r="CC850" t="b">
        <v>0</v>
      </c>
      <c r="CD850" t="b">
        <v>0</v>
      </c>
      <c r="CE850" t="b">
        <v>0</v>
      </c>
      <c r="CF850" t="b">
        <v>0</v>
      </c>
    </row>
    <row r="851" spans="1:84" x14ac:dyDescent="0.3">
      <c r="A851" t="s">
        <v>2922</v>
      </c>
      <c r="B851" t="s">
        <v>1255</v>
      </c>
      <c r="C851" s="98">
        <v>45831</v>
      </c>
      <c r="D851">
        <v>2025</v>
      </c>
      <c r="E851">
        <v>6</v>
      </c>
      <c r="F851">
        <v>2</v>
      </c>
      <c r="G851" t="s">
        <v>1243</v>
      </c>
      <c r="H851" t="s">
        <v>141</v>
      </c>
      <c r="I851" t="s">
        <v>141</v>
      </c>
      <c r="J851" t="s">
        <v>6</v>
      </c>
      <c r="L851">
        <v>522611</v>
      </c>
      <c r="M851" s="99" t="s">
        <v>178</v>
      </c>
      <c r="N851">
        <v>1</v>
      </c>
      <c r="O851">
        <v>25</v>
      </c>
      <c r="P851">
        <v>0.27800000000000002</v>
      </c>
      <c r="Q851" t="s">
        <v>352</v>
      </c>
      <c r="R851">
        <v>1</v>
      </c>
      <c r="S851">
        <v>0.2928</v>
      </c>
      <c r="T851">
        <v>1.67E-2</v>
      </c>
      <c r="U851">
        <v>-0.88622754491017841</v>
      </c>
      <c r="V851">
        <v>0.2427</v>
      </c>
      <c r="W851">
        <v>0.25940000000000002</v>
      </c>
      <c r="X851">
        <v>0.27610000000000001</v>
      </c>
      <c r="Y851">
        <v>0.3095</v>
      </c>
      <c r="Z851">
        <v>0.32619999999999999</v>
      </c>
      <c r="AA851">
        <v>0.34289999999999998</v>
      </c>
      <c r="AD851">
        <v>43.555633017205778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 t="s">
        <v>462</v>
      </c>
      <c r="AL851" t="s">
        <v>6</v>
      </c>
      <c r="AM851" t="s">
        <v>1145</v>
      </c>
      <c r="AN851" t="s">
        <v>1146</v>
      </c>
      <c r="AO851" s="100">
        <v>46262.040405092594</v>
      </c>
      <c r="AP851" t="s">
        <v>1147</v>
      </c>
      <c r="AQ851" t="s">
        <v>2923</v>
      </c>
      <c r="AR851" t="s">
        <v>1257</v>
      </c>
      <c r="AS851" t="s">
        <v>1150</v>
      </c>
      <c r="AT851" t="s">
        <v>2875</v>
      </c>
      <c r="AU851">
        <v>25</v>
      </c>
      <c r="AV851">
        <v>0.28698400000000002</v>
      </c>
      <c r="AW851">
        <v>1.636262713217736E-2</v>
      </c>
      <c r="AX851">
        <v>5.7015816673324506</v>
      </c>
      <c r="AY851">
        <v>-1.6533305261415048</v>
      </c>
      <c r="AZ851">
        <v>11.060940277240048</v>
      </c>
      <c r="BA851">
        <v>7.3492418307618035</v>
      </c>
      <c r="BB851" t="s">
        <v>4619</v>
      </c>
      <c r="BD851" s="98"/>
      <c r="BE851" s="98"/>
      <c r="BF851" t="s">
        <v>1152</v>
      </c>
      <c r="BG851" t="s">
        <v>322</v>
      </c>
      <c r="BH851" t="s">
        <v>1153</v>
      </c>
      <c r="BI851">
        <v>1.6533305261415048</v>
      </c>
      <c r="BJ851" t="s">
        <v>983</v>
      </c>
      <c r="BK851">
        <v>32.494692739965728</v>
      </c>
      <c r="BL851">
        <v>74.605029221201661</v>
      </c>
      <c r="BM851" t="s">
        <v>1260</v>
      </c>
      <c r="BN851" t="s">
        <v>1154</v>
      </c>
      <c r="BO851">
        <v>2025</v>
      </c>
      <c r="BP851" t="s">
        <v>966</v>
      </c>
      <c r="BQ851">
        <v>1.0315291398832471E-2</v>
      </c>
      <c r="BR851">
        <v>99.999998968470862</v>
      </c>
      <c r="BS851" t="s">
        <v>984</v>
      </c>
      <c r="BT851">
        <v>3</v>
      </c>
      <c r="BU851">
        <v>1</v>
      </c>
      <c r="BV851" t="s">
        <v>985</v>
      </c>
      <c r="BW851" t="s">
        <v>943</v>
      </c>
      <c r="BX851" t="s">
        <v>986</v>
      </c>
      <c r="BY851">
        <v>7.1066284944359426</v>
      </c>
      <c r="BZ851" t="s">
        <v>2573</v>
      </c>
      <c r="CA851" t="s">
        <v>983</v>
      </c>
      <c r="CB851" t="b">
        <v>1</v>
      </c>
      <c r="CC851" t="b">
        <v>0</v>
      </c>
      <c r="CD851" t="b">
        <v>0</v>
      </c>
      <c r="CE851" t="b">
        <v>0</v>
      </c>
      <c r="CF851" t="b">
        <v>0</v>
      </c>
    </row>
    <row r="852" spans="1:84" x14ac:dyDescent="0.3">
      <c r="A852" t="s">
        <v>2924</v>
      </c>
      <c r="B852" t="s">
        <v>1143</v>
      </c>
      <c r="C852" s="98">
        <v>45663</v>
      </c>
      <c r="D852">
        <v>2025</v>
      </c>
      <c r="E852">
        <v>1</v>
      </c>
      <c r="F852">
        <v>1</v>
      </c>
      <c r="G852" t="s">
        <v>1144</v>
      </c>
      <c r="H852" t="s">
        <v>141</v>
      </c>
      <c r="I852" t="s">
        <v>141</v>
      </c>
      <c r="J852" t="s">
        <v>6</v>
      </c>
      <c r="L852">
        <v>522611</v>
      </c>
      <c r="M852" s="99" t="s">
        <v>179</v>
      </c>
      <c r="N852">
        <v>2</v>
      </c>
      <c r="O852">
        <v>1</v>
      </c>
      <c r="P852">
        <v>0.75360000000000005</v>
      </c>
      <c r="Q852" t="s">
        <v>352</v>
      </c>
      <c r="R852">
        <v>1</v>
      </c>
      <c r="S852">
        <v>0.72789999999999999</v>
      </c>
      <c r="T852">
        <v>4.07E-2</v>
      </c>
      <c r="U852">
        <v>0.63144963144963284</v>
      </c>
      <c r="V852">
        <v>0.60580000000000001</v>
      </c>
      <c r="W852">
        <v>0.64649999999999996</v>
      </c>
      <c r="X852">
        <v>0.68720000000000003</v>
      </c>
      <c r="Y852">
        <v>0.76859999999999995</v>
      </c>
      <c r="Z852">
        <v>0.80930000000000002</v>
      </c>
      <c r="AA852">
        <v>0.85</v>
      </c>
      <c r="AD852">
        <v>43.555633017205778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 t="s">
        <v>462</v>
      </c>
      <c r="AL852" t="s">
        <v>6</v>
      </c>
      <c r="AM852" t="s">
        <v>1145</v>
      </c>
      <c r="AN852" t="s">
        <v>1146</v>
      </c>
      <c r="AO852" s="100">
        <v>46262.040405092594</v>
      </c>
      <c r="AP852" t="s">
        <v>1147</v>
      </c>
      <c r="AQ852" t="s">
        <v>2925</v>
      </c>
      <c r="AR852" t="s">
        <v>1149</v>
      </c>
      <c r="AS852" t="s">
        <v>1150</v>
      </c>
      <c r="AT852" t="s">
        <v>2875</v>
      </c>
      <c r="AU852">
        <v>25</v>
      </c>
      <c r="AV852">
        <v>0.73586800000000008</v>
      </c>
      <c r="AW852">
        <v>3.8327130512645122E-2</v>
      </c>
      <c r="AX852">
        <v>5.2084246784267174</v>
      </c>
      <c r="AY852">
        <v>-1.6533305261415048</v>
      </c>
      <c r="AZ852">
        <v>10.247231245545589</v>
      </c>
      <c r="BA852">
        <v>8.045100981228261</v>
      </c>
      <c r="BB852" t="s">
        <v>4619</v>
      </c>
      <c r="BD852" s="98"/>
      <c r="BE852" s="98"/>
      <c r="BF852" t="s">
        <v>1152</v>
      </c>
      <c r="BG852" t="s">
        <v>322</v>
      </c>
      <c r="BH852" t="s">
        <v>1153</v>
      </c>
      <c r="BI852">
        <v>1.6533305261415048</v>
      </c>
      <c r="BJ852" t="s">
        <v>983</v>
      </c>
      <c r="BK852">
        <v>33.308401771660186</v>
      </c>
      <c r="BL852">
        <v>76.473235410222088</v>
      </c>
      <c r="BM852" t="s">
        <v>1260</v>
      </c>
      <c r="BN852" t="s">
        <v>1154</v>
      </c>
      <c r="BO852">
        <v>2025</v>
      </c>
      <c r="BP852" t="s">
        <v>966</v>
      </c>
      <c r="BQ852">
        <v>1.0315291398832471E-2</v>
      </c>
      <c r="BR852">
        <v>99.999998968470862</v>
      </c>
      <c r="BS852" t="s">
        <v>984</v>
      </c>
      <c r="BT852">
        <v>3</v>
      </c>
      <c r="BU852">
        <v>1</v>
      </c>
      <c r="BV852" t="s">
        <v>985</v>
      </c>
      <c r="BW852" t="s">
        <v>943</v>
      </c>
      <c r="BX852" t="s">
        <v>986</v>
      </c>
      <c r="BY852">
        <v>7.1066284944359426</v>
      </c>
      <c r="BZ852" t="s">
        <v>2573</v>
      </c>
      <c r="CA852" t="s">
        <v>983</v>
      </c>
      <c r="CB852" t="b">
        <v>1</v>
      </c>
      <c r="CC852" t="b">
        <v>0</v>
      </c>
      <c r="CD852" t="b">
        <v>0</v>
      </c>
      <c r="CE852" t="b">
        <v>0</v>
      </c>
      <c r="CF852" t="b">
        <v>0</v>
      </c>
    </row>
    <row r="853" spans="1:84" x14ac:dyDescent="0.3">
      <c r="A853" t="s">
        <v>2926</v>
      </c>
      <c r="B853" t="s">
        <v>1157</v>
      </c>
      <c r="C853" s="98">
        <v>45670</v>
      </c>
      <c r="D853">
        <v>2025</v>
      </c>
      <c r="E853">
        <v>1</v>
      </c>
      <c r="F853">
        <v>1</v>
      </c>
      <c r="G853" t="s">
        <v>1144</v>
      </c>
      <c r="H853" t="s">
        <v>141</v>
      </c>
      <c r="I853" t="s">
        <v>141</v>
      </c>
      <c r="J853" t="s">
        <v>6</v>
      </c>
      <c r="L853">
        <v>522611</v>
      </c>
      <c r="M853" s="99" t="s">
        <v>179</v>
      </c>
      <c r="N853">
        <v>2</v>
      </c>
      <c r="O853">
        <v>2</v>
      </c>
      <c r="P853">
        <v>0.70430000000000004</v>
      </c>
      <c r="Q853" t="s">
        <v>352</v>
      </c>
      <c r="R853">
        <v>1</v>
      </c>
      <c r="S853">
        <v>0.72789999999999999</v>
      </c>
      <c r="T853">
        <v>4.07E-2</v>
      </c>
      <c r="U853">
        <v>-0.57985257985257876</v>
      </c>
      <c r="V853">
        <v>0.60580000000000001</v>
      </c>
      <c r="W853">
        <v>0.64649999999999996</v>
      </c>
      <c r="X853">
        <v>0.68720000000000003</v>
      </c>
      <c r="Y853">
        <v>0.76859999999999995</v>
      </c>
      <c r="Z853">
        <v>0.80930000000000002</v>
      </c>
      <c r="AA853">
        <v>0.85</v>
      </c>
      <c r="AD853">
        <v>43.555633017205778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 t="s">
        <v>462</v>
      </c>
      <c r="AL853" t="s">
        <v>6</v>
      </c>
      <c r="AM853" t="s">
        <v>1145</v>
      </c>
      <c r="AN853" t="s">
        <v>1146</v>
      </c>
      <c r="AO853" s="100">
        <v>46262.040405092594</v>
      </c>
      <c r="AP853" t="s">
        <v>1147</v>
      </c>
      <c r="AQ853" t="s">
        <v>2927</v>
      </c>
      <c r="AR853" t="s">
        <v>1159</v>
      </c>
      <c r="AS853" t="s">
        <v>1150</v>
      </c>
      <c r="AT853" t="s">
        <v>2875</v>
      </c>
      <c r="AU853">
        <v>25</v>
      </c>
      <c r="AV853">
        <v>0.73586800000000008</v>
      </c>
      <c r="AW853">
        <v>3.8327130512645122E-2</v>
      </c>
      <c r="AX853">
        <v>5.2084246784267174</v>
      </c>
      <c r="AY853">
        <v>-1.6533305261415048</v>
      </c>
      <c r="AZ853">
        <v>10.247231245545589</v>
      </c>
      <c r="BA853">
        <v>8.045100981228261</v>
      </c>
      <c r="BB853" t="s">
        <v>4619</v>
      </c>
      <c r="BD853" s="98"/>
      <c r="BE853" s="98"/>
      <c r="BF853" t="s">
        <v>1152</v>
      </c>
      <c r="BG853" t="s">
        <v>322</v>
      </c>
      <c r="BH853" t="s">
        <v>1153</v>
      </c>
      <c r="BI853">
        <v>1.6533305261415048</v>
      </c>
      <c r="BJ853" t="s">
        <v>983</v>
      </c>
      <c r="BK853">
        <v>33.308401771660186</v>
      </c>
      <c r="BL853">
        <v>76.473235410222088</v>
      </c>
      <c r="BM853" t="s">
        <v>1260</v>
      </c>
      <c r="BN853" t="s">
        <v>1154</v>
      </c>
      <c r="BO853">
        <v>2025</v>
      </c>
      <c r="BP853" t="s">
        <v>966</v>
      </c>
      <c r="BQ853">
        <v>1.0315291398832471E-2</v>
      </c>
      <c r="BR853">
        <v>99.999998968470862</v>
      </c>
      <c r="BS853" t="s">
        <v>984</v>
      </c>
      <c r="BT853">
        <v>3</v>
      </c>
      <c r="BU853">
        <v>1</v>
      </c>
      <c r="BV853" t="s">
        <v>985</v>
      </c>
      <c r="BW853" t="s">
        <v>943</v>
      </c>
      <c r="BX853" t="s">
        <v>986</v>
      </c>
      <c r="BY853">
        <v>7.1066284944359426</v>
      </c>
      <c r="BZ853" t="s">
        <v>2573</v>
      </c>
      <c r="CA853" t="s">
        <v>983</v>
      </c>
      <c r="CB853" t="b">
        <v>1</v>
      </c>
      <c r="CC853" t="b">
        <v>0</v>
      </c>
      <c r="CD853" t="b">
        <v>0</v>
      </c>
      <c r="CE853" t="b">
        <v>0</v>
      </c>
      <c r="CF853" t="b">
        <v>0</v>
      </c>
    </row>
    <row r="854" spans="1:84" x14ac:dyDescent="0.3">
      <c r="A854" t="s">
        <v>2928</v>
      </c>
      <c r="B854" t="s">
        <v>1161</v>
      </c>
      <c r="C854" s="98">
        <v>45677</v>
      </c>
      <c r="D854">
        <v>2025</v>
      </c>
      <c r="E854">
        <v>1</v>
      </c>
      <c r="F854">
        <v>1</v>
      </c>
      <c r="G854" t="s">
        <v>1144</v>
      </c>
      <c r="H854" t="s">
        <v>141</v>
      </c>
      <c r="I854" t="s">
        <v>141</v>
      </c>
      <c r="J854" t="s">
        <v>6</v>
      </c>
      <c r="L854">
        <v>522611</v>
      </c>
      <c r="M854" s="99" t="s">
        <v>179</v>
      </c>
      <c r="N854">
        <v>2</v>
      </c>
      <c r="O854">
        <v>3</v>
      </c>
      <c r="P854">
        <v>0.68030000000000002</v>
      </c>
      <c r="Q854" t="s">
        <v>352</v>
      </c>
      <c r="R854">
        <v>1</v>
      </c>
      <c r="S854">
        <v>0.72789999999999999</v>
      </c>
      <c r="T854">
        <v>4.07E-2</v>
      </c>
      <c r="U854">
        <v>-1.169533169533169</v>
      </c>
      <c r="V854">
        <v>0.60580000000000001</v>
      </c>
      <c r="W854">
        <v>0.64649999999999996</v>
      </c>
      <c r="X854">
        <v>0.68720000000000003</v>
      </c>
      <c r="Y854">
        <v>0.76859999999999995</v>
      </c>
      <c r="Z854">
        <v>0.80930000000000002</v>
      </c>
      <c r="AA854">
        <v>0.85</v>
      </c>
      <c r="AD854">
        <v>43.555633017205778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 t="s">
        <v>462</v>
      </c>
      <c r="AL854" t="s">
        <v>6</v>
      </c>
      <c r="AM854" t="s">
        <v>1145</v>
      </c>
      <c r="AN854" t="s">
        <v>1146</v>
      </c>
      <c r="AO854" s="100">
        <v>46262.040405092594</v>
      </c>
      <c r="AP854" t="s">
        <v>1147</v>
      </c>
      <c r="AQ854" t="s">
        <v>2929</v>
      </c>
      <c r="AR854" t="s">
        <v>1163</v>
      </c>
      <c r="AS854" t="s">
        <v>1150</v>
      </c>
      <c r="AT854" t="s">
        <v>2875</v>
      </c>
      <c r="AU854">
        <v>25</v>
      </c>
      <c r="AV854">
        <v>0.73586800000000008</v>
      </c>
      <c r="AW854">
        <v>3.8327130512645122E-2</v>
      </c>
      <c r="AX854">
        <v>5.2084246784267174</v>
      </c>
      <c r="AY854">
        <v>-1.6533305261415048</v>
      </c>
      <c r="AZ854">
        <v>10.247231245545589</v>
      </c>
      <c r="BA854">
        <v>8.045100981228261</v>
      </c>
      <c r="BB854" t="s">
        <v>4619</v>
      </c>
      <c r="BD854" s="98"/>
      <c r="BE854" s="98"/>
      <c r="BF854" t="s">
        <v>1152</v>
      </c>
      <c r="BG854" t="s">
        <v>322</v>
      </c>
      <c r="BH854" t="s">
        <v>1153</v>
      </c>
      <c r="BI854">
        <v>1.6533305261415048</v>
      </c>
      <c r="BJ854" t="s">
        <v>983</v>
      </c>
      <c r="BK854">
        <v>33.308401771660186</v>
      </c>
      <c r="BL854">
        <v>76.473235410222088</v>
      </c>
      <c r="BM854" t="s">
        <v>1260</v>
      </c>
      <c r="BN854" t="s">
        <v>1154</v>
      </c>
      <c r="BO854">
        <v>2025</v>
      </c>
      <c r="BP854" t="s">
        <v>966</v>
      </c>
      <c r="BQ854">
        <v>1.0315291398832471E-2</v>
      </c>
      <c r="BR854">
        <v>99.999998968470862</v>
      </c>
      <c r="BS854" t="s">
        <v>984</v>
      </c>
      <c r="BT854">
        <v>3</v>
      </c>
      <c r="BU854">
        <v>1</v>
      </c>
      <c r="BV854" t="s">
        <v>985</v>
      </c>
      <c r="BW854" t="s">
        <v>943</v>
      </c>
      <c r="BX854" t="s">
        <v>986</v>
      </c>
      <c r="BY854">
        <v>7.1066284944359426</v>
      </c>
      <c r="BZ854" t="s">
        <v>2573</v>
      </c>
      <c r="CA854" t="s">
        <v>983</v>
      </c>
      <c r="CB854" t="b">
        <v>1</v>
      </c>
      <c r="CC854" t="b">
        <v>0</v>
      </c>
      <c r="CD854" t="b">
        <v>0</v>
      </c>
      <c r="CE854" t="b">
        <v>0</v>
      </c>
      <c r="CF854" t="b">
        <v>0</v>
      </c>
    </row>
    <row r="855" spans="1:84" x14ac:dyDescent="0.3">
      <c r="A855" t="s">
        <v>2930</v>
      </c>
      <c r="B855" t="s">
        <v>1165</v>
      </c>
      <c r="C855" s="98">
        <v>45684</v>
      </c>
      <c r="D855">
        <v>2025</v>
      </c>
      <c r="E855">
        <v>1</v>
      </c>
      <c r="F855">
        <v>1</v>
      </c>
      <c r="G855" t="s">
        <v>1144</v>
      </c>
      <c r="H855" t="s">
        <v>141</v>
      </c>
      <c r="I855" t="s">
        <v>141</v>
      </c>
      <c r="J855" t="s">
        <v>6</v>
      </c>
      <c r="L855">
        <v>522611</v>
      </c>
      <c r="M855" s="99" t="s">
        <v>179</v>
      </c>
      <c r="N855">
        <v>2</v>
      </c>
      <c r="O855">
        <v>4</v>
      </c>
      <c r="P855">
        <v>0.69520000000000004</v>
      </c>
      <c r="Q855" t="s">
        <v>352</v>
      </c>
      <c r="R855">
        <v>1</v>
      </c>
      <c r="S855">
        <v>0.72789999999999999</v>
      </c>
      <c r="T855">
        <v>4.07E-2</v>
      </c>
      <c r="U855">
        <v>-0.80343980343980226</v>
      </c>
      <c r="V855">
        <v>0.60580000000000001</v>
      </c>
      <c r="W855">
        <v>0.64649999999999996</v>
      </c>
      <c r="X855">
        <v>0.68720000000000003</v>
      </c>
      <c r="Y855">
        <v>0.76859999999999995</v>
      </c>
      <c r="Z855">
        <v>0.80930000000000002</v>
      </c>
      <c r="AA855">
        <v>0.85</v>
      </c>
      <c r="AD855">
        <v>43.555633017205778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 t="s">
        <v>462</v>
      </c>
      <c r="AL855" t="s">
        <v>6</v>
      </c>
      <c r="AM855" t="s">
        <v>1145</v>
      </c>
      <c r="AN855" t="s">
        <v>1146</v>
      </c>
      <c r="AO855" s="100">
        <v>46262.040405092594</v>
      </c>
      <c r="AP855" t="s">
        <v>1147</v>
      </c>
      <c r="AQ855" t="s">
        <v>2931</v>
      </c>
      <c r="AR855" t="s">
        <v>1167</v>
      </c>
      <c r="AS855" t="s">
        <v>1150</v>
      </c>
      <c r="AT855" t="s">
        <v>2875</v>
      </c>
      <c r="AU855">
        <v>25</v>
      </c>
      <c r="AV855">
        <v>0.73586800000000008</v>
      </c>
      <c r="AW855">
        <v>3.8327130512645122E-2</v>
      </c>
      <c r="AX855">
        <v>5.2084246784267174</v>
      </c>
      <c r="AY855">
        <v>-1.6533305261415048</v>
      </c>
      <c r="AZ855">
        <v>10.247231245545589</v>
      </c>
      <c r="BA855">
        <v>8.045100981228261</v>
      </c>
      <c r="BB855" t="s">
        <v>4619</v>
      </c>
      <c r="BD855" s="98"/>
      <c r="BE855" s="98"/>
      <c r="BF855" t="s">
        <v>1152</v>
      </c>
      <c r="BG855" t="s">
        <v>322</v>
      </c>
      <c r="BH855" t="s">
        <v>1153</v>
      </c>
      <c r="BI855">
        <v>1.6533305261415048</v>
      </c>
      <c r="BJ855" t="s">
        <v>983</v>
      </c>
      <c r="BK855">
        <v>33.308401771660186</v>
      </c>
      <c r="BL855">
        <v>76.473235410222088</v>
      </c>
      <c r="BM855" t="s">
        <v>1260</v>
      </c>
      <c r="BN855" t="s">
        <v>1154</v>
      </c>
      <c r="BO855">
        <v>2025</v>
      </c>
      <c r="BP855" t="s">
        <v>966</v>
      </c>
      <c r="BQ855">
        <v>1.0315291398832471E-2</v>
      </c>
      <c r="BR855">
        <v>99.999998968470862</v>
      </c>
      <c r="BS855" t="s">
        <v>984</v>
      </c>
      <c r="BT855">
        <v>3</v>
      </c>
      <c r="BU855">
        <v>1</v>
      </c>
      <c r="BV855" t="s">
        <v>985</v>
      </c>
      <c r="BW855" t="s">
        <v>943</v>
      </c>
      <c r="BX855" t="s">
        <v>986</v>
      </c>
      <c r="BY855">
        <v>7.1066284944359426</v>
      </c>
      <c r="BZ855" t="s">
        <v>2573</v>
      </c>
      <c r="CA855" t="s">
        <v>983</v>
      </c>
      <c r="CB855" t="b">
        <v>1</v>
      </c>
      <c r="CC855" t="b">
        <v>0</v>
      </c>
      <c r="CD855" t="b">
        <v>0</v>
      </c>
      <c r="CE855" t="b">
        <v>0</v>
      </c>
      <c r="CF855" t="b">
        <v>0</v>
      </c>
    </row>
    <row r="856" spans="1:84" x14ac:dyDescent="0.3">
      <c r="A856" t="s">
        <v>2932</v>
      </c>
      <c r="B856" t="s">
        <v>1169</v>
      </c>
      <c r="C856" s="98">
        <v>45691</v>
      </c>
      <c r="D856">
        <v>2025</v>
      </c>
      <c r="E856">
        <v>2</v>
      </c>
      <c r="F856">
        <v>1</v>
      </c>
      <c r="G856" t="s">
        <v>1170</v>
      </c>
      <c r="H856" t="s">
        <v>141</v>
      </c>
      <c r="I856" t="s">
        <v>141</v>
      </c>
      <c r="J856" t="s">
        <v>6</v>
      </c>
      <c r="L856">
        <v>522611</v>
      </c>
      <c r="M856" s="99" t="s">
        <v>179</v>
      </c>
      <c r="N856">
        <v>2</v>
      </c>
      <c r="O856">
        <v>5</v>
      </c>
      <c r="P856">
        <v>0.78690000000000004</v>
      </c>
      <c r="Q856" t="s">
        <v>352</v>
      </c>
      <c r="R856">
        <v>1</v>
      </c>
      <c r="S856">
        <v>0.72789999999999999</v>
      </c>
      <c r="T856">
        <v>4.07E-2</v>
      </c>
      <c r="U856">
        <v>1.4496314496314509</v>
      </c>
      <c r="V856">
        <v>0.60580000000000001</v>
      </c>
      <c r="W856">
        <v>0.64649999999999996</v>
      </c>
      <c r="X856">
        <v>0.68720000000000003</v>
      </c>
      <c r="Y856">
        <v>0.76859999999999995</v>
      </c>
      <c r="Z856">
        <v>0.80930000000000002</v>
      </c>
      <c r="AA856">
        <v>0.85</v>
      </c>
      <c r="AD856">
        <v>43.555633017205778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 t="s">
        <v>462</v>
      </c>
      <c r="AL856" t="s">
        <v>6</v>
      </c>
      <c r="AM856" t="s">
        <v>1145</v>
      </c>
      <c r="AN856" t="s">
        <v>1146</v>
      </c>
      <c r="AO856" s="100">
        <v>46262.040405092594</v>
      </c>
      <c r="AP856" t="s">
        <v>1147</v>
      </c>
      <c r="AQ856" t="s">
        <v>2933</v>
      </c>
      <c r="AR856" t="s">
        <v>1172</v>
      </c>
      <c r="AS856" t="s">
        <v>1150</v>
      </c>
      <c r="AT856" t="s">
        <v>2875</v>
      </c>
      <c r="AU856">
        <v>25</v>
      </c>
      <c r="AV856">
        <v>0.73586800000000008</v>
      </c>
      <c r="AW856">
        <v>3.8327130512645122E-2</v>
      </c>
      <c r="AX856">
        <v>5.2084246784267174</v>
      </c>
      <c r="AY856">
        <v>-1.6533305261415048</v>
      </c>
      <c r="AZ856">
        <v>10.247231245545589</v>
      </c>
      <c r="BA856">
        <v>8.045100981228261</v>
      </c>
      <c r="BB856" t="s">
        <v>4619</v>
      </c>
      <c r="BD856" s="98"/>
      <c r="BE856" s="98"/>
      <c r="BF856" t="s">
        <v>1152</v>
      </c>
      <c r="BG856" t="s">
        <v>322</v>
      </c>
      <c r="BH856" t="s">
        <v>1153</v>
      </c>
      <c r="BI856">
        <v>1.6533305261415048</v>
      </c>
      <c r="BJ856" t="s">
        <v>983</v>
      </c>
      <c r="BK856">
        <v>33.308401771660186</v>
      </c>
      <c r="BL856">
        <v>76.473235410222088</v>
      </c>
      <c r="BM856" t="s">
        <v>1260</v>
      </c>
      <c r="BN856" t="s">
        <v>1154</v>
      </c>
      <c r="BO856">
        <v>2025</v>
      </c>
      <c r="BP856" t="s">
        <v>966</v>
      </c>
      <c r="BQ856">
        <v>1.0315291398832471E-2</v>
      </c>
      <c r="BR856">
        <v>99.999998968470862</v>
      </c>
      <c r="BS856" t="s">
        <v>984</v>
      </c>
      <c r="BT856">
        <v>3</v>
      </c>
      <c r="BU856">
        <v>1</v>
      </c>
      <c r="BV856" t="s">
        <v>985</v>
      </c>
      <c r="BW856" t="s">
        <v>943</v>
      </c>
      <c r="BX856" t="s">
        <v>986</v>
      </c>
      <c r="BY856">
        <v>7.1066284944359426</v>
      </c>
      <c r="BZ856" t="s">
        <v>2573</v>
      </c>
      <c r="CA856" t="s">
        <v>983</v>
      </c>
      <c r="CB856" t="b">
        <v>1</v>
      </c>
      <c r="CC856" t="b">
        <v>0</v>
      </c>
      <c r="CD856" t="b">
        <v>0</v>
      </c>
      <c r="CE856" t="b">
        <v>0</v>
      </c>
      <c r="CF856" t="b">
        <v>0</v>
      </c>
    </row>
    <row r="857" spans="1:84" x14ac:dyDescent="0.3">
      <c r="A857" t="s">
        <v>2934</v>
      </c>
      <c r="B857" t="s">
        <v>1174</v>
      </c>
      <c r="C857" s="98">
        <v>45698</v>
      </c>
      <c r="D857">
        <v>2025</v>
      </c>
      <c r="E857">
        <v>2</v>
      </c>
      <c r="F857">
        <v>1</v>
      </c>
      <c r="G857" t="s">
        <v>1170</v>
      </c>
      <c r="H857" t="s">
        <v>141</v>
      </c>
      <c r="I857" t="s">
        <v>141</v>
      </c>
      <c r="J857" t="s">
        <v>6</v>
      </c>
      <c r="L857">
        <v>522611</v>
      </c>
      <c r="M857" s="99" t="s">
        <v>179</v>
      </c>
      <c r="N857">
        <v>2</v>
      </c>
      <c r="O857">
        <v>6</v>
      </c>
      <c r="P857">
        <v>0.7369</v>
      </c>
      <c r="Q857" t="s">
        <v>352</v>
      </c>
      <c r="R857">
        <v>1</v>
      </c>
      <c r="S857">
        <v>0.72789999999999999</v>
      </c>
      <c r="T857">
        <v>4.07E-2</v>
      </c>
      <c r="U857">
        <v>0.22113022113022132</v>
      </c>
      <c r="V857">
        <v>0.60580000000000001</v>
      </c>
      <c r="W857">
        <v>0.64649999999999996</v>
      </c>
      <c r="X857">
        <v>0.68720000000000003</v>
      </c>
      <c r="Y857">
        <v>0.76859999999999995</v>
      </c>
      <c r="Z857">
        <v>0.80930000000000002</v>
      </c>
      <c r="AA857">
        <v>0.85</v>
      </c>
      <c r="AD857">
        <v>43.555633017205778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 t="s">
        <v>462</v>
      </c>
      <c r="AL857" t="s">
        <v>6</v>
      </c>
      <c r="AM857" t="s">
        <v>1145</v>
      </c>
      <c r="AN857" t="s">
        <v>1146</v>
      </c>
      <c r="AO857" s="100">
        <v>46262.040405092594</v>
      </c>
      <c r="AP857" t="s">
        <v>1147</v>
      </c>
      <c r="AQ857" t="s">
        <v>2935</v>
      </c>
      <c r="AR857" t="s">
        <v>1176</v>
      </c>
      <c r="AS857" t="s">
        <v>1150</v>
      </c>
      <c r="AT857" t="s">
        <v>2875</v>
      </c>
      <c r="AU857">
        <v>25</v>
      </c>
      <c r="AV857">
        <v>0.73586800000000008</v>
      </c>
      <c r="AW857">
        <v>3.8327130512645122E-2</v>
      </c>
      <c r="AX857">
        <v>5.2084246784267174</v>
      </c>
      <c r="AY857">
        <v>-1.6533305261415048</v>
      </c>
      <c r="AZ857">
        <v>10.247231245545589</v>
      </c>
      <c r="BA857">
        <v>8.045100981228261</v>
      </c>
      <c r="BB857" t="s">
        <v>4619</v>
      </c>
      <c r="BD857" s="98"/>
      <c r="BE857" s="98"/>
      <c r="BF857" t="s">
        <v>1152</v>
      </c>
      <c r="BG857" t="s">
        <v>322</v>
      </c>
      <c r="BH857" t="s">
        <v>1153</v>
      </c>
      <c r="BI857">
        <v>1.6533305261415048</v>
      </c>
      <c r="BJ857" t="s">
        <v>983</v>
      </c>
      <c r="BK857">
        <v>33.308401771660186</v>
      </c>
      <c r="BL857">
        <v>76.473235410222088</v>
      </c>
      <c r="BM857" t="s">
        <v>1260</v>
      </c>
      <c r="BN857" t="s">
        <v>1154</v>
      </c>
      <c r="BO857">
        <v>2025</v>
      </c>
      <c r="BP857" t="s">
        <v>966</v>
      </c>
      <c r="BQ857">
        <v>1.0315291398832471E-2</v>
      </c>
      <c r="BR857">
        <v>99.999998968470862</v>
      </c>
      <c r="BS857" t="s">
        <v>984</v>
      </c>
      <c r="BT857">
        <v>3</v>
      </c>
      <c r="BU857">
        <v>1</v>
      </c>
      <c r="BV857" t="s">
        <v>985</v>
      </c>
      <c r="BW857" t="s">
        <v>943</v>
      </c>
      <c r="BX857" t="s">
        <v>986</v>
      </c>
      <c r="BY857">
        <v>7.1066284944359426</v>
      </c>
      <c r="BZ857" t="s">
        <v>2573</v>
      </c>
      <c r="CA857" t="s">
        <v>983</v>
      </c>
      <c r="CB857" t="b">
        <v>1</v>
      </c>
      <c r="CC857" t="b">
        <v>0</v>
      </c>
      <c r="CD857" t="b">
        <v>0</v>
      </c>
      <c r="CE857" t="b">
        <v>0</v>
      </c>
      <c r="CF857" t="b">
        <v>0</v>
      </c>
    </row>
    <row r="858" spans="1:84" x14ac:dyDescent="0.3">
      <c r="A858" t="s">
        <v>2936</v>
      </c>
      <c r="B858" t="s">
        <v>1178</v>
      </c>
      <c r="C858" s="98">
        <v>45705</v>
      </c>
      <c r="D858">
        <v>2025</v>
      </c>
      <c r="E858">
        <v>2</v>
      </c>
      <c r="F858">
        <v>1</v>
      </c>
      <c r="G858" t="s">
        <v>1170</v>
      </c>
      <c r="H858" t="s">
        <v>141</v>
      </c>
      <c r="I858" t="s">
        <v>141</v>
      </c>
      <c r="J858" t="s">
        <v>6</v>
      </c>
      <c r="L858">
        <v>522611</v>
      </c>
      <c r="M858" s="99" t="s">
        <v>179</v>
      </c>
      <c r="N858">
        <v>2</v>
      </c>
      <c r="O858">
        <v>7</v>
      </c>
      <c r="P858">
        <v>0.7752</v>
      </c>
      <c r="Q858" t="s">
        <v>352</v>
      </c>
      <c r="R858">
        <v>1</v>
      </c>
      <c r="S858">
        <v>0.72789999999999999</v>
      </c>
      <c r="T858">
        <v>4.07E-2</v>
      </c>
      <c r="U858">
        <v>1.1621621621621623</v>
      </c>
      <c r="V858">
        <v>0.60580000000000001</v>
      </c>
      <c r="W858">
        <v>0.64649999999999996</v>
      </c>
      <c r="X858">
        <v>0.68720000000000003</v>
      </c>
      <c r="Y858">
        <v>0.76859999999999995</v>
      </c>
      <c r="Z858">
        <v>0.80930000000000002</v>
      </c>
      <c r="AA858">
        <v>0.85</v>
      </c>
      <c r="AD858">
        <v>43.555633017205778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 t="s">
        <v>462</v>
      </c>
      <c r="AL858" t="s">
        <v>6</v>
      </c>
      <c r="AM858" t="s">
        <v>1145</v>
      </c>
      <c r="AN858" t="s">
        <v>1146</v>
      </c>
      <c r="AO858" s="100">
        <v>46262.040405092594</v>
      </c>
      <c r="AP858" t="s">
        <v>1147</v>
      </c>
      <c r="AQ858" t="s">
        <v>2937</v>
      </c>
      <c r="AR858" t="s">
        <v>1180</v>
      </c>
      <c r="AS858" t="s">
        <v>1150</v>
      </c>
      <c r="AT858" t="s">
        <v>2875</v>
      </c>
      <c r="AU858">
        <v>25</v>
      </c>
      <c r="AV858">
        <v>0.73586800000000008</v>
      </c>
      <c r="AW858">
        <v>3.8327130512645122E-2</v>
      </c>
      <c r="AX858">
        <v>5.2084246784267174</v>
      </c>
      <c r="AY858">
        <v>-1.6533305261415048</v>
      </c>
      <c r="AZ858">
        <v>10.247231245545589</v>
      </c>
      <c r="BA858">
        <v>8.045100981228261</v>
      </c>
      <c r="BB858" t="s">
        <v>4619</v>
      </c>
      <c r="BD858" s="98"/>
      <c r="BE858" s="98"/>
      <c r="BF858" t="s">
        <v>1152</v>
      </c>
      <c r="BG858" t="s">
        <v>322</v>
      </c>
      <c r="BH858" t="s">
        <v>1153</v>
      </c>
      <c r="BI858">
        <v>1.6533305261415048</v>
      </c>
      <c r="BJ858" t="s">
        <v>983</v>
      </c>
      <c r="BK858">
        <v>33.308401771660186</v>
      </c>
      <c r="BL858">
        <v>76.473235410222088</v>
      </c>
      <c r="BM858" t="s">
        <v>1260</v>
      </c>
      <c r="BN858" t="s">
        <v>1154</v>
      </c>
      <c r="BO858">
        <v>2025</v>
      </c>
      <c r="BP858" t="s">
        <v>966</v>
      </c>
      <c r="BQ858">
        <v>1.0315291398832471E-2</v>
      </c>
      <c r="BR858">
        <v>99.999998968470862</v>
      </c>
      <c r="BS858" t="s">
        <v>984</v>
      </c>
      <c r="BT858">
        <v>3</v>
      </c>
      <c r="BU858">
        <v>1</v>
      </c>
      <c r="BV858" t="s">
        <v>985</v>
      </c>
      <c r="BW858" t="s">
        <v>943</v>
      </c>
      <c r="BX858" t="s">
        <v>986</v>
      </c>
      <c r="BY858">
        <v>7.1066284944359426</v>
      </c>
      <c r="BZ858" t="s">
        <v>2573</v>
      </c>
      <c r="CA858" t="s">
        <v>983</v>
      </c>
      <c r="CB858" t="b">
        <v>1</v>
      </c>
      <c r="CC858" t="b">
        <v>0</v>
      </c>
      <c r="CD858" t="b">
        <v>0</v>
      </c>
      <c r="CE858" t="b">
        <v>0</v>
      </c>
      <c r="CF858" t="b">
        <v>0</v>
      </c>
    </row>
    <row r="859" spans="1:84" x14ac:dyDescent="0.3">
      <c r="A859" t="s">
        <v>2938</v>
      </c>
      <c r="B859" t="s">
        <v>1182</v>
      </c>
      <c r="C859" s="98">
        <v>45712</v>
      </c>
      <c r="D859">
        <v>2025</v>
      </c>
      <c r="E859">
        <v>2</v>
      </c>
      <c r="F859">
        <v>1</v>
      </c>
      <c r="G859" t="s">
        <v>1170</v>
      </c>
      <c r="H859" t="s">
        <v>141</v>
      </c>
      <c r="I859" t="s">
        <v>141</v>
      </c>
      <c r="J859" t="s">
        <v>6</v>
      </c>
      <c r="L859">
        <v>522611</v>
      </c>
      <c r="M859" s="99" t="s">
        <v>179</v>
      </c>
      <c r="N859">
        <v>2</v>
      </c>
      <c r="O859">
        <v>8</v>
      </c>
      <c r="P859">
        <v>0.70840000000000003</v>
      </c>
      <c r="Q859" t="s">
        <v>352</v>
      </c>
      <c r="R859">
        <v>1</v>
      </c>
      <c r="S859">
        <v>0.72789999999999999</v>
      </c>
      <c r="T859">
        <v>4.07E-2</v>
      </c>
      <c r="U859">
        <v>-0.47911547911547819</v>
      </c>
      <c r="V859">
        <v>0.60580000000000001</v>
      </c>
      <c r="W859">
        <v>0.64649999999999996</v>
      </c>
      <c r="X859">
        <v>0.68720000000000003</v>
      </c>
      <c r="Y859">
        <v>0.76859999999999995</v>
      </c>
      <c r="Z859">
        <v>0.80930000000000002</v>
      </c>
      <c r="AA859">
        <v>0.85</v>
      </c>
      <c r="AD859">
        <v>43.555633017205778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 t="s">
        <v>462</v>
      </c>
      <c r="AL859" t="s">
        <v>6</v>
      </c>
      <c r="AM859" t="s">
        <v>1145</v>
      </c>
      <c r="AN859" t="s">
        <v>1146</v>
      </c>
      <c r="AO859" s="100">
        <v>46262.040405092594</v>
      </c>
      <c r="AP859" t="s">
        <v>1147</v>
      </c>
      <c r="AQ859" t="s">
        <v>2939</v>
      </c>
      <c r="AR859" t="s">
        <v>1184</v>
      </c>
      <c r="AS859" t="s">
        <v>1150</v>
      </c>
      <c r="AT859" t="s">
        <v>2875</v>
      </c>
      <c r="AU859">
        <v>25</v>
      </c>
      <c r="AV859">
        <v>0.73586800000000008</v>
      </c>
      <c r="AW859">
        <v>3.8327130512645122E-2</v>
      </c>
      <c r="AX859">
        <v>5.2084246784267174</v>
      </c>
      <c r="AY859">
        <v>-1.6533305261415048</v>
      </c>
      <c r="AZ859">
        <v>10.247231245545589</v>
      </c>
      <c r="BA859">
        <v>8.045100981228261</v>
      </c>
      <c r="BB859" t="s">
        <v>4619</v>
      </c>
      <c r="BD859" s="98"/>
      <c r="BE859" s="98"/>
      <c r="BF859" t="s">
        <v>1152</v>
      </c>
      <c r="BG859" t="s">
        <v>322</v>
      </c>
      <c r="BH859" t="s">
        <v>1153</v>
      </c>
      <c r="BI859">
        <v>1.6533305261415048</v>
      </c>
      <c r="BJ859" t="s">
        <v>983</v>
      </c>
      <c r="BK859">
        <v>33.308401771660186</v>
      </c>
      <c r="BL859">
        <v>76.473235410222088</v>
      </c>
      <c r="BM859" t="s">
        <v>1260</v>
      </c>
      <c r="BN859" t="s">
        <v>1154</v>
      </c>
      <c r="BO859">
        <v>2025</v>
      </c>
      <c r="BP859" t="s">
        <v>966</v>
      </c>
      <c r="BQ859">
        <v>1.0315291398832471E-2</v>
      </c>
      <c r="BR859">
        <v>99.999998968470862</v>
      </c>
      <c r="BS859" t="s">
        <v>984</v>
      </c>
      <c r="BT859">
        <v>3</v>
      </c>
      <c r="BU859">
        <v>1</v>
      </c>
      <c r="BV859" t="s">
        <v>985</v>
      </c>
      <c r="BW859" t="s">
        <v>943</v>
      </c>
      <c r="BX859" t="s">
        <v>986</v>
      </c>
      <c r="BY859">
        <v>7.1066284944359426</v>
      </c>
      <c r="BZ859" t="s">
        <v>2573</v>
      </c>
      <c r="CA859" t="s">
        <v>983</v>
      </c>
      <c r="CB859" t="b">
        <v>1</v>
      </c>
      <c r="CC859" t="b">
        <v>0</v>
      </c>
      <c r="CD859" t="b">
        <v>0</v>
      </c>
      <c r="CE859" t="b">
        <v>0</v>
      </c>
      <c r="CF859" t="b">
        <v>0</v>
      </c>
    </row>
    <row r="860" spans="1:84" x14ac:dyDescent="0.3">
      <c r="A860" t="s">
        <v>2940</v>
      </c>
      <c r="B860" t="s">
        <v>1186</v>
      </c>
      <c r="C860" s="98">
        <v>45719</v>
      </c>
      <c r="D860">
        <v>2025</v>
      </c>
      <c r="E860">
        <v>3</v>
      </c>
      <c r="F860">
        <v>1</v>
      </c>
      <c r="G860" t="s">
        <v>1187</v>
      </c>
      <c r="H860" t="s">
        <v>141</v>
      </c>
      <c r="I860" t="s">
        <v>141</v>
      </c>
      <c r="J860" t="s">
        <v>6</v>
      </c>
      <c r="L860">
        <v>522611</v>
      </c>
      <c r="M860" s="99" t="s">
        <v>179</v>
      </c>
      <c r="N860">
        <v>2</v>
      </c>
      <c r="O860">
        <v>9</v>
      </c>
      <c r="P860">
        <v>0.76619999999999999</v>
      </c>
      <c r="Q860" t="s">
        <v>352</v>
      </c>
      <c r="R860">
        <v>1</v>
      </c>
      <c r="S860">
        <v>0.72789999999999999</v>
      </c>
      <c r="T860">
        <v>4.07E-2</v>
      </c>
      <c r="U860">
        <v>0.9410319410319411</v>
      </c>
      <c r="V860">
        <v>0.60580000000000001</v>
      </c>
      <c r="W860">
        <v>0.64649999999999996</v>
      </c>
      <c r="X860">
        <v>0.68720000000000003</v>
      </c>
      <c r="Y860">
        <v>0.76859999999999995</v>
      </c>
      <c r="Z860">
        <v>0.80930000000000002</v>
      </c>
      <c r="AA860">
        <v>0.85</v>
      </c>
      <c r="AD860">
        <v>43.555633017205778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 t="s">
        <v>462</v>
      </c>
      <c r="AL860" t="s">
        <v>6</v>
      </c>
      <c r="AM860" t="s">
        <v>1145</v>
      </c>
      <c r="AN860" t="s">
        <v>1146</v>
      </c>
      <c r="AO860" s="100">
        <v>46262.040405092594</v>
      </c>
      <c r="AP860" t="s">
        <v>1147</v>
      </c>
      <c r="AQ860" t="s">
        <v>2941</v>
      </c>
      <c r="AR860" t="s">
        <v>1189</v>
      </c>
      <c r="AS860" t="s">
        <v>1150</v>
      </c>
      <c r="AT860" t="s">
        <v>2875</v>
      </c>
      <c r="AU860">
        <v>25</v>
      </c>
      <c r="AV860">
        <v>0.73586800000000008</v>
      </c>
      <c r="AW860">
        <v>3.8327130512645122E-2</v>
      </c>
      <c r="AX860">
        <v>5.2084246784267174</v>
      </c>
      <c r="AY860">
        <v>-1.6533305261415048</v>
      </c>
      <c r="AZ860">
        <v>10.247231245545589</v>
      </c>
      <c r="BA860">
        <v>8.045100981228261</v>
      </c>
      <c r="BB860" t="s">
        <v>4619</v>
      </c>
      <c r="BD860" s="98"/>
      <c r="BE860" s="98"/>
      <c r="BF860" t="s">
        <v>1152</v>
      </c>
      <c r="BG860" t="s">
        <v>322</v>
      </c>
      <c r="BH860" t="s">
        <v>1153</v>
      </c>
      <c r="BI860">
        <v>1.6533305261415048</v>
      </c>
      <c r="BJ860" t="s">
        <v>983</v>
      </c>
      <c r="BK860">
        <v>33.308401771660186</v>
      </c>
      <c r="BL860">
        <v>76.473235410222088</v>
      </c>
      <c r="BM860" t="s">
        <v>1260</v>
      </c>
      <c r="BN860" t="s">
        <v>1154</v>
      </c>
      <c r="BO860">
        <v>2025</v>
      </c>
      <c r="BP860" t="s">
        <v>966</v>
      </c>
      <c r="BQ860">
        <v>1.0315291398832471E-2</v>
      </c>
      <c r="BR860">
        <v>99.999998968470862</v>
      </c>
      <c r="BS860" t="s">
        <v>984</v>
      </c>
      <c r="BT860">
        <v>3</v>
      </c>
      <c r="BU860">
        <v>1</v>
      </c>
      <c r="BV860" t="s">
        <v>985</v>
      </c>
      <c r="BW860" t="s">
        <v>943</v>
      </c>
      <c r="BX860" t="s">
        <v>986</v>
      </c>
      <c r="BY860">
        <v>7.1066284944359426</v>
      </c>
      <c r="BZ860" t="s">
        <v>2573</v>
      </c>
      <c r="CA860" t="s">
        <v>983</v>
      </c>
      <c r="CB860" t="b">
        <v>1</v>
      </c>
      <c r="CC860" t="b">
        <v>0</v>
      </c>
      <c r="CD860" t="b">
        <v>0</v>
      </c>
      <c r="CE860" t="b">
        <v>0</v>
      </c>
      <c r="CF860" t="b">
        <v>0</v>
      </c>
    </row>
    <row r="861" spans="1:84" x14ac:dyDescent="0.3">
      <c r="A861" t="s">
        <v>2942</v>
      </c>
      <c r="B861" t="s">
        <v>1191</v>
      </c>
      <c r="C861" s="98">
        <v>45726</v>
      </c>
      <c r="D861">
        <v>2025</v>
      </c>
      <c r="E861">
        <v>3</v>
      </c>
      <c r="F861">
        <v>1</v>
      </c>
      <c r="G861" t="s">
        <v>1187</v>
      </c>
      <c r="H861" t="s">
        <v>141</v>
      </c>
      <c r="I861" t="s">
        <v>141</v>
      </c>
      <c r="J861" t="s">
        <v>6</v>
      </c>
      <c r="L861">
        <v>522611</v>
      </c>
      <c r="M861" s="99" t="s">
        <v>179</v>
      </c>
      <c r="N861">
        <v>2</v>
      </c>
      <c r="O861">
        <v>10</v>
      </c>
      <c r="P861">
        <v>0.70340000000000003</v>
      </c>
      <c r="Q861" t="s">
        <v>352</v>
      </c>
      <c r="R861">
        <v>1</v>
      </c>
      <c r="S861">
        <v>0.72789999999999999</v>
      </c>
      <c r="T861">
        <v>4.07E-2</v>
      </c>
      <c r="U861">
        <v>-0.60196560196560112</v>
      </c>
      <c r="V861">
        <v>0.60580000000000001</v>
      </c>
      <c r="W861">
        <v>0.64649999999999996</v>
      </c>
      <c r="X861">
        <v>0.68720000000000003</v>
      </c>
      <c r="Y861">
        <v>0.76859999999999995</v>
      </c>
      <c r="Z861">
        <v>0.80930000000000002</v>
      </c>
      <c r="AA861">
        <v>0.85</v>
      </c>
      <c r="AD861">
        <v>43.555633017205778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 t="s">
        <v>462</v>
      </c>
      <c r="AL861" t="s">
        <v>6</v>
      </c>
      <c r="AM861" t="s">
        <v>1145</v>
      </c>
      <c r="AN861" t="s">
        <v>1146</v>
      </c>
      <c r="AO861" s="100">
        <v>46262.040405092594</v>
      </c>
      <c r="AP861" t="s">
        <v>1147</v>
      </c>
      <c r="AQ861" t="s">
        <v>2943</v>
      </c>
      <c r="AR861" t="s">
        <v>1193</v>
      </c>
      <c r="AS861" t="s">
        <v>1150</v>
      </c>
      <c r="AT861" t="s">
        <v>2875</v>
      </c>
      <c r="AU861">
        <v>25</v>
      </c>
      <c r="AV861">
        <v>0.73586800000000008</v>
      </c>
      <c r="AW861">
        <v>3.8327130512645122E-2</v>
      </c>
      <c r="AX861">
        <v>5.2084246784267174</v>
      </c>
      <c r="AY861">
        <v>-1.6533305261415048</v>
      </c>
      <c r="AZ861">
        <v>10.247231245545589</v>
      </c>
      <c r="BA861">
        <v>8.045100981228261</v>
      </c>
      <c r="BB861" t="s">
        <v>4619</v>
      </c>
      <c r="BD861" s="98"/>
      <c r="BE861" s="98"/>
      <c r="BF861" t="s">
        <v>1152</v>
      </c>
      <c r="BG861" t="s">
        <v>322</v>
      </c>
      <c r="BH861" t="s">
        <v>1153</v>
      </c>
      <c r="BI861">
        <v>1.6533305261415048</v>
      </c>
      <c r="BJ861" t="s">
        <v>983</v>
      </c>
      <c r="BK861">
        <v>33.308401771660186</v>
      </c>
      <c r="BL861">
        <v>76.473235410222088</v>
      </c>
      <c r="BM861" t="s">
        <v>1260</v>
      </c>
      <c r="BN861" t="s">
        <v>1154</v>
      </c>
      <c r="BO861">
        <v>2025</v>
      </c>
      <c r="BP861" t="s">
        <v>966</v>
      </c>
      <c r="BQ861">
        <v>1.0315291398832471E-2</v>
      </c>
      <c r="BR861">
        <v>99.999998968470862</v>
      </c>
      <c r="BS861" t="s">
        <v>984</v>
      </c>
      <c r="BT861">
        <v>3</v>
      </c>
      <c r="BU861">
        <v>1</v>
      </c>
      <c r="BV861" t="s">
        <v>985</v>
      </c>
      <c r="BW861" t="s">
        <v>943</v>
      </c>
      <c r="BX861" t="s">
        <v>986</v>
      </c>
      <c r="BY861">
        <v>7.1066284944359426</v>
      </c>
      <c r="BZ861" t="s">
        <v>2573</v>
      </c>
      <c r="CA861" t="s">
        <v>983</v>
      </c>
      <c r="CB861" t="b">
        <v>1</v>
      </c>
      <c r="CC861" t="b">
        <v>0</v>
      </c>
      <c r="CD861" t="b">
        <v>0</v>
      </c>
      <c r="CE861" t="b">
        <v>0</v>
      </c>
      <c r="CF861" t="b">
        <v>0</v>
      </c>
    </row>
    <row r="862" spans="1:84" x14ac:dyDescent="0.3">
      <c r="A862" t="s">
        <v>2944</v>
      </c>
      <c r="B862" t="s">
        <v>1195</v>
      </c>
      <c r="C862" s="98">
        <v>45733</v>
      </c>
      <c r="D862">
        <v>2025</v>
      </c>
      <c r="E862">
        <v>3</v>
      </c>
      <c r="F862">
        <v>1</v>
      </c>
      <c r="G862" t="s">
        <v>1187</v>
      </c>
      <c r="H862" t="s">
        <v>141</v>
      </c>
      <c r="I862" t="s">
        <v>141</v>
      </c>
      <c r="J862" t="s">
        <v>6</v>
      </c>
      <c r="L862">
        <v>522611</v>
      </c>
      <c r="M862" s="99" t="s">
        <v>179</v>
      </c>
      <c r="N862">
        <v>2</v>
      </c>
      <c r="O862">
        <v>11</v>
      </c>
      <c r="P862">
        <v>0.72150000000000003</v>
      </c>
      <c r="Q862" t="s">
        <v>352</v>
      </c>
      <c r="R862">
        <v>1</v>
      </c>
      <c r="S862">
        <v>0.72789999999999999</v>
      </c>
      <c r="T862">
        <v>4.07E-2</v>
      </c>
      <c r="U862">
        <v>-0.1572481572481563</v>
      </c>
      <c r="V862">
        <v>0.60580000000000001</v>
      </c>
      <c r="W862">
        <v>0.64649999999999996</v>
      </c>
      <c r="X862">
        <v>0.68720000000000003</v>
      </c>
      <c r="Y862">
        <v>0.76859999999999995</v>
      </c>
      <c r="Z862">
        <v>0.80930000000000002</v>
      </c>
      <c r="AA862">
        <v>0.85</v>
      </c>
      <c r="AD862">
        <v>43.555633017205778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 t="s">
        <v>462</v>
      </c>
      <c r="AL862" t="s">
        <v>6</v>
      </c>
      <c r="AM862" t="s">
        <v>1145</v>
      </c>
      <c r="AN862" t="s">
        <v>1146</v>
      </c>
      <c r="AO862" s="100">
        <v>46262.040405092594</v>
      </c>
      <c r="AP862" t="s">
        <v>1147</v>
      </c>
      <c r="AQ862" t="s">
        <v>2945</v>
      </c>
      <c r="AR862" t="s">
        <v>1197</v>
      </c>
      <c r="AS862" t="s">
        <v>1150</v>
      </c>
      <c r="AT862" t="s">
        <v>2875</v>
      </c>
      <c r="AU862">
        <v>25</v>
      </c>
      <c r="AV862">
        <v>0.73586800000000008</v>
      </c>
      <c r="AW862">
        <v>3.8327130512645122E-2</v>
      </c>
      <c r="AX862">
        <v>5.2084246784267174</v>
      </c>
      <c r="AY862">
        <v>-1.6533305261415048</v>
      </c>
      <c r="AZ862">
        <v>10.247231245545589</v>
      </c>
      <c r="BA862">
        <v>8.045100981228261</v>
      </c>
      <c r="BB862" t="s">
        <v>4619</v>
      </c>
      <c r="BD862" s="98"/>
      <c r="BE862" s="98"/>
      <c r="BF862" t="s">
        <v>1152</v>
      </c>
      <c r="BG862" t="s">
        <v>322</v>
      </c>
      <c r="BH862" t="s">
        <v>1153</v>
      </c>
      <c r="BI862">
        <v>1.6533305261415048</v>
      </c>
      <c r="BJ862" t="s">
        <v>983</v>
      </c>
      <c r="BK862">
        <v>33.308401771660186</v>
      </c>
      <c r="BL862">
        <v>76.473235410222088</v>
      </c>
      <c r="BM862" t="s">
        <v>1260</v>
      </c>
      <c r="BN862" t="s">
        <v>1154</v>
      </c>
      <c r="BO862">
        <v>2025</v>
      </c>
      <c r="BP862" t="s">
        <v>966</v>
      </c>
      <c r="BQ862">
        <v>1.0315291398832471E-2</v>
      </c>
      <c r="BR862">
        <v>99.999998968470862</v>
      </c>
      <c r="BS862" t="s">
        <v>984</v>
      </c>
      <c r="BT862">
        <v>3</v>
      </c>
      <c r="BU862">
        <v>1</v>
      </c>
      <c r="BV862" t="s">
        <v>985</v>
      </c>
      <c r="BW862" t="s">
        <v>943</v>
      </c>
      <c r="BX862" t="s">
        <v>986</v>
      </c>
      <c r="BY862">
        <v>7.1066284944359426</v>
      </c>
      <c r="BZ862" t="s">
        <v>2573</v>
      </c>
      <c r="CA862" t="s">
        <v>983</v>
      </c>
      <c r="CB862" t="b">
        <v>1</v>
      </c>
      <c r="CC862" t="b">
        <v>0</v>
      </c>
      <c r="CD862" t="b">
        <v>0</v>
      </c>
      <c r="CE862" t="b">
        <v>0</v>
      </c>
      <c r="CF862" t="b">
        <v>0</v>
      </c>
    </row>
    <row r="863" spans="1:84" x14ac:dyDescent="0.3">
      <c r="A863" t="s">
        <v>2946</v>
      </c>
      <c r="B863" t="s">
        <v>1199</v>
      </c>
      <c r="C863" s="98">
        <v>45740</v>
      </c>
      <c r="D863">
        <v>2025</v>
      </c>
      <c r="E863">
        <v>3</v>
      </c>
      <c r="F863">
        <v>1</v>
      </c>
      <c r="G863" t="s">
        <v>1187</v>
      </c>
      <c r="H863" t="s">
        <v>141</v>
      </c>
      <c r="I863" t="s">
        <v>141</v>
      </c>
      <c r="J863" t="s">
        <v>6</v>
      </c>
      <c r="L863">
        <v>522611</v>
      </c>
      <c r="M863" s="99" t="s">
        <v>179</v>
      </c>
      <c r="N863">
        <v>2</v>
      </c>
      <c r="O863">
        <v>12</v>
      </c>
      <c r="P863">
        <v>0.82920000000000005</v>
      </c>
      <c r="Q863" t="s">
        <v>352</v>
      </c>
      <c r="R863">
        <v>1</v>
      </c>
      <c r="S863">
        <v>0.72789999999999999</v>
      </c>
      <c r="T863">
        <v>4.07E-2</v>
      </c>
      <c r="U863">
        <v>2.4889434889434905</v>
      </c>
      <c r="V863">
        <v>0.60580000000000001</v>
      </c>
      <c r="W863">
        <v>0.64649999999999996</v>
      </c>
      <c r="X863">
        <v>0.68720000000000003</v>
      </c>
      <c r="Y863">
        <v>0.76859999999999995</v>
      </c>
      <c r="Z863">
        <v>0.80930000000000002</v>
      </c>
      <c r="AA863">
        <v>0.85</v>
      </c>
      <c r="AD863">
        <v>43.555633017205778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1</v>
      </c>
      <c r="AK863" t="s">
        <v>462</v>
      </c>
      <c r="AL863" t="s">
        <v>6</v>
      </c>
      <c r="AM863" t="s">
        <v>1145</v>
      </c>
      <c r="AN863" t="s">
        <v>1146</v>
      </c>
      <c r="AO863" s="100">
        <v>46262.040405092594</v>
      </c>
      <c r="AP863" t="s">
        <v>1147</v>
      </c>
      <c r="AQ863" t="s">
        <v>2947</v>
      </c>
      <c r="AR863" t="s">
        <v>1201</v>
      </c>
      <c r="AS863" t="s">
        <v>1150</v>
      </c>
      <c r="AT863" t="s">
        <v>2875</v>
      </c>
      <c r="AU863">
        <v>25</v>
      </c>
      <c r="AV863">
        <v>0.73586800000000008</v>
      </c>
      <c r="AW863">
        <v>3.8327130512645122E-2</v>
      </c>
      <c r="AX863">
        <v>5.2084246784267174</v>
      </c>
      <c r="AY863">
        <v>-1.6533305261415048</v>
      </c>
      <c r="AZ863">
        <v>10.247231245545589</v>
      </c>
      <c r="BA863">
        <v>8.045100981228261</v>
      </c>
      <c r="BB863" t="s">
        <v>4619</v>
      </c>
      <c r="BD863" s="98"/>
      <c r="BE863" s="98"/>
      <c r="BF863" t="s">
        <v>1152</v>
      </c>
      <c r="BG863" t="s">
        <v>322</v>
      </c>
      <c r="BH863" t="s">
        <v>1153</v>
      </c>
      <c r="BI863">
        <v>1.6533305261415048</v>
      </c>
      <c r="BJ863" t="s">
        <v>983</v>
      </c>
      <c r="BK863">
        <v>33.308401771660186</v>
      </c>
      <c r="BL863">
        <v>76.473235410222088</v>
      </c>
      <c r="BM863" t="s">
        <v>1260</v>
      </c>
      <c r="BN863" t="s">
        <v>1154</v>
      </c>
      <c r="BO863">
        <v>2025</v>
      </c>
      <c r="BP863" t="s">
        <v>966</v>
      </c>
      <c r="BQ863">
        <v>1.0315291398832471E-2</v>
      </c>
      <c r="BR863">
        <v>99.999998968470862</v>
      </c>
      <c r="BS863" t="s">
        <v>984</v>
      </c>
      <c r="BT863">
        <v>3</v>
      </c>
      <c r="BU863">
        <v>1</v>
      </c>
      <c r="BV863" t="s">
        <v>985</v>
      </c>
      <c r="BW863" t="s">
        <v>943</v>
      </c>
      <c r="BX863" t="s">
        <v>986</v>
      </c>
      <c r="BY863">
        <v>7.1066284944359426</v>
      </c>
      <c r="BZ863" t="s">
        <v>2573</v>
      </c>
      <c r="CA863" t="s">
        <v>983</v>
      </c>
      <c r="CB863" t="b">
        <v>1</v>
      </c>
      <c r="CC863" t="b">
        <v>0</v>
      </c>
      <c r="CD863" t="b">
        <v>0</v>
      </c>
      <c r="CE863" t="b">
        <v>0</v>
      </c>
      <c r="CF863" t="b">
        <v>0</v>
      </c>
    </row>
    <row r="864" spans="1:84" x14ac:dyDescent="0.3">
      <c r="A864" t="s">
        <v>2948</v>
      </c>
      <c r="B864" t="s">
        <v>1203</v>
      </c>
      <c r="C864" s="98">
        <v>45747</v>
      </c>
      <c r="D864">
        <v>2025</v>
      </c>
      <c r="E864">
        <v>3</v>
      </c>
      <c r="F864">
        <v>1</v>
      </c>
      <c r="G864" t="s">
        <v>1187</v>
      </c>
      <c r="H864" t="s">
        <v>141</v>
      </c>
      <c r="I864" t="s">
        <v>141</v>
      </c>
      <c r="J864" t="s">
        <v>6</v>
      </c>
      <c r="L864">
        <v>522611</v>
      </c>
      <c r="M864" s="99" t="s">
        <v>179</v>
      </c>
      <c r="N864">
        <v>2</v>
      </c>
      <c r="O864">
        <v>13</v>
      </c>
      <c r="P864">
        <v>0.75919999999999999</v>
      </c>
      <c r="Q864" t="s">
        <v>352</v>
      </c>
      <c r="R864">
        <v>1</v>
      </c>
      <c r="S864">
        <v>0.72789999999999999</v>
      </c>
      <c r="T864">
        <v>4.07E-2</v>
      </c>
      <c r="U864">
        <v>0.76904176904176891</v>
      </c>
      <c r="V864">
        <v>0.60580000000000001</v>
      </c>
      <c r="W864">
        <v>0.64649999999999996</v>
      </c>
      <c r="X864">
        <v>0.68720000000000003</v>
      </c>
      <c r="Y864">
        <v>0.76859999999999995</v>
      </c>
      <c r="Z864">
        <v>0.80930000000000002</v>
      </c>
      <c r="AA864">
        <v>0.85</v>
      </c>
      <c r="AD864">
        <v>43.555633017205778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 t="s">
        <v>462</v>
      </c>
      <c r="AL864" t="s">
        <v>6</v>
      </c>
      <c r="AM864" t="s">
        <v>1145</v>
      </c>
      <c r="AN864" t="s">
        <v>1146</v>
      </c>
      <c r="AO864" s="100">
        <v>46262.040405092594</v>
      </c>
      <c r="AP864" t="s">
        <v>1147</v>
      </c>
      <c r="AQ864" t="s">
        <v>2949</v>
      </c>
      <c r="AR864" t="s">
        <v>1205</v>
      </c>
      <c r="AS864" t="s">
        <v>1150</v>
      </c>
      <c r="AT864" t="s">
        <v>2875</v>
      </c>
      <c r="AU864">
        <v>25</v>
      </c>
      <c r="AV864">
        <v>0.73586800000000008</v>
      </c>
      <c r="AW864">
        <v>3.8327130512645122E-2</v>
      </c>
      <c r="AX864">
        <v>5.2084246784267174</v>
      </c>
      <c r="AY864">
        <v>-1.6533305261415048</v>
      </c>
      <c r="AZ864">
        <v>10.247231245545589</v>
      </c>
      <c r="BA864">
        <v>8.045100981228261</v>
      </c>
      <c r="BB864" t="s">
        <v>4619</v>
      </c>
      <c r="BD864" s="98"/>
      <c r="BE864" s="98"/>
      <c r="BF864" t="s">
        <v>1152</v>
      </c>
      <c r="BG864" t="s">
        <v>322</v>
      </c>
      <c r="BH864" t="s">
        <v>1153</v>
      </c>
      <c r="BI864">
        <v>1.6533305261415048</v>
      </c>
      <c r="BJ864" t="s">
        <v>983</v>
      </c>
      <c r="BK864">
        <v>33.308401771660186</v>
      </c>
      <c r="BL864">
        <v>76.473235410222088</v>
      </c>
      <c r="BM864" t="s">
        <v>1260</v>
      </c>
      <c r="BN864" t="s">
        <v>1154</v>
      </c>
      <c r="BO864">
        <v>2025</v>
      </c>
      <c r="BP864" t="s">
        <v>966</v>
      </c>
      <c r="BQ864">
        <v>1.0315291398832471E-2</v>
      </c>
      <c r="BR864">
        <v>99.999998968470862</v>
      </c>
      <c r="BS864" t="s">
        <v>984</v>
      </c>
      <c r="BT864">
        <v>3</v>
      </c>
      <c r="BU864">
        <v>1</v>
      </c>
      <c r="BV864" t="s">
        <v>985</v>
      </c>
      <c r="BW864" t="s">
        <v>943</v>
      </c>
      <c r="BX864" t="s">
        <v>986</v>
      </c>
      <c r="BY864">
        <v>7.1066284944359426</v>
      </c>
      <c r="BZ864" t="s">
        <v>2573</v>
      </c>
      <c r="CA864" t="s">
        <v>983</v>
      </c>
      <c r="CB864" t="b">
        <v>1</v>
      </c>
      <c r="CC864" t="b">
        <v>0</v>
      </c>
      <c r="CD864" t="b">
        <v>0</v>
      </c>
      <c r="CE864" t="b">
        <v>0</v>
      </c>
      <c r="CF864" t="b">
        <v>0</v>
      </c>
    </row>
    <row r="865" spans="1:84" x14ac:dyDescent="0.3">
      <c r="A865" t="s">
        <v>2950</v>
      </c>
      <c r="B865" t="s">
        <v>1207</v>
      </c>
      <c r="C865" s="98">
        <v>45754</v>
      </c>
      <c r="D865">
        <v>2025</v>
      </c>
      <c r="E865">
        <v>4</v>
      </c>
      <c r="F865">
        <v>2</v>
      </c>
      <c r="G865" t="s">
        <v>1208</v>
      </c>
      <c r="H865" t="s">
        <v>141</v>
      </c>
      <c r="I865" t="s">
        <v>141</v>
      </c>
      <c r="J865" t="s">
        <v>6</v>
      </c>
      <c r="L865">
        <v>522611</v>
      </c>
      <c r="M865" s="99" t="s">
        <v>179</v>
      </c>
      <c r="N865">
        <v>2</v>
      </c>
      <c r="O865">
        <v>14</v>
      </c>
      <c r="P865">
        <v>0.70750000000000002</v>
      </c>
      <c r="Q865" t="s">
        <v>352</v>
      </c>
      <c r="R865">
        <v>1</v>
      </c>
      <c r="S865">
        <v>0.72789999999999999</v>
      </c>
      <c r="T865">
        <v>4.07E-2</v>
      </c>
      <c r="U865">
        <v>-0.5012285012285006</v>
      </c>
      <c r="V865">
        <v>0.60580000000000001</v>
      </c>
      <c r="W865">
        <v>0.64649999999999996</v>
      </c>
      <c r="X865">
        <v>0.68720000000000003</v>
      </c>
      <c r="Y865">
        <v>0.76859999999999995</v>
      </c>
      <c r="Z865">
        <v>0.80930000000000002</v>
      </c>
      <c r="AA865">
        <v>0.85</v>
      </c>
      <c r="AD865">
        <v>43.555633017205778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 t="s">
        <v>462</v>
      </c>
      <c r="AL865" t="s">
        <v>6</v>
      </c>
      <c r="AM865" t="s">
        <v>1145</v>
      </c>
      <c r="AN865" t="s">
        <v>1146</v>
      </c>
      <c r="AO865" s="100">
        <v>46262.040405092594</v>
      </c>
      <c r="AP865" t="s">
        <v>1147</v>
      </c>
      <c r="AQ865" t="s">
        <v>2951</v>
      </c>
      <c r="AR865" t="s">
        <v>1210</v>
      </c>
      <c r="AS865" t="s">
        <v>1150</v>
      </c>
      <c r="AT865" t="s">
        <v>2875</v>
      </c>
      <c r="AU865">
        <v>25</v>
      </c>
      <c r="AV865">
        <v>0.73586800000000008</v>
      </c>
      <c r="AW865">
        <v>3.8327130512645122E-2</v>
      </c>
      <c r="AX865">
        <v>5.2084246784267174</v>
      </c>
      <c r="AY865">
        <v>-1.6533305261415048</v>
      </c>
      <c r="AZ865">
        <v>10.247231245545589</v>
      </c>
      <c r="BA865">
        <v>8.045100981228261</v>
      </c>
      <c r="BB865" t="s">
        <v>4619</v>
      </c>
      <c r="BD865" s="98"/>
      <c r="BE865" s="98"/>
      <c r="BF865" t="s">
        <v>1152</v>
      </c>
      <c r="BG865" t="s">
        <v>322</v>
      </c>
      <c r="BH865" t="s">
        <v>1153</v>
      </c>
      <c r="BI865">
        <v>1.6533305261415048</v>
      </c>
      <c r="BJ865" t="s">
        <v>983</v>
      </c>
      <c r="BK865">
        <v>33.308401771660186</v>
      </c>
      <c r="BL865">
        <v>76.473235410222088</v>
      </c>
      <c r="BM865" t="s">
        <v>1260</v>
      </c>
      <c r="BN865" t="s">
        <v>1154</v>
      </c>
      <c r="BO865">
        <v>2025</v>
      </c>
      <c r="BP865" t="s">
        <v>966</v>
      </c>
      <c r="BQ865">
        <v>1.0315291398832471E-2</v>
      </c>
      <c r="BR865">
        <v>99.999998968470862</v>
      </c>
      <c r="BS865" t="s">
        <v>984</v>
      </c>
      <c r="BT865">
        <v>3</v>
      </c>
      <c r="BU865">
        <v>1</v>
      </c>
      <c r="BV865" t="s">
        <v>985</v>
      </c>
      <c r="BW865" t="s">
        <v>943</v>
      </c>
      <c r="BX865" t="s">
        <v>986</v>
      </c>
      <c r="BY865">
        <v>7.1066284944359426</v>
      </c>
      <c r="BZ865" t="s">
        <v>2573</v>
      </c>
      <c r="CA865" t="s">
        <v>983</v>
      </c>
      <c r="CB865" t="b">
        <v>1</v>
      </c>
      <c r="CC865" t="b">
        <v>0</v>
      </c>
      <c r="CD865" t="b">
        <v>0</v>
      </c>
      <c r="CE865" t="b">
        <v>0</v>
      </c>
      <c r="CF865" t="b">
        <v>0</v>
      </c>
    </row>
    <row r="866" spans="1:84" x14ac:dyDescent="0.3">
      <c r="A866" t="s">
        <v>2952</v>
      </c>
      <c r="B866" t="s">
        <v>1212</v>
      </c>
      <c r="C866" s="98">
        <v>45761</v>
      </c>
      <c r="D866">
        <v>2025</v>
      </c>
      <c r="E866">
        <v>4</v>
      </c>
      <c r="F866">
        <v>2</v>
      </c>
      <c r="G866" t="s">
        <v>1208</v>
      </c>
      <c r="H866" t="s">
        <v>141</v>
      </c>
      <c r="I866" t="s">
        <v>141</v>
      </c>
      <c r="J866" t="s">
        <v>6</v>
      </c>
      <c r="L866">
        <v>522611</v>
      </c>
      <c r="M866" s="99" t="s">
        <v>179</v>
      </c>
      <c r="N866">
        <v>2</v>
      </c>
      <c r="O866">
        <v>15</v>
      </c>
      <c r="P866">
        <v>0.72450000000000003</v>
      </c>
      <c r="Q866" t="s">
        <v>352</v>
      </c>
      <c r="R866">
        <v>1</v>
      </c>
      <c r="S866">
        <v>0.72789999999999999</v>
      </c>
      <c r="T866">
        <v>4.07E-2</v>
      </c>
      <c r="U866">
        <v>-8.3538083538082522E-2</v>
      </c>
      <c r="V866">
        <v>0.60580000000000001</v>
      </c>
      <c r="W866">
        <v>0.64649999999999996</v>
      </c>
      <c r="X866">
        <v>0.68720000000000003</v>
      </c>
      <c r="Y866">
        <v>0.76859999999999995</v>
      </c>
      <c r="Z866">
        <v>0.80930000000000002</v>
      </c>
      <c r="AA866">
        <v>0.85</v>
      </c>
      <c r="AD866">
        <v>43.555633017205778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 t="s">
        <v>462</v>
      </c>
      <c r="AL866" t="s">
        <v>6</v>
      </c>
      <c r="AM866" t="s">
        <v>1145</v>
      </c>
      <c r="AN866" t="s">
        <v>1146</v>
      </c>
      <c r="AO866" s="100">
        <v>46262.040405092594</v>
      </c>
      <c r="AP866" t="s">
        <v>1147</v>
      </c>
      <c r="AQ866" t="s">
        <v>2953</v>
      </c>
      <c r="AR866" t="s">
        <v>1215</v>
      </c>
      <c r="AS866" t="s">
        <v>1150</v>
      </c>
      <c r="AT866" t="s">
        <v>2875</v>
      </c>
      <c r="AU866">
        <v>25</v>
      </c>
      <c r="AV866">
        <v>0.73586800000000008</v>
      </c>
      <c r="AW866">
        <v>3.8327130512645122E-2</v>
      </c>
      <c r="AX866">
        <v>5.2084246784267174</v>
      </c>
      <c r="AY866">
        <v>-1.6533305261415048</v>
      </c>
      <c r="AZ866">
        <v>10.247231245545589</v>
      </c>
      <c r="BA866">
        <v>8.045100981228261</v>
      </c>
      <c r="BB866" t="s">
        <v>4619</v>
      </c>
      <c r="BD866" s="98"/>
      <c r="BE866" s="98"/>
      <c r="BF866" t="s">
        <v>1152</v>
      </c>
      <c r="BG866" t="s">
        <v>322</v>
      </c>
      <c r="BH866" t="s">
        <v>1153</v>
      </c>
      <c r="BI866">
        <v>1.6533305261415048</v>
      </c>
      <c r="BJ866" t="s">
        <v>983</v>
      </c>
      <c r="BK866">
        <v>33.308401771660186</v>
      </c>
      <c r="BL866">
        <v>76.473235410222088</v>
      </c>
      <c r="BM866" t="s">
        <v>1260</v>
      </c>
      <c r="BN866" t="s">
        <v>1154</v>
      </c>
      <c r="BO866">
        <v>2025</v>
      </c>
      <c r="BP866" t="s">
        <v>966</v>
      </c>
      <c r="BQ866">
        <v>1.0315291398832471E-2</v>
      </c>
      <c r="BR866">
        <v>99.999998968470862</v>
      </c>
      <c r="BS866" t="s">
        <v>984</v>
      </c>
      <c r="BT866">
        <v>3</v>
      </c>
      <c r="BU866">
        <v>1</v>
      </c>
      <c r="BV866" t="s">
        <v>985</v>
      </c>
      <c r="BW866" t="s">
        <v>943</v>
      </c>
      <c r="BX866" t="s">
        <v>986</v>
      </c>
      <c r="BY866">
        <v>7.1066284944359426</v>
      </c>
      <c r="BZ866" t="s">
        <v>2573</v>
      </c>
      <c r="CA866" t="s">
        <v>983</v>
      </c>
      <c r="CB866" t="b">
        <v>1</v>
      </c>
      <c r="CC866" t="b">
        <v>0</v>
      </c>
      <c r="CD866" t="b">
        <v>0</v>
      </c>
      <c r="CE866" t="b">
        <v>0</v>
      </c>
      <c r="CF866" t="b">
        <v>0</v>
      </c>
    </row>
    <row r="867" spans="1:84" x14ac:dyDescent="0.3">
      <c r="A867" t="s">
        <v>2954</v>
      </c>
      <c r="B867" t="s">
        <v>1217</v>
      </c>
      <c r="C867" s="98">
        <v>45768</v>
      </c>
      <c r="D867">
        <v>2025</v>
      </c>
      <c r="E867">
        <v>4</v>
      </c>
      <c r="F867">
        <v>2</v>
      </c>
      <c r="G867" t="s">
        <v>1208</v>
      </c>
      <c r="H867" t="s">
        <v>141</v>
      </c>
      <c r="I867" t="s">
        <v>141</v>
      </c>
      <c r="J867" t="s">
        <v>6</v>
      </c>
      <c r="L867">
        <v>522611</v>
      </c>
      <c r="M867" s="99" t="s">
        <v>179</v>
      </c>
      <c r="N867">
        <v>2</v>
      </c>
      <c r="O867">
        <v>16</v>
      </c>
      <c r="P867">
        <v>0.74119999999999997</v>
      </c>
      <c r="Q867" t="s">
        <v>352</v>
      </c>
      <c r="R867">
        <v>1</v>
      </c>
      <c r="S867">
        <v>0.72789999999999999</v>
      </c>
      <c r="T867">
        <v>4.07E-2</v>
      </c>
      <c r="U867">
        <v>0.32678132678132626</v>
      </c>
      <c r="V867">
        <v>0.60580000000000001</v>
      </c>
      <c r="W867">
        <v>0.64649999999999996</v>
      </c>
      <c r="X867">
        <v>0.68720000000000003</v>
      </c>
      <c r="Y867">
        <v>0.76859999999999995</v>
      </c>
      <c r="Z867">
        <v>0.80930000000000002</v>
      </c>
      <c r="AA867">
        <v>0.85</v>
      </c>
      <c r="AD867">
        <v>43.555633017205778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 t="s">
        <v>462</v>
      </c>
      <c r="AL867" t="s">
        <v>6</v>
      </c>
      <c r="AM867" t="s">
        <v>1145</v>
      </c>
      <c r="AN867" t="s">
        <v>1146</v>
      </c>
      <c r="AO867" s="100">
        <v>46262.040405092594</v>
      </c>
      <c r="AP867" t="s">
        <v>1147</v>
      </c>
      <c r="AQ867" t="s">
        <v>2955</v>
      </c>
      <c r="AR867" t="s">
        <v>1219</v>
      </c>
      <c r="AS867" t="s">
        <v>1150</v>
      </c>
      <c r="AT867" t="s">
        <v>2875</v>
      </c>
      <c r="AU867">
        <v>25</v>
      </c>
      <c r="AV867">
        <v>0.73586800000000008</v>
      </c>
      <c r="AW867">
        <v>3.8327130512645122E-2</v>
      </c>
      <c r="AX867">
        <v>5.2084246784267174</v>
      </c>
      <c r="AY867">
        <v>-1.6533305261415048</v>
      </c>
      <c r="AZ867">
        <v>10.247231245545589</v>
      </c>
      <c r="BA867">
        <v>8.045100981228261</v>
      </c>
      <c r="BB867" t="s">
        <v>4619</v>
      </c>
      <c r="BD867" s="98"/>
      <c r="BE867" s="98"/>
      <c r="BF867" t="s">
        <v>1152</v>
      </c>
      <c r="BG867" t="s">
        <v>322</v>
      </c>
      <c r="BH867" t="s">
        <v>1153</v>
      </c>
      <c r="BI867">
        <v>1.6533305261415048</v>
      </c>
      <c r="BJ867" t="s">
        <v>983</v>
      </c>
      <c r="BK867">
        <v>33.308401771660186</v>
      </c>
      <c r="BL867">
        <v>76.473235410222088</v>
      </c>
      <c r="BM867" t="s">
        <v>1260</v>
      </c>
      <c r="BN867" t="s">
        <v>1154</v>
      </c>
      <c r="BO867">
        <v>2025</v>
      </c>
      <c r="BP867" t="s">
        <v>966</v>
      </c>
      <c r="BQ867">
        <v>1.0315291398832471E-2</v>
      </c>
      <c r="BR867">
        <v>99.999998968470862</v>
      </c>
      <c r="BS867" t="s">
        <v>984</v>
      </c>
      <c r="BT867">
        <v>3</v>
      </c>
      <c r="BU867">
        <v>1</v>
      </c>
      <c r="BV867" t="s">
        <v>985</v>
      </c>
      <c r="BW867" t="s">
        <v>943</v>
      </c>
      <c r="BX867" t="s">
        <v>986</v>
      </c>
      <c r="BY867">
        <v>7.1066284944359426</v>
      </c>
      <c r="BZ867" t="s">
        <v>2573</v>
      </c>
      <c r="CA867" t="s">
        <v>983</v>
      </c>
      <c r="CB867" t="b">
        <v>1</v>
      </c>
      <c r="CC867" t="b">
        <v>0</v>
      </c>
      <c r="CD867" t="b">
        <v>0</v>
      </c>
      <c r="CE867" t="b">
        <v>0</v>
      </c>
      <c r="CF867" t="b">
        <v>0</v>
      </c>
    </row>
    <row r="868" spans="1:84" x14ac:dyDescent="0.3">
      <c r="A868" t="s">
        <v>2956</v>
      </c>
      <c r="B868" t="s">
        <v>1221</v>
      </c>
      <c r="C868" s="98">
        <v>45775</v>
      </c>
      <c r="D868">
        <v>2025</v>
      </c>
      <c r="E868">
        <v>4</v>
      </c>
      <c r="F868">
        <v>2</v>
      </c>
      <c r="G868" t="s">
        <v>1208</v>
      </c>
      <c r="H868" t="s">
        <v>141</v>
      </c>
      <c r="I868" t="s">
        <v>141</v>
      </c>
      <c r="J868" t="s">
        <v>6</v>
      </c>
      <c r="L868">
        <v>522611</v>
      </c>
      <c r="M868" s="99" t="s">
        <v>179</v>
      </c>
      <c r="N868">
        <v>2</v>
      </c>
      <c r="O868">
        <v>17</v>
      </c>
      <c r="P868">
        <v>0.7772</v>
      </c>
      <c r="Q868" t="s">
        <v>352</v>
      </c>
      <c r="R868">
        <v>1</v>
      </c>
      <c r="S868">
        <v>0.72789999999999999</v>
      </c>
      <c r="T868">
        <v>4.07E-2</v>
      </c>
      <c r="U868">
        <v>1.2113022113022116</v>
      </c>
      <c r="V868">
        <v>0.60580000000000001</v>
      </c>
      <c r="W868">
        <v>0.64649999999999996</v>
      </c>
      <c r="X868">
        <v>0.68720000000000003</v>
      </c>
      <c r="Y868">
        <v>0.76859999999999995</v>
      </c>
      <c r="Z868">
        <v>0.80930000000000002</v>
      </c>
      <c r="AA868">
        <v>0.85</v>
      </c>
      <c r="AD868">
        <v>43.555633017205778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 t="s">
        <v>462</v>
      </c>
      <c r="AL868" t="s">
        <v>6</v>
      </c>
      <c r="AM868" t="s">
        <v>1145</v>
      </c>
      <c r="AN868" t="s">
        <v>1146</v>
      </c>
      <c r="AO868" s="100">
        <v>46262.040405092594</v>
      </c>
      <c r="AP868" t="s">
        <v>1147</v>
      </c>
      <c r="AQ868" t="s">
        <v>2957</v>
      </c>
      <c r="AR868" t="s">
        <v>1223</v>
      </c>
      <c r="AS868" t="s">
        <v>1150</v>
      </c>
      <c r="AT868" t="s">
        <v>2875</v>
      </c>
      <c r="AU868">
        <v>25</v>
      </c>
      <c r="AV868">
        <v>0.73586800000000008</v>
      </c>
      <c r="AW868">
        <v>3.8327130512645122E-2</v>
      </c>
      <c r="AX868">
        <v>5.2084246784267174</v>
      </c>
      <c r="AY868">
        <v>-1.6533305261415048</v>
      </c>
      <c r="AZ868">
        <v>10.247231245545589</v>
      </c>
      <c r="BA868">
        <v>8.045100981228261</v>
      </c>
      <c r="BB868" t="s">
        <v>4619</v>
      </c>
      <c r="BD868" s="98"/>
      <c r="BE868" s="98"/>
      <c r="BF868" t="s">
        <v>1152</v>
      </c>
      <c r="BG868" t="s">
        <v>322</v>
      </c>
      <c r="BH868" t="s">
        <v>1153</v>
      </c>
      <c r="BI868">
        <v>1.6533305261415048</v>
      </c>
      <c r="BJ868" t="s">
        <v>983</v>
      </c>
      <c r="BK868">
        <v>33.308401771660186</v>
      </c>
      <c r="BL868">
        <v>76.473235410222088</v>
      </c>
      <c r="BM868" t="s">
        <v>1260</v>
      </c>
      <c r="BN868" t="s">
        <v>1154</v>
      </c>
      <c r="BO868">
        <v>2025</v>
      </c>
      <c r="BP868" t="s">
        <v>966</v>
      </c>
      <c r="BQ868">
        <v>1.0315291398832471E-2</v>
      </c>
      <c r="BR868">
        <v>99.999998968470862</v>
      </c>
      <c r="BS868" t="s">
        <v>984</v>
      </c>
      <c r="BT868">
        <v>3</v>
      </c>
      <c r="BU868">
        <v>1</v>
      </c>
      <c r="BV868" t="s">
        <v>985</v>
      </c>
      <c r="BW868" t="s">
        <v>943</v>
      </c>
      <c r="BX868" t="s">
        <v>986</v>
      </c>
      <c r="BY868">
        <v>7.1066284944359426</v>
      </c>
      <c r="BZ868" t="s">
        <v>2573</v>
      </c>
      <c r="CA868" t="s">
        <v>983</v>
      </c>
      <c r="CB868" t="b">
        <v>1</v>
      </c>
      <c r="CC868" t="b">
        <v>0</v>
      </c>
      <c r="CD868" t="b">
        <v>0</v>
      </c>
      <c r="CE868" t="b">
        <v>0</v>
      </c>
      <c r="CF868" t="b">
        <v>0</v>
      </c>
    </row>
    <row r="869" spans="1:84" x14ac:dyDescent="0.3">
      <c r="A869" t="s">
        <v>2958</v>
      </c>
      <c r="B869" t="s">
        <v>1225</v>
      </c>
      <c r="C869" s="98">
        <v>45782</v>
      </c>
      <c r="D869">
        <v>2025</v>
      </c>
      <c r="E869">
        <v>5</v>
      </c>
      <c r="F869">
        <v>2</v>
      </c>
      <c r="G869" t="s">
        <v>1226</v>
      </c>
      <c r="H869" t="s">
        <v>141</v>
      </c>
      <c r="I869" t="s">
        <v>141</v>
      </c>
      <c r="J869" t="s">
        <v>6</v>
      </c>
      <c r="L869">
        <v>522611</v>
      </c>
      <c r="M869" s="99" t="s">
        <v>179</v>
      </c>
      <c r="N869">
        <v>2</v>
      </c>
      <c r="O869">
        <v>18</v>
      </c>
      <c r="P869">
        <v>0.70799999999999996</v>
      </c>
      <c r="Q869" t="s">
        <v>352</v>
      </c>
      <c r="R869">
        <v>1</v>
      </c>
      <c r="S869">
        <v>0.72789999999999999</v>
      </c>
      <c r="T869">
        <v>4.07E-2</v>
      </c>
      <c r="U869">
        <v>-0.48894348894348966</v>
      </c>
      <c r="V869">
        <v>0.60580000000000001</v>
      </c>
      <c r="W869">
        <v>0.64649999999999996</v>
      </c>
      <c r="X869">
        <v>0.68720000000000003</v>
      </c>
      <c r="Y869">
        <v>0.76859999999999995</v>
      </c>
      <c r="Z869">
        <v>0.80930000000000002</v>
      </c>
      <c r="AA869">
        <v>0.85</v>
      </c>
      <c r="AD869">
        <v>43.555633017205778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 t="s">
        <v>462</v>
      </c>
      <c r="AL869" t="s">
        <v>6</v>
      </c>
      <c r="AM869" t="s">
        <v>1145</v>
      </c>
      <c r="AN869" t="s">
        <v>1146</v>
      </c>
      <c r="AO869" s="100">
        <v>46262.040405092594</v>
      </c>
      <c r="AP869" t="s">
        <v>1147</v>
      </c>
      <c r="AQ869" t="s">
        <v>2959</v>
      </c>
      <c r="AR869" t="s">
        <v>1228</v>
      </c>
      <c r="AS869" t="s">
        <v>1150</v>
      </c>
      <c r="AT869" t="s">
        <v>2875</v>
      </c>
      <c r="AU869">
        <v>25</v>
      </c>
      <c r="AV869">
        <v>0.73586800000000008</v>
      </c>
      <c r="AW869">
        <v>3.8327130512645122E-2</v>
      </c>
      <c r="AX869">
        <v>5.2084246784267174</v>
      </c>
      <c r="AY869">
        <v>-1.6533305261415048</v>
      </c>
      <c r="AZ869">
        <v>10.247231245545589</v>
      </c>
      <c r="BA869">
        <v>8.045100981228261</v>
      </c>
      <c r="BB869" t="s">
        <v>4619</v>
      </c>
      <c r="BD869" s="98"/>
      <c r="BE869" s="98"/>
      <c r="BF869" t="s">
        <v>1152</v>
      </c>
      <c r="BG869" t="s">
        <v>322</v>
      </c>
      <c r="BH869" t="s">
        <v>1153</v>
      </c>
      <c r="BI869">
        <v>1.6533305261415048</v>
      </c>
      <c r="BJ869" t="s">
        <v>983</v>
      </c>
      <c r="BK869">
        <v>33.308401771660186</v>
      </c>
      <c r="BL869">
        <v>76.473235410222088</v>
      </c>
      <c r="BM869" t="s">
        <v>1260</v>
      </c>
      <c r="BN869" t="s">
        <v>1154</v>
      </c>
      <c r="BO869">
        <v>2025</v>
      </c>
      <c r="BP869" t="s">
        <v>966</v>
      </c>
      <c r="BQ869">
        <v>1.0315291398832471E-2</v>
      </c>
      <c r="BR869">
        <v>99.999998968470862</v>
      </c>
      <c r="BS869" t="s">
        <v>984</v>
      </c>
      <c r="BT869">
        <v>3</v>
      </c>
      <c r="BU869">
        <v>1</v>
      </c>
      <c r="BV869" t="s">
        <v>985</v>
      </c>
      <c r="BW869" t="s">
        <v>943</v>
      </c>
      <c r="BX869" t="s">
        <v>986</v>
      </c>
      <c r="BY869">
        <v>7.1066284944359426</v>
      </c>
      <c r="BZ869" t="s">
        <v>2573</v>
      </c>
      <c r="CA869" t="s">
        <v>983</v>
      </c>
      <c r="CB869" t="b">
        <v>1</v>
      </c>
      <c r="CC869" t="b">
        <v>0</v>
      </c>
      <c r="CD869" t="b">
        <v>0</v>
      </c>
      <c r="CE869" t="b">
        <v>0</v>
      </c>
      <c r="CF869" t="b">
        <v>0</v>
      </c>
    </row>
    <row r="870" spans="1:84" x14ac:dyDescent="0.3">
      <c r="A870" t="s">
        <v>2960</v>
      </c>
      <c r="B870" t="s">
        <v>1230</v>
      </c>
      <c r="C870" s="98">
        <v>45789</v>
      </c>
      <c r="D870">
        <v>2025</v>
      </c>
      <c r="E870">
        <v>5</v>
      </c>
      <c r="F870">
        <v>2</v>
      </c>
      <c r="G870" t="s">
        <v>1226</v>
      </c>
      <c r="H870" t="s">
        <v>141</v>
      </c>
      <c r="I870" t="s">
        <v>141</v>
      </c>
      <c r="J870" t="s">
        <v>6</v>
      </c>
      <c r="L870">
        <v>522611</v>
      </c>
      <c r="M870" s="99" t="s">
        <v>179</v>
      </c>
      <c r="N870">
        <v>2</v>
      </c>
      <c r="O870">
        <v>19</v>
      </c>
      <c r="P870">
        <v>0.65700000000000003</v>
      </c>
      <c r="Q870" t="s">
        <v>352</v>
      </c>
      <c r="R870">
        <v>1</v>
      </c>
      <c r="S870">
        <v>0.72789999999999999</v>
      </c>
      <c r="T870">
        <v>4.07E-2</v>
      </c>
      <c r="U870">
        <v>-1.7420147420147412</v>
      </c>
      <c r="V870">
        <v>0.60580000000000001</v>
      </c>
      <c r="W870">
        <v>0.64649999999999996</v>
      </c>
      <c r="X870">
        <v>0.68720000000000003</v>
      </c>
      <c r="Y870">
        <v>0.76859999999999995</v>
      </c>
      <c r="Z870">
        <v>0.80930000000000002</v>
      </c>
      <c r="AA870">
        <v>0.85</v>
      </c>
      <c r="AD870">
        <v>43.555633017205778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 t="s">
        <v>462</v>
      </c>
      <c r="AL870" t="s">
        <v>6</v>
      </c>
      <c r="AM870" t="s">
        <v>1145</v>
      </c>
      <c r="AN870" t="s">
        <v>1146</v>
      </c>
      <c r="AO870" s="100">
        <v>46262.040405092594</v>
      </c>
      <c r="AP870" t="s">
        <v>1147</v>
      </c>
      <c r="AQ870" t="s">
        <v>2961</v>
      </c>
      <c r="AR870" t="s">
        <v>1232</v>
      </c>
      <c r="AS870" t="s">
        <v>1150</v>
      </c>
      <c r="AT870" t="s">
        <v>2875</v>
      </c>
      <c r="AU870">
        <v>25</v>
      </c>
      <c r="AV870">
        <v>0.73586800000000008</v>
      </c>
      <c r="AW870">
        <v>3.8327130512645122E-2</v>
      </c>
      <c r="AX870">
        <v>5.2084246784267174</v>
      </c>
      <c r="AY870">
        <v>-1.6533305261415048</v>
      </c>
      <c r="AZ870">
        <v>10.247231245545589</v>
      </c>
      <c r="BA870">
        <v>8.045100981228261</v>
      </c>
      <c r="BB870" t="s">
        <v>4619</v>
      </c>
      <c r="BD870" s="98"/>
      <c r="BE870" s="98"/>
      <c r="BF870" t="s">
        <v>1152</v>
      </c>
      <c r="BG870" t="s">
        <v>322</v>
      </c>
      <c r="BH870" t="s">
        <v>1153</v>
      </c>
      <c r="BI870">
        <v>1.6533305261415048</v>
      </c>
      <c r="BJ870" t="s">
        <v>983</v>
      </c>
      <c r="BK870">
        <v>33.308401771660186</v>
      </c>
      <c r="BL870">
        <v>76.473235410222088</v>
      </c>
      <c r="BM870" t="s">
        <v>1260</v>
      </c>
      <c r="BN870" t="s">
        <v>1154</v>
      </c>
      <c r="BO870">
        <v>2025</v>
      </c>
      <c r="BP870" t="s">
        <v>966</v>
      </c>
      <c r="BQ870">
        <v>1.0315291398832471E-2</v>
      </c>
      <c r="BR870">
        <v>99.999998968470862</v>
      </c>
      <c r="BS870" t="s">
        <v>984</v>
      </c>
      <c r="BT870">
        <v>3</v>
      </c>
      <c r="BU870">
        <v>1</v>
      </c>
      <c r="BV870" t="s">
        <v>985</v>
      </c>
      <c r="BW870" t="s">
        <v>943</v>
      </c>
      <c r="BX870" t="s">
        <v>986</v>
      </c>
      <c r="BY870">
        <v>7.1066284944359426</v>
      </c>
      <c r="BZ870" t="s">
        <v>2573</v>
      </c>
      <c r="CA870" t="s">
        <v>983</v>
      </c>
      <c r="CB870" t="b">
        <v>1</v>
      </c>
      <c r="CC870" t="b">
        <v>0</v>
      </c>
      <c r="CD870" t="b">
        <v>0</v>
      </c>
      <c r="CE870" t="b">
        <v>0</v>
      </c>
      <c r="CF870" t="b">
        <v>0</v>
      </c>
    </row>
    <row r="871" spans="1:84" x14ac:dyDescent="0.3">
      <c r="A871" t="s">
        <v>2962</v>
      </c>
      <c r="B871" t="s">
        <v>1234</v>
      </c>
      <c r="C871" s="98">
        <v>45796</v>
      </c>
      <c r="D871">
        <v>2025</v>
      </c>
      <c r="E871">
        <v>5</v>
      </c>
      <c r="F871">
        <v>2</v>
      </c>
      <c r="G871" t="s">
        <v>1226</v>
      </c>
      <c r="H871" t="s">
        <v>141</v>
      </c>
      <c r="I871" t="s">
        <v>141</v>
      </c>
      <c r="J871" t="s">
        <v>6</v>
      </c>
      <c r="L871">
        <v>522611</v>
      </c>
      <c r="M871" s="99" t="s">
        <v>179</v>
      </c>
      <c r="N871">
        <v>2</v>
      </c>
      <c r="O871">
        <v>20</v>
      </c>
      <c r="P871">
        <v>0.71650000000000003</v>
      </c>
      <c r="Q871" t="s">
        <v>352</v>
      </c>
      <c r="R871">
        <v>1</v>
      </c>
      <c r="S871">
        <v>0.72789999999999999</v>
      </c>
      <c r="T871">
        <v>4.07E-2</v>
      </c>
      <c r="U871">
        <v>-0.28009828009827925</v>
      </c>
      <c r="V871">
        <v>0.60580000000000001</v>
      </c>
      <c r="W871">
        <v>0.64649999999999996</v>
      </c>
      <c r="X871">
        <v>0.68720000000000003</v>
      </c>
      <c r="Y871">
        <v>0.76859999999999995</v>
      </c>
      <c r="Z871">
        <v>0.80930000000000002</v>
      </c>
      <c r="AA871">
        <v>0.85</v>
      </c>
      <c r="AD871">
        <v>43.555633017205778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 t="s">
        <v>462</v>
      </c>
      <c r="AL871" t="s">
        <v>6</v>
      </c>
      <c r="AM871" t="s">
        <v>1145</v>
      </c>
      <c r="AN871" t="s">
        <v>1146</v>
      </c>
      <c r="AO871" s="100">
        <v>46262.040405092594</v>
      </c>
      <c r="AP871" t="s">
        <v>1147</v>
      </c>
      <c r="AQ871" t="s">
        <v>2963</v>
      </c>
      <c r="AR871" t="s">
        <v>1236</v>
      </c>
      <c r="AS871" t="s">
        <v>1150</v>
      </c>
      <c r="AT871" t="s">
        <v>2875</v>
      </c>
      <c r="AU871">
        <v>25</v>
      </c>
      <c r="AV871">
        <v>0.73586800000000008</v>
      </c>
      <c r="AW871">
        <v>3.8327130512645122E-2</v>
      </c>
      <c r="AX871">
        <v>5.2084246784267174</v>
      </c>
      <c r="AY871">
        <v>-1.6533305261415048</v>
      </c>
      <c r="AZ871">
        <v>10.247231245545589</v>
      </c>
      <c r="BA871">
        <v>8.045100981228261</v>
      </c>
      <c r="BB871" t="s">
        <v>4619</v>
      </c>
      <c r="BD871" s="98"/>
      <c r="BE871" s="98"/>
      <c r="BF871" t="s">
        <v>1152</v>
      </c>
      <c r="BG871" t="s">
        <v>322</v>
      </c>
      <c r="BH871" t="s">
        <v>1153</v>
      </c>
      <c r="BI871">
        <v>1.6533305261415048</v>
      </c>
      <c r="BJ871" t="s">
        <v>983</v>
      </c>
      <c r="BK871">
        <v>33.308401771660186</v>
      </c>
      <c r="BL871">
        <v>76.473235410222088</v>
      </c>
      <c r="BM871" t="s">
        <v>1260</v>
      </c>
      <c r="BN871" t="s">
        <v>1154</v>
      </c>
      <c r="BO871">
        <v>2025</v>
      </c>
      <c r="BP871" t="s">
        <v>966</v>
      </c>
      <c r="BQ871">
        <v>1.0315291398832471E-2</v>
      </c>
      <c r="BR871">
        <v>99.999998968470862</v>
      </c>
      <c r="BS871" t="s">
        <v>984</v>
      </c>
      <c r="BT871">
        <v>3</v>
      </c>
      <c r="BU871">
        <v>1</v>
      </c>
      <c r="BV871" t="s">
        <v>985</v>
      </c>
      <c r="BW871" t="s">
        <v>943</v>
      </c>
      <c r="BX871" t="s">
        <v>986</v>
      </c>
      <c r="BY871">
        <v>7.1066284944359426</v>
      </c>
      <c r="BZ871" t="s">
        <v>2573</v>
      </c>
      <c r="CA871" t="s">
        <v>983</v>
      </c>
      <c r="CB871" t="b">
        <v>1</v>
      </c>
      <c r="CC871" t="b">
        <v>0</v>
      </c>
      <c r="CD871" t="b">
        <v>0</v>
      </c>
      <c r="CE871" t="b">
        <v>0</v>
      </c>
      <c r="CF871" t="b">
        <v>0</v>
      </c>
    </row>
    <row r="872" spans="1:84" x14ac:dyDescent="0.3">
      <c r="A872" t="s">
        <v>2964</v>
      </c>
      <c r="B872" t="s">
        <v>1238</v>
      </c>
      <c r="C872" s="98">
        <v>45803</v>
      </c>
      <c r="D872">
        <v>2025</v>
      </c>
      <c r="E872">
        <v>5</v>
      </c>
      <c r="F872">
        <v>2</v>
      </c>
      <c r="G872" t="s">
        <v>1226</v>
      </c>
      <c r="H872" t="s">
        <v>141</v>
      </c>
      <c r="I872" t="s">
        <v>141</v>
      </c>
      <c r="J872" t="s">
        <v>6</v>
      </c>
      <c r="L872">
        <v>522611</v>
      </c>
      <c r="M872" s="99" t="s">
        <v>179</v>
      </c>
      <c r="N872">
        <v>2</v>
      </c>
      <c r="O872">
        <v>21</v>
      </c>
      <c r="P872">
        <v>0.72860000000000003</v>
      </c>
      <c r="Q872" t="s">
        <v>352</v>
      </c>
      <c r="R872">
        <v>1</v>
      </c>
      <c r="S872">
        <v>0.72789999999999999</v>
      </c>
      <c r="T872">
        <v>4.07E-2</v>
      </c>
      <c r="U872">
        <v>1.7199017199018032E-2</v>
      </c>
      <c r="V872">
        <v>0.60580000000000001</v>
      </c>
      <c r="W872">
        <v>0.64649999999999996</v>
      </c>
      <c r="X872">
        <v>0.68720000000000003</v>
      </c>
      <c r="Y872">
        <v>0.76859999999999995</v>
      </c>
      <c r="Z872">
        <v>0.80930000000000002</v>
      </c>
      <c r="AA872">
        <v>0.85</v>
      </c>
      <c r="AD872">
        <v>43.555633017205778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 t="s">
        <v>462</v>
      </c>
      <c r="AL872" t="s">
        <v>6</v>
      </c>
      <c r="AM872" t="s">
        <v>1145</v>
      </c>
      <c r="AN872" t="s">
        <v>1146</v>
      </c>
      <c r="AO872" s="100">
        <v>46262.040405092594</v>
      </c>
      <c r="AP872" t="s">
        <v>1147</v>
      </c>
      <c r="AQ872" t="s">
        <v>2965</v>
      </c>
      <c r="AR872" t="s">
        <v>1240</v>
      </c>
      <c r="AS872" t="s">
        <v>1150</v>
      </c>
      <c r="AT872" t="s">
        <v>2875</v>
      </c>
      <c r="AU872">
        <v>25</v>
      </c>
      <c r="AV872">
        <v>0.73586800000000008</v>
      </c>
      <c r="AW872">
        <v>3.8327130512645122E-2</v>
      </c>
      <c r="AX872">
        <v>5.2084246784267174</v>
      </c>
      <c r="AY872">
        <v>-1.6533305261415048</v>
      </c>
      <c r="AZ872">
        <v>10.247231245545589</v>
      </c>
      <c r="BA872">
        <v>8.045100981228261</v>
      </c>
      <c r="BB872" t="s">
        <v>4619</v>
      </c>
      <c r="BD872" s="98"/>
      <c r="BE872" s="98"/>
      <c r="BF872" t="s">
        <v>1152</v>
      </c>
      <c r="BG872" t="s">
        <v>322</v>
      </c>
      <c r="BH872" t="s">
        <v>1153</v>
      </c>
      <c r="BI872">
        <v>1.6533305261415048</v>
      </c>
      <c r="BJ872" t="s">
        <v>983</v>
      </c>
      <c r="BK872">
        <v>33.308401771660186</v>
      </c>
      <c r="BL872">
        <v>76.473235410222088</v>
      </c>
      <c r="BM872" t="s">
        <v>1260</v>
      </c>
      <c r="BN872" t="s">
        <v>1154</v>
      </c>
      <c r="BO872">
        <v>2025</v>
      </c>
      <c r="BP872" t="s">
        <v>966</v>
      </c>
      <c r="BQ872">
        <v>1.0315291398832471E-2</v>
      </c>
      <c r="BR872">
        <v>99.999998968470862</v>
      </c>
      <c r="BS872" t="s">
        <v>984</v>
      </c>
      <c r="BT872">
        <v>3</v>
      </c>
      <c r="BU872">
        <v>1</v>
      </c>
      <c r="BV872" t="s">
        <v>985</v>
      </c>
      <c r="BW872" t="s">
        <v>943</v>
      </c>
      <c r="BX872" t="s">
        <v>986</v>
      </c>
      <c r="BY872">
        <v>7.1066284944359426</v>
      </c>
      <c r="BZ872" t="s">
        <v>2573</v>
      </c>
      <c r="CA872" t="s">
        <v>983</v>
      </c>
      <c r="CB872" t="b">
        <v>1</v>
      </c>
      <c r="CC872" t="b">
        <v>0</v>
      </c>
      <c r="CD872" t="b">
        <v>0</v>
      </c>
      <c r="CE872" t="b">
        <v>0</v>
      </c>
      <c r="CF872" t="b">
        <v>0</v>
      </c>
    </row>
    <row r="873" spans="1:84" x14ac:dyDescent="0.3">
      <c r="A873" t="s">
        <v>2966</v>
      </c>
      <c r="B873" t="s">
        <v>1242</v>
      </c>
      <c r="C873" s="98">
        <v>45810</v>
      </c>
      <c r="D873">
        <v>2025</v>
      </c>
      <c r="E873">
        <v>6</v>
      </c>
      <c r="F873">
        <v>2</v>
      </c>
      <c r="G873" t="s">
        <v>1243</v>
      </c>
      <c r="H873" t="s">
        <v>141</v>
      </c>
      <c r="I873" t="s">
        <v>141</v>
      </c>
      <c r="J873" t="s">
        <v>6</v>
      </c>
      <c r="L873">
        <v>522611</v>
      </c>
      <c r="M873" s="99" t="s">
        <v>179</v>
      </c>
      <c r="N873">
        <v>2</v>
      </c>
      <c r="O873">
        <v>22</v>
      </c>
      <c r="P873">
        <v>0.73240000000000005</v>
      </c>
      <c r="Q873" t="s">
        <v>352</v>
      </c>
      <c r="R873">
        <v>1</v>
      </c>
      <c r="S873">
        <v>0.72789999999999999</v>
      </c>
      <c r="T873">
        <v>4.07E-2</v>
      </c>
      <c r="U873">
        <v>0.11056511056511202</v>
      </c>
      <c r="V873">
        <v>0.60580000000000001</v>
      </c>
      <c r="W873">
        <v>0.64649999999999996</v>
      </c>
      <c r="X873">
        <v>0.68720000000000003</v>
      </c>
      <c r="Y873">
        <v>0.76859999999999995</v>
      </c>
      <c r="Z873">
        <v>0.80930000000000002</v>
      </c>
      <c r="AA873">
        <v>0.85</v>
      </c>
      <c r="AD873">
        <v>43.555633017205778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 t="s">
        <v>462</v>
      </c>
      <c r="AL873" t="s">
        <v>6</v>
      </c>
      <c r="AM873" t="s">
        <v>1145</v>
      </c>
      <c r="AN873" t="s">
        <v>1146</v>
      </c>
      <c r="AO873" s="100">
        <v>46262.040405092594</v>
      </c>
      <c r="AP873" t="s">
        <v>1147</v>
      </c>
      <c r="AQ873" t="s">
        <v>2967</v>
      </c>
      <c r="AR873" t="s">
        <v>1245</v>
      </c>
      <c r="AS873" t="s">
        <v>1150</v>
      </c>
      <c r="AT873" t="s">
        <v>2875</v>
      </c>
      <c r="AU873">
        <v>25</v>
      </c>
      <c r="AV873">
        <v>0.73586800000000008</v>
      </c>
      <c r="AW873">
        <v>3.8327130512645122E-2</v>
      </c>
      <c r="AX873">
        <v>5.2084246784267174</v>
      </c>
      <c r="AY873">
        <v>-1.6533305261415048</v>
      </c>
      <c r="AZ873">
        <v>10.247231245545589</v>
      </c>
      <c r="BA873">
        <v>8.045100981228261</v>
      </c>
      <c r="BB873" t="s">
        <v>4619</v>
      </c>
      <c r="BD873" s="98"/>
      <c r="BE873" s="98"/>
      <c r="BF873" t="s">
        <v>1152</v>
      </c>
      <c r="BG873" t="s">
        <v>322</v>
      </c>
      <c r="BH873" t="s">
        <v>1153</v>
      </c>
      <c r="BI873">
        <v>1.6533305261415048</v>
      </c>
      <c r="BJ873" t="s">
        <v>983</v>
      </c>
      <c r="BK873">
        <v>33.308401771660186</v>
      </c>
      <c r="BL873">
        <v>76.473235410222088</v>
      </c>
      <c r="BM873" t="s">
        <v>1260</v>
      </c>
      <c r="BN873" t="s">
        <v>1154</v>
      </c>
      <c r="BO873">
        <v>2025</v>
      </c>
      <c r="BP873" t="s">
        <v>966</v>
      </c>
      <c r="BQ873">
        <v>1.0315291398832471E-2</v>
      </c>
      <c r="BR873">
        <v>99.999998968470862</v>
      </c>
      <c r="BS873" t="s">
        <v>984</v>
      </c>
      <c r="BT873">
        <v>3</v>
      </c>
      <c r="BU873">
        <v>1</v>
      </c>
      <c r="BV873" t="s">
        <v>985</v>
      </c>
      <c r="BW873" t="s">
        <v>943</v>
      </c>
      <c r="BX873" t="s">
        <v>986</v>
      </c>
      <c r="BY873">
        <v>7.1066284944359426</v>
      </c>
      <c r="BZ873" t="s">
        <v>2573</v>
      </c>
      <c r="CA873" t="s">
        <v>983</v>
      </c>
      <c r="CB873" t="b">
        <v>1</v>
      </c>
      <c r="CC873" t="b">
        <v>0</v>
      </c>
      <c r="CD873" t="b">
        <v>0</v>
      </c>
      <c r="CE873" t="b">
        <v>0</v>
      </c>
      <c r="CF873" t="b">
        <v>0</v>
      </c>
    </row>
    <row r="874" spans="1:84" x14ac:dyDescent="0.3">
      <c r="A874" t="s">
        <v>2968</v>
      </c>
      <c r="B874" t="s">
        <v>1247</v>
      </c>
      <c r="C874" s="98">
        <v>45817</v>
      </c>
      <c r="D874">
        <v>2025</v>
      </c>
      <c r="E874">
        <v>6</v>
      </c>
      <c r="F874">
        <v>2</v>
      </c>
      <c r="G874" t="s">
        <v>1243</v>
      </c>
      <c r="H874" t="s">
        <v>141</v>
      </c>
      <c r="I874" t="s">
        <v>141</v>
      </c>
      <c r="J874" t="s">
        <v>6</v>
      </c>
      <c r="L874">
        <v>522611</v>
      </c>
      <c r="M874" s="99" t="s">
        <v>179</v>
      </c>
      <c r="N874">
        <v>2</v>
      </c>
      <c r="O874">
        <v>23</v>
      </c>
      <c r="P874">
        <v>0.78159999999999996</v>
      </c>
      <c r="Q874" t="s">
        <v>352</v>
      </c>
      <c r="R874">
        <v>1</v>
      </c>
      <c r="S874">
        <v>0.72789999999999999</v>
      </c>
      <c r="T874">
        <v>4.07E-2</v>
      </c>
      <c r="U874">
        <v>1.3194103194103186</v>
      </c>
      <c r="V874">
        <v>0.60580000000000001</v>
      </c>
      <c r="W874">
        <v>0.64649999999999996</v>
      </c>
      <c r="X874">
        <v>0.68720000000000003</v>
      </c>
      <c r="Y874">
        <v>0.76859999999999995</v>
      </c>
      <c r="Z874">
        <v>0.80930000000000002</v>
      </c>
      <c r="AA874">
        <v>0.85</v>
      </c>
      <c r="AD874">
        <v>43.555633017205778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 t="s">
        <v>462</v>
      </c>
      <c r="AL874" t="s">
        <v>6</v>
      </c>
      <c r="AM874" t="s">
        <v>1145</v>
      </c>
      <c r="AN874" t="s">
        <v>1146</v>
      </c>
      <c r="AO874" s="100">
        <v>46262.040405092594</v>
      </c>
      <c r="AP874" t="s">
        <v>1147</v>
      </c>
      <c r="AQ874" t="s">
        <v>2969</v>
      </c>
      <c r="AR874" t="s">
        <v>1249</v>
      </c>
      <c r="AS874" t="s">
        <v>1150</v>
      </c>
      <c r="AT874" t="s">
        <v>2875</v>
      </c>
      <c r="AU874">
        <v>25</v>
      </c>
      <c r="AV874">
        <v>0.73586800000000008</v>
      </c>
      <c r="AW874">
        <v>3.8327130512645122E-2</v>
      </c>
      <c r="AX874">
        <v>5.2084246784267174</v>
      </c>
      <c r="AY874">
        <v>-1.6533305261415048</v>
      </c>
      <c r="AZ874">
        <v>10.247231245545589</v>
      </c>
      <c r="BA874">
        <v>8.045100981228261</v>
      </c>
      <c r="BB874" t="s">
        <v>4619</v>
      </c>
      <c r="BD874" s="98"/>
      <c r="BE874" s="98"/>
      <c r="BF874" t="s">
        <v>1152</v>
      </c>
      <c r="BG874" t="s">
        <v>322</v>
      </c>
      <c r="BH874" t="s">
        <v>1153</v>
      </c>
      <c r="BI874">
        <v>1.6533305261415048</v>
      </c>
      <c r="BJ874" t="s">
        <v>983</v>
      </c>
      <c r="BK874">
        <v>33.308401771660186</v>
      </c>
      <c r="BL874">
        <v>76.473235410222088</v>
      </c>
      <c r="BM874" t="s">
        <v>1260</v>
      </c>
      <c r="BN874" t="s">
        <v>1154</v>
      </c>
      <c r="BO874">
        <v>2025</v>
      </c>
      <c r="BP874" t="s">
        <v>966</v>
      </c>
      <c r="BQ874">
        <v>1.0315291398832471E-2</v>
      </c>
      <c r="BR874">
        <v>99.999998968470862</v>
      </c>
      <c r="BS874" t="s">
        <v>984</v>
      </c>
      <c r="BT874">
        <v>3</v>
      </c>
      <c r="BU874">
        <v>1</v>
      </c>
      <c r="BV874" t="s">
        <v>985</v>
      </c>
      <c r="BW874" t="s">
        <v>943</v>
      </c>
      <c r="BX874" t="s">
        <v>986</v>
      </c>
      <c r="BY874">
        <v>7.1066284944359426</v>
      </c>
      <c r="BZ874" t="s">
        <v>2573</v>
      </c>
      <c r="CA874" t="s">
        <v>983</v>
      </c>
      <c r="CB874" t="b">
        <v>1</v>
      </c>
      <c r="CC874" t="b">
        <v>0</v>
      </c>
      <c r="CD874" t="b">
        <v>0</v>
      </c>
      <c r="CE874" t="b">
        <v>0</v>
      </c>
      <c r="CF874" t="b">
        <v>0</v>
      </c>
    </row>
    <row r="875" spans="1:84" x14ac:dyDescent="0.3">
      <c r="A875" t="s">
        <v>2970</v>
      </c>
      <c r="B875" t="s">
        <v>1251</v>
      </c>
      <c r="C875" s="98">
        <v>45824</v>
      </c>
      <c r="D875">
        <v>2025</v>
      </c>
      <c r="E875">
        <v>6</v>
      </c>
      <c r="F875">
        <v>2</v>
      </c>
      <c r="G875" t="s">
        <v>1243</v>
      </c>
      <c r="H875" t="s">
        <v>141</v>
      </c>
      <c r="I875" t="s">
        <v>141</v>
      </c>
      <c r="J875" t="s">
        <v>6</v>
      </c>
      <c r="L875">
        <v>522611</v>
      </c>
      <c r="M875" s="99" t="s">
        <v>179</v>
      </c>
      <c r="N875">
        <v>2</v>
      </c>
      <c r="O875">
        <v>24</v>
      </c>
      <c r="P875">
        <v>0.74080000000000001</v>
      </c>
      <c r="Q875" t="s">
        <v>352</v>
      </c>
      <c r="R875">
        <v>1</v>
      </c>
      <c r="S875">
        <v>0.72789999999999999</v>
      </c>
      <c r="T875">
        <v>4.07E-2</v>
      </c>
      <c r="U875">
        <v>0.31695331695331752</v>
      </c>
      <c r="V875">
        <v>0.60580000000000001</v>
      </c>
      <c r="W875">
        <v>0.64649999999999996</v>
      </c>
      <c r="X875">
        <v>0.68720000000000003</v>
      </c>
      <c r="Y875">
        <v>0.76859999999999995</v>
      </c>
      <c r="Z875">
        <v>0.80930000000000002</v>
      </c>
      <c r="AA875">
        <v>0.85</v>
      </c>
      <c r="AD875">
        <v>43.555633017205778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 t="s">
        <v>462</v>
      </c>
      <c r="AL875" t="s">
        <v>6</v>
      </c>
      <c r="AM875" t="s">
        <v>1145</v>
      </c>
      <c r="AN875" t="s">
        <v>1146</v>
      </c>
      <c r="AO875" s="100">
        <v>46262.040405092594</v>
      </c>
      <c r="AP875" t="s">
        <v>1147</v>
      </c>
      <c r="AQ875" t="s">
        <v>2971</v>
      </c>
      <c r="AR875" t="s">
        <v>1253</v>
      </c>
      <c r="AS875" t="s">
        <v>1150</v>
      </c>
      <c r="AT875" t="s">
        <v>2875</v>
      </c>
      <c r="AU875">
        <v>25</v>
      </c>
      <c r="AV875">
        <v>0.73586800000000008</v>
      </c>
      <c r="AW875">
        <v>3.8327130512645122E-2</v>
      </c>
      <c r="AX875">
        <v>5.2084246784267174</v>
      </c>
      <c r="AY875">
        <v>-1.6533305261415048</v>
      </c>
      <c r="AZ875">
        <v>10.247231245545589</v>
      </c>
      <c r="BA875">
        <v>8.045100981228261</v>
      </c>
      <c r="BB875" t="s">
        <v>4619</v>
      </c>
      <c r="BD875" s="98"/>
      <c r="BE875" s="98"/>
      <c r="BF875" t="s">
        <v>1152</v>
      </c>
      <c r="BG875" t="s">
        <v>322</v>
      </c>
      <c r="BH875" t="s">
        <v>1153</v>
      </c>
      <c r="BI875">
        <v>1.6533305261415048</v>
      </c>
      <c r="BJ875" t="s">
        <v>983</v>
      </c>
      <c r="BK875">
        <v>33.308401771660186</v>
      </c>
      <c r="BL875">
        <v>76.473235410222088</v>
      </c>
      <c r="BM875" t="s">
        <v>1260</v>
      </c>
      <c r="BN875" t="s">
        <v>1154</v>
      </c>
      <c r="BO875">
        <v>2025</v>
      </c>
      <c r="BP875" t="s">
        <v>966</v>
      </c>
      <c r="BQ875">
        <v>1.0315291398832471E-2</v>
      </c>
      <c r="BR875">
        <v>99.999998968470862</v>
      </c>
      <c r="BS875" t="s">
        <v>984</v>
      </c>
      <c r="BT875">
        <v>3</v>
      </c>
      <c r="BU875">
        <v>1</v>
      </c>
      <c r="BV875" t="s">
        <v>985</v>
      </c>
      <c r="BW875" t="s">
        <v>943</v>
      </c>
      <c r="BX875" t="s">
        <v>986</v>
      </c>
      <c r="BY875">
        <v>7.1066284944359426</v>
      </c>
      <c r="BZ875" t="s">
        <v>2573</v>
      </c>
      <c r="CA875" t="s">
        <v>983</v>
      </c>
      <c r="CB875" t="b">
        <v>1</v>
      </c>
      <c r="CC875" t="b">
        <v>0</v>
      </c>
      <c r="CD875" t="b">
        <v>0</v>
      </c>
      <c r="CE875" t="b">
        <v>0</v>
      </c>
      <c r="CF875" t="b">
        <v>0</v>
      </c>
    </row>
    <row r="876" spans="1:84" x14ac:dyDescent="0.3">
      <c r="A876" t="s">
        <v>2972</v>
      </c>
      <c r="B876" t="s">
        <v>1255</v>
      </c>
      <c r="C876" s="98">
        <v>45831</v>
      </c>
      <c r="D876">
        <v>2025</v>
      </c>
      <c r="E876">
        <v>6</v>
      </c>
      <c r="F876">
        <v>2</v>
      </c>
      <c r="G876" t="s">
        <v>1243</v>
      </c>
      <c r="H876" t="s">
        <v>141</v>
      </c>
      <c r="I876" t="s">
        <v>141</v>
      </c>
      <c r="J876" t="s">
        <v>6</v>
      </c>
      <c r="L876">
        <v>522611</v>
      </c>
      <c r="M876" s="99" t="s">
        <v>179</v>
      </c>
      <c r="N876">
        <v>2</v>
      </c>
      <c r="O876">
        <v>25</v>
      </c>
      <c r="P876">
        <v>0.7611</v>
      </c>
      <c r="Q876" t="s">
        <v>352</v>
      </c>
      <c r="R876">
        <v>1</v>
      </c>
      <c r="S876">
        <v>0.72789999999999999</v>
      </c>
      <c r="T876">
        <v>4.07E-2</v>
      </c>
      <c r="U876">
        <v>0.81572481572481592</v>
      </c>
      <c r="V876">
        <v>0.60580000000000001</v>
      </c>
      <c r="W876">
        <v>0.64649999999999996</v>
      </c>
      <c r="X876">
        <v>0.68720000000000003</v>
      </c>
      <c r="Y876">
        <v>0.76859999999999995</v>
      </c>
      <c r="Z876">
        <v>0.80930000000000002</v>
      </c>
      <c r="AA876">
        <v>0.85</v>
      </c>
      <c r="AD876">
        <v>43.555633017205778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 t="s">
        <v>462</v>
      </c>
      <c r="AL876" t="s">
        <v>6</v>
      </c>
      <c r="AM876" t="s">
        <v>1145</v>
      </c>
      <c r="AN876" t="s">
        <v>1146</v>
      </c>
      <c r="AO876" s="100">
        <v>46262.040405092594</v>
      </c>
      <c r="AP876" t="s">
        <v>1147</v>
      </c>
      <c r="AQ876" t="s">
        <v>2973</v>
      </c>
      <c r="AR876" t="s">
        <v>1257</v>
      </c>
      <c r="AS876" t="s">
        <v>1150</v>
      </c>
      <c r="AT876" t="s">
        <v>2875</v>
      </c>
      <c r="AU876">
        <v>25</v>
      </c>
      <c r="AV876">
        <v>0.73586800000000008</v>
      </c>
      <c r="AW876">
        <v>3.8327130512645122E-2</v>
      </c>
      <c r="AX876">
        <v>5.2084246784267174</v>
      </c>
      <c r="AY876">
        <v>-1.6533305261415048</v>
      </c>
      <c r="AZ876">
        <v>10.247231245545589</v>
      </c>
      <c r="BA876">
        <v>8.045100981228261</v>
      </c>
      <c r="BB876" t="s">
        <v>4619</v>
      </c>
      <c r="BD876" s="98"/>
      <c r="BE876" s="98"/>
      <c r="BF876" t="s">
        <v>1152</v>
      </c>
      <c r="BG876" t="s">
        <v>322</v>
      </c>
      <c r="BH876" t="s">
        <v>1153</v>
      </c>
      <c r="BI876">
        <v>1.6533305261415048</v>
      </c>
      <c r="BJ876" t="s">
        <v>983</v>
      </c>
      <c r="BK876">
        <v>33.308401771660186</v>
      </c>
      <c r="BL876">
        <v>76.473235410222088</v>
      </c>
      <c r="BM876" t="s">
        <v>1260</v>
      </c>
      <c r="BN876" t="s">
        <v>1154</v>
      </c>
      <c r="BO876">
        <v>2025</v>
      </c>
      <c r="BP876" t="s">
        <v>966</v>
      </c>
      <c r="BQ876">
        <v>1.0315291398832471E-2</v>
      </c>
      <c r="BR876">
        <v>99.999998968470862</v>
      </c>
      <c r="BS876" t="s">
        <v>984</v>
      </c>
      <c r="BT876">
        <v>3</v>
      </c>
      <c r="BU876">
        <v>1</v>
      </c>
      <c r="BV876" t="s">
        <v>985</v>
      </c>
      <c r="BW876" t="s">
        <v>943</v>
      </c>
      <c r="BX876" t="s">
        <v>986</v>
      </c>
      <c r="BY876">
        <v>7.1066284944359426</v>
      </c>
      <c r="BZ876" t="s">
        <v>2573</v>
      </c>
      <c r="CA876" t="s">
        <v>983</v>
      </c>
      <c r="CB876" t="b">
        <v>1</v>
      </c>
      <c r="CC876" t="b">
        <v>0</v>
      </c>
      <c r="CD876" t="b">
        <v>0</v>
      </c>
      <c r="CE876" t="b">
        <v>0</v>
      </c>
      <c r="CF876" t="b">
        <v>0</v>
      </c>
    </row>
    <row r="877" spans="1:84" x14ac:dyDescent="0.3">
      <c r="A877" t="s">
        <v>2974</v>
      </c>
      <c r="B877" t="s">
        <v>1143</v>
      </c>
      <c r="C877" s="98">
        <v>45663</v>
      </c>
      <c r="D877">
        <v>2025</v>
      </c>
      <c r="E877">
        <v>1</v>
      </c>
      <c r="F877">
        <v>1</v>
      </c>
      <c r="G877" t="s">
        <v>1144</v>
      </c>
      <c r="H877" t="s">
        <v>141</v>
      </c>
      <c r="I877" t="s">
        <v>141</v>
      </c>
      <c r="J877" t="s">
        <v>6</v>
      </c>
      <c r="L877">
        <v>522611</v>
      </c>
      <c r="M877" s="99" t="s">
        <v>180</v>
      </c>
      <c r="N877">
        <v>3</v>
      </c>
      <c r="O877">
        <v>1</v>
      </c>
      <c r="P877">
        <v>1.7225999999999999</v>
      </c>
      <c r="Q877" t="s">
        <v>352</v>
      </c>
      <c r="R877">
        <v>1</v>
      </c>
      <c r="S877">
        <v>1.8631</v>
      </c>
      <c r="T877">
        <v>0.12759999999999999</v>
      </c>
      <c r="U877">
        <v>-1.1010971786833863</v>
      </c>
      <c r="V877">
        <v>1.4802999999999999</v>
      </c>
      <c r="W877">
        <v>1.6078999999999999</v>
      </c>
      <c r="X877">
        <v>1.7355</v>
      </c>
      <c r="Y877">
        <v>1.9906999999999999</v>
      </c>
      <c r="Z877">
        <v>2.1183000000000001</v>
      </c>
      <c r="AA877">
        <v>2.2458999999999998</v>
      </c>
      <c r="AD877">
        <v>43.555633017205778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 t="s">
        <v>462</v>
      </c>
      <c r="AL877" t="s">
        <v>6</v>
      </c>
      <c r="AM877" t="s">
        <v>1145</v>
      </c>
      <c r="AN877" t="s">
        <v>1146</v>
      </c>
      <c r="AO877" s="100">
        <v>46262.040405092594</v>
      </c>
      <c r="AP877" t="s">
        <v>1147</v>
      </c>
      <c r="AQ877" t="s">
        <v>2975</v>
      </c>
      <c r="AR877" t="s">
        <v>1149</v>
      </c>
      <c r="AS877" t="s">
        <v>1150</v>
      </c>
      <c r="AT877" t="s">
        <v>2875</v>
      </c>
      <c r="AU877">
        <v>25</v>
      </c>
      <c r="AV877">
        <v>1.8723040000000004</v>
      </c>
      <c r="AW877">
        <v>0.11039531421215307</v>
      </c>
      <c r="AX877">
        <v>5.8962280811317527</v>
      </c>
      <c r="AY877">
        <v>-1.6533305261415048</v>
      </c>
      <c r="AZ877">
        <v>11.382106860008896</v>
      </c>
      <c r="BA877">
        <v>7.1066284944359426</v>
      </c>
      <c r="BB877" t="s">
        <v>4619</v>
      </c>
      <c r="BD877" s="98"/>
      <c r="BE877" s="98"/>
      <c r="BF877" t="s">
        <v>1152</v>
      </c>
      <c r="BG877" t="s">
        <v>322</v>
      </c>
      <c r="BH877" t="s">
        <v>1153</v>
      </c>
      <c r="BI877">
        <v>1.6533305261415048</v>
      </c>
      <c r="BJ877" t="s">
        <v>983</v>
      </c>
      <c r="BK877">
        <v>32.173526157196882</v>
      </c>
      <c r="BL877">
        <v>73.867658276226578</v>
      </c>
      <c r="BM877" t="s">
        <v>1260</v>
      </c>
      <c r="BN877" t="s">
        <v>1154</v>
      </c>
      <c r="BO877">
        <v>2025</v>
      </c>
      <c r="BP877" t="s">
        <v>966</v>
      </c>
      <c r="BQ877">
        <v>1.0315291398832471E-2</v>
      </c>
      <c r="BR877">
        <v>99.999998968470862</v>
      </c>
      <c r="BS877" t="s">
        <v>984</v>
      </c>
      <c r="BT877">
        <v>3</v>
      </c>
      <c r="BU877">
        <v>1</v>
      </c>
      <c r="BV877" t="s">
        <v>985</v>
      </c>
      <c r="BW877" t="s">
        <v>943</v>
      </c>
      <c r="BX877" t="s">
        <v>986</v>
      </c>
      <c r="BY877">
        <v>7.1066284944359426</v>
      </c>
      <c r="BZ877" t="s">
        <v>2573</v>
      </c>
      <c r="CA877" t="s">
        <v>983</v>
      </c>
      <c r="CB877" t="b">
        <v>1</v>
      </c>
      <c r="CC877" t="b">
        <v>0</v>
      </c>
      <c r="CD877" t="b">
        <v>0</v>
      </c>
      <c r="CE877" t="b">
        <v>0</v>
      </c>
      <c r="CF877" t="b">
        <v>0</v>
      </c>
    </row>
    <row r="878" spans="1:84" x14ac:dyDescent="0.3">
      <c r="A878" t="s">
        <v>2976</v>
      </c>
      <c r="B878" t="s">
        <v>1157</v>
      </c>
      <c r="C878" s="98">
        <v>45670</v>
      </c>
      <c r="D878">
        <v>2025</v>
      </c>
      <c r="E878">
        <v>1</v>
      </c>
      <c r="F878">
        <v>1</v>
      </c>
      <c r="G878" t="s">
        <v>1144</v>
      </c>
      <c r="H878" t="s">
        <v>141</v>
      </c>
      <c r="I878" t="s">
        <v>141</v>
      </c>
      <c r="J878" t="s">
        <v>6</v>
      </c>
      <c r="L878">
        <v>522611</v>
      </c>
      <c r="M878" s="99" t="s">
        <v>180</v>
      </c>
      <c r="N878">
        <v>3</v>
      </c>
      <c r="O878">
        <v>2</v>
      </c>
      <c r="P878">
        <v>1.9739</v>
      </c>
      <c r="Q878" t="s">
        <v>352</v>
      </c>
      <c r="R878">
        <v>1</v>
      </c>
      <c r="S878">
        <v>1.8631</v>
      </c>
      <c r="T878">
        <v>0.12759999999999999</v>
      </c>
      <c r="U878">
        <v>0.8683385579937305</v>
      </c>
      <c r="V878">
        <v>1.4802999999999999</v>
      </c>
      <c r="W878">
        <v>1.6078999999999999</v>
      </c>
      <c r="X878">
        <v>1.7355</v>
      </c>
      <c r="Y878">
        <v>1.9906999999999999</v>
      </c>
      <c r="Z878">
        <v>2.1183000000000001</v>
      </c>
      <c r="AA878">
        <v>2.2458999999999998</v>
      </c>
      <c r="AD878">
        <v>43.555633017205778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 t="s">
        <v>462</v>
      </c>
      <c r="AL878" t="s">
        <v>6</v>
      </c>
      <c r="AM878" t="s">
        <v>1145</v>
      </c>
      <c r="AN878" t="s">
        <v>1146</v>
      </c>
      <c r="AO878" s="100">
        <v>46262.040405092594</v>
      </c>
      <c r="AP878" t="s">
        <v>1147</v>
      </c>
      <c r="AQ878" t="s">
        <v>2977</v>
      </c>
      <c r="AR878" t="s">
        <v>1159</v>
      </c>
      <c r="AS878" t="s">
        <v>1150</v>
      </c>
      <c r="AT878" t="s">
        <v>2875</v>
      </c>
      <c r="AU878">
        <v>25</v>
      </c>
      <c r="AV878">
        <v>1.8723040000000004</v>
      </c>
      <c r="AW878">
        <v>0.11039531421215307</v>
      </c>
      <c r="AX878">
        <v>5.8962280811317527</v>
      </c>
      <c r="AY878">
        <v>-1.6533305261415048</v>
      </c>
      <c r="AZ878">
        <v>11.382106860008896</v>
      </c>
      <c r="BA878">
        <v>7.1066284944359426</v>
      </c>
      <c r="BB878" t="s">
        <v>4619</v>
      </c>
      <c r="BD878" s="98"/>
      <c r="BE878" s="98"/>
      <c r="BF878" t="s">
        <v>1152</v>
      </c>
      <c r="BG878" t="s">
        <v>322</v>
      </c>
      <c r="BH878" t="s">
        <v>1153</v>
      </c>
      <c r="BI878">
        <v>1.6533305261415048</v>
      </c>
      <c r="BJ878" t="s">
        <v>983</v>
      </c>
      <c r="BK878">
        <v>32.173526157196882</v>
      </c>
      <c r="BL878">
        <v>73.867658276226578</v>
      </c>
      <c r="BM878" t="s">
        <v>1260</v>
      </c>
      <c r="BN878" t="s">
        <v>1154</v>
      </c>
      <c r="BO878">
        <v>2025</v>
      </c>
      <c r="BP878" t="s">
        <v>966</v>
      </c>
      <c r="BQ878">
        <v>1.0315291398832471E-2</v>
      </c>
      <c r="BR878">
        <v>99.999998968470862</v>
      </c>
      <c r="BS878" t="s">
        <v>984</v>
      </c>
      <c r="BT878">
        <v>3</v>
      </c>
      <c r="BU878">
        <v>1</v>
      </c>
      <c r="BV878" t="s">
        <v>985</v>
      </c>
      <c r="BW878" t="s">
        <v>943</v>
      </c>
      <c r="BX878" t="s">
        <v>986</v>
      </c>
      <c r="BY878">
        <v>7.1066284944359426</v>
      </c>
      <c r="BZ878" t="s">
        <v>2573</v>
      </c>
      <c r="CA878" t="s">
        <v>983</v>
      </c>
      <c r="CB878" t="b">
        <v>1</v>
      </c>
      <c r="CC878" t="b">
        <v>0</v>
      </c>
      <c r="CD878" t="b">
        <v>0</v>
      </c>
      <c r="CE878" t="b">
        <v>0</v>
      </c>
      <c r="CF878" t="b">
        <v>0</v>
      </c>
    </row>
    <row r="879" spans="1:84" x14ac:dyDescent="0.3">
      <c r="A879" t="s">
        <v>2978</v>
      </c>
      <c r="B879" t="s">
        <v>1161</v>
      </c>
      <c r="C879" s="98">
        <v>45677</v>
      </c>
      <c r="D879">
        <v>2025</v>
      </c>
      <c r="E879">
        <v>1</v>
      </c>
      <c r="F879">
        <v>1</v>
      </c>
      <c r="G879" t="s">
        <v>1144</v>
      </c>
      <c r="H879" t="s">
        <v>141</v>
      </c>
      <c r="I879" t="s">
        <v>141</v>
      </c>
      <c r="J879" t="s">
        <v>6</v>
      </c>
      <c r="L879">
        <v>522611</v>
      </c>
      <c r="M879" s="99" t="s">
        <v>180</v>
      </c>
      <c r="N879">
        <v>3</v>
      </c>
      <c r="O879">
        <v>3</v>
      </c>
      <c r="P879">
        <v>2.1307</v>
      </c>
      <c r="Q879" t="s">
        <v>352</v>
      </c>
      <c r="R879">
        <v>1</v>
      </c>
      <c r="S879">
        <v>1.8631</v>
      </c>
      <c r="T879">
        <v>0.12759999999999999</v>
      </c>
      <c r="U879">
        <v>2.0971786833855806</v>
      </c>
      <c r="V879">
        <v>1.4802999999999999</v>
      </c>
      <c r="W879">
        <v>1.6078999999999999</v>
      </c>
      <c r="X879">
        <v>1.7355</v>
      </c>
      <c r="Y879">
        <v>1.9906999999999999</v>
      </c>
      <c r="Z879">
        <v>2.1183000000000001</v>
      </c>
      <c r="AA879">
        <v>2.2458999999999998</v>
      </c>
      <c r="AD879">
        <v>43.555633017205778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1</v>
      </c>
      <c r="AK879" t="s">
        <v>462</v>
      </c>
      <c r="AL879" t="s">
        <v>6</v>
      </c>
      <c r="AM879" t="s">
        <v>1145</v>
      </c>
      <c r="AN879" t="s">
        <v>1146</v>
      </c>
      <c r="AO879" s="100">
        <v>46262.040405092594</v>
      </c>
      <c r="AP879" t="s">
        <v>1147</v>
      </c>
      <c r="AQ879" t="s">
        <v>2979</v>
      </c>
      <c r="AR879" t="s">
        <v>1163</v>
      </c>
      <c r="AS879" t="s">
        <v>1150</v>
      </c>
      <c r="AT879" t="s">
        <v>2875</v>
      </c>
      <c r="AU879">
        <v>25</v>
      </c>
      <c r="AV879">
        <v>1.8723040000000004</v>
      </c>
      <c r="AW879">
        <v>0.11039531421215307</v>
      </c>
      <c r="AX879">
        <v>5.8962280811317527</v>
      </c>
      <c r="AY879">
        <v>-1.6533305261415048</v>
      </c>
      <c r="AZ879">
        <v>11.382106860008896</v>
      </c>
      <c r="BA879">
        <v>7.1066284944359426</v>
      </c>
      <c r="BB879" t="s">
        <v>4619</v>
      </c>
      <c r="BD879" s="98"/>
      <c r="BE879" s="98"/>
      <c r="BF879" t="s">
        <v>1152</v>
      </c>
      <c r="BG879" t="s">
        <v>322</v>
      </c>
      <c r="BH879" t="s">
        <v>1153</v>
      </c>
      <c r="BI879">
        <v>1.6533305261415048</v>
      </c>
      <c r="BJ879" t="s">
        <v>983</v>
      </c>
      <c r="BK879">
        <v>32.173526157196882</v>
      </c>
      <c r="BL879">
        <v>73.867658276226578</v>
      </c>
      <c r="BM879" t="s">
        <v>1260</v>
      </c>
      <c r="BN879" t="s">
        <v>1154</v>
      </c>
      <c r="BO879">
        <v>2025</v>
      </c>
      <c r="BP879" t="s">
        <v>966</v>
      </c>
      <c r="BQ879">
        <v>1.0315291398832471E-2</v>
      </c>
      <c r="BR879">
        <v>99.999998968470862</v>
      </c>
      <c r="BS879" t="s">
        <v>984</v>
      </c>
      <c r="BT879">
        <v>3</v>
      </c>
      <c r="BU879">
        <v>1</v>
      </c>
      <c r="BV879" t="s">
        <v>985</v>
      </c>
      <c r="BW879" t="s">
        <v>943</v>
      </c>
      <c r="BX879" t="s">
        <v>986</v>
      </c>
      <c r="BY879">
        <v>7.1066284944359426</v>
      </c>
      <c r="BZ879" t="s">
        <v>2573</v>
      </c>
      <c r="CA879" t="s">
        <v>983</v>
      </c>
      <c r="CB879" t="b">
        <v>1</v>
      </c>
      <c r="CC879" t="b">
        <v>0</v>
      </c>
      <c r="CD879" t="b">
        <v>0</v>
      </c>
      <c r="CE879" t="b">
        <v>0</v>
      </c>
      <c r="CF879" t="b">
        <v>0</v>
      </c>
    </row>
    <row r="880" spans="1:84" x14ac:dyDescent="0.3">
      <c r="A880" t="s">
        <v>2980</v>
      </c>
      <c r="B880" t="s">
        <v>1165</v>
      </c>
      <c r="C880" s="98">
        <v>45684</v>
      </c>
      <c r="D880">
        <v>2025</v>
      </c>
      <c r="E880">
        <v>1</v>
      </c>
      <c r="F880">
        <v>1</v>
      </c>
      <c r="G880" t="s">
        <v>1144</v>
      </c>
      <c r="H880" t="s">
        <v>141</v>
      </c>
      <c r="I880" t="s">
        <v>141</v>
      </c>
      <c r="J880" t="s">
        <v>6</v>
      </c>
      <c r="L880">
        <v>522611</v>
      </c>
      <c r="M880" s="99" t="s">
        <v>180</v>
      </c>
      <c r="N880">
        <v>3</v>
      </c>
      <c r="O880">
        <v>4</v>
      </c>
      <c r="P880">
        <v>1.9618</v>
      </c>
      <c r="Q880" t="s">
        <v>352</v>
      </c>
      <c r="R880">
        <v>1</v>
      </c>
      <c r="S880">
        <v>1.8631</v>
      </c>
      <c r="T880">
        <v>0.12759999999999999</v>
      </c>
      <c r="U880">
        <v>0.77351097178683403</v>
      </c>
      <c r="V880">
        <v>1.4802999999999999</v>
      </c>
      <c r="W880">
        <v>1.6078999999999999</v>
      </c>
      <c r="X880">
        <v>1.7355</v>
      </c>
      <c r="Y880">
        <v>1.9906999999999999</v>
      </c>
      <c r="Z880">
        <v>2.1183000000000001</v>
      </c>
      <c r="AA880">
        <v>2.2458999999999998</v>
      </c>
      <c r="AD880">
        <v>43.555633017205778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 t="s">
        <v>462</v>
      </c>
      <c r="AL880" t="s">
        <v>6</v>
      </c>
      <c r="AM880" t="s">
        <v>1145</v>
      </c>
      <c r="AN880" t="s">
        <v>1146</v>
      </c>
      <c r="AO880" s="100">
        <v>46262.040405092594</v>
      </c>
      <c r="AP880" t="s">
        <v>1147</v>
      </c>
      <c r="AQ880" t="s">
        <v>2981</v>
      </c>
      <c r="AR880" t="s">
        <v>1167</v>
      </c>
      <c r="AS880" t="s">
        <v>1150</v>
      </c>
      <c r="AT880" t="s">
        <v>2875</v>
      </c>
      <c r="AU880">
        <v>25</v>
      </c>
      <c r="AV880">
        <v>1.8723040000000004</v>
      </c>
      <c r="AW880">
        <v>0.11039531421215307</v>
      </c>
      <c r="AX880">
        <v>5.8962280811317527</v>
      </c>
      <c r="AY880">
        <v>-1.6533305261415048</v>
      </c>
      <c r="AZ880">
        <v>11.382106860008896</v>
      </c>
      <c r="BA880">
        <v>7.1066284944359426</v>
      </c>
      <c r="BB880" t="s">
        <v>4619</v>
      </c>
      <c r="BD880" s="98"/>
      <c r="BE880" s="98"/>
      <c r="BF880" t="s">
        <v>1152</v>
      </c>
      <c r="BG880" t="s">
        <v>322</v>
      </c>
      <c r="BH880" t="s">
        <v>1153</v>
      </c>
      <c r="BI880">
        <v>1.6533305261415048</v>
      </c>
      <c r="BJ880" t="s">
        <v>983</v>
      </c>
      <c r="BK880">
        <v>32.173526157196882</v>
      </c>
      <c r="BL880">
        <v>73.867658276226578</v>
      </c>
      <c r="BM880" t="s">
        <v>1260</v>
      </c>
      <c r="BN880" t="s">
        <v>1154</v>
      </c>
      <c r="BO880">
        <v>2025</v>
      </c>
      <c r="BP880" t="s">
        <v>966</v>
      </c>
      <c r="BQ880">
        <v>1.0315291398832471E-2</v>
      </c>
      <c r="BR880">
        <v>99.999998968470862</v>
      </c>
      <c r="BS880" t="s">
        <v>984</v>
      </c>
      <c r="BT880">
        <v>3</v>
      </c>
      <c r="BU880">
        <v>1</v>
      </c>
      <c r="BV880" t="s">
        <v>985</v>
      </c>
      <c r="BW880" t="s">
        <v>943</v>
      </c>
      <c r="BX880" t="s">
        <v>986</v>
      </c>
      <c r="BY880">
        <v>7.1066284944359426</v>
      </c>
      <c r="BZ880" t="s">
        <v>2573</v>
      </c>
      <c r="CA880" t="s">
        <v>983</v>
      </c>
      <c r="CB880" t="b">
        <v>1</v>
      </c>
      <c r="CC880" t="b">
        <v>0</v>
      </c>
      <c r="CD880" t="b">
        <v>0</v>
      </c>
      <c r="CE880" t="b">
        <v>0</v>
      </c>
      <c r="CF880" t="b">
        <v>0</v>
      </c>
    </row>
    <row r="881" spans="1:84" x14ac:dyDescent="0.3">
      <c r="A881" t="s">
        <v>2982</v>
      </c>
      <c r="B881" t="s">
        <v>1169</v>
      </c>
      <c r="C881" s="98">
        <v>45691</v>
      </c>
      <c r="D881">
        <v>2025</v>
      </c>
      <c r="E881">
        <v>2</v>
      </c>
      <c r="F881">
        <v>1</v>
      </c>
      <c r="G881" t="s">
        <v>1170</v>
      </c>
      <c r="H881" t="s">
        <v>141</v>
      </c>
      <c r="I881" t="s">
        <v>141</v>
      </c>
      <c r="J881" t="s">
        <v>6</v>
      </c>
      <c r="L881">
        <v>522611</v>
      </c>
      <c r="M881" s="99" t="s">
        <v>180</v>
      </c>
      <c r="N881">
        <v>3</v>
      </c>
      <c r="O881">
        <v>5</v>
      </c>
      <c r="P881">
        <v>1.8955</v>
      </c>
      <c r="Q881" t="s">
        <v>352</v>
      </c>
      <c r="R881">
        <v>1</v>
      </c>
      <c r="S881">
        <v>1.8631</v>
      </c>
      <c r="T881">
        <v>0.12759999999999999</v>
      </c>
      <c r="U881">
        <v>0.25391849529780552</v>
      </c>
      <c r="V881">
        <v>1.4802999999999999</v>
      </c>
      <c r="W881">
        <v>1.6078999999999999</v>
      </c>
      <c r="X881">
        <v>1.7355</v>
      </c>
      <c r="Y881">
        <v>1.9906999999999999</v>
      </c>
      <c r="Z881">
        <v>2.1183000000000001</v>
      </c>
      <c r="AA881">
        <v>2.2458999999999998</v>
      </c>
      <c r="AD881">
        <v>43.555633017205778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 t="s">
        <v>462</v>
      </c>
      <c r="AL881" t="s">
        <v>6</v>
      </c>
      <c r="AM881" t="s">
        <v>1145</v>
      </c>
      <c r="AN881" t="s">
        <v>1146</v>
      </c>
      <c r="AO881" s="100">
        <v>46262.040405092594</v>
      </c>
      <c r="AP881" t="s">
        <v>1147</v>
      </c>
      <c r="AQ881" t="s">
        <v>2983</v>
      </c>
      <c r="AR881" t="s">
        <v>1172</v>
      </c>
      <c r="AS881" t="s">
        <v>1150</v>
      </c>
      <c r="AT881" t="s">
        <v>2875</v>
      </c>
      <c r="AU881">
        <v>25</v>
      </c>
      <c r="AV881">
        <v>1.8723040000000004</v>
      </c>
      <c r="AW881">
        <v>0.11039531421215307</v>
      </c>
      <c r="AX881">
        <v>5.8962280811317527</v>
      </c>
      <c r="AY881">
        <v>-1.6533305261415048</v>
      </c>
      <c r="AZ881">
        <v>11.382106860008896</v>
      </c>
      <c r="BA881">
        <v>7.1066284944359426</v>
      </c>
      <c r="BB881" t="s">
        <v>4619</v>
      </c>
      <c r="BD881" s="98"/>
      <c r="BE881" s="98"/>
      <c r="BF881" t="s">
        <v>1152</v>
      </c>
      <c r="BG881" t="s">
        <v>322</v>
      </c>
      <c r="BH881" t="s">
        <v>1153</v>
      </c>
      <c r="BI881">
        <v>1.6533305261415048</v>
      </c>
      <c r="BJ881" t="s">
        <v>983</v>
      </c>
      <c r="BK881">
        <v>32.173526157196882</v>
      </c>
      <c r="BL881">
        <v>73.867658276226578</v>
      </c>
      <c r="BM881" t="s">
        <v>1260</v>
      </c>
      <c r="BN881" t="s">
        <v>1154</v>
      </c>
      <c r="BO881">
        <v>2025</v>
      </c>
      <c r="BP881" t="s">
        <v>966</v>
      </c>
      <c r="BQ881">
        <v>1.0315291398832471E-2</v>
      </c>
      <c r="BR881">
        <v>99.999998968470862</v>
      </c>
      <c r="BS881" t="s">
        <v>984</v>
      </c>
      <c r="BT881">
        <v>3</v>
      </c>
      <c r="BU881">
        <v>1</v>
      </c>
      <c r="BV881" t="s">
        <v>985</v>
      </c>
      <c r="BW881" t="s">
        <v>943</v>
      </c>
      <c r="BX881" t="s">
        <v>986</v>
      </c>
      <c r="BY881">
        <v>7.1066284944359426</v>
      </c>
      <c r="BZ881" t="s">
        <v>2573</v>
      </c>
      <c r="CA881" t="s">
        <v>983</v>
      </c>
      <c r="CB881" t="b">
        <v>1</v>
      </c>
      <c r="CC881" t="b">
        <v>0</v>
      </c>
      <c r="CD881" t="b">
        <v>0</v>
      </c>
      <c r="CE881" t="b">
        <v>0</v>
      </c>
      <c r="CF881" t="b">
        <v>0</v>
      </c>
    </row>
    <row r="882" spans="1:84" x14ac:dyDescent="0.3">
      <c r="A882" t="s">
        <v>2984</v>
      </c>
      <c r="B882" t="s">
        <v>1174</v>
      </c>
      <c r="C882" s="98">
        <v>45698</v>
      </c>
      <c r="D882">
        <v>2025</v>
      </c>
      <c r="E882">
        <v>2</v>
      </c>
      <c r="F882">
        <v>1</v>
      </c>
      <c r="G882" t="s">
        <v>1170</v>
      </c>
      <c r="H882" t="s">
        <v>141</v>
      </c>
      <c r="I882" t="s">
        <v>141</v>
      </c>
      <c r="J882" t="s">
        <v>6</v>
      </c>
      <c r="L882">
        <v>522611</v>
      </c>
      <c r="M882" s="99" t="s">
        <v>180</v>
      </c>
      <c r="N882">
        <v>3</v>
      </c>
      <c r="O882">
        <v>6</v>
      </c>
      <c r="P882">
        <v>1.8828</v>
      </c>
      <c r="Q882" t="s">
        <v>352</v>
      </c>
      <c r="R882">
        <v>1</v>
      </c>
      <c r="S882">
        <v>1.8631</v>
      </c>
      <c r="T882">
        <v>0.12759999999999999</v>
      </c>
      <c r="U882">
        <v>0.15438871473354274</v>
      </c>
      <c r="V882">
        <v>1.4802999999999999</v>
      </c>
      <c r="W882">
        <v>1.6078999999999999</v>
      </c>
      <c r="X882">
        <v>1.7355</v>
      </c>
      <c r="Y882">
        <v>1.9906999999999999</v>
      </c>
      <c r="Z882">
        <v>2.1183000000000001</v>
      </c>
      <c r="AA882">
        <v>2.2458999999999998</v>
      </c>
      <c r="AD882">
        <v>43.555633017205778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 t="s">
        <v>462</v>
      </c>
      <c r="AL882" t="s">
        <v>6</v>
      </c>
      <c r="AM882" t="s">
        <v>1145</v>
      </c>
      <c r="AN882" t="s">
        <v>1146</v>
      </c>
      <c r="AO882" s="100">
        <v>46262.040405092594</v>
      </c>
      <c r="AP882" t="s">
        <v>1147</v>
      </c>
      <c r="AQ882" t="s">
        <v>2985</v>
      </c>
      <c r="AR882" t="s">
        <v>1176</v>
      </c>
      <c r="AS882" t="s">
        <v>1150</v>
      </c>
      <c r="AT882" t="s">
        <v>2875</v>
      </c>
      <c r="AU882">
        <v>25</v>
      </c>
      <c r="AV882">
        <v>1.8723040000000004</v>
      </c>
      <c r="AW882">
        <v>0.11039531421215307</v>
      </c>
      <c r="AX882">
        <v>5.8962280811317527</v>
      </c>
      <c r="AY882">
        <v>-1.6533305261415048</v>
      </c>
      <c r="AZ882">
        <v>11.382106860008896</v>
      </c>
      <c r="BA882">
        <v>7.1066284944359426</v>
      </c>
      <c r="BB882" t="s">
        <v>4619</v>
      </c>
      <c r="BD882" s="98"/>
      <c r="BE882" s="98"/>
      <c r="BF882" t="s">
        <v>1152</v>
      </c>
      <c r="BG882" t="s">
        <v>322</v>
      </c>
      <c r="BH882" t="s">
        <v>1153</v>
      </c>
      <c r="BI882">
        <v>1.6533305261415048</v>
      </c>
      <c r="BJ882" t="s">
        <v>983</v>
      </c>
      <c r="BK882">
        <v>32.173526157196882</v>
      </c>
      <c r="BL882">
        <v>73.867658276226578</v>
      </c>
      <c r="BM882" t="s">
        <v>1260</v>
      </c>
      <c r="BN882" t="s">
        <v>1154</v>
      </c>
      <c r="BO882">
        <v>2025</v>
      </c>
      <c r="BP882" t="s">
        <v>966</v>
      </c>
      <c r="BQ882">
        <v>1.0315291398832471E-2</v>
      </c>
      <c r="BR882">
        <v>99.999998968470862</v>
      </c>
      <c r="BS882" t="s">
        <v>984</v>
      </c>
      <c r="BT882">
        <v>3</v>
      </c>
      <c r="BU882">
        <v>1</v>
      </c>
      <c r="BV882" t="s">
        <v>985</v>
      </c>
      <c r="BW882" t="s">
        <v>943</v>
      </c>
      <c r="BX882" t="s">
        <v>986</v>
      </c>
      <c r="BY882">
        <v>7.1066284944359426</v>
      </c>
      <c r="BZ882" t="s">
        <v>2573</v>
      </c>
      <c r="CA882" t="s">
        <v>983</v>
      </c>
      <c r="CB882" t="b">
        <v>1</v>
      </c>
      <c r="CC882" t="b">
        <v>0</v>
      </c>
      <c r="CD882" t="b">
        <v>0</v>
      </c>
      <c r="CE882" t="b">
        <v>0</v>
      </c>
      <c r="CF882" t="b">
        <v>0</v>
      </c>
    </row>
    <row r="883" spans="1:84" x14ac:dyDescent="0.3">
      <c r="A883" t="s">
        <v>2986</v>
      </c>
      <c r="B883" t="s">
        <v>1178</v>
      </c>
      <c r="C883" s="98">
        <v>45705</v>
      </c>
      <c r="D883">
        <v>2025</v>
      </c>
      <c r="E883">
        <v>2</v>
      </c>
      <c r="F883">
        <v>1</v>
      </c>
      <c r="G883" t="s">
        <v>1170</v>
      </c>
      <c r="H883" t="s">
        <v>141</v>
      </c>
      <c r="I883" t="s">
        <v>141</v>
      </c>
      <c r="J883" t="s">
        <v>6</v>
      </c>
      <c r="L883">
        <v>522611</v>
      </c>
      <c r="M883" s="99" t="s">
        <v>180</v>
      </c>
      <c r="N883">
        <v>3</v>
      </c>
      <c r="O883">
        <v>7</v>
      </c>
      <c r="P883">
        <v>2.0912000000000002</v>
      </c>
      <c r="Q883" t="s">
        <v>352</v>
      </c>
      <c r="R883">
        <v>1</v>
      </c>
      <c r="S883">
        <v>1.8631</v>
      </c>
      <c r="T883">
        <v>0.12759999999999999</v>
      </c>
      <c r="U883">
        <v>1.7876175548589357</v>
      </c>
      <c r="V883">
        <v>1.4802999999999999</v>
      </c>
      <c r="W883">
        <v>1.6078999999999999</v>
      </c>
      <c r="X883">
        <v>1.7355</v>
      </c>
      <c r="Y883">
        <v>1.9906999999999999</v>
      </c>
      <c r="Z883">
        <v>2.1183000000000001</v>
      </c>
      <c r="AA883">
        <v>2.2458999999999998</v>
      </c>
      <c r="AD883">
        <v>43.555633017205778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 t="s">
        <v>462</v>
      </c>
      <c r="AL883" t="s">
        <v>6</v>
      </c>
      <c r="AM883" t="s">
        <v>1145</v>
      </c>
      <c r="AN883" t="s">
        <v>1146</v>
      </c>
      <c r="AO883" s="100">
        <v>46262.040405092594</v>
      </c>
      <c r="AP883" t="s">
        <v>1147</v>
      </c>
      <c r="AQ883" t="s">
        <v>2987</v>
      </c>
      <c r="AR883" t="s">
        <v>1180</v>
      </c>
      <c r="AS883" t="s">
        <v>1150</v>
      </c>
      <c r="AT883" t="s">
        <v>2875</v>
      </c>
      <c r="AU883">
        <v>25</v>
      </c>
      <c r="AV883">
        <v>1.8723040000000004</v>
      </c>
      <c r="AW883">
        <v>0.11039531421215307</v>
      </c>
      <c r="AX883">
        <v>5.8962280811317527</v>
      </c>
      <c r="AY883">
        <v>-1.6533305261415048</v>
      </c>
      <c r="AZ883">
        <v>11.382106860008896</v>
      </c>
      <c r="BA883">
        <v>7.1066284944359426</v>
      </c>
      <c r="BB883" t="s">
        <v>4619</v>
      </c>
      <c r="BD883" s="98"/>
      <c r="BE883" s="98"/>
      <c r="BF883" t="s">
        <v>1152</v>
      </c>
      <c r="BG883" t="s">
        <v>322</v>
      </c>
      <c r="BH883" t="s">
        <v>1153</v>
      </c>
      <c r="BI883">
        <v>1.6533305261415048</v>
      </c>
      <c r="BJ883" t="s">
        <v>983</v>
      </c>
      <c r="BK883">
        <v>32.173526157196882</v>
      </c>
      <c r="BL883">
        <v>73.867658276226578</v>
      </c>
      <c r="BM883" t="s">
        <v>1260</v>
      </c>
      <c r="BN883" t="s">
        <v>1154</v>
      </c>
      <c r="BO883">
        <v>2025</v>
      </c>
      <c r="BP883" t="s">
        <v>966</v>
      </c>
      <c r="BQ883">
        <v>1.0315291398832471E-2</v>
      </c>
      <c r="BR883">
        <v>99.999998968470862</v>
      </c>
      <c r="BS883" t="s">
        <v>984</v>
      </c>
      <c r="BT883">
        <v>3</v>
      </c>
      <c r="BU883">
        <v>1</v>
      </c>
      <c r="BV883" t="s">
        <v>985</v>
      </c>
      <c r="BW883" t="s">
        <v>943</v>
      </c>
      <c r="BX883" t="s">
        <v>986</v>
      </c>
      <c r="BY883">
        <v>7.1066284944359426</v>
      </c>
      <c r="BZ883" t="s">
        <v>2573</v>
      </c>
      <c r="CA883" t="s">
        <v>983</v>
      </c>
      <c r="CB883" t="b">
        <v>1</v>
      </c>
      <c r="CC883" t="b">
        <v>0</v>
      </c>
      <c r="CD883" t="b">
        <v>0</v>
      </c>
      <c r="CE883" t="b">
        <v>0</v>
      </c>
      <c r="CF883" t="b">
        <v>0</v>
      </c>
    </row>
    <row r="884" spans="1:84" x14ac:dyDescent="0.3">
      <c r="A884" t="s">
        <v>2988</v>
      </c>
      <c r="B884" t="s">
        <v>1182</v>
      </c>
      <c r="C884" s="98">
        <v>45712</v>
      </c>
      <c r="D884">
        <v>2025</v>
      </c>
      <c r="E884">
        <v>2</v>
      </c>
      <c r="F884">
        <v>1</v>
      </c>
      <c r="G884" t="s">
        <v>1170</v>
      </c>
      <c r="H884" t="s">
        <v>141</v>
      </c>
      <c r="I884" t="s">
        <v>141</v>
      </c>
      <c r="J884" t="s">
        <v>6</v>
      </c>
      <c r="L884">
        <v>522611</v>
      </c>
      <c r="M884" s="99" t="s">
        <v>180</v>
      </c>
      <c r="N884">
        <v>3</v>
      </c>
      <c r="O884">
        <v>8</v>
      </c>
      <c r="P884">
        <v>1.7447999999999999</v>
      </c>
      <c r="Q884" t="s">
        <v>352</v>
      </c>
      <c r="R884">
        <v>1</v>
      </c>
      <c r="S884">
        <v>1.8631</v>
      </c>
      <c r="T884">
        <v>0.12759999999999999</v>
      </c>
      <c r="U884">
        <v>-0.92711598746081569</v>
      </c>
      <c r="V884">
        <v>1.4802999999999999</v>
      </c>
      <c r="W884">
        <v>1.6078999999999999</v>
      </c>
      <c r="X884">
        <v>1.7355</v>
      </c>
      <c r="Y884">
        <v>1.9906999999999999</v>
      </c>
      <c r="Z884">
        <v>2.1183000000000001</v>
      </c>
      <c r="AA884">
        <v>2.2458999999999998</v>
      </c>
      <c r="AD884">
        <v>43.555633017205778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 t="s">
        <v>462</v>
      </c>
      <c r="AL884" t="s">
        <v>6</v>
      </c>
      <c r="AM884" t="s">
        <v>1145</v>
      </c>
      <c r="AN884" t="s">
        <v>1146</v>
      </c>
      <c r="AO884" s="100">
        <v>46262.040405092594</v>
      </c>
      <c r="AP884" t="s">
        <v>1147</v>
      </c>
      <c r="AQ884" t="s">
        <v>2989</v>
      </c>
      <c r="AR884" t="s">
        <v>1184</v>
      </c>
      <c r="AS884" t="s">
        <v>1150</v>
      </c>
      <c r="AT884" t="s">
        <v>2875</v>
      </c>
      <c r="AU884">
        <v>25</v>
      </c>
      <c r="AV884">
        <v>1.8723040000000004</v>
      </c>
      <c r="AW884">
        <v>0.11039531421215307</v>
      </c>
      <c r="AX884">
        <v>5.8962280811317527</v>
      </c>
      <c r="AY884">
        <v>-1.6533305261415048</v>
      </c>
      <c r="AZ884">
        <v>11.382106860008896</v>
      </c>
      <c r="BA884">
        <v>7.1066284944359426</v>
      </c>
      <c r="BB884" t="s">
        <v>4619</v>
      </c>
      <c r="BD884" s="98"/>
      <c r="BE884" s="98"/>
      <c r="BF884" t="s">
        <v>1152</v>
      </c>
      <c r="BG884" t="s">
        <v>322</v>
      </c>
      <c r="BH884" t="s">
        <v>1153</v>
      </c>
      <c r="BI884">
        <v>1.6533305261415048</v>
      </c>
      <c r="BJ884" t="s">
        <v>983</v>
      </c>
      <c r="BK884">
        <v>32.173526157196882</v>
      </c>
      <c r="BL884">
        <v>73.867658276226578</v>
      </c>
      <c r="BM884" t="s">
        <v>1260</v>
      </c>
      <c r="BN884" t="s">
        <v>1154</v>
      </c>
      <c r="BO884">
        <v>2025</v>
      </c>
      <c r="BP884" t="s">
        <v>966</v>
      </c>
      <c r="BQ884">
        <v>1.0315291398832471E-2</v>
      </c>
      <c r="BR884">
        <v>99.999998968470862</v>
      </c>
      <c r="BS884" t="s">
        <v>984</v>
      </c>
      <c r="BT884">
        <v>3</v>
      </c>
      <c r="BU884">
        <v>1</v>
      </c>
      <c r="BV884" t="s">
        <v>985</v>
      </c>
      <c r="BW884" t="s">
        <v>943</v>
      </c>
      <c r="BX884" t="s">
        <v>986</v>
      </c>
      <c r="BY884">
        <v>7.1066284944359426</v>
      </c>
      <c r="BZ884" t="s">
        <v>2573</v>
      </c>
      <c r="CA884" t="s">
        <v>983</v>
      </c>
      <c r="CB884" t="b">
        <v>1</v>
      </c>
      <c r="CC884" t="b">
        <v>0</v>
      </c>
      <c r="CD884" t="b">
        <v>0</v>
      </c>
      <c r="CE884" t="b">
        <v>0</v>
      </c>
      <c r="CF884" t="b">
        <v>0</v>
      </c>
    </row>
    <row r="885" spans="1:84" x14ac:dyDescent="0.3">
      <c r="A885" t="s">
        <v>2990</v>
      </c>
      <c r="B885" t="s">
        <v>1186</v>
      </c>
      <c r="C885" s="98">
        <v>45719</v>
      </c>
      <c r="D885">
        <v>2025</v>
      </c>
      <c r="E885">
        <v>3</v>
      </c>
      <c r="F885">
        <v>1</v>
      </c>
      <c r="G885" t="s">
        <v>1187</v>
      </c>
      <c r="H885" t="s">
        <v>141</v>
      </c>
      <c r="I885" t="s">
        <v>141</v>
      </c>
      <c r="J885" t="s">
        <v>6</v>
      </c>
      <c r="L885">
        <v>522611</v>
      </c>
      <c r="M885" s="99" t="s">
        <v>180</v>
      </c>
      <c r="N885">
        <v>3</v>
      </c>
      <c r="O885">
        <v>9</v>
      </c>
      <c r="P885">
        <v>1.8489</v>
      </c>
      <c r="Q885" t="s">
        <v>352</v>
      </c>
      <c r="R885">
        <v>1</v>
      </c>
      <c r="S885">
        <v>1.8631</v>
      </c>
      <c r="T885">
        <v>0.12759999999999999</v>
      </c>
      <c r="U885">
        <v>-0.11128526645768018</v>
      </c>
      <c r="V885">
        <v>1.4802999999999999</v>
      </c>
      <c r="W885">
        <v>1.6078999999999999</v>
      </c>
      <c r="X885">
        <v>1.7355</v>
      </c>
      <c r="Y885">
        <v>1.9906999999999999</v>
      </c>
      <c r="Z885">
        <v>2.1183000000000001</v>
      </c>
      <c r="AA885">
        <v>2.2458999999999998</v>
      </c>
      <c r="AD885">
        <v>43.555633017205778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 t="s">
        <v>462</v>
      </c>
      <c r="AL885" t="s">
        <v>6</v>
      </c>
      <c r="AM885" t="s">
        <v>1145</v>
      </c>
      <c r="AN885" t="s">
        <v>1146</v>
      </c>
      <c r="AO885" s="100">
        <v>46262.040405092594</v>
      </c>
      <c r="AP885" t="s">
        <v>1147</v>
      </c>
      <c r="AQ885" t="s">
        <v>2991</v>
      </c>
      <c r="AR885" t="s">
        <v>1189</v>
      </c>
      <c r="AS885" t="s">
        <v>1150</v>
      </c>
      <c r="AT885" t="s">
        <v>2875</v>
      </c>
      <c r="AU885">
        <v>25</v>
      </c>
      <c r="AV885">
        <v>1.8723040000000004</v>
      </c>
      <c r="AW885">
        <v>0.11039531421215307</v>
      </c>
      <c r="AX885">
        <v>5.8962280811317527</v>
      </c>
      <c r="AY885">
        <v>-1.6533305261415048</v>
      </c>
      <c r="AZ885">
        <v>11.382106860008896</v>
      </c>
      <c r="BA885">
        <v>7.1066284944359426</v>
      </c>
      <c r="BB885" t="s">
        <v>4619</v>
      </c>
      <c r="BD885" s="98"/>
      <c r="BE885" s="98"/>
      <c r="BF885" t="s">
        <v>1152</v>
      </c>
      <c r="BG885" t="s">
        <v>322</v>
      </c>
      <c r="BH885" t="s">
        <v>1153</v>
      </c>
      <c r="BI885">
        <v>1.6533305261415048</v>
      </c>
      <c r="BJ885" t="s">
        <v>983</v>
      </c>
      <c r="BK885">
        <v>32.173526157196882</v>
      </c>
      <c r="BL885">
        <v>73.867658276226578</v>
      </c>
      <c r="BM885" t="s">
        <v>1260</v>
      </c>
      <c r="BN885" t="s">
        <v>1154</v>
      </c>
      <c r="BO885">
        <v>2025</v>
      </c>
      <c r="BP885" t="s">
        <v>966</v>
      </c>
      <c r="BQ885">
        <v>1.0315291398832471E-2</v>
      </c>
      <c r="BR885">
        <v>99.999998968470862</v>
      </c>
      <c r="BS885" t="s">
        <v>984</v>
      </c>
      <c r="BT885">
        <v>3</v>
      </c>
      <c r="BU885">
        <v>1</v>
      </c>
      <c r="BV885" t="s">
        <v>985</v>
      </c>
      <c r="BW885" t="s">
        <v>943</v>
      </c>
      <c r="BX885" t="s">
        <v>986</v>
      </c>
      <c r="BY885">
        <v>7.1066284944359426</v>
      </c>
      <c r="BZ885" t="s">
        <v>2573</v>
      </c>
      <c r="CA885" t="s">
        <v>983</v>
      </c>
      <c r="CB885" t="b">
        <v>1</v>
      </c>
      <c r="CC885" t="b">
        <v>0</v>
      </c>
      <c r="CD885" t="b">
        <v>0</v>
      </c>
      <c r="CE885" t="b">
        <v>0</v>
      </c>
      <c r="CF885" t="b">
        <v>0</v>
      </c>
    </row>
    <row r="886" spans="1:84" x14ac:dyDescent="0.3">
      <c r="A886" t="s">
        <v>2992</v>
      </c>
      <c r="B886" t="s">
        <v>1191</v>
      </c>
      <c r="C886" s="98">
        <v>45726</v>
      </c>
      <c r="D886">
        <v>2025</v>
      </c>
      <c r="E886">
        <v>3</v>
      </c>
      <c r="F886">
        <v>1</v>
      </c>
      <c r="G886" t="s">
        <v>1187</v>
      </c>
      <c r="H886" t="s">
        <v>141</v>
      </c>
      <c r="I886" t="s">
        <v>141</v>
      </c>
      <c r="J886" t="s">
        <v>6</v>
      </c>
      <c r="L886">
        <v>522611</v>
      </c>
      <c r="M886" s="99" t="s">
        <v>180</v>
      </c>
      <c r="N886">
        <v>3</v>
      </c>
      <c r="O886">
        <v>10</v>
      </c>
      <c r="P886">
        <v>1.9218</v>
      </c>
      <c r="Q886" t="s">
        <v>352</v>
      </c>
      <c r="R886">
        <v>1</v>
      </c>
      <c r="S886">
        <v>1.8631</v>
      </c>
      <c r="T886">
        <v>0.12759999999999999</v>
      </c>
      <c r="U886">
        <v>0.46003134796238226</v>
      </c>
      <c r="V886">
        <v>1.4802999999999999</v>
      </c>
      <c r="W886">
        <v>1.6078999999999999</v>
      </c>
      <c r="X886">
        <v>1.7355</v>
      </c>
      <c r="Y886">
        <v>1.9906999999999999</v>
      </c>
      <c r="Z886">
        <v>2.1183000000000001</v>
      </c>
      <c r="AA886">
        <v>2.2458999999999998</v>
      </c>
      <c r="AD886">
        <v>43.555633017205778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 t="s">
        <v>462</v>
      </c>
      <c r="AL886" t="s">
        <v>6</v>
      </c>
      <c r="AM886" t="s">
        <v>1145</v>
      </c>
      <c r="AN886" t="s">
        <v>1146</v>
      </c>
      <c r="AO886" s="100">
        <v>46262.040405092594</v>
      </c>
      <c r="AP886" t="s">
        <v>1147</v>
      </c>
      <c r="AQ886" t="s">
        <v>2993</v>
      </c>
      <c r="AR886" t="s">
        <v>1193</v>
      </c>
      <c r="AS886" t="s">
        <v>1150</v>
      </c>
      <c r="AT886" t="s">
        <v>2875</v>
      </c>
      <c r="AU886">
        <v>25</v>
      </c>
      <c r="AV886">
        <v>1.8723040000000004</v>
      </c>
      <c r="AW886">
        <v>0.11039531421215307</v>
      </c>
      <c r="AX886">
        <v>5.8962280811317527</v>
      </c>
      <c r="AY886">
        <v>-1.6533305261415048</v>
      </c>
      <c r="AZ886">
        <v>11.382106860008896</v>
      </c>
      <c r="BA886">
        <v>7.1066284944359426</v>
      </c>
      <c r="BB886" t="s">
        <v>4619</v>
      </c>
      <c r="BD886" s="98"/>
      <c r="BE886" s="98"/>
      <c r="BF886" t="s">
        <v>1152</v>
      </c>
      <c r="BG886" t="s">
        <v>322</v>
      </c>
      <c r="BH886" t="s">
        <v>1153</v>
      </c>
      <c r="BI886">
        <v>1.6533305261415048</v>
      </c>
      <c r="BJ886" t="s">
        <v>983</v>
      </c>
      <c r="BK886">
        <v>32.173526157196882</v>
      </c>
      <c r="BL886">
        <v>73.867658276226578</v>
      </c>
      <c r="BM886" t="s">
        <v>1260</v>
      </c>
      <c r="BN886" t="s">
        <v>1154</v>
      </c>
      <c r="BO886">
        <v>2025</v>
      </c>
      <c r="BP886" t="s">
        <v>966</v>
      </c>
      <c r="BQ886">
        <v>1.0315291398832471E-2</v>
      </c>
      <c r="BR886">
        <v>99.999998968470862</v>
      </c>
      <c r="BS886" t="s">
        <v>984</v>
      </c>
      <c r="BT886">
        <v>3</v>
      </c>
      <c r="BU886">
        <v>1</v>
      </c>
      <c r="BV886" t="s">
        <v>985</v>
      </c>
      <c r="BW886" t="s">
        <v>943</v>
      </c>
      <c r="BX886" t="s">
        <v>986</v>
      </c>
      <c r="BY886">
        <v>7.1066284944359426</v>
      </c>
      <c r="BZ886" t="s">
        <v>2573</v>
      </c>
      <c r="CA886" t="s">
        <v>983</v>
      </c>
      <c r="CB886" t="b">
        <v>1</v>
      </c>
      <c r="CC886" t="b">
        <v>0</v>
      </c>
      <c r="CD886" t="b">
        <v>0</v>
      </c>
      <c r="CE886" t="b">
        <v>0</v>
      </c>
      <c r="CF886" t="b">
        <v>0</v>
      </c>
    </row>
    <row r="887" spans="1:84" x14ac:dyDescent="0.3">
      <c r="A887" t="s">
        <v>2994</v>
      </c>
      <c r="B887" t="s">
        <v>1195</v>
      </c>
      <c r="C887" s="98">
        <v>45733</v>
      </c>
      <c r="D887">
        <v>2025</v>
      </c>
      <c r="E887">
        <v>3</v>
      </c>
      <c r="F887">
        <v>1</v>
      </c>
      <c r="G887" t="s">
        <v>1187</v>
      </c>
      <c r="H887" t="s">
        <v>141</v>
      </c>
      <c r="I887" t="s">
        <v>141</v>
      </c>
      <c r="J887" t="s">
        <v>6</v>
      </c>
      <c r="L887">
        <v>522611</v>
      </c>
      <c r="M887" s="99" t="s">
        <v>180</v>
      </c>
      <c r="N887">
        <v>3</v>
      </c>
      <c r="O887">
        <v>11</v>
      </c>
      <c r="P887">
        <v>1.9581</v>
      </c>
      <c r="Q887" t="s">
        <v>352</v>
      </c>
      <c r="R887">
        <v>1</v>
      </c>
      <c r="S887">
        <v>1.8631</v>
      </c>
      <c r="T887">
        <v>0.12759999999999999</v>
      </c>
      <c r="U887">
        <v>0.74451410658307193</v>
      </c>
      <c r="V887">
        <v>1.4802999999999999</v>
      </c>
      <c r="W887">
        <v>1.6078999999999999</v>
      </c>
      <c r="X887">
        <v>1.7355</v>
      </c>
      <c r="Y887">
        <v>1.9906999999999999</v>
      </c>
      <c r="Z887">
        <v>2.1183000000000001</v>
      </c>
      <c r="AA887">
        <v>2.2458999999999998</v>
      </c>
      <c r="AD887">
        <v>43.555633017205778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 t="s">
        <v>462</v>
      </c>
      <c r="AL887" t="s">
        <v>6</v>
      </c>
      <c r="AM887" t="s">
        <v>1145</v>
      </c>
      <c r="AN887" t="s">
        <v>1146</v>
      </c>
      <c r="AO887" s="100">
        <v>46262.040405092594</v>
      </c>
      <c r="AP887" t="s">
        <v>1147</v>
      </c>
      <c r="AQ887" t="s">
        <v>2995</v>
      </c>
      <c r="AR887" t="s">
        <v>1197</v>
      </c>
      <c r="AS887" t="s">
        <v>1150</v>
      </c>
      <c r="AT887" t="s">
        <v>2875</v>
      </c>
      <c r="AU887">
        <v>25</v>
      </c>
      <c r="AV887">
        <v>1.8723040000000004</v>
      </c>
      <c r="AW887">
        <v>0.11039531421215307</v>
      </c>
      <c r="AX887">
        <v>5.8962280811317527</v>
      </c>
      <c r="AY887">
        <v>-1.6533305261415048</v>
      </c>
      <c r="AZ887">
        <v>11.382106860008896</v>
      </c>
      <c r="BA887">
        <v>7.1066284944359426</v>
      </c>
      <c r="BB887" t="s">
        <v>4619</v>
      </c>
      <c r="BD887" s="98"/>
      <c r="BE887" s="98"/>
      <c r="BF887" t="s">
        <v>1152</v>
      </c>
      <c r="BG887" t="s">
        <v>322</v>
      </c>
      <c r="BH887" t="s">
        <v>1153</v>
      </c>
      <c r="BI887">
        <v>1.6533305261415048</v>
      </c>
      <c r="BJ887" t="s">
        <v>983</v>
      </c>
      <c r="BK887">
        <v>32.173526157196882</v>
      </c>
      <c r="BL887">
        <v>73.867658276226578</v>
      </c>
      <c r="BM887" t="s">
        <v>1260</v>
      </c>
      <c r="BN887" t="s">
        <v>1154</v>
      </c>
      <c r="BO887">
        <v>2025</v>
      </c>
      <c r="BP887" t="s">
        <v>966</v>
      </c>
      <c r="BQ887">
        <v>1.0315291398832471E-2</v>
      </c>
      <c r="BR887">
        <v>99.999998968470862</v>
      </c>
      <c r="BS887" t="s">
        <v>984</v>
      </c>
      <c r="BT887">
        <v>3</v>
      </c>
      <c r="BU887">
        <v>1</v>
      </c>
      <c r="BV887" t="s">
        <v>985</v>
      </c>
      <c r="BW887" t="s">
        <v>943</v>
      </c>
      <c r="BX887" t="s">
        <v>986</v>
      </c>
      <c r="BY887">
        <v>7.1066284944359426</v>
      </c>
      <c r="BZ887" t="s">
        <v>2573</v>
      </c>
      <c r="CA887" t="s">
        <v>983</v>
      </c>
      <c r="CB887" t="b">
        <v>1</v>
      </c>
      <c r="CC887" t="b">
        <v>0</v>
      </c>
      <c r="CD887" t="b">
        <v>0</v>
      </c>
      <c r="CE887" t="b">
        <v>0</v>
      </c>
      <c r="CF887" t="b">
        <v>0</v>
      </c>
    </row>
    <row r="888" spans="1:84" x14ac:dyDescent="0.3">
      <c r="A888" t="s">
        <v>2996</v>
      </c>
      <c r="B888" t="s">
        <v>1199</v>
      </c>
      <c r="C888" s="98">
        <v>45740</v>
      </c>
      <c r="D888">
        <v>2025</v>
      </c>
      <c r="E888">
        <v>3</v>
      </c>
      <c r="F888">
        <v>1</v>
      </c>
      <c r="G888" t="s">
        <v>1187</v>
      </c>
      <c r="H888" t="s">
        <v>141</v>
      </c>
      <c r="I888" t="s">
        <v>141</v>
      </c>
      <c r="J888" t="s">
        <v>6</v>
      </c>
      <c r="L888">
        <v>522611</v>
      </c>
      <c r="M888" s="99" t="s">
        <v>180</v>
      </c>
      <c r="N888">
        <v>3</v>
      </c>
      <c r="O888">
        <v>12</v>
      </c>
      <c r="P888">
        <v>1.8072999999999999</v>
      </c>
      <c r="Q888" t="s">
        <v>352</v>
      </c>
      <c r="R888">
        <v>1</v>
      </c>
      <c r="S888">
        <v>1.8631</v>
      </c>
      <c r="T888">
        <v>0.12759999999999999</v>
      </c>
      <c r="U888">
        <v>-0.43730407523511033</v>
      </c>
      <c r="V888">
        <v>1.4802999999999999</v>
      </c>
      <c r="W888">
        <v>1.6078999999999999</v>
      </c>
      <c r="X888">
        <v>1.7355</v>
      </c>
      <c r="Y888">
        <v>1.9906999999999999</v>
      </c>
      <c r="Z888">
        <v>2.1183000000000001</v>
      </c>
      <c r="AA888">
        <v>2.2458999999999998</v>
      </c>
      <c r="AD888">
        <v>43.555633017205778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 t="s">
        <v>462</v>
      </c>
      <c r="AL888" t="s">
        <v>6</v>
      </c>
      <c r="AM888" t="s">
        <v>1145</v>
      </c>
      <c r="AN888" t="s">
        <v>1146</v>
      </c>
      <c r="AO888" s="100">
        <v>46262.040405092594</v>
      </c>
      <c r="AP888" t="s">
        <v>1147</v>
      </c>
      <c r="AQ888" t="s">
        <v>2997</v>
      </c>
      <c r="AR888" t="s">
        <v>1201</v>
      </c>
      <c r="AS888" t="s">
        <v>1150</v>
      </c>
      <c r="AT888" t="s">
        <v>2875</v>
      </c>
      <c r="AU888">
        <v>25</v>
      </c>
      <c r="AV888">
        <v>1.8723040000000004</v>
      </c>
      <c r="AW888">
        <v>0.11039531421215307</v>
      </c>
      <c r="AX888">
        <v>5.8962280811317527</v>
      </c>
      <c r="AY888">
        <v>-1.6533305261415048</v>
      </c>
      <c r="AZ888">
        <v>11.382106860008896</v>
      </c>
      <c r="BA888">
        <v>7.1066284944359426</v>
      </c>
      <c r="BB888" t="s">
        <v>4619</v>
      </c>
      <c r="BD888" s="98"/>
      <c r="BE888" s="98"/>
      <c r="BF888" t="s">
        <v>1152</v>
      </c>
      <c r="BG888" t="s">
        <v>322</v>
      </c>
      <c r="BH888" t="s">
        <v>1153</v>
      </c>
      <c r="BI888">
        <v>1.6533305261415048</v>
      </c>
      <c r="BJ888" t="s">
        <v>983</v>
      </c>
      <c r="BK888">
        <v>32.173526157196882</v>
      </c>
      <c r="BL888">
        <v>73.867658276226578</v>
      </c>
      <c r="BM888" t="s">
        <v>1260</v>
      </c>
      <c r="BN888" t="s">
        <v>1154</v>
      </c>
      <c r="BO888">
        <v>2025</v>
      </c>
      <c r="BP888" t="s">
        <v>966</v>
      </c>
      <c r="BQ888">
        <v>1.0315291398832471E-2</v>
      </c>
      <c r="BR888">
        <v>99.999998968470862</v>
      </c>
      <c r="BS888" t="s">
        <v>984</v>
      </c>
      <c r="BT888">
        <v>3</v>
      </c>
      <c r="BU888">
        <v>1</v>
      </c>
      <c r="BV888" t="s">
        <v>985</v>
      </c>
      <c r="BW888" t="s">
        <v>943</v>
      </c>
      <c r="BX888" t="s">
        <v>986</v>
      </c>
      <c r="BY888">
        <v>7.1066284944359426</v>
      </c>
      <c r="BZ888" t="s">
        <v>2573</v>
      </c>
      <c r="CA888" t="s">
        <v>983</v>
      </c>
      <c r="CB888" t="b">
        <v>1</v>
      </c>
      <c r="CC888" t="b">
        <v>0</v>
      </c>
      <c r="CD888" t="b">
        <v>0</v>
      </c>
      <c r="CE888" t="b">
        <v>0</v>
      </c>
      <c r="CF888" t="b">
        <v>0</v>
      </c>
    </row>
    <row r="889" spans="1:84" x14ac:dyDescent="0.3">
      <c r="A889" t="s">
        <v>2998</v>
      </c>
      <c r="B889" t="s">
        <v>1203</v>
      </c>
      <c r="C889" s="98">
        <v>45747</v>
      </c>
      <c r="D889">
        <v>2025</v>
      </c>
      <c r="E889">
        <v>3</v>
      </c>
      <c r="F889">
        <v>1</v>
      </c>
      <c r="G889" t="s">
        <v>1187</v>
      </c>
      <c r="H889" t="s">
        <v>141</v>
      </c>
      <c r="I889" t="s">
        <v>141</v>
      </c>
      <c r="J889" t="s">
        <v>6</v>
      </c>
      <c r="L889">
        <v>522611</v>
      </c>
      <c r="M889" s="99" t="s">
        <v>180</v>
      </c>
      <c r="N889">
        <v>3</v>
      </c>
      <c r="O889">
        <v>13</v>
      </c>
      <c r="P889">
        <v>1.9023000000000001</v>
      </c>
      <c r="Q889" t="s">
        <v>352</v>
      </c>
      <c r="R889">
        <v>1</v>
      </c>
      <c r="S889">
        <v>1.8631</v>
      </c>
      <c r="T889">
        <v>0.12759999999999999</v>
      </c>
      <c r="U889">
        <v>0.30721003134796337</v>
      </c>
      <c r="V889">
        <v>1.4802999999999999</v>
      </c>
      <c r="W889">
        <v>1.6078999999999999</v>
      </c>
      <c r="X889">
        <v>1.7355</v>
      </c>
      <c r="Y889">
        <v>1.9906999999999999</v>
      </c>
      <c r="Z889">
        <v>2.1183000000000001</v>
      </c>
      <c r="AA889">
        <v>2.2458999999999998</v>
      </c>
      <c r="AD889">
        <v>43.555633017205778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 t="s">
        <v>462</v>
      </c>
      <c r="AL889" t="s">
        <v>6</v>
      </c>
      <c r="AM889" t="s">
        <v>1145</v>
      </c>
      <c r="AN889" t="s">
        <v>1146</v>
      </c>
      <c r="AO889" s="100">
        <v>46262.040405092594</v>
      </c>
      <c r="AP889" t="s">
        <v>1147</v>
      </c>
      <c r="AQ889" t="s">
        <v>2999</v>
      </c>
      <c r="AR889" t="s">
        <v>1205</v>
      </c>
      <c r="AS889" t="s">
        <v>1150</v>
      </c>
      <c r="AT889" t="s">
        <v>2875</v>
      </c>
      <c r="AU889">
        <v>25</v>
      </c>
      <c r="AV889">
        <v>1.8723040000000004</v>
      </c>
      <c r="AW889">
        <v>0.11039531421215307</v>
      </c>
      <c r="AX889">
        <v>5.8962280811317527</v>
      </c>
      <c r="AY889">
        <v>-1.6533305261415048</v>
      </c>
      <c r="AZ889">
        <v>11.382106860008896</v>
      </c>
      <c r="BA889">
        <v>7.1066284944359426</v>
      </c>
      <c r="BB889" t="s">
        <v>4619</v>
      </c>
      <c r="BD889" s="98"/>
      <c r="BE889" s="98"/>
      <c r="BF889" t="s">
        <v>1152</v>
      </c>
      <c r="BG889" t="s">
        <v>322</v>
      </c>
      <c r="BH889" t="s">
        <v>1153</v>
      </c>
      <c r="BI889">
        <v>1.6533305261415048</v>
      </c>
      <c r="BJ889" t="s">
        <v>983</v>
      </c>
      <c r="BK889">
        <v>32.173526157196882</v>
      </c>
      <c r="BL889">
        <v>73.867658276226578</v>
      </c>
      <c r="BM889" t="s">
        <v>1260</v>
      </c>
      <c r="BN889" t="s">
        <v>1154</v>
      </c>
      <c r="BO889">
        <v>2025</v>
      </c>
      <c r="BP889" t="s">
        <v>966</v>
      </c>
      <c r="BQ889">
        <v>1.0315291398832471E-2</v>
      </c>
      <c r="BR889">
        <v>99.999998968470862</v>
      </c>
      <c r="BS889" t="s">
        <v>984</v>
      </c>
      <c r="BT889">
        <v>3</v>
      </c>
      <c r="BU889">
        <v>1</v>
      </c>
      <c r="BV889" t="s">
        <v>985</v>
      </c>
      <c r="BW889" t="s">
        <v>943</v>
      </c>
      <c r="BX889" t="s">
        <v>986</v>
      </c>
      <c r="BY889">
        <v>7.1066284944359426</v>
      </c>
      <c r="BZ889" t="s">
        <v>2573</v>
      </c>
      <c r="CA889" t="s">
        <v>983</v>
      </c>
      <c r="CB889" t="b">
        <v>1</v>
      </c>
      <c r="CC889" t="b">
        <v>0</v>
      </c>
      <c r="CD889" t="b">
        <v>0</v>
      </c>
      <c r="CE889" t="b">
        <v>0</v>
      </c>
      <c r="CF889" t="b">
        <v>0</v>
      </c>
    </row>
    <row r="890" spans="1:84" x14ac:dyDescent="0.3">
      <c r="A890" t="s">
        <v>3000</v>
      </c>
      <c r="B890" t="s">
        <v>1207</v>
      </c>
      <c r="C890" s="98">
        <v>45754</v>
      </c>
      <c r="D890">
        <v>2025</v>
      </c>
      <c r="E890">
        <v>4</v>
      </c>
      <c r="F890">
        <v>2</v>
      </c>
      <c r="G890" t="s">
        <v>1208</v>
      </c>
      <c r="H890" t="s">
        <v>141</v>
      </c>
      <c r="I890" t="s">
        <v>141</v>
      </c>
      <c r="J890" t="s">
        <v>6</v>
      </c>
      <c r="L890">
        <v>522611</v>
      </c>
      <c r="M890" s="99" t="s">
        <v>180</v>
      </c>
      <c r="N890">
        <v>3</v>
      </c>
      <c r="O890">
        <v>14</v>
      </c>
      <c r="P890">
        <v>1.8275999999999999</v>
      </c>
      <c r="Q890" t="s">
        <v>352</v>
      </c>
      <c r="R890">
        <v>1</v>
      </c>
      <c r="S890">
        <v>1.8631</v>
      </c>
      <c r="T890">
        <v>0.12759999999999999</v>
      </c>
      <c r="U890">
        <v>-0.27821316614420133</v>
      </c>
      <c r="V890">
        <v>1.4802999999999999</v>
      </c>
      <c r="W890">
        <v>1.6078999999999999</v>
      </c>
      <c r="X890">
        <v>1.7355</v>
      </c>
      <c r="Y890">
        <v>1.9906999999999999</v>
      </c>
      <c r="Z890">
        <v>2.1183000000000001</v>
      </c>
      <c r="AA890">
        <v>2.2458999999999998</v>
      </c>
      <c r="AD890">
        <v>43.555633017205778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 t="s">
        <v>462</v>
      </c>
      <c r="AL890" t="s">
        <v>6</v>
      </c>
      <c r="AM890" t="s">
        <v>1145</v>
      </c>
      <c r="AN890" t="s">
        <v>1146</v>
      </c>
      <c r="AO890" s="100">
        <v>46262.040405092594</v>
      </c>
      <c r="AP890" t="s">
        <v>1147</v>
      </c>
      <c r="AQ890" t="s">
        <v>3001</v>
      </c>
      <c r="AR890" t="s">
        <v>1210</v>
      </c>
      <c r="AS890" t="s">
        <v>1150</v>
      </c>
      <c r="AT890" t="s">
        <v>2875</v>
      </c>
      <c r="AU890">
        <v>25</v>
      </c>
      <c r="AV890">
        <v>1.8723040000000004</v>
      </c>
      <c r="AW890">
        <v>0.11039531421215307</v>
      </c>
      <c r="AX890">
        <v>5.8962280811317527</v>
      </c>
      <c r="AY890">
        <v>-1.6533305261415048</v>
      </c>
      <c r="AZ890">
        <v>11.382106860008896</v>
      </c>
      <c r="BA890">
        <v>7.1066284944359426</v>
      </c>
      <c r="BB890" t="s">
        <v>4619</v>
      </c>
      <c r="BD890" s="98"/>
      <c r="BE890" s="98"/>
      <c r="BF890" t="s">
        <v>1152</v>
      </c>
      <c r="BG890" t="s">
        <v>322</v>
      </c>
      <c r="BH890" t="s">
        <v>1153</v>
      </c>
      <c r="BI890">
        <v>1.6533305261415048</v>
      </c>
      <c r="BJ890" t="s">
        <v>983</v>
      </c>
      <c r="BK890">
        <v>32.173526157196882</v>
      </c>
      <c r="BL890">
        <v>73.867658276226578</v>
      </c>
      <c r="BM890" t="s">
        <v>1260</v>
      </c>
      <c r="BN890" t="s">
        <v>1154</v>
      </c>
      <c r="BO890">
        <v>2025</v>
      </c>
      <c r="BP890" t="s">
        <v>966</v>
      </c>
      <c r="BQ890">
        <v>1.0315291398832471E-2</v>
      </c>
      <c r="BR890">
        <v>99.999998968470862</v>
      </c>
      <c r="BS890" t="s">
        <v>984</v>
      </c>
      <c r="BT890">
        <v>3</v>
      </c>
      <c r="BU890">
        <v>1</v>
      </c>
      <c r="BV890" t="s">
        <v>985</v>
      </c>
      <c r="BW890" t="s">
        <v>943</v>
      </c>
      <c r="BX890" t="s">
        <v>986</v>
      </c>
      <c r="BY890">
        <v>7.1066284944359426</v>
      </c>
      <c r="BZ890" t="s">
        <v>2573</v>
      </c>
      <c r="CA890" t="s">
        <v>983</v>
      </c>
      <c r="CB890" t="b">
        <v>1</v>
      </c>
      <c r="CC890" t="b">
        <v>0</v>
      </c>
      <c r="CD890" t="b">
        <v>0</v>
      </c>
      <c r="CE890" t="b">
        <v>0</v>
      </c>
      <c r="CF890" t="b">
        <v>0</v>
      </c>
    </row>
    <row r="891" spans="1:84" x14ac:dyDescent="0.3">
      <c r="A891" t="s">
        <v>3002</v>
      </c>
      <c r="B891" t="s">
        <v>1212</v>
      </c>
      <c r="C891" s="98">
        <v>45761</v>
      </c>
      <c r="D891">
        <v>2025</v>
      </c>
      <c r="E891">
        <v>4</v>
      </c>
      <c r="F891">
        <v>2</v>
      </c>
      <c r="G891" t="s">
        <v>1208</v>
      </c>
      <c r="H891" t="s">
        <v>141</v>
      </c>
      <c r="I891" t="s">
        <v>141</v>
      </c>
      <c r="J891" t="s">
        <v>6</v>
      </c>
      <c r="L891">
        <v>522611</v>
      </c>
      <c r="M891" s="99" t="s">
        <v>180</v>
      </c>
      <c r="N891">
        <v>3</v>
      </c>
      <c r="O891">
        <v>15</v>
      </c>
      <c r="P891">
        <v>1.8785000000000001</v>
      </c>
      <c r="Q891" t="s">
        <v>352</v>
      </c>
      <c r="R891">
        <v>1</v>
      </c>
      <c r="S891">
        <v>1.8631</v>
      </c>
      <c r="T891">
        <v>0.12759999999999999</v>
      </c>
      <c r="U891">
        <v>0.12068965517241444</v>
      </c>
      <c r="V891">
        <v>1.4802999999999999</v>
      </c>
      <c r="W891">
        <v>1.6078999999999999</v>
      </c>
      <c r="X891">
        <v>1.7355</v>
      </c>
      <c r="Y891">
        <v>1.9906999999999999</v>
      </c>
      <c r="Z891">
        <v>2.1183000000000001</v>
      </c>
      <c r="AA891">
        <v>2.2458999999999998</v>
      </c>
      <c r="AD891">
        <v>43.555633017205778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 t="s">
        <v>462</v>
      </c>
      <c r="AL891" t="s">
        <v>6</v>
      </c>
      <c r="AM891" t="s">
        <v>1145</v>
      </c>
      <c r="AN891" t="s">
        <v>1146</v>
      </c>
      <c r="AO891" s="100">
        <v>46262.040405092594</v>
      </c>
      <c r="AP891" t="s">
        <v>1147</v>
      </c>
      <c r="AQ891" t="s">
        <v>3003</v>
      </c>
      <c r="AR891" t="s">
        <v>1215</v>
      </c>
      <c r="AS891" t="s">
        <v>1150</v>
      </c>
      <c r="AT891" t="s">
        <v>2875</v>
      </c>
      <c r="AU891">
        <v>25</v>
      </c>
      <c r="AV891">
        <v>1.8723040000000004</v>
      </c>
      <c r="AW891">
        <v>0.11039531421215307</v>
      </c>
      <c r="AX891">
        <v>5.8962280811317527</v>
      </c>
      <c r="AY891">
        <v>-1.6533305261415048</v>
      </c>
      <c r="AZ891">
        <v>11.382106860008896</v>
      </c>
      <c r="BA891">
        <v>7.1066284944359426</v>
      </c>
      <c r="BB891" t="s">
        <v>4619</v>
      </c>
      <c r="BD891" s="98"/>
      <c r="BE891" s="98"/>
      <c r="BF891" t="s">
        <v>1152</v>
      </c>
      <c r="BG891" t="s">
        <v>322</v>
      </c>
      <c r="BH891" t="s">
        <v>1153</v>
      </c>
      <c r="BI891">
        <v>1.6533305261415048</v>
      </c>
      <c r="BJ891" t="s">
        <v>983</v>
      </c>
      <c r="BK891">
        <v>32.173526157196882</v>
      </c>
      <c r="BL891">
        <v>73.867658276226578</v>
      </c>
      <c r="BM891" t="s">
        <v>1260</v>
      </c>
      <c r="BN891" t="s">
        <v>1154</v>
      </c>
      <c r="BO891">
        <v>2025</v>
      </c>
      <c r="BP891" t="s">
        <v>966</v>
      </c>
      <c r="BQ891">
        <v>1.0315291398832471E-2</v>
      </c>
      <c r="BR891">
        <v>99.999998968470862</v>
      </c>
      <c r="BS891" t="s">
        <v>984</v>
      </c>
      <c r="BT891">
        <v>3</v>
      </c>
      <c r="BU891">
        <v>1</v>
      </c>
      <c r="BV891" t="s">
        <v>985</v>
      </c>
      <c r="BW891" t="s">
        <v>943</v>
      </c>
      <c r="BX891" t="s">
        <v>986</v>
      </c>
      <c r="BY891">
        <v>7.1066284944359426</v>
      </c>
      <c r="BZ891" t="s">
        <v>2573</v>
      </c>
      <c r="CA891" t="s">
        <v>983</v>
      </c>
      <c r="CB891" t="b">
        <v>1</v>
      </c>
      <c r="CC891" t="b">
        <v>0</v>
      </c>
      <c r="CD891" t="b">
        <v>0</v>
      </c>
      <c r="CE891" t="b">
        <v>0</v>
      </c>
      <c r="CF891" t="b">
        <v>0</v>
      </c>
    </row>
    <row r="892" spans="1:84" x14ac:dyDescent="0.3">
      <c r="A892" t="s">
        <v>3004</v>
      </c>
      <c r="B892" t="s">
        <v>1217</v>
      </c>
      <c r="C892" s="98">
        <v>45768</v>
      </c>
      <c r="D892">
        <v>2025</v>
      </c>
      <c r="E892">
        <v>4</v>
      </c>
      <c r="F892">
        <v>2</v>
      </c>
      <c r="G892" t="s">
        <v>1208</v>
      </c>
      <c r="H892" t="s">
        <v>141</v>
      </c>
      <c r="I892" t="s">
        <v>141</v>
      </c>
      <c r="J892" t="s">
        <v>6</v>
      </c>
      <c r="L892">
        <v>522611</v>
      </c>
      <c r="M892" s="99" t="s">
        <v>180</v>
      </c>
      <c r="N892">
        <v>3</v>
      </c>
      <c r="O892">
        <v>16</v>
      </c>
      <c r="P892">
        <v>1.8462000000000001</v>
      </c>
      <c r="Q892" t="s">
        <v>352</v>
      </c>
      <c r="R892">
        <v>1</v>
      </c>
      <c r="S892">
        <v>1.8631</v>
      </c>
      <c r="T892">
        <v>0.12759999999999999</v>
      </c>
      <c r="U892">
        <v>-0.13244514106583005</v>
      </c>
      <c r="V892">
        <v>1.4802999999999999</v>
      </c>
      <c r="W892">
        <v>1.6078999999999999</v>
      </c>
      <c r="X892">
        <v>1.7355</v>
      </c>
      <c r="Y892">
        <v>1.9906999999999999</v>
      </c>
      <c r="Z892">
        <v>2.1183000000000001</v>
      </c>
      <c r="AA892">
        <v>2.2458999999999998</v>
      </c>
      <c r="AD892">
        <v>43.555633017205778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 t="s">
        <v>462</v>
      </c>
      <c r="AL892" t="s">
        <v>6</v>
      </c>
      <c r="AM892" t="s">
        <v>1145</v>
      </c>
      <c r="AN892" t="s">
        <v>1146</v>
      </c>
      <c r="AO892" s="100">
        <v>46262.040405092594</v>
      </c>
      <c r="AP892" t="s">
        <v>1147</v>
      </c>
      <c r="AQ892" t="s">
        <v>3005</v>
      </c>
      <c r="AR892" t="s">
        <v>1219</v>
      </c>
      <c r="AS892" t="s">
        <v>1150</v>
      </c>
      <c r="AT892" t="s">
        <v>2875</v>
      </c>
      <c r="AU892">
        <v>25</v>
      </c>
      <c r="AV892">
        <v>1.8723040000000004</v>
      </c>
      <c r="AW892">
        <v>0.11039531421215307</v>
      </c>
      <c r="AX892">
        <v>5.8962280811317527</v>
      </c>
      <c r="AY892">
        <v>-1.6533305261415048</v>
      </c>
      <c r="AZ892">
        <v>11.382106860008896</v>
      </c>
      <c r="BA892">
        <v>7.1066284944359426</v>
      </c>
      <c r="BB892" t="s">
        <v>4619</v>
      </c>
      <c r="BD892" s="98"/>
      <c r="BE892" s="98"/>
      <c r="BF892" t="s">
        <v>1152</v>
      </c>
      <c r="BG892" t="s">
        <v>322</v>
      </c>
      <c r="BH892" t="s">
        <v>1153</v>
      </c>
      <c r="BI892">
        <v>1.6533305261415048</v>
      </c>
      <c r="BJ892" t="s">
        <v>983</v>
      </c>
      <c r="BK892">
        <v>32.173526157196882</v>
      </c>
      <c r="BL892">
        <v>73.867658276226578</v>
      </c>
      <c r="BM892" t="s">
        <v>1260</v>
      </c>
      <c r="BN892" t="s">
        <v>1154</v>
      </c>
      <c r="BO892">
        <v>2025</v>
      </c>
      <c r="BP892" t="s">
        <v>966</v>
      </c>
      <c r="BQ892">
        <v>1.0315291398832471E-2</v>
      </c>
      <c r="BR892">
        <v>99.999998968470862</v>
      </c>
      <c r="BS892" t="s">
        <v>984</v>
      </c>
      <c r="BT892">
        <v>3</v>
      </c>
      <c r="BU892">
        <v>1</v>
      </c>
      <c r="BV892" t="s">
        <v>985</v>
      </c>
      <c r="BW892" t="s">
        <v>943</v>
      </c>
      <c r="BX892" t="s">
        <v>986</v>
      </c>
      <c r="BY892">
        <v>7.1066284944359426</v>
      </c>
      <c r="BZ892" t="s">
        <v>2573</v>
      </c>
      <c r="CA892" t="s">
        <v>983</v>
      </c>
      <c r="CB892" t="b">
        <v>1</v>
      </c>
      <c r="CC892" t="b">
        <v>0</v>
      </c>
      <c r="CD892" t="b">
        <v>0</v>
      </c>
      <c r="CE892" t="b">
        <v>0</v>
      </c>
      <c r="CF892" t="b">
        <v>0</v>
      </c>
    </row>
    <row r="893" spans="1:84" x14ac:dyDescent="0.3">
      <c r="A893" t="s">
        <v>3006</v>
      </c>
      <c r="B893" t="s">
        <v>1221</v>
      </c>
      <c r="C893" s="98">
        <v>45775</v>
      </c>
      <c r="D893">
        <v>2025</v>
      </c>
      <c r="E893">
        <v>4</v>
      </c>
      <c r="F893">
        <v>2</v>
      </c>
      <c r="G893" t="s">
        <v>1208</v>
      </c>
      <c r="H893" t="s">
        <v>141</v>
      </c>
      <c r="I893" t="s">
        <v>141</v>
      </c>
      <c r="J893" t="s">
        <v>6</v>
      </c>
      <c r="L893">
        <v>522611</v>
      </c>
      <c r="M893" s="99" t="s">
        <v>180</v>
      </c>
      <c r="N893">
        <v>3</v>
      </c>
      <c r="O893">
        <v>17</v>
      </c>
      <c r="P893">
        <v>1.7174</v>
      </c>
      <c r="Q893" t="s">
        <v>352</v>
      </c>
      <c r="R893">
        <v>1</v>
      </c>
      <c r="S893">
        <v>1.8631</v>
      </c>
      <c r="T893">
        <v>0.12759999999999999</v>
      </c>
      <c r="U893">
        <v>-1.141849529780564</v>
      </c>
      <c r="V893">
        <v>1.4802999999999999</v>
      </c>
      <c r="W893">
        <v>1.6078999999999999</v>
      </c>
      <c r="X893">
        <v>1.7355</v>
      </c>
      <c r="Y893">
        <v>1.9906999999999999</v>
      </c>
      <c r="Z893">
        <v>2.1183000000000001</v>
      </c>
      <c r="AA893">
        <v>2.2458999999999998</v>
      </c>
      <c r="AD893">
        <v>43.555633017205778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 t="s">
        <v>462</v>
      </c>
      <c r="AL893" t="s">
        <v>6</v>
      </c>
      <c r="AM893" t="s">
        <v>1145</v>
      </c>
      <c r="AN893" t="s">
        <v>1146</v>
      </c>
      <c r="AO893" s="100">
        <v>46262.040405092594</v>
      </c>
      <c r="AP893" t="s">
        <v>1147</v>
      </c>
      <c r="AQ893" t="s">
        <v>3007</v>
      </c>
      <c r="AR893" t="s">
        <v>1223</v>
      </c>
      <c r="AS893" t="s">
        <v>1150</v>
      </c>
      <c r="AT893" t="s">
        <v>2875</v>
      </c>
      <c r="AU893">
        <v>25</v>
      </c>
      <c r="AV893">
        <v>1.8723040000000004</v>
      </c>
      <c r="AW893">
        <v>0.11039531421215307</v>
      </c>
      <c r="AX893">
        <v>5.8962280811317527</v>
      </c>
      <c r="AY893">
        <v>-1.6533305261415048</v>
      </c>
      <c r="AZ893">
        <v>11.382106860008896</v>
      </c>
      <c r="BA893">
        <v>7.1066284944359426</v>
      </c>
      <c r="BB893" t="s">
        <v>4619</v>
      </c>
      <c r="BD893" s="98"/>
      <c r="BE893" s="98"/>
      <c r="BF893" t="s">
        <v>1152</v>
      </c>
      <c r="BG893" t="s">
        <v>322</v>
      </c>
      <c r="BH893" t="s">
        <v>1153</v>
      </c>
      <c r="BI893">
        <v>1.6533305261415048</v>
      </c>
      <c r="BJ893" t="s">
        <v>983</v>
      </c>
      <c r="BK893">
        <v>32.173526157196882</v>
      </c>
      <c r="BL893">
        <v>73.867658276226578</v>
      </c>
      <c r="BM893" t="s">
        <v>1260</v>
      </c>
      <c r="BN893" t="s">
        <v>1154</v>
      </c>
      <c r="BO893">
        <v>2025</v>
      </c>
      <c r="BP893" t="s">
        <v>966</v>
      </c>
      <c r="BQ893">
        <v>1.0315291398832471E-2</v>
      </c>
      <c r="BR893">
        <v>99.999998968470862</v>
      </c>
      <c r="BS893" t="s">
        <v>984</v>
      </c>
      <c r="BT893">
        <v>3</v>
      </c>
      <c r="BU893">
        <v>1</v>
      </c>
      <c r="BV893" t="s">
        <v>985</v>
      </c>
      <c r="BW893" t="s">
        <v>943</v>
      </c>
      <c r="BX893" t="s">
        <v>986</v>
      </c>
      <c r="BY893">
        <v>7.1066284944359426</v>
      </c>
      <c r="BZ893" t="s">
        <v>2573</v>
      </c>
      <c r="CA893" t="s">
        <v>983</v>
      </c>
      <c r="CB893" t="b">
        <v>1</v>
      </c>
      <c r="CC893" t="b">
        <v>0</v>
      </c>
      <c r="CD893" t="b">
        <v>0</v>
      </c>
      <c r="CE893" t="b">
        <v>0</v>
      </c>
      <c r="CF893" t="b">
        <v>0</v>
      </c>
    </row>
    <row r="894" spans="1:84" x14ac:dyDescent="0.3">
      <c r="A894" t="s">
        <v>3008</v>
      </c>
      <c r="B894" t="s">
        <v>1225</v>
      </c>
      <c r="C894" s="98">
        <v>45782</v>
      </c>
      <c r="D894">
        <v>2025</v>
      </c>
      <c r="E894">
        <v>5</v>
      </c>
      <c r="F894">
        <v>2</v>
      </c>
      <c r="G894" t="s">
        <v>1226</v>
      </c>
      <c r="H894" t="s">
        <v>141</v>
      </c>
      <c r="I894" t="s">
        <v>141</v>
      </c>
      <c r="J894" t="s">
        <v>6</v>
      </c>
      <c r="L894">
        <v>522611</v>
      </c>
      <c r="M894" s="99" t="s">
        <v>180</v>
      </c>
      <c r="N894">
        <v>3</v>
      </c>
      <c r="O894">
        <v>18</v>
      </c>
      <c r="P894">
        <v>1.8604000000000001</v>
      </c>
      <c r="Q894" t="s">
        <v>352</v>
      </c>
      <c r="R894">
        <v>1</v>
      </c>
      <c r="S894">
        <v>1.8631</v>
      </c>
      <c r="T894">
        <v>0.12759999999999999</v>
      </c>
      <c r="U894">
        <v>-2.115987460814988E-2</v>
      </c>
      <c r="V894">
        <v>1.4802999999999999</v>
      </c>
      <c r="W894">
        <v>1.6078999999999999</v>
      </c>
      <c r="X894">
        <v>1.7355</v>
      </c>
      <c r="Y894">
        <v>1.9906999999999999</v>
      </c>
      <c r="Z894">
        <v>2.1183000000000001</v>
      </c>
      <c r="AA894">
        <v>2.2458999999999998</v>
      </c>
      <c r="AD894">
        <v>43.555633017205778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 t="s">
        <v>462</v>
      </c>
      <c r="AL894" t="s">
        <v>6</v>
      </c>
      <c r="AM894" t="s">
        <v>1145</v>
      </c>
      <c r="AN894" t="s">
        <v>1146</v>
      </c>
      <c r="AO894" s="100">
        <v>46262.040405092594</v>
      </c>
      <c r="AP894" t="s">
        <v>1147</v>
      </c>
      <c r="AQ894" t="s">
        <v>3009</v>
      </c>
      <c r="AR894" t="s">
        <v>1228</v>
      </c>
      <c r="AS894" t="s">
        <v>1150</v>
      </c>
      <c r="AT894" t="s">
        <v>2875</v>
      </c>
      <c r="AU894">
        <v>25</v>
      </c>
      <c r="AV894">
        <v>1.8723040000000004</v>
      </c>
      <c r="AW894">
        <v>0.11039531421215307</v>
      </c>
      <c r="AX894">
        <v>5.8962280811317527</v>
      </c>
      <c r="AY894">
        <v>-1.6533305261415048</v>
      </c>
      <c r="AZ894">
        <v>11.382106860008896</v>
      </c>
      <c r="BA894">
        <v>7.1066284944359426</v>
      </c>
      <c r="BB894" t="s">
        <v>4619</v>
      </c>
      <c r="BD894" s="98"/>
      <c r="BE894" s="98"/>
      <c r="BF894" t="s">
        <v>1152</v>
      </c>
      <c r="BG894" t="s">
        <v>322</v>
      </c>
      <c r="BH894" t="s">
        <v>1153</v>
      </c>
      <c r="BI894">
        <v>1.6533305261415048</v>
      </c>
      <c r="BJ894" t="s">
        <v>983</v>
      </c>
      <c r="BK894">
        <v>32.173526157196882</v>
      </c>
      <c r="BL894">
        <v>73.867658276226578</v>
      </c>
      <c r="BM894" t="s">
        <v>1260</v>
      </c>
      <c r="BN894" t="s">
        <v>1154</v>
      </c>
      <c r="BO894">
        <v>2025</v>
      </c>
      <c r="BP894" t="s">
        <v>966</v>
      </c>
      <c r="BQ894">
        <v>1.0315291398832471E-2</v>
      </c>
      <c r="BR894">
        <v>99.999998968470862</v>
      </c>
      <c r="BS894" t="s">
        <v>984</v>
      </c>
      <c r="BT894">
        <v>3</v>
      </c>
      <c r="BU894">
        <v>1</v>
      </c>
      <c r="BV894" t="s">
        <v>985</v>
      </c>
      <c r="BW894" t="s">
        <v>943</v>
      </c>
      <c r="BX894" t="s">
        <v>986</v>
      </c>
      <c r="BY894">
        <v>7.1066284944359426</v>
      </c>
      <c r="BZ894" t="s">
        <v>2573</v>
      </c>
      <c r="CA894" t="s">
        <v>983</v>
      </c>
      <c r="CB894" t="b">
        <v>1</v>
      </c>
      <c r="CC894" t="b">
        <v>0</v>
      </c>
      <c r="CD894" t="b">
        <v>0</v>
      </c>
      <c r="CE894" t="b">
        <v>0</v>
      </c>
      <c r="CF894" t="b">
        <v>0</v>
      </c>
    </row>
    <row r="895" spans="1:84" x14ac:dyDescent="0.3">
      <c r="A895" t="s">
        <v>3010</v>
      </c>
      <c r="B895" t="s">
        <v>1230</v>
      </c>
      <c r="C895" s="98">
        <v>45789</v>
      </c>
      <c r="D895">
        <v>2025</v>
      </c>
      <c r="E895">
        <v>5</v>
      </c>
      <c r="F895">
        <v>2</v>
      </c>
      <c r="G895" t="s">
        <v>1226</v>
      </c>
      <c r="H895" t="s">
        <v>141</v>
      </c>
      <c r="I895" t="s">
        <v>141</v>
      </c>
      <c r="J895" t="s">
        <v>6</v>
      </c>
      <c r="L895">
        <v>522611</v>
      </c>
      <c r="M895" s="99" t="s">
        <v>180</v>
      </c>
      <c r="N895">
        <v>3</v>
      </c>
      <c r="O895">
        <v>19</v>
      </c>
      <c r="P895">
        <v>1.9751000000000001</v>
      </c>
      <c r="Q895" t="s">
        <v>352</v>
      </c>
      <c r="R895">
        <v>1</v>
      </c>
      <c r="S895">
        <v>1.8631</v>
      </c>
      <c r="T895">
        <v>0.12759999999999999</v>
      </c>
      <c r="U895">
        <v>0.87774294670846476</v>
      </c>
      <c r="V895">
        <v>1.4802999999999999</v>
      </c>
      <c r="W895">
        <v>1.6078999999999999</v>
      </c>
      <c r="X895">
        <v>1.7355</v>
      </c>
      <c r="Y895">
        <v>1.9906999999999999</v>
      </c>
      <c r="Z895">
        <v>2.1183000000000001</v>
      </c>
      <c r="AA895">
        <v>2.2458999999999998</v>
      </c>
      <c r="AD895">
        <v>43.555633017205778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 t="s">
        <v>462</v>
      </c>
      <c r="AL895" t="s">
        <v>6</v>
      </c>
      <c r="AM895" t="s">
        <v>1145</v>
      </c>
      <c r="AN895" t="s">
        <v>1146</v>
      </c>
      <c r="AO895" s="100">
        <v>46262.040405092594</v>
      </c>
      <c r="AP895" t="s">
        <v>1147</v>
      </c>
      <c r="AQ895" t="s">
        <v>3011</v>
      </c>
      <c r="AR895" t="s">
        <v>1232</v>
      </c>
      <c r="AS895" t="s">
        <v>1150</v>
      </c>
      <c r="AT895" t="s">
        <v>2875</v>
      </c>
      <c r="AU895">
        <v>25</v>
      </c>
      <c r="AV895">
        <v>1.8723040000000004</v>
      </c>
      <c r="AW895">
        <v>0.11039531421215307</v>
      </c>
      <c r="AX895">
        <v>5.8962280811317527</v>
      </c>
      <c r="AY895">
        <v>-1.6533305261415048</v>
      </c>
      <c r="AZ895">
        <v>11.382106860008896</v>
      </c>
      <c r="BA895">
        <v>7.1066284944359426</v>
      </c>
      <c r="BB895" t="s">
        <v>4619</v>
      </c>
      <c r="BD895" s="98"/>
      <c r="BE895" s="98"/>
      <c r="BF895" t="s">
        <v>1152</v>
      </c>
      <c r="BG895" t="s">
        <v>322</v>
      </c>
      <c r="BH895" t="s">
        <v>1153</v>
      </c>
      <c r="BI895">
        <v>1.6533305261415048</v>
      </c>
      <c r="BJ895" t="s">
        <v>983</v>
      </c>
      <c r="BK895">
        <v>32.173526157196882</v>
      </c>
      <c r="BL895">
        <v>73.867658276226578</v>
      </c>
      <c r="BM895" t="s">
        <v>1260</v>
      </c>
      <c r="BN895" t="s">
        <v>1154</v>
      </c>
      <c r="BO895">
        <v>2025</v>
      </c>
      <c r="BP895" t="s">
        <v>966</v>
      </c>
      <c r="BQ895">
        <v>1.0315291398832471E-2</v>
      </c>
      <c r="BR895">
        <v>99.999998968470862</v>
      </c>
      <c r="BS895" t="s">
        <v>984</v>
      </c>
      <c r="BT895">
        <v>3</v>
      </c>
      <c r="BU895">
        <v>1</v>
      </c>
      <c r="BV895" t="s">
        <v>985</v>
      </c>
      <c r="BW895" t="s">
        <v>943</v>
      </c>
      <c r="BX895" t="s">
        <v>986</v>
      </c>
      <c r="BY895">
        <v>7.1066284944359426</v>
      </c>
      <c r="BZ895" t="s">
        <v>2573</v>
      </c>
      <c r="CA895" t="s">
        <v>983</v>
      </c>
      <c r="CB895" t="b">
        <v>1</v>
      </c>
      <c r="CC895" t="b">
        <v>0</v>
      </c>
      <c r="CD895" t="b">
        <v>0</v>
      </c>
      <c r="CE895" t="b">
        <v>0</v>
      </c>
      <c r="CF895" t="b">
        <v>0</v>
      </c>
    </row>
    <row r="896" spans="1:84" x14ac:dyDescent="0.3">
      <c r="A896" t="s">
        <v>3012</v>
      </c>
      <c r="B896" t="s">
        <v>1234</v>
      </c>
      <c r="C896" s="98">
        <v>45796</v>
      </c>
      <c r="D896">
        <v>2025</v>
      </c>
      <c r="E896">
        <v>5</v>
      </c>
      <c r="F896">
        <v>2</v>
      </c>
      <c r="G896" t="s">
        <v>1226</v>
      </c>
      <c r="H896" t="s">
        <v>141</v>
      </c>
      <c r="I896" t="s">
        <v>141</v>
      </c>
      <c r="J896" t="s">
        <v>6</v>
      </c>
      <c r="L896">
        <v>522611</v>
      </c>
      <c r="M896" s="99" t="s">
        <v>180</v>
      </c>
      <c r="N896">
        <v>3</v>
      </c>
      <c r="O896">
        <v>20</v>
      </c>
      <c r="P896">
        <v>1.7397</v>
      </c>
      <c r="Q896" t="s">
        <v>352</v>
      </c>
      <c r="R896">
        <v>1</v>
      </c>
      <c r="S896">
        <v>1.8631</v>
      </c>
      <c r="T896">
        <v>0.12759999999999999</v>
      </c>
      <c r="U896">
        <v>-0.96708463949843226</v>
      </c>
      <c r="V896">
        <v>1.4802999999999999</v>
      </c>
      <c r="W896">
        <v>1.6078999999999999</v>
      </c>
      <c r="X896">
        <v>1.7355</v>
      </c>
      <c r="Y896">
        <v>1.9906999999999999</v>
      </c>
      <c r="Z896">
        <v>2.1183000000000001</v>
      </c>
      <c r="AA896">
        <v>2.2458999999999998</v>
      </c>
      <c r="AD896">
        <v>43.555633017205778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 t="s">
        <v>462</v>
      </c>
      <c r="AL896" t="s">
        <v>6</v>
      </c>
      <c r="AM896" t="s">
        <v>1145</v>
      </c>
      <c r="AN896" t="s">
        <v>1146</v>
      </c>
      <c r="AO896" s="100">
        <v>46262.040405092594</v>
      </c>
      <c r="AP896" t="s">
        <v>1147</v>
      </c>
      <c r="AQ896" t="s">
        <v>3013</v>
      </c>
      <c r="AR896" t="s">
        <v>1236</v>
      </c>
      <c r="AS896" t="s">
        <v>1150</v>
      </c>
      <c r="AT896" t="s">
        <v>2875</v>
      </c>
      <c r="AU896">
        <v>25</v>
      </c>
      <c r="AV896">
        <v>1.8723040000000004</v>
      </c>
      <c r="AW896">
        <v>0.11039531421215307</v>
      </c>
      <c r="AX896">
        <v>5.8962280811317527</v>
      </c>
      <c r="AY896">
        <v>-1.6533305261415048</v>
      </c>
      <c r="AZ896">
        <v>11.382106860008896</v>
      </c>
      <c r="BA896">
        <v>7.1066284944359426</v>
      </c>
      <c r="BB896" t="s">
        <v>4619</v>
      </c>
      <c r="BD896" s="98"/>
      <c r="BE896" s="98"/>
      <c r="BF896" t="s">
        <v>1152</v>
      </c>
      <c r="BG896" t="s">
        <v>322</v>
      </c>
      <c r="BH896" t="s">
        <v>1153</v>
      </c>
      <c r="BI896">
        <v>1.6533305261415048</v>
      </c>
      <c r="BJ896" t="s">
        <v>983</v>
      </c>
      <c r="BK896">
        <v>32.173526157196882</v>
      </c>
      <c r="BL896">
        <v>73.867658276226578</v>
      </c>
      <c r="BM896" t="s">
        <v>1260</v>
      </c>
      <c r="BN896" t="s">
        <v>1154</v>
      </c>
      <c r="BO896">
        <v>2025</v>
      </c>
      <c r="BP896" t="s">
        <v>966</v>
      </c>
      <c r="BQ896">
        <v>1.0315291398832471E-2</v>
      </c>
      <c r="BR896">
        <v>99.999998968470862</v>
      </c>
      <c r="BS896" t="s">
        <v>984</v>
      </c>
      <c r="BT896">
        <v>3</v>
      </c>
      <c r="BU896">
        <v>1</v>
      </c>
      <c r="BV896" t="s">
        <v>985</v>
      </c>
      <c r="BW896" t="s">
        <v>943</v>
      </c>
      <c r="BX896" t="s">
        <v>986</v>
      </c>
      <c r="BY896">
        <v>7.1066284944359426</v>
      </c>
      <c r="BZ896" t="s">
        <v>2573</v>
      </c>
      <c r="CA896" t="s">
        <v>983</v>
      </c>
      <c r="CB896" t="b">
        <v>1</v>
      </c>
      <c r="CC896" t="b">
        <v>0</v>
      </c>
      <c r="CD896" t="b">
        <v>0</v>
      </c>
      <c r="CE896" t="b">
        <v>0</v>
      </c>
      <c r="CF896" t="b">
        <v>0</v>
      </c>
    </row>
    <row r="897" spans="1:84" x14ac:dyDescent="0.3">
      <c r="A897" t="s">
        <v>3014</v>
      </c>
      <c r="B897" t="s">
        <v>1238</v>
      </c>
      <c r="C897" s="98">
        <v>45803</v>
      </c>
      <c r="D897">
        <v>2025</v>
      </c>
      <c r="E897">
        <v>5</v>
      </c>
      <c r="F897">
        <v>2</v>
      </c>
      <c r="G897" t="s">
        <v>1226</v>
      </c>
      <c r="H897" t="s">
        <v>141</v>
      </c>
      <c r="I897" t="s">
        <v>141</v>
      </c>
      <c r="J897" t="s">
        <v>6</v>
      </c>
      <c r="L897">
        <v>522611</v>
      </c>
      <c r="M897" s="99" t="s">
        <v>180</v>
      </c>
      <c r="N897">
        <v>3</v>
      </c>
      <c r="O897">
        <v>21</v>
      </c>
      <c r="P897">
        <v>1.8323</v>
      </c>
      <c r="Q897" t="s">
        <v>352</v>
      </c>
      <c r="R897">
        <v>1</v>
      </c>
      <c r="S897">
        <v>1.8631</v>
      </c>
      <c r="T897">
        <v>0.12759999999999999</v>
      </c>
      <c r="U897">
        <v>-0.24137931034482712</v>
      </c>
      <c r="V897">
        <v>1.4802999999999999</v>
      </c>
      <c r="W897">
        <v>1.6078999999999999</v>
      </c>
      <c r="X897">
        <v>1.7355</v>
      </c>
      <c r="Y897">
        <v>1.9906999999999999</v>
      </c>
      <c r="Z897">
        <v>2.1183000000000001</v>
      </c>
      <c r="AA897">
        <v>2.2458999999999998</v>
      </c>
      <c r="AD897">
        <v>43.555633017205778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 t="s">
        <v>462</v>
      </c>
      <c r="AL897" t="s">
        <v>6</v>
      </c>
      <c r="AM897" t="s">
        <v>1145</v>
      </c>
      <c r="AN897" t="s">
        <v>1146</v>
      </c>
      <c r="AO897" s="100">
        <v>46262.040405092594</v>
      </c>
      <c r="AP897" t="s">
        <v>1147</v>
      </c>
      <c r="AQ897" t="s">
        <v>3015</v>
      </c>
      <c r="AR897" t="s">
        <v>1240</v>
      </c>
      <c r="AS897" t="s">
        <v>1150</v>
      </c>
      <c r="AT897" t="s">
        <v>2875</v>
      </c>
      <c r="AU897">
        <v>25</v>
      </c>
      <c r="AV897">
        <v>1.8723040000000004</v>
      </c>
      <c r="AW897">
        <v>0.11039531421215307</v>
      </c>
      <c r="AX897">
        <v>5.8962280811317527</v>
      </c>
      <c r="AY897">
        <v>-1.6533305261415048</v>
      </c>
      <c r="AZ897">
        <v>11.382106860008896</v>
      </c>
      <c r="BA897">
        <v>7.1066284944359426</v>
      </c>
      <c r="BB897" t="s">
        <v>4619</v>
      </c>
      <c r="BD897" s="98"/>
      <c r="BE897" s="98"/>
      <c r="BF897" t="s">
        <v>1152</v>
      </c>
      <c r="BG897" t="s">
        <v>322</v>
      </c>
      <c r="BH897" t="s">
        <v>1153</v>
      </c>
      <c r="BI897">
        <v>1.6533305261415048</v>
      </c>
      <c r="BJ897" t="s">
        <v>983</v>
      </c>
      <c r="BK897">
        <v>32.173526157196882</v>
      </c>
      <c r="BL897">
        <v>73.867658276226578</v>
      </c>
      <c r="BM897" t="s">
        <v>1260</v>
      </c>
      <c r="BN897" t="s">
        <v>1154</v>
      </c>
      <c r="BO897">
        <v>2025</v>
      </c>
      <c r="BP897" t="s">
        <v>966</v>
      </c>
      <c r="BQ897">
        <v>1.0315291398832471E-2</v>
      </c>
      <c r="BR897">
        <v>99.999998968470862</v>
      </c>
      <c r="BS897" t="s">
        <v>984</v>
      </c>
      <c r="BT897">
        <v>3</v>
      </c>
      <c r="BU897">
        <v>1</v>
      </c>
      <c r="BV897" t="s">
        <v>985</v>
      </c>
      <c r="BW897" t="s">
        <v>943</v>
      </c>
      <c r="BX897" t="s">
        <v>986</v>
      </c>
      <c r="BY897">
        <v>7.1066284944359426</v>
      </c>
      <c r="BZ897" t="s">
        <v>2573</v>
      </c>
      <c r="CA897" t="s">
        <v>983</v>
      </c>
      <c r="CB897" t="b">
        <v>1</v>
      </c>
      <c r="CC897" t="b">
        <v>0</v>
      </c>
      <c r="CD897" t="b">
        <v>0</v>
      </c>
      <c r="CE897" t="b">
        <v>0</v>
      </c>
      <c r="CF897" t="b">
        <v>0</v>
      </c>
    </row>
    <row r="898" spans="1:84" x14ac:dyDescent="0.3">
      <c r="A898" t="s">
        <v>3016</v>
      </c>
      <c r="B898" t="s">
        <v>1242</v>
      </c>
      <c r="C898" s="98">
        <v>45810</v>
      </c>
      <c r="D898">
        <v>2025</v>
      </c>
      <c r="E898">
        <v>6</v>
      </c>
      <c r="F898">
        <v>2</v>
      </c>
      <c r="G898" t="s">
        <v>1243</v>
      </c>
      <c r="H898" t="s">
        <v>141</v>
      </c>
      <c r="I898" t="s">
        <v>141</v>
      </c>
      <c r="J898" t="s">
        <v>6</v>
      </c>
      <c r="L898">
        <v>522611</v>
      </c>
      <c r="M898" s="99" t="s">
        <v>180</v>
      </c>
      <c r="N898">
        <v>3</v>
      </c>
      <c r="O898">
        <v>22</v>
      </c>
      <c r="P898">
        <v>1.948</v>
      </c>
      <c r="Q898" t="s">
        <v>352</v>
      </c>
      <c r="R898">
        <v>1</v>
      </c>
      <c r="S898">
        <v>1.8631</v>
      </c>
      <c r="T898">
        <v>0.12759999999999999</v>
      </c>
      <c r="U898">
        <v>0.66536050156739801</v>
      </c>
      <c r="V898">
        <v>1.4802999999999999</v>
      </c>
      <c r="W898">
        <v>1.6078999999999999</v>
      </c>
      <c r="X898">
        <v>1.7355</v>
      </c>
      <c r="Y898">
        <v>1.9906999999999999</v>
      </c>
      <c r="Z898">
        <v>2.1183000000000001</v>
      </c>
      <c r="AA898">
        <v>2.2458999999999998</v>
      </c>
      <c r="AD898">
        <v>43.555633017205778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 t="s">
        <v>462</v>
      </c>
      <c r="AL898" t="s">
        <v>6</v>
      </c>
      <c r="AM898" t="s">
        <v>1145</v>
      </c>
      <c r="AN898" t="s">
        <v>1146</v>
      </c>
      <c r="AO898" s="100">
        <v>46262.040405092594</v>
      </c>
      <c r="AP898" t="s">
        <v>1147</v>
      </c>
      <c r="AQ898" t="s">
        <v>3017</v>
      </c>
      <c r="AR898" t="s">
        <v>1245</v>
      </c>
      <c r="AS898" t="s">
        <v>1150</v>
      </c>
      <c r="AT898" t="s">
        <v>2875</v>
      </c>
      <c r="AU898">
        <v>25</v>
      </c>
      <c r="AV898">
        <v>1.8723040000000004</v>
      </c>
      <c r="AW898">
        <v>0.11039531421215307</v>
      </c>
      <c r="AX898">
        <v>5.8962280811317527</v>
      </c>
      <c r="AY898">
        <v>-1.6533305261415048</v>
      </c>
      <c r="AZ898">
        <v>11.382106860008896</v>
      </c>
      <c r="BA898">
        <v>7.1066284944359426</v>
      </c>
      <c r="BB898" t="s">
        <v>4619</v>
      </c>
      <c r="BD898" s="98"/>
      <c r="BE898" s="98"/>
      <c r="BF898" t="s">
        <v>1152</v>
      </c>
      <c r="BG898" t="s">
        <v>322</v>
      </c>
      <c r="BH898" t="s">
        <v>1153</v>
      </c>
      <c r="BI898">
        <v>1.6533305261415048</v>
      </c>
      <c r="BJ898" t="s">
        <v>983</v>
      </c>
      <c r="BK898">
        <v>32.173526157196882</v>
      </c>
      <c r="BL898">
        <v>73.867658276226578</v>
      </c>
      <c r="BM898" t="s">
        <v>1260</v>
      </c>
      <c r="BN898" t="s">
        <v>1154</v>
      </c>
      <c r="BO898">
        <v>2025</v>
      </c>
      <c r="BP898" t="s">
        <v>966</v>
      </c>
      <c r="BQ898">
        <v>1.0315291398832471E-2</v>
      </c>
      <c r="BR898">
        <v>99.999998968470862</v>
      </c>
      <c r="BS898" t="s">
        <v>984</v>
      </c>
      <c r="BT898">
        <v>3</v>
      </c>
      <c r="BU898">
        <v>1</v>
      </c>
      <c r="BV898" t="s">
        <v>985</v>
      </c>
      <c r="BW898" t="s">
        <v>943</v>
      </c>
      <c r="BX898" t="s">
        <v>986</v>
      </c>
      <c r="BY898">
        <v>7.1066284944359426</v>
      </c>
      <c r="BZ898" t="s">
        <v>2573</v>
      </c>
      <c r="CA898" t="s">
        <v>983</v>
      </c>
      <c r="CB898" t="b">
        <v>1</v>
      </c>
      <c r="CC898" t="b">
        <v>0</v>
      </c>
      <c r="CD898" t="b">
        <v>0</v>
      </c>
      <c r="CE898" t="b">
        <v>0</v>
      </c>
      <c r="CF898" t="b">
        <v>0</v>
      </c>
    </row>
    <row r="899" spans="1:84" x14ac:dyDescent="0.3">
      <c r="A899" t="s">
        <v>3018</v>
      </c>
      <c r="B899" t="s">
        <v>1247</v>
      </c>
      <c r="C899" s="98">
        <v>45817</v>
      </c>
      <c r="D899">
        <v>2025</v>
      </c>
      <c r="E899">
        <v>6</v>
      </c>
      <c r="F899">
        <v>2</v>
      </c>
      <c r="G899" t="s">
        <v>1243</v>
      </c>
      <c r="H899" t="s">
        <v>141</v>
      </c>
      <c r="I899" t="s">
        <v>141</v>
      </c>
      <c r="J899" t="s">
        <v>6</v>
      </c>
      <c r="L899">
        <v>522611</v>
      </c>
      <c r="M899" s="99" t="s">
        <v>180</v>
      </c>
      <c r="N899">
        <v>3</v>
      </c>
      <c r="O899">
        <v>23</v>
      </c>
      <c r="P899">
        <v>1.7264999999999999</v>
      </c>
      <c r="Q899" t="s">
        <v>352</v>
      </c>
      <c r="R899">
        <v>1</v>
      </c>
      <c r="S899">
        <v>1.8631</v>
      </c>
      <c r="T899">
        <v>0.12759999999999999</v>
      </c>
      <c r="U899">
        <v>-1.0705329153605021</v>
      </c>
      <c r="V899">
        <v>1.4802999999999999</v>
      </c>
      <c r="W899">
        <v>1.6078999999999999</v>
      </c>
      <c r="X899">
        <v>1.7355</v>
      </c>
      <c r="Y899">
        <v>1.9906999999999999</v>
      </c>
      <c r="Z899">
        <v>2.1183000000000001</v>
      </c>
      <c r="AA899">
        <v>2.2458999999999998</v>
      </c>
      <c r="AD899">
        <v>43.555633017205778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 t="s">
        <v>462</v>
      </c>
      <c r="AL899" t="s">
        <v>6</v>
      </c>
      <c r="AM899" t="s">
        <v>1145</v>
      </c>
      <c r="AN899" t="s">
        <v>1146</v>
      </c>
      <c r="AO899" s="100">
        <v>46262.040405092594</v>
      </c>
      <c r="AP899" t="s">
        <v>1147</v>
      </c>
      <c r="AQ899" t="s">
        <v>3019</v>
      </c>
      <c r="AR899" t="s">
        <v>1249</v>
      </c>
      <c r="AS899" t="s">
        <v>1150</v>
      </c>
      <c r="AT899" t="s">
        <v>2875</v>
      </c>
      <c r="AU899">
        <v>25</v>
      </c>
      <c r="AV899">
        <v>1.8723040000000004</v>
      </c>
      <c r="AW899">
        <v>0.11039531421215307</v>
      </c>
      <c r="AX899">
        <v>5.8962280811317527</v>
      </c>
      <c r="AY899">
        <v>-1.6533305261415048</v>
      </c>
      <c r="AZ899">
        <v>11.382106860008896</v>
      </c>
      <c r="BA899">
        <v>7.1066284944359426</v>
      </c>
      <c r="BB899" t="s">
        <v>4619</v>
      </c>
      <c r="BD899" s="98"/>
      <c r="BE899" s="98"/>
      <c r="BF899" t="s">
        <v>1152</v>
      </c>
      <c r="BG899" t="s">
        <v>322</v>
      </c>
      <c r="BH899" t="s">
        <v>1153</v>
      </c>
      <c r="BI899">
        <v>1.6533305261415048</v>
      </c>
      <c r="BJ899" t="s">
        <v>983</v>
      </c>
      <c r="BK899">
        <v>32.173526157196882</v>
      </c>
      <c r="BL899">
        <v>73.867658276226578</v>
      </c>
      <c r="BM899" t="s">
        <v>1260</v>
      </c>
      <c r="BN899" t="s">
        <v>1154</v>
      </c>
      <c r="BO899">
        <v>2025</v>
      </c>
      <c r="BP899" t="s">
        <v>966</v>
      </c>
      <c r="BQ899">
        <v>1.0315291398832471E-2</v>
      </c>
      <c r="BR899">
        <v>99.999998968470862</v>
      </c>
      <c r="BS899" t="s">
        <v>984</v>
      </c>
      <c r="BT899">
        <v>3</v>
      </c>
      <c r="BU899">
        <v>1</v>
      </c>
      <c r="BV899" t="s">
        <v>985</v>
      </c>
      <c r="BW899" t="s">
        <v>943</v>
      </c>
      <c r="BX899" t="s">
        <v>986</v>
      </c>
      <c r="BY899">
        <v>7.1066284944359426</v>
      </c>
      <c r="BZ899" t="s">
        <v>2573</v>
      </c>
      <c r="CA899" t="s">
        <v>983</v>
      </c>
      <c r="CB899" t="b">
        <v>1</v>
      </c>
      <c r="CC899" t="b">
        <v>0</v>
      </c>
      <c r="CD899" t="b">
        <v>0</v>
      </c>
      <c r="CE899" t="b">
        <v>0</v>
      </c>
      <c r="CF899" t="b">
        <v>0</v>
      </c>
    </row>
    <row r="900" spans="1:84" x14ac:dyDescent="0.3">
      <c r="A900" t="s">
        <v>3020</v>
      </c>
      <c r="B900" t="s">
        <v>1251</v>
      </c>
      <c r="C900" s="98">
        <v>45824</v>
      </c>
      <c r="D900">
        <v>2025</v>
      </c>
      <c r="E900">
        <v>6</v>
      </c>
      <c r="F900">
        <v>2</v>
      </c>
      <c r="G900" t="s">
        <v>1243</v>
      </c>
      <c r="H900" t="s">
        <v>141</v>
      </c>
      <c r="I900" t="s">
        <v>141</v>
      </c>
      <c r="J900" t="s">
        <v>6</v>
      </c>
      <c r="L900">
        <v>522611</v>
      </c>
      <c r="M900" s="99" t="s">
        <v>180</v>
      </c>
      <c r="N900">
        <v>3</v>
      </c>
      <c r="O900">
        <v>24</v>
      </c>
      <c r="P900">
        <v>1.8864000000000001</v>
      </c>
      <c r="Q900" t="s">
        <v>352</v>
      </c>
      <c r="R900">
        <v>1</v>
      </c>
      <c r="S900">
        <v>1.8631</v>
      </c>
      <c r="T900">
        <v>0.12759999999999999</v>
      </c>
      <c r="U900">
        <v>0.18260188087774373</v>
      </c>
      <c r="V900">
        <v>1.4802999999999999</v>
      </c>
      <c r="W900">
        <v>1.6078999999999999</v>
      </c>
      <c r="X900">
        <v>1.7355</v>
      </c>
      <c r="Y900">
        <v>1.9906999999999999</v>
      </c>
      <c r="Z900">
        <v>2.1183000000000001</v>
      </c>
      <c r="AA900">
        <v>2.2458999999999998</v>
      </c>
      <c r="AD900">
        <v>43.555633017205778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 t="s">
        <v>462</v>
      </c>
      <c r="AL900" t="s">
        <v>6</v>
      </c>
      <c r="AM900" t="s">
        <v>1145</v>
      </c>
      <c r="AN900" t="s">
        <v>1146</v>
      </c>
      <c r="AO900" s="100">
        <v>46262.040405092594</v>
      </c>
      <c r="AP900" t="s">
        <v>1147</v>
      </c>
      <c r="AQ900" t="s">
        <v>3021</v>
      </c>
      <c r="AR900" t="s">
        <v>1253</v>
      </c>
      <c r="AS900" t="s">
        <v>1150</v>
      </c>
      <c r="AT900" t="s">
        <v>2875</v>
      </c>
      <c r="AU900">
        <v>25</v>
      </c>
      <c r="AV900">
        <v>1.8723040000000004</v>
      </c>
      <c r="AW900">
        <v>0.11039531421215307</v>
      </c>
      <c r="AX900">
        <v>5.8962280811317527</v>
      </c>
      <c r="AY900">
        <v>-1.6533305261415048</v>
      </c>
      <c r="AZ900">
        <v>11.382106860008896</v>
      </c>
      <c r="BA900">
        <v>7.1066284944359426</v>
      </c>
      <c r="BB900" t="s">
        <v>4619</v>
      </c>
      <c r="BD900" s="98"/>
      <c r="BE900" s="98"/>
      <c r="BF900" t="s">
        <v>1152</v>
      </c>
      <c r="BG900" t="s">
        <v>322</v>
      </c>
      <c r="BH900" t="s">
        <v>1153</v>
      </c>
      <c r="BI900">
        <v>1.6533305261415048</v>
      </c>
      <c r="BJ900" t="s">
        <v>983</v>
      </c>
      <c r="BK900">
        <v>32.173526157196882</v>
      </c>
      <c r="BL900">
        <v>73.867658276226578</v>
      </c>
      <c r="BM900" t="s">
        <v>1260</v>
      </c>
      <c r="BN900" t="s">
        <v>1154</v>
      </c>
      <c r="BO900">
        <v>2025</v>
      </c>
      <c r="BP900" t="s">
        <v>966</v>
      </c>
      <c r="BQ900">
        <v>1.0315291398832471E-2</v>
      </c>
      <c r="BR900">
        <v>99.999998968470862</v>
      </c>
      <c r="BS900" t="s">
        <v>984</v>
      </c>
      <c r="BT900">
        <v>3</v>
      </c>
      <c r="BU900">
        <v>1</v>
      </c>
      <c r="BV900" t="s">
        <v>985</v>
      </c>
      <c r="BW900" t="s">
        <v>943</v>
      </c>
      <c r="BX900" t="s">
        <v>986</v>
      </c>
      <c r="BY900">
        <v>7.1066284944359426</v>
      </c>
      <c r="BZ900" t="s">
        <v>2573</v>
      </c>
      <c r="CA900" t="s">
        <v>983</v>
      </c>
      <c r="CB900" t="b">
        <v>1</v>
      </c>
      <c r="CC900" t="b">
        <v>0</v>
      </c>
      <c r="CD900" t="b">
        <v>0</v>
      </c>
      <c r="CE900" t="b">
        <v>0</v>
      </c>
      <c r="CF900" t="b">
        <v>0</v>
      </c>
    </row>
    <row r="901" spans="1:84" x14ac:dyDescent="0.3">
      <c r="A901" t="s">
        <v>3022</v>
      </c>
      <c r="B901" t="s">
        <v>1255</v>
      </c>
      <c r="C901" s="98">
        <v>45831</v>
      </c>
      <c r="D901">
        <v>2025</v>
      </c>
      <c r="E901">
        <v>6</v>
      </c>
      <c r="F901">
        <v>2</v>
      </c>
      <c r="G901" t="s">
        <v>1243</v>
      </c>
      <c r="H901" t="s">
        <v>141</v>
      </c>
      <c r="I901" t="s">
        <v>141</v>
      </c>
      <c r="J901" t="s">
        <v>6</v>
      </c>
      <c r="L901">
        <v>522611</v>
      </c>
      <c r="M901" s="99" t="s">
        <v>180</v>
      </c>
      <c r="N901">
        <v>3</v>
      </c>
      <c r="O901">
        <v>25</v>
      </c>
      <c r="P901">
        <v>1.7278</v>
      </c>
      <c r="Q901" t="s">
        <v>352</v>
      </c>
      <c r="R901">
        <v>1</v>
      </c>
      <c r="S901">
        <v>1.8631</v>
      </c>
      <c r="T901">
        <v>0.12759999999999999</v>
      </c>
      <c r="U901">
        <v>-1.0603448275862069</v>
      </c>
      <c r="V901">
        <v>1.4802999999999999</v>
      </c>
      <c r="W901">
        <v>1.6078999999999999</v>
      </c>
      <c r="X901">
        <v>1.7355</v>
      </c>
      <c r="Y901">
        <v>1.9906999999999999</v>
      </c>
      <c r="Z901">
        <v>2.1183000000000001</v>
      </c>
      <c r="AA901">
        <v>2.2458999999999998</v>
      </c>
      <c r="AD901">
        <v>43.555633017205778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 t="s">
        <v>462</v>
      </c>
      <c r="AL901" t="s">
        <v>6</v>
      </c>
      <c r="AM901" t="s">
        <v>1145</v>
      </c>
      <c r="AN901" t="s">
        <v>1146</v>
      </c>
      <c r="AO901" s="100">
        <v>46262.040405092594</v>
      </c>
      <c r="AP901" t="s">
        <v>1147</v>
      </c>
      <c r="AQ901" t="s">
        <v>3023</v>
      </c>
      <c r="AR901" t="s">
        <v>1257</v>
      </c>
      <c r="AS901" t="s">
        <v>1150</v>
      </c>
      <c r="AT901" t="s">
        <v>2875</v>
      </c>
      <c r="AU901">
        <v>25</v>
      </c>
      <c r="AV901">
        <v>1.8723040000000004</v>
      </c>
      <c r="AW901">
        <v>0.11039531421215307</v>
      </c>
      <c r="AX901">
        <v>5.8962280811317527</v>
      </c>
      <c r="AY901">
        <v>-1.6533305261415048</v>
      </c>
      <c r="AZ901">
        <v>11.382106860008896</v>
      </c>
      <c r="BA901">
        <v>7.1066284944359426</v>
      </c>
      <c r="BB901" t="s">
        <v>4619</v>
      </c>
      <c r="BD901" s="98"/>
      <c r="BE901" s="98"/>
      <c r="BF901" t="s">
        <v>1152</v>
      </c>
      <c r="BG901" t="s">
        <v>322</v>
      </c>
      <c r="BH901" t="s">
        <v>1153</v>
      </c>
      <c r="BI901">
        <v>1.6533305261415048</v>
      </c>
      <c r="BJ901" t="s">
        <v>983</v>
      </c>
      <c r="BK901">
        <v>32.173526157196882</v>
      </c>
      <c r="BL901">
        <v>73.867658276226578</v>
      </c>
      <c r="BM901" t="s">
        <v>1260</v>
      </c>
      <c r="BN901" t="s">
        <v>1154</v>
      </c>
      <c r="BO901">
        <v>2025</v>
      </c>
      <c r="BP901" t="s">
        <v>966</v>
      </c>
      <c r="BQ901">
        <v>1.0315291398832471E-2</v>
      </c>
      <c r="BR901">
        <v>99.999998968470862</v>
      </c>
      <c r="BS901" t="s">
        <v>984</v>
      </c>
      <c r="BT901">
        <v>3</v>
      </c>
      <c r="BU901">
        <v>1</v>
      </c>
      <c r="BV901" t="s">
        <v>985</v>
      </c>
      <c r="BW901" t="s">
        <v>943</v>
      </c>
      <c r="BX901" t="s">
        <v>986</v>
      </c>
      <c r="BY901">
        <v>7.1066284944359426</v>
      </c>
      <c r="BZ901" t="s">
        <v>2573</v>
      </c>
      <c r="CA901" t="s">
        <v>983</v>
      </c>
      <c r="CB901" t="b">
        <v>1</v>
      </c>
      <c r="CC901" t="b">
        <v>0</v>
      </c>
      <c r="CD901" t="b">
        <v>0</v>
      </c>
      <c r="CE901" t="b">
        <v>0</v>
      </c>
      <c r="CF901" t="b">
        <v>0</v>
      </c>
    </row>
    <row r="902" spans="1:84" x14ac:dyDescent="0.3">
      <c r="A902" t="s">
        <v>3024</v>
      </c>
      <c r="B902" t="s">
        <v>1143</v>
      </c>
      <c r="C902" s="98">
        <v>45663</v>
      </c>
      <c r="D902">
        <v>2025</v>
      </c>
      <c r="E902">
        <v>1</v>
      </c>
      <c r="F902">
        <v>1</v>
      </c>
      <c r="G902" t="s">
        <v>1144</v>
      </c>
      <c r="H902" t="s">
        <v>142</v>
      </c>
      <c r="I902" t="s">
        <v>142</v>
      </c>
      <c r="J902" t="s">
        <v>6</v>
      </c>
      <c r="L902">
        <v>522611</v>
      </c>
      <c r="M902" s="99" t="s">
        <v>178</v>
      </c>
      <c r="N902">
        <v>1</v>
      </c>
      <c r="O902">
        <v>1</v>
      </c>
      <c r="P902">
        <v>0.151</v>
      </c>
      <c r="Q902" t="s">
        <v>352</v>
      </c>
      <c r="R902">
        <v>1</v>
      </c>
      <c r="S902">
        <v>0.14449999999999999</v>
      </c>
      <c r="T902">
        <v>5.7000000000000002E-3</v>
      </c>
      <c r="U902">
        <v>1.1403508771929833</v>
      </c>
      <c r="V902">
        <v>0.12739999999999999</v>
      </c>
      <c r="W902">
        <v>0.1331</v>
      </c>
      <c r="X902">
        <v>0.13879999999999998</v>
      </c>
      <c r="Y902">
        <v>0.1502</v>
      </c>
      <c r="Z902">
        <v>0.15589999999999998</v>
      </c>
      <c r="AA902">
        <v>0.16159999999999999</v>
      </c>
      <c r="AD902">
        <v>26.2487335922151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 t="s">
        <v>462</v>
      </c>
      <c r="AL902" t="s">
        <v>6</v>
      </c>
      <c r="AM902" t="s">
        <v>1145</v>
      </c>
      <c r="AN902" t="s">
        <v>1146</v>
      </c>
      <c r="AO902" s="100">
        <v>46262.040405092594</v>
      </c>
      <c r="AP902" t="s">
        <v>1147</v>
      </c>
      <c r="AQ902" t="s">
        <v>3025</v>
      </c>
      <c r="AR902" t="s">
        <v>1149</v>
      </c>
      <c r="AS902" t="s">
        <v>1150</v>
      </c>
      <c r="AT902" t="s">
        <v>3026</v>
      </c>
      <c r="AU902">
        <v>25</v>
      </c>
      <c r="AV902">
        <v>0.14679599999999998</v>
      </c>
      <c r="AW902">
        <v>5.6076198159290356E-3</v>
      </c>
      <c r="AX902">
        <v>3.8200085941912834</v>
      </c>
      <c r="AY902">
        <v>-0.93762681339590548</v>
      </c>
      <c r="AZ902">
        <v>7.2406409938115228</v>
      </c>
      <c r="BA902">
        <v>6.6259292759988391</v>
      </c>
      <c r="BB902" t="s">
        <v>4619</v>
      </c>
      <c r="BD902" s="98"/>
      <c r="BE902" s="98"/>
      <c r="BF902" t="s">
        <v>1152</v>
      </c>
      <c r="BG902" t="s">
        <v>322</v>
      </c>
      <c r="BH902" t="s">
        <v>1153</v>
      </c>
      <c r="BI902">
        <v>0.93762681339590548</v>
      </c>
      <c r="BJ902" t="s">
        <v>983</v>
      </c>
      <c r="BK902">
        <v>19.008092598403579</v>
      </c>
      <c r="BL902">
        <v>72.415274937458449</v>
      </c>
      <c r="BM902" t="s">
        <v>1260</v>
      </c>
      <c r="BN902" t="s">
        <v>1154</v>
      </c>
      <c r="BO902">
        <v>2025</v>
      </c>
      <c r="BP902" t="s">
        <v>966</v>
      </c>
      <c r="BQ902">
        <v>0.14803686998465793</v>
      </c>
      <c r="BR902">
        <v>99.999985196313006</v>
      </c>
      <c r="BS902" t="s">
        <v>984</v>
      </c>
      <c r="BT902">
        <v>3</v>
      </c>
      <c r="BU902">
        <v>1</v>
      </c>
      <c r="BV902" t="s">
        <v>985</v>
      </c>
      <c r="BW902" t="s">
        <v>943</v>
      </c>
      <c r="BX902" t="s">
        <v>986</v>
      </c>
      <c r="BY902">
        <v>6.6259292759988391</v>
      </c>
      <c r="BZ902" t="s">
        <v>1155</v>
      </c>
      <c r="CA902" t="s">
        <v>983</v>
      </c>
      <c r="CB902" t="b">
        <v>1</v>
      </c>
      <c r="CC902" t="b">
        <v>0</v>
      </c>
      <c r="CD902" t="b">
        <v>0</v>
      </c>
      <c r="CE902" t="b">
        <v>0</v>
      </c>
      <c r="CF902" t="b">
        <v>0</v>
      </c>
    </row>
    <row r="903" spans="1:84" x14ac:dyDescent="0.3">
      <c r="A903" t="s">
        <v>3027</v>
      </c>
      <c r="B903" t="s">
        <v>1157</v>
      </c>
      <c r="C903" s="98">
        <v>45670</v>
      </c>
      <c r="D903">
        <v>2025</v>
      </c>
      <c r="E903">
        <v>1</v>
      </c>
      <c r="F903">
        <v>1</v>
      </c>
      <c r="G903" t="s">
        <v>1144</v>
      </c>
      <c r="H903" t="s">
        <v>142</v>
      </c>
      <c r="I903" t="s">
        <v>142</v>
      </c>
      <c r="J903" t="s">
        <v>6</v>
      </c>
      <c r="L903">
        <v>522611</v>
      </c>
      <c r="M903" s="99" t="s">
        <v>178</v>
      </c>
      <c r="N903">
        <v>1</v>
      </c>
      <c r="O903">
        <v>2</v>
      </c>
      <c r="P903">
        <v>0.15770000000000001</v>
      </c>
      <c r="Q903" t="s">
        <v>352</v>
      </c>
      <c r="R903">
        <v>1</v>
      </c>
      <c r="S903">
        <v>0.14449999999999999</v>
      </c>
      <c r="T903">
        <v>5.7000000000000002E-3</v>
      </c>
      <c r="U903">
        <v>2.3157894736842133</v>
      </c>
      <c r="V903">
        <v>0.12739999999999999</v>
      </c>
      <c r="W903">
        <v>0.1331</v>
      </c>
      <c r="X903">
        <v>0.13879999999999998</v>
      </c>
      <c r="Y903">
        <v>0.1502</v>
      </c>
      <c r="Z903">
        <v>0.15589999999999998</v>
      </c>
      <c r="AA903">
        <v>0.16159999999999999</v>
      </c>
      <c r="AD903">
        <v>26.2487335922151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1</v>
      </c>
      <c r="AK903" t="s">
        <v>462</v>
      </c>
      <c r="AL903" t="s">
        <v>6</v>
      </c>
      <c r="AM903" t="s">
        <v>1145</v>
      </c>
      <c r="AN903" t="s">
        <v>1146</v>
      </c>
      <c r="AO903" s="100">
        <v>46262.040405092594</v>
      </c>
      <c r="AP903" t="s">
        <v>1147</v>
      </c>
      <c r="AQ903" t="s">
        <v>3028</v>
      </c>
      <c r="AR903" t="s">
        <v>1159</v>
      </c>
      <c r="AS903" t="s">
        <v>1150</v>
      </c>
      <c r="AT903" t="s">
        <v>3026</v>
      </c>
      <c r="AU903">
        <v>25</v>
      </c>
      <c r="AV903">
        <v>0.14679599999999998</v>
      </c>
      <c r="AW903">
        <v>5.6076198159290356E-3</v>
      </c>
      <c r="AX903">
        <v>3.8200085941912834</v>
      </c>
      <c r="AY903">
        <v>-0.93762681339590548</v>
      </c>
      <c r="AZ903">
        <v>7.2406409938115228</v>
      </c>
      <c r="BA903">
        <v>6.6259292759988391</v>
      </c>
      <c r="BB903" t="s">
        <v>4619</v>
      </c>
      <c r="BD903" s="98"/>
      <c r="BE903" s="98"/>
      <c r="BF903" t="s">
        <v>1152</v>
      </c>
      <c r="BG903" t="s">
        <v>322</v>
      </c>
      <c r="BH903" t="s">
        <v>1153</v>
      </c>
      <c r="BI903">
        <v>0.93762681339590548</v>
      </c>
      <c r="BJ903" t="s">
        <v>983</v>
      </c>
      <c r="BK903">
        <v>19.008092598403579</v>
      </c>
      <c r="BL903">
        <v>72.415274937458449</v>
      </c>
      <c r="BM903" t="s">
        <v>1260</v>
      </c>
      <c r="BN903" t="s">
        <v>1154</v>
      </c>
      <c r="BO903">
        <v>2025</v>
      </c>
      <c r="BP903" t="s">
        <v>966</v>
      </c>
      <c r="BQ903">
        <v>0.14803686998465793</v>
      </c>
      <c r="BR903">
        <v>99.999985196313006</v>
      </c>
      <c r="BS903" t="s">
        <v>984</v>
      </c>
      <c r="BT903">
        <v>3</v>
      </c>
      <c r="BU903">
        <v>1</v>
      </c>
      <c r="BV903" t="s">
        <v>985</v>
      </c>
      <c r="BW903" t="s">
        <v>943</v>
      </c>
      <c r="BX903" t="s">
        <v>986</v>
      </c>
      <c r="BY903">
        <v>6.6259292759988391</v>
      </c>
      <c r="BZ903" t="s">
        <v>1155</v>
      </c>
      <c r="CA903" t="s">
        <v>983</v>
      </c>
      <c r="CB903" t="b">
        <v>1</v>
      </c>
      <c r="CC903" t="b">
        <v>0</v>
      </c>
      <c r="CD903" t="b">
        <v>0</v>
      </c>
      <c r="CE903" t="b">
        <v>0</v>
      </c>
      <c r="CF903" t="b">
        <v>0</v>
      </c>
    </row>
    <row r="904" spans="1:84" x14ac:dyDescent="0.3">
      <c r="A904" t="s">
        <v>3029</v>
      </c>
      <c r="B904" t="s">
        <v>1161</v>
      </c>
      <c r="C904" s="98">
        <v>45677</v>
      </c>
      <c r="D904">
        <v>2025</v>
      </c>
      <c r="E904">
        <v>1</v>
      </c>
      <c r="F904">
        <v>1</v>
      </c>
      <c r="G904" t="s">
        <v>1144</v>
      </c>
      <c r="H904" t="s">
        <v>142</v>
      </c>
      <c r="I904" t="s">
        <v>142</v>
      </c>
      <c r="J904" t="s">
        <v>6</v>
      </c>
      <c r="L904">
        <v>522611</v>
      </c>
      <c r="M904" s="99" t="s">
        <v>178</v>
      </c>
      <c r="N904">
        <v>1</v>
      </c>
      <c r="O904">
        <v>3</v>
      </c>
      <c r="P904">
        <v>0.15609999999999999</v>
      </c>
      <c r="Q904" t="s">
        <v>352</v>
      </c>
      <c r="R904">
        <v>1</v>
      </c>
      <c r="S904">
        <v>0.14449999999999999</v>
      </c>
      <c r="T904">
        <v>5.7000000000000002E-3</v>
      </c>
      <c r="U904">
        <v>2.0350877192982453</v>
      </c>
      <c r="V904">
        <v>0.12739999999999999</v>
      </c>
      <c r="W904">
        <v>0.1331</v>
      </c>
      <c r="X904">
        <v>0.13879999999999998</v>
      </c>
      <c r="Y904">
        <v>0.1502</v>
      </c>
      <c r="Z904">
        <v>0.15589999999999998</v>
      </c>
      <c r="AA904">
        <v>0.16159999999999999</v>
      </c>
      <c r="AD904">
        <v>26.2487335922151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1</v>
      </c>
      <c r="AK904" t="s">
        <v>462</v>
      </c>
      <c r="AL904" t="s">
        <v>6</v>
      </c>
      <c r="AM904" t="s">
        <v>1145</v>
      </c>
      <c r="AN904" t="s">
        <v>1146</v>
      </c>
      <c r="AO904" s="100">
        <v>46262.040405092594</v>
      </c>
      <c r="AP904" t="s">
        <v>1147</v>
      </c>
      <c r="AQ904" t="s">
        <v>3030</v>
      </c>
      <c r="AR904" t="s">
        <v>1163</v>
      </c>
      <c r="AS904" t="s">
        <v>1150</v>
      </c>
      <c r="AT904" t="s">
        <v>3026</v>
      </c>
      <c r="AU904">
        <v>25</v>
      </c>
      <c r="AV904">
        <v>0.14679599999999998</v>
      </c>
      <c r="AW904">
        <v>5.6076198159290356E-3</v>
      </c>
      <c r="AX904">
        <v>3.8200085941912834</v>
      </c>
      <c r="AY904">
        <v>-0.93762681339590548</v>
      </c>
      <c r="AZ904">
        <v>7.2406409938115228</v>
      </c>
      <c r="BA904">
        <v>6.6259292759988391</v>
      </c>
      <c r="BB904" t="s">
        <v>4619</v>
      </c>
      <c r="BD904" s="98"/>
      <c r="BE904" s="98"/>
      <c r="BF904" t="s">
        <v>1152</v>
      </c>
      <c r="BG904" t="s">
        <v>322</v>
      </c>
      <c r="BH904" t="s">
        <v>1153</v>
      </c>
      <c r="BI904">
        <v>0.93762681339590548</v>
      </c>
      <c r="BJ904" t="s">
        <v>983</v>
      </c>
      <c r="BK904">
        <v>19.008092598403579</v>
      </c>
      <c r="BL904">
        <v>72.415274937458449</v>
      </c>
      <c r="BM904" t="s">
        <v>1260</v>
      </c>
      <c r="BN904" t="s">
        <v>1154</v>
      </c>
      <c r="BO904">
        <v>2025</v>
      </c>
      <c r="BP904" t="s">
        <v>966</v>
      </c>
      <c r="BQ904">
        <v>0.14803686998465793</v>
      </c>
      <c r="BR904">
        <v>99.999985196313006</v>
      </c>
      <c r="BS904" t="s">
        <v>984</v>
      </c>
      <c r="BT904">
        <v>3</v>
      </c>
      <c r="BU904">
        <v>1</v>
      </c>
      <c r="BV904" t="s">
        <v>985</v>
      </c>
      <c r="BW904" t="s">
        <v>943</v>
      </c>
      <c r="BX904" t="s">
        <v>986</v>
      </c>
      <c r="BY904">
        <v>6.6259292759988391</v>
      </c>
      <c r="BZ904" t="s">
        <v>1155</v>
      </c>
      <c r="CA904" t="s">
        <v>983</v>
      </c>
      <c r="CB904" t="b">
        <v>1</v>
      </c>
      <c r="CC904" t="b">
        <v>0</v>
      </c>
      <c r="CD904" t="b">
        <v>0</v>
      </c>
      <c r="CE904" t="b">
        <v>0</v>
      </c>
      <c r="CF904" t="b">
        <v>0</v>
      </c>
    </row>
    <row r="905" spans="1:84" x14ac:dyDescent="0.3">
      <c r="A905" t="s">
        <v>3031</v>
      </c>
      <c r="B905" t="s">
        <v>1165</v>
      </c>
      <c r="C905" s="98">
        <v>45684</v>
      </c>
      <c r="D905">
        <v>2025</v>
      </c>
      <c r="E905">
        <v>1</v>
      </c>
      <c r="F905">
        <v>1</v>
      </c>
      <c r="G905" t="s">
        <v>1144</v>
      </c>
      <c r="H905" t="s">
        <v>142</v>
      </c>
      <c r="I905" t="s">
        <v>142</v>
      </c>
      <c r="J905" t="s">
        <v>6</v>
      </c>
      <c r="L905">
        <v>522611</v>
      </c>
      <c r="M905" s="99" t="s">
        <v>178</v>
      </c>
      <c r="N905">
        <v>1</v>
      </c>
      <c r="O905">
        <v>4</v>
      </c>
      <c r="P905">
        <v>0.14319999999999999</v>
      </c>
      <c r="Q905" t="s">
        <v>352</v>
      </c>
      <c r="R905">
        <v>1</v>
      </c>
      <c r="S905">
        <v>0.14449999999999999</v>
      </c>
      <c r="T905">
        <v>5.7000000000000002E-3</v>
      </c>
      <c r="U905">
        <v>-0.2280701754385957</v>
      </c>
      <c r="V905">
        <v>0.12739999999999999</v>
      </c>
      <c r="W905">
        <v>0.1331</v>
      </c>
      <c r="X905">
        <v>0.13879999999999998</v>
      </c>
      <c r="Y905">
        <v>0.1502</v>
      </c>
      <c r="Z905">
        <v>0.15589999999999998</v>
      </c>
      <c r="AA905">
        <v>0.16159999999999999</v>
      </c>
      <c r="AD905">
        <v>26.2487335922151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 t="s">
        <v>462</v>
      </c>
      <c r="AL905" t="s">
        <v>6</v>
      </c>
      <c r="AM905" t="s">
        <v>1145</v>
      </c>
      <c r="AN905" t="s">
        <v>1146</v>
      </c>
      <c r="AO905" s="100">
        <v>46262.040405092594</v>
      </c>
      <c r="AP905" t="s">
        <v>1147</v>
      </c>
      <c r="AQ905" t="s">
        <v>3032</v>
      </c>
      <c r="AR905" t="s">
        <v>1167</v>
      </c>
      <c r="AS905" t="s">
        <v>1150</v>
      </c>
      <c r="AT905" t="s">
        <v>3026</v>
      </c>
      <c r="AU905">
        <v>25</v>
      </c>
      <c r="AV905">
        <v>0.14679599999999998</v>
      </c>
      <c r="AW905">
        <v>5.6076198159290356E-3</v>
      </c>
      <c r="AX905">
        <v>3.8200085941912834</v>
      </c>
      <c r="AY905">
        <v>-0.93762681339590548</v>
      </c>
      <c r="AZ905">
        <v>7.2406409938115228</v>
      </c>
      <c r="BA905">
        <v>6.6259292759988391</v>
      </c>
      <c r="BB905" t="s">
        <v>4619</v>
      </c>
      <c r="BD905" s="98"/>
      <c r="BE905" s="98"/>
      <c r="BF905" t="s">
        <v>1152</v>
      </c>
      <c r="BG905" t="s">
        <v>322</v>
      </c>
      <c r="BH905" t="s">
        <v>1153</v>
      </c>
      <c r="BI905">
        <v>0.93762681339590548</v>
      </c>
      <c r="BJ905" t="s">
        <v>983</v>
      </c>
      <c r="BK905">
        <v>19.008092598403579</v>
      </c>
      <c r="BL905">
        <v>72.415274937458449</v>
      </c>
      <c r="BM905" t="s">
        <v>1260</v>
      </c>
      <c r="BN905" t="s">
        <v>1154</v>
      </c>
      <c r="BO905">
        <v>2025</v>
      </c>
      <c r="BP905" t="s">
        <v>966</v>
      </c>
      <c r="BQ905">
        <v>0.14803686998465793</v>
      </c>
      <c r="BR905">
        <v>99.999985196313006</v>
      </c>
      <c r="BS905" t="s">
        <v>984</v>
      </c>
      <c r="BT905">
        <v>3</v>
      </c>
      <c r="BU905">
        <v>1</v>
      </c>
      <c r="BV905" t="s">
        <v>985</v>
      </c>
      <c r="BW905" t="s">
        <v>943</v>
      </c>
      <c r="BX905" t="s">
        <v>986</v>
      </c>
      <c r="BY905">
        <v>6.6259292759988391</v>
      </c>
      <c r="BZ905" t="s">
        <v>1155</v>
      </c>
      <c r="CA905" t="s">
        <v>983</v>
      </c>
      <c r="CB905" t="b">
        <v>1</v>
      </c>
      <c r="CC905" t="b">
        <v>0</v>
      </c>
      <c r="CD905" t="b">
        <v>0</v>
      </c>
      <c r="CE905" t="b">
        <v>0</v>
      </c>
      <c r="CF905" t="b">
        <v>0</v>
      </c>
    </row>
    <row r="906" spans="1:84" x14ac:dyDescent="0.3">
      <c r="A906" t="s">
        <v>3033</v>
      </c>
      <c r="B906" t="s">
        <v>1169</v>
      </c>
      <c r="C906" s="98">
        <v>45691</v>
      </c>
      <c r="D906">
        <v>2025</v>
      </c>
      <c r="E906">
        <v>2</v>
      </c>
      <c r="F906">
        <v>1</v>
      </c>
      <c r="G906" t="s">
        <v>1170</v>
      </c>
      <c r="H906" t="s">
        <v>142</v>
      </c>
      <c r="I906" t="s">
        <v>142</v>
      </c>
      <c r="J906" t="s">
        <v>6</v>
      </c>
      <c r="L906">
        <v>522611</v>
      </c>
      <c r="M906" s="99" t="s">
        <v>178</v>
      </c>
      <c r="N906">
        <v>1</v>
      </c>
      <c r="O906">
        <v>5</v>
      </c>
      <c r="P906">
        <v>0.1487</v>
      </c>
      <c r="Q906" t="s">
        <v>352</v>
      </c>
      <c r="R906">
        <v>1</v>
      </c>
      <c r="S906">
        <v>0.14449999999999999</v>
      </c>
      <c r="T906">
        <v>5.7000000000000002E-3</v>
      </c>
      <c r="U906">
        <v>0.73684210526315952</v>
      </c>
      <c r="V906">
        <v>0.12739999999999999</v>
      </c>
      <c r="W906">
        <v>0.1331</v>
      </c>
      <c r="X906">
        <v>0.13879999999999998</v>
      </c>
      <c r="Y906">
        <v>0.1502</v>
      </c>
      <c r="Z906">
        <v>0.15589999999999998</v>
      </c>
      <c r="AA906">
        <v>0.16159999999999999</v>
      </c>
      <c r="AD906">
        <v>26.2487335922151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 t="s">
        <v>462</v>
      </c>
      <c r="AL906" t="s">
        <v>6</v>
      </c>
      <c r="AM906" t="s">
        <v>1145</v>
      </c>
      <c r="AN906" t="s">
        <v>1146</v>
      </c>
      <c r="AO906" s="100">
        <v>46262.040405092594</v>
      </c>
      <c r="AP906" t="s">
        <v>1147</v>
      </c>
      <c r="AQ906" t="s">
        <v>3034</v>
      </c>
      <c r="AR906" t="s">
        <v>1172</v>
      </c>
      <c r="AS906" t="s">
        <v>1150</v>
      </c>
      <c r="AT906" t="s">
        <v>3026</v>
      </c>
      <c r="AU906">
        <v>25</v>
      </c>
      <c r="AV906">
        <v>0.14679599999999998</v>
      </c>
      <c r="AW906">
        <v>5.6076198159290356E-3</v>
      </c>
      <c r="AX906">
        <v>3.8200085941912834</v>
      </c>
      <c r="AY906">
        <v>-0.93762681339590548</v>
      </c>
      <c r="AZ906">
        <v>7.2406409938115228</v>
      </c>
      <c r="BA906">
        <v>6.6259292759988391</v>
      </c>
      <c r="BB906" t="s">
        <v>4619</v>
      </c>
      <c r="BD906" s="98"/>
      <c r="BE906" s="98"/>
      <c r="BF906" t="s">
        <v>1152</v>
      </c>
      <c r="BG906" t="s">
        <v>322</v>
      </c>
      <c r="BH906" t="s">
        <v>1153</v>
      </c>
      <c r="BI906">
        <v>0.93762681339590548</v>
      </c>
      <c r="BJ906" t="s">
        <v>983</v>
      </c>
      <c r="BK906">
        <v>19.008092598403579</v>
      </c>
      <c r="BL906">
        <v>72.415274937458449</v>
      </c>
      <c r="BM906" t="s">
        <v>1260</v>
      </c>
      <c r="BN906" t="s">
        <v>1154</v>
      </c>
      <c r="BO906">
        <v>2025</v>
      </c>
      <c r="BP906" t="s">
        <v>966</v>
      </c>
      <c r="BQ906">
        <v>0.14803686998465793</v>
      </c>
      <c r="BR906">
        <v>99.999985196313006</v>
      </c>
      <c r="BS906" t="s">
        <v>984</v>
      </c>
      <c r="BT906">
        <v>3</v>
      </c>
      <c r="BU906">
        <v>1</v>
      </c>
      <c r="BV906" t="s">
        <v>985</v>
      </c>
      <c r="BW906" t="s">
        <v>943</v>
      </c>
      <c r="BX906" t="s">
        <v>986</v>
      </c>
      <c r="BY906">
        <v>6.6259292759988391</v>
      </c>
      <c r="BZ906" t="s">
        <v>1155</v>
      </c>
      <c r="CA906" t="s">
        <v>983</v>
      </c>
      <c r="CB906" t="b">
        <v>1</v>
      </c>
      <c r="CC906" t="b">
        <v>0</v>
      </c>
      <c r="CD906" t="b">
        <v>0</v>
      </c>
      <c r="CE906" t="b">
        <v>0</v>
      </c>
      <c r="CF906" t="b">
        <v>0</v>
      </c>
    </row>
    <row r="907" spans="1:84" x14ac:dyDescent="0.3">
      <c r="A907" t="s">
        <v>3035</v>
      </c>
      <c r="B907" t="s">
        <v>1174</v>
      </c>
      <c r="C907" s="98">
        <v>45698</v>
      </c>
      <c r="D907">
        <v>2025</v>
      </c>
      <c r="E907">
        <v>2</v>
      </c>
      <c r="F907">
        <v>1</v>
      </c>
      <c r="G907" t="s">
        <v>1170</v>
      </c>
      <c r="H907" t="s">
        <v>142</v>
      </c>
      <c r="I907" t="s">
        <v>142</v>
      </c>
      <c r="J907" t="s">
        <v>6</v>
      </c>
      <c r="L907">
        <v>522611</v>
      </c>
      <c r="M907" s="99" t="s">
        <v>178</v>
      </c>
      <c r="N907">
        <v>1</v>
      </c>
      <c r="O907">
        <v>6</v>
      </c>
      <c r="P907">
        <v>0.1452</v>
      </c>
      <c r="Q907" t="s">
        <v>352</v>
      </c>
      <c r="R907">
        <v>1</v>
      </c>
      <c r="S907">
        <v>0.14449999999999999</v>
      </c>
      <c r="T907">
        <v>5.7000000000000002E-3</v>
      </c>
      <c r="U907">
        <v>0.12280701754386072</v>
      </c>
      <c r="V907">
        <v>0.12739999999999999</v>
      </c>
      <c r="W907">
        <v>0.1331</v>
      </c>
      <c r="X907">
        <v>0.13879999999999998</v>
      </c>
      <c r="Y907">
        <v>0.1502</v>
      </c>
      <c r="Z907">
        <v>0.15589999999999998</v>
      </c>
      <c r="AA907">
        <v>0.16159999999999999</v>
      </c>
      <c r="AD907">
        <v>26.2487335922151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 t="s">
        <v>462</v>
      </c>
      <c r="AL907" t="s">
        <v>6</v>
      </c>
      <c r="AM907" t="s">
        <v>1145</v>
      </c>
      <c r="AN907" t="s">
        <v>1146</v>
      </c>
      <c r="AO907" s="100">
        <v>46262.040405092594</v>
      </c>
      <c r="AP907" t="s">
        <v>1147</v>
      </c>
      <c r="AQ907" t="s">
        <v>3036</v>
      </c>
      <c r="AR907" t="s">
        <v>1176</v>
      </c>
      <c r="AS907" t="s">
        <v>1150</v>
      </c>
      <c r="AT907" t="s">
        <v>3026</v>
      </c>
      <c r="AU907">
        <v>25</v>
      </c>
      <c r="AV907">
        <v>0.14679599999999998</v>
      </c>
      <c r="AW907">
        <v>5.6076198159290356E-3</v>
      </c>
      <c r="AX907">
        <v>3.8200085941912834</v>
      </c>
      <c r="AY907">
        <v>-0.93762681339590548</v>
      </c>
      <c r="AZ907">
        <v>7.2406409938115228</v>
      </c>
      <c r="BA907">
        <v>6.6259292759988391</v>
      </c>
      <c r="BB907" t="s">
        <v>4619</v>
      </c>
      <c r="BD907" s="98"/>
      <c r="BE907" s="98"/>
      <c r="BF907" t="s">
        <v>1152</v>
      </c>
      <c r="BG907" t="s">
        <v>322</v>
      </c>
      <c r="BH907" t="s">
        <v>1153</v>
      </c>
      <c r="BI907">
        <v>0.93762681339590548</v>
      </c>
      <c r="BJ907" t="s">
        <v>983</v>
      </c>
      <c r="BK907">
        <v>19.008092598403579</v>
      </c>
      <c r="BL907">
        <v>72.415274937458449</v>
      </c>
      <c r="BM907" t="s">
        <v>1260</v>
      </c>
      <c r="BN907" t="s">
        <v>1154</v>
      </c>
      <c r="BO907">
        <v>2025</v>
      </c>
      <c r="BP907" t="s">
        <v>966</v>
      </c>
      <c r="BQ907">
        <v>0.14803686998465793</v>
      </c>
      <c r="BR907">
        <v>99.999985196313006</v>
      </c>
      <c r="BS907" t="s">
        <v>984</v>
      </c>
      <c r="BT907">
        <v>3</v>
      </c>
      <c r="BU907">
        <v>1</v>
      </c>
      <c r="BV907" t="s">
        <v>985</v>
      </c>
      <c r="BW907" t="s">
        <v>943</v>
      </c>
      <c r="BX907" t="s">
        <v>986</v>
      </c>
      <c r="BY907">
        <v>6.6259292759988391</v>
      </c>
      <c r="BZ907" t="s">
        <v>1155</v>
      </c>
      <c r="CA907" t="s">
        <v>983</v>
      </c>
      <c r="CB907" t="b">
        <v>1</v>
      </c>
      <c r="CC907" t="b">
        <v>0</v>
      </c>
      <c r="CD907" t="b">
        <v>0</v>
      </c>
      <c r="CE907" t="b">
        <v>0</v>
      </c>
      <c r="CF907" t="b">
        <v>0</v>
      </c>
    </row>
    <row r="908" spans="1:84" x14ac:dyDescent="0.3">
      <c r="A908" t="s">
        <v>3037</v>
      </c>
      <c r="B908" t="s">
        <v>1178</v>
      </c>
      <c r="C908" s="98">
        <v>45705</v>
      </c>
      <c r="D908">
        <v>2025</v>
      </c>
      <c r="E908">
        <v>2</v>
      </c>
      <c r="F908">
        <v>1</v>
      </c>
      <c r="G908" t="s">
        <v>1170</v>
      </c>
      <c r="H908" t="s">
        <v>142</v>
      </c>
      <c r="I908" t="s">
        <v>142</v>
      </c>
      <c r="J908" t="s">
        <v>6</v>
      </c>
      <c r="L908">
        <v>522611</v>
      </c>
      <c r="M908" s="99" t="s">
        <v>178</v>
      </c>
      <c r="N908">
        <v>1</v>
      </c>
      <c r="O908">
        <v>7</v>
      </c>
      <c r="P908">
        <v>0.14510000000000001</v>
      </c>
      <c r="Q908" t="s">
        <v>352</v>
      </c>
      <c r="R908">
        <v>1</v>
      </c>
      <c r="S908">
        <v>0.14449999999999999</v>
      </c>
      <c r="T908">
        <v>5.7000000000000002E-3</v>
      </c>
      <c r="U908">
        <v>0.10526315789473985</v>
      </c>
      <c r="V908">
        <v>0.12739999999999999</v>
      </c>
      <c r="W908">
        <v>0.1331</v>
      </c>
      <c r="X908">
        <v>0.13879999999999998</v>
      </c>
      <c r="Y908">
        <v>0.1502</v>
      </c>
      <c r="Z908">
        <v>0.15589999999999998</v>
      </c>
      <c r="AA908">
        <v>0.16159999999999999</v>
      </c>
      <c r="AD908">
        <v>26.2487335922151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 t="s">
        <v>462</v>
      </c>
      <c r="AL908" t="s">
        <v>6</v>
      </c>
      <c r="AM908" t="s">
        <v>1145</v>
      </c>
      <c r="AN908" t="s">
        <v>1146</v>
      </c>
      <c r="AO908" s="100">
        <v>46262.040405092594</v>
      </c>
      <c r="AP908" t="s">
        <v>1147</v>
      </c>
      <c r="AQ908" t="s">
        <v>3038</v>
      </c>
      <c r="AR908" t="s">
        <v>1180</v>
      </c>
      <c r="AS908" t="s">
        <v>1150</v>
      </c>
      <c r="AT908" t="s">
        <v>3026</v>
      </c>
      <c r="AU908">
        <v>25</v>
      </c>
      <c r="AV908">
        <v>0.14679599999999998</v>
      </c>
      <c r="AW908">
        <v>5.6076198159290356E-3</v>
      </c>
      <c r="AX908">
        <v>3.8200085941912834</v>
      </c>
      <c r="AY908">
        <v>-0.93762681339590548</v>
      </c>
      <c r="AZ908">
        <v>7.2406409938115228</v>
      </c>
      <c r="BA908">
        <v>6.6259292759988391</v>
      </c>
      <c r="BB908" t="s">
        <v>4619</v>
      </c>
      <c r="BD908" s="98"/>
      <c r="BE908" s="98"/>
      <c r="BF908" t="s">
        <v>1152</v>
      </c>
      <c r="BG908" t="s">
        <v>322</v>
      </c>
      <c r="BH908" t="s">
        <v>1153</v>
      </c>
      <c r="BI908">
        <v>0.93762681339590548</v>
      </c>
      <c r="BJ908" t="s">
        <v>983</v>
      </c>
      <c r="BK908">
        <v>19.008092598403579</v>
      </c>
      <c r="BL908">
        <v>72.415274937458449</v>
      </c>
      <c r="BM908" t="s">
        <v>1260</v>
      </c>
      <c r="BN908" t="s">
        <v>1154</v>
      </c>
      <c r="BO908">
        <v>2025</v>
      </c>
      <c r="BP908" t="s">
        <v>966</v>
      </c>
      <c r="BQ908">
        <v>0.14803686998465793</v>
      </c>
      <c r="BR908">
        <v>99.999985196313006</v>
      </c>
      <c r="BS908" t="s">
        <v>984</v>
      </c>
      <c r="BT908">
        <v>3</v>
      </c>
      <c r="BU908">
        <v>1</v>
      </c>
      <c r="BV908" t="s">
        <v>985</v>
      </c>
      <c r="BW908" t="s">
        <v>943</v>
      </c>
      <c r="BX908" t="s">
        <v>986</v>
      </c>
      <c r="BY908">
        <v>6.6259292759988391</v>
      </c>
      <c r="BZ908" t="s">
        <v>1155</v>
      </c>
      <c r="CA908" t="s">
        <v>983</v>
      </c>
      <c r="CB908" t="b">
        <v>1</v>
      </c>
      <c r="CC908" t="b">
        <v>0</v>
      </c>
      <c r="CD908" t="b">
        <v>0</v>
      </c>
      <c r="CE908" t="b">
        <v>0</v>
      </c>
      <c r="CF908" t="b">
        <v>0</v>
      </c>
    </row>
    <row r="909" spans="1:84" x14ac:dyDescent="0.3">
      <c r="A909" t="s">
        <v>3039</v>
      </c>
      <c r="B909" t="s">
        <v>1182</v>
      </c>
      <c r="C909" s="98">
        <v>45712</v>
      </c>
      <c r="D909">
        <v>2025</v>
      </c>
      <c r="E909">
        <v>2</v>
      </c>
      <c r="F909">
        <v>1</v>
      </c>
      <c r="G909" t="s">
        <v>1170</v>
      </c>
      <c r="H909" t="s">
        <v>142</v>
      </c>
      <c r="I909" t="s">
        <v>142</v>
      </c>
      <c r="J909" t="s">
        <v>6</v>
      </c>
      <c r="L909">
        <v>522611</v>
      </c>
      <c r="M909" s="99" t="s">
        <v>178</v>
      </c>
      <c r="N909">
        <v>1</v>
      </c>
      <c r="O909">
        <v>8</v>
      </c>
      <c r="P909">
        <v>0.15329999999999999</v>
      </c>
      <c r="Q909" t="s">
        <v>352</v>
      </c>
      <c r="R909">
        <v>1</v>
      </c>
      <c r="S909">
        <v>0.14449999999999999</v>
      </c>
      <c r="T909">
        <v>5.7000000000000002E-3</v>
      </c>
      <c r="U909">
        <v>1.5438596491228074</v>
      </c>
      <c r="V909">
        <v>0.12739999999999999</v>
      </c>
      <c r="W909">
        <v>0.1331</v>
      </c>
      <c r="X909">
        <v>0.13879999999999998</v>
      </c>
      <c r="Y909">
        <v>0.1502</v>
      </c>
      <c r="Z909">
        <v>0.15589999999999998</v>
      </c>
      <c r="AA909">
        <v>0.16159999999999999</v>
      </c>
      <c r="AD909">
        <v>26.2487335922151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 t="s">
        <v>462</v>
      </c>
      <c r="AL909" t="s">
        <v>6</v>
      </c>
      <c r="AM909" t="s">
        <v>1145</v>
      </c>
      <c r="AN909" t="s">
        <v>1146</v>
      </c>
      <c r="AO909" s="100">
        <v>46262.040405092594</v>
      </c>
      <c r="AP909" t="s">
        <v>1147</v>
      </c>
      <c r="AQ909" t="s">
        <v>3040</v>
      </c>
      <c r="AR909" t="s">
        <v>1184</v>
      </c>
      <c r="AS909" t="s">
        <v>1150</v>
      </c>
      <c r="AT909" t="s">
        <v>3026</v>
      </c>
      <c r="AU909">
        <v>25</v>
      </c>
      <c r="AV909">
        <v>0.14679599999999998</v>
      </c>
      <c r="AW909">
        <v>5.6076198159290356E-3</v>
      </c>
      <c r="AX909">
        <v>3.8200085941912834</v>
      </c>
      <c r="AY909">
        <v>-0.93762681339590548</v>
      </c>
      <c r="AZ909">
        <v>7.2406409938115228</v>
      </c>
      <c r="BA909">
        <v>6.6259292759988391</v>
      </c>
      <c r="BB909" t="s">
        <v>4619</v>
      </c>
      <c r="BD909" s="98"/>
      <c r="BE909" s="98"/>
      <c r="BF909" t="s">
        <v>1152</v>
      </c>
      <c r="BG909" t="s">
        <v>322</v>
      </c>
      <c r="BH909" t="s">
        <v>1153</v>
      </c>
      <c r="BI909">
        <v>0.93762681339590548</v>
      </c>
      <c r="BJ909" t="s">
        <v>983</v>
      </c>
      <c r="BK909">
        <v>19.008092598403579</v>
      </c>
      <c r="BL909">
        <v>72.415274937458449</v>
      </c>
      <c r="BM909" t="s">
        <v>1260</v>
      </c>
      <c r="BN909" t="s">
        <v>1154</v>
      </c>
      <c r="BO909">
        <v>2025</v>
      </c>
      <c r="BP909" t="s">
        <v>966</v>
      </c>
      <c r="BQ909">
        <v>0.14803686998465793</v>
      </c>
      <c r="BR909">
        <v>99.999985196313006</v>
      </c>
      <c r="BS909" t="s">
        <v>984</v>
      </c>
      <c r="BT909">
        <v>3</v>
      </c>
      <c r="BU909">
        <v>1</v>
      </c>
      <c r="BV909" t="s">
        <v>985</v>
      </c>
      <c r="BW909" t="s">
        <v>943</v>
      </c>
      <c r="BX909" t="s">
        <v>986</v>
      </c>
      <c r="BY909">
        <v>6.6259292759988391</v>
      </c>
      <c r="BZ909" t="s">
        <v>1155</v>
      </c>
      <c r="CA909" t="s">
        <v>983</v>
      </c>
      <c r="CB909" t="b">
        <v>1</v>
      </c>
      <c r="CC909" t="b">
        <v>0</v>
      </c>
      <c r="CD909" t="b">
        <v>0</v>
      </c>
      <c r="CE909" t="b">
        <v>0</v>
      </c>
      <c r="CF909" t="b">
        <v>0</v>
      </c>
    </row>
    <row r="910" spans="1:84" x14ac:dyDescent="0.3">
      <c r="A910" t="s">
        <v>3041</v>
      </c>
      <c r="B910" t="s">
        <v>1186</v>
      </c>
      <c r="C910" s="98">
        <v>45719</v>
      </c>
      <c r="D910">
        <v>2025</v>
      </c>
      <c r="E910">
        <v>3</v>
      </c>
      <c r="F910">
        <v>1</v>
      </c>
      <c r="G910" t="s">
        <v>1187</v>
      </c>
      <c r="H910" t="s">
        <v>142</v>
      </c>
      <c r="I910" t="s">
        <v>142</v>
      </c>
      <c r="J910" t="s">
        <v>6</v>
      </c>
      <c r="L910">
        <v>522611</v>
      </c>
      <c r="M910" s="99" t="s">
        <v>178</v>
      </c>
      <c r="N910">
        <v>1</v>
      </c>
      <c r="O910">
        <v>9</v>
      </c>
      <c r="P910">
        <v>0.13689999999999999</v>
      </c>
      <c r="Q910" t="s">
        <v>352</v>
      </c>
      <c r="R910">
        <v>1</v>
      </c>
      <c r="S910">
        <v>0.14449999999999999</v>
      </c>
      <c r="T910">
        <v>5.7000000000000002E-3</v>
      </c>
      <c r="U910">
        <v>-1.3333333333333326</v>
      </c>
      <c r="V910">
        <v>0.12739999999999999</v>
      </c>
      <c r="W910">
        <v>0.1331</v>
      </c>
      <c r="X910">
        <v>0.13879999999999998</v>
      </c>
      <c r="Y910">
        <v>0.1502</v>
      </c>
      <c r="Z910">
        <v>0.15589999999999998</v>
      </c>
      <c r="AA910">
        <v>0.16159999999999999</v>
      </c>
      <c r="AD910">
        <v>26.2487335922151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 t="s">
        <v>462</v>
      </c>
      <c r="AL910" t="s">
        <v>6</v>
      </c>
      <c r="AM910" t="s">
        <v>1145</v>
      </c>
      <c r="AN910" t="s">
        <v>1146</v>
      </c>
      <c r="AO910" s="100">
        <v>46262.040405092594</v>
      </c>
      <c r="AP910" t="s">
        <v>1147</v>
      </c>
      <c r="AQ910" t="s">
        <v>3042</v>
      </c>
      <c r="AR910" t="s">
        <v>1189</v>
      </c>
      <c r="AS910" t="s">
        <v>1150</v>
      </c>
      <c r="AT910" t="s">
        <v>3026</v>
      </c>
      <c r="AU910">
        <v>25</v>
      </c>
      <c r="AV910">
        <v>0.14679599999999998</v>
      </c>
      <c r="AW910">
        <v>5.6076198159290356E-3</v>
      </c>
      <c r="AX910">
        <v>3.8200085941912834</v>
      </c>
      <c r="AY910">
        <v>-0.93762681339590548</v>
      </c>
      <c r="AZ910">
        <v>7.2406409938115228</v>
      </c>
      <c r="BA910">
        <v>6.6259292759988391</v>
      </c>
      <c r="BB910" t="s">
        <v>4619</v>
      </c>
      <c r="BD910" s="98"/>
      <c r="BE910" s="98"/>
      <c r="BF910" t="s">
        <v>1152</v>
      </c>
      <c r="BG910" t="s">
        <v>322</v>
      </c>
      <c r="BH910" t="s">
        <v>1153</v>
      </c>
      <c r="BI910">
        <v>0.93762681339590548</v>
      </c>
      <c r="BJ910" t="s">
        <v>983</v>
      </c>
      <c r="BK910">
        <v>19.008092598403579</v>
      </c>
      <c r="BL910">
        <v>72.415274937458449</v>
      </c>
      <c r="BM910" t="s">
        <v>1260</v>
      </c>
      <c r="BN910" t="s">
        <v>1154</v>
      </c>
      <c r="BO910">
        <v>2025</v>
      </c>
      <c r="BP910" t="s">
        <v>966</v>
      </c>
      <c r="BQ910">
        <v>0.14803686998465793</v>
      </c>
      <c r="BR910">
        <v>99.999985196313006</v>
      </c>
      <c r="BS910" t="s">
        <v>984</v>
      </c>
      <c r="BT910">
        <v>3</v>
      </c>
      <c r="BU910">
        <v>1</v>
      </c>
      <c r="BV910" t="s">
        <v>985</v>
      </c>
      <c r="BW910" t="s">
        <v>943</v>
      </c>
      <c r="BX910" t="s">
        <v>986</v>
      </c>
      <c r="BY910">
        <v>6.6259292759988391</v>
      </c>
      <c r="BZ910" t="s">
        <v>1155</v>
      </c>
      <c r="CA910" t="s">
        <v>983</v>
      </c>
      <c r="CB910" t="b">
        <v>1</v>
      </c>
      <c r="CC910" t="b">
        <v>0</v>
      </c>
      <c r="CD910" t="b">
        <v>0</v>
      </c>
      <c r="CE910" t="b">
        <v>0</v>
      </c>
      <c r="CF910" t="b">
        <v>0</v>
      </c>
    </row>
    <row r="911" spans="1:84" x14ac:dyDescent="0.3">
      <c r="A911" t="s">
        <v>3043</v>
      </c>
      <c r="B911" t="s">
        <v>1191</v>
      </c>
      <c r="C911" s="98">
        <v>45726</v>
      </c>
      <c r="D911">
        <v>2025</v>
      </c>
      <c r="E911">
        <v>3</v>
      </c>
      <c r="F911">
        <v>1</v>
      </c>
      <c r="G911" t="s">
        <v>1187</v>
      </c>
      <c r="H911" t="s">
        <v>142</v>
      </c>
      <c r="I911" t="s">
        <v>142</v>
      </c>
      <c r="J911" t="s">
        <v>6</v>
      </c>
      <c r="L911">
        <v>522611</v>
      </c>
      <c r="M911" s="99" t="s">
        <v>178</v>
      </c>
      <c r="N911">
        <v>1</v>
      </c>
      <c r="O911">
        <v>10</v>
      </c>
      <c r="P911">
        <v>0.15049999999999999</v>
      </c>
      <c r="Q911" t="s">
        <v>352</v>
      </c>
      <c r="R911">
        <v>1</v>
      </c>
      <c r="S911">
        <v>0.14449999999999999</v>
      </c>
      <c r="T911">
        <v>5.7000000000000002E-3</v>
      </c>
      <c r="U911">
        <v>1.0526315789473693</v>
      </c>
      <c r="V911">
        <v>0.12739999999999999</v>
      </c>
      <c r="W911">
        <v>0.1331</v>
      </c>
      <c r="X911">
        <v>0.13879999999999998</v>
      </c>
      <c r="Y911">
        <v>0.1502</v>
      </c>
      <c r="Z911">
        <v>0.15589999999999998</v>
      </c>
      <c r="AA911">
        <v>0.16159999999999999</v>
      </c>
      <c r="AD911">
        <v>26.2487335922151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 t="s">
        <v>462</v>
      </c>
      <c r="AL911" t="s">
        <v>6</v>
      </c>
      <c r="AM911" t="s">
        <v>1145</v>
      </c>
      <c r="AN911" t="s">
        <v>1146</v>
      </c>
      <c r="AO911" s="100">
        <v>46262.040405092594</v>
      </c>
      <c r="AP911" t="s">
        <v>1147</v>
      </c>
      <c r="AQ911" t="s">
        <v>3044</v>
      </c>
      <c r="AR911" t="s">
        <v>1193</v>
      </c>
      <c r="AS911" t="s">
        <v>1150</v>
      </c>
      <c r="AT911" t="s">
        <v>3026</v>
      </c>
      <c r="AU911">
        <v>25</v>
      </c>
      <c r="AV911">
        <v>0.14679599999999998</v>
      </c>
      <c r="AW911">
        <v>5.6076198159290356E-3</v>
      </c>
      <c r="AX911">
        <v>3.8200085941912834</v>
      </c>
      <c r="AY911">
        <v>-0.93762681339590548</v>
      </c>
      <c r="AZ911">
        <v>7.2406409938115228</v>
      </c>
      <c r="BA911">
        <v>6.6259292759988391</v>
      </c>
      <c r="BB911" t="s">
        <v>4619</v>
      </c>
      <c r="BD911" s="98"/>
      <c r="BE911" s="98"/>
      <c r="BF911" t="s">
        <v>1152</v>
      </c>
      <c r="BG911" t="s">
        <v>322</v>
      </c>
      <c r="BH911" t="s">
        <v>1153</v>
      </c>
      <c r="BI911">
        <v>0.93762681339590548</v>
      </c>
      <c r="BJ911" t="s">
        <v>983</v>
      </c>
      <c r="BK911">
        <v>19.008092598403579</v>
      </c>
      <c r="BL911">
        <v>72.415274937458449</v>
      </c>
      <c r="BM911" t="s">
        <v>1260</v>
      </c>
      <c r="BN911" t="s">
        <v>1154</v>
      </c>
      <c r="BO911">
        <v>2025</v>
      </c>
      <c r="BP911" t="s">
        <v>966</v>
      </c>
      <c r="BQ911">
        <v>0.14803686998465793</v>
      </c>
      <c r="BR911">
        <v>99.999985196313006</v>
      </c>
      <c r="BS911" t="s">
        <v>984</v>
      </c>
      <c r="BT911">
        <v>3</v>
      </c>
      <c r="BU911">
        <v>1</v>
      </c>
      <c r="BV911" t="s">
        <v>985</v>
      </c>
      <c r="BW911" t="s">
        <v>943</v>
      </c>
      <c r="BX911" t="s">
        <v>986</v>
      </c>
      <c r="BY911">
        <v>6.6259292759988391</v>
      </c>
      <c r="BZ911" t="s">
        <v>1155</v>
      </c>
      <c r="CA911" t="s">
        <v>983</v>
      </c>
      <c r="CB911" t="b">
        <v>1</v>
      </c>
      <c r="CC911" t="b">
        <v>0</v>
      </c>
      <c r="CD911" t="b">
        <v>0</v>
      </c>
      <c r="CE911" t="b">
        <v>0</v>
      </c>
      <c r="CF911" t="b">
        <v>0</v>
      </c>
    </row>
    <row r="912" spans="1:84" x14ac:dyDescent="0.3">
      <c r="A912" t="s">
        <v>3045</v>
      </c>
      <c r="B912" t="s">
        <v>1195</v>
      </c>
      <c r="C912" s="98">
        <v>45733</v>
      </c>
      <c r="D912">
        <v>2025</v>
      </c>
      <c r="E912">
        <v>3</v>
      </c>
      <c r="F912">
        <v>1</v>
      </c>
      <c r="G912" t="s">
        <v>1187</v>
      </c>
      <c r="H912" t="s">
        <v>142</v>
      </c>
      <c r="I912" t="s">
        <v>142</v>
      </c>
      <c r="J912" t="s">
        <v>6</v>
      </c>
      <c r="L912">
        <v>522611</v>
      </c>
      <c r="M912" s="99" t="s">
        <v>178</v>
      </c>
      <c r="N912">
        <v>1</v>
      </c>
      <c r="O912">
        <v>11</v>
      </c>
      <c r="P912">
        <v>0.14419999999999999</v>
      </c>
      <c r="Q912" t="s">
        <v>352</v>
      </c>
      <c r="R912">
        <v>1</v>
      </c>
      <c r="S912">
        <v>0.14449999999999999</v>
      </c>
      <c r="T912">
        <v>5.7000000000000002E-3</v>
      </c>
      <c r="U912">
        <v>-5.2631578947367495E-2</v>
      </c>
      <c r="V912">
        <v>0.12739999999999999</v>
      </c>
      <c r="W912">
        <v>0.1331</v>
      </c>
      <c r="X912">
        <v>0.13879999999999998</v>
      </c>
      <c r="Y912">
        <v>0.1502</v>
      </c>
      <c r="Z912">
        <v>0.15589999999999998</v>
      </c>
      <c r="AA912">
        <v>0.16159999999999999</v>
      </c>
      <c r="AD912">
        <v>26.2487335922151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 t="s">
        <v>462</v>
      </c>
      <c r="AL912" t="s">
        <v>6</v>
      </c>
      <c r="AM912" t="s">
        <v>1145</v>
      </c>
      <c r="AN912" t="s">
        <v>1146</v>
      </c>
      <c r="AO912" s="100">
        <v>46262.040405092594</v>
      </c>
      <c r="AP912" t="s">
        <v>1147</v>
      </c>
      <c r="AQ912" t="s">
        <v>3046</v>
      </c>
      <c r="AR912" t="s">
        <v>1197</v>
      </c>
      <c r="AS912" t="s">
        <v>1150</v>
      </c>
      <c r="AT912" t="s">
        <v>3026</v>
      </c>
      <c r="AU912">
        <v>25</v>
      </c>
      <c r="AV912">
        <v>0.14679599999999998</v>
      </c>
      <c r="AW912">
        <v>5.6076198159290356E-3</v>
      </c>
      <c r="AX912">
        <v>3.8200085941912834</v>
      </c>
      <c r="AY912">
        <v>-0.93762681339590548</v>
      </c>
      <c r="AZ912">
        <v>7.2406409938115228</v>
      </c>
      <c r="BA912">
        <v>6.6259292759988391</v>
      </c>
      <c r="BB912" t="s">
        <v>4619</v>
      </c>
      <c r="BD912" s="98"/>
      <c r="BE912" s="98"/>
      <c r="BF912" t="s">
        <v>1152</v>
      </c>
      <c r="BG912" t="s">
        <v>322</v>
      </c>
      <c r="BH912" t="s">
        <v>1153</v>
      </c>
      <c r="BI912">
        <v>0.93762681339590548</v>
      </c>
      <c r="BJ912" t="s">
        <v>983</v>
      </c>
      <c r="BK912">
        <v>19.008092598403579</v>
      </c>
      <c r="BL912">
        <v>72.415274937458449</v>
      </c>
      <c r="BM912" t="s">
        <v>1260</v>
      </c>
      <c r="BN912" t="s">
        <v>1154</v>
      </c>
      <c r="BO912">
        <v>2025</v>
      </c>
      <c r="BP912" t="s">
        <v>966</v>
      </c>
      <c r="BQ912">
        <v>0.14803686998465793</v>
      </c>
      <c r="BR912">
        <v>99.999985196313006</v>
      </c>
      <c r="BS912" t="s">
        <v>984</v>
      </c>
      <c r="BT912">
        <v>3</v>
      </c>
      <c r="BU912">
        <v>1</v>
      </c>
      <c r="BV912" t="s">
        <v>985</v>
      </c>
      <c r="BW912" t="s">
        <v>943</v>
      </c>
      <c r="BX912" t="s">
        <v>986</v>
      </c>
      <c r="BY912">
        <v>6.6259292759988391</v>
      </c>
      <c r="BZ912" t="s">
        <v>1155</v>
      </c>
      <c r="CA912" t="s">
        <v>983</v>
      </c>
      <c r="CB912" t="b">
        <v>1</v>
      </c>
      <c r="CC912" t="b">
        <v>0</v>
      </c>
      <c r="CD912" t="b">
        <v>0</v>
      </c>
      <c r="CE912" t="b">
        <v>0</v>
      </c>
      <c r="CF912" t="b">
        <v>0</v>
      </c>
    </row>
    <row r="913" spans="1:84" x14ac:dyDescent="0.3">
      <c r="A913" t="s">
        <v>3047</v>
      </c>
      <c r="B913" t="s">
        <v>1199</v>
      </c>
      <c r="C913" s="98">
        <v>45740</v>
      </c>
      <c r="D913">
        <v>2025</v>
      </c>
      <c r="E913">
        <v>3</v>
      </c>
      <c r="F913">
        <v>1</v>
      </c>
      <c r="G913" t="s">
        <v>1187</v>
      </c>
      <c r="H913" t="s">
        <v>142</v>
      </c>
      <c r="I913" t="s">
        <v>142</v>
      </c>
      <c r="J913" t="s">
        <v>6</v>
      </c>
      <c r="L913">
        <v>522611</v>
      </c>
      <c r="M913" s="99" t="s">
        <v>178</v>
      </c>
      <c r="N913">
        <v>1</v>
      </c>
      <c r="O913">
        <v>12</v>
      </c>
      <c r="P913">
        <v>0.1525</v>
      </c>
      <c r="Q913" t="s">
        <v>352</v>
      </c>
      <c r="R913">
        <v>1</v>
      </c>
      <c r="S913">
        <v>0.14449999999999999</v>
      </c>
      <c r="T913">
        <v>5.7000000000000002E-3</v>
      </c>
      <c r="U913">
        <v>1.4035087719298258</v>
      </c>
      <c r="V913">
        <v>0.12739999999999999</v>
      </c>
      <c r="W913">
        <v>0.1331</v>
      </c>
      <c r="X913">
        <v>0.13879999999999998</v>
      </c>
      <c r="Y913">
        <v>0.1502</v>
      </c>
      <c r="Z913">
        <v>0.15589999999999998</v>
      </c>
      <c r="AA913">
        <v>0.16159999999999999</v>
      </c>
      <c r="AD913">
        <v>26.2487335922151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 t="s">
        <v>462</v>
      </c>
      <c r="AL913" t="s">
        <v>6</v>
      </c>
      <c r="AM913" t="s">
        <v>1145</v>
      </c>
      <c r="AN913" t="s">
        <v>1146</v>
      </c>
      <c r="AO913" s="100">
        <v>46262.040405092594</v>
      </c>
      <c r="AP913" t="s">
        <v>1147</v>
      </c>
      <c r="AQ913" t="s">
        <v>3048</v>
      </c>
      <c r="AR913" t="s">
        <v>1201</v>
      </c>
      <c r="AS913" t="s">
        <v>1150</v>
      </c>
      <c r="AT913" t="s">
        <v>3026</v>
      </c>
      <c r="AU913">
        <v>25</v>
      </c>
      <c r="AV913">
        <v>0.14679599999999998</v>
      </c>
      <c r="AW913">
        <v>5.6076198159290356E-3</v>
      </c>
      <c r="AX913">
        <v>3.8200085941912834</v>
      </c>
      <c r="AY913">
        <v>-0.93762681339590548</v>
      </c>
      <c r="AZ913">
        <v>7.2406409938115228</v>
      </c>
      <c r="BA913">
        <v>6.6259292759988391</v>
      </c>
      <c r="BB913" t="s">
        <v>4619</v>
      </c>
      <c r="BD913" s="98"/>
      <c r="BE913" s="98"/>
      <c r="BF913" t="s">
        <v>1152</v>
      </c>
      <c r="BG913" t="s">
        <v>322</v>
      </c>
      <c r="BH913" t="s">
        <v>1153</v>
      </c>
      <c r="BI913">
        <v>0.93762681339590548</v>
      </c>
      <c r="BJ913" t="s">
        <v>983</v>
      </c>
      <c r="BK913">
        <v>19.008092598403579</v>
      </c>
      <c r="BL913">
        <v>72.415274937458449</v>
      </c>
      <c r="BM913" t="s">
        <v>1260</v>
      </c>
      <c r="BN913" t="s">
        <v>1154</v>
      </c>
      <c r="BO913">
        <v>2025</v>
      </c>
      <c r="BP913" t="s">
        <v>966</v>
      </c>
      <c r="BQ913">
        <v>0.14803686998465793</v>
      </c>
      <c r="BR913">
        <v>99.999985196313006</v>
      </c>
      <c r="BS913" t="s">
        <v>984</v>
      </c>
      <c r="BT913">
        <v>3</v>
      </c>
      <c r="BU913">
        <v>1</v>
      </c>
      <c r="BV913" t="s">
        <v>985</v>
      </c>
      <c r="BW913" t="s">
        <v>943</v>
      </c>
      <c r="BX913" t="s">
        <v>986</v>
      </c>
      <c r="BY913">
        <v>6.6259292759988391</v>
      </c>
      <c r="BZ913" t="s">
        <v>1155</v>
      </c>
      <c r="CA913" t="s">
        <v>983</v>
      </c>
      <c r="CB913" t="b">
        <v>1</v>
      </c>
      <c r="CC913" t="b">
        <v>0</v>
      </c>
      <c r="CD913" t="b">
        <v>0</v>
      </c>
      <c r="CE913" t="b">
        <v>0</v>
      </c>
      <c r="CF913" t="b">
        <v>0</v>
      </c>
    </row>
    <row r="914" spans="1:84" x14ac:dyDescent="0.3">
      <c r="A914" t="s">
        <v>3049</v>
      </c>
      <c r="B914" t="s">
        <v>1203</v>
      </c>
      <c r="C914" s="98">
        <v>45747</v>
      </c>
      <c r="D914">
        <v>2025</v>
      </c>
      <c r="E914">
        <v>3</v>
      </c>
      <c r="F914">
        <v>1</v>
      </c>
      <c r="G914" t="s">
        <v>1187</v>
      </c>
      <c r="H914" t="s">
        <v>142</v>
      </c>
      <c r="I914" t="s">
        <v>142</v>
      </c>
      <c r="J914" t="s">
        <v>6</v>
      </c>
      <c r="L914">
        <v>522611</v>
      </c>
      <c r="M914" s="99" t="s">
        <v>178</v>
      </c>
      <c r="N914">
        <v>1</v>
      </c>
      <c r="O914">
        <v>13</v>
      </c>
      <c r="P914">
        <v>0.14560000000000001</v>
      </c>
      <c r="Q914" t="s">
        <v>352</v>
      </c>
      <c r="R914">
        <v>1</v>
      </c>
      <c r="S914">
        <v>0.14449999999999999</v>
      </c>
      <c r="T914">
        <v>5.7000000000000002E-3</v>
      </c>
      <c r="U914">
        <v>0.19298245614035398</v>
      </c>
      <c r="V914">
        <v>0.12739999999999999</v>
      </c>
      <c r="W914">
        <v>0.1331</v>
      </c>
      <c r="X914">
        <v>0.13879999999999998</v>
      </c>
      <c r="Y914">
        <v>0.1502</v>
      </c>
      <c r="Z914">
        <v>0.15589999999999998</v>
      </c>
      <c r="AA914">
        <v>0.16159999999999999</v>
      </c>
      <c r="AD914">
        <v>26.2487335922151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 t="s">
        <v>462</v>
      </c>
      <c r="AL914" t="s">
        <v>6</v>
      </c>
      <c r="AM914" t="s">
        <v>1145</v>
      </c>
      <c r="AN914" t="s">
        <v>1146</v>
      </c>
      <c r="AO914" s="100">
        <v>46262.040405092594</v>
      </c>
      <c r="AP914" t="s">
        <v>1147</v>
      </c>
      <c r="AQ914" t="s">
        <v>3050</v>
      </c>
      <c r="AR914" t="s">
        <v>1205</v>
      </c>
      <c r="AS914" t="s">
        <v>1150</v>
      </c>
      <c r="AT914" t="s">
        <v>3026</v>
      </c>
      <c r="AU914">
        <v>25</v>
      </c>
      <c r="AV914">
        <v>0.14679599999999998</v>
      </c>
      <c r="AW914">
        <v>5.6076198159290356E-3</v>
      </c>
      <c r="AX914">
        <v>3.8200085941912834</v>
      </c>
      <c r="AY914">
        <v>-0.93762681339590548</v>
      </c>
      <c r="AZ914">
        <v>7.2406409938115228</v>
      </c>
      <c r="BA914">
        <v>6.6259292759988391</v>
      </c>
      <c r="BB914" t="s">
        <v>4619</v>
      </c>
      <c r="BD914" s="98"/>
      <c r="BE914" s="98"/>
      <c r="BF914" t="s">
        <v>1152</v>
      </c>
      <c r="BG914" t="s">
        <v>322</v>
      </c>
      <c r="BH914" t="s">
        <v>1153</v>
      </c>
      <c r="BI914">
        <v>0.93762681339590548</v>
      </c>
      <c r="BJ914" t="s">
        <v>983</v>
      </c>
      <c r="BK914">
        <v>19.008092598403579</v>
      </c>
      <c r="BL914">
        <v>72.415274937458449</v>
      </c>
      <c r="BM914" t="s">
        <v>1260</v>
      </c>
      <c r="BN914" t="s">
        <v>1154</v>
      </c>
      <c r="BO914">
        <v>2025</v>
      </c>
      <c r="BP914" t="s">
        <v>966</v>
      </c>
      <c r="BQ914">
        <v>0.14803686998465793</v>
      </c>
      <c r="BR914">
        <v>99.999985196313006</v>
      </c>
      <c r="BS914" t="s">
        <v>984</v>
      </c>
      <c r="BT914">
        <v>3</v>
      </c>
      <c r="BU914">
        <v>1</v>
      </c>
      <c r="BV914" t="s">
        <v>985</v>
      </c>
      <c r="BW914" t="s">
        <v>943</v>
      </c>
      <c r="BX914" t="s">
        <v>986</v>
      </c>
      <c r="BY914">
        <v>6.6259292759988391</v>
      </c>
      <c r="BZ914" t="s">
        <v>1155</v>
      </c>
      <c r="CA914" t="s">
        <v>983</v>
      </c>
      <c r="CB914" t="b">
        <v>1</v>
      </c>
      <c r="CC914" t="b">
        <v>0</v>
      </c>
      <c r="CD914" t="b">
        <v>0</v>
      </c>
      <c r="CE914" t="b">
        <v>0</v>
      </c>
      <c r="CF914" t="b">
        <v>0</v>
      </c>
    </row>
    <row r="915" spans="1:84" x14ac:dyDescent="0.3">
      <c r="A915" t="s">
        <v>3051</v>
      </c>
      <c r="B915" t="s">
        <v>1207</v>
      </c>
      <c r="C915" s="98">
        <v>45754</v>
      </c>
      <c r="D915">
        <v>2025</v>
      </c>
      <c r="E915">
        <v>4</v>
      </c>
      <c r="F915">
        <v>2</v>
      </c>
      <c r="G915" t="s">
        <v>1208</v>
      </c>
      <c r="H915" t="s">
        <v>142</v>
      </c>
      <c r="I915" t="s">
        <v>142</v>
      </c>
      <c r="J915" t="s">
        <v>6</v>
      </c>
      <c r="L915">
        <v>522611</v>
      </c>
      <c r="M915" s="99" t="s">
        <v>178</v>
      </c>
      <c r="N915">
        <v>1</v>
      </c>
      <c r="O915">
        <v>14</v>
      </c>
      <c r="P915">
        <v>0.1406</v>
      </c>
      <c r="Q915" t="s">
        <v>352</v>
      </c>
      <c r="R915">
        <v>1</v>
      </c>
      <c r="S915">
        <v>0.14449999999999999</v>
      </c>
      <c r="T915">
        <v>5.7000000000000002E-3</v>
      </c>
      <c r="U915">
        <v>-0.68421052631578716</v>
      </c>
      <c r="V915">
        <v>0.12739999999999999</v>
      </c>
      <c r="W915">
        <v>0.1331</v>
      </c>
      <c r="X915">
        <v>0.13879999999999998</v>
      </c>
      <c r="Y915">
        <v>0.1502</v>
      </c>
      <c r="Z915">
        <v>0.15589999999999998</v>
      </c>
      <c r="AA915">
        <v>0.16159999999999999</v>
      </c>
      <c r="AD915">
        <v>26.2487335922151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 t="s">
        <v>462</v>
      </c>
      <c r="AL915" t="s">
        <v>6</v>
      </c>
      <c r="AM915" t="s">
        <v>1145</v>
      </c>
      <c r="AN915" t="s">
        <v>1146</v>
      </c>
      <c r="AO915" s="100">
        <v>46262.040405092594</v>
      </c>
      <c r="AP915" t="s">
        <v>1147</v>
      </c>
      <c r="AQ915" t="s">
        <v>3052</v>
      </c>
      <c r="AR915" t="s">
        <v>1210</v>
      </c>
      <c r="AS915" t="s">
        <v>1150</v>
      </c>
      <c r="AT915" t="s">
        <v>3026</v>
      </c>
      <c r="AU915">
        <v>25</v>
      </c>
      <c r="AV915">
        <v>0.14679599999999998</v>
      </c>
      <c r="AW915">
        <v>5.6076198159290356E-3</v>
      </c>
      <c r="AX915">
        <v>3.8200085941912834</v>
      </c>
      <c r="AY915">
        <v>-0.93762681339590548</v>
      </c>
      <c r="AZ915">
        <v>7.2406409938115228</v>
      </c>
      <c r="BA915">
        <v>6.6259292759988391</v>
      </c>
      <c r="BB915" t="s">
        <v>4619</v>
      </c>
      <c r="BD915" s="98"/>
      <c r="BE915" s="98"/>
      <c r="BF915" t="s">
        <v>1152</v>
      </c>
      <c r="BG915" t="s">
        <v>322</v>
      </c>
      <c r="BH915" t="s">
        <v>1153</v>
      </c>
      <c r="BI915">
        <v>0.93762681339590548</v>
      </c>
      <c r="BJ915" t="s">
        <v>983</v>
      </c>
      <c r="BK915">
        <v>19.008092598403579</v>
      </c>
      <c r="BL915">
        <v>72.415274937458449</v>
      </c>
      <c r="BM915" t="s">
        <v>1260</v>
      </c>
      <c r="BN915" t="s">
        <v>1154</v>
      </c>
      <c r="BO915">
        <v>2025</v>
      </c>
      <c r="BP915" t="s">
        <v>966</v>
      </c>
      <c r="BQ915">
        <v>0.14803686998465793</v>
      </c>
      <c r="BR915">
        <v>99.999985196313006</v>
      </c>
      <c r="BS915" t="s">
        <v>984</v>
      </c>
      <c r="BT915">
        <v>3</v>
      </c>
      <c r="BU915">
        <v>1</v>
      </c>
      <c r="BV915" t="s">
        <v>985</v>
      </c>
      <c r="BW915" t="s">
        <v>943</v>
      </c>
      <c r="BX915" t="s">
        <v>986</v>
      </c>
      <c r="BY915">
        <v>6.6259292759988391</v>
      </c>
      <c r="BZ915" t="s">
        <v>1155</v>
      </c>
      <c r="CA915" t="s">
        <v>983</v>
      </c>
      <c r="CB915" t="b">
        <v>1</v>
      </c>
      <c r="CC915" t="b">
        <v>0</v>
      </c>
      <c r="CD915" t="b">
        <v>0</v>
      </c>
      <c r="CE915" t="b">
        <v>0</v>
      </c>
      <c r="CF915" t="b">
        <v>0</v>
      </c>
    </row>
    <row r="916" spans="1:84" x14ac:dyDescent="0.3">
      <c r="A916" t="s">
        <v>3053</v>
      </c>
      <c r="B916" t="s">
        <v>1212</v>
      </c>
      <c r="C916" s="98">
        <v>45761</v>
      </c>
      <c r="D916">
        <v>2025</v>
      </c>
      <c r="E916">
        <v>4</v>
      </c>
      <c r="F916">
        <v>2</v>
      </c>
      <c r="G916" t="s">
        <v>1208</v>
      </c>
      <c r="H916" t="s">
        <v>142</v>
      </c>
      <c r="I916" t="s">
        <v>142</v>
      </c>
      <c r="J916" t="s">
        <v>6</v>
      </c>
      <c r="L916">
        <v>522611</v>
      </c>
      <c r="M916" s="99" t="s">
        <v>178</v>
      </c>
      <c r="N916">
        <v>1</v>
      </c>
      <c r="O916">
        <v>15</v>
      </c>
      <c r="P916">
        <v>0.14610000000000001</v>
      </c>
      <c r="Q916" t="s">
        <v>352</v>
      </c>
      <c r="R916">
        <v>1</v>
      </c>
      <c r="S916">
        <v>0.14449999999999999</v>
      </c>
      <c r="T916">
        <v>5.7000000000000002E-3</v>
      </c>
      <c r="U916">
        <v>0.28070175438596806</v>
      </c>
      <c r="V916">
        <v>0.12739999999999999</v>
      </c>
      <c r="W916">
        <v>0.1331</v>
      </c>
      <c r="X916">
        <v>0.13879999999999998</v>
      </c>
      <c r="Y916">
        <v>0.1502</v>
      </c>
      <c r="Z916">
        <v>0.15589999999999998</v>
      </c>
      <c r="AA916">
        <v>0.16159999999999999</v>
      </c>
      <c r="AD916">
        <v>26.2487335922151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 t="s">
        <v>462</v>
      </c>
      <c r="AL916" t="s">
        <v>6</v>
      </c>
      <c r="AM916" t="s">
        <v>1145</v>
      </c>
      <c r="AN916" t="s">
        <v>1146</v>
      </c>
      <c r="AO916" s="100">
        <v>46262.040405092594</v>
      </c>
      <c r="AP916" t="s">
        <v>1147</v>
      </c>
      <c r="AQ916" t="s">
        <v>3054</v>
      </c>
      <c r="AR916" t="s">
        <v>1215</v>
      </c>
      <c r="AS916" t="s">
        <v>1150</v>
      </c>
      <c r="AT916" t="s">
        <v>3026</v>
      </c>
      <c r="AU916">
        <v>25</v>
      </c>
      <c r="AV916">
        <v>0.14679599999999998</v>
      </c>
      <c r="AW916">
        <v>5.6076198159290356E-3</v>
      </c>
      <c r="AX916">
        <v>3.8200085941912834</v>
      </c>
      <c r="AY916">
        <v>-0.93762681339590548</v>
      </c>
      <c r="AZ916">
        <v>7.2406409938115228</v>
      </c>
      <c r="BA916">
        <v>6.6259292759988391</v>
      </c>
      <c r="BB916" t="s">
        <v>4619</v>
      </c>
      <c r="BD916" s="98"/>
      <c r="BE916" s="98"/>
      <c r="BF916" t="s">
        <v>1152</v>
      </c>
      <c r="BG916" t="s">
        <v>322</v>
      </c>
      <c r="BH916" t="s">
        <v>1153</v>
      </c>
      <c r="BI916">
        <v>0.93762681339590548</v>
      </c>
      <c r="BJ916" t="s">
        <v>983</v>
      </c>
      <c r="BK916">
        <v>19.008092598403579</v>
      </c>
      <c r="BL916">
        <v>72.415274937458449</v>
      </c>
      <c r="BM916" t="s">
        <v>1260</v>
      </c>
      <c r="BN916" t="s">
        <v>1154</v>
      </c>
      <c r="BO916">
        <v>2025</v>
      </c>
      <c r="BP916" t="s">
        <v>966</v>
      </c>
      <c r="BQ916">
        <v>0.14803686998465793</v>
      </c>
      <c r="BR916">
        <v>99.999985196313006</v>
      </c>
      <c r="BS916" t="s">
        <v>984</v>
      </c>
      <c r="BT916">
        <v>3</v>
      </c>
      <c r="BU916">
        <v>1</v>
      </c>
      <c r="BV916" t="s">
        <v>985</v>
      </c>
      <c r="BW916" t="s">
        <v>943</v>
      </c>
      <c r="BX916" t="s">
        <v>986</v>
      </c>
      <c r="BY916">
        <v>6.6259292759988391</v>
      </c>
      <c r="BZ916" t="s">
        <v>1155</v>
      </c>
      <c r="CA916" t="s">
        <v>983</v>
      </c>
      <c r="CB916" t="b">
        <v>1</v>
      </c>
      <c r="CC916" t="b">
        <v>0</v>
      </c>
      <c r="CD916" t="b">
        <v>0</v>
      </c>
      <c r="CE916" t="b">
        <v>0</v>
      </c>
      <c r="CF916" t="b">
        <v>0</v>
      </c>
    </row>
    <row r="917" spans="1:84" x14ac:dyDescent="0.3">
      <c r="A917" t="s">
        <v>3055</v>
      </c>
      <c r="B917" t="s">
        <v>1217</v>
      </c>
      <c r="C917" s="98">
        <v>45768</v>
      </c>
      <c r="D917">
        <v>2025</v>
      </c>
      <c r="E917">
        <v>4</v>
      </c>
      <c r="F917">
        <v>2</v>
      </c>
      <c r="G917" t="s">
        <v>1208</v>
      </c>
      <c r="H917" t="s">
        <v>142</v>
      </c>
      <c r="I917" t="s">
        <v>142</v>
      </c>
      <c r="J917" t="s">
        <v>6</v>
      </c>
      <c r="L917">
        <v>522611</v>
      </c>
      <c r="M917" s="99" t="s">
        <v>178</v>
      </c>
      <c r="N917">
        <v>1</v>
      </c>
      <c r="O917">
        <v>16</v>
      </c>
      <c r="P917">
        <v>0.1487</v>
      </c>
      <c r="Q917" t="s">
        <v>352</v>
      </c>
      <c r="R917">
        <v>1</v>
      </c>
      <c r="S917">
        <v>0.14449999999999999</v>
      </c>
      <c r="T917">
        <v>5.7000000000000002E-3</v>
      </c>
      <c r="U917">
        <v>0.73684210526315952</v>
      </c>
      <c r="V917">
        <v>0.12739999999999999</v>
      </c>
      <c r="W917">
        <v>0.1331</v>
      </c>
      <c r="X917">
        <v>0.13879999999999998</v>
      </c>
      <c r="Y917">
        <v>0.1502</v>
      </c>
      <c r="Z917">
        <v>0.15589999999999998</v>
      </c>
      <c r="AA917">
        <v>0.16159999999999999</v>
      </c>
      <c r="AD917">
        <v>26.2487335922151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 t="s">
        <v>462</v>
      </c>
      <c r="AL917" t="s">
        <v>6</v>
      </c>
      <c r="AM917" t="s">
        <v>1145</v>
      </c>
      <c r="AN917" t="s">
        <v>1146</v>
      </c>
      <c r="AO917" s="100">
        <v>46262.040405092594</v>
      </c>
      <c r="AP917" t="s">
        <v>1147</v>
      </c>
      <c r="AQ917" t="s">
        <v>3056</v>
      </c>
      <c r="AR917" t="s">
        <v>1219</v>
      </c>
      <c r="AS917" t="s">
        <v>1150</v>
      </c>
      <c r="AT917" t="s">
        <v>3026</v>
      </c>
      <c r="AU917">
        <v>25</v>
      </c>
      <c r="AV917">
        <v>0.14679599999999998</v>
      </c>
      <c r="AW917">
        <v>5.6076198159290356E-3</v>
      </c>
      <c r="AX917">
        <v>3.8200085941912834</v>
      </c>
      <c r="AY917">
        <v>-0.93762681339590548</v>
      </c>
      <c r="AZ917">
        <v>7.2406409938115228</v>
      </c>
      <c r="BA917">
        <v>6.6259292759988391</v>
      </c>
      <c r="BB917" t="s">
        <v>4619</v>
      </c>
      <c r="BD917" s="98"/>
      <c r="BE917" s="98"/>
      <c r="BF917" t="s">
        <v>1152</v>
      </c>
      <c r="BG917" t="s">
        <v>322</v>
      </c>
      <c r="BH917" t="s">
        <v>1153</v>
      </c>
      <c r="BI917">
        <v>0.93762681339590548</v>
      </c>
      <c r="BJ917" t="s">
        <v>983</v>
      </c>
      <c r="BK917">
        <v>19.008092598403579</v>
      </c>
      <c r="BL917">
        <v>72.415274937458449</v>
      </c>
      <c r="BM917" t="s">
        <v>1260</v>
      </c>
      <c r="BN917" t="s">
        <v>1154</v>
      </c>
      <c r="BO917">
        <v>2025</v>
      </c>
      <c r="BP917" t="s">
        <v>966</v>
      </c>
      <c r="BQ917">
        <v>0.14803686998465793</v>
      </c>
      <c r="BR917">
        <v>99.999985196313006</v>
      </c>
      <c r="BS917" t="s">
        <v>984</v>
      </c>
      <c r="BT917">
        <v>3</v>
      </c>
      <c r="BU917">
        <v>1</v>
      </c>
      <c r="BV917" t="s">
        <v>985</v>
      </c>
      <c r="BW917" t="s">
        <v>943</v>
      </c>
      <c r="BX917" t="s">
        <v>986</v>
      </c>
      <c r="BY917">
        <v>6.6259292759988391</v>
      </c>
      <c r="BZ917" t="s">
        <v>1155</v>
      </c>
      <c r="CA917" t="s">
        <v>983</v>
      </c>
      <c r="CB917" t="b">
        <v>1</v>
      </c>
      <c r="CC917" t="b">
        <v>0</v>
      </c>
      <c r="CD917" t="b">
        <v>0</v>
      </c>
      <c r="CE917" t="b">
        <v>0</v>
      </c>
      <c r="CF917" t="b">
        <v>0</v>
      </c>
    </row>
    <row r="918" spans="1:84" x14ac:dyDescent="0.3">
      <c r="A918" t="s">
        <v>3057</v>
      </c>
      <c r="B918" t="s">
        <v>1221</v>
      </c>
      <c r="C918" s="98">
        <v>45775</v>
      </c>
      <c r="D918">
        <v>2025</v>
      </c>
      <c r="E918">
        <v>4</v>
      </c>
      <c r="F918">
        <v>2</v>
      </c>
      <c r="G918" t="s">
        <v>1208</v>
      </c>
      <c r="H918" t="s">
        <v>142</v>
      </c>
      <c r="I918" t="s">
        <v>142</v>
      </c>
      <c r="J918" t="s">
        <v>6</v>
      </c>
      <c r="L918">
        <v>522611</v>
      </c>
      <c r="M918" s="99" t="s">
        <v>178</v>
      </c>
      <c r="N918">
        <v>1</v>
      </c>
      <c r="O918">
        <v>17</v>
      </c>
      <c r="P918">
        <v>0.1447</v>
      </c>
      <c r="Q918" t="s">
        <v>352</v>
      </c>
      <c r="R918">
        <v>1</v>
      </c>
      <c r="S918">
        <v>0.14449999999999999</v>
      </c>
      <c r="T918">
        <v>5.7000000000000002E-3</v>
      </c>
      <c r="U918">
        <v>3.5087719298246618E-2</v>
      </c>
      <c r="V918">
        <v>0.12739999999999999</v>
      </c>
      <c r="W918">
        <v>0.1331</v>
      </c>
      <c r="X918">
        <v>0.13879999999999998</v>
      </c>
      <c r="Y918">
        <v>0.1502</v>
      </c>
      <c r="Z918">
        <v>0.15589999999999998</v>
      </c>
      <c r="AA918">
        <v>0.16159999999999999</v>
      </c>
      <c r="AD918">
        <v>26.2487335922151</v>
      </c>
      <c r="AE918">
        <v>0</v>
      </c>
      <c r="AF918">
        <v>0</v>
      </c>
      <c r="AG918">
        <v>0</v>
      </c>
      <c r="AH918">
        <v>0</v>
      </c>
      <c r="AI918">
        <v>1</v>
      </c>
      <c r="AJ918">
        <v>0</v>
      </c>
      <c r="AK918" t="s">
        <v>1213</v>
      </c>
      <c r="AL918" t="s">
        <v>6</v>
      </c>
      <c r="AM918" t="s">
        <v>1145</v>
      </c>
      <c r="AN918" t="s">
        <v>1146</v>
      </c>
      <c r="AO918" s="100">
        <v>46262.040405092594</v>
      </c>
      <c r="AP918" t="s">
        <v>1147</v>
      </c>
      <c r="AQ918" t="s">
        <v>3058</v>
      </c>
      <c r="AR918" t="s">
        <v>1223</v>
      </c>
      <c r="AS918" t="s">
        <v>1150</v>
      </c>
      <c r="AT918" t="s">
        <v>3026</v>
      </c>
      <c r="AU918">
        <v>25</v>
      </c>
      <c r="AV918">
        <v>0.14679599999999998</v>
      </c>
      <c r="AW918">
        <v>5.6076198159290356E-3</v>
      </c>
      <c r="AX918">
        <v>3.8200085941912834</v>
      </c>
      <c r="AY918">
        <v>-0.93762681339590548</v>
      </c>
      <c r="AZ918">
        <v>7.2406409938115228</v>
      </c>
      <c r="BA918">
        <v>6.6259292759988391</v>
      </c>
      <c r="BB918" t="s">
        <v>4619</v>
      </c>
      <c r="BD918" s="98"/>
      <c r="BE918" s="98"/>
      <c r="BF918" t="s">
        <v>1152</v>
      </c>
      <c r="BG918" t="s">
        <v>322</v>
      </c>
      <c r="BH918" t="s">
        <v>1153</v>
      </c>
      <c r="BI918">
        <v>0.93762681339590548</v>
      </c>
      <c r="BJ918" t="s">
        <v>983</v>
      </c>
      <c r="BK918">
        <v>19.008092598403579</v>
      </c>
      <c r="BL918">
        <v>72.415274937458449</v>
      </c>
      <c r="BM918" t="s">
        <v>1260</v>
      </c>
      <c r="BN918" t="s">
        <v>1154</v>
      </c>
      <c r="BO918">
        <v>2025</v>
      </c>
      <c r="BP918" t="s">
        <v>966</v>
      </c>
      <c r="BQ918">
        <v>0.14803686998465793</v>
      </c>
      <c r="BR918">
        <v>99.999985196313006</v>
      </c>
      <c r="BS918" t="s">
        <v>984</v>
      </c>
      <c r="BT918">
        <v>3</v>
      </c>
      <c r="BU918">
        <v>1</v>
      </c>
      <c r="BV918" t="s">
        <v>985</v>
      </c>
      <c r="BW918" t="s">
        <v>943</v>
      </c>
      <c r="BX918" t="s">
        <v>986</v>
      </c>
      <c r="BY918">
        <v>6.6259292759988391</v>
      </c>
      <c r="BZ918" t="s">
        <v>1155</v>
      </c>
      <c r="CA918" t="s">
        <v>983</v>
      </c>
      <c r="CB918" t="b">
        <v>1</v>
      </c>
      <c r="CC918" t="b">
        <v>0</v>
      </c>
      <c r="CD918" t="b">
        <v>0</v>
      </c>
      <c r="CE918" t="b">
        <v>0</v>
      </c>
      <c r="CF918" t="b">
        <v>0</v>
      </c>
    </row>
    <row r="919" spans="1:84" x14ac:dyDescent="0.3">
      <c r="A919" t="s">
        <v>3059</v>
      </c>
      <c r="B919" t="s">
        <v>1225</v>
      </c>
      <c r="C919" s="98">
        <v>45782</v>
      </c>
      <c r="D919">
        <v>2025</v>
      </c>
      <c r="E919">
        <v>5</v>
      </c>
      <c r="F919">
        <v>2</v>
      </c>
      <c r="G919" t="s">
        <v>1226</v>
      </c>
      <c r="H919" t="s">
        <v>142</v>
      </c>
      <c r="I919" t="s">
        <v>142</v>
      </c>
      <c r="J919" t="s">
        <v>6</v>
      </c>
      <c r="L919">
        <v>522611</v>
      </c>
      <c r="M919" s="99" t="s">
        <v>178</v>
      </c>
      <c r="N919">
        <v>1</v>
      </c>
      <c r="O919">
        <v>18</v>
      </c>
      <c r="P919">
        <v>0.14729999999999999</v>
      </c>
      <c r="Q919" t="s">
        <v>352</v>
      </c>
      <c r="R919">
        <v>1</v>
      </c>
      <c r="S919">
        <v>0.14449999999999999</v>
      </c>
      <c r="T919">
        <v>5.7000000000000002E-3</v>
      </c>
      <c r="U919">
        <v>0.49122807017543801</v>
      </c>
      <c r="V919">
        <v>0.12739999999999999</v>
      </c>
      <c r="W919">
        <v>0.1331</v>
      </c>
      <c r="X919">
        <v>0.13879999999999998</v>
      </c>
      <c r="Y919">
        <v>0.1502</v>
      </c>
      <c r="Z919">
        <v>0.15589999999999998</v>
      </c>
      <c r="AA919">
        <v>0.16159999999999999</v>
      </c>
      <c r="AD919">
        <v>26.2487335922151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 t="s">
        <v>462</v>
      </c>
      <c r="AL919" t="s">
        <v>6</v>
      </c>
      <c r="AM919" t="s">
        <v>1145</v>
      </c>
      <c r="AN919" t="s">
        <v>1146</v>
      </c>
      <c r="AO919" s="100">
        <v>46262.040405092594</v>
      </c>
      <c r="AP919" t="s">
        <v>1147</v>
      </c>
      <c r="AQ919" t="s">
        <v>3060</v>
      </c>
      <c r="AR919" t="s">
        <v>1228</v>
      </c>
      <c r="AS919" t="s">
        <v>1150</v>
      </c>
      <c r="AT919" t="s">
        <v>3026</v>
      </c>
      <c r="AU919">
        <v>25</v>
      </c>
      <c r="AV919">
        <v>0.14679599999999998</v>
      </c>
      <c r="AW919">
        <v>5.6076198159290356E-3</v>
      </c>
      <c r="AX919">
        <v>3.8200085941912834</v>
      </c>
      <c r="AY919">
        <v>-0.93762681339590548</v>
      </c>
      <c r="AZ919">
        <v>7.2406409938115228</v>
      </c>
      <c r="BA919">
        <v>6.6259292759988391</v>
      </c>
      <c r="BB919" t="s">
        <v>4619</v>
      </c>
      <c r="BD919" s="98"/>
      <c r="BE919" s="98"/>
      <c r="BF919" t="s">
        <v>1152</v>
      </c>
      <c r="BG919" t="s">
        <v>322</v>
      </c>
      <c r="BH919" t="s">
        <v>1153</v>
      </c>
      <c r="BI919">
        <v>0.93762681339590548</v>
      </c>
      <c r="BJ919" t="s">
        <v>983</v>
      </c>
      <c r="BK919">
        <v>19.008092598403579</v>
      </c>
      <c r="BL919">
        <v>72.415274937458449</v>
      </c>
      <c r="BM919" t="s">
        <v>1260</v>
      </c>
      <c r="BN919" t="s">
        <v>1154</v>
      </c>
      <c r="BO919">
        <v>2025</v>
      </c>
      <c r="BP919" t="s">
        <v>966</v>
      </c>
      <c r="BQ919">
        <v>0.14803686998465793</v>
      </c>
      <c r="BR919">
        <v>99.999985196313006</v>
      </c>
      <c r="BS919" t="s">
        <v>984</v>
      </c>
      <c r="BT919">
        <v>3</v>
      </c>
      <c r="BU919">
        <v>1</v>
      </c>
      <c r="BV919" t="s">
        <v>985</v>
      </c>
      <c r="BW919" t="s">
        <v>943</v>
      </c>
      <c r="BX919" t="s">
        <v>986</v>
      </c>
      <c r="BY919">
        <v>6.6259292759988391</v>
      </c>
      <c r="BZ919" t="s">
        <v>1155</v>
      </c>
      <c r="CA919" t="s">
        <v>983</v>
      </c>
      <c r="CB919" t="b">
        <v>1</v>
      </c>
      <c r="CC919" t="b">
        <v>0</v>
      </c>
      <c r="CD919" t="b">
        <v>0</v>
      </c>
      <c r="CE919" t="b">
        <v>0</v>
      </c>
      <c r="CF919" t="b">
        <v>0</v>
      </c>
    </row>
    <row r="920" spans="1:84" x14ac:dyDescent="0.3">
      <c r="A920" t="s">
        <v>3061</v>
      </c>
      <c r="B920" t="s">
        <v>1230</v>
      </c>
      <c r="C920" s="98">
        <v>45789</v>
      </c>
      <c r="D920">
        <v>2025</v>
      </c>
      <c r="E920">
        <v>5</v>
      </c>
      <c r="F920">
        <v>2</v>
      </c>
      <c r="G920" t="s">
        <v>1226</v>
      </c>
      <c r="H920" t="s">
        <v>142</v>
      </c>
      <c r="I920" t="s">
        <v>142</v>
      </c>
      <c r="J920" t="s">
        <v>6</v>
      </c>
      <c r="L920">
        <v>522611</v>
      </c>
      <c r="M920" s="99" t="s">
        <v>178</v>
      </c>
      <c r="N920">
        <v>1</v>
      </c>
      <c r="O920">
        <v>19</v>
      </c>
      <c r="P920">
        <v>0.14149999999999999</v>
      </c>
      <c r="Q920" t="s">
        <v>352</v>
      </c>
      <c r="R920">
        <v>1</v>
      </c>
      <c r="S920">
        <v>0.14449999999999999</v>
      </c>
      <c r="T920">
        <v>5.7000000000000002E-3</v>
      </c>
      <c r="U920">
        <v>-0.52631578947368463</v>
      </c>
      <c r="V920">
        <v>0.12739999999999999</v>
      </c>
      <c r="W920">
        <v>0.1331</v>
      </c>
      <c r="X920">
        <v>0.13879999999999998</v>
      </c>
      <c r="Y920">
        <v>0.1502</v>
      </c>
      <c r="Z920">
        <v>0.15589999999999998</v>
      </c>
      <c r="AA920">
        <v>0.16159999999999999</v>
      </c>
      <c r="AD920">
        <v>26.2487335922151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 t="s">
        <v>462</v>
      </c>
      <c r="AL920" t="s">
        <v>6</v>
      </c>
      <c r="AM920" t="s">
        <v>1145</v>
      </c>
      <c r="AN920" t="s">
        <v>1146</v>
      </c>
      <c r="AO920" s="100">
        <v>46262.040405092594</v>
      </c>
      <c r="AP920" t="s">
        <v>1147</v>
      </c>
      <c r="AQ920" t="s">
        <v>3062</v>
      </c>
      <c r="AR920" t="s">
        <v>1232</v>
      </c>
      <c r="AS920" t="s">
        <v>1150</v>
      </c>
      <c r="AT920" t="s">
        <v>3026</v>
      </c>
      <c r="AU920">
        <v>25</v>
      </c>
      <c r="AV920">
        <v>0.14679599999999998</v>
      </c>
      <c r="AW920">
        <v>5.6076198159290356E-3</v>
      </c>
      <c r="AX920">
        <v>3.8200085941912834</v>
      </c>
      <c r="AY920">
        <v>-0.93762681339590548</v>
      </c>
      <c r="AZ920">
        <v>7.2406409938115228</v>
      </c>
      <c r="BA920">
        <v>6.6259292759988391</v>
      </c>
      <c r="BB920" t="s">
        <v>4619</v>
      </c>
      <c r="BD920" s="98"/>
      <c r="BE920" s="98"/>
      <c r="BF920" t="s">
        <v>1152</v>
      </c>
      <c r="BG920" t="s">
        <v>322</v>
      </c>
      <c r="BH920" t="s">
        <v>1153</v>
      </c>
      <c r="BI920">
        <v>0.93762681339590548</v>
      </c>
      <c r="BJ920" t="s">
        <v>983</v>
      </c>
      <c r="BK920">
        <v>19.008092598403579</v>
      </c>
      <c r="BL920">
        <v>72.415274937458449</v>
      </c>
      <c r="BM920" t="s">
        <v>1260</v>
      </c>
      <c r="BN920" t="s">
        <v>1154</v>
      </c>
      <c r="BO920">
        <v>2025</v>
      </c>
      <c r="BP920" t="s">
        <v>966</v>
      </c>
      <c r="BQ920">
        <v>0.14803686998465793</v>
      </c>
      <c r="BR920">
        <v>99.999985196313006</v>
      </c>
      <c r="BS920" t="s">
        <v>984</v>
      </c>
      <c r="BT920">
        <v>3</v>
      </c>
      <c r="BU920">
        <v>1</v>
      </c>
      <c r="BV920" t="s">
        <v>985</v>
      </c>
      <c r="BW920" t="s">
        <v>943</v>
      </c>
      <c r="BX920" t="s">
        <v>986</v>
      </c>
      <c r="BY920">
        <v>6.6259292759988391</v>
      </c>
      <c r="BZ920" t="s">
        <v>1155</v>
      </c>
      <c r="CA920" t="s">
        <v>983</v>
      </c>
      <c r="CB920" t="b">
        <v>1</v>
      </c>
      <c r="CC920" t="b">
        <v>0</v>
      </c>
      <c r="CD920" t="b">
        <v>0</v>
      </c>
      <c r="CE920" t="b">
        <v>0</v>
      </c>
      <c r="CF920" t="b">
        <v>0</v>
      </c>
    </row>
    <row r="921" spans="1:84" x14ac:dyDescent="0.3">
      <c r="A921" t="s">
        <v>3063</v>
      </c>
      <c r="B921" t="s">
        <v>1234</v>
      </c>
      <c r="C921" s="98">
        <v>45796</v>
      </c>
      <c r="D921">
        <v>2025</v>
      </c>
      <c r="E921">
        <v>5</v>
      </c>
      <c r="F921">
        <v>2</v>
      </c>
      <c r="G921" t="s">
        <v>1226</v>
      </c>
      <c r="H921" t="s">
        <v>142</v>
      </c>
      <c r="I921" t="s">
        <v>142</v>
      </c>
      <c r="J921" t="s">
        <v>6</v>
      </c>
      <c r="L921">
        <v>522611</v>
      </c>
      <c r="M921" s="99" t="s">
        <v>178</v>
      </c>
      <c r="N921">
        <v>1</v>
      </c>
      <c r="O921">
        <v>20</v>
      </c>
      <c r="P921">
        <v>0.1323</v>
      </c>
      <c r="Q921" t="s">
        <v>352</v>
      </c>
      <c r="R921">
        <v>1</v>
      </c>
      <c r="S921">
        <v>0.14449999999999999</v>
      </c>
      <c r="T921">
        <v>5.7000000000000002E-3</v>
      </c>
      <c r="U921">
        <v>-2.1403508771929802</v>
      </c>
      <c r="V921">
        <v>0.12739999999999999</v>
      </c>
      <c r="W921">
        <v>0.1331</v>
      </c>
      <c r="X921">
        <v>0.13879999999999998</v>
      </c>
      <c r="Y921">
        <v>0.1502</v>
      </c>
      <c r="Z921">
        <v>0.15589999999999998</v>
      </c>
      <c r="AA921">
        <v>0.16159999999999999</v>
      </c>
      <c r="AD921">
        <v>26.2487335922151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1</v>
      </c>
      <c r="AK921" t="s">
        <v>462</v>
      </c>
      <c r="AL921" t="s">
        <v>6</v>
      </c>
      <c r="AM921" t="s">
        <v>1145</v>
      </c>
      <c r="AN921" t="s">
        <v>1146</v>
      </c>
      <c r="AO921" s="100">
        <v>46262.040405092594</v>
      </c>
      <c r="AP921" t="s">
        <v>1147</v>
      </c>
      <c r="AQ921" t="s">
        <v>3064</v>
      </c>
      <c r="AR921" t="s">
        <v>1236</v>
      </c>
      <c r="AS921" t="s">
        <v>1150</v>
      </c>
      <c r="AT921" t="s">
        <v>3026</v>
      </c>
      <c r="AU921">
        <v>25</v>
      </c>
      <c r="AV921">
        <v>0.14679599999999998</v>
      </c>
      <c r="AW921">
        <v>5.6076198159290356E-3</v>
      </c>
      <c r="AX921">
        <v>3.8200085941912834</v>
      </c>
      <c r="AY921">
        <v>-0.93762681339590548</v>
      </c>
      <c r="AZ921">
        <v>7.2406409938115228</v>
      </c>
      <c r="BA921">
        <v>6.6259292759988391</v>
      </c>
      <c r="BB921" t="s">
        <v>4619</v>
      </c>
      <c r="BD921" s="98"/>
      <c r="BE921" s="98"/>
      <c r="BF921" t="s">
        <v>1152</v>
      </c>
      <c r="BG921" t="s">
        <v>322</v>
      </c>
      <c r="BH921" t="s">
        <v>1153</v>
      </c>
      <c r="BI921">
        <v>0.93762681339590548</v>
      </c>
      <c r="BJ921" t="s">
        <v>983</v>
      </c>
      <c r="BK921">
        <v>19.008092598403579</v>
      </c>
      <c r="BL921">
        <v>72.415274937458449</v>
      </c>
      <c r="BM921" t="s">
        <v>1260</v>
      </c>
      <c r="BN921" t="s">
        <v>1154</v>
      </c>
      <c r="BO921">
        <v>2025</v>
      </c>
      <c r="BP921" t="s">
        <v>966</v>
      </c>
      <c r="BQ921">
        <v>0.14803686998465793</v>
      </c>
      <c r="BR921">
        <v>99.999985196313006</v>
      </c>
      <c r="BS921" t="s">
        <v>984</v>
      </c>
      <c r="BT921">
        <v>3</v>
      </c>
      <c r="BU921">
        <v>1</v>
      </c>
      <c r="BV921" t="s">
        <v>985</v>
      </c>
      <c r="BW921" t="s">
        <v>943</v>
      </c>
      <c r="BX921" t="s">
        <v>986</v>
      </c>
      <c r="BY921">
        <v>6.6259292759988391</v>
      </c>
      <c r="BZ921" t="s">
        <v>1155</v>
      </c>
      <c r="CA921" t="s">
        <v>983</v>
      </c>
      <c r="CB921" t="b">
        <v>1</v>
      </c>
      <c r="CC921" t="b">
        <v>0</v>
      </c>
      <c r="CD921" t="b">
        <v>0</v>
      </c>
      <c r="CE921" t="b">
        <v>0</v>
      </c>
      <c r="CF921" t="b">
        <v>0</v>
      </c>
    </row>
    <row r="922" spans="1:84" x14ac:dyDescent="0.3">
      <c r="A922" t="s">
        <v>3065</v>
      </c>
      <c r="B922" t="s">
        <v>1238</v>
      </c>
      <c r="C922" s="98">
        <v>45803</v>
      </c>
      <c r="D922">
        <v>2025</v>
      </c>
      <c r="E922">
        <v>5</v>
      </c>
      <c r="F922">
        <v>2</v>
      </c>
      <c r="G922" t="s">
        <v>1226</v>
      </c>
      <c r="H922" t="s">
        <v>142</v>
      </c>
      <c r="I922" t="s">
        <v>142</v>
      </c>
      <c r="J922" t="s">
        <v>6</v>
      </c>
      <c r="L922">
        <v>522611</v>
      </c>
      <c r="M922" s="99" t="s">
        <v>178</v>
      </c>
      <c r="N922">
        <v>1</v>
      </c>
      <c r="O922">
        <v>21</v>
      </c>
      <c r="P922">
        <v>0.14960000000000001</v>
      </c>
      <c r="Q922" t="s">
        <v>352</v>
      </c>
      <c r="R922">
        <v>1</v>
      </c>
      <c r="S922">
        <v>0.14449999999999999</v>
      </c>
      <c r="T922">
        <v>5.7000000000000002E-3</v>
      </c>
      <c r="U922">
        <v>0.89473684210526683</v>
      </c>
      <c r="V922">
        <v>0.12739999999999999</v>
      </c>
      <c r="W922">
        <v>0.1331</v>
      </c>
      <c r="X922">
        <v>0.13879999999999998</v>
      </c>
      <c r="Y922">
        <v>0.1502</v>
      </c>
      <c r="Z922">
        <v>0.15589999999999998</v>
      </c>
      <c r="AA922">
        <v>0.16159999999999999</v>
      </c>
      <c r="AD922">
        <v>26.2487335922151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 t="s">
        <v>462</v>
      </c>
      <c r="AL922" t="s">
        <v>6</v>
      </c>
      <c r="AM922" t="s">
        <v>1145</v>
      </c>
      <c r="AN922" t="s">
        <v>1146</v>
      </c>
      <c r="AO922" s="100">
        <v>46262.040405092594</v>
      </c>
      <c r="AP922" t="s">
        <v>1147</v>
      </c>
      <c r="AQ922" t="s">
        <v>3066</v>
      </c>
      <c r="AR922" t="s">
        <v>1240</v>
      </c>
      <c r="AS922" t="s">
        <v>1150</v>
      </c>
      <c r="AT922" t="s">
        <v>3026</v>
      </c>
      <c r="AU922">
        <v>25</v>
      </c>
      <c r="AV922">
        <v>0.14679599999999998</v>
      </c>
      <c r="AW922">
        <v>5.6076198159290356E-3</v>
      </c>
      <c r="AX922">
        <v>3.8200085941912834</v>
      </c>
      <c r="AY922">
        <v>-0.93762681339590548</v>
      </c>
      <c r="AZ922">
        <v>7.2406409938115228</v>
      </c>
      <c r="BA922">
        <v>6.6259292759988391</v>
      </c>
      <c r="BB922" t="s">
        <v>4619</v>
      </c>
      <c r="BD922" s="98"/>
      <c r="BE922" s="98"/>
      <c r="BF922" t="s">
        <v>1152</v>
      </c>
      <c r="BG922" t="s">
        <v>322</v>
      </c>
      <c r="BH922" t="s">
        <v>1153</v>
      </c>
      <c r="BI922">
        <v>0.93762681339590548</v>
      </c>
      <c r="BJ922" t="s">
        <v>983</v>
      </c>
      <c r="BK922">
        <v>19.008092598403579</v>
      </c>
      <c r="BL922">
        <v>72.415274937458449</v>
      </c>
      <c r="BM922" t="s">
        <v>1260</v>
      </c>
      <c r="BN922" t="s">
        <v>1154</v>
      </c>
      <c r="BO922">
        <v>2025</v>
      </c>
      <c r="BP922" t="s">
        <v>966</v>
      </c>
      <c r="BQ922">
        <v>0.14803686998465793</v>
      </c>
      <c r="BR922">
        <v>99.999985196313006</v>
      </c>
      <c r="BS922" t="s">
        <v>984</v>
      </c>
      <c r="BT922">
        <v>3</v>
      </c>
      <c r="BU922">
        <v>1</v>
      </c>
      <c r="BV922" t="s">
        <v>985</v>
      </c>
      <c r="BW922" t="s">
        <v>943</v>
      </c>
      <c r="BX922" t="s">
        <v>986</v>
      </c>
      <c r="BY922">
        <v>6.6259292759988391</v>
      </c>
      <c r="BZ922" t="s">
        <v>1155</v>
      </c>
      <c r="CA922" t="s">
        <v>983</v>
      </c>
      <c r="CB922" t="b">
        <v>1</v>
      </c>
      <c r="CC922" t="b">
        <v>0</v>
      </c>
      <c r="CD922" t="b">
        <v>0</v>
      </c>
      <c r="CE922" t="b">
        <v>0</v>
      </c>
      <c r="CF922" t="b">
        <v>0</v>
      </c>
    </row>
    <row r="923" spans="1:84" x14ac:dyDescent="0.3">
      <c r="A923" t="s">
        <v>3067</v>
      </c>
      <c r="B923" t="s">
        <v>1242</v>
      </c>
      <c r="C923" s="98">
        <v>45810</v>
      </c>
      <c r="D923">
        <v>2025</v>
      </c>
      <c r="E923">
        <v>6</v>
      </c>
      <c r="F923">
        <v>2</v>
      </c>
      <c r="G923" t="s">
        <v>1243</v>
      </c>
      <c r="H923" t="s">
        <v>142</v>
      </c>
      <c r="I923" t="s">
        <v>142</v>
      </c>
      <c r="J923" t="s">
        <v>6</v>
      </c>
      <c r="L923">
        <v>522611</v>
      </c>
      <c r="M923" s="99" t="s">
        <v>178</v>
      </c>
      <c r="N923">
        <v>1</v>
      </c>
      <c r="O923">
        <v>22</v>
      </c>
      <c r="P923">
        <v>0.14849999999999999</v>
      </c>
      <c r="Q923" t="s">
        <v>352</v>
      </c>
      <c r="R923">
        <v>1</v>
      </c>
      <c r="S923">
        <v>0.14449999999999999</v>
      </c>
      <c r="T923">
        <v>5.7000000000000002E-3</v>
      </c>
      <c r="U923">
        <v>0.70175438596491291</v>
      </c>
      <c r="V923">
        <v>0.12739999999999999</v>
      </c>
      <c r="W923">
        <v>0.1331</v>
      </c>
      <c r="X923">
        <v>0.13879999999999998</v>
      </c>
      <c r="Y923">
        <v>0.1502</v>
      </c>
      <c r="Z923">
        <v>0.15589999999999998</v>
      </c>
      <c r="AA923">
        <v>0.16159999999999999</v>
      </c>
      <c r="AD923">
        <v>26.2487335922151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 t="s">
        <v>462</v>
      </c>
      <c r="AL923" t="s">
        <v>6</v>
      </c>
      <c r="AM923" t="s">
        <v>1145</v>
      </c>
      <c r="AN923" t="s">
        <v>1146</v>
      </c>
      <c r="AO923" s="100">
        <v>46262.040405092594</v>
      </c>
      <c r="AP923" t="s">
        <v>1147</v>
      </c>
      <c r="AQ923" t="s">
        <v>3068</v>
      </c>
      <c r="AR923" t="s">
        <v>1245</v>
      </c>
      <c r="AS923" t="s">
        <v>1150</v>
      </c>
      <c r="AT923" t="s">
        <v>3026</v>
      </c>
      <c r="AU923">
        <v>25</v>
      </c>
      <c r="AV923">
        <v>0.14679599999999998</v>
      </c>
      <c r="AW923">
        <v>5.6076198159290356E-3</v>
      </c>
      <c r="AX923">
        <v>3.8200085941912834</v>
      </c>
      <c r="AY923">
        <v>-0.93762681339590548</v>
      </c>
      <c r="AZ923">
        <v>7.2406409938115228</v>
      </c>
      <c r="BA923">
        <v>6.6259292759988391</v>
      </c>
      <c r="BB923" t="s">
        <v>4619</v>
      </c>
      <c r="BD923" s="98"/>
      <c r="BE923" s="98"/>
      <c r="BF923" t="s">
        <v>1152</v>
      </c>
      <c r="BG923" t="s">
        <v>322</v>
      </c>
      <c r="BH923" t="s">
        <v>1153</v>
      </c>
      <c r="BI923">
        <v>0.93762681339590548</v>
      </c>
      <c r="BJ923" t="s">
        <v>983</v>
      </c>
      <c r="BK923">
        <v>19.008092598403579</v>
      </c>
      <c r="BL923">
        <v>72.415274937458449</v>
      </c>
      <c r="BM923" t="s">
        <v>1260</v>
      </c>
      <c r="BN923" t="s">
        <v>1154</v>
      </c>
      <c r="BO923">
        <v>2025</v>
      </c>
      <c r="BP923" t="s">
        <v>966</v>
      </c>
      <c r="BQ923">
        <v>0.14803686998465793</v>
      </c>
      <c r="BR923">
        <v>99.999985196313006</v>
      </c>
      <c r="BS923" t="s">
        <v>984</v>
      </c>
      <c r="BT923">
        <v>3</v>
      </c>
      <c r="BU923">
        <v>1</v>
      </c>
      <c r="BV923" t="s">
        <v>985</v>
      </c>
      <c r="BW923" t="s">
        <v>943</v>
      </c>
      <c r="BX923" t="s">
        <v>986</v>
      </c>
      <c r="BY923">
        <v>6.6259292759988391</v>
      </c>
      <c r="BZ923" t="s">
        <v>1155</v>
      </c>
      <c r="CA923" t="s">
        <v>983</v>
      </c>
      <c r="CB923" t="b">
        <v>1</v>
      </c>
      <c r="CC923" t="b">
        <v>0</v>
      </c>
      <c r="CD923" t="b">
        <v>0</v>
      </c>
      <c r="CE923" t="b">
        <v>0</v>
      </c>
      <c r="CF923" t="b">
        <v>0</v>
      </c>
    </row>
    <row r="924" spans="1:84" x14ac:dyDescent="0.3">
      <c r="A924" t="s">
        <v>3069</v>
      </c>
      <c r="B924" t="s">
        <v>1247</v>
      </c>
      <c r="C924" s="98">
        <v>45817</v>
      </c>
      <c r="D924">
        <v>2025</v>
      </c>
      <c r="E924">
        <v>6</v>
      </c>
      <c r="F924">
        <v>2</v>
      </c>
      <c r="G924" t="s">
        <v>1243</v>
      </c>
      <c r="H924" t="s">
        <v>142</v>
      </c>
      <c r="I924" t="s">
        <v>142</v>
      </c>
      <c r="J924" t="s">
        <v>6</v>
      </c>
      <c r="L924">
        <v>522611</v>
      </c>
      <c r="M924" s="99" t="s">
        <v>178</v>
      </c>
      <c r="N924">
        <v>1</v>
      </c>
      <c r="O924">
        <v>23</v>
      </c>
      <c r="P924">
        <v>0.14530000000000001</v>
      </c>
      <c r="Q924" t="s">
        <v>352</v>
      </c>
      <c r="R924">
        <v>1</v>
      </c>
      <c r="S924">
        <v>0.14449999999999999</v>
      </c>
      <c r="T924">
        <v>5.7000000000000002E-3</v>
      </c>
      <c r="U924">
        <v>0.14035087719298647</v>
      </c>
      <c r="V924">
        <v>0.12739999999999999</v>
      </c>
      <c r="W924">
        <v>0.1331</v>
      </c>
      <c r="X924">
        <v>0.13879999999999998</v>
      </c>
      <c r="Y924">
        <v>0.1502</v>
      </c>
      <c r="Z924">
        <v>0.15589999999999998</v>
      </c>
      <c r="AA924">
        <v>0.16159999999999999</v>
      </c>
      <c r="AD924">
        <v>26.2487335922151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 t="s">
        <v>462</v>
      </c>
      <c r="AL924" t="s">
        <v>6</v>
      </c>
      <c r="AM924" t="s">
        <v>1145</v>
      </c>
      <c r="AN924" t="s">
        <v>1146</v>
      </c>
      <c r="AO924" s="100">
        <v>46262.040405092594</v>
      </c>
      <c r="AP924" t="s">
        <v>1147</v>
      </c>
      <c r="AQ924" t="s">
        <v>3070</v>
      </c>
      <c r="AR924" t="s">
        <v>1249</v>
      </c>
      <c r="AS924" t="s">
        <v>1150</v>
      </c>
      <c r="AT924" t="s">
        <v>3026</v>
      </c>
      <c r="AU924">
        <v>25</v>
      </c>
      <c r="AV924">
        <v>0.14679599999999998</v>
      </c>
      <c r="AW924">
        <v>5.6076198159290356E-3</v>
      </c>
      <c r="AX924">
        <v>3.8200085941912834</v>
      </c>
      <c r="AY924">
        <v>-0.93762681339590548</v>
      </c>
      <c r="AZ924">
        <v>7.2406409938115228</v>
      </c>
      <c r="BA924">
        <v>6.6259292759988391</v>
      </c>
      <c r="BB924" t="s">
        <v>4619</v>
      </c>
      <c r="BD924" s="98"/>
      <c r="BE924" s="98"/>
      <c r="BF924" t="s">
        <v>1152</v>
      </c>
      <c r="BG924" t="s">
        <v>322</v>
      </c>
      <c r="BH924" t="s">
        <v>1153</v>
      </c>
      <c r="BI924">
        <v>0.93762681339590548</v>
      </c>
      <c r="BJ924" t="s">
        <v>983</v>
      </c>
      <c r="BK924">
        <v>19.008092598403579</v>
      </c>
      <c r="BL924">
        <v>72.415274937458449</v>
      </c>
      <c r="BM924" t="s">
        <v>1260</v>
      </c>
      <c r="BN924" t="s">
        <v>1154</v>
      </c>
      <c r="BO924">
        <v>2025</v>
      </c>
      <c r="BP924" t="s">
        <v>966</v>
      </c>
      <c r="BQ924">
        <v>0.14803686998465793</v>
      </c>
      <c r="BR924">
        <v>99.999985196313006</v>
      </c>
      <c r="BS924" t="s">
        <v>984</v>
      </c>
      <c r="BT924">
        <v>3</v>
      </c>
      <c r="BU924">
        <v>1</v>
      </c>
      <c r="BV924" t="s">
        <v>985</v>
      </c>
      <c r="BW924" t="s">
        <v>943</v>
      </c>
      <c r="BX924" t="s">
        <v>986</v>
      </c>
      <c r="BY924">
        <v>6.6259292759988391</v>
      </c>
      <c r="BZ924" t="s">
        <v>1155</v>
      </c>
      <c r="CA924" t="s">
        <v>983</v>
      </c>
      <c r="CB924" t="b">
        <v>1</v>
      </c>
      <c r="CC924" t="b">
        <v>0</v>
      </c>
      <c r="CD924" t="b">
        <v>0</v>
      </c>
      <c r="CE924" t="b">
        <v>0</v>
      </c>
      <c r="CF924" t="b">
        <v>0</v>
      </c>
    </row>
    <row r="925" spans="1:84" x14ac:dyDescent="0.3">
      <c r="A925" t="s">
        <v>3071</v>
      </c>
      <c r="B925" t="s">
        <v>1251</v>
      </c>
      <c r="C925" s="98">
        <v>45824</v>
      </c>
      <c r="D925">
        <v>2025</v>
      </c>
      <c r="E925">
        <v>6</v>
      </c>
      <c r="F925">
        <v>2</v>
      </c>
      <c r="G925" t="s">
        <v>1243</v>
      </c>
      <c r="H925" t="s">
        <v>142</v>
      </c>
      <c r="I925" t="s">
        <v>142</v>
      </c>
      <c r="J925" t="s">
        <v>6</v>
      </c>
      <c r="L925">
        <v>522611</v>
      </c>
      <c r="M925" s="99" t="s">
        <v>178</v>
      </c>
      <c r="N925">
        <v>1</v>
      </c>
      <c r="O925">
        <v>24</v>
      </c>
      <c r="P925">
        <v>0.1449</v>
      </c>
      <c r="Q925" t="s">
        <v>352</v>
      </c>
      <c r="R925">
        <v>1</v>
      </c>
      <c r="S925">
        <v>0.14449999999999999</v>
      </c>
      <c r="T925">
        <v>5.7000000000000002E-3</v>
      </c>
      <c r="U925">
        <v>7.0175438596493236E-2</v>
      </c>
      <c r="V925">
        <v>0.12739999999999999</v>
      </c>
      <c r="W925">
        <v>0.1331</v>
      </c>
      <c r="X925">
        <v>0.13879999999999998</v>
      </c>
      <c r="Y925">
        <v>0.1502</v>
      </c>
      <c r="Z925">
        <v>0.15589999999999998</v>
      </c>
      <c r="AA925">
        <v>0.16159999999999999</v>
      </c>
      <c r="AD925">
        <v>26.2487335922151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 t="s">
        <v>462</v>
      </c>
      <c r="AL925" t="s">
        <v>6</v>
      </c>
      <c r="AM925" t="s">
        <v>1145</v>
      </c>
      <c r="AN925" t="s">
        <v>1146</v>
      </c>
      <c r="AO925" s="100">
        <v>46262.040405092594</v>
      </c>
      <c r="AP925" t="s">
        <v>1147</v>
      </c>
      <c r="AQ925" t="s">
        <v>3072</v>
      </c>
      <c r="AR925" t="s">
        <v>1253</v>
      </c>
      <c r="AS925" t="s">
        <v>1150</v>
      </c>
      <c r="AT925" t="s">
        <v>3026</v>
      </c>
      <c r="AU925">
        <v>25</v>
      </c>
      <c r="AV925">
        <v>0.14679599999999998</v>
      </c>
      <c r="AW925">
        <v>5.6076198159290356E-3</v>
      </c>
      <c r="AX925">
        <v>3.8200085941912834</v>
      </c>
      <c r="AY925">
        <v>-0.93762681339590548</v>
      </c>
      <c r="AZ925">
        <v>7.2406409938115228</v>
      </c>
      <c r="BA925">
        <v>6.6259292759988391</v>
      </c>
      <c r="BB925" t="s">
        <v>4619</v>
      </c>
      <c r="BD925" s="98"/>
      <c r="BE925" s="98"/>
      <c r="BF925" t="s">
        <v>1152</v>
      </c>
      <c r="BG925" t="s">
        <v>322</v>
      </c>
      <c r="BH925" t="s">
        <v>1153</v>
      </c>
      <c r="BI925">
        <v>0.93762681339590548</v>
      </c>
      <c r="BJ925" t="s">
        <v>983</v>
      </c>
      <c r="BK925">
        <v>19.008092598403579</v>
      </c>
      <c r="BL925">
        <v>72.415274937458449</v>
      </c>
      <c r="BM925" t="s">
        <v>1260</v>
      </c>
      <c r="BN925" t="s">
        <v>1154</v>
      </c>
      <c r="BO925">
        <v>2025</v>
      </c>
      <c r="BP925" t="s">
        <v>966</v>
      </c>
      <c r="BQ925">
        <v>0.14803686998465793</v>
      </c>
      <c r="BR925">
        <v>99.999985196313006</v>
      </c>
      <c r="BS925" t="s">
        <v>984</v>
      </c>
      <c r="BT925">
        <v>3</v>
      </c>
      <c r="BU925">
        <v>1</v>
      </c>
      <c r="BV925" t="s">
        <v>985</v>
      </c>
      <c r="BW925" t="s">
        <v>943</v>
      </c>
      <c r="BX925" t="s">
        <v>986</v>
      </c>
      <c r="BY925">
        <v>6.6259292759988391</v>
      </c>
      <c r="BZ925" t="s">
        <v>1155</v>
      </c>
      <c r="CA925" t="s">
        <v>983</v>
      </c>
      <c r="CB925" t="b">
        <v>1</v>
      </c>
      <c r="CC925" t="b">
        <v>0</v>
      </c>
      <c r="CD925" t="b">
        <v>0</v>
      </c>
      <c r="CE925" t="b">
        <v>0</v>
      </c>
      <c r="CF925" t="b">
        <v>0</v>
      </c>
    </row>
    <row r="926" spans="1:84" x14ac:dyDescent="0.3">
      <c r="A926" t="s">
        <v>3073</v>
      </c>
      <c r="B926" t="s">
        <v>1255</v>
      </c>
      <c r="C926" s="98">
        <v>45831</v>
      </c>
      <c r="D926">
        <v>2025</v>
      </c>
      <c r="E926">
        <v>6</v>
      </c>
      <c r="F926">
        <v>2</v>
      </c>
      <c r="G926" t="s">
        <v>1243</v>
      </c>
      <c r="H926" t="s">
        <v>142</v>
      </c>
      <c r="I926" t="s">
        <v>142</v>
      </c>
      <c r="J926" t="s">
        <v>6</v>
      </c>
      <c r="L926">
        <v>522611</v>
      </c>
      <c r="M926" s="99" t="s">
        <v>178</v>
      </c>
      <c r="N926">
        <v>1</v>
      </c>
      <c r="O926">
        <v>25</v>
      </c>
      <c r="P926">
        <v>0.15040000000000001</v>
      </c>
      <c r="Q926" t="s">
        <v>352</v>
      </c>
      <c r="R926">
        <v>1</v>
      </c>
      <c r="S926">
        <v>0.14449999999999999</v>
      </c>
      <c r="T926">
        <v>5.7000000000000002E-3</v>
      </c>
      <c r="U926">
        <v>1.0350877192982484</v>
      </c>
      <c r="V926">
        <v>0.12739999999999999</v>
      </c>
      <c r="W926">
        <v>0.1331</v>
      </c>
      <c r="X926">
        <v>0.13879999999999998</v>
      </c>
      <c r="Y926">
        <v>0.1502</v>
      </c>
      <c r="Z926">
        <v>0.15589999999999998</v>
      </c>
      <c r="AA926">
        <v>0.16159999999999999</v>
      </c>
      <c r="AD926">
        <v>26.2487335922151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 t="s">
        <v>462</v>
      </c>
      <c r="AL926" t="s">
        <v>6</v>
      </c>
      <c r="AM926" t="s">
        <v>1145</v>
      </c>
      <c r="AN926" t="s">
        <v>1146</v>
      </c>
      <c r="AO926" s="100">
        <v>46262.040405092594</v>
      </c>
      <c r="AP926" t="s">
        <v>1147</v>
      </c>
      <c r="AQ926" t="s">
        <v>3074</v>
      </c>
      <c r="AR926" t="s">
        <v>1257</v>
      </c>
      <c r="AS926" t="s">
        <v>1150</v>
      </c>
      <c r="AT926" t="s">
        <v>3026</v>
      </c>
      <c r="AU926">
        <v>25</v>
      </c>
      <c r="AV926">
        <v>0.14679599999999998</v>
      </c>
      <c r="AW926">
        <v>5.6076198159290356E-3</v>
      </c>
      <c r="AX926">
        <v>3.8200085941912834</v>
      </c>
      <c r="AY926">
        <v>-0.93762681339590548</v>
      </c>
      <c r="AZ926">
        <v>7.2406409938115228</v>
      </c>
      <c r="BA926">
        <v>6.6259292759988391</v>
      </c>
      <c r="BB926" t="s">
        <v>4619</v>
      </c>
      <c r="BD926" s="98"/>
      <c r="BE926" s="98"/>
      <c r="BF926" t="s">
        <v>1152</v>
      </c>
      <c r="BG926" t="s">
        <v>322</v>
      </c>
      <c r="BH926" t="s">
        <v>1153</v>
      </c>
      <c r="BI926">
        <v>0.93762681339590548</v>
      </c>
      <c r="BJ926" t="s">
        <v>983</v>
      </c>
      <c r="BK926">
        <v>19.008092598403579</v>
      </c>
      <c r="BL926">
        <v>72.415274937458449</v>
      </c>
      <c r="BM926" t="s">
        <v>1260</v>
      </c>
      <c r="BN926" t="s">
        <v>1154</v>
      </c>
      <c r="BO926">
        <v>2025</v>
      </c>
      <c r="BP926" t="s">
        <v>966</v>
      </c>
      <c r="BQ926">
        <v>0.14803686998465793</v>
      </c>
      <c r="BR926">
        <v>99.999985196313006</v>
      </c>
      <c r="BS926" t="s">
        <v>984</v>
      </c>
      <c r="BT926">
        <v>3</v>
      </c>
      <c r="BU926">
        <v>1</v>
      </c>
      <c r="BV926" t="s">
        <v>985</v>
      </c>
      <c r="BW926" t="s">
        <v>943</v>
      </c>
      <c r="BX926" t="s">
        <v>986</v>
      </c>
      <c r="BY926">
        <v>6.6259292759988391</v>
      </c>
      <c r="BZ926" t="s">
        <v>1155</v>
      </c>
      <c r="CA926" t="s">
        <v>983</v>
      </c>
      <c r="CB926" t="b">
        <v>1</v>
      </c>
      <c r="CC926" t="b">
        <v>0</v>
      </c>
      <c r="CD926" t="b">
        <v>0</v>
      </c>
      <c r="CE926" t="b">
        <v>0</v>
      </c>
      <c r="CF926" t="b">
        <v>0</v>
      </c>
    </row>
    <row r="927" spans="1:84" x14ac:dyDescent="0.3">
      <c r="A927" t="s">
        <v>3075</v>
      </c>
      <c r="B927" t="s">
        <v>1143</v>
      </c>
      <c r="C927" s="98">
        <v>45663</v>
      </c>
      <c r="D927">
        <v>2025</v>
      </c>
      <c r="E927">
        <v>1</v>
      </c>
      <c r="F927">
        <v>1</v>
      </c>
      <c r="G927" t="s">
        <v>1144</v>
      </c>
      <c r="H927" t="s">
        <v>142</v>
      </c>
      <c r="I927" t="s">
        <v>142</v>
      </c>
      <c r="J927" t="s">
        <v>6</v>
      </c>
      <c r="L927">
        <v>522611</v>
      </c>
      <c r="M927" s="99" t="s">
        <v>179</v>
      </c>
      <c r="N927">
        <v>2</v>
      </c>
      <c r="O927">
        <v>1</v>
      </c>
      <c r="P927">
        <v>0.32119999999999999</v>
      </c>
      <c r="Q927" t="s">
        <v>352</v>
      </c>
      <c r="R927">
        <v>1</v>
      </c>
      <c r="S927">
        <v>0.32519999999999999</v>
      </c>
      <c r="T927">
        <v>8.6999999999999994E-3</v>
      </c>
      <c r="U927">
        <v>-0.45977011494252917</v>
      </c>
      <c r="V927">
        <v>0.29909999999999998</v>
      </c>
      <c r="W927">
        <v>0.30779999999999996</v>
      </c>
      <c r="X927">
        <v>0.3165</v>
      </c>
      <c r="Y927">
        <v>0.33389999999999997</v>
      </c>
      <c r="Z927">
        <v>0.34260000000000002</v>
      </c>
      <c r="AA927">
        <v>0.3513</v>
      </c>
      <c r="AD927">
        <v>26.2487335922151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 t="s">
        <v>462</v>
      </c>
      <c r="AL927" t="s">
        <v>6</v>
      </c>
      <c r="AM927" t="s">
        <v>1145</v>
      </c>
      <c r="AN927" t="s">
        <v>1146</v>
      </c>
      <c r="AO927" s="100">
        <v>46262.040405092594</v>
      </c>
      <c r="AP927" t="s">
        <v>1147</v>
      </c>
      <c r="AQ927" t="s">
        <v>3076</v>
      </c>
      <c r="AR927" t="s">
        <v>1149</v>
      </c>
      <c r="AS927" t="s">
        <v>1150</v>
      </c>
      <c r="AT927" t="s">
        <v>3026</v>
      </c>
      <c r="AU927">
        <v>25</v>
      </c>
      <c r="AV927">
        <v>0.32461600000000013</v>
      </c>
      <c r="AW927">
        <v>6.8859567236514057E-3</v>
      </c>
      <c r="AX927">
        <v>2.1212622679262276</v>
      </c>
      <c r="AY927">
        <v>-0.93762681339590548</v>
      </c>
      <c r="AZ927">
        <v>4.4377095554741812</v>
      </c>
      <c r="BA927">
        <v>11.93209682816055</v>
      </c>
      <c r="BB927" t="s">
        <v>4619</v>
      </c>
      <c r="BD927" s="98"/>
      <c r="BE927" s="98"/>
      <c r="BF927" t="s">
        <v>1152</v>
      </c>
      <c r="BG927" t="s">
        <v>322</v>
      </c>
      <c r="BH927" t="s">
        <v>1153</v>
      </c>
      <c r="BI927">
        <v>0.93762681339590548</v>
      </c>
      <c r="BJ927" t="s">
        <v>983</v>
      </c>
      <c r="BK927">
        <v>21.811024036740918</v>
      </c>
      <c r="BL927">
        <v>83.093624155679933</v>
      </c>
      <c r="BM927" t="s">
        <v>1260</v>
      </c>
      <c r="BN927" t="s">
        <v>1154</v>
      </c>
      <c r="BO927">
        <v>2025</v>
      </c>
      <c r="BP927" t="s">
        <v>966</v>
      </c>
      <c r="BQ927">
        <v>0.14803686998465793</v>
      </c>
      <c r="BR927">
        <v>99.999985196313006</v>
      </c>
      <c r="BS927" t="s">
        <v>984</v>
      </c>
      <c r="BT927">
        <v>3</v>
      </c>
      <c r="BU927">
        <v>1</v>
      </c>
      <c r="BV927" t="s">
        <v>985</v>
      </c>
      <c r="BW927" t="s">
        <v>943</v>
      </c>
      <c r="BX927" t="s">
        <v>986</v>
      </c>
      <c r="BY927">
        <v>6.6259292759988391</v>
      </c>
      <c r="BZ927" t="s">
        <v>1155</v>
      </c>
      <c r="CA927" t="s">
        <v>983</v>
      </c>
      <c r="CB927" t="b">
        <v>1</v>
      </c>
      <c r="CC927" t="b">
        <v>0</v>
      </c>
      <c r="CD927" t="b">
        <v>0</v>
      </c>
      <c r="CE927" t="b">
        <v>0</v>
      </c>
      <c r="CF927" t="b">
        <v>0</v>
      </c>
    </row>
    <row r="928" spans="1:84" x14ac:dyDescent="0.3">
      <c r="A928" t="s">
        <v>3077</v>
      </c>
      <c r="B928" t="s">
        <v>1157</v>
      </c>
      <c r="C928" s="98">
        <v>45670</v>
      </c>
      <c r="D928">
        <v>2025</v>
      </c>
      <c r="E928">
        <v>1</v>
      </c>
      <c r="F928">
        <v>1</v>
      </c>
      <c r="G928" t="s">
        <v>1144</v>
      </c>
      <c r="H928" t="s">
        <v>142</v>
      </c>
      <c r="I928" t="s">
        <v>142</v>
      </c>
      <c r="J928" t="s">
        <v>6</v>
      </c>
      <c r="L928">
        <v>522611</v>
      </c>
      <c r="M928" s="99" t="s">
        <v>179</v>
      </c>
      <c r="N928">
        <v>2</v>
      </c>
      <c r="O928">
        <v>2</v>
      </c>
      <c r="P928">
        <v>0.31900000000000001</v>
      </c>
      <c r="Q928" t="s">
        <v>352</v>
      </c>
      <c r="R928">
        <v>1</v>
      </c>
      <c r="S928">
        <v>0.32519999999999999</v>
      </c>
      <c r="T928">
        <v>8.6999999999999994E-3</v>
      </c>
      <c r="U928">
        <v>-0.71264367816091767</v>
      </c>
      <c r="V928">
        <v>0.29909999999999998</v>
      </c>
      <c r="W928">
        <v>0.30779999999999996</v>
      </c>
      <c r="X928">
        <v>0.3165</v>
      </c>
      <c r="Y928">
        <v>0.33389999999999997</v>
      </c>
      <c r="Z928">
        <v>0.34260000000000002</v>
      </c>
      <c r="AA928">
        <v>0.3513</v>
      </c>
      <c r="AD928">
        <v>26.2487335922151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 t="s">
        <v>462</v>
      </c>
      <c r="AL928" t="s">
        <v>6</v>
      </c>
      <c r="AM928" t="s">
        <v>1145</v>
      </c>
      <c r="AN928" t="s">
        <v>1146</v>
      </c>
      <c r="AO928" s="100">
        <v>46262.040405092594</v>
      </c>
      <c r="AP928" t="s">
        <v>1147</v>
      </c>
      <c r="AQ928" t="s">
        <v>3078</v>
      </c>
      <c r="AR928" t="s">
        <v>1159</v>
      </c>
      <c r="AS928" t="s">
        <v>1150</v>
      </c>
      <c r="AT928" t="s">
        <v>3026</v>
      </c>
      <c r="AU928">
        <v>25</v>
      </c>
      <c r="AV928">
        <v>0.32461600000000013</v>
      </c>
      <c r="AW928">
        <v>6.8859567236514057E-3</v>
      </c>
      <c r="AX928">
        <v>2.1212622679262276</v>
      </c>
      <c r="AY928">
        <v>-0.93762681339590548</v>
      </c>
      <c r="AZ928">
        <v>4.4377095554741812</v>
      </c>
      <c r="BA928">
        <v>11.93209682816055</v>
      </c>
      <c r="BB928" t="s">
        <v>4619</v>
      </c>
      <c r="BD928" s="98"/>
      <c r="BE928" s="98"/>
      <c r="BF928" t="s">
        <v>1152</v>
      </c>
      <c r="BG928" t="s">
        <v>322</v>
      </c>
      <c r="BH928" t="s">
        <v>1153</v>
      </c>
      <c r="BI928">
        <v>0.93762681339590548</v>
      </c>
      <c r="BJ928" t="s">
        <v>983</v>
      </c>
      <c r="BK928">
        <v>21.811024036740918</v>
      </c>
      <c r="BL928">
        <v>83.093624155679933</v>
      </c>
      <c r="BM928" t="s">
        <v>1260</v>
      </c>
      <c r="BN928" t="s">
        <v>1154</v>
      </c>
      <c r="BO928">
        <v>2025</v>
      </c>
      <c r="BP928" t="s">
        <v>966</v>
      </c>
      <c r="BQ928">
        <v>0.14803686998465793</v>
      </c>
      <c r="BR928">
        <v>99.999985196313006</v>
      </c>
      <c r="BS928" t="s">
        <v>984</v>
      </c>
      <c r="BT928">
        <v>3</v>
      </c>
      <c r="BU928">
        <v>1</v>
      </c>
      <c r="BV928" t="s">
        <v>985</v>
      </c>
      <c r="BW928" t="s">
        <v>943</v>
      </c>
      <c r="BX928" t="s">
        <v>986</v>
      </c>
      <c r="BY928">
        <v>6.6259292759988391</v>
      </c>
      <c r="BZ928" t="s">
        <v>1155</v>
      </c>
      <c r="CA928" t="s">
        <v>983</v>
      </c>
      <c r="CB928" t="b">
        <v>1</v>
      </c>
      <c r="CC928" t="b">
        <v>0</v>
      </c>
      <c r="CD928" t="b">
        <v>0</v>
      </c>
      <c r="CE928" t="b">
        <v>0</v>
      </c>
      <c r="CF928" t="b">
        <v>0</v>
      </c>
    </row>
    <row r="929" spans="1:84" x14ac:dyDescent="0.3">
      <c r="A929" t="s">
        <v>3079</v>
      </c>
      <c r="B929" t="s">
        <v>1161</v>
      </c>
      <c r="C929" s="98">
        <v>45677</v>
      </c>
      <c r="D929">
        <v>2025</v>
      </c>
      <c r="E929">
        <v>1</v>
      </c>
      <c r="F929">
        <v>1</v>
      </c>
      <c r="G929" t="s">
        <v>1144</v>
      </c>
      <c r="H929" t="s">
        <v>142</v>
      </c>
      <c r="I929" t="s">
        <v>142</v>
      </c>
      <c r="J929" t="s">
        <v>6</v>
      </c>
      <c r="L929">
        <v>522611</v>
      </c>
      <c r="M929" s="99" t="s">
        <v>179</v>
      </c>
      <c r="N929">
        <v>2</v>
      </c>
      <c r="O929">
        <v>3</v>
      </c>
      <c r="P929">
        <v>0.32350000000000001</v>
      </c>
      <c r="Q929" t="s">
        <v>352</v>
      </c>
      <c r="R929">
        <v>1</v>
      </c>
      <c r="S929">
        <v>0.32519999999999999</v>
      </c>
      <c r="T929">
        <v>8.6999999999999994E-3</v>
      </c>
      <c r="U929">
        <v>-0.19540229885057234</v>
      </c>
      <c r="V929">
        <v>0.29909999999999998</v>
      </c>
      <c r="W929">
        <v>0.30779999999999996</v>
      </c>
      <c r="X929">
        <v>0.3165</v>
      </c>
      <c r="Y929">
        <v>0.33389999999999997</v>
      </c>
      <c r="Z929">
        <v>0.34260000000000002</v>
      </c>
      <c r="AA929">
        <v>0.3513</v>
      </c>
      <c r="AD929">
        <v>26.2487335922151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 t="s">
        <v>462</v>
      </c>
      <c r="AL929" t="s">
        <v>6</v>
      </c>
      <c r="AM929" t="s">
        <v>1145</v>
      </c>
      <c r="AN929" t="s">
        <v>1146</v>
      </c>
      <c r="AO929" s="100">
        <v>46262.040405092594</v>
      </c>
      <c r="AP929" t="s">
        <v>1147</v>
      </c>
      <c r="AQ929" t="s">
        <v>3080</v>
      </c>
      <c r="AR929" t="s">
        <v>1163</v>
      </c>
      <c r="AS929" t="s">
        <v>1150</v>
      </c>
      <c r="AT929" t="s">
        <v>3026</v>
      </c>
      <c r="AU929">
        <v>25</v>
      </c>
      <c r="AV929">
        <v>0.32461600000000013</v>
      </c>
      <c r="AW929">
        <v>6.8859567236514057E-3</v>
      </c>
      <c r="AX929">
        <v>2.1212622679262276</v>
      </c>
      <c r="AY929">
        <v>-0.93762681339590548</v>
      </c>
      <c r="AZ929">
        <v>4.4377095554741812</v>
      </c>
      <c r="BA929">
        <v>11.93209682816055</v>
      </c>
      <c r="BB929" t="s">
        <v>4619</v>
      </c>
      <c r="BD929" s="98"/>
      <c r="BE929" s="98"/>
      <c r="BF929" t="s">
        <v>1152</v>
      </c>
      <c r="BG929" t="s">
        <v>322</v>
      </c>
      <c r="BH929" t="s">
        <v>1153</v>
      </c>
      <c r="BI929">
        <v>0.93762681339590548</v>
      </c>
      <c r="BJ929" t="s">
        <v>983</v>
      </c>
      <c r="BK929">
        <v>21.811024036740918</v>
      </c>
      <c r="BL929">
        <v>83.093624155679933</v>
      </c>
      <c r="BM929" t="s">
        <v>1260</v>
      </c>
      <c r="BN929" t="s">
        <v>1154</v>
      </c>
      <c r="BO929">
        <v>2025</v>
      </c>
      <c r="BP929" t="s">
        <v>966</v>
      </c>
      <c r="BQ929">
        <v>0.14803686998465793</v>
      </c>
      <c r="BR929">
        <v>99.999985196313006</v>
      </c>
      <c r="BS929" t="s">
        <v>984</v>
      </c>
      <c r="BT929">
        <v>3</v>
      </c>
      <c r="BU929">
        <v>1</v>
      </c>
      <c r="BV929" t="s">
        <v>985</v>
      </c>
      <c r="BW929" t="s">
        <v>943</v>
      </c>
      <c r="BX929" t="s">
        <v>986</v>
      </c>
      <c r="BY929">
        <v>6.6259292759988391</v>
      </c>
      <c r="BZ929" t="s">
        <v>1155</v>
      </c>
      <c r="CA929" t="s">
        <v>983</v>
      </c>
      <c r="CB929" t="b">
        <v>1</v>
      </c>
      <c r="CC929" t="b">
        <v>0</v>
      </c>
      <c r="CD929" t="b">
        <v>0</v>
      </c>
      <c r="CE929" t="b">
        <v>0</v>
      </c>
      <c r="CF929" t="b">
        <v>0</v>
      </c>
    </row>
    <row r="930" spans="1:84" x14ac:dyDescent="0.3">
      <c r="A930" t="s">
        <v>3081</v>
      </c>
      <c r="B930" t="s">
        <v>1165</v>
      </c>
      <c r="C930" s="98">
        <v>45684</v>
      </c>
      <c r="D930">
        <v>2025</v>
      </c>
      <c r="E930">
        <v>1</v>
      </c>
      <c r="F930">
        <v>1</v>
      </c>
      <c r="G930" t="s">
        <v>1144</v>
      </c>
      <c r="H930" t="s">
        <v>142</v>
      </c>
      <c r="I930" t="s">
        <v>142</v>
      </c>
      <c r="J930" t="s">
        <v>6</v>
      </c>
      <c r="L930">
        <v>522611</v>
      </c>
      <c r="M930" s="99" t="s">
        <v>179</v>
      </c>
      <c r="N930">
        <v>2</v>
      </c>
      <c r="O930">
        <v>4</v>
      </c>
      <c r="P930">
        <v>0.33550000000000002</v>
      </c>
      <c r="Q930" t="s">
        <v>352</v>
      </c>
      <c r="R930">
        <v>1</v>
      </c>
      <c r="S930">
        <v>0.32519999999999999</v>
      </c>
      <c r="T930">
        <v>8.6999999999999994E-3</v>
      </c>
      <c r="U930">
        <v>1.1839080459770153</v>
      </c>
      <c r="V930">
        <v>0.29909999999999998</v>
      </c>
      <c r="W930">
        <v>0.30779999999999996</v>
      </c>
      <c r="X930">
        <v>0.3165</v>
      </c>
      <c r="Y930">
        <v>0.33389999999999997</v>
      </c>
      <c r="Z930">
        <v>0.34260000000000002</v>
      </c>
      <c r="AA930">
        <v>0.3513</v>
      </c>
      <c r="AD930">
        <v>26.2487335922151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 t="s">
        <v>462</v>
      </c>
      <c r="AL930" t="s">
        <v>6</v>
      </c>
      <c r="AM930" t="s">
        <v>1145</v>
      </c>
      <c r="AN930" t="s">
        <v>1146</v>
      </c>
      <c r="AO930" s="100">
        <v>46262.040405092594</v>
      </c>
      <c r="AP930" t="s">
        <v>1147</v>
      </c>
      <c r="AQ930" t="s">
        <v>3082</v>
      </c>
      <c r="AR930" t="s">
        <v>1167</v>
      </c>
      <c r="AS930" t="s">
        <v>1150</v>
      </c>
      <c r="AT930" t="s">
        <v>3026</v>
      </c>
      <c r="AU930">
        <v>25</v>
      </c>
      <c r="AV930">
        <v>0.32461600000000013</v>
      </c>
      <c r="AW930">
        <v>6.8859567236514057E-3</v>
      </c>
      <c r="AX930">
        <v>2.1212622679262276</v>
      </c>
      <c r="AY930">
        <v>-0.93762681339590548</v>
      </c>
      <c r="AZ930">
        <v>4.4377095554741812</v>
      </c>
      <c r="BA930">
        <v>11.93209682816055</v>
      </c>
      <c r="BB930" t="s">
        <v>4619</v>
      </c>
      <c r="BD930" s="98"/>
      <c r="BE930" s="98"/>
      <c r="BF930" t="s">
        <v>1152</v>
      </c>
      <c r="BG930" t="s">
        <v>322</v>
      </c>
      <c r="BH930" t="s">
        <v>1153</v>
      </c>
      <c r="BI930">
        <v>0.93762681339590548</v>
      </c>
      <c r="BJ930" t="s">
        <v>983</v>
      </c>
      <c r="BK930">
        <v>21.811024036740918</v>
      </c>
      <c r="BL930">
        <v>83.093624155679933</v>
      </c>
      <c r="BM930" t="s">
        <v>1260</v>
      </c>
      <c r="BN930" t="s">
        <v>1154</v>
      </c>
      <c r="BO930">
        <v>2025</v>
      </c>
      <c r="BP930" t="s">
        <v>966</v>
      </c>
      <c r="BQ930">
        <v>0.14803686998465793</v>
      </c>
      <c r="BR930">
        <v>99.999985196313006</v>
      </c>
      <c r="BS930" t="s">
        <v>984</v>
      </c>
      <c r="BT930">
        <v>3</v>
      </c>
      <c r="BU930">
        <v>1</v>
      </c>
      <c r="BV930" t="s">
        <v>985</v>
      </c>
      <c r="BW930" t="s">
        <v>943</v>
      </c>
      <c r="BX930" t="s">
        <v>986</v>
      </c>
      <c r="BY930">
        <v>6.6259292759988391</v>
      </c>
      <c r="BZ930" t="s">
        <v>1155</v>
      </c>
      <c r="CA930" t="s">
        <v>983</v>
      </c>
      <c r="CB930" t="b">
        <v>1</v>
      </c>
      <c r="CC930" t="b">
        <v>0</v>
      </c>
      <c r="CD930" t="b">
        <v>0</v>
      </c>
      <c r="CE930" t="b">
        <v>0</v>
      </c>
      <c r="CF930" t="b">
        <v>0</v>
      </c>
    </row>
    <row r="931" spans="1:84" x14ac:dyDescent="0.3">
      <c r="A931" t="s">
        <v>3083</v>
      </c>
      <c r="B931" t="s">
        <v>1169</v>
      </c>
      <c r="C931" s="98">
        <v>45691</v>
      </c>
      <c r="D931">
        <v>2025</v>
      </c>
      <c r="E931">
        <v>2</v>
      </c>
      <c r="F931">
        <v>1</v>
      </c>
      <c r="G931" t="s">
        <v>1170</v>
      </c>
      <c r="H931" t="s">
        <v>142</v>
      </c>
      <c r="I931" t="s">
        <v>142</v>
      </c>
      <c r="J931" t="s">
        <v>6</v>
      </c>
      <c r="L931">
        <v>522611</v>
      </c>
      <c r="M931" s="99" t="s">
        <v>179</v>
      </c>
      <c r="N931">
        <v>2</v>
      </c>
      <c r="O931">
        <v>5</v>
      </c>
      <c r="P931">
        <v>0.31309999999999999</v>
      </c>
      <c r="Q931" t="s">
        <v>352</v>
      </c>
      <c r="R931">
        <v>1</v>
      </c>
      <c r="S931">
        <v>0.32519999999999999</v>
      </c>
      <c r="T931">
        <v>8.6999999999999994E-3</v>
      </c>
      <c r="U931">
        <v>-1.3908045977011494</v>
      </c>
      <c r="V931">
        <v>0.29909999999999998</v>
      </c>
      <c r="W931">
        <v>0.30779999999999996</v>
      </c>
      <c r="X931">
        <v>0.3165</v>
      </c>
      <c r="Y931">
        <v>0.33389999999999997</v>
      </c>
      <c r="Z931">
        <v>0.34260000000000002</v>
      </c>
      <c r="AA931">
        <v>0.3513</v>
      </c>
      <c r="AD931">
        <v>26.2487335922151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 t="s">
        <v>462</v>
      </c>
      <c r="AL931" t="s">
        <v>6</v>
      </c>
      <c r="AM931" t="s">
        <v>1145</v>
      </c>
      <c r="AN931" t="s">
        <v>1146</v>
      </c>
      <c r="AO931" s="100">
        <v>46262.040405092594</v>
      </c>
      <c r="AP931" t="s">
        <v>1147</v>
      </c>
      <c r="AQ931" t="s">
        <v>3084</v>
      </c>
      <c r="AR931" t="s">
        <v>1172</v>
      </c>
      <c r="AS931" t="s">
        <v>1150</v>
      </c>
      <c r="AT931" t="s">
        <v>3026</v>
      </c>
      <c r="AU931">
        <v>25</v>
      </c>
      <c r="AV931">
        <v>0.32461600000000013</v>
      </c>
      <c r="AW931">
        <v>6.8859567236514057E-3</v>
      </c>
      <c r="AX931">
        <v>2.1212622679262276</v>
      </c>
      <c r="AY931">
        <v>-0.93762681339590548</v>
      </c>
      <c r="AZ931">
        <v>4.4377095554741812</v>
      </c>
      <c r="BA931">
        <v>11.93209682816055</v>
      </c>
      <c r="BB931" t="s">
        <v>4619</v>
      </c>
      <c r="BD931" s="98"/>
      <c r="BE931" s="98"/>
      <c r="BF931" t="s">
        <v>1152</v>
      </c>
      <c r="BG931" t="s">
        <v>322</v>
      </c>
      <c r="BH931" t="s">
        <v>1153</v>
      </c>
      <c r="BI931">
        <v>0.93762681339590548</v>
      </c>
      <c r="BJ931" t="s">
        <v>983</v>
      </c>
      <c r="BK931">
        <v>21.811024036740918</v>
      </c>
      <c r="BL931">
        <v>83.093624155679933</v>
      </c>
      <c r="BM931" t="s">
        <v>1260</v>
      </c>
      <c r="BN931" t="s">
        <v>1154</v>
      </c>
      <c r="BO931">
        <v>2025</v>
      </c>
      <c r="BP931" t="s">
        <v>966</v>
      </c>
      <c r="BQ931">
        <v>0.14803686998465793</v>
      </c>
      <c r="BR931">
        <v>99.999985196313006</v>
      </c>
      <c r="BS931" t="s">
        <v>984</v>
      </c>
      <c r="BT931">
        <v>3</v>
      </c>
      <c r="BU931">
        <v>1</v>
      </c>
      <c r="BV931" t="s">
        <v>985</v>
      </c>
      <c r="BW931" t="s">
        <v>943</v>
      </c>
      <c r="BX931" t="s">
        <v>986</v>
      </c>
      <c r="BY931">
        <v>6.6259292759988391</v>
      </c>
      <c r="BZ931" t="s">
        <v>1155</v>
      </c>
      <c r="CA931" t="s">
        <v>983</v>
      </c>
      <c r="CB931" t="b">
        <v>1</v>
      </c>
      <c r="CC931" t="b">
        <v>0</v>
      </c>
      <c r="CD931" t="b">
        <v>0</v>
      </c>
      <c r="CE931" t="b">
        <v>0</v>
      </c>
      <c r="CF931" t="b">
        <v>0</v>
      </c>
    </row>
    <row r="932" spans="1:84" x14ac:dyDescent="0.3">
      <c r="A932" t="s">
        <v>3085</v>
      </c>
      <c r="B932" t="s">
        <v>1174</v>
      </c>
      <c r="C932" s="98">
        <v>45698</v>
      </c>
      <c r="D932">
        <v>2025</v>
      </c>
      <c r="E932">
        <v>2</v>
      </c>
      <c r="F932">
        <v>1</v>
      </c>
      <c r="G932" t="s">
        <v>1170</v>
      </c>
      <c r="H932" t="s">
        <v>142</v>
      </c>
      <c r="I932" t="s">
        <v>142</v>
      </c>
      <c r="J932" t="s">
        <v>6</v>
      </c>
      <c r="L932">
        <v>522611</v>
      </c>
      <c r="M932" s="99" t="s">
        <v>179</v>
      </c>
      <c r="N932">
        <v>2</v>
      </c>
      <c r="O932">
        <v>6</v>
      </c>
      <c r="P932">
        <v>0.33560000000000001</v>
      </c>
      <c r="Q932" t="s">
        <v>352</v>
      </c>
      <c r="R932">
        <v>1</v>
      </c>
      <c r="S932">
        <v>0.32519999999999999</v>
      </c>
      <c r="T932">
        <v>8.6999999999999994E-3</v>
      </c>
      <c r="U932">
        <v>1.195402298850577</v>
      </c>
      <c r="V932">
        <v>0.29909999999999998</v>
      </c>
      <c r="W932">
        <v>0.30779999999999996</v>
      </c>
      <c r="X932">
        <v>0.3165</v>
      </c>
      <c r="Y932">
        <v>0.33389999999999997</v>
      </c>
      <c r="Z932">
        <v>0.34260000000000002</v>
      </c>
      <c r="AA932">
        <v>0.3513</v>
      </c>
      <c r="AD932">
        <v>26.2487335922151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 t="s">
        <v>462</v>
      </c>
      <c r="AL932" t="s">
        <v>6</v>
      </c>
      <c r="AM932" t="s">
        <v>1145</v>
      </c>
      <c r="AN932" t="s">
        <v>1146</v>
      </c>
      <c r="AO932" s="100">
        <v>46262.040405092594</v>
      </c>
      <c r="AP932" t="s">
        <v>1147</v>
      </c>
      <c r="AQ932" t="s">
        <v>3086</v>
      </c>
      <c r="AR932" t="s">
        <v>1176</v>
      </c>
      <c r="AS932" t="s">
        <v>1150</v>
      </c>
      <c r="AT932" t="s">
        <v>3026</v>
      </c>
      <c r="AU932">
        <v>25</v>
      </c>
      <c r="AV932">
        <v>0.32461600000000013</v>
      </c>
      <c r="AW932">
        <v>6.8859567236514057E-3</v>
      </c>
      <c r="AX932">
        <v>2.1212622679262276</v>
      </c>
      <c r="AY932">
        <v>-0.93762681339590548</v>
      </c>
      <c r="AZ932">
        <v>4.4377095554741812</v>
      </c>
      <c r="BA932">
        <v>11.93209682816055</v>
      </c>
      <c r="BB932" t="s">
        <v>4619</v>
      </c>
      <c r="BD932" s="98"/>
      <c r="BE932" s="98"/>
      <c r="BF932" t="s">
        <v>1152</v>
      </c>
      <c r="BG932" t="s">
        <v>322</v>
      </c>
      <c r="BH932" t="s">
        <v>1153</v>
      </c>
      <c r="BI932">
        <v>0.93762681339590548</v>
      </c>
      <c r="BJ932" t="s">
        <v>983</v>
      </c>
      <c r="BK932">
        <v>21.811024036740918</v>
      </c>
      <c r="BL932">
        <v>83.093624155679933</v>
      </c>
      <c r="BM932" t="s">
        <v>1260</v>
      </c>
      <c r="BN932" t="s">
        <v>1154</v>
      </c>
      <c r="BO932">
        <v>2025</v>
      </c>
      <c r="BP932" t="s">
        <v>966</v>
      </c>
      <c r="BQ932">
        <v>0.14803686998465793</v>
      </c>
      <c r="BR932">
        <v>99.999985196313006</v>
      </c>
      <c r="BS932" t="s">
        <v>984</v>
      </c>
      <c r="BT932">
        <v>3</v>
      </c>
      <c r="BU932">
        <v>1</v>
      </c>
      <c r="BV932" t="s">
        <v>985</v>
      </c>
      <c r="BW932" t="s">
        <v>943</v>
      </c>
      <c r="BX932" t="s">
        <v>986</v>
      </c>
      <c r="BY932">
        <v>6.6259292759988391</v>
      </c>
      <c r="BZ932" t="s">
        <v>1155</v>
      </c>
      <c r="CA932" t="s">
        <v>983</v>
      </c>
      <c r="CB932" t="b">
        <v>1</v>
      </c>
      <c r="CC932" t="b">
        <v>0</v>
      </c>
      <c r="CD932" t="b">
        <v>0</v>
      </c>
      <c r="CE932" t="b">
        <v>0</v>
      </c>
      <c r="CF932" t="b">
        <v>0</v>
      </c>
    </row>
    <row r="933" spans="1:84" x14ac:dyDescent="0.3">
      <c r="A933" t="s">
        <v>3087</v>
      </c>
      <c r="B933" t="s">
        <v>1178</v>
      </c>
      <c r="C933" s="98">
        <v>45705</v>
      </c>
      <c r="D933">
        <v>2025</v>
      </c>
      <c r="E933">
        <v>2</v>
      </c>
      <c r="F933">
        <v>1</v>
      </c>
      <c r="G933" t="s">
        <v>1170</v>
      </c>
      <c r="H933" t="s">
        <v>142</v>
      </c>
      <c r="I933" t="s">
        <v>142</v>
      </c>
      <c r="J933" t="s">
        <v>6</v>
      </c>
      <c r="L933">
        <v>522611</v>
      </c>
      <c r="M933" s="99" t="s">
        <v>179</v>
      </c>
      <c r="N933">
        <v>2</v>
      </c>
      <c r="O933">
        <v>7</v>
      </c>
      <c r="P933">
        <v>0.3196</v>
      </c>
      <c r="Q933" t="s">
        <v>352</v>
      </c>
      <c r="R933">
        <v>1</v>
      </c>
      <c r="S933">
        <v>0.32519999999999999</v>
      </c>
      <c r="T933">
        <v>8.6999999999999994E-3</v>
      </c>
      <c r="U933">
        <v>-0.64367816091953955</v>
      </c>
      <c r="V933">
        <v>0.29909999999999998</v>
      </c>
      <c r="W933">
        <v>0.30779999999999996</v>
      </c>
      <c r="X933">
        <v>0.3165</v>
      </c>
      <c r="Y933">
        <v>0.33389999999999997</v>
      </c>
      <c r="Z933">
        <v>0.34260000000000002</v>
      </c>
      <c r="AA933">
        <v>0.3513</v>
      </c>
      <c r="AD933">
        <v>26.2487335922151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 t="s">
        <v>462</v>
      </c>
      <c r="AL933" t="s">
        <v>6</v>
      </c>
      <c r="AM933" t="s">
        <v>1145</v>
      </c>
      <c r="AN933" t="s">
        <v>1146</v>
      </c>
      <c r="AO933" s="100">
        <v>46262.040405092594</v>
      </c>
      <c r="AP933" t="s">
        <v>1147</v>
      </c>
      <c r="AQ933" t="s">
        <v>3088</v>
      </c>
      <c r="AR933" t="s">
        <v>1180</v>
      </c>
      <c r="AS933" t="s">
        <v>1150</v>
      </c>
      <c r="AT933" t="s">
        <v>3026</v>
      </c>
      <c r="AU933">
        <v>25</v>
      </c>
      <c r="AV933">
        <v>0.32461600000000013</v>
      </c>
      <c r="AW933">
        <v>6.8859567236514057E-3</v>
      </c>
      <c r="AX933">
        <v>2.1212622679262276</v>
      </c>
      <c r="AY933">
        <v>-0.93762681339590548</v>
      </c>
      <c r="AZ933">
        <v>4.4377095554741812</v>
      </c>
      <c r="BA933">
        <v>11.93209682816055</v>
      </c>
      <c r="BB933" t="s">
        <v>4619</v>
      </c>
      <c r="BD933" s="98"/>
      <c r="BE933" s="98"/>
      <c r="BF933" t="s">
        <v>1152</v>
      </c>
      <c r="BG933" t="s">
        <v>322</v>
      </c>
      <c r="BH933" t="s">
        <v>1153</v>
      </c>
      <c r="BI933">
        <v>0.93762681339590548</v>
      </c>
      <c r="BJ933" t="s">
        <v>983</v>
      </c>
      <c r="BK933">
        <v>21.811024036740918</v>
      </c>
      <c r="BL933">
        <v>83.093624155679933</v>
      </c>
      <c r="BM933" t="s">
        <v>1260</v>
      </c>
      <c r="BN933" t="s">
        <v>1154</v>
      </c>
      <c r="BO933">
        <v>2025</v>
      </c>
      <c r="BP933" t="s">
        <v>966</v>
      </c>
      <c r="BQ933">
        <v>0.14803686998465793</v>
      </c>
      <c r="BR933">
        <v>99.999985196313006</v>
      </c>
      <c r="BS933" t="s">
        <v>984</v>
      </c>
      <c r="BT933">
        <v>3</v>
      </c>
      <c r="BU933">
        <v>1</v>
      </c>
      <c r="BV933" t="s">
        <v>985</v>
      </c>
      <c r="BW933" t="s">
        <v>943</v>
      </c>
      <c r="BX933" t="s">
        <v>986</v>
      </c>
      <c r="BY933">
        <v>6.6259292759988391</v>
      </c>
      <c r="BZ933" t="s">
        <v>1155</v>
      </c>
      <c r="CA933" t="s">
        <v>983</v>
      </c>
      <c r="CB933" t="b">
        <v>1</v>
      </c>
      <c r="CC933" t="b">
        <v>0</v>
      </c>
      <c r="CD933" t="b">
        <v>0</v>
      </c>
      <c r="CE933" t="b">
        <v>0</v>
      </c>
      <c r="CF933" t="b">
        <v>0</v>
      </c>
    </row>
    <row r="934" spans="1:84" x14ac:dyDescent="0.3">
      <c r="A934" t="s">
        <v>3089</v>
      </c>
      <c r="B934" t="s">
        <v>1182</v>
      </c>
      <c r="C934" s="98">
        <v>45712</v>
      </c>
      <c r="D934">
        <v>2025</v>
      </c>
      <c r="E934">
        <v>2</v>
      </c>
      <c r="F934">
        <v>1</v>
      </c>
      <c r="G934" t="s">
        <v>1170</v>
      </c>
      <c r="H934" t="s">
        <v>142</v>
      </c>
      <c r="I934" t="s">
        <v>142</v>
      </c>
      <c r="J934" t="s">
        <v>6</v>
      </c>
      <c r="L934">
        <v>522611</v>
      </c>
      <c r="M934" s="99" t="s">
        <v>179</v>
      </c>
      <c r="N934">
        <v>2</v>
      </c>
      <c r="O934">
        <v>8</v>
      </c>
      <c r="P934">
        <v>0.31559999999999999</v>
      </c>
      <c r="Q934" t="s">
        <v>352</v>
      </c>
      <c r="R934">
        <v>1</v>
      </c>
      <c r="S934">
        <v>0.32519999999999999</v>
      </c>
      <c r="T934">
        <v>8.6999999999999994E-3</v>
      </c>
      <c r="U934">
        <v>-1.1034482758620687</v>
      </c>
      <c r="V934">
        <v>0.29909999999999998</v>
      </c>
      <c r="W934">
        <v>0.30779999999999996</v>
      </c>
      <c r="X934">
        <v>0.3165</v>
      </c>
      <c r="Y934">
        <v>0.33389999999999997</v>
      </c>
      <c r="Z934">
        <v>0.34260000000000002</v>
      </c>
      <c r="AA934">
        <v>0.3513</v>
      </c>
      <c r="AD934">
        <v>26.2487335922151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 t="s">
        <v>462</v>
      </c>
      <c r="AL934" t="s">
        <v>6</v>
      </c>
      <c r="AM934" t="s">
        <v>1145</v>
      </c>
      <c r="AN934" t="s">
        <v>1146</v>
      </c>
      <c r="AO934" s="100">
        <v>46262.040405092594</v>
      </c>
      <c r="AP934" t="s">
        <v>1147</v>
      </c>
      <c r="AQ934" t="s">
        <v>3090</v>
      </c>
      <c r="AR934" t="s">
        <v>1184</v>
      </c>
      <c r="AS934" t="s">
        <v>1150</v>
      </c>
      <c r="AT934" t="s">
        <v>3026</v>
      </c>
      <c r="AU934">
        <v>25</v>
      </c>
      <c r="AV934">
        <v>0.32461600000000013</v>
      </c>
      <c r="AW934">
        <v>6.8859567236514057E-3</v>
      </c>
      <c r="AX934">
        <v>2.1212622679262276</v>
      </c>
      <c r="AY934">
        <v>-0.93762681339590548</v>
      </c>
      <c r="AZ934">
        <v>4.4377095554741812</v>
      </c>
      <c r="BA934">
        <v>11.93209682816055</v>
      </c>
      <c r="BB934" t="s">
        <v>4619</v>
      </c>
      <c r="BD934" s="98"/>
      <c r="BE934" s="98"/>
      <c r="BF934" t="s">
        <v>1152</v>
      </c>
      <c r="BG934" t="s">
        <v>322</v>
      </c>
      <c r="BH934" t="s">
        <v>1153</v>
      </c>
      <c r="BI934">
        <v>0.93762681339590548</v>
      </c>
      <c r="BJ934" t="s">
        <v>983</v>
      </c>
      <c r="BK934">
        <v>21.811024036740918</v>
      </c>
      <c r="BL934">
        <v>83.093624155679933</v>
      </c>
      <c r="BM934" t="s">
        <v>1260</v>
      </c>
      <c r="BN934" t="s">
        <v>1154</v>
      </c>
      <c r="BO934">
        <v>2025</v>
      </c>
      <c r="BP934" t="s">
        <v>966</v>
      </c>
      <c r="BQ934">
        <v>0.14803686998465793</v>
      </c>
      <c r="BR934">
        <v>99.999985196313006</v>
      </c>
      <c r="BS934" t="s">
        <v>984</v>
      </c>
      <c r="BT934">
        <v>3</v>
      </c>
      <c r="BU934">
        <v>1</v>
      </c>
      <c r="BV934" t="s">
        <v>985</v>
      </c>
      <c r="BW934" t="s">
        <v>943</v>
      </c>
      <c r="BX934" t="s">
        <v>986</v>
      </c>
      <c r="BY934">
        <v>6.6259292759988391</v>
      </c>
      <c r="BZ934" t="s">
        <v>1155</v>
      </c>
      <c r="CA934" t="s">
        <v>983</v>
      </c>
      <c r="CB934" t="b">
        <v>1</v>
      </c>
      <c r="CC934" t="b">
        <v>0</v>
      </c>
      <c r="CD934" t="b">
        <v>0</v>
      </c>
      <c r="CE934" t="b">
        <v>0</v>
      </c>
      <c r="CF934" t="b">
        <v>0</v>
      </c>
    </row>
    <row r="935" spans="1:84" x14ac:dyDescent="0.3">
      <c r="A935" t="s">
        <v>3091</v>
      </c>
      <c r="B935" t="s">
        <v>1186</v>
      </c>
      <c r="C935" s="98">
        <v>45719</v>
      </c>
      <c r="D935">
        <v>2025</v>
      </c>
      <c r="E935">
        <v>3</v>
      </c>
      <c r="F935">
        <v>1</v>
      </c>
      <c r="G935" t="s">
        <v>1187</v>
      </c>
      <c r="H935" t="s">
        <v>142</v>
      </c>
      <c r="I935" t="s">
        <v>142</v>
      </c>
      <c r="J935" t="s">
        <v>6</v>
      </c>
      <c r="L935">
        <v>522611</v>
      </c>
      <c r="M935" s="99" t="s">
        <v>179</v>
      </c>
      <c r="N935">
        <v>2</v>
      </c>
      <c r="O935">
        <v>9</v>
      </c>
      <c r="P935">
        <v>0.33610000000000001</v>
      </c>
      <c r="Q935" t="s">
        <v>352</v>
      </c>
      <c r="R935">
        <v>1</v>
      </c>
      <c r="S935">
        <v>0.32519999999999999</v>
      </c>
      <c r="T935">
        <v>8.6999999999999994E-3</v>
      </c>
      <c r="U935">
        <v>1.2528735632183934</v>
      </c>
      <c r="V935">
        <v>0.29909999999999998</v>
      </c>
      <c r="W935">
        <v>0.30779999999999996</v>
      </c>
      <c r="X935">
        <v>0.3165</v>
      </c>
      <c r="Y935">
        <v>0.33389999999999997</v>
      </c>
      <c r="Z935">
        <v>0.34260000000000002</v>
      </c>
      <c r="AA935">
        <v>0.3513</v>
      </c>
      <c r="AD935">
        <v>26.2487335922151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 t="s">
        <v>462</v>
      </c>
      <c r="AL935" t="s">
        <v>6</v>
      </c>
      <c r="AM935" t="s">
        <v>1145</v>
      </c>
      <c r="AN935" t="s">
        <v>1146</v>
      </c>
      <c r="AO935" s="100">
        <v>46262.040405092594</v>
      </c>
      <c r="AP935" t="s">
        <v>1147</v>
      </c>
      <c r="AQ935" t="s">
        <v>3092</v>
      </c>
      <c r="AR935" t="s">
        <v>1189</v>
      </c>
      <c r="AS935" t="s">
        <v>1150</v>
      </c>
      <c r="AT935" t="s">
        <v>3026</v>
      </c>
      <c r="AU935">
        <v>25</v>
      </c>
      <c r="AV935">
        <v>0.32461600000000013</v>
      </c>
      <c r="AW935">
        <v>6.8859567236514057E-3</v>
      </c>
      <c r="AX935">
        <v>2.1212622679262276</v>
      </c>
      <c r="AY935">
        <v>-0.93762681339590548</v>
      </c>
      <c r="AZ935">
        <v>4.4377095554741812</v>
      </c>
      <c r="BA935">
        <v>11.93209682816055</v>
      </c>
      <c r="BB935" t="s">
        <v>4619</v>
      </c>
      <c r="BD935" s="98"/>
      <c r="BE935" s="98"/>
      <c r="BF935" t="s">
        <v>1152</v>
      </c>
      <c r="BG935" t="s">
        <v>322</v>
      </c>
      <c r="BH935" t="s">
        <v>1153</v>
      </c>
      <c r="BI935">
        <v>0.93762681339590548</v>
      </c>
      <c r="BJ935" t="s">
        <v>983</v>
      </c>
      <c r="BK935">
        <v>21.811024036740918</v>
      </c>
      <c r="BL935">
        <v>83.093624155679933</v>
      </c>
      <c r="BM935" t="s">
        <v>1260</v>
      </c>
      <c r="BN935" t="s">
        <v>1154</v>
      </c>
      <c r="BO935">
        <v>2025</v>
      </c>
      <c r="BP935" t="s">
        <v>966</v>
      </c>
      <c r="BQ935">
        <v>0.14803686998465793</v>
      </c>
      <c r="BR935">
        <v>99.999985196313006</v>
      </c>
      <c r="BS935" t="s">
        <v>984</v>
      </c>
      <c r="BT935">
        <v>3</v>
      </c>
      <c r="BU935">
        <v>1</v>
      </c>
      <c r="BV935" t="s">
        <v>985</v>
      </c>
      <c r="BW935" t="s">
        <v>943</v>
      </c>
      <c r="BX935" t="s">
        <v>986</v>
      </c>
      <c r="BY935">
        <v>6.6259292759988391</v>
      </c>
      <c r="BZ935" t="s">
        <v>1155</v>
      </c>
      <c r="CA935" t="s">
        <v>983</v>
      </c>
      <c r="CB935" t="b">
        <v>1</v>
      </c>
      <c r="CC935" t="b">
        <v>0</v>
      </c>
      <c r="CD935" t="b">
        <v>0</v>
      </c>
      <c r="CE935" t="b">
        <v>0</v>
      </c>
      <c r="CF935" t="b">
        <v>0</v>
      </c>
    </row>
    <row r="936" spans="1:84" x14ac:dyDescent="0.3">
      <c r="A936" t="s">
        <v>3093</v>
      </c>
      <c r="B936" t="s">
        <v>1191</v>
      </c>
      <c r="C936" s="98">
        <v>45726</v>
      </c>
      <c r="D936">
        <v>2025</v>
      </c>
      <c r="E936">
        <v>3</v>
      </c>
      <c r="F936">
        <v>1</v>
      </c>
      <c r="G936" t="s">
        <v>1187</v>
      </c>
      <c r="H936" t="s">
        <v>142</v>
      </c>
      <c r="I936" t="s">
        <v>142</v>
      </c>
      <c r="J936" t="s">
        <v>6</v>
      </c>
      <c r="L936">
        <v>522611</v>
      </c>
      <c r="M936" s="99" t="s">
        <v>179</v>
      </c>
      <c r="N936">
        <v>2</v>
      </c>
      <c r="O936">
        <v>10</v>
      </c>
      <c r="P936">
        <v>0.32429999999999998</v>
      </c>
      <c r="Q936" t="s">
        <v>352</v>
      </c>
      <c r="R936">
        <v>1</v>
      </c>
      <c r="S936">
        <v>0.32519999999999999</v>
      </c>
      <c r="T936">
        <v>8.6999999999999994E-3</v>
      </c>
      <c r="U936">
        <v>-0.10344827586207034</v>
      </c>
      <c r="V936">
        <v>0.29909999999999998</v>
      </c>
      <c r="W936">
        <v>0.30779999999999996</v>
      </c>
      <c r="X936">
        <v>0.3165</v>
      </c>
      <c r="Y936">
        <v>0.33389999999999997</v>
      </c>
      <c r="Z936">
        <v>0.34260000000000002</v>
      </c>
      <c r="AA936">
        <v>0.3513</v>
      </c>
      <c r="AD936">
        <v>26.2487335922151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 t="s">
        <v>462</v>
      </c>
      <c r="AL936" t="s">
        <v>6</v>
      </c>
      <c r="AM936" t="s">
        <v>1145</v>
      </c>
      <c r="AN936" t="s">
        <v>1146</v>
      </c>
      <c r="AO936" s="100">
        <v>46262.040405092594</v>
      </c>
      <c r="AP936" t="s">
        <v>1147</v>
      </c>
      <c r="AQ936" t="s">
        <v>3094</v>
      </c>
      <c r="AR936" t="s">
        <v>1193</v>
      </c>
      <c r="AS936" t="s">
        <v>1150</v>
      </c>
      <c r="AT936" t="s">
        <v>3026</v>
      </c>
      <c r="AU936">
        <v>25</v>
      </c>
      <c r="AV936">
        <v>0.32461600000000013</v>
      </c>
      <c r="AW936">
        <v>6.8859567236514057E-3</v>
      </c>
      <c r="AX936">
        <v>2.1212622679262276</v>
      </c>
      <c r="AY936">
        <v>-0.93762681339590548</v>
      </c>
      <c r="AZ936">
        <v>4.4377095554741812</v>
      </c>
      <c r="BA936">
        <v>11.93209682816055</v>
      </c>
      <c r="BB936" t="s">
        <v>4619</v>
      </c>
      <c r="BD936" s="98"/>
      <c r="BE936" s="98"/>
      <c r="BF936" t="s">
        <v>1152</v>
      </c>
      <c r="BG936" t="s">
        <v>322</v>
      </c>
      <c r="BH936" t="s">
        <v>1153</v>
      </c>
      <c r="BI936">
        <v>0.93762681339590548</v>
      </c>
      <c r="BJ936" t="s">
        <v>983</v>
      </c>
      <c r="BK936">
        <v>21.811024036740918</v>
      </c>
      <c r="BL936">
        <v>83.093624155679933</v>
      </c>
      <c r="BM936" t="s">
        <v>1260</v>
      </c>
      <c r="BN936" t="s">
        <v>1154</v>
      </c>
      <c r="BO936">
        <v>2025</v>
      </c>
      <c r="BP936" t="s">
        <v>966</v>
      </c>
      <c r="BQ936">
        <v>0.14803686998465793</v>
      </c>
      <c r="BR936">
        <v>99.999985196313006</v>
      </c>
      <c r="BS936" t="s">
        <v>984</v>
      </c>
      <c r="BT936">
        <v>3</v>
      </c>
      <c r="BU936">
        <v>1</v>
      </c>
      <c r="BV936" t="s">
        <v>985</v>
      </c>
      <c r="BW936" t="s">
        <v>943</v>
      </c>
      <c r="BX936" t="s">
        <v>986</v>
      </c>
      <c r="BY936">
        <v>6.6259292759988391</v>
      </c>
      <c r="BZ936" t="s">
        <v>1155</v>
      </c>
      <c r="CA936" t="s">
        <v>983</v>
      </c>
      <c r="CB936" t="b">
        <v>1</v>
      </c>
      <c r="CC936" t="b">
        <v>0</v>
      </c>
      <c r="CD936" t="b">
        <v>0</v>
      </c>
      <c r="CE936" t="b">
        <v>0</v>
      </c>
      <c r="CF936" t="b">
        <v>0</v>
      </c>
    </row>
    <row r="937" spans="1:84" x14ac:dyDescent="0.3">
      <c r="A937" t="s">
        <v>3095</v>
      </c>
      <c r="B937" t="s">
        <v>1195</v>
      </c>
      <c r="C937" s="98">
        <v>45733</v>
      </c>
      <c r="D937">
        <v>2025</v>
      </c>
      <c r="E937">
        <v>3</v>
      </c>
      <c r="F937">
        <v>1</v>
      </c>
      <c r="G937" t="s">
        <v>1187</v>
      </c>
      <c r="H937" t="s">
        <v>142</v>
      </c>
      <c r="I937" t="s">
        <v>142</v>
      </c>
      <c r="J937" t="s">
        <v>6</v>
      </c>
      <c r="L937">
        <v>522611</v>
      </c>
      <c r="M937" s="99" t="s">
        <v>179</v>
      </c>
      <c r="N937">
        <v>2</v>
      </c>
      <c r="O937">
        <v>11</v>
      </c>
      <c r="P937">
        <v>0.31380000000000002</v>
      </c>
      <c r="Q937" t="s">
        <v>352</v>
      </c>
      <c r="R937">
        <v>1</v>
      </c>
      <c r="S937">
        <v>0.32519999999999999</v>
      </c>
      <c r="T937">
        <v>8.6999999999999994E-3</v>
      </c>
      <c r="U937">
        <v>-1.3103448275862031</v>
      </c>
      <c r="V937">
        <v>0.29909999999999998</v>
      </c>
      <c r="W937">
        <v>0.30779999999999996</v>
      </c>
      <c r="X937">
        <v>0.3165</v>
      </c>
      <c r="Y937">
        <v>0.33389999999999997</v>
      </c>
      <c r="Z937">
        <v>0.34260000000000002</v>
      </c>
      <c r="AA937">
        <v>0.3513</v>
      </c>
      <c r="AD937">
        <v>26.2487335922151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 t="s">
        <v>462</v>
      </c>
      <c r="AL937" t="s">
        <v>6</v>
      </c>
      <c r="AM937" t="s">
        <v>1145</v>
      </c>
      <c r="AN937" t="s">
        <v>1146</v>
      </c>
      <c r="AO937" s="100">
        <v>46262.040405092594</v>
      </c>
      <c r="AP937" t="s">
        <v>1147</v>
      </c>
      <c r="AQ937" t="s">
        <v>3096</v>
      </c>
      <c r="AR937" t="s">
        <v>1197</v>
      </c>
      <c r="AS937" t="s">
        <v>1150</v>
      </c>
      <c r="AT937" t="s">
        <v>3026</v>
      </c>
      <c r="AU937">
        <v>25</v>
      </c>
      <c r="AV937">
        <v>0.32461600000000013</v>
      </c>
      <c r="AW937">
        <v>6.8859567236514057E-3</v>
      </c>
      <c r="AX937">
        <v>2.1212622679262276</v>
      </c>
      <c r="AY937">
        <v>-0.93762681339590548</v>
      </c>
      <c r="AZ937">
        <v>4.4377095554741812</v>
      </c>
      <c r="BA937">
        <v>11.93209682816055</v>
      </c>
      <c r="BB937" t="s">
        <v>4619</v>
      </c>
      <c r="BD937" s="98"/>
      <c r="BE937" s="98"/>
      <c r="BF937" t="s">
        <v>1152</v>
      </c>
      <c r="BG937" t="s">
        <v>322</v>
      </c>
      <c r="BH937" t="s">
        <v>1153</v>
      </c>
      <c r="BI937">
        <v>0.93762681339590548</v>
      </c>
      <c r="BJ937" t="s">
        <v>983</v>
      </c>
      <c r="BK937">
        <v>21.811024036740918</v>
      </c>
      <c r="BL937">
        <v>83.093624155679933</v>
      </c>
      <c r="BM937" t="s">
        <v>1260</v>
      </c>
      <c r="BN937" t="s">
        <v>1154</v>
      </c>
      <c r="BO937">
        <v>2025</v>
      </c>
      <c r="BP937" t="s">
        <v>966</v>
      </c>
      <c r="BQ937">
        <v>0.14803686998465793</v>
      </c>
      <c r="BR937">
        <v>99.999985196313006</v>
      </c>
      <c r="BS937" t="s">
        <v>984</v>
      </c>
      <c r="BT937">
        <v>3</v>
      </c>
      <c r="BU937">
        <v>1</v>
      </c>
      <c r="BV937" t="s">
        <v>985</v>
      </c>
      <c r="BW937" t="s">
        <v>943</v>
      </c>
      <c r="BX937" t="s">
        <v>986</v>
      </c>
      <c r="BY937">
        <v>6.6259292759988391</v>
      </c>
      <c r="BZ937" t="s">
        <v>1155</v>
      </c>
      <c r="CA937" t="s">
        <v>983</v>
      </c>
      <c r="CB937" t="b">
        <v>1</v>
      </c>
      <c r="CC937" t="b">
        <v>0</v>
      </c>
      <c r="CD937" t="b">
        <v>0</v>
      </c>
      <c r="CE937" t="b">
        <v>0</v>
      </c>
      <c r="CF937" t="b">
        <v>0</v>
      </c>
    </row>
    <row r="938" spans="1:84" x14ac:dyDescent="0.3">
      <c r="A938" t="s">
        <v>3097</v>
      </c>
      <c r="B938" t="s">
        <v>1199</v>
      </c>
      <c r="C938" s="98">
        <v>45740</v>
      </c>
      <c r="D938">
        <v>2025</v>
      </c>
      <c r="E938">
        <v>3</v>
      </c>
      <c r="F938">
        <v>1</v>
      </c>
      <c r="G938" t="s">
        <v>1187</v>
      </c>
      <c r="H938" t="s">
        <v>142</v>
      </c>
      <c r="I938" t="s">
        <v>142</v>
      </c>
      <c r="J938" t="s">
        <v>6</v>
      </c>
      <c r="L938">
        <v>522611</v>
      </c>
      <c r="M938" s="99" t="s">
        <v>179</v>
      </c>
      <c r="N938">
        <v>2</v>
      </c>
      <c r="O938">
        <v>12</v>
      </c>
      <c r="P938">
        <v>0.32200000000000001</v>
      </c>
      <c r="Q938" t="s">
        <v>352</v>
      </c>
      <c r="R938">
        <v>1</v>
      </c>
      <c r="S938">
        <v>0.32519999999999999</v>
      </c>
      <c r="T938">
        <v>8.6999999999999994E-3</v>
      </c>
      <c r="U938">
        <v>-0.36781609195402076</v>
      </c>
      <c r="V938">
        <v>0.29909999999999998</v>
      </c>
      <c r="W938">
        <v>0.30779999999999996</v>
      </c>
      <c r="X938">
        <v>0.3165</v>
      </c>
      <c r="Y938">
        <v>0.33389999999999997</v>
      </c>
      <c r="Z938">
        <v>0.34260000000000002</v>
      </c>
      <c r="AA938">
        <v>0.3513</v>
      </c>
      <c r="AD938">
        <v>26.2487335922151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 t="s">
        <v>462</v>
      </c>
      <c r="AL938" t="s">
        <v>6</v>
      </c>
      <c r="AM938" t="s">
        <v>1145</v>
      </c>
      <c r="AN938" t="s">
        <v>1146</v>
      </c>
      <c r="AO938" s="100">
        <v>46262.040405092594</v>
      </c>
      <c r="AP938" t="s">
        <v>1147</v>
      </c>
      <c r="AQ938" t="s">
        <v>3098</v>
      </c>
      <c r="AR938" t="s">
        <v>1201</v>
      </c>
      <c r="AS938" t="s">
        <v>1150</v>
      </c>
      <c r="AT938" t="s">
        <v>3026</v>
      </c>
      <c r="AU938">
        <v>25</v>
      </c>
      <c r="AV938">
        <v>0.32461600000000013</v>
      </c>
      <c r="AW938">
        <v>6.8859567236514057E-3</v>
      </c>
      <c r="AX938">
        <v>2.1212622679262276</v>
      </c>
      <c r="AY938">
        <v>-0.93762681339590548</v>
      </c>
      <c r="AZ938">
        <v>4.4377095554741812</v>
      </c>
      <c r="BA938">
        <v>11.93209682816055</v>
      </c>
      <c r="BB938" t="s">
        <v>4619</v>
      </c>
      <c r="BD938" s="98"/>
      <c r="BE938" s="98"/>
      <c r="BF938" t="s">
        <v>1152</v>
      </c>
      <c r="BG938" t="s">
        <v>322</v>
      </c>
      <c r="BH938" t="s">
        <v>1153</v>
      </c>
      <c r="BI938">
        <v>0.93762681339590548</v>
      </c>
      <c r="BJ938" t="s">
        <v>983</v>
      </c>
      <c r="BK938">
        <v>21.811024036740918</v>
      </c>
      <c r="BL938">
        <v>83.093624155679933</v>
      </c>
      <c r="BM938" t="s">
        <v>1260</v>
      </c>
      <c r="BN938" t="s">
        <v>1154</v>
      </c>
      <c r="BO938">
        <v>2025</v>
      </c>
      <c r="BP938" t="s">
        <v>966</v>
      </c>
      <c r="BQ938">
        <v>0.14803686998465793</v>
      </c>
      <c r="BR938">
        <v>99.999985196313006</v>
      </c>
      <c r="BS938" t="s">
        <v>984</v>
      </c>
      <c r="BT938">
        <v>3</v>
      </c>
      <c r="BU938">
        <v>1</v>
      </c>
      <c r="BV938" t="s">
        <v>985</v>
      </c>
      <c r="BW938" t="s">
        <v>943</v>
      </c>
      <c r="BX938" t="s">
        <v>986</v>
      </c>
      <c r="BY938">
        <v>6.6259292759988391</v>
      </c>
      <c r="BZ938" t="s">
        <v>1155</v>
      </c>
      <c r="CA938" t="s">
        <v>983</v>
      </c>
      <c r="CB938" t="b">
        <v>1</v>
      </c>
      <c r="CC938" t="b">
        <v>0</v>
      </c>
      <c r="CD938" t="b">
        <v>0</v>
      </c>
      <c r="CE938" t="b">
        <v>0</v>
      </c>
      <c r="CF938" t="b">
        <v>0</v>
      </c>
    </row>
    <row r="939" spans="1:84" x14ac:dyDescent="0.3">
      <c r="A939" t="s">
        <v>3099</v>
      </c>
      <c r="B939" t="s">
        <v>1203</v>
      </c>
      <c r="C939" s="98">
        <v>45747</v>
      </c>
      <c r="D939">
        <v>2025</v>
      </c>
      <c r="E939">
        <v>3</v>
      </c>
      <c r="F939">
        <v>1</v>
      </c>
      <c r="G939" t="s">
        <v>1187</v>
      </c>
      <c r="H939" t="s">
        <v>142</v>
      </c>
      <c r="I939" t="s">
        <v>142</v>
      </c>
      <c r="J939" t="s">
        <v>6</v>
      </c>
      <c r="L939">
        <v>522611</v>
      </c>
      <c r="M939" s="99" t="s">
        <v>179</v>
      </c>
      <c r="N939">
        <v>2</v>
      </c>
      <c r="O939">
        <v>13</v>
      </c>
      <c r="P939">
        <v>0.33329999999999999</v>
      </c>
      <c r="Q939" t="s">
        <v>352</v>
      </c>
      <c r="R939">
        <v>1</v>
      </c>
      <c r="S939">
        <v>0.32519999999999999</v>
      </c>
      <c r="T939">
        <v>8.6999999999999994E-3</v>
      </c>
      <c r="U939">
        <v>0.93103448275862033</v>
      </c>
      <c r="V939">
        <v>0.29909999999999998</v>
      </c>
      <c r="W939">
        <v>0.30779999999999996</v>
      </c>
      <c r="X939">
        <v>0.3165</v>
      </c>
      <c r="Y939">
        <v>0.33389999999999997</v>
      </c>
      <c r="Z939">
        <v>0.34260000000000002</v>
      </c>
      <c r="AA939">
        <v>0.3513</v>
      </c>
      <c r="AD939">
        <v>26.2487335922151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 t="s">
        <v>462</v>
      </c>
      <c r="AL939" t="s">
        <v>6</v>
      </c>
      <c r="AM939" t="s">
        <v>1145</v>
      </c>
      <c r="AN939" t="s">
        <v>1146</v>
      </c>
      <c r="AO939" s="100">
        <v>46262.040405092594</v>
      </c>
      <c r="AP939" t="s">
        <v>1147</v>
      </c>
      <c r="AQ939" t="s">
        <v>3100</v>
      </c>
      <c r="AR939" t="s">
        <v>1205</v>
      </c>
      <c r="AS939" t="s">
        <v>1150</v>
      </c>
      <c r="AT939" t="s">
        <v>3026</v>
      </c>
      <c r="AU939">
        <v>25</v>
      </c>
      <c r="AV939">
        <v>0.32461600000000013</v>
      </c>
      <c r="AW939">
        <v>6.8859567236514057E-3</v>
      </c>
      <c r="AX939">
        <v>2.1212622679262276</v>
      </c>
      <c r="AY939">
        <v>-0.93762681339590548</v>
      </c>
      <c r="AZ939">
        <v>4.4377095554741812</v>
      </c>
      <c r="BA939">
        <v>11.93209682816055</v>
      </c>
      <c r="BB939" t="s">
        <v>4619</v>
      </c>
      <c r="BD939" s="98"/>
      <c r="BE939" s="98"/>
      <c r="BF939" t="s">
        <v>1152</v>
      </c>
      <c r="BG939" t="s">
        <v>322</v>
      </c>
      <c r="BH939" t="s">
        <v>1153</v>
      </c>
      <c r="BI939">
        <v>0.93762681339590548</v>
      </c>
      <c r="BJ939" t="s">
        <v>983</v>
      </c>
      <c r="BK939">
        <v>21.811024036740918</v>
      </c>
      <c r="BL939">
        <v>83.093624155679933</v>
      </c>
      <c r="BM939" t="s">
        <v>1260</v>
      </c>
      <c r="BN939" t="s">
        <v>1154</v>
      </c>
      <c r="BO939">
        <v>2025</v>
      </c>
      <c r="BP939" t="s">
        <v>966</v>
      </c>
      <c r="BQ939">
        <v>0.14803686998465793</v>
      </c>
      <c r="BR939">
        <v>99.999985196313006</v>
      </c>
      <c r="BS939" t="s">
        <v>984</v>
      </c>
      <c r="BT939">
        <v>3</v>
      </c>
      <c r="BU939">
        <v>1</v>
      </c>
      <c r="BV939" t="s">
        <v>985</v>
      </c>
      <c r="BW939" t="s">
        <v>943</v>
      </c>
      <c r="BX939" t="s">
        <v>986</v>
      </c>
      <c r="BY939">
        <v>6.6259292759988391</v>
      </c>
      <c r="BZ939" t="s">
        <v>1155</v>
      </c>
      <c r="CA939" t="s">
        <v>983</v>
      </c>
      <c r="CB939" t="b">
        <v>1</v>
      </c>
      <c r="CC939" t="b">
        <v>0</v>
      </c>
      <c r="CD939" t="b">
        <v>0</v>
      </c>
      <c r="CE939" t="b">
        <v>0</v>
      </c>
      <c r="CF939" t="b">
        <v>0</v>
      </c>
    </row>
    <row r="940" spans="1:84" x14ac:dyDescent="0.3">
      <c r="A940" t="s">
        <v>3101</v>
      </c>
      <c r="B940" t="s">
        <v>1207</v>
      </c>
      <c r="C940" s="98">
        <v>45754</v>
      </c>
      <c r="D940">
        <v>2025</v>
      </c>
      <c r="E940">
        <v>4</v>
      </c>
      <c r="F940">
        <v>2</v>
      </c>
      <c r="G940" t="s">
        <v>1208</v>
      </c>
      <c r="H940" t="s">
        <v>142</v>
      </c>
      <c r="I940" t="s">
        <v>142</v>
      </c>
      <c r="J940" t="s">
        <v>6</v>
      </c>
      <c r="L940">
        <v>522611</v>
      </c>
      <c r="M940" s="99" t="s">
        <v>179</v>
      </c>
      <c r="N940">
        <v>2</v>
      </c>
      <c r="O940">
        <v>14</v>
      </c>
      <c r="P940">
        <v>0.33560000000000001</v>
      </c>
      <c r="Q940" t="s">
        <v>352</v>
      </c>
      <c r="R940">
        <v>1</v>
      </c>
      <c r="S940">
        <v>0.32519999999999999</v>
      </c>
      <c r="T940">
        <v>8.6999999999999994E-3</v>
      </c>
      <c r="U940">
        <v>1.195402298850577</v>
      </c>
      <c r="V940">
        <v>0.29909999999999998</v>
      </c>
      <c r="W940">
        <v>0.30779999999999996</v>
      </c>
      <c r="X940">
        <v>0.3165</v>
      </c>
      <c r="Y940">
        <v>0.33389999999999997</v>
      </c>
      <c r="Z940">
        <v>0.34260000000000002</v>
      </c>
      <c r="AA940">
        <v>0.3513</v>
      </c>
      <c r="AD940">
        <v>26.2487335922151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 t="s">
        <v>462</v>
      </c>
      <c r="AL940" t="s">
        <v>6</v>
      </c>
      <c r="AM940" t="s">
        <v>1145</v>
      </c>
      <c r="AN940" t="s">
        <v>1146</v>
      </c>
      <c r="AO940" s="100">
        <v>46262.040405092594</v>
      </c>
      <c r="AP940" t="s">
        <v>1147</v>
      </c>
      <c r="AQ940" t="s">
        <v>3102</v>
      </c>
      <c r="AR940" t="s">
        <v>1210</v>
      </c>
      <c r="AS940" t="s">
        <v>1150</v>
      </c>
      <c r="AT940" t="s">
        <v>3026</v>
      </c>
      <c r="AU940">
        <v>25</v>
      </c>
      <c r="AV940">
        <v>0.32461600000000013</v>
      </c>
      <c r="AW940">
        <v>6.8859567236514057E-3</v>
      </c>
      <c r="AX940">
        <v>2.1212622679262276</v>
      </c>
      <c r="AY940">
        <v>-0.93762681339590548</v>
      </c>
      <c r="AZ940">
        <v>4.4377095554741812</v>
      </c>
      <c r="BA940">
        <v>11.93209682816055</v>
      </c>
      <c r="BB940" t="s">
        <v>4619</v>
      </c>
      <c r="BD940" s="98"/>
      <c r="BE940" s="98"/>
      <c r="BF940" t="s">
        <v>1152</v>
      </c>
      <c r="BG940" t="s">
        <v>322</v>
      </c>
      <c r="BH940" t="s">
        <v>1153</v>
      </c>
      <c r="BI940">
        <v>0.93762681339590548</v>
      </c>
      <c r="BJ940" t="s">
        <v>983</v>
      </c>
      <c r="BK940">
        <v>21.811024036740918</v>
      </c>
      <c r="BL940">
        <v>83.093624155679933</v>
      </c>
      <c r="BM940" t="s">
        <v>1260</v>
      </c>
      <c r="BN940" t="s">
        <v>1154</v>
      </c>
      <c r="BO940">
        <v>2025</v>
      </c>
      <c r="BP940" t="s">
        <v>966</v>
      </c>
      <c r="BQ940">
        <v>0.14803686998465793</v>
      </c>
      <c r="BR940">
        <v>99.999985196313006</v>
      </c>
      <c r="BS940" t="s">
        <v>984</v>
      </c>
      <c r="BT940">
        <v>3</v>
      </c>
      <c r="BU940">
        <v>1</v>
      </c>
      <c r="BV940" t="s">
        <v>985</v>
      </c>
      <c r="BW940" t="s">
        <v>943</v>
      </c>
      <c r="BX940" t="s">
        <v>986</v>
      </c>
      <c r="BY940">
        <v>6.6259292759988391</v>
      </c>
      <c r="BZ940" t="s">
        <v>1155</v>
      </c>
      <c r="CA940" t="s">
        <v>983</v>
      </c>
      <c r="CB940" t="b">
        <v>1</v>
      </c>
      <c r="CC940" t="b">
        <v>0</v>
      </c>
      <c r="CD940" t="b">
        <v>0</v>
      </c>
      <c r="CE940" t="b">
        <v>0</v>
      </c>
      <c r="CF940" t="b">
        <v>0</v>
      </c>
    </row>
    <row r="941" spans="1:84" x14ac:dyDescent="0.3">
      <c r="A941" t="s">
        <v>3103</v>
      </c>
      <c r="B941" t="s">
        <v>1212</v>
      </c>
      <c r="C941" s="98">
        <v>45761</v>
      </c>
      <c r="D941">
        <v>2025</v>
      </c>
      <c r="E941">
        <v>4</v>
      </c>
      <c r="F941">
        <v>2</v>
      </c>
      <c r="G941" t="s">
        <v>1208</v>
      </c>
      <c r="H941" t="s">
        <v>142</v>
      </c>
      <c r="I941" t="s">
        <v>142</v>
      </c>
      <c r="J941" t="s">
        <v>6</v>
      </c>
      <c r="L941">
        <v>522611</v>
      </c>
      <c r="M941" s="99" t="s">
        <v>179</v>
      </c>
      <c r="N941">
        <v>2</v>
      </c>
      <c r="O941">
        <v>15</v>
      </c>
      <c r="P941">
        <v>0.32150000000000001</v>
      </c>
      <c r="Q941" t="s">
        <v>352</v>
      </c>
      <c r="R941">
        <v>1</v>
      </c>
      <c r="S941">
        <v>0.32519999999999999</v>
      </c>
      <c r="T941">
        <v>8.6999999999999994E-3</v>
      </c>
      <c r="U941">
        <v>-0.42528735632183695</v>
      </c>
      <c r="V941">
        <v>0.29909999999999998</v>
      </c>
      <c r="W941">
        <v>0.30779999999999996</v>
      </c>
      <c r="X941">
        <v>0.3165</v>
      </c>
      <c r="Y941">
        <v>0.33389999999999997</v>
      </c>
      <c r="Z941">
        <v>0.34260000000000002</v>
      </c>
      <c r="AA941">
        <v>0.3513</v>
      </c>
      <c r="AD941">
        <v>26.2487335922151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 t="s">
        <v>462</v>
      </c>
      <c r="AL941" t="s">
        <v>6</v>
      </c>
      <c r="AM941" t="s">
        <v>1145</v>
      </c>
      <c r="AN941" t="s">
        <v>1146</v>
      </c>
      <c r="AO941" s="100">
        <v>46262.040405092594</v>
      </c>
      <c r="AP941" t="s">
        <v>1147</v>
      </c>
      <c r="AQ941" t="s">
        <v>3104</v>
      </c>
      <c r="AR941" t="s">
        <v>1215</v>
      </c>
      <c r="AS941" t="s">
        <v>1150</v>
      </c>
      <c r="AT941" t="s">
        <v>3026</v>
      </c>
      <c r="AU941">
        <v>25</v>
      </c>
      <c r="AV941">
        <v>0.32461600000000013</v>
      </c>
      <c r="AW941">
        <v>6.8859567236514057E-3</v>
      </c>
      <c r="AX941">
        <v>2.1212622679262276</v>
      </c>
      <c r="AY941">
        <v>-0.93762681339590548</v>
      </c>
      <c r="AZ941">
        <v>4.4377095554741812</v>
      </c>
      <c r="BA941">
        <v>11.93209682816055</v>
      </c>
      <c r="BB941" t="s">
        <v>4619</v>
      </c>
      <c r="BD941" s="98"/>
      <c r="BE941" s="98"/>
      <c r="BF941" t="s">
        <v>1152</v>
      </c>
      <c r="BG941" t="s">
        <v>322</v>
      </c>
      <c r="BH941" t="s">
        <v>1153</v>
      </c>
      <c r="BI941">
        <v>0.93762681339590548</v>
      </c>
      <c r="BJ941" t="s">
        <v>983</v>
      </c>
      <c r="BK941">
        <v>21.811024036740918</v>
      </c>
      <c r="BL941">
        <v>83.093624155679933</v>
      </c>
      <c r="BM941" t="s">
        <v>1260</v>
      </c>
      <c r="BN941" t="s">
        <v>1154</v>
      </c>
      <c r="BO941">
        <v>2025</v>
      </c>
      <c r="BP941" t="s">
        <v>966</v>
      </c>
      <c r="BQ941">
        <v>0.14803686998465793</v>
      </c>
      <c r="BR941">
        <v>99.999985196313006</v>
      </c>
      <c r="BS941" t="s">
        <v>984</v>
      </c>
      <c r="BT941">
        <v>3</v>
      </c>
      <c r="BU941">
        <v>1</v>
      </c>
      <c r="BV941" t="s">
        <v>985</v>
      </c>
      <c r="BW941" t="s">
        <v>943</v>
      </c>
      <c r="BX941" t="s">
        <v>986</v>
      </c>
      <c r="BY941">
        <v>6.6259292759988391</v>
      </c>
      <c r="BZ941" t="s">
        <v>1155</v>
      </c>
      <c r="CA941" t="s">
        <v>983</v>
      </c>
      <c r="CB941" t="b">
        <v>1</v>
      </c>
      <c r="CC941" t="b">
        <v>0</v>
      </c>
      <c r="CD941" t="b">
        <v>0</v>
      </c>
      <c r="CE941" t="b">
        <v>0</v>
      </c>
      <c r="CF941" t="b">
        <v>0</v>
      </c>
    </row>
    <row r="942" spans="1:84" x14ac:dyDescent="0.3">
      <c r="A942" t="s">
        <v>3105</v>
      </c>
      <c r="B942" t="s">
        <v>1217</v>
      </c>
      <c r="C942" s="98">
        <v>45768</v>
      </c>
      <c r="D942">
        <v>2025</v>
      </c>
      <c r="E942">
        <v>4</v>
      </c>
      <c r="F942">
        <v>2</v>
      </c>
      <c r="G942" t="s">
        <v>1208</v>
      </c>
      <c r="H942" t="s">
        <v>142</v>
      </c>
      <c r="I942" t="s">
        <v>142</v>
      </c>
      <c r="J942" t="s">
        <v>6</v>
      </c>
      <c r="L942">
        <v>522611</v>
      </c>
      <c r="M942" s="99" t="s">
        <v>179</v>
      </c>
      <c r="N942">
        <v>2</v>
      </c>
      <c r="O942">
        <v>16</v>
      </c>
      <c r="P942">
        <v>0.32869999999999999</v>
      </c>
      <c r="Q942" t="s">
        <v>352</v>
      </c>
      <c r="R942">
        <v>1</v>
      </c>
      <c r="S942">
        <v>0.32519999999999999</v>
      </c>
      <c r="T942">
        <v>8.6999999999999994E-3</v>
      </c>
      <c r="U942">
        <v>0.40229885057471304</v>
      </c>
      <c r="V942">
        <v>0.29909999999999998</v>
      </c>
      <c r="W942">
        <v>0.30779999999999996</v>
      </c>
      <c r="X942">
        <v>0.3165</v>
      </c>
      <c r="Y942">
        <v>0.33389999999999997</v>
      </c>
      <c r="Z942">
        <v>0.34260000000000002</v>
      </c>
      <c r="AA942">
        <v>0.3513</v>
      </c>
      <c r="AD942">
        <v>26.2487335922151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 t="s">
        <v>462</v>
      </c>
      <c r="AL942" t="s">
        <v>6</v>
      </c>
      <c r="AM942" t="s">
        <v>1145</v>
      </c>
      <c r="AN942" t="s">
        <v>1146</v>
      </c>
      <c r="AO942" s="100">
        <v>46262.040405092594</v>
      </c>
      <c r="AP942" t="s">
        <v>1147</v>
      </c>
      <c r="AQ942" t="s">
        <v>3106</v>
      </c>
      <c r="AR942" t="s">
        <v>1219</v>
      </c>
      <c r="AS942" t="s">
        <v>1150</v>
      </c>
      <c r="AT942" t="s">
        <v>3026</v>
      </c>
      <c r="AU942">
        <v>25</v>
      </c>
      <c r="AV942">
        <v>0.32461600000000013</v>
      </c>
      <c r="AW942">
        <v>6.8859567236514057E-3</v>
      </c>
      <c r="AX942">
        <v>2.1212622679262276</v>
      </c>
      <c r="AY942">
        <v>-0.93762681339590548</v>
      </c>
      <c r="AZ942">
        <v>4.4377095554741812</v>
      </c>
      <c r="BA942">
        <v>11.93209682816055</v>
      </c>
      <c r="BB942" t="s">
        <v>4619</v>
      </c>
      <c r="BD942" s="98"/>
      <c r="BE942" s="98"/>
      <c r="BF942" t="s">
        <v>1152</v>
      </c>
      <c r="BG942" t="s">
        <v>322</v>
      </c>
      <c r="BH942" t="s">
        <v>1153</v>
      </c>
      <c r="BI942">
        <v>0.93762681339590548</v>
      </c>
      <c r="BJ942" t="s">
        <v>983</v>
      </c>
      <c r="BK942">
        <v>21.811024036740918</v>
      </c>
      <c r="BL942">
        <v>83.093624155679933</v>
      </c>
      <c r="BM942" t="s">
        <v>1260</v>
      </c>
      <c r="BN942" t="s">
        <v>1154</v>
      </c>
      <c r="BO942">
        <v>2025</v>
      </c>
      <c r="BP942" t="s">
        <v>966</v>
      </c>
      <c r="BQ942">
        <v>0.14803686998465793</v>
      </c>
      <c r="BR942">
        <v>99.999985196313006</v>
      </c>
      <c r="BS942" t="s">
        <v>984</v>
      </c>
      <c r="BT942">
        <v>3</v>
      </c>
      <c r="BU942">
        <v>1</v>
      </c>
      <c r="BV942" t="s">
        <v>985</v>
      </c>
      <c r="BW942" t="s">
        <v>943</v>
      </c>
      <c r="BX942" t="s">
        <v>986</v>
      </c>
      <c r="BY942">
        <v>6.6259292759988391</v>
      </c>
      <c r="BZ942" t="s">
        <v>1155</v>
      </c>
      <c r="CA942" t="s">
        <v>983</v>
      </c>
      <c r="CB942" t="b">
        <v>1</v>
      </c>
      <c r="CC942" t="b">
        <v>0</v>
      </c>
      <c r="CD942" t="b">
        <v>0</v>
      </c>
      <c r="CE942" t="b">
        <v>0</v>
      </c>
      <c r="CF942" t="b">
        <v>0</v>
      </c>
    </row>
    <row r="943" spans="1:84" x14ac:dyDescent="0.3">
      <c r="A943" t="s">
        <v>3107</v>
      </c>
      <c r="B943" t="s">
        <v>1221</v>
      </c>
      <c r="C943" s="98">
        <v>45775</v>
      </c>
      <c r="D943">
        <v>2025</v>
      </c>
      <c r="E943">
        <v>4</v>
      </c>
      <c r="F943">
        <v>2</v>
      </c>
      <c r="G943" t="s">
        <v>1208</v>
      </c>
      <c r="H943" t="s">
        <v>142</v>
      </c>
      <c r="I943" t="s">
        <v>142</v>
      </c>
      <c r="J943" t="s">
        <v>6</v>
      </c>
      <c r="L943">
        <v>522611</v>
      </c>
      <c r="M943" s="99" t="s">
        <v>179</v>
      </c>
      <c r="N943">
        <v>2</v>
      </c>
      <c r="O943">
        <v>17</v>
      </c>
      <c r="P943">
        <v>0.33139999999999997</v>
      </c>
      <c r="Q943" t="s">
        <v>352</v>
      </c>
      <c r="R943">
        <v>1</v>
      </c>
      <c r="S943">
        <v>0.32519999999999999</v>
      </c>
      <c r="T943">
        <v>8.6999999999999994E-3</v>
      </c>
      <c r="U943">
        <v>0.71264367816091767</v>
      </c>
      <c r="V943">
        <v>0.29909999999999998</v>
      </c>
      <c r="W943">
        <v>0.30779999999999996</v>
      </c>
      <c r="X943">
        <v>0.3165</v>
      </c>
      <c r="Y943">
        <v>0.33389999999999997</v>
      </c>
      <c r="Z943">
        <v>0.34260000000000002</v>
      </c>
      <c r="AA943">
        <v>0.3513</v>
      </c>
      <c r="AD943">
        <v>26.2487335922151</v>
      </c>
      <c r="AE943">
        <v>0</v>
      </c>
      <c r="AF943">
        <v>0</v>
      </c>
      <c r="AG943">
        <v>0</v>
      </c>
      <c r="AH943">
        <v>0</v>
      </c>
      <c r="AI943">
        <v>1</v>
      </c>
      <c r="AJ943">
        <v>0</v>
      </c>
      <c r="AK943" t="s">
        <v>1213</v>
      </c>
      <c r="AL943" t="s">
        <v>6</v>
      </c>
      <c r="AM943" t="s">
        <v>1145</v>
      </c>
      <c r="AN943" t="s">
        <v>1146</v>
      </c>
      <c r="AO943" s="100">
        <v>46262.040405092594</v>
      </c>
      <c r="AP943" t="s">
        <v>1147</v>
      </c>
      <c r="AQ943" t="s">
        <v>3108</v>
      </c>
      <c r="AR943" t="s">
        <v>1223</v>
      </c>
      <c r="AS943" t="s">
        <v>1150</v>
      </c>
      <c r="AT943" t="s">
        <v>3026</v>
      </c>
      <c r="AU943">
        <v>25</v>
      </c>
      <c r="AV943">
        <v>0.32461600000000013</v>
      </c>
      <c r="AW943">
        <v>6.8859567236514057E-3</v>
      </c>
      <c r="AX943">
        <v>2.1212622679262276</v>
      </c>
      <c r="AY943">
        <v>-0.93762681339590548</v>
      </c>
      <c r="AZ943">
        <v>4.4377095554741812</v>
      </c>
      <c r="BA943">
        <v>11.93209682816055</v>
      </c>
      <c r="BB943" t="s">
        <v>4619</v>
      </c>
      <c r="BD943" s="98"/>
      <c r="BE943" s="98"/>
      <c r="BF943" t="s">
        <v>1152</v>
      </c>
      <c r="BG943" t="s">
        <v>322</v>
      </c>
      <c r="BH943" t="s">
        <v>1153</v>
      </c>
      <c r="BI943">
        <v>0.93762681339590548</v>
      </c>
      <c r="BJ943" t="s">
        <v>983</v>
      </c>
      <c r="BK943">
        <v>21.811024036740918</v>
      </c>
      <c r="BL943">
        <v>83.093624155679933</v>
      </c>
      <c r="BM943" t="s">
        <v>1260</v>
      </c>
      <c r="BN943" t="s">
        <v>1154</v>
      </c>
      <c r="BO943">
        <v>2025</v>
      </c>
      <c r="BP943" t="s">
        <v>966</v>
      </c>
      <c r="BQ943">
        <v>0.14803686998465793</v>
      </c>
      <c r="BR943">
        <v>99.999985196313006</v>
      </c>
      <c r="BS943" t="s">
        <v>984</v>
      </c>
      <c r="BT943">
        <v>3</v>
      </c>
      <c r="BU943">
        <v>1</v>
      </c>
      <c r="BV943" t="s">
        <v>985</v>
      </c>
      <c r="BW943" t="s">
        <v>943</v>
      </c>
      <c r="BX943" t="s">
        <v>986</v>
      </c>
      <c r="BY943">
        <v>6.6259292759988391</v>
      </c>
      <c r="BZ943" t="s">
        <v>1155</v>
      </c>
      <c r="CA943" t="s">
        <v>983</v>
      </c>
      <c r="CB943" t="b">
        <v>1</v>
      </c>
      <c r="CC943" t="b">
        <v>0</v>
      </c>
      <c r="CD943" t="b">
        <v>0</v>
      </c>
      <c r="CE943" t="b">
        <v>0</v>
      </c>
      <c r="CF943" t="b">
        <v>0</v>
      </c>
    </row>
    <row r="944" spans="1:84" x14ac:dyDescent="0.3">
      <c r="A944" t="s">
        <v>3109</v>
      </c>
      <c r="B944" t="s">
        <v>1225</v>
      </c>
      <c r="C944" s="98">
        <v>45782</v>
      </c>
      <c r="D944">
        <v>2025</v>
      </c>
      <c r="E944">
        <v>5</v>
      </c>
      <c r="F944">
        <v>2</v>
      </c>
      <c r="G944" t="s">
        <v>1226</v>
      </c>
      <c r="H944" t="s">
        <v>142</v>
      </c>
      <c r="I944" t="s">
        <v>142</v>
      </c>
      <c r="J944" t="s">
        <v>6</v>
      </c>
      <c r="L944">
        <v>522611</v>
      </c>
      <c r="M944" s="99" t="s">
        <v>179</v>
      </c>
      <c r="N944">
        <v>2</v>
      </c>
      <c r="O944">
        <v>18</v>
      </c>
      <c r="P944">
        <v>0.3196</v>
      </c>
      <c r="Q944" t="s">
        <v>352</v>
      </c>
      <c r="R944">
        <v>1</v>
      </c>
      <c r="S944">
        <v>0.32519999999999999</v>
      </c>
      <c r="T944">
        <v>8.6999999999999994E-3</v>
      </c>
      <c r="U944">
        <v>-0.64367816091953955</v>
      </c>
      <c r="V944">
        <v>0.29909999999999998</v>
      </c>
      <c r="W944">
        <v>0.30779999999999996</v>
      </c>
      <c r="X944">
        <v>0.3165</v>
      </c>
      <c r="Y944">
        <v>0.33389999999999997</v>
      </c>
      <c r="Z944">
        <v>0.34260000000000002</v>
      </c>
      <c r="AA944">
        <v>0.3513</v>
      </c>
      <c r="AD944">
        <v>26.2487335922151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 t="s">
        <v>462</v>
      </c>
      <c r="AL944" t="s">
        <v>6</v>
      </c>
      <c r="AM944" t="s">
        <v>1145</v>
      </c>
      <c r="AN944" t="s">
        <v>1146</v>
      </c>
      <c r="AO944" s="100">
        <v>46262.040405092594</v>
      </c>
      <c r="AP944" t="s">
        <v>1147</v>
      </c>
      <c r="AQ944" t="s">
        <v>3110</v>
      </c>
      <c r="AR944" t="s">
        <v>1228</v>
      </c>
      <c r="AS944" t="s">
        <v>1150</v>
      </c>
      <c r="AT944" t="s">
        <v>3026</v>
      </c>
      <c r="AU944">
        <v>25</v>
      </c>
      <c r="AV944">
        <v>0.32461600000000013</v>
      </c>
      <c r="AW944">
        <v>6.8859567236514057E-3</v>
      </c>
      <c r="AX944">
        <v>2.1212622679262276</v>
      </c>
      <c r="AY944">
        <v>-0.93762681339590548</v>
      </c>
      <c r="AZ944">
        <v>4.4377095554741812</v>
      </c>
      <c r="BA944">
        <v>11.93209682816055</v>
      </c>
      <c r="BB944" t="s">
        <v>4619</v>
      </c>
      <c r="BD944" s="98"/>
      <c r="BE944" s="98"/>
      <c r="BF944" t="s">
        <v>1152</v>
      </c>
      <c r="BG944" t="s">
        <v>322</v>
      </c>
      <c r="BH944" t="s">
        <v>1153</v>
      </c>
      <c r="BI944">
        <v>0.93762681339590548</v>
      </c>
      <c r="BJ944" t="s">
        <v>983</v>
      </c>
      <c r="BK944">
        <v>21.811024036740918</v>
      </c>
      <c r="BL944">
        <v>83.093624155679933</v>
      </c>
      <c r="BM944" t="s">
        <v>1260</v>
      </c>
      <c r="BN944" t="s">
        <v>1154</v>
      </c>
      <c r="BO944">
        <v>2025</v>
      </c>
      <c r="BP944" t="s">
        <v>966</v>
      </c>
      <c r="BQ944">
        <v>0.14803686998465793</v>
      </c>
      <c r="BR944">
        <v>99.999985196313006</v>
      </c>
      <c r="BS944" t="s">
        <v>984</v>
      </c>
      <c r="BT944">
        <v>3</v>
      </c>
      <c r="BU944">
        <v>1</v>
      </c>
      <c r="BV944" t="s">
        <v>985</v>
      </c>
      <c r="BW944" t="s">
        <v>943</v>
      </c>
      <c r="BX944" t="s">
        <v>986</v>
      </c>
      <c r="BY944">
        <v>6.6259292759988391</v>
      </c>
      <c r="BZ944" t="s">
        <v>1155</v>
      </c>
      <c r="CA944" t="s">
        <v>983</v>
      </c>
      <c r="CB944" t="b">
        <v>1</v>
      </c>
      <c r="CC944" t="b">
        <v>0</v>
      </c>
      <c r="CD944" t="b">
        <v>0</v>
      </c>
      <c r="CE944" t="b">
        <v>0</v>
      </c>
      <c r="CF944" t="b">
        <v>0</v>
      </c>
    </row>
    <row r="945" spans="1:84" x14ac:dyDescent="0.3">
      <c r="A945" t="s">
        <v>3111</v>
      </c>
      <c r="B945" t="s">
        <v>1230</v>
      </c>
      <c r="C945" s="98">
        <v>45789</v>
      </c>
      <c r="D945">
        <v>2025</v>
      </c>
      <c r="E945">
        <v>5</v>
      </c>
      <c r="F945">
        <v>2</v>
      </c>
      <c r="G945" t="s">
        <v>1226</v>
      </c>
      <c r="H945" t="s">
        <v>142</v>
      </c>
      <c r="I945" t="s">
        <v>142</v>
      </c>
      <c r="J945" t="s">
        <v>6</v>
      </c>
      <c r="L945">
        <v>522611</v>
      </c>
      <c r="M945" s="99" t="s">
        <v>179</v>
      </c>
      <c r="N945">
        <v>2</v>
      </c>
      <c r="O945">
        <v>19</v>
      </c>
      <c r="P945">
        <v>0.32829999999999998</v>
      </c>
      <c r="Q945" t="s">
        <v>352</v>
      </c>
      <c r="R945">
        <v>1</v>
      </c>
      <c r="S945">
        <v>0.32519999999999999</v>
      </c>
      <c r="T945">
        <v>8.6999999999999994E-3</v>
      </c>
      <c r="U945">
        <v>0.35632183908045884</v>
      </c>
      <c r="V945">
        <v>0.29909999999999998</v>
      </c>
      <c r="W945">
        <v>0.30779999999999996</v>
      </c>
      <c r="X945">
        <v>0.3165</v>
      </c>
      <c r="Y945">
        <v>0.33389999999999997</v>
      </c>
      <c r="Z945">
        <v>0.34260000000000002</v>
      </c>
      <c r="AA945">
        <v>0.3513</v>
      </c>
      <c r="AD945">
        <v>26.2487335922151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 t="s">
        <v>462</v>
      </c>
      <c r="AL945" t="s">
        <v>6</v>
      </c>
      <c r="AM945" t="s">
        <v>1145</v>
      </c>
      <c r="AN945" t="s">
        <v>1146</v>
      </c>
      <c r="AO945" s="100">
        <v>46262.040405092594</v>
      </c>
      <c r="AP945" t="s">
        <v>1147</v>
      </c>
      <c r="AQ945" t="s">
        <v>3112</v>
      </c>
      <c r="AR945" t="s">
        <v>1232</v>
      </c>
      <c r="AS945" t="s">
        <v>1150</v>
      </c>
      <c r="AT945" t="s">
        <v>3026</v>
      </c>
      <c r="AU945">
        <v>25</v>
      </c>
      <c r="AV945">
        <v>0.32461600000000013</v>
      </c>
      <c r="AW945">
        <v>6.8859567236514057E-3</v>
      </c>
      <c r="AX945">
        <v>2.1212622679262276</v>
      </c>
      <c r="AY945">
        <v>-0.93762681339590548</v>
      </c>
      <c r="AZ945">
        <v>4.4377095554741812</v>
      </c>
      <c r="BA945">
        <v>11.93209682816055</v>
      </c>
      <c r="BB945" t="s">
        <v>4619</v>
      </c>
      <c r="BD945" s="98"/>
      <c r="BE945" s="98"/>
      <c r="BF945" t="s">
        <v>1152</v>
      </c>
      <c r="BG945" t="s">
        <v>322</v>
      </c>
      <c r="BH945" t="s">
        <v>1153</v>
      </c>
      <c r="BI945">
        <v>0.93762681339590548</v>
      </c>
      <c r="BJ945" t="s">
        <v>983</v>
      </c>
      <c r="BK945">
        <v>21.811024036740918</v>
      </c>
      <c r="BL945">
        <v>83.093624155679933</v>
      </c>
      <c r="BM945" t="s">
        <v>1260</v>
      </c>
      <c r="BN945" t="s">
        <v>1154</v>
      </c>
      <c r="BO945">
        <v>2025</v>
      </c>
      <c r="BP945" t="s">
        <v>966</v>
      </c>
      <c r="BQ945">
        <v>0.14803686998465793</v>
      </c>
      <c r="BR945">
        <v>99.999985196313006</v>
      </c>
      <c r="BS945" t="s">
        <v>984</v>
      </c>
      <c r="BT945">
        <v>3</v>
      </c>
      <c r="BU945">
        <v>1</v>
      </c>
      <c r="BV945" t="s">
        <v>985</v>
      </c>
      <c r="BW945" t="s">
        <v>943</v>
      </c>
      <c r="BX945" t="s">
        <v>986</v>
      </c>
      <c r="BY945">
        <v>6.6259292759988391</v>
      </c>
      <c r="BZ945" t="s">
        <v>1155</v>
      </c>
      <c r="CA945" t="s">
        <v>983</v>
      </c>
      <c r="CB945" t="b">
        <v>1</v>
      </c>
      <c r="CC945" t="b">
        <v>0</v>
      </c>
      <c r="CD945" t="b">
        <v>0</v>
      </c>
      <c r="CE945" t="b">
        <v>0</v>
      </c>
      <c r="CF945" t="b">
        <v>0</v>
      </c>
    </row>
    <row r="946" spans="1:84" x14ac:dyDescent="0.3">
      <c r="A946" t="s">
        <v>3113</v>
      </c>
      <c r="B946" t="s">
        <v>1234</v>
      </c>
      <c r="C946" s="98">
        <v>45796</v>
      </c>
      <c r="D946">
        <v>2025</v>
      </c>
      <c r="E946">
        <v>5</v>
      </c>
      <c r="F946">
        <v>2</v>
      </c>
      <c r="G946" t="s">
        <v>1226</v>
      </c>
      <c r="H946" t="s">
        <v>142</v>
      </c>
      <c r="I946" t="s">
        <v>142</v>
      </c>
      <c r="J946" t="s">
        <v>6</v>
      </c>
      <c r="L946">
        <v>522611</v>
      </c>
      <c r="M946" s="99" t="s">
        <v>179</v>
      </c>
      <c r="N946">
        <v>2</v>
      </c>
      <c r="O946">
        <v>20</v>
      </c>
      <c r="P946">
        <v>0.32490000000000002</v>
      </c>
      <c r="Q946" t="s">
        <v>352</v>
      </c>
      <c r="R946">
        <v>1</v>
      </c>
      <c r="S946">
        <v>0.32519999999999999</v>
      </c>
      <c r="T946">
        <v>8.6999999999999994E-3</v>
      </c>
      <c r="U946">
        <v>-3.4482758620685859E-2</v>
      </c>
      <c r="V946">
        <v>0.29909999999999998</v>
      </c>
      <c r="W946">
        <v>0.30779999999999996</v>
      </c>
      <c r="X946">
        <v>0.3165</v>
      </c>
      <c r="Y946">
        <v>0.33389999999999997</v>
      </c>
      <c r="Z946">
        <v>0.34260000000000002</v>
      </c>
      <c r="AA946">
        <v>0.3513</v>
      </c>
      <c r="AD946">
        <v>26.2487335922151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 t="s">
        <v>462</v>
      </c>
      <c r="AL946" t="s">
        <v>6</v>
      </c>
      <c r="AM946" t="s">
        <v>1145</v>
      </c>
      <c r="AN946" t="s">
        <v>1146</v>
      </c>
      <c r="AO946" s="100">
        <v>46262.040405092594</v>
      </c>
      <c r="AP946" t="s">
        <v>1147</v>
      </c>
      <c r="AQ946" t="s">
        <v>3114</v>
      </c>
      <c r="AR946" t="s">
        <v>1236</v>
      </c>
      <c r="AS946" t="s">
        <v>1150</v>
      </c>
      <c r="AT946" t="s">
        <v>3026</v>
      </c>
      <c r="AU946">
        <v>25</v>
      </c>
      <c r="AV946">
        <v>0.32461600000000013</v>
      </c>
      <c r="AW946">
        <v>6.8859567236514057E-3</v>
      </c>
      <c r="AX946">
        <v>2.1212622679262276</v>
      </c>
      <c r="AY946">
        <v>-0.93762681339590548</v>
      </c>
      <c r="AZ946">
        <v>4.4377095554741812</v>
      </c>
      <c r="BA946">
        <v>11.93209682816055</v>
      </c>
      <c r="BB946" t="s">
        <v>4619</v>
      </c>
      <c r="BD946" s="98"/>
      <c r="BE946" s="98"/>
      <c r="BF946" t="s">
        <v>1152</v>
      </c>
      <c r="BG946" t="s">
        <v>322</v>
      </c>
      <c r="BH946" t="s">
        <v>1153</v>
      </c>
      <c r="BI946">
        <v>0.93762681339590548</v>
      </c>
      <c r="BJ946" t="s">
        <v>983</v>
      </c>
      <c r="BK946">
        <v>21.811024036740918</v>
      </c>
      <c r="BL946">
        <v>83.093624155679933</v>
      </c>
      <c r="BM946" t="s">
        <v>1260</v>
      </c>
      <c r="BN946" t="s">
        <v>1154</v>
      </c>
      <c r="BO946">
        <v>2025</v>
      </c>
      <c r="BP946" t="s">
        <v>966</v>
      </c>
      <c r="BQ946">
        <v>0.14803686998465793</v>
      </c>
      <c r="BR946">
        <v>99.999985196313006</v>
      </c>
      <c r="BS946" t="s">
        <v>984</v>
      </c>
      <c r="BT946">
        <v>3</v>
      </c>
      <c r="BU946">
        <v>1</v>
      </c>
      <c r="BV946" t="s">
        <v>985</v>
      </c>
      <c r="BW946" t="s">
        <v>943</v>
      </c>
      <c r="BX946" t="s">
        <v>986</v>
      </c>
      <c r="BY946">
        <v>6.6259292759988391</v>
      </c>
      <c r="BZ946" t="s">
        <v>1155</v>
      </c>
      <c r="CA946" t="s">
        <v>983</v>
      </c>
      <c r="CB946" t="b">
        <v>1</v>
      </c>
      <c r="CC946" t="b">
        <v>0</v>
      </c>
      <c r="CD946" t="b">
        <v>0</v>
      </c>
      <c r="CE946" t="b">
        <v>0</v>
      </c>
      <c r="CF946" t="b">
        <v>0</v>
      </c>
    </row>
    <row r="947" spans="1:84" x14ac:dyDescent="0.3">
      <c r="A947" t="s">
        <v>3115</v>
      </c>
      <c r="B947" t="s">
        <v>1238</v>
      </c>
      <c r="C947" s="98">
        <v>45803</v>
      </c>
      <c r="D947">
        <v>2025</v>
      </c>
      <c r="E947">
        <v>5</v>
      </c>
      <c r="F947">
        <v>2</v>
      </c>
      <c r="G947" t="s">
        <v>1226</v>
      </c>
      <c r="H947" t="s">
        <v>142</v>
      </c>
      <c r="I947" t="s">
        <v>142</v>
      </c>
      <c r="J947" t="s">
        <v>6</v>
      </c>
      <c r="L947">
        <v>522611</v>
      </c>
      <c r="M947" s="99" t="s">
        <v>179</v>
      </c>
      <c r="N947">
        <v>2</v>
      </c>
      <c r="O947">
        <v>21</v>
      </c>
      <c r="P947">
        <v>0.32050000000000001</v>
      </c>
      <c r="Q947" t="s">
        <v>352</v>
      </c>
      <c r="R947">
        <v>1</v>
      </c>
      <c r="S947">
        <v>0.32519999999999999</v>
      </c>
      <c r="T947">
        <v>8.6999999999999994E-3</v>
      </c>
      <c r="U947">
        <v>-0.54022988505746927</v>
      </c>
      <c r="V947">
        <v>0.29909999999999998</v>
      </c>
      <c r="W947">
        <v>0.30779999999999996</v>
      </c>
      <c r="X947">
        <v>0.3165</v>
      </c>
      <c r="Y947">
        <v>0.33389999999999997</v>
      </c>
      <c r="Z947">
        <v>0.34260000000000002</v>
      </c>
      <c r="AA947">
        <v>0.3513</v>
      </c>
      <c r="AD947">
        <v>26.2487335922151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 t="s">
        <v>462</v>
      </c>
      <c r="AL947" t="s">
        <v>6</v>
      </c>
      <c r="AM947" t="s">
        <v>1145</v>
      </c>
      <c r="AN947" t="s">
        <v>1146</v>
      </c>
      <c r="AO947" s="100">
        <v>46262.040405092594</v>
      </c>
      <c r="AP947" t="s">
        <v>1147</v>
      </c>
      <c r="AQ947" t="s">
        <v>3116</v>
      </c>
      <c r="AR947" t="s">
        <v>1240</v>
      </c>
      <c r="AS947" t="s">
        <v>1150</v>
      </c>
      <c r="AT947" t="s">
        <v>3026</v>
      </c>
      <c r="AU947">
        <v>25</v>
      </c>
      <c r="AV947">
        <v>0.32461600000000013</v>
      </c>
      <c r="AW947">
        <v>6.8859567236514057E-3</v>
      </c>
      <c r="AX947">
        <v>2.1212622679262276</v>
      </c>
      <c r="AY947">
        <v>-0.93762681339590548</v>
      </c>
      <c r="AZ947">
        <v>4.4377095554741812</v>
      </c>
      <c r="BA947">
        <v>11.93209682816055</v>
      </c>
      <c r="BB947" t="s">
        <v>4619</v>
      </c>
      <c r="BD947" s="98"/>
      <c r="BE947" s="98"/>
      <c r="BF947" t="s">
        <v>1152</v>
      </c>
      <c r="BG947" t="s">
        <v>322</v>
      </c>
      <c r="BH947" t="s">
        <v>1153</v>
      </c>
      <c r="BI947">
        <v>0.93762681339590548</v>
      </c>
      <c r="BJ947" t="s">
        <v>983</v>
      </c>
      <c r="BK947">
        <v>21.811024036740918</v>
      </c>
      <c r="BL947">
        <v>83.093624155679933</v>
      </c>
      <c r="BM947" t="s">
        <v>1260</v>
      </c>
      <c r="BN947" t="s">
        <v>1154</v>
      </c>
      <c r="BO947">
        <v>2025</v>
      </c>
      <c r="BP947" t="s">
        <v>966</v>
      </c>
      <c r="BQ947">
        <v>0.14803686998465793</v>
      </c>
      <c r="BR947">
        <v>99.999985196313006</v>
      </c>
      <c r="BS947" t="s">
        <v>984</v>
      </c>
      <c r="BT947">
        <v>3</v>
      </c>
      <c r="BU947">
        <v>1</v>
      </c>
      <c r="BV947" t="s">
        <v>985</v>
      </c>
      <c r="BW947" t="s">
        <v>943</v>
      </c>
      <c r="BX947" t="s">
        <v>986</v>
      </c>
      <c r="BY947">
        <v>6.6259292759988391</v>
      </c>
      <c r="BZ947" t="s">
        <v>1155</v>
      </c>
      <c r="CA947" t="s">
        <v>983</v>
      </c>
      <c r="CB947" t="b">
        <v>1</v>
      </c>
      <c r="CC947" t="b">
        <v>0</v>
      </c>
      <c r="CD947" t="b">
        <v>0</v>
      </c>
      <c r="CE947" t="b">
        <v>0</v>
      </c>
      <c r="CF947" t="b">
        <v>0</v>
      </c>
    </row>
    <row r="948" spans="1:84" x14ac:dyDescent="0.3">
      <c r="A948" t="s">
        <v>3117</v>
      </c>
      <c r="B948" t="s">
        <v>1242</v>
      </c>
      <c r="C948" s="98">
        <v>45810</v>
      </c>
      <c r="D948">
        <v>2025</v>
      </c>
      <c r="E948">
        <v>6</v>
      </c>
      <c r="F948">
        <v>2</v>
      </c>
      <c r="G948" t="s">
        <v>1243</v>
      </c>
      <c r="H948" t="s">
        <v>142</v>
      </c>
      <c r="I948" t="s">
        <v>142</v>
      </c>
      <c r="J948" t="s">
        <v>6</v>
      </c>
      <c r="L948">
        <v>522611</v>
      </c>
      <c r="M948" s="99" t="s">
        <v>179</v>
      </c>
      <c r="N948">
        <v>2</v>
      </c>
      <c r="O948">
        <v>22</v>
      </c>
      <c r="P948">
        <v>0.32090000000000002</v>
      </c>
      <c r="Q948" t="s">
        <v>352</v>
      </c>
      <c r="R948">
        <v>1</v>
      </c>
      <c r="S948">
        <v>0.32519999999999999</v>
      </c>
      <c r="T948">
        <v>8.6999999999999994E-3</v>
      </c>
      <c r="U948">
        <v>-0.49425287356321501</v>
      </c>
      <c r="V948">
        <v>0.29909999999999998</v>
      </c>
      <c r="W948">
        <v>0.30779999999999996</v>
      </c>
      <c r="X948">
        <v>0.3165</v>
      </c>
      <c r="Y948">
        <v>0.33389999999999997</v>
      </c>
      <c r="Z948">
        <v>0.34260000000000002</v>
      </c>
      <c r="AA948">
        <v>0.3513</v>
      </c>
      <c r="AD948">
        <v>26.2487335922151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 t="s">
        <v>462</v>
      </c>
      <c r="AL948" t="s">
        <v>6</v>
      </c>
      <c r="AM948" t="s">
        <v>1145</v>
      </c>
      <c r="AN948" t="s">
        <v>1146</v>
      </c>
      <c r="AO948" s="100">
        <v>46262.040405092594</v>
      </c>
      <c r="AP948" t="s">
        <v>1147</v>
      </c>
      <c r="AQ948" t="s">
        <v>3118</v>
      </c>
      <c r="AR948" t="s">
        <v>1245</v>
      </c>
      <c r="AS948" t="s">
        <v>1150</v>
      </c>
      <c r="AT948" t="s">
        <v>3026</v>
      </c>
      <c r="AU948">
        <v>25</v>
      </c>
      <c r="AV948">
        <v>0.32461600000000013</v>
      </c>
      <c r="AW948">
        <v>6.8859567236514057E-3</v>
      </c>
      <c r="AX948">
        <v>2.1212622679262276</v>
      </c>
      <c r="AY948">
        <v>-0.93762681339590548</v>
      </c>
      <c r="AZ948">
        <v>4.4377095554741812</v>
      </c>
      <c r="BA948">
        <v>11.93209682816055</v>
      </c>
      <c r="BB948" t="s">
        <v>4619</v>
      </c>
      <c r="BD948" s="98"/>
      <c r="BE948" s="98"/>
      <c r="BF948" t="s">
        <v>1152</v>
      </c>
      <c r="BG948" t="s">
        <v>322</v>
      </c>
      <c r="BH948" t="s">
        <v>1153</v>
      </c>
      <c r="BI948">
        <v>0.93762681339590548</v>
      </c>
      <c r="BJ948" t="s">
        <v>983</v>
      </c>
      <c r="BK948">
        <v>21.811024036740918</v>
      </c>
      <c r="BL948">
        <v>83.093624155679933</v>
      </c>
      <c r="BM948" t="s">
        <v>1260</v>
      </c>
      <c r="BN948" t="s">
        <v>1154</v>
      </c>
      <c r="BO948">
        <v>2025</v>
      </c>
      <c r="BP948" t="s">
        <v>966</v>
      </c>
      <c r="BQ948">
        <v>0.14803686998465793</v>
      </c>
      <c r="BR948">
        <v>99.999985196313006</v>
      </c>
      <c r="BS948" t="s">
        <v>984</v>
      </c>
      <c r="BT948">
        <v>3</v>
      </c>
      <c r="BU948">
        <v>1</v>
      </c>
      <c r="BV948" t="s">
        <v>985</v>
      </c>
      <c r="BW948" t="s">
        <v>943</v>
      </c>
      <c r="BX948" t="s">
        <v>986</v>
      </c>
      <c r="BY948">
        <v>6.6259292759988391</v>
      </c>
      <c r="BZ948" t="s">
        <v>1155</v>
      </c>
      <c r="CA948" t="s">
        <v>983</v>
      </c>
      <c r="CB948" t="b">
        <v>1</v>
      </c>
      <c r="CC948" t="b">
        <v>0</v>
      </c>
      <c r="CD948" t="b">
        <v>0</v>
      </c>
      <c r="CE948" t="b">
        <v>0</v>
      </c>
      <c r="CF948" t="b">
        <v>0</v>
      </c>
    </row>
    <row r="949" spans="1:84" x14ac:dyDescent="0.3">
      <c r="A949" t="s">
        <v>3119</v>
      </c>
      <c r="B949" t="s">
        <v>1247</v>
      </c>
      <c r="C949" s="98">
        <v>45817</v>
      </c>
      <c r="D949">
        <v>2025</v>
      </c>
      <c r="E949">
        <v>6</v>
      </c>
      <c r="F949">
        <v>2</v>
      </c>
      <c r="G949" t="s">
        <v>1243</v>
      </c>
      <c r="H949" t="s">
        <v>142</v>
      </c>
      <c r="I949" t="s">
        <v>142</v>
      </c>
      <c r="J949" t="s">
        <v>6</v>
      </c>
      <c r="L949">
        <v>522611</v>
      </c>
      <c r="M949" s="99" t="s">
        <v>179</v>
      </c>
      <c r="N949">
        <v>2</v>
      </c>
      <c r="O949">
        <v>23</v>
      </c>
      <c r="P949">
        <v>0.32579999999999998</v>
      </c>
      <c r="Q949" t="s">
        <v>352</v>
      </c>
      <c r="R949">
        <v>1</v>
      </c>
      <c r="S949">
        <v>0.32519999999999999</v>
      </c>
      <c r="T949">
        <v>8.6999999999999994E-3</v>
      </c>
      <c r="U949">
        <v>6.8965517241378102E-2</v>
      </c>
      <c r="V949">
        <v>0.29909999999999998</v>
      </c>
      <c r="W949">
        <v>0.30779999999999996</v>
      </c>
      <c r="X949">
        <v>0.3165</v>
      </c>
      <c r="Y949">
        <v>0.33389999999999997</v>
      </c>
      <c r="Z949">
        <v>0.34260000000000002</v>
      </c>
      <c r="AA949">
        <v>0.3513</v>
      </c>
      <c r="AD949">
        <v>26.2487335922151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 t="s">
        <v>462</v>
      </c>
      <c r="AL949" t="s">
        <v>6</v>
      </c>
      <c r="AM949" t="s">
        <v>1145</v>
      </c>
      <c r="AN949" t="s">
        <v>1146</v>
      </c>
      <c r="AO949" s="100">
        <v>46262.040405092594</v>
      </c>
      <c r="AP949" t="s">
        <v>1147</v>
      </c>
      <c r="AQ949" t="s">
        <v>3120</v>
      </c>
      <c r="AR949" t="s">
        <v>1249</v>
      </c>
      <c r="AS949" t="s">
        <v>1150</v>
      </c>
      <c r="AT949" t="s">
        <v>3026</v>
      </c>
      <c r="AU949">
        <v>25</v>
      </c>
      <c r="AV949">
        <v>0.32461600000000013</v>
      </c>
      <c r="AW949">
        <v>6.8859567236514057E-3</v>
      </c>
      <c r="AX949">
        <v>2.1212622679262276</v>
      </c>
      <c r="AY949">
        <v>-0.93762681339590548</v>
      </c>
      <c r="AZ949">
        <v>4.4377095554741812</v>
      </c>
      <c r="BA949">
        <v>11.93209682816055</v>
      </c>
      <c r="BB949" t="s">
        <v>4619</v>
      </c>
      <c r="BD949" s="98"/>
      <c r="BE949" s="98"/>
      <c r="BF949" t="s">
        <v>1152</v>
      </c>
      <c r="BG949" t="s">
        <v>322</v>
      </c>
      <c r="BH949" t="s">
        <v>1153</v>
      </c>
      <c r="BI949">
        <v>0.93762681339590548</v>
      </c>
      <c r="BJ949" t="s">
        <v>983</v>
      </c>
      <c r="BK949">
        <v>21.811024036740918</v>
      </c>
      <c r="BL949">
        <v>83.093624155679933</v>
      </c>
      <c r="BM949" t="s">
        <v>1260</v>
      </c>
      <c r="BN949" t="s">
        <v>1154</v>
      </c>
      <c r="BO949">
        <v>2025</v>
      </c>
      <c r="BP949" t="s">
        <v>966</v>
      </c>
      <c r="BQ949">
        <v>0.14803686998465793</v>
      </c>
      <c r="BR949">
        <v>99.999985196313006</v>
      </c>
      <c r="BS949" t="s">
        <v>984</v>
      </c>
      <c r="BT949">
        <v>3</v>
      </c>
      <c r="BU949">
        <v>1</v>
      </c>
      <c r="BV949" t="s">
        <v>985</v>
      </c>
      <c r="BW949" t="s">
        <v>943</v>
      </c>
      <c r="BX949" t="s">
        <v>986</v>
      </c>
      <c r="BY949">
        <v>6.6259292759988391</v>
      </c>
      <c r="BZ949" t="s">
        <v>1155</v>
      </c>
      <c r="CA949" t="s">
        <v>983</v>
      </c>
      <c r="CB949" t="b">
        <v>1</v>
      </c>
      <c r="CC949" t="b">
        <v>0</v>
      </c>
      <c r="CD949" t="b">
        <v>0</v>
      </c>
      <c r="CE949" t="b">
        <v>0</v>
      </c>
      <c r="CF949" t="b">
        <v>0</v>
      </c>
    </row>
    <row r="950" spans="1:84" x14ac:dyDescent="0.3">
      <c r="A950" t="s">
        <v>3121</v>
      </c>
      <c r="B950" t="s">
        <v>1251</v>
      </c>
      <c r="C950" s="98">
        <v>45824</v>
      </c>
      <c r="D950">
        <v>2025</v>
      </c>
      <c r="E950">
        <v>6</v>
      </c>
      <c r="F950">
        <v>2</v>
      </c>
      <c r="G950" t="s">
        <v>1243</v>
      </c>
      <c r="H950" t="s">
        <v>142</v>
      </c>
      <c r="I950" t="s">
        <v>142</v>
      </c>
      <c r="J950" t="s">
        <v>6</v>
      </c>
      <c r="L950">
        <v>522611</v>
      </c>
      <c r="M950" s="99" t="s">
        <v>179</v>
      </c>
      <c r="N950">
        <v>2</v>
      </c>
      <c r="O950">
        <v>24</v>
      </c>
      <c r="P950">
        <v>0.32540000000000002</v>
      </c>
      <c r="Q950" t="s">
        <v>352</v>
      </c>
      <c r="R950">
        <v>1</v>
      </c>
      <c r="S950">
        <v>0.32519999999999999</v>
      </c>
      <c r="T950">
        <v>8.6999999999999994E-3</v>
      </c>
      <c r="U950">
        <v>2.2988505747130288E-2</v>
      </c>
      <c r="V950">
        <v>0.29909999999999998</v>
      </c>
      <c r="W950">
        <v>0.30779999999999996</v>
      </c>
      <c r="X950">
        <v>0.3165</v>
      </c>
      <c r="Y950">
        <v>0.33389999999999997</v>
      </c>
      <c r="Z950">
        <v>0.34260000000000002</v>
      </c>
      <c r="AA950">
        <v>0.3513</v>
      </c>
      <c r="AD950">
        <v>26.2487335922151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 t="s">
        <v>462</v>
      </c>
      <c r="AL950" t="s">
        <v>6</v>
      </c>
      <c r="AM950" t="s">
        <v>1145</v>
      </c>
      <c r="AN950" t="s">
        <v>1146</v>
      </c>
      <c r="AO950" s="100">
        <v>46262.040405092594</v>
      </c>
      <c r="AP950" t="s">
        <v>1147</v>
      </c>
      <c r="AQ950" t="s">
        <v>3122</v>
      </c>
      <c r="AR950" t="s">
        <v>1253</v>
      </c>
      <c r="AS950" t="s">
        <v>1150</v>
      </c>
      <c r="AT950" t="s">
        <v>3026</v>
      </c>
      <c r="AU950">
        <v>25</v>
      </c>
      <c r="AV950">
        <v>0.32461600000000013</v>
      </c>
      <c r="AW950">
        <v>6.8859567236514057E-3</v>
      </c>
      <c r="AX950">
        <v>2.1212622679262276</v>
      </c>
      <c r="AY950">
        <v>-0.93762681339590548</v>
      </c>
      <c r="AZ950">
        <v>4.4377095554741812</v>
      </c>
      <c r="BA950">
        <v>11.93209682816055</v>
      </c>
      <c r="BB950" t="s">
        <v>4619</v>
      </c>
      <c r="BD950" s="98"/>
      <c r="BE950" s="98"/>
      <c r="BF950" t="s">
        <v>1152</v>
      </c>
      <c r="BG950" t="s">
        <v>322</v>
      </c>
      <c r="BH950" t="s">
        <v>1153</v>
      </c>
      <c r="BI950">
        <v>0.93762681339590548</v>
      </c>
      <c r="BJ950" t="s">
        <v>983</v>
      </c>
      <c r="BK950">
        <v>21.811024036740918</v>
      </c>
      <c r="BL950">
        <v>83.093624155679933</v>
      </c>
      <c r="BM950" t="s">
        <v>1260</v>
      </c>
      <c r="BN950" t="s">
        <v>1154</v>
      </c>
      <c r="BO950">
        <v>2025</v>
      </c>
      <c r="BP950" t="s">
        <v>966</v>
      </c>
      <c r="BQ950">
        <v>0.14803686998465793</v>
      </c>
      <c r="BR950">
        <v>99.999985196313006</v>
      </c>
      <c r="BS950" t="s">
        <v>984</v>
      </c>
      <c r="BT950">
        <v>3</v>
      </c>
      <c r="BU950">
        <v>1</v>
      </c>
      <c r="BV950" t="s">
        <v>985</v>
      </c>
      <c r="BW950" t="s">
        <v>943</v>
      </c>
      <c r="BX950" t="s">
        <v>986</v>
      </c>
      <c r="BY950">
        <v>6.6259292759988391</v>
      </c>
      <c r="BZ950" t="s">
        <v>1155</v>
      </c>
      <c r="CA950" t="s">
        <v>983</v>
      </c>
      <c r="CB950" t="b">
        <v>1</v>
      </c>
      <c r="CC950" t="b">
        <v>0</v>
      </c>
      <c r="CD950" t="b">
        <v>0</v>
      </c>
      <c r="CE950" t="b">
        <v>0</v>
      </c>
      <c r="CF950" t="b">
        <v>0</v>
      </c>
    </row>
    <row r="951" spans="1:84" x14ac:dyDescent="0.3">
      <c r="A951" t="s">
        <v>3123</v>
      </c>
      <c r="B951" t="s">
        <v>1255</v>
      </c>
      <c r="C951" s="98">
        <v>45831</v>
      </c>
      <c r="D951">
        <v>2025</v>
      </c>
      <c r="E951">
        <v>6</v>
      </c>
      <c r="F951">
        <v>2</v>
      </c>
      <c r="G951" t="s">
        <v>1243</v>
      </c>
      <c r="H951" t="s">
        <v>142</v>
      </c>
      <c r="I951" t="s">
        <v>142</v>
      </c>
      <c r="J951" t="s">
        <v>6</v>
      </c>
      <c r="L951">
        <v>522611</v>
      </c>
      <c r="M951" s="99" t="s">
        <v>179</v>
      </c>
      <c r="N951">
        <v>2</v>
      </c>
      <c r="O951">
        <v>25</v>
      </c>
      <c r="P951">
        <v>0.32019999999999998</v>
      </c>
      <c r="Q951" t="s">
        <v>352</v>
      </c>
      <c r="R951">
        <v>1</v>
      </c>
      <c r="S951">
        <v>0.32519999999999999</v>
      </c>
      <c r="T951">
        <v>8.6999999999999994E-3</v>
      </c>
      <c r="U951">
        <v>-0.57471264367816144</v>
      </c>
      <c r="V951">
        <v>0.29909999999999998</v>
      </c>
      <c r="W951">
        <v>0.30779999999999996</v>
      </c>
      <c r="X951">
        <v>0.3165</v>
      </c>
      <c r="Y951">
        <v>0.33389999999999997</v>
      </c>
      <c r="Z951">
        <v>0.34260000000000002</v>
      </c>
      <c r="AA951">
        <v>0.3513</v>
      </c>
      <c r="AD951">
        <v>26.2487335922151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 t="s">
        <v>462</v>
      </c>
      <c r="AL951" t="s">
        <v>6</v>
      </c>
      <c r="AM951" t="s">
        <v>1145</v>
      </c>
      <c r="AN951" t="s">
        <v>1146</v>
      </c>
      <c r="AO951" s="100">
        <v>46262.040405092594</v>
      </c>
      <c r="AP951" t="s">
        <v>1147</v>
      </c>
      <c r="AQ951" t="s">
        <v>3124</v>
      </c>
      <c r="AR951" t="s">
        <v>1257</v>
      </c>
      <c r="AS951" t="s">
        <v>1150</v>
      </c>
      <c r="AT951" t="s">
        <v>3026</v>
      </c>
      <c r="AU951">
        <v>25</v>
      </c>
      <c r="AV951">
        <v>0.32461600000000013</v>
      </c>
      <c r="AW951">
        <v>6.8859567236514057E-3</v>
      </c>
      <c r="AX951">
        <v>2.1212622679262276</v>
      </c>
      <c r="AY951">
        <v>-0.93762681339590548</v>
      </c>
      <c r="AZ951">
        <v>4.4377095554741812</v>
      </c>
      <c r="BA951">
        <v>11.93209682816055</v>
      </c>
      <c r="BB951" t="s">
        <v>4619</v>
      </c>
      <c r="BD951" s="98"/>
      <c r="BE951" s="98"/>
      <c r="BF951" t="s">
        <v>1152</v>
      </c>
      <c r="BG951" t="s">
        <v>322</v>
      </c>
      <c r="BH951" t="s">
        <v>1153</v>
      </c>
      <c r="BI951">
        <v>0.93762681339590548</v>
      </c>
      <c r="BJ951" t="s">
        <v>983</v>
      </c>
      <c r="BK951">
        <v>21.811024036740918</v>
      </c>
      <c r="BL951">
        <v>83.093624155679933</v>
      </c>
      <c r="BM951" t="s">
        <v>1260</v>
      </c>
      <c r="BN951" t="s">
        <v>1154</v>
      </c>
      <c r="BO951">
        <v>2025</v>
      </c>
      <c r="BP951" t="s">
        <v>966</v>
      </c>
      <c r="BQ951">
        <v>0.14803686998465793</v>
      </c>
      <c r="BR951">
        <v>99.999985196313006</v>
      </c>
      <c r="BS951" t="s">
        <v>984</v>
      </c>
      <c r="BT951">
        <v>3</v>
      </c>
      <c r="BU951">
        <v>1</v>
      </c>
      <c r="BV951" t="s">
        <v>985</v>
      </c>
      <c r="BW951" t="s">
        <v>943</v>
      </c>
      <c r="BX951" t="s">
        <v>986</v>
      </c>
      <c r="BY951">
        <v>6.6259292759988391</v>
      </c>
      <c r="BZ951" t="s">
        <v>1155</v>
      </c>
      <c r="CA951" t="s">
        <v>983</v>
      </c>
      <c r="CB951" t="b">
        <v>1</v>
      </c>
      <c r="CC951" t="b">
        <v>0</v>
      </c>
      <c r="CD951" t="b">
        <v>0</v>
      </c>
      <c r="CE951" t="b">
        <v>0</v>
      </c>
      <c r="CF951" t="b">
        <v>0</v>
      </c>
    </row>
    <row r="952" spans="1:84" x14ac:dyDescent="0.3">
      <c r="A952" t="s">
        <v>3125</v>
      </c>
      <c r="B952" t="s">
        <v>1143</v>
      </c>
      <c r="C952" s="98">
        <v>45663</v>
      </c>
      <c r="D952">
        <v>2025</v>
      </c>
      <c r="E952">
        <v>1</v>
      </c>
      <c r="F952">
        <v>1</v>
      </c>
      <c r="G952" t="s">
        <v>1144</v>
      </c>
      <c r="H952" t="s">
        <v>142</v>
      </c>
      <c r="I952" t="s">
        <v>142</v>
      </c>
      <c r="J952" t="s">
        <v>6</v>
      </c>
      <c r="L952">
        <v>522611</v>
      </c>
      <c r="M952" s="99" t="s">
        <v>180</v>
      </c>
      <c r="N952">
        <v>3</v>
      </c>
      <c r="O952">
        <v>1</v>
      </c>
      <c r="P952">
        <v>0.78249999999999997</v>
      </c>
      <c r="Q952" t="s">
        <v>352</v>
      </c>
      <c r="R952">
        <v>1</v>
      </c>
      <c r="S952">
        <v>0.79169999999999996</v>
      </c>
      <c r="T952">
        <v>2.1700000000000001E-2</v>
      </c>
      <c r="U952">
        <v>-0.42396313364055233</v>
      </c>
      <c r="V952">
        <v>0.72659999999999991</v>
      </c>
      <c r="W952">
        <v>0.74829999999999997</v>
      </c>
      <c r="X952">
        <v>0.76999999999999991</v>
      </c>
      <c r="Y952">
        <v>0.81340000000000001</v>
      </c>
      <c r="Z952">
        <v>0.83509999999999995</v>
      </c>
      <c r="AA952">
        <v>0.85680000000000001</v>
      </c>
      <c r="AD952">
        <v>26.2487335922151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 t="s">
        <v>462</v>
      </c>
      <c r="AL952" t="s">
        <v>6</v>
      </c>
      <c r="AM952" t="s">
        <v>1145</v>
      </c>
      <c r="AN952" t="s">
        <v>1146</v>
      </c>
      <c r="AO952" s="100">
        <v>46262.040405092594</v>
      </c>
      <c r="AP952" t="s">
        <v>1147</v>
      </c>
      <c r="AQ952" t="s">
        <v>3126</v>
      </c>
      <c r="AR952" t="s">
        <v>1149</v>
      </c>
      <c r="AS952" t="s">
        <v>1150</v>
      </c>
      <c r="AT952" t="s">
        <v>3026</v>
      </c>
      <c r="AU952">
        <v>25</v>
      </c>
      <c r="AV952">
        <v>0.7983880000000001</v>
      </c>
      <c r="AW952">
        <v>2.3986842226520755E-2</v>
      </c>
      <c r="AX952">
        <v>3.0044091627780918</v>
      </c>
      <c r="AY952">
        <v>-0.93762681339590548</v>
      </c>
      <c r="AZ952">
        <v>5.8949019319797564</v>
      </c>
      <c r="BA952">
        <v>8.4246537030977269</v>
      </c>
      <c r="BB952" t="s">
        <v>4619</v>
      </c>
      <c r="BD952" s="98"/>
      <c r="BE952" s="98"/>
      <c r="BF952" t="s">
        <v>1152</v>
      </c>
      <c r="BG952" t="s">
        <v>322</v>
      </c>
      <c r="BH952" t="s">
        <v>1153</v>
      </c>
      <c r="BI952">
        <v>0.93762681339590548</v>
      </c>
      <c r="BJ952" t="s">
        <v>983</v>
      </c>
      <c r="BK952">
        <v>20.353831660235343</v>
      </c>
      <c r="BL952">
        <v>77.542147276285831</v>
      </c>
      <c r="BM952" t="s">
        <v>1260</v>
      </c>
      <c r="BN952" t="s">
        <v>1154</v>
      </c>
      <c r="BO952">
        <v>2025</v>
      </c>
      <c r="BP952" t="s">
        <v>966</v>
      </c>
      <c r="BQ952">
        <v>0.14803686998465793</v>
      </c>
      <c r="BR952">
        <v>99.999985196313006</v>
      </c>
      <c r="BS952" t="s">
        <v>984</v>
      </c>
      <c r="BT952">
        <v>3</v>
      </c>
      <c r="BU952">
        <v>1</v>
      </c>
      <c r="BV952" t="s">
        <v>985</v>
      </c>
      <c r="BW952" t="s">
        <v>943</v>
      </c>
      <c r="BX952" t="s">
        <v>986</v>
      </c>
      <c r="BY952">
        <v>6.6259292759988391</v>
      </c>
      <c r="BZ952" t="s">
        <v>1155</v>
      </c>
      <c r="CA952" t="s">
        <v>983</v>
      </c>
      <c r="CB952" t="b">
        <v>1</v>
      </c>
      <c r="CC952" t="b">
        <v>0</v>
      </c>
      <c r="CD952" t="b">
        <v>0</v>
      </c>
      <c r="CE952" t="b">
        <v>0</v>
      </c>
      <c r="CF952" t="b">
        <v>0</v>
      </c>
    </row>
    <row r="953" spans="1:84" x14ac:dyDescent="0.3">
      <c r="A953" t="s">
        <v>3127</v>
      </c>
      <c r="B953" t="s">
        <v>1157</v>
      </c>
      <c r="C953" s="98">
        <v>45670</v>
      </c>
      <c r="D953">
        <v>2025</v>
      </c>
      <c r="E953">
        <v>1</v>
      </c>
      <c r="F953">
        <v>1</v>
      </c>
      <c r="G953" t="s">
        <v>1144</v>
      </c>
      <c r="H953" t="s">
        <v>142</v>
      </c>
      <c r="I953" t="s">
        <v>142</v>
      </c>
      <c r="J953" t="s">
        <v>6</v>
      </c>
      <c r="L953">
        <v>522611</v>
      </c>
      <c r="M953" s="99" t="s">
        <v>180</v>
      </c>
      <c r="N953">
        <v>3</v>
      </c>
      <c r="O953">
        <v>2</v>
      </c>
      <c r="P953">
        <v>0.81589999999999996</v>
      </c>
      <c r="Q953" t="s">
        <v>352</v>
      </c>
      <c r="R953">
        <v>1</v>
      </c>
      <c r="S953">
        <v>0.79169999999999996</v>
      </c>
      <c r="T953">
        <v>2.1700000000000001E-2</v>
      </c>
      <c r="U953">
        <v>1.1152073732718892</v>
      </c>
      <c r="V953">
        <v>0.72659999999999991</v>
      </c>
      <c r="W953">
        <v>0.74829999999999997</v>
      </c>
      <c r="X953">
        <v>0.76999999999999991</v>
      </c>
      <c r="Y953">
        <v>0.81340000000000001</v>
      </c>
      <c r="Z953">
        <v>0.83509999999999995</v>
      </c>
      <c r="AA953">
        <v>0.85680000000000001</v>
      </c>
      <c r="AD953">
        <v>26.2487335922151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 t="s">
        <v>462</v>
      </c>
      <c r="AL953" t="s">
        <v>6</v>
      </c>
      <c r="AM953" t="s">
        <v>1145</v>
      </c>
      <c r="AN953" t="s">
        <v>1146</v>
      </c>
      <c r="AO953" s="100">
        <v>46262.040405092594</v>
      </c>
      <c r="AP953" t="s">
        <v>1147</v>
      </c>
      <c r="AQ953" t="s">
        <v>3128</v>
      </c>
      <c r="AR953" t="s">
        <v>1159</v>
      </c>
      <c r="AS953" t="s">
        <v>1150</v>
      </c>
      <c r="AT953" t="s">
        <v>3026</v>
      </c>
      <c r="AU953">
        <v>25</v>
      </c>
      <c r="AV953">
        <v>0.7983880000000001</v>
      </c>
      <c r="AW953">
        <v>2.3986842226520755E-2</v>
      </c>
      <c r="AX953">
        <v>3.0044091627780918</v>
      </c>
      <c r="AY953">
        <v>-0.93762681339590548</v>
      </c>
      <c r="AZ953">
        <v>5.8949019319797564</v>
      </c>
      <c r="BA953">
        <v>8.4246537030977269</v>
      </c>
      <c r="BB953" t="s">
        <v>4619</v>
      </c>
      <c r="BD953" s="98"/>
      <c r="BE953" s="98"/>
      <c r="BF953" t="s">
        <v>1152</v>
      </c>
      <c r="BG953" t="s">
        <v>322</v>
      </c>
      <c r="BH953" t="s">
        <v>1153</v>
      </c>
      <c r="BI953">
        <v>0.93762681339590548</v>
      </c>
      <c r="BJ953" t="s">
        <v>983</v>
      </c>
      <c r="BK953">
        <v>20.353831660235343</v>
      </c>
      <c r="BL953">
        <v>77.542147276285831</v>
      </c>
      <c r="BM953" t="s">
        <v>1260</v>
      </c>
      <c r="BN953" t="s">
        <v>1154</v>
      </c>
      <c r="BO953">
        <v>2025</v>
      </c>
      <c r="BP953" t="s">
        <v>966</v>
      </c>
      <c r="BQ953">
        <v>0.14803686998465793</v>
      </c>
      <c r="BR953">
        <v>99.999985196313006</v>
      </c>
      <c r="BS953" t="s">
        <v>984</v>
      </c>
      <c r="BT953">
        <v>3</v>
      </c>
      <c r="BU953">
        <v>1</v>
      </c>
      <c r="BV953" t="s">
        <v>985</v>
      </c>
      <c r="BW953" t="s">
        <v>943</v>
      </c>
      <c r="BX953" t="s">
        <v>986</v>
      </c>
      <c r="BY953">
        <v>6.6259292759988391</v>
      </c>
      <c r="BZ953" t="s">
        <v>1155</v>
      </c>
      <c r="CA953" t="s">
        <v>983</v>
      </c>
      <c r="CB953" t="b">
        <v>1</v>
      </c>
      <c r="CC953" t="b">
        <v>0</v>
      </c>
      <c r="CD953" t="b">
        <v>0</v>
      </c>
      <c r="CE953" t="b">
        <v>0</v>
      </c>
      <c r="CF953" t="b">
        <v>0</v>
      </c>
    </row>
    <row r="954" spans="1:84" x14ac:dyDescent="0.3">
      <c r="A954" t="s">
        <v>3129</v>
      </c>
      <c r="B954" t="s">
        <v>1161</v>
      </c>
      <c r="C954" s="98">
        <v>45677</v>
      </c>
      <c r="D954">
        <v>2025</v>
      </c>
      <c r="E954">
        <v>1</v>
      </c>
      <c r="F954">
        <v>1</v>
      </c>
      <c r="G954" t="s">
        <v>1144</v>
      </c>
      <c r="H954" t="s">
        <v>142</v>
      </c>
      <c r="I954" t="s">
        <v>142</v>
      </c>
      <c r="J954" t="s">
        <v>6</v>
      </c>
      <c r="L954">
        <v>522611</v>
      </c>
      <c r="M954" s="99" t="s">
        <v>180</v>
      </c>
      <c r="N954">
        <v>3</v>
      </c>
      <c r="O954">
        <v>3</v>
      </c>
      <c r="P954">
        <v>0.7964</v>
      </c>
      <c r="Q954" t="s">
        <v>352</v>
      </c>
      <c r="R954">
        <v>1</v>
      </c>
      <c r="S954">
        <v>0.79169999999999996</v>
      </c>
      <c r="T954">
        <v>2.1700000000000001E-2</v>
      </c>
      <c r="U954">
        <v>0.2165898617511538</v>
      </c>
      <c r="V954">
        <v>0.72659999999999991</v>
      </c>
      <c r="W954">
        <v>0.74829999999999997</v>
      </c>
      <c r="X954">
        <v>0.76999999999999991</v>
      </c>
      <c r="Y954">
        <v>0.81340000000000001</v>
      </c>
      <c r="Z954">
        <v>0.83509999999999995</v>
      </c>
      <c r="AA954">
        <v>0.85680000000000001</v>
      </c>
      <c r="AD954">
        <v>26.2487335922151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 t="s">
        <v>462</v>
      </c>
      <c r="AL954" t="s">
        <v>6</v>
      </c>
      <c r="AM954" t="s">
        <v>1145</v>
      </c>
      <c r="AN954" t="s">
        <v>1146</v>
      </c>
      <c r="AO954" s="100">
        <v>46262.040405092594</v>
      </c>
      <c r="AP954" t="s">
        <v>1147</v>
      </c>
      <c r="AQ954" t="s">
        <v>3130</v>
      </c>
      <c r="AR954" t="s">
        <v>1163</v>
      </c>
      <c r="AS954" t="s">
        <v>1150</v>
      </c>
      <c r="AT954" t="s">
        <v>3026</v>
      </c>
      <c r="AU954">
        <v>25</v>
      </c>
      <c r="AV954">
        <v>0.7983880000000001</v>
      </c>
      <c r="AW954">
        <v>2.3986842226520755E-2</v>
      </c>
      <c r="AX954">
        <v>3.0044091627780918</v>
      </c>
      <c r="AY954">
        <v>-0.93762681339590548</v>
      </c>
      <c r="AZ954">
        <v>5.8949019319797564</v>
      </c>
      <c r="BA954">
        <v>8.4246537030977269</v>
      </c>
      <c r="BB954" t="s">
        <v>4619</v>
      </c>
      <c r="BD954" s="98"/>
      <c r="BE954" s="98"/>
      <c r="BF954" t="s">
        <v>1152</v>
      </c>
      <c r="BG954" t="s">
        <v>322</v>
      </c>
      <c r="BH954" t="s">
        <v>1153</v>
      </c>
      <c r="BI954">
        <v>0.93762681339590548</v>
      </c>
      <c r="BJ954" t="s">
        <v>983</v>
      </c>
      <c r="BK954">
        <v>20.353831660235343</v>
      </c>
      <c r="BL954">
        <v>77.542147276285831</v>
      </c>
      <c r="BM954" t="s">
        <v>1260</v>
      </c>
      <c r="BN954" t="s">
        <v>1154</v>
      </c>
      <c r="BO954">
        <v>2025</v>
      </c>
      <c r="BP954" t="s">
        <v>966</v>
      </c>
      <c r="BQ954">
        <v>0.14803686998465793</v>
      </c>
      <c r="BR954">
        <v>99.999985196313006</v>
      </c>
      <c r="BS954" t="s">
        <v>984</v>
      </c>
      <c r="BT954">
        <v>3</v>
      </c>
      <c r="BU954">
        <v>1</v>
      </c>
      <c r="BV954" t="s">
        <v>985</v>
      </c>
      <c r="BW954" t="s">
        <v>943</v>
      </c>
      <c r="BX954" t="s">
        <v>986</v>
      </c>
      <c r="BY954">
        <v>6.6259292759988391</v>
      </c>
      <c r="BZ954" t="s">
        <v>1155</v>
      </c>
      <c r="CA954" t="s">
        <v>983</v>
      </c>
      <c r="CB954" t="b">
        <v>1</v>
      </c>
      <c r="CC954" t="b">
        <v>0</v>
      </c>
      <c r="CD954" t="b">
        <v>0</v>
      </c>
      <c r="CE954" t="b">
        <v>0</v>
      </c>
      <c r="CF954" t="b">
        <v>0</v>
      </c>
    </row>
    <row r="955" spans="1:84" x14ac:dyDescent="0.3">
      <c r="A955" t="s">
        <v>3131</v>
      </c>
      <c r="B955" t="s">
        <v>1165</v>
      </c>
      <c r="C955" s="98">
        <v>45684</v>
      </c>
      <c r="D955">
        <v>2025</v>
      </c>
      <c r="E955">
        <v>1</v>
      </c>
      <c r="F955">
        <v>1</v>
      </c>
      <c r="G955" t="s">
        <v>1144</v>
      </c>
      <c r="H955" t="s">
        <v>142</v>
      </c>
      <c r="I955" t="s">
        <v>142</v>
      </c>
      <c r="J955" t="s">
        <v>6</v>
      </c>
      <c r="L955">
        <v>522611</v>
      </c>
      <c r="M955" s="99" t="s">
        <v>180</v>
      </c>
      <c r="N955">
        <v>3</v>
      </c>
      <c r="O955">
        <v>4</v>
      </c>
      <c r="P955">
        <v>0.81100000000000005</v>
      </c>
      <c r="Q955" t="s">
        <v>352</v>
      </c>
      <c r="R955">
        <v>1</v>
      </c>
      <c r="S955">
        <v>0.79169999999999996</v>
      </c>
      <c r="T955">
        <v>2.1700000000000001E-2</v>
      </c>
      <c r="U955">
        <v>0.88940092165899054</v>
      </c>
      <c r="V955">
        <v>0.72659999999999991</v>
      </c>
      <c r="W955">
        <v>0.74829999999999997</v>
      </c>
      <c r="X955">
        <v>0.76999999999999991</v>
      </c>
      <c r="Y955">
        <v>0.81340000000000001</v>
      </c>
      <c r="Z955">
        <v>0.83509999999999995</v>
      </c>
      <c r="AA955">
        <v>0.85680000000000001</v>
      </c>
      <c r="AD955">
        <v>26.2487335922151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 t="s">
        <v>462</v>
      </c>
      <c r="AL955" t="s">
        <v>6</v>
      </c>
      <c r="AM955" t="s">
        <v>1145</v>
      </c>
      <c r="AN955" t="s">
        <v>1146</v>
      </c>
      <c r="AO955" s="100">
        <v>46262.040405092594</v>
      </c>
      <c r="AP955" t="s">
        <v>1147</v>
      </c>
      <c r="AQ955" t="s">
        <v>3132</v>
      </c>
      <c r="AR955" t="s">
        <v>1167</v>
      </c>
      <c r="AS955" t="s">
        <v>1150</v>
      </c>
      <c r="AT955" t="s">
        <v>3026</v>
      </c>
      <c r="AU955">
        <v>25</v>
      </c>
      <c r="AV955">
        <v>0.7983880000000001</v>
      </c>
      <c r="AW955">
        <v>2.3986842226520755E-2</v>
      </c>
      <c r="AX955">
        <v>3.0044091627780918</v>
      </c>
      <c r="AY955">
        <v>-0.93762681339590548</v>
      </c>
      <c r="AZ955">
        <v>5.8949019319797564</v>
      </c>
      <c r="BA955">
        <v>8.4246537030977269</v>
      </c>
      <c r="BB955" t="s">
        <v>4619</v>
      </c>
      <c r="BD955" s="98"/>
      <c r="BE955" s="98"/>
      <c r="BF955" t="s">
        <v>1152</v>
      </c>
      <c r="BG955" t="s">
        <v>322</v>
      </c>
      <c r="BH955" t="s">
        <v>1153</v>
      </c>
      <c r="BI955">
        <v>0.93762681339590548</v>
      </c>
      <c r="BJ955" t="s">
        <v>983</v>
      </c>
      <c r="BK955">
        <v>20.353831660235343</v>
      </c>
      <c r="BL955">
        <v>77.542147276285831</v>
      </c>
      <c r="BM955" t="s">
        <v>1260</v>
      </c>
      <c r="BN955" t="s">
        <v>1154</v>
      </c>
      <c r="BO955">
        <v>2025</v>
      </c>
      <c r="BP955" t="s">
        <v>966</v>
      </c>
      <c r="BQ955">
        <v>0.14803686998465793</v>
      </c>
      <c r="BR955">
        <v>99.999985196313006</v>
      </c>
      <c r="BS955" t="s">
        <v>984</v>
      </c>
      <c r="BT955">
        <v>3</v>
      </c>
      <c r="BU955">
        <v>1</v>
      </c>
      <c r="BV955" t="s">
        <v>985</v>
      </c>
      <c r="BW955" t="s">
        <v>943</v>
      </c>
      <c r="BX955" t="s">
        <v>986</v>
      </c>
      <c r="BY955">
        <v>6.6259292759988391</v>
      </c>
      <c r="BZ955" t="s">
        <v>1155</v>
      </c>
      <c r="CA955" t="s">
        <v>983</v>
      </c>
      <c r="CB955" t="b">
        <v>1</v>
      </c>
      <c r="CC955" t="b">
        <v>0</v>
      </c>
      <c r="CD955" t="b">
        <v>0</v>
      </c>
      <c r="CE955" t="b">
        <v>0</v>
      </c>
      <c r="CF955" t="b">
        <v>0</v>
      </c>
    </row>
    <row r="956" spans="1:84" x14ac:dyDescent="0.3">
      <c r="A956" t="s">
        <v>3133</v>
      </c>
      <c r="B956" t="s">
        <v>1169</v>
      </c>
      <c r="C956" s="98">
        <v>45691</v>
      </c>
      <c r="D956">
        <v>2025</v>
      </c>
      <c r="E956">
        <v>2</v>
      </c>
      <c r="F956">
        <v>1</v>
      </c>
      <c r="G956" t="s">
        <v>1170</v>
      </c>
      <c r="H956" t="s">
        <v>142</v>
      </c>
      <c r="I956" t="s">
        <v>142</v>
      </c>
      <c r="J956" t="s">
        <v>6</v>
      </c>
      <c r="L956">
        <v>522611</v>
      </c>
      <c r="M956" s="99" t="s">
        <v>180</v>
      </c>
      <c r="N956">
        <v>3</v>
      </c>
      <c r="O956">
        <v>5</v>
      </c>
      <c r="P956">
        <v>0.81779999999999997</v>
      </c>
      <c r="Q956" t="s">
        <v>352</v>
      </c>
      <c r="R956">
        <v>1</v>
      </c>
      <c r="S956">
        <v>0.79169999999999996</v>
      </c>
      <c r="T956">
        <v>2.1700000000000001E-2</v>
      </c>
      <c r="U956">
        <v>1.2027649769585258</v>
      </c>
      <c r="V956">
        <v>0.72659999999999991</v>
      </c>
      <c r="W956">
        <v>0.74829999999999997</v>
      </c>
      <c r="X956">
        <v>0.76999999999999991</v>
      </c>
      <c r="Y956">
        <v>0.81340000000000001</v>
      </c>
      <c r="Z956">
        <v>0.83509999999999995</v>
      </c>
      <c r="AA956">
        <v>0.85680000000000001</v>
      </c>
      <c r="AD956">
        <v>26.2487335922151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 t="s">
        <v>462</v>
      </c>
      <c r="AL956" t="s">
        <v>6</v>
      </c>
      <c r="AM956" t="s">
        <v>1145</v>
      </c>
      <c r="AN956" t="s">
        <v>1146</v>
      </c>
      <c r="AO956" s="100">
        <v>46262.040405092594</v>
      </c>
      <c r="AP956" t="s">
        <v>1147</v>
      </c>
      <c r="AQ956" t="s">
        <v>3134</v>
      </c>
      <c r="AR956" t="s">
        <v>1172</v>
      </c>
      <c r="AS956" t="s">
        <v>1150</v>
      </c>
      <c r="AT956" t="s">
        <v>3026</v>
      </c>
      <c r="AU956">
        <v>25</v>
      </c>
      <c r="AV956">
        <v>0.7983880000000001</v>
      </c>
      <c r="AW956">
        <v>2.3986842226520755E-2</v>
      </c>
      <c r="AX956">
        <v>3.0044091627780918</v>
      </c>
      <c r="AY956">
        <v>-0.93762681339590548</v>
      </c>
      <c r="AZ956">
        <v>5.8949019319797564</v>
      </c>
      <c r="BA956">
        <v>8.4246537030977269</v>
      </c>
      <c r="BB956" t="s">
        <v>4619</v>
      </c>
      <c r="BD956" s="98"/>
      <c r="BE956" s="98"/>
      <c r="BF956" t="s">
        <v>1152</v>
      </c>
      <c r="BG956" t="s">
        <v>322</v>
      </c>
      <c r="BH956" t="s">
        <v>1153</v>
      </c>
      <c r="BI956">
        <v>0.93762681339590548</v>
      </c>
      <c r="BJ956" t="s">
        <v>983</v>
      </c>
      <c r="BK956">
        <v>20.353831660235343</v>
      </c>
      <c r="BL956">
        <v>77.542147276285831</v>
      </c>
      <c r="BM956" t="s">
        <v>1260</v>
      </c>
      <c r="BN956" t="s">
        <v>1154</v>
      </c>
      <c r="BO956">
        <v>2025</v>
      </c>
      <c r="BP956" t="s">
        <v>966</v>
      </c>
      <c r="BQ956">
        <v>0.14803686998465793</v>
      </c>
      <c r="BR956">
        <v>99.999985196313006</v>
      </c>
      <c r="BS956" t="s">
        <v>984</v>
      </c>
      <c r="BT956">
        <v>3</v>
      </c>
      <c r="BU956">
        <v>1</v>
      </c>
      <c r="BV956" t="s">
        <v>985</v>
      </c>
      <c r="BW956" t="s">
        <v>943</v>
      </c>
      <c r="BX956" t="s">
        <v>986</v>
      </c>
      <c r="BY956">
        <v>6.6259292759988391</v>
      </c>
      <c r="BZ956" t="s">
        <v>1155</v>
      </c>
      <c r="CA956" t="s">
        <v>983</v>
      </c>
      <c r="CB956" t="b">
        <v>1</v>
      </c>
      <c r="CC956" t="b">
        <v>0</v>
      </c>
      <c r="CD956" t="b">
        <v>0</v>
      </c>
      <c r="CE956" t="b">
        <v>0</v>
      </c>
      <c r="CF956" t="b">
        <v>0</v>
      </c>
    </row>
    <row r="957" spans="1:84" x14ac:dyDescent="0.3">
      <c r="A957" t="s">
        <v>3135</v>
      </c>
      <c r="B957" t="s">
        <v>1174</v>
      </c>
      <c r="C957" s="98">
        <v>45698</v>
      </c>
      <c r="D957">
        <v>2025</v>
      </c>
      <c r="E957">
        <v>2</v>
      </c>
      <c r="F957">
        <v>1</v>
      </c>
      <c r="G957" t="s">
        <v>1170</v>
      </c>
      <c r="H957" t="s">
        <v>142</v>
      </c>
      <c r="I957" t="s">
        <v>142</v>
      </c>
      <c r="J957" t="s">
        <v>6</v>
      </c>
      <c r="L957">
        <v>522611</v>
      </c>
      <c r="M957" s="99" t="s">
        <v>180</v>
      </c>
      <c r="N957">
        <v>3</v>
      </c>
      <c r="O957">
        <v>6</v>
      </c>
      <c r="P957">
        <v>0.80449999999999999</v>
      </c>
      <c r="Q957" t="s">
        <v>352</v>
      </c>
      <c r="R957">
        <v>1</v>
      </c>
      <c r="S957">
        <v>0.79169999999999996</v>
      </c>
      <c r="T957">
        <v>2.1700000000000001E-2</v>
      </c>
      <c r="U957">
        <v>0.58986175115207529</v>
      </c>
      <c r="V957">
        <v>0.72659999999999991</v>
      </c>
      <c r="W957">
        <v>0.74829999999999997</v>
      </c>
      <c r="X957">
        <v>0.76999999999999991</v>
      </c>
      <c r="Y957">
        <v>0.81340000000000001</v>
      </c>
      <c r="Z957">
        <v>0.83509999999999995</v>
      </c>
      <c r="AA957">
        <v>0.85680000000000001</v>
      </c>
      <c r="AD957">
        <v>26.2487335922151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 t="s">
        <v>462</v>
      </c>
      <c r="AL957" t="s">
        <v>6</v>
      </c>
      <c r="AM957" t="s">
        <v>1145</v>
      </c>
      <c r="AN957" t="s">
        <v>1146</v>
      </c>
      <c r="AO957" s="100">
        <v>46262.040405092594</v>
      </c>
      <c r="AP957" t="s">
        <v>1147</v>
      </c>
      <c r="AQ957" t="s">
        <v>3136</v>
      </c>
      <c r="AR957" t="s">
        <v>1176</v>
      </c>
      <c r="AS957" t="s">
        <v>1150</v>
      </c>
      <c r="AT957" t="s">
        <v>3026</v>
      </c>
      <c r="AU957">
        <v>25</v>
      </c>
      <c r="AV957">
        <v>0.7983880000000001</v>
      </c>
      <c r="AW957">
        <v>2.3986842226520755E-2</v>
      </c>
      <c r="AX957">
        <v>3.0044091627780918</v>
      </c>
      <c r="AY957">
        <v>-0.93762681339590548</v>
      </c>
      <c r="AZ957">
        <v>5.8949019319797564</v>
      </c>
      <c r="BA957">
        <v>8.4246537030977269</v>
      </c>
      <c r="BB957" t="s">
        <v>4619</v>
      </c>
      <c r="BD957" s="98"/>
      <c r="BE957" s="98"/>
      <c r="BF957" t="s">
        <v>1152</v>
      </c>
      <c r="BG957" t="s">
        <v>322</v>
      </c>
      <c r="BH957" t="s">
        <v>1153</v>
      </c>
      <c r="BI957">
        <v>0.93762681339590548</v>
      </c>
      <c r="BJ957" t="s">
        <v>983</v>
      </c>
      <c r="BK957">
        <v>20.353831660235343</v>
      </c>
      <c r="BL957">
        <v>77.542147276285831</v>
      </c>
      <c r="BM957" t="s">
        <v>1260</v>
      </c>
      <c r="BN957" t="s">
        <v>1154</v>
      </c>
      <c r="BO957">
        <v>2025</v>
      </c>
      <c r="BP957" t="s">
        <v>966</v>
      </c>
      <c r="BQ957">
        <v>0.14803686998465793</v>
      </c>
      <c r="BR957">
        <v>99.999985196313006</v>
      </c>
      <c r="BS957" t="s">
        <v>984</v>
      </c>
      <c r="BT957">
        <v>3</v>
      </c>
      <c r="BU957">
        <v>1</v>
      </c>
      <c r="BV957" t="s">
        <v>985</v>
      </c>
      <c r="BW957" t="s">
        <v>943</v>
      </c>
      <c r="BX957" t="s">
        <v>986</v>
      </c>
      <c r="BY957">
        <v>6.6259292759988391</v>
      </c>
      <c r="BZ957" t="s">
        <v>1155</v>
      </c>
      <c r="CA957" t="s">
        <v>983</v>
      </c>
      <c r="CB957" t="b">
        <v>1</v>
      </c>
      <c r="CC957" t="b">
        <v>0</v>
      </c>
      <c r="CD957" t="b">
        <v>0</v>
      </c>
      <c r="CE957" t="b">
        <v>0</v>
      </c>
      <c r="CF957" t="b">
        <v>0</v>
      </c>
    </row>
    <row r="958" spans="1:84" x14ac:dyDescent="0.3">
      <c r="A958" t="s">
        <v>3137</v>
      </c>
      <c r="B958" t="s">
        <v>1178</v>
      </c>
      <c r="C958" s="98">
        <v>45705</v>
      </c>
      <c r="D958">
        <v>2025</v>
      </c>
      <c r="E958">
        <v>2</v>
      </c>
      <c r="F958">
        <v>1</v>
      </c>
      <c r="G958" t="s">
        <v>1170</v>
      </c>
      <c r="H958" t="s">
        <v>142</v>
      </c>
      <c r="I958" t="s">
        <v>142</v>
      </c>
      <c r="J958" t="s">
        <v>6</v>
      </c>
      <c r="L958">
        <v>522611</v>
      </c>
      <c r="M958" s="99" t="s">
        <v>180</v>
      </c>
      <c r="N958">
        <v>3</v>
      </c>
      <c r="O958">
        <v>7</v>
      </c>
      <c r="P958">
        <v>0.84109999999999996</v>
      </c>
      <c r="Q958" t="s">
        <v>352</v>
      </c>
      <c r="R958">
        <v>1</v>
      </c>
      <c r="S958">
        <v>0.79169999999999996</v>
      </c>
      <c r="T958">
        <v>2.1700000000000001E-2</v>
      </c>
      <c r="U958">
        <v>2.2764976958525347</v>
      </c>
      <c r="V958">
        <v>0.72659999999999991</v>
      </c>
      <c r="W958">
        <v>0.74829999999999997</v>
      </c>
      <c r="X958">
        <v>0.76999999999999991</v>
      </c>
      <c r="Y958">
        <v>0.81340000000000001</v>
      </c>
      <c r="Z958">
        <v>0.83509999999999995</v>
      </c>
      <c r="AA958">
        <v>0.85680000000000001</v>
      </c>
      <c r="AD958">
        <v>26.2487335922151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1</v>
      </c>
      <c r="AK958" t="s">
        <v>462</v>
      </c>
      <c r="AL958" t="s">
        <v>6</v>
      </c>
      <c r="AM958" t="s">
        <v>1145</v>
      </c>
      <c r="AN958" t="s">
        <v>1146</v>
      </c>
      <c r="AO958" s="100">
        <v>46262.040405092594</v>
      </c>
      <c r="AP958" t="s">
        <v>1147</v>
      </c>
      <c r="AQ958" t="s">
        <v>3138</v>
      </c>
      <c r="AR958" t="s">
        <v>1180</v>
      </c>
      <c r="AS958" t="s">
        <v>1150</v>
      </c>
      <c r="AT958" t="s">
        <v>3026</v>
      </c>
      <c r="AU958">
        <v>25</v>
      </c>
      <c r="AV958">
        <v>0.7983880000000001</v>
      </c>
      <c r="AW958">
        <v>2.3986842226520755E-2</v>
      </c>
      <c r="AX958">
        <v>3.0044091627780918</v>
      </c>
      <c r="AY958">
        <v>-0.93762681339590548</v>
      </c>
      <c r="AZ958">
        <v>5.8949019319797564</v>
      </c>
      <c r="BA958">
        <v>8.4246537030977269</v>
      </c>
      <c r="BB958" t="s">
        <v>4619</v>
      </c>
      <c r="BD958" s="98"/>
      <c r="BE958" s="98"/>
      <c r="BF958" t="s">
        <v>1152</v>
      </c>
      <c r="BG958" t="s">
        <v>322</v>
      </c>
      <c r="BH958" t="s">
        <v>1153</v>
      </c>
      <c r="BI958">
        <v>0.93762681339590548</v>
      </c>
      <c r="BJ958" t="s">
        <v>983</v>
      </c>
      <c r="BK958">
        <v>20.353831660235343</v>
      </c>
      <c r="BL958">
        <v>77.542147276285831</v>
      </c>
      <c r="BM958" t="s">
        <v>1260</v>
      </c>
      <c r="BN958" t="s">
        <v>1154</v>
      </c>
      <c r="BO958">
        <v>2025</v>
      </c>
      <c r="BP958" t="s">
        <v>966</v>
      </c>
      <c r="BQ958">
        <v>0.14803686998465793</v>
      </c>
      <c r="BR958">
        <v>99.999985196313006</v>
      </c>
      <c r="BS958" t="s">
        <v>984</v>
      </c>
      <c r="BT958">
        <v>3</v>
      </c>
      <c r="BU958">
        <v>1</v>
      </c>
      <c r="BV958" t="s">
        <v>985</v>
      </c>
      <c r="BW958" t="s">
        <v>943</v>
      </c>
      <c r="BX958" t="s">
        <v>986</v>
      </c>
      <c r="BY958">
        <v>6.6259292759988391</v>
      </c>
      <c r="BZ958" t="s">
        <v>1155</v>
      </c>
      <c r="CA958" t="s">
        <v>983</v>
      </c>
      <c r="CB958" t="b">
        <v>1</v>
      </c>
      <c r="CC958" t="b">
        <v>0</v>
      </c>
      <c r="CD958" t="b">
        <v>0</v>
      </c>
      <c r="CE958" t="b">
        <v>0</v>
      </c>
      <c r="CF958" t="b">
        <v>0</v>
      </c>
    </row>
    <row r="959" spans="1:84" x14ac:dyDescent="0.3">
      <c r="A959" t="s">
        <v>3139</v>
      </c>
      <c r="B959" t="s">
        <v>1182</v>
      </c>
      <c r="C959" s="98">
        <v>45712</v>
      </c>
      <c r="D959">
        <v>2025</v>
      </c>
      <c r="E959">
        <v>2</v>
      </c>
      <c r="F959">
        <v>1</v>
      </c>
      <c r="G959" t="s">
        <v>1170</v>
      </c>
      <c r="H959" t="s">
        <v>142</v>
      </c>
      <c r="I959" t="s">
        <v>142</v>
      </c>
      <c r="J959" t="s">
        <v>6</v>
      </c>
      <c r="L959">
        <v>522611</v>
      </c>
      <c r="M959" s="99" t="s">
        <v>180</v>
      </c>
      <c r="N959">
        <v>3</v>
      </c>
      <c r="O959">
        <v>8</v>
      </c>
      <c r="P959">
        <v>0.77380000000000004</v>
      </c>
      <c r="Q959" t="s">
        <v>352</v>
      </c>
      <c r="R959">
        <v>1</v>
      </c>
      <c r="S959">
        <v>0.79169999999999996</v>
      </c>
      <c r="T959">
        <v>2.1700000000000001E-2</v>
      </c>
      <c r="U959">
        <v>-0.82488479262672421</v>
      </c>
      <c r="V959">
        <v>0.72659999999999991</v>
      </c>
      <c r="W959">
        <v>0.74829999999999997</v>
      </c>
      <c r="X959">
        <v>0.76999999999999991</v>
      </c>
      <c r="Y959">
        <v>0.81340000000000001</v>
      </c>
      <c r="Z959">
        <v>0.83509999999999995</v>
      </c>
      <c r="AA959">
        <v>0.85680000000000001</v>
      </c>
      <c r="AD959">
        <v>26.2487335922151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 t="s">
        <v>462</v>
      </c>
      <c r="AL959" t="s">
        <v>6</v>
      </c>
      <c r="AM959" t="s">
        <v>1145</v>
      </c>
      <c r="AN959" t="s">
        <v>1146</v>
      </c>
      <c r="AO959" s="100">
        <v>46262.040405092594</v>
      </c>
      <c r="AP959" t="s">
        <v>1147</v>
      </c>
      <c r="AQ959" t="s">
        <v>3140</v>
      </c>
      <c r="AR959" t="s">
        <v>1184</v>
      </c>
      <c r="AS959" t="s">
        <v>1150</v>
      </c>
      <c r="AT959" t="s">
        <v>3026</v>
      </c>
      <c r="AU959">
        <v>25</v>
      </c>
      <c r="AV959">
        <v>0.7983880000000001</v>
      </c>
      <c r="AW959">
        <v>2.3986842226520755E-2</v>
      </c>
      <c r="AX959">
        <v>3.0044091627780918</v>
      </c>
      <c r="AY959">
        <v>-0.93762681339590548</v>
      </c>
      <c r="AZ959">
        <v>5.8949019319797564</v>
      </c>
      <c r="BA959">
        <v>8.4246537030977269</v>
      </c>
      <c r="BB959" t="s">
        <v>4619</v>
      </c>
      <c r="BD959" s="98"/>
      <c r="BE959" s="98"/>
      <c r="BF959" t="s">
        <v>1152</v>
      </c>
      <c r="BG959" t="s">
        <v>322</v>
      </c>
      <c r="BH959" t="s">
        <v>1153</v>
      </c>
      <c r="BI959">
        <v>0.93762681339590548</v>
      </c>
      <c r="BJ959" t="s">
        <v>983</v>
      </c>
      <c r="BK959">
        <v>20.353831660235343</v>
      </c>
      <c r="BL959">
        <v>77.542147276285831</v>
      </c>
      <c r="BM959" t="s">
        <v>1260</v>
      </c>
      <c r="BN959" t="s">
        <v>1154</v>
      </c>
      <c r="BO959">
        <v>2025</v>
      </c>
      <c r="BP959" t="s">
        <v>966</v>
      </c>
      <c r="BQ959">
        <v>0.14803686998465793</v>
      </c>
      <c r="BR959">
        <v>99.999985196313006</v>
      </c>
      <c r="BS959" t="s">
        <v>984</v>
      </c>
      <c r="BT959">
        <v>3</v>
      </c>
      <c r="BU959">
        <v>1</v>
      </c>
      <c r="BV959" t="s">
        <v>985</v>
      </c>
      <c r="BW959" t="s">
        <v>943</v>
      </c>
      <c r="BX959" t="s">
        <v>986</v>
      </c>
      <c r="BY959">
        <v>6.6259292759988391</v>
      </c>
      <c r="BZ959" t="s">
        <v>1155</v>
      </c>
      <c r="CA959" t="s">
        <v>983</v>
      </c>
      <c r="CB959" t="b">
        <v>1</v>
      </c>
      <c r="CC959" t="b">
        <v>0</v>
      </c>
      <c r="CD959" t="b">
        <v>0</v>
      </c>
      <c r="CE959" t="b">
        <v>0</v>
      </c>
      <c r="CF959" t="b">
        <v>0</v>
      </c>
    </row>
    <row r="960" spans="1:84" x14ac:dyDescent="0.3">
      <c r="A960" t="s">
        <v>3141</v>
      </c>
      <c r="B960" t="s">
        <v>1186</v>
      </c>
      <c r="C960" s="98">
        <v>45719</v>
      </c>
      <c r="D960">
        <v>2025</v>
      </c>
      <c r="E960">
        <v>3</v>
      </c>
      <c r="F960">
        <v>1</v>
      </c>
      <c r="G960" t="s">
        <v>1187</v>
      </c>
      <c r="H960" t="s">
        <v>142</v>
      </c>
      <c r="I960" t="s">
        <v>142</v>
      </c>
      <c r="J960" t="s">
        <v>6</v>
      </c>
      <c r="L960">
        <v>522611</v>
      </c>
      <c r="M960" s="99" t="s">
        <v>180</v>
      </c>
      <c r="N960">
        <v>3</v>
      </c>
      <c r="O960">
        <v>9</v>
      </c>
      <c r="P960">
        <v>0.80930000000000002</v>
      </c>
      <c r="Q960" t="s">
        <v>352</v>
      </c>
      <c r="R960">
        <v>1</v>
      </c>
      <c r="S960">
        <v>0.79169999999999996</v>
      </c>
      <c r="T960">
        <v>2.1700000000000001E-2</v>
      </c>
      <c r="U960">
        <v>0.81105990783410409</v>
      </c>
      <c r="V960">
        <v>0.72659999999999991</v>
      </c>
      <c r="W960">
        <v>0.74829999999999997</v>
      </c>
      <c r="X960">
        <v>0.76999999999999991</v>
      </c>
      <c r="Y960">
        <v>0.81340000000000001</v>
      </c>
      <c r="Z960">
        <v>0.83509999999999995</v>
      </c>
      <c r="AA960">
        <v>0.85680000000000001</v>
      </c>
      <c r="AD960">
        <v>26.2487335922151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 t="s">
        <v>462</v>
      </c>
      <c r="AL960" t="s">
        <v>6</v>
      </c>
      <c r="AM960" t="s">
        <v>1145</v>
      </c>
      <c r="AN960" t="s">
        <v>1146</v>
      </c>
      <c r="AO960" s="100">
        <v>46262.040405092594</v>
      </c>
      <c r="AP960" t="s">
        <v>1147</v>
      </c>
      <c r="AQ960" t="s">
        <v>3142</v>
      </c>
      <c r="AR960" t="s">
        <v>1189</v>
      </c>
      <c r="AS960" t="s">
        <v>1150</v>
      </c>
      <c r="AT960" t="s">
        <v>3026</v>
      </c>
      <c r="AU960">
        <v>25</v>
      </c>
      <c r="AV960">
        <v>0.7983880000000001</v>
      </c>
      <c r="AW960">
        <v>2.3986842226520755E-2</v>
      </c>
      <c r="AX960">
        <v>3.0044091627780918</v>
      </c>
      <c r="AY960">
        <v>-0.93762681339590548</v>
      </c>
      <c r="AZ960">
        <v>5.8949019319797564</v>
      </c>
      <c r="BA960">
        <v>8.4246537030977269</v>
      </c>
      <c r="BB960" t="s">
        <v>4619</v>
      </c>
      <c r="BD960" s="98"/>
      <c r="BE960" s="98"/>
      <c r="BF960" t="s">
        <v>1152</v>
      </c>
      <c r="BG960" t="s">
        <v>322</v>
      </c>
      <c r="BH960" t="s">
        <v>1153</v>
      </c>
      <c r="BI960">
        <v>0.93762681339590548</v>
      </c>
      <c r="BJ960" t="s">
        <v>983</v>
      </c>
      <c r="BK960">
        <v>20.353831660235343</v>
      </c>
      <c r="BL960">
        <v>77.542147276285831</v>
      </c>
      <c r="BM960" t="s">
        <v>1260</v>
      </c>
      <c r="BN960" t="s">
        <v>1154</v>
      </c>
      <c r="BO960">
        <v>2025</v>
      </c>
      <c r="BP960" t="s">
        <v>966</v>
      </c>
      <c r="BQ960">
        <v>0.14803686998465793</v>
      </c>
      <c r="BR960">
        <v>99.999985196313006</v>
      </c>
      <c r="BS960" t="s">
        <v>984</v>
      </c>
      <c r="BT960">
        <v>3</v>
      </c>
      <c r="BU960">
        <v>1</v>
      </c>
      <c r="BV960" t="s">
        <v>985</v>
      </c>
      <c r="BW960" t="s">
        <v>943</v>
      </c>
      <c r="BX960" t="s">
        <v>986</v>
      </c>
      <c r="BY960">
        <v>6.6259292759988391</v>
      </c>
      <c r="BZ960" t="s">
        <v>1155</v>
      </c>
      <c r="CA960" t="s">
        <v>983</v>
      </c>
      <c r="CB960" t="b">
        <v>1</v>
      </c>
      <c r="CC960" t="b">
        <v>0</v>
      </c>
      <c r="CD960" t="b">
        <v>0</v>
      </c>
      <c r="CE960" t="b">
        <v>0</v>
      </c>
      <c r="CF960" t="b">
        <v>0</v>
      </c>
    </row>
    <row r="961" spans="1:84" x14ac:dyDescent="0.3">
      <c r="A961" t="s">
        <v>3143</v>
      </c>
      <c r="B961" t="s">
        <v>1191</v>
      </c>
      <c r="C961" s="98">
        <v>45726</v>
      </c>
      <c r="D961">
        <v>2025</v>
      </c>
      <c r="E961">
        <v>3</v>
      </c>
      <c r="F961">
        <v>1</v>
      </c>
      <c r="G961" t="s">
        <v>1187</v>
      </c>
      <c r="H961" t="s">
        <v>142</v>
      </c>
      <c r="I961" t="s">
        <v>142</v>
      </c>
      <c r="J961" t="s">
        <v>6</v>
      </c>
      <c r="L961">
        <v>522611</v>
      </c>
      <c r="M961" s="99" t="s">
        <v>180</v>
      </c>
      <c r="N961">
        <v>3</v>
      </c>
      <c r="O961">
        <v>10</v>
      </c>
      <c r="P961">
        <v>0.78480000000000005</v>
      </c>
      <c r="Q961" t="s">
        <v>352</v>
      </c>
      <c r="R961">
        <v>1</v>
      </c>
      <c r="S961">
        <v>0.79169999999999996</v>
      </c>
      <c r="T961">
        <v>2.1700000000000001E-2</v>
      </c>
      <c r="U961">
        <v>-0.31797235023041043</v>
      </c>
      <c r="V961">
        <v>0.72659999999999991</v>
      </c>
      <c r="W961">
        <v>0.74829999999999997</v>
      </c>
      <c r="X961">
        <v>0.76999999999999991</v>
      </c>
      <c r="Y961">
        <v>0.81340000000000001</v>
      </c>
      <c r="Z961">
        <v>0.83509999999999995</v>
      </c>
      <c r="AA961">
        <v>0.85680000000000001</v>
      </c>
      <c r="AD961">
        <v>26.2487335922151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 t="s">
        <v>462</v>
      </c>
      <c r="AL961" t="s">
        <v>6</v>
      </c>
      <c r="AM961" t="s">
        <v>1145</v>
      </c>
      <c r="AN961" t="s">
        <v>1146</v>
      </c>
      <c r="AO961" s="100">
        <v>46262.040405092594</v>
      </c>
      <c r="AP961" t="s">
        <v>1147</v>
      </c>
      <c r="AQ961" t="s">
        <v>3144</v>
      </c>
      <c r="AR961" t="s">
        <v>1193</v>
      </c>
      <c r="AS961" t="s">
        <v>1150</v>
      </c>
      <c r="AT961" t="s">
        <v>3026</v>
      </c>
      <c r="AU961">
        <v>25</v>
      </c>
      <c r="AV961">
        <v>0.7983880000000001</v>
      </c>
      <c r="AW961">
        <v>2.3986842226520755E-2</v>
      </c>
      <c r="AX961">
        <v>3.0044091627780918</v>
      </c>
      <c r="AY961">
        <v>-0.93762681339590548</v>
      </c>
      <c r="AZ961">
        <v>5.8949019319797564</v>
      </c>
      <c r="BA961">
        <v>8.4246537030977269</v>
      </c>
      <c r="BB961" t="s">
        <v>4619</v>
      </c>
      <c r="BD961" s="98"/>
      <c r="BE961" s="98"/>
      <c r="BF961" t="s">
        <v>1152</v>
      </c>
      <c r="BG961" t="s">
        <v>322</v>
      </c>
      <c r="BH961" t="s">
        <v>1153</v>
      </c>
      <c r="BI961">
        <v>0.93762681339590548</v>
      </c>
      <c r="BJ961" t="s">
        <v>983</v>
      </c>
      <c r="BK961">
        <v>20.353831660235343</v>
      </c>
      <c r="BL961">
        <v>77.542147276285831</v>
      </c>
      <c r="BM961" t="s">
        <v>1260</v>
      </c>
      <c r="BN961" t="s">
        <v>1154</v>
      </c>
      <c r="BO961">
        <v>2025</v>
      </c>
      <c r="BP961" t="s">
        <v>966</v>
      </c>
      <c r="BQ961">
        <v>0.14803686998465793</v>
      </c>
      <c r="BR961">
        <v>99.999985196313006</v>
      </c>
      <c r="BS961" t="s">
        <v>984</v>
      </c>
      <c r="BT961">
        <v>3</v>
      </c>
      <c r="BU961">
        <v>1</v>
      </c>
      <c r="BV961" t="s">
        <v>985</v>
      </c>
      <c r="BW961" t="s">
        <v>943</v>
      </c>
      <c r="BX961" t="s">
        <v>986</v>
      </c>
      <c r="BY961">
        <v>6.6259292759988391</v>
      </c>
      <c r="BZ961" t="s">
        <v>1155</v>
      </c>
      <c r="CA961" t="s">
        <v>983</v>
      </c>
      <c r="CB961" t="b">
        <v>1</v>
      </c>
      <c r="CC961" t="b">
        <v>0</v>
      </c>
      <c r="CD961" t="b">
        <v>0</v>
      </c>
      <c r="CE961" t="b">
        <v>0</v>
      </c>
      <c r="CF961" t="b">
        <v>0</v>
      </c>
    </row>
    <row r="962" spans="1:84" x14ac:dyDescent="0.3">
      <c r="A962" t="s">
        <v>3145</v>
      </c>
      <c r="B962" t="s">
        <v>1195</v>
      </c>
      <c r="C962" s="98">
        <v>45733</v>
      </c>
      <c r="D962">
        <v>2025</v>
      </c>
      <c r="E962">
        <v>3</v>
      </c>
      <c r="F962">
        <v>1</v>
      </c>
      <c r="G962" t="s">
        <v>1187</v>
      </c>
      <c r="H962" t="s">
        <v>142</v>
      </c>
      <c r="I962" t="s">
        <v>142</v>
      </c>
      <c r="J962" t="s">
        <v>6</v>
      </c>
      <c r="L962">
        <v>522611</v>
      </c>
      <c r="M962" s="99" t="s">
        <v>180</v>
      </c>
      <c r="N962">
        <v>3</v>
      </c>
      <c r="O962">
        <v>11</v>
      </c>
      <c r="P962">
        <v>0.83199999999999996</v>
      </c>
      <c r="Q962" t="s">
        <v>352</v>
      </c>
      <c r="R962">
        <v>1</v>
      </c>
      <c r="S962">
        <v>0.79169999999999996</v>
      </c>
      <c r="T962">
        <v>2.1700000000000001E-2</v>
      </c>
      <c r="U962">
        <v>1.8571428571428572</v>
      </c>
      <c r="V962">
        <v>0.72659999999999991</v>
      </c>
      <c r="W962">
        <v>0.74829999999999997</v>
      </c>
      <c r="X962">
        <v>0.76999999999999991</v>
      </c>
      <c r="Y962">
        <v>0.81340000000000001</v>
      </c>
      <c r="Z962">
        <v>0.83509999999999995</v>
      </c>
      <c r="AA962">
        <v>0.85680000000000001</v>
      </c>
      <c r="AD962">
        <v>26.2487335922151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 t="s">
        <v>462</v>
      </c>
      <c r="AL962" t="s">
        <v>6</v>
      </c>
      <c r="AM962" t="s">
        <v>1145</v>
      </c>
      <c r="AN962" t="s">
        <v>1146</v>
      </c>
      <c r="AO962" s="100">
        <v>46262.040405092594</v>
      </c>
      <c r="AP962" t="s">
        <v>1147</v>
      </c>
      <c r="AQ962" t="s">
        <v>3146</v>
      </c>
      <c r="AR962" t="s">
        <v>1197</v>
      </c>
      <c r="AS962" t="s">
        <v>1150</v>
      </c>
      <c r="AT962" t="s">
        <v>3026</v>
      </c>
      <c r="AU962">
        <v>25</v>
      </c>
      <c r="AV962">
        <v>0.7983880000000001</v>
      </c>
      <c r="AW962">
        <v>2.3986842226520755E-2</v>
      </c>
      <c r="AX962">
        <v>3.0044091627780918</v>
      </c>
      <c r="AY962">
        <v>-0.93762681339590548</v>
      </c>
      <c r="AZ962">
        <v>5.8949019319797564</v>
      </c>
      <c r="BA962">
        <v>8.4246537030977269</v>
      </c>
      <c r="BB962" t="s">
        <v>4619</v>
      </c>
      <c r="BD962" s="98"/>
      <c r="BE962" s="98"/>
      <c r="BF962" t="s">
        <v>1152</v>
      </c>
      <c r="BG962" t="s">
        <v>322</v>
      </c>
      <c r="BH962" t="s">
        <v>1153</v>
      </c>
      <c r="BI962">
        <v>0.93762681339590548</v>
      </c>
      <c r="BJ962" t="s">
        <v>983</v>
      </c>
      <c r="BK962">
        <v>20.353831660235343</v>
      </c>
      <c r="BL962">
        <v>77.542147276285831</v>
      </c>
      <c r="BM962" t="s">
        <v>1260</v>
      </c>
      <c r="BN962" t="s">
        <v>1154</v>
      </c>
      <c r="BO962">
        <v>2025</v>
      </c>
      <c r="BP962" t="s">
        <v>966</v>
      </c>
      <c r="BQ962">
        <v>0.14803686998465793</v>
      </c>
      <c r="BR962">
        <v>99.999985196313006</v>
      </c>
      <c r="BS962" t="s">
        <v>984</v>
      </c>
      <c r="BT962">
        <v>3</v>
      </c>
      <c r="BU962">
        <v>1</v>
      </c>
      <c r="BV962" t="s">
        <v>985</v>
      </c>
      <c r="BW962" t="s">
        <v>943</v>
      </c>
      <c r="BX962" t="s">
        <v>986</v>
      </c>
      <c r="BY962">
        <v>6.6259292759988391</v>
      </c>
      <c r="BZ962" t="s">
        <v>1155</v>
      </c>
      <c r="CA962" t="s">
        <v>983</v>
      </c>
      <c r="CB962" t="b">
        <v>1</v>
      </c>
      <c r="CC962" t="b">
        <v>0</v>
      </c>
      <c r="CD962" t="b">
        <v>0</v>
      </c>
      <c r="CE962" t="b">
        <v>0</v>
      </c>
      <c r="CF962" t="b">
        <v>0</v>
      </c>
    </row>
    <row r="963" spans="1:84" x14ac:dyDescent="0.3">
      <c r="A963" t="s">
        <v>3147</v>
      </c>
      <c r="B963" t="s">
        <v>1199</v>
      </c>
      <c r="C963" s="98">
        <v>45740</v>
      </c>
      <c r="D963">
        <v>2025</v>
      </c>
      <c r="E963">
        <v>3</v>
      </c>
      <c r="F963">
        <v>1</v>
      </c>
      <c r="G963" t="s">
        <v>1187</v>
      </c>
      <c r="H963" t="s">
        <v>142</v>
      </c>
      <c r="I963" t="s">
        <v>142</v>
      </c>
      <c r="J963" t="s">
        <v>6</v>
      </c>
      <c r="L963">
        <v>522611</v>
      </c>
      <c r="M963" s="99" t="s">
        <v>180</v>
      </c>
      <c r="N963">
        <v>3</v>
      </c>
      <c r="O963">
        <v>12</v>
      </c>
      <c r="P963">
        <v>0.82869999999999999</v>
      </c>
      <c r="Q963" t="s">
        <v>352</v>
      </c>
      <c r="R963">
        <v>1</v>
      </c>
      <c r="S963">
        <v>0.79169999999999996</v>
      </c>
      <c r="T963">
        <v>2.1700000000000001E-2</v>
      </c>
      <c r="U963">
        <v>1.7050691244239646</v>
      </c>
      <c r="V963">
        <v>0.72659999999999991</v>
      </c>
      <c r="W963">
        <v>0.74829999999999997</v>
      </c>
      <c r="X963">
        <v>0.76999999999999991</v>
      </c>
      <c r="Y963">
        <v>0.81340000000000001</v>
      </c>
      <c r="Z963">
        <v>0.83509999999999995</v>
      </c>
      <c r="AA963">
        <v>0.85680000000000001</v>
      </c>
      <c r="AD963">
        <v>26.2487335922151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 t="s">
        <v>462</v>
      </c>
      <c r="AL963" t="s">
        <v>6</v>
      </c>
      <c r="AM963" t="s">
        <v>1145</v>
      </c>
      <c r="AN963" t="s">
        <v>1146</v>
      </c>
      <c r="AO963" s="100">
        <v>46262.040405092594</v>
      </c>
      <c r="AP963" t="s">
        <v>1147</v>
      </c>
      <c r="AQ963" t="s">
        <v>3148</v>
      </c>
      <c r="AR963" t="s">
        <v>1201</v>
      </c>
      <c r="AS963" t="s">
        <v>1150</v>
      </c>
      <c r="AT963" t="s">
        <v>3026</v>
      </c>
      <c r="AU963">
        <v>25</v>
      </c>
      <c r="AV963">
        <v>0.7983880000000001</v>
      </c>
      <c r="AW963">
        <v>2.3986842226520755E-2</v>
      </c>
      <c r="AX963">
        <v>3.0044091627780918</v>
      </c>
      <c r="AY963">
        <v>-0.93762681339590548</v>
      </c>
      <c r="AZ963">
        <v>5.8949019319797564</v>
      </c>
      <c r="BA963">
        <v>8.4246537030977269</v>
      </c>
      <c r="BB963" t="s">
        <v>4619</v>
      </c>
      <c r="BD963" s="98"/>
      <c r="BE963" s="98"/>
      <c r="BF963" t="s">
        <v>1152</v>
      </c>
      <c r="BG963" t="s">
        <v>322</v>
      </c>
      <c r="BH963" t="s">
        <v>1153</v>
      </c>
      <c r="BI963">
        <v>0.93762681339590548</v>
      </c>
      <c r="BJ963" t="s">
        <v>983</v>
      </c>
      <c r="BK963">
        <v>20.353831660235343</v>
      </c>
      <c r="BL963">
        <v>77.542147276285831</v>
      </c>
      <c r="BM963" t="s">
        <v>1260</v>
      </c>
      <c r="BN963" t="s">
        <v>1154</v>
      </c>
      <c r="BO963">
        <v>2025</v>
      </c>
      <c r="BP963" t="s">
        <v>966</v>
      </c>
      <c r="BQ963">
        <v>0.14803686998465793</v>
      </c>
      <c r="BR963">
        <v>99.999985196313006</v>
      </c>
      <c r="BS963" t="s">
        <v>984</v>
      </c>
      <c r="BT963">
        <v>3</v>
      </c>
      <c r="BU963">
        <v>1</v>
      </c>
      <c r="BV963" t="s">
        <v>985</v>
      </c>
      <c r="BW963" t="s">
        <v>943</v>
      </c>
      <c r="BX963" t="s">
        <v>986</v>
      </c>
      <c r="BY963">
        <v>6.6259292759988391</v>
      </c>
      <c r="BZ963" t="s">
        <v>1155</v>
      </c>
      <c r="CA963" t="s">
        <v>983</v>
      </c>
      <c r="CB963" t="b">
        <v>1</v>
      </c>
      <c r="CC963" t="b">
        <v>0</v>
      </c>
      <c r="CD963" t="b">
        <v>0</v>
      </c>
      <c r="CE963" t="b">
        <v>0</v>
      </c>
      <c r="CF963" t="b">
        <v>0</v>
      </c>
    </row>
    <row r="964" spans="1:84" x14ac:dyDescent="0.3">
      <c r="A964" t="s">
        <v>3149</v>
      </c>
      <c r="B964" t="s">
        <v>1203</v>
      </c>
      <c r="C964" s="98">
        <v>45747</v>
      </c>
      <c r="D964">
        <v>2025</v>
      </c>
      <c r="E964">
        <v>3</v>
      </c>
      <c r="F964">
        <v>1</v>
      </c>
      <c r="G964" t="s">
        <v>1187</v>
      </c>
      <c r="H964" t="s">
        <v>142</v>
      </c>
      <c r="I964" t="s">
        <v>142</v>
      </c>
      <c r="J964" t="s">
        <v>6</v>
      </c>
      <c r="L964">
        <v>522611</v>
      </c>
      <c r="M964" s="99" t="s">
        <v>180</v>
      </c>
      <c r="N964">
        <v>3</v>
      </c>
      <c r="O964">
        <v>13</v>
      </c>
      <c r="P964">
        <v>0.74929999999999997</v>
      </c>
      <c r="Q964" t="s">
        <v>352</v>
      </c>
      <c r="R964">
        <v>1</v>
      </c>
      <c r="S964">
        <v>0.79169999999999996</v>
      </c>
      <c r="T964">
        <v>2.1700000000000001E-2</v>
      </c>
      <c r="U964">
        <v>-1.9539170506912438</v>
      </c>
      <c r="V964">
        <v>0.72659999999999991</v>
      </c>
      <c r="W964">
        <v>0.74829999999999997</v>
      </c>
      <c r="X964">
        <v>0.76999999999999991</v>
      </c>
      <c r="Y964">
        <v>0.81340000000000001</v>
      </c>
      <c r="Z964">
        <v>0.83509999999999995</v>
      </c>
      <c r="AA964">
        <v>0.85680000000000001</v>
      </c>
      <c r="AD964">
        <v>26.2487335922151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 t="s">
        <v>462</v>
      </c>
      <c r="AL964" t="s">
        <v>6</v>
      </c>
      <c r="AM964" t="s">
        <v>1145</v>
      </c>
      <c r="AN964" t="s">
        <v>1146</v>
      </c>
      <c r="AO964" s="100">
        <v>46262.040405092594</v>
      </c>
      <c r="AP964" t="s">
        <v>1147</v>
      </c>
      <c r="AQ964" t="s">
        <v>3150</v>
      </c>
      <c r="AR964" t="s">
        <v>1205</v>
      </c>
      <c r="AS964" t="s">
        <v>1150</v>
      </c>
      <c r="AT964" t="s">
        <v>3026</v>
      </c>
      <c r="AU964">
        <v>25</v>
      </c>
      <c r="AV964">
        <v>0.7983880000000001</v>
      </c>
      <c r="AW964">
        <v>2.3986842226520755E-2</v>
      </c>
      <c r="AX964">
        <v>3.0044091627780918</v>
      </c>
      <c r="AY964">
        <v>-0.93762681339590548</v>
      </c>
      <c r="AZ964">
        <v>5.8949019319797564</v>
      </c>
      <c r="BA964">
        <v>8.4246537030977269</v>
      </c>
      <c r="BB964" t="s">
        <v>4619</v>
      </c>
      <c r="BD964" s="98"/>
      <c r="BE964" s="98"/>
      <c r="BF964" t="s">
        <v>1152</v>
      </c>
      <c r="BG964" t="s">
        <v>322</v>
      </c>
      <c r="BH964" t="s">
        <v>1153</v>
      </c>
      <c r="BI964">
        <v>0.93762681339590548</v>
      </c>
      <c r="BJ964" t="s">
        <v>983</v>
      </c>
      <c r="BK964">
        <v>20.353831660235343</v>
      </c>
      <c r="BL964">
        <v>77.542147276285831</v>
      </c>
      <c r="BM964" t="s">
        <v>1260</v>
      </c>
      <c r="BN964" t="s">
        <v>1154</v>
      </c>
      <c r="BO964">
        <v>2025</v>
      </c>
      <c r="BP964" t="s">
        <v>966</v>
      </c>
      <c r="BQ964">
        <v>0.14803686998465793</v>
      </c>
      <c r="BR964">
        <v>99.999985196313006</v>
      </c>
      <c r="BS964" t="s">
        <v>984</v>
      </c>
      <c r="BT964">
        <v>3</v>
      </c>
      <c r="BU964">
        <v>1</v>
      </c>
      <c r="BV964" t="s">
        <v>985</v>
      </c>
      <c r="BW964" t="s">
        <v>943</v>
      </c>
      <c r="BX964" t="s">
        <v>986</v>
      </c>
      <c r="BY964">
        <v>6.6259292759988391</v>
      </c>
      <c r="BZ964" t="s">
        <v>1155</v>
      </c>
      <c r="CA964" t="s">
        <v>983</v>
      </c>
      <c r="CB964" t="b">
        <v>1</v>
      </c>
      <c r="CC964" t="b">
        <v>0</v>
      </c>
      <c r="CD964" t="b">
        <v>0</v>
      </c>
      <c r="CE964" t="b">
        <v>0</v>
      </c>
      <c r="CF964" t="b">
        <v>0</v>
      </c>
    </row>
    <row r="965" spans="1:84" x14ac:dyDescent="0.3">
      <c r="A965" t="s">
        <v>3151</v>
      </c>
      <c r="B965" t="s">
        <v>1207</v>
      </c>
      <c r="C965" s="98">
        <v>45754</v>
      </c>
      <c r="D965">
        <v>2025</v>
      </c>
      <c r="E965">
        <v>4</v>
      </c>
      <c r="F965">
        <v>2</v>
      </c>
      <c r="G965" t="s">
        <v>1208</v>
      </c>
      <c r="H965" t="s">
        <v>142</v>
      </c>
      <c r="I965" t="s">
        <v>142</v>
      </c>
      <c r="J965" t="s">
        <v>6</v>
      </c>
      <c r="L965">
        <v>522611</v>
      </c>
      <c r="M965" s="99" t="s">
        <v>180</v>
      </c>
      <c r="N965">
        <v>3</v>
      </c>
      <c r="O965">
        <v>14</v>
      </c>
      <c r="P965">
        <v>0.77070000000000005</v>
      </c>
      <c r="Q965" t="s">
        <v>352</v>
      </c>
      <c r="R965">
        <v>1</v>
      </c>
      <c r="S965">
        <v>0.79169999999999996</v>
      </c>
      <c r="T965">
        <v>2.1700000000000001E-2</v>
      </c>
      <c r="U965">
        <v>-0.96774193548386667</v>
      </c>
      <c r="V965">
        <v>0.72659999999999991</v>
      </c>
      <c r="W965">
        <v>0.74829999999999997</v>
      </c>
      <c r="X965">
        <v>0.76999999999999991</v>
      </c>
      <c r="Y965">
        <v>0.81340000000000001</v>
      </c>
      <c r="Z965">
        <v>0.83509999999999995</v>
      </c>
      <c r="AA965">
        <v>0.85680000000000001</v>
      </c>
      <c r="AD965">
        <v>26.2487335922151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 t="s">
        <v>462</v>
      </c>
      <c r="AL965" t="s">
        <v>6</v>
      </c>
      <c r="AM965" t="s">
        <v>1145</v>
      </c>
      <c r="AN965" t="s">
        <v>1146</v>
      </c>
      <c r="AO965" s="100">
        <v>46262.040405092594</v>
      </c>
      <c r="AP965" t="s">
        <v>1147</v>
      </c>
      <c r="AQ965" t="s">
        <v>3152</v>
      </c>
      <c r="AR965" t="s">
        <v>1210</v>
      </c>
      <c r="AS965" t="s">
        <v>1150</v>
      </c>
      <c r="AT965" t="s">
        <v>3026</v>
      </c>
      <c r="AU965">
        <v>25</v>
      </c>
      <c r="AV965">
        <v>0.7983880000000001</v>
      </c>
      <c r="AW965">
        <v>2.3986842226520755E-2</v>
      </c>
      <c r="AX965">
        <v>3.0044091627780918</v>
      </c>
      <c r="AY965">
        <v>-0.93762681339590548</v>
      </c>
      <c r="AZ965">
        <v>5.8949019319797564</v>
      </c>
      <c r="BA965">
        <v>8.4246537030977269</v>
      </c>
      <c r="BB965" t="s">
        <v>4619</v>
      </c>
      <c r="BD965" s="98"/>
      <c r="BE965" s="98"/>
      <c r="BF965" t="s">
        <v>1152</v>
      </c>
      <c r="BG965" t="s">
        <v>322</v>
      </c>
      <c r="BH965" t="s">
        <v>1153</v>
      </c>
      <c r="BI965">
        <v>0.93762681339590548</v>
      </c>
      <c r="BJ965" t="s">
        <v>983</v>
      </c>
      <c r="BK965">
        <v>20.353831660235343</v>
      </c>
      <c r="BL965">
        <v>77.542147276285831</v>
      </c>
      <c r="BM965" t="s">
        <v>1260</v>
      </c>
      <c r="BN965" t="s">
        <v>1154</v>
      </c>
      <c r="BO965">
        <v>2025</v>
      </c>
      <c r="BP965" t="s">
        <v>966</v>
      </c>
      <c r="BQ965">
        <v>0.14803686998465793</v>
      </c>
      <c r="BR965">
        <v>99.999985196313006</v>
      </c>
      <c r="BS965" t="s">
        <v>984</v>
      </c>
      <c r="BT965">
        <v>3</v>
      </c>
      <c r="BU965">
        <v>1</v>
      </c>
      <c r="BV965" t="s">
        <v>985</v>
      </c>
      <c r="BW965" t="s">
        <v>943</v>
      </c>
      <c r="BX965" t="s">
        <v>986</v>
      </c>
      <c r="BY965">
        <v>6.6259292759988391</v>
      </c>
      <c r="BZ965" t="s">
        <v>1155</v>
      </c>
      <c r="CA965" t="s">
        <v>983</v>
      </c>
      <c r="CB965" t="b">
        <v>1</v>
      </c>
      <c r="CC965" t="b">
        <v>0</v>
      </c>
      <c r="CD965" t="b">
        <v>0</v>
      </c>
      <c r="CE965" t="b">
        <v>0</v>
      </c>
      <c r="CF965" t="b">
        <v>0</v>
      </c>
    </row>
    <row r="966" spans="1:84" x14ac:dyDescent="0.3">
      <c r="A966" t="s">
        <v>3153</v>
      </c>
      <c r="B966" t="s">
        <v>1212</v>
      </c>
      <c r="C966" s="98">
        <v>45761</v>
      </c>
      <c r="D966">
        <v>2025</v>
      </c>
      <c r="E966">
        <v>4</v>
      </c>
      <c r="F966">
        <v>2</v>
      </c>
      <c r="G966" t="s">
        <v>1208</v>
      </c>
      <c r="H966" t="s">
        <v>142</v>
      </c>
      <c r="I966" t="s">
        <v>142</v>
      </c>
      <c r="J966" t="s">
        <v>6</v>
      </c>
      <c r="L966">
        <v>522611</v>
      </c>
      <c r="M966" s="99" t="s">
        <v>180</v>
      </c>
      <c r="N966">
        <v>3</v>
      </c>
      <c r="O966">
        <v>15</v>
      </c>
      <c r="P966">
        <v>0.80620000000000003</v>
      </c>
      <c r="Q966" t="s">
        <v>352</v>
      </c>
      <c r="R966">
        <v>1</v>
      </c>
      <c r="S966">
        <v>0.79169999999999996</v>
      </c>
      <c r="T966">
        <v>2.1700000000000001E-2</v>
      </c>
      <c r="U966">
        <v>0.66820276497696163</v>
      </c>
      <c r="V966">
        <v>0.72659999999999991</v>
      </c>
      <c r="W966">
        <v>0.74829999999999997</v>
      </c>
      <c r="X966">
        <v>0.76999999999999991</v>
      </c>
      <c r="Y966">
        <v>0.81340000000000001</v>
      </c>
      <c r="Z966">
        <v>0.83509999999999995</v>
      </c>
      <c r="AA966">
        <v>0.85680000000000001</v>
      </c>
      <c r="AD966">
        <v>26.2487335922151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 t="s">
        <v>462</v>
      </c>
      <c r="AL966" t="s">
        <v>6</v>
      </c>
      <c r="AM966" t="s">
        <v>1145</v>
      </c>
      <c r="AN966" t="s">
        <v>1146</v>
      </c>
      <c r="AO966" s="100">
        <v>46262.040405092594</v>
      </c>
      <c r="AP966" t="s">
        <v>1147</v>
      </c>
      <c r="AQ966" t="s">
        <v>3154</v>
      </c>
      <c r="AR966" t="s">
        <v>1215</v>
      </c>
      <c r="AS966" t="s">
        <v>1150</v>
      </c>
      <c r="AT966" t="s">
        <v>3026</v>
      </c>
      <c r="AU966">
        <v>25</v>
      </c>
      <c r="AV966">
        <v>0.7983880000000001</v>
      </c>
      <c r="AW966">
        <v>2.3986842226520755E-2</v>
      </c>
      <c r="AX966">
        <v>3.0044091627780918</v>
      </c>
      <c r="AY966">
        <v>-0.93762681339590548</v>
      </c>
      <c r="AZ966">
        <v>5.8949019319797564</v>
      </c>
      <c r="BA966">
        <v>8.4246537030977269</v>
      </c>
      <c r="BB966" t="s">
        <v>4619</v>
      </c>
      <c r="BD966" s="98"/>
      <c r="BE966" s="98"/>
      <c r="BF966" t="s">
        <v>1152</v>
      </c>
      <c r="BG966" t="s">
        <v>322</v>
      </c>
      <c r="BH966" t="s">
        <v>1153</v>
      </c>
      <c r="BI966">
        <v>0.93762681339590548</v>
      </c>
      <c r="BJ966" t="s">
        <v>983</v>
      </c>
      <c r="BK966">
        <v>20.353831660235343</v>
      </c>
      <c r="BL966">
        <v>77.542147276285831</v>
      </c>
      <c r="BM966" t="s">
        <v>1260</v>
      </c>
      <c r="BN966" t="s">
        <v>1154</v>
      </c>
      <c r="BO966">
        <v>2025</v>
      </c>
      <c r="BP966" t="s">
        <v>966</v>
      </c>
      <c r="BQ966">
        <v>0.14803686998465793</v>
      </c>
      <c r="BR966">
        <v>99.999985196313006</v>
      </c>
      <c r="BS966" t="s">
        <v>984</v>
      </c>
      <c r="BT966">
        <v>3</v>
      </c>
      <c r="BU966">
        <v>1</v>
      </c>
      <c r="BV966" t="s">
        <v>985</v>
      </c>
      <c r="BW966" t="s">
        <v>943</v>
      </c>
      <c r="BX966" t="s">
        <v>986</v>
      </c>
      <c r="BY966">
        <v>6.6259292759988391</v>
      </c>
      <c r="BZ966" t="s">
        <v>1155</v>
      </c>
      <c r="CA966" t="s">
        <v>983</v>
      </c>
      <c r="CB966" t="b">
        <v>1</v>
      </c>
      <c r="CC966" t="b">
        <v>0</v>
      </c>
      <c r="CD966" t="b">
        <v>0</v>
      </c>
      <c r="CE966" t="b">
        <v>0</v>
      </c>
      <c r="CF966" t="b">
        <v>0</v>
      </c>
    </row>
    <row r="967" spans="1:84" x14ac:dyDescent="0.3">
      <c r="A967" t="s">
        <v>3155</v>
      </c>
      <c r="B967" t="s">
        <v>1217</v>
      </c>
      <c r="C967" s="98">
        <v>45768</v>
      </c>
      <c r="D967">
        <v>2025</v>
      </c>
      <c r="E967">
        <v>4</v>
      </c>
      <c r="F967">
        <v>2</v>
      </c>
      <c r="G967" t="s">
        <v>1208</v>
      </c>
      <c r="H967" t="s">
        <v>142</v>
      </c>
      <c r="I967" t="s">
        <v>142</v>
      </c>
      <c r="J967" t="s">
        <v>6</v>
      </c>
      <c r="L967">
        <v>522611</v>
      </c>
      <c r="M967" s="99" t="s">
        <v>180</v>
      </c>
      <c r="N967">
        <v>3</v>
      </c>
      <c r="O967">
        <v>16</v>
      </c>
      <c r="P967">
        <v>0.80889999999999995</v>
      </c>
      <c r="Q967" t="s">
        <v>352</v>
      </c>
      <c r="R967">
        <v>1</v>
      </c>
      <c r="S967">
        <v>0.79169999999999996</v>
      </c>
      <c r="T967">
        <v>2.1700000000000001E-2</v>
      </c>
      <c r="U967">
        <v>0.79262672811059875</v>
      </c>
      <c r="V967">
        <v>0.72659999999999991</v>
      </c>
      <c r="W967">
        <v>0.74829999999999997</v>
      </c>
      <c r="X967">
        <v>0.76999999999999991</v>
      </c>
      <c r="Y967">
        <v>0.81340000000000001</v>
      </c>
      <c r="Z967">
        <v>0.83509999999999995</v>
      </c>
      <c r="AA967">
        <v>0.85680000000000001</v>
      </c>
      <c r="AD967">
        <v>26.2487335922151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 t="s">
        <v>462</v>
      </c>
      <c r="AL967" t="s">
        <v>6</v>
      </c>
      <c r="AM967" t="s">
        <v>1145</v>
      </c>
      <c r="AN967" t="s">
        <v>1146</v>
      </c>
      <c r="AO967" s="100">
        <v>46262.040405092594</v>
      </c>
      <c r="AP967" t="s">
        <v>1147</v>
      </c>
      <c r="AQ967" t="s">
        <v>3156</v>
      </c>
      <c r="AR967" t="s">
        <v>1219</v>
      </c>
      <c r="AS967" t="s">
        <v>1150</v>
      </c>
      <c r="AT967" t="s">
        <v>3026</v>
      </c>
      <c r="AU967">
        <v>25</v>
      </c>
      <c r="AV967">
        <v>0.7983880000000001</v>
      </c>
      <c r="AW967">
        <v>2.3986842226520755E-2</v>
      </c>
      <c r="AX967">
        <v>3.0044091627780918</v>
      </c>
      <c r="AY967">
        <v>-0.93762681339590548</v>
      </c>
      <c r="AZ967">
        <v>5.8949019319797564</v>
      </c>
      <c r="BA967">
        <v>8.4246537030977269</v>
      </c>
      <c r="BB967" t="s">
        <v>4619</v>
      </c>
      <c r="BD967" s="98"/>
      <c r="BE967" s="98"/>
      <c r="BF967" t="s">
        <v>1152</v>
      </c>
      <c r="BG967" t="s">
        <v>322</v>
      </c>
      <c r="BH967" t="s">
        <v>1153</v>
      </c>
      <c r="BI967">
        <v>0.93762681339590548</v>
      </c>
      <c r="BJ967" t="s">
        <v>983</v>
      </c>
      <c r="BK967">
        <v>20.353831660235343</v>
      </c>
      <c r="BL967">
        <v>77.542147276285831</v>
      </c>
      <c r="BM967" t="s">
        <v>1260</v>
      </c>
      <c r="BN967" t="s">
        <v>1154</v>
      </c>
      <c r="BO967">
        <v>2025</v>
      </c>
      <c r="BP967" t="s">
        <v>966</v>
      </c>
      <c r="BQ967">
        <v>0.14803686998465793</v>
      </c>
      <c r="BR967">
        <v>99.999985196313006</v>
      </c>
      <c r="BS967" t="s">
        <v>984</v>
      </c>
      <c r="BT967">
        <v>3</v>
      </c>
      <c r="BU967">
        <v>1</v>
      </c>
      <c r="BV967" t="s">
        <v>985</v>
      </c>
      <c r="BW967" t="s">
        <v>943</v>
      </c>
      <c r="BX967" t="s">
        <v>986</v>
      </c>
      <c r="BY967">
        <v>6.6259292759988391</v>
      </c>
      <c r="BZ967" t="s">
        <v>1155</v>
      </c>
      <c r="CA967" t="s">
        <v>983</v>
      </c>
      <c r="CB967" t="b">
        <v>1</v>
      </c>
      <c r="CC967" t="b">
        <v>0</v>
      </c>
      <c r="CD967" t="b">
        <v>0</v>
      </c>
      <c r="CE967" t="b">
        <v>0</v>
      </c>
      <c r="CF967" t="b">
        <v>0</v>
      </c>
    </row>
    <row r="968" spans="1:84" x14ac:dyDescent="0.3">
      <c r="A968" t="s">
        <v>3157</v>
      </c>
      <c r="B968" t="s">
        <v>1221</v>
      </c>
      <c r="C968" s="98">
        <v>45775</v>
      </c>
      <c r="D968">
        <v>2025</v>
      </c>
      <c r="E968">
        <v>4</v>
      </c>
      <c r="F968">
        <v>2</v>
      </c>
      <c r="G968" t="s">
        <v>1208</v>
      </c>
      <c r="H968" t="s">
        <v>142</v>
      </c>
      <c r="I968" t="s">
        <v>142</v>
      </c>
      <c r="J968" t="s">
        <v>6</v>
      </c>
      <c r="L968">
        <v>522611</v>
      </c>
      <c r="M968" s="99" t="s">
        <v>180</v>
      </c>
      <c r="N968">
        <v>3</v>
      </c>
      <c r="O968">
        <v>17</v>
      </c>
      <c r="P968">
        <v>0.80769999999999997</v>
      </c>
      <c r="Q968" t="s">
        <v>352</v>
      </c>
      <c r="R968">
        <v>1</v>
      </c>
      <c r="S968">
        <v>0.79169999999999996</v>
      </c>
      <c r="T968">
        <v>2.1700000000000001E-2</v>
      </c>
      <c r="U968">
        <v>0.73732718894009275</v>
      </c>
      <c r="V968">
        <v>0.72659999999999991</v>
      </c>
      <c r="W968">
        <v>0.74829999999999997</v>
      </c>
      <c r="X968">
        <v>0.76999999999999991</v>
      </c>
      <c r="Y968">
        <v>0.81340000000000001</v>
      </c>
      <c r="Z968">
        <v>0.83509999999999995</v>
      </c>
      <c r="AA968">
        <v>0.85680000000000001</v>
      </c>
      <c r="AD968">
        <v>26.2487335922151</v>
      </c>
      <c r="AE968">
        <v>0</v>
      </c>
      <c r="AF968">
        <v>0</v>
      </c>
      <c r="AG968">
        <v>0</v>
      </c>
      <c r="AH968">
        <v>0</v>
      </c>
      <c r="AI968">
        <v>1</v>
      </c>
      <c r="AJ968">
        <v>0</v>
      </c>
      <c r="AK968" t="s">
        <v>1213</v>
      </c>
      <c r="AL968" t="s">
        <v>6</v>
      </c>
      <c r="AM968" t="s">
        <v>1145</v>
      </c>
      <c r="AN968" t="s">
        <v>1146</v>
      </c>
      <c r="AO968" s="100">
        <v>46262.040405092594</v>
      </c>
      <c r="AP968" t="s">
        <v>1147</v>
      </c>
      <c r="AQ968" t="s">
        <v>3158</v>
      </c>
      <c r="AR968" t="s">
        <v>1223</v>
      </c>
      <c r="AS968" t="s">
        <v>1150</v>
      </c>
      <c r="AT968" t="s">
        <v>3026</v>
      </c>
      <c r="AU968">
        <v>25</v>
      </c>
      <c r="AV968">
        <v>0.7983880000000001</v>
      </c>
      <c r="AW968">
        <v>2.3986842226520755E-2</v>
      </c>
      <c r="AX968">
        <v>3.0044091627780918</v>
      </c>
      <c r="AY968">
        <v>-0.93762681339590548</v>
      </c>
      <c r="AZ968">
        <v>5.8949019319797564</v>
      </c>
      <c r="BA968">
        <v>8.4246537030977269</v>
      </c>
      <c r="BB968" t="s">
        <v>4619</v>
      </c>
      <c r="BD968" s="98"/>
      <c r="BE968" s="98"/>
      <c r="BF968" t="s">
        <v>1152</v>
      </c>
      <c r="BG968" t="s">
        <v>322</v>
      </c>
      <c r="BH968" t="s">
        <v>1153</v>
      </c>
      <c r="BI968">
        <v>0.93762681339590548</v>
      </c>
      <c r="BJ968" t="s">
        <v>983</v>
      </c>
      <c r="BK968">
        <v>20.353831660235343</v>
      </c>
      <c r="BL968">
        <v>77.542147276285831</v>
      </c>
      <c r="BM968" t="s">
        <v>1260</v>
      </c>
      <c r="BN968" t="s">
        <v>1154</v>
      </c>
      <c r="BO968">
        <v>2025</v>
      </c>
      <c r="BP968" t="s">
        <v>966</v>
      </c>
      <c r="BQ968">
        <v>0.14803686998465793</v>
      </c>
      <c r="BR968">
        <v>99.999985196313006</v>
      </c>
      <c r="BS968" t="s">
        <v>984</v>
      </c>
      <c r="BT968">
        <v>3</v>
      </c>
      <c r="BU968">
        <v>1</v>
      </c>
      <c r="BV968" t="s">
        <v>985</v>
      </c>
      <c r="BW968" t="s">
        <v>943</v>
      </c>
      <c r="BX968" t="s">
        <v>986</v>
      </c>
      <c r="BY968">
        <v>6.6259292759988391</v>
      </c>
      <c r="BZ968" t="s">
        <v>1155</v>
      </c>
      <c r="CA968" t="s">
        <v>983</v>
      </c>
      <c r="CB968" t="b">
        <v>1</v>
      </c>
      <c r="CC968" t="b">
        <v>0</v>
      </c>
      <c r="CD968" t="b">
        <v>0</v>
      </c>
      <c r="CE968" t="b">
        <v>0</v>
      </c>
      <c r="CF968" t="b">
        <v>0</v>
      </c>
    </row>
    <row r="969" spans="1:84" x14ac:dyDescent="0.3">
      <c r="A969" t="s">
        <v>3159</v>
      </c>
      <c r="B969" t="s">
        <v>1225</v>
      </c>
      <c r="C969" s="98">
        <v>45782</v>
      </c>
      <c r="D969">
        <v>2025</v>
      </c>
      <c r="E969">
        <v>5</v>
      </c>
      <c r="F969">
        <v>2</v>
      </c>
      <c r="G969" t="s">
        <v>1226</v>
      </c>
      <c r="H969" t="s">
        <v>142</v>
      </c>
      <c r="I969" t="s">
        <v>142</v>
      </c>
      <c r="J969" t="s">
        <v>6</v>
      </c>
      <c r="L969">
        <v>522611</v>
      </c>
      <c r="M969" s="99" t="s">
        <v>180</v>
      </c>
      <c r="N969">
        <v>3</v>
      </c>
      <c r="O969">
        <v>18</v>
      </c>
      <c r="P969">
        <v>0.79020000000000001</v>
      </c>
      <c r="Q969" t="s">
        <v>352</v>
      </c>
      <c r="R969">
        <v>1</v>
      </c>
      <c r="S969">
        <v>0.79169999999999996</v>
      </c>
      <c r="T969">
        <v>2.1700000000000001E-2</v>
      </c>
      <c r="U969">
        <v>-6.9124423963131149E-2</v>
      </c>
      <c r="V969">
        <v>0.72659999999999991</v>
      </c>
      <c r="W969">
        <v>0.74829999999999997</v>
      </c>
      <c r="X969">
        <v>0.76999999999999991</v>
      </c>
      <c r="Y969">
        <v>0.81340000000000001</v>
      </c>
      <c r="Z969">
        <v>0.83509999999999995</v>
      </c>
      <c r="AA969">
        <v>0.85680000000000001</v>
      </c>
      <c r="AD969">
        <v>26.2487335922151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 t="s">
        <v>462</v>
      </c>
      <c r="AL969" t="s">
        <v>6</v>
      </c>
      <c r="AM969" t="s">
        <v>1145</v>
      </c>
      <c r="AN969" t="s">
        <v>1146</v>
      </c>
      <c r="AO969" s="100">
        <v>46262.040405092594</v>
      </c>
      <c r="AP969" t="s">
        <v>1147</v>
      </c>
      <c r="AQ969" t="s">
        <v>3160</v>
      </c>
      <c r="AR969" t="s">
        <v>1228</v>
      </c>
      <c r="AS969" t="s">
        <v>1150</v>
      </c>
      <c r="AT969" t="s">
        <v>3026</v>
      </c>
      <c r="AU969">
        <v>25</v>
      </c>
      <c r="AV969">
        <v>0.7983880000000001</v>
      </c>
      <c r="AW969">
        <v>2.3986842226520755E-2</v>
      </c>
      <c r="AX969">
        <v>3.0044091627780918</v>
      </c>
      <c r="AY969">
        <v>-0.93762681339590548</v>
      </c>
      <c r="AZ969">
        <v>5.8949019319797564</v>
      </c>
      <c r="BA969">
        <v>8.4246537030977269</v>
      </c>
      <c r="BB969" t="s">
        <v>4619</v>
      </c>
      <c r="BD969" s="98"/>
      <c r="BE969" s="98"/>
      <c r="BF969" t="s">
        <v>1152</v>
      </c>
      <c r="BG969" t="s">
        <v>322</v>
      </c>
      <c r="BH969" t="s">
        <v>1153</v>
      </c>
      <c r="BI969">
        <v>0.93762681339590548</v>
      </c>
      <c r="BJ969" t="s">
        <v>983</v>
      </c>
      <c r="BK969">
        <v>20.353831660235343</v>
      </c>
      <c r="BL969">
        <v>77.542147276285831</v>
      </c>
      <c r="BM969" t="s">
        <v>1260</v>
      </c>
      <c r="BN969" t="s">
        <v>1154</v>
      </c>
      <c r="BO969">
        <v>2025</v>
      </c>
      <c r="BP969" t="s">
        <v>966</v>
      </c>
      <c r="BQ969">
        <v>0.14803686998465793</v>
      </c>
      <c r="BR969">
        <v>99.999985196313006</v>
      </c>
      <c r="BS969" t="s">
        <v>984</v>
      </c>
      <c r="BT969">
        <v>3</v>
      </c>
      <c r="BU969">
        <v>1</v>
      </c>
      <c r="BV969" t="s">
        <v>985</v>
      </c>
      <c r="BW969" t="s">
        <v>943</v>
      </c>
      <c r="BX969" t="s">
        <v>986</v>
      </c>
      <c r="BY969">
        <v>6.6259292759988391</v>
      </c>
      <c r="BZ969" t="s">
        <v>1155</v>
      </c>
      <c r="CA969" t="s">
        <v>983</v>
      </c>
      <c r="CB969" t="b">
        <v>1</v>
      </c>
      <c r="CC969" t="b">
        <v>0</v>
      </c>
      <c r="CD969" t="b">
        <v>0</v>
      </c>
      <c r="CE969" t="b">
        <v>0</v>
      </c>
      <c r="CF969" t="b">
        <v>0</v>
      </c>
    </row>
    <row r="970" spans="1:84" x14ac:dyDescent="0.3">
      <c r="A970" t="s">
        <v>3161</v>
      </c>
      <c r="B970" t="s">
        <v>1230</v>
      </c>
      <c r="C970" s="98">
        <v>45789</v>
      </c>
      <c r="D970">
        <v>2025</v>
      </c>
      <c r="E970">
        <v>5</v>
      </c>
      <c r="F970">
        <v>2</v>
      </c>
      <c r="G970" t="s">
        <v>1226</v>
      </c>
      <c r="H970" t="s">
        <v>142</v>
      </c>
      <c r="I970" t="s">
        <v>142</v>
      </c>
      <c r="J970" t="s">
        <v>6</v>
      </c>
      <c r="L970">
        <v>522611</v>
      </c>
      <c r="M970" s="99" t="s">
        <v>180</v>
      </c>
      <c r="N970">
        <v>3</v>
      </c>
      <c r="O970">
        <v>19</v>
      </c>
      <c r="P970">
        <v>0.80159999999999998</v>
      </c>
      <c r="Q970" t="s">
        <v>352</v>
      </c>
      <c r="R970">
        <v>1</v>
      </c>
      <c r="S970">
        <v>0.79169999999999996</v>
      </c>
      <c r="T970">
        <v>2.1700000000000001E-2</v>
      </c>
      <c r="U970">
        <v>0.45622119815668294</v>
      </c>
      <c r="V970">
        <v>0.72659999999999991</v>
      </c>
      <c r="W970">
        <v>0.74829999999999997</v>
      </c>
      <c r="X970">
        <v>0.76999999999999991</v>
      </c>
      <c r="Y970">
        <v>0.81340000000000001</v>
      </c>
      <c r="Z970">
        <v>0.83509999999999995</v>
      </c>
      <c r="AA970">
        <v>0.85680000000000001</v>
      </c>
      <c r="AD970">
        <v>26.2487335922151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 t="s">
        <v>462</v>
      </c>
      <c r="AL970" t="s">
        <v>6</v>
      </c>
      <c r="AM970" t="s">
        <v>1145</v>
      </c>
      <c r="AN970" t="s">
        <v>1146</v>
      </c>
      <c r="AO970" s="100">
        <v>46262.040405092594</v>
      </c>
      <c r="AP970" t="s">
        <v>1147</v>
      </c>
      <c r="AQ970" t="s">
        <v>3162</v>
      </c>
      <c r="AR970" t="s">
        <v>1232</v>
      </c>
      <c r="AS970" t="s">
        <v>1150</v>
      </c>
      <c r="AT970" t="s">
        <v>3026</v>
      </c>
      <c r="AU970">
        <v>25</v>
      </c>
      <c r="AV970">
        <v>0.7983880000000001</v>
      </c>
      <c r="AW970">
        <v>2.3986842226520755E-2</v>
      </c>
      <c r="AX970">
        <v>3.0044091627780918</v>
      </c>
      <c r="AY970">
        <v>-0.93762681339590548</v>
      </c>
      <c r="AZ970">
        <v>5.8949019319797564</v>
      </c>
      <c r="BA970">
        <v>8.4246537030977269</v>
      </c>
      <c r="BB970" t="s">
        <v>4619</v>
      </c>
      <c r="BD970" s="98"/>
      <c r="BE970" s="98"/>
      <c r="BF970" t="s">
        <v>1152</v>
      </c>
      <c r="BG970" t="s">
        <v>322</v>
      </c>
      <c r="BH970" t="s">
        <v>1153</v>
      </c>
      <c r="BI970">
        <v>0.93762681339590548</v>
      </c>
      <c r="BJ970" t="s">
        <v>983</v>
      </c>
      <c r="BK970">
        <v>20.353831660235343</v>
      </c>
      <c r="BL970">
        <v>77.542147276285831</v>
      </c>
      <c r="BM970" t="s">
        <v>1260</v>
      </c>
      <c r="BN970" t="s">
        <v>1154</v>
      </c>
      <c r="BO970">
        <v>2025</v>
      </c>
      <c r="BP970" t="s">
        <v>966</v>
      </c>
      <c r="BQ970">
        <v>0.14803686998465793</v>
      </c>
      <c r="BR970">
        <v>99.999985196313006</v>
      </c>
      <c r="BS970" t="s">
        <v>984</v>
      </c>
      <c r="BT970">
        <v>3</v>
      </c>
      <c r="BU970">
        <v>1</v>
      </c>
      <c r="BV970" t="s">
        <v>985</v>
      </c>
      <c r="BW970" t="s">
        <v>943</v>
      </c>
      <c r="BX970" t="s">
        <v>986</v>
      </c>
      <c r="BY970">
        <v>6.6259292759988391</v>
      </c>
      <c r="BZ970" t="s">
        <v>1155</v>
      </c>
      <c r="CA970" t="s">
        <v>983</v>
      </c>
      <c r="CB970" t="b">
        <v>1</v>
      </c>
      <c r="CC970" t="b">
        <v>0</v>
      </c>
      <c r="CD970" t="b">
        <v>0</v>
      </c>
      <c r="CE970" t="b">
        <v>0</v>
      </c>
      <c r="CF970" t="b">
        <v>0</v>
      </c>
    </row>
    <row r="971" spans="1:84" x14ac:dyDescent="0.3">
      <c r="A971" t="s">
        <v>3163</v>
      </c>
      <c r="B971" t="s">
        <v>1234</v>
      </c>
      <c r="C971" s="98">
        <v>45796</v>
      </c>
      <c r="D971">
        <v>2025</v>
      </c>
      <c r="E971">
        <v>5</v>
      </c>
      <c r="F971">
        <v>2</v>
      </c>
      <c r="G971" t="s">
        <v>1226</v>
      </c>
      <c r="H971" t="s">
        <v>142</v>
      </c>
      <c r="I971" t="s">
        <v>142</v>
      </c>
      <c r="J971" t="s">
        <v>6</v>
      </c>
      <c r="L971">
        <v>522611</v>
      </c>
      <c r="M971" s="99" t="s">
        <v>180</v>
      </c>
      <c r="N971">
        <v>3</v>
      </c>
      <c r="O971">
        <v>20</v>
      </c>
      <c r="P971">
        <v>0.80589999999999995</v>
      </c>
      <c r="Q971" t="s">
        <v>352</v>
      </c>
      <c r="R971">
        <v>1</v>
      </c>
      <c r="S971">
        <v>0.79169999999999996</v>
      </c>
      <c r="T971">
        <v>2.1700000000000001E-2</v>
      </c>
      <c r="U971">
        <v>0.6543778801843313</v>
      </c>
      <c r="V971">
        <v>0.72659999999999991</v>
      </c>
      <c r="W971">
        <v>0.74829999999999997</v>
      </c>
      <c r="X971">
        <v>0.76999999999999991</v>
      </c>
      <c r="Y971">
        <v>0.81340000000000001</v>
      </c>
      <c r="Z971">
        <v>0.83509999999999995</v>
      </c>
      <c r="AA971">
        <v>0.85680000000000001</v>
      </c>
      <c r="AD971">
        <v>26.2487335922151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 t="s">
        <v>462</v>
      </c>
      <c r="AL971" t="s">
        <v>6</v>
      </c>
      <c r="AM971" t="s">
        <v>1145</v>
      </c>
      <c r="AN971" t="s">
        <v>1146</v>
      </c>
      <c r="AO971" s="100">
        <v>46262.040405092594</v>
      </c>
      <c r="AP971" t="s">
        <v>1147</v>
      </c>
      <c r="AQ971" t="s">
        <v>3164</v>
      </c>
      <c r="AR971" t="s">
        <v>1236</v>
      </c>
      <c r="AS971" t="s">
        <v>1150</v>
      </c>
      <c r="AT971" t="s">
        <v>3026</v>
      </c>
      <c r="AU971">
        <v>25</v>
      </c>
      <c r="AV971">
        <v>0.7983880000000001</v>
      </c>
      <c r="AW971">
        <v>2.3986842226520755E-2</v>
      </c>
      <c r="AX971">
        <v>3.0044091627780918</v>
      </c>
      <c r="AY971">
        <v>-0.93762681339590548</v>
      </c>
      <c r="AZ971">
        <v>5.8949019319797564</v>
      </c>
      <c r="BA971">
        <v>8.4246537030977269</v>
      </c>
      <c r="BB971" t="s">
        <v>4619</v>
      </c>
      <c r="BD971" s="98"/>
      <c r="BE971" s="98"/>
      <c r="BF971" t="s">
        <v>1152</v>
      </c>
      <c r="BG971" t="s">
        <v>322</v>
      </c>
      <c r="BH971" t="s">
        <v>1153</v>
      </c>
      <c r="BI971">
        <v>0.93762681339590548</v>
      </c>
      <c r="BJ971" t="s">
        <v>983</v>
      </c>
      <c r="BK971">
        <v>20.353831660235343</v>
      </c>
      <c r="BL971">
        <v>77.542147276285831</v>
      </c>
      <c r="BM971" t="s">
        <v>1260</v>
      </c>
      <c r="BN971" t="s">
        <v>1154</v>
      </c>
      <c r="BO971">
        <v>2025</v>
      </c>
      <c r="BP971" t="s">
        <v>966</v>
      </c>
      <c r="BQ971">
        <v>0.14803686998465793</v>
      </c>
      <c r="BR971">
        <v>99.999985196313006</v>
      </c>
      <c r="BS971" t="s">
        <v>984</v>
      </c>
      <c r="BT971">
        <v>3</v>
      </c>
      <c r="BU971">
        <v>1</v>
      </c>
      <c r="BV971" t="s">
        <v>985</v>
      </c>
      <c r="BW971" t="s">
        <v>943</v>
      </c>
      <c r="BX971" t="s">
        <v>986</v>
      </c>
      <c r="BY971">
        <v>6.6259292759988391</v>
      </c>
      <c r="BZ971" t="s">
        <v>1155</v>
      </c>
      <c r="CA971" t="s">
        <v>983</v>
      </c>
      <c r="CB971" t="b">
        <v>1</v>
      </c>
      <c r="CC971" t="b">
        <v>0</v>
      </c>
      <c r="CD971" t="b">
        <v>0</v>
      </c>
      <c r="CE971" t="b">
        <v>0</v>
      </c>
      <c r="CF971" t="b">
        <v>0</v>
      </c>
    </row>
    <row r="972" spans="1:84" x14ac:dyDescent="0.3">
      <c r="A972" t="s">
        <v>3165</v>
      </c>
      <c r="B972" t="s">
        <v>1238</v>
      </c>
      <c r="C972" s="98">
        <v>45803</v>
      </c>
      <c r="D972">
        <v>2025</v>
      </c>
      <c r="E972">
        <v>5</v>
      </c>
      <c r="F972">
        <v>2</v>
      </c>
      <c r="G972" t="s">
        <v>1226</v>
      </c>
      <c r="H972" t="s">
        <v>142</v>
      </c>
      <c r="I972" t="s">
        <v>142</v>
      </c>
      <c r="J972" t="s">
        <v>6</v>
      </c>
      <c r="L972">
        <v>522611</v>
      </c>
      <c r="M972" s="99" t="s">
        <v>180</v>
      </c>
      <c r="N972">
        <v>3</v>
      </c>
      <c r="O972">
        <v>21</v>
      </c>
      <c r="P972">
        <v>0.79</v>
      </c>
      <c r="Q972" t="s">
        <v>352</v>
      </c>
      <c r="R972">
        <v>1</v>
      </c>
      <c r="S972">
        <v>0.79169999999999996</v>
      </c>
      <c r="T972">
        <v>2.1700000000000001E-2</v>
      </c>
      <c r="U972">
        <v>-7.8341013824881275E-2</v>
      </c>
      <c r="V972">
        <v>0.72659999999999991</v>
      </c>
      <c r="W972">
        <v>0.74829999999999997</v>
      </c>
      <c r="X972">
        <v>0.76999999999999991</v>
      </c>
      <c r="Y972">
        <v>0.81340000000000001</v>
      </c>
      <c r="Z972">
        <v>0.83509999999999995</v>
      </c>
      <c r="AA972">
        <v>0.85680000000000001</v>
      </c>
      <c r="AD972">
        <v>26.2487335922151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 t="s">
        <v>462</v>
      </c>
      <c r="AL972" t="s">
        <v>6</v>
      </c>
      <c r="AM972" t="s">
        <v>1145</v>
      </c>
      <c r="AN972" t="s">
        <v>1146</v>
      </c>
      <c r="AO972" s="100">
        <v>46262.040405092594</v>
      </c>
      <c r="AP972" t="s">
        <v>1147</v>
      </c>
      <c r="AQ972" t="s">
        <v>3166</v>
      </c>
      <c r="AR972" t="s">
        <v>1240</v>
      </c>
      <c r="AS972" t="s">
        <v>1150</v>
      </c>
      <c r="AT972" t="s">
        <v>3026</v>
      </c>
      <c r="AU972">
        <v>25</v>
      </c>
      <c r="AV972">
        <v>0.7983880000000001</v>
      </c>
      <c r="AW972">
        <v>2.3986842226520755E-2</v>
      </c>
      <c r="AX972">
        <v>3.0044091627780918</v>
      </c>
      <c r="AY972">
        <v>-0.93762681339590548</v>
      </c>
      <c r="AZ972">
        <v>5.8949019319797564</v>
      </c>
      <c r="BA972">
        <v>8.4246537030977269</v>
      </c>
      <c r="BB972" t="s">
        <v>4619</v>
      </c>
      <c r="BD972" s="98"/>
      <c r="BE972" s="98"/>
      <c r="BF972" t="s">
        <v>1152</v>
      </c>
      <c r="BG972" t="s">
        <v>322</v>
      </c>
      <c r="BH972" t="s">
        <v>1153</v>
      </c>
      <c r="BI972">
        <v>0.93762681339590548</v>
      </c>
      <c r="BJ972" t="s">
        <v>983</v>
      </c>
      <c r="BK972">
        <v>20.353831660235343</v>
      </c>
      <c r="BL972">
        <v>77.542147276285831</v>
      </c>
      <c r="BM972" t="s">
        <v>1260</v>
      </c>
      <c r="BN972" t="s">
        <v>1154</v>
      </c>
      <c r="BO972">
        <v>2025</v>
      </c>
      <c r="BP972" t="s">
        <v>966</v>
      </c>
      <c r="BQ972">
        <v>0.14803686998465793</v>
      </c>
      <c r="BR972">
        <v>99.999985196313006</v>
      </c>
      <c r="BS972" t="s">
        <v>984</v>
      </c>
      <c r="BT972">
        <v>3</v>
      </c>
      <c r="BU972">
        <v>1</v>
      </c>
      <c r="BV972" t="s">
        <v>985</v>
      </c>
      <c r="BW972" t="s">
        <v>943</v>
      </c>
      <c r="BX972" t="s">
        <v>986</v>
      </c>
      <c r="BY972">
        <v>6.6259292759988391</v>
      </c>
      <c r="BZ972" t="s">
        <v>1155</v>
      </c>
      <c r="CA972" t="s">
        <v>983</v>
      </c>
      <c r="CB972" t="b">
        <v>1</v>
      </c>
      <c r="CC972" t="b">
        <v>0</v>
      </c>
      <c r="CD972" t="b">
        <v>0</v>
      </c>
      <c r="CE972" t="b">
        <v>0</v>
      </c>
      <c r="CF972" t="b">
        <v>0</v>
      </c>
    </row>
    <row r="973" spans="1:84" x14ac:dyDescent="0.3">
      <c r="A973" t="s">
        <v>3167</v>
      </c>
      <c r="B973" t="s">
        <v>1242</v>
      </c>
      <c r="C973" s="98">
        <v>45810</v>
      </c>
      <c r="D973">
        <v>2025</v>
      </c>
      <c r="E973">
        <v>6</v>
      </c>
      <c r="F973">
        <v>2</v>
      </c>
      <c r="G973" t="s">
        <v>1243</v>
      </c>
      <c r="H973" t="s">
        <v>142</v>
      </c>
      <c r="I973" t="s">
        <v>142</v>
      </c>
      <c r="J973" t="s">
        <v>6</v>
      </c>
      <c r="L973">
        <v>522611</v>
      </c>
      <c r="M973" s="99" t="s">
        <v>180</v>
      </c>
      <c r="N973">
        <v>3</v>
      </c>
      <c r="O973">
        <v>22</v>
      </c>
      <c r="P973">
        <v>0.81399999999999995</v>
      </c>
      <c r="Q973" t="s">
        <v>352</v>
      </c>
      <c r="R973">
        <v>1</v>
      </c>
      <c r="S973">
        <v>0.79169999999999996</v>
      </c>
      <c r="T973">
        <v>2.1700000000000001E-2</v>
      </c>
      <c r="U973">
        <v>1.0276497695852529</v>
      </c>
      <c r="V973">
        <v>0.72659999999999991</v>
      </c>
      <c r="W973">
        <v>0.74829999999999997</v>
      </c>
      <c r="X973">
        <v>0.76999999999999991</v>
      </c>
      <c r="Y973">
        <v>0.81340000000000001</v>
      </c>
      <c r="Z973">
        <v>0.83509999999999995</v>
      </c>
      <c r="AA973">
        <v>0.85680000000000001</v>
      </c>
      <c r="AD973">
        <v>26.2487335922151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 t="s">
        <v>462</v>
      </c>
      <c r="AL973" t="s">
        <v>6</v>
      </c>
      <c r="AM973" t="s">
        <v>1145</v>
      </c>
      <c r="AN973" t="s">
        <v>1146</v>
      </c>
      <c r="AO973" s="100">
        <v>46262.040405092594</v>
      </c>
      <c r="AP973" t="s">
        <v>1147</v>
      </c>
      <c r="AQ973" t="s">
        <v>3168</v>
      </c>
      <c r="AR973" t="s">
        <v>1245</v>
      </c>
      <c r="AS973" t="s">
        <v>1150</v>
      </c>
      <c r="AT973" t="s">
        <v>3026</v>
      </c>
      <c r="AU973">
        <v>25</v>
      </c>
      <c r="AV973">
        <v>0.7983880000000001</v>
      </c>
      <c r="AW973">
        <v>2.3986842226520755E-2</v>
      </c>
      <c r="AX973">
        <v>3.0044091627780918</v>
      </c>
      <c r="AY973">
        <v>-0.93762681339590548</v>
      </c>
      <c r="AZ973">
        <v>5.8949019319797564</v>
      </c>
      <c r="BA973">
        <v>8.4246537030977269</v>
      </c>
      <c r="BB973" t="s">
        <v>4619</v>
      </c>
      <c r="BD973" s="98"/>
      <c r="BE973" s="98"/>
      <c r="BF973" t="s">
        <v>1152</v>
      </c>
      <c r="BG973" t="s">
        <v>322</v>
      </c>
      <c r="BH973" t="s">
        <v>1153</v>
      </c>
      <c r="BI973">
        <v>0.93762681339590548</v>
      </c>
      <c r="BJ973" t="s">
        <v>983</v>
      </c>
      <c r="BK973">
        <v>20.353831660235343</v>
      </c>
      <c r="BL973">
        <v>77.542147276285831</v>
      </c>
      <c r="BM973" t="s">
        <v>1260</v>
      </c>
      <c r="BN973" t="s">
        <v>1154</v>
      </c>
      <c r="BO973">
        <v>2025</v>
      </c>
      <c r="BP973" t="s">
        <v>966</v>
      </c>
      <c r="BQ973">
        <v>0.14803686998465793</v>
      </c>
      <c r="BR973">
        <v>99.999985196313006</v>
      </c>
      <c r="BS973" t="s">
        <v>984</v>
      </c>
      <c r="BT973">
        <v>3</v>
      </c>
      <c r="BU973">
        <v>1</v>
      </c>
      <c r="BV973" t="s">
        <v>985</v>
      </c>
      <c r="BW973" t="s">
        <v>943</v>
      </c>
      <c r="BX973" t="s">
        <v>986</v>
      </c>
      <c r="BY973">
        <v>6.6259292759988391</v>
      </c>
      <c r="BZ973" t="s">
        <v>1155</v>
      </c>
      <c r="CA973" t="s">
        <v>983</v>
      </c>
      <c r="CB973" t="b">
        <v>1</v>
      </c>
      <c r="CC973" t="b">
        <v>0</v>
      </c>
      <c r="CD973" t="b">
        <v>0</v>
      </c>
      <c r="CE973" t="b">
        <v>0</v>
      </c>
      <c r="CF973" t="b">
        <v>0</v>
      </c>
    </row>
    <row r="974" spans="1:84" x14ac:dyDescent="0.3">
      <c r="A974" t="s">
        <v>3169</v>
      </c>
      <c r="B974" t="s">
        <v>1247</v>
      </c>
      <c r="C974" s="98">
        <v>45817</v>
      </c>
      <c r="D974">
        <v>2025</v>
      </c>
      <c r="E974">
        <v>6</v>
      </c>
      <c r="F974">
        <v>2</v>
      </c>
      <c r="G974" t="s">
        <v>1243</v>
      </c>
      <c r="H974" t="s">
        <v>142</v>
      </c>
      <c r="I974" t="s">
        <v>142</v>
      </c>
      <c r="J974" t="s">
        <v>6</v>
      </c>
      <c r="L974">
        <v>522611</v>
      </c>
      <c r="M974" s="99" t="s">
        <v>180</v>
      </c>
      <c r="N974">
        <v>3</v>
      </c>
      <c r="O974">
        <v>23</v>
      </c>
      <c r="P974">
        <v>0.74260000000000004</v>
      </c>
      <c r="Q974" t="s">
        <v>352</v>
      </c>
      <c r="R974">
        <v>1</v>
      </c>
      <c r="S974">
        <v>0.79169999999999996</v>
      </c>
      <c r="T974">
        <v>2.1700000000000001E-2</v>
      </c>
      <c r="U974">
        <v>-2.2626728110599044</v>
      </c>
      <c r="V974">
        <v>0.72659999999999991</v>
      </c>
      <c r="W974">
        <v>0.74829999999999997</v>
      </c>
      <c r="X974">
        <v>0.76999999999999991</v>
      </c>
      <c r="Y974">
        <v>0.81340000000000001</v>
      </c>
      <c r="Z974">
        <v>0.83509999999999995</v>
      </c>
      <c r="AA974">
        <v>0.85680000000000001</v>
      </c>
      <c r="AD974">
        <v>26.2487335922151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1</v>
      </c>
      <c r="AK974" t="s">
        <v>462</v>
      </c>
      <c r="AL974" t="s">
        <v>6</v>
      </c>
      <c r="AM974" t="s">
        <v>1145</v>
      </c>
      <c r="AN974" t="s">
        <v>1146</v>
      </c>
      <c r="AO974" s="100">
        <v>46262.040405092594</v>
      </c>
      <c r="AP974" t="s">
        <v>1147</v>
      </c>
      <c r="AQ974" t="s">
        <v>3170</v>
      </c>
      <c r="AR974" t="s">
        <v>1249</v>
      </c>
      <c r="AS974" t="s">
        <v>1150</v>
      </c>
      <c r="AT974" t="s">
        <v>3026</v>
      </c>
      <c r="AU974">
        <v>25</v>
      </c>
      <c r="AV974">
        <v>0.7983880000000001</v>
      </c>
      <c r="AW974">
        <v>2.3986842226520755E-2</v>
      </c>
      <c r="AX974">
        <v>3.0044091627780918</v>
      </c>
      <c r="AY974">
        <v>-0.93762681339590548</v>
      </c>
      <c r="AZ974">
        <v>5.8949019319797564</v>
      </c>
      <c r="BA974">
        <v>8.4246537030977269</v>
      </c>
      <c r="BB974" t="s">
        <v>4619</v>
      </c>
      <c r="BD974" s="98"/>
      <c r="BE974" s="98"/>
      <c r="BF974" t="s">
        <v>1152</v>
      </c>
      <c r="BG974" t="s">
        <v>322</v>
      </c>
      <c r="BH974" t="s">
        <v>1153</v>
      </c>
      <c r="BI974">
        <v>0.93762681339590548</v>
      </c>
      <c r="BJ974" t="s">
        <v>983</v>
      </c>
      <c r="BK974">
        <v>20.353831660235343</v>
      </c>
      <c r="BL974">
        <v>77.542147276285831</v>
      </c>
      <c r="BM974" t="s">
        <v>1260</v>
      </c>
      <c r="BN974" t="s">
        <v>1154</v>
      </c>
      <c r="BO974">
        <v>2025</v>
      </c>
      <c r="BP974" t="s">
        <v>966</v>
      </c>
      <c r="BQ974">
        <v>0.14803686998465793</v>
      </c>
      <c r="BR974">
        <v>99.999985196313006</v>
      </c>
      <c r="BS974" t="s">
        <v>984</v>
      </c>
      <c r="BT974">
        <v>3</v>
      </c>
      <c r="BU974">
        <v>1</v>
      </c>
      <c r="BV974" t="s">
        <v>985</v>
      </c>
      <c r="BW974" t="s">
        <v>943</v>
      </c>
      <c r="BX974" t="s">
        <v>986</v>
      </c>
      <c r="BY974">
        <v>6.6259292759988391</v>
      </c>
      <c r="BZ974" t="s">
        <v>1155</v>
      </c>
      <c r="CA974" t="s">
        <v>983</v>
      </c>
      <c r="CB974" t="b">
        <v>1</v>
      </c>
      <c r="CC974" t="b">
        <v>0</v>
      </c>
      <c r="CD974" t="b">
        <v>0</v>
      </c>
      <c r="CE974" t="b">
        <v>0</v>
      </c>
      <c r="CF974" t="b">
        <v>0</v>
      </c>
    </row>
    <row r="975" spans="1:84" x14ac:dyDescent="0.3">
      <c r="A975" t="s">
        <v>3171</v>
      </c>
      <c r="B975" t="s">
        <v>1251</v>
      </c>
      <c r="C975" s="98">
        <v>45824</v>
      </c>
      <c r="D975">
        <v>2025</v>
      </c>
      <c r="E975">
        <v>6</v>
      </c>
      <c r="F975">
        <v>2</v>
      </c>
      <c r="G975" t="s">
        <v>1243</v>
      </c>
      <c r="H975" t="s">
        <v>142</v>
      </c>
      <c r="I975" t="s">
        <v>142</v>
      </c>
      <c r="J975" t="s">
        <v>6</v>
      </c>
      <c r="L975">
        <v>522611</v>
      </c>
      <c r="M975" s="99" t="s">
        <v>180</v>
      </c>
      <c r="N975">
        <v>3</v>
      </c>
      <c r="O975">
        <v>24</v>
      </c>
      <c r="P975">
        <v>0.80549999999999999</v>
      </c>
      <c r="Q975" t="s">
        <v>352</v>
      </c>
      <c r="R975">
        <v>1</v>
      </c>
      <c r="S975">
        <v>0.79169999999999996</v>
      </c>
      <c r="T975">
        <v>2.1700000000000001E-2</v>
      </c>
      <c r="U975">
        <v>0.63594470046083107</v>
      </c>
      <c r="V975">
        <v>0.72659999999999991</v>
      </c>
      <c r="W975">
        <v>0.74829999999999997</v>
      </c>
      <c r="X975">
        <v>0.76999999999999991</v>
      </c>
      <c r="Y975">
        <v>0.81340000000000001</v>
      </c>
      <c r="Z975">
        <v>0.83509999999999995</v>
      </c>
      <c r="AA975">
        <v>0.85680000000000001</v>
      </c>
      <c r="AD975">
        <v>26.2487335922151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 t="s">
        <v>462</v>
      </c>
      <c r="AL975" t="s">
        <v>6</v>
      </c>
      <c r="AM975" t="s">
        <v>1145</v>
      </c>
      <c r="AN975" t="s">
        <v>1146</v>
      </c>
      <c r="AO975" s="100">
        <v>46262.040405092594</v>
      </c>
      <c r="AP975" t="s">
        <v>1147</v>
      </c>
      <c r="AQ975" t="s">
        <v>3172</v>
      </c>
      <c r="AR975" t="s">
        <v>1253</v>
      </c>
      <c r="AS975" t="s">
        <v>1150</v>
      </c>
      <c r="AT975" t="s">
        <v>3026</v>
      </c>
      <c r="AU975">
        <v>25</v>
      </c>
      <c r="AV975">
        <v>0.7983880000000001</v>
      </c>
      <c r="AW975">
        <v>2.3986842226520755E-2</v>
      </c>
      <c r="AX975">
        <v>3.0044091627780918</v>
      </c>
      <c r="AY975">
        <v>-0.93762681339590548</v>
      </c>
      <c r="AZ975">
        <v>5.8949019319797564</v>
      </c>
      <c r="BA975">
        <v>8.4246537030977269</v>
      </c>
      <c r="BB975" t="s">
        <v>4619</v>
      </c>
      <c r="BD975" s="98"/>
      <c r="BE975" s="98"/>
      <c r="BF975" t="s">
        <v>1152</v>
      </c>
      <c r="BG975" t="s">
        <v>322</v>
      </c>
      <c r="BH975" t="s">
        <v>1153</v>
      </c>
      <c r="BI975">
        <v>0.93762681339590548</v>
      </c>
      <c r="BJ975" t="s">
        <v>983</v>
      </c>
      <c r="BK975">
        <v>20.353831660235343</v>
      </c>
      <c r="BL975">
        <v>77.542147276285831</v>
      </c>
      <c r="BM975" t="s">
        <v>1260</v>
      </c>
      <c r="BN975" t="s">
        <v>1154</v>
      </c>
      <c r="BO975">
        <v>2025</v>
      </c>
      <c r="BP975" t="s">
        <v>966</v>
      </c>
      <c r="BQ975">
        <v>0.14803686998465793</v>
      </c>
      <c r="BR975">
        <v>99.999985196313006</v>
      </c>
      <c r="BS975" t="s">
        <v>984</v>
      </c>
      <c r="BT975">
        <v>3</v>
      </c>
      <c r="BU975">
        <v>1</v>
      </c>
      <c r="BV975" t="s">
        <v>985</v>
      </c>
      <c r="BW975" t="s">
        <v>943</v>
      </c>
      <c r="BX975" t="s">
        <v>986</v>
      </c>
      <c r="BY975">
        <v>6.6259292759988391</v>
      </c>
      <c r="BZ975" t="s">
        <v>1155</v>
      </c>
      <c r="CA975" t="s">
        <v>983</v>
      </c>
      <c r="CB975" t="b">
        <v>1</v>
      </c>
      <c r="CC975" t="b">
        <v>0</v>
      </c>
      <c r="CD975" t="b">
        <v>0</v>
      </c>
      <c r="CE975" t="b">
        <v>0</v>
      </c>
      <c r="CF975" t="b">
        <v>0</v>
      </c>
    </row>
    <row r="976" spans="1:84" x14ac:dyDescent="0.3">
      <c r="A976" t="s">
        <v>3173</v>
      </c>
      <c r="B976" t="s">
        <v>1255</v>
      </c>
      <c r="C976" s="98">
        <v>45831</v>
      </c>
      <c r="D976">
        <v>2025</v>
      </c>
      <c r="E976">
        <v>6</v>
      </c>
      <c r="F976">
        <v>2</v>
      </c>
      <c r="G976" t="s">
        <v>1243</v>
      </c>
      <c r="H976" t="s">
        <v>142</v>
      </c>
      <c r="I976" t="s">
        <v>142</v>
      </c>
      <c r="J976" t="s">
        <v>6</v>
      </c>
      <c r="L976">
        <v>522611</v>
      </c>
      <c r="M976" s="99" t="s">
        <v>180</v>
      </c>
      <c r="N976">
        <v>3</v>
      </c>
      <c r="O976">
        <v>25</v>
      </c>
      <c r="P976">
        <v>0.76929999999999998</v>
      </c>
      <c r="Q976" t="s">
        <v>352</v>
      </c>
      <c r="R976">
        <v>1</v>
      </c>
      <c r="S976">
        <v>0.79169999999999996</v>
      </c>
      <c r="T976">
        <v>2.1700000000000001E-2</v>
      </c>
      <c r="U976">
        <v>-1.0322580645161279</v>
      </c>
      <c r="V976">
        <v>0.72659999999999991</v>
      </c>
      <c r="W976">
        <v>0.74829999999999997</v>
      </c>
      <c r="X976">
        <v>0.76999999999999991</v>
      </c>
      <c r="Y976">
        <v>0.81340000000000001</v>
      </c>
      <c r="Z976">
        <v>0.83509999999999995</v>
      </c>
      <c r="AA976">
        <v>0.85680000000000001</v>
      </c>
      <c r="AD976">
        <v>26.2487335922151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 t="s">
        <v>462</v>
      </c>
      <c r="AL976" t="s">
        <v>6</v>
      </c>
      <c r="AM976" t="s">
        <v>1145</v>
      </c>
      <c r="AN976" t="s">
        <v>1146</v>
      </c>
      <c r="AO976" s="100">
        <v>46262.040405092594</v>
      </c>
      <c r="AP976" t="s">
        <v>1147</v>
      </c>
      <c r="AQ976" t="s">
        <v>3174</v>
      </c>
      <c r="AR976" t="s">
        <v>1257</v>
      </c>
      <c r="AS976" t="s">
        <v>1150</v>
      </c>
      <c r="AT976" t="s">
        <v>3026</v>
      </c>
      <c r="AU976">
        <v>25</v>
      </c>
      <c r="AV976">
        <v>0.7983880000000001</v>
      </c>
      <c r="AW976">
        <v>2.3986842226520755E-2</v>
      </c>
      <c r="AX976">
        <v>3.0044091627780918</v>
      </c>
      <c r="AY976">
        <v>-0.93762681339590548</v>
      </c>
      <c r="AZ976">
        <v>5.8949019319797564</v>
      </c>
      <c r="BA976">
        <v>8.4246537030977269</v>
      </c>
      <c r="BB976" t="s">
        <v>4619</v>
      </c>
      <c r="BD976" s="98"/>
      <c r="BE976" s="98"/>
      <c r="BF976" t="s">
        <v>1152</v>
      </c>
      <c r="BG976" t="s">
        <v>322</v>
      </c>
      <c r="BH976" t="s">
        <v>1153</v>
      </c>
      <c r="BI976">
        <v>0.93762681339590548</v>
      </c>
      <c r="BJ976" t="s">
        <v>983</v>
      </c>
      <c r="BK976">
        <v>20.353831660235343</v>
      </c>
      <c r="BL976">
        <v>77.542147276285831</v>
      </c>
      <c r="BM976" t="s">
        <v>1260</v>
      </c>
      <c r="BN976" t="s">
        <v>1154</v>
      </c>
      <c r="BO976">
        <v>2025</v>
      </c>
      <c r="BP976" t="s">
        <v>966</v>
      </c>
      <c r="BQ976">
        <v>0.14803686998465793</v>
      </c>
      <c r="BR976">
        <v>99.999985196313006</v>
      </c>
      <c r="BS976" t="s">
        <v>984</v>
      </c>
      <c r="BT976">
        <v>3</v>
      </c>
      <c r="BU976">
        <v>1</v>
      </c>
      <c r="BV976" t="s">
        <v>985</v>
      </c>
      <c r="BW976" t="s">
        <v>943</v>
      </c>
      <c r="BX976" t="s">
        <v>986</v>
      </c>
      <c r="BY976">
        <v>6.6259292759988391</v>
      </c>
      <c r="BZ976" t="s">
        <v>1155</v>
      </c>
      <c r="CA976" t="s">
        <v>983</v>
      </c>
      <c r="CB976" t="b">
        <v>1</v>
      </c>
      <c r="CC976" t="b">
        <v>0</v>
      </c>
      <c r="CD976" t="b">
        <v>0</v>
      </c>
      <c r="CE976" t="b">
        <v>0</v>
      </c>
      <c r="CF976" t="b">
        <v>0</v>
      </c>
    </row>
    <row r="977" spans="1:84" x14ac:dyDescent="0.3">
      <c r="A977" t="s">
        <v>3175</v>
      </c>
      <c r="B977" t="s">
        <v>1143</v>
      </c>
      <c r="C977" s="98">
        <v>45663</v>
      </c>
      <c r="D977">
        <v>2025</v>
      </c>
      <c r="E977">
        <v>1</v>
      </c>
      <c r="F977">
        <v>1</v>
      </c>
      <c r="G977" t="s">
        <v>1144</v>
      </c>
      <c r="H977" t="s">
        <v>144</v>
      </c>
      <c r="I977" t="s">
        <v>144</v>
      </c>
      <c r="J977" t="s">
        <v>6</v>
      </c>
      <c r="L977">
        <v>522611</v>
      </c>
      <c r="M977" s="99" t="s">
        <v>178</v>
      </c>
      <c r="N977">
        <v>1</v>
      </c>
      <c r="O977">
        <v>1</v>
      </c>
      <c r="P977">
        <v>10.6241</v>
      </c>
      <c r="Q977" t="s">
        <v>352</v>
      </c>
      <c r="R977">
        <v>1</v>
      </c>
      <c r="S977">
        <v>10.2897</v>
      </c>
      <c r="T977">
        <v>0.3488</v>
      </c>
      <c r="U977">
        <v>0.95871559633027659</v>
      </c>
      <c r="V977">
        <v>9.2432999999999996</v>
      </c>
      <c r="W977">
        <v>9.5921000000000003</v>
      </c>
      <c r="X977">
        <v>9.9408999999999992</v>
      </c>
      <c r="Y977">
        <v>10.638500000000001</v>
      </c>
      <c r="Z977">
        <v>10.987299999999999</v>
      </c>
      <c r="AA977">
        <v>11.3361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 t="s">
        <v>462</v>
      </c>
      <c r="AL977" t="s">
        <v>6</v>
      </c>
      <c r="AM977" t="s">
        <v>1145</v>
      </c>
      <c r="AN977" t="s">
        <v>1146</v>
      </c>
      <c r="AO977" s="100">
        <v>46262.040405092594</v>
      </c>
      <c r="AP977" t="s">
        <v>1147</v>
      </c>
      <c r="AQ977" t="s">
        <v>3176</v>
      </c>
      <c r="AR977" t="s">
        <v>1149</v>
      </c>
      <c r="AS977" t="s">
        <v>1150</v>
      </c>
      <c r="AT977" t="s">
        <v>3177</v>
      </c>
      <c r="AU977">
        <v>25</v>
      </c>
      <c r="AV977">
        <v>10.282411999999999</v>
      </c>
      <c r="AW977">
        <v>0.25684105545388702</v>
      </c>
      <c r="AX977">
        <v>2.4978677712377899</v>
      </c>
      <c r="AY977">
        <v>-3.5755108740503752</v>
      </c>
      <c r="AZ977">
        <v>7.6969926965927282</v>
      </c>
      <c r="BB977" t="s">
        <v>4620</v>
      </c>
      <c r="BD977" s="98"/>
      <c r="BE977" s="98"/>
      <c r="BF977" t="s">
        <v>1152</v>
      </c>
      <c r="BG977" t="s">
        <v>322</v>
      </c>
      <c r="BH977" t="s">
        <v>1153</v>
      </c>
      <c r="BI977">
        <v>3.5755108740503752</v>
      </c>
      <c r="BN977" t="s">
        <v>1154</v>
      </c>
      <c r="BO977">
        <v>2025</v>
      </c>
      <c r="BP977" t="s">
        <v>966</v>
      </c>
      <c r="BZ977" t="s">
        <v>1513</v>
      </c>
      <c r="CA977" t="s">
        <v>1513</v>
      </c>
      <c r="CB977" t="b">
        <v>0</v>
      </c>
      <c r="CC977" t="b">
        <v>0</v>
      </c>
      <c r="CD977" t="b">
        <v>0</v>
      </c>
      <c r="CE977" t="b">
        <v>0</v>
      </c>
      <c r="CF977" t="b">
        <v>0</v>
      </c>
    </row>
    <row r="978" spans="1:84" x14ac:dyDescent="0.3">
      <c r="A978" t="s">
        <v>3178</v>
      </c>
      <c r="B978" t="s">
        <v>1157</v>
      </c>
      <c r="C978" s="98">
        <v>45670</v>
      </c>
      <c r="D978">
        <v>2025</v>
      </c>
      <c r="E978">
        <v>1</v>
      </c>
      <c r="F978">
        <v>1</v>
      </c>
      <c r="G978" t="s">
        <v>1144</v>
      </c>
      <c r="H978" t="s">
        <v>144</v>
      </c>
      <c r="I978" t="s">
        <v>144</v>
      </c>
      <c r="J978" t="s">
        <v>6</v>
      </c>
      <c r="L978">
        <v>522611</v>
      </c>
      <c r="M978" s="99" t="s">
        <v>178</v>
      </c>
      <c r="N978">
        <v>1</v>
      </c>
      <c r="O978">
        <v>2</v>
      </c>
      <c r="P978">
        <v>10.209899999999999</v>
      </c>
      <c r="Q978" t="s">
        <v>352</v>
      </c>
      <c r="R978">
        <v>1</v>
      </c>
      <c r="S978">
        <v>10.2897</v>
      </c>
      <c r="T978">
        <v>0.3488</v>
      </c>
      <c r="U978">
        <v>-0.2287844036697263</v>
      </c>
      <c r="V978">
        <v>9.2432999999999996</v>
      </c>
      <c r="W978">
        <v>9.5921000000000003</v>
      </c>
      <c r="X978">
        <v>9.9408999999999992</v>
      </c>
      <c r="Y978">
        <v>10.638500000000001</v>
      </c>
      <c r="Z978">
        <v>10.987299999999999</v>
      </c>
      <c r="AA978">
        <v>11.3361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 t="s">
        <v>462</v>
      </c>
      <c r="AL978" t="s">
        <v>6</v>
      </c>
      <c r="AM978" t="s">
        <v>1145</v>
      </c>
      <c r="AN978" t="s">
        <v>1146</v>
      </c>
      <c r="AO978" s="100">
        <v>46262.040405092594</v>
      </c>
      <c r="AP978" t="s">
        <v>1147</v>
      </c>
      <c r="AQ978" t="s">
        <v>3179</v>
      </c>
      <c r="AR978" t="s">
        <v>1159</v>
      </c>
      <c r="AS978" t="s">
        <v>1150</v>
      </c>
      <c r="AT978" t="s">
        <v>3177</v>
      </c>
      <c r="AU978">
        <v>25</v>
      </c>
      <c r="AV978">
        <v>10.282411999999999</v>
      </c>
      <c r="AW978">
        <v>0.25684105545388702</v>
      </c>
      <c r="AX978">
        <v>2.4978677712377899</v>
      </c>
      <c r="AY978">
        <v>-3.5755108740503752</v>
      </c>
      <c r="AZ978">
        <v>7.6969926965927282</v>
      </c>
      <c r="BB978" t="s">
        <v>4620</v>
      </c>
      <c r="BD978" s="98"/>
      <c r="BE978" s="98"/>
      <c r="BF978" t="s">
        <v>1152</v>
      </c>
      <c r="BG978" t="s">
        <v>322</v>
      </c>
      <c r="BH978" t="s">
        <v>1153</v>
      </c>
      <c r="BI978">
        <v>3.5755108740503752</v>
      </c>
      <c r="BN978" t="s">
        <v>1154</v>
      </c>
      <c r="BO978">
        <v>2025</v>
      </c>
      <c r="BP978" t="s">
        <v>966</v>
      </c>
      <c r="BZ978" t="s">
        <v>1513</v>
      </c>
      <c r="CA978" t="s">
        <v>1513</v>
      </c>
      <c r="CB978" t="b">
        <v>0</v>
      </c>
      <c r="CC978" t="b">
        <v>0</v>
      </c>
      <c r="CD978" t="b">
        <v>0</v>
      </c>
      <c r="CE978" t="b">
        <v>0</v>
      </c>
      <c r="CF978" t="b">
        <v>0</v>
      </c>
    </row>
    <row r="979" spans="1:84" x14ac:dyDescent="0.3">
      <c r="A979" t="s">
        <v>3180</v>
      </c>
      <c r="B979" t="s">
        <v>1161</v>
      </c>
      <c r="C979" s="98">
        <v>45677</v>
      </c>
      <c r="D979">
        <v>2025</v>
      </c>
      <c r="E979">
        <v>1</v>
      </c>
      <c r="F979">
        <v>1</v>
      </c>
      <c r="G979" t="s">
        <v>1144</v>
      </c>
      <c r="H979" t="s">
        <v>144</v>
      </c>
      <c r="I979" t="s">
        <v>144</v>
      </c>
      <c r="J979" t="s">
        <v>6</v>
      </c>
      <c r="L979">
        <v>522611</v>
      </c>
      <c r="M979" s="99" t="s">
        <v>178</v>
      </c>
      <c r="N979">
        <v>1</v>
      </c>
      <c r="O979">
        <v>3</v>
      </c>
      <c r="P979">
        <v>9.9795999999999996</v>
      </c>
      <c r="Q979" t="s">
        <v>352</v>
      </c>
      <c r="R979">
        <v>1</v>
      </c>
      <c r="S979">
        <v>10.2897</v>
      </c>
      <c r="T979">
        <v>0.3488</v>
      </c>
      <c r="U979">
        <v>-0.88904816513761542</v>
      </c>
      <c r="V979">
        <v>9.2432999999999996</v>
      </c>
      <c r="W979">
        <v>9.5921000000000003</v>
      </c>
      <c r="X979">
        <v>9.9408999999999992</v>
      </c>
      <c r="Y979">
        <v>10.638500000000001</v>
      </c>
      <c r="Z979">
        <v>10.987299999999999</v>
      </c>
      <c r="AA979">
        <v>11.3361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 t="s">
        <v>462</v>
      </c>
      <c r="AL979" t="s">
        <v>6</v>
      </c>
      <c r="AM979" t="s">
        <v>1145</v>
      </c>
      <c r="AN979" t="s">
        <v>1146</v>
      </c>
      <c r="AO979" s="100">
        <v>46262.040405092594</v>
      </c>
      <c r="AP979" t="s">
        <v>1147</v>
      </c>
      <c r="AQ979" t="s">
        <v>3181</v>
      </c>
      <c r="AR979" t="s">
        <v>1163</v>
      </c>
      <c r="AS979" t="s">
        <v>1150</v>
      </c>
      <c r="AT979" t="s">
        <v>3177</v>
      </c>
      <c r="AU979">
        <v>25</v>
      </c>
      <c r="AV979">
        <v>10.282411999999999</v>
      </c>
      <c r="AW979">
        <v>0.25684105545388702</v>
      </c>
      <c r="AX979">
        <v>2.4978677712377899</v>
      </c>
      <c r="AY979">
        <v>-3.5755108740503752</v>
      </c>
      <c r="AZ979">
        <v>7.6969926965927282</v>
      </c>
      <c r="BB979" t="s">
        <v>4620</v>
      </c>
      <c r="BD979" s="98"/>
      <c r="BE979" s="98"/>
      <c r="BF979" t="s">
        <v>1152</v>
      </c>
      <c r="BG979" t="s">
        <v>322</v>
      </c>
      <c r="BH979" t="s">
        <v>1153</v>
      </c>
      <c r="BI979">
        <v>3.5755108740503752</v>
      </c>
      <c r="BN979" t="s">
        <v>1154</v>
      </c>
      <c r="BO979">
        <v>2025</v>
      </c>
      <c r="BP979" t="s">
        <v>966</v>
      </c>
      <c r="BZ979" t="s">
        <v>1513</v>
      </c>
      <c r="CA979" t="s">
        <v>1513</v>
      </c>
      <c r="CB979" t="b">
        <v>0</v>
      </c>
      <c r="CC979" t="b">
        <v>0</v>
      </c>
      <c r="CD979" t="b">
        <v>0</v>
      </c>
      <c r="CE979" t="b">
        <v>0</v>
      </c>
      <c r="CF979" t="b">
        <v>0</v>
      </c>
    </row>
    <row r="980" spans="1:84" x14ac:dyDescent="0.3">
      <c r="A980" t="s">
        <v>3182</v>
      </c>
      <c r="B980" t="s">
        <v>1165</v>
      </c>
      <c r="C980" s="98">
        <v>45684</v>
      </c>
      <c r="D980">
        <v>2025</v>
      </c>
      <c r="E980">
        <v>1</v>
      </c>
      <c r="F980">
        <v>1</v>
      </c>
      <c r="G980" t="s">
        <v>1144</v>
      </c>
      <c r="H980" t="s">
        <v>144</v>
      </c>
      <c r="I980" t="s">
        <v>144</v>
      </c>
      <c r="J980" t="s">
        <v>6</v>
      </c>
      <c r="L980">
        <v>522611</v>
      </c>
      <c r="M980" s="99" t="s">
        <v>178</v>
      </c>
      <c r="N980">
        <v>1</v>
      </c>
      <c r="O980">
        <v>4</v>
      </c>
      <c r="P980">
        <v>10.4201</v>
      </c>
      <c r="Q980" t="s">
        <v>352</v>
      </c>
      <c r="R980">
        <v>1</v>
      </c>
      <c r="S980">
        <v>10.2897</v>
      </c>
      <c r="T980">
        <v>0.3488</v>
      </c>
      <c r="U980">
        <v>0.3738532110091739</v>
      </c>
      <c r="V980">
        <v>9.2432999999999996</v>
      </c>
      <c r="W980">
        <v>9.5921000000000003</v>
      </c>
      <c r="X980">
        <v>9.9408999999999992</v>
      </c>
      <c r="Y980">
        <v>10.638500000000001</v>
      </c>
      <c r="Z980">
        <v>10.987299999999999</v>
      </c>
      <c r="AA980">
        <v>11.3361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 t="s">
        <v>462</v>
      </c>
      <c r="AL980" t="s">
        <v>6</v>
      </c>
      <c r="AM980" t="s">
        <v>1145</v>
      </c>
      <c r="AN980" t="s">
        <v>1146</v>
      </c>
      <c r="AO980" s="100">
        <v>46262.040405092594</v>
      </c>
      <c r="AP980" t="s">
        <v>1147</v>
      </c>
      <c r="AQ980" t="s">
        <v>3183</v>
      </c>
      <c r="AR980" t="s">
        <v>1167</v>
      </c>
      <c r="AS980" t="s">
        <v>1150</v>
      </c>
      <c r="AT980" t="s">
        <v>3177</v>
      </c>
      <c r="AU980">
        <v>25</v>
      </c>
      <c r="AV980">
        <v>10.282411999999999</v>
      </c>
      <c r="AW980">
        <v>0.25684105545388702</v>
      </c>
      <c r="AX980">
        <v>2.4978677712377899</v>
      </c>
      <c r="AY980">
        <v>-3.5755108740503752</v>
      </c>
      <c r="AZ980">
        <v>7.6969926965927282</v>
      </c>
      <c r="BB980" t="s">
        <v>4620</v>
      </c>
      <c r="BD980" s="98"/>
      <c r="BE980" s="98"/>
      <c r="BF980" t="s">
        <v>1152</v>
      </c>
      <c r="BG980" t="s">
        <v>322</v>
      </c>
      <c r="BH980" t="s">
        <v>1153</v>
      </c>
      <c r="BI980">
        <v>3.5755108740503752</v>
      </c>
      <c r="BN980" t="s">
        <v>1154</v>
      </c>
      <c r="BO980">
        <v>2025</v>
      </c>
      <c r="BP980" t="s">
        <v>966</v>
      </c>
      <c r="BZ980" t="s">
        <v>1513</v>
      </c>
      <c r="CA980" t="s">
        <v>1513</v>
      </c>
      <c r="CB980" t="b">
        <v>0</v>
      </c>
      <c r="CC980" t="b">
        <v>0</v>
      </c>
      <c r="CD980" t="b">
        <v>0</v>
      </c>
      <c r="CE980" t="b">
        <v>0</v>
      </c>
      <c r="CF980" t="b">
        <v>0</v>
      </c>
    </row>
    <row r="981" spans="1:84" x14ac:dyDescent="0.3">
      <c r="A981" t="s">
        <v>3184</v>
      </c>
      <c r="B981" t="s">
        <v>1169</v>
      </c>
      <c r="C981" s="98">
        <v>45691</v>
      </c>
      <c r="D981">
        <v>2025</v>
      </c>
      <c r="E981">
        <v>2</v>
      </c>
      <c r="F981">
        <v>1</v>
      </c>
      <c r="G981" t="s">
        <v>1170</v>
      </c>
      <c r="H981" t="s">
        <v>144</v>
      </c>
      <c r="I981" t="s">
        <v>144</v>
      </c>
      <c r="J981" t="s">
        <v>6</v>
      </c>
      <c r="L981">
        <v>522611</v>
      </c>
      <c r="M981" s="99" t="s">
        <v>178</v>
      </c>
      <c r="N981">
        <v>1</v>
      </c>
      <c r="O981">
        <v>5</v>
      </c>
      <c r="P981">
        <v>9.9718</v>
      </c>
      <c r="Q981" t="s">
        <v>352</v>
      </c>
      <c r="R981">
        <v>1</v>
      </c>
      <c r="S981">
        <v>10.2897</v>
      </c>
      <c r="T981">
        <v>0.3488</v>
      </c>
      <c r="U981">
        <v>-0.91141055045871522</v>
      </c>
      <c r="V981">
        <v>9.2432999999999996</v>
      </c>
      <c r="W981">
        <v>9.5921000000000003</v>
      </c>
      <c r="X981">
        <v>9.9408999999999992</v>
      </c>
      <c r="Y981">
        <v>10.638500000000001</v>
      </c>
      <c r="Z981">
        <v>10.987299999999999</v>
      </c>
      <c r="AA981">
        <v>11.3361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 t="s">
        <v>462</v>
      </c>
      <c r="AL981" t="s">
        <v>6</v>
      </c>
      <c r="AM981" t="s">
        <v>1145</v>
      </c>
      <c r="AN981" t="s">
        <v>1146</v>
      </c>
      <c r="AO981" s="100">
        <v>46262.040405092594</v>
      </c>
      <c r="AP981" t="s">
        <v>1147</v>
      </c>
      <c r="AQ981" t="s">
        <v>3185</v>
      </c>
      <c r="AR981" t="s">
        <v>1172</v>
      </c>
      <c r="AS981" t="s">
        <v>1150</v>
      </c>
      <c r="AT981" t="s">
        <v>3177</v>
      </c>
      <c r="AU981">
        <v>25</v>
      </c>
      <c r="AV981">
        <v>10.282411999999999</v>
      </c>
      <c r="AW981">
        <v>0.25684105545388702</v>
      </c>
      <c r="AX981">
        <v>2.4978677712377899</v>
      </c>
      <c r="AY981">
        <v>-3.5755108740503752</v>
      </c>
      <c r="AZ981">
        <v>7.6969926965927282</v>
      </c>
      <c r="BB981" t="s">
        <v>4620</v>
      </c>
      <c r="BD981" s="98"/>
      <c r="BE981" s="98"/>
      <c r="BF981" t="s">
        <v>1152</v>
      </c>
      <c r="BG981" t="s">
        <v>322</v>
      </c>
      <c r="BH981" t="s">
        <v>1153</v>
      </c>
      <c r="BI981">
        <v>3.5755108740503752</v>
      </c>
      <c r="BN981" t="s">
        <v>1154</v>
      </c>
      <c r="BO981">
        <v>2025</v>
      </c>
      <c r="BP981" t="s">
        <v>966</v>
      </c>
      <c r="BZ981" t="s">
        <v>1513</v>
      </c>
      <c r="CA981" t="s">
        <v>1513</v>
      </c>
      <c r="CB981" t="b">
        <v>0</v>
      </c>
      <c r="CC981" t="b">
        <v>0</v>
      </c>
      <c r="CD981" t="b">
        <v>0</v>
      </c>
      <c r="CE981" t="b">
        <v>0</v>
      </c>
      <c r="CF981" t="b">
        <v>0</v>
      </c>
    </row>
    <row r="982" spans="1:84" x14ac:dyDescent="0.3">
      <c r="A982" t="s">
        <v>3186</v>
      </c>
      <c r="B982" t="s">
        <v>1174</v>
      </c>
      <c r="C982" s="98">
        <v>45698</v>
      </c>
      <c r="D982">
        <v>2025</v>
      </c>
      <c r="E982">
        <v>2</v>
      </c>
      <c r="F982">
        <v>1</v>
      </c>
      <c r="G982" t="s">
        <v>1170</v>
      </c>
      <c r="H982" t="s">
        <v>144</v>
      </c>
      <c r="I982" t="s">
        <v>144</v>
      </c>
      <c r="J982" t="s">
        <v>6</v>
      </c>
      <c r="L982">
        <v>522611</v>
      </c>
      <c r="M982" s="99" t="s">
        <v>178</v>
      </c>
      <c r="N982">
        <v>1</v>
      </c>
      <c r="O982">
        <v>6</v>
      </c>
      <c r="P982">
        <v>9.9712999999999994</v>
      </c>
      <c r="Q982" t="s">
        <v>352</v>
      </c>
      <c r="R982">
        <v>1</v>
      </c>
      <c r="S982">
        <v>10.2897</v>
      </c>
      <c r="T982">
        <v>0.3488</v>
      </c>
      <c r="U982">
        <v>-0.91284403669724901</v>
      </c>
      <c r="V982">
        <v>9.2432999999999996</v>
      </c>
      <c r="W982">
        <v>9.5921000000000003</v>
      </c>
      <c r="X982">
        <v>9.9408999999999992</v>
      </c>
      <c r="Y982">
        <v>10.638500000000001</v>
      </c>
      <c r="Z982">
        <v>10.987299999999999</v>
      </c>
      <c r="AA982">
        <v>11.3361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 t="s">
        <v>462</v>
      </c>
      <c r="AL982" t="s">
        <v>6</v>
      </c>
      <c r="AM982" t="s">
        <v>1145</v>
      </c>
      <c r="AN982" t="s">
        <v>1146</v>
      </c>
      <c r="AO982" s="100">
        <v>46262.040405092594</v>
      </c>
      <c r="AP982" t="s">
        <v>1147</v>
      </c>
      <c r="AQ982" t="s">
        <v>3187</v>
      </c>
      <c r="AR982" t="s">
        <v>1176</v>
      </c>
      <c r="AS982" t="s">
        <v>1150</v>
      </c>
      <c r="AT982" t="s">
        <v>3177</v>
      </c>
      <c r="AU982">
        <v>25</v>
      </c>
      <c r="AV982">
        <v>10.282411999999999</v>
      </c>
      <c r="AW982">
        <v>0.25684105545388702</v>
      </c>
      <c r="AX982">
        <v>2.4978677712377899</v>
      </c>
      <c r="AY982">
        <v>-3.5755108740503752</v>
      </c>
      <c r="AZ982">
        <v>7.6969926965927282</v>
      </c>
      <c r="BB982" t="s">
        <v>4620</v>
      </c>
      <c r="BD982" s="98"/>
      <c r="BE982" s="98"/>
      <c r="BF982" t="s">
        <v>1152</v>
      </c>
      <c r="BG982" t="s">
        <v>322</v>
      </c>
      <c r="BH982" t="s">
        <v>1153</v>
      </c>
      <c r="BI982">
        <v>3.5755108740503752</v>
      </c>
      <c r="BN982" t="s">
        <v>1154</v>
      </c>
      <c r="BO982">
        <v>2025</v>
      </c>
      <c r="BP982" t="s">
        <v>966</v>
      </c>
      <c r="BZ982" t="s">
        <v>1513</v>
      </c>
      <c r="CA982" t="s">
        <v>1513</v>
      </c>
      <c r="CB982" t="b">
        <v>0</v>
      </c>
      <c r="CC982" t="b">
        <v>0</v>
      </c>
      <c r="CD982" t="b">
        <v>0</v>
      </c>
      <c r="CE982" t="b">
        <v>0</v>
      </c>
      <c r="CF982" t="b">
        <v>0</v>
      </c>
    </row>
    <row r="983" spans="1:84" x14ac:dyDescent="0.3">
      <c r="A983" t="s">
        <v>3188</v>
      </c>
      <c r="B983" t="s">
        <v>1178</v>
      </c>
      <c r="C983" s="98">
        <v>45705</v>
      </c>
      <c r="D983">
        <v>2025</v>
      </c>
      <c r="E983">
        <v>2</v>
      </c>
      <c r="F983">
        <v>1</v>
      </c>
      <c r="G983" t="s">
        <v>1170</v>
      </c>
      <c r="H983" t="s">
        <v>144</v>
      </c>
      <c r="I983" t="s">
        <v>144</v>
      </c>
      <c r="J983" t="s">
        <v>6</v>
      </c>
      <c r="L983">
        <v>522611</v>
      </c>
      <c r="M983" s="99" t="s">
        <v>178</v>
      </c>
      <c r="N983">
        <v>1</v>
      </c>
      <c r="O983">
        <v>7</v>
      </c>
      <c r="P983">
        <v>9.7430000000000003</v>
      </c>
      <c r="Q983" t="s">
        <v>352</v>
      </c>
      <c r="R983">
        <v>1</v>
      </c>
      <c r="S983">
        <v>10.2897</v>
      </c>
      <c r="T983">
        <v>0.3488</v>
      </c>
      <c r="U983">
        <v>-1.5673738532110078</v>
      </c>
      <c r="V983">
        <v>9.2432999999999996</v>
      </c>
      <c r="W983">
        <v>9.5921000000000003</v>
      </c>
      <c r="X983">
        <v>9.9408999999999992</v>
      </c>
      <c r="Y983">
        <v>10.638500000000001</v>
      </c>
      <c r="Z983">
        <v>10.987299999999999</v>
      </c>
      <c r="AA983">
        <v>11.3361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 t="s">
        <v>462</v>
      </c>
      <c r="AL983" t="s">
        <v>6</v>
      </c>
      <c r="AM983" t="s">
        <v>1145</v>
      </c>
      <c r="AN983" t="s">
        <v>1146</v>
      </c>
      <c r="AO983" s="100">
        <v>46262.040405092594</v>
      </c>
      <c r="AP983" t="s">
        <v>1147</v>
      </c>
      <c r="AQ983" t="s">
        <v>3189</v>
      </c>
      <c r="AR983" t="s">
        <v>1180</v>
      </c>
      <c r="AS983" t="s">
        <v>1150</v>
      </c>
      <c r="AT983" t="s">
        <v>3177</v>
      </c>
      <c r="AU983">
        <v>25</v>
      </c>
      <c r="AV983">
        <v>10.282411999999999</v>
      </c>
      <c r="AW983">
        <v>0.25684105545388702</v>
      </c>
      <c r="AX983">
        <v>2.4978677712377899</v>
      </c>
      <c r="AY983">
        <v>-3.5755108740503752</v>
      </c>
      <c r="AZ983">
        <v>7.6969926965927282</v>
      </c>
      <c r="BB983" t="s">
        <v>4620</v>
      </c>
      <c r="BD983" s="98"/>
      <c r="BE983" s="98"/>
      <c r="BF983" t="s">
        <v>1152</v>
      </c>
      <c r="BG983" t="s">
        <v>322</v>
      </c>
      <c r="BH983" t="s">
        <v>1153</v>
      </c>
      <c r="BI983">
        <v>3.5755108740503752</v>
      </c>
      <c r="BN983" t="s">
        <v>1154</v>
      </c>
      <c r="BO983">
        <v>2025</v>
      </c>
      <c r="BP983" t="s">
        <v>966</v>
      </c>
      <c r="BZ983" t="s">
        <v>1513</v>
      </c>
      <c r="CA983" t="s">
        <v>1513</v>
      </c>
      <c r="CB983" t="b">
        <v>0</v>
      </c>
      <c r="CC983" t="b">
        <v>0</v>
      </c>
      <c r="CD983" t="b">
        <v>0</v>
      </c>
      <c r="CE983" t="b">
        <v>0</v>
      </c>
      <c r="CF983" t="b">
        <v>0</v>
      </c>
    </row>
    <row r="984" spans="1:84" x14ac:dyDescent="0.3">
      <c r="A984" t="s">
        <v>3190</v>
      </c>
      <c r="B984" t="s">
        <v>1182</v>
      </c>
      <c r="C984" s="98">
        <v>45712</v>
      </c>
      <c r="D984">
        <v>2025</v>
      </c>
      <c r="E984">
        <v>2</v>
      </c>
      <c r="F984">
        <v>1</v>
      </c>
      <c r="G984" t="s">
        <v>1170</v>
      </c>
      <c r="H984" t="s">
        <v>144</v>
      </c>
      <c r="I984" t="s">
        <v>144</v>
      </c>
      <c r="J984" t="s">
        <v>6</v>
      </c>
      <c r="L984">
        <v>522611</v>
      </c>
      <c r="M984" s="99" t="s">
        <v>178</v>
      </c>
      <c r="N984">
        <v>1</v>
      </c>
      <c r="O984">
        <v>8</v>
      </c>
      <c r="P984">
        <v>10.2803</v>
      </c>
      <c r="Q984" t="s">
        <v>352</v>
      </c>
      <c r="R984">
        <v>1</v>
      </c>
      <c r="S984">
        <v>10.2897</v>
      </c>
      <c r="T984">
        <v>0.3488</v>
      </c>
      <c r="U984">
        <v>-2.6949541284401975E-2</v>
      </c>
      <c r="V984">
        <v>9.2432999999999996</v>
      </c>
      <c r="W984">
        <v>9.5921000000000003</v>
      </c>
      <c r="X984">
        <v>9.9408999999999992</v>
      </c>
      <c r="Y984">
        <v>10.638500000000001</v>
      </c>
      <c r="Z984">
        <v>10.987299999999999</v>
      </c>
      <c r="AA984">
        <v>11.3361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 t="s">
        <v>462</v>
      </c>
      <c r="AL984" t="s">
        <v>6</v>
      </c>
      <c r="AM984" t="s">
        <v>1145</v>
      </c>
      <c r="AN984" t="s">
        <v>1146</v>
      </c>
      <c r="AO984" s="100">
        <v>46262.040405092594</v>
      </c>
      <c r="AP984" t="s">
        <v>1147</v>
      </c>
      <c r="AQ984" t="s">
        <v>3191</v>
      </c>
      <c r="AR984" t="s">
        <v>1184</v>
      </c>
      <c r="AS984" t="s">
        <v>1150</v>
      </c>
      <c r="AT984" t="s">
        <v>3177</v>
      </c>
      <c r="AU984">
        <v>25</v>
      </c>
      <c r="AV984">
        <v>10.282411999999999</v>
      </c>
      <c r="AW984">
        <v>0.25684105545388702</v>
      </c>
      <c r="AX984">
        <v>2.4978677712377899</v>
      </c>
      <c r="AY984">
        <v>-3.5755108740503752</v>
      </c>
      <c r="AZ984">
        <v>7.6969926965927282</v>
      </c>
      <c r="BB984" t="s">
        <v>4620</v>
      </c>
      <c r="BD984" s="98"/>
      <c r="BE984" s="98"/>
      <c r="BF984" t="s">
        <v>1152</v>
      </c>
      <c r="BG984" t="s">
        <v>322</v>
      </c>
      <c r="BH984" t="s">
        <v>1153</v>
      </c>
      <c r="BI984">
        <v>3.5755108740503752</v>
      </c>
      <c r="BN984" t="s">
        <v>1154</v>
      </c>
      <c r="BO984">
        <v>2025</v>
      </c>
      <c r="BP984" t="s">
        <v>966</v>
      </c>
      <c r="BZ984" t="s">
        <v>1513</v>
      </c>
      <c r="CA984" t="s">
        <v>1513</v>
      </c>
      <c r="CB984" t="b">
        <v>0</v>
      </c>
      <c r="CC984" t="b">
        <v>0</v>
      </c>
      <c r="CD984" t="b">
        <v>0</v>
      </c>
      <c r="CE984" t="b">
        <v>0</v>
      </c>
      <c r="CF984" t="b">
        <v>0</v>
      </c>
    </row>
    <row r="985" spans="1:84" x14ac:dyDescent="0.3">
      <c r="A985" t="s">
        <v>3192</v>
      </c>
      <c r="B985" t="s">
        <v>1186</v>
      </c>
      <c r="C985" s="98">
        <v>45719</v>
      </c>
      <c r="D985">
        <v>2025</v>
      </c>
      <c r="E985">
        <v>3</v>
      </c>
      <c r="F985">
        <v>1</v>
      </c>
      <c r="G985" t="s">
        <v>1187</v>
      </c>
      <c r="H985" t="s">
        <v>144</v>
      </c>
      <c r="I985" t="s">
        <v>144</v>
      </c>
      <c r="J985" t="s">
        <v>6</v>
      </c>
      <c r="L985">
        <v>522611</v>
      </c>
      <c r="M985" s="99" t="s">
        <v>178</v>
      </c>
      <c r="N985">
        <v>1</v>
      </c>
      <c r="O985">
        <v>9</v>
      </c>
      <c r="P985">
        <v>10.462999999999999</v>
      </c>
      <c r="Q985" t="s">
        <v>352</v>
      </c>
      <c r="R985">
        <v>1</v>
      </c>
      <c r="S985">
        <v>10.2897</v>
      </c>
      <c r="T985">
        <v>0.3488</v>
      </c>
      <c r="U985">
        <v>0.49684633027522745</v>
      </c>
      <c r="V985">
        <v>9.2432999999999996</v>
      </c>
      <c r="W985">
        <v>9.5921000000000003</v>
      </c>
      <c r="X985">
        <v>9.9408999999999992</v>
      </c>
      <c r="Y985">
        <v>10.638500000000001</v>
      </c>
      <c r="Z985">
        <v>10.987299999999999</v>
      </c>
      <c r="AA985">
        <v>11.3361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 t="s">
        <v>462</v>
      </c>
      <c r="AL985" t="s">
        <v>6</v>
      </c>
      <c r="AM985" t="s">
        <v>1145</v>
      </c>
      <c r="AN985" t="s">
        <v>1146</v>
      </c>
      <c r="AO985" s="100">
        <v>46262.040405092594</v>
      </c>
      <c r="AP985" t="s">
        <v>1147</v>
      </c>
      <c r="AQ985" t="s">
        <v>3193</v>
      </c>
      <c r="AR985" t="s">
        <v>1189</v>
      </c>
      <c r="AS985" t="s">
        <v>1150</v>
      </c>
      <c r="AT985" t="s">
        <v>3177</v>
      </c>
      <c r="AU985">
        <v>25</v>
      </c>
      <c r="AV985">
        <v>10.282411999999999</v>
      </c>
      <c r="AW985">
        <v>0.25684105545388702</v>
      </c>
      <c r="AX985">
        <v>2.4978677712377899</v>
      </c>
      <c r="AY985">
        <v>-3.5755108740503752</v>
      </c>
      <c r="AZ985">
        <v>7.6969926965927282</v>
      </c>
      <c r="BB985" t="s">
        <v>4620</v>
      </c>
      <c r="BD985" s="98"/>
      <c r="BE985" s="98"/>
      <c r="BF985" t="s">
        <v>1152</v>
      </c>
      <c r="BG985" t="s">
        <v>322</v>
      </c>
      <c r="BH985" t="s">
        <v>1153</v>
      </c>
      <c r="BI985">
        <v>3.5755108740503752</v>
      </c>
      <c r="BN985" t="s">
        <v>1154</v>
      </c>
      <c r="BO985">
        <v>2025</v>
      </c>
      <c r="BP985" t="s">
        <v>966</v>
      </c>
      <c r="BZ985" t="s">
        <v>1513</v>
      </c>
      <c r="CA985" t="s">
        <v>1513</v>
      </c>
      <c r="CB985" t="b">
        <v>0</v>
      </c>
      <c r="CC985" t="b">
        <v>0</v>
      </c>
      <c r="CD985" t="b">
        <v>0</v>
      </c>
      <c r="CE985" t="b">
        <v>0</v>
      </c>
      <c r="CF985" t="b">
        <v>0</v>
      </c>
    </row>
    <row r="986" spans="1:84" x14ac:dyDescent="0.3">
      <c r="A986" t="s">
        <v>3194</v>
      </c>
      <c r="B986" t="s">
        <v>1191</v>
      </c>
      <c r="C986" s="98">
        <v>45726</v>
      </c>
      <c r="D986">
        <v>2025</v>
      </c>
      <c r="E986">
        <v>3</v>
      </c>
      <c r="F986">
        <v>1</v>
      </c>
      <c r="G986" t="s">
        <v>1187</v>
      </c>
      <c r="H986" t="s">
        <v>144</v>
      </c>
      <c r="I986" t="s">
        <v>144</v>
      </c>
      <c r="J986" t="s">
        <v>6</v>
      </c>
      <c r="L986">
        <v>522611</v>
      </c>
      <c r="M986" s="99" t="s">
        <v>178</v>
      </c>
      <c r="N986">
        <v>1</v>
      </c>
      <c r="O986">
        <v>10</v>
      </c>
      <c r="P986">
        <v>10.6465</v>
      </c>
      <c r="Q986" t="s">
        <v>352</v>
      </c>
      <c r="R986">
        <v>1</v>
      </c>
      <c r="S986">
        <v>10.2897</v>
      </c>
      <c r="T986">
        <v>0.3488</v>
      </c>
      <c r="U986">
        <v>1.0229357798165131</v>
      </c>
      <c r="V986">
        <v>9.2432999999999996</v>
      </c>
      <c r="W986">
        <v>9.5921000000000003</v>
      </c>
      <c r="X986">
        <v>9.9408999999999992</v>
      </c>
      <c r="Y986">
        <v>10.638500000000001</v>
      </c>
      <c r="Z986">
        <v>10.987299999999999</v>
      </c>
      <c r="AA986">
        <v>11.3361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 t="s">
        <v>462</v>
      </c>
      <c r="AL986" t="s">
        <v>6</v>
      </c>
      <c r="AM986" t="s">
        <v>1145</v>
      </c>
      <c r="AN986" t="s">
        <v>1146</v>
      </c>
      <c r="AO986" s="100">
        <v>46262.040405092594</v>
      </c>
      <c r="AP986" t="s">
        <v>1147</v>
      </c>
      <c r="AQ986" t="s">
        <v>3195</v>
      </c>
      <c r="AR986" t="s">
        <v>1193</v>
      </c>
      <c r="AS986" t="s">
        <v>1150</v>
      </c>
      <c r="AT986" t="s">
        <v>3177</v>
      </c>
      <c r="AU986">
        <v>25</v>
      </c>
      <c r="AV986">
        <v>10.282411999999999</v>
      </c>
      <c r="AW986">
        <v>0.25684105545388702</v>
      </c>
      <c r="AX986">
        <v>2.4978677712377899</v>
      </c>
      <c r="AY986">
        <v>-3.5755108740503752</v>
      </c>
      <c r="AZ986">
        <v>7.6969926965927282</v>
      </c>
      <c r="BB986" t="s">
        <v>4620</v>
      </c>
      <c r="BD986" s="98"/>
      <c r="BE986" s="98"/>
      <c r="BF986" t="s">
        <v>1152</v>
      </c>
      <c r="BG986" t="s">
        <v>322</v>
      </c>
      <c r="BH986" t="s">
        <v>1153</v>
      </c>
      <c r="BI986">
        <v>3.5755108740503752</v>
      </c>
      <c r="BN986" t="s">
        <v>1154</v>
      </c>
      <c r="BO986">
        <v>2025</v>
      </c>
      <c r="BP986" t="s">
        <v>966</v>
      </c>
      <c r="BZ986" t="s">
        <v>1513</v>
      </c>
      <c r="CA986" t="s">
        <v>1513</v>
      </c>
      <c r="CB986" t="b">
        <v>0</v>
      </c>
      <c r="CC986" t="b">
        <v>0</v>
      </c>
      <c r="CD986" t="b">
        <v>0</v>
      </c>
      <c r="CE986" t="b">
        <v>0</v>
      </c>
      <c r="CF986" t="b">
        <v>0</v>
      </c>
    </row>
    <row r="987" spans="1:84" x14ac:dyDescent="0.3">
      <c r="A987" t="s">
        <v>3196</v>
      </c>
      <c r="B987" t="s">
        <v>1195</v>
      </c>
      <c r="C987" s="98">
        <v>45733</v>
      </c>
      <c r="D987">
        <v>2025</v>
      </c>
      <c r="E987">
        <v>3</v>
      </c>
      <c r="F987">
        <v>1</v>
      </c>
      <c r="G987" t="s">
        <v>1187</v>
      </c>
      <c r="H987" t="s">
        <v>144</v>
      </c>
      <c r="I987" t="s">
        <v>144</v>
      </c>
      <c r="J987" t="s">
        <v>6</v>
      </c>
      <c r="L987">
        <v>522611</v>
      </c>
      <c r="M987" s="99" t="s">
        <v>178</v>
      </c>
      <c r="N987">
        <v>1</v>
      </c>
      <c r="O987">
        <v>11</v>
      </c>
      <c r="P987">
        <v>10.2402</v>
      </c>
      <c r="Q987" t="s">
        <v>352</v>
      </c>
      <c r="R987">
        <v>1</v>
      </c>
      <c r="S987">
        <v>10.2897</v>
      </c>
      <c r="T987">
        <v>0.3488</v>
      </c>
      <c r="U987">
        <v>-0.14191513761467919</v>
      </c>
      <c r="V987">
        <v>9.2432999999999996</v>
      </c>
      <c r="W987">
        <v>9.5921000000000003</v>
      </c>
      <c r="X987">
        <v>9.9408999999999992</v>
      </c>
      <c r="Y987">
        <v>10.638500000000001</v>
      </c>
      <c r="Z987">
        <v>10.987299999999999</v>
      </c>
      <c r="AA987">
        <v>11.3361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 t="s">
        <v>462</v>
      </c>
      <c r="AL987" t="s">
        <v>6</v>
      </c>
      <c r="AM987" t="s">
        <v>1145</v>
      </c>
      <c r="AN987" t="s">
        <v>1146</v>
      </c>
      <c r="AO987" s="100">
        <v>46262.040405092594</v>
      </c>
      <c r="AP987" t="s">
        <v>1147</v>
      </c>
      <c r="AQ987" t="s">
        <v>3197</v>
      </c>
      <c r="AR987" t="s">
        <v>1197</v>
      </c>
      <c r="AS987" t="s">
        <v>1150</v>
      </c>
      <c r="AT987" t="s">
        <v>3177</v>
      </c>
      <c r="AU987">
        <v>25</v>
      </c>
      <c r="AV987">
        <v>10.282411999999999</v>
      </c>
      <c r="AW987">
        <v>0.25684105545388702</v>
      </c>
      <c r="AX987">
        <v>2.4978677712377899</v>
      </c>
      <c r="AY987">
        <v>-3.5755108740503752</v>
      </c>
      <c r="AZ987">
        <v>7.6969926965927282</v>
      </c>
      <c r="BB987" t="s">
        <v>4620</v>
      </c>
      <c r="BD987" s="98"/>
      <c r="BE987" s="98"/>
      <c r="BF987" t="s">
        <v>1152</v>
      </c>
      <c r="BG987" t="s">
        <v>322</v>
      </c>
      <c r="BH987" t="s">
        <v>1153</v>
      </c>
      <c r="BI987">
        <v>3.5755108740503752</v>
      </c>
      <c r="BN987" t="s">
        <v>1154</v>
      </c>
      <c r="BO987">
        <v>2025</v>
      </c>
      <c r="BP987" t="s">
        <v>966</v>
      </c>
      <c r="BZ987" t="s">
        <v>1513</v>
      </c>
      <c r="CA987" t="s">
        <v>1513</v>
      </c>
      <c r="CB987" t="b">
        <v>0</v>
      </c>
      <c r="CC987" t="b">
        <v>0</v>
      </c>
      <c r="CD987" t="b">
        <v>0</v>
      </c>
      <c r="CE987" t="b">
        <v>0</v>
      </c>
      <c r="CF987" t="b">
        <v>0</v>
      </c>
    </row>
    <row r="988" spans="1:84" x14ac:dyDescent="0.3">
      <c r="A988" t="s">
        <v>3198</v>
      </c>
      <c r="B988" t="s">
        <v>1199</v>
      </c>
      <c r="C988" s="98">
        <v>45740</v>
      </c>
      <c r="D988">
        <v>2025</v>
      </c>
      <c r="E988">
        <v>3</v>
      </c>
      <c r="F988">
        <v>1</v>
      </c>
      <c r="G988" t="s">
        <v>1187</v>
      </c>
      <c r="H988" t="s">
        <v>144</v>
      </c>
      <c r="I988" t="s">
        <v>144</v>
      </c>
      <c r="J988" t="s">
        <v>6</v>
      </c>
      <c r="L988">
        <v>522611</v>
      </c>
      <c r="M988" s="99" t="s">
        <v>178</v>
      </c>
      <c r="N988">
        <v>1</v>
      </c>
      <c r="O988">
        <v>12</v>
      </c>
      <c r="P988">
        <v>10.655200000000001</v>
      </c>
      <c r="Q988" t="s">
        <v>352</v>
      </c>
      <c r="R988">
        <v>1</v>
      </c>
      <c r="S988">
        <v>10.2897</v>
      </c>
      <c r="T988">
        <v>0.3488</v>
      </c>
      <c r="U988">
        <v>1.0478784403669748</v>
      </c>
      <c r="V988">
        <v>9.2432999999999996</v>
      </c>
      <c r="W988">
        <v>9.5921000000000003</v>
      </c>
      <c r="X988">
        <v>9.9408999999999992</v>
      </c>
      <c r="Y988">
        <v>10.638500000000001</v>
      </c>
      <c r="Z988">
        <v>10.987299999999999</v>
      </c>
      <c r="AA988">
        <v>11.3361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 t="s">
        <v>462</v>
      </c>
      <c r="AL988" t="s">
        <v>6</v>
      </c>
      <c r="AM988" t="s">
        <v>1145</v>
      </c>
      <c r="AN988" t="s">
        <v>1146</v>
      </c>
      <c r="AO988" s="100">
        <v>46262.040405092594</v>
      </c>
      <c r="AP988" t="s">
        <v>1147</v>
      </c>
      <c r="AQ988" t="s">
        <v>3199</v>
      </c>
      <c r="AR988" t="s">
        <v>1201</v>
      </c>
      <c r="AS988" t="s">
        <v>1150</v>
      </c>
      <c r="AT988" t="s">
        <v>3177</v>
      </c>
      <c r="AU988">
        <v>25</v>
      </c>
      <c r="AV988">
        <v>10.282411999999999</v>
      </c>
      <c r="AW988">
        <v>0.25684105545388702</v>
      </c>
      <c r="AX988">
        <v>2.4978677712377899</v>
      </c>
      <c r="AY988">
        <v>-3.5755108740503752</v>
      </c>
      <c r="AZ988">
        <v>7.6969926965927282</v>
      </c>
      <c r="BB988" t="s">
        <v>4620</v>
      </c>
      <c r="BD988" s="98"/>
      <c r="BE988" s="98"/>
      <c r="BF988" t="s">
        <v>1152</v>
      </c>
      <c r="BG988" t="s">
        <v>322</v>
      </c>
      <c r="BH988" t="s">
        <v>1153</v>
      </c>
      <c r="BI988">
        <v>3.5755108740503752</v>
      </c>
      <c r="BN988" t="s">
        <v>1154</v>
      </c>
      <c r="BO988">
        <v>2025</v>
      </c>
      <c r="BP988" t="s">
        <v>966</v>
      </c>
      <c r="BZ988" t="s">
        <v>1513</v>
      </c>
      <c r="CA988" t="s">
        <v>1513</v>
      </c>
      <c r="CB988" t="b">
        <v>0</v>
      </c>
      <c r="CC988" t="b">
        <v>0</v>
      </c>
      <c r="CD988" t="b">
        <v>0</v>
      </c>
      <c r="CE988" t="b">
        <v>0</v>
      </c>
      <c r="CF988" t="b">
        <v>0</v>
      </c>
    </row>
    <row r="989" spans="1:84" x14ac:dyDescent="0.3">
      <c r="A989" t="s">
        <v>3200</v>
      </c>
      <c r="B989" t="s">
        <v>1203</v>
      </c>
      <c r="C989" s="98">
        <v>45747</v>
      </c>
      <c r="D989">
        <v>2025</v>
      </c>
      <c r="E989">
        <v>3</v>
      </c>
      <c r="F989">
        <v>1</v>
      </c>
      <c r="G989" t="s">
        <v>1187</v>
      </c>
      <c r="H989" t="s">
        <v>144</v>
      </c>
      <c r="I989" t="s">
        <v>144</v>
      </c>
      <c r="J989" t="s">
        <v>6</v>
      </c>
      <c r="L989">
        <v>522611</v>
      </c>
      <c r="M989" s="99" t="s">
        <v>178</v>
      </c>
      <c r="N989">
        <v>1</v>
      </c>
      <c r="O989">
        <v>13</v>
      </c>
      <c r="P989">
        <v>10.2959</v>
      </c>
      <c r="Q989" t="s">
        <v>352</v>
      </c>
      <c r="R989">
        <v>1</v>
      </c>
      <c r="S989">
        <v>10.2897</v>
      </c>
      <c r="T989">
        <v>0.3488</v>
      </c>
      <c r="U989">
        <v>1.7775229357797479E-2</v>
      </c>
      <c r="V989">
        <v>9.2432999999999996</v>
      </c>
      <c r="W989">
        <v>9.5921000000000003</v>
      </c>
      <c r="X989">
        <v>9.9408999999999992</v>
      </c>
      <c r="Y989">
        <v>10.638500000000001</v>
      </c>
      <c r="Z989">
        <v>10.987299999999999</v>
      </c>
      <c r="AA989">
        <v>11.3361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 t="s">
        <v>462</v>
      </c>
      <c r="AL989" t="s">
        <v>6</v>
      </c>
      <c r="AM989" t="s">
        <v>1145</v>
      </c>
      <c r="AN989" t="s">
        <v>1146</v>
      </c>
      <c r="AO989" s="100">
        <v>46262.040405092594</v>
      </c>
      <c r="AP989" t="s">
        <v>1147</v>
      </c>
      <c r="AQ989" t="s">
        <v>3201</v>
      </c>
      <c r="AR989" t="s">
        <v>1205</v>
      </c>
      <c r="AS989" t="s">
        <v>1150</v>
      </c>
      <c r="AT989" t="s">
        <v>3177</v>
      </c>
      <c r="AU989">
        <v>25</v>
      </c>
      <c r="AV989">
        <v>10.282411999999999</v>
      </c>
      <c r="AW989">
        <v>0.25684105545388702</v>
      </c>
      <c r="AX989">
        <v>2.4978677712377899</v>
      </c>
      <c r="AY989">
        <v>-3.5755108740503752</v>
      </c>
      <c r="AZ989">
        <v>7.6969926965927282</v>
      </c>
      <c r="BB989" t="s">
        <v>4620</v>
      </c>
      <c r="BD989" s="98"/>
      <c r="BE989" s="98"/>
      <c r="BF989" t="s">
        <v>1152</v>
      </c>
      <c r="BG989" t="s">
        <v>322</v>
      </c>
      <c r="BH989" t="s">
        <v>1153</v>
      </c>
      <c r="BI989">
        <v>3.5755108740503752</v>
      </c>
      <c r="BN989" t="s">
        <v>1154</v>
      </c>
      <c r="BO989">
        <v>2025</v>
      </c>
      <c r="BP989" t="s">
        <v>966</v>
      </c>
      <c r="BZ989" t="s">
        <v>1513</v>
      </c>
      <c r="CA989" t="s">
        <v>1513</v>
      </c>
      <c r="CB989" t="b">
        <v>0</v>
      </c>
      <c r="CC989" t="b">
        <v>0</v>
      </c>
      <c r="CD989" t="b">
        <v>0</v>
      </c>
      <c r="CE989" t="b">
        <v>0</v>
      </c>
      <c r="CF989" t="b">
        <v>0</v>
      </c>
    </row>
    <row r="990" spans="1:84" x14ac:dyDescent="0.3">
      <c r="A990" t="s">
        <v>3202</v>
      </c>
      <c r="B990" t="s">
        <v>1207</v>
      </c>
      <c r="C990" s="98">
        <v>45754</v>
      </c>
      <c r="D990">
        <v>2025</v>
      </c>
      <c r="E990">
        <v>4</v>
      </c>
      <c r="F990">
        <v>2</v>
      </c>
      <c r="G990" t="s">
        <v>1208</v>
      </c>
      <c r="H990" t="s">
        <v>144</v>
      </c>
      <c r="I990" t="s">
        <v>144</v>
      </c>
      <c r="J990" t="s">
        <v>6</v>
      </c>
      <c r="L990">
        <v>522611</v>
      </c>
      <c r="M990" s="99" t="s">
        <v>178</v>
      </c>
      <c r="N990">
        <v>1</v>
      </c>
      <c r="O990">
        <v>14</v>
      </c>
      <c r="P990">
        <v>10.257099999999999</v>
      </c>
      <c r="Q990" t="s">
        <v>352</v>
      </c>
      <c r="R990">
        <v>1</v>
      </c>
      <c r="S990">
        <v>10.2897</v>
      </c>
      <c r="T990">
        <v>0.3488</v>
      </c>
      <c r="U990">
        <v>-9.3463302752294738E-2</v>
      </c>
      <c r="V990">
        <v>9.2432999999999996</v>
      </c>
      <c r="W990">
        <v>9.5921000000000003</v>
      </c>
      <c r="X990">
        <v>9.9408999999999992</v>
      </c>
      <c r="Y990">
        <v>10.638500000000001</v>
      </c>
      <c r="Z990">
        <v>10.987299999999999</v>
      </c>
      <c r="AA990">
        <v>11.3361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 t="s">
        <v>462</v>
      </c>
      <c r="AL990" t="s">
        <v>6</v>
      </c>
      <c r="AM990" t="s">
        <v>1145</v>
      </c>
      <c r="AN990" t="s">
        <v>1146</v>
      </c>
      <c r="AO990" s="100">
        <v>46262.040405092594</v>
      </c>
      <c r="AP990" t="s">
        <v>1147</v>
      </c>
      <c r="AQ990" t="s">
        <v>3203</v>
      </c>
      <c r="AR990" t="s">
        <v>1210</v>
      </c>
      <c r="AS990" t="s">
        <v>1150</v>
      </c>
      <c r="AT990" t="s">
        <v>3177</v>
      </c>
      <c r="AU990">
        <v>25</v>
      </c>
      <c r="AV990">
        <v>10.282411999999999</v>
      </c>
      <c r="AW990">
        <v>0.25684105545388702</v>
      </c>
      <c r="AX990">
        <v>2.4978677712377899</v>
      </c>
      <c r="AY990">
        <v>-3.5755108740503752</v>
      </c>
      <c r="AZ990">
        <v>7.6969926965927282</v>
      </c>
      <c r="BB990" t="s">
        <v>4620</v>
      </c>
      <c r="BD990" s="98"/>
      <c r="BE990" s="98"/>
      <c r="BF990" t="s">
        <v>1152</v>
      </c>
      <c r="BG990" t="s">
        <v>322</v>
      </c>
      <c r="BH990" t="s">
        <v>1153</v>
      </c>
      <c r="BI990">
        <v>3.5755108740503752</v>
      </c>
      <c r="BN990" t="s">
        <v>1154</v>
      </c>
      <c r="BO990">
        <v>2025</v>
      </c>
      <c r="BP990" t="s">
        <v>966</v>
      </c>
      <c r="BZ990" t="s">
        <v>1513</v>
      </c>
      <c r="CA990" t="s">
        <v>1513</v>
      </c>
      <c r="CB990" t="b">
        <v>0</v>
      </c>
      <c r="CC990" t="b">
        <v>0</v>
      </c>
      <c r="CD990" t="b">
        <v>0</v>
      </c>
      <c r="CE990" t="b">
        <v>0</v>
      </c>
      <c r="CF990" t="b">
        <v>0</v>
      </c>
    </row>
    <row r="991" spans="1:84" x14ac:dyDescent="0.3">
      <c r="A991" t="s">
        <v>3204</v>
      </c>
      <c r="B991" t="s">
        <v>1212</v>
      </c>
      <c r="C991" s="98">
        <v>45761</v>
      </c>
      <c r="D991">
        <v>2025</v>
      </c>
      <c r="E991">
        <v>4</v>
      </c>
      <c r="F991">
        <v>2</v>
      </c>
      <c r="G991" t="s">
        <v>1208</v>
      </c>
      <c r="H991" t="s">
        <v>144</v>
      </c>
      <c r="I991" t="s">
        <v>144</v>
      </c>
      <c r="J991" t="s">
        <v>6</v>
      </c>
      <c r="L991">
        <v>522611</v>
      </c>
      <c r="M991" s="99" t="s">
        <v>178</v>
      </c>
      <c r="N991">
        <v>1</v>
      </c>
      <c r="O991">
        <v>15</v>
      </c>
      <c r="P991">
        <v>10.489699999999999</v>
      </c>
      <c r="Q991" t="s">
        <v>352</v>
      </c>
      <c r="R991">
        <v>1</v>
      </c>
      <c r="S991">
        <v>10.2897</v>
      </c>
      <c r="T991">
        <v>0.3488</v>
      </c>
      <c r="U991">
        <v>0.57339449541284204</v>
      </c>
      <c r="V991">
        <v>9.2432999999999996</v>
      </c>
      <c r="W991">
        <v>9.5921000000000003</v>
      </c>
      <c r="X991">
        <v>9.9408999999999992</v>
      </c>
      <c r="Y991">
        <v>10.638500000000001</v>
      </c>
      <c r="Z991">
        <v>10.987299999999999</v>
      </c>
      <c r="AA991">
        <v>11.3361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 t="s">
        <v>462</v>
      </c>
      <c r="AL991" t="s">
        <v>6</v>
      </c>
      <c r="AM991" t="s">
        <v>1145</v>
      </c>
      <c r="AN991" t="s">
        <v>1146</v>
      </c>
      <c r="AO991" s="100">
        <v>46262.040405092594</v>
      </c>
      <c r="AP991" t="s">
        <v>1147</v>
      </c>
      <c r="AQ991" t="s">
        <v>3205</v>
      </c>
      <c r="AR991" t="s">
        <v>1215</v>
      </c>
      <c r="AS991" t="s">
        <v>1150</v>
      </c>
      <c r="AT991" t="s">
        <v>3177</v>
      </c>
      <c r="AU991">
        <v>25</v>
      </c>
      <c r="AV991">
        <v>10.282411999999999</v>
      </c>
      <c r="AW991">
        <v>0.25684105545388702</v>
      </c>
      <c r="AX991">
        <v>2.4978677712377899</v>
      </c>
      <c r="AY991">
        <v>-3.5755108740503752</v>
      </c>
      <c r="AZ991">
        <v>7.6969926965927282</v>
      </c>
      <c r="BB991" t="s">
        <v>4620</v>
      </c>
      <c r="BD991" s="98"/>
      <c r="BE991" s="98"/>
      <c r="BF991" t="s">
        <v>1152</v>
      </c>
      <c r="BG991" t="s">
        <v>322</v>
      </c>
      <c r="BH991" t="s">
        <v>1153</v>
      </c>
      <c r="BI991">
        <v>3.5755108740503752</v>
      </c>
      <c r="BN991" t="s">
        <v>1154</v>
      </c>
      <c r="BO991">
        <v>2025</v>
      </c>
      <c r="BP991" t="s">
        <v>966</v>
      </c>
      <c r="BZ991" t="s">
        <v>1513</v>
      </c>
      <c r="CA991" t="s">
        <v>1513</v>
      </c>
      <c r="CB991" t="b">
        <v>0</v>
      </c>
      <c r="CC991" t="b">
        <v>0</v>
      </c>
      <c r="CD991" t="b">
        <v>0</v>
      </c>
      <c r="CE991" t="b">
        <v>0</v>
      </c>
      <c r="CF991" t="b">
        <v>0</v>
      </c>
    </row>
    <row r="992" spans="1:84" x14ac:dyDescent="0.3">
      <c r="A992" t="s">
        <v>3206</v>
      </c>
      <c r="B992" t="s">
        <v>1217</v>
      </c>
      <c r="C992" s="98">
        <v>45768</v>
      </c>
      <c r="D992">
        <v>2025</v>
      </c>
      <c r="E992">
        <v>4</v>
      </c>
      <c r="F992">
        <v>2</v>
      </c>
      <c r="G992" t="s">
        <v>1208</v>
      </c>
      <c r="H992" t="s">
        <v>144</v>
      </c>
      <c r="I992" t="s">
        <v>144</v>
      </c>
      <c r="J992" t="s">
        <v>6</v>
      </c>
      <c r="L992">
        <v>522611</v>
      </c>
      <c r="M992" s="99" t="s">
        <v>178</v>
      </c>
      <c r="N992">
        <v>1</v>
      </c>
      <c r="O992">
        <v>16</v>
      </c>
      <c r="P992">
        <v>10.658799999999999</v>
      </c>
      <c r="Q992" t="s">
        <v>352</v>
      </c>
      <c r="R992">
        <v>1</v>
      </c>
      <c r="S992">
        <v>10.2897</v>
      </c>
      <c r="T992">
        <v>0.3488</v>
      </c>
      <c r="U992">
        <v>1.0581995412844023</v>
      </c>
      <c r="V992">
        <v>9.2432999999999996</v>
      </c>
      <c r="W992">
        <v>9.5921000000000003</v>
      </c>
      <c r="X992">
        <v>9.9408999999999992</v>
      </c>
      <c r="Y992">
        <v>10.638500000000001</v>
      </c>
      <c r="Z992">
        <v>10.987299999999999</v>
      </c>
      <c r="AA992">
        <v>11.3361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 t="s">
        <v>462</v>
      </c>
      <c r="AL992" t="s">
        <v>6</v>
      </c>
      <c r="AM992" t="s">
        <v>1145</v>
      </c>
      <c r="AN992" t="s">
        <v>1146</v>
      </c>
      <c r="AO992" s="100">
        <v>46262.040405092594</v>
      </c>
      <c r="AP992" t="s">
        <v>1147</v>
      </c>
      <c r="AQ992" t="s">
        <v>3207</v>
      </c>
      <c r="AR992" t="s">
        <v>1219</v>
      </c>
      <c r="AS992" t="s">
        <v>1150</v>
      </c>
      <c r="AT992" t="s">
        <v>3177</v>
      </c>
      <c r="AU992">
        <v>25</v>
      </c>
      <c r="AV992">
        <v>10.282411999999999</v>
      </c>
      <c r="AW992">
        <v>0.25684105545388702</v>
      </c>
      <c r="AX992">
        <v>2.4978677712377899</v>
      </c>
      <c r="AY992">
        <v>-3.5755108740503752</v>
      </c>
      <c r="AZ992">
        <v>7.6969926965927282</v>
      </c>
      <c r="BB992" t="s">
        <v>4620</v>
      </c>
      <c r="BD992" s="98"/>
      <c r="BE992" s="98"/>
      <c r="BF992" t="s">
        <v>1152</v>
      </c>
      <c r="BG992" t="s">
        <v>322</v>
      </c>
      <c r="BH992" t="s">
        <v>1153</v>
      </c>
      <c r="BI992">
        <v>3.5755108740503752</v>
      </c>
      <c r="BN992" t="s">
        <v>1154</v>
      </c>
      <c r="BO992">
        <v>2025</v>
      </c>
      <c r="BP992" t="s">
        <v>966</v>
      </c>
      <c r="BZ992" t="s">
        <v>1513</v>
      </c>
      <c r="CA992" t="s">
        <v>1513</v>
      </c>
      <c r="CB992" t="b">
        <v>0</v>
      </c>
      <c r="CC992" t="b">
        <v>0</v>
      </c>
      <c r="CD992" t="b">
        <v>0</v>
      </c>
      <c r="CE992" t="b">
        <v>0</v>
      </c>
      <c r="CF992" t="b">
        <v>0</v>
      </c>
    </row>
    <row r="993" spans="1:84" x14ac:dyDescent="0.3">
      <c r="A993" t="s">
        <v>3208</v>
      </c>
      <c r="B993" t="s">
        <v>1221</v>
      </c>
      <c r="C993" s="98">
        <v>45775</v>
      </c>
      <c r="D993">
        <v>2025</v>
      </c>
      <c r="E993">
        <v>4</v>
      </c>
      <c r="F993">
        <v>2</v>
      </c>
      <c r="G993" t="s">
        <v>1208</v>
      </c>
      <c r="H993" t="s">
        <v>144</v>
      </c>
      <c r="I993" t="s">
        <v>144</v>
      </c>
      <c r="J993" t="s">
        <v>6</v>
      </c>
      <c r="L993">
        <v>522611</v>
      </c>
      <c r="M993" s="99" t="s">
        <v>178</v>
      </c>
      <c r="N993">
        <v>1</v>
      </c>
      <c r="O993">
        <v>17</v>
      </c>
      <c r="P993">
        <v>10.1706</v>
      </c>
      <c r="Q993" t="s">
        <v>352</v>
      </c>
      <c r="R993">
        <v>1</v>
      </c>
      <c r="S993">
        <v>10.2897</v>
      </c>
      <c r="T993">
        <v>0.3488</v>
      </c>
      <c r="U993">
        <v>-0.34145642201834731</v>
      </c>
      <c r="V993">
        <v>9.2432999999999996</v>
      </c>
      <c r="W993">
        <v>9.5921000000000003</v>
      </c>
      <c r="X993">
        <v>9.9408999999999992</v>
      </c>
      <c r="Y993">
        <v>10.638500000000001</v>
      </c>
      <c r="Z993">
        <v>10.987299999999999</v>
      </c>
      <c r="AA993">
        <v>11.3361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 t="s">
        <v>462</v>
      </c>
      <c r="AL993" t="s">
        <v>6</v>
      </c>
      <c r="AM993" t="s">
        <v>1145</v>
      </c>
      <c r="AN993" t="s">
        <v>1146</v>
      </c>
      <c r="AO993" s="100">
        <v>46262.040405092594</v>
      </c>
      <c r="AP993" t="s">
        <v>1147</v>
      </c>
      <c r="AQ993" t="s">
        <v>3209</v>
      </c>
      <c r="AR993" t="s">
        <v>1223</v>
      </c>
      <c r="AS993" t="s">
        <v>1150</v>
      </c>
      <c r="AT993" t="s">
        <v>3177</v>
      </c>
      <c r="AU993">
        <v>25</v>
      </c>
      <c r="AV993">
        <v>10.282411999999999</v>
      </c>
      <c r="AW993">
        <v>0.25684105545388702</v>
      </c>
      <c r="AX993">
        <v>2.4978677712377899</v>
      </c>
      <c r="AY993">
        <v>-3.5755108740503752</v>
      </c>
      <c r="AZ993">
        <v>7.6969926965927282</v>
      </c>
      <c r="BB993" t="s">
        <v>4620</v>
      </c>
      <c r="BD993" s="98"/>
      <c r="BE993" s="98"/>
      <c r="BF993" t="s">
        <v>1152</v>
      </c>
      <c r="BG993" t="s">
        <v>322</v>
      </c>
      <c r="BH993" t="s">
        <v>1153</v>
      </c>
      <c r="BI993">
        <v>3.5755108740503752</v>
      </c>
      <c r="BN993" t="s">
        <v>1154</v>
      </c>
      <c r="BO993">
        <v>2025</v>
      </c>
      <c r="BP993" t="s">
        <v>966</v>
      </c>
      <c r="BZ993" t="s">
        <v>1513</v>
      </c>
      <c r="CA993" t="s">
        <v>1513</v>
      </c>
      <c r="CB993" t="b">
        <v>0</v>
      </c>
      <c r="CC993" t="b">
        <v>0</v>
      </c>
      <c r="CD993" t="b">
        <v>0</v>
      </c>
      <c r="CE993" t="b">
        <v>0</v>
      </c>
      <c r="CF993" t="b">
        <v>0</v>
      </c>
    </row>
    <row r="994" spans="1:84" x14ac:dyDescent="0.3">
      <c r="A994" t="s">
        <v>3210</v>
      </c>
      <c r="B994" t="s">
        <v>1225</v>
      </c>
      <c r="C994" s="98">
        <v>45782</v>
      </c>
      <c r="D994">
        <v>2025</v>
      </c>
      <c r="E994">
        <v>5</v>
      </c>
      <c r="F994">
        <v>2</v>
      </c>
      <c r="G994" t="s">
        <v>1226</v>
      </c>
      <c r="H994" t="s">
        <v>144</v>
      </c>
      <c r="I994" t="s">
        <v>144</v>
      </c>
      <c r="J994" t="s">
        <v>6</v>
      </c>
      <c r="L994">
        <v>522611</v>
      </c>
      <c r="M994" s="99" t="s">
        <v>178</v>
      </c>
      <c r="N994">
        <v>1</v>
      </c>
      <c r="O994">
        <v>18</v>
      </c>
      <c r="P994">
        <v>10.204599999999999</v>
      </c>
      <c r="Q994" t="s">
        <v>352</v>
      </c>
      <c r="R994">
        <v>1</v>
      </c>
      <c r="S994">
        <v>10.2897</v>
      </c>
      <c r="T994">
        <v>0.3488</v>
      </c>
      <c r="U994">
        <v>-0.2439793577981669</v>
      </c>
      <c r="V994">
        <v>9.2432999999999996</v>
      </c>
      <c r="W994">
        <v>9.5921000000000003</v>
      </c>
      <c r="X994">
        <v>9.9408999999999992</v>
      </c>
      <c r="Y994">
        <v>10.638500000000001</v>
      </c>
      <c r="Z994">
        <v>10.987299999999999</v>
      </c>
      <c r="AA994">
        <v>11.3361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 t="s">
        <v>462</v>
      </c>
      <c r="AL994" t="s">
        <v>6</v>
      </c>
      <c r="AM994" t="s">
        <v>1145</v>
      </c>
      <c r="AN994" t="s">
        <v>1146</v>
      </c>
      <c r="AO994" s="100">
        <v>46262.040405092594</v>
      </c>
      <c r="AP994" t="s">
        <v>1147</v>
      </c>
      <c r="AQ994" t="s">
        <v>3211</v>
      </c>
      <c r="AR994" t="s">
        <v>1228</v>
      </c>
      <c r="AS994" t="s">
        <v>1150</v>
      </c>
      <c r="AT994" t="s">
        <v>3177</v>
      </c>
      <c r="AU994">
        <v>25</v>
      </c>
      <c r="AV994">
        <v>10.282411999999999</v>
      </c>
      <c r="AW994">
        <v>0.25684105545388702</v>
      </c>
      <c r="AX994">
        <v>2.4978677712377899</v>
      </c>
      <c r="AY994">
        <v>-3.5755108740503752</v>
      </c>
      <c r="AZ994">
        <v>7.6969926965927282</v>
      </c>
      <c r="BB994" t="s">
        <v>4620</v>
      </c>
      <c r="BD994" s="98"/>
      <c r="BE994" s="98"/>
      <c r="BF994" t="s">
        <v>1152</v>
      </c>
      <c r="BG994" t="s">
        <v>322</v>
      </c>
      <c r="BH994" t="s">
        <v>1153</v>
      </c>
      <c r="BI994">
        <v>3.5755108740503752</v>
      </c>
      <c r="BN994" t="s">
        <v>1154</v>
      </c>
      <c r="BO994">
        <v>2025</v>
      </c>
      <c r="BP994" t="s">
        <v>966</v>
      </c>
      <c r="BZ994" t="s">
        <v>1513</v>
      </c>
      <c r="CA994" t="s">
        <v>1513</v>
      </c>
      <c r="CB994" t="b">
        <v>0</v>
      </c>
      <c r="CC994" t="b">
        <v>0</v>
      </c>
      <c r="CD994" t="b">
        <v>0</v>
      </c>
      <c r="CE994" t="b">
        <v>0</v>
      </c>
      <c r="CF994" t="b">
        <v>0</v>
      </c>
    </row>
    <row r="995" spans="1:84" x14ac:dyDescent="0.3">
      <c r="A995" t="s">
        <v>3212</v>
      </c>
      <c r="B995" t="s">
        <v>1230</v>
      </c>
      <c r="C995" s="98">
        <v>45789</v>
      </c>
      <c r="D995">
        <v>2025</v>
      </c>
      <c r="E995">
        <v>5</v>
      </c>
      <c r="F995">
        <v>2</v>
      </c>
      <c r="G995" t="s">
        <v>1226</v>
      </c>
      <c r="H995" t="s">
        <v>144</v>
      </c>
      <c r="I995" t="s">
        <v>144</v>
      </c>
      <c r="J995" t="s">
        <v>6</v>
      </c>
      <c r="L995">
        <v>522611</v>
      </c>
      <c r="M995" s="99" t="s">
        <v>178</v>
      </c>
      <c r="N995">
        <v>1</v>
      </c>
      <c r="O995">
        <v>19</v>
      </c>
      <c r="P995">
        <v>10.233599999999999</v>
      </c>
      <c r="Q995" t="s">
        <v>352</v>
      </c>
      <c r="R995">
        <v>1</v>
      </c>
      <c r="S995">
        <v>10.2897</v>
      </c>
      <c r="T995">
        <v>0.3488</v>
      </c>
      <c r="U995">
        <v>-0.16083715596330478</v>
      </c>
      <c r="V995">
        <v>9.2432999999999996</v>
      </c>
      <c r="W995">
        <v>9.5921000000000003</v>
      </c>
      <c r="X995">
        <v>9.9408999999999992</v>
      </c>
      <c r="Y995">
        <v>10.638500000000001</v>
      </c>
      <c r="Z995">
        <v>10.987299999999999</v>
      </c>
      <c r="AA995">
        <v>11.3361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 t="s">
        <v>462</v>
      </c>
      <c r="AL995" t="s">
        <v>6</v>
      </c>
      <c r="AM995" t="s">
        <v>1145</v>
      </c>
      <c r="AN995" t="s">
        <v>1146</v>
      </c>
      <c r="AO995" s="100">
        <v>46262.040405092594</v>
      </c>
      <c r="AP995" t="s">
        <v>1147</v>
      </c>
      <c r="AQ995" t="s">
        <v>3213</v>
      </c>
      <c r="AR995" t="s">
        <v>1232</v>
      </c>
      <c r="AS995" t="s">
        <v>1150</v>
      </c>
      <c r="AT995" t="s">
        <v>3177</v>
      </c>
      <c r="AU995">
        <v>25</v>
      </c>
      <c r="AV995">
        <v>10.282411999999999</v>
      </c>
      <c r="AW995">
        <v>0.25684105545388702</v>
      </c>
      <c r="AX995">
        <v>2.4978677712377899</v>
      </c>
      <c r="AY995">
        <v>-3.5755108740503752</v>
      </c>
      <c r="AZ995">
        <v>7.6969926965927282</v>
      </c>
      <c r="BB995" t="s">
        <v>4620</v>
      </c>
      <c r="BD995" s="98"/>
      <c r="BE995" s="98"/>
      <c r="BF995" t="s">
        <v>1152</v>
      </c>
      <c r="BG995" t="s">
        <v>322</v>
      </c>
      <c r="BH995" t="s">
        <v>1153</v>
      </c>
      <c r="BI995">
        <v>3.5755108740503752</v>
      </c>
      <c r="BN995" t="s">
        <v>1154</v>
      </c>
      <c r="BO995">
        <v>2025</v>
      </c>
      <c r="BP995" t="s">
        <v>966</v>
      </c>
      <c r="BZ995" t="s">
        <v>1513</v>
      </c>
      <c r="CA995" t="s">
        <v>1513</v>
      </c>
      <c r="CB995" t="b">
        <v>0</v>
      </c>
      <c r="CC995" t="b">
        <v>0</v>
      </c>
      <c r="CD995" t="b">
        <v>0</v>
      </c>
      <c r="CE995" t="b">
        <v>0</v>
      </c>
      <c r="CF995" t="b">
        <v>0</v>
      </c>
    </row>
    <row r="996" spans="1:84" x14ac:dyDescent="0.3">
      <c r="A996" t="s">
        <v>3214</v>
      </c>
      <c r="B996" t="s">
        <v>1234</v>
      </c>
      <c r="C996" s="98">
        <v>45796</v>
      </c>
      <c r="D996">
        <v>2025</v>
      </c>
      <c r="E996">
        <v>5</v>
      </c>
      <c r="F996">
        <v>2</v>
      </c>
      <c r="G996" t="s">
        <v>1226</v>
      </c>
      <c r="H996" t="s">
        <v>144</v>
      </c>
      <c r="I996" t="s">
        <v>144</v>
      </c>
      <c r="J996" t="s">
        <v>6</v>
      </c>
      <c r="L996">
        <v>522611</v>
      </c>
      <c r="M996" s="99" t="s">
        <v>178</v>
      </c>
      <c r="N996">
        <v>1</v>
      </c>
      <c r="O996">
        <v>20</v>
      </c>
      <c r="P996">
        <v>10.3185</v>
      </c>
      <c r="Q996" t="s">
        <v>352</v>
      </c>
      <c r="R996">
        <v>1</v>
      </c>
      <c r="S996">
        <v>10.2897</v>
      </c>
      <c r="T996">
        <v>0.3488</v>
      </c>
      <c r="U996">
        <v>8.2568807339450628E-2</v>
      </c>
      <c r="V996">
        <v>9.2432999999999996</v>
      </c>
      <c r="W996">
        <v>9.5921000000000003</v>
      </c>
      <c r="X996">
        <v>9.9408999999999992</v>
      </c>
      <c r="Y996">
        <v>10.638500000000001</v>
      </c>
      <c r="Z996">
        <v>10.987299999999999</v>
      </c>
      <c r="AA996">
        <v>11.3361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 t="s">
        <v>462</v>
      </c>
      <c r="AL996" t="s">
        <v>6</v>
      </c>
      <c r="AM996" t="s">
        <v>1145</v>
      </c>
      <c r="AN996" t="s">
        <v>1146</v>
      </c>
      <c r="AO996" s="100">
        <v>46262.040405092594</v>
      </c>
      <c r="AP996" t="s">
        <v>1147</v>
      </c>
      <c r="AQ996" t="s">
        <v>3215</v>
      </c>
      <c r="AR996" t="s">
        <v>1236</v>
      </c>
      <c r="AS996" t="s">
        <v>1150</v>
      </c>
      <c r="AT996" t="s">
        <v>3177</v>
      </c>
      <c r="AU996">
        <v>25</v>
      </c>
      <c r="AV996">
        <v>10.282411999999999</v>
      </c>
      <c r="AW996">
        <v>0.25684105545388702</v>
      </c>
      <c r="AX996">
        <v>2.4978677712377899</v>
      </c>
      <c r="AY996">
        <v>-3.5755108740503752</v>
      </c>
      <c r="AZ996">
        <v>7.6969926965927282</v>
      </c>
      <c r="BB996" t="s">
        <v>4620</v>
      </c>
      <c r="BD996" s="98"/>
      <c r="BE996" s="98"/>
      <c r="BF996" t="s">
        <v>1152</v>
      </c>
      <c r="BG996" t="s">
        <v>322</v>
      </c>
      <c r="BH996" t="s">
        <v>1153</v>
      </c>
      <c r="BI996">
        <v>3.5755108740503752</v>
      </c>
      <c r="BN996" t="s">
        <v>1154</v>
      </c>
      <c r="BO996">
        <v>2025</v>
      </c>
      <c r="BP996" t="s">
        <v>966</v>
      </c>
      <c r="BZ996" t="s">
        <v>1513</v>
      </c>
      <c r="CA996" t="s">
        <v>1513</v>
      </c>
      <c r="CB996" t="b">
        <v>0</v>
      </c>
      <c r="CC996" t="b">
        <v>0</v>
      </c>
      <c r="CD996" t="b">
        <v>0</v>
      </c>
      <c r="CE996" t="b">
        <v>0</v>
      </c>
      <c r="CF996" t="b">
        <v>0</v>
      </c>
    </row>
    <row r="997" spans="1:84" x14ac:dyDescent="0.3">
      <c r="A997" t="s">
        <v>3216</v>
      </c>
      <c r="B997" t="s">
        <v>1238</v>
      </c>
      <c r="C997" s="98">
        <v>45803</v>
      </c>
      <c r="D997">
        <v>2025</v>
      </c>
      <c r="E997">
        <v>5</v>
      </c>
      <c r="F997">
        <v>2</v>
      </c>
      <c r="G997" t="s">
        <v>1226</v>
      </c>
      <c r="H997" t="s">
        <v>144</v>
      </c>
      <c r="I997" t="s">
        <v>144</v>
      </c>
      <c r="J997" t="s">
        <v>6</v>
      </c>
      <c r="L997">
        <v>522611</v>
      </c>
      <c r="M997" s="99" t="s">
        <v>178</v>
      </c>
      <c r="N997">
        <v>1</v>
      </c>
      <c r="O997">
        <v>21</v>
      </c>
      <c r="P997">
        <v>9.9756</v>
      </c>
      <c r="Q997" t="s">
        <v>352</v>
      </c>
      <c r="R997">
        <v>1</v>
      </c>
      <c r="S997">
        <v>10.2897</v>
      </c>
      <c r="T997">
        <v>0.3488</v>
      </c>
      <c r="U997">
        <v>-0.90051605504587107</v>
      </c>
      <c r="V997">
        <v>9.2432999999999996</v>
      </c>
      <c r="W997">
        <v>9.5921000000000003</v>
      </c>
      <c r="X997">
        <v>9.9408999999999992</v>
      </c>
      <c r="Y997">
        <v>10.638500000000001</v>
      </c>
      <c r="Z997">
        <v>10.987299999999999</v>
      </c>
      <c r="AA997">
        <v>11.3361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 t="s">
        <v>462</v>
      </c>
      <c r="AL997" t="s">
        <v>6</v>
      </c>
      <c r="AM997" t="s">
        <v>1145</v>
      </c>
      <c r="AN997" t="s">
        <v>1146</v>
      </c>
      <c r="AO997" s="100">
        <v>46262.040405092594</v>
      </c>
      <c r="AP997" t="s">
        <v>1147</v>
      </c>
      <c r="AQ997" t="s">
        <v>3217</v>
      </c>
      <c r="AR997" t="s">
        <v>1240</v>
      </c>
      <c r="AS997" t="s">
        <v>1150</v>
      </c>
      <c r="AT997" t="s">
        <v>3177</v>
      </c>
      <c r="AU997">
        <v>25</v>
      </c>
      <c r="AV997">
        <v>10.282411999999999</v>
      </c>
      <c r="AW997">
        <v>0.25684105545388702</v>
      </c>
      <c r="AX997">
        <v>2.4978677712377899</v>
      </c>
      <c r="AY997">
        <v>-3.5755108740503752</v>
      </c>
      <c r="AZ997">
        <v>7.6969926965927282</v>
      </c>
      <c r="BB997" t="s">
        <v>4620</v>
      </c>
      <c r="BD997" s="98"/>
      <c r="BE997" s="98"/>
      <c r="BF997" t="s">
        <v>1152</v>
      </c>
      <c r="BG997" t="s">
        <v>322</v>
      </c>
      <c r="BH997" t="s">
        <v>1153</v>
      </c>
      <c r="BI997">
        <v>3.5755108740503752</v>
      </c>
      <c r="BN997" t="s">
        <v>1154</v>
      </c>
      <c r="BO997">
        <v>2025</v>
      </c>
      <c r="BP997" t="s">
        <v>966</v>
      </c>
      <c r="BZ997" t="s">
        <v>1513</v>
      </c>
      <c r="CA997" t="s">
        <v>1513</v>
      </c>
      <c r="CB997" t="b">
        <v>0</v>
      </c>
      <c r="CC997" t="b">
        <v>0</v>
      </c>
      <c r="CD997" t="b">
        <v>0</v>
      </c>
      <c r="CE997" t="b">
        <v>0</v>
      </c>
      <c r="CF997" t="b">
        <v>0</v>
      </c>
    </row>
    <row r="998" spans="1:84" x14ac:dyDescent="0.3">
      <c r="A998" t="s">
        <v>3218</v>
      </c>
      <c r="B998" t="s">
        <v>1242</v>
      </c>
      <c r="C998" s="98">
        <v>45810</v>
      </c>
      <c r="D998">
        <v>2025</v>
      </c>
      <c r="E998">
        <v>6</v>
      </c>
      <c r="F998">
        <v>2</v>
      </c>
      <c r="G998" t="s">
        <v>1243</v>
      </c>
      <c r="H998" t="s">
        <v>144</v>
      </c>
      <c r="I998" t="s">
        <v>144</v>
      </c>
      <c r="J998" t="s">
        <v>6</v>
      </c>
      <c r="L998">
        <v>522611</v>
      </c>
      <c r="M998" s="99" t="s">
        <v>178</v>
      </c>
      <c r="N998">
        <v>1</v>
      </c>
      <c r="O998">
        <v>22</v>
      </c>
      <c r="P998">
        <v>10.648199999999999</v>
      </c>
      <c r="Q998" t="s">
        <v>352</v>
      </c>
      <c r="R998">
        <v>1</v>
      </c>
      <c r="S998">
        <v>10.2897</v>
      </c>
      <c r="T998">
        <v>0.3488</v>
      </c>
      <c r="U998">
        <v>1.027809633027521</v>
      </c>
      <c r="V998">
        <v>9.2432999999999996</v>
      </c>
      <c r="W998">
        <v>9.5921000000000003</v>
      </c>
      <c r="X998">
        <v>9.9408999999999992</v>
      </c>
      <c r="Y998">
        <v>10.638500000000001</v>
      </c>
      <c r="Z998">
        <v>10.987299999999999</v>
      </c>
      <c r="AA998">
        <v>11.3361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 t="s">
        <v>462</v>
      </c>
      <c r="AL998" t="s">
        <v>6</v>
      </c>
      <c r="AM998" t="s">
        <v>1145</v>
      </c>
      <c r="AN998" t="s">
        <v>1146</v>
      </c>
      <c r="AO998" s="100">
        <v>46262.040405092594</v>
      </c>
      <c r="AP998" t="s">
        <v>1147</v>
      </c>
      <c r="AQ998" t="s">
        <v>3219</v>
      </c>
      <c r="AR998" t="s">
        <v>1245</v>
      </c>
      <c r="AS998" t="s">
        <v>1150</v>
      </c>
      <c r="AT998" t="s">
        <v>3177</v>
      </c>
      <c r="AU998">
        <v>25</v>
      </c>
      <c r="AV998">
        <v>10.282411999999999</v>
      </c>
      <c r="AW998">
        <v>0.25684105545388702</v>
      </c>
      <c r="AX998">
        <v>2.4978677712377899</v>
      </c>
      <c r="AY998">
        <v>-3.5755108740503752</v>
      </c>
      <c r="AZ998">
        <v>7.6969926965927282</v>
      </c>
      <c r="BB998" t="s">
        <v>4620</v>
      </c>
      <c r="BD998" s="98"/>
      <c r="BE998" s="98"/>
      <c r="BF998" t="s">
        <v>1152</v>
      </c>
      <c r="BG998" t="s">
        <v>322</v>
      </c>
      <c r="BH998" t="s">
        <v>1153</v>
      </c>
      <c r="BI998">
        <v>3.5755108740503752</v>
      </c>
      <c r="BN998" t="s">
        <v>1154</v>
      </c>
      <c r="BO998">
        <v>2025</v>
      </c>
      <c r="BP998" t="s">
        <v>966</v>
      </c>
      <c r="BZ998" t="s">
        <v>1513</v>
      </c>
      <c r="CA998" t="s">
        <v>1513</v>
      </c>
      <c r="CB998" t="b">
        <v>0</v>
      </c>
      <c r="CC998" t="b">
        <v>0</v>
      </c>
      <c r="CD998" t="b">
        <v>0</v>
      </c>
      <c r="CE998" t="b">
        <v>0</v>
      </c>
      <c r="CF998" t="b">
        <v>0</v>
      </c>
    </row>
    <row r="999" spans="1:84" x14ac:dyDescent="0.3">
      <c r="A999" t="s">
        <v>3220</v>
      </c>
      <c r="B999" t="s">
        <v>1247</v>
      </c>
      <c r="C999" s="98">
        <v>45817</v>
      </c>
      <c r="D999">
        <v>2025</v>
      </c>
      <c r="E999">
        <v>6</v>
      </c>
      <c r="F999">
        <v>2</v>
      </c>
      <c r="G999" t="s">
        <v>1243</v>
      </c>
      <c r="H999" t="s">
        <v>144</v>
      </c>
      <c r="I999" t="s">
        <v>144</v>
      </c>
      <c r="J999" t="s">
        <v>6</v>
      </c>
      <c r="L999">
        <v>522611</v>
      </c>
      <c r="M999" s="99" t="s">
        <v>178</v>
      </c>
      <c r="N999">
        <v>1</v>
      </c>
      <c r="O999">
        <v>23</v>
      </c>
      <c r="P999">
        <v>10.15</v>
      </c>
      <c r="Q999" t="s">
        <v>352</v>
      </c>
      <c r="R999">
        <v>1</v>
      </c>
      <c r="S999">
        <v>10.2897</v>
      </c>
      <c r="T999">
        <v>0.3488</v>
      </c>
      <c r="U999">
        <v>-0.40051605504587012</v>
      </c>
      <c r="V999">
        <v>9.2432999999999996</v>
      </c>
      <c r="W999">
        <v>9.5921000000000003</v>
      </c>
      <c r="X999">
        <v>9.9408999999999992</v>
      </c>
      <c r="Y999">
        <v>10.638500000000001</v>
      </c>
      <c r="Z999">
        <v>10.987299999999999</v>
      </c>
      <c r="AA999">
        <v>11.3361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 t="s">
        <v>462</v>
      </c>
      <c r="AL999" t="s">
        <v>6</v>
      </c>
      <c r="AM999" t="s">
        <v>1145</v>
      </c>
      <c r="AN999" t="s">
        <v>1146</v>
      </c>
      <c r="AO999" s="100">
        <v>46262.040405092594</v>
      </c>
      <c r="AP999" t="s">
        <v>1147</v>
      </c>
      <c r="AQ999" t="s">
        <v>3221</v>
      </c>
      <c r="AR999" t="s">
        <v>1249</v>
      </c>
      <c r="AS999" t="s">
        <v>1150</v>
      </c>
      <c r="AT999" t="s">
        <v>3177</v>
      </c>
      <c r="AU999">
        <v>25</v>
      </c>
      <c r="AV999">
        <v>10.282411999999999</v>
      </c>
      <c r="AW999">
        <v>0.25684105545388702</v>
      </c>
      <c r="AX999">
        <v>2.4978677712377899</v>
      </c>
      <c r="AY999">
        <v>-3.5755108740503752</v>
      </c>
      <c r="AZ999">
        <v>7.6969926965927282</v>
      </c>
      <c r="BB999" t="s">
        <v>4620</v>
      </c>
      <c r="BD999" s="98"/>
      <c r="BE999" s="98"/>
      <c r="BF999" t="s">
        <v>1152</v>
      </c>
      <c r="BG999" t="s">
        <v>322</v>
      </c>
      <c r="BH999" t="s">
        <v>1153</v>
      </c>
      <c r="BI999">
        <v>3.5755108740503752</v>
      </c>
      <c r="BN999" t="s">
        <v>1154</v>
      </c>
      <c r="BO999">
        <v>2025</v>
      </c>
      <c r="BP999" t="s">
        <v>966</v>
      </c>
      <c r="BZ999" t="s">
        <v>1513</v>
      </c>
      <c r="CA999" t="s">
        <v>1513</v>
      </c>
      <c r="CB999" t="b">
        <v>0</v>
      </c>
      <c r="CC999" t="b">
        <v>0</v>
      </c>
      <c r="CD999" t="b">
        <v>0</v>
      </c>
      <c r="CE999" t="b">
        <v>0</v>
      </c>
      <c r="CF999" t="b">
        <v>0</v>
      </c>
    </row>
    <row r="1000" spans="1:84" x14ac:dyDescent="0.3">
      <c r="A1000" t="s">
        <v>3222</v>
      </c>
      <c r="B1000" t="s">
        <v>1251</v>
      </c>
      <c r="C1000" s="98">
        <v>45824</v>
      </c>
      <c r="D1000">
        <v>2025</v>
      </c>
      <c r="E1000">
        <v>6</v>
      </c>
      <c r="F1000">
        <v>2</v>
      </c>
      <c r="G1000" t="s">
        <v>1243</v>
      </c>
      <c r="H1000" t="s">
        <v>144</v>
      </c>
      <c r="I1000" t="s">
        <v>144</v>
      </c>
      <c r="J1000" t="s">
        <v>6</v>
      </c>
      <c r="L1000">
        <v>522611</v>
      </c>
      <c r="M1000" s="99" t="s">
        <v>178</v>
      </c>
      <c r="N1000">
        <v>1</v>
      </c>
      <c r="O1000">
        <v>24</v>
      </c>
      <c r="P1000">
        <v>10.451000000000001</v>
      </c>
      <c r="Q1000" t="s">
        <v>352</v>
      </c>
      <c r="R1000">
        <v>1</v>
      </c>
      <c r="S1000">
        <v>10.2897</v>
      </c>
      <c r="T1000">
        <v>0.3488</v>
      </c>
      <c r="U1000">
        <v>0.46244266055046063</v>
      </c>
      <c r="V1000">
        <v>9.2432999999999996</v>
      </c>
      <c r="W1000">
        <v>9.5921000000000003</v>
      </c>
      <c r="X1000">
        <v>9.9408999999999992</v>
      </c>
      <c r="Y1000">
        <v>10.638500000000001</v>
      </c>
      <c r="Z1000">
        <v>10.987299999999999</v>
      </c>
      <c r="AA1000">
        <v>11.3361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 t="s">
        <v>462</v>
      </c>
      <c r="AL1000" t="s">
        <v>6</v>
      </c>
      <c r="AM1000" t="s">
        <v>1145</v>
      </c>
      <c r="AN1000" t="s">
        <v>1146</v>
      </c>
      <c r="AO1000" s="100">
        <v>46262.040405092594</v>
      </c>
      <c r="AP1000" t="s">
        <v>1147</v>
      </c>
      <c r="AQ1000" t="s">
        <v>3223</v>
      </c>
      <c r="AR1000" t="s">
        <v>1253</v>
      </c>
      <c r="AS1000" t="s">
        <v>1150</v>
      </c>
      <c r="AT1000" t="s">
        <v>3177</v>
      </c>
      <c r="AU1000">
        <v>25</v>
      </c>
      <c r="AV1000">
        <v>10.282411999999999</v>
      </c>
      <c r="AW1000">
        <v>0.25684105545388702</v>
      </c>
      <c r="AX1000">
        <v>2.4978677712377899</v>
      </c>
      <c r="AY1000">
        <v>-3.5755108740503752</v>
      </c>
      <c r="AZ1000">
        <v>7.6969926965927282</v>
      </c>
      <c r="BB1000" t="s">
        <v>4620</v>
      </c>
      <c r="BD1000" s="98"/>
      <c r="BE1000" s="98"/>
      <c r="BF1000" t="s">
        <v>1152</v>
      </c>
      <c r="BG1000" t="s">
        <v>322</v>
      </c>
      <c r="BH1000" t="s">
        <v>1153</v>
      </c>
      <c r="BI1000">
        <v>3.5755108740503752</v>
      </c>
      <c r="BN1000" t="s">
        <v>1154</v>
      </c>
      <c r="BO1000">
        <v>2025</v>
      </c>
      <c r="BP1000" t="s">
        <v>966</v>
      </c>
      <c r="BZ1000" t="s">
        <v>1513</v>
      </c>
      <c r="CA1000" t="s">
        <v>1513</v>
      </c>
      <c r="CB1000" t="b">
        <v>0</v>
      </c>
      <c r="CC1000" t="b">
        <v>0</v>
      </c>
      <c r="CD1000" t="b">
        <v>0</v>
      </c>
      <c r="CE1000" t="b">
        <v>0</v>
      </c>
      <c r="CF1000" t="b">
        <v>0</v>
      </c>
    </row>
    <row r="1001" spans="1:84" x14ac:dyDescent="0.3">
      <c r="A1001" t="s">
        <v>3224</v>
      </c>
      <c r="B1001" t="s">
        <v>1255</v>
      </c>
      <c r="C1001" s="98">
        <v>45831</v>
      </c>
      <c r="D1001">
        <v>2025</v>
      </c>
      <c r="E1001">
        <v>6</v>
      </c>
      <c r="F1001">
        <v>2</v>
      </c>
      <c r="G1001" t="s">
        <v>1243</v>
      </c>
      <c r="H1001" t="s">
        <v>144</v>
      </c>
      <c r="I1001" t="s">
        <v>144</v>
      </c>
      <c r="J1001" t="s">
        <v>6</v>
      </c>
      <c r="L1001">
        <v>522611</v>
      </c>
      <c r="M1001" s="99" t="s">
        <v>178</v>
      </c>
      <c r="N1001">
        <v>1</v>
      </c>
      <c r="O1001">
        <v>25</v>
      </c>
      <c r="P1001">
        <v>10.0017</v>
      </c>
      <c r="Q1001" t="s">
        <v>352</v>
      </c>
      <c r="R1001">
        <v>1</v>
      </c>
      <c r="S1001">
        <v>10.2897</v>
      </c>
      <c r="T1001">
        <v>0.3488</v>
      </c>
      <c r="U1001">
        <v>-0.82568807339449612</v>
      </c>
      <c r="V1001">
        <v>9.2432999999999996</v>
      </c>
      <c r="W1001">
        <v>9.5921000000000003</v>
      </c>
      <c r="X1001">
        <v>9.9408999999999992</v>
      </c>
      <c r="Y1001">
        <v>10.638500000000001</v>
      </c>
      <c r="Z1001">
        <v>10.987299999999999</v>
      </c>
      <c r="AA1001">
        <v>11.3361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 t="s">
        <v>462</v>
      </c>
      <c r="AL1001" t="s">
        <v>6</v>
      </c>
      <c r="AM1001" t="s">
        <v>1145</v>
      </c>
      <c r="AN1001" t="s">
        <v>1146</v>
      </c>
      <c r="AO1001" s="100">
        <v>46262.040405092594</v>
      </c>
      <c r="AP1001" t="s">
        <v>1147</v>
      </c>
      <c r="AQ1001" t="s">
        <v>3225</v>
      </c>
      <c r="AR1001" t="s">
        <v>1257</v>
      </c>
      <c r="AS1001" t="s">
        <v>1150</v>
      </c>
      <c r="AT1001" t="s">
        <v>3177</v>
      </c>
      <c r="AU1001">
        <v>25</v>
      </c>
      <c r="AV1001">
        <v>10.282411999999999</v>
      </c>
      <c r="AW1001">
        <v>0.25684105545388702</v>
      </c>
      <c r="AX1001">
        <v>2.4978677712377899</v>
      </c>
      <c r="AY1001">
        <v>-3.5755108740503752</v>
      </c>
      <c r="AZ1001">
        <v>7.6969926965927282</v>
      </c>
      <c r="BB1001" t="s">
        <v>4620</v>
      </c>
      <c r="BD1001" s="98"/>
      <c r="BE1001" s="98"/>
      <c r="BF1001" t="s">
        <v>1152</v>
      </c>
      <c r="BG1001" t="s">
        <v>322</v>
      </c>
      <c r="BH1001" t="s">
        <v>1153</v>
      </c>
      <c r="BI1001">
        <v>3.5755108740503752</v>
      </c>
      <c r="BN1001" t="s">
        <v>1154</v>
      </c>
      <c r="BO1001">
        <v>2025</v>
      </c>
      <c r="BP1001" t="s">
        <v>966</v>
      </c>
      <c r="BZ1001" t="s">
        <v>1513</v>
      </c>
      <c r="CA1001" t="s">
        <v>1513</v>
      </c>
      <c r="CB1001" t="b">
        <v>0</v>
      </c>
      <c r="CC1001" t="b">
        <v>0</v>
      </c>
      <c r="CD1001" t="b">
        <v>0</v>
      </c>
      <c r="CE1001" t="b">
        <v>0</v>
      </c>
      <c r="CF1001" t="b">
        <v>0</v>
      </c>
    </row>
    <row r="1002" spans="1:84" x14ac:dyDescent="0.3">
      <c r="A1002" t="s">
        <v>3226</v>
      </c>
      <c r="B1002" t="s">
        <v>1143</v>
      </c>
      <c r="C1002" s="98">
        <v>45663</v>
      </c>
      <c r="D1002">
        <v>2025</v>
      </c>
      <c r="E1002">
        <v>1</v>
      </c>
      <c r="F1002">
        <v>1</v>
      </c>
      <c r="G1002" t="s">
        <v>1144</v>
      </c>
      <c r="H1002" t="s">
        <v>144</v>
      </c>
      <c r="I1002" t="s">
        <v>144</v>
      </c>
      <c r="J1002" t="s">
        <v>6</v>
      </c>
      <c r="L1002">
        <v>522611</v>
      </c>
      <c r="M1002" s="99" t="s">
        <v>179</v>
      </c>
      <c r="N1002">
        <v>2</v>
      </c>
      <c r="O1002">
        <v>1</v>
      </c>
      <c r="P1002">
        <v>11.168200000000001</v>
      </c>
      <c r="Q1002" t="s">
        <v>352</v>
      </c>
      <c r="R1002">
        <v>1</v>
      </c>
      <c r="S1002">
        <v>11.0517</v>
      </c>
      <c r="T1002">
        <v>0.32469999999999999</v>
      </c>
      <c r="U1002">
        <v>0.35879273175238768</v>
      </c>
      <c r="V1002">
        <v>10.0776</v>
      </c>
      <c r="W1002">
        <v>10.4023</v>
      </c>
      <c r="X1002">
        <v>10.727</v>
      </c>
      <c r="Y1002">
        <v>11.3764</v>
      </c>
      <c r="Z1002">
        <v>11.7011</v>
      </c>
      <c r="AA1002">
        <v>12.0258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 t="s">
        <v>462</v>
      </c>
      <c r="AL1002" t="s">
        <v>6</v>
      </c>
      <c r="AM1002" t="s">
        <v>1145</v>
      </c>
      <c r="AN1002" t="s">
        <v>1146</v>
      </c>
      <c r="AO1002" s="100">
        <v>46262.040405092594</v>
      </c>
      <c r="AP1002" t="s">
        <v>1147</v>
      </c>
      <c r="AQ1002" t="s">
        <v>3227</v>
      </c>
      <c r="AR1002" t="s">
        <v>1149</v>
      </c>
      <c r="AS1002" t="s">
        <v>1150</v>
      </c>
      <c r="AT1002" t="s">
        <v>3177</v>
      </c>
      <c r="AU1002">
        <v>25</v>
      </c>
      <c r="AV1002">
        <v>10.962323999999999</v>
      </c>
      <c r="AW1002">
        <v>0.34872433272333231</v>
      </c>
      <c r="AX1002">
        <v>3.1811168208797</v>
      </c>
      <c r="AY1002">
        <v>-3.5755108740503752</v>
      </c>
      <c r="AZ1002">
        <v>8.8243536285018802</v>
      </c>
      <c r="BB1002" t="s">
        <v>4620</v>
      </c>
      <c r="BD1002" s="98"/>
      <c r="BE1002" s="98"/>
      <c r="BF1002" t="s">
        <v>1152</v>
      </c>
      <c r="BG1002" t="s">
        <v>322</v>
      </c>
      <c r="BH1002" t="s">
        <v>1153</v>
      </c>
      <c r="BI1002">
        <v>3.5755108740503752</v>
      </c>
      <c r="BN1002" t="s">
        <v>1154</v>
      </c>
      <c r="BO1002">
        <v>2025</v>
      </c>
      <c r="BP1002" t="s">
        <v>966</v>
      </c>
      <c r="BZ1002" t="s">
        <v>1513</v>
      </c>
      <c r="CA1002" t="s">
        <v>1513</v>
      </c>
      <c r="CB1002" t="b">
        <v>0</v>
      </c>
      <c r="CC1002" t="b">
        <v>0</v>
      </c>
      <c r="CD1002" t="b">
        <v>0</v>
      </c>
      <c r="CE1002" t="b">
        <v>0</v>
      </c>
      <c r="CF1002" t="b">
        <v>0</v>
      </c>
    </row>
    <row r="1003" spans="1:84" x14ac:dyDescent="0.3">
      <c r="A1003" t="s">
        <v>3228</v>
      </c>
      <c r="B1003" t="s">
        <v>1157</v>
      </c>
      <c r="C1003" s="98">
        <v>45670</v>
      </c>
      <c r="D1003">
        <v>2025</v>
      </c>
      <c r="E1003">
        <v>1</v>
      </c>
      <c r="F1003">
        <v>1</v>
      </c>
      <c r="G1003" t="s">
        <v>1144</v>
      </c>
      <c r="H1003" t="s">
        <v>144</v>
      </c>
      <c r="I1003" t="s">
        <v>144</v>
      </c>
      <c r="J1003" t="s">
        <v>6</v>
      </c>
      <c r="L1003">
        <v>522611</v>
      </c>
      <c r="M1003" s="99" t="s">
        <v>179</v>
      </c>
      <c r="N1003">
        <v>2</v>
      </c>
      <c r="O1003">
        <v>2</v>
      </c>
      <c r="P1003">
        <v>11.178900000000001</v>
      </c>
      <c r="Q1003" t="s">
        <v>352</v>
      </c>
      <c r="R1003">
        <v>1</v>
      </c>
      <c r="S1003">
        <v>11.0517</v>
      </c>
      <c r="T1003">
        <v>0.32469999999999999</v>
      </c>
      <c r="U1003">
        <v>0.39174622728672687</v>
      </c>
      <c r="V1003">
        <v>10.0776</v>
      </c>
      <c r="W1003">
        <v>10.4023</v>
      </c>
      <c r="X1003">
        <v>10.727</v>
      </c>
      <c r="Y1003">
        <v>11.3764</v>
      </c>
      <c r="Z1003">
        <v>11.7011</v>
      </c>
      <c r="AA1003">
        <v>12.0258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 t="s">
        <v>462</v>
      </c>
      <c r="AL1003" t="s">
        <v>6</v>
      </c>
      <c r="AM1003" t="s">
        <v>1145</v>
      </c>
      <c r="AN1003" t="s">
        <v>1146</v>
      </c>
      <c r="AO1003" s="100">
        <v>46262.040405092594</v>
      </c>
      <c r="AP1003" t="s">
        <v>1147</v>
      </c>
      <c r="AQ1003" t="s">
        <v>3229</v>
      </c>
      <c r="AR1003" t="s">
        <v>1159</v>
      </c>
      <c r="AS1003" t="s">
        <v>1150</v>
      </c>
      <c r="AT1003" t="s">
        <v>3177</v>
      </c>
      <c r="AU1003">
        <v>25</v>
      </c>
      <c r="AV1003">
        <v>10.962323999999999</v>
      </c>
      <c r="AW1003">
        <v>0.34872433272333231</v>
      </c>
      <c r="AX1003">
        <v>3.1811168208797</v>
      </c>
      <c r="AY1003">
        <v>-3.5755108740503752</v>
      </c>
      <c r="AZ1003">
        <v>8.8243536285018802</v>
      </c>
      <c r="BB1003" t="s">
        <v>4620</v>
      </c>
      <c r="BD1003" s="98"/>
      <c r="BE1003" s="98"/>
      <c r="BF1003" t="s">
        <v>1152</v>
      </c>
      <c r="BG1003" t="s">
        <v>322</v>
      </c>
      <c r="BH1003" t="s">
        <v>1153</v>
      </c>
      <c r="BI1003">
        <v>3.5755108740503752</v>
      </c>
      <c r="BN1003" t="s">
        <v>1154</v>
      </c>
      <c r="BO1003">
        <v>2025</v>
      </c>
      <c r="BP1003" t="s">
        <v>966</v>
      </c>
      <c r="BZ1003" t="s">
        <v>1513</v>
      </c>
      <c r="CA1003" t="s">
        <v>1513</v>
      </c>
      <c r="CB1003" t="b">
        <v>0</v>
      </c>
      <c r="CC1003" t="b">
        <v>0</v>
      </c>
      <c r="CD1003" t="b">
        <v>0</v>
      </c>
      <c r="CE1003" t="b">
        <v>0</v>
      </c>
      <c r="CF1003" t="b">
        <v>0</v>
      </c>
    </row>
    <row r="1004" spans="1:84" x14ac:dyDescent="0.3">
      <c r="A1004" t="s">
        <v>3230</v>
      </c>
      <c r="B1004" t="s">
        <v>1161</v>
      </c>
      <c r="C1004" s="98">
        <v>45677</v>
      </c>
      <c r="D1004">
        <v>2025</v>
      </c>
      <c r="E1004">
        <v>1</v>
      </c>
      <c r="F1004">
        <v>1</v>
      </c>
      <c r="G1004" t="s">
        <v>1144</v>
      </c>
      <c r="H1004" t="s">
        <v>144</v>
      </c>
      <c r="I1004" t="s">
        <v>144</v>
      </c>
      <c r="J1004" t="s">
        <v>6</v>
      </c>
      <c r="L1004">
        <v>522611</v>
      </c>
      <c r="M1004" s="99" t="s">
        <v>179</v>
      </c>
      <c r="N1004">
        <v>2</v>
      </c>
      <c r="O1004">
        <v>3</v>
      </c>
      <c r="P1004">
        <v>10.915100000000001</v>
      </c>
      <c r="Q1004" t="s">
        <v>352</v>
      </c>
      <c r="R1004">
        <v>1</v>
      </c>
      <c r="S1004">
        <v>11.0517</v>
      </c>
      <c r="T1004">
        <v>0.32469999999999999</v>
      </c>
      <c r="U1004">
        <v>-0.42069602710193904</v>
      </c>
      <c r="V1004">
        <v>10.0776</v>
      </c>
      <c r="W1004">
        <v>10.4023</v>
      </c>
      <c r="X1004">
        <v>10.727</v>
      </c>
      <c r="Y1004">
        <v>11.3764</v>
      </c>
      <c r="Z1004">
        <v>11.7011</v>
      </c>
      <c r="AA1004">
        <v>12.0258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 t="s">
        <v>462</v>
      </c>
      <c r="AL1004" t="s">
        <v>6</v>
      </c>
      <c r="AM1004" t="s">
        <v>1145</v>
      </c>
      <c r="AN1004" t="s">
        <v>1146</v>
      </c>
      <c r="AO1004" s="100">
        <v>46262.040405092594</v>
      </c>
      <c r="AP1004" t="s">
        <v>1147</v>
      </c>
      <c r="AQ1004" t="s">
        <v>3231</v>
      </c>
      <c r="AR1004" t="s">
        <v>1163</v>
      </c>
      <c r="AS1004" t="s">
        <v>1150</v>
      </c>
      <c r="AT1004" t="s">
        <v>3177</v>
      </c>
      <c r="AU1004">
        <v>25</v>
      </c>
      <c r="AV1004">
        <v>10.962323999999999</v>
      </c>
      <c r="AW1004">
        <v>0.34872433272333231</v>
      </c>
      <c r="AX1004">
        <v>3.1811168208797</v>
      </c>
      <c r="AY1004">
        <v>-3.5755108740503752</v>
      </c>
      <c r="AZ1004">
        <v>8.8243536285018802</v>
      </c>
      <c r="BB1004" t="s">
        <v>4620</v>
      </c>
      <c r="BD1004" s="98"/>
      <c r="BE1004" s="98"/>
      <c r="BF1004" t="s">
        <v>1152</v>
      </c>
      <c r="BG1004" t="s">
        <v>322</v>
      </c>
      <c r="BH1004" t="s">
        <v>1153</v>
      </c>
      <c r="BI1004">
        <v>3.5755108740503752</v>
      </c>
      <c r="BN1004" t="s">
        <v>1154</v>
      </c>
      <c r="BO1004">
        <v>2025</v>
      </c>
      <c r="BP1004" t="s">
        <v>966</v>
      </c>
      <c r="BZ1004" t="s">
        <v>1513</v>
      </c>
      <c r="CA1004" t="s">
        <v>1513</v>
      </c>
      <c r="CB1004" t="b">
        <v>0</v>
      </c>
      <c r="CC1004" t="b">
        <v>0</v>
      </c>
      <c r="CD1004" t="b">
        <v>0</v>
      </c>
      <c r="CE1004" t="b">
        <v>0</v>
      </c>
      <c r="CF1004" t="b">
        <v>0</v>
      </c>
    </row>
    <row r="1005" spans="1:84" x14ac:dyDescent="0.3">
      <c r="A1005" t="s">
        <v>3232</v>
      </c>
      <c r="B1005" t="s">
        <v>1165</v>
      </c>
      <c r="C1005" s="98">
        <v>45684</v>
      </c>
      <c r="D1005">
        <v>2025</v>
      </c>
      <c r="E1005">
        <v>1</v>
      </c>
      <c r="F1005">
        <v>1</v>
      </c>
      <c r="G1005" t="s">
        <v>1144</v>
      </c>
      <c r="H1005" t="s">
        <v>144</v>
      </c>
      <c r="I1005" t="s">
        <v>144</v>
      </c>
      <c r="J1005" t="s">
        <v>6</v>
      </c>
      <c r="L1005">
        <v>522611</v>
      </c>
      <c r="M1005" s="99" t="s">
        <v>179</v>
      </c>
      <c r="N1005">
        <v>2</v>
      </c>
      <c r="O1005">
        <v>4</v>
      </c>
      <c r="P1005">
        <v>11.7079</v>
      </c>
      <c r="Q1005" t="s">
        <v>352</v>
      </c>
      <c r="R1005">
        <v>1</v>
      </c>
      <c r="S1005">
        <v>11.0517</v>
      </c>
      <c r="T1005">
        <v>0.32469999999999999</v>
      </c>
      <c r="U1005">
        <v>2.0209424083769636</v>
      </c>
      <c r="V1005">
        <v>10.0776</v>
      </c>
      <c r="W1005">
        <v>10.4023</v>
      </c>
      <c r="X1005">
        <v>10.727</v>
      </c>
      <c r="Y1005">
        <v>11.3764</v>
      </c>
      <c r="Z1005">
        <v>11.7011</v>
      </c>
      <c r="AA1005">
        <v>12.0258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1</v>
      </c>
      <c r="AK1005" t="s">
        <v>462</v>
      </c>
      <c r="AL1005" t="s">
        <v>6</v>
      </c>
      <c r="AM1005" t="s">
        <v>1145</v>
      </c>
      <c r="AN1005" t="s">
        <v>1146</v>
      </c>
      <c r="AO1005" s="100">
        <v>46262.040405092594</v>
      </c>
      <c r="AP1005" t="s">
        <v>1147</v>
      </c>
      <c r="AQ1005" t="s">
        <v>3233</v>
      </c>
      <c r="AR1005" t="s">
        <v>1167</v>
      </c>
      <c r="AS1005" t="s">
        <v>1150</v>
      </c>
      <c r="AT1005" t="s">
        <v>3177</v>
      </c>
      <c r="AU1005">
        <v>25</v>
      </c>
      <c r="AV1005">
        <v>10.962323999999999</v>
      </c>
      <c r="AW1005">
        <v>0.34872433272333231</v>
      </c>
      <c r="AX1005">
        <v>3.1811168208797</v>
      </c>
      <c r="AY1005">
        <v>-3.5755108740503752</v>
      </c>
      <c r="AZ1005">
        <v>8.8243536285018802</v>
      </c>
      <c r="BB1005" t="s">
        <v>4620</v>
      </c>
      <c r="BD1005" s="98"/>
      <c r="BE1005" s="98"/>
      <c r="BF1005" t="s">
        <v>1152</v>
      </c>
      <c r="BG1005" t="s">
        <v>322</v>
      </c>
      <c r="BH1005" t="s">
        <v>1153</v>
      </c>
      <c r="BI1005">
        <v>3.5755108740503752</v>
      </c>
      <c r="BN1005" t="s">
        <v>1154</v>
      </c>
      <c r="BO1005">
        <v>2025</v>
      </c>
      <c r="BP1005" t="s">
        <v>966</v>
      </c>
      <c r="BZ1005" t="s">
        <v>1513</v>
      </c>
      <c r="CA1005" t="s">
        <v>1513</v>
      </c>
      <c r="CB1005" t="b">
        <v>0</v>
      </c>
      <c r="CC1005" t="b">
        <v>0</v>
      </c>
      <c r="CD1005" t="b">
        <v>0</v>
      </c>
      <c r="CE1005" t="b">
        <v>0</v>
      </c>
      <c r="CF1005" t="b">
        <v>0</v>
      </c>
    </row>
    <row r="1006" spans="1:84" x14ac:dyDescent="0.3">
      <c r="A1006" t="s">
        <v>3234</v>
      </c>
      <c r="B1006" t="s">
        <v>1169</v>
      </c>
      <c r="C1006" s="98">
        <v>45691</v>
      </c>
      <c r="D1006">
        <v>2025</v>
      </c>
      <c r="E1006">
        <v>2</v>
      </c>
      <c r="F1006">
        <v>1</v>
      </c>
      <c r="G1006" t="s">
        <v>1170</v>
      </c>
      <c r="H1006" t="s">
        <v>144</v>
      </c>
      <c r="I1006" t="s">
        <v>144</v>
      </c>
      <c r="J1006" t="s">
        <v>6</v>
      </c>
      <c r="L1006">
        <v>522611</v>
      </c>
      <c r="M1006" s="99" t="s">
        <v>179</v>
      </c>
      <c r="N1006">
        <v>2</v>
      </c>
      <c r="O1006">
        <v>5</v>
      </c>
      <c r="P1006">
        <v>11.1722</v>
      </c>
      <c r="Q1006" t="s">
        <v>352</v>
      </c>
      <c r="R1006">
        <v>1</v>
      </c>
      <c r="S1006">
        <v>11.0517</v>
      </c>
      <c r="T1006">
        <v>0.32469999999999999</v>
      </c>
      <c r="U1006">
        <v>0.37111179550354123</v>
      </c>
      <c r="V1006">
        <v>10.0776</v>
      </c>
      <c r="W1006">
        <v>10.4023</v>
      </c>
      <c r="X1006">
        <v>10.727</v>
      </c>
      <c r="Y1006">
        <v>11.3764</v>
      </c>
      <c r="Z1006">
        <v>11.7011</v>
      </c>
      <c r="AA1006">
        <v>12.0258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 t="s">
        <v>462</v>
      </c>
      <c r="AL1006" t="s">
        <v>6</v>
      </c>
      <c r="AM1006" t="s">
        <v>1145</v>
      </c>
      <c r="AN1006" t="s">
        <v>1146</v>
      </c>
      <c r="AO1006" s="100">
        <v>46262.040405092594</v>
      </c>
      <c r="AP1006" t="s">
        <v>1147</v>
      </c>
      <c r="AQ1006" t="s">
        <v>3235</v>
      </c>
      <c r="AR1006" t="s">
        <v>1172</v>
      </c>
      <c r="AS1006" t="s">
        <v>1150</v>
      </c>
      <c r="AT1006" t="s">
        <v>3177</v>
      </c>
      <c r="AU1006">
        <v>25</v>
      </c>
      <c r="AV1006">
        <v>10.962323999999999</v>
      </c>
      <c r="AW1006">
        <v>0.34872433272333231</v>
      </c>
      <c r="AX1006">
        <v>3.1811168208797</v>
      </c>
      <c r="AY1006">
        <v>-3.5755108740503752</v>
      </c>
      <c r="AZ1006">
        <v>8.8243536285018802</v>
      </c>
      <c r="BB1006" t="s">
        <v>4620</v>
      </c>
      <c r="BD1006" s="98"/>
      <c r="BE1006" s="98"/>
      <c r="BF1006" t="s">
        <v>1152</v>
      </c>
      <c r="BG1006" t="s">
        <v>322</v>
      </c>
      <c r="BH1006" t="s">
        <v>1153</v>
      </c>
      <c r="BI1006">
        <v>3.5755108740503752</v>
      </c>
      <c r="BN1006" t="s">
        <v>1154</v>
      </c>
      <c r="BO1006">
        <v>2025</v>
      </c>
      <c r="BP1006" t="s">
        <v>966</v>
      </c>
      <c r="BZ1006" t="s">
        <v>1513</v>
      </c>
      <c r="CA1006" t="s">
        <v>1513</v>
      </c>
      <c r="CB1006" t="b">
        <v>0</v>
      </c>
      <c r="CC1006" t="b">
        <v>0</v>
      </c>
      <c r="CD1006" t="b">
        <v>0</v>
      </c>
      <c r="CE1006" t="b">
        <v>0</v>
      </c>
      <c r="CF1006" t="b">
        <v>0</v>
      </c>
    </row>
    <row r="1007" spans="1:84" x14ac:dyDescent="0.3">
      <c r="A1007" t="s">
        <v>3236</v>
      </c>
      <c r="B1007" t="s">
        <v>1174</v>
      </c>
      <c r="C1007" s="98">
        <v>45698</v>
      </c>
      <c r="D1007">
        <v>2025</v>
      </c>
      <c r="E1007">
        <v>2</v>
      </c>
      <c r="F1007">
        <v>1</v>
      </c>
      <c r="G1007" t="s">
        <v>1170</v>
      </c>
      <c r="H1007" t="s">
        <v>144</v>
      </c>
      <c r="I1007" t="s">
        <v>144</v>
      </c>
      <c r="J1007" t="s">
        <v>6</v>
      </c>
      <c r="L1007">
        <v>522611</v>
      </c>
      <c r="M1007" s="99" t="s">
        <v>179</v>
      </c>
      <c r="N1007">
        <v>2</v>
      </c>
      <c r="O1007">
        <v>6</v>
      </c>
      <c r="P1007">
        <v>11.6287</v>
      </c>
      <c r="Q1007" t="s">
        <v>352</v>
      </c>
      <c r="R1007">
        <v>1</v>
      </c>
      <c r="S1007">
        <v>11.0517</v>
      </c>
      <c r="T1007">
        <v>0.32469999999999999</v>
      </c>
      <c r="U1007">
        <v>1.7770249461040961</v>
      </c>
      <c r="V1007">
        <v>10.0776</v>
      </c>
      <c r="W1007">
        <v>10.4023</v>
      </c>
      <c r="X1007">
        <v>10.727</v>
      </c>
      <c r="Y1007">
        <v>11.3764</v>
      </c>
      <c r="Z1007">
        <v>11.7011</v>
      </c>
      <c r="AA1007">
        <v>12.0258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 t="s">
        <v>462</v>
      </c>
      <c r="AL1007" t="s">
        <v>6</v>
      </c>
      <c r="AM1007" t="s">
        <v>1145</v>
      </c>
      <c r="AN1007" t="s">
        <v>1146</v>
      </c>
      <c r="AO1007" s="100">
        <v>46262.040405092594</v>
      </c>
      <c r="AP1007" t="s">
        <v>1147</v>
      </c>
      <c r="AQ1007" t="s">
        <v>3237</v>
      </c>
      <c r="AR1007" t="s">
        <v>1176</v>
      </c>
      <c r="AS1007" t="s">
        <v>1150</v>
      </c>
      <c r="AT1007" t="s">
        <v>3177</v>
      </c>
      <c r="AU1007">
        <v>25</v>
      </c>
      <c r="AV1007">
        <v>10.962323999999999</v>
      </c>
      <c r="AW1007">
        <v>0.34872433272333231</v>
      </c>
      <c r="AX1007">
        <v>3.1811168208797</v>
      </c>
      <c r="AY1007">
        <v>-3.5755108740503752</v>
      </c>
      <c r="AZ1007">
        <v>8.8243536285018802</v>
      </c>
      <c r="BB1007" t="s">
        <v>4620</v>
      </c>
      <c r="BD1007" s="98"/>
      <c r="BE1007" s="98"/>
      <c r="BF1007" t="s">
        <v>1152</v>
      </c>
      <c r="BG1007" t="s">
        <v>322</v>
      </c>
      <c r="BH1007" t="s">
        <v>1153</v>
      </c>
      <c r="BI1007">
        <v>3.5755108740503752</v>
      </c>
      <c r="BN1007" t="s">
        <v>1154</v>
      </c>
      <c r="BO1007">
        <v>2025</v>
      </c>
      <c r="BP1007" t="s">
        <v>966</v>
      </c>
      <c r="BZ1007" t="s">
        <v>1513</v>
      </c>
      <c r="CA1007" t="s">
        <v>1513</v>
      </c>
      <c r="CB1007" t="b">
        <v>0</v>
      </c>
      <c r="CC1007" t="b">
        <v>0</v>
      </c>
      <c r="CD1007" t="b">
        <v>0</v>
      </c>
      <c r="CE1007" t="b">
        <v>0</v>
      </c>
      <c r="CF1007" t="b">
        <v>0</v>
      </c>
    </row>
    <row r="1008" spans="1:84" x14ac:dyDescent="0.3">
      <c r="A1008" t="s">
        <v>3238</v>
      </c>
      <c r="B1008" t="s">
        <v>1178</v>
      </c>
      <c r="C1008" s="98">
        <v>45705</v>
      </c>
      <c r="D1008">
        <v>2025</v>
      </c>
      <c r="E1008">
        <v>2</v>
      </c>
      <c r="F1008">
        <v>1</v>
      </c>
      <c r="G1008" t="s">
        <v>1170</v>
      </c>
      <c r="H1008" t="s">
        <v>144</v>
      </c>
      <c r="I1008" t="s">
        <v>144</v>
      </c>
      <c r="J1008" t="s">
        <v>6</v>
      </c>
      <c r="L1008">
        <v>522611</v>
      </c>
      <c r="M1008" s="99" t="s">
        <v>179</v>
      </c>
      <c r="N1008">
        <v>2</v>
      </c>
      <c r="O1008">
        <v>7</v>
      </c>
      <c r="P1008">
        <v>11.363200000000001</v>
      </c>
      <c r="Q1008" t="s">
        <v>352</v>
      </c>
      <c r="R1008">
        <v>1</v>
      </c>
      <c r="S1008">
        <v>11.0517</v>
      </c>
      <c r="T1008">
        <v>0.32469999999999999</v>
      </c>
      <c r="U1008">
        <v>0.95934708962119053</v>
      </c>
      <c r="V1008">
        <v>10.0776</v>
      </c>
      <c r="W1008">
        <v>10.4023</v>
      </c>
      <c r="X1008">
        <v>10.727</v>
      </c>
      <c r="Y1008">
        <v>11.3764</v>
      </c>
      <c r="Z1008">
        <v>11.7011</v>
      </c>
      <c r="AA1008">
        <v>12.0258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 t="s">
        <v>462</v>
      </c>
      <c r="AL1008" t="s">
        <v>6</v>
      </c>
      <c r="AM1008" t="s">
        <v>1145</v>
      </c>
      <c r="AN1008" t="s">
        <v>1146</v>
      </c>
      <c r="AO1008" s="100">
        <v>46262.040405092594</v>
      </c>
      <c r="AP1008" t="s">
        <v>1147</v>
      </c>
      <c r="AQ1008" t="s">
        <v>3239</v>
      </c>
      <c r="AR1008" t="s">
        <v>1180</v>
      </c>
      <c r="AS1008" t="s">
        <v>1150</v>
      </c>
      <c r="AT1008" t="s">
        <v>3177</v>
      </c>
      <c r="AU1008">
        <v>25</v>
      </c>
      <c r="AV1008">
        <v>10.962323999999999</v>
      </c>
      <c r="AW1008">
        <v>0.34872433272333231</v>
      </c>
      <c r="AX1008">
        <v>3.1811168208797</v>
      </c>
      <c r="AY1008">
        <v>-3.5755108740503752</v>
      </c>
      <c r="AZ1008">
        <v>8.8243536285018802</v>
      </c>
      <c r="BB1008" t="s">
        <v>4620</v>
      </c>
      <c r="BD1008" s="98"/>
      <c r="BE1008" s="98"/>
      <c r="BF1008" t="s">
        <v>1152</v>
      </c>
      <c r="BG1008" t="s">
        <v>322</v>
      </c>
      <c r="BH1008" t="s">
        <v>1153</v>
      </c>
      <c r="BI1008">
        <v>3.5755108740503752</v>
      </c>
      <c r="BN1008" t="s">
        <v>1154</v>
      </c>
      <c r="BO1008">
        <v>2025</v>
      </c>
      <c r="BP1008" t="s">
        <v>966</v>
      </c>
      <c r="BZ1008" t="s">
        <v>1513</v>
      </c>
      <c r="CA1008" t="s">
        <v>1513</v>
      </c>
      <c r="CB1008" t="b">
        <v>0</v>
      </c>
      <c r="CC1008" t="b">
        <v>0</v>
      </c>
      <c r="CD1008" t="b">
        <v>0</v>
      </c>
      <c r="CE1008" t="b">
        <v>0</v>
      </c>
      <c r="CF1008" t="b">
        <v>0</v>
      </c>
    </row>
    <row r="1009" spans="1:84" x14ac:dyDescent="0.3">
      <c r="A1009" t="s">
        <v>3240</v>
      </c>
      <c r="B1009" t="s">
        <v>1182</v>
      </c>
      <c r="C1009" s="98">
        <v>45712</v>
      </c>
      <c r="D1009">
        <v>2025</v>
      </c>
      <c r="E1009">
        <v>2</v>
      </c>
      <c r="F1009">
        <v>1</v>
      </c>
      <c r="G1009" t="s">
        <v>1170</v>
      </c>
      <c r="H1009" t="s">
        <v>144</v>
      </c>
      <c r="I1009" t="s">
        <v>144</v>
      </c>
      <c r="J1009" t="s">
        <v>6</v>
      </c>
      <c r="L1009">
        <v>522611</v>
      </c>
      <c r="M1009" s="99" t="s">
        <v>179</v>
      </c>
      <c r="N1009">
        <v>2</v>
      </c>
      <c r="O1009">
        <v>8</v>
      </c>
      <c r="P1009">
        <v>10.8367</v>
      </c>
      <c r="Q1009" t="s">
        <v>352</v>
      </c>
      <c r="R1009">
        <v>1</v>
      </c>
      <c r="S1009">
        <v>11.0517</v>
      </c>
      <c r="T1009">
        <v>0.32469999999999999</v>
      </c>
      <c r="U1009">
        <v>-0.66214967662457613</v>
      </c>
      <c r="V1009">
        <v>10.0776</v>
      </c>
      <c r="W1009">
        <v>10.4023</v>
      </c>
      <c r="X1009">
        <v>10.727</v>
      </c>
      <c r="Y1009">
        <v>11.3764</v>
      </c>
      <c r="Z1009">
        <v>11.7011</v>
      </c>
      <c r="AA1009">
        <v>12.0258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 t="s">
        <v>462</v>
      </c>
      <c r="AL1009" t="s">
        <v>6</v>
      </c>
      <c r="AM1009" t="s">
        <v>1145</v>
      </c>
      <c r="AN1009" t="s">
        <v>1146</v>
      </c>
      <c r="AO1009" s="100">
        <v>46262.040405092594</v>
      </c>
      <c r="AP1009" t="s">
        <v>1147</v>
      </c>
      <c r="AQ1009" t="s">
        <v>3241</v>
      </c>
      <c r="AR1009" t="s">
        <v>1184</v>
      </c>
      <c r="AS1009" t="s">
        <v>1150</v>
      </c>
      <c r="AT1009" t="s">
        <v>3177</v>
      </c>
      <c r="AU1009">
        <v>25</v>
      </c>
      <c r="AV1009">
        <v>10.962323999999999</v>
      </c>
      <c r="AW1009">
        <v>0.34872433272333231</v>
      </c>
      <c r="AX1009">
        <v>3.1811168208797</v>
      </c>
      <c r="AY1009">
        <v>-3.5755108740503752</v>
      </c>
      <c r="AZ1009">
        <v>8.8243536285018802</v>
      </c>
      <c r="BB1009" t="s">
        <v>4620</v>
      </c>
      <c r="BD1009" s="98"/>
      <c r="BE1009" s="98"/>
      <c r="BF1009" t="s">
        <v>1152</v>
      </c>
      <c r="BG1009" t="s">
        <v>322</v>
      </c>
      <c r="BH1009" t="s">
        <v>1153</v>
      </c>
      <c r="BI1009">
        <v>3.5755108740503752</v>
      </c>
      <c r="BN1009" t="s">
        <v>1154</v>
      </c>
      <c r="BO1009">
        <v>2025</v>
      </c>
      <c r="BP1009" t="s">
        <v>966</v>
      </c>
      <c r="BZ1009" t="s">
        <v>1513</v>
      </c>
      <c r="CA1009" t="s">
        <v>1513</v>
      </c>
      <c r="CB1009" t="b">
        <v>0</v>
      </c>
      <c r="CC1009" t="b">
        <v>0</v>
      </c>
      <c r="CD1009" t="b">
        <v>0</v>
      </c>
      <c r="CE1009" t="b">
        <v>0</v>
      </c>
      <c r="CF1009" t="b">
        <v>0</v>
      </c>
    </row>
    <row r="1010" spans="1:84" x14ac:dyDescent="0.3">
      <c r="A1010" t="s">
        <v>3242</v>
      </c>
      <c r="B1010" t="s">
        <v>1186</v>
      </c>
      <c r="C1010" s="98">
        <v>45719</v>
      </c>
      <c r="D1010">
        <v>2025</v>
      </c>
      <c r="E1010">
        <v>3</v>
      </c>
      <c r="F1010">
        <v>1</v>
      </c>
      <c r="G1010" t="s">
        <v>1187</v>
      </c>
      <c r="H1010" t="s">
        <v>144</v>
      </c>
      <c r="I1010" t="s">
        <v>144</v>
      </c>
      <c r="J1010" t="s">
        <v>6</v>
      </c>
      <c r="L1010">
        <v>522611</v>
      </c>
      <c r="M1010" s="99" t="s">
        <v>179</v>
      </c>
      <c r="N1010">
        <v>2</v>
      </c>
      <c r="O1010">
        <v>9</v>
      </c>
      <c r="P1010">
        <v>10.9276</v>
      </c>
      <c r="Q1010" t="s">
        <v>352</v>
      </c>
      <c r="R1010">
        <v>1</v>
      </c>
      <c r="S1010">
        <v>11.0517</v>
      </c>
      <c r="T1010">
        <v>0.32469999999999999</v>
      </c>
      <c r="U1010">
        <v>-0.38219895287958217</v>
      </c>
      <c r="V1010">
        <v>10.0776</v>
      </c>
      <c r="W1010">
        <v>10.4023</v>
      </c>
      <c r="X1010">
        <v>10.727</v>
      </c>
      <c r="Y1010">
        <v>11.3764</v>
      </c>
      <c r="Z1010">
        <v>11.7011</v>
      </c>
      <c r="AA1010">
        <v>12.0258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 t="s">
        <v>462</v>
      </c>
      <c r="AL1010" t="s">
        <v>6</v>
      </c>
      <c r="AM1010" t="s">
        <v>1145</v>
      </c>
      <c r="AN1010" t="s">
        <v>1146</v>
      </c>
      <c r="AO1010" s="100">
        <v>46262.040405092594</v>
      </c>
      <c r="AP1010" t="s">
        <v>1147</v>
      </c>
      <c r="AQ1010" t="s">
        <v>3243</v>
      </c>
      <c r="AR1010" t="s">
        <v>1189</v>
      </c>
      <c r="AS1010" t="s">
        <v>1150</v>
      </c>
      <c r="AT1010" t="s">
        <v>3177</v>
      </c>
      <c r="AU1010">
        <v>25</v>
      </c>
      <c r="AV1010">
        <v>10.962323999999999</v>
      </c>
      <c r="AW1010">
        <v>0.34872433272333231</v>
      </c>
      <c r="AX1010">
        <v>3.1811168208797</v>
      </c>
      <c r="AY1010">
        <v>-3.5755108740503752</v>
      </c>
      <c r="AZ1010">
        <v>8.8243536285018802</v>
      </c>
      <c r="BB1010" t="s">
        <v>4620</v>
      </c>
      <c r="BD1010" s="98"/>
      <c r="BE1010" s="98"/>
      <c r="BF1010" t="s">
        <v>1152</v>
      </c>
      <c r="BG1010" t="s">
        <v>322</v>
      </c>
      <c r="BH1010" t="s">
        <v>1153</v>
      </c>
      <c r="BI1010">
        <v>3.5755108740503752</v>
      </c>
      <c r="BN1010" t="s">
        <v>1154</v>
      </c>
      <c r="BO1010">
        <v>2025</v>
      </c>
      <c r="BP1010" t="s">
        <v>966</v>
      </c>
      <c r="BZ1010" t="s">
        <v>1513</v>
      </c>
      <c r="CA1010" t="s">
        <v>1513</v>
      </c>
      <c r="CB1010" t="b">
        <v>0</v>
      </c>
      <c r="CC1010" t="b">
        <v>0</v>
      </c>
      <c r="CD1010" t="b">
        <v>0</v>
      </c>
      <c r="CE1010" t="b">
        <v>0</v>
      </c>
      <c r="CF1010" t="b">
        <v>0</v>
      </c>
    </row>
    <row r="1011" spans="1:84" x14ac:dyDescent="0.3">
      <c r="A1011" t="s">
        <v>3244</v>
      </c>
      <c r="B1011" t="s">
        <v>1191</v>
      </c>
      <c r="C1011" s="98">
        <v>45726</v>
      </c>
      <c r="D1011">
        <v>2025</v>
      </c>
      <c r="E1011">
        <v>3</v>
      </c>
      <c r="F1011">
        <v>1</v>
      </c>
      <c r="G1011" t="s">
        <v>1187</v>
      </c>
      <c r="H1011" t="s">
        <v>144</v>
      </c>
      <c r="I1011" t="s">
        <v>144</v>
      </c>
      <c r="J1011" t="s">
        <v>6</v>
      </c>
      <c r="L1011">
        <v>522611</v>
      </c>
      <c r="M1011" s="99" t="s">
        <v>179</v>
      </c>
      <c r="N1011">
        <v>2</v>
      </c>
      <c r="O1011">
        <v>10</v>
      </c>
      <c r="P1011">
        <v>11.193300000000001</v>
      </c>
      <c r="Q1011" t="s">
        <v>352</v>
      </c>
      <c r="R1011">
        <v>1</v>
      </c>
      <c r="S1011">
        <v>11.0517</v>
      </c>
      <c r="T1011">
        <v>0.32469999999999999</v>
      </c>
      <c r="U1011">
        <v>0.43609485679088511</v>
      </c>
      <c r="V1011">
        <v>10.0776</v>
      </c>
      <c r="W1011">
        <v>10.4023</v>
      </c>
      <c r="X1011">
        <v>10.727</v>
      </c>
      <c r="Y1011">
        <v>11.3764</v>
      </c>
      <c r="Z1011">
        <v>11.7011</v>
      </c>
      <c r="AA1011">
        <v>12.0258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 t="s">
        <v>462</v>
      </c>
      <c r="AL1011" t="s">
        <v>6</v>
      </c>
      <c r="AM1011" t="s">
        <v>1145</v>
      </c>
      <c r="AN1011" t="s">
        <v>1146</v>
      </c>
      <c r="AO1011" s="100">
        <v>46262.040405092594</v>
      </c>
      <c r="AP1011" t="s">
        <v>1147</v>
      </c>
      <c r="AQ1011" t="s">
        <v>3245</v>
      </c>
      <c r="AR1011" t="s">
        <v>1193</v>
      </c>
      <c r="AS1011" t="s">
        <v>1150</v>
      </c>
      <c r="AT1011" t="s">
        <v>3177</v>
      </c>
      <c r="AU1011">
        <v>25</v>
      </c>
      <c r="AV1011">
        <v>10.962323999999999</v>
      </c>
      <c r="AW1011">
        <v>0.34872433272333231</v>
      </c>
      <c r="AX1011">
        <v>3.1811168208797</v>
      </c>
      <c r="AY1011">
        <v>-3.5755108740503752</v>
      </c>
      <c r="AZ1011">
        <v>8.8243536285018802</v>
      </c>
      <c r="BB1011" t="s">
        <v>4620</v>
      </c>
      <c r="BD1011" s="98"/>
      <c r="BE1011" s="98"/>
      <c r="BF1011" t="s">
        <v>1152</v>
      </c>
      <c r="BG1011" t="s">
        <v>322</v>
      </c>
      <c r="BH1011" t="s">
        <v>1153</v>
      </c>
      <c r="BI1011">
        <v>3.5755108740503752</v>
      </c>
      <c r="BN1011" t="s">
        <v>1154</v>
      </c>
      <c r="BO1011">
        <v>2025</v>
      </c>
      <c r="BP1011" t="s">
        <v>966</v>
      </c>
      <c r="BZ1011" t="s">
        <v>1513</v>
      </c>
      <c r="CA1011" t="s">
        <v>1513</v>
      </c>
      <c r="CB1011" t="b">
        <v>0</v>
      </c>
      <c r="CC1011" t="b">
        <v>0</v>
      </c>
      <c r="CD1011" t="b">
        <v>0</v>
      </c>
      <c r="CE1011" t="b">
        <v>0</v>
      </c>
      <c r="CF1011" t="b">
        <v>0</v>
      </c>
    </row>
    <row r="1012" spans="1:84" x14ac:dyDescent="0.3">
      <c r="A1012" t="s">
        <v>3246</v>
      </c>
      <c r="B1012" t="s">
        <v>1195</v>
      </c>
      <c r="C1012" s="98">
        <v>45733</v>
      </c>
      <c r="D1012">
        <v>2025</v>
      </c>
      <c r="E1012">
        <v>3</v>
      </c>
      <c r="F1012">
        <v>1</v>
      </c>
      <c r="G1012" t="s">
        <v>1187</v>
      </c>
      <c r="H1012" t="s">
        <v>144</v>
      </c>
      <c r="I1012" t="s">
        <v>144</v>
      </c>
      <c r="J1012" t="s">
        <v>6</v>
      </c>
      <c r="L1012">
        <v>522611</v>
      </c>
      <c r="M1012" s="99" t="s">
        <v>179</v>
      </c>
      <c r="N1012">
        <v>2</v>
      </c>
      <c r="O1012">
        <v>11</v>
      </c>
      <c r="P1012">
        <v>11.0716</v>
      </c>
      <c r="Q1012" t="s">
        <v>352</v>
      </c>
      <c r="R1012">
        <v>1</v>
      </c>
      <c r="S1012">
        <v>11.0517</v>
      </c>
      <c r="T1012">
        <v>0.32469999999999999</v>
      </c>
      <c r="U1012">
        <v>6.1287342161995093E-2</v>
      </c>
      <c r="V1012">
        <v>10.0776</v>
      </c>
      <c r="W1012">
        <v>10.4023</v>
      </c>
      <c r="X1012">
        <v>10.727</v>
      </c>
      <c r="Y1012">
        <v>11.3764</v>
      </c>
      <c r="Z1012">
        <v>11.7011</v>
      </c>
      <c r="AA1012">
        <v>12.0258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 t="s">
        <v>462</v>
      </c>
      <c r="AL1012" t="s">
        <v>6</v>
      </c>
      <c r="AM1012" t="s">
        <v>1145</v>
      </c>
      <c r="AN1012" t="s">
        <v>1146</v>
      </c>
      <c r="AO1012" s="100">
        <v>46262.040405092594</v>
      </c>
      <c r="AP1012" t="s">
        <v>1147</v>
      </c>
      <c r="AQ1012" t="s">
        <v>3247</v>
      </c>
      <c r="AR1012" t="s">
        <v>1197</v>
      </c>
      <c r="AS1012" t="s">
        <v>1150</v>
      </c>
      <c r="AT1012" t="s">
        <v>3177</v>
      </c>
      <c r="AU1012">
        <v>25</v>
      </c>
      <c r="AV1012">
        <v>10.962323999999999</v>
      </c>
      <c r="AW1012">
        <v>0.34872433272333231</v>
      </c>
      <c r="AX1012">
        <v>3.1811168208797</v>
      </c>
      <c r="AY1012">
        <v>-3.5755108740503752</v>
      </c>
      <c r="AZ1012">
        <v>8.8243536285018802</v>
      </c>
      <c r="BB1012" t="s">
        <v>4620</v>
      </c>
      <c r="BD1012" s="98"/>
      <c r="BE1012" s="98"/>
      <c r="BF1012" t="s">
        <v>1152</v>
      </c>
      <c r="BG1012" t="s">
        <v>322</v>
      </c>
      <c r="BH1012" t="s">
        <v>1153</v>
      </c>
      <c r="BI1012">
        <v>3.5755108740503752</v>
      </c>
      <c r="BN1012" t="s">
        <v>1154</v>
      </c>
      <c r="BO1012">
        <v>2025</v>
      </c>
      <c r="BP1012" t="s">
        <v>966</v>
      </c>
      <c r="BZ1012" t="s">
        <v>1513</v>
      </c>
      <c r="CA1012" t="s">
        <v>1513</v>
      </c>
      <c r="CB1012" t="b">
        <v>0</v>
      </c>
      <c r="CC1012" t="b">
        <v>0</v>
      </c>
      <c r="CD1012" t="b">
        <v>0</v>
      </c>
      <c r="CE1012" t="b">
        <v>0</v>
      </c>
      <c r="CF1012" t="b">
        <v>0</v>
      </c>
    </row>
    <row r="1013" spans="1:84" x14ac:dyDescent="0.3">
      <c r="A1013" t="s">
        <v>3248</v>
      </c>
      <c r="B1013" t="s">
        <v>1199</v>
      </c>
      <c r="C1013" s="98">
        <v>45740</v>
      </c>
      <c r="D1013">
        <v>2025</v>
      </c>
      <c r="E1013">
        <v>3</v>
      </c>
      <c r="F1013">
        <v>1</v>
      </c>
      <c r="G1013" t="s">
        <v>1187</v>
      </c>
      <c r="H1013" t="s">
        <v>144</v>
      </c>
      <c r="I1013" t="s">
        <v>144</v>
      </c>
      <c r="J1013" t="s">
        <v>6</v>
      </c>
      <c r="L1013">
        <v>522611</v>
      </c>
      <c r="M1013" s="99" t="s">
        <v>179</v>
      </c>
      <c r="N1013">
        <v>2</v>
      </c>
      <c r="O1013">
        <v>12</v>
      </c>
      <c r="P1013">
        <v>11.0678</v>
      </c>
      <c r="Q1013" t="s">
        <v>352</v>
      </c>
      <c r="R1013">
        <v>1</v>
      </c>
      <c r="S1013">
        <v>11.0517</v>
      </c>
      <c r="T1013">
        <v>0.32469999999999999</v>
      </c>
      <c r="U1013">
        <v>4.9584231598397852E-2</v>
      </c>
      <c r="V1013">
        <v>10.0776</v>
      </c>
      <c r="W1013">
        <v>10.4023</v>
      </c>
      <c r="X1013">
        <v>10.727</v>
      </c>
      <c r="Y1013">
        <v>11.3764</v>
      </c>
      <c r="Z1013">
        <v>11.7011</v>
      </c>
      <c r="AA1013">
        <v>12.0258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 t="s">
        <v>462</v>
      </c>
      <c r="AL1013" t="s">
        <v>6</v>
      </c>
      <c r="AM1013" t="s">
        <v>1145</v>
      </c>
      <c r="AN1013" t="s">
        <v>1146</v>
      </c>
      <c r="AO1013" s="100">
        <v>46262.040405092594</v>
      </c>
      <c r="AP1013" t="s">
        <v>1147</v>
      </c>
      <c r="AQ1013" t="s">
        <v>3249</v>
      </c>
      <c r="AR1013" t="s">
        <v>1201</v>
      </c>
      <c r="AS1013" t="s">
        <v>1150</v>
      </c>
      <c r="AT1013" t="s">
        <v>3177</v>
      </c>
      <c r="AU1013">
        <v>25</v>
      </c>
      <c r="AV1013">
        <v>10.962323999999999</v>
      </c>
      <c r="AW1013">
        <v>0.34872433272333231</v>
      </c>
      <c r="AX1013">
        <v>3.1811168208797</v>
      </c>
      <c r="AY1013">
        <v>-3.5755108740503752</v>
      </c>
      <c r="AZ1013">
        <v>8.8243536285018802</v>
      </c>
      <c r="BB1013" t="s">
        <v>4620</v>
      </c>
      <c r="BD1013" s="98"/>
      <c r="BE1013" s="98"/>
      <c r="BF1013" t="s">
        <v>1152</v>
      </c>
      <c r="BG1013" t="s">
        <v>322</v>
      </c>
      <c r="BH1013" t="s">
        <v>1153</v>
      </c>
      <c r="BI1013">
        <v>3.5755108740503752</v>
      </c>
      <c r="BN1013" t="s">
        <v>1154</v>
      </c>
      <c r="BO1013">
        <v>2025</v>
      </c>
      <c r="BP1013" t="s">
        <v>966</v>
      </c>
      <c r="BZ1013" t="s">
        <v>1513</v>
      </c>
      <c r="CA1013" t="s">
        <v>1513</v>
      </c>
      <c r="CB1013" t="b">
        <v>0</v>
      </c>
      <c r="CC1013" t="b">
        <v>0</v>
      </c>
      <c r="CD1013" t="b">
        <v>0</v>
      </c>
      <c r="CE1013" t="b">
        <v>0</v>
      </c>
      <c r="CF1013" t="b">
        <v>0</v>
      </c>
    </row>
    <row r="1014" spans="1:84" x14ac:dyDescent="0.3">
      <c r="A1014" t="s">
        <v>3250</v>
      </c>
      <c r="B1014" t="s">
        <v>1203</v>
      </c>
      <c r="C1014" s="98">
        <v>45747</v>
      </c>
      <c r="D1014">
        <v>2025</v>
      </c>
      <c r="E1014">
        <v>3</v>
      </c>
      <c r="F1014">
        <v>1</v>
      </c>
      <c r="G1014" t="s">
        <v>1187</v>
      </c>
      <c r="H1014" t="s">
        <v>144</v>
      </c>
      <c r="I1014" t="s">
        <v>144</v>
      </c>
      <c r="J1014" t="s">
        <v>6</v>
      </c>
      <c r="L1014">
        <v>522611</v>
      </c>
      <c r="M1014" s="99" t="s">
        <v>179</v>
      </c>
      <c r="N1014">
        <v>2</v>
      </c>
      <c r="O1014">
        <v>13</v>
      </c>
      <c r="P1014">
        <v>10.9588</v>
      </c>
      <c r="Q1014" t="s">
        <v>352</v>
      </c>
      <c r="R1014">
        <v>1</v>
      </c>
      <c r="S1014">
        <v>11.0517</v>
      </c>
      <c r="T1014">
        <v>0.32469999999999999</v>
      </c>
      <c r="U1014">
        <v>-0.28611025562057346</v>
      </c>
      <c r="V1014">
        <v>10.0776</v>
      </c>
      <c r="W1014">
        <v>10.4023</v>
      </c>
      <c r="X1014">
        <v>10.727</v>
      </c>
      <c r="Y1014">
        <v>11.3764</v>
      </c>
      <c r="Z1014">
        <v>11.7011</v>
      </c>
      <c r="AA1014">
        <v>12.0258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 t="s">
        <v>462</v>
      </c>
      <c r="AL1014" t="s">
        <v>6</v>
      </c>
      <c r="AM1014" t="s">
        <v>1145</v>
      </c>
      <c r="AN1014" t="s">
        <v>1146</v>
      </c>
      <c r="AO1014" s="100">
        <v>46262.040405092594</v>
      </c>
      <c r="AP1014" t="s">
        <v>1147</v>
      </c>
      <c r="AQ1014" t="s">
        <v>3251</v>
      </c>
      <c r="AR1014" t="s">
        <v>1205</v>
      </c>
      <c r="AS1014" t="s">
        <v>1150</v>
      </c>
      <c r="AT1014" t="s">
        <v>3177</v>
      </c>
      <c r="AU1014">
        <v>25</v>
      </c>
      <c r="AV1014">
        <v>10.962323999999999</v>
      </c>
      <c r="AW1014">
        <v>0.34872433272333231</v>
      </c>
      <c r="AX1014">
        <v>3.1811168208797</v>
      </c>
      <c r="AY1014">
        <v>-3.5755108740503752</v>
      </c>
      <c r="AZ1014">
        <v>8.8243536285018802</v>
      </c>
      <c r="BB1014" t="s">
        <v>4620</v>
      </c>
      <c r="BD1014" s="98"/>
      <c r="BE1014" s="98"/>
      <c r="BF1014" t="s">
        <v>1152</v>
      </c>
      <c r="BG1014" t="s">
        <v>322</v>
      </c>
      <c r="BH1014" t="s">
        <v>1153</v>
      </c>
      <c r="BI1014">
        <v>3.5755108740503752</v>
      </c>
      <c r="BN1014" t="s">
        <v>1154</v>
      </c>
      <c r="BO1014">
        <v>2025</v>
      </c>
      <c r="BP1014" t="s">
        <v>966</v>
      </c>
      <c r="BZ1014" t="s">
        <v>1513</v>
      </c>
      <c r="CA1014" t="s">
        <v>1513</v>
      </c>
      <c r="CB1014" t="b">
        <v>0</v>
      </c>
      <c r="CC1014" t="b">
        <v>0</v>
      </c>
      <c r="CD1014" t="b">
        <v>0</v>
      </c>
      <c r="CE1014" t="b">
        <v>0</v>
      </c>
      <c r="CF1014" t="b">
        <v>0</v>
      </c>
    </row>
    <row r="1015" spans="1:84" x14ac:dyDescent="0.3">
      <c r="A1015" t="s">
        <v>3252</v>
      </c>
      <c r="B1015" t="s">
        <v>1207</v>
      </c>
      <c r="C1015" s="98">
        <v>45754</v>
      </c>
      <c r="D1015">
        <v>2025</v>
      </c>
      <c r="E1015">
        <v>4</v>
      </c>
      <c r="F1015">
        <v>2</v>
      </c>
      <c r="G1015" t="s">
        <v>1208</v>
      </c>
      <c r="H1015" t="s">
        <v>144</v>
      </c>
      <c r="I1015" t="s">
        <v>144</v>
      </c>
      <c r="J1015" t="s">
        <v>6</v>
      </c>
      <c r="L1015">
        <v>522611</v>
      </c>
      <c r="M1015" s="99" t="s">
        <v>179</v>
      </c>
      <c r="N1015">
        <v>2</v>
      </c>
      <c r="O1015">
        <v>14</v>
      </c>
      <c r="P1015">
        <v>10.464499999999999</v>
      </c>
      <c r="Q1015" t="s">
        <v>352</v>
      </c>
      <c r="R1015">
        <v>1</v>
      </c>
      <c r="S1015">
        <v>11.0517</v>
      </c>
      <c r="T1015">
        <v>0.32469999999999999</v>
      </c>
      <c r="U1015">
        <v>-1.8084385586695444</v>
      </c>
      <c r="V1015">
        <v>10.0776</v>
      </c>
      <c r="W1015">
        <v>10.4023</v>
      </c>
      <c r="X1015">
        <v>10.727</v>
      </c>
      <c r="Y1015">
        <v>11.3764</v>
      </c>
      <c r="Z1015">
        <v>11.7011</v>
      </c>
      <c r="AA1015">
        <v>12.0258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 t="s">
        <v>462</v>
      </c>
      <c r="AL1015" t="s">
        <v>6</v>
      </c>
      <c r="AM1015" t="s">
        <v>1145</v>
      </c>
      <c r="AN1015" t="s">
        <v>1146</v>
      </c>
      <c r="AO1015" s="100">
        <v>46262.040405092594</v>
      </c>
      <c r="AP1015" t="s">
        <v>1147</v>
      </c>
      <c r="AQ1015" t="s">
        <v>3253</v>
      </c>
      <c r="AR1015" t="s">
        <v>1210</v>
      </c>
      <c r="AS1015" t="s">
        <v>1150</v>
      </c>
      <c r="AT1015" t="s">
        <v>3177</v>
      </c>
      <c r="AU1015">
        <v>25</v>
      </c>
      <c r="AV1015">
        <v>10.962323999999999</v>
      </c>
      <c r="AW1015">
        <v>0.34872433272333231</v>
      </c>
      <c r="AX1015">
        <v>3.1811168208797</v>
      </c>
      <c r="AY1015">
        <v>-3.5755108740503752</v>
      </c>
      <c r="AZ1015">
        <v>8.8243536285018802</v>
      </c>
      <c r="BB1015" t="s">
        <v>4620</v>
      </c>
      <c r="BD1015" s="98"/>
      <c r="BE1015" s="98"/>
      <c r="BF1015" t="s">
        <v>1152</v>
      </c>
      <c r="BG1015" t="s">
        <v>322</v>
      </c>
      <c r="BH1015" t="s">
        <v>1153</v>
      </c>
      <c r="BI1015">
        <v>3.5755108740503752</v>
      </c>
      <c r="BN1015" t="s">
        <v>1154</v>
      </c>
      <c r="BO1015">
        <v>2025</v>
      </c>
      <c r="BP1015" t="s">
        <v>966</v>
      </c>
      <c r="BZ1015" t="s">
        <v>1513</v>
      </c>
      <c r="CA1015" t="s">
        <v>1513</v>
      </c>
      <c r="CB1015" t="b">
        <v>0</v>
      </c>
      <c r="CC1015" t="b">
        <v>0</v>
      </c>
      <c r="CD1015" t="b">
        <v>0</v>
      </c>
      <c r="CE1015" t="b">
        <v>0</v>
      </c>
      <c r="CF1015" t="b">
        <v>0</v>
      </c>
    </row>
    <row r="1016" spans="1:84" x14ac:dyDescent="0.3">
      <c r="A1016" t="s">
        <v>3254</v>
      </c>
      <c r="B1016" t="s">
        <v>1212</v>
      </c>
      <c r="C1016" s="98">
        <v>45761</v>
      </c>
      <c r="D1016">
        <v>2025</v>
      </c>
      <c r="E1016">
        <v>4</v>
      </c>
      <c r="F1016">
        <v>2</v>
      </c>
      <c r="G1016" t="s">
        <v>1208</v>
      </c>
      <c r="H1016" t="s">
        <v>144</v>
      </c>
      <c r="I1016" t="s">
        <v>144</v>
      </c>
      <c r="J1016" t="s">
        <v>6</v>
      </c>
      <c r="L1016">
        <v>522611</v>
      </c>
      <c r="M1016" s="99" t="s">
        <v>179</v>
      </c>
      <c r="N1016">
        <v>2</v>
      </c>
      <c r="O1016">
        <v>15</v>
      </c>
      <c r="P1016">
        <v>10.9785</v>
      </c>
      <c r="Q1016" t="s">
        <v>352</v>
      </c>
      <c r="R1016">
        <v>1</v>
      </c>
      <c r="S1016">
        <v>11.0517</v>
      </c>
      <c r="T1016">
        <v>0.32469999999999999</v>
      </c>
      <c r="U1016">
        <v>-0.22543886664613469</v>
      </c>
      <c r="V1016">
        <v>10.0776</v>
      </c>
      <c r="W1016">
        <v>10.4023</v>
      </c>
      <c r="X1016">
        <v>10.727</v>
      </c>
      <c r="Y1016">
        <v>11.3764</v>
      </c>
      <c r="Z1016">
        <v>11.7011</v>
      </c>
      <c r="AA1016">
        <v>12.0258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 t="s">
        <v>462</v>
      </c>
      <c r="AL1016" t="s">
        <v>6</v>
      </c>
      <c r="AM1016" t="s">
        <v>1145</v>
      </c>
      <c r="AN1016" t="s">
        <v>1146</v>
      </c>
      <c r="AO1016" s="100">
        <v>46262.040405092594</v>
      </c>
      <c r="AP1016" t="s">
        <v>1147</v>
      </c>
      <c r="AQ1016" t="s">
        <v>3255</v>
      </c>
      <c r="AR1016" t="s">
        <v>1215</v>
      </c>
      <c r="AS1016" t="s">
        <v>1150</v>
      </c>
      <c r="AT1016" t="s">
        <v>3177</v>
      </c>
      <c r="AU1016">
        <v>25</v>
      </c>
      <c r="AV1016">
        <v>10.962323999999999</v>
      </c>
      <c r="AW1016">
        <v>0.34872433272333231</v>
      </c>
      <c r="AX1016">
        <v>3.1811168208797</v>
      </c>
      <c r="AY1016">
        <v>-3.5755108740503752</v>
      </c>
      <c r="AZ1016">
        <v>8.8243536285018802</v>
      </c>
      <c r="BB1016" t="s">
        <v>4620</v>
      </c>
      <c r="BD1016" s="98"/>
      <c r="BE1016" s="98"/>
      <c r="BF1016" t="s">
        <v>1152</v>
      </c>
      <c r="BG1016" t="s">
        <v>322</v>
      </c>
      <c r="BH1016" t="s">
        <v>1153</v>
      </c>
      <c r="BI1016">
        <v>3.5755108740503752</v>
      </c>
      <c r="BN1016" t="s">
        <v>1154</v>
      </c>
      <c r="BO1016">
        <v>2025</v>
      </c>
      <c r="BP1016" t="s">
        <v>966</v>
      </c>
      <c r="BZ1016" t="s">
        <v>1513</v>
      </c>
      <c r="CA1016" t="s">
        <v>1513</v>
      </c>
      <c r="CB1016" t="b">
        <v>0</v>
      </c>
      <c r="CC1016" t="b">
        <v>0</v>
      </c>
      <c r="CD1016" t="b">
        <v>0</v>
      </c>
      <c r="CE1016" t="b">
        <v>0</v>
      </c>
      <c r="CF1016" t="b">
        <v>0</v>
      </c>
    </row>
    <row r="1017" spans="1:84" x14ac:dyDescent="0.3">
      <c r="A1017" t="s">
        <v>3256</v>
      </c>
      <c r="B1017" t="s">
        <v>1217</v>
      </c>
      <c r="C1017" s="98">
        <v>45768</v>
      </c>
      <c r="D1017">
        <v>2025</v>
      </c>
      <c r="E1017">
        <v>4</v>
      </c>
      <c r="F1017">
        <v>2</v>
      </c>
      <c r="G1017" t="s">
        <v>1208</v>
      </c>
      <c r="H1017" t="s">
        <v>144</v>
      </c>
      <c r="I1017" t="s">
        <v>144</v>
      </c>
      <c r="J1017" t="s">
        <v>6</v>
      </c>
      <c r="L1017">
        <v>522611</v>
      </c>
      <c r="M1017" s="99" t="s">
        <v>179</v>
      </c>
      <c r="N1017">
        <v>2</v>
      </c>
      <c r="O1017">
        <v>16</v>
      </c>
      <c r="P1017">
        <v>10.3315</v>
      </c>
      <c r="Q1017" t="s">
        <v>352</v>
      </c>
      <c r="R1017">
        <v>1</v>
      </c>
      <c r="S1017">
        <v>11.0517</v>
      </c>
      <c r="T1017">
        <v>0.32469999999999999</v>
      </c>
      <c r="U1017">
        <v>-2.2180474283954426</v>
      </c>
      <c r="V1017">
        <v>10.0776</v>
      </c>
      <c r="W1017">
        <v>10.4023</v>
      </c>
      <c r="X1017">
        <v>10.727</v>
      </c>
      <c r="Y1017">
        <v>11.3764</v>
      </c>
      <c r="Z1017">
        <v>11.7011</v>
      </c>
      <c r="AA1017">
        <v>12.0258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1</v>
      </c>
      <c r="AK1017" t="s">
        <v>462</v>
      </c>
      <c r="AL1017" t="s">
        <v>6</v>
      </c>
      <c r="AM1017" t="s">
        <v>1145</v>
      </c>
      <c r="AN1017" t="s">
        <v>1146</v>
      </c>
      <c r="AO1017" s="100">
        <v>46262.040405092594</v>
      </c>
      <c r="AP1017" t="s">
        <v>1147</v>
      </c>
      <c r="AQ1017" t="s">
        <v>3257</v>
      </c>
      <c r="AR1017" t="s">
        <v>1219</v>
      </c>
      <c r="AS1017" t="s">
        <v>1150</v>
      </c>
      <c r="AT1017" t="s">
        <v>3177</v>
      </c>
      <c r="AU1017">
        <v>25</v>
      </c>
      <c r="AV1017">
        <v>10.962323999999999</v>
      </c>
      <c r="AW1017">
        <v>0.34872433272333231</v>
      </c>
      <c r="AX1017">
        <v>3.1811168208797</v>
      </c>
      <c r="AY1017">
        <v>-3.5755108740503752</v>
      </c>
      <c r="AZ1017">
        <v>8.8243536285018802</v>
      </c>
      <c r="BB1017" t="s">
        <v>4620</v>
      </c>
      <c r="BD1017" s="98"/>
      <c r="BE1017" s="98"/>
      <c r="BF1017" t="s">
        <v>1152</v>
      </c>
      <c r="BG1017" t="s">
        <v>322</v>
      </c>
      <c r="BH1017" t="s">
        <v>1153</v>
      </c>
      <c r="BI1017">
        <v>3.5755108740503752</v>
      </c>
      <c r="BN1017" t="s">
        <v>1154</v>
      </c>
      <c r="BO1017">
        <v>2025</v>
      </c>
      <c r="BP1017" t="s">
        <v>966</v>
      </c>
      <c r="BZ1017" t="s">
        <v>1513</v>
      </c>
      <c r="CA1017" t="s">
        <v>1513</v>
      </c>
      <c r="CB1017" t="b">
        <v>0</v>
      </c>
      <c r="CC1017" t="b">
        <v>0</v>
      </c>
      <c r="CD1017" t="b">
        <v>0</v>
      </c>
      <c r="CE1017" t="b">
        <v>0</v>
      </c>
      <c r="CF1017" t="b">
        <v>0</v>
      </c>
    </row>
    <row r="1018" spans="1:84" x14ac:dyDescent="0.3">
      <c r="A1018" t="s">
        <v>3258</v>
      </c>
      <c r="B1018" t="s">
        <v>1221</v>
      </c>
      <c r="C1018" s="98">
        <v>45775</v>
      </c>
      <c r="D1018">
        <v>2025</v>
      </c>
      <c r="E1018">
        <v>4</v>
      </c>
      <c r="F1018">
        <v>2</v>
      </c>
      <c r="G1018" t="s">
        <v>1208</v>
      </c>
      <c r="H1018" t="s">
        <v>144</v>
      </c>
      <c r="I1018" t="s">
        <v>144</v>
      </c>
      <c r="J1018" t="s">
        <v>6</v>
      </c>
      <c r="L1018">
        <v>522611</v>
      </c>
      <c r="M1018" s="99" t="s">
        <v>179</v>
      </c>
      <c r="N1018">
        <v>2</v>
      </c>
      <c r="O1018">
        <v>17</v>
      </c>
      <c r="P1018">
        <v>11.172499999999999</v>
      </c>
      <c r="Q1018" t="s">
        <v>352</v>
      </c>
      <c r="R1018">
        <v>1</v>
      </c>
      <c r="S1018">
        <v>11.0517</v>
      </c>
      <c r="T1018">
        <v>0.32469999999999999</v>
      </c>
      <c r="U1018">
        <v>0.37203572528487566</v>
      </c>
      <c r="V1018">
        <v>10.0776</v>
      </c>
      <c r="W1018">
        <v>10.4023</v>
      </c>
      <c r="X1018">
        <v>10.727</v>
      </c>
      <c r="Y1018">
        <v>11.3764</v>
      </c>
      <c r="Z1018">
        <v>11.7011</v>
      </c>
      <c r="AA1018">
        <v>12.0258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 t="s">
        <v>462</v>
      </c>
      <c r="AL1018" t="s">
        <v>6</v>
      </c>
      <c r="AM1018" t="s">
        <v>1145</v>
      </c>
      <c r="AN1018" t="s">
        <v>1146</v>
      </c>
      <c r="AO1018" s="100">
        <v>46262.040405092594</v>
      </c>
      <c r="AP1018" t="s">
        <v>1147</v>
      </c>
      <c r="AQ1018" t="s">
        <v>3259</v>
      </c>
      <c r="AR1018" t="s">
        <v>1223</v>
      </c>
      <c r="AS1018" t="s">
        <v>1150</v>
      </c>
      <c r="AT1018" t="s">
        <v>3177</v>
      </c>
      <c r="AU1018">
        <v>25</v>
      </c>
      <c r="AV1018">
        <v>10.962323999999999</v>
      </c>
      <c r="AW1018">
        <v>0.34872433272333231</v>
      </c>
      <c r="AX1018">
        <v>3.1811168208797</v>
      </c>
      <c r="AY1018">
        <v>-3.5755108740503752</v>
      </c>
      <c r="AZ1018">
        <v>8.8243536285018802</v>
      </c>
      <c r="BB1018" t="s">
        <v>4620</v>
      </c>
      <c r="BD1018" s="98"/>
      <c r="BE1018" s="98"/>
      <c r="BF1018" t="s">
        <v>1152</v>
      </c>
      <c r="BG1018" t="s">
        <v>322</v>
      </c>
      <c r="BH1018" t="s">
        <v>1153</v>
      </c>
      <c r="BI1018">
        <v>3.5755108740503752</v>
      </c>
      <c r="BN1018" t="s">
        <v>1154</v>
      </c>
      <c r="BO1018">
        <v>2025</v>
      </c>
      <c r="BP1018" t="s">
        <v>966</v>
      </c>
      <c r="BZ1018" t="s">
        <v>1513</v>
      </c>
      <c r="CA1018" t="s">
        <v>1513</v>
      </c>
      <c r="CB1018" t="b">
        <v>0</v>
      </c>
      <c r="CC1018" t="b">
        <v>0</v>
      </c>
      <c r="CD1018" t="b">
        <v>0</v>
      </c>
      <c r="CE1018" t="b">
        <v>0</v>
      </c>
      <c r="CF1018" t="b">
        <v>0</v>
      </c>
    </row>
    <row r="1019" spans="1:84" x14ac:dyDescent="0.3">
      <c r="A1019" t="s">
        <v>3260</v>
      </c>
      <c r="B1019" t="s">
        <v>1225</v>
      </c>
      <c r="C1019" s="98">
        <v>45782</v>
      </c>
      <c r="D1019">
        <v>2025</v>
      </c>
      <c r="E1019">
        <v>5</v>
      </c>
      <c r="F1019">
        <v>2</v>
      </c>
      <c r="G1019" t="s">
        <v>1226</v>
      </c>
      <c r="H1019" t="s">
        <v>144</v>
      </c>
      <c r="I1019" t="s">
        <v>144</v>
      </c>
      <c r="J1019" t="s">
        <v>6</v>
      </c>
      <c r="L1019">
        <v>522611</v>
      </c>
      <c r="M1019" s="99" t="s">
        <v>179</v>
      </c>
      <c r="N1019">
        <v>2</v>
      </c>
      <c r="O1019">
        <v>18</v>
      </c>
      <c r="P1019">
        <v>10.816000000000001</v>
      </c>
      <c r="Q1019" t="s">
        <v>352</v>
      </c>
      <c r="R1019">
        <v>1</v>
      </c>
      <c r="S1019">
        <v>11.0517</v>
      </c>
      <c r="T1019">
        <v>0.32469999999999999</v>
      </c>
      <c r="U1019">
        <v>-0.72590083153680196</v>
      </c>
      <c r="V1019">
        <v>10.0776</v>
      </c>
      <c r="W1019">
        <v>10.4023</v>
      </c>
      <c r="X1019">
        <v>10.727</v>
      </c>
      <c r="Y1019">
        <v>11.3764</v>
      </c>
      <c r="Z1019">
        <v>11.7011</v>
      </c>
      <c r="AA1019">
        <v>12.0258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 t="s">
        <v>462</v>
      </c>
      <c r="AL1019" t="s">
        <v>6</v>
      </c>
      <c r="AM1019" t="s">
        <v>1145</v>
      </c>
      <c r="AN1019" t="s">
        <v>1146</v>
      </c>
      <c r="AO1019" s="100">
        <v>46262.040405092594</v>
      </c>
      <c r="AP1019" t="s">
        <v>1147</v>
      </c>
      <c r="AQ1019" t="s">
        <v>3261</v>
      </c>
      <c r="AR1019" t="s">
        <v>1228</v>
      </c>
      <c r="AS1019" t="s">
        <v>1150</v>
      </c>
      <c r="AT1019" t="s">
        <v>3177</v>
      </c>
      <c r="AU1019">
        <v>25</v>
      </c>
      <c r="AV1019">
        <v>10.962323999999999</v>
      </c>
      <c r="AW1019">
        <v>0.34872433272333231</v>
      </c>
      <c r="AX1019">
        <v>3.1811168208797</v>
      </c>
      <c r="AY1019">
        <v>-3.5755108740503752</v>
      </c>
      <c r="AZ1019">
        <v>8.8243536285018802</v>
      </c>
      <c r="BB1019" t="s">
        <v>4620</v>
      </c>
      <c r="BD1019" s="98"/>
      <c r="BE1019" s="98"/>
      <c r="BF1019" t="s">
        <v>1152</v>
      </c>
      <c r="BG1019" t="s">
        <v>322</v>
      </c>
      <c r="BH1019" t="s">
        <v>1153</v>
      </c>
      <c r="BI1019">
        <v>3.5755108740503752</v>
      </c>
      <c r="BN1019" t="s">
        <v>1154</v>
      </c>
      <c r="BO1019">
        <v>2025</v>
      </c>
      <c r="BP1019" t="s">
        <v>966</v>
      </c>
      <c r="BZ1019" t="s">
        <v>1513</v>
      </c>
      <c r="CA1019" t="s">
        <v>1513</v>
      </c>
      <c r="CB1019" t="b">
        <v>0</v>
      </c>
      <c r="CC1019" t="b">
        <v>0</v>
      </c>
      <c r="CD1019" t="b">
        <v>0</v>
      </c>
      <c r="CE1019" t="b">
        <v>0</v>
      </c>
      <c r="CF1019" t="b">
        <v>0</v>
      </c>
    </row>
    <row r="1020" spans="1:84" x14ac:dyDescent="0.3">
      <c r="A1020" t="s">
        <v>3262</v>
      </c>
      <c r="B1020" t="s">
        <v>1230</v>
      </c>
      <c r="C1020" s="98">
        <v>45789</v>
      </c>
      <c r="D1020">
        <v>2025</v>
      </c>
      <c r="E1020">
        <v>5</v>
      </c>
      <c r="F1020">
        <v>2</v>
      </c>
      <c r="G1020" t="s">
        <v>1226</v>
      </c>
      <c r="H1020" t="s">
        <v>144</v>
      </c>
      <c r="I1020" t="s">
        <v>144</v>
      </c>
      <c r="J1020" t="s">
        <v>6</v>
      </c>
      <c r="L1020">
        <v>522611</v>
      </c>
      <c r="M1020" s="99" t="s">
        <v>179</v>
      </c>
      <c r="N1020">
        <v>2</v>
      </c>
      <c r="O1020">
        <v>19</v>
      </c>
      <c r="P1020">
        <v>10.8194</v>
      </c>
      <c r="Q1020" t="s">
        <v>352</v>
      </c>
      <c r="R1020">
        <v>1</v>
      </c>
      <c r="S1020">
        <v>11.0517</v>
      </c>
      <c r="T1020">
        <v>0.32469999999999999</v>
      </c>
      <c r="U1020">
        <v>-0.71542962734832272</v>
      </c>
      <c r="V1020">
        <v>10.0776</v>
      </c>
      <c r="W1020">
        <v>10.4023</v>
      </c>
      <c r="X1020">
        <v>10.727</v>
      </c>
      <c r="Y1020">
        <v>11.3764</v>
      </c>
      <c r="Z1020">
        <v>11.7011</v>
      </c>
      <c r="AA1020">
        <v>12.0258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 t="s">
        <v>462</v>
      </c>
      <c r="AL1020" t="s">
        <v>6</v>
      </c>
      <c r="AM1020" t="s">
        <v>1145</v>
      </c>
      <c r="AN1020" t="s">
        <v>1146</v>
      </c>
      <c r="AO1020" s="100">
        <v>46262.040405092594</v>
      </c>
      <c r="AP1020" t="s">
        <v>1147</v>
      </c>
      <c r="AQ1020" t="s">
        <v>3263</v>
      </c>
      <c r="AR1020" t="s">
        <v>1232</v>
      </c>
      <c r="AS1020" t="s">
        <v>1150</v>
      </c>
      <c r="AT1020" t="s">
        <v>3177</v>
      </c>
      <c r="AU1020">
        <v>25</v>
      </c>
      <c r="AV1020">
        <v>10.962323999999999</v>
      </c>
      <c r="AW1020">
        <v>0.34872433272333231</v>
      </c>
      <c r="AX1020">
        <v>3.1811168208797</v>
      </c>
      <c r="AY1020">
        <v>-3.5755108740503752</v>
      </c>
      <c r="AZ1020">
        <v>8.8243536285018802</v>
      </c>
      <c r="BB1020" t="s">
        <v>4620</v>
      </c>
      <c r="BD1020" s="98"/>
      <c r="BE1020" s="98"/>
      <c r="BF1020" t="s">
        <v>1152</v>
      </c>
      <c r="BG1020" t="s">
        <v>322</v>
      </c>
      <c r="BH1020" t="s">
        <v>1153</v>
      </c>
      <c r="BI1020">
        <v>3.5755108740503752</v>
      </c>
      <c r="BN1020" t="s">
        <v>1154</v>
      </c>
      <c r="BO1020">
        <v>2025</v>
      </c>
      <c r="BP1020" t="s">
        <v>966</v>
      </c>
      <c r="BZ1020" t="s">
        <v>1513</v>
      </c>
      <c r="CA1020" t="s">
        <v>1513</v>
      </c>
      <c r="CB1020" t="b">
        <v>0</v>
      </c>
      <c r="CC1020" t="b">
        <v>0</v>
      </c>
      <c r="CD1020" t="b">
        <v>0</v>
      </c>
      <c r="CE1020" t="b">
        <v>0</v>
      </c>
      <c r="CF1020" t="b">
        <v>0</v>
      </c>
    </row>
    <row r="1021" spans="1:84" x14ac:dyDescent="0.3">
      <c r="A1021" t="s">
        <v>3264</v>
      </c>
      <c r="B1021" t="s">
        <v>1234</v>
      </c>
      <c r="C1021" s="98">
        <v>45796</v>
      </c>
      <c r="D1021">
        <v>2025</v>
      </c>
      <c r="E1021">
        <v>5</v>
      </c>
      <c r="F1021">
        <v>2</v>
      </c>
      <c r="G1021" t="s">
        <v>1226</v>
      </c>
      <c r="H1021" t="s">
        <v>144</v>
      </c>
      <c r="I1021" t="s">
        <v>144</v>
      </c>
      <c r="J1021" t="s">
        <v>6</v>
      </c>
      <c r="L1021">
        <v>522611</v>
      </c>
      <c r="M1021" s="99" t="s">
        <v>179</v>
      </c>
      <c r="N1021">
        <v>2</v>
      </c>
      <c r="O1021">
        <v>20</v>
      </c>
      <c r="P1021">
        <v>10.980499999999999</v>
      </c>
      <c r="Q1021" t="s">
        <v>352</v>
      </c>
      <c r="R1021">
        <v>1</v>
      </c>
      <c r="S1021">
        <v>11.0517</v>
      </c>
      <c r="T1021">
        <v>0.32469999999999999</v>
      </c>
      <c r="U1021">
        <v>-0.21927933477056064</v>
      </c>
      <c r="V1021">
        <v>10.0776</v>
      </c>
      <c r="W1021">
        <v>10.4023</v>
      </c>
      <c r="X1021">
        <v>10.727</v>
      </c>
      <c r="Y1021">
        <v>11.3764</v>
      </c>
      <c r="Z1021">
        <v>11.7011</v>
      </c>
      <c r="AA1021">
        <v>12.0258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 t="s">
        <v>462</v>
      </c>
      <c r="AL1021" t="s">
        <v>6</v>
      </c>
      <c r="AM1021" t="s">
        <v>1145</v>
      </c>
      <c r="AN1021" t="s">
        <v>1146</v>
      </c>
      <c r="AO1021" s="100">
        <v>46262.040405092594</v>
      </c>
      <c r="AP1021" t="s">
        <v>1147</v>
      </c>
      <c r="AQ1021" t="s">
        <v>3265</v>
      </c>
      <c r="AR1021" t="s">
        <v>1236</v>
      </c>
      <c r="AS1021" t="s">
        <v>1150</v>
      </c>
      <c r="AT1021" t="s">
        <v>3177</v>
      </c>
      <c r="AU1021">
        <v>25</v>
      </c>
      <c r="AV1021">
        <v>10.962323999999999</v>
      </c>
      <c r="AW1021">
        <v>0.34872433272333231</v>
      </c>
      <c r="AX1021">
        <v>3.1811168208797</v>
      </c>
      <c r="AY1021">
        <v>-3.5755108740503752</v>
      </c>
      <c r="AZ1021">
        <v>8.8243536285018802</v>
      </c>
      <c r="BB1021" t="s">
        <v>4620</v>
      </c>
      <c r="BD1021" s="98"/>
      <c r="BE1021" s="98"/>
      <c r="BF1021" t="s">
        <v>1152</v>
      </c>
      <c r="BG1021" t="s">
        <v>322</v>
      </c>
      <c r="BH1021" t="s">
        <v>1153</v>
      </c>
      <c r="BI1021">
        <v>3.5755108740503752</v>
      </c>
      <c r="BN1021" t="s">
        <v>1154</v>
      </c>
      <c r="BO1021">
        <v>2025</v>
      </c>
      <c r="BP1021" t="s">
        <v>966</v>
      </c>
      <c r="BZ1021" t="s">
        <v>1513</v>
      </c>
      <c r="CA1021" t="s">
        <v>1513</v>
      </c>
      <c r="CB1021" t="b">
        <v>0</v>
      </c>
      <c r="CC1021" t="b">
        <v>0</v>
      </c>
      <c r="CD1021" t="b">
        <v>0</v>
      </c>
      <c r="CE1021" t="b">
        <v>0</v>
      </c>
      <c r="CF1021" t="b">
        <v>0</v>
      </c>
    </row>
    <row r="1022" spans="1:84" x14ac:dyDescent="0.3">
      <c r="A1022" t="s">
        <v>3266</v>
      </c>
      <c r="B1022" t="s">
        <v>1238</v>
      </c>
      <c r="C1022" s="98">
        <v>45803</v>
      </c>
      <c r="D1022">
        <v>2025</v>
      </c>
      <c r="E1022">
        <v>5</v>
      </c>
      <c r="F1022">
        <v>2</v>
      </c>
      <c r="G1022" t="s">
        <v>1226</v>
      </c>
      <c r="H1022" t="s">
        <v>144</v>
      </c>
      <c r="I1022" t="s">
        <v>144</v>
      </c>
      <c r="J1022" t="s">
        <v>6</v>
      </c>
      <c r="L1022">
        <v>522611</v>
      </c>
      <c r="M1022" s="99" t="s">
        <v>179</v>
      </c>
      <c r="N1022">
        <v>2</v>
      </c>
      <c r="O1022">
        <v>21</v>
      </c>
      <c r="P1022">
        <v>11.1403</v>
      </c>
      <c r="Q1022" t="s">
        <v>352</v>
      </c>
      <c r="R1022">
        <v>1</v>
      </c>
      <c r="S1022">
        <v>11.0517</v>
      </c>
      <c r="T1022">
        <v>0.32469999999999999</v>
      </c>
      <c r="U1022">
        <v>0.27286726208807999</v>
      </c>
      <c r="V1022">
        <v>10.0776</v>
      </c>
      <c r="W1022">
        <v>10.4023</v>
      </c>
      <c r="X1022">
        <v>10.727</v>
      </c>
      <c r="Y1022">
        <v>11.3764</v>
      </c>
      <c r="Z1022">
        <v>11.7011</v>
      </c>
      <c r="AA1022">
        <v>12.0258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 t="s">
        <v>462</v>
      </c>
      <c r="AL1022" t="s">
        <v>6</v>
      </c>
      <c r="AM1022" t="s">
        <v>1145</v>
      </c>
      <c r="AN1022" t="s">
        <v>1146</v>
      </c>
      <c r="AO1022" s="100">
        <v>46262.040405092594</v>
      </c>
      <c r="AP1022" t="s">
        <v>1147</v>
      </c>
      <c r="AQ1022" t="s">
        <v>3267</v>
      </c>
      <c r="AR1022" t="s">
        <v>1240</v>
      </c>
      <c r="AS1022" t="s">
        <v>1150</v>
      </c>
      <c r="AT1022" t="s">
        <v>3177</v>
      </c>
      <c r="AU1022">
        <v>25</v>
      </c>
      <c r="AV1022">
        <v>10.962323999999999</v>
      </c>
      <c r="AW1022">
        <v>0.34872433272333231</v>
      </c>
      <c r="AX1022">
        <v>3.1811168208797</v>
      </c>
      <c r="AY1022">
        <v>-3.5755108740503752</v>
      </c>
      <c r="AZ1022">
        <v>8.8243536285018802</v>
      </c>
      <c r="BB1022" t="s">
        <v>4620</v>
      </c>
      <c r="BD1022" s="98"/>
      <c r="BE1022" s="98"/>
      <c r="BF1022" t="s">
        <v>1152</v>
      </c>
      <c r="BG1022" t="s">
        <v>322</v>
      </c>
      <c r="BH1022" t="s">
        <v>1153</v>
      </c>
      <c r="BI1022">
        <v>3.5755108740503752</v>
      </c>
      <c r="BN1022" t="s">
        <v>1154</v>
      </c>
      <c r="BO1022">
        <v>2025</v>
      </c>
      <c r="BP1022" t="s">
        <v>966</v>
      </c>
      <c r="BZ1022" t="s">
        <v>1513</v>
      </c>
      <c r="CA1022" t="s">
        <v>1513</v>
      </c>
      <c r="CB1022" t="b">
        <v>0</v>
      </c>
      <c r="CC1022" t="b">
        <v>0</v>
      </c>
      <c r="CD1022" t="b">
        <v>0</v>
      </c>
      <c r="CE1022" t="b">
        <v>0</v>
      </c>
      <c r="CF1022" t="b">
        <v>0</v>
      </c>
    </row>
    <row r="1023" spans="1:84" x14ac:dyDescent="0.3">
      <c r="A1023" t="s">
        <v>3268</v>
      </c>
      <c r="B1023" t="s">
        <v>1242</v>
      </c>
      <c r="C1023" s="98">
        <v>45810</v>
      </c>
      <c r="D1023">
        <v>2025</v>
      </c>
      <c r="E1023">
        <v>6</v>
      </c>
      <c r="F1023">
        <v>2</v>
      </c>
      <c r="G1023" t="s">
        <v>1243</v>
      </c>
      <c r="H1023" t="s">
        <v>144</v>
      </c>
      <c r="I1023" t="s">
        <v>144</v>
      </c>
      <c r="J1023" t="s">
        <v>6</v>
      </c>
      <c r="L1023">
        <v>522611</v>
      </c>
      <c r="M1023" s="99" t="s">
        <v>179</v>
      </c>
      <c r="N1023">
        <v>2</v>
      </c>
      <c r="O1023">
        <v>22</v>
      </c>
      <c r="P1023">
        <v>10.5867</v>
      </c>
      <c r="Q1023" t="s">
        <v>352</v>
      </c>
      <c r="R1023">
        <v>1</v>
      </c>
      <c r="S1023">
        <v>11.0517</v>
      </c>
      <c r="T1023">
        <v>0.32469999999999999</v>
      </c>
      <c r="U1023">
        <v>-1.4320911610717582</v>
      </c>
      <c r="V1023">
        <v>10.0776</v>
      </c>
      <c r="W1023">
        <v>10.4023</v>
      </c>
      <c r="X1023">
        <v>10.727</v>
      </c>
      <c r="Y1023">
        <v>11.3764</v>
      </c>
      <c r="Z1023">
        <v>11.7011</v>
      </c>
      <c r="AA1023">
        <v>12.0258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 t="s">
        <v>462</v>
      </c>
      <c r="AL1023" t="s">
        <v>6</v>
      </c>
      <c r="AM1023" t="s">
        <v>1145</v>
      </c>
      <c r="AN1023" t="s">
        <v>1146</v>
      </c>
      <c r="AO1023" s="100">
        <v>46262.040405092594</v>
      </c>
      <c r="AP1023" t="s">
        <v>1147</v>
      </c>
      <c r="AQ1023" t="s">
        <v>3269</v>
      </c>
      <c r="AR1023" t="s">
        <v>1245</v>
      </c>
      <c r="AS1023" t="s">
        <v>1150</v>
      </c>
      <c r="AT1023" t="s">
        <v>3177</v>
      </c>
      <c r="AU1023">
        <v>25</v>
      </c>
      <c r="AV1023">
        <v>10.962323999999999</v>
      </c>
      <c r="AW1023">
        <v>0.34872433272333231</v>
      </c>
      <c r="AX1023">
        <v>3.1811168208797</v>
      </c>
      <c r="AY1023">
        <v>-3.5755108740503752</v>
      </c>
      <c r="AZ1023">
        <v>8.8243536285018802</v>
      </c>
      <c r="BB1023" t="s">
        <v>4620</v>
      </c>
      <c r="BD1023" s="98"/>
      <c r="BE1023" s="98"/>
      <c r="BF1023" t="s">
        <v>1152</v>
      </c>
      <c r="BG1023" t="s">
        <v>322</v>
      </c>
      <c r="BH1023" t="s">
        <v>1153</v>
      </c>
      <c r="BI1023">
        <v>3.5755108740503752</v>
      </c>
      <c r="BN1023" t="s">
        <v>1154</v>
      </c>
      <c r="BO1023">
        <v>2025</v>
      </c>
      <c r="BP1023" t="s">
        <v>966</v>
      </c>
      <c r="BZ1023" t="s">
        <v>1513</v>
      </c>
      <c r="CA1023" t="s">
        <v>1513</v>
      </c>
      <c r="CB1023" t="b">
        <v>0</v>
      </c>
      <c r="CC1023" t="b">
        <v>0</v>
      </c>
      <c r="CD1023" t="b">
        <v>0</v>
      </c>
      <c r="CE1023" t="b">
        <v>0</v>
      </c>
      <c r="CF1023" t="b">
        <v>0</v>
      </c>
    </row>
    <row r="1024" spans="1:84" x14ac:dyDescent="0.3">
      <c r="A1024" t="s">
        <v>3270</v>
      </c>
      <c r="B1024" t="s">
        <v>1247</v>
      </c>
      <c r="C1024" s="98">
        <v>45817</v>
      </c>
      <c r="D1024">
        <v>2025</v>
      </c>
      <c r="E1024">
        <v>6</v>
      </c>
      <c r="F1024">
        <v>2</v>
      </c>
      <c r="G1024" t="s">
        <v>1243</v>
      </c>
      <c r="H1024" t="s">
        <v>144</v>
      </c>
      <c r="I1024" t="s">
        <v>144</v>
      </c>
      <c r="J1024" t="s">
        <v>6</v>
      </c>
      <c r="L1024">
        <v>522611</v>
      </c>
      <c r="M1024" s="99" t="s">
        <v>179</v>
      </c>
      <c r="N1024">
        <v>2</v>
      </c>
      <c r="O1024">
        <v>23</v>
      </c>
      <c r="P1024">
        <v>10.4839</v>
      </c>
      <c r="Q1024" t="s">
        <v>352</v>
      </c>
      <c r="R1024">
        <v>1</v>
      </c>
      <c r="S1024">
        <v>11.0517</v>
      </c>
      <c r="T1024">
        <v>0.32469999999999999</v>
      </c>
      <c r="U1024">
        <v>-1.7486910994764402</v>
      </c>
      <c r="V1024">
        <v>10.0776</v>
      </c>
      <c r="W1024">
        <v>10.4023</v>
      </c>
      <c r="X1024">
        <v>10.727</v>
      </c>
      <c r="Y1024">
        <v>11.3764</v>
      </c>
      <c r="Z1024">
        <v>11.7011</v>
      </c>
      <c r="AA1024">
        <v>12.0258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 t="s">
        <v>462</v>
      </c>
      <c r="AL1024" t="s">
        <v>6</v>
      </c>
      <c r="AM1024" t="s">
        <v>1145</v>
      </c>
      <c r="AN1024" t="s">
        <v>1146</v>
      </c>
      <c r="AO1024" s="100">
        <v>46262.040405092594</v>
      </c>
      <c r="AP1024" t="s">
        <v>1147</v>
      </c>
      <c r="AQ1024" t="s">
        <v>3271</v>
      </c>
      <c r="AR1024" t="s">
        <v>1249</v>
      </c>
      <c r="AS1024" t="s">
        <v>1150</v>
      </c>
      <c r="AT1024" t="s">
        <v>3177</v>
      </c>
      <c r="AU1024">
        <v>25</v>
      </c>
      <c r="AV1024">
        <v>10.962323999999999</v>
      </c>
      <c r="AW1024">
        <v>0.34872433272333231</v>
      </c>
      <c r="AX1024">
        <v>3.1811168208797</v>
      </c>
      <c r="AY1024">
        <v>-3.5755108740503752</v>
      </c>
      <c r="AZ1024">
        <v>8.8243536285018802</v>
      </c>
      <c r="BB1024" t="s">
        <v>4620</v>
      </c>
      <c r="BD1024" s="98"/>
      <c r="BE1024" s="98"/>
      <c r="BF1024" t="s">
        <v>1152</v>
      </c>
      <c r="BG1024" t="s">
        <v>322</v>
      </c>
      <c r="BH1024" t="s">
        <v>1153</v>
      </c>
      <c r="BI1024">
        <v>3.5755108740503752</v>
      </c>
      <c r="BN1024" t="s">
        <v>1154</v>
      </c>
      <c r="BO1024">
        <v>2025</v>
      </c>
      <c r="BP1024" t="s">
        <v>966</v>
      </c>
      <c r="BZ1024" t="s">
        <v>1513</v>
      </c>
      <c r="CA1024" t="s">
        <v>1513</v>
      </c>
      <c r="CB1024" t="b">
        <v>0</v>
      </c>
      <c r="CC1024" t="b">
        <v>0</v>
      </c>
      <c r="CD1024" t="b">
        <v>0</v>
      </c>
      <c r="CE1024" t="b">
        <v>0</v>
      </c>
      <c r="CF1024" t="b">
        <v>0</v>
      </c>
    </row>
    <row r="1025" spans="1:84" x14ac:dyDescent="0.3">
      <c r="A1025" t="s">
        <v>3272</v>
      </c>
      <c r="B1025" t="s">
        <v>1251</v>
      </c>
      <c r="C1025" s="98">
        <v>45824</v>
      </c>
      <c r="D1025">
        <v>2025</v>
      </c>
      <c r="E1025">
        <v>6</v>
      </c>
      <c r="F1025">
        <v>2</v>
      </c>
      <c r="G1025" t="s">
        <v>1243</v>
      </c>
      <c r="H1025" t="s">
        <v>144</v>
      </c>
      <c r="I1025" t="s">
        <v>144</v>
      </c>
      <c r="J1025" t="s">
        <v>6</v>
      </c>
      <c r="L1025">
        <v>522611</v>
      </c>
      <c r="M1025" s="99" t="s">
        <v>179</v>
      </c>
      <c r="N1025">
        <v>2</v>
      </c>
      <c r="O1025">
        <v>24</v>
      </c>
      <c r="P1025">
        <v>10.7056</v>
      </c>
      <c r="Q1025" t="s">
        <v>352</v>
      </c>
      <c r="R1025">
        <v>1</v>
      </c>
      <c r="S1025">
        <v>11.0517</v>
      </c>
      <c r="T1025">
        <v>0.32469999999999999</v>
      </c>
      <c r="U1025">
        <v>-1.0659069910686783</v>
      </c>
      <c r="V1025">
        <v>10.0776</v>
      </c>
      <c r="W1025">
        <v>10.4023</v>
      </c>
      <c r="X1025">
        <v>10.727</v>
      </c>
      <c r="Y1025">
        <v>11.3764</v>
      </c>
      <c r="Z1025">
        <v>11.7011</v>
      </c>
      <c r="AA1025">
        <v>12.0258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 t="s">
        <v>462</v>
      </c>
      <c r="AL1025" t="s">
        <v>6</v>
      </c>
      <c r="AM1025" t="s">
        <v>1145</v>
      </c>
      <c r="AN1025" t="s">
        <v>1146</v>
      </c>
      <c r="AO1025" s="100">
        <v>46262.040405092594</v>
      </c>
      <c r="AP1025" t="s">
        <v>1147</v>
      </c>
      <c r="AQ1025" t="s">
        <v>3273</v>
      </c>
      <c r="AR1025" t="s">
        <v>1253</v>
      </c>
      <c r="AS1025" t="s">
        <v>1150</v>
      </c>
      <c r="AT1025" t="s">
        <v>3177</v>
      </c>
      <c r="AU1025">
        <v>25</v>
      </c>
      <c r="AV1025">
        <v>10.962323999999999</v>
      </c>
      <c r="AW1025">
        <v>0.34872433272333231</v>
      </c>
      <c r="AX1025">
        <v>3.1811168208797</v>
      </c>
      <c r="AY1025">
        <v>-3.5755108740503752</v>
      </c>
      <c r="AZ1025">
        <v>8.8243536285018802</v>
      </c>
      <c r="BB1025" t="s">
        <v>4620</v>
      </c>
      <c r="BD1025" s="98"/>
      <c r="BE1025" s="98"/>
      <c r="BF1025" t="s">
        <v>1152</v>
      </c>
      <c r="BG1025" t="s">
        <v>322</v>
      </c>
      <c r="BH1025" t="s">
        <v>1153</v>
      </c>
      <c r="BI1025">
        <v>3.5755108740503752</v>
      </c>
      <c r="BN1025" t="s">
        <v>1154</v>
      </c>
      <c r="BO1025">
        <v>2025</v>
      </c>
      <c r="BP1025" t="s">
        <v>966</v>
      </c>
      <c r="BZ1025" t="s">
        <v>1513</v>
      </c>
      <c r="CA1025" t="s">
        <v>1513</v>
      </c>
      <c r="CB1025" t="b">
        <v>0</v>
      </c>
      <c r="CC1025" t="b">
        <v>0</v>
      </c>
      <c r="CD1025" t="b">
        <v>0</v>
      </c>
      <c r="CE1025" t="b">
        <v>0</v>
      </c>
      <c r="CF1025" t="b">
        <v>0</v>
      </c>
    </row>
    <row r="1026" spans="1:84" x14ac:dyDescent="0.3">
      <c r="A1026" t="s">
        <v>3274</v>
      </c>
      <c r="B1026" t="s">
        <v>1255</v>
      </c>
      <c r="C1026" s="98">
        <v>45831</v>
      </c>
      <c r="D1026">
        <v>2025</v>
      </c>
      <c r="E1026">
        <v>6</v>
      </c>
      <c r="F1026">
        <v>2</v>
      </c>
      <c r="G1026" t="s">
        <v>1243</v>
      </c>
      <c r="H1026" t="s">
        <v>144</v>
      </c>
      <c r="I1026" t="s">
        <v>144</v>
      </c>
      <c r="J1026" t="s">
        <v>6</v>
      </c>
      <c r="L1026">
        <v>522611</v>
      </c>
      <c r="M1026" s="99" t="s">
        <v>179</v>
      </c>
      <c r="N1026">
        <v>2</v>
      </c>
      <c r="O1026">
        <v>25</v>
      </c>
      <c r="P1026">
        <v>10.3887</v>
      </c>
      <c r="Q1026" t="s">
        <v>352</v>
      </c>
      <c r="R1026">
        <v>1</v>
      </c>
      <c r="S1026">
        <v>11.0517</v>
      </c>
      <c r="T1026">
        <v>0.32469999999999999</v>
      </c>
      <c r="U1026">
        <v>-2.0418848167539276</v>
      </c>
      <c r="V1026">
        <v>10.0776</v>
      </c>
      <c r="W1026">
        <v>10.4023</v>
      </c>
      <c r="X1026">
        <v>10.727</v>
      </c>
      <c r="Y1026">
        <v>11.3764</v>
      </c>
      <c r="Z1026">
        <v>11.7011</v>
      </c>
      <c r="AA1026">
        <v>12.0258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1</v>
      </c>
      <c r="AK1026" t="s">
        <v>462</v>
      </c>
      <c r="AL1026" t="s">
        <v>6</v>
      </c>
      <c r="AM1026" t="s">
        <v>1145</v>
      </c>
      <c r="AN1026" t="s">
        <v>1146</v>
      </c>
      <c r="AO1026" s="100">
        <v>46262.040405092594</v>
      </c>
      <c r="AP1026" t="s">
        <v>1147</v>
      </c>
      <c r="AQ1026" t="s">
        <v>3275</v>
      </c>
      <c r="AR1026" t="s">
        <v>1257</v>
      </c>
      <c r="AS1026" t="s">
        <v>1150</v>
      </c>
      <c r="AT1026" t="s">
        <v>3177</v>
      </c>
      <c r="AU1026">
        <v>25</v>
      </c>
      <c r="AV1026">
        <v>10.962323999999999</v>
      </c>
      <c r="AW1026">
        <v>0.34872433272333231</v>
      </c>
      <c r="AX1026">
        <v>3.1811168208797</v>
      </c>
      <c r="AY1026">
        <v>-3.5755108740503752</v>
      </c>
      <c r="AZ1026">
        <v>8.8243536285018802</v>
      </c>
      <c r="BB1026" t="s">
        <v>4620</v>
      </c>
      <c r="BD1026" s="98"/>
      <c r="BE1026" s="98"/>
      <c r="BF1026" t="s">
        <v>1152</v>
      </c>
      <c r="BG1026" t="s">
        <v>322</v>
      </c>
      <c r="BH1026" t="s">
        <v>1153</v>
      </c>
      <c r="BI1026">
        <v>3.5755108740503752</v>
      </c>
      <c r="BN1026" t="s">
        <v>1154</v>
      </c>
      <c r="BO1026">
        <v>2025</v>
      </c>
      <c r="BP1026" t="s">
        <v>966</v>
      </c>
      <c r="BZ1026" t="s">
        <v>1513</v>
      </c>
      <c r="CA1026" t="s">
        <v>1513</v>
      </c>
      <c r="CB1026" t="b">
        <v>0</v>
      </c>
      <c r="CC1026" t="b">
        <v>0</v>
      </c>
      <c r="CD1026" t="b">
        <v>0</v>
      </c>
      <c r="CE1026" t="b">
        <v>0</v>
      </c>
      <c r="CF1026" t="b">
        <v>0</v>
      </c>
    </row>
    <row r="1027" spans="1:84" x14ac:dyDescent="0.3">
      <c r="A1027" t="s">
        <v>3276</v>
      </c>
      <c r="B1027" t="s">
        <v>1143</v>
      </c>
      <c r="C1027" s="98">
        <v>45663</v>
      </c>
      <c r="D1027">
        <v>2025</v>
      </c>
      <c r="E1027">
        <v>1</v>
      </c>
      <c r="F1027">
        <v>1</v>
      </c>
      <c r="G1027" t="s">
        <v>1144</v>
      </c>
      <c r="H1027" t="s">
        <v>144</v>
      </c>
      <c r="I1027" t="s">
        <v>144</v>
      </c>
      <c r="J1027" t="s">
        <v>6</v>
      </c>
      <c r="L1027">
        <v>522611</v>
      </c>
      <c r="M1027" s="99" t="s">
        <v>180</v>
      </c>
      <c r="N1027">
        <v>3</v>
      </c>
      <c r="O1027">
        <v>1</v>
      </c>
      <c r="P1027">
        <v>11.5524</v>
      </c>
      <c r="Q1027" t="s">
        <v>352</v>
      </c>
      <c r="R1027">
        <v>1</v>
      </c>
      <c r="S1027">
        <v>11.8759</v>
      </c>
      <c r="T1027">
        <v>0.33450000000000002</v>
      </c>
      <c r="U1027">
        <v>-0.96711509715993782</v>
      </c>
      <c r="V1027">
        <v>10.872399999999999</v>
      </c>
      <c r="W1027">
        <v>11.206899999999999</v>
      </c>
      <c r="X1027">
        <v>11.541399999999999</v>
      </c>
      <c r="Y1027">
        <v>12.2104</v>
      </c>
      <c r="Z1027">
        <v>12.5449</v>
      </c>
      <c r="AA1027">
        <v>12.8794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 t="s">
        <v>462</v>
      </c>
      <c r="AL1027" t="s">
        <v>6</v>
      </c>
      <c r="AM1027" t="s">
        <v>1145</v>
      </c>
      <c r="AN1027" t="s">
        <v>1146</v>
      </c>
      <c r="AO1027" s="100">
        <v>46262.040405092594</v>
      </c>
      <c r="AP1027" t="s">
        <v>1147</v>
      </c>
      <c r="AQ1027" t="s">
        <v>3277</v>
      </c>
      <c r="AR1027" t="s">
        <v>1149</v>
      </c>
      <c r="AS1027" t="s">
        <v>1150</v>
      </c>
      <c r="AT1027" t="s">
        <v>3177</v>
      </c>
      <c r="AU1027">
        <v>25</v>
      </c>
      <c r="AV1027">
        <v>11.864048000000002</v>
      </c>
      <c r="AW1027">
        <v>0.3282312969030628</v>
      </c>
      <c r="AX1027">
        <v>2.7666045931629974</v>
      </c>
      <c r="AY1027">
        <v>-3.5755108740503752</v>
      </c>
      <c r="AZ1027">
        <v>8.1404084527693215</v>
      </c>
      <c r="BB1027" t="s">
        <v>4620</v>
      </c>
      <c r="BD1027" s="98"/>
      <c r="BE1027" s="98"/>
      <c r="BF1027" t="s">
        <v>1152</v>
      </c>
      <c r="BG1027" t="s">
        <v>322</v>
      </c>
      <c r="BH1027" t="s">
        <v>1153</v>
      </c>
      <c r="BI1027">
        <v>3.5755108740503752</v>
      </c>
      <c r="BN1027" t="s">
        <v>1154</v>
      </c>
      <c r="BO1027">
        <v>2025</v>
      </c>
      <c r="BP1027" t="s">
        <v>966</v>
      </c>
      <c r="BZ1027" t="s">
        <v>1513</v>
      </c>
      <c r="CA1027" t="s">
        <v>1513</v>
      </c>
      <c r="CB1027" t="b">
        <v>0</v>
      </c>
      <c r="CC1027" t="b">
        <v>0</v>
      </c>
      <c r="CD1027" t="b">
        <v>0</v>
      </c>
      <c r="CE1027" t="b">
        <v>0</v>
      </c>
      <c r="CF1027" t="b">
        <v>0</v>
      </c>
    </row>
    <row r="1028" spans="1:84" x14ac:dyDescent="0.3">
      <c r="A1028" t="s">
        <v>3278</v>
      </c>
      <c r="B1028" t="s">
        <v>1157</v>
      </c>
      <c r="C1028" s="98">
        <v>45670</v>
      </c>
      <c r="D1028">
        <v>2025</v>
      </c>
      <c r="E1028">
        <v>1</v>
      </c>
      <c r="F1028">
        <v>1</v>
      </c>
      <c r="G1028" t="s">
        <v>1144</v>
      </c>
      <c r="H1028" t="s">
        <v>144</v>
      </c>
      <c r="I1028" t="s">
        <v>144</v>
      </c>
      <c r="J1028" t="s">
        <v>6</v>
      </c>
      <c r="L1028">
        <v>522611</v>
      </c>
      <c r="M1028" s="99" t="s">
        <v>180</v>
      </c>
      <c r="N1028">
        <v>3</v>
      </c>
      <c r="O1028">
        <v>2</v>
      </c>
      <c r="P1028">
        <v>12.407999999999999</v>
      </c>
      <c r="Q1028" t="s">
        <v>352</v>
      </c>
      <c r="R1028">
        <v>1</v>
      </c>
      <c r="S1028">
        <v>11.8759</v>
      </c>
      <c r="T1028">
        <v>0.33450000000000002</v>
      </c>
      <c r="U1028">
        <v>1.5907324364723461</v>
      </c>
      <c r="V1028">
        <v>10.872399999999999</v>
      </c>
      <c r="W1028">
        <v>11.206899999999999</v>
      </c>
      <c r="X1028">
        <v>11.541399999999999</v>
      </c>
      <c r="Y1028">
        <v>12.2104</v>
      </c>
      <c r="Z1028">
        <v>12.5449</v>
      </c>
      <c r="AA1028">
        <v>12.8794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 t="s">
        <v>462</v>
      </c>
      <c r="AL1028" t="s">
        <v>6</v>
      </c>
      <c r="AM1028" t="s">
        <v>1145</v>
      </c>
      <c r="AN1028" t="s">
        <v>1146</v>
      </c>
      <c r="AO1028" s="100">
        <v>46262.040405092594</v>
      </c>
      <c r="AP1028" t="s">
        <v>1147</v>
      </c>
      <c r="AQ1028" t="s">
        <v>3279</v>
      </c>
      <c r="AR1028" t="s">
        <v>1159</v>
      </c>
      <c r="AS1028" t="s">
        <v>1150</v>
      </c>
      <c r="AT1028" t="s">
        <v>3177</v>
      </c>
      <c r="AU1028">
        <v>25</v>
      </c>
      <c r="AV1028">
        <v>11.864048000000002</v>
      </c>
      <c r="AW1028">
        <v>0.3282312969030628</v>
      </c>
      <c r="AX1028">
        <v>2.7666045931629974</v>
      </c>
      <c r="AY1028">
        <v>-3.5755108740503752</v>
      </c>
      <c r="AZ1028">
        <v>8.1404084527693215</v>
      </c>
      <c r="BB1028" t="s">
        <v>4620</v>
      </c>
      <c r="BD1028" s="98"/>
      <c r="BE1028" s="98"/>
      <c r="BF1028" t="s">
        <v>1152</v>
      </c>
      <c r="BG1028" t="s">
        <v>322</v>
      </c>
      <c r="BH1028" t="s">
        <v>1153</v>
      </c>
      <c r="BI1028">
        <v>3.5755108740503752</v>
      </c>
      <c r="BN1028" t="s">
        <v>1154</v>
      </c>
      <c r="BO1028">
        <v>2025</v>
      </c>
      <c r="BP1028" t="s">
        <v>966</v>
      </c>
      <c r="BZ1028" t="s">
        <v>1513</v>
      </c>
      <c r="CA1028" t="s">
        <v>1513</v>
      </c>
      <c r="CB1028" t="b">
        <v>0</v>
      </c>
      <c r="CC1028" t="b">
        <v>0</v>
      </c>
      <c r="CD1028" t="b">
        <v>0</v>
      </c>
      <c r="CE1028" t="b">
        <v>0</v>
      </c>
      <c r="CF1028" t="b">
        <v>0</v>
      </c>
    </row>
    <row r="1029" spans="1:84" x14ac:dyDescent="0.3">
      <c r="A1029" t="s">
        <v>3280</v>
      </c>
      <c r="B1029" t="s">
        <v>1161</v>
      </c>
      <c r="C1029" s="98">
        <v>45677</v>
      </c>
      <c r="D1029">
        <v>2025</v>
      </c>
      <c r="E1029">
        <v>1</v>
      </c>
      <c r="F1029">
        <v>1</v>
      </c>
      <c r="G1029" t="s">
        <v>1144</v>
      </c>
      <c r="H1029" t="s">
        <v>144</v>
      </c>
      <c r="I1029" t="s">
        <v>144</v>
      </c>
      <c r="J1029" t="s">
        <v>6</v>
      </c>
      <c r="L1029">
        <v>522611</v>
      </c>
      <c r="M1029" s="99" t="s">
        <v>180</v>
      </c>
      <c r="N1029">
        <v>3</v>
      </c>
      <c r="O1029">
        <v>3</v>
      </c>
      <c r="P1029">
        <v>11.522399999999999</v>
      </c>
      <c r="Q1029" t="s">
        <v>352</v>
      </c>
      <c r="R1029">
        <v>1</v>
      </c>
      <c r="S1029">
        <v>11.8759</v>
      </c>
      <c r="T1029">
        <v>0.33450000000000002</v>
      </c>
      <c r="U1029">
        <v>-1.0568011958146497</v>
      </c>
      <c r="V1029">
        <v>10.872399999999999</v>
      </c>
      <c r="W1029">
        <v>11.206899999999999</v>
      </c>
      <c r="X1029">
        <v>11.541399999999999</v>
      </c>
      <c r="Y1029">
        <v>12.2104</v>
      </c>
      <c r="Z1029">
        <v>12.5449</v>
      </c>
      <c r="AA1029">
        <v>12.8794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 t="s">
        <v>462</v>
      </c>
      <c r="AL1029" t="s">
        <v>6</v>
      </c>
      <c r="AM1029" t="s">
        <v>1145</v>
      </c>
      <c r="AN1029" t="s">
        <v>1146</v>
      </c>
      <c r="AO1029" s="100">
        <v>46262.040405092594</v>
      </c>
      <c r="AP1029" t="s">
        <v>1147</v>
      </c>
      <c r="AQ1029" t="s">
        <v>3281</v>
      </c>
      <c r="AR1029" t="s">
        <v>1163</v>
      </c>
      <c r="AS1029" t="s">
        <v>1150</v>
      </c>
      <c r="AT1029" t="s">
        <v>3177</v>
      </c>
      <c r="AU1029">
        <v>25</v>
      </c>
      <c r="AV1029">
        <v>11.864048000000002</v>
      </c>
      <c r="AW1029">
        <v>0.3282312969030628</v>
      </c>
      <c r="AX1029">
        <v>2.7666045931629974</v>
      </c>
      <c r="AY1029">
        <v>-3.5755108740503752</v>
      </c>
      <c r="AZ1029">
        <v>8.1404084527693215</v>
      </c>
      <c r="BB1029" t="s">
        <v>4620</v>
      </c>
      <c r="BD1029" s="98"/>
      <c r="BE1029" s="98"/>
      <c r="BF1029" t="s">
        <v>1152</v>
      </c>
      <c r="BG1029" t="s">
        <v>322</v>
      </c>
      <c r="BH1029" t="s">
        <v>1153</v>
      </c>
      <c r="BI1029">
        <v>3.5755108740503752</v>
      </c>
      <c r="BN1029" t="s">
        <v>1154</v>
      </c>
      <c r="BO1029">
        <v>2025</v>
      </c>
      <c r="BP1029" t="s">
        <v>966</v>
      </c>
      <c r="BZ1029" t="s">
        <v>1513</v>
      </c>
      <c r="CA1029" t="s">
        <v>1513</v>
      </c>
      <c r="CB1029" t="b">
        <v>0</v>
      </c>
      <c r="CC1029" t="b">
        <v>0</v>
      </c>
      <c r="CD1029" t="b">
        <v>0</v>
      </c>
      <c r="CE1029" t="b">
        <v>0</v>
      </c>
      <c r="CF1029" t="b">
        <v>0</v>
      </c>
    </row>
    <row r="1030" spans="1:84" x14ac:dyDescent="0.3">
      <c r="A1030" t="s">
        <v>3282</v>
      </c>
      <c r="B1030" t="s">
        <v>1165</v>
      </c>
      <c r="C1030" s="98">
        <v>45684</v>
      </c>
      <c r="D1030">
        <v>2025</v>
      </c>
      <c r="E1030">
        <v>1</v>
      </c>
      <c r="F1030">
        <v>1</v>
      </c>
      <c r="G1030" t="s">
        <v>1144</v>
      </c>
      <c r="H1030" t="s">
        <v>144</v>
      </c>
      <c r="I1030" t="s">
        <v>144</v>
      </c>
      <c r="J1030" t="s">
        <v>6</v>
      </c>
      <c r="L1030">
        <v>522611</v>
      </c>
      <c r="M1030" s="99" t="s">
        <v>180</v>
      </c>
      <c r="N1030">
        <v>3</v>
      </c>
      <c r="O1030">
        <v>4</v>
      </c>
      <c r="P1030">
        <v>12.0938</v>
      </c>
      <c r="Q1030" t="s">
        <v>352</v>
      </c>
      <c r="R1030">
        <v>1</v>
      </c>
      <c r="S1030">
        <v>11.8759</v>
      </c>
      <c r="T1030">
        <v>0.33450000000000002</v>
      </c>
      <c r="U1030">
        <v>0.65142002989536674</v>
      </c>
      <c r="V1030">
        <v>10.872399999999999</v>
      </c>
      <c r="W1030">
        <v>11.206899999999999</v>
      </c>
      <c r="X1030">
        <v>11.541399999999999</v>
      </c>
      <c r="Y1030">
        <v>12.2104</v>
      </c>
      <c r="Z1030">
        <v>12.5449</v>
      </c>
      <c r="AA1030">
        <v>12.8794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 t="s">
        <v>462</v>
      </c>
      <c r="AL1030" t="s">
        <v>6</v>
      </c>
      <c r="AM1030" t="s">
        <v>1145</v>
      </c>
      <c r="AN1030" t="s">
        <v>1146</v>
      </c>
      <c r="AO1030" s="100">
        <v>46262.040405092594</v>
      </c>
      <c r="AP1030" t="s">
        <v>1147</v>
      </c>
      <c r="AQ1030" t="s">
        <v>3283</v>
      </c>
      <c r="AR1030" t="s">
        <v>1167</v>
      </c>
      <c r="AS1030" t="s">
        <v>1150</v>
      </c>
      <c r="AT1030" t="s">
        <v>3177</v>
      </c>
      <c r="AU1030">
        <v>25</v>
      </c>
      <c r="AV1030">
        <v>11.864048000000002</v>
      </c>
      <c r="AW1030">
        <v>0.3282312969030628</v>
      </c>
      <c r="AX1030">
        <v>2.7666045931629974</v>
      </c>
      <c r="AY1030">
        <v>-3.5755108740503752</v>
      </c>
      <c r="AZ1030">
        <v>8.1404084527693215</v>
      </c>
      <c r="BB1030" t="s">
        <v>4620</v>
      </c>
      <c r="BD1030" s="98"/>
      <c r="BE1030" s="98"/>
      <c r="BF1030" t="s">
        <v>1152</v>
      </c>
      <c r="BG1030" t="s">
        <v>322</v>
      </c>
      <c r="BH1030" t="s">
        <v>1153</v>
      </c>
      <c r="BI1030">
        <v>3.5755108740503752</v>
      </c>
      <c r="BN1030" t="s">
        <v>1154</v>
      </c>
      <c r="BO1030">
        <v>2025</v>
      </c>
      <c r="BP1030" t="s">
        <v>966</v>
      </c>
      <c r="BZ1030" t="s">
        <v>1513</v>
      </c>
      <c r="CA1030" t="s">
        <v>1513</v>
      </c>
      <c r="CB1030" t="b">
        <v>0</v>
      </c>
      <c r="CC1030" t="b">
        <v>0</v>
      </c>
      <c r="CD1030" t="b">
        <v>0</v>
      </c>
      <c r="CE1030" t="b">
        <v>0</v>
      </c>
      <c r="CF1030" t="b">
        <v>0</v>
      </c>
    </row>
    <row r="1031" spans="1:84" x14ac:dyDescent="0.3">
      <c r="A1031" t="s">
        <v>3284</v>
      </c>
      <c r="B1031" t="s">
        <v>1169</v>
      </c>
      <c r="C1031" s="98">
        <v>45691</v>
      </c>
      <c r="D1031">
        <v>2025</v>
      </c>
      <c r="E1031">
        <v>2</v>
      </c>
      <c r="F1031">
        <v>1</v>
      </c>
      <c r="G1031" t="s">
        <v>1170</v>
      </c>
      <c r="H1031" t="s">
        <v>144</v>
      </c>
      <c r="I1031" t="s">
        <v>144</v>
      </c>
      <c r="J1031" t="s">
        <v>6</v>
      </c>
      <c r="L1031">
        <v>522611</v>
      </c>
      <c r="M1031" s="99" t="s">
        <v>180</v>
      </c>
      <c r="N1031">
        <v>3</v>
      </c>
      <c r="O1031">
        <v>5</v>
      </c>
      <c r="P1031">
        <v>11.417</v>
      </c>
      <c r="Q1031" t="s">
        <v>352</v>
      </c>
      <c r="R1031">
        <v>1</v>
      </c>
      <c r="S1031">
        <v>11.8759</v>
      </c>
      <c r="T1031">
        <v>0.33450000000000002</v>
      </c>
      <c r="U1031">
        <v>-1.3718983557548574</v>
      </c>
      <c r="V1031">
        <v>10.872399999999999</v>
      </c>
      <c r="W1031">
        <v>11.206899999999999</v>
      </c>
      <c r="X1031">
        <v>11.541399999999999</v>
      </c>
      <c r="Y1031">
        <v>12.2104</v>
      </c>
      <c r="Z1031">
        <v>12.5449</v>
      </c>
      <c r="AA1031">
        <v>12.8794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 t="s">
        <v>462</v>
      </c>
      <c r="AL1031" t="s">
        <v>6</v>
      </c>
      <c r="AM1031" t="s">
        <v>1145</v>
      </c>
      <c r="AN1031" t="s">
        <v>1146</v>
      </c>
      <c r="AO1031" s="100">
        <v>46262.040405092594</v>
      </c>
      <c r="AP1031" t="s">
        <v>1147</v>
      </c>
      <c r="AQ1031" t="s">
        <v>3285</v>
      </c>
      <c r="AR1031" t="s">
        <v>1172</v>
      </c>
      <c r="AS1031" t="s">
        <v>1150</v>
      </c>
      <c r="AT1031" t="s">
        <v>3177</v>
      </c>
      <c r="AU1031">
        <v>25</v>
      </c>
      <c r="AV1031">
        <v>11.864048000000002</v>
      </c>
      <c r="AW1031">
        <v>0.3282312969030628</v>
      </c>
      <c r="AX1031">
        <v>2.7666045931629974</v>
      </c>
      <c r="AY1031">
        <v>-3.5755108740503752</v>
      </c>
      <c r="AZ1031">
        <v>8.1404084527693215</v>
      </c>
      <c r="BB1031" t="s">
        <v>4620</v>
      </c>
      <c r="BD1031" s="98"/>
      <c r="BE1031" s="98"/>
      <c r="BF1031" t="s">
        <v>1152</v>
      </c>
      <c r="BG1031" t="s">
        <v>322</v>
      </c>
      <c r="BH1031" t="s">
        <v>1153</v>
      </c>
      <c r="BI1031">
        <v>3.5755108740503752</v>
      </c>
      <c r="BN1031" t="s">
        <v>1154</v>
      </c>
      <c r="BO1031">
        <v>2025</v>
      </c>
      <c r="BP1031" t="s">
        <v>966</v>
      </c>
      <c r="BZ1031" t="s">
        <v>1513</v>
      </c>
      <c r="CA1031" t="s">
        <v>1513</v>
      </c>
      <c r="CB1031" t="b">
        <v>0</v>
      </c>
      <c r="CC1031" t="b">
        <v>0</v>
      </c>
      <c r="CD1031" t="b">
        <v>0</v>
      </c>
      <c r="CE1031" t="b">
        <v>0</v>
      </c>
      <c r="CF1031" t="b">
        <v>0</v>
      </c>
    </row>
    <row r="1032" spans="1:84" x14ac:dyDescent="0.3">
      <c r="A1032" t="s">
        <v>3286</v>
      </c>
      <c r="B1032" t="s">
        <v>1174</v>
      </c>
      <c r="C1032" s="98">
        <v>45698</v>
      </c>
      <c r="D1032">
        <v>2025</v>
      </c>
      <c r="E1032">
        <v>2</v>
      </c>
      <c r="F1032">
        <v>1</v>
      </c>
      <c r="G1032" t="s">
        <v>1170</v>
      </c>
      <c r="H1032" t="s">
        <v>144</v>
      </c>
      <c r="I1032" t="s">
        <v>144</v>
      </c>
      <c r="J1032" t="s">
        <v>6</v>
      </c>
      <c r="L1032">
        <v>522611</v>
      </c>
      <c r="M1032" s="99" t="s">
        <v>180</v>
      </c>
      <c r="N1032">
        <v>3</v>
      </c>
      <c r="O1032">
        <v>6</v>
      </c>
      <c r="P1032">
        <v>11.975899999999999</v>
      </c>
      <c r="Q1032" t="s">
        <v>352</v>
      </c>
      <c r="R1032">
        <v>1</v>
      </c>
      <c r="S1032">
        <v>11.8759</v>
      </c>
      <c r="T1032">
        <v>0.33450000000000002</v>
      </c>
      <c r="U1032">
        <v>0.29895366218236064</v>
      </c>
      <c r="V1032">
        <v>10.872399999999999</v>
      </c>
      <c r="W1032">
        <v>11.206899999999999</v>
      </c>
      <c r="X1032">
        <v>11.541399999999999</v>
      </c>
      <c r="Y1032">
        <v>12.2104</v>
      </c>
      <c r="Z1032">
        <v>12.5449</v>
      </c>
      <c r="AA1032">
        <v>12.8794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 t="s">
        <v>462</v>
      </c>
      <c r="AL1032" t="s">
        <v>6</v>
      </c>
      <c r="AM1032" t="s">
        <v>1145</v>
      </c>
      <c r="AN1032" t="s">
        <v>1146</v>
      </c>
      <c r="AO1032" s="100">
        <v>46262.040405092594</v>
      </c>
      <c r="AP1032" t="s">
        <v>1147</v>
      </c>
      <c r="AQ1032" t="s">
        <v>3287</v>
      </c>
      <c r="AR1032" t="s">
        <v>1176</v>
      </c>
      <c r="AS1032" t="s">
        <v>1150</v>
      </c>
      <c r="AT1032" t="s">
        <v>3177</v>
      </c>
      <c r="AU1032">
        <v>25</v>
      </c>
      <c r="AV1032">
        <v>11.864048000000002</v>
      </c>
      <c r="AW1032">
        <v>0.3282312969030628</v>
      </c>
      <c r="AX1032">
        <v>2.7666045931629974</v>
      </c>
      <c r="AY1032">
        <v>-3.5755108740503752</v>
      </c>
      <c r="AZ1032">
        <v>8.1404084527693215</v>
      </c>
      <c r="BB1032" t="s">
        <v>4620</v>
      </c>
      <c r="BD1032" s="98"/>
      <c r="BE1032" s="98"/>
      <c r="BF1032" t="s">
        <v>1152</v>
      </c>
      <c r="BG1032" t="s">
        <v>322</v>
      </c>
      <c r="BH1032" t="s">
        <v>1153</v>
      </c>
      <c r="BI1032">
        <v>3.5755108740503752</v>
      </c>
      <c r="BN1032" t="s">
        <v>1154</v>
      </c>
      <c r="BO1032">
        <v>2025</v>
      </c>
      <c r="BP1032" t="s">
        <v>966</v>
      </c>
      <c r="BZ1032" t="s">
        <v>1513</v>
      </c>
      <c r="CA1032" t="s">
        <v>1513</v>
      </c>
      <c r="CB1032" t="b">
        <v>0</v>
      </c>
      <c r="CC1032" t="b">
        <v>0</v>
      </c>
      <c r="CD1032" t="b">
        <v>0</v>
      </c>
      <c r="CE1032" t="b">
        <v>0</v>
      </c>
      <c r="CF1032" t="b">
        <v>0</v>
      </c>
    </row>
    <row r="1033" spans="1:84" x14ac:dyDescent="0.3">
      <c r="A1033" t="s">
        <v>3288</v>
      </c>
      <c r="B1033" t="s">
        <v>1178</v>
      </c>
      <c r="C1033" s="98">
        <v>45705</v>
      </c>
      <c r="D1033">
        <v>2025</v>
      </c>
      <c r="E1033">
        <v>2</v>
      </c>
      <c r="F1033">
        <v>1</v>
      </c>
      <c r="G1033" t="s">
        <v>1170</v>
      </c>
      <c r="H1033" t="s">
        <v>144</v>
      </c>
      <c r="I1033" t="s">
        <v>144</v>
      </c>
      <c r="J1033" t="s">
        <v>6</v>
      </c>
      <c r="L1033">
        <v>522611</v>
      </c>
      <c r="M1033" s="99" t="s">
        <v>180</v>
      </c>
      <c r="N1033">
        <v>3</v>
      </c>
      <c r="O1033">
        <v>7</v>
      </c>
      <c r="P1033">
        <v>11.7689</v>
      </c>
      <c r="Q1033" t="s">
        <v>352</v>
      </c>
      <c r="R1033">
        <v>1</v>
      </c>
      <c r="S1033">
        <v>11.8759</v>
      </c>
      <c r="T1033">
        <v>0.33450000000000002</v>
      </c>
      <c r="U1033">
        <v>-0.319880418535125</v>
      </c>
      <c r="V1033">
        <v>10.872399999999999</v>
      </c>
      <c r="W1033">
        <v>11.206899999999999</v>
      </c>
      <c r="X1033">
        <v>11.541399999999999</v>
      </c>
      <c r="Y1033">
        <v>12.2104</v>
      </c>
      <c r="Z1033">
        <v>12.5449</v>
      </c>
      <c r="AA1033">
        <v>12.8794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 t="s">
        <v>462</v>
      </c>
      <c r="AL1033" t="s">
        <v>6</v>
      </c>
      <c r="AM1033" t="s">
        <v>1145</v>
      </c>
      <c r="AN1033" t="s">
        <v>1146</v>
      </c>
      <c r="AO1033" s="100">
        <v>46262.040405092594</v>
      </c>
      <c r="AP1033" t="s">
        <v>1147</v>
      </c>
      <c r="AQ1033" t="s">
        <v>3289</v>
      </c>
      <c r="AR1033" t="s">
        <v>1180</v>
      </c>
      <c r="AS1033" t="s">
        <v>1150</v>
      </c>
      <c r="AT1033" t="s">
        <v>3177</v>
      </c>
      <c r="AU1033">
        <v>25</v>
      </c>
      <c r="AV1033">
        <v>11.864048000000002</v>
      </c>
      <c r="AW1033">
        <v>0.3282312969030628</v>
      </c>
      <c r="AX1033">
        <v>2.7666045931629974</v>
      </c>
      <c r="AY1033">
        <v>-3.5755108740503752</v>
      </c>
      <c r="AZ1033">
        <v>8.1404084527693215</v>
      </c>
      <c r="BB1033" t="s">
        <v>4620</v>
      </c>
      <c r="BD1033" s="98"/>
      <c r="BE1033" s="98"/>
      <c r="BF1033" t="s">
        <v>1152</v>
      </c>
      <c r="BG1033" t="s">
        <v>322</v>
      </c>
      <c r="BH1033" t="s">
        <v>1153</v>
      </c>
      <c r="BI1033">
        <v>3.5755108740503752</v>
      </c>
      <c r="BN1033" t="s">
        <v>1154</v>
      </c>
      <c r="BO1033">
        <v>2025</v>
      </c>
      <c r="BP1033" t="s">
        <v>966</v>
      </c>
      <c r="BZ1033" t="s">
        <v>1513</v>
      </c>
      <c r="CA1033" t="s">
        <v>1513</v>
      </c>
      <c r="CB1033" t="b">
        <v>0</v>
      </c>
      <c r="CC1033" t="b">
        <v>0</v>
      </c>
      <c r="CD1033" t="b">
        <v>0</v>
      </c>
      <c r="CE1033" t="b">
        <v>0</v>
      </c>
      <c r="CF1033" t="b">
        <v>0</v>
      </c>
    </row>
    <row r="1034" spans="1:84" x14ac:dyDescent="0.3">
      <c r="A1034" t="s">
        <v>3290</v>
      </c>
      <c r="B1034" t="s">
        <v>1182</v>
      </c>
      <c r="C1034" s="98">
        <v>45712</v>
      </c>
      <c r="D1034">
        <v>2025</v>
      </c>
      <c r="E1034">
        <v>2</v>
      </c>
      <c r="F1034">
        <v>1</v>
      </c>
      <c r="G1034" t="s">
        <v>1170</v>
      </c>
      <c r="H1034" t="s">
        <v>144</v>
      </c>
      <c r="I1034" t="s">
        <v>144</v>
      </c>
      <c r="J1034" t="s">
        <v>6</v>
      </c>
      <c r="L1034">
        <v>522611</v>
      </c>
      <c r="M1034" s="99" t="s">
        <v>180</v>
      </c>
      <c r="N1034">
        <v>3</v>
      </c>
      <c r="O1034">
        <v>8</v>
      </c>
      <c r="P1034">
        <v>11.8559</v>
      </c>
      <c r="Q1034" t="s">
        <v>352</v>
      </c>
      <c r="R1034">
        <v>1</v>
      </c>
      <c r="S1034">
        <v>11.8759</v>
      </c>
      <c r="T1034">
        <v>0.33450000000000002</v>
      </c>
      <c r="U1034">
        <v>-5.9790732436471067E-2</v>
      </c>
      <c r="V1034">
        <v>10.872399999999999</v>
      </c>
      <c r="W1034">
        <v>11.206899999999999</v>
      </c>
      <c r="X1034">
        <v>11.541399999999999</v>
      </c>
      <c r="Y1034">
        <v>12.2104</v>
      </c>
      <c r="Z1034">
        <v>12.5449</v>
      </c>
      <c r="AA1034">
        <v>12.8794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 t="s">
        <v>462</v>
      </c>
      <c r="AL1034" t="s">
        <v>6</v>
      </c>
      <c r="AM1034" t="s">
        <v>1145</v>
      </c>
      <c r="AN1034" t="s">
        <v>1146</v>
      </c>
      <c r="AO1034" s="100">
        <v>46262.040405092594</v>
      </c>
      <c r="AP1034" t="s">
        <v>1147</v>
      </c>
      <c r="AQ1034" t="s">
        <v>3291</v>
      </c>
      <c r="AR1034" t="s">
        <v>1184</v>
      </c>
      <c r="AS1034" t="s">
        <v>1150</v>
      </c>
      <c r="AT1034" t="s">
        <v>3177</v>
      </c>
      <c r="AU1034">
        <v>25</v>
      </c>
      <c r="AV1034">
        <v>11.864048000000002</v>
      </c>
      <c r="AW1034">
        <v>0.3282312969030628</v>
      </c>
      <c r="AX1034">
        <v>2.7666045931629974</v>
      </c>
      <c r="AY1034">
        <v>-3.5755108740503752</v>
      </c>
      <c r="AZ1034">
        <v>8.1404084527693215</v>
      </c>
      <c r="BB1034" t="s">
        <v>4620</v>
      </c>
      <c r="BD1034" s="98"/>
      <c r="BE1034" s="98"/>
      <c r="BF1034" t="s">
        <v>1152</v>
      </c>
      <c r="BG1034" t="s">
        <v>322</v>
      </c>
      <c r="BH1034" t="s">
        <v>1153</v>
      </c>
      <c r="BI1034">
        <v>3.5755108740503752</v>
      </c>
      <c r="BN1034" t="s">
        <v>1154</v>
      </c>
      <c r="BO1034">
        <v>2025</v>
      </c>
      <c r="BP1034" t="s">
        <v>966</v>
      </c>
      <c r="BZ1034" t="s">
        <v>1513</v>
      </c>
      <c r="CA1034" t="s">
        <v>1513</v>
      </c>
      <c r="CB1034" t="b">
        <v>0</v>
      </c>
      <c r="CC1034" t="b">
        <v>0</v>
      </c>
      <c r="CD1034" t="b">
        <v>0</v>
      </c>
      <c r="CE1034" t="b">
        <v>0</v>
      </c>
      <c r="CF1034" t="b">
        <v>0</v>
      </c>
    </row>
    <row r="1035" spans="1:84" x14ac:dyDescent="0.3">
      <c r="A1035" t="s">
        <v>3292</v>
      </c>
      <c r="B1035" t="s">
        <v>1186</v>
      </c>
      <c r="C1035" s="98">
        <v>45719</v>
      </c>
      <c r="D1035">
        <v>2025</v>
      </c>
      <c r="E1035">
        <v>3</v>
      </c>
      <c r="F1035">
        <v>1</v>
      </c>
      <c r="G1035" t="s">
        <v>1187</v>
      </c>
      <c r="H1035" t="s">
        <v>144</v>
      </c>
      <c r="I1035" t="s">
        <v>144</v>
      </c>
      <c r="J1035" t="s">
        <v>6</v>
      </c>
      <c r="L1035">
        <v>522611</v>
      </c>
      <c r="M1035" s="99" t="s">
        <v>180</v>
      </c>
      <c r="N1035">
        <v>3</v>
      </c>
      <c r="O1035">
        <v>9</v>
      </c>
      <c r="P1035">
        <v>12.0661</v>
      </c>
      <c r="Q1035" t="s">
        <v>352</v>
      </c>
      <c r="R1035">
        <v>1</v>
      </c>
      <c r="S1035">
        <v>11.8759</v>
      </c>
      <c r="T1035">
        <v>0.33450000000000002</v>
      </c>
      <c r="U1035">
        <v>0.56860986547085446</v>
      </c>
      <c r="V1035">
        <v>10.872399999999999</v>
      </c>
      <c r="W1035">
        <v>11.206899999999999</v>
      </c>
      <c r="X1035">
        <v>11.541399999999999</v>
      </c>
      <c r="Y1035">
        <v>12.2104</v>
      </c>
      <c r="Z1035">
        <v>12.5449</v>
      </c>
      <c r="AA1035">
        <v>12.8794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 t="s">
        <v>462</v>
      </c>
      <c r="AL1035" t="s">
        <v>6</v>
      </c>
      <c r="AM1035" t="s">
        <v>1145</v>
      </c>
      <c r="AN1035" t="s">
        <v>1146</v>
      </c>
      <c r="AO1035" s="100">
        <v>46262.040405092594</v>
      </c>
      <c r="AP1035" t="s">
        <v>1147</v>
      </c>
      <c r="AQ1035" t="s">
        <v>3293</v>
      </c>
      <c r="AR1035" t="s">
        <v>1189</v>
      </c>
      <c r="AS1035" t="s">
        <v>1150</v>
      </c>
      <c r="AT1035" t="s">
        <v>3177</v>
      </c>
      <c r="AU1035">
        <v>25</v>
      </c>
      <c r="AV1035">
        <v>11.864048000000002</v>
      </c>
      <c r="AW1035">
        <v>0.3282312969030628</v>
      </c>
      <c r="AX1035">
        <v>2.7666045931629974</v>
      </c>
      <c r="AY1035">
        <v>-3.5755108740503752</v>
      </c>
      <c r="AZ1035">
        <v>8.1404084527693215</v>
      </c>
      <c r="BB1035" t="s">
        <v>4620</v>
      </c>
      <c r="BD1035" s="98"/>
      <c r="BE1035" s="98"/>
      <c r="BF1035" t="s">
        <v>1152</v>
      </c>
      <c r="BG1035" t="s">
        <v>322</v>
      </c>
      <c r="BH1035" t="s">
        <v>1153</v>
      </c>
      <c r="BI1035">
        <v>3.5755108740503752</v>
      </c>
      <c r="BN1035" t="s">
        <v>1154</v>
      </c>
      <c r="BO1035">
        <v>2025</v>
      </c>
      <c r="BP1035" t="s">
        <v>966</v>
      </c>
      <c r="BZ1035" t="s">
        <v>1513</v>
      </c>
      <c r="CA1035" t="s">
        <v>1513</v>
      </c>
      <c r="CB1035" t="b">
        <v>0</v>
      </c>
      <c r="CC1035" t="b">
        <v>0</v>
      </c>
      <c r="CD1035" t="b">
        <v>0</v>
      </c>
      <c r="CE1035" t="b">
        <v>0</v>
      </c>
      <c r="CF1035" t="b">
        <v>0</v>
      </c>
    </row>
    <row r="1036" spans="1:84" x14ac:dyDescent="0.3">
      <c r="A1036" t="s">
        <v>3294</v>
      </c>
      <c r="B1036" t="s">
        <v>1191</v>
      </c>
      <c r="C1036" s="98">
        <v>45726</v>
      </c>
      <c r="D1036">
        <v>2025</v>
      </c>
      <c r="E1036">
        <v>3</v>
      </c>
      <c r="F1036">
        <v>1</v>
      </c>
      <c r="G1036" t="s">
        <v>1187</v>
      </c>
      <c r="H1036" t="s">
        <v>144</v>
      </c>
      <c r="I1036" t="s">
        <v>144</v>
      </c>
      <c r="J1036" t="s">
        <v>6</v>
      </c>
      <c r="L1036">
        <v>522611</v>
      </c>
      <c r="M1036" s="99" t="s">
        <v>180</v>
      </c>
      <c r="N1036">
        <v>3</v>
      </c>
      <c r="O1036">
        <v>10</v>
      </c>
      <c r="P1036">
        <v>12.4633</v>
      </c>
      <c r="Q1036" t="s">
        <v>352</v>
      </c>
      <c r="R1036">
        <v>1</v>
      </c>
      <c r="S1036">
        <v>11.8759</v>
      </c>
      <c r="T1036">
        <v>0.33450000000000002</v>
      </c>
      <c r="U1036">
        <v>1.7560538116591944</v>
      </c>
      <c r="V1036">
        <v>10.872399999999999</v>
      </c>
      <c r="W1036">
        <v>11.206899999999999</v>
      </c>
      <c r="X1036">
        <v>11.541399999999999</v>
      </c>
      <c r="Y1036">
        <v>12.2104</v>
      </c>
      <c r="Z1036">
        <v>12.5449</v>
      </c>
      <c r="AA1036">
        <v>12.8794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 t="s">
        <v>462</v>
      </c>
      <c r="AL1036" t="s">
        <v>6</v>
      </c>
      <c r="AM1036" t="s">
        <v>1145</v>
      </c>
      <c r="AN1036" t="s">
        <v>1146</v>
      </c>
      <c r="AO1036" s="100">
        <v>46262.040405092594</v>
      </c>
      <c r="AP1036" t="s">
        <v>1147</v>
      </c>
      <c r="AQ1036" t="s">
        <v>3295</v>
      </c>
      <c r="AR1036" t="s">
        <v>1193</v>
      </c>
      <c r="AS1036" t="s">
        <v>1150</v>
      </c>
      <c r="AT1036" t="s">
        <v>3177</v>
      </c>
      <c r="AU1036">
        <v>25</v>
      </c>
      <c r="AV1036">
        <v>11.864048000000002</v>
      </c>
      <c r="AW1036">
        <v>0.3282312969030628</v>
      </c>
      <c r="AX1036">
        <v>2.7666045931629974</v>
      </c>
      <c r="AY1036">
        <v>-3.5755108740503752</v>
      </c>
      <c r="AZ1036">
        <v>8.1404084527693215</v>
      </c>
      <c r="BB1036" t="s">
        <v>4620</v>
      </c>
      <c r="BD1036" s="98"/>
      <c r="BE1036" s="98"/>
      <c r="BF1036" t="s">
        <v>1152</v>
      </c>
      <c r="BG1036" t="s">
        <v>322</v>
      </c>
      <c r="BH1036" t="s">
        <v>1153</v>
      </c>
      <c r="BI1036">
        <v>3.5755108740503752</v>
      </c>
      <c r="BN1036" t="s">
        <v>1154</v>
      </c>
      <c r="BO1036">
        <v>2025</v>
      </c>
      <c r="BP1036" t="s">
        <v>966</v>
      </c>
      <c r="BZ1036" t="s">
        <v>1513</v>
      </c>
      <c r="CA1036" t="s">
        <v>1513</v>
      </c>
      <c r="CB1036" t="b">
        <v>0</v>
      </c>
      <c r="CC1036" t="b">
        <v>0</v>
      </c>
      <c r="CD1036" t="b">
        <v>0</v>
      </c>
      <c r="CE1036" t="b">
        <v>0</v>
      </c>
      <c r="CF1036" t="b">
        <v>0</v>
      </c>
    </row>
    <row r="1037" spans="1:84" x14ac:dyDescent="0.3">
      <c r="A1037" t="s">
        <v>3296</v>
      </c>
      <c r="B1037" t="s">
        <v>1195</v>
      </c>
      <c r="C1037" s="98">
        <v>45733</v>
      </c>
      <c r="D1037">
        <v>2025</v>
      </c>
      <c r="E1037">
        <v>3</v>
      </c>
      <c r="F1037">
        <v>1</v>
      </c>
      <c r="G1037" t="s">
        <v>1187</v>
      </c>
      <c r="H1037" t="s">
        <v>144</v>
      </c>
      <c r="I1037" t="s">
        <v>144</v>
      </c>
      <c r="J1037" t="s">
        <v>6</v>
      </c>
      <c r="L1037">
        <v>522611</v>
      </c>
      <c r="M1037" s="99" t="s">
        <v>180</v>
      </c>
      <c r="N1037">
        <v>3</v>
      </c>
      <c r="O1037">
        <v>11</v>
      </c>
      <c r="P1037">
        <v>11.941000000000001</v>
      </c>
      <c r="Q1037" t="s">
        <v>352</v>
      </c>
      <c r="R1037">
        <v>1</v>
      </c>
      <c r="S1037">
        <v>11.8759</v>
      </c>
      <c r="T1037">
        <v>0.33450000000000002</v>
      </c>
      <c r="U1037">
        <v>0.19461883408072062</v>
      </c>
      <c r="V1037">
        <v>10.872399999999999</v>
      </c>
      <c r="W1037">
        <v>11.206899999999999</v>
      </c>
      <c r="X1037">
        <v>11.541399999999999</v>
      </c>
      <c r="Y1037">
        <v>12.2104</v>
      </c>
      <c r="Z1037">
        <v>12.5449</v>
      </c>
      <c r="AA1037">
        <v>12.8794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 t="s">
        <v>462</v>
      </c>
      <c r="AL1037" t="s">
        <v>6</v>
      </c>
      <c r="AM1037" t="s">
        <v>1145</v>
      </c>
      <c r="AN1037" t="s">
        <v>1146</v>
      </c>
      <c r="AO1037" s="100">
        <v>46262.040405092594</v>
      </c>
      <c r="AP1037" t="s">
        <v>1147</v>
      </c>
      <c r="AQ1037" t="s">
        <v>3297</v>
      </c>
      <c r="AR1037" t="s">
        <v>1197</v>
      </c>
      <c r="AS1037" t="s">
        <v>1150</v>
      </c>
      <c r="AT1037" t="s">
        <v>3177</v>
      </c>
      <c r="AU1037">
        <v>25</v>
      </c>
      <c r="AV1037">
        <v>11.864048000000002</v>
      </c>
      <c r="AW1037">
        <v>0.3282312969030628</v>
      </c>
      <c r="AX1037">
        <v>2.7666045931629974</v>
      </c>
      <c r="AY1037">
        <v>-3.5755108740503752</v>
      </c>
      <c r="AZ1037">
        <v>8.1404084527693215</v>
      </c>
      <c r="BB1037" t="s">
        <v>4620</v>
      </c>
      <c r="BD1037" s="98"/>
      <c r="BE1037" s="98"/>
      <c r="BF1037" t="s">
        <v>1152</v>
      </c>
      <c r="BG1037" t="s">
        <v>322</v>
      </c>
      <c r="BH1037" t="s">
        <v>1153</v>
      </c>
      <c r="BI1037">
        <v>3.5755108740503752</v>
      </c>
      <c r="BN1037" t="s">
        <v>1154</v>
      </c>
      <c r="BO1037">
        <v>2025</v>
      </c>
      <c r="BP1037" t="s">
        <v>966</v>
      </c>
      <c r="BZ1037" t="s">
        <v>1513</v>
      </c>
      <c r="CA1037" t="s">
        <v>1513</v>
      </c>
      <c r="CB1037" t="b">
        <v>0</v>
      </c>
      <c r="CC1037" t="b">
        <v>0</v>
      </c>
      <c r="CD1037" t="b">
        <v>0</v>
      </c>
      <c r="CE1037" t="b">
        <v>0</v>
      </c>
      <c r="CF1037" t="b">
        <v>0</v>
      </c>
    </row>
    <row r="1038" spans="1:84" x14ac:dyDescent="0.3">
      <c r="A1038" t="s">
        <v>3298</v>
      </c>
      <c r="B1038" t="s">
        <v>1199</v>
      </c>
      <c r="C1038" s="98">
        <v>45740</v>
      </c>
      <c r="D1038">
        <v>2025</v>
      </c>
      <c r="E1038">
        <v>3</v>
      </c>
      <c r="F1038">
        <v>1</v>
      </c>
      <c r="G1038" t="s">
        <v>1187</v>
      </c>
      <c r="H1038" t="s">
        <v>144</v>
      </c>
      <c r="I1038" t="s">
        <v>144</v>
      </c>
      <c r="J1038" t="s">
        <v>6</v>
      </c>
      <c r="L1038">
        <v>522611</v>
      </c>
      <c r="M1038" s="99" t="s">
        <v>180</v>
      </c>
      <c r="N1038">
        <v>3</v>
      </c>
      <c r="O1038">
        <v>12</v>
      </c>
      <c r="P1038">
        <v>11.9175</v>
      </c>
      <c r="Q1038" t="s">
        <v>352</v>
      </c>
      <c r="R1038">
        <v>1</v>
      </c>
      <c r="S1038">
        <v>11.8759</v>
      </c>
      <c r="T1038">
        <v>0.33450000000000002</v>
      </c>
      <c r="U1038">
        <v>0.1243647234678647</v>
      </c>
      <c r="V1038">
        <v>10.872399999999999</v>
      </c>
      <c r="W1038">
        <v>11.206899999999999</v>
      </c>
      <c r="X1038">
        <v>11.541399999999999</v>
      </c>
      <c r="Y1038">
        <v>12.2104</v>
      </c>
      <c r="Z1038">
        <v>12.5449</v>
      </c>
      <c r="AA1038">
        <v>12.8794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 t="s">
        <v>462</v>
      </c>
      <c r="AL1038" t="s">
        <v>6</v>
      </c>
      <c r="AM1038" t="s">
        <v>1145</v>
      </c>
      <c r="AN1038" t="s">
        <v>1146</v>
      </c>
      <c r="AO1038" s="100">
        <v>46262.040405092594</v>
      </c>
      <c r="AP1038" t="s">
        <v>1147</v>
      </c>
      <c r="AQ1038" t="s">
        <v>3299</v>
      </c>
      <c r="AR1038" t="s">
        <v>1201</v>
      </c>
      <c r="AS1038" t="s">
        <v>1150</v>
      </c>
      <c r="AT1038" t="s">
        <v>3177</v>
      </c>
      <c r="AU1038">
        <v>25</v>
      </c>
      <c r="AV1038">
        <v>11.864048000000002</v>
      </c>
      <c r="AW1038">
        <v>0.3282312969030628</v>
      </c>
      <c r="AX1038">
        <v>2.7666045931629974</v>
      </c>
      <c r="AY1038">
        <v>-3.5755108740503752</v>
      </c>
      <c r="AZ1038">
        <v>8.1404084527693215</v>
      </c>
      <c r="BB1038" t="s">
        <v>4620</v>
      </c>
      <c r="BD1038" s="98"/>
      <c r="BE1038" s="98"/>
      <c r="BF1038" t="s">
        <v>1152</v>
      </c>
      <c r="BG1038" t="s">
        <v>322</v>
      </c>
      <c r="BH1038" t="s">
        <v>1153</v>
      </c>
      <c r="BI1038">
        <v>3.5755108740503752</v>
      </c>
      <c r="BN1038" t="s">
        <v>1154</v>
      </c>
      <c r="BO1038">
        <v>2025</v>
      </c>
      <c r="BP1038" t="s">
        <v>966</v>
      </c>
      <c r="BZ1038" t="s">
        <v>1513</v>
      </c>
      <c r="CA1038" t="s">
        <v>1513</v>
      </c>
      <c r="CB1038" t="b">
        <v>0</v>
      </c>
      <c r="CC1038" t="b">
        <v>0</v>
      </c>
      <c r="CD1038" t="b">
        <v>0</v>
      </c>
      <c r="CE1038" t="b">
        <v>0</v>
      </c>
      <c r="CF1038" t="b">
        <v>0</v>
      </c>
    </row>
    <row r="1039" spans="1:84" x14ac:dyDescent="0.3">
      <c r="A1039" t="s">
        <v>3300</v>
      </c>
      <c r="B1039" t="s">
        <v>1203</v>
      </c>
      <c r="C1039" s="98">
        <v>45747</v>
      </c>
      <c r="D1039">
        <v>2025</v>
      </c>
      <c r="E1039">
        <v>3</v>
      </c>
      <c r="F1039">
        <v>1</v>
      </c>
      <c r="G1039" t="s">
        <v>1187</v>
      </c>
      <c r="H1039" t="s">
        <v>144</v>
      </c>
      <c r="I1039" t="s">
        <v>144</v>
      </c>
      <c r="J1039" t="s">
        <v>6</v>
      </c>
      <c r="L1039">
        <v>522611</v>
      </c>
      <c r="M1039" s="99" t="s">
        <v>180</v>
      </c>
      <c r="N1039">
        <v>3</v>
      </c>
      <c r="O1039">
        <v>13</v>
      </c>
      <c r="P1039">
        <v>11.5503</v>
      </c>
      <c r="Q1039" t="s">
        <v>352</v>
      </c>
      <c r="R1039">
        <v>1</v>
      </c>
      <c r="S1039">
        <v>11.8759</v>
      </c>
      <c r="T1039">
        <v>0.33450000000000002</v>
      </c>
      <c r="U1039">
        <v>-0.97339312406576872</v>
      </c>
      <c r="V1039">
        <v>10.872399999999999</v>
      </c>
      <c r="W1039">
        <v>11.206899999999999</v>
      </c>
      <c r="X1039">
        <v>11.541399999999999</v>
      </c>
      <c r="Y1039">
        <v>12.2104</v>
      </c>
      <c r="Z1039">
        <v>12.5449</v>
      </c>
      <c r="AA1039">
        <v>12.8794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 t="s">
        <v>462</v>
      </c>
      <c r="AL1039" t="s">
        <v>6</v>
      </c>
      <c r="AM1039" t="s">
        <v>1145</v>
      </c>
      <c r="AN1039" t="s">
        <v>1146</v>
      </c>
      <c r="AO1039" s="100">
        <v>46262.040405092594</v>
      </c>
      <c r="AP1039" t="s">
        <v>1147</v>
      </c>
      <c r="AQ1039" t="s">
        <v>3301</v>
      </c>
      <c r="AR1039" t="s">
        <v>1205</v>
      </c>
      <c r="AS1039" t="s">
        <v>1150</v>
      </c>
      <c r="AT1039" t="s">
        <v>3177</v>
      </c>
      <c r="AU1039">
        <v>25</v>
      </c>
      <c r="AV1039">
        <v>11.864048000000002</v>
      </c>
      <c r="AW1039">
        <v>0.3282312969030628</v>
      </c>
      <c r="AX1039">
        <v>2.7666045931629974</v>
      </c>
      <c r="AY1039">
        <v>-3.5755108740503752</v>
      </c>
      <c r="AZ1039">
        <v>8.1404084527693215</v>
      </c>
      <c r="BB1039" t="s">
        <v>4620</v>
      </c>
      <c r="BD1039" s="98"/>
      <c r="BE1039" s="98"/>
      <c r="BF1039" t="s">
        <v>1152</v>
      </c>
      <c r="BG1039" t="s">
        <v>322</v>
      </c>
      <c r="BH1039" t="s">
        <v>1153</v>
      </c>
      <c r="BI1039">
        <v>3.5755108740503752</v>
      </c>
      <c r="BN1039" t="s">
        <v>1154</v>
      </c>
      <c r="BO1039">
        <v>2025</v>
      </c>
      <c r="BP1039" t="s">
        <v>966</v>
      </c>
      <c r="BZ1039" t="s">
        <v>1513</v>
      </c>
      <c r="CA1039" t="s">
        <v>1513</v>
      </c>
      <c r="CB1039" t="b">
        <v>0</v>
      </c>
      <c r="CC1039" t="b">
        <v>0</v>
      </c>
      <c r="CD1039" t="b">
        <v>0</v>
      </c>
      <c r="CE1039" t="b">
        <v>0</v>
      </c>
      <c r="CF1039" t="b">
        <v>0</v>
      </c>
    </row>
    <row r="1040" spans="1:84" x14ac:dyDescent="0.3">
      <c r="A1040" t="s">
        <v>3302</v>
      </c>
      <c r="B1040" t="s">
        <v>1207</v>
      </c>
      <c r="C1040" s="98">
        <v>45754</v>
      </c>
      <c r="D1040">
        <v>2025</v>
      </c>
      <c r="E1040">
        <v>4</v>
      </c>
      <c r="F1040">
        <v>2</v>
      </c>
      <c r="G1040" t="s">
        <v>1208</v>
      </c>
      <c r="H1040" t="s">
        <v>144</v>
      </c>
      <c r="I1040" t="s">
        <v>144</v>
      </c>
      <c r="J1040" t="s">
        <v>6</v>
      </c>
      <c r="L1040">
        <v>522611</v>
      </c>
      <c r="M1040" s="99" t="s">
        <v>180</v>
      </c>
      <c r="N1040">
        <v>3</v>
      </c>
      <c r="O1040">
        <v>14</v>
      </c>
      <c r="P1040">
        <v>12.071</v>
      </c>
      <c r="Q1040" t="s">
        <v>352</v>
      </c>
      <c r="R1040">
        <v>1</v>
      </c>
      <c r="S1040">
        <v>11.8759</v>
      </c>
      <c r="T1040">
        <v>0.33450000000000002</v>
      </c>
      <c r="U1040">
        <v>0.58325859491778786</v>
      </c>
      <c r="V1040">
        <v>10.872399999999999</v>
      </c>
      <c r="W1040">
        <v>11.206899999999999</v>
      </c>
      <c r="X1040">
        <v>11.541399999999999</v>
      </c>
      <c r="Y1040">
        <v>12.2104</v>
      </c>
      <c r="Z1040">
        <v>12.5449</v>
      </c>
      <c r="AA1040">
        <v>12.8794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 t="s">
        <v>462</v>
      </c>
      <c r="AL1040" t="s">
        <v>6</v>
      </c>
      <c r="AM1040" t="s">
        <v>1145</v>
      </c>
      <c r="AN1040" t="s">
        <v>1146</v>
      </c>
      <c r="AO1040" s="100">
        <v>46262.040405092594</v>
      </c>
      <c r="AP1040" t="s">
        <v>1147</v>
      </c>
      <c r="AQ1040" t="s">
        <v>3303</v>
      </c>
      <c r="AR1040" t="s">
        <v>1210</v>
      </c>
      <c r="AS1040" t="s">
        <v>1150</v>
      </c>
      <c r="AT1040" t="s">
        <v>3177</v>
      </c>
      <c r="AU1040">
        <v>25</v>
      </c>
      <c r="AV1040">
        <v>11.864048000000002</v>
      </c>
      <c r="AW1040">
        <v>0.3282312969030628</v>
      </c>
      <c r="AX1040">
        <v>2.7666045931629974</v>
      </c>
      <c r="AY1040">
        <v>-3.5755108740503752</v>
      </c>
      <c r="AZ1040">
        <v>8.1404084527693215</v>
      </c>
      <c r="BB1040" t="s">
        <v>4620</v>
      </c>
      <c r="BD1040" s="98"/>
      <c r="BE1040" s="98"/>
      <c r="BF1040" t="s">
        <v>1152</v>
      </c>
      <c r="BG1040" t="s">
        <v>322</v>
      </c>
      <c r="BH1040" t="s">
        <v>1153</v>
      </c>
      <c r="BI1040">
        <v>3.5755108740503752</v>
      </c>
      <c r="BN1040" t="s">
        <v>1154</v>
      </c>
      <c r="BO1040">
        <v>2025</v>
      </c>
      <c r="BP1040" t="s">
        <v>966</v>
      </c>
      <c r="BZ1040" t="s">
        <v>1513</v>
      </c>
      <c r="CA1040" t="s">
        <v>1513</v>
      </c>
      <c r="CB1040" t="b">
        <v>0</v>
      </c>
      <c r="CC1040" t="b">
        <v>0</v>
      </c>
      <c r="CD1040" t="b">
        <v>0</v>
      </c>
      <c r="CE1040" t="b">
        <v>0</v>
      </c>
      <c r="CF1040" t="b">
        <v>0</v>
      </c>
    </row>
    <row r="1041" spans="1:84" x14ac:dyDescent="0.3">
      <c r="A1041" t="s">
        <v>3304</v>
      </c>
      <c r="B1041" t="s">
        <v>1212</v>
      </c>
      <c r="C1041" s="98">
        <v>45761</v>
      </c>
      <c r="D1041">
        <v>2025</v>
      </c>
      <c r="E1041">
        <v>4</v>
      </c>
      <c r="F1041">
        <v>2</v>
      </c>
      <c r="G1041" t="s">
        <v>1208</v>
      </c>
      <c r="H1041" t="s">
        <v>144</v>
      </c>
      <c r="I1041" t="s">
        <v>144</v>
      </c>
      <c r="J1041" t="s">
        <v>6</v>
      </c>
      <c r="L1041">
        <v>522611</v>
      </c>
      <c r="M1041" s="99" t="s">
        <v>180</v>
      </c>
      <c r="N1041">
        <v>3</v>
      </c>
      <c r="O1041">
        <v>15</v>
      </c>
      <c r="P1041">
        <v>11.7935</v>
      </c>
      <c r="Q1041" t="s">
        <v>352</v>
      </c>
      <c r="R1041">
        <v>1</v>
      </c>
      <c r="S1041">
        <v>11.8759</v>
      </c>
      <c r="T1041">
        <v>0.33450000000000002</v>
      </c>
      <c r="U1041">
        <v>-0.24633781763826548</v>
      </c>
      <c r="V1041">
        <v>10.872399999999999</v>
      </c>
      <c r="W1041">
        <v>11.206899999999999</v>
      </c>
      <c r="X1041">
        <v>11.541399999999999</v>
      </c>
      <c r="Y1041">
        <v>12.2104</v>
      </c>
      <c r="Z1041">
        <v>12.5449</v>
      </c>
      <c r="AA1041">
        <v>12.8794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 t="s">
        <v>462</v>
      </c>
      <c r="AL1041" t="s">
        <v>6</v>
      </c>
      <c r="AM1041" t="s">
        <v>1145</v>
      </c>
      <c r="AN1041" t="s">
        <v>1146</v>
      </c>
      <c r="AO1041" s="100">
        <v>46262.040405092594</v>
      </c>
      <c r="AP1041" t="s">
        <v>1147</v>
      </c>
      <c r="AQ1041" t="s">
        <v>3305</v>
      </c>
      <c r="AR1041" t="s">
        <v>1215</v>
      </c>
      <c r="AS1041" t="s">
        <v>1150</v>
      </c>
      <c r="AT1041" t="s">
        <v>3177</v>
      </c>
      <c r="AU1041">
        <v>25</v>
      </c>
      <c r="AV1041">
        <v>11.864048000000002</v>
      </c>
      <c r="AW1041">
        <v>0.3282312969030628</v>
      </c>
      <c r="AX1041">
        <v>2.7666045931629974</v>
      </c>
      <c r="AY1041">
        <v>-3.5755108740503752</v>
      </c>
      <c r="AZ1041">
        <v>8.1404084527693215</v>
      </c>
      <c r="BB1041" t="s">
        <v>4620</v>
      </c>
      <c r="BD1041" s="98"/>
      <c r="BE1041" s="98"/>
      <c r="BF1041" t="s">
        <v>1152</v>
      </c>
      <c r="BG1041" t="s">
        <v>322</v>
      </c>
      <c r="BH1041" t="s">
        <v>1153</v>
      </c>
      <c r="BI1041">
        <v>3.5755108740503752</v>
      </c>
      <c r="BN1041" t="s">
        <v>1154</v>
      </c>
      <c r="BO1041">
        <v>2025</v>
      </c>
      <c r="BP1041" t="s">
        <v>966</v>
      </c>
      <c r="BZ1041" t="s">
        <v>1513</v>
      </c>
      <c r="CA1041" t="s">
        <v>1513</v>
      </c>
      <c r="CB1041" t="b">
        <v>0</v>
      </c>
      <c r="CC1041" t="b">
        <v>0</v>
      </c>
      <c r="CD1041" t="b">
        <v>0</v>
      </c>
      <c r="CE1041" t="b">
        <v>0</v>
      </c>
      <c r="CF1041" t="b">
        <v>0</v>
      </c>
    </row>
    <row r="1042" spans="1:84" x14ac:dyDescent="0.3">
      <c r="A1042" t="s">
        <v>3306</v>
      </c>
      <c r="B1042" t="s">
        <v>1217</v>
      </c>
      <c r="C1042" s="98">
        <v>45768</v>
      </c>
      <c r="D1042">
        <v>2025</v>
      </c>
      <c r="E1042">
        <v>4</v>
      </c>
      <c r="F1042">
        <v>2</v>
      </c>
      <c r="G1042" t="s">
        <v>1208</v>
      </c>
      <c r="H1042" t="s">
        <v>144</v>
      </c>
      <c r="I1042" t="s">
        <v>144</v>
      </c>
      <c r="J1042" t="s">
        <v>6</v>
      </c>
      <c r="L1042">
        <v>522611</v>
      </c>
      <c r="M1042" s="99" t="s">
        <v>180</v>
      </c>
      <c r="N1042">
        <v>3</v>
      </c>
      <c r="O1042">
        <v>16</v>
      </c>
      <c r="P1042">
        <v>12.154199999999999</v>
      </c>
      <c r="Q1042" t="s">
        <v>352</v>
      </c>
      <c r="R1042">
        <v>1</v>
      </c>
      <c r="S1042">
        <v>11.8759</v>
      </c>
      <c r="T1042">
        <v>0.33450000000000002</v>
      </c>
      <c r="U1042">
        <v>0.83198804185351194</v>
      </c>
      <c r="V1042">
        <v>10.872399999999999</v>
      </c>
      <c r="W1042">
        <v>11.206899999999999</v>
      </c>
      <c r="X1042">
        <v>11.541399999999999</v>
      </c>
      <c r="Y1042">
        <v>12.2104</v>
      </c>
      <c r="Z1042">
        <v>12.5449</v>
      </c>
      <c r="AA1042">
        <v>12.8794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 t="s">
        <v>462</v>
      </c>
      <c r="AL1042" t="s">
        <v>6</v>
      </c>
      <c r="AM1042" t="s">
        <v>1145</v>
      </c>
      <c r="AN1042" t="s">
        <v>1146</v>
      </c>
      <c r="AO1042" s="100">
        <v>46262.040405092594</v>
      </c>
      <c r="AP1042" t="s">
        <v>1147</v>
      </c>
      <c r="AQ1042" t="s">
        <v>3307</v>
      </c>
      <c r="AR1042" t="s">
        <v>1219</v>
      </c>
      <c r="AS1042" t="s">
        <v>1150</v>
      </c>
      <c r="AT1042" t="s">
        <v>3177</v>
      </c>
      <c r="AU1042">
        <v>25</v>
      </c>
      <c r="AV1042">
        <v>11.864048000000002</v>
      </c>
      <c r="AW1042">
        <v>0.3282312969030628</v>
      </c>
      <c r="AX1042">
        <v>2.7666045931629974</v>
      </c>
      <c r="AY1042">
        <v>-3.5755108740503752</v>
      </c>
      <c r="AZ1042">
        <v>8.1404084527693215</v>
      </c>
      <c r="BB1042" t="s">
        <v>4620</v>
      </c>
      <c r="BD1042" s="98"/>
      <c r="BE1042" s="98"/>
      <c r="BF1042" t="s">
        <v>1152</v>
      </c>
      <c r="BG1042" t="s">
        <v>322</v>
      </c>
      <c r="BH1042" t="s">
        <v>1153</v>
      </c>
      <c r="BI1042">
        <v>3.5755108740503752</v>
      </c>
      <c r="BN1042" t="s">
        <v>1154</v>
      </c>
      <c r="BO1042">
        <v>2025</v>
      </c>
      <c r="BP1042" t="s">
        <v>966</v>
      </c>
      <c r="BZ1042" t="s">
        <v>1513</v>
      </c>
      <c r="CA1042" t="s">
        <v>1513</v>
      </c>
      <c r="CB1042" t="b">
        <v>0</v>
      </c>
      <c r="CC1042" t="b">
        <v>0</v>
      </c>
      <c r="CD1042" t="b">
        <v>0</v>
      </c>
      <c r="CE1042" t="b">
        <v>0</v>
      </c>
      <c r="CF1042" t="b">
        <v>0</v>
      </c>
    </row>
    <row r="1043" spans="1:84" x14ac:dyDescent="0.3">
      <c r="A1043" t="s">
        <v>3308</v>
      </c>
      <c r="B1043" t="s">
        <v>1221</v>
      </c>
      <c r="C1043" s="98">
        <v>45775</v>
      </c>
      <c r="D1043">
        <v>2025</v>
      </c>
      <c r="E1043">
        <v>4</v>
      </c>
      <c r="F1043">
        <v>2</v>
      </c>
      <c r="G1043" t="s">
        <v>1208</v>
      </c>
      <c r="H1043" t="s">
        <v>144</v>
      </c>
      <c r="I1043" t="s">
        <v>144</v>
      </c>
      <c r="J1043" t="s">
        <v>6</v>
      </c>
      <c r="L1043">
        <v>522611</v>
      </c>
      <c r="M1043" s="99" t="s">
        <v>180</v>
      </c>
      <c r="N1043">
        <v>3</v>
      </c>
      <c r="O1043">
        <v>17</v>
      </c>
      <c r="P1043">
        <v>11.8612</v>
      </c>
      <c r="Q1043" t="s">
        <v>352</v>
      </c>
      <c r="R1043">
        <v>1</v>
      </c>
      <c r="S1043">
        <v>11.8759</v>
      </c>
      <c r="T1043">
        <v>0.33450000000000002</v>
      </c>
      <c r="U1043">
        <v>-4.3946188340805652E-2</v>
      </c>
      <c r="V1043">
        <v>10.872399999999999</v>
      </c>
      <c r="W1043">
        <v>11.206899999999999</v>
      </c>
      <c r="X1043">
        <v>11.541399999999999</v>
      </c>
      <c r="Y1043">
        <v>12.2104</v>
      </c>
      <c r="Z1043">
        <v>12.5449</v>
      </c>
      <c r="AA1043">
        <v>12.8794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 t="s">
        <v>462</v>
      </c>
      <c r="AL1043" t="s">
        <v>6</v>
      </c>
      <c r="AM1043" t="s">
        <v>1145</v>
      </c>
      <c r="AN1043" t="s">
        <v>1146</v>
      </c>
      <c r="AO1043" s="100">
        <v>46262.040405092594</v>
      </c>
      <c r="AP1043" t="s">
        <v>1147</v>
      </c>
      <c r="AQ1043" t="s">
        <v>3309</v>
      </c>
      <c r="AR1043" t="s">
        <v>1223</v>
      </c>
      <c r="AS1043" t="s">
        <v>1150</v>
      </c>
      <c r="AT1043" t="s">
        <v>3177</v>
      </c>
      <c r="AU1043">
        <v>25</v>
      </c>
      <c r="AV1043">
        <v>11.864048000000002</v>
      </c>
      <c r="AW1043">
        <v>0.3282312969030628</v>
      </c>
      <c r="AX1043">
        <v>2.7666045931629974</v>
      </c>
      <c r="AY1043">
        <v>-3.5755108740503752</v>
      </c>
      <c r="AZ1043">
        <v>8.1404084527693215</v>
      </c>
      <c r="BB1043" t="s">
        <v>4620</v>
      </c>
      <c r="BD1043" s="98"/>
      <c r="BE1043" s="98"/>
      <c r="BF1043" t="s">
        <v>1152</v>
      </c>
      <c r="BG1043" t="s">
        <v>322</v>
      </c>
      <c r="BH1043" t="s">
        <v>1153</v>
      </c>
      <c r="BI1043">
        <v>3.5755108740503752</v>
      </c>
      <c r="BN1043" t="s">
        <v>1154</v>
      </c>
      <c r="BO1043">
        <v>2025</v>
      </c>
      <c r="BP1043" t="s">
        <v>966</v>
      </c>
      <c r="BZ1043" t="s">
        <v>1513</v>
      </c>
      <c r="CA1043" t="s">
        <v>1513</v>
      </c>
      <c r="CB1043" t="b">
        <v>0</v>
      </c>
      <c r="CC1043" t="b">
        <v>0</v>
      </c>
      <c r="CD1043" t="b">
        <v>0</v>
      </c>
      <c r="CE1043" t="b">
        <v>0</v>
      </c>
      <c r="CF1043" t="b">
        <v>0</v>
      </c>
    </row>
    <row r="1044" spans="1:84" x14ac:dyDescent="0.3">
      <c r="A1044" t="s">
        <v>3310</v>
      </c>
      <c r="B1044" t="s">
        <v>1225</v>
      </c>
      <c r="C1044" s="98">
        <v>45782</v>
      </c>
      <c r="D1044">
        <v>2025</v>
      </c>
      <c r="E1044">
        <v>5</v>
      </c>
      <c r="F1044">
        <v>2</v>
      </c>
      <c r="G1044" t="s">
        <v>1226</v>
      </c>
      <c r="H1044" t="s">
        <v>144</v>
      </c>
      <c r="I1044" t="s">
        <v>144</v>
      </c>
      <c r="J1044" t="s">
        <v>6</v>
      </c>
      <c r="L1044">
        <v>522611</v>
      </c>
      <c r="M1044" s="99" t="s">
        <v>180</v>
      </c>
      <c r="N1044">
        <v>3</v>
      </c>
      <c r="O1044">
        <v>18</v>
      </c>
      <c r="P1044">
        <v>12.4582</v>
      </c>
      <c r="Q1044" t="s">
        <v>352</v>
      </c>
      <c r="R1044">
        <v>1</v>
      </c>
      <c r="S1044">
        <v>11.8759</v>
      </c>
      <c r="T1044">
        <v>0.33450000000000002</v>
      </c>
      <c r="U1044">
        <v>1.7408071748878924</v>
      </c>
      <c r="V1044">
        <v>10.872399999999999</v>
      </c>
      <c r="W1044">
        <v>11.206899999999999</v>
      </c>
      <c r="X1044">
        <v>11.541399999999999</v>
      </c>
      <c r="Y1044">
        <v>12.2104</v>
      </c>
      <c r="Z1044">
        <v>12.5449</v>
      </c>
      <c r="AA1044">
        <v>12.8794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 t="s">
        <v>462</v>
      </c>
      <c r="AL1044" t="s">
        <v>6</v>
      </c>
      <c r="AM1044" t="s">
        <v>1145</v>
      </c>
      <c r="AN1044" t="s">
        <v>1146</v>
      </c>
      <c r="AO1044" s="100">
        <v>46262.040405092594</v>
      </c>
      <c r="AP1044" t="s">
        <v>1147</v>
      </c>
      <c r="AQ1044" t="s">
        <v>3311</v>
      </c>
      <c r="AR1044" t="s">
        <v>1228</v>
      </c>
      <c r="AS1044" t="s">
        <v>1150</v>
      </c>
      <c r="AT1044" t="s">
        <v>3177</v>
      </c>
      <c r="AU1044">
        <v>25</v>
      </c>
      <c r="AV1044">
        <v>11.864048000000002</v>
      </c>
      <c r="AW1044">
        <v>0.3282312969030628</v>
      </c>
      <c r="AX1044">
        <v>2.7666045931629974</v>
      </c>
      <c r="AY1044">
        <v>-3.5755108740503752</v>
      </c>
      <c r="AZ1044">
        <v>8.1404084527693215</v>
      </c>
      <c r="BB1044" t="s">
        <v>4620</v>
      </c>
      <c r="BD1044" s="98"/>
      <c r="BE1044" s="98"/>
      <c r="BF1044" t="s">
        <v>1152</v>
      </c>
      <c r="BG1044" t="s">
        <v>322</v>
      </c>
      <c r="BH1044" t="s">
        <v>1153</v>
      </c>
      <c r="BI1044">
        <v>3.5755108740503752</v>
      </c>
      <c r="BN1044" t="s">
        <v>1154</v>
      </c>
      <c r="BO1044">
        <v>2025</v>
      </c>
      <c r="BP1044" t="s">
        <v>966</v>
      </c>
      <c r="BZ1044" t="s">
        <v>1513</v>
      </c>
      <c r="CA1044" t="s">
        <v>1513</v>
      </c>
      <c r="CB1044" t="b">
        <v>0</v>
      </c>
      <c r="CC1044" t="b">
        <v>0</v>
      </c>
      <c r="CD1044" t="b">
        <v>0</v>
      </c>
      <c r="CE1044" t="b">
        <v>0</v>
      </c>
      <c r="CF1044" t="b">
        <v>0</v>
      </c>
    </row>
    <row r="1045" spans="1:84" x14ac:dyDescent="0.3">
      <c r="A1045" t="s">
        <v>3312</v>
      </c>
      <c r="B1045" t="s">
        <v>1230</v>
      </c>
      <c r="C1045" s="98">
        <v>45789</v>
      </c>
      <c r="D1045">
        <v>2025</v>
      </c>
      <c r="E1045">
        <v>5</v>
      </c>
      <c r="F1045">
        <v>2</v>
      </c>
      <c r="G1045" t="s">
        <v>1226</v>
      </c>
      <c r="H1045" t="s">
        <v>144</v>
      </c>
      <c r="I1045" t="s">
        <v>144</v>
      </c>
      <c r="J1045" t="s">
        <v>6</v>
      </c>
      <c r="L1045">
        <v>522611</v>
      </c>
      <c r="M1045" s="99" t="s">
        <v>180</v>
      </c>
      <c r="N1045">
        <v>3</v>
      </c>
      <c r="O1045">
        <v>19</v>
      </c>
      <c r="P1045">
        <v>11.2126</v>
      </c>
      <c r="Q1045" t="s">
        <v>352</v>
      </c>
      <c r="R1045">
        <v>1</v>
      </c>
      <c r="S1045">
        <v>11.8759</v>
      </c>
      <c r="T1045">
        <v>0.33450000000000002</v>
      </c>
      <c r="U1045">
        <v>-1.9829596412556039</v>
      </c>
      <c r="V1045">
        <v>10.872399999999999</v>
      </c>
      <c r="W1045">
        <v>11.206899999999999</v>
      </c>
      <c r="X1045">
        <v>11.541399999999999</v>
      </c>
      <c r="Y1045">
        <v>12.2104</v>
      </c>
      <c r="Z1045">
        <v>12.5449</v>
      </c>
      <c r="AA1045">
        <v>12.8794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 t="s">
        <v>462</v>
      </c>
      <c r="AL1045" t="s">
        <v>6</v>
      </c>
      <c r="AM1045" t="s">
        <v>1145</v>
      </c>
      <c r="AN1045" t="s">
        <v>1146</v>
      </c>
      <c r="AO1045" s="100">
        <v>46262.040405092594</v>
      </c>
      <c r="AP1045" t="s">
        <v>1147</v>
      </c>
      <c r="AQ1045" t="s">
        <v>3313</v>
      </c>
      <c r="AR1045" t="s">
        <v>1232</v>
      </c>
      <c r="AS1045" t="s">
        <v>1150</v>
      </c>
      <c r="AT1045" t="s">
        <v>3177</v>
      </c>
      <c r="AU1045">
        <v>25</v>
      </c>
      <c r="AV1045">
        <v>11.864048000000002</v>
      </c>
      <c r="AW1045">
        <v>0.3282312969030628</v>
      </c>
      <c r="AX1045">
        <v>2.7666045931629974</v>
      </c>
      <c r="AY1045">
        <v>-3.5755108740503752</v>
      </c>
      <c r="AZ1045">
        <v>8.1404084527693215</v>
      </c>
      <c r="BB1045" t="s">
        <v>4620</v>
      </c>
      <c r="BD1045" s="98"/>
      <c r="BE1045" s="98"/>
      <c r="BF1045" t="s">
        <v>1152</v>
      </c>
      <c r="BG1045" t="s">
        <v>322</v>
      </c>
      <c r="BH1045" t="s">
        <v>1153</v>
      </c>
      <c r="BI1045">
        <v>3.5755108740503752</v>
      </c>
      <c r="BN1045" t="s">
        <v>1154</v>
      </c>
      <c r="BO1045">
        <v>2025</v>
      </c>
      <c r="BP1045" t="s">
        <v>966</v>
      </c>
      <c r="BZ1045" t="s">
        <v>1513</v>
      </c>
      <c r="CA1045" t="s">
        <v>1513</v>
      </c>
      <c r="CB1045" t="b">
        <v>0</v>
      </c>
      <c r="CC1045" t="b">
        <v>0</v>
      </c>
      <c r="CD1045" t="b">
        <v>0</v>
      </c>
      <c r="CE1045" t="b">
        <v>0</v>
      </c>
      <c r="CF1045" t="b">
        <v>0</v>
      </c>
    </row>
    <row r="1046" spans="1:84" x14ac:dyDescent="0.3">
      <c r="A1046" t="s">
        <v>3314</v>
      </c>
      <c r="B1046" t="s">
        <v>1234</v>
      </c>
      <c r="C1046" s="98">
        <v>45796</v>
      </c>
      <c r="D1046">
        <v>2025</v>
      </c>
      <c r="E1046">
        <v>5</v>
      </c>
      <c r="F1046">
        <v>2</v>
      </c>
      <c r="G1046" t="s">
        <v>1226</v>
      </c>
      <c r="H1046" t="s">
        <v>144</v>
      </c>
      <c r="I1046" t="s">
        <v>144</v>
      </c>
      <c r="J1046" t="s">
        <v>6</v>
      </c>
      <c r="L1046">
        <v>522611</v>
      </c>
      <c r="M1046" s="99" t="s">
        <v>180</v>
      </c>
      <c r="N1046">
        <v>3</v>
      </c>
      <c r="O1046">
        <v>20</v>
      </c>
      <c r="P1046">
        <v>11.7766</v>
      </c>
      <c r="Q1046" t="s">
        <v>352</v>
      </c>
      <c r="R1046">
        <v>1</v>
      </c>
      <c r="S1046">
        <v>11.8759</v>
      </c>
      <c r="T1046">
        <v>0.33450000000000002</v>
      </c>
      <c r="U1046">
        <v>-0.29686098654708371</v>
      </c>
      <c r="V1046">
        <v>10.872399999999999</v>
      </c>
      <c r="W1046">
        <v>11.206899999999999</v>
      </c>
      <c r="X1046">
        <v>11.541399999999999</v>
      </c>
      <c r="Y1046">
        <v>12.2104</v>
      </c>
      <c r="Z1046">
        <v>12.5449</v>
      </c>
      <c r="AA1046">
        <v>12.8794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 t="s">
        <v>462</v>
      </c>
      <c r="AL1046" t="s">
        <v>6</v>
      </c>
      <c r="AM1046" t="s">
        <v>1145</v>
      </c>
      <c r="AN1046" t="s">
        <v>1146</v>
      </c>
      <c r="AO1046" s="100">
        <v>46262.040405092594</v>
      </c>
      <c r="AP1046" t="s">
        <v>1147</v>
      </c>
      <c r="AQ1046" t="s">
        <v>3315</v>
      </c>
      <c r="AR1046" t="s">
        <v>1236</v>
      </c>
      <c r="AS1046" t="s">
        <v>1150</v>
      </c>
      <c r="AT1046" t="s">
        <v>3177</v>
      </c>
      <c r="AU1046">
        <v>25</v>
      </c>
      <c r="AV1046">
        <v>11.864048000000002</v>
      </c>
      <c r="AW1046">
        <v>0.3282312969030628</v>
      </c>
      <c r="AX1046">
        <v>2.7666045931629974</v>
      </c>
      <c r="AY1046">
        <v>-3.5755108740503752</v>
      </c>
      <c r="AZ1046">
        <v>8.1404084527693215</v>
      </c>
      <c r="BB1046" t="s">
        <v>4620</v>
      </c>
      <c r="BD1046" s="98"/>
      <c r="BE1046" s="98"/>
      <c r="BF1046" t="s">
        <v>1152</v>
      </c>
      <c r="BG1046" t="s">
        <v>322</v>
      </c>
      <c r="BH1046" t="s">
        <v>1153</v>
      </c>
      <c r="BI1046">
        <v>3.5755108740503752</v>
      </c>
      <c r="BN1046" t="s">
        <v>1154</v>
      </c>
      <c r="BO1046">
        <v>2025</v>
      </c>
      <c r="BP1046" t="s">
        <v>966</v>
      </c>
      <c r="BZ1046" t="s">
        <v>1513</v>
      </c>
      <c r="CA1046" t="s">
        <v>1513</v>
      </c>
      <c r="CB1046" t="b">
        <v>0</v>
      </c>
      <c r="CC1046" t="b">
        <v>0</v>
      </c>
      <c r="CD1046" t="b">
        <v>0</v>
      </c>
      <c r="CE1046" t="b">
        <v>0</v>
      </c>
      <c r="CF1046" t="b">
        <v>0</v>
      </c>
    </row>
    <row r="1047" spans="1:84" x14ac:dyDescent="0.3">
      <c r="A1047" t="s">
        <v>3316</v>
      </c>
      <c r="B1047" t="s">
        <v>1238</v>
      </c>
      <c r="C1047" s="98">
        <v>45803</v>
      </c>
      <c r="D1047">
        <v>2025</v>
      </c>
      <c r="E1047">
        <v>5</v>
      </c>
      <c r="F1047">
        <v>2</v>
      </c>
      <c r="G1047" t="s">
        <v>1226</v>
      </c>
      <c r="H1047" t="s">
        <v>144</v>
      </c>
      <c r="I1047" t="s">
        <v>144</v>
      </c>
      <c r="J1047" t="s">
        <v>6</v>
      </c>
      <c r="L1047">
        <v>522611</v>
      </c>
      <c r="M1047" s="99" t="s">
        <v>180</v>
      </c>
      <c r="N1047">
        <v>3</v>
      </c>
      <c r="O1047">
        <v>21</v>
      </c>
      <c r="P1047">
        <v>12.1707</v>
      </c>
      <c r="Q1047" t="s">
        <v>352</v>
      </c>
      <c r="R1047">
        <v>1</v>
      </c>
      <c r="S1047">
        <v>11.8759</v>
      </c>
      <c r="T1047">
        <v>0.33450000000000002</v>
      </c>
      <c r="U1047">
        <v>0.88131539611360354</v>
      </c>
      <c r="V1047">
        <v>10.872399999999999</v>
      </c>
      <c r="W1047">
        <v>11.206899999999999</v>
      </c>
      <c r="X1047">
        <v>11.541399999999999</v>
      </c>
      <c r="Y1047">
        <v>12.2104</v>
      </c>
      <c r="Z1047">
        <v>12.5449</v>
      </c>
      <c r="AA1047">
        <v>12.8794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 t="s">
        <v>462</v>
      </c>
      <c r="AL1047" t="s">
        <v>6</v>
      </c>
      <c r="AM1047" t="s">
        <v>1145</v>
      </c>
      <c r="AN1047" t="s">
        <v>1146</v>
      </c>
      <c r="AO1047" s="100">
        <v>46262.040405092594</v>
      </c>
      <c r="AP1047" t="s">
        <v>1147</v>
      </c>
      <c r="AQ1047" t="s">
        <v>3317</v>
      </c>
      <c r="AR1047" t="s">
        <v>1240</v>
      </c>
      <c r="AS1047" t="s">
        <v>1150</v>
      </c>
      <c r="AT1047" t="s">
        <v>3177</v>
      </c>
      <c r="AU1047">
        <v>25</v>
      </c>
      <c r="AV1047">
        <v>11.864048000000002</v>
      </c>
      <c r="AW1047">
        <v>0.3282312969030628</v>
      </c>
      <c r="AX1047">
        <v>2.7666045931629974</v>
      </c>
      <c r="AY1047">
        <v>-3.5755108740503752</v>
      </c>
      <c r="AZ1047">
        <v>8.1404084527693215</v>
      </c>
      <c r="BB1047" t="s">
        <v>4620</v>
      </c>
      <c r="BD1047" s="98"/>
      <c r="BE1047" s="98"/>
      <c r="BF1047" t="s">
        <v>1152</v>
      </c>
      <c r="BG1047" t="s">
        <v>322</v>
      </c>
      <c r="BH1047" t="s">
        <v>1153</v>
      </c>
      <c r="BI1047">
        <v>3.5755108740503752</v>
      </c>
      <c r="BN1047" t="s">
        <v>1154</v>
      </c>
      <c r="BO1047">
        <v>2025</v>
      </c>
      <c r="BP1047" t="s">
        <v>966</v>
      </c>
      <c r="BZ1047" t="s">
        <v>1513</v>
      </c>
      <c r="CA1047" t="s">
        <v>1513</v>
      </c>
      <c r="CB1047" t="b">
        <v>0</v>
      </c>
      <c r="CC1047" t="b">
        <v>0</v>
      </c>
      <c r="CD1047" t="b">
        <v>0</v>
      </c>
      <c r="CE1047" t="b">
        <v>0</v>
      </c>
      <c r="CF1047" t="b">
        <v>0</v>
      </c>
    </row>
    <row r="1048" spans="1:84" x14ac:dyDescent="0.3">
      <c r="A1048" t="s">
        <v>3318</v>
      </c>
      <c r="B1048" t="s">
        <v>1242</v>
      </c>
      <c r="C1048" s="98">
        <v>45810</v>
      </c>
      <c r="D1048">
        <v>2025</v>
      </c>
      <c r="E1048">
        <v>6</v>
      </c>
      <c r="F1048">
        <v>2</v>
      </c>
      <c r="G1048" t="s">
        <v>1243</v>
      </c>
      <c r="H1048" t="s">
        <v>144</v>
      </c>
      <c r="I1048" t="s">
        <v>144</v>
      </c>
      <c r="J1048" t="s">
        <v>6</v>
      </c>
      <c r="L1048">
        <v>522611</v>
      </c>
      <c r="M1048" s="99" t="s">
        <v>180</v>
      </c>
      <c r="N1048">
        <v>3</v>
      </c>
      <c r="O1048">
        <v>22</v>
      </c>
      <c r="P1048">
        <v>11.758599999999999</v>
      </c>
      <c r="Q1048" t="s">
        <v>352</v>
      </c>
      <c r="R1048">
        <v>1</v>
      </c>
      <c r="S1048">
        <v>11.8759</v>
      </c>
      <c r="T1048">
        <v>0.33450000000000002</v>
      </c>
      <c r="U1048">
        <v>-0.35067264573991086</v>
      </c>
      <c r="V1048">
        <v>10.872399999999999</v>
      </c>
      <c r="W1048">
        <v>11.206899999999999</v>
      </c>
      <c r="X1048">
        <v>11.541399999999999</v>
      </c>
      <c r="Y1048">
        <v>12.2104</v>
      </c>
      <c r="Z1048">
        <v>12.5449</v>
      </c>
      <c r="AA1048">
        <v>12.8794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 t="s">
        <v>462</v>
      </c>
      <c r="AL1048" t="s">
        <v>6</v>
      </c>
      <c r="AM1048" t="s">
        <v>1145</v>
      </c>
      <c r="AN1048" t="s">
        <v>1146</v>
      </c>
      <c r="AO1048" s="100">
        <v>46262.040405092594</v>
      </c>
      <c r="AP1048" t="s">
        <v>1147</v>
      </c>
      <c r="AQ1048" t="s">
        <v>3319</v>
      </c>
      <c r="AR1048" t="s">
        <v>1245</v>
      </c>
      <c r="AS1048" t="s">
        <v>1150</v>
      </c>
      <c r="AT1048" t="s">
        <v>3177</v>
      </c>
      <c r="AU1048">
        <v>25</v>
      </c>
      <c r="AV1048">
        <v>11.864048000000002</v>
      </c>
      <c r="AW1048">
        <v>0.3282312969030628</v>
      </c>
      <c r="AX1048">
        <v>2.7666045931629974</v>
      </c>
      <c r="AY1048">
        <v>-3.5755108740503752</v>
      </c>
      <c r="AZ1048">
        <v>8.1404084527693215</v>
      </c>
      <c r="BB1048" t="s">
        <v>4620</v>
      </c>
      <c r="BD1048" s="98"/>
      <c r="BE1048" s="98"/>
      <c r="BF1048" t="s">
        <v>1152</v>
      </c>
      <c r="BG1048" t="s">
        <v>322</v>
      </c>
      <c r="BH1048" t="s">
        <v>1153</v>
      </c>
      <c r="BI1048">
        <v>3.5755108740503752</v>
      </c>
      <c r="BN1048" t="s">
        <v>1154</v>
      </c>
      <c r="BO1048">
        <v>2025</v>
      </c>
      <c r="BP1048" t="s">
        <v>966</v>
      </c>
      <c r="BZ1048" t="s">
        <v>1513</v>
      </c>
      <c r="CA1048" t="s">
        <v>1513</v>
      </c>
      <c r="CB1048" t="b">
        <v>0</v>
      </c>
      <c r="CC1048" t="b">
        <v>0</v>
      </c>
      <c r="CD1048" t="b">
        <v>0</v>
      </c>
      <c r="CE1048" t="b">
        <v>0</v>
      </c>
      <c r="CF1048" t="b">
        <v>0</v>
      </c>
    </row>
    <row r="1049" spans="1:84" x14ac:dyDescent="0.3">
      <c r="A1049" t="s">
        <v>3320</v>
      </c>
      <c r="B1049" t="s">
        <v>1247</v>
      </c>
      <c r="C1049" s="98">
        <v>45817</v>
      </c>
      <c r="D1049">
        <v>2025</v>
      </c>
      <c r="E1049">
        <v>6</v>
      </c>
      <c r="F1049">
        <v>2</v>
      </c>
      <c r="G1049" t="s">
        <v>1243</v>
      </c>
      <c r="H1049" t="s">
        <v>144</v>
      </c>
      <c r="I1049" t="s">
        <v>144</v>
      </c>
      <c r="J1049" t="s">
        <v>6</v>
      </c>
      <c r="L1049">
        <v>522611</v>
      </c>
      <c r="M1049" s="99" t="s">
        <v>180</v>
      </c>
      <c r="N1049">
        <v>3</v>
      </c>
      <c r="O1049">
        <v>23</v>
      </c>
      <c r="P1049">
        <v>11.610900000000001</v>
      </c>
      <c r="Q1049" t="s">
        <v>352</v>
      </c>
      <c r="R1049">
        <v>1</v>
      </c>
      <c r="S1049">
        <v>11.8759</v>
      </c>
      <c r="T1049">
        <v>0.33450000000000002</v>
      </c>
      <c r="U1049">
        <v>-0.79222720478325492</v>
      </c>
      <c r="V1049">
        <v>10.872399999999999</v>
      </c>
      <c r="W1049">
        <v>11.206899999999999</v>
      </c>
      <c r="X1049">
        <v>11.541399999999999</v>
      </c>
      <c r="Y1049">
        <v>12.2104</v>
      </c>
      <c r="Z1049">
        <v>12.5449</v>
      </c>
      <c r="AA1049">
        <v>12.8794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 t="s">
        <v>462</v>
      </c>
      <c r="AL1049" t="s">
        <v>6</v>
      </c>
      <c r="AM1049" t="s">
        <v>1145</v>
      </c>
      <c r="AN1049" t="s">
        <v>1146</v>
      </c>
      <c r="AO1049" s="100">
        <v>46262.040405092594</v>
      </c>
      <c r="AP1049" t="s">
        <v>1147</v>
      </c>
      <c r="AQ1049" t="s">
        <v>3321</v>
      </c>
      <c r="AR1049" t="s">
        <v>1249</v>
      </c>
      <c r="AS1049" t="s">
        <v>1150</v>
      </c>
      <c r="AT1049" t="s">
        <v>3177</v>
      </c>
      <c r="AU1049">
        <v>25</v>
      </c>
      <c r="AV1049">
        <v>11.864048000000002</v>
      </c>
      <c r="AW1049">
        <v>0.3282312969030628</v>
      </c>
      <c r="AX1049">
        <v>2.7666045931629974</v>
      </c>
      <c r="AY1049">
        <v>-3.5755108740503752</v>
      </c>
      <c r="AZ1049">
        <v>8.1404084527693215</v>
      </c>
      <c r="BB1049" t="s">
        <v>4620</v>
      </c>
      <c r="BD1049" s="98"/>
      <c r="BE1049" s="98"/>
      <c r="BF1049" t="s">
        <v>1152</v>
      </c>
      <c r="BG1049" t="s">
        <v>322</v>
      </c>
      <c r="BH1049" t="s">
        <v>1153</v>
      </c>
      <c r="BI1049">
        <v>3.5755108740503752</v>
      </c>
      <c r="BN1049" t="s">
        <v>1154</v>
      </c>
      <c r="BO1049">
        <v>2025</v>
      </c>
      <c r="BP1049" t="s">
        <v>966</v>
      </c>
      <c r="BZ1049" t="s">
        <v>1513</v>
      </c>
      <c r="CA1049" t="s">
        <v>1513</v>
      </c>
      <c r="CB1049" t="b">
        <v>0</v>
      </c>
      <c r="CC1049" t="b">
        <v>0</v>
      </c>
      <c r="CD1049" t="b">
        <v>0</v>
      </c>
      <c r="CE1049" t="b">
        <v>0</v>
      </c>
      <c r="CF1049" t="b">
        <v>0</v>
      </c>
    </row>
    <row r="1050" spans="1:84" x14ac:dyDescent="0.3">
      <c r="A1050" t="s">
        <v>3322</v>
      </c>
      <c r="B1050" t="s">
        <v>1251</v>
      </c>
      <c r="C1050" s="98">
        <v>45824</v>
      </c>
      <c r="D1050">
        <v>2025</v>
      </c>
      <c r="E1050">
        <v>6</v>
      </c>
      <c r="F1050">
        <v>2</v>
      </c>
      <c r="G1050" t="s">
        <v>1243</v>
      </c>
      <c r="H1050" t="s">
        <v>144</v>
      </c>
      <c r="I1050" t="s">
        <v>144</v>
      </c>
      <c r="J1050" t="s">
        <v>6</v>
      </c>
      <c r="L1050">
        <v>522611</v>
      </c>
      <c r="M1050" s="99" t="s">
        <v>180</v>
      </c>
      <c r="N1050">
        <v>3</v>
      </c>
      <c r="O1050">
        <v>24</v>
      </c>
      <c r="P1050">
        <v>11.786899999999999</v>
      </c>
      <c r="Q1050" t="s">
        <v>352</v>
      </c>
      <c r="R1050">
        <v>1</v>
      </c>
      <c r="S1050">
        <v>11.8759</v>
      </c>
      <c r="T1050">
        <v>0.33450000000000002</v>
      </c>
      <c r="U1050">
        <v>-0.26606875934230317</v>
      </c>
      <c r="V1050">
        <v>10.872399999999999</v>
      </c>
      <c r="W1050">
        <v>11.206899999999999</v>
      </c>
      <c r="X1050">
        <v>11.541399999999999</v>
      </c>
      <c r="Y1050">
        <v>12.2104</v>
      </c>
      <c r="Z1050">
        <v>12.5449</v>
      </c>
      <c r="AA1050">
        <v>12.8794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 t="s">
        <v>462</v>
      </c>
      <c r="AL1050" t="s">
        <v>6</v>
      </c>
      <c r="AM1050" t="s">
        <v>1145</v>
      </c>
      <c r="AN1050" t="s">
        <v>1146</v>
      </c>
      <c r="AO1050" s="100">
        <v>46262.040405092594</v>
      </c>
      <c r="AP1050" t="s">
        <v>1147</v>
      </c>
      <c r="AQ1050" t="s">
        <v>3323</v>
      </c>
      <c r="AR1050" t="s">
        <v>1253</v>
      </c>
      <c r="AS1050" t="s">
        <v>1150</v>
      </c>
      <c r="AT1050" t="s">
        <v>3177</v>
      </c>
      <c r="AU1050">
        <v>25</v>
      </c>
      <c r="AV1050">
        <v>11.864048000000002</v>
      </c>
      <c r="AW1050">
        <v>0.3282312969030628</v>
      </c>
      <c r="AX1050">
        <v>2.7666045931629974</v>
      </c>
      <c r="AY1050">
        <v>-3.5755108740503752</v>
      </c>
      <c r="AZ1050">
        <v>8.1404084527693215</v>
      </c>
      <c r="BB1050" t="s">
        <v>4620</v>
      </c>
      <c r="BD1050" s="98"/>
      <c r="BE1050" s="98"/>
      <c r="BF1050" t="s">
        <v>1152</v>
      </c>
      <c r="BG1050" t="s">
        <v>322</v>
      </c>
      <c r="BH1050" t="s">
        <v>1153</v>
      </c>
      <c r="BI1050">
        <v>3.5755108740503752</v>
      </c>
      <c r="BN1050" t="s">
        <v>1154</v>
      </c>
      <c r="BO1050">
        <v>2025</v>
      </c>
      <c r="BP1050" t="s">
        <v>966</v>
      </c>
      <c r="BZ1050" t="s">
        <v>1513</v>
      </c>
      <c r="CA1050" t="s">
        <v>1513</v>
      </c>
      <c r="CB1050" t="b">
        <v>0</v>
      </c>
      <c r="CC1050" t="b">
        <v>0</v>
      </c>
      <c r="CD1050" t="b">
        <v>0</v>
      </c>
      <c r="CE1050" t="b">
        <v>0</v>
      </c>
      <c r="CF1050" t="b">
        <v>0</v>
      </c>
    </row>
    <row r="1051" spans="1:84" x14ac:dyDescent="0.3">
      <c r="A1051" t="s">
        <v>3324</v>
      </c>
      <c r="B1051" t="s">
        <v>1255</v>
      </c>
      <c r="C1051" s="98">
        <v>45831</v>
      </c>
      <c r="D1051">
        <v>2025</v>
      </c>
      <c r="E1051">
        <v>6</v>
      </c>
      <c r="F1051">
        <v>2</v>
      </c>
      <c r="G1051" t="s">
        <v>1243</v>
      </c>
      <c r="H1051" t="s">
        <v>144</v>
      </c>
      <c r="I1051" t="s">
        <v>144</v>
      </c>
      <c r="J1051" t="s">
        <v>6</v>
      </c>
      <c r="L1051">
        <v>522611</v>
      </c>
      <c r="M1051" s="99" t="s">
        <v>180</v>
      </c>
      <c r="N1051">
        <v>3</v>
      </c>
      <c r="O1051">
        <v>25</v>
      </c>
      <c r="P1051">
        <v>11.414300000000001</v>
      </c>
      <c r="Q1051" t="s">
        <v>352</v>
      </c>
      <c r="R1051">
        <v>1</v>
      </c>
      <c r="S1051">
        <v>11.8759</v>
      </c>
      <c r="T1051">
        <v>0.33450000000000002</v>
      </c>
      <c r="U1051">
        <v>-1.3799701046337784</v>
      </c>
      <c r="V1051">
        <v>10.872399999999999</v>
      </c>
      <c r="W1051">
        <v>11.206899999999999</v>
      </c>
      <c r="X1051">
        <v>11.541399999999999</v>
      </c>
      <c r="Y1051">
        <v>12.2104</v>
      </c>
      <c r="Z1051">
        <v>12.5449</v>
      </c>
      <c r="AA1051">
        <v>12.8794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 t="s">
        <v>462</v>
      </c>
      <c r="AL1051" t="s">
        <v>6</v>
      </c>
      <c r="AM1051" t="s">
        <v>1145</v>
      </c>
      <c r="AN1051" t="s">
        <v>1146</v>
      </c>
      <c r="AO1051" s="100">
        <v>46262.040405092594</v>
      </c>
      <c r="AP1051" t="s">
        <v>1147</v>
      </c>
      <c r="AQ1051" t="s">
        <v>3325</v>
      </c>
      <c r="AR1051" t="s">
        <v>1257</v>
      </c>
      <c r="AS1051" t="s">
        <v>1150</v>
      </c>
      <c r="AT1051" t="s">
        <v>3177</v>
      </c>
      <c r="AU1051">
        <v>25</v>
      </c>
      <c r="AV1051">
        <v>11.864048000000002</v>
      </c>
      <c r="AW1051">
        <v>0.3282312969030628</v>
      </c>
      <c r="AX1051">
        <v>2.7666045931629974</v>
      </c>
      <c r="AY1051">
        <v>-3.5755108740503752</v>
      </c>
      <c r="AZ1051">
        <v>8.1404084527693215</v>
      </c>
      <c r="BB1051" t="s">
        <v>4620</v>
      </c>
      <c r="BD1051" s="98"/>
      <c r="BE1051" s="98"/>
      <c r="BF1051" t="s">
        <v>1152</v>
      </c>
      <c r="BG1051" t="s">
        <v>322</v>
      </c>
      <c r="BH1051" t="s">
        <v>1153</v>
      </c>
      <c r="BI1051">
        <v>3.5755108740503752</v>
      </c>
      <c r="BN1051" t="s">
        <v>1154</v>
      </c>
      <c r="BO1051">
        <v>2025</v>
      </c>
      <c r="BP1051" t="s">
        <v>966</v>
      </c>
      <c r="BZ1051" t="s">
        <v>1513</v>
      </c>
      <c r="CA1051" t="s">
        <v>1513</v>
      </c>
      <c r="CB1051" t="b">
        <v>0</v>
      </c>
      <c r="CC1051" t="b">
        <v>0</v>
      </c>
      <c r="CD1051" t="b">
        <v>0</v>
      </c>
      <c r="CE1051" t="b">
        <v>0</v>
      </c>
      <c r="CF1051" t="b">
        <v>0</v>
      </c>
    </row>
    <row r="1052" spans="1:84" x14ac:dyDescent="0.3">
      <c r="A1052" t="s">
        <v>3326</v>
      </c>
      <c r="B1052" t="s">
        <v>1143</v>
      </c>
      <c r="C1052" s="98">
        <v>45663</v>
      </c>
      <c r="D1052">
        <v>2025</v>
      </c>
      <c r="E1052">
        <v>1</v>
      </c>
      <c r="F1052">
        <v>1</v>
      </c>
      <c r="G1052" t="s">
        <v>1144</v>
      </c>
      <c r="H1052" t="s">
        <v>145</v>
      </c>
      <c r="I1052" t="s">
        <v>145</v>
      </c>
      <c r="J1052" t="s">
        <v>6</v>
      </c>
      <c r="L1052">
        <v>522611</v>
      </c>
      <c r="M1052" s="99" t="s">
        <v>178</v>
      </c>
      <c r="N1052">
        <v>1</v>
      </c>
      <c r="O1052">
        <v>1</v>
      </c>
      <c r="P1052">
        <v>5.2445000000000004</v>
      </c>
      <c r="Q1052" t="s">
        <v>352</v>
      </c>
      <c r="R1052">
        <v>1</v>
      </c>
      <c r="S1052">
        <v>5.1761999999999997</v>
      </c>
      <c r="T1052">
        <v>0.57410000000000005</v>
      </c>
      <c r="U1052">
        <v>0.11896882076293448</v>
      </c>
      <c r="V1052">
        <v>3.4538999999999995</v>
      </c>
      <c r="W1052">
        <v>4.0279999999999996</v>
      </c>
      <c r="X1052">
        <v>4.6021000000000001</v>
      </c>
      <c r="Y1052">
        <v>5.7502999999999993</v>
      </c>
      <c r="Z1052">
        <v>6.3243999999999998</v>
      </c>
      <c r="AA1052">
        <v>6.8985000000000003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 t="s">
        <v>462</v>
      </c>
      <c r="AL1052" t="s">
        <v>6</v>
      </c>
      <c r="AM1052" t="s">
        <v>1145</v>
      </c>
      <c r="AN1052" t="s">
        <v>1146</v>
      </c>
      <c r="AO1052" s="100">
        <v>46262.040405092594</v>
      </c>
      <c r="AP1052" t="s">
        <v>1147</v>
      </c>
      <c r="AQ1052" t="s">
        <v>3327</v>
      </c>
      <c r="AR1052" t="s">
        <v>1149</v>
      </c>
      <c r="AS1052" t="s">
        <v>1150</v>
      </c>
      <c r="AT1052" t="s">
        <v>3328</v>
      </c>
      <c r="AU1052">
        <v>25</v>
      </c>
      <c r="AV1052">
        <v>5.1844959999999993</v>
      </c>
      <c r="AW1052">
        <v>0.66721256138255269</v>
      </c>
      <c r="AX1052">
        <v>12.869381351293409</v>
      </c>
      <c r="AY1052">
        <v>-23.146461788126032</v>
      </c>
      <c r="AZ1052">
        <v>44.380941017760158</v>
      </c>
      <c r="BB1052" t="s">
        <v>4620</v>
      </c>
      <c r="BD1052" s="98"/>
      <c r="BE1052" s="98"/>
      <c r="BF1052" t="s">
        <v>1152</v>
      </c>
      <c r="BG1052" t="s">
        <v>322</v>
      </c>
      <c r="BH1052" t="s">
        <v>1153</v>
      </c>
      <c r="BI1052">
        <v>23.146461788126032</v>
      </c>
      <c r="BN1052" t="s">
        <v>1154</v>
      </c>
      <c r="BO1052">
        <v>2025</v>
      </c>
      <c r="BP1052" t="s">
        <v>966</v>
      </c>
      <c r="BZ1052" t="s">
        <v>1513</v>
      </c>
      <c r="CA1052" t="s">
        <v>1513</v>
      </c>
      <c r="CB1052" t="b">
        <v>0</v>
      </c>
      <c r="CC1052" t="b">
        <v>0</v>
      </c>
      <c r="CD1052" t="b">
        <v>0</v>
      </c>
      <c r="CE1052" t="b">
        <v>0</v>
      </c>
      <c r="CF1052" t="b">
        <v>0</v>
      </c>
    </row>
    <row r="1053" spans="1:84" x14ac:dyDescent="0.3">
      <c r="A1053" t="s">
        <v>3329</v>
      </c>
      <c r="B1053" t="s">
        <v>1157</v>
      </c>
      <c r="C1053" s="98">
        <v>45670</v>
      </c>
      <c r="D1053">
        <v>2025</v>
      </c>
      <c r="E1053">
        <v>1</v>
      </c>
      <c r="F1053">
        <v>1</v>
      </c>
      <c r="G1053" t="s">
        <v>1144</v>
      </c>
      <c r="H1053" t="s">
        <v>145</v>
      </c>
      <c r="I1053" t="s">
        <v>145</v>
      </c>
      <c r="J1053" t="s">
        <v>6</v>
      </c>
      <c r="L1053">
        <v>522611</v>
      </c>
      <c r="M1053" s="99" t="s">
        <v>178</v>
      </c>
      <c r="N1053">
        <v>1</v>
      </c>
      <c r="O1053">
        <v>2</v>
      </c>
      <c r="P1053">
        <v>6.5773000000000001</v>
      </c>
      <c r="Q1053" t="s">
        <v>352</v>
      </c>
      <c r="R1053">
        <v>1</v>
      </c>
      <c r="S1053">
        <v>5.1761999999999997</v>
      </c>
      <c r="T1053">
        <v>0.57410000000000005</v>
      </c>
      <c r="U1053">
        <v>2.440515589618534</v>
      </c>
      <c r="V1053">
        <v>3.4538999999999995</v>
      </c>
      <c r="W1053">
        <v>4.0279999999999996</v>
      </c>
      <c r="X1053">
        <v>4.6021000000000001</v>
      </c>
      <c r="Y1053">
        <v>5.7502999999999993</v>
      </c>
      <c r="Z1053">
        <v>6.3243999999999998</v>
      </c>
      <c r="AA1053">
        <v>6.8985000000000003</v>
      </c>
      <c r="AE1053">
        <v>0</v>
      </c>
      <c r="AF1053">
        <v>1</v>
      </c>
      <c r="AG1053">
        <v>0</v>
      </c>
      <c r="AH1053">
        <v>0</v>
      </c>
      <c r="AI1053">
        <v>0</v>
      </c>
      <c r="AJ1053">
        <v>1</v>
      </c>
      <c r="AK1053" t="s">
        <v>1213</v>
      </c>
      <c r="AL1053" t="s">
        <v>6</v>
      </c>
      <c r="AM1053" t="s">
        <v>1145</v>
      </c>
      <c r="AN1053" t="s">
        <v>1146</v>
      </c>
      <c r="AO1053" s="100">
        <v>46262.040405092594</v>
      </c>
      <c r="AP1053" t="s">
        <v>1147</v>
      </c>
      <c r="AQ1053" t="s">
        <v>3330</v>
      </c>
      <c r="AR1053" t="s">
        <v>1159</v>
      </c>
      <c r="AS1053" t="s">
        <v>1150</v>
      </c>
      <c r="AT1053" t="s">
        <v>3328</v>
      </c>
      <c r="AU1053">
        <v>25</v>
      </c>
      <c r="AV1053">
        <v>5.1844959999999993</v>
      </c>
      <c r="AW1053">
        <v>0.66721256138255269</v>
      </c>
      <c r="AX1053">
        <v>12.869381351293409</v>
      </c>
      <c r="AY1053">
        <v>-23.146461788126032</v>
      </c>
      <c r="AZ1053">
        <v>44.380941017760158</v>
      </c>
      <c r="BB1053" t="s">
        <v>4620</v>
      </c>
      <c r="BD1053" s="98"/>
      <c r="BE1053" s="98"/>
      <c r="BF1053" t="s">
        <v>1152</v>
      </c>
      <c r="BG1053" t="s">
        <v>322</v>
      </c>
      <c r="BH1053" t="s">
        <v>1153</v>
      </c>
      <c r="BI1053">
        <v>23.146461788126032</v>
      </c>
      <c r="BN1053" t="s">
        <v>1154</v>
      </c>
      <c r="BO1053">
        <v>2025</v>
      </c>
      <c r="BP1053" t="s">
        <v>966</v>
      </c>
      <c r="BZ1053" t="s">
        <v>1513</v>
      </c>
      <c r="CA1053" t="s">
        <v>1513</v>
      </c>
      <c r="CB1053" t="b">
        <v>0</v>
      </c>
      <c r="CC1053" t="b">
        <v>0</v>
      </c>
      <c r="CD1053" t="b">
        <v>0</v>
      </c>
      <c r="CE1053" t="b">
        <v>0</v>
      </c>
      <c r="CF1053" t="b">
        <v>0</v>
      </c>
    </row>
    <row r="1054" spans="1:84" x14ac:dyDescent="0.3">
      <c r="A1054" t="s">
        <v>3331</v>
      </c>
      <c r="B1054" t="s">
        <v>1161</v>
      </c>
      <c r="C1054" s="98">
        <v>45677</v>
      </c>
      <c r="D1054">
        <v>2025</v>
      </c>
      <c r="E1054">
        <v>1</v>
      </c>
      <c r="F1054">
        <v>1</v>
      </c>
      <c r="G1054" t="s">
        <v>1144</v>
      </c>
      <c r="H1054" t="s">
        <v>145</v>
      </c>
      <c r="I1054" t="s">
        <v>145</v>
      </c>
      <c r="J1054" t="s">
        <v>6</v>
      </c>
      <c r="L1054">
        <v>522611</v>
      </c>
      <c r="M1054" s="99" t="s">
        <v>178</v>
      </c>
      <c r="N1054">
        <v>1</v>
      </c>
      <c r="O1054">
        <v>3</v>
      </c>
      <c r="P1054">
        <v>5.8335999999999997</v>
      </c>
      <c r="Q1054" t="s">
        <v>352</v>
      </c>
      <c r="R1054">
        <v>1</v>
      </c>
      <c r="S1054">
        <v>5.1761999999999997</v>
      </c>
      <c r="T1054">
        <v>0.57410000000000005</v>
      </c>
      <c r="U1054">
        <v>1.1450966730534748</v>
      </c>
      <c r="V1054">
        <v>3.4538999999999995</v>
      </c>
      <c r="W1054">
        <v>4.0279999999999996</v>
      </c>
      <c r="X1054">
        <v>4.6021000000000001</v>
      </c>
      <c r="Y1054">
        <v>5.7502999999999993</v>
      </c>
      <c r="Z1054">
        <v>6.3243999999999998</v>
      </c>
      <c r="AA1054">
        <v>6.8985000000000003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 t="s">
        <v>462</v>
      </c>
      <c r="AL1054" t="s">
        <v>6</v>
      </c>
      <c r="AM1054" t="s">
        <v>1145</v>
      </c>
      <c r="AN1054" t="s">
        <v>1146</v>
      </c>
      <c r="AO1054" s="100">
        <v>46262.040405092594</v>
      </c>
      <c r="AP1054" t="s">
        <v>1147</v>
      </c>
      <c r="AQ1054" t="s">
        <v>3332</v>
      </c>
      <c r="AR1054" t="s">
        <v>1163</v>
      </c>
      <c r="AS1054" t="s">
        <v>1150</v>
      </c>
      <c r="AT1054" t="s">
        <v>3328</v>
      </c>
      <c r="AU1054">
        <v>25</v>
      </c>
      <c r="AV1054">
        <v>5.1844959999999993</v>
      </c>
      <c r="AW1054">
        <v>0.66721256138255269</v>
      </c>
      <c r="AX1054">
        <v>12.869381351293409</v>
      </c>
      <c r="AY1054">
        <v>-23.146461788126032</v>
      </c>
      <c r="AZ1054">
        <v>44.380941017760158</v>
      </c>
      <c r="BB1054" t="s">
        <v>4620</v>
      </c>
      <c r="BD1054" s="98"/>
      <c r="BE1054" s="98"/>
      <c r="BF1054" t="s">
        <v>1152</v>
      </c>
      <c r="BG1054" t="s">
        <v>322</v>
      </c>
      <c r="BH1054" t="s">
        <v>1153</v>
      </c>
      <c r="BI1054">
        <v>23.146461788126032</v>
      </c>
      <c r="BN1054" t="s">
        <v>1154</v>
      </c>
      <c r="BO1054">
        <v>2025</v>
      </c>
      <c r="BP1054" t="s">
        <v>966</v>
      </c>
      <c r="BZ1054" t="s">
        <v>1513</v>
      </c>
      <c r="CA1054" t="s">
        <v>1513</v>
      </c>
      <c r="CB1054" t="b">
        <v>0</v>
      </c>
      <c r="CC1054" t="b">
        <v>0</v>
      </c>
      <c r="CD1054" t="b">
        <v>0</v>
      </c>
      <c r="CE1054" t="b">
        <v>0</v>
      </c>
      <c r="CF1054" t="b">
        <v>0</v>
      </c>
    </row>
    <row r="1055" spans="1:84" x14ac:dyDescent="0.3">
      <c r="A1055" t="s">
        <v>3333</v>
      </c>
      <c r="B1055" t="s">
        <v>1165</v>
      </c>
      <c r="C1055" s="98">
        <v>45684</v>
      </c>
      <c r="D1055">
        <v>2025</v>
      </c>
      <c r="E1055">
        <v>1</v>
      </c>
      <c r="F1055">
        <v>1</v>
      </c>
      <c r="G1055" t="s">
        <v>1144</v>
      </c>
      <c r="H1055" t="s">
        <v>145</v>
      </c>
      <c r="I1055" t="s">
        <v>145</v>
      </c>
      <c r="J1055" t="s">
        <v>6</v>
      </c>
      <c r="L1055">
        <v>522611</v>
      </c>
      <c r="M1055" s="99" t="s">
        <v>178</v>
      </c>
      <c r="N1055">
        <v>1</v>
      </c>
      <c r="O1055">
        <v>4</v>
      </c>
      <c r="P1055">
        <v>4.5395000000000003</v>
      </c>
      <c r="Q1055" t="s">
        <v>352</v>
      </c>
      <c r="R1055">
        <v>1</v>
      </c>
      <c r="S1055">
        <v>5.1761999999999997</v>
      </c>
      <c r="T1055">
        <v>0.57410000000000005</v>
      </c>
      <c r="U1055">
        <v>-1.1090402368925263</v>
      </c>
      <c r="V1055">
        <v>3.4538999999999995</v>
      </c>
      <c r="W1055">
        <v>4.0279999999999996</v>
      </c>
      <c r="X1055">
        <v>4.6021000000000001</v>
      </c>
      <c r="Y1055">
        <v>5.7502999999999993</v>
      </c>
      <c r="Z1055">
        <v>6.3243999999999998</v>
      </c>
      <c r="AA1055">
        <v>6.8985000000000003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 t="s">
        <v>462</v>
      </c>
      <c r="AL1055" t="s">
        <v>6</v>
      </c>
      <c r="AM1055" t="s">
        <v>1145</v>
      </c>
      <c r="AN1055" t="s">
        <v>1146</v>
      </c>
      <c r="AO1055" s="100">
        <v>46262.040405092594</v>
      </c>
      <c r="AP1055" t="s">
        <v>1147</v>
      </c>
      <c r="AQ1055" t="s">
        <v>3334</v>
      </c>
      <c r="AR1055" t="s">
        <v>1167</v>
      </c>
      <c r="AS1055" t="s">
        <v>1150</v>
      </c>
      <c r="AT1055" t="s">
        <v>3328</v>
      </c>
      <c r="AU1055">
        <v>25</v>
      </c>
      <c r="AV1055">
        <v>5.1844959999999993</v>
      </c>
      <c r="AW1055">
        <v>0.66721256138255269</v>
      </c>
      <c r="AX1055">
        <v>12.869381351293409</v>
      </c>
      <c r="AY1055">
        <v>-23.146461788126032</v>
      </c>
      <c r="AZ1055">
        <v>44.380941017760158</v>
      </c>
      <c r="BB1055" t="s">
        <v>4620</v>
      </c>
      <c r="BD1055" s="98"/>
      <c r="BE1055" s="98"/>
      <c r="BF1055" t="s">
        <v>1152</v>
      </c>
      <c r="BG1055" t="s">
        <v>322</v>
      </c>
      <c r="BH1055" t="s">
        <v>1153</v>
      </c>
      <c r="BI1055">
        <v>23.146461788126032</v>
      </c>
      <c r="BN1055" t="s">
        <v>1154</v>
      </c>
      <c r="BO1055">
        <v>2025</v>
      </c>
      <c r="BP1055" t="s">
        <v>966</v>
      </c>
      <c r="BZ1055" t="s">
        <v>1513</v>
      </c>
      <c r="CA1055" t="s">
        <v>1513</v>
      </c>
      <c r="CB1055" t="b">
        <v>0</v>
      </c>
      <c r="CC1055" t="b">
        <v>0</v>
      </c>
      <c r="CD1055" t="b">
        <v>0</v>
      </c>
      <c r="CE1055" t="b">
        <v>0</v>
      </c>
      <c r="CF1055" t="b">
        <v>0</v>
      </c>
    </row>
    <row r="1056" spans="1:84" x14ac:dyDescent="0.3">
      <c r="A1056" t="s">
        <v>3335</v>
      </c>
      <c r="B1056" t="s">
        <v>1169</v>
      </c>
      <c r="C1056" s="98">
        <v>45691</v>
      </c>
      <c r="D1056">
        <v>2025</v>
      </c>
      <c r="E1056">
        <v>2</v>
      </c>
      <c r="F1056">
        <v>1</v>
      </c>
      <c r="G1056" t="s">
        <v>1170</v>
      </c>
      <c r="H1056" t="s">
        <v>145</v>
      </c>
      <c r="I1056" t="s">
        <v>145</v>
      </c>
      <c r="J1056" t="s">
        <v>6</v>
      </c>
      <c r="L1056">
        <v>522611</v>
      </c>
      <c r="M1056" s="99" t="s">
        <v>178</v>
      </c>
      <c r="N1056">
        <v>1</v>
      </c>
      <c r="O1056">
        <v>5</v>
      </c>
      <c r="P1056">
        <v>4.6748000000000003</v>
      </c>
      <c r="Q1056" t="s">
        <v>352</v>
      </c>
      <c r="R1056">
        <v>1</v>
      </c>
      <c r="S1056">
        <v>5.1761999999999997</v>
      </c>
      <c r="T1056">
        <v>0.57410000000000005</v>
      </c>
      <c r="U1056">
        <v>-0.87336700923183996</v>
      </c>
      <c r="V1056">
        <v>3.4538999999999995</v>
      </c>
      <c r="W1056">
        <v>4.0279999999999996</v>
      </c>
      <c r="X1056">
        <v>4.6021000000000001</v>
      </c>
      <c r="Y1056">
        <v>5.7502999999999993</v>
      </c>
      <c r="Z1056">
        <v>6.3243999999999998</v>
      </c>
      <c r="AA1056">
        <v>6.8985000000000003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 t="s">
        <v>462</v>
      </c>
      <c r="AL1056" t="s">
        <v>6</v>
      </c>
      <c r="AM1056" t="s">
        <v>1145</v>
      </c>
      <c r="AN1056" t="s">
        <v>1146</v>
      </c>
      <c r="AO1056" s="100">
        <v>46262.040405092594</v>
      </c>
      <c r="AP1056" t="s">
        <v>1147</v>
      </c>
      <c r="AQ1056" t="s">
        <v>3336</v>
      </c>
      <c r="AR1056" t="s">
        <v>1172</v>
      </c>
      <c r="AS1056" t="s">
        <v>1150</v>
      </c>
      <c r="AT1056" t="s">
        <v>3328</v>
      </c>
      <c r="AU1056">
        <v>25</v>
      </c>
      <c r="AV1056">
        <v>5.1844959999999993</v>
      </c>
      <c r="AW1056">
        <v>0.66721256138255269</v>
      </c>
      <c r="AX1056">
        <v>12.869381351293409</v>
      </c>
      <c r="AY1056">
        <v>-23.146461788126032</v>
      </c>
      <c r="AZ1056">
        <v>44.380941017760158</v>
      </c>
      <c r="BB1056" t="s">
        <v>4620</v>
      </c>
      <c r="BD1056" s="98"/>
      <c r="BE1056" s="98"/>
      <c r="BF1056" t="s">
        <v>1152</v>
      </c>
      <c r="BG1056" t="s">
        <v>322</v>
      </c>
      <c r="BH1056" t="s">
        <v>1153</v>
      </c>
      <c r="BI1056">
        <v>23.146461788126032</v>
      </c>
      <c r="BN1056" t="s">
        <v>1154</v>
      </c>
      <c r="BO1056">
        <v>2025</v>
      </c>
      <c r="BP1056" t="s">
        <v>966</v>
      </c>
      <c r="BZ1056" t="s">
        <v>1513</v>
      </c>
      <c r="CA1056" t="s">
        <v>1513</v>
      </c>
      <c r="CB1056" t="b">
        <v>0</v>
      </c>
      <c r="CC1056" t="b">
        <v>0</v>
      </c>
      <c r="CD1056" t="b">
        <v>0</v>
      </c>
      <c r="CE1056" t="b">
        <v>0</v>
      </c>
      <c r="CF1056" t="b">
        <v>0</v>
      </c>
    </row>
    <row r="1057" spans="1:84" x14ac:dyDescent="0.3">
      <c r="A1057" t="s">
        <v>3337</v>
      </c>
      <c r="B1057" t="s">
        <v>1174</v>
      </c>
      <c r="C1057" s="98">
        <v>45698</v>
      </c>
      <c r="D1057">
        <v>2025</v>
      </c>
      <c r="E1057">
        <v>2</v>
      </c>
      <c r="F1057">
        <v>1</v>
      </c>
      <c r="G1057" t="s">
        <v>1170</v>
      </c>
      <c r="H1057" t="s">
        <v>145</v>
      </c>
      <c r="I1057" t="s">
        <v>145</v>
      </c>
      <c r="J1057" t="s">
        <v>6</v>
      </c>
      <c r="L1057">
        <v>522611</v>
      </c>
      <c r="M1057" s="99" t="s">
        <v>178</v>
      </c>
      <c r="N1057">
        <v>1</v>
      </c>
      <c r="O1057">
        <v>6</v>
      </c>
      <c r="P1057">
        <v>4.9438000000000004</v>
      </c>
      <c r="Q1057" t="s">
        <v>352</v>
      </c>
      <c r="R1057">
        <v>1</v>
      </c>
      <c r="S1057">
        <v>5.1761999999999997</v>
      </c>
      <c r="T1057">
        <v>0.57410000000000005</v>
      </c>
      <c r="U1057">
        <v>-0.40480752482145838</v>
      </c>
      <c r="V1057">
        <v>3.4538999999999995</v>
      </c>
      <c r="W1057">
        <v>4.0279999999999996</v>
      </c>
      <c r="X1057">
        <v>4.6021000000000001</v>
      </c>
      <c r="Y1057">
        <v>5.7502999999999993</v>
      </c>
      <c r="Z1057">
        <v>6.3243999999999998</v>
      </c>
      <c r="AA1057">
        <v>6.8985000000000003</v>
      </c>
      <c r="AE1057">
        <v>0</v>
      </c>
      <c r="AF1057">
        <v>0</v>
      </c>
      <c r="AG1057">
        <v>0</v>
      </c>
      <c r="AH1057">
        <v>0</v>
      </c>
      <c r="AI1057">
        <v>1</v>
      </c>
      <c r="AJ1057">
        <v>0</v>
      </c>
      <c r="AK1057" t="s">
        <v>1213</v>
      </c>
      <c r="AL1057" t="s">
        <v>6</v>
      </c>
      <c r="AM1057" t="s">
        <v>1145</v>
      </c>
      <c r="AN1057" t="s">
        <v>1146</v>
      </c>
      <c r="AO1057" s="100">
        <v>46262.040405092594</v>
      </c>
      <c r="AP1057" t="s">
        <v>1147</v>
      </c>
      <c r="AQ1057" t="s">
        <v>3338</v>
      </c>
      <c r="AR1057" t="s">
        <v>1176</v>
      </c>
      <c r="AS1057" t="s">
        <v>1150</v>
      </c>
      <c r="AT1057" t="s">
        <v>3328</v>
      </c>
      <c r="AU1057">
        <v>25</v>
      </c>
      <c r="AV1057">
        <v>5.1844959999999993</v>
      </c>
      <c r="AW1057">
        <v>0.66721256138255269</v>
      </c>
      <c r="AX1057">
        <v>12.869381351293409</v>
      </c>
      <c r="AY1057">
        <v>-23.146461788126032</v>
      </c>
      <c r="AZ1057">
        <v>44.380941017760158</v>
      </c>
      <c r="BB1057" t="s">
        <v>4620</v>
      </c>
      <c r="BD1057" s="98"/>
      <c r="BE1057" s="98"/>
      <c r="BF1057" t="s">
        <v>1152</v>
      </c>
      <c r="BG1057" t="s">
        <v>322</v>
      </c>
      <c r="BH1057" t="s">
        <v>1153</v>
      </c>
      <c r="BI1057">
        <v>23.146461788126032</v>
      </c>
      <c r="BN1057" t="s">
        <v>1154</v>
      </c>
      <c r="BO1057">
        <v>2025</v>
      </c>
      <c r="BP1057" t="s">
        <v>966</v>
      </c>
      <c r="BZ1057" t="s">
        <v>1513</v>
      </c>
      <c r="CA1057" t="s">
        <v>1513</v>
      </c>
      <c r="CB1057" t="b">
        <v>0</v>
      </c>
      <c r="CC1057" t="b">
        <v>0</v>
      </c>
      <c r="CD1057" t="b">
        <v>0</v>
      </c>
      <c r="CE1057" t="b">
        <v>0</v>
      </c>
      <c r="CF1057" t="b">
        <v>0</v>
      </c>
    </row>
    <row r="1058" spans="1:84" x14ac:dyDescent="0.3">
      <c r="A1058" t="s">
        <v>3339</v>
      </c>
      <c r="B1058" t="s">
        <v>1178</v>
      </c>
      <c r="C1058" s="98">
        <v>45705</v>
      </c>
      <c r="D1058">
        <v>2025</v>
      </c>
      <c r="E1058">
        <v>2</v>
      </c>
      <c r="F1058">
        <v>1</v>
      </c>
      <c r="G1058" t="s">
        <v>1170</v>
      </c>
      <c r="H1058" t="s">
        <v>145</v>
      </c>
      <c r="I1058" t="s">
        <v>145</v>
      </c>
      <c r="J1058" t="s">
        <v>6</v>
      </c>
      <c r="L1058">
        <v>522611</v>
      </c>
      <c r="M1058" s="99" t="s">
        <v>178</v>
      </c>
      <c r="N1058">
        <v>1</v>
      </c>
      <c r="O1058">
        <v>7</v>
      </c>
      <c r="P1058">
        <v>5.7529000000000003</v>
      </c>
      <c r="Q1058" t="s">
        <v>352</v>
      </c>
      <c r="R1058">
        <v>1</v>
      </c>
      <c r="S1058">
        <v>5.1761999999999997</v>
      </c>
      <c r="T1058">
        <v>0.57410000000000005</v>
      </c>
      <c r="U1058">
        <v>1.0045288277303617</v>
      </c>
      <c r="V1058">
        <v>3.4538999999999995</v>
      </c>
      <c r="W1058">
        <v>4.0279999999999996</v>
      </c>
      <c r="X1058">
        <v>4.6021000000000001</v>
      </c>
      <c r="Y1058">
        <v>5.7502999999999993</v>
      </c>
      <c r="Z1058">
        <v>6.3243999999999998</v>
      </c>
      <c r="AA1058">
        <v>6.8985000000000003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 t="s">
        <v>462</v>
      </c>
      <c r="AL1058" t="s">
        <v>6</v>
      </c>
      <c r="AM1058" t="s">
        <v>1145</v>
      </c>
      <c r="AN1058" t="s">
        <v>1146</v>
      </c>
      <c r="AO1058" s="100">
        <v>46262.040405092594</v>
      </c>
      <c r="AP1058" t="s">
        <v>1147</v>
      </c>
      <c r="AQ1058" t="s">
        <v>3340</v>
      </c>
      <c r="AR1058" t="s">
        <v>1180</v>
      </c>
      <c r="AS1058" t="s">
        <v>1150</v>
      </c>
      <c r="AT1058" t="s">
        <v>3328</v>
      </c>
      <c r="AU1058">
        <v>25</v>
      </c>
      <c r="AV1058">
        <v>5.1844959999999993</v>
      </c>
      <c r="AW1058">
        <v>0.66721256138255269</v>
      </c>
      <c r="AX1058">
        <v>12.869381351293409</v>
      </c>
      <c r="AY1058">
        <v>-23.146461788126032</v>
      </c>
      <c r="AZ1058">
        <v>44.380941017760158</v>
      </c>
      <c r="BB1058" t="s">
        <v>4620</v>
      </c>
      <c r="BD1058" s="98"/>
      <c r="BE1058" s="98"/>
      <c r="BF1058" t="s">
        <v>1152</v>
      </c>
      <c r="BG1058" t="s">
        <v>322</v>
      </c>
      <c r="BH1058" t="s">
        <v>1153</v>
      </c>
      <c r="BI1058">
        <v>23.146461788126032</v>
      </c>
      <c r="BN1058" t="s">
        <v>1154</v>
      </c>
      <c r="BO1058">
        <v>2025</v>
      </c>
      <c r="BP1058" t="s">
        <v>966</v>
      </c>
      <c r="BZ1058" t="s">
        <v>1513</v>
      </c>
      <c r="CA1058" t="s">
        <v>1513</v>
      </c>
      <c r="CB1058" t="b">
        <v>0</v>
      </c>
      <c r="CC1058" t="b">
        <v>0</v>
      </c>
      <c r="CD1058" t="b">
        <v>0</v>
      </c>
      <c r="CE1058" t="b">
        <v>0</v>
      </c>
      <c r="CF1058" t="b">
        <v>0</v>
      </c>
    </row>
    <row r="1059" spans="1:84" x14ac:dyDescent="0.3">
      <c r="A1059" t="s">
        <v>3341</v>
      </c>
      <c r="B1059" t="s">
        <v>1182</v>
      </c>
      <c r="C1059" s="98">
        <v>45712</v>
      </c>
      <c r="D1059">
        <v>2025</v>
      </c>
      <c r="E1059">
        <v>2</v>
      </c>
      <c r="F1059">
        <v>1</v>
      </c>
      <c r="G1059" t="s">
        <v>1170</v>
      </c>
      <c r="H1059" t="s">
        <v>145</v>
      </c>
      <c r="I1059" t="s">
        <v>145</v>
      </c>
      <c r="J1059" t="s">
        <v>6</v>
      </c>
      <c r="L1059">
        <v>522611</v>
      </c>
      <c r="M1059" s="99" t="s">
        <v>178</v>
      </c>
      <c r="N1059">
        <v>1</v>
      </c>
      <c r="O1059">
        <v>8</v>
      </c>
      <c r="P1059">
        <v>4.7046000000000001</v>
      </c>
      <c r="Q1059" t="s">
        <v>352</v>
      </c>
      <c r="R1059">
        <v>1</v>
      </c>
      <c r="S1059">
        <v>5.1761999999999997</v>
      </c>
      <c r="T1059">
        <v>0.57410000000000005</v>
      </c>
      <c r="U1059">
        <v>-0.82145967601463077</v>
      </c>
      <c r="V1059">
        <v>3.4538999999999995</v>
      </c>
      <c r="W1059">
        <v>4.0279999999999996</v>
      </c>
      <c r="X1059">
        <v>4.6021000000000001</v>
      </c>
      <c r="Y1059">
        <v>5.7502999999999993</v>
      </c>
      <c r="Z1059">
        <v>6.3243999999999998</v>
      </c>
      <c r="AA1059">
        <v>6.8985000000000003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 t="s">
        <v>462</v>
      </c>
      <c r="AL1059" t="s">
        <v>6</v>
      </c>
      <c r="AM1059" t="s">
        <v>1145</v>
      </c>
      <c r="AN1059" t="s">
        <v>1146</v>
      </c>
      <c r="AO1059" s="100">
        <v>46262.040405092594</v>
      </c>
      <c r="AP1059" t="s">
        <v>1147</v>
      </c>
      <c r="AQ1059" t="s">
        <v>3342</v>
      </c>
      <c r="AR1059" t="s">
        <v>1184</v>
      </c>
      <c r="AS1059" t="s">
        <v>1150</v>
      </c>
      <c r="AT1059" t="s">
        <v>3328</v>
      </c>
      <c r="AU1059">
        <v>25</v>
      </c>
      <c r="AV1059">
        <v>5.1844959999999993</v>
      </c>
      <c r="AW1059">
        <v>0.66721256138255269</v>
      </c>
      <c r="AX1059">
        <v>12.869381351293409</v>
      </c>
      <c r="AY1059">
        <v>-23.146461788126032</v>
      </c>
      <c r="AZ1059">
        <v>44.380941017760158</v>
      </c>
      <c r="BB1059" t="s">
        <v>4620</v>
      </c>
      <c r="BD1059" s="98"/>
      <c r="BE1059" s="98"/>
      <c r="BF1059" t="s">
        <v>1152</v>
      </c>
      <c r="BG1059" t="s">
        <v>322</v>
      </c>
      <c r="BH1059" t="s">
        <v>1153</v>
      </c>
      <c r="BI1059">
        <v>23.146461788126032</v>
      </c>
      <c r="BN1059" t="s">
        <v>1154</v>
      </c>
      <c r="BO1059">
        <v>2025</v>
      </c>
      <c r="BP1059" t="s">
        <v>966</v>
      </c>
      <c r="BZ1059" t="s">
        <v>1513</v>
      </c>
      <c r="CA1059" t="s">
        <v>1513</v>
      </c>
      <c r="CB1059" t="b">
        <v>0</v>
      </c>
      <c r="CC1059" t="b">
        <v>0</v>
      </c>
      <c r="CD1059" t="b">
        <v>0</v>
      </c>
      <c r="CE1059" t="b">
        <v>0</v>
      </c>
      <c r="CF1059" t="b">
        <v>0</v>
      </c>
    </row>
    <row r="1060" spans="1:84" x14ac:dyDescent="0.3">
      <c r="A1060" t="s">
        <v>3343</v>
      </c>
      <c r="B1060" t="s">
        <v>1186</v>
      </c>
      <c r="C1060" s="98">
        <v>45719</v>
      </c>
      <c r="D1060">
        <v>2025</v>
      </c>
      <c r="E1060">
        <v>3</v>
      </c>
      <c r="F1060">
        <v>1</v>
      </c>
      <c r="G1060" t="s">
        <v>1187</v>
      </c>
      <c r="H1060" t="s">
        <v>145</v>
      </c>
      <c r="I1060" t="s">
        <v>145</v>
      </c>
      <c r="J1060" t="s">
        <v>6</v>
      </c>
      <c r="L1060">
        <v>522611</v>
      </c>
      <c r="M1060" s="99" t="s">
        <v>178</v>
      </c>
      <c r="N1060">
        <v>1</v>
      </c>
      <c r="O1060">
        <v>9</v>
      </c>
      <c r="P1060">
        <v>4.7798999999999996</v>
      </c>
      <c r="Q1060" t="s">
        <v>352</v>
      </c>
      <c r="R1060">
        <v>1</v>
      </c>
      <c r="S1060">
        <v>5.1761999999999997</v>
      </c>
      <c r="T1060">
        <v>0.57410000000000005</v>
      </c>
      <c r="U1060">
        <v>-0.69029785751611228</v>
      </c>
      <c r="V1060">
        <v>3.4538999999999995</v>
      </c>
      <c r="W1060">
        <v>4.0279999999999996</v>
      </c>
      <c r="X1060">
        <v>4.6021000000000001</v>
      </c>
      <c r="Y1060">
        <v>5.7502999999999993</v>
      </c>
      <c r="Z1060">
        <v>6.3243999999999998</v>
      </c>
      <c r="AA1060">
        <v>6.8985000000000003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 t="s">
        <v>462</v>
      </c>
      <c r="AL1060" t="s">
        <v>6</v>
      </c>
      <c r="AM1060" t="s">
        <v>1145</v>
      </c>
      <c r="AN1060" t="s">
        <v>1146</v>
      </c>
      <c r="AO1060" s="100">
        <v>46262.040405092594</v>
      </c>
      <c r="AP1060" t="s">
        <v>1147</v>
      </c>
      <c r="AQ1060" t="s">
        <v>3344</v>
      </c>
      <c r="AR1060" t="s">
        <v>1189</v>
      </c>
      <c r="AS1060" t="s">
        <v>1150</v>
      </c>
      <c r="AT1060" t="s">
        <v>3328</v>
      </c>
      <c r="AU1060">
        <v>25</v>
      </c>
      <c r="AV1060">
        <v>5.1844959999999993</v>
      </c>
      <c r="AW1060">
        <v>0.66721256138255269</v>
      </c>
      <c r="AX1060">
        <v>12.869381351293409</v>
      </c>
      <c r="AY1060">
        <v>-23.146461788126032</v>
      </c>
      <c r="AZ1060">
        <v>44.380941017760158</v>
      </c>
      <c r="BB1060" t="s">
        <v>4620</v>
      </c>
      <c r="BD1060" s="98"/>
      <c r="BE1060" s="98"/>
      <c r="BF1060" t="s">
        <v>1152</v>
      </c>
      <c r="BG1060" t="s">
        <v>322</v>
      </c>
      <c r="BH1060" t="s">
        <v>1153</v>
      </c>
      <c r="BI1060">
        <v>23.146461788126032</v>
      </c>
      <c r="BN1060" t="s">
        <v>1154</v>
      </c>
      <c r="BO1060">
        <v>2025</v>
      </c>
      <c r="BP1060" t="s">
        <v>966</v>
      </c>
      <c r="BZ1060" t="s">
        <v>1513</v>
      </c>
      <c r="CA1060" t="s">
        <v>1513</v>
      </c>
      <c r="CB1060" t="b">
        <v>0</v>
      </c>
      <c r="CC1060" t="b">
        <v>0</v>
      </c>
      <c r="CD1060" t="b">
        <v>0</v>
      </c>
      <c r="CE1060" t="b">
        <v>0</v>
      </c>
      <c r="CF1060" t="b">
        <v>0</v>
      </c>
    </row>
    <row r="1061" spans="1:84" x14ac:dyDescent="0.3">
      <c r="A1061" t="s">
        <v>3345</v>
      </c>
      <c r="B1061" t="s">
        <v>1191</v>
      </c>
      <c r="C1061" s="98">
        <v>45726</v>
      </c>
      <c r="D1061">
        <v>2025</v>
      </c>
      <c r="E1061">
        <v>3</v>
      </c>
      <c r="F1061">
        <v>1</v>
      </c>
      <c r="G1061" t="s">
        <v>1187</v>
      </c>
      <c r="H1061" t="s">
        <v>145</v>
      </c>
      <c r="I1061" t="s">
        <v>145</v>
      </c>
      <c r="J1061" t="s">
        <v>6</v>
      </c>
      <c r="L1061">
        <v>522611</v>
      </c>
      <c r="M1061" s="99" t="s">
        <v>178</v>
      </c>
      <c r="N1061">
        <v>1</v>
      </c>
      <c r="O1061">
        <v>10</v>
      </c>
      <c r="P1061">
        <v>5.6841999999999997</v>
      </c>
      <c r="Q1061" t="s">
        <v>352</v>
      </c>
      <c r="R1061">
        <v>1</v>
      </c>
      <c r="S1061">
        <v>5.1761999999999997</v>
      </c>
      <c r="T1061">
        <v>0.57410000000000005</v>
      </c>
      <c r="U1061">
        <v>0.88486326423967943</v>
      </c>
      <c r="V1061">
        <v>3.4538999999999995</v>
      </c>
      <c r="W1061">
        <v>4.0279999999999996</v>
      </c>
      <c r="X1061">
        <v>4.6021000000000001</v>
      </c>
      <c r="Y1061">
        <v>5.7502999999999993</v>
      </c>
      <c r="Z1061">
        <v>6.3243999999999998</v>
      </c>
      <c r="AA1061">
        <v>6.8985000000000003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 t="s">
        <v>462</v>
      </c>
      <c r="AL1061" t="s">
        <v>6</v>
      </c>
      <c r="AM1061" t="s">
        <v>1145</v>
      </c>
      <c r="AN1061" t="s">
        <v>1146</v>
      </c>
      <c r="AO1061" s="100">
        <v>46262.040405092594</v>
      </c>
      <c r="AP1061" t="s">
        <v>1147</v>
      </c>
      <c r="AQ1061" t="s">
        <v>3346</v>
      </c>
      <c r="AR1061" t="s">
        <v>1193</v>
      </c>
      <c r="AS1061" t="s">
        <v>1150</v>
      </c>
      <c r="AT1061" t="s">
        <v>3328</v>
      </c>
      <c r="AU1061">
        <v>25</v>
      </c>
      <c r="AV1061">
        <v>5.1844959999999993</v>
      </c>
      <c r="AW1061">
        <v>0.66721256138255269</v>
      </c>
      <c r="AX1061">
        <v>12.869381351293409</v>
      </c>
      <c r="AY1061">
        <v>-23.146461788126032</v>
      </c>
      <c r="AZ1061">
        <v>44.380941017760158</v>
      </c>
      <c r="BB1061" t="s">
        <v>4620</v>
      </c>
      <c r="BD1061" s="98"/>
      <c r="BE1061" s="98"/>
      <c r="BF1061" t="s">
        <v>1152</v>
      </c>
      <c r="BG1061" t="s">
        <v>322</v>
      </c>
      <c r="BH1061" t="s">
        <v>1153</v>
      </c>
      <c r="BI1061">
        <v>23.146461788126032</v>
      </c>
      <c r="BN1061" t="s">
        <v>1154</v>
      </c>
      <c r="BO1061">
        <v>2025</v>
      </c>
      <c r="BP1061" t="s">
        <v>966</v>
      </c>
      <c r="BZ1061" t="s">
        <v>1513</v>
      </c>
      <c r="CA1061" t="s">
        <v>1513</v>
      </c>
      <c r="CB1061" t="b">
        <v>0</v>
      </c>
      <c r="CC1061" t="b">
        <v>0</v>
      </c>
      <c r="CD1061" t="b">
        <v>0</v>
      </c>
      <c r="CE1061" t="b">
        <v>0</v>
      </c>
      <c r="CF1061" t="b">
        <v>0</v>
      </c>
    </row>
    <row r="1062" spans="1:84" x14ac:dyDescent="0.3">
      <c r="A1062" t="s">
        <v>3347</v>
      </c>
      <c r="B1062" t="s">
        <v>1195</v>
      </c>
      <c r="C1062" s="98">
        <v>45733</v>
      </c>
      <c r="D1062">
        <v>2025</v>
      </c>
      <c r="E1062">
        <v>3</v>
      </c>
      <c r="F1062">
        <v>1</v>
      </c>
      <c r="G1062" t="s">
        <v>1187</v>
      </c>
      <c r="H1062" t="s">
        <v>145</v>
      </c>
      <c r="I1062" t="s">
        <v>145</v>
      </c>
      <c r="J1062" t="s">
        <v>6</v>
      </c>
      <c r="L1062">
        <v>522611</v>
      </c>
      <c r="M1062" s="99" t="s">
        <v>178</v>
      </c>
      <c r="N1062">
        <v>1</v>
      </c>
      <c r="O1062">
        <v>11</v>
      </c>
      <c r="P1062">
        <v>5.6726000000000001</v>
      </c>
      <c r="Q1062" t="s">
        <v>352</v>
      </c>
      <c r="R1062">
        <v>1</v>
      </c>
      <c r="S1062">
        <v>5.1761999999999997</v>
      </c>
      <c r="T1062">
        <v>0.57410000000000005</v>
      </c>
      <c r="U1062">
        <v>0.8646577251349945</v>
      </c>
      <c r="V1062">
        <v>3.4538999999999995</v>
      </c>
      <c r="W1062">
        <v>4.0279999999999996</v>
      </c>
      <c r="X1062">
        <v>4.6021000000000001</v>
      </c>
      <c r="Y1062">
        <v>5.7502999999999993</v>
      </c>
      <c r="Z1062">
        <v>6.3243999999999998</v>
      </c>
      <c r="AA1062">
        <v>6.8985000000000003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 t="s">
        <v>462</v>
      </c>
      <c r="AL1062" t="s">
        <v>6</v>
      </c>
      <c r="AM1062" t="s">
        <v>1145</v>
      </c>
      <c r="AN1062" t="s">
        <v>1146</v>
      </c>
      <c r="AO1062" s="100">
        <v>46262.040405092594</v>
      </c>
      <c r="AP1062" t="s">
        <v>1147</v>
      </c>
      <c r="AQ1062" t="s">
        <v>3348</v>
      </c>
      <c r="AR1062" t="s">
        <v>1197</v>
      </c>
      <c r="AS1062" t="s">
        <v>1150</v>
      </c>
      <c r="AT1062" t="s">
        <v>3328</v>
      </c>
      <c r="AU1062">
        <v>25</v>
      </c>
      <c r="AV1062">
        <v>5.1844959999999993</v>
      </c>
      <c r="AW1062">
        <v>0.66721256138255269</v>
      </c>
      <c r="AX1062">
        <v>12.869381351293409</v>
      </c>
      <c r="AY1062">
        <v>-23.146461788126032</v>
      </c>
      <c r="AZ1062">
        <v>44.380941017760158</v>
      </c>
      <c r="BB1062" t="s">
        <v>4620</v>
      </c>
      <c r="BD1062" s="98"/>
      <c r="BE1062" s="98"/>
      <c r="BF1062" t="s">
        <v>1152</v>
      </c>
      <c r="BG1062" t="s">
        <v>322</v>
      </c>
      <c r="BH1062" t="s">
        <v>1153</v>
      </c>
      <c r="BI1062">
        <v>23.146461788126032</v>
      </c>
      <c r="BN1062" t="s">
        <v>1154</v>
      </c>
      <c r="BO1062">
        <v>2025</v>
      </c>
      <c r="BP1062" t="s">
        <v>966</v>
      </c>
      <c r="BZ1062" t="s">
        <v>1513</v>
      </c>
      <c r="CA1062" t="s">
        <v>1513</v>
      </c>
      <c r="CB1062" t="b">
        <v>0</v>
      </c>
      <c r="CC1062" t="b">
        <v>0</v>
      </c>
      <c r="CD1062" t="b">
        <v>0</v>
      </c>
      <c r="CE1062" t="b">
        <v>0</v>
      </c>
      <c r="CF1062" t="b">
        <v>0</v>
      </c>
    </row>
    <row r="1063" spans="1:84" x14ac:dyDescent="0.3">
      <c r="A1063" t="s">
        <v>3349</v>
      </c>
      <c r="B1063" t="s">
        <v>1199</v>
      </c>
      <c r="C1063" s="98">
        <v>45740</v>
      </c>
      <c r="D1063">
        <v>2025</v>
      </c>
      <c r="E1063">
        <v>3</v>
      </c>
      <c r="F1063">
        <v>1</v>
      </c>
      <c r="G1063" t="s">
        <v>1187</v>
      </c>
      <c r="H1063" t="s">
        <v>145</v>
      </c>
      <c r="I1063" t="s">
        <v>145</v>
      </c>
      <c r="J1063" t="s">
        <v>6</v>
      </c>
      <c r="L1063">
        <v>522611</v>
      </c>
      <c r="M1063" s="99" t="s">
        <v>178</v>
      </c>
      <c r="N1063">
        <v>1</v>
      </c>
      <c r="O1063">
        <v>12</v>
      </c>
      <c r="P1063">
        <v>4.9615999999999998</v>
      </c>
      <c r="Q1063" t="s">
        <v>352</v>
      </c>
      <c r="R1063">
        <v>1</v>
      </c>
      <c r="S1063">
        <v>5.1761999999999997</v>
      </c>
      <c r="T1063">
        <v>0.57410000000000005</v>
      </c>
      <c r="U1063">
        <v>-0.37380247343668332</v>
      </c>
      <c r="V1063">
        <v>3.4538999999999995</v>
      </c>
      <c r="W1063">
        <v>4.0279999999999996</v>
      </c>
      <c r="X1063">
        <v>4.6021000000000001</v>
      </c>
      <c r="Y1063">
        <v>5.7502999999999993</v>
      </c>
      <c r="Z1063">
        <v>6.3243999999999998</v>
      </c>
      <c r="AA1063">
        <v>6.8985000000000003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 t="s">
        <v>462</v>
      </c>
      <c r="AL1063" t="s">
        <v>6</v>
      </c>
      <c r="AM1063" t="s">
        <v>1145</v>
      </c>
      <c r="AN1063" t="s">
        <v>1146</v>
      </c>
      <c r="AO1063" s="100">
        <v>46262.040405092594</v>
      </c>
      <c r="AP1063" t="s">
        <v>1147</v>
      </c>
      <c r="AQ1063" t="s">
        <v>3350</v>
      </c>
      <c r="AR1063" t="s">
        <v>1201</v>
      </c>
      <c r="AS1063" t="s">
        <v>1150</v>
      </c>
      <c r="AT1063" t="s">
        <v>3328</v>
      </c>
      <c r="AU1063">
        <v>25</v>
      </c>
      <c r="AV1063">
        <v>5.1844959999999993</v>
      </c>
      <c r="AW1063">
        <v>0.66721256138255269</v>
      </c>
      <c r="AX1063">
        <v>12.869381351293409</v>
      </c>
      <c r="AY1063">
        <v>-23.146461788126032</v>
      </c>
      <c r="AZ1063">
        <v>44.380941017760158</v>
      </c>
      <c r="BB1063" t="s">
        <v>4620</v>
      </c>
      <c r="BD1063" s="98"/>
      <c r="BE1063" s="98"/>
      <c r="BF1063" t="s">
        <v>1152</v>
      </c>
      <c r="BG1063" t="s">
        <v>322</v>
      </c>
      <c r="BH1063" t="s">
        <v>1153</v>
      </c>
      <c r="BI1063">
        <v>23.146461788126032</v>
      </c>
      <c r="BN1063" t="s">
        <v>1154</v>
      </c>
      <c r="BO1063">
        <v>2025</v>
      </c>
      <c r="BP1063" t="s">
        <v>966</v>
      </c>
      <c r="BZ1063" t="s">
        <v>1513</v>
      </c>
      <c r="CA1063" t="s">
        <v>1513</v>
      </c>
      <c r="CB1063" t="b">
        <v>0</v>
      </c>
      <c r="CC1063" t="b">
        <v>0</v>
      </c>
      <c r="CD1063" t="b">
        <v>0</v>
      </c>
      <c r="CE1063" t="b">
        <v>0</v>
      </c>
      <c r="CF1063" t="b">
        <v>0</v>
      </c>
    </row>
    <row r="1064" spans="1:84" x14ac:dyDescent="0.3">
      <c r="A1064" t="s">
        <v>3351</v>
      </c>
      <c r="B1064" t="s">
        <v>1203</v>
      </c>
      <c r="C1064" s="98">
        <v>45747</v>
      </c>
      <c r="D1064">
        <v>2025</v>
      </c>
      <c r="E1064">
        <v>3</v>
      </c>
      <c r="F1064">
        <v>1</v>
      </c>
      <c r="G1064" t="s">
        <v>1187</v>
      </c>
      <c r="H1064" t="s">
        <v>145</v>
      </c>
      <c r="I1064" t="s">
        <v>145</v>
      </c>
      <c r="J1064" t="s">
        <v>6</v>
      </c>
      <c r="L1064">
        <v>522611</v>
      </c>
      <c r="M1064" s="99" t="s">
        <v>178</v>
      </c>
      <c r="N1064">
        <v>1</v>
      </c>
      <c r="O1064">
        <v>13</v>
      </c>
      <c r="P1064">
        <v>4.5345000000000004</v>
      </c>
      <c r="Q1064" t="s">
        <v>352</v>
      </c>
      <c r="R1064">
        <v>1</v>
      </c>
      <c r="S1064">
        <v>5.1761999999999997</v>
      </c>
      <c r="T1064">
        <v>0.57410000000000005</v>
      </c>
      <c r="U1064">
        <v>-1.1177495209893733</v>
      </c>
      <c r="V1064">
        <v>3.4538999999999995</v>
      </c>
      <c r="W1064">
        <v>4.0279999999999996</v>
      </c>
      <c r="X1064">
        <v>4.6021000000000001</v>
      </c>
      <c r="Y1064">
        <v>5.7502999999999993</v>
      </c>
      <c r="Z1064">
        <v>6.3243999999999998</v>
      </c>
      <c r="AA1064">
        <v>6.8985000000000003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 t="s">
        <v>462</v>
      </c>
      <c r="AL1064" t="s">
        <v>6</v>
      </c>
      <c r="AM1064" t="s">
        <v>1145</v>
      </c>
      <c r="AN1064" t="s">
        <v>1146</v>
      </c>
      <c r="AO1064" s="100">
        <v>46262.040405092594</v>
      </c>
      <c r="AP1064" t="s">
        <v>1147</v>
      </c>
      <c r="AQ1064" t="s">
        <v>3352</v>
      </c>
      <c r="AR1064" t="s">
        <v>1205</v>
      </c>
      <c r="AS1064" t="s">
        <v>1150</v>
      </c>
      <c r="AT1064" t="s">
        <v>3328</v>
      </c>
      <c r="AU1064">
        <v>25</v>
      </c>
      <c r="AV1064">
        <v>5.1844959999999993</v>
      </c>
      <c r="AW1064">
        <v>0.66721256138255269</v>
      </c>
      <c r="AX1064">
        <v>12.869381351293409</v>
      </c>
      <c r="AY1064">
        <v>-23.146461788126032</v>
      </c>
      <c r="AZ1064">
        <v>44.380941017760158</v>
      </c>
      <c r="BB1064" t="s">
        <v>4620</v>
      </c>
      <c r="BD1064" s="98"/>
      <c r="BE1064" s="98"/>
      <c r="BF1064" t="s">
        <v>1152</v>
      </c>
      <c r="BG1064" t="s">
        <v>322</v>
      </c>
      <c r="BH1064" t="s">
        <v>1153</v>
      </c>
      <c r="BI1064">
        <v>23.146461788126032</v>
      </c>
      <c r="BN1064" t="s">
        <v>1154</v>
      </c>
      <c r="BO1064">
        <v>2025</v>
      </c>
      <c r="BP1064" t="s">
        <v>966</v>
      </c>
      <c r="BZ1064" t="s">
        <v>1513</v>
      </c>
      <c r="CA1064" t="s">
        <v>1513</v>
      </c>
      <c r="CB1064" t="b">
        <v>0</v>
      </c>
      <c r="CC1064" t="b">
        <v>0</v>
      </c>
      <c r="CD1064" t="b">
        <v>0</v>
      </c>
      <c r="CE1064" t="b">
        <v>0</v>
      </c>
      <c r="CF1064" t="b">
        <v>0</v>
      </c>
    </row>
    <row r="1065" spans="1:84" x14ac:dyDescent="0.3">
      <c r="A1065" t="s">
        <v>3353</v>
      </c>
      <c r="B1065" t="s">
        <v>1207</v>
      </c>
      <c r="C1065" s="98">
        <v>45754</v>
      </c>
      <c r="D1065">
        <v>2025</v>
      </c>
      <c r="E1065">
        <v>4</v>
      </c>
      <c r="F1065">
        <v>2</v>
      </c>
      <c r="G1065" t="s">
        <v>1208</v>
      </c>
      <c r="H1065" t="s">
        <v>145</v>
      </c>
      <c r="I1065" t="s">
        <v>145</v>
      </c>
      <c r="J1065" t="s">
        <v>6</v>
      </c>
      <c r="L1065">
        <v>522611</v>
      </c>
      <c r="M1065" s="99" t="s">
        <v>178</v>
      </c>
      <c r="N1065">
        <v>1</v>
      </c>
      <c r="O1065">
        <v>14</v>
      </c>
      <c r="P1065">
        <v>4.2865000000000002</v>
      </c>
      <c r="Q1065" t="s">
        <v>352</v>
      </c>
      <c r="R1065">
        <v>1</v>
      </c>
      <c r="S1065">
        <v>5.1761999999999997</v>
      </c>
      <c r="T1065">
        <v>0.57410000000000005</v>
      </c>
      <c r="U1065">
        <v>-1.5497300121929967</v>
      </c>
      <c r="V1065">
        <v>3.4538999999999995</v>
      </c>
      <c r="W1065">
        <v>4.0279999999999996</v>
      </c>
      <c r="X1065">
        <v>4.6021000000000001</v>
      </c>
      <c r="Y1065">
        <v>5.7502999999999993</v>
      </c>
      <c r="Z1065">
        <v>6.3243999999999998</v>
      </c>
      <c r="AA1065">
        <v>6.8985000000000003</v>
      </c>
      <c r="AE1065">
        <v>0</v>
      </c>
      <c r="AF1065">
        <v>0</v>
      </c>
      <c r="AG1065">
        <v>0</v>
      </c>
      <c r="AH1065">
        <v>0</v>
      </c>
      <c r="AI1065">
        <v>1</v>
      </c>
      <c r="AJ1065">
        <v>0</v>
      </c>
      <c r="AK1065" t="s">
        <v>1213</v>
      </c>
      <c r="AL1065" t="s">
        <v>6</v>
      </c>
      <c r="AM1065" t="s">
        <v>1145</v>
      </c>
      <c r="AN1065" t="s">
        <v>1146</v>
      </c>
      <c r="AO1065" s="100">
        <v>46262.040405092594</v>
      </c>
      <c r="AP1065" t="s">
        <v>1147</v>
      </c>
      <c r="AQ1065" t="s">
        <v>3354</v>
      </c>
      <c r="AR1065" t="s">
        <v>1210</v>
      </c>
      <c r="AS1065" t="s">
        <v>1150</v>
      </c>
      <c r="AT1065" t="s">
        <v>3328</v>
      </c>
      <c r="AU1065">
        <v>25</v>
      </c>
      <c r="AV1065">
        <v>5.1844959999999993</v>
      </c>
      <c r="AW1065">
        <v>0.66721256138255269</v>
      </c>
      <c r="AX1065">
        <v>12.869381351293409</v>
      </c>
      <c r="AY1065">
        <v>-23.146461788126032</v>
      </c>
      <c r="AZ1065">
        <v>44.380941017760158</v>
      </c>
      <c r="BB1065" t="s">
        <v>4620</v>
      </c>
      <c r="BD1065" s="98"/>
      <c r="BE1065" s="98"/>
      <c r="BF1065" t="s">
        <v>1152</v>
      </c>
      <c r="BG1065" t="s">
        <v>322</v>
      </c>
      <c r="BH1065" t="s">
        <v>1153</v>
      </c>
      <c r="BI1065">
        <v>23.146461788126032</v>
      </c>
      <c r="BN1065" t="s">
        <v>1154</v>
      </c>
      <c r="BO1065">
        <v>2025</v>
      </c>
      <c r="BP1065" t="s">
        <v>966</v>
      </c>
      <c r="BZ1065" t="s">
        <v>1513</v>
      </c>
      <c r="CA1065" t="s">
        <v>1513</v>
      </c>
      <c r="CB1065" t="b">
        <v>0</v>
      </c>
      <c r="CC1065" t="b">
        <v>0</v>
      </c>
      <c r="CD1065" t="b">
        <v>0</v>
      </c>
      <c r="CE1065" t="b">
        <v>0</v>
      </c>
      <c r="CF1065" t="b">
        <v>0</v>
      </c>
    </row>
    <row r="1066" spans="1:84" x14ac:dyDescent="0.3">
      <c r="A1066" t="s">
        <v>3355</v>
      </c>
      <c r="B1066" t="s">
        <v>1212</v>
      </c>
      <c r="C1066" s="98">
        <v>45761</v>
      </c>
      <c r="D1066">
        <v>2025</v>
      </c>
      <c r="E1066">
        <v>4</v>
      </c>
      <c r="F1066">
        <v>2</v>
      </c>
      <c r="G1066" t="s">
        <v>1208</v>
      </c>
      <c r="H1066" t="s">
        <v>145</v>
      </c>
      <c r="I1066" t="s">
        <v>145</v>
      </c>
      <c r="J1066" t="s">
        <v>6</v>
      </c>
      <c r="L1066">
        <v>522611</v>
      </c>
      <c r="M1066" s="99" t="s">
        <v>178</v>
      </c>
      <c r="N1066">
        <v>1</v>
      </c>
      <c r="O1066">
        <v>15</v>
      </c>
      <c r="P1066">
        <v>4.7748999999999997</v>
      </c>
      <c r="Q1066" t="s">
        <v>352</v>
      </c>
      <c r="R1066">
        <v>1</v>
      </c>
      <c r="S1066">
        <v>5.1761999999999997</v>
      </c>
      <c r="T1066">
        <v>0.57410000000000005</v>
      </c>
      <c r="U1066">
        <v>-0.69900714161295929</v>
      </c>
      <c r="V1066">
        <v>3.4538999999999995</v>
      </c>
      <c r="W1066">
        <v>4.0279999999999996</v>
      </c>
      <c r="X1066">
        <v>4.6021000000000001</v>
      </c>
      <c r="Y1066">
        <v>5.7502999999999993</v>
      </c>
      <c r="Z1066">
        <v>6.3243999999999998</v>
      </c>
      <c r="AA1066">
        <v>6.8985000000000003</v>
      </c>
      <c r="AE1066">
        <v>0</v>
      </c>
      <c r="AF1066">
        <v>0</v>
      </c>
      <c r="AG1066">
        <v>0</v>
      </c>
      <c r="AH1066">
        <v>0</v>
      </c>
      <c r="AI1066">
        <v>1</v>
      </c>
      <c r="AJ1066">
        <v>0</v>
      </c>
      <c r="AK1066" t="s">
        <v>1213</v>
      </c>
      <c r="AL1066" t="s">
        <v>6</v>
      </c>
      <c r="AM1066" t="s">
        <v>1145</v>
      </c>
      <c r="AN1066" t="s">
        <v>1146</v>
      </c>
      <c r="AO1066" s="100">
        <v>46262.040405092594</v>
      </c>
      <c r="AP1066" t="s">
        <v>1147</v>
      </c>
      <c r="AQ1066" t="s">
        <v>3356</v>
      </c>
      <c r="AR1066" t="s">
        <v>1215</v>
      </c>
      <c r="AS1066" t="s">
        <v>1150</v>
      </c>
      <c r="AT1066" t="s">
        <v>3328</v>
      </c>
      <c r="AU1066">
        <v>25</v>
      </c>
      <c r="AV1066">
        <v>5.1844959999999993</v>
      </c>
      <c r="AW1066">
        <v>0.66721256138255269</v>
      </c>
      <c r="AX1066">
        <v>12.869381351293409</v>
      </c>
      <c r="AY1066">
        <v>-23.146461788126032</v>
      </c>
      <c r="AZ1066">
        <v>44.380941017760158</v>
      </c>
      <c r="BB1066" t="s">
        <v>4620</v>
      </c>
      <c r="BD1066" s="98"/>
      <c r="BE1066" s="98"/>
      <c r="BF1066" t="s">
        <v>1152</v>
      </c>
      <c r="BG1066" t="s">
        <v>322</v>
      </c>
      <c r="BH1066" t="s">
        <v>1153</v>
      </c>
      <c r="BI1066">
        <v>23.146461788126032</v>
      </c>
      <c r="BN1066" t="s">
        <v>1154</v>
      </c>
      <c r="BO1066">
        <v>2025</v>
      </c>
      <c r="BP1066" t="s">
        <v>966</v>
      </c>
      <c r="BZ1066" t="s">
        <v>1513</v>
      </c>
      <c r="CA1066" t="s">
        <v>1513</v>
      </c>
      <c r="CB1066" t="b">
        <v>0</v>
      </c>
      <c r="CC1066" t="b">
        <v>0</v>
      </c>
      <c r="CD1066" t="b">
        <v>0</v>
      </c>
      <c r="CE1066" t="b">
        <v>0</v>
      </c>
      <c r="CF1066" t="b">
        <v>0</v>
      </c>
    </row>
    <row r="1067" spans="1:84" x14ac:dyDescent="0.3">
      <c r="A1067" t="s">
        <v>3357</v>
      </c>
      <c r="B1067" t="s">
        <v>1217</v>
      </c>
      <c r="C1067" s="98">
        <v>45768</v>
      </c>
      <c r="D1067">
        <v>2025</v>
      </c>
      <c r="E1067">
        <v>4</v>
      </c>
      <c r="F1067">
        <v>2</v>
      </c>
      <c r="G1067" t="s">
        <v>1208</v>
      </c>
      <c r="H1067" t="s">
        <v>145</v>
      </c>
      <c r="I1067" t="s">
        <v>145</v>
      </c>
      <c r="J1067" t="s">
        <v>6</v>
      </c>
      <c r="L1067">
        <v>522611</v>
      </c>
      <c r="M1067" s="99" t="s">
        <v>178</v>
      </c>
      <c r="N1067">
        <v>1</v>
      </c>
      <c r="O1067">
        <v>16</v>
      </c>
      <c r="P1067">
        <v>3.8956</v>
      </c>
      <c r="Q1067" t="s">
        <v>352</v>
      </c>
      <c r="R1067">
        <v>1</v>
      </c>
      <c r="S1067">
        <v>5.1761999999999997</v>
      </c>
      <c r="T1067">
        <v>0.57410000000000005</v>
      </c>
      <c r="U1067">
        <v>-2.2306218428845144</v>
      </c>
      <c r="V1067">
        <v>3.4538999999999995</v>
      </c>
      <c r="W1067">
        <v>4.0279999999999996</v>
      </c>
      <c r="X1067">
        <v>4.6021000000000001</v>
      </c>
      <c r="Y1067">
        <v>5.7502999999999993</v>
      </c>
      <c r="Z1067">
        <v>6.3243999999999998</v>
      </c>
      <c r="AA1067">
        <v>6.8985000000000003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1</v>
      </c>
      <c r="AK1067" t="s">
        <v>462</v>
      </c>
      <c r="AL1067" t="s">
        <v>6</v>
      </c>
      <c r="AM1067" t="s">
        <v>1145</v>
      </c>
      <c r="AN1067" t="s">
        <v>1146</v>
      </c>
      <c r="AO1067" s="100">
        <v>46262.040405092594</v>
      </c>
      <c r="AP1067" t="s">
        <v>1147</v>
      </c>
      <c r="AQ1067" t="s">
        <v>3358</v>
      </c>
      <c r="AR1067" t="s">
        <v>1219</v>
      </c>
      <c r="AS1067" t="s">
        <v>1150</v>
      </c>
      <c r="AT1067" t="s">
        <v>3328</v>
      </c>
      <c r="AU1067">
        <v>25</v>
      </c>
      <c r="AV1067">
        <v>5.1844959999999993</v>
      </c>
      <c r="AW1067">
        <v>0.66721256138255269</v>
      </c>
      <c r="AX1067">
        <v>12.869381351293409</v>
      </c>
      <c r="AY1067">
        <v>-23.146461788126032</v>
      </c>
      <c r="AZ1067">
        <v>44.380941017760158</v>
      </c>
      <c r="BB1067" t="s">
        <v>4620</v>
      </c>
      <c r="BD1067" s="98"/>
      <c r="BE1067" s="98"/>
      <c r="BF1067" t="s">
        <v>1152</v>
      </c>
      <c r="BG1067" t="s">
        <v>322</v>
      </c>
      <c r="BH1067" t="s">
        <v>1153</v>
      </c>
      <c r="BI1067">
        <v>23.146461788126032</v>
      </c>
      <c r="BN1067" t="s">
        <v>1154</v>
      </c>
      <c r="BO1067">
        <v>2025</v>
      </c>
      <c r="BP1067" t="s">
        <v>966</v>
      </c>
      <c r="BZ1067" t="s">
        <v>1513</v>
      </c>
      <c r="CA1067" t="s">
        <v>1513</v>
      </c>
      <c r="CB1067" t="b">
        <v>0</v>
      </c>
      <c r="CC1067" t="b">
        <v>0</v>
      </c>
      <c r="CD1067" t="b">
        <v>0</v>
      </c>
      <c r="CE1067" t="b">
        <v>0</v>
      </c>
      <c r="CF1067" t="b">
        <v>0</v>
      </c>
    </row>
    <row r="1068" spans="1:84" x14ac:dyDescent="0.3">
      <c r="A1068" t="s">
        <v>3359</v>
      </c>
      <c r="B1068" t="s">
        <v>1221</v>
      </c>
      <c r="C1068" s="98">
        <v>45775</v>
      </c>
      <c r="D1068">
        <v>2025</v>
      </c>
      <c r="E1068">
        <v>4</v>
      </c>
      <c r="F1068">
        <v>2</v>
      </c>
      <c r="G1068" t="s">
        <v>1208</v>
      </c>
      <c r="H1068" t="s">
        <v>145</v>
      </c>
      <c r="I1068" t="s">
        <v>145</v>
      </c>
      <c r="J1068" t="s">
        <v>6</v>
      </c>
      <c r="L1068">
        <v>522611</v>
      </c>
      <c r="M1068" s="99" t="s">
        <v>178</v>
      </c>
      <c r="N1068">
        <v>1</v>
      </c>
      <c r="O1068">
        <v>17</v>
      </c>
      <c r="P1068">
        <v>5.6067</v>
      </c>
      <c r="Q1068" t="s">
        <v>352</v>
      </c>
      <c r="R1068">
        <v>1</v>
      </c>
      <c r="S1068">
        <v>5.1761999999999997</v>
      </c>
      <c r="T1068">
        <v>0.57410000000000005</v>
      </c>
      <c r="U1068">
        <v>0.74986936073854782</v>
      </c>
      <c r="V1068">
        <v>3.4538999999999995</v>
      </c>
      <c r="W1068">
        <v>4.0279999999999996</v>
      </c>
      <c r="X1068">
        <v>4.6021000000000001</v>
      </c>
      <c r="Y1068">
        <v>5.7502999999999993</v>
      </c>
      <c r="Z1068">
        <v>6.3243999999999998</v>
      </c>
      <c r="AA1068">
        <v>6.8985000000000003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 t="s">
        <v>462</v>
      </c>
      <c r="AL1068" t="s">
        <v>6</v>
      </c>
      <c r="AM1068" t="s">
        <v>1145</v>
      </c>
      <c r="AN1068" t="s">
        <v>1146</v>
      </c>
      <c r="AO1068" s="100">
        <v>46262.040405092594</v>
      </c>
      <c r="AP1068" t="s">
        <v>1147</v>
      </c>
      <c r="AQ1068" t="s">
        <v>3360</v>
      </c>
      <c r="AR1068" t="s">
        <v>1223</v>
      </c>
      <c r="AS1068" t="s">
        <v>1150</v>
      </c>
      <c r="AT1068" t="s">
        <v>3328</v>
      </c>
      <c r="AU1068">
        <v>25</v>
      </c>
      <c r="AV1068">
        <v>5.1844959999999993</v>
      </c>
      <c r="AW1068">
        <v>0.66721256138255269</v>
      </c>
      <c r="AX1068">
        <v>12.869381351293409</v>
      </c>
      <c r="AY1068">
        <v>-23.146461788126032</v>
      </c>
      <c r="AZ1068">
        <v>44.380941017760158</v>
      </c>
      <c r="BB1068" t="s">
        <v>4620</v>
      </c>
      <c r="BD1068" s="98"/>
      <c r="BE1068" s="98"/>
      <c r="BF1068" t="s">
        <v>1152</v>
      </c>
      <c r="BG1068" t="s">
        <v>322</v>
      </c>
      <c r="BH1068" t="s">
        <v>1153</v>
      </c>
      <c r="BI1068">
        <v>23.146461788126032</v>
      </c>
      <c r="BN1068" t="s">
        <v>1154</v>
      </c>
      <c r="BO1068">
        <v>2025</v>
      </c>
      <c r="BP1068" t="s">
        <v>966</v>
      </c>
      <c r="BZ1068" t="s">
        <v>1513</v>
      </c>
      <c r="CA1068" t="s">
        <v>1513</v>
      </c>
      <c r="CB1068" t="b">
        <v>0</v>
      </c>
      <c r="CC1068" t="b">
        <v>0</v>
      </c>
      <c r="CD1068" t="b">
        <v>0</v>
      </c>
      <c r="CE1068" t="b">
        <v>0</v>
      </c>
      <c r="CF1068" t="b">
        <v>0</v>
      </c>
    </row>
    <row r="1069" spans="1:84" x14ac:dyDescent="0.3">
      <c r="A1069" t="s">
        <v>3361</v>
      </c>
      <c r="B1069" t="s">
        <v>1225</v>
      </c>
      <c r="C1069" s="98">
        <v>45782</v>
      </c>
      <c r="D1069">
        <v>2025</v>
      </c>
      <c r="E1069">
        <v>5</v>
      </c>
      <c r="F1069">
        <v>2</v>
      </c>
      <c r="G1069" t="s">
        <v>1226</v>
      </c>
      <c r="H1069" t="s">
        <v>145</v>
      </c>
      <c r="I1069" t="s">
        <v>145</v>
      </c>
      <c r="J1069" t="s">
        <v>6</v>
      </c>
      <c r="L1069">
        <v>522611</v>
      </c>
      <c r="M1069" s="99" t="s">
        <v>178</v>
      </c>
      <c r="N1069">
        <v>1</v>
      </c>
      <c r="O1069">
        <v>18</v>
      </c>
      <c r="P1069">
        <v>4.8144999999999998</v>
      </c>
      <c r="Q1069" t="s">
        <v>352</v>
      </c>
      <c r="R1069">
        <v>1</v>
      </c>
      <c r="S1069">
        <v>5.1761999999999997</v>
      </c>
      <c r="T1069">
        <v>0.57410000000000005</v>
      </c>
      <c r="U1069">
        <v>-0.63002961156592907</v>
      </c>
      <c r="V1069">
        <v>3.4538999999999995</v>
      </c>
      <c r="W1069">
        <v>4.0279999999999996</v>
      </c>
      <c r="X1069">
        <v>4.6021000000000001</v>
      </c>
      <c r="Y1069">
        <v>5.7502999999999993</v>
      </c>
      <c r="Z1069">
        <v>6.3243999999999998</v>
      </c>
      <c r="AA1069">
        <v>6.8985000000000003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 t="s">
        <v>462</v>
      </c>
      <c r="AL1069" t="s">
        <v>6</v>
      </c>
      <c r="AM1069" t="s">
        <v>1145</v>
      </c>
      <c r="AN1069" t="s">
        <v>1146</v>
      </c>
      <c r="AO1069" s="100">
        <v>46262.040405092594</v>
      </c>
      <c r="AP1069" t="s">
        <v>1147</v>
      </c>
      <c r="AQ1069" t="s">
        <v>3362</v>
      </c>
      <c r="AR1069" t="s">
        <v>1228</v>
      </c>
      <c r="AS1069" t="s">
        <v>1150</v>
      </c>
      <c r="AT1069" t="s">
        <v>3328</v>
      </c>
      <c r="AU1069">
        <v>25</v>
      </c>
      <c r="AV1069">
        <v>5.1844959999999993</v>
      </c>
      <c r="AW1069">
        <v>0.66721256138255269</v>
      </c>
      <c r="AX1069">
        <v>12.869381351293409</v>
      </c>
      <c r="AY1069">
        <v>-23.146461788126032</v>
      </c>
      <c r="AZ1069">
        <v>44.380941017760158</v>
      </c>
      <c r="BB1069" t="s">
        <v>4620</v>
      </c>
      <c r="BD1069" s="98"/>
      <c r="BE1069" s="98"/>
      <c r="BF1069" t="s">
        <v>1152</v>
      </c>
      <c r="BG1069" t="s">
        <v>322</v>
      </c>
      <c r="BH1069" t="s">
        <v>1153</v>
      </c>
      <c r="BI1069">
        <v>23.146461788126032</v>
      </c>
      <c r="BN1069" t="s">
        <v>1154</v>
      </c>
      <c r="BO1069">
        <v>2025</v>
      </c>
      <c r="BP1069" t="s">
        <v>966</v>
      </c>
      <c r="BZ1069" t="s">
        <v>1513</v>
      </c>
      <c r="CA1069" t="s">
        <v>1513</v>
      </c>
      <c r="CB1069" t="b">
        <v>0</v>
      </c>
      <c r="CC1069" t="b">
        <v>0</v>
      </c>
      <c r="CD1069" t="b">
        <v>0</v>
      </c>
      <c r="CE1069" t="b">
        <v>0</v>
      </c>
      <c r="CF1069" t="b">
        <v>0</v>
      </c>
    </row>
    <row r="1070" spans="1:84" x14ac:dyDescent="0.3">
      <c r="A1070" t="s">
        <v>3363</v>
      </c>
      <c r="B1070" t="s">
        <v>1230</v>
      </c>
      <c r="C1070" s="98">
        <v>45789</v>
      </c>
      <c r="D1070">
        <v>2025</v>
      </c>
      <c r="E1070">
        <v>5</v>
      </c>
      <c r="F1070">
        <v>2</v>
      </c>
      <c r="G1070" t="s">
        <v>1226</v>
      </c>
      <c r="H1070" t="s">
        <v>145</v>
      </c>
      <c r="I1070" t="s">
        <v>145</v>
      </c>
      <c r="J1070" t="s">
        <v>6</v>
      </c>
      <c r="L1070">
        <v>522611</v>
      </c>
      <c r="M1070" s="99" t="s">
        <v>178</v>
      </c>
      <c r="N1070">
        <v>1</v>
      </c>
      <c r="O1070">
        <v>19</v>
      </c>
      <c r="P1070">
        <v>5.4524999999999997</v>
      </c>
      <c r="Q1070" t="s">
        <v>352</v>
      </c>
      <c r="R1070">
        <v>1</v>
      </c>
      <c r="S1070">
        <v>5.1761999999999997</v>
      </c>
      <c r="T1070">
        <v>0.57410000000000005</v>
      </c>
      <c r="U1070">
        <v>0.48127503919177839</v>
      </c>
      <c r="V1070">
        <v>3.4538999999999995</v>
      </c>
      <c r="W1070">
        <v>4.0279999999999996</v>
      </c>
      <c r="X1070">
        <v>4.6021000000000001</v>
      </c>
      <c r="Y1070">
        <v>5.7502999999999993</v>
      </c>
      <c r="Z1070">
        <v>6.3243999999999998</v>
      </c>
      <c r="AA1070">
        <v>6.8985000000000003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 t="s">
        <v>462</v>
      </c>
      <c r="AL1070" t="s">
        <v>6</v>
      </c>
      <c r="AM1070" t="s">
        <v>1145</v>
      </c>
      <c r="AN1070" t="s">
        <v>1146</v>
      </c>
      <c r="AO1070" s="100">
        <v>46262.040405092594</v>
      </c>
      <c r="AP1070" t="s">
        <v>1147</v>
      </c>
      <c r="AQ1070" t="s">
        <v>3364</v>
      </c>
      <c r="AR1070" t="s">
        <v>1232</v>
      </c>
      <c r="AS1070" t="s">
        <v>1150</v>
      </c>
      <c r="AT1070" t="s">
        <v>3328</v>
      </c>
      <c r="AU1070">
        <v>25</v>
      </c>
      <c r="AV1070">
        <v>5.1844959999999993</v>
      </c>
      <c r="AW1070">
        <v>0.66721256138255269</v>
      </c>
      <c r="AX1070">
        <v>12.869381351293409</v>
      </c>
      <c r="AY1070">
        <v>-23.146461788126032</v>
      </c>
      <c r="AZ1070">
        <v>44.380941017760158</v>
      </c>
      <c r="BB1070" t="s">
        <v>4620</v>
      </c>
      <c r="BD1070" s="98"/>
      <c r="BE1070" s="98"/>
      <c r="BF1070" t="s">
        <v>1152</v>
      </c>
      <c r="BG1070" t="s">
        <v>322</v>
      </c>
      <c r="BH1070" t="s">
        <v>1153</v>
      </c>
      <c r="BI1070">
        <v>23.146461788126032</v>
      </c>
      <c r="BN1070" t="s">
        <v>1154</v>
      </c>
      <c r="BO1070">
        <v>2025</v>
      </c>
      <c r="BP1070" t="s">
        <v>966</v>
      </c>
      <c r="BZ1070" t="s">
        <v>1513</v>
      </c>
      <c r="CA1070" t="s">
        <v>1513</v>
      </c>
      <c r="CB1070" t="b">
        <v>0</v>
      </c>
      <c r="CC1070" t="b">
        <v>0</v>
      </c>
      <c r="CD1070" t="b">
        <v>0</v>
      </c>
      <c r="CE1070" t="b">
        <v>0</v>
      </c>
      <c r="CF1070" t="b">
        <v>0</v>
      </c>
    </row>
    <row r="1071" spans="1:84" x14ac:dyDescent="0.3">
      <c r="A1071" t="s">
        <v>3365</v>
      </c>
      <c r="B1071" t="s">
        <v>1234</v>
      </c>
      <c r="C1071" s="98">
        <v>45796</v>
      </c>
      <c r="D1071">
        <v>2025</v>
      </c>
      <c r="E1071">
        <v>5</v>
      </c>
      <c r="F1071">
        <v>2</v>
      </c>
      <c r="G1071" t="s">
        <v>1226</v>
      </c>
      <c r="H1071" t="s">
        <v>145</v>
      </c>
      <c r="I1071" t="s">
        <v>145</v>
      </c>
      <c r="J1071" t="s">
        <v>6</v>
      </c>
      <c r="L1071">
        <v>522611</v>
      </c>
      <c r="M1071" s="99" t="s">
        <v>178</v>
      </c>
      <c r="N1071">
        <v>1</v>
      </c>
      <c r="O1071">
        <v>20</v>
      </c>
      <c r="P1071">
        <v>6.2488999999999999</v>
      </c>
      <c r="Q1071" t="s">
        <v>352</v>
      </c>
      <c r="R1071">
        <v>1</v>
      </c>
      <c r="S1071">
        <v>5.1761999999999997</v>
      </c>
      <c r="T1071">
        <v>0.57410000000000005</v>
      </c>
      <c r="U1071">
        <v>1.8684898101376068</v>
      </c>
      <c r="V1071">
        <v>3.4538999999999995</v>
      </c>
      <c r="W1071">
        <v>4.0279999999999996</v>
      </c>
      <c r="X1071">
        <v>4.6021000000000001</v>
      </c>
      <c r="Y1071">
        <v>5.7502999999999993</v>
      </c>
      <c r="Z1071">
        <v>6.3243999999999998</v>
      </c>
      <c r="AA1071">
        <v>6.8985000000000003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 t="s">
        <v>462</v>
      </c>
      <c r="AL1071" t="s">
        <v>6</v>
      </c>
      <c r="AM1071" t="s">
        <v>1145</v>
      </c>
      <c r="AN1071" t="s">
        <v>1146</v>
      </c>
      <c r="AO1071" s="100">
        <v>46262.040405092594</v>
      </c>
      <c r="AP1071" t="s">
        <v>1147</v>
      </c>
      <c r="AQ1071" t="s">
        <v>3366</v>
      </c>
      <c r="AR1071" t="s">
        <v>1236</v>
      </c>
      <c r="AS1071" t="s">
        <v>1150</v>
      </c>
      <c r="AT1071" t="s">
        <v>3328</v>
      </c>
      <c r="AU1071">
        <v>25</v>
      </c>
      <c r="AV1071">
        <v>5.1844959999999993</v>
      </c>
      <c r="AW1071">
        <v>0.66721256138255269</v>
      </c>
      <c r="AX1071">
        <v>12.869381351293409</v>
      </c>
      <c r="AY1071">
        <v>-23.146461788126032</v>
      </c>
      <c r="AZ1071">
        <v>44.380941017760158</v>
      </c>
      <c r="BB1071" t="s">
        <v>4620</v>
      </c>
      <c r="BD1071" s="98"/>
      <c r="BE1071" s="98"/>
      <c r="BF1071" t="s">
        <v>1152</v>
      </c>
      <c r="BG1071" t="s">
        <v>322</v>
      </c>
      <c r="BH1071" t="s">
        <v>1153</v>
      </c>
      <c r="BI1071">
        <v>23.146461788126032</v>
      </c>
      <c r="BN1071" t="s">
        <v>1154</v>
      </c>
      <c r="BO1071">
        <v>2025</v>
      </c>
      <c r="BP1071" t="s">
        <v>966</v>
      </c>
      <c r="BZ1071" t="s">
        <v>1513</v>
      </c>
      <c r="CA1071" t="s">
        <v>1513</v>
      </c>
      <c r="CB1071" t="b">
        <v>0</v>
      </c>
      <c r="CC1071" t="b">
        <v>0</v>
      </c>
      <c r="CD1071" t="b">
        <v>0</v>
      </c>
      <c r="CE1071" t="b">
        <v>0</v>
      </c>
      <c r="CF1071" t="b">
        <v>0</v>
      </c>
    </row>
    <row r="1072" spans="1:84" x14ac:dyDescent="0.3">
      <c r="A1072" t="s">
        <v>3367</v>
      </c>
      <c r="B1072" t="s">
        <v>1238</v>
      </c>
      <c r="C1072" s="98">
        <v>45803</v>
      </c>
      <c r="D1072">
        <v>2025</v>
      </c>
      <c r="E1072">
        <v>5</v>
      </c>
      <c r="F1072">
        <v>2</v>
      </c>
      <c r="G1072" t="s">
        <v>1226</v>
      </c>
      <c r="H1072" t="s">
        <v>145</v>
      </c>
      <c r="I1072" t="s">
        <v>145</v>
      </c>
      <c r="J1072" t="s">
        <v>6</v>
      </c>
      <c r="L1072">
        <v>522611</v>
      </c>
      <c r="M1072" s="99" t="s">
        <v>178</v>
      </c>
      <c r="N1072">
        <v>1</v>
      </c>
      <c r="O1072">
        <v>21</v>
      </c>
      <c r="P1072">
        <v>5.8497000000000003</v>
      </c>
      <c r="Q1072" t="s">
        <v>352</v>
      </c>
      <c r="R1072">
        <v>1</v>
      </c>
      <c r="S1072">
        <v>5.1761999999999997</v>
      </c>
      <c r="T1072">
        <v>0.57410000000000005</v>
      </c>
      <c r="U1072">
        <v>1.1731405678453242</v>
      </c>
      <c r="V1072">
        <v>3.4538999999999995</v>
      </c>
      <c r="W1072">
        <v>4.0279999999999996</v>
      </c>
      <c r="X1072">
        <v>4.6021000000000001</v>
      </c>
      <c r="Y1072">
        <v>5.7502999999999993</v>
      </c>
      <c r="Z1072">
        <v>6.3243999999999998</v>
      </c>
      <c r="AA1072">
        <v>6.8985000000000003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 t="s">
        <v>462</v>
      </c>
      <c r="AL1072" t="s">
        <v>6</v>
      </c>
      <c r="AM1072" t="s">
        <v>1145</v>
      </c>
      <c r="AN1072" t="s">
        <v>1146</v>
      </c>
      <c r="AO1072" s="100">
        <v>46262.040405092594</v>
      </c>
      <c r="AP1072" t="s">
        <v>1147</v>
      </c>
      <c r="AQ1072" t="s">
        <v>3368</v>
      </c>
      <c r="AR1072" t="s">
        <v>1240</v>
      </c>
      <c r="AS1072" t="s">
        <v>1150</v>
      </c>
      <c r="AT1072" t="s">
        <v>3328</v>
      </c>
      <c r="AU1072">
        <v>25</v>
      </c>
      <c r="AV1072">
        <v>5.1844959999999993</v>
      </c>
      <c r="AW1072">
        <v>0.66721256138255269</v>
      </c>
      <c r="AX1072">
        <v>12.869381351293409</v>
      </c>
      <c r="AY1072">
        <v>-23.146461788126032</v>
      </c>
      <c r="AZ1072">
        <v>44.380941017760158</v>
      </c>
      <c r="BB1072" t="s">
        <v>4620</v>
      </c>
      <c r="BD1072" s="98"/>
      <c r="BE1072" s="98"/>
      <c r="BF1072" t="s">
        <v>1152</v>
      </c>
      <c r="BG1072" t="s">
        <v>322</v>
      </c>
      <c r="BH1072" t="s">
        <v>1153</v>
      </c>
      <c r="BI1072">
        <v>23.146461788126032</v>
      </c>
      <c r="BN1072" t="s">
        <v>1154</v>
      </c>
      <c r="BO1072">
        <v>2025</v>
      </c>
      <c r="BP1072" t="s">
        <v>966</v>
      </c>
      <c r="BZ1072" t="s">
        <v>1513</v>
      </c>
      <c r="CA1072" t="s">
        <v>1513</v>
      </c>
      <c r="CB1072" t="b">
        <v>0</v>
      </c>
      <c r="CC1072" t="b">
        <v>0</v>
      </c>
      <c r="CD1072" t="b">
        <v>0</v>
      </c>
      <c r="CE1072" t="b">
        <v>0</v>
      </c>
      <c r="CF1072" t="b">
        <v>0</v>
      </c>
    </row>
    <row r="1073" spans="1:84" x14ac:dyDescent="0.3">
      <c r="A1073" t="s">
        <v>3369</v>
      </c>
      <c r="B1073" t="s">
        <v>1242</v>
      </c>
      <c r="C1073" s="98">
        <v>45810</v>
      </c>
      <c r="D1073">
        <v>2025</v>
      </c>
      <c r="E1073">
        <v>6</v>
      </c>
      <c r="F1073">
        <v>2</v>
      </c>
      <c r="G1073" t="s">
        <v>1243</v>
      </c>
      <c r="H1073" t="s">
        <v>145</v>
      </c>
      <c r="I1073" t="s">
        <v>145</v>
      </c>
      <c r="J1073" t="s">
        <v>6</v>
      </c>
      <c r="L1073">
        <v>522611</v>
      </c>
      <c r="M1073" s="99" t="s">
        <v>178</v>
      </c>
      <c r="N1073">
        <v>1</v>
      </c>
      <c r="O1073">
        <v>22</v>
      </c>
      <c r="P1073">
        <v>4.5152999999999999</v>
      </c>
      <c r="Q1073" t="s">
        <v>352</v>
      </c>
      <c r="R1073">
        <v>1</v>
      </c>
      <c r="S1073">
        <v>5.1761999999999997</v>
      </c>
      <c r="T1073">
        <v>0.57410000000000005</v>
      </c>
      <c r="U1073">
        <v>-1.1511931719212676</v>
      </c>
      <c r="V1073">
        <v>3.4538999999999995</v>
      </c>
      <c r="W1073">
        <v>4.0279999999999996</v>
      </c>
      <c r="X1073">
        <v>4.6021000000000001</v>
      </c>
      <c r="Y1073">
        <v>5.7502999999999993</v>
      </c>
      <c r="Z1073">
        <v>6.3243999999999998</v>
      </c>
      <c r="AA1073">
        <v>6.8985000000000003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 t="s">
        <v>462</v>
      </c>
      <c r="AL1073" t="s">
        <v>6</v>
      </c>
      <c r="AM1073" t="s">
        <v>1145</v>
      </c>
      <c r="AN1073" t="s">
        <v>1146</v>
      </c>
      <c r="AO1073" s="100">
        <v>46262.040405092594</v>
      </c>
      <c r="AP1073" t="s">
        <v>1147</v>
      </c>
      <c r="AQ1073" t="s">
        <v>3370</v>
      </c>
      <c r="AR1073" t="s">
        <v>1245</v>
      </c>
      <c r="AS1073" t="s">
        <v>1150</v>
      </c>
      <c r="AT1073" t="s">
        <v>3328</v>
      </c>
      <c r="AU1073">
        <v>25</v>
      </c>
      <c r="AV1073">
        <v>5.1844959999999993</v>
      </c>
      <c r="AW1073">
        <v>0.66721256138255269</v>
      </c>
      <c r="AX1073">
        <v>12.869381351293409</v>
      </c>
      <c r="AY1073">
        <v>-23.146461788126032</v>
      </c>
      <c r="AZ1073">
        <v>44.380941017760158</v>
      </c>
      <c r="BB1073" t="s">
        <v>4620</v>
      </c>
      <c r="BD1073" s="98"/>
      <c r="BE1073" s="98"/>
      <c r="BF1073" t="s">
        <v>1152</v>
      </c>
      <c r="BG1073" t="s">
        <v>322</v>
      </c>
      <c r="BH1073" t="s">
        <v>1153</v>
      </c>
      <c r="BI1073">
        <v>23.146461788126032</v>
      </c>
      <c r="BN1073" t="s">
        <v>1154</v>
      </c>
      <c r="BO1073">
        <v>2025</v>
      </c>
      <c r="BP1073" t="s">
        <v>966</v>
      </c>
      <c r="BZ1073" t="s">
        <v>1513</v>
      </c>
      <c r="CA1073" t="s">
        <v>1513</v>
      </c>
      <c r="CB1073" t="b">
        <v>0</v>
      </c>
      <c r="CC1073" t="b">
        <v>0</v>
      </c>
      <c r="CD1073" t="b">
        <v>0</v>
      </c>
      <c r="CE1073" t="b">
        <v>0</v>
      </c>
      <c r="CF1073" t="b">
        <v>0</v>
      </c>
    </row>
    <row r="1074" spans="1:84" x14ac:dyDescent="0.3">
      <c r="A1074" t="s">
        <v>3371</v>
      </c>
      <c r="B1074" t="s">
        <v>1247</v>
      </c>
      <c r="C1074" s="98">
        <v>45817</v>
      </c>
      <c r="D1074">
        <v>2025</v>
      </c>
      <c r="E1074">
        <v>6</v>
      </c>
      <c r="F1074">
        <v>2</v>
      </c>
      <c r="G1074" t="s">
        <v>1243</v>
      </c>
      <c r="H1074" t="s">
        <v>145</v>
      </c>
      <c r="I1074" t="s">
        <v>145</v>
      </c>
      <c r="J1074" t="s">
        <v>6</v>
      </c>
      <c r="L1074">
        <v>522611</v>
      </c>
      <c r="M1074" s="99" t="s">
        <v>178</v>
      </c>
      <c r="N1074">
        <v>1</v>
      </c>
      <c r="O1074">
        <v>23</v>
      </c>
      <c r="P1074">
        <v>5.6753</v>
      </c>
      <c r="Q1074" t="s">
        <v>352</v>
      </c>
      <c r="R1074">
        <v>1</v>
      </c>
      <c r="S1074">
        <v>5.1761999999999997</v>
      </c>
      <c r="T1074">
        <v>0.57410000000000005</v>
      </c>
      <c r="U1074">
        <v>0.8693607385472919</v>
      </c>
      <c r="V1074">
        <v>3.4538999999999995</v>
      </c>
      <c r="W1074">
        <v>4.0279999999999996</v>
      </c>
      <c r="X1074">
        <v>4.6021000000000001</v>
      </c>
      <c r="Y1074">
        <v>5.7502999999999993</v>
      </c>
      <c r="Z1074">
        <v>6.3243999999999998</v>
      </c>
      <c r="AA1074">
        <v>6.8985000000000003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 t="s">
        <v>462</v>
      </c>
      <c r="AL1074" t="s">
        <v>6</v>
      </c>
      <c r="AM1074" t="s">
        <v>1145</v>
      </c>
      <c r="AN1074" t="s">
        <v>1146</v>
      </c>
      <c r="AO1074" s="100">
        <v>46262.040405092594</v>
      </c>
      <c r="AP1074" t="s">
        <v>1147</v>
      </c>
      <c r="AQ1074" t="s">
        <v>3372</v>
      </c>
      <c r="AR1074" t="s">
        <v>1249</v>
      </c>
      <c r="AS1074" t="s">
        <v>1150</v>
      </c>
      <c r="AT1074" t="s">
        <v>3328</v>
      </c>
      <c r="AU1074">
        <v>25</v>
      </c>
      <c r="AV1074">
        <v>5.1844959999999993</v>
      </c>
      <c r="AW1074">
        <v>0.66721256138255269</v>
      </c>
      <c r="AX1074">
        <v>12.869381351293409</v>
      </c>
      <c r="AY1074">
        <v>-23.146461788126032</v>
      </c>
      <c r="AZ1074">
        <v>44.380941017760158</v>
      </c>
      <c r="BB1074" t="s">
        <v>4620</v>
      </c>
      <c r="BD1074" s="98"/>
      <c r="BE1074" s="98"/>
      <c r="BF1074" t="s">
        <v>1152</v>
      </c>
      <c r="BG1074" t="s">
        <v>322</v>
      </c>
      <c r="BH1074" t="s">
        <v>1153</v>
      </c>
      <c r="BI1074">
        <v>23.146461788126032</v>
      </c>
      <c r="BN1074" t="s">
        <v>1154</v>
      </c>
      <c r="BO1074">
        <v>2025</v>
      </c>
      <c r="BP1074" t="s">
        <v>966</v>
      </c>
      <c r="BZ1074" t="s">
        <v>1513</v>
      </c>
      <c r="CA1074" t="s">
        <v>1513</v>
      </c>
      <c r="CB1074" t="b">
        <v>0</v>
      </c>
      <c r="CC1074" t="b">
        <v>0</v>
      </c>
      <c r="CD1074" t="b">
        <v>0</v>
      </c>
      <c r="CE1074" t="b">
        <v>0</v>
      </c>
      <c r="CF1074" t="b">
        <v>0</v>
      </c>
    </row>
    <row r="1075" spans="1:84" x14ac:dyDescent="0.3">
      <c r="A1075" t="s">
        <v>3373</v>
      </c>
      <c r="B1075" t="s">
        <v>1251</v>
      </c>
      <c r="C1075" s="98">
        <v>45824</v>
      </c>
      <c r="D1075">
        <v>2025</v>
      </c>
      <c r="E1075">
        <v>6</v>
      </c>
      <c r="F1075">
        <v>2</v>
      </c>
      <c r="G1075" t="s">
        <v>1243</v>
      </c>
      <c r="H1075" t="s">
        <v>145</v>
      </c>
      <c r="I1075" t="s">
        <v>145</v>
      </c>
      <c r="J1075" t="s">
        <v>6</v>
      </c>
      <c r="L1075">
        <v>522611</v>
      </c>
      <c r="M1075" s="99" t="s">
        <v>178</v>
      </c>
      <c r="N1075">
        <v>1</v>
      </c>
      <c r="O1075">
        <v>24</v>
      </c>
      <c r="P1075">
        <v>5.8410000000000002</v>
      </c>
      <c r="Q1075" t="s">
        <v>352</v>
      </c>
      <c r="R1075">
        <v>1</v>
      </c>
      <c r="S1075">
        <v>5.1761999999999997</v>
      </c>
      <c r="T1075">
        <v>0.57410000000000005</v>
      </c>
      <c r="U1075">
        <v>1.1579864135168096</v>
      </c>
      <c r="V1075">
        <v>3.4538999999999995</v>
      </c>
      <c r="W1075">
        <v>4.0279999999999996</v>
      </c>
      <c r="X1075">
        <v>4.6021000000000001</v>
      </c>
      <c r="Y1075">
        <v>5.7502999999999993</v>
      </c>
      <c r="Z1075">
        <v>6.3243999999999998</v>
      </c>
      <c r="AA1075">
        <v>6.8985000000000003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 t="s">
        <v>462</v>
      </c>
      <c r="AL1075" t="s">
        <v>6</v>
      </c>
      <c r="AM1075" t="s">
        <v>1145</v>
      </c>
      <c r="AN1075" t="s">
        <v>1146</v>
      </c>
      <c r="AO1075" s="100">
        <v>46262.040405092594</v>
      </c>
      <c r="AP1075" t="s">
        <v>1147</v>
      </c>
      <c r="AQ1075" t="s">
        <v>3374</v>
      </c>
      <c r="AR1075" t="s">
        <v>1253</v>
      </c>
      <c r="AS1075" t="s">
        <v>1150</v>
      </c>
      <c r="AT1075" t="s">
        <v>3328</v>
      </c>
      <c r="AU1075">
        <v>25</v>
      </c>
      <c r="AV1075">
        <v>5.1844959999999993</v>
      </c>
      <c r="AW1075">
        <v>0.66721256138255269</v>
      </c>
      <c r="AX1075">
        <v>12.869381351293409</v>
      </c>
      <c r="AY1075">
        <v>-23.146461788126032</v>
      </c>
      <c r="AZ1075">
        <v>44.380941017760158</v>
      </c>
      <c r="BB1075" t="s">
        <v>4620</v>
      </c>
      <c r="BD1075" s="98"/>
      <c r="BE1075" s="98"/>
      <c r="BF1075" t="s">
        <v>1152</v>
      </c>
      <c r="BG1075" t="s">
        <v>322</v>
      </c>
      <c r="BH1075" t="s">
        <v>1153</v>
      </c>
      <c r="BI1075">
        <v>23.146461788126032</v>
      </c>
      <c r="BN1075" t="s">
        <v>1154</v>
      </c>
      <c r="BO1075">
        <v>2025</v>
      </c>
      <c r="BP1075" t="s">
        <v>966</v>
      </c>
      <c r="BZ1075" t="s">
        <v>1513</v>
      </c>
      <c r="CA1075" t="s">
        <v>1513</v>
      </c>
      <c r="CB1075" t="b">
        <v>0</v>
      </c>
      <c r="CC1075" t="b">
        <v>0</v>
      </c>
      <c r="CD1075" t="b">
        <v>0</v>
      </c>
      <c r="CE1075" t="b">
        <v>0</v>
      </c>
      <c r="CF1075" t="b">
        <v>0</v>
      </c>
    </row>
    <row r="1076" spans="1:84" x14ac:dyDescent="0.3">
      <c r="A1076" t="s">
        <v>3375</v>
      </c>
      <c r="B1076" t="s">
        <v>1255</v>
      </c>
      <c r="C1076" s="98">
        <v>45831</v>
      </c>
      <c r="D1076">
        <v>2025</v>
      </c>
      <c r="E1076">
        <v>6</v>
      </c>
      <c r="F1076">
        <v>2</v>
      </c>
      <c r="G1076" t="s">
        <v>1243</v>
      </c>
      <c r="H1076" t="s">
        <v>145</v>
      </c>
      <c r="I1076" t="s">
        <v>145</v>
      </c>
      <c r="J1076" t="s">
        <v>6</v>
      </c>
      <c r="L1076">
        <v>522611</v>
      </c>
      <c r="M1076" s="99" t="s">
        <v>178</v>
      </c>
      <c r="N1076">
        <v>1</v>
      </c>
      <c r="O1076">
        <v>25</v>
      </c>
      <c r="P1076">
        <v>4.7477</v>
      </c>
      <c r="Q1076" t="s">
        <v>352</v>
      </c>
      <c r="R1076">
        <v>1</v>
      </c>
      <c r="S1076">
        <v>5.1761999999999997</v>
      </c>
      <c r="T1076">
        <v>0.57410000000000005</v>
      </c>
      <c r="U1076">
        <v>-0.7463856470998077</v>
      </c>
      <c r="V1076">
        <v>3.4538999999999995</v>
      </c>
      <c r="W1076">
        <v>4.0279999999999996</v>
      </c>
      <c r="X1076">
        <v>4.6021000000000001</v>
      </c>
      <c r="Y1076">
        <v>5.7502999999999993</v>
      </c>
      <c r="Z1076">
        <v>6.3243999999999998</v>
      </c>
      <c r="AA1076">
        <v>6.8985000000000003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 t="s">
        <v>462</v>
      </c>
      <c r="AL1076" t="s">
        <v>6</v>
      </c>
      <c r="AM1076" t="s">
        <v>1145</v>
      </c>
      <c r="AN1076" t="s">
        <v>1146</v>
      </c>
      <c r="AO1076" s="100">
        <v>46262.040405092594</v>
      </c>
      <c r="AP1076" t="s">
        <v>1147</v>
      </c>
      <c r="AQ1076" t="s">
        <v>3376</v>
      </c>
      <c r="AR1076" t="s">
        <v>1257</v>
      </c>
      <c r="AS1076" t="s">
        <v>1150</v>
      </c>
      <c r="AT1076" t="s">
        <v>3328</v>
      </c>
      <c r="AU1076">
        <v>25</v>
      </c>
      <c r="AV1076">
        <v>5.1844959999999993</v>
      </c>
      <c r="AW1076">
        <v>0.66721256138255269</v>
      </c>
      <c r="AX1076">
        <v>12.869381351293409</v>
      </c>
      <c r="AY1076">
        <v>-23.146461788126032</v>
      </c>
      <c r="AZ1076">
        <v>44.380941017760158</v>
      </c>
      <c r="BB1076" t="s">
        <v>4620</v>
      </c>
      <c r="BD1076" s="98"/>
      <c r="BE1076" s="98"/>
      <c r="BF1076" t="s">
        <v>1152</v>
      </c>
      <c r="BG1076" t="s">
        <v>322</v>
      </c>
      <c r="BH1076" t="s">
        <v>1153</v>
      </c>
      <c r="BI1076">
        <v>23.146461788126032</v>
      </c>
      <c r="BN1076" t="s">
        <v>1154</v>
      </c>
      <c r="BO1076">
        <v>2025</v>
      </c>
      <c r="BP1076" t="s">
        <v>966</v>
      </c>
      <c r="BZ1076" t="s">
        <v>1513</v>
      </c>
      <c r="CA1076" t="s">
        <v>1513</v>
      </c>
      <c r="CB1076" t="b">
        <v>0</v>
      </c>
      <c r="CC1076" t="b">
        <v>0</v>
      </c>
      <c r="CD1076" t="b">
        <v>0</v>
      </c>
      <c r="CE1076" t="b">
        <v>0</v>
      </c>
      <c r="CF1076" t="b">
        <v>0</v>
      </c>
    </row>
    <row r="1077" spans="1:84" x14ac:dyDescent="0.3">
      <c r="A1077" t="s">
        <v>3377</v>
      </c>
      <c r="B1077" t="s">
        <v>1143</v>
      </c>
      <c r="C1077" s="98">
        <v>45663</v>
      </c>
      <c r="D1077">
        <v>2025</v>
      </c>
      <c r="E1077">
        <v>1</v>
      </c>
      <c r="F1077">
        <v>1</v>
      </c>
      <c r="G1077" t="s">
        <v>1144</v>
      </c>
      <c r="H1077" t="s">
        <v>145</v>
      </c>
      <c r="I1077" t="s">
        <v>145</v>
      </c>
      <c r="J1077" t="s">
        <v>6</v>
      </c>
      <c r="L1077">
        <v>522611</v>
      </c>
      <c r="M1077" s="99" t="s">
        <v>179</v>
      </c>
      <c r="N1077">
        <v>2</v>
      </c>
      <c r="O1077">
        <v>1</v>
      </c>
      <c r="P1077">
        <v>5.9568000000000003</v>
      </c>
      <c r="Q1077" t="s">
        <v>352</v>
      </c>
      <c r="R1077">
        <v>1</v>
      </c>
      <c r="S1077">
        <v>6.2138</v>
      </c>
      <c r="T1077">
        <v>0.26960000000000001</v>
      </c>
      <c r="U1077">
        <v>-0.95326409495548836</v>
      </c>
      <c r="V1077">
        <v>5.4050000000000002</v>
      </c>
      <c r="W1077">
        <v>5.6745999999999999</v>
      </c>
      <c r="X1077">
        <v>5.9442000000000004</v>
      </c>
      <c r="Y1077">
        <v>6.4833999999999996</v>
      </c>
      <c r="Z1077">
        <v>6.7530000000000001</v>
      </c>
      <c r="AA1077">
        <v>7.0225999999999997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 t="s">
        <v>462</v>
      </c>
      <c r="AL1077" t="s">
        <v>6</v>
      </c>
      <c r="AM1077" t="s">
        <v>1145</v>
      </c>
      <c r="AN1077" t="s">
        <v>1146</v>
      </c>
      <c r="AO1077" s="100">
        <v>46262.040405092594</v>
      </c>
      <c r="AP1077" t="s">
        <v>1147</v>
      </c>
      <c r="AQ1077" t="s">
        <v>3378</v>
      </c>
      <c r="AR1077" t="s">
        <v>1149</v>
      </c>
      <c r="AS1077" t="s">
        <v>1150</v>
      </c>
      <c r="AT1077" t="s">
        <v>3328</v>
      </c>
      <c r="AU1077">
        <v>25</v>
      </c>
      <c r="AV1077">
        <v>6.164752</v>
      </c>
      <c r="AW1077">
        <v>0.31433732029991801</v>
      </c>
      <c r="AX1077">
        <v>5.0989451043597214</v>
      </c>
      <c r="AY1077">
        <v>-23.146461788126032</v>
      </c>
      <c r="AZ1077">
        <v>31.559721210319573</v>
      </c>
      <c r="BB1077" t="s">
        <v>4620</v>
      </c>
      <c r="BD1077" s="98"/>
      <c r="BE1077" s="98"/>
      <c r="BF1077" t="s">
        <v>1152</v>
      </c>
      <c r="BG1077" t="s">
        <v>322</v>
      </c>
      <c r="BH1077" t="s">
        <v>1153</v>
      </c>
      <c r="BI1077">
        <v>23.146461788126032</v>
      </c>
      <c r="BN1077" t="s">
        <v>1154</v>
      </c>
      <c r="BO1077">
        <v>2025</v>
      </c>
      <c r="BP1077" t="s">
        <v>966</v>
      </c>
      <c r="BZ1077" t="s">
        <v>1513</v>
      </c>
      <c r="CA1077" t="s">
        <v>1513</v>
      </c>
      <c r="CB1077" t="b">
        <v>0</v>
      </c>
      <c r="CC1077" t="b">
        <v>0</v>
      </c>
      <c r="CD1077" t="b">
        <v>0</v>
      </c>
      <c r="CE1077" t="b">
        <v>0</v>
      </c>
      <c r="CF1077" t="b">
        <v>0</v>
      </c>
    </row>
    <row r="1078" spans="1:84" x14ac:dyDescent="0.3">
      <c r="A1078" t="s">
        <v>3379</v>
      </c>
      <c r="B1078" t="s">
        <v>1157</v>
      </c>
      <c r="C1078" s="98">
        <v>45670</v>
      </c>
      <c r="D1078">
        <v>2025</v>
      </c>
      <c r="E1078">
        <v>1</v>
      </c>
      <c r="F1078">
        <v>1</v>
      </c>
      <c r="G1078" t="s">
        <v>1144</v>
      </c>
      <c r="H1078" t="s">
        <v>145</v>
      </c>
      <c r="I1078" t="s">
        <v>145</v>
      </c>
      <c r="J1078" t="s">
        <v>6</v>
      </c>
      <c r="L1078">
        <v>522611</v>
      </c>
      <c r="M1078" s="99" t="s">
        <v>179</v>
      </c>
      <c r="N1078">
        <v>2</v>
      </c>
      <c r="O1078">
        <v>2</v>
      </c>
      <c r="P1078">
        <v>6.1841999999999997</v>
      </c>
      <c r="Q1078" t="s">
        <v>352</v>
      </c>
      <c r="R1078">
        <v>1</v>
      </c>
      <c r="S1078">
        <v>6.2138</v>
      </c>
      <c r="T1078">
        <v>0.26960000000000001</v>
      </c>
      <c r="U1078">
        <v>-0.10979228486646993</v>
      </c>
      <c r="V1078">
        <v>5.4050000000000002</v>
      </c>
      <c r="W1078">
        <v>5.6745999999999999</v>
      </c>
      <c r="X1078">
        <v>5.9442000000000004</v>
      </c>
      <c r="Y1078">
        <v>6.4833999999999996</v>
      </c>
      <c r="Z1078">
        <v>6.7530000000000001</v>
      </c>
      <c r="AA1078">
        <v>7.0225999999999997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 t="s">
        <v>462</v>
      </c>
      <c r="AL1078" t="s">
        <v>6</v>
      </c>
      <c r="AM1078" t="s">
        <v>1145</v>
      </c>
      <c r="AN1078" t="s">
        <v>1146</v>
      </c>
      <c r="AO1078" s="100">
        <v>46262.040405092594</v>
      </c>
      <c r="AP1078" t="s">
        <v>1147</v>
      </c>
      <c r="AQ1078" t="s">
        <v>3380</v>
      </c>
      <c r="AR1078" t="s">
        <v>1159</v>
      </c>
      <c r="AS1078" t="s">
        <v>1150</v>
      </c>
      <c r="AT1078" t="s">
        <v>3328</v>
      </c>
      <c r="AU1078">
        <v>25</v>
      </c>
      <c r="AV1078">
        <v>6.164752</v>
      </c>
      <c r="AW1078">
        <v>0.31433732029991801</v>
      </c>
      <c r="AX1078">
        <v>5.0989451043597214</v>
      </c>
      <c r="AY1078">
        <v>-23.146461788126032</v>
      </c>
      <c r="AZ1078">
        <v>31.559721210319573</v>
      </c>
      <c r="BB1078" t="s">
        <v>4620</v>
      </c>
      <c r="BD1078" s="98"/>
      <c r="BE1078" s="98"/>
      <c r="BF1078" t="s">
        <v>1152</v>
      </c>
      <c r="BG1078" t="s">
        <v>322</v>
      </c>
      <c r="BH1078" t="s">
        <v>1153</v>
      </c>
      <c r="BI1078">
        <v>23.146461788126032</v>
      </c>
      <c r="BN1078" t="s">
        <v>1154</v>
      </c>
      <c r="BO1078">
        <v>2025</v>
      </c>
      <c r="BP1078" t="s">
        <v>966</v>
      </c>
      <c r="BZ1078" t="s">
        <v>1513</v>
      </c>
      <c r="CA1078" t="s">
        <v>1513</v>
      </c>
      <c r="CB1078" t="b">
        <v>0</v>
      </c>
      <c r="CC1078" t="b">
        <v>0</v>
      </c>
      <c r="CD1078" t="b">
        <v>0</v>
      </c>
      <c r="CE1078" t="b">
        <v>0</v>
      </c>
      <c r="CF1078" t="b">
        <v>0</v>
      </c>
    </row>
    <row r="1079" spans="1:84" x14ac:dyDescent="0.3">
      <c r="A1079" t="s">
        <v>3381</v>
      </c>
      <c r="B1079" t="s">
        <v>1161</v>
      </c>
      <c r="C1079" s="98">
        <v>45677</v>
      </c>
      <c r="D1079">
        <v>2025</v>
      </c>
      <c r="E1079">
        <v>1</v>
      </c>
      <c r="F1079">
        <v>1</v>
      </c>
      <c r="G1079" t="s">
        <v>1144</v>
      </c>
      <c r="H1079" t="s">
        <v>145</v>
      </c>
      <c r="I1079" t="s">
        <v>145</v>
      </c>
      <c r="J1079" t="s">
        <v>6</v>
      </c>
      <c r="L1079">
        <v>522611</v>
      </c>
      <c r="M1079" s="99" t="s">
        <v>179</v>
      </c>
      <c r="N1079">
        <v>2</v>
      </c>
      <c r="O1079">
        <v>3</v>
      </c>
      <c r="P1079">
        <v>5.7820999999999998</v>
      </c>
      <c r="Q1079" t="s">
        <v>352</v>
      </c>
      <c r="R1079">
        <v>1</v>
      </c>
      <c r="S1079">
        <v>6.2138</v>
      </c>
      <c r="T1079">
        <v>0.26960000000000001</v>
      </c>
      <c r="U1079">
        <v>-1.6012611275964399</v>
      </c>
      <c r="V1079">
        <v>5.4050000000000002</v>
      </c>
      <c r="W1079">
        <v>5.6745999999999999</v>
      </c>
      <c r="X1079">
        <v>5.9442000000000004</v>
      </c>
      <c r="Y1079">
        <v>6.4833999999999996</v>
      </c>
      <c r="Z1079">
        <v>6.7530000000000001</v>
      </c>
      <c r="AA1079">
        <v>7.0225999999999997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 t="s">
        <v>462</v>
      </c>
      <c r="AL1079" t="s">
        <v>6</v>
      </c>
      <c r="AM1079" t="s">
        <v>1145</v>
      </c>
      <c r="AN1079" t="s">
        <v>1146</v>
      </c>
      <c r="AO1079" s="100">
        <v>46262.040405092594</v>
      </c>
      <c r="AP1079" t="s">
        <v>1147</v>
      </c>
      <c r="AQ1079" t="s">
        <v>3382</v>
      </c>
      <c r="AR1079" t="s">
        <v>1163</v>
      </c>
      <c r="AS1079" t="s">
        <v>1150</v>
      </c>
      <c r="AT1079" t="s">
        <v>3328</v>
      </c>
      <c r="AU1079">
        <v>25</v>
      </c>
      <c r="AV1079">
        <v>6.164752</v>
      </c>
      <c r="AW1079">
        <v>0.31433732029991801</v>
      </c>
      <c r="AX1079">
        <v>5.0989451043597214</v>
      </c>
      <c r="AY1079">
        <v>-23.146461788126032</v>
      </c>
      <c r="AZ1079">
        <v>31.559721210319573</v>
      </c>
      <c r="BB1079" t="s">
        <v>4620</v>
      </c>
      <c r="BD1079" s="98"/>
      <c r="BE1079" s="98"/>
      <c r="BF1079" t="s">
        <v>1152</v>
      </c>
      <c r="BG1079" t="s">
        <v>322</v>
      </c>
      <c r="BH1079" t="s">
        <v>1153</v>
      </c>
      <c r="BI1079">
        <v>23.146461788126032</v>
      </c>
      <c r="BN1079" t="s">
        <v>1154</v>
      </c>
      <c r="BO1079">
        <v>2025</v>
      </c>
      <c r="BP1079" t="s">
        <v>966</v>
      </c>
      <c r="BZ1079" t="s">
        <v>1513</v>
      </c>
      <c r="CA1079" t="s">
        <v>1513</v>
      </c>
      <c r="CB1079" t="b">
        <v>0</v>
      </c>
      <c r="CC1079" t="b">
        <v>0</v>
      </c>
      <c r="CD1079" t="b">
        <v>0</v>
      </c>
      <c r="CE1079" t="b">
        <v>0</v>
      </c>
      <c r="CF1079" t="b">
        <v>0</v>
      </c>
    </row>
    <row r="1080" spans="1:84" x14ac:dyDescent="0.3">
      <c r="A1080" t="s">
        <v>3383</v>
      </c>
      <c r="B1080" t="s">
        <v>1165</v>
      </c>
      <c r="C1080" s="98">
        <v>45684</v>
      </c>
      <c r="D1080">
        <v>2025</v>
      </c>
      <c r="E1080">
        <v>1</v>
      </c>
      <c r="F1080">
        <v>1</v>
      </c>
      <c r="G1080" t="s">
        <v>1144</v>
      </c>
      <c r="H1080" t="s">
        <v>145</v>
      </c>
      <c r="I1080" t="s">
        <v>145</v>
      </c>
      <c r="J1080" t="s">
        <v>6</v>
      </c>
      <c r="L1080">
        <v>522611</v>
      </c>
      <c r="M1080" s="99" t="s">
        <v>179</v>
      </c>
      <c r="N1080">
        <v>2</v>
      </c>
      <c r="O1080">
        <v>4</v>
      </c>
      <c r="P1080">
        <v>6.6101999999999999</v>
      </c>
      <c r="Q1080" t="s">
        <v>352</v>
      </c>
      <c r="R1080">
        <v>1</v>
      </c>
      <c r="S1080">
        <v>6.2138</v>
      </c>
      <c r="T1080">
        <v>0.26960000000000001</v>
      </c>
      <c r="U1080">
        <v>1.4703264094955484</v>
      </c>
      <c r="V1080">
        <v>5.4050000000000002</v>
      </c>
      <c r="W1080">
        <v>5.6745999999999999</v>
      </c>
      <c r="X1080">
        <v>5.9442000000000004</v>
      </c>
      <c r="Y1080">
        <v>6.4833999999999996</v>
      </c>
      <c r="Z1080">
        <v>6.7530000000000001</v>
      </c>
      <c r="AA1080">
        <v>7.0225999999999997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 t="s">
        <v>462</v>
      </c>
      <c r="AL1080" t="s">
        <v>6</v>
      </c>
      <c r="AM1080" t="s">
        <v>1145</v>
      </c>
      <c r="AN1080" t="s">
        <v>1146</v>
      </c>
      <c r="AO1080" s="100">
        <v>46262.040405092594</v>
      </c>
      <c r="AP1080" t="s">
        <v>1147</v>
      </c>
      <c r="AQ1080" t="s">
        <v>3384</v>
      </c>
      <c r="AR1080" t="s">
        <v>1167</v>
      </c>
      <c r="AS1080" t="s">
        <v>1150</v>
      </c>
      <c r="AT1080" t="s">
        <v>3328</v>
      </c>
      <c r="AU1080">
        <v>25</v>
      </c>
      <c r="AV1080">
        <v>6.164752</v>
      </c>
      <c r="AW1080">
        <v>0.31433732029991801</v>
      </c>
      <c r="AX1080">
        <v>5.0989451043597214</v>
      </c>
      <c r="AY1080">
        <v>-23.146461788126032</v>
      </c>
      <c r="AZ1080">
        <v>31.559721210319573</v>
      </c>
      <c r="BB1080" t="s">
        <v>4620</v>
      </c>
      <c r="BD1080" s="98"/>
      <c r="BE1080" s="98"/>
      <c r="BF1080" t="s">
        <v>1152</v>
      </c>
      <c r="BG1080" t="s">
        <v>322</v>
      </c>
      <c r="BH1080" t="s">
        <v>1153</v>
      </c>
      <c r="BI1080">
        <v>23.146461788126032</v>
      </c>
      <c r="BN1080" t="s">
        <v>1154</v>
      </c>
      <c r="BO1080">
        <v>2025</v>
      </c>
      <c r="BP1080" t="s">
        <v>966</v>
      </c>
      <c r="BZ1080" t="s">
        <v>1513</v>
      </c>
      <c r="CA1080" t="s">
        <v>1513</v>
      </c>
      <c r="CB1080" t="b">
        <v>0</v>
      </c>
      <c r="CC1080" t="b">
        <v>0</v>
      </c>
      <c r="CD1080" t="b">
        <v>0</v>
      </c>
      <c r="CE1080" t="b">
        <v>0</v>
      </c>
      <c r="CF1080" t="b">
        <v>0</v>
      </c>
    </row>
    <row r="1081" spans="1:84" x14ac:dyDescent="0.3">
      <c r="A1081" t="s">
        <v>3385</v>
      </c>
      <c r="B1081" t="s">
        <v>1169</v>
      </c>
      <c r="C1081" s="98">
        <v>45691</v>
      </c>
      <c r="D1081">
        <v>2025</v>
      </c>
      <c r="E1081">
        <v>2</v>
      </c>
      <c r="F1081">
        <v>1</v>
      </c>
      <c r="G1081" t="s">
        <v>1170</v>
      </c>
      <c r="H1081" t="s">
        <v>145</v>
      </c>
      <c r="I1081" t="s">
        <v>145</v>
      </c>
      <c r="J1081" t="s">
        <v>6</v>
      </c>
      <c r="L1081">
        <v>522611</v>
      </c>
      <c r="M1081" s="99" t="s">
        <v>179</v>
      </c>
      <c r="N1081">
        <v>2</v>
      </c>
      <c r="O1081">
        <v>5</v>
      </c>
      <c r="P1081">
        <v>5.5654000000000003</v>
      </c>
      <c r="Q1081" t="s">
        <v>352</v>
      </c>
      <c r="R1081">
        <v>1</v>
      </c>
      <c r="S1081">
        <v>6.2138</v>
      </c>
      <c r="T1081">
        <v>0.26960000000000001</v>
      </c>
      <c r="U1081">
        <v>-2.4050445103857552</v>
      </c>
      <c r="V1081">
        <v>5.4050000000000002</v>
      </c>
      <c r="W1081">
        <v>5.6745999999999999</v>
      </c>
      <c r="X1081">
        <v>5.9442000000000004</v>
      </c>
      <c r="Y1081">
        <v>6.4833999999999996</v>
      </c>
      <c r="Z1081">
        <v>6.7530000000000001</v>
      </c>
      <c r="AA1081">
        <v>7.0225999999999997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1</v>
      </c>
      <c r="AK1081" t="s">
        <v>462</v>
      </c>
      <c r="AL1081" t="s">
        <v>6</v>
      </c>
      <c r="AM1081" t="s">
        <v>1145</v>
      </c>
      <c r="AN1081" t="s">
        <v>1146</v>
      </c>
      <c r="AO1081" s="100">
        <v>46262.040405092594</v>
      </c>
      <c r="AP1081" t="s">
        <v>1147</v>
      </c>
      <c r="AQ1081" t="s">
        <v>3386</v>
      </c>
      <c r="AR1081" t="s">
        <v>1172</v>
      </c>
      <c r="AS1081" t="s">
        <v>1150</v>
      </c>
      <c r="AT1081" t="s">
        <v>3328</v>
      </c>
      <c r="AU1081">
        <v>25</v>
      </c>
      <c r="AV1081">
        <v>6.164752</v>
      </c>
      <c r="AW1081">
        <v>0.31433732029991801</v>
      </c>
      <c r="AX1081">
        <v>5.0989451043597214</v>
      </c>
      <c r="AY1081">
        <v>-23.146461788126032</v>
      </c>
      <c r="AZ1081">
        <v>31.559721210319573</v>
      </c>
      <c r="BB1081" t="s">
        <v>4620</v>
      </c>
      <c r="BD1081" s="98"/>
      <c r="BE1081" s="98"/>
      <c r="BF1081" t="s">
        <v>1152</v>
      </c>
      <c r="BG1081" t="s">
        <v>322</v>
      </c>
      <c r="BH1081" t="s">
        <v>1153</v>
      </c>
      <c r="BI1081">
        <v>23.146461788126032</v>
      </c>
      <c r="BN1081" t="s">
        <v>1154</v>
      </c>
      <c r="BO1081">
        <v>2025</v>
      </c>
      <c r="BP1081" t="s">
        <v>966</v>
      </c>
      <c r="BZ1081" t="s">
        <v>1513</v>
      </c>
      <c r="CA1081" t="s">
        <v>1513</v>
      </c>
      <c r="CB1081" t="b">
        <v>0</v>
      </c>
      <c r="CC1081" t="b">
        <v>0</v>
      </c>
      <c r="CD1081" t="b">
        <v>0</v>
      </c>
      <c r="CE1081" t="b">
        <v>0</v>
      </c>
      <c r="CF1081" t="b">
        <v>0</v>
      </c>
    </row>
    <row r="1082" spans="1:84" x14ac:dyDescent="0.3">
      <c r="A1082" t="s">
        <v>3387</v>
      </c>
      <c r="B1082" t="s">
        <v>1174</v>
      </c>
      <c r="C1082" s="98">
        <v>45698</v>
      </c>
      <c r="D1082">
        <v>2025</v>
      </c>
      <c r="E1082">
        <v>2</v>
      </c>
      <c r="F1082">
        <v>1</v>
      </c>
      <c r="G1082" t="s">
        <v>1170</v>
      </c>
      <c r="H1082" t="s">
        <v>145</v>
      </c>
      <c r="I1082" t="s">
        <v>145</v>
      </c>
      <c r="J1082" t="s">
        <v>6</v>
      </c>
      <c r="L1082">
        <v>522611</v>
      </c>
      <c r="M1082" s="99" t="s">
        <v>179</v>
      </c>
      <c r="N1082">
        <v>2</v>
      </c>
      <c r="O1082">
        <v>6</v>
      </c>
      <c r="P1082">
        <v>5.9154</v>
      </c>
      <c r="Q1082" t="s">
        <v>352</v>
      </c>
      <c r="R1082">
        <v>1</v>
      </c>
      <c r="S1082">
        <v>6.2138</v>
      </c>
      <c r="T1082">
        <v>0.26960000000000001</v>
      </c>
      <c r="U1082">
        <v>-1.1068249258160237</v>
      </c>
      <c r="V1082">
        <v>5.4050000000000002</v>
      </c>
      <c r="W1082">
        <v>5.6745999999999999</v>
      </c>
      <c r="X1082">
        <v>5.9442000000000004</v>
      </c>
      <c r="Y1082">
        <v>6.4833999999999996</v>
      </c>
      <c r="Z1082">
        <v>6.7530000000000001</v>
      </c>
      <c r="AA1082">
        <v>7.0225999999999997</v>
      </c>
      <c r="AE1082">
        <v>0</v>
      </c>
      <c r="AF1082">
        <v>0</v>
      </c>
      <c r="AG1082">
        <v>0</v>
      </c>
      <c r="AH1082">
        <v>0</v>
      </c>
      <c r="AI1082">
        <v>1</v>
      </c>
      <c r="AJ1082">
        <v>0</v>
      </c>
      <c r="AK1082" t="s">
        <v>1213</v>
      </c>
      <c r="AL1082" t="s">
        <v>6</v>
      </c>
      <c r="AM1082" t="s">
        <v>1145</v>
      </c>
      <c r="AN1082" t="s">
        <v>1146</v>
      </c>
      <c r="AO1082" s="100">
        <v>46262.040405092594</v>
      </c>
      <c r="AP1082" t="s">
        <v>1147</v>
      </c>
      <c r="AQ1082" t="s">
        <v>3388</v>
      </c>
      <c r="AR1082" t="s">
        <v>1176</v>
      </c>
      <c r="AS1082" t="s">
        <v>1150</v>
      </c>
      <c r="AT1082" t="s">
        <v>3328</v>
      </c>
      <c r="AU1082">
        <v>25</v>
      </c>
      <c r="AV1082">
        <v>6.164752</v>
      </c>
      <c r="AW1082">
        <v>0.31433732029991801</v>
      </c>
      <c r="AX1082">
        <v>5.0989451043597214</v>
      </c>
      <c r="AY1082">
        <v>-23.146461788126032</v>
      </c>
      <c r="AZ1082">
        <v>31.559721210319573</v>
      </c>
      <c r="BB1082" t="s">
        <v>4620</v>
      </c>
      <c r="BD1082" s="98"/>
      <c r="BE1082" s="98"/>
      <c r="BF1082" t="s">
        <v>1152</v>
      </c>
      <c r="BG1082" t="s">
        <v>322</v>
      </c>
      <c r="BH1082" t="s">
        <v>1153</v>
      </c>
      <c r="BI1082">
        <v>23.146461788126032</v>
      </c>
      <c r="BN1082" t="s">
        <v>1154</v>
      </c>
      <c r="BO1082">
        <v>2025</v>
      </c>
      <c r="BP1082" t="s">
        <v>966</v>
      </c>
      <c r="BZ1082" t="s">
        <v>1513</v>
      </c>
      <c r="CA1082" t="s">
        <v>1513</v>
      </c>
      <c r="CB1082" t="b">
        <v>0</v>
      </c>
      <c r="CC1082" t="b">
        <v>0</v>
      </c>
      <c r="CD1082" t="b">
        <v>0</v>
      </c>
      <c r="CE1082" t="b">
        <v>0</v>
      </c>
      <c r="CF1082" t="b">
        <v>0</v>
      </c>
    </row>
    <row r="1083" spans="1:84" x14ac:dyDescent="0.3">
      <c r="A1083" t="s">
        <v>3389</v>
      </c>
      <c r="B1083" t="s">
        <v>1178</v>
      </c>
      <c r="C1083" s="98">
        <v>45705</v>
      </c>
      <c r="D1083">
        <v>2025</v>
      </c>
      <c r="E1083">
        <v>2</v>
      </c>
      <c r="F1083">
        <v>1</v>
      </c>
      <c r="G1083" t="s">
        <v>1170</v>
      </c>
      <c r="H1083" t="s">
        <v>145</v>
      </c>
      <c r="I1083" t="s">
        <v>145</v>
      </c>
      <c r="J1083" t="s">
        <v>6</v>
      </c>
      <c r="L1083">
        <v>522611</v>
      </c>
      <c r="M1083" s="99" t="s">
        <v>179</v>
      </c>
      <c r="N1083">
        <v>2</v>
      </c>
      <c r="O1083">
        <v>7</v>
      </c>
      <c r="P1083">
        <v>6.1410999999999998</v>
      </c>
      <c r="Q1083" t="s">
        <v>352</v>
      </c>
      <c r="R1083">
        <v>1</v>
      </c>
      <c r="S1083">
        <v>6.2138</v>
      </c>
      <c r="T1083">
        <v>0.26960000000000001</v>
      </c>
      <c r="U1083">
        <v>-0.26965875370919956</v>
      </c>
      <c r="V1083">
        <v>5.4050000000000002</v>
      </c>
      <c r="W1083">
        <v>5.6745999999999999</v>
      </c>
      <c r="X1083">
        <v>5.9442000000000004</v>
      </c>
      <c r="Y1083">
        <v>6.4833999999999996</v>
      </c>
      <c r="Z1083">
        <v>6.7530000000000001</v>
      </c>
      <c r="AA1083">
        <v>7.0225999999999997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 t="s">
        <v>462</v>
      </c>
      <c r="AL1083" t="s">
        <v>6</v>
      </c>
      <c r="AM1083" t="s">
        <v>1145</v>
      </c>
      <c r="AN1083" t="s">
        <v>1146</v>
      </c>
      <c r="AO1083" s="100">
        <v>46262.040405092594</v>
      </c>
      <c r="AP1083" t="s">
        <v>1147</v>
      </c>
      <c r="AQ1083" t="s">
        <v>3390</v>
      </c>
      <c r="AR1083" t="s">
        <v>1180</v>
      </c>
      <c r="AS1083" t="s">
        <v>1150</v>
      </c>
      <c r="AT1083" t="s">
        <v>3328</v>
      </c>
      <c r="AU1083">
        <v>25</v>
      </c>
      <c r="AV1083">
        <v>6.164752</v>
      </c>
      <c r="AW1083">
        <v>0.31433732029991801</v>
      </c>
      <c r="AX1083">
        <v>5.0989451043597214</v>
      </c>
      <c r="AY1083">
        <v>-23.146461788126032</v>
      </c>
      <c r="AZ1083">
        <v>31.559721210319573</v>
      </c>
      <c r="BB1083" t="s">
        <v>4620</v>
      </c>
      <c r="BD1083" s="98"/>
      <c r="BE1083" s="98"/>
      <c r="BF1083" t="s">
        <v>1152</v>
      </c>
      <c r="BG1083" t="s">
        <v>322</v>
      </c>
      <c r="BH1083" t="s">
        <v>1153</v>
      </c>
      <c r="BI1083">
        <v>23.146461788126032</v>
      </c>
      <c r="BN1083" t="s">
        <v>1154</v>
      </c>
      <c r="BO1083">
        <v>2025</v>
      </c>
      <c r="BP1083" t="s">
        <v>966</v>
      </c>
      <c r="BZ1083" t="s">
        <v>1513</v>
      </c>
      <c r="CA1083" t="s">
        <v>1513</v>
      </c>
      <c r="CB1083" t="b">
        <v>0</v>
      </c>
      <c r="CC1083" t="b">
        <v>0</v>
      </c>
      <c r="CD1083" t="b">
        <v>0</v>
      </c>
      <c r="CE1083" t="b">
        <v>0</v>
      </c>
      <c r="CF1083" t="b">
        <v>0</v>
      </c>
    </row>
    <row r="1084" spans="1:84" x14ac:dyDescent="0.3">
      <c r="A1084" t="s">
        <v>3391</v>
      </c>
      <c r="B1084" t="s">
        <v>1182</v>
      </c>
      <c r="C1084" s="98">
        <v>45712</v>
      </c>
      <c r="D1084">
        <v>2025</v>
      </c>
      <c r="E1084">
        <v>2</v>
      </c>
      <c r="F1084">
        <v>1</v>
      </c>
      <c r="G1084" t="s">
        <v>1170</v>
      </c>
      <c r="H1084" t="s">
        <v>145</v>
      </c>
      <c r="I1084" t="s">
        <v>145</v>
      </c>
      <c r="J1084" t="s">
        <v>6</v>
      </c>
      <c r="L1084">
        <v>522611</v>
      </c>
      <c r="M1084" s="99" t="s">
        <v>179</v>
      </c>
      <c r="N1084">
        <v>2</v>
      </c>
      <c r="O1084">
        <v>8</v>
      </c>
      <c r="P1084">
        <v>6.1525999999999996</v>
      </c>
      <c r="Q1084" t="s">
        <v>352</v>
      </c>
      <c r="R1084">
        <v>1</v>
      </c>
      <c r="S1084">
        <v>6.2138</v>
      </c>
      <c r="T1084">
        <v>0.26960000000000001</v>
      </c>
      <c r="U1084">
        <v>-0.22700296735905179</v>
      </c>
      <c r="V1084">
        <v>5.4050000000000002</v>
      </c>
      <c r="W1084">
        <v>5.6745999999999999</v>
      </c>
      <c r="X1084">
        <v>5.9442000000000004</v>
      </c>
      <c r="Y1084">
        <v>6.4833999999999996</v>
      </c>
      <c r="Z1084">
        <v>6.7530000000000001</v>
      </c>
      <c r="AA1084">
        <v>7.0225999999999997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 t="s">
        <v>462</v>
      </c>
      <c r="AL1084" t="s">
        <v>6</v>
      </c>
      <c r="AM1084" t="s">
        <v>1145</v>
      </c>
      <c r="AN1084" t="s">
        <v>1146</v>
      </c>
      <c r="AO1084" s="100">
        <v>46262.040405092594</v>
      </c>
      <c r="AP1084" t="s">
        <v>1147</v>
      </c>
      <c r="AQ1084" t="s">
        <v>3392</v>
      </c>
      <c r="AR1084" t="s">
        <v>1184</v>
      </c>
      <c r="AS1084" t="s">
        <v>1150</v>
      </c>
      <c r="AT1084" t="s">
        <v>3328</v>
      </c>
      <c r="AU1084">
        <v>25</v>
      </c>
      <c r="AV1084">
        <v>6.164752</v>
      </c>
      <c r="AW1084">
        <v>0.31433732029991801</v>
      </c>
      <c r="AX1084">
        <v>5.0989451043597214</v>
      </c>
      <c r="AY1084">
        <v>-23.146461788126032</v>
      </c>
      <c r="AZ1084">
        <v>31.559721210319573</v>
      </c>
      <c r="BB1084" t="s">
        <v>4620</v>
      </c>
      <c r="BD1084" s="98"/>
      <c r="BE1084" s="98"/>
      <c r="BF1084" t="s">
        <v>1152</v>
      </c>
      <c r="BG1084" t="s">
        <v>322</v>
      </c>
      <c r="BH1084" t="s">
        <v>1153</v>
      </c>
      <c r="BI1084">
        <v>23.146461788126032</v>
      </c>
      <c r="BN1084" t="s">
        <v>1154</v>
      </c>
      <c r="BO1084">
        <v>2025</v>
      </c>
      <c r="BP1084" t="s">
        <v>966</v>
      </c>
      <c r="BZ1084" t="s">
        <v>1513</v>
      </c>
      <c r="CA1084" t="s">
        <v>1513</v>
      </c>
      <c r="CB1084" t="b">
        <v>0</v>
      </c>
      <c r="CC1084" t="b">
        <v>0</v>
      </c>
      <c r="CD1084" t="b">
        <v>0</v>
      </c>
      <c r="CE1084" t="b">
        <v>0</v>
      </c>
      <c r="CF1084" t="b">
        <v>0</v>
      </c>
    </row>
    <row r="1085" spans="1:84" x14ac:dyDescent="0.3">
      <c r="A1085" t="s">
        <v>3393</v>
      </c>
      <c r="B1085" t="s">
        <v>1186</v>
      </c>
      <c r="C1085" s="98">
        <v>45719</v>
      </c>
      <c r="D1085">
        <v>2025</v>
      </c>
      <c r="E1085">
        <v>3</v>
      </c>
      <c r="F1085">
        <v>1</v>
      </c>
      <c r="G1085" t="s">
        <v>1187</v>
      </c>
      <c r="H1085" t="s">
        <v>145</v>
      </c>
      <c r="I1085" t="s">
        <v>145</v>
      </c>
      <c r="J1085" t="s">
        <v>6</v>
      </c>
      <c r="L1085">
        <v>522611</v>
      </c>
      <c r="M1085" s="99" t="s">
        <v>179</v>
      </c>
      <c r="N1085">
        <v>2</v>
      </c>
      <c r="O1085">
        <v>9</v>
      </c>
      <c r="P1085">
        <v>6.2586000000000004</v>
      </c>
      <c r="Q1085" t="s">
        <v>352</v>
      </c>
      <c r="R1085">
        <v>1</v>
      </c>
      <c r="S1085">
        <v>6.2138</v>
      </c>
      <c r="T1085">
        <v>0.26960000000000001</v>
      </c>
      <c r="U1085">
        <v>0.16617210682492728</v>
      </c>
      <c r="V1085">
        <v>5.4050000000000002</v>
      </c>
      <c r="W1085">
        <v>5.6745999999999999</v>
      </c>
      <c r="X1085">
        <v>5.9442000000000004</v>
      </c>
      <c r="Y1085">
        <v>6.4833999999999996</v>
      </c>
      <c r="Z1085">
        <v>6.7530000000000001</v>
      </c>
      <c r="AA1085">
        <v>7.0225999999999997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 t="s">
        <v>462</v>
      </c>
      <c r="AL1085" t="s">
        <v>6</v>
      </c>
      <c r="AM1085" t="s">
        <v>1145</v>
      </c>
      <c r="AN1085" t="s">
        <v>1146</v>
      </c>
      <c r="AO1085" s="100">
        <v>46262.040405092594</v>
      </c>
      <c r="AP1085" t="s">
        <v>1147</v>
      </c>
      <c r="AQ1085" t="s">
        <v>3394</v>
      </c>
      <c r="AR1085" t="s">
        <v>1189</v>
      </c>
      <c r="AS1085" t="s">
        <v>1150</v>
      </c>
      <c r="AT1085" t="s">
        <v>3328</v>
      </c>
      <c r="AU1085">
        <v>25</v>
      </c>
      <c r="AV1085">
        <v>6.164752</v>
      </c>
      <c r="AW1085">
        <v>0.31433732029991801</v>
      </c>
      <c r="AX1085">
        <v>5.0989451043597214</v>
      </c>
      <c r="AY1085">
        <v>-23.146461788126032</v>
      </c>
      <c r="AZ1085">
        <v>31.559721210319573</v>
      </c>
      <c r="BB1085" t="s">
        <v>4620</v>
      </c>
      <c r="BD1085" s="98"/>
      <c r="BE1085" s="98"/>
      <c r="BF1085" t="s">
        <v>1152</v>
      </c>
      <c r="BG1085" t="s">
        <v>322</v>
      </c>
      <c r="BH1085" t="s">
        <v>1153</v>
      </c>
      <c r="BI1085">
        <v>23.146461788126032</v>
      </c>
      <c r="BN1085" t="s">
        <v>1154</v>
      </c>
      <c r="BO1085">
        <v>2025</v>
      </c>
      <c r="BP1085" t="s">
        <v>966</v>
      </c>
      <c r="BZ1085" t="s">
        <v>1513</v>
      </c>
      <c r="CA1085" t="s">
        <v>1513</v>
      </c>
      <c r="CB1085" t="b">
        <v>0</v>
      </c>
      <c r="CC1085" t="b">
        <v>0</v>
      </c>
      <c r="CD1085" t="b">
        <v>0</v>
      </c>
      <c r="CE1085" t="b">
        <v>0</v>
      </c>
      <c r="CF1085" t="b">
        <v>0</v>
      </c>
    </row>
    <row r="1086" spans="1:84" x14ac:dyDescent="0.3">
      <c r="A1086" t="s">
        <v>3395</v>
      </c>
      <c r="B1086" t="s">
        <v>1191</v>
      </c>
      <c r="C1086" s="98">
        <v>45726</v>
      </c>
      <c r="D1086">
        <v>2025</v>
      </c>
      <c r="E1086">
        <v>3</v>
      </c>
      <c r="F1086">
        <v>1</v>
      </c>
      <c r="G1086" t="s">
        <v>1187</v>
      </c>
      <c r="H1086" t="s">
        <v>145</v>
      </c>
      <c r="I1086" t="s">
        <v>145</v>
      </c>
      <c r="J1086" t="s">
        <v>6</v>
      </c>
      <c r="L1086">
        <v>522611</v>
      </c>
      <c r="M1086" s="99" t="s">
        <v>179</v>
      </c>
      <c r="N1086">
        <v>2</v>
      </c>
      <c r="O1086">
        <v>10</v>
      </c>
      <c r="P1086">
        <v>6.2869999999999999</v>
      </c>
      <c r="Q1086" t="s">
        <v>352</v>
      </c>
      <c r="R1086">
        <v>1</v>
      </c>
      <c r="S1086">
        <v>6.2138</v>
      </c>
      <c r="T1086">
        <v>0.26960000000000001</v>
      </c>
      <c r="U1086">
        <v>0.27151335311572672</v>
      </c>
      <c r="V1086">
        <v>5.4050000000000002</v>
      </c>
      <c r="W1086">
        <v>5.6745999999999999</v>
      </c>
      <c r="X1086">
        <v>5.9442000000000004</v>
      </c>
      <c r="Y1086">
        <v>6.4833999999999996</v>
      </c>
      <c r="Z1086">
        <v>6.7530000000000001</v>
      </c>
      <c r="AA1086">
        <v>7.0225999999999997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 t="s">
        <v>462</v>
      </c>
      <c r="AL1086" t="s">
        <v>6</v>
      </c>
      <c r="AM1086" t="s">
        <v>1145</v>
      </c>
      <c r="AN1086" t="s">
        <v>1146</v>
      </c>
      <c r="AO1086" s="100">
        <v>46262.040405092594</v>
      </c>
      <c r="AP1086" t="s">
        <v>1147</v>
      </c>
      <c r="AQ1086" t="s">
        <v>3396</v>
      </c>
      <c r="AR1086" t="s">
        <v>1193</v>
      </c>
      <c r="AS1086" t="s">
        <v>1150</v>
      </c>
      <c r="AT1086" t="s">
        <v>3328</v>
      </c>
      <c r="AU1086">
        <v>25</v>
      </c>
      <c r="AV1086">
        <v>6.164752</v>
      </c>
      <c r="AW1086">
        <v>0.31433732029991801</v>
      </c>
      <c r="AX1086">
        <v>5.0989451043597214</v>
      </c>
      <c r="AY1086">
        <v>-23.146461788126032</v>
      </c>
      <c r="AZ1086">
        <v>31.559721210319573</v>
      </c>
      <c r="BB1086" t="s">
        <v>4620</v>
      </c>
      <c r="BD1086" s="98"/>
      <c r="BE1086" s="98"/>
      <c r="BF1086" t="s">
        <v>1152</v>
      </c>
      <c r="BG1086" t="s">
        <v>322</v>
      </c>
      <c r="BH1086" t="s">
        <v>1153</v>
      </c>
      <c r="BI1086">
        <v>23.146461788126032</v>
      </c>
      <c r="BN1086" t="s">
        <v>1154</v>
      </c>
      <c r="BO1086">
        <v>2025</v>
      </c>
      <c r="BP1086" t="s">
        <v>966</v>
      </c>
      <c r="BZ1086" t="s">
        <v>1513</v>
      </c>
      <c r="CA1086" t="s">
        <v>1513</v>
      </c>
      <c r="CB1086" t="b">
        <v>0</v>
      </c>
      <c r="CC1086" t="b">
        <v>0</v>
      </c>
      <c r="CD1086" t="b">
        <v>0</v>
      </c>
      <c r="CE1086" t="b">
        <v>0</v>
      </c>
      <c r="CF1086" t="b">
        <v>0</v>
      </c>
    </row>
    <row r="1087" spans="1:84" x14ac:dyDescent="0.3">
      <c r="A1087" t="s">
        <v>3397</v>
      </c>
      <c r="B1087" t="s">
        <v>1195</v>
      </c>
      <c r="C1087" s="98">
        <v>45733</v>
      </c>
      <c r="D1087">
        <v>2025</v>
      </c>
      <c r="E1087">
        <v>3</v>
      </c>
      <c r="F1087">
        <v>1</v>
      </c>
      <c r="G1087" t="s">
        <v>1187</v>
      </c>
      <c r="H1087" t="s">
        <v>145</v>
      </c>
      <c r="I1087" t="s">
        <v>145</v>
      </c>
      <c r="J1087" t="s">
        <v>6</v>
      </c>
      <c r="L1087">
        <v>522611</v>
      </c>
      <c r="M1087" s="99" t="s">
        <v>179</v>
      </c>
      <c r="N1087">
        <v>2</v>
      </c>
      <c r="O1087">
        <v>11</v>
      </c>
      <c r="P1087">
        <v>6.1562000000000001</v>
      </c>
      <c r="Q1087" t="s">
        <v>352</v>
      </c>
      <c r="R1087">
        <v>1</v>
      </c>
      <c r="S1087">
        <v>6.2138</v>
      </c>
      <c r="T1087">
        <v>0.26960000000000001</v>
      </c>
      <c r="U1087">
        <v>-0.213649851632047</v>
      </c>
      <c r="V1087">
        <v>5.4050000000000002</v>
      </c>
      <c r="W1087">
        <v>5.6745999999999999</v>
      </c>
      <c r="X1087">
        <v>5.9442000000000004</v>
      </c>
      <c r="Y1087">
        <v>6.4833999999999996</v>
      </c>
      <c r="Z1087">
        <v>6.7530000000000001</v>
      </c>
      <c r="AA1087">
        <v>7.0225999999999997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 t="s">
        <v>462</v>
      </c>
      <c r="AL1087" t="s">
        <v>6</v>
      </c>
      <c r="AM1087" t="s">
        <v>1145</v>
      </c>
      <c r="AN1087" t="s">
        <v>1146</v>
      </c>
      <c r="AO1087" s="100">
        <v>46262.040405092594</v>
      </c>
      <c r="AP1087" t="s">
        <v>1147</v>
      </c>
      <c r="AQ1087" t="s">
        <v>3398</v>
      </c>
      <c r="AR1087" t="s">
        <v>1197</v>
      </c>
      <c r="AS1087" t="s">
        <v>1150</v>
      </c>
      <c r="AT1087" t="s">
        <v>3328</v>
      </c>
      <c r="AU1087">
        <v>25</v>
      </c>
      <c r="AV1087">
        <v>6.164752</v>
      </c>
      <c r="AW1087">
        <v>0.31433732029991801</v>
      </c>
      <c r="AX1087">
        <v>5.0989451043597214</v>
      </c>
      <c r="AY1087">
        <v>-23.146461788126032</v>
      </c>
      <c r="AZ1087">
        <v>31.559721210319573</v>
      </c>
      <c r="BB1087" t="s">
        <v>4620</v>
      </c>
      <c r="BD1087" s="98"/>
      <c r="BE1087" s="98"/>
      <c r="BF1087" t="s">
        <v>1152</v>
      </c>
      <c r="BG1087" t="s">
        <v>322</v>
      </c>
      <c r="BH1087" t="s">
        <v>1153</v>
      </c>
      <c r="BI1087">
        <v>23.146461788126032</v>
      </c>
      <c r="BN1087" t="s">
        <v>1154</v>
      </c>
      <c r="BO1087">
        <v>2025</v>
      </c>
      <c r="BP1087" t="s">
        <v>966</v>
      </c>
      <c r="BZ1087" t="s">
        <v>1513</v>
      </c>
      <c r="CA1087" t="s">
        <v>1513</v>
      </c>
      <c r="CB1087" t="b">
        <v>0</v>
      </c>
      <c r="CC1087" t="b">
        <v>0</v>
      </c>
      <c r="CD1087" t="b">
        <v>0</v>
      </c>
      <c r="CE1087" t="b">
        <v>0</v>
      </c>
      <c r="CF1087" t="b">
        <v>0</v>
      </c>
    </row>
    <row r="1088" spans="1:84" x14ac:dyDescent="0.3">
      <c r="A1088" t="s">
        <v>3399</v>
      </c>
      <c r="B1088" t="s">
        <v>1199</v>
      </c>
      <c r="C1088" s="98">
        <v>45740</v>
      </c>
      <c r="D1088">
        <v>2025</v>
      </c>
      <c r="E1088">
        <v>3</v>
      </c>
      <c r="F1088">
        <v>1</v>
      </c>
      <c r="G1088" t="s">
        <v>1187</v>
      </c>
      <c r="H1088" t="s">
        <v>145</v>
      </c>
      <c r="I1088" t="s">
        <v>145</v>
      </c>
      <c r="J1088" t="s">
        <v>6</v>
      </c>
      <c r="L1088">
        <v>522611</v>
      </c>
      <c r="M1088" s="99" t="s">
        <v>179</v>
      </c>
      <c r="N1088">
        <v>2</v>
      </c>
      <c r="O1088">
        <v>12</v>
      </c>
      <c r="P1088">
        <v>6.5202</v>
      </c>
      <c r="Q1088" t="s">
        <v>352</v>
      </c>
      <c r="R1088">
        <v>1</v>
      </c>
      <c r="S1088">
        <v>6.2138</v>
      </c>
      <c r="T1088">
        <v>0.26960000000000001</v>
      </c>
      <c r="U1088">
        <v>1.1364985163204748</v>
      </c>
      <c r="V1088">
        <v>5.4050000000000002</v>
      </c>
      <c r="W1088">
        <v>5.6745999999999999</v>
      </c>
      <c r="X1088">
        <v>5.9442000000000004</v>
      </c>
      <c r="Y1088">
        <v>6.4833999999999996</v>
      </c>
      <c r="Z1088">
        <v>6.7530000000000001</v>
      </c>
      <c r="AA1088">
        <v>7.0225999999999997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 t="s">
        <v>462</v>
      </c>
      <c r="AL1088" t="s">
        <v>6</v>
      </c>
      <c r="AM1088" t="s">
        <v>1145</v>
      </c>
      <c r="AN1088" t="s">
        <v>1146</v>
      </c>
      <c r="AO1088" s="100">
        <v>46262.040405092594</v>
      </c>
      <c r="AP1088" t="s">
        <v>1147</v>
      </c>
      <c r="AQ1088" t="s">
        <v>3400</v>
      </c>
      <c r="AR1088" t="s">
        <v>1201</v>
      </c>
      <c r="AS1088" t="s">
        <v>1150</v>
      </c>
      <c r="AT1088" t="s">
        <v>3328</v>
      </c>
      <c r="AU1088">
        <v>25</v>
      </c>
      <c r="AV1088">
        <v>6.164752</v>
      </c>
      <c r="AW1088">
        <v>0.31433732029991801</v>
      </c>
      <c r="AX1088">
        <v>5.0989451043597214</v>
      </c>
      <c r="AY1088">
        <v>-23.146461788126032</v>
      </c>
      <c r="AZ1088">
        <v>31.559721210319573</v>
      </c>
      <c r="BB1088" t="s">
        <v>4620</v>
      </c>
      <c r="BD1088" s="98"/>
      <c r="BE1088" s="98"/>
      <c r="BF1088" t="s">
        <v>1152</v>
      </c>
      <c r="BG1088" t="s">
        <v>322</v>
      </c>
      <c r="BH1088" t="s">
        <v>1153</v>
      </c>
      <c r="BI1088">
        <v>23.146461788126032</v>
      </c>
      <c r="BN1088" t="s">
        <v>1154</v>
      </c>
      <c r="BO1088">
        <v>2025</v>
      </c>
      <c r="BP1088" t="s">
        <v>966</v>
      </c>
      <c r="BZ1088" t="s">
        <v>1513</v>
      </c>
      <c r="CA1088" t="s">
        <v>1513</v>
      </c>
      <c r="CB1088" t="b">
        <v>0</v>
      </c>
      <c r="CC1088" t="b">
        <v>0</v>
      </c>
      <c r="CD1088" t="b">
        <v>0</v>
      </c>
      <c r="CE1088" t="b">
        <v>0</v>
      </c>
      <c r="CF1088" t="b">
        <v>0</v>
      </c>
    </row>
    <row r="1089" spans="1:84" x14ac:dyDescent="0.3">
      <c r="A1089" t="s">
        <v>3401</v>
      </c>
      <c r="B1089" t="s">
        <v>1203</v>
      </c>
      <c r="C1089" s="98">
        <v>45747</v>
      </c>
      <c r="D1089">
        <v>2025</v>
      </c>
      <c r="E1089">
        <v>3</v>
      </c>
      <c r="F1089">
        <v>1</v>
      </c>
      <c r="G1089" t="s">
        <v>1187</v>
      </c>
      <c r="H1089" t="s">
        <v>145</v>
      </c>
      <c r="I1089" t="s">
        <v>145</v>
      </c>
      <c r="J1089" t="s">
        <v>6</v>
      </c>
      <c r="L1089">
        <v>522611</v>
      </c>
      <c r="M1089" s="99" t="s">
        <v>179</v>
      </c>
      <c r="N1089">
        <v>2</v>
      </c>
      <c r="O1089">
        <v>13</v>
      </c>
      <c r="P1089">
        <v>5.6371000000000002</v>
      </c>
      <c r="Q1089" t="s">
        <v>352</v>
      </c>
      <c r="R1089">
        <v>1</v>
      </c>
      <c r="S1089">
        <v>6.2138</v>
      </c>
      <c r="T1089">
        <v>0.26960000000000001</v>
      </c>
      <c r="U1089">
        <v>-2.1390949554896133</v>
      </c>
      <c r="V1089">
        <v>5.4050000000000002</v>
      </c>
      <c r="W1089">
        <v>5.6745999999999999</v>
      </c>
      <c r="X1089">
        <v>5.9442000000000004</v>
      </c>
      <c r="Y1089">
        <v>6.4833999999999996</v>
      </c>
      <c r="Z1089">
        <v>6.7530000000000001</v>
      </c>
      <c r="AA1089">
        <v>7.0225999999999997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1</v>
      </c>
      <c r="AK1089" t="s">
        <v>462</v>
      </c>
      <c r="AL1089" t="s">
        <v>6</v>
      </c>
      <c r="AM1089" t="s">
        <v>1145</v>
      </c>
      <c r="AN1089" t="s">
        <v>1146</v>
      </c>
      <c r="AO1089" s="100">
        <v>46262.040405092594</v>
      </c>
      <c r="AP1089" t="s">
        <v>1147</v>
      </c>
      <c r="AQ1089" t="s">
        <v>3402</v>
      </c>
      <c r="AR1089" t="s">
        <v>1205</v>
      </c>
      <c r="AS1089" t="s">
        <v>1150</v>
      </c>
      <c r="AT1089" t="s">
        <v>3328</v>
      </c>
      <c r="AU1089">
        <v>25</v>
      </c>
      <c r="AV1089">
        <v>6.164752</v>
      </c>
      <c r="AW1089">
        <v>0.31433732029991801</v>
      </c>
      <c r="AX1089">
        <v>5.0989451043597214</v>
      </c>
      <c r="AY1089">
        <v>-23.146461788126032</v>
      </c>
      <c r="AZ1089">
        <v>31.559721210319573</v>
      </c>
      <c r="BB1089" t="s">
        <v>4620</v>
      </c>
      <c r="BD1089" s="98"/>
      <c r="BE1089" s="98"/>
      <c r="BF1089" t="s">
        <v>1152</v>
      </c>
      <c r="BG1089" t="s">
        <v>322</v>
      </c>
      <c r="BH1089" t="s">
        <v>1153</v>
      </c>
      <c r="BI1089">
        <v>23.146461788126032</v>
      </c>
      <c r="BN1089" t="s">
        <v>1154</v>
      </c>
      <c r="BO1089">
        <v>2025</v>
      </c>
      <c r="BP1089" t="s">
        <v>966</v>
      </c>
      <c r="BZ1089" t="s">
        <v>1513</v>
      </c>
      <c r="CA1089" t="s">
        <v>1513</v>
      </c>
      <c r="CB1089" t="b">
        <v>0</v>
      </c>
      <c r="CC1089" t="b">
        <v>0</v>
      </c>
      <c r="CD1089" t="b">
        <v>0</v>
      </c>
      <c r="CE1089" t="b">
        <v>0</v>
      </c>
      <c r="CF1089" t="b">
        <v>0</v>
      </c>
    </row>
    <row r="1090" spans="1:84" x14ac:dyDescent="0.3">
      <c r="A1090" t="s">
        <v>3403</v>
      </c>
      <c r="B1090" t="s">
        <v>1207</v>
      </c>
      <c r="C1090" s="98">
        <v>45754</v>
      </c>
      <c r="D1090">
        <v>2025</v>
      </c>
      <c r="E1090">
        <v>4</v>
      </c>
      <c r="F1090">
        <v>2</v>
      </c>
      <c r="G1090" t="s">
        <v>1208</v>
      </c>
      <c r="H1090" t="s">
        <v>145</v>
      </c>
      <c r="I1090" t="s">
        <v>145</v>
      </c>
      <c r="J1090" t="s">
        <v>6</v>
      </c>
      <c r="L1090">
        <v>522611</v>
      </c>
      <c r="M1090" s="99" t="s">
        <v>179</v>
      </c>
      <c r="N1090">
        <v>2</v>
      </c>
      <c r="O1090">
        <v>14</v>
      </c>
      <c r="P1090">
        <v>6.2137000000000002</v>
      </c>
      <c r="Q1090" t="s">
        <v>352</v>
      </c>
      <c r="R1090">
        <v>1</v>
      </c>
      <c r="S1090">
        <v>6.2138</v>
      </c>
      <c r="T1090">
        <v>0.26960000000000001</v>
      </c>
      <c r="U1090">
        <v>-3.7091988130477351E-4</v>
      </c>
      <c r="V1090">
        <v>5.4050000000000002</v>
      </c>
      <c r="W1090">
        <v>5.6745999999999999</v>
      </c>
      <c r="X1090">
        <v>5.9442000000000004</v>
      </c>
      <c r="Y1090">
        <v>6.4833999999999996</v>
      </c>
      <c r="Z1090">
        <v>6.7530000000000001</v>
      </c>
      <c r="AA1090">
        <v>7.0225999999999997</v>
      </c>
      <c r="AE1090">
        <v>0</v>
      </c>
      <c r="AF1090">
        <v>0</v>
      </c>
      <c r="AG1090">
        <v>0</v>
      </c>
      <c r="AH1090">
        <v>0</v>
      </c>
      <c r="AI1090">
        <v>1</v>
      </c>
      <c r="AJ1090">
        <v>0</v>
      </c>
      <c r="AK1090" t="s">
        <v>1213</v>
      </c>
      <c r="AL1090" t="s">
        <v>6</v>
      </c>
      <c r="AM1090" t="s">
        <v>1145</v>
      </c>
      <c r="AN1090" t="s">
        <v>1146</v>
      </c>
      <c r="AO1090" s="100">
        <v>46262.040405092594</v>
      </c>
      <c r="AP1090" t="s">
        <v>1147</v>
      </c>
      <c r="AQ1090" t="s">
        <v>3404</v>
      </c>
      <c r="AR1090" t="s">
        <v>1210</v>
      </c>
      <c r="AS1090" t="s">
        <v>1150</v>
      </c>
      <c r="AT1090" t="s">
        <v>3328</v>
      </c>
      <c r="AU1090">
        <v>25</v>
      </c>
      <c r="AV1090">
        <v>6.164752</v>
      </c>
      <c r="AW1090">
        <v>0.31433732029991801</v>
      </c>
      <c r="AX1090">
        <v>5.0989451043597214</v>
      </c>
      <c r="AY1090">
        <v>-23.146461788126032</v>
      </c>
      <c r="AZ1090">
        <v>31.559721210319573</v>
      </c>
      <c r="BB1090" t="s">
        <v>4620</v>
      </c>
      <c r="BD1090" s="98"/>
      <c r="BE1090" s="98"/>
      <c r="BF1090" t="s">
        <v>1152</v>
      </c>
      <c r="BG1090" t="s">
        <v>322</v>
      </c>
      <c r="BH1090" t="s">
        <v>1153</v>
      </c>
      <c r="BI1090">
        <v>23.146461788126032</v>
      </c>
      <c r="BN1090" t="s">
        <v>1154</v>
      </c>
      <c r="BO1090">
        <v>2025</v>
      </c>
      <c r="BP1090" t="s">
        <v>966</v>
      </c>
      <c r="BZ1090" t="s">
        <v>1513</v>
      </c>
      <c r="CA1090" t="s">
        <v>1513</v>
      </c>
      <c r="CB1090" t="b">
        <v>0</v>
      </c>
      <c r="CC1090" t="b">
        <v>0</v>
      </c>
      <c r="CD1090" t="b">
        <v>0</v>
      </c>
      <c r="CE1090" t="b">
        <v>0</v>
      </c>
      <c r="CF1090" t="b">
        <v>0</v>
      </c>
    </row>
    <row r="1091" spans="1:84" x14ac:dyDescent="0.3">
      <c r="A1091" t="s">
        <v>3405</v>
      </c>
      <c r="B1091" t="s">
        <v>1212</v>
      </c>
      <c r="C1091" s="98">
        <v>45761</v>
      </c>
      <c r="D1091">
        <v>2025</v>
      </c>
      <c r="E1091">
        <v>4</v>
      </c>
      <c r="F1091">
        <v>2</v>
      </c>
      <c r="G1091" t="s">
        <v>1208</v>
      </c>
      <c r="H1091" t="s">
        <v>145</v>
      </c>
      <c r="I1091" t="s">
        <v>145</v>
      </c>
      <c r="J1091" t="s">
        <v>6</v>
      </c>
      <c r="L1091">
        <v>522611</v>
      </c>
      <c r="M1091" s="99" t="s">
        <v>179</v>
      </c>
      <c r="N1091">
        <v>2</v>
      </c>
      <c r="O1091">
        <v>15</v>
      </c>
      <c r="P1091">
        <v>6.0212000000000003</v>
      </c>
      <c r="Q1091" t="s">
        <v>352</v>
      </c>
      <c r="R1091">
        <v>1</v>
      </c>
      <c r="S1091">
        <v>6.2138</v>
      </c>
      <c r="T1091">
        <v>0.26960000000000001</v>
      </c>
      <c r="U1091">
        <v>-0.71439169139465752</v>
      </c>
      <c r="V1091">
        <v>5.4050000000000002</v>
      </c>
      <c r="W1091">
        <v>5.6745999999999999</v>
      </c>
      <c r="X1091">
        <v>5.9442000000000004</v>
      </c>
      <c r="Y1091">
        <v>6.4833999999999996</v>
      </c>
      <c r="Z1091">
        <v>6.7530000000000001</v>
      </c>
      <c r="AA1091">
        <v>7.0225999999999997</v>
      </c>
      <c r="AE1091">
        <v>0</v>
      </c>
      <c r="AF1091">
        <v>0</v>
      </c>
      <c r="AG1091">
        <v>0</v>
      </c>
      <c r="AH1091">
        <v>0</v>
      </c>
      <c r="AI1091">
        <v>1</v>
      </c>
      <c r="AJ1091">
        <v>0</v>
      </c>
      <c r="AK1091" t="s">
        <v>1213</v>
      </c>
      <c r="AL1091" t="s">
        <v>6</v>
      </c>
      <c r="AM1091" t="s">
        <v>1145</v>
      </c>
      <c r="AN1091" t="s">
        <v>1146</v>
      </c>
      <c r="AO1091" s="100">
        <v>46262.040405092594</v>
      </c>
      <c r="AP1091" t="s">
        <v>1147</v>
      </c>
      <c r="AQ1091" t="s">
        <v>3406</v>
      </c>
      <c r="AR1091" t="s">
        <v>1215</v>
      </c>
      <c r="AS1091" t="s">
        <v>1150</v>
      </c>
      <c r="AT1091" t="s">
        <v>3328</v>
      </c>
      <c r="AU1091">
        <v>25</v>
      </c>
      <c r="AV1091">
        <v>6.164752</v>
      </c>
      <c r="AW1091">
        <v>0.31433732029991801</v>
      </c>
      <c r="AX1091">
        <v>5.0989451043597214</v>
      </c>
      <c r="AY1091">
        <v>-23.146461788126032</v>
      </c>
      <c r="AZ1091">
        <v>31.559721210319573</v>
      </c>
      <c r="BB1091" t="s">
        <v>4620</v>
      </c>
      <c r="BD1091" s="98"/>
      <c r="BE1091" s="98"/>
      <c r="BF1091" t="s">
        <v>1152</v>
      </c>
      <c r="BG1091" t="s">
        <v>322</v>
      </c>
      <c r="BH1091" t="s">
        <v>1153</v>
      </c>
      <c r="BI1091">
        <v>23.146461788126032</v>
      </c>
      <c r="BN1091" t="s">
        <v>1154</v>
      </c>
      <c r="BO1091">
        <v>2025</v>
      </c>
      <c r="BP1091" t="s">
        <v>966</v>
      </c>
      <c r="BZ1091" t="s">
        <v>1513</v>
      </c>
      <c r="CA1091" t="s">
        <v>1513</v>
      </c>
      <c r="CB1091" t="b">
        <v>0</v>
      </c>
      <c r="CC1091" t="b">
        <v>0</v>
      </c>
      <c r="CD1091" t="b">
        <v>0</v>
      </c>
      <c r="CE1091" t="b">
        <v>0</v>
      </c>
      <c r="CF1091" t="b">
        <v>0</v>
      </c>
    </row>
    <row r="1092" spans="1:84" x14ac:dyDescent="0.3">
      <c r="A1092" t="s">
        <v>3407</v>
      </c>
      <c r="B1092" t="s">
        <v>1217</v>
      </c>
      <c r="C1092" s="98">
        <v>45768</v>
      </c>
      <c r="D1092">
        <v>2025</v>
      </c>
      <c r="E1092">
        <v>4</v>
      </c>
      <c r="F1092">
        <v>2</v>
      </c>
      <c r="G1092" t="s">
        <v>1208</v>
      </c>
      <c r="H1092" t="s">
        <v>145</v>
      </c>
      <c r="I1092" t="s">
        <v>145</v>
      </c>
      <c r="J1092" t="s">
        <v>6</v>
      </c>
      <c r="L1092">
        <v>522611</v>
      </c>
      <c r="M1092" s="99" t="s">
        <v>179</v>
      </c>
      <c r="N1092">
        <v>2</v>
      </c>
      <c r="O1092">
        <v>16</v>
      </c>
      <c r="P1092">
        <v>6.2495000000000003</v>
      </c>
      <c r="Q1092" t="s">
        <v>352</v>
      </c>
      <c r="R1092">
        <v>1</v>
      </c>
      <c r="S1092">
        <v>6.2138</v>
      </c>
      <c r="T1092">
        <v>0.26960000000000001</v>
      </c>
      <c r="U1092">
        <v>0.13241839762611382</v>
      </c>
      <c r="V1092">
        <v>5.4050000000000002</v>
      </c>
      <c r="W1092">
        <v>5.6745999999999999</v>
      </c>
      <c r="X1092">
        <v>5.9442000000000004</v>
      </c>
      <c r="Y1092">
        <v>6.4833999999999996</v>
      </c>
      <c r="Z1092">
        <v>6.7530000000000001</v>
      </c>
      <c r="AA1092">
        <v>7.0225999999999997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 t="s">
        <v>462</v>
      </c>
      <c r="AL1092" t="s">
        <v>6</v>
      </c>
      <c r="AM1092" t="s">
        <v>1145</v>
      </c>
      <c r="AN1092" t="s">
        <v>1146</v>
      </c>
      <c r="AO1092" s="100">
        <v>46262.040405092594</v>
      </c>
      <c r="AP1092" t="s">
        <v>1147</v>
      </c>
      <c r="AQ1092" t="s">
        <v>3408</v>
      </c>
      <c r="AR1092" t="s">
        <v>1219</v>
      </c>
      <c r="AS1092" t="s">
        <v>1150</v>
      </c>
      <c r="AT1092" t="s">
        <v>3328</v>
      </c>
      <c r="AU1092">
        <v>25</v>
      </c>
      <c r="AV1092">
        <v>6.164752</v>
      </c>
      <c r="AW1092">
        <v>0.31433732029991801</v>
      </c>
      <c r="AX1092">
        <v>5.0989451043597214</v>
      </c>
      <c r="AY1092">
        <v>-23.146461788126032</v>
      </c>
      <c r="AZ1092">
        <v>31.559721210319573</v>
      </c>
      <c r="BB1092" t="s">
        <v>4620</v>
      </c>
      <c r="BD1092" s="98"/>
      <c r="BE1092" s="98"/>
      <c r="BF1092" t="s">
        <v>1152</v>
      </c>
      <c r="BG1092" t="s">
        <v>322</v>
      </c>
      <c r="BH1092" t="s">
        <v>1153</v>
      </c>
      <c r="BI1092">
        <v>23.146461788126032</v>
      </c>
      <c r="BN1092" t="s">
        <v>1154</v>
      </c>
      <c r="BO1092">
        <v>2025</v>
      </c>
      <c r="BP1092" t="s">
        <v>966</v>
      </c>
      <c r="BZ1092" t="s">
        <v>1513</v>
      </c>
      <c r="CA1092" t="s">
        <v>1513</v>
      </c>
      <c r="CB1092" t="b">
        <v>0</v>
      </c>
      <c r="CC1092" t="b">
        <v>0</v>
      </c>
      <c r="CD1092" t="b">
        <v>0</v>
      </c>
      <c r="CE1092" t="b">
        <v>0</v>
      </c>
      <c r="CF1092" t="b">
        <v>0</v>
      </c>
    </row>
    <row r="1093" spans="1:84" x14ac:dyDescent="0.3">
      <c r="A1093" t="s">
        <v>3409</v>
      </c>
      <c r="B1093" t="s">
        <v>1221</v>
      </c>
      <c r="C1093" s="98">
        <v>45775</v>
      </c>
      <c r="D1093">
        <v>2025</v>
      </c>
      <c r="E1093">
        <v>4</v>
      </c>
      <c r="F1093">
        <v>2</v>
      </c>
      <c r="G1093" t="s">
        <v>1208</v>
      </c>
      <c r="H1093" t="s">
        <v>145</v>
      </c>
      <c r="I1093" t="s">
        <v>145</v>
      </c>
      <c r="J1093" t="s">
        <v>6</v>
      </c>
      <c r="L1093">
        <v>522611</v>
      </c>
      <c r="M1093" s="99" t="s">
        <v>179</v>
      </c>
      <c r="N1093">
        <v>2</v>
      </c>
      <c r="O1093">
        <v>17</v>
      </c>
      <c r="P1093">
        <v>6.2732999999999999</v>
      </c>
      <c r="Q1093" t="s">
        <v>352</v>
      </c>
      <c r="R1093">
        <v>1</v>
      </c>
      <c r="S1093">
        <v>6.2138</v>
      </c>
      <c r="T1093">
        <v>0.26960000000000001</v>
      </c>
      <c r="U1093">
        <v>0.22069732937685418</v>
      </c>
      <c r="V1093">
        <v>5.4050000000000002</v>
      </c>
      <c r="W1093">
        <v>5.6745999999999999</v>
      </c>
      <c r="X1093">
        <v>5.9442000000000004</v>
      </c>
      <c r="Y1093">
        <v>6.4833999999999996</v>
      </c>
      <c r="Z1093">
        <v>6.7530000000000001</v>
      </c>
      <c r="AA1093">
        <v>7.0225999999999997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 t="s">
        <v>462</v>
      </c>
      <c r="AL1093" t="s">
        <v>6</v>
      </c>
      <c r="AM1093" t="s">
        <v>1145</v>
      </c>
      <c r="AN1093" t="s">
        <v>1146</v>
      </c>
      <c r="AO1093" s="100">
        <v>46262.040405092594</v>
      </c>
      <c r="AP1093" t="s">
        <v>1147</v>
      </c>
      <c r="AQ1093" t="s">
        <v>3410</v>
      </c>
      <c r="AR1093" t="s">
        <v>1223</v>
      </c>
      <c r="AS1093" t="s">
        <v>1150</v>
      </c>
      <c r="AT1093" t="s">
        <v>3328</v>
      </c>
      <c r="AU1093">
        <v>25</v>
      </c>
      <c r="AV1093">
        <v>6.164752</v>
      </c>
      <c r="AW1093">
        <v>0.31433732029991801</v>
      </c>
      <c r="AX1093">
        <v>5.0989451043597214</v>
      </c>
      <c r="AY1093">
        <v>-23.146461788126032</v>
      </c>
      <c r="AZ1093">
        <v>31.559721210319573</v>
      </c>
      <c r="BB1093" t="s">
        <v>4620</v>
      </c>
      <c r="BD1093" s="98"/>
      <c r="BE1093" s="98"/>
      <c r="BF1093" t="s">
        <v>1152</v>
      </c>
      <c r="BG1093" t="s">
        <v>322</v>
      </c>
      <c r="BH1093" t="s">
        <v>1153</v>
      </c>
      <c r="BI1093">
        <v>23.146461788126032</v>
      </c>
      <c r="BN1093" t="s">
        <v>1154</v>
      </c>
      <c r="BO1093">
        <v>2025</v>
      </c>
      <c r="BP1093" t="s">
        <v>966</v>
      </c>
      <c r="BZ1093" t="s">
        <v>1513</v>
      </c>
      <c r="CA1093" t="s">
        <v>1513</v>
      </c>
      <c r="CB1093" t="b">
        <v>0</v>
      </c>
      <c r="CC1093" t="b">
        <v>0</v>
      </c>
      <c r="CD1093" t="b">
        <v>0</v>
      </c>
      <c r="CE1093" t="b">
        <v>0</v>
      </c>
      <c r="CF1093" t="b">
        <v>0</v>
      </c>
    </row>
    <row r="1094" spans="1:84" x14ac:dyDescent="0.3">
      <c r="A1094" t="s">
        <v>3411</v>
      </c>
      <c r="B1094" t="s">
        <v>1225</v>
      </c>
      <c r="C1094" s="98">
        <v>45782</v>
      </c>
      <c r="D1094">
        <v>2025</v>
      </c>
      <c r="E1094">
        <v>5</v>
      </c>
      <c r="F1094">
        <v>2</v>
      </c>
      <c r="G1094" t="s">
        <v>1226</v>
      </c>
      <c r="H1094" t="s">
        <v>145</v>
      </c>
      <c r="I1094" t="s">
        <v>145</v>
      </c>
      <c r="J1094" t="s">
        <v>6</v>
      </c>
      <c r="L1094">
        <v>522611</v>
      </c>
      <c r="M1094" s="99" t="s">
        <v>179</v>
      </c>
      <c r="N1094">
        <v>2</v>
      </c>
      <c r="O1094">
        <v>18</v>
      </c>
      <c r="P1094">
        <v>5.968</v>
      </c>
      <c r="Q1094" t="s">
        <v>352</v>
      </c>
      <c r="R1094">
        <v>1</v>
      </c>
      <c r="S1094">
        <v>6.2138</v>
      </c>
      <c r="T1094">
        <v>0.26960000000000001</v>
      </c>
      <c r="U1094">
        <v>-0.91172106824925825</v>
      </c>
      <c r="V1094">
        <v>5.4050000000000002</v>
      </c>
      <c r="W1094">
        <v>5.6745999999999999</v>
      </c>
      <c r="X1094">
        <v>5.9442000000000004</v>
      </c>
      <c r="Y1094">
        <v>6.4833999999999996</v>
      </c>
      <c r="Z1094">
        <v>6.7530000000000001</v>
      </c>
      <c r="AA1094">
        <v>7.0225999999999997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 t="s">
        <v>462</v>
      </c>
      <c r="AL1094" t="s">
        <v>6</v>
      </c>
      <c r="AM1094" t="s">
        <v>1145</v>
      </c>
      <c r="AN1094" t="s">
        <v>1146</v>
      </c>
      <c r="AO1094" s="100">
        <v>46262.040405092594</v>
      </c>
      <c r="AP1094" t="s">
        <v>1147</v>
      </c>
      <c r="AQ1094" t="s">
        <v>3412</v>
      </c>
      <c r="AR1094" t="s">
        <v>1228</v>
      </c>
      <c r="AS1094" t="s">
        <v>1150</v>
      </c>
      <c r="AT1094" t="s">
        <v>3328</v>
      </c>
      <c r="AU1094">
        <v>25</v>
      </c>
      <c r="AV1094">
        <v>6.164752</v>
      </c>
      <c r="AW1094">
        <v>0.31433732029991801</v>
      </c>
      <c r="AX1094">
        <v>5.0989451043597214</v>
      </c>
      <c r="AY1094">
        <v>-23.146461788126032</v>
      </c>
      <c r="AZ1094">
        <v>31.559721210319573</v>
      </c>
      <c r="BB1094" t="s">
        <v>4620</v>
      </c>
      <c r="BD1094" s="98"/>
      <c r="BE1094" s="98"/>
      <c r="BF1094" t="s">
        <v>1152</v>
      </c>
      <c r="BG1094" t="s">
        <v>322</v>
      </c>
      <c r="BH1094" t="s">
        <v>1153</v>
      </c>
      <c r="BI1094">
        <v>23.146461788126032</v>
      </c>
      <c r="BN1094" t="s">
        <v>1154</v>
      </c>
      <c r="BO1094">
        <v>2025</v>
      </c>
      <c r="BP1094" t="s">
        <v>966</v>
      </c>
      <c r="BZ1094" t="s">
        <v>1513</v>
      </c>
      <c r="CA1094" t="s">
        <v>1513</v>
      </c>
      <c r="CB1094" t="b">
        <v>0</v>
      </c>
      <c r="CC1094" t="b">
        <v>0</v>
      </c>
      <c r="CD1094" t="b">
        <v>0</v>
      </c>
      <c r="CE1094" t="b">
        <v>0</v>
      </c>
      <c r="CF1094" t="b">
        <v>0</v>
      </c>
    </row>
    <row r="1095" spans="1:84" x14ac:dyDescent="0.3">
      <c r="A1095" t="s">
        <v>3413</v>
      </c>
      <c r="B1095" t="s">
        <v>1230</v>
      </c>
      <c r="C1095" s="98">
        <v>45789</v>
      </c>
      <c r="D1095">
        <v>2025</v>
      </c>
      <c r="E1095">
        <v>5</v>
      </c>
      <c r="F1095">
        <v>2</v>
      </c>
      <c r="G1095" t="s">
        <v>1226</v>
      </c>
      <c r="H1095" t="s">
        <v>145</v>
      </c>
      <c r="I1095" t="s">
        <v>145</v>
      </c>
      <c r="J1095" t="s">
        <v>6</v>
      </c>
      <c r="L1095">
        <v>522611</v>
      </c>
      <c r="M1095" s="99" t="s">
        <v>179</v>
      </c>
      <c r="N1095">
        <v>2</v>
      </c>
      <c r="O1095">
        <v>19</v>
      </c>
      <c r="P1095">
        <v>6.0410000000000004</v>
      </c>
      <c r="Q1095" t="s">
        <v>352</v>
      </c>
      <c r="R1095">
        <v>1</v>
      </c>
      <c r="S1095">
        <v>6.2138</v>
      </c>
      <c r="T1095">
        <v>0.26960000000000001</v>
      </c>
      <c r="U1095">
        <v>-0.64094955489614103</v>
      </c>
      <c r="V1095">
        <v>5.4050000000000002</v>
      </c>
      <c r="W1095">
        <v>5.6745999999999999</v>
      </c>
      <c r="X1095">
        <v>5.9442000000000004</v>
      </c>
      <c r="Y1095">
        <v>6.4833999999999996</v>
      </c>
      <c r="Z1095">
        <v>6.7530000000000001</v>
      </c>
      <c r="AA1095">
        <v>7.0225999999999997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 t="s">
        <v>462</v>
      </c>
      <c r="AL1095" t="s">
        <v>6</v>
      </c>
      <c r="AM1095" t="s">
        <v>1145</v>
      </c>
      <c r="AN1095" t="s">
        <v>1146</v>
      </c>
      <c r="AO1095" s="100">
        <v>46262.040405092594</v>
      </c>
      <c r="AP1095" t="s">
        <v>1147</v>
      </c>
      <c r="AQ1095" t="s">
        <v>3414</v>
      </c>
      <c r="AR1095" t="s">
        <v>1232</v>
      </c>
      <c r="AS1095" t="s">
        <v>1150</v>
      </c>
      <c r="AT1095" t="s">
        <v>3328</v>
      </c>
      <c r="AU1095">
        <v>25</v>
      </c>
      <c r="AV1095">
        <v>6.164752</v>
      </c>
      <c r="AW1095">
        <v>0.31433732029991801</v>
      </c>
      <c r="AX1095">
        <v>5.0989451043597214</v>
      </c>
      <c r="AY1095">
        <v>-23.146461788126032</v>
      </c>
      <c r="AZ1095">
        <v>31.559721210319573</v>
      </c>
      <c r="BB1095" t="s">
        <v>4620</v>
      </c>
      <c r="BD1095" s="98"/>
      <c r="BE1095" s="98"/>
      <c r="BF1095" t="s">
        <v>1152</v>
      </c>
      <c r="BG1095" t="s">
        <v>322</v>
      </c>
      <c r="BH1095" t="s">
        <v>1153</v>
      </c>
      <c r="BI1095">
        <v>23.146461788126032</v>
      </c>
      <c r="BN1095" t="s">
        <v>1154</v>
      </c>
      <c r="BO1095">
        <v>2025</v>
      </c>
      <c r="BP1095" t="s">
        <v>966</v>
      </c>
      <c r="BZ1095" t="s">
        <v>1513</v>
      </c>
      <c r="CA1095" t="s">
        <v>1513</v>
      </c>
      <c r="CB1095" t="b">
        <v>0</v>
      </c>
      <c r="CC1095" t="b">
        <v>0</v>
      </c>
      <c r="CD1095" t="b">
        <v>0</v>
      </c>
      <c r="CE1095" t="b">
        <v>0</v>
      </c>
      <c r="CF1095" t="b">
        <v>0</v>
      </c>
    </row>
    <row r="1096" spans="1:84" x14ac:dyDescent="0.3">
      <c r="A1096" t="s">
        <v>3415</v>
      </c>
      <c r="B1096" t="s">
        <v>1234</v>
      </c>
      <c r="C1096" s="98">
        <v>45796</v>
      </c>
      <c r="D1096">
        <v>2025</v>
      </c>
      <c r="E1096">
        <v>5</v>
      </c>
      <c r="F1096">
        <v>2</v>
      </c>
      <c r="G1096" t="s">
        <v>1226</v>
      </c>
      <c r="H1096" t="s">
        <v>145</v>
      </c>
      <c r="I1096" t="s">
        <v>145</v>
      </c>
      <c r="J1096" t="s">
        <v>6</v>
      </c>
      <c r="L1096">
        <v>522611</v>
      </c>
      <c r="M1096" s="99" t="s">
        <v>179</v>
      </c>
      <c r="N1096">
        <v>2</v>
      </c>
      <c r="O1096">
        <v>20</v>
      </c>
      <c r="P1096">
        <v>6.4273999999999996</v>
      </c>
      <c r="Q1096" t="s">
        <v>352</v>
      </c>
      <c r="R1096">
        <v>1</v>
      </c>
      <c r="S1096">
        <v>6.2138</v>
      </c>
      <c r="T1096">
        <v>0.26960000000000001</v>
      </c>
      <c r="U1096">
        <v>0.79228486646884111</v>
      </c>
      <c r="V1096">
        <v>5.4050000000000002</v>
      </c>
      <c r="W1096">
        <v>5.6745999999999999</v>
      </c>
      <c r="X1096">
        <v>5.9442000000000004</v>
      </c>
      <c r="Y1096">
        <v>6.4833999999999996</v>
      </c>
      <c r="Z1096">
        <v>6.7530000000000001</v>
      </c>
      <c r="AA1096">
        <v>7.0225999999999997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 t="s">
        <v>462</v>
      </c>
      <c r="AL1096" t="s">
        <v>6</v>
      </c>
      <c r="AM1096" t="s">
        <v>1145</v>
      </c>
      <c r="AN1096" t="s">
        <v>1146</v>
      </c>
      <c r="AO1096" s="100">
        <v>46262.040405092594</v>
      </c>
      <c r="AP1096" t="s">
        <v>1147</v>
      </c>
      <c r="AQ1096" t="s">
        <v>3416</v>
      </c>
      <c r="AR1096" t="s">
        <v>1236</v>
      </c>
      <c r="AS1096" t="s">
        <v>1150</v>
      </c>
      <c r="AT1096" t="s">
        <v>3328</v>
      </c>
      <c r="AU1096">
        <v>25</v>
      </c>
      <c r="AV1096">
        <v>6.164752</v>
      </c>
      <c r="AW1096">
        <v>0.31433732029991801</v>
      </c>
      <c r="AX1096">
        <v>5.0989451043597214</v>
      </c>
      <c r="AY1096">
        <v>-23.146461788126032</v>
      </c>
      <c r="AZ1096">
        <v>31.559721210319573</v>
      </c>
      <c r="BB1096" t="s">
        <v>4620</v>
      </c>
      <c r="BD1096" s="98"/>
      <c r="BE1096" s="98"/>
      <c r="BF1096" t="s">
        <v>1152</v>
      </c>
      <c r="BG1096" t="s">
        <v>322</v>
      </c>
      <c r="BH1096" t="s">
        <v>1153</v>
      </c>
      <c r="BI1096">
        <v>23.146461788126032</v>
      </c>
      <c r="BN1096" t="s">
        <v>1154</v>
      </c>
      <c r="BO1096">
        <v>2025</v>
      </c>
      <c r="BP1096" t="s">
        <v>966</v>
      </c>
      <c r="BZ1096" t="s">
        <v>1513</v>
      </c>
      <c r="CA1096" t="s">
        <v>1513</v>
      </c>
      <c r="CB1096" t="b">
        <v>0</v>
      </c>
      <c r="CC1096" t="b">
        <v>0</v>
      </c>
      <c r="CD1096" t="b">
        <v>0</v>
      </c>
      <c r="CE1096" t="b">
        <v>0</v>
      </c>
      <c r="CF1096" t="b">
        <v>0</v>
      </c>
    </row>
    <row r="1097" spans="1:84" x14ac:dyDescent="0.3">
      <c r="A1097" t="s">
        <v>3417</v>
      </c>
      <c r="B1097" t="s">
        <v>1238</v>
      </c>
      <c r="C1097" s="98">
        <v>45803</v>
      </c>
      <c r="D1097">
        <v>2025</v>
      </c>
      <c r="E1097">
        <v>5</v>
      </c>
      <c r="F1097">
        <v>2</v>
      </c>
      <c r="G1097" t="s">
        <v>1226</v>
      </c>
      <c r="H1097" t="s">
        <v>145</v>
      </c>
      <c r="I1097" t="s">
        <v>145</v>
      </c>
      <c r="J1097" t="s">
        <v>6</v>
      </c>
      <c r="L1097">
        <v>522611</v>
      </c>
      <c r="M1097" s="99" t="s">
        <v>179</v>
      </c>
      <c r="N1097">
        <v>2</v>
      </c>
      <c r="O1097">
        <v>21</v>
      </c>
      <c r="P1097">
        <v>6.3079000000000001</v>
      </c>
      <c r="Q1097" t="s">
        <v>352</v>
      </c>
      <c r="R1097">
        <v>1</v>
      </c>
      <c r="S1097">
        <v>6.2138</v>
      </c>
      <c r="T1097">
        <v>0.26960000000000001</v>
      </c>
      <c r="U1097">
        <v>0.34903560830860558</v>
      </c>
      <c r="V1097">
        <v>5.4050000000000002</v>
      </c>
      <c r="W1097">
        <v>5.6745999999999999</v>
      </c>
      <c r="X1097">
        <v>5.9442000000000004</v>
      </c>
      <c r="Y1097">
        <v>6.4833999999999996</v>
      </c>
      <c r="Z1097">
        <v>6.7530000000000001</v>
      </c>
      <c r="AA1097">
        <v>7.0225999999999997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 t="s">
        <v>462</v>
      </c>
      <c r="AL1097" t="s">
        <v>6</v>
      </c>
      <c r="AM1097" t="s">
        <v>1145</v>
      </c>
      <c r="AN1097" t="s">
        <v>1146</v>
      </c>
      <c r="AO1097" s="100">
        <v>46262.040405092594</v>
      </c>
      <c r="AP1097" t="s">
        <v>1147</v>
      </c>
      <c r="AQ1097" t="s">
        <v>3418</v>
      </c>
      <c r="AR1097" t="s">
        <v>1240</v>
      </c>
      <c r="AS1097" t="s">
        <v>1150</v>
      </c>
      <c r="AT1097" t="s">
        <v>3328</v>
      </c>
      <c r="AU1097">
        <v>25</v>
      </c>
      <c r="AV1097">
        <v>6.164752</v>
      </c>
      <c r="AW1097">
        <v>0.31433732029991801</v>
      </c>
      <c r="AX1097">
        <v>5.0989451043597214</v>
      </c>
      <c r="AY1097">
        <v>-23.146461788126032</v>
      </c>
      <c r="AZ1097">
        <v>31.559721210319573</v>
      </c>
      <c r="BB1097" t="s">
        <v>4620</v>
      </c>
      <c r="BD1097" s="98"/>
      <c r="BE1097" s="98"/>
      <c r="BF1097" t="s">
        <v>1152</v>
      </c>
      <c r="BG1097" t="s">
        <v>322</v>
      </c>
      <c r="BH1097" t="s">
        <v>1153</v>
      </c>
      <c r="BI1097">
        <v>23.146461788126032</v>
      </c>
      <c r="BN1097" t="s">
        <v>1154</v>
      </c>
      <c r="BO1097">
        <v>2025</v>
      </c>
      <c r="BP1097" t="s">
        <v>966</v>
      </c>
      <c r="BZ1097" t="s">
        <v>1513</v>
      </c>
      <c r="CA1097" t="s">
        <v>1513</v>
      </c>
      <c r="CB1097" t="b">
        <v>0</v>
      </c>
      <c r="CC1097" t="b">
        <v>0</v>
      </c>
      <c r="CD1097" t="b">
        <v>0</v>
      </c>
      <c r="CE1097" t="b">
        <v>0</v>
      </c>
      <c r="CF1097" t="b">
        <v>0</v>
      </c>
    </row>
    <row r="1098" spans="1:84" x14ac:dyDescent="0.3">
      <c r="A1098" t="s">
        <v>3419</v>
      </c>
      <c r="B1098" t="s">
        <v>1242</v>
      </c>
      <c r="C1098" s="98">
        <v>45810</v>
      </c>
      <c r="D1098">
        <v>2025</v>
      </c>
      <c r="E1098">
        <v>6</v>
      </c>
      <c r="F1098">
        <v>2</v>
      </c>
      <c r="G1098" t="s">
        <v>1243</v>
      </c>
      <c r="H1098" t="s">
        <v>145</v>
      </c>
      <c r="I1098" t="s">
        <v>145</v>
      </c>
      <c r="J1098" t="s">
        <v>6</v>
      </c>
      <c r="L1098">
        <v>522611</v>
      </c>
      <c r="M1098" s="99" t="s">
        <v>179</v>
      </c>
      <c r="N1098">
        <v>2</v>
      </c>
      <c r="O1098">
        <v>22</v>
      </c>
      <c r="P1098">
        <v>6.0304000000000002</v>
      </c>
      <c r="Q1098" t="s">
        <v>352</v>
      </c>
      <c r="R1098">
        <v>1</v>
      </c>
      <c r="S1098">
        <v>6.2138</v>
      </c>
      <c r="T1098">
        <v>0.26960000000000001</v>
      </c>
      <c r="U1098">
        <v>-0.68026706231453926</v>
      </c>
      <c r="V1098">
        <v>5.4050000000000002</v>
      </c>
      <c r="W1098">
        <v>5.6745999999999999</v>
      </c>
      <c r="X1098">
        <v>5.9442000000000004</v>
      </c>
      <c r="Y1098">
        <v>6.4833999999999996</v>
      </c>
      <c r="Z1098">
        <v>6.7530000000000001</v>
      </c>
      <c r="AA1098">
        <v>7.0225999999999997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 t="s">
        <v>462</v>
      </c>
      <c r="AL1098" t="s">
        <v>6</v>
      </c>
      <c r="AM1098" t="s">
        <v>1145</v>
      </c>
      <c r="AN1098" t="s">
        <v>1146</v>
      </c>
      <c r="AO1098" s="100">
        <v>46262.040405092594</v>
      </c>
      <c r="AP1098" t="s">
        <v>1147</v>
      </c>
      <c r="AQ1098" t="s">
        <v>3420</v>
      </c>
      <c r="AR1098" t="s">
        <v>1245</v>
      </c>
      <c r="AS1098" t="s">
        <v>1150</v>
      </c>
      <c r="AT1098" t="s">
        <v>3328</v>
      </c>
      <c r="AU1098">
        <v>25</v>
      </c>
      <c r="AV1098">
        <v>6.164752</v>
      </c>
      <c r="AW1098">
        <v>0.31433732029991801</v>
      </c>
      <c r="AX1098">
        <v>5.0989451043597214</v>
      </c>
      <c r="AY1098">
        <v>-23.146461788126032</v>
      </c>
      <c r="AZ1098">
        <v>31.559721210319573</v>
      </c>
      <c r="BB1098" t="s">
        <v>4620</v>
      </c>
      <c r="BD1098" s="98"/>
      <c r="BE1098" s="98"/>
      <c r="BF1098" t="s">
        <v>1152</v>
      </c>
      <c r="BG1098" t="s">
        <v>322</v>
      </c>
      <c r="BH1098" t="s">
        <v>1153</v>
      </c>
      <c r="BI1098">
        <v>23.146461788126032</v>
      </c>
      <c r="BN1098" t="s">
        <v>1154</v>
      </c>
      <c r="BO1098">
        <v>2025</v>
      </c>
      <c r="BP1098" t="s">
        <v>966</v>
      </c>
      <c r="BZ1098" t="s">
        <v>1513</v>
      </c>
      <c r="CA1098" t="s">
        <v>1513</v>
      </c>
      <c r="CB1098" t="b">
        <v>0</v>
      </c>
      <c r="CC1098" t="b">
        <v>0</v>
      </c>
      <c r="CD1098" t="b">
        <v>0</v>
      </c>
      <c r="CE1098" t="b">
        <v>0</v>
      </c>
      <c r="CF1098" t="b">
        <v>0</v>
      </c>
    </row>
    <row r="1099" spans="1:84" x14ac:dyDescent="0.3">
      <c r="A1099" t="s">
        <v>3421</v>
      </c>
      <c r="B1099" t="s">
        <v>1247</v>
      </c>
      <c r="C1099" s="98">
        <v>45817</v>
      </c>
      <c r="D1099">
        <v>2025</v>
      </c>
      <c r="E1099">
        <v>6</v>
      </c>
      <c r="F1099">
        <v>2</v>
      </c>
      <c r="G1099" t="s">
        <v>1243</v>
      </c>
      <c r="H1099" t="s">
        <v>145</v>
      </c>
      <c r="I1099" t="s">
        <v>145</v>
      </c>
      <c r="J1099" t="s">
        <v>6</v>
      </c>
      <c r="L1099">
        <v>522611</v>
      </c>
      <c r="M1099" s="99" t="s">
        <v>179</v>
      </c>
      <c r="N1099">
        <v>2</v>
      </c>
      <c r="O1099">
        <v>23</v>
      </c>
      <c r="P1099">
        <v>6.7637</v>
      </c>
      <c r="Q1099" t="s">
        <v>352</v>
      </c>
      <c r="R1099">
        <v>1</v>
      </c>
      <c r="S1099">
        <v>6.2138</v>
      </c>
      <c r="T1099">
        <v>0.26960000000000001</v>
      </c>
      <c r="U1099">
        <v>2.0396884272997036</v>
      </c>
      <c r="V1099">
        <v>5.4050000000000002</v>
      </c>
      <c r="W1099">
        <v>5.6745999999999999</v>
      </c>
      <c r="X1099">
        <v>5.9442000000000004</v>
      </c>
      <c r="Y1099">
        <v>6.4833999999999996</v>
      </c>
      <c r="Z1099">
        <v>6.7530000000000001</v>
      </c>
      <c r="AA1099">
        <v>7.0225999999999997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1</v>
      </c>
      <c r="AK1099" t="s">
        <v>462</v>
      </c>
      <c r="AL1099" t="s">
        <v>6</v>
      </c>
      <c r="AM1099" t="s">
        <v>1145</v>
      </c>
      <c r="AN1099" t="s">
        <v>1146</v>
      </c>
      <c r="AO1099" s="100">
        <v>46262.040405092594</v>
      </c>
      <c r="AP1099" t="s">
        <v>1147</v>
      </c>
      <c r="AQ1099" t="s">
        <v>3422</v>
      </c>
      <c r="AR1099" t="s">
        <v>1249</v>
      </c>
      <c r="AS1099" t="s">
        <v>1150</v>
      </c>
      <c r="AT1099" t="s">
        <v>3328</v>
      </c>
      <c r="AU1099">
        <v>25</v>
      </c>
      <c r="AV1099">
        <v>6.164752</v>
      </c>
      <c r="AW1099">
        <v>0.31433732029991801</v>
      </c>
      <c r="AX1099">
        <v>5.0989451043597214</v>
      </c>
      <c r="AY1099">
        <v>-23.146461788126032</v>
      </c>
      <c r="AZ1099">
        <v>31.559721210319573</v>
      </c>
      <c r="BB1099" t="s">
        <v>4620</v>
      </c>
      <c r="BD1099" s="98"/>
      <c r="BE1099" s="98"/>
      <c r="BF1099" t="s">
        <v>1152</v>
      </c>
      <c r="BG1099" t="s">
        <v>322</v>
      </c>
      <c r="BH1099" t="s">
        <v>1153</v>
      </c>
      <c r="BI1099">
        <v>23.146461788126032</v>
      </c>
      <c r="BN1099" t="s">
        <v>1154</v>
      </c>
      <c r="BO1099">
        <v>2025</v>
      </c>
      <c r="BP1099" t="s">
        <v>966</v>
      </c>
      <c r="BZ1099" t="s">
        <v>1513</v>
      </c>
      <c r="CA1099" t="s">
        <v>1513</v>
      </c>
      <c r="CB1099" t="b">
        <v>0</v>
      </c>
      <c r="CC1099" t="b">
        <v>0</v>
      </c>
      <c r="CD1099" t="b">
        <v>0</v>
      </c>
      <c r="CE1099" t="b">
        <v>0</v>
      </c>
      <c r="CF1099" t="b">
        <v>0</v>
      </c>
    </row>
    <row r="1100" spans="1:84" x14ac:dyDescent="0.3">
      <c r="A1100" t="s">
        <v>3423</v>
      </c>
      <c r="B1100" t="s">
        <v>1251</v>
      </c>
      <c r="C1100" s="98">
        <v>45824</v>
      </c>
      <c r="D1100">
        <v>2025</v>
      </c>
      <c r="E1100">
        <v>6</v>
      </c>
      <c r="F1100">
        <v>2</v>
      </c>
      <c r="G1100" t="s">
        <v>1243</v>
      </c>
      <c r="H1100" t="s">
        <v>145</v>
      </c>
      <c r="I1100" t="s">
        <v>145</v>
      </c>
      <c r="J1100" t="s">
        <v>6</v>
      </c>
      <c r="L1100">
        <v>522611</v>
      </c>
      <c r="M1100" s="99" t="s">
        <v>179</v>
      </c>
      <c r="N1100">
        <v>2</v>
      </c>
      <c r="O1100">
        <v>24</v>
      </c>
      <c r="P1100">
        <v>6.8361999999999998</v>
      </c>
      <c r="Q1100" t="s">
        <v>352</v>
      </c>
      <c r="R1100">
        <v>1</v>
      </c>
      <c r="S1100">
        <v>6.2138</v>
      </c>
      <c r="T1100">
        <v>0.26960000000000001</v>
      </c>
      <c r="U1100">
        <v>2.3086053412462904</v>
      </c>
      <c r="V1100">
        <v>5.4050000000000002</v>
      </c>
      <c r="W1100">
        <v>5.6745999999999999</v>
      </c>
      <c r="X1100">
        <v>5.9442000000000004</v>
      </c>
      <c r="Y1100">
        <v>6.4833999999999996</v>
      </c>
      <c r="Z1100">
        <v>6.7530000000000001</v>
      </c>
      <c r="AA1100">
        <v>7.0225999999999997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1</v>
      </c>
      <c r="AK1100" t="s">
        <v>462</v>
      </c>
      <c r="AL1100" t="s">
        <v>6</v>
      </c>
      <c r="AM1100" t="s">
        <v>1145</v>
      </c>
      <c r="AN1100" t="s">
        <v>1146</v>
      </c>
      <c r="AO1100" s="100">
        <v>46262.040405092594</v>
      </c>
      <c r="AP1100" t="s">
        <v>1147</v>
      </c>
      <c r="AQ1100" t="s">
        <v>3424</v>
      </c>
      <c r="AR1100" t="s">
        <v>1253</v>
      </c>
      <c r="AS1100" t="s">
        <v>1150</v>
      </c>
      <c r="AT1100" t="s">
        <v>3328</v>
      </c>
      <c r="AU1100">
        <v>25</v>
      </c>
      <c r="AV1100">
        <v>6.164752</v>
      </c>
      <c r="AW1100">
        <v>0.31433732029991801</v>
      </c>
      <c r="AX1100">
        <v>5.0989451043597214</v>
      </c>
      <c r="AY1100">
        <v>-23.146461788126032</v>
      </c>
      <c r="AZ1100">
        <v>31.559721210319573</v>
      </c>
      <c r="BB1100" t="s">
        <v>4620</v>
      </c>
      <c r="BD1100" s="98"/>
      <c r="BE1100" s="98"/>
      <c r="BF1100" t="s">
        <v>1152</v>
      </c>
      <c r="BG1100" t="s">
        <v>322</v>
      </c>
      <c r="BH1100" t="s">
        <v>1153</v>
      </c>
      <c r="BI1100">
        <v>23.146461788126032</v>
      </c>
      <c r="BN1100" t="s">
        <v>1154</v>
      </c>
      <c r="BO1100">
        <v>2025</v>
      </c>
      <c r="BP1100" t="s">
        <v>966</v>
      </c>
      <c r="BZ1100" t="s">
        <v>1513</v>
      </c>
      <c r="CA1100" t="s">
        <v>1513</v>
      </c>
      <c r="CB1100" t="b">
        <v>0</v>
      </c>
      <c r="CC1100" t="b">
        <v>0</v>
      </c>
      <c r="CD1100" t="b">
        <v>0</v>
      </c>
      <c r="CE1100" t="b">
        <v>0</v>
      </c>
      <c r="CF1100" t="b">
        <v>0</v>
      </c>
    </row>
    <row r="1101" spans="1:84" x14ac:dyDescent="0.3">
      <c r="A1101" t="s">
        <v>3425</v>
      </c>
      <c r="B1101" t="s">
        <v>1255</v>
      </c>
      <c r="C1101" s="98">
        <v>45831</v>
      </c>
      <c r="D1101">
        <v>2025</v>
      </c>
      <c r="E1101">
        <v>6</v>
      </c>
      <c r="F1101">
        <v>2</v>
      </c>
      <c r="G1101" t="s">
        <v>1243</v>
      </c>
      <c r="H1101" t="s">
        <v>145</v>
      </c>
      <c r="I1101" t="s">
        <v>145</v>
      </c>
      <c r="J1101" t="s">
        <v>6</v>
      </c>
      <c r="L1101">
        <v>522611</v>
      </c>
      <c r="M1101" s="99" t="s">
        <v>179</v>
      </c>
      <c r="N1101">
        <v>2</v>
      </c>
      <c r="O1101">
        <v>25</v>
      </c>
      <c r="P1101">
        <v>5.8196000000000003</v>
      </c>
      <c r="Q1101" t="s">
        <v>352</v>
      </c>
      <c r="R1101">
        <v>1</v>
      </c>
      <c r="S1101">
        <v>6.2138</v>
      </c>
      <c r="T1101">
        <v>0.26960000000000001</v>
      </c>
      <c r="U1101">
        <v>-1.4621661721068235</v>
      </c>
      <c r="V1101">
        <v>5.4050000000000002</v>
      </c>
      <c r="W1101">
        <v>5.6745999999999999</v>
      </c>
      <c r="X1101">
        <v>5.9442000000000004</v>
      </c>
      <c r="Y1101">
        <v>6.4833999999999996</v>
      </c>
      <c r="Z1101">
        <v>6.7530000000000001</v>
      </c>
      <c r="AA1101">
        <v>7.0225999999999997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 t="s">
        <v>462</v>
      </c>
      <c r="AL1101" t="s">
        <v>6</v>
      </c>
      <c r="AM1101" t="s">
        <v>1145</v>
      </c>
      <c r="AN1101" t="s">
        <v>1146</v>
      </c>
      <c r="AO1101" s="100">
        <v>46262.040405092594</v>
      </c>
      <c r="AP1101" t="s">
        <v>1147</v>
      </c>
      <c r="AQ1101" t="s">
        <v>3426</v>
      </c>
      <c r="AR1101" t="s">
        <v>1257</v>
      </c>
      <c r="AS1101" t="s">
        <v>1150</v>
      </c>
      <c r="AT1101" t="s">
        <v>3328</v>
      </c>
      <c r="AU1101">
        <v>25</v>
      </c>
      <c r="AV1101">
        <v>6.164752</v>
      </c>
      <c r="AW1101">
        <v>0.31433732029991801</v>
      </c>
      <c r="AX1101">
        <v>5.0989451043597214</v>
      </c>
      <c r="AY1101">
        <v>-23.146461788126032</v>
      </c>
      <c r="AZ1101">
        <v>31.559721210319573</v>
      </c>
      <c r="BB1101" t="s">
        <v>4620</v>
      </c>
      <c r="BD1101" s="98"/>
      <c r="BE1101" s="98"/>
      <c r="BF1101" t="s">
        <v>1152</v>
      </c>
      <c r="BG1101" t="s">
        <v>322</v>
      </c>
      <c r="BH1101" t="s">
        <v>1153</v>
      </c>
      <c r="BI1101">
        <v>23.146461788126032</v>
      </c>
      <c r="BN1101" t="s">
        <v>1154</v>
      </c>
      <c r="BO1101">
        <v>2025</v>
      </c>
      <c r="BP1101" t="s">
        <v>966</v>
      </c>
      <c r="BZ1101" t="s">
        <v>1513</v>
      </c>
      <c r="CA1101" t="s">
        <v>1513</v>
      </c>
      <c r="CB1101" t="b">
        <v>0</v>
      </c>
      <c r="CC1101" t="b">
        <v>0</v>
      </c>
      <c r="CD1101" t="b">
        <v>0</v>
      </c>
      <c r="CE1101" t="b">
        <v>0</v>
      </c>
      <c r="CF1101" t="b">
        <v>0</v>
      </c>
    </row>
    <row r="1102" spans="1:84" x14ac:dyDescent="0.3">
      <c r="A1102" t="s">
        <v>3427</v>
      </c>
      <c r="B1102" t="s">
        <v>1143</v>
      </c>
      <c r="C1102" s="98">
        <v>45663</v>
      </c>
      <c r="D1102">
        <v>2025</v>
      </c>
      <c r="E1102">
        <v>1</v>
      </c>
      <c r="F1102">
        <v>1</v>
      </c>
      <c r="G1102" t="s">
        <v>1144</v>
      </c>
      <c r="H1102" t="s">
        <v>145</v>
      </c>
      <c r="I1102" t="s">
        <v>145</v>
      </c>
      <c r="J1102" t="s">
        <v>6</v>
      </c>
      <c r="L1102">
        <v>522611</v>
      </c>
      <c r="M1102" s="99" t="s">
        <v>180</v>
      </c>
      <c r="N1102">
        <v>3</v>
      </c>
      <c r="O1102">
        <v>1</v>
      </c>
      <c r="P1102">
        <v>6.6714000000000002</v>
      </c>
      <c r="Q1102" t="s">
        <v>352</v>
      </c>
      <c r="R1102">
        <v>1</v>
      </c>
      <c r="S1102">
        <v>6.6069000000000004</v>
      </c>
      <c r="T1102">
        <v>0.2137</v>
      </c>
      <c r="U1102">
        <v>0.30182498830135601</v>
      </c>
      <c r="V1102">
        <v>5.9658000000000007</v>
      </c>
      <c r="W1102">
        <v>6.1795000000000009</v>
      </c>
      <c r="X1102">
        <v>6.3932000000000002</v>
      </c>
      <c r="Y1102">
        <v>6.8206000000000007</v>
      </c>
      <c r="Z1102">
        <v>7.0343</v>
      </c>
      <c r="AA1102">
        <v>7.2480000000000002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 t="s">
        <v>462</v>
      </c>
      <c r="AL1102" t="s">
        <v>6</v>
      </c>
      <c r="AM1102" t="s">
        <v>1145</v>
      </c>
      <c r="AN1102" t="s">
        <v>1146</v>
      </c>
      <c r="AO1102" s="100">
        <v>46262.040405092594</v>
      </c>
      <c r="AP1102" t="s">
        <v>1147</v>
      </c>
      <c r="AQ1102" t="s">
        <v>3428</v>
      </c>
      <c r="AR1102" t="s">
        <v>1149</v>
      </c>
      <c r="AS1102" t="s">
        <v>1150</v>
      </c>
      <c r="AT1102" t="s">
        <v>3328</v>
      </c>
      <c r="AU1102">
        <v>25</v>
      </c>
      <c r="AV1102">
        <v>6.630744</v>
      </c>
      <c r="AW1102">
        <v>0.17380840524362828</v>
      </c>
      <c r="AX1102">
        <v>2.6212504244414849</v>
      </c>
      <c r="AY1102">
        <v>-23.146461788126032</v>
      </c>
      <c r="AZ1102">
        <v>27.471524988454483</v>
      </c>
      <c r="BB1102" t="s">
        <v>4620</v>
      </c>
      <c r="BD1102" s="98"/>
      <c r="BE1102" s="98"/>
      <c r="BF1102" t="s">
        <v>1152</v>
      </c>
      <c r="BG1102" t="s">
        <v>322</v>
      </c>
      <c r="BH1102" t="s">
        <v>1153</v>
      </c>
      <c r="BI1102">
        <v>23.146461788126032</v>
      </c>
      <c r="BN1102" t="s">
        <v>1154</v>
      </c>
      <c r="BO1102">
        <v>2025</v>
      </c>
      <c r="BP1102" t="s">
        <v>966</v>
      </c>
      <c r="BZ1102" t="s">
        <v>1513</v>
      </c>
      <c r="CA1102" t="s">
        <v>1513</v>
      </c>
      <c r="CB1102" t="b">
        <v>0</v>
      </c>
      <c r="CC1102" t="b">
        <v>0</v>
      </c>
      <c r="CD1102" t="b">
        <v>0</v>
      </c>
      <c r="CE1102" t="b">
        <v>0</v>
      </c>
      <c r="CF1102" t="b">
        <v>0</v>
      </c>
    </row>
    <row r="1103" spans="1:84" x14ac:dyDescent="0.3">
      <c r="A1103" t="s">
        <v>3429</v>
      </c>
      <c r="B1103" t="s">
        <v>1157</v>
      </c>
      <c r="C1103" s="98">
        <v>45670</v>
      </c>
      <c r="D1103">
        <v>2025</v>
      </c>
      <c r="E1103">
        <v>1</v>
      </c>
      <c r="F1103">
        <v>1</v>
      </c>
      <c r="G1103" t="s">
        <v>1144</v>
      </c>
      <c r="H1103" t="s">
        <v>145</v>
      </c>
      <c r="I1103" t="s">
        <v>145</v>
      </c>
      <c r="J1103" t="s">
        <v>6</v>
      </c>
      <c r="L1103">
        <v>522611</v>
      </c>
      <c r="M1103" s="99" t="s">
        <v>180</v>
      </c>
      <c r="N1103">
        <v>3</v>
      </c>
      <c r="O1103">
        <v>2</v>
      </c>
      <c r="P1103">
        <v>7.1430999999999996</v>
      </c>
      <c r="Q1103" t="s">
        <v>352</v>
      </c>
      <c r="R1103">
        <v>1</v>
      </c>
      <c r="S1103">
        <v>6.6069000000000004</v>
      </c>
      <c r="T1103">
        <v>0.2137</v>
      </c>
      <c r="U1103">
        <v>2.5091249415067809</v>
      </c>
      <c r="V1103">
        <v>5.9658000000000007</v>
      </c>
      <c r="W1103">
        <v>6.1795000000000009</v>
      </c>
      <c r="X1103">
        <v>6.3932000000000002</v>
      </c>
      <c r="Y1103">
        <v>6.8206000000000007</v>
      </c>
      <c r="Z1103">
        <v>7.0343</v>
      </c>
      <c r="AA1103">
        <v>7.2480000000000002</v>
      </c>
      <c r="AE1103">
        <v>0</v>
      </c>
      <c r="AF1103">
        <v>1</v>
      </c>
      <c r="AG1103">
        <v>0</v>
      </c>
      <c r="AH1103">
        <v>0</v>
      </c>
      <c r="AI1103">
        <v>0</v>
      </c>
      <c r="AJ1103">
        <v>1</v>
      </c>
      <c r="AK1103" t="s">
        <v>1213</v>
      </c>
      <c r="AL1103" t="s">
        <v>6</v>
      </c>
      <c r="AM1103" t="s">
        <v>1145</v>
      </c>
      <c r="AN1103" t="s">
        <v>1146</v>
      </c>
      <c r="AO1103" s="100">
        <v>46262.040405092594</v>
      </c>
      <c r="AP1103" t="s">
        <v>1147</v>
      </c>
      <c r="AQ1103" t="s">
        <v>3430</v>
      </c>
      <c r="AR1103" t="s">
        <v>1159</v>
      </c>
      <c r="AS1103" t="s">
        <v>1150</v>
      </c>
      <c r="AT1103" t="s">
        <v>3328</v>
      </c>
      <c r="AU1103">
        <v>25</v>
      </c>
      <c r="AV1103">
        <v>6.630744</v>
      </c>
      <c r="AW1103">
        <v>0.17380840524362828</v>
      </c>
      <c r="AX1103">
        <v>2.6212504244414849</v>
      </c>
      <c r="AY1103">
        <v>-23.146461788126032</v>
      </c>
      <c r="AZ1103">
        <v>27.471524988454483</v>
      </c>
      <c r="BB1103" t="s">
        <v>4620</v>
      </c>
      <c r="BD1103" s="98"/>
      <c r="BE1103" s="98"/>
      <c r="BF1103" t="s">
        <v>1152</v>
      </c>
      <c r="BG1103" t="s">
        <v>322</v>
      </c>
      <c r="BH1103" t="s">
        <v>1153</v>
      </c>
      <c r="BI1103">
        <v>23.146461788126032</v>
      </c>
      <c r="BN1103" t="s">
        <v>1154</v>
      </c>
      <c r="BO1103">
        <v>2025</v>
      </c>
      <c r="BP1103" t="s">
        <v>966</v>
      </c>
      <c r="BZ1103" t="s">
        <v>1513</v>
      </c>
      <c r="CA1103" t="s">
        <v>1513</v>
      </c>
      <c r="CB1103" t="b">
        <v>0</v>
      </c>
      <c r="CC1103" t="b">
        <v>0</v>
      </c>
      <c r="CD1103" t="b">
        <v>0</v>
      </c>
      <c r="CE1103" t="b">
        <v>0</v>
      </c>
      <c r="CF1103" t="b">
        <v>0</v>
      </c>
    </row>
    <row r="1104" spans="1:84" x14ac:dyDescent="0.3">
      <c r="A1104" t="s">
        <v>3431</v>
      </c>
      <c r="B1104" t="s">
        <v>1161</v>
      </c>
      <c r="C1104" s="98">
        <v>45677</v>
      </c>
      <c r="D1104">
        <v>2025</v>
      </c>
      <c r="E1104">
        <v>1</v>
      </c>
      <c r="F1104">
        <v>1</v>
      </c>
      <c r="G1104" t="s">
        <v>1144</v>
      </c>
      <c r="H1104" t="s">
        <v>145</v>
      </c>
      <c r="I1104" t="s">
        <v>145</v>
      </c>
      <c r="J1104" t="s">
        <v>6</v>
      </c>
      <c r="L1104">
        <v>522611</v>
      </c>
      <c r="M1104" s="99" t="s">
        <v>180</v>
      </c>
      <c r="N1104">
        <v>3</v>
      </c>
      <c r="O1104">
        <v>3</v>
      </c>
      <c r="P1104">
        <v>6.7744</v>
      </c>
      <c r="Q1104" t="s">
        <v>352</v>
      </c>
      <c r="R1104">
        <v>1</v>
      </c>
      <c r="S1104">
        <v>6.6069000000000004</v>
      </c>
      <c r="T1104">
        <v>0.2137</v>
      </c>
      <c r="U1104">
        <v>0.78380907814693279</v>
      </c>
      <c r="V1104">
        <v>5.9658000000000007</v>
      </c>
      <c r="W1104">
        <v>6.1795000000000009</v>
      </c>
      <c r="X1104">
        <v>6.3932000000000002</v>
      </c>
      <c r="Y1104">
        <v>6.8206000000000007</v>
      </c>
      <c r="Z1104">
        <v>7.0343</v>
      </c>
      <c r="AA1104">
        <v>7.2480000000000002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 t="s">
        <v>462</v>
      </c>
      <c r="AL1104" t="s">
        <v>6</v>
      </c>
      <c r="AM1104" t="s">
        <v>1145</v>
      </c>
      <c r="AN1104" t="s">
        <v>1146</v>
      </c>
      <c r="AO1104" s="100">
        <v>46262.040405092594</v>
      </c>
      <c r="AP1104" t="s">
        <v>1147</v>
      </c>
      <c r="AQ1104" t="s">
        <v>3432</v>
      </c>
      <c r="AR1104" t="s">
        <v>1163</v>
      </c>
      <c r="AS1104" t="s">
        <v>1150</v>
      </c>
      <c r="AT1104" t="s">
        <v>3328</v>
      </c>
      <c r="AU1104">
        <v>25</v>
      </c>
      <c r="AV1104">
        <v>6.630744</v>
      </c>
      <c r="AW1104">
        <v>0.17380840524362828</v>
      </c>
      <c r="AX1104">
        <v>2.6212504244414849</v>
      </c>
      <c r="AY1104">
        <v>-23.146461788126032</v>
      </c>
      <c r="AZ1104">
        <v>27.471524988454483</v>
      </c>
      <c r="BB1104" t="s">
        <v>4620</v>
      </c>
      <c r="BD1104" s="98"/>
      <c r="BE1104" s="98"/>
      <c r="BF1104" t="s">
        <v>1152</v>
      </c>
      <c r="BG1104" t="s">
        <v>322</v>
      </c>
      <c r="BH1104" t="s">
        <v>1153</v>
      </c>
      <c r="BI1104">
        <v>23.146461788126032</v>
      </c>
      <c r="BN1104" t="s">
        <v>1154</v>
      </c>
      <c r="BO1104">
        <v>2025</v>
      </c>
      <c r="BP1104" t="s">
        <v>966</v>
      </c>
      <c r="BZ1104" t="s">
        <v>1513</v>
      </c>
      <c r="CA1104" t="s">
        <v>1513</v>
      </c>
      <c r="CB1104" t="b">
        <v>0</v>
      </c>
      <c r="CC1104" t="b">
        <v>0</v>
      </c>
      <c r="CD1104" t="b">
        <v>0</v>
      </c>
      <c r="CE1104" t="b">
        <v>0</v>
      </c>
      <c r="CF1104" t="b">
        <v>0</v>
      </c>
    </row>
    <row r="1105" spans="1:84" x14ac:dyDescent="0.3">
      <c r="A1105" t="s">
        <v>3433</v>
      </c>
      <c r="B1105" t="s">
        <v>1165</v>
      </c>
      <c r="C1105" s="98">
        <v>45684</v>
      </c>
      <c r="D1105">
        <v>2025</v>
      </c>
      <c r="E1105">
        <v>1</v>
      </c>
      <c r="F1105">
        <v>1</v>
      </c>
      <c r="G1105" t="s">
        <v>1144</v>
      </c>
      <c r="H1105" t="s">
        <v>145</v>
      </c>
      <c r="I1105" t="s">
        <v>145</v>
      </c>
      <c r="J1105" t="s">
        <v>6</v>
      </c>
      <c r="L1105">
        <v>522611</v>
      </c>
      <c r="M1105" s="99" t="s">
        <v>180</v>
      </c>
      <c r="N1105">
        <v>3</v>
      </c>
      <c r="O1105">
        <v>4</v>
      </c>
      <c r="P1105">
        <v>6.6540999999999997</v>
      </c>
      <c r="Q1105" t="s">
        <v>352</v>
      </c>
      <c r="R1105">
        <v>1</v>
      </c>
      <c r="S1105">
        <v>6.6069000000000004</v>
      </c>
      <c r="T1105">
        <v>0.2137</v>
      </c>
      <c r="U1105">
        <v>0.22087037903602827</v>
      </c>
      <c r="V1105">
        <v>5.9658000000000007</v>
      </c>
      <c r="W1105">
        <v>6.1795000000000009</v>
      </c>
      <c r="X1105">
        <v>6.3932000000000002</v>
      </c>
      <c r="Y1105">
        <v>6.8206000000000007</v>
      </c>
      <c r="Z1105">
        <v>7.0343</v>
      </c>
      <c r="AA1105">
        <v>7.2480000000000002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 t="s">
        <v>462</v>
      </c>
      <c r="AL1105" t="s">
        <v>6</v>
      </c>
      <c r="AM1105" t="s">
        <v>1145</v>
      </c>
      <c r="AN1105" t="s">
        <v>1146</v>
      </c>
      <c r="AO1105" s="100">
        <v>46262.040405092594</v>
      </c>
      <c r="AP1105" t="s">
        <v>1147</v>
      </c>
      <c r="AQ1105" t="s">
        <v>3434</v>
      </c>
      <c r="AR1105" t="s">
        <v>1167</v>
      </c>
      <c r="AS1105" t="s">
        <v>1150</v>
      </c>
      <c r="AT1105" t="s">
        <v>3328</v>
      </c>
      <c r="AU1105">
        <v>25</v>
      </c>
      <c r="AV1105">
        <v>6.630744</v>
      </c>
      <c r="AW1105">
        <v>0.17380840524362828</v>
      </c>
      <c r="AX1105">
        <v>2.6212504244414849</v>
      </c>
      <c r="AY1105">
        <v>-23.146461788126032</v>
      </c>
      <c r="AZ1105">
        <v>27.471524988454483</v>
      </c>
      <c r="BB1105" t="s">
        <v>4620</v>
      </c>
      <c r="BD1105" s="98"/>
      <c r="BE1105" s="98"/>
      <c r="BF1105" t="s">
        <v>1152</v>
      </c>
      <c r="BG1105" t="s">
        <v>322</v>
      </c>
      <c r="BH1105" t="s">
        <v>1153</v>
      </c>
      <c r="BI1105">
        <v>23.146461788126032</v>
      </c>
      <c r="BN1105" t="s">
        <v>1154</v>
      </c>
      <c r="BO1105">
        <v>2025</v>
      </c>
      <c r="BP1105" t="s">
        <v>966</v>
      </c>
      <c r="BZ1105" t="s">
        <v>1513</v>
      </c>
      <c r="CA1105" t="s">
        <v>1513</v>
      </c>
      <c r="CB1105" t="b">
        <v>0</v>
      </c>
      <c r="CC1105" t="b">
        <v>0</v>
      </c>
      <c r="CD1105" t="b">
        <v>0</v>
      </c>
      <c r="CE1105" t="b">
        <v>0</v>
      </c>
      <c r="CF1105" t="b">
        <v>0</v>
      </c>
    </row>
    <row r="1106" spans="1:84" x14ac:dyDescent="0.3">
      <c r="A1106" t="s">
        <v>3435</v>
      </c>
      <c r="B1106" t="s">
        <v>1169</v>
      </c>
      <c r="C1106" s="98">
        <v>45691</v>
      </c>
      <c r="D1106">
        <v>2025</v>
      </c>
      <c r="E1106">
        <v>2</v>
      </c>
      <c r="F1106">
        <v>1</v>
      </c>
      <c r="G1106" t="s">
        <v>1170</v>
      </c>
      <c r="H1106" t="s">
        <v>145</v>
      </c>
      <c r="I1106" t="s">
        <v>145</v>
      </c>
      <c r="J1106" t="s">
        <v>6</v>
      </c>
      <c r="L1106">
        <v>522611</v>
      </c>
      <c r="M1106" s="99" t="s">
        <v>180</v>
      </c>
      <c r="N1106">
        <v>3</v>
      </c>
      <c r="O1106">
        <v>5</v>
      </c>
      <c r="P1106">
        <v>6.5624000000000002</v>
      </c>
      <c r="Q1106" t="s">
        <v>352</v>
      </c>
      <c r="R1106">
        <v>1</v>
      </c>
      <c r="S1106">
        <v>6.6069000000000004</v>
      </c>
      <c r="T1106">
        <v>0.2137</v>
      </c>
      <c r="U1106">
        <v>-0.20823584464202249</v>
      </c>
      <c r="V1106">
        <v>5.9658000000000007</v>
      </c>
      <c r="W1106">
        <v>6.1795000000000009</v>
      </c>
      <c r="X1106">
        <v>6.3932000000000002</v>
      </c>
      <c r="Y1106">
        <v>6.8206000000000007</v>
      </c>
      <c r="Z1106">
        <v>7.0343</v>
      </c>
      <c r="AA1106">
        <v>7.2480000000000002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 t="s">
        <v>462</v>
      </c>
      <c r="AL1106" t="s">
        <v>6</v>
      </c>
      <c r="AM1106" t="s">
        <v>1145</v>
      </c>
      <c r="AN1106" t="s">
        <v>1146</v>
      </c>
      <c r="AO1106" s="100">
        <v>46262.040405092594</v>
      </c>
      <c r="AP1106" t="s">
        <v>1147</v>
      </c>
      <c r="AQ1106" t="s">
        <v>3436</v>
      </c>
      <c r="AR1106" t="s">
        <v>1172</v>
      </c>
      <c r="AS1106" t="s">
        <v>1150</v>
      </c>
      <c r="AT1106" t="s">
        <v>3328</v>
      </c>
      <c r="AU1106">
        <v>25</v>
      </c>
      <c r="AV1106">
        <v>6.630744</v>
      </c>
      <c r="AW1106">
        <v>0.17380840524362828</v>
      </c>
      <c r="AX1106">
        <v>2.6212504244414849</v>
      </c>
      <c r="AY1106">
        <v>-23.146461788126032</v>
      </c>
      <c r="AZ1106">
        <v>27.471524988454483</v>
      </c>
      <c r="BB1106" t="s">
        <v>4620</v>
      </c>
      <c r="BD1106" s="98"/>
      <c r="BE1106" s="98"/>
      <c r="BF1106" t="s">
        <v>1152</v>
      </c>
      <c r="BG1106" t="s">
        <v>322</v>
      </c>
      <c r="BH1106" t="s">
        <v>1153</v>
      </c>
      <c r="BI1106">
        <v>23.146461788126032</v>
      </c>
      <c r="BN1106" t="s">
        <v>1154</v>
      </c>
      <c r="BO1106">
        <v>2025</v>
      </c>
      <c r="BP1106" t="s">
        <v>966</v>
      </c>
      <c r="BZ1106" t="s">
        <v>1513</v>
      </c>
      <c r="CA1106" t="s">
        <v>1513</v>
      </c>
      <c r="CB1106" t="b">
        <v>0</v>
      </c>
      <c r="CC1106" t="b">
        <v>0</v>
      </c>
      <c r="CD1106" t="b">
        <v>0</v>
      </c>
      <c r="CE1106" t="b">
        <v>0</v>
      </c>
      <c r="CF1106" t="b">
        <v>0</v>
      </c>
    </row>
    <row r="1107" spans="1:84" x14ac:dyDescent="0.3">
      <c r="A1107" t="s">
        <v>3437</v>
      </c>
      <c r="B1107" t="s">
        <v>1174</v>
      </c>
      <c r="C1107" s="98">
        <v>45698</v>
      </c>
      <c r="D1107">
        <v>2025</v>
      </c>
      <c r="E1107">
        <v>2</v>
      </c>
      <c r="F1107">
        <v>1</v>
      </c>
      <c r="G1107" t="s">
        <v>1170</v>
      </c>
      <c r="H1107" t="s">
        <v>145</v>
      </c>
      <c r="I1107" t="s">
        <v>145</v>
      </c>
      <c r="J1107" t="s">
        <v>6</v>
      </c>
      <c r="L1107">
        <v>522611</v>
      </c>
      <c r="M1107" s="99" t="s">
        <v>180</v>
      </c>
      <c r="N1107">
        <v>3</v>
      </c>
      <c r="O1107">
        <v>6</v>
      </c>
      <c r="P1107">
        <v>6.4912000000000001</v>
      </c>
      <c r="Q1107" t="s">
        <v>352</v>
      </c>
      <c r="R1107">
        <v>1</v>
      </c>
      <c r="S1107">
        <v>6.6069000000000004</v>
      </c>
      <c r="T1107">
        <v>0.2137</v>
      </c>
      <c r="U1107">
        <v>-0.54141319606925764</v>
      </c>
      <c r="V1107">
        <v>5.9658000000000007</v>
      </c>
      <c r="W1107">
        <v>6.1795000000000009</v>
      </c>
      <c r="X1107">
        <v>6.3932000000000002</v>
      </c>
      <c r="Y1107">
        <v>6.8206000000000007</v>
      </c>
      <c r="Z1107">
        <v>7.0343</v>
      </c>
      <c r="AA1107">
        <v>7.2480000000000002</v>
      </c>
      <c r="AE1107">
        <v>0</v>
      </c>
      <c r="AF1107">
        <v>0</v>
      </c>
      <c r="AG1107">
        <v>0</v>
      </c>
      <c r="AH1107">
        <v>0</v>
      </c>
      <c r="AI1107">
        <v>1</v>
      </c>
      <c r="AJ1107">
        <v>0</v>
      </c>
      <c r="AK1107" t="s">
        <v>1213</v>
      </c>
      <c r="AL1107" t="s">
        <v>6</v>
      </c>
      <c r="AM1107" t="s">
        <v>1145</v>
      </c>
      <c r="AN1107" t="s">
        <v>1146</v>
      </c>
      <c r="AO1107" s="100">
        <v>46262.040405092594</v>
      </c>
      <c r="AP1107" t="s">
        <v>1147</v>
      </c>
      <c r="AQ1107" t="s">
        <v>3438</v>
      </c>
      <c r="AR1107" t="s">
        <v>1176</v>
      </c>
      <c r="AS1107" t="s">
        <v>1150</v>
      </c>
      <c r="AT1107" t="s">
        <v>3328</v>
      </c>
      <c r="AU1107">
        <v>25</v>
      </c>
      <c r="AV1107">
        <v>6.630744</v>
      </c>
      <c r="AW1107">
        <v>0.17380840524362828</v>
      </c>
      <c r="AX1107">
        <v>2.6212504244414849</v>
      </c>
      <c r="AY1107">
        <v>-23.146461788126032</v>
      </c>
      <c r="AZ1107">
        <v>27.471524988454483</v>
      </c>
      <c r="BB1107" t="s">
        <v>4620</v>
      </c>
      <c r="BD1107" s="98"/>
      <c r="BE1107" s="98"/>
      <c r="BF1107" t="s">
        <v>1152</v>
      </c>
      <c r="BG1107" t="s">
        <v>322</v>
      </c>
      <c r="BH1107" t="s">
        <v>1153</v>
      </c>
      <c r="BI1107">
        <v>23.146461788126032</v>
      </c>
      <c r="BN1107" t="s">
        <v>1154</v>
      </c>
      <c r="BO1107">
        <v>2025</v>
      </c>
      <c r="BP1107" t="s">
        <v>966</v>
      </c>
      <c r="BZ1107" t="s">
        <v>1513</v>
      </c>
      <c r="CA1107" t="s">
        <v>1513</v>
      </c>
      <c r="CB1107" t="b">
        <v>0</v>
      </c>
      <c r="CC1107" t="b">
        <v>0</v>
      </c>
      <c r="CD1107" t="b">
        <v>0</v>
      </c>
      <c r="CE1107" t="b">
        <v>0</v>
      </c>
      <c r="CF1107" t="b">
        <v>0</v>
      </c>
    </row>
    <row r="1108" spans="1:84" x14ac:dyDescent="0.3">
      <c r="A1108" t="s">
        <v>3439</v>
      </c>
      <c r="B1108" t="s">
        <v>1178</v>
      </c>
      <c r="C1108" s="98">
        <v>45705</v>
      </c>
      <c r="D1108">
        <v>2025</v>
      </c>
      <c r="E1108">
        <v>2</v>
      </c>
      <c r="F1108">
        <v>1</v>
      </c>
      <c r="G1108" t="s">
        <v>1170</v>
      </c>
      <c r="H1108" t="s">
        <v>145</v>
      </c>
      <c r="I1108" t="s">
        <v>145</v>
      </c>
      <c r="J1108" t="s">
        <v>6</v>
      </c>
      <c r="L1108">
        <v>522611</v>
      </c>
      <c r="M1108" s="99" t="s">
        <v>180</v>
      </c>
      <c r="N1108">
        <v>3</v>
      </c>
      <c r="O1108">
        <v>7</v>
      </c>
      <c r="P1108">
        <v>6.5614999999999997</v>
      </c>
      <c r="Q1108" t="s">
        <v>352</v>
      </c>
      <c r="R1108">
        <v>1</v>
      </c>
      <c r="S1108">
        <v>6.6069000000000004</v>
      </c>
      <c r="T1108">
        <v>0.2137</v>
      </c>
      <c r="U1108">
        <v>-0.21244735610669524</v>
      </c>
      <c r="V1108">
        <v>5.9658000000000007</v>
      </c>
      <c r="W1108">
        <v>6.1795000000000009</v>
      </c>
      <c r="X1108">
        <v>6.3932000000000002</v>
      </c>
      <c r="Y1108">
        <v>6.8206000000000007</v>
      </c>
      <c r="Z1108">
        <v>7.0343</v>
      </c>
      <c r="AA1108">
        <v>7.2480000000000002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 t="s">
        <v>462</v>
      </c>
      <c r="AL1108" t="s">
        <v>6</v>
      </c>
      <c r="AM1108" t="s">
        <v>1145</v>
      </c>
      <c r="AN1108" t="s">
        <v>1146</v>
      </c>
      <c r="AO1108" s="100">
        <v>46262.040405092594</v>
      </c>
      <c r="AP1108" t="s">
        <v>1147</v>
      </c>
      <c r="AQ1108" t="s">
        <v>3440</v>
      </c>
      <c r="AR1108" t="s">
        <v>1180</v>
      </c>
      <c r="AS1108" t="s">
        <v>1150</v>
      </c>
      <c r="AT1108" t="s">
        <v>3328</v>
      </c>
      <c r="AU1108">
        <v>25</v>
      </c>
      <c r="AV1108">
        <v>6.630744</v>
      </c>
      <c r="AW1108">
        <v>0.17380840524362828</v>
      </c>
      <c r="AX1108">
        <v>2.6212504244414849</v>
      </c>
      <c r="AY1108">
        <v>-23.146461788126032</v>
      </c>
      <c r="AZ1108">
        <v>27.471524988454483</v>
      </c>
      <c r="BB1108" t="s">
        <v>4620</v>
      </c>
      <c r="BD1108" s="98"/>
      <c r="BE1108" s="98"/>
      <c r="BF1108" t="s">
        <v>1152</v>
      </c>
      <c r="BG1108" t="s">
        <v>322</v>
      </c>
      <c r="BH1108" t="s">
        <v>1153</v>
      </c>
      <c r="BI1108">
        <v>23.146461788126032</v>
      </c>
      <c r="BN1108" t="s">
        <v>1154</v>
      </c>
      <c r="BO1108">
        <v>2025</v>
      </c>
      <c r="BP1108" t="s">
        <v>966</v>
      </c>
      <c r="BZ1108" t="s">
        <v>1513</v>
      </c>
      <c r="CA1108" t="s">
        <v>1513</v>
      </c>
      <c r="CB1108" t="b">
        <v>0</v>
      </c>
      <c r="CC1108" t="b">
        <v>0</v>
      </c>
      <c r="CD1108" t="b">
        <v>0</v>
      </c>
      <c r="CE1108" t="b">
        <v>0</v>
      </c>
      <c r="CF1108" t="b">
        <v>0</v>
      </c>
    </row>
    <row r="1109" spans="1:84" x14ac:dyDescent="0.3">
      <c r="A1109" t="s">
        <v>3441</v>
      </c>
      <c r="B1109" t="s">
        <v>1182</v>
      </c>
      <c r="C1109" s="98">
        <v>45712</v>
      </c>
      <c r="D1109">
        <v>2025</v>
      </c>
      <c r="E1109">
        <v>2</v>
      </c>
      <c r="F1109">
        <v>1</v>
      </c>
      <c r="G1109" t="s">
        <v>1170</v>
      </c>
      <c r="H1109" t="s">
        <v>145</v>
      </c>
      <c r="I1109" t="s">
        <v>145</v>
      </c>
      <c r="J1109" t="s">
        <v>6</v>
      </c>
      <c r="L1109">
        <v>522611</v>
      </c>
      <c r="M1109" s="99" t="s">
        <v>180</v>
      </c>
      <c r="N1109">
        <v>3</v>
      </c>
      <c r="O1109">
        <v>8</v>
      </c>
      <c r="P1109">
        <v>6.4892000000000003</v>
      </c>
      <c r="Q1109" t="s">
        <v>352</v>
      </c>
      <c r="R1109">
        <v>1</v>
      </c>
      <c r="S1109">
        <v>6.6069000000000004</v>
      </c>
      <c r="T1109">
        <v>0.2137</v>
      </c>
      <c r="U1109">
        <v>-0.55077211043519014</v>
      </c>
      <c r="V1109">
        <v>5.9658000000000007</v>
      </c>
      <c r="W1109">
        <v>6.1795000000000009</v>
      </c>
      <c r="X1109">
        <v>6.3932000000000002</v>
      </c>
      <c r="Y1109">
        <v>6.8206000000000007</v>
      </c>
      <c r="Z1109">
        <v>7.0343</v>
      </c>
      <c r="AA1109">
        <v>7.2480000000000002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 t="s">
        <v>462</v>
      </c>
      <c r="AL1109" t="s">
        <v>6</v>
      </c>
      <c r="AM1109" t="s">
        <v>1145</v>
      </c>
      <c r="AN1109" t="s">
        <v>1146</v>
      </c>
      <c r="AO1109" s="100">
        <v>46262.040405092594</v>
      </c>
      <c r="AP1109" t="s">
        <v>1147</v>
      </c>
      <c r="AQ1109" t="s">
        <v>3442</v>
      </c>
      <c r="AR1109" t="s">
        <v>1184</v>
      </c>
      <c r="AS1109" t="s">
        <v>1150</v>
      </c>
      <c r="AT1109" t="s">
        <v>3328</v>
      </c>
      <c r="AU1109">
        <v>25</v>
      </c>
      <c r="AV1109">
        <v>6.630744</v>
      </c>
      <c r="AW1109">
        <v>0.17380840524362828</v>
      </c>
      <c r="AX1109">
        <v>2.6212504244414849</v>
      </c>
      <c r="AY1109">
        <v>-23.146461788126032</v>
      </c>
      <c r="AZ1109">
        <v>27.471524988454483</v>
      </c>
      <c r="BB1109" t="s">
        <v>4620</v>
      </c>
      <c r="BD1109" s="98"/>
      <c r="BE1109" s="98"/>
      <c r="BF1109" t="s">
        <v>1152</v>
      </c>
      <c r="BG1109" t="s">
        <v>322</v>
      </c>
      <c r="BH1109" t="s">
        <v>1153</v>
      </c>
      <c r="BI1109">
        <v>23.146461788126032</v>
      </c>
      <c r="BN1109" t="s">
        <v>1154</v>
      </c>
      <c r="BO1109">
        <v>2025</v>
      </c>
      <c r="BP1109" t="s">
        <v>966</v>
      </c>
      <c r="BZ1109" t="s">
        <v>1513</v>
      </c>
      <c r="CA1109" t="s">
        <v>1513</v>
      </c>
      <c r="CB1109" t="b">
        <v>0</v>
      </c>
      <c r="CC1109" t="b">
        <v>0</v>
      </c>
      <c r="CD1109" t="b">
        <v>0</v>
      </c>
      <c r="CE1109" t="b">
        <v>0</v>
      </c>
      <c r="CF1109" t="b">
        <v>0</v>
      </c>
    </row>
    <row r="1110" spans="1:84" x14ac:dyDescent="0.3">
      <c r="A1110" t="s">
        <v>3443</v>
      </c>
      <c r="B1110" t="s">
        <v>1186</v>
      </c>
      <c r="C1110" s="98">
        <v>45719</v>
      </c>
      <c r="D1110">
        <v>2025</v>
      </c>
      <c r="E1110">
        <v>3</v>
      </c>
      <c r="F1110">
        <v>1</v>
      </c>
      <c r="G1110" t="s">
        <v>1187</v>
      </c>
      <c r="H1110" t="s">
        <v>145</v>
      </c>
      <c r="I1110" t="s">
        <v>145</v>
      </c>
      <c r="J1110" t="s">
        <v>6</v>
      </c>
      <c r="L1110">
        <v>522611</v>
      </c>
      <c r="M1110" s="99" t="s">
        <v>180</v>
      </c>
      <c r="N1110">
        <v>3</v>
      </c>
      <c r="O1110">
        <v>9</v>
      </c>
      <c r="P1110">
        <v>6.7660999999999998</v>
      </c>
      <c r="Q1110" t="s">
        <v>352</v>
      </c>
      <c r="R1110">
        <v>1</v>
      </c>
      <c r="S1110">
        <v>6.6069000000000004</v>
      </c>
      <c r="T1110">
        <v>0.2137</v>
      </c>
      <c r="U1110">
        <v>0.74496958352830767</v>
      </c>
      <c r="V1110">
        <v>5.9658000000000007</v>
      </c>
      <c r="W1110">
        <v>6.1795000000000009</v>
      </c>
      <c r="X1110">
        <v>6.3932000000000002</v>
      </c>
      <c r="Y1110">
        <v>6.8206000000000007</v>
      </c>
      <c r="Z1110">
        <v>7.0343</v>
      </c>
      <c r="AA1110">
        <v>7.2480000000000002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 t="s">
        <v>462</v>
      </c>
      <c r="AL1110" t="s">
        <v>6</v>
      </c>
      <c r="AM1110" t="s">
        <v>1145</v>
      </c>
      <c r="AN1110" t="s">
        <v>1146</v>
      </c>
      <c r="AO1110" s="100">
        <v>46262.040405092594</v>
      </c>
      <c r="AP1110" t="s">
        <v>1147</v>
      </c>
      <c r="AQ1110" t="s">
        <v>3444</v>
      </c>
      <c r="AR1110" t="s">
        <v>1189</v>
      </c>
      <c r="AS1110" t="s">
        <v>1150</v>
      </c>
      <c r="AT1110" t="s">
        <v>3328</v>
      </c>
      <c r="AU1110">
        <v>25</v>
      </c>
      <c r="AV1110">
        <v>6.630744</v>
      </c>
      <c r="AW1110">
        <v>0.17380840524362828</v>
      </c>
      <c r="AX1110">
        <v>2.6212504244414849</v>
      </c>
      <c r="AY1110">
        <v>-23.146461788126032</v>
      </c>
      <c r="AZ1110">
        <v>27.471524988454483</v>
      </c>
      <c r="BB1110" t="s">
        <v>4620</v>
      </c>
      <c r="BD1110" s="98"/>
      <c r="BE1110" s="98"/>
      <c r="BF1110" t="s">
        <v>1152</v>
      </c>
      <c r="BG1110" t="s">
        <v>322</v>
      </c>
      <c r="BH1110" t="s">
        <v>1153</v>
      </c>
      <c r="BI1110">
        <v>23.146461788126032</v>
      </c>
      <c r="BN1110" t="s">
        <v>1154</v>
      </c>
      <c r="BO1110">
        <v>2025</v>
      </c>
      <c r="BP1110" t="s">
        <v>966</v>
      </c>
      <c r="BZ1110" t="s">
        <v>1513</v>
      </c>
      <c r="CA1110" t="s">
        <v>1513</v>
      </c>
      <c r="CB1110" t="b">
        <v>0</v>
      </c>
      <c r="CC1110" t="b">
        <v>0</v>
      </c>
      <c r="CD1110" t="b">
        <v>0</v>
      </c>
      <c r="CE1110" t="b">
        <v>0</v>
      </c>
      <c r="CF1110" t="b">
        <v>0</v>
      </c>
    </row>
    <row r="1111" spans="1:84" x14ac:dyDescent="0.3">
      <c r="A1111" t="s">
        <v>3445</v>
      </c>
      <c r="B1111" t="s">
        <v>1191</v>
      </c>
      <c r="C1111" s="98">
        <v>45726</v>
      </c>
      <c r="D1111">
        <v>2025</v>
      </c>
      <c r="E1111">
        <v>3</v>
      </c>
      <c r="F1111">
        <v>1</v>
      </c>
      <c r="G1111" t="s">
        <v>1187</v>
      </c>
      <c r="H1111" t="s">
        <v>145</v>
      </c>
      <c r="I1111" t="s">
        <v>145</v>
      </c>
      <c r="J1111" t="s">
        <v>6</v>
      </c>
      <c r="L1111">
        <v>522611</v>
      </c>
      <c r="M1111" s="99" t="s">
        <v>180</v>
      </c>
      <c r="N1111">
        <v>3</v>
      </c>
      <c r="O1111">
        <v>10</v>
      </c>
      <c r="P1111">
        <v>6.5217999999999998</v>
      </c>
      <c r="Q1111" t="s">
        <v>352</v>
      </c>
      <c r="R1111">
        <v>1</v>
      </c>
      <c r="S1111">
        <v>6.6069000000000004</v>
      </c>
      <c r="T1111">
        <v>0.2137</v>
      </c>
      <c r="U1111">
        <v>-0.39822180627047554</v>
      </c>
      <c r="V1111">
        <v>5.9658000000000007</v>
      </c>
      <c r="W1111">
        <v>6.1795000000000009</v>
      </c>
      <c r="X1111">
        <v>6.3932000000000002</v>
      </c>
      <c r="Y1111">
        <v>6.8206000000000007</v>
      </c>
      <c r="Z1111">
        <v>7.0343</v>
      </c>
      <c r="AA1111">
        <v>7.2480000000000002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 t="s">
        <v>462</v>
      </c>
      <c r="AL1111" t="s">
        <v>6</v>
      </c>
      <c r="AM1111" t="s">
        <v>1145</v>
      </c>
      <c r="AN1111" t="s">
        <v>1146</v>
      </c>
      <c r="AO1111" s="100">
        <v>46262.040405092594</v>
      </c>
      <c r="AP1111" t="s">
        <v>1147</v>
      </c>
      <c r="AQ1111" t="s">
        <v>3446</v>
      </c>
      <c r="AR1111" t="s">
        <v>1193</v>
      </c>
      <c r="AS1111" t="s">
        <v>1150</v>
      </c>
      <c r="AT1111" t="s">
        <v>3328</v>
      </c>
      <c r="AU1111">
        <v>25</v>
      </c>
      <c r="AV1111">
        <v>6.630744</v>
      </c>
      <c r="AW1111">
        <v>0.17380840524362828</v>
      </c>
      <c r="AX1111">
        <v>2.6212504244414849</v>
      </c>
      <c r="AY1111">
        <v>-23.146461788126032</v>
      </c>
      <c r="AZ1111">
        <v>27.471524988454483</v>
      </c>
      <c r="BB1111" t="s">
        <v>4620</v>
      </c>
      <c r="BD1111" s="98"/>
      <c r="BE1111" s="98"/>
      <c r="BF1111" t="s">
        <v>1152</v>
      </c>
      <c r="BG1111" t="s">
        <v>322</v>
      </c>
      <c r="BH1111" t="s">
        <v>1153</v>
      </c>
      <c r="BI1111">
        <v>23.146461788126032</v>
      </c>
      <c r="BN1111" t="s">
        <v>1154</v>
      </c>
      <c r="BO1111">
        <v>2025</v>
      </c>
      <c r="BP1111" t="s">
        <v>966</v>
      </c>
      <c r="BZ1111" t="s">
        <v>1513</v>
      </c>
      <c r="CA1111" t="s">
        <v>1513</v>
      </c>
      <c r="CB1111" t="b">
        <v>0</v>
      </c>
      <c r="CC1111" t="b">
        <v>0</v>
      </c>
      <c r="CD1111" t="b">
        <v>0</v>
      </c>
      <c r="CE1111" t="b">
        <v>0</v>
      </c>
      <c r="CF1111" t="b">
        <v>0</v>
      </c>
    </row>
    <row r="1112" spans="1:84" x14ac:dyDescent="0.3">
      <c r="A1112" t="s">
        <v>3447</v>
      </c>
      <c r="B1112" t="s">
        <v>1195</v>
      </c>
      <c r="C1112" s="98">
        <v>45733</v>
      </c>
      <c r="D1112">
        <v>2025</v>
      </c>
      <c r="E1112">
        <v>3</v>
      </c>
      <c r="F1112">
        <v>1</v>
      </c>
      <c r="G1112" t="s">
        <v>1187</v>
      </c>
      <c r="H1112" t="s">
        <v>145</v>
      </c>
      <c r="I1112" t="s">
        <v>145</v>
      </c>
      <c r="J1112" t="s">
        <v>6</v>
      </c>
      <c r="L1112">
        <v>522611</v>
      </c>
      <c r="M1112" s="99" t="s">
        <v>180</v>
      </c>
      <c r="N1112">
        <v>3</v>
      </c>
      <c r="O1112">
        <v>11</v>
      </c>
      <c r="P1112">
        <v>6.5125999999999999</v>
      </c>
      <c r="Q1112" t="s">
        <v>352</v>
      </c>
      <c r="R1112">
        <v>1</v>
      </c>
      <c r="S1112">
        <v>6.6069000000000004</v>
      </c>
      <c r="T1112">
        <v>0.2137</v>
      </c>
      <c r="U1112">
        <v>-0.44127281235376925</v>
      </c>
      <c r="V1112">
        <v>5.9658000000000007</v>
      </c>
      <c r="W1112">
        <v>6.1795000000000009</v>
      </c>
      <c r="X1112">
        <v>6.3932000000000002</v>
      </c>
      <c r="Y1112">
        <v>6.8206000000000007</v>
      </c>
      <c r="Z1112">
        <v>7.0343</v>
      </c>
      <c r="AA1112">
        <v>7.2480000000000002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 t="s">
        <v>462</v>
      </c>
      <c r="AL1112" t="s">
        <v>6</v>
      </c>
      <c r="AM1112" t="s">
        <v>1145</v>
      </c>
      <c r="AN1112" t="s">
        <v>1146</v>
      </c>
      <c r="AO1112" s="100">
        <v>46262.040405092594</v>
      </c>
      <c r="AP1112" t="s">
        <v>1147</v>
      </c>
      <c r="AQ1112" t="s">
        <v>3448</v>
      </c>
      <c r="AR1112" t="s">
        <v>1197</v>
      </c>
      <c r="AS1112" t="s">
        <v>1150</v>
      </c>
      <c r="AT1112" t="s">
        <v>3328</v>
      </c>
      <c r="AU1112">
        <v>25</v>
      </c>
      <c r="AV1112">
        <v>6.630744</v>
      </c>
      <c r="AW1112">
        <v>0.17380840524362828</v>
      </c>
      <c r="AX1112">
        <v>2.6212504244414849</v>
      </c>
      <c r="AY1112">
        <v>-23.146461788126032</v>
      </c>
      <c r="AZ1112">
        <v>27.471524988454483</v>
      </c>
      <c r="BB1112" t="s">
        <v>4620</v>
      </c>
      <c r="BD1112" s="98"/>
      <c r="BE1112" s="98"/>
      <c r="BF1112" t="s">
        <v>1152</v>
      </c>
      <c r="BG1112" t="s">
        <v>322</v>
      </c>
      <c r="BH1112" t="s">
        <v>1153</v>
      </c>
      <c r="BI1112">
        <v>23.146461788126032</v>
      </c>
      <c r="BN1112" t="s">
        <v>1154</v>
      </c>
      <c r="BO1112">
        <v>2025</v>
      </c>
      <c r="BP1112" t="s">
        <v>966</v>
      </c>
      <c r="BZ1112" t="s">
        <v>1513</v>
      </c>
      <c r="CA1112" t="s">
        <v>1513</v>
      </c>
      <c r="CB1112" t="b">
        <v>0</v>
      </c>
      <c r="CC1112" t="b">
        <v>0</v>
      </c>
      <c r="CD1112" t="b">
        <v>0</v>
      </c>
      <c r="CE1112" t="b">
        <v>0</v>
      </c>
      <c r="CF1112" t="b">
        <v>0</v>
      </c>
    </row>
    <row r="1113" spans="1:84" x14ac:dyDescent="0.3">
      <c r="A1113" t="s">
        <v>3449</v>
      </c>
      <c r="B1113" t="s">
        <v>1199</v>
      </c>
      <c r="C1113" s="98">
        <v>45740</v>
      </c>
      <c r="D1113">
        <v>2025</v>
      </c>
      <c r="E1113">
        <v>3</v>
      </c>
      <c r="F1113">
        <v>1</v>
      </c>
      <c r="G1113" t="s">
        <v>1187</v>
      </c>
      <c r="H1113" t="s">
        <v>145</v>
      </c>
      <c r="I1113" t="s">
        <v>145</v>
      </c>
      <c r="J1113" t="s">
        <v>6</v>
      </c>
      <c r="L1113">
        <v>522611</v>
      </c>
      <c r="M1113" s="99" t="s">
        <v>180</v>
      </c>
      <c r="N1113">
        <v>3</v>
      </c>
      <c r="O1113">
        <v>12</v>
      </c>
      <c r="P1113">
        <v>6.35</v>
      </c>
      <c r="Q1113" t="s">
        <v>352</v>
      </c>
      <c r="R1113">
        <v>1</v>
      </c>
      <c r="S1113">
        <v>6.6069000000000004</v>
      </c>
      <c r="T1113">
        <v>0.2137</v>
      </c>
      <c r="U1113">
        <v>-1.2021525503041683</v>
      </c>
      <c r="V1113">
        <v>5.9658000000000007</v>
      </c>
      <c r="W1113">
        <v>6.1795000000000009</v>
      </c>
      <c r="X1113">
        <v>6.3932000000000002</v>
      </c>
      <c r="Y1113">
        <v>6.8206000000000007</v>
      </c>
      <c r="Z1113">
        <v>7.0343</v>
      </c>
      <c r="AA1113">
        <v>7.2480000000000002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 t="s">
        <v>462</v>
      </c>
      <c r="AL1113" t="s">
        <v>6</v>
      </c>
      <c r="AM1113" t="s">
        <v>1145</v>
      </c>
      <c r="AN1113" t="s">
        <v>1146</v>
      </c>
      <c r="AO1113" s="100">
        <v>46262.040405092594</v>
      </c>
      <c r="AP1113" t="s">
        <v>1147</v>
      </c>
      <c r="AQ1113" t="s">
        <v>3450</v>
      </c>
      <c r="AR1113" t="s">
        <v>1201</v>
      </c>
      <c r="AS1113" t="s">
        <v>1150</v>
      </c>
      <c r="AT1113" t="s">
        <v>3328</v>
      </c>
      <c r="AU1113">
        <v>25</v>
      </c>
      <c r="AV1113">
        <v>6.630744</v>
      </c>
      <c r="AW1113">
        <v>0.17380840524362828</v>
      </c>
      <c r="AX1113">
        <v>2.6212504244414849</v>
      </c>
      <c r="AY1113">
        <v>-23.146461788126032</v>
      </c>
      <c r="AZ1113">
        <v>27.471524988454483</v>
      </c>
      <c r="BB1113" t="s">
        <v>4620</v>
      </c>
      <c r="BD1113" s="98"/>
      <c r="BE1113" s="98"/>
      <c r="BF1113" t="s">
        <v>1152</v>
      </c>
      <c r="BG1113" t="s">
        <v>322</v>
      </c>
      <c r="BH1113" t="s">
        <v>1153</v>
      </c>
      <c r="BI1113">
        <v>23.146461788126032</v>
      </c>
      <c r="BN1113" t="s">
        <v>1154</v>
      </c>
      <c r="BO1113">
        <v>2025</v>
      </c>
      <c r="BP1113" t="s">
        <v>966</v>
      </c>
      <c r="BZ1113" t="s">
        <v>1513</v>
      </c>
      <c r="CA1113" t="s">
        <v>1513</v>
      </c>
      <c r="CB1113" t="b">
        <v>0</v>
      </c>
      <c r="CC1113" t="b">
        <v>0</v>
      </c>
      <c r="CD1113" t="b">
        <v>0</v>
      </c>
      <c r="CE1113" t="b">
        <v>0</v>
      </c>
      <c r="CF1113" t="b">
        <v>0</v>
      </c>
    </row>
    <row r="1114" spans="1:84" x14ac:dyDescent="0.3">
      <c r="A1114" t="s">
        <v>3451</v>
      </c>
      <c r="B1114" t="s">
        <v>1203</v>
      </c>
      <c r="C1114" s="98">
        <v>45747</v>
      </c>
      <c r="D1114">
        <v>2025</v>
      </c>
      <c r="E1114">
        <v>3</v>
      </c>
      <c r="F1114">
        <v>1</v>
      </c>
      <c r="G1114" t="s">
        <v>1187</v>
      </c>
      <c r="H1114" t="s">
        <v>145</v>
      </c>
      <c r="I1114" t="s">
        <v>145</v>
      </c>
      <c r="J1114" t="s">
        <v>6</v>
      </c>
      <c r="L1114">
        <v>522611</v>
      </c>
      <c r="M1114" s="99" t="s">
        <v>180</v>
      </c>
      <c r="N1114">
        <v>3</v>
      </c>
      <c r="O1114">
        <v>13</v>
      </c>
      <c r="P1114">
        <v>6.5963000000000003</v>
      </c>
      <c r="Q1114" t="s">
        <v>352</v>
      </c>
      <c r="R1114">
        <v>1</v>
      </c>
      <c r="S1114">
        <v>6.6069000000000004</v>
      </c>
      <c r="T1114">
        <v>0.2137</v>
      </c>
      <c r="U1114">
        <v>-4.9602246139448594E-2</v>
      </c>
      <c r="V1114">
        <v>5.9658000000000007</v>
      </c>
      <c r="W1114">
        <v>6.1795000000000009</v>
      </c>
      <c r="X1114">
        <v>6.3932000000000002</v>
      </c>
      <c r="Y1114">
        <v>6.8206000000000007</v>
      </c>
      <c r="Z1114">
        <v>7.0343</v>
      </c>
      <c r="AA1114">
        <v>7.2480000000000002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 t="s">
        <v>462</v>
      </c>
      <c r="AL1114" t="s">
        <v>6</v>
      </c>
      <c r="AM1114" t="s">
        <v>1145</v>
      </c>
      <c r="AN1114" t="s">
        <v>1146</v>
      </c>
      <c r="AO1114" s="100">
        <v>46262.040405092594</v>
      </c>
      <c r="AP1114" t="s">
        <v>1147</v>
      </c>
      <c r="AQ1114" t="s">
        <v>3452</v>
      </c>
      <c r="AR1114" t="s">
        <v>1205</v>
      </c>
      <c r="AS1114" t="s">
        <v>1150</v>
      </c>
      <c r="AT1114" t="s">
        <v>3328</v>
      </c>
      <c r="AU1114">
        <v>25</v>
      </c>
      <c r="AV1114">
        <v>6.630744</v>
      </c>
      <c r="AW1114">
        <v>0.17380840524362828</v>
      </c>
      <c r="AX1114">
        <v>2.6212504244414849</v>
      </c>
      <c r="AY1114">
        <v>-23.146461788126032</v>
      </c>
      <c r="AZ1114">
        <v>27.471524988454483</v>
      </c>
      <c r="BB1114" t="s">
        <v>4620</v>
      </c>
      <c r="BD1114" s="98"/>
      <c r="BE1114" s="98"/>
      <c r="BF1114" t="s">
        <v>1152</v>
      </c>
      <c r="BG1114" t="s">
        <v>322</v>
      </c>
      <c r="BH1114" t="s">
        <v>1153</v>
      </c>
      <c r="BI1114">
        <v>23.146461788126032</v>
      </c>
      <c r="BN1114" t="s">
        <v>1154</v>
      </c>
      <c r="BO1114">
        <v>2025</v>
      </c>
      <c r="BP1114" t="s">
        <v>966</v>
      </c>
      <c r="BZ1114" t="s">
        <v>1513</v>
      </c>
      <c r="CA1114" t="s">
        <v>1513</v>
      </c>
      <c r="CB1114" t="b">
        <v>0</v>
      </c>
      <c r="CC1114" t="b">
        <v>0</v>
      </c>
      <c r="CD1114" t="b">
        <v>0</v>
      </c>
      <c r="CE1114" t="b">
        <v>0</v>
      </c>
      <c r="CF1114" t="b">
        <v>0</v>
      </c>
    </row>
    <row r="1115" spans="1:84" x14ac:dyDescent="0.3">
      <c r="A1115" t="s">
        <v>3453</v>
      </c>
      <c r="B1115" t="s">
        <v>1207</v>
      </c>
      <c r="C1115" s="98">
        <v>45754</v>
      </c>
      <c r="D1115">
        <v>2025</v>
      </c>
      <c r="E1115">
        <v>4</v>
      </c>
      <c r="F1115">
        <v>2</v>
      </c>
      <c r="G1115" t="s">
        <v>1208</v>
      </c>
      <c r="H1115" t="s">
        <v>145</v>
      </c>
      <c r="I1115" t="s">
        <v>145</v>
      </c>
      <c r="J1115" t="s">
        <v>6</v>
      </c>
      <c r="L1115">
        <v>522611</v>
      </c>
      <c r="M1115" s="99" t="s">
        <v>180</v>
      </c>
      <c r="N1115">
        <v>3</v>
      </c>
      <c r="O1115">
        <v>14</v>
      </c>
      <c r="P1115">
        <v>6.4157999999999999</v>
      </c>
      <c r="Q1115" t="s">
        <v>352</v>
      </c>
      <c r="R1115">
        <v>1</v>
      </c>
      <c r="S1115">
        <v>6.6069000000000004</v>
      </c>
      <c r="T1115">
        <v>0.2137</v>
      </c>
      <c r="U1115">
        <v>-0.89424426766495313</v>
      </c>
      <c r="V1115">
        <v>5.9658000000000007</v>
      </c>
      <c r="W1115">
        <v>6.1795000000000009</v>
      </c>
      <c r="X1115">
        <v>6.3932000000000002</v>
      </c>
      <c r="Y1115">
        <v>6.8206000000000007</v>
      </c>
      <c r="Z1115">
        <v>7.0343</v>
      </c>
      <c r="AA1115">
        <v>7.2480000000000002</v>
      </c>
      <c r="AE1115">
        <v>0</v>
      </c>
      <c r="AF1115">
        <v>0</v>
      </c>
      <c r="AG1115">
        <v>0</v>
      </c>
      <c r="AH1115">
        <v>0</v>
      </c>
      <c r="AI1115">
        <v>1</v>
      </c>
      <c r="AJ1115">
        <v>0</v>
      </c>
      <c r="AK1115" t="s">
        <v>1213</v>
      </c>
      <c r="AL1115" t="s">
        <v>6</v>
      </c>
      <c r="AM1115" t="s">
        <v>1145</v>
      </c>
      <c r="AN1115" t="s">
        <v>1146</v>
      </c>
      <c r="AO1115" s="100">
        <v>46262.040405092594</v>
      </c>
      <c r="AP1115" t="s">
        <v>1147</v>
      </c>
      <c r="AQ1115" t="s">
        <v>3454</v>
      </c>
      <c r="AR1115" t="s">
        <v>1210</v>
      </c>
      <c r="AS1115" t="s">
        <v>1150</v>
      </c>
      <c r="AT1115" t="s">
        <v>3328</v>
      </c>
      <c r="AU1115">
        <v>25</v>
      </c>
      <c r="AV1115">
        <v>6.630744</v>
      </c>
      <c r="AW1115">
        <v>0.17380840524362828</v>
      </c>
      <c r="AX1115">
        <v>2.6212504244414849</v>
      </c>
      <c r="AY1115">
        <v>-23.146461788126032</v>
      </c>
      <c r="AZ1115">
        <v>27.471524988454483</v>
      </c>
      <c r="BB1115" t="s">
        <v>4620</v>
      </c>
      <c r="BD1115" s="98"/>
      <c r="BE1115" s="98"/>
      <c r="BF1115" t="s">
        <v>1152</v>
      </c>
      <c r="BG1115" t="s">
        <v>322</v>
      </c>
      <c r="BH1115" t="s">
        <v>1153</v>
      </c>
      <c r="BI1115">
        <v>23.146461788126032</v>
      </c>
      <c r="BN1115" t="s">
        <v>1154</v>
      </c>
      <c r="BO1115">
        <v>2025</v>
      </c>
      <c r="BP1115" t="s">
        <v>966</v>
      </c>
      <c r="BZ1115" t="s">
        <v>1513</v>
      </c>
      <c r="CA1115" t="s">
        <v>1513</v>
      </c>
      <c r="CB1115" t="b">
        <v>0</v>
      </c>
      <c r="CC1115" t="b">
        <v>0</v>
      </c>
      <c r="CD1115" t="b">
        <v>0</v>
      </c>
      <c r="CE1115" t="b">
        <v>0</v>
      </c>
      <c r="CF1115" t="b">
        <v>0</v>
      </c>
    </row>
    <row r="1116" spans="1:84" x14ac:dyDescent="0.3">
      <c r="A1116" t="s">
        <v>3455</v>
      </c>
      <c r="B1116" t="s">
        <v>1212</v>
      </c>
      <c r="C1116" s="98">
        <v>45761</v>
      </c>
      <c r="D1116">
        <v>2025</v>
      </c>
      <c r="E1116">
        <v>4</v>
      </c>
      <c r="F1116">
        <v>2</v>
      </c>
      <c r="G1116" t="s">
        <v>1208</v>
      </c>
      <c r="H1116" t="s">
        <v>145</v>
      </c>
      <c r="I1116" t="s">
        <v>145</v>
      </c>
      <c r="J1116" t="s">
        <v>6</v>
      </c>
      <c r="L1116">
        <v>522611</v>
      </c>
      <c r="M1116" s="99" t="s">
        <v>180</v>
      </c>
      <c r="N1116">
        <v>3</v>
      </c>
      <c r="O1116">
        <v>15</v>
      </c>
      <c r="P1116">
        <v>6.5682999999999998</v>
      </c>
      <c r="Q1116" t="s">
        <v>352</v>
      </c>
      <c r="R1116">
        <v>1</v>
      </c>
      <c r="S1116">
        <v>6.6069000000000004</v>
      </c>
      <c r="T1116">
        <v>0.2137</v>
      </c>
      <c r="U1116">
        <v>-0.18062704726252052</v>
      </c>
      <c r="V1116">
        <v>5.9658000000000007</v>
      </c>
      <c r="W1116">
        <v>6.1795000000000009</v>
      </c>
      <c r="X1116">
        <v>6.3932000000000002</v>
      </c>
      <c r="Y1116">
        <v>6.8206000000000007</v>
      </c>
      <c r="Z1116">
        <v>7.0343</v>
      </c>
      <c r="AA1116">
        <v>7.2480000000000002</v>
      </c>
      <c r="AE1116">
        <v>0</v>
      </c>
      <c r="AF1116">
        <v>0</v>
      </c>
      <c r="AG1116">
        <v>0</v>
      </c>
      <c r="AH1116">
        <v>0</v>
      </c>
      <c r="AI1116">
        <v>1</v>
      </c>
      <c r="AJ1116">
        <v>0</v>
      </c>
      <c r="AK1116" t="s">
        <v>1213</v>
      </c>
      <c r="AL1116" t="s">
        <v>6</v>
      </c>
      <c r="AM1116" t="s">
        <v>1145</v>
      </c>
      <c r="AN1116" t="s">
        <v>1146</v>
      </c>
      <c r="AO1116" s="100">
        <v>46262.040405092594</v>
      </c>
      <c r="AP1116" t="s">
        <v>1147</v>
      </c>
      <c r="AQ1116" t="s">
        <v>3456</v>
      </c>
      <c r="AR1116" t="s">
        <v>1215</v>
      </c>
      <c r="AS1116" t="s">
        <v>1150</v>
      </c>
      <c r="AT1116" t="s">
        <v>3328</v>
      </c>
      <c r="AU1116">
        <v>25</v>
      </c>
      <c r="AV1116">
        <v>6.630744</v>
      </c>
      <c r="AW1116">
        <v>0.17380840524362828</v>
      </c>
      <c r="AX1116">
        <v>2.6212504244414849</v>
      </c>
      <c r="AY1116">
        <v>-23.146461788126032</v>
      </c>
      <c r="AZ1116">
        <v>27.471524988454483</v>
      </c>
      <c r="BB1116" t="s">
        <v>4620</v>
      </c>
      <c r="BD1116" s="98"/>
      <c r="BE1116" s="98"/>
      <c r="BF1116" t="s">
        <v>1152</v>
      </c>
      <c r="BG1116" t="s">
        <v>322</v>
      </c>
      <c r="BH1116" t="s">
        <v>1153</v>
      </c>
      <c r="BI1116">
        <v>23.146461788126032</v>
      </c>
      <c r="BN1116" t="s">
        <v>1154</v>
      </c>
      <c r="BO1116">
        <v>2025</v>
      </c>
      <c r="BP1116" t="s">
        <v>966</v>
      </c>
      <c r="BZ1116" t="s">
        <v>1513</v>
      </c>
      <c r="CA1116" t="s">
        <v>1513</v>
      </c>
      <c r="CB1116" t="b">
        <v>0</v>
      </c>
      <c r="CC1116" t="b">
        <v>0</v>
      </c>
      <c r="CD1116" t="b">
        <v>0</v>
      </c>
      <c r="CE1116" t="b">
        <v>0</v>
      </c>
      <c r="CF1116" t="b">
        <v>0</v>
      </c>
    </row>
    <row r="1117" spans="1:84" x14ac:dyDescent="0.3">
      <c r="A1117" t="s">
        <v>3457</v>
      </c>
      <c r="B1117" t="s">
        <v>1217</v>
      </c>
      <c r="C1117" s="98">
        <v>45768</v>
      </c>
      <c r="D1117">
        <v>2025</v>
      </c>
      <c r="E1117">
        <v>4</v>
      </c>
      <c r="F1117">
        <v>2</v>
      </c>
      <c r="G1117" t="s">
        <v>1208</v>
      </c>
      <c r="H1117" t="s">
        <v>145</v>
      </c>
      <c r="I1117" t="s">
        <v>145</v>
      </c>
      <c r="J1117" t="s">
        <v>6</v>
      </c>
      <c r="L1117">
        <v>522611</v>
      </c>
      <c r="M1117" s="99" t="s">
        <v>180</v>
      </c>
      <c r="N1117">
        <v>3</v>
      </c>
      <c r="O1117">
        <v>16</v>
      </c>
      <c r="P1117">
        <v>6.8295000000000003</v>
      </c>
      <c r="Q1117" t="s">
        <v>352</v>
      </c>
      <c r="R1117">
        <v>1</v>
      </c>
      <c r="S1117">
        <v>6.6069000000000004</v>
      </c>
      <c r="T1117">
        <v>0.2137</v>
      </c>
      <c r="U1117">
        <v>1.0416471689284039</v>
      </c>
      <c r="V1117">
        <v>5.9658000000000007</v>
      </c>
      <c r="W1117">
        <v>6.1795000000000009</v>
      </c>
      <c r="X1117">
        <v>6.3932000000000002</v>
      </c>
      <c r="Y1117">
        <v>6.8206000000000007</v>
      </c>
      <c r="Z1117">
        <v>7.0343</v>
      </c>
      <c r="AA1117">
        <v>7.2480000000000002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 t="s">
        <v>462</v>
      </c>
      <c r="AL1117" t="s">
        <v>6</v>
      </c>
      <c r="AM1117" t="s">
        <v>1145</v>
      </c>
      <c r="AN1117" t="s">
        <v>1146</v>
      </c>
      <c r="AO1117" s="100">
        <v>46262.040405092594</v>
      </c>
      <c r="AP1117" t="s">
        <v>1147</v>
      </c>
      <c r="AQ1117" t="s">
        <v>3458</v>
      </c>
      <c r="AR1117" t="s">
        <v>1219</v>
      </c>
      <c r="AS1117" t="s">
        <v>1150</v>
      </c>
      <c r="AT1117" t="s">
        <v>3328</v>
      </c>
      <c r="AU1117">
        <v>25</v>
      </c>
      <c r="AV1117">
        <v>6.630744</v>
      </c>
      <c r="AW1117">
        <v>0.17380840524362828</v>
      </c>
      <c r="AX1117">
        <v>2.6212504244414849</v>
      </c>
      <c r="AY1117">
        <v>-23.146461788126032</v>
      </c>
      <c r="AZ1117">
        <v>27.471524988454483</v>
      </c>
      <c r="BB1117" t="s">
        <v>4620</v>
      </c>
      <c r="BD1117" s="98"/>
      <c r="BE1117" s="98"/>
      <c r="BF1117" t="s">
        <v>1152</v>
      </c>
      <c r="BG1117" t="s">
        <v>322</v>
      </c>
      <c r="BH1117" t="s">
        <v>1153</v>
      </c>
      <c r="BI1117">
        <v>23.146461788126032</v>
      </c>
      <c r="BN1117" t="s">
        <v>1154</v>
      </c>
      <c r="BO1117">
        <v>2025</v>
      </c>
      <c r="BP1117" t="s">
        <v>966</v>
      </c>
      <c r="BZ1117" t="s">
        <v>1513</v>
      </c>
      <c r="CA1117" t="s">
        <v>1513</v>
      </c>
      <c r="CB1117" t="b">
        <v>0</v>
      </c>
      <c r="CC1117" t="b">
        <v>0</v>
      </c>
      <c r="CD1117" t="b">
        <v>0</v>
      </c>
      <c r="CE1117" t="b">
        <v>0</v>
      </c>
      <c r="CF1117" t="b">
        <v>0</v>
      </c>
    </row>
    <row r="1118" spans="1:84" x14ac:dyDescent="0.3">
      <c r="A1118" t="s">
        <v>3459</v>
      </c>
      <c r="B1118" t="s">
        <v>1221</v>
      </c>
      <c r="C1118" s="98">
        <v>45775</v>
      </c>
      <c r="D1118">
        <v>2025</v>
      </c>
      <c r="E1118">
        <v>4</v>
      </c>
      <c r="F1118">
        <v>2</v>
      </c>
      <c r="G1118" t="s">
        <v>1208</v>
      </c>
      <c r="H1118" t="s">
        <v>145</v>
      </c>
      <c r="I1118" t="s">
        <v>145</v>
      </c>
      <c r="J1118" t="s">
        <v>6</v>
      </c>
      <c r="L1118">
        <v>522611</v>
      </c>
      <c r="M1118" s="99" t="s">
        <v>180</v>
      </c>
      <c r="N1118">
        <v>3</v>
      </c>
      <c r="O1118">
        <v>17</v>
      </c>
      <c r="P1118">
        <v>6.6851000000000003</v>
      </c>
      <c r="Q1118" t="s">
        <v>352</v>
      </c>
      <c r="R1118">
        <v>1</v>
      </c>
      <c r="S1118">
        <v>6.6069000000000004</v>
      </c>
      <c r="T1118">
        <v>0.2137</v>
      </c>
      <c r="U1118">
        <v>0.36593355170800107</v>
      </c>
      <c r="V1118">
        <v>5.9658000000000007</v>
      </c>
      <c r="W1118">
        <v>6.1795000000000009</v>
      </c>
      <c r="X1118">
        <v>6.3932000000000002</v>
      </c>
      <c r="Y1118">
        <v>6.8206000000000007</v>
      </c>
      <c r="Z1118">
        <v>7.0343</v>
      </c>
      <c r="AA1118">
        <v>7.2480000000000002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 t="s">
        <v>462</v>
      </c>
      <c r="AL1118" t="s">
        <v>6</v>
      </c>
      <c r="AM1118" t="s">
        <v>1145</v>
      </c>
      <c r="AN1118" t="s">
        <v>1146</v>
      </c>
      <c r="AO1118" s="100">
        <v>46262.040405092594</v>
      </c>
      <c r="AP1118" t="s">
        <v>1147</v>
      </c>
      <c r="AQ1118" t="s">
        <v>3460</v>
      </c>
      <c r="AR1118" t="s">
        <v>1223</v>
      </c>
      <c r="AS1118" t="s">
        <v>1150</v>
      </c>
      <c r="AT1118" t="s">
        <v>3328</v>
      </c>
      <c r="AU1118">
        <v>25</v>
      </c>
      <c r="AV1118">
        <v>6.630744</v>
      </c>
      <c r="AW1118">
        <v>0.17380840524362828</v>
      </c>
      <c r="AX1118">
        <v>2.6212504244414849</v>
      </c>
      <c r="AY1118">
        <v>-23.146461788126032</v>
      </c>
      <c r="AZ1118">
        <v>27.471524988454483</v>
      </c>
      <c r="BB1118" t="s">
        <v>4620</v>
      </c>
      <c r="BD1118" s="98"/>
      <c r="BE1118" s="98"/>
      <c r="BF1118" t="s">
        <v>1152</v>
      </c>
      <c r="BG1118" t="s">
        <v>322</v>
      </c>
      <c r="BH1118" t="s">
        <v>1153</v>
      </c>
      <c r="BI1118">
        <v>23.146461788126032</v>
      </c>
      <c r="BN1118" t="s">
        <v>1154</v>
      </c>
      <c r="BO1118">
        <v>2025</v>
      </c>
      <c r="BP1118" t="s">
        <v>966</v>
      </c>
      <c r="BZ1118" t="s">
        <v>1513</v>
      </c>
      <c r="CA1118" t="s">
        <v>1513</v>
      </c>
      <c r="CB1118" t="b">
        <v>0</v>
      </c>
      <c r="CC1118" t="b">
        <v>0</v>
      </c>
      <c r="CD1118" t="b">
        <v>0</v>
      </c>
      <c r="CE1118" t="b">
        <v>0</v>
      </c>
      <c r="CF1118" t="b">
        <v>0</v>
      </c>
    </row>
    <row r="1119" spans="1:84" x14ac:dyDescent="0.3">
      <c r="A1119" t="s">
        <v>3461</v>
      </c>
      <c r="B1119" t="s">
        <v>1225</v>
      </c>
      <c r="C1119" s="98">
        <v>45782</v>
      </c>
      <c r="D1119">
        <v>2025</v>
      </c>
      <c r="E1119">
        <v>5</v>
      </c>
      <c r="F1119">
        <v>2</v>
      </c>
      <c r="G1119" t="s">
        <v>1226</v>
      </c>
      <c r="H1119" t="s">
        <v>145</v>
      </c>
      <c r="I1119" t="s">
        <v>145</v>
      </c>
      <c r="J1119" t="s">
        <v>6</v>
      </c>
      <c r="L1119">
        <v>522611</v>
      </c>
      <c r="M1119" s="99" t="s">
        <v>180</v>
      </c>
      <c r="N1119">
        <v>3</v>
      </c>
      <c r="O1119">
        <v>18</v>
      </c>
      <c r="P1119">
        <v>6.7148000000000003</v>
      </c>
      <c r="Q1119" t="s">
        <v>352</v>
      </c>
      <c r="R1119">
        <v>1</v>
      </c>
      <c r="S1119">
        <v>6.6069000000000004</v>
      </c>
      <c r="T1119">
        <v>0.2137</v>
      </c>
      <c r="U1119">
        <v>0.50491343004211453</v>
      </c>
      <c r="V1119">
        <v>5.9658000000000007</v>
      </c>
      <c r="W1119">
        <v>6.1795000000000009</v>
      </c>
      <c r="X1119">
        <v>6.3932000000000002</v>
      </c>
      <c r="Y1119">
        <v>6.8206000000000007</v>
      </c>
      <c r="Z1119">
        <v>7.0343</v>
      </c>
      <c r="AA1119">
        <v>7.2480000000000002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 t="s">
        <v>462</v>
      </c>
      <c r="AL1119" t="s">
        <v>6</v>
      </c>
      <c r="AM1119" t="s">
        <v>1145</v>
      </c>
      <c r="AN1119" t="s">
        <v>1146</v>
      </c>
      <c r="AO1119" s="100">
        <v>46262.040405092594</v>
      </c>
      <c r="AP1119" t="s">
        <v>1147</v>
      </c>
      <c r="AQ1119" t="s">
        <v>3462</v>
      </c>
      <c r="AR1119" t="s">
        <v>1228</v>
      </c>
      <c r="AS1119" t="s">
        <v>1150</v>
      </c>
      <c r="AT1119" t="s">
        <v>3328</v>
      </c>
      <c r="AU1119">
        <v>25</v>
      </c>
      <c r="AV1119">
        <v>6.630744</v>
      </c>
      <c r="AW1119">
        <v>0.17380840524362828</v>
      </c>
      <c r="AX1119">
        <v>2.6212504244414849</v>
      </c>
      <c r="AY1119">
        <v>-23.146461788126032</v>
      </c>
      <c r="AZ1119">
        <v>27.471524988454483</v>
      </c>
      <c r="BB1119" t="s">
        <v>4620</v>
      </c>
      <c r="BD1119" s="98"/>
      <c r="BE1119" s="98"/>
      <c r="BF1119" t="s">
        <v>1152</v>
      </c>
      <c r="BG1119" t="s">
        <v>322</v>
      </c>
      <c r="BH1119" t="s">
        <v>1153</v>
      </c>
      <c r="BI1119">
        <v>23.146461788126032</v>
      </c>
      <c r="BN1119" t="s">
        <v>1154</v>
      </c>
      <c r="BO1119">
        <v>2025</v>
      </c>
      <c r="BP1119" t="s">
        <v>966</v>
      </c>
      <c r="BZ1119" t="s">
        <v>1513</v>
      </c>
      <c r="CA1119" t="s">
        <v>1513</v>
      </c>
      <c r="CB1119" t="b">
        <v>0</v>
      </c>
      <c r="CC1119" t="b">
        <v>0</v>
      </c>
      <c r="CD1119" t="b">
        <v>0</v>
      </c>
      <c r="CE1119" t="b">
        <v>0</v>
      </c>
      <c r="CF1119" t="b">
        <v>0</v>
      </c>
    </row>
    <row r="1120" spans="1:84" x14ac:dyDescent="0.3">
      <c r="A1120" t="s">
        <v>3463</v>
      </c>
      <c r="B1120" t="s">
        <v>1230</v>
      </c>
      <c r="C1120" s="98">
        <v>45789</v>
      </c>
      <c r="D1120">
        <v>2025</v>
      </c>
      <c r="E1120">
        <v>5</v>
      </c>
      <c r="F1120">
        <v>2</v>
      </c>
      <c r="G1120" t="s">
        <v>1226</v>
      </c>
      <c r="H1120" t="s">
        <v>145</v>
      </c>
      <c r="I1120" t="s">
        <v>145</v>
      </c>
      <c r="J1120" t="s">
        <v>6</v>
      </c>
      <c r="L1120">
        <v>522611</v>
      </c>
      <c r="M1120" s="99" t="s">
        <v>180</v>
      </c>
      <c r="N1120">
        <v>3</v>
      </c>
      <c r="O1120">
        <v>19</v>
      </c>
      <c r="P1120">
        <v>6.6829999999999998</v>
      </c>
      <c r="Q1120" t="s">
        <v>352</v>
      </c>
      <c r="R1120">
        <v>1</v>
      </c>
      <c r="S1120">
        <v>6.6069000000000004</v>
      </c>
      <c r="T1120">
        <v>0.2137</v>
      </c>
      <c r="U1120">
        <v>0.35610669162376879</v>
      </c>
      <c r="V1120">
        <v>5.9658000000000007</v>
      </c>
      <c r="W1120">
        <v>6.1795000000000009</v>
      </c>
      <c r="X1120">
        <v>6.3932000000000002</v>
      </c>
      <c r="Y1120">
        <v>6.8206000000000007</v>
      </c>
      <c r="Z1120">
        <v>7.0343</v>
      </c>
      <c r="AA1120">
        <v>7.2480000000000002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 t="s">
        <v>462</v>
      </c>
      <c r="AL1120" t="s">
        <v>6</v>
      </c>
      <c r="AM1120" t="s">
        <v>1145</v>
      </c>
      <c r="AN1120" t="s">
        <v>1146</v>
      </c>
      <c r="AO1120" s="100">
        <v>46262.040405092594</v>
      </c>
      <c r="AP1120" t="s">
        <v>1147</v>
      </c>
      <c r="AQ1120" t="s">
        <v>3464</v>
      </c>
      <c r="AR1120" t="s">
        <v>1232</v>
      </c>
      <c r="AS1120" t="s">
        <v>1150</v>
      </c>
      <c r="AT1120" t="s">
        <v>3328</v>
      </c>
      <c r="AU1120">
        <v>25</v>
      </c>
      <c r="AV1120">
        <v>6.630744</v>
      </c>
      <c r="AW1120">
        <v>0.17380840524362828</v>
      </c>
      <c r="AX1120">
        <v>2.6212504244414849</v>
      </c>
      <c r="AY1120">
        <v>-23.146461788126032</v>
      </c>
      <c r="AZ1120">
        <v>27.471524988454483</v>
      </c>
      <c r="BB1120" t="s">
        <v>4620</v>
      </c>
      <c r="BD1120" s="98"/>
      <c r="BE1120" s="98"/>
      <c r="BF1120" t="s">
        <v>1152</v>
      </c>
      <c r="BG1120" t="s">
        <v>322</v>
      </c>
      <c r="BH1120" t="s">
        <v>1153</v>
      </c>
      <c r="BI1120">
        <v>23.146461788126032</v>
      </c>
      <c r="BN1120" t="s">
        <v>1154</v>
      </c>
      <c r="BO1120">
        <v>2025</v>
      </c>
      <c r="BP1120" t="s">
        <v>966</v>
      </c>
      <c r="BZ1120" t="s">
        <v>1513</v>
      </c>
      <c r="CA1120" t="s">
        <v>1513</v>
      </c>
      <c r="CB1120" t="b">
        <v>0</v>
      </c>
      <c r="CC1120" t="b">
        <v>0</v>
      </c>
      <c r="CD1120" t="b">
        <v>0</v>
      </c>
      <c r="CE1120" t="b">
        <v>0</v>
      </c>
      <c r="CF1120" t="b">
        <v>0</v>
      </c>
    </row>
    <row r="1121" spans="1:84" x14ac:dyDescent="0.3">
      <c r="A1121" t="s">
        <v>3465</v>
      </c>
      <c r="B1121" t="s">
        <v>1234</v>
      </c>
      <c r="C1121" s="98">
        <v>45796</v>
      </c>
      <c r="D1121">
        <v>2025</v>
      </c>
      <c r="E1121">
        <v>5</v>
      </c>
      <c r="F1121">
        <v>2</v>
      </c>
      <c r="G1121" t="s">
        <v>1226</v>
      </c>
      <c r="H1121" t="s">
        <v>145</v>
      </c>
      <c r="I1121" t="s">
        <v>145</v>
      </c>
      <c r="J1121" t="s">
        <v>6</v>
      </c>
      <c r="L1121">
        <v>522611</v>
      </c>
      <c r="M1121" s="99" t="s">
        <v>180</v>
      </c>
      <c r="N1121">
        <v>3</v>
      </c>
      <c r="O1121">
        <v>20</v>
      </c>
      <c r="P1121">
        <v>6.6195000000000004</v>
      </c>
      <c r="Q1121" t="s">
        <v>352</v>
      </c>
      <c r="R1121">
        <v>1</v>
      </c>
      <c r="S1121">
        <v>6.6069000000000004</v>
      </c>
      <c r="T1121">
        <v>0.2137</v>
      </c>
      <c r="U1121">
        <v>5.8961160505381117E-2</v>
      </c>
      <c r="V1121">
        <v>5.9658000000000007</v>
      </c>
      <c r="W1121">
        <v>6.1795000000000009</v>
      </c>
      <c r="X1121">
        <v>6.3932000000000002</v>
      </c>
      <c r="Y1121">
        <v>6.8206000000000007</v>
      </c>
      <c r="Z1121">
        <v>7.0343</v>
      </c>
      <c r="AA1121">
        <v>7.2480000000000002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 t="s">
        <v>462</v>
      </c>
      <c r="AL1121" t="s">
        <v>6</v>
      </c>
      <c r="AM1121" t="s">
        <v>1145</v>
      </c>
      <c r="AN1121" t="s">
        <v>1146</v>
      </c>
      <c r="AO1121" s="100">
        <v>46262.040405092594</v>
      </c>
      <c r="AP1121" t="s">
        <v>1147</v>
      </c>
      <c r="AQ1121" t="s">
        <v>3466</v>
      </c>
      <c r="AR1121" t="s">
        <v>1236</v>
      </c>
      <c r="AS1121" t="s">
        <v>1150</v>
      </c>
      <c r="AT1121" t="s">
        <v>3328</v>
      </c>
      <c r="AU1121">
        <v>25</v>
      </c>
      <c r="AV1121">
        <v>6.630744</v>
      </c>
      <c r="AW1121">
        <v>0.17380840524362828</v>
      </c>
      <c r="AX1121">
        <v>2.6212504244414849</v>
      </c>
      <c r="AY1121">
        <v>-23.146461788126032</v>
      </c>
      <c r="AZ1121">
        <v>27.471524988454483</v>
      </c>
      <c r="BB1121" t="s">
        <v>4620</v>
      </c>
      <c r="BD1121" s="98"/>
      <c r="BE1121" s="98"/>
      <c r="BF1121" t="s">
        <v>1152</v>
      </c>
      <c r="BG1121" t="s">
        <v>322</v>
      </c>
      <c r="BH1121" t="s">
        <v>1153</v>
      </c>
      <c r="BI1121">
        <v>23.146461788126032</v>
      </c>
      <c r="BN1121" t="s">
        <v>1154</v>
      </c>
      <c r="BO1121">
        <v>2025</v>
      </c>
      <c r="BP1121" t="s">
        <v>966</v>
      </c>
      <c r="BZ1121" t="s">
        <v>1513</v>
      </c>
      <c r="CA1121" t="s">
        <v>1513</v>
      </c>
      <c r="CB1121" t="b">
        <v>0</v>
      </c>
      <c r="CC1121" t="b">
        <v>0</v>
      </c>
      <c r="CD1121" t="b">
        <v>0</v>
      </c>
      <c r="CE1121" t="b">
        <v>0</v>
      </c>
      <c r="CF1121" t="b">
        <v>0</v>
      </c>
    </row>
    <row r="1122" spans="1:84" x14ac:dyDescent="0.3">
      <c r="A1122" t="s">
        <v>3467</v>
      </c>
      <c r="B1122" t="s">
        <v>1238</v>
      </c>
      <c r="C1122" s="98">
        <v>45803</v>
      </c>
      <c r="D1122">
        <v>2025</v>
      </c>
      <c r="E1122">
        <v>5</v>
      </c>
      <c r="F1122">
        <v>2</v>
      </c>
      <c r="G1122" t="s">
        <v>1226</v>
      </c>
      <c r="H1122" t="s">
        <v>145</v>
      </c>
      <c r="I1122" t="s">
        <v>145</v>
      </c>
      <c r="J1122" t="s">
        <v>6</v>
      </c>
      <c r="L1122">
        <v>522611</v>
      </c>
      <c r="M1122" s="99" t="s">
        <v>180</v>
      </c>
      <c r="N1122">
        <v>3</v>
      </c>
      <c r="O1122">
        <v>21</v>
      </c>
      <c r="P1122">
        <v>6.5796999999999999</v>
      </c>
      <c r="Q1122" t="s">
        <v>352</v>
      </c>
      <c r="R1122">
        <v>1</v>
      </c>
      <c r="S1122">
        <v>6.6069000000000004</v>
      </c>
      <c r="T1122">
        <v>0.2137</v>
      </c>
      <c r="U1122">
        <v>-0.12728123537669891</v>
      </c>
      <c r="V1122">
        <v>5.9658000000000007</v>
      </c>
      <c r="W1122">
        <v>6.1795000000000009</v>
      </c>
      <c r="X1122">
        <v>6.3932000000000002</v>
      </c>
      <c r="Y1122">
        <v>6.8206000000000007</v>
      </c>
      <c r="Z1122">
        <v>7.0343</v>
      </c>
      <c r="AA1122">
        <v>7.2480000000000002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 t="s">
        <v>462</v>
      </c>
      <c r="AL1122" t="s">
        <v>6</v>
      </c>
      <c r="AM1122" t="s">
        <v>1145</v>
      </c>
      <c r="AN1122" t="s">
        <v>1146</v>
      </c>
      <c r="AO1122" s="100">
        <v>46262.040405092594</v>
      </c>
      <c r="AP1122" t="s">
        <v>1147</v>
      </c>
      <c r="AQ1122" t="s">
        <v>3468</v>
      </c>
      <c r="AR1122" t="s">
        <v>1240</v>
      </c>
      <c r="AS1122" t="s">
        <v>1150</v>
      </c>
      <c r="AT1122" t="s">
        <v>3328</v>
      </c>
      <c r="AU1122">
        <v>25</v>
      </c>
      <c r="AV1122">
        <v>6.630744</v>
      </c>
      <c r="AW1122">
        <v>0.17380840524362828</v>
      </c>
      <c r="AX1122">
        <v>2.6212504244414849</v>
      </c>
      <c r="AY1122">
        <v>-23.146461788126032</v>
      </c>
      <c r="AZ1122">
        <v>27.471524988454483</v>
      </c>
      <c r="BB1122" t="s">
        <v>4620</v>
      </c>
      <c r="BD1122" s="98"/>
      <c r="BE1122" s="98"/>
      <c r="BF1122" t="s">
        <v>1152</v>
      </c>
      <c r="BG1122" t="s">
        <v>322</v>
      </c>
      <c r="BH1122" t="s">
        <v>1153</v>
      </c>
      <c r="BI1122">
        <v>23.146461788126032</v>
      </c>
      <c r="BN1122" t="s">
        <v>1154</v>
      </c>
      <c r="BO1122">
        <v>2025</v>
      </c>
      <c r="BP1122" t="s">
        <v>966</v>
      </c>
      <c r="BZ1122" t="s">
        <v>1513</v>
      </c>
      <c r="CA1122" t="s">
        <v>1513</v>
      </c>
      <c r="CB1122" t="b">
        <v>0</v>
      </c>
      <c r="CC1122" t="b">
        <v>0</v>
      </c>
      <c r="CD1122" t="b">
        <v>0</v>
      </c>
      <c r="CE1122" t="b">
        <v>0</v>
      </c>
      <c r="CF1122" t="b">
        <v>0</v>
      </c>
    </row>
    <row r="1123" spans="1:84" x14ac:dyDescent="0.3">
      <c r="A1123" t="s">
        <v>3469</v>
      </c>
      <c r="B1123" t="s">
        <v>1242</v>
      </c>
      <c r="C1123" s="98">
        <v>45810</v>
      </c>
      <c r="D1123">
        <v>2025</v>
      </c>
      <c r="E1123">
        <v>6</v>
      </c>
      <c r="F1123">
        <v>2</v>
      </c>
      <c r="G1123" t="s">
        <v>1243</v>
      </c>
      <c r="H1123" t="s">
        <v>145</v>
      </c>
      <c r="I1123" t="s">
        <v>145</v>
      </c>
      <c r="J1123" t="s">
        <v>6</v>
      </c>
      <c r="L1123">
        <v>522611</v>
      </c>
      <c r="M1123" s="99" t="s">
        <v>180</v>
      </c>
      <c r="N1123">
        <v>3</v>
      </c>
      <c r="O1123">
        <v>22</v>
      </c>
      <c r="P1123">
        <v>6.5411000000000001</v>
      </c>
      <c r="Q1123" t="s">
        <v>352</v>
      </c>
      <c r="R1123">
        <v>1</v>
      </c>
      <c r="S1123">
        <v>6.6069000000000004</v>
      </c>
      <c r="T1123">
        <v>0.2137</v>
      </c>
      <c r="U1123">
        <v>-0.30790828263921527</v>
      </c>
      <c r="V1123">
        <v>5.9658000000000007</v>
      </c>
      <c r="W1123">
        <v>6.1795000000000009</v>
      </c>
      <c r="X1123">
        <v>6.3932000000000002</v>
      </c>
      <c r="Y1123">
        <v>6.8206000000000007</v>
      </c>
      <c r="Z1123">
        <v>7.0343</v>
      </c>
      <c r="AA1123">
        <v>7.2480000000000002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 t="s">
        <v>462</v>
      </c>
      <c r="AL1123" t="s">
        <v>6</v>
      </c>
      <c r="AM1123" t="s">
        <v>1145</v>
      </c>
      <c r="AN1123" t="s">
        <v>1146</v>
      </c>
      <c r="AO1123" s="100">
        <v>46262.040405092594</v>
      </c>
      <c r="AP1123" t="s">
        <v>1147</v>
      </c>
      <c r="AQ1123" t="s">
        <v>3470</v>
      </c>
      <c r="AR1123" t="s">
        <v>1245</v>
      </c>
      <c r="AS1123" t="s">
        <v>1150</v>
      </c>
      <c r="AT1123" t="s">
        <v>3328</v>
      </c>
      <c r="AU1123">
        <v>25</v>
      </c>
      <c r="AV1123">
        <v>6.630744</v>
      </c>
      <c r="AW1123">
        <v>0.17380840524362828</v>
      </c>
      <c r="AX1123">
        <v>2.6212504244414849</v>
      </c>
      <c r="AY1123">
        <v>-23.146461788126032</v>
      </c>
      <c r="AZ1123">
        <v>27.471524988454483</v>
      </c>
      <c r="BB1123" t="s">
        <v>4620</v>
      </c>
      <c r="BD1123" s="98"/>
      <c r="BE1123" s="98"/>
      <c r="BF1123" t="s">
        <v>1152</v>
      </c>
      <c r="BG1123" t="s">
        <v>322</v>
      </c>
      <c r="BH1123" t="s">
        <v>1153</v>
      </c>
      <c r="BI1123">
        <v>23.146461788126032</v>
      </c>
      <c r="BN1123" t="s">
        <v>1154</v>
      </c>
      <c r="BO1123">
        <v>2025</v>
      </c>
      <c r="BP1123" t="s">
        <v>966</v>
      </c>
      <c r="BZ1123" t="s">
        <v>1513</v>
      </c>
      <c r="CA1123" t="s">
        <v>1513</v>
      </c>
      <c r="CB1123" t="b">
        <v>0</v>
      </c>
      <c r="CC1123" t="b">
        <v>0</v>
      </c>
      <c r="CD1123" t="b">
        <v>0</v>
      </c>
      <c r="CE1123" t="b">
        <v>0</v>
      </c>
      <c r="CF1123" t="b">
        <v>0</v>
      </c>
    </row>
    <row r="1124" spans="1:84" x14ac:dyDescent="0.3">
      <c r="A1124" t="s">
        <v>3471</v>
      </c>
      <c r="B1124" t="s">
        <v>1247</v>
      </c>
      <c r="C1124" s="98">
        <v>45817</v>
      </c>
      <c r="D1124">
        <v>2025</v>
      </c>
      <c r="E1124">
        <v>6</v>
      </c>
      <c r="F1124">
        <v>2</v>
      </c>
      <c r="G1124" t="s">
        <v>1243</v>
      </c>
      <c r="H1124" t="s">
        <v>145</v>
      </c>
      <c r="I1124" t="s">
        <v>145</v>
      </c>
      <c r="J1124" t="s">
        <v>6</v>
      </c>
      <c r="L1124">
        <v>522611</v>
      </c>
      <c r="M1124" s="99" t="s">
        <v>180</v>
      </c>
      <c r="N1124">
        <v>3</v>
      </c>
      <c r="O1124">
        <v>23</v>
      </c>
      <c r="P1124">
        <v>6.7690999999999999</v>
      </c>
      <c r="Q1124" t="s">
        <v>352</v>
      </c>
      <c r="R1124">
        <v>1</v>
      </c>
      <c r="S1124">
        <v>6.6069000000000004</v>
      </c>
      <c r="T1124">
        <v>0.2137</v>
      </c>
      <c r="U1124">
        <v>0.75900795507720853</v>
      </c>
      <c r="V1124">
        <v>5.9658000000000007</v>
      </c>
      <c r="W1124">
        <v>6.1795000000000009</v>
      </c>
      <c r="X1124">
        <v>6.3932000000000002</v>
      </c>
      <c r="Y1124">
        <v>6.8206000000000007</v>
      </c>
      <c r="Z1124">
        <v>7.0343</v>
      </c>
      <c r="AA1124">
        <v>7.2480000000000002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 t="s">
        <v>462</v>
      </c>
      <c r="AL1124" t="s">
        <v>6</v>
      </c>
      <c r="AM1124" t="s">
        <v>1145</v>
      </c>
      <c r="AN1124" t="s">
        <v>1146</v>
      </c>
      <c r="AO1124" s="100">
        <v>46262.040405092594</v>
      </c>
      <c r="AP1124" t="s">
        <v>1147</v>
      </c>
      <c r="AQ1124" t="s">
        <v>3472</v>
      </c>
      <c r="AR1124" t="s">
        <v>1249</v>
      </c>
      <c r="AS1124" t="s">
        <v>1150</v>
      </c>
      <c r="AT1124" t="s">
        <v>3328</v>
      </c>
      <c r="AU1124">
        <v>25</v>
      </c>
      <c r="AV1124">
        <v>6.630744</v>
      </c>
      <c r="AW1124">
        <v>0.17380840524362828</v>
      </c>
      <c r="AX1124">
        <v>2.6212504244414849</v>
      </c>
      <c r="AY1124">
        <v>-23.146461788126032</v>
      </c>
      <c r="AZ1124">
        <v>27.471524988454483</v>
      </c>
      <c r="BB1124" t="s">
        <v>4620</v>
      </c>
      <c r="BD1124" s="98"/>
      <c r="BE1124" s="98"/>
      <c r="BF1124" t="s">
        <v>1152</v>
      </c>
      <c r="BG1124" t="s">
        <v>322</v>
      </c>
      <c r="BH1124" t="s">
        <v>1153</v>
      </c>
      <c r="BI1124">
        <v>23.146461788126032</v>
      </c>
      <c r="BN1124" t="s">
        <v>1154</v>
      </c>
      <c r="BO1124">
        <v>2025</v>
      </c>
      <c r="BP1124" t="s">
        <v>966</v>
      </c>
      <c r="BZ1124" t="s">
        <v>1513</v>
      </c>
      <c r="CA1124" t="s">
        <v>1513</v>
      </c>
      <c r="CB1124" t="b">
        <v>0</v>
      </c>
      <c r="CC1124" t="b">
        <v>0</v>
      </c>
      <c r="CD1124" t="b">
        <v>0</v>
      </c>
      <c r="CE1124" t="b">
        <v>0</v>
      </c>
      <c r="CF1124" t="b">
        <v>0</v>
      </c>
    </row>
    <row r="1125" spans="1:84" x14ac:dyDescent="0.3">
      <c r="A1125" t="s">
        <v>3473</v>
      </c>
      <c r="B1125" t="s">
        <v>1251</v>
      </c>
      <c r="C1125" s="98">
        <v>45824</v>
      </c>
      <c r="D1125">
        <v>2025</v>
      </c>
      <c r="E1125">
        <v>6</v>
      </c>
      <c r="F1125">
        <v>2</v>
      </c>
      <c r="G1125" t="s">
        <v>1243</v>
      </c>
      <c r="H1125" t="s">
        <v>145</v>
      </c>
      <c r="I1125" t="s">
        <v>145</v>
      </c>
      <c r="J1125" t="s">
        <v>6</v>
      </c>
      <c r="L1125">
        <v>522611</v>
      </c>
      <c r="M1125" s="99" t="s">
        <v>180</v>
      </c>
      <c r="N1125">
        <v>3</v>
      </c>
      <c r="O1125">
        <v>24</v>
      </c>
      <c r="P1125">
        <v>6.3752000000000004</v>
      </c>
      <c r="Q1125" t="s">
        <v>352</v>
      </c>
      <c r="R1125">
        <v>1</v>
      </c>
      <c r="S1125">
        <v>6.6069000000000004</v>
      </c>
      <c r="T1125">
        <v>0.2137</v>
      </c>
      <c r="U1125">
        <v>-1.0842302292934021</v>
      </c>
      <c r="V1125">
        <v>5.9658000000000007</v>
      </c>
      <c r="W1125">
        <v>6.1795000000000009</v>
      </c>
      <c r="X1125">
        <v>6.3932000000000002</v>
      </c>
      <c r="Y1125">
        <v>6.8206000000000007</v>
      </c>
      <c r="Z1125">
        <v>7.0343</v>
      </c>
      <c r="AA1125">
        <v>7.2480000000000002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 t="s">
        <v>462</v>
      </c>
      <c r="AL1125" t="s">
        <v>6</v>
      </c>
      <c r="AM1125" t="s">
        <v>1145</v>
      </c>
      <c r="AN1125" t="s">
        <v>1146</v>
      </c>
      <c r="AO1125" s="100">
        <v>46262.040405092594</v>
      </c>
      <c r="AP1125" t="s">
        <v>1147</v>
      </c>
      <c r="AQ1125" t="s">
        <v>3474</v>
      </c>
      <c r="AR1125" t="s">
        <v>1253</v>
      </c>
      <c r="AS1125" t="s">
        <v>1150</v>
      </c>
      <c r="AT1125" t="s">
        <v>3328</v>
      </c>
      <c r="AU1125">
        <v>25</v>
      </c>
      <c r="AV1125">
        <v>6.630744</v>
      </c>
      <c r="AW1125">
        <v>0.17380840524362828</v>
      </c>
      <c r="AX1125">
        <v>2.6212504244414849</v>
      </c>
      <c r="AY1125">
        <v>-23.146461788126032</v>
      </c>
      <c r="AZ1125">
        <v>27.471524988454483</v>
      </c>
      <c r="BB1125" t="s">
        <v>4620</v>
      </c>
      <c r="BD1125" s="98"/>
      <c r="BE1125" s="98"/>
      <c r="BF1125" t="s">
        <v>1152</v>
      </c>
      <c r="BG1125" t="s">
        <v>322</v>
      </c>
      <c r="BH1125" t="s">
        <v>1153</v>
      </c>
      <c r="BI1125">
        <v>23.146461788126032</v>
      </c>
      <c r="BN1125" t="s">
        <v>1154</v>
      </c>
      <c r="BO1125">
        <v>2025</v>
      </c>
      <c r="BP1125" t="s">
        <v>966</v>
      </c>
      <c r="BZ1125" t="s">
        <v>1513</v>
      </c>
      <c r="CA1125" t="s">
        <v>1513</v>
      </c>
      <c r="CB1125" t="b">
        <v>0</v>
      </c>
      <c r="CC1125" t="b">
        <v>0</v>
      </c>
      <c r="CD1125" t="b">
        <v>0</v>
      </c>
      <c r="CE1125" t="b">
        <v>0</v>
      </c>
      <c r="CF1125" t="b">
        <v>0</v>
      </c>
    </row>
    <row r="1126" spans="1:84" x14ac:dyDescent="0.3">
      <c r="A1126" t="s">
        <v>3475</v>
      </c>
      <c r="B1126" t="s">
        <v>1255</v>
      </c>
      <c r="C1126" s="98">
        <v>45831</v>
      </c>
      <c r="D1126">
        <v>2025</v>
      </c>
      <c r="E1126">
        <v>6</v>
      </c>
      <c r="F1126">
        <v>2</v>
      </c>
      <c r="G1126" t="s">
        <v>1243</v>
      </c>
      <c r="H1126" t="s">
        <v>145</v>
      </c>
      <c r="I1126" t="s">
        <v>145</v>
      </c>
      <c r="J1126" t="s">
        <v>6</v>
      </c>
      <c r="L1126">
        <v>522611</v>
      </c>
      <c r="M1126" s="99" t="s">
        <v>180</v>
      </c>
      <c r="N1126">
        <v>3</v>
      </c>
      <c r="O1126">
        <v>25</v>
      </c>
      <c r="P1126">
        <v>6.8933999999999997</v>
      </c>
      <c r="Q1126" t="s">
        <v>352</v>
      </c>
      <c r="R1126">
        <v>1</v>
      </c>
      <c r="S1126">
        <v>6.6069000000000004</v>
      </c>
      <c r="T1126">
        <v>0.2137</v>
      </c>
      <c r="U1126">
        <v>1.3406644829199781</v>
      </c>
      <c r="V1126">
        <v>5.9658000000000007</v>
      </c>
      <c r="W1126">
        <v>6.1795000000000009</v>
      </c>
      <c r="X1126">
        <v>6.3932000000000002</v>
      </c>
      <c r="Y1126">
        <v>6.8206000000000007</v>
      </c>
      <c r="Z1126">
        <v>7.0343</v>
      </c>
      <c r="AA1126">
        <v>7.2480000000000002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 t="s">
        <v>462</v>
      </c>
      <c r="AL1126" t="s">
        <v>6</v>
      </c>
      <c r="AM1126" t="s">
        <v>1145</v>
      </c>
      <c r="AN1126" t="s">
        <v>1146</v>
      </c>
      <c r="AO1126" s="100">
        <v>46262.040405092594</v>
      </c>
      <c r="AP1126" t="s">
        <v>1147</v>
      </c>
      <c r="AQ1126" t="s">
        <v>3476</v>
      </c>
      <c r="AR1126" t="s">
        <v>1257</v>
      </c>
      <c r="AS1126" t="s">
        <v>1150</v>
      </c>
      <c r="AT1126" t="s">
        <v>3328</v>
      </c>
      <c r="AU1126">
        <v>25</v>
      </c>
      <c r="AV1126">
        <v>6.630744</v>
      </c>
      <c r="AW1126">
        <v>0.17380840524362828</v>
      </c>
      <c r="AX1126">
        <v>2.6212504244414849</v>
      </c>
      <c r="AY1126">
        <v>-23.146461788126032</v>
      </c>
      <c r="AZ1126">
        <v>27.471524988454483</v>
      </c>
      <c r="BB1126" t="s">
        <v>4620</v>
      </c>
      <c r="BD1126" s="98"/>
      <c r="BE1126" s="98"/>
      <c r="BF1126" t="s">
        <v>1152</v>
      </c>
      <c r="BG1126" t="s">
        <v>322</v>
      </c>
      <c r="BH1126" t="s">
        <v>1153</v>
      </c>
      <c r="BI1126">
        <v>23.146461788126032</v>
      </c>
      <c r="BN1126" t="s">
        <v>1154</v>
      </c>
      <c r="BO1126">
        <v>2025</v>
      </c>
      <c r="BP1126" t="s">
        <v>966</v>
      </c>
      <c r="BZ1126" t="s">
        <v>1513</v>
      </c>
      <c r="CA1126" t="s">
        <v>1513</v>
      </c>
      <c r="CB1126" t="b">
        <v>0</v>
      </c>
      <c r="CC1126" t="b">
        <v>0</v>
      </c>
      <c r="CD1126" t="b">
        <v>0</v>
      </c>
      <c r="CE1126" t="b">
        <v>0</v>
      </c>
      <c r="CF1126" t="b">
        <v>0</v>
      </c>
    </row>
    <row r="1127" spans="1:84" x14ac:dyDescent="0.3">
      <c r="A1127" t="s">
        <v>3477</v>
      </c>
      <c r="B1127" t="s">
        <v>1143</v>
      </c>
      <c r="C1127" s="98">
        <v>45663</v>
      </c>
      <c r="D1127">
        <v>2025</v>
      </c>
      <c r="E1127">
        <v>1</v>
      </c>
      <c r="F1127">
        <v>1</v>
      </c>
      <c r="G1127" t="s">
        <v>1144</v>
      </c>
      <c r="H1127" t="s">
        <v>146</v>
      </c>
      <c r="I1127" t="s">
        <v>146</v>
      </c>
      <c r="J1127" t="s">
        <v>6</v>
      </c>
      <c r="L1127">
        <v>522611</v>
      </c>
      <c r="M1127" s="99" t="s">
        <v>178</v>
      </c>
      <c r="N1127">
        <v>1</v>
      </c>
      <c r="O1127">
        <v>1</v>
      </c>
      <c r="P1127">
        <v>0.14399999999999999</v>
      </c>
      <c r="Q1127" t="s">
        <v>352</v>
      </c>
      <c r="R1127">
        <v>1</v>
      </c>
      <c r="S1127">
        <v>0.14299999999999999</v>
      </c>
      <c r="T1127">
        <v>2.9600000000000001E-2</v>
      </c>
      <c r="U1127">
        <v>3.3783783783783813E-2</v>
      </c>
      <c r="V1127">
        <v>5.4199999999999984E-2</v>
      </c>
      <c r="W1127">
        <v>8.3799999999999986E-2</v>
      </c>
      <c r="X1127">
        <v>0.11339999999999999</v>
      </c>
      <c r="Y1127">
        <v>0.17259999999999998</v>
      </c>
      <c r="Z1127">
        <v>0.20219999999999999</v>
      </c>
      <c r="AA1127">
        <v>0.23180000000000001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 t="s">
        <v>462</v>
      </c>
      <c r="AL1127" t="s">
        <v>6</v>
      </c>
      <c r="AM1127" t="s">
        <v>1145</v>
      </c>
      <c r="AN1127" t="s">
        <v>1146</v>
      </c>
      <c r="AO1127" s="100">
        <v>46262.040405092594</v>
      </c>
      <c r="AP1127" t="s">
        <v>1147</v>
      </c>
      <c r="AQ1127" t="s">
        <v>3478</v>
      </c>
      <c r="AR1127" t="s">
        <v>1149</v>
      </c>
      <c r="AS1127" t="s">
        <v>1150</v>
      </c>
      <c r="AT1127" t="s">
        <v>3479</v>
      </c>
      <c r="AU1127">
        <v>25</v>
      </c>
      <c r="AV1127">
        <v>0.14360800000000001</v>
      </c>
      <c r="AW1127">
        <v>3.3061041020109053E-2</v>
      </c>
      <c r="AX1127">
        <v>23.021726519489896</v>
      </c>
      <c r="AY1127">
        <v>-27.637556225222781</v>
      </c>
      <c r="AZ1127">
        <v>65.623404982381103</v>
      </c>
      <c r="BB1127" t="s">
        <v>4620</v>
      </c>
      <c r="BD1127" s="98"/>
      <c r="BE1127" s="98"/>
      <c r="BF1127" t="s">
        <v>1152</v>
      </c>
      <c r="BG1127" t="s">
        <v>322</v>
      </c>
      <c r="BH1127" t="s">
        <v>1153</v>
      </c>
      <c r="BI1127">
        <v>27.637556225222781</v>
      </c>
      <c r="BN1127" t="s">
        <v>1154</v>
      </c>
      <c r="BO1127">
        <v>2025</v>
      </c>
      <c r="BP1127" t="s">
        <v>966</v>
      </c>
      <c r="BZ1127" t="s">
        <v>1513</v>
      </c>
      <c r="CA1127" t="s">
        <v>1513</v>
      </c>
      <c r="CB1127" t="b">
        <v>0</v>
      </c>
      <c r="CC1127" t="b">
        <v>0</v>
      </c>
      <c r="CD1127" t="b">
        <v>0</v>
      </c>
      <c r="CE1127" t="b">
        <v>0</v>
      </c>
      <c r="CF1127" t="b">
        <v>0</v>
      </c>
    </row>
    <row r="1128" spans="1:84" x14ac:dyDescent="0.3">
      <c r="A1128" t="s">
        <v>3480</v>
      </c>
      <c r="B1128" t="s">
        <v>1157</v>
      </c>
      <c r="C1128" s="98">
        <v>45670</v>
      </c>
      <c r="D1128">
        <v>2025</v>
      </c>
      <c r="E1128">
        <v>1</v>
      </c>
      <c r="F1128">
        <v>1</v>
      </c>
      <c r="G1128" t="s">
        <v>1144</v>
      </c>
      <c r="H1128" t="s">
        <v>146</v>
      </c>
      <c r="I1128" t="s">
        <v>146</v>
      </c>
      <c r="J1128" t="s">
        <v>6</v>
      </c>
      <c r="L1128">
        <v>522611</v>
      </c>
      <c r="M1128" s="99" t="s">
        <v>178</v>
      </c>
      <c r="N1128">
        <v>1</v>
      </c>
      <c r="O1128">
        <v>2</v>
      </c>
      <c r="P1128">
        <v>0.12089999999999999</v>
      </c>
      <c r="Q1128" t="s">
        <v>352</v>
      </c>
      <c r="R1128">
        <v>1</v>
      </c>
      <c r="S1128">
        <v>0.14299999999999999</v>
      </c>
      <c r="T1128">
        <v>2.9600000000000001E-2</v>
      </c>
      <c r="U1128">
        <v>-0.74662162162162138</v>
      </c>
      <c r="V1128">
        <v>5.4199999999999984E-2</v>
      </c>
      <c r="W1128">
        <v>8.3799999999999986E-2</v>
      </c>
      <c r="X1128">
        <v>0.11339999999999999</v>
      </c>
      <c r="Y1128">
        <v>0.17259999999999998</v>
      </c>
      <c r="Z1128">
        <v>0.20219999999999999</v>
      </c>
      <c r="AA1128">
        <v>0.23180000000000001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 t="s">
        <v>462</v>
      </c>
      <c r="AL1128" t="s">
        <v>6</v>
      </c>
      <c r="AM1128" t="s">
        <v>1145</v>
      </c>
      <c r="AN1128" t="s">
        <v>1146</v>
      </c>
      <c r="AO1128" s="100">
        <v>46262.040405092594</v>
      </c>
      <c r="AP1128" t="s">
        <v>1147</v>
      </c>
      <c r="AQ1128" t="s">
        <v>3481</v>
      </c>
      <c r="AR1128" t="s">
        <v>1159</v>
      </c>
      <c r="AS1128" t="s">
        <v>1150</v>
      </c>
      <c r="AT1128" t="s">
        <v>3479</v>
      </c>
      <c r="AU1128">
        <v>25</v>
      </c>
      <c r="AV1128">
        <v>0.14360800000000001</v>
      </c>
      <c r="AW1128">
        <v>3.3061041020109053E-2</v>
      </c>
      <c r="AX1128">
        <v>23.021726519489896</v>
      </c>
      <c r="AY1128">
        <v>-27.637556225222781</v>
      </c>
      <c r="AZ1128">
        <v>65.623404982381103</v>
      </c>
      <c r="BB1128" t="s">
        <v>4620</v>
      </c>
      <c r="BD1128" s="98"/>
      <c r="BE1128" s="98"/>
      <c r="BF1128" t="s">
        <v>1152</v>
      </c>
      <c r="BG1128" t="s">
        <v>322</v>
      </c>
      <c r="BH1128" t="s">
        <v>1153</v>
      </c>
      <c r="BI1128">
        <v>27.637556225222781</v>
      </c>
      <c r="BN1128" t="s">
        <v>1154</v>
      </c>
      <c r="BO1128">
        <v>2025</v>
      </c>
      <c r="BP1128" t="s">
        <v>966</v>
      </c>
      <c r="BZ1128" t="s">
        <v>1513</v>
      </c>
      <c r="CA1128" t="s">
        <v>1513</v>
      </c>
      <c r="CB1128" t="b">
        <v>0</v>
      </c>
      <c r="CC1128" t="b">
        <v>0</v>
      </c>
      <c r="CD1128" t="b">
        <v>0</v>
      </c>
      <c r="CE1128" t="b">
        <v>0</v>
      </c>
      <c r="CF1128" t="b">
        <v>0</v>
      </c>
    </row>
    <row r="1129" spans="1:84" x14ac:dyDescent="0.3">
      <c r="A1129" t="s">
        <v>3482</v>
      </c>
      <c r="B1129" t="s">
        <v>1161</v>
      </c>
      <c r="C1129" s="98">
        <v>45677</v>
      </c>
      <c r="D1129">
        <v>2025</v>
      </c>
      <c r="E1129">
        <v>1</v>
      </c>
      <c r="F1129">
        <v>1</v>
      </c>
      <c r="G1129" t="s">
        <v>1144</v>
      </c>
      <c r="H1129" t="s">
        <v>146</v>
      </c>
      <c r="I1129" t="s">
        <v>146</v>
      </c>
      <c r="J1129" t="s">
        <v>6</v>
      </c>
      <c r="L1129">
        <v>522611</v>
      </c>
      <c r="M1129" s="99" t="s">
        <v>178</v>
      </c>
      <c r="N1129">
        <v>1</v>
      </c>
      <c r="O1129">
        <v>3</v>
      </c>
      <c r="P1129">
        <v>0.1285</v>
      </c>
      <c r="Q1129" t="s">
        <v>352</v>
      </c>
      <c r="R1129">
        <v>1</v>
      </c>
      <c r="S1129">
        <v>0.14299999999999999</v>
      </c>
      <c r="T1129">
        <v>2.9600000000000001E-2</v>
      </c>
      <c r="U1129">
        <v>-0.48986486486486436</v>
      </c>
      <c r="V1129">
        <v>5.4199999999999984E-2</v>
      </c>
      <c r="W1129">
        <v>8.3799999999999986E-2</v>
      </c>
      <c r="X1129">
        <v>0.11339999999999999</v>
      </c>
      <c r="Y1129">
        <v>0.17259999999999998</v>
      </c>
      <c r="Z1129">
        <v>0.20219999999999999</v>
      </c>
      <c r="AA1129">
        <v>0.23180000000000001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 t="s">
        <v>462</v>
      </c>
      <c r="AL1129" t="s">
        <v>6</v>
      </c>
      <c r="AM1129" t="s">
        <v>1145</v>
      </c>
      <c r="AN1129" t="s">
        <v>1146</v>
      </c>
      <c r="AO1129" s="100">
        <v>46262.040405092594</v>
      </c>
      <c r="AP1129" t="s">
        <v>1147</v>
      </c>
      <c r="AQ1129" t="s">
        <v>3483</v>
      </c>
      <c r="AR1129" t="s">
        <v>1163</v>
      </c>
      <c r="AS1129" t="s">
        <v>1150</v>
      </c>
      <c r="AT1129" t="s">
        <v>3479</v>
      </c>
      <c r="AU1129">
        <v>25</v>
      </c>
      <c r="AV1129">
        <v>0.14360800000000001</v>
      </c>
      <c r="AW1129">
        <v>3.3061041020109053E-2</v>
      </c>
      <c r="AX1129">
        <v>23.021726519489896</v>
      </c>
      <c r="AY1129">
        <v>-27.637556225222781</v>
      </c>
      <c r="AZ1129">
        <v>65.623404982381103</v>
      </c>
      <c r="BB1129" t="s">
        <v>4620</v>
      </c>
      <c r="BD1129" s="98"/>
      <c r="BE1129" s="98"/>
      <c r="BF1129" t="s">
        <v>1152</v>
      </c>
      <c r="BG1129" t="s">
        <v>322</v>
      </c>
      <c r="BH1129" t="s">
        <v>1153</v>
      </c>
      <c r="BI1129">
        <v>27.637556225222781</v>
      </c>
      <c r="BN1129" t="s">
        <v>1154</v>
      </c>
      <c r="BO1129">
        <v>2025</v>
      </c>
      <c r="BP1129" t="s">
        <v>966</v>
      </c>
      <c r="BZ1129" t="s">
        <v>1513</v>
      </c>
      <c r="CA1129" t="s">
        <v>1513</v>
      </c>
      <c r="CB1129" t="b">
        <v>0</v>
      </c>
      <c r="CC1129" t="b">
        <v>0</v>
      </c>
      <c r="CD1129" t="b">
        <v>0</v>
      </c>
      <c r="CE1129" t="b">
        <v>0</v>
      </c>
      <c r="CF1129" t="b">
        <v>0</v>
      </c>
    </row>
    <row r="1130" spans="1:84" x14ac:dyDescent="0.3">
      <c r="A1130" t="s">
        <v>3484</v>
      </c>
      <c r="B1130" t="s">
        <v>1165</v>
      </c>
      <c r="C1130" s="98">
        <v>45684</v>
      </c>
      <c r="D1130">
        <v>2025</v>
      </c>
      <c r="E1130">
        <v>1</v>
      </c>
      <c r="F1130">
        <v>1</v>
      </c>
      <c r="G1130" t="s">
        <v>1144</v>
      </c>
      <c r="H1130" t="s">
        <v>146</v>
      </c>
      <c r="I1130" t="s">
        <v>146</v>
      </c>
      <c r="J1130" t="s">
        <v>6</v>
      </c>
      <c r="L1130">
        <v>522611</v>
      </c>
      <c r="M1130" s="99" t="s">
        <v>178</v>
      </c>
      <c r="N1130">
        <v>1</v>
      </c>
      <c r="O1130">
        <v>4</v>
      </c>
      <c r="P1130">
        <v>0.123</v>
      </c>
      <c r="Q1130" t="s">
        <v>352</v>
      </c>
      <c r="R1130">
        <v>1</v>
      </c>
      <c r="S1130">
        <v>0.14299999999999999</v>
      </c>
      <c r="T1130">
        <v>2.9600000000000001E-2</v>
      </c>
      <c r="U1130">
        <v>-0.67567567567567532</v>
      </c>
      <c r="V1130">
        <v>5.4199999999999984E-2</v>
      </c>
      <c r="W1130">
        <v>8.3799999999999986E-2</v>
      </c>
      <c r="X1130">
        <v>0.11339999999999999</v>
      </c>
      <c r="Y1130">
        <v>0.17259999999999998</v>
      </c>
      <c r="Z1130">
        <v>0.20219999999999999</v>
      </c>
      <c r="AA1130">
        <v>0.23180000000000001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 t="s">
        <v>462</v>
      </c>
      <c r="AL1130" t="s">
        <v>6</v>
      </c>
      <c r="AM1130" t="s">
        <v>1145</v>
      </c>
      <c r="AN1130" t="s">
        <v>1146</v>
      </c>
      <c r="AO1130" s="100">
        <v>46262.040405092594</v>
      </c>
      <c r="AP1130" t="s">
        <v>1147</v>
      </c>
      <c r="AQ1130" t="s">
        <v>3485</v>
      </c>
      <c r="AR1130" t="s">
        <v>1167</v>
      </c>
      <c r="AS1130" t="s">
        <v>1150</v>
      </c>
      <c r="AT1130" t="s">
        <v>3479</v>
      </c>
      <c r="AU1130">
        <v>25</v>
      </c>
      <c r="AV1130">
        <v>0.14360800000000001</v>
      </c>
      <c r="AW1130">
        <v>3.3061041020109053E-2</v>
      </c>
      <c r="AX1130">
        <v>23.021726519489896</v>
      </c>
      <c r="AY1130">
        <v>-27.637556225222781</v>
      </c>
      <c r="AZ1130">
        <v>65.623404982381103</v>
      </c>
      <c r="BB1130" t="s">
        <v>4620</v>
      </c>
      <c r="BD1130" s="98"/>
      <c r="BE1130" s="98"/>
      <c r="BF1130" t="s">
        <v>1152</v>
      </c>
      <c r="BG1130" t="s">
        <v>322</v>
      </c>
      <c r="BH1130" t="s">
        <v>1153</v>
      </c>
      <c r="BI1130">
        <v>27.637556225222781</v>
      </c>
      <c r="BN1130" t="s">
        <v>1154</v>
      </c>
      <c r="BO1130">
        <v>2025</v>
      </c>
      <c r="BP1130" t="s">
        <v>966</v>
      </c>
      <c r="BZ1130" t="s">
        <v>1513</v>
      </c>
      <c r="CA1130" t="s">
        <v>1513</v>
      </c>
      <c r="CB1130" t="b">
        <v>0</v>
      </c>
      <c r="CC1130" t="b">
        <v>0</v>
      </c>
      <c r="CD1130" t="b">
        <v>0</v>
      </c>
      <c r="CE1130" t="b">
        <v>0</v>
      </c>
      <c r="CF1130" t="b">
        <v>0</v>
      </c>
    </row>
    <row r="1131" spans="1:84" x14ac:dyDescent="0.3">
      <c r="A1131" t="s">
        <v>3486</v>
      </c>
      <c r="B1131" t="s">
        <v>1169</v>
      </c>
      <c r="C1131" s="98">
        <v>45691</v>
      </c>
      <c r="D1131">
        <v>2025</v>
      </c>
      <c r="E1131">
        <v>2</v>
      </c>
      <c r="F1131">
        <v>1</v>
      </c>
      <c r="G1131" t="s">
        <v>1170</v>
      </c>
      <c r="H1131" t="s">
        <v>146</v>
      </c>
      <c r="I1131" t="s">
        <v>146</v>
      </c>
      <c r="J1131" t="s">
        <v>6</v>
      </c>
      <c r="L1131">
        <v>522611</v>
      </c>
      <c r="M1131" s="99" t="s">
        <v>178</v>
      </c>
      <c r="N1131">
        <v>1</v>
      </c>
      <c r="O1131">
        <v>5</v>
      </c>
      <c r="P1131">
        <v>0.14779999999999999</v>
      </c>
      <c r="Q1131" t="s">
        <v>352</v>
      </c>
      <c r="R1131">
        <v>1</v>
      </c>
      <c r="S1131">
        <v>0.14299999999999999</v>
      </c>
      <c r="T1131">
        <v>2.9600000000000001E-2</v>
      </c>
      <c r="U1131">
        <v>0.16216216216216212</v>
      </c>
      <c r="V1131">
        <v>5.4199999999999984E-2</v>
      </c>
      <c r="W1131">
        <v>8.3799999999999986E-2</v>
      </c>
      <c r="X1131">
        <v>0.11339999999999999</v>
      </c>
      <c r="Y1131">
        <v>0.17259999999999998</v>
      </c>
      <c r="Z1131">
        <v>0.20219999999999999</v>
      </c>
      <c r="AA1131">
        <v>0.23180000000000001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 t="s">
        <v>462</v>
      </c>
      <c r="AL1131" t="s">
        <v>6</v>
      </c>
      <c r="AM1131" t="s">
        <v>1145</v>
      </c>
      <c r="AN1131" t="s">
        <v>1146</v>
      </c>
      <c r="AO1131" s="100">
        <v>46262.040405092594</v>
      </c>
      <c r="AP1131" t="s">
        <v>1147</v>
      </c>
      <c r="AQ1131" t="s">
        <v>3487</v>
      </c>
      <c r="AR1131" t="s">
        <v>1172</v>
      </c>
      <c r="AS1131" t="s">
        <v>1150</v>
      </c>
      <c r="AT1131" t="s">
        <v>3479</v>
      </c>
      <c r="AU1131">
        <v>25</v>
      </c>
      <c r="AV1131">
        <v>0.14360800000000001</v>
      </c>
      <c r="AW1131">
        <v>3.3061041020109053E-2</v>
      </c>
      <c r="AX1131">
        <v>23.021726519489896</v>
      </c>
      <c r="AY1131">
        <v>-27.637556225222781</v>
      </c>
      <c r="AZ1131">
        <v>65.623404982381103</v>
      </c>
      <c r="BB1131" t="s">
        <v>4620</v>
      </c>
      <c r="BD1131" s="98"/>
      <c r="BE1131" s="98"/>
      <c r="BF1131" t="s">
        <v>1152</v>
      </c>
      <c r="BG1131" t="s">
        <v>322</v>
      </c>
      <c r="BH1131" t="s">
        <v>1153</v>
      </c>
      <c r="BI1131">
        <v>27.637556225222781</v>
      </c>
      <c r="BN1131" t="s">
        <v>1154</v>
      </c>
      <c r="BO1131">
        <v>2025</v>
      </c>
      <c r="BP1131" t="s">
        <v>966</v>
      </c>
      <c r="BZ1131" t="s">
        <v>1513</v>
      </c>
      <c r="CA1131" t="s">
        <v>1513</v>
      </c>
      <c r="CB1131" t="b">
        <v>0</v>
      </c>
      <c r="CC1131" t="b">
        <v>0</v>
      </c>
      <c r="CD1131" t="b">
        <v>0</v>
      </c>
      <c r="CE1131" t="b">
        <v>0</v>
      </c>
      <c r="CF1131" t="b">
        <v>0</v>
      </c>
    </row>
    <row r="1132" spans="1:84" x14ac:dyDescent="0.3">
      <c r="A1132" t="s">
        <v>3488</v>
      </c>
      <c r="B1132" t="s">
        <v>1174</v>
      </c>
      <c r="C1132" s="98">
        <v>45698</v>
      </c>
      <c r="D1132">
        <v>2025</v>
      </c>
      <c r="E1132">
        <v>2</v>
      </c>
      <c r="F1132">
        <v>1</v>
      </c>
      <c r="G1132" t="s">
        <v>1170</v>
      </c>
      <c r="H1132" t="s">
        <v>146</v>
      </c>
      <c r="I1132" t="s">
        <v>146</v>
      </c>
      <c r="J1132" t="s">
        <v>6</v>
      </c>
      <c r="L1132">
        <v>522611</v>
      </c>
      <c r="M1132" s="99" t="s">
        <v>178</v>
      </c>
      <c r="N1132">
        <v>1</v>
      </c>
      <c r="O1132">
        <v>6</v>
      </c>
      <c r="P1132">
        <v>0.12180000000000001</v>
      </c>
      <c r="Q1132" t="s">
        <v>352</v>
      </c>
      <c r="R1132">
        <v>1</v>
      </c>
      <c r="S1132">
        <v>0.14299999999999999</v>
      </c>
      <c r="T1132">
        <v>2.9600000000000001E-2</v>
      </c>
      <c r="U1132">
        <v>-0.71621621621621556</v>
      </c>
      <c r="V1132">
        <v>5.4199999999999984E-2</v>
      </c>
      <c r="W1132">
        <v>8.3799999999999986E-2</v>
      </c>
      <c r="X1132">
        <v>0.11339999999999999</v>
      </c>
      <c r="Y1132">
        <v>0.17259999999999998</v>
      </c>
      <c r="Z1132">
        <v>0.20219999999999999</v>
      </c>
      <c r="AA1132">
        <v>0.23180000000000001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 t="s">
        <v>462</v>
      </c>
      <c r="AL1132" t="s">
        <v>6</v>
      </c>
      <c r="AM1132" t="s">
        <v>1145</v>
      </c>
      <c r="AN1132" t="s">
        <v>1146</v>
      </c>
      <c r="AO1132" s="100">
        <v>46262.040405092594</v>
      </c>
      <c r="AP1132" t="s">
        <v>1147</v>
      </c>
      <c r="AQ1132" t="s">
        <v>3489</v>
      </c>
      <c r="AR1132" t="s">
        <v>1176</v>
      </c>
      <c r="AS1132" t="s">
        <v>1150</v>
      </c>
      <c r="AT1132" t="s">
        <v>3479</v>
      </c>
      <c r="AU1132">
        <v>25</v>
      </c>
      <c r="AV1132">
        <v>0.14360800000000001</v>
      </c>
      <c r="AW1132">
        <v>3.3061041020109053E-2</v>
      </c>
      <c r="AX1132">
        <v>23.021726519489896</v>
      </c>
      <c r="AY1132">
        <v>-27.637556225222781</v>
      </c>
      <c r="AZ1132">
        <v>65.623404982381103</v>
      </c>
      <c r="BB1132" t="s">
        <v>4620</v>
      </c>
      <c r="BD1132" s="98"/>
      <c r="BE1132" s="98"/>
      <c r="BF1132" t="s">
        <v>1152</v>
      </c>
      <c r="BG1132" t="s">
        <v>322</v>
      </c>
      <c r="BH1132" t="s">
        <v>1153</v>
      </c>
      <c r="BI1132">
        <v>27.637556225222781</v>
      </c>
      <c r="BN1132" t="s">
        <v>1154</v>
      </c>
      <c r="BO1132">
        <v>2025</v>
      </c>
      <c r="BP1132" t="s">
        <v>966</v>
      </c>
      <c r="BZ1132" t="s">
        <v>1513</v>
      </c>
      <c r="CA1132" t="s">
        <v>1513</v>
      </c>
      <c r="CB1132" t="b">
        <v>0</v>
      </c>
      <c r="CC1132" t="b">
        <v>0</v>
      </c>
      <c r="CD1132" t="b">
        <v>0</v>
      </c>
      <c r="CE1132" t="b">
        <v>0</v>
      </c>
      <c r="CF1132" t="b">
        <v>0</v>
      </c>
    </row>
    <row r="1133" spans="1:84" x14ac:dyDescent="0.3">
      <c r="A1133" t="s">
        <v>3490</v>
      </c>
      <c r="B1133" t="s">
        <v>1178</v>
      </c>
      <c r="C1133" s="98">
        <v>45705</v>
      </c>
      <c r="D1133">
        <v>2025</v>
      </c>
      <c r="E1133">
        <v>2</v>
      </c>
      <c r="F1133">
        <v>1</v>
      </c>
      <c r="G1133" t="s">
        <v>1170</v>
      </c>
      <c r="H1133" t="s">
        <v>146</v>
      </c>
      <c r="I1133" t="s">
        <v>146</v>
      </c>
      <c r="J1133" t="s">
        <v>6</v>
      </c>
      <c r="L1133">
        <v>522611</v>
      </c>
      <c r="M1133" s="99" t="s">
        <v>178</v>
      </c>
      <c r="N1133">
        <v>1</v>
      </c>
      <c r="O1133">
        <v>7</v>
      </c>
      <c r="P1133">
        <v>0.17680000000000001</v>
      </c>
      <c r="Q1133" t="s">
        <v>352</v>
      </c>
      <c r="R1133">
        <v>1</v>
      </c>
      <c r="S1133">
        <v>0.14299999999999999</v>
      </c>
      <c r="T1133">
        <v>2.9600000000000001E-2</v>
      </c>
      <c r="U1133">
        <v>1.1418918918918928</v>
      </c>
      <c r="V1133">
        <v>5.4199999999999984E-2</v>
      </c>
      <c r="W1133">
        <v>8.3799999999999986E-2</v>
      </c>
      <c r="X1133">
        <v>0.11339999999999999</v>
      </c>
      <c r="Y1133">
        <v>0.17259999999999998</v>
      </c>
      <c r="Z1133">
        <v>0.20219999999999999</v>
      </c>
      <c r="AA1133">
        <v>0.23180000000000001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 t="s">
        <v>462</v>
      </c>
      <c r="AL1133" t="s">
        <v>6</v>
      </c>
      <c r="AM1133" t="s">
        <v>1145</v>
      </c>
      <c r="AN1133" t="s">
        <v>1146</v>
      </c>
      <c r="AO1133" s="100">
        <v>46262.040405092594</v>
      </c>
      <c r="AP1133" t="s">
        <v>1147</v>
      </c>
      <c r="AQ1133" t="s">
        <v>3491</v>
      </c>
      <c r="AR1133" t="s">
        <v>1180</v>
      </c>
      <c r="AS1133" t="s">
        <v>1150</v>
      </c>
      <c r="AT1133" t="s">
        <v>3479</v>
      </c>
      <c r="AU1133">
        <v>25</v>
      </c>
      <c r="AV1133">
        <v>0.14360800000000001</v>
      </c>
      <c r="AW1133">
        <v>3.3061041020109053E-2</v>
      </c>
      <c r="AX1133">
        <v>23.021726519489896</v>
      </c>
      <c r="AY1133">
        <v>-27.637556225222781</v>
      </c>
      <c r="AZ1133">
        <v>65.623404982381103</v>
      </c>
      <c r="BB1133" t="s">
        <v>4620</v>
      </c>
      <c r="BD1133" s="98"/>
      <c r="BE1133" s="98"/>
      <c r="BF1133" t="s">
        <v>1152</v>
      </c>
      <c r="BG1133" t="s">
        <v>322</v>
      </c>
      <c r="BH1133" t="s">
        <v>1153</v>
      </c>
      <c r="BI1133">
        <v>27.637556225222781</v>
      </c>
      <c r="BN1133" t="s">
        <v>1154</v>
      </c>
      <c r="BO1133">
        <v>2025</v>
      </c>
      <c r="BP1133" t="s">
        <v>966</v>
      </c>
      <c r="BZ1133" t="s">
        <v>1513</v>
      </c>
      <c r="CA1133" t="s">
        <v>1513</v>
      </c>
      <c r="CB1133" t="b">
        <v>0</v>
      </c>
      <c r="CC1133" t="b">
        <v>0</v>
      </c>
      <c r="CD1133" t="b">
        <v>0</v>
      </c>
      <c r="CE1133" t="b">
        <v>0</v>
      </c>
      <c r="CF1133" t="b">
        <v>0</v>
      </c>
    </row>
    <row r="1134" spans="1:84" x14ac:dyDescent="0.3">
      <c r="A1134" t="s">
        <v>3492</v>
      </c>
      <c r="B1134" t="s">
        <v>1182</v>
      </c>
      <c r="C1134" s="98">
        <v>45712</v>
      </c>
      <c r="D1134">
        <v>2025</v>
      </c>
      <c r="E1134">
        <v>2</v>
      </c>
      <c r="F1134">
        <v>1</v>
      </c>
      <c r="G1134" t="s">
        <v>1170</v>
      </c>
      <c r="H1134" t="s">
        <v>146</v>
      </c>
      <c r="I1134" t="s">
        <v>146</v>
      </c>
      <c r="J1134" t="s">
        <v>6</v>
      </c>
      <c r="L1134">
        <v>522611</v>
      </c>
      <c r="M1134" s="99" t="s">
        <v>178</v>
      </c>
      <c r="N1134">
        <v>1</v>
      </c>
      <c r="O1134">
        <v>8</v>
      </c>
      <c r="P1134">
        <v>0.11990000000000001</v>
      </c>
      <c r="Q1134" t="s">
        <v>352</v>
      </c>
      <c r="R1134">
        <v>1</v>
      </c>
      <c r="S1134">
        <v>0.14299999999999999</v>
      </c>
      <c r="T1134">
        <v>2.9600000000000001E-2</v>
      </c>
      <c r="U1134">
        <v>-0.78040540540540471</v>
      </c>
      <c r="V1134">
        <v>5.4199999999999984E-2</v>
      </c>
      <c r="W1134">
        <v>8.3799999999999986E-2</v>
      </c>
      <c r="X1134">
        <v>0.11339999999999999</v>
      </c>
      <c r="Y1134">
        <v>0.17259999999999998</v>
      </c>
      <c r="Z1134">
        <v>0.20219999999999999</v>
      </c>
      <c r="AA1134">
        <v>0.23180000000000001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 t="s">
        <v>462</v>
      </c>
      <c r="AL1134" t="s">
        <v>6</v>
      </c>
      <c r="AM1134" t="s">
        <v>1145</v>
      </c>
      <c r="AN1134" t="s">
        <v>1146</v>
      </c>
      <c r="AO1134" s="100">
        <v>46262.040405092594</v>
      </c>
      <c r="AP1134" t="s">
        <v>1147</v>
      </c>
      <c r="AQ1134" t="s">
        <v>3493</v>
      </c>
      <c r="AR1134" t="s">
        <v>1184</v>
      </c>
      <c r="AS1134" t="s">
        <v>1150</v>
      </c>
      <c r="AT1134" t="s">
        <v>3479</v>
      </c>
      <c r="AU1134">
        <v>25</v>
      </c>
      <c r="AV1134">
        <v>0.14360800000000001</v>
      </c>
      <c r="AW1134">
        <v>3.3061041020109053E-2</v>
      </c>
      <c r="AX1134">
        <v>23.021726519489896</v>
      </c>
      <c r="AY1134">
        <v>-27.637556225222781</v>
      </c>
      <c r="AZ1134">
        <v>65.623404982381103</v>
      </c>
      <c r="BB1134" t="s">
        <v>4620</v>
      </c>
      <c r="BD1134" s="98"/>
      <c r="BE1134" s="98"/>
      <c r="BF1134" t="s">
        <v>1152</v>
      </c>
      <c r="BG1134" t="s">
        <v>322</v>
      </c>
      <c r="BH1134" t="s">
        <v>1153</v>
      </c>
      <c r="BI1134">
        <v>27.637556225222781</v>
      </c>
      <c r="BN1134" t="s">
        <v>1154</v>
      </c>
      <c r="BO1134">
        <v>2025</v>
      </c>
      <c r="BP1134" t="s">
        <v>966</v>
      </c>
      <c r="BZ1134" t="s">
        <v>1513</v>
      </c>
      <c r="CA1134" t="s">
        <v>1513</v>
      </c>
      <c r="CB1134" t="b">
        <v>0</v>
      </c>
      <c r="CC1134" t="b">
        <v>0</v>
      </c>
      <c r="CD1134" t="b">
        <v>0</v>
      </c>
      <c r="CE1134" t="b">
        <v>0</v>
      </c>
      <c r="CF1134" t="b">
        <v>0</v>
      </c>
    </row>
    <row r="1135" spans="1:84" x14ac:dyDescent="0.3">
      <c r="A1135" t="s">
        <v>3494</v>
      </c>
      <c r="B1135" t="s">
        <v>1186</v>
      </c>
      <c r="C1135" s="98">
        <v>45719</v>
      </c>
      <c r="D1135">
        <v>2025</v>
      </c>
      <c r="E1135">
        <v>3</v>
      </c>
      <c r="F1135">
        <v>1</v>
      </c>
      <c r="G1135" t="s">
        <v>1187</v>
      </c>
      <c r="H1135" t="s">
        <v>146</v>
      </c>
      <c r="I1135" t="s">
        <v>146</v>
      </c>
      <c r="J1135" t="s">
        <v>6</v>
      </c>
      <c r="L1135">
        <v>522611</v>
      </c>
      <c r="M1135" s="99" t="s">
        <v>178</v>
      </c>
      <c r="N1135">
        <v>1</v>
      </c>
      <c r="O1135">
        <v>9</v>
      </c>
      <c r="P1135">
        <v>7.5800000000000006E-2</v>
      </c>
      <c r="Q1135" t="s">
        <v>352</v>
      </c>
      <c r="R1135">
        <v>1</v>
      </c>
      <c r="S1135">
        <v>0.14299999999999999</v>
      </c>
      <c r="T1135">
        <v>2.9600000000000001E-2</v>
      </c>
      <c r="U1135">
        <v>-2.2702702702702697</v>
      </c>
      <c r="V1135">
        <v>5.4199999999999984E-2</v>
      </c>
      <c r="W1135">
        <v>8.3799999999999986E-2</v>
      </c>
      <c r="X1135">
        <v>0.11339999999999999</v>
      </c>
      <c r="Y1135">
        <v>0.17259999999999998</v>
      </c>
      <c r="Z1135">
        <v>0.20219999999999999</v>
      </c>
      <c r="AA1135">
        <v>0.23180000000000001</v>
      </c>
      <c r="AE1135">
        <v>0</v>
      </c>
      <c r="AF1135">
        <v>0</v>
      </c>
      <c r="AG1135">
        <v>0</v>
      </c>
      <c r="AH1135">
        <v>0</v>
      </c>
      <c r="AI1135">
        <v>1</v>
      </c>
      <c r="AJ1135">
        <v>1</v>
      </c>
      <c r="AK1135" t="s">
        <v>1213</v>
      </c>
      <c r="AL1135" t="s">
        <v>6</v>
      </c>
      <c r="AM1135" t="s">
        <v>1145</v>
      </c>
      <c r="AN1135" t="s">
        <v>1146</v>
      </c>
      <c r="AO1135" s="100">
        <v>46262.040405092594</v>
      </c>
      <c r="AP1135" t="s">
        <v>1147</v>
      </c>
      <c r="AQ1135" t="s">
        <v>3495</v>
      </c>
      <c r="AR1135" t="s">
        <v>1189</v>
      </c>
      <c r="AS1135" t="s">
        <v>1150</v>
      </c>
      <c r="AT1135" t="s">
        <v>3479</v>
      </c>
      <c r="AU1135">
        <v>25</v>
      </c>
      <c r="AV1135">
        <v>0.14360800000000001</v>
      </c>
      <c r="AW1135">
        <v>3.3061041020109053E-2</v>
      </c>
      <c r="AX1135">
        <v>23.021726519489896</v>
      </c>
      <c r="AY1135">
        <v>-27.637556225222781</v>
      </c>
      <c r="AZ1135">
        <v>65.623404982381103</v>
      </c>
      <c r="BB1135" t="s">
        <v>4620</v>
      </c>
      <c r="BD1135" s="98"/>
      <c r="BE1135" s="98"/>
      <c r="BF1135" t="s">
        <v>1152</v>
      </c>
      <c r="BG1135" t="s">
        <v>322</v>
      </c>
      <c r="BH1135" t="s">
        <v>1153</v>
      </c>
      <c r="BI1135">
        <v>27.637556225222781</v>
      </c>
      <c r="BN1135" t="s">
        <v>1154</v>
      </c>
      <c r="BO1135">
        <v>2025</v>
      </c>
      <c r="BP1135" t="s">
        <v>966</v>
      </c>
      <c r="BZ1135" t="s">
        <v>1513</v>
      </c>
      <c r="CA1135" t="s">
        <v>1513</v>
      </c>
      <c r="CB1135" t="b">
        <v>0</v>
      </c>
      <c r="CC1135" t="b">
        <v>0</v>
      </c>
      <c r="CD1135" t="b">
        <v>0</v>
      </c>
      <c r="CE1135" t="b">
        <v>0</v>
      </c>
      <c r="CF1135" t="b">
        <v>0</v>
      </c>
    </row>
    <row r="1136" spans="1:84" x14ac:dyDescent="0.3">
      <c r="A1136" t="s">
        <v>3496</v>
      </c>
      <c r="B1136" t="s">
        <v>1191</v>
      </c>
      <c r="C1136" s="98">
        <v>45726</v>
      </c>
      <c r="D1136">
        <v>2025</v>
      </c>
      <c r="E1136">
        <v>3</v>
      </c>
      <c r="F1136">
        <v>1</v>
      </c>
      <c r="G1136" t="s">
        <v>1187</v>
      </c>
      <c r="H1136" t="s">
        <v>146</v>
      </c>
      <c r="I1136" t="s">
        <v>146</v>
      </c>
      <c r="J1136" t="s">
        <v>6</v>
      </c>
      <c r="L1136">
        <v>522611</v>
      </c>
      <c r="M1136" s="99" t="s">
        <v>178</v>
      </c>
      <c r="N1136">
        <v>1</v>
      </c>
      <c r="O1136">
        <v>10</v>
      </c>
      <c r="P1136">
        <v>0.12139999999999999</v>
      </c>
      <c r="Q1136" t="s">
        <v>352</v>
      </c>
      <c r="R1136">
        <v>1</v>
      </c>
      <c r="S1136">
        <v>0.14299999999999999</v>
      </c>
      <c r="T1136">
        <v>2.9600000000000001E-2</v>
      </c>
      <c r="U1136">
        <v>-0.72972972972972949</v>
      </c>
      <c r="V1136">
        <v>5.4199999999999984E-2</v>
      </c>
      <c r="W1136">
        <v>8.3799999999999986E-2</v>
      </c>
      <c r="X1136">
        <v>0.11339999999999999</v>
      </c>
      <c r="Y1136">
        <v>0.17259999999999998</v>
      </c>
      <c r="Z1136">
        <v>0.20219999999999999</v>
      </c>
      <c r="AA1136">
        <v>0.23180000000000001</v>
      </c>
      <c r="AE1136">
        <v>0</v>
      </c>
      <c r="AF1136">
        <v>0</v>
      </c>
      <c r="AG1136">
        <v>0</v>
      </c>
      <c r="AH1136">
        <v>0</v>
      </c>
      <c r="AI1136">
        <v>1</v>
      </c>
      <c r="AJ1136">
        <v>0</v>
      </c>
      <c r="AK1136" t="s">
        <v>1213</v>
      </c>
      <c r="AL1136" t="s">
        <v>6</v>
      </c>
      <c r="AM1136" t="s">
        <v>1145</v>
      </c>
      <c r="AN1136" t="s">
        <v>1146</v>
      </c>
      <c r="AO1136" s="100">
        <v>46262.040405092594</v>
      </c>
      <c r="AP1136" t="s">
        <v>1147</v>
      </c>
      <c r="AQ1136" t="s">
        <v>3497</v>
      </c>
      <c r="AR1136" t="s">
        <v>1193</v>
      </c>
      <c r="AS1136" t="s">
        <v>1150</v>
      </c>
      <c r="AT1136" t="s">
        <v>3479</v>
      </c>
      <c r="AU1136">
        <v>25</v>
      </c>
      <c r="AV1136">
        <v>0.14360800000000001</v>
      </c>
      <c r="AW1136">
        <v>3.3061041020109053E-2</v>
      </c>
      <c r="AX1136">
        <v>23.021726519489896</v>
      </c>
      <c r="AY1136">
        <v>-27.637556225222781</v>
      </c>
      <c r="AZ1136">
        <v>65.623404982381103</v>
      </c>
      <c r="BB1136" t="s">
        <v>4620</v>
      </c>
      <c r="BD1136" s="98"/>
      <c r="BE1136" s="98"/>
      <c r="BF1136" t="s">
        <v>1152</v>
      </c>
      <c r="BG1136" t="s">
        <v>322</v>
      </c>
      <c r="BH1136" t="s">
        <v>1153</v>
      </c>
      <c r="BI1136">
        <v>27.637556225222781</v>
      </c>
      <c r="BN1136" t="s">
        <v>1154</v>
      </c>
      <c r="BO1136">
        <v>2025</v>
      </c>
      <c r="BP1136" t="s">
        <v>966</v>
      </c>
      <c r="BZ1136" t="s">
        <v>1513</v>
      </c>
      <c r="CA1136" t="s">
        <v>1513</v>
      </c>
      <c r="CB1136" t="b">
        <v>0</v>
      </c>
      <c r="CC1136" t="b">
        <v>0</v>
      </c>
      <c r="CD1136" t="b">
        <v>0</v>
      </c>
      <c r="CE1136" t="b">
        <v>0</v>
      </c>
      <c r="CF1136" t="b">
        <v>0</v>
      </c>
    </row>
    <row r="1137" spans="1:84" x14ac:dyDescent="0.3">
      <c r="A1137" t="s">
        <v>3498</v>
      </c>
      <c r="B1137" t="s">
        <v>1195</v>
      </c>
      <c r="C1137" s="98">
        <v>45733</v>
      </c>
      <c r="D1137">
        <v>2025</v>
      </c>
      <c r="E1137">
        <v>3</v>
      </c>
      <c r="F1137">
        <v>1</v>
      </c>
      <c r="G1137" t="s">
        <v>1187</v>
      </c>
      <c r="H1137" t="s">
        <v>146</v>
      </c>
      <c r="I1137" t="s">
        <v>146</v>
      </c>
      <c r="J1137" t="s">
        <v>6</v>
      </c>
      <c r="L1137">
        <v>522611</v>
      </c>
      <c r="M1137" s="99" t="s">
        <v>178</v>
      </c>
      <c r="N1137">
        <v>1</v>
      </c>
      <c r="O1137">
        <v>11</v>
      </c>
      <c r="P1137">
        <v>8.3599999999999994E-2</v>
      </c>
      <c r="Q1137" t="s">
        <v>352</v>
      </c>
      <c r="R1137">
        <v>1</v>
      </c>
      <c r="S1137">
        <v>0.14299999999999999</v>
      </c>
      <c r="T1137">
        <v>2.9600000000000001E-2</v>
      </c>
      <c r="U1137">
        <v>-2.0067567567567566</v>
      </c>
      <c r="V1137">
        <v>5.4199999999999984E-2</v>
      </c>
      <c r="W1137">
        <v>8.3799999999999986E-2</v>
      </c>
      <c r="X1137">
        <v>0.11339999999999999</v>
      </c>
      <c r="Y1137">
        <v>0.17259999999999998</v>
      </c>
      <c r="Z1137">
        <v>0.20219999999999999</v>
      </c>
      <c r="AA1137">
        <v>0.23180000000000001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1</v>
      </c>
      <c r="AK1137" t="s">
        <v>462</v>
      </c>
      <c r="AL1137" t="s">
        <v>6</v>
      </c>
      <c r="AM1137" t="s">
        <v>1145</v>
      </c>
      <c r="AN1137" t="s">
        <v>1146</v>
      </c>
      <c r="AO1137" s="100">
        <v>46262.040405092594</v>
      </c>
      <c r="AP1137" t="s">
        <v>1147</v>
      </c>
      <c r="AQ1137" t="s">
        <v>3499</v>
      </c>
      <c r="AR1137" t="s">
        <v>1197</v>
      </c>
      <c r="AS1137" t="s">
        <v>1150</v>
      </c>
      <c r="AT1137" t="s">
        <v>3479</v>
      </c>
      <c r="AU1137">
        <v>25</v>
      </c>
      <c r="AV1137">
        <v>0.14360800000000001</v>
      </c>
      <c r="AW1137">
        <v>3.3061041020109053E-2</v>
      </c>
      <c r="AX1137">
        <v>23.021726519489896</v>
      </c>
      <c r="AY1137">
        <v>-27.637556225222781</v>
      </c>
      <c r="AZ1137">
        <v>65.623404982381103</v>
      </c>
      <c r="BB1137" t="s">
        <v>4620</v>
      </c>
      <c r="BD1137" s="98"/>
      <c r="BE1137" s="98"/>
      <c r="BF1137" t="s">
        <v>1152</v>
      </c>
      <c r="BG1137" t="s">
        <v>322</v>
      </c>
      <c r="BH1137" t="s">
        <v>1153</v>
      </c>
      <c r="BI1137">
        <v>27.637556225222781</v>
      </c>
      <c r="BN1137" t="s">
        <v>1154</v>
      </c>
      <c r="BO1137">
        <v>2025</v>
      </c>
      <c r="BP1137" t="s">
        <v>966</v>
      </c>
      <c r="BZ1137" t="s">
        <v>1513</v>
      </c>
      <c r="CA1137" t="s">
        <v>1513</v>
      </c>
      <c r="CB1137" t="b">
        <v>0</v>
      </c>
      <c r="CC1137" t="b">
        <v>0</v>
      </c>
      <c r="CD1137" t="b">
        <v>0</v>
      </c>
      <c r="CE1137" t="b">
        <v>0</v>
      </c>
      <c r="CF1137" t="b">
        <v>0</v>
      </c>
    </row>
    <row r="1138" spans="1:84" x14ac:dyDescent="0.3">
      <c r="A1138" t="s">
        <v>3500</v>
      </c>
      <c r="B1138" t="s">
        <v>1199</v>
      </c>
      <c r="C1138" s="98">
        <v>45740</v>
      </c>
      <c r="D1138">
        <v>2025</v>
      </c>
      <c r="E1138">
        <v>3</v>
      </c>
      <c r="F1138">
        <v>1</v>
      </c>
      <c r="G1138" t="s">
        <v>1187</v>
      </c>
      <c r="H1138" t="s">
        <v>146</v>
      </c>
      <c r="I1138" t="s">
        <v>146</v>
      </c>
      <c r="J1138" t="s">
        <v>6</v>
      </c>
      <c r="L1138">
        <v>522611</v>
      </c>
      <c r="M1138" s="99" t="s">
        <v>178</v>
      </c>
      <c r="N1138">
        <v>1</v>
      </c>
      <c r="O1138">
        <v>12</v>
      </c>
      <c r="P1138">
        <v>0.14180000000000001</v>
      </c>
      <c r="Q1138" t="s">
        <v>352</v>
      </c>
      <c r="R1138">
        <v>1</v>
      </c>
      <c r="S1138">
        <v>0.14299999999999999</v>
      </c>
      <c r="T1138">
        <v>2.9600000000000001E-2</v>
      </c>
      <c r="U1138">
        <v>-4.0540540540539821E-2</v>
      </c>
      <c r="V1138">
        <v>5.4199999999999984E-2</v>
      </c>
      <c r="W1138">
        <v>8.3799999999999986E-2</v>
      </c>
      <c r="X1138">
        <v>0.11339999999999999</v>
      </c>
      <c r="Y1138">
        <v>0.17259999999999998</v>
      </c>
      <c r="Z1138">
        <v>0.20219999999999999</v>
      </c>
      <c r="AA1138">
        <v>0.23180000000000001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 t="s">
        <v>462</v>
      </c>
      <c r="AL1138" t="s">
        <v>6</v>
      </c>
      <c r="AM1138" t="s">
        <v>1145</v>
      </c>
      <c r="AN1138" t="s">
        <v>1146</v>
      </c>
      <c r="AO1138" s="100">
        <v>46262.040405092594</v>
      </c>
      <c r="AP1138" t="s">
        <v>1147</v>
      </c>
      <c r="AQ1138" t="s">
        <v>3501</v>
      </c>
      <c r="AR1138" t="s">
        <v>1201</v>
      </c>
      <c r="AS1138" t="s">
        <v>1150</v>
      </c>
      <c r="AT1138" t="s">
        <v>3479</v>
      </c>
      <c r="AU1138">
        <v>25</v>
      </c>
      <c r="AV1138">
        <v>0.14360800000000001</v>
      </c>
      <c r="AW1138">
        <v>3.3061041020109053E-2</v>
      </c>
      <c r="AX1138">
        <v>23.021726519489896</v>
      </c>
      <c r="AY1138">
        <v>-27.637556225222781</v>
      </c>
      <c r="AZ1138">
        <v>65.623404982381103</v>
      </c>
      <c r="BB1138" t="s">
        <v>4620</v>
      </c>
      <c r="BD1138" s="98"/>
      <c r="BE1138" s="98"/>
      <c r="BF1138" t="s">
        <v>1152</v>
      </c>
      <c r="BG1138" t="s">
        <v>322</v>
      </c>
      <c r="BH1138" t="s">
        <v>1153</v>
      </c>
      <c r="BI1138">
        <v>27.637556225222781</v>
      </c>
      <c r="BN1138" t="s">
        <v>1154</v>
      </c>
      <c r="BO1138">
        <v>2025</v>
      </c>
      <c r="BP1138" t="s">
        <v>966</v>
      </c>
      <c r="BZ1138" t="s">
        <v>1513</v>
      </c>
      <c r="CA1138" t="s">
        <v>1513</v>
      </c>
      <c r="CB1138" t="b">
        <v>0</v>
      </c>
      <c r="CC1138" t="b">
        <v>0</v>
      </c>
      <c r="CD1138" t="b">
        <v>0</v>
      </c>
      <c r="CE1138" t="b">
        <v>0</v>
      </c>
      <c r="CF1138" t="b">
        <v>0</v>
      </c>
    </row>
    <row r="1139" spans="1:84" x14ac:dyDescent="0.3">
      <c r="A1139" t="s">
        <v>3502</v>
      </c>
      <c r="B1139" t="s">
        <v>1203</v>
      </c>
      <c r="C1139" s="98">
        <v>45747</v>
      </c>
      <c r="D1139">
        <v>2025</v>
      </c>
      <c r="E1139">
        <v>3</v>
      </c>
      <c r="F1139">
        <v>1</v>
      </c>
      <c r="G1139" t="s">
        <v>1187</v>
      </c>
      <c r="H1139" t="s">
        <v>146</v>
      </c>
      <c r="I1139" t="s">
        <v>146</v>
      </c>
      <c r="J1139" t="s">
        <v>6</v>
      </c>
      <c r="L1139">
        <v>522611</v>
      </c>
      <c r="M1139" s="99" t="s">
        <v>178</v>
      </c>
      <c r="N1139">
        <v>1</v>
      </c>
      <c r="O1139">
        <v>13</v>
      </c>
      <c r="P1139">
        <v>0.1744</v>
      </c>
      <c r="Q1139" t="s">
        <v>352</v>
      </c>
      <c r="R1139">
        <v>1</v>
      </c>
      <c r="S1139">
        <v>0.14299999999999999</v>
      </c>
      <c r="T1139">
        <v>2.9600000000000001E-2</v>
      </c>
      <c r="U1139">
        <v>1.0608108108108112</v>
      </c>
      <c r="V1139">
        <v>5.4199999999999984E-2</v>
      </c>
      <c r="W1139">
        <v>8.3799999999999986E-2</v>
      </c>
      <c r="X1139">
        <v>0.11339999999999999</v>
      </c>
      <c r="Y1139">
        <v>0.17259999999999998</v>
      </c>
      <c r="Z1139">
        <v>0.20219999999999999</v>
      </c>
      <c r="AA1139">
        <v>0.23180000000000001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 t="s">
        <v>462</v>
      </c>
      <c r="AL1139" t="s">
        <v>6</v>
      </c>
      <c r="AM1139" t="s">
        <v>1145</v>
      </c>
      <c r="AN1139" t="s">
        <v>1146</v>
      </c>
      <c r="AO1139" s="100">
        <v>46262.040405092594</v>
      </c>
      <c r="AP1139" t="s">
        <v>1147</v>
      </c>
      <c r="AQ1139" t="s">
        <v>3503</v>
      </c>
      <c r="AR1139" t="s">
        <v>1205</v>
      </c>
      <c r="AS1139" t="s">
        <v>1150</v>
      </c>
      <c r="AT1139" t="s">
        <v>3479</v>
      </c>
      <c r="AU1139">
        <v>25</v>
      </c>
      <c r="AV1139">
        <v>0.14360800000000001</v>
      </c>
      <c r="AW1139">
        <v>3.3061041020109053E-2</v>
      </c>
      <c r="AX1139">
        <v>23.021726519489896</v>
      </c>
      <c r="AY1139">
        <v>-27.637556225222781</v>
      </c>
      <c r="AZ1139">
        <v>65.623404982381103</v>
      </c>
      <c r="BB1139" t="s">
        <v>4620</v>
      </c>
      <c r="BD1139" s="98"/>
      <c r="BE1139" s="98"/>
      <c r="BF1139" t="s">
        <v>1152</v>
      </c>
      <c r="BG1139" t="s">
        <v>322</v>
      </c>
      <c r="BH1139" t="s">
        <v>1153</v>
      </c>
      <c r="BI1139">
        <v>27.637556225222781</v>
      </c>
      <c r="BN1139" t="s">
        <v>1154</v>
      </c>
      <c r="BO1139">
        <v>2025</v>
      </c>
      <c r="BP1139" t="s">
        <v>966</v>
      </c>
      <c r="BZ1139" t="s">
        <v>1513</v>
      </c>
      <c r="CA1139" t="s">
        <v>1513</v>
      </c>
      <c r="CB1139" t="b">
        <v>0</v>
      </c>
      <c r="CC1139" t="b">
        <v>0</v>
      </c>
      <c r="CD1139" t="b">
        <v>0</v>
      </c>
      <c r="CE1139" t="b">
        <v>0</v>
      </c>
      <c r="CF1139" t="b">
        <v>0</v>
      </c>
    </row>
    <row r="1140" spans="1:84" x14ac:dyDescent="0.3">
      <c r="A1140" t="s">
        <v>3504</v>
      </c>
      <c r="B1140" t="s">
        <v>1207</v>
      </c>
      <c r="C1140" s="98">
        <v>45754</v>
      </c>
      <c r="D1140">
        <v>2025</v>
      </c>
      <c r="E1140">
        <v>4</v>
      </c>
      <c r="F1140">
        <v>2</v>
      </c>
      <c r="G1140" t="s">
        <v>1208</v>
      </c>
      <c r="H1140" t="s">
        <v>146</v>
      </c>
      <c r="I1140" t="s">
        <v>146</v>
      </c>
      <c r="J1140" t="s">
        <v>6</v>
      </c>
      <c r="L1140">
        <v>522611</v>
      </c>
      <c r="M1140" s="99" t="s">
        <v>178</v>
      </c>
      <c r="N1140">
        <v>1</v>
      </c>
      <c r="O1140">
        <v>14</v>
      </c>
      <c r="P1140">
        <v>0.16220000000000001</v>
      </c>
      <c r="Q1140" t="s">
        <v>352</v>
      </c>
      <c r="R1140">
        <v>1</v>
      </c>
      <c r="S1140">
        <v>0.14299999999999999</v>
      </c>
      <c r="T1140">
        <v>2.9600000000000001E-2</v>
      </c>
      <c r="U1140">
        <v>0.64864864864864935</v>
      </c>
      <c r="V1140">
        <v>5.4199999999999984E-2</v>
      </c>
      <c r="W1140">
        <v>8.3799999999999986E-2</v>
      </c>
      <c r="X1140">
        <v>0.11339999999999999</v>
      </c>
      <c r="Y1140">
        <v>0.17259999999999998</v>
      </c>
      <c r="Z1140">
        <v>0.20219999999999999</v>
      </c>
      <c r="AA1140">
        <v>0.23180000000000001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 t="s">
        <v>462</v>
      </c>
      <c r="AL1140" t="s">
        <v>6</v>
      </c>
      <c r="AM1140" t="s">
        <v>1145</v>
      </c>
      <c r="AN1140" t="s">
        <v>1146</v>
      </c>
      <c r="AO1140" s="100">
        <v>46262.040405092594</v>
      </c>
      <c r="AP1140" t="s">
        <v>1147</v>
      </c>
      <c r="AQ1140" t="s">
        <v>3505</v>
      </c>
      <c r="AR1140" t="s">
        <v>1210</v>
      </c>
      <c r="AS1140" t="s">
        <v>1150</v>
      </c>
      <c r="AT1140" t="s">
        <v>3479</v>
      </c>
      <c r="AU1140">
        <v>25</v>
      </c>
      <c r="AV1140">
        <v>0.14360800000000001</v>
      </c>
      <c r="AW1140">
        <v>3.3061041020109053E-2</v>
      </c>
      <c r="AX1140">
        <v>23.021726519489896</v>
      </c>
      <c r="AY1140">
        <v>-27.637556225222781</v>
      </c>
      <c r="AZ1140">
        <v>65.623404982381103</v>
      </c>
      <c r="BB1140" t="s">
        <v>4620</v>
      </c>
      <c r="BD1140" s="98"/>
      <c r="BE1140" s="98"/>
      <c r="BF1140" t="s">
        <v>1152</v>
      </c>
      <c r="BG1140" t="s">
        <v>322</v>
      </c>
      <c r="BH1140" t="s">
        <v>1153</v>
      </c>
      <c r="BI1140">
        <v>27.637556225222781</v>
      </c>
      <c r="BN1140" t="s">
        <v>1154</v>
      </c>
      <c r="BO1140">
        <v>2025</v>
      </c>
      <c r="BP1140" t="s">
        <v>966</v>
      </c>
      <c r="BZ1140" t="s">
        <v>1513</v>
      </c>
      <c r="CA1140" t="s">
        <v>1513</v>
      </c>
      <c r="CB1140" t="b">
        <v>0</v>
      </c>
      <c r="CC1140" t="b">
        <v>0</v>
      </c>
      <c r="CD1140" t="b">
        <v>0</v>
      </c>
      <c r="CE1140" t="b">
        <v>0</v>
      </c>
      <c r="CF1140" t="b">
        <v>0</v>
      </c>
    </row>
    <row r="1141" spans="1:84" x14ac:dyDescent="0.3">
      <c r="A1141" t="s">
        <v>3506</v>
      </c>
      <c r="B1141" t="s">
        <v>1212</v>
      </c>
      <c r="C1141" s="98">
        <v>45761</v>
      </c>
      <c r="D1141">
        <v>2025</v>
      </c>
      <c r="E1141">
        <v>4</v>
      </c>
      <c r="F1141">
        <v>2</v>
      </c>
      <c r="G1141" t="s">
        <v>1208</v>
      </c>
      <c r="H1141" t="s">
        <v>146</v>
      </c>
      <c r="I1141" t="s">
        <v>146</v>
      </c>
      <c r="J1141" t="s">
        <v>6</v>
      </c>
      <c r="L1141">
        <v>522611</v>
      </c>
      <c r="M1141" s="99" t="s">
        <v>178</v>
      </c>
      <c r="N1141">
        <v>1</v>
      </c>
      <c r="O1141">
        <v>15</v>
      </c>
      <c r="P1141">
        <v>0.10340000000000001</v>
      </c>
      <c r="Q1141" t="s">
        <v>352</v>
      </c>
      <c r="R1141">
        <v>1</v>
      </c>
      <c r="S1141">
        <v>0.14299999999999999</v>
      </c>
      <c r="T1141">
        <v>2.9600000000000001E-2</v>
      </c>
      <c r="U1141">
        <v>-1.3378378378378373</v>
      </c>
      <c r="V1141">
        <v>5.4199999999999984E-2</v>
      </c>
      <c r="W1141">
        <v>8.3799999999999986E-2</v>
      </c>
      <c r="X1141">
        <v>0.11339999999999999</v>
      </c>
      <c r="Y1141">
        <v>0.17259999999999998</v>
      </c>
      <c r="Z1141">
        <v>0.20219999999999999</v>
      </c>
      <c r="AA1141">
        <v>0.23180000000000001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 t="s">
        <v>462</v>
      </c>
      <c r="AL1141" t="s">
        <v>6</v>
      </c>
      <c r="AM1141" t="s">
        <v>1145</v>
      </c>
      <c r="AN1141" t="s">
        <v>1146</v>
      </c>
      <c r="AO1141" s="100">
        <v>46262.040405092594</v>
      </c>
      <c r="AP1141" t="s">
        <v>1147</v>
      </c>
      <c r="AQ1141" t="s">
        <v>3507</v>
      </c>
      <c r="AR1141" t="s">
        <v>1215</v>
      </c>
      <c r="AS1141" t="s">
        <v>1150</v>
      </c>
      <c r="AT1141" t="s">
        <v>3479</v>
      </c>
      <c r="AU1141">
        <v>25</v>
      </c>
      <c r="AV1141">
        <v>0.14360800000000001</v>
      </c>
      <c r="AW1141">
        <v>3.3061041020109053E-2</v>
      </c>
      <c r="AX1141">
        <v>23.021726519489896</v>
      </c>
      <c r="AY1141">
        <v>-27.637556225222781</v>
      </c>
      <c r="AZ1141">
        <v>65.623404982381103</v>
      </c>
      <c r="BB1141" t="s">
        <v>4620</v>
      </c>
      <c r="BD1141" s="98"/>
      <c r="BE1141" s="98"/>
      <c r="BF1141" t="s">
        <v>1152</v>
      </c>
      <c r="BG1141" t="s">
        <v>322</v>
      </c>
      <c r="BH1141" t="s">
        <v>1153</v>
      </c>
      <c r="BI1141">
        <v>27.637556225222781</v>
      </c>
      <c r="BN1141" t="s">
        <v>1154</v>
      </c>
      <c r="BO1141">
        <v>2025</v>
      </c>
      <c r="BP1141" t="s">
        <v>966</v>
      </c>
      <c r="BZ1141" t="s">
        <v>1513</v>
      </c>
      <c r="CA1141" t="s">
        <v>1513</v>
      </c>
      <c r="CB1141" t="b">
        <v>0</v>
      </c>
      <c r="CC1141" t="b">
        <v>0</v>
      </c>
      <c r="CD1141" t="b">
        <v>0</v>
      </c>
      <c r="CE1141" t="b">
        <v>0</v>
      </c>
      <c r="CF1141" t="b">
        <v>0</v>
      </c>
    </row>
    <row r="1142" spans="1:84" x14ac:dyDescent="0.3">
      <c r="A1142" t="s">
        <v>3508</v>
      </c>
      <c r="B1142" t="s">
        <v>1217</v>
      </c>
      <c r="C1142" s="98">
        <v>45768</v>
      </c>
      <c r="D1142">
        <v>2025</v>
      </c>
      <c r="E1142">
        <v>4</v>
      </c>
      <c r="F1142">
        <v>2</v>
      </c>
      <c r="G1142" t="s">
        <v>1208</v>
      </c>
      <c r="H1142" t="s">
        <v>146</v>
      </c>
      <c r="I1142" t="s">
        <v>146</v>
      </c>
      <c r="J1142" t="s">
        <v>6</v>
      </c>
      <c r="L1142">
        <v>522611</v>
      </c>
      <c r="M1142" s="99" t="s">
        <v>178</v>
      </c>
      <c r="N1142">
        <v>1</v>
      </c>
      <c r="O1142">
        <v>16</v>
      </c>
      <c r="P1142">
        <v>0.1205</v>
      </c>
      <c r="Q1142" t="s">
        <v>352</v>
      </c>
      <c r="R1142">
        <v>1</v>
      </c>
      <c r="S1142">
        <v>0.14299999999999999</v>
      </c>
      <c r="T1142">
        <v>2.9600000000000001E-2</v>
      </c>
      <c r="U1142">
        <v>-0.76013513513513487</v>
      </c>
      <c r="V1142">
        <v>5.4199999999999984E-2</v>
      </c>
      <c r="W1142">
        <v>8.3799999999999986E-2</v>
      </c>
      <c r="X1142">
        <v>0.11339999999999999</v>
      </c>
      <c r="Y1142">
        <v>0.17259999999999998</v>
      </c>
      <c r="Z1142">
        <v>0.20219999999999999</v>
      </c>
      <c r="AA1142">
        <v>0.23180000000000001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 t="s">
        <v>462</v>
      </c>
      <c r="AL1142" t="s">
        <v>6</v>
      </c>
      <c r="AM1142" t="s">
        <v>1145</v>
      </c>
      <c r="AN1142" t="s">
        <v>1146</v>
      </c>
      <c r="AO1142" s="100">
        <v>46262.040405092594</v>
      </c>
      <c r="AP1142" t="s">
        <v>1147</v>
      </c>
      <c r="AQ1142" t="s">
        <v>3509</v>
      </c>
      <c r="AR1142" t="s">
        <v>1219</v>
      </c>
      <c r="AS1142" t="s">
        <v>1150</v>
      </c>
      <c r="AT1142" t="s">
        <v>3479</v>
      </c>
      <c r="AU1142">
        <v>25</v>
      </c>
      <c r="AV1142">
        <v>0.14360800000000001</v>
      </c>
      <c r="AW1142">
        <v>3.3061041020109053E-2</v>
      </c>
      <c r="AX1142">
        <v>23.021726519489896</v>
      </c>
      <c r="AY1142">
        <v>-27.637556225222781</v>
      </c>
      <c r="AZ1142">
        <v>65.623404982381103</v>
      </c>
      <c r="BB1142" t="s">
        <v>4620</v>
      </c>
      <c r="BD1142" s="98"/>
      <c r="BE1142" s="98"/>
      <c r="BF1142" t="s">
        <v>1152</v>
      </c>
      <c r="BG1142" t="s">
        <v>322</v>
      </c>
      <c r="BH1142" t="s">
        <v>1153</v>
      </c>
      <c r="BI1142">
        <v>27.637556225222781</v>
      </c>
      <c r="BN1142" t="s">
        <v>1154</v>
      </c>
      <c r="BO1142">
        <v>2025</v>
      </c>
      <c r="BP1142" t="s">
        <v>966</v>
      </c>
      <c r="BZ1142" t="s">
        <v>1513</v>
      </c>
      <c r="CA1142" t="s">
        <v>1513</v>
      </c>
      <c r="CB1142" t="b">
        <v>0</v>
      </c>
      <c r="CC1142" t="b">
        <v>0</v>
      </c>
      <c r="CD1142" t="b">
        <v>0</v>
      </c>
      <c r="CE1142" t="b">
        <v>0</v>
      </c>
      <c r="CF1142" t="b">
        <v>0</v>
      </c>
    </row>
    <row r="1143" spans="1:84" x14ac:dyDescent="0.3">
      <c r="A1143" t="s">
        <v>3510</v>
      </c>
      <c r="B1143" t="s">
        <v>1221</v>
      </c>
      <c r="C1143" s="98">
        <v>45775</v>
      </c>
      <c r="D1143">
        <v>2025</v>
      </c>
      <c r="E1143">
        <v>4</v>
      </c>
      <c r="F1143">
        <v>2</v>
      </c>
      <c r="G1143" t="s">
        <v>1208</v>
      </c>
      <c r="H1143" t="s">
        <v>146</v>
      </c>
      <c r="I1143" t="s">
        <v>146</v>
      </c>
      <c r="J1143" t="s">
        <v>6</v>
      </c>
      <c r="L1143">
        <v>522611</v>
      </c>
      <c r="M1143" s="99" t="s">
        <v>178</v>
      </c>
      <c r="N1143">
        <v>1</v>
      </c>
      <c r="O1143">
        <v>17</v>
      </c>
      <c r="P1143">
        <v>0.19570000000000001</v>
      </c>
      <c r="Q1143" t="s">
        <v>352</v>
      </c>
      <c r="R1143">
        <v>1</v>
      </c>
      <c r="S1143">
        <v>0.14299999999999999</v>
      </c>
      <c r="T1143">
        <v>2.9600000000000001E-2</v>
      </c>
      <c r="U1143">
        <v>1.7804054054054061</v>
      </c>
      <c r="V1143">
        <v>5.4199999999999984E-2</v>
      </c>
      <c r="W1143">
        <v>8.3799999999999986E-2</v>
      </c>
      <c r="X1143">
        <v>0.11339999999999999</v>
      </c>
      <c r="Y1143">
        <v>0.17259999999999998</v>
      </c>
      <c r="Z1143">
        <v>0.20219999999999999</v>
      </c>
      <c r="AA1143">
        <v>0.23180000000000001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 t="s">
        <v>462</v>
      </c>
      <c r="AL1143" t="s">
        <v>6</v>
      </c>
      <c r="AM1143" t="s">
        <v>1145</v>
      </c>
      <c r="AN1143" t="s">
        <v>1146</v>
      </c>
      <c r="AO1143" s="100">
        <v>46262.040405092594</v>
      </c>
      <c r="AP1143" t="s">
        <v>1147</v>
      </c>
      <c r="AQ1143" t="s">
        <v>3511</v>
      </c>
      <c r="AR1143" t="s">
        <v>1223</v>
      </c>
      <c r="AS1143" t="s">
        <v>1150</v>
      </c>
      <c r="AT1143" t="s">
        <v>3479</v>
      </c>
      <c r="AU1143">
        <v>25</v>
      </c>
      <c r="AV1143">
        <v>0.14360800000000001</v>
      </c>
      <c r="AW1143">
        <v>3.3061041020109053E-2</v>
      </c>
      <c r="AX1143">
        <v>23.021726519489896</v>
      </c>
      <c r="AY1143">
        <v>-27.637556225222781</v>
      </c>
      <c r="AZ1143">
        <v>65.623404982381103</v>
      </c>
      <c r="BB1143" t="s">
        <v>4620</v>
      </c>
      <c r="BD1143" s="98"/>
      <c r="BE1143" s="98"/>
      <c r="BF1143" t="s">
        <v>1152</v>
      </c>
      <c r="BG1143" t="s">
        <v>322</v>
      </c>
      <c r="BH1143" t="s">
        <v>1153</v>
      </c>
      <c r="BI1143">
        <v>27.637556225222781</v>
      </c>
      <c r="BN1143" t="s">
        <v>1154</v>
      </c>
      <c r="BO1143">
        <v>2025</v>
      </c>
      <c r="BP1143" t="s">
        <v>966</v>
      </c>
      <c r="BZ1143" t="s">
        <v>1513</v>
      </c>
      <c r="CA1143" t="s">
        <v>1513</v>
      </c>
      <c r="CB1143" t="b">
        <v>0</v>
      </c>
      <c r="CC1143" t="b">
        <v>0</v>
      </c>
      <c r="CD1143" t="b">
        <v>0</v>
      </c>
      <c r="CE1143" t="b">
        <v>0</v>
      </c>
      <c r="CF1143" t="b">
        <v>0</v>
      </c>
    </row>
    <row r="1144" spans="1:84" x14ac:dyDescent="0.3">
      <c r="A1144" t="s">
        <v>3512</v>
      </c>
      <c r="B1144" t="s">
        <v>1225</v>
      </c>
      <c r="C1144" s="98">
        <v>45782</v>
      </c>
      <c r="D1144">
        <v>2025</v>
      </c>
      <c r="E1144">
        <v>5</v>
      </c>
      <c r="F1144">
        <v>2</v>
      </c>
      <c r="G1144" t="s">
        <v>1226</v>
      </c>
      <c r="H1144" t="s">
        <v>146</v>
      </c>
      <c r="I1144" t="s">
        <v>146</v>
      </c>
      <c r="J1144" t="s">
        <v>6</v>
      </c>
      <c r="L1144">
        <v>522611</v>
      </c>
      <c r="M1144" s="99" t="s">
        <v>178</v>
      </c>
      <c r="N1144">
        <v>1</v>
      </c>
      <c r="O1144">
        <v>18</v>
      </c>
      <c r="P1144">
        <v>0.15240000000000001</v>
      </c>
      <c r="Q1144" t="s">
        <v>352</v>
      </c>
      <c r="R1144">
        <v>1</v>
      </c>
      <c r="S1144">
        <v>0.14299999999999999</v>
      </c>
      <c r="T1144">
        <v>2.9600000000000001E-2</v>
      </c>
      <c r="U1144">
        <v>0.31756756756756821</v>
      </c>
      <c r="V1144">
        <v>5.4199999999999984E-2</v>
      </c>
      <c r="W1144">
        <v>8.3799999999999986E-2</v>
      </c>
      <c r="X1144">
        <v>0.11339999999999999</v>
      </c>
      <c r="Y1144">
        <v>0.17259999999999998</v>
      </c>
      <c r="Z1144">
        <v>0.20219999999999999</v>
      </c>
      <c r="AA1144">
        <v>0.23180000000000001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 t="s">
        <v>462</v>
      </c>
      <c r="AL1144" t="s">
        <v>6</v>
      </c>
      <c r="AM1144" t="s">
        <v>1145</v>
      </c>
      <c r="AN1144" t="s">
        <v>1146</v>
      </c>
      <c r="AO1144" s="100">
        <v>46262.040405092594</v>
      </c>
      <c r="AP1144" t="s">
        <v>1147</v>
      </c>
      <c r="AQ1144" t="s">
        <v>3513</v>
      </c>
      <c r="AR1144" t="s">
        <v>1228</v>
      </c>
      <c r="AS1144" t="s">
        <v>1150</v>
      </c>
      <c r="AT1144" t="s">
        <v>3479</v>
      </c>
      <c r="AU1144">
        <v>25</v>
      </c>
      <c r="AV1144">
        <v>0.14360800000000001</v>
      </c>
      <c r="AW1144">
        <v>3.3061041020109053E-2</v>
      </c>
      <c r="AX1144">
        <v>23.021726519489896</v>
      </c>
      <c r="AY1144">
        <v>-27.637556225222781</v>
      </c>
      <c r="AZ1144">
        <v>65.623404982381103</v>
      </c>
      <c r="BB1144" t="s">
        <v>4620</v>
      </c>
      <c r="BD1144" s="98"/>
      <c r="BE1144" s="98"/>
      <c r="BF1144" t="s">
        <v>1152</v>
      </c>
      <c r="BG1144" t="s">
        <v>322</v>
      </c>
      <c r="BH1144" t="s">
        <v>1153</v>
      </c>
      <c r="BI1144">
        <v>27.637556225222781</v>
      </c>
      <c r="BN1144" t="s">
        <v>1154</v>
      </c>
      <c r="BO1144">
        <v>2025</v>
      </c>
      <c r="BP1144" t="s">
        <v>966</v>
      </c>
      <c r="BZ1144" t="s">
        <v>1513</v>
      </c>
      <c r="CA1144" t="s">
        <v>1513</v>
      </c>
      <c r="CB1144" t="b">
        <v>0</v>
      </c>
      <c r="CC1144" t="b">
        <v>0</v>
      </c>
      <c r="CD1144" t="b">
        <v>0</v>
      </c>
      <c r="CE1144" t="b">
        <v>0</v>
      </c>
      <c r="CF1144" t="b">
        <v>0</v>
      </c>
    </row>
    <row r="1145" spans="1:84" x14ac:dyDescent="0.3">
      <c r="A1145" t="s">
        <v>3514</v>
      </c>
      <c r="B1145" t="s">
        <v>1230</v>
      </c>
      <c r="C1145" s="98">
        <v>45789</v>
      </c>
      <c r="D1145">
        <v>2025</v>
      </c>
      <c r="E1145">
        <v>5</v>
      </c>
      <c r="F1145">
        <v>2</v>
      </c>
      <c r="G1145" t="s">
        <v>1226</v>
      </c>
      <c r="H1145" t="s">
        <v>146</v>
      </c>
      <c r="I1145" t="s">
        <v>146</v>
      </c>
      <c r="J1145" t="s">
        <v>6</v>
      </c>
      <c r="L1145">
        <v>522611</v>
      </c>
      <c r="M1145" s="99" t="s">
        <v>178</v>
      </c>
      <c r="N1145">
        <v>1</v>
      </c>
      <c r="O1145">
        <v>19</v>
      </c>
      <c r="P1145">
        <v>0.1431</v>
      </c>
      <c r="Q1145" t="s">
        <v>352</v>
      </c>
      <c r="R1145">
        <v>1</v>
      </c>
      <c r="S1145">
        <v>0.14299999999999999</v>
      </c>
      <c r="T1145">
        <v>2.9600000000000001E-2</v>
      </c>
      <c r="U1145">
        <v>3.3783783783789437E-3</v>
      </c>
      <c r="V1145">
        <v>5.4199999999999984E-2</v>
      </c>
      <c r="W1145">
        <v>8.3799999999999986E-2</v>
      </c>
      <c r="X1145">
        <v>0.11339999999999999</v>
      </c>
      <c r="Y1145">
        <v>0.17259999999999998</v>
      </c>
      <c r="Z1145">
        <v>0.20219999999999999</v>
      </c>
      <c r="AA1145">
        <v>0.23180000000000001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 t="s">
        <v>462</v>
      </c>
      <c r="AL1145" t="s">
        <v>6</v>
      </c>
      <c r="AM1145" t="s">
        <v>1145</v>
      </c>
      <c r="AN1145" t="s">
        <v>1146</v>
      </c>
      <c r="AO1145" s="100">
        <v>46262.040405092594</v>
      </c>
      <c r="AP1145" t="s">
        <v>1147</v>
      </c>
      <c r="AQ1145" t="s">
        <v>3515</v>
      </c>
      <c r="AR1145" t="s">
        <v>1232</v>
      </c>
      <c r="AS1145" t="s">
        <v>1150</v>
      </c>
      <c r="AT1145" t="s">
        <v>3479</v>
      </c>
      <c r="AU1145">
        <v>25</v>
      </c>
      <c r="AV1145">
        <v>0.14360800000000001</v>
      </c>
      <c r="AW1145">
        <v>3.3061041020109053E-2</v>
      </c>
      <c r="AX1145">
        <v>23.021726519489896</v>
      </c>
      <c r="AY1145">
        <v>-27.637556225222781</v>
      </c>
      <c r="AZ1145">
        <v>65.623404982381103</v>
      </c>
      <c r="BB1145" t="s">
        <v>4620</v>
      </c>
      <c r="BD1145" s="98"/>
      <c r="BE1145" s="98"/>
      <c r="BF1145" t="s">
        <v>1152</v>
      </c>
      <c r="BG1145" t="s">
        <v>322</v>
      </c>
      <c r="BH1145" t="s">
        <v>1153</v>
      </c>
      <c r="BI1145">
        <v>27.637556225222781</v>
      </c>
      <c r="BN1145" t="s">
        <v>1154</v>
      </c>
      <c r="BO1145">
        <v>2025</v>
      </c>
      <c r="BP1145" t="s">
        <v>966</v>
      </c>
      <c r="BZ1145" t="s">
        <v>1513</v>
      </c>
      <c r="CA1145" t="s">
        <v>1513</v>
      </c>
      <c r="CB1145" t="b">
        <v>0</v>
      </c>
      <c r="CC1145" t="b">
        <v>0</v>
      </c>
      <c r="CD1145" t="b">
        <v>0</v>
      </c>
      <c r="CE1145" t="b">
        <v>0</v>
      </c>
      <c r="CF1145" t="b">
        <v>0</v>
      </c>
    </row>
    <row r="1146" spans="1:84" x14ac:dyDescent="0.3">
      <c r="A1146" t="s">
        <v>3516</v>
      </c>
      <c r="B1146" t="s">
        <v>1234</v>
      </c>
      <c r="C1146" s="98">
        <v>45796</v>
      </c>
      <c r="D1146">
        <v>2025</v>
      </c>
      <c r="E1146">
        <v>5</v>
      </c>
      <c r="F1146">
        <v>2</v>
      </c>
      <c r="G1146" t="s">
        <v>1226</v>
      </c>
      <c r="H1146" t="s">
        <v>146</v>
      </c>
      <c r="I1146" t="s">
        <v>146</v>
      </c>
      <c r="J1146" t="s">
        <v>6</v>
      </c>
      <c r="L1146">
        <v>522611</v>
      </c>
      <c r="M1146" s="99" t="s">
        <v>178</v>
      </c>
      <c r="N1146">
        <v>1</v>
      </c>
      <c r="O1146">
        <v>20</v>
      </c>
      <c r="P1146">
        <v>0.17430000000000001</v>
      </c>
      <c r="Q1146" t="s">
        <v>352</v>
      </c>
      <c r="R1146">
        <v>1</v>
      </c>
      <c r="S1146">
        <v>0.14299999999999999</v>
      </c>
      <c r="T1146">
        <v>2.9600000000000001E-2</v>
      </c>
      <c r="U1146">
        <v>1.0574324324324331</v>
      </c>
      <c r="V1146">
        <v>5.4199999999999984E-2</v>
      </c>
      <c r="W1146">
        <v>8.3799999999999986E-2</v>
      </c>
      <c r="X1146">
        <v>0.11339999999999999</v>
      </c>
      <c r="Y1146">
        <v>0.17259999999999998</v>
      </c>
      <c r="Z1146">
        <v>0.20219999999999999</v>
      </c>
      <c r="AA1146">
        <v>0.23180000000000001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 t="s">
        <v>462</v>
      </c>
      <c r="AL1146" t="s">
        <v>6</v>
      </c>
      <c r="AM1146" t="s">
        <v>1145</v>
      </c>
      <c r="AN1146" t="s">
        <v>1146</v>
      </c>
      <c r="AO1146" s="100">
        <v>46262.040405092594</v>
      </c>
      <c r="AP1146" t="s">
        <v>1147</v>
      </c>
      <c r="AQ1146" t="s">
        <v>3517</v>
      </c>
      <c r="AR1146" t="s">
        <v>1236</v>
      </c>
      <c r="AS1146" t="s">
        <v>1150</v>
      </c>
      <c r="AT1146" t="s">
        <v>3479</v>
      </c>
      <c r="AU1146">
        <v>25</v>
      </c>
      <c r="AV1146">
        <v>0.14360800000000001</v>
      </c>
      <c r="AW1146">
        <v>3.3061041020109053E-2</v>
      </c>
      <c r="AX1146">
        <v>23.021726519489896</v>
      </c>
      <c r="AY1146">
        <v>-27.637556225222781</v>
      </c>
      <c r="AZ1146">
        <v>65.623404982381103</v>
      </c>
      <c r="BB1146" t="s">
        <v>4620</v>
      </c>
      <c r="BD1146" s="98"/>
      <c r="BE1146" s="98"/>
      <c r="BF1146" t="s">
        <v>1152</v>
      </c>
      <c r="BG1146" t="s">
        <v>322</v>
      </c>
      <c r="BH1146" t="s">
        <v>1153</v>
      </c>
      <c r="BI1146">
        <v>27.637556225222781</v>
      </c>
      <c r="BN1146" t="s">
        <v>1154</v>
      </c>
      <c r="BO1146">
        <v>2025</v>
      </c>
      <c r="BP1146" t="s">
        <v>966</v>
      </c>
      <c r="BZ1146" t="s">
        <v>1513</v>
      </c>
      <c r="CA1146" t="s">
        <v>1513</v>
      </c>
      <c r="CB1146" t="b">
        <v>0</v>
      </c>
      <c r="CC1146" t="b">
        <v>0</v>
      </c>
      <c r="CD1146" t="b">
        <v>0</v>
      </c>
      <c r="CE1146" t="b">
        <v>0</v>
      </c>
      <c r="CF1146" t="b">
        <v>0</v>
      </c>
    </row>
    <row r="1147" spans="1:84" x14ac:dyDescent="0.3">
      <c r="A1147" t="s">
        <v>3518</v>
      </c>
      <c r="B1147" t="s">
        <v>1238</v>
      </c>
      <c r="C1147" s="98">
        <v>45803</v>
      </c>
      <c r="D1147">
        <v>2025</v>
      </c>
      <c r="E1147">
        <v>5</v>
      </c>
      <c r="F1147">
        <v>2</v>
      </c>
      <c r="G1147" t="s">
        <v>1226</v>
      </c>
      <c r="H1147" t="s">
        <v>146</v>
      </c>
      <c r="I1147" t="s">
        <v>146</v>
      </c>
      <c r="J1147" t="s">
        <v>6</v>
      </c>
      <c r="L1147">
        <v>522611</v>
      </c>
      <c r="M1147" s="99" t="s">
        <v>178</v>
      </c>
      <c r="N1147">
        <v>1</v>
      </c>
      <c r="O1147">
        <v>21</v>
      </c>
      <c r="P1147">
        <v>0.21560000000000001</v>
      </c>
      <c r="Q1147" t="s">
        <v>352</v>
      </c>
      <c r="R1147">
        <v>1</v>
      </c>
      <c r="S1147">
        <v>0.14299999999999999</v>
      </c>
      <c r="T1147">
        <v>2.9600000000000001E-2</v>
      </c>
      <c r="U1147">
        <v>2.4527027027027035</v>
      </c>
      <c r="V1147">
        <v>5.4199999999999984E-2</v>
      </c>
      <c r="W1147">
        <v>8.3799999999999986E-2</v>
      </c>
      <c r="X1147">
        <v>0.11339999999999999</v>
      </c>
      <c r="Y1147">
        <v>0.17259999999999998</v>
      </c>
      <c r="Z1147">
        <v>0.20219999999999999</v>
      </c>
      <c r="AA1147">
        <v>0.23180000000000001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1</v>
      </c>
      <c r="AK1147" t="s">
        <v>462</v>
      </c>
      <c r="AL1147" t="s">
        <v>6</v>
      </c>
      <c r="AM1147" t="s">
        <v>1145</v>
      </c>
      <c r="AN1147" t="s">
        <v>1146</v>
      </c>
      <c r="AO1147" s="100">
        <v>46262.040405092594</v>
      </c>
      <c r="AP1147" t="s">
        <v>1147</v>
      </c>
      <c r="AQ1147" t="s">
        <v>3519</v>
      </c>
      <c r="AR1147" t="s">
        <v>1240</v>
      </c>
      <c r="AS1147" t="s">
        <v>1150</v>
      </c>
      <c r="AT1147" t="s">
        <v>3479</v>
      </c>
      <c r="AU1147">
        <v>25</v>
      </c>
      <c r="AV1147">
        <v>0.14360800000000001</v>
      </c>
      <c r="AW1147">
        <v>3.3061041020109053E-2</v>
      </c>
      <c r="AX1147">
        <v>23.021726519489896</v>
      </c>
      <c r="AY1147">
        <v>-27.637556225222781</v>
      </c>
      <c r="AZ1147">
        <v>65.623404982381103</v>
      </c>
      <c r="BB1147" t="s">
        <v>4620</v>
      </c>
      <c r="BD1147" s="98"/>
      <c r="BE1147" s="98"/>
      <c r="BF1147" t="s">
        <v>1152</v>
      </c>
      <c r="BG1147" t="s">
        <v>322</v>
      </c>
      <c r="BH1147" t="s">
        <v>1153</v>
      </c>
      <c r="BI1147">
        <v>27.637556225222781</v>
      </c>
      <c r="BN1147" t="s">
        <v>1154</v>
      </c>
      <c r="BO1147">
        <v>2025</v>
      </c>
      <c r="BP1147" t="s">
        <v>966</v>
      </c>
      <c r="BZ1147" t="s">
        <v>1513</v>
      </c>
      <c r="CA1147" t="s">
        <v>1513</v>
      </c>
      <c r="CB1147" t="b">
        <v>0</v>
      </c>
      <c r="CC1147" t="b">
        <v>0</v>
      </c>
      <c r="CD1147" t="b">
        <v>0</v>
      </c>
      <c r="CE1147" t="b">
        <v>0</v>
      </c>
      <c r="CF1147" t="b">
        <v>0</v>
      </c>
    </row>
    <row r="1148" spans="1:84" x14ac:dyDescent="0.3">
      <c r="A1148" t="s">
        <v>3520</v>
      </c>
      <c r="B1148" t="s">
        <v>1242</v>
      </c>
      <c r="C1148" s="98">
        <v>45810</v>
      </c>
      <c r="D1148">
        <v>2025</v>
      </c>
      <c r="E1148">
        <v>6</v>
      </c>
      <c r="F1148">
        <v>2</v>
      </c>
      <c r="G1148" t="s">
        <v>1243</v>
      </c>
      <c r="H1148" t="s">
        <v>146</v>
      </c>
      <c r="I1148" t="s">
        <v>146</v>
      </c>
      <c r="J1148" t="s">
        <v>6</v>
      </c>
      <c r="L1148">
        <v>522611</v>
      </c>
      <c r="M1148" s="99" t="s">
        <v>178</v>
      </c>
      <c r="N1148">
        <v>1</v>
      </c>
      <c r="O1148">
        <v>22</v>
      </c>
      <c r="P1148">
        <v>0.18140000000000001</v>
      </c>
      <c r="Q1148" t="s">
        <v>352</v>
      </c>
      <c r="R1148">
        <v>1</v>
      </c>
      <c r="S1148">
        <v>0.14299999999999999</v>
      </c>
      <c r="T1148">
        <v>2.9600000000000001E-2</v>
      </c>
      <c r="U1148">
        <v>1.2972972972972978</v>
      </c>
      <c r="V1148">
        <v>5.4199999999999984E-2</v>
      </c>
      <c r="W1148">
        <v>8.3799999999999986E-2</v>
      </c>
      <c r="X1148">
        <v>0.11339999999999999</v>
      </c>
      <c r="Y1148">
        <v>0.17259999999999998</v>
      </c>
      <c r="Z1148">
        <v>0.20219999999999999</v>
      </c>
      <c r="AA1148">
        <v>0.23180000000000001</v>
      </c>
      <c r="AE1148">
        <v>0</v>
      </c>
      <c r="AF1148">
        <v>0</v>
      </c>
      <c r="AG1148">
        <v>0</v>
      </c>
      <c r="AH1148">
        <v>0</v>
      </c>
      <c r="AI1148">
        <v>1</v>
      </c>
      <c r="AJ1148">
        <v>0</v>
      </c>
      <c r="AK1148" t="s">
        <v>1213</v>
      </c>
      <c r="AL1148" t="s">
        <v>6</v>
      </c>
      <c r="AM1148" t="s">
        <v>1145</v>
      </c>
      <c r="AN1148" t="s">
        <v>1146</v>
      </c>
      <c r="AO1148" s="100">
        <v>46262.040405092594</v>
      </c>
      <c r="AP1148" t="s">
        <v>1147</v>
      </c>
      <c r="AQ1148" t="s">
        <v>3521</v>
      </c>
      <c r="AR1148" t="s">
        <v>1245</v>
      </c>
      <c r="AS1148" t="s">
        <v>1150</v>
      </c>
      <c r="AT1148" t="s">
        <v>3479</v>
      </c>
      <c r="AU1148">
        <v>25</v>
      </c>
      <c r="AV1148">
        <v>0.14360800000000001</v>
      </c>
      <c r="AW1148">
        <v>3.3061041020109053E-2</v>
      </c>
      <c r="AX1148">
        <v>23.021726519489896</v>
      </c>
      <c r="AY1148">
        <v>-27.637556225222781</v>
      </c>
      <c r="AZ1148">
        <v>65.623404982381103</v>
      </c>
      <c r="BB1148" t="s">
        <v>4620</v>
      </c>
      <c r="BD1148" s="98"/>
      <c r="BE1148" s="98"/>
      <c r="BF1148" t="s">
        <v>1152</v>
      </c>
      <c r="BG1148" t="s">
        <v>322</v>
      </c>
      <c r="BH1148" t="s">
        <v>1153</v>
      </c>
      <c r="BI1148">
        <v>27.637556225222781</v>
      </c>
      <c r="BN1148" t="s">
        <v>1154</v>
      </c>
      <c r="BO1148">
        <v>2025</v>
      </c>
      <c r="BP1148" t="s">
        <v>966</v>
      </c>
      <c r="BZ1148" t="s">
        <v>1513</v>
      </c>
      <c r="CA1148" t="s">
        <v>1513</v>
      </c>
      <c r="CB1148" t="b">
        <v>0</v>
      </c>
      <c r="CC1148" t="b">
        <v>0</v>
      </c>
      <c r="CD1148" t="b">
        <v>0</v>
      </c>
      <c r="CE1148" t="b">
        <v>0</v>
      </c>
      <c r="CF1148" t="b">
        <v>0</v>
      </c>
    </row>
    <row r="1149" spans="1:84" x14ac:dyDescent="0.3">
      <c r="A1149" t="s">
        <v>3522</v>
      </c>
      <c r="B1149" t="s">
        <v>1247</v>
      </c>
      <c r="C1149" s="98">
        <v>45817</v>
      </c>
      <c r="D1149">
        <v>2025</v>
      </c>
      <c r="E1149">
        <v>6</v>
      </c>
      <c r="F1149">
        <v>2</v>
      </c>
      <c r="G1149" t="s">
        <v>1243</v>
      </c>
      <c r="H1149" t="s">
        <v>146</v>
      </c>
      <c r="I1149" t="s">
        <v>146</v>
      </c>
      <c r="J1149" t="s">
        <v>6</v>
      </c>
      <c r="L1149">
        <v>522611</v>
      </c>
      <c r="M1149" s="99" t="s">
        <v>178</v>
      </c>
      <c r="N1149">
        <v>1</v>
      </c>
      <c r="O1149">
        <v>23</v>
      </c>
      <c r="P1149">
        <v>0.14710000000000001</v>
      </c>
      <c r="Q1149" t="s">
        <v>352</v>
      </c>
      <c r="R1149">
        <v>1</v>
      </c>
      <c r="S1149">
        <v>0.14299999999999999</v>
      </c>
      <c r="T1149">
        <v>2.9600000000000001E-2</v>
      </c>
      <c r="U1149">
        <v>0.13851351351351418</v>
      </c>
      <c r="V1149">
        <v>5.4199999999999984E-2</v>
      </c>
      <c r="W1149">
        <v>8.3799999999999986E-2</v>
      </c>
      <c r="X1149">
        <v>0.11339999999999999</v>
      </c>
      <c r="Y1149">
        <v>0.17259999999999998</v>
      </c>
      <c r="Z1149">
        <v>0.20219999999999999</v>
      </c>
      <c r="AA1149">
        <v>0.23180000000000001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 t="s">
        <v>462</v>
      </c>
      <c r="AL1149" t="s">
        <v>6</v>
      </c>
      <c r="AM1149" t="s">
        <v>1145</v>
      </c>
      <c r="AN1149" t="s">
        <v>1146</v>
      </c>
      <c r="AO1149" s="100">
        <v>46262.040405092594</v>
      </c>
      <c r="AP1149" t="s">
        <v>1147</v>
      </c>
      <c r="AQ1149" t="s">
        <v>3523</v>
      </c>
      <c r="AR1149" t="s">
        <v>1249</v>
      </c>
      <c r="AS1149" t="s">
        <v>1150</v>
      </c>
      <c r="AT1149" t="s">
        <v>3479</v>
      </c>
      <c r="AU1149">
        <v>25</v>
      </c>
      <c r="AV1149">
        <v>0.14360800000000001</v>
      </c>
      <c r="AW1149">
        <v>3.3061041020109053E-2</v>
      </c>
      <c r="AX1149">
        <v>23.021726519489896</v>
      </c>
      <c r="AY1149">
        <v>-27.637556225222781</v>
      </c>
      <c r="AZ1149">
        <v>65.623404982381103</v>
      </c>
      <c r="BB1149" t="s">
        <v>4620</v>
      </c>
      <c r="BD1149" s="98"/>
      <c r="BE1149" s="98"/>
      <c r="BF1149" t="s">
        <v>1152</v>
      </c>
      <c r="BG1149" t="s">
        <v>322</v>
      </c>
      <c r="BH1149" t="s">
        <v>1153</v>
      </c>
      <c r="BI1149">
        <v>27.637556225222781</v>
      </c>
      <c r="BN1149" t="s">
        <v>1154</v>
      </c>
      <c r="BO1149">
        <v>2025</v>
      </c>
      <c r="BP1149" t="s">
        <v>966</v>
      </c>
      <c r="BZ1149" t="s">
        <v>1513</v>
      </c>
      <c r="CA1149" t="s">
        <v>1513</v>
      </c>
      <c r="CB1149" t="b">
        <v>0</v>
      </c>
      <c r="CC1149" t="b">
        <v>0</v>
      </c>
      <c r="CD1149" t="b">
        <v>0</v>
      </c>
      <c r="CE1149" t="b">
        <v>0</v>
      </c>
      <c r="CF1149" t="b">
        <v>0</v>
      </c>
    </row>
    <row r="1150" spans="1:84" x14ac:dyDescent="0.3">
      <c r="A1150" t="s">
        <v>3524</v>
      </c>
      <c r="B1150" t="s">
        <v>1251</v>
      </c>
      <c r="C1150" s="98">
        <v>45824</v>
      </c>
      <c r="D1150">
        <v>2025</v>
      </c>
      <c r="E1150">
        <v>6</v>
      </c>
      <c r="F1150">
        <v>2</v>
      </c>
      <c r="G1150" t="s">
        <v>1243</v>
      </c>
      <c r="H1150" t="s">
        <v>146</v>
      </c>
      <c r="I1150" t="s">
        <v>146</v>
      </c>
      <c r="J1150" t="s">
        <v>6</v>
      </c>
      <c r="L1150">
        <v>522611</v>
      </c>
      <c r="M1150" s="99" t="s">
        <v>178</v>
      </c>
      <c r="N1150">
        <v>1</v>
      </c>
      <c r="O1150">
        <v>24</v>
      </c>
      <c r="P1150">
        <v>0.1535</v>
      </c>
      <c r="Q1150" t="s">
        <v>352</v>
      </c>
      <c r="R1150">
        <v>1</v>
      </c>
      <c r="S1150">
        <v>0.14299999999999999</v>
      </c>
      <c r="T1150">
        <v>2.9600000000000001E-2</v>
      </c>
      <c r="U1150">
        <v>0.35472972972973005</v>
      </c>
      <c r="V1150">
        <v>5.4199999999999984E-2</v>
      </c>
      <c r="W1150">
        <v>8.3799999999999986E-2</v>
      </c>
      <c r="X1150">
        <v>0.11339999999999999</v>
      </c>
      <c r="Y1150">
        <v>0.17259999999999998</v>
      </c>
      <c r="Z1150">
        <v>0.20219999999999999</v>
      </c>
      <c r="AA1150">
        <v>0.23180000000000001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 t="s">
        <v>462</v>
      </c>
      <c r="AL1150" t="s">
        <v>6</v>
      </c>
      <c r="AM1150" t="s">
        <v>1145</v>
      </c>
      <c r="AN1150" t="s">
        <v>1146</v>
      </c>
      <c r="AO1150" s="100">
        <v>46262.040405092594</v>
      </c>
      <c r="AP1150" t="s">
        <v>1147</v>
      </c>
      <c r="AQ1150" t="s">
        <v>3525</v>
      </c>
      <c r="AR1150" t="s">
        <v>1253</v>
      </c>
      <c r="AS1150" t="s">
        <v>1150</v>
      </c>
      <c r="AT1150" t="s">
        <v>3479</v>
      </c>
      <c r="AU1150">
        <v>25</v>
      </c>
      <c r="AV1150">
        <v>0.14360800000000001</v>
      </c>
      <c r="AW1150">
        <v>3.3061041020109053E-2</v>
      </c>
      <c r="AX1150">
        <v>23.021726519489896</v>
      </c>
      <c r="AY1150">
        <v>-27.637556225222781</v>
      </c>
      <c r="AZ1150">
        <v>65.623404982381103</v>
      </c>
      <c r="BB1150" t="s">
        <v>4620</v>
      </c>
      <c r="BD1150" s="98"/>
      <c r="BE1150" s="98"/>
      <c r="BF1150" t="s">
        <v>1152</v>
      </c>
      <c r="BG1150" t="s">
        <v>322</v>
      </c>
      <c r="BH1150" t="s">
        <v>1153</v>
      </c>
      <c r="BI1150">
        <v>27.637556225222781</v>
      </c>
      <c r="BN1150" t="s">
        <v>1154</v>
      </c>
      <c r="BO1150">
        <v>2025</v>
      </c>
      <c r="BP1150" t="s">
        <v>966</v>
      </c>
      <c r="BZ1150" t="s">
        <v>1513</v>
      </c>
      <c r="CA1150" t="s">
        <v>1513</v>
      </c>
      <c r="CB1150" t="b">
        <v>0</v>
      </c>
      <c r="CC1150" t="b">
        <v>0</v>
      </c>
      <c r="CD1150" t="b">
        <v>0</v>
      </c>
      <c r="CE1150" t="b">
        <v>0</v>
      </c>
      <c r="CF1150" t="b">
        <v>0</v>
      </c>
    </row>
    <row r="1151" spans="1:84" x14ac:dyDescent="0.3">
      <c r="A1151" t="s">
        <v>3526</v>
      </c>
      <c r="B1151" t="s">
        <v>1255</v>
      </c>
      <c r="C1151" s="98">
        <v>45831</v>
      </c>
      <c r="D1151">
        <v>2025</v>
      </c>
      <c r="E1151">
        <v>6</v>
      </c>
      <c r="F1151">
        <v>2</v>
      </c>
      <c r="G1151" t="s">
        <v>1243</v>
      </c>
      <c r="H1151" t="s">
        <v>146</v>
      </c>
      <c r="I1151" t="s">
        <v>146</v>
      </c>
      <c r="J1151" t="s">
        <v>6</v>
      </c>
      <c r="L1151">
        <v>522611</v>
      </c>
      <c r="M1151" s="99" t="s">
        <v>178</v>
      </c>
      <c r="N1151">
        <v>1</v>
      </c>
      <c r="O1151">
        <v>25</v>
      </c>
      <c r="P1151">
        <v>0.1613</v>
      </c>
      <c r="Q1151" t="s">
        <v>352</v>
      </c>
      <c r="R1151">
        <v>1</v>
      </c>
      <c r="S1151">
        <v>0.14299999999999999</v>
      </c>
      <c r="T1151">
        <v>2.9600000000000001E-2</v>
      </c>
      <c r="U1151">
        <v>0.61824324324324353</v>
      </c>
      <c r="V1151">
        <v>5.4199999999999984E-2</v>
      </c>
      <c r="W1151">
        <v>8.3799999999999986E-2</v>
      </c>
      <c r="X1151">
        <v>0.11339999999999999</v>
      </c>
      <c r="Y1151">
        <v>0.17259999999999998</v>
      </c>
      <c r="Z1151">
        <v>0.20219999999999999</v>
      </c>
      <c r="AA1151">
        <v>0.23180000000000001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 t="s">
        <v>462</v>
      </c>
      <c r="AL1151" t="s">
        <v>6</v>
      </c>
      <c r="AM1151" t="s">
        <v>1145</v>
      </c>
      <c r="AN1151" t="s">
        <v>1146</v>
      </c>
      <c r="AO1151" s="100">
        <v>46262.040405092594</v>
      </c>
      <c r="AP1151" t="s">
        <v>1147</v>
      </c>
      <c r="AQ1151" t="s">
        <v>3527</v>
      </c>
      <c r="AR1151" t="s">
        <v>1257</v>
      </c>
      <c r="AS1151" t="s">
        <v>1150</v>
      </c>
      <c r="AT1151" t="s">
        <v>3479</v>
      </c>
      <c r="AU1151">
        <v>25</v>
      </c>
      <c r="AV1151">
        <v>0.14360800000000001</v>
      </c>
      <c r="AW1151">
        <v>3.3061041020109053E-2</v>
      </c>
      <c r="AX1151">
        <v>23.021726519489896</v>
      </c>
      <c r="AY1151">
        <v>-27.637556225222781</v>
      </c>
      <c r="AZ1151">
        <v>65.623404982381103</v>
      </c>
      <c r="BB1151" t="s">
        <v>4620</v>
      </c>
      <c r="BD1151" s="98"/>
      <c r="BE1151" s="98"/>
      <c r="BF1151" t="s">
        <v>1152</v>
      </c>
      <c r="BG1151" t="s">
        <v>322</v>
      </c>
      <c r="BH1151" t="s">
        <v>1153</v>
      </c>
      <c r="BI1151">
        <v>27.637556225222781</v>
      </c>
      <c r="BN1151" t="s">
        <v>1154</v>
      </c>
      <c r="BO1151">
        <v>2025</v>
      </c>
      <c r="BP1151" t="s">
        <v>966</v>
      </c>
      <c r="BZ1151" t="s">
        <v>1513</v>
      </c>
      <c r="CA1151" t="s">
        <v>1513</v>
      </c>
      <c r="CB1151" t="b">
        <v>0</v>
      </c>
      <c r="CC1151" t="b">
        <v>0</v>
      </c>
      <c r="CD1151" t="b">
        <v>0</v>
      </c>
      <c r="CE1151" t="b">
        <v>0</v>
      </c>
      <c r="CF1151" t="b">
        <v>0</v>
      </c>
    </row>
    <row r="1152" spans="1:84" x14ac:dyDescent="0.3">
      <c r="A1152" t="s">
        <v>3528</v>
      </c>
      <c r="B1152" t="s">
        <v>1143</v>
      </c>
      <c r="C1152" s="98">
        <v>45663</v>
      </c>
      <c r="D1152">
        <v>2025</v>
      </c>
      <c r="E1152">
        <v>1</v>
      </c>
      <c r="F1152">
        <v>1</v>
      </c>
      <c r="G1152" t="s">
        <v>1144</v>
      </c>
      <c r="H1152" t="s">
        <v>146</v>
      </c>
      <c r="I1152" t="s">
        <v>146</v>
      </c>
      <c r="J1152" t="s">
        <v>6</v>
      </c>
      <c r="L1152">
        <v>522611</v>
      </c>
      <c r="M1152" s="99" t="s">
        <v>179</v>
      </c>
      <c r="N1152">
        <v>2</v>
      </c>
      <c r="O1152">
        <v>1</v>
      </c>
      <c r="P1152">
        <v>0.41160000000000002</v>
      </c>
      <c r="Q1152" t="s">
        <v>352</v>
      </c>
      <c r="R1152">
        <v>1</v>
      </c>
      <c r="S1152">
        <v>0.4224</v>
      </c>
      <c r="T1152">
        <v>1.77E-2</v>
      </c>
      <c r="U1152">
        <v>-0.61016949152542233</v>
      </c>
      <c r="V1152">
        <v>0.36930000000000002</v>
      </c>
      <c r="W1152">
        <v>0.38700000000000001</v>
      </c>
      <c r="X1152">
        <v>0.4047</v>
      </c>
      <c r="Y1152">
        <v>0.44009999999999999</v>
      </c>
      <c r="Z1152">
        <v>0.45779999999999998</v>
      </c>
      <c r="AA1152">
        <v>0.47549999999999998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 t="s">
        <v>462</v>
      </c>
      <c r="AL1152" t="s">
        <v>6</v>
      </c>
      <c r="AM1152" t="s">
        <v>1145</v>
      </c>
      <c r="AN1152" t="s">
        <v>1146</v>
      </c>
      <c r="AO1152" s="100">
        <v>46262.040405092594</v>
      </c>
      <c r="AP1152" t="s">
        <v>1147</v>
      </c>
      <c r="AQ1152" t="s">
        <v>3529</v>
      </c>
      <c r="AR1152" t="s">
        <v>1149</v>
      </c>
      <c r="AS1152" t="s">
        <v>1150</v>
      </c>
      <c r="AT1152" t="s">
        <v>3479</v>
      </c>
      <c r="AU1152">
        <v>25</v>
      </c>
      <c r="AV1152">
        <v>0.41771199999999992</v>
      </c>
      <c r="AW1152">
        <v>1.5328848619514772E-2</v>
      </c>
      <c r="AX1152">
        <v>3.6697170824670526</v>
      </c>
      <c r="AY1152">
        <v>-27.637556225222781</v>
      </c>
      <c r="AZ1152">
        <v>33.692589411293419</v>
      </c>
      <c r="BB1152" t="s">
        <v>4620</v>
      </c>
      <c r="BD1152" s="98"/>
      <c r="BE1152" s="98"/>
      <c r="BF1152" t="s">
        <v>1152</v>
      </c>
      <c r="BG1152" t="s">
        <v>322</v>
      </c>
      <c r="BH1152" t="s">
        <v>1153</v>
      </c>
      <c r="BI1152">
        <v>27.637556225222781</v>
      </c>
      <c r="BN1152" t="s">
        <v>1154</v>
      </c>
      <c r="BO1152">
        <v>2025</v>
      </c>
      <c r="BP1152" t="s">
        <v>966</v>
      </c>
      <c r="BZ1152" t="s">
        <v>1513</v>
      </c>
      <c r="CA1152" t="s">
        <v>1513</v>
      </c>
      <c r="CB1152" t="b">
        <v>0</v>
      </c>
      <c r="CC1152" t="b">
        <v>0</v>
      </c>
      <c r="CD1152" t="b">
        <v>0</v>
      </c>
      <c r="CE1152" t="b">
        <v>0</v>
      </c>
      <c r="CF1152" t="b">
        <v>0</v>
      </c>
    </row>
    <row r="1153" spans="1:84" x14ac:dyDescent="0.3">
      <c r="A1153" t="s">
        <v>3530</v>
      </c>
      <c r="B1153" t="s">
        <v>1157</v>
      </c>
      <c r="C1153" s="98">
        <v>45670</v>
      </c>
      <c r="D1153">
        <v>2025</v>
      </c>
      <c r="E1153">
        <v>1</v>
      </c>
      <c r="F1153">
        <v>1</v>
      </c>
      <c r="G1153" t="s">
        <v>1144</v>
      </c>
      <c r="H1153" t="s">
        <v>146</v>
      </c>
      <c r="I1153" t="s">
        <v>146</v>
      </c>
      <c r="J1153" t="s">
        <v>6</v>
      </c>
      <c r="L1153">
        <v>522611</v>
      </c>
      <c r="M1153" s="99" t="s">
        <v>179</v>
      </c>
      <c r="N1153">
        <v>2</v>
      </c>
      <c r="O1153">
        <v>2</v>
      </c>
      <c r="P1153">
        <v>0.4037</v>
      </c>
      <c r="Q1153" t="s">
        <v>352</v>
      </c>
      <c r="R1153">
        <v>1</v>
      </c>
      <c r="S1153">
        <v>0.4224</v>
      </c>
      <c r="T1153">
        <v>1.77E-2</v>
      </c>
      <c r="U1153">
        <v>-1.0564971751412426</v>
      </c>
      <c r="V1153">
        <v>0.36930000000000002</v>
      </c>
      <c r="W1153">
        <v>0.38700000000000001</v>
      </c>
      <c r="X1153">
        <v>0.4047</v>
      </c>
      <c r="Y1153">
        <v>0.44009999999999999</v>
      </c>
      <c r="Z1153">
        <v>0.45779999999999998</v>
      </c>
      <c r="AA1153">
        <v>0.47549999999999998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 t="s">
        <v>462</v>
      </c>
      <c r="AL1153" t="s">
        <v>6</v>
      </c>
      <c r="AM1153" t="s">
        <v>1145</v>
      </c>
      <c r="AN1153" t="s">
        <v>1146</v>
      </c>
      <c r="AO1153" s="100">
        <v>46262.040405092594</v>
      </c>
      <c r="AP1153" t="s">
        <v>1147</v>
      </c>
      <c r="AQ1153" t="s">
        <v>3531</v>
      </c>
      <c r="AR1153" t="s">
        <v>1159</v>
      </c>
      <c r="AS1153" t="s">
        <v>1150</v>
      </c>
      <c r="AT1153" t="s">
        <v>3479</v>
      </c>
      <c r="AU1153">
        <v>25</v>
      </c>
      <c r="AV1153">
        <v>0.41771199999999992</v>
      </c>
      <c r="AW1153">
        <v>1.5328848619514772E-2</v>
      </c>
      <c r="AX1153">
        <v>3.6697170824670526</v>
      </c>
      <c r="AY1153">
        <v>-27.637556225222781</v>
      </c>
      <c r="AZ1153">
        <v>33.692589411293419</v>
      </c>
      <c r="BB1153" t="s">
        <v>4620</v>
      </c>
      <c r="BD1153" s="98"/>
      <c r="BE1153" s="98"/>
      <c r="BF1153" t="s">
        <v>1152</v>
      </c>
      <c r="BG1153" t="s">
        <v>322</v>
      </c>
      <c r="BH1153" t="s">
        <v>1153</v>
      </c>
      <c r="BI1153">
        <v>27.637556225222781</v>
      </c>
      <c r="BN1153" t="s">
        <v>1154</v>
      </c>
      <c r="BO1153">
        <v>2025</v>
      </c>
      <c r="BP1153" t="s">
        <v>966</v>
      </c>
      <c r="BZ1153" t="s">
        <v>1513</v>
      </c>
      <c r="CA1153" t="s">
        <v>1513</v>
      </c>
      <c r="CB1153" t="b">
        <v>0</v>
      </c>
      <c r="CC1153" t="b">
        <v>0</v>
      </c>
      <c r="CD1153" t="b">
        <v>0</v>
      </c>
      <c r="CE1153" t="b">
        <v>0</v>
      </c>
      <c r="CF1153" t="b">
        <v>0</v>
      </c>
    </row>
    <row r="1154" spans="1:84" x14ac:dyDescent="0.3">
      <c r="A1154" t="s">
        <v>3532</v>
      </c>
      <c r="B1154" t="s">
        <v>1161</v>
      </c>
      <c r="C1154" s="98">
        <v>45677</v>
      </c>
      <c r="D1154">
        <v>2025</v>
      </c>
      <c r="E1154">
        <v>1</v>
      </c>
      <c r="F1154">
        <v>1</v>
      </c>
      <c r="G1154" t="s">
        <v>1144</v>
      </c>
      <c r="H1154" t="s">
        <v>146</v>
      </c>
      <c r="I1154" t="s">
        <v>146</v>
      </c>
      <c r="J1154" t="s">
        <v>6</v>
      </c>
      <c r="L1154">
        <v>522611</v>
      </c>
      <c r="M1154" s="99" t="s">
        <v>179</v>
      </c>
      <c r="N1154">
        <v>2</v>
      </c>
      <c r="O1154">
        <v>3</v>
      </c>
      <c r="P1154">
        <v>0.42330000000000001</v>
      </c>
      <c r="Q1154" t="s">
        <v>352</v>
      </c>
      <c r="R1154">
        <v>1</v>
      </c>
      <c r="S1154">
        <v>0.4224</v>
      </c>
      <c r="T1154">
        <v>1.77E-2</v>
      </c>
      <c r="U1154">
        <v>5.0847457627119313E-2</v>
      </c>
      <c r="V1154">
        <v>0.36930000000000002</v>
      </c>
      <c r="W1154">
        <v>0.38700000000000001</v>
      </c>
      <c r="X1154">
        <v>0.4047</v>
      </c>
      <c r="Y1154">
        <v>0.44009999999999999</v>
      </c>
      <c r="Z1154">
        <v>0.45779999999999998</v>
      </c>
      <c r="AA1154">
        <v>0.47549999999999998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 t="s">
        <v>462</v>
      </c>
      <c r="AL1154" t="s">
        <v>6</v>
      </c>
      <c r="AM1154" t="s">
        <v>1145</v>
      </c>
      <c r="AN1154" t="s">
        <v>1146</v>
      </c>
      <c r="AO1154" s="100">
        <v>46262.040405092594</v>
      </c>
      <c r="AP1154" t="s">
        <v>1147</v>
      </c>
      <c r="AQ1154" t="s">
        <v>3533</v>
      </c>
      <c r="AR1154" t="s">
        <v>1163</v>
      </c>
      <c r="AS1154" t="s">
        <v>1150</v>
      </c>
      <c r="AT1154" t="s">
        <v>3479</v>
      </c>
      <c r="AU1154">
        <v>25</v>
      </c>
      <c r="AV1154">
        <v>0.41771199999999992</v>
      </c>
      <c r="AW1154">
        <v>1.5328848619514772E-2</v>
      </c>
      <c r="AX1154">
        <v>3.6697170824670526</v>
      </c>
      <c r="AY1154">
        <v>-27.637556225222781</v>
      </c>
      <c r="AZ1154">
        <v>33.692589411293419</v>
      </c>
      <c r="BB1154" t="s">
        <v>4620</v>
      </c>
      <c r="BD1154" s="98"/>
      <c r="BE1154" s="98"/>
      <c r="BF1154" t="s">
        <v>1152</v>
      </c>
      <c r="BG1154" t="s">
        <v>322</v>
      </c>
      <c r="BH1154" t="s">
        <v>1153</v>
      </c>
      <c r="BI1154">
        <v>27.637556225222781</v>
      </c>
      <c r="BN1154" t="s">
        <v>1154</v>
      </c>
      <c r="BO1154">
        <v>2025</v>
      </c>
      <c r="BP1154" t="s">
        <v>966</v>
      </c>
      <c r="BZ1154" t="s">
        <v>1513</v>
      </c>
      <c r="CA1154" t="s">
        <v>1513</v>
      </c>
      <c r="CB1154" t="b">
        <v>0</v>
      </c>
      <c r="CC1154" t="b">
        <v>0</v>
      </c>
      <c r="CD1154" t="b">
        <v>0</v>
      </c>
      <c r="CE1154" t="b">
        <v>0</v>
      </c>
      <c r="CF1154" t="b">
        <v>0</v>
      </c>
    </row>
    <row r="1155" spans="1:84" x14ac:dyDescent="0.3">
      <c r="A1155" t="s">
        <v>3534</v>
      </c>
      <c r="B1155" t="s">
        <v>1165</v>
      </c>
      <c r="C1155" s="98">
        <v>45684</v>
      </c>
      <c r="D1155">
        <v>2025</v>
      </c>
      <c r="E1155">
        <v>1</v>
      </c>
      <c r="F1155">
        <v>1</v>
      </c>
      <c r="G1155" t="s">
        <v>1144</v>
      </c>
      <c r="H1155" t="s">
        <v>146</v>
      </c>
      <c r="I1155" t="s">
        <v>146</v>
      </c>
      <c r="J1155" t="s">
        <v>6</v>
      </c>
      <c r="L1155">
        <v>522611</v>
      </c>
      <c r="M1155" s="99" t="s">
        <v>179</v>
      </c>
      <c r="N1155">
        <v>2</v>
      </c>
      <c r="O1155">
        <v>4</v>
      </c>
      <c r="P1155">
        <v>0.40570000000000001</v>
      </c>
      <c r="Q1155" t="s">
        <v>352</v>
      </c>
      <c r="R1155">
        <v>1</v>
      </c>
      <c r="S1155">
        <v>0.4224</v>
      </c>
      <c r="T1155">
        <v>1.77E-2</v>
      </c>
      <c r="U1155">
        <v>-0.94350282485875658</v>
      </c>
      <c r="V1155">
        <v>0.36930000000000002</v>
      </c>
      <c r="W1155">
        <v>0.38700000000000001</v>
      </c>
      <c r="X1155">
        <v>0.4047</v>
      </c>
      <c r="Y1155">
        <v>0.44009999999999999</v>
      </c>
      <c r="Z1155">
        <v>0.45779999999999998</v>
      </c>
      <c r="AA1155">
        <v>0.47549999999999998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 t="s">
        <v>462</v>
      </c>
      <c r="AL1155" t="s">
        <v>6</v>
      </c>
      <c r="AM1155" t="s">
        <v>1145</v>
      </c>
      <c r="AN1155" t="s">
        <v>1146</v>
      </c>
      <c r="AO1155" s="100">
        <v>46262.040405092594</v>
      </c>
      <c r="AP1155" t="s">
        <v>1147</v>
      </c>
      <c r="AQ1155" t="s">
        <v>3535</v>
      </c>
      <c r="AR1155" t="s">
        <v>1167</v>
      </c>
      <c r="AS1155" t="s">
        <v>1150</v>
      </c>
      <c r="AT1155" t="s">
        <v>3479</v>
      </c>
      <c r="AU1155">
        <v>25</v>
      </c>
      <c r="AV1155">
        <v>0.41771199999999992</v>
      </c>
      <c r="AW1155">
        <v>1.5328848619514772E-2</v>
      </c>
      <c r="AX1155">
        <v>3.6697170824670526</v>
      </c>
      <c r="AY1155">
        <v>-27.637556225222781</v>
      </c>
      <c r="AZ1155">
        <v>33.692589411293419</v>
      </c>
      <c r="BB1155" t="s">
        <v>4620</v>
      </c>
      <c r="BD1155" s="98"/>
      <c r="BE1155" s="98"/>
      <c r="BF1155" t="s">
        <v>1152</v>
      </c>
      <c r="BG1155" t="s">
        <v>322</v>
      </c>
      <c r="BH1155" t="s">
        <v>1153</v>
      </c>
      <c r="BI1155">
        <v>27.637556225222781</v>
      </c>
      <c r="BN1155" t="s">
        <v>1154</v>
      </c>
      <c r="BO1155">
        <v>2025</v>
      </c>
      <c r="BP1155" t="s">
        <v>966</v>
      </c>
      <c r="BZ1155" t="s">
        <v>1513</v>
      </c>
      <c r="CA1155" t="s">
        <v>1513</v>
      </c>
      <c r="CB1155" t="b">
        <v>0</v>
      </c>
      <c r="CC1155" t="b">
        <v>0</v>
      </c>
      <c r="CD1155" t="b">
        <v>0</v>
      </c>
      <c r="CE1155" t="b">
        <v>0</v>
      </c>
      <c r="CF1155" t="b">
        <v>0</v>
      </c>
    </row>
    <row r="1156" spans="1:84" x14ac:dyDescent="0.3">
      <c r="A1156" t="s">
        <v>3536</v>
      </c>
      <c r="B1156" t="s">
        <v>1169</v>
      </c>
      <c r="C1156" s="98">
        <v>45691</v>
      </c>
      <c r="D1156">
        <v>2025</v>
      </c>
      <c r="E1156">
        <v>2</v>
      </c>
      <c r="F1156">
        <v>1</v>
      </c>
      <c r="G1156" t="s">
        <v>1170</v>
      </c>
      <c r="H1156" t="s">
        <v>146</v>
      </c>
      <c r="I1156" t="s">
        <v>146</v>
      </c>
      <c r="J1156" t="s">
        <v>6</v>
      </c>
      <c r="L1156">
        <v>522611</v>
      </c>
      <c r="M1156" s="99" t="s">
        <v>179</v>
      </c>
      <c r="N1156">
        <v>2</v>
      </c>
      <c r="O1156">
        <v>5</v>
      </c>
      <c r="P1156">
        <v>0.42130000000000001</v>
      </c>
      <c r="Q1156" t="s">
        <v>352</v>
      </c>
      <c r="R1156">
        <v>1</v>
      </c>
      <c r="S1156">
        <v>0.4224</v>
      </c>
      <c r="T1156">
        <v>1.77E-2</v>
      </c>
      <c r="U1156">
        <v>-6.2146892655366659E-2</v>
      </c>
      <c r="V1156">
        <v>0.36930000000000002</v>
      </c>
      <c r="W1156">
        <v>0.38700000000000001</v>
      </c>
      <c r="X1156">
        <v>0.4047</v>
      </c>
      <c r="Y1156">
        <v>0.44009999999999999</v>
      </c>
      <c r="Z1156">
        <v>0.45779999999999998</v>
      </c>
      <c r="AA1156">
        <v>0.47549999999999998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 t="s">
        <v>462</v>
      </c>
      <c r="AL1156" t="s">
        <v>6</v>
      </c>
      <c r="AM1156" t="s">
        <v>1145</v>
      </c>
      <c r="AN1156" t="s">
        <v>1146</v>
      </c>
      <c r="AO1156" s="100">
        <v>46262.040405092594</v>
      </c>
      <c r="AP1156" t="s">
        <v>1147</v>
      </c>
      <c r="AQ1156" t="s">
        <v>3537</v>
      </c>
      <c r="AR1156" t="s">
        <v>1172</v>
      </c>
      <c r="AS1156" t="s">
        <v>1150</v>
      </c>
      <c r="AT1156" t="s">
        <v>3479</v>
      </c>
      <c r="AU1156">
        <v>25</v>
      </c>
      <c r="AV1156">
        <v>0.41771199999999992</v>
      </c>
      <c r="AW1156">
        <v>1.5328848619514772E-2</v>
      </c>
      <c r="AX1156">
        <v>3.6697170824670526</v>
      </c>
      <c r="AY1156">
        <v>-27.637556225222781</v>
      </c>
      <c r="AZ1156">
        <v>33.692589411293419</v>
      </c>
      <c r="BB1156" t="s">
        <v>4620</v>
      </c>
      <c r="BD1156" s="98"/>
      <c r="BE1156" s="98"/>
      <c r="BF1156" t="s">
        <v>1152</v>
      </c>
      <c r="BG1156" t="s">
        <v>322</v>
      </c>
      <c r="BH1156" t="s">
        <v>1153</v>
      </c>
      <c r="BI1156">
        <v>27.637556225222781</v>
      </c>
      <c r="BN1156" t="s">
        <v>1154</v>
      </c>
      <c r="BO1156">
        <v>2025</v>
      </c>
      <c r="BP1156" t="s">
        <v>966</v>
      </c>
      <c r="BZ1156" t="s">
        <v>1513</v>
      </c>
      <c r="CA1156" t="s">
        <v>1513</v>
      </c>
      <c r="CB1156" t="b">
        <v>0</v>
      </c>
      <c r="CC1156" t="b">
        <v>0</v>
      </c>
      <c r="CD1156" t="b">
        <v>0</v>
      </c>
      <c r="CE1156" t="b">
        <v>0</v>
      </c>
      <c r="CF1156" t="b">
        <v>0</v>
      </c>
    </row>
    <row r="1157" spans="1:84" x14ac:dyDescent="0.3">
      <c r="A1157" t="s">
        <v>3538</v>
      </c>
      <c r="B1157" t="s">
        <v>1174</v>
      </c>
      <c r="C1157" s="98">
        <v>45698</v>
      </c>
      <c r="D1157">
        <v>2025</v>
      </c>
      <c r="E1157">
        <v>2</v>
      </c>
      <c r="F1157">
        <v>1</v>
      </c>
      <c r="G1157" t="s">
        <v>1170</v>
      </c>
      <c r="H1157" t="s">
        <v>146</v>
      </c>
      <c r="I1157" t="s">
        <v>146</v>
      </c>
      <c r="J1157" t="s">
        <v>6</v>
      </c>
      <c r="L1157">
        <v>522611</v>
      </c>
      <c r="M1157" s="99" t="s">
        <v>179</v>
      </c>
      <c r="N1157">
        <v>2</v>
      </c>
      <c r="O1157">
        <v>6</v>
      </c>
      <c r="P1157">
        <v>0.42409999999999998</v>
      </c>
      <c r="Q1157" t="s">
        <v>352</v>
      </c>
      <c r="R1157">
        <v>1</v>
      </c>
      <c r="S1157">
        <v>0.4224</v>
      </c>
      <c r="T1157">
        <v>1.77E-2</v>
      </c>
      <c r="U1157">
        <v>9.6045197740111818E-2</v>
      </c>
      <c r="V1157">
        <v>0.36930000000000002</v>
      </c>
      <c r="W1157">
        <v>0.38700000000000001</v>
      </c>
      <c r="X1157">
        <v>0.4047</v>
      </c>
      <c r="Y1157">
        <v>0.44009999999999999</v>
      </c>
      <c r="Z1157">
        <v>0.45779999999999998</v>
      </c>
      <c r="AA1157">
        <v>0.47549999999999998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 t="s">
        <v>462</v>
      </c>
      <c r="AL1157" t="s">
        <v>6</v>
      </c>
      <c r="AM1157" t="s">
        <v>1145</v>
      </c>
      <c r="AN1157" t="s">
        <v>1146</v>
      </c>
      <c r="AO1157" s="100">
        <v>46262.040405092594</v>
      </c>
      <c r="AP1157" t="s">
        <v>1147</v>
      </c>
      <c r="AQ1157" t="s">
        <v>3539</v>
      </c>
      <c r="AR1157" t="s">
        <v>1176</v>
      </c>
      <c r="AS1157" t="s">
        <v>1150</v>
      </c>
      <c r="AT1157" t="s">
        <v>3479</v>
      </c>
      <c r="AU1157">
        <v>25</v>
      </c>
      <c r="AV1157">
        <v>0.41771199999999992</v>
      </c>
      <c r="AW1157">
        <v>1.5328848619514772E-2</v>
      </c>
      <c r="AX1157">
        <v>3.6697170824670526</v>
      </c>
      <c r="AY1157">
        <v>-27.637556225222781</v>
      </c>
      <c r="AZ1157">
        <v>33.692589411293419</v>
      </c>
      <c r="BB1157" t="s">
        <v>4620</v>
      </c>
      <c r="BD1157" s="98"/>
      <c r="BE1157" s="98"/>
      <c r="BF1157" t="s">
        <v>1152</v>
      </c>
      <c r="BG1157" t="s">
        <v>322</v>
      </c>
      <c r="BH1157" t="s">
        <v>1153</v>
      </c>
      <c r="BI1157">
        <v>27.637556225222781</v>
      </c>
      <c r="BN1157" t="s">
        <v>1154</v>
      </c>
      <c r="BO1157">
        <v>2025</v>
      </c>
      <c r="BP1157" t="s">
        <v>966</v>
      </c>
      <c r="BZ1157" t="s">
        <v>1513</v>
      </c>
      <c r="CA1157" t="s">
        <v>1513</v>
      </c>
      <c r="CB1157" t="b">
        <v>0</v>
      </c>
      <c r="CC1157" t="b">
        <v>0</v>
      </c>
      <c r="CD1157" t="b">
        <v>0</v>
      </c>
      <c r="CE1157" t="b">
        <v>0</v>
      </c>
      <c r="CF1157" t="b">
        <v>0</v>
      </c>
    </row>
    <row r="1158" spans="1:84" x14ac:dyDescent="0.3">
      <c r="A1158" t="s">
        <v>3540</v>
      </c>
      <c r="B1158" t="s">
        <v>1178</v>
      </c>
      <c r="C1158" s="98">
        <v>45705</v>
      </c>
      <c r="D1158">
        <v>2025</v>
      </c>
      <c r="E1158">
        <v>2</v>
      </c>
      <c r="F1158">
        <v>1</v>
      </c>
      <c r="G1158" t="s">
        <v>1170</v>
      </c>
      <c r="H1158" t="s">
        <v>146</v>
      </c>
      <c r="I1158" t="s">
        <v>146</v>
      </c>
      <c r="J1158" t="s">
        <v>6</v>
      </c>
      <c r="L1158">
        <v>522611</v>
      </c>
      <c r="M1158" s="99" t="s">
        <v>179</v>
      </c>
      <c r="N1158">
        <v>2</v>
      </c>
      <c r="O1158">
        <v>7</v>
      </c>
      <c r="P1158">
        <v>0.46379999999999999</v>
      </c>
      <c r="Q1158" t="s">
        <v>352</v>
      </c>
      <c r="R1158">
        <v>1</v>
      </c>
      <c r="S1158">
        <v>0.4224</v>
      </c>
      <c r="T1158">
        <v>1.77E-2</v>
      </c>
      <c r="U1158">
        <v>2.3389830508474572</v>
      </c>
      <c r="V1158">
        <v>0.36930000000000002</v>
      </c>
      <c r="W1158">
        <v>0.38700000000000001</v>
      </c>
      <c r="X1158">
        <v>0.4047</v>
      </c>
      <c r="Y1158">
        <v>0.44009999999999999</v>
      </c>
      <c r="Z1158">
        <v>0.45779999999999998</v>
      </c>
      <c r="AA1158">
        <v>0.47549999999999998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1</v>
      </c>
      <c r="AK1158" t="s">
        <v>462</v>
      </c>
      <c r="AL1158" t="s">
        <v>6</v>
      </c>
      <c r="AM1158" t="s">
        <v>1145</v>
      </c>
      <c r="AN1158" t="s">
        <v>1146</v>
      </c>
      <c r="AO1158" s="100">
        <v>46262.040405092594</v>
      </c>
      <c r="AP1158" t="s">
        <v>1147</v>
      </c>
      <c r="AQ1158" t="s">
        <v>3541</v>
      </c>
      <c r="AR1158" t="s">
        <v>1180</v>
      </c>
      <c r="AS1158" t="s">
        <v>1150</v>
      </c>
      <c r="AT1158" t="s">
        <v>3479</v>
      </c>
      <c r="AU1158">
        <v>25</v>
      </c>
      <c r="AV1158">
        <v>0.41771199999999992</v>
      </c>
      <c r="AW1158">
        <v>1.5328848619514772E-2</v>
      </c>
      <c r="AX1158">
        <v>3.6697170824670526</v>
      </c>
      <c r="AY1158">
        <v>-27.637556225222781</v>
      </c>
      <c r="AZ1158">
        <v>33.692589411293419</v>
      </c>
      <c r="BB1158" t="s">
        <v>4620</v>
      </c>
      <c r="BD1158" s="98"/>
      <c r="BE1158" s="98"/>
      <c r="BF1158" t="s">
        <v>1152</v>
      </c>
      <c r="BG1158" t="s">
        <v>322</v>
      </c>
      <c r="BH1158" t="s">
        <v>1153</v>
      </c>
      <c r="BI1158">
        <v>27.637556225222781</v>
      </c>
      <c r="BN1158" t="s">
        <v>1154</v>
      </c>
      <c r="BO1158">
        <v>2025</v>
      </c>
      <c r="BP1158" t="s">
        <v>966</v>
      </c>
      <c r="BZ1158" t="s">
        <v>1513</v>
      </c>
      <c r="CA1158" t="s">
        <v>1513</v>
      </c>
      <c r="CB1158" t="b">
        <v>0</v>
      </c>
      <c r="CC1158" t="b">
        <v>0</v>
      </c>
      <c r="CD1158" t="b">
        <v>0</v>
      </c>
      <c r="CE1158" t="b">
        <v>0</v>
      </c>
      <c r="CF1158" t="b">
        <v>0</v>
      </c>
    </row>
    <row r="1159" spans="1:84" x14ac:dyDescent="0.3">
      <c r="A1159" t="s">
        <v>3542</v>
      </c>
      <c r="B1159" t="s">
        <v>1182</v>
      </c>
      <c r="C1159" s="98">
        <v>45712</v>
      </c>
      <c r="D1159">
        <v>2025</v>
      </c>
      <c r="E1159">
        <v>2</v>
      </c>
      <c r="F1159">
        <v>1</v>
      </c>
      <c r="G1159" t="s">
        <v>1170</v>
      </c>
      <c r="H1159" t="s">
        <v>146</v>
      </c>
      <c r="I1159" t="s">
        <v>146</v>
      </c>
      <c r="J1159" t="s">
        <v>6</v>
      </c>
      <c r="L1159">
        <v>522611</v>
      </c>
      <c r="M1159" s="99" t="s">
        <v>179</v>
      </c>
      <c r="N1159">
        <v>2</v>
      </c>
      <c r="O1159">
        <v>8</v>
      </c>
      <c r="P1159">
        <v>0.40739999999999998</v>
      </c>
      <c r="Q1159" t="s">
        <v>352</v>
      </c>
      <c r="R1159">
        <v>1</v>
      </c>
      <c r="S1159">
        <v>0.4224</v>
      </c>
      <c r="T1159">
        <v>1.77E-2</v>
      </c>
      <c r="U1159">
        <v>-0.84745762711864481</v>
      </c>
      <c r="V1159">
        <v>0.36930000000000002</v>
      </c>
      <c r="W1159">
        <v>0.38700000000000001</v>
      </c>
      <c r="X1159">
        <v>0.4047</v>
      </c>
      <c r="Y1159">
        <v>0.44009999999999999</v>
      </c>
      <c r="Z1159">
        <v>0.45779999999999998</v>
      </c>
      <c r="AA1159">
        <v>0.47549999999999998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 t="s">
        <v>462</v>
      </c>
      <c r="AL1159" t="s">
        <v>6</v>
      </c>
      <c r="AM1159" t="s">
        <v>1145</v>
      </c>
      <c r="AN1159" t="s">
        <v>1146</v>
      </c>
      <c r="AO1159" s="100">
        <v>46262.040405092594</v>
      </c>
      <c r="AP1159" t="s">
        <v>1147</v>
      </c>
      <c r="AQ1159" t="s">
        <v>3543</v>
      </c>
      <c r="AR1159" t="s">
        <v>1184</v>
      </c>
      <c r="AS1159" t="s">
        <v>1150</v>
      </c>
      <c r="AT1159" t="s">
        <v>3479</v>
      </c>
      <c r="AU1159">
        <v>25</v>
      </c>
      <c r="AV1159">
        <v>0.41771199999999992</v>
      </c>
      <c r="AW1159">
        <v>1.5328848619514772E-2</v>
      </c>
      <c r="AX1159">
        <v>3.6697170824670526</v>
      </c>
      <c r="AY1159">
        <v>-27.637556225222781</v>
      </c>
      <c r="AZ1159">
        <v>33.692589411293419</v>
      </c>
      <c r="BB1159" t="s">
        <v>4620</v>
      </c>
      <c r="BD1159" s="98"/>
      <c r="BE1159" s="98"/>
      <c r="BF1159" t="s">
        <v>1152</v>
      </c>
      <c r="BG1159" t="s">
        <v>322</v>
      </c>
      <c r="BH1159" t="s">
        <v>1153</v>
      </c>
      <c r="BI1159">
        <v>27.637556225222781</v>
      </c>
      <c r="BN1159" t="s">
        <v>1154</v>
      </c>
      <c r="BO1159">
        <v>2025</v>
      </c>
      <c r="BP1159" t="s">
        <v>966</v>
      </c>
      <c r="BZ1159" t="s">
        <v>1513</v>
      </c>
      <c r="CA1159" t="s">
        <v>1513</v>
      </c>
      <c r="CB1159" t="b">
        <v>0</v>
      </c>
      <c r="CC1159" t="b">
        <v>0</v>
      </c>
      <c r="CD1159" t="b">
        <v>0</v>
      </c>
      <c r="CE1159" t="b">
        <v>0</v>
      </c>
      <c r="CF1159" t="b">
        <v>0</v>
      </c>
    </row>
    <row r="1160" spans="1:84" x14ac:dyDescent="0.3">
      <c r="A1160" t="s">
        <v>3544</v>
      </c>
      <c r="B1160" t="s">
        <v>1186</v>
      </c>
      <c r="C1160" s="98">
        <v>45719</v>
      </c>
      <c r="D1160">
        <v>2025</v>
      </c>
      <c r="E1160">
        <v>3</v>
      </c>
      <c r="F1160">
        <v>1</v>
      </c>
      <c r="G1160" t="s">
        <v>1187</v>
      </c>
      <c r="H1160" t="s">
        <v>146</v>
      </c>
      <c r="I1160" t="s">
        <v>146</v>
      </c>
      <c r="J1160" t="s">
        <v>6</v>
      </c>
      <c r="L1160">
        <v>522611</v>
      </c>
      <c r="M1160" s="99" t="s">
        <v>179</v>
      </c>
      <c r="N1160">
        <v>2</v>
      </c>
      <c r="O1160">
        <v>9</v>
      </c>
      <c r="P1160">
        <v>0.42030000000000001</v>
      </c>
      <c r="Q1160" t="s">
        <v>352</v>
      </c>
      <c r="R1160">
        <v>1</v>
      </c>
      <c r="S1160">
        <v>0.4224</v>
      </c>
      <c r="T1160">
        <v>1.77E-2</v>
      </c>
      <c r="U1160">
        <v>-0.11864406779660965</v>
      </c>
      <c r="V1160">
        <v>0.36930000000000002</v>
      </c>
      <c r="W1160">
        <v>0.38700000000000001</v>
      </c>
      <c r="X1160">
        <v>0.4047</v>
      </c>
      <c r="Y1160">
        <v>0.44009999999999999</v>
      </c>
      <c r="Z1160">
        <v>0.45779999999999998</v>
      </c>
      <c r="AA1160">
        <v>0.47549999999999998</v>
      </c>
      <c r="AE1160">
        <v>0</v>
      </c>
      <c r="AF1160">
        <v>0</v>
      </c>
      <c r="AG1160">
        <v>0</v>
      </c>
      <c r="AH1160">
        <v>0</v>
      </c>
      <c r="AI1160">
        <v>1</v>
      </c>
      <c r="AJ1160">
        <v>0</v>
      </c>
      <c r="AK1160" t="s">
        <v>1213</v>
      </c>
      <c r="AL1160" t="s">
        <v>6</v>
      </c>
      <c r="AM1160" t="s">
        <v>1145</v>
      </c>
      <c r="AN1160" t="s">
        <v>1146</v>
      </c>
      <c r="AO1160" s="100">
        <v>46262.040405092594</v>
      </c>
      <c r="AP1160" t="s">
        <v>1147</v>
      </c>
      <c r="AQ1160" t="s">
        <v>3545</v>
      </c>
      <c r="AR1160" t="s">
        <v>1189</v>
      </c>
      <c r="AS1160" t="s">
        <v>1150</v>
      </c>
      <c r="AT1160" t="s">
        <v>3479</v>
      </c>
      <c r="AU1160">
        <v>25</v>
      </c>
      <c r="AV1160">
        <v>0.41771199999999992</v>
      </c>
      <c r="AW1160">
        <v>1.5328848619514772E-2</v>
      </c>
      <c r="AX1160">
        <v>3.6697170824670526</v>
      </c>
      <c r="AY1160">
        <v>-27.637556225222781</v>
      </c>
      <c r="AZ1160">
        <v>33.692589411293419</v>
      </c>
      <c r="BB1160" t="s">
        <v>4620</v>
      </c>
      <c r="BD1160" s="98"/>
      <c r="BE1160" s="98"/>
      <c r="BF1160" t="s">
        <v>1152</v>
      </c>
      <c r="BG1160" t="s">
        <v>322</v>
      </c>
      <c r="BH1160" t="s">
        <v>1153</v>
      </c>
      <c r="BI1160">
        <v>27.637556225222781</v>
      </c>
      <c r="BN1160" t="s">
        <v>1154</v>
      </c>
      <c r="BO1160">
        <v>2025</v>
      </c>
      <c r="BP1160" t="s">
        <v>966</v>
      </c>
      <c r="BZ1160" t="s">
        <v>1513</v>
      </c>
      <c r="CA1160" t="s">
        <v>1513</v>
      </c>
      <c r="CB1160" t="b">
        <v>0</v>
      </c>
      <c r="CC1160" t="b">
        <v>0</v>
      </c>
      <c r="CD1160" t="b">
        <v>0</v>
      </c>
      <c r="CE1160" t="b">
        <v>0</v>
      </c>
      <c r="CF1160" t="b">
        <v>0</v>
      </c>
    </row>
    <row r="1161" spans="1:84" x14ac:dyDescent="0.3">
      <c r="A1161" t="s">
        <v>3546</v>
      </c>
      <c r="B1161" t="s">
        <v>1191</v>
      </c>
      <c r="C1161" s="98">
        <v>45726</v>
      </c>
      <c r="D1161">
        <v>2025</v>
      </c>
      <c r="E1161">
        <v>3</v>
      </c>
      <c r="F1161">
        <v>1</v>
      </c>
      <c r="G1161" t="s">
        <v>1187</v>
      </c>
      <c r="H1161" t="s">
        <v>146</v>
      </c>
      <c r="I1161" t="s">
        <v>146</v>
      </c>
      <c r="J1161" t="s">
        <v>6</v>
      </c>
      <c r="L1161">
        <v>522611</v>
      </c>
      <c r="M1161" s="99" t="s">
        <v>179</v>
      </c>
      <c r="N1161">
        <v>2</v>
      </c>
      <c r="O1161">
        <v>10</v>
      </c>
      <c r="P1161">
        <v>0.41949999999999998</v>
      </c>
      <c r="Q1161" t="s">
        <v>352</v>
      </c>
      <c r="R1161">
        <v>1</v>
      </c>
      <c r="S1161">
        <v>0.4224</v>
      </c>
      <c r="T1161">
        <v>1.77E-2</v>
      </c>
      <c r="U1161">
        <v>-0.16384180790960529</v>
      </c>
      <c r="V1161">
        <v>0.36930000000000002</v>
      </c>
      <c r="W1161">
        <v>0.38700000000000001</v>
      </c>
      <c r="X1161">
        <v>0.4047</v>
      </c>
      <c r="Y1161">
        <v>0.44009999999999999</v>
      </c>
      <c r="Z1161">
        <v>0.45779999999999998</v>
      </c>
      <c r="AA1161">
        <v>0.47549999999999998</v>
      </c>
      <c r="AE1161">
        <v>0</v>
      </c>
      <c r="AF1161">
        <v>0</v>
      </c>
      <c r="AG1161">
        <v>0</v>
      </c>
      <c r="AH1161">
        <v>0</v>
      </c>
      <c r="AI1161">
        <v>1</v>
      </c>
      <c r="AJ1161">
        <v>0</v>
      </c>
      <c r="AK1161" t="s">
        <v>1213</v>
      </c>
      <c r="AL1161" t="s">
        <v>6</v>
      </c>
      <c r="AM1161" t="s">
        <v>1145</v>
      </c>
      <c r="AN1161" t="s">
        <v>1146</v>
      </c>
      <c r="AO1161" s="100">
        <v>46262.040405092594</v>
      </c>
      <c r="AP1161" t="s">
        <v>1147</v>
      </c>
      <c r="AQ1161" t="s">
        <v>3547</v>
      </c>
      <c r="AR1161" t="s">
        <v>1193</v>
      </c>
      <c r="AS1161" t="s">
        <v>1150</v>
      </c>
      <c r="AT1161" t="s">
        <v>3479</v>
      </c>
      <c r="AU1161">
        <v>25</v>
      </c>
      <c r="AV1161">
        <v>0.41771199999999992</v>
      </c>
      <c r="AW1161">
        <v>1.5328848619514772E-2</v>
      </c>
      <c r="AX1161">
        <v>3.6697170824670526</v>
      </c>
      <c r="AY1161">
        <v>-27.637556225222781</v>
      </c>
      <c r="AZ1161">
        <v>33.692589411293419</v>
      </c>
      <c r="BB1161" t="s">
        <v>4620</v>
      </c>
      <c r="BD1161" s="98"/>
      <c r="BE1161" s="98"/>
      <c r="BF1161" t="s">
        <v>1152</v>
      </c>
      <c r="BG1161" t="s">
        <v>322</v>
      </c>
      <c r="BH1161" t="s">
        <v>1153</v>
      </c>
      <c r="BI1161">
        <v>27.637556225222781</v>
      </c>
      <c r="BN1161" t="s">
        <v>1154</v>
      </c>
      <c r="BO1161">
        <v>2025</v>
      </c>
      <c r="BP1161" t="s">
        <v>966</v>
      </c>
      <c r="BZ1161" t="s">
        <v>1513</v>
      </c>
      <c r="CA1161" t="s">
        <v>1513</v>
      </c>
      <c r="CB1161" t="b">
        <v>0</v>
      </c>
      <c r="CC1161" t="b">
        <v>0</v>
      </c>
      <c r="CD1161" t="b">
        <v>0</v>
      </c>
      <c r="CE1161" t="b">
        <v>0</v>
      </c>
      <c r="CF1161" t="b">
        <v>0</v>
      </c>
    </row>
    <row r="1162" spans="1:84" x14ac:dyDescent="0.3">
      <c r="A1162" t="s">
        <v>3548</v>
      </c>
      <c r="B1162" t="s">
        <v>1195</v>
      </c>
      <c r="C1162" s="98">
        <v>45733</v>
      </c>
      <c r="D1162">
        <v>2025</v>
      </c>
      <c r="E1162">
        <v>3</v>
      </c>
      <c r="F1162">
        <v>1</v>
      </c>
      <c r="G1162" t="s">
        <v>1187</v>
      </c>
      <c r="H1162" t="s">
        <v>146</v>
      </c>
      <c r="I1162" t="s">
        <v>146</v>
      </c>
      <c r="J1162" t="s">
        <v>6</v>
      </c>
      <c r="L1162">
        <v>522611</v>
      </c>
      <c r="M1162" s="99" t="s">
        <v>179</v>
      </c>
      <c r="N1162">
        <v>2</v>
      </c>
      <c r="O1162">
        <v>11</v>
      </c>
      <c r="P1162">
        <v>0.43009999999999998</v>
      </c>
      <c r="Q1162" t="s">
        <v>352</v>
      </c>
      <c r="R1162">
        <v>1</v>
      </c>
      <c r="S1162">
        <v>0.4224</v>
      </c>
      <c r="T1162">
        <v>1.77E-2</v>
      </c>
      <c r="U1162">
        <v>0.43502824858756972</v>
      </c>
      <c r="V1162">
        <v>0.36930000000000002</v>
      </c>
      <c r="W1162">
        <v>0.38700000000000001</v>
      </c>
      <c r="X1162">
        <v>0.4047</v>
      </c>
      <c r="Y1162">
        <v>0.44009999999999999</v>
      </c>
      <c r="Z1162">
        <v>0.45779999999999998</v>
      </c>
      <c r="AA1162">
        <v>0.47549999999999998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 t="s">
        <v>462</v>
      </c>
      <c r="AL1162" t="s">
        <v>6</v>
      </c>
      <c r="AM1162" t="s">
        <v>1145</v>
      </c>
      <c r="AN1162" t="s">
        <v>1146</v>
      </c>
      <c r="AO1162" s="100">
        <v>46262.040405092594</v>
      </c>
      <c r="AP1162" t="s">
        <v>1147</v>
      </c>
      <c r="AQ1162" t="s">
        <v>3549</v>
      </c>
      <c r="AR1162" t="s">
        <v>1197</v>
      </c>
      <c r="AS1162" t="s">
        <v>1150</v>
      </c>
      <c r="AT1162" t="s">
        <v>3479</v>
      </c>
      <c r="AU1162">
        <v>25</v>
      </c>
      <c r="AV1162">
        <v>0.41771199999999992</v>
      </c>
      <c r="AW1162">
        <v>1.5328848619514772E-2</v>
      </c>
      <c r="AX1162">
        <v>3.6697170824670526</v>
      </c>
      <c r="AY1162">
        <v>-27.637556225222781</v>
      </c>
      <c r="AZ1162">
        <v>33.692589411293419</v>
      </c>
      <c r="BB1162" t="s">
        <v>4620</v>
      </c>
      <c r="BD1162" s="98"/>
      <c r="BE1162" s="98"/>
      <c r="BF1162" t="s">
        <v>1152</v>
      </c>
      <c r="BG1162" t="s">
        <v>322</v>
      </c>
      <c r="BH1162" t="s">
        <v>1153</v>
      </c>
      <c r="BI1162">
        <v>27.637556225222781</v>
      </c>
      <c r="BN1162" t="s">
        <v>1154</v>
      </c>
      <c r="BO1162">
        <v>2025</v>
      </c>
      <c r="BP1162" t="s">
        <v>966</v>
      </c>
      <c r="BZ1162" t="s">
        <v>1513</v>
      </c>
      <c r="CA1162" t="s">
        <v>1513</v>
      </c>
      <c r="CB1162" t="b">
        <v>0</v>
      </c>
      <c r="CC1162" t="b">
        <v>0</v>
      </c>
      <c r="CD1162" t="b">
        <v>0</v>
      </c>
      <c r="CE1162" t="b">
        <v>0</v>
      </c>
      <c r="CF1162" t="b">
        <v>0</v>
      </c>
    </row>
    <row r="1163" spans="1:84" x14ac:dyDescent="0.3">
      <c r="A1163" t="s">
        <v>3550</v>
      </c>
      <c r="B1163" t="s">
        <v>1199</v>
      </c>
      <c r="C1163" s="98">
        <v>45740</v>
      </c>
      <c r="D1163">
        <v>2025</v>
      </c>
      <c r="E1163">
        <v>3</v>
      </c>
      <c r="F1163">
        <v>1</v>
      </c>
      <c r="G1163" t="s">
        <v>1187</v>
      </c>
      <c r="H1163" t="s">
        <v>146</v>
      </c>
      <c r="I1163" t="s">
        <v>146</v>
      </c>
      <c r="J1163" t="s">
        <v>6</v>
      </c>
      <c r="L1163">
        <v>522611</v>
      </c>
      <c r="M1163" s="99" t="s">
        <v>179</v>
      </c>
      <c r="N1163">
        <v>2</v>
      </c>
      <c r="O1163">
        <v>12</v>
      </c>
      <c r="P1163">
        <v>0.44090000000000001</v>
      </c>
      <c r="Q1163" t="s">
        <v>352</v>
      </c>
      <c r="R1163">
        <v>1</v>
      </c>
      <c r="S1163">
        <v>0.4224</v>
      </c>
      <c r="T1163">
        <v>1.77E-2</v>
      </c>
      <c r="U1163">
        <v>1.0451977401129953</v>
      </c>
      <c r="V1163">
        <v>0.36930000000000002</v>
      </c>
      <c r="W1163">
        <v>0.38700000000000001</v>
      </c>
      <c r="X1163">
        <v>0.4047</v>
      </c>
      <c r="Y1163">
        <v>0.44009999999999999</v>
      </c>
      <c r="Z1163">
        <v>0.45779999999999998</v>
      </c>
      <c r="AA1163">
        <v>0.47549999999999998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 t="s">
        <v>462</v>
      </c>
      <c r="AL1163" t="s">
        <v>6</v>
      </c>
      <c r="AM1163" t="s">
        <v>1145</v>
      </c>
      <c r="AN1163" t="s">
        <v>1146</v>
      </c>
      <c r="AO1163" s="100">
        <v>46262.040405092594</v>
      </c>
      <c r="AP1163" t="s">
        <v>1147</v>
      </c>
      <c r="AQ1163" t="s">
        <v>3551</v>
      </c>
      <c r="AR1163" t="s">
        <v>1201</v>
      </c>
      <c r="AS1163" t="s">
        <v>1150</v>
      </c>
      <c r="AT1163" t="s">
        <v>3479</v>
      </c>
      <c r="AU1163">
        <v>25</v>
      </c>
      <c r="AV1163">
        <v>0.41771199999999992</v>
      </c>
      <c r="AW1163">
        <v>1.5328848619514772E-2</v>
      </c>
      <c r="AX1163">
        <v>3.6697170824670526</v>
      </c>
      <c r="AY1163">
        <v>-27.637556225222781</v>
      </c>
      <c r="AZ1163">
        <v>33.692589411293419</v>
      </c>
      <c r="BB1163" t="s">
        <v>4620</v>
      </c>
      <c r="BD1163" s="98"/>
      <c r="BE1163" s="98"/>
      <c r="BF1163" t="s">
        <v>1152</v>
      </c>
      <c r="BG1163" t="s">
        <v>322</v>
      </c>
      <c r="BH1163" t="s">
        <v>1153</v>
      </c>
      <c r="BI1163">
        <v>27.637556225222781</v>
      </c>
      <c r="BN1163" t="s">
        <v>1154</v>
      </c>
      <c r="BO1163">
        <v>2025</v>
      </c>
      <c r="BP1163" t="s">
        <v>966</v>
      </c>
      <c r="BZ1163" t="s">
        <v>1513</v>
      </c>
      <c r="CA1163" t="s">
        <v>1513</v>
      </c>
      <c r="CB1163" t="b">
        <v>0</v>
      </c>
      <c r="CC1163" t="b">
        <v>0</v>
      </c>
      <c r="CD1163" t="b">
        <v>0</v>
      </c>
      <c r="CE1163" t="b">
        <v>0</v>
      </c>
      <c r="CF1163" t="b">
        <v>0</v>
      </c>
    </row>
    <row r="1164" spans="1:84" x14ac:dyDescent="0.3">
      <c r="A1164" t="s">
        <v>3552</v>
      </c>
      <c r="B1164" t="s">
        <v>1203</v>
      </c>
      <c r="C1164" s="98">
        <v>45747</v>
      </c>
      <c r="D1164">
        <v>2025</v>
      </c>
      <c r="E1164">
        <v>3</v>
      </c>
      <c r="F1164">
        <v>1</v>
      </c>
      <c r="G1164" t="s">
        <v>1187</v>
      </c>
      <c r="H1164" t="s">
        <v>146</v>
      </c>
      <c r="I1164" t="s">
        <v>146</v>
      </c>
      <c r="J1164" t="s">
        <v>6</v>
      </c>
      <c r="L1164">
        <v>522611</v>
      </c>
      <c r="M1164" s="99" t="s">
        <v>179</v>
      </c>
      <c r="N1164">
        <v>2</v>
      </c>
      <c r="O1164">
        <v>13</v>
      </c>
      <c r="P1164">
        <v>0.4138</v>
      </c>
      <c r="Q1164" t="s">
        <v>352</v>
      </c>
      <c r="R1164">
        <v>1</v>
      </c>
      <c r="S1164">
        <v>0.4224</v>
      </c>
      <c r="T1164">
        <v>1.77E-2</v>
      </c>
      <c r="U1164">
        <v>-0.48587570621468906</v>
      </c>
      <c r="V1164">
        <v>0.36930000000000002</v>
      </c>
      <c r="W1164">
        <v>0.38700000000000001</v>
      </c>
      <c r="X1164">
        <v>0.4047</v>
      </c>
      <c r="Y1164">
        <v>0.44009999999999999</v>
      </c>
      <c r="Z1164">
        <v>0.45779999999999998</v>
      </c>
      <c r="AA1164">
        <v>0.47549999999999998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 t="s">
        <v>462</v>
      </c>
      <c r="AL1164" t="s">
        <v>6</v>
      </c>
      <c r="AM1164" t="s">
        <v>1145</v>
      </c>
      <c r="AN1164" t="s">
        <v>1146</v>
      </c>
      <c r="AO1164" s="100">
        <v>46262.040405092594</v>
      </c>
      <c r="AP1164" t="s">
        <v>1147</v>
      </c>
      <c r="AQ1164" t="s">
        <v>3553</v>
      </c>
      <c r="AR1164" t="s">
        <v>1205</v>
      </c>
      <c r="AS1164" t="s">
        <v>1150</v>
      </c>
      <c r="AT1164" t="s">
        <v>3479</v>
      </c>
      <c r="AU1164">
        <v>25</v>
      </c>
      <c r="AV1164">
        <v>0.41771199999999992</v>
      </c>
      <c r="AW1164">
        <v>1.5328848619514772E-2</v>
      </c>
      <c r="AX1164">
        <v>3.6697170824670526</v>
      </c>
      <c r="AY1164">
        <v>-27.637556225222781</v>
      </c>
      <c r="AZ1164">
        <v>33.692589411293419</v>
      </c>
      <c r="BB1164" t="s">
        <v>4620</v>
      </c>
      <c r="BD1164" s="98"/>
      <c r="BE1164" s="98"/>
      <c r="BF1164" t="s">
        <v>1152</v>
      </c>
      <c r="BG1164" t="s">
        <v>322</v>
      </c>
      <c r="BH1164" t="s">
        <v>1153</v>
      </c>
      <c r="BI1164">
        <v>27.637556225222781</v>
      </c>
      <c r="BN1164" t="s">
        <v>1154</v>
      </c>
      <c r="BO1164">
        <v>2025</v>
      </c>
      <c r="BP1164" t="s">
        <v>966</v>
      </c>
      <c r="BZ1164" t="s">
        <v>1513</v>
      </c>
      <c r="CA1164" t="s">
        <v>1513</v>
      </c>
      <c r="CB1164" t="b">
        <v>0</v>
      </c>
      <c r="CC1164" t="b">
        <v>0</v>
      </c>
      <c r="CD1164" t="b">
        <v>0</v>
      </c>
      <c r="CE1164" t="b">
        <v>0</v>
      </c>
      <c r="CF1164" t="b">
        <v>0</v>
      </c>
    </row>
    <row r="1165" spans="1:84" x14ac:dyDescent="0.3">
      <c r="A1165" t="s">
        <v>3554</v>
      </c>
      <c r="B1165" t="s">
        <v>1207</v>
      </c>
      <c r="C1165" s="98">
        <v>45754</v>
      </c>
      <c r="D1165">
        <v>2025</v>
      </c>
      <c r="E1165">
        <v>4</v>
      </c>
      <c r="F1165">
        <v>2</v>
      </c>
      <c r="G1165" t="s">
        <v>1208</v>
      </c>
      <c r="H1165" t="s">
        <v>146</v>
      </c>
      <c r="I1165" t="s">
        <v>146</v>
      </c>
      <c r="J1165" t="s">
        <v>6</v>
      </c>
      <c r="L1165">
        <v>522611</v>
      </c>
      <c r="M1165" s="99" t="s">
        <v>179</v>
      </c>
      <c r="N1165">
        <v>2</v>
      </c>
      <c r="O1165">
        <v>14</v>
      </c>
      <c r="P1165">
        <v>0.40789999999999998</v>
      </c>
      <c r="Q1165" t="s">
        <v>352</v>
      </c>
      <c r="R1165">
        <v>1</v>
      </c>
      <c r="S1165">
        <v>0.4224</v>
      </c>
      <c r="T1165">
        <v>1.77E-2</v>
      </c>
      <c r="U1165">
        <v>-0.81920903954802327</v>
      </c>
      <c r="V1165">
        <v>0.36930000000000002</v>
      </c>
      <c r="W1165">
        <v>0.38700000000000001</v>
      </c>
      <c r="X1165">
        <v>0.4047</v>
      </c>
      <c r="Y1165">
        <v>0.44009999999999999</v>
      </c>
      <c r="Z1165">
        <v>0.45779999999999998</v>
      </c>
      <c r="AA1165">
        <v>0.47549999999999998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 t="s">
        <v>462</v>
      </c>
      <c r="AL1165" t="s">
        <v>6</v>
      </c>
      <c r="AM1165" t="s">
        <v>1145</v>
      </c>
      <c r="AN1165" t="s">
        <v>1146</v>
      </c>
      <c r="AO1165" s="100">
        <v>46262.040405092594</v>
      </c>
      <c r="AP1165" t="s">
        <v>1147</v>
      </c>
      <c r="AQ1165" t="s">
        <v>3555</v>
      </c>
      <c r="AR1165" t="s">
        <v>1210</v>
      </c>
      <c r="AS1165" t="s">
        <v>1150</v>
      </c>
      <c r="AT1165" t="s">
        <v>3479</v>
      </c>
      <c r="AU1165">
        <v>25</v>
      </c>
      <c r="AV1165">
        <v>0.41771199999999992</v>
      </c>
      <c r="AW1165">
        <v>1.5328848619514772E-2</v>
      </c>
      <c r="AX1165">
        <v>3.6697170824670526</v>
      </c>
      <c r="AY1165">
        <v>-27.637556225222781</v>
      </c>
      <c r="AZ1165">
        <v>33.692589411293419</v>
      </c>
      <c r="BB1165" t="s">
        <v>4620</v>
      </c>
      <c r="BD1165" s="98"/>
      <c r="BE1165" s="98"/>
      <c r="BF1165" t="s">
        <v>1152</v>
      </c>
      <c r="BG1165" t="s">
        <v>322</v>
      </c>
      <c r="BH1165" t="s">
        <v>1153</v>
      </c>
      <c r="BI1165">
        <v>27.637556225222781</v>
      </c>
      <c r="BN1165" t="s">
        <v>1154</v>
      </c>
      <c r="BO1165">
        <v>2025</v>
      </c>
      <c r="BP1165" t="s">
        <v>966</v>
      </c>
      <c r="BZ1165" t="s">
        <v>1513</v>
      </c>
      <c r="CA1165" t="s">
        <v>1513</v>
      </c>
      <c r="CB1165" t="b">
        <v>0</v>
      </c>
      <c r="CC1165" t="b">
        <v>0</v>
      </c>
      <c r="CD1165" t="b">
        <v>0</v>
      </c>
      <c r="CE1165" t="b">
        <v>0</v>
      </c>
      <c r="CF1165" t="b">
        <v>0</v>
      </c>
    </row>
    <row r="1166" spans="1:84" x14ac:dyDescent="0.3">
      <c r="A1166" t="s">
        <v>3556</v>
      </c>
      <c r="B1166" t="s">
        <v>1212</v>
      </c>
      <c r="C1166" s="98">
        <v>45761</v>
      </c>
      <c r="D1166">
        <v>2025</v>
      </c>
      <c r="E1166">
        <v>4</v>
      </c>
      <c r="F1166">
        <v>2</v>
      </c>
      <c r="G1166" t="s">
        <v>1208</v>
      </c>
      <c r="H1166" t="s">
        <v>146</v>
      </c>
      <c r="I1166" t="s">
        <v>146</v>
      </c>
      <c r="J1166" t="s">
        <v>6</v>
      </c>
      <c r="L1166">
        <v>522611</v>
      </c>
      <c r="M1166" s="99" t="s">
        <v>179</v>
      </c>
      <c r="N1166">
        <v>2</v>
      </c>
      <c r="O1166">
        <v>15</v>
      </c>
      <c r="P1166">
        <v>0.39340000000000003</v>
      </c>
      <c r="Q1166" t="s">
        <v>352</v>
      </c>
      <c r="R1166">
        <v>1</v>
      </c>
      <c r="S1166">
        <v>0.4224</v>
      </c>
      <c r="T1166">
        <v>1.77E-2</v>
      </c>
      <c r="U1166">
        <v>-1.6384180790960434</v>
      </c>
      <c r="V1166">
        <v>0.36930000000000002</v>
      </c>
      <c r="W1166">
        <v>0.38700000000000001</v>
      </c>
      <c r="X1166">
        <v>0.4047</v>
      </c>
      <c r="Y1166">
        <v>0.44009999999999999</v>
      </c>
      <c r="Z1166">
        <v>0.45779999999999998</v>
      </c>
      <c r="AA1166">
        <v>0.47549999999999998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 t="s">
        <v>462</v>
      </c>
      <c r="AL1166" t="s">
        <v>6</v>
      </c>
      <c r="AM1166" t="s">
        <v>1145</v>
      </c>
      <c r="AN1166" t="s">
        <v>1146</v>
      </c>
      <c r="AO1166" s="100">
        <v>46262.040405092594</v>
      </c>
      <c r="AP1166" t="s">
        <v>1147</v>
      </c>
      <c r="AQ1166" t="s">
        <v>3557</v>
      </c>
      <c r="AR1166" t="s">
        <v>1215</v>
      </c>
      <c r="AS1166" t="s">
        <v>1150</v>
      </c>
      <c r="AT1166" t="s">
        <v>3479</v>
      </c>
      <c r="AU1166">
        <v>25</v>
      </c>
      <c r="AV1166">
        <v>0.41771199999999992</v>
      </c>
      <c r="AW1166">
        <v>1.5328848619514772E-2</v>
      </c>
      <c r="AX1166">
        <v>3.6697170824670526</v>
      </c>
      <c r="AY1166">
        <v>-27.637556225222781</v>
      </c>
      <c r="AZ1166">
        <v>33.692589411293419</v>
      </c>
      <c r="BB1166" t="s">
        <v>4620</v>
      </c>
      <c r="BD1166" s="98"/>
      <c r="BE1166" s="98"/>
      <c r="BF1166" t="s">
        <v>1152</v>
      </c>
      <c r="BG1166" t="s">
        <v>322</v>
      </c>
      <c r="BH1166" t="s">
        <v>1153</v>
      </c>
      <c r="BI1166">
        <v>27.637556225222781</v>
      </c>
      <c r="BN1166" t="s">
        <v>1154</v>
      </c>
      <c r="BO1166">
        <v>2025</v>
      </c>
      <c r="BP1166" t="s">
        <v>966</v>
      </c>
      <c r="BZ1166" t="s">
        <v>1513</v>
      </c>
      <c r="CA1166" t="s">
        <v>1513</v>
      </c>
      <c r="CB1166" t="b">
        <v>0</v>
      </c>
      <c r="CC1166" t="b">
        <v>0</v>
      </c>
      <c r="CD1166" t="b">
        <v>0</v>
      </c>
      <c r="CE1166" t="b">
        <v>0</v>
      </c>
      <c r="CF1166" t="b">
        <v>0</v>
      </c>
    </row>
    <row r="1167" spans="1:84" x14ac:dyDescent="0.3">
      <c r="A1167" t="s">
        <v>3558</v>
      </c>
      <c r="B1167" t="s">
        <v>1217</v>
      </c>
      <c r="C1167" s="98">
        <v>45768</v>
      </c>
      <c r="D1167">
        <v>2025</v>
      </c>
      <c r="E1167">
        <v>4</v>
      </c>
      <c r="F1167">
        <v>2</v>
      </c>
      <c r="G1167" t="s">
        <v>1208</v>
      </c>
      <c r="H1167" t="s">
        <v>146</v>
      </c>
      <c r="I1167" t="s">
        <v>146</v>
      </c>
      <c r="J1167" t="s">
        <v>6</v>
      </c>
      <c r="L1167">
        <v>522611</v>
      </c>
      <c r="M1167" s="99" t="s">
        <v>179</v>
      </c>
      <c r="N1167">
        <v>2</v>
      </c>
      <c r="O1167">
        <v>16</v>
      </c>
      <c r="P1167">
        <v>0.40610000000000002</v>
      </c>
      <c r="Q1167" t="s">
        <v>352</v>
      </c>
      <c r="R1167">
        <v>1</v>
      </c>
      <c r="S1167">
        <v>0.4224</v>
      </c>
      <c r="T1167">
        <v>1.77E-2</v>
      </c>
      <c r="U1167">
        <v>-0.92090395480225884</v>
      </c>
      <c r="V1167">
        <v>0.36930000000000002</v>
      </c>
      <c r="W1167">
        <v>0.38700000000000001</v>
      </c>
      <c r="X1167">
        <v>0.4047</v>
      </c>
      <c r="Y1167">
        <v>0.44009999999999999</v>
      </c>
      <c r="Z1167">
        <v>0.45779999999999998</v>
      </c>
      <c r="AA1167">
        <v>0.47549999999999998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 t="s">
        <v>462</v>
      </c>
      <c r="AL1167" t="s">
        <v>6</v>
      </c>
      <c r="AM1167" t="s">
        <v>1145</v>
      </c>
      <c r="AN1167" t="s">
        <v>1146</v>
      </c>
      <c r="AO1167" s="100">
        <v>46262.040405092594</v>
      </c>
      <c r="AP1167" t="s">
        <v>1147</v>
      </c>
      <c r="AQ1167" t="s">
        <v>3559</v>
      </c>
      <c r="AR1167" t="s">
        <v>1219</v>
      </c>
      <c r="AS1167" t="s">
        <v>1150</v>
      </c>
      <c r="AT1167" t="s">
        <v>3479</v>
      </c>
      <c r="AU1167">
        <v>25</v>
      </c>
      <c r="AV1167">
        <v>0.41771199999999992</v>
      </c>
      <c r="AW1167">
        <v>1.5328848619514772E-2</v>
      </c>
      <c r="AX1167">
        <v>3.6697170824670526</v>
      </c>
      <c r="AY1167">
        <v>-27.637556225222781</v>
      </c>
      <c r="AZ1167">
        <v>33.692589411293419</v>
      </c>
      <c r="BB1167" t="s">
        <v>4620</v>
      </c>
      <c r="BD1167" s="98"/>
      <c r="BE1167" s="98"/>
      <c r="BF1167" t="s">
        <v>1152</v>
      </c>
      <c r="BG1167" t="s">
        <v>322</v>
      </c>
      <c r="BH1167" t="s">
        <v>1153</v>
      </c>
      <c r="BI1167">
        <v>27.637556225222781</v>
      </c>
      <c r="BN1167" t="s">
        <v>1154</v>
      </c>
      <c r="BO1167">
        <v>2025</v>
      </c>
      <c r="BP1167" t="s">
        <v>966</v>
      </c>
      <c r="BZ1167" t="s">
        <v>1513</v>
      </c>
      <c r="CA1167" t="s">
        <v>1513</v>
      </c>
      <c r="CB1167" t="b">
        <v>0</v>
      </c>
      <c r="CC1167" t="b">
        <v>0</v>
      </c>
      <c r="CD1167" t="b">
        <v>0</v>
      </c>
      <c r="CE1167" t="b">
        <v>0</v>
      </c>
      <c r="CF1167" t="b">
        <v>0</v>
      </c>
    </row>
    <row r="1168" spans="1:84" x14ac:dyDescent="0.3">
      <c r="A1168" t="s">
        <v>3560</v>
      </c>
      <c r="B1168" t="s">
        <v>1221</v>
      </c>
      <c r="C1168" s="98">
        <v>45775</v>
      </c>
      <c r="D1168">
        <v>2025</v>
      </c>
      <c r="E1168">
        <v>4</v>
      </c>
      <c r="F1168">
        <v>2</v>
      </c>
      <c r="G1168" t="s">
        <v>1208</v>
      </c>
      <c r="H1168" t="s">
        <v>146</v>
      </c>
      <c r="I1168" t="s">
        <v>146</v>
      </c>
      <c r="J1168" t="s">
        <v>6</v>
      </c>
      <c r="L1168">
        <v>522611</v>
      </c>
      <c r="M1168" s="99" t="s">
        <v>179</v>
      </c>
      <c r="N1168">
        <v>2</v>
      </c>
      <c r="O1168">
        <v>17</v>
      </c>
      <c r="P1168">
        <v>0.43190000000000001</v>
      </c>
      <c r="Q1168" t="s">
        <v>352</v>
      </c>
      <c r="R1168">
        <v>1</v>
      </c>
      <c r="S1168">
        <v>0.4224</v>
      </c>
      <c r="T1168">
        <v>1.77E-2</v>
      </c>
      <c r="U1168">
        <v>0.5367231638418084</v>
      </c>
      <c r="V1168">
        <v>0.36930000000000002</v>
      </c>
      <c r="W1168">
        <v>0.38700000000000001</v>
      </c>
      <c r="X1168">
        <v>0.4047</v>
      </c>
      <c r="Y1168">
        <v>0.44009999999999999</v>
      </c>
      <c r="Z1168">
        <v>0.45779999999999998</v>
      </c>
      <c r="AA1168">
        <v>0.47549999999999998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 t="s">
        <v>462</v>
      </c>
      <c r="AL1168" t="s">
        <v>6</v>
      </c>
      <c r="AM1168" t="s">
        <v>1145</v>
      </c>
      <c r="AN1168" t="s">
        <v>1146</v>
      </c>
      <c r="AO1168" s="100">
        <v>46262.040405092594</v>
      </c>
      <c r="AP1168" t="s">
        <v>1147</v>
      </c>
      <c r="AQ1168" t="s">
        <v>3561</v>
      </c>
      <c r="AR1168" t="s">
        <v>1223</v>
      </c>
      <c r="AS1168" t="s">
        <v>1150</v>
      </c>
      <c r="AT1168" t="s">
        <v>3479</v>
      </c>
      <c r="AU1168">
        <v>25</v>
      </c>
      <c r="AV1168">
        <v>0.41771199999999992</v>
      </c>
      <c r="AW1168">
        <v>1.5328848619514772E-2</v>
      </c>
      <c r="AX1168">
        <v>3.6697170824670526</v>
      </c>
      <c r="AY1168">
        <v>-27.637556225222781</v>
      </c>
      <c r="AZ1168">
        <v>33.692589411293419</v>
      </c>
      <c r="BB1168" t="s">
        <v>4620</v>
      </c>
      <c r="BD1168" s="98"/>
      <c r="BE1168" s="98"/>
      <c r="BF1168" t="s">
        <v>1152</v>
      </c>
      <c r="BG1168" t="s">
        <v>322</v>
      </c>
      <c r="BH1168" t="s">
        <v>1153</v>
      </c>
      <c r="BI1168">
        <v>27.637556225222781</v>
      </c>
      <c r="BN1168" t="s">
        <v>1154</v>
      </c>
      <c r="BO1168">
        <v>2025</v>
      </c>
      <c r="BP1168" t="s">
        <v>966</v>
      </c>
      <c r="BZ1168" t="s">
        <v>1513</v>
      </c>
      <c r="CA1168" t="s">
        <v>1513</v>
      </c>
      <c r="CB1168" t="b">
        <v>0</v>
      </c>
      <c r="CC1168" t="b">
        <v>0</v>
      </c>
      <c r="CD1168" t="b">
        <v>0</v>
      </c>
      <c r="CE1168" t="b">
        <v>0</v>
      </c>
      <c r="CF1168" t="b">
        <v>0</v>
      </c>
    </row>
    <row r="1169" spans="1:84" x14ac:dyDescent="0.3">
      <c r="A1169" t="s">
        <v>3562</v>
      </c>
      <c r="B1169" t="s">
        <v>1225</v>
      </c>
      <c r="C1169" s="98">
        <v>45782</v>
      </c>
      <c r="D1169">
        <v>2025</v>
      </c>
      <c r="E1169">
        <v>5</v>
      </c>
      <c r="F1169">
        <v>2</v>
      </c>
      <c r="G1169" t="s">
        <v>1226</v>
      </c>
      <c r="H1169" t="s">
        <v>146</v>
      </c>
      <c r="I1169" t="s">
        <v>146</v>
      </c>
      <c r="J1169" t="s">
        <v>6</v>
      </c>
      <c r="L1169">
        <v>522611</v>
      </c>
      <c r="M1169" s="99" t="s">
        <v>179</v>
      </c>
      <c r="N1169">
        <v>2</v>
      </c>
      <c r="O1169">
        <v>18</v>
      </c>
      <c r="P1169">
        <v>0.42320000000000002</v>
      </c>
      <c r="Q1169" t="s">
        <v>352</v>
      </c>
      <c r="R1169">
        <v>1</v>
      </c>
      <c r="S1169">
        <v>0.4224</v>
      </c>
      <c r="T1169">
        <v>1.77E-2</v>
      </c>
      <c r="U1169">
        <v>4.5197740112995641E-2</v>
      </c>
      <c r="V1169">
        <v>0.36930000000000002</v>
      </c>
      <c r="W1169">
        <v>0.38700000000000001</v>
      </c>
      <c r="X1169">
        <v>0.4047</v>
      </c>
      <c r="Y1169">
        <v>0.44009999999999999</v>
      </c>
      <c r="Z1169">
        <v>0.45779999999999998</v>
      </c>
      <c r="AA1169">
        <v>0.47549999999999998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 t="s">
        <v>462</v>
      </c>
      <c r="AL1169" t="s">
        <v>6</v>
      </c>
      <c r="AM1169" t="s">
        <v>1145</v>
      </c>
      <c r="AN1169" t="s">
        <v>1146</v>
      </c>
      <c r="AO1169" s="100">
        <v>46262.040405092594</v>
      </c>
      <c r="AP1169" t="s">
        <v>1147</v>
      </c>
      <c r="AQ1169" t="s">
        <v>3563</v>
      </c>
      <c r="AR1169" t="s">
        <v>1228</v>
      </c>
      <c r="AS1169" t="s">
        <v>1150</v>
      </c>
      <c r="AT1169" t="s">
        <v>3479</v>
      </c>
      <c r="AU1169">
        <v>25</v>
      </c>
      <c r="AV1169">
        <v>0.41771199999999992</v>
      </c>
      <c r="AW1169">
        <v>1.5328848619514772E-2</v>
      </c>
      <c r="AX1169">
        <v>3.6697170824670526</v>
      </c>
      <c r="AY1169">
        <v>-27.637556225222781</v>
      </c>
      <c r="AZ1169">
        <v>33.692589411293419</v>
      </c>
      <c r="BB1169" t="s">
        <v>4620</v>
      </c>
      <c r="BD1169" s="98"/>
      <c r="BE1169" s="98"/>
      <c r="BF1169" t="s">
        <v>1152</v>
      </c>
      <c r="BG1169" t="s">
        <v>322</v>
      </c>
      <c r="BH1169" t="s">
        <v>1153</v>
      </c>
      <c r="BI1169">
        <v>27.637556225222781</v>
      </c>
      <c r="BN1169" t="s">
        <v>1154</v>
      </c>
      <c r="BO1169">
        <v>2025</v>
      </c>
      <c r="BP1169" t="s">
        <v>966</v>
      </c>
      <c r="BZ1169" t="s">
        <v>1513</v>
      </c>
      <c r="CA1169" t="s">
        <v>1513</v>
      </c>
      <c r="CB1169" t="b">
        <v>0</v>
      </c>
      <c r="CC1169" t="b">
        <v>0</v>
      </c>
      <c r="CD1169" t="b">
        <v>0</v>
      </c>
      <c r="CE1169" t="b">
        <v>0</v>
      </c>
      <c r="CF1169" t="b">
        <v>0</v>
      </c>
    </row>
    <row r="1170" spans="1:84" x14ac:dyDescent="0.3">
      <c r="A1170" t="s">
        <v>3564</v>
      </c>
      <c r="B1170" t="s">
        <v>1230</v>
      </c>
      <c r="C1170" s="98">
        <v>45789</v>
      </c>
      <c r="D1170">
        <v>2025</v>
      </c>
      <c r="E1170">
        <v>5</v>
      </c>
      <c r="F1170">
        <v>2</v>
      </c>
      <c r="G1170" t="s">
        <v>1226</v>
      </c>
      <c r="H1170" t="s">
        <v>146</v>
      </c>
      <c r="I1170" t="s">
        <v>146</v>
      </c>
      <c r="J1170" t="s">
        <v>6</v>
      </c>
      <c r="L1170">
        <v>522611</v>
      </c>
      <c r="M1170" s="99" t="s">
        <v>179</v>
      </c>
      <c r="N1170">
        <v>2</v>
      </c>
      <c r="O1170">
        <v>19</v>
      </c>
      <c r="P1170">
        <v>0.40450000000000003</v>
      </c>
      <c r="Q1170" t="s">
        <v>352</v>
      </c>
      <c r="R1170">
        <v>1</v>
      </c>
      <c r="S1170">
        <v>0.4224</v>
      </c>
      <c r="T1170">
        <v>1.77E-2</v>
      </c>
      <c r="U1170">
        <v>-1.0112994350282469</v>
      </c>
      <c r="V1170">
        <v>0.36930000000000002</v>
      </c>
      <c r="W1170">
        <v>0.38700000000000001</v>
      </c>
      <c r="X1170">
        <v>0.4047</v>
      </c>
      <c r="Y1170">
        <v>0.44009999999999999</v>
      </c>
      <c r="Z1170">
        <v>0.45779999999999998</v>
      </c>
      <c r="AA1170">
        <v>0.47549999999999998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 t="s">
        <v>462</v>
      </c>
      <c r="AL1170" t="s">
        <v>6</v>
      </c>
      <c r="AM1170" t="s">
        <v>1145</v>
      </c>
      <c r="AN1170" t="s">
        <v>1146</v>
      </c>
      <c r="AO1170" s="100">
        <v>46262.040405092594</v>
      </c>
      <c r="AP1170" t="s">
        <v>1147</v>
      </c>
      <c r="AQ1170" t="s">
        <v>3565</v>
      </c>
      <c r="AR1170" t="s">
        <v>1232</v>
      </c>
      <c r="AS1170" t="s">
        <v>1150</v>
      </c>
      <c r="AT1170" t="s">
        <v>3479</v>
      </c>
      <c r="AU1170">
        <v>25</v>
      </c>
      <c r="AV1170">
        <v>0.41771199999999992</v>
      </c>
      <c r="AW1170">
        <v>1.5328848619514772E-2</v>
      </c>
      <c r="AX1170">
        <v>3.6697170824670526</v>
      </c>
      <c r="AY1170">
        <v>-27.637556225222781</v>
      </c>
      <c r="AZ1170">
        <v>33.692589411293419</v>
      </c>
      <c r="BB1170" t="s">
        <v>4620</v>
      </c>
      <c r="BD1170" s="98"/>
      <c r="BE1170" s="98"/>
      <c r="BF1170" t="s">
        <v>1152</v>
      </c>
      <c r="BG1170" t="s">
        <v>322</v>
      </c>
      <c r="BH1170" t="s">
        <v>1153</v>
      </c>
      <c r="BI1170">
        <v>27.637556225222781</v>
      </c>
      <c r="BN1170" t="s">
        <v>1154</v>
      </c>
      <c r="BO1170">
        <v>2025</v>
      </c>
      <c r="BP1170" t="s">
        <v>966</v>
      </c>
      <c r="BZ1170" t="s">
        <v>1513</v>
      </c>
      <c r="CA1170" t="s">
        <v>1513</v>
      </c>
      <c r="CB1170" t="b">
        <v>0</v>
      </c>
      <c r="CC1170" t="b">
        <v>0</v>
      </c>
      <c r="CD1170" t="b">
        <v>0</v>
      </c>
      <c r="CE1170" t="b">
        <v>0</v>
      </c>
      <c r="CF1170" t="b">
        <v>0</v>
      </c>
    </row>
    <row r="1171" spans="1:84" x14ac:dyDescent="0.3">
      <c r="A1171" t="s">
        <v>3566</v>
      </c>
      <c r="B1171" t="s">
        <v>1234</v>
      </c>
      <c r="C1171" s="98">
        <v>45796</v>
      </c>
      <c r="D1171">
        <v>2025</v>
      </c>
      <c r="E1171">
        <v>5</v>
      </c>
      <c r="F1171">
        <v>2</v>
      </c>
      <c r="G1171" t="s">
        <v>1226</v>
      </c>
      <c r="H1171" t="s">
        <v>146</v>
      </c>
      <c r="I1171" t="s">
        <v>146</v>
      </c>
      <c r="J1171" t="s">
        <v>6</v>
      </c>
      <c r="L1171">
        <v>522611</v>
      </c>
      <c r="M1171" s="99" t="s">
        <v>179</v>
      </c>
      <c r="N1171">
        <v>2</v>
      </c>
      <c r="O1171">
        <v>20</v>
      </c>
      <c r="P1171">
        <v>0.4158</v>
      </c>
      <c r="Q1171" t="s">
        <v>352</v>
      </c>
      <c r="R1171">
        <v>1</v>
      </c>
      <c r="S1171">
        <v>0.4224</v>
      </c>
      <c r="T1171">
        <v>1.77E-2</v>
      </c>
      <c r="U1171">
        <v>-0.37288135593220306</v>
      </c>
      <c r="V1171">
        <v>0.36930000000000002</v>
      </c>
      <c r="W1171">
        <v>0.38700000000000001</v>
      </c>
      <c r="X1171">
        <v>0.4047</v>
      </c>
      <c r="Y1171">
        <v>0.44009999999999999</v>
      </c>
      <c r="Z1171">
        <v>0.45779999999999998</v>
      </c>
      <c r="AA1171">
        <v>0.47549999999999998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 t="s">
        <v>462</v>
      </c>
      <c r="AL1171" t="s">
        <v>6</v>
      </c>
      <c r="AM1171" t="s">
        <v>1145</v>
      </c>
      <c r="AN1171" t="s">
        <v>1146</v>
      </c>
      <c r="AO1171" s="100">
        <v>46262.040405092594</v>
      </c>
      <c r="AP1171" t="s">
        <v>1147</v>
      </c>
      <c r="AQ1171" t="s">
        <v>3567</v>
      </c>
      <c r="AR1171" t="s">
        <v>1236</v>
      </c>
      <c r="AS1171" t="s">
        <v>1150</v>
      </c>
      <c r="AT1171" t="s">
        <v>3479</v>
      </c>
      <c r="AU1171">
        <v>25</v>
      </c>
      <c r="AV1171">
        <v>0.41771199999999992</v>
      </c>
      <c r="AW1171">
        <v>1.5328848619514772E-2</v>
      </c>
      <c r="AX1171">
        <v>3.6697170824670526</v>
      </c>
      <c r="AY1171">
        <v>-27.637556225222781</v>
      </c>
      <c r="AZ1171">
        <v>33.692589411293419</v>
      </c>
      <c r="BB1171" t="s">
        <v>4620</v>
      </c>
      <c r="BD1171" s="98"/>
      <c r="BE1171" s="98"/>
      <c r="BF1171" t="s">
        <v>1152</v>
      </c>
      <c r="BG1171" t="s">
        <v>322</v>
      </c>
      <c r="BH1171" t="s">
        <v>1153</v>
      </c>
      <c r="BI1171">
        <v>27.637556225222781</v>
      </c>
      <c r="BN1171" t="s">
        <v>1154</v>
      </c>
      <c r="BO1171">
        <v>2025</v>
      </c>
      <c r="BP1171" t="s">
        <v>966</v>
      </c>
      <c r="BZ1171" t="s">
        <v>1513</v>
      </c>
      <c r="CA1171" t="s">
        <v>1513</v>
      </c>
      <c r="CB1171" t="b">
        <v>0</v>
      </c>
      <c r="CC1171" t="b">
        <v>0</v>
      </c>
      <c r="CD1171" t="b">
        <v>0</v>
      </c>
      <c r="CE1171" t="b">
        <v>0</v>
      </c>
      <c r="CF1171" t="b">
        <v>0</v>
      </c>
    </row>
    <row r="1172" spans="1:84" x14ac:dyDescent="0.3">
      <c r="A1172" t="s">
        <v>3568</v>
      </c>
      <c r="B1172" t="s">
        <v>1238</v>
      </c>
      <c r="C1172" s="98">
        <v>45803</v>
      </c>
      <c r="D1172">
        <v>2025</v>
      </c>
      <c r="E1172">
        <v>5</v>
      </c>
      <c r="F1172">
        <v>2</v>
      </c>
      <c r="G1172" t="s">
        <v>1226</v>
      </c>
      <c r="H1172" t="s">
        <v>146</v>
      </c>
      <c r="I1172" t="s">
        <v>146</v>
      </c>
      <c r="J1172" t="s">
        <v>6</v>
      </c>
      <c r="L1172">
        <v>522611</v>
      </c>
      <c r="M1172" s="99" t="s">
        <v>179</v>
      </c>
      <c r="N1172">
        <v>2</v>
      </c>
      <c r="O1172">
        <v>21</v>
      </c>
      <c r="P1172">
        <v>0.42299999999999999</v>
      </c>
      <c r="Q1172" t="s">
        <v>352</v>
      </c>
      <c r="R1172">
        <v>1</v>
      </c>
      <c r="S1172">
        <v>0.4224</v>
      </c>
      <c r="T1172">
        <v>1.77E-2</v>
      </c>
      <c r="U1172">
        <v>3.3898305084745166E-2</v>
      </c>
      <c r="V1172">
        <v>0.36930000000000002</v>
      </c>
      <c r="W1172">
        <v>0.38700000000000001</v>
      </c>
      <c r="X1172">
        <v>0.4047</v>
      </c>
      <c r="Y1172">
        <v>0.44009999999999999</v>
      </c>
      <c r="Z1172">
        <v>0.45779999999999998</v>
      </c>
      <c r="AA1172">
        <v>0.47549999999999998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 t="s">
        <v>462</v>
      </c>
      <c r="AL1172" t="s">
        <v>6</v>
      </c>
      <c r="AM1172" t="s">
        <v>1145</v>
      </c>
      <c r="AN1172" t="s">
        <v>1146</v>
      </c>
      <c r="AO1172" s="100">
        <v>46262.040405092594</v>
      </c>
      <c r="AP1172" t="s">
        <v>1147</v>
      </c>
      <c r="AQ1172" t="s">
        <v>3569</v>
      </c>
      <c r="AR1172" t="s">
        <v>1240</v>
      </c>
      <c r="AS1172" t="s">
        <v>1150</v>
      </c>
      <c r="AT1172" t="s">
        <v>3479</v>
      </c>
      <c r="AU1172">
        <v>25</v>
      </c>
      <c r="AV1172">
        <v>0.41771199999999992</v>
      </c>
      <c r="AW1172">
        <v>1.5328848619514772E-2</v>
      </c>
      <c r="AX1172">
        <v>3.6697170824670526</v>
      </c>
      <c r="AY1172">
        <v>-27.637556225222781</v>
      </c>
      <c r="AZ1172">
        <v>33.692589411293419</v>
      </c>
      <c r="BB1172" t="s">
        <v>4620</v>
      </c>
      <c r="BD1172" s="98"/>
      <c r="BE1172" s="98"/>
      <c r="BF1172" t="s">
        <v>1152</v>
      </c>
      <c r="BG1172" t="s">
        <v>322</v>
      </c>
      <c r="BH1172" t="s">
        <v>1153</v>
      </c>
      <c r="BI1172">
        <v>27.637556225222781</v>
      </c>
      <c r="BN1172" t="s">
        <v>1154</v>
      </c>
      <c r="BO1172">
        <v>2025</v>
      </c>
      <c r="BP1172" t="s">
        <v>966</v>
      </c>
      <c r="BZ1172" t="s">
        <v>1513</v>
      </c>
      <c r="CA1172" t="s">
        <v>1513</v>
      </c>
      <c r="CB1172" t="b">
        <v>0</v>
      </c>
      <c r="CC1172" t="b">
        <v>0</v>
      </c>
      <c r="CD1172" t="b">
        <v>0</v>
      </c>
      <c r="CE1172" t="b">
        <v>0</v>
      </c>
      <c r="CF1172" t="b">
        <v>0</v>
      </c>
    </row>
    <row r="1173" spans="1:84" x14ac:dyDescent="0.3">
      <c r="A1173" t="s">
        <v>3570</v>
      </c>
      <c r="B1173" t="s">
        <v>1242</v>
      </c>
      <c r="C1173" s="98">
        <v>45810</v>
      </c>
      <c r="D1173">
        <v>2025</v>
      </c>
      <c r="E1173">
        <v>6</v>
      </c>
      <c r="F1173">
        <v>2</v>
      </c>
      <c r="G1173" t="s">
        <v>1243</v>
      </c>
      <c r="H1173" t="s">
        <v>146</v>
      </c>
      <c r="I1173" t="s">
        <v>146</v>
      </c>
      <c r="J1173" t="s">
        <v>6</v>
      </c>
      <c r="L1173">
        <v>522611</v>
      </c>
      <c r="M1173" s="99" t="s">
        <v>179</v>
      </c>
      <c r="N1173">
        <v>2</v>
      </c>
      <c r="O1173">
        <v>22</v>
      </c>
      <c r="P1173">
        <v>0.43130000000000002</v>
      </c>
      <c r="Q1173" t="s">
        <v>352</v>
      </c>
      <c r="R1173">
        <v>1</v>
      </c>
      <c r="S1173">
        <v>0.4224</v>
      </c>
      <c r="T1173">
        <v>1.77E-2</v>
      </c>
      <c r="U1173">
        <v>0.50282485875706318</v>
      </c>
      <c r="V1173">
        <v>0.36930000000000002</v>
      </c>
      <c r="W1173">
        <v>0.38700000000000001</v>
      </c>
      <c r="X1173">
        <v>0.4047</v>
      </c>
      <c r="Y1173">
        <v>0.44009999999999999</v>
      </c>
      <c r="Z1173">
        <v>0.45779999999999998</v>
      </c>
      <c r="AA1173">
        <v>0.47549999999999998</v>
      </c>
      <c r="AE1173">
        <v>0</v>
      </c>
      <c r="AF1173">
        <v>0</v>
      </c>
      <c r="AG1173">
        <v>0</v>
      </c>
      <c r="AH1173">
        <v>0</v>
      </c>
      <c r="AI1173">
        <v>1</v>
      </c>
      <c r="AJ1173">
        <v>0</v>
      </c>
      <c r="AK1173" t="s">
        <v>1213</v>
      </c>
      <c r="AL1173" t="s">
        <v>6</v>
      </c>
      <c r="AM1173" t="s">
        <v>1145</v>
      </c>
      <c r="AN1173" t="s">
        <v>1146</v>
      </c>
      <c r="AO1173" s="100">
        <v>46262.040405092594</v>
      </c>
      <c r="AP1173" t="s">
        <v>1147</v>
      </c>
      <c r="AQ1173" t="s">
        <v>3571</v>
      </c>
      <c r="AR1173" t="s">
        <v>1245</v>
      </c>
      <c r="AS1173" t="s">
        <v>1150</v>
      </c>
      <c r="AT1173" t="s">
        <v>3479</v>
      </c>
      <c r="AU1173">
        <v>25</v>
      </c>
      <c r="AV1173">
        <v>0.41771199999999992</v>
      </c>
      <c r="AW1173">
        <v>1.5328848619514772E-2</v>
      </c>
      <c r="AX1173">
        <v>3.6697170824670526</v>
      </c>
      <c r="AY1173">
        <v>-27.637556225222781</v>
      </c>
      <c r="AZ1173">
        <v>33.692589411293419</v>
      </c>
      <c r="BB1173" t="s">
        <v>4620</v>
      </c>
      <c r="BD1173" s="98"/>
      <c r="BE1173" s="98"/>
      <c r="BF1173" t="s">
        <v>1152</v>
      </c>
      <c r="BG1173" t="s">
        <v>322</v>
      </c>
      <c r="BH1173" t="s">
        <v>1153</v>
      </c>
      <c r="BI1173">
        <v>27.637556225222781</v>
      </c>
      <c r="BN1173" t="s">
        <v>1154</v>
      </c>
      <c r="BO1173">
        <v>2025</v>
      </c>
      <c r="BP1173" t="s">
        <v>966</v>
      </c>
      <c r="BZ1173" t="s">
        <v>1513</v>
      </c>
      <c r="CA1173" t="s">
        <v>1513</v>
      </c>
      <c r="CB1173" t="b">
        <v>0</v>
      </c>
      <c r="CC1173" t="b">
        <v>0</v>
      </c>
      <c r="CD1173" t="b">
        <v>0</v>
      </c>
      <c r="CE1173" t="b">
        <v>0</v>
      </c>
      <c r="CF1173" t="b">
        <v>0</v>
      </c>
    </row>
    <row r="1174" spans="1:84" x14ac:dyDescent="0.3">
      <c r="A1174" t="s">
        <v>3572</v>
      </c>
      <c r="B1174" t="s">
        <v>1247</v>
      </c>
      <c r="C1174" s="98">
        <v>45817</v>
      </c>
      <c r="D1174">
        <v>2025</v>
      </c>
      <c r="E1174">
        <v>6</v>
      </c>
      <c r="F1174">
        <v>2</v>
      </c>
      <c r="G1174" t="s">
        <v>1243</v>
      </c>
      <c r="H1174" t="s">
        <v>146</v>
      </c>
      <c r="I1174" t="s">
        <v>146</v>
      </c>
      <c r="J1174" t="s">
        <v>6</v>
      </c>
      <c r="L1174">
        <v>522611</v>
      </c>
      <c r="M1174" s="99" t="s">
        <v>179</v>
      </c>
      <c r="N1174">
        <v>2</v>
      </c>
      <c r="O1174">
        <v>23</v>
      </c>
      <c r="P1174">
        <v>0.41189999999999999</v>
      </c>
      <c r="Q1174" t="s">
        <v>352</v>
      </c>
      <c r="R1174">
        <v>1</v>
      </c>
      <c r="S1174">
        <v>0.4224</v>
      </c>
      <c r="T1174">
        <v>1.77E-2</v>
      </c>
      <c r="U1174">
        <v>-0.59322033898305138</v>
      </c>
      <c r="V1174">
        <v>0.36930000000000002</v>
      </c>
      <c r="W1174">
        <v>0.38700000000000001</v>
      </c>
      <c r="X1174">
        <v>0.4047</v>
      </c>
      <c r="Y1174">
        <v>0.44009999999999999</v>
      </c>
      <c r="Z1174">
        <v>0.45779999999999998</v>
      </c>
      <c r="AA1174">
        <v>0.47549999999999998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 t="s">
        <v>462</v>
      </c>
      <c r="AL1174" t="s">
        <v>6</v>
      </c>
      <c r="AM1174" t="s">
        <v>1145</v>
      </c>
      <c r="AN1174" t="s">
        <v>1146</v>
      </c>
      <c r="AO1174" s="100">
        <v>46262.040405092594</v>
      </c>
      <c r="AP1174" t="s">
        <v>1147</v>
      </c>
      <c r="AQ1174" t="s">
        <v>3573</v>
      </c>
      <c r="AR1174" t="s">
        <v>1249</v>
      </c>
      <c r="AS1174" t="s">
        <v>1150</v>
      </c>
      <c r="AT1174" t="s">
        <v>3479</v>
      </c>
      <c r="AU1174">
        <v>25</v>
      </c>
      <c r="AV1174">
        <v>0.41771199999999992</v>
      </c>
      <c r="AW1174">
        <v>1.5328848619514772E-2</v>
      </c>
      <c r="AX1174">
        <v>3.6697170824670526</v>
      </c>
      <c r="AY1174">
        <v>-27.637556225222781</v>
      </c>
      <c r="AZ1174">
        <v>33.692589411293419</v>
      </c>
      <c r="BB1174" t="s">
        <v>4620</v>
      </c>
      <c r="BD1174" s="98"/>
      <c r="BE1174" s="98"/>
      <c r="BF1174" t="s">
        <v>1152</v>
      </c>
      <c r="BG1174" t="s">
        <v>322</v>
      </c>
      <c r="BH1174" t="s">
        <v>1153</v>
      </c>
      <c r="BI1174">
        <v>27.637556225222781</v>
      </c>
      <c r="BN1174" t="s">
        <v>1154</v>
      </c>
      <c r="BO1174">
        <v>2025</v>
      </c>
      <c r="BP1174" t="s">
        <v>966</v>
      </c>
      <c r="BZ1174" t="s">
        <v>1513</v>
      </c>
      <c r="CA1174" t="s">
        <v>1513</v>
      </c>
      <c r="CB1174" t="b">
        <v>0</v>
      </c>
      <c r="CC1174" t="b">
        <v>0</v>
      </c>
      <c r="CD1174" t="b">
        <v>0</v>
      </c>
      <c r="CE1174" t="b">
        <v>0</v>
      </c>
      <c r="CF1174" t="b">
        <v>0</v>
      </c>
    </row>
    <row r="1175" spans="1:84" x14ac:dyDescent="0.3">
      <c r="A1175" t="s">
        <v>3574</v>
      </c>
      <c r="B1175" t="s">
        <v>1251</v>
      </c>
      <c r="C1175" s="98">
        <v>45824</v>
      </c>
      <c r="D1175">
        <v>2025</v>
      </c>
      <c r="E1175">
        <v>6</v>
      </c>
      <c r="F1175">
        <v>2</v>
      </c>
      <c r="G1175" t="s">
        <v>1243</v>
      </c>
      <c r="H1175" t="s">
        <v>146</v>
      </c>
      <c r="I1175" t="s">
        <v>146</v>
      </c>
      <c r="J1175" t="s">
        <v>6</v>
      </c>
      <c r="L1175">
        <v>522611</v>
      </c>
      <c r="M1175" s="99" t="s">
        <v>179</v>
      </c>
      <c r="N1175">
        <v>2</v>
      </c>
      <c r="O1175">
        <v>24</v>
      </c>
      <c r="P1175">
        <v>0.41799999999999998</v>
      </c>
      <c r="Q1175" t="s">
        <v>352</v>
      </c>
      <c r="R1175">
        <v>1</v>
      </c>
      <c r="S1175">
        <v>0.4224</v>
      </c>
      <c r="T1175">
        <v>1.77E-2</v>
      </c>
      <c r="U1175">
        <v>-0.24858757062146977</v>
      </c>
      <c r="V1175">
        <v>0.36930000000000002</v>
      </c>
      <c r="W1175">
        <v>0.38700000000000001</v>
      </c>
      <c r="X1175">
        <v>0.4047</v>
      </c>
      <c r="Y1175">
        <v>0.44009999999999999</v>
      </c>
      <c r="Z1175">
        <v>0.45779999999999998</v>
      </c>
      <c r="AA1175">
        <v>0.47549999999999998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 t="s">
        <v>462</v>
      </c>
      <c r="AL1175" t="s">
        <v>6</v>
      </c>
      <c r="AM1175" t="s">
        <v>1145</v>
      </c>
      <c r="AN1175" t="s">
        <v>1146</v>
      </c>
      <c r="AO1175" s="100">
        <v>46262.040405092594</v>
      </c>
      <c r="AP1175" t="s">
        <v>1147</v>
      </c>
      <c r="AQ1175" t="s">
        <v>3575</v>
      </c>
      <c r="AR1175" t="s">
        <v>1253</v>
      </c>
      <c r="AS1175" t="s">
        <v>1150</v>
      </c>
      <c r="AT1175" t="s">
        <v>3479</v>
      </c>
      <c r="AU1175">
        <v>25</v>
      </c>
      <c r="AV1175">
        <v>0.41771199999999992</v>
      </c>
      <c r="AW1175">
        <v>1.5328848619514772E-2</v>
      </c>
      <c r="AX1175">
        <v>3.6697170824670526</v>
      </c>
      <c r="AY1175">
        <v>-27.637556225222781</v>
      </c>
      <c r="AZ1175">
        <v>33.692589411293419</v>
      </c>
      <c r="BB1175" t="s">
        <v>4620</v>
      </c>
      <c r="BD1175" s="98"/>
      <c r="BE1175" s="98"/>
      <c r="BF1175" t="s">
        <v>1152</v>
      </c>
      <c r="BG1175" t="s">
        <v>322</v>
      </c>
      <c r="BH1175" t="s">
        <v>1153</v>
      </c>
      <c r="BI1175">
        <v>27.637556225222781</v>
      </c>
      <c r="BN1175" t="s">
        <v>1154</v>
      </c>
      <c r="BO1175">
        <v>2025</v>
      </c>
      <c r="BP1175" t="s">
        <v>966</v>
      </c>
      <c r="BZ1175" t="s">
        <v>1513</v>
      </c>
      <c r="CA1175" t="s">
        <v>1513</v>
      </c>
      <c r="CB1175" t="b">
        <v>0</v>
      </c>
      <c r="CC1175" t="b">
        <v>0</v>
      </c>
      <c r="CD1175" t="b">
        <v>0</v>
      </c>
      <c r="CE1175" t="b">
        <v>0</v>
      </c>
      <c r="CF1175" t="b">
        <v>0</v>
      </c>
    </row>
    <row r="1176" spans="1:84" x14ac:dyDescent="0.3">
      <c r="A1176" t="s">
        <v>3576</v>
      </c>
      <c r="B1176" t="s">
        <v>1255</v>
      </c>
      <c r="C1176" s="98">
        <v>45831</v>
      </c>
      <c r="D1176">
        <v>2025</v>
      </c>
      <c r="E1176">
        <v>6</v>
      </c>
      <c r="F1176">
        <v>2</v>
      </c>
      <c r="G1176" t="s">
        <v>1243</v>
      </c>
      <c r="H1176" t="s">
        <v>146</v>
      </c>
      <c r="I1176" t="s">
        <v>146</v>
      </c>
      <c r="J1176" t="s">
        <v>6</v>
      </c>
      <c r="L1176">
        <v>522611</v>
      </c>
      <c r="M1176" s="99" t="s">
        <v>179</v>
      </c>
      <c r="N1176">
        <v>2</v>
      </c>
      <c r="O1176">
        <v>25</v>
      </c>
      <c r="P1176">
        <v>0.39029999999999998</v>
      </c>
      <c r="Q1176" t="s">
        <v>352</v>
      </c>
      <c r="R1176">
        <v>1</v>
      </c>
      <c r="S1176">
        <v>0.4224</v>
      </c>
      <c r="T1176">
        <v>1.77E-2</v>
      </c>
      <c r="U1176">
        <v>-1.8135593220338992</v>
      </c>
      <c r="V1176">
        <v>0.36930000000000002</v>
      </c>
      <c r="W1176">
        <v>0.38700000000000001</v>
      </c>
      <c r="X1176">
        <v>0.4047</v>
      </c>
      <c r="Y1176">
        <v>0.44009999999999999</v>
      </c>
      <c r="Z1176">
        <v>0.45779999999999998</v>
      </c>
      <c r="AA1176">
        <v>0.47549999999999998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 t="s">
        <v>462</v>
      </c>
      <c r="AL1176" t="s">
        <v>6</v>
      </c>
      <c r="AM1176" t="s">
        <v>1145</v>
      </c>
      <c r="AN1176" t="s">
        <v>1146</v>
      </c>
      <c r="AO1176" s="100">
        <v>46262.040405092594</v>
      </c>
      <c r="AP1176" t="s">
        <v>1147</v>
      </c>
      <c r="AQ1176" t="s">
        <v>3577</v>
      </c>
      <c r="AR1176" t="s">
        <v>1257</v>
      </c>
      <c r="AS1176" t="s">
        <v>1150</v>
      </c>
      <c r="AT1176" t="s">
        <v>3479</v>
      </c>
      <c r="AU1176">
        <v>25</v>
      </c>
      <c r="AV1176">
        <v>0.41771199999999992</v>
      </c>
      <c r="AW1176">
        <v>1.5328848619514772E-2</v>
      </c>
      <c r="AX1176">
        <v>3.6697170824670526</v>
      </c>
      <c r="AY1176">
        <v>-27.637556225222781</v>
      </c>
      <c r="AZ1176">
        <v>33.692589411293419</v>
      </c>
      <c r="BB1176" t="s">
        <v>4620</v>
      </c>
      <c r="BD1176" s="98"/>
      <c r="BE1176" s="98"/>
      <c r="BF1176" t="s">
        <v>1152</v>
      </c>
      <c r="BG1176" t="s">
        <v>322</v>
      </c>
      <c r="BH1176" t="s">
        <v>1153</v>
      </c>
      <c r="BI1176">
        <v>27.637556225222781</v>
      </c>
      <c r="BN1176" t="s">
        <v>1154</v>
      </c>
      <c r="BO1176">
        <v>2025</v>
      </c>
      <c r="BP1176" t="s">
        <v>966</v>
      </c>
      <c r="BZ1176" t="s">
        <v>1513</v>
      </c>
      <c r="CA1176" t="s">
        <v>1513</v>
      </c>
      <c r="CB1176" t="b">
        <v>0</v>
      </c>
      <c r="CC1176" t="b">
        <v>0</v>
      </c>
      <c r="CD1176" t="b">
        <v>0</v>
      </c>
      <c r="CE1176" t="b">
        <v>0</v>
      </c>
      <c r="CF1176" t="b">
        <v>0</v>
      </c>
    </row>
    <row r="1177" spans="1:84" x14ac:dyDescent="0.3">
      <c r="A1177" t="s">
        <v>3578</v>
      </c>
      <c r="B1177" t="s">
        <v>1143</v>
      </c>
      <c r="C1177" s="98">
        <v>45663</v>
      </c>
      <c r="D1177">
        <v>2025</v>
      </c>
      <c r="E1177">
        <v>1</v>
      </c>
      <c r="F1177">
        <v>1</v>
      </c>
      <c r="G1177" t="s">
        <v>1144</v>
      </c>
      <c r="H1177" t="s">
        <v>146</v>
      </c>
      <c r="I1177" t="s">
        <v>146</v>
      </c>
      <c r="J1177" t="s">
        <v>6</v>
      </c>
      <c r="L1177">
        <v>522611</v>
      </c>
      <c r="M1177" s="99" t="s">
        <v>180</v>
      </c>
      <c r="N1177">
        <v>3</v>
      </c>
      <c r="O1177">
        <v>1</v>
      </c>
      <c r="P1177">
        <v>1.0515000000000001</v>
      </c>
      <c r="Q1177" t="s">
        <v>352</v>
      </c>
      <c r="R1177">
        <v>1</v>
      </c>
      <c r="S1177">
        <v>1.089</v>
      </c>
      <c r="T1177">
        <v>3.2599999999999997E-2</v>
      </c>
      <c r="U1177">
        <v>-1.1503067484662537</v>
      </c>
      <c r="V1177">
        <v>0.99119999999999997</v>
      </c>
      <c r="W1177">
        <v>1.0238</v>
      </c>
      <c r="X1177">
        <v>1.0564</v>
      </c>
      <c r="Y1177">
        <v>1.1215999999999999</v>
      </c>
      <c r="Z1177">
        <v>1.1541999999999999</v>
      </c>
      <c r="AA1177">
        <v>1.1867999999999999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 t="s">
        <v>462</v>
      </c>
      <c r="AL1177" t="s">
        <v>6</v>
      </c>
      <c r="AM1177" t="s">
        <v>1145</v>
      </c>
      <c r="AN1177" t="s">
        <v>1146</v>
      </c>
      <c r="AO1177" s="100">
        <v>46262.040405092594</v>
      </c>
      <c r="AP1177" t="s">
        <v>1147</v>
      </c>
      <c r="AQ1177" t="s">
        <v>3579</v>
      </c>
      <c r="AR1177" t="s">
        <v>1149</v>
      </c>
      <c r="AS1177" t="s">
        <v>1150</v>
      </c>
      <c r="AT1177" t="s">
        <v>3479</v>
      </c>
      <c r="AU1177">
        <v>25</v>
      </c>
      <c r="AV1177">
        <v>1.0887040000000001</v>
      </c>
      <c r="AW1177">
        <v>3.115325665159261E-2</v>
      </c>
      <c r="AX1177">
        <v>2.8614992368534153</v>
      </c>
      <c r="AY1177">
        <v>-27.637556225222781</v>
      </c>
      <c r="AZ1177">
        <v>32.359029966030917</v>
      </c>
      <c r="BB1177" t="s">
        <v>4620</v>
      </c>
      <c r="BD1177" s="98"/>
      <c r="BE1177" s="98"/>
      <c r="BF1177" t="s">
        <v>1152</v>
      </c>
      <c r="BG1177" t="s">
        <v>322</v>
      </c>
      <c r="BH1177" t="s">
        <v>1153</v>
      </c>
      <c r="BI1177">
        <v>27.637556225222781</v>
      </c>
      <c r="BN1177" t="s">
        <v>1154</v>
      </c>
      <c r="BO1177">
        <v>2025</v>
      </c>
      <c r="BP1177" t="s">
        <v>966</v>
      </c>
      <c r="BZ1177" t="s">
        <v>1513</v>
      </c>
      <c r="CA1177" t="s">
        <v>1513</v>
      </c>
      <c r="CB1177" t="b">
        <v>0</v>
      </c>
      <c r="CC1177" t="b">
        <v>0</v>
      </c>
      <c r="CD1177" t="b">
        <v>0</v>
      </c>
      <c r="CE1177" t="b">
        <v>0</v>
      </c>
      <c r="CF1177" t="b">
        <v>0</v>
      </c>
    </row>
    <row r="1178" spans="1:84" x14ac:dyDescent="0.3">
      <c r="A1178" t="s">
        <v>3580</v>
      </c>
      <c r="B1178" t="s">
        <v>1157</v>
      </c>
      <c r="C1178" s="98">
        <v>45670</v>
      </c>
      <c r="D1178">
        <v>2025</v>
      </c>
      <c r="E1178">
        <v>1</v>
      </c>
      <c r="F1178">
        <v>1</v>
      </c>
      <c r="G1178" t="s">
        <v>1144</v>
      </c>
      <c r="H1178" t="s">
        <v>146</v>
      </c>
      <c r="I1178" t="s">
        <v>146</v>
      </c>
      <c r="J1178" t="s">
        <v>6</v>
      </c>
      <c r="L1178">
        <v>522611</v>
      </c>
      <c r="M1178" s="99" t="s">
        <v>180</v>
      </c>
      <c r="N1178">
        <v>3</v>
      </c>
      <c r="O1178">
        <v>2</v>
      </c>
      <c r="P1178">
        <v>1.1415999999999999</v>
      </c>
      <c r="Q1178" t="s">
        <v>352</v>
      </c>
      <c r="R1178">
        <v>1</v>
      </c>
      <c r="S1178">
        <v>1.089</v>
      </c>
      <c r="T1178">
        <v>3.2599999999999997E-2</v>
      </c>
      <c r="U1178">
        <v>1.613496932515337</v>
      </c>
      <c r="V1178">
        <v>0.99119999999999997</v>
      </c>
      <c r="W1178">
        <v>1.0238</v>
      </c>
      <c r="X1178">
        <v>1.0564</v>
      </c>
      <c r="Y1178">
        <v>1.1215999999999999</v>
      </c>
      <c r="Z1178">
        <v>1.1541999999999999</v>
      </c>
      <c r="AA1178">
        <v>1.1867999999999999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 t="s">
        <v>462</v>
      </c>
      <c r="AL1178" t="s">
        <v>6</v>
      </c>
      <c r="AM1178" t="s">
        <v>1145</v>
      </c>
      <c r="AN1178" t="s">
        <v>1146</v>
      </c>
      <c r="AO1178" s="100">
        <v>46262.040405092594</v>
      </c>
      <c r="AP1178" t="s">
        <v>1147</v>
      </c>
      <c r="AQ1178" t="s">
        <v>3581</v>
      </c>
      <c r="AR1178" t="s">
        <v>1159</v>
      </c>
      <c r="AS1178" t="s">
        <v>1150</v>
      </c>
      <c r="AT1178" t="s">
        <v>3479</v>
      </c>
      <c r="AU1178">
        <v>25</v>
      </c>
      <c r="AV1178">
        <v>1.0887040000000001</v>
      </c>
      <c r="AW1178">
        <v>3.115325665159261E-2</v>
      </c>
      <c r="AX1178">
        <v>2.8614992368534153</v>
      </c>
      <c r="AY1178">
        <v>-27.637556225222781</v>
      </c>
      <c r="AZ1178">
        <v>32.359029966030917</v>
      </c>
      <c r="BB1178" t="s">
        <v>4620</v>
      </c>
      <c r="BD1178" s="98"/>
      <c r="BE1178" s="98"/>
      <c r="BF1178" t="s">
        <v>1152</v>
      </c>
      <c r="BG1178" t="s">
        <v>322</v>
      </c>
      <c r="BH1178" t="s">
        <v>1153</v>
      </c>
      <c r="BI1178">
        <v>27.637556225222781</v>
      </c>
      <c r="BN1178" t="s">
        <v>1154</v>
      </c>
      <c r="BO1178">
        <v>2025</v>
      </c>
      <c r="BP1178" t="s">
        <v>966</v>
      </c>
      <c r="BZ1178" t="s">
        <v>1513</v>
      </c>
      <c r="CA1178" t="s">
        <v>1513</v>
      </c>
      <c r="CB1178" t="b">
        <v>0</v>
      </c>
      <c r="CC1178" t="b">
        <v>0</v>
      </c>
      <c r="CD1178" t="b">
        <v>0</v>
      </c>
      <c r="CE1178" t="b">
        <v>0</v>
      </c>
      <c r="CF1178" t="b">
        <v>0</v>
      </c>
    </row>
    <row r="1179" spans="1:84" x14ac:dyDescent="0.3">
      <c r="A1179" t="s">
        <v>3582</v>
      </c>
      <c r="B1179" t="s">
        <v>1161</v>
      </c>
      <c r="C1179" s="98">
        <v>45677</v>
      </c>
      <c r="D1179">
        <v>2025</v>
      </c>
      <c r="E1179">
        <v>1</v>
      </c>
      <c r="F1179">
        <v>1</v>
      </c>
      <c r="G1179" t="s">
        <v>1144</v>
      </c>
      <c r="H1179" t="s">
        <v>146</v>
      </c>
      <c r="I1179" t="s">
        <v>146</v>
      </c>
      <c r="J1179" t="s">
        <v>6</v>
      </c>
      <c r="L1179">
        <v>522611</v>
      </c>
      <c r="M1179" s="99" t="s">
        <v>180</v>
      </c>
      <c r="N1179">
        <v>3</v>
      </c>
      <c r="O1179">
        <v>3</v>
      </c>
      <c r="P1179">
        <v>1.0177</v>
      </c>
      <c r="Q1179" t="s">
        <v>352</v>
      </c>
      <c r="R1179">
        <v>1</v>
      </c>
      <c r="S1179">
        <v>1.089</v>
      </c>
      <c r="T1179">
        <v>3.2599999999999997E-2</v>
      </c>
      <c r="U1179">
        <v>-2.1871165644171757</v>
      </c>
      <c r="V1179">
        <v>0.99119999999999997</v>
      </c>
      <c r="W1179">
        <v>1.0238</v>
      </c>
      <c r="X1179">
        <v>1.0564</v>
      </c>
      <c r="Y1179">
        <v>1.1215999999999999</v>
      </c>
      <c r="Z1179">
        <v>1.1541999999999999</v>
      </c>
      <c r="AA1179">
        <v>1.1867999999999999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1</v>
      </c>
      <c r="AK1179" t="s">
        <v>462</v>
      </c>
      <c r="AL1179" t="s">
        <v>6</v>
      </c>
      <c r="AM1179" t="s">
        <v>1145</v>
      </c>
      <c r="AN1179" t="s">
        <v>1146</v>
      </c>
      <c r="AO1179" s="100">
        <v>46262.040405092594</v>
      </c>
      <c r="AP1179" t="s">
        <v>1147</v>
      </c>
      <c r="AQ1179" t="s">
        <v>3583</v>
      </c>
      <c r="AR1179" t="s">
        <v>1163</v>
      </c>
      <c r="AS1179" t="s">
        <v>1150</v>
      </c>
      <c r="AT1179" t="s">
        <v>3479</v>
      </c>
      <c r="AU1179">
        <v>25</v>
      </c>
      <c r="AV1179">
        <v>1.0887040000000001</v>
      </c>
      <c r="AW1179">
        <v>3.115325665159261E-2</v>
      </c>
      <c r="AX1179">
        <v>2.8614992368534153</v>
      </c>
      <c r="AY1179">
        <v>-27.637556225222781</v>
      </c>
      <c r="AZ1179">
        <v>32.359029966030917</v>
      </c>
      <c r="BB1179" t="s">
        <v>4620</v>
      </c>
      <c r="BD1179" s="98"/>
      <c r="BE1179" s="98"/>
      <c r="BF1179" t="s">
        <v>1152</v>
      </c>
      <c r="BG1179" t="s">
        <v>322</v>
      </c>
      <c r="BH1179" t="s">
        <v>1153</v>
      </c>
      <c r="BI1179">
        <v>27.637556225222781</v>
      </c>
      <c r="BN1179" t="s">
        <v>1154</v>
      </c>
      <c r="BO1179">
        <v>2025</v>
      </c>
      <c r="BP1179" t="s">
        <v>966</v>
      </c>
      <c r="BZ1179" t="s">
        <v>1513</v>
      </c>
      <c r="CA1179" t="s">
        <v>1513</v>
      </c>
      <c r="CB1179" t="b">
        <v>0</v>
      </c>
      <c r="CC1179" t="b">
        <v>0</v>
      </c>
      <c r="CD1179" t="b">
        <v>0</v>
      </c>
      <c r="CE1179" t="b">
        <v>0</v>
      </c>
      <c r="CF1179" t="b">
        <v>0</v>
      </c>
    </row>
    <row r="1180" spans="1:84" x14ac:dyDescent="0.3">
      <c r="A1180" t="s">
        <v>3584</v>
      </c>
      <c r="B1180" t="s">
        <v>1165</v>
      </c>
      <c r="C1180" s="98">
        <v>45684</v>
      </c>
      <c r="D1180">
        <v>2025</v>
      </c>
      <c r="E1180">
        <v>1</v>
      </c>
      <c r="F1180">
        <v>1</v>
      </c>
      <c r="G1180" t="s">
        <v>1144</v>
      </c>
      <c r="H1180" t="s">
        <v>146</v>
      </c>
      <c r="I1180" t="s">
        <v>146</v>
      </c>
      <c r="J1180" t="s">
        <v>6</v>
      </c>
      <c r="L1180">
        <v>522611</v>
      </c>
      <c r="M1180" s="99" t="s">
        <v>180</v>
      </c>
      <c r="N1180">
        <v>3</v>
      </c>
      <c r="O1180">
        <v>4</v>
      </c>
      <c r="P1180">
        <v>1.0780000000000001</v>
      </c>
      <c r="Q1180" t="s">
        <v>352</v>
      </c>
      <c r="R1180">
        <v>1</v>
      </c>
      <c r="S1180">
        <v>1.089</v>
      </c>
      <c r="T1180">
        <v>3.2599999999999997E-2</v>
      </c>
      <c r="U1180">
        <v>-0.33742331288343252</v>
      </c>
      <c r="V1180">
        <v>0.99119999999999997</v>
      </c>
      <c r="W1180">
        <v>1.0238</v>
      </c>
      <c r="X1180">
        <v>1.0564</v>
      </c>
      <c r="Y1180">
        <v>1.1215999999999999</v>
      </c>
      <c r="Z1180">
        <v>1.1541999999999999</v>
      </c>
      <c r="AA1180">
        <v>1.1867999999999999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 t="s">
        <v>462</v>
      </c>
      <c r="AL1180" t="s">
        <v>6</v>
      </c>
      <c r="AM1180" t="s">
        <v>1145</v>
      </c>
      <c r="AN1180" t="s">
        <v>1146</v>
      </c>
      <c r="AO1180" s="100">
        <v>46262.040405092594</v>
      </c>
      <c r="AP1180" t="s">
        <v>1147</v>
      </c>
      <c r="AQ1180" t="s">
        <v>3585</v>
      </c>
      <c r="AR1180" t="s">
        <v>1167</v>
      </c>
      <c r="AS1180" t="s">
        <v>1150</v>
      </c>
      <c r="AT1180" t="s">
        <v>3479</v>
      </c>
      <c r="AU1180">
        <v>25</v>
      </c>
      <c r="AV1180">
        <v>1.0887040000000001</v>
      </c>
      <c r="AW1180">
        <v>3.115325665159261E-2</v>
      </c>
      <c r="AX1180">
        <v>2.8614992368534153</v>
      </c>
      <c r="AY1180">
        <v>-27.637556225222781</v>
      </c>
      <c r="AZ1180">
        <v>32.359029966030917</v>
      </c>
      <c r="BB1180" t="s">
        <v>4620</v>
      </c>
      <c r="BD1180" s="98"/>
      <c r="BE1180" s="98"/>
      <c r="BF1180" t="s">
        <v>1152</v>
      </c>
      <c r="BG1180" t="s">
        <v>322</v>
      </c>
      <c r="BH1180" t="s">
        <v>1153</v>
      </c>
      <c r="BI1180">
        <v>27.637556225222781</v>
      </c>
      <c r="BN1180" t="s">
        <v>1154</v>
      </c>
      <c r="BO1180">
        <v>2025</v>
      </c>
      <c r="BP1180" t="s">
        <v>966</v>
      </c>
      <c r="BZ1180" t="s">
        <v>1513</v>
      </c>
      <c r="CA1180" t="s">
        <v>1513</v>
      </c>
      <c r="CB1180" t="b">
        <v>0</v>
      </c>
      <c r="CC1180" t="b">
        <v>0</v>
      </c>
      <c r="CD1180" t="b">
        <v>0</v>
      </c>
      <c r="CE1180" t="b">
        <v>0</v>
      </c>
      <c r="CF1180" t="b">
        <v>0</v>
      </c>
    </row>
    <row r="1181" spans="1:84" x14ac:dyDescent="0.3">
      <c r="A1181" t="s">
        <v>3586</v>
      </c>
      <c r="B1181" t="s">
        <v>1169</v>
      </c>
      <c r="C1181" s="98">
        <v>45691</v>
      </c>
      <c r="D1181">
        <v>2025</v>
      </c>
      <c r="E1181">
        <v>2</v>
      </c>
      <c r="F1181">
        <v>1</v>
      </c>
      <c r="G1181" t="s">
        <v>1170</v>
      </c>
      <c r="H1181" t="s">
        <v>146</v>
      </c>
      <c r="I1181" t="s">
        <v>146</v>
      </c>
      <c r="J1181" t="s">
        <v>6</v>
      </c>
      <c r="L1181">
        <v>522611</v>
      </c>
      <c r="M1181" s="99" t="s">
        <v>180</v>
      </c>
      <c r="N1181">
        <v>3</v>
      </c>
      <c r="O1181">
        <v>5</v>
      </c>
      <c r="P1181">
        <v>1.0961000000000001</v>
      </c>
      <c r="Q1181" t="s">
        <v>352</v>
      </c>
      <c r="R1181">
        <v>1</v>
      </c>
      <c r="S1181">
        <v>1.089</v>
      </c>
      <c r="T1181">
        <v>3.2599999999999997E-2</v>
      </c>
      <c r="U1181">
        <v>0.21779141104294805</v>
      </c>
      <c r="V1181">
        <v>0.99119999999999997</v>
      </c>
      <c r="W1181">
        <v>1.0238</v>
      </c>
      <c r="X1181">
        <v>1.0564</v>
      </c>
      <c r="Y1181">
        <v>1.1215999999999999</v>
      </c>
      <c r="Z1181">
        <v>1.1541999999999999</v>
      </c>
      <c r="AA1181">
        <v>1.1867999999999999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 t="s">
        <v>462</v>
      </c>
      <c r="AL1181" t="s">
        <v>6</v>
      </c>
      <c r="AM1181" t="s">
        <v>1145</v>
      </c>
      <c r="AN1181" t="s">
        <v>1146</v>
      </c>
      <c r="AO1181" s="100">
        <v>46262.040405092594</v>
      </c>
      <c r="AP1181" t="s">
        <v>1147</v>
      </c>
      <c r="AQ1181" t="s">
        <v>3587</v>
      </c>
      <c r="AR1181" t="s">
        <v>1172</v>
      </c>
      <c r="AS1181" t="s">
        <v>1150</v>
      </c>
      <c r="AT1181" t="s">
        <v>3479</v>
      </c>
      <c r="AU1181">
        <v>25</v>
      </c>
      <c r="AV1181">
        <v>1.0887040000000001</v>
      </c>
      <c r="AW1181">
        <v>3.115325665159261E-2</v>
      </c>
      <c r="AX1181">
        <v>2.8614992368534153</v>
      </c>
      <c r="AY1181">
        <v>-27.637556225222781</v>
      </c>
      <c r="AZ1181">
        <v>32.359029966030917</v>
      </c>
      <c r="BB1181" t="s">
        <v>4620</v>
      </c>
      <c r="BD1181" s="98"/>
      <c r="BE1181" s="98"/>
      <c r="BF1181" t="s">
        <v>1152</v>
      </c>
      <c r="BG1181" t="s">
        <v>322</v>
      </c>
      <c r="BH1181" t="s">
        <v>1153</v>
      </c>
      <c r="BI1181">
        <v>27.637556225222781</v>
      </c>
      <c r="BN1181" t="s">
        <v>1154</v>
      </c>
      <c r="BO1181">
        <v>2025</v>
      </c>
      <c r="BP1181" t="s">
        <v>966</v>
      </c>
      <c r="BZ1181" t="s">
        <v>1513</v>
      </c>
      <c r="CA1181" t="s">
        <v>1513</v>
      </c>
      <c r="CB1181" t="b">
        <v>0</v>
      </c>
      <c r="CC1181" t="b">
        <v>0</v>
      </c>
      <c r="CD1181" t="b">
        <v>0</v>
      </c>
      <c r="CE1181" t="b">
        <v>0</v>
      </c>
      <c r="CF1181" t="b">
        <v>0</v>
      </c>
    </row>
    <row r="1182" spans="1:84" x14ac:dyDescent="0.3">
      <c r="A1182" t="s">
        <v>3588</v>
      </c>
      <c r="B1182" t="s">
        <v>1174</v>
      </c>
      <c r="C1182" s="98">
        <v>45698</v>
      </c>
      <c r="D1182">
        <v>2025</v>
      </c>
      <c r="E1182">
        <v>2</v>
      </c>
      <c r="F1182">
        <v>1</v>
      </c>
      <c r="G1182" t="s">
        <v>1170</v>
      </c>
      <c r="H1182" t="s">
        <v>146</v>
      </c>
      <c r="I1182" t="s">
        <v>146</v>
      </c>
      <c r="J1182" t="s">
        <v>6</v>
      </c>
      <c r="L1182">
        <v>522611</v>
      </c>
      <c r="M1182" s="99" t="s">
        <v>180</v>
      </c>
      <c r="N1182">
        <v>3</v>
      </c>
      <c r="O1182">
        <v>6</v>
      </c>
      <c r="P1182">
        <v>1.0768</v>
      </c>
      <c r="Q1182" t="s">
        <v>352</v>
      </c>
      <c r="R1182">
        <v>1</v>
      </c>
      <c r="S1182">
        <v>1.089</v>
      </c>
      <c r="T1182">
        <v>3.2599999999999997E-2</v>
      </c>
      <c r="U1182">
        <v>-0.3742331288343555</v>
      </c>
      <c r="V1182">
        <v>0.99119999999999997</v>
      </c>
      <c r="W1182">
        <v>1.0238</v>
      </c>
      <c r="X1182">
        <v>1.0564</v>
      </c>
      <c r="Y1182">
        <v>1.1215999999999999</v>
      </c>
      <c r="Z1182">
        <v>1.1541999999999999</v>
      </c>
      <c r="AA1182">
        <v>1.1867999999999999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 t="s">
        <v>462</v>
      </c>
      <c r="AL1182" t="s">
        <v>6</v>
      </c>
      <c r="AM1182" t="s">
        <v>1145</v>
      </c>
      <c r="AN1182" t="s">
        <v>1146</v>
      </c>
      <c r="AO1182" s="100">
        <v>46262.040405092594</v>
      </c>
      <c r="AP1182" t="s">
        <v>1147</v>
      </c>
      <c r="AQ1182" t="s">
        <v>3589</v>
      </c>
      <c r="AR1182" t="s">
        <v>1176</v>
      </c>
      <c r="AS1182" t="s">
        <v>1150</v>
      </c>
      <c r="AT1182" t="s">
        <v>3479</v>
      </c>
      <c r="AU1182">
        <v>25</v>
      </c>
      <c r="AV1182">
        <v>1.0887040000000001</v>
      </c>
      <c r="AW1182">
        <v>3.115325665159261E-2</v>
      </c>
      <c r="AX1182">
        <v>2.8614992368534153</v>
      </c>
      <c r="AY1182">
        <v>-27.637556225222781</v>
      </c>
      <c r="AZ1182">
        <v>32.359029966030917</v>
      </c>
      <c r="BB1182" t="s">
        <v>4620</v>
      </c>
      <c r="BD1182" s="98"/>
      <c r="BE1182" s="98"/>
      <c r="BF1182" t="s">
        <v>1152</v>
      </c>
      <c r="BG1182" t="s">
        <v>322</v>
      </c>
      <c r="BH1182" t="s">
        <v>1153</v>
      </c>
      <c r="BI1182">
        <v>27.637556225222781</v>
      </c>
      <c r="BN1182" t="s">
        <v>1154</v>
      </c>
      <c r="BO1182">
        <v>2025</v>
      </c>
      <c r="BP1182" t="s">
        <v>966</v>
      </c>
      <c r="BZ1182" t="s">
        <v>1513</v>
      </c>
      <c r="CA1182" t="s">
        <v>1513</v>
      </c>
      <c r="CB1182" t="b">
        <v>0</v>
      </c>
      <c r="CC1182" t="b">
        <v>0</v>
      </c>
      <c r="CD1182" t="b">
        <v>0</v>
      </c>
      <c r="CE1182" t="b">
        <v>0</v>
      </c>
      <c r="CF1182" t="b">
        <v>0</v>
      </c>
    </row>
    <row r="1183" spans="1:84" x14ac:dyDescent="0.3">
      <c r="A1183" t="s">
        <v>3590</v>
      </c>
      <c r="B1183" t="s">
        <v>1178</v>
      </c>
      <c r="C1183" s="98">
        <v>45705</v>
      </c>
      <c r="D1183">
        <v>2025</v>
      </c>
      <c r="E1183">
        <v>2</v>
      </c>
      <c r="F1183">
        <v>1</v>
      </c>
      <c r="G1183" t="s">
        <v>1170</v>
      </c>
      <c r="H1183" t="s">
        <v>146</v>
      </c>
      <c r="I1183" t="s">
        <v>146</v>
      </c>
      <c r="J1183" t="s">
        <v>6</v>
      </c>
      <c r="L1183">
        <v>522611</v>
      </c>
      <c r="M1183" s="99" t="s">
        <v>180</v>
      </c>
      <c r="N1183">
        <v>3</v>
      </c>
      <c r="O1183">
        <v>7</v>
      </c>
      <c r="P1183">
        <v>1.0627</v>
      </c>
      <c r="Q1183" t="s">
        <v>352</v>
      </c>
      <c r="R1183">
        <v>1</v>
      </c>
      <c r="S1183">
        <v>1.089</v>
      </c>
      <c r="T1183">
        <v>3.2599999999999997E-2</v>
      </c>
      <c r="U1183">
        <v>-0.8067484662576685</v>
      </c>
      <c r="V1183">
        <v>0.99119999999999997</v>
      </c>
      <c r="W1183">
        <v>1.0238</v>
      </c>
      <c r="X1183">
        <v>1.0564</v>
      </c>
      <c r="Y1183">
        <v>1.1215999999999999</v>
      </c>
      <c r="Z1183">
        <v>1.1541999999999999</v>
      </c>
      <c r="AA1183">
        <v>1.1867999999999999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 t="s">
        <v>462</v>
      </c>
      <c r="AL1183" t="s">
        <v>6</v>
      </c>
      <c r="AM1183" t="s">
        <v>1145</v>
      </c>
      <c r="AN1183" t="s">
        <v>1146</v>
      </c>
      <c r="AO1183" s="100">
        <v>46262.040405092594</v>
      </c>
      <c r="AP1183" t="s">
        <v>1147</v>
      </c>
      <c r="AQ1183" t="s">
        <v>3591</v>
      </c>
      <c r="AR1183" t="s">
        <v>1180</v>
      </c>
      <c r="AS1183" t="s">
        <v>1150</v>
      </c>
      <c r="AT1183" t="s">
        <v>3479</v>
      </c>
      <c r="AU1183">
        <v>25</v>
      </c>
      <c r="AV1183">
        <v>1.0887040000000001</v>
      </c>
      <c r="AW1183">
        <v>3.115325665159261E-2</v>
      </c>
      <c r="AX1183">
        <v>2.8614992368534153</v>
      </c>
      <c r="AY1183">
        <v>-27.637556225222781</v>
      </c>
      <c r="AZ1183">
        <v>32.359029966030917</v>
      </c>
      <c r="BB1183" t="s">
        <v>4620</v>
      </c>
      <c r="BD1183" s="98"/>
      <c r="BE1183" s="98"/>
      <c r="BF1183" t="s">
        <v>1152</v>
      </c>
      <c r="BG1183" t="s">
        <v>322</v>
      </c>
      <c r="BH1183" t="s">
        <v>1153</v>
      </c>
      <c r="BI1183">
        <v>27.637556225222781</v>
      </c>
      <c r="BN1183" t="s">
        <v>1154</v>
      </c>
      <c r="BO1183">
        <v>2025</v>
      </c>
      <c r="BP1183" t="s">
        <v>966</v>
      </c>
      <c r="BZ1183" t="s">
        <v>1513</v>
      </c>
      <c r="CA1183" t="s">
        <v>1513</v>
      </c>
      <c r="CB1183" t="b">
        <v>0</v>
      </c>
      <c r="CC1183" t="b">
        <v>0</v>
      </c>
      <c r="CD1183" t="b">
        <v>0</v>
      </c>
      <c r="CE1183" t="b">
        <v>0</v>
      </c>
      <c r="CF1183" t="b">
        <v>0</v>
      </c>
    </row>
    <row r="1184" spans="1:84" x14ac:dyDescent="0.3">
      <c r="A1184" t="s">
        <v>3592</v>
      </c>
      <c r="B1184" t="s">
        <v>1182</v>
      </c>
      <c r="C1184" s="98">
        <v>45712</v>
      </c>
      <c r="D1184">
        <v>2025</v>
      </c>
      <c r="E1184">
        <v>2</v>
      </c>
      <c r="F1184">
        <v>1</v>
      </c>
      <c r="G1184" t="s">
        <v>1170</v>
      </c>
      <c r="H1184" t="s">
        <v>146</v>
      </c>
      <c r="I1184" t="s">
        <v>146</v>
      </c>
      <c r="J1184" t="s">
        <v>6</v>
      </c>
      <c r="L1184">
        <v>522611</v>
      </c>
      <c r="M1184" s="99" t="s">
        <v>180</v>
      </c>
      <c r="N1184">
        <v>3</v>
      </c>
      <c r="O1184">
        <v>8</v>
      </c>
      <c r="P1184">
        <v>1.087</v>
      </c>
      <c r="Q1184" t="s">
        <v>352</v>
      </c>
      <c r="R1184">
        <v>1</v>
      </c>
      <c r="S1184">
        <v>1.089</v>
      </c>
      <c r="T1184">
        <v>3.2599999999999997E-2</v>
      </c>
      <c r="U1184">
        <v>-6.1349693251533804E-2</v>
      </c>
      <c r="V1184">
        <v>0.99119999999999997</v>
      </c>
      <c r="W1184">
        <v>1.0238</v>
      </c>
      <c r="X1184">
        <v>1.0564</v>
      </c>
      <c r="Y1184">
        <v>1.1215999999999999</v>
      </c>
      <c r="Z1184">
        <v>1.1541999999999999</v>
      </c>
      <c r="AA1184">
        <v>1.1867999999999999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 t="s">
        <v>462</v>
      </c>
      <c r="AL1184" t="s">
        <v>6</v>
      </c>
      <c r="AM1184" t="s">
        <v>1145</v>
      </c>
      <c r="AN1184" t="s">
        <v>1146</v>
      </c>
      <c r="AO1184" s="100">
        <v>46262.040405092594</v>
      </c>
      <c r="AP1184" t="s">
        <v>1147</v>
      </c>
      <c r="AQ1184" t="s">
        <v>3593</v>
      </c>
      <c r="AR1184" t="s">
        <v>1184</v>
      </c>
      <c r="AS1184" t="s">
        <v>1150</v>
      </c>
      <c r="AT1184" t="s">
        <v>3479</v>
      </c>
      <c r="AU1184">
        <v>25</v>
      </c>
      <c r="AV1184">
        <v>1.0887040000000001</v>
      </c>
      <c r="AW1184">
        <v>3.115325665159261E-2</v>
      </c>
      <c r="AX1184">
        <v>2.8614992368534153</v>
      </c>
      <c r="AY1184">
        <v>-27.637556225222781</v>
      </c>
      <c r="AZ1184">
        <v>32.359029966030917</v>
      </c>
      <c r="BB1184" t="s">
        <v>4620</v>
      </c>
      <c r="BD1184" s="98"/>
      <c r="BE1184" s="98"/>
      <c r="BF1184" t="s">
        <v>1152</v>
      </c>
      <c r="BG1184" t="s">
        <v>322</v>
      </c>
      <c r="BH1184" t="s">
        <v>1153</v>
      </c>
      <c r="BI1184">
        <v>27.637556225222781</v>
      </c>
      <c r="BN1184" t="s">
        <v>1154</v>
      </c>
      <c r="BO1184">
        <v>2025</v>
      </c>
      <c r="BP1184" t="s">
        <v>966</v>
      </c>
      <c r="BZ1184" t="s">
        <v>1513</v>
      </c>
      <c r="CA1184" t="s">
        <v>1513</v>
      </c>
      <c r="CB1184" t="b">
        <v>0</v>
      </c>
      <c r="CC1184" t="b">
        <v>0</v>
      </c>
      <c r="CD1184" t="b">
        <v>0</v>
      </c>
      <c r="CE1184" t="b">
        <v>0</v>
      </c>
      <c r="CF1184" t="b">
        <v>0</v>
      </c>
    </row>
    <row r="1185" spans="1:84" x14ac:dyDescent="0.3">
      <c r="A1185" t="s">
        <v>3594</v>
      </c>
      <c r="B1185" t="s">
        <v>1186</v>
      </c>
      <c r="C1185" s="98">
        <v>45719</v>
      </c>
      <c r="D1185">
        <v>2025</v>
      </c>
      <c r="E1185">
        <v>3</v>
      </c>
      <c r="F1185">
        <v>1</v>
      </c>
      <c r="G1185" t="s">
        <v>1187</v>
      </c>
      <c r="H1185" t="s">
        <v>146</v>
      </c>
      <c r="I1185" t="s">
        <v>146</v>
      </c>
      <c r="J1185" t="s">
        <v>6</v>
      </c>
      <c r="L1185">
        <v>522611</v>
      </c>
      <c r="M1185" s="99" t="s">
        <v>180</v>
      </c>
      <c r="N1185">
        <v>3</v>
      </c>
      <c r="O1185">
        <v>9</v>
      </c>
      <c r="P1185">
        <v>1.0888</v>
      </c>
      <c r="Q1185" t="s">
        <v>352</v>
      </c>
      <c r="R1185">
        <v>1</v>
      </c>
      <c r="S1185">
        <v>1.089</v>
      </c>
      <c r="T1185">
        <v>3.2599999999999997E-2</v>
      </c>
      <c r="U1185">
        <v>-6.1349693251526987E-3</v>
      </c>
      <c r="V1185">
        <v>0.99119999999999997</v>
      </c>
      <c r="W1185">
        <v>1.0238</v>
      </c>
      <c r="X1185">
        <v>1.0564</v>
      </c>
      <c r="Y1185">
        <v>1.1215999999999999</v>
      </c>
      <c r="Z1185">
        <v>1.1541999999999999</v>
      </c>
      <c r="AA1185">
        <v>1.1867999999999999</v>
      </c>
      <c r="AE1185">
        <v>0</v>
      </c>
      <c r="AF1185">
        <v>0</v>
      </c>
      <c r="AG1185">
        <v>0</v>
      </c>
      <c r="AH1185">
        <v>0</v>
      </c>
      <c r="AI1185">
        <v>1</v>
      </c>
      <c r="AJ1185">
        <v>0</v>
      </c>
      <c r="AK1185" t="s">
        <v>1213</v>
      </c>
      <c r="AL1185" t="s">
        <v>6</v>
      </c>
      <c r="AM1185" t="s">
        <v>1145</v>
      </c>
      <c r="AN1185" t="s">
        <v>1146</v>
      </c>
      <c r="AO1185" s="100">
        <v>46262.040405092594</v>
      </c>
      <c r="AP1185" t="s">
        <v>1147</v>
      </c>
      <c r="AQ1185" t="s">
        <v>3595</v>
      </c>
      <c r="AR1185" t="s">
        <v>1189</v>
      </c>
      <c r="AS1185" t="s">
        <v>1150</v>
      </c>
      <c r="AT1185" t="s">
        <v>3479</v>
      </c>
      <c r="AU1185">
        <v>25</v>
      </c>
      <c r="AV1185">
        <v>1.0887040000000001</v>
      </c>
      <c r="AW1185">
        <v>3.115325665159261E-2</v>
      </c>
      <c r="AX1185">
        <v>2.8614992368534153</v>
      </c>
      <c r="AY1185">
        <v>-27.637556225222781</v>
      </c>
      <c r="AZ1185">
        <v>32.359029966030917</v>
      </c>
      <c r="BB1185" t="s">
        <v>4620</v>
      </c>
      <c r="BD1185" s="98"/>
      <c r="BE1185" s="98"/>
      <c r="BF1185" t="s">
        <v>1152</v>
      </c>
      <c r="BG1185" t="s">
        <v>322</v>
      </c>
      <c r="BH1185" t="s">
        <v>1153</v>
      </c>
      <c r="BI1185">
        <v>27.637556225222781</v>
      </c>
      <c r="BN1185" t="s">
        <v>1154</v>
      </c>
      <c r="BO1185">
        <v>2025</v>
      </c>
      <c r="BP1185" t="s">
        <v>966</v>
      </c>
      <c r="BZ1185" t="s">
        <v>1513</v>
      </c>
      <c r="CA1185" t="s">
        <v>1513</v>
      </c>
      <c r="CB1185" t="b">
        <v>0</v>
      </c>
      <c r="CC1185" t="b">
        <v>0</v>
      </c>
      <c r="CD1185" t="b">
        <v>0</v>
      </c>
      <c r="CE1185" t="b">
        <v>0</v>
      </c>
      <c r="CF1185" t="b">
        <v>0</v>
      </c>
    </row>
    <row r="1186" spans="1:84" x14ac:dyDescent="0.3">
      <c r="A1186" t="s">
        <v>3596</v>
      </c>
      <c r="B1186" t="s">
        <v>1191</v>
      </c>
      <c r="C1186" s="98">
        <v>45726</v>
      </c>
      <c r="D1186">
        <v>2025</v>
      </c>
      <c r="E1186">
        <v>3</v>
      </c>
      <c r="F1186">
        <v>1</v>
      </c>
      <c r="G1186" t="s">
        <v>1187</v>
      </c>
      <c r="H1186" t="s">
        <v>146</v>
      </c>
      <c r="I1186" t="s">
        <v>146</v>
      </c>
      <c r="J1186" t="s">
        <v>6</v>
      </c>
      <c r="L1186">
        <v>522611</v>
      </c>
      <c r="M1186" s="99" t="s">
        <v>180</v>
      </c>
      <c r="N1186">
        <v>3</v>
      </c>
      <c r="O1186">
        <v>10</v>
      </c>
      <c r="P1186">
        <v>1.0863</v>
      </c>
      <c r="Q1186" t="s">
        <v>352</v>
      </c>
      <c r="R1186">
        <v>1</v>
      </c>
      <c r="S1186">
        <v>1.089</v>
      </c>
      <c r="T1186">
        <v>3.2599999999999997E-2</v>
      </c>
      <c r="U1186">
        <v>-8.2822085889568256E-2</v>
      </c>
      <c r="V1186">
        <v>0.99119999999999997</v>
      </c>
      <c r="W1186">
        <v>1.0238</v>
      </c>
      <c r="X1186">
        <v>1.0564</v>
      </c>
      <c r="Y1186">
        <v>1.1215999999999999</v>
      </c>
      <c r="Z1186">
        <v>1.1541999999999999</v>
      </c>
      <c r="AA1186">
        <v>1.1867999999999999</v>
      </c>
      <c r="AE1186">
        <v>0</v>
      </c>
      <c r="AF1186">
        <v>0</v>
      </c>
      <c r="AG1186">
        <v>0</v>
      </c>
      <c r="AH1186">
        <v>0</v>
      </c>
      <c r="AI1186">
        <v>1</v>
      </c>
      <c r="AJ1186">
        <v>0</v>
      </c>
      <c r="AK1186" t="s">
        <v>1213</v>
      </c>
      <c r="AL1186" t="s">
        <v>6</v>
      </c>
      <c r="AM1186" t="s">
        <v>1145</v>
      </c>
      <c r="AN1186" t="s">
        <v>1146</v>
      </c>
      <c r="AO1186" s="100">
        <v>46262.040405092594</v>
      </c>
      <c r="AP1186" t="s">
        <v>1147</v>
      </c>
      <c r="AQ1186" t="s">
        <v>3597</v>
      </c>
      <c r="AR1186" t="s">
        <v>1193</v>
      </c>
      <c r="AS1186" t="s">
        <v>1150</v>
      </c>
      <c r="AT1186" t="s">
        <v>3479</v>
      </c>
      <c r="AU1186">
        <v>25</v>
      </c>
      <c r="AV1186">
        <v>1.0887040000000001</v>
      </c>
      <c r="AW1186">
        <v>3.115325665159261E-2</v>
      </c>
      <c r="AX1186">
        <v>2.8614992368534153</v>
      </c>
      <c r="AY1186">
        <v>-27.637556225222781</v>
      </c>
      <c r="AZ1186">
        <v>32.359029966030917</v>
      </c>
      <c r="BB1186" t="s">
        <v>4620</v>
      </c>
      <c r="BD1186" s="98"/>
      <c r="BE1186" s="98"/>
      <c r="BF1186" t="s">
        <v>1152</v>
      </c>
      <c r="BG1186" t="s">
        <v>322</v>
      </c>
      <c r="BH1186" t="s">
        <v>1153</v>
      </c>
      <c r="BI1186">
        <v>27.637556225222781</v>
      </c>
      <c r="BN1186" t="s">
        <v>1154</v>
      </c>
      <c r="BO1186">
        <v>2025</v>
      </c>
      <c r="BP1186" t="s">
        <v>966</v>
      </c>
      <c r="BZ1186" t="s">
        <v>1513</v>
      </c>
      <c r="CA1186" t="s">
        <v>1513</v>
      </c>
      <c r="CB1186" t="b">
        <v>0</v>
      </c>
      <c r="CC1186" t="b">
        <v>0</v>
      </c>
      <c r="CD1186" t="b">
        <v>0</v>
      </c>
      <c r="CE1186" t="b">
        <v>0</v>
      </c>
      <c r="CF1186" t="b">
        <v>0</v>
      </c>
    </row>
    <row r="1187" spans="1:84" x14ac:dyDescent="0.3">
      <c r="A1187" t="s">
        <v>3598</v>
      </c>
      <c r="B1187" t="s">
        <v>1195</v>
      </c>
      <c r="C1187" s="98">
        <v>45733</v>
      </c>
      <c r="D1187">
        <v>2025</v>
      </c>
      <c r="E1187">
        <v>3</v>
      </c>
      <c r="F1187">
        <v>1</v>
      </c>
      <c r="G1187" t="s">
        <v>1187</v>
      </c>
      <c r="H1187" t="s">
        <v>146</v>
      </c>
      <c r="I1187" t="s">
        <v>146</v>
      </c>
      <c r="J1187" t="s">
        <v>6</v>
      </c>
      <c r="L1187">
        <v>522611</v>
      </c>
      <c r="M1187" s="99" t="s">
        <v>180</v>
      </c>
      <c r="N1187">
        <v>3</v>
      </c>
      <c r="O1187">
        <v>11</v>
      </c>
      <c r="P1187">
        <v>1.0278</v>
      </c>
      <c r="Q1187" t="s">
        <v>352</v>
      </c>
      <c r="R1187">
        <v>1</v>
      </c>
      <c r="S1187">
        <v>1.089</v>
      </c>
      <c r="T1187">
        <v>3.2599999999999997E-2</v>
      </c>
      <c r="U1187">
        <v>-1.8773006134969303</v>
      </c>
      <c r="V1187">
        <v>0.99119999999999997</v>
      </c>
      <c r="W1187">
        <v>1.0238</v>
      </c>
      <c r="X1187">
        <v>1.0564</v>
      </c>
      <c r="Y1187">
        <v>1.1215999999999999</v>
      </c>
      <c r="Z1187">
        <v>1.1541999999999999</v>
      </c>
      <c r="AA1187">
        <v>1.1867999999999999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 t="s">
        <v>462</v>
      </c>
      <c r="AL1187" t="s">
        <v>6</v>
      </c>
      <c r="AM1187" t="s">
        <v>1145</v>
      </c>
      <c r="AN1187" t="s">
        <v>1146</v>
      </c>
      <c r="AO1187" s="100">
        <v>46262.040405092594</v>
      </c>
      <c r="AP1187" t="s">
        <v>1147</v>
      </c>
      <c r="AQ1187" t="s">
        <v>3599</v>
      </c>
      <c r="AR1187" t="s">
        <v>1197</v>
      </c>
      <c r="AS1187" t="s">
        <v>1150</v>
      </c>
      <c r="AT1187" t="s">
        <v>3479</v>
      </c>
      <c r="AU1187">
        <v>25</v>
      </c>
      <c r="AV1187">
        <v>1.0887040000000001</v>
      </c>
      <c r="AW1187">
        <v>3.115325665159261E-2</v>
      </c>
      <c r="AX1187">
        <v>2.8614992368534153</v>
      </c>
      <c r="AY1187">
        <v>-27.637556225222781</v>
      </c>
      <c r="AZ1187">
        <v>32.359029966030917</v>
      </c>
      <c r="BB1187" t="s">
        <v>4620</v>
      </c>
      <c r="BD1187" s="98"/>
      <c r="BE1187" s="98"/>
      <c r="BF1187" t="s">
        <v>1152</v>
      </c>
      <c r="BG1187" t="s">
        <v>322</v>
      </c>
      <c r="BH1187" t="s">
        <v>1153</v>
      </c>
      <c r="BI1187">
        <v>27.637556225222781</v>
      </c>
      <c r="BN1187" t="s">
        <v>1154</v>
      </c>
      <c r="BO1187">
        <v>2025</v>
      </c>
      <c r="BP1187" t="s">
        <v>966</v>
      </c>
      <c r="BZ1187" t="s">
        <v>1513</v>
      </c>
      <c r="CA1187" t="s">
        <v>1513</v>
      </c>
      <c r="CB1187" t="b">
        <v>0</v>
      </c>
      <c r="CC1187" t="b">
        <v>0</v>
      </c>
      <c r="CD1187" t="b">
        <v>0</v>
      </c>
      <c r="CE1187" t="b">
        <v>0</v>
      </c>
      <c r="CF1187" t="b">
        <v>0</v>
      </c>
    </row>
    <row r="1188" spans="1:84" x14ac:dyDescent="0.3">
      <c r="A1188" t="s">
        <v>3600</v>
      </c>
      <c r="B1188" t="s">
        <v>1199</v>
      </c>
      <c r="C1188" s="98">
        <v>45740</v>
      </c>
      <c r="D1188">
        <v>2025</v>
      </c>
      <c r="E1188">
        <v>3</v>
      </c>
      <c r="F1188">
        <v>1</v>
      </c>
      <c r="G1188" t="s">
        <v>1187</v>
      </c>
      <c r="H1188" t="s">
        <v>146</v>
      </c>
      <c r="I1188" t="s">
        <v>146</v>
      </c>
      <c r="J1188" t="s">
        <v>6</v>
      </c>
      <c r="L1188">
        <v>522611</v>
      </c>
      <c r="M1188" s="99" t="s">
        <v>180</v>
      </c>
      <c r="N1188">
        <v>3</v>
      </c>
      <c r="O1188">
        <v>12</v>
      </c>
      <c r="P1188">
        <v>1.0842000000000001</v>
      </c>
      <c r="Q1188" t="s">
        <v>352</v>
      </c>
      <c r="R1188">
        <v>1</v>
      </c>
      <c r="S1188">
        <v>1.089</v>
      </c>
      <c r="T1188">
        <v>3.2599999999999997E-2</v>
      </c>
      <c r="U1188">
        <v>-0.14723926380367841</v>
      </c>
      <c r="V1188">
        <v>0.99119999999999997</v>
      </c>
      <c r="W1188">
        <v>1.0238</v>
      </c>
      <c r="X1188">
        <v>1.0564</v>
      </c>
      <c r="Y1188">
        <v>1.1215999999999999</v>
      </c>
      <c r="Z1188">
        <v>1.1541999999999999</v>
      </c>
      <c r="AA1188">
        <v>1.1867999999999999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 t="s">
        <v>462</v>
      </c>
      <c r="AL1188" t="s">
        <v>6</v>
      </c>
      <c r="AM1188" t="s">
        <v>1145</v>
      </c>
      <c r="AN1188" t="s">
        <v>1146</v>
      </c>
      <c r="AO1188" s="100">
        <v>46262.040405092594</v>
      </c>
      <c r="AP1188" t="s">
        <v>1147</v>
      </c>
      <c r="AQ1188" t="s">
        <v>3601</v>
      </c>
      <c r="AR1188" t="s">
        <v>1201</v>
      </c>
      <c r="AS1188" t="s">
        <v>1150</v>
      </c>
      <c r="AT1188" t="s">
        <v>3479</v>
      </c>
      <c r="AU1188">
        <v>25</v>
      </c>
      <c r="AV1188">
        <v>1.0887040000000001</v>
      </c>
      <c r="AW1188">
        <v>3.115325665159261E-2</v>
      </c>
      <c r="AX1188">
        <v>2.8614992368534153</v>
      </c>
      <c r="AY1188">
        <v>-27.637556225222781</v>
      </c>
      <c r="AZ1188">
        <v>32.359029966030917</v>
      </c>
      <c r="BB1188" t="s">
        <v>4620</v>
      </c>
      <c r="BD1188" s="98"/>
      <c r="BE1188" s="98"/>
      <c r="BF1188" t="s">
        <v>1152</v>
      </c>
      <c r="BG1188" t="s">
        <v>322</v>
      </c>
      <c r="BH1188" t="s">
        <v>1153</v>
      </c>
      <c r="BI1188">
        <v>27.637556225222781</v>
      </c>
      <c r="BN1188" t="s">
        <v>1154</v>
      </c>
      <c r="BO1188">
        <v>2025</v>
      </c>
      <c r="BP1188" t="s">
        <v>966</v>
      </c>
      <c r="BZ1188" t="s">
        <v>1513</v>
      </c>
      <c r="CA1188" t="s">
        <v>1513</v>
      </c>
      <c r="CB1188" t="b">
        <v>0</v>
      </c>
      <c r="CC1188" t="b">
        <v>0</v>
      </c>
      <c r="CD1188" t="b">
        <v>0</v>
      </c>
      <c r="CE1188" t="b">
        <v>0</v>
      </c>
      <c r="CF1188" t="b">
        <v>0</v>
      </c>
    </row>
    <row r="1189" spans="1:84" x14ac:dyDescent="0.3">
      <c r="A1189" t="s">
        <v>3602</v>
      </c>
      <c r="B1189" t="s">
        <v>1203</v>
      </c>
      <c r="C1189" s="98">
        <v>45747</v>
      </c>
      <c r="D1189">
        <v>2025</v>
      </c>
      <c r="E1189">
        <v>3</v>
      </c>
      <c r="F1189">
        <v>1</v>
      </c>
      <c r="G1189" t="s">
        <v>1187</v>
      </c>
      <c r="H1189" t="s">
        <v>146</v>
      </c>
      <c r="I1189" t="s">
        <v>146</v>
      </c>
      <c r="J1189" t="s">
        <v>6</v>
      </c>
      <c r="L1189">
        <v>522611</v>
      </c>
      <c r="M1189" s="99" t="s">
        <v>180</v>
      </c>
      <c r="N1189">
        <v>3</v>
      </c>
      <c r="O1189">
        <v>13</v>
      </c>
      <c r="P1189">
        <v>1.0610999999999999</v>
      </c>
      <c r="Q1189" t="s">
        <v>352</v>
      </c>
      <c r="R1189">
        <v>1</v>
      </c>
      <c r="S1189">
        <v>1.089</v>
      </c>
      <c r="T1189">
        <v>3.2599999999999997E-2</v>
      </c>
      <c r="U1189">
        <v>-0.85582822085889687</v>
      </c>
      <c r="V1189">
        <v>0.99119999999999997</v>
      </c>
      <c r="W1189">
        <v>1.0238</v>
      </c>
      <c r="X1189">
        <v>1.0564</v>
      </c>
      <c r="Y1189">
        <v>1.1215999999999999</v>
      </c>
      <c r="Z1189">
        <v>1.1541999999999999</v>
      </c>
      <c r="AA1189">
        <v>1.1867999999999999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 t="s">
        <v>462</v>
      </c>
      <c r="AL1189" t="s">
        <v>6</v>
      </c>
      <c r="AM1189" t="s">
        <v>1145</v>
      </c>
      <c r="AN1189" t="s">
        <v>1146</v>
      </c>
      <c r="AO1189" s="100">
        <v>46262.040405092594</v>
      </c>
      <c r="AP1189" t="s">
        <v>1147</v>
      </c>
      <c r="AQ1189" t="s">
        <v>3603</v>
      </c>
      <c r="AR1189" t="s">
        <v>1205</v>
      </c>
      <c r="AS1189" t="s">
        <v>1150</v>
      </c>
      <c r="AT1189" t="s">
        <v>3479</v>
      </c>
      <c r="AU1189">
        <v>25</v>
      </c>
      <c r="AV1189">
        <v>1.0887040000000001</v>
      </c>
      <c r="AW1189">
        <v>3.115325665159261E-2</v>
      </c>
      <c r="AX1189">
        <v>2.8614992368534153</v>
      </c>
      <c r="AY1189">
        <v>-27.637556225222781</v>
      </c>
      <c r="AZ1189">
        <v>32.359029966030917</v>
      </c>
      <c r="BB1189" t="s">
        <v>4620</v>
      </c>
      <c r="BD1189" s="98"/>
      <c r="BE1189" s="98"/>
      <c r="BF1189" t="s">
        <v>1152</v>
      </c>
      <c r="BG1189" t="s">
        <v>322</v>
      </c>
      <c r="BH1189" t="s">
        <v>1153</v>
      </c>
      <c r="BI1189">
        <v>27.637556225222781</v>
      </c>
      <c r="BN1189" t="s">
        <v>1154</v>
      </c>
      <c r="BO1189">
        <v>2025</v>
      </c>
      <c r="BP1189" t="s">
        <v>966</v>
      </c>
      <c r="BZ1189" t="s">
        <v>1513</v>
      </c>
      <c r="CA1189" t="s">
        <v>1513</v>
      </c>
      <c r="CB1189" t="b">
        <v>0</v>
      </c>
      <c r="CC1189" t="b">
        <v>0</v>
      </c>
      <c r="CD1189" t="b">
        <v>0</v>
      </c>
      <c r="CE1189" t="b">
        <v>0</v>
      </c>
      <c r="CF1189" t="b">
        <v>0</v>
      </c>
    </row>
    <row r="1190" spans="1:84" x14ac:dyDescent="0.3">
      <c r="A1190" t="s">
        <v>3604</v>
      </c>
      <c r="B1190" t="s">
        <v>1207</v>
      </c>
      <c r="C1190" s="98">
        <v>45754</v>
      </c>
      <c r="D1190">
        <v>2025</v>
      </c>
      <c r="E1190">
        <v>4</v>
      </c>
      <c r="F1190">
        <v>2</v>
      </c>
      <c r="G1190" t="s">
        <v>1208</v>
      </c>
      <c r="H1190" t="s">
        <v>146</v>
      </c>
      <c r="I1190" t="s">
        <v>146</v>
      </c>
      <c r="J1190" t="s">
        <v>6</v>
      </c>
      <c r="L1190">
        <v>522611</v>
      </c>
      <c r="M1190" s="99" t="s">
        <v>180</v>
      </c>
      <c r="N1190">
        <v>3</v>
      </c>
      <c r="O1190">
        <v>14</v>
      </c>
      <c r="P1190">
        <v>1.0710999999999999</v>
      </c>
      <c r="Q1190" t="s">
        <v>352</v>
      </c>
      <c r="R1190">
        <v>1</v>
      </c>
      <c r="S1190">
        <v>1.089</v>
      </c>
      <c r="T1190">
        <v>3.2599999999999997E-2</v>
      </c>
      <c r="U1190">
        <v>-0.54907975460122782</v>
      </c>
      <c r="V1190">
        <v>0.99119999999999997</v>
      </c>
      <c r="W1190">
        <v>1.0238</v>
      </c>
      <c r="X1190">
        <v>1.0564</v>
      </c>
      <c r="Y1190">
        <v>1.1215999999999999</v>
      </c>
      <c r="Z1190">
        <v>1.1541999999999999</v>
      </c>
      <c r="AA1190">
        <v>1.1867999999999999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 t="s">
        <v>462</v>
      </c>
      <c r="AL1190" t="s">
        <v>6</v>
      </c>
      <c r="AM1190" t="s">
        <v>1145</v>
      </c>
      <c r="AN1190" t="s">
        <v>1146</v>
      </c>
      <c r="AO1190" s="100">
        <v>46262.040405092594</v>
      </c>
      <c r="AP1190" t="s">
        <v>1147</v>
      </c>
      <c r="AQ1190" t="s">
        <v>3605</v>
      </c>
      <c r="AR1190" t="s">
        <v>1210</v>
      </c>
      <c r="AS1190" t="s">
        <v>1150</v>
      </c>
      <c r="AT1190" t="s">
        <v>3479</v>
      </c>
      <c r="AU1190">
        <v>25</v>
      </c>
      <c r="AV1190">
        <v>1.0887040000000001</v>
      </c>
      <c r="AW1190">
        <v>3.115325665159261E-2</v>
      </c>
      <c r="AX1190">
        <v>2.8614992368534153</v>
      </c>
      <c r="AY1190">
        <v>-27.637556225222781</v>
      </c>
      <c r="AZ1190">
        <v>32.359029966030917</v>
      </c>
      <c r="BB1190" t="s">
        <v>4620</v>
      </c>
      <c r="BD1190" s="98"/>
      <c r="BE1190" s="98"/>
      <c r="BF1190" t="s">
        <v>1152</v>
      </c>
      <c r="BG1190" t="s">
        <v>322</v>
      </c>
      <c r="BH1190" t="s">
        <v>1153</v>
      </c>
      <c r="BI1190">
        <v>27.637556225222781</v>
      </c>
      <c r="BN1190" t="s">
        <v>1154</v>
      </c>
      <c r="BO1190">
        <v>2025</v>
      </c>
      <c r="BP1190" t="s">
        <v>966</v>
      </c>
      <c r="BZ1190" t="s">
        <v>1513</v>
      </c>
      <c r="CA1190" t="s">
        <v>1513</v>
      </c>
      <c r="CB1190" t="b">
        <v>0</v>
      </c>
      <c r="CC1190" t="b">
        <v>0</v>
      </c>
      <c r="CD1190" t="b">
        <v>0</v>
      </c>
      <c r="CE1190" t="b">
        <v>0</v>
      </c>
      <c r="CF1190" t="b">
        <v>0</v>
      </c>
    </row>
    <row r="1191" spans="1:84" x14ac:dyDescent="0.3">
      <c r="A1191" t="s">
        <v>3606</v>
      </c>
      <c r="B1191" t="s">
        <v>1212</v>
      </c>
      <c r="C1191" s="98">
        <v>45761</v>
      </c>
      <c r="D1191">
        <v>2025</v>
      </c>
      <c r="E1191">
        <v>4</v>
      </c>
      <c r="F1191">
        <v>2</v>
      </c>
      <c r="G1191" t="s">
        <v>1208</v>
      </c>
      <c r="H1191" t="s">
        <v>146</v>
      </c>
      <c r="I1191" t="s">
        <v>146</v>
      </c>
      <c r="J1191" t="s">
        <v>6</v>
      </c>
      <c r="L1191">
        <v>522611</v>
      </c>
      <c r="M1191" s="99" t="s">
        <v>180</v>
      </c>
      <c r="N1191">
        <v>3</v>
      </c>
      <c r="O1191">
        <v>15</v>
      </c>
      <c r="P1191">
        <v>1.0964</v>
      </c>
      <c r="Q1191" t="s">
        <v>352</v>
      </c>
      <c r="R1191">
        <v>1</v>
      </c>
      <c r="S1191">
        <v>1.089</v>
      </c>
      <c r="T1191">
        <v>3.2599999999999997E-2</v>
      </c>
      <c r="U1191">
        <v>0.22699386503067712</v>
      </c>
      <c r="V1191">
        <v>0.99119999999999997</v>
      </c>
      <c r="W1191">
        <v>1.0238</v>
      </c>
      <c r="X1191">
        <v>1.0564</v>
      </c>
      <c r="Y1191">
        <v>1.1215999999999999</v>
      </c>
      <c r="Z1191">
        <v>1.1541999999999999</v>
      </c>
      <c r="AA1191">
        <v>1.1867999999999999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 t="s">
        <v>462</v>
      </c>
      <c r="AL1191" t="s">
        <v>6</v>
      </c>
      <c r="AM1191" t="s">
        <v>1145</v>
      </c>
      <c r="AN1191" t="s">
        <v>1146</v>
      </c>
      <c r="AO1191" s="100">
        <v>46262.040405092594</v>
      </c>
      <c r="AP1191" t="s">
        <v>1147</v>
      </c>
      <c r="AQ1191" t="s">
        <v>3607</v>
      </c>
      <c r="AR1191" t="s">
        <v>1215</v>
      </c>
      <c r="AS1191" t="s">
        <v>1150</v>
      </c>
      <c r="AT1191" t="s">
        <v>3479</v>
      </c>
      <c r="AU1191">
        <v>25</v>
      </c>
      <c r="AV1191">
        <v>1.0887040000000001</v>
      </c>
      <c r="AW1191">
        <v>3.115325665159261E-2</v>
      </c>
      <c r="AX1191">
        <v>2.8614992368534153</v>
      </c>
      <c r="AY1191">
        <v>-27.637556225222781</v>
      </c>
      <c r="AZ1191">
        <v>32.359029966030917</v>
      </c>
      <c r="BB1191" t="s">
        <v>4620</v>
      </c>
      <c r="BD1191" s="98"/>
      <c r="BE1191" s="98"/>
      <c r="BF1191" t="s">
        <v>1152</v>
      </c>
      <c r="BG1191" t="s">
        <v>322</v>
      </c>
      <c r="BH1191" t="s">
        <v>1153</v>
      </c>
      <c r="BI1191">
        <v>27.637556225222781</v>
      </c>
      <c r="BN1191" t="s">
        <v>1154</v>
      </c>
      <c r="BO1191">
        <v>2025</v>
      </c>
      <c r="BP1191" t="s">
        <v>966</v>
      </c>
      <c r="BZ1191" t="s">
        <v>1513</v>
      </c>
      <c r="CA1191" t="s">
        <v>1513</v>
      </c>
      <c r="CB1191" t="b">
        <v>0</v>
      </c>
      <c r="CC1191" t="b">
        <v>0</v>
      </c>
      <c r="CD1191" t="b">
        <v>0</v>
      </c>
      <c r="CE1191" t="b">
        <v>0</v>
      </c>
      <c r="CF1191" t="b">
        <v>0</v>
      </c>
    </row>
    <row r="1192" spans="1:84" x14ac:dyDescent="0.3">
      <c r="A1192" t="s">
        <v>3608</v>
      </c>
      <c r="B1192" t="s">
        <v>1217</v>
      </c>
      <c r="C1192" s="98">
        <v>45768</v>
      </c>
      <c r="D1192">
        <v>2025</v>
      </c>
      <c r="E1192">
        <v>4</v>
      </c>
      <c r="F1192">
        <v>2</v>
      </c>
      <c r="G1192" t="s">
        <v>1208</v>
      </c>
      <c r="H1192" t="s">
        <v>146</v>
      </c>
      <c r="I1192" t="s">
        <v>146</v>
      </c>
      <c r="J1192" t="s">
        <v>6</v>
      </c>
      <c r="L1192">
        <v>522611</v>
      </c>
      <c r="M1192" s="99" t="s">
        <v>180</v>
      </c>
      <c r="N1192">
        <v>3</v>
      </c>
      <c r="O1192">
        <v>16</v>
      </c>
      <c r="P1192">
        <v>1.1097999999999999</v>
      </c>
      <c r="Q1192" t="s">
        <v>352</v>
      </c>
      <c r="R1192">
        <v>1</v>
      </c>
      <c r="S1192">
        <v>1.089</v>
      </c>
      <c r="T1192">
        <v>3.2599999999999997E-2</v>
      </c>
      <c r="U1192">
        <v>0.63803680981594879</v>
      </c>
      <c r="V1192">
        <v>0.99119999999999997</v>
      </c>
      <c r="W1192">
        <v>1.0238</v>
      </c>
      <c r="X1192">
        <v>1.0564</v>
      </c>
      <c r="Y1192">
        <v>1.1215999999999999</v>
      </c>
      <c r="Z1192">
        <v>1.1541999999999999</v>
      </c>
      <c r="AA1192">
        <v>1.1867999999999999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 t="s">
        <v>462</v>
      </c>
      <c r="AL1192" t="s">
        <v>6</v>
      </c>
      <c r="AM1192" t="s">
        <v>1145</v>
      </c>
      <c r="AN1192" t="s">
        <v>1146</v>
      </c>
      <c r="AO1192" s="100">
        <v>46262.040405092594</v>
      </c>
      <c r="AP1192" t="s">
        <v>1147</v>
      </c>
      <c r="AQ1192" t="s">
        <v>3609</v>
      </c>
      <c r="AR1192" t="s">
        <v>1219</v>
      </c>
      <c r="AS1192" t="s">
        <v>1150</v>
      </c>
      <c r="AT1192" t="s">
        <v>3479</v>
      </c>
      <c r="AU1192">
        <v>25</v>
      </c>
      <c r="AV1192">
        <v>1.0887040000000001</v>
      </c>
      <c r="AW1192">
        <v>3.115325665159261E-2</v>
      </c>
      <c r="AX1192">
        <v>2.8614992368534153</v>
      </c>
      <c r="AY1192">
        <v>-27.637556225222781</v>
      </c>
      <c r="AZ1192">
        <v>32.359029966030917</v>
      </c>
      <c r="BB1192" t="s">
        <v>4620</v>
      </c>
      <c r="BD1192" s="98"/>
      <c r="BE1192" s="98"/>
      <c r="BF1192" t="s">
        <v>1152</v>
      </c>
      <c r="BG1192" t="s">
        <v>322</v>
      </c>
      <c r="BH1192" t="s">
        <v>1153</v>
      </c>
      <c r="BI1192">
        <v>27.637556225222781</v>
      </c>
      <c r="BN1192" t="s">
        <v>1154</v>
      </c>
      <c r="BO1192">
        <v>2025</v>
      </c>
      <c r="BP1192" t="s">
        <v>966</v>
      </c>
      <c r="BZ1192" t="s">
        <v>1513</v>
      </c>
      <c r="CA1192" t="s">
        <v>1513</v>
      </c>
      <c r="CB1192" t="b">
        <v>0</v>
      </c>
      <c r="CC1192" t="b">
        <v>0</v>
      </c>
      <c r="CD1192" t="b">
        <v>0</v>
      </c>
      <c r="CE1192" t="b">
        <v>0</v>
      </c>
      <c r="CF1192" t="b">
        <v>0</v>
      </c>
    </row>
    <row r="1193" spans="1:84" x14ac:dyDescent="0.3">
      <c r="A1193" t="s">
        <v>3610</v>
      </c>
      <c r="B1193" t="s">
        <v>1221</v>
      </c>
      <c r="C1193" s="98">
        <v>45775</v>
      </c>
      <c r="D1193">
        <v>2025</v>
      </c>
      <c r="E1193">
        <v>4</v>
      </c>
      <c r="F1193">
        <v>2</v>
      </c>
      <c r="G1193" t="s">
        <v>1208</v>
      </c>
      <c r="H1193" t="s">
        <v>146</v>
      </c>
      <c r="I1193" t="s">
        <v>146</v>
      </c>
      <c r="J1193" t="s">
        <v>6</v>
      </c>
      <c r="L1193">
        <v>522611</v>
      </c>
      <c r="M1193" s="99" t="s">
        <v>180</v>
      </c>
      <c r="N1193">
        <v>3</v>
      </c>
      <c r="O1193">
        <v>17</v>
      </c>
      <c r="P1193">
        <v>1.1182000000000001</v>
      </c>
      <c r="Q1193" t="s">
        <v>352</v>
      </c>
      <c r="R1193">
        <v>1</v>
      </c>
      <c r="S1193">
        <v>1.089</v>
      </c>
      <c r="T1193">
        <v>3.2599999999999997E-2</v>
      </c>
      <c r="U1193">
        <v>0.89570552147239624</v>
      </c>
      <c r="V1193">
        <v>0.99119999999999997</v>
      </c>
      <c r="W1193">
        <v>1.0238</v>
      </c>
      <c r="X1193">
        <v>1.0564</v>
      </c>
      <c r="Y1193">
        <v>1.1215999999999999</v>
      </c>
      <c r="Z1193">
        <v>1.1541999999999999</v>
      </c>
      <c r="AA1193">
        <v>1.1867999999999999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 t="s">
        <v>462</v>
      </c>
      <c r="AL1193" t="s">
        <v>6</v>
      </c>
      <c r="AM1193" t="s">
        <v>1145</v>
      </c>
      <c r="AN1193" t="s">
        <v>1146</v>
      </c>
      <c r="AO1193" s="100">
        <v>46262.040405092594</v>
      </c>
      <c r="AP1193" t="s">
        <v>1147</v>
      </c>
      <c r="AQ1193" t="s">
        <v>3611</v>
      </c>
      <c r="AR1193" t="s">
        <v>1223</v>
      </c>
      <c r="AS1193" t="s">
        <v>1150</v>
      </c>
      <c r="AT1193" t="s">
        <v>3479</v>
      </c>
      <c r="AU1193">
        <v>25</v>
      </c>
      <c r="AV1193">
        <v>1.0887040000000001</v>
      </c>
      <c r="AW1193">
        <v>3.115325665159261E-2</v>
      </c>
      <c r="AX1193">
        <v>2.8614992368534153</v>
      </c>
      <c r="AY1193">
        <v>-27.637556225222781</v>
      </c>
      <c r="AZ1193">
        <v>32.359029966030917</v>
      </c>
      <c r="BB1193" t="s">
        <v>4620</v>
      </c>
      <c r="BD1193" s="98"/>
      <c r="BE1193" s="98"/>
      <c r="BF1193" t="s">
        <v>1152</v>
      </c>
      <c r="BG1193" t="s">
        <v>322</v>
      </c>
      <c r="BH1193" t="s">
        <v>1153</v>
      </c>
      <c r="BI1193">
        <v>27.637556225222781</v>
      </c>
      <c r="BN1193" t="s">
        <v>1154</v>
      </c>
      <c r="BO1193">
        <v>2025</v>
      </c>
      <c r="BP1193" t="s">
        <v>966</v>
      </c>
      <c r="BZ1193" t="s">
        <v>1513</v>
      </c>
      <c r="CA1193" t="s">
        <v>1513</v>
      </c>
      <c r="CB1193" t="b">
        <v>0</v>
      </c>
      <c r="CC1193" t="b">
        <v>0</v>
      </c>
      <c r="CD1193" t="b">
        <v>0</v>
      </c>
      <c r="CE1193" t="b">
        <v>0</v>
      </c>
      <c r="CF1193" t="b">
        <v>0</v>
      </c>
    </row>
    <row r="1194" spans="1:84" x14ac:dyDescent="0.3">
      <c r="A1194" t="s">
        <v>3612</v>
      </c>
      <c r="B1194" t="s">
        <v>1225</v>
      </c>
      <c r="C1194" s="98">
        <v>45782</v>
      </c>
      <c r="D1194">
        <v>2025</v>
      </c>
      <c r="E1194">
        <v>5</v>
      </c>
      <c r="F1194">
        <v>2</v>
      </c>
      <c r="G1194" t="s">
        <v>1226</v>
      </c>
      <c r="H1194" t="s">
        <v>146</v>
      </c>
      <c r="I1194" t="s">
        <v>146</v>
      </c>
      <c r="J1194" t="s">
        <v>6</v>
      </c>
      <c r="L1194">
        <v>522611</v>
      </c>
      <c r="M1194" s="99" t="s">
        <v>180</v>
      </c>
      <c r="N1194">
        <v>3</v>
      </c>
      <c r="O1194">
        <v>18</v>
      </c>
      <c r="P1194">
        <v>1.0728</v>
      </c>
      <c r="Q1194" t="s">
        <v>352</v>
      </c>
      <c r="R1194">
        <v>1</v>
      </c>
      <c r="S1194">
        <v>1.089</v>
      </c>
      <c r="T1194">
        <v>3.2599999999999997E-2</v>
      </c>
      <c r="U1194">
        <v>-0.49693251533742311</v>
      </c>
      <c r="V1194">
        <v>0.99119999999999997</v>
      </c>
      <c r="W1194">
        <v>1.0238</v>
      </c>
      <c r="X1194">
        <v>1.0564</v>
      </c>
      <c r="Y1194">
        <v>1.1215999999999999</v>
      </c>
      <c r="Z1194">
        <v>1.1541999999999999</v>
      </c>
      <c r="AA1194">
        <v>1.1867999999999999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 t="s">
        <v>462</v>
      </c>
      <c r="AL1194" t="s">
        <v>6</v>
      </c>
      <c r="AM1194" t="s">
        <v>1145</v>
      </c>
      <c r="AN1194" t="s">
        <v>1146</v>
      </c>
      <c r="AO1194" s="100">
        <v>46262.040405092594</v>
      </c>
      <c r="AP1194" t="s">
        <v>1147</v>
      </c>
      <c r="AQ1194" t="s">
        <v>3613</v>
      </c>
      <c r="AR1194" t="s">
        <v>1228</v>
      </c>
      <c r="AS1194" t="s">
        <v>1150</v>
      </c>
      <c r="AT1194" t="s">
        <v>3479</v>
      </c>
      <c r="AU1194">
        <v>25</v>
      </c>
      <c r="AV1194">
        <v>1.0887040000000001</v>
      </c>
      <c r="AW1194">
        <v>3.115325665159261E-2</v>
      </c>
      <c r="AX1194">
        <v>2.8614992368534153</v>
      </c>
      <c r="AY1194">
        <v>-27.637556225222781</v>
      </c>
      <c r="AZ1194">
        <v>32.359029966030917</v>
      </c>
      <c r="BB1194" t="s">
        <v>4620</v>
      </c>
      <c r="BD1194" s="98"/>
      <c r="BE1194" s="98"/>
      <c r="BF1194" t="s">
        <v>1152</v>
      </c>
      <c r="BG1194" t="s">
        <v>322</v>
      </c>
      <c r="BH1194" t="s">
        <v>1153</v>
      </c>
      <c r="BI1194">
        <v>27.637556225222781</v>
      </c>
      <c r="BN1194" t="s">
        <v>1154</v>
      </c>
      <c r="BO1194">
        <v>2025</v>
      </c>
      <c r="BP1194" t="s">
        <v>966</v>
      </c>
      <c r="BZ1194" t="s">
        <v>1513</v>
      </c>
      <c r="CA1194" t="s">
        <v>1513</v>
      </c>
      <c r="CB1194" t="b">
        <v>0</v>
      </c>
      <c r="CC1194" t="b">
        <v>0</v>
      </c>
      <c r="CD1194" t="b">
        <v>0</v>
      </c>
      <c r="CE1194" t="b">
        <v>0</v>
      </c>
      <c r="CF1194" t="b">
        <v>0</v>
      </c>
    </row>
    <row r="1195" spans="1:84" x14ac:dyDescent="0.3">
      <c r="A1195" t="s">
        <v>3614</v>
      </c>
      <c r="B1195" t="s">
        <v>1230</v>
      </c>
      <c r="C1195" s="98">
        <v>45789</v>
      </c>
      <c r="D1195">
        <v>2025</v>
      </c>
      <c r="E1195">
        <v>5</v>
      </c>
      <c r="F1195">
        <v>2</v>
      </c>
      <c r="G1195" t="s">
        <v>1226</v>
      </c>
      <c r="H1195" t="s">
        <v>146</v>
      </c>
      <c r="I1195" t="s">
        <v>146</v>
      </c>
      <c r="J1195" t="s">
        <v>6</v>
      </c>
      <c r="L1195">
        <v>522611</v>
      </c>
      <c r="M1195" s="99" t="s">
        <v>180</v>
      </c>
      <c r="N1195">
        <v>3</v>
      </c>
      <c r="O1195">
        <v>19</v>
      </c>
      <c r="P1195">
        <v>1.119</v>
      </c>
      <c r="Q1195" t="s">
        <v>352</v>
      </c>
      <c r="R1195">
        <v>1</v>
      </c>
      <c r="S1195">
        <v>1.089</v>
      </c>
      <c r="T1195">
        <v>3.2599999999999997E-2</v>
      </c>
      <c r="U1195">
        <v>0.92024539877300704</v>
      </c>
      <c r="V1195">
        <v>0.99119999999999997</v>
      </c>
      <c r="W1195">
        <v>1.0238</v>
      </c>
      <c r="X1195">
        <v>1.0564</v>
      </c>
      <c r="Y1195">
        <v>1.1215999999999999</v>
      </c>
      <c r="Z1195">
        <v>1.1541999999999999</v>
      </c>
      <c r="AA1195">
        <v>1.1867999999999999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 t="s">
        <v>462</v>
      </c>
      <c r="AL1195" t="s">
        <v>6</v>
      </c>
      <c r="AM1195" t="s">
        <v>1145</v>
      </c>
      <c r="AN1195" t="s">
        <v>1146</v>
      </c>
      <c r="AO1195" s="100">
        <v>46262.040405092594</v>
      </c>
      <c r="AP1195" t="s">
        <v>1147</v>
      </c>
      <c r="AQ1195" t="s">
        <v>3615</v>
      </c>
      <c r="AR1195" t="s">
        <v>1232</v>
      </c>
      <c r="AS1195" t="s">
        <v>1150</v>
      </c>
      <c r="AT1195" t="s">
        <v>3479</v>
      </c>
      <c r="AU1195">
        <v>25</v>
      </c>
      <c r="AV1195">
        <v>1.0887040000000001</v>
      </c>
      <c r="AW1195">
        <v>3.115325665159261E-2</v>
      </c>
      <c r="AX1195">
        <v>2.8614992368534153</v>
      </c>
      <c r="AY1195">
        <v>-27.637556225222781</v>
      </c>
      <c r="AZ1195">
        <v>32.359029966030917</v>
      </c>
      <c r="BB1195" t="s">
        <v>4620</v>
      </c>
      <c r="BD1195" s="98"/>
      <c r="BE1195" s="98"/>
      <c r="BF1195" t="s">
        <v>1152</v>
      </c>
      <c r="BG1195" t="s">
        <v>322</v>
      </c>
      <c r="BH1195" t="s">
        <v>1153</v>
      </c>
      <c r="BI1195">
        <v>27.637556225222781</v>
      </c>
      <c r="BN1195" t="s">
        <v>1154</v>
      </c>
      <c r="BO1195">
        <v>2025</v>
      </c>
      <c r="BP1195" t="s">
        <v>966</v>
      </c>
      <c r="BZ1195" t="s">
        <v>1513</v>
      </c>
      <c r="CA1195" t="s">
        <v>1513</v>
      </c>
      <c r="CB1195" t="b">
        <v>0</v>
      </c>
      <c r="CC1195" t="b">
        <v>0</v>
      </c>
      <c r="CD1195" t="b">
        <v>0</v>
      </c>
      <c r="CE1195" t="b">
        <v>0</v>
      </c>
      <c r="CF1195" t="b">
        <v>0</v>
      </c>
    </row>
    <row r="1196" spans="1:84" x14ac:dyDescent="0.3">
      <c r="A1196" t="s">
        <v>3616</v>
      </c>
      <c r="B1196" t="s">
        <v>1234</v>
      </c>
      <c r="C1196" s="98">
        <v>45796</v>
      </c>
      <c r="D1196">
        <v>2025</v>
      </c>
      <c r="E1196">
        <v>5</v>
      </c>
      <c r="F1196">
        <v>2</v>
      </c>
      <c r="G1196" t="s">
        <v>1226</v>
      </c>
      <c r="H1196" t="s">
        <v>146</v>
      </c>
      <c r="I1196" t="s">
        <v>146</v>
      </c>
      <c r="J1196" t="s">
        <v>6</v>
      </c>
      <c r="L1196">
        <v>522611</v>
      </c>
      <c r="M1196" s="99" t="s">
        <v>180</v>
      </c>
      <c r="N1196">
        <v>3</v>
      </c>
      <c r="O1196">
        <v>20</v>
      </c>
      <c r="P1196">
        <v>1.1272</v>
      </c>
      <c r="Q1196" t="s">
        <v>352</v>
      </c>
      <c r="R1196">
        <v>1</v>
      </c>
      <c r="S1196">
        <v>1.089</v>
      </c>
      <c r="T1196">
        <v>3.2599999999999997E-2</v>
      </c>
      <c r="U1196">
        <v>1.171779141104295</v>
      </c>
      <c r="V1196">
        <v>0.99119999999999997</v>
      </c>
      <c r="W1196">
        <v>1.0238</v>
      </c>
      <c r="X1196">
        <v>1.0564</v>
      </c>
      <c r="Y1196">
        <v>1.1215999999999999</v>
      </c>
      <c r="Z1196">
        <v>1.1541999999999999</v>
      </c>
      <c r="AA1196">
        <v>1.1867999999999999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 t="s">
        <v>462</v>
      </c>
      <c r="AL1196" t="s">
        <v>6</v>
      </c>
      <c r="AM1196" t="s">
        <v>1145</v>
      </c>
      <c r="AN1196" t="s">
        <v>1146</v>
      </c>
      <c r="AO1196" s="100">
        <v>46262.040405092594</v>
      </c>
      <c r="AP1196" t="s">
        <v>1147</v>
      </c>
      <c r="AQ1196" t="s">
        <v>3617</v>
      </c>
      <c r="AR1196" t="s">
        <v>1236</v>
      </c>
      <c r="AS1196" t="s">
        <v>1150</v>
      </c>
      <c r="AT1196" t="s">
        <v>3479</v>
      </c>
      <c r="AU1196">
        <v>25</v>
      </c>
      <c r="AV1196">
        <v>1.0887040000000001</v>
      </c>
      <c r="AW1196">
        <v>3.115325665159261E-2</v>
      </c>
      <c r="AX1196">
        <v>2.8614992368534153</v>
      </c>
      <c r="AY1196">
        <v>-27.637556225222781</v>
      </c>
      <c r="AZ1196">
        <v>32.359029966030917</v>
      </c>
      <c r="BB1196" t="s">
        <v>4620</v>
      </c>
      <c r="BD1196" s="98"/>
      <c r="BE1196" s="98"/>
      <c r="BF1196" t="s">
        <v>1152</v>
      </c>
      <c r="BG1196" t="s">
        <v>322</v>
      </c>
      <c r="BH1196" t="s">
        <v>1153</v>
      </c>
      <c r="BI1196">
        <v>27.637556225222781</v>
      </c>
      <c r="BN1196" t="s">
        <v>1154</v>
      </c>
      <c r="BO1196">
        <v>2025</v>
      </c>
      <c r="BP1196" t="s">
        <v>966</v>
      </c>
      <c r="BZ1196" t="s">
        <v>1513</v>
      </c>
      <c r="CA1196" t="s">
        <v>1513</v>
      </c>
      <c r="CB1196" t="b">
        <v>0</v>
      </c>
      <c r="CC1196" t="b">
        <v>0</v>
      </c>
      <c r="CD1196" t="b">
        <v>0</v>
      </c>
      <c r="CE1196" t="b">
        <v>0</v>
      </c>
      <c r="CF1196" t="b">
        <v>0</v>
      </c>
    </row>
    <row r="1197" spans="1:84" x14ac:dyDescent="0.3">
      <c r="A1197" t="s">
        <v>3618</v>
      </c>
      <c r="B1197" t="s">
        <v>1238</v>
      </c>
      <c r="C1197" s="98">
        <v>45803</v>
      </c>
      <c r="D1197">
        <v>2025</v>
      </c>
      <c r="E1197">
        <v>5</v>
      </c>
      <c r="F1197">
        <v>2</v>
      </c>
      <c r="G1197" t="s">
        <v>1226</v>
      </c>
      <c r="H1197" t="s">
        <v>146</v>
      </c>
      <c r="I1197" t="s">
        <v>146</v>
      </c>
      <c r="J1197" t="s">
        <v>6</v>
      </c>
      <c r="L1197">
        <v>522611</v>
      </c>
      <c r="M1197" s="99" t="s">
        <v>180</v>
      </c>
      <c r="N1197">
        <v>3</v>
      </c>
      <c r="O1197">
        <v>21</v>
      </c>
      <c r="P1197">
        <v>1.1259999999999999</v>
      </c>
      <c r="Q1197" t="s">
        <v>352</v>
      </c>
      <c r="R1197">
        <v>1</v>
      </c>
      <c r="S1197">
        <v>1.089</v>
      </c>
      <c r="T1197">
        <v>3.2599999999999997E-2</v>
      </c>
      <c r="U1197">
        <v>1.1349693251533719</v>
      </c>
      <c r="V1197">
        <v>0.99119999999999997</v>
      </c>
      <c r="W1197">
        <v>1.0238</v>
      </c>
      <c r="X1197">
        <v>1.0564</v>
      </c>
      <c r="Y1197">
        <v>1.1215999999999999</v>
      </c>
      <c r="Z1197">
        <v>1.1541999999999999</v>
      </c>
      <c r="AA1197">
        <v>1.1867999999999999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 t="s">
        <v>462</v>
      </c>
      <c r="AL1197" t="s">
        <v>6</v>
      </c>
      <c r="AM1197" t="s">
        <v>1145</v>
      </c>
      <c r="AN1197" t="s">
        <v>1146</v>
      </c>
      <c r="AO1197" s="100">
        <v>46262.040405092594</v>
      </c>
      <c r="AP1197" t="s">
        <v>1147</v>
      </c>
      <c r="AQ1197" t="s">
        <v>3619</v>
      </c>
      <c r="AR1197" t="s">
        <v>1240</v>
      </c>
      <c r="AS1197" t="s">
        <v>1150</v>
      </c>
      <c r="AT1197" t="s">
        <v>3479</v>
      </c>
      <c r="AU1197">
        <v>25</v>
      </c>
      <c r="AV1197">
        <v>1.0887040000000001</v>
      </c>
      <c r="AW1197">
        <v>3.115325665159261E-2</v>
      </c>
      <c r="AX1197">
        <v>2.8614992368534153</v>
      </c>
      <c r="AY1197">
        <v>-27.637556225222781</v>
      </c>
      <c r="AZ1197">
        <v>32.359029966030917</v>
      </c>
      <c r="BB1197" t="s">
        <v>4620</v>
      </c>
      <c r="BD1197" s="98"/>
      <c r="BE1197" s="98"/>
      <c r="BF1197" t="s">
        <v>1152</v>
      </c>
      <c r="BG1197" t="s">
        <v>322</v>
      </c>
      <c r="BH1197" t="s">
        <v>1153</v>
      </c>
      <c r="BI1197">
        <v>27.637556225222781</v>
      </c>
      <c r="BN1197" t="s">
        <v>1154</v>
      </c>
      <c r="BO1197">
        <v>2025</v>
      </c>
      <c r="BP1197" t="s">
        <v>966</v>
      </c>
      <c r="BZ1197" t="s">
        <v>1513</v>
      </c>
      <c r="CA1197" t="s">
        <v>1513</v>
      </c>
      <c r="CB1197" t="b">
        <v>0</v>
      </c>
      <c r="CC1197" t="b">
        <v>0</v>
      </c>
      <c r="CD1197" t="b">
        <v>0</v>
      </c>
      <c r="CE1197" t="b">
        <v>0</v>
      </c>
      <c r="CF1197" t="b">
        <v>0</v>
      </c>
    </row>
    <row r="1198" spans="1:84" x14ac:dyDescent="0.3">
      <c r="A1198" t="s">
        <v>3620</v>
      </c>
      <c r="B1198" t="s">
        <v>1242</v>
      </c>
      <c r="C1198" s="98">
        <v>45810</v>
      </c>
      <c r="D1198">
        <v>2025</v>
      </c>
      <c r="E1198">
        <v>6</v>
      </c>
      <c r="F1198">
        <v>2</v>
      </c>
      <c r="G1198" t="s">
        <v>1243</v>
      </c>
      <c r="H1198" t="s">
        <v>146</v>
      </c>
      <c r="I1198" t="s">
        <v>146</v>
      </c>
      <c r="J1198" t="s">
        <v>6</v>
      </c>
      <c r="L1198">
        <v>522611</v>
      </c>
      <c r="M1198" s="99" t="s">
        <v>180</v>
      </c>
      <c r="N1198">
        <v>3</v>
      </c>
      <c r="O1198">
        <v>22</v>
      </c>
      <c r="P1198">
        <v>1.1342000000000001</v>
      </c>
      <c r="Q1198" t="s">
        <v>352</v>
      </c>
      <c r="R1198">
        <v>1</v>
      </c>
      <c r="S1198">
        <v>1.089</v>
      </c>
      <c r="T1198">
        <v>3.2599999999999997E-2</v>
      </c>
      <c r="U1198">
        <v>1.3865030674846666</v>
      </c>
      <c r="V1198">
        <v>0.99119999999999997</v>
      </c>
      <c r="W1198">
        <v>1.0238</v>
      </c>
      <c r="X1198">
        <v>1.0564</v>
      </c>
      <c r="Y1198">
        <v>1.1215999999999999</v>
      </c>
      <c r="Z1198">
        <v>1.1541999999999999</v>
      </c>
      <c r="AA1198">
        <v>1.1867999999999999</v>
      </c>
      <c r="AE1198">
        <v>0</v>
      </c>
      <c r="AF1198">
        <v>0</v>
      </c>
      <c r="AG1198">
        <v>0</v>
      </c>
      <c r="AH1198">
        <v>0</v>
      </c>
      <c r="AI1198">
        <v>1</v>
      </c>
      <c r="AJ1198">
        <v>0</v>
      </c>
      <c r="AK1198" t="s">
        <v>1213</v>
      </c>
      <c r="AL1198" t="s">
        <v>6</v>
      </c>
      <c r="AM1198" t="s">
        <v>1145</v>
      </c>
      <c r="AN1198" t="s">
        <v>1146</v>
      </c>
      <c r="AO1198" s="100">
        <v>46262.040405092594</v>
      </c>
      <c r="AP1198" t="s">
        <v>1147</v>
      </c>
      <c r="AQ1198" t="s">
        <v>3621</v>
      </c>
      <c r="AR1198" t="s">
        <v>1245</v>
      </c>
      <c r="AS1198" t="s">
        <v>1150</v>
      </c>
      <c r="AT1198" t="s">
        <v>3479</v>
      </c>
      <c r="AU1198">
        <v>25</v>
      </c>
      <c r="AV1198">
        <v>1.0887040000000001</v>
      </c>
      <c r="AW1198">
        <v>3.115325665159261E-2</v>
      </c>
      <c r="AX1198">
        <v>2.8614992368534153</v>
      </c>
      <c r="AY1198">
        <v>-27.637556225222781</v>
      </c>
      <c r="AZ1198">
        <v>32.359029966030917</v>
      </c>
      <c r="BB1198" t="s">
        <v>4620</v>
      </c>
      <c r="BD1198" s="98"/>
      <c r="BE1198" s="98"/>
      <c r="BF1198" t="s">
        <v>1152</v>
      </c>
      <c r="BG1198" t="s">
        <v>322</v>
      </c>
      <c r="BH1198" t="s">
        <v>1153</v>
      </c>
      <c r="BI1198">
        <v>27.637556225222781</v>
      </c>
      <c r="BN1198" t="s">
        <v>1154</v>
      </c>
      <c r="BO1198">
        <v>2025</v>
      </c>
      <c r="BP1198" t="s">
        <v>966</v>
      </c>
      <c r="BZ1198" t="s">
        <v>1513</v>
      </c>
      <c r="CA1198" t="s">
        <v>1513</v>
      </c>
      <c r="CB1198" t="b">
        <v>0</v>
      </c>
      <c r="CC1198" t="b">
        <v>0</v>
      </c>
      <c r="CD1198" t="b">
        <v>0</v>
      </c>
      <c r="CE1198" t="b">
        <v>0</v>
      </c>
      <c r="CF1198" t="b">
        <v>0</v>
      </c>
    </row>
    <row r="1199" spans="1:84" x14ac:dyDescent="0.3">
      <c r="A1199" t="s">
        <v>3622</v>
      </c>
      <c r="B1199" t="s">
        <v>1247</v>
      </c>
      <c r="C1199" s="98">
        <v>45817</v>
      </c>
      <c r="D1199">
        <v>2025</v>
      </c>
      <c r="E1199">
        <v>6</v>
      </c>
      <c r="F1199">
        <v>2</v>
      </c>
      <c r="G1199" t="s">
        <v>1243</v>
      </c>
      <c r="H1199" t="s">
        <v>146</v>
      </c>
      <c r="I1199" t="s">
        <v>146</v>
      </c>
      <c r="J1199" t="s">
        <v>6</v>
      </c>
      <c r="L1199">
        <v>522611</v>
      </c>
      <c r="M1199" s="99" t="s">
        <v>180</v>
      </c>
      <c r="N1199">
        <v>3</v>
      </c>
      <c r="O1199">
        <v>23</v>
      </c>
      <c r="P1199">
        <v>1.0842000000000001</v>
      </c>
      <c r="Q1199" t="s">
        <v>352</v>
      </c>
      <c r="R1199">
        <v>1</v>
      </c>
      <c r="S1199">
        <v>1.089</v>
      </c>
      <c r="T1199">
        <v>3.2599999999999997E-2</v>
      </c>
      <c r="U1199">
        <v>-0.14723926380367841</v>
      </c>
      <c r="V1199">
        <v>0.99119999999999997</v>
      </c>
      <c r="W1199">
        <v>1.0238</v>
      </c>
      <c r="X1199">
        <v>1.0564</v>
      </c>
      <c r="Y1199">
        <v>1.1215999999999999</v>
      </c>
      <c r="Z1199">
        <v>1.1541999999999999</v>
      </c>
      <c r="AA1199">
        <v>1.1867999999999999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 t="s">
        <v>462</v>
      </c>
      <c r="AL1199" t="s">
        <v>6</v>
      </c>
      <c r="AM1199" t="s">
        <v>1145</v>
      </c>
      <c r="AN1199" t="s">
        <v>1146</v>
      </c>
      <c r="AO1199" s="100">
        <v>46262.040405092594</v>
      </c>
      <c r="AP1199" t="s">
        <v>1147</v>
      </c>
      <c r="AQ1199" t="s">
        <v>3623</v>
      </c>
      <c r="AR1199" t="s">
        <v>1249</v>
      </c>
      <c r="AS1199" t="s">
        <v>1150</v>
      </c>
      <c r="AT1199" t="s">
        <v>3479</v>
      </c>
      <c r="AU1199">
        <v>25</v>
      </c>
      <c r="AV1199">
        <v>1.0887040000000001</v>
      </c>
      <c r="AW1199">
        <v>3.115325665159261E-2</v>
      </c>
      <c r="AX1199">
        <v>2.8614992368534153</v>
      </c>
      <c r="AY1199">
        <v>-27.637556225222781</v>
      </c>
      <c r="AZ1199">
        <v>32.359029966030917</v>
      </c>
      <c r="BB1199" t="s">
        <v>4620</v>
      </c>
      <c r="BD1199" s="98"/>
      <c r="BE1199" s="98"/>
      <c r="BF1199" t="s">
        <v>1152</v>
      </c>
      <c r="BG1199" t="s">
        <v>322</v>
      </c>
      <c r="BH1199" t="s">
        <v>1153</v>
      </c>
      <c r="BI1199">
        <v>27.637556225222781</v>
      </c>
      <c r="BN1199" t="s">
        <v>1154</v>
      </c>
      <c r="BO1199">
        <v>2025</v>
      </c>
      <c r="BP1199" t="s">
        <v>966</v>
      </c>
      <c r="BZ1199" t="s">
        <v>1513</v>
      </c>
      <c r="CA1199" t="s">
        <v>1513</v>
      </c>
      <c r="CB1199" t="b">
        <v>0</v>
      </c>
      <c r="CC1199" t="b">
        <v>0</v>
      </c>
      <c r="CD1199" t="b">
        <v>0</v>
      </c>
      <c r="CE1199" t="b">
        <v>0</v>
      </c>
      <c r="CF1199" t="b">
        <v>0</v>
      </c>
    </row>
    <row r="1200" spans="1:84" x14ac:dyDescent="0.3">
      <c r="A1200" t="s">
        <v>3624</v>
      </c>
      <c r="B1200" t="s">
        <v>1251</v>
      </c>
      <c r="C1200" s="98">
        <v>45824</v>
      </c>
      <c r="D1200">
        <v>2025</v>
      </c>
      <c r="E1200">
        <v>6</v>
      </c>
      <c r="F1200">
        <v>2</v>
      </c>
      <c r="G1200" t="s">
        <v>1243</v>
      </c>
      <c r="H1200" t="s">
        <v>146</v>
      </c>
      <c r="I1200" t="s">
        <v>146</v>
      </c>
      <c r="J1200" t="s">
        <v>6</v>
      </c>
      <c r="L1200">
        <v>522611</v>
      </c>
      <c r="M1200" s="99" t="s">
        <v>180</v>
      </c>
      <c r="N1200">
        <v>3</v>
      </c>
      <c r="O1200">
        <v>24</v>
      </c>
      <c r="P1200">
        <v>1.0832999999999999</v>
      </c>
      <c r="Q1200" t="s">
        <v>352</v>
      </c>
      <c r="R1200">
        <v>1</v>
      </c>
      <c r="S1200">
        <v>1.089</v>
      </c>
      <c r="T1200">
        <v>3.2599999999999997E-2</v>
      </c>
      <c r="U1200">
        <v>-0.17484662576687235</v>
      </c>
      <c r="V1200">
        <v>0.99119999999999997</v>
      </c>
      <c r="W1200">
        <v>1.0238</v>
      </c>
      <c r="X1200">
        <v>1.0564</v>
      </c>
      <c r="Y1200">
        <v>1.1215999999999999</v>
      </c>
      <c r="Z1200">
        <v>1.1541999999999999</v>
      </c>
      <c r="AA1200">
        <v>1.1867999999999999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 t="s">
        <v>462</v>
      </c>
      <c r="AL1200" t="s">
        <v>6</v>
      </c>
      <c r="AM1200" t="s">
        <v>1145</v>
      </c>
      <c r="AN1200" t="s">
        <v>1146</v>
      </c>
      <c r="AO1200" s="100">
        <v>46262.040405092594</v>
      </c>
      <c r="AP1200" t="s">
        <v>1147</v>
      </c>
      <c r="AQ1200" t="s">
        <v>3625</v>
      </c>
      <c r="AR1200" t="s">
        <v>1253</v>
      </c>
      <c r="AS1200" t="s">
        <v>1150</v>
      </c>
      <c r="AT1200" t="s">
        <v>3479</v>
      </c>
      <c r="AU1200">
        <v>25</v>
      </c>
      <c r="AV1200">
        <v>1.0887040000000001</v>
      </c>
      <c r="AW1200">
        <v>3.115325665159261E-2</v>
      </c>
      <c r="AX1200">
        <v>2.8614992368534153</v>
      </c>
      <c r="AY1200">
        <v>-27.637556225222781</v>
      </c>
      <c r="AZ1200">
        <v>32.359029966030917</v>
      </c>
      <c r="BB1200" t="s">
        <v>4620</v>
      </c>
      <c r="BD1200" s="98"/>
      <c r="BE1200" s="98"/>
      <c r="BF1200" t="s">
        <v>1152</v>
      </c>
      <c r="BG1200" t="s">
        <v>322</v>
      </c>
      <c r="BH1200" t="s">
        <v>1153</v>
      </c>
      <c r="BI1200">
        <v>27.637556225222781</v>
      </c>
      <c r="BN1200" t="s">
        <v>1154</v>
      </c>
      <c r="BO1200">
        <v>2025</v>
      </c>
      <c r="BP1200" t="s">
        <v>966</v>
      </c>
      <c r="BZ1200" t="s">
        <v>1513</v>
      </c>
      <c r="CA1200" t="s">
        <v>1513</v>
      </c>
      <c r="CB1200" t="b">
        <v>0</v>
      </c>
      <c r="CC1200" t="b">
        <v>0</v>
      </c>
      <c r="CD1200" t="b">
        <v>0</v>
      </c>
      <c r="CE1200" t="b">
        <v>0</v>
      </c>
      <c r="CF1200" t="b">
        <v>0</v>
      </c>
    </row>
    <row r="1201" spans="1:84" x14ac:dyDescent="0.3">
      <c r="A1201" t="s">
        <v>3626</v>
      </c>
      <c r="B1201" t="s">
        <v>1255</v>
      </c>
      <c r="C1201" s="98">
        <v>45831</v>
      </c>
      <c r="D1201">
        <v>2025</v>
      </c>
      <c r="E1201">
        <v>6</v>
      </c>
      <c r="F1201">
        <v>2</v>
      </c>
      <c r="G1201" t="s">
        <v>1243</v>
      </c>
      <c r="H1201" t="s">
        <v>146</v>
      </c>
      <c r="I1201" t="s">
        <v>146</v>
      </c>
      <c r="J1201" t="s">
        <v>6</v>
      </c>
      <c r="L1201">
        <v>522611</v>
      </c>
      <c r="M1201" s="99" t="s">
        <v>180</v>
      </c>
      <c r="N1201">
        <v>3</v>
      </c>
      <c r="O1201">
        <v>25</v>
      </c>
      <c r="P1201">
        <v>1.1157999999999999</v>
      </c>
      <c r="Q1201" t="s">
        <v>352</v>
      </c>
      <c r="R1201">
        <v>1</v>
      </c>
      <c r="S1201">
        <v>1.089</v>
      </c>
      <c r="T1201">
        <v>3.2599999999999997E-2</v>
      </c>
      <c r="U1201">
        <v>0.82208588957055018</v>
      </c>
      <c r="V1201">
        <v>0.99119999999999997</v>
      </c>
      <c r="W1201">
        <v>1.0238</v>
      </c>
      <c r="X1201">
        <v>1.0564</v>
      </c>
      <c r="Y1201">
        <v>1.1215999999999999</v>
      </c>
      <c r="Z1201">
        <v>1.1541999999999999</v>
      </c>
      <c r="AA1201">
        <v>1.1867999999999999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 t="s">
        <v>462</v>
      </c>
      <c r="AL1201" t="s">
        <v>6</v>
      </c>
      <c r="AM1201" t="s">
        <v>1145</v>
      </c>
      <c r="AN1201" t="s">
        <v>1146</v>
      </c>
      <c r="AO1201" s="100">
        <v>46262.040405092594</v>
      </c>
      <c r="AP1201" t="s">
        <v>1147</v>
      </c>
      <c r="AQ1201" t="s">
        <v>3627</v>
      </c>
      <c r="AR1201" t="s">
        <v>1257</v>
      </c>
      <c r="AS1201" t="s">
        <v>1150</v>
      </c>
      <c r="AT1201" t="s">
        <v>3479</v>
      </c>
      <c r="AU1201">
        <v>25</v>
      </c>
      <c r="AV1201">
        <v>1.0887040000000001</v>
      </c>
      <c r="AW1201">
        <v>3.115325665159261E-2</v>
      </c>
      <c r="AX1201">
        <v>2.8614992368534153</v>
      </c>
      <c r="AY1201">
        <v>-27.637556225222781</v>
      </c>
      <c r="AZ1201">
        <v>32.359029966030917</v>
      </c>
      <c r="BB1201" t="s">
        <v>4620</v>
      </c>
      <c r="BD1201" s="98"/>
      <c r="BE1201" s="98"/>
      <c r="BF1201" t="s">
        <v>1152</v>
      </c>
      <c r="BG1201" t="s">
        <v>322</v>
      </c>
      <c r="BH1201" t="s">
        <v>1153</v>
      </c>
      <c r="BI1201">
        <v>27.637556225222781</v>
      </c>
      <c r="BN1201" t="s">
        <v>1154</v>
      </c>
      <c r="BO1201">
        <v>2025</v>
      </c>
      <c r="BP1201" t="s">
        <v>966</v>
      </c>
      <c r="BZ1201" t="s">
        <v>1513</v>
      </c>
      <c r="CA1201" t="s">
        <v>1513</v>
      </c>
      <c r="CB1201" t="b">
        <v>0</v>
      </c>
      <c r="CC1201" t="b">
        <v>0</v>
      </c>
      <c r="CD1201" t="b">
        <v>0</v>
      </c>
      <c r="CE1201" t="b">
        <v>0</v>
      </c>
      <c r="CF1201" t="b">
        <v>0</v>
      </c>
    </row>
    <row r="1202" spans="1:84" x14ac:dyDescent="0.3">
      <c r="A1202" t="s">
        <v>3628</v>
      </c>
      <c r="B1202" t="s">
        <v>1143</v>
      </c>
      <c r="C1202" s="98">
        <v>45663</v>
      </c>
      <c r="D1202">
        <v>2025</v>
      </c>
      <c r="E1202">
        <v>1</v>
      </c>
      <c r="F1202">
        <v>1</v>
      </c>
      <c r="G1202" t="s">
        <v>1144</v>
      </c>
      <c r="H1202" t="s">
        <v>147</v>
      </c>
      <c r="I1202" t="s">
        <v>147</v>
      </c>
      <c r="J1202" t="s">
        <v>6</v>
      </c>
      <c r="L1202">
        <v>522611</v>
      </c>
      <c r="M1202" s="99" t="s">
        <v>178</v>
      </c>
      <c r="N1202">
        <v>1</v>
      </c>
      <c r="O1202">
        <v>1</v>
      </c>
      <c r="P1202">
        <v>49.153399999999998</v>
      </c>
      <c r="Q1202" t="s">
        <v>352</v>
      </c>
      <c r="R1202">
        <v>1</v>
      </c>
      <c r="S1202">
        <v>49.979300000000002</v>
      </c>
      <c r="T1202">
        <v>0.60440000000000005</v>
      </c>
      <c r="U1202">
        <v>-1.3664791528788951</v>
      </c>
      <c r="V1202">
        <v>48.1661</v>
      </c>
      <c r="W1202">
        <v>48.770499999999998</v>
      </c>
      <c r="X1202">
        <v>49.374900000000004</v>
      </c>
      <c r="Y1202">
        <v>50.5837</v>
      </c>
      <c r="Z1202">
        <v>51.188100000000006</v>
      </c>
      <c r="AA1202">
        <v>51.792500000000004</v>
      </c>
      <c r="AD1202">
        <v>3.6654153790683175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 t="s">
        <v>462</v>
      </c>
      <c r="AL1202" t="s">
        <v>6</v>
      </c>
      <c r="AM1202" t="s">
        <v>1145</v>
      </c>
      <c r="AN1202" t="s">
        <v>1146</v>
      </c>
      <c r="AO1202" s="100">
        <v>46262.040405092594</v>
      </c>
      <c r="AP1202" t="s">
        <v>1147</v>
      </c>
      <c r="AQ1202" t="s">
        <v>3629</v>
      </c>
      <c r="AR1202" t="s">
        <v>1149</v>
      </c>
      <c r="AS1202" t="s">
        <v>1150</v>
      </c>
      <c r="AT1202" t="s">
        <v>3630</v>
      </c>
      <c r="AU1202">
        <v>25</v>
      </c>
      <c r="AV1202">
        <v>49.839127999999988</v>
      </c>
      <c r="AW1202">
        <v>0.57875046617691783</v>
      </c>
      <c r="AX1202">
        <v>1.1612371431878141</v>
      </c>
      <c r="BB1202" t="s">
        <v>4619</v>
      </c>
      <c r="BD1202" s="98"/>
      <c r="BE1202" s="98"/>
      <c r="BF1202" t="s">
        <v>1152</v>
      </c>
      <c r="BG1202" t="s">
        <v>322</v>
      </c>
      <c r="BH1202" t="s">
        <v>1153</v>
      </c>
      <c r="BN1202" t="s">
        <v>1154</v>
      </c>
      <c r="BO1202">
        <v>2025</v>
      </c>
      <c r="BP1202" t="s">
        <v>966</v>
      </c>
      <c r="BZ1202" t="s">
        <v>1513</v>
      </c>
      <c r="CA1202" t="s">
        <v>1513</v>
      </c>
      <c r="CB1202" t="b">
        <v>0</v>
      </c>
      <c r="CC1202" t="b">
        <v>0</v>
      </c>
      <c r="CD1202" t="b">
        <v>0</v>
      </c>
      <c r="CE1202" t="b">
        <v>0</v>
      </c>
      <c r="CF1202" t="b">
        <v>0</v>
      </c>
    </row>
    <row r="1203" spans="1:84" x14ac:dyDescent="0.3">
      <c r="A1203" t="s">
        <v>3631</v>
      </c>
      <c r="B1203" t="s">
        <v>1157</v>
      </c>
      <c r="C1203" s="98">
        <v>45670</v>
      </c>
      <c r="D1203">
        <v>2025</v>
      </c>
      <c r="E1203">
        <v>1</v>
      </c>
      <c r="F1203">
        <v>1</v>
      </c>
      <c r="G1203" t="s">
        <v>1144</v>
      </c>
      <c r="H1203" t="s">
        <v>147</v>
      </c>
      <c r="I1203" t="s">
        <v>147</v>
      </c>
      <c r="J1203" t="s">
        <v>6</v>
      </c>
      <c r="L1203">
        <v>522611</v>
      </c>
      <c r="M1203" s="99" t="s">
        <v>178</v>
      </c>
      <c r="N1203">
        <v>1</v>
      </c>
      <c r="O1203">
        <v>2</v>
      </c>
      <c r="P1203">
        <v>50.105899999999998</v>
      </c>
      <c r="Q1203" t="s">
        <v>352</v>
      </c>
      <c r="R1203">
        <v>1</v>
      </c>
      <c r="S1203">
        <v>49.979300000000002</v>
      </c>
      <c r="T1203">
        <v>0.60440000000000005</v>
      </c>
      <c r="U1203">
        <v>0.20946393117140347</v>
      </c>
      <c r="V1203">
        <v>48.1661</v>
      </c>
      <c r="W1203">
        <v>48.770499999999998</v>
      </c>
      <c r="X1203">
        <v>49.374900000000004</v>
      </c>
      <c r="Y1203">
        <v>50.5837</v>
      </c>
      <c r="Z1203">
        <v>51.188100000000006</v>
      </c>
      <c r="AA1203">
        <v>51.792500000000004</v>
      </c>
      <c r="AD1203">
        <v>3.6654153790683175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 t="s">
        <v>462</v>
      </c>
      <c r="AL1203" t="s">
        <v>6</v>
      </c>
      <c r="AM1203" t="s">
        <v>1145</v>
      </c>
      <c r="AN1203" t="s">
        <v>1146</v>
      </c>
      <c r="AO1203" s="100">
        <v>46262.040405092594</v>
      </c>
      <c r="AP1203" t="s">
        <v>1147</v>
      </c>
      <c r="AQ1203" t="s">
        <v>3632</v>
      </c>
      <c r="AR1203" t="s">
        <v>1159</v>
      </c>
      <c r="AS1203" t="s">
        <v>1150</v>
      </c>
      <c r="AT1203" t="s">
        <v>3630</v>
      </c>
      <c r="AU1203">
        <v>25</v>
      </c>
      <c r="AV1203">
        <v>49.839127999999988</v>
      </c>
      <c r="AW1203">
        <v>0.57875046617691783</v>
      </c>
      <c r="AX1203">
        <v>1.1612371431878141</v>
      </c>
      <c r="BB1203" t="s">
        <v>4619</v>
      </c>
      <c r="BD1203" s="98"/>
      <c r="BE1203" s="98"/>
      <c r="BF1203" t="s">
        <v>1152</v>
      </c>
      <c r="BG1203" t="s">
        <v>322</v>
      </c>
      <c r="BH1203" t="s">
        <v>1153</v>
      </c>
      <c r="BN1203" t="s">
        <v>1154</v>
      </c>
      <c r="BO1203">
        <v>2025</v>
      </c>
      <c r="BP1203" t="s">
        <v>966</v>
      </c>
      <c r="BZ1203" t="s">
        <v>1513</v>
      </c>
      <c r="CA1203" t="s">
        <v>1513</v>
      </c>
      <c r="CB1203" t="b">
        <v>0</v>
      </c>
      <c r="CC1203" t="b">
        <v>0</v>
      </c>
      <c r="CD1203" t="b">
        <v>0</v>
      </c>
      <c r="CE1203" t="b">
        <v>0</v>
      </c>
      <c r="CF1203" t="b">
        <v>0</v>
      </c>
    </row>
    <row r="1204" spans="1:84" x14ac:dyDescent="0.3">
      <c r="A1204" t="s">
        <v>3633</v>
      </c>
      <c r="B1204" t="s">
        <v>1161</v>
      </c>
      <c r="C1204" s="98">
        <v>45677</v>
      </c>
      <c r="D1204">
        <v>2025</v>
      </c>
      <c r="E1204">
        <v>1</v>
      </c>
      <c r="F1204">
        <v>1</v>
      </c>
      <c r="G1204" t="s">
        <v>1144</v>
      </c>
      <c r="H1204" t="s">
        <v>147</v>
      </c>
      <c r="I1204" t="s">
        <v>147</v>
      </c>
      <c r="J1204" t="s">
        <v>6</v>
      </c>
      <c r="L1204">
        <v>522611</v>
      </c>
      <c r="M1204" s="99" t="s">
        <v>178</v>
      </c>
      <c r="N1204">
        <v>1</v>
      </c>
      <c r="O1204">
        <v>3</v>
      </c>
      <c r="P1204">
        <v>49.658700000000003</v>
      </c>
      <c r="Q1204" t="s">
        <v>352</v>
      </c>
      <c r="R1204">
        <v>1</v>
      </c>
      <c r="S1204">
        <v>49.979300000000002</v>
      </c>
      <c r="T1204">
        <v>0.60440000000000005</v>
      </c>
      <c r="U1204">
        <v>-0.53044341495698022</v>
      </c>
      <c r="V1204">
        <v>48.1661</v>
      </c>
      <c r="W1204">
        <v>48.770499999999998</v>
      </c>
      <c r="X1204">
        <v>49.374900000000004</v>
      </c>
      <c r="Y1204">
        <v>50.5837</v>
      </c>
      <c r="Z1204">
        <v>51.188100000000006</v>
      </c>
      <c r="AA1204">
        <v>51.792500000000004</v>
      </c>
      <c r="AD1204">
        <v>3.6654153790683175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 t="s">
        <v>462</v>
      </c>
      <c r="AL1204" t="s">
        <v>6</v>
      </c>
      <c r="AM1204" t="s">
        <v>1145</v>
      </c>
      <c r="AN1204" t="s">
        <v>1146</v>
      </c>
      <c r="AO1204" s="100">
        <v>46262.040405092594</v>
      </c>
      <c r="AP1204" t="s">
        <v>1147</v>
      </c>
      <c r="AQ1204" t="s">
        <v>3634</v>
      </c>
      <c r="AR1204" t="s">
        <v>1163</v>
      </c>
      <c r="AS1204" t="s">
        <v>1150</v>
      </c>
      <c r="AT1204" t="s">
        <v>3630</v>
      </c>
      <c r="AU1204">
        <v>25</v>
      </c>
      <c r="AV1204">
        <v>49.839127999999988</v>
      </c>
      <c r="AW1204">
        <v>0.57875046617691783</v>
      </c>
      <c r="AX1204">
        <v>1.1612371431878141</v>
      </c>
      <c r="BB1204" t="s">
        <v>4619</v>
      </c>
      <c r="BD1204" s="98"/>
      <c r="BE1204" s="98"/>
      <c r="BF1204" t="s">
        <v>1152</v>
      </c>
      <c r="BG1204" t="s">
        <v>322</v>
      </c>
      <c r="BH1204" t="s">
        <v>1153</v>
      </c>
      <c r="BN1204" t="s">
        <v>1154</v>
      </c>
      <c r="BO1204">
        <v>2025</v>
      </c>
      <c r="BP1204" t="s">
        <v>966</v>
      </c>
      <c r="BZ1204" t="s">
        <v>1513</v>
      </c>
      <c r="CA1204" t="s">
        <v>1513</v>
      </c>
      <c r="CB1204" t="b">
        <v>0</v>
      </c>
      <c r="CC1204" t="b">
        <v>0</v>
      </c>
      <c r="CD1204" t="b">
        <v>0</v>
      </c>
      <c r="CE1204" t="b">
        <v>0</v>
      </c>
      <c r="CF1204" t="b">
        <v>0</v>
      </c>
    </row>
    <row r="1205" spans="1:84" x14ac:dyDescent="0.3">
      <c r="A1205" t="s">
        <v>3635</v>
      </c>
      <c r="B1205" t="s">
        <v>1165</v>
      </c>
      <c r="C1205" s="98">
        <v>45684</v>
      </c>
      <c r="D1205">
        <v>2025</v>
      </c>
      <c r="E1205">
        <v>1</v>
      </c>
      <c r="F1205">
        <v>1</v>
      </c>
      <c r="G1205" t="s">
        <v>1144</v>
      </c>
      <c r="H1205" t="s">
        <v>147</v>
      </c>
      <c r="I1205" t="s">
        <v>147</v>
      </c>
      <c r="J1205" t="s">
        <v>6</v>
      </c>
      <c r="L1205">
        <v>522611</v>
      </c>
      <c r="M1205" s="99" t="s">
        <v>178</v>
      </c>
      <c r="N1205">
        <v>1</v>
      </c>
      <c r="O1205">
        <v>4</v>
      </c>
      <c r="P1205">
        <v>49.756399999999999</v>
      </c>
      <c r="Q1205" t="s">
        <v>352</v>
      </c>
      <c r="R1205">
        <v>1</v>
      </c>
      <c r="S1205">
        <v>49.979300000000002</v>
      </c>
      <c r="T1205">
        <v>0.60440000000000005</v>
      </c>
      <c r="U1205">
        <v>-0.36879549966909786</v>
      </c>
      <c r="V1205">
        <v>48.1661</v>
      </c>
      <c r="W1205">
        <v>48.770499999999998</v>
      </c>
      <c r="X1205">
        <v>49.374900000000004</v>
      </c>
      <c r="Y1205">
        <v>50.5837</v>
      </c>
      <c r="Z1205">
        <v>51.188100000000006</v>
      </c>
      <c r="AA1205">
        <v>51.792500000000004</v>
      </c>
      <c r="AD1205">
        <v>3.6654153790683175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 t="s">
        <v>462</v>
      </c>
      <c r="AL1205" t="s">
        <v>6</v>
      </c>
      <c r="AM1205" t="s">
        <v>1145</v>
      </c>
      <c r="AN1205" t="s">
        <v>1146</v>
      </c>
      <c r="AO1205" s="100">
        <v>46262.040405092594</v>
      </c>
      <c r="AP1205" t="s">
        <v>1147</v>
      </c>
      <c r="AQ1205" t="s">
        <v>3636</v>
      </c>
      <c r="AR1205" t="s">
        <v>1167</v>
      </c>
      <c r="AS1205" t="s">
        <v>1150</v>
      </c>
      <c r="AT1205" t="s">
        <v>3630</v>
      </c>
      <c r="AU1205">
        <v>25</v>
      </c>
      <c r="AV1205">
        <v>49.839127999999988</v>
      </c>
      <c r="AW1205">
        <v>0.57875046617691783</v>
      </c>
      <c r="AX1205">
        <v>1.1612371431878141</v>
      </c>
      <c r="BB1205" t="s">
        <v>4619</v>
      </c>
      <c r="BD1205" s="98"/>
      <c r="BE1205" s="98"/>
      <c r="BF1205" t="s">
        <v>1152</v>
      </c>
      <c r="BG1205" t="s">
        <v>322</v>
      </c>
      <c r="BH1205" t="s">
        <v>1153</v>
      </c>
      <c r="BN1205" t="s">
        <v>1154</v>
      </c>
      <c r="BO1205">
        <v>2025</v>
      </c>
      <c r="BP1205" t="s">
        <v>966</v>
      </c>
      <c r="BZ1205" t="s">
        <v>1513</v>
      </c>
      <c r="CA1205" t="s">
        <v>1513</v>
      </c>
      <c r="CB1205" t="b">
        <v>0</v>
      </c>
      <c r="CC1205" t="b">
        <v>0</v>
      </c>
      <c r="CD1205" t="b">
        <v>0</v>
      </c>
      <c r="CE1205" t="b">
        <v>0</v>
      </c>
      <c r="CF1205" t="b">
        <v>0</v>
      </c>
    </row>
    <row r="1206" spans="1:84" x14ac:dyDescent="0.3">
      <c r="A1206" t="s">
        <v>3637</v>
      </c>
      <c r="B1206" t="s">
        <v>1169</v>
      </c>
      <c r="C1206" s="98">
        <v>45691</v>
      </c>
      <c r="D1206">
        <v>2025</v>
      </c>
      <c r="E1206">
        <v>2</v>
      </c>
      <c r="F1206">
        <v>1</v>
      </c>
      <c r="G1206" t="s">
        <v>1170</v>
      </c>
      <c r="H1206" t="s">
        <v>147</v>
      </c>
      <c r="I1206" t="s">
        <v>147</v>
      </c>
      <c r="J1206" t="s">
        <v>6</v>
      </c>
      <c r="L1206">
        <v>522611</v>
      </c>
      <c r="M1206" s="99" t="s">
        <v>178</v>
      </c>
      <c r="N1206">
        <v>1</v>
      </c>
      <c r="O1206">
        <v>5</v>
      </c>
      <c r="P1206">
        <v>48.9268</v>
      </c>
      <c r="Q1206" t="s">
        <v>352</v>
      </c>
      <c r="R1206">
        <v>1</v>
      </c>
      <c r="S1206">
        <v>49.979300000000002</v>
      </c>
      <c r="T1206">
        <v>0.60440000000000005</v>
      </c>
      <c r="U1206">
        <v>-1.7413964262078125</v>
      </c>
      <c r="V1206">
        <v>48.1661</v>
      </c>
      <c r="W1206">
        <v>48.770499999999998</v>
      </c>
      <c r="X1206">
        <v>49.374900000000004</v>
      </c>
      <c r="Y1206">
        <v>50.5837</v>
      </c>
      <c r="Z1206">
        <v>51.188100000000006</v>
      </c>
      <c r="AA1206">
        <v>51.792500000000004</v>
      </c>
      <c r="AD1206">
        <v>3.6654153790683175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 t="s">
        <v>462</v>
      </c>
      <c r="AL1206" t="s">
        <v>6</v>
      </c>
      <c r="AM1206" t="s">
        <v>1145</v>
      </c>
      <c r="AN1206" t="s">
        <v>1146</v>
      </c>
      <c r="AO1206" s="100">
        <v>46262.040405092594</v>
      </c>
      <c r="AP1206" t="s">
        <v>1147</v>
      </c>
      <c r="AQ1206" t="s">
        <v>3638</v>
      </c>
      <c r="AR1206" t="s">
        <v>1172</v>
      </c>
      <c r="AS1206" t="s">
        <v>1150</v>
      </c>
      <c r="AT1206" t="s">
        <v>3630</v>
      </c>
      <c r="AU1206">
        <v>25</v>
      </c>
      <c r="AV1206">
        <v>49.839127999999988</v>
      </c>
      <c r="AW1206">
        <v>0.57875046617691783</v>
      </c>
      <c r="AX1206">
        <v>1.1612371431878141</v>
      </c>
      <c r="BB1206" t="s">
        <v>4619</v>
      </c>
      <c r="BD1206" s="98"/>
      <c r="BE1206" s="98"/>
      <c r="BF1206" t="s">
        <v>1152</v>
      </c>
      <c r="BG1206" t="s">
        <v>322</v>
      </c>
      <c r="BH1206" t="s">
        <v>1153</v>
      </c>
      <c r="BN1206" t="s">
        <v>1154</v>
      </c>
      <c r="BO1206">
        <v>2025</v>
      </c>
      <c r="BP1206" t="s">
        <v>966</v>
      </c>
      <c r="BZ1206" t="s">
        <v>1513</v>
      </c>
      <c r="CA1206" t="s">
        <v>1513</v>
      </c>
      <c r="CB1206" t="b">
        <v>0</v>
      </c>
      <c r="CC1206" t="b">
        <v>0</v>
      </c>
      <c r="CD1206" t="b">
        <v>0</v>
      </c>
      <c r="CE1206" t="b">
        <v>0</v>
      </c>
      <c r="CF1206" t="b">
        <v>0</v>
      </c>
    </row>
    <row r="1207" spans="1:84" x14ac:dyDescent="0.3">
      <c r="A1207" t="s">
        <v>3639</v>
      </c>
      <c r="B1207" t="s">
        <v>1174</v>
      </c>
      <c r="C1207" s="98">
        <v>45698</v>
      </c>
      <c r="D1207">
        <v>2025</v>
      </c>
      <c r="E1207">
        <v>2</v>
      </c>
      <c r="F1207">
        <v>1</v>
      </c>
      <c r="G1207" t="s">
        <v>1170</v>
      </c>
      <c r="H1207" t="s">
        <v>147</v>
      </c>
      <c r="I1207" t="s">
        <v>147</v>
      </c>
      <c r="J1207" t="s">
        <v>6</v>
      </c>
      <c r="L1207">
        <v>522611</v>
      </c>
      <c r="M1207" s="99" t="s">
        <v>178</v>
      </c>
      <c r="N1207">
        <v>1</v>
      </c>
      <c r="O1207">
        <v>6</v>
      </c>
      <c r="P1207">
        <v>49.441099999999999</v>
      </c>
      <c r="Q1207" t="s">
        <v>352</v>
      </c>
      <c r="R1207">
        <v>1</v>
      </c>
      <c r="S1207">
        <v>49.979300000000002</v>
      </c>
      <c r="T1207">
        <v>0.60440000000000005</v>
      </c>
      <c r="U1207">
        <v>-0.89046988749173284</v>
      </c>
      <c r="V1207">
        <v>48.1661</v>
      </c>
      <c r="W1207">
        <v>48.770499999999998</v>
      </c>
      <c r="X1207">
        <v>49.374900000000004</v>
      </c>
      <c r="Y1207">
        <v>50.5837</v>
      </c>
      <c r="Z1207">
        <v>51.188100000000006</v>
      </c>
      <c r="AA1207">
        <v>51.792500000000004</v>
      </c>
      <c r="AD1207">
        <v>3.6654153790683175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 t="s">
        <v>462</v>
      </c>
      <c r="AL1207" t="s">
        <v>6</v>
      </c>
      <c r="AM1207" t="s">
        <v>1145</v>
      </c>
      <c r="AN1207" t="s">
        <v>1146</v>
      </c>
      <c r="AO1207" s="100">
        <v>46262.040405092594</v>
      </c>
      <c r="AP1207" t="s">
        <v>1147</v>
      </c>
      <c r="AQ1207" t="s">
        <v>3640</v>
      </c>
      <c r="AR1207" t="s">
        <v>1176</v>
      </c>
      <c r="AS1207" t="s">
        <v>1150</v>
      </c>
      <c r="AT1207" t="s">
        <v>3630</v>
      </c>
      <c r="AU1207">
        <v>25</v>
      </c>
      <c r="AV1207">
        <v>49.839127999999988</v>
      </c>
      <c r="AW1207">
        <v>0.57875046617691783</v>
      </c>
      <c r="AX1207">
        <v>1.1612371431878141</v>
      </c>
      <c r="BB1207" t="s">
        <v>4619</v>
      </c>
      <c r="BD1207" s="98"/>
      <c r="BE1207" s="98"/>
      <c r="BF1207" t="s">
        <v>1152</v>
      </c>
      <c r="BG1207" t="s">
        <v>322</v>
      </c>
      <c r="BH1207" t="s">
        <v>1153</v>
      </c>
      <c r="BN1207" t="s">
        <v>1154</v>
      </c>
      <c r="BO1207">
        <v>2025</v>
      </c>
      <c r="BP1207" t="s">
        <v>966</v>
      </c>
      <c r="BZ1207" t="s">
        <v>1513</v>
      </c>
      <c r="CA1207" t="s">
        <v>1513</v>
      </c>
      <c r="CB1207" t="b">
        <v>0</v>
      </c>
      <c r="CC1207" t="b">
        <v>0</v>
      </c>
      <c r="CD1207" t="b">
        <v>0</v>
      </c>
      <c r="CE1207" t="b">
        <v>0</v>
      </c>
      <c r="CF1207" t="b">
        <v>0</v>
      </c>
    </row>
    <row r="1208" spans="1:84" x14ac:dyDescent="0.3">
      <c r="A1208" t="s">
        <v>3641</v>
      </c>
      <c r="B1208" t="s">
        <v>1178</v>
      </c>
      <c r="C1208" s="98">
        <v>45705</v>
      </c>
      <c r="D1208">
        <v>2025</v>
      </c>
      <c r="E1208">
        <v>2</v>
      </c>
      <c r="F1208">
        <v>1</v>
      </c>
      <c r="G1208" t="s">
        <v>1170</v>
      </c>
      <c r="H1208" t="s">
        <v>147</v>
      </c>
      <c r="I1208" t="s">
        <v>147</v>
      </c>
      <c r="J1208" t="s">
        <v>6</v>
      </c>
      <c r="L1208">
        <v>522611</v>
      </c>
      <c r="M1208" s="99" t="s">
        <v>178</v>
      </c>
      <c r="N1208">
        <v>1</v>
      </c>
      <c r="O1208">
        <v>7</v>
      </c>
      <c r="P1208">
        <v>49.966900000000003</v>
      </c>
      <c r="Q1208" t="s">
        <v>352</v>
      </c>
      <c r="R1208">
        <v>1</v>
      </c>
      <c r="S1208">
        <v>49.979300000000002</v>
      </c>
      <c r="T1208">
        <v>0.60440000000000005</v>
      </c>
      <c r="U1208">
        <v>-2.0516214427530644E-2</v>
      </c>
      <c r="V1208">
        <v>48.1661</v>
      </c>
      <c r="W1208">
        <v>48.770499999999998</v>
      </c>
      <c r="X1208">
        <v>49.374900000000004</v>
      </c>
      <c r="Y1208">
        <v>50.5837</v>
      </c>
      <c r="Z1208">
        <v>51.188100000000006</v>
      </c>
      <c r="AA1208">
        <v>51.792500000000004</v>
      </c>
      <c r="AD1208">
        <v>3.6654153790683175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 t="s">
        <v>462</v>
      </c>
      <c r="AL1208" t="s">
        <v>6</v>
      </c>
      <c r="AM1208" t="s">
        <v>1145</v>
      </c>
      <c r="AN1208" t="s">
        <v>1146</v>
      </c>
      <c r="AO1208" s="100">
        <v>46262.040405092594</v>
      </c>
      <c r="AP1208" t="s">
        <v>1147</v>
      </c>
      <c r="AQ1208" t="s">
        <v>3642</v>
      </c>
      <c r="AR1208" t="s">
        <v>1180</v>
      </c>
      <c r="AS1208" t="s">
        <v>1150</v>
      </c>
      <c r="AT1208" t="s">
        <v>3630</v>
      </c>
      <c r="AU1208">
        <v>25</v>
      </c>
      <c r="AV1208">
        <v>49.839127999999988</v>
      </c>
      <c r="AW1208">
        <v>0.57875046617691783</v>
      </c>
      <c r="AX1208">
        <v>1.1612371431878141</v>
      </c>
      <c r="BB1208" t="s">
        <v>4619</v>
      </c>
      <c r="BD1208" s="98"/>
      <c r="BE1208" s="98"/>
      <c r="BF1208" t="s">
        <v>1152</v>
      </c>
      <c r="BG1208" t="s">
        <v>322</v>
      </c>
      <c r="BH1208" t="s">
        <v>1153</v>
      </c>
      <c r="BN1208" t="s">
        <v>1154</v>
      </c>
      <c r="BO1208">
        <v>2025</v>
      </c>
      <c r="BP1208" t="s">
        <v>966</v>
      </c>
      <c r="BZ1208" t="s">
        <v>1513</v>
      </c>
      <c r="CA1208" t="s">
        <v>1513</v>
      </c>
      <c r="CB1208" t="b">
        <v>0</v>
      </c>
      <c r="CC1208" t="b">
        <v>0</v>
      </c>
      <c r="CD1208" t="b">
        <v>0</v>
      </c>
      <c r="CE1208" t="b">
        <v>0</v>
      </c>
      <c r="CF1208" t="b">
        <v>0</v>
      </c>
    </row>
    <row r="1209" spans="1:84" x14ac:dyDescent="0.3">
      <c r="A1209" t="s">
        <v>3643</v>
      </c>
      <c r="B1209" t="s">
        <v>1182</v>
      </c>
      <c r="C1209" s="98">
        <v>45712</v>
      </c>
      <c r="D1209">
        <v>2025</v>
      </c>
      <c r="E1209">
        <v>2</v>
      </c>
      <c r="F1209">
        <v>1</v>
      </c>
      <c r="G1209" t="s">
        <v>1170</v>
      </c>
      <c r="H1209" t="s">
        <v>147</v>
      </c>
      <c r="I1209" t="s">
        <v>147</v>
      </c>
      <c r="J1209" t="s">
        <v>6</v>
      </c>
      <c r="L1209">
        <v>522611</v>
      </c>
      <c r="M1209" s="99" t="s">
        <v>178</v>
      </c>
      <c r="N1209">
        <v>1</v>
      </c>
      <c r="O1209">
        <v>8</v>
      </c>
      <c r="P1209">
        <v>50.516300000000001</v>
      </c>
      <c r="Q1209" t="s">
        <v>352</v>
      </c>
      <c r="R1209">
        <v>1</v>
      </c>
      <c r="S1209">
        <v>49.979300000000002</v>
      </c>
      <c r="T1209">
        <v>0.60440000000000005</v>
      </c>
      <c r="U1209">
        <v>0.88848444738583554</v>
      </c>
      <c r="V1209">
        <v>48.1661</v>
      </c>
      <c r="W1209">
        <v>48.770499999999998</v>
      </c>
      <c r="X1209">
        <v>49.374900000000004</v>
      </c>
      <c r="Y1209">
        <v>50.5837</v>
      </c>
      <c r="Z1209">
        <v>51.188100000000006</v>
      </c>
      <c r="AA1209">
        <v>51.792500000000004</v>
      </c>
      <c r="AD1209">
        <v>3.6654153790683175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 t="s">
        <v>462</v>
      </c>
      <c r="AL1209" t="s">
        <v>6</v>
      </c>
      <c r="AM1209" t="s">
        <v>1145</v>
      </c>
      <c r="AN1209" t="s">
        <v>1146</v>
      </c>
      <c r="AO1209" s="100">
        <v>46262.040405092594</v>
      </c>
      <c r="AP1209" t="s">
        <v>1147</v>
      </c>
      <c r="AQ1209" t="s">
        <v>3644</v>
      </c>
      <c r="AR1209" t="s">
        <v>1184</v>
      </c>
      <c r="AS1209" t="s">
        <v>1150</v>
      </c>
      <c r="AT1209" t="s">
        <v>3630</v>
      </c>
      <c r="AU1209">
        <v>25</v>
      </c>
      <c r="AV1209">
        <v>49.839127999999988</v>
      </c>
      <c r="AW1209">
        <v>0.57875046617691783</v>
      </c>
      <c r="AX1209">
        <v>1.1612371431878141</v>
      </c>
      <c r="BB1209" t="s">
        <v>4619</v>
      </c>
      <c r="BD1209" s="98"/>
      <c r="BE1209" s="98"/>
      <c r="BF1209" t="s">
        <v>1152</v>
      </c>
      <c r="BG1209" t="s">
        <v>322</v>
      </c>
      <c r="BH1209" t="s">
        <v>1153</v>
      </c>
      <c r="BN1209" t="s">
        <v>1154</v>
      </c>
      <c r="BO1209">
        <v>2025</v>
      </c>
      <c r="BP1209" t="s">
        <v>966</v>
      </c>
      <c r="BZ1209" t="s">
        <v>1513</v>
      </c>
      <c r="CA1209" t="s">
        <v>1513</v>
      </c>
      <c r="CB1209" t="b">
        <v>0</v>
      </c>
      <c r="CC1209" t="b">
        <v>0</v>
      </c>
      <c r="CD1209" t="b">
        <v>0</v>
      </c>
      <c r="CE1209" t="b">
        <v>0</v>
      </c>
      <c r="CF1209" t="b">
        <v>0</v>
      </c>
    </row>
    <row r="1210" spans="1:84" x14ac:dyDescent="0.3">
      <c r="A1210" t="s">
        <v>3645</v>
      </c>
      <c r="B1210" t="s">
        <v>1186</v>
      </c>
      <c r="C1210" s="98">
        <v>45719</v>
      </c>
      <c r="D1210">
        <v>2025</v>
      </c>
      <c r="E1210">
        <v>3</v>
      </c>
      <c r="F1210">
        <v>1</v>
      </c>
      <c r="G1210" t="s">
        <v>1187</v>
      </c>
      <c r="H1210" t="s">
        <v>147</v>
      </c>
      <c r="I1210" t="s">
        <v>147</v>
      </c>
      <c r="J1210" t="s">
        <v>6</v>
      </c>
      <c r="L1210">
        <v>522611</v>
      </c>
      <c r="M1210" s="99" t="s">
        <v>178</v>
      </c>
      <c r="N1210">
        <v>1</v>
      </c>
      <c r="O1210">
        <v>9</v>
      </c>
      <c r="P1210">
        <v>50.5777</v>
      </c>
      <c r="Q1210" t="s">
        <v>352</v>
      </c>
      <c r="R1210">
        <v>1</v>
      </c>
      <c r="S1210">
        <v>49.979300000000002</v>
      </c>
      <c r="T1210">
        <v>0.60440000000000005</v>
      </c>
      <c r="U1210">
        <v>0.99007279947054594</v>
      </c>
      <c r="V1210">
        <v>48.1661</v>
      </c>
      <c r="W1210">
        <v>48.770499999999998</v>
      </c>
      <c r="X1210">
        <v>49.374900000000004</v>
      </c>
      <c r="Y1210">
        <v>50.5837</v>
      </c>
      <c r="Z1210">
        <v>51.188100000000006</v>
      </c>
      <c r="AA1210">
        <v>51.792500000000004</v>
      </c>
      <c r="AD1210">
        <v>3.6654153790683175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 t="s">
        <v>462</v>
      </c>
      <c r="AL1210" t="s">
        <v>6</v>
      </c>
      <c r="AM1210" t="s">
        <v>1145</v>
      </c>
      <c r="AN1210" t="s">
        <v>1146</v>
      </c>
      <c r="AO1210" s="100">
        <v>46262.040405092594</v>
      </c>
      <c r="AP1210" t="s">
        <v>1147</v>
      </c>
      <c r="AQ1210" t="s">
        <v>3646</v>
      </c>
      <c r="AR1210" t="s">
        <v>1189</v>
      </c>
      <c r="AS1210" t="s">
        <v>1150</v>
      </c>
      <c r="AT1210" t="s">
        <v>3630</v>
      </c>
      <c r="AU1210">
        <v>25</v>
      </c>
      <c r="AV1210">
        <v>49.839127999999988</v>
      </c>
      <c r="AW1210">
        <v>0.57875046617691783</v>
      </c>
      <c r="AX1210">
        <v>1.1612371431878141</v>
      </c>
      <c r="BB1210" t="s">
        <v>4619</v>
      </c>
      <c r="BD1210" s="98"/>
      <c r="BE1210" s="98"/>
      <c r="BF1210" t="s">
        <v>1152</v>
      </c>
      <c r="BG1210" t="s">
        <v>322</v>
      </c>
      <c r="BH1210" t="s">
        <v>1153</v>
      </c>
      <c r="BN1210" t="s">
        <v>1154</v>
      </c>
      <c r="BO1210">
        <v>2025</v>
      </c>
      <c r="BP1210" t="s">
        <v>966</v>
      </c>
      <c r="BZ1210" t="s">
        <v>1513</v>
      </c>
      <c r="CA1210" t="s">
        <v>1513</v>
      </c>
      <c r="CB1210" t="b">
        <v>0</v>
      </c>
      <c r="CC1210" t="b">
        <v>0</v>
      </c>
      <c r="CD1210" t="b">
        <v>0</v>
      </c>
      <c r="CE1210" t="b">
        <v>0</v>
      </c>
      <c r="CF1210" t="b">
        <v>0</v>
      </c>
    </row>
    <row r="1211" spans="1:84" x14ac:dyDescent="0.3">
      <c r="A1211" t="s">
        <v>3647</v>
      </c>
      <c r="B1211" t="s">
        <v>1191</v>
      </c>
      <c r="C1211" s="98">
        <v>45726</v>
      </c>
      <c r="D1211">
        <v>2025</v>
      </c>
      <c r="E1211">
        <v>3</v>
      </c>
      <c r="F1211">
        <v>1</v>
      </c>
      <c r="G1211" t="s">
        <v>1187</v>
      </c>
      <c r="H1211" t="s">
        <v>147</v>
      </c>
      <c r="I1211" t="s">
        <v>147</v>
      </c>
      <c r="J1211" t="s">
        <v>6</v>
      </c>
      <c r="L1211">
        <v>522611</v>
      </c>
      <c r="M1211" s="99" t="s">
        <v>178</v>
      </c>
      <c r="N1211">
        <v>1</v>
      </c>
      <c r="O1211">
        <v>10</v>
      </c>
      <c r="P1211">
        <v>49.930799999999998</v>
      </c>
      <c r="Q1211" t="s">
        <v>352</v>
      </c>
      <c r="R1211">
        <v>1</v>
      </c>
      <c r="S1211">
        <v>49.979300000000002</v>
      </c>
      <c r="T1211">
        <v>0.60440000000000005</v>
      </c>
      <c r="U1211">
        <v>-8.0244870946400065E-2</v>
      </c>
      <c r="V1211">
        <v>48.1661</v>
      </c>
      <c r="W1211">
        <v>48.770499999999998</v>
      </c>
      <c r="X1211">
        <v>49.374900000000004</v>
      </c>
      <c r="Y1211">
        <v>50.5837</v>
      </c>
      <c r="Z1211">
        <v>51.188100000000006</v>
      </c>
      <c r="AA1211">
        <v>51.792500000000004</v>
      </c>
      <c r="AD1211">
        <v>3.6654153790683175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 t="s">
        <v>462</v>
      </c>
      <c r="AL1211" t="s">
        <v>6</v>
      </c>
      <c r="AM1211" t="s">
        <v>1145</v>
      </c>
      <c r="AN1211" t="s">
        <v>1146</v>
      </c>
      <c r="AO1211" s="100">
        <v>46262.040405092594</v>
      </c>
      <c r="AP1211" t="s">
        <v>1147</v>
      </c>
      <c r="AQ1211" t="s">
        <v>3648</v>
      </c>
      <c r="AR1211" t="s">
        <v>1193</v>
      </c>
      <c r="AS1211" t="s">
        <v>1150</v>
      </c>
      <c r="AT1211" t="s">
        <v>3630</v>
      </c>
      <c r="AU1211">
        <v>25</v>
      </c>
      <c r="AV1211">
        <v>49.839127999999988</v>
      </c>
      <c r="AW1211">
        <v>0.57875046617691783</v>
      </c>
      <c r="AX1211">
        <v>1.1612371431878141</v>
      </c>
      <c r="BB1211" t="s">
        <v>4619</v>
      </c>
      <c r="BD1211" s="98"/>
      <c r="BE1211" s="98"/>
      <c r="BF1211" t="s">
        <v>1152</v>
      </c>
      <c r="BG1211" t="s">
        <v>322</v>
      </c>
      <c r="BH1211" t="s">
        <v>1153</v>
      </c>
      <c r="BN1211" t="s">
        <v>1154</v>
      </c>
      <c r="BO1211">
        <v>2025</v>
      </c>
      <c r="BP1211" t="s">
        <v>966</v>
      </c>
      <c r="BZ1211" t="s">
        <v>1513</v>
      </c>
      <c r="CA1211" t="s">
        <v>1513</v>
      </c>
      <c r="CB1211" t="b">
        <v>0</v>
      </c>
      <c r="CC1211" t="b">
        <v>0</v>
      </c>
      <c r="CD1211" t="b">
        <v>0</v>
      </c>
      <c r="CE1211" t="b">
        <v>0</v>
      </c>
      <c r="CF1211" t="b">
        <v>0</v>
      </c>
    </row>
    <row r="1212" spans="1:84" x14ac:dyDescent="0.3">
      <c r="A1212" t="s">
        <v>3649</v>
      </c>
      <c r="B1212" t="s">
        <v>1195</v>
      </c>
      <c r="C1212" s="98">
        <v>45733</v>
      </c>
      <c r="D1212">
        <v>2025</v>
      </c>
      <c r="E1212">
        <v>3</v>
      </c>
      <c r="F1212">
        <v>1</v>
      </c>
      <c r="G1212" t="s">
        <v>1187</v>
      </c>
      <c r="H1212" t="s">
        <v>147</v>
      </c>
      <c r="I1212" t="s">
        <v>147</v>
      </c>
      <c r="J1212" t="s">
        <v>6</v>
      </c>
      <c r="L1212">
        <v>522611</v>
      </c>
      <c r="M1212" s="99" t="s">
        <v>178</v>
      </c>
      <c r="N1212">
        <v>1</v>
      </c>
      <c r="O1212">
        <v>11</v>
      </c>
      <c r="P1212">
        <v>49.864899999999999</v>
      </c>
      <c r="Q1212" t="s">
        <v>352</v>
      </c>
      <c r="R1212">
        <v>1</v>
      </c>
      <c r="S1212">
        <v>49.979300000000002</v>
      </c>
      <c r="T1212">
        <v>0.60440000000000005</v>
      </c>
      <c r="U1212">
        <v>-0.18927862342819884</v>
      </c>
      <c r="V1212">
        <v>48.1661</v>
      </c>
      <c r="W1212">
        <v>48.770499999999998</v>
      </c>
      <c r="X1212">
        <v>49.374900000000004</v>
      </c>
      <c r="Y1212">
        <v>50.5837</v>
      </c>
      <c r="Z1212">
        <v>51.188100000000006</v>
      </c>
      <c r="AA1212">
        <v>51.792500000000004</v>
      </c>
      <c r="AD1212">
        <v>3.6654153790683175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 t="s">
        <v>462</v>
      </c>
      <c r="AL1212" t="s">
        <v>6</v>
      </c>
      <c r="AM1212" t="s">
        <v>1145</v>
      </c>
      <c r="AN1212" t="s">
        <v>1146</v>
      </c>
      <c r="AO1212" s="100">
        <v>46262.040405092594</v>
      </c>
      <c r="AP1212" t="s">
        <v>1147</v>
      </c>
      <c r="AQ1212" t="s">
        <v>3650</v>
      </c>
      <c r="AR1212" t="s">
        <v>1197</v>
      </c>
      <c r="AS1212" t="s">
        <v>1150</v>
      </c>
      <c r="AT1212" t="s">
        <v>3630</v>
      </c>
      <c r="AU1212">
        <v>25</v>
      </c>
      <c r="AV1212">
        <v>49.839127999999988</v>
      </c>
      <c r="AW1212">
        <v>0.57875046617691783</v>
      </c>
      <c r="AX1212">
        <v>1.1612371431878141</v>
      </c>
      <c r="BB1212" t="s">
        <v>4619</v>
      </c>
      <c r="BD1212" s="98"/>
      <c r="BE1212" s="98"/>
      <c r="BF1212" t="s">
        <v>1152</v>
      </c>
      <c r="BG1212" t="s">
        <v>322</v>
      </c>
      <c r="BH1212" t="s">
        <v>1153</v>
      </c>
      <c r="BN1212" t="s">
        <v>1154</v>
      </c>
      <c r="BO1212">
        <v>2025</v>
      </c>
      <c r="BP1212" t="s">
        <v>966</v>
      </c>
      <c r="BZ1212" t="s">
        <v>1513</v>
      </c>
      <c r="CA1212" t="s">
        <v>1513</v>
      </c>
      <c r="CB1212" t="b">
        <v>0</v>
      </c>
      <c r="CC1212" t="b">
        <v>0</v>
      </c>
      <c r="CD1212" t="b">
        <v>0</v>
      </c>
      <c r="CE1212" t="b">
        <v>0</v>
      </c>
      <c r="CF1212" t="b">
        <v>0</v>
      </c>
    </row>
    <row r="1213" spans="1:84" x14ac:dyDescent="0.3">
      <c r="A1213" t="s">
        <v>3651</v>
      </c>
      <c r="B1213" t="s">
        <v>1199</v>
      </c>
      <c r="C1213" s="98">
        <v>45740</v>
      </c>
      <c r="D1213">
        <v>2025</v>
      </c>
      <c r="E1213">
        <v>3</v>
      </c>
      <c r="F1213">
        <v>1</v>
      </c>
      <c r="G1213" t="s">
        <v>1187</v>
      </c>
      <c r="H1213" t="s">
        <v>147</v>
      </c>
      <c r="I1213" t="s">
        <v>147</v>
      </c>
      <c r="J1213" t="s">
        <v>6</v>
      </c>
      <c r="L1213">
        <v>522611</v>
      </c>
      <c r="M1213" s="99" t="s">
        <v>178</v>
      </c>
      <c r="N1213">
        <v>1</v>
      </c>
      <c r="O1213">
        <v>12</v>
      </c>
      <c r="P1213">
        <v>49.4773</v>
      </c>
      <c r="Q1213" t="s">
        <v>352</v>
      </c>
      <c r="R1213">
        <v>1</v>
      </c>
      <c r="S1213">
        <v>49.979300000000002</v>
      </c>
      <c r="T1213">
        <v>0.60440000000000005</v>
      </c>
      <c r="U1213">
        <v>-0.83057577763071211</v>
      </c>
      <c r="V1213">
        <v>48.1661</v>
      </c>
      <c r="W1213">
        <v>48.770499999999998</v>
      </c>
      <c r="X1213">
        <v>49.374900000000004</v>
      </c>
      <c r="Y1213">
        <v>50.5837</v>
      </c>
      <c r="Z1213">
        <v>51.188100000000006</v>
      </c>
      <c r="AA1213">
        <v>51.792500000000004</v>
      </c>
      <c r="AD1213">
        <v>3.6654153790683175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 t="s">
        <v>462</v>
      </c>
      <c r="AL1213" t="s">
        <v>6</v>
      </c>
      <c r="AM1213" t="s">
        <v>1145</v>
      </c>
      <c r="AN1213" t="s">
        <v>1146</v>
      </c>
      <c r="AO1213" s="100">
        <v>46262.040405092594</v>
      </c>
      <c r="AP1213" t="s">
        <v>1147</v>
      </c>
      <c r="AQ1213" t="s">
        <v>3652</v>
      </c>
      <c r="AR1213" t="s">
        <v>1201</v>
      </c>
      <c r="AS1213" t="s">
        <v>1150</v>
      </c>
      <c r="AT1213" t="s">
        <v>3630</v>
      </c>
      <c r="AU1213">
        <v>25</v>
      </c>
      <c r="AV1213">
        <v>49.839127999999988</v>
      </c>
      <c r="AW1213">
        <v>0.57875046617691783</v>
      </c>
      <c r="AX1213">
        <v>1.1612371431878141</v>
      </c>
      <c r="BB1213" t="s">
        <v>4619</v>
      </c>
      <c r="BD1213" s="98"/>
      <c r="BE1213" s="98"/>
      <c r="BF1213" t="s">
        <v>1152</v>
      </c>
      <c r="BG1213" t="s">
        <v>322</v>
      </c>
      <c r="BH1213" t="s">
        <v>1153</v>
      </c>
      <c r="BN1213" t="s">
        <v>1154</v>
      </c>
      <c r="BO1213">
        <v>2025</v>
      </c>
      <c r="BP1213" t="s">
        <v>966</v>
      </c>
      <c r="BZ1213" t="s">
        <v>1513</v>
      </c>
      <c r="CA1213" t="s">
        <v>1513</v>
      </c>
      <c r="CB1213" t="b">
        <v>0</v>
      </c>
      <c r="CC1213" t="b">
        <v>0</v>
      </c>
      <c r="CD1213" t="b">
        <v>0</v>
      </c>
      <c r="CE1213" t="b">
        <v>0</v>
      </c>
      <c r="CF1213" t="b">
        <v>0</v>
      </c>
    </row>
    <row r="1214" spans="1:84" x14ac:dyDescent="0.3">
      <c r="A1214" t="s">
        <v>3653</v>
      </c>
      <c r="B1214" t="s">
        <v>1203</v>
      </c>
      <c r="C1214" s="98">
        <v>45747</v>
      </c>
      <c r="D1214">
        <v>2025</v>
      </c>
      <c r="E1214">
        <v>3</v>
      </c>
      <c r="F1214">
        <v>1</v>
      </c>
      <c r="G1214" t="s">
        <v>1187</v>
      </c>
      <c r="H1214" t="s">
        <v>147</v>
      </c>
      <c r="I1214" t="s">
        <v>147</v>
      </c>
      <c r="J1214" t="s">
        <v>6</v>
      </c>
      <c r="L1214">
        <v>522611</v>
      </c>
      <c r="M1214" s="99" t="s">
        <v>178</v>
      </c>
      <c r="N1214">
        <v>1</v>
      </c>
      <c r="O1214">
        <v>13</v>
      </c>
      <c r="P1214">
        <v>50.222499999999997</v>
      </c>
      <c r="Q1214" t="s">
        <v>352</v>
      </c>
      <c r="R1214">
        <v>1</v>
      </c>
      <c r="S1214">
        <v>49.979300000000002</v>
      </c>
      <c r="T1214">
        <v>0.60440000000000005</v>
      </c>
      <c r="U1214">
        <v>0.4023825281270591</v>
      </c>
      <c r="V1214">
        <v>48.1661</v>
      </c>
      <c r="W1214">
        <v>48.770499999999998</v>
      </c>
      <c r="X1214">
        <v>49.374900000000004</v>
      </c>
      <c r="Y1214">
        <v>50.5837</v>
      </c>
      <c r="Z1214">
        <v>51.188100000000006</v>
      </c>
      <c r="AA1214">
        <v>51.792500000000004</v>
      </c>
      <c r="AD1214">
        <v>3.6654153790683175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 t="s">
        <v>462</v>
      </c>
      <c r="AL1214" t="s">
        <v>6</v>
      </c>
      <c r="AM1214" t="s">
        <v>1145</v>
      </c>
      <c r="AN1214" t="s">
        <v>1146</v>
      </c>
      <c r="AO1214" s="100">
        <v>46262.040405092594</v>
      </c>
      <c r="AP1214" t="s">
        <v>1147</v>
      </c>
      <c r="AQ1214" t="s">
        <v>3654</v>
      </c>
      <c r="AR1214" t="s">
        <v>1205</v>
      </c>
      <c r="AS1214" t="s">
        <v>1150</v>
      </c>
      <c r="AT1214" t="s">
        <v>3630</v>
      </c>
      <c r="AU1214">
        <v>25</v>
      </c>
      <c r="AV1214">
        <v>49.839127999999988</v>
      </c>
      <c r="AW1214">
        <v>0.57875046617691783</v>
      </c>
      <c r="AX1214">
        <v>1.1612371431878141</v>
      </c>
      <c r="BB1214" t="s">
        <v>4619</v>
      </c>
      <c r="BD1214" s="98"/>
      <c r="BE1214" s="98"/>
      <c r="BF1214" t="s">
        <v>1152</v>
      </c>
      <c r="BG1214" t="s">
        <v>322</v>
      </c>
      <c r="BH1214" t="s">
        <v>1153</v>
      </c>
      <c r="BN1214" t="s">
        <v>1154</v>
      </c>
      <c r="BO1214">
        <v>2025</v>
      </c>
      <c r="BP1214" t="s">
        <v>966</v>
      </c>
      <c r="BZ1214" t="s">
        <v>1513</v>
      </c>
      <c r="CA1214" t="s">
        <v>1513</v>
      </c>
      <c r="CB1214" t="b">
        <v>0</v>
      </c>
      <c r="CC1214" t="b">
        <v>0</v>
      </c>
      <c r="CD1214" t="b">
        <v>0</v>
      </c>
      <c r="CE1214" t="b">
        <v>0</v>
      </c>
      <c r="CF1214" t="b">
        <v>0</v>
      </c>
    </row>
    <row r="1215" spans="1:84" x14ac:dyDescent="0.3">
      <c r="A1215" t="s">
        <v>3655</v>
      </c>
      <c r="B1215" t="s">
        <v>1207</v>
      </c>
      <c r="C1215" s="98">
        <v>45754</v>
      </c>
      <c r="D1215">
        <v>2025</v>
      </c>
      <c r="E1215">
        <v>4</v>
      </c>
      <c r="F1215">
        <v>2</v>
      </c>
      <c r="G1215" t="s">
        <v>1208</v>
      </c>
      <c r="H1215" t="s">
        <v>147</v>
      </c>
      <c r="I1215" t="s">
        <v>147</v>
      </c>
      <c r="J1215" t="s">
        <v>6</v>
      </c>
      <c r="L1215">
        <v>522611</v>
      </c>
      <c r="M1215" s="99" t="s">
        <v>178</v>
      </c>
      <c r="N1215">
        <v>1</v>
      </c>
      <c r="O1215">
        <v>14</v>
      </c>
      <c r="P1215">
        <v>49.829700000000003</v>
      </c>
      <c r="Q1215" t="s">
        <v>352</v>
      </c>
      <c r="R1215">
        <v>1</v>
      </c>
      <c r="S1215">
        <v>49.979300000000002</v>
      </c>
      <c r="T1215">
        <v>0.60440000000000005</v>
      </c>
      <c r="U1215">
        <v>-0.24751819986763648</v>
      </c>
      <c r="V1215">
        <v>48.1661</v>
      </c>
      <c r="W1215">
        <v>48.770499999999998</v>
      </c>
      <c r="X1215">
        <v>49.374900000000004</v>
      </c>
      <c r="Y1215">
        <v>50.5837</v>
      </c>
      <c r="Z1215">
        <v>51.188100000000006</v>
      </c>
      <c r="AA1215">
        <v>51.792500000000004</v>
      </c>
      <c r="AD1215">
        <v>3.6654153790683175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 t="s">
        <v>462</v>
      </c>
      <c r="AL1215" t="s">
        <v>6</v>
      </c>
      <c r="AM1215" t="s">
        <v>1145</v>
      </c>
      <c r="AN1215" t="s">
        <v>1146</v>
      </c>
      <c r="AO1215" s="100">
        <v>46262.040405092594</v>
      </c>
      <c r="AP1215" t="s">
        <v>1147</v>
      </c>
      <c r="AQ1215" t="s">
        <v>3656</v>
      </c>
      <c r="AR1215" t="s">
        <v>1210</v>
      </c>
      <c r="AS1215" t="s">
        <v>1150</v>
      </c>
      <c r="AT1215" t="s">
        <v>3630</v>
      </c>
      <c r="AU1215">
        <v>25</v>
      </c>
      <c r="AV1215">
        <v>49.839127999999988</v>
      </c>
      <c r="AW1215">
        <v>0.57875046617691783</v>
      </c>
      <c r="AX1215">
        <v>1.1612371431878141</v>
      </c>
      <c r="BB1215" t="s">
        <v>4619</v>
      </c>
      <c r="BD1215" s="98"/>
      <c r="BE1215" s="98"/>
      <c r="BF1215" t="s">
        <v>1152</v>
      </c>
      <c r="BG1215" t="s">
        <v>322</v>
      </c>
      <c r="BH1215" t="s">
        <v>1153</v>
      </c>
      <c r="BN1215" t="s">
        <v>1154</v>
      </c>
      <c r="BO1215">
        <v>2025</v>
      </c>
      <c r="BP1215" t="s">
        <v>966</v>
      </c>
      <c r="BZ1215" t="s">
        <v>1513</v>
      </c>
      <c r="CA1215" t="s">
        <v>1513</v>
      </c>
      <c r="CB1215" t="b">
        <v>0</v>
      </c>
      <c r="CC1215" t="b">
        <v>0</v>
      </c>
      <c r="CD1215" t="b">
        <v>0</v>
      </c>
      <c r="CE1215" t="b">
        <v>0</v>
      </c>
      <c r="CF1215" t="b">
        <v>0</v>
      </c>
    </row>
    <row r="1216" spans="1:84" x14ac:dyDescent="0.3">
      <c r="A1216" t="s">
        <v>3657</v>
      </c>
      <c r="B1216" t="s">
        <v>1212</v>
      </c>
      <c r="C1216" s="98">
        <v>45761</v>
      </c>
      <c r="D1216">
        <v>2025</v>
      </c>
      <c r="E1216">
        <v>4</v>
      </c>
      <c r="F1216">
        <v>2</v>
      </c>
      <c r="G1216" t="s">
        <v>1208</v>
      </c>
      <c r="H1216" t="s">
        <v>147</v>
      </c>
      <c r="I1216" t="s">
        <v>147</v>
      </c>
      <c r="J1216" t="s">
        <v>6</v>
      </c>
      <c r="L1216">
        <v>522611</v>
      </c>
      <c r="M1216" s="99" t="s">
        <v>178</v>
      </c>
      <c r="N1216">
        <v>1</v>
      </c>
      <c r="O1216">
        <v>15</v>
      </c>
      <c r="P1216">
        <v>50.345500000000001</v>
      </c>
      <c r="Q1216" t="s">
        <v>352</v>
      </c>
      <c r="R1216">
        <v>1</v>
      </c>
      <c r="S1216">
        <v>49.979300000000002</v>
      </c>
      <c r="T1216">
        <v>0.60440000000000005</v>
      </c>
      <c r="U1216">
        <v>0.60589013898080601</v>
      </c>
      <c r="V1216">
        <v>48.1661</v>
      </c>
      <c r="W1216">
        <v>48.770499999999998</v>
      </c>
      <c r="X1216">
        <v>49.374900000000004</v>
      </c>
      <c r="Y1216">
        <v>50.5837</v>
      </c>
      <c r="Z1216">
        <v>51.188100000000006</v>
      </c>
      <c r="AA1216">
        <v>51.792500000000004</v>
      </c>
      <c r="AD1216">
        <v>3.6654153790683175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 t="s">
        <v>462</v>
      </c>
      <c r="AL1216" t="s">
        <v>6</v>
      </c>
      <c r="AM1216" t="s">
        <v>1145</v>
      </c>
      <c r="AN1216" t="s">
        <v>1146</v>
      </c>
      <c r="AO1216" s="100">
        <v>46262.040405092594</v>
      </c>
      <c r="AP1216" t="s">
        <v>1147</v>
      </c>
      <c r="AQ1216" t="s">
        <v>3658</v>
      </c>
      <c r="AR1216" t="s">
        <v>1215</v>
      </c>
      <c r="AS1216" t="s">
        <v>1150</v>
      </c>
      <c r="AT1216" t="s">
        <v>3630</v>
      </c>
      <c r="AU1216">
        <v>25</v>
      </c>
      <c r="AV1216">
        <v>49.839127999999988</v>
      </c>
      <c r="AW1216">
        <v>0.57875046617691783</v>
      </c>
      <c r="AX1216">
        <v>1.1612371431878141</v>
      </c>
      <c r="BB1216" t="s">
        <v>4619</v>
      </c>
      <c r="BD1216" s="98"/>
      <c r="BE1216" s="98"/>
      <c r="BF1216" t="s">
        <v>1152</v>
      </c>
      <c r="BG1216" t="s">
        <v>322</v>
      </c>
      <c r="BH1216" t="s">
        <v>1153</v>
      </c>
      <c r="BN1216" t="s">
        <v>1154</v>
      </c>
      <c r="BO1216">
        <v>2025</v>
      </c>
      <c r="BP1216" t="s">
        <v>966</v>
      </c>
      <c r="BZ1216" t="s">
        <v>1513</v>
      </c>
      <c r="CA1216" t="s">
        <v>1513</v>
      </c>
      <c r="CB1216" t="b">
        <v>0</v>
      </c>
      <c r="CC1216" t="b">
        <v>0</v>
      </c>
      <c r="CD1216" t="b">
        <v>0</v>
      </c>
      <c r="CE1216" t="b">
        <v>0</v>
      </c>
      <c r="CF1216" t="b">
        <v>0</v>
      </c>
    </row>
    <row r="1217" spans="1:84" x14ac:dyDescent="0.3">
      <c r="A1217" t="s">
        <v>3659</v>
      </c>
      <c r="B1217" t="s">
        <v>1217</v>
      </c>
      <c r="C1217" s="98">
        <v>45768</v>
      </c>
      <c r="D1217">
        <v>2025</v>
      </c>
      <c r="E1217">
        <v>4</v>
      </c>
      <c r="F1217">
        <v>2</v>
      </c>
      <c r="G1217" t="s">
        <v>1208</v>
      </c>
      <c r="H1217" t="s">
        <v>147</v>
      </c>
      <c r="I1217" t="s">
        <v>147</v>
      </c>
      <c r="J1217" t="s">
        <v>6</v>
      </c>
      <c r="L1217">
        <v>522611</v>
      </c>
      <c r="M1217" s="99" t="s">
        <v>178</v>
      </c>
      <c r="N1217">
        <v>1</v>
      </c>
      <c r="O1217">
        <v>16</v>
      </c>
      <c r="P1217">
        <v>51.037999999999997</v>
      </c>
      <c r="Q1217" t="s">
        <v>352</v>
      </c>
      <c r="R1217">
        <v>1</v>
      </c>
      <c r="S1217">
        <v>49.979300000000002</v>
      </c>
      <c r="T1217">
        <v>0.60440000000000005</v>
      </c>
      <c r="U1217">
        <v>1.7516545334215661</v>
      </c>
      <c r="V1217">
        <v>48.1661</v>
      </c>
      <c r="W1217">
        <v>48.770499999999998</v>
      </c>
      <c r="X1217">
        <v>49.374900000000004</v>
      </c>
      <c r="Y1217">
        <v>50.5837</v>
      </c>
      <c r="Z1217">
        <v>51.188100000000006</v>
      </c>
      <c r="AA1217">
        <v>51.792500000000004</v>
      </c>
      <c r="AD1217">
        <v>3.6654153790683175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 t="s">
        <v>462</v>
      </c>
      <c r="AL1217" t="s">
        <v>6</v>
      </c>
      <c r="AM1217" t="s">
        <v>1145</v>
      </c>
      <c r="AN1217" t="s">
        <v>1146</v>
      </c>
      <c r="AO1217" s="100">
        <v>46262.040405092594</v>
      </c>
      <c r="AP1217" t="s">
        <v>1147</v>
      </c>
      <c r="AQ1217" t="s">
        <v>3660</v>
      </c>
      <c r="AR1217" t="s">
        <v>1219</v>
      </c>
      <c r="AS1217" t="s">
        <v>1150</v>
      </c>
      <c r="AT1217" t="s">
        <v>3630</v>
      </c>
      <c r="AU1217">
        <v>25</v>
      </c>
      <c r="AV1217">
        <v>49.839127999999988</v>
      </c>
      <c r="AW1217">
        <v>0.57875046617691783</v>
      </c>
      <c r="AX1217">
        <v>1.1612371431878141</v>
      </c>
      <c r="BB1217" t="s">
        <v>4619</v>
      </c>
      <c r="BD1217" s="98"/>
      <c r="BE1217" s="98"/>
      <c r="BF1217" t="s">
        <v>1152</v>
      </c>
      <c r="BG1217" t="s">
        <v>322</v>
      </c>
      <c r="BH1217" t="s">
        <v>1153</v>
      </c>
      <c r="BN1217" t="s">
        <v>1154</v>
      </c>
      <c r="BO1217">
        <v>2025</v>
      </c>
      <c r="BP1217" t="s">
        <v>966</v>
      </c>
      <c r="BZ1217" t="s">
        <v>1513</v>
      </c>
      <c r="CA1217" t="s">
        <v>1513</v>
      </c>
      <c r="CB1217" t="b">
        <v>0</v>
      </c>
      <c r="CC1217" t="b">
        <v>0</v>
      </c>
      <c r="CD1217" t="b">
        <v>0</v>
      </c>
      <c r="CE1217" t="b">
        <v>0</v>
      </c>
      <c r="CF1217" t="b">
        <v>0</v>
      </c>
    </row>
    <row r="1218" spans="1:84" x14ac:dyDescent="0.3">
      <c r="A1218" t="s">
        <v>3661</v>
      </c>
      <c r="B1218" t="s">
        <v>1221</v>
      </c>
      <c r="C1218" s="98">
        <v>45775</v>
      </c>
      <c r="D1218">
        <v>2025</v>
      </c>
      <c r="E1218">
        <v>4</v>
      </c>
      <c r="F1218">
        <v>2</v>
      </c>
      <c r="G1218" t="s">
        <v>1208</v>
      </c>
      <c r="H1218" t="s">
        <v>147</v>
      </c>
      <c r="I1218" t="s">
        <v>147</v>
      </c>
      <c r="J1218" t="s">
        <v>6</v>
      </c>
      <c r="L1218">
        <v>522611</v>
      </c>
      <c r="M1218" s="99" t="s">
        <v>178</v>
      </c>
      <c r="N1218">
        <v>1</v>
      </c>
      <c r="O1218">
        <v>17</v>
      </c>
      <c r="P1218">
        <v>49.959699999999998</v>
      </c>
      <c r="Q1218" t="s">
        <v>352</v>
      </c>
      <c r="R1218">
        <v>1</v>
      </c>
      <c r="S1218">
        <v>49.979300000000002</v>
      </c>
      <c r="T1218">
        <v>0.60440000000000005</v>
      </c>
      <c r="U1218">
        <v>-3.2428855062878979E-2</v>
      </c>
      <c r="V1218">
        <v>48.1661</v>
      </c>
      <c r="W1218">
        <v>48.770499999999998</v>
      </c>
      <c r="X1218">
        <v>49.374900000000004</v>
      </c>
      <c r="Y1218">
        <v>50.5837</v>
      </c>
      <c r="Z1218">
        <v>51.188100000000006</v>
      </c>
      <c r="AA1218">
        <v>51.792500000000004</v>
      </c>
      <c r="AD1218">
        <v>3.6654153790683175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 t="s">
        <v>462</v>
      </c>
      <c r="AL1218" t="s">
        <v>6</v>
      </c>
      <c r="AM1218" t="s">
        <v>1145</v>
      </c>
      <c r="AN1218" t="s">
        <v>1146</v>
      </c>
      <c r="AO1218" s="100">
        <v>46262.040405092594</v>
      </c>
      <c r="AP1218" t="s">
        <v>1147</v>
      </c>
      <c r="AQ1218" t="s">
        <v>3662</v>
      </c>
      <c r="AR1218" t="s">
        <v>1223</v>
      </c>
      <c r="AS1218" t="s">
        <v>1150</v>
      </c>
      <c r="AT1218" t="s">
        <v>3630</v>
      </c>
      <c r="AU1218">
        <v>25</v>
      </c>
      <c r="AV1218">
        <v>49.839127999999988</v>
      </c>
      <c r="AW1218">
        <v>0.57875046617691783</v>
      </c>
      <c r="AX1218">
        <v>1.1612371431878141</v>
      </c>
      <c r="BB1218" t="s">
        <v>4619</v>
      </c>
      <c r="BD1218" s="98"/>
      <c r="BE1218" s="98"/>
      <c r="BF1218" t="s">
        <v>1152</v>
      </c>
      <c r="BG1218" t="s">
        <v>322</v>
      </c>
      <c r="BH1218" t="s">
        <v>1153</v>
      </c>
      <c r="BN1218" t="s">
        <v>1154</v>
      </c>
      <c r="BO1218">
        <v>2025</v>
      </c>
      <c r="BP1218" t="s">
        <v>966</v>
      </c>
      <c r="BZ1218" t="s">
        <v>1513</v>
      </c>
      <c r="CA1218" t="s">
        <v>1513</v>
      </c>
      <c r="CB1218" t="b">
        <v>0</v>
      </c>
      <c r="CC1218" t="b">
        <v>0</v>
      </c>
      <c r="CD1218" t="b">
        <v>0</v>
      </c>
      <c r="CE1218" t="b">
        <v>0</v>
      </c>
      <c r="CF1218" t="b">
        <v>0</v>
      </c>
    </row>
    <row r="1219" spans="1:84" x14ac:dyDescent="0.3">
      <c r="A1219" t="s">
        <v>3663</v>
      </c>
      <c r="B1219" t="s">
        <v>1225</v>
      </c>
      <c r="C1219" s="98">
        <v>45782</v>
      </c>
      <c r="D1219">
        <v>2025</v>
      </c>
      <c r="E1219">
        <v>5</v>
      </c>
      <c r="F1219">
        <v>2</v>
      </c>
      <c r="G1219" t="s">
        <v>1226</v>
      </c>
      <c r="H1219" t="s">
        <v>147</v>
      </c>
      <c r="I1219" t="s">
        <v>147</v>
      </c>
      <c r="J1219" t="s">
        <v>6</v>
      </c>
      <c r="L1219">
        <v>522611</v>
      </c>
      <c r="M1219" s="99" t="s">
        <v>178</v>
      </c>
      <c r="N1219">
        <v>1</v>
      </c>
      <c r="O1219">
        <v>18</v>
      </c>
      <c r="P1219">
        <v>49.074300000000001</v>
      </c>
      <c r="Q1219" t="s">
        <v>352</v>
      </c>
      <c r="R1219">
        <v>1</v>
      </c>
      <c r="S1219">
        <v>49.979300000000002</v>
      </c>
      <c r="T1219">
        <v>0.60440000000000005</v>
      </c>
      <c r="U1219">
        <v>-1.4973527465254817</v>
      </c>
      <c r="V1219">
        <v>48.1661</v>
      </c>
      <c r="W1219">
        <v>48.770499999999998</v>
      </c>
      <c r="X1219">
        <v>49.374900000000004</v>
      </c>
      <c r="Y1219">
        <v>50.5837</v>
      </c>
      <c r="Z1219">
        <v>51.188100000000006</v>
      </c>
      <c r="AA1219">
        <v>51.792500000000004</v>
      </c>
      <c r="AD1219">
        <v>3.6654153790683175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 t="s">
        <v>462</v>
      </c>
      <c r="AL1219" t="s">
        <v>6</v>
      </c>
      <c r="AM1219" t="s">
        <v>1145</v>
      </c>
      <c r="AN1219" t="s">
        <v>1146</v>
      </c>
      <c r="AO1219" s="100">
        <v>46262.040405092594</v>
      </c>
      <c r="AP1219" t="s">
        <v>1147</v>
      </c>
      <c r="AQ1219" t="s">
        <v>3664</v>
      </c>
      <c r="AR1219" t="s">
        <v>1228</v>
      </c>
      <c r="AS1219" t="s">
        <v>1150</v>
      </c>
      <c r="AT1219" t="s">
        <v>3630</v>
      </c>
      <c r="AU1219">
        <v>25</v>
      </c>
      <c r="AV1219">
        <v>49.839127999999988</v>
      </c>
      <c r="AW1219">
        <v>0.57875046617691783</v>
      </c>
      <c r="AX1219">
        <v>1.1612371431878141</v>
      </c>
      <c r="BB1219" t="s">
        <v>4619</v>
      </c>
      <c r="BD1219" s="98"/>
      <c r="BE1219" s="98"/>
      <c r="BF1219" t="s">
        <v>1152</v>
      </c>
      <c r="BG1219" t="s">
        <v>322</v>
      </c>
      <c r="BH1219" t="s">
        <v>1153</v>
      </c>
      <c r="BN1219" t="s">
        <v>1154</v>
      </c>
      <c r="BO1219">
        <v>2025</v>
      </c>
      <c r="BP1219" t="s">
        <v>966</v>
      </c>
      <c r="BZ1219" t="s">
        <v>1513</v>
      </c>
      <c r="CA1219" t="s">
        <v>1513</v>
      </c>
      <c r="CB1219" t="b">
        <v>0</v>
      </c>
      <c r="CC1219" t="b">
        <v>0</v>
      </c>
      <c r="CD1219" t="b">
        <v>0</v>
      </c>
      <c r="CE1219" t="b">
        <v>0</v>
      </c>
      <c r="CF1219" t="b">
        <v>0</v>
      </c>
    </row>
    <row r="1220" spans="1:84" x14ac:dyDescent="0.3">
      <c r="A1220" t="s">
        <v>3665</v>
      </c>
      <c r="B1220" t="s">
        <v>1230</v>
      </c>
      <c r="C1220" s="98">
        <v>45789</v>
      </c>
      <c r="D1220">
        <v>2025</v>
      </c>
      <c r="E1220">
        <v>5</v>
      </c>
      <c r="F1220">
        <v>2</v>
      </c>
      <c r="G1220" t="s">
        <v>1226</v>
      </c>
      <c r="H1220" t="s">
        <v>147</v>
      </c>
      <c r="I1220" t="s">
        <v>147</v>
      </c>
      <c r="J1220" t="s">
        <v>6</v>
      </c>
      <c r="L1220">
        <v>522611</v>
      </c>
      <c r="M1220" s="99" t="s">
        <v>178</v>
      </c>
      <c r="N1220">
        <v>1</v>
      </c>
      <c r="O1220">
        <v>19</v>
      </c>
      <c r="P1220">
        <v>49.459000000000003</v>
      </c>
      <c r="Q1220" t="s">
        <v>352</v>
      </c>
      <c r="R1220">
        <v>1</v>
      </c>
      <c r="S1220">
        <v>49.979300000000002</v>
      </c>
      <c r="T1220">
        <v>0.60440000000000005</v>
      </c>
      <c r="U1220">
        <v>-0.86085373924553088</v>
      </c>
      <c r="V1220">
        <v>48.1661</v>
      </c>
      <c r="W1220">
        <v>48.770499999999998</v>
      </c>
      <c r="X1220">
        <v>49.374900000000004</v>
      </c>
      <c r="Y1220">
        <v>50.5837</v>
      </c>
      <c r="Z1220">
        <v>51.188100000000006</v>
      </c>
      <c r="AA1220">
        <v>51.792500000000004</v>
      </c>
      <c r="AD1220">
        <v>3.6654153790683175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 t="s">
        <v>462</v>
      </c>
      <c r="AL1220" t="s">
        <v>6</v>
      </c>
      <c r="AM1220" t="s">
        <v>1145</v>
      </c>
      <c r="AN1220" t="s">
        <v>1146</v>
      </c>
      <c r="AO1220" s="100">
        <v>46262.040405092594</v>
      </c>
      <c r="AP1220" t="s">
        <v>1147</v>
      </c>
      <c r="AQ1220" t="s">
        <v>3666</v>
      </c>
      <c r="AR1220" t="s">
        <v>1232</v>
      </c>
      <c r="AS1220" t="s">
        <v>1150</v>
      </c>
      <c r="AT1220" t="s">
        <v>3630</v>
      </c>
      <c r="AU1220">
        <v>25</v>
      </c>
      <c r="AV1220">
        <v>49.839127999999988</v>
      </c>
      <c r="AW1220">
        <v>0.57875046617691783</v>
      </c>
      <c r="AX1220">
        <v>1.1612371431878141</v>
      </c>
      <c r="BB1220" t="s">
        <v>4619</v>
      </c>
      <c r="BD1220" s="98"/>
      <c r="BE1220" s="98"/>
      <c r="BF1220" t="s">
        <v>1152</v>
      </c>
      <c r="BG1220" t="s">
        <v>322</v>
      </c>
      <c r="BH1220" t="s">
        <v>1153</v>
      </c>
      <c r="BN1220" t="s">
        <v>1154</v>
      </c>
      <c r="BO1220">
        <v>2025</v>
      </c>
      <c r="BP1220" t="s">
        <v>966</v>
      </c>
      <c r="BZ1220" t="s">
        <v>1513</v>
      </c>
      <c r="CA1220" t="s">
        <v>1513</v>
      </c>
      <c r="CB1220" t="b">
        <v>0</v>
      </c>
      <c r="CC1220" t="b">
        <v>0</v>
      </c>
      <c r="CD1220" t="b">
        <v>0</v>
      </c>
      <c r="CE1220" t="b">
        <v>0</v>
      </c>
      <c r="CF1220" t="b">
        <v>0</v>
      </c>
    </row>
    <row r="1221" spans="1:84" x14ac:dyDescent="0.3">
      <c r="A1221" t="s">
        <v>3667</v>
      </c>
      <c r="B1221" t="s">
        <v>1234</v>
      </c>
      <c r="C1221" s="98">
        <v>45796</v>
      </c>
      <c r="D1221">
        <v>2025</v>
      </c>
      <c r="E1221">
        <v>5</v>
      </c>
      <c r="F1221">
        <v>2</v>
      </c>
      <c r="G1221" t="s">
        <v>1226</v>
      </c>
      <c r="H1221" t="s">
        <v>147</v>
      </c>
      <c r="I1221" t="s">
        <v>147</v>
      </c>
      <c r="J1221" t="s">
        <v>6</v>
      </c>
      <c r="L1221">
        <v>522611</v>
      </c>
      <c r="M1221" s="99" t="s">
        <v>178</v>
      </c>
      <c r="N1221">
        <v>1</v>
      </c>
      <c r="O1221">
        <v>20</v>
      </c>
      <c r="P1221">
        <v>49.097999999999999</v>
      </c>
      <c r="Q1221" t="s">
        <v>352</v>
      </c>
      <c r="R1221">
        <v>1</v>
      </c>
      <c r="S1221">
        <v>49.979300000000002</v>
      </c>
      <c r="T1221">
        <v>0.60440000000000005</v>
      </c>
      <c r="U1221">
        <v>-1.4581403044341545</v>
      </c>
      <c r="V1221">
        <v>48.1661</v>
      </c>
      <c r="W1221">
        <v>48.770499999999998</v>
      </c>
      <c r="X1221">
        <v>49.374900000000004</v>
      </c>
      <c r="Y1221">
        <v>50.5837</v>
      </c>
      <c r="Z1221">
        <v>51.188100000000006</v>
      </c>
      <c r="AA1221">
        <v>51.792500000000004</v>
      </c>
      <c r="AD1221">
        <v>3.6654153790683175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 t="s">
        <v>462</v>
      </c>
      <c r="AL1221" t="s">
        <v>6</v>
      </c>
      <c r="AM1221" t="s">
        <v>1145</v>
      </c>
      <c r="AN1221" t="s">
        <v>1146</v>
      </c>
      <c r="AO1221" s="100">
        <v>46262.040405092594</v>
      </c>
      <c r="AP1221" t="s">
        <v>1147</v>
      </c>
      <c r="AQ1221" t="s">
        <v>3668</v>
      </c>
      <c r="AR1221" t="s">
        <v>1236</v>
      </c>
      <c r="AS1221" t="s">
        <v>1150</v>
      </c>
      <c r="AT1221" t="s">
        <v>3630</v>
      </c>
      <c r="AU1221">
        <v>25</v>
      </c>
      <c r="AV1221">
        <v>49.839127999999988</v>
      </c>
      <c r="AW1221">
        <v>0.57875046617691783</v>
      </c>
      <c r="AX1221">
        <v>1.1612371431878141</v>
      </c>
      <c r="BB1221" t="s">
        <v>4619</v>
      </c>
      <c r="BD1221" s="98"/>
      <c r="BE1221" s="98"/>
      <c r="BF1221" t="s">
        <v>1152</v>
      </c>
      <c r="BG1221" t="s">
        <v>322</v>
      </c>
      <c r="BH1221" t="s">
        <v>1153</v>
      </c>
      <c r="BN1221" t="s">
        <v>1154</v>
      </c>
      <c r="BO1221">
        <v>2025</v>
      </c>
      <c r="BP1221" t="s">
        <v>966</v>
      </c>
      <c r="BZ1221" t="s">
        <v>1513</v>
      </c>
      <c r="CA1221" t="s">
        <v>1513</v>
      </c>
      <c r="CB1221" t="b">
        <v>0</v>
      </c>
      <c r="CC1221" t="b">
        <v>0</v>
      </c>
      <c r="CD1221" t="b">
        <v>0</v>
      </c>
      <c r="CE1221" t="b">
        <v>0</v>
      </c>
      <c r="CF1221" t="b">
        <v>0</v>
      </c>
    </row>
    <row r="1222" spans="1:84" x14ac:dyDescent="0.3">
      <c r="A1222" t="s">
        <v>3669</v>
      </c>
      <c r="B1222" t="s">
        <v>1238</v>
      </c>
      <c r="C1222" s="98">
        <v>45803</v>
      </c>
      <c r="D1222">
        <v>2025</v>
      </c>
      <c r="E1222">
        <v>5</v>
      </c>
      <c r="F1222">
        <v>2</v>
      </c>
      <c r="G1222" t="s">
        <v>1226</v>
      </c>
      <c r="H1222" t="s">
        <v>147</v>
      </c>
      <c r="I1222" t="s">
        <v>147</v>
      </c>
      <c r="J1222" t="s">
        <v>6</v>
      </c>
      <c r="L1222">
        <v>522611</v>
      </c>
      <c r="M1222" s="99" t="s">
        <v>178</v>
      </c>
      <c r="N1222">
        <v>1</v>
      </c>
      <c r="O1222">
        <v>21</v>
      </c>
      <c r="P1222">
        <v>49.255800000000001</v>
      </c>
      <c r="Q1222" t="s">
        <v>352</v>
      </c>
      <c r="R1222">
        <v>1</v>
      </c>
      <c r="S1222">
        <v>49.979300000000002</v>
      </c>
      <c r="T1222">
        <v>0.60440000000000005</v>
      </c>
      <c r="U1222">
        <v>-1.1970549305095985</v>
      </c>
      <c r="V1222">
        <v>48.1661</v>
      </c>
      <c r="W1222">
        <v>48.770499999999998</v>
      </c>
      <c r="X1222">
        <v>49.374900000000004</v>
      </c>
      <c r="Y1222">
        <v>50.5837</v>
      </c>
      <c r="Z1222">
        <v>51.188100000000006</v>
      </c>
      <c r="AA1222">
        <v>51.792500000000004</v>
      </c>
      <c r="AD1222">
        <v>3.6654153790683175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 t="s">
        <v>462</v>
      </c>
      <c r="AL1222" t="s">
        <v>6</v>
      </c>
      <c r="AM1222" t="s">
        <v>1145</v>
      </c>
      <c r="AN1222" t="s">
        <v>1146</v>
      </c>
      <c r="AO1222" s="100">
        <v>46262.040405092594</v>
      </c>
      <c r="AP1222" t="s">
        <v>1147</v>
      </c>
      <c r="AQ1222" t="s">
        <v>3670</v>
      </c>
      <c r="AR1222" t="s">
        <v>1240</v>
      </c>
      <c r="AS1222" t="s">
        <v>1150</v>
      </c>
      <c r="AT1222" t="s">
        <v>3630</v>
      </c>
      <c r="AU1222">
        <v>25</v>
      </c>
      <c r="AV1222">
        <v>49.839127999999988</v>
      </c>
      <c r="AW1222">
        <v>0.57875046617691783</v>
      </c>
      <c r="AX1222">
        <v>1.1612371431878141</v>
      </c>
      <c r="BB1222" t="s">
        <v>4619</v>
      </c>
      <c r="BD1222" s="98"/>
      <c r="BE1222" s="98"/>
      <c r="BF1222" t="s">
        <v>1152</v>
      </c>
      <c r="BG1222" t="s">
        <v>322</v>
      </c>
      <c r="BH1222" t="s">
        <v>1153</v>
      </c>
      <c r="BN1222" t="s">
        <v>1154</v>
      </c>
      <c r="BO1222">
        <v>2025</v>
      </c>
      <c r="BP1222" t="s">
        <v>966</v>
      </c>
      <c r="BZ1222" t="s">
        <v>1513</v>
      </c>
      <c r="CA1222" t="s">
        <v>1513</v>
      </c>
      <c r="CB1222" t="b">
        <v>0</v>
      </c>
      <c r="CC1222" t="b">
        <v>0</v>
      </c>
      <c r="CD1222" t="b">
        <v>0</v>
      </c>
      <c r="CE1222" t="b">
        <v>0</v>
      </c>
      <c r="CF1222" t="b">
        <v>0</v>
      </c>
    </row>
    <row r="1223" spans="1:84" x14ac:dyDescent="0.3">
      <c r="A1223" t="s">
        <v>3671</v>
      </c>
      <c r="B1223" t="s">
        <v>1242</v>
      </c>
      <c r="C1223" s="98">
        <v>45810</v>
      </c>
      <c r="D1223">
        <v>2025</v>
      </c>
      <c r="E1223">
        <v>6</v>
      </c>
      <c r="F1223">
        <v>2</v>
      </c>
      <c r="G1223" t="s">
        <v>1243</v>
      </c>
      <c r="H1223" t="s">
        <v>147</v>
      </c>
      <c r="I1223" t="s">
        <v>147</v>
      </c>
      <c r="J1223" t="s">
        <v>6</v>
      </c>
      <c r="L1223">
        <v>522611</v>
      </c>
      <c r="M1223" s="99" t="s">
        <v>178</v>
      </c>
      <c r="N1223">
        <v>1</v>
      </c>
      <c r="O1223">
        <v>22</v>
      </c>
      <c r="P1223">
        <v>50.7682</v>
      </c>
      <c r="Q1223" t="s">
        <v>352</v>
      </c>
      <c r="R1223">
        <v>1</v>
      </c>
      <c r="S1223">
        <v>49.979300000000002</v>
      </c>
      <c r="T1223">
        <v>0.60440000000000005</v>
      </c>
      <c r="U1223">
        <v>1.3052614162806058</v>
      </c>
      <c r="V1223">
        <v>48.1661</v>
      </c>
      <c r="W1223">
        <v>48.770499999999998</v>
      </c>
      <c r="X1223">
        <v>49.374900000000004</v>
      </c>
      <c r="Y1223">
        <v>50.5837</v>
      </c>
      <c r="Z1223">
        <v>51.188100000000006</v>
      </c>
      <c r="AA1223">
        <v>51.792500000000004</v>
      </c>
      <c r="AD1223">
        <v>3.6654153790683175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 t="s">
        <v>462</v>
      </c>
      <c r="AL1223" t="s">
        <v>6</v>
      </c>
      <c r="AM1223" t="s">
        <v>1145</v>
      </c>
      <c r="AN1223" t="s">
        <v>1146</v>
      </c>
      <c r="AO1223" s="100">
        <v>46262.040405092594</v>
      </c>
      <c r="AP1223" t="s">
        <v>1147</v>
      </c>
      <c r="AQ1223" t="s">
        <v>3672</v>
      </c>
      <c r="AR1223" t="s">
        <v>1245</v>
      </c>
      <c r="AS1223" t="s">
        <v>1150</v>
      </c>
      <c r="AT1223" t="s">
        <v>3630</v>
      </c>
      <c r="AU1223">
        <v>25</v>
      </c>
      <c r="AV1223">
        <v>49.839127999999988</v>
      </c>
      <c r="AW1223">
        <v>0.57875046617691783</v>
      </c>
      <c r="AX1223">
        <v>1.1612371431878141</v>
      </c>
      <c r="BB1223" t="s">
        <v>4619</v>
      </c>
      <c r="BD1223" s="98"/>
      <c r="BE1223" s="98"/>
      <c r="BF1223" t="s">
        <v>1152</v>
      </c>
      <c r="BG1223" t="s">
        <v>322</v>
      </c>
      <c r="BH1223" t="s">
        <v>1153</v>
      </c>
      <c r="BN1223" t="s">
        <v>1154</v>
      </c>
      <c r="BO1223">
        <v>2025</v>
      </c>
      <c r="BP1223" t="s">
        <v>966</v>
      </c>
      <c r="BZ1223" t="s">
        <v>1513</v>
      </c>
      <c r="CA1223" t="s">
        <v>1513</v>
      </c>
      <c r="CB1223" t="b">
        <v>0</v>
      </c>
      <c r="CC1223" t="b">
        <v>0</v>
      </c>
      <c r="CD1223" t="b">
        <v>0</v>
      </c>
      <c r="CE1223" t="b">
        <v>0</v>
      </c>
      <c r="CF1223" t="b">
        <v>0</v>
      </c>
    </row>
    <row r="1224" spans="1:84" x14ac:dyDescent="0.3">
      <c r="A1224" t="s">
        <v>3673</v>
      </c>
      <c r="B1224" t="s">
        <v>1247</v>
      </c>
      <c r="C1224" s="98">
        <v>45817</v>
      </c>
      <c r="D1224">
        <v>2025</v>
      </c>
      <c r="E1224">
        <v>6</v>
      </c>
      <c r="F1224">
        <v>2</v>
      </c>
      <c r="G1224" t="s">
        <v>1243</v>
      </c>
      <c r="H1224" t="s">
        <v>147</v>
      </c>
      <c r="I1224" t="s">
        <v>147</v>
      </c>
      <c r="J1224" t="s">
        <v>6</v>
      </c>
      <c r="L1224">
        <v>522611</v>
      </c>
      <c r="M1224" s="99" t="s">
        <v>178</v>
      </c>
      <c r="N1224">
        <v>1</v>
      </c>
      <c r="O1224">
        <v>23</v>
      </c>
      <c r="P1224">
        <v>50.116300000000003</v>
      </c>
      <c r="Q1224" t="s">
        <v>352</v>
      </c>
      <c r="R1224">
        <v>1</v>
      </c>
      <c r="S1224">
        <v>49.979300000000002</v>
      </c>
      <c r="T1224">
        <v>0.60440000000000005</v>
      </c>
      <c r="U1224">
        <v>0.22667107875579159</v>
      </c>
      <c r="V1224">
        <v>48.1661</v>
      </c>
      <c r="W1224">
        <v>48.770499999999998</v>
      </c>
      <c r="X1224">
        <v>49.374900000000004</v>
      </c>
      <c r="Y1224">
        <v>50.5837</v>
      </c>
      <c r="Z1224">
        <v>51.188100000000006</v>
      </c>
      <c r="AA1224">
        <v>51.792500000000004</v>
      </c>
      <c r="AD1224">
        <v>3.6654153790683175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 t="s">
        <v>462</v>
      </c>
      <c r="AL1224" t="s">
        <v>6</v>
      </c>
      <c r="AM1224" t="s">
        <v>1145</v>
      </c>
      <c r="AN1224" t="s">
        <v>1146</v>
      </c>
      <c r="AO1224" s="100">
        <v>46262.040405092594</v>
      </c>
      <c r="AP1224" t="s">
        <v>1147</v>
      </c>
      <c r="AQ1224" t="s">
        <v>3674</v>
      </c>
      <c r="AR1224" t="s">
        <v>1249</v>
      </c>
      <c r="AS1224" t="s">
        <v>1150</v>
      </c>
      <c r="AT1224" t="s">
        <v>3630</v>
      </c>
      <c r="AU1224">
        <v>25</v>
      </c>
      <c r="AV1224">
        <v>49.839127999999988</v>
      </c>
      <c r="AW1224">
        <v>0.57875046617691783</v>
      </c>
      <c r="AX1224">
        <v>1.1612371431878141</v>
      </c>
      <c r="BB1224" t="s">
        <v>4619</v>
      </c>
      <c r="BD1224" s="98"/>
      <c r="BE1224" s="98"/>
      <c r="BF1224" t="s">
        <v>1152</v>
      </c>
      <c r="BG1224" t="s">
        <v>322</v>
      </c>
      <c r="BH1224" t="s">
        <v>1153</v>
      </c>
      <c r="BN1224" t="s">
        <v>1154</v>
      </c>
      <c r="BO1224">
        <v>2025</v>
      </c>
      <c r="BP1224" t="s">
        <v>966</v>
      </c>
      <c r="BZ1224" t="s">
        <v>1513</v>
      </c>
      <c r="CA1224" t="s">
        <v>1513</v>
      </c>
      <c r="CB1224" t="b">
        <v>0</v>
      </c>
      <c r="CC1224" t="b">
        <v>0</v>
      </c>
      <c r="CD1224" t="b">
        <v>0</v>
      </c>
      <c r="CE1224" t="b">
        <v>0</v>
      </c>
      <c r="CF1224" t="b">
        <v>0</v>
      </c>
    </row>
    <row r="1225" spans="1:84" x14ac:dyDescent="0.3">
      <c r="A1225" t="s">
        <v>3675</v>
      </c>
      <c r="B1225" t="s">
        <v>1251</v>
      </c>
      <c r="C1225" s="98">
        <v>45824</v>
      </c>
      <c r="D1225">
        <v>2025</v>
      </c>
      <c r="E1225">
        <v>6</v>
      </c>
      <c r="F1225">
        <v>2</v>
      </c>
      <c r="G1225" t="s">
        <v>1243</v>
      </c>
      <c r="H1225" t="s">
        <v>147</v>
      </c>
      <c r="I1225" t="s">
        <v>147</v>
      </c>
      <c r="J1225" t="s">
        <v>6</v>
      </c>
      <c r="L1225">
        <v>522611</v>
      </c>
      <c r="M1225" s="99" t="s">
        <v>178</v>
      </c>
      <c r="N1225">
        <v>1</v>
      </c>
      <c r="O1225">
        <v>24</v>
      </c>
      <c r="P1225">
        <v>49.060600000000001</v>
      </c>
      <c r="Q1225" t="s">
        <v>352</v>
      </c>
      <c r="R1225">
        <v>1</v>
      </c>
      <c r="S1225">
        <v>49.979300000000002</v>
      </c>
      <c r="T1225">
        <v>0.60440000000000005</v>
      </c>
      <c r="U1225">
        <v>-1.5200198544010608</v>
      </c>
      <c r="V1225">
        <v>48.1661</v>
      </c>
      <c r="W1225">
        <v>48.770499999999998</v>
      </c>
      <c r="X1225">
        <v>49.374900000000004</v>
      </c>
      <c r="Y1225">
        <v>50.5837</v>
      </c>
      <c r="Z1225">
        <v>51.188100000000006</v>
      </c>
      <c r="AA1225">
        <v>51.792500000000004</v>
      </c>
      <c r="AD1225">
        <v>3.6654153790683175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 t="s">
        <v>462</v>
      </c>
      <c r="AL1225" t="s">
        <v>6</v>
      </c>
      <c r="AM1225" t="s">
        <v>1145</v>
      </c>
      <c r="AN1225" t="s">
        <v>1146</v>
      </c>
      <c r="AO1225" s="100">
        <v>46262.040405092594</v>
      </c>
      <c r="AP1225" t="s">
        <v>1147</v>
      </c>
      <c r="AQ1225" t="s">
        <v>3676</v>
      </c>
      <c r="AR1225" t="s">
        <v>1253</v>
      </c>
      <c r="AS1225" t="s">
        <v>1150</v>
      </c>
      <c r="AT1225" t="s">
        <v>3630</v>
      </c>
      <c r="AU1225">
        <v>25</v>
      </c>
      <c r="AV1225">
        <v>49.839127999999988</v>
      </c>
      <c r="AW1225">
        <v>0.57875046617691783</v>
      </c>
      <c r="AX1225">
        <v>1.1612371431878141</v>
      </c>
      <c r="BB1225" t="s">
        <v>4619</v>
      </c>
      <c r="BD1225" s="98"/>
      <c r="BE1225" s="98"/>
      <c r="BF1225" t="s">
        <v>1152</v>
      </c>
      <c r="BG1225" t="s">
        <v>322</v>
      </c>
      <c r="BH1225" t="s">
        <v>1153</v>
      </c>
      <c r="BN1225" t="s">
        <v>1154</v>
      </c>
      <c r="BO1225">
        <v>2025</v>
      </c>
      <c r="BP1225" t="s">
        <v>966</v>
      </c>
      <c r="BZ1225" t="s">
        <v>1513</v>
      </c>
      <c r="CA1225" t="s">
        <v>1513</v>
      </c>
      <c r="CB1225" t="b">
        <v>0</v>
      </c>
      <c r="CC1225" t="b">
        <v>0</v>
      </c>
      <c r="CD1225" t="b">
        <v>0</v>
      </c>
      <c r="CE1225" t="b">
        <v>0</v>
      </c>
      <c r="CF1225" t="b">
        <v>0</v>
      </c>
    </row>
    <row r="1226" spans="1:84" x14ac:dyDescent="0.3">
      <c r="A1226" t="s">
        <v>3677</v>
      </c>
      <c r="B1226" t="s">
        <v>1255</v>
      </c>
      <c r="C1226" s="98">
        <v>45831</v>
      </c>
      <c r="D1226">
        <v>2025</v>
      </c>
      <c r="E1226">
        <v>6</v>
      </c>
      <c r="F1226">
        <v>2</v>
      </c>
      <c r="G1226" t="s">
        <v>1243</v>
      </c>
      <c r="H1226" t="s">
        <v>147</v>
      </c>
      <c r="I1226" t="s">
        <v>147</v>
      </c>
      <c r="J1226" t="s">
        <v>6</v>
      </c>
      <c r="L1226">
        <v>522611</v>
      </c>
      <c r="M1226" s="99" t="s">
        <v>178</v>
      </c>
      <c r="N1226">
        <v>1</v>
      </c>
      <c r="O1226">
        <v>25</v>
      </c>
      <c r="P1226">
        <v>50.374400000000001</v>
      </c>
      <c r="Q1226" t="s">
        <v>352</v>
      </c>
      <c r="R1226">
        <v>1</v>
      </c>
      <c r="S1226">
        <v>49.979300000000002</v>
      </c>
      <c r="T1226">
        <v>0.60440000000000005</v>
      </c>
      <c r="U1226">
        <v>0.65370615486432715</v>
      </c>
      <c r="V1226">
        <v>48.1661</v>
      </c>
      <c r="W1226">
        <v>48.770499999999998</v>
      </c>
      <c r="X1226">
        <v>49.374900000000004</v>
      </c>
      <c r="Y1226">
        <v>50.5837</v>
      </c>
      <c r="Z1226">
        <v>51.188100000000006</v>
      </c>
      <c r="AA1226">
        <v>51.792500000000004</v>
      </c>
      <c r="AD1226">
        <v>3.6654153790683175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 t="s">
        <v>462</v>
      </c>
      <c r="AL1226" t="s">
        <v>6</v>
      </c>
      <c r="AM1226" t="s">
        <v>1145</v>
      </c>
      <c r="AN1226" t="s">
        <v>1146</v>
      </c>
      <c r="AO1226" s="100">
        <v>46262.040405092594</v>
      </c>
      <c r="AP1226" t="s">
        <v>1147</v>
      </c>
      <c r="AQ1226" t="s">
        <v>3678</v>
      </c>
      <c r="AR1226" t="s">
        <v>1257</v>
      </c>
      <c r="AS1226" t="s">
        <v>1150</v>
      </c>
      <c r="AT1226" t="s">
        <v>3630</v>
      </c>
      <c r="AU1226">
        <v>25</v>
      </c>
      <c r="AV1226">
        <v>49.839127999999988</v>
      </c>
      <c r="AW1226">
        <v>0.57875046617691783</v>
      </c>
      <c r="AX1226">
        <v>1.1612371431878141</v>
      </c>
      <c r="BB1226" t="s">
        <v>4619</v>
      </c>
      <c r="BD1226" s="98"/>
      <c r="BE1226" s="98"/>
      <c r="BF1226" t="s">
        <v>1152</v>
      </c>
      <c r="BG1226" t="s">
        <v>322</v>
      </c>
      <c r="BH1226" t="s">
        <v>1153</v>
      </c>
      <c r="BN1226" t="s">
        <v>1154</v>
      </c>
      <c r="BO1226">
        <v>2025</v>
      </c>
      <c r="BP1226" t="s">
        <v>966</v>
      </c>
      <c r="BZ1226" t="s">
        <v>1513</v>
      </c>
      <c r="CA1226" t="s">
        <v>1513</v>
      </c>
      <c r="CB1226" t="b">
        <v>0</v>
      </c>
      <c r="CC1226" t="b">
        <v>0</v>
      </c>
      <c r="CD1226" t="b">
        <v>0</v>
      </c>
      <c r="CE1226" t="b">
        <v>0</v>
      </c>
      <c r="CF1226" t="b">
        <v>0</v>
      </c>
    </row>
    <row r="1227" spans="1:84" x14ac:dyDescent="0.3">
      <c r="A1227" t="s">
        <v>3679</v>
      </c>
      <c r="B1227" t="s">
        <v>1143</v>
      </c>
      <c r="C1227" s="98">
        <v>45663</v>
      </c>
      <c r="D1227">
        <v>2025</v>
      </c>
      <c r="E1227">
        <v>1</v>
      </c>
      <c r="F1227">
        <v>1</v>
      </c>
      <c r="G1227" t="s">
        <v>1144</v>
      </c>
      <c r="H1227" t="s">
        <v>147</v>
      </c>
      <c r="I1227" t="s">
        <v>147</v>
      </c>
      <c r="J1227" t="s">
        <v>6</v>
      </c>
      <c r="L1227">
        <v>522611</v>
      </c>
      <c r="M1227" s="99" t="s">
        <v>179</v>
      </c>
      <c r="N1227">
        <v>2</v>
      </c>
      <c r="O1227">
        <v>1</v>
      </c>
      <c r="P1227">
        <v>14.8825</v>
      </c>
      <c r="Q1227" t="s">
        <v>352</v>
      </c>
      <c r="R1227">
        <v>1</v>
      </c>
      <c r="S1227">
        <v>14.779299999999999</v>
      </c>
      <c r="T1227">
        <v>8.1900000000000001E-2</v>
      </c>
      <c r="U1227">
        <v>1.2600732600732731</v>
      </c>
      <c r="V1227">
        <v>14.5336</v>
      </c>
      <c r="W1227">
        <v>14.615499999999999</v>
      </c>
      <c r="X1227">
        <v>14.6974</v>
      </c>
      <c r="Y1227">
        <v>14.861199999999998</v>
      </c>
      <c r="Z1227">
        <v>14.943099999999999</v>
      </c>
      <c r="AA1227">
        <v>15.024999999999999</v>
      </c>
      <c r="AD1227">
        <v>3.6654153790683175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 t="s">
        <v>462</v>
      </c>
      <c r="AL1227" t="s">
        <v>6</v>
      </c>
      <c r="AM1227" t="s">
        <v>1145</v>
      </c>
      <c r="AN1227" t="s">
        <v>1146</v>
      </c>
      <c r="AO1227" s="100">
        <v>46262.040405092594</v>
      </c>
      <c r="AP1227" t="s">
        <v>1147</v>
      </c>
      <c r="AQ1227" t="s">
        <v>3680</v>
      </c>
      <c r="AR1227" t="s">
        <v>1149</v>
      </c>
      <c r="AS1227" t="s">
        <v>1150</v>
      </c>
      <c r="AT1227" t="s">
        <v>3630</v>
      </c>
      <c r="AU1227">
        <v>25</v>
      </c>
      <c r="AV1227">
        <v>14.800632000000002</v>
      </c>
      <c r="AW1227">
        <v>7.9774811814256455E-2</v>
      </c>
      <c r="AX1227">
        <v>0.53899598215979183</v>
      </c>
      <c r="BB1227" t="s">
        <v>4619</v>
      </c>
      <c r="BD1227" s="98"/>
      <c r="BE1227" s="98"/>
      <c r="BF1227" t="s">
        <v>1152</v>
      </c>
      <c r="BG1227" t="s">
        <v>322</v>
      </c>
      <c r="BH1227" t="s">
        <v>1153</v>
      </c>
      <c r="BN1227" t="s">
        <v>1154</v>
      </c>
      <c r="BO1227">
        <v>2025</v>
      </c>
      <c r="BP1227" t="s">
        <v>966</v>
      </c>
      <c r="BZ1227" t="s">
        <v>1513</v>
      </c>
      <c r="CA1227" t="s">
        <v>1513</v>
      </c>
      <c r="CB1227" t="b">
        <v>0</v>
      </c>
      <c r="CC1227" t="b">
        <v>0</v>
      </c>
      <c r="CD1227" t="b">
        <v>0</v>
      </c>
      <c r="CE1227" t="b">
        <v>0</v>
      </c>
      <c r="CF1227" t="b">
        <v>0</v>
      </c>
    </row>
    <row r="1228" spans="1:84" x14ac:dyDescent="0.3">
      <c r="A1228" t="s">
        <v>3681</v>
      </c>
      <c r="B1228" t="s">
        <v>1157</v>
      </c>
      <c r="C1228" s="98">
        <v>45670</v>
      </c>
      <c r="D1228">
        <v>2025</v>
      </c>
      <c r="E1228">
        <v>1</v>
      </c>
      <c r="F1228">
        <v>1</v>
      </c>
      <c r="G1228" t="s">
        <v>1144</v>
      </c>
      <c r="H1228" t="s">
        <v>147</v>
      </c>
      <c r="I1228" t="s">
        <v>147</v>
      </c>
      <c r="J1228" t="s">
        <v>6</v>
      </c>
      <c r="L1228">
        <v>522611</v>
      </c>
      <c r="M1228" s="99" t="s">
        <v>179</v>
      </c>
      <c r="N1228">
        <v>2</v>
      </c>
      <c r="O1228">
        <v>2</v>
      </c>
      <c r="P1228">
        <v>14.7499</v>
      </c>
      <c r="Q1228" t="s">
        <v>352</v>
      </c>
      <c r="R1228">
        <v>1</v>
      </c>
      <c r="S1228">
        <v>14.779299999999999</v>
      </c>
      <c r="T1228">
        <v>8.1900000000000001E-2</v>
      </c>
      <c r="U1228">
        <v>-0.35897435897434654</v>
      </c>
      <c r="V1228">
        <v>14.5336</v>
      </c>
      <c r="W1228">
        <v>14.615499999999999</v>
      </c>
      <c r="X1228">
        <v>14.6974</v>
      </c>
      <c r="Y1228">
        <v>14.861199999999998</v>
      </c>
      <c r="Z1228">
        <v>14.943099999999999</v>
      </c>
      <c r="AA1228">
        <v>15.024999999999999</v>
      </c>
      <c r="AD1228">
        <v>3.6654153790683175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 t="s">
        <v>462</v>
      </c>
      <c r="AL1228" t="s">
        <v>6</v>
      </c>
      <c r="AM1228" t="s">
        <v>1145</v>
      </c>
      <c r="AN1228" t="s">
        <v>1146</v>
      </c>
      <c r="AO1228" s="100">
        <v>46262.040405092594</v>
      </c>
      <c r="AP1228" t="s">
        <v>1147</v>
      </c>
      <c r="AQ1228" t="s">
        <v>3682</v>
      </c>
      <c r="AR1228" t="s">
        <v>1159</v>
      </c>
      <c r="AS1228" t="s">
        <v>1150</v>
      </c>
      <c r="AT1228" t="s">
        <v>3630</v>
      </c>
      <c r="AU1228">
        <v>25</v>
      </c>
      <c r="AV1228">
        <v>14.800632000000002</v>
      </c>
      <c r="AW1228">
        <v>7.9774811814256455E-2</v>
      </c>
      <c r="AX1228">
        <v>0.53899598215979183</v>
      </c>
      <c r="BB1228" t="s">
        <v>4619</v>
      </c>
      <c r="BD1228" s="98"/>
      <c r="BE1228" s="98"/>
      <c r="BF1228" t="s">
        <v>1152</v>
      </c>
      <c r="BG1228" t="s">
        <v>322</v>
      </c>
      <c r="BH1228" t="s">
        <v>1153</v>
      </c>
      <c r="BN1228" t="s">
        <v>1154</v>
      </c>
      <c r="BO1228">
        <v>2025</v>
      </c>
      <c r="BP1228" t="s">
        <v>966</v>
      </c>
      <c r="BZ1228" t="s">
        <v>1513</v>
      </c>
      <c r="CA1228" t="s">
        <v>1513</v>
      </c>
      <c r="CB1228" t="b">
        <v>0</v>
      </c>
      <c r="CC1228" t="b">
        <v>0</v>
      </c>
      <c r="CD1228" t="b">
        <v>0</v>
      </c>
      <c r="CE1228" t="b">
        <v>0</v>
      </c>
      <c r="CF1228" t="b">
        <v>0</v>
      </c>
    </row>
    <row r="1229" spans="1:84" x14ac:dyDescent="0.3">
      <c r="A1229" t="s">
        <v>3683</v>
      </c>
      <c r="B1229" t="s">
        <v>1161</v>
      </c>
      <c r="C1229" s="98">
        <v>45677</v>
      </c>
      <c r="D1229">
        <v>2025</v>
      </c>
      <c r="E1229">
        <v>1</v>
      </c>
      <c r="F1229">
        <v>1</v>
      </c>
      <c r="G1229" t="s">
        <v>1144</v>
      </c>
      <c r="H1229" t="s">
        <v>147</v>
      </c>
      <c r="I1229" t="s">
        <v>147</v>
      </c>
      <c r="J1229" t="s">
        <v>6</v>
      </c>
      <c r="L1229">
        <v>522611</v>
      </c>
      <c r="M1229" s="99" t="s">
        <v>179</v>
      </c>
      <c r="N1229">
        <v>2</v>
      </c>
      <c r="O1229">
        <v>3</v>
      </c>
      <c r="P1229">
        <v>14.724</v>
      </c>
      <c r="Q1229" t="s">
        <v>352</v>
      </c>
      <c r="R1229">
        <v>1</v>
      </c>
      <c r="S1229">
        <v>14.779299999999999</v>
      </c>
      <c r="T1229">
        <v>8.1900000000000001E-2</v>
      </c>
      <c r="U1229">
        <v>-0.67521367521366316</v>
      </c>
      <c r="V1229">
        <v>14.5336</v>
      </c>
      <c r="W1229">
        <v>14.615499999999999</v>
      </c>
      <c r="X1229">
        <v>14.6974</v>
      </c>
      <c r="Y1229">
        <v>14.861199999999998</v>
      </c>
      <c r="Z1229">
        <v>14.943099999999999</v>
      </c>
      <c r="AA1229">
        <v>15.024999999999999</v>
      </c>
      <c r="AD1229">
        <v>3.6654153790683175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 t="s">
        <v>462</v>
      </c>
      <c r="AL1229" t="s">
        <v>6</v>
      </c>
      <c r="AM1229" t="s">
        <v>1145</v>
      </c>
      <c r="AN1229" t="s">
        <v>1146</v>
      </c>
      <c r="AO1229" s="100">
        <v>46262.040405092594</v>
      </c>
      <c r="AP1229" t="s">
        <v>1147</v>
      </c>
      <c r="AQ1229" t="s">
        <v>3684</v>
      </c>
      <c r="AR1229" t="s">
        <v>1163</v>
      </c>
      <c r="AS1229" t="s">
        <v>1150</v>
      </c>
      <c r="AT1229" t="s">
        <v>3630</v>
      </c>
      <c r="AU1229">
        <v>25</v>
      </c>
      <c r="AV1229">
        <v>14.800632000000002</v>
      </c>
      <c r="AW1229">
        <v>7.9774811814256455E-2</v>
      </c>
      <c r="AX1229">
        <v>0.53899598215979183</v>
      </c>
      <c r="BB1229" t="s">
        <v>4619</v>
      </c>
      <c r="BD1229" s="98"/>
      <c r="BE1229" s="98"/>
      <c r="BF1229" t="s">
        <v>1152</v>
      </c>
      <c r="BG1229" t="s">
        <v>322</v>
      </c>
      <c r="BH1229" t="s">
        <v>1153</v>
      </c>
      <c r="BN1229" t="s">
        <v>1154</v>
      </c>
      <c r="BO1229">
        <v>2025</v>
      </c>
      <c r="BP1229" t="s">
        <v>966</v>
      </c>
      <c r="BZ1229" t="s">
        <v>1513</v>
      </c>
      <c r="CA1229" t="s">
        <v>1513</v>
      </c>
      <c r="CB1229" t="b">
        <v>0</v>
      </c>
      <c r="CC1229" t="b">
        <v>0</v>
      </c>
      <c r="CD1229" t="b">
        <v>0</v>
      </c>
      <c r="CE1229" t="b">
        <v>0</v>
      </c>
      <c r="CF1229" t="b">
        <v>0</v>
      </c>
    </row>
    <row r="1230" spans="1:84" x14ac:dyDescent="0.3">
      <c r="A1230" t="s">
        <v>3685</v>
      </c>
      <c r="B1230" t="s">
        <v>1165</v>
      </c>
      <c r="C1230" s="98">
        <v>45684</v>
      </c>
      <c r="D1230">
        <v>2025</v>
      </c>
      <c r="E1230">
        <v>1</v>
      </c>
      <c r="F1230">
        <v>1</v>
      </c>
      <c r="G1230" t="s">
        <v>1144</v>
      </c>
      <c r="H1230" t="s">
        <v>147</v>
      </c>
      <c r="I1230" t="s">
        <v>147</v>
      </c>
      <c r="J1230" t="s">
        <v>6</v>
      </c>
      <c r="L1230">
        <v>522611</v>
      </c>
      <c r="M1230" s="99" t="s">
        <v>179</v>
      </c>
      <c r="N1230">
        <v>2</v>
      </c>
      <c r="O1230">
        <v>4</v>
      </c>
      <c r="P1230">
        <v>14.7517</v>
      </c>
      <c r="Q1230" t="s">
        <v>352</v>
      </c>
      <c r="R1230">
        <v>1</v>
      </c>
      <c r="S1230">
        <v>14.779299999999999</v>
      </c>
      <c r="T1230">
        <v>8.1900000000000001E-2</v>
      </c>
      <c r="U1230">
        <v>-0.33699633699633241</v>
      </c>
      <c r="V1230">
        <v>14.5336</v>
      </c>
      <c r="W1230">
        <v>14.615499999999999</v>
      </c>
      <c r="X1230">
        <v>14.6974</v>
      </c>
      <c r="Y1230">
        <v>14.861199999999998</v>
      </c>
      <c r="Z1230">
        <v>14.943099999999999</v>
      </c>
      <c r="AA1230">
        <v>15.024999999999999</v>
      </c>
      <c r="AD1230">
        <v>3.6654153790683175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 t="s">
        <v>462</v>
      </c>
      <c r="AL1230" t="s">
        <v>6</v>
      </c>
      <c r="AM1230" t="s">
        <v>1145</v>
      </c>
      <c r="AN1230" t="s">
        <v>1146</v>
      </c>
      <c r="AO1230" s="100">
        <v>46262.040405092594</v>
      </c>
      <c r="AP1230" t="s">
        <v>1147</v>
      </c>
      <c r="AQ1230" t="s">
        <v>3686</v>
      </c>
      <c r="AR1230" t="s">
        <v>1167</v>
      </c>
      <c r="AS1230" t="s">
        <v>1150</v>
      </c>
      <c r="AT1230" t="s">
        <v>3630</v>
      </c>
      <c r="AU1230">
        <v>25</v>
      </c>
      <c r="AV1230">
        <v>14.800632000000002</v>
      </c>
      <c r="AW1230">
        <v>7.9774811814256455E-2</v>
      </c>
      <c r="AX1230">
        <v>0.53899598215979183</v>
      </c>
      <c r="BB1230" t="s">
        <v>4619</v>
      </c>
      <c r="BD1230" s="98"/>
      <c r="BE1230" s="98"/>
      <c r="BF1230" t="s">
        <v>1152</v>
      </c>
      <c r="BG1230" t="s">
        <v>322</v>
      </c>
      <c r="BH1230" t="s">
        <v>1153</v>
      </c>
      <c r="BN1230" t="s">
        <v>1154</v>
      </c>
      <c r="BO1230">
        <v>2025</v>
      </c>
      <c r="BP1230" t="s">
        <v>966</v>
      </c>
      <c r="BZ1230" t="s">
        <v>1513</v>
      </c>
      <c r="CA1230" t="s">
        <v>1513</v>
      </c>
      <c r="CB1230" t="b">
        <v>0</v>
      </c>
      <c r="CC1230" t="b">
        <v>0</v>
      </c>
      <c r="CD1230" t="b">
        <v>0</v>
      </c>
      <c r="CE1230" t="b">
        <v>0</v>
      </c>
      <c r="CF1230" t="b">
        <v>0</v>
      </c>
    </row>
    <row r="1231" spans="1:84" x14ac:dyDescent="0.3">
      <c r="A1231" t="s">
        <v>3687</v>
      </c>
      <c r="B1231" t="s">
        <v>1169</v>
      </c>
      <c r="C1231" s="98">
        <v>45691</v>
      </c>
      <c r="D1231">
        <v>2025</v>
      </c>
      <c r="E1231">
        <v>2</v>
      </c>
      <c r="F1231">
        <v>1</v>
      </c>
      <c r="G1231" t="s">
        <v>1170</v>
      </c>
      <c r="H1231" t="s">
        <v>147</v>
      </c>
      <c r="I1231" t="s">
        <v>147</v>
      </c>
      <c r="J1231" t="s">
        <v>6</v>
      </c>
      <c r="L1231">
        <v>522611</v>
      </c>
      <c r="M1231" s="99" t="s">
        <v>179</v>
      </c>
      <c r="N1231">
        <v>2</v>
      </c>
      <c r="O1231">
        <v>5</v>
      </c>
      <c r="P1231">
        <v>14.8026</v>
      </c>
      <c r="Q1231" t="s">
        <v>352</v>
      </c>
      <c r="R1231">
        <v>1</v>
      </c>
      <c r="S1231">
        <v>14.779299999999999</v>
      </c>
      <c r="T1231">
        <v>8.1900000000000001E-2</v>
      </c>
      <c r="U1231">
        <v>0.28449328449329381</v>
      </c>
      <c r="V1231">
        <v>14.5336</v>
      </c>
      <c r="W1231">
        <v>14.615499999999999</v>
      </c>
      <c r="X1231">
        <v>14.6974</v>
      </c>
      <c r="Y1231">
        <v>14.861199999999998</v>
      </c>
      <c r="Z1231">
        <v>14.943099999999999</v>
      </c>
      <c r="AA1231">
        <v>15.024999999999999</v>
      </c>
      <c r="AD1231">
        <v>3.6654153790683175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 t="s">
        <v>462</v>
      </c>
      <c r="AL1231" t="s">
        <v>6</v>
      </c>
      <c r="AM1231" t="s">
        <v>1145</v>
      </c>
      <c r="AN1231" t="s">
        <v>1146</v>
      </c>
      <c r="AO1231" s="100">
        <v>46262.040405092594</v>
      </c>
      <c r="AP1231" t="s">
        <v>1147</v>
      </c>
      <c r="AQ1231" t="s">
        <v>3688</v>
      </c>
      <c r="AR1231" t="s">
        <v>1172</v>
      </c>
      <c r="AS1231" t="s">
        <v>1150</v>
      </c>
      <c r="AT1231" t="s">
        <v>3630</v>
      </c>
      <c r="AU1231">
        <v>25</v>
      </c>
      <c r="AV1231">
        <v>14.800632000000002</v>
      </c>
      <c r="AW1231">
        <v>7.9774811814256455E-2</v>
      </c>
      <c r="AX1231">
        <v>0.53899598215979183</v>
      </c>
      <c r="BB1231" t="s">
        <v>4619</v>
      </c>
      <c r="BD1231" s="98"/>
      <c r="BE1231" s="98"/>
      <c r="BF1231" t="s">
        <v>1152</v>
      </c>
      <c r="BG1231" t="s">
        <v>322</v>
      </c>
      <c r="BH1231" t="s">
        <v>1153</v>
      </c>
      <c r="BN1231" t="s">
        <v>1154</v>
      </c>
      <c r="BO1231">
        <v>2025</v>
      </c>
      <c r="BP1231" t="s">
        <v>966</v>
      </c>
      <c r="BZ1231" t="s">
        <v>1513</v>
      </c>
      <c r="CA1231" t="s">
        <v>1513</v>
      </c>
      <c r="CB1231" t="b">
        <v>0</v>
      </c>
      <c r="CC1231" t="b">
        <v>0</v>
      </c>
      <c r="CD1231" t="b">
        <v>0</v>
      </c>
      <c r="CE1231" t="b">
        <v>0</v>
      </c>
      <c r="CF1231" t="b">
        <v>0</v>
      </c>
    </row>
    <row r="1232" spans="1:84" x14ac:dyDescent="0.3">
      <c r="A1232" t="s">
        <v>3689</v>
      </c>
      <c r="B1232" t="s">
        <v>1174</v>
      </c>
      <c r="C1232" s="98">
        <v>45698</v>
      </c>
      <c r="D1232">
        <v>2025</v>
      </c>
      <c r="E1232">
        <v>2</v>
      </c>
      <c r="F1232">
        <v>1</v>
      </c>
      <c r="G1232" t="s">
        <v>1170</v>
      </c>
      <c r="H1232" t="s">
        <v>147</v>
      </c>
      <c r="I1232" t="s">
        <v>147</v>
      </c>
      <c r="J1232" t="s">
        <v>6</v>
      </c>
      <c r="L1232">
        <v>522611</v>
      </c>
      <c r="M1232" s="99" t="s">
        <v>179</v>
      </c>
      <c r="N1232">
        <v>2</v>
      </c>
      <c r="O1232">
        <v>6</v>
      </c>
      <c r="P1232">
        <v>14.8317</v>
      </c>
      <c r="Q1232" t="s">
        <v>352</v>
      </c>
      <c r="R1232">
        <v>1</v>
      </c>
      <c r="S1232">
        <v>14.779299999999999</v>
      </c>
      <c r="T1232">
        <v>8.1900000000000001E-2</v>
      </c>
      <c r="U1232">
        <v>0.6398046398046453</v>
      </c>
      <c r="V1232">
        <v>14.5336</v>
      </c>
      <c r="W1232">
        <v>14.615499999999999</v>
      </c>
      <c r="X1232">
        <v>14.6974</v>
      </c>
      <c r="Y1232">
        <v>14.861199999999998</v>
      </c>
      <c r="Z1232">
        <v>14.943099999999999</v>
      </c>
      <c r="AA1232">
        <v>15.024999999999999</v>
      </c>
      <c r="AD1232">
        <v>3.6654153790683175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 t="s">
        <v>462</v>
      </c>
      <c r="AL1232" t="s">
        <v>6</v>
      </c>
      <c r="AM1232" t="s">
        <v>1145</v>
      </c>
      <c r="AN1232" t="s">
        <v>1146</v>
      </c>
      <c r="AO1232" s="100">
        <v>46262.040405092594</v>
      </c>
      <c r="AP1232" t="s">
        <v>1147</v>
      </c>
      <c r="AQ1232" t="s">
        <v>3690</v>
      </c>
      <c r="AR1232" t="s">
        <v>1176</v>
      </c>
      <c r="AS1232" t="s">
        <v>1150</v>
      </c>
      <c r="AT1232" t="s">
        <v>3630</v>
      </c>
      <c r="AU1232">
        <v>25</v>
      </c>
      <c r="AV1232">
        <v>14.800632000000002</v>
      </c>
      <c r="AW1232">
        <v>7.9774811814256455E-2</v>
      </c>
      <c r="AX1232">
        <v>0.53899598215979183</v>
      </c>
      <c r="BB1232" t="s">
        <v>4619</v>
      </c>
      <c r="BD1232" s="98"/>
      <c r="BE1232" s="98"/>
      <c r="BF1232" t="s">
        <v>1152</v>
      </c>
      <c r="BG1232" t="s">
        <v>322</v>
      </c>
      <c r="BH1232" t="s">
        <v>1153</v>
      </c>
      <c r="BN1232" t="s">
        <v>1154</v>
      </c>
      <c r="BO1232">
        <v>2025</v>
      </c>
      <c r="BP1232" t="s">
        <v>966</v>
      </c>
      <c r="BZ1232" t="s">
        <v>1513</v>
      </c>
      <c r="CA1232" t="s">
        <v>1513</v>
      </c>
      <c r="CB1232" t="b">
        <v>0</v>
      </c>
      <c r="CC1232" t="b">
        <v>0</v>
      </c>
      <c r="CD1232" t="b">
        <v>0</v>
      </c>
      <c r="CE1232" t="b">
        <v>0</v>
      </c>
      <c r="CF1232" t="b">
        <v>0</v>
      </c>
    </row>
    <row r="1233" spans="1:84" x14ac:dyDescent="0.3">
      <c r="A1233" t="s">
        <v>3691</v>
      </c>
      <c r="B1233" t="s">
        <v>1178</v>
      </c>
      <c r="C1233" s="98">
        <v>45705</v>
      </c>
      <c r="D1233">
        <v>2025</v>
      </c>
      <c r="E1233">
        <v>2</v>
      </c>
      <c r="F1233">
        <v>1</v>
      </c>
      <c r="G1233" t="s">
        <v>1170</v>
      </c>
      <c r="H1233" t="s">
        <v>147</v>
      </c>
      <c r="I1233" t="s">
        <v>147</v>
      </c>
      <c r="J1233" t="s">
        <v>6</v>
      </c>
      <c r="L1233">
        <v>522611</v>
      </c>
      <c r="M1233" s="99" t="s">
        <v>179</v>
      </c>
      <c r="N1233">
        <v>2</v>
      </c>
      <c r="O1233">
        <v>7</v>
      </c>
      <c r="P1233">
        <v>14.876099999999999</v>
      </c>
      <c r="Q1233" t="s">
        <v>352</v>
      </c>
      <c r="R1233">
        <v>1</v>
      </c>
      <c r="S1233">
        <v>14.779299999999999</v>
      </c>
      <c r="T1233">
        <v>8.1900000000000001E-2</v>
      </c>
      <c r="U1233">
        <v>1.1819291819291819</v>
      </c>
      <c r="V1233">
        <v>14.5336</v>
      </c>
      <c r="W1233">
        <v>14.615499999999999</v>
      </c>
      <c r="X1233">
        <v>14.6974</v>
      </c>
      <c r="Y1233">
        <v>14.861199999999998</v>
      </c>
      <c r="Z1233">
        <v>14.943099999999999</v>
      </c>
      <c r="AA1233">
        <v>15.024999999999999</v>
      </c>
      <c r="AD1233">
        <v>3.6654153790683175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 t="s">
        <v>462</v>
      </c>
      <c r="AL1233" t="s">
        <v>6</v>
      </c>
      <c r="AM1233" t="s">
        <v>1145</v>
      </c>
      <c r="AN1233" t="s">
        <v>1146</v>
      </c>
      <c r="AO1233" s="100">
        <v>46262.040405092594</v>
      </c>
      <c r="AP1233" t="s">
        <v>1147</v>
      </c>
      <c r="AQ1233" t="s">
        <v>3692</v>
      </c>
      <c r="AR1233" t="s">
        <v>1180</v>
      </c>
      <c r="AS1233" t="s">
        <v>1150</v>
      </c>
      <c r="AT1233" t="s">
        <v>3630</v>
      </c>
      <c r="AU1233">
        <v>25</v>
      </c>
      <c r="AV1233">
        <v>14.800632000000002</v>
      </c>
      <c r="AW1233">
        <v>7.9774811814256455E-2</v>
      </c>
      <c r="AX1233">
        <v>0.53899598215979183</v>
      </c>
      <c r="BB1233" t="s">
        <v>4619</v>
      </c>
      <c r="BD1233" s="98"/>
      <c r="BE1233" s="98"/>
      <c r="BF1233" t="s">
        <v>1152</v>
      </c>
      <c r="BG1233" t="s">
        <v>322</v>
      </c>
      <c r="BH1233" t="s">
        <v>1153</v>
      </c>
      <c r="BN1233" t="s">
        <v>1154</v>
      </c>
      <c r="BO1233">
        <v>2025</v>
      </c>
      <c r="BP1233" t="s">
        <v>966</v>
      </c>
      <c r="BZ1233" t="s">
        <v>1513</v>
      </c>
      <c r="CA1233" t="s">
        <v>1513</v>
      </c>
      <c r="CB1233" t="b">
        <v>0</v>
      </c>
      <c r="CC1233" t="b">
        <v>0</v>
      </c>
      <c r="CD1233" t="b">
        <v>0</v>
      </c>
      <c r="CE1233" t="b">
        <v>0</v>
      </c>
      <c r="CF1233" t="b">
        <v>0</v>
      </c>
    </row>
    <row r="1234" spans="1:84" x14ac:dyDescent="0.3">
      <c r="A1234" t="s">
        <v>3693</v>
      </c>
      <c r="B1234" t="s">
        <v>1182</v>
      </c>
      <c r="C1234" s="98">
        <v>45712</v>
      </c>
      <c r="D1234">
        <v>2025</v>
      </c>
      <c r="E1234">
        <v>2</v>
      </c>
      <c r="F1234">
        <v>1</v>
      </c>
      <c r="G1234" t="s">
        <v>1170</v>
      </c>
      <c r="H1234" t="s">
        <v>147</v>
      </c>
      <c r="I1234" t="s">
        <v>147</v>
      </c>
      <c r="J1234" t="s">
        <v>6</v>
      </c>
      <c r="L1234">
        <v>522611</v>
      </c>
      <c r="M1234" s="99" t="s">
        <v>179</v>
      </c>
      <c r="N1234">
        <v>2</v>
      </c>
      <c r="O1234">
        <v>8</v>
      </c>
      <c r="P1234">
        <v>14.8786</v>
      </c>
      <c r="Q1234" t="s">
        <v>352</v>
      </c>
      <c r="R1234">
        <v>1</v>
      </c>
      <c r="S1234">
        <v>14.779299999999999</v>
      </c>
      <c r="T1234">
        <v>8.1900000000000001E-2</v>
      </c>
      <c r="U1234">
        <v>1.2124542124542281</v>
      </c>
      <c r="V1234">
        <v>14.5336</v>
      </c>
      <c r="W1234">
        <v>14.615499999999999</v>
      </c>
      <c r="X1234">
        <v>14.6974</v>
      </c>
      <c r="Y1234">
        <v>14.861199999999998</v>
      </c>
      <c r="Z1234">
        <v>14.943099999999999</v>
      </c>
      <c r="AA1234">
        <v>15.024999999999999</v>
      </c>
      <c r="AD1234">
        <v>3.6654153790683175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 t="s">
        <v>462</v>
      </c>
      <c r="AL1234" t="s">
        <v>6</v>
      </c>
      <c r="AM1234" t="s">
        <v>1145</v>
      </c>
      <c r="AN1234" t="s">
        <v>1146</v>
      </c>
      <c r="AO1234" s="100">
        <v>46262.040405092594</v>
      </c>
      <c r="AP1234" t="s">
        <v>1147</v>
      </c>
      <c r="AQ1234" t="s">
        <v>3694</v>
      </c>
      <c r="AR1234" t="s">
        <v>1184</v>
      </c>
      <c r="AS1234" t="s">
        <v>1150</v>
      </c>
      <c r="AT1234" t="s">
        <v>3630</v>
      </c>
      <c r="AU1234">
        <v>25</v>
      </c>
      <c r="AV1234">
        <v>14.800632000000002</v>
      </c>
      <c r="AW1234">
        <v>7.9774811814256455E-2</v>
      </c>
      <c r="AX1234">
        <v>0.53899598215979183</v>
      </c>
      <c r="BB1234" t="s">
        <v>4619</v>
      </c>
      <c r="BD1234" s="98"/>
      <c r="BE1234" s="98"/>
      <c r="BF1234" t="s">
        <v>1152</v>
      </c>
      <c r="BG1234" t="s">
        <v>322</v>
      </c>
      <c r="BH1234" t="s">
        <v>1153</v>
      </c>
      <c r="BN1234" t="s">
        <v>1154</v>
      </c>
      <c r="BO1234">
        <v>2025</v>
      </c>
      <c r="BP1234" t="s">
        <v>966</v>
      </c>
      <c r="BZ1234" t="s">
        <v>1513</v>
      </c>
      <c r="CA1234" t="s">
        <v>1513</v>
      </c>
      <c r="CB1234" t="b">
        <v>0</v>
      </c>
      <c r="CC1234" t="b">
        <v>0</v>
      </c>
      <c r="CD1234" t="b">
        <v>0</v>
      </c>
      <c r="CE1234" t="b">
        <v>0</v>
      </c>
      <c r="CF1234" t="b">
        <v>0</v>
      </c>
    </row>
    <row r="1235" spans="1:84" x14ac:dyDescent="0.3">
      <c r="A1235" t="s">
        <v>3695</v>
      </c>
      <c r="B1235" t="s">
        <v>1186</v>
      </c>
      <c r="C1235" s="98">
        <v>45719</v>
      </c>
      <c r="D1235">
        <v>2025</v>
      </c>
      <c r="E1235">
        <v>3</v>
      </c>
      <c r="F1235">
        <v>1</v>
      </c>
      <c r="G1235" t="s">
        <v>1187</v>
      </c>
      <c r="H1235" t="s">
        <v>147</v>
      </c>
      <c r="I1235" t="s">
        <v>147</v>
      </c>
      <c r="J1235" t="s">
        <v>6</v>
      </c>
      <c r="L1235">
        <v>522611</v>
      </c>
      <c r="M1235" s="99" t="s">
        <v>179</v>
      </c>
      <c r="N1235">
        <v>2</v>
      </c>
      <c r="O1235">
        <v>9</v>
      </c>
      <c r="P1235">
        <v>14.876300000000001</v>
      </c>
      <c r="Q1235" t="s">
        <v>352</v>
      </c>
      <c r="R1235">
        <v>1</v>
      </c>
      <c r="S1235">
        <v>14.779299999999999</v>
      </c>
      <c r="T1235">
        <v>8.1900000000000001E-2</v>
      </c>
      <c r="U1235">
        <v>1.1843711843712004</v>
      </c>
      <c r="V1235">
        <v>14.5336</v>
      </c>
      <c r="W1235">
        <v>14.615499999999999</v>
      </c>
      <c r="X1235">
        <v>14.6974</v>
      </c>
      <c r="Y1235">
        <v>14.861199999999998</v>
      </c>
      <c r="Z1235">
        <v>14.943099999999999</v>
      </c>
      <c r="AA1235">
        <v>15.024999999999999</v>
      </c>
      <c r="AD1235">
        <v>3.6654153790683175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 t="s">
        <v>462</v>
      </c>
      <c r="AL1235" t="s">
        <v>6</v>
      </c>
      <c r="AM1235" t="s">
        <v>1145</v>
      </c>
      <c r="AN1235" t="s">
        <v>1146</v>
      </c>
      <c r="AO1235" s="100">
        <v>46262.040405092594</v>
      </c>
      <c r="AP1235" t="s">
        <v>1147</v>
      </c>
      <c r="AQ1235" t="s">
        <v>3696</v>
      </c>
      <c r="AR1235" t="s">
        <v>1189</v>
      </c>
      <c r="AS1235" t="s">
        <v>1150</v>
      </c>
      <c r="AT1235" t="s">
        <v>3630</v>
      </c>
      <c r="AU1235">
        <v>25</v>
      </c>
      <c r="AV1235">
        <v>14.800632000000002</v>
      </c>
      <c r="AW1235">
        <v>7.9774811814256455E-2</v>
      </c>
      <c r="AX1235">
        <v>0.53899598215979183</v>
      </c>
      <c r="BB1235" t="s">
        <v>4619</v>
      </c>
      <c r="BD1235" s="98"/>
      <c r="BE1235" s="98"/>
      <c r="BF1235" t="s">
        <v>1152</v>
      </c>
      <c r="BG1235" t="s">
        <v>322</v>
      </c>
      <c r="BH1235" t="s">
        <v>1153</v>
      </c>
      <c r="BN1235" t="s">
        <v>1154</v>
      </c>
      <c r="BO1235">
        <v>2025</v>
      </c>
      <c r="BP1235" t="s">
        <v>966</v>
      </c>
      <c r="BZ1235" t="s">
        <v>1513</v>
      </c>
      <c r="CA1235" t="s">
        <v>1513</v>
      </c>
      <c r="CB1235" t="b">
        <v>0</v>
      </c>
      <c r="CC1235" t="b">
        <v>0</v>
      </c>
      <c r="CD1235" t="b">
        <v>0</v>
      </c>
      <c r="CE1235" t="b">
        <v>0</v>
      </c>
      <c r="CF1235" t="b">
        <v>0</v>
      </c>
    </row>
    <row r="1236" spans="1:84" x14ac:dyDescent="0.3">
      <c r="A1236" t="s">
        <v>3697</v>
      </c>
      <c r="B1236" t="s">
        <v>1191</v>
      </c>
      <c r="C1236" s="98">
        <v>45726</v>
      </c>
      <c r="D1236">
        <v>2025</v>
      </c>
      <c r="E1236">
        <v>3</v>
      </c>
      <c r="F1236">
        <v>1</v>
      </c>
      <c r="G1236" t="s">
        <v>1187</v>
      </c>
      <c r="H1236" t="s">
        <v>147</v>
      </c>
      <c r="I1236" t="s">
        <v>147</v>
      </c>
      <c r="J1236" t="s">
        <v>6</v>
      </c>
      <c r="L1236">
        <v>522611</v>
      </c>
      <c r="M1236" s="99" t="s">
        <v>179</v>
      </c>
      <c r="N1236">
        <v>2</v>
      </c>
      <c r="O1236">
        <v>10</v>
      </c>
      <c r="P1236">
        <v>14.8908</v>
      </c>
      <c r="Q1236" t="s">
        <v>352</v>
      </c>
      <c r="R1236">
        <v>1</v>
      </c>
      <c r="S1236">
        <v>14.779299999999999</v>
      </c>
      <c r="T1236">
        <v>8.1900000000000001E-2</v>
      </c>
      <c r="U1236">
        <v>1.3614163614163768</v>
      </c>
      <c r="V1236">
        <v>14.5336</v>
      </c>
      <c r="W1236">
        <v>14.615499999999999</v>
      </c>
      <c r="X1236">
        <v>14.6974</v>
      </c>
      <c r="Y1236">
        <v>14.861199999999998</v>
      </c>
      <c r="Z1236">
        <v>14.943099999999999</v>
      </c>
      <c r="AA1236">
        <v>15.024999999999999</v>
      </c>
      <c r="AD1236">
        <v>3.6654153790683175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 t="s">
        <v>462</v>
      </c>
      <c r="AL1236" t="s">
        <v>6</v>
      </c>
      <c r="AM1236" t="s">
        <v>1145</v>
      </c>
      <c r="AN1236" t="s">
        <v>1146</v>
      </c>
      <c r="AO1236" s="100">
        <v>46262.040405092594</v>
      </c>
      <c r="AP1236" t="s">
        <v>1147</v>
      </c>
      <c r="AQ1236" t="s">
        <v>3698</v>
      </c>
      <c r="AR1236" t="s">
        <v>1193</v>
      </c>
      <c r="AS1236" t="s">
        <v>1150</v>
      </c>
      <c r="AT1236" t="s">
        <v>3630</v>
      </c>
      <c r="AU1236">
        <v>25</v>
      </c>
      <c r="AV1236">
        <v>14.800632000000002</v>
      </c>
      <c r="AW1236">
        <v>7.9774811814256455E-2</v>
      </c>
      <c r="AX1236">
        <v>0.53899598215979183</v>
      </c>
      <c r="BB1236" t="s">
        <v>4619</v>
      </c>
      <c r="BD1236" s="98"/>
      <c r="BE1236" s="98"/>
      <c r="BF1236" t="s">
        <v>1152</v>
      </c>
      <c r="BG1236" t="s">
        <v>322</v>
      </c>
      <c r="BH1236" t="s">
        <v>1153</v>
      </c>
      <c r="BN1236" t="s">
        <v>1154</v>
      </c>
      <c r="BO1236">
        <v>2025</v>
      </c>
      <c r="BP1236" t="s">
        <v>966</v>
      </c>
      <c r="BZ1236" t="s">
        <v>1513</v>
      </c>
      <c r="CA1236" t="s">
        <v>1513</v>
      </c>
      <c r="CB1236" t="b">
        <v>0</v>
      </c>
      <c r="CC1236" t="b">
        <v>0</v>
      </c>
      <c r="CD1236" t="b">
        <v>0</v>
      </c>
      <c r="CE1236" t="b">
        <v>0</v>
      </c>
      <c r="CF1236" t="b">
        <v>0</v>
      </c>
    </row>
    <row r="1237" spans="1:84" x14ac:dyDescent="0.3">
      <c r="A1237" t="s">
        <v>3699</v>
      </c>
      <c r="B1237" t="s">
        <v>1195</v>
      </c>
      <c r="C1237" s="98">
        <v>45733</v>
      </c>
      <c r="D1237">
        <v>2025</v>
      </c>
      <c r="E1237">
        <v>3</v>
      </c>
      <c r="F1237">
        <v>1</v>
      </c>
      <c r="G1237" t="s">
        <v>1187</v>
      </c>
      <c r="H1237" t="s">
        <v>147</v>
      </c>
      <c r="I1237" t="s">
        <v>147</v>
      </c>
      <c r="J1237" t="s">
        <v>6</v>
      </c>
      <c r="L1237">
        <v>522611</v>
      </c>
      <c r="M1237" s="99" t="s">
        <v>179</v>
      </c>
      <c r="N1237">
        <v>2</v>
      </c>
      <c r="O1237">
        <v>11</v>
      </c>
      <c r="P1237">
        <v>14.833399999999999</v>
      </c>
      <c r="Q1237" t="s">
        <v>352</v>
      </c>
      <c r="R1237">
        <v>1</v>
      </c>
      <c r="S1237">
        <v>14.779299999999999</v>
      </c>
      <c r="T1237">
        <v>8.1900000000000001E-2</v>
      </c>
      <c r="U1237">
        <v>0.66056166056166099</v>
      </c>
      <c r="V1237">
        <v>14.5336</v>
      </c>
      <c r="W1237">
        <v>14.615499999999999</v>
      </c>
      <c r="X1237">
        <v>14.6974</v>
      </c>
      <c r="Y1237">
        <v>14.861199999999998</v>
      </c>
      <c r="Z1237">
        <v>14.943099999999999</v>
      </c>
      <c r="AA1237">
        <v>15.024999999999999</v>
      </c>
      <c r="AD1237">
        <v>3.6654153790683175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 t="s">
        <v>462</v>
      </c>
      <c r="AL1237" t="s">
        <v>6</v>
      </c>
      <c r="AM1237" t="s">
        <v>1145</v>
      </c>
      <c r="AN1237" t="s">
        <v>1146</v>
      </c>
      <c r="AO1237" s="100">
        <v>46262.040405092594</v>
      </c>
      <c r="AP1237" t="s">
        <v>1147</v>
      </c>
      <c r="AQ1237" t="s">
        <v>3700</v>
      </c>
      <c r="AR1237" t="s">
        <v>1197</v>
      </c>
      <c r="AS1237" t="s">
        <v>1150</v>
      </c>
      <c r="AT1237" t="s">
        <v>3630</v>
      </c>
      <c r="AU1237">
        <v>25</v>
      </c>
      <c r="AV1237">
        <v>14.800632000000002</v>
      </c>
      <c r="AW1237">
        <v>7.9774811814256455E-2</v>
      </c>
      <c r="AX1237">
        <v>0.53899598215979183</v>
      </c>
      <c r="BB1237" t="s">
        <v>4619</v>
      </c>
      <c r="BD1237" s="98"/>
      <c r="BE1237" s="98"/>
      <c r="BF1237" t="s">
        <v>1152</v>
      </c>
      <c r="BG1237" t="s">
        <v>322</v>
      </c>
      <c r="BH1237" t="s">
        <v>1153</v>
      </c>
      <c r="BN1237" t="s">
        <v>1154</v>
      </c>
      <c r="BO1237">
        <v>2025</v>
      </c>
      <c r="BP1237" t="s">
        <v>966</v>
      </c>
      <c r="BZ1237" t="s">
        <v>1513</v>
      </c>
      <c r="CA1237" t="s">
        <v>1513</v>
      </c>
      <c r="CB1237" t="b">
        <v>0</v>
      </c>
      <c r="CC1237" t="b">
        <v>0</v>
      </c>
      <c r="CD1237" t="b">
        <v>0</v>
      </c>
      <c r="CE1237" t="b">
        <v>0</v>
      </c>
      <c r="CF1237" t="b">
        <v>0</v>
      </c>
    </row>
    <row r="1238" spans="1:84" x14ac:dyDescent="0.3">
      <c r="A1238" t="s">
        <v>3701</v>
      </c>
      <c r="B1238" t="s">
        <v>1199</v>
      </c>
      <c r="C1238" s="98">
        <v>45740</v>
      </c>
      <c r="D1238">
        <v>2025</v>
      </c>
      <c r="E1238">
        <v>3</v>
      </c>
      <c r="F1238">
        <v>1</v>
      </c>
      <c r="G1238" t="s">
        <v>1187</v>
      </c>
      <c r="H1238" t="s">
        <v>147</v>
      </c>
      <c r="I1238" t="s">
        <v>147</v>
      </c>
      <c r="J1238" t="s">
        <v>6</v>
      </c>
      <c r="L1238">
        <v>522611</v>
      </c>
      <c r="M1238" s="99" t="s">
        <v>179</v>
      </c>
      <c r="N1238">
        <v>2</v>
      </c>
      <c r="O1238">
        <v>12</v>
      </c>
      <c r="P1238">
        <v>14.654</v>
      </c>
      <c r="Q1238" t="s">
        <v>352</v>
      </c>
      <c r="R1238">
        <v>1</v>
      </c>
      <c r="S1238">
        <v>14.779299999999999</v>
      </c>
      <c r="T1238">
        <v>8.1900000000000001E-2</v>
      </c>
      <c r="U1238">
        <v>-1.5299145299145214</v>
      </c>
      <c r="V1238">
        <v>14.5336</v>
      </c>
      <c r="W1238">
        <v>14.615499999999999</v>
      </c>
      <c r="X1238">
        <v>14.6974</v>
      </c>
      <c r="Y1238">
        <v>14.861199999999998</v>
      </c>
      <c r="Z1238">
        <v>14.943099999999999</v>
      </c>
      <c r="AA1238">
        <v>15.024999999999999</v>
      </c>
      <c r="AD1238">
        <v>3.6654153790683175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 t="s">
        <v>462</v>
      </c>
      <c r="AL1238" t="s">
        <v>6</v>
      </c>
      <c r="AM1238" t="s">
        <v>1145</v>
      </c>
      <c r="AN1238" t="s">
        <v>1146</v>
      </c>
      <c r="AO1238" s="100">
        <v>46262.040405092594</v>
      </c>
      <c r="AP1238" t="s">
        <v>1147</v>
      </c>
      <c r="AQ1238" t="s">
        <v>3702</v>
      </c>
      <c r="AR1238" t="s">
        <v>1201</v>
      </c>
      <c r="AS1238" t="s">
        <v>1150</v>
      </c>
      <c r="AT1238" t="s">
        <v>3630</v>
      </c>
      <c r="AU1238">
        <v>25</v>
      </c>
      <c r="AV1238">
        <v>14.800632000000002</v>
      </c>
      <c r="AW1238">
        <v>7.9774811814256455E-2</v>
      </c>
      <c r="AX1238">
        <v>0.53899598215979183</v>
      </c>
      <c r="BB1238" t="s">
        <v>4619</v>
      </c>
      <c r="BD1238" s="98"/>
      <c r="BE1238" s="98"/>
      <c r="BF1238" t="s">
        <v>1152</v>
      </c>
      <c r="BG1238" t="s">
        <v>322</v>
      </c>
      <c r="BH1238" t="s">
        <v>1153</v>
      </c>
      <c r="BN1238" t="s">
        <v>1154</v>
      </c>
      <c r="BO1238">
        <v>2025</v>
      </c>
      <c r="BP1238" t="s">
        <v>966</v>
      </c>
      <c r="BZ1238" t="s">
        <v>1513</v>
      </c>
      <c r="CA1238" t="s">
        <v>1513</v>
      </c>
      <c r="CB1238" t="b">
        <v>0</v>
      </c>
      <c r="CC1238" t="b">
        <v>0</v>
      </c>
      <c r="CD1238" t="b">
        <v>0</v>
      </c>
      <c r="CE1238" t="b">
        <v>0</v>
      </c>
      <c r="CF1238" t="b">
        <v>0</v>
      </c>
    </row>
    <row r="1239" spans="1:84" x14ac:dyDescent="0.3">
      <c r="A1239" t="s">
        <v>3703</v>
      </c>
      <c r="B1239" t="s">
        <v>1203</v>
      </c>
      <c r="C1239" s="98">
        <v>45747</v>
      </c>
      <c r="D1239">
        <v>2025</v>
      </c>
      <c r="E1239">
        <v>3</v>
      </c>
      <c r="F1239">
        <v>1</v>
      </c>
      <c r="G1239" t="s">
        <v>1187</v>
      </c>
      <c r="H1239" t="s">
        <v>147</v>
      </c>
      <c r="I1239" t="s">
        <v>147</v>
      </c>
      <c r="J1239" t="s">
        <v>6</v>
      </c>
      <c r="L1239">
        <v>522611</v>
      </c>
      <c r="M1239" s="99" t="s">
        <v>179</v>
      </c>
      <c r="N1239">
        <v>2</v>
      </c>
      <c r="O1239">
        <v>13</v>
      </c>
      <c r="P1239">
        <v>14.768599999999999</v>
      </c>
      <c r="Q1239" t="s">
        <v>352</v>
      </c>
      <c r="R1239">
        <v>1</v>
      </c>
      <c r="S1239">
        <v>14.779299999999999</v>
      </c>
      <c r="T1239">
        <v>8.1900000000000001E-2</v>
      </c>
      <c r="U1239">
        <v>-0.13064713064712982</v>
      </c>
      <c r="V1239">
        <v>14.5336</v>
      </c>
      <c r="W1239">
        <v>14.615499999999999</v>
      </c>
      <c r="X1239">
        <v>14.6974</v>
      </c>
      <c r="Y1239">
        <v>14.861199999999998</v>
      </c>
      <c r="Z1239">
        <v>14.943099999999999</v>
      </c>
      <c r="AA1239">
        <v>15.024999999999999</v>
      </c>
      <c r="AD1239">
        <v>3.6654153790683175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 t="s">
        <v>462</v>
      </c>
      <c r="AL1239" t="s">
        <v>6</v>
      </c>
      <c r="AM1239" t="s">
        <v>1145</v>
      </c>
      <c r="AN1239" t="s">
        <v>1146</v>
      </c>
      <c r="AO1239" s="100">
        <v>46262.040405092594</v>
      </c>
      <c r="AP1239" t="s">
        <v>1147</v>
      </c>
      <c r="AQ1239" t="s">
        <v>3704</v>
      </c>
      <c r="AR1239" t="s">
        <v>1205</v>
      </c>
      <c r="AS1239" t="s">
        <v>1150</v>
      </c>
      <c r="AT1239" t="s">
        <v>3630</v>
      </c>
      <c r="AU1239">
        <v>25</v>
      </c>
      <c r="AV1239">
        <v>14.800632000000002</v>
      </c>
      <c r="AW1239">
        <v>7.9774811814256455E-2</v>
      </c>
      <c r="AX1239">
        <v>0.53899598215979183</v>
      </c>
      <c r="BB1239" t="s">
        <v>4619</v>
      </c>
      <c r="BD1239" s="98"/>
      <c r="BE1239" s="98"/>
      <c r="BF1239" t="s">
        <v>1152</v>
      </c>
      <c r="BG1239" t="s">
        <v>322</v>
      </c>
      <c r="BH1239" t="s">
        <v>1153</v>
      </c>
      <c r="BN1239" t="s">
        <v>1154</v>
      </c>
      <c r="BO1239">
        <v>2025</v>
      </c>
      <c r="BP1239" t="s">
        <v>966</v>
      </c>
      <c r="BZ1239" t="s">
        <v>1513</v>
      </c>
      <c r="CA1239" t="s">
        <v>1513</v>
      </c>
      <c r="CB1239" t="b">
        <v>0</v>
      </c>
      <c r="CC1239" t="b">
        <v>0</v>
      </c>
      <c r="CD1239" t="b">
        <v>0</v>
      </c>
      <c r="CE1239" t="b">
        <v>0</v>
      </c>
      <c r="CF1239" t="b">
        <v>0</v>
      </c>
    </row>
    <row r="1240" spans="1:84" x14ac:dyDescent="0.3">
      <c r="A1240" t="s">
        <v>3705</v>
      </c>
      <c r="B1240" t="s">
        <v>1207</v>
      </c>
      <c r="C1240" s="98">
        <v>45754</v>
      </c>
      <c r="D1240">
        <v>2025</v>
      </c>
      <c r="E1240">
        <v>4</v>
      </c>
      <c r="F1240">
        <v>2</v>
      </c>
      <c r="G1240" t="s">
        <v>1208</v>
      </c>
      <c r="H1240" t="s">
        <v>147</v>
      </c>
      <c r="I1240" t="s">
        <v>147</v>
      </c>
      <c r="J1240" t="s">
        <v>6</v>
      </c>
      <c r="L1240">
        <v>522611</v>
      </c>
      <c r="M1240" s="99" t="s">
        <v>179</v>
      </c>
      <c r="N1240">
        <v>2</v>
      </c>
      <c r="O1240">
        <v>14</v>
      </c>
      <c r="P1240">
        <v>14.805</v>
      </c>
      <c r="Q1240" t="s">
        <v>352</v>
      </c>
      <c r="R1240">
        <v>1</v>
      </c>
      <c r="S1240">
        <v>14.779299999999999</v>
      </c>
      <c r="T1240">
        <v>8.1900000000000001E-2</v>
      </c>
      <c r="U1240">
        <v>0.3137973137973199</v>
      </c>
      <c r="V1240">
        <v>14.5336</v>
      </c>
      <c r="W1240">
        <v>14.615499999999999</v>
      </c>
      <c r="X1240">
        <v>14.6974</v>
      </c>
      <c r="Y1240">
        <v>14.861199999999998</v>
      </c>
      <c r="Z1240">
        <v>14.943099999999999</v>
      </c>
      <c r="AA1240">
        <v>15.024999999999999</v>
      </c>
      <c r="AD1240">
        <v>3.6654153790683175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 t="s">
        <v>462</v>
      </c>
      <c r="AL1240" t="s">
        <v>6</v>
      </c>
      <c r="AM1240" t="s">
        <v>1145</v>
      </c>
      <c r="AN1240" t="s">
        <v>1146</v>
      </c>
      <c r="AO1240" s="100">
        <v>46262.040405092594</v>
      </c>
      <c r="AP1240" t="s">
        <v>1147</v>
      </c>
      <c r="AQ1240" t="s">
        <v>3706</v>
      </c>
      <c r="AR1240" t="s">
        <v>1210</v>
      </c>
      <c r="AS1240" t="s">
        <v>1150</v>
      </c>
      <c r="AT1240" t="s">
        <v>3630</v>
      </c>
      <c r="AU1240">
        <v>25</v>
      </c>
      <c r="AV1240">
        <v>14.800632000000002</v>
      </c>
      <c r="AW1240">
        <v>7.9774811814256455E-2</v>
      </c>
      <c r="AX1240">
        <v>0.53899598215979183</v>
      </c>
      <c r="BB1240" t="s">
        <v>4619</v>
      </c>
      <c r="BD1240" s="98"/>
      <c r="BE1240" s="98"/>
      <c r="BF1240" t="s">
        <v>1152</v>
      </c>
      <c r="BG1240" t="s">
        <v>322</v>
      </c>
      <c r="BH1240" t="s">
        <v>1153</v>
      </c>
      <c r="BN1240" t="s">
        <v>1154</v>
      </c>
      <c r="BO1240">
        <v>2025</v>
      </c>
      <c r="BP1240" t="s">
        <v>966</v>
      </c>
      <c r="BZ1240" t="s">
        <v>1513</v>
      </c>
      <c r="CA1240" t="s">
        <v>1513</v>
      </c>
      <c r="CB1240" t="b">
        <v>0</v>
      </c>
      <c r="CC1240" t="b">
        <v>0</v>
      </c>
      <c r="CD1240" t="b">
        <v>0</v>
      </c>
      <c r="CE1240" t="b">
        <v>0</v>
      </c>
      <c r="CF1240" t="b">
        <v>0</v>
      </c>
    </row>
    <row r="1241" spans="1:84" x14ac:dyDescent="0.3">
      <c r="A1241" t="s">
        <v>3707</v>
      </c>
      <c r="B1241" t="s">
        <v>1212</v>
      </c>
      <c r="C1241" s="98">
        <v>45761</v>
      </c>
      <c r="D1241">
        <v>2025</v>
      </c>
      <c r="E1241">
        <v>4</v>
      </c>
      <c r="F1241">
        <v>2</v>
      </c>
      <c r="G1241" t="s">
        <v>1208</v>
      </c>
      <c r="H1241" t="s">
        <v>147</v>
      </c>
      <c r="I1241" t="s">
        <v>147</v>
      </c>
      <c r="J1241" t="s">
        <v>6</v>
      </c>
      <c r="L1241">
        <v>522611</v>
      </c>
      <c r="M1241" s="99" t="s">
        <v>179</v>
      </c>
      <c r="N1241">
        <v>2</v>
      </c>
      <c r="O1241">
        <v>15</v>
      </c>
      <c r="P1241">
        <v>14.747999999999999</v>
      </c>
      <c r="Q1241" t="s">
        <v>352</v>
      </c>
      <c r="R1241">
        <v>1</v>
      </c>
      <c r="S1241">
        <v>14.779299999999999</v>
      </c>
      <c r="T1241">
        <v>8.1900000000000001E-2</v>
      </c>
      <c r="U1241">
        <v>-0.38217338217338076</v>
      </c>
      <c r="V1241">
        <v>14.5336</v>
      </c>
      <c r="W1241">
        <v>14.615499999999999</v>
      </c>
      <c r="X1241">
        <v>14.6974</v>
      </c>
      <c r="Y1241">
        <v>14.861199999999998</v>
      </c>
      <c r="Z1241">
        <v>14.943099999999999</v>
      </c>
      <c r="AA1241">
        <v>15.024999999999999</v>
      </c>
      <c r="AD1241">
        <v>3.6654153790683175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 t="s">
        <v>462</v>
      </c>
      <c r="AL1241" t="s">
        <v>6</v>
      </c>
      <c r="AM1241" t="s">
        <v>1145</v>
      </c>
      <c r="AN1241" t="s">
        <v>1146</v>
      </c>
      <c r="AO1241" s="100">
        <v>46262.040405092594</v>
      </c>
      <c r="AP1241" t="s">
        <v>1147</v>
      </c>
      <c r="AQ1241" t="s">
        <v>3708</v>
      </c>
      <c r="AR1241" t="s">
        <v>1215</v>
      </c>
      <c r="AS1241" t="s">
        <v>1150</v>
      </c>
      <c r="AT1241" t="s">
        <v>3630</v>
      </c>
      <c r="AU1241">
        <v>25</v>
      </c>
      <c r="AV1241">
        <v>14.800632000000002</v>
      </c>
      <c r="AW1241">
        <v>7.9774811814256455E-2</v>
      </c>
      <c r="AX1241">
        <v>0.53899598215979183</v>
      </c>
      <c r="BB1241" t="s">
        <v>4619</v>
      </c>
      <c r="BD1241" s="98"/>
      <c r="BE1241" s="98"/>
      <c r="BF1241" t="s">
        <v>1152</v>
      </c>
      <c r="BG1241" t="s">
        <v>322</v>
      </c>
      <c r="BH1241" t="s">
        <v>1153</v>
      </c>
      <c r="BN1241" t="s">
        <v>1154</v>
      </c>
      <c r="BO1241">
        <v>2025</v>
      </c>
      <c r="BP1241" t="s">
        <v>966</v>
      </c>
      <c r="BZ1241" t="s">
        <v>1513</v>
      </c>
      <c r="CA1241" t="s">
        <v>1513</v>
      </c>
      <c r="CB1241" t="b">
        <v>0</v>
      </c>
      <c r="CC1241" t="b">
        <v>0</v>
      </c>
      <c r="CD1241" t="b">
        <v>0</v>
      </c>
      <c r="CE1241" t="b">
        <v>0</v>
      </c>
      <c r="CF1241" t="b">
        <v>0</v>
      </c>
    </row>
    <row r="1242" spans="1:84" x14ac:dyDescent="0.3">
      <c r="A1242" t="s">
        <v>3709</v>
      </c>
      <c r="B1242" t="s">
        <v>1217</v>
      </c>
      <c r="C1242" s="98">
        <v>45768</v>
      </c>
      <c r="D1242">
        <v>2025</v>
      </c>
      <c r="E1242">
        <v>4</v>
      </c>
      <c r="F1242">
        <v>2</v>
      </c>
      <c r="G1242" t="s">
        <v>1208</v>
      </c>
      <c r="H1242" t="s">
        <v>147</v>
      </c>
      <c r="I1242" t="s">
        <v>147</v>
      </c>
      <c r="J1242" t="s">
        <v>6</v>
      </c>
      <c r="L1242">
        <v>522611</v>
      </c>
      <c r="M1242" s="99" t="s">
        <v>179</v>
      </c>
      <c r="N1242">
        <v>2</v>
      </c>
      <c r="O1242">
        <v>16</v>
      </c>
      <c r="P1242">
        <v>14.853899999999999</v>
      </c>
      <c r="Q1242" t="s">
        <v>352</v>
      </c>
      <c r="R1242">
        <v>1</v>
      </c>
      <c r="S1242">
        <v>14.779299999999999</v>
      </c>
      <c r="T1242">
        <v>8.1900000000000001E-2</v>
      </c>
      <c r="U1242">
        <v>0.91086691086691352</v>
      </c>
      <c r="V1242">
        <v>14.5336</v>
      </c>
      <c r="W1242">
        <v>14.615499999999999</v>
      </c>
      <c r="X1242">
        <v>14.6974</v>
      </c>
      <c r="Y1242">
        <v>14.861199999999998</v>
      </c>
      <c r="Z1242">
        <v>14.943099999999999</v>
      </c>
      <c r="AA1242">
        <v>15.024999999999999</v>
      </c>
      <c r="AD1242">
        <v>3.6654153790683175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 t="s">
        <v>462</v>
      </c>
      <c r="AL1242" t="s">
        <v>6</v>
      </c>
      <c r="AM1242" t="s">
        <v>1145</v>
      </c>
      <c r="AN1242" t="s">
        <v>1146</v>
      </c>
      <c r="AO1242" s="100">
        <v>46262.040405092594</v>
      </c>
      <c r="AP1242" t="s">
        <v>1147</v>
      </c>
      <c r="AQ1242" t="s">
        <v>3710</v>
      </c>
      <c r="AR1242" t="s">
        <v>1219</v>
      </c>
      <c r="AS1242" t="s">
        <v>1150</v>
      </c>
      <c r="AT1242" t="s">
        <v>3630</v>
      </c>
      <c r="AU1242">
        <v>25</v>
      </c>
      <c r="AV1242">
        <v>14.800632000000002</v>
      </c>
      <c r="AW1242">
        <v>7.9774811814256455E-2</v>
      </c>
      <c r="AX1242">
        <v>0.53899598215979183</v>
      </c>
      <c r="BB1242" t="s">
        <v>4619</v>
      </c>
      <c r="BD1242" s="98"/>
      <c r="BE1242" s="98"/>
      <c r="BF1242" t="s">
        <v>1152</v>
      </c>
      <c r="BG1242" t="s">
        <v>322</v>
      </c>
      <c r="BH1242" t="s">
        <v>1153</v>
      </c>
      <c r="BN1242" t="s">
        <v>1154</v>
      </c>
      <c r="BO1242">
        <v>2025</v>
      </c>
      <c r="BP1242" t="s">
        <v>966</v>
      </c>
      <c r="BZ1242" t="s">
        <v>1513</v>
      </c>
      <c r="CA1242" t="s">
        <v>1513</v>
      </c>
      <c r="CB1242" t="b">
        <v>0</v>
      </c>
      <c r="CC1242" t="b">
        <v>0</v>
      </c>
      <c r="CD1242" t="b">
        <v>0</v>
      </c>
      <c r="CE1242" t="b">
        <v>0</v>
      </c>
      <c r="CF1242" t="b">
        <v>0</v>
      </c>
    </row>
    <row r="1243" spans="1:84" x14ac:dyDescent="0.3">
      <c r="A1243" t="s">
        <v>3711</v>
      </c>
      <c r="B1243" t="s">
        <v>1221</v>
      </c>
      <c r="C1243" s="98">
        <v>45775</v>
      </c>
      <c r="D1243">
        <v>2025</v>
      </c>
      <c r="E1243">
        <v>4</v>
      </c>
      <c r="F1243">
        <v>2</v>
      </c>
      <c r="G1243" t="s">
        <v>1208</v>
      </c>
      <c r="H1243" t="s">
        <v>147</v>
      </c>
      <c r="I1243" t="s">
        <v>147</v>
      </c>
      <c r="J1243" t="s">
        <v>6</v>
      </c>
      <c r="L1243">
        <v>522611</v>
      </c>
      <c r="M1243" s="99" t="s">
        <v>179</v>
      </c>
      <c r="N1243">
        <v>2</v>
      </c>
      <c r="O1243">
        <v>17</v>
      </c>
      <c r="P1243">
        <v>14.7498</v>
      </c>
      <c r="Q1243" t="s">
        <v>352</v>
      </c>
      <c r="R1243">
        <v>1</v>
      </c>
      <c r="S1243">
        <v>14.779299999999999</v>
      </c>
      <c r="T1243">
        <v>8.1900000000000001E-2</v>
      </c>
      <c r="U1243">
        <v>-0.36019536019534493</v>
      </c>
      <c r="V1243">
        <v>14.5336</v>
      </c>
      <c r="W1243">
        <v>14.615499999999999</v>
      </c>
      <c r="X1243">
        <v>14.6974</v>
      </c>
      <c r="Y1243">
        <v>14.861199999999998</v>
      </c>
      <c r="Z1243">
        <v>14.943099999999999</v>
      </c>
      <c r="AA1243">
        <v>15.024999999999999</v>
      </c>
      <c r="AD1243">
        <v>3.6654153790683175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 t="s">
        <v>462</v>
      </c>
      <c r="AL1243" t="s">
        <v>6</v>
      </c>
      <c r="AM1243" t="s">
        <v>1145</v>
      </c>
      <c r="AN1243" t="s">
        <v>1146</v>
      </c>
      <c r="AO1243" s="100">
        <v>46262.040405092594</v>
      </c>
      <c r="AP1243" t="s">
        <v>1147</v>
      </c>
      <c r="AQ1243" t="s">
        <v>3712</v>
      </c>
      <c r="AR1243" t="s">
        <v>1223</v>
      </c>
      <c r="AS1243" t="s">
        <v>1150</v>
      </c>
      <c r="AT1243" t="s">
        <v>3630</v>
      </c>
      <c r="AU1243">
        <v>25</v>
      </c>
      <c r="AV1243">
        <v>14.800632000000002</v>
      </c>
      <c r="AW1243">
        <v>7.9774811814256455E-2</v>
      </c>
      <c r="AX1243">
        <v>0.53899598215979183</v>
      </c>
      <c r="BB1243" t="s">
        <v>4619</v>
      </c>
      <c r="BD1243" s="98"/>
      <c r="BE1243" s="98"/>
      <c r="BF1243" t="s">
        <v>1152</v>
      </c>
      <c r="BG1243" t="s">
        <v>322</v>
      </c>
      <c r="BH1243" t="s">
        <v>1153</v>
      </c>
      <c r="BN1243" t="s">
        <v>1154</v>
      </c>
      <c r="BO1243">
        <v>2025</v>
      </c>
      <c r="BP1243" t="s">
        <v>966</v>
      </c>
      <c r="BZ1243" t="s">
        <v>1513</v>
      </c>
      <c r="CA1243" t="s">
        <v>1513</v>
      </c>
      <c r="CB1243" t="b">
        <v>0</v>
      </c>
      <c r="CC1243" t="b">
        <v>0</v>
      </c>
      <c r="CD1243" t="b">
        <v>0</v>
      </c>
      <c r="CE1243" t="b">
        <v>0</v>
      </c>
      <c r="CF1243" t="b">
        <v>0</v>
      </c>
    </row>
    <row r="1244" spans="1:84" x14ac:dyDescent="0.3">
      <c r="A1244" t="s">
        <v>3713</v>
      </c>
      <c r="B1244" t="s">
        <v>1225</v>
      </c>
      <c r="C1244" s="98">
        <v>45782</v>
      </c>
      <c r="D1244">
        <v>2025</v>
      </c>
      <c r="E1244">
        <v>5</v>
      </c>
      <c r="F1244">
        <v>2</v>
      </c>
      <c r="G1244" t="s">
        <v>1226</v>
      </c>
      <c r="H1244" t="s">
        <v>147</v>
      </c>
      <c r="I1244" t="s">
        <v>147</v>
      </c>
      <c r="J1244" t="s">
        <v>6</v>
      </c>
      <c r="L1244">
        <v>522611</v>
      </c>
      <c r="M1244" s="99" t="s">
        <v>179</v>
      </c>
      <c r="N1244">
        <v>2</v>
      </c>
      <c r="O1244">
        <v>18</v>
      </c>
      <c r="P1244">
        <v>14.7035</v>
      </c>
      <c r="Q1244" t="s">
        <v>352</v>
      </c>
      <c r="R1244">
        <v>1</v>
      </c>
      <c r="S1244">
        <v>14.779299999999999</v>
      </c>
      <c r="T1244">
        <v>8.1900000000000001E-2</v>
      </c>
      <c r="U1244">
        <v>-0.92551892551891579</v>
      </c>
      <c r="V1244">
        <v>14.5336</v>
      </c>
      <c r="W1244">
        <v>14.615499999999999</v>
      </c>
      <c r="X1244">
        <v>14.6974</v>
      </c>
      <c r="Y1244">
        <v>14.861199999999998</v>
      </c>
      <c r="Z1244">
        <v>14.943099999999999</v>
      </c>
      <c r="AA1244">
        <v>15.024999999999999</v>
      </c>
      <c r="AD1244">
        <v>3.6654153790683175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 t="s">
        <v>462</v>
      </c>
      <c r="AL1244" t="s">
        <v>6</v>
      </c>
      <c r="AM1244" t="s">
        <v>1145</v>
      </c>
      <c r="AN1244" t="s">
        <v>1146</v>
      </c>
      <c r="AO1244" s="100">
        <v>46262.040405092594</v>
      </c>
      <c r="AP1244" t="s">
        <v>1147</v>
      </c>
      <c r="AQ1244" t="s">
        <v>3714</v>
      </c>
      <c r="AR1244" t="s">
        <v>1228</v>
      </c>
      <c r="AS1244" t="s">
        <v>1150</v>
      </c>
      <c r="AT1244" t="s">
        <v>3630</v>
      </c>
      <c r="AU1244">
        <v>25</v>
      </c>
      <c r="AV1244">
        <v>14.800632000000002</v>
      </c>
      <c r="AW1244">
        <v>7.9774811814256455E-2</v>
      </c>
      <c r="AX1244">
        <v>0.53899598215979183</v>
      </c>
      <c r="BB1244" t="s">
        <v>4619</v>
      </c>
      <c r="BD1244" s="98"/>
      <c r="BE1244" s="98"/>
      <c r="BF1244" t="s">
        <v>1152</v>
      </c>
      <c r="BG1244" t="s">
        <v>322</v>
      </c>
      <c r="BH1244" t="s">
        <v>1153</v>
      </c>
      <c r="BN1244" t="s">
        <v>1154</v>
      </c>
      <c r="BO1244">
        <v>2025</v>
      </c>
      <c r="BP1244" t="s">
        <v>966</v>
      </c>
      <c r="BZ1244" t="s">
        <v>1513</v>
      </c>
      <c r="CA1244" t="s">
        <v>1513</v>
      </c>
      <c r="CB1244" t="b">
        <v>0</v>
      </c>
      <c r="CC1244" t="b">
        <v>0</v>
      </c>
      <c r="CD1244" t="b">
        <v>0</v>
      </c>
      <c r="CE1244" t="b">
        <v>0</v>
      </c>
      <c r="CF1244" t="b">
        <v>0</v>
      </c>
    </row>
    <row r="1245" spans="1:84" x14ac:dyDescent="0.3">
      <c r="A1245" t="s">
        <v>3715</v>
      </c>
      <c r="B1245" t="s">
        <v>1230</v>
      </c>
      <c r="C1245" s="98">
        <v>45789</v>
      </c>
      <c r="D1245">
        <v>2025</v>
      </c>
      <c r="E1245">
        <v>5</v>
      </c>
      <c r="F1245">
        <v>2</v>
      </c>
      <c r="G1245" t="s">
        <v>1226</v>
      </c>
      <c r="H1245" t="s">
        <v>147</v>
      </c>
      <c r="I1245" t="s">
        <v>147</v>
      </c>
      <c r="J1245" t="s">
        <v>6</v>
      </c>
      <c r="L1245">
        <v>522611</v>
      </c>
      <c r="M1245" s="99" t="s">
        <v>179</v>
      </c>
      <c r="N1245">
        <v>2</v>
      </c>
      <c r="O1245">
        <v>19</v>
      </c>
      <c r="P1245">
        <v>14.897500000000001</v>
      </c>
      <c r="Q1245" t="s">
        <v>352</v>
      </c>
      <c r="R1245">
        <v>1</v>
      </c>
      <c r="S1245">
        <v>14.779299999999999</v>
      </c>
      <c r="T1245">
        <v>8.1900000000000001E-2</v>
      </c>
      <c r="U1245">
        <v>1.4432234432234632</v>
      </c>
      <c r="V1245">
        <v>14.5336</v>
      </c>
      <c r="W1245">
        <v>14.615499999999999</v>
      </c>
      <c r="X1245">
        <v>14.6974</v>
      </c>
      <c r="Y1245">
        <v>14.861199999999998</v>
      </c>
      <c r="Z1245">
        <v>14.943099999999999</v>
      </c>
      <c r="AA1245">
        <v>15.024999999999999</v>
      </c>
      <c r="AD1245">
        <v>3.6654153790683175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 t="s">
        <v>462</v>
      </c>
      <c r="AL1245" t="s">
        <v>6</v>
      </c>
      <c r="AM1245" t="s">
        <v>1145</v>
      </c>
      <c r="AN1245" t="s">
        <v>1146</v>
      </c>
      <c r="AO1245" s="100">
        <v>46262.040405092594</v>
      </c>
      <c r="AP1245" t="s">
        <v>1147</v>
      </c>
      <c r="AQ1245" t="s">
        <v>3716</v>
      </c>
      <c r="AR1245" t="s">
        <v>1232</v>
      </c>
      <c r="AS1245" t="s">
        <v>1150</v>
      </c>
      <c r="AT1245" t="s">
        <v>3630</v>
      </c>
      <c r="AU1245">
        <v>25</v>
      </c>
      <c r="AV1245">
        <v>14.800632000000002</v>
      </c>
      <c r="AW1245">
        <v>7.9774811814256455E-2</v>
      </c>
      <c r="AX1245">
        <v>0.53899598215979183</v>
      </c>
      <c r="BB1245" t="s">
        <v>4619</v>
      </c>
      <c r="BD1245" s="98"/>
      <c r="BE1245" s="98"/>
      <c r="BF1245" t="s">
        <v>1152</v>
      </c>
      <c r="BG1245" t="s">
        <v>322</v>
      </c>
      <c r="BH1245" t="s">
        <v>1153</v>
      </c>
      <c r="BN1245" t="s">
        <v>1154</v>
      </c>
      <c r="BO1245">
        <v>2025</v>
      </c>
      <c r="BP1245" t="s">
        <v>966</v>
      </c>
      <c r="BZ1245" t="s">
        <v>1513</v>
      </c>
      <c r="CA1245" t="s">
        <v>1513</v>
      </c>
      <c r="CB1245" t="b">
        <v>0</v>
      </c>
      <c r="CC1245" t="b">
        <v>0</v>
      </c>
      <c r="CD1245" t="b">
        <v>0</v>
      </c>
      <c r="CE1245" t="b">
        <v>0</v>
      </c>
      <c r="CF1245" t="b">
        <v>0</v>
      </c>
    </row>
    <row r="1246" spans="1:84" x14ac:dyDescent="0.3">
      <c r="A1246" t="s">
        <v>3717</v>
      </c>
      <c r="B1246" t="s">
        <v>1234</v>
      </c>
      <c r="C1246" s="98">
        <v>45796</v>
      </c>
      <c r="D1246">
        <v>2025</v>
      </c>
      <c r="E1246">
        <v>5</v>
      </c>
      <c r="F1246">
        <v>2</v>
      </c>
      <c r="G1246" t="s">
        <v>1226</v>
      </c>
      <c r="H1246" t="s">
        <v>147</v>
      </c>
      <c r="I1246" t="s">
        <v>147</v>
      </c>
      <c r="J1246" t="s">
        <v>6</v>
      </c>
      <c r="L1246">
        <v>522611</v>
      </c>
      <c r="M1246" s="99" t="s">
        <v>179</v>
      </c>
      <c r="N1246">
        <v>2</v>
      </c>
      <c r="O1246">
        <v>20</v>
      </c>
      <c r="P1246">
        <v>14.8338</v>
      </c>
      <c r="Q1246" t="s">
        <v>352</v>
      </c>
      <c r="R1246">
        <v>1</v>
      </c>
      <c r="S1246">
        <v>14.779299999999999</v>
      </c>
      <c r="T1246">
        <v>8.1900000000000001E-2</v>
      </c>
      <c r="U1246">
        <v>0.66544566544567618</v>
      </c>
      <c r="V1246">
        <v>14.5336</v>
      </c>
      <c r="W1246">
        <v>14.615499999999999</v>
      </c>
      <c r="X1246">
        <v>14.6974</v>
      </c>
      <c r="Y1246">
        <v>14.861199999999998</v>
      </c>
      <c r="Z1246">
        <v>14.943099999999999</v>
      </c>
      <c r="AA1246">
        <v>15.024999999999999</v>
      </c>
      <c r="AD1246">
        <v>3.6654153790683175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 t="s">
        <v>462</v>
      </c>
      <c r="AL1246" t="s">
        <v>6</v>
      </c>
      <c r="AM1246" t="s">
        <v>1145</v>
      </c>
      <c r="AN1246" t="s">
        <v>1146</v>
      </c>
      <c r="AO1246" s="100">
        <v>46262.040405092594</v>
      </c>
      <c r="AP1246" t="s">
        <v>1147</v>
      </c>
      <c r="AQ1246" t="s">
        <v>3718</v>
      </c>
      <c r="AR1246" t="s">
        <v>1236</v>
      </c>
      <c r="AS1246" t="s">
        <v>1150</v>
      </c>
      <c r="AT1246" t="s">
        <v>3630</v>
      </c>
      <c r="AU1246">
        <v>25</v>
      </c>
      <c r="AV1246">
        <v>14.800632000000002</v>
      </c>
      <c r="AW1246">
        <v>7.9774811814256455E-2</v>
      </c>
      <c r="AX1246">
        <v>0.53899598215979183</v>
      </c>
      <c r="BB1246" t="s">
        <v>4619</v>
      </c>
      <c r="BD1246" s="98"/>
      <c r="BE1246" s="98"/>
      <c r="BF1246" t="s">
        <v>1152</v>
      </c>
      <c r="BG1246" t="s">
        <v>322</v>
      </c>
      <c r="BH1246" t="s">
        <v>1153</v>
      </c>
      <c r="BN1246" t="s">
        <v>1154</v>
      </c>
      <c r="BO1246">
        <v>2025</v>
      </c>
      <c r="BP1246" t="s">
        <v>966</v>
      </c>
      <c r="BZ1246" t="s">
        <v>1513</v>
      </c>
      <c r="CA1246" t="s">
        <v>1513</v>
      </c>
      <c r="CB1246" t="b">
        <v>0</v>
      </c>
      <c r="CC1246" t="b">
        <v>0</v>
      </c>
      <c r="CD1246" t="b">
        <v>0</v>
      </c>
      <c r="CE1246" t="b">
        <v>0</v>
      </c>
      <c r="CF1246" t="b">
        <v>0</v>
      </c>
    </row>
    <row r="1247" spans="1:84" x14ac:dyDescent="0.3">
      <c r="A1247" t="s">
        <v>3719</v>
      </c>
      <c r="B1247" t="s">
        <v>1238</v>
      </c>
      <c r="C1247" s="98">
        <v>45803</v>
      </c>
      <c r="D1247">
        <v>2025</v>
      </c>
      <c r="E1247">
        <v>5</v>
      </c>
      <c r="F1247">
        <v>2</v>
      </c>
      <c r="G1247" t="s">
        <v>1226</v>
      </c>
      <c r="H1247" t="s">
        <v>147</v>
      </c>
      <c r="I1247" t="s">
        <v>147</v>
      </c>
      <c r="J1247" t="s">
        <v>6</v>
      </c>
      <c r="L1247">
        <v>522611</v>
      </c>
      <c r="M1247" s="99" t="s">
        <v>179</v>
      </c>
      <c r="N1247">
        <v>2</v>
      </c>
      <c r="O1247">
        <v>21</v>
      </c>
      <c r="P1247">
        <v>14.7973</v>
      </c>
      <c r="Q1247" t="s">
        <v>352</v>
      </c>
      <c r="R1247">
        <v>1</v>
      </c>
      <c r="S1247">
        <v>14.779299999999999</v>
      </c>
      <c r="T1247">
        <v>8.1900000000000001E-2</v>
      </c>
      <c r="U1247">
        <v>0.2197802197802281</v>
      </c>
      <c r="V1247">
        <v>14.5336</v>
      </c>
      <c r="W1247">
        <v>14.615499999999999</v>
      </c>
      <c r="X1247">
        <v>14.6974</v>
      </c>
      <c r="Y1247">
        <v>14.861199999999998</v>
      </c>
      <c r="Z1247">
        <v>14.943099999999999</v>
      </c>
      <c r="AA1247">
        <v>15.024999999999999</v>
      </c>
      <c r="AD1247">
        <v>3.6654153790683175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 t="s">
        <v>462</v>
      </c>
      <c r="AL1247" t="s">
        <v>6</v>
      </c>
      <c r="AM1247" t="s">
        <v>1145</v>
      </c>
      <c r="AN1247" t="s">
        <v>1146</v>
      </c>
      <c r="AO1247" s="100">
        <v>46262.040405092594</v>
      </c>
      <c r="AP1247" t="s">
        <v>1147</v>
      </c>
      <c r="AQ1247" t="s">
        <v>3720</v>
      </c>
      <c r="AR1247" t="s">
        <v>1240</v>
      </c>
      <c r="AS1247" t="s">
        <v>1150</v>
      </c>
      <c r="AT1247" t="s">
        <v>3630</v>
      </c>
      <c r="AU1247">
        <v>25</v>
      </c>
      <c r="AV1247">
        <v>14.800632000000002</v>
      </c>
      <c r="AW1247">
        <v>7.9774811814256455E-2</v>
      </c>
      <c r="AX1247">
        <v>0.53899598215979183</v>
      </c>
      <c r="BB1247" t="s">
        <v>4619</v>
      </c>
      <c r="BD1247" s="98"/>
      <c r="BE1247" s="98"/>
      <c r="BF1247" t="s">
        <v>1152</v>
      </c>
      <c r="BG1247" t="s">
        <v>322</v>
      </c>
      <c r="BH1247" t="s">
        <v>1153</v>
      </c>
      <c r="BN1247" t="s">
        <v>1154</v>
      </c>
      <c r="BO1247">
        <v>2025</v>
      </c>
      <c r="BP1247" t="s">
        <v>966</v>
      </c>
      <c r="BZ1247" t="s">
        <v>1513</v>
      </c>
      <c r="CA1247" t="s">
        <v>1513</v>
      </c>
      <c r="CB1247" t="b">
        <v>0</v>
      </c>
      <c r="CC1247" t="b">
        <v>0</v>
      </c>
      <c r="CD1247" t="b">
        <v>0</v>
      </c>
      <c r="CE1247" t="b">
        <v>0</v>
      </c>
      <c r="CF1247" t="b">
        <v>0</v>
      </c>
    </row>
    <row r="1248" spans="1:84" x14ac:dyDescent="0.3">
      <c r="A1248" t="s">
        <v>3721</v>
      </c>
      <c r="B1248" t="s">
        <v>1242</v>
      </c>
      <c r="C1248" s="98">
        <v>45810</v>
      </c>
      <c r="D1248">
        <v>2025</v>
      </c>
      <c r="E1248">
        <v>6</v>
      </c>
      <c r="F1248">
        <v>2</v>
      </c>
      <c r="G1248" t="s">
        <v>1243</v>
      </c>
      <c r="H1248" t="s">
        <v>147</v>
      </c>
      <c r="I1248" t="s">
        <v>147</v>
      </c>
      <c r="J1248" t="s">
        <v>6</v>
      </c>
      <c r="L1248">
        <v>522611</v>
      </c>
      <c r="M1248" s="99" t="s">
        <v>179</v>
      </c>
      <c r="N1248">
        <v>2</v>
      </c>
      <c r="O1248">
        <v>22</v>
      </c>
      <c r="P1248">
        <v>14.8552</v>
      </c>
      <c r="Q1248" t="s">
        <v>352</v>
      </c>
      <c r="R1248">
        <v>1</v>
      </c>
      <c r="S1248">
        <v>14.779299999999999</v>
      </c>
      <c r="T1248">
        <v>8.1900000000000001E-2</v>
      </c>
      <c r="U1248">
        <v>0.92673992673993577</v>
      </c>
      <c r="V1248">
        <v>14.5336</v>
      </c>
      <c r="W1248">
        <v>14.615499999999999</v>
      </c>
      <c r="X1248">
        <v>14.6974</v>
      </c>
      <c r="Y1248">
        <v>14.861199999999998</v>
      </c>
      <c r="Z1248">
        <v>14.943099999999999</v>
      </c>
      <c r="AA1248">
        <v>15.024999999999999</v>
      </c>
      <c r="AD1248">
        <v>3.6654153790683175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 t="s">
        <v>462</v>
      </c>
      <c r="AL1248" t="s">
        <v>6</v>
      </c>
      <c r="AM1248" t="s">
        <v>1145</v>
      </c>
      <c r="AN1248" t="s">
        <v>1146</v>
      </c>
      <c r="AO1248" s="100">
        <v>46262.040405092594</v>
      </c>
      <c r="AP1248" t="s">
        <v>1147</v>
      </c>
      <c r="AQ1248" t="s">
        <v>3722</v>
      </c>
      <c r="AR1248" t="s">
        <v>1245</v>
      </c>
      <c r="AS1248" t="s">
        <v>1150</v>
      </c>
      <c r="AT1248" t="s">
        <v>3630</v>
      </c>
      <c r="AU1248">
        <v>25</v>
      </c>
      <c r="AV1248">
        <v>14.800632000000002</v>
      </c>
      <c r="AW1248">
        <v>7.9774811814256455E-2</v>
      </c>
      <c r="AX1248">
        <v>0.53899598215979183</v>
      </c>
      <c r="BB1248" t="s">
        <v>4619</v>
      </c>
      <c r="BD1248" s="98"/>
      <c r="BE1248" s="98"/>
      <c r="BF1248" t="s">
        <v>1152</v>
      </c>
      <c r="BG1248" t="s">
        <v>322</v>
      </c>
      <c r="BH1248" t="s">
        <v>1153</v>
      </c>
      <c r="BN1248" t="s">
        <v>1154</v>
      </c>
      <c r="BO1248">
        <v>2025</v>
      </c>
      <c r="BP1248" t="s">
        <v>966</v>
      </c>
      <c r="BZ1248" t="s">
        <v>1513</v>
      </c>
      <c r="CA1248" t="s">
        <v>1513</v>
      </c>
      <c r="CB1248" t="b">
        <v>0</v>
      </c>
      <c r="CC1248" t="b">
        <v>0</v>
      </c>
      <c r="CD1248" t="b">
        <v>0</v>
      </c>
      <c r="CE1248" t="b">
        <v>0</v>
      </c>
      <c r="CF1248" t="b">
        <v>0</v>
      </c>
    </row>
    <row r="1249" spans="1:84" x14ac:dyDescent="0.3">
      <c r="A1249" t="s">
        <v>3723</v>
      </c>
      <c r="B1249" t="s">
        <v>1247</v>
      </c>
      <c r="C1249" s="98">
        <v>45817</v>
      </c>
      <c r="D1249">
        <v>2025</v>
      </c>
      <c r="E1249">
        <v>6</v>
      </c>
      <c r="F1249">
        <v>2</v>
      </c>
      <c r="G1249" t="s">
        <v>1243</v>
      </c>
      <c r="H1249" t="s">
        <v>147</v>
      </c>
      <c r="I1249" t="s">
        <v>147</v>
      </c>
      <c r="J1249" t="s">
        <v>6</v>
      </c>
      <c r="L1249">
        <v>522611</v>
      </c>
      <c r="M1249" s="99" t="s">
        <v>179</v>
      </c>
      <c r="N1249">
        <v>2</v>
      </c>
      <c r="O1249">
        <v>23</v>
      </c>
      <c r="P1249">
        <v>14.866300000000001</v>
      </c>
      <c r="Q1249" t="s">
        <v>352</v>
      </c>
      <c r="R1249">
        <v>1</v>
      </c>
      <c r="S1249">
        <v>14.779299999999999</v>
      </c>
      <c r="T1249">
        <v>8.1900000000000001E-2</v>
      </c>
      <c r="U1249">
        <v>1.0622710622710809</v>
      </c>
      <c r="V1249">
        <v>14.5336</v>
      </c>
      <c r="W1249">
        <v>14.615499999999999</v>
      </c>
      <c r="X1249">
        <v>14.6974</v>
      </c>
      <c r="Y1249">
        <v>14.861199999999998</v>
      </c>
      <c r="Z1249">
        <v>14.943099999999999</v>
      </c>
      <c r="AA1249">
        <v>15.024999999999999</v>
      </c>
      <c r="AD1249">
        <v>3.6654153790683175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 t="s">
        <v>462</v>
      </c>
      <c r="AL1249" t="s">
        <v>6</v>
      </c>
      <c r="AM1249" t="s">
        <v>1145</v>
      </c>
      <c r="AN1249" t="s">
        <v>1146</v>
      </c>
      <c r="AO1249" s="100">
        <v>46262.040405092594</v>
      </c>
      <c r="AP1249" t="s">
        <v>1147</v>
      </c>
      <c r="AQ1249" t="s">
        <v>3724</v>
      </c>
      <c r="AR1249" t="s">
        <v>1249</v>
      </c>
      <c r="AS1249" t="s">
        <v>1150</v>
      </c>
      <c r="AT1249" t="s">
        <v>3630</v>
      </c>
      <c r="AU1249">
        <v>25</v>
      </c>
      <c r="AV1249">
        <v>14.800632000000002</v>
      </c>
      <c r="AW1249">
        <v>7.9774811814256455E-2</v>
      </c>
      <c r="AX1249">
        <v>0.53899598215979183</v>
      </c>
      <c r="BB1249" t="s">
        <v>4619</v>
      </c>
      <c r="BD1249" s="98"/>
      <c r="BE1249" s="98"/>
      <c r="BF1249" t="s">
        <v>1152</v>
      </c>
      <c r="BG1249" t="s">
        <v>322</v>
      </c>
      <c r="BH1249" t="s">
        <v>1153</v>
      </c>
      <c r="BN1249" t="s">
        <v>1154</v>
      </c>
      <c r="BO1249">
        <v>2025</v>
      </c>
      <c r="BP1249" t="s">
        <v>966</v>
      </c>
      <c r="BZ1249" t="s">
        <v>1513</v>
      </c>
      <c r="CA1249" t="s">
        <v>1513</v>
      </c>
      <c r="CB1249" t="b">
        <v>0</v>
      </c>
      <c r="CC1249" t="b">
        <v>0</v>
      </c>
      <c r="CD1249" t="b">
        <v>0</v>
      </c>
      <c r="CE1249" t="b">
        <v>0</v>
      </c>
      <c r="CF1249" t="b">
        <v>0</v>
      </c>
    </row>
    <row r="1250" spans="1:84" x14ac:dyDescent="0.3">
      <c r="A1250" t="s">
        <v>3725</v>
      </c>
      <c r="B1250" t="s">
        <v>1251</v>
      </c>
      <c r="C1250" s="98">
        <v>45824</v>
      </c>
      <c r="D1250">
        <v>2025</v>
      </c>
      <c r="E1250">
        <v>6</v>
      </c>
      <c r="F1250">
        <v>2</v>
      </c>
      <c r="G1250" t="s">
        <v>1243</v>
      </c>
      <c r="H1250" t="s">
        <v>147</v>
      </c>
      <c r="I1250" t="s">
        <v>147</v>
      </c>
      <c r="J1250" t="s">
        <v>6</v>
      </c>
      <c r="L1250">
        <v>522611</v>
      </c>
      <c r="M1250" s="99" t="s">
        <v>179</v>
      </c>
      <c r="N1250">
        <v>2</v>
      </c>
      <c r="O1250">
        <v>24</v>
      </c>
      <c r="P1250">
        <v>14.8072</v>
      </c>
      <c r="Q1250" t="s">
        <v>352</v>
      </c>
      <c r="R1250">
        <v>1</v>
      </c>
      <c r="S1250">
        <v>14.779299999999999</v>
      </c>
      <c r="T1250">
        <v>8.1900000000000001E-2</v>
      </c>
      <c r="U1250">
        <v>0.34065934065934922</v>
      </c>
      <c r="V1250">
        <v>14.5336</v>
      </c>
      <c r="W1250">
        <v>14.615499999999999</v>
      </c>
      <c r="X1250">
        <v>14.6974</v>
      </c>
      <c r="Y1250">
        <v>14.861199999999998</v>
      </c>
      <c r="Z1250">
        <v>14.943099999999999</v>
      </c>
      <c r="AA1250">
        <v>15.024999999999999</v>
      </c>
      <c r="AD1250">
        <v>3.6654153790683175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 t="s">
        <v>462</v>
      </c>
      <c r="AL1250" t="s">
        <v>6</v>
      </c>
      <c r="AM1250" t="s">
        <v>1145</v>
      </c>
      <c r="AN1250" t="s">
        <v>1146</v>
      </c>
      <c r="AO1250" s="100">
        <v>46262.040405092594</v>
      </c>
      <c r="AP1250" t="s">
        <v>1147</v>
      </c>
      <c r="AQ1250" t="s">
        <v>3726</v>
      </c>
      <c r="AR1250" t="s">
        <v>1253</v>
      </c>
      <c r="AS1250" t="s">
        <v>1150</v>
      </c>
      <c r="AT1250" t="s">
        <v>3630</v>
      </c>
      <c r="AU1250">
        <v>25</v>
      </c>
      <c r="AV1250">
        <v>14.800632000000002</v>
      </c>
      <c r="AW1250">
        <v>7.9774811814256455E-2</v>
      </c>
      <c r="AX1250">
        <v>0.53899598215979183</v>
      </c>
      <c r="BB1250" t="s">
        <v>4619</v>
      </c>
      <c r="BD1250" s="98"/>
      <c r="BE1250" s="98"/>
      <c r="BF1250" t="s">
        <v>1152</v>
      </c>
      <c r="BG1250" t="s">
        <v>322</v>
      </c>
      <c r="BH1250" t="s">
        <v>1153</v>
      </c>
      <c r="BN1250" t="s">
        <v>1154</v>
      </c>
      <c r="BO1250">
        <v>2025</v>
      </c>
      <c r="BP1250" t="s">
        <v>966</v>
      </c>
      <c r="BZ1250" t="s">
        <v>1513</v>
      </c>
      <c r="CA1250" t="s">
        <v>1513</v>
      </c>
      <c r="CB1250" t="b">
        <v>0</v>
      </c>
      <c r="CC1250" t="b">
        <v>0</v>
      </c>
      <c r="CD1250" t="b">
        <v>0</v>
      </c>
      <c r="CE1250" t="b">
        <v>0</v>
      </c>
      <c r="CF1250" t="b">
        <v>0</v>
      </c>
    </row>
    <row r="1251" spans="1:84" x14ac:dyDescent="0.3">
      <c r="A1251" t="s">
        <v>3727</v>
      </c>
      <c r="B1251" t="s">
        <v>1255</v>
      </c>
      <c r="C1251" s="98">
        <v>45831</v>
      </c>
      <c r="D1251">
        <v>2025</v>
      </c>
      <c r="E1251">
        <v>6</v>
      </c>
      <c r="F1251">
        <v>2</v>
      </c>
      <c r="G1251" t="s">
        <v>1243</v>
      </c>
      <c r="H1251" t="s">
        <v>147</v>
      </c>
      <c r="I1251" t="s">
        <v>147</v>
      </c>
      <c r="J1251" t="s">
        <v>6</v>
      </c>
      <c r="L1251">
        <v>522611</v>
      </c>
      <c r="M1251" s="99" t="s">
        <v>179</v>
      </c>
      <c r="N1251">
        <v>2</v>
      </c>
      <c r="O1251">
        <v>25</v>
      </c>
      <c r="P1251">
        <v>14.578099999999999</v>
      </c>
      <c r="Q1251" t="s">
        <v>352</v>
      </c>
      <c r="R1251">
        <v>1</v>
      </c>
      <c r="S1251">
        <v>14.779299999999999</v>
      </c>
      <c r="T1251">
        <v>8.1900000000000001E-2</v>
      </c>
      <c r="U1251">
        <v>-2.4566544566544573</v>
      </c>
      <c r="V1251">
        <v>14.5336</v>
      </c>
      <c r="W1251">
        <v>14.615499999999999</v>
      </c>
      <c r="X1251">
        <v>14.6974</v>
      </c>
      <c r="Y1251">
        <v>14.861199999999998</v>
      </c>
      <c r="Z1251">
        <v>14.943099999999999</v>
      </c>
      <c r="AA1251">
        <v>15.024999999999999</v>
      </c>
      <c r="AD1251">
        <v>3.6654153790683175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1</v>
      </c>
      <c r="AK1251" t="s">
        <v>462</v>
      </c>
      <c r="AL1251" t="s">
        <v>6</v>
      </c>
      <c r="AM1251" t="s">
        <v>1145</v>
      </c>
      <c r="AN1251" t="s">
        <v>1146</v>
      </c>
      <c r="AO1251" s="100">
        <v>46262.040405092594</v>
      </c>
      <c r="AP1251" t="s">
        <v>1147</v>
      </c>
      <c r="AQ1251" t="s">
        <v>3728</v>
      </c>
      <c r="AR1251" t="s">
        <v>1257</v>
      </c>
      <c r="AS1251" t="s">
        <v>1150</v>
      </c>
      <c r="AT1251" t="s">
        <v>3630</v>
      </c>
      <c r="AU1251">
        <v>25</v>
      </c>
      <c r="AV1251">
        <v>14.800632000000002</v>
      </c>
      <c r="AW1251">
        <v>7.9774811814256455E-2</v>
      </c>
      <c r="AX1251">
        <v>0.53899598215979183</v>
      </c>
      <c r="BB1251" t="s">
        <v>4619</v>
      </c>
      <c r="BD1251" s="98"/>
      <c r="BE1251" s="98"/>
      <c r="BF1251" t="s">
        <v>1152</v>
      </c>
      <c r="BG1251" t="s">
        <v>322</v>
      </c>
      <c r="BH1251" t="s">
        <v>1153</v>
      </c>
      <c r="BN1251" t="s">
        <v>1154</v>
      </c>
      <c r="BO1251">
        <v>2025</v>
      </c>
      <c r="BP1251" t="s">
        <v>966</v>
      </c>
      <c r="BZ1251" t="s">
        <v>1513</v>
      </c>
      <c r="CA1251" t="s">
        <v>1513</v>
      </c>
      <c r="CB1251" t="b">
        <v>0</v>
      </c>
      <c r="CC1251" t="b">
        <v>0</v>
      </c>
      <c r="CD1251" t="b">
        <v>0</v>
      </c>
      <c r="CE1251" t="b">
        <v>0</v>
      </c>
      <c r="CF1251" t="b">
        <v>0</v>
      </c>
    </row>
    <row r="1252" spans="1:84" x14ac:dyDescent="0.3">
      <c r="A1252" t="s">
        <v>3729</v>
      </c>
      <c r="B1252" t="s">
        <v>1143</v>
      </c>
      <c r="C1252" s="98">
        <v>45663</v>
      </c>
      <c r="D1252">
        <v>2025</v>
      </c>
      <c r="E1252">
        <v>1</v>
      </c>
      <c r="F1252">
        <v>1</v>
      </c>
      <c r="G1252" t="s">
        <v>1144</v>
      </c>
      <c r="H1252" t="s">
        <v>147</v>
      </c>
      <c r="I1252" t="s">
        <v>147</v>
      </c>
      <c r="J1252" t="s">
        <v>6</v>
      </c>
      <c r="L1252">
        <v>522611</v>
      </c>
      <c r="M1252" s="99" t="s">
        <v>180</v>
      </c>
      <c r="N1252">
        <v>3</v>
      </c>
      <c r="O1252">
        <v>1</v>
      </c>
      <c r="P1252">
        <v>46.912500000000001</v>
      </c>
      <c r="Q1252" t="s">
        <v>352</v>
      </c>
      <c r="R1252">
        <v>1</v>
      </c>
      <c r="S1252">
        <v>47.289700000000003</v>
      </c>
      <c r="T1252">
        <v>0.55830000000000002</v>
      </c>
      <c r="U1252">
        <v>-0.67562242521941962</v>
      </c>
      <c r="V1252">
        <v>45.614800000000002</v>
      </c>
      <c r="W1252">
        <v>46.173100000000005</v>
      </c>
      <c r="X1252">
        <v>46.731400000000001</v>
      </c>
      <c r="Y1252">
        <v>47.848000000000006</v>
      </c>
      <c r="Z1252">
        <v>48.406300000000002</v>
      </c>
      <c r="AA1252">
        <v>48.964600000000004</v>
      </c>
      <c r="AD1252">
        <v>3.6654153790683175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 t="s">
        <v>462</v>
      </c>
      <c r="AL1252" t="s">
        <v>6</v>
      </c>
      <c r="AM1252" t="s">
        <v>1145</v>
      </c>
      <c r="AN1252" t="s">
        <v>1146</v>
      </c>
      <c r="AO1252" s="100">
        <v>46262.040405092594</v>
      </c>
      <c r="AP1252" t="s">
        <v>1147</v>
      </c>
      <c r="AQ1252" t="s">
        <v>3730</v>
      </c>
      <c r="AR1252" t="s">
        <v>1149</v>
      </c>
      <c r="AS1252" t="s">
        <v>1150</v>
      </c>
      <c r="AT1252" t="s">
        <v>3630</v>
      </c>
      <c r="AU1252">
        <v>25</v>
      </c>
      <c r="AV1252">
        <v>47.319515999999993</v>
      </c>
      <c r="AW1252">
        <v>0.56263412229144638</v>
      </c>
      <c r="AX1252">
        <v>1.1890107292970757</v>
      </c>
      <c r="BB1252" t="s">
        <v>4619</v>
      </c>
      <c r="BD1252" s="98"/>
      <c r="BE1252" s="98"/>
      <c r="BF1252" t="s">
        <v>1152</v>
      </c>
      <c r="BG1252" t="s">
        <v>322</v>
      </c>
      <c r="BH1252" t="s">
        <v>1153</v>
      </c>
      <c r="BN1252" t="s">
        <v>1154</v>
      </c>
      <c r="BO1252">
        <v>2025</v>
      </c>
      <c r="BP1252" t="s">
        <v>966</v>
      </c>
      <c r="BZ1252" t="s">
        <v>1513</v>
      </c>
      <c r="CA1252" t="s">
        <v>1513</v>
      </c>
      <c r="CB1252" t="b">
        <v>0</v>
      </c>
      <c r="CC1252" t="b">
        <v>0</v>
      </c>
      <c r="CD1252" t="b">
        <v>0</v>
      </c>
      <c r="CE1252" t="b">
        <v>0</v>
      </c>
      <c r="CF1252" t="b">
        <v>0</v>
      </c>
    </row>
    <row r="1253" spans="1:84" x14ac:dyDescent="0.3">
      <c r="A1253" t="s">
        <v>3731</v>
      </c>
      <c r="B1253" t="s">
        <v>1157</v>
      </c>
      <c r="C1253" s="98">
        <v>45670</v>
      </c>
      <c r="D1253">
        <v>2025</v>
      </c>
      <c r="E1253">
        <v>1</v>
      </c>
      <c r="F1253">
        <v>1</v>
      </c>
      <c r="G1253" t="s">
        <v>1144</v>
      </c>
      <c r="H1253" t="s">
        <v>147</v>
      </c>
      <c r="I1253" t="s">
        <v>147</v>
      </c>
      <c r="J1253" t="s">
        <v>6</v>
      </c>
      <c r="L1253">
        <v>522611</v>
      </c>
      <c r="M1253" s="99" t="s">
        <v>180</v>
      </c>
      <c r="N1253">
        <v>3</v>
      </c>
      <c r="O1253">
        <v>2</v>
      </c>
      <c r="P1253">
        <v>47.034799999999997</v>
      </c>
      <c r="Q1253" t="s">
        <v>352</v>
      </c>
      <c r="R1253">
        <v>1</v>
      </c>
      <c r="S1253">
        <v>47.289700000000003</v>
      </c>
      <c r="T1253">
        <v>0.55830000000000002</v>
      </c>
      <c r="U1253">
        <v>-0.45656457101917669</v>
      </c>
      <c r="V1253">
        <v>45.614800000000002</v>
      </c>
      <c r="W1253">
        <v>46.173100000000005</v>
      </c>
      <c r="X1253">
        <v>46.731400000000001</v>
      </c>
      <c r="Y1253">
        <v>47.848000000000006</v>
      </c>
      <c r="Z1253">
        <v>48.406300000000002</v>
      </c>
      <c r="AA1253">
        <v>48.964600000000004</v>
      </c>
      <c r="AD1253">
        <v>3.6654153790683175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 t="s">
        <v>462</v>
      </c>
      <c r="AL1253" t="s">
        <v>6</v>
      </c>
      <c r="AM1253" t="s">
        <v>1145</v>
      </c>
      <c r="AN1253" t="s">
        <v>1146</v>
      </c>
      <c r="AO1253" s="100">
        <v>46262.040405092594</v>
      </c>
      <c r="AP1253" t="s">
        <v>1147</v>
      </c>
      <c r="AQ1253" t="s">
        <v>3732</v>
      </c>
      <c r="AR1253" t="s">
        <v>1159</v>
      </c>
      <c r="AS1253" t="s">
        <v>1150</v>
      </c>
      <c r="AT1253" t="s">
        <v>3630</v>
      </c>
      <c r="AU1253">
        <v>25</v>
      </c>
      <c r="AV1253">
        <v>47.319515999999993</v>
      </c>
      <c r="AW1253">
        <v>0.56263412229144638</v>
      </c>
      <c r="AX1253">
        <v>1.1890107292970757</v>
      </c>
      <c r="BB1253" t="s">
        <v>4619</v>
      </c>
      <c r="BD1253" s="98"/>
      <c r="BE1253" s="98"/>
      <c r="BF1253" t="s">
        <v>1152</v>
      </c>
      <c r="BG1253" t="s">
        <v>322</v>
      </c>
      <c r="BH1253" t="s">
        <v>1153</v>
      </c>
      <c r="BN1253" t="s">
        <v>1154</v>
      </c>
      <c r="BO1253">
        <v>2025</v>
      </c>
      <c r="BP1253" t="s">
        <v>966</v>
      </c>
      <c r="BZ1253" t="s">
        <v>1513</v>
      </c>
      <c r="CA1253" t="s">
        <v>1513</v>
      </c>
      <c r="CB1253" t="b">
        <v>0</v>
      </c>
      <c r="CC1253" t="b">
        <v>0</v>
      </c>
      <c r="CD1253" t="b">
        <v>0</v>
      </c>
      <c r="CE1253" t="b">
        <v>0</v>
      </c>
      <c r="CF1253" t="b">
        <v>0</v>
      </c>
    </row>
    <row r="1254" spans="1:84" x14ac:dyDescent="0.3">
      <c r="A1254" t="s">
        <v>3733</v>
      </c>
      <c r="B1254" t="s">
        <v>1161</v>
      </c>
      <c r="C1254" s="98">
        <v>45677</v>
      </c>
      <c r="D1254">
        <v>2025</v>
      </c>
      <c r="E1254">
        <v>1</v>
      </c>
      <c r="F1254">
        <v>1</v>
      </c>
      <c r="G1254" t="s">
        <v>1144</v>
      </c>
      <c r="H1254" t="s">
        <v>147</v>
      </c>
      <c r="I1254" t="s">
        <v>147</v>
      </c>
      <c r="J1254" t="s">
        <v>6</v>
      </c>
      <c r="L1254">
        <v>522611</v>
      </c>
      <c r="M1254" s="99" t="s">
        <v>180</v>
      </c>
      <c r="N1254">
        <v>3</v>
      </c>
      <c r="O1254">
        <v>3</v>
      </c>
      <c r="P1254">
        <v>46.740200000000002</v>
      </c>
      <c r="Q1254" t="s">
        <v>352</v>
      </c>
      <c r="R1254">
        <v>1</v>
      </c>
      <c r="S1254">
        <v>47.289700000000003</v>
      </c>
      <c r="T1254">
        <v>0.55830000000000002</v>
      </c>
      <c r="U1254">
        <v>-0.98423786494716436</v>
      </c>
      <c r="V1254">
        <v>45.614800000000002</v>
      </c>
      <c r="W1254">
        <v>46.173100000000005</v>
      </c>
      <c r="X1254">
        <v>46.731400000000001</v>
      </c>
      <c r="Y1254">
        <v>47.848000000000006</v>
      </c>
      <c r="Z1254">
        <v>48.406300000000002</v>
      </c>
      <c r="AA1254">
        <v>48.964600000000004</v>
      </c>
      <c r="AD1254">
        <v>3.6654153790683175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 t="s">
        <v>462</v>
      </c>
      <c r="AL1254" t="s">
        <v>6</v>
      </c>
      <c r="AM1254" t="s">
        <v>1145</v>
      </c>
      <c r="AN1254" t="s">
        <v>1146</v>
      </c>
      <c r="AO1254" s="100">
        <v>46262.040405092594</v>
      </c>
      <c r="AP1254" t="s">
        <v>1147</v>
      </c>
      <c r="AQ1254" t="s">
        <v>3734</v>
      </c>
      <c r="AR1254" t="s">
        <v>1163</v>
      </c>
      <c r="AS1254" t="s">
        <v>1150</v>
      </c>
      <c r="AT1254" t="s">
        <v>3630</v>
      </c>
      <c r="AU1254">
        <v>25</v>
      </c>
      <c r="AV1254">
        <v>47.319515999999993</v>
      </c>
      <c r="AW1254">
        <v>0.56263412229144638</v>
      </c>
      <c r="AX1254">
        <v>1.1890107292970757</v>
      </c>
      <c r="BB1254" t="s">
        <v>4619</v>
      </c>
      <c r="BD1254" s="98"/>
      <c r="BE1254" s="98"/>
      <c r="BF1254" t="s">
        <v>1152</v>
      </c>
      <c r="BG1254" t="s">
        <v>322</v>
      </c>
      <c r="BH1254" t="s">
        <v>1153</v>
      </c>
      <c r="BN1254" t="s">
        <v>1154</v>
      </c>
      <c r="BO1254">
        <v>2025</v>
      </c>
      <c r="BP1254" t="s">
        <v>966</v>
      </c>
      <c r="BZ1254" t="s">
        <v>1513</v>
      </c>
      <c r="CA1254" t="s">
        <v>1513</v>
      </c>
      <c r="CB1254" t="b">
        <v>0</v>
      </c>
      <c r="CC1254" t="b">
        <v>0</v>
      </c>
      <c r="CD1254" t="b">
        <v>0</v>
      </c>
      <c r="CE1254" t="b">
        <v>0</v>
      </c>
      <c r="CF1254" t="b">
        <v>0</v>
      </c>
    </row>
    <row r="1255" spans="1:84" x14ac:dyDescent="0.3">
      <c r="A1255" t="s">
        <v>3735</v>
      </c>
      <c r="B1255" t="s">
        <v>1165</v>
      </c>
      <c r="C1255" s="98">
        <v>45684</v>
      </c>
      <c r="D1255">
        <v>2025</v>
      </c>
      <c r="E1255">
        <v>1</v>
      </c>
      <c r="F1255">
        <v>1</v>
      </c>
      <c r="G1255" t="s">
        <v>1144</v>
      </c>
      <c r="H1255" t="s">
        <v>147</v>
      </c>
      <c r="I1255" t="s">
        <v>147</v>
      </c>
      <c r="J1255" t="s">
        <v>6</v>
      </c>
      <c r="L1255">
        <v>522611</v>
      </c>
      <c r="M1255" s="99" t="s">
        <v>180</v>
      </c>
      <c r="N1255">
        <v>3</v>
      </c>
      <c r="O1255">
        <v>4</v>
      </c>
      <c r="P1255">
        <v>47.400599999999997</v>
      </c>
      <c r="Q1255" t="s">
        <v>352</v>
      </c>
      <c r="R1255">
        <v>1</v>
      </c>
      <c r="S1255">
        <v>47.289700000000003</v>
      </c>
      <c r="T1255">
        <v>0.55830000000000002</v>
      </c>
      <c r="U1255">
        <v>0.19863872469997093</v>
      </c>
      <c r="V1255">
        <v>45.614800000000002</v>
      </c>
      <c r="W1255">
        <v>46.173100000000005</v>
      </c>
      <c r="X1255">
        <v>46.731400000000001</v>
      </c>
      <c r="Y1255">
        <v>47.848000000000006</v>
      </c>
      <c r="Z1255">
        <v>48.406300000000002</v>
      </c>
      <c r="AA1255">
        <v>48.964600000000004</v>
      </c>
      <c r="AD1255">
        <v>3.6654153790683175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 t="s">
        <v>462</v>
      </c>
      <c r="AL1255" t="s">
        <v>6</v>
      </c>
      <c r="AM1255" t="s">
        <v>1145</v>
      </c>
      <c r="AN1255" t="s">
        <v>1146</v>
      </c>
      <c r="AO1255" s="100">
        <v>46262.040405092594</v>
      </c>
      <c r="AP1255" t="s">
        <v>1147</v>
      </c>
      <c r="AQ1255" t="s">
        <v>3736</v>
      </c>
      <c r="AR1255" t="s">
        <v>1167</v>
      </c>
      <c r="AS1255" t="s">
        <v>1150</v>
      </c>
      <c r="AT1255" t="s">
        <v>3630</v>
      </c>
      <c r="AU1255">
        <v>25</v>
      </c>
      <c r="AV1255">
        <v>47.319515999999993</v>
      </c>
      <c r="AW1255">
        <v>0.56263412229144638</v>
      </c>
      <c r="AX1255">
        <v>1.1890107292970757</v>
      </c>
      <c r="BB1255" t="s">
        <v>4619</v>
      </c>
      <c r="BD1255" s="98"/>
      <c r="BE1255" s="98"/>
      <c r="BF1255" t="s">
        <v>1152</v>
      </c>
      <c r="BG1255" t="s">
        <v>322</v>
      </c>
      <c r="BH1255" t="s">
        <v>1153</v>
      </c>
      <c r="BN1255" t="s">
        <v>1154</v>
      </c>
      <c r="BO1255">
        <v>2025</v>
      </c>
      <c r="BP1255" t="s">
        <v>966</v>
      </c>
      <c r="BZ1255" t="s">
        <v>1513</v>
      </c>
      <c r="CA1255" t="s">
        <v>1513</v>
      </c>
      <c r="CB1255" t="b">
        <v>0</v>
      </c>
      <c r="CC1255" t="b">
        <v>0</v>
      </c>
      <c r="CD1255" t="b">
        <v>0</v>
      </c>
      <c r="CE1255" t="b">
        <v>0</v>
      </c>
      <c r="CF1255" t="b">
        <v>0</v>
      </c>
    </row>
    <row r="1256" spans="1:84" x14ac:dyDescent="0.3">
      <c r="A1256" t="s">
        <v>3737</v>
      </c>
      <c r="B1256" t="s">
        <v>1169</v>
      </c>
      <c r="C1256" s="98">
        <v>45691</v>
      </c>
      <c r="D1256">
        <v>2025</v>
      </c>
      <c r="E1256">
        <v>2</v>
      </c>
      <c r="F1256">
        <v>1</v>
      </c>
      <c r="G1256" t="s">
        <v>1170</v>
      </c>
      <c r="H1256" t="s">
        <v>147</v>
      </c>
      <c r="I1256" t="s">
        <v>147</v>
      </c>
      <c r="J1256" t="s">
        <v>6</v>
      </c>
      <c r="L1256">
        <v>522611</v>
      </c>
      <c r="M1256" s="99" t="s">
        <v>180</v>
      </c>
      <c r="N1256">
        <v>3</v>
      </c>
      <c r="O1256">
        <v>5</v>
      </c>
      <c r="P1256">
        <v>47.955199999999998</v>
      </c>
      <c r="Q1256" t="s">
        <v>352</v>
      </c>
      <c r="R1256">
        <v>1</v>
      </c>
      <c r="S1256">
        <v>47.289700000000003</v>
      </c>
      <c r="T1256">
        <v>0.55830000000000002</v>
      </c>
      <c r="U1256">
        <v>1.1920114633709376</v>
      </c>
      <c r="V1256">
        <v>45.614800000000002</v>
      </c>
      <c r="W1256">
        <v>46.173100000000005</v>
      </c>
      <c r="X1256">
        <v>46.731400000000001</v>
      </c>
      <c r="Y1256">
        <v>47.848000000000006</v>
      </c>
      <c r="Z1256">
        <v>48.406300000000002</v>
      </c>
      <c r="AA1256">
        <v>48.964600000000004</v>
      </c>
      <c r="AD1256">
        <v>3.6654153790683175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 t="s">
        <v>462</v>
      </c>
      <c r="AL1256" t="s">
        <v>6</v>
      </c>
      <c r="AM1256" t="s">
        <v>1145</v>
      </c>
      <c r="AN1256" t="s">
        <v>1146</v>
      </c>
      <c r="AO1256" s="100">
        <v>46262.040405092594</v>
      </c>
      <c r="AP1256" t="s">
        <v>1147</v>
      </c>
      <c r="AQ1256" t="s">
        <v>3738</v>
      </c>
      <c r="AR1256" t="s">
        <v>1172</v>
      </c>
      <c r="AS1256" t="s">
        <v>1150</v>
      </c>
      <c r="AT1256" t="s">
        <v>3630</v>
      </c>
      <c r="AU1256">
        <v>25</v>
      </c>
      <c r="AV1256">
        <v>47.319515999999993</v>
      </c>
      <c r="AW1256">
        <v>0.56263412229144638</v>
      </c>
      <c r="AX1256">
        <v>1.1890107292970757</v>
      </c>
      <c r="BB1256" t="s">
        <v>4619</v>
      </c>
      <c r="BD1256" s="98"/>
      <c r="BE1256" s="98"/>
      <c r="BF1256" t="s">
        <v>1152</v>
      </c>
      <c r="BG1256" t="s">
        <v>322</v>
      </c>
      <c r="BH1256" t="s">
        <v>1153</v>
      </c>
      <c r="BN1256" t="s">
        <v>1154</v>
      </c>
      <c r="BO1256">
        <v>2025</v>
      </c>
      <c r="BP1256" t="s">
        <v>966</v>
      </c>
      <c r="BZ1256" t="s">
        <v>1513</v>
      </c>
      <c r="CA1256" t="s">
        <v>1513</v>
      </c>
      <c r="CB1256" t="b">
        <v>0</v>
      </c>
      <c r="CC1256" t="b">
        <v>0</v>
      </c>
      <c r="CD1256" t="b">
        <v>0</v>
      </c>
      <c r="CE1256" t="b">
        <v>0</v>
      </c>
      <c r="CF1256" t="b">
        <v>0</v>
      </c>
    </row>
    <row r="1257" spans="1:84" x14ac:dyDescent="0.3">
      <c r="A1257" t="s">
        <v>3739</v>
      </c>
      <c r="B1257" t="s">
        <v>1174</v>
      </c>
      <c r="C1257" s="98">
        <v>45698</v>
      </c>
      <c r="D1257">
        <v>2025</v>
      </c>
      <c r="E1257">
        <v>2</v>
      </c>
      <c r="F1257">
        <v>1</v>
      </c>
      <c r="G1257" t="s">
        <v>1170</v>
      </c>
      <c r="H1257" t="s">
        <v>147</v>
      </c>
      <c r="I1257" t="s">
        <v>147</v>
      </c>
      <c r="J1257" t="s">
        <v>6</v>
      </c>
      <c r="L1257">
        <v>522611</v>
      </c>
      <c r="M1257" s="99" t="s">
        <v>180</v>
      </c>
      <c r="N1257">
        <v>3</v>
      </c>
      <c r="O1257">
        <v>6</v>
      </c>
      <c r="P1257">
        <v>47.018900000000002</v>
      </c>
      <c r="Q1257" t="s">
        <v>352</v>
      </c>
      <c r="R1257">
        <v>1</v>
      </c>
      <c r="S1257">
        <v>47.289700000000003</v>
      </c>
      <c r="T1257">
        <v>0.55830000000000002</v>
      </c>
      <c r="U1257">
        <v>-0.48504388321691072</v>
      </c>
      <c r="V1257">
        <v>45.614800000000002</v>
      </c>
      <c r="W1257">
        <v>46.173100000000005</v>
      </c>
      <c r="X1257">
        <v>46.731400000000001</v>
      </c>
      <c r="Y1257">
        <v>47.848000000000006</v>
      </c>
      <c r="Z1257">
        <v>48.406300000000002</v>
      </c>
      <c r="AA1257">
        <v>48.964600000000004</v>
      </c>
      <c r="AD1257">
        <v>3.6654153790683175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 t="s">
        <v>462</v>
      </c>
      <c r="AL1257" t="s">
        <v>6</v>
      </c>
      <c r="AM1257" t="s">
        <v>1145</v>
      </c>
      <c r="AN1257" t="s">
        <v>1146</v>
      </c>
      <c r="AO1257" s="100">
        <v>46262.040405092594</v>
      </c>
      <c r="AP1257" t="s">
        <v>1147</v>
      </c>
      <c r="AQ1257" t="s">
        <v>3740</v>
      </c>
      <c r="AR1257" t="s">
        <v>1176</v>
      </c>
      <c r="AS1257" t="s">
        <v>1150</v>
      </c>
      <c r="AT1257" t="s">
        <v>3630</v>
      </c>
      <c r="AU1257">
        <v>25</v>
      </c>
      <c r="AV1257">
        <v>47.319515999999993</v>
      </c>
      <c r="AW1257">
        <v>0.56263412229144638</v>
      </c>
      <c r="AX1257">
        <v>1.1890107292970757</v>
      </c>
      <c r="BB1257" t="s">
        <v>4619</v>
      </c>
      <c r="BD1257" s="98"/>
      <c r="BE1257" s="98"/>
      <c r="BF1257" t="s">
        <v>1152</v>
      </c>
      <c r="BG1257" t="s">
        <v>322</v>
      </c>
      <c r="BH1257" t="s">
        <v>1153</v>
      </c>
      <c r="BN1257" t="s">
        <v>1154</v>
      </c>
      <c r="BO1257">
        <v>2025</v>
      </c>
      <c r="BP1257" t="s">
        <v>966</v>
      </c>
      <c r="BZ1257" t="s">
        <v>1513</v>
      </c>
      <c r="CA1257" t="s">
        <v>1513</v>
      </c>
      <c r="CB1257" t="b">
        <v>0</v>
      </c>
      <c r="CC1257" t="b">
        <v>0</v>
      </c>
      <c r="CD1257" t="b">
        <v>0</v>
      </c>
      <c r="CE1257" t="b">
        <v>0</v>
      </c>
      <c r="CF1257" t="b">
        <v>0</v>
      </c>
    </row>
    <row r="1258" spans="1:84" x14ac:dyDescent="0.3">
      <c r="A1258" t="s">
        <v>3741</v>
      </c>
      <c r="B1258" t="s">
        <v>1178</v>
      </c>
      <c r="C1258" s="98">
        <v>45705</v>
      </c>
      <c r="D1258">
        <v>2025</v>
      </c>
      <c r="E1258">
        <v>2</v>
      </c>
      <c r="F1258">
        <v>1</v>
      </c>
      <c r="G1258" t="s">
        <v>1170</v>
      </c>
      <c r="H1258" t="s">
        <v>147</v>
      </c>
      <c r="I1258" t="s">
        <v>147</v>
      </c>
      <c r="J1258" t="s">
        <v>6</v>
      </c>
      <c r="L1258">
        <v>522611</v>
      </c>
      <c r="M1258" s="99" t="s">
        <v>180</v>
      </c>
      <c r="N1258">
        <v>3</v>
      </c>
      <c r="O1258">
        <v>7</v>
      </c>
      <c r="P1258">
        <v>46.656100000000002</v>
      </c>
      <c r="Q1258" t="s">
        <v>352</v>
      </c>
      <c r="R1258">
        <v>1</v>
      </c>
      <c r="S1258">
        <v>47.289700000000003</v>
      </c>
      <c r="T1258">
        <v>0.55830000000000002</v>
      </c>
      <c r="U1258">
        <v>-1.1348737238044084</v>
      </c>
      <c r="V1258">
        <v>45.614800000000002</v>
      </c>
      <c r="W1258">
        <v>46.173100000000005</v>
      </c>
      <c r="X1258">
        <v>46.731400000000001</v>
      </c>
      <c r="Y1258">
        <v>47.848000000000006</v>
      </c>
      <c r="Z1258">
        <v>48.406300000000002</v>
      </c>
      <c r="AA1258">
        <v>48.964600000000004</v>
      </c>
      <c r="AD1258">
        <v>3.6654153790683175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 t="s">
        <v>462</v>
      </c>
      <c r="AL1258" t="s">
        <v>6</v>
      </c>
      <c r="AM1258" t="s">
        <v>1145</v>
      </c>
      <c r="AN1258" t="s">
        <v>1146</v>
      </c>
      <c r="AO1258" s="100">
        <v>46262.040405092594</v>
      </c>
      <c r="AP1258" t="s">
        <v>1147</v>
      </c>
      <c r="AQ1258" t="s">
        <v>3742</v>
      </c>
      <c r="AR1258" t="s">
        <v>1180</v>
      </c>
      <c r="AS1258" t="s">
        <v>1150</v>
      </c>
      <c r="AT1258" t="s">
        <v>3630</v>
      </c>
      <c r="AU1258">
        <v>25</v>
      </c>
      <c r="AV1258">
        <v>47.319515999999993</v>
      </c>
      <c r="AW1258">
        <v>0.56263412229144638</v>
      </c>
      <c r="AX1258">
        <v>1.1890107292970757</v>
      </c>
      <c r="BB1258" t="s">
        <v>4619</v>
      </c>
      <c r="BD1258" s="98"/>
      <c r="BE1258" s="98"/>
      <c r="BF1258" t="s">
        <v>1152</v>
      </c>
      <c r="BG1258" t="s">
        <v>322</v>
      </c>
      <c r="BH1258" t="s">
        <v>1153</v>
      </c>
      <c r="BN1258" t="s">
        <v>1154</v>
      </c>
      <c r="BO1258">
        <v>2025</v>
      </c>
      <c r="BP1258" t="s">
        <v>966</v>
      </c>
      <c r="BZ1258" t="s">
        <v>1513</v>
      </c>
      <c r="CA1258" t="s">
        <v>1513</v>
      </c>
      <c r="CB1258" t="b">
        <v>0</v>
      </c>
      <c r="CC1258" t="b">
        <v>0</v>
      </c>
      <c r="CD1258" t="b">
        <v>0</v>
      </c>
      <c r="CE1258" t="b">
        <v>0</v>
      </c>
      <c r="CF1258" t="b">
        <v>0</v>
      </c>
    </row>
    <row r="1259" spans="1:84" x14ac:dyDescent="0.3">
      <c r="A1259" t="s">
        <v>3743</v>
      </c>
      <c r="B1259" t="s">
        <v>1182</v>
      </c>
      <c r="C1259" s="98">
        <v>45712</v>
      </c>
      <c r="D1259">
        <v>2025</v>
      </c>
      <c r="E1259">
        <v>2</v>
      </c>
      <c r="F1259">
        <v>1</v>
      </c>
      <c r="G1259" t="s">
        <v>1170</v>
      </c>
      <c r="H1259" t="s">
        <v>147</v>
      </c>
      <c r="I1259" t="s">
        <v>147</v>
      </c>
      <c r="J1259" t="s">
        <v>6</v>
      </c>
      <c r="L1259">
        <v>522611</v>
      </c>
      <c r="M1259" s="99" t="s">
        <v>180</v>
      </c>
      <c r="N1259">
        <v>3</v>
      </c>
      <c r="O1259">
        <v>8</v>
      </c>
      <c r="P1259">
        <v>48.421900000000001</v>
      </c>
      <c r="Q1259" t="s">
        <v>352</v>
      </c>
      <c r="R1259">
        <v>1</v>
      </c>
      <c r="S1259">
        <v>47.289700000000003</v>
      </c>
      <c r="T1259">
        <v>0.55830000000000002</v>
      </c>
      <c r="U1259">
        <v>2.0279419666845735</v>
      </c>
      <c r="V1259">
        <v>45.614800000000002</v>
      </c>
      <c r="W1259">
        <v>46.173100000000005</v>
      </c>
      <c r="X1259">
        <v>46.731400000000001</v>
      </c>
      <c r="Y1259">
        <v>47.848000000000006</v>
      </c>
      <c r="Z1259">
        <v>48.406300000000002</v>
      </c>
      <c r="AA1259">
        <v>48.964600000000004</v>
      </c>
      <c r="AD1259">
        <v>3.6654153790683175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1</v>
      </c>
      <c r="AK1259" t="s">
        <v>462</v>
      </c>
      <c r="AL1259" t="s">
        <v>6</v>
      </c>
      <c r="AM1259" t="s">
        <v>1145</v>
      </c>
      <c r="AN1259" t="s">
        <v>1146</v>
      </c>
      <c r="AO1259" s="100">
        <v>46262.040405092594</v>
      </c>
      <c r="AP1259" t="s">
        <v>1147</v>
      </c>
      <c r="AQ1259" t="s">
        <v>3744</v>
      </c>
      <c r="AR1259" t="s">
        <v>1184</v>
      </c>
      <c r="AS1259" t="s">
        <v>1150</v>
      </c>
      <c r="AT1259" t="s">
        <v>3630</v>
      </c>
      <c r="AU1259">
        <v>25</v>
      </c>
      <c r="AV1259">
        <v>47.319515999999993</v>
      </c>
      <c r="AW1259">
        <v>0.56263412229144638</v>
      </c>
      <c r="AX1259">
        <v>1.1890107292970757</v>
      </c>
      <c r="BB1259" t="s">
        <v>4619</v>
      </c>
      <c r="BD1259" s="98"/>
      <c r="BE1259" s="98"/>
      <c r="BF1259" t="s">
        <v>1152</v>
      </c>
      <c r="BG1259" t="s">
        <v>322</v>
      </c>
      <c r="BH1259" t="s">
        <v>1153</v>
      </c>
      <c r="BN1259" t="s">
        <v>1154</v>
      </c>
      <c r="BO1259">
        <v>2025</v>
      </c>
      <c r="BP1259" t="s">
        <v>966</v>
      </c>
      <c r="BZ1259" t="s">
        <v>1513</v>
      </c>
      <c r="CA1259" t="s">
        <v>1513</v>
      </c>
      <c r="CB1259" t="b">
        <v>0</v>
      </c>
      <c r="CC1259" t="b">
        <v>0</v>
      </c>
      <c r="CD1259" t="b">
        <v>0</v>
      </c>
      <c r="CE1259" t="b">
        <v>0</v>
      </c>
      <c r="CF1259" t="b">
        <v>0</v>
      </c>
    </row>
    <row r="1260" spans="1:84" x14ac:dyDescent="0.3">
      <c r="A1260" t="s">
        <v>3745</v>
      </c>
      <c r="B1260" t="s">
        <v>1186</v>
      </c>
      <c r="C1260" s="98">
        <v>45719</v>
      </c>
      <c r="D1260">
        <v>2025</v>
      </c>
      <c r="E1260">
        <v>3</v>
      </c>
      <c r="F1260">
        <v>1</v>
      </c>
      <c r="G1260" t="s">
        <v>1187</v>
      </c>
      <c r="H1260" t="s">
        <v>147</v>
      </c>
      <c r="I1260" t="s">
        <v>147</v>
      </c>
      <c r="J1260" t="s">
        <v>6</v>
      </c>
      <c r="L1260">
        <v>522611</v>
      </c>
      <c r="M1260" s="99" t="s">
        <v>180</v>
      </c>
      <c r="N1260">
        <v>3</v>
      </c>
      <c r="O1260">
        <v>9</v>
      </c>
      <c r="P1260">
        <v>47.037599999999998</v>
      </c>
      <c r="Q1260" t="s">
        <v>352</v>
      </c>
      <c r="R1260">
        <v>1</v>
      </c>
      <c r="S1260">
        <v>47.289700000000003</v>
      </c>
      <c r="T1260">
        <v>0.55830000000000002</v>
      </c>
      <c r="U1260">
        <v>-0.45154934622963594</v>
      </c>
      <c r="V1260">
        <v>45.614800000000002</v>
      </c>
      <c r="W1260">
        <v>46.173100000000005</v>
      </c>
      <c r="X1260">
        <v>46.731400000000001</v>
      </c>
      <c r="Y1260">
        <v>47.848000000000006</v>
      </c>
      <c r="Z1260">
        <v>48.406300000000002</v>
      </c>
      <c r="AA1260">
        <v>48.964600000000004</v>
      </c>
      <c r="AD1260">
        <v>3.6654153790683175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 t="s">
        <v>462</v>
      </c>
      <c r="AL1260" t="s">
        <v>6</v>
      </c>
      <c r="AM1260" t="s">
        <v>1145</v>
      </c>
      <c r="AN1260" t="s">
        <v>1146</v>
      </c>
      <c r="AO1260" s="100">
        <v>46262.040405092594</v>
      </c>
      <c r="AP1260" t="s">
        <v>1147</v>
      </c>
      <c r="AQ1260" t="s">
        <v>3746</v>
      </c>
      <c r="AR1260" t="s">
        <v>1189</v>
      </c>
      <c r="AS1260" t="s">
        <v>1150</v>
      </c>
      <c r="AT1260" t="s">
        <v>3630</v>
      </c>
      <c r="AU1260">
        <v>25</v>
      </c>
      <c r="AV1260">
        <v>47.319515999999993</v>
      </c>
      <c r="AW1260">
        <v>0.56263412229144638</v>
      </c>
      <c r="AX1260">
        <v>1.1890107292970757</v>
      </c>
      <c r="BB1260" t="s">
        <v>4619</v>
      </c>
      <c r="BD1260" s="98"/>
      <c r="BE1260" s="98"/>
      <c r="BF1260" t="s">
        <v>1152</v>
      </c>
      <c r="BG1260" t="s">
        <v>322</v>
      </c>
      <c r="BH1260" t="s">
        <v>1153</v>
      </c>
      <c r="BN1260" t="s">
        <v>1154</v>
      </c>
      <c r="BO1260">
        <v>2025</v>
      </c>
      <c r="BP1260" t="s">
        <v>966</v>
      </c>
      <c r="BZ1260" t="s">
        <v>1513</v>
      </c>
      <c r="CA1260" t="s">
        <v>1513</v>
      </c>
      <c r="CB1260" t="b">
        <v>0</v>
      </c>
      <c r="CC1260" t="b">
        <v>0</v>
      </c>
      <c r="CD1260" t="b">
        <v>0</v>
      </c>
      <c r="CE1260" t="b">
        <v>0</v>
      </c>
      <c r="CF1260" t="b">
        <v>0</v>
      </c>
    </row>
    <row r="1261" spans="1:84" x14ac:dyDescent="0.3">
      <c r="A1261" t="s">
        <v>3747</v>
      </c>
      <c r="B1261" t="s">
        <v>1191</v>
      </c>
      <c r="C1261" s="98">
        <v>45726</v>
      </c>
      <c r="D1261">
        <v>2025</v>
      </c>
      <c r="E1261">
        <v>3</v>
      </c>
      <c r="F1261">
        <v>1</v>
      </c>
      <c r="G1261" t="s">
        <v>1187</v>
      </c>
      <c r="H1261" t="s">
        <v>147</v>
      </c>
      <c r="I1261" t="s">
        <v>147</v>
      </c>
      <c r="J1261" t="s">
        <v>6</v>
      </c>
      <c r="L1261">
        <v>522611</v>
      </c>
      <c r="M1261" s="99" t="s">
        <v>180</v>
      </c>
      <c r="N1261">
        <v>3</v>
      </c>
      <c r="O1261">
        <v>10</v>
      </c>
      <c r="P1261">
        <v>46.601300000000002</v>
      </c>
      <c r="Q1261" t="s">
        <v>352</v>
      </c>
      <c r="R1261">
        <v>1</v>
      </c>
      <c r="S1261">
        <v>47.289700000000003</v>
      </c>
      <c r="T1261">
        <v>0.55830000000000002</v>
      </c>
      <c r="U1261">
        <v>-1.2330288375425424</v>
      </c>
      <c r="V1261">
        <v>45.614800000000002</v>
      </c>
      <c r="W1261">
        <v>46.173100000000005</v>
      </c>
      <c r="X1261">
        <v>46.731400000000001</v>
      </c>
      <c r="Y1261">
        <v>47.848000000000006</v>
      </c>
      <c r="Z1261">
        <v>48.406300000000002</v>
      </c>
      <c r="AA1261">
        <v>48.964600000000004</v>
      </c>
      <c r="AD1261">
        <v>3.6654153790683175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 t="s">
        <v>462</v>
      </c>
      <c r="AL1261" t="s">
        <v>6</v>
      </c>
      <c r="AM1261" t="s">
        <v>1145</v>
      </c>
      <c r="AN1261" t="s">
        <v>1146</v>
      </c>
      <c r="AO1261" s="100">
        <v>46262.040405092594</v>
      </c>
      <c r="AP1261" t="s">
        <v>1147</v>
      </c>
      <c r="AQ1261" t="s">
        <v>3748</v>
      </c>
      <c r="AR1261" t="s">
        <v>1193</v>
      </c>
      <c r="AS1261" t="s">
        <v>1150</v>
      </c>
      <c r="AT1261" t="s">
        <v>3630</v>
      </c>
      <c r="AU1261">
        <v>25</v>
      </c>
      <c r="AV1261">
        <v>47.319515999999993</v>
      </c>
      <c r="AW1261">
        <v>0.56263412229144638</v>
      </c>
      <c r="AX1261">
        <v>1.1890107292970757</v>
      </c>
      <c r="BB1261" t="s">
        <v>4619</v>
      </c>
      <c r="BD1261" s="98"/>
      <c r="BE1261" s="98"/>
      <c r="BF1261" t="s">
        <v>1152</v>
      </c>
      <c r="BG1261" t="s">
        <v>322</v>
      </c>
      <c r="BH1261" t="s">
        <v>1153</v>
      </c>
      <c r="BN1261" t="s">
        <v>1154</v>
      </c>
      <c r="BO1261">
        <v>2025</v>
      </c>
      <c r="BP1261" t="s">
        <v>966</v>
      </c>
      <c r="BZ1261" t="s">
        <v>1513</v>
      </c>
      <c r="CA1261" t="s">
        <v>1513</v>
      </c>
      <c r="CB1261" t="b">
        <v>0</v>
      </c>
      <c r="CC1261" t="b">
        <v>0</v>
      </c>
      <c r="CD1261" t="b">
        <v>0</v>
      </c>
      <c r="CE1261" t="b">
        <v>0</v>
      </c>
      <c r="CF1261" t="b">
        <v>0</v>
      </c>
    </row>
    <row r="1262" spans="1:84" x14ac:dyDescent="0.3">
      <c r="A1262" t="s">
        <v>3749</v>
      </c>
      <c r="B1262" t="s">
        <v>1195</v>
      </c>
      <c r="C1262" s="98">
        <v>45733</v>
      </c>
      <c r="D1262">
        <v>2025</v>
      </c>
      <c r="E1262">
        <v>3</v>
      </c>
      <c r="F1262">
        <v>1</v>
      </c>
      <c r="G1262" t="s">
        <v>1187</v>
      </c>
      <c r="H1262" t="s">
        <v>147</v>
      </c>
      <c r="I1262" t="s">
        <v>147</v>
      </c>
      <c r="J1262" t="s">
        <v>6</v>
      </c>
      <c r="L1262">
        <v>522611</v>
      </c>
      <c r="M1262" s="99" t="s">
        <v>180</v>
      </c>
      <c r="N1262">
        <v>3</v>
      </c>
      <c r="O1262">
        <v>11</v>
      </c>
      <c r="P1262">
        <v>47.4223</v>
      </c>
      <c r="Q1262" t="s">
        <v>352</v>
      </c>
      <c r="R1262">
        <v>1</v>
      </c>
      <c r="S1262">
        <v>47.289700000000003</v>
      </c>
      <c r="T1262">
        <v>0.55830000000000002</v>
      </c>
      <c r="U1262">
        <v>0.23750671681890828</v>
      </c>
      <c r="V1262">
        <v>45.614800000000002</v>
      </c>
      <c r="W1262">
        <v>46.173100000000005</v>
      </c>
      <c r="X1262">
        <v>46.731400000000001</v>
      </c>
      <c r="Y1262">
        <v>47.848000000000006</v>
      </c>
      <c r="Z1262">
        <v>48.406300000000002</v>
      </c>
      <c r="AA1262">
        <v>48.964600000000004</v>
      </c>
      <c r="AD1262">
        <v>3.6654153790683175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 t="s">
        <v>462</v>
      </c>
      <c r="AL1262" t="s">
        <v>6</v>
      </c>
      <c r="AM1262" t="s">
        <v>1145</v>
      </c>
      <c r="AN1262" t="s">
        <v>1146</v>
      </c>
      <c r="AO1262" s="100">
        <v>46262.040405092594</v>
      </c>
      <c r="AP1262" t="s">
        <v>1147</v>
      </c>
      <c r="AQ1262" t="s">
        <v>3750</v>
      </c>
      <c r="AR1262" t="s">
        <v>1197</v>
      </c>
      <c r="AS1262" t="s">
        <v>1150</v>
      </c>
      <c r="AT1262" t="s">
        <v>3630</v>
      </c>
      <c r="AU1262">
        <v>25</v>
      </c>
      <c r="AV1262">
        <v>47.319515999999993</v>
      </c>
      <c r="AW1262">
        <v>0.56263412229144638</v>
      </c>
      <c r="AX1262">
        <v>1.1890107292970757</v>
      </c>
      <c r="BB1262" t="s">
        <v>4619</v>
      </c>
      <c r="BD1262" s="98"/>
      <c r="BE1262" s="98"/>
      <c r="BF1262" t="s">
        <v>1152</v>
      </c>
      <c r="BG1262" t="s">
        <v>322</v>
      </c>
      <c r="BH1262" t="s">
        <v>1153</v>
      </c>
      <c r="BN1262" t="s">
        <v>1154</v>
      </c>
      <c r="BO1262">
        <v>2025</v>
      </c>
      <c r="BP1262" t="s">
        <v>966</v>
      </c>
      <c r="BZ1262" t="s">
        <v>1513</v>
      </c>
      <c r="CA1262" t="s">
        <v>1513</v>
      </c>
      <c r="CB1262" t="b">
        <v>0</v>
      </c>
      <c r="CC1262" t="b">
        <v>0</v>
      </c>
      <c r="CD1262" t="b">
        <v>0</v>
      </c>
      <c r="CE1262" t="b">
        <v>0</v>
      </c>
      <c r="CF1262" t="b">
        <v>0</v>
      </c>
    </row>
    <row r="1263" spans="1:84" x14ac:dyDescent="0.3">
      <c r="A1263" t="s">
        <v>3751</v>
      </c>
      <c r="B1263" t="s">
        <v>1199</v>
      </c>
      <c r="C1263" s="98">
        <v>45740</v>
      </c>
      <c r="D1263">
        <v>2025</v>
      </c>
      <c r="E1263">
        <v>3</v>
      </c>
      <c r="F1263">
        <v>1</v>
      </c>
      <c r="G1263" t="s">
        <v>1187</v>
      </c>
      <c r="H1263" t="s">
        <v>147</v>
      </c>
      <c r="I1263" t="s">
        <v>147</v>
      </c>
      <c r="J1263" t="s">
        <v>6</v>
      </c>
      <c r="L1263">
        <v>522611</v>
      </c>
      <c r="M1263" s="99" t="s">
        <v>180</v>
      </c>
      <c r="N1263">
        <v>3</v>
      </c>
      <c r="O1263">
        <v>12</v>
      </c>
      <c r="P1263">
        <v>47.527299999999997</v>
      </c>
      <c r="Q1263" t="s">
        <v>352</v>
      </c>
      <c r="R1263">
        <v>1</v>
      </c>
      <c r="S1263">
        <v>47.289700000000003</v>
      </c>
      <c r="T1263">
        <v>0.55830000000000002</v>
      </c>
      <c r="U1263">
        <v>0.42557764642664048</v>
      </c>
      <c r="V1263">
        <v>45.614800000000002</v>
      </c>
      <c r="W1263">
        <v>46.173100000000005</v>
      </c>
      <c r="X1263">
        <v>46.731400000000001</v>
      </c>
      <c r="Y1263">
        <v>47.848000000000006</v>
      </c>
      <c r="Z1263">
        <v>48.406300000000002</v>
      </c>
      <c r="AA1263">
        <v>48.964600000000004</v>
      </c>
      <c r="AD1263">
        <v>3.6654153790683175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 t="s">
        <v>462</v>
      </c>
      <c r="AL1263" t="s">
        <v>6</v>
      </c>
      <c r="AM1263" t="s">
        <v>1145</v>
      </c>
      <c r="AN1263" t="s">
        <v>1146</v>
      </c>
      <c r="AO1263" s="100">
        <v>46262.040405092594</v>
      </c>
      <c r="AP1263" t="s">
        <v>1147</v>
      </c>
      <c r="AQ1263" t="s">
        <v>3752</v>
      </c>
      <c r="AR1263" t="s">
        <v>1201</v>
      </c>
      <c r="AS1263" t="s">
        <v>1150</v>
      </c>
      <c r="AT1263" t="s">
        <v>3630</v>
      </c>
      <c r="AU1263">
        <v>25</v>
      </c>
      <c r="AV1263">
        <v>47.319515999999993</v>
      </c>
      <c r="AW1263">
        <v>0.56263412229144638</v>
      </c>
      <c r="AX1263">
        <v>1.1890107292970757</v>
      </c>
      <c r="BB1263" t="s">
        <v>4619</v>
      </c>
      <c r="BD1263" s="98"/>
      <c r="BE1263" s="98"/>
      <c r="BF1263" t="s">
        <v>1152</v>
      </c>
      <c r="BG1263" t="s">
        <v>322</v>
      </c>
      <c r="BH1263" t="s">
        <v>1153</v>
      </c>
      <c r="BN1263" t="s">
        <v>1154</v>
      </c>
      <c r="BO1263">
        <v>2025</v>
      </c>
      <c r="BP1263" t="s">
        <v>966</v>
      </c>
      <c r="BZ1263" t="s">
        <v>1513</v>
      </c>
      <c r="CA1263" t="s">
        <v>1513</v>
      </c>
      <c r="CB1263" t="b">
        <v>0</v>
      </c>
      <c r="CC1263" t="b">
        <v>0</v>
      </c>
      <c r="CD1263" t="b">
        <v>0</v>
      </c>
      <c r="CE1263" t="b">
        <v>0</v>
      </c>
      <c r="CF1263" t="b">
        <v>0</v>
      </c>
    </row>
    <row r="1264" spans="1:84" x14ac:dyDescent="0.3">
      <c r="A1264" t="s">
        <v>3753</v>
      </c>
      <c r="B1264" t="s">
        <v>1203</v>
      </c>
      <c r="C1264" s="98">
        <v>45747</v>
      </c>
      <c r="D1264">
        <v>2025</v>
      </c>
      <c r="E1264">
        <v>3</v>
      </c>
      <c r="F1264">
        <v>1</v>
      </c>
      <c r="G1264" t="s">
        <v>1187</v>
      </c>
      <c r="H1264" t="s">
        <v>147</v>
      </c>
      <c r="I1264" t="s">
        <v>147</v>
      </c>
      <c r="J1264" t="s">
        <v>6</v>
      </c>
      <c r="L1264">
        <v>522611</v>
      </c>
      <c r="M1264" s="99" t="s">
        <v>180</v>
      </c>
      <c r="N1264">
        <v>3</v>
      </c>
      <c r="O1264">
        <v>13</v>
      </c>
      <c r="P1264">
        <v>46.896000000000001</v>
      </c>
      <c r="Q1264" t="s">
        <v>352</v>
      </c>
      <c r="R1264">
        <v>1</v>
      </c>
      <c r="S1264">
        <v>47.289700000000003</v>
      </c>
      <c r="T1264">
        <v>0.55830000000000002</v>
      </c>
      <c r="U1264">
        <v>-0.70517642844349382</v>
      </c>
      <c r="V1264">
        <v>45.614800000000002</v>
      </c>
      <c r="W1264">
        <v>46.173100000000005</v>
      </c>
      <c r="X1264">
        <v>46.731400000000001</v>
      </c>
      <c r="Y1264">
        <v>47.848000000000006</v>
      </c>
      <c r="Z1264">
        <v>48.406300000000002</v>
      </c>
      <c r="AA1264">
        <v>48.964600000000004</v>
      </c>
      <c r="AD1264">
        <v>3.6654153790683175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 t="s">
        <v>462</v>
      </c>
      <c r="AL1264" t="s">
        <v>6</v>
      </c>
      <c r="AM1264" t="s">
        <v>1145</v>
      </c>
      <c r="AN1264" t="s">
        <v>1146</v>
      </c>
      <c r="AO1264" s="100">
        <v>46262.040405092594</v>
      </c>
      <c r="AP1264" t="s">
        <v>1147</v>
      </c>
      <c r="AQ1264" t="s">
        <v>3754</v>
      </c>
      <c r="AR1264" t="s">
        <v>1205</v>
      </c>
      <c r="AS1264" t="s">
        <v>1150</v>
      </c>
      <c r="AT1264" t="s">
        <v>3630</v>
      </c>
      <c r="AU1264">
        <v>25</v>
      </c>
      <c r="AV1264">
        <v>47.319515999999993</v>
      </c>
      <c r="AW1264">
        <v>0.56263412229144638</v>
      </c>
      <c r="AX1264">
        <v>1.1890107292970757</v>
      </c>
      <c r="BB1264" t="s">
        <v>4619</v>
      </c>
      <c r="BD1264" s="98"/>
      <c r="BE1264" s="98"/>
      <c r="BF1264" t="s">
        <v>1152</v>
      </c>
      <c r="BG1264" t="s">
        <v>322</v>
      </c>
      <c r="BH1264" t="s">
        <v>1153</v>
      </c>
      <c r="BN1264" t="s">
        <v>1154</v>
      </c>
      <c r="BO1264">
        <v>2025</v>
      </c>
      <c r="BP1264" t="s">
        <v>966</v>
      </c>
      <c r="BZ1264" t="s">
        <v>1513</v>
      </c>
      <c r="CA1264" t="s">
        <v>1513</v>
      </c>
      <c r="CB1264" t="b">
        <v>0</v>
      </c>
      <c r="CC1264" t="b">
        <v>0</v>
      </c>
      <c r="CD1264" t="b">
        <v>0</v>
      </c>
      <c r="CE1264" t="b">
        <v>0</v>
      </c>
      <c r="CF1264" t="b">
        <v>0</v>
      </c>
    </row>
    <row r="1265" spans="1:84" x14ac:dyDescent="0.3">
      <c r="A1265" t="s">
        <v>3755</v>
      </c>
      <c r="B1265" t="s">
        <v>1207</v>
      </c>
      <c r="C1265" s="98">
        <v>45754</v>
      </c>
      <c r="D1265">
        <v>2025</v>
      </c>
      <c r="E1265">
        <v>4</v>
      </c>
      <c r="F1265">
        <v>2</v>
      </c>
      <c r="G1265" t="s">
        <v>1208</v>
      </c>
      <c r="H1265" t="s">
        <v>147</v>
      </c>
      <c r="I1265" t="s">
        <v>147</v>
      </c>
      <c r="J1265" t="s">
        <v>6</v>
      </c>
      <c r="L1265">
        <v>522611</v>
      </c>
      <c r="M1265" s="99" t="s">
        <v>180</v>
      </c>
      <c r="N1265">
        <v>3</v>
      </c>
      <c r="O1265">
        <v>14</v>
      </c>
      <c r="P1265">
        <v>47.730899999999998</v>
      </c>
      <c r="Q1265" t="s">
        <v>352</v>
      </c>
      <c r="R1265">
        <v>1</v>
      </c>
      <c r="S1265">
        <v>47.289700000000003</v>
      </c>
      <c r="T1265">
        <v>0.55830000000000002</v>
      </c>
      <c r="U1265">
        <v>0.79025613469459954</v>
      </c>
      <c r="V1265">
        <v>45.614800000000002</v>
      </c>
      <c r="W1265">
        <v>46.173100000000005</v>
      </c>
      <c r="X1265">
        <v>46.731400000000001</v>
      </c>
      <c r="Y1265">
        <v>47.848000000000006</v>
      </c>
      <c r="Z1265">
        <v>48.406300000000002</v>
      </c>
      <c r="AA1265">
        <v>48.964600000000004</v>
      </c>
      <c r="AD1265">
        <v>3.6654153790683175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 t="s">
        <v>462</v>
      </c>
      <c r="AL1265" t="s">
        <v>6</v>
      </c>
      <c r="AM1265" t="s">
        <v>1145</v>
      </c>
      <c r="AN1265" t="s">
        <v>1146</v>
      </c>
      <c r="AO1265" s="100">
        <v>46262.040405092594</v>
      </c>
      <c r="AP1265" t="s">
        <v>1147</v>
      </c>
      <c r="AQ1265" t="s">
        <v>3756</v>
      </c>
      <c r="AR1265" t="s">
        <v>1210</v>
      </c>
      <c r="AS1265" t="s">
        <v>1150</v>
      </c>
      <c r="AT1265" t="s">
        <v>3630</v>
      </c>
      <c r="AU1265">
        <v>25</v>
      </c>
      <c r="AV1265">
        <v>47.319515999999993</v>
      </c>
      <c r="AW1265">
        <v>0.56263412229144638</v>
      </c>
      <c r="AX1265">
        <v>1.1890107292970757</v>
      </c>
      <c r="BB1265" t="s">
        <v>4619</v>
      </c>
      <c r="BD1265" s="98"/>
      <c r="BE1265" s="98"/>
      <c r="BF1265" t="s">
        <v>1152</v>
      </c>
      <c r="BG1265" t="s">
        <v>322</v>
      </c>
      <c r="BH1265" t="s">
        <v>1153</v>
      </c>
      <c r="BN1265" t="s">
        <v>1154</v>
      </c>
      <c r="BO1265">
        <v>2025</v>
      </c>
      <c r="BP1265" t="s">
        <v>966</v>
      </c>
      <c r="BZ1265" t="s">
        <v>1513</v>
      </c>
      <c r="CA1265" t="s">
        <v>1513</v>
      </c>
      <c r="CB1265" t="b">
        <v>0</v>
      </c>
      <c r="CC1265" t="b">
        <v>0</v>
      </c>
      <c r="CD1265" t="b">
        <v>0</v>
      </c>
      <c r="CE1265" t="b">
        <v>0</v>
      </c>
      <c r="CF1265" t="b">
        <v>0</v>
      </c>
    </row>
    <row r="1266" spans="1:84" x14ac:dyDescent="0.3">
      <c r="A1266" t="s">
        <v>3757</v>
      </c>
      <c r="B1266" t="s">
        <v>1212</v>
      </c>
      <c r="C1266" s="98">
        <v>45761</v>
      </c>
      <c r="D1266">
        <v>2025</v>
      </c>
      <c r="E1266">
        <v>4</v>
      </c>
      <c r="F1266">
        <v>2</v>
      </c>
      <c r="G1266" t="s">
        <v>1208</v>
      </c>
      <c r="H1266" t="s">
        <v>147</v>
      </c>
      <c r="I1266" t="s">
        <v>147</v>
      </c>
      <c r="J1266" t="s">
        <v>6</v>
      </c>
      <c r="L1266">
        <v>522611</v>
      </c>
      <c r="M1266" s="99" t="s">
        <v>180</v>
      </c>
      <c r="N1266">
        <v>3</v>
      </c>
      <c r="O1266">
        <v>15</v>
      </c>
      <c r="P1266">
        <v>47.017600000000002</v>
      </c>
      <c r="Q1266" t="s">
        <v>352</v>
      </c>
      <c r="R1266">
        <v>1</v>
      </c>
      <c r="S1266">
        <v>47.289700000000003</v>
      </c>
      <c r="T1266">
        <v>0.55830000000000002</v>
      </c>
      <c r="U1266">
        <v>-0.48737238044062653</v>
      </c>
      <c r="V1266">
        <v>45.614800000000002</v>
      </c>
      <c r="W1266">
        <v>46.173100000000005</v>
      </c>
      <c r="X1266">
        <v>46.731400000000001</v>
      </c>
      <c r="Y1266">
        <v>47.848000000000006</v>
      </c>
      <c r="Z1266">
        <v>48.406300000000002</v>
      </c>
      <c r="AA1266">
        <v>48.964600000000004</v>
      </c>
      <c r="AD1266">
        <v>3.6654153790683175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 t="s">
        <v>462</v>
      </c>
      <c r="AL1266" t="s">
        <v>6</v>
      </c>
      <c r="AM1266" t="s">
        <v>1145</v>
      </c>
      <c r="AN1266" t="s">
        <v>1146</v>
      </c>
      <c r="AO1266" s="100">
        <v>46262.040405092594</v>
      </c>
      <c r="AP1266" t="s">
        <v>1147</v>
      </c>
      <c r="AQ1266" t="s">
        <v>3758</v>
      </c>
      <c r="AR1266" t="s">
        <v>1215</v>
      </c>
      <c r="AS1266" t="s">
        <v>1150</v>
      </c>
      <c r="AT1266" t="s">
        <v>3630</v>
      </c>
      <c r="AU1266">
        <v>25</v>
      </c>
      <c r="AV1266">
        <v>47.319515999999993</v>
      </c>
      <c r="AW1266">
        <v>0.56263412229144638</v>
      </c>
      <c r="AX1266">
        <v>1.1890107292970757</v>
      </c>
      <c r="BB1266" t="s">
        <v>4619</v>
      </c>
      <c r="BD1266" s="98"/>
      <c r="BE1266" s="98"/>
      <c r="BF1266" t="s">
        <v>1152</v>
      </c>
      <c r="BG1266" t="s">
        <v>322</v>
      </c>
      <c r="BH1266" t="s">
        <v>1153</v>
      </c>
      <c r="BN1266" t="s">
        <v>1154</v>
      </c>
      <c r="BO1266">
        <v>2025</v>
      </c>
      <c r="BP1266" t="s">
        <v>966</v>
      </c>
      <c r="BZ1266" t="s">
        <v>1513</v>
      </c>
      <c r="CA1266" t="s">
        <v>1513</v>
      </c>
      <c r="CB1266" t="b">
        <v>0</v>
      </c>
      <c r="CC1266" t="b">
        <v>0</v>
      </c>
      <c r="CD1266" t="b">
        <v>0</v>
      </c>
      <c r="CE1266" t="b">
        <v>0</v>
      </c>
      <c r="CF1266" t="b">
        <v>0</v>
      </c>
    </row>
    <row r="1267" spans="1:84" x14ac:dyDescent="0.3">
      <c r="A1267" t="s">
        <v>3759</v>
      </c>
      <c r="B1267" t="s">
        <v>1217</v>
      </c>
      <c r="C1267" s="98">
        <v>45768</v>
      </c>
      <c r="D1267">
        <v>2025</v>
      </c>
      <c r="E1267">
        <v>4</v>
      </c>
      <c r="F1267">
        <v>2</v>
      </c>
      <c r="G1267" t="s">
        <v>1208</v>
      </c>
      <c r="H1267" t="s">
        <v>147</v>
      </c>
      <c r="I1267" t="s">
        <v>147</v>
      </c>
      <c r="J1267" t="s">
        <v>6</v>
      </c>
      <c r="L1267">
        <v>522611</v>
      </c>
      <c r="M1267" s="99" t="s">
        <v>180</v>
      </c>
      <c r="N1267">
        <v>3</v>
      </c>
      <c r="O1267">
        <v>16</v>
      </c>
      <c r="P1267">
        <v>46.7744</v>
      </c>
      <c r="Q1267" t="s">
        <v>352</v>
      </c>
      <c r="R1267">
        <v>1</v>
      </c>
      <c r="S1267">
        <v>47.289700000000003</v>
      </c>
      <c r="T1267">
        <v>0.55830000000000002</v>
      </c>
      <c r="U1267">
        <v>-0.92298047644636105</v>
      </c>
      <c r="V1267">
        <v>45.614800000000002</v>
      </c>
      <c r="W1267">
        <v>46.173100000000005</v>
      </c>
      <c r="X1267">
        <v>46.731400000000001</v>
      </c>
      <c r="Y1267">
        <v>47.848000000000006</v>
      </c>
      <c r="Z1267">
        <v>48.406300000000002</v>
      </c>
      <c r="AA1267">
        <v>48.964600000000004</v>
      </c>
      <c r="AD1267">
        <v>3.6654153790683175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 t="s">
        <v>462</v>
      </c>
      <c r="AL1267" t="s">
        <v>6</v>
      </c>
      <c r="AM1267" t="s">
        <v>1145</v>
      </c>
      <c r="AN1267" t="s">
        <v>1146</v>
      </c>
      <c r="AO1267" s="100">
        <v>46262.040405092594</v>
      </c>
      <c r="AP1267" t="s">
        <v>1147</v>
      </c>
      <c r="AQ1267" t="s">
        <v>3760</v>
      </c>
      <c r="AR1267" t="s">
        <v>1219</v>
      </c>
      <c r="AS1267" t="s">
        <v>1150</v>
      </c>
      <c r="AT1267" t="s">
        <v>3630</v>
      </c>
      <c r="AU1267">
        <v>25</v>
      </c>
      <c r="AV1267">
        <v>47.319515999999993</v>
      </c>
      <c r="AW1267">
        <v>0.56263412229144638</v>
      </c>
      <c r="AX1267">
        <v>1.1890107292970757</v>
      </c>
      <c r="BB1267" t="s">
        <v>4619</v>
      </c>
      <c r="BD1267" s="98"/>
      <c r="BE1267" s="98"/>
      <c r="BF1267" t="s">
        <v>1152</v>
      </c>
      <c r="BG1267" t="s">
        <v>322</v>
      </c>
      <c r="BH1267" t="s">
        <v>1153</v>
      </c>
      <c r="BN1267" t="s">
        <v>1154</v>
      </c>
      <c r="BO1267">
        <v>2025</v>
      </c>
      <c r="BP1267" t="s">
        <v>966</v>
      </c>
      <c r="BZ1267" t="s">
        <v>1513</v>
      </c>
      <c r="CA1267" t="s">
        <v>1513</v>
      </c>
      <c r="CB1267" t="b">
        <v>0</v>
      </c>
      <c r="CC1267" t="b">
        <v>0</v>
      </c>
      <c r="CD1267" t="b">
        <v>0</v>
      </c>
      <c r="CE1267" t="b">
        <v>0</v>
      </c>
      <c r="CF1267" t="b">
        <v>0</v>
      </c>
    </row>
    <row r="1268" spans="1:84" x14ac:dyDescent="0.3">
      <c r="A1268" t="s">
        <v>3761</v>
      </c>
      <c r="B1268" t="s">
        <v>1221</v>
      </c>
      <c r="C1268" s="98">
        <v>45775</v>
      </c>
      <c r="D1268">
        <v>2025</v>
      </c>
      <c r="E1268">
        <v>4</v>
      </c>
      <c r="F1268">
        <v>2</v>
      </c>
      <c r="G1268" t="s">
        <v>1208</v>
      </c>
      <c r="H1268" t="s">
        <v>147</v>
      </c>
      <c r="I1268" t="s">
        <v>147</v>
      </c>
      <c r="J1268" t="s">
        <v>6</v>
      </c>
      <c r="L1268">
        <v>522611</v>
      </c>
      <c r="M1268" s="99" t="s">
        <v>180</v>
      </c>
      <c r="N1268">
        <v>3</v>
      </c>
      <c r="O1268">
        <v>17</v>
      </c>
      <c r="P1268">
        <v>47.389400000000002</v>
      </c>
      <c r="Q1268" t="s">
        <v>352</v>
      </c>
      <c r="R1268">
        <v>1</v>
      </c>
      <c r="S1268">
        <v>47.289700000000003</v>
      </c>
      <c r="T1268">
        <v>0.55830000000000002</v>
      </c>
      <c r="U1268">
        <v>0.17857782554182083</v>
      </c>
      <c r="V1268">
        <v>45.614800000000002</v>
      </c>
      <c r="W1268">
        <v>46.173100000000005</v>
      </c>
      <c r="X1268">
        <v>46.731400000000001</v>
      </c>
      <c r="Y1268">
        <v>47.848000000000006</v>
      </c>
      <c r="Z1268">
        <v>48.406300000000002</v>
      </c>
      <c r="AA1268">
        <v>48.964600000000004</v>
      </c>
      <c r="AD1268">
        <v>3.6654153790683175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 t="s">
        <v>462</v>
      </c>
      <c r="AL1268" t="s">
        <v>6</v>
      </c>
      <c r="AM1268" t="s">
        <v>1145</v>
      </c>
      <c r="AN1268" t="s">
        <v>1146</v>
      </c>
      <c r="AO1268" s="100">
        <v>46262.040405092594</v>
      </c>
      <c r="AP1268" t="s">
        <v>1147</v>
      </c>
      <c r="AQ1268" t="s">
        <v>3762</v>
      </c>
      <c r="AR1268" t="s">
        <v>1223</v>
      </c>
      <c r="AS1268" t="s">
        <v>1150</v>
      </c>
      <c r="AT1268" t="s">
        <v>3630</v>
      </c>
      <c r="AU1268">
        <v>25</v>
      </c>
      <c r="AV1268">
        <v>47.319515999999993</v>
      </c>
      <c r="AW1268">
        <v>0.56263412229144638</v>
      </c>
      <c r="AX1268">
        <v>1.1890107292970757</v>
      </c>
      <c r="BB1268" t="s">
        <v>4619</v>
      </c>
      <c r="BD1268" s="98"/>
      <c r="BE1268" s="98"/>
      <c r="BF1268" t="s">
        <v>1152</v>
      </c>
      <c r="BG1268" t="s">
        <v>322</v>
      </c>
      <c r="BH1268" t="s">
        <v>1153</v>
      </c>
      <c r="BN1268" t="s">
        <v>1154</v>
      </c>
      <c r="BO1268">
        <v>2025</v>
      </c>
      <c r="BP1268" t="s">
        <v>966</v>
      </c>
      <c r="BZ1268" t="s">
        <v>1513</v>
      </c>
      <c r="CA1268" t="s">
        <v>1513</v>
      </c>
      <c r="CB1268" t="b">
        <v>0</v>
      </c>
      <c r="CC1268" t="b">
        <v>0</v>
      </c>
      <c r="CD1268" t="b">
        <v>0</v>
      </c>
      <c r="CE1268" t="b">
        <v>0</v>
      </c>
      <c r="CF1268" t="b">
        <v>0</v>
      </c>
    </row>
    <row r="1269" spans="1:84" x14ac:dyDescent="0.3">
      <c r="A1269" t="s">
        <v>3763</v>
      </c>
      <c r="B1269" t="s">
        <v>1225</v>
      </c>
      <c r="C1269" s="98">
        <v>45782</v>
      </c>
      <c r="D1269">
        <v>2025</v>
      </c>
      <c r="E1269">
        <v>5</v>
      </c>
      <c r="F1269">
        <v>2</v>
      </c>
      <c r="G1269" t="s">
        <v>1226</v>
      </c>
      <c r="H1269" t="s">
        <v>147</v>
      </c>
      <c r="I1269" t="s">
        <v>147</v>
      </c>
      <c r="J1269" t="s">
        <v>6</v>
      </c>
      <c r="L1269">
        <v>522611</v>
      </c>
      <c r="M1269" s="99" t="s">
        <v>180</v>
      </c>
      <c r="N1269">
        <v>3</v>
      </c>
      <c r="O1269">
        <v>18</v>
      </c>
      <c r="P1269">
        <v>47.72</v>
      </c>
      <c r="Q1269" t="s">
        <v>352</v>
      </c>
      <c r="R1269">
        <v>1</v>
      </c>
      <c r="S1269">
        <v>47.289700000000003</v>
      </c>
      <c r="T1269">
        <v>0.55830000000000002</v>
      </c>
      <c r="U1269">
        <v>0.77073258104960674</v>
      </c>
      <c r="V1269">
        <v>45.614800000000002</v>
      </c>
      <c r="W1269">
        <v>46.173100000000005</v>
      </c>
      <c r="X1269">
        <v>46.731400000000001</v>
      </c>
      <c r="Y1269">
        <v>47.848000000000006</v>
      </c>
      <c r="Z1269">
        <v>48.406300000000002</v>
      </c>
      <c r="AA1269">
        <v>48.964600000000004</v>
      </c>
      <c r="AD1269">
        <v>3.6654153790683175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 t="s">
        <v>462</v>
      </c>
      <c r="AL1269" t="s">
        <v>6</v>
      </c>
      <c r="AM1269" t="s">
        <v>1145</v>
      </c>
      <c r="AN1269" t="s">
        <v>1146</v>
      </c>
      <c r="AO1269" s="100">
        <v>46262.040405092594</v>
      </c>
      <c r="AP1269" t="s">
        <v>1147</v>
      </c>
      <c r="AQ1269" t="s">
        <v>3764</v>
      </c>
      <c r="AR1269" t="s">
        <v>1228</v>
      </c>
      <c r="AS1269" t="s">
        <v>1150</v>
      </c>
      <c r="AT1269" t="s">
        <v>3630</v>
      </c>
      <c r="AU1269">
        <v>25</v>
      </c>
      <c r="AV1269">
        <v>47.319515999999993</v>
      </c>
      <c r="AW1269">
        <v>0.56263412229144638</v>
      </c>
      <c r="AX1269">
        <v>1.1890107292970757</v>
      </c>
      <c r="BB1269" t="s">
        <v>4619</v>
      </c>
      <c r="BD1269" s="98"/>
      <c r="BE1269" s="98"/>
      <c r="BF1269" t="s">
        <v>1152</v>
      </c>
      <c r="BG1269" t="s">
        <v>322</v>
      </c>
      <c r="BH1269" t="s">
        <v>1153</v>
      </c>
      <c r="BN1269" t="s">
        <v>1154</v>
      </c>
      <c r="BO1269">
        <v>2025</v>
      </c>
      <c r="BP1269" t="s">
        <v>966</v>
      </c>
      <c r="BZ1269" t="s">
        <v>1513</v>
      </c>
      <c r="CA1269" t="s">
        <v>1513</v>
      </c>
      <c r="CB1269" t="b">
        <v>0</v>
      </c>
      <c r="CC1269" t="b">
        <v>0</v>
      </c>
      <c r="CD1269" t="b">
        <v>0</v>
      </c>
      <c r="CE1269" t="b">
        <v>0</v>
      </c>
      <c r="CF1269" t="b">
        <v>0</v>
      </c>
    </row>
    <row r="1270" spans="1:84" x14ac:dyDescent="0.3">
      <c r="A1270" t="s">
        <v>3765</v>
      </c>
      <c r="B1270" t="s">
        <v>1230</v>
      </c>
      <c r="C1270" s="98">
        <v>45789</v>
      </c>
      <c r="D1270">
        <v>2025</v>
      </c>
      <c r="E1270">
        <v>5</v>
      </c>
      <c r="F1270">
        <v>2</v>
      </c>
      <c r="G1270" t="s">
        <v>1226</v>
      </c>
      <c r="H1270" t="s">
        <v>147</v>
      </c>
      <c r="I1270" t="s">
        <v>147</v>
      </c>
      <c r="J1270" t="s">
        <v>6</v>
      </c>
      <c r="L1270">
        <v>522611</v>
      </c>
      <c r="M1270" s="99" t="s">
        <v>180</v>
      </c>
      <c r="N1270">
        <v>3</v>
      </c>
      <c r="O1270">
        <v>19</v>
      </c>
      <c r="P1270">
        <v>46.9358</v>
      </c>
      <c r="Q1270" t="s">
        <v>352</v>
      </c>
      <c r="R1270">
        <v>1</v>
      </c>
      <c r="S1270">
        <v>47.289700000000003</v>
      </c>
      <c r="T1270">
        <v>0.55830000000000002</v>
      </c>
      <c r="U1270">
        <v>-0.63388859036360912</v>
      </c>
      <c r="V1270">
        <v>45.614800000000002</v>
      </c>
      <c r="W1270">
        <v>46.173100000000005</v>
      </c>
      <c r="X1270">
        <v>46.731400000000001</v>
      </c>
      <c r="Y1270">
        <v>47.848000000000006</v>
      </c>
      <c r="Z1270">
        <v>48.406300000000002</v>
      </c>
      <c r="AA1270">
        <v>48.964600000000004</v>
      </c>
      <c r="AD1270">
        <v>3.6654153790683175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 t="s">
        <v>462</v>
      </c>
      <c r="AL1270" t="s">
        <v>6</v>
      </c>
      <c r="AM1270" t="s">
        <v>1145</v>
      </c>
      <c r="AN1270" t="s">
        <v>1146</v>
      </c>
      <c r="AO1270" s="100">
        <v>46262.040405092594</v>
      </c>
      <c r="AP1270" t="s">
        <v>1147</v>
      </c>
      <c r="AQ1270" t="s">
        <v>3766</v>
      </c>
      <c r="AR1270" t="s">
        <v>1232</v>
      </c>
      <c r="AS1270" t="s">
        <v>1150</v>
      </c>
      <c r="AT1270" t="s">
        <v>3630</v>
      </c>
      <c r="AU1270">
        <v>25</v>
      </c>
      <c r="AV1270">
        <v>47.319515999999993</v>
      </c>
      <c r="AW1270">
        <v>0.56263412229144638</v>
      </c>
      <c r="AX1270">
        <v>1.1890107292970757</v>
      </c>
      <c r="BB1270" t="s">
        <v>4619</v>
      </c>
      <c r="BD1270" s="98"/>
      <c r="BE1270" s="98"/>
      <c r="BF1270" t="s">
        <v>1152</v>
      </c>
      <c r="BG1270" t="s">
        <v>322</v>
      </c>
      <c r="BH1270" t="s">
        <v>1153</v>
      </c>
      <c r="BN1270" t="s">
        <v>1154</v>
      </c>
      <c r="BO1270">
        <v>2025</v>
      </c>
      <c r="BP1270" t="s">
        <v>966</v>
      </c>
      <c r="BZ1270" t="s">
        <v>1513</v>
      </c>
      <c r="CA1270" t="s">
        <v>1513</v>
      </c>
      <c r="CB1270" t="b">
        <v>0</v>
      </c>
      <c r="CC1270" t="b">
        <v>0</v>
      </c>
      <c r="CD1270" t="b">
        <v>0</v>
      </c>
      <c r="CE1270" t="b">
        <v>0</v>
      </c>
      <c r="CF1270" t="b">
        <v>0</v>
      </c>
    </row>
    <row r="1271" spans="1:84" x14ac:dyDescent="0.3">
      <c r="A1271" t="s">
        <v>3767</v>
      </c>
      <c r="B1271" t="s">
        <v>1234</v>
      </c>
      <c r="C1271" s="98">
        <v>45796</v>
      </c>
      <c r="D1271">
        <v>2025</v>
      </c>
      <c r="E1271">
        <v>5</v>
      </c>
      <c r="F1271">
        <v>2</v>
      </c>
      <c r="G1271" t="s">
        <v>1226</v>
      </c>
      <c r="H1271" t="s">
        <v>147</v>
      </c>
      <c r="I1271" t="s">
        <v>147</v>
      </c>
      <c r="J1271" t="s">
        <v>6</v>
      </c>
      <c r="L1271">
        <v>522611</v>
      </c>
      <c r="M1271" s="99" t="s">
        <v>180</v>
      </c>
      <c r="N1271">
        <v>3</v>
      </c>
      <c r="O1271">
        <v>20</v>
      </c>
      <c r="P1271">
        <v>47.474200000000003</v>
      </c>
      <c r="Q1271" t="s">
        <v>352</v>
      </c>
      <c r="R1271">
        <v>1</v>
      </c>
      <c r="S1271">
        <v>47.289700000000003</v>
      </c>
      <c r="T1271">
        <v>0.55830000000000002</v>
      </c>
      <c r="U1271">
        <v>0.33046749059645331</v>
      </c>
      <c r="V1271">
        <v>45.614800000000002</v>
      </c>
      <c r="W1271">
        <v>46.173100000000005</v>
      </c>
      <c r="X1271">
        <v>46.731400000000001</v>
      </c>
      <c r="Y1271">
        <v>47.848000000000006</v>
      </c>
      <c r="Z1271">
        <v>48.406300000000002</v>
      </c>
      <c r="AA1271">
        <v>48.964600000000004</v>
      </c>
      <c r="AD1271">
        <v>3.6654153790683175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 t="s">
        <v>462</v>
      </c>
      <c r="AL1271" t="s">
        <v>6</v>
      </c>
      <c r="AM1271" t="s">
        <v>1145</v>
      </c>
      <c r="AN1271" t="s">
        <v>1146</v>
      </c>
      <c r="AO1271" s="100">
        <v>46262.040405092594</v>
      </c>
      <c r="AP1271" t="s">
        <v>1147</v>
      </c>
      <c r="AQ1271" t="s">
        <v>3768</v>
      </c>
      <c r="AR1271" t="s">
        <v>1236</v>
      </c>
      <c r="AS1271" t="s">
        <v>1150</v>
      </c>
      <c r="AT1271" t="s">
        <v>3630</v>
      </c>
      <c r="AU1271">
        <v>25</v>
      </c>
      <c r="AV1271">
        <v>47.319515999999993</v>
      </c>
      <c r="AW1271">
        <v>0.56263412229144638</v>
      </c>
      <c r="AX1271">
        <v>1.1890107292970757</v>
      </c>
      <c r="BB1271" t="s">
        <v>4619</v>
      </c>
      <c r="BD1271" s="98"/>
      <c r="BE1271" s="98"/>
      <c r="BF1271" t="s">
        <v>1152</v>
      </c>
      <c r="BG1271" t="s">
        <v>322</v>
      </c>
      <c r="BH1271" t="s">
        <v>1153</v>
      </c>
      <c r="BN1271" t="s">
        <v>1154</v>
      </c>
      <c r="BO1271">
        <v>2025</v>
      </c>
      <c r="BP1271" t="s">
        <v>966</v>
      </c>
      <c r="BZ1271" t="s">
        <v>1513</v>
      </c>
      <c r="CA1271" t="s">
        <v>1513</v>
      </c>
      <c r="CB1271" t="b">
        <v>0</v>
      </c>
      <c r="CC1271" t="b">
        <v>0</v>
      </c>
      <c r="CD1271" t="b">
        <v>0</v>
      </c>
      <c r="CE1271" t="b">
        <v>0</v>
      </c>
      <c r="CF1271" t="b">
        <v>0</v>
      </c>
    </row>
    <row r="1272" spans="1:84" x14ac:dyDescent="0.3">
      <c r="A1272" t="s">
        <v>3769</v>
      </c>
      <c r="B1272" t="s">
        <v>1238</v>
      </c>
      <c r="C1272" s="98">
        <v>45803</v>
      </c>
      <c r="D1272">
        <v>2025</v>
      </c>
      <c r="E1272">
        <v>5</v>
      </c>
      <c r="F1272">
        <v>2</v>
      </c>
      <c r="G1272" t="s">
        <v>1226</v>
      </c>
      <c r="H1272" t="s">
        <v>147</v>
      </c>
      <c r="I1272" t="s">
        <v>147</v>
      </c>
      <c r="J1272" t="s">
        <v>6</v>
      </c>
      <c r="L1272">
        <v>522611</v>
      </c>
      <c r="M1272" s="99" t="s">
        <v>180</v>
      </c>
      <c r="N1272">
        <v>3</v>
      </c>
      <c r="O1272">
        <v>21</v>
      </c>
      <c r="P1272">
        <v>47.237499999999997</v>
      </c>
      <c r="Q1272" t="s">
        <v>352</v>
      </c>
      <c r="R1272">
        <v>1</v>
      </c>
      <c r="S1272">
        <v>47.289700000000003</v>
      </c>
      <c r="T1272">
        <v>0.55830000000000002</v>
      </c>
      <c r="U1272">
        <v>-9.3498119290715095E-2</v>
      </c>
      <c r="V1272">
        <v>45.614800000000002</v>
      </c>
      <c r="W1272">
        <v>46.173100000000005</v>
      </c>
      <c r="X1272">
        <v>46.731400000000001</v>
      </c>
      <c r="Y1272">
        <v>47.848000000000006</v>
      </c>
      <c r="Z1272">
        <v>48.406300000000002</v>
      </c>
      <c r="AA1272">
        <v>48.964600000000004</v>
      </c>
      <c r="AD1272">
        <v>3.6654153790683175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 t="s">
        <v>462</v>
      </c>
      <c r="AL1272" t="s">
        <v>6</v>
      </c>
      <c r="AM1272" t="s">
        <v>1145</v>
      </c>
      <c r="AN1272" t="s">
        <v>1146</v>
      </c>
      <c r="AO1272" s="100">
        <v>46262.040405092594</v>
      </c>
      <c r="AP1272" t="s">
        <v>1147</v>
      </c>
      <c r="AQ1272" t="s">
        <v>3770</v>
      </c>
      <c r="AR1272" t="s">
        <v>1240</v>
      </c>
      <c r="AS1272" t="s">
        <v>1150</v>
      </c>
      <c r="AT1272" t="s">
        <v>3630</v>
      </c>
      <c r="AU1272">
        <v>25</v>
      </c>
      <c r="AV1272">
        <v>47.319515999999993</v>
      </c>
      <c r="AW1272">
        <v>0.56263412229144638</v>
      </c>
      <c r="AX1272">
        <v>1.1890107292970757</v>
      </c>
      <c r="BB1272" t="s">
        <v>4619</v>
      </c>
      <c r="BD1272" s="98"/>
      <c r="BE1272" s="98"/>
      <c r="BF1272" t="s">
        <v>1152</v>
      </c>
      <c r="BG1272" t="s">
        <v>322</v>
      </c>
      <c r="BH1272" t="s">
        <v>1153</v>
      </c>
      <c r="BN1272" t="s">
        <v>1154</v>
      </c>
      <c r="BO1272">
        <v>2025</v>
      </c>
      <c r="BP1272" t="s">
        <v>966</v>
      </c>
      <c r="BZ1272" t="s">
        <v>1513</v>
      </c>
      <c r="CA1272" t="s">
        <v>1513</v>
      </c>
      <c r="CB1272" t="b">
        <v>0</v>
      </c>
      <c r="CC1272" t="b">
        <v>0</v>
      </c>
      <c r="CD1272" t="b">
        <v>0</v>
      </c>
      <c r="CE1272" t="b">
        <v>0</v>
      </c>
      <c r="CF1272" t="b">
        <v>0</v>
      </c>
    </row>
    <row r="1273" spans="1:84" x14ac:dyDescent="0.3">
      <c r="A1273" t="s">
        <v>3771</v>
      </c>
      <c r="B1273" t="s">
        <v>1242</v>
      </c>
      <c r="C1273" s="98">
        <v>45810</v>
      </c>
      <c r="D1273">
        <v>2025</v>
      </c>
      <c r="E1273">
        <v>6</v>
      </c>
      <c r="F1273">
        <v>2</v>
      </c>
      <c r="G1273" t="s">
        <v>1243</v>
      </c>
      <c r="H1273" t="s">
        <v>147</v>
      </c>
      <c r="I1273" t="s">
        <v>147</v>
      </c>
      <c r="J1273" t="s">
        <v>6</v>
      </c>
      <c r="L1273">
        <v>522611</v>
      </c>
      <c r="M1273" s="99" t="s">
        <v>180</v>
      </c>
      <c r="N1273">
        <v>3</v>
      </c>
      <c r="O1273">
        <v>22</v>
      </c>
      <c r="P1273">
        <v>48.866500000000002</v>
      </c>
      <c r="Q1273" t="s">
        <v>352</v>
      </c>
      <c r="R1273">
        <v>1</v>
      </c>
      <c r="S1273">
        <v>47.289700000000003</v>
      </c>
      <c r="T1273">
        <v>0.55830000000000002</v>
      </c>
      <c r="U1273">
        <v>2.824288017195054</v>
      </c>
      <c r="V1273">
        <v>45.614800000000002</v>
      </c>
      <c r="W1273">
        <v>46.173100000000005</v>
      </c>
      <c r="X1273">
        <v>46.731400000000001</v>
      </c>
      <c r="Y1273">
        <v>47.848000000000006</v>
      </c>
      <c r="Z1273">
        <v>48.406300000000002</v>
      </c>
      <c r="AA1273">
        <v>48.964600000000004</v>
      </c>
      <c r="AD1273">
        <v>3.6654153790683175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1</v>
      </c>
      <c r="AK1273" t="s">
        <v>462</v>
      </c>
      <c r="AL1273" t="s">
        <v>6</v>
      </c>
      <c r="AM1273" t="s">
        <v>1145</v>
      </c>
      <c r="AN1273" t="s">
        <v>1146</v>
      </c>
      <c r="AO1273" s="100">
        <v>46262.040405092594</v>
      </c>
      <c r="AP1273" t="s">
        <v>1147</v>
      </c>
      <c r="AQ1273" t="s">
        <v>3772</v>
      </c>
      <c r="AR1273" t="s">
        <v>1245</v>
      </c>
      <c r="AS1273" t="s">
        <v>1150</v>
      </c>
      <c r="AT1273" t="s">
        <v>3630</v>
      </c>
      <c r="AU1273">
        <v>25</v>
      </c>
      <c r="AV1273">
        <v>47.319515999999993</v>
      </c>
      <c r="AW1273">
        <v>0.56263412229144638</v>
      </c>
      <c r="AX1273">
        <v>1.1890107292970757</v>
      </c>
      <c r="BB1273" t="s">
        <v>4619</v>
      </c>
      <c r="BD1273" s="98"/>
      <c r="BE1273" s="98"/>
      <c r="BF1273" t="s">
        <v>1152</v>
      </c>
      <c r="BG1273" t="s">
        <v>322</v>
      </c>
      <c r="BH1273" t="s">
        <v>1153</v>
      </c>
      <c r="BN1273" t="s">
        <v>1154</v>
      </c>
      <c r="BO1273">
        <v>2025</v>
      </c>
      <c r="BP1273" t="s">
        <v>966</v>
      </c>
      <c r="BZ1273" t="s">
        <v>1513</v>
      </c>
      <c r="CA1273" t="s">
        <v>1513</v>
      </c>
      <c r="CB1273" t="b">
        <v>0</v>
      </c>
      <c r="CC1273" t="b">
        <v>0</v>
      </c>
      <c r="CD1273" t="b">
        <v>0</v>
      </c>
      <c r="CE1273" t="b">
        <v>0</v>
      </c>
      <c r="CF1273" t="b">
        <v>0</v>
      </c>
    </row>
    <row r="1274" spans="1:84" x14ac:dyDescent="0.3">
      <c r="A1274" t="s">
        <v>3773</v>
      </c>
      <c r="B1274" t="s">
        <v>1247</v>
      </c>
      <c r="C1274" s="98">
        <v>45817</v>
      </c>
      <c r="D1274">
        <v>2025</v>
      </c>
      <c r="E1274">
        <v>6</v>
      </c>
      <c r="F1274">
        <v>2</v>
      </c>
      <c r="G1274" t="s">
        <v>1243</v>
      </c>
      <c r="H1274" t="s">
        <v>147</v>
      </c>
      <c r="I1274" t="s">
        <v>147</v>
      </c>
      <c r="J1274" t="s">
        <v>6</v>
      </c>
      <c r="L1274">
        <v>522611</v>
      </c>
      <c r="M1274" s="99" t="s">
        <v>180</v>
      </c>
      <c r="N1274">
        <v>3</v>
      </c>
      <c r="O1274">
        <v>23</v>
      </c>
      <c r="P1274">
        <v>46.894100000000002</v>
      </c>
      <c r="Q1274" t="s">
        <v>352</v>
      </c>
      <c r="R1274">
        <v>1</v>
      </c>
      <c r="S1274">
        <v>47.289700000000003</v>
      </c>
      <c r="T1274">
        <v>0.55830000000000002</v>
      </c>
      <c r="U1274">
        <v>-0.70857961669353697</v>
      </c>
      <c r="V1274">
        <v>45.614800000000002</v>
      </c>
      <c r="W1274">
        <v>46.173100000000005</v>
      </c>
      <c r="X1274">
        <v>46.731400000000001</v>
      </c>
      <c r="Y1274">
        <v>47.848000000000006</v>
      </c>
      <c r="Z1274">
        <v>48.406300000000002</v>
      </c>
      <c r="AA1274">
        <v>48.964600000000004</v>
      </c>
      <c r="AD1274">
        <v>3.6654153790683175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 t="s">
        <v>462</v>
      </c>
      <c r="AL1274" t="s">
        <v>6</v>
      </c>
      <c r="AM1274" t="s">
        <v>1145</v>
      </c>
      <c r="AN1274" t="s">
        <v>1146</v>
      </c>
      <c r="AO1274" s="100">
        <v>46262.040405092594</v>
      </c>
      <c r="AP1274" t="s">
        <v>1147</v>
      </c>
      <c r="AQ1274" t="s">
        <v>3774</v>
      </c>
      <c r="AR1274" t="s">
        <v>1249</v>
      </c>
      <c r="AS1274" t="s">
        <v>1150</v>
      </c>
      <c r="AT1274" t="s">
        <v>3630</v>
      </c>
      <c r="AU1274">
        <v>25</v>
      </c>
      <c r="AV1274">
        <v>47.319515999999993</v>
      </c>
      <c r="AW1274">
        <v>0.56263412229144638</v>
      </c>
      <c r="AX1274">
        <v>1.1890107292970757</v>
      </c>
      <c r="BB1274" t="s">
        <v>4619</v>
      </c>
      <c r="BD1274" s="98"/>
      <c r="BE1274" s="98"/>
      <c r="BF1274" t="s">
        <v>1152</v>
      </c>
      <c r="BG1274" t="s">
        <v>322</v>
      </c>
      <c r="BH1274" t="s">
        <v>1153</v>
      </c>
      <c r="BN1274" t="s">
        <v>1154</v>
      </c>
      <c r="BO1274">
        <v>2025</v>
      </c>
      <c r="BP1274" t="s">
        <v>966</v>
      </c>
      <c r="BZ1274" t="s">
        <v>1513</v>
      </c>
      <c r="CA1274" t="s">
        <v>1513</v>
      </c>
      <c r="CB1274" t="b">
        <v>0</v>
      </c>
      <c r="CC1274" t="b">
        <v>0</v>
      </c>
      <c r="CD1274" t="b">
        <v>0</v>
      </c>
      <c r="CE1274" t="b">
        <v>0</v>
      </c>
      <c r="CF1274" t="b">
        <v>0</v>
      </c>
    </row>
    <row r="1275" spans="1:84" x14ac:dyDescent="0.3">
      <c r="A1275" t="s">
        <v>3775</v>
      </c>
      <c r="B1275" t="s">
        <v>1251</v>
      </c>
      <c r="C1275" s="98">
        <v>45824</v>
      </c>
      <c r="D1275">
        <v>2025</v>
      </c>
      <c r="E1275">
        <v>6</v>
      </c>
      <c r="F1275">
        <v>2</v>
      </c>
      <c r="G1275" t="s">
        <v>1243</v>
      </c>
      <c r="H1275" t="s">
        <v>147</v>
      </c>
      <c r="I1275" t="s">
        <v>147</v>
      </c>
      <c r="J1275" t="s">
        <v>6</v>
      </c>
      <c r="L1275">
        <v>522611</v>
      </c>
      <c r="M1275" s="99" t="s">
        <v>180</v>
      </c>
      <c r="N1275">
        <v>3</v>
      </c>
      <c r="O1275">
        <v>24</v>
      </c>
      <c r="P1275">
        <v>48.062399999999997</v>
      </c>
      <c r="Q1275" t="s">
        <v>352</v>
      </c>
      <c r="R1275">
        <v>1</v>
      </c>
      <c r="S1275">
        <v>47.289700000000003</v>
      </c>
      <c r="T1275">
        <v>0.55830000000000002</v>
      </c>
      <c r="U1275">
        <v>1.3840229267418829</v>
      </c>
      <c r="V1275">
        <v>45.614800000000002</v>
      </c>
      <c r="W1275">
        <v>46.173100000000005</v>
      </c>
      <c r="X1275">
        <v>46.731400000000001</v>
      </c>
      <c r="Y1275">
        <v>47.848000000000006</v>
      </c>
      <c r="Z1275">
        <v>48.406300000000002</v>
      </c>
      <c r="AA1275">
        <v>48.964600000000004</v>
      </c>
      <c r="AD1275">
        <v>3.6654153790683175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 t="s">
        <v>462</v>
      </c>
      <c r="AL1275" t="s">
        <v>6</v>
      </c>
      <c r="AM1275" t="s">
        <v>1145</v>
      </c>
      <c r="AN1275" t="s">
        <v>1146</v>
      </c>
      <c r="AO1275" s="100">
        <v>46262.040405092594</v>
      </c>
      <c r="AP1275" t="s">
        <v>1147</v>
      </c>
      <c r="AQ1275" t="s">
        <v>3776</v>
      </c>
      <c r="AR1275" t="s">
        <v>1253</v>
      </c>
      <c r="AS1275" t="s">
        <v>1150</v>
      </c>
      <c r="AT1275" t="s">
        <v>3630</v>
      </c>
      <c r="AU1275">
        <v>25</v>
      </c>
      <c r="AV1275">
        <v>47.319515999999993</v>
      </c>
      <c r="AW1275">
        <v>0.56263412229144638</v>
      </c>
      <c r="AX1275">
        <v>1.1890107292970757</v>
      </c>
      <c r="BB1275" t="s">
        <v>4619</v>
      </c>
      <c r="BD1275" s="98"/>
      <c r="BE1275" s="98"/>
      <c r="BF1275" t="s">
        <v>1152</v>
      </c>
      <c r="BG1275" t="s">
        <v>322</v>
      </c>
      <c r="BH1275" t="s">
        <v>1153</v>
      </c>
      <c r="BN1275" t="s">
        <v>1154</v>
      </c>
      <c r="BO1275">
        <v>2025</v>
      </c>
      <c r="BP1275" t="s">
        <v>966</v>
      </c>
      <c r="BZ1275" t="s">
        <v>1513</v>
      </c>
      <c r="CA1275" t="s">
        <v>1513</v>
      </c>
      <c r="CB1275" t="b">
        <v>0</v>
      </c>
      <c r="CC1275" t="b">
        <v>0</v>
      </c>
      <c r="CD1275" t="b">
        <v>0</v>
      </c>
      <c r="CE1275" t="b">
        <v>0</v>
      </c>
      <c r="CF1275" t="b">
        <v>0</v>
      </c>
    </row>
    <row r="1276" spans="1:84" x14ac:dyDescent="0.3">
      <c r="A1276" t="s">
        <v>3777</v>
      </c>
      <c r="B1276" t="s">
        <v>1255</v>
      </c>
      <c r="C1276" s="98">
        <v>45831</v>
      </c>
      <c r="D1276">
        <v>2025</v>
      </c>
      <c r="E1276">
        <v>6</v>
      </c>
      <c r="F1276">
        <v>2</v>
      </c>
      <c r="G1276" t="s">
        <v>1243</v>
      </c>
      <c r="H1276" t="s">
        <v>147</v>
      </c>
      <c r="I1276" t="s">
        <v>147</v>
      </c>
      <c r="J1276" t="s">
        <v>6</v>
      </c>
      <c r="L1276">
        <v>522611</v>
      </c>
      <c r="M1276" s="99" t="s">
        <v>180</v>
      </c>
      <c r="N1276">
        <v>3</v>
      </c>
      <c r="O1276">
        <v>25</v>
      </c>
      <c r="P1276">
        <v>47.260399999999997</v>
      </c>
      <c r="Q1276" t="s">
        <v>352</v>
      </c>
      <c r="R1276">
        <v>1</v>
      </c>
      <c r="S1276">
        <v>47.289700000000003</v>
      </c>
      <c r="T1276">
        <v>0.55830000000000002</v>
      </c>
      <c r="U1276">
        <v>-5.2480745119122908E-2</v>
      </c>
      <c r="V1276">
        <v>45.614800000000002</v>
      </c>
      <c r="W1276">
        <v>46.173100000000005</v>
      </c>
      <c r="X1276">
        <v>46.731400000000001</v>
      </c>
      <c r="Y1276">
        <v>47.848000000000006</v>
      </c>
      <c r="Z1276">
        <v>48.406300000000002</v>
      </c>
      <c r="AA1276">
        <v>48.964600000000004</v>
      </c>
      <c r="AD1276">
        <v>3.6654153790683175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 t="s">
        <v>462</v>
      </c>
      <c r="AL1276" t="s">
        <v>6</v>
      </c>
      <c r="AM1276" t="s">
        <v>1145</v>
      </c>
      <c r="AN1276" t="s">
        <v>1146</v>
      </c>
      <c r="AO1276" s="100">
        <v>46262.040405092594</v>
      </c>
      <c r="AP1276" t="s">
        <v>1147</v>
      </c>
      <c r="AQ1276" t="s">
        <v>3778</v>
      </c>
      <c r="AR1276" t="s">
        <v>1257</v>
      </c>
      <c r="AS1276" t="s">
        <v>1150</v>
      </c>
      <c r="AT1276" t="s">
        <v>3630</v>
      </c>
      <c r="AU1276">
        <v>25</v>
      </c>
      <c r="AV1276">
        <v>47.319515999999993</v>
      </c>
      <c r="AW1276">
        <v>0.56263412229144638</v>
      </c>
      <c r="AX1276">
        <v>1.1890107292970757</v>
      </c>
      <c r="BB1276" t="s">
        <v>4619</v>
      </c>
      <c r="BD1276" s="98"/>
      <c r="BE1276" s="98"/>
      <c r="BF1276" t="s">
        <v>1152</v>
      </c>
      <c r="BG1276" t="s">
        <v>322</v>
      </c>
      <c r="BH1276" t="s">
        <v>1153</v>
      </c>
      <c r="BN1276" t="s">
        <v>1154</v>
      </c>
      <c r="BO1276">
        <v>2025</v>
      </c>
      <c r="BP1276" t="s">
        <v>966</v>
      </c>
      <c r="BZ1276" t="s">
        <v>1513</v>
      </c>
      <c r="CA1276" t="s">
        <v>1513</v>
      </c>
      <c r="CB1276" t="b">
        <v>0</v>
      </c>
      <c r="CC1276" t="b">
        <v>0</v>
      </c>
      <c r="CD1276" t="b">
        <v>0</v>
      </c>
      <c r="CE1276" t="b">
        <v>0</v>
      </c>
      <c r="CF1276" t="b">
        <v>0</v>
      </c>
    </row>
    <row r="1277" spans="1:84" x14ac:dyDescent="0.3">
      <c r="A1277" t="s">
        <v>3779</v>
      </c>
      <c r="B1277" t="s">
        <v>1143</v>
      </c>
      <c r="C1277" s="98">
        <v>45663</v>
      </c>
      <c r="D1277">
        <v>2025</v>
      </c>
      <c r="E1277">
        <v>1</v>
      </c>
      <c r="F1277">
        <v>1</v>
      </c>
      <c r="G1277" t="s">
        <v>1144</v>
      </c>
      <c r="H1277" t="s">
        <v>148</v>
      </c>
      <c r="I1277" t="s">
        <v>148</v>
      </c>
      <c r="J1277" t="s">
        <v>6</v>
      </c>
      <c r="L1277">
        <v>522611</v>
      </c>
      <c r="M1277" s="99" t="s">
        <v>178</v>
      </c>
      <c r="N1277">
        <v>1</v>
      </c>
      <c r="O1277">
        <v>1</v>
      </c>
      <c r="P1277">
        <v>19.413499999999999</v>
      </c>
      <c r="Q1277" t="s">
        <v>352</v>
      </c>
      <c r="R1277">
        <v>1</v>
      </c>
      <c r="S1277">
        <v>19.4345</v>
      </c>
      <c r="T1277">
        <v>0.1653</v>
      </c>
      <c r="U1277">
        <v>-0.12704174228675619</v>
      </c>
      <c r="V1277">
        <v>18.938600000000001</v>
      </c>
      <c r="W1277">
        <v>19.103899999999999</v>
      </c>
      <c r="X1277">
        <v>19.269200000000001</v>
      </c>
      <c r="Y1277">
        <v>19.599799999999998</v>
      </c>
      <c r="Z1277">
        <v>19.7651</v>
      </c>
      <c r="AA1277">
        <v>19.930399999999999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 t="s">
        <v>462</v>
      </c>
      <c r="AL1277" t="s">
        <v>6</v>
      </c>
      <c r="AM1277" t="s">
        <v>1145</v>
      </c>
      <c r="AN1277" t="s">
        <v>1146</v>
      </c>
      <c r="AO1277" s="100">
        <v>46262.040405092594</v>
      </c>
      <c r="AP1277" t="s">
        <v>1147</v>
      </c>
      <c r="AQ1277" t="s">
        <v>3780</v>
      </c>
      <c r="AR1277" t="s">
        <v>1149</v>
      </c>
      <c r="AS1277" t="s">
        <v>1150</v>
      </c>
      <c r="AT1277" t="s">
        <v>3781</v>
      </c>
      <c r="AU1277">
        <v>25</v>
      </c>
      <c r="AV1277">
        <v>19.490500000000004</v>
      </c>
      <c r="AW1277">
        <v>0.15752848684179865</v>
      </c>
      <c r="AX1277">
        <v>0.80823214818398004</v>
      </c>
      <c r="AY1277">
        <v>0.87643965749547414</v>
      </c>
      <c r="AZ1277">
        <v>2.2100227019990411</v>
      </c>
      <c r="BB1277" t="s">
        <v>4620</v>
      </c>
      <c r="BD1277" s="98"/>
      <c r="BE1277" s="98"/>
      <c r="BF1277" t="s">
        <v>1152</v>
      </c>
      <c r="BG1277" t="s">
        <v>322</v>
      </c>
      <c r="BH1277" t="s">
        <v>1153</v>
      </c>
      <c r="BI1277">
        <v>0.87643965749547414</v>
      </c>
      <c r="BN1277" t="s">
        <v>1154</v>
      </c>
      <c r="BO1277">
        <v>2025</v>
      </c>
      <c r="BP1277" t="s">
        <v>966</v>
      </c>
      <c r="BZ1277" t="s">
        <v>1513</v>
      </c>
      <c r="CA1277" t="s">
        <v>1513</v>
      </c>
      <c r="CB1277" t="b">
        <v>0</v>
      </c>
      <c r="CC1277" t="b">
        <v>0</v>
      </c>
      <c r="CD1277" t="b">
        <v>0</v>
      </c>
      <c r="CE1277" t="b">
        <v>0</v>
      </c>
      <c r="CF1277" t="b">
        <v>0</v>
      </c>
    </row>
    <row r="1278" spans="1:84" x14ac:dyDescent="0.3">
      <c r="A1278" t="s">
        <v>3782</v>
      </c>
      <c r="B1278" t="s">
        <v>1157</v>
      </c>
      <c r="C1278" s="98">
        <v>45670</v>
      </c>
      <c r="D1278">
        <v>2025</v>
      </c>
      <c r="E1278">
        <v>1</v>
      </c>
      <c r="F1278">
        <v>1</v>
      </c>
      <c r="G1278" t="s">
        <v>1144</v>
      </c>
      <c r="H1278" t="s">
        <v>148</v>
      </c>
      <c r="I1278" t="s">
        <v>148</v>
      </c>
      <c r="J1278" t="s">
        <v>6</v>
      </c>
      <c r="L1278">
        <v>522611</v>
      </c>
      <c r="M1278" s="99" t="s">
        <v>178</v>
      </c>
      <c r="N1278">
        <v>1</v>
      </c>
      <c r="O1278">
        <v>2</v>
      </c>
      <c r="P1278">
        <v>19.553799999999999</v>
      </c>
      <c r="Q1278" t="s">
        <v>352</v>
      </c>
      <c r="R1278">
        <v>1</v>
      </c>
      <c r="S1278">
        <v>19.4345</v>
      </c>
      <c r="T1278">
        <v>0.1653</v>
      </c>
      <c r="U1278">
        <v>0.72171808832425333</v>
      </c>
      <c r="V1278">
        <v>18.938600000000001</v>
      </c>
      <c r="W1278">
        <v>19.103899999999999</v>
      </c>
      <c r="X1278">
        <v>19.269200000000001</v>
      </c>
      <c r="Y1278">
        <v>19.599799999999998</v>
      </c>
      <c r="Z1278">
        <v>19.7651</v>
      </c>
      <c r="AA1278">
        <v>19.930399999999999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 t="s">
        <v>462</v>
      </c>
      <c r="AL1278" t="s">
        <v>6</v>
      </c>
      <c r="AM1278" t="s">
        <v>1145</v>
      </c>
      <c r="AN1278" t="s">
        <v>1146</v>
      </c>
      <c r="AO1278" s="100">
        <v>46262.040405092594</v>
      </c>
      <c r="AP1278" t="s">
        <v>1147</v>
      </c>
      <c r="AQ1278" t="s">
        <v>3783</v>
      </c>
      <c r="AR1278" t="s">
        <v>1159</v>
      </c>
      <c r="AS1278" t="s">
        <v>1150</v>
      </c>
      <c r="AT1278" t="s">
        <v>3781</v>
      </c>
      <c r="AU1278">
        <v>25</v>
      </c>
      <c r="AV1278">
        <v>19.490500000000004</v>
      </c>
      <c r="AW1278">
        <v>0.15752848684179865</v>
      </c>
      <c r="AX1278">
        <v>0.80823214818398004</v>
      </c>
      <c r="AY1278">
        <v>0.87643965749547414</v>
      </c>
      <c r="AZ1278">
        <v>2.2100227019990411</v>
      </c>
      <c r="BB1278" t="s">
        <v>4620</v>
      </c>
      <c r="BD1278" s="98"/>
      <c r="BE1278" s="98"/>
      <c r="BF1278" t="s">
        <v>1152</v>
      </c>
      <c r="BG1278" t="s">
        <v>322</v>
      </c>
      <c r="BH1278" t="s">
        <v>1153</v>
      </c>
      <c r="BI1278">
        <v>0.87643965749547414</v>
      </c>
      <c r="BN1278" t="s">
        <v>1154</v>
      </c>
      <c r="BO1278">
        <v>2025</v>
      </c>
      <c r="BP1278" t="s">
        <v>966</v>
      </c>
      <c r="BZ1278" t="s">
        <v>1513</v>
      </c>
      <c r="CA1278" t="s">
        <v>1513</v>
      </c>
      <c r="CB1278" t="b">
        <v>0</v>
      </c>
      <c r="CC1278" t="b">
        <v>0</v>
      </c>
      <c r="CD1278" t="b">
        <v>0</v>
      </c>
      <c r="CE1278" t="b">
        <v>0</v>
      </c>
      <c r="CF1278" t="b">
        <v>0</v>
      </c>
    </row>
    <row r="1279" spans="1:84" x14ac:dyDescent="0.3">
      <c r="A1279" t="s">
        <v>3784</v>
      </c>
      <c r="B1279" t="s">
        <v>1161</v>
      </c>
      <c r="C1279" s="98">
        <v>45677</v>
      </c>
      <c r="D1279">
        <v>2025</v>
      </c>
      <c r="E1279">
        <v>1</v>
      </c>
      <c r="F1279">
        <v>1</v>
      </c>
      <c r="G1279" t="s">
        <v>1144</v>
      </c>
      <c r="H1279" t="s">
        <v>148</v>
      </c>
      <c r="I1279" t="s">
        <v>148</v>
      </c>
      <c r="J1279" t="s">
        <v>6</v>
      </c>
      <c r="L1279">
        <v>522611</v>
      </c>
      <c r="M1279" s="99" t="s">
        <v>178</v>
      </c>
      <c r="N1279">
        <v>1</v>
      </c>
      <c r="O1279">
        <v>3</v>
      </c>
      <c r="P1279">
        <v>19.5823</v>
      </c>
      <c r="Q1279" t="s">
        <v>352</v>
      </c>
      <c r="R1279">
        <v>1</v>
      </c>
      <c r="S1279">
        <v>19.4345</v>
      </c>
      <c r="T1279">
        <v>0.1653</v>
      </c>
      <c r="U1279">
        <v>0.89413188142770816</v>
      </c>
      <c r="V1279">
        <v>18.938600000000001</v>
      </c>
      <c r="W1279">
        <v>19.103899999999999</v>
      </c>
      <c r="X1279">
        <v>19.269200000000001</v>
      </c>
      <c r="Y1279">
        <v>19.599799999999998</v>
      </c>
      <c r="Z1279">
        <v>19.7651</v>
      </c>
      <c r="AA1279">
        <v>19.930399999999999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 t="s">
        <v>462</v>
      </c>
      <c r="AL1279" t="s">
        <v>6</v>
      </c>
      <c r="AM1279" t="s">
        <v>1145</v>
      </c>
      <c r="AN1279" t="s">
        <v>1146</v>
      </c>
      <c r="AO1279" s="100">
        <v>46262.040405092594</v>
      </c>
      <c r="AP1279" t="s">
        <v>1147</v>
      </c>
      <c r="AQ1279" t="s">
        <v>3785</v>
      </c>
      <c r="AR1279" t="s">
        <v>1163</v>
      </c>
      <c r="AS1279" t="s">
        <v>1150</v>
      </c>
      <c r="AT1279" t="s">
        <v>3781</v>
      </c>
      <c r="AU1279">
        <v>25</v>
      </c>
      <c r="AV1279">
        <v>19.490500000000004</v>
      </c>
      <c r="AW1279">
        <v>0.15752848684179865</v>
      </c>
      <c r="AX1279">
        <v>0.80823214818398004</v>
      </c>
      <c r="AY1279">
        <v>0.87643965749547414</v>
      </c>
      <c r="AZ1279">
        <v>2.2100227019990411</v>
      </c>
      <c r="BB1279" t="s">
        <v>4620</v>
      </c>
      <c r="BD1279" s="98"/>
      <c r="BE1279" s="98"/>
      <c r="BF1279" t="s">
        <v>1152</v>
      </c>
      <c r="BG1279" t="s">
        <v>322</v>
      </c>
      <c r="BH1279" t="s">
        <v>1153</v>
      </c>
      <c r="BI1279">
        <v>0.87643965749547414</v>
      </c>
      <c r="BN1279" t="s">
        <v>1154</v>
      </c>
      <c r="BO1279">
        <v>2025</v>
      </c>
      <c r="BP1279" t="s">
        <v>966</v>
      </c>
      <c r="BZ1279" t="s">
        <v>1513</v>
      </c>
      <c r="CA1279" t="s">
        <v>1513</v>
      </c>
      <c r="CB1279" t="b">
        <v>0</v>
      </c>
      <c r="CC1279" t="b">
        <v>0</v>
      </c>
      <c r="CD1279" t="b">
        <v>0</v>
      </c>
      <c r="CE1279" t="b">
        <v>0</v>
      </c>
      <c r="CF1279" t="b">
        <v>0</v>
      </c>
    </row>
    <row r="1280" spans="1:84" x14ac:dyDescent="0.3">
      <c r="A1280" t="s">
        <v>3786</v>
      </c>
      <c r="B1280" t="s">
        <v>1165</v>
      </c>
      <c r="C1280" s="98">
        <v>45684</v>
      </c>
      <c r="D1280">
        <v>2025</v>
      </c>
      <c r="E1280">
        <v>1</v>
      </c>
      <c r="F1280">
        <v>1</v>
      </c>
      <c r="G1280" t="s">
        <v>1144</v>
      </c>
      <c r="H1280" t="s">
        <v>148</v>
      </c>
      <c r="I1280" t="s">
        <v>148</v>
      </c>
      <c r="J1280" t="s">
        <v>6</v>
      </c>
      <c r="L1280">
        <v>522611</v>
      </c>
      <c r="M1280" s="99" t="s">
        <v>178</v>
      </c>
      <c r="N1280">
        <v>1</v>
      </c>
      <c r="O1280">
        <v>4</v>
      </c>
      <c r="P1280">
        <v>19.643999999999998</v>
      </c>
      <c r="Q1280" t="s">
        <v>352</v>
      </c>
      <c r="R1280">
        <v>1</v>
      </c>
      <c r="S1280">
        <v>19.4345</v>
      </c>
      <c r="T1280">
        <v>0.1653</v>
      </c>
      <c r="U1280">
        <v>1.2673926194797245</v>
      </c>
      <c r="V1280">
        <v>18.938600000000001</v>
      </c>
      <c r="W1280">
        <v>19.103899999999999</v>
      </c>
      <c r="X1280">
        <v>19.269200000000001</v>
      </c>
      <c r="Y1280">
        <v>19.599799999999998</v>
      </c>
      <c r="Z1280">
        <v>19.7651</v>
      </c>
      <c r="AA1280">
        <v>19.930399999999999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 t="s">
        <v>462</v>
      </c>
      <c r="AL1280" t="s">
        <v>6</v>
      </c>
      <c r="AM1280" t="s">
        <v>1145</v>
      </c>
      <c r="AN1280" t="s">
        <v>1146</v>
      </c>
      <c r="AO1280" s="100">
        <v>46262.040405092594</v>
      </c>
      <c r="AP1280" t="s">
        <v>1147</v>
      </c>
      <c r="AQ1280" t="s">
        <v>3787</v>
      </c>
      <c r="AR1280" t="s">
        <v>1167</v>
      </c>
      <c r="AS1280" t="s">
        <v>1150</v>
      </c>
      <c r="AT1280" t="s">
        <v>3781</v>
      </c>
      <c r="AU1280">
        <v>25</v>
      </c>
      <c r="AV1280">
        <v>19.490500000000004</v>
      </c>
      <c r="AW1280">
        <v>0.15752848684179865</v>
      </c>
      <c r="AX1280">
        <v>0.80823214818398004</v>
      </c>
      <c r="AY1280">
        <v>0.87643965749547414</v>
      </c>
      <c r="AZ1280">
        <v>2.2100227019990411</v>
      </c>
      <c r="BB1280" t="s">
        <v>4620</v>
      </c>
      <c r="BD1280" s="98"/>
      <c r="BE1280" s="98"/>
      <c r="BF1280" t="s">
        <v>1152</v>
      </c>
      <c r="BG1280" t="s">
        <v>322</v>
      </c>
      <c r="BH1280" t="s">
        <v>1153</v>
      </c>
      <c r="BI1280">
        <v>0.87643965749547414</v>
      </c>
      <c r="BN1280" t="s">
        <v>1154</v>
      </c>
      <c r="BO1280">
        <v>2025</v>
      </c>
      <c r="BP1280" t="s">
        <v>966</v>
      </c>
      <c r="BZ1280" t="s">
        <v>1513</v>
      </c>
      <c r="CA1280" t="s">
        <v>1513</v>
      </c>
      <c r="CB1280" t="b">
        <v>0</v>
      </c>
      <c r="CC1280" t="b">
        <v>0</v>
      </c>
      <c r="CD1280" t="b">
        <v>0</v>
      </c>
      <c r="CE1280" t="b">
        <v>0</v>
      </c>
      <c r="CF1280" t="b">
        <v>0</v>
      </c>
    </row>
    <row r="1281" spans="1:84" x14ac:dyDescent="0.3">
      <c r="A1281" t="s">
        <v>3788</v>
      </c>
      <c r="B1281" t="s">
        <v>1169</v>
      </c>
      <c r="C1281" s="98">
        <v>45691</v>
      </c>
      <c r="D1281">
        <v>2025</v>
      </c>
      <c r="E1281">
        <v>2</v>
      </c>
      <c r="F1281">
        <v>1</v>
      </c>
      <c r="G1281" t="s">
        <v>1170</v>
      </c>
      <c r="H1281" t="s">
        <v>148</v>
      </c>
      <c r="I1281" t="s">
        <v>148</v>
      </c>
      <c r="J1281" t="s">
        <v>6</v>
      </c>
      <c r="L1281">
        <v>522611</v>
      </c>
      <c r="M1281" s="99" t="s">
        <v>178</v>
      </c>
      <c r="N1281">
        <v>1</v>
      </c>
      <c r="O1281">
        <v>5</v>
      </c>
      <c r="P1281">
        <v>19.488800000000001</v>
      </c>
      <c r="Q1281" t="s">
        <v>352</v>
      </c>
      <c r="R1281">
        <v>1</v>
      </c>
      <c r="S1281">
        <v>19.4345</v>
      </c>
      <c r="T1281">
        <v>0.1653</v>
      </c>
      <c r="U1281">
        <v>0.32849364791289382</v>
      </c>
      <c r="V1281">
        <v>18.938600000000001</v>
      </c>
      <c r="W1281">
        <v>19.103899999999999</v>
      </c>
      <c r="X1281">
        <v>19.269200000000001</v>
      </c>
      <c r="Y1281">
        <v>19.599799999999998</v>
      </c>
      <c r="Z1281">
        <v>19.7651</v>
      </c>
      <c r="AA1281">
        <v>19.930399999999999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 t="s">
        <v>462</v>
      </c>
      <c r="AL1281" t="s">
        <v>6</v>
      </c>
      <c r="AM1281" t="s">
        <v>1145</v>
      </c>
      <c r="AN1281" t="s">
        <v>1146</v>
      </c>
      <c r="AO1281" s="100">
        <v>46262.040405092594</v>
      </c>
      <c r="AP1281" t="s">
        <v>1147</v>
      </c>
      <c r="AQ1281" t="s">
        <v>3789</v>
      </c>
      <c r="AR1281" t="s">
        <v>1172</v>
      </c>
      <c r="AS1281" t="s">
        <v>1150</v>
      </c>
      <c r="AT1281" t="s">
        <v>3781</v>
      </c>
      <c r="AU1281">
        <v>25</v>
      </c>
      <c r="AV1281">
        <v>19.490500000000004</v>
      </c>
      <c r="AW1281">
        <v>0.15752848684179865</v>
      </c>
      <c r="AX1281">
        <v>0.80823214818398004</v>
      </c>
      <c r="AY1281">
        <v>0.87643965749547414</v>
      </c>
      <c r="AZ1281">
        <v>2.2100227019990411</v>
      </c>
      <c r="BB1281" t="s">
        <v>4620</v>
      </c>
      <c r="BD1281" s="98"/>
      <c r="BE1281" s="98"/>
      <c r="BF1281" t="s">
        <v>1152</v>
      </c>
      <c r="BG1281" t="s">
        <v>322</v>
      </c>
      <c r="BH1281" t="s">
        <v>1153</v>
      </c>
      <c r="BI1281">
        <v>0.87643965749547414</v>
      </c>
      <c r="BN1281" t="s">
        <v>1154</v>
      </c>
      <c r="BO1281">
        <v>2025</v>
      </c>
      <c r="BP1281" t="s">
        <v>966</v>
      </c>
      <c r="BZ1281" t="s">
        <v>1513</v>
      </c>
      <c r="CA1281" t="s">
        <v>1513</v>
      </c>
      <c r="CB1281" t="b">
        <v>0</v>
      </c>
      <c r="CC1281" t="b">
        <v>0</v>
      </c>
      <c r="CD1281" t="b">
        <v>0</v>
      </c>
      <c r="CE1281" t="b">
        <v>0</v>
      </c>
      <c r="CF1281" t="b">
        <v>0</v>
      </c>
    </row>
    <row r="1282" spans="1:84" x14ac:dyDescent="0.3">
      <c r="A1282" t="s">
        <v>3790</v>
      </c>
      <c r="B1282" t="s">
        <v>1174</v>
      </c>
      <c r="C1282" s="98">
        <v>45698</v>
      </c>
      <c r="D1282">
        <v>2025</v>
      </c>
      <c r="E1282">
        <v>2</v>
      </c>
      <c r="F1282">
        <v>1</v>
      </c>
      <c r="G1282" t="s">
        <v>1170</v>
      </c>
      <c r="H1282" t="s">
        <v>148</v>
      </c>
      <c r="I1282" t="s">
        <v>148</v>
      </c>
      <c r="J1282" t="s">
        <v>6</v>
      </c>
      <c r="L1282">
        <v>522611</v>
      </c>
      <c r="M1282" s="99" t="s">
        <v>178</v>
      </c>
      <c r="N1282">
        <v>1</v>
      </c>
      <c r="O1282">
        <v>6</v>
      </c>
      <c r="P1282">
        <v>19.3352</v>
      </c>
      <c r="Q1282" t="s">
        <v>352</v>
      </c>
      <c r="R1282">
        <v>1</v>
      </c>
      <c r="S1282">
        <v>19.4345</v>
      </c>
      <c r="T1282">
        <v>0.1653</v>
      </c>
      <c r="U1282">
        <v>-0.60072595281306407</v>
      </c>
      <c r="V1282">
        <v>18.938600000000001</v>
      </c>
      <c r="W1282">
        <v>19.103899999999999</v>
      </c>
      <c r="X1282">
        <v>19.269200000000001</v>
      </c>
      <c r="Y1282">
        <v>19.599799999999998</v>
      </c>
      <c r="Z1282">
        <v>19.7651</v>
      </c>
      <c r="AA1282">
        <v>19.930399999999999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 t="s">
        <v>462</v>
      </c>
      <c r="AL1282" t="s">
        <v>6</v>
      </c>
      <c r="AM1282" t="s">
        <v>1145</v>
      </c>
      <c r="AN1282" t="s">
        <v>1146</v>
      </c>
      <c r="AO1282" s="100">
        <v>46262.040405092594</v>
      </c>
      <c r="AP1282" t="s">
        <v>1147</v>
      </c>
      <c r="AQ1282" t="s">
        <v>3791</v>
      </c>
      <c r="AR1282" t="s">
        <v>1176</v>
      </c>
      <c r="AS1282" t="s">
        <v>1150</v>
      </c>
      <c r="AT1282" t="s">
        <v>3781</v>
      </c>
      <c r="AU1282">
        <v>25</v>
      </c>
      <c r="AV1282">
        <v>19.490500000000004</v>
      </c>
      <c r="AW1282">
        <v>0.15752848684179865</v>
      </c>
      <c r="AX1282">
        <v>0.80823214818398004</v>
      </c>
      <c r="AY1282">
        <v>0.87643965749547414</v>
      </c>
      <c r="AZ1282">
        <v>2.2100227019990411</v>
      </c>
      <c r="BB1282" t="s">
        <v>4620</v>
      </c>
      <c r="BD1282" s="98"/>
      <c r="BE1282" s="98"/>
      <c r="BF1282" t="s">
        <v>1152</v>
      </c>
      <c r="BG1282" t="s">
        <v>322</v>
      </c>
      <c r="BH1282" t="s">
        <v>1153</v>
      </c>
      <c r="BI1282">
        <v>0.87643965749547414</v>
      </c>
      <c r="BN1282" t="s">
        <v>1154</v>
      </c>
      <c r="BO1282">
        <v>2025</v>
      </c>
      <c r="BP1282" t="s">
        <v>966</v>
      </c>
      <c r="BZ1282" t="s">
        <v>1513</v>
      </c>
      <c r="CA1282" t="s">
        <v>1513</v>
      </c>
      <c r="CB1282" t="b">
        <v>0</v>
      </c>
      <c r="CC1282" t="b">
        <v>0</v>
      </c>
      <c r="CD1282" t="b">
        <v>0</v>
      </c>
      <c r="CE1282" t="b">
        <v>0</v>
      </c>
      <c r="CF1282" t="b">
        <v>0</v>
      </c>
    </row>
    <row r="1283" spans="1:84" x14ac:dyDescent="0.3">
      <c r="A1283" t="s">
        <v>3792</v>
      </c>
      <c r="B1283" t="s">
        <v>1178</v>
      </c>
      <c r="C1283" s="98">
        <v>45705</v>
      </c>
      <c r="D1283">
        <v>2025</v>
      </c>
      <c r="E1283">
        <v>2</v>
      </c>
      <c r="F1283">
        <v>1</v>
      </c>
      <c r="G1283" t="s">
        <v>1170</v>
      </c>
      <c r="H1283" t="s">
        <v>148</v>
      </c>
      <c r="I1283" t="s">
        <v>148</v>
      </c>
      <c r="J1283" t="s">
        <v>6</v>
      </c>
      <c r="L1283">
        <v>522611</v>
      </c>
      <c r="M1283" s="99" t="s">
        <v>178</v>
      </c>
      <c r="N1283">
        <v>1</v>
      </c>
      <c r="O1283">
        <v>7</v>
      </c>
      <c r="P1283">
        <v>19.345600000000001</v>
      </c>
      <c r="Q1283" t="s">
        <v>352</v>
      </c>
      <c r="R1283">
        <v>1</v>
      </c>
      <c r="S1283">
        <v>19.4345</v>
      </c>
      <c r="T1283">
        <v>0.1653</v>
      </c>
      <c r="U1283">
        <v>-0.53781004234724061</v>
      </c>
      <c r="V1283">
        <v>18.938600000000001</v>
      </c>
      <c r="W1283">
        <v>19.103899999999999</v>
      </c>
      <c r="X1283">
        <v>19.269200000000001</v>
      </c>
      <c r="Y1283">
        <v>19.599799999999998</v>
      </c>
      <c r="Z1283">
        <v>19.7651</v>
      </c>
      <c r="AA1283">
        <v>19.930399999999999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 t="s">
        <v>462</v>
      </c>
      <c r="AL1283" t="s">
        <v>6</v>
      </c>
      <c r="AM1283" t="s">
        <v>1145</v>
      </c>
      <c r="AN1283" t="s">
        <v>1146</v>
      </c>
      <c r="AO1283" s="100">
        <v>46262.040405092594</v>
      </c>
      <c r="AP1283" t="s">
        <v>1147</v>
      </c>
      <c r="AQ1283" t="s">
        <v>3793</v>
      </c>
      <c r="AR1283" t="s">
        <v>1180</v>
      </c>
      <c r="AS1283" t="s">
        <v>1150</v>
      </c>
      <c r="AT1283" t="s">
        <v>3781</v>
      </c>
      <c r="AU1283">
        <v>25</v>
      </c>
      <c r="AV1283">
        <v>19.490500000000004</v>
      </c>
      <c r="AW1283">
        <v>0.15752848684179865</v>
      </c>
      <c r="AX1283">
        <v>0.80823214818398004</v>
      </c>
      <c r="AY1283">
        <v>0.87643965749547414</v>
      </c>
      <c r="AZ1283">
        <v>2.2100227019990411</v>
      </c>
      <c r="BB1283" t="s">
        <v>4620</v>
      </c>
      <c r="BD1283" s="98"/>
      <c r="BE1283" s="98"/>
      <c r="BF1283" t="s">
        <v>1152</v>
      </c>
      <c r="BG1283" t="s">
        <v>322</v>
      </c>
      <c r="BH1283" t="s">
        <v>1153</v>
      </c>
      <c r="BI1283">
        <v>0.87643965749547414</v>
      </c>
      <c r="BN1283" t="s">
        <v>1154</v>
      </c>
      <c r="BO1283">
        <v>2025</v>
      </c>
      <c r="BP1283" t="s">
        <v>966</v>
      </c>
      <c r="BZ1283" t="s">
        <v>1513</v>
      </c>
      <c r="CA1283" t="s">
        <v>1513</v>
      </c>
      <c r="CB1283" t="b">
        <v>0</v>
      </c>
      <c r="CC1283" t="b">
        <v>0</v>
      </c>
      <c r="CD1283" t="b">
        <v>0</v>
      </c>
      <c r="CE1283" t="b">
        <v>0</v>
      </c>
      <c r="CF1283" t="b">
        <v>0</v>
      </c>
    </row>
    <row r="1284" spans="1:84" x14ac:dyDescent="0.3">
      <c r="A1284" t="s">
        <v>3794</v>
      </c>
      <c r="B1284" t="s">
        <v>1182</v>
      </c>
      <c r="C1284" s="98">
        <v>45712</v>
      </c>
      <c r="D1284">
        <v>2025</v>
      </c>
      <c r="E1284">
        <v>2</v>
      </c>
      <c r="F1284">
        <v>1</v>
      </c>
      <c r="G1284" t="s">
        <v>1170</v>
      </c>
      <c r="H1284" t="s">
        <v>148</v>
      </c>
      <c r="I1284" t="s">
        <v>148</v>
      </c>
      <c r="J1284" t="s">
        <v>6</v>
      </c>
      <c r="L1284">
        <v>522611</v>
      </c>
      <c r="M1284" s="99" t="s">
        <v>178</v>
      </c>
      <c r="N1284">
        <v>1</v>
      </c>
      <c r="O1284">
        <v>8</v>
      </c>
      <c r="P1284">
        <v>19.518799999999999</v>
      </c>
      <c r="Q1284" t="s">
        <v>352</v>
      </c>
      <c r="R1284">
        <v>1</v>
      </c>
      <c r="S1284">
        <v>19.4345</v>
      </c>
      <c r="T1284">
        <v>0.1653</v>
      </c>
      <c r="U1284">
        <v>0.50998185117966688</v>
      </c>
      <c r="V1284">
        <v>18.938600000000001</v>
      </c>
      <c r="W1284">
        <v>19.103899999999999</v>
      </c>
      <c r="X1284">
        <v>19.269200000000001</v>
      </c>
      <c r="Y1284">
        <v>19.599799999999998</v>
      </c>
      <c r="Z1284">
        <v>19.7651</v>
      </c>
      <c r="AA1284">
        <v>19.930399999999999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 t="s">
        <v>462</v>
      </c>
      <c r="AL1284" t="s">
        <v>6</v>
      </c>
      <c r="AM1284" t="s">
        <v>1145</v>
      </c>
      <c r="AN1284" t="s">
        <v>1146</v>
      </c>
      <c r="AO1284" s="100">
        <v>46262.040405092594</v>
      </c>
      <c r="AP1284" t="s">
        <v>1147</v>
      </c>
      <c r="AQ1284" t="s">
        <v>3795</v>
      </c>
      <c r="AR1284" t="s">
        <v>1184</v>
      </c>
      <c r="AS1284" t="s">
        <v>1150</v>
      </c>
      <c r="AT1284" t="s">
        <v>3781</v>
      </c>
      <c r="AU1284">
        <v>25</v>
      </c>
      <c r="AV1284">
        <v>19.490500000000004</v>
      </c>
      <c r="AW1284">
        <v>0.15752848684179865</v>
      </c>
      <c r="AX1284">
        <v>0.80823214818398004</v>
      </c>
      <c r="AY1284">
        <v>0.87643965749547414</v>
      </c>
      <c r="AZ1284">
        <v>2.2100227019990411</v>
      </c>
      <c r="BB1284" t="s">
        <v>4620</v>
      </c>
      <c r="BD1284" s="98"/>
      <c r="BE1284" s="98"/>
      <c r="BF1284" t="s">
        <v>1152</v>
      </c>
      <c r="BG1284" t="s">
        <v>322</v>
      </c>
      <c r="BH1284" t="s">
        <v>1153</v>
      </c>
      <c r="BI1284">
        <v>0.87643965749547414</v>
      </c>
      <c r="BN1284" t="s">
        <v>1154</v>
      </c>
      <c r="BO1284">
        <v>2025</v>
      </c>
      <c r="BP1284" t="s">
        <v>966</v>
      </c>
      <c r="BZ1284" t="s">
        <v>1513</v>
      </c>
      <c r="CA1284" t="s">
        <v>1513</v>
      </c>
      <c r="CB1284" t="b">
        <v>0</v>
      </c>
      <c r="CC1284" t="b">
        <v>0</v>
      </c>
      <c r="CD1284" t="b">
        <v>0</v>
      </c>
      <c r="CE1284" t="b">
        <v>0</v>
      </c>
      <c r="CF1284" t="b">
        <v>0</v>
      </c>
    </row>
    <row r="1285" spans="1:84" x14ac:dyDescent="0.3">
      <c r="A1285" t="s">
        <v>3796</v>
      </c>
      <c r="B1285" t="s">
        <v>1186</v>
      </c>
      <c r="C1285" s="98">
        <v>45719</v>
      </c>
      <c r="D1285">
        <v>2025</v>
      </c>
      <c r="E1285">
        <v>3</v>
      </c>
      <c r="F1285">
        <v>1</v>
      </c>
      <c r="G1285" t="s">
        <v>1187</v>
      </c>
      <c r="H1285" t="s">
        <v>148</v>
      </c>
      <c r="I1285" t="s">
        <v>148</v>
      </c>
      <c r="J1285" t="s">
        <v>6</v>
      </c>
      <c r="L1285">
        <v>522611</v>
      </c>
      <c r="M1285" s="99" t="s">
        <v>178</v>
      </c>
      <c r="N1285">
        <v>1</v>
      </c>
      <c r="O1285">
        <v>9</v>
      </c>
      <c r="P1285">
        <v>19.5305</v>
      </c>
      <c r="Q1285" t="s">
        <v>352</v>
      </c>
      <c r="R1285">
        <v>1</v>
      </c>
      <c r="S1285">
        <v>19.4345</v>
      </c>
      <c r="T1285">
        <v>0.1653</v>
      </c>
      <c r="U1285">
        <v>0.58076225045372099</v>
      </c>
      <c r="V1285">
        <v>18.938600000000001</v>
      </c>
      <c r="W1285">
        <v>19.103899999999999</v>
      </c>
      <c r="X1285">
        <v>19.269200000000001</v>
      </c>
      <c r="Y1285">
        <v>19.599799999999998</v>
      </c>
      <c r="Z1285">
        <v>19.7651</v>
      </c>
      <c r="AA1285">
        <v>19.930399999999999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 t="s">
        <v>462</v>
      </c>
      <c r="AL1285" t="s">
        <v>6</v>
      </c>
      <c r="AM1285" t="s">
        <v>1145</v>
      </c>
      <c r="AN1285" t="s">
        <v>1146</v>
      </c>
      <c r="AO1285" s="100">
        <v>46262.040405092594</v>
      </c>
      <c r="AP1285" t="s">
        <v>1147</v>
      </c>
      <c r="AQ1285" t="s">
        <v>3797</v>
      </c>
      <c r="AR1285" t="s">
        <v>1189</v>
      </c>
      <c r="AS1285" t="s">
        <v>1150</v>
      </c>
      <c r="AT1285" t="s">
        <v>3781</v>
      </c>
      <c r="AU1285">
        <v>25</v>
      </c>
      <c r="AV1285">
        <v>19.490500000000004</v>
      </c>
      <c r="AW1285">
        <v>0.15752848684179865</v>
      </c>
      <c r="AX1285">
        <v>0.80823214818398004</v>
      </c>
      <c r="AY1285">
        <v>0.87643965749547414</v>
      </c>
      <c r="AZ1285">
        <v>2.2100227019990411</v>
      </c>
      <c r="BB1285" t="s">
        <v>4620</v>
      </c>
      <c r="BD1285" s="98"/>
      <c r="BE1285" s="98"/>
      <c r="BF1285" t="s">
        <v>1152</v>
      </c>
      <c r="BG1285" t="s">
        <v>322</v>
      </c>
      <c r="BH1285" t="s">
        <v>1153</v>
      </c>
      <c r="BI1285">
        <v>0.87643965749547414</v>
      </c>
      <c r="BN1285" t="s">
        <v>1154</v>
      </c>
      <c r="BO1285">
        <v>2025</v>
      </c>
      <c r="BP1285" t="s">
        <v>966</v>
      </c>
      <c r="BZ1285" t="s">
        <v>1513</v>
      </c>
      <c r="CA1285" t="s">
        <v>1513</v>
      </c>
      <c r="CB1285" t="b">
        <v>0</v>
      </c>
      <c r="CC1285" t="b">
        <v>0</v>
      </c>
      <c r="CD1285" t="b">
        <v>0</v>
      </c>
      <c r="CE1285" t="b">
        <v>0</v>
      </c>
      <c r="CF1285" t="b">
        <v>0</v>
      </c>
    </row>
    <row r="1286" spans="1:84" x14ac:dyDescent="0.3">
      <c r="A1286" t="s">
        <v>3798</v>
      </c>
      <c r="B1286" t="s">
        <v>1191</v>
      </c>
      <c r="C1286" s="98">
        <v>45726</v>
      </c>
      <c r="D1286">
        <v>2025</v>
      </c>
      <c r="E1286">
        <v>3</v>
      </c>
      <c r="F1286">
        <v>1</v>
      </c>
      <c r="G1286" t="s">
        <v>1187</v>
      </c>
      <c r="H1286" t="s">
        <v>148</v>
      </c>
      <c r="I1286" t="s">
        <v>148</v>
      </c>
      <c r="J1286" t="s">
        <v>6</v>
      </c>
      <c r="L1286">
        <v>522611</v>
      </c>
      <c r="M1286" s="99" t="s">
        <v>178</v>
      </c>
      <c r="N1286">
        <v>1</v>
      </c>
      <c r="O1286">
        <v>10</v>
      </c>
      <c r="P1286">
        <v>19.665600000000001</v>
      </c>
      <c r="Q1286" t="s">
        <v>352</v>
      </c>
      <c r="R1286">
        <v>1</v>
      </c>
      <c r="S1286">
        <v>19.4345</v>
      </c>
      <c r="T1286">
        <v>0.1653</v>
      </c>
      <c r="U1286">
        <v>1.3980641258318294</v>
      </c>
      <c r="V1286">
        <v>18.938600000000001</v>
      </c>
      <c r="W1286">
        <v>19.103899999999999</v>
      </c>
      <c r="X1286">
        <v>19.269200000000001</v>
      </c>
      <c r="Y1286">
        <v>19.599799999999998</v>
      </c>
      <c r="Z1286">
        <v>19.7651</v>
      </c>
      <c r="AA1286">
        <v>19.930399999999999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 t="s">
        <v>462</v>
      </c>
      <c r="AL1286" t="s">
        <v>6</v>
      </c>
      <c r="AM1286" t="s">
        <v>1145</v>
      </c>
      <c r="AN1286" t="s">
        <v>1146</v>
      </c>
      <c r="AO1286" s="100">
        <v>46262.040405092594</v>
      </c>
      <c r="AP1286" t="s">
        <v>1147</v>
      </c>
      <c r="AQ1286" t="s">
        <v>3799</v>
      </c>
      <c r="AR1286" t="s">
        <v>1193</v>
      </c>
      <c r="AS1286" t="s">
        <v>1150</v>
      </c>
      <c r="AT1286" t="s">
        <v>3781</v>
      </c>
      <c r="AU1286">
        <v>25</v>
      </c>
      <c r="AV1286">
        <v>19.490500000000004</v>
      </c>
      <c r="AW1286">
        <v>0.15752848684179865</v>
      </c>
      <c r="AX1286">
        <v>0.80823214818398004</v>
      </c>
      <c r="AY1286">
        <v>0.87643965749547414</v>
      </c>
      <c r="AZ1286">
        <v>2.2100227019990411</v>
      </c>
      <c r="BB1286" t="s">
        <v>4620</v>
      </c>
      <c r="BD1286" s="98"/>
      <c r="BE1286" s="98"/>
      <c r="BF1286" t="s">
        <v>1152</v>
      </c>
      <c r="BG1286" t="s">
        <v>322</v>
      </c>
      <c r="BH1286" t="s">
        <v>1153</v>
      </c>
      <c r="BI1286">
        <v>0.87643965749547414</v>
      </c>
      <c r="BN1286" t="s">
        <v>1154</v>
      </c>
      <c r="BO1286">
        <v>2025</v>
      </c>
      <c r="BP1286" t="s">
        <v>966</v>
      </c>
      <c r="BZ1286" t="s">
        <v>1513</v>
      </c>
      <c r="CA1286" t="s">
        <v>1513</v>
      </c>
      <c r="CB1286" t="b">
        <v>0</v>
      </c>
      <c r="CC1286" t="b">
        <v>0</v>
      </c>
      <c r="CD1286" t="b">
        <v>0</v>
      </c>
      <c r="CE1286" t="b">
        <v>0</v>
      </c>
      <c r="CF1286" t="b">
        <v>0</v>
      </c>
    </row>
    <row r="1287" spans="1:84" x14ac:dyDescent="0.3">
      <c r="A1287" t="s">
        <v>3800</v>
      </c>
      <c r="B1287" t="s">
        <v>1195</v>
      </c>
      <c r="C1287" s="98">
        <v>45733</v>
      </c>
      <c r="D1287">
        <v>2025</v>
      </c>
      <c r="E1287">
        <v>3</v>
      </c>
      <c r="F1287">
        <v>1</v>
      </c>
      <c r="G1287" t="s">
        <v>1187</v>
      </c>
      <c r="H1287" t="s">
        <v>148</v>
      </c>
      <c r="I1287" t="s">
        <v>148</v>
      </c>
      <c r="J1287" t="s">
        <v>6</v>
      </c>
      <c r="L1287">
        <v>522611</v>
      </c>
      <c r="M1287" s="99" t="s">
        <v>178</v>
      </c>
      <c r="N1287">
        <v>1</v>
      </c>
      <c r="O1287">
        <v>11</v>
      </c>
      <c r="P1287">
        <v>19.503699999999998</v>
      </c>
      <c r="Q1287" t="s">
        <v>352</v>
      </c>
      <c r="R1287">
        <v>1</v>
      </c>
      <c r="S1287">
        <v>19.4345</v>
      </c>
      <c r="T1287">
        <v>0.1653</v>
      </c>
      <c r="U1287">
        <v>0.41863278886871502</v>
      </c>
      <c r="V1287">
        <v>18.938600000000001</v>
      </c>
      <c r="W1287">
        <v>19.103899999999999</v>
      </c>
      <c r="X1287">
        <v>19.269200000000001</v>
      </c>
      <c r="Y1287">
        <v>19.599799999999998</v>
      </c>
      <c r="Z1287">
        <v>19.7651</v>
      </c>
      <c r="AA1287">
        <v>19.930399999999999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 t="s">
        <v>462</v>
      </c>
      <c r="AL1287" t="s">
        <v>6</v>
      </c>
      <c r="AM1287" t="s">
        <v>1145</v>
      </c>
      <c r="AN1287" t="s">
        <v>1146</v>
      </c>
      <c r="AO1287" s="100">
        <v>46262.040405092594</v>
      </c>
      <c r="AP1287" t="s">
        <v>1147</v>
      </c>
      <c r="AQ1287" t="s">
        <v>3801</v>
      </c>
      <c r="AR1287" t="s">
        <v>1197</v>
      </c>
      <c r="AS1287" t="s">
        <v>1150</v>
      </c>
      <c r="AT1287" t="s">
        <v>3781</v>
      </c>
      <c r="AU1287">
        <v>25</v>
      </c>
      <c r="AV1287">
        <v>19.490500000000004</v>
      </c>
      <c r="AW1287">
        <v>0.15752848684179865</v>
      </c>
      <c r="AX1287">
        <v>0.80823214818398004</v>
      </c>
      <c r="AY1287">
        <v>0.87643965749547414</v>
      </c>
      <c r="AZ1287">
        <v>2.2100227019990411</v>
      </c>
      <c r="BB1287" t="s">
        <v>4620</v>
      </c>
      <c r="BD1287" s="98"/>
      <c r="BE1287" s="98"/>
      <c r="BF1287" t="s">
        <v>1152</v>
      </c>
      <c r="BG1287" t="s">
        <v>322</v>
      </c>
      <c r="BH1287" t="s">
        <v>1153</v>
      </c>
      <c r="BI1287">
        <v>0.87643965749547414</v>
      </c>
      <c r="BN1287" t="s">
        <v>1154</v>
      </c>
      <c r="BO1287">
        <v>2025</v>
      </c>
      <c r="BP1287" t="s">
        <v>966</v>
      </c>
      <c r="BZ1287" t="s">
        <v>1513</v>
      </c>
      <c r="CA1287" t="s">
        <v>1513</v>
      </c>
      <c r="CB1287" t="b">
        <v>0</v>
      </c>
      <c r="CC1287" t="b">
        <v>0</v>
      </c>
      <c r="CD1287" t="b">
        <v>0</v>
      </c>
      <c r="CE1287" t="b">
        <v>0</v>
      </c>
      <c r="CF1287" t="b">
        <v>0</v>
      </c>
    </row>
    <row r="1288" spans="1:84" x14ac:dyDescent="0.3">
      <c r="A1288" t="s">
        <v>3802</v>
      </c>
      <c r="B1288" t="s">
        <v>1199</v>
      </c>
      <c r="C1288" s="98">
        <v>45740</v>
      </c>
      <c r="D1288">
        <v>2025</v>
      </c>
      <c r="E1288">
        <v>3</v>
      </c>
      <c r="F1288">
        <v>1</v>
      </c>
      <c r="G1288" t="s">
        <v>1187</v>
      </c>
      <c r="H1288" t="s">
        <v>148</v>
      </c>
      <c r="I1288" t="s">
        <v>148</v>
      </c>
      <c r="J1288" t="s">
        <v>6</v>
      </c>
      <c r="L1288">
        <v>522611</v>
      </c>
      <c r="M1288" s="99" t="s">
        <v>178</v>
      </c>
      <c r="N1288">
        <v>1</v>
      </c>
      <c r="O1288">
        <v>12</v>
      </c>
      <c r="P1288">
        <v>19.6098</v>
      </c>
      <c r="Q1288" t="s">
        <v>352</v>
      </c>
      <c r="R1288">
        <v>1</v>
      </c>
      <c r="S1288">
        <v>19.4345</v>
      </c>
      <c r="T1288">
        <v>0.1653</v>
      </c>
      <c r="U1288">
        <v>1.0604960677555959</v>
      </c>
      <c r="V1288">
        <v>18.938600000000001</v>
      </c>
      <c r="W1288">
        <v>19.103899999999999</v>
      </c>
      <c r="X1288">
        <v>19.269200000000001</v>
      </c>
      <c r="Y1288">
        <v>19.599799999999998</v>
      </c>
      <c r="Z1288">
        <v>19.7651</v>
      </c>
      <c r="AA1288">
        <v>19.930399999999999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 t="s">
        <v>462</v>
      </c>
      <c r="AL1288" t="s">
        <v>6</v>
      </c>
      <c r="AM1288" t="s">
        <v>1145</v>
      </c>
      <c r="AN1288" t="s">
        <v>1146</v>
      </c>
      <c r="AO1288" s="100">
        <v>46262.040405092594</v>
      </c>
      <c r="AP1288" t="s">
        <v>1147</v>
      </c>
      <c r="AQ1288" t="s">
        <v>3803</v>
      </c>
      <c r="AR1288" t="s">
        <v>1201</v>
      </c>
      <c r="AS1288" t="s">
        <v>1150</v>
      </c>
      <c r="AT1288" t="s">
        <v>3781</v>
      </c>
      <c r="AU1288">
        <v>25</v>
      </c>
      <c r="AV1288">
        <v>19.490500000000004</v>
      </c>
      <c r="AW1288">
        <v>0.15752848684179865</v>
      </c>
      <c r="AX1288">
        <v>0.80823214818398004</v>
      </c>
      <c r="AY1288">
        <v>0.87643965749547414</v>
      </c>
      <c r="AZ1288">
        <v>2.2100227019990411</v>
      </c>
      <c r="BB1288" t="s">
        <v>4620</v>
      </c>
      <c r="BD1288" s="98"/>
      <c r="BE1288" s="98"/>
      <c r="BF1288" t="s">
        <v>1152</v>
      </c>
      <c r="BG1288" t="s">
        <v>322</v>
      </c>
      <c r="BH1288" t="s">
        <v>1153</v>
      </c>
      <c r="BI1288">
        <v>0.87643965749547414</v>
      </c>
      <c r="BN1288" t="s">
        <v>1154</v>
      </c>
      <c r="BO1288">
        <v>2025</v>
      </c>
      <c r="BP1288" t="s">
        <v>966</v>
      </c>
      <c r="BZ1288" t="s">
        <v>1513</v>
      </c>
      <c r="CA1288" t="s">
        <v>1513</v>
      </c>
      <c r="CB1288" t="b">
        <v>0</v>
      </c>
      <c r="CC1288" t="b">
        <v>0</v>
      </c>
      <c r="CD1288" t="b">
        <v>0</v>
      </c>
      <c r="CE1288" t="b">
        <v>0</v>
      </c>
      <c r="CF1288" t="b">
        <v>0</v>
      </c>
    </row>
    <row r="1289" spans="1:84" x14ac:dyDescent="0.3">
      <c r="A1289" t="s">
        <v>3804</v>
      </c>
      <c r="B1289" t="s">
        <v>1203</v>
      </c>
      <c r="C1289" s="98">
        <v>45747</v>
      </c>
      <c r="D1289">
        <v>2025</v>
      </c>
      <c r="E1289">
        <v>3</v>
      </c>
      <c r="F1289">
        <v>1</v>
      </c>
      <c r="G1289" t="s">
        <v>1187</v>
      </c>
      <c r="H1289" t="s">
        <v>148</v>
      </c>
      <c r="I1289" t="s">
        <v>148</v>
      </c>
      <c r="J1289" t="s">
        <v>6</v>
      </c>
      <c r="L1289">
        <v>522611</v>
      </c>
      <c r="M1289" s="99" t="s">
        <v>178</v>
      </c>
      <c r="N1289">
        <v>1</v>
      </c>
      <c r="O1289">
        <v>13</v>
      </c>
      <c r="P1289">
        <v>19.685300000000002</v>
      </c>
      <c r="Q1289" t="s">
        <v>352</v>
      </c>
      <c r="R1289">
        <v>1</v>
      </c>
      <c r="S1289">
        <v>19.4345</v>
      </c>
      <c r="T1289">
        <v>0.1653</v>
      </c>
      <c r="U1289">
        <v>1.517241379310355</v>
      </c>
      <c r="V1289">
        <v>18.938600000000001</v>
      </c>
      <c r="W1289">
        <v>19.103899999999999</v>
      </c>
      <c r="X1289">
        <v>19.269200000000001</v>
      </c>
      <c r="Y1289">
        <v>19.599799999999998</v>
      </c>
      <c r="Z1289">
        <v>19.7651</v>
      </c>
      <c r="AA1289">
        <v>19.930399999999999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 t="s">
        <v>462</v>
      </c>
      <c r="AL1289" t="s">
        <v>6</v>
      </c>
      <c r="AM1289" t="s">
        <v>1145</v>
      </c>
      <c r="AN1289" t="s">
        <v>1146</v>
      </c>
      <c r="AO1289" s="100">
        <v>46262.040405092594</v>
      </c>
      <c r="AP1289" t="s">
        <v>1147</v>
      </c>
      <c r="AQ1289" t="s">
        <v>3805</v>
      </c>
      <c r="AR1289" t="s">
        <v>1205</v>
      </c>
      <c r="AS1289" t="s">
        <v>1150</v>
      </c>
      <c r="AT1289" t="s">
        <v>3781</v>
      </c>
      <c r="AU1289">
        <v>25</v>
      </c>
      <c r="AV1289">
        <v>19.490500000000004</v>
      </c>
      <c r="AW1289">
        <v>0.15752848684179865</v>
      </c>
      <c r="AX1289">
        <v>0.80823214818398004</v>
      </c>
      <c r="AY1289">
        <v>0.87643965749547414</v>
      </c>
      <c r="AZ1289">
        <v>2.2100227019990411</v>
      </c>
      <c r="BB1289" t="s">
        <v>4620</v>
      </c>
      <c r="BD1289" s="98"/>
      <c r="BE1289" s="98"/>
      <c r="BF1289" t="s">
        <v>1152</v>
      </c>
      <c r="BG1289" t="s">
        <v>322</v>
      </c>
      <c r="BH1289" t="s">
        <v>1153</v>
      </c>
      <c r="BI1289">
        <v>0.87643965749547414</v>
      </c>
      <c r="BN1289" t="s">
        <v>1154</v>
      </c>
      <c r="BO1289">
        <v>2025</v>
      </c>
      <c r="BP1289" t="s">
        <v>966</v>
      </c>
      <c r="BZ1289" t="s">
        <v>1513</v>
      </c>
      <c r="CA1289" t="s">
        <v>1513</v>
      </c>
      <c r="CB1289" t="b">
        <v>0</v>
      </c>
      <c r="CC1289" t="b">
        <v>0</v>
      </c>
      <c r="CD1289" t="b">
        <v>0</v>
      </c>
      <c r="CE1289" t="b">
        <v>0</v>
      </c>
      <c r="CF1289" t="b">
        <v>0</v>
      </c>
    </row>
    <row r="1290" spans="1:84" x14ac:dyDescent="0.3">
      <c r="A1290" t="s">
        <v>3806</v>
      </c>
      <c r="B1290" t="s">
        <v>1207</v>
      </c>
      <c r="C1290" s="98">
        <v>45754</v>
      </c>
      <c r="D1290">
        <v>2025</v>
      </c>
      <c r="E1290">
        <v>4</v>
      </c>
      <c r="F1290">
        <v>2</v>
      </c>
      <c r="G1290" t="s">
        <v>1208</v>
      </c>
      <c r="H1290" t="s">
        <v>148</v>
      </c>
      <c r="I1290" t="s">
        <v>148</v>
      </c>
      <c r="J1290" t="s">
        <v>6</v>
      </c>
      <c r="L1290">
        <v>522611</v>
      </c>
      <c r="M1290" s="99" t="s">
        <v>178</v>
      </c>
      <c r="N1290">
        <v>1</v>
      </c>
      <c r="O1290">
        <v>14</v>
      </c>
      <c r="P1290">
        <v>19.4617</v>
      </c>
      <c r="Q1290" t="s">
        <v>352</v>
      </c>
      <c r="R1290">
        <v>1</v>
      </c>
      <c r="S1290">
        <v>19.4345</v>
      </c>
      <c r="T1290">
        <v>0.1653</v>
      </c>
      <c r="U1290">
        <v>0.16454930429522419</v>
      </c>
      <c r="V1290">
        <v>18.938600000000001</v>
      </c>
      <c r="W1290">
        <v>19.103899999999999</v>
      </c>
      <c r="X1290">
        <v>19.269200000000001</v>
      </c>
      <c r="Y1290">
        <v>19.599799999999998</v>
      </c>
      <c r="Z1290">
        <v>19.7651</v>
      </c>
      <c r="AA1290">
        <v>19.930399999999999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 t="s">
        <v>462</v>
      </c>
      <c r="AL1290" t="s">
        <v>6</v>
      </c>
      <c r="AM1290" t="s">
        <v>1145</v>
      </c>
      <c r="AN1290" t="s">
        <v>1146</v>
      </c>
      <c r="AO1290" s="100">
        <v>46262.040405092594</v>
      </c>
      <c r="AP1290" t="s">
        <v>1147</v>
      </c>
      <c r="AQ1290" t="s">
        <v>3807</v>
      </c>
      <c r="AR1290" t="s">
        <v>1210</v>
      </c>
      <c r="AS1290" t="s">
        <v>1150</v>
      </c>
      <c r="AT1290" t="s">
        <v>3781</v>
      </c>
      <c r="AU1290">
        <v>25</v>
      </c>
      <c r="AV1290">
        <v>19.490500000000004</v>
      </c>
      <c r="AW1290">
        <v>0.15752848684179865</v>
      </c>
      <c r="AX1290">
        <v>0.80823214818398004</v>
      </c>
      <c r="AY1290">
        <v>0.87643965749547414</v>
      </c>
      <c r="AZ1290">
        <v>2.2100227019990411</v>
      </c>
      <c r="BB1290" t="s">
        <v>4620</v>
      </c>
      <c r="BD1290" s="98"/>
      <c r="BE1290" s="98"/>
      <c r="BF1290" t="s">
        <v>1152</v>
      </c>
      <c r="BG1290" t="s">
        <v>322</v>
      </c>
      <c r="BH1290" t="s">
        <v>1153</v>
      </c>
      <c r="BI1290">
        <v>0.87643965749547414</v>
      </c>
      <c r="BN1290" t="s">
        <v>1154</v>
      </c>
      <c r="BO1290">
        <v>2025</v>
      </c>
      <c r="BP1290" t="s">
        <v>966</v>
      </c>
      <c r="BZ1290" t="s">
        <v>1513</v>
      </c>
      <c r="CA1290" t="s">
        <v>1513</v>
      </c>
      <c r="CB1290" t="b">
        <v>0</v>
      </c>
      <c r="CC1290" t="b">
        <v>0</v>
      </c>
      <c r="CD1290" t="b">
        <v>0</v>
      </c>
      <c r="CE1290" t="b">
        <v>0</v>
      </c>
      <c r="CF1290" t="b">
        <v>0</v>
      </c>
    </row>
    <row r="1291" spans="1:84" x14ac:dyDescent="0.3">
      <c r="A1291" t="s">
        <v>3808</v>
      </c>
      <c r="B1291" t="s">
        <v>1212</v>
      </c>
      <c r="C1291" s="98">
        <v>45761</v>
      </c>
      <c r="D1291">
        <v>2025</v>
      </c>
      <c r="E1291">
        <v>4</v>
      </c>
      <c r="F1291">
        <v>2</v>
      </c>
      <c r="G1291" t="s">
        <v>1208</v>
      </c>
      <c r="H1291" t="s">
        <v>148</v>
      </c>
      <c r="I1291" t="s">
        <v>148</v>
      </c>
      <c r="J1291" t="s">
        <v>6</v>
      </c>
      <c r="L1291">
        <v>522611</v>
      </c>
      <c r="M1291" s="99" t="s">
        <v>178</v>
      </c>
      <c r="N1291">
        <v>1</v>
      </c>
      <c r="O1291">
        <v>15</v>
      </c>
      <c r="P1291">
        <v>19.188800000000001</v>
      </c>
      <c r="Q1291" t="s">
        <v>352</v>
      </c>
      <c r="R1291">
        <v>1</v>
      </c>
      <c r="S1291">
        <v>19.4345</v>
      </c>
      <c r="T1291">
        <v>0.1653</v>
      </c>
      <c r="U1291">
        <v>-1.486388384754987</v>
      </c>
      <c r="V1291">
        <v>18.938600000000001</v>
      </c>
      <c r="W1291">
        <v>19.103899999999999</v>
      </c>
      <c r="X1291">
        <v>19.269200000000001</v>
      </c>
      <c r="Y1291">
        <v>19.599799999999998</v>
      </c>
      <c r="Z1291">
        <v>19.7651</v>
      </c>
      <c r="AA1291">
        <v>19.930399999999999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 t="s">
        <v>462</v>
      </c>
      <c r="AL1291" t="s">
        <v>6</v>
      </c>
      <c r="AM1291" t="s">
        <v>1145</v>
      </c>
      <c r="AN1291" t="s">
        <v>1146</v>
      </c>
      <c r="AO1291" s="100">
        <v>46262.040405092594</v>
      </c>
      <c r="AP1291" t="s">
        <v>1147</v>
      </c>
      <c r="AQ1291" t="s">
        <v>3809</v>
      </c>
      <c r="AR1291" t="s">
        <v>1215</v>
      </c>
      <c r="AS1291" t="s">
        <v>1150</v>
      </c>
      <c r="AT1291" t="s">
        <v>3781</v>
      </c>
      <c r="AU1291">
        <v>25</v>
      </c>
      <c r="AV1291">
        <v>19.490500000000004</v>
      </c>
      <c r="AW1291">
        <v>0.15752848684179865</v>
      </c>
      <c r="AX1291">
        <v>0.80823214818398004</v>
      </c>
      <c r="AY1291">
        <v>0.87643965749547414</v>
      </c>
      <c r="AZ1291">
        <v>2.2100227019990411</v>
      </c>
      <c r="BB1291" t="s">
        <v>4620</v>
      </c>
      <c r="BD1291" s="98"/>
      <c r="BE1291" s="98"/>
      <c r="BF1291" t="s">
        <v>1152</v>
      </c>
      <c r="BG1291" t="s">
        <v>322</v>
      </c>
      <c r="BH1291" t="s">
        <v>1153</v>
      </c>
      <c r="BI1291">
        <v>0.87643965749547414</v>
      </c>
      <c r="BN1291" t="s">
        <v>1154</v>
      </c>
      <c r="BO1291">
        <v>2025</v>
      </c>
      <c r="BP1291" t="s">
        <v>966</v>
      </c>
      <c r="BZ1291" t="s">
        <v>1513</v>
      </c>
      <c r="CA1291" t="s">
        <v>1513</v>
      </c>
      <c r="CB1291" t="b">
        <v>0</v>
      </c>
      <c r="CC1291" t="b">
        <v>0</v>
      </c>
      <c r="CD1291" t="b">
        <v>0</v>
      </c>
      <c r="CE1291" t="b">
        <v>0</v>
      </c>
      <c r="CF1291" t="b">
        <v>0</v>
      </c>
    </row>
    <row r="1292" spans="1:84" x14ac:dyDescent="0.3">
      <c r="A1292" t="s">
        <v>3810</v>
      </c>
      <c r="B1292" t="s">
        <v>1217</v>
      </c>
      <c r="C1292" s="98">
        <v>45768</v>
      </c>
      <c r="D1292">
        <v>2025</v>
      </c>
      <c r="E1292">
        <v>4</v>
      </c>
      <c r="F1292">
        <v>2</v>
      </c>
      <c r="G1292" t="s">
        <v>1208</v>
      </c>
      <c r="H1292" t="s">
        <v>148</v>
      </c>
      <c r="I1292" t="s">
        <v>148</v>
      </c>
      <c r="J1292" t="s">
        <v>6</v>
      </c>
      <c r="L1292">
        <v>522611</v>
      </c>
      <c r="M1292" s="99" t="s">
        <v>178</v>
      </c>
      <c r="N1292">
        <v>1</v>
      </c>
      <c r="O1292">
        <v>16</v>
      </c>
      <c r="P1292">
        <v>19.2395</v>
      </c>
      <c r="Q1292" t="s">
        <v>352</v>
      </c>
      <c r="R1292">
        <v>1</v>
      </c>
      <c r="S1292">
        <v>19.4345</v>
      </c>
      <c r="T1292">
        <v>0.1653</v>
      </c>
      <c r="U1292">
        <v>-1.1796733212341215</v>
      </c>
      <c r="V1292">
        <v>18.938600000000001</v>
      </c>
      <c r="W1292">
        <v>19.103899999999999</v>
      </c>
      <c r="X1292">
        <v>19.269200000000001</v>
      </c>
      <c r="Y1292">
        <v>19.599799999999998</v>
      </c>
      <c r="Z1292">
        <v>19.7651</v>
      </c>
      <c r="AA1292">
        <v>19.930399999999999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 t="s">
        <v>462</v>
      </c>
      <c r="AL1292" t="s">
        <v>6</v>
      </c>
      <c r="AM1292" t="s">
        <v>1145</v>
      </c>
      <c r="AN1292" t="s">
        <v>1146</v>
      </c>
      <c r="AO1292" s="100">
        <v>46262.040405092594</v>
      </c>
      <c r="AP1292" t="s">
        <v>1147</v>
      </c>
      <c r="AQ1292" t="s">
        <v>3811</v>
      </c>
      <c r="AR1292" t="s">
        <v>1219</v>
      </c>
      <c r="AS1292" t="s">
        <v>1150</v>
      </c>
      <c r="AT1292" t="s">
        <v>3781</v>
      </c>
      <c r="AU1292">
        <v>25</v>
      </c>
      <c r="AV1292">
        <v>19.490500000000004</v>
      </c>
      <c r="AW1292">
        <v>0.15752848684179865</v>
      </c>
      <c r="AX1292">
        <v>0.80823214818398004</v>
      </c>
      <c r="AY1292">
        <v>0.87643965749547414</v>
      </c>
      <c r="AZ1292">
        <v>2.2100227019990411</v>
      </c>
      <c r="BB1292" t="s">
        <v>4620</v>
      </c>
      <c r="BD1292" s="98"/>
      <c r="BE1292" s="98"/>
      <c r="BF1292" t="s">
        <v>1152</v>
      </c>
      <c r="BG1292" t="s">
        <v>322</v>
      </c>
      <c r="BH1292" t="s">
        <v>1153</v>
      </c>
      <c r="BI1292">
        <v>0.87643965749547414</v>
      </c>
      <c r="BN1292" t="s">
        <v>1154</v>
      </c>
      <c r="BO1292">
        <v>2025</v>
      </c>
      <c r="BP1292" t="s">
        <v>966</v>
      </c>
      <c r="BZ1292" t="s">
        <v>1513</v>
      </c>
      <c r="CA1292" t="s">
        <v>1513</v>
      </c>
      <c r="CB1292" t="b">
        <v>0</v>
      </c>
      <c r="CC1292" t="b">
        <v>0</v>
      </c>
      <c r="CD1292" t="b">
        <v>0</v>
      </c>
      <c r="CE1292" t="b">
        <v>0</v>
      </c>
      <c r="CF1292" t="b">
        <v>0</v>
      </c>
    </row>
    <row r="1293" spans="1:84" x14ac:dyDescent="0.3">
      <c r="A1293" t="s">
        <v>3812</v>
      </c>
      <c r="B1293" t="s">
        <v>1221</v>
      </c>
      <c r="C1293" s="98">
        <v>45775</v>
      </c>
      <c r="D1293">
        <v>2025</v>
      </c>
      <c r="E1293">
        <v>4</v>
      </c>
      <c r="F1293">
        <v>2</v>
      </c>
      <c r="G1293" t="s">
        <v>1208</v>
      </c>
      <c r="H1293" t="s">
        <v>148</v>
      </c>
      <c r="I1293" t="s">
        <v>148</v>
      </c>
      <c r="J1293" t="s">
        <v>6</v>
      </c>
      <c r="L1293">
        <v>522611</v>
      </c>
      <c r="M1293" s="99" t="s">
        <v>178</v>
      </c>
      <c r="N1293">
        <v>1</v>
      </c>
      <c r="O1293">
        <v>17</v>
      </c>
      <c r="P1293">
        <v>19.1967</v>
      </c>
      <c r="Q1293" t="s">
        <v>352</v>
      </c>
      <c r="R1293">
        <v>1</v>
      </c>
      <c r="S1293">
        <v>19.4345</v>
      </c>
      <c r="T1293">
        <v>0.1653</v>
      </c>
      <c r="U1293">
        <v>-1.4385964912280702</v>
      </c>
      <c r="V1293">
        <v>18.938600000000001</v>
      </c>
      <c r="W1293">
        <v>19.103899999999999</v>
      </c>
      <c r="X1293">
        <v>19.269200000000001</v>
      </c>
      <c r="Y1293">
        <v>19.599799999999998</v>
      </c>
      <c r="Z1293">
        <v>19.7651</v>
      </c>
      <c r="AA1293">
        <v>19.930399999999999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 t="s">
        <v>462</v>
      </c>
      <c r="AL1293" t="s">
        <v>6</v>
      </c>
      <c r="AM1293" t="s">
        <v>1145</v>
      </c>
      <c r="AN1293" t="s">
        <v>1146</v>
      </c>
      <c r="AO1293" s="100">
        <v>46262.040405092594</v>
      </c>
      <c r="AP1293" t="s">
        <v>1147</v>
      </c>
      <c r="AQ1293" t="s">
        <v>3813</v>
      </c>
      <c r="AR1293" t="s">
        <v>1223</v>
      </c>
      <c r="AS1293" t="s">
        <v>1150</v>
      </c>
      <c r="AT1293" t="s">
        <v>3781</v>
      </c>
      <c r="AU1293">
        <v>25</v>
      </c>
      <c r="AV1293">
        <v>19.490500000000004</v>
      </c>
      <c r="AW1293">
        <v>0.15752848684179865</v>
      </c>
      <c r="AX1293">
        <v>0.80823214818398004</v>
      </c>
      <c r="AY1293">
        <v>0.87643965749547414</v>
      </c>
      <c r="AZ1293">
        <v>2.2100227019990411</v>
      </c>
      <c r="BB1293" t="s">
        <v>4620</v>
      </c>
      <c r="BD1293" s="98"/>
      <c r="BE1293" s="98"/>
      <c r="BF1293" t="s">
        <v>1152</v>
      </c>
      <c r="BG1293" t="s">
        <v>322</v>
      </c>
      <c r="BH1293" t="s">
        <v>1153</v>
      </c>
      <c r="BI1293">
        <v>0.87643965749547414</v>
      </c>
      <c r="BN1293" t="s">
        <v>1154</v>
      </c>
      <c r="BO1293">
        <v>2025</v>
      </c>
      <c r="BP1293" t="s">
        <v>966</v>
      </c>
      <c r="BZ1293" t="s">
        <v>1513</v>
      </c>
      <c r="CA1293" t="s">
        <v>1513</v>
      </c>
      <c r="CB1293" t="b">
        <v>0</v>
      </c>
      <c r="CC1293" t="b">
        <v>0</v>
      </c>
      <c r="CD1293" t="b">
        <v>0</v>
      </c>
      <c r="CE1293" t="b">
        <v>0</v>
      </c>
      <c r="CF1293" t="b">
        <v>0</v>
      </c>
    </row>
    <row r="1294" spans="1:84" x14ac:dyDescent="0.3">
      <c r="A1294" t="s">
        <v>3814</v>
      </c>
      <c r="B1294" t="s">
        <v>1225</v>
      </c>
      <c r="C1294" s="98">
        <v>45782</v>
      </c>
      <c r="D1294">
        <v>2025</v>
      </c>
      <c r="E1294">
        <v>5</v>
      </c>
      <c r="F1294">
        <v>2</v>
      </c>
      <c r="G1294" t="s">
        <v>1226</v>
      </c>
      <c r="H1294" t="s">
        <v>148</v>
      </c>
      <c r="I1294" t="s">
        <v>148</v>
      </c>
      <c r="J1294" t="s">
        <v>6</v>
      </c>
      <c r="L1294">
        <v>522611</v>
      </c>
      <c r="M1294" s="99" t="s">
        <v>178</v>
      </c>
      <c r="N1294">
        <v>1</v>
      </c>
      <c r="O1294">
        <v>18</v>
      </c>
      <c r="P1294">
        <v>19.697600000000001</v>
      </c>
      <c r="Q1294" t="s">
        <v>352</v>
      </c>
      <c r="R1294">
        <v>1</v>
      </c>
      <c r="S1294">
        <v>19.4345</v>
      </c>
      <c r="T1294">
        <v>0.1653</v>
      </c>
      <c r="U1294">
        <v>1.5916515426497364</v>
      </c>
      <c r="V1294">
        <v>18.938600000000001</v>
      </c>
      <c r="W1294">
        <v>19.103899999999999</v>
      </c>
      <c r="X1294">
        <v>19.269200000000001</v>
      </c>
      <c r="Y1294">
        <v>19.599799999999998</v>
      </c>
      <c r="Z1294">
        <v>19.7651</v>
      </c>
      <c r="AA1294">
        <v>19.930399999999999</v>
      </c>
      <c r="AE1294">
        <v>0</v>
      </c>
      <c r="AF1294">
        <v>0</v>
      </c>
      <c r="AG1294">
        <v>1</v>
      </c>
      <c r="AH1294">
        <v>0</v>
      </c>
      <c r="AI1294">
        <v>0</v>
      </c>
      <c r="AJ1294">
        <v>0</v>
      </c>
      <c r="AK1294" t="s">
        <v>1213</v>
      </c>
      <c r="AL1294" t="s">
        <v>6</v>
      </c>
      <c r="AM1294" t="s">
        <v>1145</v>
      </c>
      <c r="AN1294" t="s">
        <v>1146</v>
      </c>
      <c r="AO1294" s="100">
        <v>46262.040405092594</v>
      </c>
      <c r="AP1294" t="s">
        <v>1147</v>
      </c>
      <c r="AQ1294" t="s">
        <v>3815</v>
      </c>
      <c r="AR1294" t="s">
        <v>1228</v>
      </c>
      <c r="AS1294" t="s">
        <v>1150</v>
      </c>
      <c r="AT1294" t="s">
        <v>3781</v>
      </c>
      <c r="AU1294">
        <v>25</v>
      </c>
      <c r="AV1294">
        <v>19.490500000000004</v>
      </c>
      <c r="AW1294">
        <v>0.15752848684179865</v>
      </c>
      <c r="AX1294">
        <v>0.80823214818398004</v>
      </c>
      <c r="AY1294">
        <v>0.87643965749547414</v>
      </c>
      <c r="AZ1294">
        <v>2.2100227019990411</v>
      </c>
      <c r="BB1294" t="s">
        <v>4620</v>
      </c>
      <c r="BD1294" s="98"/>
      <c r="BE1294" s="98"/>
      <c r="BF1294" t="s">
        <v>1152</v>
      </c>
      <c r="BG1294" t="s">
        <v>322</v>
      </c>
      <c r="BH1294" t="s">
        <v>1153</v>
      </c>
      <c r="BI1294">
        <v>0.87643965749547414</v>
      </c>
      <c r="BN1294" t="s">
        <v>1154</v>
      </c>
      <c r="BO1294">
        <v>2025</v>
      </c>
      <c r="BP1294" t="s">
        <v>966</v>
      </c>
      <c r="BZ1294" t="s">
        <v>1513</v>
      </c>
      <c r="CA1294" t="s">
        <v>1513</v>
      </c>
      <c r="CB1294" t="b">
        <v>0</v>
      </c>
      <c r="CC1294" t="b">
        <v>0</v>
      </c>
      <c r="CD1294" t="b">
        <v>0</v>
      </c>
      <c r="CE1294" t="b">
        <v>0</v>
      </c>
      <c r="CF1294" t="b">
        <v>0</v>
      </c>
    </row>
    <row r="1295" spans="1:84" x14ac:dyDescent="0.3">
      <c r="A1295" t="s">
        <v>3816</v>
      </c>
      <c r="B1295" t="s">
        <v>1230</v>
      </c>
      <c r="C1295" s="98">
        <v>45789</v>
      </c>
      <c r="D1295">
        <v>2025</v>
      </c>
      <c r="E1295">
        <v>5</v>
      </c>
      <c r="F1295">
        <v>2</v>
      </c>
      <c r="G1295" t="s">
        <v>1226</v>
      </c>
      <c r="H1295" t="s">
        <v>148</v>
      </c>
      <c r="I1295" t="s">
        <v>148</v>
      </c>
      <c r="J1295" t="s">
        <v>6</v>
      </c>
      <c r="L1295">
        <v>522611</v>
      </c>
      <c r="M1295" s="99" t="s">
        <v>178</v>
      </c>
      <c r="N1295">
        <v>1</v>
      </c>
      <c r="O1295">
        <v>19</v>
      </c>
      <c r="P1295">
        <v>19.2944</v>
      </c>
      <c r="Q1295" t="s">
        <v>352</v>
      </c>
      <c r="R1295">
        <v>1</v>
      </c>
      <c r="S1295">
        <v>19.4345</v>
      </c>
      <c r="T1295">
        <v>0.1653</v>
      </c>
      <c r="U1295">
        <v>-0.84754990925590035</v>
      </c>
      <c r="V1295">
        <v>18.938600000000001</v>
      </c>
      <c r="W1295">
        <v>19.103899999999999</v>
      </c>
      <c r="X1295">
        <v>19.269200000000001</v>
      </c>
      <c r="Y1295">
        <v>19.599799999999998</v>
      </c>
      <c r="Z1295">
        <v>19.7651</v>
      </c>
      <c r="AA1295">
        <v>19.930399999999999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 t="s">
        <v>462</v>
      </c>
      <c r="AL1295" t="s">
        <v>6</v>
      </c>
      <c r="AM1295" t="s">
        <v>1145</v>
      </c>
      <c r="AN1295" t="s">
        <v>1146</v>
      </c>
      <c r="AO1295" s="100">
        <v>46262.040405092594</v>
      </c>
      <c r="AP1295" t="s">
        <v>1147</v>
      </c>
      <c r="AQ1295" t="s">
        <v>3817</v>
      </c>
      <c r="AR1295" t="s">
        <v>1232</v>
      </c>
      <c r="AS1295" t="s">
        <v>1150</v>
      </c>
      <c r="AT1295" t="s">
        <v>3781</v>
      </c>
      <c r="AU1295">
        <v>25</v>
      </c>
      <c r="AV1295">
        <v>19.490500000000004</v>
      </c>
      <c r="AW1295">
        <v>0.15752848684179865</v>
      </c>
      <c r="AX1295">
        <v>0.80823214818398004</v>
      </c>
      <c r="AY1295">
        <v>0.87643965749547414</v>
      </c>
      <c r="AZ1295">
        <v>2.2100227019990411</v>
      </c>
      <c r="BB1295" t="s">
        <v>4620</v>
      </c>
      <c r="BD1295" s="98"/>
      <c r="BE1295" s="98"/>
      <c r="BF1295" t="s">
        <v>1152</v>
      </c>
      <c r="BG1295" t="s">
        <v>322</v>
      </c>
      <c r="BH1295" t="s">
        <v>1153</v>
      </c>
      <c r="BI1295">
        <v>0.87643965749547414</v>
      </c>
      <c r="BN1295" t="s">
        <v>1154</v>
      </c>
      <c r="BO1295">
        <v>2025</v>
      </c>
      <c r="BP1295" t="s">
        <v>966</v>
      </c>
      <c r="BZ1295" t="s">
        <v>1513</v>
      </c>
      <c r="CA1295" t="s">
        <v>1513</v>
      </c>
      <c r="CB1295" t="b">
        <v>0</v>
      </c>
      <c r="CC1295" t="b">
        <v>0</v>
      </c>
      <c r="CD1295" t="b">
        <v>0</v>
      </c>
      <c r="CE1295" t="b">
        <v>0</v>
      </c>
      <c r="CF1295" t="b">
        <v>0</v>
      </c>
    </row>
    <row r="1296" spans="1:84" x14ac:dyDescent="0.3">
      <c r="A1296" t="s">
        <v>3818</v>
      </c>
      <c r="B1296" t="s">
        <v>1234</v>
      </c>
      <c r="C1296" s="98">
        <v>45796</v>
      </c>
      <c r="D1296">
        <v>2025</v>
      </c>
      <c r="E1296">
        <v>5</v>
      </c>
      <c r="F1296">
        <v>2</v>
      </c>
      <c r="G1296" t="s">
        <v>1226</v>
      </c>
      <c r="H1296" t="s">
        <v>148</v>
      </c>
      <c r="I1296" t="s">
        <v>148</v>
      </c>
      <c r="J1296" t="s">
        <v>6</v>
      </c>
      <c r="L1296">
        <v>522611</v>
      </c>
      <c r="M1296" s="99" t="s">
        <v>178</v>
      </c>
      <c r="N1296">
        <v>1</v>
      </c>
      <c r="O1296">
        <v>20</v>
      </c>
      <c r="P1296">
        <v>19.638200000000001</v>
      </c>
      <c r="Q1296" t="s">
        <v>352</v>
      </c>
      <c r="R1296">
        <v>1</v>
      </c>
      <c r="S1296">
        <v>19.4345</v>
      </c>
      <c r="T1296">
        <v>0.1653</v>
      </c>
      <c r="U1296">
        <v>1.2323049001814963</v>
      </c>
      <c r="V1296">
        <v>18.938600000000001</v>
      </c>
      <c r="W1296">
        <v>19.103899999999999</v>
      </c>
      <c r="X1296">
        <v>19.269200000000001</v>
      </c>
      <c r="Y1296">
        <v>19.599799999999998</v>
      </c>
      <c r="Z1296">
        <v>19.7651</v>
      </c>
      <c r="AA1296">
        <v>19.930399999999999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 t="s">
        <v>462</v>
      </c>
      <c r="AL1296" t="s">
        <v>6</v>
      </c>
      <c r="AM1296" t="s">
        <v>1145</v>
      </c>
      <c r="AN1296" t="s">
        <v>1146</v>
      </c>
      <c r="AO1296" s="100">
        <v>46262.040405092594</v>
      </c>
      <c r="AP1296" t="s">
        <v>1147</v>
      </c>
      <c r="AQ1296" t="s">
        <v>3819</v>
      </c>
      <c r="AR1296" t="s">
        <v>1236</v>
      </c>
      <c r="AS1296" t="s">
        <v>1150</v>
      </c>
      <c r="AT1296" t="s">
        <v>3781</v>
      </c>
      <c r="AU1296">
        <v>25</v>
      </c>
      <c r="AV1296">
        <v>19.490500000000004</v>
      </c>
      <c r="AW1296">
        <v>0.15752848684179865</v>
      </c>
      <c r="AX1296">
        <v>0.80823214818398004</v>
      </c>
      <c r="AY1296">
        <v>0.87643965749547414</v>
      </c>
      <c r="AZ1296">
        <v>2.2100227019990411</v>
      </c>
      <c r="BB1296" t="s">
        <v>4620</v>
      </c>
      <c r="BD1296" s="98"/>
      <c r="BE1296" s="98"/>
      <c r="BF1296" t="s">
        <v>1152</v>
      </c>
      <c r="BG1296" t="s">
        <v>322</v>
      </c>
      <c r="BH1296" t="s">
        <v>1153</v>
      </c>
      <c r="BI1296">
        <v>0.87643965749547414</v>
      </c>
      <c r="BN1296" t="s">
        <v>1154</v>
      </c>
      <c r="BO1296">
        <v>2025</v>
      </c>
      <c r="BP1296" t="s">
        <v>966</v>
      </c>
      <c r="BZ1296" t="s">
        <v>1513</v>
      </c>
      <c r="CA1296" t="s">
        <v>1513</v>
      </c>
      <c r="CB1296" t="b">
        <v>0</v>
      </c>
      <c r="CC1296" t="b">
        <v>0</v>
      </c>
      <c r="CD1296" t="b">
        <v>0</v>
      </c>
      <c r="CE1296" t="b">
        <v>0</v>
      </c>
      <c r="CF1296" t="b">
        <v>0</v>
      </c>
    </row>
    <row r="1297" spans="1:84" x14ac:dyDescent="0.3">
      <c r="A1297" t="s">
        <v>3820</v>
      </c>
      <c r="B1297" t="s">
        <v>1238</v>
      </c>
      <c r="C1297" s="98">
        <v>45803</v>
      </c>
      <c r="D1297">
        <v>2025</v>
      </c>
      <c r="E1297">
        <v>5</v>
      </c>
      <c r="F1297">
        <v>2</v>
      </c>
      <c r="G1297" t="s">
        <v>1226</v>
      </c>
      <c r="H1297" t="s">
        <v>148</v>
      </c>
      <c r="I1297" t="s">
        <v>148</v>
      </c>
      <c r="J1297" t="s">
        <v>6</v>
      </c>
      <c r="L1297">
        <v>522611</v>
      </c>
      <c r="M1297" s="99" t="s">
        <v>178</v>
      </c>
      <c r="N1297">
        <v>1</v>
      </c>
      <c r="O1297">
        <v>21</v>
      </c>
      <c r="P1297">
        <v>19.531300000000002</v>
      </c>
      <c r="Q1297" t="s">
        <v>352</v>
      </c>
      <c r="R1297">
        <v>1</v>
      </c>
      <c r="S1297">
        <v>19.4345</v>
      </c>
      <c r="T1297">
        <v>0.1653</v>
      </c>
      <c r="U1297">
        <v>0.58560193587417886</v>
      </c>
      <c r="V1297">
        <v>18.938600000000001</v>
      </c>
      <c r="W1297">
        <v>19.103899999999999</v>
      </c>
      <c r="X1297">
        <v>19.269200000000001</v>
      </c>
      <c r="Y1297">
        <v>19.599799999999998</v>
      </c>
      <c r="Z1297">
        <v>19.7651</v>
      </c>
      <c r="AA1297">
        <v>19.930399999999999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 t="s">
        <v>462</v>
      </c>
      <c r="AL1297" t="s">
        <v>6</v>
      </c>
      <c r="AM1297" t="s">
        <v>1145</v>
      </c>
      <c r="AN1297" t="s">
        <v>1146</v>
      </c>
      <c r="AO1297" s="100">
        <v>46262.040405092594</v>
      </c>
      <c r="AP1297" t="s">
        <v>1147</v>
      </c>
      <c r="AQ1297" t="s">
        <v>3821</v>
      </c>
      <c r="AR1297" t="s">
        <v>1240</v>
      </c>
      <c r="AS1297" t="s">
        <v>1150</v>
      </c>
      <c r="AT1297" t="s">
        <v>3781</v>
      </c>
      <c r="AU1297">
        <v>25</v>
      </c>
      <c r="AV1297">
        <v>19.490500000000004</v>
      </c>
      <c r="AW1297">
        <v>0.15752848684179865</v>
      </c>
      <c r="AX1297">
        <v>0.80823214818398004</v>
      </c>
      <c r="AY1297">
        <v>0.87643965749547414</v>
      </c>
      <c r="AZ1297">
        <v>2.2100227019990411</v>
      </c>
      <c r="BB1297" t="s">
        <v>4620</v>
      </c>
      <c r="BD1297" s="98"/>
      <c r="BE1297" s="98"/>
      <c r="BF1297" t="s">
        <v>1152</v>
      </c>
      <c r="BG1297" t="s">
        <v>322</v>
      </c>
      <c r="BH1297" t="s">
        <v>1153</v>
      </c>
      <c r="BI1297">
        <v>0.87643965749547414</v>
      </c>
      <c r="BN1297" t="s">
        <v>1154</v>
      </c>
      <c r="BO1297">
        <v>2025</v>
      </c>
      <c r="BP1297" t="s">
        <v>966</v>
      </c>
      <c r="BZ1297" t="s">
        <v>1513</v>
      </c>
      <c r="CA1297" t="s">
        <v>1513</v>
      </c>
      <c r="CB1297" t="b">
        <v>0</v>
      </c>
      <c r="CC1297" t="b">
        <v>0</v>
      </c>
      <c r="CD1297" t="b">
        <v>0</v>
      </c>
      <c r="CE1297" t="b">
        <v>0</v>
      </c>
      <c r="CF1297" t="b">
        <v>0</v>
      </c>
    </row>
    <row r="1298" spans="1:84" x14ac:dyDescent="0.3">
      <c r="A1298" t="s">
        <v>3822</v>
      </c>
      <c r="B1298" t="s">
        <v>1242</v>
      </c>
      <c r="C1298" s="98">
        <v>45810</v>
      </c>
      <c r="D1298">
        <v>2025</v>
      </c>
      <c r="E1298">
        <v>6</v>
      </c>
      <c r="F1298">
        <v>2</v>
      </c>
      <c r="G1298" t="s">
        <v>1243</v>
      </c>
      <c r="H1298" t="s">
        <v>148</v>
      </c>
      <c r="I1298" t="s">
        <v>148</v>
      </c>
      <c r="J1298" t="s">
        <v>6</v>
      </c>
      <c r="L1298">
        <v>522611</v>
      </c>
      <c r="M1298" s="99" t="s">
        <v>178</v>
      </c>
      <c r="N1298">
        <v>1</v>
      </c>
      <c r="O1298">
        <v>22</v>
      </c>
      <c r="P1298">
        <v>19.7181</v>
      </c>
      <c r="Q1298" t="s">
        <v>352</v>
      </c>
      <c r="R1298">
        <v>1</v>
      </c>
      <c r="S1298">
        <v>19.4345</v>
      </c>
      <c r="T1298">
        <v>0.1653</v>
      </c>
      <c r="U1298">
        <v>1.7156684815486984</v>
      </c>
      <c r="V1298">
        <v>18.938600000000001</v>
      </c>
      <c r="W1298">
        <v>19.103899999999999</v>
      </c>
      <c r="X1298">
        <v>19.269200000000001</v>
      </c>
      <c r="Y1298">
        <v>19.599799999999998</v>
      </c>
      <c r="Z1298">
        <v>19.7651</v>
      </c>
      <c r="AA1298">
        <v>19.930399999999999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 t="s">
        <v>462</v>
      </c>
      <c r="AL1298" t="s">
        <v>6</v>
      </c>
      <c r="AM1298" t="s">
        <v>1145</v>
      </c>
      <c r="AN1298" t="s">
        <v>1146</v>
      </c>
      <c r="AO1298" s="100">
        <v>46262.040405092594</v>
      </c>
      <c r="AP1298" t="s">
        <v>1147</v>
      </c>
      <c r="AQ1298" t="s">
        <v>3823</v>
      </c>
      <c r="AR1298" t="s">
        <v>1245</v>
      </c>
      <c r="AS1298" t="s">
        <v>1150</v>
      </c>
      <c r="AT1298" t="s">
        <v>3781</v>
      </c>
      <c r="AU1298">
        <v>25</v>
      </c>
      <c r="AV1298">
        <v>19.490500000000004</v>
      </c>
      <c r="AW1298">
        <v>0.15752848684179865</v>
      </c>
      <c r="AX1298">
        <v>0.80823214818398004</v>
      </c>
      <c r="AY1298">
        <v>0.87643965749547414</v>
      </c>
      <c r="AZ1298">
        <v>2.2100227019990411</v>
      </c>
      <c r="BB1298" t="s">
        <v>4620</v>
      </c>
      <c r="BD1298" s="98"/>
      <c r="BE1298" s="98"/>
      <c r="BF1298" t="s">
        <v>1152</v>
      </c>
      <c r="BG1298" t="s">
        <v>322</v>
      </c>
      <c r="BH1298" t="s">
        <v>1153</v>
      </c>
      <c r="BI1298">
        <v>0.87643965749547414</v>
      </c>
      <c r="BN1298" t="s">
        <v>1154</v>
      </c>
      <c r="BO1298">
        <v>2025</v>
      </c>
      <c r="BP1298" t="s">
        <v>966</v>
      </c>
      <c r="BZ1298" t="s">
        <v>1513</v>
      </c>
      <c r="CA1298" t="s">
        <v>1513</v>
      </c>
      <c r="CB1298" t="b">
        <v>0</v>
      </c>
      <c r="CC1298" t="b">
        <v>0</v>
      </c>
      <c r="CD1298" t="b">
        <v>0</v>
      </c>
      <c r="CE1298" t="b">
        <v>0</v>
      </c>
      <c r="CF1298" t="b">
        <v>0</v>
      </c>
    </row>
    <row r="1299" spans="1:84" x14ac:dyDescent="0.3">
      <c r="A1299" t="s">
        <v>3824</v>
      </c>
      <c r="B1299" t="s">
        <v>1247</v>
      </c>
      <c r="C1299" s="98">
        <v>45817</v>
      </c>
      <c r="D1299">
        <v>2025</v>
      </c>
      <c r="E1299">
        <v>6</v>
      </c>
      <c r="F1299">
        <v>2</v>
      </c>
      <c r="G1299" t="s">
        <v>1243</v>
      </c>
      <c r="H1299" t="s">
        <v>148</v>
      </c>
      <c r="I1299" t="s">
        <v>148</v>
      </c>
      <c r="J1299" t="s">
        <v>6</v>
      </c>
      <c r="L1299">
        <v>522611</v>
      </c>
      <c r="M1299" s="99" t="s">
        <v>178</v>
      </c>
      <c r="N1299">
        <v>1</v>
      </c>
      <c r="O1299">
        <v>23</v>
      </c>
      <c r="P1299">
        <v>19.600300000000001</v>
      </c>
      <c r="Q1299" t="s">
        <v>352</v>
      </c>
      <c r="R1299">
        <v>1</v>
      </c>
      <c r="S1299">
        <v>19.4345</v>
      </c>
      <c r="T1299">
        <v>0.1653</v>
      </c>
      <c r="U1299">
        <v>1.0030248033877849</v>
      </c>
      <c r="V1299">
        <v>18.938600000000001</v>
      </c>
      <c r="W1299">
        <v>19.103899999999999</v>
      </c>
      <c r="X1299">
        <v>19.269200000000001</v>
      </c>
      <c r="Y1299">
        <v>19.599799999999998</v>
      </c>
      <c r="Z1299">
        <v>19.7651</v>
      </c>
      <c r="AA1299">
        <v>19.930399999999999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 t="s">
        <v>462</v>
      </c>
      <c r="AL1299" t="s">
        <v>6</v>
      </c>
      <c r="AM1299" t="s">
        <v>1145</v>
      </c>
      <c r="AN1299" t="s">
        <v>1146</v>
      </c>
      <c r="AO1299" s="100">
        <v>46262.040405092594</v>
      </c>
      <c r="AP1299" t="s">
        <v>1147</v>
      </c>
      <c r="AQ1299" t="s">
        <v>3825</v>
      </c>
      <c r="AR1299" t="s">
        <v>1249</v>
      </c>
      <c r="AS1299" t="s">
        <v>1150</v>
      </c>
      <c r="AT1299" t="s">
        <v>3781</v>
      </c>
      <c r="AU1299">
        <v>25</v>
      </c>
      <c r="AV1299">
        <v>19.490500000000004</v>
      </c>
      <c r="AW1299">
        <v>0.15752848684179865</v>
      </c>
      <c r="AX1299">
        <v>0.80823214818398004</v>
      </c>
      <c r="AY1299">
        <v>0.87643965749547414</v>
      </c>
      <c r="AZ1299">
        <v>2.2100227019990411</v>
      </c>
      <c r="BB1299" t="s">
        <v>4620</v>
      </c>
      <c r="BD1299" s="98"/>
      <c r="BE1299" s="98"/>
      <c r="BF1299" t="s">
        <v>1152</v>
      </c>
      <c r="BG1299" t="s">
        <v>322</v>
      </c>
      <c r="BH1299" t="s">
        <v>1153</v>
      </c>
      <c r="BI1299">
        <v>0.87643965749547414</v>
      </c>
      <c r="BN1299" t="s">
        <v>1154</v>
      </c>
      <c r="BO1299">
        <v>2025</v>
      </c>
      <c r="BP1299" t="s">
        <v>966</v>
      </c>
      <c r="BZ1299" t="s">
        <v>1513</v>
      </c>
      <c r="CA1299" t="s">
        <v>1513</v>
      </c>
      <c r="CB1299" t="b">
        <v>0</v>
      </c>
      <c r="CC1299" t="b">
        <v>0</v>
      </c>
      <c r="CD1299" t="b">
        <v>0</v>
      </c>
      <c r="CE1299" t="b">
        <v>0</v>
      </c>
      <c r="CF1299" t="b">
        <v>0</v>
      </c>
    </row>
    <row r="1300" spans="1:84" x14ac:dyDescent="0.3">
      <c r="A1300" t="s">
        <v>3826</v>
      </c>
      <c r="B1300" t="s">
        <v>1251</v>
      </c>
      <c r="C1300" s="98">
        <v>45824</v>
      </c>
      <c r="D1300">
        <v>2025</v>
      </c>
      <c r="E1300">
        <v>6</v>
      </c>
      <c r="F1300">
        <v>2</v>
      </c>
      <c r="G1300" t="s">
        <v>1243</v>
      </c>
      <c r="H1300" t="s">
        <v>148</v>
      </c>
      <c r="I1300" t="s">
        <v>148</v>
      </c>
      <c r="J1300" t="s">
        <v>6</v>
      </c>
      <c r="L1300">
        <v>522611</v>
      </c>
      <c r="M1300" s="99" t="s">
        <v>178</v>
      </c>
      <c r="N1300">
        <v>1</v>
      </c>
      <c r="O1300">
        <v>24</v>
      </c>
      <c r="P1300">
        <v>19.4176</v>
      </c>
      <c r="Q1300" t="s">
        <v>352</v>
      </c>
      <c r="R1300">
        <v>1</v>
      </c>
      <c r="S1300">
        <v>19.4345</v>
      </c>
      <c r="T1300">
        <v>0.1653</v>
      </c>
      <c r="U1300">
        <v>-0.10223835450695519</v>
      </c>
      <c r="V1300">
        <v>18.938600000000001</v>
      </c>
      <c r="W1300">
        <v>19.103899999999999</v>
      </c>
      <c r="X1300">
        <v>19.269200000000001</v>
      </c>
      <c r="Y1300">
        <v>19.599799999999998</v>
      </c>
      <c r="Z1300">
        <v>19.7651</v>
      </c>
      <c r="AA1300">
        <v>19.930399999999999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 t="s">
        <v>462</v>
      </c>
      <c r="AL1300" t="s">
        <v>6</v>
      </c>
      <c r="AM1300" t="s">
        <v>1145</v>
      </c>
      <c r="AN1300" t="s">
        <v>1146</v>
      </c>
      <c r="AO1300" s="100">
        <v>46262.040405092594</v>
      </c>
      <c r="AP1300" t="s">
        <v>1147</v>
      </c>
      <c r="AQ1300" t="s">
        <v>3827</v>
      </c>
      <c r="AR1300" t="s">
        <v>1253</v>
      </c>
      <c r="AS1300" t="s">
        <v>1150</v>
      </c>
      <c r="AT1300" t="s">
        <v>3781</v>
      </c>
      <c r="AU1300">
        <v>25</v>
      </c>
      <c r="AV1300">
        <v>19.490500000000004</v>
      </c>
      <c r="AW1300">
        <v>0.15752848684179865</v>
      </c>
      <c r="AX1300">
        <v>0.80823214818398004</v>
      </c>
      <c r="AY1300">
        <v>0.87643965749547414</v>
      </c>
      <c r="AZ1300">
        <v>2.2100227019990411</v>
      </c>
      <c r="BB1300" t="s">
        <v>4620</v>
      </c>
      <c r="BD1300" s="98"/>
      <c r="BE1300" s="98"/>
      <c r="BF1300" t="s">
        <v>1152</v>
      </c>
      <c r="BG1300" t="s">
        <v>322</v>
      </c>
      <c r="BH1300" t="s">
        <v>1153</v>
      </c>
      <c r="BI1300">
        <v>0.87643965749547414</v>
      </c>
      <c r="BN1300" t="s">
        <v>1154</v>
      </c>
      <c r="BO1300">
        <v>2025</v>
      </c>
      <c r="BP1300" t="s">
        <v>966</v>
      </c>
      <c r="BZ1300" t="s">
        <v>1513</v>
      </c>
      <c r="CA1300" t="s">
        <v>1513</v>
      </c>
      <c r="CB1300" t="b">
        <v>0</v>
      </c>
      <c r="CC1300" t="b">
        <v>0</v>
      </c>
      <c r="CD1300" t="b">
        <v>0</v>
      </c>
      <c r="CE1300" t="b">
        <v>0</v>
      </c>
      <c r="CF1300" t="b">
        <v>0</v>
      </c>
    </row>
    <row r="1301" spans="1:84" x14ac:dyDescent="0.3">
      <c r="A1301" t="s">
        <v>3828</v>
      </c>
      <c r="B1301" t="s">
        <v>1255</v>
      </c>
      <c r="C1301" s="98">
        <v>45831</v>
      </c>
      <c r="D1301">
        <v>2025</v>
      </c>
      <c r="E1301">
        <v>6</v>
      </c>
      <c r="F1301">
        <v>2</v>
      </c>
      <c r="G1301" t="s">
        <v>1243</v>
      </c>
      <c r="H1301" t="s">
        <v>148</v>
      </c>
      <c r="I1301" t="s">
        <v>148</v>
      </c>
      <c r="J1301" t="s">
        <v>6</v>
      </c>
      <c r="L1301">
        <v>522611</v>
      </c>
      <c r="M1301" s="99" t="s">
        <v>178</v>
      </c>
      <c r="N1301">
        <v>1</v>
      </c>
      <c r="O1301">
        <v>25</v>
      </c>
      <c r="P1301">
        <v>19.401399999999999</v>
      </c>
      <c r="Q1301" t="s">
        <v>352</v>
      </c>
      <c r="R1301">
        <v>1</v>
      </c>
      <c r="S1301">
        <v>19.4345</v>
      </c>
      <c r="T1301">
        <v>0.1653</v>
      </c>
      <c r="U1301">
        <v>-0.20024198427102854</v>
      </c>
      <c r="V1301">
        <v>18.938600000000001</v>
      </c>
      <c r="W1301">
        <v>19.103899999999999</v>
      </c>
      <c r="X1301">
        <v>19.269200000000001</v>
      </c>
      <c r="Y1301">
        <v>19.599799999999998</v>
      </c>
      <c r="Z1301">
        <v>19.7651</v>
      </c>
      <c r="AA1301">
        <v>19.930399999999999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 t="s">
        <v>462</v>
      </c>
      <c r="AL1301" t="s">
        <v>6</v>
      </c>
      <c r="AM1301" t="s">
        <v>1145</v>
      </c>
      <c r="AN1301" t="s">
        <v>1146</v>
      </c>
      <c r="AO1301" s="100">
        <v>46262.040405092594</v>
      </c>
      <c r="AP1301" t="s">
        <v>1147</v>
      </c>
      <c r="AQ1301" t="s">
        <v>3829</v>
      </c>
      <c r="AR1301" t="s">
        <v>1257</v>
      </c>
      <c r="AS1301" t="s">
        <v>1150</v>
      </c>
      <c r="AT1301" t="s">
        <v>3781</v>
      </c>
      <c r="AU1301">
        <v>25</v>
      </c>
      <c r="AV1301">
        <v>19.490500000000004</v>
      </c>
      <c r="AW1301">
        <v>0.15752848684179865</v>
      </c>
      <c r="AX1301">
        <v>0.80823214818398004</v>
      </c>
      <c r="AY1301">
        <v>0.87643965749547414</v>
      </c>
      <c r="AZ1301">
        <v>2.2100227019990411</v>
      </c>
      <c r="BB1301" t="s">
        <v>4620</v>
      </c>
      <c r="BD1301" s="98"/>
      <c r="BE1301" s="98"/>
      <c r="BF1301" t="s">
        <v>1152</v>
      </c>
      <c r="BG1301" t="s">
        <v>322</v>
      </c>
      <c r="BH1301" t="s">
        <v>1153</v>
      </c>
      <c r="BI1301">
        <v>0.87643965749547414</v>
      </c>
      <c r="BN1301" t="s">
        <v>1154</v>
      </c>
      <c r="BO1301">
        <v>2025</v>
      </c>
      <c r="BP1301" t="s">
        <v>966</v>
      </c>
      <c r="BZ1301" t="s">
        <v>1513</v>
      </c>
      <c r="CA1301" t="s">
        <v>1513</v>
      </c>
      <c r="CB1301" t="b">
        <v>0</v>
      </c>
      <c r="CC1301" t="b">
        <v>0</v>
      </c>
      <c r="CD1301" t="b">
        <v>0</v>
      </c>
      <c r="CE1301" t="b">
        <v>0</v>
      </c>
      <c r="CF1301" t="b">
        <v>0</v>
      </c>
    </row>
    <row r="1302" spans="1:84" x14ac:dyDescent="0.3">
      <c r="A1302" t="s">
        <v>3830</v>
      </c>
      <c r="B1302" t="s">
        <v>1143</v>
      </c>
      <c r="C1302" s="98">
        <v>45663</v>
      </c>
      <c r="D1302">
        <v>2025</v>
      </c>
      <c r="E1302">
        <v>1</v>
      </c>
      <c r="F1302">
        <v>1</v>
      </c>
      <c r="G1302" t="s">
        <v>1144</v>
      </c>
      <c r="H1302" t="s">
        <v>148</v>
      </c>
      <c r="I1302" t="s">
        <v>148</v>
      </c>
      <c r="J1302" t="s">
        <v>6</v>
      </c>
      <c r="L1302">
        <v>522611</v>
      </c>
      <c r="M1302" s="99" t="s">
        <v>179</v>
      </c>
      <c r="N1302">
        <v>2</v>
      </c>
      <c r="O1302">
        <v>1</v>
      </c>
      <c r="P1302">
        <v>9.8600999999999992</v>
      </c>
      <c r="Q1302" t="s">
        <v>352</v>
      </c>
      <c r="R1302">
        <v>1</v>
      </c>
      <c r="S1302">
        <v>9.8345000000000002</v>
      </c>
      <c r="T1302">
        <v>0.30030000000000001</v>
      </c>
      <c r="U1302">
        <v>8.5248085248081765E-2</v>
      </c>
      <c r="V1302">
        <v>8.9336000000000002</v>
      </c>
      <c r="W1302">
        <v>9.2339000000000002</v>
      </c>
      <c r="X1302">
        <v>9.5342000000000002</v>
      </c>
      <c r="Y1302">
        <v>10.1348</v>
      </c>
      <c r="Z1302">
        <v>10.4351</v>
      </c>
      <c r="AA1302">
        <v>10.7354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 t="s">
        <v>462</v>
      </c>
      <c r="AL1302" t="s">
        <v>6</v>
      </c>
      <c r="AM1302" t="s">
        <v>1145</v>
      </c>
      <c r="AN1302" t="s">
        <v>1146</v>
      </c>
      <c r="AO1302" s="100">
        <v>46262.040405092594</v>
      </c>
      <c r="AP1302" t="s">
        <v>1147</v>
      </c>
      <c r="AQ1302" t="s">
        <v>3831</v>
      </c>
      <c r="AR1302" t="s">
        <v>1149</v>
      </c>
      <c r="AS1302" t="s">
        <v>1150</v>
      </c>
      <c r="AT1302" t="s">
        <v>3781</v>
      </c>
      <c r="AU1302">
        <v>25</v>
      </c>
      <c r="AV1302">
        <v>9.8274359999999987</v>
      </c>
      <c r="AW1302">
        <v>0.31543085068944465</v>
      </c>
      <c r="AX1302">
        <v>3.2096963103035696</v>
      </c>
      <c r="AY1302">
        <v>0.87643965749547414</v>
      </c>
      <c r="AZ1302">
        <v>6.1724385694963635</v>
      </c>
      <c r="BB1302" t="s">
        <v>4620</v>
      </c>
      <c r="BD1302" s="98"/>
      <c r="BE1302" s="98"/>
      <c r="BF1302" t="s">
        <v>1152</v>
      </c>
      <c r="BG1302" t="s">
        <v>322</v>
      </c>
      <c r="BH1302" t="s">
        <v>1153</v>
      </c>
      <c r="BI1302">
        <v>0.87643965749547414</v>
      </c>
      <c r="BN1302" t="s">
        <v>1154</v>
      </c>
      <c r="BO1302">
        <v>2025</v>
      </c>
      <c r="BP1302" t="s">
        <v>966</v>
      </c>
      <c r="BZ1302" t="s">
        <v>1513</v>
      </c>
      <c r="CA1302" t="s">
        <v>1513</v>
      </c>
      <c r="CB1302" t="b">
        <v>0</v>
      </c>
      <c r="CC1302" t="b">
        <v>0</v>
      </c>
      <c r="CD1302" t="b">
        <v>0</v>
      </c>
      <c r="CE1302" t="b">
        <v>0</v>
      </c>
      <c r="CF1302" t="b">
        <v>0</v>
      </c>
    </row>
    <row r="1303" spans="1:84" x14ac:dyDescent="0.3">
      <c r="A1303" t="s">
        <v>3832</v>
      </c>
      <c r="B1303" t="s">
        <v>1157</v>
      </c>
      <c r="C1303" s="98">
        <v>45670</v>
      </c>
      <c r="D1303">
        <v>2025</v>
      </c>
      <c r="E1303">
        <v>1</v>
      </c>
      <c r="F1303">
        <v>1</v>
      </c>
      <c r="G1303" t="s">
        <v>1144</v>
      </c>
      <c r="H1303" t="s">
        <v>148</v>
      </c>
      <c r="I1303" t="s">
        <v>148</v>
      </c>
      <c r="J1303" t="s">
        <v>6</v>
      </c>
      <c r="L1303">
        <v>522611</v>
      </c>
      <c r="M1303" s="99" t="s">
        <v>179</v>
      </c>
      <c r="N1303">
        <v>2</v>
      </c>
      <c r="O1303">
        <v>2</v>
      </c>
      <c r="P1303">
        <v>9.8871000000000002</v>
      </c>
      <c r="Q1303" t="s">
        <v>352</v>
      </c>
      <c r="R1303">
        <v>1</v>
      </c>
      <c r="S1303">
        <v>9.8345000000000002</v>
      </c>
      <c r="T1303">
        <v>0.30030000000000001</v>
      </c>
      <c r="U1303">
        <v>0.17515817515817508</v>
      </c>
      <c r="V1303">
        <v>8.9336000000000002</v>
      </c>
      <c r="W1303">
        <v>9.2339000000000002</v>
      </c>
      <c r="X1303">
        <v>9.5342000000000002</v>
      </c>
      <c r="Y1303">
        <v>10.1348</v>
      </c>
      <c r="Z1303">
        <v>10.4351</v>
      </c>
      <c r="AA1303">
        <v>10.7354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 t="s">
        <v>462</v>
      </c>
      <c r="AL1303" t="s">
        <v>6</v>
      </c>
      <c r="AM1303" t="s">
        <v>1145</v>
      </c>
      <c r="AN1303" t="s">
        <v>1146</v>
      </c>
      <c r="AO1303" s="100">
        <v>46262.040405092594</v>
      </c>
      <c r="AP1303" t="s">
        <v>1147</v>
      </c>
      <c r="AQ1303" t="s">
        <v>3833</v>
      </c>
      <c r="AR1303" t="s">
        <v>1159</v>
      </c>
      <c r="AS1303" t="s">
        <v>1150</v>
      </c>
      <c r="AT1303" t="s">
        <v>3781</v>
      </c>
      <c r="AU1303">
        <v>25</v>
      </c>
      <c r="AV1303">
        <v>9.8274359999999987</v>
      </c>
      <c r="AW1303">
        <v>0.31543085068944465</v>
      </c>
      <c r="AX1303">
        <v>3.2096963103035696</v>
      </c>
      <c r="AY1303">
        <v>0.87643965749547414</v>
      </c>
      <c r="AZ1303">
        <v>6.1724385694963635</v>
      </c>
      <c r="BB1303" t="s">
        <v>4620</v>
      </c>
      <c r="BD1303" s="98"/>
      <c r="BE1303" s="98"/>
      <c r="BF1303" t="s">
        <v>1152</v>
      </c>
      <c r="BG1303" t="s">
        <v>322</v>
      </c>
      <c r="BH1303" t="s">
        <v>1153</v>
      </c>
      <c r="BI1303">
        <v>0.87643965749547414</v>
      </c>
      <c r="BN1303" t="s">
        <v>1154</v>
      </c>
      <c r="BO1303">
        <v>2025</v>
      </c>
      <c r="BP1303" t="s">
        <v>966</v>
      </c>
      <c r="BZ1303" t="s">
        <v>1513</v>
      </c>
      <c r="CA1303" t="s">
        <v>1513</v>
      </c>
      <c r="CB1303" t="b">
        <v>0</v>
      </c>
      <c r="CC1303" t="b">
        <v>0</v>
      </c>
      <c r="CD1303" t="b">
        <v>0</v>
      </c>
      <c r="CE1303" t="b">
        <v>0</v>
      </c>
      <c r="CF1303" t="b">
        <v>0</v>
      </c>
    </row>
    <row r="1304" spans="1:84" x14ac:dyDescent="0.3">
      <c r="A1304" t="s">
        <v>3834</v>
      </c>
      <c r="B1304" t="s">
        <v>1161</v>
      </c>
      <c r="C1304" s="98">
        <v>45677</v>
      </c>
      <c r="D1304">
        <v>2025</v>
      </c>
      <c r="E1304">
        <v>1</v>
      </c>
      <c r="F1304">
        <v>1</v>
      </c>
      <c r="G1304" t="s">
        <v>1144</v>
      </c>
      <c r="H1304" t="s">
        <v>148</v>
      </c>
      <c r="I1304" t="s">
        <v>148</v>
      </c>
      <c r="J1304" t="s">
        <v>6</v>
      </c>
      <c r="L1304">
        <v>522611</v>
      </c>
      <c r="M1304" s="99" t="s">
        <v>179</v>
      </c>
      <c r="N1304">
        <v>2</v>
      </c>
      <c r="O1304">
        <v>3</v>
      </c>
      <c r="P1304">
        <v>9.6751000000000005</v>
      </c>
      <c r="Q1304" t="s">
        <v>352</v>
      </c>
      <c r="R1304">
        <v>1</v>
      </c>
      <c r="S1304">
        <v>9.8345000000000002</v>
      </c>
      <c r="T1304">
        <v>0.30030000000000001</v>
      </c>
      <c r="U1304">
        <v>-0.53080253080253004</v>
      </c>
      <c r="V1304">
        <v>8.9336000000000002</v>
      </c>
      <c r="W1304">
        <v>9.2339000000000002</v>
      </c>
      <c r="X1304">
        <v>9.5342000000000002</v>
      </c>
      <c r="Y1304">
        <v>10.1348</v>
      </c>
      <c r="Z1304">
        <v>10.4351</v>
      </c>
      <c r="AA1304">
        <v>10.7354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 t="s">
        <v>462</v>
      </c>
      <c r="AL1304" t="s">
        <v>6</v>
      </c>
      <c r="AM1304" t="s">
        <v>1145</v>
      </c>
      <c r="AN1304" t="s">
        <v>1146</v>
      </c>
      <c r="AO1304" s="100">
        <v>46262.040405092594</v>
      </c>
      <c r="AP1304" t="s">
        <v>1147</v>
      </c>
      <c r="AQ1304" t="s">
        <v>3835</v>
      </c>
      <c r="AR1304" t="s">
        <v>1163</v>
      </c>
      <c r="AS1304" t="s">
        <v>1150</v>
      </c>
      <c r="AT1304" t="s">
        <v>3781</v>
      </c>
      <c r="AU1304">
        <v>25</v>
      </c>
      <c r="AV1304">
        <v>9.8274359999999987</v>
      </c>
      <c r="AW1304">
        <v>0.31543085068944465</v>
      </c>
      <c r="AX1304">
        <v>3.2096963103035696</v>
      </c>
      <c r="AY1304">
        <v>0.87643965749547414</v>
      </c>
      <c r="AZ1304">
        <v>6.1724385694963635</v>
      </c>
      <c r="BB1304" t="s">
        <v>4620</v>
      </c>
      <c r="BD1304" s="98"/>
      <c r="BE1304" s="98"/>
      <c r="BF1304" t="s">
        <v>1152</v>
      </c>
      <c r="BG1304" t="s">
        <v>322</v>
      </c>
      <c r="BH1304" t="s">
        <v>1153</v>
      </c>
      <c r="BI1304">
        <v>0.87643965749547414</v>
      </c>
      <c r="BN1304" t="s">
        <v>1154</v>
      </c>
      <c r="BO1304">
        <v>2025</v>
      </c>
      <c r="BP1304" t="s">
        <v>966</v>
      </c>
      <c r="BZ1304" t="s">
        <v>1513</v>
      </c>
      <c r="CA1304" t="s">
        <v>1513</v>
      </c>
      <c r="CB1304" t="b">
        <v>0</v>
      </c>
      <c r="CC1304" t="b">
        <v>0</v>
      </c>
      <c r="CD1304" t="b">
        <v>0</v>
      </c>
      <c r="CE1304" t="b">
        <v>0</v>
      </c>
      <c r="CF1304" t="b">
        <v>0</v>
      </c>
    </row>
    <row r="1305" spans="1:84" x14ac:dyDescent="0.3">
      <c r="A1305" t="s">
        <v>3836</v>
      </c>
      <c r="B1305" t="s">
        <v>1165</v>
      </c>
      <c r="C1305" s="98">
        <v>45684</v>
      </c>
      <c r="D1305">
        <v>2025</v>
      </c>
      <c r="E1305">
        <v>1</v>
      </c>
      <c r="F1305">
        <v>1</v>
      </c>
      <c r="G1305" t="s">
        <v>1144</v>
      </c>
      <c r="H1305" t="s">
        <v>148</v>
      </c>
      <c r="I1305" t="s">
        <v>148</v>
      </c>
      <c r="J1305" t="s">
        <v>6</v>
      </c>
      <c r="L1305">
        <v>522611</v>
      </c>
      <c r="M1305" s="99" t="s">
        <v>179</v>
      </c>
      <c r="N1305">
        <v>2</v>
      </c>
      <c r="O1305">
        <v>4</v>
      </c>
      <c r="P1305">
        <v>9.8247</v>
      </c>
      <c r="Q1305" t="s">
        <v>352</v>
      </c>
      <c r="R1305">
        <v>1</v>
      </c>
      <c r="S1305">
        <v>9.8345000000000002</v>
      </c>
      <c r="T1305">
        <v>0.30030000000000001</v>
      </c>
      <c r="U1305">
        <v>-3.2634032634033472E-2</v>
      </c>
      <c r="V1305">
        <v>8.9336000000000002</v>
      </c>
      <c r="W1305">
        <v>9.2339000000000002</v>
      </c>
      <c r="X1305">
        <v>9.5342000000000002</v>
      </c>
      <c r="Y1305">
        <v>10.1348</v>
      </c>
      <c r="Z1305">
        <v>10.4351</v>
      </c>
      <c r="AA1305">
        <v>10.7354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 t="s">
        <v>462</v>
      </c>
      <c r="AL1305" t="s">
        <v>6</v>
      </c>
      <c r="AM1305" t="s">
        <v>1145</v>
      </c>
      <c r="AN1305" t="s">
        <v>1146</v>
      </c>
      <c r="AO1305" s="100">
        <v>46262.040405092594</v>
      </c>
      <c r="AP1305" t="s">
        <v>1147</v>
      </c>
      <c r="AQ1305" t="s">
        <v>3837</v>
      </c>
      <c r="AR1305" t="s">
        <v>1167</v>
      </c>
      <c r="AS1305" t="s">
        <v>1150</v>
      </c>
      <c r="AT1305" t="s">
        <v>3781</v>
      </c>
      <c r="AU1305">
        <v>25</v>
      </c>
      <c r="AV1305">
        <v>9.8274359999999987</v>
      </c>
      <c r="AW1305">
        <v>0.31543085068944465</v>
      </c>
      <c r="AX1305">
        <v>3.2096963103035696</v>
      </c>
      <c r="AY1305">
        <v>0.87643965749547414</v>
      </c>
      <c r="AZ1305">
        <v>6.1724385694963635</v>
      </c>
      <c r="BB1305" t="s">
        <v>4620</v>
      </c>
      <c r="BD1305" s="98"/>
      <c r="BE1305" s="98"/>
      <c r="BF1305" t="s">
        <v>1152</v>
      </c>
      <c r="BG1305" t="s">
        <v>322</v>
      </c>
      <c r="BH1305" t="s">
        <v>1153</v>
      </c>
      <c r="BI1305">
        <v>0.87643965749547414</v>
      </c>
      <c r="BN1305" t="s">
        <v>1154</v>
      </c>
      <c r="BO1305">
        <v>2025</v>
      </c>
      <c r="BP1305" t="s">
        <v>966</v>
      </c>
      <c r="BZ1305" t="s">
        <v>1513</v>
      </c>
      <c r="CA1305" t="s">
        <v>1513</v>
      </c>
      <c r="CB1305" t="b">
        <v>0</v>
      </c>
      <c r="CC1305" t="b">
        <v>0</v>
      </c>
      <c r="CD1305" t="b">
        <v>0</v>
      </c>
      <c r="CE1305" t="b">
        <v>0</v>
      </c>
      <c r="CF1305" t="b">
        <v>0</v>
      </c>
    </row>
    <row r="1306" spans="1:84" x14ac:dyDescent="0.3">
      <c r="A1306" t="s">
        <v>3838</v>
      </c>
      <c r="B1306" t="s">
        <v>1169</v>
      </c>
      <c r="C1306" s="98">
        <v>45691</v>
      </c>
      <c r="D1306">
        <v>2025</v>
      </c>
      <c r="E1306">
        <v>2</v>
      </c>
      <c r="F1306">
        <v>1</v>
      </c>
      <c r="G1306" t="s">
        <v>1170</v>
      </c>
      <c r="H1306" t="s">
        <v>148</v>
      </c>
      <c r="I1306" t="s">
        <v>148</v>
      </c>
      <c r="J1306" t="s">
        <v>6</v>
      </c>
      <c r="L1306">
        <v>522611</v>
      </c>
      <c r="M1306" s="99" t="s">
        <v>179</v>
      </c>
      <c r="N1306">
        <v>2</v>
      </c>
      <c r="O1306">
        <v>5</v>
      </c>
      <c r="P1306">
        <v>10.3178</v>
      </c>
      <c r="Q1306" t="s">
        <v>352</v>
      </c>
      <c r="R1306">
        <v>1</v>
      </c>
      <c r="S1306">
        <v>9.8345000000000002</v>
      </c>
      <c r="T1306">
        <v>0.30030000000000001</v>
      </c>
      <c r="U1306">
        <v>1.6093906093906087</v>
      </c>
      <c r="V1306">
        <v>8.9336000000000002</v>
      </c>
      <c r="W1306">
        <v>9.2339000000000002</v>
      </c>
      <c r="X1306">
        <v>9.5342000000000002</v>
      </c>
      <c r="Y1306">
        <v>10.1348</v>
      </c>
      <c r="Z1306">
        <v>10.4351</v>
      </c>
      <c r="AA1306">
        <v>10.7354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 t="s">
        <v>462</v>
      </c>
      <c r="AL1306" t="s">
        <v>6</v>
      </c>
      <c r="AM1306" t="s">
        <v>1145</v>
      </c>
      <c r="AN1306" t="s">
        <v>1146</v>
      </c>
      <c r="AO1306" s="100">
        <v>46262.040405092594</v>
      </c>
      <c r="AP1306" t="s">
        <v>1147</v>
      </c>
      <c r="AQ1306" t="s">
        <v>3839</v>
      </c>
      <c r="AR1306" t="s">
        <v>1172</v>
      </c>
      <c r="AS1306" t="s">
        <v>1150</v>
      </c>
      <c r="AT1306" t="s">
        <v>3781</v>
      </c>
      <c r="AU1306">
        <v>25</v>
      </c>
      <c r="AV1306">
        <v>9.8274359999999987</v>
      </c>
      <c r="AW1306">
        <v>0.31543085068944465</v>
      </c>
      <c r="AX1306">
        <v>3.2096963103035696</v>
      </c>
      <c r="AY1306">
        <v>0.87643965749547414</v>
      </c>
      <c r="AZ1306">
        <v>6.1724385694963635</v>
      </c>
      <c r="BB1306" t="s">
        <v>4620</v>
      </c>
      <c r="BD1306" s="98"/>
      <c r="BE1306" s="98"/>
      <c r="BF1306" t="s">
        <v>1152</v>
      </c>
      <c r="BG1306" t="s">
        <v>322</v>
      </c>
      <c r="BH1306" t="s">
        <v>1153</v>
      </c>
      <c r="BI1306">
        <v>0.87643965749547414</v>
      </c>
      <c r="BN1306" t="s">
        <v>1154</v>
      </c>
      <c r="BO1306">
        <v>2025</v>
      </c>
      <c r="BP1306" t="s">
        <v>966</v>
      </c>
      <c r="BZ1306" t="s">
        <v>1513</v>
      </c>
      <c r="CA1306" t="s">
        <v>1513</v>
      </c>
      <c r="CB1306" t="b">
        <v>0</v>
      </c>
      <c r="CC1306" t="b">
        <v>0</v>
      </c>
      <c r="CD1306" t="b">
        <v>0</v>
      </c>
      <c r="CE1306" t="b">
        <v>0</v>
      </c>
      <c r="CF1306" t="b">
        <v>0</v>
      </c>
    </row>
    <row r="1307" spans="1:84" x14ac:dyDescent="0.3">
      <c r="A1307" t="s">
        <v>3840</v>
      </c>
      <c r="B1307" t="s">
        <v>1174</v>
      </c>
      <c r="C1307" s="98">
        <v>45698</v>
      </c>
      <c r="D1307">
        <v>2025</v>
      </c>
      <c r="E1307">
        <v>2</v>
      </c>
      <c r="F1307">
        <v>1</v>
      </c>
      <c r="G1307" t="s">
        <v>1170</v>
      </c>
      <c r="H1307" t="s">
        <v>148</v>
      </c>
      <c r="I1307" t="s">
        <v>148</v>
      </c>
      <c r="J1307" t="s">
        <v>6</v>
      </c>
      <c r="L1307">
        <v>522611</v>
      </c>
      <c r="M1307" s="99" t="s">
        <v>179</v>
      </c>
      <c r="N1307">
        <v>2</v>
      </c>
      <c r="O1307">
        <v>6</v>
      </c>
      <c r="P1307">
        <v>9.3232999999999997</v>
      </c>
      <c r="Q1307" t="s">
        <v>352</v>
      </c>
      <c r="R1307">
        <v>1</v>
      </c>
      <c r="S1307">
        <v>9.8345000000000002</v>
      </c>
      <c r="T1307">
        <v>0.30030000000000001</v>
      </c>
      <c r="U1307">
        <v>-1.7022977022977039</v>
      </c>
      <c r="V1307">
        <v>8.9336000000000002</v>
      </c>
      <c r="W1307">
        <v>9.2339000000000002</v>
      </c>
      <c r="X1307">
        <v>9.5342000000000002</v>
      </c>
      <c r="Y1307">
        <v>10.1348</v>
      </c>
      <c r="Z1307">
        <v>10.4351</v>
      </c>
      <c r="AA1307">
        <v>10.7354</v>
      </c>
      <c r="AE1307">
        <v>0</v>
      </c>
      <c r="AF1307">
        <v>0</v>
      </c>
      <c r="AG1307">
        <v>1</v>
      </c>
      <c r="AH1307">
        <v>0</v>
      </c>
      <c r="AI1307">
        <v>0</v>
      </c>
      <c r="AJ1307">
        <v>0</v>
      </c>
      <c r="AK1307" t="s">
        <v>1213</v>
      </c>
      <c r="AL1307" t="s">
        <v>6</v>
      </c>
      <c r="AM1307" t="s">
        <v>1145</v>
      </c>
      <c r="AN1307" t="s">
        <v>1146</v>
      </c>
      <c r="AO1307" s="100">
        <v>46262.040405092594</v>
      </c>
      <c r="AP1307" t="s">
        <v>1147</v>
      </c>
      <c r="AQ1307" t="s">
        <v>3841</v>
      </c>
      <c r="AR1307" t="s">
        <v>1176</v>
      </c>
      <c r="AS1307" t="s">
        <v>1150</v>
      </c>
      <c r="AT1307" t="s">
        <v>3781</v>
      </c>
      <c r="AU1307">
        <v>25</v>
      </c>
      <c r="AV1307">
        <v>9.8274359999999987</v>
      </c>
      <c r="AW1307">
        <v>0.31543085068944465</v>
      </c>
      <c r="AX1307">
        <v>3.2096963103035696</v>
      </c>
      <c r="AY1307">
        <v>0.87643965749547414</v>
      </c>
      <c r="AZ1307">
        <v>6.1724385694963635</v>
      </c>
      <c r="BB1307" t="s">
        <v>4620</v>
      </c>
      <c r="BD1307" s="98"/>
      <c r="BE1307" s="98"/>
      <c r="BF1307" t="s">
        <v>1152</v>
      </c>
      <c r="BG1307" t="s">
        <v>322</v>
      </c>
      <c r="BH1307" t="s">
        <v>1153</v>
      </c>
      <c r="BI1307">
        <v>0.87643965749547414</v>
      </c>
      <c r="BN1307" t="s">
        <v>1154</v>
      </c>
      <c r="BO1307">
        <v>2025</v>
      </c>
      <c r="BP1307" t="s">
        <v>966</v>
      </c>
      <c r="BZ1307" t="s">
        <v>1513</v>
      </c>
      <c r="CA1307" t="s">
        <v>1513</v>
      </c>
      <c r="CB1307" t="b">
        <v>0</v>
      </c>
      <c r="CC1307" t="b">
        <v>0</v>
      </c>
      <c r="CD1307" t="b">
        <v>0</v>
      </c>
      <c r="CE1307" t="b">
        <v>0</v>
      </c>
      <c r="CF1307" t="b">
        <v>0</v>
      </c>
    </row>
    <row r="1308" spans="1:84" x14ac:dyDescent="0.3">
      <c r="A1308" t="s">
        <v>3842</v>
      </c>
      <c r="B1308" t="s">
        <v>1178</v>
      </c>
      <c r="C1308" s="98">
        <v>45705</v>
      </c>
      <c r="D1308">
        <v>2025</v>
      </c>
      <c r="E1308">
        <v>2</v>
      </c>
      <c r="F1308">
        <v>1</v>
      </c>
      <c r="G1308" t="s">
        <v>1170</v>
      </c>
      <c r="H1308" t="s">
        <v>148</v>
      </c>
      <c r="I1308" t="s">
        <v>148</v>
      </c>
      <c r="J1308" t="s">
        <v>6</v>
      </c>
      <c r="L1308">
        <v>522611</v>
      </c>
      <c r="M1308" s="99" t="s">
        <v>179</v>
      </c>
      <c r="N1308">
        <v>2</v>
      </c>
      <c r="O1308">
        <v>7</v>
      </c>
      <c r="P1308">
        <v>9.9121000000000006</v>
      </c>
      <c r="Q1308" t="s">
        <v>352</v>
      </c>
      <c r="R1308">
        <v>1</v>
      </c>
      <c r="S1308">
        <v>9.8345000000000002</v>
      </c>
      <c r="T1308">
        <v>0.30030000000000001</v>
      </c>
      <c r="U1308">
        <v>0.25840825840825954</v>
      </c>
      <c r="V1308">
        <v>8.9336000000000002</v>
      </c>
      <c r="W1308">
        <v>9.2339000000000002</v>
      </c>
      <c r="X1308">
        <v>9.5342000000000002</v>
      </c>
      <c r="Y1308">
        <v>10.1348</v>
      </c>
      <c r="Z1308">
        <v>10.4351</v>
      </c>
      <c r="AA1308">
        <v>10.7354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 t="s">
        <v>462</v>
      </c>
      <c r="AL1308" t="s">
        <v>6</v>
      </c>
      <c r="AM1308" t="s">
        <v>1145</v>
      </c>
      <c r="AN1308" t="s">
        <v>1146</v>
      </c>
      <c r="AO1308" s="100">
        <v>46262.040405092594</v>
      </c>
      <c r="AP1308" t="s">
        <v>1147</v>
      </c>
      <c r="AQ1308" t="s">
        <v>3843</v>
      </c>
      <c r="AR1308" t="s">
        <v>1180</v>
      </c>
      <c r="AS1308" t="s">
        <v>1150</v>
      </c>
      <c r="AT1308" t="s">
        <v>3781</v>
      </c>
      <c r="AU1308">
        <v>25</v>
      </c>
      <c r="AV1308">
        <v>9.8274359999999987</v>
      </c>
      <c r="AW1308">
        <v>0.31543085068944465</v>
      </c>
      <c r="AX1308">
        <v>3.2096963103035696</v>
      </c>
      <c r="AY1308">
        <v>0.87643965749547414</v>
      </c>
      <c r="AZ1308">
        <v>6.1724385694963635</v>
      </c>
      <c r="BB1308" t="s">
        <v>4620</v>
      </c>
      <c r="BD1308" s="98"/>
      <c r="BE1308" s="98"/>
      <c r="BF1308" t="s">
        <v>1152</v>
      </c>
      <c r="BG1308" t="s">
        <v>322</v>
      </c>
      <c r="BH1308" t="s">
        <v>1153</v>
      </c>
      <c r="BI1308">
        <v>0.87643965749547414</v>
      </c>
      <c r="BN1308" t="s">
        <v>1154</v>
      </c>
      <c r="BO1308">
        <v>2025</v>
      </c>
      <c r="BP1308" t="s">
        <v>966</v>
      </c>
      <c r="BZ1308" t="s">
        <v>1513</v>
      </c>
      <c r="CA1308" t="s">
        <v>1513</v>
      </c>
      <c r="CB1308" t="b">
        <v>0</v>
      </c>
      <c r="CC1308" t="b">
        <v>0</v>
      </c>
      <c r="CD1308" t="b">
        <v>0</v>
      </c>
      <c r="CE1308" t="b">
        <v>0</v>
      </c>
      <c r="CF1308" t="b">
        <v>0</v>
      </c>
    </row>
    <row r="1309" spans="1:84" x14ac:dyDescent="0.3">
      <c r="A1309" t="s">
        <v>3844</v>
      </c>
      <c r="B1309" t="s">
        <v>1182</v>
      </c>
      <c r="C1309" s="98">
        <v>45712</v>
      </c>
      <c r="D1309">
        <v>2025</v>
      </c>
      <c r="E1309">
        <v>2</v>
      </c>
      <c r="F1309">
        <v>1</v>
      </c>
      <c r="G1309" t="s">
        <v>1170</v>
      </c>
      <c r="H1309" t="s">
        <v>148</v>
      </c>
      <c r="I1309" t="s">
        <v>148</v>
      </c>
      <c r="J1309" t="s">
        <v>6</v>
      </c>
      <c r="L1309">
        <v>522611</v>
      </c>
      <c r="M1309" s="99" t="s">
        <v>179</v>
      </c>
      <c r="N1309">
        <v>2</v>
      </c>
      <c r="O1309">
        <v>8</v>
      </c>
      <c r="P1309">
        <v>9.5620999999999992</v>
      </c>
      <c r="Q1309" t="s">
        <v>352</v>
      </c>
      <c r="R1309">
        <v>1</v>
      </c>
      <c r="S1309">
        <v>9.8345000000000002</v>
      </c>
      <c r="T1309">
        <v>0.30030000000000001</v>
      </c>
      <c r="U1309">
        <v>-0.90709290709291068</v>
      </c>
      <c r="V1309">
        <v>8.9336000000000002</v>
      </c>
      <c r="W1309">
        <v>9.2339000000000002</v>
      </c>
      <c r="X1309">
        <v>9.5342000000000002</v>
      </c>
      <c r="Y1309">
        <v>10.1348</v>
      </c>
      <c r="Z1309">
        <v>10.4351</v>
      </c>
      <c r="AA1309">
        <v>10.7354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 t="s">
        <v>462</v>
      </c>
      <c r="AL1309" t="s">
        <v>6</v>
      </c>
      <c r="AM1309" t="s">
        <v>1145</v>
      </c>
      <c r="AN1309" t="s">
        <v>1146</v>
      </c>
      <c r="AO1309" s="100">
        <v>46262.040405092594</v>
      </c>
      <c r="AP1309" t="s">
        <v>1147</v>
      </c>
      <c r="AQ1309" t="s">
        <v>3845</v>
      </c>
      <c r="AR1309" t="s">
        <v>1184</v>
      </c>
      <c r="AS1309" t="s">
        <v>1150</v>
      </c>
      <c r="AT1309" t="s">
        <v>3781</v>
      </c>
      <c r="AU1309">
        <v>25</v>
      </c>
      <c r="AV1309">
        <v>9.8274359999999987</v>
      </c>
      <c r="AW1309">
        <v>0.31543085068944465</v>
      </c>
      <c r="AX1309">
        <v>3.2096963103035696</v>
      </c>
      <c r="AY1309">
        <v>0.87643965749547414</v>
      </c>
      <c r="AZ1309">
        <v>6.1724385694963635</v>
      </c>
      <c r="BB1309" t="s">
        <v>4620</v>
      </c>
      <c r="BD1309" s="98"/>
      <c r="BE1309" s="98"/>
      <c r="BF1309" t="s">
        <v>1152</v>
      </c>
      <c r="BG1309" t="s">
        <v>322</v>
      </c>
      <c r="BH1309" t="s">
        <v>1153</v>
      </c>
      <c r="BI1309">
        <v>0.87643965749547414</v>
      </c>
      <c r="BN1309" t="s">
        <v>1154</v>
      </c>
      <c r="BO1309">
        <v>2025</v>
      </c>
      <c r="BP1309" t="s">
        <v>966</v>
      </c>
      <c r="BZ1309" t="s">
        <v>1513</v>
      </c>
      <c r="CA1309" t="s">
        <v>1513</v>
      </c>
      <c r="CB1309" t="b">
        <v>0</v>
      </c>
      <c r="CC1309" t="b">
        <v>0</v>
      </c>
      <c r="CD1309" t="b">
        <v>0</v>
      </c>
      <c r="CE1309" t="b">
        <v>0</v>
      </c>
      <c r="CF1309" t="b">
        <v>0</v>
      </c>
    </row>
    <row r="1310" spans="1:84" x14ac:dyDescent="0.3">
      <c r="A1310" t="s">
        <v>3846</v>
      </c>
      <c r="B1310" t="s">
        <v>1186</v>
      </c>
      <c r="C1310" s="98">
        <v>45719</v>
      </c>
      <c r="D1310">
        <v>2025</v>
      </c>
      <c r="E1310">
        <v>3</v>
      </c>
      <c r="F1310">
        <v>1</v>
      </c>
      <c r="G1310" t="s">
        <v>1187</v>
      </c>
      <c r="H1310" t="s">
        <v>148</v>
      </c>
      <c r="I1310" t="s">
        <v>148</v>
      </c>
      <c r="J1310" t="s">
        <v>6</v>
      </c>
      <c r="L1310">
        <v>522611</v>
      </c>
      <c r="M1310" s="99" t="s">
        <v>179</v>
      </c>
      <c r="N1310">
        <v>2</v>
      </c>
      <c r="O1310">
        <v>9</v>
      </c>
      <c r="P1310">
        <v>9.8907000000000007</v>
      </c>
      <c r="Q1310" t="s">
        <v>352</v>
      </c>
      <c r="R1310">
        <v>1</v>
      </c>
      <c r="S1310">
        <v>9.8345000000000002</v>
      </c>
      <c r="T1310">
        <v>0.30030000000000001</v>
      </c>
      <c r="U1310">
        <v>0.18714618714618872</v>
      </c>
      <c r="V1310">
        <v>8.9336000000000002</v>
      </c>
      <c r="W1310">
        <v>9.2339000000000002</v>
      </c>
      <c r="X1310">
        <v>9.5342000000000002</v>
      </c>
      <c r="Y1310">
        <v>10.1348</v>
      </c>
      <c r="Z1310">
        <v>10.4351</v>
      </c>
      <c r="AA1310">
        <v>10.7354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 t="s">
        <v>462</v>
      </c>
      <c r="AL1310" t="s">
        <v>6</v>
      </c>
      <c r="AM1310" t="s">
        <v>1145</v>
      </c>
      <c r="AN1310" t="s">
        <v>1146</v>
      </c>
      <c r="AO1310" s="100">
        <v>46262.040405092594</v>
      </c>
      <c r="AP1310" t="s">
        <v>1147</v>
      </c>
      <c r="AQ1310" t="s">
        <v>3847</v>
      </c>
      <c r="AR1310" t="s">
        <v>1189</v>
      </c>
      <c r="AS1310" t="s">
        <v>1150</v>
      </c>
      <c r="AT1310" t="s">
        <v>3781</v>
      </c>
      <c r="AU1310">
        <v>25</v>
      </c>
      <c r="AV1310">
        <v>9.8274359999999987</v>
      </c>
      <c r="AW1310">
        <v>0.31543085068944465</v>
      </c>
      <c r="AX1310">
        <v>3.2096963103035696</v>
      </c>
      <c r="AY1310">
        <v>0.87643965749547414</v>
      </c>
      <c r="AZ1310">
        <v>6.1724385694963635</v>
      </c>
      <c r="BB1310" t="s">
        <v>4620</v>
      </c>
      <c r="BD1310" s="98"/>
      <c r="BE1310" s="98"/>
      <c r="BF1310" t="s">
        <v>1152</v>
      </c>
      <c r="BG1310" t="s">
        <v>322</v>
      </c>
      <c r="BH1310" t="s">
        <v>1153</v>
      </c>
      <c r="BI1310">
        <v>0.87643965749547414</v>
      </c>
      <c r="BN1310" t="s">
        <v>1154</v>
      </c>
      <c r="BO1310">
        <v>2025</v>
      </c>
      <c r="BP1310" t="s">
        <v>966</v>
      </c>
      <c r="BZ1310" t="s">
        <v>1513</v>
      </c>
      <c r="CA1310" t="s">
        <v>1513</v>
      </c>
      <c r="CB1310" t="b">
        <v>0</v>
      </c>
      <c r="CC1310" t="b">
        <v>0</v>
      </c>
      <c r="CD1310" t="b">
        <v>0</v>
      </c>
      <c r="CE1310" t="b">
        <v>0</v>
      </c>
      <c r="CF1310" t="b">
        <v>0</v>
      </c>
    </row>
    <row r="1311" spans="1:84" x14ac:dyDescent="0.3">
      <c r="A1311" t="s">
        <v>3848</v>
      </c>
      <c r="B1311" t="s">
        <v>1191</v>
      </c>
      <c r="C1311" s="98">
        <v>45726</v>
      </c>
      <c r="D1311">
        <v>2025</v>
      </c>
      <c r="E1311">
        <v>3</v>
      </c>
      <c r="F1311">
        <v>1</v>
      </c>
      <c r="G1311" t="s">
        <v>1187</v>
      </c>
      <c r="H1311" t="s">
        <v>148</v>
      </c>
      <c r="I1311" t="s">
        <v>148</v>
      </c>
      <c r="J1311" t="s">
        <v>6</v>
      </c>
      <c r="L1311">
        <v>522611</v>
      </c>
      <c r="M1311" s="99" t="s">
        <v>179</v>
      </c>
      <c r="N1311">
        <v>2</v>
      </c>
      <c r="O1311">
        <v>10</v>
      </c>
      <c r="P1311">
        <v>10.0867</v>
      </c>
      <c r="Q1311" t="s">
        <v>352</v>
      </c>
      <c r="R1311">
        <v>1</v>
      </c>
      <c r="S1311">
        <v>9.8345000000000002</v>
      </c>
      <c r="T1311">
        <v>0.30030000000000001</v>
      </c>
      <c r="U1311">
        <v>0.83982683982684048</v>
      </c>
      <c r="V1311">
        <v>8.9336000000000002</v>
      </c>
      <c r="W1311">
        <v>9.2339000000000002</v>
      </c>
      <c r="X1311">
        <v>9.5342000000000002</v>
      </c>
      <c r="Y1311">
        <v>10.1348</v>
      </c>
      <c r="Z1311">
        <v>10.4351</v>
      </c>
      <c r="AA1311">
        <v>10.7354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 t="s">
        <v>462</v>
      </c>
      <c r="AL1311" t="s">
        <v>6</v>
      </c>
      <c r="AM1311" t="s">
        <v>1145</v>
      </c>
      <c r="AN1311" t="s">
        <v>1146</v>
      </c>
      <c r="AO1311" s="100">
        <v>46262.040405092594</v>
      </c>
      <c r="AP1311" t="s">
        <v>1147</v>
      </c>
      <c r="AQ1311" t="s">
        <v>3849</v>
      </c>
      <c r="AR1311" t="s">
        <v>1193</v>
      </c>
      <c r="AS1311" t="s">
        <v>1150</v>
      </c>
      <c r="AT1311" t="s">
        <v>3781</v>
      </c>
      <c r="AU1311">
        <v>25</v>
      </c>
      <c r="AV1311">
        <v>9.8274359999999987</v>
      </c>
      <c r="AW1311">
        <v>0.31543085068944465</v>
      </c>
      <c r="AX1311">
        <v>3.2096963103035696</v>
      </c>
      <c r="AY1311">
        <v>0.87643965749547414</v>
      </c>
      <c r="AZ1311">
        <v>6.1724385694963635</v>
      </c>
      <c r="BB1311" t="s">
        <v>4620</v>
      </c>
      <c r="BD1311" s="98"/>
      <c r="BE1311" s="98"/>
      <c r="BF1311" t="s">
        <v>1152</v>
      </c>
      <c r="BG1311" t="s">
        <v>322</v>
      </c>
      <c r="BH1311" t="s">
        <v>1153</v>
      </c>
      <c r="BI1311">
        <v>0.87643965749547414</v>
      </c>
      <c r="BN1311" t="s">
        <v>1154</v>
      </c>
      <c r="BO1311">
        <v>2025</v>
      </c>
      <c r="BP1311" t="s">
        <v>966</v>
      </c>
      <c r="BZ1311" t="s">
        <v>1513</v>
      </c>
      <c r="CA1311" t="s">
        <v>1513</v>
      </c>
      <c r="CB1311" t="b">
        <v>0</v>
      </c>
      <c r="CC1311" t="b">
        <v>0</v>
      </c>
      <c r="CD1311" t="b">
        <v>0</v>
      </c>
      <c r="CE1311" t="b">
        <v>0</v>
      </c>
      <c r="CF1311" t="b">
        <v>0</v>
      </c>
    </row>
    <row r="1312" spans="1:84" x14ac:dyDescent="0.3">
      <c r="A1312" t="s">
        <v>3850</v>
      </c>
      <c r="B1312" t="s">
        <v>1195</v>
      </c>
      <c r="C1312" s="98">
        <v>45733</v>
      </c>
      <c r="D1312">
        <v>2025</v>
      </c>
      <c r="E1312">
        <v>3</v>
      </c>
      <c r="F1312">
        <v>1</v>
      </c>
      <c r="G1312" t="s">
        <v>1187</v>
      </c>
      <c r="H1312" t="s">
        <v>148</v>
      </c>
      <c r="I1312" t="s">
        <v>148</v>
      </c>
      <c r="J1312" t="s">
        <v>6</v>
      </c>
      <c r="L1312">
        <v>522611</v>
      </c>
      <c r="M1312" s="99" t="s">
        <v>179</v>
      </c>
      <c r="N1312">
        <v>2</v>
      </c>
      <c r="O1312">
        <v>11</v>
      </c>
      <c r="P1312">
        <v>9.8171999999999997</v>
      </c>
      <c r="Q1312" t="s">
        <v>352</v>
      </c>
      <c r="R1312">
        <v>1</v>
      </c>
      <c r="S1312">
        <v>9.8345000000000002</v>
      </c>
      <c r="T1312">
        <v>0.30030000000000001</v>
      </c>
      <c r="U1312">
        <v>-5.7609057609059398E-2</v>
      </c>
      <c r="V1312">
        <v>8.9336000000000002</v>
      </c>
      <c r="W1312">
        <v>9.2339000000000002</v>
      </c>
      <c r="X1312">
        <v>9.5342000000000002</v>
      </c>
      <c r="Y1312">
        <v>10.1348</v>
      </c>
      <c r="Z1312">
        <v>10.4351</v>
      </c>
      <c r="AA1312">
        <v>10.7354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 t="s">
        <v>462</v>
      </c>
      <c r="AL1312" t="s">
        <v>6</v>
      </c>
      <c r="AM1312" t="s">
        <v>1145</v>
      </c>
      <c r="AN1312" t="s">
        <v>1146</v>
      </c>
      <c r="AO1312" s="100">
        <v>46262.040405092594</v>
      </c>
      <c r="AP1312" t="s">
        <v>1147</v>
      </c>
      <c r="AQ1312" t="s">
        <v>3851</v>
      </c>
      <c r="AR1312" t="s">
        <v>1197</v>
      </c>
      <c r="AS1312" t="s">
        <v>1150</v>
      </c>
      <c r="AT1312" t="s">
        <v>3781</v>
      </c>
      <c r="AU1312">
        <v>25</v>
      </c>
      <c r="AV1312">
        <v>9.8274359999999987</v>
      </c>
      <c r="AW1312">
        <v>0.31543085068944465</v>
      </c>
      <c r="AX1312">
        <v>3.2096963103035696</v>
      </c>
      <c r="AY1312">
        <v>0.87643965749547414</v>
      </c>
      <c r="AZ1312">
        <v>6.1724385694963635</v>
      </c>
      <c r="BB1312" t="s">
        <v>4620</v>
      </c>
      <c r="BD1312" s="98"/>
      <c r="BE1312" s="98"/>
      <c r="BF1312" t="s">
        <v>1152</v>
      </c>
      <c r="BG1312" t="s">
        <v>322</v>
      </c>
      <c r="BH1312" t="s">
        <v>1153</v>
      </c>
      <c r="BI1312">
        <v>0.87643965749547414</v>
      </c>
      <c r="BN1312" t="s">
        <v>1154</v>
      </c>
      <c r="BO1312">
        <v>2025</v>
      </c>
      <c r="BP1312" t="s">
        <v>966</v>
      </c>
      <c r="BZ1312" t="s">
        <v>1513</v>
      </c>
      <c r="CA1312" t="s">
        <v>1513</v>
      </c>
      <c r="CB1312" t="b">
        <v>0</v>
      </c>
      <c r="CC1312" t="b">
        <v>0</v>
      </c>
      <c r="CD1312" t="b">
        <v>0</v>
      </c>
      <c r="CE1312" t="b">
        <v>0</v>
      </c>
      <c r="CF1312" t="b">
        <v>0</v>
      </c>
    </row>
    <row r="1313" spans="1:84" x14ac:dyDescent="0.3">
      <c r="A1313" t="s">
        <v>3852</v>
      </c>
      <c r="B1313" t="s">
        <v>1199</v>
      </c>
      <c r="C1313" s="98">
        <v>45740</v>
      </c>
      <c r="D1313">
        <v>2025</v>
      </c>
      <c r="E1313">
        <v>3</v>
      </c>
      <c r="F1313">
        <v>1</v>
      </c>
      <c r="G1313" t="s">
        <v>1187</v>
      </c>
      <c r="H1313" t="s">
        <v>148</v>
      </c>
      <c r="I1313" t="s">
        <v>148</v>
      </c>
      <c r="J1313" t="s">
        <v>6</v>
      </c>
      <c r="L1313">
        <v>522611</v>
      </c>
      <c r="M1313" s="99" t="s">
        <v>179</v>
      </c>
      <c r="N1313">
        <v>2</v>
      </c>
      <c r="O1313">
        <v>12</v>
      </c>
      <c r="P1313">
        <v>10.066599999999999</v>
      </c>
      <c r="Q1313" t="s">
        <v>352</v>
      </c>
      <c r="R1313">
        <v>1</v>
      </c>
      <c r="S1313">
        <v>9.8345000000000002</v>
      </c>
      <c r="T1313">
        <v>0.30030000000000001</v>
      </c>
      <c r="U1313">
        <v>0.77289377289376981</v>
      </c>
      <c r="V1313">
        <v>8.9336000000000002</v>
      </c>
      <c r="W1313">
        <v>9.2339000000000002</v>
      </c>
      <c r="X1313">
        <v>9.5342000000000002</v>
      </c>
      <c r="Y1313">
        <v>10.1348</v>
      </c>
      <c r="Z1313">
        <v>10.4351</v>
      </c>
      <c r="AA1313">
        <v>10.7354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 t="s">
        <v>462</v>
      </c>
      <c r="AL1313" t="s">
        <v>6</v>
      </c>
      <c r="AM1313" t="s">
        <v>1145</v>
      </c>
      <c r="AN1313" t="s">
        <v>1146</v>
      </c>
      <c r="AO1313" s="100">
        <v>46262.040405092594</v>
      </c>
      <c r="AP1313" t="s">
        <v>1147</v>
      </c>
      <c r="AQ1313" t="s">
        <v>3853</v>
      </c>
      <c r="AR1313" t="s">
        <v>1201</v>
      </c>
      <c r="AS1313" t="s">
        <v>1150</v>
      </c>
      <c r="AT1313" t="s">
        <v>3781</v>
      </c>
      <c r="AU1313">
        <v>25</v>
      </c>
      <c r="AV1313">
        <v>9.8274359999999987</v>
      </c>
      <c r="AW1313">
        <v>0.31543085068944465</v>
      </c>
      <c r="AX1313">
        <v>3.2096963103035696</v>
      </c>
      <c r="AY1313">
        <v>0.87643965749547414</v>
      </c>
      <c r="AZ1313">
        <v>6.1724385694963635</v>
      </c>
      <c r="BB1313" t="s">
        <v>4620</v>
      </c>
      <c r="BD1313" s="98"/>
      <c r="BE1313" s="98"/>
      <c r="BF1313" t="s">
        <v>1152</v>
      </c>
      <c r="BG1313" t="s">
        <v>322</v>
      </c>
      <c r="BH1313" t="s">
        <v>1153</v>
      </c>
      <c r="BI1313">
        <v>0.87643965749547414</v>
      </c>
      <c r="BN1313" t="s">
        <v>1154</v>
      </c>
      <c r="BO1313">
        <v>2025</v>
      </c>
      <c r="BP1313" t="s">
        <v>966</v>
      </c>
      <c r="BZ1313" t="s">
        <v>1513</v>
      </c>
      <c r="CA1313" t="s">
        <v>1513</v>
      </c>
      <c r="CB1313" t="b">
        <v>0</v>
      </c>
      <c r="CC1313" t="b">
        <v>0</v>
      </c>
      <c r="CD1313" t="b">
        <v>0</v>
      </c>
      <c r="CE1313" t="b">
        <v>0</v>
      </c>
      <c r="CF1313" t="b">
        <v>0</v>
      </c>
    </row>
    <row r="1314" spans="1:84" x14ac:dyDescent="0.3">
      <c r="A1314" t="s">
        <v>3854</v>
      </c>
      <c r="B1314" t="s">
        <v>1203</v>
      </c>
      <c r="C1314" s="98">
        <v>45747</v>
      </c>
      <c r="D1314">
        <v>2025</v>
      </c>
      <c r="E1314">
        <v>3</v>
      </c>
      <c r="F1314">
        <v>1</v>
      </c>
      <c r="G1314" t="s">
        <v>1187</v>
      </c>
      <c r="H1314" t="s">
        <v>148</v>
      </c>
      <c r="I1314" t="s">
        <v>148</v>
      </c>
      <c r="J1314" t="s">
        <v>6</v>
      </c>
      <c r="L1314">
        <v>522611</v>
      </c>
      <c r="M1314" s="99" t="s">
        <v>179</v>
      </c>
      <c r="N1314">
        <v>2</v>
      </c>
      <c r="O1314">
        <v>13</v>
      </c>
      <c r="P1314">
        <v>9.3569999999999993</v>
      </c>
      <c r="Q1314" t="s">
        <v>352</v>
      </c>
      <c r="R1314">
        <v>1</v>
      </c>
      <c r="S1314">
        <v>9.8345000000000002</v>
      </c>
      <c r="T1314">
        <v>0.30030000000000001</v>
      </c>
      <c r="U1314">
        <v>-1.5900765900765932</v>
      </c>
      <c r="V1314">
        <v>8.9336000000000002</v>
      </c>
      <c r="W1314">
        <v>9.2339000000000002</v>
      </c>
      <c r="X1314">
        <v>9.5342000000000002</v>
      </c>
      <c r="Y1314">
        <v>10.1348</v>
      </c>
      <c r="Z1314">
        <v>10.4351</v>
      </c>
      <c r="AA1314">
        <v>10.7354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 t="s">
        <v>462</v>
      </c>
      <c r="AL1314" t="s">
        <v>6</v>
      </c>
      <c r="AM1314" t="s">
        <v>1145</v>
      </c>
      <c r="AN1314" t="s">
        <v>1146</v>
      </c>
      <c r="AO1314" s="100">
        <v>46262.040405092594</v>
      </c>
      <c r="AP1314" t="s">
        <v>1147</v>
      </c>
      <c r="AQ1314" t="s">
        <v>3855</v>
      </c>
      <c r="AR1314" t="s">
        <v>1205</v>
      </c>
      <c r="AS1314" t="s">
        <v>1150</v>
      </c>
      <c r="AT1314" t="s">
        <v>3781</v>
      </c>
      <c r="AU1314">
        <v>25</v>
      </c>
      <c r="AV1314">
        <v>9.8274359999999987</v>
      </c>
      <c r="AW1314">
        <v>0.31543085068944465</v>
      </c>
      <c r="AX1314">
        <v>3.2096963103035696</v>
      </c>
      <c r="AY1314">
        <v>0.87643965749547414</v>
      </c>
      <c r="AZ1314">
        <v>6.1724385694963635</v>
      </c>
      <c r="BB1314" t="s">
        <v>4620</v>
      </c>
      <c r="BD1314" s="98"/>
      <c r="BE1314" s="98"/>
      <c r="BF1314" t="s">
        <v>1152</v>
      </c>
      <c r="BG1314" t="s">
        <v>322</v>
      </c>
      <c r="BH1314" t="s">
        <v>1153</v>
      </c>
      <c r="BI1314">
        <v>0.87643965749547414</v>
      </c>
      <c r="BN1314" t="s">
        <v>1154</v>
      </c>
      <c r="BO1314">
        <v>2025</v>
      </c>
      <c r="BP1314" t="s">
        <v>966</v>
      </c>
      <c r="BZ1314" t="s">
        <v>1513</v>
      </c>
      <c r="CA1314" t="s">
        <v>1513</v>
      </c>
      <c r="CB1314" t="b">
        <v>0</v>
      </c>
      <c r="CC1314" t="b">
        <v>0</v>
      </c>
      <c r="CD1314" t="b">
        <v>0</v>
      </c>
      <c r="CE1314" t="b">
        <v>0</v>
      </c>
      <c r="CF1314" t="b">
        <v>0</v>
      </c>
    </row>
    <row r="1315" spans="1:84" x14ac:dyDescent="0.3">
      <c r="A1315" t="s">
        <v>3856</v>
      </c>
      <c r="B1315" t="s">
        <v>1207</v>
      </c>
      <c r="C1315" s="98">
        <v>45754</v>
      </c>
      <c r="D1315">
        <v>2025</v>
      </c>
      <c r="E1315">
        <v>4</v>
      </c>
      <c r="F1315">
        <v>2</v>
      </c>
      <c r="G1315" t="s">
        <v>1208</v>
      </c>
      <c r="H1315" t="s">
        <v>148</v>
      </c>
      <c r="I1315" t="s">
        <v>148</v>
      </c>
      <c r="J1315" t="s">
        <v>6</v>
      </c>
      <c r="L1315">
        <v>522611</v>
      </c>
      <c r="M1315" s="99" t="s">
        <v>179</v>
      </c>
      <c r="N1315">
        <v>2</v>
      </c>
      <c r="O1315">
        <v>14</v>
      </c>
      <c r="P1315">
        <v>10.1669</v>
      </c>
      <c r="Q1315" t="s">
        <v>352</v>
      </c>
      <c r="R1315">
        <v>1</v>
      </c>
      <c r="S1315">
        <v>9.8345000000000002</v>
      </c>
      <c r="T1315">
        <v>0.30030000000000001</v>
      </c>
      <c r="U1315">
        <v>1.1068931068931063</v>
      </c>
      <c r="V1315">
        <v>8.9336000000000002</v>
      </c>
      <c r="W1315">
        <v>9.2339000000000002</v>
      </c>
      <c r="X1315">
        <v>9.5342000000000002</v>
      </c>
      <c r="Y1315">
        <v>10.1348</v>
      </c>
      <c r="Z1315">
        <v>10.4351</v>
      </c>
      <c r="AA1315">
        <v>10.7354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 t="s">
        <v>462</v>
      </c>
      <c r="AL1315" t="s">
        <v>6</v>
      </c>
      <c r="AM1315" t="s">
        <v>1145</v>
      </c>
      <c r="AN1315" t="s">
        <v>1146</v>
      </c>
      <c r="AO1315" s="100">
        <v>46262.040405092594</v>
      </c>
      <c r="AP1315" t="s">
        <v>1147</v>
      </c>
      <c r="AQ1315" t="s">
        <v>3857</v>
      </c>
      <c r="AR1315" t="s">
        <v>1210</v>
      </c>
      <c r="AS1315" t="s">
        <v>1150</v>
      </c>
      <c r="AT1315" t="s">
        <v>3781</v>
      </c>
      <c r="AU1315">
        <v>25</v>
      </c>
      <c r="AV1315">
        <v>9.8274359999999987</v>
      </c>
      <c r="AW1315">
        <v>0.31543085068944465</v>
      </c>
      <c r="AX1315">
        <v>3.2096963103035696</v>
      </c>
      <c r="AY1315">
        <v>0.87643965749547414</v>
      </c>
      <c r="AZ1315">
        <v>6.1724385694963635</v>
      </c>
      <c r="BB1315" t="s">
        <v>4620</v>
      </c>
      <c r="BD1315" s="98"/>
      <c r="BE1315" s="98"/>
      <c r="BF1315" t="s">
        <v>1152</v>
      </c>
      <c r="BG1315" t="s">
        <v>322</v>
      </c>
      <c r="BH1315" t="s">
        <v>1153</v>
      </c>
      <c r="BI1315">
        <v>0.87643965749547414</v>
      </c>
      <c r="BN1315" t="s">
        <v>1154</v>
      </c>
      <c r="BO1315">
        <v>2025</v>
      </c>
      <c r="BP1315" t="s">
        <v>966</v>
      </c>
      <c r="BZ1315" t="s">
        <v>1513</v>
      </c>
      <c r="CA1315" t="s">
        <v>1513</v>
      </c>
      <c r="CB1315" t="b">
        <v>0</v>
      </c>
      <c r="CC1315" t="b">
        <v>0</v>
      </c>
      <c r="CD1315" t="b">
        <v>0</v>
      </c>
      <c r="CE1315" t="b">
        <v>0</v>
      </c>
      <c r="CF1315" t="b">
        <v>0</v>
      </c>
    </row>
    <row r="1316" spans="1:84" x14ac:dyDescent="0.3">
      <c r="A1316" t="s">
        <v>3858</v>
      </c>
      <c r="B1316" t="s">
        <v>1212</v>
      </c>
      <c r="C1316" s="98">
        <v>45761</v>
      </c>
      <c r="D1316">
        <v>2025</v>
      </c>
      <c r="E1316">
        <v>4</v>
      </c>
      <c r="F1316">
        <v>2</v>
      </c>
      <c r="G1316" t="s">
        <v>1208</v>
      </c>
      <c r="H1316" t="s">
        <v>148</v>
      </c>
      <c r="I1316" t="s">
        <v>148</v>
      </c>
      <c r="J1316" t="s">
        <v>6</v>
      </c>
      <c r="L1316">
        <v>522611</v>
      </c>
      <c r="M1316" s="99" t="s">
        <v>179</v>
      </c>
      <c r="N1316">
        <v>2</v>
      </c>
      <c r="O1316">
        <v>15</v>
      </c>
      <c r="P1316">
        <v>9.6532999999999998</v>
      </c>
      <c r="Q1316" t="s">
        <v>352</v>
      </c>
      <c r="R1316">
        <v>1</v>
      </c>
      <c r="S1316">
        <v>9.8345000000000002</v>
      </c>
      <c r="T1316">
        <v>0.30030000000000001</v>
      </c>
      <c r="U1316">
        <v>-0.60339660339660495</v>
      </c>
      <c r="V1316">
        <v>8.9336000000000002</v>
      </c>
      <c r="W1316">
        <v>9.2339000000000002</v>
      </c>
      <c r="X1316">
        <v>9.5342000000000002</v>
      </c>
      <c r="Y1316">
        <v>10.1348</v>
      </c>
      <c r="Z1316">
        <v>10.4351</v>
      </c>
      <c r="AA1316">
        <v>10.7354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 t="s">
        <v>462</v>
      </c>
      <c r="AL1316" t="s">
        <v>6</v>
      </c>
      <c r="AM1316" t="s">
        <v>1145</v>
      </c>
      <c r="AN1316" t="s">
        <v>1146</v>
      </c>
      <c r="AO1316" s="100">
        <v>46262.040405092594</v>
      </c>
      <c r="AP1316" t="s">
        <v>1147</v>
      </c>
      <c r="AQ1316" t="s">
        <v>3859</v>
      </c>
      <c r="AR1316" t="s">
        <v>1215</v>
      </c>
      <c r="AS1316" t="s">
        <v>1150</v>
      </c>
      <c r="AT1316" t="s">
        <v>3781</v>
      </c>
      <c r="AU1316">
        <v>25</v>
      </c>
      <c r="AV1316">
        <v>9.8274359999999987</v>
      </c>
      <c r="AW1316">
        <v>0.31543085068944465</v>
      </c>
      <c r="AX1316">
        <v>3.2096963103035696</v>
      </c>
      <c r="AY1316">
        <v>0.87643965749547414</v>
      </c>
      <c r="AZ1316">
        <v>6.1724385694963635</v>
      </c>
      <c r="BB1316" t="s">
        <v>4620</v>
      </c>
      <c r="BD1316" s="98"/>
      <c r="BE1316" s="98"/>
      <c r="BF1316" t="s">
        <v>1152</v>
      </c>
      <c r="BG1316" t="s">
        <v>322</v>
      </c>
      <c r="BH1316" t="s">
        <v>1153</v>
      </c>
      <c r="BI1316">
        <v>0.87643965749547414</v>
      </c>
      <c r="BN1316" t="s">
        <v>1154</v>
      </c>
      <c r="BO1316">
        <v>2025</v>
      </c>
      <c r="BP1316" t="s">
        <v>966</v>
      </c>
      <c r="BZ1316" t="s">
        <v>1513</v>
      </c>
      <c r="CA1316" t="s">
        <v>1513</v>
      </c>
      <c r="CB1316" t="b">
        <v>0</v>
      </c>
      <c r="CC1316" t="b">
        <v>0</v>
      </c>
      <c r="CD1316" t="b">
        <v>0</v>
      </c>
      <c r="CE1316" t="b">
        <v>0</v>
      </c>
      <c r="CF1316" t="b">
        <v>0</v>
      </c>
    </row>
    <row r="1317" spans="1:84" x14ac:dyDescent="0.3">
      <c r="A1317" t="s">
        <v>3860</v>
      </c>
      <c r="B1317" t="s">
        <v>1217</v>
      </c>
      <c r="C1317" s="98">
        <v>45768</v>
      </c>
      <c r="D1317">
        <v>2025</v>
      </c>
      <c r="E1317">
        <v>4</v>
      </c>
      <c r="F1317">
        <v>2</v>
      </c>
      <c r="G1317" t="s">
        <v>1208</v>
      </c>
      <c r="H1317" t="s">
        <v>148</v>
      </c>
      <c r="I1317" t="s">
        <v>148</v>
      </c>
      <c r="J1317" t="s">
        <v>6</v>
      </c>
      <c r="L1317">
        <v>522611</v>
      </c>
      <c r="M1317" s="99" t="s">
        <v>179</v>
      </c>
      <c r="N1317">
        <v>2</v>
      </c>
      <c r="O1317">
        <v>16</v>
      </c>
      <c r="P1317">
        <v>10.0214</v>
      </c>
      <c r="Q1317" t="s">
        <v>352</v>
      </c>
      <c r="R1317">
        <v>1</v>
      </c>
      <c r="S1317">
        <v>9.8345000000000002</v>
      </c>
      <c r="T1317">
        <v>0.30030000000000001</v>
      </c>
      <c r="U1317">
        <v>0.62237762237762106</v>
      </c>
      <c r="V1317">
        <v>8.9336000000000002</v>
      </c>
      <c r="W1317">
        <v>9.2339000000000002</v>
      </c>
      <c r="X1317">
        <v>9.5342000000000002</v>
      </c>
      <c r="Y1317">
        <v>10.1348</v>
      </c>
      <c r="Z1317">
        <v>10.4351</v>
      </c>
      <c r="AA1317">
        <v>10.7354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 t="s">
        <v>462</v>
      </c>
      <c r="AL1317" t="s">
        <v>6</v>
      </c>
      <c r="AM1317" t="s">
        <v>1145</v>
      </c>
      <c r="AN1317" t="s">
        <v>1146</v>
      </c>
      <c r="AO1317" s="100">
        <v>46262.040405092594</v>
      </c>
      <c r="AP1317" t="s">
        <v>1147</v>
      </c>
      <c r="AQ1317" t="s">
        <v>3861</v>
      </c>
      <c r="AR1317" t="s">
        <v>1219</v>
      </c>
      <c r="AS1317" t="s">
        <v>1150</v>
      </c>
      <c r="AT1317" t="s">
        <v>3781</v>
      </c>
      <c r="AU1317">
        <v>25</v>
      </c>
      <c r="AV1317">
        <v>9.8274359999999987</v>
      </c>
      <c r="AW1317">
        <v>0.31543085068944465</v>
      </c>
      <c r="AX1317">
        <v>3.2096963103035696</v>
      </c>
      <c r="AY1317">
        <v>0.87643965749547414</v>
      </c>
      <c r="AZ1317">
        <v>6.1724385694963635</v>
      </c>
      <c r="BB1317" t="s">
        <v>4620</v>
      </c>
      <c r="BD1317" s="98"/>
      <c r="BE1317" s="98"/>
      <c r="BF1317" t="s">
        <v>1152</v>
      </c>
      <c r="BG1317" t="s">
        <v>322</v>
      </c>
      <c r="BH1317" t="s">
        <v>1153</v>
      </c>
      <c r="BI1317">
        <v>0.87643965749547414</v>
      </c>
      <c r="BN1317" t="s">
        <v>1154</v>
      </c>
      <c r="BO1317">
        <v>2025</v>
      </c>
      <c r="BP1317" t="s">
        <v>966</v>
      </c>
      <c r="BZ1317" t="s">
        <v>1513</v>
      </c>
      <c r="CA1317" t="s">
        <v>1513</v>
      </c>
      <c r="CB1317" t="b">
        <v>0</v>
      </c>
      <c r="CC1317" t="b">
        <v>0</v>
      </c>
      <c r="CD1317" t="b">
        <v>0</v>
      </c>
      <c r="CE1317" t="b">
        <v>0</v>
      </c>
      <c r="CF1317" t="b">
        <v>0</v>
      </c>
    </row>
    <row r="1318" spans="1:84" x14ac:dyDescent="0.3">
      <c r="A1318" t="s">
        <v>3862</v>
      </c>
      <c r="B1318" t="s">
        <v>1221</v>
      </c>
      <c r="C1318" s="98">
        <v>45775</v>
      </c>
      <c r="D1318">
        <v>2025</v>
      </c>
      <c r="E1318">
        <v>4</v>
      </c>
      <c r="F1318">
        <v>2</v>
      </c>
      <c r="G1318" t="s">
        <v>1208</v>
      </c>
      <c r="H1318" t="s">
        <v>148</v>
      </c>
      <c r="I1318" t="s">
        <v>148</v>
      </c>
      <c r="J1318" t="s">
        <v>6</v>
      </c>
      <c r="L1318">
        <v>522611</v>
      </c>
      <c r="M1318" s="99" t="s">
        <v>179</v>
      </c>
      <c r="N1318">
        <v>2</v>
      </c>
      <c r="O1318">
        <v>17</v>
      </c>
      <c r="P1318">
        <v>9.8893000000000004</v>
      </c>
      <c r="Q1318" t="s">
        <v>352</v>
      </c>
      <c r="R1318">
        <v>1</v>
      </c>
      <c r="S1318">
        <v>9.8345000000000002</v>
      </c>
      <c r="T1318">
        <v>0.30030000000000001</v>
      </c>
      <c r="U1318">
        <v>0.18248418248418308</v>
      </c>
      <c r="V1318">
        <v>8.9336000000000002</v>
      </c>
      <c r="W1318">
        <v>9.2339000000000002</v>
      </c>
      <c r="X1318">
        <v>9.5342000000000002</v>
      </c>
      <c r="Y1318">
        <v>10.1348</v>
      </c>
      <c r="Z1318">
        <v>10.4351</v>
      </c>
      <c r="AA1318">
        <v>10.7354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 t="s">
        <v>462</v>
      </c>
      <c r="AL1318" t="s">
        <v>6</v>
      </c>
      <c r="AM1318" t="s">
        <v>1145</v>
      </c>
      <c r="AN1318" t="s">
        <v>1146</v>
      </c>
      <c r="AO1318" s="100">
        <v>46262.040405092594</v>
      </c>
      <c r="AP1318" t="s">
        <v>1147</v>
      </c>
      <c r="AQ1318" t="s">
        <v>3863</v>
      </c>
      <c r="AR1318" t="s">
        <v>1223</v>
      </c>
      <c r="AS1318" t="s">
        <v>1150</v>
      </c>
      <c r="AT1318" t="s">
        <v>3781</v>
      </c>
      <c r="AU1318">
        <v>25</v>
      </c>
      <c r="AV1318">
        <v>9.8274359999999987</v>
      </c>
      <c r="AW1318">
        <v>0.31543085068944465</v>
      </c>
      <c r="AX1318">
        <v>3.2096963103035696</v>
      </c>
      <c r="AY1318">
        <v>0.87643965749547414</v>
      </c>
      <c r="AZ1318">
        <v>6.1724385694963635</v>
      </c>
      <c r="BB1318" t="s">
        <v>4620</v>
      </c>
      <c r="BD1318" s="98"/>
      <c r="BE1318" s="98"/>
      <c r="BF1318" t="s">
        <v>1152</v>
      </c>
      <c r="BG1318" t="s">
        <v>322</v>
      </c>
      <c r="BH1318" t="s">
        <v>1153</v>
      </c>
      <c r="BI1318">
        <v>0.87643965749547414</v>
      </c>
      <c r="BN1318" t="s">
        <v>1154</v>
      </c>
      <c r="BO1318">
        <v>2025</v>
      </c>
      <c r="BP1318" t="s">
        <v>966</v>
      </c>
      <c r="BZ1318" t="s">
        <v>1513</v>
      </c>
      <c r="CA1318" t="s">
        <v>1513</v>
      </c>
      <c r="CB1318" t="b">
        <v>0</v>
      </c>
      <c r="CC1318" t="b">
        <v>0</v>
      </c>
      <c r="CD1318" t="b">
        <v>0</v>
      </c>
      <c r="CE1318" t="b">
        <v>0</v>
      </c>
      <c r="CF1318" t="b">
        <v>0</v>
      </c>
    </row>
    <row r="1319" spans="1:84" x14ac:dyDescent="0.3">
      <c r="A1319" t="s">
        <v>3864</v>
      </c>
      <c r="B1319" t="s">
        <v>1225</v>
      </c>
      <c r="C1319" s="98">
        <v>45782</v>
      </c>
      <c r="D1319">
        <v>2025</v>
      </c>
      <c r="E1319">
        <v>5</v>
      </c>
      <c r="F1319">
        <v>2</v>
      </c>
      <c r="G1319" t="s">
        <v>1226</v>
      </c>
      <c r="H1319" t="s">
        <v>148</v>
      </c>
      <c r="I1319" t="s">
        <v>148</v>
      </c>
      <c r="J1319" t="s">
        <v>6</v>
      </c>
      <c r="L1319">
        <v>522611</v>
      </c>
      <c r="M1319" s="99" t="s">
        <v>179</v>
      </c>
      <c r="N1319">
        <v>2</v>
      </c>
      <c r="O1319">
        <v>18</v>
      </c>
      <c r="P1319">
        <v>9.0579999999999998</v>
      </c>
      <c r="Q1319" t="s">
        <v>352</v>
      </c>
      <c r="R1319">
        <v>1</v>
      </c>
      <c r="S1319">
        <v>9.8345000000000002</v>
      </c>
      <c r="T1319">
        <v>0.30030000000000001</v>
      </c>
      <c r="U1319">
        <v>-2.5857475857475869</v>
      </c>
      <c r="V1319">
        <v>8.9336000000000002</v>
      </c>
      <c r="W1319">
        <v>9.2339000000000002</v>
      </c>
      <c r="X1319">
        <v>9.5342000000000002</v>
      </c>
      <c r="Y1319">
        <v>10.1348</v>
      </c>
      <c r="Z1319">
        <v>10.4351</v>
      </c>
      <c r="AA1319">
        <v>10.7354</v>
      </c>
      <c r="AE1319">
        <v>0</v>
      </c>
      <c r="AF1319">
        <v>0</v>
      </c>
      <c r="AG1319">
        <v>1</v>
      </c>
      <c r="AH1319">
        <v>0</v>
      </c>
      <c r="AI1319">
        <v>0</v>
      </c>
      <c r="AJ1319">
        <v>1</v>
      </c>
      <c r="AK1319" t="s">
        <v>1213</v>
      </c>
      <c r="AL1319" t="s">
        <v>6</v>
      </c>
      <c r="AM1319" t="s">
        <v>1145</v>
      </c>
      <c r="AN1319" t="s">
        <v>1146</v>
      </c>
      <c r="AO1319" s="100">
        <v>46262.040405092594</v>
      </c>
      <c r="AP1319" t="s">
        <v>1147</v>
      </c>
      <c r="AQ1319" t="s">
        <v>3865</v>
      </c>
      <c r="AR1319" t="s">
        <v>1228</v>
      </c>
      <c r="AS1319" t="s">
        <v>1150</v>
      </c>
      <c r="AT1319" t="s">
        <v>3781</v>
      </c>
      <c r="AU1319">
        <v>25</v>
      </c>
      <c r="AV1319">
        <v>9.8274359999999987</v>
      </c>
      <c r="AW1319">
        <v>0.31543085068944465</v>
      </c>
      <c r="AX1319">
        <v>3.2096963103035696</v>
      </c>
      <c r="AY1319">
        <v>0.87643965749547414</v>
      </c>
      <c r="AZ1319">
        <v>6.1724385694963635</v>
      </c>
      <c r="BB1319" t="s">
        <v>4620</v>
      </c>
      <c r="BD1319" s="98"/>
      <c r="BE1319" s="98"/>
      <c r="BF1319" t="s">
        <v>1152</v>
      </c>
      <c r="BG1319" t="s">
        <v>322</v>
      </c>
      <c r="BH1319" t="s">
        <v>1153</v>
      </c>
      <c r="BI1319">
        <v>0.87643965749547414</v>
      </c>
      <c r="BN1319" t="s">
        <v>1154</v>
      </c>
      <c r="BO1319">
        <v>2025</v>
      </c>
      <c r="BP1319" t="s">
        <v>966</v>
      </c>
      <c r="BZ1319" t="s">
        <v>1513</v>
      </c>
      <c r="CA1319" t="s">
        <v>1513</v>
      </c>
      <c r="CB1319" t="b">
        <v>0</v>
      </c>
      <c r="CC1319" t="b">
        <v>0</v>
      </c>
      <c r="CD1319" t="b">
        <v>0</v>
      </c>
      <c r="CE1319" t="b">
        <v>0</v>
      </c>
      <c r="CF1319" t="b">
        <v>0</v>
      </c>
    </row>
    <row r="1320" spans="1:84" x14ac:dyDescent="0.3">
      <c r="A1320" t="s">
        <v>3866</v>
      </c>
      <c r="B1320" t="s">
        <v>1230</v>
      </c>
      <c r="C1320" s="98">
        <v>45789</v>
      </c>
      <c r="D1320">
        <v>2025</v>
      </c>
      <c r="E1320">
        <v>5</v>
      </c>
      <c r="F1320">
        <v>2</v>
      </c>
      <c r="G1320" t="s">
        <v>1226</v>
      </c>
      <c r="H1320" t="s">
        <v>148</v>
      </c>
      <c r="I1320" t="s">
        <v>148</v>
      </c>
      <c r="J1320" t="s">
        <v>6</v>
      </c>
      <c r="L1320">
        <v>522611</v>
      </c>
      <c r="M1320" s="99" t="s">
        <v>179</v>
      </c>
      <c r="N1320">
        <v>2</v>
      </c>
      <c r="O1320">
        <v>19</v>
      </c>
      <c r="P1320">
        <v>9.6074000000000002</v>
      </c>
      <c r="Q1320" t="s">
        <v>352</v>
      </c>
      <c r="R1320">
        <v>1</v>
      </c>
      <c r="S1320">
        <v>9.8345000000000002</v>
      </c>
      <c r="T1320">
        <v>0.30030000000000001</v>
      </c>
      <c r="U1320">
        <v>-0.7562437562437565</v>
      </c>
      <c r="V1320">
        <v>8.9336000000000002</v>
      </c>
      <c r="W1320">
        <v>9.2339000000000002</v>
      </c>
      <c r="X1320">
        <v>9.5342000000000002</v>
      </c>
      <c r="Y1320">
        <v>10.1348</v>
      </c>
      <c r="Z1320">
        <v>10.4351</v>
      </c>
      <c r="AA1320">
        <v>10.7354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 t="s">
        <v>462</v>
      </c>
      <c r="AL1320" t="s">
        <v>6</v>
      </c>
      <c r="AM1320" t="s">
        <v>1145</v>
      </c>
      <c r="AN1320" t="s">
        <v>1146</v>
      </c>
      <c r="AO1320" s="100">
        <v>46262.040405092594</v>
      </c>
      <c r="AP1320" t="s">
        <v>1147</v>
      </c>
      <c r="AQ1320" t="s">
        <v>3867</v>
      </c>
      <c r="AR1320" t="s">
        <v>1232</v>
      </c>
      <c r="AS1320" t="s">
        <v>1150</v>
      </c>
      <c r="AT1320" t="s">
        <v>3781</v>
      </c>
      <c r="AU1320">
        <v>25</v>
      </c>
      <c r="AV1320">
        <v>9.8274359999999987</v>
      </c>
      <c r="AW1320">
        <v>0.31543085068944465</v>
      </c>
      <c r="AX1320">
        <v>3.2096963103035696</v>
      </c>
      <c r="AY1320">
        <v>0.87643965749547414</v>
      </c>
      <c r="AZ1320">
        <v>6.1724385694963635</v>
      </c>
      <c r="BB1320" t="s">
        <v>4620</v>
      </c>
      <c r="BD1320" s="98"/>
      <c r="BE1320" s="98"/>
      <c r="BF1320" t="s">
        <v>1152</v>
      </c>
      <c r="BG1320" t="s">
        <v>322</v>
      </c>
      <c r="BH1320" t="s">
        <v>1153</v>
      </c>
      <c r="BI1320">
        <v>0.87643965749547414</v>
      </c>
      <c r="BN1320" t="s">
        <v>1154</v>
      </c>
      <c r="BO1320">
        <v>2025</v>
      </c>
      <c r="BP1320" t="s">
        <v>966</v>
      </c>
      <c r="BZ1320" t="s">
        <v>1513</v>
      </c>
      <c r="CA1320" t="s">
        <v>1513</v>
      </c>
      <c r="CB1320" t="b">
        <v>0</v>
      </c>
      <c r="CC1320" t="b">
        <v>0</v>
      </c>
      <c r="CD1320" t="b">
        <v>0</v>
      </c>
      <c r="CE1320" t="b">
        <v>0</v>
      </c>
      <c r="CF1320" t="b">
        <v>0</v>
      </c>
    </row>
    <row r="1321" spans="1:84" x14ac:dyDescent="0.3">
      <c r="A1321" t="s">
        <v>3868</v>
      </c>
      <c r="B1321" t="s">
        <v>1234</v>
      </c>
      <c r="C1321" s="98">
        <v>45796</v>
      </c>
      <c r="D1321">
        <v>2025</v>
      </c>
      <c r="E1321">
        <v>5</v>
      </c>
      <c r="F1321">
        <v>2</v>
      </c>
      <c r="G1321" t="s">
        <v>1226</v>
      </c>
      <c r="H1321" t="s">
        <v>148</v>
      </c>
      <c r="I1321" t="s">
        <v>148</v>
      </c>
      <c r="J1321" t="s">
        <v>6</v>
      </c>
      <c r="L1321">
        <v>522611</v>
      </c>
      <c r="M1321" s="99" t="s">
        <v>179</v>
      </c>
      <c r="N1321">
        <v>2</v>
      </c>
      <c r="O1321">
        <v>20</v>
      </c>
      <c r="P1321">
        <v>9.9007000000000005</v>
      </c>
      <c r="Q1321" t="s">
        <v>352</v>
      </c>
      <c r="R1321">
        <v>1</v>
      </c>
      <c r="S1321">
        <v>9.8345000000000002</v>
      </c>
      <c r="T1321">
        <v>0.30030000000000001</v>
      </c>
      <c r="U1321">
        <v>0.22044622044622131</v>
      </c>
      <c r="V1321">
        <v>8.9336000000000002</v>
      </c>
      <c r="W1321">
        <v>9.2339000000000002</v>
      </c>
      <c r="X1321">
        <v>9.5342000000000002</v>
      </c>
      <c r="Y1321">
        <v>10.1348</v>
      </c>
      <c r="Z1321">
        <v>10.4351</v>
      </c>
      <c r="AA1321">
        <v>10.7354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 t="s">
        <v>462</v>
      </c>
      <c r="AL1321" t="s">
        <v>6</v>
      </c>
      <c r="AM1321" t="s">
        <v>1145</v>
      </c>
      <c r="AN1321" t="s">
        <v>1146</v>
      </c>
      <c r="AO1321" s="100">
        <v>46262.040405092594</v>
      </c>
      <c r="AP1321" t="s">
        <v>1147</v>
      </c>
      <c r="AQ1321" t="s">
        <v>3869</v>
      </c>
      <c r="AR1321" t="s">
        <v>1236</v>
      </c>
      <c r="AS1321" t="s">
        <v>1150</v>
      </c>
      <c r="AT1321" t="s">
        <v>3781</v>
      </c>
      <c r="AU1321">
        <v>25</v>
      </c>
      <c r="AV1321">
        <v>9.8274359999999987</v>
      </c>
      <c r="AW1321">
        <v>0.31543085068944465</v>
      </c>
      <c r="AX1321">
        <v>3.2096963103035696</v>
      </c>
      <c r="AY1321">
        <v>0.87643965749547414</v>
      </c>
      <c r="AZ1321">
        <v>6.1724385694963635</v>
      </c>
      <c r="BB1321" t="s">
        <v>4620</v>
      </c>
      <c r="BD1321" s="98"/>
      <c r="BE1321" s="98"/>
      <c r="BF1321" t="s">
        <v>1152</v>
      </c>
      <c r="BG1321" t="s">
        <v>322</v>
      </c>
      <c r="BH1321" t="s">
        <v>1153</v>
      </c>
      <c r="BI1321">
        <v>0.87643965749547414</v>
      </c>
      <c r="BN1321" t="s">
        <v>1154</v>
      </c>
      <c r="BO1321">
        <v>2025</v>
      </c>
      <c r="BP1321" t="s">
        <v>966</v>
      </c>
      <c r="BZ1321" t="s">
        <v>1513</v>
      </c>
      <c r="CA1321" t="s">
        <v>1513</v>
      </c>
      <c r="CB1321" t="b">
        <v>0</v>
      </c>
      <c r="CC1321" t="b">
        <v>0</v>
      </c>
      <c r="CD1321" t="b">
        <v>0</v>
      </c>
      <c r="CE1321" t="b">
        <v>0</v>
      </c>
      <c r="CF1321" t="b">
        <v>0</v>
      </c>
    </row>
    <row r="1322" spans="1:84" x14ac:dyDescent="0.3">
      <c r="A1322" t="s">
        <v>3870</v>
      </c>
      <c r="B1322" t="s">
        <v>1238</v>
      </c>
      <c r="C1322" s="98">
        <v>45803</v>
      </c>
      <c r="D1322">
        <v>2025</v>
      </c>
      <c r="E1322">
        <v>5</v>
      </c>
      <c r="F1322">
        <v>2</v>
      </c>
      <c r="G1322" t="s">
        <v>1226</v>
      </c>
      <c r="H1322" t="s">
        <v>148</v>
      </c>
      <c r="I1322" t="s">
        <v>148</v>
      </c>
      <c r="J1322" t="s">
        <v>6</v>
      </c>
      <c r="L1322">
        <v>522611</v>
      </c>
      <c r="M1322" s="99" t="s">
        <v>179</v>
      </c>
      <c r="N1322">
        <v>2</v>
      </c>
      <c r="O1322">
        <v>21</v>
      </c>
      <c r="P1322">
        <v>10.3012</v>
      </c>
      <c r="Q1322" t="s">
        <v>352</v>
      </c>
      <c r="R1322">
        <v>1</v>
      </c>
      <c r="S1322">
        <v>9.8345000000000002</v>
      </c>
      <c r="T1322">
        <v>0.30030000000000001</v>
      </c>
      <c r="U1322">
        <v>1.5541125541125522</v>
      </c>
      <c r="V1322">
        <v>8.9336000000000002</v>
      </c>
      <c r="W1322">
        <v>9.2339000000000002</v>
      </c>
      <c r="X1322">
        <v>9.5342000000000002</v>
      </c>
      <c r="Y1322">
        <v>10.1348</v>
      </c>
      <c r="Z1322">
        <v>10.4351</v>
      </c>
      <c r="AA1322">
        <v>10.7354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 t="s">
        <v>462</v>
      </c>
      <c r="AL1322" t="s">
        <v>6</v>
      </c>
      <c r="AM1322" t="s">
        <v>1145</v>
      </c>
      <c r="AN1322" t="s">
        <v>1146</v>
      </c>
      <c r="AO1322" s="100">
        <v>46262.040405092594</v>
      </c>
      <c r="AP1322" t="s">
        <v>1147</v>
      </c>
      <c r="AQ1322" t="s">
        <v>3871</v>
      </c>
      <c r="AR1322" t="s">
        <v>1240</v>
      </c>
      <c r="AS1322" t="s">
        <v>1150</v>
      </c>
      <c r="AT1322" t="s">
        <v>3781</v>
      </c>
      <c r="AU1322">
        <v>25</v>
      </c>
      <c r="AV1322">
        <v>9.8274359999999987</v>
      </c>
      <c r="AW1322">
        <v>0.31543085068944465</v>
      </c>
      <c r="AX1322">
        <v>3.2096963103035696</v>
      </c>
      <c r="AY1322">
        <v>0.87643965749547414</v>
      </c>
      <c r="AZ1322">
        <v>6.1724385694963635</v>
      </c>
      <c r="BB1322" t="s">
        <v>4620</v>
      </c>
      <c r="BD1322" s="98"/>
      <c r="BE1322" s="98"/>
      <c r="BF1322" t="s">
        <v>1152</v>
      </c>
      <c r="BG1322" t="s">
        <v>322</v>
      </c>
      <c r="BH1322" t="s">
        <v>1153</v>
      </c>
      <c r="BI1322">
        <v>0.87643965749547414</v>
      </c>
      <c r="BN1322" t="s">
        <v>1154</v>
      </c>
      <c r="BO1322">
        <v>2025</v>
      </c>
      <c r="BP1322" t="s">
        <v>966</v>
      </c>
      <c r="BZ1322" t="s">
        <v>1513</v>
      </c>
      <c r="CA1322" t="s">
        <v>1513</v>
      </c>
      <c r="CB1322" t="b">
        <v>0</v>
      </c>
      <c r="CC1322" t="b">
        <v>0</v>
      </c>
      <c r="CD1322" t="b">
        <v>0</v>
      </c>
      <c r="CE1322" t="b">
        <v>0</v>
      </c>
      <c r="CF1322" t="b">
        <v>0</v>
      </c>
    </row>
    <row r="1323" spans="1:84" x14ac:dyDescent="0.3">
      <c r="A1323" t="s">
        <v>3872</v>
      </c>
      <c r="B1323" t="s">
        <v>1242</v>
      </c>
      <c r="C1323" s="98">
        <v>45810</v>
      </c>
      <c r="D1323">
        <v>2025</v>
      </c>
      <c r="E1323">
        <v>6</v>
      </c>
      <c r="F1323">
        <v>2</v>
      </c>
      <c r="G1323" t="s">
        <v>1243</v>
      </c>
      <c r="H1323" t="s">
        <v>148</v>
      </c>
      <c r="I1323" t="s">
        <v>148</v>
      </c>
      <c r="J1323" t="s">
        <v>6</v>
      </c>
      <c r="L1323">
        <v>522611</v>
      </c>
      <c r="M1323" s="99" t="s">
        <v>179</v>
      </c>
      <c r="N1323">
        <v>2</v>
      </c>
      <c r="O1323">
        <v>22</v>
      </c>
      <c r="P1323">
        <v>9.9207999999999998</v>
      </c>
      <c r="Q1323" t="s">
        <v>352</v>
      </c>
      <c r="R1323">
        <v>1</v>
      </c>
      <c r="S1323">
        <v>9.8345000000000002</v>
      </c>
      <c r="T1323">
        <v>0.30030000000000001</v>
      </c>
      <c r="U1323">
        <v>0.28737928737928603</v>
      </c>
      <c r="V1323">
        <v>8.9336000000000002</v>
      </c>
      <c r="W1323">
        <v>9.2339000000000002</v>
      </c>
      <c r="X1323">
        <v>9.5342000000000002</v>
      </c>
      <c r="Y1323">
        <v>10.1348</v>
      </c>
      <c r="Z1323">
        <v>10.4351</v>
      </c>
      <c r="AA1323">
        <v>10.7354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 t="s">
        <v>462</v>
      </c>
      <c r="AL1323" t="s">
        <v>6</v>
      </c>
      <c r="AM1323" t="s">
        <v>1145</v>
      </c>
      <c r="AN1323" t="s">
        <v>1146</v>
      </c>
      <c r="AO1323" s="100">
        <v>46262.040405092594</v>
      </c>
      <c r="AP1323" t="s">
        <v>1147</v>
      </c>
      <c r="AQ1323" t="s">
        <v>3873</v>
      </c>
      <c r="AR1323" t="s">
        <v>1245</v>
      </c>
      <c r="AS1323" t="s">
        <v>1150</v>
      </c>
      <c r="AT1323" t="s">
        <v>3781</v>
      </c>
      <c r="AU1323">
        <v>25</v>
      </c>
      <c r="AV1323">
        <v>9.8274359999999987</v>
      </c>
      <c r="AW1323">
        <v>0.31543085068944465</v>
      </c>
      <c r="AX1323">
        <v>3.2096963103035696</v>
      </c>
      <c r="AY1323">
        <v>0.87643965749547414</v>
      </c>
      <c r="AZ1323">
        <v>6.1724385694963635</v>
      </c>
      <c r="BB1323" t="s">
        <v>4620</v>
      </c>
      <c r="BD1323" s="98"/>
      <c r="BE1323" s="98"/>
      <c r="BF1323" t="s">
        <v>1152</v>
      </c>
      <c r="BG1323" t="s">
        <v>322</v>
      </c>
      <c r="BH1323" t="s">
        <v>1153</v>
      </c>
      <c r="BI1323">
        <v>0.87643965749547414</v>
      </c>
      <c r="BN1323" t="s">
        <v>1154</v>
      </c>
      <c r="BO1323">
        <v>2025</v>
      </c>
      <c r="BP1323" t="s">
        <v>966</v>
      </c>
      <c r="BZ1323" t="s">
        <v>1513</v>
      </c>
      <c r="CA1323" t="s">
        <v>1513</v>
      </c>
      <c r="CB1323" t="b">
        <v>0</v>
      </c>
      <c r="CC1323" t="b">
        <v>0</v>
      </c>
      <c r="CD1323" t="b">
        <v>0</v>
      </c>
      <c r="CE1323" t="b">
        <v>0</v>
      </c>
      <c r="CF1323" t="b">
        <v>0</v>
      </c>
    </row>
    <row r="1324" spans="1:84" x14ac:dyDescent="0.3">
      <c r="A1324" t="s">
        <v>3874</v>
      </c>
      <c r="B1324" t="s">
        <v>1247</v>
      </c>
      <c r="C1324" s="98">
        <v>45817</v>
      </c>
      <c r="D1324">
        <v>2025</v>
      </c>
      <c r="E1324">
        <v>6</v>
      </c>
      <c r="F1324">
        <v>2</v>
      </c>
      <c r="G1324" t="s">
        <v>1243</v>
      </c>
      <c r="H1324" t="s">
        <v>148</v>
      </c>
      <c r="I1324" t="s">
        <v>148</v>
      </c>
      <c r="J1324" t="s">
        <v>6</v>
      </c>
      <c r="L1324">
        <v>522611</v>
      </c>
      <c r="M1324" s="99" t="s">
        <v>179</v>
      </c>
      <c r="N1324">
        <v>2</v>
      </c>
      <c r="O1324">
        <v>23</v>
      </c>
      <c r="P1324">
        <v>9.9118999999999993</v>
      </c>
      <c r="Q1324" t="s">
        <v>352</v>
      </c>
      <c r="R1324">
        <v>1</v>
      </c>
      <c r="S1324">
        <v>9.8345000000000002</v>
      </c>
      <c r="T1324">
        <v>0.30030000000000001</v>
      </c>
      <c r="U1324">
        <v>0.25774225774225451</v>
      </c>
      <c r="V1324">
        <v>8.9336000000000002</v>
      </c>
      <c r="W1324">
        <v>9.2339000000000002</v>
      </c>
      <c r="X1324">
        <v>9.5342000000000002</v>
      </c>
      <c r="Y1324">
        <v>10.1348</v>
      </c>
      <c r="Z1324">
        <v>10.4351</v>
      </c>
      <c r="AA1324">
        <v>10.7354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 t="s">
        <v>462</v>
      </c>
      <c r="AL1324" t="s">
        <v>6</v>
      </c>
      <c r="AM1324" t="s">
        <v>1145</v>
      </c>
      <c r="AN1324" t="s">
        <v>1146</v>
      </c>
      <c r="AO1324" s="100">
        <v>46262.040405092594</v>
      </c>
      <c r="AP1324" t="s">
        <v>1147</v>
      </c>
      <c r="AQ1324" t="s">
        <v>3875</v>
      </c>
      <c r="AR1324" t="s">
        <v>1249</v>
      </c>
      <c r="AS1324" t="s">
        <v>1150</v>
      </c>
      <c r="AT1324" t="s">
        <v>3781</v>
      </c>
      <c r="AU1324">
        <v>25</v>
      </c>
      <c r="AV1324">
        <v>9.8274359999999987</v>
      </c>
      <c r="AW1324">
        <v>0.31543085068944465</v>
      </c>
      <c r="AX1324">
        <v>3.2096963103035696</v>
      </c>
      <c r="AY1324">
        <v>0.87643965749547414</v>
      </c>
      <c r="AZ1324">
        <v>6.1724385694963635</v>
      </c>
      <c r="BB1324" t="s">
        <v>4620</v>
      </c>
      <c r="BD1324" s="98"/>
      <c r="BE1324" s="98"/>
      <c r="BF1324" t="s">
        <v>1152</v>
      </c>
      <c r="BG1324" t="s">
        <v>322</v>
      </c>
      <c r="BH1324" t="s">
        <v>1153</v>
      </c>
      <c r="BI1324">
        <v>0.87643965749547414</v>
      </c>
      <c r="BN1324" t="s">
        <v>1154</v>
      </c>
      <c r="BO1324">
        <v>2025</v>
      </c>
      <c r="BP1324" t="s">
        <v>966</v>
      </c>
      <c r="BZ1324" t="s">
        <v>1513</v>
      </c>
      <c r="CA1324" t="s">
        <v>1513</v>
      </c>
      <c r="CB1324" t="b">
        <v>0</v>
      </c>
      <c r="CC1324" t="b">
        <v>0</v>
      </c>
      <c r="CD1324" t="b">
        <v>0</v>
      </c>
      <c r="CE1324" t="b">
        <v>0</v>
      </c>
      <c r="CF1324" t="b">
        <v>0</v>
      </c>
    </row>
    <row r="1325" spans="1:84" x14ac:dyDescent="0.3">
      <c r="A1325" t="s">
        <v>3876</v>
      </c>
      <c r="B1325" t="s">
        <v>1251</v>
      </c>
      <c r="C1325" s="98">
        <v>45824</v>
      </c>
      <c r="D1325">
        <v>2025</v>
      </c>
      <c r="E1325">
        <v>6</v>
      </c>
      <c r="F1325">
        <v>2</v>
      </c>
      <c r="G1325" t="s">
        <v>1243</v>
      </c>
      <c r="H1325" t="s">
        <v>148</v>
      </c>
      <c r="I1325" t="s">
        <v>148</v>
      </c>
      <c r="J1325" t="s">
        <v>6</v>
      </c>
      <c r="L1325">
        <v>522611</v>
      </c>
      <c r="M1325" s="99" t="s">
        <v>179</v>
      </c>
      <c r="N1325">
        <v>2</v>
      </c>
      <c r="O1325">
        <v>24</v>
      </c>
      <c r="P1325">
        <v>9.4101999999999997</v>
      </c>
      <c r="Q1325" t="s">
        <v>352</v>
      </c>
      <c r="R1325">
        <v>1</v>
      </c>
      <c r="S1325">
        <v>9.8345000000000002</v>
      </c>
      <c r="T1325">
        <v>0.30030000000000001</v>
      </c>
      <c r="U1325">
        <v>-1.4129204129204147</v>
      </c>
      <c r="V1325">
        <v>8.9336000000000002</v>
      </c>
      <c r="W1325">
        <v>9.2339000000000002</v>
      </c>
      <c r="X1325">
        <v>9.5342000000000002</v>
      </c>
      <c r="Y1325">
        <v>10.1348</v>
      </c>
      <c r="Z1325">
        <v>10.4351</v>
      </c>
      <c r="AA1325">
        <v>10.7354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 t="s">
        <v>462</v>
      </c>
      <c r="AL1325" t="s">
        <v>6</v>
      </c>
      <c r="AM1325" t="s">
        <v>1145</v>
      </c>
      <c r="AN1325" t="s">
        <v>1146</v>
      </c>
      <c r="AO1325" s="100">
        <v>46262.040405092594</v>
      </c>
      <c r="AP1325" t="s">
        <v>1147</v>
      </c>
      <c r="AQ1325" t="s">
        <v>3877</v>
      </c>
      <c r="AR1325" t="s">
        <v>1253</v>
      </c>
      <c r="AS1325" t="s">
        <v>1150</v>
      </c>
      <c r="AT1325" t="s">
        <v>3781</v>
      </c>
      <c r="AU1325">
        <v>25</v>
      </c>
      <c r="AV1325">
        <v>9.8274359999999987</v>
      </c>
      <c r="AW1325">
        <v>0.31543085068944465</v>
      </c>
      <c r="AX1325">
        <v>3.2096963103035696</v>
      </c>
      <c r="AY1325">
        <v>0.87643965749547414</v>
      </c>
      <c r="AZ1325">
        <v>6.1724385694963635</v>
      </c>
      <c r="BB1325" t="s">
        <v>4620</v>
      </c>
      <c r="BD1325" s="98"/>
      <c r="BE1325" s="98"/>
      <c r="BF1325" t="s">
        <v>1152</v>
      </c>
      <c r="BG1325" t="s">
        <v>322</v>
      </c>
      <c r="BH1325" t="s">
        <v>1153</v>
      </c>
      <c r="BI1325">
        <v>0.87643965749547414</v>
      </c>
      <c r="BN1325" t="s">
        <v>1154</v>
      </c>
      <c r="BO1325">
        <v>2025</v>
      </c>
      <c r="BP1325" t="s">
        <v>966</v>
      </c>
      <c r="BZ1325" t="s">
        <v>1513</v>
      </c>
      <c r="CA1325" t="s">
        <v>1513</v>
      </c>
      <c r="CB1325" t="b">
        <v>0</v>
      </c>
      <c r="CC1325" t="b">
        <v>0</v>
      </c>
      <c r="CD1325" t="b">
        <v>0</v>
      </c>
      <c r="CE1325" t="b">
        <v>0</v>
      </c>
      <c r="CF1325" t="b">
        <v>0</v>
      </c>
    </row>
    <row r="1326" spans="1:84" x14ac:dyDescent="0.3">
      <c r="A1326" t="s">
        <v>3878</v>
      </c>
      <c r="B1326" t="s">
        <v>1255</v>
      </c>
      <c r="C1326" s="98">
        <v>45831</v>
      </c>
      <c r="D1326">
        <v>2025</v>
      </c>
      <c r="E1326">
        <v>6</v>
      </c>
      <c r="F1326">
        <v>2</v>
      </c>
      <c r="G1326" t="s">
        <v>1243</v>
      </c>
      <c r="H1326" t="s">
        <v>148</v>
      </c>
      <c r="I1326" t="s">
        <v>148</v>
      </c>
      <c r="J1326" t="s">
        <v>6</v>
      </c>
      <c r="L1326">
        <v>522611</v>
      </c>
      <c r="M1326" s="99" t="s">
        <v>179</v>
      </c>
      <c r="N1326">
        <v>2</v>
      </c>
      <c r="O1326">
        <v>25</v>
      </c>
      <c r="P1326">
        <v>10.2643</v>
      </c>
      <c r="Q1326" t="s">
        <v>352</v>
      </c>
      <c r="R1326">
        <v>1</v>
      </c>
      <c r="S1326">
        <v>9.8345000000000002</v>
      </c>
      <c r="T1326">
        <v>0.30030000000000001</v>
      </c>
      <c r="U1326">
        <v>1.4312354312354318</v>
      </c>
      <c r="V1326">
        <v>8.9336000000000002</v>
      </c>
      <c r="W1326">
        <v>9.2339000000000002</v>
      </c>
      <c r="X1326">
        <v>9.5342000000000002</v>
      </c>
      <c r="Y1326">
        <v>10.1348</v>
      </c>
      <c r="Z1326">
        <v>10.4351</v>
      </c>
      <c r="AA1326">
        <v>10.7354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 t="s">
        <v>462</v>
      </c>
      <c r="AL1326" t="s">
        <v>6</v>
      </c>
      <c r="AM1326" t="s">
        <v>1145</v>
      </c>
      <c r="AN1326" t="s">
        <v>1146</v>
      </c>
      <c r="AO1326" s="100">
        <v>46262.040405092594</v>
      </c>
      <c r="AP1326" t="s">
        <v>1147</v>
      </c>
      <c r="AQ1326" t="s">
        <v>3879</v>
      </c>
      <c r="AR1326" t="s">
        <v>1257</v>
      </c>
      <c r="AS1326" t="s">
        <v>1150</v>
      </c>
      <c r="AT1326" t="s">
        <v>3781</v>
      </c>
      <c r="AU1326">
        <v>25</v>
      </c>
      <c r="AV1326">
        <v>9.8274359999999987</v>
      </c>
      <c r="AW1326">
        <v>0.31543085068944465</v>
      </c>
      <c r="AX1326">
        <v>3.2096963103035696</v>
      </c>
      <c r="AY1326">
        <v>0.87643965749547414</v>
      </c>
      <c r="AZ1326">
        <v>6.1724385694963635</v>
      </c>
      <c r="BB1326" t="s">
        <v>4620</v>
      </c>
      <c r="BD1326" s="98"/>
      <c r="BE1326" s="98"/>
      <c r="BF1326" t="s">
        <v>1152</v>
      </c>
      <c r="BG1326" t="s">
        <v>322</v>
      </c>
      <c r="BH1326" t="s">
        <v>1153</v>
      </c>
      <c r="BI1326">
        <v>0.87643965749547414</v>
      </c>
      <c r="BN1326" t="s">
        <v>1154</v>
      </c>
      <c r="BO1326">
        <v>2025</v>
      </c>
      <c r="BP1326" t="s">
        <v>966</v>
      </c>
      <c r="BZ1326" t="s">
        <v>1513</v>
      </c>
      <c r="CA1326" t="s">
        <v>1513</v>
      </c>
      <c r="CB1326" t="b">
        <v>0</v>
      </c>
      <c r="CC1326" t="b">
        <v>0</v>
      </c>
      <c r="CD1326" t="b">
        <v>0</v>
      </c>
      <c r="CE1326" t="b">
        <v>0</v>
      </c>
      <c r="CF1326" t="b">
        <v>0</v>
      </c>
    </row>
    <row r="1327" spans="1:84" x14ac:dyDescent="0.3">
      <c r="A1327" t="s">
        <v>3880</v>
      </c>
      <c r="B1327" t="s">
        <v>1143</v>
      </c>
      <c r="C1327" s="98">
        <v>45663</v>
      </c>
      <c r="D1327">
        <v>2025</v>
      </c>
      <c r="E1327">
        <v>1</v>
      </c>
      <c r="F1327">
        <v>1</v>
      </c>
      <c r="G1327" t="s">
        <v>1144</v>
      </c>
      <c r="H1327" t="s">
        <v>148</v>
      </c>
      <c r="I1327" t="s">
        <v>148</v>
      </c>
      <c r="J1327" t="s">
        <v>6</v>
      </c>
      <c r="L1327">
        <v>522611</v>
      </c>
      <c r="M1327" s="99" t="s">
        <v>180</v>
      </c>
      <c r="N1327">
        <v>3</v>
      </c>
      <c r="O1327">
        <v>1</v>
      </c>
      <c r="P1327">
        <v>15.1092</v>
      </c>
      <c r="Q1327" t="s">
        <v>352</v>
      </c>
      <c r="R1327">
        <v>1</v>
      </c>
      <c r="S1327">
        <v>14.944800000000001</v>
      </c>
      <c r="T1327">
        <v>9.0999999999999998E-2</v>
      </c>
      <c r="U1327">
        <v>1.8065934065933931</v>
      </c>
      <c r="V1327">
        <v>14.671800000000001</v>
      </c>
      <c r="W1327">
        <v>14.7628</v>
      </c>
      <c r="X1327">
        <v>14.853800000000001</v>
      </c>
      <c r="Y1327">
        <v>15.0358</v>
      </c>
      <c r="Z1327">
        <v>15.126800000000001</v>
      </c>
      <c r="AA1327">
        <v>15.2178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 t="s">
        <v>462</v>
      </c>
      <c r="AL1327" t="s">
        <v>6</v>
      </c>
      <c r="AM1327" t="s">
        <v>1145</v>
      </c>
      <c r="AN1327" t="s">
        <v>1146</v>
      </c>
      <c r="AO1327" s="100">
        <v>46262.040405092594</v>
      </c>
      <c r="AP1327" t="s">
        <v>1147</v>
      </c>
      <c r="AQ1327" t="s">
        <v>3881</v>
      </c>
      <c r="AR1327" t="s">
        <v>1149</v>
      </c>
      <c r="AS1327" t="s">
        <v>1150</v>
      </c>
      <c r="AT1327" t="s">
        <v>3781</v>
      </c>
      <c r="AU1327">
        <v>25</v>
      </c>
      <c r="AV1327">
        <v>14.942495999999998</v>
      </c>
      <c r="AW1327">
        <v>0.10446846605555164</v>
      </c>
      <c r="AX1327">
        <v>0.69913665063421571</v>
      </c>
      <c r="AY1327">
        <v>0.87643965749547414</v>
      </c>
      <c r="AZ1327">
        <v>2.0300151310419299</v>
      </c>
      <c r="BB1327" t="s">
        <v>4620</v>
      </c>
      <c r="BD1327" s="98"/>
      <c r="BE1327" s="98"/>
      <c r="BF1327" t="s">
        <v>1152</v>
      </c>
      <c r="BG1327" t="s">
        <v>322</v>
      </c>
      <c r="BH1327" t="s">
        <v>1153</v>
      </c>
      <c r="BI1327">
        <v>0.87643965749547414</v>
      </c>
      <c r="BN1327" t="s">
        <v>1154</v>
      </c>
      <c r="BO1327">
        <v>2025</v>
      </c>
      <c r="BP1327" t="s">
        <v>966</v>
      </c>
      <c r="BZ1327" t="s">
        <v>1513</v>
      </c>
      <c r="CA1327" t="s">
        <v>1513</v>
      </c>
      <c r="CB1327" t="b">
        <v>0</v>
      </c>
      <c r="CC1327" t="b">
        <v>0</v>
      </c>
      <c r="CD1327" t="b">
        <v>0</v>
      </c>
      <c r="CE1327" t="b">
        <v>0</v>
      </c>
      <c r="CF1327" t="b">
        <v>0</v>
      </c>
    </row>
    <row r="1328" spans="1:84" x14ac:dyDescent="0.3">
      <c r="A1328" t="s">
        <v>3882</v>
      </c>
      <c r="B1328" t="s">
        <v>1157</v>
      </c>
      <c r="C1328" s="98">
        <v>45670</v>
      </c>
      <c r="D1328">
        <v>2025</v>
      </c>
      <c r="E1328">
        <v>1</v>
      </c>
      <c r="F1328">
        <v>1</v>
      </c>
      <c r="G1328" t="s">
        <v>1144</v>
      </c>
      <c r="H1328" t="s">
        <v>148</v>
      </c>
      <c r="I1328" t="s">
        <v>148</v>
      </c>
      <c r="J1328" t="s">
        <v>6</v>
      </c>
      <c r="L1328">
        <v>522611</v>
      </c>
      <c r="M1328" s="99" t="s">
        <v>180</v>
      </c>
      <c r="N1328">
        <v>3</v>
      </c>
      <c r="O1328">
        <v>2</v>
      </c>
      <c r="P1328">
        <v>14.9474</v>
      </c>
      <c r="Q1328" t="s">
        <v>352</v>
      </c>
      <c r="R1328">
        <v>1</v>
      </c>
      <c r="S1328">
        <v>14.944800000000001</v>
      </c>
      <c r="T1328">
        <v>9.0999999999999998E-2</v>
      </c>
      <c r="U1328">
        <v>2.8571428571420546E-2</v>
      </c>
      <c r="V1328">
        <v>14.671800000000001</v>
      </c>
      <c r="W1328">
        <v>14.7628</v>
      </c>
      <c r="X1328">
        <v>14.853800000000001</v>
      </c>
      <c r="Y1328">
        <v>15.0358</v>
      </c>
      <c r="Z1328">
        <v>15.126800000000001</v>
      </c>
      <c r="AA1328">
        <v>15.2178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 t="s">
        <v>462</v>
      </c>
      <c r="AL1328" t="s">
        <v>6</v>
      </c>
      <c r="AM1328" t="s">
        <v>1145</v>
      </c>
      <c r="AN1328" t="s">
        <v>1146</v>
      </c>
      <c r="AO1328" s="100">
        <v>46262.040405092594</v>
      </c>
      <c r="AP1328" t="s">
        <v>1147</v>
      </c>
      <c r="AQ1328" t="s">
        <v>3883</v>
      </c>
      <c r="AR1328" t="s">
        <v>1159</v>
      </c>
      <c r="AS1328" t="s">
        <v>1150</v>
      </c>
      <c r="AT1328" t="s">
        <v>3781</v>
      </c>
      <c r="AU1328">
        <v>25</v>
      </c>
      <c r="AV1328">
        <v>14.942495999999998</v>
      </c>
      <c r="AW1328">
        <v>0.10446846605555164</v>
      </c>
      <c r="AX1328">
        <v>0.69913665063421571</v>
      </c>
      <c r="AY1328">
        <v>0.87643965749547414</v>
      </c>
      <c r="AZ1328">
        <v>2.0300151310419299</v>
      </c>
      <c r="BB1328" t="s">
        <v>4620</v>
      </c>
      <c r="BD1328" s="98"/>
      <c r="BE1328" s="98"/>
      <c r="BF1328" t="s">
        <v>1152</v>
      </c>
      <c r="BG1328" t="s">
        <v>322</v>
      </c>
      <c r="BH1328" t="s">
        <v>1153</v>
      </c>
      <c r="BI1328">
        <v>0.87643965749547414</v>
      </c>
      <c r="BN1328" t="s">
        <v>1154</v>
      </c>
      <c r="BO1328">
        <v>2025</v>
      </c>
      <c r="BP1328" t="s">
        <v>966</v>
      </c>
      <c r="BZ1328" t="s">
        <v>1513</v>
      </c>
      <c r="CA1328" t="s">
        <v>1513</v>
      </c>
      <c r="CB1328" t="b">
        <v>0</v>
      </c>
      <c r="CC1328" t="b">
        <v>0</v>
      </c>
      <c r="CD1328" t="b">
        <v>0</v>
      </c>
      <c r="CE1328" t="b">
        <v>0</v>
      </c>
      <c r="CF1328" t="b">
        <v>0</v>
      </c>
    </row>
    <row r="1329" spans="1:84" x14ac:dyDescent="0.3">
      <c r="A1329" t="s">
        <v>3884</v>
      </c>
      <c r="B1329" t="s">
        <v>1161</v>
      </c>
      <c r="C1329" s="98">
        <v>45677</v>
      </c>
      <c r="D1329">
        <v>2025</v>
      </c>
      <c r="E1329">
        <v>1</v>
      </c>
      <c r="F1329">
        <v>1</v>
      </c>
      <c r="G1329" t="s">
        <v>1144</v>
      </c>
      <c r="H1329" t="s">
        <v>148</v>
      </c>
      <c r="I1329" t="s">
        <v>148</v>
      </c>
      <c r="J1329" t="s">
        <v>6</v>
      </c>
      <c r="L1329">
        <v>522611</v>
      </c>
      <c r="M1329" s="99" t="s">
        <v>180</v>
      </c>
      <c r="N1329">
        <v>3</v>
      </c>
      <c r="O1329">
        <v>3</v>
      </c>
      <c r="P1329">
        <v>14.924799999999999</v>
      </c>
      <c r="Q1329" t="s">
        <v>352</v>
      </c>
      <c r="R1329">
        <v>1</v>
      </c>
      <c r="S1329">
        <v>14.944800000000001</v>
      </c>
      <c r="T1329">
        <v>9.0999999999999998E-2</v>
      </c>
      <c r="U1329">
        <v>-0.21978021978023463</v>
      </c>
      <c r="V1329">
        <v>14.671800000000001</v>
      </c>
      <c r="W1329">
        <v>14.7628</v>
      </c>
      <c r="X1329">
        <v>14.853800000000001</v>
      </c>
      <c r="Y1329">
        <v>15.0358</v>
      </c>
      <c r="Z1329">
        <v>15.126800000000001</v>
      </c>
      <c r="AA1329">
        <v>15.2178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 t="s">
        <v>462</v>
      </c>
      <c r="AL1329" t="s">
        <v>6</v>
      </c>
      <c r="AM1329" t="s">
        <v>1145</v>
      </c>
      <c r="AN1329" t="s">
        <v>1146</v>
      </c>
      <c r="AO1329" s="100">
        <v>46262.040405092594</v>
      </c>
      <c r="AP1329" t="s">
        <v>1147</v>
      </c>
      <c r="AQ1329" t="s">
        <v>3885</v>
      </c>
      <c r="AR1329" t="s">
        <v>1163</v>
      </c>
      <c r="AS1329" t="s">
        <v>1150</v>
      </c>
      <c r="AT1329" t="s">
        <v>3781</v>
      </c>
      <c r="AU1329">
        <v>25</v>
      </c>
      <c r="AV1329">
        <v>14.942495999999998</v>
      </c>
      <c r="AW1329">
        <v>0.10446846605555164</v>
      </c>
      <c r="AX1329">
        <v>0.69913665063421571</v>
      </c>
      <c r="AY1329">
        <v>0.87643965749547414</v>
      </c>
      <c r="AZ1329">
        <v>2.0300151310419299</v>
      </c>
      <c r="BB1329" t="s">
        <v>4620</v>
      </c>
      <c r="BD1329" s="98"/>
      <c r="BE1329" s="98"/>
      <c r="BF1329" t="s">
        <v>1152</v>
      </c>
      <c r="BG1329" t="s">
        <v>322</v>
      </c>
      <c r="BH1329" t="s">
        <v>1153</v>
      </c>
      <c r="BI1329">
        <v>0.87643965749547414</v>
      </c>
      <c r="BN1329" t="s">
        <v>1154</v>
      </c>
      <c r="BO1329">
        <v>2025</v>
      </c>
      <c r="BP1329" t="s">
        <v>966</v>
      </c>
      <c r="BZ1329" t="s">
        <v>1513</v>
      </c>
      <c r="CA1329" t="s">
        <v>1513</v>
      </c>
      <c r="CB1329" t="b">
        <v>0</v>
      </c>
      <c r="CC1329" t="b">
        <v>0</v>
      </c>
      <c r="CD1329" t="b">
        <v>0</v>
      </c>
      <c r="CE1329" t="b">
        <v>0</v>
      </c>
      <c r="CF1329" t="b">
        <v>0</v>
      </c>
    </row>
    <row r="1330" spans="1:84" x14ac:dyDescent="0.3">
      <c r="A1330" t="s">
        <v>3886</v>
      </c>
      <c r="B1330" t="s">
        <v>1165</v>
      </c>
      <c r="C1330" s="98">
        <v>45684</v>
      </c>
      <c r="D1330">
        <v>2025</v>
      </c>
      <c r="E1330">
        <v>1</v>
      </c>
      <c r="F1330">
        <v>1</v>
      </c>
      <c r="G1330" t="s">
        <v>1144</v>
      </c>
      <c r="H1330" t="s">
        <v>148</v>
      </c>
      <c r="I1330" t="s">
        <v>148</v>
      </c>
      <c r="J1330" t="s">
        <v>6</v>
      </c>
      <c r="L1330">
        <v>522611</v>
      </c>
      <c r="M1330" s="99" t="s">
        <v>180</v>
      </c>
      <c r="N1330">
        <v>3</v>
      </c>
      <c r="O1330">
        <v>4</v>
      </c>
      <c r="P1330">
        <v>14.797499999999999</v>
      </c>
      <c r="Q1330" t="s">
        <v>352</v>
      </c>
      <c r="R1330">
        <v>1</v>
      </c>
      <c r="S1330">
        <v>14.944800000000001</v>
      </c>
      <c r="T1330">
        <v>9.0999999999999998E-2</v>
      </c>
      <c r="U1330">
        <v>-1.6186813186813331</v>
      </c>
      <c r="V1330">
        <v>14.671800000000001</v>
      </c>
      <c r="W1330">
        <v>14.7628</v>
      </c>
      <c r="X1330">
        <v>14.853800000000001</v>
      </c>
      <c r="Y1330">
        <v>15.0358</v>
      </c>
      <c r="Z1330">
        <v>15.126800000000001</v>
      </c>
      <c r="AA1330">
        <v>15.2178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 t="s">
        <v>462</v>
      </c>
      <c r="AL1330" t="s">
        <v>6</v>
      </c>
      <c r="AM1330" t="s">
        <v>1145</v>
      </c>
      <c r="AN1330" t="s">
        <v>1146</v>
      </c>
      <c r="AO1330" s="100">
        <v>46262.040405092594</v>
      </c>
      <c r="AP1330" t="s">
        <v>1147</v>
      </c>
      <c r="AQ1330" t="s">
        <v>3887</v>
      </c>
      <c r="AR1330" t="s">
        <v>1167</v>
      </c>
      <c r="AS1330" t="s">
        <v>1150</v>
      </c>
      <c r="AT1330" t="s">
        <v>3781</v>
      </c>
      <c r="AU1330">
        <v>25</v>
      </c>
      <c r="AV1330">
        <v>14.942495999999998</v>
      </c>
      <c r="AW1330">
        <v>0.10446846605555164</v>
      </c>
      <c r="AX1330">
        <v>0.69913665063421571</v>
      </c>
      <c r="AY1330">
        <v>0.87643965749547414</v>
      </c>
      <c r="AZ1330">
        <v>2.0300151310419299</v>
      </c>
      <c r="BB1330" t="s">
        <v>4620</v>
      </c>
      <c r="BD1330" s="98"/>
      <c r="BE1330" s="98"/>
      <c r="BF1330" t="s">
        <v>1152</v>
      </c>
      <c r="BG1330" t="s">
        <v>322</v>
      </c>
      <c r="BH1330" t="s">
        <v>1153</v>
      </c>
      <c r="BI1330">
        <v>0.87643965749547414</v>
      </c>
      <c r="BN1330" t="s">
        <v>1154</v>
      </c>
      <c r="BO1330">
        <v>2025</v>
      </c>
      <c r="BP1330" t="s">
        <v>966</v>
      </c>
      <c r="BZ1330" t="s">
        <v>1513</v>
      </c>
      <c r="CA1330" t="s">
        <v>1513</v>
      </c>
      <c r="CB1330" t="b">
        <v>0</v>
      </c>
      <c r="CC1330" t="b">
        <v>0</v>
      </c>
      <c r="CD1330" t="b">
        <v>0</v>
      </c>
      <c r="CE1330" t="b">
        <v>0</v>
      </c>
      <c r="CF1330" t="b">
        <v>0</v>
      </c>
    </row>
    <row r="1331" spans="1:84" x14ac:dyDescent="0.3">
      <c r="A1331" t="s">
        <v>3888</v>
      </c>
      <c r="B1331" t="s">
        <v>1169</v>
      </c>
      <c r="C1331" s="98">
        <v>45691</v>
      </c>
      <c r="D1331">
        <v>2025</v>
      </c>
      <c r="E1331">
        <v>2</v>
      </c>
      <c r="F1331">
        <v>1</v>
      </c>
      <c r="G1331" t="s">
        <v>1170</v>
      </c>
      <c r="H1331" t="s">
        <v>148</v>
      </c>
      <c r="I1331" t="s">
        <v>148</v>
      </c>
      <c r="J1331" t="s">
        <v>6</v>
      </c>
      <c r="L1331">
        <v>522611</v>
      </c>
      <c r="M1331" s="99" t="s">
        <v>180</v>
      </c>
      <c r="N1331">
        <v>3</v>
      </c>
      <c r="O1331">
        <v>5</v>
      </c>
      <c r="P1331">
        <v>15.0252</v>
      </c>
      <c r="Q1331" t="s">
        <v>352</v>
      </c>
      <c r="R1331">
        <v>1</v>
      </c>
      <c r="S1331">
        <v>14.944800000000001</v>
      </c>
      <c r="T1331">
        <v>9.0999999999999998E-2</v>
      </c>
      <c r="U1331">
        <v>0.88351648351647405</v>
      </c>
      <c r="V1331">
        <v>14.671800000000001</v>
      </c>
      <c r="W1331">
        <v>14.7628</v>
      </c>
      <c r="X1331">
        <v>14.853800000000001</v>
      </c>
      <c r="Y1331">
        <v>15.0358</v>
      </c>
      <c r="Z1331">
        <v>15.126800000000001</v>
      </c>
      <c r="AA1331">
        <v>15.2178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 t="s">
        <v>462</v>
      </c>
      <c r="AL1331" t="s">
        <v>6</v>
      </c>
      <c r="AM1331" t="s">
        <v>1145</v>
      </c>
      <c r="AN1331" t="s">
        <v>1146</v>
      </c>
      <c r="AO1331" s="100">
        <v>46262.040405092594</v>
      </c>
      <c r="AP1331" t="s">
        <v>1147</v>
      </c>
      <c r="AQ1331" t="s">
        <v>3889</v>
      </c>
      <c r="AR1331" t="s">
        <v>1172</v>
      </c>
      <c r="AS1331" t="s">
        <v>1150</v>
      </c>
      <c r="AT1331" t="s">
        <v>3781</v>
      </c>
      <c r="AU1331">
        <v>25</v>
      </c>
      <c r="AV1331">
        <v>14.942495999999998</v>
      </c>
      <c r="AW1331">
        <v>0.10446846605555164</v>
      </c>
      <c r="AX1331">
        <v>0.69913665063421571</v>
      </c>
      <c r="AY1331">
        <v>0.87643965749547414</v>
      </c>
      <c r="AZ1331">
        <v>2.0300151310419299</v>
      </c>
      <c r="BB1331" t="s">
        <v>4620</v>
      </c>
      <c r="BD1331" s="98"/>
      <c r="BE1331" s="98"/>
      <c r="BF1331" t="s">
        <v>1152</v>
      </c>
      <c r="BG1331" t="s">
        <v>322</v>
      </c>
      <c r="BH1331" t="s">
        <v>1153</v>
      </c>
      <c r="BI1331">
        <v>0.87643965749547414</v>
      </c>
      <c r="BN1331" t="s">
        <v>1154</v>
      </c>
      <c r="BO1331">
        <v>2025</v>
      </c>
      <c r="BP1331" t="s">
        <v>966</v>
      </c>
      <c r="BZ1331" t="s">
        <v>1513</v>
      </c>
      <c r="CA1331" t="s">
        <v>1513</v>
      </c>
      <c r="CB1331" t="b">
        <v>0</v>
      </c>
      <c r="CC1331" t="b">
        <v>0</v>
      </c>
      <c r="CD1331" t="b">
        <v>0</v>
      </c>
      <c r="CE1331" t="b">
        <v>0</v>
      </c>
      <c r="CF1331" t="b">
        <v>0</v>
      </c>
    </row>
    <row r="1332" spans="1:84" x14ac:dyDescent="0.3">
      <c r="A1332" t="s">
        <v>3890</v>
      </c>
      <c r="B1332" t="s">
        <v>1174</v>
      </c>
      <c r="C1332" s="98">
        <v>45698</v>
      </c>
      <c r="D1332">
        <v>2025</v>
      </c>
      <c r="E1332">
        <v>2</v>
      </c>
      <c r="F1332">
        <v>1</v>
      </c>
      <c r="G1332" t="s">
        <v>1170</v>
      </c>
      <c r="H1332" t="s">
        <v>148</v>
      </c>
      <c r="I1332" t="s">
        <v>148</v>
      </c>
      <c r="J1332" t="s">
        <v>6</v>
      </c>
      <c r="L1332">
        <v>522611</v>
      </c>
      <c r="M1332" s="99" t="s">
        <v>180</v>
      </c>
      <c r="N1332">
        <v>3</v>
      </c>
      <c r="O1332">
        <v>6</v>
      </c>
      <c r="P1332">
        <v>15.1907</v>
      </c>
      <c r="Q1332" t="s">
        <v>352</v>
      </c>
      <c r="R1332">
        <v>1</v>
      </c>
      <c r="S1332">
        <v>14.944800000000001</v>
      </c>
      <c r="T1332">
        <v>9.0999999999999998E-2</v>
      </c>
      <c r="U1332">
        <v>2.7021978021977899</v>
      </c>
      <c r="V1332">
        <v>14.671800000000001</v>
      </c>
      <c r="W1332">
        <v>14.7628</v>
      </c>
      <c r="X1332">
        <v>14.853800000000001</v>
      </c>
      <c r="Y1332">
        <v>15.0358</v>
      </c>
      <c r="Z1332">
        <v>15.126800000000001</v>
      </c>
      <c r="AA1332">
        <v>15.2178</v>
      </c>
      <c r="AE1332">
        <v>0</v>
      </c>
      <c r="AF1332">
        <v>0</v>
      </c>
      <c r="AG1332">
        <v>1</v>
      </c>
      <c r="AH1332">
        <v>0</v>
      </c>
      <c r="AI1332">
        <v>0</v>
      </c>
      <c r="AJ1332">
        <v>1</v>
      </c>
      <c r="AK1332" t="s">
        <v>1213</v>
      </c>
      <c r="AL1332" t="s">
        <v>6</v>
      </c>
      <c r="AM1332" t="s">
        <v>1145</v>
      </c>
      <c r="AN1332" t="s">
        <v>1146</v>
      </c>
      <c r="AO1332" s="100">
        <v>46262.040405092594</v>
      </c>
      <c r="AP1332" t="s">
        <v>1147</v>
      </c>
      <c r="AQ1332" t="s">
        <v>3891</v>
      </c>
      <c r="AR1332" t="s">
        <v>1176</v>
      </c>
      <c r="AS1332" t="s">
        <v>1150</v>
      </c>
      <c r="AT1332" t="s">
        <v>3781</v>
      </c>
      <c r="AU1332">
        <v>25</v>
      </c>
      <c r="AV1332">
        <v>14.942495999999998</v>
      </c>
      <c r="AW1332">
        <v>0.10446846605555164</v>
      </c>
      <c r="AX1332">
        <v>0.69913665063421571</v>
      </c>
      <c r="AY1332">
        <v>0.87643965749547414</v>
      </c>
      <c r="AZ1332">
        <v>2.0300151310419299</v>
      </c>
      <c r="BB1332" t="s">
        <v>4620</v>
      </c>
      <c r="BD1332" s="98"/>
      <c r="BE1332" s="98"/>
      <c r="BF1332" t="s">
        <v>1152</v>
      </c>
      <c r="BG1332" t="s">
        <v>322</v>
      </c>
      <c r="BH1332" t="s">
        <v>1153</v>
      </c>
      <c r="BI1332">
        <v>0.87643965749547414</v>
      </c>
      <c r="BN1332" t="s">
        <v>1154</v>
      </c>
      <c r="BO1332">
        <v>2025</v>
      </c>
      <c r="BP1332" t="s">
        <v>966</v>
      </c>
      <c r="BZ1332" t="s">
        <v>1513</v>
      </c>
      <c r="CA1332" t="s">
        <v>1513</v>
      </c>
      <c r="CB1332" t="b">
        <v>0</v>
      </c>
      <c r="CC1332" t="b">
        <v>0</v>
      </c>
      <c r="CD1332" t="b">
        <v>0</v>
      </c>
      <c r="CE1332" t="b">
        <v>0</v>
      </c>
      <c r="CF1332" t="b">
        <v>0</v>
      </c>
    </row>
    <row r="1333" spans="1:84" x14ac:dyDescent="0.3">
      <c r="A1333" t="s">
        <v>3892</v>
      </c>
      <c r="B1333" t="s">
        <v>1178</v>
      </c>
      <c r="C1333" s="98">
        <v>45705</v>
      </c>
      <c r="D1333">
        <v>2025</v>
      </c>
      <c r="E1333">
        <v>2</v>
      </c>
      <c r="F1333">
        <v>1</v>
      </c>
      <c r="G1333" t="s">
        <v>1170</v>
      </c>
      <c r="H1333" t="s">
        <v>148</v>
      </c>
      <c r="I1333" t="s">
        <v>148</v>
      </c>
      <c r="J1333" t="s">
        <v>6</v>
      </c>
      <c r="L1333">
        <v>522611</v>
      </c>
      <c r="M1333" s="99" t="s">
        <v>180</v>
      </c>
      <c r="N1333">
        <v>3</v>
      </c>
      <c r="O1333">
        <v>7</v>
      </c>
      <c r="P1333">
        <v>15.0101</v>
      </c>
      <c r="Q1333" t="s">
        <v>352</v>
      </c>
      <c r="R1333">
        <v>1</v>
      </c>
      <c r="S1333">
        <v>14.944800000000001</v>
      </c>
      <c r="T1333">
        <v>9.0999999999999998E-2</v>
      </c>
      <c r="U1333">
        <v>0.71758241758240449</v>
      </c>
      <c r="V1333">
        <v>14.671800000000001</v>
      </c>
      <c r="W1333">
        <v>14.7628</v>
      </c>
      <c r="X1333">
        <v>14.853800000000001</v>
      </c>
      <c r="Y1333">
        <v>15.0358</v>
      </c>
      <c r="Z1333">
        <v>15.126800000000001</v>
      </c>
      <c r="AA1333">
        <v>15.2178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 t="s">
        <v>462</v>
      </c>
      <c r="AL1333" t="s">
        <v>6</v>
      </c>
      <c r="AM1333" t="s">
        <v>1145</v>
      </c>
      <c r="AN1333" t="s">
        <v>1146</v>
      </c>
      <c r="AO1333" s="100">
        <v>46262.040405092594</v>
      </c>
      <c r="AP1333" t="s">
        <v>1147</v>
      </c>
      <c r="AQ1333" t="s">
        <v>3893</v>
      </c>
      <c r="AR1333" t="s">
        <v>1180</v>
      </c>
      <c r="AS1333" t="s">
        <v>1150</v>
      </c>
      <c r="AT1333" t="s">
        <v>3781</v>
      </c>
      <c r="AU1333">
        <v>25</v>
      </c>
      <c r="AV1333">
        <v>14.942495999999998</v>
      </c>
      <c r="AW1333">
        <v>0.10446846605555164</v>
      </c>
      <c r="AX1333">
        <v>0.69913665063421571</v>
      </c>
      <c r="AY1333">
        <v>0.87643965749547414</v>
      </c>
      <c r="AZ1333">
        <v>2.0300151310419299</v>
      </c>
      <c r="BB1333" t="s">
        <v>4620</v>
      </c>
      <c r="BD1333" s="98"/>
      <c r="BE1333" s="98"/>
      <c r="BF1333" t="s">
        <v>1152</v>
      </c>
      <c r="BG1333" t="s">
        <v>322</v>
      </c>
      <c r="BH1333" t="s">
        <v>1153</v>
      </c>
      <c r="BI1333">
        <v>0.87643965749547414</v>
      </c>
      <c r="BN1333" t="s">
        <v>1154</v>
      </c>
      <c r="BO1333">
        <v>2025</v>
      </c>
      <c r="BP1333" t="s">
        <v>966</v>
      </c>
      <c r="BZ1333" t="s">
        <v>1513</v>
      </c>
      <c r="CA1333" t="s">
        <v>1513</v>
      </c>
      <c r="CB1333" t="b">
        <v>0</v>
      </c>
      <c r="CC1333" t="b">
        <v>0</v>
      </c>
      <c r="CD1333" t="b">
        <v>0</v>
      </c>
      <c r="CE1333" t="b">
        <v>0</v>
      </c>
      <c r="CF1333" t="b">
        <v>0</v>
      </c>
    </row>
    <row r="1334" spans="1:84" x14ac:dyDescent="0.3">
      <c r="A1334" t="s">
        <v>3894</v>
      </c>
      <c r="B1334" t="s">
        <v>1182</v>
      </c>
      <c r="C1334" s="98">
        <v>45712</v>
      </c>
      <c r="D1334">
        <v>2025</v>
      </c>
      <c r="E1334">
        <v>2</v>
      </c>
      <c r="F1334">
        <v>1</v>
      </c>
      <c r="G1334" t="s">
        <v>1170</v>
      </c>
      <c r="H1334" t="s">
        <v>148</v>
      </c>
      <c r="I1334" t="s">
        <v>148</v>
      </c>
      <c r="J1334" t="s">
        <v>6</v>
      </c>
      <c r="L1334">
        <v>522611</v>
      </c>
      <c r="M1334" s="99" t="s">
        <v>180</v>
      </c>
      <c r="N1334">
        <v>3</v>
      </c>
      <c r="O1334">
        <v>8</v>
      </c>
      <c r="P1334">
        <v>15.059799999999999</v>
      </c>
      <c r="Q1334" t="s">
        <v>352</v>
      </c>
      <c r="R1334">
        <v>1</v>
      </c>
      <c r="S1334">
        <v>14.944800000000001</v>
      </c>
      <c r="T1334">
        <v>9.0999999999999998E-2</v>
      </c>
      <c r="U1334">
        <v>1.2637362637362466</v>
      </c>
      <c r="V1334">
        <v>14.671800000000001</v>
      </c>
      <c r="W1334">
        <v>14.7628</v>
      </c>
      <c r="X1334">
        <v>14.853800000000001</v>
      </c>
      <c r="Y1334">
        <v>15.0358</v>
      </c>
      <c r="Z1334">
        <v>15.126800000000001</v>
      </c>
      <c r="AA1334">
        <v>15.2178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 t="s">
        <v>462</v>
      </c>
      <c r="AL1334" t="s">
        <v>6</v>
      </c>
      <c r="AM1334" t="s">
        <v>1145</v>
      </c>
      <c r="AN1334" t="s">
        <v>1146</v>
      </c>
      <c r="AO1334" s="100">
        <v>46262.040405092594</v>
      </c>
      <c r="AP1334" t="s">
        <v>1147</v>
      </c>
      <c r="AQ1334" t="s">
        <v>3895</v>
      </c>
      <c r="AR1334" t="s">
        <v>1184</v>
      </c>
      <c r="AS1334" t="s">
        <v>1150</v>
      </c>
      <c r="AT1334" t="s">
        <v>3781</v>
      </c>
      <c r="AU1334">
        <v>25</v>
      </c>
      <c r="AV1334">
        <v>14.942495999999998</v>
      </c>
      <c r="AW1334">
        <v>0.10446846605555164</v>
      </c>
      <c r="AX1334">
        <v>0.69913665063421571</v>
      </c>
      <c r="AY1334">
        <v>0.87643965749547414</v>
      </c>
      <c r="AZ1334">
        <v>2.0300151310419299</v>
      </c>
      <c r="BB1334" t="s">
        <v>4620</v>
      </c>
      <c r="BD1334" s="98"/>
      <c r="BE1334" s="98"/>
      <c r="BF1334" t="s">
        <v>1152</v>
      </c>
      <c r="BG1334" t="s">
        <v>322</v>
      </c>
      <c r="BH1334" t="s">
        <v>1153</v>
      </c>
      <c r="BI1334">
        <v>0.87643965749547414</v>
      </c>
      <c r="BN1334" t="s">
        <v>1154</v>
      </c>
      <c r="BO1334">
        <v>2025</v>
      </c>
      <c r="BP1334" t="s">
        <v>966</v>
      </c>
      <c r="BZ1334" t="s">
        <v>1513</v>
      </c>
      <c r="CA1334" t="s">
        <v>1513</v>
      </c>
      <c r="CB1334" t="b">
        <v>0</v>
      </c>
      <c r="CC1334" t="b">
        <v>0</v>
      </c>
      <c r="CD1334" t="b">
        <v>0</v>
      </c>
      <c r="CE1334" t="b">
        <v>0</v>
      </c>
      <c r="CF1334" t="b">
        <v>0</v>
      </c>
    </row>
    <row r="1335" spans="1:84" x14ac:dyDescent="0.3">
      <c r="A1335" t="s">
        <v>3896</v>
      </c>
      <c r="B1335" t="s">
        <v>1186</v>
      </c>
      <c r="C1335" s="98">
        <v>45719</v>
      </c>
      <c r="D1335">
        <v>2025</v>
      </c>
      <c r="E1335">
        <v>3</v>
      </c>
      <c r="F1335">
        <v>1</v>
      </c>
      <c r="G1335" t="s">
        <v>1187</v>
      </c>
      <c r="H1335" t="s">
        <v>148</v>
      </c>
      <c r="I1335" t="s">
        <v>148</v>
      </c>
      <c r="J1335" t="s">
        <v>6</v>
      </c>
      <c r="L1335">
        <v>522611</v>
      </c>
      <c r="M1335" s="99" t="s">
        <v>180</v>
      </c>
      <c r="N1335">
        <v>3</v>
      </c>
      <c r="O1335">
        <v>9</v>
      </c>
      <c r="P1335">
        <v>14.9941</v>
      </c>
      <c r="Q1335" t="s">
        <v>352</v>
      </c>
      <c r="R1335">
        <v>1</v>
      </c>
      <c r="S1335">
        <v>14.944800000000001</v>
      </c>
      <c r="T1335">
        <v>9.0999999999999998E-2</v>
      </c>
      <c r="U1335">
        <v>0.54175824175822851</v>
      </c>
      <c r="V1335">
        <v>14.671800000000001</v>
      </c>
      <c r="W1335">
        <v>14.7628</v>
      </c>
      <c r="X1335">
        <v>14.853800000000001</v>
      </c>
      <c r="Y1335">
        <v>15.0358</v>
      </c>
      <c r="Z1335">
        <v>15.126800000000001</v>
      </c>
      <c r="AA1335">
        <v>15.2178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 t="s">
        <v>462</v>
      </c>
      <c r="AL1335" t="s">
        <v>6</v>
      </c>
      <c r="AM1335" t="s">
        <v>1145</v>
      </c>
      <c r="AN1335" t="s">
        <v>1146</v>
      </c>
      <c r="AO1335" s="100">
        <v>46262.040405092594</v>
      </c>
      <c r="AP1335" t="s">
        <v>1147</v>
      </c>
      <c r="AQ1335" t="s">
        <v>3897</v>
      </c>
      <c r="AR1335" t="s">
        <v>1189</v>
      </c>
      <c r="AS1335" t="s">
        <v>1150</v>
      </c>
      <c r="AT1335" t="s">
        <v>3781</v>
      </c>
      <c r="AU1335">
        <v>25</v>
      </c>
      <c r="AV1335">
        <v>14.942495999999998</v>
      </c>
      <c r="AW1335">
        <v>0.10446846605555164</v>
      </c>
      <c r="AX1335">
        <v>0.69913665063421571</v>
      </c>
      <c r="AY1335">
        <v>0.87643965749547414</v>
      </c>
      <c r="AZ1335">
        <v>2.0300151310419299</v>
      </c>
      <c r="BB1335" t="s">
        <v>4620</v>
      </c>
      <c r="BD1335" s="98"/>
      <c r="BE1335" s="98"/>
      <c r="BF1335" t="s">
        <v>1152</v>
      </c>
      <c r="BG1335" t="s">
        <v>322</v>
      </c>
      <c r="BH1335" t="s">
        <v>1153</v>
      </c>
      <c r="BI1335">
        <v>0.87643965749547414</v>
      </c>
      <c r="BN1335" t="s">
        <v>1154</v>
      </c>
      <c r="BO1335">
        <v>2025</v>
      </c>
      <c r="BP1335" t="s">
        <v>966</v>
      </c>
      <c r="BZ1335" t="s">
        <v>1513</v>
      </c>
      <c r="CA1335" t="s">
        <v>1513</v>
      </c>
      <c r="CB1335" t="b">
        <v>0</v>
      </c>
      <c r="CC1335" t="b">
        <v>0</v>
      </c>
      <c r="CD1335" t="b">
        <v>0</v>
      </c>
      <c r="CE1335" t="b">
        <v>0</v>
      </c>
      <c r="CF1335" t="b">
        <v>0</v>
      </c>
    </row>
    <row r="1336" spans="1:84" x14ac:dyDescent="0.3">
      <c r="A1336" t="s">
        <v>3898</v>
      </c>
      <c r="B1336" t="s">
        <v>1191</v>
      </c>
      <c r="C1336" s="98">
        <v>45726</v>
      </c>
      <c r="D1336">
        <v>2025</v>
      </c>
      <c r="E1336">
        <v>3</v>
      </c>
      <c r="F1336">
        <v>1</v>
      </c>
      <c r="G1336" t="s">
        <v>1187</v>
      </c>
      <c r="H1336" t="s">
        <v>148</v>
      </c>
      <c r="I1336" t="s">
        <v>148</v>
      </c>
      <c r="J1336" t="s">
        <v>6</v>
      </c>
      <c r="L1336">
        <v>522611</v>
      </c>
      <c r="M1336" s="99" t="s">
        <v>180</v>
      </c>
      <c r="N1336">
        <v>3</v>
      </c>
      <c r="O1336">
        <v>10</v>
      </c>
      <c r="P1336">
        <v>14.8552</v>
      </c>
      <c r="Q1336" t="s">
        <v>352</v>
      </c>
      <c r="R1336">
        <v>1</v>
      </c>
      <c r="S1336">
        <v>14.944800000000001</v>
      </c>
      <c r="T1336">
        <v>9.0999999999999998E-2</v>
      </c>
      <c r="U1336">
        <v>-0.98461538461539333</v>
      </c>
      <c r="V1336">
        <v>14.671800000000001</v>
      </c>
      <c r="W1336">
        <v>14.7628</v>
      </c>
      <c r="X1336">
        <v>14.853800000000001</v>
      </c>
      <c r="Y1336">
        <v>15.0358</v>
      </c>
      <c r="Z1336">
        <v>15.126800000000001</v>
      </c>
      <c r="AA1336">
        <v>15.2178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 t="s">
        <v>462</v>
      </c>
      <c r="AL1336" t="s">
        <v>6</v>
      </c>
      <c r="AM1336" t="s">
        <v>1145</v>
      </c>
      <c r="AN1336" t="s">
        <v>1146</v>
      </c>
      <c r="AO1336" s="100">
        <v>46262.040405092594</v>
      </c>
      <c r="AP1336" t="s">
        <v>1147</v>
      </c>
      <c r="AQ1336" t="s">
        <v>3899</v>
      </c>
      <c r="AR1336" t="s">
        <v>1193</v>
      </c>
      <c r="AS1336" t="s">
        <v>1150</v>
      </c>
      <c r="AT1336" t="s">
        <v>3781</v>
      </c>
      <c r="AU1336">
        <v>25</v>
      </c>
      <c r="AV1336">
        <v>14.942495999999998</v>
      </c>
      <c r="AW1336">
        <v>0.10446846605555164</v>
      </c>
      <c r="AX1336">
        <v>0.69913665063421571</v>
      </c>
      <c r="AY1336">
        <v>0.87643965749547414</v>
      </c>
      <c r="AZ1336">
        <v>2.0300151310419299</v>
      </c>
      <c r="BB1336" t="s">
        <v>4620</v>
      </c>
      <c r="BD1336" s="98"/>
      <c r="BE1336" s="98"/>
      <c r="BF1336" t="s">
        <v>1152</v>
      </c>
      <c r="BG1336" t="s">
        <v>322</v>
      </c>
      <c r="BH1336" t="s">
        <v>1153</v>
      </c>
      <c r="BI1336">
        <v>0.87643965749547414</v>
      </c>
      <c r="BN1336" t="s">
        <v>1154</v>
      </c>
      <c r="BO1336">
        <v>2025</v>
      </c>
      <c r="BP1336" t="s">
        <v>966</v>
      </c>
      <c r="BZ1336" t="s">
        <v>1513</v>
      </c>
      <c r="CA1336" t="s">
        <v>1513</v>
      </c>
      <c r="CB1336" t="b">
        <v>0</v>
      </c>
      <c r="CC1336" t="b">
        <v>0</v>
      </c>
      <c r="CD1336" t="b">
        <v>0</v>
      </c>
      <c r="CE1336" t="b">
        <v>0</v>
      </c>
      <c r="CF1336" t="b">
        <v>0</v>
      </c>
    </row>
    <row r="1337" spans="1:84" x14ac:dyDescent="0.3">
      <c r="A1337" t="s">
        <v>3900</v>
      </c>
      <c r="B1337" t="s">
        <v>1195</v>
      </c>
      <c r="C1337" s="98">
        <v>45733</v>
      </c>
      <c r="D1337">
        <v>2025</v>
      </c>
      <c r="E1337">
        <v>3</v>
      </c>
      <c r="F1337">
        <v>1</v>
      </c>
      <c r="G1337" t="s">
        <v>1187</v>
      </c>
      <c r="H1337" t="s">
        <v>148</v>
      </c>
      <c r="I1337" t="s">
        <v>148</v>
      </c>
      <c r="J1337" t="s">
        <v>6</v>
      </c>
      <c r="L1337">
        <v>522611</v>
      </c>
      <c r="M1337" s="99" t="s">
        <v>180</v>
      </c>
      <c r="N1337">
        <v>3</v>
      </c>
      <c r="O1337">
        <v>11</v>
      </c>
      <c r="P1337">
        <v>15.0664</v>
      </c>
      <c r="Q1337" t="s">
        <v>352</v>
      </c>
      <c r="R1337">
        <v>1</v>
      </c>
      <c r="S1337">
        <v>14.944800000000001</v>
      </c>
      <c r="T1337">
        <v>9.0999999999999998E-2</v>
      </c>
      <c r="U1337">
        <v>1.3362637362637257</v>
      </c>
      <c r="V1337">
        <v>14.671800000000001</v>
      </c>
      <c r="W1337">
        <v>14.7628</v>
      </c>
      <c r="X1337">
        <v>14.853800000000001</v>
      </c>
      <c r="Y1337">
        <v>15.0358</v>
      </c>
      <c r="Z1337">
        <v>15.126800000000001</v>
      </c>
      <c r="AA1337">
        <v>15.2178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 t="s">
        <v>462</v>
      </c>
      <c r="AL1337" t="s">
        <v>6</v>
      </c>
      <c r="AM1337" t="s">
        <v>1145</v>
      </c>
      <c r="AN1337" t="s">
        <v>1146</v>
      </c>
      <c r="AO1337" s="100">
        <v>46262.040405092594</v>
      </c>
      <c r="AP1337" t="s">
        <v>1147</v>
      </c>
      <c r="AQ1337" t="s">
        <v>3901</v>
      </c>
      <c r="AR1337" t="s">
        <v>1197</v>
      </c>
      <c r="AS1337" t="s">
        <v>1150</v>
      </c>
      <c r="AT1337" t="s">
        <v>3781</v>
      </c>
      <c r="AU1337">
        <v>25</v>
      </c>
      <c r="AV1337">
        <v>14.942495999999998</v>
      </c>
      <c r="AW1337">
        <v>0.10446846605555164</v>
      </c>
      <c r="AX1337">
        <v>0.69913665063421571</v>
      </c>
      <c r="AY1337">
        <v>0.87643965749547414</v>
      </c>
      <c r="AZ1337">
        <v>2.0300151310419299</v>
      </c>
      <c r="BB1337" t="s">
        <v>4620</v>
      </c>
      <c r="BD1337" s="98"/>
      <c r="BE1337" s="98"/>
      <c r="BF1337" t="s">
        <v>1152</v>
      </c>
      <c r="BG1337" t="s">
        <v>322</v>
      </c>
      <c r="BH1337" t="s">
        <v>1153</v>
      </c>
      <c r="BI1337">
        <v>0.87643965749547414</v>
      </c>
      <c r="BN1337" t="s">
        <v>1154</v>
      </c>
      <c r="BO1337">
        <v>2025</v>
      </c>
      <c r="BP1337" t="s">
        <v>966</v>
      </c>
      <c r="BZ1337" t="s">
        <v>1513</v>
      </c>
      <c r="CA1337" t="s">
        <v>1513</v>
      </c>
      <c r="CB1337" t="b">
        <v>0</v>
      </c>
      <c r="CC1337" t="b">
        <v>0</v>
      </c>
      <c r="CD1337" t="b">
        <v>0</v>
      </c>
      <c r="CE1337" t="b">
        <v>0</v>
      </c>
      <c r="CF1337" t="b">
        <v>0</v>
      </c>
    </row>
    <row r="1338" spans="1:84" x14ac:dyDescent="0.3">
      <c r="A1338" t="s">
        <v>3902</v>
      </c>
      <c r="B1338" t="s">
        <v>1199</v>
      </c>
      <c r="C1338" s="98">
        <v>45740</v>
      </c>
      <c r="D1338">
        <v>2025</v>
      </c>
      <c r="E1338">
        <v>3</v>
      </c>
      <c r="F1338">
        <v>1</v>
      </c>
      <c r="G1338" t="s">
        <v>1187</v>
      </c>
      <c r="H1338" t="s">
        <v>148</v>
      </c>
      <c r="I1338" t="s">
        <v>148</v>
      </c>
      <c r="J1338" t="s">
        <v>6</v>
      </c>
      <c r="L1338">
        <v>522611</v>
      </c>
      <c r="M1338" s="99" t="s">
        <v>180</v>
      </c>
      <c r="N1338">
        <v>3</v>
      </c>
      <c r="O1338">
        <v>12</v>
      </c>
      <c r="P1338">
        <v>14.8325</v>
      </c>
      <c r="Q1338" t="s">
        <v>352</v>
      </c>
      <c r="R1338">
        <v>1</v>
      </c>
      <c r="S1338">
        <v>14.944800000000001</v>
      </c>
      <c r="T1338">
        <v>9.0999999999999998E-2</v>
      </c>
      <c r="U1338">
        <v>-1.234065934065947</v>
      </c>
      <c r="V1338">
        <v>14.671800000000001</v>
      </c>
      <c r="W1338">
        <v>14.7628</v>
      </c>
      <c r="X1338">
        <v>14.853800000000001</v>
      </c>
      <c r="Y1338">
        <v>15.0358</v>
      </c>
      <c r="Z1338">
        <v>15.126800000000001</v>
      </c>
      <c r="AA1338">
        <v>15.2178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 t="s">
        <v>462</v>
      </c>
      <c r="AL1338" t="s">
        <v>6</v>
      </c>
      <c r="AM1338" t="s">
        <v>1145</v>
      </c>
      <c r="AN1338" t="s">
        <v>1146</v>
      </c>
      <c r="AO1338" s="100">
        <v>46262.040405092594</v>
      </c>
      <c r="AP1338" t="s">
        <v>1147</v>
      </c>
      <c r="AQ1338" t="s">
        <v>3903</v>
      </c>
      <c r="AR1338" t="s">
        <v>1201</v>
      </c>
      <c r="AS1338" t="s">
        <v>1150</v>
      </c>
      <c r="AT1338" t="s">
        <v>3781</v>
      </c>
      <c r="AU1338">
        <v>25</v>
      </c>
      <c r="AV1338">
        <v>14.942495999999998</v>
      </c>
      <c r="AW1338">
        <v>0.10446846605555164</v>
      </c>
      <c r="AX1338">
        <v>0.69913665063421571</v>
      </c>
      <c r="AY1338">
        <v>0.87643965749547414</v>
      </c>
      <c r="AZ1338">
        <v>2.0300151310419299</v>
      </c>
      <c r="BB1338" t="s">
        <v>4620</v>
      </c>
      <c r="BD1338" s="98"/>
      <c r="BE1338" s="98"/>
      <c r="BF1338" t="s">
        <v>1152</v>
      </c>
      <c r="BG1338" t="s">
        <v>322</v>
      </c>
      <c r="BH1338" t="s">
        <v>1153</v>
      </c>
      <c r="BI1338">
        <v>0.87643965749547414</v>
      </c>
      <c r="BN1338" t="s">
        <v>1154</v>
      </c>
      <c r="BO1338">
        <v>2025</v>
      </c>
      <c r="BP1338" t="s">
        <v>966</v>
      </c>
      <c r="BZ1338" t="s">
        <v>1513</v>
      </c>
      <c r="CA1338" t="s">
        <v>1513</v>
      </c>
      <c r="CB1338" t="b">
        <v>0</v>
      </c>
      <c r="CC1338" t="b">
        <v>0</v>
      </c>
      <c r="CD1338" t="b">
        <v>0</v>
      </c>
      <c r="CE1338" t="b">
        <v>0</v>
      </c>
      <c r="CF1338" t="b">
        <v>0</v>
      </c>
    </row>
    <row r="1339" spans="1:84" x14ac:dyDescent="0.3">
      <c r="A1339" t="s">
        <v>3904</v>
      </c>
      <c r="B1339" t="s">
        <v>1203</v>
      </c>
      <c r="C1339" s="98">
        <v>45747</v>
      </c>
      <c r="D1339">
        <v>2025</v>
      </c>
      <c r="E1339">
        <v>3</v>
      </c>
      <c r="F1339">
        <v>1</v>
      </c>
      <c r="G1339" t="s">
        <v>1187</v>
      </c>
      <c r="H1339" t="s">
        <v>148</v>
      </c>
      <c r="I1339" t="s">
        <v>148</v>
      </c>
      <c r="J1339" t="s">
        <v>6</v>
      </c>
      <c r="L1339">
        <v>522611</v>
      </c>
      <c r="M1339" s="99" t="s">
        <v>180</v>
      </c>
      <c r="N1339">
        <v>3</v>
      </c>
      <c r="O1339">
        <v>13</v>
      </c>
      <c r="P1339">
        <v>14.925700000000001</v>
      </c>
      <c r="Q1339" t="s">
        <v>352</v>
      </c>
      <c r="R1339">
        <v>1</v>
      </c>
      <c r="S1339">
        <v>14.944800000000001</v>
      </c>
      <c r="T1339">
        <v>9.0999999999999998E-2</v>
      </c>
      <c r="U1339">
        <v>-0.20989010989010873</v>
      </c>
      <c r="V1339">
        <v>14.671800000000001</v>
      </c>
      <c r="W1339">
        <v>14.7628</v>
      </c>
      <c r="X1339">
        <v>14.853800000000001</v>
      </c>
      <c r="Y1339">
        <v>15.0358</v>
      </c>
      <c r="Z1339">
        <v>15.126800000000001</v>
      </c>
      <c r="AA1339">
        <v>15.2178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 t="s">
        <v>462</v>
      </c>
      <c r="AL1339" t="s">
        <v>6</v>
      </c>
      <c r="AM1339" t="s">
        <v>1145</v>
      </c>
      <c r="AN1339" t="s">
        <v>1146</v>
      </c>
      <c r="AO1339" s="100">
        <v>46262.040405092594</v>
      </c>
      <c r="AP1339" t="s">
        <v>1147</v>
      </c>
      <c r="AQ1339" t="s">
        <v>3905</v>
      </c>
      <c r="AR1339" t="s">
        <v>1205</v>
      </c>
      <c r="AS1339" t="s">
        <v>1150</v>
      </c>
      <c r="AT1339" t="s">
        <v>3781</v>
      </c>
      <c r="AU1339">
        <v>25</v>
      </c>
      <c r="AV1339">
        <v>14.942495999999998</v>
      </c>
      <c r="AW1339">
        <v>0.10446846605555164</v>
      </c>
      <c r="AX1339">
        <v>0.69913665063421571</v>
      </c>
      <c r="AY1339">
        <v>0.87643965749547414</v>
      </c>
      <c r="AZ1339">
        <v>2.0300151310419299</v>
      </c>
      <c r="BB1339" t="s">
        <v>4620</v>
      </c>
      <c r="BD1339" s="98"/>
      <c r="BE1339" s="98"/>
      <c r="BF1339" t="s">
        <v>1152</v>
      </c>
      <c r="BG1339" t="s">
        <v>322</v>
      </c>
      <c r="BH1339" t="s">
        <v>1153</v>
      </c>
      <c r="BI1339">
        <v>0.87643965749547414</v>
      </c>
      <c r="BN1339" t="s">
        <v>1154</v>
      </c>
      <c r="BO1339">
        <v>2025</v>
      </c>
      <c r="BP1339" t="s">
        <v>966</v>
      </c>
      <c r="BZ1339" t="s">
        <v>1513</v>
      </c>
      <c r="CA1339" t="s">
        <v>1513</v>
      </c>
      <c r="CB1339" t="b">
        <v>0</v>
      </c>
      <c r="CC1339" t="b">
        <v>0</v>
      </c>
      <c r="CD1339" t="b">
        <v>0</v>
      </c>
      <c r="CE1339" t="b">
        <v>0</v>
      </c>
      <c r="CF1339" t="b">
        <v>0</v>
      </c>
    </row>
    <row r="1340" spans="1:84" x14ac:dyDescent="0.3">
      <c r="A1340" t="s">
        <v>3906</v>
      </c>
      <c r="B1340" t="s">
        <v>1207</v>
      </c>
      <c r="C1340" s="98">
        <v>45754</v>
      </c>
      <c r="D1340">
        <v>2025</v>
      </c>
      <c r="E1340">
        <v>4</v>
      </c>
      <c r="F1340">
        <v>2</v>
      </c>
      <c r="G1340" t="s">
        <v>1208</v>
      </c>
      <c r="H1340" t="s">
        <v>148</v>
      </c>
      <c r="I1340" t="s">
        <v>148</v>
      </c>
      <c r="J1340" t="s">
        <v>6</v>
      </c>
      <c r="L1340">
        <v>522611</v>
      </c>
      <c r="M1340" s="99" t="s">
        <v>180</v>
      </c>
      <c r="N1340">
        <v>3</v>
      </c>
      <c r="O1340">
        <v>14</v>
      </c>
      <c r="P1340">
        <v>14.9702</v>
      </c>
      <c r="Q1340" t="s">
        <v>352</v>
      </c>
      <c r="R1340">
        <v>1</v>
      </c>
      <c r="S1340">
        <v>14.944800000000001</v>
      </c>
      <c r="T1340">
        <v>9.0999999999999998E-2</v>
      </c>
      <c r="U1340">
        <v>0.2791208791208728</v>
      </c>
      <c r="V1340">
        <v>14.671800000000001</v>
      </c>
      <c r="W1340">
        <v>14.7628</v>
      </c>
      <c r="X1340">
        <v>14.853800000000001</v>
      </c>
      <c r="Y1340">
        <v>15.0358</v>
      </c>
      <c r="Z1340">
        <v>15.126800000000001</v>
      </c>
      <c r="AA1340">
        <v>15.2178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 t="s">
        <v>462</v>
      </c>
      <c r="AL1340" t="s">
        <v>6</v>
      </c>
      <c r="AM1340" t="s">
        <v>1145</v>
      </c>
      <c r="AN1340" t="s">
        <v>1146</v>
      </c>
      <c r="AO1340" s="100">
        <v>46262.040405092594</v>
      </c>
      <c r="AP1340" t="s">
        <v>1147</v>
      </c>
      <c r="AQ1340" t="s">
        <v>3907</v>
      </c>
      <c r="AR1340" t="s">
        <v>1210</v>
      </c>
      <c r="AS1340" t="s">
        <v>1150</v>
      </c>
      <c r="AT1340" t="s">
        <v>3781</v>
      </c>
      <c r="AU1340">
        <v>25</v>
      </c>
      <c r="AV1340">
        <v>14.942495999999998</v>
      </c>
      <c r="AW1340">
        <v>0.10446846605555164</v>
      </c>
      <c r="AX1340">
        <v>0.69913665063421571</v>
      </c>
      <c r="AY1340">
        <v>0.87643965749547414</v>
      </c>
      <c r="AZ1340">
        <v>2.0300151310419299</v>
      </c>
      <c r="BB1340" t="s">
        <v>4620</v>
      </c>
      <c r="BD1340" s="98"/>
      <c r="BE1340" s="98"/>
      <c r="BF1340" t="s">
        <v>1152</v>
      </c>
      <c r="BG1340" t="s">
        <v>322</v>
      </c>
      <c r="BH1340" t="s">
        <v>1153</v>
      </c>
      <c r="BI1340">
        <v>0.87643965749547414</v>
      </c>
      <c r="BN1340" t="s">
        <v>1154</v>
      </c>
      <c r="BO1340">
        <v>2025</v>
      </c>
      <c r="BP1340" t="s">
        <v>966</v>
      </c>
      <c r="BZ1340" t="s">
        <v>1513</v>
      </c>
      <c r="CA1340" t="s">
        <v>1513</v>
      </c>
      <c r="CB1340" t="b">
        <v>0</v>
      </c>
      <c r="CC1340" t="b">
        <v>0</v>
      </c>
      <c r="CD1340" t="b">
        <v>0</v>
      </c>
      <c r="CE1340" t="b">
        <v>0</v>
      </c>
      <c r="CF1340" t="b">
        <v>0</v>
      </c>
    </row>
    <row r="1341" spans="1:84" x14ac:dyDescent="0.3">
      <c r="A1341" t="s">
        <v>3908</v>
      </c>
      <c r="B1341" t="s">
        <v>1212</v>
      </c>
      <c r="C1341" s="98">
        <v>45761</v>
      </c>
      <c r="D1341">
        <v>2025</v>
      </c>
      <c r="E1341">
        <v>4</v>
      </c>
      <c r="F1341">
        <v>2</v>
      </c>
      <c r="G1341" t="s">
        <v>1208</v>
      </c>
      <c r="H1341" t="s">
        <v>148</v>
      </c>
      <c r="I1341" t="s">
        <v>148</v>
      </c>
      <c r="J1341" t="s">
        <v>6</v>
      </c>
      <c r="L1341">
        <v>522611</v>
      </c>
      <c r="M1341" s="99" t="s">
        <v>180</v>
      </c>
      <c r="N1341">
        <v>3</v>
      </c>
      <c r="O1341">
        <v>15</v>
      </c>
      <c r="P1341">
        <v>15.0251</v>
      </c>
      <c r="Q1341" t="s">
        <v>352</v>
      </c>
      <c r="R1341">
        <v>1</v>
      </c>
      <c r="S1341">
        <v>14.944800000000001</v>
      </c>
      <c r="T1341">
        <v>9.0999999999999998E-2</v>
      </c>
      <c r="U1341">
        <v>0.88241758241757551</v>
      </c>
      <c r="V1341">
        <v>14.671800000000001</v>
      </c>
      <c r="W1341">
        <v>14.7628</v>
      </c>
      <c r="X1341">
        <v>14.853800000000001</v>
      </c>
      <c r="Y1341">
        <v>15.0358</v>
      </c>
      <c r="Z1341">
        <v>15.126800000000001</v>
      </c>
      <c r="AA1341">
        <v>15.2178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 t="s">
        <v>462</v>
      </c>
      <c r="AL1341" t="s">
        <v>6</v>
      </c>
      <c r="AM1341" t="s">
        <v>1145</v>
      </c>
      <c r="AN1341" t="s">
        <v>1146</v>
      </c>
      <c r="AO1341" s="100">
        <v>46262.040405092594</v>
      </c>
      <c r="AP1341" t="s">
        <v>1147</v>
      </c>
      <c r="AQ1341" t="s">
        <v>3909</v>
      </c>
      <c r="AR1341" t="s">
        <v>1215</v>
      </c>
      <c r="AS1341" t="s">
        <v>1150</v>
      </c>
      <c r="AT1341" t="s">
        <v>3781</v>
      </c>
      <c r="AU1341">
        <v>25</v>
      </c>
      <c r="AV1341">
        <v>14.942495999999998</v>
      </c>
      <c r="AW1341">
        <v>0.10446846605555164</v>
      </c>
      <c r="AX1341">
        <v>0.69913665063421571</v>
      </c>
      <c r="AY1341">
        <v>0.87643965749547414</v>
      </c>
      <c r="AZ1341">
        <v>2.0300151310419299</v>
      </c>
      <c r="BB1341" t="s">
        <v>4620</v>
      </c>
      <c r="BD1341" s="98"/>
      <c r="BE1341" s="98"/>
      <c r="BF1341" t="s">
        <v>1152</v>
      </c>
      <c r="BG1341" t="s">
        <v>322</v>
      </c>
      <c r="BH1341" t="s">
        <v>1153</v>
      </c>
      <c r="BI1341">
        <v>0.87643965749547414</v>
      </c>
      <c r="BN1341" t="s">
        <v>1154</v>
      </c>
      <c r="BO1341">
        <v>2025</v>
      </c>
      <c r="BP1341" t="s">
        <v>966</v>
      </c>
      <c r="BZ1341" t="s">
        <v>1513</v>
      </c>
      <c r="CA1341" t="s">
        <v>1513</v>
      </c>
      <c r="CB1341" t="b">
        <v>0</v>
      </c>
      <c r="CC1341" t="b">
        <v>0</v>
      </c>
      <c r="CD1341" t="b">
        <v>0</v>
      </c>
      <c r="CE1341" t="b">
        <v>0</v>
      </c>
      <c r="CF1341" t="b">
        <v>0</v>
      </c>
    </row>
    <row r="1342" spans="1:84" x14ac:dyDescent="0.3">
      <c r="A1342" t="s">
        <v>3910</v>
      </c>
      <c r="B1342" t="s">
        <v>1217</v>
      </c>
      <c r="C1342" s="98">
        <v>45768</v>
      </c>
      <c r="D1342">
        <v>2025</v>
      </c>
      <c r="E1342">
        <v>4</v>
      </c>
      <c r="F1342">
        <v>2</v>
      </c>
      <c r="G1342" t="s">
        <v>1208</v>
      </c>
      <c r="H1342" t="s">
        <v>148</v>
      </c>
      <c r="I1342" t="s">
        <v>148</v>
      </c>
      <c r="J1342" t="s">
        <v>6</v>
      </c>
      <c r="L1342">
        <v>522611</v>
      </c>
      <c r="M1342" s="99" t="s">
        <v>180</v>
      </c>
      <c r="N1342">
        <v>3</v>
      </c>
      <c r="O1342">
        <v>16</v>
      </c>
      <c r="P1342">
        <v>14.982699999999999</v>
      </c>
      <c r="Q1342" t="s">
        <v>352</v>
      </c>
      <c r="R1342">
        <v>1</v>
      </c>
      <c r="S1342">
        <v>14.944800000000001</v>
      </c>
      <c r="T1342">
        <v>9.0999999999999998E-2</v>
      </c>
      <c r="U1342">
        <v>0.41648351648350235</v>
      </c>
      <c r="V1342">
        <v>14.671800000000001</v>
      </c>
      <c r="W1342">
        <v>14.7628</v>
      </c>
      <c r="X1342">
        <v>14.853800000000001</v>
      </c>
      <c r="Y1342">
        <v>15.0358</v>
      </c>
      <c r="Z1342">
        <v>15.126800000000001</v>
      </c>
      <c r="AA1342">
        <v>15.2178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 t="s">
        <v>462</v>
      </c>
      <c r="AL1342" t="s">
        <v>6</v>
      </c>
      <c r="AM1342" t="s">
        <v>1145</v>
      </c>
      <c r="AN1342" t="s">
        <v>1146</v>
      </c>
      <c r="AO1342" s="100">
        <v>46262.040405092594</v>
      </c>
      <c r="AP1342" t="s">
        <v>1147</v>
      </c>
      <c r="AQ1342" t="s">
        <v>3911</v>
      </c>
      <c r="AR1342" t="s">
        <v>1219</v>
      </c>
      <c r="AS1342" t="s">
        <v>1150</v>
      </c>
      <c r="AT1342" t="s">
        <v>3781</v>
      </c>
      <c r="AU1342">
        <v>25</v>
      </c>
      <c r="AV1342">
        <v>14.942495999999998</v>
      </c>
      <c r="AW1342">
        <v>0.10446846605555164</v>
      </c>
      <c r="AX1342">
        <v>0.69913665063421571</v>
      </c>
      <c r="AY1342">
        <v>0.87643965749547414</v>
      </c>
      <c r="AZ1342">
        <v>2.0300151310419299</v>
      </c>
      <c r="BB1342" t="s">
        <v>4620</v>
      </c>
      <c r="BD1342" s="98"/>
      <c r="BE1342" s="98"/>
      <c r="BF1342" t="s">
        <v>1152</v>
      </c>
      <c r="BG1342" t="s">
        <v>322</v>
      </c>
      <c r="BH1342" t="s">
        <v>1153</v>
      </c>
      <c r="BI1342">
        <v>0.87643965749547414</v>
      </c>
      <c r="BN1342" t="s">
        <v>1154</v>
      </c>
      <c r="BO1342">
        <v>2025</v>
      </c>
      <c r="BP1342" t="s">
        <v>966</v>
      </c>
      <c r="BZ1342" t="s">
        <v>1513</v>
      </c>
      <c r="CA1342" t="s">
        <v>1513</v>
      </c>
      <c r="CB1342" t="b">
        <v>0</v>
      </c>
      <c r="CC1342" t="b">
        <v>0</v>
      </c>
      <c r="CD1342" t="b">
        <v>0</v>
      </c>
      <c r="CE1342" t="b">
        <v>0</v>
      </c>
      <c r="CF1342" t="b">
        <v>0</v>
      </c>
    </row>
    <row r="1343" spans="1:84" x14ac:dyDescent="0.3">
      <c r="A1343" t="s">
        <v>3912</v>
      </c>
      <c r="B1343" t="s">
        <v>1221</v>
      </c>
      <c r="C1343" s="98">
        <v>45775</v>
      </c>
      <c r="D1343">
        <v>2025</v>
      </c>
      <c r="E1343">
        <v>4</v>
      </c>
      <c r="F1343">
        <v>2</v>
      </c>
      <c r="G1343" t="s">
        <v>1208</v>
      </c>
      <c r="H1343" t="s">
        <v>148</v>
      </c>
      <c r="I1343" t="s">
        <v>148</v>
      </c>
      <c r="J1343" t="s">
        <v>6</v>
      </c>
      <c r="L1343">
        <v>522611</v>
      </c>
      <c r="M1343" s="99" t="s">
        <v>180</v>
      </c>
      <c r="N1343">
        <v>3</v>
      </c>
      <c r="O1343">
        <v>17</v>
      </c>
      <c r="P1343">
        <v>14.98</v>
      </c>
      <c r="Q1343" t="s">
        <v>352</v>
      </c>
      <c r="R1343">
        <v>1</v>
      </c>
      <c r="S1343">
        <v>14.944800000000001</v>
      </c>
      <c r="T1343">
        <v>9.0999999999999998E-2</v>
      </c>
      <c r="U1343">
        <v>0.38681318681318327</v>
      </c>
      <c r="V1343">
        <v>14.671800000000001</v>
      </c>
      <c r="W1343">
        <v>14.7628</v>
      </c>
      <c r="X1343">
        <v>14.853800000000001</v>
      </c>
      <c r="Y1343">
        <v>15.0358</v>
      </c>
      <c r="Z1343">
        <v>15.126800000000001</v>
      </c>
      <c r="AA1343">
        <v>15.2178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 t="s">
        <v>462</v>
      </c>
      <c r="AL1343" t="s">
        <v>6</v>
      </c>
      <c r="AM1343" t="s">
        <v>1145</v>
      </c>
      <c r="AN1343" t="s">
        <v>1146</v>
      </c>
      <c r="AO1343" s="100">
        <v>46262.040405092594</v>
      </c>
      <c r="AP1343" t="s">
        <v>1147</v>
      </c>
      <c r="AQ1343" t="s">
        <v>3913</v>
      </c>
      <c r="AR1343" t="s">
        <v>1223</v>
      </c>
      <c r="AS1343" t="s">
        <v>1150</v>
      </c>
      <c r="AT1343" t="s">
        <v>3781</v>
      </c>
      <c r="AU1343">
        <v>25</v>
      </c>
      <c r="AV1343">
        <v>14.942495999999998</v>
      </c>
      <c r="AW1343">
        <v>0.10446846605555164</v>
      </c>
      <c r="AX1343">
        <v>0.69913665063421571</v>
      </c>
      <c r="AY1343">
        <v>0.87643965749547414</v>
      </c>
      <c r="AZ1343">
        <v>2.0300151310419299</v>
      </c>
      <c r="BB1343" t="s">
        <v>4620</v>
      </c>
      <c r="BD1343" s="98"/>
      <c r="BE1343" s="98"/>
      <c r="BF1343" t="s">
        <v>1152</v>
      </c>
      <c r="BG1343" t="s">
        <v>322</v>
      </c>
      <c r="BH1343" t="s">
        <v>1153</v>
      </c>
      <c r="BI1343">
        <v>0.87643965749547414</v>
      </c>
      <c r="BN1343" t="s">
        <v>1154</v>
      </c>
      <c r="BO1343">
        <v>2025</v>
      </c>
      <c r="BP1343" t="s">
        <v>966</v>
      </c>
      <c r="BZ1343" t="s">
        <v>1513</v>
      </c>
      <c r="CA1343" t="s">
        <v>1513</v>
      </c>
      <c r="CB1343" t="b">
        <v>0</v>
      </c>
      <c r="CC1343" t="b">
        <v>0</v>
      </c>
      <c r="CD1343" t="b">
        <v>0</v>
      </c>
      <c r="CE1343" t="b">
        <v>0</v>
      </c>
      <c r="CF1343" t="b">
        <v>0</v>
      </c>
    </row>
    <row r="1344" spans="1:84" x14ac:dyDescent="0.3">
      <c r="A1344" t="s">
        <v>3914</v>
      </c>
      <c r="B1344" t="s">
        <v>1225</v>
      </c>
      <c r="C1344" s="98">
        <v>45782</v>
      </c>
      <c r="D1344">
        <v>2025</v>
      </c>
      <c r="E1344">
        <v>5</v>
      </c>
      <c r="F1344">
        <v>2</v>
      </c>
      <c r="G1344" t="s">
        <v>1226</v>
      </c>
      <c r="H1344" t="s">
        <v>148</v>
      </c>
      <c r="I1344" t="s">
        <v>148</v>
      </c>
      <c r="J1344" t="s">
        <v>6</v>
      </c>
      <c r="L1344">
        <v>522611</v>
      </c>
      <c r="M1344" s="99" t="s">
        <v>180</v>
      </c>
      <c r="N1344">
        <v>3</v>
      </c>
      <c r="O1344">
        <v>18</v>
      </c>
      <c r="P1344">
        <v>14.8756</v>
      </c>
      <c r="Q1344" t="s">
        <v>352</v>
      </c>
      <c r="R1344">
        <v>1</v>
      </c>
      <c r="S1344">
        <v>14.944800000000001</v>
      </c>
      <c r="T1344">
        <v>9.0999999999999998E-2</v>
      </c>
      <c r="U1344">
        <v>-0.76043956043956451</v>
      </c>
      <c r="V1344">
        <v>14.671800000000001</v>
      </c>
      <c r="W1344">
        <v>14.7628</v>
      </c>
      <c r="X1344">
        <v>14.853800000000001</v>
      </c>
      <c r="Y1344">
        <v>15.0358</v>
      </c>
      <c r="Z1344">
        <v>15.126800000000001</v>
      </c>
      <c r="AA1344">
        <v>15.2178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 t="s">
        <v>462</v>
      </c>
      <c r="AL1344" t="s">
        <v>6</v>
      </c>
      <c r="AM1344" t="s">
        <v>1145</v>
      </c>
      <c r="AN1344" t="s">
        <v>1146</v>
      </c>
      <c r="AO1344" s="100">
        <v>46262.040405092594</v>
      </c>
      <c r="AP1344" t="s">
        <v>1147</v>
      </c>
      <c r="AQ1344" t="s">
        <v>3915</v>
      </c>
      <c r="AR1344" t="s">
        <v>1228</v>
      </c>
      <c r="AS1344" t="s">
        <v>1150</v>
      </c>
      <c r="AT1344" t="s">
        <v>3781</v>
      </c>
      <c r="AU1344">
        <v>25</v>
      </c>
      <c r="AV1344">
        <v>14.942495999999998</v>
      </c>
      <c r="AW1344">
        <v>0.10446846605555164</v>
      </c>
      <c r="AX1344">
        <v>0.69913665063421571</v>
      </c>
      <c r="AY1344">
        <v>0.87643965749547414</v>
      </c>
      <c r="AZ1344">
        <v>2.0300151310419299</v>
      </c>
      <c r="BB1344" t="s">
        <v>4620</v>
      </c>
      <c r="BD1344" s="98"/>
      <c r="BE1344" s="98"/>
      <c r="BF1344" t="s">
        <v>1152</v>
      </c>
      <c r="BG1344" t="s">
        <v>322</v>
      </c>
      <c r="BH1344" t="s">
        <v>1153</v>
      </c>
      <c r="BI1344">
        <v>0.87643965749547414</v>
      </c>
      <c r="BN1344" t="s">
        <v>1154</v>
      </c>
      <c r="BO1344">
        <v>2025</v>
      </c>
      <c r="BP1344" t="s">
        <v>966</v>
      </c>
      <c r="BZ1344" t="s">
        <v>1513</v>
      </c>
      <c r="CA1344" t="s">
        <v>1513</v>
      </c>
      <c r="CB1344" t="b">
        <v>0</v>
      </c>
      <c r="CC1344" t="b">
        <v>0</v>
      </c>
      <c r="CD1344" t="b">
        <v>0</v>
      </c>
      <c r="CE1344" t="b">
        <v>0</v>
      </c>
      <c r="CF1344" t="b">
        <v>0</v>
      </c>
    </row>
    <row r="1345" spans="1:84" x14ac:dyDescent="0.3">
      <c r="A1345" t="s">
        <v>3916</v>
      </c>
      <c r="B1345" t="s">
        <v>1230</v>
      </c>
      <c r="C1345" s="98">
        <v>45789</v>
      </c>
      <c r="D1345">
        <v>2025</v>
      </c>
      <c r="E1345">
        <v>5</v>
      </c>
      <c r="F1345">
        <v>2</v>
      </c>
      <c r="G1345" t="s">
        <v>1226</v>
      </c>
      <c r="H1345" t="s">
        <v>148</v>
      </c>
      <c r="I1345" t="s">
        <v>148</v>
      </c>
      <c r="J1345" t="s">
        <v>6</v>
      </c>
      <c r="L1345">
        <v>522611</v>
      </c>
      <c r="M1345" s="99" t="s">
        <v>180</v>
      </c>
      <c r="N1345">
        <v>3</v>
      </c>
      <c r="O1345">
        <v>19</v>
      </c>
      <c r="P1345">
        <v>14.827500000000001</v>
      </c>
      <c r="Q1345" t="s">
        <v>352</v>
      </c>
      <c r="R1345">
        <v>1</v>
      </c>
      <c r="S1345">
        <v>14.944800000000001</v>
      </c>
      <c r="T1345">
        <v>9.0999999999999998E-2</v>
      </c>
      <c r="U1345">
        <v>-1.2890109890109911</v>
      </c>
      <c r="V1345">
        <v>14.671800000000001</v>
      </c>
      <c r="W1345">
        <v>14.7628</v>
      </c>
      <c r="X1345">
        <v>14.853800000000001</v>
      </c>
      <c r="Y1345">
        <v>15.0358</v>
      </c>
      <c r="Z1345">
        <v>15.126800000000001</v>
      </c>
      <c r="AA1345">
        <v>15.2178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 t="s">
        <v>462</v>
      </c>
      <c r="AL1345" t="s">
        <v>6</v>
      </c>
      <c r="AM1345" t="s">
        <v>1145</v>
      </c>
      <c r="AN1345" t="s">
        <v>1146</v>
      </c>
      <c r="AO1345" s="100">
        <v>46262.040405092594</v>
      </c>
      <c r="AP1345" t="s">
        <v>1147</v>
      </c>
      <c r="AQ1345" t="s">
        <v>3917</v>
      </c>
      <c r="AR1345" t="s">
        <v>1232</v>
      </c>
      <c r="AS1345" t="s">
        <v>1150</v>
      </c>
      <c r="AT1345" t="s">
        <v>3781</v>
      </c>
      <c r="AU1345">
        <v>25</v>
      </c>
      <c r="AV1345">
        <v>14.942495999999998</v>
      </c>
      <c r="AW1345">
        <v>0.10446846605555164</v>
      </c>
      <c r="AX1345">
        <v>0.69913665063421571</v>
      </c>
      <c r="AY1345">
        <v>0.87643965749547414</v>
      </c>
      <c r="AZ1345">
        <v>2.0300151310419299</v>
      </c>
      <c r="BB1345" t="s">
        <v>4620</v>
      </c>
      <c r="BD1345" s="98"/>
      <c r="BE1345" s="98"/>
      <c r="BF1345" t="s">
        <v>1152</v>
      </c>
      <c r="BG1345" t="s">
        <v>322</v>
      </c>
      <c r="BH1345" t="s">
        <v>1153</v>
      </c>
      <c r="BI1345">
        <v>0.87643965749547414</v>
      </c>
      <c r="BN1345" t="s">
        <v>1154</v>
      </c>
      <c r="BO1345">
        <v>2025</v>
      </c>
      <c r="BP1345" t="s">
        <v>966</v>
      </c>
      <c r="BZ1345" t="s">
        <v>1513</v>
      </c>
      <c r="CA1345" t="s">
        <v>1513</v>
      </c>
      <c r="CB1345" t="b">
        <v>0</v>
      </c>
      <c r="CC1345" t="b">
        <v>0</v>
      </c>
      <c r="CD1345" t="b">
        <v>0</v>
      </c>
      <c r="CE1345" t="b">
        <v>0</v>
      </c>
      <c r="CF1345" t="b">
        <v>0</v>
      </c>
    </row>
    <row r="1346" spans="1:84" x14ac:dyDescent="0.3">
      <c r="A1346" t="s">
        <v>3918</v>
      </c>
      <c r="B1346" t="s">
        <v>1234</v>
      </c>
      <c r="C1346" s="98">
        <v>45796</v>
      </c>
      <c r="D1346">
        <v>2025</v>
      </c>
      <c r="E1346">
        <v>5</v>
      </c>
      <c r="F1346">
        <v>2</v>
      </c>
      <c r="G1346" t="s">
        <v>1226</v>
      </c>
      <c r="H1346" t="s">
        <v>148</v>
      </c>
      <c r="I1346" t="s">
        <v>148</v>
      </c>
      <c r="J1346" t="s">
        <v>6</v>
      </c>
      <c r="L1346">
        <v>522611</v>
      </c>
      <c r="M1346" s="99" t="s">
        <v>180</v>
      </c>
      <c r="N1346">
        <v>3</v>
      </c>
      <c r="O1346">
        <v>20</v>
      </c>
      <c r="P1346">
        <v>14.9504</v>
      </c>
      <c r="Q1346" t="s">
        <v>352</v>
      </c>
      <c r="R1346">
        <v>1</v>
      </c>
      <c r="S1346">
        <v>14.944800000000001</v>
      </c>
      <c r="T1346">
        <v>9.0999999999999998E-2</v>
      </c>
      <c r="U1346">
        <v>6.1538461538454763E-2</v>
      </c>
      <c r="V1346">
        <v>14.671800000000001</v>
      </c>
      <c r="W1346">
        <v>14.7628</v>
      </c>
      <c r="X1346">
        <v>14.853800000000001</v>
      </c>
      <c r="Y1346">
        <v>15.0358</v>
      </c>
      <c r="Z1346">
        <v>15.126800000000001</v>
      </c>
      <c r="AA1346">
        <v>15.2178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 t="s">
        <v>462</v>
      </c>
      <c r="AL1346" t="s">
        <v>6</v>
      </c>
      <c r="AM1346" t="s">
        <v>1145</v>
      </c>
      <c r="AN1346" t="s">
        <v>1146</v>
      </c>
      <c r="AO1346" s="100">
        <v>46262.040405092594</v>
      </c>
      <c r="AP1346" t="s">
        <v>1147</v>
      </c>
      <c r="AQ1346" t="s">
        <v>3919</v>
      </c>
      <c r="AR1346" t="s">
        <v>1236</v>
      </c>
      <c r="AS1346" t="s">
        <v>1150</v>
      </c>
      <c r="AT1346" t="s">
        <v>3781</v>
      </c>
      <c r="AU1346">
        <v>25</v>
      </c>
      <c r="AV1346">
        <v>14.942495999999998</v>
      </c>
      <c r="AW1346">
        <v>0.10446846605555164</v>
      </c>
      <c r="AX1346">
        <v>0.69913665063421571</v>
      </c>
      <c r="AY1346">
        <v>0.87643965749547414</v>
      </c>
      <c r="AZ1346">
        <v>2.0300151310419299</v>
      </c>
      <c r="BB1346" t="s">
        <v>4620</v>
      </c>
      <c r="BD1346" s="98"/>
      <c r="BE1346" s="98"/>
      <c r="BF1346" t="s">
        <v>1152</v>
      </c>
      <c r="BG1346" t="s">
        <v>322</v>
      </c>
      <c r="BH1346" t="s">
        <v>1153</v>
      </c>
      <c r="BI1346">
        <v>0.87643965749547414</v>
      </c>
      <c r="BN1346" t="s">
        <v>1154</v>
      </c>
      <c r="BO1346">
        <v>2025</v>
      </c>
      <c r="BP1346" t="s">
        <v>966</v>
      </c>
      <c r="BZ1346" t="s">
        <v>1513</v>
      </c>
      <c r="CA1346" t="s">
        <v>1513</v>
      </c>
      <c r="CB1346" t="b">
        <v>0</v>
      </c>
      <c r="CC1346" t="b">
        <v>0</v>
      </c>
      <c r="CD1346" t="b">
        <v>0</v>
      </c>
      <c r="CE1346" t="b">
        <v>0</v>
      </c>
      <c r="CF1346" t="b">
        <v>0</v>
      </c>
    </row>
    <row r="1347" spans="1:84" x14ac:dyDescent="0.3">
      <c r="A1347" t="s">
        <v>3920</v>
      </c>
      <c r="B1347" t="s">
        <v>1238</v>
      </c>
      <c r="C1347" s="98">
        <v>45803</v>
      </c>
      <c r="D1347">
        <v>2025</v>
      </c>
      <c r="E1347">
        <v>5</v>
      </c>
      <c r="F1347">
        <v>2</v>
      </c>
      <c r="G1347" t="s">
        <v>1226</v>
      </c>
      <c r="H1347" t="s">
        <v>148</v>
      </c>
      <c r="I1347" t="s">
        <v>148</v>
      </c>
      <c r="J1347" t="s">
        <v>6</v>
      </c>
      <c r="L1347">
        <v>522611</v>
      </c>
      <c r="M1347" s="99" t="s">
        <v>180</v>
      </c>
      <c r="N1347">
        <v>3</v>
      </c>
      <c r="O1347">
        <v>21</v>
      </c>
      <c r="P1347">
        <v>14.8802</v>
      </c>
      <c r="Q1347" t="s">
        <v>352</v>
      </c>
      <c r="R1347">
        <v>1</v>
      </c>
      <c r="S1347">
        <v>14.944800000000001</v>
      </c>
      <c r="T1347">
        <v>9.0999999999999998E-2</v>
      </c>
      <c r="U1347">
        <v>-0.7098901098901147</v>
      </c>
      <c r="V1347">
        <v>14.671800000000001</v>
      </c>
      <c r="W1347">
        <v>14.7628</v>
      </c>
      <c r="X1347">
        <v>14.853800000000001</v>
      </c>
      <c r="Y1347">
        <v>15.0358</v>
      </c>
      <c r="Z1347">
        <v>15.126800000000001</v>
      </c>
      <c r="AA1347">
        <v>15.2178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 t="s">
        <v>462</v>
      </c>
      <c r="AL1347" t="s">
        <v>6</v>
      </c>
      <c r="AM1347" t="s">
        <v>1145</v>
      </c>
      <c r="AN1347" t="s">
        <v>1146</v>
      </c>
      <c r="AO1347" s="100">
        <v>46262.040405092594</v>
      </c>
      <c r="AP1347" t="s">
        <v>1147</v>
      </c>
      <c r="AQ1347" t="s">
        <v>3921</v>
      </c>
      <c r="AR1347" t="s">
        <v>1240</v>
      </c>
      <c r="AS1347" t="s">
        <v>1150</v>
      </c>
      <c r="AT1347" t="s">
        <v>3781</v>
      </c>
      <c r="AU1347">
        <v>25</v>
      </c>
      <c r="AV1347">
        <v>14.942495999999998</v>
      </c>
      <c r="AW1347">
        <v>0.10446846605555164</v>
      </c>
      <c r="AX1347">
        <v>0.69913665063421571</v>
      </c>
      <c r="AY1347">
        <v>0.87643965749547414</v>
      </c>
      <c r="AZ1347">
        <v>2.0300151310419299</v>
      </c>
      <c r="BB1347" t="s">
        <v>4620</v>
      </c>
      <c r="BD1347" s="98"/>
      <c r="BE1347" s="98"/>
      <c r="BF1347" t="s">
        <v>1152</v>
      </c>
      <c r="BG1347" t="s">
        <v>322</v>
      </c>
      <c r="BH1347" t="s">
        <v>1153</v>
      </c>
      <c r="BI1347">
        <v>0.87643965749547414</v>
      </c>
      <c r="BN1347" t="s">
        <v>1154</v>
      </c>
      <c r="BO1347">
        <v>2025</v>
      </c>
      <c r="BP1347" t="s">
        <v>966</v>
      </c>
      <c r="BZ1347" t="s">
        <v>1513</v>
      </c>
      <c r="CA1347" t="s">
        <v>1513</v>
      </c>
      <c r="CB1347" t="b">
        <v>0</v>
      </c>
      <c r="CC1347" t="b">
        <v>0</v>
      </c>
      <c r="CD1347" t="b">
        <v>0</v>
      </c>
      <c r="CE1347" t="b">
        <v>0</v>
      </c>
      <c r="CF1347" t="b">
        <v>0</v>
      </c>
    </row>
    <row r="1348" spans="1:84" x14ac:dyDescent="0.3">
      <c r="A1348" t="s">
        <v>3922</v>
      </c>
      <c r="B1348" t="s">
        <v>1242</v>
      </c>
      <c r="C1348" s="98">
        <v>45810</v>
      </c>
      <c r="D1348">
        <v>2025</v>
      </c>
      <c r="E1348">
        <v>6</v>
      </c>
      <c r="F1348">
        <v>2</v>
      </c>
      <c r="G1348" t="s">
        <v>1243</v>
      </c>
      <c r="H1348" t="s">
        <v>148</v>
      </c>
      <c r="I1348" t="s">
        <v>148</v>
      </c>
      <c r="J1348" t="s">
        <v>6</v>
      </c>
      <c r="L1348">
        <v>522611</v>
      </c>
      <c r="M1348" s="99" t="s">
        <v>180</v>
      </c>
      <c r="N1348">
        <v>3</v>
      </c>
      <c r="O1348">
        <v>22</v>
      </c>
      <c r="P1348">
        <v>14.825900000000001</v>
      </c>
      <c r="Q1348" t="s">
        <v>352</v>
      </c>
      <c r="R1348">
        <v>1</v>
      </c>
      <c r="S1348">
        <v>14.944800000000001</v>
      </c>
      <c r="T1348">
        <v>9.0999999999999998E-2</v>
      </c>
      <c r="U1348">
        <v>-1.3065934065934066</v>
      </c>
      <c r="V1348">
        <v>14.671800000000001</v>
      </c>
      <c r="W1348">
        <v>14.7628</v>
      </c>
      <c r="X1348">
        <v>14.853800000000001</v>
      </c>
      <c r="Y1348">
        <v>15.0358</v>
      </c>
      <c r="Z1348">
        <v>15.126800000000001</v>
      </c>
      <c r="AA1348">
        <v>15.2178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 t="s">
        <v>462</v>
      </c>
      <c r="AL1348" t="s">
        <v>6</v>
      </c>
      <c r="AM1348" t="s">
        <v>1145</v>
      </c>
      <c r="AN1348" t="s">
        <v>1146</v>
      </c>
      <c r="AO1348" s="100">
        <v>46262.040405092594</v>
      </c>
      <c r="AP1348" t="s">
        <v>1147</v>
      </c>
      <c r="AQ1348" t="s">
        <v>3923</v>
      </c>
      <c r="AR1348" t="s">
        <v>1245</v>
      </c>
      <c r="AS1348" t="s">
        <v>1150</v>
      </c>
      <c r="AT1348" t="s">
        <v>3781</v>
      </c>
      <c r="AU1348">
        <v>25</v>
      </c>
      <c r="AV1348">
        <v>14.942495999999998</v>
      </c>
      <c r="AW1348">
        <v>0.10446846605555164</v>
      </c>
      <c r="AX1348">
        <v>0.69913665063421571</v>
      </c>
      <c r="AY1348">
        <v>0.87643965749547414</v>
      </c>
      <c r="AZ1348">
        <v>2.0300151310419299</v>
      </c>
      <c r="BB1348" t="s">
        <v>4620</v>
      </c>
      <c r="BD1348" s="98"/>
      <c r="BE1348" s="98"/>
      <c r="BF1348" t="s">
        <v>1152</v>
      </c>
      <c r="BG1348" t="s">
        <v>322</v>
      </c>
      <c r="BH1348" t="s">
        <v>1153</v>
      </c>
      <c r="BI1348">
        <v>0.87643965749547414</v>
      </c>
      <c r="BN1348" t="s">
        <v>1154</v>
      </c>
      <c r="BO1348">
        <v>2025</v>
      </c>
      <c r="BP1348" t="s">
        <v>966</v>
      </c>
      <c r="BZ1348" t="s">
        <v>1513</v>
      </c>
      <c r="CA1348" t="s">
        <v>1513</v>
      </c>
      <c r="CB1348" t="b">
        <v>0</v>
      </c>
      <c r="CC1348" t="b">
        <v>0</v>
      </c>
      <c r="CD1348" t="b">
        <v>0</v>
      </c>
      <c r="CE1348" t="b">
        <v>0</v>
      </c>
      <c r="CF1348" t="b">
        <v>0</v>
      </c>
    </row>
    <row r="1349" spans="1:84" x14ac:dyDescent="0.3">
      <c r="A1349" t="s">
        <v>3924</v>
      </c>
      <c r="B1349" t="s">
        <v>1247</v>
      </c>
      <c r="C1349" s="98">
        <v>45817</v>
      </c>
      <c r="D1349">
        <v>2025</v>
      </c>
      <c r="E1349">
        <v>6</v>
      </c>
      <c r="F1349">
        <v>2</v>
      </c>
      <c r="G1349" t="s">
        <v>1243</v>
      </c>
      <c r="H1349" t="s">
        <v>148</v>
      </c>
      <c r="I1349" t="s">
        <v>148</v>
      </c>
      <c r="J1349" t="s">
        <v>6</v>
      </c>
      <c r="L1349">
        <v>522611</v>
      </c>
      <c r="M1349" s="99" t="s">
        <v>180</v>
      </c>
      <c r="N1349">
        <v>3</v>
      </c>
      <c r="O1349">
        <v>23</v>
      </c>
      <c r="P1349">
        <v>14.829700000000001</v>
      </c>
      <c r="Q1349" t="s">
        <v>352</v>
      </c>
      <c r="R1349">
        <v>1</v>
      </c>
      <c r="S1349">
        <v>14.944800000000001</v>
      </c>
      <c r="T1349">
        <v>9.0999999999999998E-2</v>
      </c>
      <c r="U1349">
        <v>-1.2648351648351646</v>
      </c>
      <c r="V1349">
        <v>14.671800000000001</v>
      </c>
      <c r="W1349">
        <v>14.7628</v>
      </c>
      <c r="X1349">
        <v>14.853800000000001</v>
      </c>
      <c r="Y1349">
        <v>15.0358</v>
      </c>
      <c r="Z1349">
        <v>15.126800000000001</v>
      </c>
      <c r="AA1349">
        <v>15.2178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 t="s">
        <v>462</v>
      </c>
      <c r="AL1349" t="s">
        <v>6</v>
      </c>
      <c r="AM1349" t="s">
        <v>1145</v>
      </c>
      <c r="AN1349" t="s">
        <v>1146</v>
      </c>
      <c r="AO1349" s="100">
        <v>46262.040405092594</v>
      </c>
      <c r="AP1349" t="s">
        <v>1147</v>
      </c>
      <c r="AQ1349" t="s">
        <v>3925</v>
      </c>
      <c r="AR1349" t="s">
        <v>1249</v>
      </c>
      <c r="AS1349" t="s">
        <v>1150</v>
      </c>
      <c r="AT1349" t="s">
        <v>3781</v>
      </c>
      <c r="AU1349">
        <v>25</v>
      </c>
      <c r="AV1349">
        <v>14.942495999999998</v>
      </c>
      <c r="AW1349">
        <v>0.10446846605555164</v>
      </c>
      <c r="AX1349">
        <v>0.69913665063421571</v>
      </c>
      <c r="AY1349">
        <v>0.87643965749547414</v>
      </c>
      <c r="AZ1349">
        <v>2.0300151310419299</v>
      </c>
      <c r="BB1349" t="s">
        <v>4620</v>
      </c>
      <c r="BD1349" s="98"/>
      <c r="BE1349" s="98"/>
      <c r="BF1349" t="s">
        <v>1152</v>
      </c>
      <c r="BG1349" t="s">
        <v>322</v>
      </c>
      <c r="BH1349" t="s">
        <v>1153</v>
      </c>
      <c r="BI1349">
        <v>0.87643965749547414</v>
      </c>
      <c r="BN1349" t="s">
        <v>1154</v>
      </c>
      <c r="BO1349">
        <v>2025</v>
      </c>
      <c r="BP1349" t="s">
        <v>966</v>
      </c>
      <c r="BZ1349" t="s">
        <v>1513</v>
      </c>
      <c r="CA1349" t="s">
        <v>1513</v>
      </c>
      <c r="CB1349" t="b">
        <v>0</v>
      </c>
      <c r="CC1349" t="b">
        <v>0</v>
      </c>
      <c r="CD1349" t="b">
        <v>0</v>
      </c>
      <c r="CE1349" t="b">
        <v>0</v>
      </c>
      <c r="CF1349" t="b">
        <v>0</v>
      </c>
    </row>
    <row r="1350" spans="1:84" x14ac:dyDescent="0.3">
      <c r="A1350" t="s">
        <v>3926</v>
      </c>
      <c r="B1350" t="s">
        <v>1251</v>
      </c>
      <c r="C1350" s="98">
        <v>45824</v>
      </c>
      <c r="D1350">
        <v>2025</v>
      </c>
      <c r="E1350">
        <v>6</v>
      </c>
      <c r="F1350">
        <v>2</v>
      </c>
      <c r="G1350" t="s">
        <v>1243</v>
      </c>
      <c r="H1350" t="s">
        <v>148</v>
      </c>
      <c r="I1350" t="s">
        <v>148</v>
      </c>
      <c r="J1350" t="s">
        <v>6</v>
      </c>
      <c r="L1350">
        <v>522611</v>
      </c>
      <c r="M1350" s="99" t="s">
        <v>180</v>
      </c>
      <c r="N1350">
        <v>3</v>
      </c>
      <c r="O1350">
        <v>24</v>
      </c>
      <c r="P1350">
        <v>14.9002</v>
      </c>
      <c r="Q1350" t="s">
        <v>352</v>
      </c>
      <c r="R1350">
        <v>1</v>
      </c>
      <c r="S1350">
        <v>14.944800000000001</v>
      </c>
      <c r="T1350">
        <v>9.0999999999999998E-2</v>
      </c>
      <c r="U1350">
        <v>-0.49010989010989958</v>
      </c>
      <c r="V1350">
        <v>14.671800000000001</v>
      </c>
      <c r="W1350">
        <v>14.7628</v>
      </c>
      <c r="X1350">
        <v>14.853800000000001</v>
      </c>
      <c r="Y1350">
        <v>15.0358</v>
      </c>
      <c r="Z1350">
        <v>15.126800000000001</v>
      </c>
      <c r="AA1350">
        <v>15.2178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 t="s">
        <v>462</v>
      </c>
      <c r="AL1350" t="s">
        <v>6</v>
      </c>
      <c r="AM1350" t="s">
        <v>1145</v>
      </c>
      <c r="AN1350" t="s">
        <v>1146</v>
      </c>
      <c r="AO1350" s="100">
        <v>46262.040405092594</v>
      </c>
      <c r="AP1350" t="s">
        <v>1147</v>
      </c>
      <c r="AQ1350" t="s">
        <v>3927</v>
      </c>
      <c r="AR1350" t="s">
        <v>1253</v>
      </c>
      <c r="AS1350" t="s">
        <v>1150</v>
      </c>
      <c r="AT1350" t="s">
        <v>3781</v>
      </c>
      <c r="AU1350">
        <v>25</v>
      </c>
      <c r="AV1350">
        <v>14.942495999999998</v>
      </c>
      <c r="AW1350">
        <v>0.10446846605555164</v>
      </c>
      <c r="AX1350">
        <v>0.69913665063421571</v>
      </c>
      <c r="AY1350">
        <v>0.87643965749547414</v>
      </c>
      <c r="AZ1350">
        <v>2.0300151310419299</v>
      </c>
      <c r="BB1350" t="s">
        <v>4620</v>
      </c>
      <c r="BD1350" s="98"/>
      <c r="BE1350" s="98"/>
      <c r="BF1350" t="s">
        <v>1152</v>
      </c>
      <c r="BG1350" t="s">
        <v>322</v>
      </c>
      <c r="BH1350" t="s">
        <v>1153</v>
      </c>
      <c r="BI1350">
        <v>0.87643965749547414</v>
      </c>
      <c r="BN1350" t="s">
        <v>1154</v>
      </c>
      <c r="BO1350">
        <v>2025</v>
      </c>
      <c r="BP1350" t="s">
        <v>966</v>
      </c>
      <c r="BZ1350" t="s">
        <v>1513</v>
      </c>
      <c r="CA1350" t="s">
        <v>1513</v>
      </c>
      <c r="CB1350" t="b">
        <v>0</v>
      </c>
      <c r="CC1350" t="b">
        <v>0</v>
      </c>
      <c r="CD1350" t="b">
        <v>0</v>
      </c>
      <c r="CE1350" t="b">
        <v>0</v>
      </c>
      <c r="CF1350" t="b">
        <v>0</v>
      </c>
    </row>
    <row r="1351" spans="1:84" x14ac:dyDescent="0.3">
      <c r="A1351" t="s">
        <v>3928</v>
      </c>
      <c r="B1351" t="s">
        <v>1255</v>
      </c>
      <c r="C1351" s="98">
        <v>45831</v>
      </c>
      <c r="D1351">
        <v>2025</v>
      </c>
      <c r="E1351">
        <v>6</v>
      </c>
      <c r="F1351">
        <v>2</v>
      </c>
      <c r="G1351" t="s">
        <v>1243</v>
      </c>
      <c r="H1351" t="s">
        <v>148</v>
      </c>
      <c r="I1351" t="s">
        <v>148</v>
      </c>
      <c r="J1351" t="s">
        <v>6</v>
      </c>
      <c r="L1351">
        <v>522611</v>
      </c>
      <c r="M1351" s="99" t="s">
        <v>180</v>
      </c>
      <c r="N1351">
        <v>3</v>
      </c>
      <c r="O1351">
        <v>25</v>
      </c>
      <c r="P1351">
        <v>14.776300000000001</v>
      </c>
      <c r="Q1351" t="s">
        <v>352</v>
      </c>
      <c r="R1351">
        <v>1</v>
      </c>
      <c r="S1351">
        <v>14.944800000000001</v>
      </c>
      <c r="T1351">
        <v>9.0999999999999998E-2</v>
      </c>
      <c r="U1351">
        <v>-1.8516483516483504</v>
      </c>
      <c r="V1351">
        <v>14.671800000000001</v>
      </c>
      <c r="W1351">
        <v>14.7628</v>
      </c>
      <c r="X1351">
        <v>14.853800000000001</v>
      </c>
      <c r="Y1351">
        <v>15.0358</v>
      </c>
      <c r="Z1351">
        <v>15.126800000000001</v>
      </c>
      <c r="AA1351">
        <v>15.2178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 t="s">
        <v>462</v>
      </c>
      <c r="AL1351" t="s">
        <v>6</v>
      </c>
      <c r="AM1351" t="s">
        <v>1145</v>
      </c>
      <c r="AN1351" t="s">
        <v>1146</v>
      </c>
      <c r="AO1351" s="100">
        <v>46262.040405092594</v>
      </c>
      <c r="AP1351" t="s">
        <v>1147</v>
      </c>
      <c r="AQ1351" t="s">
        <v>3929</v>
      </c>
      <c r="AR1351" t="s">
        <v>1257</v>
      </c>
      <c r="AS1351" t="s">
        <v>1150</v>
      </c>
      <c r="AT1351" t="s">
        <v>3781</v>
      </c>
      <c r="AU1351">
        <v>25</v>
      </c>
      <c r="AV1351">
        <v>14.942495999999998</v>
      </c>
      <c r="AW1351">
        <v>0.10446846605555164</v>
      </c>
      <c r="AX1351">
        <v>0.69913665063421571</v>
      </c>
      <c r="AY1351">
        <v>0.87643965749547414</v>
      </c>
      <c r="AZ1351">
        <v>2.0300151310419299</v>
      </c>
      <c r="BB1351" t="s">
        <v>4620</v>
      </c>
      <c r="BD1351" s="98"/>
      <c r="BE1351" s="98"/>
      <c r="BF1351" t="s">
        <v>1152</v>
      </c>
      <c r="BG1351" t="s">
        <v>322</v>
      </c>
      <c r="BH1351" t="s">
        <v>1153</v>
      </c>
      <c r="BI1351">
        <v>0.87643965749547414</v>
      </c>
      <c r="BN1351" t="s">
        <v>1154</v>
      </c>
      <c r="BO1351">
        <v>2025</v>
      </c>
      <c r="BP1351" t="s">
        <v>966</v>
      </c>
      <c r="BZ1351" t="s">
        <v>1513</v>
      </c>
      <c r="CA1351" t="s">
        <v>1513</v>
      </c>
      <c r="CB1351" t="b">
        <v>0</v>
      </c>
      <c r="CC1351" t="b">
        <v>0</v>
      </c>
      <c r="CD1351" t="b">
        <v>0</v>
      </c>
      <c r="CE1351" t="b">
        <v>0</v>
      </c>
      <c r="CF1351" t="b">
        <v>0</v>
      </c>
    </row>
    <row r="1352" spans="1:84" x14ac:dyDescent="0.3">
      <c r="A1352" t="s">
        <v>3930</v>
      </c>
      <c r="B1352" t="s">
        <v>1143</v>
      </c>
      <c r="C1352" s="98">
        <v>45663</v>
      </c>
      <c r="D1352">
        <v>2025</v>
      </c>
      <c r="E1352">
        <v>1</v>
      </c>
      <c r="F1352">
        <v>1</v>
      </c>
      <c r="G1352" t="s">
        <v>1144</v>
      </c>
      <c r="H1352" t="s">
        <v>150</v>
      </c>
      <c r="I1352" t="s">
        <v>150</v>
      </c>
      <c r="J1352" t="s">
        <v>6</v>
      </c>
      <c r="L1352">
        <v>522611</v>
      </c>
      <c r="M1352" s="99" t="s">
        <v>178</v>
      </c>
      <c r="N1352">
        <v>1</v>
      </c>
      <c r="O1352">
        <v>1</v>
      </c>
      <c r="P1352">
        <v>4.2713999999999999</v>
      </c>
      <c r="Q1352" t="s">
        <v>352</v>
      </c>
      <c r="R1352">
        <v>1</v>
      </c>
      <c r="S1352">
        <v>4.6307</v>
      </c>
      <c r="T1352">
        <v>0.2666</v>
      </c>
      <c r="U1352">
        <v>-1.3477119279819962</v>
      </c>
      <c r="V1352">
        <v>3.8309000000000002</v>
      </c>
      <c r="W1352">
        <v>4.0975000000000001</v>
      </c>
      <c r="X1352">
        <v>4.3640999999999996</v>
      </c>
      <c r="Y1352">
        <v>4.8973000000000004</v>
      </c>
      <c r="Z1352">
        <v>5.1638999999999999</v>
      </c>
      <c r="AA1352">
        <v>5.4305000000000003</v>
      </c>
      <c r="AD1352">
        <v>22.797628473468187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 t="s">
        <v>462</v>
      </c>
      <c r="AL1352" t="s">
        <v>6</v>
      </c>
      <c r="AM1352" t="s">
        <v>1145</v>
      </c>
      <c r="AN1352" t="s">
        <v>1146</v>
      </c>
      <c r="AO1352" s="100">
        <v>46262.040405092594</v>
      </c>
      <c r="AP1352" t="s">
        <v>1147</v>
      </c>
      <c r="AQ1352" t="s">
        <v>3931</v>
      </c>
      <c r="AR1352" t="s">
        <v>1149</v>
      </c>
      <c r="AS1352" t="s">
        <v>1150</v>
      </c>
      <c r="AT1352" t="s">
        <v>3932</v>
      </c>
      <c r="AU1352">
        <v>25</v>
      </c>
      <c r="AV1352">
        <v>4.5726240000000002</v>
      </c>
      <c r="AW1352">
        <v>0.2743823522629204</v>
      </c>
      <c r="AX1352">
        <v>6.0005448132827102</v>
      </c>
      <c r="BB1352" t="s">
        <v>4619</v>
      </c>
      <c r="BD1352" s="98"/>
      <c r="BE1352" s="98"/>
      <c r="BF1352" t="s">
        <v>1152</v>
      </c>
      <c r="BG1352" t="s">
        <v>322</v>
      </c>
      <c r="BH1352" t="s">
        <v>1153</v>
      </c>
      <c r="BN1352" t="s">
        <v>1154</v>
      </c>
      <c r="BO1352">
        <v>2025</v>
      </c>
      <c r="BP1352" t="s">
        <v>966</v>
      </c>
      <c r="BZ1352" t="s">
        <v>1513</v>
      </c>
      <c r="CA1352" t="s">
        <v>1513</v>
      </c>
      <c r="CB1352" t="b">
        <v>0</v>
      </c>
      <c r="CC1352" t="b">
        <v>0</v>
      </c>
      <c r="CD1352" t="b">
        <v>0</v>
      </c>
      <c r="CE1352" t="b">
        <v>0</v>
      </c>
      <c r="CF1352" t="b">
        <v>0</v>
      </c>
    </row>
    <row r="1353" spans="1:84" x14ac:dyDescent="0.3">
      <c r="A1353" t="s">
        <v>3933</v>
      </c>
      <c r="B1353" t="s">
        <v>1157</v>
      </c>
      <c r="C1353" s="98">
        <v>45670</v>
      </c>
      <c r="D1353">
        <v>2025</v>
      </c>
      <c r="E1353">
        <v>1</v>
      </c>
      <c r="F1353">
        <v>1</v>
      </c>
      <c r="G1353" t="s">
        <v>1144</v>
      </c>
      <c r="H1353" t="s">
        <v>150</v>
      </c>
      <c r="I1353" t="s">
        <v>150</v>
      </c>
      <c r="J1353" t="s">
        <v>6</v>
      </c>
      <c r="L1353">
        <v>522611</v>
      </c>
      <c r="M1353" s="99" t="s">
        <v>178</v>
      </c>
      <c r="N1353">
        <v>1</v>
      </c>
      <c r="O1353">
        <v>2</v>
      </c>
      <c r="P1353">
        <v>4.1947000000000001</v>
      </c>
      <c r="Q1353" t="s">
        <v>352</v>
      </c>
      <c r="R1353">
        <v>1</v>
      </c>
      <c r="S1353">
        <v>4.6307</v>
      </c>
      <c r="T1353">
        <v>0.2666</v>
      </c>
      <c r="U1353">
        <v>-1.635408852213053</v>
      </c>
      <c r="V1353">
        <v>3.8309000000000002</v>
      </c>
      <c r="W1353">
        <v>4.0975000000000001</v>
      </c>
      <c r="X1353">
        <v>4.3640999999999996</v>
      </c>
      <c r="Y1353">
        <v>4.8973000000000004</v>
      </c>
      <c r="Z1353">
        <v>5.1638999999999999</v>
      </c>
      <c r="AA1353">
        <v>5.4305000000000003</v>
      </c>
      <c r="AD1353">
        <v>22.797628473468187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 t="s">
        <v>462</v>
      </c>
      <c r="AL1353" t="s">
        <v>6</v>
      </c>
      <c r="AM1353" t="s">
        <v>1145</v>
      </c>
      <c r="AN1353" t="s">
        <v>1146</v>
      </c>
      <c r="AO1353" s="100">
        <v>46262.040405092594</v>
      </c>
      <c r="AP1353" t="s">
        <v>1147</v>
      </c>
      <c r="AQ1353" t="s">
        <v>3934</v>
      </c>
      <c r="AR1353" t="s">
        <v>1159</v>
      </c>
      <c r="AS1353" t="s">
        <v>1150</v>
      </c>
      <c r="AT1353" t="s">
        <v>3932</v>
      </c>
      <c r="AU1353">
        <v>25</v>
      </c>
      <c r="AV1353">
        <v>4.5726240000000002</v>
      </c>
      <c r="AW1353">
        <v>0.2743823522629204</v>
      </c>
      <c r="AX1353">
        <v>6.0005448132827102</v>
      </c>
      <c r="BB1353" t="s">
        <v>4619</v>
      </c>
      <c r="BD1353" s="98"/>
      <c r="BE1353" s="98"/>
      <c r="BF1353" t="s">
        <v>1152</v>
      </c>
      <c r="BG1353" t="s">
        <v>322</v>
      </c>
      <c r="BH1353" t="s">
        <v>1153</v>
      </c>
      <c r="BN1353" t="s">
        <v>1154</v>
      </c>
      <c r="BO1353">
        <v>2025</v>
      </c>
      <c r="BP1353" t="s">
        <v>966</v>
      </c>
      <c r="BZ1353" t="s">
        <v>1513</v>
      </c>
      <c r="CA1353" t="s">
        <v>1513</v>
      </c>
      <c r="CB1353" t="b">
        <v>0</v>
      </c>
      <c r="CC1353" t="b">
        <v>0</v>
      </c>
      <c r="CD1353" t="b">
        <v>0</v>
      </c>
      <c r="CE1353" t="b">
        <v>0</v>
      </c>
      <c r="CF1353" t="b">
        <v>0</v>
      </c>
    </row>
    <row r="1354" spans="1:84" x14ac:dyDescent="0.3">
      <c r="A1354" t="s">
        <v>3935</v>
      </c>
      <c r="B1354" t="s">
        <v>1161</v>
      </c>
      <c r="C1354" s="98">
        <v>45677</v>
      </c>
      <c r="D1354">
        <v>2025</v>
      </c>
      <c r="E1354">
        <v>1</v>
      </c>
      <c r="F1354">
        <v>1</v>
      </c>
      <c r="G1354" t="s">
        <v>1144</v>
      </c>
      <c r="H1354" t="s">
        <v>150</v>
      </c>
      <c r="I1354" t="s">
        <v>150</v>
      </c>
      <c r="J1354" t="s">
        <v>6</v>
      </c>
      <c r="L1354">
        <v>522611</v>
      </c>
      <c r="M1354" s="99" t="s">
        <v>178</v>
      </c>
      <c r="N1354">
        <v>1</v>
      </c>
      <c r="O1354">
        <v>3</v>
      </c>
      <c r="P1354">
        <v>4.6792999999999996</v>
      </c>
      <c r="Q1354" t="s">
        <v>352</v>
      </c>
      <c r="R1354">
        <v>1</v>
      </c>
      <c r="S1354">
        <v>4.6307</v>
      </c>
      <c r="T1354">
        <v>0.2666</v>
      </c>
      <c r="U1354">
        <v>0.18229557389347162</v>
      </c>
      <c r="V1354">
        <v>3.8309000000000002</v>
      </c>
      <c r="W1354">
        <v>4.0975000000000001</v>
      </c>
      <c r="X1354">
        <v>4.3640999999999996</v>
      </c>
      <c r="Y1354">
        <v>4.8973000000000004</v>
      </c>
      <c r="Z1354">
        <v>5.1638999999999999</v>
      </c>
      <c r="AA1354">
        <v>5.4305000000000003</v>
      </c>
      <c r="AD1354">
        <v>22.797628473468187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 t="s">
        <v>462</v>
      </c>
      <c r="AL1354" t="s">
        <v>6</v>
      </c>
      <c r="AM1354" t="s">
        <v>1145</v>
      </c>
      <c r="AN1354" t="s">
        <v>1146</v>
      </c>
      <c r="AO1354" s="100">
        <v>46262.040405092594</v>
      </c>
      <c r="AP1354" t="s">
        <v>1147</v>
      </c>
      <c r="AQ1354" t="s">
        <v>3936</v>
      </c>
      <c r="AR1354" t="s">
        <v>1163</v>
      </c>
      <c r="AS1354" t="s">
        <v>1150</v>
      </c>
      <c r="AT1354" t="s">
        <v>3932</v>
      </c>
      <c r="AU1354">
        <v>25</v>
      </c>
      <c r="AV1354">
        <v>4.5726240000000002</v>
      </c>
      <c r="AW1354">
        <v>0.2743823522629204</v>
      </c>
      <c r="AX1354">
        <v>6.0005448132827102</v>
      </c>
      <c r="BB1354" t="s">
        <v>4619</v>
      </c>
      <c r="BD1354" s="98"/>
      <c r="BE1354" s="98"/>
      <c r="BF1354" t="s">
        <v>1152</v>
      </c>
      <c r="BG1354" t="s">
        <v>322</v>
      </c>
      <c r="BH1354" t="s">
        <v>1153</v>
      </c>
      <c r="BN1354" t="s">
        <v>1154</v>
      </c>
      <c r="BO1354">
        <v>2025</v>
      </c>
      <c r="BP1354" t="s">
        <v>966</v>
      </c>
      <c r="BZ1354" t="s">
        <v>1513</v>
      </c>
      <c r="CA1354" t="s">
        <v>1513</v>
      </c>
      <c r="CB1354" t="b">
        <v>0</v>
      </c>
      <c r="CC1354" t="b">
        <v>0</v>
      </c>
      <c r="CD1354" t="b">
        <v>0</v>
      </c>
      <c r="CE1354" t="b">
        <v>0</v>
      </c>
      <c r="CF1354" t="b">
        <v>0</v>
      </c>
    </row>
    <row r="1355" spans="1:84" x14ac:dyDescent="0.3">
      <c r="A1355" t="s">
        <v>3937</v>
      </c>
      <c r="B1355" t="s">
        <v>1165</v>
      </c>
      <c r="C1355" s="98">
        <v>45684</v>
      </c>
      <c r="D1355">
        <v>2025</v>
      </c>
      <c r="E1355">
        <v>1</v>
      </c>
      <c r="F1355">
        <v>1</v>
      </c>
      <c r="G1355" t="s">
        <v>1144</v>
      </c>
      <c r="H1355" t="s">
        <v>150</v>
      </c>
      <c r="I1355" t="s">
        <v>150</v>
      </c>
      <c r="J1355" t="s">
        <v>6</v>
      </c>
      <c r="L1355">
        <v>522611</v>
      </c>
      <c r="M1355" s="99" t="s">
        <v>178</v>
      </c>
      <c r="N1355">
        <v>1</v>
      </c>
      <c r="O1355">
        <v>4</v>
      </c>
      <c r="P1355">
        <v>4.7394999999999996</v>
      </c>
      <c r="Q1355" t="s">
        <v>352</v>
      </c>
      <c r="R1355">
        <v>1</v>
      </c>
      <c r="S1355">
        <v>4.6307</v>
      </c>
      <c r="T1355">
        <v>0.2666</v>
      </c>
      <c r="U1355">
        <v>0.40810202550637498</v>
      </c>
      <c r="V1355">
        <v>3.8309000000000002</v>
      </c>
      <c r="W1355">
        <v>4.0975000000000001</v>
      </c>
      <c r="X1355">
        <v>4.3640999999999996</v>
      </c>
      <c r="Y1355">
        <v>4.8973000000000004</v>
      </c>
      <c r="Z1355">
        <v>5.1638999999999999</v>
      </c>
      <c r="AA1355">
        <v>5.4305000000000003</v>
      </c>
      <c r="AD1355">
        <v>22.797628473468187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 t="s">
        <v>462</v>
      </c>
      <c r="AL1355" t="s">
        <v>6</v>
      </c>
      <c r="AM1355" t="s">
        <v>1145</v>
      </c>
      <c r="AN1355" t="s">
        <v>1146</v>
      </c>
      <c r="AO1355" s="100">
        <v>46262.040405092594</v>
      </c>
      <c r="AP1355" t="s">
        <v>1147</v>
      </c>
      <c r="AQ1355" t="s">
        <v>3938</v>
      </c>
      <c r="AR1355" t="s">
        <v>1167</v>
      </c>
      <c r="AS1355" t="s">
        <v>1150</v>
      </c>
      <c r="AT1355" t="s">
        <v>3932</v>
      </c>
      <c r="AU1355">
        <v>25</v>
      </c>
      <c r="AV1355">
        <v>4.5726240000000002</v>
      </c>
      <c r="AW1355">
        <v>0.2743823522629204</v>
      </c>
      <c r="AX1355">
        <v>6.0005448132827102</v>
      </c>
      <c r="BB1355" t="s">
        <v>4619</v>
      </c>
      <c r="BD1355" s="98"/>
      <c r="BE1355" s="98"/>
      <c r="BF1355" t="s">
        <v>1152</v>
      </c>
      <c r="BG1355" t="s">
        <v>322</v>
      </c>
      <c r="BH1355" t="s">
        <v>1153</v>
      </c>
      <c r="BN1355" t="s">
        <v>1154</v>
      </c>
      <c r="BO1355">
        <v>2025</v>
      </c>
      <c r="BP1355" t="s">
        <v>966</v>
      </c>
      <c r="BZ1355" t="s">
        <v>1513</v>
      </c>
      <c r="CA1355" t="s">
        <v>1513</v>
      </c>
      <c r="CB1355" t="b">
        <v>0</v>
      </c>
      <c r="CC1355" t="b">
        <v>0</v>
      </c>
      <c r="CD1355" t="b">
        <v>0</v>
      </c>
      <c r="CE1355" t="b">
        <v>0</v>
      </c>
      <c r="CF1355" t="b">
        <v>0</v>
      </c>
    </row>
    <row r="1356" spans="1:84" x14ac:dyDescent="0.3">
      <c r="A1356" t="s">
        <v>3939</v>
      </c>
      <c r="B1356" t="s">
        <v>1169</v>
      </c>
      <c r="C1356" s="98">
        <v>45691</v>
      </c>
      <c r="D1356">
        <v>2025</v>
      </c>
      <c r="E1356">
        <v>2</v>
      </c>
      <c r="F1356">
        <v>1</v>
      </c>
      <c r="G1356" t="s">
        <v>1170</v>
      </c>
      <c r="H1356" t="s">
        <v>150</v>
      </c>
      <c r="I1356" t="s">
        <v>150</v>
      </c>
      <c r="J1356" t="s">
        <v>6</v>
      </c>
      <c r="L1356">
        <v>522611</v>
      </c>
      <c r="M1356" s="99" t="s">
        <v>178</v>
      </c>
      <c r="N1356">
        <v>1</v>
      </c>
      <c r="O1356">
        <v>5</v>
      </c>
      <c r="P1356">
        <v>5.1658999999999997</v>
      </c>
      <c r="Q1356" t="s">
        <v>352</v>
      </c>
      <c r="R1356">
        <v>1</v>
      </c>
      <c r="S1356">
        <v>4.6307</v>
      </c>
      <c r="T1356">
        <v>0.2666</v>
      </c>
      <c r="U1356">
        <v>2.0075018754688658</v>
      </c>
      <c r="V1356">
        <v>3.8309000000000002</v>
      </c>
      <c r="W1356">
        <v>4.0975000000000001</v>
      </c>
      <c r="X1356">
        <v>4.3640999999999996</v>
      </c>
      <c r="Y1356">
        <v>4.8973000000000004</v>
      </c>
      <c r="Z1356">
        <v>5.1638999999999999</v>
      </c>
      <c r="AA1356">
        <v>5.4305000000000003</v>
      </c>
      <c r="AD1356">
        <v>22.797628473468187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1</v>
      </c>
      <c r="AK1356" t="s">
        <v>462</v>
      </c>
      <c r="AL1356" t="s">
        <v>6</v>
      </c>
      <c r="AM1356" t="s">
        <v>1145</v>
      </c>
      <c r="AN1356" t="s">
        <v>1146</v>
      </c>
      <c r="AO1356" s="100">
        <v>46262.040405092594</v>
      </c>
      <c r="AP1356" t="s">
        <v>1147</v>
      </c>
      <c r="AQ1356" t="s">
        <v>3940</v>
      </c>
      <c r="AR1356" t="s">
        <v>1172</v>
      </c>
      <c r="AS1356" t="s">
        <v>1150</v>
      </c>
      <c r="AT1356" t="s">
        <v>3932</v>
      </c>
      <c r="AU1356">
        <v>25</v>
      </c>
      <c r="AV1356">
        <v>4.5726240000000002</v>
      </c>
      <c r="AW1356">
        <v>0.2743823522629204</v>
      </c>
      <c r="AX1356">
        <v>6.0005448132827102</v>
      </c>
      <c r="BB1356" t="s">
        <v>4619</v>
      </c>
      <c r="BD1356" s="98"/>
      <c r="BE1356" s="98"/>
      <c r="BF1356" t="s">
        <v>1152</v>
      </c>
      <c r="BG1356" t="s">
        <v>322</v>
      </c>
      <c r="BH1356" t="s">
        <v>1153</v>
      </c>
      <c r="BN1356" t="s">
        <v>1154</v>
      </c>
      <c r="BO1356">
        <v>2025</v>
      </c>
      <c r="BP1356" t="s">
        <v>966</v>
      </c>
      <c r="BZ1356" t="s">
        <v>1513</v>
      </c>
      <c r="CA1356" t="s">
        <v>1513</v>
      </c>
      <c r="CB1356" t="b">
        <v>0</v>
      </c>
      <c r="CC1356" t="b">
        <v>0</v>
      </c>
      <c r="CD1356" t="b">
        <v>0</v>
      </c>
      <c r="CE1356" t="b">
        <v>0</v>
      </c>
      <c r="CF1356" t="b">
        <v>0</v>
      </c>
    </row>
    <row r="1357" spans="1:84" x14ac:dyDescent="0.3">
      <c r="A1357" t="s">
        <v>3941</v>
      </c>
      <c r="B1357" t="s">
        <v>1174</v>
      </c>
      <c r="C1357" s="98">
        <v>45698</v>
      </c>
      <c r="D1357">
        <v>2025</v>
      </c>
      <c r="E1357">
        <v>2</v>
      </c>
      <c r="F1357">
        <v>1</v>
      </c>
      <c r="G1357" t="s">
        <v>1170</v>
      </c>
      <c r="H1357" t="s">
        <v>150</v>
      </c>
      <c r="I1357" t="s">
        <v>150</v>
      </c>
      <c r="J1357" t="s">
        <v>6</v>
      </c>
      <c r="L1357">
        <v>522611</v>
      </c>
      <c r="M1357" s="99" t="s">
        <v>178</v>
      </c>
      <c r="N1357">
        <v>1</v>
      </c>
      <c r="O1357">
        <v>6</v>
      </c>
      <c r="P1357">
        <v>4.2313999999999998</v>
      </c>
      <c r="Q1357" t="s">
        <v>352</v>
      </c>
      <c r="R1357">
        <v>1</v>
      </c>
      <c r="S1357">
        <v>4.6307</v>
      </c>
      <c r="T1357">
        <v>0.2666</v>
      </c>
      <c r="U1357">
        <v>-1.4977494373593405</v>
      </c>
      <c r="V1357">
        <v>3.8309000000000002</v>
      </c>
      <c r="W1357">
        <v>4.0975000000000001</v>
      </c>
      <c r="X1357">
        <v>4.3640999999999996</v>
      </c>
      <c r="Y1357">
        <v>4.8973000000000004</v>
      </c>
      <c r="Z1357">
        <v>5.1638999999999999</v>
      </c>
      <c r="AA1357">
        <v>5.4305000000000003</v>
      </c>
      <c r="AD1357">
        <v>22.797628473468187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 t="s">
        <v>462</v>
      </c>
      <c r="AL1357" t="s">
        <v>6</v>
      </c>
      <c r="AM1357" t="s">
        <v>1145</v>
      </c>
      <c r="AN1357" t="s">
        <v>1146</v>
      </c>
      <c r="AO1357" s="100">
        <v>46262.040405092594</v>
      </c>
      <c r="AP1357" t="s">
        <v>1147</v>
      </c>
      <c r="AQ1357" t="s">
        <v>3942</v>
      </c>
      <c r="AR1357" t="s">
        <v>1176</v>
      </c>
      <c r="AS1357" t="s">
        <v>1150</v>
      </c>
      <c r="AT1357" t="s">
        <v>3932</v>
      </c>
      <c r="AU1357">
        <v>25</v>
      </c>
      <c r="AV1357">
        <v>4.5726240000000002</v>
      </c>
      <c r="AW1357">
        <v>0.2743823522629204</v>
      </c>
      <c r="AX1357">
        <v>6.0005448132827102</v>
      </c>
      <c r="BB1357" t="s">
        <v>4619</v>
      </c>
      <c r="BD1357" s="98"/>
      <c r="BE1357" s="98"/>
      <c r="BF1357" t="s">
        <v>1152</v>
      </c>
      <c r="BG1357" t="s">
        <v>322</v>
      </c>
      <c r="BH1357" t="s">
        <v>1153</v>
      </c>
      <c r="BN1357" t="s">
        <v>1154</v>
      </c>
      <c r="BO1357">
        <v>2025</v>
      </c>
      <c r="BP1357" t="s">
        <v>966</v>
      </c>
      <c r="BZ1357" t="s">
        <v>1513</v>
      </c>
      <c r="CA1357" t="s">
        <v>1513</v>
      </c>
      <c r="CB1357" t="b">
        <v>0</v>
      </c>
      <c r="CC1357" t="b">
        <v>0</v>
      </c>
      <c r="CD1357" t="b">
        <v>0</v>
      </c>
      <c r="CE1357" t="b">
        <v>0</v>
      </c>
      <c r="CF1357" t="b">
        <v>0</v>
      </c>
    </row>
    <row r="1358" spans="1:84" x14ac:dyDescent="0.3">
      <c r="A1358" t="s">
        <v>3943</v>
      </c>
      <c r="B1358" t="s">
        <v>1178</v>
      </c>
      <c r="C1358" s="98">
        <v>45705</v>
      </c>
      <c r="D1358">
        <v>2025</v>
      </c>
      <c r="E1358">
        <v>2</v>
      </c>
      <c r="F1358">
        <v>1</v>
      </c>
      <c r="G1358" t="s">
        <v>1170</v>
      </c>
      <c r="H1358" t="s">
        <v>150</v>
      </c>
      <c r="I1358" t="s">
        <v>150</v>
      </c>
      <c r="J1358" t="s">
        <v>6</v>
      </c>
      <c r="L1358">
        <v>522611</v>
      </c>
      <c r="M1358" s="99" t="s">
        <v>178</v>
      </c>
      <c r="N1358">
        <v>1</v>
      </c>
      <c r="O1358">
        <v>7</v>
      </c>
      <c r="P1358">
        <v>4.4494999999999996</v>
      </c>
      <c r="Q1358" t="s">
        <v>352</v>
      </c>
      <c r="R1358">
        <v>1</v>
      </c>
      <c r="S1358">
        <v>4.6307</v>
      </c>
      <c r="T1358">
        <v>0.2666</v>
      </c>
      <c r="U1358">
        <v>-0.67966991747937155</v>
      </c>
      <c r="V1358">
        <v>3.8309000000000002</v>
      </c>
      <c r="W1358">
        <v>4.0975000000000001</v>
      </c>
      <c r="X1358">
        <v>4.3640999999999996</v>
      </c>
      <c r="Y1358">
        <v>4.8973000000000004</v>
      </c>
      <c r="Z1358">
        <v>5.1638999999999999</v>
      </c>
      <c r="AA1358">
        <v>5.4305000000000003</v>
      </c>
      <c r="AD1358">
        <v>22.797628473468187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 t="s">
        <v>462</v>
      </c>
      <c r="AL1358" t="s">
        <v>6</v>
      </c>
      <c r="AM1358" t="s">
        <v>1145</v>
      </c>
      <c r="AN1358" t="s">
        <v>1146</v>
      </c>
      <c r="AO1358" s="100">
        <v>46262.040405092594</v>
      </c>
      <c r="AP1358" t="s">
        <v>1147</v>
      </c>
      <c r="AQ1358" t="s">
        <v>3944</v>
      </c>
      <c r="AR1358" t="s">
        <v>1180</v>
      </c>
      <c r="AS1358" t="s">
        <v>1150</v>
      </c>
      <c r="AT1358" t="s">
        <v>3932</v>
      </c>
      <c r="AU1358">
        <v>25</v>
      </c>
      <c r="AV1358">
        <v>4.5726240000000002</v>
      </c>
      <c r="AW1358">
        <v>0.2743823522629204</v>
      </c>
      <c r="AX1358">
        <v>6.0005448132827102</v>
      </c>
      <c r="BB1358" t="s">
        <v>4619</v>
      </c>
      <c r="BD1358" s="98"/>
      <c r="BE1358" s="98"/>
      <c r="BF1358" t="s">
        <v>1152</v>
      </c>
      <c r="BG1358" t="s">
        <v>322</v>
      </c>
      <c r="BH1358" t="s">
        <v>1153</v>
      </c>
      <c r="BN1358" t="s">
        <v>1154</v>
      </c>
      <c r="BO1358">
        <v>2025</v>
      </c>
      <c r="BP1358" t="s">
        <v>966</v>
      </c>
      <c r="BZ1358" t="s">
        <v>1513</v>
      </c>
      <c r="CA1358" t="s">
        <v>1513</v>
      </c>
      <c r="CB1358" t="b">
        <v>0</v>
      </c>
      <c r="CC1358" t="b">
        <v>0</v>
      </c>
      <c r="CD1358" t="b">
        <v>0</v>
      </c>
      <c r="CE1358" t="b">
        <v>0</v>
      </c>
      <c r="CF1358" t="b">
        <v>0</v>
      </c>
    </row>
    <row r="1359" spans="1:84" x14ac:dyDescent="0.3">
      <c r="A1359" t="s">
        <v>3945</v>
      </c>
      <c r="B1359" t="s">
        <v>1182</v>
      </c>
      <c r="C1359" s="98">
        <v>45712</v>
      </c>
      <c r="D1359">
        <v>2025</v>
      </c>
      <c r="E1359">
        <v>2</v>
      </c>
      <c r="F1359">
        <v>1</v>
      </c>
      <c r="G1359" t="s">
        <v>1170</v>
      </c>
      <c r="H1359" t="s">
        <v>150</v>
      </c>
      <c r="I1359" t="s">
        <v>150</v>
      </c>
      <c r="J1359" t="s">
        <v>6</v>
      </c>
      <c r="L1359">
        <v>522611</v>
      </c>
      <c r="M1359" s="99" t="s">
        <v>178</v>
      </c>
      <c r="N1359">
        <v>1</v>
      </c>
      <c r="O1359">
        <v>8</v>
      </c>
      <c r="P1359">
        <v>4.8739999999999997</v>
      </c>
      <c r="Q1359" t="s">
        <v>352</v>
      </c>
      <c r="R1359">
        <v>1</v>
      </c>
      <c r="S1359">
        <v>4.6307</v>
      </c>
      <c r="T1359">
        <v>0.2666</v>
      </c>
      <c r="U1359">
        <v>0.91260315078769549</v>
      </c>
      <c r="V1359">
        <v>3.8309000000000002</v>
      </c>
      <c r="W1359">
        <v>4.0975000000000001</v>
      </c>
      <c r="X1359">
        <v>4.3640999999999996</v>
      </c>
      <c r="Y1359">
        <v>4.8973000000000004</v>
      </c>
      <c r="Z1359">
        <v>5.1638999999999999</v>
      </c>
      <c r="AA1359">
        <v>5.4305000000000003</v>
      </c>
      <c r="AD1359">
        <v>22.797628473468187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 t="s">
        <v>462</v>
      </c>
      <c r="AL1359" t="s">
        <v>6</v>
      </c>
      <c r="AM1359" t="s">
        <v>1145</v>
      </c>
      <c r="AN1359" t="s">
        <v>1146</v>
      </c>
      <c r="AO1359" s="100">
        <v>46262.040405092594</v>
      </c>
      <c r="AP1359" t="s">
        <v>1147</v>
      </c>
      <c r="AQ1359" t="s">
        <v>3946</v>
      </c>
      <c r="AR1359" t="s">
        <v>1184</v>
      </c>
      <c r="AS1359" t="s">
        <v>1150</v>
      </c>
      <c r="AT1359" t="s">
        <v>3932</v>
      </c>
      <c r="AU1359">
        <v>25</v>
      </c>
      <c r="AV1359">
        <v>4.5726240000000002</v>
      </c>
      <c r="AW1359">
        <v>0.2743823522629204</v>
      </c>
      <c r="AX1359">
        <v>6.0005448132827102</v>
      </c>
      <c r="BB1359" t="s">
        <v>4619</v>
      </c>
      <c r="BD1359" s="98"/>
      <c r="BE1359" s="98"/>
      <c r="BF1359" t="s">
        <v>1152</v>
      </c>
      <c r="BG1359" t="s">
        <v>322</v>
      </c>
      <c r="BH1359" t="s">
        <v>1153</v>
      </c>
      <c r="BN1359" t="s">
        <v>1154</v>
      </c>
      <c r="BO1359">
        <v>2025</v>
      </c>
      <c r="BP1359" t="s">
        <v>966</v>
      </c>
      <c r="BZ1359" t="s">
        <v>1513</v>
      </c>
      <c r="CA1359" t="s">
        <v>1513</v>
      </c>
      <c r="CB1359" t="b">
        <v>0</v>
      </c>
      <c r="CC1359" t="b">
        <v>0</v>
      </c>
      <c r="CD1359" t="b">
        <v>0</v>
      </c>
      <c r="CE1359" t="b">
        <v>0</v>
      </c>
      <c r="CF1359" t="b">
        <v>0</v>
      </c>
    </row>
    <row r="1360" spans="1:84" x14ac:dyDescent="0.3">
      <c r="A1360" t="s">
        <v>3947</v>
      </c>
      <c r="B1360" t="s">
        <v>1186</v>
      </c>
      <c r="C1360" s="98">
        <v>45719</v>
      </c>
      <c r="D1360">
        <v>2025</v>
      </c>
      <c r="E1360">
        <v>3</v>
      </c>
      <c r="F1360">
        <v>1</v>
      </c>
      <c r="G1360" t="s">
        <v>1187</v>
      </c>
      <c r="H1360" t="s">
        <v>150</v>
      </c>
      <c r="I1360" t="s">
        <v>150</v>
      </c>
      <c r="J1360" t="s">
        <v>6</v>
      </c>
      <c r="L1360">
        <v>522611</v>
      </c>
      <c r="M1360" s="99" t="s">
        <v>178</v>
      </c>
      <c r="N1360">
        <v>1</v>
      </c>
      <c r="O1360">
        <v>9</v>
      </c>
      <c r="P1360">
        <v>4.5728999999999997</v>
      </c>
      <c r="Q1360" t="s">
        <v>352</v>
      </c>
      <c r="R1360">
        <v>1</v>
      </c>
      <c r="S1360">
        <v>4.6307</v>
      </c>
      <c r="T1360">
        <v>0.2666</v>
      </c>
      <c r="U1360">
        <v>-0.21680420105026368</v>
      </c>
      <c r="V1360">
        <v>3.8309000000000002</v>
      </c>
      <c r="W1360">
        <v>4.0975000000000001</v>
      </c>
      <c r="X1360">
        <v>4.3640999999999996</v>
      </c>
      <c r="Y1360">
        <v>4.8973000000000004</v>
      </c>
      <c r="Z1360">
        <v>5.1638999999999999</v>
      </c>
      <c r="AA1360">
        <v>5.4305000000000003</v>
      </c>
      <c r="AD1360">
        <v>22.797628473468187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 t="s">
        <v>462</v>
      </c>
      <c r="AL1360" t="s">
        <v>6</v>
      </c>
      <c r="AM1360" t="s">
        <v>1145</v>
      </c>
      <c r="AN1360" t="s">
        <v>1146</v>
      </c>
      <c r="AO1360" s="100">
        <v>46262.040405092594</v>
      </c>
      <c r="AP1360" t="s">
        <v>1147</v>
      </c>
      <c r="AQ1360" t="s">
        <v>3948</v>
      </c>
      <c r="AR1360" t="s">
        <v>1189</v>
      </c>
      <c r="AS1360" t="s">
        <v>1150</v>
      </c>
      <c r="AT1360" t="s">
        <v>3932</v>
      </c>
      <c r="AU1360">
        <v>25</v>
      </c>
      <c r="AV1360">
        <v>4.5726240000000002</v>
      </c>
      <c r="AW1360">
        <v>0.2743823522629204</v>
      </c>
      <c r="AX1360">
        <v>6.0005448132827102</v>
      </c>
      <c r="BB1360" t="s">
        <v>4619</v>
      </c>
      <c r="BD1360" s="98"/>
      <c r="BE1360" s="98"/>
      <c r="BF1360" t="s">
        <v>1152</v>
      </c>
      <c r="BG1360" t="s">
        <v>322</v>
      </c>
      <c r="BH1360" t="s">
        <v>1153</v>
      </c>
      <c r="BN1360" t="s">
        <v>1154</v>
      </c>
      <c r="BO1360">
        <v>2025</v>
      </c>
      <c r="BP1360" t="s">
        <v>966</v>
      </c>
      <c r="BZ1360" t="s">
        <v>1513</v>
      </c>
      <c r="CA1360" t="s">
        <v>1513</v>
      </c>
      <c r="CB1360" t="b">
        <v>0</v>
      </c>
      <c r="CC1360" t="b">
        <v>0</v>
      </c>
      <c r="CD1360" t="b">
        <v>0</v>
      </c>
      <c r="CE1360" t="b">
        <v>0</v>
      </c>
      <c r="CF1360" t="b">
        <v>0</v>
      </c>
    </row>
    <row r="1361" spans="1:84" x14ac:dyDescent="0.3">
      <c r="A1361" t="s">
        <v>3949</v>
      </c>
      <c r="B1361" t="s">
        <v>1191</v>
      </c>
      <c r="C1361" s="98">
        <v>45726</v>
      </c>
      <c r="D1361">
        <v>2025</v>
      </c>
      <c r="E1361">
        <v>3</v>
      </c>
      <c r="F1361">
        <v>1</v>
      </c>
      <c r="G1361" t="s">
        <v>1187</v>
      </c>
      <c r="H1361" t="s">
        <v>150</v>
      </c>
      <c r="I1361" t="s">
        <v>150</v>
      </c>
      <c r="J1361" t="s">
        <v>6</v>
      </c>
      <c r="L1361">
        <v>522611</v>
      </c>
      <c r="M1361" s="99" t="s">
        <v>178</v>
      </c>
      <c r="N1361">
        <v>1</v>
      </c>
      <c r="O1361">
        <v>10</v>
      </c>
      <c r="P1361">
        <v>4.5434999999999999</v>
      </c>
      <c r="Q1361" t="s">
        <v>352</v>
      </c>
      <c r="R1361">
        <v>1</v>
      </c>
      <c r="S1361">
        <v>4.6307</v>
      </c>
      <c r="T1361">
        <v>0.2666</v>
      </c>
      <c r="U1361">
        <v>-0.32708177044261127</v>
      </c>
      <c r="V1361">
        <v>3.8309000000000002</v>
      </c>
      <c r="W1361">
        <v>4.0975000000000001</v>
      </c>
      <c r="X1361">
        <v>4.3640999999999996</v>
      </c>
      <c r="Y1361">
        <v>4.8973000000000004</v>
      </c>
      <c r="Z1361">
        <v>5.1638999999999999</v>
      </c>
      <c r="AA1361">
        <v>5.4305000000000003</v>
      </c>
      <c r="AD1361">
        <v>22.797628473468187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 t="s">
        <v>462</v>
      </c>
      <c r="AL1361" t="s">
        <v>6</v>
      </c>
      <c r="AM1361" t="s">
        <v>1145</v>
      </c>
      <c r="AN1361" t="s">
        <v>1146</v>
      </c>
      <c r="AO1361" s="100">
        <v>46262.040405092594</v>
      </c>
      <c r="AP1361" t="s">
        <v>1147</v>
      </c>
      <c r="AQ1361" t="s">
        <v>3950</v>
      </c>
      <c r="AR1361" t="s">
        <v>1193</v>
      </c>
      <c r="AS1361" t="s">
        <v>1150</v>
      </c>
      <c r="AT1361" t="s">
        <v>3932</v>
      </c>
      <c r="AU1361">
        <v>25</v>
      </c>
      <c r="AV1361">
        <v>4.5726240000000002</v>
      </c>
      <c r="AW1361">
        <v>0.2743823522629204</v>
      </c>
      <c r="AX1361">
        <v>6.0005448132827102</v>
      </c>
      <c r="BB1361" t="s">
        <v>4619</v>
      </c>
      <c r="BD1361" s="98"/>
      <c r="BE1361" s="98"/>
      <c r="BF1361" t="s">
        <v>1152</v>
      </c>
      <c r="BG1361" t="s">
        <v>322</v>
      </c>
      <c r="BH1361" t="s">
        <v>1153</v>
      </c>
      <c r="BN1361" t="s">
        <v>1154</v>
      </c>
      <c r="BO1361">
        <v>2025</v>
      </c>
      <c r="BP1361" t="s">
        <v>966</v>
      </c>
      <c r="BZ1361" t="s">
        <v>1513</v>
      </c>
      <c r="CA1361" t="s">
        <v>1513</v>
      </c>
      <c r="CB1361" t="b">
        <v>0</v>
      </c>
      <c r="CC1361" t="b">
        <v>0</v>
      </c>
      <c r="CD1361" t="b">
        <v>0</v>
      </c>
      <c r="CE1361" t="b">
        <v>0</v>
      </c>
      <c r="CF1361" t="b">
        <v>0</v>
      </c>
    </row>
    <row r="1362" spans="1:84" x14ac:dyDescent="0.3">
      <c r="A1362" t="s">
        <v>3951</v>
      </c>
      <c r="B1362" t="s">
        <v>1195</v>
      </c>
      <c r="C1362" s="98">
        <v>45733</v>
      </c>
      <c r="D1362">
        <v>2025</v>
      </c>
      <c r="E1362">
        <v>3</v>
      </c>
      <c r="F1362">
        <v>1</v>
      </c>
      <c r="G1362" t="s">
        <v>1187</v>
      </c>
      <c r="H1362" t="s">
        <v>150</v>
      </c>
      <c r="I1362" t="s">
        <v>150</v>
      </c>
      <c r="J1362" t="s">
        <v>6</v>
      </c>
      <c r="L1362">
        <v>522611</v>
      </c>
      <c r="M1362" s="99" t="s">
        <v>178</v>
      </c>
      <c r="N1362">
        <v>1</v>
      </c>
      <c r="O1362">
        <v>11</v>
      </c>
      <c r="P1362">
        <v>5.0864000000000003</v>
      </c>
      <c r="Q1362" t="s">
        <v>352</v>
      </c>
      <c r="R1362">
        <v>1</v>
      </c>
      <c r="S1362">
        <v>4.6307</v>
      </c>
      <c r="T1362">
        <v>0.2666</v>
      </c>
      <c r="U1362">
        <v>1.7093023255813962</v>
      </c>
      <c r="V1362">
        <v>3.8309000000000002</v>
      </c>
      <c r="W1362">
        <v>4.0975000000000001</v>
      </c>
      <c r="X1362">
        <v>4.3640999999999996</v>
      </c>
      <c r="Y1362">
        <v>4.8973000000000004</v>
      </c>
      <c r="Z1362">
        <v>5.1638999999999999</v>
      </c>
      <c r="AA1362">
        <v>5.4305000000000003</v>
      </c>
      <c r="AD1362">
        <v>22.797628473468187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 t="s">
        <v>462</v>
      </c>
      <c r="AL1362" t="s">
        <v>6</v>
      </c>
      <c r="AM1362" t="s">
        <v>1145</v>
      </c>
      <c r="AN1362" t="s">
        <v>1146</v>
      </c>
      <c r="AO1362" s="100">
        <v>46262.040405092594</v>
      </c>
      <c r="AP1362" t="s">
        <v>1147</v>
      </c>
      <c r="AQ1362" t="s">
        <v>3952</v>
      </c>
      <c r="AR1362" t="s">
        <v>1197</v>
      </c>
      <c r="AS1362" t="s">
        <v>1150</v>
      </c>
      <c r="AT1362" t="s">
        <v>3932</v>
      </c>
      <c r="AU1362">
        <v>25</v>
      </c>
      <c r="AV1362">
        <v>4.5726240000000002</v>
      </c>
      <c r="AW1362">
        <v>0.2743823522629204</v>
      </c>
      <c r="AX1362">
        <v>6.0005448132827102</v>
      </c>
      <c r="BB1362" t="s">
        <v>4619</v>
      </c>
      <c r="BD1362" s="98"/>
      <c r="BE1362" s="98"/>
      <c r="BF1362" t="s">
        <v>1152</v>
      </c>
      <c r="BG1362" t="s">
        <v>322</v>
      </c>
      <c r="BH1362" t="s">
        <v>1153</v>
      </c>
      <c r="BN1362" t="s">
        <v>1154</v>
      </c>
      <c r="BO1362">
        <v>2025</v>
      </c>
      <c r="BP1362" t="s">
        <v>966</v>
      </c>
      <c r="BZ1362" t="s">
        <v>1513</v>
      </c>
      <c r="CA1362" t="s">
        <v>1513</v>
      </c>
      <c r="CB1362" t="b">
        <v>0</v>
      </c>
      <c r="CC1362" t="b">
        <v>0</v>
      </c>
      <c r="CD1362" t="b">
        <v>0</v>
      </c>
      <c r="CE1362" t="b">
        <v>0</v>
      </c>
      <c r="CF1362" t="b">
        <v>0</v>
      </c>
    </row>
    <row r="1363" spans="1:84" x14ac:dyDescent="0.3">
      <c r="A1363" t="s">
        <v>3953</v>
      </c>
      <c r="B1363" t="s">
        <v>1199</v>
      </c>
      <c r="C1363" s="98">
        <v>45740</v>
      </c>
      <c r="D1363">
        <v>2025</v>
      </c>
      <c r="E1363">
        <v>3</v>
      </c>
      <c r="F1363">
        <v>1</v>
      </c>
      <c r="G1363" t="s">
        <v>1187</v>
      </c>
      <c r="H1363" t="s">
        <v>150</v>
      </c>
      <c r="I1363" t="s">
        <v>150</v>
      </c>
      <c r="J1363" t="s">
        <v>6</v>
      </c>
      <c r="L1363">
        <v>522611</v>
      </c>
      <c r="M1363" s="99" t="s">
        <v>178</v>
      </c>
      <c r="N1363">
        <v>1</v>
      </c>
      <c r="O1363">
        <v>12</v>
      </c>
      <c r="P1363">
        <v>4.5404999999999998</v>
      </c>
      <c r="Q1363" t="s">
        <v>352</v>
      </c>
      <c r="R1363">
        <v>1</v>
      </c>
      <c r="S1363">
        <v>4.6307</v>
      </c>
      <c r="T1363">
        <v>0.2666</v>
      </c>
      <c r="U1363">
        <v>-0.33833458364591251</v>
      </c>
      <c r="V1363">
        <v>3.8309000000000002</v>
      </c>
      <c r="W1363">
        <v>4.0975000000000001</v>
      </c>
      <c r="X1363">
        <v>4.3640999999999996</v>
      </c>
      <c r="Y1363">
        <v>4.8973000000000004</v>
      </c>
      <c r="Z1363">
        <v>5.1638999999999999</v>
      </c>
      <c r="AA1363">
        <v>5.4305000000000003</v>
      </c>
      <c r="AD1363">
        <v>22.797628473468187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 t="s">
        <v>462</v>
      </c>
      <c r="AL1363" t="s">
        <v>6</v>
      </c>
      <c r="AM1363" t="s">
        <v>1145</v>
      </c>
      <c r="AN1363" t="s">
        <v>1146</v>
      </c>
      <c r="AO1363" s="100">
        <v>46262.040405092594</v>
      </c>
      <c r="AP1363" t="s">
        <v>1147</v>
      </c>
      <c r="AQ1363" t="s">
        <v>3954</v>
      </c>
      <c r="AR1363" t="s">
        <v>1201</v>
      </c>
      <c r="AS1363" t="s">
        <v>1150</v>
      </c>
      <c r="AT1363" t="s">
        <v>3932</v>
      </c>
      <c r="AU1363">
        <v>25</v>
      </c>
      <c r="AV1363">
        <v>4.5726240000000002</v>
      </c>
      <c r="AW1363">
        <v>0.2743823522629204</v>
      </c>
      <c r="AX1363">
        <v>6.0005448132827102</v>
      </c>
      <c r="BB1363" t="s">
        <v>4619</v>
      </c>
      <c r="BD1363" s="98"/>
      <c r="BE1363" s="98"/>
      <c r="BF1363" t="s">
        <v>1152</v>
      </c>
      <c r="BG1363" t="s">
        <v>322</v>
      </c>
      <c r="BH1363" t="s">
        <v>1153</v>
      </c>
      <c r="BN1363" t="s">
        <v>1154</v>
      </c>
      <c r="BO1363">
        <v>2025</v>
      </c>
      <c r="BP1363" t="s">
        <v>966</v>
      </c>
      <c r="BZ1363" t="s">
        <v>1513</v>
      </c>
      <c r="CA1363" t="s">
        <v>1513</v>
      </c>
      <c r="CB1363" t="b">
        <v>0</v>
      </c>
      <c r="CC1363" t="b">
        <v>0</v>
      </c>
      <c r="CD1363" t="b">
        <v>0</v>
      </c>
      <c r="CE1363" t="b">
        <v>0</v>
      </c>
      <c r="CF1363" t="b">
        <v>0</v>
      </c>
    </row>
    <row r="1364" spans="1:84" x14ac:dyDescent="0.3">
      <c r="A1364" t="s">
        <v>3955</v>
      </c>
      <c r="B1364" t="s">
        <v>1203</v>
      </c>
      <c r="C1364" s="98">
        <v>45747</v>
      </c>
      <c r="D1364">
        <v>2025</v>
      </c>
      <c r="E1364">
        <v>3</v>
      </c>
      <c r="F1364">
        <v>1</v>
      </c>
      <c r="G1364" t="s">
        <v>1187</v>
      </c>
      <c r="H1364" t="s">
        <v>150</v>
      </c>
      <c r="I1364" t="s">
        <v>150</v>
      </c>
      <c r="J1364" t="s">
        <v>6</v>
      </c>
      <c r="L1364">
        <v>522611</v>
      </c>
      <c r="M1364" s="99" t="s">
        <v>178</v>
      </c>
      <c r="N1364">
        <v>1</v>
      </c>
      <c r="O1364">
        <v>13</v>
      </c>
      <c r="P1364">
        <v>4.3224</v>
      </c>
      <c r="Q1364" t="s">
        <v>352</v>
      </c>
      <c r="R1364">
        <v>1</v>
      </c>
      <c r="S1364">
        <v>4.6307</v>
      </c>
      <c r="T1364">
        <v>0.2666</v>
      </c>
      <c r="U1364">
        <v>-1.1564141035258815</v>
      </c>
      <c r="V1364">
        <v>3.8309000000000002</v>
      </c>
      <c r="W1364">
        <v>4.0975000000000001</v>
      </c>
      <c r="X1364">
        <v>4.3640999999999996</v>
      </c>
      <c r="Y1364">
        <v>4.8973000000000004</v>
      </c>
      <c r="Z1364">
        <v>5.1638999999999999</v>
      </c>
      <c r="AA1364">
        <v>5.4305000000000003</v>
      </c>
      <c r="AD1364">
        <v>22.797628473468187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 t="s">
        <v>462</v>
      </c>
      <c r="AL1364" t="s">
        <v>6</v>
      </c>
      <c r="AM1364" t="s">
        <v>1145</v>
      </c>
      <c r="AN1364" t="s">
        <v>1146</v>
      </c>
      <c r="AO1364" s="100">
        <v>46262.040405092594</v>
      </c>
      <c r="AP1364" t="s">
        <v>1147</v>
      </c>
      <c r="AQ1364" t="s">
        <v>3956</v>
      </c>
      <c r="AR1364" t="s">
        <v>1205</v>
      </c>
      <c r="AS1364" t="s">
        <v>1150</v>
      </c>
      <c r="AT1364" t="s">
        <v>3932</v>
      </c>
      <c r="AU1364">
        <v>25</v>
      </c>
      <c r="AV1364">
        <v>4.5726240000000002</v>
      </c>
      <c r="AW1364">
        <v>0.2743823522629204</v>
      </c>
      <c r="AX1364">
        <v>6.0005448132827102</v>
      </c>
      <c r="BB1364" t="s">
        <v>4619</v>
      </c>
      <c r="BD1364" s="98"/>
      <c r="BE1364" s="98"/>
      <c r="BF1364" t="s">
        <v>1152</v>
      </c>
      <c r="BG1364" t="s">
        <v>322</v>
      </c>
      <c r="BH1364" t="s">
        <v>1153</v>
      </c>
      <c r="BN1364" t="s">
        <v>1154</v>
      </c>
      <c r="BO1364">
        <v>2025</v>
      </c>
      <c r="BP1364" t="s">
        <v>966</v>
      </c>
      <c r="BZ1364" t="s">
        <v>1513</v>
      </c>
      <c r="CA1364" t="s">
        <v>1513</v>
      </c>
      <c r="CB1364" t="b">
        <v>0</v>
      </c>
      <c r="CC1364" t="b">
        <v>0</v>
      </c>
      <c r="CD1364" t="b">
        <v>0</v>
      </c>
      <c r="CE1364" t="b">
        <v>0</v>
      </c>
      <c r="CF1364" t="b">
        <v>0</v>
      </c>
    </row>
    <row r="1365" spans="1:84" x14ac:dyDescent="0.3">
      <c r="A1365" t="s">
        <v>3957</v>
      </c>
      <c r="B1365" t="s">
        <v>1207</v>
      </c>
      <c r="C1365" s="98">
        <v>45754</v>
      </c>
      <c r="D1365">
        <v>2025</v>
      </c>
      <c r="E1365">
        <v>4</v>
      </c>
      <c r="F1365">
        <v>2</v>
      </c>
      <c r="G1365" t="s">
        <v>1208</v>
      </c>
      <c r="H1365" t="s">
        <v>150</v>
      </c>
      <c r="I1365" t="s">
        <v>150</v>
      </c>
      <c r="J1365" t="s">
        <v>6</v>
      </c>
      <c r="L1365">
        <v>522611</v>
      </c>
      <c r="M1365" s="99" t="s">
        <v>178</v>
      </c>
      <c r="N1365">
        <v>1</v>
      </c>
      <c r="O1365">
        <v>14</v>
      </c>
      <c r="P1365">
        <v>4.2794999999999996</v>
      </c>
      <c r="Q1365" t="s">
        <v>352</v>
      </c>
      <c r="R1365">
        <v>1</v>
      </c>
      <c r="S1365">
        <v>4.6307</v>
      </c>
      <c r="T1365">
        <v>0.2666</v>
      </c>
      <c r="U1365">
        <v>-1.3173293323330848</v>
      </c>
      <c r="V1365">
        <v>3.8309000000000002</v>
      </c>
      <c r="W1365">
        <v>4.0975000000000001</v>
      </c>
      <c r="X1365">
        <v>4.3640999999999996</v>
      </c>
      <c r="Y1365">
        <v>4.8973000000000004</v>
      </c>
      <c r="Z1365">
        <v>5.1638999999999999</v>
      </c>
      <c r="AA1365">
        <v>5.4305000000000003</v>
      </c>
      <c r="AD1365">
        <v>22.797628473468187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 t="s">
        <v>462</v>
      </c>
      <c r="AL1365" t="s">
        <v>6</v>
      </c>
      <c r="AM1365" t="s">
        <v>1145</v>
      </c>
      <c r="AN1365" t="s">
        <v>1146</v>
      </c>
      <c r="AO1365" s="100">
        <v>46262.040405092594</v>
      </c>
      <c r="AP1365" t="s">
        <v>1147</v>
      </c>
      <c r="AQ1365" t="s">
        <v>3958</v>
      </c>
      <c r="AR1365" t="s">
        <v>1210</v>
      </c>
      <c r="AS1365" t="s">
        <v>1150</v>
      </c>
      <c r="AT1365" t="s">
        <v>3932</v>
      </c>
      <c r="AU1365">
        <v>25</v>
      </c>
      <c r="AV1365">
        <v>4.5726240000000002</v>
      </c>
      <c r="AW1365">
        <v>0.2743823522629204</v>
      </c>
      <c r="AX1365">
        <v>6.0005448132827102</v>
      </c>
      <c r="BB1365" t="s">
        <v>4619</v>
      </c>
      <c r="BD1365" s="98"/>
      <c r="BE1365" s="98"/>
      <c r="BF1365" t="s">
        <v>1152</v>
      </c>
      <c r="BG1365" t="s">
        <v>322</v>
      </c>
      <c r="BH1365" t="s">
        <v>1153</v>
      </c>
      <c r="BN1365" t="s">
        <v>1154</v>
      </c>
      <c r="BO1365">
        <v>2025</v>
      </c>
      <c r="BP1365" t="s">
        <v>966</v>
      </c>
      <c r="BZ1365" t="s">
        <v>1513</v>
      </c>
      <c r="CA1365" t="s">
        <v>1513</v>
      </c>
      <c r="CB1365" t="b">
        <v>0</v>
      </c>
      <c r="CC1365" t="b">
        <v>0</v>
      </c>
      <c r="CD1365" t="b">
        <v>0</v>
      </c>
      <c r="CE1365" t="b">
        <v>0</v>
      </c>
      <c r="CF1365" t="b">
        <v>0</v>
      </c>
    </row>
    <row r="1366" spans="1:84" x14ac:dyDescent="0.3">
      <c r="A1366" t="s">
        <v>3959</v>
      </c>
      <c r="B1366" t="s">
        <v>1212</v>
      </c>
      <c r="C1366" s="98">
        <v>45761</v>
      </c>
      <c r="D1366">
        <v>2025</v>
      </c>
      <c r="E1366">
        <v>4</v>
      </c>
      <c r="F1366">
        <v>2</v>
      </c>
      <c r="G1366" t="s">
        <v>1208</v>
      </c>
      <c r="H1366" t="s">
        <v>150</v>
      </c>
      <c r="I1366" t="s">
        <v>150</v>
      </c>
      <c r="J1366" t="s">
        <v>6</v>
      </c>
      <c r="L1366">
        <v>522611</v>
      </c>
      <c r="M1366" s="99" t="s">
        <v>178</v>
      </c>
      <c r="N1366">
        <v>1</v>
      </c>
      <c r="O1366">
        <v>15</v>
      </c>
      <c r="P1366">
        <v>4.7202000000000002</v>
      </c>
      <c r="Q1366" t="s">
        <v>352</v>
      </c>
      <c r="R1366">
        <v>1</v>
      </c>
      <c r="S1366">
        <v>4.6307</v>
      </c>
      <c r="T1366">
        <v>0.2666</v>
      </c>
      <c r="U1366">
        <v>0.33570892723180845</v>
      </c>
      <c r="V1366">
        <v>3.8309000000000002</v>
      </c>
      <c r="W1366">
        <v>4.0975000000000001</v>
      </c>
      <c r="X1366">
        <v>4.3640999999999996</v>
      </c>
      <c r="Y1366">
        <v>4.8973000000000004</v>
      </c>
      <c r="Z1366">
        <v>5.1638999999999999</v>
      </c>
      <c r="AA1366">
        <v>5.4305000000000003</v>
      </c>
      <c r="AD1366">
        <v>22.797628473468187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 t="s">
        <v>462</v>
      </c>
      <c r="AL1366" t="s">
        <v>6</v>
      </c>
      <c r="AM1366" t="s">
        <v>1145</v>
      </c>
      <c r="AN1366" t="s">
        <v>1146</v>
      </c>
      <c r="AO1366" s="100">
        <v>46262.040405092594</v>
      </c>
      <c r="AP1366" t="s">
        <v>1147</v>
      </c>
      <c r="AQ1366" t="s">
        <v>3960</v>
      </c>
      <c r="AR1366" t="s">
        <v>1215</v>
      </c>
      <c r="AS1366" t="s">
        <v>1150</v>
      </c>
      <c r="AT1366" t="s">
        <v>3932</v>
      </c>
      <c r="AU1366">
        <v>25</v>
      </c>
      <c r="AV1366">
        <v>4.5726240000000002</v>
      </c>
      <c r="AW1366">
        <v>0.2743823522629204</v>
      </c>
      <c r="AX1366">
        <v>6.0005448132827102</v>
      </c>
      <c r="BB1366" t="s">
        <v>4619</v>
      </c>
      <c r="BD1366" s="98"/>
      <c r="BE1366" s="98"/>
      <c r="BF1366" t="s">
        <v>1152</v>
      </c>
      <c r="BG1366" t="s">
        <v>322</v>
      </c>
      <c r="BH1366" t="s">
        <v>1153</v>
      </c>
      <c r="BN1366" t="s">
        <v>1154</v>
      </c>
      <c r="BO1366">
        <v>2025</v>
      </c>
      <c r="BP1366" t="s">
        <v>966</v>
      </c>
      <c r="BZ1366" t="s">
        <v>1513</v>
      </c>
      <c r="CA1366" t="s">
        <v>1513</v>
      </c>
      <c r="CB1366" t="b">
        <v>0</v>
      </c>
      <c r="CC1366" t="b">
        <v>0</v>
      </c>
      <c r="CD1366" t="b">
        <v>0</v>
      </c>
      <c r="CE1366" t="b">
        <v>0</v>
      </c>
      <c r="CF1366" t="b">
        <v>0</v>
      </c>
    </row>
    <row r="1367" spans="1:84" x14ac:dyDescent="0.3">
      <c r="A1367" t="s">
        <v>3961</v>
      </c>
      <c r="B1367" t="s">
        <v>1217</v>
      </c>
      <c r="C1367" s="98">
        <v>45768</v>
      </c>
      <c r="D1367">
        <v>2025</v>
      </c>
      <c r="E1367">
        <v>4</v>
      </c>
      <c r="F1367">
        <v>2</v>
      </c>
      <c r="G1367" t="s">
        <v>1208</v>
      </c>
      <c r="H1367" t="s">
        <v>150</v>
      </c>
      <c r="I1367" t="s">
        <v>150</v>
      </c>
      <c r="J1367" t="s">
        <v>6</v>
      </c>
      <c r="L1367">
        <v>522611</v>
      </c>
      <c r="M1367" s="99" t="s">
        <v>178</v>
      </c>
      <c r="N1367">
        <v>1</v>
      </c>
      <c r="O1367">
        <v>16</v>
      </c>
      <c r="P1367">
        <v>4.7121000000000004</v>
      </c>
      <c r="Q1367" t="s">
        <v>352</v>
      </c>
      <c r="R1367">
        <v>1</v>
      </c>
      <c r="S1367">
        <v>4.6307</v>
      </c>
      <c r="T1367">
        <v>0.2666</v>
      </c>
      <c r="U1367">
        <v>0.30532633158289707</v>
      </c>
      <c r="V1367">
        <v>3.8309000000000002</v>
      </c>
      <c r="W1367">
        <v>4.0975000000000001</v>
      </c>
      <c r="X1367">
        <v>4.3640999999999996</v>
      </c>
      <c r="Y1367">
        <v>4.8973000000000004</v>
      </c>
      <c r="Z1367">
        <v>5.1638999999999999</v>
      </c>
      <c r="AA1367">
        <v>5.4305000000000003</v>
      </c>
      <c r="AD1367">
        <v>22.797628473468187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 t="s">
        <v>462</v>
      </c>
      <c r="AL1367" t="s">
        <v>6</v>
      </c>
      <c r="AM1367" t="s">
        <v>1145</v>
      </c>
      <c r="AN1367" t="s">
        <v>1146</v>
      </c>
      <c r="AO1367" s="100">
        <v>46262.040405092594</v>
      </c>
      <c r="AP1367" t="s">
        <v>1147</v>
      </c>
      <c r="AQ1367" t="s">
        <v>3962</v>
      </c>
      <c r="AR1367" t="s">
        <v>1219</v>
      </c>
      <c r="AS1367" t="s">
        <v>1150</v>
      </c>
      <c r="AT1367" t="s">
        <v>3932</v>
      </c>
      <c r="AU1367">
        <v>25</v>
      </c>
      <c r="AV1367">
        <v>4.5726240000000002</v>
      </c>
      <c r="AW1367">
        <v>0.2743823522629204</v>
      </c>
      <c r="AX1367">
        <v>6.0005448132827102</v>
      </c>
      <c r="BB1367" t="s">
        <v>4619</v>
      </c>
      <c r="BD1367" s="98"/>
      <c r="BE1367" s="98"/>
      <c r="BF1367" t="s">
        <v>1152</v>
      </c>
      <c r="BG1367" t="s">
        <v>322</v>
      </c>
      <c r="BH1367" t="s">
        <v>1153</v>
      </c>
      <c r="BN1367" t="s">
        <v>1154</v>
      </c>
      <c r="BO1367">
        <v>2025</v>
      </c>
      <c r="BP1367" t="s">
        <v>966</v>
      </c>
      <c r="BZ1367" t="s">
        <v>1513</v>
      </c>
      <c r="CA1367" t="s">
        <v>1513</v>
      </c>
      <c r="CB1367" t="b">
        <v>0</v>
      </c>
      <c r="CC1367" t="b">
        <v>0</v>
      </c>
      <c r="CD1367" t="b">
        <v>0</v>
      </c>
      <c r="CE1367" t="b">
        <v>0</v>
      </c>
      <c r="CF1367" t="b">
        <v>0</v>
      </c>
    </row>
    <row r="1368" spans="1:84" x14ac:dyDescent="0.3">
      <c r="A1368" t="s">
        <v>3963</v>
      </c>
      <c r="B1368" t="s">
        <v>1221</v>
      </c>
      <c r="C1368" s="98">
        <v>45775</v>
      </c>
      <c r="D1368">
        <v>2025</v>
      </c>
      <c r="E1368">
        <v>4</v>
      </c>
      <c r="F1368">
        <v>2</v>
      </c>
      <c r="G1368" t="s">
        <v>1208</v>
      </c>
      <c r="H1368" t="s">
        <v>150</v>
      </c>
      <c r="I1368" t="s">
        <v>150</v>
      </c>
      <c r="J1368" t="s">
        <v>6</v>
      </c>
      <c r="L1368">
        <v>522611</v>
      </c>
      <c r="M1368" s="99" t="s">
        <v>178</v>
      </c>
      <c r="N1368">
        <v>1</v>
      </c>
      <c r="O1368">
        <v>17</v>
      </c>
      <c r="P1368">
        <v>4.2648999999999999</v>
      </c>
      <c r="Q1368" t="s">
        <v>352</v>
      </c>
      <c r="R1368">
        <v>1</v>
      </c>
      <c r="S1368">
        <v>4.6307</v>
      </c>
      <c r="T1368">
        <v>0.2666</v>
      </c>
      <c r="U1368">
        <v>-1.3720930232558144</v>
      </c>
      <c r="V1368">
        <v>3.8309000000000002</v>
      </c>
      <c r="W1368">
        <v>4.0975000000000001</v>
      </c>
      <c r="X1368">
        <v>4.3640999999999996</v>
      </c>
      <c r="Y1368">
        <v>4.8973000000000004</v>
      </c>
      <c r="Z1368">
        <v>5.1638999999999999</v>
      </c>
      <c r="AA1368">
        <v>5.4305000000000003</v>
      </c>
      <c r="AD1368">
        <v>22.797628473468187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 t="s">
        <v>462</v>
      </c>
      <c r="AL1368" t="s">
        <v>6</v>
      </c>
      <c r="AM1368" t="s">
        <v>1145</v>
      </c>
      <c r="AN1368" t="s">
        <v>1146</v>
      </c>
      <c r="AO1368" s="100">
        <v>46262.040405092594</v>
      </c>
      <c r="AP1368" t="s">
        <v>1147</v>
      </c>
      <c r="AQ1368" t="s">
        <v>3964</v>
      </c>
      <c r="AR1368" t="s">
        <v>1223</v>
      </c>
      <c r="AS1368" t="s">
        <v>1150</v>
      </c>
      <c r="AT1368" t="s">
        <v>3932</v>
      </c>
      <c r="AU1368">
        <v>25</v>
      </c>
      <c r="AV1368">
        <v>4.5726240000000002</v>
      </c>
      <c r="AW1368">
        <v>0.2743823522629204</v>
      </c>
      <c r="AX1368">
        <v>6.0005448132827102</v>
      </c>
      <c r="BB1368" t="s">
        <v>4619</v>
      </c>
      <c r="BD1368" s="98"/>
      <c r="BE1368" s="98"/>
      <c r="BF1368" t="s">
        <v>1152</v>
      </c>
      <c r="BG1368" t="s">
        <v>322</v>
      </c>
      <c r="BH1368" t="s">
        <v>1153</v>
      </c>
      <c r="BN1368" t="s">
        <v>1154</v>
      </c>
      <c r="BO1368">
        <v>2025</v>
      </c>
      <c r="BP1368" t="s">
        <v>966</v>
      </c>
      <c r="BZ1368" t="s">
        <v>1513</v>
      </c>
      <c r="CA1368" t="s">
        <v>1513</v>
      </c>
      <c r="CB1368" t="b">
        <v>0</v>
      </c>
      <c r="CC1368" t="b">
        <v>0</v>
      </c>
      <c r="CD1368" t="b">
        <v>0</v>
      </c>
      <c r="CE1368" t="b">
        <v>0</v>
      </c>
      <c r="CF1368" t="b">
        <v>0</v>
      </c>
    </row>
    <row r="1369" spans="1:84" x14ac:dyDescent="0.3">
      <c r="A1369" t="s">
        <v>3965</v>
      </c>
      <c r="B1369" t="s">
        <v>1225</v>
      </c>
      <c r="C1369" s="98">
        <v>45782</v>
      </c>
      <c r="D1369">
        <v>2025</v>
      </c>
      <c r="E1369">
        <v>5</v>
      </c>
      <c r="F1369">
        <v>2</v>
      </c>
      <c r="G1369" t="s">
        <v>1226</v>
      </c>
      <c r="H1369" t="s">
        <v>150</v>
      </c>
      <c r="I1369" t="s">
        <v>150</v>
      </c>
      <c r="J1369" t="s">
        <v>6</v>
      </c>
      <c r="L1369">
        <v>522611</v>
      </c>
      <c r="M1369" s="99" t="s">
        <v>178</v>
      </c>
      <c r="N1369">
        <v>1</v>
      </c>
      <c r="O1369">
        <v>18</v>
      </c>
      <c r="P1369">
        <v>4.3678999999999997</v>
      </c>
      <c r="Q1369" t="s">
        <v>352</v>
      </c>
      <c r="R1369">
        <v>1</v>
      </c>
      <c r="S1369">
        <v>4.6307</v>
      </c>
      <c r="T1369">
        <v>0.2666</v>
      </c>
      <c r="U1369">
        <v>-0.98574643660915362</v>
      </c>
      <c r="V1369">
        <v>3.8309000000000002</v>
      </c>
      <c r="W1369">
        <v>4.0975000000000001</v>
      </c>
      <c r="X1369">
        <v>4.3640999999999996</v>
      </c>
      <c r="Y1369">
        <v>4.8973000000000004</v>
      </c>
      <c r="Z1369">
        <v>5.1638999999999999</v>
      </c>
      <c r="AA1369">
        <v>5.4305000000000003</v>
      </c>
      <c r="AD1369">
        <v>22.797628473468187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 t="s">
        <v>462</v>
      </c>
      <c r="AL1369" t="s">
        <v>6</v>
      </c>
      <c r="AM1369" t="s">
        <v>1145</v>
      </c>
      <c r="AN1369" t="s">
        <v>1146</v>
      </c>
      <c r="AO1369" s="100">
        <v>46262.040405092594</v>
      </c>
      <c r="AP1369" t="s">
        <v>1147</v>
      </c>
      <c r="AQ1369" t="s">
        <v>3966</v>
      </c>
      <c r="AR1369" t="s">
        <v>1228</v>
      </c>
      <c r="AS1369" t="s">
        <v>1150</v>
      </c>
      <c r="AT1369" t="s">
        <v>3932</v>
      </c>
      <c r="AU1369">
        <v>25</v>
      </c>
      <c r="AV1369">
        <v>4.5726240000000002</v>
      </c>
      <c r="AW1369">
        <v>0.2743823522629204</v>
      </c>
      <c r="AX1369">
        <v>6.0005448132827102</v>
      </c>
      <c r="BB1369" t="s">
        <v>4619</v>
      </c>
      <c r="BD1369" s="98"/>
      <c r="BE1369" s="98"/>
      <c r="BF1369" t="s">
        <v>1152</v>
      </c>
      <c r="BG1369" t="s">
        <v>322</v>
      </c>
      <c r="BH1369" t="s">
        <v>1153</v>
      </c>
      <c r="BN1369" t="s">
        <v>1154</v>
      </c>
      <c r="BO1369">
        <v>2025</v>
      </c>
      <c r="BP1369" t="s">
        <v>966</v>
      </c>
      <c r="BZ1369" t="s">
        <v>1513</v>
      </c>
      <c r="CA1369" t="s">
        <v>1513</v>
      </c>
      <c r="CB1369" t="b">
        <v>0</v>
      </c>
      <c r="CC1369" t="b">
        <v>0</v>
      </c>
      <c r="CD1369" t="b">
        <v>0</v>
      </c>
      <c r="CE1369" t="b">
        <v>0</v>
      </c>
      <c r="CF1369" t="b">
        <v>0</v>
      </c>
    </row>
    <row r="1370" spans="1:84" x14ac:dyDescent="0.3">
      <c r="A1370" t="s">
        <v>3967</v>
      </c>
      <c r="B1370" t="s">
        <v>1230</v>
      </c>
      <c r="C1370" s="98">
        <v>45789</v>
      </c>
      <c r="D1370">
        <v>2025</v>
      </c>
      <c r="E1370">
        <v>5</v>
      </c>
      <c r="F1370">
        <v>2</v>
      </c>
      <c r="G1370" t="s">
        <v>1226</v>
      </c>
      <c r="H1370" t="s">
        <v>150</v>
      </c>
      <c r="I1370" t="s">
        <v>150</v>
      </c>
      <c r="J1370" t="s">
        <v>6</v>
      </c>
      <c r="L1370">
        <v>522611</v>
      </c>
      <c r="M1370" s="99" t="s">
        <v>178</v>
      </c>
      <c r="N1370">
        <v>1</v>
      </c>
      <c r="O1370">
        <v>19</v>
      </c>
      <c r="P1370">
        <v>4.7732999999999999</v>
      </c>
      <c r="Q1370" t="s">
        <v>352</v>
      </c>
      <c r="R1370">
        <v>1</v>
      </c>
      <c r="S1370">
        <v>4.6307</v>
      </c>
      <c r="T1370">
        <v>0.2666</v>
      </c>
      <c r="U1370">
        <v>0.53488372093023195</v>
      </c>
      <c r="V1370">
        <v>3.8309000000000002</v>
      </c>
      <c r="W1370">
        <v>4.0975000000000001</v>
      </c>
      <c r="X1370">
        <v>4.3640999999999996</v>
      </c>
      <c r="Y1370">
        <v>4.8973000000000004</v>
      </c>
      <c r="Z1370">
        <v>5.1638999999999999</v>
      </c>
      <c r="AA1370">
        <v>5.4305000000000003</v>
      </c>
      <c r="AD1370">
        <v>22.797628473468187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 t="s">
        <v>462</v>
      </c>
      <c r="AL1370" t="s">
        <v>6</v>
      </c>
      <c r="AM1370" t="s">
        <v>1145</v>
      </c>
      <c r="AN1370" t="s">
        <v>1146</v>
      </c>
      <c r="AO1370" s="100">
        <v>46262.040405092594</v>
      </c>
      <c r="AP1370" t="s">
        <v>1147</v>
      </c>
      <c r="AQ1370" t="s">
        <v>3968</v>
      </c>
      <c r="AR1370" t="s">
        <v>1232</v>
      </c>
      <c r="AS1370" t="s">
        <v>1150</v>
      </c>
      <c r="AT1370" t="s">
        <v>3932</v>
      </c>
      <c r="AU1370">
        <v>25</v>
      </c>
      <c r="AV1370">
        <v>4.5726240000000002</v>
      </c>
      <c r="AW1370">
        <v>0.2743823522629204</v>
      </c>
      <c r="AX1370">
        <v>6.0005448132827102</v>
      </c>
      <c r="BB1370" t="s">
        <v>4619</v>
      </c>
      <c r="BD1370" s="98"/>
      <c r="BE1370" s="98"/>
      <c r="BF1370" t="s">
        <v>1152</v>
      </c>
      <c r="BG1370" t="s">
        <v>322</v>
      </c>
      <c r="BH1370" t="s">
        <v>1153</v>
      </c>
      <c r="BN1370" t="s">
        <v>1154</v>
      </c>
      <c r="BO1370">
        <v>2025</v>
      </c>
      <c r="BP1370" t="s">
        <v>966</v>
      </c>
      <c r="BZ1370" t="s">
        <v>1513</v>
      </c>
      <c r="CA1370" t="s">
        <v>1513</v>
      </c>
      <c r="CB1370" t="b">
        <v>0</v>
      </c>
      <c r="CC1370" t="b">
        <v>0</v>
      </c>
      <c r="CD1370" t="b">
        <v>0</v>
      </c>
      <c r="CE1370" t="b">
        <v>0</v>
      </c>
      <c r="CF1370" t="b">
        <v>0</v>
      </c>
    </row>
    <row r="1371" spans="1:84" x14ac:dyDescent="0.3">
      <c r="A1371" t="s">
        <v>3969</v>
      </c>
      <c r="B1371" t="s">
        <v>1234</v>
      </c>
      <c r="C1371" s="98">
        <v>45796</v>
      </c>
      <c r="D1371">
        <v>2025</v>
      </c>
      <c r="E1371">
        <v>5</v>
      </c>
      <c r="F1371">
        <v>2</v>
      </c>
      <c r="G1371" t="s">
        <v>1226</v>
      </c>
      <c r="H1371" t="s">
        <v>150</v>
      </c>
      <c r="I1371" t="s">
        <v>150</v>
      </c>
      <c r="J1371" t="s">
        <v>6</v>
      </c>
      <c r="L1371">
        <v>522611</v>
      </c>
      <c r="M1371" s="99" t="s">
        <v>178</v>
      </c>
      <c r="N1371">
        <v>1</v>
      </c>
      <c r="O1371">
        <v>20</v>
      </c>
      <c r="P1371">
        <v>4.7846000000000002</v>
      </c>
      <c r="Q1371" t="s">
        <v>352</v>
      </c>
      <c r="R1371">
        <v>1</v>
      </c>
      <c r="S1371">
        <v>4.6307</v>
      </c>
      <c r="T1371">
        <v>0.2666</v>
      </c>
      <c r="U1371">
        <v>0.57726931732933284</v>
      </c>
      <c r="V1371">
        <v>3.8309000000000002</v>
      </c>
      <c r="W1371">
        <v>4.0975000000000001</v>
      </c>
      <c r="X1371">
        <v>4.3640999999999996</v>
      </c>
      <c r="Y1371">
        <v>4.8973000000000004</v>
      </c>
      <c r="Z1371">
        <v>5.1638999999999999</v>
      </c>
      <c r="AA1371">
        <v>5.4305000000000003</v>
      </c>
      <c r="AD1371">
        <v>22.797628473468187</v>
      </c>
      <c r="AE1371">
        <v>0</v>
      </c>
      <c r="AF1371">
        <v>0</v>
      </c>
      <c r="AG1371">
        <v>0</v>
      </c>
      <c r="AH1371">
        <v>0</v>
      </c>
      <c r="AI1371">
        <v>1</v>
      </c>
      <c r="AJ1371">
        <v>0</v>
      </c>
      <c r="AK1371" t="s">
        <v>1213</v>
      </c>
      <c r="AL1371" t="s">
        <v>6</v>
      </c>
      <c r="AM1371" t="s">
        <v>1145</v>
      </c>
      <c r="AN1371" t="s">
        <v>1146</v>
      </c>
      <c r="AO1371" s="100">
        <v>46262.040405092594</v>
      </c>
      <c r="AP1371" t="s">
        <v>1147</v>
      </c>
      <c r="AQ1371" t="s">
        <v>3970</v>
      </c>
      <c r="AR1371" t="s">
        <v>1236</v>
      </c>
      <c r="AS1371" t="s">
        <v>1150</v>
      </c>
      <c r="AT1371" t="s">
        <v>3932</v>
      </c>
      <c r="AU1371">
        <v>25</v>
      </c>
      <c r="AV1371">
        <v>4.5726240000000002</v>
      </c>
      <c r="AW1371">
        <v>0.2743823522629204</v>
      </c>
      <c r="AX1371">
        <v>6.0005448132827102</v>
      </c>
      <c r="BB1371" t="s">
        <v>4619</v>
      </c>
      <c r="BD1371" s="98"/>
      <c r="BE1371" s="98"/>
      <c r="BF1371" t="s">
        <v>1152</v>
      </c>
      <c r="BG1371" t="s">
        <v>322</v>
      </c>
      <c r="BH1371" t="s">
        <v>1153</v>
      </c>
      <c r="BN1371" t="s">
        <v>1154</v>
      </c>
      <c r="BO1371">
        <v>2025</v>
      </c>
      <c r="BP1371" t="s">
        <v>966</v>
      </c>
      <c r="BZ1371" t="s">
        <v>1513</v>
      </c>
      <c r="CA1371" t="s">
        <v>1513</v>
      </c>
      <c r="CB1371" t="b">
        <v>0</v>
      </c>
      <c r="CC1371" t="b">
        <v>0</v>
      </c>
      <c r="CD1371" t="b">
        <v>0</v>
      </c>
      <c r="CE1371" t="b">
        <v>0</v>
      </c>
      <c r="CF1371" t="b">
        <v>0</v>
      </c>
    </row>
    <row r="1372" spans="1:84" x14ac:dyDescent="0.3">
      <c r="A1372" t="s">
        <v>3971</v>
      </c>
      <c r="B1372" t="s">
        <v>1238</v>
      </c>
      <c r="C1372" s="98">
        <v>45803</v>
      </c>
      <c r="D1372">
        <v>2025</v>
      </c>
      <c r="E1372">
        <v>5</v>
      </c>
      <c r="F1372">
        <v>2</v>
      </c>
      <c r="G1372" t="s">
        <v>1226</v>
      </c>
      <c r="H1372" t="s">
        <v>150</v>
      </c>
      <c r="I1372" t="s">
        <v>150</v>
      </c>
      <c r="J1372" t="s">
        <v>6</v>
      </c>
      <c r="L1372">
        <v>522611</v>
      </c>
      <c r="M1372" s="99" t="s">
        <v>178</v>
      </c>
      <c r="N1372">
        <v>1</v>
      </c>
      <c r="O1372">
        <v>21</v>
      </c>
      <c r="P1372">
        <v>4.4592000000000001</v>
      </c>
      <c r="Q1372" t="s">
        <v>352</v>
      </c>
      <c r="R1372">
        <v>1</v>
      </c>
      <c r="S1372">
        <v>4.6307</v>
      </c>
      <c r="T1372">
        <v>0.2666</v>
      </c>
      <c r="U1372">
        <v>-0.64328582145536373</v>
      </c>
      <c r="V1372">
        <v>3.8309000000000002</v>
      </c>
      <c r="W1372">
        <v>4.0975000000000001</v>
      </c>
      <c r="X1372">
        <v>4.3640999999999996</v>
      </c>
      <c r="Y1372">
        <v>4.8973000000000004</v>
      </c>
      <c r="Z1372">
        <v>5.1638999999999999</v>
      </c>
      <c r="AA1372">
        <v>5.4305000000000003</v>
      </c>
      <c r="AD1372">
        <v>22.797628473468187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 t="s">
        <v>462</v>
      </c>
      <c r="AL1372" t="s">
        <v>6</v>
      </c>
      <c r="AM1372" t="s">
        <v>1145</v>
      </c>
      <c r="AN1372" t="s">
        <v>1146</v>
      </c>
      <c r="AO1372" s="100">
        <v>46262.040405092594</v>
      </c>
      <c r="AP1372" t="s">
        <v>1147</v>
      </c>
      <c r="AQ1372" t="s">
        <v>3972</v>
      </c>
      <c r="AR1372" t="s">
        <v>1240</v>
      </c>
      <c r="AS1372" t="s">
        <v>1150</v>
      </c>
      <c r="AT1372" t="s">
        <v>3932</v>
      </c>
      <c r="AU1372">
        <v>25</v>
      </c>
      <c r="AV1372">
        <v>4.5726240000000002</v>
      </c>
      <c r="AW1372">
        <v>0.2743823522629204</v>
      </c>
      <c r="AX1372">
        <v>6.0005448132827102</v>
      </c>
      <c r="BB1372" t="s">
        <v>4619</v>
      </c>
      <c r="BD1372" s="98"/>
      <c r="BE1372" s="98"/>
      <c r="BF1372" t="s">
        <v>1152</v>
      </c>
      <c r="BG1372" t="s">
        <v>322</v>
      </c>
      <c r="BH1372" t="s">
        <v>1153</v>
      </c>
      <c r="BN1372" t="s">
        <v>1154</v>
      </c>
      <c r="BO1372">
        <v>2025</v>
      </c>
      <c r="BP1372" t="s">
        <v>966</v>
      </c>
      <c r="BZ1372" t="s">
        <v>1513</v>
      </c>
      <c r="CA1372" t="s">
        <v>1513</v>
      </c>
      <c r="CB1372" t="b">
        <v>0</v>
      </c>
      <c r="CC1372" t="b">
        <v>0</v>
      </c>
      <c r="CD1372" t="b">
        <v>0</v>
      </c>
      <c r="CE1372" t="b">
        <v>0</v>
      </c>
      <c r="CF1372" t="b">
        <v>0</v>
      </c>
    </row>
    <row r="1373" spans="1:84" x14ac:dyDescent="0.3">
      <c r="A1373" t="s">
        <v>3973</v>
      </c>
      <c r="B1373" t="s">
        <v>1242</v>
      </c>
      <c r="C1373" s="98">
        <v>45810</v>
      </c>
      <c r="D1373">
        <v>2025</v>
      </c>
      <c r="E1373">
        <v>6</v>
      </c>
      <c r="F1373">
        <v>2</v>
      </c>
      <c r="G1373" t="s">
        <v>1243</v>
      </c>
      <c r="H1373" t="s">
        <v>150</v>
      </c>
      <c r="I1373" t="s">
        <v>150</v>
      </c>
      <c r="J1373" t="s">
        <v>6</v>
      </c>
      <c r="L1373">
        <v>522611</v>
      </c>
      <c r="M1373" s="99" t="s">
        <v>178</v>
      </c>
      <c r="N1373">
        <v>1</v>
      </c>
      <c r="O1373">
        <v>22</v>
      </c>
      <c r="P1373">
        <v>4.7965999999999998</v>
      </c>
      <c r="Q1373" t="s">
        <v>352</v>
      </c>
      <c r="R1373">
        <v>1</v>
      </c>
      <c r="S1373">
        <v>4.6307</v>
      </c>
      <c r="T1373">
        <v>0.2666</v>
      </c>
      <c r="U1373">
        <v>0.62228057014253457</v>
      </c>
      <c r="V1373">
        <v>3.8309000000000002</v>
      </c>
      <c r="W1373">
        <v>4.0975000000000001</v>
      </c>
      <c r="X1373">
        <v>4.3640999999999996</v>
      </c>
      <c r="Y1373">
        <v>4.8973000000000004</v>
      </c>
      <c r="Z1373">
        <v>5.1638999999999999</v>
      </c>
      <c r="AA1373">
        <v>5.4305000000000003</v>
      </c>
      <c r="AD1373">
        <v>22.797628473468187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 t="s">
        <v>462</v>
      </c>
      <c r="AL1373" t="s">
        <v>6</v>
      </c>
      <c r="AM1373" t="s">
        <v>1145</v>
      </c>
      <c r="AN1373" t="s">
        <v>1146</v>
      </c>
      <c r="AO1373" s="100">
        <v>46262.040405092594</v>
      </c>
      <c r="AP1373" t="s">
        <v>1147</v>
      </c>
      <c r="AQ1373" t="s">
        <v>3974</v>
      </c>
      <c r="AR1373" t="s">
        <v>1245</v>
      </c>
      <c r="AS1373" t="s">
        <v>1150</v>
      </c>
      <c r="AT1373" t="s">
        <v>3932</v>
      </c>
      <c r="AU1373">
        <v>25</v>
      </c>
      <c r="AV1373">
        <v>4.5726240000000002</v>
      </c>
      <c r="AW1373">
        <v>0.2743823522629204</v>
      </c>
      <c r="AX1373">
        <v>6.0005448132827102</v>
      </c>
      <c r="BB1373" t="s">
        <v>4619</v>
      </c>
      <c r="BD1373" s="98"/>
      <c r="BE1373" s="98"/>
      <c r="BF1373" t="s">
        <v>1152</v>
      </c>
      <c r="BG1373" t="s">
        <v>322</v>
      </c>
      <c r="BH1373" t="s">
        <v>1153</v>
      </c>
      <c r="BN1373" t="s">
        <v>1154</v>
      </c>
      <c r="BO1373">
        <v>2025</v>
      </c>
      <c r="BP1373" t="s">
        <v>966</v>
      </c>
      <c r="BZ1373" t="s">
        <v>1513</v>
      </c>
      <c r="CA1373" t="s">
        <v>1513</v>
      </c>
      <c r="CB1373" t="b">
        <v>0</v>
      </c>
      <c r="CC1373" t="b">
        <v>0</v>
      </c>
      <c r="CD1373" t="b">
        <v>0</v>
      </c>
      <c r="CE1373" t="b">
        <v>0</v>
      </c>
      <c r="CF1373" t="b">
        <v>0</v>
      </c>
    </row>
    <row r="1374" spans="1:84" x14ac:dyDescent="0.3">
      <c r="A1374" t="s">
        <v>3975</v>
      </c>
      <c r="B1374" t="s">
        <v>1247</v>
      </c>
      <c r="C1374" s="98">
        <v>45817</v>
      </c>
      <c r="D1374">
        <v>2025</v>
      </c>
      <c r="E1374">
        <v>6</v>
      </c>
      <c r="F1374">
        <v>2</v>
      </c>
      <c r="G1374" t="s">
        <v>1243</v>
      </c>
      <c r="H1374" t="s">
        <v>150</v>
      </c>
      <c r="I1374" t="s">
        <v>150</v>
      </c>
      <c r="J1374" t="s">
        <v>6</v>
      </c>
      <c r="L1374">
        <v>522611</v>
      </c>
      <c r="M1374" s="99" t="s">
        <v>178</v>
      </c>
      <c r="N1374">
        <v>1</v>
      </c>
      <c r="O1374">
        <v>23</v>
      </c>
      <c r="P1374">
        <v>4.7831999999999999</v>
      </c>
      <c r="Q1374" t="s">
        <v>352</v>
      </c>
      <c r="R1374">
        <v>1</v>
      </c>
      <c r="S1374">
        <v>4.6307</v>
      </c>
      <c r="T1374">
        <v>0.2666</v>
      </c>
      <c r="U1374">
        <v>0.57201800450112472</v>
      </c>
      <c r="V1374">
        <v>3.8309000000000002</v>
      </c>
      <c r="W1374">
        <v>4.0975000000000001</v>
      </c>
      <c r="X1374">
        <v>4.3640999999999996</v>
      </c>
      <c r="Y1374">
        <v>4.8973000000000004</v>
      </c>
      <c r="Z1374">
        <v>5.1638999999999999</v>
      </c>
      <c r="AA1374">
        <v>5.4305000000000003</v>
      </c>
      <c r="AD1374">
        <v>22.797628473468187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 t="s">
        <v>462</v>
      </c>
      <c r="AL1374" t="s">
        <v>6</v>
      </c>
      <c r="AM1374" t="s">
        <v>1145</v>
      </c>
      <c r="AN1374" t="s">
        <v>1146</v>
      </c>
      <c r="AO1374" s="100">
        <v>46262.040405092594</v>
      </c>
      <c r="AP1374" t="s">
        <v>1147</v>
      </c>
      <c r="AQ1374" t="s">
        <v>3976</v>
      </c>
      <c r="AR1374" t="s">
        <v>1249</v>
      </c>
      <c r="AS1374" t="s">
        <v>1150</v>
      </c>
      <c r="AT1374" t="s">
        <v>3932</v>
      </c>
      <c r="AU1374">
        <v>25</v>
      </c>
      <c r="AV1374">
        <v>4.5726240000000002</v>
      </c>
      <c r="AW1374">
        <v>0.2743823522629204</v>
      </c>
      <c r="AX1374">
        <v>6.0005448132827102</v>
      </c>
      <c r="BB1374" t="s">
        <v>4619</v>
      </c>
      <c r="BD1374" s="98"/>
      <c r="BE1374" s="98"/>
      <c r="BF1374" t="s">
        <v>1152</v>
      </c>
      <c r="BG1374" t="s">
        <v>322</v>
      </c>
      <c r="BH1374" t="s">
        <v>1153</v>
      </c>
      <c r="BN1374" t="s">
        <v>1154</v>
      </c>
      <c r="BO1374">
        <v>2025</v>
      </c>
      <c r="BP1374" t="s">
        <v>966</v>
      </c>
      <c r="BZ1374" t="s">
        <v>1513</v>
      </c>
      <c r="CA1374" t="s">
        <v>1513</v>
      </c>
      <c r="CB1374" t="b">
        <v>0</v>
      </c>
      <c r="CC1374" t="b">
        <v>0</v>
      </c>
      <c r="CD1374" t="b">
        <v>0</v>
      </c>
      <c r="CE1374" t="b">
        <v>0</v>
      </c>
      <c r="CF1374" t="b">
        <v>0</v>
      </c>
    </row>
    <row r="1375" spans="1:84" x14ac:dyDescent="0.3">
      <c r="A1375" t="s">
        <v>3977</v>
      </c>
      <c r="B1375" t="s">
        <v>1251</v>
      </c>
      <c r="C1375" s="98">
        <v>45824</v>
      </c>
      <c r="D1375">
        <v>2025</v>
      </c>
      <c r="E1375">
        <v>6</v>
      </c>
      <c r="F1375">
        <v>2</v>
      </c>
      <c r="G1375" t="s">
        <v>1243</v>
      </c>
      <c r="H1375" t="s">
        <v>150</v>
      </c>
      <c r="I1375" t="s">
        <v>150</v>
      </c>
      <c r="J1375" t="s">
        <v>6</v>
      </c>
      <c r="L1375">
        <v>522611</v>
      </c>
      <c r="M1375" s="99" t="s">
        <v>178</v>
      </c>
      <c r="N1375">
        <v>1</v>
      </c>
      <c r="O1375">
        <v>24</v>
      </c>
      <c r="P1375">
        <v>4.1551999999999998</v>
      </c>
      <c r="Q1375" t="s">
        <v>352</v>
      </c>
      <c r="R1375">
        <v>1</v>
      </c>
      <c r="S1375">
        <v>4.6307</v>
      </c>
      <c r="T1375">
        <v>0.2666</v>
      </c>
      <c r="U1375">
        <v>-1.7835708927231817</v>
      </c>
      <c r="V1375">
        <v>3.8309000000000002</v>
      </c>
      <c r="W1375">
        <v>4.0975000000000001</v>
      </c>
      <c r="X1375">
        <v>4.3640999999999996</v>
      </c>
      <c r="Y1375">
        <v>4.8973000000000004</v>
      </c>
      <c r="Z1375">
        <v>5.1638999999999999</v>
      </c>
      <c r="AA1375">
        <v>5.4305000000000003</v>
      </c>
      <c r="AD1375">
        <v>22.797628473468187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 t="s">
        <v>462</v>
      </c>
      <c r="AL1375" t="s">
        <v>6</v>
      </c>
      <c r="AM1375" t="s">
        <v>1145</v>
      </c>
      <c r="AN1375" t="s">
        <v>1146</v>
      </c>
      <c r="AO1375" s="100">
        <v>46262.040405092594</v>
      </c>
      <c r="AP1375" t="s">
        <v>1147</v>
      </c>
      <c r="AQ1375" t="s">
        <v>3978</v>
      </c>
      <c r="AR1375" t="s">
        <v>1253</v>
      </c>
      <c r="AS1375" t="s">
        <v>1150</v>
      </c>
      <c r="AT1375" t="s">
        <v>3932</v>
      </c>
      <c r="AU1375">
        <v>25</v>
      </c>
      <c r="AV1375">
        <v>4.5726240000000002</v>
      </c>
      <c r="AW1375">
        <v>0.2743823522629204</v>
      </c>
      <c r="AX1375">
        <v>6.0005448132827102</v>
      </c>
      <c r="BB1375" t="s">
        <v>4619</v>
      </c>
      <c r="BD1375" s="98"/>
      <c r="BE1375" s="98"/>
      <c r="BF1375" t="s">
        <v>1152</v>
      </c>
      <c r="BG1375" t="s">
        <v>322</v>
      </c>
      <c r="BH1375" t="s">
        <v>1153</v>
      </c>
      <c r="BN1375" t="s">
        <v>1154</v>
      </c>
      <c r="BO1375">
        <v>2025</v>
      </c>
      <c r="BP1375" t="s">
        <v>966</v>
      </c>
      <c r="BZ1375" t="s">
        <v>1513</v>
      </c>
      <c r="CA1375" t="s">
        <v>1513</v>
      </c>
      <c r="CB1375" t="b">
        <v>0</v>
      </c>
      <c r="CC1375" t="b">
        <v>0</v>
      </c>
      <c r="CD1375" t="b">
        <v>0</v>
      </c>
      <c r="CE1375" t="b">
        <v>0</v>
      </c>
      <c r="CF1375" t="b">
        <v>0</v>
      </c>
    </row>
    <row r="1376" spans="1:84" x14ac:dyDescent="0.3">
      <c r="A1376" t="s">
        <v>3979</v>
      </c>
      <c r="B1376" t="s">
        <v>1255</v>
      </c>
      <c r="C1376" s="98">
        <v>45831</v>
      </c>
      <c r="D1376">
        <v>2025</v>
      </c>
      <c r="E1376">
        <v>6</v>
      </c>
      <c r="F1376">
        <v>2</v>
      </c>
      <c r="G1376" t="s">
        <v>1243</v>
      </c>
      <c r="H1376" t="s">
        <v>150</v>
      </c>
      <c r="I1376" t="s">
        <v>150</v>
      </c>
      <c r="J1376" t="s">
        <v>6</v>
      </c>
      <c r="L1376">
        <v>522611</v>
      </c>
      <c r="M1376" s="99" t="s">
        <v>178</v>
      </c>
      <c r="N1376">
        <v>1</v>
      </c>
      <c r="O1376">
        <v>25</v>
      </c>
      <c r="P1376">
        <v>4.5475000000000003</v>
      </c>
      <c r="Q1376" t="s">
        <v>352</v>
      </c>
      <c r="R1376">
        <v>1</v>
      </c>
      <c r="S1376">
        <v>4.6307</v>
      </c>
      <c r="T1376">
        <v>0.2666</v>
      </c>
      <c r="U1376">
        <v>-0.31207801950487518</v>
      </c>
      <c r="V1376">
        <v>3.8309000000000002</v>
      </c>
      <c r="W1376">
        <v>4.0975000000000001</v>
      </c>
      <c r="X1376">
        <v>4.3640999999999996</v>
      </c>
      <c r="Y1376">
        <v>4.8973000000000004</v>
      </c>
      <c r="Z1376">
        <v>5.1638999999999999</v>
      </c>
      <c r="AA1376">
        <v>5.4305000000000003</v>
      </c>
      <c r="AD1376">
        <v>22.797628473468187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 t="s">
        <v>462</v>
      </c>
      <c r="AL1376" t="s">
        <v>6</v>
      </c>
      <c r="AM1376" t="s">
        <v>1145</v>
      </c>
      <c r="AN1376" t="s">
        <v>1146</v>
      </c>
      <c r="AO1376" s="100">
        <v>46262.040405092594</v>
      </c>
      <c r="AP1376" t="s">
        <v>1147</v>
      </c>
      <c r="AQ1376" t="s">
        <v>3980</v>
      </c>
      <c r="AR1376" t="s">
        <v>1257</v>
      </c>
      <c r="AS1376" t="s">
        <v>1150</v>
      </c>
      <c r="AT1376" t="s">
        <v>3932</v>
      </c>
      <c r="AU1376">
        <v>25</v>
      </c>
      <c r="AV1376">
        <v>4.5726240000000002</v>
      </c>
      <c r="AW1376">
        <v>0.2743823522629204</v>
      </c>
      <c r="AX1376">
        <v>6.0005448132827102</v>
      </c>
      <c r="BB1376" t="s">
        <v>4619</v>
      </c>
      <c r="BD1376" s="98"/>
      <c r="BE1376" s="98"/>
      <c r="BF1376" t="s">
        <v>1152</v>
      </c>
      <c r="BG1376" t="s">
        <v>322</v>
      </c>
      <c r="BH1376" t="s">
        <v>1153</v>
      </c>
      <c r="BN1376" t="s">
        <v>1154</v>
      </c>
      <c r="BO1376">
        <v>2025</v>
      </c>
      <c r="BP1376" t="s">
        <v>966</v>
      </c>
      <c r="BZ1376" t="s">
        <v>1513</v>
      </c>
      <c r="CA1376" t="s">
        <v>1513</v>
      </c>
      <c r="CB1376" t="b">
        <v>0</v>
      </c>
      <c r="CC1376" t="b">
        <v>0</v>
      </c>
      <c r="CD1376" t="b">
        <v>0</v>
      </c>
      <c r="CE1376" t="b">
        <v>0</v>
      </c>
      <c r="CF1376" t="b">
        <v>0</v>
      </c>
    </row>
    <row r="1377" spans="1:84" x14ac:dyDescent="0.3">
      <c r="A1377" t="s">
        <v>3981</v>
      </c>
      <c r="B1377" t="s">
        <v>1143</v>
      </c>
      <c r="C1377" s="98">
        <v>45663</v>
      </c>
      <c r="D1377">
        <v>2025</v>
      </c>
      <c r="E1377">
        <v>1</v>
      </c>
      <c r="F1377">
        <v>1</v>
      </c>
      <c r="G1377" t="s">
        <v>1144</v>
      </c>
      <c r="H1377" t="s">
        <v>150</v>
      </c>
      <c r="I1377" t="s">
        <v>150</v>
      </c>
      <c r="J1377" t="s">
        <v>6</v>
      </c>
      <c r="L1377">
        <v>522611</v>
      </c>
      <c r="M1377" s="99" t="s">
        <v>179</v>
      </c>
      <c r="N1377">
        <v>2</v>
      </c>
      <c r="O1377">
        <v>1</v>
      </c>
      <c r="P1377">
        <v>2.3692000000000002</v>
      </c>
      <c r="Q1377" t="s">
        <v>352</v>
      </c>
      <c r="R1377">
        <v>1</v>
      </c>
      <c r="S1377">
        <v>2.3437999999999999</v>
      </c>
      <c r="T1377">
        <v>6.13E-2</v>
      </c>
      <c r="U1377">
        <v>0.41435562805873266</v>
      </c>
      <c r="V1377">
        <v>2.1598999999999999</v>
      </c>
      <c r="W1377">
        <v>2.2212000000000001</v>
      </c>
      <c r="X1377">
        <v>2.2824999999999998</v>
      </c>
      <c r="Y1377">
        <v>2.4051</v>
      </c>
      <c r="Z1377">
        <v>2.4663999999999997</v>
      </c>
      <c r="AA1377">
        <v>2.5276999999999998</v>
      </c>
      <c r="AD1377">
        <v>22.797628473468187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 t="s">
        <v>462</v>
      </c>
      <c r="AL1377" t="s">
        <v>6</v>
      </c>
      <c r="AM1377" t="s">
        <v>1145</v>
      </c>
      <c r="AN1377" t="s">
        <v>1146</v>
      </c>
      <c r="AO1377" s="100">
        <v>46262.040405092594</v>
      </c>
      <c r="AP1377" t="s">
        <v>1147</v>
      </c>
      <c r="AQ1377" t="s">
        <v>3982</v>
      </c>
      <c r="AR1377" t="s">
        <v>1149</v>
      </c>
      <c r="AS1377" t="s">
        <v>1150</v>
      </c>
      <c r="AT1377" t="s">
        <v>3932</v>
      </c>
      <c r="AU1377">
        <v>25</v>
      </c>
      <c r="AV1377">
        <v>2.3624999999999998</v>
      </c>
      <c r="AW1377">
        <v>8.893195900987072E-2</v>
      </c>
      <c r="AX1377">
        <v>3.7643157252855333</v>
      </c>
      <c r="BB1377" t="s">
        <v>4619</v>
      </c>
      <c r="BD1377" s="98"/>
      <c r="BE1377" s="98"/>
      <c r="BF1377" t="s">
        <v>1152</v>
      </c>
      <c r="BG1377" t="s">
        <v>322</v>
      </c>
      <c r="BH1377" t="s">
        <v>1153</v>
      </c>
      <c r="BN1377" t="s">
        <v>1154</v>
      </c>
      <c r="BO1377">
        <v>2025</v>
      </c>
      <c r="BP1377" t="s">
        <v>966</v>
      </c>
      <c r="BZ1377" t="s">
        <v>1513</v>
      </c>
      <c r="CA1377" t="s">
        <v>1513</v>
      </c>
      <c r="CB1377" t="b">
        <v>0</v>
      </c>
      <c r="CC1377" t="b">
        <v>0</v>
      </c>
      <c r="CD1377" t="b">
        <v>0</v>
      </c>
      <c r="CE1377" t="b">
        <v>0</v>
      </c>
      <c r="CF1377" t="b">
        <v>0</v>
      </c>
    </row>
    <row r="1378" spans="1:84" x14ac:dyDescent="0.3">
      <c r="A1378" t="s">
        <v>3983</v>
      </c>
      <c r="B1378" t="s">
        <v>1157</v>
      </c>
      <c r="C1378" s="98">
        <v>45670</v>
      </c>
      <c r="D1378">
        <v>2025</v>
      </c>
      <c r="E1378">
        <v>1</v>
      </c>
      <c r="F1378">
        <v>1</v>
      </c>
      <c r="G1378" t="s">
        <v>1144</v>
      </c>
      <c r="H1378" t="s">
        <v>150</v>
      </c>
      <c r="I1378" t="s">
        <v>150</v>
      </c>
      <c r="J1378" t="s">
        <v>6</v>
      </c>
      <c r="L1378">
        <v>522611</v>
      </c>
      <c r="M1378" s="99" t="s">
        <v>179</v>
      </c>
      <c r="N1378">
        <v>2</v>
      </c>
      <c r="O1378">
        <v>2</v>
      </c>
      <c r="P1378">
        <v>2.3087</v>
      </c>
      <c r="Q1378" t="s">
        <v>352</v>
      </c>
      <c r="R1378">
        <v>1</v>
      </c>
      <c r="S1378">
        <v>2.3437999999999999</v>
      </c>
      <c r="T1378">
        <v>6.13E-2</v>
      </c>
      <c r="U1378">
        <v>-0.57259380097879131</v>
      </c>
      <c r="V1378">
        <v>2.1598999999999999</v>
      </c>
      <c r="W1378">
        <v>2.2212000000000001</v>
      </c>
      <c r="X1378">
        <v>2.2824999999999998</v>
      </c>
      <c r="Y1378">
        <v>2.4051</v>
      </c>
      <c r="Z1378">
        <v>2.4663999999999997</v>
      </c>
      <c r="AA1378">
        <v>2.5276999999999998</v>
      </c>
      <c r="AD1378">
        <v>22.797628473468187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 t="s">
        <v>462</v>
      </c>
      <c r="AL1378" t="s">
        <v>6</v>
      </c>
      <c r="AM1378" t="s">
        <v>1145</v>
      </c>
      <c r="AN1378" t="s">
        <v>1146</v>
      </c>
      <c r="AO1378" s="100">
        <v>46262.040405092594</v>
      </c>
      <c r="AP1378" t="s">
        <v>1147</v>
      </c>
      <c r="AQ1378" t="s">
        <v>3984</v>
      </c>
      <c r="AR1378" t="s">
        <v>1159</v>
      </c>
      <c r="AS1378" t="s">
        <v>1150</v>
      </c>
      <c r="AT1378" t="s">
        <v>3932</v>
      </c>
      <c r="AU1378">
        <v>25</v>
      </c>
      <c r="AV1378">
        <v>2.3624999999999998</v>
      </c>
      <c r="AW1378">
        <v>8.893195900987072E-2</v>
      </c>
      <c r="AX1378">
        <v>3.7643157252855333</v>
      </c>
      <c r="BB1378" t="s">
        <v>4619</v>
      </c>
      <c r="BD1378" s="98"/>
      <c r="BE1378" s="98"/>
      <c r="BF1378" t="s">
        <v>1152</v>
      </c>
      <c r="BG1378" t="s">
        <v>322</v>
      </c>
      <c r="BH1378" t="s">
        <v>1153</v>
      </c>
      <c r="BN1378" t="s">
        <v>1154</v>
      </c>
      <c r="BO1378">
        <v>2025</v>
      </c>
      <c r="BP1378" t="s">
        <v>966</v>
      </c>
      <c r="BZ1378" t="s">
        <v>1513</v>
      </c>
      <c r="CA1378" t="s">
        <v>1513</v>
      </c>
      <c r="CB1378" t="b">
        <v>0</v>
      </c>
      <c r="CC1378" t="b">
        <v>0</v>
      </c>
      <c r="CD1378" t="b">
        <v>0</v>
      </c>
      <c r="CE1378" t="b">
        <v>0</v>
      </c>
      <c r="CF1378" t="b">
        <v>0</v>
      </c>
    </row>
    <row r="1379" spans="1:84" x14ac:dyDescent="0.3">
      <c r="A1379" t="s">
        <v>3985</v>
      </c>
      <c r="B1379" t="s">
        <v>1161</v>
      </c>
      <c r="C1379" s="98">
        <v>45677</v>
      </c>
      <c r="D1379">
        <v>2025</v>
      </c>
      <c r="E1379">
        <v>1</v>
      </c>
      <c r="F1379">
        <v>1</v>
      </c>
      <c r="G1379" t="s">
        <v>1144</v>
      </c>
      <c r="H1379" t="s">
        <v>150</v>
      </c>
      <c r="I1379" t="s">
        <v>150</v>
      </c>
      <c r="J1379" t="s">
        <v>6</v>
      </c>
      <c r="L1379">
        <v>522611</v>
      </c>
      <c r="M1379" s="99" t="s">
        <v>179</v>
      </c>
      <c r="N1379">
        <v>2</v>
      </c>
      <c r="O1379">
        <v>3</v>
      </c>
      <c r="P1379">
        <v>2.2128000000000001</v>
      </c>
      <c r="Q1379" t="s">
        <v>352</v>
      </c>
      <c r="R1379">
        <v>1</v>
      </c>
      <c r="S1379">
        <v>2.3437999999999999</v>
      </c>
      <c r="T1379">
        <v>6.13E-2</v>
      </c>
      <c r="U1379">
        <v>-2.1370309951060324</v>
      </c>
      <c r="V1379">
        <v>2.1598999999999999</v>
      </c>
      <c r="W1379">
        <v>2.2212000000000001</v>
      </c>
      <c r="X1379">
        <v>2.2824999999999998</v>
      </c>
      <c r="Y1379">
        <v>2.4051</v>
      </c>
      <c r="Z1379">
        <v>2.4663999999999997</v>
      </c>
      <c r="AA1379">
        <v>2.5276999999999998</v>
      </c>
      <c r="AD1379">
        <v>22.797628473468187</v>
      </c>
      <c r="AE1379">
        <v>0</v>
      </c>
      <c r="AF1379">
        <v>1</v>
      </c>
      <c r="AG1379">
        <v>0</v>
      </c>
      <c r="AH1379">
        <v>0</v>
      </c>
      <c r="AI1379">
        <v>0</v>
      </c>
      <c r="AJ1379">
        <v>1</v>
      </c>
      <c r="AK1379" t="s">
        <v>1213</v>
      </c>
      <c r="AL1379" t="s">
        <v>6</v>
      </c>
      <c r="AM1379" t="s">
        <v>1145</v>
      </c>
      <c r="AN1379" t="s">
        <v>1146</v>
      </c>
      <c r="AO1379" s="100">
        <v>46262.040405092594</v>
      </c>
      <c r="AP1379" t="s">
        <v>1147</v>
      </c>
      <c r="AQ1379" t="s">
        <v>3986</v>
      </c>
      <c r="AR1379" t="s">
        <v>1163</v>
      </c>
      <c r="AS1379" t="s">
        <v>1150</v>
      </c>
      <c r="AT1379" t="s">
        <v>3932</v>
      </c>
      <c r="AU1379">
        <v>25</v>
      </c>
      <c r="AV1379">
        <v>2.3624999999999998</v>
      </c>
      <c r="AW1379">
        <v>8.893195900987072E-2</v>
      </c>
      <c r="AX1379">
        <v>3.7643157252855333</v>
      </c>
      <c r="BB1379" t="s">
        <v>4619</v>
      </c>
      <c r="BD1379" s="98"/>
      <c r="BE1379" s="98"/>
      <c r="BF1379" t="s">
        <v>1152</v>
      </c>
      <c r="BG1379" t="s">
        <v>322</v>
      </c>
      <c r="BH1379" t="s">
        <v>1153</v>
      </c>
      <c r="BN1379" t="s">
        <v>1154</v>
      </c>
      <c r="BO1379">
        <v>2025</v>
      </c>
      <c r="BP1379" t="s">
        <v>966</v>
      </c>
      <c r="BZ1379" t="s">
        <v>1513</v>
      </c>
      <c r="CA1379" t="s">
        <v>1513</v>
      </c>
      <c r="CB1379" t="b">
        <v>0</v>
      </c>
      <c r="CC1379" t="b">
        <v>0</v>
      </c>
      <c r="CD1379" t="b">
        <v>0</v>
      </c>
      <c r="CE1379" t="b">
        <v>0</v>
      </c>
      <c r="CF1379" t="b">
        <v>0</v>
      </c>
    </row>
    <row r="1380" spans="1:84" x14ac:dyDescent="0.3">
      <c r="A1380" t="s">
        <v>3987</v>
      </c>
      <c r="B1380" t="s">
        <v>1165</v>
      </c>
      <c r="C1380" s="98">
        <v>45684</v>
      </c>
      <c r="D1380">
        <v>2025</v>
      </c>
      <c r="E1380">
        <v>1</v>
      </c>
      <c r="F1380">
        <v>1</v>
      </c>
      <c r="G1380" t="s">
        <v>1144</v>
      </c>
      <c r="H1380" t="s">
        <v>150</v>
      </c>
      <c r="I1380" t="s">
        <v>150</v>
      </c>
      <c r="J1380" t="s">
        <v>6</v>
      </c>
      <c r="L1380">
        <v>522611</v>
      </c>
      <c r="M1380" s="99" t="s">
        <v>179</v>
      </c>
      <c r="N1380">
        <v>2</v>
      </c>
      <c r="O1380">
        <v>4</v>
      </c>
      <c r="P1380">
        <v>2.3264999999999998</v>
      </c>
      <c r="Q1380" t="s">
        <v>352</v>
      </c>
      <c r="R1380">
        <v>1</v>
      </c>
      <c r="S1380">
        <v>2.3437999999999999</v>
      </c>
      <c r="T1380">
        <v>6.13E-2</v>
      </c>
      <c r="U1380">
        <v>-0.28221859706362307</v>
      </c>
      <c r="V1380">
        <v>2.1598999999999999</v>
      </c>
      <c r="W1380">
        <v>2.2212000000000001</v>
      </c>
      <c r="X1380">
        <v>2.2824999999999998</v>
      </c>
      <c r="Y1380">
        <v>2.4051</v>
      </c>
      <c r="Z1380">
        <v>2.4663999999999997</v>
      </c>
      <c r="AA1380">
        <v>2.5276999999999998</v>
      </c>
      <c r="AD1380">
        <v>22.797628473468187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 t="s">
        <v>462</v>
      </c>
      <c r="AL1380" t="s">
        <v>6</v>
      </c>
      <c r="AM1380" t="s">
        <v>1145</v>
      </c>
      <c r="AN1380" t="s">
        <v>1146</v>
      </c>
      <c r="AO1380" s="100">
        <v>46262.040405092594</v>
      </c>
      <c r="AP1380" t="s">
        <v>1147</v>
      </c>
      <c r="AQ1380" t="s">
        <v>3988</v>
      </c>
      <c r="AR1380" t="s">
        <v>1167</v>
      </c>
      <c r="AS1380" t="s">
        <v>1150</v>
      </c>
      <c r="AT1380" t="s">
        <v>3932</v>
      </c>
      <c r="AU1380">
        <v>25</v>
      </c>
      <c r="AV1380">
        <v>2.3624999999999998</v>
      </c>
      <c r="AW1380">
        <v>8.893195900987072E-2</v>
      </c>
      <c r="AX1380">
        <v>3.7643157252855333</v>
      </c>
      <c r="BB1380" t="s">
        <v>4619</v>
      </c>
      <c r="BD1380" s="98"/>
      <c r="BE1380" s="98"/>
      <c r="BF1380" t="s">
        <v>1152</v>
      </c>
      <c r="BG1380" t="s">
        <v>322</v>
      </c>
      <c r="BH1380" t="s">
        <v>1153</v>
      </c>
      <c r="BN1380" t="s">
        <v>1154</v>
      </c>
      <c r="BO1380">
        <v>2025</v>
      </c>
      <c r="BP1380" t="s">
        <v>966</v>
      </c>
      <c r="BZ1380" t="s">
        <v>1513</v>
      </c>
      <c r="CA1380" t="s">
        <v>1513</v>
      </c>
      <c r="CB1380" t="b">
        <v>0</v>
      </c>
      <c r="CC1380" t="b">
        <v>0</v>
      </c>
      <c r="CD1380" t="b">
        <v>0</v>
      </c>
      <c r="CE1380" t="b">
        <v>0</v>
      </c>
      <c r="CF1380" t="b">
        <v>0</v>
      </c>
    </row>
    <row r="1381" spans="1:84" x14ac:dyDescent="0.3">
      <c r="A1381" t="s">
        <v>3989</v>
      </c>
      <c r="B1381" t="s">
        <v>1169</v>
      </c>
      <c r="C1381" s="98">
        <v>45691</v>
      </c>
      <c r="D1381">
        <v>2025</v>
      </c>
      <c r="E1381">
        <v>2</v>
      </c>
      <c r="F1381">
        <v>1</v>
      </c>
      <c r="G1381" t="s">
        <v>1170</v>
      </c>
      <c r="H1381" t="s">
        <v>150</v>
      </c>
      <c r="I1381" t="s">
        <v>150</v>
      </c>
      <c r="J1381" t="s">
        <v>6</v>
      </c>
      <c r="L1381">
        <v>522611</v>
      </c>
      <c r="M1381" s="99" t="s">
        <v>179</v>
      </c>
      <c r="N1381">
        <v>2</v>
      </c>
      <c r="O1381">
        <v>5</v>
      </c>
      <c r="P1381">
        <v>2.3898999999999999</v>
      </c>
      <c r="Q1381" t="s">
        <v>352</v>
      </c>
      <c r="R1381">
        <v>1</v>
      </c>
      <c r="S1381">
        <v>2.3437999999999999</v>
      </c>
      <c r="T1381">
        <v>6.13E-2</v>
      </c>
      <c r="U1381">
        <v>0.75203915171288793</v>
      </c>
      <c r="V1381">
        <v>2.1598999999999999</v>
      </c>
      <c r="W1381">
        <v>2.2212000000000001</v>
      </c>
      <c r="X1381">
        <v>2.2824999999999998</v>
      </c>
      <c r="Y1381">
        <v>2.4051</v>
      </c>
      <c r="Z1381">
        <v>2.4663999999999997</v>
      </c>
      <c r="AA1381">
        <v>2.5276999999999998</v>
      </c>
      <c r="AD1381">
        <v>22.797628473468187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 t="s">
        <v>462</v>
      </c>
      <c r="AL1381" t="s">
        <v>6</v>
      </c>
      <c r="AM1381" t="s">
        <v>1145</v>
      </c>
      <c r="AN1381" t="s">
        <v>1146</v>
      </c>
      <c r="AO1381" s="100">
        <v>46262.040405092594</v>
      </c>
      <c r="AP1381" t="s">
        <v>1147</v>
      </c>
      <c r="AQ1381" t="s">
        <v>3990</v>
      </c>
      <c r="AR1381" t="s">
        <v>1172</v>
      </c>
      <c r="AS1381" t="s">
        <v>1150</v>
      </c>
      <c r="AT1381" t="s">
        <v>3932</v>
      </c>
      <c r="AU1381">
        <v>25</v>
      </c>
      <c r="AV1381">
        <v>2.3624999999999998</v>
      </c>
      <c r="AW1381">
        <v>8.893195900987072E-2</v>
      </c>
      <c r="AX1381">
        <v>3.7643157252855333</v>
      </c>
      <c r="BB1381" t="s">
        <v>4619</v>
      </c>
      <c r="BD1381" s="98"/>
      <c r="BE1381" s="98"/>
      <c r="BF1381" t="s">
        <v>1152</v>
      </c>
      <c r="BG1381" t="s">
        <v>322</v>
      </c>
      <c r="BH1381" t="s">
        <v>1153</v>
      </c>
      <c r="BN1381" t="s">
        <v>1154</v>
      </c>
      <c r="BO1381">
        <v>2025</v>
      </c>
      <c r="BP1381" t="s">
        <v>966</v>
      </c>
      <c r="BZ1381" t="s">
        <v>1513</v>
      </c>
      <c r="CA1381" t="s">
        <v>1513</v>
      </c>
      <c r="CB1381" t="b">
        <v>0</v>
      </c>
      <c r="CC1381" t="b">
        <v>0</v>
      </c>
      <c r="CD1381" t="b">
        <v>0</v>
      </c>
      <c r="CE1381" t="b">
        <v>0</v>
      </c>
      <c r="CF1381" t="b">
        <v>0</v>
      </c>
    </row>
    <row r="1382" spans="1:84" x14ac:dyDescent="0.3">
      <c r="A1382" t="s">
        <v>3991</v>
      </c>
      <c r="B1382" t="s">
        <v>1174</v>
      </c>
      <c r="C1382" s="98">
        <v>45698</v>
      </c>
      <c r="D1382">
        <v>2025</v>
      </c>
      <c r="E1382">
        <v>2</v>
      </c>
      <c r="F1382">
        <v>1</v>
      </c>
      <c r="G1382" t="s">
        <v>1170</v>
      </c>
      <c r="H1382" t="s">
        <v>150</v>
      </c>
      <c r="I1382" t="s">
        <v>150</v>
      </c>
      <c r="J1382" t="s">
        <v>6</v>
      </c>
      <c r="L1382">
        <v>522611</v>
      </c>
      <c r="M1382" s="99" t="s">
        <v>179</v>
      </c>
      <c r="N1382">
        <v>2</v>
      </c>
      <c r="O1382">
        <v>6</v>
      </c>
      <c r="P1382">
        <v>2.4405999999999999</v>
      </c>
      <c r="Q1382" t="s">
        <v>352</v>
      </c>
      <c r="R1382">
        <v>1</v>
      </c>
      <c r="S1382">
        <v>2.3437999999999999</v>
      </c>
      <c r="T1382">
        <v>6.13E-2</v>
      </c>
      <c r="U1382">
        <v>1.5791190864600326</v>
      </c>
      <c r="V1382">
        <v>2.1598999999999999</v>
      </c>
      <c r="W1382">
        <v>2.2212000000000001</v>
      </c>
      <c r="X1382">
        <v>2.2824999999999998</v>
      </c>
      <c r="Y1382">
        <v>2.4051</v>
      </c>
      <c r="Z1382">
        <v>2.4663999999999997</v>
      </c>
      <c r="AA1382">
        <v>2.5276999999999998</v>
      </c>
      <c r="AD1382">
        <v>22.797628473468187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 t="s">
        <v>462</v>
      </c>
      <c r="AL1382" t="s">
        <v>6</v>
      </c>
      <c r="AM1382" t="s">
        <v>1145</v>
      </c>
      <c r="AN1382" t="s">
        <v>1146</v>
      </c>
      <c r="AO1382" s="100">
        <v>46262.040405092594</v>
      </c>
      <c r="AP1382" t="s">
        <v>1147</v>
      </c>
      <c r="AQ1382" t="s">
        <v>3992</v>
      </c>
      <c r="AR1382" t="s">
        <v>1176</v>
      </c>
      <c r="AS1382" t="s">
        <v>1150</v>
      </c>
      <c r="AT1382" t="s">
        <v>3932</v>
      </c>
      <c r="AU1382">
        <v>25</v>
      </c>
      <c r="AV1382">
        <v>2.3624999999999998</v>
      </c>
      <c r="AW1382">
        <v>8.893195900987072E-2</v>
      </c>
      <c r="AX1382">
        <v>3.7643157252855333</v>
      </c>
      <c r="BB1382" t="s">
        <v>4619</v>
      </c>
      <c r="BD1382" s="98"/>
      <c r="BE1382" s="98"/>
      <c r="BF1382" t="s">
        <v>1152</v>
      </c>
      <c r="BG1382" t="s">
        <v>322</v>
      </c>
      <c r="BH1382" t="s">
        <v>1153</v>
      </c>
      <c r="BN1382" t="s">
        <v>1154</v>
      </c>
      <c r="BO1382">
        <v>2025</v>
      </c>
      <c r="BP1382" t="s">
        <v>966</v>
      </c>
      <c r="BZ1382" t="s">
        <v>1513</v>
      </c>
      <c r="CA1382" t="s">
        <v>1513</v>
      </c>
      <c r="CB1382" t="b">
        <v>0</v>
      </c>
      <c r="CC1382" t="b">
        <v>0</v>
      </c>
      <c r="CD1382" t="b">
        <v>0</v>
      </c>
      <c r="CE1382" t="b">
        <v>0</v>
      </c>
      <c r="CF1382" t="b">
        <v>0</v>
      </c>
    </row>
    <row r="1383" spans="1:84" x14ac:dyDescent="0.3">
      <c r="A1383" t="s">
        <v>3993</v>
      </c>
      <c r="B1383" t="s">
        <v>1178</v>
      </c>
      <c r="C1383" s="98">
        <v>45705</v>
      </c>
      <c r="D1383">
        <v>2025</v>
      </c>
      <c r="E1383">
        <v>2</v>
      </c>
      <c r="F1383">
        <v>1</v>
      </c>
      <c r="G1383" t="s">
        <v>1170</v>
      </c>
      <c r="H1383" t="s">
        <v>150</v>
      </c>
      <c r="I1383" t="s">
        <v>150</v>
      </c>
      <c r="J1383" t="s">
        <v>6</v>
      </c>
      <c r="L1383">
        <v>522611</v>
      </c>
      <c r="M1383" s="99" t="s">
        <v>179</v>
      </c>
      <c r="N1383">
        <v>2</v>
      </c>
      <c r="O1383">
        <v>7</v>
      </c>
      <c r="P1383">
        <v>2.2096</v>
      </c>
      <c r="Q1383" t="s">
        <v>352</v>
      </c>
      <c r="R1383">
        <v>1</v>
      </c>
      <c r="S1383">
        <v>2.3437999999999999</v>
      </c>
      <c r="T1383">
        <v>6.13E-2</v>
      </c>
      <c r="U1383">
        <v>-2.1892332789559523</v>
      </c>
      <c r="V1383">
        <v>2.1598999999999999</v>
      </c>
      <c r="W1383">
        <v>2.2212000000000001</v>
      </c>
      <c r="X1383">
        <v>2.2824999999999998</v>
      </c>
      <c r="Y1383">
        <v>2.4051</v>
      </c>
      <c r="Z1383">
        <v>2.4663999999999997</v>
      </c>
      <c r="AA1383">
        <v>2.5276999999999998</v>
      </c>
      <c r="AD1383">
        <v>22.797628473468187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1</v>
      </c>
      <c r="AK1383" t="s">
        <v>462</v>
      </c>
      <c r="AL1383" t="s">
        <v>6</v>
      </c>
      <c r="AM1383" t="s">
        <v>1145</v>
      </c>
      <c r="AN1383" t="s">
        <v>1146</v>
      </c>
      <c r="AO1383" s="100">
        <v>46262.040405092594</v>
      </c>
      <c r="AP1383" t="s">
        <v>1147</v>
      </c>
      <c r="AQ1383" t="s">
        <v>3994</v>
      </c>
      <c r="AR1383" t="s">
        <v>1180</v>
      </c>
      <c r="AS1383" t="s">
        <v>1150</v>
      </c>
      <c r="AT1383" t="s">
        <v>3932</v>
      </c>
      <c r="AU1383">
        <v>25</v>
      </c>
      <c r="AV1383">
        <v>2.3624999999999998</v>
      </c>
      <c r="AW1383">
        <v>8.893195900987072E-2</v>
      </c>
      <c r="AX1383">
        <v>3.7643157252855333</v>
      </c>
      <c r="BB1383" t="s">
        <v>4619</v>
      </c>
      <c r="BD1383" s="98"/>
      <c r="BE1383" s="98"/>
      <c r="BF1383" t="s">
        <v>1152</v>
      </c>
      <c r="BG1383" t="s">
        <v>322</v>
      </c>
      <c r="BH1383" t="s">
        <v>1153</v>
      </c>
      <c r="BN1383" t="s">
        <v>1154</v>
      </c>
      <c r="BO1383">
        <v>2025</v>
      </c>
      <c r="BP1383" t="s">
        <v>966</v>
      </c>
      <c r="BZ1383" t="s">
        <v>1513</v>
      </c>
      <c r="CA1383" t="s">
        <v>1513</v>
      </c>
      <c r="CB1383" t="b">
        <v>0</v>
      </c>
      <c r="CC1383" t="b">
        <v>0</v>
      </c>
      <c r="CD1383" t="b">
        <v>0</v>
      </c>
      <c r="CE1383" t="b">
        <v>0</v>
      </c>
      <c r="CF1383" t="b">
        <v>0</v>
      </c>
    </row>
    <row r="1384" spans="1:84" x14ac:dyDescent="0.3">
      <c r="A1384" t="s">
        <v>3995</v>
      </c>
      <c r="B1384" t="s">
        <v>1182</v>
      </c>
      <c r="C1384" s="98">
        <v>45712</v>
      </c>
      <c r="D1384">
        <v>2025</v>
      </c>
      <c r="E1384">
        <v>2</v>
      </c>
      <c r="F1384">
        <v>1</v>
      </c>
      <c r="G1384" t="s">
        <v>1170</v>
      </c>
      <c r="H1384" t="s">
        <v>150</v>
      </c>
      <c r="I1384" t="s">
        <v>150</v>
      </c>
      <c r="J1384" t="s">
        <v>6</v>
      </c>
      <c r="L1384">
        <v>522611</v>
      </c>
      <c r="M1384" s="99" t="s">
        <v>179</v>
      </c>
      <c r="N1384">
        <v>2</v>
      </c>
      <c r="O1384">
        <v>8</v>
      </c>
      <c r="P1384">
        <v>2.5038999999999998</v>
      </c>
      <c r="Q1384" t="s">
        <v>352</v>
      </c>
      <c r="R1384">
        <v>1</v>
      </c>
      <c r="S1384">
        <v>2.3437999999999999</v>
      </c>
      <c r="T1384">
        <v>6.13E-2</v>
      </c>
      <c r="U1384">
        <v>2.61174551386623</v>
      </c>
      <c r="V1384">
        <v>2.1598999999999999</v>
      </c>
      <c r="W1384">
        <v>2.2212000000000001</v>
      </c>
      <c r="X1384">
        <v>2.2824999999999998</v>
      </c>
      <c r="Y1384">
        <v>2.4051</v>
      </c>
      <c r="Z1384">
        <v>2.4663999999999997</v>
      </c>
      <c r="AA1384">
        <v>2.5276999999999998</v>
      </c>
      <c r="AD1384">
        <v>22.797628473468187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1</v>
      </c>
      <c r="AK1384" t="s">
        <v>462</v>
      </c>
      <c r="AL1384" t="s">
        <v>6</v>
      </c>
      <c r="AM1384" t="s">
        <v>1145</v>
      </c>
      <c r="AN1384" t="s">
        <v>1146</v>
      </c>
      <c r="AO1384" s="100">
        <v>46262.040405092594</v>
      </c>
      <c r="AP1384" t="s">
        <v>1147</v>
      </c>
      <c r="AQ1384" t="s">
        <v>3996</v>
      </c>
      <c r="AR1384" t="s">
        <v>1184</v>
      </c>
      <c r="AS1384" t="s">
        <v>1150</v>
      </c>
      <c r="AT1384" t="s">
        <v>3932</v>
      </c>
      <c r="AU1384">
        <v>25</v>
      </c>
      <c r="AV1384">
        <v>2.3624999999999998</v>
      </c>
      <c r="AW1384">
        <v>8.893195900987072E-2</v>
      </c>
      <c r="AX1384">
        <v>3.7643157252855333</v>
      </c>
      <c r="BB1384" t="s">
        <v>4619</v>
      </c>
      <c r="BD1384" s="98"/>
      <c r="BE1384" s="98"/>
      <c r="BF1384" t="s">
        <v>1152</v>
      </c>
      <c r="BG1384" t="s">
        <v>322</v>
      </c>
      <c r="BH1384" t="s">
        <v>1153</v>
      </c>
      <c r="BN1384" t="s">
        <v>1154</v>
      </c>
      <c r="BO1384">
        <v>2025</v>
      </c>
      <c r="BP1384" t="s">
        <v>966</v>
      </c>
      <c r="BZ1384" t="s">
        <v>1513</v>
      </c>
      <c r="CA1384" t="s">
        <v>1513</v>
      </c>
      <c r="CB1384" t="b">
        <v>0</v>
      </c>
      <c r="CC1384" t="b">
        <v>0</v>
      </c>
      <c r="CD1384" t="b">
        <v>0</v>
      </c>
      <c r="CE1384" t="b">
        <v>0</v>
      </c>
      <c r="CF1384" t="b">
        <v>0</v>
      </c>
    </row>
    <row r="1385" spans="1:84" x14ac:dyDescent="0.3">
      <c r="A1385" t="s">
        <v>3997</v>
      </c>
      <c r="B1385" t="s">
        <v>1186</v>
      </c>
      <c r="C1385" s="98">
        <v>45719</v>
      </c>
      <c r="D1385">
        <v>2025</v>
      </c>
      <c r="E1385">
        <v>3</v>
      </c>
      <c r="F1385">
        <v>1</v>
      </c>
      <c r="G1385" t="s">
        <v>1187</v>
      </c>
      <c r="H1385" t="s">
        <v>150</v>
      </c>
      <c r="I1385" t="s">
        <v>150</v>
      </c>
      <c r="J1385" t="s">
        <v>6</v>
      </c>
      <c r="L1385">
        <v>522611</v>
      </c>
      <c r="M1385" s="99" t="s">
        <v>179</v>
      </c>
      <c r="N1385">
        <v>2</v>
      </c>
      <c r="O1385">
        <v>9</v>
      </c>
      <c r="P1385">
        <v>2.2747000000000002</v>
      </c>
      <c r="Q1385" t="s">
        <v>352</v>
      </c>
      <c r="R1385">
        <v>1</v>
      </c>
      <c r="S1385">
        <v>2.3437999999999999</v>
      </c>
      <c r="T1385">
        <v>6.13E-2</v>
      </c>
      <c r="U1385">
        <v>-1.1272430668841715</v>
      </c>
      <c r="V1385">
        <v>2.1598999999999999</v>
      </c>
      <c r="W1385">
        <v>2.2212000000000001</v>
      </c>
      <c r="X1385">
        <v>2.2824999999999998</v>
      </c>
      <c r="Y1385">
        <v>2.4051</v>
      </c>
      <c r="Z1385">
        <v>2.4663999999999997</v>
      </c>
      <c r="AA1385">
        <v>2.5276999999999998</v>
      </c>
      <c r="AD1385">
        <v>22.797628473468187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 t="s">
        <v>462</v>
      </c>
      <c r="AL1385" t="s">
        <v>6</v>
      </c>
      <c r="AM1385" t="s">
        <v>1145</v>
      </c>
      <c r="AN1385" t="s">
        <v>1146</v>
      </c>
      <c r="AO1385" s="100">
        <v>46262.040405092594</v>
      </c>
      <c r="AP1385" t="s">
        <v>1147</v>
      </c>
      <c r="AQ1385" t="s">
        <v>3998</v>
      </c>
      <c r="AR1385" t="s">
        <v>1189</v>
      </c>
      <c r="AS1385" t="s">
        <v>1150</v>
      </c>
      <c r="AT1385" t="s">
        <v>3932</v>
      </c>
      <c r="AU1385">
        <v>25</v>
      </c>
      <c r="AV1385">
        <v>2.3624999999999998</v>
      </c>
      <c r="AW1385">
        <v>8.893195900987072E-2</v>
      </c>
      <c r="AX1385">
        <v>3.7643157252855333</v>
      </c>
      <c r="BB1385" t="s">
        <v>4619</v>
      </c>
      <c r="BD1385" s="98"/>
      <c r="BE1385" s="98"/>
      <c r="BF1385" t="s">
        <v>1152</v>
      </c>
      <c r="BG1385" t="s">
        <v>322</v>
      </c>
      <c r="BH1385" t="s">
        <v>1153</v>
      </c>
      <c r="BN1385" t="s">
        <v>1154</v>
      </c>
      <c r="BO1385">
        <v>2025</v>
      </c>
      <c r="BP1385" t="s">
        <v>966</v>
      </c>
      <c r="BZ1385" t="s">
        <v>1513</v>
      </c>
      <c r="CA1385" t="s">
        <v>1513</v>
      </c>
      <c r="CB1385" t="b">
        <v>0</v>
      </c>
      <c r="CC1385" t="b">
        <v>0</v>
      </c>
      <c r="CD1385" t="b">
        <v>0</v>
      </c>
      <c r="CE1385" t="b">
        <v>0</v>
      </c>
      <c r="CF1385" t="b">
        <v>0</v>
      </c>
    </row>
    <row r="1386" spans="1:84" x14ac:dyDescent="0.3">
      <c r="A1386" t="s">
        <v>3999</v>
      </c>
      <c r="B1386" t="s">
        <v>1191</v>
      </c>
      <c r="C1386" s="98">
        <v>45726</v>
      </c>
      <c r="D1386">
        <v>2025</v>
      </c>
      <c r="E1386">
        <v>3</v>
      </c>
      <c r="F1386">
        <v>1</v>
      </c>
      <c r="G1386" t="s">
        <v>1187</v>
      </c>
      <c r="H1386" t="s">
        <v>150</v>
      </c>
      <c r="I1386" t="s">
        <v>150</v>
      </c>
      <c r="J1386" t="s">
        <v>6</v>
      </c>
      <c r="L1386">
        <v>522611</v>
      </c>
      <c r="M1386" s="99" t="s">
        <v>179</v>
      </c>
      <c r="N1386">
        <v>2</v>
      </c>
      <c r="O1386">
        <v>10</v>
      </c>
      <c r="P1386">
        <v>2.4024000000000001</v>
      </c>
      <c r="Q1386" t="s">
        <v>352</v>
      </c>
      <c r="R1386">
        <v>1</v>
      </c>
      <c r="S1386">
        <v>2.3437999999999999</v>
      </c>
      <c r="T1386">
        <v>6.13E-2</v>
      </c>
      <c r="U1386">
        <v>0.95595432300163474</v>
      </c>
      <c r="V1386">
        <v>2.1598999999999999</v>
      </c>
      <c r="W1386">
        <v>2.2212000000000001</v>
      </c>
      <c r="X1386">
        <v>2.2824999999999998</v>
      </c>
      <c r="Y1386">
        <v>2.4051</v>
      </c>
      <c r="Z1386">
        <v>2.4663999999999997</v>
      </c>
      <c r="AA1386">
        <v>2.5276999999999998</v>
      </c>
      <c r="AD1386">
        <v>22.797628473468187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 t="s">
        <v>462</v>
      </c>
      <c r="AL1386" t="s">
        <v>6</v>
      </c>
      <c r="AM1386" t="s">
        <v>1145</v>
      </c>
      <c r="AN1386" t="s">
        <v>1146</v>
      </c>
      <c r="AO1386" s="100">
        <v>46262.040405092594</v>
      </c>
      <c r="AP1386" t="s">
        <v>1147</v>
      </c>
      <c r="AQ1386" t="s">
        <v>4000</v>
      </c>
      <c r="AR1386" t="s">
        <v>1193</v>
      </c>
      <c r="AS1386" t="s">
        <v>1150</v>
      </c>
      <c r="AT1386" t="s">
        <v>3932</v>
      </c>
      <c r="AU1386">
        <v>25</v>
      </c>
      <c r="AV1386">
        <v>2.3624999999999998</v>
      </c>
      <c r="AW1386">
        <v>8.893195900987072E-2</v>
      </c>
      <c r="AX1386">
        <v>3.7643157252855333</v>
      </c>
      <c r="BB1386" t="s">
        <v>4619</v>
      </c>
      <c r="BD1386" s="98"/>
      <c r="BE1386" s="98"/>
      <c r="BF1386" t="s">
        <v>1152</v>
      </c>
      <c r="BG1386" t="s">
        <v>322</v>
      </c>
      <c r="BH1386" t="s">
        <v>1153</v>
      </c>
      <c r="BN1386" t="s">
        <v>1154</v>
      </c>
      <c r="BO1386">
        <v>2025</v>
      </c>
      <c r="BP1386" t="s">
        <v>966</v>
      </c>
      <c r="BZ1386" t="s">
        <v>1513</v>
      </c>
      <c r="CA1386" t="s">
        <v>1513</v>
      </c>
      <c r="CB1386" t="b">
        <v>0</v>
      </c>
      <c r="CC1386" t="b">
        <v>0</v>
      </c>
      <c r="CD1386" t="b">
        <v>0</v>
      </c>
      <c r="CE1386" t="b">
        <v>0</v>
      </c>
      <c r="CF1386" t="b">
        <v>0</v>
      </c>
    </row>
    <row r="1387" spans="1:84" x14ac:dyDescent="0.3">
      <c r="A1387" t="s">
        <v>4001</v>
      </c>
      <c r="B1387" t="s">
        <v>1195</v>
      </c>
      <c r="C1387" s="98">
        <v>45733</v>
      </c>
      <c r="D1387">
        <v>2025</v>
      </c>
      <c r="E1387">
        <v>3</v>
      </c>
      <c r="F1387">
        <v>1</v>
      </c>
      <c r="G1387" t="s">
        <v>1187</v>
      </c>
      <c r="H1387" t="s">
        <v>150</v>
      </c>
      <c r="I1387" t="s">
        <v>150</v>
      </c>
      <c r="J1387" t="s">
        <v>6</v>
      </c>
      <c r="L1387">
        <v>522611</v>
      </c>
      <c r="M1387" s="99" t="s">
        <v>179</v>
      </c>
      <c r="N1387">
        <v>2</v>
      </c>
      <c r="O1387">
        <v>11</v>
      </c>
      <c r="P1387">
        <v>2.4194</v>
      </c>
      <c r="Q1387" t="s">
        <v>352</v>
      </c>
      <c r="R1387">
        <v>1</v>
      </c>
      <c r="S1387">
        <v>2.3437999999999999</v>
      </c>
      <c r="T1387">
        <v>6.13E-2</v>
      </c>
      <c r="U1387">
        <v>1.2332789559543249</v>
      </c>
      <c r="V1387">
        <v>2.1598999999999999</v>
      </c>
      <c r="W1387">
        <v>2.2212000000000001</v>
      </c>
      <c r="X1387">
        <v>2.2824999999999998</v>
      </c>
      <c r="Y1387">
        <v>2.4051</v>
      </c>
      <c r="Z1387">
        <v>2.4663999999999997</v>
      </c>
      <c r="AA1387">
        <v>2.5276999999999998</v>
      </c>
      <c r="AD1387">
        <v>22.797628473468187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 t="s">
        <v>462</v>
      </c>
      <c r="AL1387" t="s">
        <v>6</v>
      </c>
      <c r="AM1387" t="s">
        <v>1145</v>
      </c>
      <c r="AN1387" t="s">
        <v>1146</v>
      </c>
      <c r="AO1387" s="100">
        <v>46262.040405092594</v>
      </c>
      <c r="AP1387" t="s">
        <v>1147</v>
      </c>
      <c r="AQ1387" t="s">
        <v>4002</v>
      </c>
      <c r="AR1387" t="s">
        <v>1197</v>
      </c>
      <c r="AS1387" t="s">
        <v>1150</v>
      </c>
      <c r="AT1387" t="s">
        <v>3932</v>
      </c>
      <c r="AU1387">
        <v>25</v>
      </c>
      <c r="AV1387">
        <v>2.3624999999999998</v>
      </c>
      <c r="AW1387">
        <v>8.893195900987072E-2</v>
      </c>
      <c r="AX1387">
        <v>3.7643157252855333</v>
      </c>
      <c r="BB1387" t="s">
        <v>4619</v>
      </c>
      <c r="BD1387" s="98"/>
      <c r="BE1387" s="98"/>
      <c r="BF1387" t="s">
        <v>1152</v>
      </c>
      <c r="BG1387" t="s">
        <v>322</v>
      </c>
      <c r="BH1387" t="s">
        <v>1153</v>
      </c>
      <c r="BN1387" t="s">
        <v>1154</v>
      </c>
      <c r="BO1387">
        <v>2025</v>
      </c>
      <c r="BP1387" t="s">
        <v>966</v>
      </c>
      <c r="BZ1387" t="s">
        <v>1513</v>
      </c>
      <c r="CA1387" t="s">
        <v>1513</v>
      </c>
      <c r="CB1387" t="b">
        <v>0</v>
      </c>
      <c r="CC1387" t="b">
        <v>0</v>
      </c>
      <c r="CD1387" t="b">
        <v>0</v>
      </c>
      <c r="CE1387" t="b">
        <v>0</v>
      </c>
      <c r="CF1387" t="b">
        <v>0</v>
      </c>
    </row>
    <row r="1388" spans="1:84" x14ac:dyDescent="0.3">
      <c r="A1388" t="s">
        <v>4003</v>
      </c>
      <c r="B1388" t="s">
        <v>1199</v>
      </c>
      <c r="C1388" s="98">
        <v>45740</v>
      </c>
      <c r="D1388">
        <v>2025</v>
      </c>
      <c r="E1388">
        <v>3</v>
      </c>
      <c r="F1388">
        <v>1</v>
      </c>
      <c r="G1388" t="s">
        <v>1187</v>
      </c>
      <c r="H1388" t="s">
        <v>150</v>
      </c>
      <c r="I1388" t="s">
        <v>150</v>
      </c>
      <c r="J1388" t="s">
        <v>6</v>
      </c>
      <c r="L1388">
        <v>522611</v>
      </c>
      <c r="M1388" s="99" t="s">
        <v>179</v>
      </c>
      <c r="N1388">
        <v>2</v>
      </c>
      <c r="O1388">
        <v>12</v>
      </c>
      <c r="P1388">
        <v>2.4039999999999999</v>
      </c>
      <c r="Q1388" t="s">
        <v>352</v>
      </c>
      <c r="R1388">
        <v>1</v>
      </c>
      <c r="S1388">
        <v>2.3437999999999999</v>
      </c>
      <c r="T1388">
        <v>6.13E-2</v>
      </c>
      <c r="U1388">
        <v>0.98205546492659102</v>
      </c>
      <c r="V1388">
        <v>2.1598999999999999</v>
      </c>
      <c r="W1388">
        <v>2.2212000000000001</v>
      </c>
      <c r="X1388">
        <v>2.2824999999999998</v>
      </c>
      <c r="Y1388">
        <v>2.4051</v>
      </c>
      <c r="Z1388">
        <v>2.4663999999999997</v>
      </c>
      <c r="AA1388">
        <v>2.5276999999999998</v>
      </c>
      <c r="AD1388">
        <v>22.797628473468187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 t="s">
        <v>462</v>
      </c>
      <c r="AL1388" t="s">
        <v>6</v>
      </c>
      <c r="AM1388" t="s">
        <v>1145</v>
      </c>
      <c r="AN1388" t="s">
        <v>1146</v>
      </c>
      <c r="AO1388" s="100">
        <v>46262.040405092594</v>
      </c>
      <c r="AP1388" t="s">
        <v>1147</v>
      </c>
      <c r="AQ1388" t="s">
        <v>4004</v>
      </c>
      <c r="AR1388" t="s">
        <v>1201</v>
      </c>
      <c r="AS1388" t="s">
        <v>1150</v>
      </c>
      <c r="AT1388" t="s">
        <v>3932</v>
      </c>
      <c r="AU1388">
        <v>25</v>
      </c>
      <c r="AV1388">
        <v>2.3624999999999998</v>
      </c>
      <c r="AW1388">
        <v>8.893195900987072E-2</v>
      </c>
      <c r="AX1388">
        <v>3.7643157252855333</v>
      </c>
      <c r="BB1388" t="s">
        <v>4619</v>
      </c>
      <c r="BD1388" s="98"/>
      <c r="BE1388" s="98"/>
      <c r="BF1388" t="s">
        <v>1152</v>
      </c>
      <c r="BG1388" t="s">
        <v>322</v>
      </c>
      <c r="BH1388" t="s">
        <v>1153</v>
      </c>
      <c r="BN1388" t="s">
        <v>1154</v>
      </c>
      <c r="BO1388">
        <v>2025</v>
      </c>
      <c r="BP1388" t="s">
        <v>966</v>
      </c>
      <c r="BZ1388" t="s">
        <v>1513</v>
      </c>
      <c r="CA1388" t="s">
        <v>1513</v>
      </c>
      <c r="CB1388" t="b">
        <v>0</v>
      </c>
      <c r="CC1388" t="b">
        <v>0</v>
      </c>
      <c r="CD1388" t="b">
        <v>0</v>
      </c>
      <c r="CE1388" t="b">
        <v>0</v>
      </c>
      <c r="CF1388" t="b">
        <v>0</v>
      </c>
    </row>
    <row r="1389" spans="1:84" x14ac:dyDescent="0.3">
      <c r="A1389" t="s">
        <v>4005</v>
      </c>
      <c r="B1389" t="s">
        <v>1203</v>
      </c>
      <c r="C1389" s="98">
        <v>45747</v>
      </c>
      <c r="D1389">
        <v>2025</v>
      </c>
      <c r="E1389">
        <v>3</v>
      </c>
      <c r="F1389">
        <v>1</v>
      </c>
      <c r="G1389" t="s">
        <v>1187</v>
      </c>
      <c r="H1389" t="s">
        <v>150</v>
      </c>
      <c r="I1389" t="s">
        <v>150</v>
      </c>
      <c r="J1389" t="s">
        <v>6</v>
      </c>
      <c r="L1389">
        <v>522611</v>
      </c>
      <c r="M1389" s="99" t="s">
        <v>179</v>
      </c>
      <c r="N1389">
        <v>2</v>
      </c>
      <c r="O1389">
        <v>13</v>
      </c>
      <c r="P1389">
        <v>2.3530000000000002</v>
      </c>
      <c r="Q1389" t="s">
        <v>352</v>
      </c>
      <c r="R1389">
        <v>1</v>
      </c>
      <c r="S1389">
        <v>2.3437999999999999</v>
      </c>
      <c r="T1389">
        <v>6.13E-2</v>
      </c>
      <c r="U1389">
        <v>0.15008156606852069</v>
      </c>
      <c r="V1389">
        <v>2.1598999999999999</v>
      </c>
      <c r="W1389">
        <v>2.2212000000000001</v>
      </c>
      <c r="X1389">
        <v>2.2824999999999998</v>
      </c>
      <c r="Y1389">
        <v>2.4051</v>
      </c>
      <c r="Z1389">
        <v>2.4663999999999997</v>
      </c>
      <c r="AA1389">
        <v>2.5276999999999998</v>
      </c>
      <c r="AD1389">
        <v>22.797628473468187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 t="s">
        <v>462</v>
      </c>
      <c r="AL1389" t="s">
        <v>6</v>
      </c>
      <c r="AM1389" t="s">
        <v>1145</v>
      </c>
      <c r="AN1389" t="s">
        <v>1146</v>
      </c>
      <c r="AO1389" s="100">
        <v>46262.040405092594</v>
      </c>
      <c r="AP1389" t="s">
        <v>1147</v>
      </c>
      <c r="AQ1389" t="s">
        <v>4006</v>
      </c>
      <c r="AR1389" t="s">
        <v>1205</v>
      </c>
      <c r="AS1389" t="s">
        <v>1150</v>
      </c>
      <c r="AT1389" t="s">
        <v>3932</v>
      </c>
      <c r="AU1389">
        <v>25</v>
      </c>
      <c r="AV1389">
        <v>2.3624999999999998</v>
      </c>
      <c r="AW1389">
        <v>8.893195900987072E-2</v>
      </c>
      <c r="AX1389">
        <v>3.7643157252855333</v>
      </c>
      <c r="BB1389" t="s">
        <v>4619</v>
      </c>
      <c r="BD1389" s="98"/>
      <c r="BE1389" s="98"/>
      <c r="BF1389" t="s">
        <v>1152</v>
      </c>
      <c r="BG1389" t="s">
        <v>322</v>
      </c>
      <c r="BH1389" t="s">
        <v>1153</v>
      </c>
      <c r="BN1389" t="s">
        <v>1154</v>
      </c>
      <c r="BO1389">
        <v>2025</v>
      </c>
      <c r="BP1389" t="s">
        <v>966</v>
      </c>
      <c r="BZ1389" t="s">
        <v>1513</v>
      </c>
      <c r="CA1389" t="s">
        <v>1513</v>
      </c>
      <c r="CB1389" t="b">
        <v>0</v>
      </c>
      <c r="CC1389" t="b">
        <v>0</v>
      </c>
      <c r="CD1389" t="b">
        <v>0</v>
      </c>
      <c r="CE1389" t="b">
        <v>0</v>
      </c>
      <c r="CF1389" t="b">
        <v>0</v>
      </c>
    </row>
    <row r="1390" spans="1:84" x14ac:dyDescent="0.3">
      <c r="A1390" t="s">
        <v>4007</v>
      </c>
      <c r="B1390" t="s">
        <v>1207</v>
      </c>
      <c r="C1390" s="98">
        <v>45754</v>
      </c>
      <c r="D1390">
        <v>2025</v>
      </c>
      <c r="E1390">
        <v>4</v>
      </c>
      <c r="F1390">
        <v>2</v>
      </c>
      <c r="G1390" t="s">
        <v>1208</v>
      </c>
      <c r="H1390" t="s">
        <v>150</v>
      </c>
      <c r="I1390" t="s">
        <v>150</v>
      </c>
      <c r="J1390" t="s">
        <v>6</v>
      </c>
      <c r="L1390">
        <v>522611</v>
      </c>
      <c r="M1390" s="99" t="s">
        <v>179</v>
      </c>
      <c r="N1390">
        <v>2</v>
      </c>
      <c r="O1390">
        <v>14</v>
      </c>
      <c r="P1390">
        <v>2.2726000000000002</v>
      </c>
      <c r="Q1390" t="s">
        <v>352</v>
      </c>
      <c r="R1390">
        <v>1</v>
      </c>
      <c r="S1390">
        <v>2.3437999999999999</v>
      </c>
      <c r="T1390">
        <v>6.13E-2</v>
      </c>
      <c r="U1390">
        <v>-1.1615008156606803</v>
      </c>
      <c r="V1390">
        <v>2.1598999999999999</v>
      </c>
      <c r="W1390">
        <v>2.2212000000000001</v>
      </c>
      <c r="X1390">
        <v>2.2824999999999998</v>
      </c>
      <c r="Y1390">
        <v>2.4051</v>
      </c>
      <c r="Z1390">
        <v>2.4663999999999997</v>
      </c>
      <c r="AA1390">
        <v>2.5276999999999998</v>
      </c>
      <c r="AD1390">
        <v>22.797628473468187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 t="s">
        <v>462</v>
      </c>
      <c r="AL1390" t="s">
        <v>6</v>
      </c>
      <c r="AM1390" t="s">
        <v>1145</v>
      </c>
      <c r="AN1390" t="s">
        <v>1146</v>
      </c>
      <c r="AO1390" s="100">
        <v>46262.040405092594</v>
      </c>
      <c r="AP1390" t="s">
        <v>1147</v>
      </c>
      <c r="AQ1390" t="s">
        <v>4008</v>
      </c>
      <c r="AR1390" t="s">
        <v>1210</v>
      </c>
      <c r="AS1390" t="s">
        <v>1150</v>
      </c>
      <c r="AT1390" t="s">
        <v>3932</v>
      </c>
      <c r="AU1390">
        <v>25</v>
      </c>
      <c r="AV1390">
        <v>2.3624999999999998</v>
      </c>
      <c r="AW1390">
        <v>8.893195900987072E-2</v>
      </c>
      <c r="AX1390">
        <v>3.7643157252855333</v>
      </c>
      <c r="BB1390" t="s">
        <v>4619</v>
      </c>
      <c r="BD1390" s="98"/>
      <c r="BE1390" s="98"/>
      <c r="BF1390" t="s">
        <v>1152</v>
      </c>
      <c r="BG1390" t="s">
        <v>322</v>
      </c>
      <c r="BH1390" t="s">
        <v>1153</v>
      </c>
      <c r="BN1390" t="s">
        <v>1154</v>
      </c>
      <c r="BO1390">
        <v>2025</v>
      </c>
      <c r="BP1390" t="s">
        <v>966</v>
      </c>
      <c r="BZ1390" t="s">
        <v>1513</v>
      </c>
      <c r="CA1390" t="s">
        <v>1513</v>
      </c>
      <c r="CB1390" t="b">
        <v>0</v>
      </c>
      <c r="CC1390" t="b">
        <v>0</v>
      </c>
      <c r="CD1390" t="b">
        <v>0</v>
      </c>
      <c r="CE1390" t="b">
        <v>0</v>
      </c>
      <c r="CF1390" t="b">
        <v>0</v>
      </c>
    </row>
    <row r="1391" spans="1:84" x14ac:dyDescent="0.3">
      <c r="A1391" t="s">
        <v>4009</v>
      </c>
      <c r="B1391" t="s">
        <v>1212</v>
      </c>
      <c r="C1391" s="98">
        <v>45761</v>
      </c>
      <c r="D1391">
        <v>2025</v>
      </c>
      <c r="E1391">
        <v>4</v>
      </c>
      <c r="F1391">
        <v>2</v>
      </c>
      <c r="G1391" t="s">
        <v>1208</v>
      </c>
      <c r="H1391" t="s">
        <v>150</v>
      </c>
      <c r="I1391" t="s">
        <v>150</v>
      </c>
      <c r="J1391" t="s">
        <v>6</v>
      </c>
      <c r="L1391">
        <v>522611</v>
      </c>
      <c r="M1391" s="99" t="s">
        <v>179</v>
      </c>
      <c r="N1391">
        <v>2</v>
      </c>
      <c r="O1391">
        <v>15</v>
      </c>
      <c r="P1391">
        <v>2.3822000000000001</v>
      </c>
      <c r="Q1391" t="s">
        <v>352</v>
      </c>
      <c r="R1391">
        <v>1</v>
      </c>
      <c r="S1391">
        <v>2.3437999999999999</v>
      </c>
      <c r="T1391">
        <v>6.13E-2</v>
      </c>
      <c r="U1391">
        <v>0.62642740619902471</v>
      </c>
      <c r="V1391">
        <v>2.1598999999999999</v>
      </c>
      <c r="W1391">
        <v>2.2212000000000001</v>
      </c>
      <c r="X1391">
        <v>2.2824999999999998</v>
      </c>
      <c r="Y1391">
        <v>2.4051</v>
      </c>
      <c r="Z1391">
        <v>2.4663999999999997</v>
      </c>
      <c r="AA1391">
        <v>2.5276999999999998</v>
      </c>
      <c r="AD1391">
        <v>22.797628473468187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 t="s">
        <v>462</v>
      </c>
      <c r="AL1391" t="s">
        <v>6</v>
      </c>
      <c r="AM1391" t="s">
        <v>1145</v>
      </c>
      <c r="AN1391" t="s">
        <v>1146</v>
      </c>
      <c r="AO1391" s="100">
        <v>46262.040405092594</v>
      </c>
      <c r="AP1391" t="s">
        <v>1147</v>
      </c>
      <c r="AQ1391" t="s">
        <v>4010</v>
      </c>
      <c r="AR1391" t="s">
        <v>1215</v>
      </c>
      <c r="AS1391" t="s">
        <v>1150</v>
      </c>
      <c r="AT1391" t="s">
        <v>3932</v>
      </c>
      <c r="AU1391">
        <v>25</v>
      </c>
      <c r="AV1391">
        <v>2.3624999999999998</v>
      </c>
      <c r="AW1391">
        <v>8.893195900987072E-2</v>
      </c>
      <c r="AX1391">
        <v>3.7643157252855333</v>
      </c>
      <c r="BB1391" t="s">
        <v>4619</v>
      </c>
      <c r="BD1391" s="98"/>
      <c r="BE1391" s="98"/>
      <c r="BF1391" t="s">
        <v>1152</v>
      </c>
      <c r="BG1391" t="s">
        <v>322</v>
      </c>
      <c r="BH1391" t="s">
        <v>1153</v>
      </c>
      <c r="BN1391" t="s">
        <v>1154</v>
      </c>
      <c r="BO1391">
        <v>2025</v>
      </c>
      <c r="BP1391" t="s">
        <v>966</v>
      </c>
      <c r="BZ1391" t="s">
        <v>1513</v>
      </c>
      <c r="CA1391" t="s">
        <v>1513</v>
      </c>
      <c r="CB1391" t="b">
        <v>0</v>
      </c>
      <c r="CC1391" t="b">
        <v>0</v>
      </c>
      <c r="CD1391" t="b">
        <v>0</v>
      </c>
      <c r="CE1391" t="b">
        <v>0</v>
      </c>
      <c r="CF1391" t="b">
        <v>0</v>
      </c>
    </row>
    <row r="1392" spans="1:84" x14ac:dyDescent="0.3">
      <c r="A1392" t="s">
        <v>4011</v>
      </c>
      <c r="B1392" t="s">
        <v>1217</v>
      </c>
      <c r="C1392" s="98">
        <v>45768</v>
      </c>
      <c r="D1392">
        <v>2025</v>
      </c>
      <c r="E1392">
        <v>4</v>
      </c>
      <c r="F1392">
        <v>2</v>
      </c>
      <c r="G1392" t="s">
        <v>1208</v>
      </c>
      <c r="H1392" t="s">
        <v>150</v>
      </c>
      <c r="I1392" t="s">
        <v>150</v>
      </c>
      <c r="J1392" t="s">
        <v>6</v>
      </c>
      <c r="L1392">
        <v>522611</v>
      </c>
      <c r="M1392" s="99" t="s">
        <v>179</v>
      </c>
      <c r="N1392">
        <v>2</v>
      </c>
      <c r="O1392">
        <v>16</v>
      </c>
      <c r="P1392">
        <v>2.2999999999999998</v>
      </c>
      <c r="Q1392" t="s">
        <v>352</v>
      </c>
      <c r="R1392">
        <v>1</v>
      </c>
      <c r="S1392">
        <v>2.3437999999999999</v>
      </c>
      <c r="T1392">
        <v>6.13E-2</v>
      </c>
      <c r="U1392">
        <v>-0.71451876019575955</v>
      </c>
      <c r="V1392">
        <v>2.1598999999999999</v>
      </c>
      <c r="W1392">
        <v>2.2212000000000001</v>
      </c>
      <c r="X1392">
        <v>2.2824999999999998</v>
      </c>
      <c r="Y1392">
        <v>2.4051</v>
      </c>
      <c r="Z1392">
        <v>2.4663999999999997</v>
      </c>
      <c r="AA1392">
        <v>2.5276999999999998</v>
      </c>
      <c r="AD1392">
        <v>22.797628473468187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 t="s">
        <v>462</v>
      </c>
      <c r="AL1392" t="s">
        <v>6</v>
      </c>
      <c r="AM1392" t="s">
        <v>1145</v>
      </c>
      <c r="AN1392" t="s">
        <v>1146</v>
      </c>
      <c r="AO1392" s="100">
        <v>46262.040405092594</v>
      </c>
      <c r="AP1392" t="s">
        <v>1147</v>
      </c>
      <c r="AQ1392" t="s">
        <v>4012</v>
      </c>
      <c r="AR1392" t="s">
        <v>1219</v>
      </c>
      <c r="AS1392" t="s">
        <v>1150</v>
      </c>
      <c r="AT1392" t="s">
        <v>3932</v>
      </c>
      <c r="AU1392">
        <v>25</v>
      </c>
      <c r="AV1392">
        <v>2.3624999999999998</v>
      </c>
      <c r="AW1392">
        <v>8.893195900987072E-2</v>
      </c>
      <c r="AX1392">
        <v>3.7643157252855333</v>
      </c>
      <c r="BB1392" t="s">
        <v>4619</v>
      </c>
      <c r="BD1392" s="98"/>
      <c r="BE1392" s="98"/>
      <c r="BF1392" t="s">
        <v>1152</v>
      </c>
      <c r="BG1392" t="s">
        <v>322</v>
      </c>
      <c r="BH1392" t="s">
        <v>1153</v>
      </c>
      <c r="BN1392" t="s">
        <v>1154</v>
      </c>
      <c r="BO1392">
        <v>2025</v>
      </c>
      <c r="BP1392" t="s">
        <v>966</v>
      </c>
      <c r="BZ1392" t="s">
        <v>1513</v>
      </c>
      <c r="CA1392" t="s">
        <v>1513</v>
      </c>
      <c r="CB1392" t="b">
        <v>0</v>
      </c>
      <c r="CC1392" t="b">
        <v>0</v>
      </c>
      <c r="CD1392" t="b">
        <v>0</v>
      </c>
      <c r="CE1392" t="b">
        <v>0</v>
      </c>
      <c r="CF1392" t="b">
        <v>0</v>
      </c>
    </row>
    <row r="1393" spans="1:84" x14ac:dyDescent="0.3">
      <c r="A1393" t="s">
        <v>4013</v>
      </c>
      <c r="B1393" t="s">
        <v>1221</v>
      </c>
      <c r="C1393" s="98">
        <v>45775</v>
      </c>
      <c r="D1393">
        <v>2025</v>
      </c>
      <c r="E1393">
        <v>4</v>
      </c>
      <c r="F1393">
        <v>2</v>
      </c>
      <c r="G1393" t="s">
        <v>1208</v>
      </c>
      <c r="H1393" t="s">
        <v>150</v>
      </c>
      <c r="I1393" t="s">
        <v>150</v>
      </c>
      <c r="J1393" t="s">
        <v>6</v>
      </c>
      <c r="L1393">
        <v>522611</v>
      </c>
      <c r="M1393" s="99" t="s">
        <v>179</v>
      </c>
      <c r="N1393">
        <v>2</v>
      </c>
      <c r="O1393">
        <v>17</v>
      </c>
      <c r="P1393">
        <v>2.1892</v>
      </c>
      <c r="Q1393" t="s">
        <v>352</v>
      </c>
      <c r="R1393">
        <v>1</v>
      </c>
      <c r="S1393">
        <v>2.3437999999999999</v>
      </c>
      <c r="T1393">
        <v>6.13E-2</v>
      </c>
      <c r="U1393">
        <v>-2.5220228384991819</v>
      </c>
      <c r="V1393">
        <v>2.1598999999999999</v>
      </c>
      <c r="W1393">
        <v>2.2212000000000001</v>
      </c>
      <c r="X1393">
        <v>2.2824999999999998</v>
      </c>
      <c r="Y1393">
        <v>2.4051</v>
      </c>
      <c r="Z1393">
        <v>2.4663999999999997</v>
      </c>
      <c r="AA1393">
        <v>2.5276999999999998</v>
      </c>
      <c r="AD1393">
        <v>22.797628473468187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1</v>
      </c>
      <c r="AK1393" t="s">
        <v>462</v>
      </c>
      <c r="AL1393" t="s">
        <v>6</v>
      </c>
      <c r="AM1393" t="s">
        <v>1145</v>
      </c>
      <c r="AN1393" t="s">
        <v>1146</v>
      </c>
      <c r="AO1393" s="100">
        <v>46262.040405092594</v>
      </c>
      <c r="AP1393" t="s">
        <v>1147</v>
      </c>
      <c r="AQ1393" t="s">
        <v>4014</v>
      </c>
      <c r="AR1393" t="s">
        <v>1223</v>
      </c>
      <c r="AS1393" t="s">
        <v>1150</v>
      </c>
      <c r="AT1393" t="s">
        <v>3932</v>
      </c>
      <c r="AU1393">
        <v>25</v>
      </c>
      <c r="AV1393">
        <v>2.3624999999999998</v>
      </c>
      <c r="AW1393">
        <v>8.893195900987072E-2</v>
      </c>
      <c r="AX1393">
        <v>3.7643157252855333</v>
      </c>
      <c r="BB1393" t="s">
        <v>4619</v>
      </c>
      <c r="BD1393" s="98"/>
      <c r="BE1393" s="98"/>
      <c r="BF1393" t="s">
        <v>1152</v>
      </c>
      <c r="BG1393" t="s">
        <v>322</v>
      </c>
      <c r="BH1393" t="s">
        <v>1153</v>
      </c>
      <c r="BN1393" t="s">
        <v>1154</v>
      </c>
      <c r="BO1393">
        <v>2025</v>
      </c>
      <c r="BP1393" t="s">
        <v>966</v>
      </c>
      <c r="BZ1393" t="s">
        <v>1513</v>
      </c>
      <c r="CA1393" t="s">
        <v>1513</v>
      </c>
      <c r="CB1393" t="b">
        <v>0</v>
      </c>
      <c r="CC1393" t="b">
        <v>0</v>
      </c>
      <c r="CD1393" t="b">
        <v>0</v>
      </c>
      <c r="CE1393" t="b">
        <v>0</v>
      </c>
      <c r="CF1393" t="b">
        <v>0</v>
      </c>
    </row>
    <row r="1394" spans="1:84" x14ac:dyDescent="0.3">
      <c r="A1394" t="s">
        <v>4015</v>
      </c>
      <c r="B1394" t="s">
        <v>1225</v>
      </c>
      <c r="C1394" s="98">
        <v>45782</v>
      </c>
      <c r="D1394">
        <v>2025</v>
      </c>
      <c r="E1394">
        <v>5</v>
      </c>
      <c r="F1394">
        <v>2</v>
      </c>
      <c r="G1394" t="s">
        <v>1226</v>
      </c>
      <c r="H1394" t="s">
        <v>150</v>
      </c>
      <c r="I1394" t="s">
        <v>150</v>
      </c>
      <c r="J1394" t="s">
        <v>6</v>
      </c>
      <c r="L1394">
        <v>522611</v>
      </c>
      <c r="M1394" s="99" t="s">
        <v>179</v>
      </c>
      <c r="N1394">
        <v>2</v>
      </c>
      <c r="O1394">
        <v>18</v>
      </c>
      <c r="P1394">
        <v>2.5171000000000001</v>
      </c>
      <c r="Q1394" t="s">
        <v>352</v>
      </c>
      <c r="R1394">
        <v>1</v>
      </c>
      <c r="S1394">
        <v>2.3437999999999999</v>
      </c>
      <c r="T1394">
        <v>6.13E-2</v>
      </c>
      <c r="U1394">
        <v>2.8270799347471489</v>
      </c>
      <c r="V1394">
        <v>2.1598999999999999</v>
      </c>
      <c r="W1394">
        <v>2.2212000000000001</v>
      </c>
      <c r="X1394">
        <v>2.2824999999999998</v>
      </c>
      <c r="Y1394">
        <v>2.4051</v>
      </c>
      <c r="Z1394">
        <v>2.4663999999999997</v>
      </c>
      <c r="AA1394">
        <v>2.5276999999999998</v>
      </c>
      <c r="AD1394">
        <v>22.797628473468187</v>
      </c>
      <c r="AE1394">
        <v>0</v>
      </c>
      <c r="AF1394">
        <v>0</v>
      </c>
      <c r="AG1394">
        <v>1</v>
      </c>
      <c r="AH1394">
        <v>0</v>
      </c>
      <c r="AI1394">
        <v>0</v>
      </c>
      <c r="AJ1394">
        <v>1</v>
      </c>
      <c r="AK1394" t="s">
        <v>1213</v>
      </c>
      <c r="AL1394" t="s">
        <v>6</v>
      </c>
      <c r="AM1394" t="s">
        <v>1145</v>
      </c>
      <c r="AN1394" t="s">
        <v>1146</v>
      </c>
      <c r="AO1394" s="100">
        <v>46262.040405092594</v>
      </c>
      <c r="AP1394" t="s">
        <v>1147</v>
      </c>
      <c r="AQ1394" t="s">
        <v>4016</v>
      </c>
      <c r="AR1394" t="s">
        <v>1228</v>
      </c>
      <c r="AS1394" t="s">
        <v>1150</v>
      </c>
      <c r="AT1394" t="s">
        <v>3932</v>
      </c>
      <c r="AU1394">
        <v>25</v>
      </c>
      <c r="AV1394">
        <v>2.3624999999999998</v>
      </c>
      <c r="AW1394">
        <v>8.893195900987072E-2</v>
      </c>
      <c r="AX1394">
        <v>3.7643157252855333</v>
      </c>
      <c r="BB1394" t="s">
        <v>4619</v>
      </c>
      <c r="BD1394" s="98"/>
      <c r="BE1394" s="98"/>
      <c r="BF1394" t="s">
        <v>1152</v>
      </c>
      <c r="BG1394" t="s">
        <v>322</v>
      </c>
      <c r="BH1394" t="s">
        <v>1153</v>
      </c>
      <c r="BN1394" t="s">
        <v>1154</v>
      </c>
      <c r="BO1394">
        <v>2025</v>
      </c>
      <c r="BP1394" t="s">
        <v>966</v>
      </c>
      <c r="BZ1394" t="s">
        <v>1513</v>
      </c>
      <c r="CA1394" t="s">
        <v>1513</v>
      </c>
      <c r="CB1394" t="b">
        <v>0</v>
      </c>
      <c r="CC1394" t="b">
        <v>0</v>
      </c>
      <c r="CD1394" t="b">
        <v>0</v>
      </c>
      <c r="CE1394" t="b">
        <v>0</v>
      </c>
      <c r="CF1394" t="b">
        <v>0</v>
      </c>
    </row>
    <row r="1395" spans="1:84" x14ac:dyDescent="0.3">
      <c r="A1395" t="s">
        <v>4017</v>
      </c>
      <c r="B1395" t="s">
        <v>1230</v>
      </c>
      <c r="C1395" s="98">
        <v>45789</v>
      </c>
      <c r="D1395">
        <v>2025</v>
      </c>
      <c r="E1395">
        <v>5</v>
      </c>
      <c r="F1395">
        <v>2</v>
      </c>
      <c r="G1395" t="s">
        <v>1226</v>
      </c>
      <c r="H1395" t="s">
        <v>150</v>
      </c>
      <c r="I1395" t="s">
        <v>150</v>
      </c>
      <c r="J1395" t="s">
        <v>6</v>
      </c>
      <c r="L1395">
        <v>522611</v>
      </c>
      <c r="M1395" s="99" t="s">
        <v>179</v>
      </c>
      <c r="N1395">
        <v>2</v>
      </c>
      <c r="O1395">
        <v>19</v>
      </c>
      <c r="P1395">
        <v>2.3872</v>
      </c>
      <c r="Q1395" t="s">
        <v>352</v>
      </c>
      <c r="R1395">
        <v>1</v>
      </c>
      <c r="S1395">
        <v>2.3437999999999999</v>
      </c>
      <c r="T1395">
        <v>6.13E-2</v>
      </c>
      <c r="U1395">
        <v>0.70799347471452045</v>
      </c>
      <c r="V1395">
        <v>2.1598999999999999</v>
      </c>
      <c r="W1395">
        <v>2.2212000000000001</v>
      </c>
      <c r="X1395">
        <v>2.2824999999999998</v>
      </c>
      <c r="Y1395">
        <v>2.4051</v>
      </c>
      <c r="Z1395">
        <v>2.4663999999999997</v>
      </c>
      <c r="AA1395">
        <v>2.5276999999999998</v>
      </c>
      <c r="AD1395">
        <v>22.797628473468187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 t="s">
        <v>462</v>
      </c>
      <c r="AL1395" t="s">
        <v>6</v>
      </c>
      <c r="AM1395" t="s">
        <v>1145</v>
      </c>
      <c r="AN1395" t="s">
        <v>1146</v>
      </c>
      <c r="AO1395" s="100">
        <v>46262.040405092594</v>
      </c>
      <c r="AP1395" t="s">
        <v>1147</v>
      </c>
      <c r="AQ1395" t="s">
        <v>4018</v>
      </c>
      <c r="AR1395" t="s">
        <v>1232</v>
      </c>
      <c r="AS1395" t="s">
        <v>1150</v>
      </c>
      <c r="AT1395" t="s">
        <v>3932</v>
      </c>
      <c r="AU1395">
        <v>25</v>
      </c>
      <c r="AV1395">
        <v>2.3624999999999998</v>
      </c>
      <c r="AW1395">
        <v>8.893195900987072E-2</v>
      </c>
      <c r="AX1395">
        <v>3.7643157252855333</v>
      </c>
      <c r="BB1395" t="s">
        <v>4619</v>
      </c>
      <c r="BD1395" s="98"/>
      <c r="BE1395" s="98"/>
      <c r="BF1395" t="s">
        <v>1152</v>
      </c>
      <c r="BG1395" t="s">
        <v>322</v>
      </c>
      <c r="BH1395" t="s">
        <v>1153</v>
      </c>
      <c r="BN1395" t="s">
        <v>1154</v>
      </c>
      <c r="BO1395">
        <v>2025</v>
      </c>
      <c r="BP1395" t="s">
        <v>966</v>
      </c>
      <c r="BZ1395" t="s">
        <v>1513</v>
      </c>
      <c r="CA1395" t="s">
        <v>1513</v>
      </c>
      <c r="CB1395" t="b">
        <v>0</v>
      </c>
      <c r="CC1395" t="b">
        <v>0</v>
      </c>
      <c r="CD1395" t="b">
        <v>0</v>
      </c>
      <c r="CE1395" t="b">
        <v>0</v>
      </c>
      <c r="CF1395" t="b">
        <v>0</v>
      </c>
    </row>
    <row r="1396" spans="1:84" x14ac:dyDescent="0.3">
      <c r="A1396" t="s">
        <v>4019</v>
      </c>
      <c r="B1396" t="s">
        <v>1234</v>
      </c>
      <c r="C1396" s="98">
        <v>45796</v>
      </c>
      <c r="D1396">
        <v>2025</v>
      </c>
      <c r="E1396">
        <v>5</v>
      </c>
      <c r="F1396">
        <v>2</v>
      </c>
      <c r="G1396" t="s">
        <v>1226</v>
      </c>
      <c r="H1396" t="s">
        <v>150</v>
      </c>
      <c r="I1396" t="s">
        <v>150</v>
      </c>
      <c r="J1396" t="s">
        <v>6</v>
      </c>
      <c r="L1396">
        <v>522611</v>
      </c>
      <c r="M1396" s="99" t="s">
        <v>179</v>
      </c>
      <c r="N1396">
        <v>2</v>
      </c>
      <c r="O1396">
        <v>20</v>
      </c>
      <c r="P1396">
        <v>2.4552</v>
      </c>
      <c r="Q1396" t="s">
        <v>352</v>
      </c>
      <c r="R1396">
        <v>1</v>
      </c>
      <c r="S1396">
        <v>2.3437999999999999</v>
      </c>
      <c r="T1396">
        <v>6.13E-2</v>
      </c>
      <c r="U1396">
        <v>1.8172920065252882</v>
      </c>
      <c r="V1396">
        <v>2.1598999999999999</v>
      </c>
      <c r="W1396">
        <v>2.2212000000000001</v>
      </c>
      <c r="X1396">
        <v>2.2824999999999998</v>
      </c>
      <c r="Y1396">
        <v>2.4051</v>
      </c>
      <c r="Z1396">
        <v>2.4663999999999997</v>
      </c>
      <c r="AA1396">
        <v>2.5276999999999998</v>
      </c>
      <c r="AD1396">
        <v>22.797628473468187</v>
      </c>
      <c r="AE1396">
        <v>0</v>
      </c>
      <c r="AF1396">
        <v>0</v>
      </c>
      <c r="AG1396">
        <v>0</v>
      </c>
      <c r="AH1396">
        <v>0</v>
      </c>
      <c r="AI1396">
        <v>1</v>
      </c>
      <c r="AJ1396">
        <v>0</v>
      </c>
      <c r="AK1396" t="s">
        <v>1213</v>
      </c>
      <c r="AL1396" t="s">
        <v>6</v>
      </c>
      <c r="AM1396" t="s">
        <v>1145</v>
      </c>
      <c r="AN1396" t="s">
        <v>1146</v>
      </c>
      <c r="AO1396" s="100">
        <v>46262.040405092594</v>
      </c>
      <c r="AP1396" t="s">
        <v>1147</v>
      </c>
      <c r="AQ1396" t="s">
        <v>4020</v>
      </c>
      <c r="AR1396" t="s">
        <v>1236</v>
      </c>
      <c r="AS1396" t="s">
        <v>1150</v>
      </c>
      <c r="AT1396" t="s">
        <v>3932</v>
      </c>
      <c r="AU1396">
        <v>25</v>
      </c>
      <c r="AV1396">
        <v>2.3624999999999998</v>
      </c>
      <c r="AW1396">
        <v>8.893195900987072E-2</v>
      </c>
      <c r="AX1396">
        <v>3.7643157252855333</v>
      </c>
      <c r="BB1396" t="s">
        <v>4619</v>
      </c>
      <c r="BD1396" s="98"/>
      <c r="BE1396" s="98"/>
      <c r="BF1396" t="s">
        <v>1152</v>
      </c>
      <c r="BG1396" t="s">
        <v>322</v>
      </c>
      <c r="BH1396" t="s">
        <v>1153</v>
      </c>
      <c r="BN1396" t="s">
        <v>1154</v>
      </c>
      <c r="BO1396">
        <v>2025</v>
      </c>
      <c r="BP1396" t="s">
        <v>966</v>
      </c>
      <c r="BZ1396" t="s">
        <v>1513</v>
      </c>
      <c r="CA1396" t="s">
        <v>1513</v>
      </c>
      <c r="CB1396" t="b">
        <v>0</v>
      </c>
      <c r="CC1396" t="b">
        <v>0</v>
      </c>
      <c r="CD1396" t="b">
        <v>0</v>
      </c>
      <c r="CE1396" t="b">
        <v>0</v>
      </c>
      <c r="CF1396" t="b">
        <v>0</v>
      </c>
    </row>
    <row r="1397" spans="1:84" x14ac:dyDescent="0.3">
      <c r="A1397" t="s">
        <v>4021</v>
      </c>
      <c r="B1397" t="s">
        <v>1238</v>
      </c>
      <c r="C1397" s="98">
        <v>45803</v>
      </c>
      <c r="D1397">
        <v>2025</v>
      </c>
      <c r="E1397">
        <v>5</v>
      </c>
      <c r="F1397">
        <v>2</v>
      </c>
      <c r="G1397" t="s">
        <v>1226</v>
      </c>
      <c r="H1397" t="s">
        <v>150</v>
      </c>
      <c r="I1397" t="s">
        <v>150</v>
      </c>
      <c r="J1397" t="s">
        <v>6</v>
      </c>
      <c r="L1397">
        <v>522611</v>
      </c>
      <c r="M1397" s="99" t="s">
        <v>179</v>
      </c>
      <c r="N1397">
        <v>2</v>
      </c>
      <c r="O1397">
        <v>21</v>
      </c>
      <c r="P1397">
        <v>2.2879</v>
      </c>
      <c r="Q1397" t="s">
        <v>352</v>
      </c>
      <c r="R1397">
        <v>1</v>
      </c>
      <c r="S1397">
        <v>2.3437999999999999</v>
      </c>
      <c r="T1397">
        <v>6.13E-2</v>
      </c>
      <c r="U1397">
        <v>-0.91190864600326005</v>
      </c>
      <c r="V1397">
        <v>2.1598999999999999</v>
      </c>
      <c r="W1397">
        <v>2.2212000000000001</v>
      </c>
      <c r="X1397">
        <v>2.2824999999999998</v>
      </c>
      <c r="Y1397">
        <v>2.4051</v>
      </c>
      <c r="Z1397">
        <v>2.4663999999999997</v>
      </c>
      <c r="AA1397">
        <v>2.5276999999999998</v>
      </c>
      <c r="AD1397">
        <v>22.797628473468187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 t="s">
        <v>462</v>
      </c>
      <c r="AL1397" t="s">
        <v>6</v>
      </c>
      <c r="AM1397" t="s">
        <v>1145</v>
      </c>
      <c r="AN1397" t="s">
        <v>1146</v>
      </c>
      <c r="AO1397" s="100">
        <v>46262.040405092594</v>
      </c>
      <c r="AP1397" t="s">
        <v>1147</v>
      </c>
      <c r="AQ1397" t="s">
        <v>4022</v>
      </c>
      <c r="AR1397" t="s">
        <v>1240</v>
      </c>
      <c r="AS1397" t="s">
        <v>1150</v>
      </c>
      <c r="AT1397" t="s">
        <v>3932</v>
      </c>
      <c r="AU1397">
        <v>25</v>
      </c>
      <c r="AV1397">
        <v>2.3624999999999998</v>
      </c>
      <c r="AW1397">
        <v>8.893195900987072E-2</v>
      </c>
      <c r="AX1397">
        <v>3.7643157252855333</v>
      </c>
      <c r="BB1397" t="s">
        <v>4619</v>
      </c>
      <c r="BD1397" s="98"/>
      <c r="BE1397" s="98"/>
      <c r="BF1397" t="s">
        <v>1152</v>
      </c>
      <c r="BG1397" t="s">
        <v>322</v>
      </c>
      <c r="BH1397" t="s">
        <v>1153</v>
      </c>
      <c r="BN1397" t="s">
        <v>1154</v>
      </c>
      <c r="BO1397">
        <v>2025</v>
      </c>
      <c r="BP1397" t="s">
        <v>966</v>
      </c>
      <c r="BZ1397" t="s">
        <v>1513</v>
      </c>
      <c r="CA1397" t="s">
        <v>1513</v>
      </c>
      <c r="CB1397" t="b">
        <v>0</v>
      </c>
      <c r="CC1397" t="b">
        <v>0</v>
      </c>
      <c r="CD1397" t="b">
        <v>0</v>
      </c>
      <c r="CE1397" t="b">
        <v>0</v>
      </c>
      <c r="CF1397" t="b">
        <v>0</v>
      </c>
    </row>
    <row r="1398" spans="1:84" x14ac:dyDescent="0.3">
      <c r="A1398" t="s">
        <v>4023</v>
      </c>
      <c r="B1398" t="s">
        <v>1242</v>
      </c>
      <c r="C1398" s="98">
        <v>45810</v>
      </c>
      <c r="D1398">
        <v>2025</v>
      </c>
      <c r="E1398">
        <v>6</v>
      </c>
      <c r="F1398">
        <v>2</v>
      </c>
      <c r="G1398" t="s">
        <v>1243</v>
      </c>
      <c r="H1398" t="s">
        <v>150</v>
      </c>
      <c r="I1398" t="s">
        <v>150</v>
      </c>
      <c r="J1398" t="s">
        <v>6</v>
      </c>
      <c r="L1398">
        <v>522611</v>
      </c>
      <c r="M1398" s="99" t="s">
        <v>179</v>
      </c>
      <c r="N1398">
        <v>2</v>
      </c>
      <c r="O1398">
        <v>22</v>
      </c>
      <c r="P1398">
        <v>2.4337</v>
      </c>
      <c r="Q1398" t="s">
        <v>352</v>
      </c>
      <c r="R1398">
        <v>1</v>
      </c>
      <c r="S1398">
        <v>2.3437999999999999</v>
      </c>
      <c r="T1398">
        <v>6.13E-2</v>
      </c>
      <c r="U1398">
        <v>1.4665579119086474</v>
      </c>
      <c r="V1398">
        <v>2.1598999999999999</v>
      </c>
      <c r="W1398">
        <v>2.2212000000000001</v>
      </c>
      <c r="X1398">
        <v>2.2824999999999998</v>
      </c>
      <c r="Y1398">
        <v>2.4051</v>
      </c>
      <c r="Z1398">
        <v>2.4663999999999997</v>
      </c>
      <c r="AA1398">
        <v>2.5276999999999998</v>
      </c>
      <c r="AD1398">
        <v>22.797628473468187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 t="s">
        <v>462</v>
      </c>
      <c r="AL1398" t="s">
        <v>6</v>
      </c>
      <c r="AM1398" t="s">
        <v>1145</v>
      </c>
      <c r="AN1398" t="s">
        <v>1146</v>
      </c>
      <c r="AO1398" s="100">
        <v>46262.040405092594</v>
      </c>
      <c r="AP1398" t="s">
        <v>1147</v>
      </c>
      <c r="AQ1398" t="s">
        <v>4024</v>
      </c>
      <c r="AR1398" t="s">
        <v>1245</v>
      </c>
      <c r="AS1398" t="s">
        <v>1150</v>
      </c>
      <c r="AT1398" t="s">
        <v>3932</v>
      </c>
      <c r="AU1398">
        <v>25</v>
      </c>
      <c r="AV1398">
        <v>2.3624999999999998</v>
      </c>
      <c r="AW1398">
        <v>8.893195900987072E-2</v>
      </c>
      <c r="AX1398">
        <v>3.7643157252855333</v>
      </c>
      <c r="BB1398" t="s">
        <v>4619</v>
      </c>
      <c r="BD1398" s="98"/>
      <c r="BE1398" s="98"/>
      <c r="BF1398" t="s">
        <v>1152</v>
      </c>
      <c r="BG1398" t="s">
        <v>322</v>
      </c>
      <c r="BH1398" t="s">
        <v>1153</v>
      </c>
      <c r="BN1398" t="s">
        <v>1154</v>
      </c>
      <c r="BO1398">
        <v>2025</v>
      </c>
      <c r="BP1398" t="s">
        <v>966</v>
      </c>
      <c r="BZ1398" t="s">
        <v>1513</v>
      </c>
      <c r="CA1398" t="s">
        <v>1513</v>
      </c>
      <c r="CB1398" t="b">
        <v>0</v>
      </c>
      <c r="CC1398" t="b">
        <v>0</v>
      </c>
      <c r="CD1398" t="b">
        <v>0</v>
      </c>
      <c r="CE1398" t="b">
        <v>0</v>
      </c>
      <c r="CF1398" t="b">
        <v>0</v>
      </c>
    </row>
    <row r="1399" spans="1:84" x14ac:dyDescent="0.3">
      <c r="A1399" t="s">
        <v>4025</v>
      </c>
      <c r="B1399" t="s">
        <v>1247</v>
      </c>
      <c r="C1399" s="98">
        <v>45817</v>
      </c>
      <c r="D1399">
        <v>2025</v>
      </c>
      <c r="E1399">
        <v>6</v>
      </c>
      <c r="F1399">
        <v>2</v>
      </c>
      <c r="G1399" t="s">
        <v>1243</v>
      </c>
      <c r="H1399" t="s">
        <v>150</v>
      </c>
      <c r="I1399" t="s">
        <v>150</v>
      </c>
      <c r="J1399" t="s">
        <v>6</v>
      </c>
      <c r="L1399">
        <v>522611</v>
      </c>
      <c r="M1399" s="99" t="s">
        <v>179</v>
      </c>
      <c r="N1399">
        <v>2</v>
      </c>
      <c r="O1399">
        <v>23</v>
      </c>
      <c r="P1399">
        <v>2.4411999999999998</v>
      </c>
      <c r="Q1399" t="s">
        <v>352</v>
      </c>
      <c r="R1399">
        <v>1</v>
      </c>
      <c r="S1399">
        <v>2.3437999999999999</v>
      </c>
      <c r="T1399">
        <v>6.13E-2</v>
      </c>
      <c r="U1399">
        <v>1.5889070146818911</v>
      </c>
      <c r="V1399">
        <v>2.1598999999999999</v>
      </c>
      <c r="W1399">
        <v>2.2212000000000001</v>
      </c>
      <c r="X1399">
        <v>2.2824999999999998</v>
      </c>
      <c r="Y1399">
        <v>2.4051</v>
      </c>
      <c r="Z1399">
        <v>2.4663999999999997</v>
      </c>
      <c r="AA1399">
        <v>2.5276999999999998</v>
      </c>
      <c r="AD1399">
        <v>22.797628473468187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 t="s">
        <v>462</v>
      </c>
      <c r="AL1399" t="s">
        <v>6</v>
      </c>
      <c r="AM1399" t="s">
        <v>1145</v>
      </c>
      <c r="AN1399" t="s">
        <v>1146</v>
      </c>
      <c r="AO1399" s="100">
        <v>46262.040405092594</v>
      </c>
      <c r="AP1399" t="s">
        <v>1147</v>
      </c>
      <c r="AQ1399" t="s">
        <v>4026</v>
      </c>
      <c r="AR1399" t="s">
        <v>1249</v>
      </c>
      <c r="AS1399" t="s">
        <v>1150</v>
      </c>
      <c r="AT1399" t="s">
        <v>3932</v>
      </c>
      <c r="AU1399">
        <v>25</v>
      </c>
      <c r="AV1399">
        <v>2.3624999999999998</v>
      </c>
      <c r="AW1399">
        <v>8.893195900987072E-2</v>
      </c>
      <c r="AX1399">
        <v>3.7643157252855333</v>
      </c>
      <c r="BB1399" t="s">
        <v>4619</v>
      </c>
      <c r="BD1399" s="98"/>
      <c r="BE1399" s="98"/>
      <c r="BF1399" t="s">
        <v>1152</v>
      </c>
      <c r="BG1399" t="s">
        <v>322</v>
      </c>
      <c r="BH1399" t="s">
        <v>1153</v>
      </c>
      <c r="BN1399" t="s">
        <v>1154</v>
      </c>
      <c r="BO1399">
        <v>2025</v>
      </c>
      <c r="BP1399" t="s">
        <v>966</v>
      </c>
      <c r="BZ1399" t="s">
        <v>1513</v>
      </c>
      <c r="CA1399" t="s">
        <v>1513</v>
      </c>
      <c r="CB1399" t="b">
        <v>0</v>
      </c>
      <c r="CC1399" t="b">
        <v>0</v>
      </c>
      <c r="CD1399" t="b">
        <v>0</v>
      </c>
      <c r="CE1399" t="b">
        <v>0</v>
      </c>
      <c r="CF1399" t="b">
        <v>0</v>
      </c>
    </row>
    <row r="1400" spans="1:84" x14ac:dyDescent="0.3">
      <c r="A1400" t="s">
        <v>4027</v>
      </c>
      <c r="B1400" t="s">
        <v>1251</v>
      </c>
      <c r="C1400" s="98">
        <v>45824</v>
      </c>
      <c r="D1400">
        <v>2025</v>
      </c>
      <c r="E1400">
        <v>6</v>
      </c>
      <c r="F1400">
        <v>2</v>
      </c>
      <c r="G1400" t="s">
        <v>1243</v>
      </c>
      <c r="H1400" t="s">
        <v>150</v>
      </c>
      <c r="I1400" t="s">
        <v>150</v>
      </c>
      <c r="J1400" t="s">
        <v>6</v>
      </c>
      <c r="L1400">
        <v>522611</v>
      </c>
      <c r="M1400" s="99" t="s">
        <v>179</v>
      </c>
      <c r="N1400">
        <v>2</v>
      </c>
      <c r="O1400">
        <v>24</v>
      </c>
      <c r="P1400">
        <v>2.4390000000000001</v>
      </c>
      <c r="Q1400" t="s">
        <v>352</v>
      </c>
      <c r="R1400">
        <v>1</v>
      </c>
      <c r="S1400">
        <v>2.3437999999999999</v>
      </c>
      <c r="T1400">
        <v>6.13E-2</v>
      </c>
      <c r="U1400">
        <v>1.5530179445350762</v>
      </c>
      <c r="V1400">
        <v>2.1598999999999999</v>
      </c>
      <c r="W1400">
        <v>2.2212000000000001</v>
      </c>
      <c r="X1400">
        <v>2.2824999999999998</v>
      </c>
      <c r="Y1400">
        <v>2.4051</v>
      </c>
      <c r="Z1400">
        <v>2.4663999999999997</v>
      </c>
      <c r="AA1400">
        <v>2.5276999999999998</v>
      </c>
      <c r="AD1400">
        <v>22.797628473468187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 t="s">
        <v>462</v>
      </c>
      <c r="AL1400" t="s">
        <v>6</v>
      </c>
      <c r="AM1400" t="s">
        <v>1145</v>
      </c>
      <c r="AN1400" t="s">
        <v>1146</v>
      </c>
      <c r="AO1400" s="100">
        <v>46262.040405092594</v>
      </c>
      <c r="AP1400" t="s">
        <v>1147</v>
      </c>
      <c r="AQ1400" t="s">
        <v>4028</v>
      </c>
      <c r="AR1400" t="s">
        <v>1253</v>
      </c>
      <c r="AS1400" t="s">
        <v>1150</v>
      </c>
      <c r="AT1400" t="s">
        <v>3932</v>
      </c>
      <c r="AU1400">
        <v>25</v>
      </c>
      <c r="AV1400">
        <v>2.3624999999999998</v>
      </c>
      <c r="AW1400">
        <v>8.893195900987072E-2</v>
      </c>
      <c r="AX1400">
        <v>3.7643157252855333</v>
      </c>
      <c r="BB1400" t="s">
        <v>4619</v>
      </c>
      <c r="BD1400" s="98"/>
      <c r="BE1400" s="98"/>
      <c r="BF1400" t="s">
        <v>1152</v>
      </c>
      <c r="BG1400" t="s">
        <v>322</v>
      </c>
      <c r="BH1400" t="s">
        <v>1153</v>
      </c>
      <c r="BN1400" t="s">
        <v>1154</v>
      </c>
      <c r="BO1400">
        <v>2025</v>
      </c>
      <c r="BP1400" t="s">
        <v>966</v>
      </c>
      <c r="BZ1400" t="s">
        <v>1513</v>
      </c>
      <c r="CA1400" t="s">
        <v>1513</v>
      </c>
      <c r="CB1400" t="b">
        <v>0</v>
      </c>
      <c r="CC1400" t="b">
        <v>0</v>
      </c>
      <c r="CD1400" t="b">
        <v>0</v>
      </c>
      <c r="CE1400" t="b">
        <v>0</v>
      </c>
      <c r="CF1400" t="b">
        <v>0</v>
      </c>
    </row>
    <row r="1401" spans="1:84" x14ac:dyDescent="0.3">
      <c r="A1401" t="s">
        <v>4029</v>
      </c>
      <c r="B1401" t="s">
        <v>1255</v>
      </c>
      <c r="C1401" s="98">
        <v>45831</v>
      </c>
      <c r="D1401">
        <v>2025</v>
      </c>
      <c r="E1401">
        <v>6</v>
      </c>
      <c r="F1401">
        <v>2</v>
      </c>
      <c r="G1401" t="s">
        <v>1243</v>
      </c>
      <c r="H1401" t="s">
        <v>150</v>
      </c>
      <c r="I1401" t="s">
        <v>150</v>
      </c>
      <c r="J1401" t="s">
        <v>6</v>
      </c>
      <c r="L1401">
        <v>522611</v>
      </c>
      <c r="M1401" s="99" t="s">
        <v>179</v>
      </c>
      <c r="N1401">
        <v>2</v>
      </c>
      <c r="O1401">
        <v>25</v>
      </c>
      <c r="P1401">
        <v>2.3424999999999998</v>
      </c>
      <c r="Q1401" t="s">
        <v>352</v>
      </c>
      <c r="R1401">
        <v>1</v>
      </c>
      <c r="S1401">
        <v>2.3437999999999999</v>
      </c>
      <c r="T1401">
        <v>6.13E-2</v>
      </c>
      <c r="U1401">
        <v>-2.1207177814030649E-2</v>
      </c>
      <c r="V1401">
        <v>2.1598999999999999</v>
      </c>
      <c r="W1401">
        <v>2.2212000000000001</v>
      </c>
      <c r="X1401">
        <v>2.2824999999999998</v>
      </c>
      <c r="Y1401">
        <v>2.4051</v>
      </c>
      <c r="Z1401">
        <v>2.4663999999999997</v>
      </c>
      <c r="AA1401">
        <v>2.5276999999999998</v>
      </c>
      <c r="AD1401">
        <v>22.797628473468187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 t="s">
        <v>462</v>
      </c>
      <c r="AL1401" t="s">
        <v>6</v>
      </c>
      <c r="AM1401" t="s">
        <v>1145</v>
      </c>
      <c r="AN1401" t="s">
        <v>1146</v>
      </c>
      <c r="AO1401" s="100">
        <v>46262.040405092594</v>
      </c>
      <c r="AP1401" t="s">
        <v>1147</v>
      </c>
      <c r="AQ1401" t="s">
        <v>4030</v>
      </c>
      <c r="AR1401" t="s">
        <v>1257</v>
      </c>
      <c r="AS1401" t="s">
        <v>1150</v>
      </c>
      <c r="AT1401" t="s">
        <v>3932</v>
      </c>
      <c r="AU1401">
        <v>25</v>
      </c>
      <c r="AV1401">
        <v>2.3624999999999998</v>
      </c>
      <c r="AW1401">
        <v>8.893195900987072E-2</v>
      </c>
      <c r="AX1401">
        <v>3.7643157252855333</v>
      </c>
      <c r="BB1401" t="s">
        <v>4619</v>
      </c>
      <c r="BD1401" s="98"/>
      <c r="BE1401" s="98"/>
      <c r="BF1401" t="s">
        <v>1152</v>
      </c>
      <c r="BG1401" t="s">
        <v>322</v>
      </c>
      <c r="BH1401" t="s">
        <v>1153</v>
      </c>
      <c r="BN1401" t="s">
        <v>1154</v>
      </c>
      <c r="BO1401">
        <v>2025</v>
      </c>
      <c r="BP1401" t="s">
        <v>966</v>
      </c>
      <c r="BZ1401" t="s">
        <v>1513</v>
      </c>
      <c r="CA1401" t="s">
        <v>1513</v>
      </c>
      <c r="CB1401" t="b">
        <v>0</v>
      </c>
      <c r="CC1401" t="b">
        <v>0</v>
      </c>
      <c r="CD1401" t="b">
        <v>0</v>
      </c>
      <c r="CE1401" t="b">
        <v>0</v>
      </c>
      <c r="CF1401" t="b">
        <v>0</v>
      </c>
    </row>
    <row r="1402" spans="1:84" x14ac:dyDescent="0.3">
      <c r="A1402" t="s">
        <v>4031</v>
      </c>
      <c r="B1402" t="s">
        <v>1143</v>
      </c>
      <c r="C1402" s="98">
        <v>45663</v>
      </c>
      <c r="D1402">
        <v>2025</v>
      </c>
      <c r="E1402">
        <v>1</v>
      </c>
      <c r="F1402">
        <v>1</v>
      </c>
      <c r="G1402" t="s">
        <v>1144</v>
      </c>
      <c r="H1402" t="s">
        <v>150</v>
      </c>
      <c r="I1402" t="s">
        <v>150</v>
      </c>
      <c r="J1402" t="s">
        <v>6</v>
      </c>
      <c r="L1402">
        <v>522611</v>
      </c>
      <c r="M1402" s="99" t="s">
        <v>180</v>
      </c>
      <c r="N1402">
        <v>3</v>
      </c>
      <c r="O1402">
        <v>1</v>
      </c>
      <c r="P1402">
        <v>1.1737</v>
      </c>
      <c r="Q1402" t="s">
        <v>352</v>
      </c>
      <c r="R1402">
        <v>1</v>
      </c>
      <c r="S1402">
        <v>1.2362</v>
      </c>
      <c r="T1402">
        <v>5.1999999999999998E-2</v>
      </c>
      <c r="U1402">
        <v>-1.2019230769230769</v>
      </c>
      <c r="V1402">
        <v>1.0802</v>
      </c>
      <c r="W1402">
        <v>1.1321999999999999</v>
      </c>
      <c r="X1402">
        <v>1.1841999999999999</v>
      </c>
      <c r="Y1402">
        <v>1.2882</v>
      </c>
      <c r="Z1402">
        <v>1.3402000000000001</v>
      </c>
      <c r="AA1402">
        <v>1.3921999999999999</v>
      </c>
      <c r="AD1402">
        <v>22.797628473468187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 t="s">
        <v>462</v>
      </c>
      <c r="AL1402" t="s">
        <v>6</v>
      </c>
      <c r="AM1402" t="s">
        <v>1145</v>
      </c>
      <c r="AN1402" t="s">
        <v>1146</v>
      </c>
      <c r="AO1402" s="100">
        <v>46262.040405092594</v>
      </c>
      <c r="AP1402" t="s">
        <v>1147</v>
      </c>
      <c r="AQ1402" t="s">
        <v>4032</v>
      </c>
      <c r="AR1402" t="s">
        <v>1149</v>
      </c>
      <c r="AS1402" t="s">
        <v>1150</v>
      </c>
      <c r="AT1402" t="s">
        <v>3932</v>
      </c>
      <c r="AU1402">
        <v>25</v>
      </c>
      <c r="AV1402">
        <v>1.2213039999999999</v>
      </c>
      <c r="AW1402">
        <v>5.5083553806921377E-2</v>
      </c>
      <c r="AX1402">
        <v>4.5102246293241794</v>
      </c>
      <c r="BB1402" t="s">
        <v>4619</v>
      </c>
      <c r="BD1402" s="98"/>
      <c r="BE1402" s="98"/>
      <c r="BF1402" t="s">
        <v>1152</v>
      </c>
      <c r="BG1402" t="s">
        <v>322</v>
      </c>
      <c r="BH1402" t="s">
        <v>1153</v>
      </c>
      <c r="BN1402" t="s">
        <v>1154</v>
      </c>
      <c r="BO1402">
        <v>2025</v>
      </c>
      <c r="BP1402" t="s">
        <v>966</v>
      </c>
      <c r="BZ1402" t="s">
        <v>1513</v>
      </c>
      <c r="CA1402" t="s">
        <v>1513</v>
      </c>
      <c r="CB1402" t="b">
        <v>0</v>
      </c>
      <c r="CC1402" t="b">
        <v>0</v>
      </c>
      <c r="CD1402" t="b">
        <v>0</v>
      </c>
      <c r="CE1402" t="b">
        <v>0</v>
      </c>
      <c r="CF1402" t="b">
        <v>0</v>
      </c>
    </row>
    <row r="1403" spans="1:84" x14ac:dyDescent="0.3">
      <c r="A1403" t="s">
        <v>4033</v>
      </c>
      <c r="B1403" t="s">
        <v>1157</v>
      </c>
      <c r="C1403" s="98">
        <v>45670</v>
      </c>
      <c r="D1403">
        <v>2025</v>
      </c>
      <c r="E1403">
        <v>1</v>
      </c>
      <c r="F1403">
        <v>1</v>
      </c>
      <c r="G1403" t="s">
        <v>1144</v>
      </c>
      <c r="H1403" t="s">
        <v>150</v>
      </c>
      <c r="I1403" t="s">
        <v>150</v>
      </c>
      <c r="J1403" t="s">
        <v>6</v>
      </c>
      <c r="L1403">
        <v>522611</v>
      </c>
      <c r="M1403" s="99" t="s">
        <v>180</v>
      </c>
      <c r="N1403">
        <v>3</v>
      </c>
      <c r="O1403">
        <v>2</v>
      </c>
      <c r="P1403">
        <v>1.2270000000000001</v>
      </c>
      <c r="Q1403" t="s">
        <v>352</v>
      </c>
      <c r="R1403">
        <v>1</v>
      </c>
      <c r="S1403">
        <v>1.2362</v>
      </c>
      <c r="T1403">
        <v>5.1999999999999998E-2</v>
      </c>
      <c r="U1403">
        <v>-0.17692307692307452</v>
      </c>
      <c r="V1403">
        <v>1.0802</v>
      </c>
      <c r="W1403">
        <v>1.1321999999999999</v>
      </c>
      <c r="X1403">
        <v>1.1841999999999999</v>
      </c>
      <c r="Y1403">
        <v>1.2882</v>
      </c>
      <c r="Z1403">
        <v>1.3402000000000001</v>
      </c>
      <c r="AA1403">
        <v>1.3921999999999999</v>
      </c>
      <c r="AD1403">
        <v>22.797628473468187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 t="s">
        <v>462</v>
      </c>
      <c r="AL1403" t="s">
        <v>6</v>
      </c>
      <c r="AM1403" t="s">
        <v>1145</v>
      </c>
      <c r="AN1403" t="s">
        <v>1146</v>
      </c>
      <c r="AO1403" s="100">
        <v>46262.040405092594</v>
      </c>
      <c r="AP1403" t="s">
        <v>1147</v>
      </c>
      <c r="AQ1403" t="s">
        <v>4034</v>
      </c>
      <c r="AR1403" t="s">
        <v>1159</v>
      </c>
      <c r="AS1403" t="s">
        <v>1150</v>
      </c>
      <c r="AT1403" t="s">
        <v>3932</v>
      </c>
      <c r="AU1403">
        <v>25</v>
      </c>
      <c r="AV1403">
        <v>1.2213039999999999</v>
      </c>
      <c r="AW1403">
        <v>5.5083553806921377E-2</v>
      </c>
      <c r="AX1403">
        <v>4.5102246293241794</v>
      </c>
      <c r="BB1403" t="s">
        <v>4619</v>
      </c>
      <c r="BD1403" s="98"/>
      <c r="BE1403" s="98"/>
      <c r="BF1403" t="s">
        <v>1152</v>
      </c>
      <c r="BG1403" t="s">
        <v>322</v>
      </c>
      <c r="BH1403" t="s">
        <v>1153</v>
      </c>
      <c r="BN1403" t="s">
        <v>1154</v>
      </c>
      <c r="BO1403">
        <v>2025</v>
      </c>
      <c r="BP1403" t="s">
        <v>966</v>
      </c>
      <c r="BZ1403" t="s">
        <v>1513</v>
      </c>
      <c r="CA1403" t="s">
        <v>1513</v>
      </c>
      <c r="CB1403" t="b">
        <v>0</v>
      </c>
      <c r="CC1403" t="b">
        <v>0</v>
      </c>
      <c r="CD1403" t="b">
        <v>0</v>
      </c>
      <c r="CE1403" t="b">
        <v>0</v>
      </c>
      <c r="CF1403" t="b">
        <v>0</v>
      </c>
    </row>
    <row r="1404" spans="1:84" x14ac:dyDescent="0.3">
      <c r="A1404" t="s">
        <v>4035</v>
      </c>
      <c r="B1404" t="s">
        <v>1161</v>
      </c>
      <c r="C1404" s="98">
        <v>45677</v>
      </c>
      <c r="D1404">
        <v>2025</v>
      </c>
      <c r="E1404">
        <v>1</v>
      </c>
      <c r="F1404">
        <v>1</v>
      </c>
      <c r="G1404" t="s">
        <v>1144</v>
      </c>
      <c r="H1404" t="s">
        <v>150</v>
      </c>
      <c r="I1404" t="s">
        <v>150</v>
      </c>
      <c r="J1404" t="s">
        <v>6</v>
      </c>
      <c r="L1404">
        <v>522611</v>
      </c>
      <c r="M1404" s="99" t="s">
        <v>180</v>
      </c>
      <c r="N1404">
        <v>3</v>
      </c>
      <c r="O1404">
        <v>3</v>
      </c>
      <c r="P1404">
        <v>1.1216999999999999</v>
      </c>
      <c r="Q1404" t="s">
        <v>352</v>
      </c>
      <c r="R1404">
        <v>1</v>
      </c>
      <c r="S1404">
        <v>1.2362</v>
      </c>
      <c r="T1404">
        <v>5.1999999999999998E-2</v>
      </c>
      <c r="U1404">
        <v>-2.201923076923078</v>
      </c>
      <c r="V1404">
        <v>1.0802</v>
      </c>
      <c r="W1404">
        <v>1.1321999999999999</v>
      </c>
      <c r="X1404">
        <v>1.1841999999999999</v>
      </c>
      <c r="Y1404">
        <v>1.2882</v>
      </c>
      <c r="Z1404">
        <v>1.3402000000000001</v>
      </c>
      <c r="AA1404">
        <v>1.3921999999999999</v>
      </c>
      <c r="AD1404">
        <v>22.797628473468187</v>
      </c>
      <c r="AE1404">
        <v>0</v>
      </c>
      <c r="AF1404">
        <v>1</v>
      </c>
      <c r="AG1404">
        <v>0</v>
      </c>
      <c r="AH1404">
        <v>0</v>
      </c>
      <c r="AI1404">
        <v>0</v>
      </c>
      <c r="AJ1404">
        <v>1</v>
      </c>
      <c r="AK1404" t="s">
        <v>1213</v>
      </c>
      <c r="AL1404" t="s">
        <v>6</v>
      </c>
      <c r="AM1404" t="s">
        <v>1145</v>
      </c>
      <c r="AN1404" t="s">
        <v>1146</v>
      </c>
      <c r="AO1404" s="100">
        <v>46262.040405092594</v>
      </c>
      <c r="AP1404" t="s">
        <v>1147</v>
      </c>
      <c r="AQ1404" t="s">
        <v>4036</v>
      </c>
      <c r="AR1404" t="s">
        <v>1163</v>
      </c>
      <c r="AS1404" t="s">
        <v>1150</v>
      </c>
      <c r="AT1404" t="s">
        <v>3932</v>
      </c>
      <c r="AU1404">
        <v>25</v>
      </c>
      <c r="AV1404">
        <v>1.2213039999999999</v>
      </c>
      <c r="AW1404">
        <v>5.5083553806921377E-2</v>
      </c>
      <c r="AX1404">
        <v>4.5102246293241794</v>
      </c>
      <c r="BB1404" t="s">
        <v>4619</v>
      </c>
      <c r="BD1404" s="98"/>
      <c r="BE1404" s="98"/>
      <c r="BF1404" t="s">
        <v>1152</v>
      </c>
      <c r="BG1404" t="s">
        <v>322</v>
      </c>
      <c r="BH1404" t="s">
        <v>1153</v>
      </c>
      <c r="BN1404" t="s">
        <v>1154</v>
      </c>
      <c r="BO1404">
        <v>2025</v>
      </c>
      <c r="BP1404" t="s">
        <v>966</v>
      </c>
      <c r="BZ1404" t="s">
        <v>1513</v>
      </c>
      <c r="CA1404" t="s">
        <v>1513</v>
      </c>
      <c r="CB1404" t="b">
        <v>0</v>
      </c>
      <c r="CC1404" t="b">
        <v>0</v>
      </c>
      <c r="CD1404" t="b">
        <v>0</v>
      </c>
      <c r="CE1404" t="b">
        <v>0</v>
      </c>
      <c r="CF1404" t="b">
        <v>0</v>
      </c>
    </row>
    <row r="1405" spans="1:84" x14ac:dyDescent="0.3">
      <c r="A1405" t="s">
        <v>4037</v>
      </c>
      <c r="B1405" t="s">
        <v>1165</v>
      </c>
      <c r="C1405" s="98">
        <v>45684</v>
      </c>
      <c r="D1405">
        <v>2025</v>
      </c>
      <c r="E1405">
        <v>1</v>
      </c>
      <c r="F1405">
        <v>1</v>
      </c>
      <c r="G1405" t="s">
        <v>1144</v>
      </c>
      <c r="H1405" t="s">
        <v>150</v>
      </c>
      <c r="I1405" t="s">
        <v>150</v>
      </c>
      <c r="J1405" t="s">
        <v>6</v>
      </c>
      <c r="L1405">
        <v>522611</v>
      </c>
      <c r="M1405" s="99" t="s">
        <v>180</v>
      </c>
      <c r="N1405">
        <v>3</v>
      </c>
      <c r="O1405">
        <v>4</v>
      </c>
      <c r="P1405">
        <v>1.1476999999999999</v>
      </c>
      <c r="Q1405" t="s">
        <v>352</v>
      </c>
      <c r="R1405">
        <v>1</v>
      </c>
      <c r="S1405">
        <v>1.2362</v>
      </c>
      <c r="T1405">
        <v>5.1999999999999998E-2</v>
      </c>
      <c r="U1405">
        <v>-1.7019230769230775</v>
      </c>
      <c r="V1405">
        <v>1.0802</v>
      </c>
      <c r="W1405">
        <v>1.1321999999999999</v>
      </c>
      <c r="X1405">
        <v>1.1841999999999999</v>
      </c>
      <c r="Y1405">
        <v>1.2882</v>
      </c>
      <c r="Z1405">
        <v>1.3402000000000001</v>
      </c>
      <c r="AA1405">
        <v>1.3921999999999999</v>
      </c>
      <c r="AD1405">
        <v>22.797628473468187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 t="s">
        <v>462</v>
      </c>
      <c r="AL1405" t="s">
        <v>6</v>
      </c>
      <c r="AM1405" t="s">
        <v>1145</v>
      </c>
      <c r="AN1405" t="s">
        <v>1146</v>
      </c>
      <c r="AO1405" s="100">
        <v>46262.040405092594</v>
      </c>
      <c r="AP1405" t="s">
        <v>1147</v>
      </c>
      <c r="AQ1405" t="s">
        <v>4038</v>
      </c>
      <c r="AR1405" t="s">
        <v>1167</v>
      </c>
      <c r="AS1405" t="s">
        <v>1150</v>
      </c>
      <c r="AT1405" t="s">
        <v>3932</v>
      </c>
      <c r="AU1405">
        <v>25</v>
      </c>
      <c r="AV1405">
        <v>1.2213039999999999</v>
      </c>
      <c r="AW1405">
        <v>5.5083553806921377E-2</v>
      </c>
      <c r="AX1405">
        <v>4.5102246293241794</v>
      </c>
      <c r="BB1405" t="s">
        <v>4619</v>
      </c>
      <c r="BD1405" s="98"/>
      <c r="BE1405" s="98"/>
      <c r="BF1405" t="s">
        <v>1152</v>
      </c>
      <c r="BG1405" t="s">
        <v>322</v>
      </c>
      <c r="BH1405" t="s">
        <v>1153</v>
      </c>
      <c r="BN1405" t="s">
        <v>1154</v>
      </c>
      <c r="BO1405">
        <v>2025</v>
      </c>
      <c r="BP1405" t="s">
        <v>966</v>
      </c>
      <c r="BZ1405" t="s">
        <v>1513</v>
      </c>
      <c r="CA1405" t="s">
        <v>1513</v>
      </c>
      <c r="CB1405" t="b">
        <v>0</v>
      </c>
      <c r="CC1405" t="b">
        <v>0</v>
      </c>
      <c r="CD1405" t="b">
        <v>0</v>
      </c>
      <c r="CE1405" t="b">
        <v>0</v>
      </c>
      <c r="CF1405" t="b">
        <v>0</v>
      </c>
    </row>
    <row r="1406" spans="1:84" x14ac:dyDescent="0.3">
      <c r="A1406" t="s">
        <v>4039</v>
      </c>
      <c r="B1406" t="s">
        <v>1169</v>
      </c>
      <c r="C1406" s="98">
        <v>45691</v>
      </c>
      <c r="D1406">
        <v>2025</v>
      </c>
      <c r="E1406">
        <v>2</v>
      </c>
      <c r="F1406">
        <v>1</v>
      </c>
      <c r="G1406" t="s">
        <v>1170</v>
      </c>
      <c r="H1406" t="s">
        <v>150</v>
      </c>
      <c r="I1406" t="s">
        <v>150</v>
      </c>
      <c r="J1406" t="s">
        <v>6</v>
      </c>
      <c r="L1406">
        <v>522611</v>
      </c>
      <c r="M1406" s="99" t="s">
        <v>180</v>
      </c>
      <c r="N1406">
        <v>3</v>
      </c>
      <c r="O1406">
        <v>5</v>
      </c>
      <c r="P1406">
        <v>1.2410000000000001</v>
      </c>
      <c r="Q1406" t="s">
        <v>352</v>
      </c>
      <c r="R1406">
        <v>1</v>
      </c>
      <c r="S1406">
        <v>1.2362</v>
      </c>
      <c r="T1406">
        <v>5.1999999999999998E-2</v>
      </c>
      <c r="U1406">
        <v>9.230769230769495E-2</v>
      </c>
      <c r="V1406">
        <v>1.0802</v>
      </c>
      <c r="W1406">
        <v>1.1321999999999999</v>
      </c>
      <c r="X1406">
        <v>1.1841999999999999</v>
      </c>
      <c r="Y1406">
        <v>1.2882</v>
      </c>
      <c r="Z1406">
        <v>1.3402000000000001</v>
      </c>
      <c r="AA1406">
        <v>1.3921999999999999</v>
      </c>
      <c r="AD1406">
        <v>22.797628473468187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 t="s">
        <v>462</v>
      </c>
      <c r="AL1406" t="s">
        <v>6</v>
      </c>
      <c r="AM1406" t="s">
        <v>1145</v>
      </c>
      <c r="AN1406" t="s">
        <v>1146</v>
      </c>
      <c r="AO1406" s="100">
        <v>46262.040405092594</v>
      </c>
      <c r="AP1406" t="s">
        <v>1147</v>
      </c>
      <c r="AQ1406" t="s">
        <v>4040</v>
      </c>
      <c r="AR1406" t="s">
        <v>1172</v>
      </c>
      <c r="AS1406" t="s">
        <v>1150</v>
      </c>
      <c r="AT1406" t="s">
        <v>3932</v>
      </c>
      <c r="AU1406">
        <v>25</v>
      </c>
      <c r="AV1406">
        <v>1.2213039999999999</v>
      </c>
      <c r="AW1406">
        <v>5.5083553806921377E-2</v>
      </c>
      <c r="AX1406">
        <v>4.5102246293241794</v>
      </c>
      <c r="BB1406" t="s">
        <v>4619</v>
      </c>
      <c r="BD1406" s="98"/>
      <c r="BE1406" s="98"/>
      <c r="BF1406" t="s">
        <v>1152</v>
      </c>
      <c r="BG1406" t="s">
        <v>322</v>
      </c>
      <c r="BH1406" t="s">
        <v>1153</v>
      </c>
      <c r="BN1406" t="s">
        <v>1154</v>
      </c>
      <c r="BO1406">
        <v>2025</v>
      </c>
      <c r="BP1406" t="s">
        <v>966</v>
      </c>
      <c r="BZ1406" t="s">
        <v>1513</v>
      </c>
      <c r="CA1406" t="s">
        <v>1513</v>
      </c>
      <c r="CB1406" t="b">
        <v>0</v>
      </c>
      <c r="CC1406" t="b">
        <v>0</v>
      </c>
      <c r="CD1406" t="b">
        <v>0</v>
      </c>
      <c r="CE1406" t="b">
        <v>0</v>
      </c>
      <c r="CF1406" t="b">
        <v>0</v>
      </c>
    </row>
    <row r="1407" spans="1:84" x14ac:dyDescent="0.3">
      <c r="A1407" t="s">
        <v>4041</v>
      </c>
      <c r="B1407" t="s">
        <v>1174</v>
      </c>
      <c r="C1407" s="98">
        <v>45698</v>
      </c>
      <c r="D1407">
        <v>2025</v>
      </c>
      <c r="E1407">
        <v>2</v>
      </c>
      <c r="F1407">
        <v>1</v>
      </c>
      <c r="G1407" t="s">
        <v>1170</v>
      </c>
      <c r="H1407" t="s">
        <v>150</v>
      </c>
      <c r="I1407" t="s">
        <v>150</v>
      </c>
      <c r="J1407" t="s">
        <v>6</v>
      </c>
      <c r="L1407">
        <v>522611</v>
      </c>
      <c r="M1407" s="99" t="s">
        <v>180</v>
      </c>
      <c r="N1407">
        <v>3</v>
      </c>
      <c r="O1407">
        <v>6</v>
      </c>
      <c r="P1407">
        <v>1.1847000000000001</v>
      </c>
      <c r="Q1407" t="s">
        <v>352</v>
      </c>
      <c r="R1407">
        <v>1</v>
      </c>
      <c r="S1407">
        <v>1.2362</v>
      </c>
      <c r="T1407">
        <v>5.1999999999999998E-2</v>
      </c>
      <c r="U1407">
        <v>-0.99038461538461309</v>
      </c>
      <c r="V1407">
        <v>1.0802</v>
      </c>
      <c r="W1407">
        <v>1.1321999999999999</v>
      </c>
      <c r="X1407">
        <v>1.1841999999999999</v>
      </c>
      <c r="Y1407">
        <v>1.2882</v>
      </c>
      <c r="Z1407">
        <v>1.3402000000000001</v>
      </c>
      <c r="AA1407">
        <v>1.3921999999999999</v>
      </c>
      <c r="AD1407">
        <v>22.797628473468187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 t="s">
        <v>462</v>
      </c>
      <c r="AL1407" t="s">
        <v>6</v>
      </c>
      <c r="AM1407" t="s">
        <v>1145</v>
      </c>
      <c r="AN1407" t="s">
        <v>1146</v>
      </c>
      <c r="AO1407" s="100">
        <v>46262.040405092594</v>
      </c>
      <c r="AP1407" t="s">
        <v>1147</v>
      </c>
      <c r="AQ1407" t="s">
        <v>4042</v>
      </c>
      <c r="AR1407" t="s">
        <v>1176</v>
      </c>
      <c r="AS1407" t="s">
        <v>1150</v>
      </c>
      <c r="AT1407" t="s">
        <v>3932</v>
      </c>
      <c r="AU1407">
        <v>25</v>
      </c>
      <c r="AV1407">
        <v>1.2213039999999999</v>
      </c>
      <c r="AW1407">
        <v>5.5083553806921377E-2</v>
      </c>
      <c r="AX1407">
        <v>4.5102246293241794</v>
      </c>
      <c r="BB1407" t="s">
        <v>4619</v>
      </c>
      <c r="BD1407" s="98"/>
      <c r="BE1407" s="98"/>
      <c r="BF1407" t="s">
        <v>1152</v>
      </c>
      <c r="BG1407" t="s">
        <v>322</v>
      </c>
      <c r="BH1407" t="s">
        <v>1153</v>
      </c>
      <c r="BN1407" t="s">
        <v>1154</v>
      </c>
      <c r="BO1407">
        <v>2025</v>
      </c>
      <c r="BP1407" t="s">
        <v>966</v>
      </c>
      <c r="BZ1407" t="s">
        <v>1513</v>
      </c>
      <c r="CA1407" t="s">
        <v>1513</v>
      </c>
      <c r="CB1407" t="b">
        <v>0</v>
      </c>
      <c r="CC1407" t="b">
        <v>0</v>
      </c>
      <c r="CD1407" t="b">
        <v>0</v>
      </c>
      <c r="CE1407" t="b">
        <v>0</v>
      </c>
      <c r="CF1407" t="b">
        <v>0</v>
      </c>
    </row>
    <row r="1408" spans="1:84" x14ac:dyDescent="0.3">
      <c r="A1408" t="s">
        <v>4043</v>
      </c>
      <c r="B1408" t="s">
        <v>1178</v>
      </c>
      <c r="C1408" s="98">
        <v>45705</v>
      </c>
      <c r="D1408">
        <v>2025</v>
      </c>
      <c r="E1408">
        <v>2</v>
      </c>
      <c r="F1408">
        <v>1</v>
      </c>
      <c r="G1408" t="s">
        <v>1170</v>
      </c>
      <c r="H1408" t="s">
        <v>150</v>
      </c>
      <c r="I1408" t="s">
        <v>150</v>
      </c>
      <c r="J1408" t="s">
        <v>6</v>
      </c>
      <c r="L1408">
        <v>522611</v>
      </c>
      <c r="M1408" s="99" t="s">
        <v>180</v>
      </c>
      <c r="N1408">
        <v>3</v>
      </c>
      <c r="O1408">
        <v>7</v>
      </c>
      <c r="P1408">
        <v>1.2277</v>
      </c>
      <c r="Q1408" t="s">
        <v>352</v>
      </c>
      <c r="R1408">
        <v>1</v>
      </c>
      <c r="S1408">
        <v>1.2362</v>
      </c>
      <c r="T1408">
        <v>5.1999999999999998E-2</v>
      </c>
      <c r="U1408">
        <v>-0.16346153846153755</v>
      </c>
      <c r="V1408">
        <v>1.0802</v>
      </c>
      <c r="W1408">
        <v>1.1321999999999999</v>
      </c>
      <c r="X1408">
        <v>1.1841999999999999</v>
      </c>
      <c r="Y1408">
        <v>1.2882</v>
      </c>
      <c r="Z1408">
        <v>1.3402000000000001</v>
      </c>
      <c r="AA1408">
        <v>1.3921999999999999</v>
      </c>
      <c r="AD1408">
        <v>22.797628473468187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 t="s">
        <v>462</v>
      </c>
      <c r="AL1408" t="s">
        <v>6</v>
      </c>
      <c r="AM1408" t="s">
        <v>1145</v>
      </c>
      <c r="AN1408" t="s">
        <v>1146</v>
      </c>
      <c r="AO1408" s="100">
        <v>46262.040405092594</v>
      </c>
      <c r="AP1408" t="s">
        <v>1147</v>
      </c>
      <c r="AQ1408" t="s">
        <v>4044</v>
      </c>
      <c r="AR1408" t="s">
        <v>1180</v>
      </c>
      <c r="AS1408" t="s">
        <v>1150</v>
      </c>
      <c r="AT1408" t="s">
        <v>3932</v>
      </c>
      <c r="AU1408">
        <v>25</v>
      </c>
      <c r="AV1408">
        <v>1.2213039999999999</v>
      </c>
      <c r="AW1408">
        <v>5.5083553806921377E-2</v>
      </c>
      <c r="AX1408">
        <v>4.5102246293241794</v>
      </c>
      <c r="BB1408" t="s">
        <v>4619</v>
      </c>
      <c r="BD1408" s="98"/>
      <c r="BE1408" s="98"/>
      <c r="BF1408" t="s">
        <v>1152</v>
      </c>
      <c r="BG1408" t="s">
        <v>322</v>
      </c>
      <c r="BH1408" t="s">
        <v>1153</v>
      </c>
      <c r="BN1408" t="s">
        <v>1154</v>
      </c>
      <c r="BO1408">
        <v>2025</v>
      </c>
      <c r="BP1408" t="s">
        <v>966</v>
      </c>
      <c r="BZ1408" t="s">
        <v>1513</v>
      </c>
      <c r="CA1408" t="s">
        <v>1513</v>
      </c>
      <c r="CB1408" t="b">
        <v>0</v>
      </c>
      <c r="CC1408" t="b">
        <v>0</v>
      </c>
      <c r="CD1408" t="b">
        <v>0</v>
      </c>
      <c r="CE1408" t="b">
        <v>0</v>
      </c>
      <c r="CF1408" t="b">
        <v>0</v>
      </c>
    </row>
    <row r="1409" spans="1:84" x14ac:dyDescent="0.3">
      <c r="A1409" t="s">
        <v>4045</v>
      </c>
      <c r="B1409" t="s">
        <v>1182</v>
      </c>
      <c r="C1409" s="98">
        <v>45712</v>
      </c>
      <c r="D1409">
        <v>2025</v>
      </c>
      <c r="E1409">
        <v>2</v>
      </c>
      <c r="F1409">
        <v>1</v>
      </c>
      <c r="G1409" t="s">
        <v>1170</v>
      </c>
      <c r="H1409" t="s">
        <v>150</v>
      </c>
      <c r="I1409" t="s">
        <v>150</v>
      </c>
      <c r="J1409" t="s">
        <v>6</v>
      </c>
      <c r="L1409">
        <v>522611</v>
      </c>
      <c r="M1409" s="99" t="s">
        <v>180</v>
      </c>
      <c r="N1409">
        <v>3</v>
      </c>
      <c r="O1409">
        <v>8</v>
      </c>
      <c r="P1409">
        <v>1.2304999999999999</v>
      </c>
      <c r="Q1409" t="s">
        <v>352</v>
      </c>
      <c r="R1409">
        <v>1</v>
      </c>
      <c r="S1409">
        <v>1.2362</v>
      </c>
      <c r="T1409">
        <v>5.1999999999999998E-2</v>
      </c>
      <c r="U1409">
        <v>-0.10961538461538536</v>
      </c>
      <c r="V1409">
        <v>1.0802</v>
      </c>
      <c r="W1409">
        <v>1.1321999999999999</v>
      </c>
      <c r="X1409">
        <v>1.1841999999999999</v>
      </c>
      <c r="Y1409">
        <v>1.2882</v>
      </c>
      <c r="Z1409">
        <v>1.3402000000000001</v>
      </c>
      <c r="AA1409">
        <v>1.3921999999999999</v>
      </c>
      <c r="AD1409">
        <v>22.797628473468187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 t="s">
        <v>462</v>
      </c>
      <c r="AL1409" t="s">
        <v>6</v>
      </c>
      <c r="AM1409" t="s">
        <v>1145</v>
      </c>
      <c r="AN1409" t="s">
        <v>1146</v>
      </c>
      <c r="AO1409" s="100">
        <v>46262.040405092594</v>
      </c>
      <c r="AP1409" t="s">
        <v>1147</v>
      </c>
      <c r="AQ1409" t="s">
        <v>4046</v>
      </c>
      <c r="AR1409" t="s">
        <v>1184</v>
      </c>
      <c r="AS1409" t="s">
        <v>1150</v>
      </c>
      <c r="AT1409" t="s">
        <v>3932</v>
      </c>
      <c r="AU1409">
        <v>25</v>
      </c>
      <c r="AV1409">
        <v>1.2213039999999999</v>
      </c>
      <c r="AW1409">
        <v>5.5083553806921377E-2</v>
      </c>
      <c r="AX1409">
        <v>4.5102246293241794</v>
      </c>
      <c r="BB1409" t="s">
        <v>4619</v>
      </c>
      <c r="BD1409" s="98"/>
      <c r="BE1409" s="98"/>
      <c r="BF1409" t="s">
        <v>1152</v>
      </c>
      <c r="BG1409" t="s">
        <v>322</v>
      </c>
      <c r="BH1409" t="s">
        <v>1153</v>
      </c>
      <c r="BN1409" t="s">
        <v>1154</v>
      </c>
      <c r="BO1409">
        <v>2025</v>
      </c>
      <c r="BP1409" t="s">
        <v>966</v>
      </c>
      <c r="BZ1409" t="s">
        <v>1513</v>
      </c>
      <c r="CA1409" t="s">
        <v>1513</v>
      </c>
      <c r="CB1409" t="b">
        <v>0</v>
      </c>
      <c r="CC1409" t="b">
        <v>0</v>
      </c>
      <c r="CD1409" t="b">
        <v>0</v>
      </c>
      <c r="CE1409" t="b">
        <v>0</v>
      </c>
      <c r="CF1409" t="b">
        <v>0</v>
      </c>
    </row>
    <row r="1410" spans="1:84" x14ac:dyDescent="0.3">
      <c r="A1410" t="s">
        <v>4047</v>
      </c>
      <c r="B1410" t="s">
        <v>1186</v>
      </c>
      <c r="C1410" s="98">
        <v>45719</v>
      </c>
      <c r="D1410">
        <v>2025</v>
      </c>
      <c r="E1410">
        <v>3</v>
      </c>
      <c r="F1410">
        <v>1</v>
      </c>
      <c r="G1410" t="s">
        <v>1187</v>
      </c>
      <c r="H1410" t="s">
        <v>150</v>
      </c>
      <c r="I1410" t="s">
        <v>150</v>
      </c>
      <c r="J1410" t="s">
        <v>6</v>
      </c>
      <c r="L1410">
        <v>522611</v>
      </c>
      <c r="M1410" s="99" t="s">
        <v>180</v>
      </c>
      <c r="N1410">
        <v>3</v>
      </c>
      <c r="O1410">
        <v>9</v>
      </c>
      <c r="P1410">
        <v>1.3366</v>
      </c>
      <c r="Q1410" t="s">
        <v>352</v>
      </c>
      <c r="R1410">
        <v>1</v>
      </c>
      <c r="S1410">
        <v>1.2362</v>
      </c>
      <c r="T1410">
        <v>5.1999999999999998E-2</v>
      </c>
      <c r="U1410">
        <v>1.9307692307692317</v>
      </c>
      <c r="V1410">
        <v>1.0802</v>
      </c>
      <c r="W1410">
        <v>1.1321999999999999</v>
      </c>
      <c r="X1410">
        <v>1.1841999999999999</v>
      </c>
      <c r="Y1410">
        <v>1.2882</v>
      </c>
      <c r="Z1410">
        <v>1.3402000000000001</v>
      </c>
      <c r="AA1410">
        <v>1.3921999999999999</v>
      </c>
      <c r="AD1410">
        <v>22.797628473468187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 t="s">
        <v>462</v>
      </c>
      <c r="AL1410" t="s">
        <v>6</v>
      </c>
      <c r="AM1410" t="s">
        <v>1145</v>
      </c>
      <c r="AN1410" t="s">
        <v>1146</v>
      </c>
      <c r="AO1410" s="100">
        <v>46262.040405092594</v>
      </c>
      <c r="AP1410" t="s">
        <v>1147</v>
      </c>
      <c r="AQ1410" t="s">
        <v>4048</v>
      </c>
      <c r="AR1410" t="s">
        <v>1189</v>
      </c>
      <c r="AS1410" t="s">
        <v>1150</v>
      </c>
      <c r="AT1410" t="s">
        <v>3932</v>
      </c>
      <c r="AU1410">
        <v>25</v>
      </c>
      <c r="AV1410">
        <v>1.2213039999999999</v>
      </c>
      <c r="AW1410">
        <v>5.5083553806921377E-2</v>
      </c>
      <c r="AX1410">
        <v>4.5102246293241794</v>
      </c>
      <c r="BB1410" t="s">
        <v>4619</v>
      </c>
      <c r="BD1410" s="98"/>
      <c r="BE1410" s="98"/>
      <c r="BF1410" t="s">
        <v>1152</v>
      </c>
      <c r="BG1410" t="s">
        <v>322</v>
      </c>
      <c r="BH1410" t="s">
        <v>1153</v>
      </c>
      <c r="BN1410" t="s">
        <v>1154</v>
      </c>
      <c r="BO1410">
        <v>2025</v>
      </c>
      <c r="BP1410" t="s">
        <v>966</v>
      </c>
      <c r="BZ1410" t="s">
        <v>1513</v>
      </c>
      <c r="CA1410" t="s">
        <v>1513</v>
      </c>
      <c r="CB1410" t="b">
        <v>0</v>
      </c>
      <c r="CC1410" t="b">
        <v>0</v>
      </c>
      <c r="CD1410" t="b">
        <v>0</v>
      </c>
      <c r="CE1410" t="b">
        <v>0</v>
      </c>
      <c r="CF1410" t="b">
        <v>0</v>
      </c>
    </row>
    <row r="1411" spans="1:84" x14ac:dyDescent="0.3">
      <c r="A1411" t="s">
        <v>4049</v>
      </c>
      <c r="B1411" t="s">
        <v>1191</v>
      </c>
      <c r="C1411" s="98">
        <v>45726</v>
      </c>
      <c r="D1411">
        <v>2025</v>
      </c>
      <c r="E1411">
        <v>3</v>
      </c>
      <c r="F1411">
        <v>1</v>
      </c>
      <c r="G1411" t="s">
        <v>1187</v>
      </c>
      <c r="H1411" t="s">
        <v>150</v>
      </c>
      <c r="I1411" t="s">
        <v>150</v>
      </c>
      <c r="J1411" t="s">
        <v>6</v>
      </c>
      <c r="L1411">
        <v>522611</v>
      </c>
      <c r="M1411" s="99" t="s">
        <v>180</v>
      </c>
      <c r="N1411">
        <v>3</v>
      </c>
      <c r="O1411">
        <v>10</v>
      </c>
      <c r="P1411">
        <v>1.3037000000000001</v>
      </c>
      <c r="Q1411" t="s">
        <v>352</v>
      </c>
      <c r="R1411">
        <v>1</v>
      </c>
      <c r="S1411">
        <v>1.2362</v>
      </c>
      <c r="T1411">
        <v>5.1999999999999998E-2</v>
      </c>
      <c r="U1411">
        <v>1.2980769230769253</v>
      </c>
      <c r="V1411">
        <v>1.0802</v>
      </c>
      <c r="W1411">
        <v>1.1321999999999999</v>
      </c>
      <c r="X1411">
        <v>1.1841999999999999</v>
      </c>
      <c r="Y1411">
        <v>1.2882</v>
      </c>
      <c r="Z1411">
        <v>1.3402000000000001</v>
      </c>
      <c r="AA1411">
        <v>1.3921999999999999</v>
      </c>
      <c r="AD1411">
        <v>22.797628473468187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 t="s">
        <v>462</v>
      </c>
      <c r="AL1411" t="s">
        <v>6</v>
      </c>
      <c r="AM1411" t="s">
        <v>1145</v>
      </c>
      <c r="AN1411" t="s">
        <v>1146</v>
      </c>
      <c r="AO1411" s="100">
        <v>46262.040405092594</v>
      </c>
      <c r="AP1411" t="s">
        <v>1147</v>
      </c>
      <c r="AQ1411" t="s">
        <v>4050</v>
      </c>
      <c r="AR1411" t="s">
        <v>1193</v>
      </c>
      <c r="AS1411" t="s">
        <v>1150</v>
      </c>
      <c r="AT1411" t="s">
        <v>3932</v>
      </c>
      <c r="AU1411">
        <v>25</v>
      </c>
      <c r="AV1411">
        <v>1.2213039999999999</v>
      </c>
      <c r="AW1411">
        <v>5.5083553806921377E-2</v>
      </c>
      <c r="AX1411">
        <v>4.5102246293241794</v>
      </c>
      <c r="BB1411" t="s">
        <v>4619</v>
      </c>
      <c r="BD1411" s="98"/>
      <c r="BE1411" s="98"/>
      <c r="BF1411" t="s">
        <v>1152</v>
      </c>
      <c r="BG1411" t="s">
        <v>322</v>
      </c>
      <c r="BH1411" t="s">
        <v>1153</v>
      </c>
      <c r="BN1411" t="s">
        <v>1154</v>
      </c>
      <c r="BO1411">
        <v>2025</v>
      </c>
      <c r="BP1411" t="s">
        <v>966</v>
      </c>
      <c r="BZ1411" t="s">
        <v>1513</v>
      </c>
      <c r="CA1411" t="s">
        <v>1513</v>
      </c>
      <c r="CB1411" t="b">
        <v>0</v>
      </c>
      <c r="CC1411" t="b">
        <v>0</v>
      </c>
      <c r="CD1411" t="b">
        <v>0</v>
      </c>
      <c r="CE1411" t="b">
        <v>0</v>
      </c>
      <c r="CF1411" t="b">
        <v>0</v>
      </c>
    </row>
    <row r="1412" spans="1:84" x14ac:dyDescent="0.3">
      <c r="A1412" t="s">
        <v>4051</v>
      </c>
      <c r="B1412" t="s">
        <v>1195</v>
      </c>
      <c r="C1412" s="98">
        <v>45733</v>
      </c>
      <c r="D1412">
        <v>2025</v>
      </c>
      <c r="E1412">
        <v>3</v>
      </c>
      <c r="F1412">
        <v>1</v>
      </c>
      <c r="G1412" t="s">
        <v>1187</v>
      </c>
      <c r="H1412" t="s">
        <v>150</v>
      </c>
      <c r="I1412" t="s">
        <v>150</v>
      </c>
      <c r="J1412" t="s">
        <v>6</v>
      </c>
      <c r="L1412">
        <v>522611</v>
      </c>
      <c r="M1412" s="99" t="s">
        <v>180</v>
      </c>
      <c r="N1412">
        <v>3</v>
      </c>
      <c r="O1412">
        <v>11</v>
      </c>
      <c r="P1412">
        <v>1.2339</v>
      </c>
      <c r="Q1412" t="s">
        <v>352</v>
      </c>
      <c r="R1412">
        <v>1</v>
      </c>
      <c r="S1412">
        <v>1.2362</v>
      </c>
      <c r="T1412">
        <v>5.1999999999999998E-2</v>
      </c>
      <c r="U1412">
        <v>-4.423076923076863E-2</v>
      </c>
      <c r="V1412">
        <v>1.0802</v>
      </c>
      <c r="W1412">
        <v>1.1321999999999999</v>
      </c>
      <c r="X1412">
        <v>1.1841999999999999</v>
      </c>
      <c r="Y1412">
        <v>1.2882</v>
      </c>
      <c r="Z1412">
        <v>1.3402000000000001</v>
      </c>
      <c r="AA1412">
        <v>1.3921999999999999</v>
      </c>
      <c r="AD1412">
        <v>22.797628473468187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 t="s">
        <v>462</v>
      </c>
      <c r="AL1412" t="s">
        <v>6</v>
      </c>
      <c r="AM1412" t="s">
        <v>1145</v>
      </c>
      <c r="AN1412" t="s">
        <v>1146</v>
      </c>
      <c r="AO1412" s="100">
        <v>46262.040405092594</v>
      </c>
      <c r="AP1412" t="s">
        <v>1147</v>
      </c>
      <c r="AQ1412" t="s">
        <v>4052</v>
      </c>
      <c r="AR1412" t="s">
        <v>1197</v>
      </c>
      <c r="AS1412" t="s">
        <v>1150</v>
      </c>
      <c r="AT1412" t="s">
        <v>3932</v>
      </c>
      <c r="AU1412">
        <v>25</v>
      </c>
      <c r="AV1412">
        <v>1.2213039999999999</v>
      </c>
      <c r="AW1412">
        <v>5.5083553806921377E-2</v>
      </c>
      <c r="AX1412">
        <v>4.5102246293241794</v>
      </c>
      <c r="BB1412" t="s">
        <v>4619</v>
      </c>
      <c r="BD1412" s="98"/>
      <c r="BE1412" s="98"/>
      <c r="BF1412" t="s">
        <v>1152</v>
      </c>
      <c r="BG1412" t="s">
        <v>322</v>
      </c>
      <c r="BH1412" t="s">
        <v>1153</v>
      </c>
      <c r="BN1412" t="s">
        <v>1154</v>
      </c>
      <c r="BO1412">
        <v>2025</v>
      </c>
      <c r="BP1412" t="s">
        <v>966</v>
      </c>
      <c r="BZ1412" t="s">
        <v>1513</v>
      </c>
      <c r="CA1412" t="s">
        <v>1513</v>
      </c>
      <c r="CB1412" t="b">
        <v>0</v>
      </c>
      <c r="CC1412" t="b">
        <v>0</v>
      </c>
      <c r="CD1412" t="b">
        <v>0</v>
      </c>
      <c r="CE1412" t="b">
        <v>0</v>
      </c>
      <c r="CF1412" t="b">
        <v>0</v>
      </c>
    </row>
    <row r="1413" spans="1:84" x14ac:dyDescent="0.3">
      <c r="A1413" t="s">
        <v>4053</v>
      </c>
      <c r="B1413" t="s">
        <v>1199</v>
      </c>
      <c r="C1413" s="98">
        <v>45740</v>
      </c>
      <c r="D1413">
        <v>2025</v>
      </c>
      <c r="E1413">
        <v>3</v>
      </c>
      <c r="F1413">
        <v>1</v>
      </c>
      <c r="G1413" t="s">
        <v>1187</v>
      </c>
      <c r="H1413" t="s">
        <v>150</v>
      </c>
      <c r="I1413" t="s">
        <v>150</v>
      </c>
      <c r="J1413" t="s">
        <v>6</v>
      </c>
      <c r="L1413">
        <v>522611</v>
      </c>
      <c r="M1413" s="99" t="s">
        <v>180</v>
      </c>
      <c r="N1413">
        <v>3</v>
      </c>
      <c r="O1413">
        <v>12</v>
      </c>
      <c r="P1413">
        <v>1.2990999999999999</v>
      </c>
      <c r="Q1413" t="s">
        <v>352</v>
      </c>
      <c r="R1413">
        <v>1</v>
      </c>
      <c r="S1413">
        <v>1.2362</v>
      </c>
      <c r="T1413">
        <v>5.1999999999999998E-2</v>
      </c>
      <c r="U1413">
        <v>1.2096153846153839</v>
      </c>
      <c r="V1413">
        <v>1.0802</v>
      </c>
      <c r="W1413">
        <v>1.1321999999999999</v>
      </c>
      <c r="X1413">
        <v>1.1841999999999999</v>
      </c>
      <c r="Y1413">
        <v>1.2882</v>
      </c>
      <c r="Z1413">
        <v>1.3402000000000001</v>
      </c>
      <c r="AA1413">
        <v>1.3921999999999999</v>
      </c>
      <c r="AD1413">
        <v>22.797628473468187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 t="s">
        <v>462</v>
      </c>
      <c r="AL1413" t="s">
        <v>6</v>
      </c>
      <c r="AM1413" t="s">
        <v>1145</v>
      </c>
      <c r="AN1413" t="s">
        <v>1146</v>
      </c>
      <c r="AO1413" s="100">
        <v>46262.040405092594</v>
      </c>
      <c r="AP1413" t="s">
        <v>1147</v>
      </c>
      <c r="AQ1413" t="s">
        <v>4054</v>
      </c>
      <c r="AR1413" t="s">
        <v>1201</v>
      </c>
      <c r="AS1413" t="s">
        <v>1150</v>
      </c>
      <c r="AT1413" t="s">
        <v>3932</v>
      </c>
      <c r="AU1413">
        <v>25</v>
      </c>
      <c r="AV1413">
        <v>1.2213039999999999</v>
      </c>
      <c r="AW1413">
        <v>5.5083553806921377E-2</v>
      </c>
      <c r="AX1413">
        <v>4.5102246293241794</v>
      </c>
      <c r="BB1413" t="s">
        <v>4619</v>
      </c>
      <c r="BD1413" s="98"/>
      <c r="BE1413" s="98"/>
      <c r="BF1413" t="s">
        <v>1152</v>
      </c>
      <c r="BG1413" t="s">
        <v>322</v>
      </c>
      <c r="BH1413" t="s">
        <v>1153</v>
      </c>
      <c r="BN1413" t="s">
        <v>1154</v>
      </c>
      <c r="BO1413">
        <v>2025</v>
      </c>
      <c r="BP1413" t="s">
        <v>966</v>
      </c>
      <c r="BZ1413" t="s">
        <v>1513</v>
      </c>
      <c r="CA1413" t="s">
        <v>1513</v>
      </c>
      <c r="CB1413" t="b">
        <v>0</v>
      </c>
      <c r="CC1413" t="b">
        <v>0</v>
      </c>
      <c r="CD1413" t="b">
        <v>0</v>
      </c>
      <c r="CE1413" t="b">
        <v>0</v>
      </c>
      <c r="CF1413" t="b">
        <v>0</v>
      </c>
    </row>
    <row r="1414" spans="1:84" x14ac:dyDescent="0.3">
      <c r="A1414" t="s">
        <v>4055</v>
      </c>
      <c r="B1414" t="s">
        <v>1203</v>
      </c>
      <c r="C1414" s="98">
        <v>45747</v>
      </c>
      <c r="D1414">
        <v>2025</v>
      </c>
      <c r="E1414">
        <v>3</v>
      </c>
      <c r="F1414">
        <v>1</v>
      </c>
      <c r="G1414" t="s">
        <v>1187</v>
      </c>
      <c r="H1414" t="s">
        <v>150</v>
      </c>
      <c r="I1414" t="s">
        <v>150</v>
      </c>
      <c r="J1414" t="s">
        <v>6</v>
      </c>
      <c r="L1414">
        <v>522611</v>
      </c>
      <c r="M1414" s="99" t="s">
        <v>180</v>
      </c>
      <c r="N1414">
        <v>3</v>
      </c>
      <c r="O1414">
        <v>13</v>
      </c>
      <c r="P1414">
        <v>1.1957</v>
      </c>
      <c r="Q1414" t="s">
        <v>352</v>
      </c>
      <c r="R1414">
        <v>1</v>
      </c>
      <c r="S1414">
        <v>1.2362</v>
      </c>
      <c r="T1414">
        <v>5.1999999999999998E-2</v>
      </c>
      <c r="U1414">
        <v>-0.77884615384615352</v>
      </c>
      <c r="V1414">
        <v>1.0802</v>
      </c>
      <c r="W1414">
        <v>1.1321999999999999</v>
      </c>
      <c r="X1414">
        <v>1.1841999999999999</v>
      </c>
      <c r="Y1414">
        <v>1.2882</v>
      </c>
      <c r="Z1414">
        <v>1.3402000000000001</v>
      </c>
      <c r="AA1414">
        <v>1.3921999999999999</v>
      </c>
      <c r="AD1414">
        <v>22.797628473468187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 t="s">
        <v>462</v>
      </c>
      <c r="AL1414" t="s">
        <v>6</v>
      </c>
      <c r="AM1414" t="s">
        <v>1145</v>
      </c>
      <c r="AN1414" t="s">
        <v>1146</v>
      </c>
      <c r="AO1414" s="100">
        <v>46262.040405092594</v>
      </c>
      <c r="AP1414" t="s">
        <v>1147</v>
      </c>
      <c r="AQ1414" t="s">
        <v>4056</v>
      </c>
      <c r="AR1414" t="s">
        <v>1205</v>
      </c>
      <c r="AS1414" t="s">
        <v>1150</v>
      </c>
      <c r="AT1414" t="s">
        <v>3932</v>
      </c>
      <c r="AU1414">
        <v>25</v>
      </c>
      <c r="AV1414">
        <v>1.2213039999999999</v>
      </c>
      <c r="AW1414">
        <v>5.5083553806921377E-2</v>
      </c>
      <c r="AX1414">
        <v>4.5102246293241794</v>
      </c>
      <c r="BB1414" t="s">
        <v>4619</v>
      </c>
      <c r="BD1414" s="98"/>
      <c r="BE1414" s="98"/>
      <c r="BF1414" t="s">
        <v>1152</v>
      </c>
      <c r="BG1414" t="s">
        <v>322</v>
      </c>
      <c r="BH1414" t="s">
        <v>1153</v>
      </c>
      <c r="BN1414" t="s">
        <v>1154</v>
      </c>
      <c r="BO1414">
        <v>2025</v>
      </c>
      <c r="BP1414" t="s">
        <v>966</v>
      </c>
      <c r="BZ1414" t="s">
        <v>1513</v>
      </c>
      <c r="CA1414" t="s">
        <v>1513</v>
      </c>
      <c r="CB1414" t="b">
        <v>0</v>
      </c>
      <c r="CC1414" t="b">
        <v>0</v>
      </c>
      <c r="CD1414" t="b">
        <v>0</v>
      </c>
      <c r="CE1414" t="b">
        <v>0</v>
      </c>
      <c r="CF1414" t="b">
        <v>0</v>
      </c>
    </row>
    <row r="1415" spans="1:84" x14ac:dyDescent="0.3">
      <c r="A1415" t="s">
        <v>4057</v>
      </c>
      <c r="B1415" t="s">
        <v>1207</v>
      </c>
      <c r="C1415" s="98">
        <v>45754</v>
      </c>
      <c r="D1415">
        <v>2025</v>
      </c>
      <c r="E1415">
        <v>4</v>
      </c>
      <c r="F1415">
        <v>2</v>
      </c>
      <c r="G1415" t="s">
        <v>1208</v>
      </c>
      <c r="H1415" t="s">
        <v>150</v>
      </c>
      <c r="I1415" t="s">
        <v>150</v>
      </c>
      <c r="J1415" t="s">
        <v>6</v>
      </c>
      <c r="L1415">
        <v>522611</v>
      </c>
      <c r="M1415" s="99" t="s">
        <v>180</v>
      </c>
      <c r="N1415">
        <v>3</v>
      </c>
      <c r="O1415">
        <v>14</v>
      </c>
      <c r="P1415">
        <v>1.2186999999999999</v>
      </c>
      <c r="Q1415" t="s">
        <v>352</v>
      </c>
      <c r="R1415">
        <v>1</v>
      </c>
      <c r="S1415">
        <v>1.2362</v>
      </c>
      <c r="T1415">
        <v>5.1999999999999998E-2</v>
      </c>
      <c r="U1415">
        <v>-0.3365384615384629</v>
      </c>
      <c r="V1415">
        <v>1.0802</v>
      </c>
      <c r="W1415">
        <v>1.1321999999999999</v>
      </c>
      <c r="X1415">
        <v>1.1841999999999999</v>
      </c>
      <c r="Y1415">
        <v>1.2882</v>
      </c>
      <c r="Z1415">
        <v>1.3402000000000001</v>
      </c>
      <c r="AA1415">
        <v>1.3921999999999999</v>
      </c>
      <c r="AD1415">
        <v>22.797628473468187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 t="s">
        <v>462</v>
      </c>
      <c r="AL1415" t="s">
        <v>6</v>
      </c>
      <c r="AM1415" t="s">
        <v>1145</v>
      </c>
      <c r="AN1415" t="s">
        <v>1146</v>
      </c>
      <c r="AO1415" s="100">
        <v>46262.040405092594</v>
      </c>
      <c r="AP1415" t="s">
        <v>1147</v>
      </c>
      <c r="AQ1415" t="s">
        <v>4058</v>
      </c>
      <c r="AR1415" t="s">
        <v>1210</v>
      </c>
      <c r="AS1415" t="s">
        <v>1150</v>
      </c>
      <c r="AT1415" t="s">
        <v>3932</v>
      </c>
      <c r="AU1415">
        <v>25</v>
      </c>
      <c r="AV1415">
        <v>1.2213039999999999</v>
      </c>
      <c r="AW1415">
        <v>5.5083553806921377E-2</v>
      </c>
      <c r="AX1415">
        <v>4.5102246293241794</v>
      </c>
      <c r="BB1415" t="s">
        <v>4619</v>
      </c>
      <c r="BD1415" s="98"/>
      <c r="BE1415" s="98"/>
      <c r="BF1415" t="s">
        <v>1152</v>
      </c>
      <c r="BG1415" t="s">
        <v>322</v>
      </c>
      <c r="BH1415" t="s">
        <v>1153</v>
      </c>
      <c r="BN1415" t="s">
        <v>1154</v>
      </c>
      <c r="BO1415">
        <v>2025</v>
      </c>
      <c r="BP1415" t="s">
        <v>966</v>
      </c>
      <c r="BZ1415" t="s">
        <v>1513</v>
      </c>
      <c r="CA1415" t="s">
        <v>1513</v>
      </c>
      <c r="CB1415" t="b">
        <v>0</v>
      </c>
      <c r="CC1415" t="b">
        <v>0</v>
      </c>
      <c r="CD1415" t="b">
        <v>0</v>
      </c>
      <c r="CE1415" t="b">
        <v>0</v>
      </c>
      <c r="CF1415" t="b">
        <v>0</v>
      </c>
    </row>
    <row r="1416" spans="1:84" x14ac:dyDescent="0.3">
      <c r="A1416" t="s">
        <v>4059</v>
      </c>
      <c r="B1416" t="s">
        <v>1212</v>
      </c>
      <c r="C1416" s="98">
        <v>45761</v>
      </c>
      <c r="D1416">
        <v>2025</v>
      </c>
      <c r="E1416">
        <v>4</v>
      </c>
      <c r="F1416">
        <v>2</v>
      </c>
      <c r="G1416" t="s">
        <v>1208</v>
      </c>
      <c r="H1416" t="s">
        <v>150</v>
      </c>
      <c r="I1416" t="s">
        <v>150</v>
      </c>
      <c r="J1416" t="s">
        <v>6</v>
      </c>
      <c r="L1416">
        <v>522611</v>
      </c>
      <c r="M1416" s="99" t="s">
        <v>180</v>
      </c>
      <c r="N1416">
        <v>3</v>
      </c>
      <c r="O1416">
        <v>15</v>
      </c>
      <c r="P1416">
        <v>1.2835000000000001</v>
      </c>
      <c r="Q1416" t="s">
        <v>352</v>
      </c>
      <c r="R1416">
        <v>1</v>
      </c>
      <c r="S1416">
        <v>1.2362</v>
      </c>
      <c r="T1416">
        <v>5.1999999999999998E-2</v>
      </c>
      <c r="U1416">
        <v>0.90961538461538693</v>
      </c>
      <c r="V1416">
        <v>1.0802</v>
      </c>
      <c r="W1416">
        <v>1.1321999999999999</v>
      </c>
      <c r="X1416">
        <v>1.1841999999999999</v>
      </c>
      <c r="Y1416">
        <v>1.2882</v>
      </c>
      <c r="Z1416">
        <v>1.3402000000000001</v>
      </c>
      <c r="AA1416">
        <v>1.3921999999999999</v>
      </c>
      <c r="AD1416">
        <v>22.797628473468187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 t="s">
        <v>462</v>
      </c>
      <c r="AL1416" t="s">
        <v>6</v>
      </c>
      <c r="AM1416" t="s">
        <v>1145</v>
      </c>
      <c r="AN1416" t="s">
        <v>1146</v>
      </c>
      <c r="AO1416" s="100">
        <v>46262.040405092594</v>
      </c>
      <c r="AP1416" t="s">
        <v>1147</v>
      </c>
      <c r="AQ1416" t="s">
        <v>4060</v>
      </c>
      <c r="AR1416" t="s">
        <v>1215</v>
      </c>
      <c r="AS1416" t="s">
        <v>1150</v>
      </c>
      <c r="AT1416" t="s">
        <v>3932</v>
      </c>
      <c r="AU1416">
        <v>25</v>
      </c>
      <c r="AV1416">
        <v>1.2213039999999999</v>
      </c>
      <c r="AW1416">
        <v>5.5083553806921377E-2</v>
      </c>
      <c r="AX1416">
        <v>4.5102246293241794</v>
      </c>
      <c r="BB1416" t="s">
        <v>4619</v>
      </c>
      <c r="BD1416" s="98"/>
      <c r="BE1416" s="98"/>
      <c r="BF1416" t="s">
        <v>1152</v>
      </c>
      <c r="BG1416" t="s">
        <v>322</v>
      </c>
      <c r="BH1416" t="s">
        <v>1153</v>
      </c>
      <c r="BN1416" t="s">
        <v>1154</v>
      </c>
      <c r="BO1416">
        <v>2025</v>
      </c>
      <c r="BP1416" t="s">
        <v>966</v>
      </c>
      <c r="BZ1416" t="s">
        <v>1513</v>
      </c>
      <c r="CA1416" t="s">
        <v>1513</v>
      </c>
      <c r="CB1416" t="b">
        <v>0</v>
      </c>
      <c r="CC1416" t="b">
        <v>0</v>
      </c>
      <c r="CD1416" t="b">
        <v>0</v>
      </c>
      <c r="CE1416" t="b">
        <v>0</v>
      </c>
      <c r="CF1416" t="b">
        <v>0</v>
      </c>
    </row>
    <row r="1417" spans="1:84" x14ac:dyDescent="0.3">
      <c r="A1417" t="s">
        <v>4061</v>
      </c>
      <c r="B1417" t="s">
        <v>1217</v>
      </c>
      <c r="C1417" s="98">
        <v>45768</v>
      </c>
      <c r="D1417">
        <v>2025</v>
      </c>
      <c r="E1417">
        <v>4</v>
      </c>
      <c r="F1417">
        <v>2</v>
      </c>
      <c r="G1417" t="s">
        <v>1208</v>
      </c>
      <c r="H1417" t="s">
        <v>150</v>
      </c>
      <c r="I1417" t="s">
        <v>150</v>
      </c>
      <c r="J1417" t="s">
        <v>6</v>
      </c>
      <c r="L1417">
        <v>522611</v>
      </c>
      <c r="M1417" s="99" t="s">
        <v>180</v>
      </c>
      <c r="N1417">
        <v>3</v>
      </c>
      <c r="O1417">
        <v>16</v>
      </c>
      <c r="P1417">
        <v>1.1717</v>
      </c>
      <c r="Q1417" t="s">
        <v>352</v>
      </c>
      <c r="R1417">
        <v>1</v>
      </c>
      <c r="S1417">
        <v>1.2362</v>
      </c>
      <c r="T1417">
        <v>5.1999999999999998E-2</v>
      </c>
      <c r="U1417">
        <v>-1.2403846153846154</v>
      </c>
      <c r="V1417">
        <v>1.0802</v>
      </c>
      <c r="W1417">
        <v>1.1321999999999999</v>
      </c>
      <c r="X1417">
        <v>1.1841999999999999</v>
      </c>
      <c r="Y1417">
        <v>1.2882</v>
      </c>
      <c r="Z1417">
        <v>1.3402000000000001</v>
      </c>
      <c r="AA1417">
        <v>1.3921999999999999</v>
      </c>
      <c r="AD1417">
        <v>22.797628473468187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 t="s">
        <v>462</v>
      </c>
      <c r="AL1417" t="s">
        <v>6</v>
      </c>
      <c r="AM1417" t="s">
        <v>1145</v>
      </c>
      <c r="AN1417" t="s">
        <v>1146</v>
      </c>
      <c r="AO1417" s="100">
        <v>46262.040405092594</v>
      </c>
      <c r="AP1417" t="s">
        <v>1147</v>
      </c>
      <c r="AQ1417" t="s">
        <v>4062</v>
      </c>
      <c r="AR1417" t="s">
        <v>1219</v>
      </c>
      <c r="AS1417" t="s">
        <v>1150</v>
      </c>
      <c r="AT1417" t="s">
        <v>3932</v>
      </c>
      <c r="AU1417">
        <v>25</v>
      </c>
      <c r="AV1417">
        <v>1.2213039999999999</v>
      </c>
      <c r="AW1417">
        <v>5.5083553806921377E-2</v>
      </c>
      <c r="AX1417">
        <v>4.5102246293241794</v>
      </c>
      <c r="BB1417" t="s">
        <v>4619</v>
      </c>
      <c r="BD1417" s="98"/>
      <c r="BE1417" s="98"/>
      <c r="BF1417" t="s">
        <v>1152</v>
      </c>
      <c r="BG1417" t="s">
        <v>322</v>
      </c>
      <c r="BH1417" t="s">
        <v>1153</v>
      </c>
      <c r="BN1417" t="s">
        <v>1154</v>
      </c>
      <c r="BO1417">
        <v>2025</v>
      </c>
      <c r="BP1417" t="s">
        <v>966</v>
      </c>
      <c r="BZ1417" t="s">
        <v>1513</v>
      </c>
      <c r="CA1417" t="s">
        <v>1513</v>
      </c>
      <c r="CB1417" t="b">
        <v>0</v>
      </c>
      <c r="CC1417" t="b">
        <v>0</v>
      </c>
      <c r="CD1417" t="b">
        <v>0</v>
      </c>
      <c r="CE1417" t="b">
        <v>0</v>
      </c>
      <c r="CF1417" t="b">
        <v>0</v>
      </c>
    </row>
    <row r="1418" spans="1:84" x14ac:dyDescent="0.3">
      <c r="A1418" t="s">
        <v>4063</v>
      </c>
      <c r="B1418" t="s">
        <v>1221</v>
      </c>
      <c r="C1418" s="98">
        <v>45775</v>
      </c>
      <c r="D1418">
        <v>2025</v>
      </c>
      <c r="E1418">
        <v>4</v>
      </c>
      <c r="F1418">
        <v>2</v>
      </c>
      <c r="G1418" t="s">
        <v>1208</v>
      </c>
      <c r="H1418" t="s">
        <v>150</v>
      </c>
      <c r="I1418" t="s">
        <v>150</v>
      </c>
      <c r="J1418" t="s">
        <v>6</v>
      </c>
      <c r="L1418">
        <v>522611</v>
      </c>
      <c r="M1418" s="99" t="s">
        <v>180</v>
      </c>
      <c r="N1418">
        <v>3</v>
      </c>
      <c r="O1418">
        <v>17</v>
      </c>
      <c r="P1418">
        <v>1.2217</v>
      </c>
      <c r="Q1418" t="s">
        <v>352</v>
      </c>
      <c r="R1418">
        <v>1</v>
      </c>
      <c r="S1418">
        <v>1.2362</v>
      </c>
      <c r="T1418">
        <v>5.1999999999999998E-2</v>
      </c>
      <c r="U1418">
        <v>-0.27884615384615302</v>
      </c>
      <c r="V1418">
        <v>1.0802</v>
      </c>
      <c r="W1418">
        <v>1.1321999999999999</v>
      </c>
      <c r="X1418">
        <v>1.1841999999999999</v>
      </c>
      <c r="Y1418">
        <v>1.2882</v>
      </c>
      <c r="Z1418">
        <v>1.3402000000000001</v>
      </c>
      <c r="AA1418">
        <v>1.3921999999999999</v>
      </c>
      <c r="AD1418">
        <v>22.797628473468187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 t="s">
        <v>462</v>
      </c>
      <c r="AL1418" t="s">
        <v>6</v>
      </c>
      <c r="AM1418" t="s">
        <v>1145</v>
      </c>
      <c r="AN1418" t="s">
        <v>1146</v>
      </c>
      <c r="AO1418" s="100">
        <v>46262.040405092594</v>
      </c>
      <c r="AP1418" t="s">
        <v>1147</v>
      </c>
      <c r="AQ1418" t="s">
        <v>4064</v>
      </c>
      <c r="AR1418" t="s">
        <v>1223</v>
      </c>
      <c r="AS1418" t="s">
        <v>1150</v>
      </c>
      <c r="AT1418" t="s">
        <v>3932</v>
      </c>
      <c r="AU1418">
        <v>25</v>
      </c>
      <c r="AV1418">
        <v>1.2213039999999999</v>
      </c>
      <c r="AW1418">
        <v>5.5083553806921377E-2</v>
      </c>
      <c r="AX1418">
        <v>4.5102246293241794</v>
      </c>
      <c r="BB1418" t="s">
        <v>4619</v>
      </c>
      <c r="BD1418" s="98"/>
      <c r="BE1418" s="98"/>
      <c r="BF1418" t="s">
        <v>1152</v>
      </c>
      <c r="BG1418" t="s">
        <v>322</v>
      </c>
      <c r="BH1418" t="s">
        <v>1153</v>
      </c>
      <c r="BN1418" t="s">
        <v>1154</v>
      </c>
      <c r="BO1418">
        <v>2025</v>
      </c>
      <c r="BP1418" t="s">
        <v>966</v>
      </c>
      <c r="BZ1418" t="s">
        <v>1513</v>
      </c>
      <c r="CA1418" t="s">
        <v>1513</v>
      </c>
      <c r="CB1418" t="b">
        <v>0</v>
      </c>
      <c r="CC1418" t="b">
        <v>0</v>
      </c>
      <c r="CD1418" t="b">
        <v>0</v>
      </c>
      <c r="CE1418" t="b">
        <v>0</v>
      </c>
      <c r="CF1418" t="b">
        <v>0</v>
      </c>
    </row>
    <row r="1419" spans="1:84" x14ac:dyDescent="0.3">
      <c r="A1419" t="s">
        <v>4065</v>
      </c>
      <c r="B1419" t="s">
        <v>1225</v>
      </c>
      <c r="C1419" s="98">
        <v>45782</v>
      </c>
      <c r="D1419">
        <v>2025</v>
      </c>
      <c r="E1419">
        <v>5</v>
      </c>
      <c r="F1419">
        <v>2</v>
      </c>
      <c r="G1419" t="s">
        <v>1226</v>
      </c>
      <c r="H1419" t="s">
        <v>150</v>
      </c>
      <c r="I1419" t="s">
        <v>150</v>
      </c>
      <c r="J1419" t="s">
        <v>6</v>
      </c>
      <c r="L1419">
        <v>522611</v>
      </c>
      <c r="M1419" s="99" t="s">
        <v>180</v>
      </c>
      <c r="N1419">
        <v>3</v>
      </c>
      <c r="O1419">
        <v>18</v>
      </c>
      <c r="P1419">
        <v>1.1675</v>
      </c>
      <c r="Q1419" t="s">
        <v>352</v>
      </c>
      <c r="R1419">
        <v>1</v>
      </c>
      <c r="S1419">
        <v>1.2362</v>
      </c>
      <c r="T1419">
        <v>5.1999999999999998E-2</v>
      </c>
      <c r="U1419">
        <v>-1.3211538461538459</v>
      </c>
      <c r="V1419">
        <v>1.0802</v>
      </c>
      <c r="W1419">
        <v>1.1321999999999999</v>
      </c>
      <c r="X1419">
        <v>1.1841999999999999</v>
      </c>
      <c r="Y1419">
        <v>1.2882</v>
      </c>
      <c r="Z1419">
        <v>1.3402000000000001</v>
      </c>
      <c r="AA1419">
        <v>1.3921999999999999</v>
      </c>
      <c r="AD1419">
        <v>22.797628473468187</v>
      </c>
      <c r="AE1419">
        <v>0</v>
      </c>
      <c r="AF1419">
        <v>0</v>
      </c>
      <c r="AG1419">
        <v>1</v>
      </c>
      <c r="AH1419">
        <v>0</v>
      </c>
      <c r="AI1419">
        <v>0</v>
      </c>
      <c r="AJ1419">
        <v>0</v>
      </c>
      <c r="AK1419" t="s">
        <v>1213</v>
      </c>
      <c r="AL1419" t="s">
        <v>6</v>
      </c>
      <c r="AM1419" t="s">
        <v>1145</v>
      </c>
      <c r="AN1419" t="s">
        <v>1146</v>
      </c>
      <c r="AO1419" s="100">
        <v>46262.040405092594</v>
      </c>
      <c r="AP1419" t="s">
        <v>1147</v>
      </c>
      <c r="AQ1419" t="s">
        <v>4066</v>
      </c>
      <c r="AR1419" t="s">
        <v>1228</v>
      </c>
      <c r="AS1419" t="s">
        <v>1150</v>
      </c>
      <c r="AT1419" t="s">
        <v>3932</v>
      </c>
      <c r="AU1419">
        <v>25</v>
      </c>
      <c r="AV1419">
        <v>1.2213039999999999</v>
      </c>
      <c r="AW1419">
        <v>5.5083553806921377E-2</v>
      </c>
      <c r="AX1419">
        <v>4.5102246293241794</v>
      </c>
      <c r="BB1419" t="s">
        <v>4619</v>
      </c>
      <c r="BD1419" s="98"/>
      <c r="BE1419" s="98"/>
      <c r="BF1419" t="s">
        <v>1152</v>
      </c>
      <c r="BG1419" t="s">
        <v>322</v>
      </c>
      <c r="BH1419" t="s">
        <v>1153</v>
      </c>
      <c r="BN1419" t="s">
        <v>1154</v>
      </c>
      <c r="BO1419">
        <v>2025</v>
      </c>
      <c r="BP1419" t="s">
        <v>966</v>
      </c>
      <c r="BZ1419" t="s">
        <v>1513</v>
      </c>
      <c r="CA1419" t="s">
        <v>1513</v>
      </c>
      <c r="CB1419" t="b">
        <v>0</v>
      </c>
      <c r="CC1419" t="b">
        <v>0</v>
      </c>
      <c r="CD1419" t="b">
        <v>0</v>
      </c>
      <c r="CE1419" t="b">
        <v>0</v>
      </c>
      <c r="CF1419" t="b">
        <v>0</v>
      </c>
    </row>
    <row r="1420" spans="1:84" x14ac:dyDescent="0.3">
      <c r="A1420" t="s">
        <v>4067</v>
      </c>
      <c r="B1420" t="s">
        <v>1230</v>
      </c>
      <c r="C1420" s="98">
        <v>45789</v>
      </c>
      <c r="D1420">
        <v>2025</v>
      </c>
      <c r="E1420">
        <v>5</v>
      </c>
      <c r="F1420">
        <v>2</v>
      </c>
      <c r="G1420" t="s">
        <v>1226</v>
      </c>
      <c r="H1420" t="s">
        <v>150</v>
      </c>
      <c r="I1420" t="s">
        <v>150</v>
      </c>
      <c r="J1420" t="s">
        <v>6</v>
      </c>
      <c r="L1420">
        <v>522611</v>
      </c>
      <c r="M1420" s="99" t="s">
        <v>180</v>
      </c>
      <c r="N1420">
        <v>3</v>
      </c>
      <c r="O1420">
        <v>19</v>
      </c>
      <c r="P1420">
        <v>1.2423</v>
      </c>
      <c r="Q1420" t="s">
        <v>352</v>
      </c>
      <c r="R1420">
        <v>1</v>
      </c>
      <c r="S1420">
        <v>1.2362</v>
      </c>
      <c r="T1420">
        <v>5.1999999999999998E-2</v>
      </c>
      <c r="U1420">
        <v>0.11730769230769221</v>
      </c>
      <c r="V1420">
        <v>1.0802</v>
      </c>
      <c r="W1420">
        <v>1.1321999999999999</v>
      </c>
      <c r="X1420">
        <v>1.1841999999999999</v>
      </c>
      <c r="Y1420">
        <v>1.2882</v>
      </c>
      <c r="Z1420">
        <v>1.3402000000000001</v>
      </c>
      <c r="AA1420">
        <v>1.3921999999999999</v>
      </c>
      <c r="AD1420">
        <v>22.797628473468187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 t="s">
        <v>462</v>
      </c>
      <c r="AL1420" t="s">
        <v>6</v>
      </c>
      <c r="AM1420" t="s">
        <v>1145</v>
      </c>
      <c r="AN1420" t="s">
        <v>1146</v>
      </c>
      <c r="AO1420" s="100">
        <v>46262.040405092594</v>
      </c>
      <c r="AP1420" t="s">
        <v>1147</v>
      </c>
      <c r="AQ1420" t="s">
        <v>4068</v>
      </c>
      <c r="AR1420" t="s">
        <v>1232</v>
      </c>
      <c r="AS1420" t="s">
        <v>1150</v>
      </c>
      <c r="AT1420" t="s">
        <v>3932</v>
      </c>
      <c r="AU1420">
        <v>25</v>
      </c>
      <c r="AV1420">
        <v>1.2213039999999999</v>
      </c>
      <c r="AW1420">
        <v>5.5083553806921377E-2</v>
      </c>
      <c r="AX1420">
        <v>4.5102246293241794</v>
      </c>
      <c r="BB1420" t="s">
        <v>4619</v>
      </c>
      <c r="BD1420" s="98"/>
      <c r="BE1420" s="98"/>
      <c r="BF1420" t="s">
        <v>1152</v>
      </c>
      <c r="BG1420" t="s">
        <v>322</v>
      </c>
      <c r="BH1420" t="s">
        <v>1153</v>
      </c>
      <c r="BN1420" t="s">
        <v>1154</v>
      </c>
      <c r="BO1420">
        <v>2025</v>
      </c>
      <c r="BP1420" t="s">
        <v>966</v>
      </c>
      <c r="BZ1420" t="s">
        <v>1513</v>
      </c>
      <c r="CA1420" t="s">
        <v>1513</v>
      </c>
      <c r="CB1420" t="b">
        <v>0</v>
      </c>
      <c r="CC1420" t="b">
        <v>0</v>
      </c>
      <c r="CD1420" t="b">
        <v>0</v>
      </c>
      <c r="CE1420" t="b">
        <v>0</v>
      </c>
      <c r="CF1420" t="b">
        <v>0</v>
      </c>
    </row>
    <row r="1421" spans="1:84" x14ac:dyDescent="0.3">
      <c r="A1421" t="s">
        <v>4069</v>
      </c>
      <c r="B1421" t="s">
        <v>1234</v>
      </c>
      <c r="C1421" s="98">
        <v>45796</v>
      </c>
      <c r="D1421">
        <v>2025</v>
      </c>
      <c r="E1421">
        <v>5</v>
      </c>
      <c r="F1421">
        <v>2</v>
      </c>
      <c r="G1421" t="s">
        <v>1226</v>
      </c>
      <c r="H1421" t="s">
        <v>150</v>
      </c>
      <c r="I1421" t="s">
        <v>150</v>
      </c>
      <c r="J1421" t="s">
        <v>6</v>
      </c>
      <c r="L1421">
        <v>522611</v>
      </c>
      <c r="M1421" s="99" t="s">
        <v>180</v>
      </c>
      <c r="N1421">
        <v>3</v>
      </c>
      <c r="O1421">
        <v>20</v>
      </c>
      <c r="P1421">
        <v>1.3210999999999999</v>
      </c>
      <c r="Q1421" t="s">
        <v>352</v>
      </c>
      <c r="R1421">
        <v>1</v>
      </c>
      <c r="S1421">
        <v>1.2362</v>
      </c>
      <c r="T1421">
        <v>5.1999999999999998E-2</v>
      </c>
      <c r="U1421">
        <v>1.6326923076923072</v>
      </c>
      <c r="V1421">
        <v>1.0802</v>
      </c>
      <c r="W1421">
        <v>1.1321999999999999</v>
      </c>
      <c r="X1421">
        <v>1.1841999999999999</v>
      </c>
      <c r="Y1421">
        <v>1.2882</v>
      </c>
      <c r="Z1421">
        <v>1.3402000000000001</v>
      </c>
      <c r="AA1421">
        <v>1.3921999999999999</v>
      </c>
      <c r="AD1421">
        <v>22.797628473468187</v>
      </c>
      <c r="AE1421">
        <v>0</v>
      </c>
      <c r="AF1421">
        <v>0</v>
      </c>
      <c r="AG1421">
        <v>0</v>
      </c>
      <c r="AH1421">
        <v>0</v>
      </c>
      <c r="AI1421">
        <v>1</v>
      </c>
      <c r="AJ1421">
        <v>0</v>
      </c>
      <c r="AK1421" t="s">
        <v>1213</v>
      </c>
      <c r="AL1421" t="s">
        <v>6</v>
      </c>
      <c r="AM1421" t="s">
        <v>1145</v>
      </c>
      <c r="AN1421" t="s">
        <v>1146</v>
      </c>
      <c r="AO1421" s="100">
        <v>46262.040405092594</v>
      </c>
      <c r="AP1421" t="s">
        <v>1147</v>
      </c>
      <c r="AQ1421" t="s">
        <v>4070</v>
      </c>
      <c r="AR1421" t="s">
        <v>1236</v>
      </c>
      <c r="AS1421" t="s">
        <v>1150</v>
      </c>
      <c r="AT1421" t="s">
        <v>3932</v>
      </c>
      <c r="AU1421">
        <v>25</v>
      </c>
      <c r="AV1421">
        <v>1.2213039999999999</v>
      </c>
      <c r="AW1421">
        <v>5.5083553806921377E-2</v>
      </c>
      <c r="AX1421">
        <v>4.5102246293241794</v>
      </c>
      <c r="BB1421" t="s">
        <v>4619</v>
      </c>
      <c r="BD1421" s="98"/>
      <c r="BE1421" s="98"/>
      <c r="BF1421" t="s">
        <v>1152</v>
      </c>
      <c r="BG1421" t="s">
        <v>322</v>
      </c>
      <c r="BH1421" t="s">
        <v>1153</v>
      </c>
      <c r="BN1421" t="s">
        <v>1154</v>
      </c>
      <c r="BO1421">
        <v>2025</v>
      </c>
      <c r="BP1421" t="s">
        <v>966</v>
      </c>
      <c r="BZ1421" t="s">
        <v>1513</v>
      </c>
      <c r="CA1421" t="s">
        <v>1513</v>
      </c>
      <c r="CB1421" t="b">
        <v>0</v>
      </c>
      <c r="CC1421" t="b">
        <v>0</v>
      </c>
      <c r="CD1421" t="b">
        <v>0</v>
      </c>
      <c r="CE1421" t="b">
        <v>0</v>
      </c>
      <c r="CF1421" t="b">
        <v>0</v>
      </c>
    </row>
    <row r="1422" spans="1:84" x14ac:dyDescent="0.3">
      <c r="A1422" t="s">
        <v>4071</v>
      </c>
      <c r="B1422" t="s">
        <v>1238</v>
      </c>
      <c r="C1422" s="98">
        <v>45803</v>
      </c>
      <c r="D1422">
        <v>2025</v>
      </c>
      <c r="E1422">
        <v>5</v>
      </c>
      <c r="F1422">
        <v>2</v>
      </c>
      <c r="G1422" t="s">
        <v>1226</v>
      </c>
      <c r="H1422" t="s">
        <v>150</v>
      </c>
      <c r="I1422" t="s">
        <v>150</v>
      </c>
      <c r="J1422" t="s">
        <v>6</v>
      </c>
      <c r="L1422">
        <v>522611</v>
      </c>
      <c r="M1422" s="99" t="s">
        <v>180</v>
      </c>
      <c r="N1422">
        <v>3</v>
      </c>
      <c r="O1422">
        <v>21</v>
      </c>
      <c r="P1422">
        <v>1.1971000000000001</v>
      </c>
      <c r="Q1422" t="s">
        <v>352</v>
      </c>
      <c r="R1422">
        <v>1</v>
      </c>
      <c r="S1422">
        <v>1.2362</v>
      </c>
      <c r="T1422">
        <v>5.1999999999999998E-2</v>
      </c>
      <c r="U1422">
        <v>-0.75192307692307525</v>
      </c>
      <c r="V1422">
        <v>1.0802</v>
      </c>
      <c r="W1422">
        <v>1.1321999999999999</v>
      </c>
      <c r="X1422">
        <v>1.1841999999999999</v>
      </c>
      <c r="Y1422">
        <v>1.2882</v>
      </c>
      <c r="Z1422">
        <v>1.3402000000000001</v>
      </c>
      <c r="AA1422">
        <v>1.3921999999999999</v>
      </c>
      <c r="AD1422">
        <v>22.797628473468187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 t="s">
        <v>462</v>
      </c>
      <c r="AL1422" t="s">
        <v>6</v>
      </c>
      <c r="AM1422" t="s">
        <v>1145</v>
      </c>
      <c r="AN1422" t="s">
        <v>1146</v>
      </c>
      <c r="AO1422" s="100">
        <v>46262.040405092594</v>
      </c>
      <c r="AP1422" t="s">
        <v>1147</v>
      </c>
      <c r="AQ1422" t="s">
        <v>4072</v>
      </c>
      <c r="AR1422" t="s">
        <v>1240</v>
      </c>
      <c r="AS1422" t="s">
        <v>1150</v>
      </c>
      <c r="AT1422" t="s">
        <v>3932</v>
      </c>
      <c r="AU1422">
        <v>25</v>
      </c>
      <c r="AV1422">
        <v>1.2213039999999999</v>
      </c>
      <c r="AW1422">
        <v>5.5083553806921377E-2</v>
      </c>
      <c r="AX1422">
        <v>4.5102246293241794</v>
      </c>
      <c r="BB1422" t="s">
        <v>4619</v>
      </c>
      <c r="BD1422" s="98"/>
      <c r="BE1422" s="98"/>
      <c r="BF1422" t="s">
        <v>1152</v>
      </c>
      <c r="BG1422" t="s">
        <v>322</v>
      </c>
      <c r="BH1422" t="s">
        <v>1153</v>
      </c>
      <c r="BN1422" t="s">
        <v>1154</v>
      </c>
      <c r="BO1422">
        <v>2025</v>
      </c>
      <c r="BP1422" t="s">
        <v>966</v>
      </c>
      <c r="BZ1422" t="s">
        <v>1513</v>
      </c>
      <c r="CA1422" t="s">
        <v>1513</v>
      </c>
      <c r="CB1422" t="b">
        <v>0</v>
      </c>
      <c r="CC1422" t="b">
        <v>0</v>
      </c>
      <c r="CD1422" t="b">
        <v>0</v>
      </c>
      <c r="CE1422" t="b">
        <v>0</v>
      </c>
      <c r="CF1422" t="b">
        <v>0</v>
      </c>
    </row>
    <row r="1423" spans="1:84" x14ac:dyDescent="0.3">
      <c r="A1423" t="s">
        <v>4073</v>
      </c>
      <c r="B1423" t="s">
        <v>1242</v>
      </c>
      <c r="C1423" s="98">
        <v>45810</v>
      </c>
      <c r="D1423">
        <v>2025</v>
      </c>
      <c r="E1423">
        <v>6</v>
      </c>
      <c r="F1423">
        <v>2</v>
      </c>
      <c r="G1423" t="s">
        <v>1243</v>
      </c>
      <c r="H1423" t="s">
        <v>150</v>
      </c>
      <c r="I1423" t="s">
        <v>150</v>
      </c>
      <c r="J1423" t="s">
        <v>6</v>
      </c>
      <c r="L1423">
        <v>522611</v>
      </c>
      <c r="M1423" s="99" t="s">
        <v>180</v>
      </c>
      <c r="N1423">
        <v>3</v>
      </c>
      <c r="O1423">
        <v>22</v>
      </c>
      <c r="P1423">
        <v>1.248</v>
      </c>
      <c r="Q1423" t="s">
        <v>352</v>
      </c>
      <c r="R1423">
        <v>1</v>
      </c>
      <c r="S1423">
        <v>1.2362</v>
      </c>
      <c r="T1423">
        <v>5.1999999999999998E-2</v>
      </c>
      <c r="U1423">
        <v>0.22692307692307756</v>
      </c>
      <c r="V1423">
        <v>1.0802</v>
      </c>
      <c r="W1423">
        <v>1.1321999999999999</v>
      </c>
      <c r="X1423">
        <v>1.1841999999999999</v>
      </c>
      <c r="Y1423">
        <v>1.2882</v>
      </c>
      <c r="Z1423">
        <v>1.3402000000000001</v>
      </c>
      <c r="AA1423">
        <v>1.3921999999999999</v>
      </c>
      <c r="AD1423">
        <v>22.797628473468187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 t="s">
        <v>462</v>
      </c>
      <c r="AL1423" t="s">
        <v>6</v>
      </c>
      <c r="AM1423" t="s">
        <v>1145</v>
      </c>
      <c r="AN1423" t="s">
        <v>1146</v>
      </c>
      <c r="AO1423" s="100">
        <v>46262.040405092594</v>
      </c>
      <c r="AP1423" t="s">
        <v>1147</v>
      </c>
      <c r="AQ1423" t="s">
        <v>4074</v>
      </c>
      <c r="AR1423" t="s">
        <v>1245</v>
      </c>
      <c r="AS1423" t="s">
        <v>1150</v>
      </c>
      <c r="AT1423" t="s">
        <v>3932</v>
      </c>
      <c r="AU1423">
        <v>25</v>
      </c>
      <c r="AV1423">
        <v>1.2213039999999999</v>
      </c>
      <c r="AW1423">
        <v>5.5083553806921377E-2</v>
      </c>
      <c r="AX1423">
        <v>4.5102246293241794</v>
      </c>
      <c r="BB1423" t="s">
        <v>4619</v>
      </c>
      <c r="BD1423" s="98"/>
      <c r="BE1423" s="98"/>
      <c r="BF1423" t="s">
        <v>1152</v>
      </c>
      <c r="BG1423" t="s">
        <v>322</v>
      </c>
      <c r="BH1423" t="s">
        <v>1153</v>
      </c>
      <c r="BN1423" t="s">
        <v>1154</v>
      </c>
      <c r="BO1423">
        <v>2025</v>
      </c>
      <c r="BP1423" t="s">
        <v>966</v>
      </c>
      <c r="BZ1423" t="s">
        <v>1513</v>
      </c>
      <c r="CA1423" t="s">
        <v>1513</v>
      </c>
      <c r="CB1423" t="b">
        <v>0</v>
      </c>
      <c r="CC1423" t="b">
        <v>0</v>
      </c>
      <c r="CD1423" t="b">
        <v>0</v>
      </c>
      <c r="CE1423" t="b">
        <v>0</v>
      </c>
      <c r="CF1423" t="b">
        <v>0</v>
      </c>
    </row>
    <row r="1424" spans="1:84" x14ac:dyDescent="0.3">
      <c r="A1424" t="s">
        <v>4075</v>
      </c>
      <c r="B1424" t="s">
        <v>1247</v>
      </c>
      <c r="C1424" s="98">
        <v>45817</v>
      </c>
      <c r="D1424">
        <v>2025</v>
      </c>
      <c r="E1424">
        <v>6</v>
      </c>
      <c r="F1424">
        <v>2</v>
      </c>
      <c r="G1424" t="s">
        <v>1243</v>
      </c>
      <c r="H1424" t="s">
        <v>150</v>
      </c>
      <c r="I1424" t="s">
        <v>150</v>
      </c>
      <c r="J1424" t="s">
        <v>6</v>
      </c>
      <c r="L1424">
        <v>522611</v>
      </c>
      <c r="M1424" s="99" t="s">
        <v>180</v>
      </c>
      <c r="N1424">
        <v>3</v>
      </c>
      <c r="O1424">
        <v>23</v>
      </c>
      <c r="P1424">
        <v>1.1896</v>
      </c>
      <c r="Q1424" t="s">
        <v>352</v>
      </c>
      <c r="R1424">
        <v>1</v>
      </c>
      <c r="S1424">
        <v>1.2362</v>
      </c>
      <c r="T1424">
        <v>5.1999999999999998E-2</v>
      </c>
      <c r="U1424">
        <v>-0.89615384615384575</v>
      </c>
      <c r="V1424">
        <v>1.0802</v>
      </c>
      <c r="W1424">
        <v>1.1321999999999999</v>
      </c>
      <c r="X1424">
        <v>1.1841999999999999</v>
      </c>
      <c r="Y1424">
        <v>1.2882</v>
      </c>
      <c r="Z1424">
        <v>1.3402000000000001</v>
      </c>
      <c r="AA1424">
        <v>1.3921999999999999</v>
      </c>
      <c r="AD1424">
        <v>22.797628473468187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 t="s">
        <v>462</v>
      </c>
      <c r="AL1424" t="s">
        <v>6</v>
      </c>
      <c r="AM1424" t="s">
        <v>1145</v>
      </c>
      <c r="AN1424" t="s">
        <v>1146</v>
      </c>
      <c r="AO1424" s="100">
        <v>46262.040405092594</v>
      </c>
      <c r="AP1424" t="s">
        <v>1147</v>
      </c>
      <c r="AQ1424" t="s">
        <v>4076</v>
      </c>
      <c r="AR1424" t="s">
        <v>1249</v>
      </c>
      <c r="AS1424" t="s">
        <v>1150</v>
      </c>
      <c r="AT1424" t="s">
        <v>3932</v>
      </c>
      <c r="AU1424">
        <v>25</v>
      </c>
      <c r="AV1424">
        <v>1.2213039999999999</v>
      </c>
      <c r="AW1424">
        <v>5.5083553806921377E-2</v>
      </c>
      <c r="AX1424">
        <v>4.5102246293241794</v>
      </c>
      <c r="BB1424" t="s">
        <v>4619</v>
      </c>
      <c r="BD1424" s="98"/>
      <c r="BE1424" s="98"/>
      <c r="BF1424" t="s">
        <v>1152</v>
      </c>
      <c r="BG1424" t="s">
        <v>322</v>
      </c>
      <c r="BH1424" t="s">
        <v>1153</v>
      </c>
      <c r="BN1424" t="s">
        <v>1154</v>
      </c>
      <c r="BO1424">
        <v>2025</v>
      </c>
      <c r="BP1424" t="s">
        <v>966</v>
      </c>
      <c r="BZ1424" t="s">
        <v>1513</v>
      </c>
      <c r="CA1424" t="s">
        <v>1513</v>
      </c>
      <c r="CB1424" t="b">
        <v>0</v>
      </c>
      <c r="CC1424" t="b">
        <v>0</v>
      </c>
      <c r="CD1424" t="b">
        <v>0</v>
      </c>
      <c r="CE1424" t="b">
        <v>0</v>
      </c>
      <c r="CF1424" t="b">
        <v>0</v>
      </c>
    </row>
    <row r="1425" spans="1:84" x14ac:dyDescent="0.3">
      <c r="A1425" t="s">
        <v>4077</v>
      </c>
      <c r="B1425" t="s">
        <v>1251</v>
      </c>
      <c r="C1425" s="98">
        <v>45824</v>
      </c>
      <c r="D1425">
        <v>2025</v>
      </c>
      <c r="E1425">
        <v>6</v>
      </c>
      <c r="F1425">
        <v>2</v>
      </c>
      <c r="G1425" t="s">
        <v>1243</v>
      </c>
      <c r="H1425" t="s">
        <v>150</v>
      </c>
      <c r="I1425" t="s">
        <v>150</v>
      </c>
      <c r="J1425" t="s">
        <v>6</v>
      </c>
      <c r="L1425">
        <v>522611</v>
      </c>
      <c r="M1425" s="99" t="s">
        <v>180</v>
      </c>
      <c r="N1425">
        <v>3</v>
      </c>
      <c r="O1425">
        <v>24</v>
      </c>
      <c r="P1425">
        <v>1.1763999999999999</v>
      </c>
      <c r="Q1425" t="s">
        <v>352</v>
      </c>
      <c r="R1425">
        <v>1</v>
      </c>
      <c r="S1425">
        <v>1.2362</v>
      </c>
      <c r="T1425">
        <v>5.1999999999999998E-2</v>
      </c>
      <c r="U1425">
        <v>-1.1500000000000015</v>
      </c>
      <c r="V1425">
        <v>1.0802</v>
      </c>
      <c r="W1425">
        <v>1.1321999999999999</v>
      </c>
      <c r="X1425">
        <v>1.1841999999999999</v>
      </c>
      <c r="Y1425">
        <v>1.2882</v>
      </c>
      <c r="Z1425">
        <v>1.3402000000000001</v>
      </c>
      <c r="AA1425">
        <v>1.3921999999999999</v>
      </c>
      <c r="AD1425">
        <v>22.797628473468187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 t="s">
        <v>462</v>
      </c>
      <c r="AL1425" t="s">
        <v>6</v>
      </c>
      <c r="AM1425" t="s">
        <v>1145</v>
      </c>
      <c r="AN1425" t="s">
        <v>1146</v>
      </c>
      <c r="AO1425" s="100">
        <v>46262.040405092594</v>
      </c>
      <c r="AP1425" t="s">
        <v>1147</v>
      </c>
      <c r="AQ1425" t="s">
        <v>4078</v>
      </c>
      <c r="AR1425" t="s">
        <v>1253</v>
      </c>
      <c r="AS1425" t="s">
        <v>1150</v>
      </c>
      <c r="AT1425" t="s">
        <v>3932</v>
      </c>
      <c r="AU1425">
        <v>25</v>
      </c>
      <c r="AV1425">
        <v>1.2213039999999999</v>
      </c>
      <c r="AW1425">
        <v>5.5083553806921377E-2</v>
      </c>
      <c r="AX1425">
        <v>4.5102246293241794</v>
      </c>
      <c r="BB1425" t="s">
        <v>4619</v>
      </c>
      <c r="BD1425" s="98"/>
      <c r="BE1425" s="98"/>
      <c r="BF1425" t="s">
        <v>1152</v>
      </c>
      <c r="BG1425" t="s">
        <v>322</v>
      </c>
      <c r="BH1425" t="s">
        <v>1153</v>
      </c>
      <c r="BN1425" t="s">
        <v>1154</v>
      </c>
      <c r="BO1425">
        <v>2025</v>
      </c>
      <c r="BP1425" t="s">
        <v>966</v>
      </c>
      <c r="BZ1425" t="s">
        <v>1513</v>
      </c>
      <c r="CA1425" t="s">
        <v>1513</v>
      </c>
      <c r="CB1425" t="b">
        <v>0</v>
      </c>
      <c r="CC1425" t="b">
        <v>0</v>
      </c>
      <c r="CD1425" t="b">
        <v>0</v>
      </c>
      <c r="CE1425" t="b">
        <v>0</v>
      </c>
      <c r="CF1425" t="b">
        <v>0</v>
      </c>
    </row>
    <row r="1426" spans="1:84" x14ac:dyDescent="0.3">
      <c r="A1426" t="s">
        <v>4079</v>
      </c>
      <c r="B1426" t="s">
        <v>1255</v>
      </c>
      <c r="C1426" s="98">
        <v>45831</v>
      </c>
      <c r="D1426">
        <v>2025</v>
      </c>
      <c r="E1426">
        <v>6</v>
      </c>
      <c r="F1426">
        <v>2</v>
      </c>
      <c r="G1426" t="s">
        <v>1243</v>
      </c>
      <c r="H1426" t="s">
        <v>150</v>
      </c>
      <c r="I1426" t="s">
        <v>150</v>
      </c>
      <c r="J1426" t="s">
        <v>6</v>
      </c>
      <c r="L1426">
        <v>522611</v>
      </c>
      <c r="M1426" s="99" t="s">
        <v>180</v>
      </c>
      <c r="N1426">
        <v>3</v>
      </c>
      <c r="O1426">
        <v>25</v>
      </c>
      <c r="P1426">
        <v>1.1719999999999999</v>
      </c>
      <c r="Q1426" t="s">
        <v>352</v>
      </c>
      <c r="R1426">
        <v>1</v>
      </c>
      <c r="S1426">
        <v>1.2362</v>
      </c>
      <c r="T1426">
        <v>5.1999999999999998E-2</v>
      </c>
      <c r="U1426">
        <v>-1.2346153846153853</v>
      </c>
      <c r="V1426">
        <v>1.0802</v>
      </c>
      <c r="W1426">
        <v>1.1321999999999999</v>
      </c>
      <c r="X1426">
        <v>1.1841999999999999</v>
      </c>
      <c r="Y1426">
        <v>1.2882</v>
      </c>
      <c r="Z1426">
        <v>1.3402000000000001</v>
      </c>
      <c r="AA1426">
        <v>1.3921999999999999</v>
      </c>
      <c r="AD1426">
        <v>22.797628473468187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 t="s">
        <v>462</v>
      </c>
      <c r="AL1426" t="s">
        <v>6</v>
      </c>
      <c r="AM1426" t="s">
        <v>1145</v>
      </c>
      <c r="AN1426" t="s">
        <v>1146</v>
      </c>
      <c r="AO1426" s="100">
        <v>46262.040405092594</v>
      </c>
      <c r="AP1426" t="s">
        <v>1147</v>
      </c>
      <c r="AQ1426" t="s">
        <v>4080</v>
      </c>
      <c r="AR1426" t="s">
        <v>1257</v>
      </c>
      <c r="AS1426" t="s">
        <v>1150</v>
      </c>
      <c r="AT1426" t="s">
        <v>3932</v>
      </c>
      <c r="AU1426">
        <v>25</v>
      </c>
      <c r="AV1426">
        <v>1.2213039999999999</v>
      </c>
      <c r="AW1426">
        <v>5.5083553806921377E-2</v>
      </c>
      <c r="AX1426">
        <v>4.5102246293241794</v>
      </c>
      <c r="BB1426" t="s">
        <v>4619</v>
      </c>
      <c r="BD1426" s="98"/>
      <c r="BE1426" s="98"/>
      <c r="BF1426" t="s">
        <v>1152</v>
      </c>
      <c r="BG1426" t="s">
        <v>322</v>
      </c>
      <c r="BH1426" t="s">
        <v>1153</v>
      </c>
      <c r="BN1426" t="s">
        <v>1154</v>
      </c>
      <c r="BO1426">
        <v>2025</v>
      </c>
      <c r="BP1426" t="s">
        <v>966</v>
      </c>
      <c r="BZ1426" t="s">
        <v>1513</v>
      </c>
      <c r="CA1426" t="s">
        <v>1513</v>
      </c>
      <c r="CB1426" t="b">
        <v>0</v>
      </c>
      <c r="CC1426" t="b">
        <v>0</v>
      </c>
      <c r="CD1426" t="b">
        <v>0</v>
      </c>
      <c r="CE1426" t="b">
        <v>0</v>
      </c>
      <c r="CF1426" t="b">
        <v>0</v>
      </c>
    </row>
    <row r="1427" spans="1:84" x14ac:dyDescent="0.3">
      <c r="A1427" t="s">
        <v>4081</v>
      </c>
      <c r="B1427" t="s">
        <v>1143</v>
      </c>
      <c r="C1427" s="98">
        <v>45663</v>
      </c>
      <c r="D1427">
        <v>2025</v>
      </c>
      <c r="E1427">
        <v>1</v>
      </c>
      <c r="F1427">
        <v>1</v>
      </c>
      <c r="G1427" t="s">
        <v>1144</v>
      </c>
      <c r="H1427" t="s">
        <v>151</v>
      </c>
      <c r="I1427" t="s">
        <v>151</v>
      </c>
      <c r="J1427" t="s">
        <v>6</v>
      </c>
      <c r="L1427">
        <v>522611</v>
      </c>
      <c r="M1427" s="99" t="s">
        <v>178</v>
      </c>
      <c r="N1427">
        <v>1</v>
      </c>
      <c r="O1427">
        <v>1</v>
      </c>
      <c r="P1427">
        <v>0.1166</v>
      </c>
      <c r="Q1427" t="s">
        <v>352</v>
      </c>
      <c r="R1427">
        <v>1</v>
      </c>
      <c r="S1427">
        <v>0.10680000000000001</v>
      </c>
      <c r="T1427">
        <v>6.7000000000000002E-3</v>
      </c>
      <c r="U1427">
        <v>1.4626865671641776</v>
      </c>
      <c r="V1427">
        <v>8.6699999999999999E-2</v>
      </c>
      <c r="W1427">
        <v>9.3400000000000011E-2</v>
      </c>
      <c r="X1427">
        <v>0.10010000000000001</v>
      </c>
      <c r="Y1427">
        <v>0.1135</v>
      </c>
      <c r="Z1427">
        <v>0.1202</v>
      </c>
      <c r="AA1427">
        <v>0.12690000000000001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 t="s">
        <v>462</v>
      </c>
      <c r="AL1427" t="s">
        <v>6</v>
      </c>
      <c r="AM1427" t="s">
        <v>1145</v>
      </c>
      <c r="AN1427" t="s">
        <v>1146</v>
      </c>
      <c r="AO1427" s="100">
        <v>46262.040405092594</v>
      </c>
      <c r="AP1427" t="s">
        <v>1147</v>
      </c>
      <c r="AQ1427" t="s">
        <v>4082</v>
      </c>
      <c r="AR1427" t="s">
        <v>1149</v>
      </c>
      <c r="AS1427" t="s">
        <v>1150</v>
      </c>
      <c r="AT1427" t="s">
        <v>4083</v>
      </c>
      <c r="AU1427">
        <v>25</v>
      </c>
      <c r="AV1427">
        <v>0.10709200000000001</v>
      </c>
      <c r="AW1427">
        <v>6.8489609917612073E-3</v>
      </c>
      <c r="AX1427">
        <v>6.3953992751664055</v>
      </c>
      <c r="BB1427" t="s">
        <v>4620</v>
      </c>
      <c r="BD1427" s="98"/>
      <c r="BE1427" s="98"/>
      <c r="BF1427" t="s">
        <v>1152</v>
      </c>
      <c r="BG1427" t="s">
        <v>322</v>
      </c>
      <c r="BH1427" t="s">
        <v>1153</v>
      </c>
      <c r="BN1427" t="s">
        <v>1154</v>
      </c>
      <c r="BO1427">
        <v>2025</v>
      </c>
      <c r="BP1427" t="s">
        <v>966</v>
      </c>
      <c r="BZ1427" t="s">
        <v>1513</v>
      </c>
      <c r="CA1427" t="s">
        <v>1513</v>
      </c>
      <c r="CB1427" t="b">
        <v>0</v>
      </c>
      <c r="CC1427" t="b">
        <v>0</v>
      </c>
      <c r="CD1427" t="b">
        <v>0</v>
      </c>
      <c r="CE1427" t="b">
        <v>0</v>
      </c>
      <c r="CF1427" t="b">
        <v>0</v>
      </c>
    </row>
    <row r="1428" spans="1:84" x14ac:dyDescent="0.3">
      <c r="A1428" t="s">
        <v>4084</v>
      </c>
      <c r="B1428" t="s">
        <v>1157</v>
      </c>
      <c r="C1428" s="98">
        <v>45670</v>
      </c>
      <c r="D1428">
        <v>2025</v>
      </c>
      <c r="E1428">
        <v>1</v>
      </c>
      <c r="F1428">
        <v>1</v>
      </c>
      <c r="G1428" t="s">
        <v>1144</v>
      </c>
      <c r="H1428" t="s">
        <v>151</v>
      </c>
      <c r="I1428" t="s">
        <v>151</v>
      </c>
      <c r="J1428" t="s">
        <v>6</v>
      </c>
      <c r="L1428">
        <v>522611</v>
      </c>
      <c r="M1428" s="99" t="s">
        <v>178</v>
      </c>
      <c r="N1428">
        <v>1</v>
      </c>
      <c r="O1428">
        <v>2</v>
      </c>
      <c r="P1428">
        <v>0.12280000000000001</v>
      </c>
      <c r="Q1428" t="s">
        <v>352</v>
      </c>
      <c r="R1428">
        <v>1</v>
      </c>
      <c r="S1428">
        <v>0.10680000000000001</v>
      </c>
      <c r="T1428">
        <v>6.7000000000000002E-3</v>
      </c>
      <c r="U1428">
        <v>2.3880597014925371</v>
      </c>
      <c r="V1428">
        <v>8.6699999999999999E-2</v>
      </c>
      <c r="W1428">
        <v>9.3400000000000011E-2</v>
      </c>
      <c r="X1428">
        <v>0.10010000000000001</v>
      </c>
      <c r="Y1428">
        <v>0.1135</v>
      </c>
      <c r="Z1428">
        <v>0.1202</v>
      </c>
      <c r="AA1428">
        <v>0.12690000000000001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1</v>
      </c>
      <c r="AK1428" t="s">
        <v>462</v>
      </c>
      <c r="AL1428" t="s">
        <v>6</v>
      </c>
      <c r="AM1428" t="s">
        <v>1145</v>
      </c>
      <c r="AN1428" t="s">
        <v>1146</v>
      </c>
      <c r="AO1428" s="100">
        <v>46262.040405092594</v>
      </c>
      <c r="AP1428" t="s">
        <v>1147</v>
      </c>
      <c r="AQ1428" t="s">
        <v>4085</v>
      </c>
      <c r="AR1428" t="s">
        <v>1159</v>
      </c>
      <c r="AS1428" t="s">
        <v>1150</v>
      </c>
      <c r="AT1428" t="s">
        <v>4083</v>
      </c>
      <c r="AU1428">
        <v>25</v>
      </c>
      <c r="AV1428">
        <v>0.10709200000000001</v>
      </c>
      <c r="AW1428">
        <v>6.8489609917612073E-3</v>
      </c>
      <c r="AX1428">
        <v>6.3953992751664055</v>
      </c>
      <c r="BB1428" t="s">
        <v>4620</v>
      </c>
      <c r="BD1428" s="98"/>
      <c r="BE1428" s="98"/>
      <c r="BF1428" t="s">
        <v>1152</v>
      </c>
      <c r="BG1428" t="s">
        <v>322</v>
      </c>
      <c r="BH1428" t="s">
        <v>1153</v>
      </c>
      <c r="BN1428" t="s">
        <v>1154</v>
      </c>
      <c r="BO1428">
        <v>2025</v>
      </c>
      <c r="BP1428" t="s">
        <v>966</v>
      </c>
      <c r="BZ1428" t="s">
        <v>1513</v>
      </c>
      <c r="CA1428" t="s">
        <v>1513</v>
      </c>
      <c r="CB1428" t="b">
        <v>0</v>
      </c>
      <c r="CC1428" t="b">
        <v>0</v>
      </c>
      <c r="CD1428" t="b">
        <v>0</v>
      </c>
      <c r="CE1428" t="b">
        <v>0</v>
      </c>
      <c r="CF1428" t="b">
        <v>0</v>
      </c>
    </row>
    <row r="1429" spans="1:84" x14ac:dyDescent="0.3">
      <c r="A1429" t="s">
        <v>4086</v>
      </c>
      <c r="B1429" t="s">
        <v>1161</v>
      </c>
      <c r="C1429" s="98">
        <v>45677</v>
      </c>
      <c r="D1429">
        <v>2025</v>
      </c>
      <c r="E1429">
        <v>1</v>
      </c>
      <c r="F1429">
        <v>1</v>
      </c>
      <c r="G1429" t="s">
        <v>1144</v>
      </c>
      <c r="H1429" t="s">
        <v>151</v>
      </c>
      <c r="I1429" t="s">
        <v>151</v>
      </c>
      <c r="J1429" t="s">
        <v>6</v>
      </c>
      <c r="L1429">
        <v>522611</v>
      </c>
      <c r="M1429" s="99" t="s">
        <v>178</v>
      </c>
      <c r="N1429">
        <v>1</v>
      </c>
      <c r="O1429">
        <v>3</v>
      </c>
      <c r="P1429">
        <v>0.1101</v>
      </c>
      <c r="Q1429" t="s">
        <v>352</v>
      </c>
      <c r="R1429">
        <v>1</v>
      </c>
      <c r="S1429">
        <v>0.10680000000000001</v>
      </c>
      <c r="T1429">
        <v>6.7000000000000002E-3</v>
      </c>
      <c r="U1429">
        <v>0.49253731343283541</v>
      </c>
      <c r="V1429">
        <v>8.6699999999999999E-2</v>
      </c>
      <c r="W1429">
        <v>9.3400000000000011E-2</v>
      </c>
      <c r="X1429">
        <v>0.10010000000000001</v>
      </c>
      <c r="Y1429">
        <v>0.1135</v>
      </c>
      <c r="Z1429">
        <v>0.1202</v>
      </c>
      <c r="AA1429">
        <v>0.12690000000000001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 t="s">
        <v>462</v>
      </c>
      <c r="AL1429" t="s">
        <v>6</v>
      </c>
      <c r="AM1429" t="s">
        <v>1145</v>
      </c>
      <c r="AN1429" t="s">
        <v>1146</v>
      </c>
      <c r="AO1429" s="100">
        <v>46262.040405092594</v>
      </c>
      <c r="AP1429" t="s">
        <v>1147</v>
      </c>
      <c r="AQ1429" t="s">
        <v>4087</v>
      </c>
      <c r="AR1429" t="s">
        <v>1163</v>
      </c>
      <c r="AS1429" t="s">
        <v>1150</v>
      </c>
      <c r="AT1429" t="s">
        <v>4083</v>
      </c>
      <c r="AU1429">
        <v>25</v>
      </c>
      <c r="AV1429">
        <v>0.10709200000000001</v>
      </c>
      <c r="AW1429">
        <v>6.8489609917612073E-3</v>
      </c>
      <c r="AX1429">
        <v>6.3953992751664055</v>
      </c>
      <c r="BB1429" t="s">
        <v>4620</v>
      </c>
      <c r="BD1429" s="98"/>
      <c r="BE1429" s="98"/>
      <c r="BF1429" t="s">
        <v>1152</v>
      </c>
      <c r="BG1429" t="s">
        <v>322</v>
      </c>
      <c r="BH1429" t="s">
        <v>1153</v>
      </c>
      <c r="BN1429" t="s">
        <v>1154</v>
      </c>
      <c r="BO1429">
        <v>2025</v>
      </c>
      <c r="BP1429" t="s">
        <v>966</v>
      </c>
      <c r="BZ1429" t="s">
        <v>1513</v>
      </c>
      <c r="CA1429" t="s">
        <v>1513</v>
      </c>
      <c r="CB1429" t="b">
        <v>0</v>
      </c>
      <c r="CC1429" t="b">
        <v>0</v>
      </c>
      <c r="CD1429" t="b">
        <v>0</v>
      </c>
      <c r="CE1429" t="b">
        <v>0</v>
      </c>
      <c r="CF1429" t="b">
        <v>0</v>
      </c>
    </row>
    <row r="1430" spans="1:84" x14ac:dyDescent="0.3">
      <c r="A1430" t="s">
        <v>4088</v>
      </c>
      <c r="B1430" t="s">
        <v>1165</v>
      </c>
      <c r="C1430" s="98">
        <v>45684</v>
      </c>
      <c r="D1430">
        <v>2025</v>
      </c>
      <c r="E1430">
        <v>1</v>
      </c>
      <c r="F1430">
        <v>1</v>
      </c>
      <c r="G1430" t="s">
        <v>1144</v>
      </c>
      <c r="H1430" t="s">
        <v>151</v>
      </c>
      <c r="I1430" t="s">
        <v>151</v>
      </c>
      <c r="J1430" t="s">
        <v>6</v>
      </c>
      <c r="L1430">
        <v>522611</v>
      </c>
      <c r="M1430" s="99" t="s">
        <v>178</v>
      </c>
      <c r="N1430">
        <v>1</v>
      </c>
      <c r="O1430">
        <v>4</v>
      </c>
      <c r="P1430">
        <v>0.10199999999999999</v>
      </c>
      <c r="Q1430" t="s">
        <v>352</v>
      </c>
      <c r="R1430">
        <v>1</v>
      </c>
      <c r="S1430">
        <v>0.10680000000000001</v>
      </c>
      <c r="T1430">
        <v>6.7000000000000002E-3</v>
      </c>
      <c r="U1430">
        <v>-0.71641791044776304</v>
      </c>
      <c r="V1430">
        <v>8.6699999999999999E-2</v>
      </c>
      <c r="W1430">
        <v>9.3400000000000011E-2</v>
      </c>
      <c r="X1430">
        <v>0.10010000000000001</v>
      </c>
      <c r="Y1430">
        <v>0.1135</v>
      </c>
      <c r="Z1430">
        <v>0.1202</v>
      </c>
      <c r="AA1430">
        <v>0.12690000000000001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 t="s">
        <v>462</v>
      </c>
      <c r="AL1430" t="s">
        <v>6</v>
      </c>
      <c r="AM1430" t="s">
        <v>1145</v>
      </c>
      <c r="AN1430" t="s">
        <v>1146</v>
      </c>
      <c r="AO1430" s="100">
        <v>46262.040405092594</v>
      </c>
      <c r="AP1430" t="s">
        <v>1147</v>
      </c>
      <c r="AQ1430" t="s">
        <v>4089</v>
      </c>
      <c r="AR1430" t="s">
        <v>1167</v>
      </c>
      <c r="AS1430" t="s">
        <v>1150</v>
      </c>
      <c r="AT1430" t="s">
        <v>4083</v>
      </c>
      <c r="AU1430">
        <v>25</v>
      </c>
      <c r="AV1430">
        <v>0.10709200000000001</v>
      </c>
      <c r="AW1430">
        <v>6.8489609917612073E-3</v>
      </c>
      <c r="AX1430">
        <v>6.3953992751664055</v>
      </c>
      <c r="BB1430" t="s">
        <v>4620</v>
      </c>
      <c r="BD1430" s="98"/>
      <c r="BE1430" s="98"/>
      <c r="BF1430" t="s">
        <v>1152</v>
      </c>
      <c r="BG1430" t="s">
        <v>322</v>
      </c>
      <c r="BH1430" t="s">
        <v>1153</v>
      </c>
      <c r="BN1430" t="s">
        <v>1154</v>
      </c>
      <c r="BO1430">
        <v>2025</v>
      </c>
      <c r="BP1430" t="s">
        <v>966</v>
      </c>
      <c r="BZ1430" t="s">
        <v>1513</v>
      </c>
      <c r="CA1430" t="s">
        <v>1513</v>
      </c>
      <c r="CB1430" t="b">
        <v>0</v>
      </c>
      <c r="CC1430" t="b">
        <v>0</v>
      </c>
      <c r="CD1430" t="b">
        <v>0</v>
      </c>
      <c r="CE1430" t="b">
        <v>0</v>
      </c>
      <c r="CF1430" t="b">
        <v>0</v>
      </c>
    </row>
    <row r="1431" spans="1:84" x14ac:dyDescent="0.3">
      <c r="A1431" t="s">
        <v>4090</v>
      </c>
      <c r="B1431" t="s">
        <v>1169</v>
      </c>
      <c r="C1431" s="98">
        <v>45691</v>
      </c>
      <c r="D1431">
        <v>2025</v>
      </c>
      <c r="E1431">
        <v>2</v>
      </c>
      <c r="F1431">
        <v>1</v>
      </c>
      <c r="G1431" t="s">
        <v>1170</v>
      </c>
      <c r="H1431" t="s">
        <v>151</v>
      </c>
      <c r="I1431" t="s">
        <v>151</v>
      </c>
      <c r="J1431" t="s">
        <v>6</v>
      </c>
      <c r="L1431">
        <v>522611</v>
      </c>
      <c r="M1431" s="99" t="s">
        <v>178</v>
      </c>
      <c r="N1431">
        <v>1</v>
      </c>
      <c r="O1431">
        <v>5</v>
      </c>
      <c r="P1431">
        <v>0.1116</v>
      </c>
      <c r="Q1431" t="s">
        <v>352</v>
      </c>
      <c r="R1431">
        <v>1</v>
      </c>
      <c r="S1431">
        <v>0.10680000000000001</v>
      </c>
      <c r="T1431">
        <v>6.7000000000000002E-3</v>
      </c>
      <c r="U1431">
        <v>0.71641791044776093</v>
      </c>
      <c r="V1431">
        <v>8.6699999999999999E-2</v>
      </c>
      <c r="W1431">
        <v>9.3400000000000011E-2</v>
      </c>
      <c r="X1431">
        <v>0.10010000000000001</v>
      </c>
      <c r="Y1431">
        <v>0.1135</v>
      </c>
      <c r="Z1431">
        <v>0.1202</v>
      </c>
      <c r="AA1431">
        <v>0.12690000000000001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 t="s">
        <v>462</v>
      </c>
      <c r="AL1431" t="s">
        <v>6</v>
      </c>
      <c r="AM1431" t="s">
        <v>1145</v>
      </c>
      <c r="AN1431" t="s">
        <v>1146</v>
      </c>
      <c r="AO1431" s="100">
        <v>46262.040405092594</v>
      </c>
      <c r="AP1431" t="s">
        <v>1147</v>
      </c>
      <c r="AQ1431" t="s">
        <v>4091</v>
      </c>
      <c r="AR1431" t="s">
        <v>1172</v>
      </c>
      <c r="AS1431" t="s">
        <v>1150</v>
      </c>
      <c r="AT1431" t="s">
        <v>4083</v>
      </c>
      <c r="AU1431">
        <v>25</v>
      </c>
      <c r="AV1431">
        <v>0.10709200000000001</v>
      </c>
      <c r="AW1431">
        <v>6.8489609917612073E-3</v>
      </c>
      <c r="AX1431">
        <v>6.3953992751664055</v>
      </c>
      <c r="BB1431" t="s">
        <v>4620</v>
      </c>
      <c r="BD1431" s="98"/>
      <c r="BE1431" s="98"/>
      <c r="BF1431" t="s">
        <v>1152</v>
      </c>
      <c r="BG1431" t="s">
        <v>322</v>
      </c>
      <c r="BH1431" t="s">
        <v>1153</v>
      </c>
      <c r="BN1431" t="s">
        <v>1154</v>
      </c>
      <c r="BO1431">
        <v>2025</v>
      </c>
      <c r="BP1431" t="s">
        <v>966</v>
      </c>
      <c r="BZ1431" t="s">
        <v>1513</v>
      </c>
      <c r="CA1431" t="s">
        <v>1513</v>
      </c>
      <c r="CB1431" t="b">
        <v>0</v>
      </c>
      <c r="CC1431" t="b">
        <v>0</v>
      </c>
      <c r="CD1431" t="b">
        <v>0</v>
      </c>
      <c r="CE1431" t="b">
        <v>0</v>
      </c>
      <c r="CF1431" t="b">
        <v>0</v>
      </c>
    </row>
    <row r="1432" spans="1:84" x14ac:dyDescent="0.3">
      <c r="A1432" t="s">
        <v>4092</v>
      </c>
      <c r="B1432" t="s">
        <v>1174</v>
      </c>
      <c r="C1432" s="98">
        <v>45698</v>
      </c>
      <c r="D1432">
        <v>2025</v>
      </c>
      <c r="E1432">
        <v>2</v>
      </c>
      <c r="F1432">
        <v>1</v>
      </c>
      <c r="G1432" t="s">
        <v>1170</v>
      </c>
      <c r="H1432" t="s">
        <v>151</v>
      </c>
      <c r="I1432" t="s">
        <v>151</v>
      </c>
      <c r="J1432" t="s">
        <v>6</v>
      </c>
      <c r="L1432">
        <v>522611</v>
      </c>
      <c r="M1432" s="99" t="s">
        <v>178</v>
      </c>
      <c r="N1432">
        <v>1</v>
      </c>
      <c r="O1432">
        <v>6</v>
      </c>
      <c r="P1432">
        <v>0.1046</v>
      </c>
      <c r="Q1432" t="s">
        <v>352</v>
      </c>
      <c r="R1432">
        <v>1</v>
      </c>
      <c r="S1432">
        <v>0.10680000000000001</v>
      </c>
      <c r="T1432">
        <v>6.7000000000000002E-3</v>
      </c>
      <c r="U1432">
        <v>-0.32835820895522499</v>
      </c>
      <c r="V1432">
        <v>8.6699999999999999E-2</v>
      </c>
      <c r="W1432">
        <v>9.3400000000000011E-2</v>
      </c>
      <c r="X1432">
        <v>0.10010000000000001</v>
      </c>
      <c r="Y1432">
        <v>0.1135</v>
      </c>
      <c r="Z1432">
        <v>0.1202</v>
      </c>
      <c r="AA1432">
        <v>0.12690000000000001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 t="s">
        <v>462</v>
      </c>
      <c r="AL1432" t="s">
        <v>6</v>
      </c>
      <c r="AM1432" t="s">
        <v>1145</v>
      </c>
      <c r="AN1432" t="s">
        <v>1146</v>
      </c>
      <c r="AO1432" s="100">
        <v>46262.040405092594</v>
      </c>
      <c r="AP1432" t="s">
        <v>1147</v>
      </c>
      <c r="AQ1432" t="s">
        <v>4093</v>
      </c>
      <c r="AR1432" t="s">
        <v>1176</v>
      </c>
      <c r="AS1432" t="s">
        <v>1150</v>
      </c>
      <c r="AT1432" t="s">
        <v>4083</v>
      </c>
      <c r="AU1432">
        <v>25</v>
      </c>
      <c r="AV1432">
        <v>0.10709200000000001</v>
      </c>
      <c r="AW1432">
        <v>6.8489609917612073E-3</v>
      </c>
      <c r="AX1432">
        <v>6.3953992751664055</v>
      </c>
      <c r="BB1432" t="s">
        <v>4620</v>
      </c>
      <c r="BD1432" s="98"/>
      <c r="BE1432" s="98"/>
      <c r="BF1432" t="s">
        <v>1152</v>
      </c>
      <c r="BG1432" t="s">
        <v>322</v>
      </c>
      <c r="BH1432" t="s">
        <v>1153</v>
      </c>
      <c r="BN1432" t="s">
        <v>1154</v>
      </c>
      <c r="BO1432">
        <v>2025</v>
      </c>
      <c r="BP1432" t="s">
        <v>966</v>
      </c>
      <c r="BZ1432" t="s">
        <v>1513</v>
      </c>
      <c r="CA1432" t="s">
        <v>1513</v>
      </c>
      <c r="CB1432" t="b">
        <v>0</v>
      </c>
      <c r="CC1432" t="b">
        <v>0</v>
      </c>
      <c r="CD1432" t="b">
        <v>0</v>
      </c>
      <c r="CE1432" t="b">
        <v>0</v>
      </c>
      <c r="CF1432" t="b">
        <v>0</v>
      </c>
    </row>
    <row r="1433" spans="1:84" x14ac:dyDescent="0.3">
      <c r="A1433" t="s">
        <v>4094</v>
      </c>
      <c r="B1433" t="s">
        <v>1178</v>
      </c>
      <c r="C1433" s="98">
        <v>45705</v>
      </c>
      <c r="D1433">
        <v>2025</v>
      </c>
      <c r="E1433">
        <v>2</v>
      </c>
      <c r="F1433">
        <v>1</v>
      </c>
      <c r="G1433" t="s">
        <v>1170</v>
      </c>
      <c r="H1433" t="s">
        <v>151</v>
      </c>
      <c r="I1433" t="s">
        <v>151</v>
      </c>
      <c r="J1433" t="s">
        <v>6</v>
      </c>
      <c r="L1433">
        <v>522611</v>
      </c>
      <c r="M1433" s="99" t="s">
        <v>178</v>
      </c>
      <c r="N1433">
        <v>1</v>
      </c>
      <c r="O1433">
        <v>7</v>
      </c>
      <c r="P1433">
        <v>0.11219999999999999</v>
      </c>
      <c r="Q1433" t="s">
        <v>352</v>
      </c>
      <c r="R1433">
        <v>1</v>
      </c>
      <c r="S1433">
        <v>0.10680000000000001</v>
      </c>
      <c r="T1433">
        <v>6.7000000000000002E-3</v>
      </c>
      <c r="U1433">
        <v>0.80597014925372956</v>
      </c>
      <c r="V1433">
        <v>8.6699999999999999E-2</v>
      </c>
      <c r="W1433">
        <v>9.3400000000000011E-2</v>
      </c>
      <c r="X1433">
        <v>0.10010000000000001</v>
      </c>
      <c r="Y1433">
        <v>0.1135</v>
      </c>
      <c r="Z1433">
        <v>0.1202</v>
      </c>
      <c r="AA1433">
        <v>0.12690000000000001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 t="s">
        <v>462</v>
      </c>
      <c r="AL1433" t="s">
        <v>6</v>
      </c>
      <c r="AM1433" t="s">
        <v>1145</v>
      </c>
      <c r="AN1433" t="s">
        <v>1146</v>
      </c>
      <c r="AO1433" s="100">
        <v>46262.040405092594</v>
      </c>
      <c r="AP1433" t="s">
        <v>1147</v>
      </c>
      <c r="AQ1433" t="s">
        <v>4095</v>
      </c>
      <c r="AR1433" t="s">
        <v>1180</v>
      </c>
      <c r="AS1433" t="s">
        <v>1150</v>
      </c>
      <c r="AT1433" t="s">
        <v>4083</v>
      </c>
      <c r="AU1433">
        <v>25</v>
      </c>
      <c r="AV1433">
        <v>0.10709200000000001</v>
      </c>
      <c r="AW1433">
        <v>6.8489609917612073E-3</v>
      </c>
      <c r="AX1433">
        <v>6.3953992751664055</v>
      </c>
      <c r="BB1433" t="s">
        <v>4620</v>
      </c>
      <c r="BD1433" s="98"/>
      <c r="BE1433" s="98"/>
      <c r="BF1433" t="s">
        <v>1152</v>
      </c>
      <c r="BG1433" t="s">
        <v>322</v>
      </c>
      <c r="BH1433" t="s">
        <v>1153</v>
      </c>
      <c r="BN1433" t="s">
        <v>1154</v>
      </c>
      <c r="BO1433">
        <v>2025</v>
      </c>
      <c r="BP1433" t="s">
        <v>966</v>
      </c>
      <c r="BZ1433" t="s">
        <v>1513</v>
      </c>
      <c r="CA1433" t="s">
        <v>1513</v>
      </c>
      <c r="CB1433" t="b">
        <v>0</v>
      </c>
      <c r="CC1433" t="b">
        <v>0</v>
      </c>
      <c r="CD1433" t="b">
        <v>0</v>
      </c>
      <c r="CE1433" t="b">
        <v>0</v>
      </c>
      <c r="CF1433" t="b">
        <v>0</v>
      </c>
    </row>
    <row r="1434" spans="1:84" x14ac:dyDescent="0.3">
      <c r="A1434" t="s">
        <v>4096</v>
      </c>
      <c r="B1434" t="s">
        <v>1182</v>
      </c>
      <c r="C1434" s="98">
        <v>45712</v>
      </c>
      <c r="D1434">
        <v>2025</v>
      </c>
      <c r="E1434">
        <v>2</v>
      </c>
      <c r="F1434">
        <v>1</v>
      </c>
      <c r="G1434" t="s">
        <v>1170</v>
      </c>
      <c r="H1434" t="s">
        <v>151</v>
      </c>
      <c r="I1434" t="s">
        <v>151</v>
      </c>
      <c r="J1434" t="s">
        <v>6</v>
      </c>
      <c r="L1434">
        <v>522611</v>
      </c>
      <c r="M1434" s="99" t="s">
        <v>178</v>
      </c>
      <c r="N1434">
        <v>1</v>
      </c>
      <c r="O1434">
        <v>8</v>
      </c>
      <c r="P1434">
        <v>0.10879999999999999</v>
      </c>
      <c r="Q1434" t="s">
        <v>352</v>
      </c>
      <c r="R1434">
        <v>1</v>
      </c>
      <c r="S1434">
        <v>0.10680000000000001</v>
      </c>
      <c r="T1434">
        <v>6.7000000000000002E-3</v>
      </c>
      <c r="U1434">
        <v>0.29850746268656536</v>
      </c>
      <c r="V1434">
        <v>8.6699999999999999E-2</v>
      </c>
      <c r="W1434">
        <v>9.3400000000000011E-2</v>
      </c>
      <c r="X1434">
        <v>0.10010000000000001</v>
      </c>
      <c r="Y1434">
        <v>0.1135</v>
      </c>
      <c r="Z1434">
        <v>0.1202</v>
      </c>
      <c r="AA1434">
        <v>0.12690000000000001</v>
      </c>
      <c r="AE1434">
        <v>0</v>
      </c>
      <c r="AF1434">
        <v>0</v>
      </c>
      <c r="AG1434">
        <v>0</v>
      </c>
      <c r="AH1434">
        <v>0</v>
      </c>
      <c r="AI1434">
        <v>1</v>
      </c>
      <c r="AJ1434">
        <v>0</v>
      </c>
      <c r="AK1434" t="s">
        <v>1213</v>
      </c>
      <c r="AL1434" t="s">
        <v>6</v>
      </c>
      <c r="AM1434" t="s">
        <v>1145</v>
      </c>
      <c r="AN1434" t="s">
        <v>1146</v>
      </c>
      <c r="AO1434" s="100">
        <v>46262.040405092594</v>
      </c>
      <c r="AP1434" t="s">
        <v>1147</v>
      </c>
      <c r="AQ1434" t="s">
        <v>4097</v>
      </c>
      <c r="AR1434" t="s">
        <v>1184</v>
      </c>
      <c r="AS1434" t="s">
        <v>1150</v>
      </c>
      <c r="AT1434" t="s">
        <v>4083</v>
      </c>
      <c r="AU1434">
        <v>25</v>
      </c>
      <c r="AV1434">
        <v>0.10709200000000001</v>
      </c>
      <c r="AW1434">
        <v>6.8489609917612073E-3</v>
      </c>
      <c r="AX1434">
        <v>6.3953992751664055</v>
      </c>
      <c r="BB1434" t="s">
        <v>4620</v>
      </c>
      <c r="BD1434" s="98"/>
      <c r="BE1434" s="98"/>
      <c r="BF1434" t="s">
        <v>1152</v>
      </c>
      <c r="BG1434" t="s">
        <v>322</v>
      </c>
      <c r="BH1434" t="s">
        <v>1153</v>
      </c>
      <c r="BN1434" t="s">
        <v>1154</v>
      </c>
      <c r="BO1434">
        <v>2025</v>
      </c>
      <c r="BP1434" t="s">
        <v>966</v>
      </c>
      <c r="BZ1434" t="s">
        <v>1513</v>
      </c>
      <c r="CA1434" t="s">
        <v>1513</v>
      </c>
      <c r="CB1434" t="b">
        <v>0</v>
      </c>
      <c r="CC1434" t="b">
        <v>0</v>
      </c>
      <c r="CD1434" t="b">
        <v>0</v>
      </c>
      <c r="CE1434" t="b">
        <v>0</v>
      </c>
      <c r="CF1434" t="b">
        <v>0</v>
      </c>
    </row>
    <row r="1435" spans="1:84" x14ac:dyDescent="0.3">
      <c r="A1435" t="s">
        <v>4098</v>
      </c>
      <c r="B1435" t="s">
        <v>1186</v>
      </c>
      <c r="C1435" s="98">
        <v>45719</v>
      </c>
      <c r="D1435">
        <v>2025</v>
      </c>
      <c r="E1435">
        <v>3</v>
      </c>
      <c r="F1435">
        <v>1</v>
      </c>
      <c r="G1435" t="s">
        <v>1187</v>
      </c>
      <c r="H1435" t="s">
        <v>151</v>
      </c>
      <c r="I1435" t="s">
        <v>151</v>
      </c>
      <c r="J1435" t="s">
        <v>6</v>
      </c>
      <c r="L1435">
        <v>522611</v>
      </c>
      <c r="M1435" s="99" t="s">
        <v>178</v>
      </c>
      <c r="N1435">
        <v>1</v>
      </c>
      <c r="O1435">
        <v>9</v>
      </c>
      <c r="P1435">
        <v>0.1087</v>
      </c>
      <c r="Q1435" t="s">
        <v>352</v>
      </c>
      <c r="R1435">
        <v>1</v>
      </c>
      <c r="S1435">
        <v>0.10680000000000001</v>
      </c>
      <c r="T1435">
        <v>6.7000000000000002E-3</v>
      </c>
      <c r="U1435">
        <v>0.28358208955223863</v>
      </c>
      <c r="V1435">
        <v>8.6699999999999999E-2</v>
      </c>
      <c r="W1435">
        <v>9.3400000000000011E-2</v>
      </c>
      <c r="X1435">
        <v>0.10010000000000001</v>
      </c>
      <c r="Y1435">
        <v>0.1135</v>
      </c>
      <c r="Z1435">
        <v>0.1202</v>
      </c>
      <c r="AA1435">
        <v>0.12690000000000001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 t="s">
        <v>462</v>
      </c>
      <c r="AL1435" t="s">
        <v>6</v>
      </c>
      <c r="AM1435" t="s">
        <v>1145</v>
      </c>
      <c r="AN1435" t="s">
        <v>1146</v>
      </c>
      <c r="AO1435" s="100">
        <v>46262.040405092594</v>
      </c>
      <c r="AP1435" t="s">
        <v>1147</v>
      </c>
      <c r="AQ1435" t="s">
        <v>4099</v>
      </c>
      <c r="AR1435" t="s">
        <v>1189</v>
      </c>
      <c r="AS1435" t="s">
        <v>1150</v>
      </c>
      <c r="AT1435" t="s">
        <v>4083</v>
      </c>
      <c r="AU1435">
        <v>25</v>
      </c>
      <c r="AV1435">
        <v>0.10709200000000001</v>
      </c>
      <c r="AW1435">
        <v>6.8489609917612073E-3</v>
      </c>
      <c r="AX1435">
        <v>6.3953992751664055</v>
      </c>
      <c r="BB1435" t="s">
        <v>4620</v>
      </c>
      <c r="BD1435" s="98"/>
      <c r="BE1435" s="98"/>
      <c r="BF1435" t="s">
        <v>1152</v>
      </c>
      <c r="BG1435" t="s">
        <v>322</v>
      </c>
      <c r="BH1435" t="s">
        <v>1153</v>
      </c>
      <c r="BN1435" t="s">
        <v>1154</v>
      </c>
      <c r="BO1435">
        <v>2025</v>
      </c>
      <c r="BP1435" t="s">
        <v>966</v>
      </c>
      <c r="BZ1435" t="s">
        <v>1513</v>
      </c>
      <c r="CA1435" t="s">
        <v>1513</v>
      </c>
      <c r="CB1435" t="b">
        <v>0</v>
      </c>
      <c r="CC1435" t="b">
        <v>0</v>
      </c>
      <c r="CD1435" t="b">
        <v>0</v>
      </c>
      <c r="CE1435" t="b">
        <v>0</v>
      </c>
      <c r="CF1435" t="b">
        <v>0</v>
      </c>
    </row>
    <row r="1436" spans="1:84" x14ac:dyDescent="0.3">
      <c r="A1436" t="s">
        <v>4100</v>
      </c>
      <c r="B1436" t="s">
        <v>1191</v>
      </c>
      <c r="C1436" s="98">
        <v>45726</v>
      </c>
      <c r="D1436">
        <v>2025</v>
      </c>
      <c r="E1436">
        <v>3</v>
      </c>
      <c r="F1436">
        <v>1</v>
      </c>
      <c r="G1436" t="s">
        <v>1187</v>
      </c>
      <c r="H1436" t="s">
        <v>151</v>
      </c>
      <c r="I1436" t="s">
        <v>151</v>
      </c>
      <c r="J1436" t="s">
        <v>6</v>
      </c>
      <c r="L1436">
        <v>522611</v>
      </c>
      <c r="M1436" s="99" t="s">
        <v>178</v>
      </c>
      <c r="N1436">
        <v>1</v>
      </c>
      <c r="O1436">
        <v>10</v>
      </c>
      <c r="P1436">
        <v>0.1109</v>
      </c>
      <c r="Q1436" t="s">
        <v>352</v>
      </c>
      <c r="R1436">
        <v>1</v>
      </c>
      <c r="S1436">
        <v>0.10680000000000001</v>
      </c>
      <c r="T1436">
        <v>6.7000000000000002E-3</v>
      </c>
      <c r="U1436">
        <v>0.61194029850746157</v>
      </c>
      <c r="V1436">
        <v>8.6699999999999999E-2</v>
      </c>
      <c r="W1436">
        <v>9.3400000000000011E-2</v>
      </c>
      <c r="X1436">
        <v>0.10010000000000001</v>
      </c>
      <c r="Y1436">
        <v>0.1135</v>
      </c>
      <c r="Z1436">
        <v>0.1202</v>
      </c>
      <c r="AA1436">
        <v>0.12690000000000001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 t="s">
        <v>462</v>
      </c>
      <c r="AL1436" t="s">
        <v>6</v>
      </c>
      <c r="AM1436" t="s">
        <v>1145</v>
      </c>
      <c r="AN1436" t="s">
        <v>1146</v>
      </c>
      <c r="AO1436" s="100">
        <v>46262.040405092594</v>
      </c>
      <c r="AP1436" t="s">
        <v>1147</v>
      </c>
      <c r="AQ1436" t="s">
        <v>4101</v>
      </c>
      <c r="AR1436" t="s">
        <v>1193</v>
      </c>
      <c r="AS1436" t="s">
        <v>1150</v>
      </c>
      <c r="AT1436" t="s">
        <v>4083</v>
      </c>
      <c r="AU1436">
        <v>25</v>
      </c>
      <c r="AV1436">
        <v>0.10709200000000001</v>
      </c>
      <c r="AW1436">
        <v>6.8489609917612073E-3</v>
      </c>
      <c r="AX1436">
        <v>6.3953992751664055</v>
      </c>
      <c r="BB1436" t="s">
        <v>4620</v>
      </c>
      <c r="BD1436" s="98"/>
      <c r="BE1436" s="98"/>
      <c r="BF1436" t="s">
        <v>1152</v>
      </c>
      <c r="BG1436" t="s">
        <v>322</v>
      </c>
      <c r="BH1436" t="s">
        <v>1153</v>
      </c>
      <c r="BN1436" t="s">
        <v>1154</v>
      </c>
      <c r="BO1436">
        <v>2025</v>
      </c>
      <c r="BP1436" t="s">
        <v>966</v>
      </c>
      <c r="BZ1436" t="s">
        <v>1513</v>
      </c>
      <c r="CA1436" t="s">
        <v>1513</v>
      </c>
      <c r="CB1436" t="b">
        <v>0</v>
      </c>
      <c r="CC1436" t="b">
        <v>0</v>
      </c>
      <c r="CD1436" t="b">
        <v>0</v>
      </c>
      <c r="CE1436" t="b">
        <v>0</v>
      </c>
      <c r="CF1436" t="b">
        <v>0</v>
      </c>
    </row>
    <row r="1437" spans="1:84" x14ac:dyDescent="0.3">
      <c r="A1437" t="s">
        <v>4102</v>
      </c>
      <c r="B1437" t="s">
        <v>1195</v>
      </c>
      <c r="C1437" s="98">
        <v>45733</v>
      </c>
      <c r="D1437">
        <v>2025</v>
      </c>
      <c r="E1437">
        <v>3</v>
      </c>
      <c r="F1437">
        <v>1</v>
      </c>
      <c r="G1437" t="s">
        <v>1187</v>
      </c>
      <c r="H1437" t="s">
        <v>151</v>
      </c>
      <c r="I1437" t="s">
        <v>151</v>
      </c>
      <c r="J1437" t="s">
        <v>6</v>
      </c>
      <c r="L1437">
        <v>522611</v>
      </c>
      <c r="M1437" s="99" t="s">
        <v>178</v>
      </c>
      <c r="N1437">
        <v>1</v>
      </c>
      <c r="O1437">
        <v>11</v>
      </c>
      <c r="P1437">
        <v>0.10290000000000001</v>
      </c>
      <c r="Q1437" t="s">
        <v>352</v>
      </c>
      <c r="R1437">
        <v>1</v>
      </c>
      <c r="S1437">
        <v>0.10680000000000001</v>
      </c>
      <c r="T1437">
        <v>6.7000000000000002E-3</v>
      </c>
      <c r="U1437">
        <v>-0.5820895522388061</v>
      </c>
      <c r="V1437">
        <v>8.6699999999999999E-2</v>
      </c>
      <c r="W1437">
        <v>9.3400000000000011E-2</v>
      </c>
      <c r="X1437">
        <v>0.10010000000000001</v>
      </c>
      <c r="Y1437">
        <v>0.1135</v>
      </c>
      <c r="Z1437">
        <v>0.1202</v>
      </c>
      <c r="AA1437">
        <v>0.12690000000000001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 t="s">
        <v>462</v>
      </c>
      <c r="AL1437" t="s">
        <v>6</v>
      </c>
      <c r="AM1437" t="s">
        <v>1145</v>
      </c>
      <c r="AN1437" t="s">
        <v>1146</v>
      </c>
      <c r="AO1437" s="100">
        <v>46262.040405092594</v>
      </c>
      <c r="AP1437" t="s">
        <v>1147</v>
      </c>
      <c r="AQ1437" t="s">
        <v>4103</v>
      </c>
      <c r="AR1437" t="s">
        <v>1197</v>
      </c>
      <c r="AS1437" t="s">
        <v>1150</v>
      </c>
      <c r="AT1437" t="s">
        <v>4083</v>
      </c>
      <c r="AU1437">
        <v>25</v>
      </c>
      <c r="AV1437">
        <v>0.10709200000000001</v>
      </c>
      <c r="AW1437">
        <v>6.8489609917612073E-3</v>
      </c>
      <c r="AX1437">
        <v>6.3953992751664055</v>
      </c>
      <c r="BB1437" t="s">
        <v>4620</v>
      </c>
      <c r="BD1437" s="98"/>
      <c r="BE1437" s="98"/>
      <c r="BF1437" t="s">
        <v>1152</v>
      </c>
      <c r="BG1437" t="s">
        <v>322</v>
      </c>
      <c r="BH1437" t="s">
        <v>1153</v>
      </c>
      <c r="BN1437" t="s">
        <v>1154</v>
      </c>
      <c r="BO1437">
        <v>2025</v>
      </c>
      <c r="BP1437" t="s">
        <v>966</v>
      </c>
      <c r="BZ1437" t="s">
        <v>1513</v>
      </c>
      <c r="CA1437" t="s">
        <v>1513</v>
      </c>
      <c r="CB1437" t="b">
        <v>0</v>
      </c>
      <c r="CC1437" t="b">
        <v>0</v>
      </c>
      <c r="CD1437" t="b">
        <v>0</v>
      </c>
      <c r="CE1437" t="b">
        <v>0</v>
      </c>
      <c r="CF1437" t="b">
        <v>0</v>
      </c>
    </row>
    <row r="1438" spans="1:84" x14ac:dyDescent="0.3">
      <c r="A1438" t="s">
        <v>4104</v>
      </c>
      <c r="B1438" t="s">
        <v>1199</v>
      </c>
      <c r="C1438" s="98">
        <v>45740</v>
      </c>
      <c r="D1438">
        <v>2025</v>
      </c>
      <c r="E1438">
        <v>3</v>
      </c>
      <c r="F1438">
        <v>1</v>
      </c>
      <c r="G1438" t="s">
        <v>1187</v>
      </c>
      <c r="H1438" t="s">
        <v>151</v>
      </c>
      <c r="I1438" t="s">
        <v>151</v>
      </c>
      <c r="J1438" t="s">
        <v>6</v>
      </c>
      <c r="L1438">
        <v>522611</v>
      </c>
      <c r="M1438" s="99" t="s">
        <v>178</v>
      </c>
      <c r="N1438">
        <v>1</v>
      </c>
      <c r="O1438">
        <v>12</v>
      </c>
      <c r="P1438">
        <v>0.1041</v>
      </c>
      <c r="Q1438" t="s">
        <v>352</v>
      </c>
      <c r="R1438">
        <v>1</v>
      </c>
      <c r="S1438">
        <v>0.10680000000000001</v>
      </c>
      <c r="T1438">
        <v>6.7000000000000002E-3</v>
      </c>
      <c r="U1438">
        <v>-0.40298507462686683</v>
      </c>
      <c r="V1438">
        <v>8.6699999999999999E-2</v>
      </c>
      <c r="W1438">
        <v>9.3400000000000011E-2</v>
      </c>
      <c r="X1438">
        <v>0.10010000000000001</v>
      </c>
      <c r="Y1438">
        <v>0.1135</v>
      </c>
      <c r="Z1438">
        <v>0.1202</v>
      </c>
      <c r="AA1438">
        <v>0.12690000000000001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 t="s">
        <v>462</v>
      </c>
      <c r="AL1438" t="s">
        <v>6</v>
      </c>
      <c r="AM1438" t="s">
        <v>1145</v>
      </c>
      <c r="AN1438" t="s">
        <v>1146</v>
      </c>
      <c r="AO1438" s="100">
        <v>46262.040405092594</v>
      </c>
      <c r="AP1438" t="s">
        <v>1147</v>
      </c>
      <c r="AQ1438" t="s">
        <v>4105</v>
      </c>
      <c r="AR1438" t="s">
        <v>1201</v>
      </c>
      <c r="AS1438" t="s">
        <v>1150</v>
      </c>
      <c r="AT1438" t="s">
        <v>4083</v>
      </c>
      <c r="AU1438">
        <v>25</v>
      </c>
      <c r="AV1438">
        <v>0.10709200000000001</v>
      </c>
      <c r="AW1438">
        <v>6.8489609917612073E-3</v>
      </c>
      <c r="AX1438">
        <v>6.3953992751664055</v>
      </c>
      <c r="BB1438" t="s">
        <v>4620</v>
      </c>
      <c r="BD1438" s="98"/>
      <c r="BE1438" s="98"/>
      <c r="BF1438" t="s">
        <v>1152</v>
      </c>
      <c r="BG1438" t="s">
        <v>322</v>
      </c>
      <c r="BH1438" t="s">
        <v>1153</v>
      </c>
      <c r="BN1438" t="s">
        <v>1154</v>
      </c>
      <c r="BO1438">
        <v>2025</v>
      </c>
      <c r="BP1438" t="s">
        <v>966</v>
      </c>
      <c r="BZ1438" t="s">
        <v>1513</v>
      </c>
      <c r="CA1438" t="s">
        <v>1513</v>
      </c>
      <c r="CB1438" t="b">
        <v>0</v>
      </c>
      <c r="CC1438" t="b">
        <v>0</v>
      </c>
      <c r="CD1438" t="b">
        <v>0</v>
      </c>
      <c r="CE1438" t="b">
        <v>0</v>
      </c>
      <c r="CF1438" t="b">
        <v>0</v>
      </c>
    </row>
    <row r="1439" spans="1:84" x14ac:dyDescent="0.3">
      <c r="A1439" t="s">
        <v>4106</v>
      </c>
      <c r="B1439" t="s">
        <v>1203</v>
      </c>
      <c r="C1439" s="98">
        <v>45747</v>
      </c>
      <c r="D1439">
        <v>2025</v>
      </c>
      <c r="E1439">
        <v>3</v>
      </c>
      <c r="F1439">
        <v>1</v>
      </c>
      <c r="G1439" t="s">
        <v>1187</v>
      </c>
      <c r="H1439" t="s">
        <v>151</v>
      </c>
      <c r="I1439" t="s">
        <v>151</v>
      </c>
      <c r="J1439" t="s">
        <v>6</v>
      </c>
      <c r="L1439">
        <v>522611</v>
      </c>
      <c r="M1439" s="99" t="s">
        <v>178</v>
      </c>
      <c r="N1439">
        <v>1</v>
      </c>
      <c r="O1439">
        <v>13</v>
      </c>
      <c r="P1439">
        <v>9.5200000000000007E-2</v>
      </c>
      <c r="Q1439" t="s">
        <v>352</v>
      </c>
      <c r="R1439">
        <v>1</v>
      </c>
      <c r="S1439">
        <v>0.10680000000000001</v>
      </c>
      <c r="T1439">
        <v>6.7000000000000002E-3</v>
      </c>
      <c r="U1439">
        <v>-1.7313432835820894</v>
      </c>
      <c r="V1439">
        <v>8.6699999999999999E-2</v>
      </c>
      <c r="W1439">
        <v>9.3400000000000011E-2</v>
      </c>
      <c r="X1439">
        <v>0.10010000000000001</v>
      </c>
      <c r="Y1439">
        <v>0.1135</v>
      </c>
      <c r="Z1439">
        <v>0.1202</v>
      </c>
      <c r="AA1439">
        <v>0.12690000000000001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 t="s">
        <v>462</v>
      </c>
      <c r="AL1439" t="s">
        <v>6</v>
      </c>
      <c r="AM1439" t="s">
        <v>1145</v>
      </c>
      <c r="AN1439" t="s">
        <v>1146</v>
      </c>
      <c r="AO1439" s="100">
        <v>46262.040405092594</v>
      </c>
      <c r="AP1439" t="s">
        <v>1147</v>
      </c>
      <c r="AQ1439" t="s">
        <v>4107</v>
      </c>
      <c r="AR1439" t="s">
        <v>1205</v>
      </c>
      <c r="AS1439" t="s">
        <v>1150</v>
      </c>
      <c r="AT1439" t="s">
        <v>4083</v>
      </c>
      <c r="AU1439">
        <v>25</v>
      </c>
      <c r="AV1439">
        <v>0.10709200000000001</v>
      </c>
      <c r="AW1439">
        <v>6.8489609917612073E-3</v>
      </c>
      <c r="AX1439">
        <v>6.3953992751664055</v>
      </c>
      <c r="BB1439" t="s">
        <v>4620</v>
      </c>
      <c r="BD1439" s="98"/>
      <c r="BE1439" s="98"/>
      <c r="BF1439" t="s">
        <v>1152</v>
      </c>
      <c r="BG1439" t="s">
        <v>322</v>
      </c>
      <c r="BH1439" t="s">
        <v>1153</v>
      </c>
      <c r="BN1439" t="s">
        <v>1154</v>
      </c>
      <c r="BO1439">
        <v>2025</v>
      </c>
      <c r="BP1439" t="s">
        <v>966</v>
      </c>
      <c r="BZ1439" t="s">
        <v>1513</v>
      </c>
      <c r="CA1439" t="s">
        <v>1513</v>
      </c>
      <c r="CB1439" t="b">
        <v>0</v>
      </c>
      <c r="CC1439" t="b">
        <v>0</v>
      </c>
      <c r="CD1439" t="b">
        <v>0</v>
      </c>
      <c r="CE1439" t="b">
        <v>0</v>
      </c>
      <c r="CF1439" t="b">
        <v>0</v>
      </c>
    </row>
    <row r="1440" spans="1:84" x14ac:dyDescent="0.3">
      <c r="A1440" t="s">
        <v>4108</v>
      </c>
      <c r="B1440" t="s">
        <v>1207</v>
      </c>
      <c r="C1440" s="98">
        <v>45754</v>
      </c>
      <c r="D1440">
        <v>2025</v>
      </c>
      <c r="E1440">
        <v>4</v>
      </c>
      <c r="F1440">
        <v>2</v>
      </c>
      <c r="G1440" t="s">
        <v>1208</v>
      </c>
      <c r="H1440" t="s">
        <v>151</v>
      </c>
      <c r="I1440" t="s">
        <v>151</v>
      </c>
      <c r="J1440" t="s">
        <v>6</v>
      </c>
      <c r="L1440">
        <v>522611</v>
      </c>
      <c r="M1440" s="99" t="s">
        <v>178</v>
      </c>
      <c r="N1440">
        <v>1</v>
      </c>
      <c r="O1440">
        <v>14</v>
      </c>
      <c r="P1440">
        <v>0.10390000000000001</v>
      </c>
      <c r="Q1440" t="s">
        <v>352</v>
      </c>
      <c r="R1440">
        <v>1</v>
      </c>
      <c r="S1440">
        <v>0.10680000000000001</v>
      </c>
      <c r="T1440">
        <v>6.7000000000000002E-3</v>
      </c>
      <c r="U1440">
        <v>-0.43283582089552236</v>
      </c>
      <c r="V1440">
        <v>8.6699999999999999E-2</v>
      </c>
      <c r="W1440">
        <v>9.3400000000000011E-2</v>
      </c>
      <c r="X1440">
        <v>0.10010000000000001</v>
      </c>
      <c r="Y1440">
        <v>0.1135</v>
      </c>
      <c r="Z1440">
        <v>0.1202</v>
      </c>
      <c r="AA1440">
        <v>0.12690000000000001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 t="s">
        <v>462</v>
      </c>
      <c r="AL1440" t="s">
        <v>6</v>
      </c>
      <c r="AM1440" t="s">
        <v>1145</v>
      </c>
      <c r="AN1440" t="s">
        <v>1146</v>
      </c>
      <c r="AO1440" s="100">
        <v>46262.040405092594</v>
      </c>
      <c r="AP1440" t="s">
        <v>1147</v>
      </c>
      <c r="AQ1440" t="s">
        <v>4109</v>
      </c>
      <c r="AR1440" t="s">
        <v>1210</v>
      </c>
      <c r="AS1440" t="s">
        <v>1150</v>
      </c>
      <c r="AT1440" t="s">
        <v>4083</v>
      </c>
      <c r="AU1440">
        <v>25</v>
      </c>
      <c r="AV1440">
        <v>0.10709200000000001</v>
      </c>
      <c r="AW1440">
        <v>6.8489609917612073E-3</v>
      </c>
      <c r="AX1440">
        <v>6.3953992751664055</v>
      </c>
      <c r="BB1440" t="s">
        <v>4620</v>
      </c>
      <c r="BD1440" s="98"/>
      <c r="BE1440" s="98"/>
      <c r="BF1440" t="s">
        <v>1152</v>
      </c>
      <c r="BG1440" t="s">
        <v>322</v>
      </c>
      <c r="BH1440" t="s">
        <v>1153</v>
      </c>
      <c r="BN1440" t="s">
        <v>1154</v>
      </c>
      <c r="BO1440">
        <v>2025</v>
      </c>
      <c r="BP1440" t="s">
        <v>966</v>
      </c>
      <c r="BZ1440" t="s">
        <v>1513</v>
      </c>
      <c r="CA1440" t="s">
        <v>1513</v>
      </c>
      <c r="CB1440" t="b">
        <v>0</v>
      </c>
      <c r="CC1440" t="b">
        <v>0</v>
      </c>
      <c r="CD1440" t="b">
        <v>0</v>
      </c>
      <c r="CE1440" t="b">
        <v>0</v>
      </c>
      <c r="CF1440" t="b">
        <v>0</v>
      </c>
    </row>
    <row r="1441" spans="1:84" x14ac:dyDescent="0.3">
      <c r="A1441" t="s">
        <v>4110</v>
      </c>
      <c r="B1441" t="s">
        <v>1212</v>
      </c>
      <c r="C1441" s="98">
        <v>45761</v>
      </c>
      <c r="D1441">
        <v>2025</v>
      </c>
      <c r="E1441">
        <v>4</v>
      </c>
      <c r="F1441">
        <v>2</v>
      </c>
      <c r="G1441" t="s">
        <v>1208</v>
      </c>
      <c r="H1441" t="s">
        <v>151</v>
      </c>
      <c r="I1441" t="s">
        <v>151</v>
      </c>
      <c r="J1441" t="s">
        <v>6</v>
      </c>
      <c r="L1441">
        <v>522611</v>
      </c>
      <c r="M1441" s="99" t="s">
        <v>178</v>
      </c>
      <c r="N1441">
        <v>1</v>
      </c>
      <c r="O1441">
        <v>15</v>
      </c>
      <c r="P1441">
        <v>9.7199999999999995E-2</v>
      </c>
      <c r="Q1441" t="s">
        <v>352</v>
      </c>
      <c r="R1441">
        <v>1</v>
      </c>
      <c r="S1441">
        <v>0.10680000000000001</v>
      </c>
      <c r="T1441">
        <v>6.7000000000000002E-3</v>
      </c>
      <c r="U1441">
        <v>-1.4328358208955241</v>
      </c>
      <c r="V1441">
        <v>8.6699999999999999E-2</v>
      </c>
      <c r="W1441">
        <v>9.3400000000000011E-2</v>
      </c>
      <c r="X1441">
        <v>0.10010000000000001</v>
      </c>
      <c r="Y1441">
        <v>0.1135</v>
      </c>
      <c r="Z1441">
        <v>0.1202</v>
      </c>
      <c r="AA1441">
        <v>0.12690000000000001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 t="s">
        <v>462</v>
      </c>
      <c r="AL1441" t="s">
        <v>6</v>
      </c>
      <c r="AM1441" t="s">
        <v>1145</v>
      </c>
      <c r="AN1441" t="s">
        <v>1146</v>
      </c>
      <c r="AO1441" s="100">
        <v>46262.040405092594</v>
      </c>
      <c r="AP1441" t="s">
        <v>1147</v>
      </c>
      <c r="AQ1441" t="s">
        <v>4111</v>
      </c>
      <c r="AR1441" t="s">
        <v>1215</v>
      </c>
      <c r="AS1441" t="s">
        <v>1150</v>
      </c>
      <c r="AT1441" t="s">
        <v>4083</v>
      </c>
      <c r="AU1441">
        <v>25</v>
      </c>
      <c r="AV1441">
        <v>0.10709200000000001</v>
      </c>
      <c r="AW1441">
        <v>6.8489609917612073E-3</v>
      </c>
      <c r="AX1441">
        <v>6.3953992751664055</v>
      </c>
      <c r="BB1441" t="s">
        <v>4620</v>
      </c>
      <c r="BD1441" s="98"/>
      <c r="BE1441" s="98"/>
      <c r="BF1441" t="s">
        <v>1152</v>
      </c>
      <c r="BG1441" t="s">
        <v>322</v>
      </c>
      <c r="BH1441" t="s">
        <v>1153</v>
      </c>
      <c r="BN1441" t="s">
        <v>1154</v>
      </c>
      <c r="BO1441">
        <v>2025</v>
      </c>
      <c r="BP1441" t="s">
        <v>966</v>
      </c>
      <c r="BZ1441" t="s">
        <v>1513</v>
      </c>
      <c r="CA1441" t="s">
        <v>1513</v>
      </c>
      <c r="CB1441" t="b">
        <v>0</v>
      </c>
      <c r="CC1441" t="b">
        <v>0</v>
      </c>
      <c r="CD1441" t="b">
        <v>0</v>
      </c>
      <c r="CE1441" t="b">
        <v>0</v>
      </c>
      <c r="CF1441" t="b">
        <v>0</v>
      </c>
    </row>
    <row r="1442" spans="1:84" x14ac:dyDescent="0.3">
      <c r="A1442" t="s">
        <v>4112</v>
      </c>
      <c r="B1442" t="s">
        <v>1217</v>
      </c>
      <c r="C1442" s="98">
        <v>45768</v>
      </c>
      <c r="D1442">
        <v>2025</v>
      </c>
      <c r="E1442">
        <v>4</v>
      </c>
      <c r="F1442">
        <v>2</v>
      </c>
      <c r="G1442" t="s">
        <v>1208</v>
      </c>
      <c r="H1442" t="s">
        <v>151</v>
      </c>
      <c r="I1442" t="s">
        <v>151</v>
      </c>
      <c r="J1442" t="s">
        <v>6</v>
      </c>
      <c r="L1442">
        <v>522611</v>
      </c>
      <c r="M1442" s="99" t="s">
        <v>178</v>
      </c>
      <c r="N1442">
        <v>1</v>
      </c>
      <c r="O1442">
        <v>16</v>
      </c>
      <c r="P1442">
        <v>0.10589999999999999</v>
      </c>
      <c r="Q1442" t="s">
        <v>352</v>
      </c>
      <c r="R1442">
        <v>1</v>
      </c>
      <c r="S1442">
        <v>0.10680000000000001</v>
      </c>
      <c r="T1442">
        <v>6.7000000000000002E-3</v>
      </c>
      <c r="U1442">
        <v>-0.134328358208957</v>
      </c>
      <c r="V1442">
        <v>8.6699999999999999E-2</v>
      </c>
      <c r="W1442">
        <v>9.3400000000000011E-2</v>
      </c>
      <c r="X1442">
        <v>0.10010000000000001</v>
      </c>
      <c r="Y1442">
        <v>0.1135</v>
      </c>
      <c r="Z1442">
        <v>0.1202</v>
      </c>
      <c r="AA1442">
        <v>0.12690000000000001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 t="s">
        <v>462</v>
      </c>
      <c r="AL1442" t="s">
        <v>6</v>
      </c>
      <c r="AM1442" t="s">
        <v>1145</v>
      </c>
      <c r="AN1442" t="s">
        <v>1146</v>
      </c>
      <c r="AO1442" s="100">
        <v>46262.040405092594</v>
      </c>
      <c r="AP1442" t="s">
        <v>1147</v>
      </c>
      <c r="AQ1442" t="s">
        <v>4113</v>
      </c>
      <c r="AR1442" t="s">
        <v>1219</v>
      </c>
      <c r="AS1442" t="s">
        <v>1150</v>
      </c>
      <c r="AT1442" t="s">
        <v>4083</v>
      </c>
      <c r="AU1442">
        <v>25</v>
      </c>
      <c r="AV1442">
        <v>0.10709200000000001</v>
      </c>
      <c r="AW1442">
        <v>6.8489609917612073E-3</v>
      </c>
      <c r="AX1442">
        <v>6.3953992751664055</v>
      </c>
      <c r="BB1442" t="s">
        <v>4620</v>
      </c>
      <c r="BD1442" s="98"/>
      <c r="BE1442" s="98"/>
      <c r="BF1442" t="s">
        <v>1152</v>
      </c>
      <c r="BG1442" t="s">
        <v>322</v>
      </c>
      <c r="BH1442" t="s">
        <v>1153</v>
      </c>
      <c r="BN1442" t="s">
        <v>1154</v>
      </c>
      <c r="BO1442">
        <v>2025</v>
      </c>
      <c r="BP1442" t="s">
        <v>966</v>
      </c>
      <c r="BZ1442" t="s">
        <v>1513</v>
      </c>
      <c r="CA1442" t="s">
        <v>1513</v>
      </c>
      <c r="CB1442" t="b">
        <v>0</v>
      </c>
      <c r="CC1442" t="b">
        <v>0</v>
      </c>
      <c r="CD1442" t="b">
        <v>0</v>
      </c>
      <c r="CE1442" t="b">
        <v>0</v>
      </c>
      <c r="CF1442" t="b">
        <v>0</v>
      </c>
    </row>
    <row r="1443" spans="1:84" x14ac:dyDescent="0.3">
      <c r="A1443" t="s">
        <v>4114</v>
      </c>
      <c r="B1443" t="s">
        <v>1221</v>
      </c>
      <c r="C1443" s="98">
        <v>45775</v>
      </c>
      <c r="D1443">
        <v>2025</v>
      </c>
      <c r="E1443">
        <v>4</v>
      </c>
      <c r="F1443">
        <v>2</v>
      </c>
      <c r="G1443" t="s">
        <v>1208</v>
      </c>
      <c r="H1443" t="s">
        <v>151</v>
      </c>
      <c r="I1443" t="s">
        <v>151</v>
      </c>
      <c r="J1443" t="s">
        <v>6</v>
      </c>
      <c r="L1443">
        <v>522611</v>
      </c>
      <c r="M1443" s="99" t="s">
        <v>178</v>
      </c>
      <c r="N1443">
        <v>1</v>
      </c>
      <c r="O1443">
        <v>17</v>
      </c>
      <c r="P1443">
        <v>0.1004</v>
      </c>
      <c r="Q1443" t="s">
        <v>352</v>
      </c>
      <c r="R1443">
        <v>1</v>
      </c>
      <c r="S1443">
        <v>0.10680000000000001</v>
      </c>
      <c r="T1443">
        <v>6.7000000000000002E-3</v>
      </c>
      <c r="U1443">
        <v>-0.95522388059701535</v>
      </c>
      <c r="V1443">
        <v>8.6699999999999999E-2</v>
      </c>
      <c r="W1443">
        <v>9.3400000000000011E-2</v>
      </c>
      <c r="X1443">
        <v>0.10010000000000001</v>
      </c>
      <c r="Y1443">
        <v>0.1135</v>
      </c>
      <c r="Z1443">
        <v>0.1202</v>
      </c>
      <c r="AA1443">
        <v>0.12690000000000001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 t="s">
        <v>462</v>
      </c>
      <c r="AL1443" t="s">
        <v>6</v>
      </c>
      <c r="AM1443" t="s">
        <v>1145</v>
      </c>
      <c r="AN1443" t="s">
        <v>1146</v>
      </c>
      <c r="AO1443" s="100">
        <v>46262.040405092594</v>
      </c>
      <c r="AP1443" t="s">
        <v>1147</v>
      </c>
      <c r="AQ1443" t="s">
        <v>4115</v>
      </c>
      <c r="AR1443" t="s">
        <v>1223</v>
      </c>
      <c r="AS1443" t="s">
        <v>1150</v>
      </c>
      <c r="AT1443" t="s">
        <v>4083</v>
      </c>
      <c r="AU1443">
        <v>25</v>
      </c>
      <c r="AV1443">
        <v>0.10709200000000001</v>
      </c>
      <c r="AW1443">
        <v>6.8489609917612073E-3</v>
      </c>
      <c r="AX1443">
        <v>6.3953992751664055</v>
      </c>
      <c r="BB1443" t="s">
        <v>4620</v>
      </c>
      <c r="BD1443" s="98"/>
      <c r="BE1443" s="98"/>
      <c r="BF1443" t="s">
        <v>1152</v>
      </c>
      <c r="BG1443" t="s">
        <v>322</v>
      </c>
      <c r="BH1443" t="s">
        <v>1153</v>
      </c>
      <c r="BN1443" t="s">
        <v>1154</v>
      </c>
      <c r="BO1443">
        <v>2025</v>
      </c>
      <c r="BP1443" t="s">
        <v>966</v>
      </c>
      <c r="BZ1443" t="s">
        <v>1513</v>
      </c>
      <c r="CA1443" t="s">
        <v>1513</v>
      </c>
      <c r="CB1443" t="b">
        <v>0</v>
      </c>
      <c r="CC1443" t="b">
        <v>0</v>
      </c>
      <c r="CD1443" t="b">
        <v>0</v>
      </c>
      <c r="CE1443" t="b">
        <v>0</v>
      </c>
      <c r="CF1443" t="b">
        <v>0</v>
      </c>
    </row>
    <row r="1444" spans="1:84" x14ac:dyDescent="0.3">
      <c r="A1444" t="s">
        <v>4116</v>
      </c>
      <c r="B1444" t="s">
        <v>1225</v>
      </c>
      <c r="C1444" s="98">
        <v>45782</v>
      </c>
      <c r="D1444">
        <v>2025</v>
      </c>
      <c r="E1444">
        <v>5</v>
      </c>
      <c r="F1444">
        <v>2</v>
      </c>
      <c r="G1444" t="s">
        <v>1226</v>
      </c>
      <c r="H1444" t="s">
        <v>151</v>
      </c>
      <c r="I1444" t="s">
        <v>151</v>
      </c>
      <c r="J1444" t="s">
        <v>6</v>
      </c>
      <c r="L1444">
        <v>522611</v>
      </c>
      <c r="M1444" s="99" t="s">
        <v>178</v>
      </c>
      <c r="N1444">
        <v>1</v>
      </c>
      <c r="O1444">
        <v>18</v>
      </c>
      <c r="P1444">
        <v>0.1075</v>
      </c>
      <c r="Q1444" t="s">
        <v>352</v>
      </c>
      <c r="R1444">
        <v>1</v>
      </c>
      <c r="S1444">
        <v>0.10680000000000001</v>
      </c>
      <c r="T1444">
        <v>6.7000000000000002E-3</v>
      </c>
      <c r="U1444">
        <v>0.10447761194029735</v>
      </c>
      <c r="V1444">
        <v>8.6699999999999999E-2</v>
      </c>
      <c r="W1444">
        <v>9.3400000000000011E-2</v>
      </c>
      <c r="X1444">
        <v>0.10010000000000001</v>
      </c>
      <c r="Y1444">
        <v>0.1135</v>
      </c>
      <c r="Z1444">
        <v>0.1202</v>
      </c>
      <c r="AA1444">
        <v>0.12690000000000001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 t="s">
        <v>462</v>
      </c>
      <c r="AL1444" t="s">
        <v>6</v>
      </c>
      <c r="AM1444" t="s">
        <v>1145</v>
      </c>
      <c r="AN1444" t="s">
        <v>1146</v>
      </c>
      <c r="AO1444" s="100">
        <v>46262.040405092594</v>
      </c>
      <c r="AP1444" t="s">
        <v>1147</v>
      </c>
      <c r="AQ1444" t="s">
        <v>4117</v>
      </c>
      <c r="AR1444" t="s">
        <v>1228</v>
      </c>
      <c r="AS1444" t="s">
        <v>1150</v>
      </c>
      <c r="AT1444" t="s">
        <v>4083</v>
      </c>
      <c r="AU1444">
        <v>25</v>
      </c>
      <c r="AV1444">
        <v>0.10709200000000001</v>
      </c>
      <c r="AW1444">
        <v>6.8489609917612073E-3</v>
      </c>
      <c r="AX1444">
        <v>6.3953992751664055</v>
      </c>
      <c r="BB1444" t="s">
        <v>4620</v>
      </c>
      <c r="BD1444" s="98"/>
      <c r="BE1444" s="98"/>
      <c r="BF1444" t="s">
        <v>1152</v>
      </c>
      <c r="BG1444" t="s">
        <v>322</v>
      </c>
      <c r="BH1444" t="s">
        <v>1153</v>
      </c>
      <c r="BN1444" t="s">
        <v>1154</v>
      </c>
      <c r="BO1444">
        <v>2025</v>
      </c>
      <c r="BP1444" t="s">
        <v>966</v>
      </c>
      <c r="BZ1444" t="s">
        <v>1513</v>
      </c>
      <c r="CA1444" t="s">
        <v>1513</v>
      </c>
      <c r="CB1444" t="b">
        <v>0</v>
      </c>
      <c r="CC1444" t="b">
        <v>0</v>
      </c>
      <c r="CD1444" t="b">
        <v>0</v>
      </c>
      <c r="CE1444" t="b">
        <v>0</v>
      </c>
      <c r="CF1444" t="b">
        <v>0</v>
      </c>
    </row>
    <row r="1445" spans="1:84" x14ac:dyDescent="0.3">
      <c r="A1445" t="s">
        <v>4118</v>
      </c>
      <c r="B1445" t="s">
        <v>1230</v>
      </c>
      <c r="C1445" s="98">
        <v>45789</v>
      </c>
      <c r="D1445">
        <v>2025</v>
      </c>
      <c r="E1445">
        <v>5</v>
      </c>
      <c r="F1445">
        <v>2</v>
      </c>
      <c r="G1445" t="s">
        <v>1226</v>
      </c>
      <c r="H1445" t="s">
        <v>151</v>
      </c>
      <c r="I1445" t="s">
        <v>151</v>
      </c>
      <c r="J1445" t="s">
        <v>6</v>
      </c>
      <c r="L1445">
        <v>522611</v>
      </c>
      <c r="M1445" s="99" t="s">
        <v>178</v>
      </c>
      <c r="N1445">
        <v>1</v>
      </c>
      <c r="O1445">
        <v>19</v>
      </c>
      <c r="P1445">
        <v>0.1099</v>
      </c>
      <c r="Q1445" t="s">
        <v>352</v>
      </c>
      <c r="R1445">
        <v>1</v>
      </c>
      <c r="S1445">
        <v>0.10680000000000001</v>
      </c>
      <c r="T1445">
        <v>6.7000000000000002E-3</v>
      </c>
      <c r="U1445">
        <v>0.46268656716417783</v>
      </c>
      <c r="V1445">
        <v>8.6699999999999999E-2</v>
      </c>
      <c r="W1445">
        <v>9.3400000000000011E-2</v>
      </c>
      <c r="X1445">
        <v>0.10010000000000001</v>
      </c>
      <c r="Y1445">
        <v>0.1135</v>
      </c>
      <c r="Z1445">
        <v>0.1202</v>
      </c>
      <c r="AA1445">
        <v>0.12690000000000001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 t="s">
        <v>462</v>
      </c>
      <c r="AL1445" t="s">
        <v>6</v>
      </c>
      <c r="AM1445" t="s">
        <v>1145</v>
      </c>
      <c r="AN1445" t="s">
        <v>1146</v>
      </c>
      <c r="AO1445" s="100">
        <v>46262.040405092594</v>
      </c>
      <c r="AP1445" t="s">
        <v>1147</v>
      </c>
      <c r="AQ1445" t="s">
        <v>4119</v>
      </c>
      <c r="AR1445" t="s">
        <v>1232</v>
      </c>
      <c r="AS1445" t="s">
        <v>1150</v>
      </c>
      <c r="AT1445" t="s">
        <v>4083</v>
      </c>
      <c r="AU1445">
        <v>25</v>
      </c>
      <c r="AV1445">
        <v>0.10709200000000001</v>
      </c>
      <c r="AW1445">
        <v>6.8489609917612073E-3</v>
      </c>
      <c r="AX1445">
        <v>6.3953992751664055</v>
      </c>
      <c r="BB1445" t="s">
        <v>4620</v>
      </c>
      <c r="BD1445" s="98"/>
      <c r="BE1445" s="98"/>
      <c r="BF1445" t="s">
        <v>1152</v>
      </c>
      <c r="BG1445" t="s">
        <v>322</v>
      </c>
      <c r="BH1445" t="s">
        <v>1153</v>
      </c>
      <c r="BN1445" t="s">
        <v>1154</v>
      </c>
      <c r="BO1445">
        <v>2025</v>
      </c>
      <c r="BP1445" t="s">
        <v>966</v>
      </c>
      <c r="BZ1445" t="s">
        <v>1513</v>
      </c>
      <c r="CA1445" t="s">
        <v>1513</v>
      </c>
      <c r="CB1445" t="b">
        <v>0</v>
      </c>
      <c r="CC1445" t="b">
        <v>0</v>
      </c>
      <c r="CD1445" t="b">
        <v>0</v>
      </c>
      <c r="CE1445" t="b">
        <v>0</v>
      </c>
      <c r="CF1445" t="b">
        <v>0</v>
      </c>
    </row>
    <row r="1446" spans="1:84" x14ac:dyDescent="0.3">
      <c r="A1446" t="s">
        <v>4120</v>
      </c>
      <c r="B1446" t="s">
        <v>1234</v>
      </c>
      <c r="C1446" s="98">
        <v>45796</v>
      </c>
      <c r="D1446">
        <v>2025</v>
      </c>
      <c r="E1446">
        <v>5</v>
      </c>
      <c r="F1446">
        <v>2</v>
      </c>
      <c r="G1446" t="s">
        <v>1226</v>
      </c>
      <c r="H1446" t="s">
        <v>151</v>
      </c>
      <c r="I1446" t="s">
        <v>151</v>
      </c>
      <c r="J1446" t="s">
        <v>6</v>
      </c>
      <c r="L1446">
        <v>522611</v>
      </c>
      <c r="M1446" s="99" t="s">
        <v>178</v>
      </c>
      <c r="N1446">
        <v>1</v>
      </c>
      <c r="O1446">
        <v>20</v>
      </c>
      <c r="P1446">
        <v>9.7299999999999998E-2</v>
      </c>
      <c r="Q1446" t="s">
        <v>352</v>
      </c>
      <c r="R1446">
        <v>1</v>
      </c>
      <c r="S1446">
        <v>0.10680000000000001</v>
      </c>
      <c r="T1446">
        <v>6.7000000000000002E-3</v>
      </c>
      <c r="U1446">
        <v>-1.4179104477611952</v>
      </c>
      <c r="V1446">
        <v>8.6699999999999999E-2</v>
      </c>
      <c r="W1446">
        <v>9.3400000000000011E-2</v>
      </c>
      <c r="X1446">
        <v>0.10010000000000001</v>
      </c>
      <c r="Y1446">
        <v>0.1135</v>
      </c>
      <c r="Z1446">
        <v>0.1202</v>
      </c>
      <c r="AA1446">
        <v>0.12690000000000001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 t="s">
        <v>462</v>
      </c>
      <c r="AL1446" t="s">
        <v>6</v>
      </c>
      <c r="AM1446" t="s">
        <v>1145</v>
      </c>
      <c r="AN1446" t="s">
        <v>1146</v>
      </c>
      <c r="AO1446" s="100">
        <v>46262.040405092594</v>
      </c>
      <c r="AP1446" t="s">
        <v>1147</v>
      </c>
      <c r="AQ1446" t="s">
        <v>4121</v>
      </c>
      <c r="AR1446" t="s">
        <v>1236</v>
      </c>
      <c r="AS1446" t="s">
        <v>1150</v>
      </c>
      <c r="AT1446" t="s">
        <v>4083</v>
      </c>
      <c r="AU1446">
        <v>25</v>
      </c>
      <c r="AV1446">
        <v>0.10709200000000001</v>
      </c>
      <c r="AW1446">
        <v>6.8489609917612073E-3</v>
      </c>
      <c r="AX1446">
        <v>6.3953992751664055</v>
      </c>
      <c r="BB1446" t="s">
        <v>4620</v>
      </c>
      <c r="BD1446" s="98"/>
      <c r="BE1446" s="98"/>
      <c r="BF1446" t="s">
        <v>1152</v>
      </c>
      <c r="BG1446" t="s">
        <v>322</v>
      </c>
      <c r="BH1446" t="s">
        <v>1153</v>
      </c>
      <c r="BN1446" t="s">
        <v>1154</v>
      </c>
      <c r="BO1446">
        <v>2025</v>
      </c>
      <c r="BP1446" t="s">
        <v>966</v>
      </c>
      <c r="BZ1446" t="s">
        <v>1513</v>
      </c>
      <c r="CA1446" t="s">
        <v>1513</v>
      </c>
      <c r="CB1446" t="b">
        <v>0</v>
      </c>
      <c r="CC1446" t="b">
        <v>0</v>
      </c>
      <c r="CD1446" t="b">
        <v>0</v>
      </c>
      <c r="CE1446" t="b">
        <v>0</v>
      </c>
      <c r="CF1446" t="b">
        <v>0</v>
      </c>
    </row>
    <row r="1447" spans="1:84" x14ac:dyDescent="0.3">
      <c r="A1447" t="s">
        <v>4122</v>
      </c>
      <c r="B1447" t="s">
        <v>1238</v>
      </c>
      <c r="C1447" s="98">
        <v>45803</v>
      </c>
      <c r="D1447">
        <v>2025</v>
      </c>
      <c r="E1447">
        <v>5</v>
      </c>
      <c r="F1447">
        <v>2</v>
      </c>
      <c r="G1447" t="s">
        <v>1226</v>
      </c>
      <c r="H1447" t="s">
        <v>151</v>
      </c>
      <c r="I1447" t="s">
        <v>151</v>
      </c>
      <c r="J1447" t="s">
        <v>6</v>
      </c>
      <c r="L1447">
        <v>522611</v>
      </c>
      <c r="M1447" s="99" t="s">
        <v>178</v>
      </c>
      <c r="N1447">
        <v>1</v>
      </c>
      <c r="O1447">
        <v>21</v>
      </c>
      <c r="P1447">
        <v>0.1014</v>
      </c>
      <c r="Q1447" t="s">
        <v>352</v>
      </c>
      <c r="R1447">
        <v>1</v>
      </c>
      <c r="S1447">
        <v>0.10680000000000001</v>
      </c>
      <c r="T1447">
        <v>6.7000000000000002E-3</v>
      </c>
      <c r="U1447">
        <v>-0.80597014925373167</v>
      </c>
      <c r="V1447">
        <v>8.6699999999999999E-2</v>
      </c>
      <c r="W1447">
        <v>9.3400000000000011E-2</v>
      </c>
      <c r="X1447">
        <v>0.10010000000000001</v>
      </c>
      <c r="Y1447">
        <v>0.1135</v>
      </c>
      <c r="Z1447">
        <v>0.1202</v>
      </c>
      <c r="AA1447">
        <v>0.12690000000000001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 t="s">
        <v>462</v>
      </c>
      <c r="AL1447" t="s">
        <v>6</v>
      </c>
      <c r="AM1447" t="s">
        <v>1145</v>
      </c>
      <c r="AN1447" t="s">
        <v>1146</v>
      </c>
      <c r="AO1447" s="100">
        <v>46262.040405092594</v>
      </c>
      <c r="AP1447" t="s">
        <v>1147</v>
      </c>
      <c r="AQ1447" t="s">
        <v>4123</v>
      </c>
      <c r="AR1447" t="s">
        <v>1240</v>
      </c>
      <c r="AS1447" t="s">
        <v>1150</v>
      </c>
      <c r="AT1447" t="s">
        <v>4083</v>
      </c>
      <c r="AU1447">
        <v>25</v>
      </c>
      <c r="AV1447">
        <v>0.10709200000000001</v>
      </c>
      <c r="AW1447">
        <v>6.8489609917612073E-3</v>
      </c>
      <c r="AX1447">
        <v>6.3953992751664055</v>
      </c>
      <c r="BB1447" t="s">
        <v>4620</v>
      </c>
      <c r="BD1447" s="98"/>
      <c r="BE1447" s="98"/>
      <c r="BF1447" t="s">
        <v>1152</v>
      </c>
      <c r="BG1447" t="s">
        <v>322</v>
      </c>
      <c r="BH1447" t="s">
        <v>1153</v>
      </c>
      <c r="BN1447" t="s">
        <v>1154</v>
      </c>
      <c r="BO1447">
        <v>2025</v>
      </c>
      <c r="BP1447" t="s">
        <v>966</v>
      </c>
      <c r="BZ1447" t="s">
        <v>1513</v>
      </c>
      <c r="CA1447" t="s">
        <v>1513</v>
      </c>
      <c r="CB1447" t="b">
        <v>0</v>
      </c>
      <c r="CC1447" t="b">
        <v>0</v>
      </c>
      <c r="CD1447" t="b">
        <v>0</v>
      </c>
      <c r="CE1447" t="b">
        <v>0</v>
      </c>
      <c r="CF1447" t="b">
        <v>0</v>
      </c>
    </row>
    <row r="1448" spans="1:84" x14ac:dyDescent="0.3">
      <c r="A1448" t="s">
        <v>4124</v>
      </c>
      <c r="B1448" t="s">
        <v>1242</v>
      </c>
      <c r="C1448" s="98">
        <v>45810</v>
      </c>
      <c r="D1448">
        <v>2025</v>
      </c>
      <c r="E1448">
        <v>6</v>
      </c>
      <c r="F1448">
        <v>2</v>
      </c>
      <c r="G1448" t="s">
        <v>1243</v>
      </c>
      <c r="H1448" t="s">
        <v>151</v>
      </c>
      <c r="I1448" t="s">
        <v>151</v>
      </c>
      <c r="J1448" t="s">
        <v>6</v>
      </c>
      <c r="L1448">
        <v>522611</v>
      </c>
      <c r="M1448" s="99" t="s">
        <v>178</v>
      </c>
      <c r="N1448">
        <v>1</v>
      </c>
      <c r="O1448">
        <v>22</v>
      </c>
      <c r="P1448">
        <v>0.10050000000000001</v>
      </c>
      <c r="Q1448" t="s">
        <v>352</v>
      </c>
      <c r="R1448">
        <v>1</v>
      </c>
      <c r="S1448">
        <v>0.10680000000000001</v>
      </c>
      <c r="T1448">
        <v>6.7000000000000002E-3</v>
      </c>
      <c r="U1448">
        <v>-0.94029850746268651</v>
      </c>
      <c r="V1448">
        <v>8.6699999999999999E-2</v>
      </c>
      <c r="W1448">
        <v>9.3400000000000011E-2</v>
      </c>
      <c r="X1448">
        <v>0.10010000000000001</v>
      </c>
      <c r="Y1448">
        <v>0.1135</v>
      </c>
      <c r="Z1448">
        <v>0.1202</v>
      </c>
      <c r="AA1448">
        <v>0.12690000000000001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 t="s">
        <v>462</v>
      </c>
      <c r="AL1448" t="s">
        <v>6</v>
      </c>
      <c r="AM1448" t="s">
        <v>1145</v>
      </c>
      <c r="AN1448" t="s">
        <v>1146</v>
      </c>
      <c r="AO1448" s="100">
        <v>46262.040405092594</v>
      </c>
      <c r="AP1448" t="s">
        <v>1147</v>
      </c>
      <c r="AQ1448" t="s">
        <v>4125</v>
      </c>
      <c r="AR1448" t="s">
        <v>1245</v>
      </c>
      <c r="AS1448" t="s">
        <v>1150</v>
      </c>
      <c r="AT1448" t="s">
        <v>4083</v>
      </c>
      <c r="AU1448">
        <v>25</v>
      </c>
      <c r="AV1448">
        <v>0.10709200000000001</v>
      </c>
      <c r="AW1448">
        <v>6.8489609917612073E-3</v>
      </c>
      <c r="AX1448">
        <v>6.3953992751664055</v>
      </c>
      <c r="BB1448" t="s">
        <v>4620</v>
      </c>
      <c r="BD1448" s="98"/>
      <c r="BE1448" s="98"/>
      <c r="BF1448" t="s">
        <v>1152</v>
      </c>
      <c r="BG1448" t="s">
        <v>322</v>
      </c>
      <c r="BH1448" t="s">
        <v>1153</v>
      </c>
      <c r="BN1448" t="s">
        <v>1154</v>
      </c>
      <c r="BO1448">
        <v>2025</v>
      </c>
      <c r="BP1448" t="s">
        <v>966</v>
      </c>
      <c r="BZ1448" t="s">
        <v>1513</v>
      </c>
      <c r="CA1448" t="s">
        <v>1513</v>
      </c>
      <c r="CB1448" t="b">
        <v>0</v>
      </c>
      <c r="CC1448" t="b">
        <v>0</v>
      </c>
      <c r="CD1448" t="b">
        <v>0</v>
      </c>
      <c r="CE1448" t="b">
        <v>0</v>
      </c>
      <c r="CF1448" t="b">
        <v>0</v>
      </c>
    </row>
    <row r="1449" spans="1:84" x14ac:dyDescent="0.3">
      <c r="A1449" t="s">
        <v>4126</v>
      </c>
      <c r="B1449" t="s">
        <v>1247</v>
      </c>
      <c r="C1449" s="98">
        <v>45817</v>
      </c>
      <c r="D1449">
        <v>2025</v>
      </c>
      <c r="E1449">
        <v>6</v>
      </c>
      <c r="F1449">
        <v>2</v>
      </c>
      <c r="G1449" t="s">
        <v>1243</v>
      </c>
      <c r="H1449" t="s">
        <v>151</v>
      </c>
      <c r="I1449" t="s">
        <v>151</v>
      </c>
      <c r="J1449" t="s">
        <v>6</v>
      </c>
      <c r="L1449">
        <v>522611</v>
      </c>
      <c r="M1449" s="99" t="s">
        <v>178</v>
      </c>
      <c r="N1449">
        <v>1</v>
      </c>
      <c r="O1449">
        <v>23</v>
      </c>
      <c r="P1449">
        <v>0.1119</v>
      </c>
      <c r="Q1449" t="s">
        <v>352</v>
      </c>
      <c r="R1449">
        <v>1</v>
      </c>
      <c r="S1449">
        <v>0.10680000000000001</v>
      </c>
      <c r="T1449">
        <v>6.7000000000000002E-3</v>
      </c>
      <c r="U1449">
        <v>0.76119402985074525</v>
      </c>
      <c r="V1449">
        <v>8.6699999999999999E-2</v>
      </c>
      <c r="W1449">
        <v>9.3400000000000011E-2</v>
      </c>
      <c r="X1449">
        <v>0.10010000000000001</v>
      </c>
      <c r="Y1449">
        <v>0.1135</v>
      </c>
      <c r="Z1449">
        <v>0.1202</v>
      </c>
      <c r="AA1449">
        <v>0.12690000000000001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 t="s">
        <v>462</v>
      </c>
      <c r="AL1449" t="s">
        <v>6</v>
      </c>
      <c r="AM1449" t="s">
        <v>1145</v>
      </c>
      <c r="AN1449" t="s">
        <v>1146</v>
      </c>
      <c r="AO1449" s="100">
        <v>46262.040405092594</v>
      </c>
      <c r="AP1449" t="s">
        <v>1147</v>
      </c>
      <c r="AQ1449" t="s">
        <v>4127</v>
      </c>
      <c r="AR1449" t="s">
        <v>1249</v>
      </c>
      <c r="AS1449" t="s">
        <v>1150</v>
      </c>
      <c r="AT1449" t="s">
        <v>4083</v>
      </c>
      <c r="AU1449">
        <v>25</v>
      </c>
      <c r="AV1449">
        <v>0.10709200000000001</v>
      </c>
      <c r="AW1449">
        <v>6.8489609917612073E-3</v>
      </c>
      <c r="AX1449">
        <v>6.3953992751664055</v>
      </c>
      <c r="BB1449" t="s">
        <v>4620</v>
      </c>
      <c r="BD1449" s="98"/>
      <c r="BE1449" s="98"/>
      <c r="BF1449" t="s">
        <v>1152</v>
      </c>
      <c r="BG1449" t="s">
        <v>322</v>
      </c>
      <c r="BH1449" t="s">
        <v>1153</v>
      </c>
      <c r="BN1449" t="s">
        <v>1154</v>
      </c>
      <c r="BO1449">
        <v>2025</v>
      </c>
      <c r="BP1449" t="s">
        <v>966</v>
      </c>
      <c r="BZ1449" t="s">
        <v>1513</v>
      </c>
      <c r="CA1449" t="s">
        <v>1513</v>
      </c>
      <c r="CB1449" t="b">
        <v>0</v>
      </c>
      <c r="CC1449" t="b">
        <v>0</v>
      </c>
      <c r="CD1449" t="b">
        <v>0</v>
      </c>
      <c r="CE1449" t="b">
        <v>0</v>
      </c>
      <c r="CF1449" t="b">
        <v>0</v>
      </c>
    </row>
    <row r="1450" spans="1:84" x14ac:dyDescent="0.3">
      <c r="A1450" t="s">
        <v>4128</v>
      </c>
      <c r="B1450" t="s">
        <v>1251</v>
      </c>
      <c r="C1450" s="98">
        <v>45824</v>
      </c>
      <c r="D1450">
        <v>2025</v>
      </c>
      <c r="E1450">
        <v>6</v>
      </c>
      <c r="F1450">
        <v>2</v>
      </c>
      <c r="G1450" t="s">
        <v>1243</v>
      </c>
      <c r="H1450" t="s">
        <v>151</v>
      </c>
      <c r="I1450" t="s">
        <v>151</v>
      </c>
      <c r="J1450" t="s">
        <v>6</v>
      </c>
      <c r="L1450">
        <v>522611</v>
      </c>
      <c r="M1450" s="99" t="s">
        <v>178</v>
      </c>
      <c r="N1450">
        <v>1</v>
      </c>
      <c r="O1450">
        <v>24</v>
      </c>
      <c r="P1450">
        <v>0.1183</v>
      </c>
      <c r="Q1450" t="s">
        <v>352</v>
      </c>
      <c r="R1450">
        <v>1</v>
      </c>
      <c r="S1450">
        <v>0.10680000000000001</v>
      </c>
      <c r="T1450">
        <v>6.7000000000000002E-3</v>
      </c>
      <c r="U1450">
        <v>1.7164179104477606</v>
      </c>
      <c r="V1450">
        <v>8.6699999999999999E-2</v>
      </c>
      <c r="W1450">
        <v>9.3400000000000011E-2</v>
      </c>
      <c r="X1450">
        <v>0.10010000000000001</v>
      </c>
      <c r="Y1450">
        <v>0.1135</v>
      </c>
      <c r="Z1450">
        <v>0.1202</v>
      </c>
      <c r="AA1450">
        <v>0.12690000000000001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 t="s">
        <v>462</v>
      </c>
      <c r="AL1450" t="s">
        <v>6</v>
      </c>
      <c r="AM1450" t="s">
        <v>1145</v>
      </c>
      <c r="AN1450" t="s">
        <v>1146</v>
      </c>
      <c r="AO1450" s="100">
        <v>46262.040405092594</v>
      </c>
      <c r="AP1450" t="s">
        <v>1147</v>
      </c>
      <c r="AQ1450" t="s">
        <v>4129</v>
      </c>
      <c r="AR1450" t="s">
        <v>1253</v>
      </c>
      <c r="AS1450" t="s">
        <v>1150</v>
      </c>
      <c r="AT1450" t="s">
        <v>4083</v>
      </c>
      <c r="AU1450">
        <v>25</v>
      </c>
      <c r="AV1450">
        <v>0.10709200000000001</v>
      </c>
      <c r="AW1450">
        <v>6.8489609917612073E-3</v>
      </c>
      <c r="AX1450">
        <v>6.3953992751664055</v>
      </c>
      <c r="BB1450" t="s">
        <v>4620</v>
      </c>
      <c r="BD1450" s="98"/>
      <c r="BE1450" s="98"/>
      <c r="BF1450" t="s">
        <v>1152</v>
      </c>
      <c r="BG1450" t="s">
        <v>322</v>
      </c>
      <c r="BH1450" t="s">
        <v>1153</v>
      </c>
      <c r="BN1450" t="s">
        <v>1154</v>
      </c>
      <c r="BO1450">
        <v>2025</v>
      </c>
      <c r="BP1450" t="s">
        <v>966</v>
      </c>
      <c r="BZ1450" t="s">
        <v>1513</v>
      </c>
      <c r="CA1450" t="s">
        <v>1513</v>
      </c>
      <c r="CB1450" t="b">
        <v>0</v>
      </c>
      <c r="CC1450" t="b">
        <v>0</v>
      </c>
      <c r="CD1450" t="b">
        <v>0</v>
      </c>
      <c r="CE1450" t="b">
        <v>0</v>
      </c>
      <c r="CF1450" t="b">
        <v>0</v>
      </c>
    </row>
    <row r="1451" spans="1:84" x14ac:dyDescent="0.3">
      <c r="A1451" t="s">
        <v>4130</v>
      </c>
      <c r="B1451" t="s">
        <v>1255</v>
      </c>
      <c r="C1451" s="98">
        <v>45831</v>
      </c>
      <c r="D1451">
        <v>2025</v>
      </c>
      <c r="E1451">
        <v>6</v>
      </c>
      <c r="F1451">
        <v>2</v>
      </c>
      <c r="G1451" t="s">
        <v>1243</v>
      </c>
      <c r="H1451" t="s">
        <v>151</v>
      </c>
      <c r="I1451" t="s">
        <v>151</v>
      </c>
      <c r="J1451" t="s">
        <v>6</v>
      </c>
      <c r="L1451">
        <v>522611</v>
      </c>
      <c r="M1451" s="99" t="s">
        <v>178</v>
      </c>
      <c r="N1451">
        <v>1</v>
      </c>
      <c r="O1451">
        <v>25</v>
      </c>
      <c r="P1451">
        <v>0.11260000000000001</v>
      </c>
      <c r="Q1451" t="s">
        <v>352</v>
      </c>
      <c r="R1451">
        <v>1</v>
      </c>
      <c r="S1451">
        <v>0.10680000000000001</v>
      </c>
      <c r="T1451">
        <v>6.7000000000000002E-3</v>
      </c>
      <c r="U1451">
        <v>0.86567164179104472</v>
      </c>
      <c r="V1451">
        <v>8.6699999999999999E-2</v>
      </c>
      <c r="W1451">
        <v>9.3400000000000011E-2</v>
      </c>
      <c r="X1451">
        <v>0.10010000000000001</v>
      </c>
      <c r="Y1451">
        <v>0.1135</v>
      </c>
      <c r="Z1451">
        <v>0.1202</v>
      </c>
      <c r="AA1451">
        <v>0.12690000000000001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 t="s">
        <v>462</v>
      </c>
      <c r="AL1451" t="s">
        <v>6</v>
      </c>
      <c r="AM1451" t="s">
        <v>1145</v>
      </c>
      <c r="AN1451" t="s">
        <v>1146</v>
      </c>
      <c r="AO1451" s="100">
        <v>46262.040405092594</v>
      </c>
      <c r="AP1451" t="s">
        <v>1147</v>
      </c>
      <c r="AQ1451" t="s">
        <v>4131</v>
      </c>
      <c r="AR1451" t="s">
        <v>1257</v>
      </c>
      <c r="AS1451" t="s">
        <v>1150</v>
      </c>
      <c r="AT1451" t="s">
        <v>4083</v>
      </c>
      <c r="AU1451">
        <v>25</v>
      </c>
      <c r="AV1451">
        <v>0.10709200000000001</v>
      </c>
      <c r="AW1451">
        <v>6.8489609917612073E-3</v>
      </c>
      <c r="AX1451">
        <v>6.3953992751664055</v>
      </c>
      <c r="BB1451" t="s">
        <v>4620</v>
      </c>
      <c r="BD1451" s="98"/>
      <c r="BE1451" s="98"/>
      <c r="BF1451" t="s">
        <v>1152</v>
      </c>
      <c r="BG1451" t="s">
        <v>322</v>
      </c>
      <c r="BH1451" t="s">
        <v>1153</v>
      </c>
      <c r="BN1451" t="s">
        <v>1154</v>
      </c>
      <c r="BO1451">
        <v>2025</v>
      </c>
      <c r="BP1451" t="s">
        <v>966</v>
      </c>
      <c r="BZ1451" t="s">
        <v>1513</v>
      </c>
      <c r="CA1451" t="s">
        <v>1513</v>
      </c>
      <c r="CB1451" t="b">
        <v>0</v>
      </c>
      <c r="CC1451" t="b">
        <v>0</v>
      </c>
      <c r="CD1451" t="b">
        <v>0</v>
      </c>
      <c r="CE1451" t="b">
        <v>0</v>
      </c>
      <c r="CF1451" t="b">
        <v>0</v>
      </c>
    </row>
    <row r="1452" spans="1:84" x14ac:dyDescent="0.3">
      <c r="A1452" t="s">
        <v>4132</v>
      </c>
      <c r="B1452" t="s">
        <v>1143</v>
      </c>
      <c r="C1452" s="98">
        <v>45663</v>
      </c>
      <c r="D1452">
        <v>2025</v>
      </c>
      <c r="E1452">
        <v>1</v>
      </c>
      <c r="F1452">
        <v>1</v>
      </c>
      <c r="G1452" t="s">
        <v>1144</v>
      </c>
      <c r="H1452" t="s">
        <v>151</v>
      </c>
      <c r="I1452" t="s">
        <v>151</v>
      </c>
      <c r="J1452" t="s">
        <v>6</v>
      </c>
      <c r="L1452">
        <v>522611</v>
      </c>
      <c r="M1452" s="99" t="s">
        <v>179</v>
      </c>
      <c r="N1452">
        <v>2</v>
      </c>
      <c r="O1452">
        <v>1</v>
      </c>
      <c r="P1452">
        <v>0.1016</v>
      </c>
      <c r="Q1452" t="s">
        <v>352</v>
      </c>
      <c r="R1452">
        <v>1</v>
      </c>
      <c r="S1452">
        <v>0.1026</v>
      </c>
      <c r="T1452">
        <v>2.7000000000000001E-3</v>
      </c>
      <c r="U1452">
        <v>-0.37037037037037068</v>
      </c>
      <c r="V1452">
        <v>9.4500000000000001E-2</v>
      </c>
      <c r="W1452">
        <v>9.7199999999999995E-2</v>
      </c>
      <c r="X1452">
        <v>9.9900000000000003E-2</v>
      </c>
      <c r="Y1452">
        <v>0.10529999999999999</v>
      </c>
      <c r="Z1452">
        <v>0.108</v>
      </c>
      <c r="AA1452">
        <v>0.11069999999999999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 t="s">
        <v>462</v>
      </c>
      <c r="AL1452" t="s">
        <v>6</v>
      </c>
      <c r="AM1452" t="s">
        <v>1145</v>
      </c>
      <c r="AN1452" t="s">
        <v>1146</v>
      </c>
      <c r="AO1452" s="100">
        <v>46262.040405092594</v>
      </c>
      <c r="AP1452" t="s">
        <v>1147</v>
      </c>
      <c r="AQ1452" t="s">
        <v>4133</v>
      </c>
      <c r="AR1452" t="s">
        <v>1149</v>
      </c>
      <c r="AS1452" t="s">
        <v>1150</v>
      </c>
      <c r="AT1452" t="s">
        <v>4083</v>
      </c>
      <c r="AU1452">
        <v>25</v>
      </c>
      <c r="AV1452">
        <v>0.10256400000000002</v>
      </c>
      <c r="AW1452">
        <v>3.7048256819091139E-3</v>
      </c>
      <c r="AX1452">
        <v>3.6122086520700374</v>
      </c>
      <c r="BB1452" t="s">
        <v>4620</v>
      </c>
      <c r="BD1452" s="98"/>
      <c r="BE1452" s="98"/>
      <c r="BF1452" t="s">
        <v>1152</v>
      </c>
      <c r="BG1452" t="s">
        <v>322</v>
      </c>
      <c r="BH1452" t="s">
        <v>1153</v>
      </c>
      <c r="BN1452" t="s">
        <v>1154</v>
      </c>
      <c r="BO1452">
        <v>2025</v>
      </c>
      <c r="BP1452" t="s">
        <v>966</v>
      </c>
      <c r="BZ1452" t="s">
        <v>1513</v>
      </c>
      <c r="CA1452" t="s">
        <v>1513</v>
      </c>
      <c r="CB1452" t="b">
        <v>0</v>
      </c>
      <c r="CC1452" t="b">
        <v>0</v>
      </c>
      <c r="CD1452" t="b">
        <v>0</v>
      </c>
      <c r="CE1452" t="b">
        <v>0</v>
      </c>
      <c r="CF1452" t="b">
        <v>0</v>
      </c>
    </row>
    <row r="1453" spans="1:84" x14ac:dyDescent="0.3">
      <c r="A1453" t="s">
        <v>4134</v>
      </c>
      <c r="B1453" t="s">
        <v>1157</v>
      </c>
      <c r="C1453" s="98">
        <v>45670</v>
      </c>
      <c r="D1453">
        <v>2025</v>
      </c>
      <c r="E1453">
        <v>1</v>
      </c>
      <c r="F1453">
        <v>1</v>
      </c>
      <c r="G1453" t="s">
        <v>1144</v>
      </c>
      <c r="H1453" t="s">
        <v>151</v>
      </c>
      <c r="I1453" t="s">
        <v>151</v>
      </c>
      <c r="J1453" t="s">
        <v>6</v>
      </c>
      <c r="L1453">
        <v>522611</v>
      </c>
      <c r="M1453" s="99" t="s">
        <v>179</v>
      </c>
      <c r="N1453">
        <v>2</v>
      </c>
      <c r="O1453">
        <v>2</v>
      </c>
      <c r="P1453">
        <v>0.1066</v>
      </c>
      <c r="Q1453" t="s">
        <v>352</v>
      </c>
      <c r="R1453">
        <v>1</v>
      </c>
      <c r="S1453">
        <v>0.1026</v>
      </c>
      <c r="T1453">
        <v>2.7000000000000001E-3</v>
      </c>
      <c r="U1453">
        <v>1.4814814814814827</v>
      </c>
      <c r="V1453">
        <v>9.4500000000000001E-2</v>
      </c>
      <c r="W1453">
        <v>9.7199999999999995E-2</v>
      </c>
      <c r="X1453">
        <v>9.9900000000000003E-2</v>
      </c>
      <c r="Y1453">
        <v>0.10529999999999999</v>
      </c>
      <c r="Z1453">
        <v>0.108</v>
      </c>
      <c r="AA1453">
        <v>0.11069999999999999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 t="s">
        <v>462</v>
      </c>
      <c r="AL1453" t="s">
        <v>6</v>
      </c>
      <c r="AM1453" t="s">
        <v>1145</v>
      </c>
      <c r="AN1453" t="s">
        <v>1146</v>
      </c>
      <c r="AO1453" s="100">
        <v>46262.040405092594</v>
      </c>
      <c r="AP1453" t="s">
        <v>1147</v>
      </c>
      <c r="AQ1453" t="s">
        <v>4135</v>
      </c>
      <c r="AR1453" t="s">
        <v>1159</v>
      </c>
      <c r="AS1453" t="s">
        <v>1150</v>
      </c>
      <c r="AT1453" t="s">
        <v>4083</v>
      </c>
      <c r="AU1453">
        <v>25</v>
      </c>
      <c r="AV1453">
        <v>0.10256400000000002</v>
      </c>
      <c r="AW1453">
        <v>3.7048256819091139E-3</v>
      </c>
      <c r="AX1453">
        <v>3.6122086520700374</v>
      </c>
      <c r="BB1453" t="s">
        <v>4620</v>
      </c>
      <c r="BD1453" s="98"/>
      <c r="BE1453" s="98"/>
      <c r="BF1453" t="s">
        <v>1152</v>
      </c>
      <c r="BG1453" t="s">
        <v>322</v>
      </c>
      <c r="BH1453" t="s">
        <v>1153</v>
      </c>
      <c r="BN1453" t="s">
        <v>1154</v>
      </c>
      <c r="BO1453">
        <v>2025</v>
      </c>
      <c r="BP1453" t="s">
        <v>966</v>
      </c>
      <c r="BZ1453" t="s">
        <v>1513</v>
      </c>
      <c r="CA1453" t="s">
        <v>1513</v>
      </c>
      <c r="CB1453" t="b">
        <v>0</v>
      </c>
      <c r="CC1453" t="b">
        <v>0</v>
      </c>
      <c r="CD1453" t="b">
        <v>0</v>
      </c>
      <c r="CE1453" t="b">
        <v>0</v>
      </c>
      <c r="CF1453" t="b">
        <v>0</v>
      </c>
    </row>
    <row r="1454" spans="1:84" x14ac:dyDescent="0.3">
      <c r="A1454" t="s">
        <v>4136</v>
      </c>
      <c r="B1454" t="s">
        <v>1161</v>
      </c>
      <c r="C1454" s="98">
        <v>45677</v>
      </c>
      <c r="D1454">
        <v>2025</v>
      </c>
      <c r="E1454">
        <v>1</v>
      </c>
      <c r="F1454">
        <v>1</v>
      </c>
      <c r="G1454" t="s">
        <v>1144</v>
      </c>
      <c r="H1454" t="s">
        <v>151</v>
      </c>
      <c r="I1454" t="s">
        <v>151</v>
      </c>
      <c r="J1454" t="s">
        <v>6</v>
      </c>
      <c r="L1454">
        <v>522611</v>
      </c>
      <c r="M1454" s="99" t="s">
        <v>179</v>
      </c>
      <c r="N1454">
        <v>2</v>
      </c>
      <c r="O1454">
        <v>3</v>
      </c>
      <c r="P1454">
        <v>9.8400000000000001E-2</v>
      </c>
      <c r="Q1454" t="s">
        <v>352</v>
      </c>
      <c r="R1454">
        <v>1</v>
      </c>
      <c r="S1454">
        <v>0.1026</v>
      </c>
      <c r="T1454">
        <v>2.7000000000000001E-3</v>
      </c>
      <c r="U1454">
        <v>-1.5555555555555538</v>
      </c>
      <c r="V1454">
        <v>9.4500000000000001E-2</v>
      </c>
      <c r="W1454">
        <v>9.7199999999999995E-2</v>
      </c>
      <c r="X1454">
        <v>9.9900000000000003E-2</v>
      </c>
      <c r="Y1454">
        <v>0.10529999999999999</v>
      </c>
      <c r="Z1454">
        <v>0.108</v>
      </c>
      <c r="AA1454">
        <v>0.11069999999999999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 t="s">
        <v>462</v>
      </c>
      <c r="AL1454" t="s">
        <v>6</v>
      </c>
      <c r="AM1454" t="s">
        <v>1145</v>
      </c>
      <c r="AN1454" t="s">
        <v>1146</v>
      </c>
      <c r="AO1454" s="100">
        <v>46262.040405092594</v>
      </c>
      <c r="AP1454" t="s">
        <v>1147</v>
      </c>
      <c r="AQ1454" t="s">
        <v>4137</v>
      </c>
      <c r="AR1454" t="s">
        <v>1163</v>
      </c>
      <c r="AS1454" t="s">
        <v>1150</v>
      </c>
      <c r="AT1454" t="s">
        <v>4083</v>
      </c>
      <c r="AU1454">
        <v>25</v>
      </c>
      <c r="AV1454">
        <v>0.10256400000000002</v>
      </c>
      <c r="AW1454">
        <v>3.7048256819091139E-3</v>
      </c>
      <c r="AX1454">
        <v>3.6122086520700374</v>
      </c>
      <c r="BB1454" t="s">
        <v>4620</v>
      </c>
      <c r="BD1454" s="98"/>
      <c r="BE1454" s="98"/>
      <c r="BF1454" t="s">
        <v>1152</v>
      </c>
      <c r="BG1454" t="s">
        <v>322</v>
      </c>
      <c r="BH1454" t="s">
        <v>1153</v>
      </c>
      <c r="BN1454" t="s">
        <v>1154</v>
      </c>
      <c r="BO1454">
        <v>2025</v>
      </c>
      <c r="BP1454" t="s">
        <v>966</v>
      </c>
      <c r="BZ1454" t="s">
        <v>1513</v>
      </c>
      <c r="CA1454" t="s">
        <v>1513</v>
      </c>
      <c r="CB1454" t="b">
        <v>0</v>
      </c>
      <c r="CC1454" t="b">
        <v>0</v>
      </c>
      <c r="CD1454" t="b">
        <v>0</v>
      </c>
      <c r="CE1454" t="b">
        <v>0</v>
      </c>
      <c r="CF1454" t="b">
        <v>0</v>
      </c>
    </row>
    <row r="1455" spans="1:84" x14ac:dyDescent="0.3">
      <c r="A1455" t="s">
        <v>4138</v>
      </c>
      <c r="B1455" t="s">
        <v>1165</v>
      </c>
      <c r="C1455" s="98">
        <v>45684</v>
      </c>
      <c r="D1455">
        <v>2025</v>
      </c>
      <c r="E1455">
        <v>1</v>
      </c>
      <c r="F1455">
        <v>1</v>
      </c>
      <c r="G1455" t="s">
        <v>1144</v>
      </c>
      <c r="H1455" t="s">
        <v>151</v>
      </c>
      <c r="I1455" t="s">
        <v>151</v>
      </c>
      <c r="J1455" t="s">
        <v>6</v>
      </c>
      <c r="L1455">
        <v>522611</v>
      </c>
      <c r="M1455" s="99" t="s">
        <v>179</v>
      </c>
      <c r="N1455">
        <v>2</v>
      </c>
      <c r="O1455">
        <v>4</v>
      </c>
      <c r="P1455">
        <v>0.1067</v>
      </c>
      <c r="Q1455" t="s">
        <v>352</v>
      </c>
      <c r="R1455">
        <v>1</v>
      </c>
      <c r="S1455">
        <v>0.1026</v>
      </c>
      <c r="T1455">
        <v>2.7000000000000001E-3</v>
      </c>
      <c r="U1455">
        <v>1.5185185185185208</v>
      </c>
      <c r="V1455">
        <v>9.4500000000000001E-2</v>
      </c>
      <c r="W1455">
        <v>9.7199999999999995E-2</v>
      </c>
      <c r="X1455">
        <v>9.9900000000000003E-2</v>
      </c>
      <c r="Y1455">
        <v>0.10529999999999999</v>
      </c>
      <c r="Z1455">
        <v>0.108</v>
      </c>
      <c r="AA1455">
        <v>0.11069999999999999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 t="s">
        <v>462</v>
      </c>
      <c r="AL1455" t="s">
        <v>6</v>
      </c>
      <c r="AM1455" t="s">
        <v>1145</v>
      </c>
      <c r="AN1455" t="s">
        <v>1146</v>
      </c>
      <c r="AO1455" s="100">
        <v>46262.040405092594</v>
      </c>
      <c r="AP1455" t="s">
        <v>1147</v>
      </c>
      <c r="AQ1455" t="s">
        <v>4139</v>
      </c>
      <c r="AR1455" t="s">
        <v>1167</v>
      </c>
      <c r="AS1455" t="s">
        <v>1150</v>
      </c>
      <c r="AT1455" t="s">
        <v>4083</v>
      </c>
      <c r="AU1455">
        <v>25</v>
      </c>
      <c r="AV1455">
        <v>0.10256400000000002</v>
      </c>
      <c r="AW1455">
        <v>3.7048256819091139E-3</v>
      </c>
      <c r="AX1455">
        <v>3.6122086520700374</v>
      </c>
      <c r="BB1455" t="s">
        <v>4620</v>
      </c>
      <c r="BD1455" s="98"/>
      <c r="BE1455" s="98"/>
      <c r="BF1455" t="s">
        <v>1152</v>
      </c>
      <c r="BG1455" t="s">
        <v>322</v>
      </c>
      <c r="BH1455" t="s">
        <v>1153</v>
      </c>
      <c r="BN1455" t="s">
        <v>1154</v>
      </c>
      <c r="BO1455">
        <v>2025</v>
      </c>
      <c r="BP1455" t="s">
        <v>966</v>
      </c>
      <c r="BZ1455" t="s">
        <v>1513</v>
      </c>
      <c r="CA1455" t="s">
        <v>1513</v>
      </c>
      <c r="CB1455" t="b">
        <v>0</v>
      </c>
      <c r="CC1455" t="b">
        <v>0</v>
      </c>
      <c r="CD1455" t="b">
        <v>0</v>
      </c>
      <c r="CE1455" t="b">
        <v>0</v>
      </c>
      <c r="CF1455" t="b">
        <v>0</v>
      </c>
    </row>
    <row r="1456" spans="1:84" x14ac:dyDescent="0.3">
      <c r="A1456" t="s">
        <v>4140</v>
      </c>
      <c r="B1456" t="s">
        <v>1169</v>
      </c>
      <c r="C1456" s="98">
        <v>45691</v>
      </c>
      <c r="D1456">
        <v>2025</v>
      </c>
      <c r="E1456">
        <v>2</v>
      </c>
      <c r="F1456">
        <v>1</v>
      </c>
      <c r="G1456" t="s">
        <v>1170</v>
      </c>
      <c r="H1456" t="s">
        <v>151</v>
      </c>
      <c r="I1456" t="s">
        <v>151</v>
      </c>
      <c r="J1456" t="s">
        <v>6</v>
      </c>
      <c r="L1456">
        <v>522611</v>
      </c>
      <c r="M1456" s="99" t="s">
        <v>179</v>
      </c>
      <c r="N1456">
        <v>2</v>
      </c>
      <c r="O1456">
        <v>5</v>
      </c>
      <c r="P1456">
        <v>0.1008</v>
      </c>
      <c r="Q1456" t="s">
        <v>352</v>
      </c>
      <c r="R1456">
        <v>1</v>
      </c>
      <c r="S1456">
        <v>0.1026</v>
      </c>
      <c r="T1456">
        <v>2.7000000000000001E-3</v>
      </c>
      <c r="U1456">
        <v>-0.66666666666666519</v>
      </c>
      <c r="V1456">
        <v>9.4500000000000001E-2</v>
      </c>
      <c r="W1456">
        <v>9.7199999999999995E-2</v>
      </c>
      <c r="X1456">
        <v>9.9900000000000003E-2</v>
      </c>
      <c r="Y1456">
        <v>0.10529999999999999</v>
      </c>
      <c r="Z1456">
        <v>0.108</v>
      </c>
      <c r="AA1456">
        <v>0.11069999999999999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 t="s">
        <v>462</v>
      </c>
      <c r="AL1456" t="s">
        <v>6</v>
      </c>
      <c r="AM1456" t="s">
        <v>1145</v>
      </c>
      <c r="AN1456" t="s">
        <v>1146</v>
      </c>
      <c r="AO1456" s="100">
        <v>46262.040405092594</v>
      </c>
      <c r="AP1456" t="s">
        <v>1147</v>
      </c>
      <c r="AQ1456" t="s">
        <v>4141</v>
      </c>
      <c r="AR1456" t="s">
        <v>1172</v>
      </c>
      <c r="AS1456" t="s">
        <v>1150</v>
      </c>
      <c r="AT1456" t="s">
        <v>4083</v>
      </c>
      <c r="AU1456">
        <v>25</v>
      </c>
      <c r="AV1456">
        <v>0.10256400000000002</v>
      </c>
      <c r="AW1456">
        <v>3.7048256819091139E-3</v>
      </c>
      <c r="AX1456">
        <v>3.6122086520700374</v>
      </c>
      <c r="BB1456" t="s">
        <v>4620</v>
      </c>
      <c r="BD1456" s="98"/>
      <c r="BE1456" s="98"/>
      <c r="BF1456" t="s">
        <v>1152</v>
      </c>
      <c r="BG1456" t="s">
        <v>322</v>
      </c>
      <c r="BH1456" t="s">
        <v>1153</v>
      </c>
      <c r="BN1456" t="s">
        <v>1154</v>
      </c>
      <c r="BO1456">
        <v>2025</v>
      </c>
      <c r="BP1456" t="s">
        <v>966</v>
      </c>
      <c r="BZ1456" t="s">
        <v>1513</v>
      </c>
      <c r="CA1456" t="s">
        <v>1513</v>
      </c>
      <c r="CB1456" t="b">
        <v>0</v>
      </c>
      <c r="CC1456" t="b">
        <v>0</v>
      </c>
      <c r="CD1456" t="b">
        <v>0</v>
      </c>
      <c r="CE1456" t="b">
        <v>0</v>
      </c>
      <c r="CF1456" t="b">
        <v>0</v>
      </c>
    </row>
    <row r="1457" spans="1:84" x14ac:dyDescent="0.3">
      <c r="A1457" t="s">
        <v>4142</v>
      </c>
      <c r="B1457" t="s">
        <v>1174</v>
      </c>
      <c r="C1457" s="98">
        <v>45698</v>
      </c>
      <c r="D1457">
        <v>2025</v>
      </c>
      <c r="E1457">
        <v>2</v>
      </c>
      <c r="F1457">
        <v>1</v>
      </c>
      <c r="G1457" t="s">
        <v>1170</v>
      </c>
      <c r="H1457" t="s">
        <v>151</v>
      </c>
      <c r="I1457" t="s">
        <v>151</v>
      </c>
      <c r="J1457" t="s">
        <v>6</v>
      </c>
      <c r="L1457">
        <v>522611</v>
      </c>
      <c r="M1457" s="99" t="s">
        <v>179</v>
      </c>
      <c r="N1457">
        <v>2</v>
      </c>
      <c r="O1457">
        <v>6</v>
      </c>
      <c r="P1457">
        <v>9.5000000000000001E-2</v>
      </c>
      <c r="Q1457" t="s">
        <v>352</v>
      </c>
      <c r="R1457">
        <v>1</v>
      </c>
      <c r="S1457">
        <v>0.1026</v>
      </c>
      <c r="T1457">
        <v>2.7000000000000001E-3</v>
      </c>
      <c r="U1457">
        <v>-2.8148148148148131</v>
      </c>
      <c r="V1457">
        <v>9.4500000000000001E-2</v>
      </c>
      <c r="W1457">
        <v>9.7199999999999995E-2</v>
      </c>
      <c r="X1457">
        <v>9.9900000000000003E-2</v>
      </c>
      <c r="Y1457">
        <v>0.10529999999999999</v>
      </c>
      <c r="Z1457">
        <v>0.108</v>
      </c>
      <c r="AA1457">
        <v>0.11069999999999999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1</v>
      </c>
      <c r="AK1457" t="s">
        <v>462</v>
      </c>
      <c r="AL1457" t="s">
        <v>6</v>
      </c>
      <c r="AM1457" t="s">
        <v>1145</v>
      </c>
      <c r="AN1457" t="s">
        <v>1146</v>
      </c>
      <c r="AO1457" s="100">
        <v>46262.040405092594</v>
      </c>
      <c r="AP1457" t="s">
        <v>1147</v>
      </c>
      <c r="AQ1457" t="s">
        <v>4143</v>
      </c>
      <c r="AR1457" t="s">
        <v>1176</v>
      </c>
      <c r="AS1457" t="s">
        <v>1150</v>
      </c>
      <c r="AT1457" t="s">
        <v>4083</v>
      </c>
      <c r="AU1457">
        <v>25</v>
      </c>
      <c r="AV1457">
        <v>0.10256400000000002</v>
      </c>
      <c r="AW1457">
        <v>3.7048256819091139E-3</v>
      </c>
      <c r="AX1457">
        <v>3.6122086520700374</v>
      </c>
      <c r="BB1457" t="s">
        <v>4620</v>
      </c>
      <c r="BD1457" s="98"/>
      <c r="BE1457" s="98"/>
      <c r="BF1457" t="s">
        <v>1152</v>
      </c>
      <c r="BG1457" t="s">
        <v>322</v>
      </c>
      <c r="BH1457" t="s">
        <v>1153</v>
      </c>
      <c r="BN1457" t="s">
        <v>1154</v>
      </c>
      <c r="BO1457">
        <v>2025</v>
      </c>
      <c r="BP1457" t="s">
        <v>966</v>
      </c>
      <c r="BZ1457" t="s">
        <v>1513</v>
      </c>
      <c r="CA1457" t="s">
        <v>1513</v>
      </c>
      <c r="CB1457" t="b">
        <v>0</v>
      </c>
      <c r="CC1457" t="b">
        <v>0</v>
      </c>
      <c r="CD1457" t="b">
        <v>0</v>
      </c>
      <c r="CE1457" t="b">
        <v>0</v>
      </c>
      <c r="CF1457" t="b">
        <v>0</v>
      </c>
    </row>
    <row r="1458" spans="1:84" x14ac:dyDescent="0.3">
      <c r="A1458" t="s">
        <v>4144</v>
      </c>
      <c r="B1458" t="s">
        <v>1178</v>
      </c>
      <c r="C1458" s="98">
        <v>45705</v>
      </c>
      <c r="D1458">
        <v>2025</v>
      </c>
      <c r="E1458">
        <v>2</v>
      </c>
      <c r="F1458">
        <v>1</v>
      </c>
      <c r="G1458" t="s">
        <v>1170</v>
      </c>
      <c r="H1458" t="s">
        <v>151</v>
      </c>
      <c r="I1458" t="s">
        <v>151</v>
      </c>
      <c r="J1458" t="s">
        <v>6</v>
      </c>
      <c r="L1458">
        <v>522611</v>
      </c>
      <c r="M1458" s="99" t="s">
        <v>179</v>
      </c>
      <c r="N1458">
        <v>2</v>
      </c>
      <c r="O1458">
        <v>7</v>
      </c>
      <c r="P1458">
        <v>0.10979999999999999</v>
      </c>
      <c r="Q1458" t="s">
        <v>352</v>
      </c>
      <c r="R1458">
        <v>1</v>
      </c>
      <c r="S1458">
        <v>0.1026</v>
      </c>
      <c r="T1458">
        <v>2.7000000000000001E-3</v>
      </c>
      <c r="U1458">
        <v>2.6666666666666656</v>
      </c>
      <c r="V1458">
        <v>9.4500000000000001E-2</v>
      </c>
      <c r="W1458">
        <v>9.7199999999999995E-2</v>
      </c>
      <c r="X1458">
        <v>9.9900000000000003E-2</v>
      </c>
      <c r="Y1458">
        <v>0.10529999999999999</v>
      </c>
      <c r="Z1458">
        <v>0.108</v>
      </c>
      <c r="AA1458">
        <v>0.11069999999999999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1</v>
      </c>
      <c r="AK1458" t="s">
        <v>462</v>
      </c>
      <c r="AL1458" t="s">
        <v>6</v>
      </c>
      <c r="AM1458" t="s">
        <v>1145</v>
      </c>
      <c r="AN1458" t="s">
        <v>1146</v>
      </c>
      <c r="AO1458" s="100">
        <v>46262.040405092594</v>
      </c>
      <c r="AP1458" t="s">
        <v>1147</v>
      </c>
      <c r="AQ1458" t="s">
        <v>4145</v>
      </c>
      <c r="AR1458" t="s">
        <v>1180</v>
      </c>
      <c r="AS1458" t="s">
        <v>1150</v>
      </c>
      <c r="AT1458" t="s">
        <v>4083</v>
      </c>
      <c r="AU1458">
        <v>25</v>
      </c>
      <c r="AV1458">
        <v>0.10256400000000002</v>
      </c>
      <c r="AW1458">
        <v>3.7048256819091139E-3</v>
      </c>
      <c r="AX1458">
        <v>3.6122086520700374</v>
      </c>
      <c r="BB1458" t="s">
        <v>4620</v>
      </c>
      <c r="BD1458" s="98"/>
      <c r="BE1458" s="98"/>
      <c r="BF1458" t="s">
        <v>1152</v>
      </c>
      <c r="BG1458" t="s">
        <v>322</v>
      </c>
      <c r="BH1458" t="s">
        <v>1153</v>
      </c>
      <c r="BN1458" t="s">
        <v>1154</v>
      </c>
      <c r="BO1458">
        <v>2025</v>
      </c>
      <c r="BP1458" t="s">
        <v>966</v>
      </c>
      <c r="BZ1458" t="s">
        <v>1513</v>
      </c>
      <c r="CA1458" t="s">
        <v>1513</v>
      </c>
      <c r="CB1458" t="b">
        <v>0</v>
      </c>
      <c r="CC1458" t="b">
        <v>0</v>
      </c>
      <c r="CD1458" t="b">
        <v>0</v>
      </c>
      <c r="CE1458" t="b">
        <v>0</v>
      </c>
      <c r="CF1458" t="b">
        <v>0</v>
      </c>
    </row>
    <row r="1459" spans="1:84" x14ac:dyDescent="0.3">
      <c r="A1459" t="s">
        <v>4146</v>
      </c>
      <c r="B1459" t="s">
        <v>1182</v>
      </c>
      <c r="C1459" s="98">
        <v>45712</v>
      </c>
      <c r="D1459">
        <v>2025</v>
      </c>
      <c r="E1459">
        <v>2</v>
      </c>
      <c r="F1459">
        <v>1</v>
      </c>
      <c r="G1459" t="s">
        <v>1170</v>
      </c>
      <c r="H1459" t="s">
        <v>151</v>
      </c>
      <c r="I1459" t="s">
        <v>151</v>
      </c>
      <c r="J1459" t="s">
        <v>6</v>
      </c>
      <c r="L1459">
        <v>522611</v>
      </c>
      <c r="M1459" s="99" t="s">
        <v>179</v>
      </c>
      <c r="N1459">
        <v>2</v>
      </c>
      <c r="O1459">
        <v>8</v>
      </c>
      <c r="P1459">
        <v>0.1069</v>
      </c>
      <c r="Q1459" t="s">
        <v>352</v>
      </c>
      <c r="R1459">
        <v>1</v>
      </c>
      <c r="S1459">
        <v>0.1026</v>
      </c>
      <c r="T1459">
        <v>2.7000000000000001E-3</v>
      </c>
      <c r="U1459">
        <v>1.5925925925925919</v>
      </c>
      <c r="V1459">
        <v>9.4500000000000001E-2</v>
      </c>
      <c r="W1459">
        <v>9.7199999999999995E-2</v>
      </c>
      <c r="X1459">
        <v>9.9900000000000003E-2</v>
      </c>
      <c r="Y1459">
        <v>0.10529999999999999</v>
      </c>
      <c r="Z1459">
        <v>0.108</v>
      </c>
      <c r="AA1459">
        <v>0.11069999999999999</v>
      </c>
      <c r="AE1459">
        <v>0</v>
      </c>
      <c r="AF1459">
        <v>0</v>
      </c>
      <c r="AG1459">
        <v>0</v>
      </c>
      <c r="AH1459">
        <v>0</v>
      </c>
      <c r="AI1459">
        <v>1</v>
      </c>
      <c r="AJ1459">
        <v>0</v>
      </c>
      <c r="AK1459" t="s">
        <v>1213</v>
      </c>
      <c r="AL1459" t="s">
        <v>6</v>
      </c>
      <c r="AM1459" t="s">
        <v>1145</v>
      </c>
      <c r="AN1459" t="s">
        <v>1146</v>
      </c>
      <c r="AO1459" s="100">
        <v>46262.040405092594</v>
      </c>
      <c r="AP1459" t="s">
        <v>1147</v>
      </c>
      <c r="AQ1459" t="s">
        <v>4147</v>
      </c>
      <c r="AR1459" t="s">
        <v>1184</v>
      </c>
      <c r="AS1459" t="s">
        <v>1150</v>
      </c>
      <c r="AT1459" t="s">
        <v>4083</v>
      </c>
      <c r="AU1459">
        <v>25</v>
      </c>
      <c r="AV1459">
        <v>0.10256400000000002</v>
      </c>
      <c r="AW1459">
        <v>3.7048256819091139E-3</v>
      </c>
      <c r="AX1459">
        <v>3.6122086520700374</v>
      </c>
      <c r="BB1459" t="s">
        <v>4620</v>
      </c>
      <c r="BD1459" s="98"/>
      <c r="BE1459" s="98"/>
      <c r="BF1459" t="s">
        <v>1152</v>
      </c>
      <c r="BG1459" t="s">
        <v>322</v>
      </c>
      <c r="BH1459" t="s">
        <v>1153</v>
      </c>
      <c r="BN1459" t="s">
        <v>1154</v>
      </c>
      <c r="BO1459">
        <v>2025</v>
      </c>
      <c r="BP1459" t="s">
        <v>966</v>
      </c>
      <c r="BZ1459" t="s">
        <v>1513</v>
      </c>
      <c r="CA1459" t="s">
        <v>1513</v>
      </c>
      <c r="CB1459" t="b">
        <v>0</v>
      </c>
      <c r="CC1459" t="b">
        <v>0</v>
      </c>
      <c r="CD1459" t="b">
        <v>0</v>
      </c>
      <c r="CE1459" t="b">
        <v>0</v>
      </c>
      <c r="CF1459" t="b">
        <v>0</v>
      </c>
    </row>
    <row r="1460" spans="1:84" x14ac:dyDescent="0.3">
      <c r="A1460" t="s">
        <v>4148</v>
      </c>
      <c r="B1460" t="s">
        <v>1186</v>
      </c>
      <c r="C1460" s="98">
        <v>45719</v>
      </c>
      <c r="D1460">
        <v>2025</v>
      </c>
      <c r="E1460">
        <v>3</v>
      </c>
      <c r="F1460">
        <v>1</v>
      </c>
      <c r="G1460" t="s">
        <v>1187</v>
      </c>
      <c r="H1460" t="s">
        <v>151</v>
      </c>
      <c r="I1460" t="s">
        <v>151</v>
      </c>
      <c r="J1460" t="s">
        <v>6</v>
      </c>
      <c r="L1460">
        <v>522611</v>
      </c>
      <c r="M1460" s="99" t="s">
        <v>179</v>
      </c>
      <c r="N1460">
        <v>2</v>
      </c>
      <c r="O1460">
        <v>9</v>
      </c>
      <c r="P1460">
        <v>9.98E-2</v>
      </c>
      <c r="Q1460" t="s">
        <v>352</v>
      </c>
      <c r="R1460">
        <v>1</v>
      </c>
      <c r="S1460">
        <v>0.1026</v>
      </c>
      <c r="T1460">
        <v>2.7000000000000001E-3</v>
      </c>
      <c r="U1460">
        <v>-1.0370370370370359</v>
      </c>
      <c r="V1460">
        <v>9.4500000000000001E-2</v>
      </c>
      <c r="W1460">
        <v>9.7199999999999995E-2</v>
      </c>
      <c r="X1460">
        <v>9.9900000000000003E-2</v>
      </c>
      <c r="Y1460">
        <v>0.10529999999999999</v>
      </c>
      <c r="Z1460">
        <v>0.108</v>
      </c>
      <c r="AA1460">
        <v>0.11069999999999999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 t="s">
        <v>462</v>
      </c>
      <c r="AL1460" t="s">
        <v>6</v>
      </c>
      <c r="AM1460" t="s">
        <v>1145</v>
      </c>
      <c r="AN1460" t="s">
        <v>1146</v>
      </c>
      <c r="AO1460" s="100">
        <v>46262.040405092594</v>
      </c>
      <c r="AP1460" t="s">
        <v>1147</v>
      </c>
      <c r="AQ1460" t="s">
        <v>4149</v>
      </c>
      <c r="AR1460" t="s">
        <v>1189</v>
      </c>
      <c r="AS1460" t="s">
        <v>1150</v>
      </c>
      <c r="AT1460" t="s">
        <v>4083</v>
      </c>
      <c r="AU1460">
        <v>25</v>
      </c>
      <c r="AV1460">
        <v>0.10256400000000002</v>
      </c>
      <c r="AW1460">
        <v>3.7048256819091139E-3</v>
      </c>
      <c r="AX1460">
        <v>3.6122086520700374</v>
      </c>
      <c r="BB1460" t="s">
        <v>4620</v>
      </c>
      <c r="BD1460" s="98"/>
      <c r="BE1460" s="98"/>
      <c r="BF1460" t="s">
        <v>1152</v>
      </c>
      <c r="BG1460" t="s">
        <v>322</v>
      </c>
      <c r="BH1460" t="s">
        <v>1153</v>
      </c>
      <c r="BN1460" t="s">
        <v>1154</v>
      </c>
      <c r="BO1460">
        <v>2025</v>
      </c>
      <c r="BP1460" t="s">
        <v>966</v>
      </c>
      <c r="BZ1460" t="s">
        <v>1513</v>
      </c>
      <c r="CA1460" t="s">
        <v>1513</v>
      </c>
      <c r="CB1460" t="b">
        <v>0</v>
      </c>
      <c r="CC1460" t="b">
        <v>0</v>
      </c>
      <c r="CD1460" t="b">
        <v>0</v>
      </c>
      <c r="CE1460" t="b">
        <v>0</v>
      </c>
      <c r="CF1460" t="b">
        <v>0</v>
      </c>
    </row>
    <row r="1461" spans="1:84" x14ac:dyDescent="0.3">
      <c r="A1461" t="s">
        <v>4150</v>
      </c>
      <c r="B1461" t="s">
        <v>1191</v>
      </c>
      <c r="C1461" s="98">
        <v>45726</v>
      </c>
      <c r="D1461">
        <v>2025</v>
      </c>
      <c r="E1461">
        <v>3</v>
      </c>
      <c r="F1461">
        <v>1</v>
      </c>
      <c r="G1461" t="s">
        <v>1187</v>
      </c>
      <c r="H1461" t="s">
        <v>151</v>
      </c>
      <c r="I1461" t="s">
        <v>151</v>
      </c>
      <c r="J1461" t="s">
        <v>6</v>
      </c>
      <c r="L1461">
        <v>522611</v>
      </c>
      <c r="M1461" s="99" t="s">
        <v>179</v>
      </c>
      <c r="N1461">
        <v>2</v>
      </c>
      <c r="O1461">
        <v>10</v>
      </c>
      <c r="P1461">
        <v>0.10299999999999999</v>
      </c>
      <c r="Q1461" t="s">
        <v>352</v>
      </c>
      <c r="R1461">
        <v>1</v>
      </c>
      <c r="S1461">
        <v>0.1026</v>
      </c>
      <c r="T1461">
        <v>2.7000000000000001E-3</v>
      </c>
      <c r="U1461">
        <v>0.14814814814814725</v>
      </c>
      <c r="V1461">
        <v>9.4500000000000001E-2</v>
      </c>
      <c r="W1461">
        <v>9.7199999999999995E-2</v>
      </c>
      <c r="X1461">
        <v>9.9900000000000003E-2</v>
      </c>
      <c r="Y1461">
        <v>0.10529999999999999</v>
      </c>
      <c r="Z1461">
        <v>0.108</v>
      </c>
      <c r="AA1461">
        <v>0.11069999999999999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 t="s">
        <v>462</v>
      </c>
      <c r="AL1461" t="s">
        <v>6</v>
      </c>
      <c r="AM1461" t="s">
        <v>1145</v>
      </c>
      <c r="AN1461" t="s">
        <v>1146</v>
      </c>
      <c r="AO1461" s="100">
        <v>46262.040405092594</v>
      </c>
      <c r="AP1461" t="s">
        <v>1147</v>
      </c>
      <c r="AQ1461" t="s">
        <v>4151</v>
      </c>
      <c r="AR1461" t="s">
        <v>1193</v>
      </c>
      <c r="AS1461" t="s">
        <v>1150</v>
      </c>
      <c r="AT1461" t="s">
        <v>4083</v>
      </c>
      <c r="AU1461">
        <v>25</v>
      </c>
      <c r="AV1461">
        <v>0.10256400000000002</v>
      </c>
      <c r="AW1461">
        <v>3.7048256819091139E-3</v>
      </c>
      <c r="AX1461">
        <v>3.6122086520700374</v>
      </c>
      <c r="BB1461" t="s">
        <v>4620</v>
      </c>
      <c r="BD1461" s="98"/>
      <c r="BE1461" s="98"/>
      <c r="BF1461" t="s">
        <v>1152</v>
      </c>
      <c r="BG1461" t="s">
        <v>322</v>
      </c>
      <c r="BH1461" t="s">
        <v>1153</v>
      </c>
      <c r="BN1461" t="s">
        <v>1154</v>
      </c>
      <c r="BO1461">
        <v>2025</v>
      </c>
      <c r="BP1461" t="s">
        <v>966</v>
      </c>
      <c r="BZ1461" t="s">
        <v>1513</v>
      </c>
      <c r="CA1461" t="s">
        <v>1513</v>
      </c>
      <c r="CB1461" t="b">
        <v>0</v>
      </c>
      <c r="CC1461" t="b">
        <v>0</v>
      </c>
      <c r="CD1461" t="b">
        <v>0</v>
      </c>
      <c r="CE1461" t="b">
        <v>0</v>
      </c>
      <c r="CF1461" t="b">
        <v>0</v>
      </c>
    </row>
    <row r="1462" spans="1:84" x14ac:dyDescent="0.3">
      <c r="A1462" t="s">
        <v>4152</v>
      </c>
      <c r="B1462" t="s">
        <v>1195</v>
      </c>
      <c r="C1462" s="98">
        <v>45733</v>
      </c>
      <c r="D1462">
        <v>2025</v>
      </c>
      <c r="E1462">
        <v>3</v>
      </c>
      <c r="F1462">
        <v>1</v>
      </c>
      <c r="G1462" t="s">
        <v>1187</v>
      </c>
      <c r="H1462" t="s">
        <v>151</v>
      </c>
      <c r="I1462" t="s">
        <v>151</v>
      </c>
      <c r="J1462" t="s">
        <v>6</v>
      </c>
      <c r="L1462">
        <v>522611</v>
      </c>
      <c r="M1462" s="99" t="s">
        <v>179</v>
      </c>
      <c r="N1462">
        <v>2</v>
      </c>
      <c r="O1462">
        <v>11</v>
      </c>
      <c r="P1462">
        <v>0.10199999999999999</v>
      </c>
      <c r="Q1462" t="s">
        <v>352</v>
      </c>
      <c r="R1462">
        <v>1</v>
      </c>
      <c r="S1462">
        <v>0.1026</v>
      </c>
      <c r="T1462">
        <v>2.7000000000000001E-3</v>
      </c>
      <c r="U1462">
        <v>-0.22222222222222343</v>
      </c>
      <c r="V1462">
        <v>9.4500000000000001E-2</v>
      </c>
      <c r="W1462">
        <v>9.7199999999999995E-2</v>
      </c>
      <c r="X1462">
        <v>9.9900000000000003E-2</v>
      </c>
      <c r="Y1462">
        <v>0.10529999999999999</v>
      </c>
      <c r="Z1462">
        <v>0.108</v>
      </c>
      <c r="AA1462">
        <v>0.11069999999999999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 t="s">
        <v>462</v>
      </c>
      <c r="AL1462" t="s">
        <v>6</v>
      </c>
      <c r="AM1462" t="s">
        <v>1145</v>
      </c>
      <c r="AN1462" t="s">
        <v>1146</v>
      </c>
      <c r="AO1462" s="100">
        <v>46262.040405092594</v>
      </c>
      <c r="AP1462" t="s">
        <v>1147</v>
      </c>
      <c r="AQ1462" t="s">
        <v>4153</v>
      </c>
      <c r="AR1462" t="s">
        <v>1197</v>
      </c>
      <c r="AS1462" t="s">
        <v>1150</v>
      </c>
      <c r="AT1462" t="s">
        <v>4083</v>
      </c>
      <c r="AU1462">
        <v>25</v>
      </c>
      <c r="AV1462">
        <v>0.10256400000000002</v>
      </c>
      <c r="AW1462">
        <v>3.7048256819091139E-3</v>
      </c>
      <c r="AX1462">
        <v>3.6122086520700374</v>
      </c>
      <c r="BB1462" t="s">
        <v>4620</v>
      </c>
      <c r="BD1462" s="98"/>
      <c r="BE1462" s="98"/>
      <c r="BF1462" t="s">
        <v>1152</v>
      </c>
      <c r="BG1462" t="s">
        <v>322</v>
      </c>
      <c r="BH1462" t="s">
        <v>1153</v>
      </c>
      <c r="BN1462" t="s">
        <v>1154</v>
      </c>
      <c r="BO1462">
        <v>2025</v>
      </c>
      <c r="BP1462" t="s">
        <v>966</v>
      </c>
      <c r="BZ1462" t="s">
        <v>1513</v>
      </c>
      <c r="CA1462" t="s">
        <v>1513</v>
      </c>
      <c r="CB1462" t="b">
        <v>0</v>
      </c>
      <c r="CC1462" t="b">
        <v>0</v>
      </c>
      <c r="CD1462" t="b">
        <v>0</v>
      </c>
      <c r="CE1462" t="b">
        <v>0</v>
      </c>
      <c r="CF1462" t="b">
        <v>0</v>
      </c>
    </row>
    <row r="1463" spans="1:84" x14ac:dyDescent="0.3">
      <c r="A1463" t="s">
        <v>4154</v>
      </c>
      <c r="B1463" t="s">
        <v>1199</v>
      </c>
      <c r="C1463" s="98">
        <v>45740</v>
      </c>
      <c r="D1463">
        <v>2025</v>
      </c>
      <c r="E1463">
        <v>3</v>
      </c>
      <c r="F1463">
        <v>1</v>
      </c>
      <c r="G1463" t="s">
        <v>1187</v>
      </c>
      <c r="H1463" t="s">
        <v>151</v>
      </c>
      <c r="I1463" t="s">
        <v>151</v>
      </c>
      <c r="J1463" t="s">
        <v>6</v>
      </c>
      <c r="L1463">
        <v>522611</v>
      </c>
      <c r="M1463" s="99" t="s">
        <v>179</v>
      </c>
      <c r="N1463">
        <v>2</v>
      </c>
      <c r="O1463">
        <v>12</v>
      </c>
      <c r="P1463">
        <v>0.10290000000000001</v>
      </c>
      <c r="Q1463" t="s">
        <v>352</v>
      </c>
      <c r="R1463">
        <v>1</v>
      </c>
      <c r="S1463">
        <v>0.1026</v>
      </c>
      <c r="T1463">
        <v>2.7000000000000001E-3</v>
      </c>
      <c r="U1463">
        <v>0.11111111111111428</v>
      </c>
      <c r="V1463">
        <v>9.4500000000000001E-2</v>
      </c>
      <c r="W1463">
        <v>9.7199999999999995E-2</v>
      </c>
      <c r="X1463">
        <v>9.9900000000000003E-2</v>
      </c>
      <c r="Y1463">
        <v>0.10529999999999999</v>
      </c>
      <c r="Z1463">
        <v>0.108</v>
      </c>
      <c r="AA1463">
        <v>0.11069999999999999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 t="s">
        <v>462</v>
      </c>
      <c r="AL1463" t="s">
        <v>6</v>
      </c>
      <c r="AM1463" t="s">
        <v>1145</v>
      </c>
      <c r="AN1463" t="s">
        <v>1146</v>
      </c>
      <c r="AO1463" s="100">
        <v>46262.040405092594</v>
      </c>
      <c r="AP1463" t="s">
        <v>1147</v>
      </c>
      <c r="AQ1463" t="s">
        <v>4155</v>
      </c>
      <c r="AR1463" t="s">
        <v>1201</v>
      </c>
      <c r="AS1463" t="s">
        <v>1150</v>
      </c>
      <c r="AT1463" t="s">
        <v>4083</v>
      </c>
      <c r="AU1463">
        <v>25</v>
      </c>
      <c r="AV1463">
        <v>0.10256400000000002</v>
      </c>
      <c r="AW1463">
        <v>3.7048256819091139E-3</v>
      </c>
      <c r="AX1463">
        <v>3.6122086520700374</v>
      </c>
      <c r="BB1463" t="s">
        <v>4620</v>
      </c>
      <c r="BD1463" s="98"/>
      <c r="BE1463" s="98"/>
      <c r="BF1463" t="s">
        <v>1152</v>
      </c>
      <c r="BG1463" t="s">
        <v>322</v>
      </c>
      <c r="BH1463" t="s">
        <v>1153</v>
      </c>
      <c r="BN1463" t="s">
        <v>1154</v>
      </c>
      <c r="BO1463">
        <v>2025</v>
      </c>
      <c r="BP1463" t="s">
        <v>966</v>
      </c>
      <c r="BZ1463" t="s">
        <v>1513</v>
      </c>
      <c r="CA1463" t="s">
        <v>1513</v>
      </c>
      <c r="CB1463" t="b">
        <v>0</v>
      </c>
      <c r="CC1463" t="b">
        <v>0</v>
      </c>
      <c r="CD1463" t="b">
        <v>0</v>
      </c>
      <c r="CE1463" t="b">
        <v>0</v>
      </c>
      <c r="CF1463" t="b">
        <v>0</v>
      </c>
    </row>
    <row r="1464" spans="1:84" x14ac:dyDescent="0.3">
      <c r="A1464" t="s">
        <v>4156</v>
      </c>
      <c r="B1464" t="s">
        <v>1203</v>
      </c>
      <c r="C1464" s="98">
        <v>45747</v>
      </c>
      <c r="D1464">
        <v>2025</v>
      </c>
      <c r="E1464">
        <v>3</v>
      </c>
      <c r="F1464">
        <v>1</v>
      </c>
      <c r="G1464" t="s">
        <v>1187</v>
      </c>
      <c r="H1464" t="s">
        <v>151</v>
      </c>
      <c r="I1464" t="s">
        <v>151</v>
      </c>
      <c r="J1464" t="s">
        <v>6</v>
      </c>
      <c r="L1464">
        <v>522611</v>
      </c>
      <c r="M1464" s="99" t="s">
        <v>179</v>
      </c>
      <c r="N1464">
        <v>2</v>
      </c>
      <c r="O1464">
        <v>13</v>
      </c>
      <c r="P1464">
        <v>9.8500000000000004E-2</v>
      </c>
      <c r="Q1464" t="s">
        <v>352</v>
      </c>
      <c r="R1464">
        <v>1</v>
      </c>
      <c r="S1464">
        <v>0.1026</v>
      </c>
      <c r="T1464">
        <v>2.7000000000000001E-3</v>
      </c>
      <c r="U1464">
        <v>-1.5185185185185157</v>
      </c>
      <c r="V1464">
        <v>9.4500000000000001E-2</v>
      </c>
      <c r="W1464">
        <v>9.7199999999999995E-2</v>
      </c>
      <c r="X1464">
        <v>9.9900000000000003E-2</v>
      </c>
      <c r="Y1464">
        <v>0.10529999999999999</v>
      </c>
      <c r="Z1464">
        <v>0.108</v>
      </c>
      <c r="AA1464">
        <v>0.11069999999999999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 t="s">
        <v>462</v>
      </c>
      <c r="AL1464" t="s">
        <v>6</v>
      </c>
      <c r="AM1464" t="s">
        <v>1145</v>
      </c>
      <c r="AN1464" t="s">
        <v>1146</v>
      </c>
      <c r="AO1464" s="100">
        <v>46262.040405092594</v>
      </c>
      <c r="AP1464" t="s">
        <v>1147</v>
      </c>
      <c r="AQ1464" t="s">
        <v>4157</v>
      </c>
      <c r="AR1464" t="s">
        <v>1205</v>
      </c>
      <c r="AS1464" t="s">
        <v>1150</v>
      </c>
      <c r="AT1464" t="s">
        <v>4083</v>
      </c>
      <c r="AU1464">
        <v>25</v>
      </c>
      <c r="AV1464">
        <v>0.10256400000000002</v>
      </c>
      <c r="AW1464">
        <v>3.7048256819091139E-3</v>
      </c>
      <c r="AX1464">
        <v>3.6122086520700374</v>
      </c>
      <c r="BB1464" t="s">
        <v>4620</v>
      </c>
      <c r="BD1464" s="98"/>
      <c r="BE1464" s="98"/>
      <c r="BF1464" t="s">
        <v>1152</v>
      </c>
      <c r="BG1464" t="s">
        <v>322</v>
      </c>
      <c r="BH1464" t="s">
        <v>1153</v>
      </c>
      <c r="BN1464" t="s">
        <v>1154</v>
      </c>
      <c r="BO1464">
        <v>2025</v>
      </c>
      <c r="BP1464" t="s">
        <v>966</v>
      </c>
      <c r="BZ1464" t="s">
        <v>1513</v>
      </c>
      <c r="CA1464" t="s">
        <v>1513</v>
      </c>
      <c r="CB1464" t="b">
        <v>0</v>
      </c>
      <c r="CC1464" t="b">
        <v>0</v>
      </c>
      <c r="CD1464" t="b">
        <v>0</v>
      </c>
      <c r="CE1464" t="b">
        <v>0</v>
      </c>
      <c r="CF1464" t="b">
        <v>0</v>
      </c>
    </row>
    <row r="1465" spans="1:84" x14ac:dyDescent="0.3">
      <c r="A1465" t="s">
        <v>4158</v>
      </c>
      <c r="B1465" t="s">
        <v>1207</v>
      </c>
      <c r="C1465" s="98">
        <v>45754</v>
      </c>
      <c r="D1465">
        <v>2025</v>
      </c>
      <c r="E1465">
        <v>4</v>
      </c>
      <c r="F1465">
        <v>2</v>
      </c>
      <c r="G1465" t="s">
        <v>1208</v>
      </c>
      <c r="H1465" t="s">
        <v>151</v>
      </c>
      <c r="I1465" t="s">
        <v>151</v>
      </c>
      <c r="J1465" t="s">
        <v>6</v>
      </c>
      <c r="L1465">
        <v>522611</v>
      </c>
      <c r="M1465" s="99" t="s">
        <v>179</v>
      </c>
      <c r="N1465">
        <v>2</v>
      </c>
      <c r="O1465">
        <v>14</v>
      </c>
      <c r="P1465">
        <v>0.1007</v>
      </c>
      <c r="Q1465" t="s">
        <v>352</v>
      </c>
      <c r="R1465">
        <v>1</v>
      </c>
      <c r="S1465">
        <v>0.1026</v>
      </c>
      <c r="T1465">
        <v>2.7000000000000001E-3</v>
      </c>
      <c r="U1465">
        <v>-0.70370370370370328</v>
      </c>
      <c r="V1465">
        <v>9.4500000000000001E-2</v>
      </c>
      <c r="W1465">
        <v>9.7199999999999995E-2</v>
      </c>
      <c r="X1465">
        <v>9.9900000000000003E-2</v>
      </c>
      <c r="Y1465">
        <v>0.10529999999999999</v>
      </c>
      <c r="Z1465">
        <v>0.108</v>
      </c>
      <c r="AA1465">
        <v>0.11069999999999999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 t="s">
        <v>462</v>
      </c>
      <c r="AL1465" t="s">
        <v>6</v>
      </c>
      <c r="AM1465" t="s">
        <v>1145</v>
      </c>
      <c r="AN1465" t="s">
        <v>1146</v>
      </c>
      <c r="AO1465" s="100">
        <v>46262.040405092594</v>
      </c>
      <c r="AP1465" t="s">
        <v>1147</v>
      </c>
      <c r="AQ1465" t="s">
        <v>4159</v>
      </c>
      <c r="AR1465" t="s">
        <v>1210</v>
      </c>
      <c r="AS1465" t="s">
        <v>1150</v>
      </c>
      <c r="AT1465" t="s">
        <v>4083</v>
      </c>
      <c r="AU1465">
        <v>25</v>
      </c>
      <c r="AV1465">
        <v>0.10256400000000002</v>
      </c>
      <c r="AW1465">
        <v>3.7048256819091139E-3</v>
      </c>
      <c r="AX1465">
        <v>3.6122086520700374</v>
      </c>
      <c r="BB1465" t="s">
        <v>4620</v>
      </c>
      <c r="BD1465" s="98"/>
      <c r="BE1465" s="98"/>
      <c r="BF1465" t="s">
        <v>1152</v>
      </c>
      <c r="BG1465" t="s">
        <v>322</v>
      </c>
      <c r="BH1465" t="s">
        <v>1153</v>
      </c>
      <c r="BN1465" t="s">
        <v>1154</v>
      </c>
      <c r="BO1465">
        <v>2025</v>
      </c>
      <c r="BP1465" t="s">
        <v>966</v>
      </c>
      <c r="BZ1465" t="s">
        <v>1513</v>
      </c>
      <c r="CA1465" t="s">
        <v>1513</v>
      </c>
      <c r="CB1465" t="b">
        <v>0</v>
      </c>
      <c r="CC1465" t="b">
        <v>0</v>
      </c>
      <c r="CD1465" t="b">
        <v>0</v>
      </c>
      <c r="CE1465" t="b">
        <v>0</v>
      </c>
      <c r="CF1465" t="b">
        <v>0</v>
      </c>
    </row>
    <row r="1466" spans="1:84" x14ac:dyDescent="0.3">
      <c r="A1466" t="s">
        <v>4160</v>
      </c>
      <c r="B1466" t="s">
        <v>1212</v>
      </c>
      <c r="C1466" s="98">
        <v>45761</v>
      </c>
      <c r="D1466">
        <v>2025</v>
      </c>
      <c r="E1466">
        <v>4</v>
      </c>
      <c r="F1466">
        <v>2</v>
      </c>
      <c r="G1466" t="s">
        <v>1208</v>
      </c>
      <c r="H1466" t="s">
        <v>151</v>
      </c>
      <c r="I1466" t="s">
        <v>151</v>
      </c>
      <c r="J1466" t="s">
        <v>6</v>
      </c>
      <c r="L1466">
        <v>522611</v>
      </c>
      <c r="M1466" s="99" t="s">
        <v>179</v>
      </c>
      <c r="N1466">
        <v>2</v>
      </c>
      <c r="O1466">
        <v>15</v>
      </c>
      <c r="P1466">
        <v>0.10390000000000001</v>
      </c>
      <c r="Q1466" t="s">
        <v>352</v>
      </c>
      <c r="R1466">
        <v>1</v>
      </c>
      <c r="S1466">
        <v>0.1026</v>
      </c>
      <c r="T1466">
        <v>2.7000000000000001E-3</v>
      </c>
      <c r="U1466">
        <v>0.48148148148148495</v>
      </c>
      <c r="V1466">
        <v>9.4500000000000001E-2</v>
      </c>
      <c r="W1466">
        <v>9.7199999999999995E-2</v>
      </c>
      <c r="X1466">
        <v>9.9900000000000003E-2</v>
      </c>
      <c r="Y1466">
        <v>0.10529999999999999</v>
      </c>
      <c r="Z1466">
        <v>0.108</v>
      </c>
      <c r="AA1466">
        <v>0.11069999999999999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 t="s">
        <v>462</v>
      </c>
      <c r="AL1466" t="s">
        <v>6</v>
      </c>
      <c r="AM1466" t="s">
        <v>1145</v>
      </c>
      <c r="AN1466" t="s">
        <v>1146</v>
      </c>
      <c r="AO1466" s="100">
        <v>46262.040405092594</v>
      </c>
      <c r="AP1466" t="s">
        <v>1147</v>
      </c>
      <c r="AQ1466" t="s">
        <v>4161</v>
      </c>
      <c r="AR1466" t="s">
        <v>1215</v>
      </c>
      <c r="AS1466" t="s">
        <v>1150</v>
      </c>
      <c r="AT1466" t="s">
        <v>4083</v>
      </c>
      <c r="AU1466">
        <v>25</v>
      </c>
      <c r="AV1466">
        <v>0.10256400000000002</v>
      </c>
      <c r="AW1466">
        <v>3.7048256819091139E-3</v>
      </c>
      <c r="AX1466">
        <v>3.6122086520700374</v>
      </c>
      <c r="BB1466" t="s">
        <v>4620</v>
      </c>
      <c r="BD1466" s="98"/>
      <c r="BE1466" s="98"/>
      <c r="BF1466" t="s">
        <v>1152</v>
      </c>
      <c r="BG1466" t="s">
        <v>322</v>
      </c>
      <c r="BH1466" t="s">
        <v>1153</v>
      </c>
      <c r="BN1466" t="s">
        <v>1154</v>
      </c>
      <c r="BO1466">
        <v>2025</v>
      </c>
      <c r="BP1466" t="s">
        <v>966</v>
      </c>
      <c r="BZ1466" t="s">
        <v>1513</v>
      </c>
      <c r="CA1466" t="s">
        <v>1513</v>
      </c>
      <c r="CB1466" t="b">
        <v>0</v>
      </c>
      <c r="CC1466" t="b">
        <v>0</v>
      </c>
      <c r="CD1466" t="b">
        <v>0</v>
      </c>
      <c r="CE1466" t="b">
        <v>0</v>
      </c>
      <c r="CF1466" t="b">
        <v>0</v>
      </c>
    </row>
    <row r="1467" spans="1:84" x14ac:dyDescent="0.3">
      <c r="A1467" t="s">
        <v>4162</v>
      </c>
      <c r="B1467" t="s">
        <v>1217</v>
      </c>
      <c r="C1467" s="98">
        <v>45768</v>
      </c>
      <c r="D1467">
        <v>2025</v>
      </c>
      <c r="E1467">
        <v>4</v>
      </c>
      <c r="F1467">
        <v>2</v>
      </c>
      <c r="G1467" t="s">
        <v>1208</v>
      </c>
      <c r="H1467" t="s">
        <v>151</v>
      </c>
      <c r="I1467" t="s">
        <v>151</v>
      </c>
      <c r="J1467" t="s">
        <v>6</v>
      </c>
      <c r="L1467">
        <v>522611</v>
      </c>
      <c r="M1467" s="99" t="s">
        <v>179</v>
      </c>
      <c r="N1467">
        <v>2</v>
      </c>
      <c r="O1467">
        <v>16</v>
      </c>
      <c r="P1467">
        <v>0.1032</v>
      </c>
      <c r="Q1467" t="s">
        <v>352</v>
      </c>
      <c r="R1467">
        <v>1</v>
      </c>
      <c r="S1467">
        <v>0.1026</v>
      </c>
      <c r="T1467">
        <v>2.7000000000000001E-3</v>
      </c>
      <c r="U1467">
        <v>0.22222222222222343</v>
      </c>
      <c r="V1467">
        <v>9.4500000000000001E-2</v>
      </c>
      <c r="W1467">
        <v>9.7199999999999995E-2</v>
      </c>
      <c r="X1467">
        <v>9.9900000000000003E-2</v>
      </c>
      <c r="Y1467">
        <v>0.10529999999999999</v>
      </c>
      <c r="Z1467">
        <v>0.108</v>
      </c>
      <c r="AA1467">
        <v>0.11069999999999999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 t="s">
        <v>462</v>
      </c>
      <c r="AL1467" t="s">
        <v>6</v>
      </c>
      <c r="AM1467" t="s">
        <v>1145</v>
      </c>
      <c r="AN1467" t="s">
        <v>1146</v>
      </c>
      <c r="AO1467" s="100">
        <v>46262.040405092594</v>
      </c>
      <c r="AP1467" t="s">
        <v>1147</v>
      </c>
      <c r="AQ1467" t="s">
        <v>4163</v>
      </c>
      <c r="AR1467" t="s">
        <v>1219</v>
      </c>
      <c r="AS1467" t="s">
        <v>1150</v>
      </c>
      <c r="AT1467" t="s">
        <v>4083</v>
      </c>
      <c r="AU1467">
        <v>25</v>
      </c>
      <c r="AV1467">
        <v>0.10256400000000002</v>
      </c>
      <c r="AW1467">
        <v>3.7048256819091139E-3</v>
      </c>
      <c r="AX1467">
        <v>3.6122086520700374</v>
      </c>
      <c r="BB1467" t="s">
        <v>4620</v>
      </c>
      <c r="BD1467" s="98"/>
      <c r="BE1467" s="98"/>
      <c r="BF1467" t="s">
        <v>1152</v>
      </c>
      <c r="BG1467" t="s">
        <v>322</v>
      </c>
      <c r="BH1467" t="s">
        <v>1153</v>
      </c>
      <c r="BN1467" t="s">
        <v>1154</v>
      </c>
      <c r="BO1467">
        <v>2025</v>
      </c>
      <c r="BP1467" t="s">
        <v>966</v>
      </c>
      <c r="BZ1467" t="s">
        <v>1513</v>
      </c>
      <c r="CA1467" t="s">
        <v>1513</v>
      </c>
      <c r="CB1467" t="b">
        <v>0</v>
      </c>
      <c r="CC1467" t="b">
        <v>0</v>
      </c>
      <c r="CD1467" t="b">
        <v>0</v>
      </c>
      <c r="CE1467" t="b">
        <v>0</v>
      </c>
      <c r="CF1467" t="b">
        <v>0</v>
      </c>
    </row>
    <row r="1468" spans="1:84" x14ac:dyDescent="0.3">
      <c r="A1468" t="s">
        <v>4164</v>
      </c>
      <c r="B1468" t="s">
        <v>1221</v>
      </c>
      <c r="C1468" s="98">
        <v>45775</v>
      </c>
      <c r="D1468">
        <v>2025</v>
      </c>
      <c r="E1468">
        <v>4</v>
      </c>
      <c r="F1468">
        <v>2</v>
      </c>
      <c r="G1468" t="s">
        <v>1208</v>
      </c>
      <c r="H1468" t="s">
        <v>151</v>
      </c>
      <c r="I1468" t="s">
        <v>151</v>
      </c>
      <c r="J1468" t="s">
        <v>6</v>
      </c>
      <c r="L1468">
        <v>522611</v>
      </c>
      <c r="M1468" s="99" t="s">
        <v>179</v>
      </c>
      <c r="N1468">
        <v>2</v>
      </c>
      <c r="O1468">
        <v>17</v>
      </c>
      <c r="P1468">
        <v>0.10589999999999999</v>
      </c>
      <c r="Q1468" t="s">
        <v>352</v>
      </c>
      <c r="R1468">
        <v>1</v>
      </c>
      <c r="S1468">
        <v>0.1026</v>
      </c>
      <c r="T1468">
        <v>2.7000000000000001E-3</v>
      </c>
      <c r="U1468">
        <v>1.2222222222222212</v>
      </c>
      <c r="V1468">
        <v>9.4500000000000001E-2</v>
      </c>
      <c r="W1468">
        <v>9.7199999999999995E-2</v>
      </c>
      <c r="X1468">
        <v>9.9900000000000003E-2</v>
      </c>
      <c r="Y1468">
        <v>0.10529999999999999</v>
      </c>
      <c r="Z1468">
        <v>0.108</v>
      </c>
      <c r="AA1468">
        <v>0.11069999999999999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 t="s">
        <v>462</v>
      </c>
      <c r="AL1468" t="s">
        <v>6</v>
      </c>
      <c r="AM1468" t="s">
        <v>1145</v>
      </c>
      <c r="AN1468" t="s">
        <v>1146</v>
      </c>
      <c r="AO1468" s="100">
        <v>46262.040405092594</v>
      </c>
      <c r="AP1468" t="s">
        <v>1147</v>
      </c>
      <c r="AQ1468" t="s">
        <v>4165</v>
      </c>
      <c r="AR1468" t="s">
        <v>1223</v>
      </c>
      <c r="AS1468" t="s">
        <v>1150</v>
      </c>
      <c r="AT1468" t="s">
        <v>4083</v>
      </c>
      <c r="AU1468">
        <v>25</v>
      </c>
      <c r="AV1468">
        <v>0.10256400000000002</v>
      </c>
      <c r="AW1468">
        <v>3.7048256819091139E-3</v>
      </c>
      <c r="AX1468">
        <v>3.6122086520700374</v>
      </c>
      <c r="BB1468" t="s">
        <v>4620</v>
      </c>
      <c r="BD1468" s="98"/>
      <c r="BE1468" s="98"/>
      <c r="BF1468" t="s">
        <v>1152</v>
      </c>
      <c r="BG1468" t="s">
        <v>322</v>
      </c>
      <c r="BH1468" t="s">
        <v>1153</v>
      </c>
      <c r="BN1468" t="s">
        <v>1154</v>
      </c>
      <c r="BO1468">
        <v>2025</v>
      </c>
      <c r="BP1468" t="s">
        <v>966</v>
      </c>
      <c r="BZ1468" t="s">
        <v>1513</v>
      </c>
      <c r="CA1468" t="s">
        <v>1513</v>
      </c>
      <c r="CB1468" t="b">
        <v>0</v>
      </c>
      <c r="CC1468" t="b">
        <v>0</v>
      </c>
      <c r="CD1468" t="b">
        <v>0</v>
      </c>
      <c r="CE1468" t="b">
        <v>0</v>
      </c>
      <c r="CF1468" t="b">
        <v>0</v>
      </c>
    </row>
    <row r="1469" spans="1:84" x14ac:dyDescent="0.3">
      <c r="A1469" t="s">
        <v>4166</v>
      </c>
      <c r="B1469" t="s">
        <v>1225</v>
      </c>
      <c r="C1469" s="98">
        <v>45782</v>
      </c>
      <c r="D1469">
        <v>2025</v>
      </c>
      <c r="E1469">
        <v>5</v>
      </c>
      <c r="F1469">
        <v>2</v>
      </c>
      <c r="G1469" t="s">
        <v>1226</v>
      </c>
      <c r="H1469" t="s">
        <v>151</v>
      </c>
      <c r="I1469" t="s">
        <v>151</v>
      </c>
      <c r="J1469" t="s">
        <v>6</v>
      </c>
      <c r="L1469">
        <v>522611</v>
      </c>
      <c r="M1469" s="99" t="s">
        <v>179</v>
      </c>
      <c r="N1469">
        <v>2</v>
      </c>
      <c r="O1469">
        <v>18</v>
      </c>
      <c r="P1469">
        <v>0.1028</v>
      </c>
      <c r="Q1469" t="s">
        <v>352</v>
      </c>
      <c r="R1469">
        <v>1</v>
      </c>
      <c r="S1469">
        <v>0.1026</v>
      </c>
      <c r="T1469">
        <v>2.7000000000000001E-3</v>
      </c>
      <c r="U1469">
        <v>7.4074074074076193E-2</v>
      </c>
      <c r="V1469">
        <v>9.4500000000000001E-2</v>
      </c>
      <c r="W1469">
        <v>9.7199999999999995E-2</v>
      </c>
      <c r="X1469">
        <v>9.9900000000000003E-2</v>
      </c>
      <c r="Y1469">
        <v>0.10529999999999999</v>
      </c>
      <c r="Z1469">
        <v>0.108</v>
      </c>
      <c r="AA1469">
        <v>0.11069999999999999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 t="s">
        <v>462</v>
      </c>
      <c r="AL1469" t="s">
        <v>6</v>
      </c>
      <c r="AM1469" t="s">
        <v>1145</v>
      </c>
      <c r="AN1469" t="s">
        <v>1146</v>
      </c>
      <c r="AO1469" s="100">
        <v>46262.040405092594</v>
      </c>
      <c r="AP1469" t="s">
        <v>1147</v>
      </c>
      <c r="AQ1469" t="s">
        <v>4167</v>
      </c>
      <c r="AR1469" t="s">
        <v>1228</v>
      </c>
      <c r="AS1469" t="s">
        <v>1150</v>
      </c>
      <c r="AT1469" t="s">
        <v>4083</v>
      </c>
      <c r="AU1469">
        <v>25</v>
      </c>
      <c r="AV1469">
        <v>0.10256400000000002</v>
      </c>
      <c r="AW1469">
        <v>3.7048256819091139E-3</v>
      </c>
      <c r="AX1469">
        <v>3.6122086520700374</v>
      </c>
      <c r="BB1469" t="s">
        <v>4620</v>
      </c>
      <c r="BD1469" s="98"/>
      <c r="BE1469" s="98"/>
      <c r="BF1469" t="s">
        <v>1152</v>
      </c>
      <c r="BG1469" t="s">
        <v>322</v>
      </c>
      <c r="BH1469" t="s">
        <v>1153</v>
      </c>
      <c r="BN1469" t="s">
        <v>1154</v>
      </c>
      <c r="BO1469">
        <v>2025</v>
      </c>
      <c r="BP1469" t="s">
        <v>966</v>
      </c>
      <c r="BZ1469" t="s">
        <v>1513</v>
      </c>
      <c r="CA1469" t="s">
        <v>1513</v>
      </c>
      <c r="CB1469" t="b">
        <v>0</v>
      </c>
      <c r="CC1469" t="b">
        <v>0</v>
      </c>
      <c r="CD1469" t="b">
        <v>0</v>
      </c>
      <c r="CE1469" t="b">
        <v>0</v>
      </c>
      <c r="CF1469" t="b">
        <v>0</v>
      </c>
    </row>
    <row r="1470" spans="1:84" x14ac:dyDescent="0.3">
      <c r="A1470" t="s">
        <v>4168</v>
      </c>
      <c r="B1470" t="s">
        <v>1230</v>
      </c>
      <c r="C1470" s="98">
        <v>45789</v>
      </c>
      <c r="D1470">
        <v>2025</v>
      </c>
      <c r="E1470">
        <v>5</v>
      </c>
      <c r="F1470">
        <v>2</v>
      </c>
      <c r="G1470" t="s">
        <v>1226</v>
      </c>
      <c r="H1470" t="s">
        <v>151</v>
      </c>
      <c r="I1470" t="s">
        <v>151</v>
      </c>
      <c r="J1470" t="s">
        <v>6</v>
      </c>
      <c r="L1470">
        <v>522611</v>
      </c>
      <c r="M1470" s="99" t="s">
        <v>179</v>
      </c>
      <c r="N1470">
        <v>2</v>
      </c>
      <c r="O1470">
        <v>19</v>
      </c>
      <c r="P1470">
        <v>0.109</v>
      </c>
      <c r="Q1470" t="s">
        <v>352</v>
      </c>
      <c r="R1470">
        <v>1</v>
      </c>
      <c r="S1470">
        <v>0.1026</v>
      </c>
      <c r="T1470">
        <v>2.7000000000000001E-3</v>
      </c>
      <c r="U1470">
        <v>2.3703703703703711</v>
      </c>
      <c r="V1470">
        <v>9.4500000000000001E-2</v>
      </c>
      <c r="W1470">
        <v>9.7199999999999995E-2</v>
      </c>
      <c r="X1470">
        <v>9.9900000000000003E-2</v>
      </c>
      <c r="Y1470">
        <v>0.10529999999999999</v>
      </c>
      <c r="Z1470">
        <v>0.108</v>
      </c>
      <c r="AA1470">
        <v>0.11069999999999999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1</v>
      </c>
      <c r="AK1470" t="s">
        <v>462</v>
      </c>
      <c r="AL1470" t="s">
        <v>6</v>
      </c>
      <c r="AM1470" t="s">
        <v>1145</v>
      </c>
      <c r="AN1470" t="s">
        <v>1146</v>
      </c>
      <c r="AO1470" s="100">
        <v>46262.040405092594</v>
      </c>
      <c r="AP1470" t="s">
        <v>1147</v>
      </c>
      <c r="AQ1470" t="s">
        <v>4169</v>
      </c>
      <c r="AR1470" t="s">
        <v>1232</v>
      </c>
      <c r="AS1470" t="s">
        <v>1150</v>
      </c>
      <c r="AT1470" t="s">
        <v>4083</v>
      </c>
      <c r="AU1470">
        <v>25</v>
      </c>
      <c r="AV1470">
        <v>0.10256400000000002</v>
      </c>
      <c r="AW1470">
        <v>3.7048256819091139E-3</v>
      </c>
      <c r="AX1470">
        <v>3.6122086520700374</v>
      </c>
      <c r="BB1470" t="s">
        <v>4620</v>
      </c>
      <c r="BD1470" s="98"/>
      <c r="BE1470" s="98"/>
      <c r="BF1470" t="s">
        <v>1152</v>
      </c>
      <c r="BG1470" t="s">
        <v>322</v>
      </c>
      <c r="BH1470" t="s">
        <v>1153</v>
      </c>
      <c r="BN1470" t="s">
        <v>1154</v>
      </c>
      <c r="BO1470">
        <v>2025</v>
      </c>
      <c r="BP1470" t="s">
        <v>966</v>
      </c>
      <c r="BZ1470" t="s">
        <v>1513</v>
      </c>
      <c r="CA1470" t="s">
        <v>1513</v>
      </c>
      <c r="CB1470" t="b">
        <v>0</v>
      </c>
      <c r="CC1470" t="b">
        <v>0</v>
      </c>
      <c r="CD1470" t="b">
        <v>0</v>
      </c>
      <c r="CE1470" t="b">
        <v>0</v>
      </c>
      <c r="CF1470" t="b">
        <v>0</v>
      </c>
    </row>
    <row r="1471" spans="1:84" x14ac:dyDescent="0.3">
      <c r="A1471" t="s">
        <v>4170</v>
      </c>
      <c r="B1471" t="s">
        <v>1234</v>
      </c>
      <c r="C1471" s="98">
        <v>45796</v>
      </c>
      <c r="D1471">
        <v>2025</v>
      </c>
      <c r="E1471">
        <v>5</v>
      </c>
      <c r="F1471">
        <v>2</v>
      </c>
      <c r="G1471" t="s">
        <v>1226</v>
      </c>
      <c r="H1471" t="s">
        <v>151</v>
      </c>
      <c r="I1471" t="s">
        <v>151</v>
      </c>
      <c r="J1471" t="s">
        <v>6</v>
      </c>
      <c r="L1471">
        <v>522611</v>
      </c>
      <c r="M1471" s="99" t="s">
        <v>179</v>
      </c>
      <c r="N1471">
        <v>2</v>
      </c>
      <c r="O1471">
        <v>20</v>
      </c>
      <c r="P1471">
        <v>0.10059999999999999</v>
      </c>
      <c r="Q1471" t="s">
        <v>352</v>
      </c>
      <c r="R1471">
        <v>1</v>
      </c>
      <c r="S1471">
        <v>0.1026</v>
      </c>
      <c r="T1471">
        <v>2.7000000000000001E-3</v>
      </c>
      <c r="U1471">
        <v>-0.74074074074074137</v>
      </c>
      <c r="V1471">
        <v>9.4500000000000001E-2</v>
      </c>
      <c r="W1471">
        <v>9.7199999999999995E-2</v>
      </c>
      <c r="X1471">
        <v>9.9900000000000003E-2</v>
      </c>
      <c r="Y1471">
        <v>0.10529999999999999</v>
      </c>
      <c r="Z1471">
        <v>0.108</v>
      </c>
      <c r="AA1471">
        <v>0.11069999999999999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 t="s">
        <v>462</v>
      </c>
      <c r="AL1471" t="s">
        <v>6</v>
      </c>
      <c r="AM1471" t="s">
        <v>1145</v>
      </c>
      <c r="AN1471" t="s">
        <v>1146</v>
      </c>
      <c r="AO1471" s="100">
        <v>46262.040405092594</v>
      </c>
      <c r="AP1471" t="s">
        <v>1147</v>
      </c>
      <c r="AQ1471" t="s">
        <v>4171</v>
      </c>
      <c r="AR1471" t="s">
        <v>1236</v>
      </c>
      <c r="AS1471" t="s">
        <v>1150</v>
      </c>
      <c r="AT1471" t="s">
        <v>4083</v>
      </c>
      <c r="AU1471">
        <v>25</v>
      </c>
      <c r="AV1471">
        <v>0.10256400000000002</v>
      </c>
      <c r="AW1471">
        <v>3.7048256819091139E-3</v>
      </c>
      <c r="AX1471">
        <v>3.6122086520700374</v>
      </c>
      <c r="BB1471" t="s">
        <v>4620</v>
      </c>
      <c r="BD1471" s="98"/>
      <c r="BE1471" s="98"/>
      <c r="BF1471" t="s">
        <v>1152</v>
      </c>
      <c r="BG1471" t="s">
        <v>322</v>
      </c>
      <c r="BH1471" t="s">
        <v>1153</v>
      </c>
      <c r="BN1471" t="s">
        <v>1154</v>
      </c>
      <c r="BO1471">
        <v>2025</v>
      </c>
      <c r="BP1471" t="s">
        <v>966</v>
      </c>
      <c r="BZ1471" t="s">
        <v>1513</v>
      </c>
      <c r="CA1471" t="s">
        <v>1513</v>
      </c>
      <c r="CB1471" t="b">
        <v>0</v>
      </c>
      <c r="CC1471" t="b">
        <v>0</v>
      </c>
      <c r="CD1471" t="b">
        <v>0</v>
      </c>
      <c r="CE1471" t="b">
        <v>0</v>
      </c>
      <c r="CF1471" t="b">
        <v>0</v>
      </c>
    </row>
    <row r="1472" spans="1:84" x14ac:dyDescent="0.3">
      <c r="A1472" t="s">
        <v>4172</v>
      </c>
      <c r="B1472" t="s">
        <v>1238</v>
      </c>
      <c r="C1472" s="98">
        <v>45803</v>
      </c>
      <c r="D1472">
        <v>2025</v>
      </c>
      <c r="E1472">
        <v>5</v>
      </c>
      <c r="F1472">
        <v>2</v>
      </c>
      <c r="G1472" t="s">
        <v>1226</v>
      </c>
      <c r="H1472" t="s">
        <v>151</v>
      </c>
      <c r="I1472" t="s">
        <v>151</v>
      </c>
      <c r="J1472" t="s">
        <v>6</v>
      </c>
      <c r="L1472">
        <v>522611</v>
      </c>
      <c r="M1472" s="99" t="s">
        <v>179</v>
      </c>
      <c r="N1472">
        <v>2</v>
      </c>
      <c r="O1472">
        <v>21</v>
      </c>
      <c r="P1472">
        <v>0.1033</v>
      </c>
      <c r="Q1472" t="s">
        <v>352</v>
      </c>
      <c r="R1472">
        <v>1</v>
      </c>
      <c r="S1472">
        <v>0.1026</v>
      </c>
      <c r="T1472">
        <v>2.7000000000000001E-3</v>
      </c>
      <c r="U1472">
        <v>0.25925925925926152</v>
      </c>
      <c r="V1472">
        <v>9.4500000000000001E-2</v>
      </c>
      <c r="W1472">
        <v>9.7199999999999995E-2</v>
      </c>
      <c r="X1472">
        <v>9.9900000000000003E-2</v>
      </c>
      <c r="Y1472">
        <v>0.10529999999999999</v>
      </c>
      <c r="Z1472">
        <v>0.108</v>
      </c>
      <c r="AA1472">
        <v>0.11069999999999999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 t="s">
        <v>462</v>
      </c>
      <c r="AL1472" t="s">
        <v>6</v>
      </c>
      <c r="AM1472" t="s">
        <v>1145</v>
      </c>
      <c r="AN1472" t="s">
        <v>1146</v>
      </c>
      <c r="AO1472" s="100">
        <v>46262.040405092594</v>
      </c>
      <c r="AP1472" t="s">
        <v>1147</v>
      </c>
      <c r="AQ1472" t="s">
        <v>4173</v>
      </c>
      <c r="AR1472" t="s">
        <v>1240</v>
      </c>
      <c r="AS1472" t="s">
        <v>1150</v>
      </c>
      <c r="AT1472" t="s">
        <v>4083</v>
      </c>
      <c r="AU1472">
        <v>25</v>
      </c>
      <c r="AV1472">
        <v>0.10256400000000002</v>
      </c>
      <c r="AW1472">
        <v>3.7048256819091139E-3</v>
      </c>
      <c r="AX1472">
        <v>3.6122086520700374</v>
      </c>
      <c r="BB1472" t="s">
        <v>4620</v>
      </c>
      <c r="BD1472" s="98"/>
      <c r="BE1472" s="98"/>
      <c r="BF1472" t="s">
        <v>1152</v>
      </c>
      <c r="BG1472" t="s">
        <v>322</v>
      </c>
      <c r="BH1472" t="s">
        <v>1153</v>
      </c>
      <c r="BN1472" t="s">
        <v>1154</v>
      </c>
      <c r="BO1472">
        <v>2025</v>
      </c>
      <c r="BP1472" t="s">
        <v>966</v>
      </c>
      <c r="BZ1472" t="s">
        <v>1513</v>
      </c>
      <c r="CA1472" t="s">
        <v>1513</v>
      </c>
      <c r="CB1472" t="b">
        <v>0</v>
      </c>
      <c r="CC1472" t="b">
        <v>0</v>
      </c>
      <c r="CD1472" t="b">
        <v>0</v>
      </c>
      <c r="CE1472" t="b">
        <v>0</v>
      </c>
      <c r="CF1472" t="b">
        <v>0</v>
      </c>
    </row>
    <row r="1473" spans="1:84" x14ac:dyDescent="0.3">
      <c r="A1473" t="s">
        <v>4174</v>
      </c>
      <c r="B1473" t="s">
        <v>1242</v>
      </c>
      <c r="C1473" s="98">
        <v>45810</v>
      </c>
      <c r="D1473">
        <v>2025</v>
      </c>
      <c r="E1473">
        <v>6</v>
      </c>
      <c r="F1473">
        <v>2</v>
      </c>
      <c r="G1473" t="s">
        <v>1243</v>
      </c>
      <c r="H1473" t="s">
        <v>151</v>
      </c>
      <c r="I1473" t="s">
        <v>151</v>
      </c>
      <c r="J1473" t="s">
        <v>6</v>
      </c>
      <c r="L1473">
        <v>522611</v>
      </c>
      <c r="M1473" s="99" t="s">
        <v>179</v>
      </c>
      <c r="N1473">
        <v>2</v>
      </c>
      <c r="O1473">
        <v>22</v>
      </c>
      <c r="P1473">
        <v>9.7299999999999998E-2</v>
      </c>
      <c r="Q1473" t="s">
        <v>352</v>
      </c>
      <c r="R1473">
        <v>1</v>
      </c>
      <c r="S1473">
        <v>0.1026</v>
      </c>
      <c r="T1473">
        <v>2.7000000000000001E-3</v>
      </c>
      <c r="U1473">
        <v>-1.9629629629629626</v>
      </c>
      <c r="V1473">
        <v>9.4500000000000001E-2</v>
      </c>
      <c r="W1473">
        <v>9.7199999999999995E-2</v>
      </c>
      <c r="X1473">
        <v>9.9900000000000003E-2</v>
      </c>
      <c r="Y1473">
        <v>0.10529999999999999</v>
      </c>
      <c r="Z1473">
        <v>0.108</v>
      </c>
      <c r="AA1473">
        <v>0.11069999999999999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 t="s">
        <v>462</v>
      </c>
      <c r="AL1473" t="s">
        <v>6</v>
      </c>
      <c r="AM1473" t="s">
        <v>1145</v>
      </c>
      <c r="AN1473" t="s">
        <v>1146</v>
      </c>
      <c r="AO1473" s="100">
        <v>46262.040405092594</v>
      </c>
      <c r="AP1473" t="s">
        <v>1147</v>
      </c>
      <c r="AQ1473" t="s">
        <v>4175</v>
      </c>
      <c r="AR1473" t="s">
        <v>1245</v>
      </c>
      <c r="AS1473" t="s">
        <v>1150</v>
      </c>
      <c r="AT1473" t="s">
        <v>4083</v>
      </c>
      <c r="AU1473">
        <v>25</v>
      </c>
      <c r="AV1473">
        <v>0.10256400000000002</v>
      </c>
      <c r="AW1473">
        <v>3.7048256819091139E-3</v>
      </c>
      <c r="AX1473">
        <v>3.6122086520700374</v>
      </c>
      <c r="BB1473" t="s">
        <v>4620</v>
      </c>
      <c r="BD1473" s="98"/>
      <c r="BE1473" s="98"/>
      <c r="BF1473" t="s">
        <v>1152</v>
      </c>
      <c r="BG1473" t="s">
        <v>322</v>
      </c>
      <c r="BH1473" t="s">
        <v>1153</v>
      </c>
      <c r="BN1473" t="s">
        <v>1154</v>
      </c>
      <c r="BO1473">
        <v>2025</v>
      </c>
      <c r="BP1473" t="s">
        <v>966</v>
      </c>
      <c r="BZ1473" t="s">
        <v>1513</v>
      </c>
      <c r="CA1473" t="s">
        <v>1513</v>
      </c>
      <c r="CB1473" t="b">
        <v>0</v>
      </c>
      <c r="CC1473" t="b">
        <v>0</v>
      </c>
      <c r="CD1473" t="b">
        <v>0</v>
      </c>
      <c r="CE1473" t="b">
        <v>0</v>
      </c>
      <c r="CF1473" t="b">
        <v>0</v>
      </c>
    </row>
    <row r="1474" spans="1:84" x14ac:dyDescent="0.3">
      <c r="A1474" t="s">
        <v>4176</v>
      </c>
      <c r="B1474" t="s">
        <v>1247</v>
      </c>
      <c r="C1474" s="98">
        <v>45817</v>
      </c>
      <c r="D1474">
        <v>2025</v>
      </c>
      <c r="E1474">
        <v>6</v>
      </c>
      <c r="F1474">
        <v>2</v>
      </c>
      <c r="G1474" t="s">
        <v>1243</v>
      </c>
      <c r="H1474" t="s">
        <v>151</v>
      </c>
      <c r="I1474" t="s">
        <v>151</v>
      </c>
      <c r="J1474" t="s">
        <v>6</v>
      </c>
      <c r="L1474">
        <v>522611</v>
      </c>
      <c r="M1474" s="99" t="s">
        <v>179</v>
      </c>
      <c r="N1474">
        <v>2</v>
      </c>
      <c r="O1474">
        <v>23</v>
      </c>
      <c r="P1474">
        <v>9.9199999999999997E-2</v>
      </c>
      <c r="Q1474" t="s">
        <v>352</v>
      </c>
      <c r="R1474">
        <v>1</v>
      </c>
      <c r="S1474">
        <v>0.1026</v>
      </c>
      <c r="T1474">
        <v>2.7000000000000001E-3</v>
      </c>
      <c r="U1474">
        <v>-1.2592592592592593</v>
      </c>
      <c r="V1474">
        <v>9.4500000000000001E-2</v>
      </c>
      <c r="W1474">
        <v>9.7199999999999995E-2</v>
      </c>
      <c r="X1474">
        <v>9.9900000000000003E-2</v>
      </c>
      <c r="Y1474">
        <v>0.10529999999999999</v>
      </c>
      <c r="Z1474">
        <v>0.108</v>
      </c>
      <c r="AA1474">
        <v>0.11069999999999999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 t="s">
        <v>462</v>
      </c>
      <c r="AL1474" t="s">
        <v>6</v>
      </c>
      <c r="AM1474" t="s">
        <v>1145</v>
      </c>
      <c r="AN1474" t="s">
        <v>1146</v>
      </c>
      <c r="AO1474" s="100">
        <v>46262.040405092594</v>
      </c>
      <c r="AP1474" t="s">
        <v>1147</v>
      </c>
      <c r="AQ1474" t="s">
        <v>4177</v>
      </c>
      <c r="AR1474" t="s">
        <v>1249</v>
      </c>
      <c r="AS1474" t="s">
        <v>1150</v>
      </c>
      <c r="AT1474" t="s">
        <v>4083</v>
      </c>
      <c r="AU1474">
        <v>25</v>
      </c>
      <c r="AV1474">
        <v>0.10256400000000002</v>
      </c>
      <c r="AW1474">
        <v>3.7048256819091139E-3</v>
      </c>
      <c r="AX1474">
        <v>3.6122086520700374</v>
      </c>
      <c r="BB1474" t="s">
        <v>4620</v>
      </c>
      <c r="BD1474" s="98"/>
      <c r="BE1474" s="98"/>
      <c r="BF1474" t="s">
        <v>1152</v>
      </c>
      <c r="BG1474" t="s">
        <v>322</v>
      </c>
      <c r="BH1474" t="s">
        <v>1153</v>
      </c>
      <c r="BN1474" t="s">
        <v>1154</v>
      </c>
      <c r="BO1474">
        <v>2025</v>
      </c>
      <c r="BP1474" t="s">
        <v>966</v>
      </c>
      <c r="BZ1474" t="s">
        <v>1513</v>
      </c>
      <c r="CA1474" t="s">
        <v>1513</v>
      </c>
      <c r="CB1474" t="b">
        <v>0</v>
      </c>
      <c r="CC1474" t="b">
        <v>0</v>
      </c>
      <c r="CD1474" t="b">
        <v>0</v>
      </c>
      <c r="CE1474" t="b">
        <v>0</v>
      </c>
      <c r="CF1474" t="b">
        <v>0</v>
      </c>
    </row>
    <row r="1475" spans="1:84" x14ac:dyDescent="0.3">
      <c r="A1475" t="s">
        <v>4178</v>
      </c>
      <c r="B1475" t="s">
        <v>1251</v>
      </c>
      <c r="C1475" s="98">
        <v>45824</v>
      </c>
      <c r="D1475">
        <v>2025</v>
      </c>
      <c r="E1475">
        <v>6</v>
      </c>
      <c r="F1475">
        <v>2</v>
      </c>
      <c r="G1475" t="s">
        <v>1243</v>
      </c>
      <c r="H1475" t="s">
        <v>151</v>
      </c>
      <c r="I1475" t="s">
        <v>151</v>
      </c>
      <c r="J1475" t="s">
        <v>6</v>
      </c>
      <c r="L1475">
        <v>522611</v>
      </c>
      <c r="M1475" s="99" t="s">
        <v>179</v>
      </c>
      <c r="N1475">
        <v>2</v>
      </c>
      <c r="O1475">
        <v>24</v>
      </c>
      <c r="P1475">
        <v>0.1062</v>
      </c>
      <c r="Q1475" t="s">
        <v>352</v>
      </c>
      <c r="R1475">
        <v>1</v>
      </c>
      <c r="S1475">
        <v>0.1026</v>
      </c>
      <c r="T1475">
        <v>2.7000000000000001E-3</v>
      </c>
      <c r="U1475">
        <v>1.3333333333333355</v>
      </c>
      <c r="V1475">
        <v>9.4500000000000001E-2</v>
      </c>
      <c r="W1475">
        <v>9.7199999999999995E-2</v>
      </c>
      <c r="X1475">
        <v>9.9900000000000003E-2</v>
      </c>
      <c r="Y1475">
        <v>0.10529999999999999</v>
      </c>
      <c r="Z1475">
        <v>0.108</v>
      </c>
      <c r="AA1475">
        <v>0.11069999999999999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 t="s">
        <v>462</v>
      </c>
      <c r="AL1475" t="s">
        <v>6</v>
      </c>
      <c r="AM1475" t="s">
        <v>1145</v>
      </c>
      <c r="AN1475" t="s">
        <v>1146</v>
      </c>
      <c r="AO1475" s="100">
        <v>46262.040405092594</v>
      </c>
      <c r="AP1475" t="s">
        <v>1147</v>
      </c>
      <c r="AQ1475" t="s">
        <v>4179</v>
      </c>
      <c r="AR1475" t="s">
        <v>1253</v>
      </c>
      <c r="AS1475" t="s">
        <v>1150</v>
      </c>
      <c r="AT1475" t="s">
        <v>4083</v>
      </c>
      <c r="AU1475">
        <v>25</v>
      </c>
      <c r="AV1475">
        <v>0.10256400000000002</v>
      </c>
      <c r="AW1475">
        <v>3.7048256819091139E-3</v>
      </c>
      <c r="AX1475">
        <v>3.6122086520700374</v>
      </c>
      <c r="BB1475" t="s">
        <v>4620</v>
      </c>
      <c r="BD1475" s="98"/>
      <c r="BE1475" s="98"/>
      <c r="BF1475" t="s">
        <v>1152</v>
      </c>
      <c r="BG1475" t="s">
        <v>322</v>
      </c>
      <c r="BH1475" t="s">
        <v>1153</v>
      </c>
      <c r="BN1475" t="s">
        <v>1154</v>
      </c>
      <c r="BO1475">
        <v>2025</v>
      </c>
      <c r="BP1475" t="s">
        <v>966</v>
      </c>
      <c r="BZ1475" t="s">
        <v>1513</v>
      </c>
      <c r="CA1475" t="s">
        <v>1513</v>
      </c>
      <c r="CB1475" t="b">
        <v>0</v>
      </c>
      <c r="CC1475" t="b">
        <v>0</v>
      </c>
      <c r="CD1475" t="b">
        <v>0</v>
      </c>
      <c r="CE1475" t="b">
        <v>0</v>
      </c>
      <c r="CF1475" t="b">
        <v>0</v>
      </c>
    </row>
    <row r="1476" spans="1:84" x14ac:dyDescent="0.3">
      <c r="A1476" t="s">
        <v>4180</v>
      </c>
      <c r="B1476" t="s">
        <v>1255</v>
      </c>
      <c r="C1476" s="98">
        <v>45831</v>
      </c>
      <c r="D1476">
        <v>2025</v>
      </c>
      <c r="E1476">
        <v>6</v>
      </c>
      <c r="F1476">
        <v>2</v>
      </c>
      <c r="G1476" t="s">
        <v>1243</v>
      </c>
      <c r="H1476" t="s">
        <v>151</v>
      </c>
      <c r="I1476" t="s">
        <v>151</v>
      </c>
      <c r="J1476" t="s">
        <v>6</v>
      </c>
      <c r="L1476">
        <v>522611</v>
      </c>
      <c r="M1476" s="99" t="s">
        <v>179</v>
      </c>
      <c r="N1476">
        <v>2</v>
      </c>
      <c r="O1476">
        <v>25</v>
      </c>
      <c r="P1476">
        <v>0.1</v>
      </c>
      <c r="Q1476" t="s">
        <v>352</v>
      </c>
      <c r="R1476">
        <v>1</v>
      </c>
      <c r="S1476">
        <v>0.1026</v>
      </c>
      <c r="T1476">
        <v>2.7000000000000001E-3</v>
      </c>
      <c r="U1476">
        <v>-0.96296296296295969</v>
      </c>
      <c r="V1476">
        <v>9.4500000000000001E-2</v>
      </c>
      <c r="W1476">
        <v>9.7199999999999995E-2</v>
      </c>
      <c r="X1476">
        <v>9.9900000000000003E-2</v>
      </c>
      <c r="Y1476">
        <v>0.10529999999999999</v>
      </c>
      <c r="Z1476">
        <v>0.108</v>
      </c>
      <c r="AA1476">
        <v>0.11069999999999999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 t="s">
        <v>462</v>
      </c>
      <c r="AL1476" t="s">
        <v>6</v>
      </c>
      <c r="AM1476" t="s">
        <v>1145</v>
      </c>
      <c r="AN1476" t="s">
        <v>1146</v>
      </c>
      <c r="AO1476" s="100">
        <v>46262.040405092594</v>
      </c>
      <c r="AP1476" t="s">
        <v>1147</v>
      </c>
      <c r="AQ1476" t="s">
        <v>4181</v>
      </c>
      <c r="AR1476" t="s">
        <v>1257</v>
      </c>
      <c r="AS1476" t="s">
        <v>1150</v>
      </c>
      <c r="AT1476" t="s">
        <v>4083</v>
      </c>
      <c r="AU1476">
        <v>25</v>
      </c>
      <c r="AV1476">
        <v>0.10256400000000002</v>
      </c>
      <c r="AW1476">
        <v>3.7048256819091139E-3</v>
      </c>
      <c r="AX1476">
        <v>3.6122086520700374</v>
      </c>
      <c r="BB1476" t="s">
        <v>4620</v>
      </c>
      <c r="BD1476" s="98"/>
      <c r="BE1476" s="98"/>
      <c r="BF1476" t="s">
        <v>1152</v>
      </c>
      <c r="BG1476" t="s">
        <v>322</v>
      </c>
      <c r="BH1476" t="s">
        <v>1153</v>
      </c>
      <c r="BN1476" t="s">
        <v>1154</v>
      </c>
      <c r="BO1476">
        <v>2025</v>
      </c>
      <c r="BP1476" t="s">
        <v>966</v>
      </c>
      <c r="BZ1476" t="s">
        <v>1513</v>
      </c>
      <c r="CA1476" t="s">
        <v>1513</v>
      </c>
      <c r="CB1476" t="b">
        <v>0</v>
      </c>
      <c r="CC1476" t="b">
        <v>0</v>
      </c>
      <c r="CD1476" t="b">
        <v>0</v>
      </c>
      <c r="CE1476" t="b">
        <v>0</v>
      </c>
      <c r="CF1476" t="b">
        <v>0</v>
      </c>
    </row>
    <row r="1477" spans="1:84" x14ac:dyDescent="0.3">
      <c r="A1477" t="s">
        <v>4182</v>
      </c>
      <c r="B1477" t="s">
        <v>1143</v>
      </c>
      <c r="C1477" s="98">
        <v>45663</v>
      </c>
      <c r="D1477">
        <v>2025</v>
      </c>
      <c r="E1477">
        <v>1</v>
      </c>
      <c r="F1477">
        <v>1</v>
      </c>
      <c r="G1477" t="s">
        <v>1144</v>
      </c>
      <c r="H1477" t="s">
        <v>151</v>
      </c>
      <c r="I1477" t="s">
        <v>151</v>
      </c>
      <c r="J1477" t="s">
        <v>6</v>
      </c>
      <c r="L1477">
        <v>522611</v>
      </c>
      <c r="M1477" s="99" t="s">
        <v>180</v>
      </c>
      <c r="N1477">
        <v>3</v>
      </c>
      <c r="O1477">
        <v>1</v>
      </c>
      <c r="P1477">
        <v>6.4799999999999996E-2</v>
      </c>
      <c r="Q1477" t="s">
        <v>352</v>
      </c>
      <c r="R1477">
        <v>1</v>
      </c>
      <c r="S1477">
        <v>6.3299999999999995E-2</v>
      </c>
      <c r="T1477">
        <v>2.7000000000000001E-3</v>
      </c>
      <c r="U1477">
        <v>0.55555555555555602</v>
      </c>
      <c r="V1477">
        <v>5.5199999999999992E-2</v>
      </c>
      <c r="W1477">
        <v>5.7899999999999993E-2</v>
      </c>
      <c r="X1477">
        <v>6.0599999999999994E-2</v>
      </c>
      <c r="Y1477">
        <v>6.5999999999999989E-2</v>
      </c>
      <c r="Z1477">
        <v>6.8699999999999997E-2</v>
      </c>
      <c r="AA1477">
        <v>7.1399999999999991E-2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 t="s">
        <v>462</v>
      </c>
      <c r="AL1477" t="s">
        <v>6</v>
      </c>
      <c r="AM1477" t="s">
        <v>1145</v>
      </c>
      <c r="AN1477" t="s">
        <v>1146</v>
      </c>
      <c r="AO1477" s="100">
        <v>46262.040405092594</v>
      </c>
      <c r="AP1477" t="s">
        <v>1147</v>
      </c>
      <c r="AQ1477" t="s">
        <v>4183</v>
      </c>
      <c r="AR1477" t="s">
        <v>1149</v>
      </c>
      <c r="AS1477" t="s">
        <v>1150</v>
      </c>
      <c r="AT1477" t="s">
        <v>4083</v>
      </c>
      <c r="AU1477">
        <v>25</v>
      </c>
      <c r="AV1477">
        <v>6.3236000000000001E-2</v>
      </c>
      <c r="AW1477">
        <v>2.2521989254948149E-3</v>
      </c>
      <c r="AX1477">
        <v>3.5615771482934004</v>
      </c>
      <c r="BB1477" t="s">
        <v>4620</v>
      </c>
      <c r="BD1477" s="98"/>
      <c r="BE1477" s="98"/>
      <c r="BF1477" t="s">
        <v>1152</v>
      </c>
      <c r="BG1477" t="s">
        <v>322</v>
      </c>
      <c r="BH1477" t="s">
        <v>1153</v>
      </c>
      <c r="BN1477" t="s">
        <v>1154</v>
      </c>
      <c r="BO1477">
        <v>2025</v>
      </c>
      <c r="BP1477" t="s">
        <v>966</v>
      </c>
      <c r="BZ1477" t="s">
        <v>1513</v>
      </c>
      <c r="CA1477" t="s">
        <v>1513</v>
      </c>
      <c r="CB1477" t="b">
        <v>0</v>
      </c>
      <c r="CC1477" t="b">
        <v>0</v>
      </c>
      <c r="CD1477" t="b">
        <v>0</v>
      </c>
      <c r="CE1477" t="b">
        <v>0</v>
      </c>
      <c r="CF1477" t="b">
        <v>0</v>
      </c>
    </row>
    <row r="1478" spans="1:84" x14ac:dyDescent="0.3">
      <c r="A1478" t="s">
        <v>4184</v>
      </c>
      <c r="B1478" t="s">
        <v>1157</v>
      </c>
      <c r="C1478" s="98">
        <v>45670</v>
      </c>
      <c r="D1478">
        <v>2025</v>
      </c>
      <c r="E1478">
        <v>1</v>
      </c>
      <c r="F1478">
        <v>1</v>
      </c>
      <c r="G1478" t="s">
        <v>1144</v>
      </c>
      <c r="H1478" t="s">
        <v>151</v>
      </c>
      <c r="I1478" t="s">
        <v>151</v>
      </c>
      <c r="J1478" t="s">
        <v>6</v>
      </c>
      <c r="L1478">
        <v>522611</v>
      </c>
      <c r="M1478" s="99" t="s">
        <v>180</v>
      </c>
      <c r="N1478">
        <v>3</v>
      </c>
      <c r="O1478">
        <v>2</v>
      </c>
      <c r="P1478">
        <v>6.3200000000000006E-2</v>
      </c>
      <c r="Q1478" t="s">
        <v>352</v>
      </c>
      <c r="R1478">
        <v>1</v>
      </c>
      <c r="S1478">
        <v>6.3299999999999995E-2</v>
      </c>
      <c r="T1478">
        <v>2.7000000000000001E-3</v>
      </c>
      <c r="U1478">
        <v>-3.7037037037032955E-2</v>
      </c>
      <c r="V1478">
        <v>5.5199999999999992E-2</v>
      </c>
      <c r="W1478">
        <v>5.7899999999999993E-2</v>
      </c>
      <c r="X1478">
        <v>6.0599999999999994E-2</v>
      </c>
      <c r="Y1478">
        <v>6.5999999999999989E-2</v>
      </c>
      <c r="Z1478">
        <v>6.8699999999999997E-2</v>
      </c>
      <c r="AA1478">
        <v>7.1399999999999991E-2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 t="s">
        <v>462</v>
      </c>
      <c r="AL1478" t="s">
        <v>6</v>
      </c>
      <c r="AM1478" t="s">
        <v>1145</v>
      </c>
      <c r="AN1478" t="s">
        <v>1146</v>
      </c>
      <c r="AO1478" s="100">
        <v>46262.040405092594</v>
      </c>
      <c r="AP1478" t="s">
        <v>1147</v>
      </c>
      <c r="AQ1478" t="s">
        <v>4185</v>
      </c>
      <c r="AR1478" t="s">
        <v>1159</v>
      </c>
      <c r="AS1478" t="s">
        <v>1150</v>
      </c>
      <c r="AT1478" t="s">
        <v>4083</v>
      </c>
      <c r="AU1478">
        <v>25</v>
      </c>
      <c r="AV1478">
        <v>6.3236000000000001E-2</v>
      </c>
      <c r="AW1478">
        <v>2.2521989254948149E-3</v>
      </c>
      <c r="AX1478">
        <v>3.5615771482934004</v>
      </c>
      <c r="BB1478" t="s">
        <v>4620</v>
      </c>
      <c r="BD1478" s="98"/>
      <c r="BE1478" s="98"/>
      <c r="BF1478" t="s">
        <v>1152</v>
      </c>
      <c r="BG1478" t="s">
        <v>322</v>
      </c>
      <c r="BH1478" t="s">
        <v>1153</v>
      </c>
      <c r="BN1478" t="s">
        <v>1154</v>
      </c>
      <c r="BO1478">
        <v>2025</v>
      </c>
      <c r="BP1478" t="s">
        <v>966</v>
      </c>
      <c r="BZ1478" t="s">
        <v>1513</v>
      </c>
      <c r="CA1478" t="s">
        <v>1513</v>
      </c>
      <c r="CB1478" t="b">
        <v>0</v>
      </c>
      <c r="CC1478" t="b">
        <v>0</v>
      </c>
      <c r="CD1478" t="b">
        <v>0</v>
      </c>
      <c r="CE1478" t="b">
        <v>0</v>
      </c>
      <c r="CF1478" t="b">
        <v>0</v>
      </c>
    </row>
    <row r="1479" spans="1:84" x14ac:dyDescent="0.3">
      <c r="A1479" t="s">
        <v>4186</v>
      </c>
      <c r="B1479" t="s">
        <v>1161</v>
      </c>
      <c r="C1479" s="98">
        <v>45677</v>
      </c>
      <c r="D1479">
        <v>2025</v>
      </c>
      <c r="E1479">
        <v>1</v>
      </c>
      <c r="F1479">
        <v>1</v>
      </c>
      <c r="G1479" t="s">
        <v>1144</v>
      </c>
      <c r="H1479" t="s">
        <v>151</v>
      </c>
      <c r="I1479" t="s">
        <v>151</v>
      </c>
      <c r="J1479" t="s">
        <v>6</v>
      </c>
      <c r="L1479">
        <v>522611</v>
      </c>
      <c r="M1479" s="99" t="s">
        <v>180</v>
      </c>
      <c r="N1479">
        <v>3</v>
      </c>
      <c r="O1479">
        <v>3</v>
      </c>
      <c r="P1479">
        <v>6.0499999999999998E-2</v>
      </c>
      <c r="Q1479" t="s">
        <v>352</v>
      </c>
      <c r="R1479">
        <v>1</v>
      </c>
      <c r="S1479">
        <v>6.3299999999999995E-2</v>
      </c>
      <c r="T1479">
        <v>2.7000000000000001E-3</v>
      </c>
      <c r="U1479">
        <v>-1.0370370370370359</v>
      </c>
      <c r="V1479">
        <v>5.5199999999999992E-2</v>
      </c>
      <c r="W1479">
        <v>5.7899999999999993E-2</v>
      </c>
      <c r="X1479">
        <v>6.0599999999999994E-2</v>
      </c>
      <c r="Y1479">
        <v>6.5999999999999989E-2</v>
      </c>
      <c r="Z1479">
        <v>6.8699999999999997E-2</v>
      </c>
      <c r="AA1479">
        <v>7.1399999999999991E-2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 t="s">
        <v>462</v>
      </c>
      <c r="AL1479" t="s">
        <v>6</v>
      </c>
      <c r="AM1479" t="s">
        <v>1145</v>
      </c>
      <c r="AN1479" t="s">
        <v>1146</v>
      </c>
      <c r="AO1479" s="100">
        <v>46262.040405092594</v>
      </c>
      <c r="AP1479" t="s">
        <v>1147</v>
      </c>
      <c r="AQ1479" t="s">
        <v>4187</v>
      </c>
      <c r="AR1479" t="s">
        <v>1163</v>
      </c>
      <c r="AS1479" t="s">
        <v>1150</v>
      </c>
      <c r="AT1479" t="s">
        <v>4083</v>
      </c>
      <c r="AU1479">
        <v>25</v>
      </c>
      <c r="AV1479">
        <v>6.3236000000000001E-2</v>
      </c>
      <c r="AW1479">
        <v>2.2521989254948149E-3</v>
      </c>
      <c r="AX1479">
        <v>3.5615771482934004</v>
      </c>
      <c r="BB1479" t="s">
        <v>4620</v>
      </c>
      <c r="BD1479" s="98"/>
      <c r="BE1479" s="98"/>
      <c r="BF1479" t="s">
        <v>1152</v>
      </c>
      <c r="BG1479" t="s">
        <v>322</v>
      </c>
      <c r="BH1479" t="s">
        <v>1153</v>
      </c>
      <c r="BN1479" t="s">
        <v>1154</v>
      </c>
      <c r="BO1479">
        <v>2025</v>
      </c>
      <c r="BP1479" t="s">
        <v>966</v>
      </c>
      <c r="BZ1479" t="s">
        <v>1513</v>
      </c>
      <c r="CA1479" t="s">
        <v>1513</v>
      </c>
      <c r="CB1479" t="b">
        <v>0</v>
      </c>
      <c r="CC1479" t="b">
        <v>0</v>
      </c>
      <c r="CD1479" t="b">
        <v>0</v>
      </c>
      <c r="CE1479" t="b">
        <v>0</v>
      </c>
      <c r="CF1479" t="b">
        <v>0</v>
      </c>
    </row>
    <row r="1480" spans="1:84" x14ac:dyDescent="0.3">
      <c r="A1480" t="s">
        <v>4188</v>
      </c>
      <c r="B1480" t="s">
        <v>1165</v>
      </c>
      <c r="C1480" s="98">
        <v>45684</v>
      </c>
      <c r="D1480">
        <v>2025</v>
      </c>
      <c r="E1480">
        <v>1</v>
      </c>
      <c r="F1480">
        <v>1</v>
      </c>
      <c r="G1480" t="s">
        <v>1144</v>
      </c>
      <c r="H1480" t="s">
        <v>151</v>
      </c>
      <c r="I1480" t="s">
        <v>151</v>
      </c>
      <c r="J1480" t="s">
        <v>6</v>
      </c>
      <c r="L1480">
        <v>522611</v>
      </c>
      <c r="M1480" s="99" t="s">
        <v>180</v>
      </c>
      <c r="N1480">
        <v>3</v>
      </c>
      <c r="O1480">
        <v>4</v>
      </c>
      <c r="P1480">
        <v>6.2399999999999997E-2</v>
      </c>
      <c r="Q1480" t="s">
        <v>352</v>
      </c>
      <c r="R1480">
        <v>1</v>
      </c>
      <c r="S1480">
        <v>6.3299999999999995E-2</v>
      </c>
      <c r="T1480">
        <v>2.7000000000000001E-3</v>
      </c>
      <c r="U1480">
        <v>-0.33333333333333259</v>
      </c>
      <c r="V1480">
        <v>5.5199999999999992E-2</v>
      </c>
      <c r="W1480">
        <v>5.7899999999999993E-2</v>
      </c>
      <c r="X1480">
        <v>6.0599999999999994E-2</v>
      </c>
      <c r="Y1480">
        <v>6.5999999999999989E-2</v>
      </c>
      <c r="Z1480">
        <v>6.8699999999999997E-2</v>
      </c>
      <c r="AA1480">
        <v>7.1399999999999991E-2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 t="s">
        <v>462</v>
      </c>
      <c r="AL1480" t="s">
        <v>6</v>
      </c>
      <c r="AM1480" t="s">
        <v>1145</v>
      </c>
      <c r="AN1480" t="s">
        <v>1146</v>
      </c>
      <c r="AO1480" s="100">
        <v>46262.040405092594</v>
      </c>
      <c r="AP1480" t="s">
        <v>1147</v>
      </c>
      <c r="AQ1480" t="s">
        <v>4189</v>
      </c>
      <c r="AR1480" t="s">
        <v>1167</v>
      </c>
      <c r="AS1480" t="s">
        <v>1150</v>
      </c>
      <c r="AT1480" t="s">
        <v>4083</v>
      </c>
      <c r="AU1480">
        <v>25</v>
      </c>
      <c r="AV1480">
        <v>6.3236000000000001E-2</v>
      </c>
      <c r="AW1480">
        <v>2.2521989254948149E-3</v>
      </c>
      <c r="AX1480">
        <v>3.5615771482934004</v>
      </c>
      <c r="BB1480" t="s">
        <v>4620</v>
      </c>
      <c r="BD1480" s="98"/>
      <c r="BE1480" s="98"/>
      <c r="BF1480" t="s">
        <v>1152</v>
      </c>
      <c r="BG1480" t="s">
        <v>322</v>
      </c>
      <c r="BH1480" t="s">
        <v>1153</v>
      </c>
      <c r="BN1480" t="s">
        <v>1154</v>
      </c>
      <c r="BO1480">
        <v>2025</v>
      </c>
      <c r="BP1480" t="s">
        <v>966</v>
      </c>
      <c r="BZ1480" t="s">
        <v>1513</v>
      </c>
      <c r="CA1480" t="s">
        <v>1513</v>
      </c>
      <c r="CB1480" t="b">
        <v>0</v>
      </c>
      <c r="CC1480" t="b">
        <v>0</v>
      </c>
      <c r="CD1480" t="b">
        <v>0</v>
      </c>
      <c r="CE1480" t="b">
        <v>0</v>
      </c>
      <c r="CF1480" t="b">
        <v>0</v>
      </c>
    </row>
    <row r="1481" spans="1:84" x14ac:dyDescent="0.3">
      <c r="A1481" t="s">
        <v>4190</v>
      </c>
      <c r="B1481" t="s">
        <v>1169</v>
      </c>
      <c r="C1481" s="98">
        <v>45691</v>
      </c>
      <c r="D1481">
        <v>2025</v>
      </c>
      <c r="E1481">
        <v>2</v>
      </c>
      <c r="F1481">
        <v>1</v>
      </c>
      <c r="G1481" t="s">
        <v>1170</v>
      </c>
      <c r="H1481" t="s">
        <v>151</v>
      </c>
      <c r="I1481" t="s">
        <v>151</v>
      </c>
      <c r="J1481" t="s">
        <v>6</v>
      </c>
      <c r="L1481">
        <v>522611</v>
      </c>
      <c r="M1481" s="99" t="s">
        <v>180</v>
      </c>
      <c r="N1481">
        <v>3</v>
      </c>
      <c r="O1481">
        <v>5</v>
      </c>
      <c r="P1481">
        <v>6.1899999999999997E-2</v>
      </c>
      <c r="Q1481" t="s">
        <v>352</v>
      </c>
      <c r="R1481">
        <v>1</v>
      </c>
      <c r="S1481">
        <v>6.3299999999999995E-2</v>
      </c>
      <c r="T1481">
        <v>2.7000000000000001E-3</v>
      </c>
      <c r="U1481">
        <v>-0.51851851851851793</v>
      </c>
      <c r="V1481">
        <v>5.5199999999999992E-2</v>
      </c>
      <c r="W1481">
        <v>5.7899999999999993E-2</v>
      </c>
      <c r="X1481">
        <v>6.0599999999999994E-2</v>
      </c>
      <c r="Y1481">
        <v>6.5999999999999989E-2</v>
      </c>
      <c r="Z1481">
        <v>6.8699999999999997E-2</v>
      </c>
      <c r="AA1481">
        <v>7.1399999999999991E-2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 t="s">
        <v>462</v>
      </c>
      <c r="AL1481" t="s">
        <v>6</v>
      </c>
      <c r="AM1481" t="s">
        <v>1145</v>
      </c>
      <c r="AN1481" t="s">
        <v>1146</v>
      </c>
      <c r="AO1481" s="100">
        <v>46262.040405092594</v>
      </c>
      <c r="AP1481" t="s">
        <v>1147</v>
      </c>
      <c r="AQ1481" t="s">
        <v>4191</v>
      </c>
      <c r="AR1481" t="s">
        <v>1172</v>
      </c>
      <c r="AS1481" t="s">
        <v>1150</v>
      </c>
      <c r="AT1481" t="s">
        <v>4083</v>
      </c>
      <c r="AU1481">
        <v>25</v>
      </c>
      <c r="AV1481">
        <v>6.3236000000000001E-2</v>
      </c>
      <c r="AW1481">
        <v>2.2521989254948149E-3</v>
      </c>
      <c r="AX1481">
        <v>3.5615771482934004</v>
      </c>
      <c r="BB1481" t="s">
        <v>4620</v>
      </c>
      <c r="BD1481" s="98"/>
      <c r="BE1481" s="98"/>
      <c r="BF1481" t="s">
        <v>1152</v>
      </c>
      <c r="BG1481" t="s">
        <v>322</v>
      </c>
      <c r="BH1481" t="s">
        <v>1153</v>
      </c>
      <c r="BN1481" t="s">
        <v>1154</v>
      </c>
      <c r="BO1481">
        <v>2025</v>
      </c>
      <c r="BP1481" t="s">
        <v>966</v>
      </c>
      <c r="BZ1481" t="s">
        <v>1513</v>
      </c>
      <c r="CA1481" t="s">
        <v>1513</v>
      </c>
      <c r="CB1481" t="b">
        <v>0</v>
      </c>
      <c r="CC1481" t="b">
        <v>0</v>
      </c>
      <c r="CD1481" t="b">
        <v>0</v>
      </c>
      <c r="CE1481" t="b">
        <v>0</v>
      </c>
      <c r="CF1481" t="b">
        <v>0</v>
      </c>
    </row>
    <row r="1482" spans="1:84" x14ac:dyDescent="0.3">
      <c r="A1482" t="s">
        <v>4192</v>
      </c>
      <c r="B1482" t="s">
        <v>1174</v>
      </c>
      <c r="C1482" s="98">
        <v>45698</v>
      </c>
      <c r="D1482">
        <v>2025</v>
      </c>
      <c r="E1482">
        <v>2</v>
      </c>
      <c r="F1482">
        <v>1</v>
      </c>
      <c r="G1482" t="s">
        <v>1170</v>
      </c>
      <c r="H1482" t="s">
        <v>151</v>
      </c>
      <c r="I1482" t="s">
        <v>151</v>
      </c>
      <c r="J1482" t="s">
        <v>6</v>
      </c>
      <c r="L1482">
        <v>522611</v>
      </c>
      <c r="M1482" s="99" t="s">
        <v>180</v>
      </c>
      <c r="N1482">
        <v>3</v>
      </c>
      <c r="O1482">
        <v>6</v>
      </c>
      <c r="P1482">
        <v>6.2E-2</v>
      </c>
      <c r="Q1482" t="s">
        <v>352</v>
      </c>
      <c r="R1482">
        <v>1</v>
      </c>
      <c r="S1482">
        <v>6.3299999999999995E-2</v>
      </c>
      <c r="T1482">
        <v>2.7000000000000001E-3</v>
      </c>
      <c r="U1482">
        <v>-0.48148148148147984</v>
      </c>
      <c r="V1482">
        <v>5.5199999999999992E-2</v>
      </c>
      <c r="W1482">
        <v>5.7899999999999993E-2</v>
      </c>
      <c r="X1482">
        <v>6.0599999999999994E-2</v>
      </c>
      <c r="Y1482">
        <v>6.5999999999999989E-2</v>
      </c>
      <c r="Z1482">
        <v>6.8699999999999997E-2</v>
      </c>
      <c r="AA1482">
        <v>7.1399999999999991E-2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 t="s">
        <v>462</v>
      </c>
      <c r="AL1482" t="s">
        <v>6</v>
      </c>
      <c r="AM1482" t="s">
        <v>1145</v>
      </c>
      <c r="AN1482" t="s">
        <v>1146</v>
      </c>
      <c r="AO1482" s="100">
        <v>46262.040405092594</v>
      </c>
      <c r="AP1482" t="s">
        <v>1147</v>
      </c>
      <c r="AQ1482" t="s">
        <v>4193</v>
      </c>
      <c r="AR1482" t="s">
        <v>1176</v>
      </c>
      <c r="AS1482" t="s">
        <v>1150</v>
      </c>
      <c r="AT1482" t="s">
        <v>4083</v>
      </c>
      <c r="AU1482">
        <v>25</v>
      </c>
      <c r="AV1482">
        <v>6.3236000000000001E-2</v>
      </c>
      <c r="AW1482">
        <v>2.2521989254948149E-3</v>
      </c>
      <c r="AX1482">
        <v>3.5615771482934004</v>
      </c>
      <c r="BB1482" t="s">
        <v>4620</v>
      </c>
      <c r="BD1482" s="98"/>
      <c r="BE1482" s="98"/>
      <c r="BF1482" t="s">
        <v>1152</v>
      </c>
      <c r="BG1482" t="s">
        <v>322</v>
      </c>
      <c r="BH1482" t="s">
        <v>1153</v>
      </c>
      <c r="BN1482" t="s">
        <v>1154</v>
      </c>
      <c r="BO1482">
        <v>2025</v>
      </c>
      <c r="BP1482" t="s">
        <v>966</v>
      </c>
      <c r="BZ1482" t="s">
        <v>1513</v>
      </c>
      <c r="CA1482" t="s">
        <v>1513</v>
      </c>
      <c r="CB1482" t="b">
        <v>0</v>
      </c>
      <c r="CC1482" t="b">
        <v>0</v>
      </c>
      <c r="CD1482" t="b">
        <v>0</v>
      </c>
      <c r="CE1482" t="b">
        <v>0</v>
      </c>
      <c r="CF1482" t="b">
        <v>0</v>
      </c>
    </row>
    <row r="1483" spans="1:84" x14ac:dyDescent="0.3">
      <c r="A1483" t="s">
        <v>4194</v>
      </c>
      <c r="B1483" t="s">
        <v>1178</v>
      </c>
      <c r="C1483" s="98">
        <v>45705</v>
      </c>
      <c r="D1483">
        <v>2025</v>
      </c>
      <c r="E1483">
        <v>2</v>
      </c>
      <c r="F1483">
        <v>1</v>
      </c>
      <c r="G1483" t="s">
        <v>1170</v>
      </c>
      <c r="H1483" t="s">
        <v>151</v>
      </c>
      <c r="I1483" t="s">
        <v>151</v>
      </c>
      <c r="J1483" t="s">
        <v>6</v>
      </c>
      <c r="L1483">
        <v>522611</v>
      </c>
      <c r="M1483" s="99" t="s">
        <v>180</v>
      </c>
      <c r="N1483">
        <v>3</v>
      </c>
      <c r="O1483">
        <v>7</v>
      </c>
      <c r="P1483">
        <v>6.54E-2</v>
      </c>
      <c r="Q1483" t="s">
        <v>352</v>
      </c>
      <c r="R1483">
        <v>1</v>
      </c>
      <c r="S1483">
        <v>6.3299999999999995E-2</v>
      </c>
      <c r="T1483">
        <v>2.7000000000000001E-3</v>
      </c>
      <c r="U1483">
        <v>0.77777777777777946</v>
      </c>
      <c r="V1483">
        <v>5.5199999999999992E-2</v>
      </c>
      <c r="W1483">
        <v>5.7899999999999993E-2</v>
      </c>
      <c r="X1483">
        <v>6.0599999999999994E-2</v>
      </c>
      <c r="Y1483">
        <v>6.5999999999999989E-2</v>
      </c>
      <c r="Z1483">
        <v>6.8699999999999997E-2</v>
      </c>
      <c r="AA1483">
        <v>7.1399999999999991E-2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 t="s">
        <v>462</v>
      </c>
      <c r="AL1483" t="s">
        <v>6</v>
      </c>
      <c r="AM1483" t="s">
        <v>1145</v>
      </c>
      <c r="AN1483" t="s">
        <v>1146</v>
      </c>
      <c r="AO1483" s="100">
        <v>46262.040405092594</v>
      </c>
      <c r="AP1483" t="s">
        <v>1147</v>
      </c>
      <c r="AQ1483" t="s">
        <v>4195</v>
      </c>
      <c r="AR1483" t="s">
        <v>1180</v>
      </c>
      <c r="AS1483" t="s">
        <v>1150</v>
      </c>
      <c r="AT1483" t="s">
        <v>4083</v>
      </c>
      <c r="AU1483">
        <v>25</v>
      </c>
      <c r="AV1483">
        <v>6.3236000000000001E-2</v>
      </c>
      <c r="AW1483">
        <v>2.2521989254948149E-3</v>
      </c>
      <c r="AX1483">
        <v>3.5615771482934004</v>
      </c>
      <c r="BB1483" t="s">
        <v>4620</v>
      </c>
      <c r="BD1483" s="98"/>
      <c r="BE1483" s="98"/>
      <c r="BF1483" t="s">
        <v>1152</v>
      </c>
      <c r="BG1483" t="s">
        <v>322</v>
      </c>
      <c r="BH1483" t="s">
        <v>1153</v>
      </c>
      <c r="BN1483" t="s">
        <v>1154</v>
      </c>
      <c r="BO1483">
        <v>2025</v>
      </c>
      <c r="BP1483" t="s">
        <v>966</v>
      </c>
      <c r="BZ1483" t="s">
        <v>1513</v>
      </c>
      <c r="CA1483" t="s">
        <v>1513</v>
      </c>
      <c r="CB1483" t="b">
        <v>0</v>
      </c>
      <c r="CC1483" t="b">
        <v>0</v>
      </c>
      <c r="CD1483" t="b">
        <v>0</v>
      </c>
      <c r="CE1483" t="b">
        <v>0</v>
      </c>
      <c r="CF1483" t="b">
        <v>0</v>
      </c>
    </row>
    <row r="1484" spans="1:84" x14ac:dyDescent="0.3">
      <c r="A1484" t="s">
        <v>4196</v>
      </c>
      <c r="B1484" t="s">
        <v>1182</v>
      </c>
      <c r="C1484" s="98">
        <v>45712</v>
      </c>
      <c r="D1484">
        <v>2025</v>
      </c>
      <c r="E1484">
        <v>2</v>
      </c>
      <c r="F1484">
        <v>1</v>
      </c>
      <c r="G1484" t="s">
        <v>1170</v>
      </c>
      <c r="H1484" t="s">
        <v>151</v>
      </c>
      <c r="I1484" t="s">
        <v>151</v>
      </c>
      <c r="J1484" t="s">
        <v>6</v>
      </c>
      <c r="L1484">
        <v>522611</v>
      </c>
      <c r="M1484" s="99" t="s">
        <v>180</v>
      </c>
      <c r="N1484">
        <v>3</v>
      </c>
      <c r="O1484">
        <v>8</v>
      </c>
      <c r="P1484">
        <v>6.5100000000000005E-2</v>
      </c>
      <c r="Q1484" t="s">
        <v>352</v>
      </c>
      <c r="R1484">
        <v>1</v>
      </c>
      <c r="S1484">
        <v>6.3299999999999995E-2</v>
      </c>
      <c r="T1484">
        <v>2.7000000000000001E-3</v>
      </c>
      <c r="U1484">
        <v>0.66666666666667029</v>
      </c>
      <c r="V1484">
        <v>5.5199999999999992E-2</v>
      </c>
      <c r="W1484">
        <v>5.7899999999999993E-2</v>
      </c>
      <c r="X1484">
        <v>6.0599999999999994E-2</v>
      </c>
      <c r="Y1484">
        <v>6.5999999999999989E-2</v>
      </c>
      <c r="Z1484">
        <v>6.8699999999999997E-2</v>
      </c>
      <c r="AA1484">
        <v>7.1399999999999991E-2</v>
      </c>
      <c r="AE1484">
        <v>0</v>
      </c>
      <c r="AF1484">
        <v>0</v>
      </c>
      <c r="AG1484">
        <v>0</v>
      </c>
      <c r="AH1484">
        <v>0</v>
      </c>
      <c r="AI1484">
        <v>1</v>
      </c>
      <c r="AJ1484">
        <v>0</v>
      </c>
      <c r="AK1484" t="s">
        <v>1213</v>
      </c>
      <c r="AL1484" t="s">
        <v>6</v>
      </c>
      <c r="AM1484" t="s">
        <v>1145</v>
      </c>
      <c r="AN1484" t="s">
        <v>1146</v>
      </c>
      <c r="AO1484" s="100">
        <v>46262.040405092594</v>
      </c>
      <c r="AP1484" t="s">
        <v>1147</v>
      </c>
      <c r="AQ1484" t="s">
        <v>4197</v>
      </c>
      <c r="AR1484" t="s">
        <v>1184</v>
      </c>
      <c r="AS1484" t="s">
        <v>1150</v>
      </c>
      <c r="AT1484" t="s">
        <v>4083</v>
      </c>
      <c r="AU1484">
        <v>25</v>
      </c>
      <c r="AV1484">
        <v>6.3236000000000001E-2</v>
      </c>
      <c r="AW1484">
        <v>2.2521989254948149E-3</v>
      </c>
      <c r="AX1484">
        <v>3.5615771482934004</v>
      </c>
      <c r="BB1484" t="s">
        <v>4620</v>
      </c>
      <c r="BD1484" s="98"/>
      <c r="BE1484" s="98"/>
      <c r="BF1484" t="s">
        <v>1152</v>
      </c>
      <c r="BG1484" t="s">
        <v>322</v>
      </c>
      <c r="BH1484" t="s">
        <v>1153</v>
      </c>
      <c r="BN1484" t="s">
        <v>1154</v>
      </c>
      <c r="BO1484">
        <v>2025</v>
      </c>
      <c r="BP1484" t="s">
        <v>966</v>
      </c>
      <c r="BZ1484" t="s">
        <v>1513</v>
      </c>
      <c r="CA1484" t="s">
        <v>1513</v>
      </c>
      <c r="CB1484" t="b">
        <v>0</v>
      </c>
      <c r="CC1484" t="b">
        <v>0</v>
      </c>
      <c r="CD1484" t="b">
        <v>0</v>
      </c>
      <c r="CE1484" t="b">
        <v>0</v>
      </c>
      <c r="CF1484" t="b">
        <v>0</v>
      </c>
    </row>
    <row r="1485" spans="1:84" x14ac:dyDescent="0.3">
      <c r="A1485" t="s">
        <v>4198</v>
      </c>
      <c r="B1485" t="s">
        <v>1186</v>
      </c>
      <c r="C1485" s="98">
        <v>45719</v>
      </c>
      <c r="D1485">
        <v>2025</v>
      </c>
      <c r="E1485">
        <v>3</v>
      </c>
      <c r="F1485">
        <v>1</v>
      </c>
      <c r="G1485" t="s">
        <v>1187</v>
      </c>
      <c r="H1485" t="s">
        <v>151</v>
      </c>
      <c r="I1485" t="s">
        <v>151</v>
      </c>
      <c r="J1485" t="s">
        <v>6</v>
      </c>
      <c r="L1485">
        <v>522611</v>
      </c>
      <c r="M1485" s="99" t="s">
        <v>180</v>
      </c>
      <c r="N1485">
        <v>3</v>
      </c>
      <c r="O1485">
        <v>9</v>
      </c>
      <c r="P1485">
        <v>6.1800000000000001E-2</v>
      </c>
      <c r="Q1485" t="s">
        <v>352</v>
      </c>
      <c r="R1485">
        <v>1</v>
      </c>
      <c r="S1485">
        <v>6.3299999999999995E-2</v>
      </c>
      <c r="T1485">
        <v>2.7000000000000001E-3</v>
      </c>
      <c r="U1485">
        <v>-0.55555555555555347</v>
      </c>
      <c r="V1485">
        <v>5.5199999999999992E-2</v>
      </c>
      <c r="W1485">
        <v>5.7899999999999993E-2</v>
      </c>
      <c r="X1485">
        <v>6.0599999999999994E-2</v>
      </c>
      <c r="Y1485">
        <v>6.5999999999999989E-2</v>
      </c>
      <c r="Z1485">
        <v>6.8699999999999997E-2</v>
      </c>
      <c r="AA1485">
        <v>7.1399999999999991E-2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 t="s">
        <v>462</v>
      </c>
      <c r="AL1485" t="s">
        <v>6</v>
      </c>
      <c r="AM1485" t="s">
        <v>1145</v>
      </c>
      <c r="AN1485" t="s">
        <v>1146</v>
      </c>
      <c r="AO1485" s="100">
        <v>46262.040405092594</v>
      </c>
      <c r="AP1485" t="s">
        <v>1147</v>
      </c>
      <c r="AQ1485" t="s">
        <v>4199</v>
      </c>
      <c r="AR1485" t="s">
        <v>1189</v>
      </c>
      <c r="AS1485" t="s">
        <v>1150</v>
      </c>
      <c r="AT1485" t="s">
        <v>4083</v>
      </c>
      <c r="AU1485">
        <v>25</v>
      </c>
      <c r="AV1485">
        <v>6.3236000000000001E-2</v>
      </c>
      <c r="AW1485">
        <v>2.2521989254948149E-3</v>
      </c>
      <c r="AX1485">
        <v>3.5615771482934004</v>
      </c>
      <c r="BB1485" t="s">
        <v>4620</v>
      </c>
      <c r="BD1485" s="98"/>
      <c r="BE1485" s="98"/>
      <c r="BF1485" t="s">
        <v>1152</v>
      </c>
      <c r="BG1485" t="s">
        <v>322</v>
      </c>
      <c r="BH1485" t="s">
        <v>1153</v>
      </c>
      <c r="BN1485" t="s">
        <v>1154</v>
      </c>
      <c r="BO1485">
        <v>2025</v>
      </c>
      <c r="BP1485" t="s">
        <v>966</v>
      </c>
      <c r="BZ1485" t="s">
        <v>1513</v>
      </c>
      <c r="CA1485" t="s">
        <v>1513</v>
      </c>
      <c r="CB1485" t="b">
        <v>0</v>
      </c>
      <c r="CC1485" t="b">
        <v>0</v>
      </c>
      <c r="CD1485" t="b">
        <v>0</v>
      </c>
      <c r="CE1485" t="b">
        <v>0</v>
      </c>
      <c r="CF1485" t="b">
        <v>0</v>
      </c>
    </row>
    <row r="1486" spans="1:84" x14ac:dyDescent="0.3">
      <c r="A1486" t="s">
        <v>4200</v>
      </c>
      <c r="B1486" t="s">
        <v>1191</v>
      </c>
      <c r="C1486" s="98">
        <v>45726</v>
      </c>
      <c r="D1486">
        <v>2025</v>
      </c>
      <c r="E1486">
        <v>3</v>
      </c>
      <c r="F1486">
        <v>1</v>
      </c>
      <c r="G1486" t="s">
        <v>1187</v>
      </c>
      <c r="H1486" t="s">
        <v>151</v>
      </c>
      <c r="I1486" t="s">
        <v>151</v>
      </c>
      <c r="J1486" t="s">
        <v>6</v>
      </c>
      <c r="L1486">
        <v>522611</v>
      </c>
      <c r="M1486" s="99" t="s">
        <v>180</v>
      </c>
      <c r="N1486">
        <v>3</v>
      </c>
      <c r="O1486">
        <v>10</v>
      </c>
      <c r="P1486">
        <v>6.0900000000000003E-2</v>
      </c>
      <c r="Q1486" t="s">
        <v>352</v>
      </c>
      <c r="R1486">
        <v>1</v>
      </c>
      <c r="S1486">
        <v>6.3299999999999995E-2</v>
      </c>
      <c r="T1486">
        <v>2.7000000000000001E-3</v>
      </c>
      <c r="U1486">
        <v>-0.88888888888888606</v>
      </c>
      <c r="V1486">
        <v>5.5199999999999992E-2</v>
      </c>
      <c r="W1486">
        <v>5.7899999999999993E-2</v>
      </c>
      <c r="X1486">
        <v>6.0599999999999994E-2</v>
      </c>
      <c r="Y1486">
        <v>6.5999999999999989E-2</v>
      </c>
      <c r="Z1486">
        <v>6.8699999999999997E-2</v>
      </c>
      <c r="AA1486">
        <v>7.1399999999999991E-2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 t="s">
        <v>462</v>
      </c>
      <c r="AL1486" t="s">
        <v>6</v>
      </c>
      <c r="AM1486" t="s">
        <v>1145</v>
      </c>
      <c r="AN1486" t="s">
        <v>1146</v>
      </c>
      <c r="AO1486" s="100">
        <v>46262.040405092594</v>
      </c>
      <c r="AP1486" t="s">
        <v>1147</v>
      </c>
      <c r="AQ1486" t="s">
        <v>4201</v>
      </c>
      <c r="AR1486" t="s">
        <v>1193</v>
      </c>
      <c r="AS1486" t="s">
        <v>1150</v>
      </c>
      <c r="AT1486" t="s">
        <v>4083</v>
      </c>
      <c r="AU1486">
        <v>25</v>
      </c>
      <c r="AV1486">
        <v>6.3236000000000001E-2</v>
      </c>
      <c r="AW1486">
        <v>2.2521989254948149E-3</v>
      </c>
      <c r="AX1486">
        <v>3.5615771482934004</v>
      </c>
      <c r="BB1486" t="s">
        <v>4620</v>
      </c>
      <c r="BD1486" s="98"/>
      <c r="BE1486" s="98"/>
      <c r="BF1486" t="s">
        <v>1152</v>
      </c>
      <c r="BG1486" t="s">
        <v>322</v>
      </c>
      <c r="BH1486" t="s">
        <v>1153</v>
      </c>
      <c r="BN1486" t="s">
        <v>1154</v>
      </c>
      <c r="BO1486">
        <v>2025</v>
      </c>
      <c r="BP1486" t="s">
        <v>966</v>
      </c>
      <c r="BZ1486" t="s">
        <v>1513</v>
      </c>
      <c r="CA1486" t="s">
        <v>1513</v>
      </c>
      <c r="CB1486" t="b">
        <v>0</v>
      </c>
      <c r="CC1486" t="b">
        <v>0</v>
      </c>
      <c r="CD1486" t="b">
        <v>0</v>
      </c>
      <c r="CE1486" t="b">
        <v>0</v>
      </c>
      <c r="CF1486" t="b">
        <v>0</v>
      </c>
    </row>
    <row r="1487" spans="1:84" x14ac:dyDescent="0.3">
      <c r="A1487" t="s">
        <v>4202</v>
      </c>
      <c r="B1487" t="s">
        <v>1195</v>
      </c>
      <c r="C1487" s="98">
        <v>45733</v>
      </c>
      <c r="D1487">
        <v>2025</v>
      </c>
      <c r="E1487">
        <v>3</v>
      </c>
      <c r="F1487">
        <v>1</v>
      </c>
      <c r="G1487" t="s">
        <v>1187</v>
      </c>
      <c r="H1487" t="s">
        <v>151</v>
      </c>
      <c r="I1487" t="s">
        <v>151</v>
      </c>
      <c r="J1487" t="s">
        <v>6</v>
      </c>
      <c r="L1487">
        <v>522611</v>
      </c>
      <c r="M1487" s="99" t="s">
        <v>180</v>
      </c>
      <c r="N1487">
        <v>3</v>
      </c>
      <c r="O1487">
        <v>11</v>
      </c>
      <c r="P1487">
        <v>6.4100000000000004E-2</v>
      </c>
      <c r="Q1487" t="s">
        <v>352</v>
      </c>
      <c r="R1487">
        <v>1</v>
      </c>
      <c r="S1487">
        <v>6.3299999999999995E-2</v>
      </c>
      <c r="T1487">
        <v>2.7000000000000001E-3</v>
      </c>
      <c r="U1487">
        <v>0.29629629629629961</v>
      </c>
      <c r="V1487">
        <v>5.5199999999999992E-2</v>
      </c>
      <c r="W1487">
        <v>5.7899999999999993E-2</v>
      </c>
      <c r="X1487">
        <v>6.0599999999999994E-2</v>
      </c>
      <c r="Y1487">
        <v>6.5999999999999989E-2</v>
      </c>
      <c r="Z1487">
        <v>6.8699999999999997E-2</v>
      </c>
      <c r="AA1487">
        <v>7.1399999999999991E-2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 t="s">
        <v>462</v>
      </c>
      <c r="AL1487" t="s">
        <v>6</v>
      </c>
      <c r="AM1487" t="s">
        <v>1145</v>
      </c>
      <c r="AN1487" t="s">
        <v>1146</v>
      </c>
      <c r="AO1487" s="100">
        <v>46262.040405092594</v>
      </c>
      <c r="AP1487" t="s">
        <v>1147</v>
      </c>
      <c r="AQ1487" t="s">
        <v>4203</v>
      </c>
      <c r="AR1487" t="s">
        <v>1197</v>
      </c>
      <c r="AS1487" t="s">
        <v>1150</v>
      </c>
      <c r="AT1487" t="s">
        <v>4083</v>
      </c>
      <c r="AU1487">
        <v>25</v>
      </c>
      <c r="AV1487">
        <v>6.3236000000000001E-2</v>
      </c>
      <c r="AW1487">
        <v>2.2521989254948149E-3</v>
      </c>
      <c r="AX1487">
        <v>3.5615771482934004</v>
      </c>
      <c r="BB1487" t="s">
        <v>4620</v>
      </c>
      <c r="BD1487" s="98"/>
      <c r="BE1487" s="98"/>
      <c r="BF1487" t="s">
        <v>1152</v>
      </c>
      <c r="BG1487" t="s">
        <v>322</v>
      </c>
      <c r="BH1487" t="s">
        <v>1153</v>
      </c>
      <c r="BN1487" t="s">
        <v>1154</v>
      </c>
      <c r="BO1487">
        <v>2025</v>
      </c>
      <c r="BP1487" t="s">
        <v>966</v>
      </c>
      <c r="BZ1487" t="s">
        <v>1513</v>
      </c>
      <c r="CA1487" t="s">
        <v>1513</v>
      </c>
      <c r="CB1487" t="b">
        <v>0</v>
      </c>
      <c r="CC1487" t="b">
        <v>0</v>
      </c>
      <c r="CD1487" t="b">
        <v>0</v>
      </c>
      <c r="CE1487" t="b">
        <v>0</v>
      </c>
      <c r="CF1487" t="b">
        <v>0</v>
      </c>
    </row>
    <row r="1488" spans="1:84" x14ac:dyDescent="0.3">
      <c r="A1488" t="s">
        <v>4204</v>
      </c>
      <c r="B1488" t="s">
        <v>1199</v>
      </c>
      <c r="C1488" s="98">
        <v>45740</v>
      </c>
      <c r="D1488">
        <v>2025</v>
      </c>
      <c r="E1488">
        <v>3</v>
      </c>
      <c r="F1488">
        <v>1</v>
      </c>
      <c r="G1488" t="s">
        <v>1187</v>
      </c>
      <c r="H1488" t="s">
        <v>151</v>
      </c>
      <c r="I1488" t="s">
        <v>151</v>
      </c>
      <c r="J1488" t="s">
        <v>6</v>
      </c>
      <c r="L1488">
        <v>522611</v>
      </c>
      <c r="M1488" s="99" t="s">
        <v>180</v>
      </c>
      <c r="N1488">
        <v>3</v>
      </c>
      <c r="O1488">
        <v>12</v>
      </c>
      <c r="P1488">
        <v>6.3100000000000003E-2</v>
      </c>
      <c r="Q1488" t="s">
        <v>352</v>
      </c>
      <c r="R1488">
        <v>1</v>
      </c>
      <c r="S1488">
        <v>6.3299999999999995E-2</v>
      </c>
      <c r="T1488">
        <v>2.7000000000000001E-3</v>
      </c>
      <c r="U1488">
        <v>-7.4074074074071058E-2</v>
      </c>
      <c r="V1488">
        <v>5.5199999999999992E-2</v>
      </c>
      <c r="W1488">
        <v>5.7899999999999993E-2</v>
      </c>
      <c r="X1488">
        <v>6.0599999999999994E-2</v>
      </c>
      <c r="Y1488">
        <v>6.5999999999999989E-2</v>
      </c>
      <c r="Z1488">
        <v>6.8699999999999997E-2</v>
      </c>
      <c r="AA1488">
        <v>7.1399999999999991E-2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 t="s">
        <v>462</v>
      </c>
      <c r="AL1488" t="s">
        <v>6</v>
      </c>
      <c r="AM1488" t="s">
        <v>1145</v>
      </c>
      <c r="AN1488" t="s">
        <v>1146</v>
      </c>
      <c r="AO1488" s="100">
        <v>46262.040405092594</v>
      </c>
      <c r="AP1488" t="s">
        <v>1147</v>
      </c>
      <c r="AQ1488" t="s">
        <v>4205</v>
      </c>
      <c r="AR1488" t="s">
        <v>1201</v>
      </c>
      <c r="AS1488" t="s">
        <v>1150</v>
      </c>
      <c r="AT1488" t="s">
        <v>4083</v>
      </c>
      <c r="AU1488">
        <v>25</v>
      </c>
      <c r="AV1488">
        <v>6.3236000000000001E-2</v>
      </c>
      <c r="AW1488">
        <v>2.2521989254948149E-3</v>
      </c>
      <c r="AX1488">
        <v>3.5615771482934004</v>
      </c>
      <c r="BB1488" t="s">
        <v>4620</v>
      </c>
      <c r="BD1488" s="98"/>
      <c r="BE1488" s="98"/>
      <c r="BF1488" t="s">
        <v>1152</v>
      </c>
      <c r="BG1488" t="s">
        <v>322</v>
      </c>
      <c r="BH1488" t="s">
        <v>1153</v>
      </c>
      <c r="BN1488" t="s">
        <v>1154</v>
      </c>
      <c r="BO1488">
        <v>2025</v>
      </c>
      <c r="BP1488" t="s">
        <v>966</v>
      </c>
      <c r="BZ1488" t="s">
        <v>1513</v>
      </c>
      <c r="CA1488" t="s">
        <v>1513</v>
      </c>
      <c r="CB1488" t="b">
        <v>0</v>
      </c>
      <c r="CC1488" t="b">
        <v>0</v>
      </c>
      <c r="CD1488" t="b">
        <v>0</v>
      </c>
      <c r="CE1488" t="b">
        <v>0</v>
      </c>
      <c r="CF1488" t="b">
        <v>0</v>
      </c>
    </row>
    <row r="1489" spans="1:84" x14ac:dyDescent="0.3">
      <c r="A1489" t="s">
        <v>4206</v>
      </c>
      <c r="B1489" t="s">
        <v>1203</v>
      </c>
      <c r="C1489" s="98">
        <v>45747</v>
      </c>
      <c r="D1489">
        <v>2025</v>
      </c>
      <c r="E1489">
        <v>3</v>
      </c>
      <c r="F1489">
        <v>1</v>
      </c>
      <c r="G1489" t="s">
        <v>1187</v>
      </c>
      <c r="H1489" t="s">
        <v>151</v>
      </c>
      <c r="I1489" t="s">
        <v>151</v>
      </c>
      <c r="J1489" t="s">
        <v>6</v>
      </c>
      <c r="L1489">
        <v>522611</v>
      </c>
      <c r="M1489" s="99" t="s">
        <v>180</v>
      </c>
      <c r="N1489">
        <v>3</v>
      </c>
      <c r="O1489">
        <v>13</v>
      </c>
      <c r="P1489">
        <v>6.6100000000000006E-2</v>
      </c>
      <c r="Q1489" t="s">
        <v>352</v>
      </c>
      <c r="R1489">
        <v>1</v>
      </c>
      <c r="S1489">
        <v>6.3299999999999995E-2</v>
      </c>
      <c r="T1489">
        <v>2.7000000000000001E-3</v>
      </c>
      <c r="U1489">
        <v>1.037037037037041</v>
      </c>
      <c r="V1489">
        <v>5.5199999999999992E-2</v>
      </c>
      <c r="W1489">
        <v>5.7899999999999993E-2</v>
      </c>
      <c r="X1489">
        <v>6.0599999999999994E-2</v>
      </c>
      <c r="Y1489">
        <v>6.5999999999999989E-2</v>
      </c>
      <c r="Z1489">
        <v>6.8699999999999997E-2</v>
      </c>
      <c r="AA1489">
        <v>7.1399999999999991E-2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 t="s">
        <v>462</v>
      </c>
      <c r="AL1489" t="s">
        <v>6</v>
      </c>
      <c r="AM1489" t="s">
        <v>1145</v>
      </c>
      <c r="AN1489" t="s">
        <v>1146</v>
      </c>
      <c r="AO1489" s="100">
        <v>46262.040405092594</v>
      </c>
      <c r="AP1489" t="s">
        <v>1147</v>
      </c>
      <c r="AQ1489" t="s">
        <v>4207</v>
      </c>
      <c r="AR1489" t="s">
        <v>1205</v>
      </c>
      <c r="AS1489" t="s">
        <v>1150</v>
      </c>
      <c r="AT1489" t="s">
        <v>4083</v>
      </c>
      <c r="AU1489">
        <v>25</v>
      </c>
      <c r="AV1489">
        <v>6.3236000000000001E-2</v>
      </c>
      <c r="AW1489">
        <v>2.2521989254948149E-3</v>
      </c>
      <c r="AX1489">
        <v>3.5615771482934004</v>
      </c>
      <c r="BB1489" t="s">
        <v>4620</v>
      </c>
      <c r="BD1489" s="98"/>
      <c r="BE1489" s="98"/>
      <c r="BF1489" t="s">
        <v>1152</v>
      </c>
      <c r="BG1489" t="s">
        <v>322</v>
      </c>
      <c r="BH1489" t="s">
        <v>1153</v>
      </c>
      <c r="BN1489" t="s">
        <v>1154</v>
      </c>
      <c r="BO1489">
        <v>2025</v>
      </c>
      <c r="BP1489" t="s">
        <v>966</v>
      </c>
      <c r="BZ1489" t="s">
        <v>1513</v>
      </c>
      <c r="CA1489" t="s">
        <v>1513</v>
      </c>
      <c r="CB1489" t="b">
        <v>0</v>
      </c>
      <c r="CC1489" t="b">
        <v>0</v>
      </c>
      <c r="CD1489" t="b">
        <v>0</v>
      </c>
      <c r="CE1489" t="b">
        <v>0</v>
      </c>
      <c r="CF1489" t="b">
        <v>0</v>
      </c>
    </row>
    <row r="1490" spans="1:84" x14ac:dyDescent="0.3">
      <c r="A1490" t="s">
        <v>4208</v>
      </c>
      <c r="B1490" t="s">
        <v>1207</v>
      </c>
      <c r="C1490" s="98">
        <v>45754</v>
      </c>
      <c r="D1490">
        <v>2025</v>
      </c>
      <c r="E1490">
        <v>4</v>
      </c>
      <c r="F1490">
        <v>2</v>
      </c>
      <c r="G1490" t="s">
        <v>1208</v>
      </c>
      <c r="H1490" t="s">
        <v>151</v>
      </c>
      <c r="I1490" t="s">
        <v>151</v>
      </c>
      <c r="J1490" t="s">
        <v>6</v>
      </c>
      <c r="L1490">
        <v>522611</v>
      </c>
      <c r="M1490" s="99" t="s">
        <v>180</v>
      </c>
      <c r="N1490">
        <v>3</v>
      </c>
      <c r="O1490">
        <v>14</v>
      </c>
      <c r="P1490">
        <v>7.0499999999999993E-2</v>
      </c>
      <c r="Q1490" t="s">
        <v>352</v>
      </c>
      <c r="R1490">
        <v>1</v>
      </c>
      <c r="S1490">
        <v>6.3299999999999995E-2</v>
      </c>
      <c r="T1490">
        <v>2.7000000000000001E-3</v>
      </c>
      <c r="U1490">
        <v>2.6666666666666656</v>
      </c>
      <c r="V1490">
        <v>5.5199999999999992E-2</v>
      </c>
      <c r="W1490">
        <v>5.7899999999999993E-2</v>
      </c>
      <c r="X1490">
        <v>6.0599999999999994E-2</v>
      </c>
      <c r="Y1490">
        <v>6.5999999999999989E-2</v>
      </c>
      <c r="Z1490">
        <v>6.8699999999999997E-2</v>
      </c>
      <c r="AA1490">
        <v>7.1399999999999991E-2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1</v>
      </c>
      <c r="AK1490" t="s">
        <v>462</v>
      </c>
      <c r="AL1490" t="s">
        <v>6</v>
      </c>
      <c r="AM1490" t="s">
        <v>1145</v>
      </c>
      <c r="AN1490" t="s">
        <v>1146</v>
      </c>
      <c r="AO1490" s="100">
        <v>46262.040405092594</v>
      </c>
      <c r="AP1490" t="s">
        <v>1147</v>
      </c>
      <c r="AQ1490" t="s">
        <v>4209</v>
      </c>
      <c r="AR1490" t="s">
        <v>1210</v>
      </c>
      <c r="AS1490" t="s">
        <v>1150</v>
      </c>
      <c r="AT1490" t="s">
        <v>4083</v>
      </c>
      <c r="AU1490">
        <v>25</v>
      </c>
      <c r="AV1490">
        <v>6.3236000000000001E-2</v>
      </c>
      <c r="AW1490">
        <v>2.2521989254948149E-3</v>
      </c>
      <c r="AX1490">
        <v>3.5615771482934004</v>
      </c>
      <c r="BB1490" t="s">
        <v>4620</v>
      </c>
      <c r="BD1490" s="98"/>
      <c r="BE1490" s="98"/>
      <c r="BF1490" t="s">
        <v>1152</v>
      </c>
      <c r="BG1490" t="s">
        <v>322</v>
      </c>
      <c r="BH1490" t="s">
        <v>1153</v>
      </c>
      <c r="BN1490" t="s">
        <v>1154</v>
      </c>
      <c r="BO1490">
        <v>2025</v>
      </c>
      <c r="BP1490" t="s">
        <v>966</v>
      </c>
      <c r="BZ1490" t="s">
        <v>1513</v>
      </c>
      <c r="CA1490" t="s">
        <v>1513</v>
      </c>
      <c r="CB1490" t="b">
        <v>0</v>
      </c>
      <c r="CC1490" t="b">
        <v>0</v>
      </c>
      <c r="CD1490" t="b">
        <v>0</v>
      </c>
      <c r="CE1490" t="b">
        <v>0</v>
      </c>
      <c r="CF1490" t="b">
        <v>0</v>
      </c>
    </row>
    <row r="1491" spans="1:84" x14ac:dyDescent="0.3">
      <c r="A1491" t="s">
        <v>4210</v>
      </c>
      <c r="B1491" t="s">
        <v>1212</v>
      </c>
      <c r="C1491" s="98">
        <v>45761</v>
      </c>
      <c r="D1491">
        <v>2025</v>
      </c>
      <c r="E1491">
        <v>4</v>
      </c>
      <c r="F1491">
        <v>2</v>
      </c>
      <c r="G1491" t="s">
        <v>1208</v>
      </c>
      <c r="H1491" t="s">
        <v>151</v>
      </c>
      <c r="I1491" t="s">
        <v>151</v>
      </c>
      <c r="J1491" t="s">
        <v>6</v>
      </c>
      <c r="L1491">
        <v>522611</v>
      </c>
      <c r="M1491" s="99" t="s">
        <v>180</v>
      </c>
      <c r="N1491">
        <v>3</v>
      </c>
      <c r="O1491">
        <v>15</v>
      </c>
      <c r="P1491">
        <v>6.5600000000000006E-2</v>
      </c>
      <c r="Q1491" t="s">
        <v>352</v>
      </c>
      <c r="R1491">
        <v>1</v>
      </c>
      <c r="S1491">
        <v>6.3299999999999995E-2</v>
      </c>
      <c r="T1491">
        <v>2.7000000000000001E-3</v>
      </c>
      <c r="U1491">
        <v>0.85185185185185563</v>
      </c>
      <c r="V1491">
        <v>5.5199999999999992E-2</v>
      </c>
      <c r="W1491">
        <v>5.7899999999999993E-2</v>
      </c>
      <c r="X1491">
        <v>6.0599999999999994E-2</v>
      </c>
      <c r="Y1491">
        <v>6.5999999999999989E-2</v>
      </c>
      <c r="Z1491">
        <v>6.8699999999999997E-2</v>
      </c>
      <c r="AA1491">
        <v>7.1399999999999991E-2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 t="s">
        <v>462</v>
      </c>
      <c r="AL1491" t="s">
        <v>6</v>
      </c>
      <c r="AM1491" t="s">
        <v>1145</v>
      </c>
      <c r="AN1491" t="s">
        <v>1146</v>
      </c>
      <c r="AO1491" s="100">
        <v>46262.040405092594</v>
      </c>
      <c r="AP1491" t="s">
        <v>1147</v>
      </c>
      <c r="AQ1491" t="s">
        <v>4211</v>
      </c>
      <c r="AR1491" t="s">
        <v>1215</v>
      </c>
      <c r="AS1491" t="s">
        <v>1150</v>
      </c>
      <c r="AT1491" t="s">
        <v>4083</v>
      </c>
      <c r="AU1491">
        <v>25</v>
      </c>
      <c r="AV1491">
        <v>6.3236000000000001E-2</v>
      </c>
      <c r="AW1491">
        <v>2.2521989254948149E-3</v>
      </c>
      <c r="AX1491">
        <v>3.5615771482934004</v>
      </c>
      <c r="BB1491" t="s">
        <v>4620</v>
      </c>
      <c r="BD1491" s="98"/>
      <c r="BE1491" s="98"/>
      <c r="BF1491" t="s">
        <v>1152</v>
      </c>
      <c r="BG1491" t="s">
        <v>322</v>
      </c>
      <c r="BH1491" t="s">
        <v>1153</v>
      </c>
      <c r="BN1491" t="s">
        <v>1154</v>
      </c>
      <c r="BO1491">
        <v>2025</v>
      </c>
      <c r="BP1491" t="s">
        <v>966</v>
      </c>
      <c r="BZ1491" t="s">
        <v>1513</v>
      </c>
      <c r="CA1491" t="s">
        <v>1513</v>
      </c>
      <c r="CB1491" t="b">
        <v>0</v>
      </c>
      <c r="CC1491" t="b">
        <v>0</v>
      </c>
      <c r="CD1491" t="b">
        <v>0</v>
      </c>
      <c r="CE1491" t="b">
        <v>0</v>
      </c>
      <c r="CF1491" t="b">
        <v>0</v>
      </c>
    </row>
    <row r="1492" spans="1:84" x14ac:dyDescent="0.3">
      <c r="A1492" t="s">
        <v>4212</v>
      </c>
      <c r="B1492" t="s">
        <v>1217</v>
      </c>
      <c r="C1492" s="98">
        <v>45768</v>
      </c>
      <c r="D1492">
        <v>2025</v>
      </c>
      <c r="E1492">
        <v>4</v>
      </c>
      <c r="F1492">
        <v>2</v>
      </c>
      <c r="G1492" t="s">
        <v>1208</v>
      </c>
      <c r="H1492" t="s">
        <v>151</v>
      </c>
      <c r="I1492" t="s">
        <v>151</v>
      </c>
      <c r="J1492" t="s">
        <v>6</v>
      </c>
      <c r="L1492">
        <v>522611</v>
      </c>
      <c r="M1492" s="99" t="s">
        <v>180</v>
      </c>
      <c r="N1492">
        <v>3</v>
      </c>
      <c r="O1492">
        <v>16</v>
      </c>
      <c r="P1492">
        <v>6.3200000000000006E-2</v>
      </c>
      <c r="Q1492" t="s">
        <v>352</v>
      </c>
      <c r="R1492">
        <v>1</v>
      </c>
      <c r="S1492">
        <v>6.3299999999999995E-2</v>
      </c>
      <c r="T1492">
        <v>2.7000000000000001E-3</v>
      </c>
      <c r="U1492">
        <v>-3.7037037037032955E-2</v>
      </c>
      <c r="V1492">
        <v>5.5199999999999992E-2</v>
      </c>
      <c r="W1492">
        <v>5.7899999999999993E-2</v>
      </c>
      <c r="X1492">
        <v>6.0599999999999994E-2</v>
      </c>
      <c r="Y1492">
        <v>6.5999999999999989E-2</v>
      </c>
      <c r="Z1492">
        <v>6.8699999999999997E-2</v>
      </c>
      <c r="AA1492">
        <v>7.1399999999999991E-2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 t="s">
        <v>462</v>
      </c>
      <c r="AL1492" t="s">
        <v>6</v>
      </c>
      <c r="AM1492" t="s">
        <v>1145</v>
      </c>
      <c r="AN1492" t="s">
        <v>1146</v>
      </c>
      <c r="AO1492" s="100">
        <v>46262.040405092594</v>
      </c>
      <c r="AP1492" t="s">
        <v>1147</v>
      </c>
      <c r="AQ1492" t="s">
        <v>4213</v>
      </c>
      <c r="AR1492" t="s">
        <v>1219</v>
      </c>
      <c r="AS1492" t="s">
        <v>1150</v>
      </c>
      <c r="AT1492" t="s">
        <v>4083</v>
      </c>
      <c r="AU1492">
        <v>25</v>
      </c>
      <c r="AV1492">
        <v>6.3236000000000001E-2</v>
      </c>
      <c r="AW1492">
        <v>2.2521989254948149E-3</v>
      </c>
      <c r="AX1492">
        <v>3.5615771482934004</v>
      </c>
      <c r="BB1492" t="s">
        <v>4620</v>
      </c>
      <c r="BD1492" s="98"/>
      <c r="BE1492" s="98"/>
      <c r="BF1492" t="s">
        <v>1152</v>
      </c>
      <c r="BG1492" t="s">
        <v>322</v>
      </c>
      <c r="BH1492" t="s">
        <v>1153</v>
      </c>
      <c r="BN1492" t="s">
        <v>1154</v>
      </c>
      <c r="BO1492">
        <v>2025</v>
      </c>
      <c r="BP1492" t="s">
        <v>966</v>
      </c>
      <c r="BZ1492" t="s">
        <v>1513</v>
      </c>
      <c r="CA1492" t="s">
        <v>1513</v>
      </c>
      <c r="CB1492" t="b">
        <v>0</v>
      </c>
      <c r="CC1492" t="b">
        <v>0</v>
      </c>
      <c r="CD1492" t="b">
        <v>0</v>
      </c>
      <c r="CE1492" t="b">
        <v>0</v>
      </c>
      <c r="CF1492" t="b">
        <v>0</v>
      </c>
    </row>
    <row r="1493" spans="1:84" x14ac:dyDescent="0.3">
      <c r="A1493" t="s">
        <v>4214</v>
      </c>
      <c r="B1493" t="s">
        <v>1221</v>
      </c>
      <c r="C1493" s="98">
        <v>45775</v>
      </c>
      <c r="D1493">
        <v>2025</v>
      </c>
      <c r="E1493">
        <v>4</v>
      </c>
      <c r="F1493">
        <v>2</v>
      </c>
      <c r="G1493" t="s">
        <v>1208</v>
      </c>
      <c r="H1493" t="s">
        <v>151</v>
      </c>
      <c r="I1493" t="s">
        <v>151</v>
      </c>
      <c r="J1493" t="s">
        <v>6</v>
      </c>
      <c r="L1493">
        <v>522611</v>
      </c>
      <c r="M1493" s="99" t="s">
        <v>180</v>
      </c>
      <c r="N1493">
        <v>3</v>
      </c>
      <c r="O1493">
        <v>17</v>
      </c>
      <c r="P1493">
        <v>6.2899999999999998E-2</v>
      </c>
      <c r="Q1493" t="s">
        <v>352</v>
      </c>
      <c r="R1493">
        <v>1</v>
      </c>
      <c r="S1493">
        <v>6.3299999999999995E-2</v>
      </c>
      <c r="T1493">
        <v>2.7000000000000001E-3</v>
      </c>
      <c r="U1493">
        <v>-0.14814814814814725</v>
      </c>
      <c r="V1493">
        <v>5.5199999999999992E-2</v>
      </c>
      <c r="W1493">
        <v>5.7899999999999993E-2</v>
      </c>
      <c r="X1493">
        <v>6.0599999999999994E-2</v>
      </c>
      <c r="Y1493">
        <v>6.5999999999999989E-2</v>
      </c>
      <c r="Z1493">
        <v>6.8699999999999997E-2</v>
      </c>
      <c r="AA1493">
        <v>7.1399999999999991E-2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 t="s">
        <v>462</v>
      </c>
      <c r="AL1493" t="s">
        <v>6</v>
      </c>
      <c r="AM1493" t="s">
        <v>1145</v>
      </c>
      <c r="AN1493" t="s">
        <v>1146</v>
      </c>
      <c r="AO1493" s="100">
        <v>46262.040405092594</v>
      </c>
      <c r="AP1493" t="s">
        <v>1147</v>
      </c>
      <c r="AQ1493" t="s">
        <v>4215</v>
      </c>
      <c r="AR1493" t="s">
        <v>1223</v>
      </c>
      <c r="AS1493" t="s">
        <v>1150</v>
      </c>
      <c r="AT1493" t="s">
        <v>4083</v>
      </c>
      <c r="AU1493">
        <v>25</v>
      </c>
      <c r="AV1493">
        <v>6.3236000000000001E-2</v>
      </c>
      <c r="AW1493">
        <v>2.2521989254948149E-3</v>
      </c>
      <c r="AX1493">
        <v>3.5615771482934004</v>
      </c>
      <c r="BB1493" t="s">
        <v>4620</v>
      </c>
      <c r="BD1493" s="98"/>
      <c r="BE1493" s="98"/>
      <c r="BF1493" t="s">
        <v>1152</v>
      </c>
      <c r="BG1493" t="s">
        <v>322</v>
      </c>
      <c r="BH1493" t="s">
        <v>1153</v>
      </c>
      <c r="BN1493" t="s">
        <v>1154</v>
      </c>
      <c r="BO1493">
        <v>2025</v>
      </c>
      <c r="BP1493" t="s">
        <v>966</v>
      </c>
      <c r="BZ1493" t="s">
        <v>1513</v>
      </c>
      <c r="CA1493" t="s">
        <v>1513</v>
      </c>
      <c r="CB1493" t="b">
        <v>0</v>
      </c>
      <c r="CC1493" t="b">
        <v>0</v>
      </c>
      <c r="CD1493" t="b">
        <v>0</v>
      </c>
      <c r="CE1493" t="b">
        <v>0</v>
      </c>
      <c r="CF1493" t="b">
        <v>0</v>
      </c>
    </row>
    <row r="1494" spans="1:84" x14ac:dyDescent="0.3">
      <c r="A1494" t="s">
        <v>4216</v>
      </c>
      <c r="B1494" t="s">
        <v>1225</v>
      </c>
      <c r="C1494" s="98">
        <v>45782</v>
      </c>
      <c r="D1494">
        <v>2025</v>
      </c>
      <c r="E1494">
        <v>5</v>
      </c>
      <c r="F1494">
        <v>2</v>
      </c>
      <c r="G1494" t="s">
        <v>1226</v>
      </c>
      <c r="H1494" t="s">
        <v>151</v>
      </c>
      <c r="I1494" t="s">
        <v>151</v>
      </c>
      <c r="J1494" t="s">
        <v>6</v>
      </c>
      <c r="L1494">
        <v>522611</v>
      </c>
      <c r="M1494" s="99" t="s">
        <v>180</v>
      </c>
      <c r="N1494">
        <v>3</v>
      </c>
      <c r="O1494">
        <v>18</v>
      </c>
      <c r="P1494">
        <v>6.0999999999999999E-2</v>
      </c>
      <c r="Q1494" t="s">
        <v>352</v>
      </c>
      <c r="R1494">
        <v>1</v>
      </c>
      <c r="S1494">
        <v>6.3299999999999995E-2</v>
      </c>
      <c r="T1494">
        <v>2.7000000000000001E-3</v>
      </c>
      <c r="U1494">
        <v>-0.85185185185185053</v>
      </c>
      <c r="V1494">
        <v>5.5199999999999992E-2</v>
      </c>
      <c r="W1494">
        <v>5.7899999999999993E-2</v>
      </c>
      <c r="X1494">
        <v>6.0599999999999994E-2</v>
      </c>
      <c r="Y1494">
        <v>6.5999999999999989E-2</v>
      </c>
      <c r="Z1494">
        <v>6.8699999999999997E-2</v>
      </c>
      <c r="AA1494">
        <v>7.1399999999999991E-2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 t="s">
        <v>462</v>
      </c>
      <c r="AL1494" t="s">
        <v>6</v>
      </c>
      <c r="AM1494" t="s">
        <v>1145</v>
      </c>
      <c r="AN1494" t="s">
        <v>1146</v>
      </c>
      <c r="AO1494" s="100">
        <v>46262.040405092594</v>
      </c>
      <c r="AP1494" t="s">
        <v>1147</v>
      </c>
      <c r="AQ1494" t="s">
        <v>4217</v>
      </c>
      <c r="AR1494" t="s">
        <v>1228</v>
      </c>
      <c r="AS1494" t="s">
        <v>1150</v>
      </c>
      <c r="AT1494" t="s">
        <v>4083</v>
      </c>
      <c r="AU1494">
        <v>25</v>
      </c>
      <c r="AV1494">
        <v>6.3236000000000001E-2</v>
      </c>
      <c r="AW1494">
        <v>2.2521989254948149E-3</v>
      </c>
      <c r="AX1494">
        <v>3.5615771482934004</v>
      </c>
      <c r="BB1494" t="s">
        <v>4620</v>
      </c>
      <c r="BD1494" s="98"/>
      <c r="BE1494" s="98"/>
      <c r="BF1494" t="s">
        <v>1152</v>
      </c>
      <c r="BG1494" t="s">
        <v>322</v>
      </c>
      <c r="BH1494" t="s">
        <v>1153</v>
      </c>
      <c r="BN1494" t="s">
        <v>1154</v>
      </c>
      <c r="BO1494">
        <v>2025</v>
      </c>
      <c r="BP1494" t="s">
        <v>966</v>
      </c>
      <c r="BZ1494" t="s">
        <v>1513</v>
      </c>
      <c r="CA1494" t="s">
        <v>1513</v>
      </c>
      <c r="CB1494" t="b">
        <v>0</v>
      </c>
      <c r="CC1494" t="b">
        <v>0</v>
      </c>
      <c r="CD1494" t="b">
        <v>0</v>
      </c>
      <c r="CE1494" t="b">
        <v>0</v>
      </c>
      <c r="CF1494" t="b">
        <v>0</v>
      </c>
    </row>
    <row r="1495" spans="1:84" x14ac:dyDescent="0.3">
      <c r="A1495" t="s">
        <v>4218</v>
      </c>
      <c r="B1495" t="s">
        <v>1230</v>
      </c>
      <c r="C1495" s="98">
        <v>45789</v>
      </c>
      <c r="D1495">
        <v>2025</v>
      </c>
      <c r="E1495">
        <v>5</v>
      </c>
      <c r="F1495">
        <v>2</v>
      </c>
      <c r="G1495" t="s">
        <v>1226</v>
      </c>
      <c r="H1495" t="s">
        <v>151</v>
      </c>
      <c r="I1495" t="s">
        <v>151</v>
      </c>
      <c r="J1495" t="s">
        <v>6</v>
      </c>
      <c r="L1495">
        <v>522611</v>
      </c>
      <c r="M1495" s="99" t="s">
        <v>180</v>
      </c>
      <c r="N1495">
        <v>3</v>
      </c>
      <c r="O1495">
        <v>19</v>
      </c>
      <c r="P1495">
        <v>6.0900000000000003E-2</v>
      </c>
      <c r="Q1495" t="s">
        <v>352</v>
      </c>
      <c r="R1495">
        <v>1</v>
      </c>
      <c r="S1495">
        <v>6.3299999999999995E-2</v>
      </c>
      <c r="T1495">
        <v>2.7000000000000001E-3</v>
      </c>
      <c r="U1495">
        <v>-0.88888888888888606</v>
      </c>
      <c r="V1495">
        <v>5.5199999999999992E-2</v>
      </c>
      <c r="W1495">
        <v>5.7899999999999993E-2</v>
      </c>
      <c r="X1495">
        <v>6.0599999999999994E-2</v>
      </c>
      <c r="Y1495">
        <v>6.5999999999999989E-2</v>
      </c>
      <c r="Z1495">
        <v>6.8699999999999997E-2</v>
      </c>
      <c r="AA1495">
        <v>7.1399999999999991E-2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 t="s">
        <v>462</v>
      </c>
      <c r="AL1495" t="s">
        <v>6</v>
      </c>
      <c r="AM1495" t="s">
        <v>1145</v>
      </c>
      <c r="AN1495" t="s">
        <v>1146</v>
      </c>
      <c r="AO1495" s="100">
        <v>46262.040405092594</v>
      </c>
      <c r="AP1495" t="s">
        <v>1147</v>
      </c>
      <c r="AQ1495" t="s">
        <v>4219</v>
      </c>
      <c r="AR1495" t="s">
        <v>1232</v>
      </c>
      <c r="AS1495" t="s">
        <v>1150</v>
      </c>
      <c r="AT1495" t="s">
        <v>4083</v>
      </c>
      <c r="AU1495">
        <v>25</v>
      </c>
      <c r="AV1495">
        <v>6.3236000000000001E-2</v>
      </c>
      <c r="AW1495">
        <v>2.2521989254948149E-3</v>
      </c>
      <c r="AX1495">
        <v>3.5615771482934004</v>
      </c>
      <c r="BB1495" t="s">
        <v>4620</v>
      </c>
      <c r="BD1495" s="98"/>
      <c r="BE1495" s="98"/>
      <c r="BF1495" t="s">
        <v>1152</v>
      </c>
      <c r="BG1495" t="s">
        <v>322</v>
      </c>
      <c r="BH1495" t="s">
        <v>1153</v>
      </c>
      <c r="BN1495" t="s">
        <v>1154</v>
      </c>
      <c r="BO1495">
        <v>2025</v>
      </c>
      <c r="BP1495" t="s">
        <v>966</v>
      </c>
      <c r="BZ1495" t="s">
        <v>1513</v>
      </c>
      <c r="CA1495" t="s">
        <v>1513</v>
      </c>
      <c r="CB1495" t="b">
        <v>0</v>
      </c>
      <c r="CC1495" t="b">
        <v>0</v>
      </c>
      <c r="CD1495" t="b">
        <v>0</v>
      </c>
      <c r="CE1495" t="b">
        <v>0</v>
      </c>
      <c r="CF1495" t="b">
        <v>0</v>
      </c>
    </row>
    <row r="1496" spans="1:84" x14ac:dyDescent="0.3">
      <c r="A1496" t="s">
        <v>4220</v>
      </c>
      <c r="B1496" t="s">
        <v>1234</v>
      </c>
      <c r="C1496" s="98">
        <v>45796</v>
      </c>
      <c r="D1496">
        <v>2025</v>
      </c>
      <c r="E1496">
        <v>5</v>
      </c>
      <c r="F1496">
        <v>2</v>
      </c>
      <c r="G1496" t="s">
        <v>1226</v>
      </c>
      <c r="H1496" t="s">
        <v>151</v>
      </c>
      <c r="I1496" t="s">
        <v>151</v>
      </c>
      <c r="J1496" t="s">
        <v>6</v>
      </c>
      <c r="L1496">
        <v>522611</v>
      </c>
      <c r="M1496" s="99" t="s">
        <v>180</v>
      </c>
      <c r="N1496">
        <v>3</v>
      </c>
      <c r="O1496">
        <v>20</v>
      </c>
      <c r="P1496">
        <v>6.0600000000000001E-2</v>
      </c>
      <c r="Q1496" t="s">
        <v>352</v>
      </c>
      <c r="R1496">
        <v>1</v>
      </c>
      <c r="S1496">
        <v>6.3299999999999995E-2</v>
      </c>
      <c r="T1496">
        <v>2.7000000000000001E-3</v>
      </c>
      <c r="U1496">
        <v>-0.99999999999999778</v>
      </c>
      <c r="V1496">
        <v>5.5199999999999992E-2</v>
      </c>
      <c r="W1496">
        <v>5.7899999999999993E-2</v>
      </c>
      <c r="X1496">
        <v>6.0599999999999994E-2</v>
      </c>
      <c r="Y1496">
        <v>6.5999999999999989E-2</v>
      </c>
      <c r="Z1496">
        <v>6.8699999999999997E-2</v>
      </c>
      <c r="AA1496">
        <v>7.1399999999999991E-2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 t="s">
        <v>462</v>
      </c>
      <c r="AL1496" t="s">
        <v>6</v>
      </c>
      <c r="AM1496" t="s">
        <v>1145</v>
      </c>
      <c r="AN1496" t="s">
        <v>1146</v>
      </c>
      <c r="AO1496" s="100">
        <v>46262.040405092594</v>
      </c>
      <c r="AP1496" t="s">
        <v>1147</v>
      </c>
      <c r="AQ1496" t="s">
        <v>4221</v>
      </c>
      <c r="AR1496" t="s">
        <v>1236</v>
      </c>
      <c r="AS1496" t="s">
        <v>1150</v>
      </c>
      <c r="AT1496" t="s">
        <v>4083</v>
      </c>
      <c r="AU1496">
        <v>25</v>
      </c>
      <c r="AV1496">
        <v>6.3236000000000001E-2</v>
      </c>
      <c r="AW1496">
        <v>2.2521989254948149E-3</v>
      </c>
      <c r="AX1496">
        <v>3.5615771482934004</v>
      </c>
      <c r="BB1496" t="s">
        <v>4620</v>
      </c>
      <c r="BD1496" s="98"/>
      <c r="BE1496" s="98"/>
      <c r="BF1496" t="s">
        <v>1152</v>
      </c>
      <c r="BG1496" t="s">
        <v>322</v>
      </c>
      <c r="BH1496" t="s">
        <v>1153</v>
      </c>
      <c r="BN1496" t="s">
        <v>1154</v>
      </c>
      <c r="BO1496">
        <v>2025</v>
      </c>
      <c r="BP1496" t="s">
        <v>966</v>
      </c>
      <c r="BZ1496" t="s">
        <v>1513</v>
      </c>
      <c r="CA1496" t="s">
        <v>1513</v>
      </c>
      <c r="CB1496" t="b">
        <v>0</v>
      </c>
      <c r="CC1496" t="b">
        <v>0</v>
      </c>
      <c r="CD1496" t="b">
        <v>0</v>
      </c>
      <c r="CE1496" t="b">
        <v>0</v>
      </c>
      <c r="CF1496" t="b">
        <v>0</v>
      </c>
    </row>
    <row r="1497" spans="1:84" x14ac:dyDescent="0.3">
      <c r="A1497" t="s">
        <v>4222</v>
      </c>
      <c r="B1497" t="s">
        <v>1238</v>
      </c>
      <c r="C1497" s="98">
        <v>45803</v>
      </c>
      <c r="D1497">
        <v>2025</v>
      </c>
      <c r="E1497">
        <v>5</v>
      </c>
      <c r="F1497">
        <v>2</v>
      </c>
      <c r="G1497" t="s">
        <v>1226</v>
      </c>
      <c r="H1497" t="s">
        <v>151</v>
      </c>
      <c r="I1497" t="s">
        <v>151</v>
      </c>
      <c r="J1497" t="s">
        <v>6</v>
      </c>
      <c r="L1497">
        <v>522611</v>
      </c>
      <c r="M1497" s="99" t="s">
        <v>180</v>
      </c>
      <c r="N1497">
        <v>3</v>
      </c>
      <c r="O1497">
        <v>21</v>
      </c>
      <c r="P1497">
        <v>6.2300000000000001E-2</v>
      </c>
      <c r="Q1497" t="s">
        <v>352</v>
      </c>
      <c r="R1497">
        <v>1</v>
      </c>
      <c r="S1497">
        <v>6.3299999999999995E-2</v>
      </c>
      <c r="T1497">
        <v>2.7000000000000001E-3</v>
      </c>
      <c r="U1497">
        <v>-0.37037037037036813</v>
      </c>
      <c r="V1497">
        <v>5.5199999999999992E-2</v>
      </c>
      <c r="W1497">
        <v>5.7899999999999993E-2</v>
      </c>
      <c r="X1497">
        <v>6.0599999999999994E-2</v>
      </c>
      <c r="Y1497">
        <v>6.5999999999999989E-2</v>
      </c>
      <c r="Z1497">
        <v>6.8699999999999997E-2</v>
      </c>
      <c r="AA1497">
        <v>7.1399999999999991E-2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 t="s">
        <v>462</v>
      </c>
      <c r="AL1497" t="s">
        <v>6</v>
      </c>
      <c r="AM1497" t="s">
        <v>1145</v>
      </c>
      <c r="AN1497" t="s">
        <v>1146</v>
      </c>
      <c r="AO1497" s="100">
        <v>46262.040405092594</v>
      </c>
      <c r="AP1497" t="s">
        <v>1147</v>
      </c>
      <c r="AQ1497" t="s">
        <v>4223</v>
      </c>
      <c r="AR1497" t="s">
        <v>1240</v>
      </c>
      <c r="AS1497" t="s">
        <v>1150</v>
      </c>
      <c r="AT1497" t="s">
        <v>4083</v>
      </c>
      <c r="AU1497">
        <v>25</v>
      </c>
      <c r="AV1497">
        <v>6.3236000000000001E-2</v>
      </c>
      <c r="AW1497">
        <v>2.2521989254948149E-3</v>
      </c>
      <c r="AX1497">
        <v>3.5615771482934004</v>
      </c>
      <c r="BB1497" t="s">
        <v>4620</v>
      </c>
      <c r="BD1497" s="98"/>
      <c r="BE1497" s="98"/>
      <c r="BF1497" t="s">
        <v>1152</v>
      </c>
      <c r="BG1497" t="s">
        <v>322</v>
      </c>
      <c r="BH1497" t="s">
        <v>1153</v>
      </c>
      <c r="BN1497" t="s">
        <v>1154</v>
      </c>
      <c r="BO1497">
        <v>2025</v>
      </c>
      <c r="BP1497" t="s">
        <v>966</v>
      </c>
      <c r="BZ1497" t="s">
        <v>1513</v>
      </c>
      <c r="CA1497" t="s">
        <v>1513</v>
      </c>
      <c r="CB1497" t="b">
        <v>0</v>
      </c>
      <c r="CC1497" t="b">
        <v>0</v>
      </c>
      <c r="CD1497" t="b">
        <v>0</v>
      </c>
      <c r="CE1497" t="b">
        <v>0</v>
      </c>
      <c r="CF1497" t="b">
        <v>0</v>
      </c>
    </row>
    <row r="1498" spans="1:84" x14ac:dyDescent="0.3">
      <c r="A1498" t="s">
        <v>4224</v>
      </c>
      <c r="B1498" t="s">
        <v>1242</v>
      </c>
      <c r="C1498" s="98">
        <v>45810</v>
      </c>
      <c r="D1498">
        <v>2025</v>
      </c>
      <c r="E1498">
        <v>6</v>
      </c>
      <c r="F1498">
        <v>2</v>
      </c>
      <c r="G1498" t="s">
        <v>1243</v>
      </c>
      <c r="H1498" t="s">
        <v>151</v>
      </c>
      <c r="I1498" t="s">
        <v>151</v>
      </c>
      <c r="J1498" t="s">
        <v>6</v>
      </c>
      <c r="L1498">
        <v>522611</v>
      </c>
      <c r="M1498" s="99" t="s">
        <v>180</v>
      </c>
      <c r="N1498">
        <v>3</v>
      </c>
      <c r="O1498">
        <v>22</v>
      </c>
      <c r="P1498">
        <v>6.2199999999999998E-2</v>
      </c>
      <c r="Q1498" t="s">
        <v>352</v>
      </c>
      <c r="R1498">
        <v>1</v>
      </c>
      <c r="S1498">
        <v>6.3299999999999995E-2</v>
      </c>
      <c r="T1498">
        <v>2.7000000000000001E-3</v>
      </c>
      <c r="U1498">
        <v>-0.40740740740740622</v>
      </c>
      <c r="V1498">
        <v>5.5199999999999992E-2</v>
      </c>
      <c r="W1498">
        <v>5.7899999999999993E-2</v>
      </c>
      <c r="X1498">
        <v>6.0599999999999994E-2</v>
      </c>
      <c r="Y1498">
        <v>6.5999999999999989E-2</v>
      </c>
      <c r="Z1498">
        <v>6.8699999999999997E-2</v>
      </c>
      <c r="AA1498">
        <v>7.1399999999999991E-2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 t="s">
        <v>462</v>
      </c>
      <c r="AL1498" t="s">
        <v>6</v>
      </c>
      <c r="AM1498" t="s">
        <v>1145</v>
      </c>
      <c r="AN1498" t="s">
        <v>1146</v>
      </c>
      <c r="AO1498" s="100">
        <v>46262.040405092594</v>
      </c>
      <c r="AP1498" t="s">
        <v>1147</v>
      </c>
      <c r="AQ1498" t="s">
        <v>4225</v>
      </c>
      <c r="AR1498" t="s">
        <v>1245</v>
      </c>
      <c r="AS1498" t="s">
        <v>1150</v>
      </c>
      <c r="AT1498" t="s">
        <v>4083</v>
      </c>
      <c r="AU1498">
        <v>25</v>
      </c>
      <c r="AV1498">
        <v>6.3236000000000001E-2</v>
      </c>
      <c r="AW1498">
        <v>2.2521989254948149E-3</v>
      </c>
      <c r="AX1498">
        <v>3.5615771482934004</v>
      </c>
      <c r="BB1498" t="s">
        <v>4620</v>
      </c>
      <c r="BD1498" s="98"/>
      <c r="BE1498" s="98"/>
      <c r="BF1498" t="s">
        <v>1152</v>
      </c>
      <c r="BG1498" t="s">
        <v>322</v>
      </c>
      <c r="BH1498" t="s">
        <v>1153</v>
      </c>
      <c r="BN1498" t="s">
        <v>1154</v>
      </c>
      <c r="BO1498">
        <v>2025</v>
      </c>
      <c r="BP1498" t="s">
        <v>966</v>
      </c>
      <c r="BZ1498" t="s">
        <v>1513</v>
      </c>
      <c r="CA1498" t="s">
        <v>1513</v>
      </c>
      <c r="CB1498" t="b">
        <v>0</v>
      </c>
      <c r="CC1498" t="b">
        <v>0</v>
      </c>
      <c r="CD1498" t="b">
        <v>0</v>
      </c>
      <c r="CE1498" t="b">
        <v>0</v>
      </c>
      <c r="CF1498" t="b">
        <v>0</v>
      </c>
    </row>
    <row r="1499" spans="1:84" x14ac:dyDescent="0.3">
      <c r="A1499" t="s">
        <v>4226</v>
      </c>
      <c r="B1499" t="s">
        <v>1247</v>
      </c>
      <c r="C1499" s="98">
        <v>45817</v>
      </c>
      <c r="D1499">
        <v>2025</v>
      </c>
      <c r="E1499">
        <v>6</v>
      </c>
      <c r="F1499">
        <v>2</v>
      </c>
      <c r="G1499" t="s">
        <v>1243</v>
      </c>
      <c r="H1499" t="s">
        <v>151</v>
      </c>
      <c r="I1499" t="s">
        <v>151</v>
      </c>
      <c r="J1499" t="s">
        <v>6</v>
      </c>
      <c r="L1499">
        <v>522611</v>
      </c>
      <c r="M1499" s="99" t="s">
        <v>180</v>
      </c>
      <c r="N1499">
        <v>3</v>
      </c>
      <c r="O1499">
        <v>23</v>
      </c>
      <c r="P1499">
        <v>6.5299999999999997E-2</v>
      </c>
      <c r="Q1499" t="s">
        <v>352</v>
      </c>
      <c r="R1499">
        <v>1</v>
      </c>
      <c r="S1499">
        <v>6.3299999999999995E-2</v>
      </c>
      <c r="T1499">
        <v>2.7000000000000001E-3</v>
      </c>
      <c r="U1499">
        <v>0.74074074074074137</v>
      </c>
      <c r="V1499">
        <v>5.5199999999999992E-2</v>
      </c>
      <c r="W1499">
        <v>5.7899999999999993E-2</v>
      </c>
      <c r="X1499">
        <v>6.0599999999999994E-2</v>
      </c>
      <c r="Y1499">
        <v>6.5999999999999989E-2</v>
      </c>
      <c r="Z1499">
        <v>6.8699999999999997E-2</v>
      </c>
      <c r="AA1499">
        <v>7.1399999999999991E-2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 t="s">
        <v>462</v>
      </c>
      <c r="AL1499" t="s">
        <v>6</v>
      </c>
      <c r="AM1499" t="s">
        <v>1145</v>
      </c>
      <c r="AN1499" t="s">
        <v>1146</v>
      </c>
      <c r="AO1499" s="100">
        <v>46262.040405092594</v>
      </c>
      <c r="AP1499" t="s">
        <v>1147</v>
      </c>
      <c r="AQ1499" t="s">
        <v>4227</v>
      </c>
      <c r="AR1499" t="s">
        <v>1249</v>
      </c>
      <c r="AS1499" t="s">
        <v>1150</v>
      </c>
      <c r="AT1499" t="s">
        <v>4083</v>
      </c>
      <c r="AU1499">
        <v>25</v>
      </c>
      <c r="AV1499">
        <v>6.3236000000000001E-2</v>
      </c>
      <c r="AW1499">
        <v>2.2521989254948149E-3</v>
      </c>
      <c r="AX1499">
        <v>3.5615771482934004</v>
      </c>
      <c r="BB1499" t="s">
        <v>4620</v>
      </c>
      <c r="BD1499" s="98"/>
      <c r="BE1499" s="98"/>
      <c r="BF1499" t="s">
        <v>1152</v>
      </c>
      <c r="BG1499" t="s">
        <v>322</v>
      </c>
      <c r="BH1499" t="s">
        <v>1153</v>
      </c>
      <c r="BN1499" t="s">
        <v>1154</v>
      </c>
      <c r="BO1499">
        <v>2025</v>
      </c>
      <c r="BP1499" t="s">
        <v>966</v>
      </c>
      <c r="BZ1499" t="s">
        <v>1513</v>
      </c>
      <c r="CA1499" t="s">
        <v>1513</v>
      </c>
      <c r="CB1499" t="b">
        <v>0</v>
      </c>
      <c r="CC1499" t="b">
        <v>0</v>
      </c>
      <c r="CD1499" t="b">
        <v>0</v>
      </c>
      <c r="CE1499" t="b">
        <v>0</v>
      </c>
      <c r="CF1499" t="b">
        <v>0</v>
      </c>
    </row>
    <row r="1500" spans="1:84" x14ac:dyDescent="0.3">
      <c r="A1500" t="s">
        <v>4228</v>
      </c>
      <c r="B1500" t="s">
        <v>1251</v>
      </c>
      <c r="C1500" s="98">
        <v>45824</v>
      </c>
      <c r="D1500">
        <v>2025</v>
      </c>
      <c r="E1500">
        <v>6</v>
      </c>
      <c r="F1500">
        <v>2</v>
      </c>
      <c r="G1500" t="s">
        <v>1243</v>
      </c>
      <c r="H1500" t="s">
        <v>151</v>
      </c>
      <c r="I1500" t="s">
        <v>151</v>
      </c>
      <c r="J1500" t="s">
        <v>6</v>
      </c>
      <c r="L1500">
        <v>522611</v>
      </c>
      <c r="M1500" s="99" t="s">
        <v>180</v>
      </c>
      <c r="N1500">
        <v>3</v>
      </c>
      <c r="O1500">
        <v>24</v>
      </c>
      <c r="P1500">
        <v>6.2300000000000001E-2</v>
      </c>
      <c r="Q1500" t="s">
        <v>352</v>
      </c>
      <c r="R1500">
        <v>1</v>
      </c>
      <c r="S1500">
        <v>6.3299999999999995E-2</v>
      </c>
      <c r="T1500">
        <v>2.7000000000000001E-3</v>
      </c>
      <c r="U1500">
        <v>-0.37037037037036813</v>
      </c>
      <c r="V1500">
        <v>5.5199999999999992E-2</v>
      </c>
      <c r="W1500">
        <v>5.7899999999999993E-2</v>
      </c>
      <c r="X1500">
        <v>6.0599999999999994E-2</v>
      </c>
      <c r="Y1500">
        <v>6.5999999999999989E-2</v>
      </c>
      <c r="Z1500">
        <v>6.8699999999999997E-2</v>
      </c>
      <c r="AA1500">
        <v>7.1399999999999991E-2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 t="s">
        <v>462</v>
      </c>
      <c r="AL1500" t="s">
        <v>6</v>
      </c>
      <c r="AM1500" t="s">
        <v>1145</v>
      </c>
      <c r="AN1500" t="s">
        <v>1146</v>
      </c>
      <c r="AO1500" s="100">
        <v>46262.040405092594</v>
      </c>
      <c r="AP1500" t="s">
        <v>1147</v>
      </c>
      <c r="AQ1500" t="s">
        <v>4229</v>
      </c>
      <c r="AR1500" t="s">
        <v>1253</v>
      </c>
      <c r="AS1500" t="s">
        <v>1150</v>
      </c>
      <c r="AT1500" t="s">
        <v>4083</v>
      </c>
      <c r="AU1500">
        <v>25</v>
      </c>
      <c r="AV1500">
        <v>6.3236000000000001E-2</v>
      </c>
      <c r="AW1500">
        <v>2.2521989254948149E-3</v>
      </c>
      <c r="AX1500">
        <v>3.5615771482934004</v>
      </c>
      <c r="BB1500" t="s">
        <v>4620</v>
      </c>
      <c r="BD1500" s="98"/>
      <c r="BE1500" s="98"/>
      <c r="BF1500" t="s">
        <v>1152</v>
      </c>
      <c r="BG1500" t="s">
        <v>322</v>
      </c>
      <c r="BH1500" t="s">
        <v>1153</v>
      </c>
      <c r="BN1500" t="s">
        <v>1154</v>
      </c>
      <c r="BO1500">
        <v>2025</v>
      </c>
      <c r="BP1500" t="s">
        <v>966</v>
      </c>
      <c r="BZ1500" t="s">
        <v>1513</v>
      </c>
      <c r="CA1500" t="s">
        <v>1513</v>
      </c>
      <c r="CB1500" t="b">
        <v>0</v>
      </c>
      <c r="CC1500" t="b">
        <v>0</v>
      </c>
      <c r="CD1500" t="b">
        <v>0</v>
      </c>
      <c r="CE1500" t="b">
        <v>0</v>
      </c>
      <c r="CF1500" t="b">
        <v>0</v>
      </c>
    </row>
    <row r="1501" spans="1:84" x14ac:dyDescent="0.3">
      <c r="A1501" t="s">
        <v>4230</v>
      </c>
      <c r="B1501" t="s">
        <v>1255</v>
      </c>
      <c r="C1501" s="98">
        <v>45831</v>
      </c>
      <c r="D1501">
        <v>2025</v>
      </c>
      <c r="E1501">
        <v>6</v>
      </c>
      <c r="F1501">
        <v>2</v>
      </c>
      <c r="G1501" t="s">
        <v>1243</v>
      </c>
      <c r="H1501" t="s">
        <v>151</v>
      </c>
      <c r="I1501" t="s">
        <v>151</v>
      </c>
      <c r="J1501" t="s">
        <v>6</v>
      </c>
      <c r="L1501">
        <v>522611</v>
      </c>
      <c r="M1501" s="99" t="s">
        <v>180</v>
      </c>
      <c r="N1501">
        <v>3</v>
      </c>
      <c r="O1501">
        <v>25</v>
      </c>
      <c r="P1501">
        <v>6.2799999999999995E-2</v>
      </c>
      <c r="Q1501" t="s">
        <v>352</v>
      </c>
      <c r="R1501">
        <v>1</v>
      </c>
      <c r="S1501">
        <v>6.3299999999999995E-2</v>
      </c>
      <c r="T1501">
        <v>2.7000000000000001E-3</v>
      </c>
      <c r="U1501">
        <v>-0.18518518518518534</v>
      </c>
      <c r="V1501">
        <v>5.5199999999999992E-2</v>
      </c>
      <c r="W1501">
        <v>5.7899999999999993E-2</v>
      </c>
      <c r="X1501">
        <v>6.0599999999999994E-2</v>
      </c>
      <c r="Y1501">
        <v>6.5999999999999989E-2</v>
      </c>
      <c r="Z1501">
        <v>6.8699999999999997E-2</v>
      </c>
      <c r="AA1501">
        <v>7.1399999999999991E-2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 t="s">
        <v>462</v>
      </c>
      <c r="AL1501" t="s">
        <v>6</v>
      </c>
      <c r="AM1501" t="s">
        <v>1145</v>
      </c>
      <c r="AN1501" t="s">
        <v>1146</v>
      </c>
      <c r="AO1501" s="100">
        <v>46262.040405092594</v>
      </c>
      <c r="AP1501" t="s">
        <v>1147</v>
      </c>
      <c r="AQ1501" t="s">
        <v>4231</v>
      </c>
      <c r="AR1501" t="s">
        <v>1257</v>
      </c>
      <c r="AS1501" t="s">
        <v>1150</v>
      </c>
      <c r="AT1501" t="s">
        <v>4083</v>
      </c>
      <c r="AU1501">
        <v>25</v>
      </c>
      <c r="AV1501">
        <v>6.3236000000000001E-2</v>
      </c>
      <c r="AW1501">
        <v>2.2521989254948149E-3</v>
      </c>
      <c r="AX1501">
        <v>3.5615771482934004</v>
      </c>
      <c r="BB1501" t="s">
        <v>4620</v>
      </c>
      <c r="BD1501" s="98"/>
      <c r="BE1501" s="98"/>
      <c r="BF1501" t="s">
        <v>1152</v>
      </c>
      <c r="BG1501" t="s">
        <v>322</v>
      </c>
      <c r="BH1501" t="s">
        <v>1153</v>
      </c>
      <c r="BN1501" t="s">
        <v>1154</v>
      </c>
      <c r="BO1501">
        <v>2025</v>
      </c>
      <c r="BP1501" t="s">
        <v>966</v>
      </c>
      <c r="BZ1501" t="s">
        <v>1513</v>
      </c>
      <c r="CA1501" t="s">
        <v>1513</v>
      </c>
      <c r="CB1501" t="b">
        <v>0</v>
      </c>
      <c r="CC1501" t="b">
        <v>0</v>
      </c>
      <c r="CD1501" t="b">
        <v>0</v>
      </c>
      <c r="CE1501" t="b">
        <v>0</v>
      </c>
      <c r="CF1501" t="b">
        <v>0</v>
      </c>
    </row>
    <row r="1502" spans="1:84" x14ac:dyDescent="0.3">
      <c r="A1502" t="s">
        <v>4232</v>
      </c>
      <c r="B1502" t="s">
        <v>1143</v>
      </c>
      <c r="C1502" s="98">
        <v>45663</v>
      </c>
      <c r="D1502">
        <v>2025</v>
      </c>
      <c r="E1502">
        <v>1</v>
      </c>
      <c r="F1502">
        <v>1</v>
      </c>
      <c r="G1502" t="s">
        <v>1144</v>
      </c>
      <c r="H1502" t="s">
        <v>152</v>
      </c>
      <c r="I1502" t="s">
        <v>152</v>
      </c>
      <c r="J1502" t="s">
        <v>6</v>
      </c>
      <c r="L1502">
        <v>522611</v>
      </c>
      <c r="M1502" s="99" t="s">
        <v>178</v>
      </c>
      <c r="N1502">
        <v>1</v>
      </c>
      <c r="O1502">
        <v>1</v>
      </c>
      <c r="P1502">
        <v>28.831099999999999</v>
      </c>
      <c r="Q1502" t="s">
        <v>352</v>
      </c>
      <c r="R1502">
        <v>1</v>
      </c>
      <c r="S1502">
        <v>36.466700000000003</v>
      </c>
      <c r="T1502">
        <v>6.2675999999999998</v>
      </c>
      <c r="U1502">
        <v>-1.2182653647329127</v>
      </c>
      <c r="V1502">
        <v>17.663900000000005</v>
      </c>
      <c r="W1502">
        <v>23.931500000000003</v>
      </c>
      <c r="X1502">
        <v>30.199100000000001</v>
      </c>
      <c r="Y1502">
        <v>42.734300000000005</v>
      </c>
      <c r="Z1502">
        <v>49.001900000000006</v>
      </c>
      <c r="AA1502">
        <v>55.269500000000001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 t="s">
        <v>462</v>
      </c>
      <c r="AL1502" t="s">
        <v>6</v>
      </c>
      <c r="AM1502" t="s">
        <v>1145</v>
      </c>
      <c r="AN1502" t="s">
        <v>1146</v>
      </c>
      <c r="AO1502" s="100">
        <v>46262.040405092594</v>
      </c>
      <c r="AP1502" t="s">
        <v>1147</v>
      </c>
      <c r="AQ1502" t="s">
        <v>4233</v>
      </c>
      <c r="AR1502" t="s">
        <v>1149</v>
      </c>
      <c r="AS1502" t="s">
        <v>1150</v>
      </c>
      <c r="AT1502" t="s">
        <v>4234</v>
      </c>
      <c r="AU1502">
        <v>25</v>
      </c>
      <c r="AV1502">
        <v>39.193863999999991</v>
      </c>
      <c r="AW1502">
        <v>7.07549850510431</v>
      </c>
      <c r="AX1502">
        <v>18.052566863793555</v>
      </c>
      <c r="BB1502" t="s">
        <v>4620</v>
      </c>
      <c r="BD1502" s="98"/>
      <c r="BE1502" s="98"/>
      <c r="BF1502" t="s">
        <v>1152</v>
      </c>
      <c r="BG1502" t="s">
        <v>322</v>
      </c>
      <c r="BH1502" t="s">
        <v>1153</v>
      </c>
      <c r="BN1502" t="s">
        <v>1154</v>
      </c>
      <c r="BO1502">
        <v>2025</v>
      </c>
      <c r="BP1502" t="s">
        <v>966</v>
      </c>
      <c r="BZ1502" t="s">
        <v>1513</v>
      </c>
      <c r="CA1502" t="s">
        <v>1513</v>
      </c>
      <c r="CB1502" t="b">
        <v>0</v>
      </c>
      <c r="CC1502" t="b">
        <v>0</v>
      </c>
      <c r="CD1502" t="b">
        <v>0</v>
      </c>
      <c r="CE1502" t="b">
        <v>0</v>
      </c>
      <c r="CF1502" t="b">
        <v>0</v>
      </c>
    </row>
    <row r="1503" spans="1:84" x14ac:dyDescent="0.3">
      <c r="A1503" t="s">
        <v>4235</v>
      </c>
      <c r="B1503" t="s">
        <v>1157</v>
      </c>
      <c r="C1503" s="98">
        <v>45670</v>
      </c>
      <c r="D1503">
        <v>2025</v>
      </c>
      <c r="E1503">
        <v>1</v>
      </c>
      <c r="F1503">
        <v>1</v>
      </c>
      <c r="G1503" t="s">
        <v>1144</v>
      </c>
      <c r="H1503" t="s">
        <v>152</v>
      </c>
      <c r="I1503" t="s">
        <v>152</v>
      </c>
      <c r="J1503" t="s">
        <v>6</v>
      </c>
      <c r="L1503">
        <v>522611</v>
      </c>
      <c r="M1503" s="99" t="s">
        <v>178</v>
      </c>
      <c r="N1503">
        <v>1</v>
      </c>
      <c r="O1503">
        <v>2</v>
      </c>
      <c r="P1503">
        <v>46.7742</v>
      </c>
      <c r="Q1503" t="s">
        <v>352</v>
      </c>
      <c r="R1503">
        <v>1</v>
      </c>
      <c r="S1503">
        <v>36.466700000000003</v>
      </c>
      <c r="T1503">
        <v>6.2675999999999998</v>
      </c>
      <c r="U1503">
        <v>1.6445688939945111</v>
      </c>
      <c r="V1503">
        <v>17.663900000000005</v>
      </c>
      <c r="W1503">
        <v>23.931500000000003</v>
      </c>
      <c r="X1503">
        <v>30.199100000000001</v>
      </c>
      <c r="Y1503">
        <v>42.734300000000005</v>
      </c>
      <c r="Z1503">
        <v>49.001900000000006</v>
      </c>
      <c r="AA1503">
        <v>55.269500000000001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 t="s">
        <v>462</v>
      </c>
      <c r="AL1503" t="s">
        <v>6</v>
      </c>
      <c r="AM1503" t="s">
        <v>1145</v>
      </c>
      <c r="AN1503" t="s">
        <v>1146</v>
      </c>
      <c r="AO1503" s="100">
        <v>46262.040405092594</v>
      </c>
      <c r="AP1503" t="s">
        <v>1147</v>
      </c>
      <c r="AQ1503" t="s">
        <v>4236</v>
      </c>
      <c r="AR1503" t="s">
        <v>1159</v>
      </c>
      <c r="AS1503" t="s">
        <v>1150</v>
      </c>
      <c r="AT1503" t="s">
        <v>4234</v>
      </c>
      <c r="AU1503">
        <v>25</v>
      </c>
      <c r="AV1503">
        <v>39.193863999999991</v>
      </c>
      <c r="AW1503">
        <v>7.07549850510431</v>
      </c>
      <c r="AX1503">
        <v>18.052566863793555</v>
      </c>
      <c r="BB1503" t="s">
        <v>4620</v>
      </c>
      <c r="BD1503" s="98"/>
      <c r="BE1503" s="98"/>
      <c r="BF1503" t="s">
        <v>1152</v>
      </c>
      <c r="BG1503" t="s">
        <v>322</v>
      </c>
      <c r="BH1503" t="s">
        <v>1153</v>
      </c>
      <c r="BN1503" t="s">
        <v>1154</v>
      </c>
      <c r="BO1503">
        <v>2025</v>
      </c>
      <c r="BP1503" t="s">
        <v>966</v>
      </c>
      <c r="BZ1503" t="s">
        <v>1513</v>
      </c>
      <c r="CA1503" t="s">
        <v>1513</v>
      </c>
      <c r="CB1503" t="b">
        <v>0</v>
      </c>
      <c r="CC1503" t="b">
        <v>0</v>
      </c>
      <c r="CD1503" t="b">
        <v>0</v>
      </c>
      <c r="CE1503" t="b">
        <v>0</v>
      </c>
      <c r="CF1503" t="b">
        <v>0</v>
      </c>
    </row>
    <row r="1504" spans="1:84" x14ac:dyDescent="0.3">
      <c r="A1504" t="s">
        <v>4237</v>
      </c>
      <c r="B1504" t="s">
        <v>1161</v>
      </c>
      <c r="C1504" s="98">
        <v>45677</v>
      </c>
      <c r="D1504">
        <v>2025</v>
      </c>
      <c r="E1504">
        <v>1</v>
      </c>
      <c r="F1504">
        <v>1</v>
      </c>
      <c r="G1504" t="s">
        <v>1144</v>
      </c>
      <c r="H1504" t="s">
        <v>152</v>
      </c>
      <c r="I1504" t="s">
        <v>152</v>
      </c>
      <c r="J1504" t="s">
        <v>6</v>
      </c>
      <c r="L1504">
        <v>522611</v>
      </c>
      <c r="M1504" s="99" t="s">
        <v>178</v>
      </c>
      <c r="N1504">
        <v>1</v>
      </c>
      <c r="O1504">
        <v>3</v>
      </c>
      <c r="P1504">
        <v>39.644199999999998</v>
      </c>
      <c r="Q1504" t="s">
        <v>352</v>
      </c>
      <c r="R1504">
        <v>1</v>
      </c>
      <c r="S1504">
        <v>36.466700000000003</v>
      </c>
      <c r="T1504">
        <v>6.2675999999999998</v>
      </c>
      <c r="U1504">
        <v>0.5069723658178561</v>
      </c>
      <c r="V1504">
        <v>17.663900000000005</v>
      </c>
      <c r="W1504">
        <v>23.931500000000003</v>
      </c>
      <c r="X1504">
        <v>30.199100000000001</v>
      </c>
      <c r="Y1504">
        <v>42.734300000000005</v>
      </c>
      <c r="Z1504">
        <v>49.001900000000006</v>
      </c>
      <c r="AA1504">
        <v>55.269500000000001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 t="s">
        <v>462</v>
      </c>
      <c r="AL1504" t="s">
        <v>6</v>
      </c>
      <c r="AM1504" t="s">
        <v>1145</v>
      </c>
      <c r="AN1504" t="s">
        <v>1146</v>
      </c>
      <c r="AO1504" s="100">
        <v>46262.040405092594</v>
      </c>
      <c r="AP1504" t="s">
        <v>1147</v>
      </c>
      <c r="AQ1504" t="s">
        <v>4238</v>
      </c>
      <c r="AR1504" t="s">
        <v>1163</v>
      </c>
      <c r="AS1504" t="s">
        <v>1150</v>
      </c>
      <c r="AT1504" t="s">
        <v>4234</v>
      </c>
      <c r="AU1504">
        <v>25</v>
      </c>
      <c r="AV1504">
        <v>39.193863999999991</v>
      </c>
      <c r="AW1504">
        <v>7.07549850510431</v>
      </c>
      <c r="AX1504">
        <v>18.052566863793555</v>
      </c>
      <c r="BB1504" t="s">
        <v>4620</v>
      </c>
      <c r="BD1504" s="98"/>
      <c r="BE1504" s="98"/>
      <c r="BF1504" t="s">
        <v>1152</v>
      </c>
      <c r="BG1504" t="s">
        <v>322</v>
      </c>
      <c r="BH1504" t="s">
        <v>1153</v>
      </c>
      <c r="BN1504" t="s">
        <v>1154</v>
      </c>
      <c r="BO1504">
        <v>2025</v>
      </c>
      <c r="BP1504" t="s">
        <v>966</v>
      </c>
      <c r="BZ1504" t="s">
        <v>1513</v>
      </c>
      <c r="CA1504" t="s">
        <v>1513</v>
      </c>
      <c r="CB1504" t="b">
        <v>0</v>
      </c>
      <c r="CC1504" t="b">
        <v>0</v>
      </c>
      <c r="CD1504" t="b">
        <v>0</v>
      </c>
      <c r="CE1504" t="b">
        <v>0</v>
      </c>
      <c r="CF1504" t="b">
        <v>0</v>
      </c>
    </row>
    <row r="1505" spans="1:84" x14ac:dyDescent="0.3">
      <c r="A1505" t="s">
        <v>4239</v>
      </c>
      <c r="B1505" t="s">
        <v>1165</v>
      </c>
      <c r="C1505" s="98">
        <v>45684</v>
      </c>
      <c r="D1505">
        <v>2025</v>
      </c>
      <c r="E1505">
        <v>1</v>
      </c>
      <c r="F1505">
        <v>1</v>
      </c>
      <c r="G1505" t="s">
        <v>1144</v>
      </c>
      <c r="H1505" t="s">
        <v>152</v>
      </c>
      <c r="I1505" t="s">
        <v>152</v>
      </c>
      <c r="J1505" t="s">
        <v>6</v>
      </c>
      <c r="L1505">
        <v>522611</v>
      </c>
      <c r="M1505" s="99" t="s">
        <v>178</v>
      </c>
      <c r="N1505">
        <v>1</v>
      </c>
      <c r="O1505">
        <v>4</v>
      </c>
      <c r="P1505">
        <v>47.6785</v>
      </c>
      <c r="Q1505" t="s">
        <v>352</v>
      </c>
      <c r="R1505">
        <v>1</v>
      </c>
      <c r="S1505">
        <v>36.466700000000003</v>
      </c>
      <c r="T1505">
        <v>6.2675999999999998</v>
      </c>
      <c r="U1505">
        <v>1.7888505967196371</v>
      </c>
      <c r="V1505">
        <v>17.663900000000005</v>
      </c>
      <c r="W1505">
        <v>23.931500000000003</v>
      </c>
      <c r="X1505">
        <v>30.199100000000001</v>
      </c>
      <c r="Y1505">
        <v>42.734300000000005</v>
      </c>
      <c r="Z1505">
        <v>49.001900000000006</v>
      </c>
      <c r="AA1505">
        <v>55.269500000000001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 t="s">
        <v>462</v>
      </c>
      <c r="AL1505" t="s">
        <v>6</v>
      </c>
      <c r="AM1505" t="s">
        <v>1145</v>
      </c>
      <c r="AN1505" t="s">
        <v>1146</v>
      </c>
      <c r="AO1505" s="100">
        <v>46262.040405092594</v>
      </c>
      <c r="AP1505" t="s">
        <v>1147</v>
      </c>
      <c r="AQ1505" t="s">
        <v>4240</v>
      </c>
      <c r="AR1505" t="s">
        <v>1167</v>
      </c>
      <c r="AS1505" t="s">
        <v>1150</v>
      </c>
      <c r="AT1505" t="s">
        <v>4234</v>
      </c>
      <c r="AU1505">
        <v>25</v>
      </c>
      <c r="AV1505">
        <v>39.193863999999991</v>
      </c>
      <c r="AW1505">
        <v>7.07549850510431</v>
      </c>
      <c r="AX1505">
        <v>18.052566863793555</v>
      </c>
      <c r="BB1505" t="s">
        <v>4620</v>
      </c>
      <c r="BD1505" s="98"/>
      <c r="BE1505" s="98"/>
      <c r="BF1505" t="s">
        <v>1152</v>
      </c>
      <c r="BG1505" t="s">
        <v>322</v>
      </c>
      <c r="BH1505" t="s">
        <v>1153</v>
      </c>
      <c r="BN1505" t="s">
        <v>1154</v>
      </c>
      <c r="BO1505">
        <v>2025</v>
      </c>
      <c r="BP1505" t="s">
        <v>966</v>
      </c>
      <c r="BZ1505" t="s">
        <v>1513</v>
      </c>
      <c r="CA1505" t="s">
        <v>1513</v>
      </c>
      <c r="CB1505" t="b">
        <v>0</v>
      </c>
      <c r="CC1505" t="b">
        <v>0</v>
      </c>
      <c r="CD1505" t="b">
        <v>0</v>
      </c>
      <c r="CE1505" t="b">
        <v>0</v>
      </c>
      <c r="CF1505" t="b">
        <v>0</v>
      </c>
    </row>
    <row r="1506" spans="1:84" x14ac:dyDescent="0.3">
      <c r="A1506" t="s">
        <v>4241</v>
      </c>
      <c r="B1506" t="s">
        <v>1169</v>
      </c>
      <c r="C1506" s="98">
        <v>45691</v>
      </c>
      <c r="D1506">
        <v>2025</v>
      </c>
      <c r="E1506">
        <v>2</v>
      </c>
      <c r="F1506">
        <v>1</v>
      </c>
      <c r="G1506" t="s">
        <v>1170</v>
      </c>
      <c r="H1506" t="s">
        <v>152</v>
      </c>
      <c r="I1506" t="s">
        <v>152</v>
      </c>
      <c r="J1506" t="s">
        <v>6</v>
      </c>
      <c r="L1506">
        <v>522611</v>
      </c>
      <c r="M1506" s="99" t="s">
        <v>178</v>
      </c>
      <c r="N1506">
        <v>1</v>
      </c>
      <c r="O1506">
        <v>5</v>
      </c>
      <c r="P1506">
        <v>41.461199999999998</v>
      </c>
      <c r="Q1506" t="s">
        <v>352</v>
      </c>
      <c r="R1506">
        <v>1</v>
      </c>
      <c r="S1506">
        <v>36.466700000000003</v>
      </c>
      <c r="T1506">
        <v>6.2675999999999998</v>
      </c>
      <c r="U1506">
        <v>0.79687599719190683</v>
      </c>
      <c r="V1506">
        <v>17.663900000000005</v>
      </c>
      <c r="W1506">
        <v>23.931500000000003</v>
      </c>
      <c r="X1506">
        <v>30.199100000000001</v>
      </c>
      <c r="Y1506">
        <v>42.734300000000005</v>
      </c>
      <c r="Z1506">
        <v>49.001900000000006</v>
      </c>
      <c r="AA1506">
        <v>55.269500000000001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 t="s">
        <v>462</v>
      </c>
      <c r="AL1506" t="s">
        <v>6</v>
      </c>
      <c r="AM1506" t="s">
        <v>1145</v>
      </c>
      <c r="AN1506" t="s">
        <v>1146</v>
      </c>
      <c r="AO1506" s="100">
        <v>46262.040405092594</v>
      </c>
      <c r="AP1506" t="s">
        <v>1147</v>
      </c>
      <c r="AQ1506" t="s">
        <v>4242</v>
      </c>
      <c r="AR1506" t="s">
        <v>1172</v>
      </c>
      <c r="AS1506" t="s">
        <v>1150</v>
      </c>
      <c r="AT1506" t="s">
        <v>4234</v>
      </c>
      <c r="AU1506">
        <v>25</v>
      </c>
      <c r="AV1506">
        <v>39.193863999999991</v>
      </c>
      <c r="AW1506">
        <v>7.07549850510431</v>
      </c>
      <c r="AX1506">
        <v>18.052566863793555</v>
      </c>
      <c r="BB1506" t="s">
        <v>4620</v>
      </c>
      <c r="BD1506" s="98"/>
      <c r="BE1506" s="98"/>
      <c r="BF1506" t="s">
        <v>1152</v>
      </c>
      <c r="BG1506" t="s">
        <v>322</v>
      </c>
      <c r="BH1506" t="s">
        <v>1153</v>
      </c>
      <c r="BN1506" t="s">
        <v>1154</v>
      </c>
      <c r="BO1506">
        <v>2025</v>
      </c>
      <c r="BP1506" t="s">
        <v>966</v>
      </c>
      <c r="BZ1506" t="s">
        <v>1513</v>
      </c>
      <c r="CA1506" t="s">
        <v>1513</v>
      </c>
      <c r="CB1506" t="b">
        <v>0</v>
      </c>
      <c r="CC1506" t="b">
        <v>0</v>
      </c>
      <c r="CD1506" t="b">
        <v>0</v>
      </c>
      <c r="CE1506" t="b">
        <v>0</v>
      </c>
      <c r="CF1506" t="b">
        <v>0</v>
      </c>
    </row>
    <row r="1507" spans="1:84" x14ac:dyDescent="0.3">
      <c r="A1507" t="s">
        <v>4243</v>
      </c>
      <c r="B1507" t="s">
        <v>1174</v>
      </c>
      <c r="C1507" s="98">
        <v>45698</v>
      </c>
      <c r="D1507">
        <v>2025</v>
      </c>
      <c r="E1507">
        <v>2</v>
      </c>
      <c r="F1507">
        <v>1</v>
      </c>
      <c r="G1507" t="s">
        <v>1170</v>
      </c>
      <c r="H1507" t="s">
        <v>152</v>
      </c>
      <c r="I1507" t="s">
        <v>152</v>
      </c>
      <c r="J1507" t="s">
        <v>6</v>
      </c>
      <c r="L1507">
        <v>522611</v>
      </c>
      <c r="M1507" s="99" t="s">
        <v>178</v>
      </c>
      <c r="N1507">
        <v>1</v>
      </c>
      <c r="O1507">
        <v>6</v>
      </c>
      <c r="P1507">
        <v>45.803100000000001</v>
      </c>
      <c r="Q1507" t="s">
        <v>352</v>
      </c>
      <c r="R1507">
        <v>1</v>
      </c>
      <c r="S1507">
        <v>36.466700000000003</v>
      </c>
      <c r="T1507">
        <v>6.2675999999999998</v>
      </c>
      <c r="U1507">
        <v>1.4896292041610821</v>
      </c>
      <c r="V1507">
        <v>17.663900000000005</v>
      </c>
      <c r="W1507">
        <v>23.931500000000003</v>
      </c>
      <c r="X1507">
        <v>30.199100000000001</v>
      </c>
      <c r="Y1507">
        <v>42.734300000000005</v>
      </c>
      <c r="Z1507">
        <v>49.001900000000006</v>
      </c>
      <c r="AA1507">
        <v>55.269500000000001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 t="s">
        <v>462</v>
      </c>
      <c r="AL1507" t="s">
        <v>6</v>
      </c>
      <c r="AM1507" t="s">
        <v>1145</v>
      </c>
      <c r="AN1507" t="s">
        <v>1146</v>
      </c>
      <c r="AO1507" s="100">
        <v>46262.040405092594</v>
      </c>
      <c r="AP1507" t="s">
        <v>1147</v>
      </c>
      <c r="AQ1507" t="s">
        <v>4244</v>
      </c>
      <c r="AR1507" t="s">
        <v>1176</v>
      </c>
      <c r="AS1507" t="s">
        <v>1150</v>
      </c>
      <c r="AT1507" t="s">
        <v>4234</v>
      </c>
      <c r="AU1507">
        <v>25</v>
      </c>
      <c r="AV1507">
        <v>39.193863999999991</v>
      </c>
      <c r="AW1507">
        <v>7.07549850510431</v>
      </c>
      <c r="AX1507">
        <v>18.052566863793555</v>
      </c>
      <c r="BB1507" t="s">
        <v>4620</v>
      </c>
      <c r="BD1507" s="98"/>
      <c r="BE1507" s="98"/>
      <c r="BF1507" t="s">
        <v>1152</v>
      </c>
      <c r="BG1507" t="s">
        <v>322</v>
      </c>
      <c r="BH1507" t="s">
        <v>1153</v>
      </c>
      <c r="BN1507" t="s">
        <v>1154</v>
      </c>
      <c r="BO1507">
        <v>2025</v>
      </c>
      <c r="BP1507" t="s">
        <v>966</v>
      </c>
      <c r="BZ1507" t="s">
        <v>1513</v>
      </c>
      <c r="CA1507" t="s">
        <v>1513</v>
      </c>
      <c r="CB1507" t="b">
        <v>0</v>
      </c>
      <c r="CC1507" t="b">
        <v>0</v>
      </c>
      <c r="CD1507" t="b">
        <v>0</v>
      </c>
      <c r="CE1507" t="b">
        <v>0</v>
      </c>
      <c r="CF1507" t="b">
        <v>0</v>
      </c>
    </row>
    <row r="1508" spans="1:84" x14ac:dyDescent="0.3">
      <c r="A1508" t="s">
        <v>4245</v>
      </c>
      <c r="B1508" t="s">
        <v>1178</v>
      </c>
      <c r="C1508" s="98">
        <v>45705</v>
      </c>
      <c r="D1508">
        <v>2025</v>
      </c>
      <c r="E1508">
        <v>2</v>
      </c>
      <c r="F1508">
        <v>1</v>
      </c>
      <c r="G1508" t="s">
        <v>1170</v>
      </c>
      <c r="H1508" t="s">
        <v>152</v>
      </c>
      <c r="I1508" t="s">
        <v>152</v>
      </c>
      <c r="J1508" t="s">
        <v>6</v>
      </c>
      <c r="L1508">
        <v>522611</v>
      </c>
      <c r="M1508" s="99" t="s">
        <v>178</v>
      </c>
      <c r="N1508">
        <v>1</v>
      </c>
      <c r="O1508">
        <v>7</v>
      </c>
      <c r="P1508">
        <v>34.909300000000002</v>
      </c>
      <c r="Q1508" t="s">
        <v>352</v>
      </c>
      <c r="R1508">
        <v>1</v>
      </c>
      <c r="S1508">
        <v>36.466700000000003</v>
      </c>
      <c r="T1508">
        <v>6.2675999999999998</v>
      </c>
      <c r="U1508">
        <v>-0.24848426830046608</v>
      </c>
      <c r="V1508">
        <v>17.663900000000005</v>
      </c>
      <c r="W1508">
        <v>23.931500000000003</v>
      </c>
      <c r="X1508">
        <v>30.199100000000001</v>
      </c>
      <c r="Y1508">
        <v>42.734300000000005</v>
      </c>
      <c r="Z1508">
        <v>49.001900000000006</v>
      </c>
      <c r="AA1508">
        <v>55.269500000000001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 t="s">
        <v>462</v>
      </c>
      <c r="AL1508" t="s">
        <v>6</v>
      </c>
      <c r="AM1508" t="s">
        <v>1145</v>
      </c>
      <c r="AN1508" t="s">
        <v>1146</v>
      </c>
      <c r="AO1508" s="100">
        <v>46262.040405092594</v>
      </c>
      <c r="AP1508" t="s">
        <v>1147</v>
      </c>
      <c r="AQ1508" t="s">
        <v>4246</v>
      </c>
      <c r="AR1508" t="s">
        <v>1180</v>
      </c>
      <c r="AS1508" t="s">
        <v>1150</v>
      </c>
      <c r="AT1508" t="s">
        <v>4234</v>
      </c>
      <c r="AU1508">
        <v>25</v>
      </c>
      <c r="AV1508">
        <v>39.193863999999991</v>
      </c>
      <c r="AW1508">
        <v>7.07549850510431</v>
      </c>
      <c r="AX1508">
        <v>18.052566863793555</v>
      </c>
      <c r="BB1508" t="s">
        <v>4620</v>
      </c>
      <c r="BD1508" s="98"/>
      <c r="BE1508" s="98"/>
      <c r="BF1508" t="s">
        <v>1152</v>
      </c>
      <c r="BG1508" t="s">
        <v>322</v>
      </c>
      <c r="BH1508" t="s">
        <v>1153</v>
      </c>
      <c r="BN1508" t="s">
        <v>1154</v>
      </c>
      <c r="BO1508">
        <v>2025</v>
      </c>
      <c r="BP1508" t="s">
        <v>966</v>
      </c>
      <c r="BZ1508" t="s">
        <v>1513</v>
      </c>
      <c r="CA1508" t="s">
        <v>1513</v>
      </c>
      <c r="CB1508" t="b">
        <v>0</v>
      </c>
      <c r="CC1508" t="b">
        <v>0</v>
      </c>
      <c r="CD1508" t="b">
        <v>0</v>
      </c>
      <c r="CE1508" t="b">
        <v>0</v>
      </c>
      <c r="CF1508" t="b">
        <v>0</v>
      </c>
    </row>
    <row r="1509" spans="1:84" x14ac:dyDescent="0.3">
      <c r="A1509" t="s">
        <v>4247</v>
      </c>
      <c r="B1509" t="s">
        <v>1182</v>
      </c>
      <c r="C1509" s="98">
        <v>45712</v>
      </c>
      <c r="D1509">
        <v>2025</v>
      </c>
      <c r="E1509">
        <v>2</v>
      </c>
      <c r="F1509">
        <v>1</v>
      </c>
      <c r="G1509" t="s">
        <v>1170</v>
      </c>
      <c r="H1509" t="s">
        <v>152</v>
      </c>
      <c r="I1509" t="s">
        <v>152</v>
      </c>
      <c r="J1509" t="s">
        <v>6</v>
      </c>
      <c r="L1509">
        <v>522611</v>
      </c>
      <c r="M1509" s="99" t="s">
        <v>178</v>
      </c>
      <c r="N1509">
        <v>1</v>
      </c>
      <c r="O1509">
        <v>8</v>
      </c>
      <c r="P1509">
        <v>40.961500000000001</v>
      </c>
      <c r="Q1509" t="s">
        <v>352</v>
      </c>
      <c r="R1509">
        <v>1</v>
      </c>
      <c r="S1509">
        <v>36.466700000000003</v>
      </c>
      <c r="T1509">
        <v>6.2675999999999998</v>
      </c>
      <c r="U1509">
        <v>0.71714850979641298</v>
      </c>
      <c r="V1509">
        <v>17.663900000000005</v>
      </c>
      <c r="W1509">
        <v>23.931500000000003</v>
      </c>
      <c r="X1509">
        <v>30.199100000000001</v>
      </c>
      <c r="Y1509">
        <v>42.734300000000005</v>
      </c>
      <c r="Z1509">
        <v>49.001900000000006</v>
      </c>
      <c r="AA1509">
        <v>55.269500000000001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 t="s">
        <v>462</v>
      </c>
      <c r="AL1509" t="s">
        <v>6</v>
      </c>
      <c r="AM1509" t="s">
        <v>1145</v>
      </c>
      <c r="AN1509" t="s">
        <v>1146</v>
      </c>
      <c r="AO1509" s="100">
        <v>46262.040405092594</v>
      </c>
      <c r="AP1509" t="s">
        <v>1147</v>
      </c>
      <c r="AQ1509" t="s">
        <v>4248</v>
      </c>
      <c r="AR1509" t="s">
        <v>1184</v>
      </c>
      <c r="AS1509" t="s">
        <v>1150</v>
      </c>
      <c r="AT1509" t="s">
        <v>4234</v>
      </c>
      <c r="AU1509">
        <v>25</v>
      </c>
      <c r="AV1509">
        <v>39.193863999999991</v>
      </c>
      <c r="AW1509">
        <v>7.07549850510431</v>
      </c>
      <c r="AX1509">
        <v>18.052566863793555</v>
      </c>
      <c r="BB1509" t="s">
        <v>4620</v>
      </c>
      <c r="BD1509" s="98"/>
      <c r="BE1509" s="98"/>
      <c r="BF1509" t="s">
        <v>1152</v>
      </c>
      <c r="BG1509" t="s">
        <v>322</v>
      </c>
      <c r="BH1509" t="s">
        <v>1153</v>
      </c>
      <c r="BN1509" t="s">
        <v>1154</v>
      </c>
      <c r="BO1509">
        <v>2025</v>
      </c>
      <c r="BP1509" t="s">
        <v>966</v>
      </c>
      <c r="BZ1509" t="s">
        <v>1513</v>
      </c>
      <c r="CA1509" t="s">
        <v>1513</v>
      </c>
      <c r="CB1509" t="b">
        <v>0</v>
      </c>
      <c r="CC1509" t="b">
        <v>0</v>
      </c>
      <c r="CD1509" t="b">
        <v>0</v>
      </c>
      <c r="CE1509" t="b">
        <v>0</v>
      </c>
      <c r="CF1509" t="b">
        <v>0</v>
      </c>
    </row>
    <row r="1510" spans="1:84" x14ac:dyDescent="0.3">
      <c r="A1510" t="s">
        <v>4249</v>
      </c>
      <c r="B1510" t="s">
        <v>1186</v>
      </c>
      <c r="C1510" s="98">
        <v>45719</v>
      </c>
      <c r="D1510">
        <v>2025</v>
      </c>
      <c r="E1510">
        <v>3</v>
      </c>
      <c r="F1510">
        <v>1</v>
      </c>
      <c r="G1510" t="s">
        <v>1187</v>
      </c>
      <c r="H1510" t="s">
        <v>152</v>
      </c>
      <c r="I1510" t="s">
        <v>152</v>
      </c>
      <c r="J1510" t="s">
        <v>6</v>
      </c>
      <c r="L1510">
        <v>522611</v>
      </c>
      <c r="M1510" s="99" t="s">
        <v>178</v>
      </c>
      <c r="N1510">
        <v>1</v>
      </c>
      <c r="O1510">
        <v>9</v>
      </c>
      <c r="P1510">
        <v>53.4236</v>
      </c>
      <c r="Q1510" t="s">
        <v>352</v>
      </c>
      <c r="R1510">
        <v>1</v>
      </c>
      <c r="S1510">
        <v>36.466700000000003</v>
      </c>
      <c r="T1510">
        <v>6.2675999999999998</v>
      </c>
      <c r="U1510">
        <v>2.705485353245261</v>
      </c>
      <c r="V1510">
        <v>17.663900000000005</v>
      </c>
      <c r="W1510">
        <v>23.931500000000003</v>
      </c>
      <c r="X1510">
        <v>30.199100000000001</v>
      </c>
      <c r="Y1510">
        <v>42.734300000000005</v>
      </c>
      <c r="Z1510">
        <v>49.001900000000006</v>
      </c>
      <c r="AA1510">
        <v>55.269500000000001</v>
      </c>
      <c r="AE1510">
        <v>0</v>
      </c>
      <c r="AF1510">
        <v>1</v>
      </c>
      <c r="AG1510">
        <v>0</v>
      </c>
      <c r="AH1510">
        <v>0</v>
      </c>
      <c r="AI1510">
        <v>0</v>
      </c>
      <c r="AJ1510">
        <v>1</v>
      </c>
      <c r="AK1510" t="s">
        <v>1213</v>
      </c>
      <c r="AL1510" t="s">
        <v>6</v>
      </c>
      <c r="AM1510" t="s">
        <v>1145</v>
      </c>
      <c r="AN1510" t="s">
        <v>1146</v>
      </c>
      <c r="AO1510" s="100">
        <v>46262.040405092594</v>
      </c>
      <c r="AP1510" t="s">
        <v>1147</v>
      </c>
      <c r="AQ1510" t="s">
        <v>4250</v>
      </c>
      <c r="AR1510" t="s">
        <v>1189</v>
      </c>
      <c r="AS1510" t="s">
        <v>1150</v>
      </c>
      <c r="AT1510" t="s">
        <v>4234</v>
      </c>
      <c r="AU1510">
        <v>25</v>
      </c>
      <c r="AV1510">
        <v>39.193863999999991</v>
      </c>
      <c r="AW1510">
        <v>7.07549850510431</v>
      </c>
      <c r="AX1510">
        <v>18.052566863793555</v>
      </c>
      <c r="BB1510" t="s">
        <v>4620</v>
      </c>
      <c r="BD1510" s="98"/>
      <c r="BE1510" s="98"/>
      <c r="BF1510" t="s">
        <v>1152</v>
      </c>
      <c r="BG1510" t="s">
        <v>322</v>
      </c>
      <c r="BH1510" t="s">
        <v>1153</v>
      </c>
      <c r="BN1510" t="s">
        <v>1154</v>
      </c>
      <c r="BO1510">
        <v>2025</v>
      </c>
      <c r="BP1510" t="s">
        <v>966</v>
      </c>
      <c r="BZ1510" t="s">
        <v>1513</v>
      </c>
      <c r="CA1510" t="s">
        <v>1513</v>
      </c>
      <c r="CB1510" t="b">
        <v>0</v>
      </c>
      <c r="CC1510" t="b">
        <v>0</v>
      </c>
      <c r="CD1510" t="b">
        <v>0</v>
      </c>
      <c r="CE1510" t="b">
        <v>0</v>
      </c>
      <c r="CF1510" t="b">
        <v>0</v>
      </c>
    </row>
    <row r="1511" spans="1:84" x14ac:dyDescent="0.3">
      <c r="A1511" t="s">
        <v>4251</v>
      </c>
      <c r="B1511" t="s">
        <v>1191</v>
      </c>
      <c r="C1511" s="98">
        <v>45726</v>
      </c>
      <c r="D1511">
        <v>2025</v>
      </c>
      <c r="E1511">
        <v>3</v>
      </c>
      <c r="F1511">
        <v>1</v>
      </c>
      <c r="G1511" t="s">
        <v>1187</v>
      </c>
      <c r="H1511" t="s">
        <v>152</v>
      </c>
      <c r="I1511" t="s">
        <v>152</v>
      </c>
      <c r="J1511" t="s">
        <v>6</v>
      </c>
      <c r="L1511">
        <v>522611</v>
      </c>
      <c r="M1511" s="99" t="s">
        <v>178</v>
      </c>
      <c r="N1511">
        <v>1</v>
      </c>
      <c r="O1511">
        <v>10</v>
      </c>
      <c r="P1511">
        <v>28.798100000000002</v>
      </c>
      <c r="Q1511" t="s">
        <v>352</v>
      </c>
      <c r="R1511">
        <v>1</v>
      </c>
      <c r="S1511">
        <v>36.466700000000003</v>
      </c>
      <c r="T1511">
        <v>6.2675999999999998</v>
      </c>
      <c r="U1511">
        <v>-1.2235305380049781</v>
      </c>
      <c r="V1511">
        <v>17.663900000000005</v>
      </c>
      <c r="W1511">
        <v>23.931500000000003</v>
      </c>
      <c r="X1511">
        <v>30.199100000000001</v>
      </c>
      <c r="Y1511">
        <v>42.734300000000005</v>
      </c>
      <c r="Z1511">
        <v>49.001900000000006</v>
      </c>
      <c r="AA1511">
        <v>55.269500000000001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 t="s">
        <v>462</v>
      </c>
      <c r="AL1511" t="s">
        <v>6</v>
      </c>
      <c r="AM1511" t="s">
        <v>1145</v>
      </c>
      <c r="AN1511" t="s">
        <v>1146</v>
      </c>
      <c r="AO1511" s="100">
        <v>46262.040405092594</v>
      </c>
      <c r="AP1511" t="s">
        <v>1147</v>
      </c>
      <c r="AQ1511" t="s">
        <v>4252</v>
      </c>
      <c r="AR1511" t="s">
        <v>1193</v>
      </c>
      <c r="AS1511" t="s">
        <v>1150</v>
      </c>
      <c r="AT1511" t="s">
        <v>4234</v>
      </c>
      <c r="AU1511">
        <v>25</v>
      </c>
      <c r="AV1511">
        <v>39.193863999999991</v>
      </c>
      <c r="AW1511">
        <v>7.07549850510431</v>
      </c>
      <c r="AX1511">
        <v>18.052566863793555</v>
      </c>
      <c r="BB1511" t="s">
        <v>4620</v>
      </c>
      <c r="BD1511" s="98"/>
      <c r="BE1511" s="98"/>
      <c r="BF1511" t="s">
        <v>1152</v>
      </c>
      <c r="BG1511" t="s">
        <v>322</v>
      </c>
      <c r="BH1511" t="s">
        <v>1153</v>
      </c>
      <c r="BN1511" t="s">
        <v>1154</v>
      </c>
      <c r="BO1511">
        <v>2025</v>
      </c>
      <c r="BP1511" t="s">
        <v>966</v>
      </c>
      <c r="BZ1511" t="s">
        <v>1513</v>
      </c>
      <c r="CA1511" t="s">
        <v>1513</v>
      </c>
      <c r="CB1511" t="b">
        <v>0</v>
      </c>
      <c r="CC1511" t="b">
        <v>0</v>
      </c>
      <c r="CD1511" t="b">
        <v>0</v>
      </c>
      <c r="CE1511" t="b">
        <v>0</v>
      </c>
      <c r="CF1511" t="b">
        <v>0</v>
      </c>
    </row>
    <row r="1512" spans="1:84" x14ac:dyDescent="0.3">
      <c r="A1512" t="s">
        <v>4253</v>
      </c>
      <c r="B1512" t="s">
        <v>1195</v>
      </c>
      <c r="C1512" s="98">
        <v>45733</v>
      </c>
      <c r="D1512">
        <v>2025</v>
      </c>
      <c r="E1512">
        <v>3</v>
      </c>
      <c r="F1512">
        <v>1</v>
      </c>
      <c r="G1512" t="s">
        <v>1187</v>
      </c>
      <c r="H1512" t="s">
        <v>152</v>
      </c>
      <c r="I1512" t="s">
        <v>152</v>
      </c>
      <c r="J1512" t="s">
        <v>6</v>
      </c>
      <c r="L1512">
        <v>522611</v>
      </c>
      <c r="M1512" s="99" t="s">
        <v>178</v>
      </c>
      <c r="N1512">
        <v>1</v>
      </c>
      <c r="O1512">
        <v>11</v>
      </c>
      <c r="P1512">
        <v>43.838999999999999</v>
      </c>
      <c r="Q1512" t="s">
        <v>352</v>
      </c>
      <c r="R1512">
        <v>1</v>
      </c>
      <c r="S1512">
        <v>36.466700000000003</v>
      </c>
      <c r="T1512">
        <v>6.2675999999999998</v>
      </c>
      <c r="U1512">
        <v>1.1762556640500343</v>
      </c>
      <c r="V1512">
        <v>17.663900000000005</v>
      </c>
      <c r="W1512">
        <v>23.931500000000003</v>
      </c>
      <c r="X1512">
        <v>30.199100000000001</v>
      </c>
      <c r="Y1512">
        <v>42.734300000000005</v>
      </c>
      <c r="Z1512">
        <v>49.001900000000006</v>
      </c>
      <c r="AA1512">
        <v>55.269500000000001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 t="s">
        <v>462</v>
      </c>
      <c r="AL1512" t="s">
        <v>6</v>
      </c>
      <c r="AM1512" t="s">
        <v>1145</v>
      </c>
      <c r="AN1512" t="s">
        <v>1146</v>
      </c>
      <c r="AO1512" s="100">
        <v>46262.040405092594</v>
      </c>
      <c r="AP1512" t="s">
        <v>1147</v>
      </c>
      <c r="AQ1512" t="s">
        <v>4254</v>
      </c>
      <c r="AR1512" t="s">
        <v>1197</v>
      </c>
      <c r="AS1512" t="s">
        <v>1150</v>
      </c>
      <c r="AT1512" t="s">
        <v>4234</v>
      </c>
      <c r="AU1512">
        <v>25</v>
      </c>
      <c r="AV1512">
        <v>39.193863999999991</v>
      </c>
      <c r="AW1512">
        <v>7.07549850510431</v>
      </c>
      <c r="AX1512">
        <v>18.052566863793555</v>
      </c>
      <c r="BB1512" t="s">
        <v>4620</v>
      </c>
      <c r="BD1512" s="98"/>
      <c r="BE1512" s="98"/>
      <c r="BF1512" t="s">
        <v>1152</v>
      </c>
      <c r="BG1512" t="s">
        <v>322</v>
      </c>
      <c r="BH1512" t="s">
        <v>1153</v>
      </c>
      <c r="BN1512" t="s">
        <v>1154</v>
      </c>
      <c r="BO1512">
        <v>2025</v>
      </c>
      <c r="BP1512" t="s">
        <v>966</v>
      </c>
      <c r="BZ1512" t="s">
        <v>1513</v>
      </c>
      <c r="CA1512" t="s">
        <v>1513</v>
      </c>
      <c r="CB1512" t="b">
        <v>0</v>
      </c>
      <c r="CC1512" t="b">
        <v>0</v>
      </c>
      <c r="CD1512" t="b">
        <v>0</v>
      </c>
      <c r="CE1512" t="b">
        <v>0</v>
      </c>
      <c r="CF1512" t="b">
        <v>0</v>
      </c>
    </row>
    <row r="1513" spans="1:84" x14ac:dyDescent="0.3">
      <c r="A1513" t="s">
        <v>4255</v>
      </c>
      <c r="B1513" t="s">
        <v>1199</v>
      </c>
      <c r="C1513" s="98">
        <v>45740</v>
      </c>
      <c r="D1513">
        <v>2025</v>
      </c>
      <c r="E1513">
        <v>3</v>
      </c>
      <c r="F1513">
        <v>1</v>
      </c>
      <c r="G1513" t="s">
        <v>1187</v>
      </c>
      <c r="H1513" t="s">
        <v>152</v>
      </c>
      <c r="I1513" t="s">
        <v>152</v>
      </c>
      <c r="J1513" t="s">
        <v>6</v>
      </c>
      <c r="L1513">
        <v>522611</v>
      </c>
      <c r="M1513" s="99" t="s">
        <v>178</v>
      </c>
      <c r="N1513">
        <v>1</v>
      </c>
      <c r="O1513">
        <v>12</v>
      </c>
      <c r="P1513">
        <v>47.108600000000003</v>
      </c>
      <c r="Q1513" t="s">
        <v>352</v>
      </c>
      <c r="R1513">
        <v>1</v>
      </c>
      <c r="S1513">
        <v>36.466700000000003</v>
      </c>
      <c r="T1513">
        <v>6.2675999999999998</v>
      </c>
      <c r="U1513">
        <v>1.6979226498181121</v>
      </c>
      <c r="V1513">
        <v>17.663900000000005</v>
      </c>
      <c r="W1513">
        <v>23.931500000000003</v>
      </c>
      <c r="X1513">
        <v>30.199100000000001</v>
      </c>
      <c r="Y1513">
        <v>42.734300000000005</v>
      </c>
      <c r="Z1513">
        <v>49.001900000000006</v>
      </c>
      <c r="AA1513">
        <v>55.269500000000001</v>
      </c>
      <c r="AE1513">
        <v>0</v>
      </c>
      <c r="AF1513">
        <v>0</v>
      </c>
      <c r="AG1513">
        <v>0</v>
      </c>
      <c r="AH1513">
        <v>0</v>
      </c>
      <c r="AI1513">
        <v>1</v>
      </c>
      <c r="AJ1513">
        <v>0</v>
      </c>
      <c r="AK1513" t="s">
        <v>1213</v>
      </c>
      <c r="AL1513" t="s">
        <v>6</v>
      </c>
      <c r="AM1513" t="s">
        <v>1145</v>
      </c>
      <c r="AN1513" t="s">
        <v>1146</v>
      </c>
      <c r="AO1513" s="100">
        <v>46262.040405092594</v>
      </c>
      <c r="AP1513" t="s">
        <v>1147</v>
      </c>
      <c r="AQ1513" t="s">
        <v>4256</v>
      </c>
      <c r="AR1513" t="s">
        <v>1201</v>
      </c>
      <c r="AS1513" t="s">
        <v>1150</v>
      </c>
      <c r="AT1513" t="s">
        <v>4234</v>
      </c>
      <c r="AU1513">
        <v>25</v>
      </c>
      <c r="AV1513">
        <v>39.193863999999991</v>
      </c>
      <c r="AW1513">
        <v>7.07549850510431</v>
      </c>
      <c r="AX1513">
        <v>18.052566863793555</v>
      </c>
      <c r="BB1513" t="s">
        <v>4620</v>
      </c>
      <c r="BD1513" s="98"/>
      <c r="BE1513" s="98"/>
      <c r="BF1513" t="s">
        <v>1152</v>
      </c>
      <c r="BG1513" t="s">
        <v>322</v>
      </c>
      <c r="BH1513" t="s">
        <v>1153</v>
      </c>
      <c r="BN1513" t="s">
        <v>1154</v>
      </c>
      <c r="BO1513">
        <v>2025</v>
      </c>
      <c r="BP1513" t="s">
        <v>966</v>
      </c>
      <c r="BZ1513" t="s">
        <v>1513</v>
      </c>
      <c r="CA1513" t="s">
        <v>1513</v>
      </c>
      <c r="CB1513" t="b">
        <v>0</v>
      </c>
      <c r="CC1513" t="b">
        <v>0</v>
      </c>
      <c r="CD1513" t="b">
        <v>0</v>
      </c>
      <c r="CE1513" t="b">
        <v>0</v>
      </c>
      <c r="CF1513" t="b">
        <v>0</v>
      </c>
    </row>
    <row r="1514" spans="1:84" x14ac:dyDescent="0.3">
      <c r="A1514" t="s">
        <v>4257</v>
      </c>
      <c r="B1514" t="s">
        <v>1203</v>
      </c>
      <c r="C1514" s="98">
        <v>45747</v>
      </c>
      <c r="D1514">
        <v>2025</v>
      </c>
      <c r="E1514">
        <v>3</v>
      </c>
      <c r="F1514">
        <v>1</v>
      </c>
      <c r="G1514" t="s">
        <v>1187</v>
      </c>
      <c r="H1514" t="s">
        <v>152</v>
      </c>
      <c r="I1514" t="s">
        <v>152</v>
      </c>
      <c r="J1514" t="s">
        <v>6</v>
      </c>
      <c r="L1514">
        <v>522611</v>
      </c>
      <c r="M1514" s="99" t="s">
        <v>178</v>
      </c>
      <c r="N1514">
        <v>1</v>
      </c>
      <c r="O1514">
        <v>13</v>
      </c>
      <c r="P1514">
        <v>39.106099999999998</v>
      </c>
      <c r="Q1514" t="s">
        <v>352</v>
      </c>
      <c r="R1514">
        <v>1</v>
      </c>
      <c r="S1514">
        <v>36.466700000000003</v>
      </c>
      <c r="T1514">
        <v>6.2675999999999998</v>
      </c>
      <c r="U1514">
        <v>0.42111813134213971</v>
      </c>
      <c r="V1514">
        <v>17.663900000000005</v>
      </c>
      <c r="W1514">
        <v>23.931500000000003</v>
      </c>
      <c r="X1514">
        <v>30.199100000000001</v>
      </c>
      <c r="Y1514">
        <v>42.734300000000005</v>
      </c>
      <c r="Z1514">
        <v>49.001900000000006</v>
      </c>
      <c r="AA1514">
        <v>55.269500000000001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 t="s">
        <v>462</v>
      </c>
      <c r="AL1514" t="s">
        <v>6</v>
      </c>
      <c r="AM1514" t="s">
        <v>1145</v>
      </c>
      <c r="AN1514" t="s">
        <v>1146</v>
      </c>
      <c r="AO1514" s="100">
        <v>46262.040405092594</v>
      </c>
      <c r="AP1514" t="s">
        <v>1147</v>
      </c>
      <c r="AQ1514" t="s">
        <v>4258</v>
      </c>
      <c r="AR1514" t="s">
        <v>1205</v>
      </c>
      <c r="AS1514" t="s">
        <v>1150</v>
      </c>
      <c r="AT1514" t="s">
        <v>4234</v>
      </c>
      <c r="AU1514">
        <v>25</v>
      </c>
      <c r="AV1514">
        <v>39.193863999999991</v>
      </c>
      <c r="AW1514">
        <v>7.07549850510431</v>
      </c>
      <c r="AX1514">
        <v>18.052566863793555</v>
      </c>
      <c r="BB1514" t="s">
        <v>4620</v>
      </c>
      <c r="BD1514" s="98"/>
      <c r="BE1514" s="98"/>
      <c r="BF1514" t="s">
        <v>1152</v>
      </c>
      <c r="BG1514" t="s">
        <v>322</v>
      </c>
      <c r="BH1514" t="s">
        <v>1153</v>
      </c>
      <c r="BN1514" t="s">
        <v>1154</v>
      </c>
      <c r="BO1514">
        <v>2025</v>
      </c>
      <c r="BP1514" t="s">
        <v>966</v>
      </c>
      <c r="BZ1514" t="s">
        <v>1513</v>
      </c>
      <c r="CA1514" t="s">
        <v>1513</v>
      </c>
      <c r="CB1514" t="b">
        <v>0</v>
      </c>
      <c r="CC1514" t="b">
        <v>0</v>
      </c>
      <c r="CD1514" t="b">
        <v>0</v>
      </c>
      <c r="CE1514" t="b">
        <v>0</v>
      </c>
      <c r="CF1514" t="b">
        <v>0</v>
      </c>
    </row>
    <row r="1515" spans="1:84" x14ac:dyDescent="0.3">
      <c r="A1515" t="s">
        <v>4259</v>
      </c>
      <c r="B1515" t="s">
        <v>1207</v>
      </c>
      <c r="C1515" s="98">
        <v>45754</v>
      </c>
      <c r="D1515">
        <v>2025</v>
      </c>
      <c r="E1515">
        <v>4</v>
      </c>
      <c r="F1515">
        <v>2</v>
      </c>
      <c r="G1515" t="s">
        <v>1208</v>
      </c>
      <c r="H1515" t="s">
        <v>152</v>
      </c>
      <c r="I1515" t="s">
        <v>152</v>
      </c>
      <c r="J1515" t="s">
        <v>6</v>
      </c>
      <c r="L1515">
        <v>522611</v>
      </c>
      <c r="M1515" s="99" t="s">
        <v>178</v>
      </c>
      <c r="N1515">
        <v>1</v>
      </c>
      <c r="O1515">
        <v>14</v>
      </c>
      <c r="P1515">
        <v>41.262700000000002</v>
      </c>
      <c r="Q1515" t="s">
        <v>352</v>
      </c>
      <c r="R1515">
        <v>1</v>
      </c>
      <c r="S1515">
        <v>36.466700000000003</v>
      </c>
      <c r="T1515">
        <v>6.2675999999999998</v>
      </c>
      <c r="U1515">
        <v>0.76520518220690525</v>
      </c>
      <c r="V1515">
        <v>17.663900000000005</v>
      </c>
      <c r="W1515">
        <v>23.931500000000003</v>
      </c>
      <c r="X1515">
        <v>30.199100000000001</v>
      </c>
      <c r="Y1515">
        <v>42.734300000000005</v>
      </c>
      <c r="Z1515">
        <v>49.001900000000006</v>
      </c>
      <c r="AA1515">
        <v>55.269500000000001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 t="s">
        <v>462</v>
      </c>
      <c r="AL1515" t="s">
        <v>6</v>
      </c>
      <c r="AM1515" t="s">
        <v>1145</v>
      </c>
      <c r="AN1515" t="s">
        <v>1146</v>
      </c>
      <c r="AO1515" s="100">
        <v>46262.040405092594</v>
      </c>
      <c r="AP1515" t="s">
        <v>1147</v>
      </c>
      <c r="AQ1515" t="s">
        <v>4260</v>
      </c>
      <c r="AR1515" t="s">
        <v>1210</v>
      </c>
      <c r="AS1515" t="s">
        <v>1150</v>
      </c>
      <c r="AT1515" t="s">
        <v>4234</v>
      </c>
      <c r="AU1515">
        <v>25</v>
      </c>
      <c r="AV1515">
        <v>39.193863999999991</v>
      </c>
      <c r="AW1515">
        <v>7.07549850510431</v>
      </c>
      <c r="AX1515">
        <v>18.052566863793555</v>
      </c>
      <c r="BB1515" t="s">
        <v>4620</v>
      </c>
      <c r="BD1515" s="98"/>
      <c r="BE1515" s="98"/>
      <c r="BF1515" t="s">
        <v>1152</v>
      </c>
      <c r="BG1515" t="s">
        <v>322</v>
      </c>
      <c r="BH1515" t="s">
        <v>1153</v>
      </c>
      <c r="BN1515" t="s">
        <v>1154</v>
      </c>
      <c r="BO1515">
        <v>2025</v>
      </c>
      <c r="BP1515" t="s">
        <v>966</v>
      </c>
      <c r="BZ1515" t="s">
        <v>1513</v>
      </c>
      <c r="CA1515" t="s">
        <v>1513</v>
      </c>
      <c r="CB1515" t="b">
        <v>0</v>
      </c>
      <c r="CC1515" t="b">
        <v>0</v>
      </c>
      <c r="CD1515" t="b">
        <v>0</v>
      </c>
      <c r="CE1515" t="b">
        <v>0</v>
      </c>
      <c r="CF1515" t="b">
        <v>0</v>
      </c>
    </row>
    <row r="1516" spans="1:84" x14ac:dyDescent="0.3">
      <c r="A1516" t="s">
        <v>4261</v>
      </c>
      <c r="B1516" t="s">
        <v>1212</v>
      </c>
      <c r="C1516" s="98">
        <v>45761</v>
      </c>
      <c r="D1516">
        <v>2025</v>
      </c>
      <c r="E1516">
        <v>4</v>
      </c>
      <c r="F1516">
        <v>2</v>
      </c>
      <c r="G1516" t="s">
        <v>1208</v>
      </c>
      <c r="H1516" t="s">
        <v>152</v>
      </c>
      <c r="I1516" t="s">
        <v>152</v>
      </c>
      <c r="J1516" t="s">
        <v>6</v>
      </c>
      <c r="L1516">
        <v>522611</v>
      </c>
      <c r="M1516" s="99" t="s">
        <v>178</v>
      </c>
      <c r="N1516">
        <v>1</v>
      </c>
      <c r="O1516">
        <v>15</v>
      </c>
      <c r="P1516">
        <v>44.486899999999999</v>
      </c>
      <c r="Q1516" t="s">
        <v>352</v>
      </c>
      <c r="R1516">
        <v>1</v>
      </c>
      <c r="S1516">
        <v>36.466700000000003</v>
      </c>
      <c r="T1516">
        <v>6.2675999999999998</v>
      </c>
      <c r="U1516">
        <v>1.2796285659582609</v>
      </c>
      <c r="V1516">
        <v>17.663900000000005</v>
      </c>
      <c r="W1516">
        <v>23.931500000000003</v>
      </c>
      <c r="X1516">
        <v>30.199100000000001</v>
      </c>
      <c r="Y1516">
        <v>42.734300000000005</v>
      </c>
      <c r="Z1516">
        <v>49.001900000000006</v>
      </c>
      <c r="AA1516">
        <v>55.269500000000001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 t="s">
        <v>462</v>
      </c>
      <c r="AL1516" t="s">
        <v>6</v>
      </c>
      <c r="AM1516" t="s">
        <v>1145</v>
      </c>
      <c r="AN1516" t="s">
        <v>1146</v>
      </c>
      <c r="AO1516" s="100">
        <v>46262.040405092594</v>
      </c>
      <c r="AP1516" t="s">
        <v>1147</v>
      </c>
      <c r="AQ1516" t="s">
        <v>4262</v>
      </c>
      <c r="AR1516" t="s">
        <v>1215</v>
      </c>
      <c r="AS1516" t="s">
        <v>1150</v>
      </c>
      <c r="AT1516" t="s">
        <v>4234</v>
      </c>
      <c r="AU1516">
        <v>25</v>
      </c>
      <c r="AV1516">
        <v>39.193863999999991</v>
      </c>
      <c r="AW1516">
        <v>7.07549850510431</v>
      </c>
      <c r="AX1516">
        <v>18.052566863793555</v>
      </c>
      <c r="BB1516" t="s">
        <v>4620</v>
      </c>
      <c r="BD1516" s="98"/>
      <c r="BE1516" s="98"/>
      <c r="BF1516" t="s">
        <v>1152</v>
      </c>
      <c r="BG1516" t="s">
        <v>322</v>
      </c>
      <c r="BH1516" t="s">
        <v>1153</v>
      </c>
      <c r="BN1516" t="s">
        <v>1154</v>
      </c>
      <c r="BO1516">
        <v>2025</v>
      </c>
      <c r="BP1516" t="s">
        <v>966</v>
      </c>
      <c r="BZ1516" t="s">
        <v>1513</v>
      </c>
      <c r="CA1516" t="s">
        <v>1513</v>
      </c>
      <c r="CB1516" t="b">
        <v>0</v>
      </c>
      <c r="CC1516" t="b">
        <v>0</v>
      </c>
      <c r="CD1516" t="b">
        <v>0</v>
      </c>
      <c r="CE1516" t="b">
        <v>0</v>
      </c>
      <c r="CF1516" t="b">
        <v>0</v>
      </c>
    </row>
    <row r="1517" spans="1:84" x14ac:dyDescent="0.3">
      <c r="A1517" t="s">
        <v>4263</v>
      </c>
      <c r="B1517" t="s">
        <v>1217</v>
      </c>
      <c r="C1517" s="98">
        <v>45768</v>
      </c>
      <c r="D1517">
        <v>2025</v>
      </c>
      <c r="E1517">
        <v>4</v>
      </c>
      <c r="F1517">
        <v>2</v>
      </c>
      <c r="G1517" t="s">
        <v>1208</v>
      </c>
      <c r="H1517" t="s">
        <v>152</v>
      </c>
      <c r="I1517" t="s">
        <v>152</v>
      </c>
      <c r="J1517" t="s">
        <v>6</v>
      </c>
      <c r="L1517">
        <v>522611</v>
      </c>
      <c r="M1517" s="99" t="s">
        <v>178</v>
      </c>
      <c r="N1517">
        <v>1</v>
      </c>
      <c r="O1517">
        <v>16</v>
      </c>
      <c r="P1517">
        <v>32.265500000000003</v>
      </c>
      <c r="Q1517" t="s">
        <v>352</v>
      </c>
      <c r="R1517">
        <v>1</v>
      </c>
      <c r="S1517">
        <v>36.466700000000003</v>
      </c>
      <c r="T1517">
        <v>6.2675999999999998</v>
      </c>
      <c r="U1517">
        <v>-0.67030442274554858</v>
      </c>
      <c r="V1517">
        <v>17.663900000000005</v>
      </c>
      <c r="W1517">
        <v>23.931500000000003</v>
      </c>
      <c r="X1517">
        <v>30.199100000000001</v>
      </c>
      <c r="Y1517">
        <v>42.734300000000005</v>
      </c>
      <c r="Z1517">
        <v>49.001900000000006</v>
      </c>
      <c r="AA1517">
        <v>55.269500000000001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 t="s">
        <v>462</v>
      </c>
      <c r="AL1517" t="s">
        <v>6</v>
      </c>
      <c r="AM1517" t="s">
        <v>1145</v>
      </c>
      <c r="AN1517" t="s">
        <v>1146</v>
      </c>
      <c r="AO1517" s="100">
        <v>46262.040405092594</v>
      </c>
      <c r="AP1517" t="s">
        <v>1147</v>
      </c>
      <c r="AQ1517" t="s">
        <v>4264</v>
      </c>
      <c r="AR1517" t="s">
        <v>1219</v>
      </c>
      <c r="AS1517" t="s">
        <v>1150</v>
      </c>
      <c r="AT1517" t="s">
        <v>4234</v>
      </c>
      <c r="AU1517">
        <v>25</v>
      </c>
      <c r="AV1517">
        <v>39.193863999999991</v>
      </c>
      <c r="AW1517">
        <v>7.07549850510431</v>
      </c>
      <c r="AX1517">
        <v>18.052566863793555</v>
      </c>
      <c r="BB1517" t="s">
        <v>4620</v>
      </c>
      <c r="BD1517" s="98"/>
      <c r="BE1517" s="98"/>
      <c r="BF1517" t="s">
        <v>1152</v>
      </c>
      <c r="BG1517" t="s">
        <v>322</v>
      </c>
      <c r="BH1517" t="s">
        <v>1153</v>
      </c>
      <c r="BN1517" t="s">
        <v>1154</v>
      </c>
      <c r="BO1517">
        <v>2025</v>
      </c>
      <c r="BP1517" t="s">
        <v>966</v>
      </c>
      <c r="BZ1517" t="s">
        <v>1513</v>
      </c>
      <c r="CA1517" t="s">
        <v>1513</v>
      </c>
      <c r="CB1517" t="b">
        <v>0</v>
      </c>
      <c r="CC1517" t="b">
        <v>0</v>
      </c>
      <c r="CD1517" t="b">
        <v>0</v>
      </c>
      <c r="CE1517" t="b">
        <v>0</v>
      </c>
      <c r="CF1517" t="b">
        <v>0</v>
      </c>
    </row>
    <row r="1518" spans="1:84" x14ac:dyDescent="0.3">
      <c r="A1518" t="s">
        <v>4265</v>
      </c>
      <c r="B1518" t="s">
        <v>1221</v>
      </c>
      <c r="C1518" s="98">
        <v>45775</v>
      </c>
      <c r="D1518">
        <v>2025</v>
      </c>
      <c r="E1518">
        <v>4</v>
      </c>
      <c r="F1518">
        <v>2</v>
      </c>
      <c r="G1518" t="s">
        <v>1208</v>
      </c>
      <c r="H1518" t="s">
        <v>152</v>
      </c>
      <c r="I1518" t="s">
        <v>152</v>
      </c>
      <c r="J1518" t="s">
        <v>6</v>
      </c>
      <c r="L1518">
        <v>522611</v>
      </c>
      <c r="M1518" s="99" t="s">
        <v>178</v>
      </c>
      <c r="N1518">
        <v>1</v>
      </c>
      <c r="O1518">
        <v>17</v>
      </c>
      <c r="P1518">
        <v>39.082799999999999</v>
      </c>
      <c r="Q1518" t="s">
        <v>352</v>
      </c>
      <c r="R1518">
        <v>1</v>
      </c>
      <c r="S1518">
        <v>36.466700000000003</v>
      </c>
      <c r="T1518">
        <v>6.2675999999999998</v>
      </c>
      <c r="U1518">
        <v>0.41740059991065098</v>
      </c>
      <c r="V1518">
        <v>17.663900000000005</v>
      </c>
      <c r="W1518">
        <v>23.931500000000003</v>
      </c>
      <c r="X1518">
        <v>30.199100000000001</v>
      </c>
      <c r="Y1518">
        <v>42.734300000000005</v>
      </c>
      <c r="Z1518">
        <v>49.001900000000006</v>
      </c>
      <c r="AA1518">
        <v>55.269500000000001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 t="s">
        <v>462</v>
      </c>
      <c r="AL1518" t="s">
        <v>6</v>
      </c>
      <c r="AM1518" t="s">
        <v>1145</v>
      </c>
      <c r="AN1518" t="s">
        <v>1146</v>
      </c>
      <c r="AO1518" s="100">
        <v>46262.040405092594</v>
      </c>
      <c r="AP1518" t="s">
        <v>1147</v>
      </c>
      <c r="AQ1518" t="s">
        <v>4266</v>
      </c>
      <c r="AR1518" t="s">
        <v>1223</v>
      </c>
      <c r="AS1518" t="s">
        <v>1150</v>
      </c>
      <c r="AT1518" t="s">
        <v>4234</v>
      </c>
      <c r="AU1518">
        <v>25</v>
      </c>
      <c r="AV1518">
        <v>39.193863999999991</v>
      </c>
      <c r="AW1518">
        <v>7.07549850510431</v>
      </c>
      <c r="AX1518">
        <v>18.052566863793555</v>
      </c>
      <c r="BB1518" t="s">
        <v>4620</v>
      </c>
      <c r="BD1518" s="98"/>
      <c r="BE1518" s="98"/>
      <c r="BF1518" t="s">
        <v>1152</v>
      </c>
      <c r="BG1518" t="s">
        <v>322</v>
      </c>
      <c r="BH1518" t="s">
        <v>1153</v>
      </c>
      <c r="BN1518" t="s">
        <v>1154</v>
      </c>
      <c r="BO1518">
        <v>2025</v>
      </c>
      <c r="BP1518" t="s">
        <v>966</v>
      </c>
      <c r="BZ1518" t="s">
        <v>1513</v>
      </c>
      <c r="CA1518" t="s">
        <v>1513</v>
      </c>
      <c r="CB1518" t="b">
        <v>0</v>
      </c>
      <c r="CC1518" t="b">
        <v>0</v>
      </c>
      <c r="CD1518" t="b">
        <v>0</v>
      </c>
      <c r="CE1518" t="b">
        <v>0</v>
      </c>
      <c r="CF1518" t="b">
        <v>0</v>
      </c>
    </row>
    <row r="1519" spans="1:84" x14ac:dyDescent="0.3">
      <c r="A1519" t="s">
        <v>4267</v>
      </c>
      <c r="B1519" t="s">
        <v>1225</v>
      </c>
      <c r="C1519" s="98">
        <v>45782</v>
      </c>
      <c r="D1519">
        <v>2025</v>
      </c>
      <c r="E1519">
        <v>5</v>
      </c>
      <c r="F1519">
        <v>2</v>
      </c>
      <c r="G1519" t="s">
        <v>1226</v>
      </c>
      <c r="H1519" t="s">
        <v>152</v>
      </c>
      <c r="I1519" t="s">
        <v>152</v>
      </c>
      <c r="J1519" t="s">
        <v>6</v>
      </c>
      <c r="L1519">
        <v>522611</v>
      </c>
      <c r="M1519" s="99" t="s">
        <v>178</v>
      </c>
      <c r="N1519">
        <v>1</v>
      </c>
      <c r="O1519">
        <v>18</v>
      </c>
      <c r="P1519">
        <v>30.901</v>
      </c>
      <c r="Q1519" t="s">
        <v>352</v>
      </c>
      <c r="R1519">
        <v>1</v>
      </c>
      <c r="S1519">
        <v>36.466700000000003</v>
      </c>
      <c r="T1519">
        <v>6.2675999999999998</v>
      </c>
      <c r="U1519">
        <v>-0.88801136001021175</v>
      </c>
      <c r="V1519">
        <v>17.663900000000005</v>
      </c>
      <c r="W1519">
        <v>23.931500000000003</v>
      </c>
      <c r="X1519">
        <v>30.199100000000001</v>
      </c>
      <c r="Y1519">
        <v>42.734300000000005</v>
      </c>
      <c r="Z1519">
        <v>49.001900000000006</v>
      </c>
      <c r="AA1519">
        <v>55.269500000000001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 t="s">
        <v>462</v>
      </c>
      <c r="AL1519" t="s">
        <v>6</v>
      </c>
      <c r="AM1519" t="s">
        <v>1145</v>
      </c>
      <c r="AN1519" t="s">
        <v>1146</v>
      </c>
      <c r="AO1519" s="100">
        <v>46262.040405092594</v>
      </c>
      <c r="AP1519" t="s">
        <v>1147</v>
      </c>
      <c r="AQ1519" t="s">
        <v>4268</v>
      </c>
      <c r="AR1519" t="s">
        <v>1228</v>
      </c>
      <c r="AS1519" t="s">
        <v>1150</v>
      </c>
      <c r="AT1519" t="s">
        <v>4234</v>
      </c>
      <c r="AU1519">
        <v>25</v>
      </c>
      <c r="AV1519">
        <v>39.193863999999991</v>
      </c>
      <c r="AW1519">
        <v>7.07549850510431</v>
      </c>
      <c r="AX1519">
        <v>18.052566863793555</v>
      </c>
      <c r="BB1519" t="s">
        <v>4620</v>
      </c>
      <c r="BD1519" s="98"/>
      <c r="BE1519" s="98"/>
      <c r="BF1519" t="s">
        <v>1152</v>
      </c>
      <c r="BG1519" t="s">
        <v>322</v>
      </c>
      <c r="BH1519" t="s">
        <v>1153</v>
      </c>
      <c r="BN1519" t="s">
        <v>1154</v>
      </c>
      <c r="BO1519">
        <v>2025</v>
      </c>
      <c r="BP1519" t="s">
        <v>966</v>
      </c>
      <c r="BZ1519" t="s">
        <v>1513</v>
      </c>
      <c r="CA1519" t="s">
        <v>1513</v>
      </c>
      <c r="CB1519" t="b">
        <v>0</v>
      </c>
      <c r="CC1519" t="b">
        <v>0</v>
      </c>
      <c r="CD1519" t="b">
        <v>0</v>
      </c>
      <c r="CE1519" t="b">
        <v>0</v>
      </c>
      <c r="CF1519" t="b">
        <v>0</v>
      </c>
    </row>
    <row r="1520" spans="1:84" x14ac:dyDescent="0.3">
      <c r="A1520" t="s">
        <v>4269</v>
      </c>
      <c r="B1520" t="s">
        <v>1230</v>
      </c>
      <c r="C1520" s="98">
        <v>45789</v>
      </c>
      <c r="D1520">
        <v>2025</v>
      </c>
      <c r="E1520">
        <v>5</v>
      </c>
      <c r="F1520">
        <v>2</v>
      </c>
      <c r="G1520" t="s">
        <v>1226</v>
      </c>
      <c r="H1520" t="s">
        <v>152</v>
      </c>
      <c r="I1520" t="s">
        <v>152</v>
      </c>
      <c r="J1520" t="s">
        <v>6</v>
      </c>
      <c r="L1520">
        <v>522611</v>
      </c>
      <c r="M1520" s="99" t="s">
        <v>178</v>
      </c>
      <c r="N1520">
        <v>1</v>
      </c>
      <c r="O1520">
        <v>19</v>
      </c>
      <c r="P1520">
        <v>32.1342</v>
      </c>
      <c r="Q1520" t="s">
        <v>352</v>
      </c>
      <c r="R1520">
        <v>1</v>
      </c>
      <c r="S1520">
        <v>36.466700000000003</v>
      </c>
      <c r="T1520">
        <v>6.2675999999999998</v>
      </c>
      <c r="U1520">
        <v>-0.69125343034016262</v>
      </c>
      <c r="V1520">
        <v>17.663900000000005</v>
      </c>
      <c r="W1520">
        <v>23.931500000000003</v>
      </c>
      <c r="X1520">
        <v>30.199100000000001</v>
      </c>
      <c r="Y1520">
        <v>42.734300000000005</v>
      </c>
      <c r="Z1520">
        <v>49.001900000000006</v>
      </c>
      <c r="AA1520">
        <v>55.269500000000001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 t="s">
        <v>462</v>
      </c>
      <c r="AL1520" t="s">
        <v>6</v>
      </c>
      <c r="AM1520" t="s">
        <v>1145</v>
      </c>
      <c r="AN1520" t="s">
        <v>1146</v>
      </c>
      <c r="AO1520" s="100">
        <v>46262.040405092594</v>
      </c>
      <c r="AP1520" t="s">
        <v>1147</v>
      </c>
      <c r="AQ1520" t="s">
        <v>4270</v>
      </c>
      <c r="AR1520" t="s">
        <v>1232</v>
      </c>
      <c r="AS1520" t="s">
        <v>1150</v>
      </c>
      <c r="AT1520" t="s">
        <v>4234</v>
      </c>
      <c r="AU1520">
        <v>25</v>
      </c>
      <c r="AV1520">
        <v>39.193863999999991</v>
      </c>
      <c r="AW1520">
        <v>7.07549850510431</v>
      </c>
      <c r="AX1520">
        <v>18.052566863793555</v>
      </c>
      <c r="BB1520" t="s">
        <v>4620</v>
      </c>
      <c r="BD1520" s="98"/>
      <c r="BE1520" s="98"/>
      <c r="BF1520" t="s">
        <v>1152</v>
      </c>
      <c r="BG1520" t="s">
        <v>322</v>
      </c>
      <c r="BH1520" t="s">
        <v>1153</v>
      </c>
      <c r="BN1520" t="s">
        <v>1154</v>
      </c>
      <c r="BO1520">
        <v>2025</v>
      </c>
      <c r="BP1520" t="s">
        <v>966</v>
      </c>
      <c r="BZ1520" t="s">
        <v>1513</v>
      </c>
      <c r="CA1520" t="s">
        <v>1513</v>
      </c>
      <c r="CB1520" t="b">
        <v>0</v>
      </c>
      <c r="CC1520" t="b">
        <v>0</v>
      </c>
      <c r="CD1520" t="b">
        <v>0</v>
      </c>
      <c r="CE1520" t="b">
        <v>0</v>
      </c>
      <c r="CF1520" t="b">
        <v>0</v>
      </c>
    </row>
    <row r="1521" spans="1:84" x14ac:dyDescent="0.3">
      <c r="A1521" t="s">
        <v>4271</v>
      </c>
      <c r="B1521" t="s">
        <v>1234</v>
      </c>
      <c r="C1521" s="98">
        <v>45796</v>
      </c>
      <c r="D1521">
        <v>2025</v>
      </c>
      <c r="E1521">
        <v>5</v>
      </c>
      <c r="F1521">
        <v>2</v>
      </c>
      <c r="G1521" t="s">
        <v>1226</v>
      </c>
      <c r="H1521" t="s">
        <v>152</v>
      </c>
      <c r="I1521" t="s">
        <v>152</v>
      </c>
      <c r="J1521" t="s">
        <v>6</v>
      </c>
      <c r="L1521">
        <v>522611</v>
      </c>
      <c r="M1521" s="99" t="s">
        <v>178</v>
      </c>
      <c r="N1521">
        <v>1</v>
      </c>
      <c r="O1521">
        <v>20</v>
      </c>
      <c r="P1521">
        <v>32.508299999999998</v>
      </c>
      <c r="Q1521" t="s">
        <v>352</v>
      </c>
      <c r="R1521">
        <v>1</v>
      </c>
      <c r="S1521">
        <v>36.466700000000003</v>
      </c>
      <c r="T1521">
        <v>6.2675999999999998</v>
      </c>
      <c r="U1521">
        <v>-0.63156551151956164</v>
      </c>
      <c r="V1521">
        <v>17.663900000000005</v>
      </c>
      <c r="W1521">
        <v>23.931500000000003</v>
      </c>
      <c r="X1521">
        <v>30.199100000000001</v>
      </c>
      <c r="Y1521">
        <v>42.734300000000005</v>
      </c>
      <c r="Z1521">
        <v>49.001900000000006</v>
      </c>
      <c r="AA1521">
        <v>55.269500000000001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 t="s">
        <v>462</v>
      </c>
      <c r="AL1521" t="s">
        <v>6</v>
      </c>
      <c r="AM1521" t="s">
        <v>1145</v>
      </c>
      <c r="AN1521" t="s">
        <v>1146</v>
      </c>
      <c r="AO1521" s="100">
        <v>46262.040405092594</v>
      </c>
      <c r="AP1521" t="s">
        <v>1147</v>
      </c>
      <c r="AQ1521" t="s">
        <v>4272</v>
      </c>
      <c r="AR1521" t="s">
        <v>1236</v>
      </c>
      <c r="AS1521" t="s">
        <v>1150</v>
      </c>
      <c r="AT1521" t="s">
        <v>4234</v>
      </c>
      <c r="AU1521">
        <v>25</v>
      </c>
      <c r="AV1521">
        <v>39.193863999999991</v>
      </c>
      <c r="AW1521">
        <v>7.07549850510431</v>
      </c>
      <c r="AX1521">
        <v>18.052566863793555</v>
      </c>
      <c r="BB1521" t="s">
        <v>4620</v>
      </c>
      <c r="BD1521" s="98"/>
      <c r="BE1521" s="98"/>
      <c r="BF1521" t="s">
        <v>1152</v>
      </c>
      <c r="BG1521" t="s">
        <v>322</v>
      </c>
      <c r="BH1521" t="s">
        <v>1153</v>
      </c>
      <c r="BN1521" t="s">
        <v>1154</v>
      </c>
      <c r="BO1521">
        <v>2025</v>
      </c>
      <c r="BP1521" t="s">
        <v>966</v>
      </c>
      <c r="BZ1521" t="s">
        <v>1513</v>
      </c>
      <c r="CA1521" t="s">
        <v>1513</v>
      </c>
      <c r="CB1521" t="b">
        <v>0</v>
      </c>
      <c r="CC1521" t="b">
        <v>0</v>
      </c>
      <c r="CD1521" t="b">
        <v>0</v>
      </c>
      <c r="CE1521" t="b">
        <v>0</v>
      </c>
      <c r="CF1521" t="b">
        <v>0</v>
      </c>
    </row>
    <row r="1522" spans="1:84" x14ac:dyDescent="0.3">
      <c r="A1522" t="s">
        <v>4273</v>
      </c>
      <c r="B1522" t="s">
        <v>1238</v>
      </c>
      <c r="C1522" s="98">
        <v>45803</v>
      </c>
      <c r="D1522">
        <v>2025</v>
      </c>
      <c r="E1522">
        <v>5</v>
      </c>
      <c r="F1522">
        <v>2</v>
      </c>
      <c r="G1522" t="s">
        <v>1226</v>
      </c>
      <c r="H1522" t="s">
        <v>152</v>
      </c>
      <c r="I1522" t="s">
        <v>152</v>
      </c>
      <c r="J1522" t="s">
        <v>6</v>
      </c>
      <c r="L1522">
        <v>522611</v>
      </c>
      <c r="M1522" s="99" t="s">
        <v>178</v>
      </c>
      <c r="N1522">
        <v>1</v>
      </c>
      <c r="O1522">
        <v>21</v>
      </c>
      <c r="P1522">
        <v>35.549900000000001</v>
      </c>
      <c r="Q1522" t="s">
        <v>352</v>
      </c>
      <c r="R1522">
        <v>1</v>
      </c>
      <c r="S1522">
        <v>36.466700000000003</v>
      </c>
      <c r="T1522">
        <v>6.2675999999999998</v>
      </c>
      <c r="U1522">
        <v>-0.14627608654030283</v>
      </c>
      <c r="V1522">
        <v>17.663900000000005</v>
      </c>
      <c r="W1522">
        <v>23.931500000000003</v>
      </c>
      <c r="X1522">
        <v>30.199100000000001</v>
      </c>
      <c r="Y1522">
        <v>42.734300000000005</v>
      </c>
      <c r="Z1522">
        <v>49.001900000000006</v>
      </c>
      <c r="AA1522">
        <v>55.269500000000001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 t="s">
        <v>462</v>
      </c>
      <c r="AL1522" t="s">
        <v>6</v>
      </c>
      <c r="AM1522" t="s">
        <v>1145</v>
      </c>
      <c r="AN1522" t="s">
        <v>1146</v>
      </c>
      <c r="AO1522" s="100">
        <v>46262.040405092594</v>
      </c>
      <c r="AP1522" t="s">
        <v>1147</v>
      </c>
      <c r="AQ1522" t="s">
        <v>4274</v>
      </c>
      <c r="AR1522" t="s">
        <v>1240</v>
      </c>
      <c r="AS1522" t="s">
        <v>1150</v>
      </c>
      <c r="AT1522" t="s">
        <v>4234</v>
      </c>
      <c r="AU1522">
        <v>25</v>
      </c>
      <c r="AV1522">
        <v>39.193863999999991</v>
      </c>
      <c r="AW1522">
        <v>7.07549850510431</v>
      </c>
      <c r="AX1522">
        <v>18.052566863793555</v>
      </c>
      <c r="BB1522" t="s">
        <v>4620</v>
      </c>
      <c r="BD1522" s="98"/>
      <c r="BE1522" s="98"/>
      <c r="BF1522" t="s">
        <v>1152</v>
      </c>
      <c r="BG1522" t="s">
        <v>322</v>
      </c>
      <c r="BH1522" t="s">
        <v>1153</v>
      </c>
      <c r="BN1522" t="s">
        <v>1154</v>
      </c>
      <c r="BO1522">
        <v>2025</v>
      </c>
      <c r="BP1522" t="s">
        <v>966</v>
      </c>
      <c r="BZ1522" t="s">
        <v>1513</v>
      </c>
      <c r="CA1522" t="s">
        <v>1513</v>
      </c>
      <c r="CB1522" t="b">
        <v>0</v>
      </c>
      <c r="CC1522" t="b">
        <v>0</v>
      </c>
      <c r="CD1522" t="b">
        <v>0</v>
      </c>
      <c r="CE1522" t="b">
        <v>0</v>
      </c>
      <c r="CF1522" t="b">
        <v>0</v>
      </c>
    </row>
    <row r="1523" spans="1:84" x14ac:dyDescent="0.3">
      <c r="A1523" t="s">
        <v>4275</v>
      </c>
      <c r="B1523" t="s">
        <v>1242</v>
      </c>
      <c r="C1523" s="98">
        <v>45810</v>
      </c>
      <c r="D1523">
        <v>2025</v>
      </c>
      <c r="E1523">
        <v>6</v>
      </c>
      <c r="F1523">
        <v>2</v>
      </c>
      <c r="G1523" t="s">
        <v>1243</v>
      </c>
      <c r="H1523" t="s">
        <v>152</v>
      </c>
      <c r="I1523" t="s">
        <v>152</v>
      </c>
      <c r="J1523" t="s">
        <v>6</v>
      </c>
      <c r="L1523">
        <v>522611</v>
      </c>
      <c r="M1523" s="99" t="s">
        <v>178</v>
      </c>
      <c r="N1523">
        <v>1</v>
      </c>
      <c r="O1523">
        <v>22</v>
      </c>
      <c r="P1523">
        <v>37.4054</v>
      </c>
      <c r="Q1523" t="s">
        <v>352</v>
      </c>
      <c r="R1523">
        <v>1</v>
      </c>
      <c r="S1523">
        <v>36.466700000000003</v>
      </c>
      <c r="T1523">
        <v>6.2675999999999998</v>
      </c>
      <c r="U1523">
        <v>0.14977024698449123</v>
      </c>
      <c r="V1523">
        <v>17.663900000000005</v>
      </c>
      <c r="W1523">
        <v>23.931500000000003</v>
      </c>
      <c r="X1523">
        <v>30.199100000000001</v>
      </c>
      <c r="Y1523">
        <v>42.734300000000005</v>
      </c>
      <c r="Z1523">
        <v>49.001900000000006</v>
      </c>
      <c r="AA1523">
        <v>55.269500000000001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 t="s">
        <v>462</v>
      </c>
      <c r="AL1523" t="s">
        <v>6</v>
      </c>
      <c r="AM1523" t="s">
        <v>1145</v>
      </c>
      <c r="AN1523" t="s">
        <v>1146</v>
      </c>
      <c r="AO1523" s="100">
        <v>46262.040405092594</v>
      </c>
      <c r="AP1523" t="s">
        <v>1147</v>
      </c>
      <c r="AQ1523" t="s">
        <v>4276</v>
      </c>
      <c r="AR1523" t="s">
        <v>1245</v>
      </c>
      <c r="AS1523" t="s">
        <v>1150</v>
      </c>
      <c r="AT1523" t="s">
        <v>4234</v>
      </c>
      <c r="AU1523">
        <v>25</v>
      </c>
      <c r="AV1523">
        <v>39.193863999999991</v>
      </c>
      <c r="AW1523">
        <v>7.07549850510431</v>
      </c>
      <c r="AX1523">
        <v>18.052566863793555</v>
      </c>
      <c r="BB1523" t="s">
        <v>4620</v>
      </c>
      <c r="BD1523" s="98"/>
      <c r="BE1523" s="98"/>
      <c r="BF1523" t="s">
        <v>1152</v>
      </c>
      <c r="BG1523" t="s">
        <v>322</v>
      </c>
      <c r="BH1523" t="s">
        <v>1153</v>
      </c>
      <c r="BN1523" t="s">
        <v>1154</v>
      </c>
      <c r="BO1523">
        <v>2025</v>
      </c>
      <c r="BP1523" t="s">
        <v>966</v>
      </c>
      <c r="BZ1523" t="s">
        <v>1513</v>
      </c>
      <c r="CA1523" t="s">
        <v>1513</v>
      </c>
      <c r="CB1523" t="b">
        <v>0</v>
      </c>
      <c r="CC1523" t="b">
        <v>0</v>
      </c>
      <c r="CD1523" t="b">
        <v>0</v>
      </c>
      <c r="CE1523" t="b">
        <v>0</v>
      </c>
      <c r="CF1523" t="b">
        <v>0</v>
      </c>
    </row>
    <row r="1524" spans="1:84" x14ac:dyDescent="0.3">
      <c r="A1524" t="s">
        <v>4277</v>
      </c>
      <c r="B1524" t="s">
        <v>1247</v>
      </c>
      <c r="C1524" s="98">
        <v>45817</v>
      </c>
      <c r="D1524">
        <v>2025</v>
      </c>
      <c r="E1524">
        <v>6</v>
      </c>
      <c r="F1524">
        <v>2</v>
      </c>
      <c r="G1524" t="s">
        <v>1243</v>
      </c>
      <c r="H1524" t="s">
        <v>152</v>
      </c>
      <c r="I1524" t="s">
        <v>152</v>
      </c>
      <c r="J1524" t="s">
        <v>6</v>
      </c>
      <c r="L1524">
        <v>522611</v>
      </c>
      <c r="M1524" s="99" t="s">
        <v>178</v>
      </c>
      <c r="N1524">
        <v>1</v>
      </c>
      <c r="O1524">
        <v>23</v>
      </c>
      <c r="P1524">
        <v>39.3688</v>
      </c>
      <c r="Q1524" t="s">
        <v>352</v>
      </c>
      <c r="R1524">
        <v>1</v>
      </c>
      <c r="S1524">
        <v>36.466700000000003</v>
      </c>
      <c r="T1524">
        <v>6.2675999999999998</v>
      </c>
      <c r="U1524">
        <v>0.46303210160188868</v>
      </c>
      <c r="V1524">
        <v>17.663900000000005</v>
      </c>
      <c r="W1524">
        <v>23.931500000000003</v>
      </c>
      <c r="X1524">
        <v>30.199100000000001</v>
      </c>
      <c r="Y1524">
        <v>42.734300000000005</v>
      </c>
      <c r="Z1524">
        <v>49.001900000000006</v>
      </c>
      <c r="AA1524">
        <v>55.269500000000001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 t="s">
        <v>462</v>
      </c>
      <c r="AL1524" t="s">
        <v>6</v>
      </c>
      <c r="AM1524" t="s">
        <v>1145</v>
      </c>
      <c r="AN1524" t="s">
        <v>1146</v>
      </c>
      <c r="AO1524" s="100">
        <v>46262.040405092594</v>
      </c>
      <c r="AP1524" t="s">
        <v>1147</v>
      </c>
      <c r="AQ1524" t="s">
        <v>4278</v>
      </c>
      <c r="AR1524" t="s">
        <v>1249</v>
      </c>
      <c r="AS1524" t="s">
        <v>1150</v>
      </c>
      <c r="AT1524" t="s">
        <v>4234</v>
      </c>
      <c r="AU1524">
        <v>25</v>
      </c>
      <c r="AV1524">
        <v>39.193863999999991</v>
      </c>
      <c r="AW1524">
        <v>7.07549850510431</v>
      </c>
      <c r="AX1524">
        <v>18.052566863793555</v>
      </c>
      <c r="BB1524" t="s">
        <v>4620</v>
      </c>
      <c r="BD1524" s="98"/>
      <c r="BE1524" s="98"/>
      <c r="BF1524" t="s">
        <v>1152</v>
      </c>
      <c r="BG1524" t="s">
        <v>322</v>
      </c>
      <c r="BH1524" t="s">
        <v>1153</v>
      </c>
      <c r="BN1524" t="s">
        <v>1154</v>
      </c>
      <c r="BO1524">
        <v>2025</v>
      </c>
      <c r="BP1524" t="s">
        <v>966</v>
      </c>
      <c r="BZ1524" t="s">
        <v>1513</v>
      </c>
      <c r="CA1524" t="s">
        <v>1513</v>
      </c>
      <c r="CB1524" t="b">
        <v>0</v>
      </c>
      <c r="CC1524" t="b">
        <v>0</v>
      </c>
      <c r="CD1524" t="b">
        <v>0</v>
      </c>
      <c r="CE1524" t="b">
        <v>0</v>
      </c>
      <c r="CF1524" t="b">
        <v>0</v>
      </c>
    </row>
    <row r="1525" spans="1:84" x14ac:dyDescent="0.3">
      <c r="A1525" t="s">
        <v>4279</v>
      </c>
      <c r="B1525" t="s">
        <v>1251</v>
      </c>
      <c r="C1525" s="98">
        <v>45824</v>
      </c>
      <c r="D1525">
        <v>2025</v>
      </c>
      <c r="E1525">
        <v>6</v>
      </c>
      <c r="F1525">
        <v>2</v>
      </c>
      <c r="G1525" t="s">
        <v>1243</v>
      </c>
      <c r="H1525" t="s">
        <v>152</v>
      </c>
      <c r="I1525" t="s">
        <v>152</v>
      </c>
      <c r="J1525" t="s">
        <v>6</v>
      </c>
      <c r="L1525">
        <v>522611</v>
      </c>
      <c r="M1525" s="99" t="s">
        <v>178</v>
      </c>
      <c r="N1525">
        <v>1</v>
      </c>
      <c r="O1525">
        <v>24</v>
      </c>
      <c r="P1525">
        <v>27.373000000000001</v>
      </c>
      <c r="Q1525" t="s">
        <v>352</v>
      </c>
      <c r="R1525">
        <v>1</v>
      </c>
      <c r="S1525">
        <v>36.466700000000003</v>
      </c>
      <c r="T1525">
        <v>6.2675999999999998</v>
      </c>
      <c r="U1525">
        <v>-1.4509062480056165</v>
      </c>
      <c r="V1525">
        <v>17.663900000000005</v>
      </c>
      <c r="W1525">
        <v>23.931500000000003</v>
      </c>
      <c r="X1525">
        <v>30.199100000000001</v>
      </c>
      <c r="Y1525">
        <v>42.734300000000005</v>
      </c>
      <c r="Z1525">
        <v>49.001900000000006</v>
      </c>
      <c r="AA1525">
        <v>55.269500000000001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 t="s">
        <v>462</v>
      </c>
      <c r="AL1525" t="s">
        <v>6</v>
      </c>
      <c r="AM1525" t="s">
        <v>1145</v>
      </c>
      <c r="AN1525" t="s">
        <v>1146</v>
      </c>
      <c r="AO1525" s="100">
        <v>46262.040405092594</v>
      </c>
      <c r="AP1525" t="s">
        <v>1147</v>
      </c>
      <c r="AQ1525" t="s">
        <v>4280</v>
      </c>
      <c r="AR1525" t="s">
        <v>1253</v>
      </c>
      <c r="AS1525" t="s">
        <v>1150</v>
      </c>
      <c r="AT1525" t="s">
        <v>4234</v>
      </c>
      <c r="AU1525">
        <v>25</v>
      </c>
      <c r="AV1525">
        <v>39.193863999999991</v>
      </c>
      <c r="AW1525">
        <v>7.07549850510431</v>
      </c>
      <c r="AX1525">
        <v>18.052566863793555</v>
      </c>
      <c r="BB1525" t="s">
        <v>4620</v>
      </c>
      <c r="BD1525" s="98"/>
      <c r="BE1525" s="98"/>
      <c r="BF1525" t="s">
        <v>1152</v>
      </c>
      <c r="BG1525" t="s">
        <v>322</v>
      </c>
      <c r="BH1525" t="s">
        <v>1153</v>
      </c>
      <c r="BN1525" t="s">
        <v>1154</v>
      </c>
      <c r="BO1525">
        <v>2025</v>
      </c>
      <c r="BP1525" t="s">
        <v>966</v>
      </c>
      <c r="BZ1525" t="s">
        <v>1513</v>
      </c>
      <c r="CA1525" t="s">
        <v>1513</v>
      </c>
      <c r="CB1525" t="b">
        <v>0</v>
      </c>
      <c r="CC1525" t="b">
        <v>0</v>
      </c>
      <c r="CD1525" t="b">
        <v>0</v>
      </c>
      <c r="CE1525" t="b">
        <v>0</v>
      </c>
      <c r="CF1525" t="b">
        <v>0</v>
      </c>
    </row>
    <row r="1526" spans="1:84" x14ac:dyDescent="0.3">
      <c r="A1526" t="s">
        <v>4281</v>
      </c>
      <c r="B1526" t="s">
        <v>1255</v>
      </c>
      <c r="C1526" s="98">
        <v>45831</v>
      </c>
      <c r="D1526">
        <v>2025</v>
      </c>
      <c r="E1526">
        <v>6</v>
      </c>
      <c r="F1526">
        <v>2</v>
      </c>
      <c r="G1526" t="s">
        <v>1243</v>
      </c>
      <c r="H1526" t="s">
        <v>152</v>
      </c>
      <c r="I1526" t="s">
        <v>152</v>
      </c>
      <c r="J1526" t="s">
        <v>6</v>
      </c>
      <c r="L1526">
        <v>522611</v>
      </c>
      <c r="M1526" s="99" t="s">
        <v>178</v>
      </c>
      <c r="N1526">
        <v>1</v>
      </c>
      <c r="O1526">
        <v>25</v>
      </c>
      <c r="P1526">
        <v>49.169600000000003</v>
      </c>
      <c r="Q1526" t="s">
        <v>352</v>
      </c>
      <c r="R1526">
        <v>1</v>
      </c>
      <c r="S1526">
        <v>36.466700000000003</v>
      </c>
      <c r="T1526">
        <v>6.2675999999999998</v>
      </c>
      <c r="U1526">
        <v>2.0267566532644072</v>
      </c>
      <c r="V1526">
        <v>17.663900000000005</v>
      </c>
      <c r="W1526">
        <v>23.931500000000003</v>
      </c>
      <c r="X1526">
        <v>30.199100000000001</v>
      </c>
      <c r="Y1526">
        <v>42.734300000000005</v>
      </c>
      <c r="Z1526">
        <v>49.001900000000006</v>
      </c>
      <c r="AA1526">
        <v>55.269500000000001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1</v>
      </c>
      <c r="AK1526" t="s">
        <v>462</v>
      </c>
      <c r="AL1526" t="s">
        <v>6</v>
      </c>
      <c r="AM1526" t="s">
        <v>1145</v>
      </c>
      <c r="AN1526" t="s">
        <v>1146</v>
      </c>
      <c r="AO1526" s="100">
        <v>46262.040405092594</v>
      </c>
      <c r="AP1526" t="s">
        <v>1147</v>
      </c>
      <c r="AQ1526" t="s">
        <v>4282</v>
      </c>
      <c r="AR1526" t="s">
        <v>1257</v>
      </c>
      <c r="AS1526" t="s">
        <v>1150</v>
      </c>
      <c r="AT1526" t="s">
        <v>4234</v>
      </c>
      <c r="AU1526">
        <v>25</v>
      </c>
      <c r="AV1526">
        <v>39.193863999999991</v>
      </c>
      <c r="AW1526">
        <v>7.07549850510431</v>
      </c>
      <c r="AX1526">
        <v>18.052566863793555</v>
      </c>
      <c r="BB1526" t="s">
        <v>4620</v>
      </c>
      <c r="BD1526" s="98"/>
      <c r="BE1526" s="98"/>
      <c r="BF1526" t="s">
        <v>1152</v>
      </c>
      <c r="BG1526" t="s">
        <v>322</v>
      </c>
      <c r="BH1526" t="s">
        <v>1153</v>
      </c>
      <c r="BN1526" t="s">
        <v>1154</v>
      </c>
      <c r="BO1526">
        <v>2025</v>
      </c>
      <c r="BP1526" t="s">
        <v>966</v>
      </c>
      <c r="BZ1526" t="s">
        <v>1513</v>
      </c>
      <c r="CA1526" t="s">
        <v>1513</v>
      </c>
      <c r="CB1526" t="b">
        <v>0</v>
      </c>
      <c r="CC1526" t="b">
        <v>0</v>
      </c>
      <c r="CD1526" t="b">
        <v>0</v>
      </c>
      <c r="CE1526" t="b">
        <v>0</v>
      </c>
      <c r="CF1526" t="b">
        <v>0</v>
      </c>
    </row>
    <row r="1527" spans="1:84" x14ac:dyDescent="0.3">
      <c r="A1527" t="s">
        <v>4283</v>
      </c>
      <c r="B1527" t="s">
        <v>1143</v>
      </c>
      <c r="C1527" s="98">
        <v>45663</v>
      </c>
      <c r="D1527">
        <v>2025</v>
      </c>
      <c r="E1527">
        <v>1</v>
      </c>
      <c r="F1527">
        <v>1</v>
      </c>
      <c r="G1527" t="s">
        <v>1144</v>
      </c>
      <c r="H1527" t="s">
        <v>152</v>
      </c>
      <c r="I1527" t="s">
        <v>152</v>
      </c>
      <c r="J1527" t="s">
        <v>6</v>
      </c>
      <c r="L1527">
        <v>522611</v>
      </c>
      <c r="M1527" s="99" t="s">
        <v>179</v>
      </c>
      <c r="N1527">
        <v>2</v>
      </c>
      <c r="O1527">
        <v>1</v>
      </c>
      <c r="P1527">
        <v>47.660699999999999</v>
      </c>
      <c r="Q1527" t="s">
        <v>352</v>
      </c>
      <c r="R1527">
        <v>1</v>
      </c>
      <c r="S1527">
        <v>39.303400000000003</v>
      </c>
      <c r="T1527">
        <v>7.0613000000000001</v>
      </c>
      <c r="U1527">
        <v>1.1835356095903014</v>
      </c>
      <c r="V1527">
        <v>18.119500000000002</v>
      </c>
      <c r="W1527">
        <v>25.180800000000005</v>
      </c>
      <c r="X1527">
        <v>32.242100000000001</v>
      </c>
      <c r="Y1527">
        <v>46.364700000000006</v>
      </c>
      <c r="Z1527">
        <v>53.426000000000002</v>
      </c>
      <c r="AA1527">
        <v>60.487300000000005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 t="s">
        <v>462</v>
      </c>
      <c r="AL1527" t="s">
        <v>6</v>
      </c>
      <c r="AM1527" t="s">
        <v>1145</v>
      </c>
      <c r="AN1527" t="s">
        <v>1146</v>
      </c>
      <c r="AO1527" s="100">
        <v>46262.040405092594</v>
      </c>
      <c r="AP1527" t="s">
        <v>1147</v>
      </c>
      <c r="AQ1527" t="s">
        <v>4284</v>
      </c>
      <c r="AR1527" t="s">
        <v>1149</v>
      </c>
      <c r="AS1527" t="s">
        <v>1150</v>
      </c>
      <c r="AT1527" t="s">
        <v>4234</v>
      </c>
      <c r="AU1527">
        <v>25</v>
      </c>
      <c r="AV1527">
        <v>40.723823999999993</v>
      </c>
      <c r="AW1527">
        <v>8.0076935583995308</v>
      </c>
      <c r="AX1527">
        <v>19.663412646119706</v>
      </c>
      <c r="BB1527" t="s">
        <v>4620</v>
      </c>
      <c r="BD1527" s="98"/>
      <c r="BE1527" s="98"/>
      <c r="BF1527" t="s">
        <v>1152</v>
      </c>
      <c r="BG1527" t="s">
        <v>322</v>
      </c>
      <c r="BH1527" t="s">
        <v>1153</v>
      </c>
      <c r="BN1527" t="s">
        <v>1154</v>
      </c>
      <c r="BO1527">
        <v>2025</v>
      </c>
      <c r="BP1527" t="s">
        <v>966</v>
      </c>
      <c r="BZ1527" t="s">
        <v>1513</v>
      </c>
      <c r="CA1527" t="s">
        <v>1513</v>
      </c>
      <c r="CB1527" t="b">
        <v>0</v>
      </c>
      <c r="CC1527" t="b">
        <v>0</v>
      </c>
      <c r="CD1527" t="b">
        <v>0</v>
      </c>
      <c r="CE1527" t="b">
        <v>0</v>
      </c>
      <c r="CF1527" t="b">
        <v>0</v>
      </c>
    </row>
    <row r="1528" spans="1:84" x14ac:dyDescent="0.3">
      <c r="A1528" t="s">
        <v>4285</v>
      </c>
      <c r="B1528" t="s">
        <v>1157</v>
      </c>
      <c r="C1528" s="98">
        <v>45670</v>
      </c>
      <c r="D1528">
        <v>2025</v>
      </c>
      <c r="E1528">
        <v>1</v>
      </c>
      <c r="F1528">
        <v>1</v>
      </c>
      <c r="G1528" t="s">
        <v>1144</v>
      </c>
      <c r="H1528" t="s">
        <v>152</v>
      </c>
      <c r="I1528" t="s">
        <v>152</v>
      </c>
      <c r="J1528" t="s">
        <v>6</v>
      </c>
      <c r="L1528">
        <v>522611</v>
      </c>
      <c r="M1528" s="99" t="s">
        <v>179</v>
      </c>
      <c r="N1528">
        <v>2</v>
      </c>
      <c r="O1528">
        <v>2</v>
      </c>
      <c r="P1528">
        <v>44.554000000000002</v>
      </c>
      <c r="Q1528" t="s">
        <v>352</v>
      </c>
      <c r="R1528">
        <v>1</v>
      </c>
      <c r="S1528">
        <v>39.303400000000003</v>
      </c>
      <c r="T1528">
        <v>7.0613000000000001</v>
      </c>
      <c r="U1528">
        <v>0.74357412940959855</v>
      </c>
      <c r="V1528">
        <v>18.119500000000002</v>
      </c>
      <c r="W1528">
        <v>25.180800000000005</v>
      </c>
      <c r="X1528">
        <v>32.242100000000001</v>
      </c>
      <c r="Y1528">
        <v>46.364700000000006</v>
      </c>
      <c r="Z1528">
        <v>53.426000000000002</v>
      </c>
      <c r="AA1528">
        <v>60.487300000000005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 t="s">
        <v>462</v>
      </c>
      <c r="AL1528" t="s">
        <v>6</v>
      </c>
      <c r="AM1528" t="s">
        <v>1145</v>
      </c>
      <c r="AN1528" t="s">
        <v>1146</v>
      </c>
      <c r="AO1528" s="100">
        <v>46262.040405092594</v>
      </c>
      <c r="AP1528" t="s">
        <v>1147</v>
      </c>
      <c r="AQ1528" t="s">
        <v>4286</v>
      </c>
      <c r="AR1528" t="s">
        <v>1159</v>
      </c>
      <c r="AS1528" t="s">
        <v>1150</v>
      </c>
      <c r="AT1528" t="s">
        <v>4234</v>
      </c>
      <c r="AU1528">
        <v>25</v>
      </c>
      <c r="AV1528">
        <v>40.723823999999993</v>
      </c>
      <c r="AW1528">
        <v>8.0076935583995308</v>
      </c>
      <c r="AX1528">
        <v>19.663412646119706</v>
      </c>
      <c r="BB1528" t="s">
        <v>4620</v>
      </c>
      <c r="BD1528" s="98"/>
      <c r="BE1528" s="98"/>
      <c r="BF1528" t="s">
        <v>1152</v>
      </c>
      <c r="BG1528" t="s">
        <v>322</v>
      </c>
      <c r="BH1528" t="s">
        <v>1153</v>
      </c>
      <c r="BN1528" t="s">
        <v>1154</v>
      </c>
      <c r="BO1528">
        <v>2025</v>
      </c>
      <c r="BP1528" t="s">
        <v>966</v>
      </c>
      <c r="BZ1528" t="s">
        <v>1513</v>
      </c>
      <c r="CA1528" t="s">
        <v>1513</v>
      </c>
      <c r="CB1528" t="b">
        <v>0</v>
      </c>
      <c r="CC1528" t="b">
        <v>0</v>
      </c>
      <c r="CD1528" t="b">
        <v>0</v>
      </c>
      <c r="CE1528" t="b">
        <v>0</v>
      </c>
      <c r="CF1528" t="b">
        <v>0</v>
      </c>
    </row>
    <row r="1529" spans="1:84" x14ac:dyDescent="0.3">
      <c r="A1529" t="s">
        <v>4287</v>
      </c>
      <c r="B1529" t="s">
        <v>1161</v>
      </c>
      <c r="C1529" s="98">
        <v>45677</v>
      </c>
      <c r="D1529">
        <v>2025</v>
      </c>
      <c r="E1529">
        <v>1</v>
      </c>
      <c r="F1529">
        <v>1</v>
      </c>
      <c r="G1529" t="s">
        <v>1144</v>
      </c>
      <c r="H1529" t="s">
        <v>152</v>
      </c>
      <c r="I1529" t="s">
        <v>152</v>
      </c>
      <c r="J1529" t="s">
        <v>6</v>
      </c>
      <c r="L1529">
        <v>522611</v>
      </c>
      <c r="M1529" s="99" t="s">
        <v>179</v>
      </c>
      <c r="N1529">
        <v>2</v>
      </c>
      <c r="O1529">
        <v>3</v>
      </c>
      <c r="P1529">
        <v>36.715299999999999</v>
      </c>
      <c r="Q1529" t="s">
        <v>352</v>
      </c>
      <c r="R1529">
        <v>1</v>
      </c>
      <c r="S1529">
        <v>39.303400000000003</v>
      </c>
      <c r="T1529">
        <v>7.0613000000000001</v>
      </c>
      <c r="U1529">
        <v>-0.36651891294804134</v>
      </c>
      <c r="V1529">
        <v>18.119500000000002</v>
      </c>
      <c r="W1529">
        <v>25.180800000000005</v>
      </c>
      <c r="X1529">
        <v>32.242100000000001</v>
      </c>
      <c r="Y1529">
        <v>46.364700000000006</v>
      </c>
      <c r="Z1529">
        <v>53.426000000000002</v>
      </c>
      <c r="AA1529">
        <v>60.487300000000005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 t="s">
        <v>462</v>
      </c>
      <c r="AL1529" t="s">
        <v>6</v>
      </c>
      <c r="AM1529" t="s">
        <v>1145</v>
      </c>
      <c r="AN1529" t="s">
        <v>1146</v>
      </c>
      <c r="AO1529" s="100">
        <v>46262.040405092594</v>
      </c>
      <c r="AP1529" t="s">
        <v>1147</v>
      </c>
      <c r="AQ1529" t="s">
        <v>4288</v>
      </c>
      <c r="AR1529" t="s">
        <v>1163</v>
      </c>
      <c r="AS1529" t="s">
        <v>1150</v>
      </c>
      <c r="AT1529" t="s">
        <v>4234</v>
      </c>
      <c r="AU1529">
        <v>25</v>
      </c>
      <c r="AV1529">
        <v>40.723823999999993</v>
      </c>
      <c r="AW1529">
        <v>8.0076935583995308</v>
      </c>
      <c r="AX1529">
        <v>19.663412646119706</v>
      </c>
      <c r="BB1529" t="s">
        <v>4620</v>
      </c>
      <c r="BD1529" s="98"/>
      <c r="BE1529" s="98"/>
      <c r="BF1529" t="s">
        <v>1152</v>
      </c>
      <c r="BG1529" t="s">
        <v>322</v>
      </c>
      <c r="BH1529" t="s">
        <v>1153</v>
      </c>
      <c r="BN1529" t="s">
        <v>1154</v>
      </c>
      <c r="BO1529">
        <v>2025</v>
      </c>
      <c r="BP1529" t="s">
        <v>966</v>
      </c>
      <c r="BZ1529" t="s">
        <v>1513</v>
      </c>
      <c r="CA1529" t="s">
        <v>1513</v>
      </c>
      <c r="CB1529" t="b">
        <v>0</v>
      </c>
      <c r="CC1529" t="b">
        <v>0</v>
      </c>
      <c r="CD1529" t="b">
        <v>0</v>
      </c>
      <c r="CE1529" t="b">
        <v>0</v>
      </c>
      <c r="CF1529" t="b">
        <v>0</v>
      </c>
    </row>
    <row r="1530" spans="1:84" x14ac:dyDescent="0.3">
      <c r="A1530" t="s">
        <v>4289</v>
      </c>
      <c r="B1530" t="s">
        <v>1165</v>
      </c>
      <c r="C1530" s="98">
        <v>45684</v>
      </c>
      <c r="D1530">
        <v>2025</v>
      </c>
      <c r="E1530">
        <v>1</v>
      </c>
      <c r="F1530">
        <v>1</v>
      </c>
      <c r="G1530" t="s">
        <v>1144</v>
      </c>
      <c r="H1530" t="s">
        <v>152</v>
      </c>
      <c r="I1530" t="s">
        <v>152</v>
      </c>
      <c r="J1530" t="s">
        <v>6</v>
      </c>
      <c r="L1530">
        <v>522611</v>
      </c>
      <c r="M1530" s="99" t="s">
        <v>179</v>
      </c>
      <c r="N1530">
        <v>2</v>
      </c>
      <c r="O1530">
        <v>4</v>
      </c>
      <c r="P1530">
        <v>38.658700000000003</v>
      </c>
      <c r="Q1530" t="s">
        <v>352</v>
      </c>
      <c r="R1530">
        <v>1</v>
      </c>
      <c r="S1530">
        <v>39.303400000000003</v>
      </c>
      <c r="T1530">
        <v>7.0613000000000001</v>
      </c>
      <c r="U1530">
        <v>-9.1300468752212802E-2</v>
      </c>
      <c r="V1530">
        <v>18.119500000000002</v>
      </c>
      <c r="W1530">
        <v>25.180800000000005</v>
      </c>
      <c r="X1530">
        <v>32.242100000000001</v>
      </c>
      <c r="Y1530">
        <v>46.364700000000006</v>
      </c>
      <c r="Z1530">
        <v>53.426000000000002</v>
      </c>
      <c r="AA1530">
        <v>60.487300000000005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 t="s">
        <v>462</v>
      </c>
      <c r="AL1530" t="s">
        <v>6</v>
      </c>
      <c r="AM1530" t="s">
        <v>1145</v>
      </c>
      <c r="AN1530" t="s">
        <v>1146</v>
      </c>
      <c r="AO1530" s="100">
        <v>46262.040405092594</v>
      </c>
      <c r="AP1530" t="s">
        <v>1147</v>
      </c>
      <c r="AQ1530" t="s">
        <v>4290</v>
      </c>
      <c r="AR1530" t="s">
        <v>1167</v>
      </c>
      <c r="AS1530" t="s">
        <v>1150</v>
      </c>
      <c r="AT1530" t="s">
        <v>4234</v>
      </c>
      <c r="AU1530">
        <v>25</v>
      </c>
      <c r="AV1530">
        <v>40.723823999999993</v>
      </c>
      <c r="AW1530">
        <v>8.0076935583995308</v>
      </c>
      <c r="AX1530">
        <v>19.663412646119706</v>
      </c>
      <c r="BB1530" t="s">
        <v>4620</v>
      </c>
      <c r="BD1530" s="98"/>
      <c r="BE1530" s="98"/>
      <c r="BF1530" t="s">
        <v>1152</v>
      </c>
      <c r="BG1530" t="s">
        <v>322</v>
      </c>
      <c r="BH1530" t="s">
        <v>1153</v>
      </c>
      <c r="BN1530" t="s">
        <v>1154</v>
      </c>
      <c r="BO1530">
        <v>2025</v>
      </c>
      <c r="BP1530" t="s">
        <v>966</v>
      </c>
      <c r="BZ1530" t="s">
        <v>1513</v>
      </c>
      <c r="CA1530" t="s">
        <v>1513</v>
      </c>
      <c r="CB1530" t="b">
        <v>0</v>
      </c>
      <c r="CC1530" t="b">
        <v>0</v>
      </c>
      <c r="CD1530" t="b">
        <v>0</v>
      </c>
      <c r="CE1530" t="b">
        <v>0</v>
      </c>
      <c r="CF1530" t="b">
        <v>0</v>
      </c>
    </row>
    <row r="1531" spans="1:84" x14ac:dyDescent="0.3">
      <c r="A1531" t="s">
        <v>4291</v>
      </c>
      <c r="B1531" t="s">
        <v>1169</v>
      </c>
      <c r="C1531" s="98">
        <v>45691</v>
      </c>
      <c r="D1531">
        <v>2025</v>
      </c>
      <c r="E1531">
        <v>2</v>
      </c>
      <c r="F1531">
        <v>1</v>
      </c>
      <c r="G1531" t="s">
        <v>1170</v>
      </c>
      <c r="H1531" t="s">
        <v>152</v>
      </c>
      <c r="I1531" t="s">
        <v>152</v>
      </c>
      <c r="J1531" t="s">
        <v>6</v>
      </c>
      <c r="L1531">
        <v>522611</v>
      </c>
      <c r="M1531" s="99" t="s">
        <v>179</v>
      </c>
      <c r="N1531">
        <v>2</v>
      </c>
      <c r="O1531">
        <v>5</v>
      </c>
      <c r="P1531">
        <v>43.265999999999998</v>
      </c>
      <c r="Q1531" t="s">
        <v>352</v>
      </c>
      <c r="R1531">
        <v>1</v>
      </c>
      <c r="S1531">
        <v>39.303400000000003</v>
      </c>
      <c r="T1531">
        <v>7.0613000000000001</v>
      </c>
      <c r="U1531">
        <v>0.56117145568096449</v>
      </c>
      <c r="V1531">
        <v>18.119500000000002</v>
      </c>
      <c r="W1531">
        <v>25.180800000000005</v>
      </c>
      <c r="X1531">
        <v>32.242100000000001</v>
      </c>
      <c r="Y1531">
        <v>46.364700000000006</v>
      </c>
      <c r="Z1531">
        <v>53.426000000000002</v>
      </c>
      <c r="AA1531">
        <v>60.487300000000005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 t="s">
        <v>462</v>
      </c>
      <c r="AL1531" t="s">
        <v>6</v>
      </c>
      <c r="AM1531" t="s">
        <v>1145</v>
      </c>
      <c r="AN1531" t="s">
        <v>1146</v>
      </c>
      <c r="AO1531" s="100">
        <v>46262.040405092594</v>
      </c>
      <c r="AP1531" t="s">
        <v>1147</v>
      </c>
      <c r="AQ1531" t="s">
        <v>4292</v>
      </c>
      <c r="AR1531" t="s">
        <v>1172</v>
      </c>
      <c r="AS1531" t="s">
        <v>1150</v>
      </c>
      <c r="AT1531" t="s">
        <v>4234</v>
      </c>
      <c r="AU1531">
        <v>25</v>
      </c>
      <c r="AV1531">
        <v>40.723823999999993</v>
      </c>
      <c r="AW1531">
        <v>8.0076935583995308</v>
      </c>
      <c r="AX1531">
        <v>19.663412646119706</v>
      </c>
      <c r="BB1531" t="s">
        <v>4620</v>
      </c>
      <c r="BD1531" s="98"/>
      <c r="BE1531" s="98"/>
      <c r="BF1531" t="s">
        <v>1152</v>
      </c>
      <c r="BG1531" t="s">
        <v>322</v>
      </c>
      <c r="BH1531" t="s">
        <v>1153</v>
      </c>
      <c r="BN1531" t="s">
        <v>1154</v>
      </c>
      <c r="BO1531">
        <v>2025</v>
      </c>
      <c r="BP1531" t="s">
        <v>966</v>
      </c>
      <c r="BZ1531" t="s">
        <v>1513</v>
      </c>
      <c r="CA1531" t="s">
        <v>1513</v>
      </c>
      <c r="CB1531" t="b">
        <v>0</v>
      </c>
      <c r="CC1531" t="b">
        <v>0</v>
      </c>
      <c r="CD1531" t="b">
        <v>0</v>
      </c>
      <c r="CE1531" t="b">
        <v>0</v>
      </c>
      <c r="CF1531" t="b">
        <v>0</v>
      </c>
    </row>
    <row r="1532" spans="1:84" x14ac:dyDescent="0.3">
      <c r="A1532" t="s">
        <v>4293</v>
      </c>
      <c r="B1532" t="s">
        <v>1174</v>
      </c>
      <c r="C1532" s="98">
        <v>45698</v>
      </c>
      <c r="D1532">
        <v>2025</v>
      </c>
      <c r="E1532">
        <v>2</v>
      </c>
      <c r="F1532">
        <v>1</v>
      </c>
      <c r="G1532" t="s">
        <v>1170</v>
      </c>
      <c r="H1532" t="s">
        <v>152</v>
      </c>
      <c r="I1532" t="s">
        <v>152</v>
      </c>
      <c r="J1532" t="s">
        <v>6</v>
      </c>
      <c r="L1532">
        <v>522611</v>
      </c>
      <c r="M1532" s="99" t="s">
        <v>179</v>
      </c>
      <c r="N1532">
        <v>2</v>
      </c>
      <c r="O1532">
        <v>6</v>
      </c>
      <c r="P1532">
        <v>42.279400000000003</v>
      </c>
      <c r="Q1532" t="s">
        <v>352</v>
      </c>
      <c r="R1532">
        <v>1</v>
      </c>
      <c r="S1532">
        <v>39.303400000000003</v>
      </c>
      <c r="T1532">
        <v>7.0613000000000001</v>
      </c>
      <c r="U1532">
        <v>0.42145214054069352</v>
      </c>
      <c r="V1532">
        <v>18.119500000000002</v>
      </c>
      <c r="W1532">
        <v>25.180800000000005</v>
      </c>
      <c r="X1532">
        <v>32.242100000000001</v>
      </c>
      <c r="Y1532">
        <v>46.364700000000006</v>
      </c>
      <c r="Z1532">
        <v>53.426000000000002</v>
      </c>
      <c r="AA1532">
        <v>60.487300000000005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 t="s">
        <v>462</v>
      </c>
      <c r="AL1532" t="s">
        <v>6</v>
      </c>
      <c r="AM1532" t="s">
        <v>1145</v>
      </c>
      <c r="AN1532" t="s">
        <v>1146</v>
      </c>
      <c r="AO1532" s="100">
        <v>46262.040405092594</v>
      </c>
      <c r="AP1532" t="s">
        <v>1147</v>
      </c>
      <c r="AQ1532" t="s">
        <v>4294</v>
      </c>
      <c r="AR1532" t="s">
        <v>1176</v>
      </c>
      <c r="AS1532" t="s">
        <v>1150</v>
      </c>
      <c r="AT1532" t="s">
        <v>4234</v>
      </c>
      <c r="AU1532">
        <v>25</v>
      </c>
      <c r="AV1532">
        <v>40.723823999999993</v>
      </c>
      <c r="AW1532">
        <v>8.0076935583995308</v>
      </c>
      <c r="AX1532">
        <v>19.663412646119706</v>
      </c>
      <c r="BB1532" t="s">
        <v>4620</v>
      </c>
      <c r="BD1532" s="98"/>
      <c r="BE1532" s="98"/>
      <c r="BF1532" t="s">
        <v>1152</v>
      </c>
      <c r="BG1532" t="s">
        <v>322</v>
      </c>
      <c r="BH1532" t="s">
        <v>1153</v>
      </c>
      <c r="BN1532" t="s">
        <v>1154</v>
      </c>
      <c r="BO1532">
        <v>2025</v>
      </c>
      <c r="BP1532" t="s">
        <v>966</v>
      </c>
      <c r="BZ1532" t="s">
        <v>1513</v>
      </c>
      <c r="CA1532" t="s">
        <v>1513</v>
      </c>
      <c r="CB1532" t="b">
        <v>0</v>
      </c>
      <c r="CC1532" t="b">
        <v>0</v>
      </c>
      <c r="CD1532" t="b">
        <v>0</v>
      </c>
      <c r="CE1532" t="b">
        <v>0</v>
      </c>
      <c r="CF1532" t="b">
        <v>0</v>
      </c>
    </row>
    <row r="1533" spans="1:84" x14ac:dyDescent="0.3">
      <c r="A1533" t="s">
        <v>4295</v>
      </c>
      <c r="B1533" t="s">
        <v>1178</v>
      </c>
      <c r="C1533" s="98">
        <v>45705</v>
      </c>
      <c r="D1533">
        <v>2025</v>
      </c>
      <c r="E1533">
        <v>2</v>
      </c>
      <c r="F1533">
        <v>1</v>
      </c>
      <c r="G1533" t="s">
        <v>1170</v>
      </c>
      <c r="H1533" t="s">
        <v>152</v>
      </c>
      <c r="I1533" t="s">
        <v>152</v>
      </c>
      <c r="J1533" t="s">
        <v>6</v>
      </c>
      <c r="L1533">
        <v>522611</v>
      </c>
      <c r="M1533" s="99" t="s">
        <v>179</v>
      </c>
      <c r="N1533">
        <v>2</v>
      </c>
      <c r="O1533">
        <v>7</v>
      </c>
      <c r="P1533">
        <v>27.150400000000001</v>
      </c>
      <c r="Q1533" t="s">
        <v>352</v>
      </c>
      <c r="R1533">
        <v>1</v>
      </c>
      <c r="S1533">
        <v>39.303400000000003</v>
      </c>
      <c r="T1533">
        <v>7.0613000000000001</v>
      </c>
      <c r="U1533">
        <v>-1.7210711908572078</v>
      </c>
      <c r="V1533">
        <v>18.119500000000002</v>
      </c>
      <c r="W1533">
        <v>25.180800000000005</v>
      </c>
      <c r="X1533">
        <v>32.242100000000001</v>
      </c>
      <c r="Y1533">
        <v>46.364700000000006</v>
      </c>
      <c r="Z1533">
        <v>53.426000000000002</v>
      </c>
      <c r="AA1533">
        <v>60.487300000000005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 t="s">
        <v>462</v>
      </c>
      <c r="AL1533" t="s">
        <v>6</v>
      </c>
      <c r="AM1533" t="s">
        <v>1145</v>
      </c>
      <c r="AN1533" t="s">
        <v>1146</v>
      </c>
      <c r="AO1533" s="100">
        <v>46262.040405092594</v>
      </c>
      <c r="AP1533" t="s">
        <v>1147</v>
      </c>
      <c r="AQ1533" t="s">
        <v>4296</v>
      </c>
      <c r="AR1533" t="s">
        <v>1180</v>
      </c>
      <c r="AS1533" t="s">
        <v>1150</v>
      </c>
      <c r="AT1533" t="s">
        <v>4234</v>
      </c>
      <c r="AU1533">
        <v>25</v>
      </c>
      <c r="AV1533">
        <v>40.723823999999993</v>
      </c>
      <c r="AW1533">
        <v>8.0076935583995308</v>
      </c>
      <c r="AX1533">
        <v>19.663412646119706</v>
      </c>
      <c r="BB1533" t="s">
        <v>4620</v>
      </c>
      <c r="BD1533" s="98"/>
      <c r="BE1533" s="98"/>
      <c r="BF1533" t="s">
        <v>1152</v>
      </c>
      <c r="BG1533" t="s">
        <v>322</v>
      </c>
      <c r="BH1533" t="s">
        <v>1153</v>
      </c>
      <c r="BN1533" t="s">
        <v>1154</v>
      </c>
      <c r="BO1533">
        <v>2025</v>
      </c>
      <c r="BP1533" t="s">
        <v>966</v>
      </c>
      <c r="BZ1533" t="s">
        <v>1513</v>
      </c>
      <c r="CA1533" t="s">
        <v>1513</v>
      </c>
      <c r="CB1533" t="b">
        <v>0</v>
      </c>
      <c r="CC1533" t="b">
        <v>0</v>
      </c>
      <c r="CD1533" t="b">
        <v>0</v>
      </c>
      <c r="CE1533" t="b">
        <v>0</v>
      </c>
      <c r="CF1533" t="b">
        <v>0</v>
      </c>
    </row>
    <row r="1534" spans="1:84" x14ac:dyDescent="0.3">
      <c r="A1534" t="s">
        <v>4297</v>
      </c>
      <c r="B1534" t="s">
        <v>1182</v>
      </c>
      <c r="C1534" s="98">
        <v>45712</v>
      </c>
      <c r="D1534">
        <v>2025</v>
      </c>
      <c r="E1534">
        <v>2</v>
      </c>
      <c r="F1534">
        <v>1</v>
      </c>
      <c r="G1534" t="s">
        <v>1170</v>
      </c>
      <c r="H1534" t="s">
        <v>152</v>
      </c>
      <c r="I1534" t="s">
        <v>152</v>
      </c>
      <c r="J1534" t="s">
        <v>6</v>
      </c>
      <c r="L1534">
        <v>522611</v>
      </c>
      <c r="M1534" s="99" t="s">
        <v>179</v>
      </c>
      <c r="N1534">
        <v>2</v>
      </c>
      <c r="O1534">
        <v>8</v>
      </c>
      <c r="P1534">
        <v>44.664999999999999</v>
      </c>
      <c r="Q1534" t="s">
        <v>352</v>
      </c>
      <c r="R1534">
        <v>1</v>
      </c>
      <c r="S1534">
        <v>39.303400000000003</v>
      </c>
      <c r="T1534">
        <v>7.0613000000000001</v>
      </c>
      <c r="U1534">
        <v>0.75929361449024901</v>
      </c>
      <c r="V1534">
        <v>18.119500000000002</v>
      </c>
      <c r="W1534">
        <v>25.180800000000005</v>
      </c>
      <c r="X1534">
        <v>32.242100000000001</v>
      </c>
      <c r="Y1534">
        <v>46.364700000000006</v>
      </c>
      <c r="Z1534">
        <v>53.426000000000002</v>
      </c>
      <c r="AA1534">
        <v>60.487300000000005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 t="s">
        <v>462</v>
      </c>
      <c r="AL1534" t="s">
        <v>6</v>
      </c>
      <c r="AM1534" t="s">
        <v>1145</v>
      </c>
      <c r="AN1534" t="s">
        <v>1146</v>
      </c>
      <c r="AO1534" s="100">
        <v>46262.040405092594</v>
      </c>
      <c r="AP1534" t="s">
        <v>1147</v>
      </c>
      <c r="AQ1534" t="s">
        <v>4298</v>
      </c>
      <c r="AR1534" t="s">
        <v>1184</v>
      </c>
      <c r="AS1534" t="s">
        <v>1150</v>
      </c>
      <c r="AT1534" t="s">
        <v>4234</v>
      </c>
      <c r="AU1534">
        <v>25</v>
      </c>
      <c r="AV1534">
        <v>40.723823999999993</v>
      </c>
      <c r="AW1534">
        <v>8.0076935583995308</v>
      </c>
      <c r="AX1534">
        <v>19.663412646119706</v>
      </c>
      <c r="BB1534" t="s">
        <v>4620</v>
      </c>
      <c r="BD1534" s="98"/>
      <c r="BE1534" s="98"/>
      <c r="BF1534" t="s">
        <v>1152</v>
      </c>
      <c r="BG1534" t="s">
        <v>322</v>
      </c>
      <c r="BH1534" t="s">
        <v>1153</v>
      </c>
      <c r="BN1534" t="s">
        <v>1154</v>
      </c>
      <c r="BO1534">
        <v>2025</v>
      </c>
      <c r="BP1534" t="s">
        <v>966</v>
      </c>
      <c r="BZ1534" t="s">
        <v>1513</v>
      </c>
      <c r="CA1534" t="s">
        <v>1513</v>
      </c>
      <c r="CB1534" t="b">
        <v>0</v>
      </c>
      <c r="CC1534" t="b">
        <v>0</v>
      </c>
      <c r="CD1534" t="b">
        <v>0</v>
      </c>
      <c r="CE1534" t="b">
        <v>0</v>
      </c>
      <c r="CF1534" t="b">
        <v>0</v>
      </c>
    </row>
    <row r="1535" spans="1:84" x14ac:dyDescent="0.3">
      <c r="A1535" t="s">
        <v>4299</v>
      </c>
      <c r="B1535" t="s">
        <v>1186</v>
      </c>
      <c r="C1535" s="98">
        <v>45719</v>
      </c>
      <c r="D1535">
        <v>2025</v>
      </c>
      <c r="E1535">
        <v>3</v>
      </c>
      <c r="F1535">
        <v>1</v>
      </c>
      <c r="G1535" t="s">
        <v>1187</v>
      </c>
      <c r="H1535" t="s">
        <v>152</v>
      </c>
      <c r="I1535" t="s">
        <v>152</v>
      </c>
      <c r="J1535" t="s">
        <v>6</v>
      </c>
      <c r="L1535">
        <v>522611</v>
      </c>
      <c r="M1535" s="99" t="s">
        <v>179</v>
      </c>
      <c r="N1535">
        <v>2</v>
      </c>
      <c r="O1535">
        <v>9</v>
      </c>
      <c r="P1535">
        <v>60.404499999999999</v>
      </c>
      <c r="Q1535" t="s">
        <v>352</v>
      </c>
      <c r="R1535">
        <v>1</v>
      </c>
      <c r="S1535">
        <v>39.303400000000003</v>
      </c>
      <c r="T1535">
        <v>7.0613000000000001</v>
      </c>
      <c r="U1535">
        <v>2.9882741138317299</v>
      </c>
      <c r="V1535">
        <v>18.119500000000002</v>
      </c>
      <c r="W1535">
        <v>25.180800000000005</v>
      </c>
      <c r="X1535">
        <v>32.242100000000001</v>
      </c>
      <c r="Y1535">
        <v>46.364700000000006</v>
      </c>
      <c r="Z1535">
        <v>53.426000000000002</v>
      </c>
      <c r="AA1535">
        <v>60.487300000000005</v>
      </c>
      <c r="AE1535">
        <v>0</v>
      </c>
      <c r="AF1535">
        <v>1</v>
      </c>
      <c r="AG1535">
        <v>1</v>
      </c>
      <c r="AH1535">
        <v>0</v>
      </c>
      <c r="AI1535">
        <v>0</v>
      </c>
      <c r="AJ1535">
        <v>1</v>
      </c>
      <c r="AK1535" t="s">
        <v>1213</v>
      </c>
      <c r="AL1535" t="s">
        <v>6</v>
      </c>
      <c r="AM1535" t="s">
        <v>1145</v>
      </c>
      <c r="AN1535" t="s">
        <v>1146</v>
      </c>
      <c r="AO1535" s="100">
        <v>46262.040405092594</v>
      </c>
      <c r="AP1535" t="s">
        <v>1147</v>
      </c>
      <c r="AQ1535" t="s">
        <v>4300</v>
      </c>
      <c r="AR1535" t="s">
        <v>1189</v>
      </c>
      <c r="AS1535" t="s">
        <v>1150</v>
      </c>
      <c r="AT1535" t="s">
        <v>4234</v>
      </c>
      <c r="AU1535">
        <v>25</v>
      </c>
      <c r="AV1535">
        <v>40.723823999999993</v>
      </c>
      <c r="AW1535">
        <v>8.0076935583995308</v>
      </c>
      <c r="AX1535">
        <v>19.663412646119706</v>
      </c>
      <c r="BB1535" t="s">
        <v>4620</v>
      </c>
      <c r="BD1535" s="98"/>
      <c r="BE1535" s="98"/>
      <c r="BF1535" t="s">
        <v>1152</v>
      </c>
      <c r="BG1535" t="s">
        <v>322</v>
      </c>
      <c r="BH1535" t="s">
        <v>1153</v>
      </c>
      <c r="BN1535" t="s">
        <v>1154</v>
      </c>
      <c r="BO1535">
        <v>2025</v>
      </c>
      <c r="BP1535" t="s">
        <v>966</v>
      </c>
      <c r="BZ1535" t="s">
        <v>1513</v>
      </c>
      <c r="CA1535" t="s">
        <v>1513</v>
      </c>
      <c r="CB1535" t="b">
        <v>0</v>
      </c>
      <c r="CC1535" t="b">
        <v>0</v>
      </c>
      <c r="CD1535" t="b">
        <v>0</v>
      </c>
      <c r="CE1535" t="b">
        <v>0</v>
      </c>
      <c r="CF1535" t="b">
        <v>0</v>
      </c>
    </row>
    <row r="1536" spans="1:84" x14ac:dyDescent="0.3">
      <c r="A1536" t="s">
        <v>4301</v>
      </c>
      <c r="B1536" t="s">
        <v>1191</v>
      </c>
      <c r="C1536" s="98">
        <v>45726</v>
      </c>
      <c r="D1536">
        <v>2025</v>
      </c>
      <c r="E1536">
        <v>3</v>
      </c>
      <c r="F1536">
        <v>1</v>
      </c>
      <c r="G1536" t="s">
        <v>1187</v>
      </c>
      <c r="H1536" t="s">
        <v>152</v>
      </c>
      <c r="I1536" t="s">
        <v>152</v>
      </c>
      <c r="J1536" t="s">
        <v>6</v>
      </c>
      <c r="L1536">
        <v>522611</v>
      </c>
      <c r="M1536" s="99" t="s">
        <v>179</v>
      </c>
      <c r="N1536">
        <v>2</v>
      </c>
      <c r="O1536">
        <v>10</v>
      </c>
      <c r="P1536">
        <v>25.9343</v>
      </c>
      <c r="Q1536" t="s">
        <v>352</v>
      </c>
      <c r="R1536">
        <v>1</v>
      </c>
      <c r="S1536">
        <v>39.303400000000003</v>
      </c>
      <c r="T1536">
        <v>7.0613000000000001</v>
      </c>
      <c r="U1536">
        <v>-1.8932916035290956</v>
      </c>
      <c r="V1536">
        <v>18.119500000000002</v>
      </c>
      <c r="W1536">
        <v>25.180800000000005</v>
      </c>
      <c r="X1536">
        <v>32.242100000000001</v>
      </c>
      <c r="Y1536">
        <v>46.364700000000006</v>
      </c>
      <c r="Z1536">
        <v>53.426000000000002</v>
      </c>
      <c r="AA1536">
        <v>60.487300000000005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 t="s">
        <v>462</v>
      </c>
      <c r="AL1536" t="s">
        <v>6</v>
      </c>
      <c r="AM1536" t="s">
        <v>1145</v>
      </c>
      <c r="AN1536" t="s">
        <v>1146</v>
      </c>
      <c r="AO1536" s="100">
        <v>46262.040405092594</v>
      </c>
      <c r="AP1536" t="s">
        <v>1147</v>
      </c>
      <c r="AQ1536" t="s">
        <v>4302</v>
      </c>
      <c r="AR1536" t="s">
        <v>1193</v>
      </c>
      <c r="AS1536" t="s">
        <v>1150</v>
      </c>
      <c r="AT1536" t="s">
        <v>4234</v>
      </c>
      <c r="AU1536">
        <v>25</v>
      </c>
      <c r="AV1536">
        <v>40.723823999999993</v>
      </c>
      <c r="AW1536">
        <v>8.0076935583995308</v>
      </c>
      <c r="AX1536">
        <v>19.663412646119706</v>
      </c>
      <c r="BB1536" t="s">
        <v>4620</v>
      </c>
      <c r="BD1536" s="98"/>
      <c r="BE1536" s="98"/>
      <c r="BF1536" t="s">
        <v>1152</v>
      </c>
      <c r="BG1536" t="s">
        <v>322</v>
      </c>
      <c r="BH1536" t="s">
        <v>1153</v>
      </c>
      <c r="BN1536" t="s">
        <v>1154</v>
      </c>
      <c r="BO1536">
        <v>2025</v>
      </c>
      <c r="BP1536" t="s">
        <v>966</v>
      </c>
      <c r="BZ1536" t="s">
        <v>1513</v>
      </c>
      <c r="CA1536" t="s">
        <v>1513</v>
      </c>
      <c r="CB1536" t="b">
        <v>0</v>
      </c>
      <c r="CC1536" t="b">
        <v>0</v>
      </c>
      <c r="CD1536" t="b">
        <v>0</v>
      </c>
      <c r="CE1536" t="b">
        <v>0</v>
      </c>
      <c r="CF1536" t="b">
        <v>0</v>
      </c>
    </row>
    <row r="1537" spans="1:84" x14ac:dyDescent="0.3">
      <c r="A1537" t="s">
        <v>4303</v>
      </c>
      <c r="B1537" t="s">
        <v>1195</v>
      </c>
      <c r="C1537" s="98">
        <v>45733</v>
      </c>
      <c r="D1537">
        <v>2025</v>
      </c>
      <c r="E1537">
        <v>3</v>
      </c>
      <c r="F1537">
        <v>1</v>
      </c>
      <c r="G1537" t="s">
        <v>1187</v>
      </c>
      <c r="H1537" t="s">
        <v>152</v>
      </c>
      <c r="I1537" t="s">
        <v>152</v>
      </c>
      <c r="J1537" t="s">
        <v>6</v>
      </c>
      <c r="L1537">
        <v>522611</v>
      </c>
      <c r="M1537" s="99" t="s">
        <v>179</v>
      </c>
      <c r="N1537">
        <v>2</v>
      </c>
      <c r="O1537">
        <v>11</v>
      </c>
      <c r="P1537">
        <v>46.503700000000002</v>
      </c>
      <c r="Q1537" t="s">
        <v>352</v>
      </c>
      <c r="R1537">
        <v>1</v>
      </c>
      <c r="S1537">
        <v>39.303400000000003</v>
      </c>
      <c r="T1537">
        <v>7.0613000000000001</v>
      </c>
      <c r="U1537">
        <v>1.0196847605964905</v>
      </c>
      <c r="V1537">
        <v>18.119500000000002</v>
      </c>
      <c r="W1537">
        <v>25.180800000000005</v>
      </c>
      <c r="X1537">
        <v>32.242100000000001</v>
      </c>
      <c r="Y1537">
        <v>46.364700000000006</v>
      </c>
      <c r="Z1537">
        <v>53.426000000000002</v>
      </c>
      <c r="AA1537">
        <v>60.487300000000005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 t="s">
        <v>462</v>
      </c>
      <c r="AL1537" t="s">
        <v>6</v>
      </c>
      <c r="AM1537" t="s">
        <v>1145</v>
      </c>
      <c r="AN1537" t="s">
        <v>1146</v>
      </c>
      <c r="AO1537" s="100">
        <v>46262.040405092594</v>
      </c>
      <c r="AP1537" t="s">
        <v>1147</v>
      </c>
      <c r="AQ1537" t="s">
        <v>4304</v>
      </c>
      <c r="AR1537" t="s">
        <v>1197</v>
      </c>
      <c r="AS1537" t="s">
        <v>1150</v>
      </c>
      <c r="AT1537" t="s">
        <v>4234</v>
      </c>
      <c r="AU1537">
        <v>25</v>
      </c>
      <c r="AV1537">
        <v>40.723823999999993</v>
      </c>
      <c r="AW1537">
        <v>8.0076935583995308</v>
      </c>
      <c r="AX1537">
        <v>19.663412646119706</v>
      </c>
      <c r="BB1537" t="s">
        <v>4620</v>
      </c>
      <c r="BD1537" s="98"/>
      <c r="BE1537" s="98"/>
      <c r="BF1537" t="s">
        <v>1152</v>
      </c>
      <c r="BG1537" t="s">
        <v>322</v>
      </c>
      <c r="BH1537" t="s">
        <v>1153</v>
      </c>
      <c r="BN1537" t="s">
        <v>1154</v>
      </c>
      <c r="BO1537">
        <v>2025</v>
      </c>
      <c r="BP1537" t="s">
        <v>966</v>
      </c>
      <c r="BZ1537" t="s">
        <v>1513</v>
      </c>
      <c r="CA1537" t="s">
        <v>1513</v>
      </c>
      <c r="CB1537" t="b">
        <v>0</v>
      </c>
      <c r="CC1537" t="b">
        <v>0</v>
      </c>
      <c r="CD1537" t="b">
        <v>0</v>
      </c>
      <c r="CE1537" t="b">
        <v>0</v>
      </c>
      <c r="CF1537" t="b">
        <v>0</v>
      </c>
    </row>
    <row r="1538" spans="1:84" x14ac:dyDescent="0.3">
      <c r="A1538" t="s">
        <v>4305</v>
      </c>
      <c r="B1538" t="s">
        <v>1199</v>
      </c>
      <c r="C1538" s="98">
        <v>45740</v>
      </c>
      <c r="D1538">
        <v>2025</v>
      </c>
      <c r="E1538">
        <v>3</v>
      </c>
      <c r="F1538">
        <v>1</v>
      </c>
      <c r="G1538" t="s">
        <v>1187</v>
      </c>
      <c r="H1538" t="s">
        <v>152</v>
      </c>
      <c r="I1538" t="s">
        <v>152</v>
      </c>
      <c r="J1538" t="s">
        <v>6</v>
      </c>
      <c r="L1538">
        <v>522611</v>
      </c>
      <c r="M1538" s="99" t="s">
        <v>179</v>
      </c>
      <c r="N1538">
        <v>2</v>
      </c>
      <c r="O1538">
        <v>12</v>
      </c>
      <c r="P1538">
        <v>41.976199999999999</v>
      </c>
      <c r="Q1538" t="s">
        <v>352</v>
      </c>
      <c r="R1538">
        <v>1</v>
      </c>
      <c r="S1538">
        <v>39.303400000000003</v>
      </c>
      <c r="T1538">
        <v>7.0613000000000001</v>
      </c>
      <c r="U1538">
        <v>0.3785138713834556</v>
      </c>
      <c r="V1538">
        <v>18.119500000000002</v>
      </c>
      <c r="W1538">
        <v>25.180800000000005</v>
      </c>
      <c r="X1538">
        <v>32.242100000000001</v>
      </c>
      <c r="Y1538">
        <v>46.364700000000006</v>
      </c>
      <c r="Z1538">
        <v>53.426000000000002</v>
      </c>
      <c r="AA1538">
        <v>60.487300000000005</v>
      </c>
      <c r="AE1538">
        <v>0</v>
      </c>
      <c r="AF1538">
        <v>0</v>
      </c>
      <c r="AG1538">
        <v>0</v>
      </c>
      <c r="AH1538">
        <v>0</v>
      </c>
      <c r="AI1538">
        <v>1</v>
      </c>
      <c r="AJ1538">
        <v>0</v>
      </c>
      <c r="AK1538" t="s">
        <v>1213</v>
      </c>
      <c r="AL1538" t="s">
        <v>6</v>
      </c>
      <c r="AM1538" t="s">
        <v>1145</v>
      </c>
      <c r="AN1538" t="s">
        <v>1146</v>
      </c>
      <c r="AO1538" s="100">
        <v>46262.040405092594</v>
      </c>
      <c r="AP1538" t="s">
        <v>1147</v>
      </c>
      <c r="AQ1538" t="s">
        <v>4306</v>
      </c>
      <c r="AR1538" t="s">
        <v>1201</v>
      </c>
      <c r="AS1538" t="s">
        <v>1150</v>
      </c>
      <c r="AT1538" t="s">
        <v>4234</v>
      </c>
      <c r="AU1538">
        <v>25</v>
      </c>
      <c r="AV1538">
        <v>40.723823999999993</v>
      </c>
      <c r="AW1538">
        <v>8.0076935583995308</v>
      </c>
      <c r="AX1538">
        <v>19.663412646119706</v>
      </c>
      <c r="BB1538" t="s">
        <v>4620</v>
      </c>
      <c r="BD1538" s="98"/>
      <c r="BE1538" s="98"/>
      <c r="BF1538" t="s">
        <v>1152</v>
      </c>
      <c r="BG1538" t="s">
        <v>322</v>
      </c>
      <c r="BH1538" t="s">
        <v>1153</v>
      </c>
      <c r="BN1538" t="s">
        <v>1154</v>
      </c>
      <c r="BO1538">
        <v>2025</v>
      </c>
      <c r="BP1538" t="s">
        <v>966</v>
      </c>
      <c r="BZ1538" t="s">
        <v>1513</v>
      </c>
      <c r="CA1538" t="s">
        <v>1513</v>
      </c>
      <c r="CB1538" t="b">
        <v>0</v>
      </c>
      <c r="CC1538" t="b">
        <v>0</v>
      </c>
      <c r="CD1538" t="b">
        <v>0</v>
      </c>
      <c r="CE1538" t="b">
        <v>0</v>
      </c>
      <c r="CF1538" t="b">
        <v>0</v>
      </c>
    </row>
    <row r="1539" spans="1:84" x14ac:dyDescent="0.3">
      <c r="A1539" t="s">
        <v>4307</v>
      </c>
      <c r="B1539" t="s">
        <v>1203</v>
      </c>
      <c r="C1539" s="98">
        <v>45747</v>
      </c>
      <c r="D1539">
        <v>2025</v>
      </c>
      <c r="E1539">
        <v>3</v>
      </c>
      <c r="F1539">
        <v>1</v>
      </c>
      <c r="G1539" t="s">
        <v>1187</v>
      </c>
      <c r="H1539" t="s">
        <v>152</v>
      </c>
      <c r="I1539" t="s">
        <v>152</v>
      </c>
      <c r="J1539" t="s">
        <v>6</v>
      </c>
      <c r="L1539">
        <v>522611</v>
      </c>
      <c r="M1539" s="99" t="s">
        <v>179</v>
      </c>
      <c r="N1539">
        <v>2</v>
      </c>
      <c r="O1539">
        <v>13</v>
      </c>
      <c r="P1539">
        <v>38.4955</v>
      </c>
      <c r="Q1539" t="s">
        <v>352</v>
      </c>
      <c r="R1539">
        <v>1</v>
      </c>
      <c r="S1539">
        <v>39.303400000000003</v>
      </c>
      <c r="T1539">
        <v>7.0613000000000001</v>
      </c>
      <c r="U1539">
        <v>-0.11441236033025132</v>
      </c>
      <c r="V1539">
        <v>18.119500000000002</v>
      </c>
      <c r="W1539">
        <v>25.180800000000005</v>
      </c>
      <c r="X1539">
        <v>32.242100000000001</v>
      </c>
      <c r="Y1539">
        <v>46.364700000000006</v>
      </c>
      <c r="Z1539">
        <v>53.426000000000002</v>
      </c>
      <c r="AA1539">
        <v>60.487300000000005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 t="s">
        <v>462</v>
      </c>
      <c r="AL1539" t="s">
        <v>6</v>
      </c>
      <c r="AM1539" t="s">
        <v>1145</v>
      </c>
      <c r="AN1539" t="s">
        <v>1146</v>
      </c>
      <c r="AO1539" s="100">
        <v>46262.040405092594</v>
      </c>
      <c r="AP1539" t="s">
        <v>1147</v>
      </c>
      <c r="AQ1539" t="s">
        <v>4308</v>
      </c>
      <c r="AR1539" t="s">
        <v>1205</v>
      </c>
      <c r="AS1539" t="s">
        <v>1150</v>
      </c>
      <c r="AT1539" t="s">
        <v>4234</v>
      </c>
      <c r="AU1539">
        <v>25</v>
      </c>
      <c r="AV1539">
        <v>40.723823999999993</v>
      </c>
      <c r="AW1539">
        <v>8.0076935583995308</v>
      </c>
      <c r="AX1539">
        <v>19.663412646119706</v>
      </c>
      <c r="BB1539" t="s">
        <v>4620</v>
      </c>
      <c r="BD1539" s="98"/>
      <c r="BE1539" s="98"/>
      <c r="BF1539" t="s">
        <v>1152</v>
      </c>
      <c r="BG1539" t="s">
        <v>322</v>
      </c>
      <c r="BH1539" t="s">
        <v>1153</v>
      </c>
      <c r="BN1539" t="s">
        <v>1154</v>
      </c>
      <c r="BO1539">
        <v>2025</v>
      </c>
      <c r="BP1539" t="s">
        <v>966</v>
      </c>
      <c r="BZ1539" t="s">
        <v>1513</v>
      </c>
      <c r="CA1539" t="s">
        <v>1513</v>
      </c>
      <c r="CB1539" t="b">
        <v>0</v>
      </c>
      <c r="CC1539" t="b">
        <v>0</v>
      </c>
      <c r="CD1539" t="b">
        <v>0</v>
      </c>
      <c r="CE1539" t="b">
        <v>0</v>
      </c>
      <c r="CF1539" t="b">
        <v>0</v>
      </c>
    </row>
    <row r="1540" spans="1:84" x14ac:dyDescent="0.3">
      <c r="A1540" t="s">
        <v>4309</v>
      </c>
      <c r="B1540" t="s">
        <v>1207</v>
      </c>
      <c r="C1540" s="98">
        <v>45754</v>
      </c>
      <c r="D1540">
        <v>2025</v>
      </c>
      <c r="E1540">
        <v>4</v>
      </c>
      <c r="F1540">
        <v>2</v>
      </c>
      <c r="G1540" t="s">
        <v>1208</v>
      </c>
      <c r="H1540" t="s">
        <v>152</v>
      </c>
      <c r="I1540" t="s">
        <v>152</v>
      </c>
      <c r="J1540" t="s">
        <v>6</v>
      </c>
      <c r="L1540">
        <v>522611</v>
      </c>
      <c r="M1540" s="99" t="s">
        <v>179</v>
      </c>
      <c r="N1540">
        <v>2</v>
      </c>
      <c r="O1540">
        <v>14</v>
      </c>
      <c r="P1540">
        <v>49.238900000000001</v>
      </c>
      <c r="Q1540" t="s">
        <v>352</v>
      </c>
      <c r="R1540">
        <v>1</v>
      </c>
      <c r="S1540">
        <v>39.303400000000003</v>
      </c>
      <c r="T1540">
        <v>7.0613000000000001</v>
      </c>
      <c r="U1540">
        <v>1.4070355317009613</v>
      </c>
      <c r="V1540">
        <v>18.119500000000002</v>
      </c>
      <c r="W1540">
        <v>25.180800000000005</v>
      </c>
      <c r="X1540">
        <v>32.242100000000001</v>
      </c>
      <c r="Y1540">
        <v>46.364700000000006</v>
      </c>
      <c r="Z1540">
        <v>53.426000000000002</v>
      </c>
      <c r="AA1540">
        <v>60.487300000000005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 t="s">
        <v>462</v>
      </c>
      <c r="AL1540" t="s">
        <v>6</v>
      </c>
      <c r="AM1540" t="s">
        <v>1145</v>
      </c>
      <c r="AN1540" t="s">
        <v>1146</v>
      </c>
      <c r="AO1540" s="100">
        <v>46262.040405092594</v>
      </c>
      <c r="AP1540" t="s">
        <v>1147</v>
      </c>
      <c r="AQ1540" t="s">
        <v>4310</v>
      </c>
      <c r="AR1540" t="s">
        <v>1210</v>
      </c>
      <c r="AS1540" t="s">
        <v>1150</v>
      </c>
      <c r="AT1540" t="s">
        <v>4234</v>
      </c>
      <c r="AU1540">
        <v>25</v>
      </c>
      <c r="AV1540">
        <v>40.723823999999993</v>
      </c>
      <c r="AW1540">
        <v>8.0076935583995308</v>
      </c>
      <c r="AX1540">
        <v>19.663412646119706</v>
      </c>
      <c r="BB1540" t="s">
        <v>4620</v>
      </c>
      <c r="BD1540" s="98"/>
      <c r="BE1540" s="98"/>
      <c r="BF1540" t="s">
        <v>1152</v>
      </c>
      <c r="BG1540" t="s">
        <v>322</v>
      </c>
      <c r="BH1540" t="s">
        <v>1153</v>
      </c>
      <c r="BN1540" t="s">
        <v>1154</v>
      </c>
      <c r="BO1540">
        <v>2025</v>
      </c>
      <c r="BP1540" t="s">
        <v>966</v>
      </c>
      <c r="BZ1540" t="s">
        <v>1513</v>
      </c>
      <c r="CA1540" t="s">
        <v>1513</v>
      </c>
      <c r="CB1540" t="b">
        <v>0</v>
      </c>
      <c r="CC1540" t="b">
        <v>0</v>
      </c>
      <c r="CD1540" t="b">
        <v>0</v>
      </c>
      <c r="CE1540" t="b">
        <v>0</v>
      </c>
      <c r="CF1540" t="b">
        <v>0</v>
      </c>
    </row>
    <row r="1541" spans="1:84" x14ac:dyDescent="0.3">
      <c r="A1541" t="s">
        <v>4311</v>
      </c>
      <c r="B1541" t="s">
        <v>1212</v>
      </c>
      <c r="C1541" s="98">
        <v>45761</v>
      </c>
      <c r="D1541">
        <v>2025</v>
      </c>
      <c r="E1541">
        <v>4</v>
      </c>
      <c r="F1541">
        <v>2</v>
      </c>
      <c r="G1541" t="s">
        <v>1208</v>
      </c>
      <c r="H1541" t="s">
        <v>152</v>
      </c>
      <c r="I1541" t="s">
        <v>152</v>
      </c>
      <c r="J1541" t="s">
        <v>6</v>
      </c>
      <c r="L1541">
        <v>522611</v>
      </c>
      <c r="M1541" s="99" t="s">
        <v>179</v>
      </c>
      <c r="N1541">
        <v>2</v>
      </c>
      <c r="O1541">
        <v>15</v>
      </c>
      <c r="P1541">
        <v>30.733799999999999</v>
      </c>
      <c r="Q1541" t="s">
        <v>352</v>
      </c>
      <c r="R1541">
        <v>1</v>
      </c>
      <c r="S1541">
        <v>39.303400000000003</v>
      </c>
      <c r="T1541">
        <v>7.0613000000000001</v>
      </c>
      <c r="U1541">
        <v>-1.2136008950193313</v>
      </c>
      <c r="V1541">
        <v>18.119500000000002</v>
      </c>
      <c r="W1541">
        <v>25.180800000000005</v>
      </c>
      <c r="X1541">
        <v>32.242100000000001</v>
      </c>
      <c r="Y1541">
        <v>46.364700000000006</v>
      </c>
      <c r="Z1541">
        <v>53.426000000000002</v>
      </c>
      <c r="AA1541">
        <v>60.487300000000005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 t="s">
        <v>462</v>
      </c>
      <c r="AL1541" t="s">
        <v>6</v>
      </c>
      <c r="AM1541" t="s">
        <v>1145</v>
      </c>
      <c r="AN1541" t="s">
        <v>1146</v>
      </c>
      <c r="AO1541" s="100">
        <v>46262.040405092594</v>
      </c>
      <c r="AP1541" t="s">
        <v>1147</v>
      </c>
      <c r="AQ1541" t="s">
        <v>4312</v>
      </c>
      <c r="AR1541" t="s">
        <v>1215</v>
      </c>
      <c r="AS1541" t="s">
        <v>1150</v>
      </c>
      <c r="AT1541" t="s">
        <v>4234</v>
      </c>
      <c r="AU1541">
        <v>25</v>
      </c>
      <c r="AV1541">
        <v>40.723823999999993</v>
      </c>
      <c r="AW1541">
        <v>8.0076935583995308</v>
      </c>
      <c r="AX1541">
        <v>19.663412646119706</v>
      </c>
      <c r="BB1541" t="s">
        <v>4620</v>
      </c>
      <c r="BD1541" s="98"/>
      <c r="BE1541" s="98"/>
      <c r="BF1541" t="s">
        <v>1152</v>
      </c>
      <c r="BG1541" t="s">
        <v>322</v>
      </c>
      <c r="BH1541" t="s">
        <v>1153</v>
      </c>
      <c r="BN1541" t="s">
        <v>1154</v>
      </c>
      <c r="BO1541">
        <v>2025</v>
      </c>
      <c r="BP1541" t="s">
        <v>966</v>
      </c>
      <c r="BZ1541" t="s">
        <v>1513</v>
      </c>
      <c r="CA1541" t="s">
        <v>1513</v>
      </c>
      <c r="CB1541" t="b">
        <v>0</v>
      </c>
      <c r="CC1541" t="b">
        <v>0</v>
      </c>
      <c r="CD1541" t="b">
        <v>0</v>
      </c>
      <c r="CE1541" t="b">
        <v>0</v>
      </c>
      <c r="CF1541" t="b">
        <v>0</v>
      </c>
    </row>
    <row r="1542" spans="1:84" x14ac:dyDescent="0.3">
      <c r="A1542" t="s">
        <v>4313</v>
      </c>
      <c r="B1542" t="s">
        <v>1217</v>
      </c>
      <c r="C1542" s="98">
        <v>45768</v>
      </c>
      <c r="D1542">
        <v>2025</v>
      </c>
      <c r="E1542">
        <v>4</v>
      </c>
      <c r="F1542">
        <v>2</v>
      </c>
      <c r="G1542" t="s">
        <v>1208</v>
      </c>
      <c r="H1542" t="s">
        <v>152</v>
      </c>
      <c r="I1542" t="s">
        <v>152</v>
      </c>
      <c r="J1542" t="s">
        <v>6</v>
      </c>
      <c r="L1542">
        <v>522611</v>
      </c>
      <c r="M1542" s="99" t="s">
        <v>179</v>
      </c>
      <c r="N1542">
        <v>2</v>
      </c>
      <c r="O1542">
        <v>16</v>
      </c>
      <c r="P1542">
        <v>40.483400000000003</v>
      </c>
      <c r="Q1542" t="s">
        <v>352</v>
      </c>
      <c r="R1542">
        <v>1</v>
      </c>
      <c r="S1542">
        <v>39.303400000000003</v>
      </c>
      <c r="T1542">
        <v>7.0613000000000001</v>
      </c>
      <c r="U1542">
        <v>0.16710803959610832</v>
      </c>
      <c r="V1542">
        <v>18.119500000000002</v>
      </c>
      <c r="W1542">
        <v>25.180800000000005</v>
      </c>
      <c r="X1542">
        <v>32.242100000000001</v>
      </c>
      <c r="Y1542">
        <v>46.364700000000006</v>
      </c>
      <c r="Z1542">
        <v>53.426000000000002</v>
      </c>
      <c r="AA1542">
        <v>60.487300000000005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 t="s">
        <v>462</v>
      </c>
      <c r="AL1542" t="s">
        <v>6</v>
      </c>
      <c r="AM1542" t="s">
        <v>1145</v>
      </c>
      <c r="AN1542" t="s">
        <v>1146</v>
      </c>
      <c r="AO1542" s="100">
        <v>46262.040405092594</v>
      </c>
      <c r="AP1542" t="s">
        <v>1147</v>
      </c>
      <c r="AQ1542" t="s">
        <v>4314</v>
      </c>
      <c r="AR1542" t="s">
        <v>1219</v>
      </c>
      <c r="AS1542" t="s">
        <v>1150</v>
      </c>
      <c r="AT1542" t="s">
        <v>4234</v>
      </c>
      <c r="AU1542">
        <v>25</v>
      </c>
      <c r="AV1542">
        <v>40.723823999999993</v>
      </c>
      <c r="AW1542">
        <v>8.0076935583995308</v>
      </c>
      <c r="AX1542">
        <v>19.663412646119706</v>
      </c>
      <c r="BB1542" t="s">
        <v>4620</v>
      </c>
      <c r="BD1542" s="98"/>
      <c r="BE1542" s="98"/>
      <c r="BF1542" t="s">
        <v>1152</v>
      </c>
      <c r="BG1542" t="s">
        <v>322</v>
      </c>
      <c r="BH1542" t="s">
        <v>1153</v>
      </c>
      <c r="BN1542" t="s">
        <v>1154</v>
      </c>
      <c r="BO1542">
        <v>2025</v>
      </c>
      <c r="BP1542" t="s">
        <v>966</v>
      </c>
      <c r="BZ1542" t="s">
        <v>1513</v>
      </c>
      <c r="CA1542" t="s">
        <v>1513</v>
      </c>
      <c r="CB1542" t="b">
        <v>0</v>
      </c>
      <c r="CC1542" t="b">
        <v>0</v>
      </c>
      <c r="CD1542" t="b">
        <v>0</v>
      </c>
      <c r="CE1542" t="b">
        <v>0</v>
      </c>
      <c r="CF1542" t="b">
        <v>0</v>
      </c>
    </row>
    <row r="1543" spans="1:84" x14ac:dyDescent="0.3">
      <c r="A1543" t="s">
        <v>4315</v>
      </c>
      <c r="B1543" t="s">
        <v>1221</v>
      </c>
      <c r="C1543" s="98">
        <v>45775</v>
      </c>
      <c r="D1543">
        <v>2025</v>
      </c>
      <c r="E1543">
        <v>4</v>
      </c>
      <c r="F1543">
        <v>2</v>
      </c>
      <c r="G1543" t="s">
        <v>1208</v>
      </c>
      <c r="H1543" t="s">
        <v>152</v>
      </c>
      <c r="I1543" t="s">
        <v>152</v>
      </c>
      <c r="J1543" t="s">
        <v>6</v>
      </c>
      <c r="L1543">
        <v>522611</v>
      </c>
      <c r="M1543" s="99" t="s">
        <v>179</v>
      </c>
      <c r="N1543">
        <v>2</v>
      </c>
      <c r="O1543">
        <v>17</v>
      </c>
      <c r="P1543">
        <v>49.909300000000002</v>
      </c>
      <c r="Q1543" t="s">
        <v>352</v>
      </c>
      <c r="R1543">
        <v>1</v>
      </c>
      <c r="S1543">
        <v>39.303400000000003</v>
      </c>
      <c r="T1543">
        <v>7.0613000000000001</v>
      </c>
      <c r="U1543">
        <v>1.5019755569087843</v>
      </c>
      <c r="V1543">
        <v>18.119500000000002</v>
      </c>
      <c r="W1543">
        <v>25.180800000000005</v>
      </c>
      <c r="X1543">
        <v>32.242100000000001</v>
      </c>
      <c r="Y1543">
        <v>46.364700000000006</v>
      </c>
      <c r="Z1543">
        <v>53.426000000000002</v>
      </c>
      <c r="AA1543">
        <v>60.487300000000005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 t="s">
        <v>462</v>
      </c>
      <c r="AL1543" t="s">
        <v>6</v>
      </c>
      <c r="AM1543" t="s">
        <v>1145</v>
      </c>
      <c r="AN1543" t="s">
        <v>1146</v>
      </c>
      <c r="AO1543" s="100">
        <v>46262.040405092594</v>
      </c>
      <c r="AP1543" t="s">
        <v>1147</v>
      </c>
      <c r="AQ1543" t="s">
        <v>4316</v>
      </c>
      <c r="AR1543" t="s">
        <v>1223</v>
      </c>
      <c r="AS1543" t="s">
        <v>1150</v>
      </c>
      <c r="AT1543" t="s">
        <v>4234</v>
      </c>
      <c r="AU1543">
        <v>25</v>
      </c>
      <c r="AV1543">
        <v>40.723823999999993</v>
      </c>
      <c r="AW1543">
        <v>8.0076935583995308</v>
      </c>
      <c r="AX1543">
        <v>19.663412646119706</v>
      </c>
      <c r="BB1543" t="s">
        <v>4620</v>
      </c>
      <c r="BD1543" s="98"/>
      <c r="BE1543" s="98"/>
      <c r="BF1543" t="s">
        <v>1152</v>
      </c>
      <c r="BG1543" t="s">
        <v>322</v>
      </c>
      <c r="BH1543" t="s">
        <v>1153</v>
      </c>
      <c r="BN1543" t="s">
        <v>1154</v>
      </c>
      <c r="BO1543">
        <v>2025</v>
      </c>
      <c r="BP1543" t="s">
        <v>966</v>
      </c>
      <c r="BZ1543" t="s">
        <v>1513</v>
      </c>
      <c r="CA1543" t="s">
        <v>1513</v>
      </c>
      <c r="CB1543" t="b">
        <v>0</v>
      </c>
      <c r="CC1543" t="b">
        <v>0</v>
      </c>
      <c r="CD1543" t="b">
        <v>0</v>
      </c>
      <c r="CE1543" t="b">
        <v>0</v>
      </c>
      <c r="CF1543" t="b">
        <v>0</v>
      </c>
    </row>
    <row r="1544" spans="1:84" x14ac:dyDescent="0.3">
      <c r="A1544" t="s">
        <v>4317</v>
      </c>
      <c r="B1544" t="s">
        <v>1225</v>
      </c>
      <c r="C1544" s="98">
        <v>45782</v>
      </c>
      <c r="D1544">
        <v>2025</v>
      </c>
      <c r="E1544">
        <v>5</v>
      </c>
      <c r="F1544">
        <v>2</v>
      </c>
      <c r="G1544" t="s">
        <v>1226</v>
      </c>
      <c r="H1544" t="s">
        <v>152</v>
      </c>
      <c r="I1544" t="s">
        <v>152</v>
      </c>
      <c r="J1544" t="s">
        <v>6</v>
      </c>
      <c r="L1544">
        <v>522611</v>
      </c>
      <c r="M1544" s="99" t="s">
        <v>179</v>
      </c>
      <c r="N1544">
        <v>2</v>
      </c>
      <c r="O1544">
        <v>18</v>
      </c>
      <c r="P1544">
        <v>37.876399999999997</v>
      </c>
      <c r="Q1544" t="s">
        <v>352</v>
      </c>
      <c r="R1544">
        <v>1</v>
      </c>
      <c r="S1544">
        <v>39.303400000000003</v>
      </c>
      <c r="T1544">
        <v>7.0613000000000001</v>
      </c>
      <c r="U1544">
        <v>-0.20208743432512521</v>
      </c>
      <c r="V1544">
        <v>18.119500000000002</v>
      </c>
      <c r="W1544">
        <v>25.180800000000005</v>
      </c>
      <c r="X1544">
        <v>32.242100000000001</v>
      </c>
      <c r="Y1544">
        <v>46.364700000000006</v>
      </c>
      <c r="Z1544">
        <v>53.426000000000002</v>
      </c>
      <c r="AA1544">
        <v>60.487300000000005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 t="s">
        <v>462</v>
      </c>
      <c r="AL1544" t="s">
        <v>6</v>
      </c>
      <c r="AM1544" t="s">
        <v>1145</v>
      </c>
      <c r="AN1544" t="s">
        <v>1146</v>
      </c>
      <c r="AO1544" s="100">
        <v>46262.040405092594</v>
      </c>
      <c r="AP1544" t="s">
        <v>1147</v>
      </c>
      <c r="AQ1544" t="s">
        <v>4318</v>
      </c>
      <c r="AR1544" t="s">
        <v>1228</v>
      </c>
      <c r="AS1544" t="s">
        <v>1150</v>
      </c>
      <c r="AT1544" t="s">
        <v>4234</v>
      </c>
      <c r="AU1544">
        <v>25</v>
      </c>
      <c r="AV1544">
        <v>40.723823999999993</v>
      </c>
      <c r="AW1544">
        <v>8.0076935583995308</v>
      </c>
      <c r="AX1544">
        <v>19.663412646119706</v>
      </c>
      <c r="BB1544" t="s">
        <v>4620</v>
      </c>
      <c r="BD1544" s="98"/>
      <c r="BE1544" s="98"/>
      <c r="BF1544" t="s">
        <v>1152</v>
      </c>
      <c r="BG1544" t="s">
        <v>322</v>
      </c>
      <c r="BH1544" t="s">
        <v>1153</v>
      </c>
      <c r="BN1544" t="s">
        <v>1154</v>
      </c>
      <c r="BO1544">
        <v>2025</v>
      </c>
      <c r="BP1544" t="s">
        <v>966</v>
      </c>
      <c r="BZ1544" t="s">
        <v>1513</v>
      </c>
      <c r="CA1544" t="s">
        <v>1513</v>
      </c>
      <c r="CB1544" t="b">
        <v>0</v>
      </c>
      <c r="CC1544" t="b">
        <v>0</v>
      </c>
      <c r="CD1544" t="b">
        <v>0</v>
      </c>
      <c r="CE1544" t="b">
        <v>0</v>
      </c>
      <c r="CF1544" t="b">
        <v>0</v>
      </c>
    </row>
    <row r="1545" spans="1:84" x14ac:dyDescent="0.3">
      <c r="A1545" t="s">
        <v>4319</v>
      </c>
      <c r="B1545" t="s">
        <v>1230</v>
      </c>
      <c r="C1545" s="98">
        <v>45789</v>
      </c>
      <c r="D1545">
        <v>2025</v>
      </c>
      <c r="E1545">
        <v>5</v>
      </c>
      <c r="F1545">
        <v>2</v>
      </c>
      <c r="G1545" t="s">
        <v>1226</v>
      </c>
      <c r="H1545" t="s">
        <v>152</v>
      </c>
      <c r="I1545" t="s">
        <v>152</v>
      </c>
      <c r="J1545" t="s">
        <v>6</v>
      </c>
      <c r="L1545">
        <v>522611</v>
      </c>
      <c r="M1545" s="99" t="s">
        <v>179</v>
      </c>
      <c r="N1545">
        <v>2</v>
      </c>
      <c r="O1545">
        <v>19</v>
      </c>
      <c r="P1545">
        <v>36.272300000000001</v>
      </c>
      <c r="Q1545" t="s">
        <v>352</v>
      </c>
      <c r="R1545">
        <v>1</v>
      </c>
      <c r="S1545">
        <v>39.303400000000003</v>
      </c>
      <c r="T1545">
        <v>7.0613000000000001</v>
      </c>
      <c r="U1545">
        <v>-0.42925523628793594</v>
      </c>
      <c r="V1545">
        <v>18.119500000000002</v>
      </c>
      <c r="W1545">
        <v>25.180800000000005</v>
      </c>
      <c r="X1545">
        <v>32.242100000000001</v>
      </c>
      <c r="Y1545">
        <v>46.364700000000006</v>
      </c>
      <c r="Z1545">
        <v>53.426000000000002</v>
      </c>
      <c r="AA1545">
        <v>60.487300000000005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 t="s">
        <v>462</v>
      </c>
      <c r="AL1545" t="s">
        <v>6</v>
      </c>
      <c r="AM1545" t="s">
        <v>1145</v>
      </c>
      <c r="AN1545" t="s">
        <v>1146</v>
      </c>
      <c r="AO1545" s="100">
        <v>46262.040405092594</v>
      </c>
      <c r="AP1545" t="s">
        <v>1147</v>
      </c>
      <c r="AQ1545" t="s">
        <v>4320</v>
      </c>
      <c r="AR1545" t="s">
        <v>1232</v>
      </c>
      <c r="AS1545" t="s">
        <v>1150</v>
      </c>
      <c r="AT1545" t="s">
        <v>4234</v>
      </c>
      <c r="AU1545">
        <v>25</v>
      </c>
      <c r="AV1545">
        <v>40.723823999999993</v>
      </c>
      <c r="AW1545">
        <v>8.0076935583995308</v>
      </c>
      <c r="AX1545">
        <v>19.663412646119706</v>
      </c>
      <c r="BB1545" t="s">
        <v>4620</v>
      </c>
      <c r="BD1545" s="98"/>
      <c r="BE1545" s="98"/>
      <c r="BF1545" t="s">
        <v>1152</v>
      </c>
      <c r="BG1545" t="s">
        <v>322</v>
      </c>
      <c r="BH1545" t="s">
        <v>1153</v>
      </c>
      <c r="BN1545" t="s">
        <v>1154</v>
      </c>
      <c r="BO1545">
        <v>2025</v>
      </c>
      <c r="BP1545" t="s">
        <v>966</v>
      </c>
      <c r="BZ1545" t="s">
        <v>1513</v>
      </c>
      <c r="CA1545" t="s">
        <v>1513</v>
      </c>
      <c r="CB1545" t="b">
        <v>0</v>
      </c>
      <c r="CC1545" t="b">
        <v>0</v>
      </c>
      <c r="CD1545" t="b">
        <v>0</v>
      </c>
      <c r="CE1545" t="b">
        <v>0</v>
      </c>
      <c r="CF1545" t="b">
        <v>0</v>
      </c>
    </row>
    <row r="1546" spans="1:84" x14ac:dyDescent="0.3">
      <c r="A1546" t="s">
        <v>4321</v>
      </c>
      <c r="B1546" t="s">
        <v>1234</v>
      </c>
      <c r="C1546" s="98">
        <v>45796</v>
      </c>
      <c r="D1546">
        <v>2025</v>
      </c>
      <c r="E1546">
        <v>5</v>
      </c>
      <c r="F1546">
        <v>2</v>
      </c>
      <c r="G1546" t="s">
        <v>1226</v>
      </c>
      <c r="H1546" t="s">
        <v>152</v>
      </c>
      <c r="I1546" t="s">
        <v>152</v>
      </c>
      <c r="J1546" t="s">
        <v>6</v>
      </c>
      <c r="L1546">
        <v>522611</v>
      </c>
      <c r="M1546" s="99" t="s">
        <v>179</v>
      </c>
      <c r="N1546">
        <v>2</v>
      </c>
      <c r="O1546">
        <v>20</v>
      </c>
      <c r="P1546">
        <v>40.136499999999998</v>
      </c>
      <c r="Q1546" t="s">
        <v>352</v>
      </c>
      <c r="R1546">
        <v>1</v>
      </c>
      <c r="S1546">
        <v>39.303400000000003</v>
      </c>
      <c r="T1546">
        <v>7.0613000000000001</v>
      </c>
      <c r="U1546">
        <v>0.11798110829450591</v>
      </c>
      <c r="V1546">
        <v>18.119500000000002</v>
      </c>
      <c r="W1546">
        <v>25.180800000000005</v>
      </c>
      <c r="X1546">
        <v>32.242100000000001</v>
      </c>
      <c r="Y1546">
        <v>46.364700000000006</v>
      </c>
      <c r="Z1546">
        <v>53.426000000000002</v>
      </c>
      <c r="AA1546">
        <v>60.487300000000005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 t="s">
        <v>462</v>
      </c>
      <c r="AL1546" t="s">
        <v>6</v>
      </c>
      <c r="AM1546" t="s">
        <v>1145</v>
      </c>
      <c r="AN1546" t="s">
        <v>1146</v>
      </c>
      <c r="AO1546" s="100">
        <v>46262.040405092594</v>
      </c>
      <c r="AP1546" t="s">
        <v>1147</v>
      </c>
      <c r="AQ1546" t="s">
        <v>4322</v>
      </c>
      <c r="AR1546" t="s">
        <v>1236</v>
      </c>
      <c r="AS1546" t="s">
        <v>1150</v>
      </c>
      <c r="AT1546" t="s">
        <v>4234</v>
      </c>
      <c r="AU1546">
        <v>25</v>
      </c>
      <c r="AV1546">
        <v>40.723823999999993</v>
      </c>
      <c r="AW1546">
        <v>8.0076935583995308</v>
      </c>
      <c r="AX1546">
        <v>19.663412646119706</v>
      </c>
      <c r="BB1546" t="s">
        <v>4620</v>
      </c>
      <c r="BD1546" s="98"/>
      <c r="BE1546" s="98"/>
      <c r="BF1546" t="s">
        <v>1152</v>
      </c>
      <c r="BG1546" t="s">
        <v>322</v>
      </c>
      <c r="BH1546" t="s">
        <v>1153</v>
      </c>
      <c r="BN1546" t="s">
        <v>1154</v>
      </c>
      <c r="BO1546">
        <v>2025</v>
      </c>
      <c r="BP1546" t="s">
        <v>966</v>
      </c>
      <c r="BZ1546" t="s">
        <v>1513</v>
      </c>
      <c r="CA1546" t="s">
        <v>1513</v>
      </c>
      <c r="CB1546" t="b">
        <v>0</v>
      </c>
      <c r="CC1546" t="b">
        <v>0</v>
      </c>
      <c r="CD1546" t="b">
        <v>0</v>
      </c>
      <c r="CE1546" t="b">
        <v>0</v>
      </c>
      <c r="CF1546" t="b">
        <v>0</v>
      </c>
    </row>
    <row r="1547" spans="1:84" x14ac:dyDescent="0.3">
      <c r="A1547" t="s">
        <v>4323</v>
      </c>
      <c r="B1547" t="s">
        <v>1238</v>
      </c>
      <c r="C1547" s="98">
        <v>45803</v>
      </c>
      <c r="D1547">
        <v>2025</v>
      </c>
      <c r="E1547">
        <v>5</v>
      </c>
      <c r="F1547">
        <v>2</v>
      </c>
      <c r="G1547" t="s">
        <v>1226</v>
      </c>
      <c r="H1547" t="s">
        <v>152</v>
      </c>
      <c r="I1547" t="s">
        <v>152</v>
      </c>
      <c r="J1547" t="s">
        <v>6</v>
      </c>
      <c r="L1547">
        <v>522611</v>
      </c>
      <c r="M1547" s="99" t="s">
        <v>179</v>
      </c>
      <c r="N1547">
        <v>2</v>
      </c>
      <c r="O1547">
        <v>21</v>
      </c>
      <c r="P1547">
        <v>36.078099999999999</v>
      </c>
      <c r="Q1547" t="s">
        <v>352</v>
      </c>
      <c r="R1547">
        <v>1</v>
      </c>
      <c r="S1547">
        <v>39.303400000000003</v>
      </c>
      <c r="T1547">
        <v>7.0613000000000001</v>
      </c>
      <c r="U1547">
        <v>-0.45675725432993985</v>
      </c>
      <c r="V1547">
        <v>18.119500000000002</v>
      </c>
      <c r="W1547">
        <v>25.180800000000005</v>
      </c>
      <c r="X1547">
        <v>32.242100000000001</v>
      </c>
      <c r="Y1547">
        <v>46.364700000000006</v>
      </c>
      <c r="Z1547">
        <v>53.426000000000002</v>
      </c>
      <c r="AA1547">
        <v>60.487300000000005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 t="s">
        <v>462</v>
      </c>
      <c r="AL1547" t="s">
        <v>6</v>
      </c>
      <c r="AM1547" t="s">
        <v>1145</v>
      </c>
      <c r="AN1547" t="s">
        <v>1146</v>
      </c>
      <c r="AO1547" s="100">
        <v>46262.040405092594</v>
      </c>
      <c r="AP1547" t="s">
        <v>1147</v>
      </c>
      <c r="AQ1547" t="s">
        <v>4324</v>
      </c>
      <c r="AR1547" t="s">
        <v>1240</v>
      </c>
      <c r="AS1547" t="s">
        <v>1150</v>
      </c>
      <c r="AT1547" t="s">
        <v>4234</v>
      </c>
      <c r="AU1547">
        <v>25</v>
      </c>
      <c r="AV1547">
        <v>40.723823999999993</v>
      </c>
      <c r="AW1547">
        <v>8.0076935583995308</v>
      </c>
      <c r="AX1547">
        <v>19.663412646119706</v>
      </c>
      <c r="BB1547" t="s">
        <v>4620</v>
      </c>
      <c r="BD1547" s="98"/>
      <c r="BE1547" s="98"/>
      <c r="BF1547" t="s">
        <v>1152</v>
      </c>
      <c r="BG1547" t="s">
        <v>322</v>
      </c>
      <c r="BH1547" t="s">
        <v>1153</v>
      </c>
      <c r="BN1547" t="s">
        <v>1154</v>
      </c>
      <c r="BO1547">
        <v>2025</v>
      </c>
      <c r="BP1547" t="s">
        <v>966</v>
      </c>
      <c r="BZ1547" t="s">
        <v>1513</v>
      </c>
      <c r="CA1547" t="s">
        <v>1513</v>
      </c>
      <c r="CB1547" t="b">
        <v>0</v>
      </c>
      <c r="CC1547" t="b">
        <v>0</v>
      </c>
      <c r="CD1547" t="b">
        <v>0</v>
      </c>
      <c r="CE1547" t="b">
        <v>0</v>
      </c>
      <c r="CF1547" t="b">
        <v>0</v>
      </c>
    </row>
    <row r="1548" spans="1:84" x14ac:dyDescent="0.3">
      <c r="A1548" t="s">
        <v>4325</v>
      </c>
      <c r="B1548" t="s">
        <v>1242</v>
      </c>
      <c r="C1548" s="98">
        <v>45810</v>
      </c>
      <c r="D1548">
        <v>2025</v>
      </c>
      <c r="E1548">
        <v>6</v>
      </c>
      <c r="F1548">
        <v>2</v>
      </c>
      <c r="G1548" t="s">
        <v>1243</v>
      </c>
      <c r="H1548" t="s">
        <v>152</v>
      </c>
      <c r="I1548" t="s">
        <v>152</v>
      </c>
      <c r="J1548" t="s">
        <v>6</v>
      </c>
      <c r="L1548">
        <v>522611</v>
      </c>
      <c r="M1548" s="99" t="s">
        <v>179</v>
      </c>
      <c r="N1548">
        <v>2</v>
      </c>
      <c r="O1548">
        <v>22</v>
      </c>
      <c r="P1548">
        <v>50.525100000000002</v>
      </c>
      <c r="Q1548" t="s">
        <v>352</v>
      </c>
      <c r="R1548">
        <v>1</v>
      </c>
      <c r="S1548">
        <v>39.303400000000003</v>
      </c>
      <c r="T1548">
        <v>7.0613000000000001</v>
      </c>
      <c r="U1548">
        <v>1.5891832948607194</v>
      </c>
      <c r="V1548">
        <v>18.119500000000002</v>
      </c>
      <c r="W1548">
        <v>25.180800000000005</v>
      </c>
      <c r="X1548">
        <v>32.242100000000001</v>
      </c>
      <c r="Y1548">
        <v>46.364700000000006</v>
      </c>
      <c r="Z1548">
        <v>53.426000000000002</v>
      </c>
      <c r="AA1548">
        <v>60.487300000000005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 t="s">
        <v>462</v>
      </c>
      <c r="AL1548" t="s">
        <v>6</v>
      </c>
      <c r="AM1548" t="s">
        <v>1145</v>
      </c>
      <c r="AN1548" t="s">
        <v>1146</v>
      </c>
      <c r="AO1548" s="100">
        <v>46262.040405092594</v>
      </c>
      <c r="AP1548" t="s">
        <v>1147</v>
      </c>
      <c r="AQ1548" t="s">
        <v>4326</v>
      </c>
      <c r="AR1548" t="s">
        <v>1245</v>
      </c>
      <c r="AS1548" t="s">
        <v>1150</v>
      </c>
      <c r="AT1548" t="s">
        <v>4234</v>
      </c>
      <c r="AU1548">
        <v>25</v>
      </c>
      <c r="AV1548">
        <v>40.723823999999993</v>
      </c>
      <c r="AW1548">
        <v>8.0076935583995308</v>
      </c>
      <c r="AX1548">
        <v>19.663412646119706</v>
      </c>
      <c r="BB1548" t="s">
        <v>4620</v>
      </c>
      <c r="BD1548" s="98"/>
      <c r="BE1548" s="98"/>
      <c r="BF1548" t="s">
        <v>1152</v>
      </c>
      <c r="BG1548" t="s">
        <v>322</v>
      </c>
      <c r="BH1548" t="s">
        <v>1153</v>
      </c>
      <c r="BN1548" t="s">
        <v>1154</v>
      </c>
      <c r="BO1548">
        <v>2025</v>
      </c>
      <c r="BP1548" t="s">
        <v>966</v>
      </c>
      <c r="BZ1548" t="s">
        <v>1513</v>
      </c>
      <c r="CA1548" t="s">
        <v>1513</v>
      </c>
      <c r="CB1548" t="b">
        <v>0</v>
      </c>
      <c r="CC1548" t="b">
        <v>0</v>
      </c>
      <c r="CD1548" t="b">
        <v>0</v>
      </c>
      <c r="CE1548" t="b">
        <v>0</v>
      </c>
      <c r="CF1548" t="b">
        <v>0</v>
      </c>
    </row>
    <row r="1549" spans="1:84" x14ac:dyDescent="0.3">
      <c r="A1549" t="s">
        <v>4327</v>
      </c>
      <c r="B1549" t="s">
        <v>1247</v>
      </c>
      <c r="C1549" s="98">
        <v>45817</v>
      </c>
      <c r="D1549">
        <v>2025</v>
      </c>
      <c r="E1549">
        <v>6</v>
      </c>
      <c r="F1549">
        <v>2</v>
      </c>
      <c r="G1549" t="s">
        <v>1243</v>
      </c>
      <c r="H1549" t="s">
        <v>152</v>
      </c>
      <c r="I1549" t="s">
        <v>152</v>
      </c>
      <c r="J1549" t="s">
        <v>6</v>
      </c>
      <c r="L1549">
        <v>522611</v>
      </c>
      <c r="M1549" s="99" t="s">
        <v>179</v>
      </c>
      <c r="N1549">
        <v>2</v>
      </c>
      <c r="O1549">
        <v>23</v>
      </c>
      <c r="P1549">
        <v>32.723399999999998</v>
      </c>
      <c r="Q1549" t="s">
        <v>352</v>
      </c>
      <c r="R1549">
        <v>1</v>
      </c>
      <c r="S1549">
        <v>39.303400000000003</v>
      </c>
      <c r="T1549">
        <v>7.0613000000000001</v>
      </c>
      <c r="U1549">
        <v>-0.93183974622236776</v>
      </c>
      <c r="V1549">
        <v>18.119500000000002</v>
      </c>
      <c r="W1549">
        <v>25.180800000000005</v>
      </c>
      <c r="X1549">
        <v>32.242100000000001</v>
      </c>
      <c r="Y1549">
        <v>46.364700000000006</v>
      </c>
      <c r="Z1549">
        <v>53.426000000000002</v>
      </c>
      <c r="AA1549">
        <v>60.487300000000005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 t="s">
        <v>462</v>
      </c>
      <c r="AL1549" t="s">
        <v>6</v>
      </c>
      <c r="AM1549" t="s">
        <v>1145</v>
      </c>
      <c r="AN1549" t="s">
        <v>1146</v>
      </c>
      <c r="AO1549" s="100">
        <v>46262.040405092594</v>
      </c>
      <c r="AP1549" t="s">
        <v>1147</v>
      </c>
      <c r="AQ1549" t="s">
        <v>4328</v>
      </c>
      <c r="AR1549" t="s">
        <v>1249</v>
      </c>
      <c r="AS1549" t="s">
        <v>1150</v>
      </c>
      <c r="AT1549" t="s">
        <v>4234</v>
      </c>
      <c r="AU1549">
        <v>25</v>
      </c>
      <c r="AV1549">
        <v>40.723823999999993</v>
      </c>
      <c r="AW1549">
        <v>8.0076935583995308</v>
      </c>
      <c r="AX1549">
        <v>19.663412646119706</v>
      </c>
      <c r="BB1549" t="s">
        <v>4620</v>
      </c>
      <c r="BD1549" s="98"/>
      <c r="BE1549" s="98"/>
      <c r="BF1549" t="s">
        <v>1152</v>
      </c>
      <c r="BG1549" t="s">
        <v>322</v>
      </c>
      <c r="BH1549" t="s">
        <v>1153</v>
      </c>
      <c r="BN1549" t="s">
        <v>1154</v>
      </c>
      <c r="BO1549">
        <v>2025</v>
      </c>
      <c r="BP1549" t="s">
        <v>966</v>
      </c>
      <c r="BZ1549" t="s">
        <v>1513</v>
      </c>
      <c r="CA1549" t="s">
        <v>1513</v>
      </c>
      <c r="CB1549" t="b">
        <v>0</v>
      </c>
      <c r="CC1549" t="b">
        <v>0</v>
      </c>
      <c r="CD1549" t="b">
        <v>0</v>
      </c>
      <c r="CE1549" t="b">
        <v>0</v>
      </c>
      <c r="CF1549" t="b">
        <v>0</v>
      </c>
    </row>
    <row r="1550" spans="1:84" x14ac:dyDescent="0.3">
      <c r="A1550" t="s">
        <v>4329</v>
      </c>
      <c r="B1550" t="s">
        <v>1251</v>
      </c>
      <c r="C1550" s="98">
        <v>45824</v>
      </c>
      <c r="D1550">
        <v>2025</v>
      </c>
      <c r="E1550">
        <v>6</v>
      </c>
      <c r="F1550">
        <v>2</v>
      </c>
      <c r="G1550" t="s">
        <v>1243</v>
      </c>
      <c r="H1550" t="s">
        <v>152</v>
      </c>
      <c r="I1550" t="s">
        <v>152</v>
      </c>
      <c r="J1550" t="s">
        <v>6</v>
      </c>
      <c r="L1550">
        <v>522611</v>
      </c>
      <c r="M1550" s="99" t="s">
        <v>179</v>
      </c>
      <c r="N1550">
        <v>2</v>
      </c>
      <c r="O1550">
        <v>24</v>
      </c>
      <c r="P1550">
        <v>45.637</v>
      </c>
      <c r="Q1550" t="s">
        <v>352</v>
      </c>
      <c r="R1550">
        <v>1</v>
      </c>
      <c r="S1550">
        <v>39.303400000000003</v>
      </c>
      <c r="T1550">
        <v>7.0613000000000001</v>
      </c>
      <c r="U1550">
        <v>0.8969453216829758</v>
      </c>
      <c r="V1550">
        <v>18.119500000000002</v>
      </c>
      <c r="W1550">
        <v>25.180800000000005</v>
      </c>
      <c r="X1550">
        <v>32.242100000000001</v>
      </c>
      <c r="Y1550">
        <v>46.364700000000006</v>
      </c>
      <c r="Z1550">
        <v>53.426000000000002</v>
      </c>
      <c r="AA1550">
        <v>60.487300000000005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 t="s">
        <v>462</v>
      </c>
      <c r="AL1550" t="s">
        <v>6</v>
      </c>
      <c r="AM1550" t="s">
        <v>1145</v>
      </c>
      <c r="AN1550" t="s">
        <v>1146</v>
      </c>
      <c r="AO1550" s="100">
        <v>46262.040405092594</v>
      </c>
      <c r="AP1550" t="s">
        <v>1147</v>
      </c>
      <c r="AQ1550" t="s">
        <v>4330</v>
      </c>
      <c r="AR1550" t="s">
        <v>1253</v>
      </c>
      <c r="AS1550" t="s">
        <v>1150</v>
      </c>
      <c r="AT1550" t="s">
        <v>4234</v>
      </c>
      <c r="AU1550">
        <v>25</v>
      </c>
      <c r="AV1550">
        <v>40.723823999999993</v>
      </c>
      <c r="AW1550">
        <v>8.0076935583995308</v>
      </c>
      <c r="AX1550">
        <v>19.663412646119706</v>
      </c>
      <c r="BB1550" t="s">
        <v>4620</v>
      </c>
      <c r="BD1550" s="98"/>
      <c r="BE1550" s="98"/>
      <c r="BF1550" t="s">
        <v>1152</v>
      </c>
      <c r="BG1550" t="s">
        <v>322</v>
      </c>
      <c r="BH1550" t="s">
        <v>1153</v>
      </c>
      <c r="BN1550" t="s">
        <v>1154</v>
      </c>
      <c r="BO1550">
        <v>2025</v>
      </c>
      <c r="BP1550" t="s">
        <v>966</v>
      </c>
      <c r="BZ1550" t="s">
        <v>1513</v>
      </c>
      <c r="CA1550" t="s">
        <v>1513</v>
      </c>
      <c r="CB1550" t="b">
        <v>0</v>
      </c>
      <c r="CC1550" t="b">
        <v>0</v>
      </c>
      <c r="CD1550" t="b">
        <v>0</v>
      </c>
      <c r="CE1550" t="b">
        <v>0</v>
      </c>
      <c r="CF1550" t="b">
        <v>0</v>
      </c>
    </row>
    <row r="1551" spans="1:84" x14ac:dyDescent="0.3">
      <c r="A1551" t="s">
        <v>4331</v>
      </c>
      <c r="B1551" t="s">
        <v>1255</v>
      </c>
      <c r="C1551" s="98">
        <v>45831</v>
      </c>
      <c r="D1551">
        <v>2025</v>
      </c>
      <c r="E1551">
        <v>6</v>
      </c>
      <c r="F1551">
        <v>2</v>
      </c>
      <c r="G1551" t="s">
        <v>1243</v>
      </c>
      <c r="H1551" t="s">
        <v>152</v>
      </c>
      <c r="I1551" t="s">
        <v>152</v>
      </c>
      <c r="J1551" t="s">
        <v>6</v>
      </c>
      <c r="L1551">
        <v>522611</v>
      </c>
      <c r="M1551" s="99" t="s">
        <v>179</v>
      </c>
      <c r="N1551">
        <v>2</v>
      </c>
      <c r="O1551">
        <v>25</v>
      </c>
      <c r="P1551">
        <v>30.217700000000001</v>
      </c>
      <c r="Q1551" t="s">
        <v>352</v>
      </c>
      <c r="R1551">
        <v>1</v>
      </c>
      <c r="S1551">
        <v>39.303400000000003</v>
      </c>
      <c r="T1551">
        <v>7.0613000000000001</v>
      </c>
      <c r="U1551">
        <v>-1.2866894197952221</v>
      </c>
      <c r="V1551">
        <v>18.119500000000002</v>
      </c>
      <c r="W1551">
        <v>25.180800000000005</v>
      </c>
      <c r="X1551">
        <v>32.242100000000001</v>
      </c>
      <c r="Y1551">
        <v>46.364700000000006</v>
      </c>
      <c r="Z1551">
        <v>53.426000000000002</v>
      </c>
      <c r="AA1551">
        <v>60.487300000000005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 t="s">
        <v>462</v>
      </c>
      <c r="AL1551" t="s">
        <v>6</v>
      </c>
      <c r="AM1551" t="s">
        <v>1145</v>
      </c>
      <c r="AN1551" t="s">
        <v>1146</v>
      </c>
      <c r="AO1551" s="100">
        <v>46262.040405092594</v>
      </c>
      <c r="AP1551" t="s">
        <v>1147</v>
      </c>
      <c r="AQ1551" t="s">
        <v>4332</v>
      </c>
      <c r="AR1551" t="s">
        <v>1257</v>
      </c>
      <c r="AS1551" t="s">
        <v>1150</v>
      </c>
      <c r="AT1551" t="s">
        <v>4234</v>
      </c>
      <c r="AU1551">
        <v>25</v>
      </c>
      <c r="AV1551">
        <v>40.723823999999993</v>
      </c>
      <c r="AW1551">
        <v>8.0076935583995308</v>
      </c>
      <c r="AX1551">
        <v>19.663412646119706</v>
      </c>
      <c r="BB1551" t="s">
        <v>4620</v>
      </c>
      <c r="BD1551" s="98"/>
      <c r="BE1551" s="98"/>
      <c r="BF1551" t="s">
        <v>1152</v>
      </c>
      <c r="BG1551" t="s">
        <v>322</v>
      </c>
      <c r="BH1551" t="s">
        <v>1153</v>
      </c>
      <c r="BN1551" t="s">
        <v>1154</v>
      </c>
      <c r="BO1551">
        <v>2025</v>
      </c>
      <c r="BP1551" t="s">
        <v>966</v>
      </c>
      <c r="BZ1551" t="s">
        <v>1513</v>
      </c>
      <c r="CA1551" t="s">
        <v>1513</v>
      </c>
      <c r="CB1551" t="b">
        <v>0</v>
      </c>
      <c r="CC1551" t="b">
        <v>0</v>
      </c>
      <c r="CD1551" t="b">
        <v>0</v>
      </c>
      <c r="CE1551" t="b">
        <v>0</v>
      </c>
      <c r="CF1551" t="b">
        <v>0</v>
      </c>
    </row>
    <row r="1552" spans="1:84" x14ac:dyDescent="0.3">
      <c r="A1552" t="s">
        <v>4333</v>
      </c>
      <c r="B1552" t="s">
        <v>1143</v>
      </c>
      <c r="C1552" s="98">
        <v>45663</v>
      </c>
      <c r="D1552">
        <v>2025</v>
      </c>
      <c r="E1552">
        <v>1</v>
      </c>
      <c r="F1552">
        <v>1</v>
      </c>
      <c r="G1552" t="s">
        <v>1144</v>
      </c>
      <c r="H1552" t="s">
        <v>152</v>
      </c>
      <c r="I1552" t="s">
        <v>152</v>
      </c>
      <c r="J1552" t="s">
        <v>6</v>
      </c>
      <c r="L1552">
        <v>522611</v>
      </c>
      <c r="M1552" s="99" t="s">
        <v>180</v>
      </c>
      <c r="N1552">
        <v>3</v>
      </c>
      <c r="O1552">
        <v>1</v>
      </c>
      <c r="P1552">
        <v>36.721899999999998</v>
      </c>
      <c r="Q1552" t="s">
        <v>352</v>
      </c>
      <c r="R1552">
        <v>1</v>
      </c>
      <c r="S1552">
        <v>33.520699999999998</v>
      </c>
      <c r="T1552">
        <v>4.6557000000000004</v>
      </c>
      <c r="U1552">
        <v>0.68758725862920711</v>
      </c>
      <c r="V1552">
        <v>19.553599999999996</v>
      </c>
      <c r="W1552">
        <v>24.209299999999999</v>
      </c>
      <c r="X1552">
        <v>28.864999999999998</v>
      </c>
      <c r="Y1552">
        <v>38.176400000000001</v>
      </c>
      <c r="Z1552">
        <v>42.832099999999997</v>
      </c>
      <c r="AA1552">
        <v>47.4878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 t="s">
        <v>462</v>
      </c>
      <c r="AL1552" t="s">
        <v>6</v>
      </c>
      <c r="AM1552" t="s">
        <v>1145</v>
      </c>
      <c r="AN1552" t="s">
        <v>1146</v>
      </c>
      <c r="AO1552" s="100">
        <v>46262.040405092594</v>
      </c>
      <c r="AP1552" t="s">
        <v>1147</v>
      </c>
      <c r="AQ1552" t="s">
        <v>4334</v>
      </c>
      <c r="AR1552" t="s">
        <v>1149</v>
      </c>
      <c r="AS1552" t="s">
        <v>1150</v>
      </c>
      <c r="AT1552" t="s">
        <v>4234</v>
      </c>
      <c r="AU1552">
        <v>25</v>
      </c>
      <c r="AV1552">
        <v>33.550919999999998</v>
      </c>
      <c r="AW1552">
        <v>5.033293440184071</v>
      </c>
      <c r="AX1552">
        <v>15.001953568438873</v>
      </c>
      <c r="BB1552" t="s">
        <v>4620</v>
      </c>
      <c r="BD1552" s="98"/>
      <c r="BE1552" s="98"/>
      <c r="BF1552" t="s">
        <v>1152</v>
      </c>
      <c r="BG1552" t="s">
        <v>322</v>
      </c>
      <c r="BH1552" t="s">
        <v>1153</v>
      </c>
      <c r="BN1552" t="s">
        <v>1154</v>
      </c>
      <c r="BO1552">
        <v>2025</v>
      </c>
      <c r="BP1552" t="s">
        <v>966</v>
      </c>
      <c r="BZ1552" t="s">
        <v>1513</v>
      </c>
      <c r="CA1552" t="s">
        <v>1513</v>
      </c>
      <c r="CB1552" t="b">
        <v>0</v>
      </c>
      <c r="CC1552" t="b">
        <v>0</v>
      </c>
      <c r="CD1552" t="b">
        <v>0</v>
      </c>
      <c r="CE1552" t="b">
        <v>0</v>
      </c>
      <c r="CF1552" t="b">
        <v>0</v>
      </c>
    </row>
    <row r="1553" spans="1:84" x14ac:dyDescent="0.3">
      <c r="A1553" t="s">
        <v>4335</v>
      </c>
      <c r="B1553" t="s">
        <v>1157</v>
      </c>
      <c r="C1553" s="98">
        <v>45670</v>
      </c>
      <c r="D1553">
        <v>2025</v>
      </c>
      <c r="E1553">
        <v>1</v>
      </c>
      <c r="F1553">
        <v>1</v>
      </c>
      <c r="G1553" t="s">
        <v>1144</v>
      </c>
      <c r="H1553" t="s">
        <v>152</v>
      </c>
      <c r="I1553" t="s">
        <v>152</v>
      </c>
      <c r="J1553" t="s">
        <v>6</v>
      </c>
      <c r="L1553">
        <v>522611</v>
      </c>
      <c r="M1553" s="99" t="s">
        <v>180</v>
      </c>
      <c r="N1553">
        <v>3</v>
      </c>
      <c r="O1553">
        <v>2</v>
      </c>
      <c r="P1553">
        <v>33.018799999999999</v>
      </c>
      <c r="Q1553" t="s">
        <v>352</v>
      </c>
      <c r="R1553">
        <v>1</v>
      </c>
      <c r="S1553">
        <v>33.520699999999998</v>
      </c>
      <c r="T1553">
        <v>4.6557000000000004</v>
      </c>
      <c r="U1553">
        <v>-0.10780333784393305</v>
      </c>
      <c r="V1553">
        <v>19.553599999999996</v>
      </c>
      <c r="W1553">
        <v>24.209299999999999</v>
      </c>
      <c r="X1553">
        <v>28.864999999999998</v>
      </c>
      <c r="Y1553">
        <v>38.176400000000001</v>
      </c>
      <c r="Z1553">
        <v>42.832099999999997</v>
      </c>
      <c r="AA1553">
        <v>47.4878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 t="s">
        <v>462</v>
      </c>
      <c r="AL1553" t="s">
        <v>6</v>
      </c>
      <c r="AM1553" t="s">
        <v>1145</v>
      </c>
      <c r="AN1553" t="s">
        <v>1146</v>
      </c>
      <c r="AO1553" s="100">
        <v>46262.040405092594</v>
      </c>
      <c r="AP1553" t="s">
        <v>1147</v>
      </c>
      <c r="AQ1553" t="s">
        <v>4336</v>
      </c>
      <c r="AR1553" t="s">
        <v>1159</v>
      </c>
      <c r="AS1553" t="s">
        <v>1150</v>
      </c>
      <c r="AT1553" t="s">
        <v>4234</v>
      </c>
      <c r="AU1553">
        <v>25</v>
      </c>
      <c r="AV1553">
        <v>33.550919999999998</v>
      </c>
      <c r="AW1553">
        <v>5.033293440184071</v>
      </c>
      <c r="AX1553">
        <v>15.001953568438873</v>
      </c>
      <c r="BB1553" t="s">
        <v>4620</v>
      </c>
      <c r="BD1553" s="98"/>
      <c r="BE1553" s="98"/>
      <c r="BF1553" t="s">
        <v>1152</v>
      </c>
      <c r="BG1553" t="s">
        <v>322</v>
      </c>
      <c r="BH1553" t="s">
        <v>1153</v>
      </c>
      <c r="BN1553" t="s">
        <v>1154</v>
      </c>
      <c r="BO1553">
        <v>2025</v>
      </c>
      <c r="BP1553" t="s">
        <v>966</v>
      </c>
      <c r="BZ1553" t="s">
        <v>1513</v>
      </c>
      <c r="CA1553" t="s">
        <v>1513</v>
      </c>
      <c r="CB1553" t="b">
        <v>0</v>
      </c>
      <c r="CC1553" t="b">
        <v>0</v>
      </c>
      <c r="CD1553" t="b">
        <v>0</v>
      </c>
      <c r="CE1553" t="b">
        <v>0</v>
      </c>
      <c r="CF1553" t="b">
        <v>0</v>
      </c>
    </row>
    <row r="1554" spans="1:84" x14ac:dyDescent="0.3">
      <c r="A1554" t="s">
        <v>4337</v>
      </c>
      <c r="B1554" t="s">
        <v>1161</v>
      </c>
      <c r="C1554" s="98">
        <v>45677</v>
      </c>
      <c r="D1554">
        <v>2025</v>
      </c>
      <c r="E1554">
        <v>1</v>
      </c>
      <c r="F1554">
        <v>1</v>
      </c>
      <c r="G1554" t="s">
        <v>1144</v>
      </c>
      <c r="H1554" t="s">
        <v>152</v>
      </c>
      <c r="I1554" t="s">
        <v>152</v>
      </c>
      <c r="J1554" t="s">
        <v>6</v>
      </c>
      <c r="L1554">
        <v>522611</v>
      </c>
      <c r="M1554" s="99" t="s">
        <v>180</v>
      </c>
      <c r="N1554">
        <v>3</v>
      </c>
      <c r="O1554">
        <v>3</v>
      </c>
      <c r="P1554">
        <v>21.158899999999999</v>
      </c>
      <c r="Q1554" t="s">
        <v>352</v>
      </c>
      <c r="R1554">
        <v>1</v>
      </c>
      <c r="S1554">
        <v>33.520699999999998</v>
      </c>
      <c r="T1554">
        <v>4.6557000000000004</v>
      </c>
      <c r="U1554">
        <v>-2.6551968554674912</v>
      </c>
      <c r="V1554">
        <v>19.553599999999996</v>
      </c>
      <c r="W1554">
        <v>24.209299999999999</v>
      </c>
      <c r="X1554">
        <v>28.864999999999998</v>
      </c>
      <c r="Y1554">
        <v>38.176400000000001</v>
      </c>
      <c r="Z1554">
        <v>42.832099999999997</v>
      </c>
      <c r="AA1554">
        <v>47.4878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1</v>
      </c>
      <c r="AK1554" t="s">
        <v>462</v>
      </c>
      <c r="AL1554" t="s">
        <v>6</v>
      </c>
      <c r="AM1554" t="s">
        <v>1145</v>
      </c>
      <c r="AN1554" t="s">
        <v>1146</v>
      </c>
      <c r="AO1554" s="100">
        <v>46262.040405092594</v>
      </c>
      <c r="AP1554" t="s">
        <v>1147</v>
      </c>
      <c r="AQ1554" t="s">
        <v>4338</v>
      </c>
      <c r="AR1554" t="s">
        <v>1163</v>
      </c>
      <c r="AS1554" t="s">
        <v>1150</v>
      </c>
      <c r="AT1554" t="s">
        <v>4234</v>
      </c>
      <c r="AU1554">
        <v>25</v>
      </c>
      <c r="AV1554">
        <v>33.550919999999998</v>
      </c>
      <c r="AW1554">
        <v>5.033293440184071</v>
      </c>
      <c r="AX1554">
        <v>15.001953568438873</v>
      </c>
      <c r="BB1554" t="s">
        <v>4620</v>
      </c>
      <c r="BD1554" s="98"/>
      <c r="BE1554" s="98"/>
      <c r="BF1554" t="s">
        <v>1152</v>
      </c>
      <c r="BG1554" t="s">
        <v>322</v>
      </c>
      <c r="BH1554" t="s">
        <v>1153</v>
      </c>
      <c r="BN1554" t="s">
        <v>1154</v>
      </c>
      <c r="BO1554">
        <v>2025</v>
      </c>
      <c r="BP1554" t="s">
        <v>966</v>
      </c>
      <c r="BZ1554" t="s">
        <v>1513</v>
      </c>
      <c r="CA1554" t="s">
        <v>1513</v>
      </c>
      <c r="CB1554" t="b">
        <v>0</v>
      </c>
      <c r="CC1554" t="b">
        <v>0</v>
      </c>
      <c r="CD1554" t="b">
        <v>0</v>
      </c>
      <c r="CE1554" t="b">
        <v>0</v>
      </c>
      <c r="CF1554" t="b">
        <v>0</v>
      </c>
    </row>
    <row r="1555" spans="1:84" x14ac:dyDescent="0.3">
      <c r="A1555" t="s">
        <v>4339</v>
      </c>
      <c r="B1555" t="s">
        <v>1165</v>
      </c>
      <c r="C1555" s="98">
        <v>45684</v>
      </c>
      <c r="D1555">
        <v>2025</v>
      </c>
      <c r="E1555">
        <v>1</v>
      </c>
      <c r="F1555">
        <v>1</v>
      </c>
      <c r="G1555" t="s">
        <v>1144</v>
      </c>
      <c r="H1555" t="s">
        <v>152</v>
      </c>
      <c r="I1555" t="s">
        <v>152</v>
      </c>
      <c r="J1555" t="s">
        <v>6</v>
      </c>
      <c r="L1555">
        <v>522611</v>
      </c>
      <c r="M1555" s="99" t="s">
        <v>180</v>
      </c>
      <c r="N1555">
        <v>3</v>
      </c>
      <c r="O1555">
        <v>4</v>
      </c>
      <c r="P1555">
        <v>33.492100000000001</v>
      </c>
      <c r="Q1555" t="s">
        <v>352</v>
      </c>
      <c r="R1555">
        <v>1</v>
      </c>
      <c r="S1555">
        <v>33.520699999999998</v>
      </c>
      <c r="T1555">
        <v>4.6557000000000004</v>
      </c>
      <c r="U1555">
        <v>-6.1430074961868874E-3</v>
      </c>
      <c r="V1555">
        <v>19.553599999999996</v>
      </c>
      <c r="W1555">
        <v>24.209299999999999</v>
      </c>
      <c r="X1555">
        <v>28.864999999999998</v>
      </c>
      <c r="Y1555">
        <v>38.176400000000001</v>
      </c>
      <c r="Z1555">
        <v>42.832099999999997</v>
      </c>
      <c r="AA1555">
        <v>47.4878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 t="s">
        <v>462</v>
      </c>
      <c r="AL1555" t="s">
        <v>6</v>
      </c>
      <c r="AM1555" t="s">
        <v>1145</v>
      </c>
      <c r="AN1555" t="s">
        <v>1146</v>
      </c>
      <c r="AO1555" s="100">
        <v>46262.040405092594</v>
      </c>
      <c r="AP1555" t="s">
        <v>1147</v>
      </c>
      <c r="AQ1555" t="s">
        <v>4340</v>
      </c>
      <c r="AR1555" t="s">
        <v>1167</v>
      </c>
      <c r="AS1555" t="s">
        <v>1150</v>
      </c>
      <c r="AT1555" t="s">
        <v>4234</v>
      </c>
      <c r="AU1555">
        <v>25</v>
      </c>
      <c r="AV1555">
        <v>33.550919999999998</v>
      </c>
      <c r="AW1555">
        <v>5.033293440184071</v>
      </c>
      <c r="AX1555">
        <v>15.001953568438873</v>
      </c>
      <c r="BB1555" t="s">
        <v>4620</v>
      </c>
      <c r="BD1555" s="98"/>
      <c r="BE1555" s="98"/>
      <c r="BF1555" t="s">
        <v>1152</v>
      </c>
      <c r="BG1555" t="s">
        <v>322</v>
      </c>
      <c r="BH1555" t="s">
        <v>1153</v>
      </c>
      <c r="BN1555" t="s">
        <v>1154</v>
      </c>
      <c r="BO1555">
        <v>2025</v>
      </c>
      <c r="BP1555" t="s">
        <v>966</v>
      </c>
      <c r="BZ1555" t="s">
        <v>1513</v>
      </c>
      <c r="CA1555" t="s">
        <v>1513</v>
      </c>
      <c r="CB1555" t="b">
        <v>0</v>
      </c>
      <c r="CC1555" t="b">
        <v>0</v>
      </c>
      <c r="CD1555" t="b">
        <v>0</v>
      </c>
      <c r="CE1555" t="b">
        <v>0</v>
      </c>
      <c r="CF1555" t="b">
        <v>0</v>
      </c>
    </row>
    <row r="1556" spans="1:84" x14ac:dyDescent="0.3">
      <c r="A1556" t="s">
        <v>4341</v>
      </c>
      <c r="B1556" t="s">
        <v>1169</v>
      </c>
      <c r="C1556" s="98">
        <v>45691</v>
      </c>
      <c r="D1556">
        <v>2025</v>
      </c>
      <c r="E1556">
        <v>2</v>
      </c>
      <c r="F1556">
        <v>1</v>
      </c>
      <c r="G1556" t="s">
        <v>1170</v>
      </c>
      <c r="H1556" t="s">
        <v>152</v>
      </c>
      <c r="I1556" t="s">
        <v>152</v>
      </c>
      <c r="J1556" t="s">
        <v>6</v>
      </c>
      <c r="L1556">
        <v>522611</v>
      </c>
      <c r="M1556" s="99" t="s">
        <v>180</v>
      </c>
      <c r="N1556">
        <v>3</v>
      </c>
      <c r="O1556">
        <v>5</v>
      </c>
      <c r="P1556">
        <v>28.414300000000001</v>
      </c>
      <c r="Q1556" t="s">
        <v>352</v>
      </c>
      <c r="R1556">
        <v>1</v>
      </c>
      <c r="S1556">
        <v>33.520699999999998</v>
      </c>
      <c r="T1556">
        <v>4.6557000000000004</v>
      </c>
      <c r="U1556">
        <v>-1.0968060656829257</v>
      </c>
      <c r="V1556">
        <v>19.553599999999996</v>
      </c>
      <c r="W1556">
        <v>24.209299999999999</v>
      </c>
      <c r="X1556">
        <v>28.864999999999998</v>
      </c>
      <c r="Y1556">
        <v>38.176400000000001</v>
      </c>
      <c r="Z1556">
        <v>42.832099999999997</v>
      </c>
      <c r="AA1556">
        <v>47.4878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 t="s">
        <v>462</v>
      </c>
      <c r="AL1556" t="s">
        <v>6</v>
      </c>
      <c r="AM1556" t="s">
        <v>1145</v>
      </c>
      <c r="AN1556" t="s">
        <v>1146</v>
      </c>
      <c r="AO1556" s="100">
        <v>46262.040405092594</v>
      </c>
      <c r="AP1556" t="s">
        <v>1147</v>
      </c>
      <c r="AQ1556" t="s">
        <v>4342</v>
      </c>
      <c r="AR1556" t="s">
        <v>1172</v>
      </c>
      <c r="AS1556" t="s">
        <v>1150</v>
      </c>
      <c r="AT1556" t="s">
        <v>4234</v>
      </c>
      <c r="AU1556">
        <v>25</v>
      </c>
      <c r="AV1556">
        <v>33.550919999999998</v>
      </c>
      <c r="AW1556">
        <v>5.033293440184071</v>
      </c>
      <c r="AX1556">
        <v>15.001953568438873</v>
      </c>
      <c r="BB1556" t="s">
        <v>4620</v>
      </c>
      <c r="BD1556" s="98"/>
      <c r="BE1556" s="98"/>
      <c r="BF1556" t="s">
        <v>1152</v>
      </c>
      <c r="BG1556" t="s">
        <v>322</v>
      </c>
      <c r="BH1556" t="s">
        <v>1153</v>
      </c>
      <c r="BN1556" t="s">
        <v>1154</v>
      </c>
      <c r="BO1556">
        <v>2025</v>
      </c>
      <c r="BP1556" t="s">
        <v>966</v>
      </c>
      <c r="BZ1556" t="s">
        <v>1513</v>
      </c>
      <c r="CA1556" t="s">
        <v>1513</v>
      </c>
      <c r="CB1556" t="b">
        <v>0</v>
      </c>
      <c r="CC1556" t="b">
        <v>0</v>
      </c>
      <c r="CD1556" t="b">
        <v>0</v>
      </c>
      <c r="CE1556" t="b">
        <v>0</v>
      </c>
      <c r="CF1556" t="b">
        <v>0</v>
      </c>
    </row>
    <row r="1557" spans="1:84" x14ac:dyDescent="0.3">
      <c r="A1557" t="s">
        <v>4343</v>
      </c>
      <c r="B1557" t="s">
        <v>1174</v>
      </c>
      <c r="C1557" s="98">
        <v>45698</v>
      </c>
      <c r="D1557">
        <v>2025</v>
      </c>
      <c r="E1557">
        <v>2</v>
      </c>
      <c r="F1557">
        <v>1</v>
      </c>
      <c r="G1557" t="s">
        <v>1170</v>
      </c>
      <c r="H1557" t="s">
        <v>152</v>
      </c>
      <c r="I1557" t="s">
        <v>152</v>
      </c>
      <c r="J1557" t="s">
        <v>6</v>
      </c>
      <c r="L1557">
        <v>522611</v>
      </c>
      <c r="M1557" s="99" t="s">
        <v>180</v>
      </c>
      <c r="N1557">
        <v>3</v>
      </c>
      <c r="O1557">
        <v>6</v>
      </c>
      <c r="P1557">
        <v>31.393999999999998</v>
      </c>
      <c r="Q1557" t="s">
        <v>352</v>
      </c>
      <c r="R1557">
        <v>1</v>
      </c>
      <c r="S1557">
        <v>33.520699999999998</v>
      </c>
      <c r="T1557">
        <v>4.6557000000000004</v>
      </c>
      <c r="U1557">
        <v>-0.45679489657838768</v>
      </c>
      <c r="V1557">
        <v>19.553599999999996</v>
      </c>
      <c r="W1557">
        <v>24.209299999999999</v>
      </c>
      <c r="X1557">
        <v>28.864999999999998</v>
      </c>
      <c r="Y1557">
        <v>38.176400000000001</v>
      </c>
      <c r="Z1557">
        <v>42.832099999999997</v>
      </c>
      <c r="AA1557">
        <v>47.4878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 t="s">
        <v>462</v>
      </c>
      <c r="AL1557" t="s">
        <v>6</v>
      </c>
      <c r="AM1557" t="s">
        <v>1145</v>
      </c>
      <c r="AN1557" t="s">
        <v>1146</v>
      </c>
      <c r="AO1557" s="100">
        <v>46262.040405092594</v>
      </c>
      <c r="AP1557" t="s">
        <v>1147</v>
      </c>
      <c r="AQ1557" t="s">
        <v>4344</v>
      </c>
      <c r="AR1557" t="s">
        <v>1176</v>
      </c>
      <c r="AS1557" t="s">
        <v>1150</v>
      </c>
      <c r="AT1557" t="s">
        <v>4234</v>
      </c>
      <c r="AU1557">
        <v>25</v>
      </c>
      <c r="AV1557">
        <v>33.550919999999998</v>
      </c>
      <c r="AW1557">
        <v>5.033293440184071</v>
      </c>
      <c r="AX1557">
        <v>15.001953568438873</v>
      </c>
      <c r="BB1557" t="s">
        <v>4620</v>
      </c>
      <c r="BD1557" s="98"/>
      <c r="BE1557" s="98"/>
      <c r="BF1557" t="s">
        <v>1152</v>
      </c>
      <c r="BG1557" t="s">
        <v>322</v>
      </c>
      <c r="BH1557" t="s">
        <v>1153</v>
      </c>
      <c r="BN1557" t="s">
        <v>1154</v>
      </c>
      <c r="BO1557">
        <v>2025</v>
      </c>
      <c r="BP1557" t="s">
        <v>966</v>
      </c>
      <c r="BZ1557" t="s">
        <v>1513</v>
      </c>
      <c r="CA1557" t="s">
        <v>1513</v>
      </c>
      <c r="CB1557" t="b">
        <v>0</v>
      </c>
      <c r="CC1557" t="b">
        <v>0</v>
      </c>
      <c r="CD1557" t="b">
        <v>0</v>
      </c>
      <c r="CE1557" t="b">
        <v>0</v>
      </c>
      <c r="CF1557" t="b">
        <v>0</v>
      </c>
    </row>
    <row r="1558" spans="1:84" x14ac:dyDescent="0.3">
      <c r="A1558" t="s">
        <v>4345</v>
      </c>
      <c r="B1558" t="s">
        <v>1178</v>
      </c>
      <c r="C1558" s="98">
        <v>45705</v>
      </c>
      <c r="D1558">
        <v>2025</v>
      </c>
      <c r="E1558">
        <v>2</v>
      </c>
      <c r="F1558">
        <v>1</v>
      </c>
      <c r="G1558" t="s">
        <v>1170</v>
      </c>
      <c r="H1558" t="s">
        <v>152</v>
      </c>
      <c r="I1558" t="s">
        <v>152</v>
      </c>
      <c r="J1558" t="s">
        <v>6</v>
      </c>
      <c r="L1558">
        <v>522611</v>
      </c>
      <c r="M1558" s="99" t="s">
        <v>180</v>
      </c>
      <c r="N1558">
        <v>3</v>
      </c>
      <c r="O1558">
        <v>7</v>
      </c>
      <c r="P1558">
        <v>40.884</v>
      </c>
      <c r="Q1558" t="s">
        <v>352</v>
      </c>
      <c r="R1558">
        <v>1</v>
      </c>
      <c r="S1558">
        <v>33.520699999999998</v>
      </c>
      <c r="T1558">
        <v>4.6557000000000004</v>
      </c>
      <c r="U1558">
        <v>1.581566681702</v>
      </c>
      <c r="V1558">
        <v>19.553599999999996</v>
      </c>
      <c r="W1558">
        <v>24.209299999999999</v>
      </c>
      <c r="X1558">
        <v>28.864999999999998</v>
      </c>
      <c r="Y1558">
        <v>38.176400000000001</v>
      </c>
      <c r="Z1558">
        <v>42.832099999999997</v>
      </c>
      <c r="AA1558">
        <v>47.4878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 t="s">
        <v>462</v>
      </c>
      <c r="AL1558" t="s">
        <v>6</v>
      </c>
      <c r="AM1558" t="s">
        <v>1145</v>
      </c>
      <c r="AN1558" t="s">
        <v>1146</v>
      </c>
      <c r="AO1558" s="100">
        <v>46262.040405092594</v>
      </c>
      <c r="AP1558" t="s">
        <v>1147</v>
      </c>
      <c r="AQ1558" t="s">
        <v>4346</v>
      </c>
      <c r="AR1558" t="s">
        <v>1180</v>
      </c>
      <c r="AS1558" t="s">
        <v>1150</v>
      </c>
      <c r="AT1558" t="s">
        <v>4234</v>
      </c>
      <c r="AU1558">
        <v>25</v>
      </c>
      <c r="AV1558">
        <v>33.550919999999998</v>
      </c>
      <c r="AW1558">
        <v>5.033293440184071</v>
      </c>
      <c r="AX1558">
        <v>15.001953568438873</v>
      </c>
      <c r="BB1558" t="s">
        <v>4620</v>
      </c>
      <c r="BD1558" s="98"/>
      <c r="BE1558" s="98"/>
      <c r="BF1558" t="s">
        <v>1152</v>
      </c>
      <c r="BG1558" t="s">
        <v>322</v>
      </c>
      <c r="BH1558" t="s">
        <v>1153</v>
      </c>
      <c r="BN1558" t="s">
        <v>1154</v>
      </c>
      <c r="BO1558">
        <v>2025</v>
      </c>
      <c r="BP1558" t="s">
        <v>966</v>
      </c>
      <c r="BZ1558" t="s">
        <v>1513</v>
      </c>
      <c r="CA1558" t="s">
        <v>1513</v>
      </c>
      <c r="CB1558" t="b">
        <v>0</v>
      </c>
      <c r="CC1558" t="b">
        <v>0</v>
      </c>
      <c r="CD1558" t="b">
        <v>0</v>
      </c>
      <c r="CE1558" t="b">
        <v>0</v>
      </c>
      <c r="CF1558" t="b">
        <v>0</v>
      </c>
    </row>
    <row r="1559" spans="1:84" x14ac:dyDescent="0.3">
      <c r="A1559" t="s">
        <v>4347</v>
      </c>
      <c r="B1559" t="s">
        <v>1182</v>
      </c>
      <c r="C1559" s="98">
        <v>45712</v>
      </c>
      <c r="D1559">
        <v>2025</v>
      </c>
      <c r="E1559">
        <v>2</v>
      </c>
      <c r="F1559">
        <v>1</v>
      </c>
      <c r="G1559" t="s">
        <v>1170</v>
      </c>
      <c r="H1559" t="s">
        <v>152</v>
      </c>
      <c r="I1559" t="s">
        <v>152</v>
      </c>
      <c r="J1559" t="s">
        <v>6</v>
      </c>
      <c r="L1559">
        <v>522611</v>
      </c>
      <c r="M1559" s="99" t="s">
        <v>180</v>
      </c>
      <c r="N1559">
        <v>3</v>
      </c>
      <c r="O1559">
        <v>8</v>
      </c>
      <c r="P1559">
        <v>28.173200000000001</v>
      </c>
      <c r="Q1559" t="s">
        <v>352</v>
      </c>
      <c r="R1559">
        <v>1</v>
      </c>
      <c r="S1559">
        <v>33.520699999999998</v>
      </c>
      <c r="T1559">
        <v>4.6557000000000004</v>
      </c>
      <c r="U1559">
        <v>-1.1485920484567296</v>
      </c>
      <c r="V1559">
        <v>19.553599999999996</v>
      </c>
      <c r="W1559">
        <v>24.209299999999999</v>
      </c>
      <c r="X1559">
        <v>28.864999999999998</v>
      </c>
      <c r="Y1559">
        <v>38.176400000000001</v>
      </c>
      <c r="Z1559">
        <v>42.832099999999997</v>
      </c>
      <c r="AA1559">
        <v>47.4878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 t="s">
        <v>462</v>
      </c>
      <c r="AL1559" t="s">
        <v>6</v>
      </c>
      <c r="AM1559" t="s">
        <v>1145</v>
      </c>
      <c r="AN1559" t="s">
        <v>1146</v>
      </c>
      <c r="AO1559" s="100">
        <v>46262.040405092594</v>
      </c>
      <c r="AP1559" t="s">
        <v>1147</v>
      </c>
      <c r="AQ1559" t="s">
        <v>4348</v>
      </c>
      <c r="AR1559" t="s">
        <v>1184</v>
      </c>
      <c r="AS1559" t="s">
        <v>1150</v>
      </c>
      <c r="AT1559" t="s">
        <v>4234</v>
      </c>
      <c r="AU1559">
        <v>25</v>
      </c>
      <c r="AV1559">
        <v>33.550919999999998</v>
      </c>
      <c r="AW1559">
        <v>5.033293440184071</v>
      </c>
      <c r="AX1559">
        <v>15.001953568438873</v>
      </c>
      <c r="BB1559" t="s">
        <v>4620</v>
      </c>
      <c r="BD1559" s="98"/>
      <c r="BE1559" s="98"/>
      <c r="BF1559" t="s">
        <v>1152</v>
      </c>
      <c r="BG1559" t="s">
        <v>322</v>
      </c>
      <c r="BH1559" t="s">
        <v>1153</v>
      </c>
      <c r="BN1559" t="s">
        <v>1154</v>
      </c>
      <c r="BO1559">
        <v>2025</v>
      </c>
      <c r="BP1559" t="s">
        <v>966</v>
      </c>
      <c r="BZ1559" t="s">
        <v>1513</v>
      </c>
      <c r="CA1559" t="s">
        <v>1513</v>
      </c>
      <c r="CB1559" t="b">
        <v>0</v>
      </c>
      <c r="CC1559" t="b">
        <v>0</v>
      </c>
      <c r="CD1559" t="b">
        <v>0</v>
      </c>
      <c r="CE1559" t="b">
        <v>0</v>
      </c>
      <c r="CF1559" t="b">
        <v>0</v>
      </c>
    </row>
    <row r="1560" spans="1:84" x14ac:dyDescent="0.3">
      <c r="A1560" t="s">
        <v>4349</v>
      </c>
      <c r="B1560" t="s">
        <v>1186</v>
      </c>
      <c r="C1560" s="98">
        <v>45719</v>
      </c>
      <c r="D1560">
        <v>2025</v>
      </c>
      <c r="E1560">
        <v>3</v>
      </c>
      <c r="F1560">
        <v>1</v>
      </c>
      <c r="G1560" t="s">
        <v>1187</v>
      </c>
      <c r="H1560" t="s">
        <v>152</v>
      </c>
      <c r="I1560" t="s">
        <v>152</v>
      </c>
      <c r="J1560" t="s">
        <v>6</v>
      </c>
      <c r="L1560">
        <v>522611</v>
      </c>
      <c r="M1560" s="99" t="s">
        <v>180</v>
      </c>
      <c r="N1560">
        <v>3</v>
      </c>
      <c r="O1560">
        <v>9</v>
      </c>
      <c r="P1560">
        <v>28.446200000000001</v>
      </c>
      <c r="Q1560" t="s">
        <v>352</v>
      </c>
      <c r="R1560">
        <v>1</v>
      </c>
      <c r="S1560">
        <v>33.520699999999998</v>
      </c>
      <c r="T1560">
        <v>4.6557000000000004</v>
      </c>
      <c r="U1560">
        <v>-1.0899542496294856</v>
      </c>
      <c r="V1560">
        <v>19.553599999999996</v>
      </c>
      <c r="W1560">
        <v>24.209299999999999</v>
      </c>
      <c r="X1560">
        <v>28.864999999999998</v>
      </c>
      <c r="Y1560">
        <v>38.176400000000001</v>
      </c>
      <c r="Z1560">
        <v>42.832099999999997</v>
      </c>
      <c r="AA1560">
        <v>47.4878</v>
      </c>
      <c r="AE1560">
        <v>0</v>
      </c>
      <c r="AF1560">
        <v>0</v>
      </c>
      <c r="AG1560">
        <v>1</v>
      </c>
      <c r="AH1560">
        <v>0</v>
      </c>
      <c r="AI1560">
        <v>0</v>
      </c>
      <c r="AJ1560">
        <v>0</v>
      </c>
      <c r="AK1560" t="s">
        <v>1213</v>
      </c>
      <c r="AL1560" t="s">
        <v>6</v>
      </c>
      <c r="AM1560" t="s">
        <v>1145</v>
      </c>
      <c r="AN1560" t="s">
        <v>1146</v>
      </c>
      <c r="AO1560" s="100">
        <v>46262.040405092594</v>
      </c>
      <c r="AP1560" t="s">
        <v>1147</v>
      </c>
      <c r="AQ1560" t="s">
        <v>4350</v>
      </c>
      <c r="AR1560" t="s">
        <v>1189</v>
      </c>
      <c r="AS1560" t="s">
        <v>1150</v>
      </c>
      <c r="AT1560" t="s">
        <v>4234</v>
      </c>
      <c r="AU1560">
        <v>25</v>
      </c>
      <c r="AV1560">
        <v>33.550919999999998</v>
      </c>
      <c r="AW1560">
        <v>5.033293440184071</v>
      </c>
      <c r="AX1560">
        <v>15.001953568438873</v>
      </c>
      <c r="BB1560" t="s">
        <v>4620</v>
      </c>
      <c r="BD1560" s="98"/>
      <c r="BE1560" s="98"/>
      <c r="BF1560" t="s">
        <v>1152</v>
      </c>
      <c r="BG1560" t="s">
        <v>322</v>
      </c>
      <c r="BH1560" t="s">
        <v>1153</v>
      </c>
      <c r="BN1560" t="s">
        <v>1154</v>
      </c>
      <c r="BO1560">
        <v>2025</v>
      </c>
      <c r="BP1560" t="s">
        <v>966</v>
      </c>
      <c r="BZ1560" t="s">
        <v>1513</v>
      </c>
      <c r="CA1560" t="s">
        <v>1513</v>
      </c>
      <c r="CB1560" t="b">
        <v>0</v>
      </c>
      <c r="CC1560" t="b">
        <v>0</v>
      </c>
      <c r="CD1560" t="b">
        <v>0</v>
      </c>
      <c r="CE1560" t="b">
        <v>0</v>
      </c>
      <c r="CF1560" t="b">
        <v>0</v>
      </c>
    </row>
    <row r="1561" spans="1:84" x14ac:dyDescent="0.3">
      <c r="A1561" t="s">
        <v>4351</v>
      </c>
      <c r="B1561" t="s">
        <v>1191</v>
      </c>
      <c r="C1561" s="98">
        <v>45726</v>
      </c>
      <c r="D1561">
        <v>2025</v>
      </c>
      <c r="E1561">
        <v>3</v>
      </c>
      <c r="F1561">
        <v>1</v>
      </c>
      <c r="G1561" t="s">
        <v>1187</v>
      </c>
      <c r="H1561" t="s">
        <v>152</v>
      </c>
      <c r="I1561" t="s">
        <v>152</v>
      </c>
      <c r="J1561" t="s">
        <v>6</v>
      </c>
      <c r="L1561">
        <v>522611</v>
      </c>
      <c r="M1561" s="99" t="s">
        <v>180</v>
      </c>
      <c r="N1561">
        <v>3</v>
      </c>
      <c r="O1561">
        <v>10</v>
      </c>
      <c r="P1561">
        <v>40.415300000000002</v>
      </c>
      <c r="Q1561" t="s">
        <v>352</v>
      </c>
      <c r="R1561">
        <v>1</v>
      </c>
      <c r="S1561">
        <v>33.520699999999998</v>
      </c>
      <c r="T1561">
        <v>4.6557000000000004</v>
      </c>
      <c r="U1561">
        <v>1.48089438752497</v>
      </c>
      <c r="V1561">
        <v>19.553599999999996</v>
      </c>
      <c r="W1561">
        <v>24.209299999999999</v>
      </c>
      <c r="X1561">
        <v>28.864999999999998</v>
      </c>
      <c r="Y1561">
        <v>38.176400000000001</v>
      </c>
      <c r="Z1561">
        <v>42.832099999999997</v>
      </c>
      <c r="AA1561">
        <v>47.4878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 t="s">
        <v>462</v>
      </c>
      <c r="AL1561" t="s">
        <v>6</v>
      </c>
      <c r="AM1561" t="s">
        <v>1145</v>
      </c>
      <c r="AN1561" t="s">
        <v>1146</v>
      </c>
      <c r="AO1561" s="100">
        <v>46262.040405092594</v>
      </c>
      <c r="AP1561" t="s">
        <v>1147</v>
      </c>
      <c r="AQ1561" t="s">
        <v>4352</v>
      </c>
      <c r="AR1561" t="s">
        <v>1193</v>
      </c>
      <c r="AS1561" t="s">
        <v>1150</v>
      </c>
      <c r="AT1561" t="s">
        <v>4234</v>
      </c>
      <c r="AU1561">
        <v>25</v>
      </c>
      <c r="AV1561">
        <v>33.550919999999998</v>
      </c>
      <c r="AW1561">
        <v>5.033293440184071</v>
      </c>
      <c r="AX1561">
        <v>15.001953568438873</v>
      </c>
      <c r="BB1561" t="s">
        <v>4620</v>
      </c>
      <c r="BD1561" s="98"/>
      <c r="BE1561" s="98"/>
      <c r="BF1561" t="s">
        <v>1152</v>
      </c>
      <c r="BG1561" t="s">
        <v>322</v>
      </c>
      <c r="BH1561" t="s">
        <v>1153</v>
      </c>
      <c r="BN1561" t="s">
        <v>1154</v>
      </c>
      <c r="BO1561">
        <v>2025</v>
      </c>
      <c r="BP1561" t="s">
        <v>966</v>
      </c>
      <c r="BZ1561" t="s">
        <v>1513</v>
      </c>
      <c r="CA1561" t="s">
        <v>1513</v>
      </c>
      <c r="CB1561" t="b">
        <v>0</v>
      </c>
      <c r="CC1561" t="b">
        <v>0</v>
      </c>
      <c r="CD1561" t="b">
        <v>0</v>
      </c>
      <c r="CE1561" t="b">
        <v>0</v>
      </c>
      <c r="CF1561" t="b">
        <v>0</v>
      </c>
    </row>
    <row r="1562" spans="1:84" x14ac:dyDescent="0.3">
      <c r="A1562" t="s">
        <v>4353</v>
      </c>
      <c r="B1562" t="s">
        <v>1195</v>
      </c>
      <c r="C1562" s="98">
        <v>45733</v>
      </c>
      <c r="D1562">
        <v>2025</v>
      </c>
      <c r="E1562">
        <v>3</v>
      </c>
      <c r="F1562">
        <v>1</v>
      </c>
      <c r="G1562" t="s">
        <v>1187</v>
      </c>
      <c r="H1562" t="s">
        <v>152</v>
      </c>
      <c r="I1562" t="s">
        <v>152</v>
      </c>
      <c r="J1562" t="s">
        <v>6</v>
      </c>
      <c r="L1562">
        <v>522611</v>
      </c>
      <c r="M1562" s="99" t="s">
        <v>180</v>
      </c>
      <c r="N1562">
        <v>3</v>
      </c>
      <c r="O1562">
        <v>11</v>
      </c>
      <c r="P1562">
        <v>34.075600000000001</v>
      </c>
      <c r="Q1562" t="s">
        <v>352</v>
      </c>
      <c r="R1562">
        <v>1</v>
      </c>
      <c r="S1562">
        <v>33.520699999999998</v>
      </c>
      <c r="T1562">
        <v>4.6557000000000004</v>
      </c>
      <c r="U1562">
        <v>0.11918723285435133</v>
      </c>
      <c r="V1562">
        <v>19.553599999999996</v>
      </c>
      <c r="W1562">
        <v>24.209299999999999</v>
      </c>
      <c r="X1562">
        <v>28.864999999999998</v>
      </c>
      <c r="Y1562">
        <v>38.176400000000001</v>
      </c>
      <c r="Z1562">
        <v>42.832099999999997</v>
      </c>
      <c r="AA1562">
        <v>47.4878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 t="s">
        <v>462</v>
      </c>
      <c r="AL1562" t="s">
        <v>6</v>
      </c>
      <c r="AM1562" t="s">
        <v>1145</v>
      </c>
      <c r="AN1562" t="s">
        <v>1146</v>
      </c>
      <c r="AO1562" s="100">
        <v>46262.040405092594</v>
      </c>
      <c r="AP1562" t="s">
        <v>1147</v>
      </c>
      <c r="AQ1562" t="s">
        <v>4354</v>
      </c>
      <c r="AR1562" t="s">
        <v>1197</v>
      </c>
      <c r="AS1562" t="s">
        <v>1150</v>
      </c>
      <c r="AT1562" t="s">
        <v>4234</v>
      </c>
      <c r="AU1562">
        <v>25</v>
      </c>
      <c r="AV1562">
        <v>33.550919999999998</v>
      </c>
      <c r="AW1562">
        <v>5.033293440184071</v>
      </c>
      <c r="AX1562">
        <v>15.001953568438873</v>
      </c>
      <c r="BB1562" t="s">
        <v>4620</v>
      </c>
      <c r="BD1562" s="98"/>
      <c r="BE1562" s="98"/>
      <c r="BF1562" t="s">
        <v>1152</v>
      </c>
      <c r="BG1562" t="s">
        <v>322</v>
      </c>
      <c r="BH1562" t="s">
        <v>1153</v>
      </c>
      <c r="BN1562" t="s">
        <v>1154</v>
      </c>
      <c r="BO1562">
        <v>2025</v>
      </c>
      <c r="BP1562" t="s">
        <v>966</v>
      </c>
      <c r="BZ1562" t="s">
        <v>1513</v>
      </c>
      <c r="CA1562" t="s">
        <v>1513</v>
      </c>
      <c r="CB1562" t="b">
        <v>0</v>
      </c>
      <c r="CC1562" t="b">
        <v>0</v>
      </c>
      <c r="CD1562" t="b">
        <v>0</v>
      </c>
      <c r="CE1562" t="b">
        <v>0</v>
      </c>
      <c r="CF1562" t="b">
        <v>0</v>
      </c>
    </row>
    <row r="1563" spans="1:84" x14ac:dyDescent="0.3">
      <c r="A1563" t="s">
        <v>4355</v>
      </c>
      <c r="B1563" t="s">
        <v>1199</v>
      </c>
      <c r="C1563" s="98">
        <v>45740</v>
      </c>
      <c r="D1563">
        <v>2025</v>
      </c>
      <c r="E1563">
        <v>3</v>
      </c>
      <c r="F1563">
        <v>1</v>
      </c>
      <c r="G1563" t="s">
        <v>1187</v>
      </c>
      <c r="H1563" t="s">
        <v>152</v>
      </c>
      <c r="I1563" t="s">
        <v>152</v>
      </c>
      <c r="J1563" t="s">
        <v>6</v>
      </c>
      <c r="L1563">
        <v>522611</v>
      </c>
      <c r="M1563" s="99" t="s">
        <v>180</v>
      </c>
      <c r="N1563">
        <v>3</v>
      </c>
      <c r="O1563">
        <v>12</v>
      </c>
      <c r="P1563">
        <v>40.898800000000001</v>
      </c>
      <c r="Q1563" t="s">
        <v>352</v>
      </c>
      <c r="R1563">
        <v>1</v>
      </c>
      <c r="S1563">
        <v>33.520699999999998</v>
      </c>
      <c r="T1563">
        <v>4.6557000000000004</v>
      </c>
      <c r="U1563">
        <v>1.5847455806860413</v>
      </c>
      <c r="V1563">
        <v>19.553599999999996</v>
      </c>
      <c r="W1563">
        <v>24.209299999999999</v>
      </c>
      <c r="X1563">
        <v>28.864999999999998</v>
      </c>
      <c r="Y1563">
        <v>38.176400000000001</v>
      </c>
      <c r="Z1563">
        <v>42.832099999999997</v>
      </c>
      <c r="AA1563">
        <v>47.4878</v>
      </c>
      <c r="AE1563">
        <v>0</v>
      </c>
      <c r="AF1563">
        <v>0</v>
      </c>
      <c r="AG1563">
        <v>0</v>
      </c>
      <c r="AH1563">
        <v>0</v>
      </c>
      <c r="AI1563">
        <v>1</v>
      </c>
      <c r="AJ1563">
        <v>0</v>
      </c>
      <c r="AK1563" t="s">
        <v>1213</v>
      </c>
      <c r="AL1563" t="s">
        <v>6</v>
      </c>
      <c r="AM1563" t="s">
        <v>1145</v>
      </c>
      <c r="AN1563" t="s">
        <v>1146</v>
      </c>
      <c r="AO1563" s="100">
        <v>46262.040405092594</v>
      </c>
      <c r="AP1563" t="s">
        <v>1147</v>
      </c>
      <c r="AQ1563" t="s">
        <v>4356</v>
      </c>
      <c r="AR1563" t="s">
        <v>1201</v>
      </c>
      <c r="AS1563" t="s">
        <v>1150</v>
      </c>
      <c r="AT1563" t="s">
        <v>4234</v>
      </c>
      <c r="AU1563">
        <v>25</v>
      </c>
      <c r="AV1563">
        <v>33.550919999999998</v>
      </c>
      <c r="AW1563">
        <v>5.033293440184071</v>
      </c>
      <c r="AX1563">
        <v>15.001953568438873</v>
      </c>
      <c r="BB1563" t="s">
        <v>4620</v>
      </c>
      <c r="BD1563" s="98"/>
      <c r="BE1563" s="98"/>
      <c r="BF1563" t="s">
        <v>1152</v>
      </c>
      <c r="BG1563" t="s">
        <v>322</v>
      </c>
      <c r="BH1563" t="s">
        <v>1153</v>
      </c>
      <c r="BN1563" t="s">
        <v>1154</v>
      </c>
      <c r="BO1563">
        <v>2025</v>
      </c>
      <c r="BP1563" t="s">
        <v>966</v>
      </c>
      <c r="BZ1563" t="s">
        <v>1513</v>
      </c>
      <c r="CA1563" t="s">
        <v>1513</v>
      </c>
      <c r="CB1563" t="b">
        <v>0</v>
      </c>
      <c r="CC1563" t="b">
        <v>0</v>
      </c>
      <c r="CD1563" t="b">
        <v>0</v>
      </c>
      <c r="CE1563" t="b">
        <v>0</v>
      </c>
      <c r="CF1563" t="b">
        <v>0</v>
      </c>
    </row>
    <row r="1564" spans="1:84" x14ac:dyDescent="0.3">
      <c r="A1564" t="s">
        <v>4357</v>
      </c>
      <c r="B1564" t="s">
        <v>1203</v>
      </c>
      <c r="C1564" s="98">
        <v>45747</v>
      </c>
      <c r="D1564">
        <v>2025</v>
      </c>
      <c r="E1564">
        <v>3</v>
      </c>
      <c r="F1564">
        <v>1</v>
      </c>
      <c r="G1564" t="s">
        <v>1187</v>
      </c>
      <c r="H1564" t="s">
        <v>152</v>
      </c>
      <c r="I1564" t="s">
        <v>152</v>
      </c>
      <c r="J1564" t="s">
        <v>6</v>
      </c>
      <c r="L1564">
        <v>522611</v>
      </c>
      <c r="M1564" s="99" t="s">
        <v>180</v>
      </c>
      <c r="N1564">
        <v>3</v>
      </c>
      <c r="O1564">
        <v>13</v>
      </c>
      <c r="P1564">
        <v>35.069200000000002</v>
      </c>
      <c r="Q1564" t="s">
        <v>352</v>
      </c>
      <c r="R1564">
        <v>1</v>
      </c>
      <c r="S1564">
        <v>33.520699999999998</v>
      </c>
      <c r="T1564">
        <v>4.6557000000000004</v>
      </c>
      <c r="U1564">
        <v>0.33260304572889232</v>
      </c>
      <c r="V1564">
        <v>19.553599999999996</v>
      </c>
      <c r="W1564">
        <v>24.209299999999999</v>
      </c>
      <c r="X1564">
        <v>28.864999999999998</v>
      </c>
      <c r="Y1564">
        <v>38.176400000000001</v>
      </c>
      <c r="Z1564">
        <v>42.832099999999997</v>
      </c>
      <c r="AA1564">
        <v>47.4878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 t="s">
        <v>462</v>
      </c>
      <c r="AL1564" t="s">
        <v>6</v>
      </c>
      <c r="AM1564" t="s">
        <v>1145</v>
      </c>
      <c r="AN1564" t="s">
        <v>1146</v>
      </c>
      <c r="AO1564" s="100">
        <v>46262.040405092594</v>
      </c>
      <c r="AP1564" t="s">
        <v>1147</v>
      </c>
      <c r="AQ1564" t="s">
        <v>4358</v>
      </c>
      <c r="AR1564" t="s">
        <v>1205</v>
      </c>
      <c r="AS1564" t="s">
        <v>1150</v>
      </c>
      <c r="AT1564" t="s">
        <v>4234</v>
      </c>
      <c r="AU1564">
        <v>25</v>
      </c>
      <c r="AV1564">
        <v>33.550919999999998</v>
      </c>
      <c r="AW1564">
        <v>5.033293440184071</v>
      </c>
      <c r="AX1564">
        <v>15.001953568438873</v>
      </c>
      <c r="BB1564" t="s">
        <v>4620</v>
      </c>
      <c r="BD1564" s="98"/>
      <c r="BE1564" s="98"/>
      <c r="BF1564" t="s">
        <v>1152</v>
      </c>
      <c r="BG1564" t="s">
        <v>322</v>
      </c>
      <c r="BH1564" t="s">
        <v>1153</v>
      </c>
      <c r="BN1564" t="s">
        <v>1154</v>
      </c>
      <c r="BO1564">
        <v>2025</v>
      </c>
      <c r="BP1564" t="s">
        <v>966</v>
      </c>
      <c r="BZ1564" t="s">
        <v>1513</v>
      </c>
      <c r="CA1564" t="s">
        <v>1513</v>
      </c>
      <c r="CB1564" t="b">
        <v>0</v>
      </c>
      <c r="CC1564" t="b">
        <v>0</v>
      </c>
      <c r="CD1564" t="b">
        <v>0</v>
      </c>
      <c r="CE1564" t="b">
        <v>0</v>
      </c>
      <c r="CF1564" t="b">
        <v>0</v>
      </c>
    </row>
    <row r="1565" spans="1:84" x14ac:dyDescent="0.3">
      <c r="A1565" t="s">
        <v>4359</v>
      </c>
      <c r="B1565" t="s">
        <v>1207</v>
      </c>
      <c r="C1565" s="98">
        <v>45754</v>
      </c>
      <c r="D1565">
        <v>2025</v>
      </c>
      <c r="E1565">
        <v>4</v>
      </c>
      <c r="F1565">
        <v>2</v>
      </c>
      <c r="G1565" t="s">
        <v>1208</v>
      </c>
      <c r="H1565" t="s">
        <v>152</v>
      </c>
      <c r="I1565" t="s">
        <v>152</v>
      </c>
      <c r="J1565" t="s">
        <v>6</v>
      </c>
      <c r="L1565">
        <v>522611</v>
      </c>
      <c r="M1565" s="99" t="s">
        <v>180</v>
      </c>
      <c r="N1565">
        <v>3</v>
      </c>
      <c r="O1565">
        <v>14</v>
      </c>
      <c r="P1565">
        <v>29.297599999999999</v>
      </c>
      <c r="Q1565" t="s">
        <v>352</v>
      </c>
      <c r="R1565">
        <v>1</v>
      </c>
      <c r="S1565">
        <v>33.520699999999998</v>
      </c>
      <c r="T1565">
        <v>4.6557000000000004</v>
      </c>
      <c r="U1565">
        <v>-0.90708164185836682</v>
      </c>
      <c r="V1565">
        <v>19.553599999999996</v>
      </c>
      <c r="W1565">
        <v>24.209299999999999</v>
      </c>
      <c r="X1565">
        <v>28.864999999999998</v>
      </c>
      <c r="Y1565">
        <v>38.176400000000001</v>
      </c>
      <c r="Z1565">
        <v>42.832099999999997</v>
      </c>
      <c r="AA1565">
        <v>47.4878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 t="s">
        <v>462</v>
      </c>
      <c r="AL1565" t="s">
        <v>6</v>
      </c>
      <c r="AM1565" t="s">
        <v>1145</v>
      </c>
      <c r="AN1565" t="s">
        <v>1146</v>
      </c>
      <c r="AO1565" s="100">
        <v>46262.040405092594</v>
      </c>
      <c r="AP1565" t="s">
        <v>1147</v>
      </c>
      <c r="AQ1565" t="s">
        <v>4360</v>
      </c>
      <c r="AR1565" t="s">
        <v>1210</v>
      </c>
      <c r="AS1565" t="s">
        <v>1150</v>
      </c>
      <c r="AT1565" t="s">
        <v>4234</v>
      </c>
      <c r="AU1565">
        <v>25</v>
      </c>
      <c r="AV1565">
        <v>33.550919999999998</v>
      </c>
      <c r="AW1565">
        <v>5.033293440184071</v>
      </c>
      <c r="AX1565">
        <v>15.001953568438873</v>
      </c>
      <c r="BB1565" t="s">
        <v>4620</v>
      </c>
      <c r="BD1565" s="98"/>
      <c r="BE1565" s="98"/>
      <c r="BF1565" t="s">
        <v>1152</v>
      </c>
      <c r="BG1565" t="s">
        <v>322</v>
      </c>
      <c r="BH1565" t="s">
        <v>1153</v>
      </c>
      <c r="BN1565" t="s">
        <v>1154</v>
      </c>
      <c r="BO1565">
        <v>2025</v>
      </c>
      <c r="BP1565" t="s">
        <v>966</v>
      </c>
      <c r="BZ1565" t="s">
        <v>1513</v>
      </c>
      <c r="CA1565" t="s">
        <v>1513</v>
      </c>
      <c r="CB1565" t="b">
        <v>0</v>
      </c>
      <c r="CC1565" t="b">
        <v>0</v>
      </c>
      <c r="CD1565" t="b">
        <v>0</v>
      </c>
      <c r="CE1565" t="b">
        <v>0</v>
      </c>
      <c r="CF1565" t="b">
        <v>0</v>
      </c>
    </row>
    <row r="1566" spans="1:84" x14ac:dyDescent="0.3">
      <c r="A1566" t="s">
        <v>4361</v>
      </c>
      <c r="B1566" t="s">
        <v>1212</v>
      </c>
      <c r="C1566" s="98">
        <v>45761</v>
      </c>
      <c r="D1566">
        <v>2025</v>
      </c>
      <c r="E1566">
        <v>4</v>
      </c>
      <c r="F1566">
        <v>2</v>
      </c>
      <c r="G1566" t="s">
        <v>1208</v>
      </c>
      <c r="H1566" t="s">
        <v>152</v>
      </c>
      <c r="I1566" t="s">
        <v>152</v>
      </c>
      <c r="J1566" t="s">
        <v>6</v>
      </c>
      <c r="L1566">
        <v>522611</v>
      </c>
      <c r="M1566" s="99" t="s">
        <v>180</v>
      </c>
      <c r="N1566">
        <v>3</v>
      </c>
      <c r="O1566">
        <v>15</v>
      </c>
      <c r="P1566">
        <v>33.203299999999999</v>
      </c>
      <c r="Q1566" t="s">
        <v>352</v>
      </c>
      <c r="R1566">
        <v>1</v>
      </c>
      <c r="S1566">
        <v>33.520699999999998</v>
      </c>
      <c r="T1566">
        <v>4.6557000000000004</v>
      </c>
      <c r="U1566">
        <v>-6.8174495779367059E-2</v>
      </c>
      <c r="V1566">
        <v>19.553599999999996</v>
      </c>
      <c r="W1566">
        <v>24.209299999999999</v>
      </c>
      <c r="X1566">
        <v>28.864999999999998</v>
      </c>
      <c r="Y1566">
        <v>38.176400000000001</v>
      </c>
      <c r="Z1566">
        <v>42.832099999999997</v>
      </c>
      <c r="AA1566">
        <v>47.4878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 t="s">
        <v>462</v>
      </c>
      <c r="AL1566" t="s">
        <v>6</v>
      </c>
      <c r="AM1566" t="s">
        <v>1145</v>
      </c>
      <c r="AN1566" t="s">
        <v>1146</v>
      </c>
      <c r="AO1566" s="100">
        <v>46262.040405092594</v>
      </c>
      <c r="AP1566" t="s">
        <v>1147</v>
      </c>
      <c r="AQ1566" t="s">
        <v>4362</v>
      </c>
      <c r="AR1566" t="s">
        <v>1215</v>
      </c>
      <c r="AS1566" t="s">
        <v>1150</v>
      </c>
      <c r="AT1566" t="s">
        <v>4234</v>
      </c>
      <c r="AU1566">
        <v>25</v>
      </c>
      <c r="AV1566">
        <v>33.550919999999998</v>
      </c>
      <c r="AW1566">
        <v>5.033293440184071</v>
      </c>
      <c r="AX1566">
        <v>15.001953568438873</v>
      </c>
      <c r="BB1566" t="s">
        <v>4620</v>
      </c>
      <c r="BD1566" s="98"/>
      <c r="BE1566" s="98"/>
      <c r="BF1566" t="s">
        <v>1152</v>
      </c>
      <c r="BG1566" t="s">
        <v>322</v>
      </c>
      <c r="BH1566" t="s">
        <v>1153</v>
      </c>
      <c r="BN1566" t="s">
        <v>1154</v>
      </c>
      <c r="BO1566">
        <v>2025</v>
      </c>
      <c r="BP1566" t="s">
        <v>966</v>
      </c>
      <c r="BZ1566" t="s">
        <v>1513</v>
      </c>
      <c r="CA1566" t="s">
        <v>1513</v>
      </c>
      <c r="CB1566" t="b">
        <v>0</v>
      </c>
      <c r="CC1566" t="b">
        <v>0</v>
      </c>
      <c r="CD1566" t="b">
        <v>0</v>
      </c>
      <c r="CE1566" t="b">
        <v>0</v>
      </c>
      <c r="CF1566" t="b">
        <v>0</v>
      </c>
    </row>
    <row r="1567" spans="1:84" x14ac:dyDescent="0.3">
      <c r="A1567" t="s">
        <v>4363</v>
      </c>
      <c r="B1567" t="s">
        <v>1217</v>
      </c>
      <c r="C1567" s="98">
        <v>45768</v>
      </c>
      <c r="D1567">
        <v>2025</v>
      </c>
      <c r="E1567">
        <v>4</v>
      </c>
      <c r="F1567">
        <v>2</v>
      </c>
      <c r="G1567" t="s">
        <v>1208</v>
      </c>
      <c r="H1567" t="s">
        <v>152</v>
      </c>
      <c r="I1567" t="s">
        <v>152</v>
      </c>
      <c r="J1567" t="s">
        <v>6</v>
      </c>
      <c r="L1567">
        <v>522611</v>
      </c>
      <c r="M1567" s="99" t="s">
        <v>180</v>
      </c>
      <c r="N1567">
        <v>3</v>
      </c>
      <c r="O1567">
        <v>16</v>
      </c>
      <c r="P1567">
        <v>39.406199999999998</v>
      </c>
      <c r="Q1567" t="s">
        <v>352</v>
      </c>
      <c r="R1567">
        <v>1</v>
      </c>
      <c r="S1567">
        <v>33.520699999999998</v>
      </c>
      <c r="T1567">
        <v>4.6557000000000004</v>
      </c>
      <c r="U1567">
        <v>1.2641493223360611</v>
      </c>
      <c r="V1567">
        <v>19.553599999999996</v>
      </c>
      <c r="W1567">
        <v>24.209299999999999</v>
      </c>
      <c r="X1567">
        <v>28.864999999999998</v>
      </c>
      <c r="Y1567">
        <v>38.176400000000001</v>
      </c>
      <c r="Z1567">
        <v>42.832099999999997</v>
      </c>
      <c r="AA1567">
        <v>47.4878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 t="s">
        <v>462</v>
      </c>
      <c r="AL1567" t="s">
        <v>6</v>
      </c>
      <c r="AM1567" t="s">
        <v>1145</v>
      </c>
      <c r="AN1567" t="s">
        <v>1146</v>
      </c>
      <c r="AO1567" s="100">
        <v>46262.040405092594</v>
      </c>
      <c r="AP1567" t="s">
        <v>1147</v>
      </c>
      <c r="AQ1567" t="s">
        <v>4364</v>
      </c>
      <c r="AR1567" t="s">
        <v>1219</v>
      </c>
      <c r="AS1567" t="s">
        <v>1150</v>
      </c>
      <c r="AT1567" t="s">
        <v>4234</v>
      </c>
      <c r="AU1567">
        <v>25</v>
      </c>
      <c r="AV1567">
        <v>33.550919999999998</v>
      </c>
      <c r="AW1567">
        <v>5.033293440184071</v>
      </c>
      <c r="AX1567">
        <v>15.001953568438873</v>
      </c>
      <c r="BB1567" t="s">
        <v>4620</v>
      </c>
      <c r="BD1567" s="98"/>
      <c r="BE1567" s="98"/>
      <c r="BF1567" t="s">
        <v>1152</v>
      </c>
      <c r="BG1567" t="s">
        <v>322</v>
      </c>
      <c r="BH1567" t="s">
        <v>1153</v>
      </c>
      <c r="BN1567" t="s">
        <v>1154</v>
      </c>
      <c r="BO1567">
        <v>2025</v>
      </c>
      <c r="BP1567" t="s">
        <v>966</v>
      </c>
      <c r="BZ1567" t="s">
        <v>1513</v>
      </c>
      <c r="CA1567" t="s">
        <v>1513</v>
      </c>
      <c r="CB1567" t="b">
        <v>0</v>
      </c>
      <c r="CC1567" t="b">
        <v>0</v>
      </c>
      <c r="CD1567" t="b">
        <v>0</v>
      </c>
      <c r="CE1567" t="b">
        <v>0</v>
      </c>
      <c r="CF1567" t="b">
        <v>0</v>
      </c>
    </row>
    <row r="1568" spans="1:84" x14ac:dyDescent="0.3">
      <c r="A1568" t="s">
        <v>4365</v>
      </c>
      <c r="B1568" t="s">
        <v>1221</v>
      </c>
      <c r="C1568" s="98">
        <v>45775</v>
      </c>
      <c r="D1568">
        <v>2025</v>
      </c>
      <c r="E1568">
        <v>4</v>
      </c>
      <c r="F1568">
        <v>2</v>
      </c>
      <c r="G1568" t="s">
        <v>1208</v>
      </c>
      <c r="H1568" t="s">
        <v>152</v>
      </c>
      <c r="I1568" t="s">
        <v>152</v>
      </c>
      <c r="J1568" t="s">
        <v>6</v>
      </c>
      <c r="L1568">
        <v>522611</v>
      </c>
      <c r="M1568" s="99" t="s">
        <v>180</v>
      </c>
      <c r="N1568">
        <v>3</v>
      </c>
      <c r="O1568">
        <v>17</v>
      </c>
      <c r="P1568">
        <v>38.025100000000002</v>
      </c>
      <c r="Q1568" t="s">
        <v>352</v>
      </c>
      <c r="R1568">
        <v>1</v>
      </c>
      <c r="S1568">
        <v>33.520699999999998</v>
      </c>
      <c r="T1568">
        <v>4.6557000000000004</v>
      </c>
      <c r="U1568">
        <v>0.96750220160233769</v>
      </c>
      <c r="V1568">
        <v>19.553599999999996</v>
      </c>
      <c r="W1568">
        <v>24.209299999999999</v>
      </c>
      <c r="X1568">
        <v>28.864999999999998</v>
      </c>
      <c r="Y1568">
        <v>38.176400000000001</v>
      </c>
      <c r="Z1568">
        <v>42.832099999999997</v>
      </c>
      <c r="AA1568">
        <v>47.4878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 t="s">
        <v>462</v>
      </c>
      <c r="AL1568" t="s">
        <v>6</v>
      </c>
      <c r="AM1568" t="s">
        <v>1145</v>
      </c>
      <c r="AN1568" t="s">
        <v>1146</v>
      </c>
      <c r="AO1568" s="100">
        <v>46262.040405092594</v>
      </c>
      <c r="AP1568" t="s">
        <v>1147</v>
      </c>
      <c r="AQ1568" t="s">
        <v>4366</v>
      </c>
      <c r="AR1568" t="s">
        <v>1223</v>
      </c>
      <c r="AS1568" t="s">
        <v>1150</v>
      </c>
      <c r="AT1568" t="s">
        <v>4234</v>
      </c>
      <c r="AU1568">
        <v>25</v>
      </c>
      <c r="AV1568">
        <v>33.550919999999998</v>
      </c>
      <c r="AW1568">
        <v>5.033293440184071</v>
      </c>
      <c r="AX1568">
        <v>15.001953568438873</v>
      </c>
      <c r="BB1568" t="s">
        <v>4620</v>
      </c>
      <c r="BD1568" s="98"/>
      <c r="BE1568" s="98"/>
      <c r="BF1568" t="s">
        <v>1152</v>
      </c>
      <c r="BG1568" t="s">
        <v>322</v>
      </c>
      <c r="BH1568" t="s">
        <v>1153</v>
      </c>
      <c r="BN1568" t="s">
        <v>1154</v>
      </c>
      <c r="BO1568">
        <v>2025</v>
      </c>
      <c r="BP1568" t="s">
        <v>966</v>
      </c>
      <c r="BZ1568" t="s">
        <v>1513</v>
      </c>
      <c r="CA1568" t="s">
        <v>1513</v>
      </c>
      <c r="CB1568" t="b">
        <v>0</v>
      </c>
      <c r="CC1568" t="b">
        <v>0</v>
      </c>
      <c r="CD1568" t="b">
        <v>0</v>
      </c>
      <c r="CE1568" t="b">
        <v>0</v>
      </c>
      <c r="CF1568" t="b">
        <v>0</v>
      </c>
    </row>
    <row r="1569" spans="1:84" x14ac:dyDescent="0.3">
      <c r="A1569" t="s">
        <v>4367</v>
      </c>
      <c r="B1569" t="s">
        <v>1225</v>
      </c>
      <c r="C1569" s="98">
        <v>45782</v>
      </c>
      <c r="D1569">
        <v>2025</v>
      </c>
      <c r="E1569">
        <v>5</v>
      </c>
      <c r="F1569">
        <v>2</v>
      </c>
      <c r="G1569" t="s">
        <v>1226</v>
      </c>
      <c r="H1569" t="s">
        <v>152</v>
      </c>
      <c r="I1569" t="s">
        <v>152</v>
      </c>
      <c r="J1569" t="s">
        <v>6</v>
      </c>
      <c r="L1569">
        <v>522611</v>
      </c>
      <c r="M1569" s="99" t="s">
        <v>180</v>
      </c>
      <c r="N1569">
        <v>3</v>
      </c>
      <c r="O1569">
        <v>18</v>
      </c>
      <c r="P1569">
        <v>33.524900000000002</v>
      </c>
      <c r="Q1569" t="s">
        <v>352</v>
      </c>
      <c r="R1569">
        <v>1</v>
      </c>
      <c r="S1569">
        <v>33.520699999999998</v>
      </c>
      <c r="T1569">
        <v>4.6557000000000004</v>
      </c>
      <c r="U1569">
        <v>9.0211998195855023E-4</v>
      </c>
      <c r="V1569">
        <v>19.553599999999996</v>
      </c>
      <c r="W1569">
        <v>24.209299999999999</v>
      </c>
      <c r="X1569">
        <v>28.864999999999998</v>
      </c>
      <c r="Y1569">
        <v>38.176400000000001</v>
      </c>
      <c r="Z1569">
        <v>42.832099999999997</v>
      </c>
      <c r="AA1569">
        <v>47.4878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 t="s">
        <v>462</v>
      </c>
      <c r="AL1569" t="s">
        <v>6</v>
      </c>
      <c r="AM1569" t="s">
        <v>1145</v>
      </c>
      <c r="AN1569" t="s">
        <v>1146</v>
      </c>
      <c r="AO1569" s="100">
        <v>46262.040405092594</v>
      </c>
      <c r="AP1569" t="s">
        <v>1147</v>
      </c>
      <c r="AQ1569" t="s">
        <v>4368</v>
      </c>
      <c r="AR1569" t="s">
        <v>1228</v>
      </c>
      <c r="AS1569" t="s">
        <v>1150</v>
      </c>
      <c r="AT1569" t="s">
        <v>4234</v>
      </c>
      <c r="AU1569">
        <v>25</v>
      </c>
      <c r="AV1569">
        <v>33.550919999999998</v>
      </c>
      <c r="AW1569">
        <v>5.033293440184071</v>
      </c>
      <c r="AX1569">
        <v>15.001953568438873</v>
      </c>
      <c r="BB1569" t="s">
        <v>4620</v>
      </c>
      <c r="BD1569" s="98"/>
      <c r="BE1569" s="98"/>
      <c r="BF1569" t="s">
        <v>1152</v>
      </c>
      <c r="BG1569" t="s">
        <v>322</v>
      </c>
      <c r="BH1569" t="s">
        <v>1153</v>
      </c>
      <c r="BN1569" t="s">
        <v>1154</v>
      </c>
      <c r="BO1569">
        <v>2025</v>
      </c>
      <c r="BP1569" t="s">
        <v>966</v>
      </c>
      <c r="BZ1569" t="s">
        <v>1513</v>
      </c>
      <c r="CA1569" t="s">
        <v>1513</v>
      </c>
      <c r="CB1569" t="b">
        <v>0</v>
      </c>
      <c r="CC1569" t="b">
        <v>0</v>
      </c>
      <c r="CD1569" t="b">
        <v>0</v>
      </c>
      <c r="CE1569" t="b">
        <v>0</v>
      </c>
      <c r="CF1569" t="b">
        <v>0</v>
      </c>
    </row>
    <row r="1570" spans="1:84" x14ac:dyDescent="0.3">
      <c r="A1570" t="s">
        <v>4369</v>
      </c>
      <c r="B1570" t="s">
        <v>1230</v>
      </c>
      <c r="C1570" s="98">
        <v>45789</v>
      </c>
      <c r="D1570">
        <v>2025</v>
      </c>
      <c r="E1570">
        <v>5</v>
      </c>
      <c r="F1570">
        <v>2</v>
      </c>
      <c r="G1570" t="s">
        <v>1226</v>
      </c>
      <c r="H1570" t="s">
        <v>152</v>
      </c>
      <c r="I1570" t="s">
        <v>152</v>
      </c>
      <c r="J1570" t="s">
        <v>6</v>
      </c>
      <c r="L1570">
        <v>522611</v>
      </c>
      <c r="M1570" s="99" t="s">
        <v>180</v>
      </c>
      <c r="N1570">
        <v>3</v>
      </c>
      <c r="O1570">
        <v>19</v>
      </c>
      <c r="P1570">
        <v>33.754100000000001</v>
      </c>
      <c r="Q1570" t="s">
        <v>352</v>
      </c>
      <c r="R1570">
        <v>1</v>
      </c>
      <c r="S1570">
        <v>33.520699999999998</v>
      </c>
      <c r="T1570">
        <v>4.6557000000000004</v>
      </c>
      <c r="U1570">
        <v>5.0132096140215895E-2</v>
      </c>
      <c r="V1570">
        <v>19.553599999999996</v>
      </c>
      <c r="W1570">
        <v>24.209299999999999</v>
      </c>
      <c r="X1570">
        <v>28.864999999999998</v>
      </c>
      <c r="Y1570">
        <v>38.176400000000001</v>
      </c>
      <c r="Z1570">
        <v>42.832099999999997</v>
      </c>
      <c r="AA1570">
        <v>47.4878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 t="s">
        <v>462</v>
      </c>
      <c r="AL1570" t="s">
        <v>6</v>
      </c>
      <c r="AM1570" t="s">
        <v>1145</v>
      </c>
      <c r="AN1570" t="s">
        <v>1146</v>
      </c>
      <c r="AO1570" s="100">
        <v>46262.040405092594</v>
      </c>
      <c r="AP1570" t="s">
        <v>1147</v>
      </c>
      <c r="AQ1570" t="s">
        <v>4370</v>
      </c>
      <c r="AR1570" t="s">
        <v>1232</v>
      </c>
      <c r="AS1570" t="s">
        <v>1150</v>
      </c>
      <c r="AT1570" t="s">
        <v>4234</v>
      </c>
      <c r="AU1570">
        <v>25</v>
      </c>
      <c r="AV1570">
        <v>33.550919999999998</v>
      </c>
      <c r="AW1570">
        <v>5.033293440184071</v>
      </c>
      <c r="AX1570">
        <v>15.001953568438873</v>
      </c>
      <c r="BB1570" t="s">
        <v>4620</v>
      </c>
      <c r="BD1570" s="98"/>
      <c r="BE1570" s="98"/>
      <c r="BF1570" t="s">
        <v>1152</v>
      </c>
      <c r="BG1570" t="s">
        <v>322</v>
      </c>
      <c r="BH1570" t="s">
        <v>1153</v>
      </c>
      <c r="BN1570" t="s">
        <v>1154</v>
      </c>
      <c r="BO1570">
        <v>2025</v>
      </c>
      <c r="BP1570" t="s">
        <v>966</v>
      </c>
      <c r="BZ1570" t="s">
        <v>1513</v>
      </c>
      <c r="CA1570" t="s">
        <v>1513</v>
      </c>
      <c r="CB1570" t="b">
        <v>0</v>
      </c>
      <c r="CC1570" t="b">
        <v>0</v>
      </c>
      <c r="CD1570" t="b">
        <v>0</v>
      </c>
      <c r="CE1570" t="b">
        <v>0</v>
      </c>
      <c r="CF1570" t="b">
        <v>0</v>
      </c>
    </row>
    <row r="1571" spans="1:84" x14ac:dyDescent="0.3">
      <c r="A1571" t="s">
        <v>4371</v>
      </c>
      <c r="B1571" t="s">
        <v>1234</v>
      </c>
      <c r="C1571" s="98">
        <v>45796</v>
      </c>
      <c r="D1571">
        <v>2025</v>
      </c>
      <c r="E1571">
        <v>5</v>
      </c>
      <c r="F1571">
        <v>2</v>
      </c>
      <c r="G1571" t="s">
        <v>1226</v>
      </c>
      <c r="H1571" t="s">
        <v>152</v>
      </c>
      <c r="I1571" t="s">
        <v>152</v>
      </c>
      <c r="J1571" t="s">
        <v>6</v>
      </c>
      <c r="L1571">
        <v>522611</v>
      </c>
      <c r="M1571" s="99" t="s">
        <v>180</v>
      </c>
      <c r="N1571">
        <v>3</v>
      </c>
      <c r="O1571">
        <v>20</v>
      </c>
      <c r="P1571">
        <v>32.981999999999999</v>
      </c>
      <c r="Q1571" t="s">
        <v>352</v>
      </c>
      <c r="R1571">
        <v>1</v>
      </c>
      <c r="S1571">
        <v>33.520699999999998</v>
      </c>
      <c r="T1571">
        <v>4.6557000000000004</v>
      </c>
      <c r="U1571">
        <v>-0.11570762720965667</v>
      </c>
      <c r="V1571">
        <v>19.553599999999996</v>
      </c>
      <c r="W1571">
        <v>24.209299999999999</v>
      </c>
      <c r="X1571">
        <v>28.864999999999998</v>
      </c>
      <c r="Y1571">
        <v>38.176400000000001</v>
      </c>
      <c r="Z1571">
        <v>42.832099999999997</v>
      </c>
      <c r="AA1571">
        <v>47.4878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 t="s">
        <v>462</v>
      </c>
      <c r="AL1571" t="s">
        <v>6</v>
      </c>
      <c r="AM1571" t="s">
        <v>1145</v>
      </c>
      <c r="AN1571" t="s">
        <v>1146</v>
      </c>
      <c r="AO1571" s="100">
        <v>46262.040405092594</v>
      </c>
      <c r="AP1571" t="s">
        <v>1147</v>
      </c>
      <c r="AQ1571" t="s">
        <v>4372</v>
      </c>
      <c r="AR1571" t="s">
        <v>1236</v>
      </c>
      <c r="AS1571" t="s">
        <v>1150</v>
      </c>
      <c r="AT1571" t="s">
        <v>4234</v>
      </c>
      <c r="AU1571">
        <v>25</v>
      </c>
      <c r="AV1571">
        <v>33.550919999999998</v>
      </c>
      <c r="AW1571">
        <v>5.033293440184071</v>
      </c>
      <c r="AX1571">
        <v>15.001953568438873</v>
      </c>
      <c r="BB1571" t="s">
        <v>4620</v>
      </c>
      <c r="BD1571" s="98"/>
      <c r="BE1571" s="98"/>
      <c r="BF1571" t="s">
        <v>1152</v>
      </c>
      <c r="BG1571" t="s">
        <v>322</v>
      </c>
      <c r="BH1571" t="s">
        <v>1153</v>
      </c>
      <c r="BN1571" t="s">
        <v>1154</v>
      </c>
      <c r="BO1571">
        <v>2025</v>
      </c>
      <c r="BP1571" t="s">
        <v>966</v>
      </c>
      <c r="BZ1571" t="s">
        <v>1513</v>
      </c>
      <c r="CA1571" t="s">
        <v>1513</v>
      </c>
      <c r="CB1571" t="b">
        <v>0</v>
      </c>
      <c r="CC1571" t="b">
        <v>0</v>
      </c>
      <c r="CD1571" t="b">
        <v>0</v>
      </c>
      <c r="CE1571" t="b">
        <v>0</v>
      </c>
      <c r="CF1571" t="b">
        <v>0</v>
      </c>
    </row>
    <row r="1572" spans="1:84" x14ac:dyDescent="0.3">
      <c r="A1572" t="s">
        <v>4373</v>
      </c>
      <c r="B1572" t="s">
        <v>1238</v>
      </c>
      <c r="C1572" s="98">
        <v>45803</v>
      </c>
      <c r="D1572">
        <v>2025</v>
      </c>
      <c r="E1572">
        <v>5</v>
      </c>
      <c r="F1572">
        <v>2</v>
      </c>
      <c r="G1572" t="s">
        <v>1226</v>
      </c>
      <c r="H1572" t="s">
        <v>152</v>
      </c>
      <c r="I1572" t="s">
        <v>152</v>
      </c>
      <c r="J1572" t="s">
        <v>6</v>
      </c>
      <c r="L1572">
        <v>522611</v>
      </c>
      <c r="M1572" s="99" t="s">
        <v>180</v>
      </c>
      <c r="N1572">
        <v>3</v>
      </c>
      <c r="O1572">
        <v>21</v>
      </c>
      <c r="P1572">
        <v>30.752099999999999</v>
      </c>
      <c r="Q1572" t="s">
        <v>352</v>
      </c>
      <c r="R1572">
        <v>1</v>
      </c>
      <c r="S1572">
        <v>33.520699999999998</v>
      </c>
      <c r="T1572">
        <v>4.6557000000000004</v>
      </c>
      <c r="U1572">
        <v>-0.59466890048757415</v>
      </c>
      <c r="V1572">
        <v>19.553599999999996</v>
      </c>
      <c r="W1572">
        <v>24.209299999999999</v>
      </c>
      <c r="X1572">
        <v>28.864999999999998</v>
      </c>
      <c r="Y1572">
        <v>38.176400000000001</v>
      </c>
      <c r="Z1572">
        <v>42.832099999999997</v>
      </c>
      <c r="AA1572">
        <v>47.4878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 t="s">
        <v>462</v>
      </c>
      <c r="AL1572" t="s">
        <v>6</v>
      </c>
      <c r="AM1572" t="s">
        <v>1145</v>
      </c>
      <c r="AN1572" t="s">
        <v>1146</v>
      </c>
      <c r="AO1572" s="100">
        <v>46262.040405092594</v>
      </c>
      <c r="AP1572" t="s">
        <v>1147</v>
      </c>
      <c r="AQ1572" t="s">
        <v>4374</v>
      </c>
      <c r="AR1572" t="s">
        <v>1240</v>
      </c>
      <c r="AS1572" t="s">
        <v>1150</v>
      </c>
      <c r="AT1572" t="s">
        <v>4234</v>
      </c>
      <c r="AU1572">
        <v>25</v>
      </c>
      <c r="AV1572">
        <v>33.550919999999998</v>
      </c>
      <c r="AW1572">
        <v>5.033293440184071</v>
      </c>
      <c r="AX1572">
        <v>15.001953568438873</v>
      </c>
      <c r="BB1572" t="s">
        <v>4620</v>
      </c>
      <c r="BD1572" s="98"/>
      <c r="BE1572" s="98"/>
      <c r="BF1572" t="s">
        <v>1152</v>
      </c>
      <c r="BG1572" t="s">
        <v>322</v>
      </c>
      <c r="BH1572" t="s">
        <v>1153</v>
      </c>
      <c r="BN1572" t="s">
        <v>1154</v>
      </c>
      <c r="BO1572">
        <v>2025</v>
      </c>
      <c r="BP1572" t="s">
        <v>966</v>
      </c>
      <c r="BZ1572" t="s">
        <v>1513</v>
      </c>
      <c r="CA1572" t="s">
        <v>1513</v>
      </c>
      <c r="CB1572" t="b">
        <v>0</v>
      </c>
      <c r="CC1572" t="b">
        <v>0</v>
      </c>
      <c r="CD1572" t="b">
        <v>0</v>
      </c>
      <c r="CE1572" t="b">
        <v>0</v>
      </c>
      <c r="CF1572" t="b">
        <v>0</v>
      </c>
    </row>
    <row r="1573" spans="1:84" x14ac:dyDescent="0.3">
      <c r="A1573" t="s">
        <v>4375</v>
      </c>
      <c r="B1573" t="s">
        <v>1242</v>
      </c>
      <c r="C1573" s="98">
        <v>45810</v>
      </c>
      <c r="D1573">
        <v>2025</v>
      </c>
      <c r="E1573">
        <v>6</v>
      </c>
      <c r="F1573">
        <v>2</v>
      </c>
      <c r="G1573" t="s">
        <v>1243</v>
      </c>
      <c r="H1573" t="s">
        <v>152</v>
      </c>
      <c r="I1573" t="s">
        <v>152</v>
      </c>
      <c r="J1573" t="s">
        <v>6</v>
      </c>
      <c r="L1573">
        <v>522611</v>
      </c>
      <c r="M1573" s="99" t="s">
        <v>180</v>
      </c>
      <c r="N1573">
        <v>3</v>
      </c>
      <c r="O1573">
        <v>22</v>
      </c>
      <c r="P1573">
        <v>42.766399999999997</v>
      </c>
      <c r="Q1573" t="s">
        <v>352</v>
      </c>
      <c r="R1573">
        <v>1</v>
      </c>
      <c r="S1573">
        <v>33.520699999999998</v>
      </c>
      <c r="T1573">
        <v>4.6557000000000004</v>
      </c>
      <c r="U1573">
        <v>1.98588826599652</v>
      </c>
      <c r="V1573">
        <v>19.553599999999996</v>
      </c>
      <c r="W1573">
        <v>24.209299999999999</v>
      </c>
      <c r="X1573">
        <v>28.864999999999998</v>
      </c>
      <c r="Y1573">
        <v>38.176400000000001</v>
      </c>
      <c r="Z1573">
        <v>42.832099999999997</v>
      </c>
      <c r="AA1573">
        <v>47.4878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 t="s">
        <v>462</v>
      </c>
      <c r="AL1573" t="s">
        <v>6</v>
      </c>
      <c r="AM1573" t="s">
        <v>1145</v>
      </c>
      <c r="AN1573" t="s">
        <v>1146</v>
      </c>
      <c r="AO1573" s="100">
        <v>46262.040405092594</v>
      </c>
      <c r="AP1573" t="s">
        <v>1147</v>
      </c>
      <c r="AQ1573" t="s">
        <v>4376</v>
      </c>
      <c r="AR1573" t="s">
        <v>1245</v>
      </c>
      <c r="AS1573" t="s">
        <v>1150</v>
      </c>
      <c r="AT1573" t="s">
        <v>4234</v>
      </c>
      <c r="AU1573">
        <v>25</v>
      </c>
      <c r="AV1573">
        <v>33.550919999999998</v>
      </c>
      <c r="AW1573">
        <v>5.033293440184071</v>
      </c>
      <c r="AX1573">
        <v>15.001953568438873</v>
      </c>
      <c r="BB1573" t="s">
        <v>4620</v>
      </c>
      <c r="BD1573" s="98"/>
      <c r="BE1573" s="98"/>
      <c r="BF1573" t="s">
        <v>1152</v>
      </c>
      <c r="BG1573" t="s">
        <v>322</v>
      </c>
      <c r="BH1573" t="s">
        <v>1153</v>
      </c>
      <c r="BN1573" t="s">
        <v>1154</v>
      </c>
      <c r="BO1573">
        <v>2025</v>
      </c>
      <c r="BP1573" t="s">
        <v>966</v>
      </c>
      <c r="BZ1573" t="s">
        <v>1513</v>
      </c>
      <c r="CA1573" t="s">
        <v>1513</v>
      </c>
      <c r="CB1573" t="b">
        <v>0</v>
      </c>
      <c r="CC1573" t="b">
        <v>0</v>
      </c>
      <c r="CD1573" t="b">
        <v>0</v>
      </c>
      <c r="CE1573" t="b">
        <v>0</v>
      </c>
      <c r="CF1573" t="b">
        <v>0</v>
      </c>
    </row>
    <row r="1574" spans="1:84" x14ac:dyDescent="0.3">
      <c r="A1574" t="s">
        <v>4377</v>
      </c>
      <c r="B1574" t="s">
        <v>1247</v>
      </c>
      <c r="C1574" s="98">
        <v>45817</v>
      </c>
      <c r="D1574">
        <v>2025</v>
      </c>
      <c r="E1574">
        <v>6</v>
      </c>
      <c r="F1574">
        <v>2</v>
      </c>
      <c r="G1574" t="s">
        <v>1243</v>
      </c>
      <c r="H1574" t="s">
        <v>152</v>
      </c>
      <c r="I1574" t="s">
        <v>152</v>
      </c>
      <c r="J1574" t="s">
        <v>6</v>
      </c>
      <c r="L1574">
        <v>522611</v>
      </c>
      <c r="M1574" s="99" t="s">
        <v>180</v>
      </c>
      <c r="N1574">
        <v>3</v>
      </c>
      <c r="O1574">
        <v>23</v>
      </c>
      <c r="P1574">
        <v>33.555100000000003</v>
      </c>
      <c r="Q1574" t="s">
        <v>352</v>
      </c>
      <c r="R1574">
        <v>1</v>
      </c>
      <c r="S1574">
        <v>33.520699999999998</v>
      </c>
      <c r="T1574">
        <v>4.6557000000000004</v>
      </c>
      <c r="U1574">
        <v>7.3887922331776299E-3</v>
      </c>
      <c r="V1574">
        <v>19.553599999999996</v>
      </c>
      <c r="W1574">
        <v>24.209299999999999</v>
      </c>
      <c r="X1574">
        <v>28.864999999999998</v>
      </c>
      <c r="Y1574">
        <v>38.176400000000001</v>
      </c>
      <c r="Z1574">
        <v>42.832099999999997</v>
      </c>
      <c r="AA1574">
        <v>47.4878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 t="s">
        <v>462</v>
      </c>
      <c r="AL1574" t="s">
        <v>6</v>
      </c>
      <c r="AM1574" t="s">
        <v>1145</v>
      </c>
      <c r="AN1574" t="s">
        <v>1146</v>
      </c>
      <c r="AO1574" s="100">
        <v>46262.040405092594</v>
      </c>
      <c r="AP1574" t="s">
        <v>1147</v>
      </c>
      <c r="AQ1574" t="s">
        <v>4378</v>
      </c>
      <c r="AR1574" t="s">
        <v>1249</v>
      </c>
      <c r="AS1574" t="s">
        <v>1150</v>
      </c>
      <c r="AT1574" t="s">
        <v>4234</v>
      </c>
      <c r="AU1574">
        <v>25</v>
      </c>
      <c r="AV1574">
        <v>33.550919999999998</v>
      </c>
      <c r="AW1574">
        <v>5.033293440184071</v>
      </c>
      <c r="AX1574">
        <v>15.001953568438873</v>
      </c>
      <c r="BB1574" t="s">
        <v>4620</v>
      </c>
      <c r="BD1574" s="98"/>
      <c r="BE1574" s="98"/>
      <c r="BF1574" t="s">
        <v>1152</v>
      </c>
      <c r="BG1574" t="s">
        <v>322</v>
      </c>
      <c r="BH1574" t="s">
        <v>1153</v>
      </c>
      <c r="BN1574" t="s">
        <v>1154</v>
      </c>
      <c r="BO1574">
        <v>2025</v>
      </c>
      <c r="BP1574" t="s">
        <v>966</v>
      </c>
      <c r="BZ1574" t="s">
        <v>1513</v>
      </c>
      <c r="CA1574" t="s">
        <v>1513</v>
      </c>
      <c r="CB1574" t="b">
        <v>0</v>
      </c>
      <c r="CC1574" t="b">
        <v>0</v>
      </c>
      <c r="CD1574" t="b">
        <v>0</v>
      </c>
      <c r="CE1574" t="b">
        <v>0</v>
      </c>
      <c r="CF1574" t="b">
        <v>0</v>
      </c>
    </row>
    <row r="1575" spans="1:84" x14ac:dyDescent="0.3">
      <c r="A1575" t="s">
        <v>4379</v>
      </c>
      <c r="B1575" t="s">
        <v>1251</v>
      </c>
      <c r="C1575" s="98">
        <v>45824</v>
      </c>
      <c r="D1575">
        <v>2025</v>
      </c>
      <c r="E1575">
        <v>6</v>
      </c>
      <c r="F1575">
        <v>2</v>
      </c>
      <c r="G1575" t="s">
        <v>1243</v>
      </c>
      <c r="H1575" t="s">
        <v>152</v>
      </c>
      <c r="I1575" t="s">
        <v>152</v>
      </c>
      <c r="J1575" t="s">
        <v>6</v>
      </c>
      <c r="L1575">
        <v>522611</v>
      </c>
      <c r="M1575" s="99" t="s">
        <v>180</v>
      </c>
      <c r="N1575">
        <v>3</v>
      </c>
      <c r="O1575">
        <v>24</v>
      </c>
      <c r="P1575">
        <v>28.1065</v>
      </c>
      <c r="Q1575" t="s">
        <v>352</v>
      </c>
      <c r="R1575">
        <v>1</v>
      </c>
      <c r="S1575">
        <v>33.520699999999998</v>
      </c>
      <c r="T1575">
        <v>4.6557000000000004</v>
      </c>
      <c r="U1575">
        <v>-1.1629185729321041</v>
      </c>
      <c r="V1575">
        <v>19.553599999999996</v>
      </c>
      <c r="W1575">
        <v>24.209299999999999</v>
      </c>
      <c r="X1575">
        <v>28.864999999999998</v>
      </c>
      <c r="Y1575">
        <v>38.176400000000001</v>
      </c>
      <c r="Z1575">
        <v>42.832099999999997</v>
      </c>
      <c r="AA1575">
        <v>47.4878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 t="s">
        <v>462</v>
      </c>
      <c r="AL1575" t="s">
        <v>6</v>
      </c>
      <c r="AM1575" t="s">
        <v>1145</v>
      </c>
      <c r="AN1575" t="s">
        <v>1146</v>
      </c>
      <c r="AO1575" s="100">
        <v>46262.040405092594</v>
      </c>
      <c r="AP1575" t="s">
        <v>1147</v>
      </c>
      <c r="AQ1575" t="s">
        <v>4380</v>
      </c>
      <c r="AR1575" t="s">
        <v>1253</v>
      </c>
      <c r="AS1575" t="s">
        <v>1150</v>
      </c>
      <c r="AT1575" t="s">
        <v>4234</v>
      </c>
      <c r="AU1575">
        <v>25</v>
      </c>
      <c r="AV1575">
        <v>33.550919999999998</v>
      </c>
      <c r="AW1575">
        <v>5.033293440184071</v>
      </c>
      <c r="AX1575">
        <v>15.001953568438873</v>
      </c>
      <c r="BB1575" t="s">
        <v>4620</v>
      </c>
      <c r="BD1575" s="98"/>
      <c r="BE1575" s="98"/>
      <c r="BF1575" t="s">
        <v>1152</v>
      </c>
      <c r="BG1575" t="s">
        <v>322</v>
      </c>
      <c r="BH1575" t="s">
        <v>1153</v>
      </c>
      <c r="BN1575" t="s">
        <v>1154</v>
      </c>
      <c r="BO1575">
        <v>2025</v>
      </c>
      <c r="BP1575" t="s">
        <v>966</v>
      </c>
      <c r="BZ1575" t="s">
        <v>1513</v>
      </c>
      <c r="CA1575" t="s">
        <v>1513</v>
      </c>
      <c r="CB1575" t="b">
        <v>0</v>
      </c>
      <c r="CC1575" t="b">
        <v>0</v>
      </c>
      <c r="CD1575" t="b">
        <v>0</v>
      </c>
      <c r="CE1575" t="b">
        <v>0</v>
      </c>
      <c r="CF1575" t="b">
        <v>0</v>
      </c>
    </row>
    <row r="1576" spans="1:84" x14ac:dyDescent="0.3">
      <c r="A1576" t="s">
        <v>4381</v>
      </c>
      <c r="B1576" t="s">
        <v>1255</v>
      </c>
      <c r="C1576" s="98">
        <v>45831</v>
      </c>
      <c r="D1576">
        <v>2025</v>
      </c>
      <c r="E1576">
        <v>6</v>
      </c>
      <c r="F1576">
        <v>2</v>
      </c>
      <c r="G1576" t="s">
        <v>1243</v>
      </c>
      <c r="H1576" t="s">
        <v>152</v>
      </c>
      <c r="I1576" t="s">
        <v>152</v>
      </c>
      <c r="J1576" t="s">
        <v>6</v>
      </c>
      <c r="L1576">
        <v>522611</v>
      </c>
      <c r="M1576" s="99" t="s">
        <v>180</v>
      </c>
      <c r="N1576">
        <v>3</v>
      </c>
      <c r="O1576">
        <v>25</v>
      </c>
      <c r="P1576">
        <v>31.237400000000001</v>
      </c>
      <c r="Q1576" t="s">
        <v>352</v>
      </c>
      <c r="R1576">
        <v>1</v>
      </c>
      <c r="S1576">
        <v>33.520699999999998</v>
      </c>
      <c r="T1576">
        <v>4.6557000000000004</v>
      </c>
      <c r="U1576">
        <v>-0.49043108447709188</v>
      </c>
      <c r="V1576">
        <v>19.553599999999996</v>
      </c>
      <c r="W1576">
        <v>24.209299999999999</v>
      </c>
      <c r="X1576">
        <v>28.864999999999998</v>
      </c>
      <c r="Y1576">
        <v>38.176400000000001</v>
      </c>
      <c r="Z1576">
        <v>42.832099999999997</v>
      </c>
      <c r="AA1576">
        <v>47.4878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 t="s">
        <v>462</v>
      </c>
      <c r="AL1576" t="s">
        <v>6</v>
      </c>
      <c r="AM1576" t="s">
        <v>1145</v>
      </c>
      <c r="AN1576" t="s">
        <v>1146</v>
      </c>
      <c r="AO1576" s="100">
        <v>46262.040405092594</v>
      </c>
      <c r="AP1576" t="s">
        <v>1147</v>
      </c>
      <c r="AQ1576" t="s">
        <v>4382</v>
      </c>
      <c r="AR1576" t="s">
        <v>1257</v>
      </c>
      <c r="AS1576" t="s">
        <v>1150</v>
      </c>
      <c r="AT1576" t="s">
        <v>4234</v>
      </c>
      <c r="AU1576">
        <v>25</v>
      </c>
      <c r="AV1576">
        <v>33.550919999999998</v>
      </c>
      <c r="AW1576">
        <v>5.033293440184071</v>
      </c>
      <c r="AX1576">
        <v>15.001953568438873</v>
      </c>
      <c r="BB1576" t="s">
        <v>4620</v>
      </c>
      <c r="BD1576" s="98"/>
      <c r="BE1576" s="98"/>
      <c r="BF1576" t="s">
        <v>1152</v>
      </c>
      <c r="BG1576" t="s">
        <v>322</v>
      </c>
      <c r="BH1576" t="s">
        <v>1153</v>
      </c>
      <c r="BN1576" t="s">
        <v>1154</v>
      </c>
      <c r="BO1576">
        <v>2025</v>
      </c>
      <c r="BP1576" t="s">
        <v>966</v>
      </c>
      <c r="BZ1576" t="s">
        <v>1513</v>
      </c>
      <c r="CA1576" t="s">
        <v>1513</v>
      </c>
      <c r="CB1576" t="b">
        <v>0</v>
      </c>
      <c r="CC1576" t="b">
        <v>0</v>
      </c>
      <c r="CD1576" t="b">
        <v>0</v>
      </c>
      <c r="CE1576" t="b">
        <v>0</v>
      </c>
      <c r="CF1576" t="b">
        <v>0</v>
      </c>
    </row>
  </sheetData>
  <sheetProtection algorithmName="SHA-512" hashValue="xUCaM1/r46OuVE3aRM4PZcyyiwxUaG2tppQRcrl8i6b0FxD4tiqpRMur/aEJBEpojIz4u31r7wdtAGCpJjFF3w==" saltValue="4BuX6FJ7bHwfA0CDLSnKtw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77</vt:i4>
      </vt:variant>
    </vt:vector>
  </HeadingPairs>
  <TitlesOfParts>
    <vt:vector size="103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EQA.CAP_Dados</vt:lpstr>
      <vt:lpstr>EQA.CAP_Resumo</vt:lpstr>
      <vt:lpstr>EQA.CAP_Nao_Aceitaveis</vt:lpstr>
      <vt:lpstr>EQA.Controllab_Dados</vt:lpstr>
      <vt:lpstr>EQA.Controllab_Resumo</vt:lpstr>
      <vt:lpstr>Cfg_PlanoQC</vt:lpstr>
      <vt:lpstr>Cfg_Westgard_Escopo</vt:lpstr>
      <vt:lpstr>EQA.Controllab_Desvios</vt:lpstr>
      <vt:lpstr>EQA_Base</vt:lpstr>
      <vt:lpstr>Estatística</vt:lpstr>
      <vt:lpstr>Usuarios</vt:lpstr>
      <vt:lpstr>Eng_Saida</vt:lpstr>
      <vt:lpstr>Audit_Legenda</vt:lpstr>
      <vt:lpstr>Audit_Log</vt:lpstr>
      <vt:lpstr>Liberação</vt:lpstr>
      <vt:lpstr>BI_Data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engCortadas</vt:lpstr>
      <vt:lpstr>engDados</vt:lpstr>
      <vt:lpstr>engData</vt:lpstr>
      <vt:lpstr>engEstat</vt:lpstr>
      <vt:lpstr>engLote</vt:lpstr>
      <vt:lpstr>engLotesPer</vt:lpstr>
      <vt:lpstr>engNRun</vt:lpstr>
      <vt:lpstr>engNTotal</vt:lpstr>
      <vt:lpstr>engPainel</vt:lpstr>
      <vt:lpstr>engParam</vt:lpstr>
      <vt:lpstr>engRUN</vt:lpstr>
      <vt:lpstr>engValN1</vt:lpstr>
      <vt:lpstr>engValN2</vt:lpstr>
      <vt:lpstr>engValN3</vt:lpstr>
      <vt:lpstr>eqAnoEP</vt:lpstr>
      <vt:lpstr>eqProvedor</vt:lpstr>
      <vt:lpstr>eqRodada</vt:lpstr>
      <vt:lpstr>filtroAno</vt:lpstr>
      <vt:lpstr>filtroAte</vt:lpstr>
      <vt:lpstr>filtroDe</vt:lpstr>
      <vt:lpstr>filtroPeriodo</vt:lpstr>
      <vt:lpstr>libView</vt:lpstr>
      <vt:lpstr>loginMsg</vt:lpstr>
      <vt:lpstr>loginPass</vt:lpstr>
      <vt:lpstr>loginUser</vt:lpstr>
      <vt:lpstr>loteAtivo</vt:lpstr>
      <vt:lpstr>loteCarregado</vt:lpstr>
      <vt:lpstr>loteParam</vt:lpstr>
      <vt:lpstr>loteSel</vt:lpstr>
      <vt:lpstr>lsChave</vt:lpstr>
      <vt:lpstr>lsDPN1</vt:lpstr>
      <vt:lpstr>lsDPN2</vt:lpstr>
      <vt:lpstr>lsDPN3</vt:lpstr>
      <vt:lpstr>lsMedN1</vt:lpstr>
      <vt:lpstr>lsMedN2</vt:lpstr>
      <vt:lpstr>lsMedN3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2026-09-20T23:26:56Z</dcterms:modified>
</cp:coreProperties>
</file>